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_HERE" sheetId="1" state="visible" r:id="rId1"/>
    <sheet name="SETUP" sheetId="2" state="visible" r:id="rId2"/>
    <sheet name="DASHBOARD" sheetId="3" state="visible" r:id="rId3"/>
    <sheet name="TRANSACTIONS" sheetId="4" state="visible" r:id="rId4"/>
    <sheet name="AR" sheetId="5" state="visible" r:id="rId5"/>
    <sheet name="AP" sheetId="6" state="visible" r:id="rId6"/>
    <sheet name="CUSTOMERS" sheetId="7" state="visible" r:id="rId7"/>
    <sheet name="VENDORS" sheetId="8" state="visible" r:id="rId8"/>
    <sheet name="COA" sheetId="9" state="visible" r:id="rId9"/>
    <sheet name="PNL" sheetId="10" state="visible" r:id="rId10"/>
    <sheet name="BALANCE_SHEET" sheetId="11" state="visible" r:id="rId11"/>
    <sheet name="CASH_FLOW" sheetId="12" state="visible" r:id="rId12"/>
    <sheet name="MONTHLY_SUMMARY" sheetId="13" state="visible" r:id="rId13"/>
    <sheet name="TRIAL_BALANCE" sheetId="14" state="visible" r:id="rId14"/>
    <sheet name="LEDGER" sheetId="15" state="visible" r:id="rId15"/>
    <sheet name="HELP" sheetId="16" state="visible" r:id="rId16"/>
    <sheet name="LISTS" sheetId="17" state="visible" r:id="rId17"/>
    <sheet name="JOURNAL" sheetId="18" state="visible" r:id="rId18"/>
    <sheet name="CALC" sheetId="19" state="visible" r:id="rId19"/>
  </sheets>
  <definedNames>
    <definedName name="tt_Type">LISTS!$B$7:$B$14</definedName>
    <definedName name="tt_Dir">LISTS!$C$7:$C$14</definedName>
    <definedName name="tt_Src">LISTS!$D$7:$D$14</definedName>
    <definedName name="tt_Tax">LISTS!$E$7:$E$14</definedName>
    <definedName name="tt_Other">LISTS!$G$7:$G$14</definedName>
    <definedName name="lstTypes">LISTS!$B$7:$B$14</definedName>
    <definedName name="acctAR">LISTS!$K$7</definedName>
    <definedName name="acctAP">LISTS!$K$8</definedName>
    <definedName name="acctTax">LISTS!$K$9</definedName>
    <definedName name="acctCapital">LISTS!$K$10</definedName>
    <definedName name="acctDrawings">LISTS!$K$11</definedName>
    <definedName name="acctOBE">LISTS!$K$12</definedName>
    <definedName name="sys_Role">LISTS!$I$7:$I$12</definedName>
    <definedName name="sys_Acct">LISTS!$K$7:$K$12</definedName>
    <definedName name="sys_Check">LISTS!$L$7:$L$12</definedName>
    <definedName name="at_Type">LISTS!$N$7:$N$16</definedName>
    <definedName name="at_Stmt">LISTS!$O$7:$O$16</definedName>
    <definedName name="at_Sign">LISTS!$P$7:$P$16</definedName>
    <definedName name="at_Normal">LISTS!$Q$7:$Q$16</definedName>
    <definedName name="at_Section">LISTS!$R$7:$R$16</definedName>
    <definedName name="lstPayMethods">LISTS!$B$21:$B$35</definedName>
    <definedName name="lstBizTypes">LISTS!$C$21:$C$32</definedName>
    <definedName name="lstMonths">LISTS!$D$21:$D$32</definedName>
    <definedName name="lstYesNo">LISTS!$E$21:$E$22</definedName>
    <definedName name="lstCF">LISTS!$F$21:$F$24</definedName>
    <definedName name="lstNormal">LISTS!$G$21:$G$22</definedName>
    <definedName name="lstBuckets">LISTS!$H$21:$H$25</definedName>
    <definedName name="lstPayAccts">LISTS!$J$21:$J$50</definedName>
    <definedName name="lstAccounts">LISTS!$K$21:$K$170</definedName>
    <definedName name="BizName">SETUP!$C$6</definedName>
    <definedName name="BizType">SETUP!$C$7</definedName>
    <definedName name="OwnerName">SETUP!$C$8</definedName>
    <definedName name="BizAddress">SETUP!$C$9</definedName>
    <definedName name="BizEmail">SETUP!$C$10</definedName>
    <definedName name="BizPhone">SETUP!$C$11</definedName>
    <definedName name="StartDate">SETUP!$C$14</definedName>
    <definedName name="FYStartMonthName">SETUP!$C$15</definedName>
    <definedName name="Currency">SETUP!$C$16</definedName>
    <definedName name="OpenCash">SETUP!$C$17</definedName>
    <definedName name="OpenBank">SETUP!$C$18</definedName>
    <definedName name="DefaultTerms">SETUP!$C$19</definedName>
    <definedName name="TaxOn">SETUP!$C$22</definedName>
    <definedName name="TaxLabel">SETUP!$C$23</definedName>
    <definedName name="RptYear">SETUP!$C$26</definedName>
    <definedName name="RptMonth">SETUP!$C$27</definedName>
    <definedName name="RptStart">SETUP!$C$28</definedName>
    <definedName name="AsOf">SETUP!$C$29</definedName>
    <definedName name="FYStartMonth">SETUP!$C$30</definedName>
    <definedName name="FYStart">SETUP!$C$31</definedName>
    <definedName name="FYEnd">SETUP!$C$32</definedName>
    <definedName name="FYYM">SETUP!$C$33</definedName>
    <definedName name="RptIdx">SETUP!$C$34</definedName>
    <definedName name="PrevStart">SETUP!$C$35</definedName>
    <definedName name="PrevEnd">SETUP!$C$36</definedName>
    <definedName name="TermsDays">SETUP!$C$37</definedName>
    <definedName name="coa_Code">COA!$B$7:$B$156</definedName>
    <definedName name="coa_Name">COA!$C$7:$C$156</definedName>
    <definedName name="coa_Type">COA!$D$7:$D$156</definedName>
    <definedName name="coa_Normal">COA!$E$7:$E$156</definedName>
    <definedName name="coa_CF">COA!$F$7:$F$156</definedName>
    <definedName name="coa_Pay">COA!$G$7:$G$156</definedName>
    <definedName name="coa_Active">COA!$H$7:$H$156</definedName>
    <definedName name="coa_Open">COA!$I$7:$I$156</definedName>
    <definedName name="coa_Balance">COA!$K$7:$K$156</definedName>
    <definedName name="coa_Check">COA!$L$7:$L$156</definedName>
    <definedName name="coa_ActRank">COA!$M$7:$M$156</definedName>
    <definedName name="coa_PayRank">COA!$N$7:$N$156</definedName>
    <definedName name="cust_Name">CUSTOMERS!$B$7:$B$306</definedName>
    <definedName name="cust_Terms">CUSTOMERS!$G$7:$G$306</definedName>
    <definedName name="cust_Outstanding">CUSTOMERS!$K$7:$K$306</definedName>
    <definedName name="cust_TopKey">CUSTOMERS!$N$7:$N$306</definedName>
    <definedName name="vend_Name">VENDORS!$B$7:$B$306</definedName>
    <definedName name="vend_Terms">VENDORS!$G$7:$G$306</definedName>
    <definedName name="vend_Outstanding">VENDORS!$K$7:$K$306</definedName>
    <definedName name="vend_TopKey">VENDORS!$N$7:$N$306</definedName>
    <definedName name="tx_ID">TRANSACTIONS!$B$7:$B$2006</definedName>
    <definedName name="tx_Date">TRANSACTIONS!$C$7:$C$2006</definedName>
    <definedName name="tx_Type">TRANSACTIONS!$D$7:$D$2006</definedName>
    <definedName name="tx_Cat">TRANSACTIONS!$E$7:$E$2006</definedName>
    <definedName name="tx_Desc">TRANSACTIONS!$F$7:$F$2006</definedName>
    <definedName name="tx_Cust">TRANSACTIONS!$G$7:$G$2006</definedName>
    <definedName name="tx_Vend">TRANSACTIONS!$H$7:$H$2006</definedName>
    <definedName name="tx_Ref">TRANSACTIONS!$J$7:$J$2006</definedName>
    <definedName name="tx_Money">TRANSACTIONS!$K$7:$K$2006</definedName>
    <definedName name="tx_Amount">TRANSACTIONS!$L$7:$L$2006</definedName>
    <definedName name="tx_Tax">TRANSACTIONS!$M$7:$M$2006</definedName>
    <definedName name="tx_Net">TRANSACTIONS!$O$7:$O$2006</definedName>
    <definedName name="tx_DrAcct">TRANSACTIONS!$Q$7:$Q$2006</definedName>
    <definedName name="tx_CrAcct">TRANSACTIONS!$R$7:$R$2006</definedName>
    <definedName name="tx_Check">TRANSACTIONS!$S$7:$S$2006</definedName>
    <definedName name="tx_Err">TRANSACTIONS!$X$7:$X$2006</definedName>
    <definedName name="tx_Warn">TRANSACTIONS!$Y$7:$Y$2006</definedName>
    <definedName name="tx_Posted">TRANSACTIONS!$Z$7:$Z$2006</definedName>
    <definedName name="tx_DrAmt">TRANSACTIONS!$AA$7:$AA$2006</definedName>
    <definedName name="tx_CrAmt">TRANSACTIONS!$AB$7:$AB$2006</definedName>
    <definedName name="tx_TaxDr">TRANSACTIONS!$AC$7:$AC$2006</definedName>
    <definedName name="tx_TaxCr">TRANSACTIONS!$AD$7:$AD$2006</definedName>
    <definedName name="ar_No">AR!$B$7:$B$506</definedName>
    <definedName name="ar_Date">AR!$C$7:$C$506</definedName>
    <definedName name="ar_Party">AR!$D$7:$D$506</definedName>
    <definedName name="ar_Desc">AR!$E$7:$E$506</definedName>
    <definedName name="ar_Account">AR!$F$7:$F$506</definedName>
    <definedName name="ar_Amount">AR!$G$7:$G$506</definedName>
    <definedName name="ar_EffDue">AR!$J$7:$J$506</definedName>
    <definedName name="ar_Paid">AR!$K$7:$K$506</definedName>
    <definedName name="ar_Balance">AR!$L$7:$L$506</definedName>
    <definedName name="ar_Status">AR!$M$7:$M$506</definedName>
    <definedName name="ar_DaysOver">AR!$O$7:$O$506</definedName>
    <definedName name="ar_Bucket">AR!$P$7:$P$506</definedName>
    <definedName name="ar_Check">AR!$Q$7:$Q$506</definedName>
    <definedName name="ar_Err">AR!$T$7:$T$506</definedName>
    <definedName name="ar_Warn">AR!$U$7:$U$506</definedName>
    <definedName name="ar_Posted">AR!$V$7:$V$506</definedName>
    <definedName name="ar_DrAcct">AR!$W$7:$W$506</definedName>
    <definedName name="ar_CrAcct">AR!$X$7:$X$506</definedName>
    <definedName name="ar_DrAmt">AR!$Y$7:$Y$506</definedName>
    <definedName name="ar_CrAmt">AR!$Z$7:$Z$506</definedName>
    <definedName name="ar_TaxAmt">AR!$AA$7:$AA$506</definedName>
    <definedName name="ap_No">AP!$B$7:$B$506</definedName>
    <definedName name="ap_Date">AP!$C$7:$C$506</definedName>
    <definedName name="ap_Party">AP!$D$7:$D$506</definedName>
    <definedName name="ap_Desc">AP!$E$7:$E$506</definedName>
    <definedName name="ap_Account">AP!$F$7:$F$506</definedName>
    <definedName name="ap_Amount">AP!$G$7:$G$506</definedName>
    <definedName name="ap_EffDue">AP!$J$7:$J$506</definedName>
    <definedName name="ap_Paid">AP!$K$7:$K$506</definedName>
    <definedName name="ap_Balance">AP!$L$7:$L$506</definedName>
    <definedName name="ap_Status">AP!$M$7:$M$506</definedName>
    <definedName name="ap_DaysOver">AP!$O$7:$O$506</definedName>
    <definedName name="ap_Bucket">AP!$P$7:$P$506</definedName>
    <definedName name="ap_Check">AP!$Q$7:$Q$506</definedName>
    <definedName name="ap_Err">AP!$T$7:$T$506</definedName>
    <definedName name="ap_Warn">AP!$U$7:$U$506</definedName>
    <definedName name="ap_Posted">AP!$V$7:$V$506</definedName>
    <definedName name="ap_DrAcct">AP!$W$7:$W$506</definedName>
    <definedName name="ap_CrAcct">AP!$X$7:$X$506</definedName>
    <definedName name="ap_DrAmt">AP!$Y$7:$Y$506</definedName>
    <definedName name="ap_CrAmt">AP!$Z$7:$Z$506</definedName>
    <definedName name="ap_TaxAmt">AP!$AA$7:$AA$506</definedName>
    <definedName name="j_N">JOURNAL!$B$7:$B$3006</definedName>
    <definedName name="j_Source">JOURNAL!$C$7:$C$3006</definedName>
    <definedName name="j_ID">JOURNAL!$D$7:$D$3006</definedName>
    <definedName name="j_Date">JOURNAL!$E$7:$E$3006</definedName>
    <definedName name="j_Desc">JOURNAL!$F$7:$F$3006</definedName>
    <definedName name="j_Party">JOURNAL!$G$7:$G$3006</definedName>
    <definedName name="j_Posted">JOURNAL!$H$7:$H$3006</definedName>
    <definedName name="j_DrAcct">JOURNAL!$I$7:$I$3006</definedName>
    <definedName name="j_DrAmt">JOURNAL!$J$7:$J$3006</definedName>
    <definedName name="j_CrAcct">JOURNAL!$K$7:$K$3006</definedName>
    <definedName name="j_CrAmt">JOURNAL!$L$7:$L$3006</definedName>
    <definedName name="j_TaxDr">JOURNAL!$M$7:$M$3006</definedName>
    <definedName name="j_TaxCr">JOURNAL!$N$7:$N$3006</definedName>
    <definedName name="j_Per">JOURNAL!$O$7:$O$3006</definedName>
    <definedName name="j_DrCash">JOURNAL!$P$7:$P$3006</definedName>
    <definedName name="j_CrCash">JOURNAL!$Q$7:$Q$3006</definedName>
    <definedName name="j_CFGroup">JOURNAL!$R$7:$R$3006</definedName>
    <definedName name="j_CFMain">JOURNAL!$S$7:$S$3006</definedName>
    <definedName name="j_CFTax">JOURNAL!$T$7:$T$3006</definedName>
    <definedName name="j_Key">JOURNAL!$U$7:$U$3006</definedName>
    <definedName name="calc_i">CALC!$B$7:$B$156</definedName>
    <definedName name="calc_RawName">CALC!$C$7:$C$156</definedName>
    <definedName name="calc_Name">CALC!$D$7:$D$156</definedName>
    <definedName name="calc_Code">CALC!$E$7:$E$156</definedName>
    <definedName name="calc_Type">CALC!$F$7:$F$156</definedName>
    <definedName name="calc_Normal">CALC!$G$7:$G$156</definedName>
    <definedName name="calc_CF">CALC!$H$7:$H$156</definedName>
    <definedName name="calc_Stmt">CALC!$I$7:$I$156</definedName>
    <definedName name="calc_Sign">CALC!$J$7:$J$156</definedName>
    <definedName name="calc_RawOpen">CALC!$K$7:$K$156</definedName>
    <definedName name="calc_Open">CALC!$L$7:$L$156</definedName>
    <definedName name="calc_PreFY">CALC!$M$7:$M$156</definedName>
    <definedName name="calc_M1">CALC!$N$7:$N$156</definedName>
    <definedName name="calc_M2">CALC!$O$7:$O$156</definedName>
    <definedName name="calc_M3">CALC!$P$7:$P$156</definedName>
    <definedName name="calc_M4">CALC!$Q$7:$Q$156</definedName>
    <definedName name="calc_M5">CALC!$R$7:$R$156</definedName>
    <definedName name="calc_M6">CALC!$S$7:$S$156</definedName>
    <definedName name="calc_M7">CALC!$T$7:$T$156</definedName>
    <definedName name="calc_M8">CALC!$U$7:$U$156</definedName>
    <definedName name="calc_M9">CALC!$V$7:$V$156</definedName>
    <definedName name="calc_M10">CALC!$W$7:$W$156</definedName>
    <definedName name="calc_M11">CALC!$X$7:$X$156</definedName>
    <definedName name="calc_M12">CALC!$Y$7:$Y$156</definedName>
    <definedName name="calc_YTD">CALC!$Z$7:$Z$156</definedName>
    <definedName name="calc_Cur">CALC!$AA$7:$AA$156</definedName>
    <definedName name="calc_Prev">CALC!$AB$7:$AB$156</definedName>
    <definedName name="calc_FY">CALC!$AC$7:$AC$156</definedName>
    <definedName name="calc_Bal">CALC!$AD$7:$AD$156</definedName>
    <definedName name="calc_BalPrev">CALC!$AE$7:$AE$156</definedName>
    <definedName name="calc_Key">CALC!$AF$7:$AF$156</definedName>
    <definedName name="calc_CashKey">CALC!$AG$7:$AG$156</definedName>
    <definedName name="calc_TopKey">CALC!$AH$7:$AH$156</definedName>
    <definedName name="calc_E1">CALC!$AI$7:$AI$156</definedName>
    <definedName name="calc_E2">CALC!$AJ$7:$AJ$156</definedName>
    <definedName name="calc_E3">CALC!$AK$7:$AK$156</definedName>
    <definedName name="calc_E4">CALC!$AL$7:$AL$156</definedName>
    <definedName name="calc_E5">CALC!$AM$7:$AM$156</definedName>
    <definedName name="calc_E6">CALC!$AN$7:$AN$156</definedName>
    <definedName name="calc_E7">CALC!$AO$7:$AO$156</definedName>
    <definedName name="calc_E8">CALC!$AP$7:$AP$156</definedName>
    <definedName name="calc_E9">CALC!$AQ$7:$AQ$156</definedName>
    <definedName name="calc_E10">CALC!$AR$7:$AR$156</definedName>
    <definedName name="calc_E11">CALC!$AS$7:$AS$156</definedName>
    <definedName name="calc_E12">CALC!$AT$7:$AT$156</definedName>
    <definedName name="PL_Rev_Cur">PNL!$C$15</definedName>
    <definedName name="PL_Rev_Prev">PNL!$D$15</definedName>
    <definedName name="PL_Rev_YTD">PNL!$E$15</definedName>
    <definedName name="PL_Rev_FY">PNL!$F$15</definedName>
    <definedName name="PL_COS_Cur">PNL!$C$24</definedName>
    <definedName name="PL_COS_Prev">PNL!$D$24</definedName>
    <definedName name="PL_COS_YTD">PNL!$E$24</definedName>
    <definedName name="PL_COS_FY">PNL!$F$24</definedName>
    <definedName name="PL_GP_Cur">PNL!$C$26</definedName>
    <definedName name="PL_GP_Prev">PNL!$D$26</definedName>
    <definedName name="PL_GP_YTD">PNL!$E$26</definedName>
    <definedName name="PL_GP_FY">PNL!$F$26</definedName>
    <definedName name="PL_Opex_Cur">PNL!$C$52</definedName>
    <definedName name="PL_Opex_Prev">PNL!$D$52</definedName>
    <definedName name="PL_Opex_YTD">PNL!$E$52</definedName>
    <definedName name="PL_Opex_FY">PNL!$F$52</definedName>
    <definedName name="PL_NOI_Cur">PNL!$C$54</definedName>
    <definedName name="PL_NOI_Prev">PNL!$D$54</definedName>
    <definedName name="PL_NOI_YTD">PNL!$E$54</definedName>
    <definedName name="PL_NOI_FY">PNL!$F$54</definedName>
    <definedName name="PL_OthInc_Cur">PNL!$C$61</definedName>
    <definedName name="PL_OthInc_Prev">PNL!$D$61</definedName>
    <definedName name="PL_OthInc_YTD">PNL!$E$61</definedName>
    <definedName name="PL_OthInc_FY">PNL!$F$61</definedName>
    <definedName name="PL_OthExp_Cur">PNL!$C$68</definedName>
    <definedName name="PL_OthExp_Prev">PNL!$D$68</definedName>
    <definedName name="PL_OthExp_YTD">PNL!$E$68</definedName>
    <definedName name="PL_OthExp_FY">PNL!$F$68</definedName>
    <definedName name="PL_Net_Cur">PNL!$C$70</definedName>
    <definedName name="PL_Net_Prev">PNL!$D$70</definedName>
    <definedName name="PL_Net_YTD">PNL!$E$70</definedName>
    <definedName name="PL_Net_FY">PNL!$F$70</definedName>
    <definedName name="PL_GM_Cur">PNL!$C$27</definedName>
    <definedName name="PL_GM_Prev">PNL!$D$27</definedName>
    <definedName name="PL_GM_YTD">PNL!$E$27</definedName>
    <definedName name="PL_GM_FY">PNL!$F$27</definedName>
    <definedName name="PL_NM_Cur">PNL!$C$71</definedName>
    <definedName name="PL_NM_Prev">PNL!$D$71</definedName>
    <definedName name="PL_NM_YTD">PNL!$E$71</definedName>
    <definedName name="PL_NM_FY">PNL!$F$71</definedName>
    <definedName name="BS_TotalAssets">BALANCE_SHEET!$C$31</definedName>
    <definedName name="BS_TotalAssets_Prev">BALANCE_SHEET!$D$31</definedName>
    <definedName name="BS_TotalLiab">BALANCE_SHEET!$C$52</definedName>
    <definedName name="BS_TotalLiab_Prev">BALANCE_SHEET!$D$52</definedName>
    <definedName name="BS_TotalEquity">BALANCE_SHEET!$C$63</definedName>
    <definedName name="BS_TotalEquity_Prev">BALANCE_SHEET!$D$63</definedName>
    <definedName name="BS_TotalLE">BALANCE_SHEET!$C$65</definedName>
    <definedName name="BS_TotalLE_Prev">BALANCE_SHEET!$D$65</definedName>
    <definedName name="BS_Diff">BALANCE_SHEET!$C$67</definedName>
    <definedName name="BS_Diff_Prev">BALANCE_SHEET!$D$67</definedName>
    <definedName name="BS_PriorProfit">BALANCE_SHEET!$C$61</definedName>
    <definedName name="BS_PriorProfit_Prev">BALANCE_SHEET!$D$61</definedName>
    <definedName name="BS_CYProfit">BALANCE_SHEET!$C$62</definedName>
    <definedName name="BS_CYProfit_Prev">BALANCE_SHEET!$D$62</definedName>
    <definedName name="BS_CurAssets">BALANCE_SHEET!$C$20</definedName>
    <definedName name="BS_CurAssets_Prev">BALANCE_SHEET!$D$20</definedName>
    <definedName name="BS_FixedAssets">BALANCE_SHEET!$C$29</definedName>
    <definedName name="BS_FixedAssets_Prev">BALANCE_SHEET!$D$29</definedName>
    <definedName name="BS_CurLiab">BALANCE_SHEET!$C$43</definedName>
    <definedName name="BS_CurLiab_Prev">BALANCE_SHEET!$D$43</definedName>
    <definedName name="BS_LTLiab">BALANCE_SHEET!$C$50</definedName>
    <definedName name="BS_LTLiab_Prev">BALANCE_SHEET!$D$50</definedName>
    <definedName name="BS_Status">BALANCE_SHEET!$B$68</definedName>
    <definedName name="CF_Begin_Cur">CASH_FLOW!$C$8</definedName>
    <definedName name="CF_Begin_YTD">CASH_FLOW!$D$8</definedName>
    <definedName name="CF_Op_Cur">CASH_FLOW!$C$13</definedName>
    <definedName name="CF_Op_YTD">CASH_FLOW!$D$13</definedName>
    <definedName name="CF_Inv_Cur">CASH_FLOW!$C$18</definedName>
    <definedName name="CF_Inv_YTD">CASH_FLOW!$D$18</definedName>
    <definedName name="CF_Fin_Cur">CASH_FLOW!$C$23</definedName>
    <definedName name="CF_Fin_YTD">CASH_FLOW!$D$23</definedName>
    <definedName name="CF_Net_Cur">CASH_FLOW!$C$25</definedName>
    <definedName name="CF_Net_YTD">CASH_FLOW!$D$25</definedName>
    <definedName name="CF_End_Cur">CASH_FLOW!$C$26</definedName>
    <definedName name="CF_End_YTD">CASH_FLOW!$D$26</definedName>
    <definedName name="CF_EndBS_Cur">CASH_FLOW!$C$28</definedName>
    <definedName name="CF_EndBS_YTD">CASH_FLOW!$D$28</definedName>
    <definedName name="CF_OpIn_Cur">CASH_FLOW!$C$11</definedName>
    <definedName name="CF_OpIn_YTD">CASH_FLOW!$D$11</definedName>
    <definedName name="CF_OpOut_Cur">CASH_FLOW!$C$12</definedName>
    <definedName name="CF_OpOut_YTD">CASH_FLOW!$D$12</definedName>
    <definedName name="CF_Status">CASH_FLOW!$B$29</definedName>
    <definedName name="ms_Month">MONTHLY_SUMMARY!$B$7:$B$18</definedName>
    <definedName name="ms_Rev">MONTHLY_SUMMARY!$C$7:$C$18</definedName>
    <definedName name="ms_COS">MONTHLY_SUMMARY!$D$7:$D$18</definedName>
    <definedName name="ms_GP">MONTHLY_SUMMARY!$E$7:$E$18</definedName>
    <definedName name="ms_Opex">MONTHLY_SUMMARY!$F$7:$F$18</definedName>
    <definedName name="ms_Other">MONTHLY_SUMMARY!$G$7:$G$18</definedName>
    <definedName name="ms_Net">MONTHLY_SUMMARY!$H$7:$H$18</definedName>
    <definedName name="ms_NM">MONTHLY_SUMMARY!$I$7:$I$18</definedName>
    <definedName name="ms_In">MONTHLY_SUMMARY!$J$7:$J$18</definedName>
    <definedName name="ms_Out">MONTHLY_SUMMARY!$K$7:$K$18</definedName>
    <definedName name="ms_NetCash">MONTHLY_SUMMARY!$L$7:$L$18</definedName>
    <definedName name="ms_Cash">MONTHLY_SUMMARY!$M$7:$M$18</definedName>
    <definedName name="ms_AR">MONTHLY_SUMMARY!$N$7:$N$18</definedName>
    <definedName name="ms_AP">MONTHLY_SUMMARY!$O$7:$O$18</definedName>
    <definedName name="TB_Debit">TRIAL_BALANCE!$E$6</definedName>
    <definedName name="TB_Credit">TRIAL_BALANCE!$F$7</definedName>
    <definedName name="TB_Journal">TRIAL_BALANCE!$G$8</definedName>
    <definedName name="TB_Status">TRIAL_BALANCE!$D$9</definedName>
    <definedName name="LedAcct">LEDGER!$D$6</definedName>
    <definedName name="LedFrom">LEDGER!$G$7</definedName>
    <definedName name="LedTo">LEDGER!$G$8</definedName>
    <definedName name="LedSign">LEDGER!$L$6</definedName>
    <definedName name="Led_Open">LEDGER!$J$10</definedName>
    <definedName name="Led_Close">LEDGER!$J$13</definedName>
    <definedName name="RptMonthIn">DASHBOARD!$C$5</definedName>
    <definedName name="RptYearIn">DASHBOARD!$F$5</definedName>
    <definedName name="DB_Revenue">DASHBOARD!$B$8</definedName>
    <definedName name="DB_Expenses">DASHBOARD!$E$8</definedName>
    <definedName name="DB_Net">DASHBOARD!$H$8</definedName>
    <definedName name="DB_Cash">DASHBOARD!$K$8</definedName>
    <definedName name="DB_AR">DASHBOARD!$B$12</definedName>
    <definedName name="DB_AP">DASHBOARD!$E$12</definedName>
    <definedName name="DB_GM">DASHBOARD!$H$12</definedName>
    <definedName name="DB_NM">DASHBOARD!$K$12</definedName>
    <definedName name="DB_Errors">DASHBOARD!$D$19</definedName>
    <definedName name="DB_Warnings">DASHBOARD!$J$16</definedName>
    <definedName name="DB_ARAging">DASHBOARD!$Q$25:$Q$29</definedName>
    <definedName name="DB_APAging">DASHBOARD!$R$25:$R$29</definedName>
    <definedName name="_xlnm.Print_Area" localSheetId="2">'DASHBOARD'!$A$1:$M$62</definedName>
    <definedName name="_xlnm.Print_Area" localSheetId="9">'PNL'!$A$1:$S$73</definedName>
    <definedName name="_xlnm.Print_Area" localSheetId="10">'BALANCE_SHEET'!$A$1:$D$69</definedName>
    <definedName name="_xlnm.Print_Area" localSheetId="11">'CASH_FLOW'!$A$1:$E$39</definedName>
    <definedName name="_xlnm.Print_Area" localSheetId="12">'MONTHLY_SUMMARY'!$A$1:$O$21</definedName>
    <definedName name="_xlnm.Print_Area" localSheetId="13">'TRIAL_BALANCE'!$A$1:$G$161</definedName>
    <definedName name="_xlnm.Print_Area" localSheetId="14">'LEDGER'!$A$1:$J$415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-mmm-yyyy"/>
    <numFmt numFmtId="166" formatCode="#,##0.00;(#,##0.00);&quot;-&quot;"/>
    <numFmt numFmtId="167" formatCode="mmm yy"/>
    <numFmt numFmtId="168" formatCode="0.0%;(0.0%);&quot;-&quot;"/>
    <numFmt numFmtId="169" formatCode="mmm yyyy"/>
    <numFmt numFmtId="170" formatCode="#,##0;(#,##0);&quot;-&quot;"/>
    <numFmt numFmtId="171" formatCode="mmm"/>
  </numFmts>
  <fonts count="34">
    <font>
      <name val="Arial"/>
      <color rgb="00475569"/>
      <sz val="10"/>
    </font>
    <font>
      <name val="Arial"/>
      <b val="1"/>
      <color rgb="001F3A5F"/>
      <sz val="16"/>
    </font>
    <font>
      <name val="Arial"/>
      <i val="1"/>
      <color rgb="0064748B"/>
      <sz val="10"/>
    </font>
    <font>
      <name val="Arial"/>
      <b val="1"/>
      <color rgb="002A9D8F"/>
      <sz val="10"/>
    </font>
    <font>
      <name val="Arial"/>
      <b val="1"/>
      <color rgb="00FFFFFF"/>
      <sz val="10"/>
    </font>
    <font>
      <name val="Arial"/>
      <color rgb="00475569"/>
      <sz val="9"/>
    </font>
    <font>
      <name val="Arial"/>
      <color rgb="00475569"/>
      <sz val="10"/>
    </font>
    <font>
      <name val="Arial"/>
      <color rgb="0064748B"/>
      <sz val="9"/>
    </font>
    <font>
      <name val="Arial"/>
      <color rgb="001D4ED8"/>
      <sz val="10"/>
    </font>
    <font>
      <name val="Arial"/>
      <i val="1"/>
      <color rgb="0064748B"/>
      <sz val="9"/>
    </font>
    <font>
      <name val="Arial"/>
      <b val="1"/>
      <color rgb="002A9D8F"/>
      <sz val="10"/>
      <u val="single"/>
    </font>
    <font>
      <name val="Arial"/>
      <color rgb="0064748B"/>
      <sz val="10"/>
    </font>
    <font>
      <name val="Arial"/>
      <b val="1"/>
      <color rgb="001F3A5F"/>
      <sz val="9"/>
    </font>
    <font>
      <name val="Arial"/>
      <b val="1"/>
      <color rgb="0064748B"/>
      <sz val="9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475569"/>
      <sz val="11"/>
    </font>
    <font>
      <name val="Arial"/>
      <b val="1"/>
      <color rgb="00475569"/>
      <sz val="10"/>
    </font>
    <font>
      <name val="Arial"/>
      <b val="1"/>
      <color rgb="001F3A5F"/>
      <sz val="11"/>
    </font>
    <font>
      <name val="Arial"/>
      <b val="1"/>
      <color rgb="001F3A5F"/>
      <sz val="10"/>
    </font>
    <font>
      <name val="Arial"/>
      <b val="1"/>
      <color rgb="00475569"/>
      <sz val="12"/>
    </font>
    <font>
      <name val="Arial"/>
      <color rgb="00CBD5E1"/>
      <sz val="7"/>
    </font>
    <font>
      <name val="Arial"/>
      <b val="1"/>
      <color rgb="001F3A5F"/>
      <sz val="26"/>
    </font>
    <font>
      <name val="Arial"/>
      <b val="1"/>
      <color rgb="002A9D8F"/>
      <sz val="13"/>
    </font>
    <font>
      <name val="Arial"/>
      <i val="1"/>
      <color rgb="00475569"/>
      <sz val="11"/>
    </font>
    <font>
      <name val="Arial"/>
      <b val="1"/>
      <color rgb="001D4ED8"/>
      <sz val="10"/>
    </font>
    <font>
      <name val="Arial"/>
      <b val="1"/>
      <color rgb="00B91C1C"/>
      <sz val="10"/>
    </font>
    <font>
      <name val="Arial"/>
      <b val="1"/>
      <color rgb="00B45309"/>
      <sz val="10"/>
    </font>
    <font>
      <name val="Arial"/>
      <b val="1"/>
      <color rgb="0015803D"/>
      <sz val="10"/>
    </font>
    <font>
      <name val="Arial"/>
      <b val="1"/>
      <color rgb="001F3A5F"/>
      <sz val="18"/>
    </font>
    <font>
      <name val="Arial"/>
      <b val="1"/>
      <color rgb="00B45309"/>
      <sz val="18"/>
    </font>
    <font>
      <name val="Arial"/>
      <b val="1"/>
      <color rgb="0015803D"/>
      <sz val="18"/>
    </font>
    <font>
      <name val="Arial"/>
      <b val="1"/>
      <color rgb="002A9D8F"/>
      <sz val="18"/>
    </font>
    <font>
      <name val="Arial"/>
      <b val="1"/>
      <color rgb="001F3A5F"/>
      <sz val="12"/>
    </font>
  </fonts>
  <fills count="13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EF2F6"/>
        <bgColor rgb="00EEF2F6"/>
      </patternFill>
    </fill>
    <fill>
      <patternFill patternType="solid">
        <fgColor rgb="00FFF8DC"/>
        <bgColor rgb="00FFF8DC"/>
      </patternFill>
    </fill>
    <fill>
      <patternFill patternType="solid">
        <fgColor rgb="00475569"/>
        <bgColor rgb="00475569"/>
      </patternFill>
    </fill>
    <fill>
      <patternFill patternType="solid">
        <fgColor rgb="00F1F5F9"/>
        <bgColor rgb="00F1F5F9"/>
      </patternFill>
    </fill>
    <fill>
      <patternFill patternType="solid">
        <fgColor rgb="002A9D8F"/>
        <bgColor rgb="002A9D8F"/>
      </patternFill>
    </fill>
    <fill>
      <patternFill patternType="solid">
        <fgColor rgb="005B7083"/>
        <bgColor rgb="005B7083"/>
      </patternFill>
    </fill>
    <fill>
      <patternFill patternType="solid">
        <fgColor rgb="00FFFFFF"/>
        <bgColor rgb="00FFFFFF"/>
      </patternFill>
    </fill>
    <fill>
      <patternFill patternType="solid">
        <fgColor rgb="00FDECEA"/>
        <bgColor rgb="00FDECEA"/>
      </patternFill>
    </fill>
    <fill>
      <patternFill patternType="solid">
        <fgColor rgb="00FFF4E5"/>
        <bgColor rgb="00FFF4E5"/>
      </patternFill>
    </fill>
    <fill>
      <patternFill patternType="solid">
        <fgColor rgb="00E8F5EC"/>
        <bgColor rgb="00E8F5EC"/>
      </patternFill>
    </fill>
  </fills>
  <borders count="18">
    <border>
      <left/>
      <right/>
      <top/>
      <bottom/>
      <diagonal/>
    </border>
    <border>
      <top style="medium">
        <color rgb="002A9D8F"/>
      </top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2A9D8F"/>
      </bottom>
    </border>
    <border>
      <top style="thin">
        <color rgb="00CBD5E1"/>
      </top>
    </border>
    <border>
      <top style="thin">
        <color rgb="00CBD5E1"/>
      </top>
      <bottom style="double">
        <color rgb="001F3A5F"/>
      </bottom>
    </border>
    <border>
      <bottom style="thin">
        <color rgb="00CBD5E1"/>
      </bottom>
    </border>
    <border>
      <bottom style="hair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bottom style="medium">
        <color rgb="002A9D8F"/>
      </bottom>
    </border>
    <border>
      <left style="thick">
        <color rgb="001F3A5F"/>
      </left>
    </border>
    <border/>
    <border>
      <left style="thick">
        <color rgb="00B45309"/>
      </left>
    </border>
    <border>
      <left style="thick">
        <color rgb="0015803D"/>
      </left>
    </border>
    <border>
      <left style="thick">
        <color rgb="002A9D8F"/>
      </left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11" fillId="0" borderId="0" pivotButton="0" quotePrefix="0" xfId="0"/>
    <xf numFmtId="0" fontId="0" fillId="0" borderId="12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6" fillId="0" borderId="0" pivotButton="0" quotePrefix="0" xfId="0"/>
    <xf numFmtId="0" fontId="25" fillId="4" borderId="2" pivotButton="0" quotePrefix="0" xfId="0"/>
    <xf numFmtId="0" fontId="25" fillId="9" borderId="2" pivotButton="0" quotePrefix="0" xfId="0"/>
    <xf numFmtId="0" fontId="17" fillId="3" borderId="2" pivotButton="0" quotePrefix="0" xfId="0"/>
    <xf numFmtId="0" fontId="26" fillId="10" borderId="2" pivotButton="0" quotePrefix="0" xfId="0"/>
    <xf numFmtId="0" fontId="27" fillId="11" borderId="2" pivotButton="0" quotePrefix="0" xfId="0"/>
    <xf numFmtId="0" fontId="28" fillId="12" borderId="2" pivotButton="0" quotePrefix="0" xfId="0"/>
    <xf numFmtId="0" fontId="1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8" fillId="4" borderId="2" applyProtection="1" pivotButton="0" quotePrefix="0" xfId="0">
      <protection locked="0" hidden="0"/>
    </xf>
    <xf numFmtId="0" fontId="9" fillId="0" borderId="0" pivotButton="0" quotePrefix="0" xfId="0"/>
    <xf numFmtId="165" fontId="8" fillId="4" borderId="2" applyProtection="1" pivotButton="0" quotePrefix="0" xfId="0">
      <protection locked="0" hidden="0"/>
    </xf>
    <xf numFmtId="166" fontId="8" fillId="4" borderId="2" applyProtection="1" pivotButton="0" quotePrefix="0" xfId="0">
      <protection locked="0" hidden="0"/>
    </xf>
    <xf numFmtId="1" fontId="8" fillId="4" borderId="2" applyProtection="1" pivotButton="0" quotePrefix="0" xfId="0">
      <protection locked="0" hidden="0"/>
    </xf>
    <xf numFmtId="0" fontId="10" fillId="0" borderId="0" pivotButton="0" quotePrefix="0" xfId="0"/>
    <xf numFmtId="1" fontId="6" fillId="3" borderId="0" pivotButton="0" quotePrefix="0" xfId="0"/>
    <xf numFmtId="165" fontId="6" fillId="3" borderId="0" pivotButton="0" quotePrefix="0" xfId="0"/>
    <xf numFmtId="0" fontId="29" fillId="0" borderId="0" pivotButton="0" quotePrefix="0" xfId="0"/>
    <xf numFmtId="0" fontId="13" fillId="0" borderId="0" pivotButton="0" quotePrefix="0" xfId="0"/>
    <xf numFmtId="0" fontId="16" fillId="0" borderId="0" pivotButton="0" quotePrefix="0" xfId="0"/>
    <xf numFmtId="171" fontId="0" fillId="0" borderId="0" pivotButton="0" quotePrefix="0" xfId="0"/>
    <xf numFmtId="170" fontId="0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3" fillId="6" borderId="13" applyAlignment="1" pivotButton="0" quotePrefix="0" xfId="0">
      <alignment horizontal="left" vertical="bottom" indent="1"/>
    </xf>
    <xf numFmtId="0" fontId="0" fillId="6" borderId="14" pivotButton="0" quotePrefix="0" xfId="0"/>
    <xf numFmtId="0" fontId="13" fillId="6" borderId="15" applyAlignment="1" pivotButton="0" quotePrefix="0" xfId="0">
      <alignment horizontal="left" vertical="bottom" indent="1"/>
    </xf>
    <xf numFmtId="0" fontId="13" fillId="6" borderId="16" applyAlignment="1" pivotButton="0" quotePrefix="0" xfId="0">
      <alignment horizontal="left" vertical="bottom" indent="1"/>
    </xf>
    <xf numFmtId="0" fontId="13" fillId="6" borderId="17" applyAlignment="1" pivotButton="0" quotePrefix="0" xfId="0">
      <alignment horizontal="left" vertical="bottom" indent="1"/>
    </xf>
    <xf numFmtId="170" fontId="29" fillId="6" borderId="13" applyAlignment="1" pivotButton="0" quotePrefix="0" xfId="0">
      <alignment horizontal="left" vertical="center" indent="1"/>
    </xf>
    <xf numFmtId="170" fontId="30" fillId="6" borderId="15" applyAlignment="1" pivotButton="0" quotePrefix="0" xfId="0">
      <alignment horizontal="left" vertical="center" indent="1"/>
    </xf>
    <xf numFmtId="170" fontId="31" fillId="6" borderId="16" applyAlignment="1" pivotButton="0" quotePrefix="0" xfId="0">
      <alignment horizontal="left" vertical="center" indent="1"/>
    </xf>
    <xf numFmtId="170" fontId="32" fillId="6" borderId="17" applyAlignment="1" pivotButton="0" quotePrefix="0" xfId="0">
      <alignment horizontal="left" vertical="center" indent="1"/>
    </xf>
    <xf numFmtId="0" fontId="5" fillId="6" borderId="13" applyAlignment="1" pivotButton="0" quotePrefix="0" xfId="0">
      <alignment horizontal="left" vertical="top" indent="1"/>
    </xf>
    <xf numFmtId="0" fontId="5" fillId="6" borderId="15" applyAlignment="1" pivotButton="0" quotePrefix="0" xfId="0">
      <alignment horizontal="left" vertical="top" indent="1"/>
    </xf>
    <xf numFmtId="0" fontId="5" fillId="6" borderId="16" applyAlignment="1" pivotButton="0" quotePrefix="0" xfId="0">
      <alignment horizontal="left" vertical="top" indent="1"/>
    </xf>
    <xf numFmtId="0" fontId="5" fillId="6" borderId="17" applyAlignment="1" pivotButton="0" quotePrefix="0" xfId="0">
      <alignment horizontal="left" vertical="top" indent="1"/>
    </xf>
    <xf numFmtId="168" fontId="31" fillId="6" borderId="16" applyAlignment="1" pivotButton="0" quotePrefix="0" xfId="0">
      <alignment horizontal="left" vertical="center" indent="1"/>
    </xf>
    <xf numFmtId="168" fontId="32" fillId="6" borderId="17" applyAlignment="1" pivotButton="0" quotePrefix="0" xfId="0">
      <alignment horizontal="left" vertical="center" indent="1"/>
    </xf>
    <xf numFmtId="166" fontId="17" fillId="0" borderId="0" pivotButton="0" quotePrefix="0" xfId="0"/>
    <xf numFmtId="166" fontId="0" fillId="0" borderId="0" pivotButton="0" quotePrefix="0" xfId="0"/>
    <xf numFmtId="166" fontId="6" fillId="0" borderId="0" pivotButton="0" quotePrefix="0" xfId="0"/>
    <xf numFmtId="0" fontId="17" fillId="0" borderId="5" pivotButton="0" quotePrefix="0" xfId="0"/>
    <xf numFmtId="0" fontId="0" fillId="0" borderId="5" pivotButton="0" quotePrefix="0" xfId="0"/>
    <xf numFmtId="166" fontId="17" fillId="0" borderId="5" pivotButton="0" quotePrefix="0" xfId="0"/>
    <xf numFmtId="0" fontId="5" fillId="0" borderId="0" pivotButton="0" quotePrefix="0" xfId="0"/>
    <xf numFmtId="170" fontId="5" fillId="0" borderId="0" pivotButton="0" quotePrefix="0" xfId="0"/>
    <xf numFmtId="0" fontId="12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6" fontId="6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166" fontId="7" fillId="3" borderId="0" pivotButton="0" quotePrefix="0" xfId="0"/>
    <xf numFmtId="1" fontId="8" fillId="0" borderId="0" pivotButton="0" quotePrefix="0" xfId="0"/>
    <xf numFmtId="0" fontId="15" fillId="2" borderId="0" applyAlignment="1" pivotButton="0" quotePrefix="0" xfId="0">
      <alignment horizontal="center" vertical="center" wrapText="1"/>
    </xf>
    <xf numFmtId="167" fontId="15" fillId="2" borderId="0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left" vertical="center" indent="1"/>
    </xf>
    <xf numFmtId="166" fontId="17" fillId="0" borderId="4" pivotButton="0" quotePrefix="0" xfId="0"/>
    <xf numFmtId="0" fontId="18" fillId="6" borderId="0" pivotButton="0" quotePrefix="0" xfId="0"/>
    <xf numFmtId="166" fontId="19" fillId="6" borderId="5" pivotButton="0" quotePrefix="0" xfId="0"/>
    <xf numFmtId="168" fontId="2" fillId="0" borderId="0" pivotButton="0" quotePrefix="0" xfId="0"/>
    <xf numFmtId="0" fontId="17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2"/>
    </xf>
    <xf numFmtId="0" fontId="7" fillId="0" borderId="0" pivotButton="0" quotePrefix="0" xfId="0"/>
    <xf numFmtId="166" fontId="7" fillId="0" borderId="0" pivotButton="0" quotePrefix="0" xfId="0"/>
    <xf numFmtId="0" fontId="1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1"/>
    </xf>
    <xf numFmtId="169" fontId="6" fillId="0" borderId="6" pivotButton="0" quotePrefix="0" xfId="0"/>
    <xf numFmtId="166" fontId="6" fillId="0" borderId="6" pivotButton="0" quotePrefix="0" xfId="0"/>
    <xf numFmtId="168" fontId="6" fillId="0" borderId="6" pivotButton="0" quotePrefix="0" xfId="0"/>
    <xf numFmtId="168" fontId="19" fillId="6" borderId="5" pivotButton="0" quotePrefix="0" xfId="0"/>
    <xf numFmtId="0" fontId="20" fillId="0" borderId="0" pivotButton="0" quotePrefix="0" xfId="0"/>
    <xf numFmtId="0" fontId="6" fillId="0" borderId="7" pivotButton="0" quotePrefix="0" xfId="0"/>
    <xf numFmtId="166" fontId="6" fillId="0" borderId="7" pivotButton="0" quotePrefix="0" xfId="0"/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5" fontId="5" fillId="0" borderId="0" pivotButton="0" quotePrefix="0" xfId="0"/>
    <xf numFmtId="166" fontId="5" fillId="0" borderId="0" pivotButton="0" quotePrefix="0" xfId="0"/>
    <xf numFmtId="0" fontId="21" fillId="0" borderId="0" pivotButton="0" quotePrefix="0" xfId="0"/>
    <xf numFmtId="0" fontId="3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1" fontId="5" fillId="0" borderId="0" pivotButton="0" quotePrefix="0" xfId="0"/>
    <xf numFmtId="0" fontId="15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Arial"/>
        <b val="1"/>
        <color rgb="00B91C1C"/>
        <sz val="10"/>
      </font>
      <fill>
        <patternFill patternType="solid">
          <fgColor rgb="00FDECEA"/>
          <bgColor rgb="00FDECEA"/>
        </patternFill>
      </fill>
    </dxf>
    <dxf>
      <font>
        <name val="Arial"/>
        <color rgb="00B45309"/>
        <sz val="10"/>
      </font>
      <fill>
        <patternFill patternType="solid">
          <fgColor rgb="00FFF4E5"/>
          <bgColor rgb="00FFF4E5"/>
        </patternFill>
      </fill>
    </dxf>
    <dxf>
      <font>
        <name val="Arial"/>
        <color rgb="0015803D"/>
        <sz val="10"/>
      </font>
    </dxf>
    <dxf>
      <font>
        <name val="Arial"/>
        <b val="1"/>
        <color rgb="00B91C1C"/>
        <sz val="10"/>
      </font>
    </dxf>
    <dxf>
      <font>
        <name val="Arial"/>
        <b val="1"/>
        <color rgb="001F3A5F"/>
        <sz val="10"/>
      </font>
      <fill>
        <patternFill patternType="solid">
          <fgColor rgb="00E0F2F1"/>
          <bgColor rgb="00E0F2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'DASHBOARD'!Q3</f>
            </strRef>
          </tx>
          <spPr>
            <a:solidFill>
              <a:srgbClr val="1F3A5F"/>
            </a:solidFill>
            <a:ln>
              <a:solidFill>
                <a:srgbClr val="1F3A5F"/>
              </a:solidFill>
              <a:prstDash val="solid"/>
            </a:ln>
          </spPr>
          <cat>
            <numRef>
              <f>'DASHBOARD'!$P$4:$P$15</f>
            </numRef>
          </cat>
          <val>
            <numRef>
              <f>'DASHBOARD'!$Q$4:$Q$15</f>
            </numRef>
          </val>
        </ser>
        <ser>
          <idx val="1"/>
          <order val="1"/>
          <tx>
            <strRef>
              <f>'DASHBOARD'!R3</f>
            </strRef>
          </tx>
          <spPr>
            <a:solidFill>
              <a:srgbClr val="E9A23B"/>
            </a:solidFill>
            <a:ln>
              <a:solidFill>
                <a:srgbClr val="E9A23B"/>
              </a:solidFill>
              <a:prstDash val="solid"/>
            </a:ln>
          </spPr>
          <cat>
            <numRef>
              <f>'DASHBOARD'!$P$4:$P$15</f>
            </numRef>
          </cat>
          <val>
            <numRef>
              <f>'DASHBOARD'!$R$4:$R$15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Profit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'DASHBOARD'!S3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'DASHBOARD'!$P$4:$P$15</f>
            </numRef>
          </cat>
          <val>
            <numRef>
              <f>'DASHBOARD'!$S$4:$S$15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Expenses (YTD)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9A23B"/>
            </a:solidFill>
            <a:ln>
              <a:solidFill>
                <a:srgbClr val="E9A23B"/>
              </a:solidFill>
              <a:prstDash val="solid"/>
            </a:ln>
          </spPr>
          <cat>
            <numRef>
              <f>'DASHBOARD'!$P$18:$P$22</f>
            </numRef>
          </cat>
          <val>
            <numRef>
              <f>'DASHBOARD'!$Q$18:$Q$22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AR &amp; AP Aging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'DASHBOARD'!Q24</f>
            </strRef>
          </tx>
          <spPr>
            <a:solidFill>
              <a:srgbClr val="1F3A5F"/>
            </a:solidFill>
            <a:ln>
              <a:solidFill>
                <a:srgbClr val="1F3A5F"/>
              </a:solidFill>
              <a:prstDash val="solid"/>
            </a:ln>
          </spPr>
          <cat>
            <numRef>
              <f>'DASHBOARD'!$P$25:$P$29</f>
            </numRef>
          </cat>
          <val>
            <numRef>
              <f>'DASHBOARD'!$Q$25:$Q$29</f>
            </numRef>
          </val>
        </ser>
        <ser>
          <idx val="1"/>
          <order val="1"/>
          <tx>
            <strRef>
              <f>'DASHBOARD'!R24</f>
            </strRef>
          </tx>
          <spPr>
            <a:solidFill>
              <a:srgbClr val="C2410C"/>
            </a:solidFill>
            <a:ln>
              <a:solidFill>
                <a:srgbClr val="C2410C"/>
              </a:solidFill>
              <a:prstDash val="solid"/>
            </a:ln>
          </spPr>
          <cat>
            <numRef>
              <f>'DASHBOARD'!$P$25:$P$29</f>
            </numRef>
          </cat>
          <val>
            <numRef>
              <f>'DASHBOARD'!$R$25:$R$29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4536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4536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37</row>
      <rowOff>0</rowOff>
    </from>
    <ext cx="4536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37</row>
      <rowOff>0</rowOff>
    </from>
    <ext cx="4536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Transactions" displayName="tblTransactions" ref="B6:AD2006" headerRowCount="1">
  <autoFilter ref="B6:AD2006"/>
  <tableColumns count="29">
    <tableColumn id="2" name="Transaction ID"/>
    <tableColumn id="3" name="Date"/>
    <tableColumn id="4" name="Type"/>
    <tableColumn id="5" name="Category (Account)"/>
    <tableColumn id="6" name="Description"/>
    <tableColumn id="7" name="Customer"/>
    <tableColumn id="8" name="Vendor"/>
    <tableColumn id="9" name="Payment Method"/>
    <tableColumn id="10" name="Reference No. / Invoice # / Bill #"/>
    <tableColumn id="11" name="Paid From / Deposited To"/>
    <tableColumn id="12" name="Amount (incl. tax)"/>
    <tableColumn id="13" name="Tax"/>
    <tableColumn id="14" name="Notes"/>
    <tableColumn id="15" name="Net Amount"/>
    <tableColumn id="16" name="Account Type"/>
    <tableColumn id="17" name="Debit Account"/>
    <tableColumn id="18" name="Credit Account"/>
    <tableColumn id="19" name="Check"/>
    <tableColumn id="20" name="Blank?"/>
    <tableColumn id="21" name="Direction"/>
    <tableColumn id="22" name="Other side"/>
    <tableColumn id="23" name="Tax used"/>
    <tableColumn id="24" name="Error"/>
    <tableColumn id="25" name="Warning"/>
    <tableColumn id="26" name="Posted"/>
    <tableColumn id="27" name="Debit Amt"/>
    <tableColumn id="28" name="Credit Amt"/>
    <tableColumn id="29" name="Tax Debit"/>
    <tableColumn id="30" name="Tax Credit"/>
  </tableColumns>
  <tableStyleInfo name="TableStyleLight1" showRowStripes="0"/>
</table>
</file>

<file path=xl/tables/table2.xml><?xml version="1.0" encoding="utf-8"?>
<table xmlns="http://schemas.openxmlformats.org/spreadsheetml/2006/main" id="2" name="tblInvoices" displayName="tblInvoices" ref="B6:AA506" headerRowCount="1">
  <autoFilter ref="B6:AA506"/>
  <tableColumns count="26">
    <tableColumn id="2" name="Invoice #"/>
    <tableColumn id="3" name="Invoice Date"/>
    <tableColumn id="4" name="Customer"/>
    <tableColumn id="5" name="Description"/>
    <tableColumn id="6" name="Revenue Account"/>
    <tableColumn id="7" name="Amount (incl. tax)"/>
    <tableColumn id="8" name="Tax"/>
    <tableColumn id="9" name="Due Date (optional)"/>
    <tableColumn id="10" name="Due Date Used"/>
    <tableColumn id="11" name="Paid Amount"/>
    <tableColumn id="12" name="Balance"/>
    <tableColumn id="13" name="Status"/>
    <tableColumn id="14" name="Days Outstanding"/>
    <tableColumn id="15" name="Days Overdue"/>
    <tableColumn id="16" name="Aging Bucket"/>
    <tableColumn id="17" name="Check"/>
    <tableColumn id="18" name="Blank?"/>
    <tableColumn id="19" name="Tax used"/>
    <tableColumn id="20" name="Error"/>
    <tableColumn id="21" name="Warning"/>
    <tableColumn id="22" name="Posted"/>
    <tableColumn id="23" name="Debit Account"/>
    <tableColumn id="24" name="Credit Account"/>
    <tableColumn id="25" name="Debit Amt"/>
    <tableColumn id="26" name="Credit Amt"/>
    <tableColumn id="27" name="Tax Amt"/>
  </tableColumns>
  <tableStyleInfo name="TableStyleLight1" showRowStripes="0"/>
</table>
</file>

<file path=xl/tables/table3.xml><?xml version="1.0" encoding="utf-8"?>
<table xmlns="http://schemas.openxmlformats.org/spreadsheetml/2006/main" id="3" name="tblBills" displayName="tblBills" ref="B6:AA506" headerRowCount="1">
  <autoFilter ref="B6:AA506"/>
  <tableColumns count="26">
    <tableColumn id="2" name="Bill #"/>
    <tableColumn id="3" name="Bill Date"/>
    <tableColumn id="4" name="Vendor"/>
    <tableColumn id="5" name="Description"/>
    <tableColumn id="6" name="Expense / Asset Account"/>
    <tableColumn id="7" name="Amount (incl. tax)"/>
    <tableColumn id="8" name="Tax"/>
    <tableColumn id="9" name="Due Date (optional)"/>
    <tableColumn id="10" name="Due Date Used"/>
    <tableColumn id="11" name="Paid Amount"/>
    <tableColumn id="12" name="Balance"/>
    <tableColumn id="13" name="Status"/>
    <tableColumn id="14" name="Days Outstanding"/>
    <tableColumn id="15" name="Days Overdue"/>
    <tableColumn id="16" name="Aging Bucket"/>
    <tableColumn id="17" name="Check"/>
    <tableColumn id="18" name="Blank?"/>
    <tableColumn id="19" name="Tax used"/>
    <tableColumn id="20" name="Error"/>
    <tableColumn id="21" name="Warning"/>
    <tableColumn id="22" name="Posted"/>
    <tableColumn id="23" name="Debit Account"/>
    <tableColumn id="24" name="Credit Account"/>
    <tableColumn id="25" name="Debit Amt"/>
    <tableColumn id="26" name="Credit Amt"/>
    <tableColumn id="27" name="Tax Amt"/>
  </tableColumns>
  <tableStyleInfo name="TableStyleLight1" showRowStripes="0"/>
</table>
</file>

<file path=xl/tables/table4.xml><?xml version="1.0" encoding="utf-8"?>
<table xmlns="http://schemas.openxmlformats.org/spreadsheetml/2006/main" id="4" name="tblCustomers" displayName="tblCustomers" ref="B6:N306" headerRowCount="1">
  <autoFilter ref="B6:N306"/>
  <tableColumns count="13">
    <tableColumn id="2" name="Customer Name"/>
    <tableColumn id="3" name="Contact Person"/>
    <tableColumn id="4" name="Email"/>
    <tableColumn id="5" name="Phone"/>
    <tableColumn id="6" name="Address"/>
    <tableColumn id="7" name="Payment Terms (days)"/>
    <tableColumn id="8" name="Notes"/>
    <tableColumn id="9" name="Total Invoiced"/>
    <tableColumn id="10" name="Paid"/>
    <tableColumn id="11" name="Outstanding"/>
    <tableColumn id="12" name="Overdue"/>
    <tableColumn id="13" name="Check"/>
    <tableColumn id="14" name="Rank key"/>
  </tableColumns>
  <tableStyleInfo name="TableStyleLight1" showRowStripes="0"/>
</table>
</file>

<file path=xl/tables/table5.xml><?xml version="1.0" encoding="utf-8"?>
<table xmlns="http://schemas.openxmlformats.org/spreadsheetml/2006/main" id="5" name="tblVendors" displayName="tblVendors" ref="B6:N306" headerRowCount="1">
  <autoFilter ref="B6:N306"/>
  <tableColumns count="13">
    <tableColumn id="2" name="Vendor Name"/>
    <tableColumn id="3" name="Contact Person"/>
    <tableColumn id="4" name="Email"/>
    <tableColumn id="5" name="Phone"/>
    <tableColumn id="6" name="Address"/>
    <tableColumn id="7" name="Payment Terms (days)"/>
    <tableColumn id="8" name="Notes"/>
    <tableColumn id="9" name="Total Billed"/>
    <tableColumn id="10" name="Paid"/>
    <tableColumn id="11" name="Outstanding"/>
    <tableColumn id="12" name="Overdue"/>
    <tableColumn id="13" name="Check"/>
    <tableColumn id="14" name="Rank key"/>
  </tableColumns>
  <tableStyleInfo name="TableStyleLight1" showRowStripes="0"/>
</table>
</file>

<file path=xl/tables/table6.xml><?xml version="1.0" encoding="utf-8"?>
<table xmlns="http://schemas.openxmlformats.org/spreadsheetml/2006/main" id="6" name="tblAccounts" displayName="tblAccounts" ref="B6:N156" headerRowCount="1">
  <autoFilter ref="B6:N156"/>
  <tableColumns count="13">
    <tableColumn id="2" name="Code"/>
    <tableColumn id="3" name="Account Name"/>
    <tableColumn id="4" name="Account Type"/>
    <tableColumn id="5" name="Normal Balance"/>
    <tableColumn id="6" name="Cash Flow Section"/>
    <tableColumn id="7" name="Payment Account?"/>
    <tableColumn id="8" name="Active?"/>
    <tableColumn id="9" name="Opening Balance"/>
    <tableColumn id="10" name="Description"/>
    <tableColumn id="11" name="Balance at Report Date"/>
    <tableColumn id="12" name="Check"/>
    <tableColumn id="13" name="Active #"/>
    <tableColumn id="14" name="Payment #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tabColor rgb="002A9D8F"/>
    <outlinePr summaryBelow="1" summaryRight="1"/>
    <pageSetUpPr/>
  </sheetPr>
  <dimension ref="B2:H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SimpleLedger</t>
        </is>
      </c>
    </row>
    <row r="3">
      <c r="B3" s="2" t="inlineStr">
        <is>
          <t>Small Business Accounting Workbook</t>
        </is>
      </c>
    </row>
    <row r="4">
      <c r="B4" s="3" t="inlineStr">
        <is>
          <t>Know where your money goes, know how much you earn, and understand your business finances from one simple Excel workbook.</t>
        </is>
      </c>
    </row>
    <row r="5">
      <c r="B5" s="4">
        <f>"Workbook for: "&amp;BizName</f>
        <v/>
      </c>
    </row>
    <row r="6">
      <c r="B6" s="5" t="n"/>
      <c r="C6" s="5" t="n"/>
      <c r="D6" s="5" t="n"/>
      <c r="E6" s="5" t="n"/>
      <c r="F6" s="5" t="n"/>
      <c r="G6" s="5" t="n"/>
      <c r="H6" s="5" t="n"/>
    </row>
    <row r="8">
      <c r="B8" s="6" t="inlineStr">
        <is>
          <t>QUICK START</t>
        </is>
      </c>
    </row>
    <row r="9" ht="28" customHeight="1">
      <c r="B9" s="7">
        <f>HYPERLINK("#SETUP!A1","1 · Setup")</f>
        <v/>
      </c>
      <c r="C9" s="7">
        <f>HYPERLINK("#TRANSACTIONS!A1","2 · Record")</f>
        <v/>
      </c>
      <c r="D9" s="7">
        <f>HYPERLINK("#DASHBOARD!A1","3 · Dashboard")</f>
        <v/>
      </c>
      <c r="E9" s="8">
        <f>HYPERLINK("#PNL!A1","Profit &amp; Loss")</f>
        <v/>
      </c>
      <c r="F9" s="8">
        <f>HYPERLINK("#BALANCE_SHEET!A1","Balance Sheet")</f>
        <v/>
      </c>
      <c r="G9" s="8">
        <f>HYPERLINK("#CASH_FLOW!A1","Cash Flow")</f>
        <v/>
      </c>
      <c r="H9" s="8">
        <f>HYPERLINK("#HELP!A1","Help")</f>
        <v/>
      </c>
    </row>
    <row r="10" ht="22" customHeight="1">
      <c r="B10" s="9">
        <f>HYPERLINK("#AR!A1","Invoices (AR)")</f>
        <v/>
      </c>
      <c r="C10" s="9">
        <f>HYPERLINK("#AP!A1","Bills (AP)")</f>
        <v/>
      </c>
      <c r="D10" s="9">
        <f>HYPERLINK("#CUSTOMERS!A1","Customers")</f>
        <v/>
      </c>
      <c r="E10" s="9">
        <f>HYPERLINK("#VENDORS!A1","Vendors")</f>
        <v/>
      </c>
      <c r="F10" s="9">
        <f>HYPERLINK("#COA!A1","Accounts")</f>
        <v/>
      </c>
      <c r="G10" s="9">
        <f>HYPERLINK("#MONTHLY_SUMMARY!A1","Monthly")</f>
        <v/>
      </c>
      <c r="H10" s="9">
        <f>HYPERLINK("#LEDGER!A1","Ledger")</f>
        <v/>
      </c>
    </row>
    <row r="12">
      <c r="B12" s="6" t="inlineStr">
        <is>
          <t>YOUR WORKFLOW</t>
        </is>
      </c>
    </row>
    <row r="13">
      <c r="B13" s="10" t="inlineStr">
        <is>
          <t>1. Read this page</t>
        </is>
      </c>
      <c r="D13" s="11" t="inlineStr">
        <is>
          <t>Two minutes. It tells you where everything is.</t>
        </is>
      </c>
    </row>
    <row r="14">
      <c r="B14" s="10" t="inlineStr">
        <is>
          <t>2. Complete SETUP</t>
        </is>
      </c>
      <c r="D14" s="11" t="inlineStr">
        <is>
          <t>Business name, start date, currency, beginning cash and bank balances.</t>
        </is>
      </c>
    </row>
    <row r="15">
      <c r="B15" s="10" t="inlineStr">
        <is>
          <t>3. Add customers and vendors</t>
        </is>
      </c>
      <c r="D15" s="11" t="inlineStr">
        <is>
          <t>Optional but recommended: CUSTOMERS and VENDORS sheets.</t>
        </is>
      </c>
    </row>
    <row r="16">
      <c r="B16" s="10" t="inlineStr">
        <is>
          <t>4. Record transactions</t>
        </is>
      </c>
      <c r="D16" s="11" t="inlineStr">
        <is>
          <t>Every sale, expense, payment and transfer — one row each on TRANSACTIONS.</t>
        </is>
      </c>
    </row>
    <row r="17">
      <c r="B17" s="10" t="inlineStr">
        <is>
          <t>5. Record credit sales and unpaid bills</t>
        </is>
      </c>
      <c r="D17" s="11" t="inlineStr">
        <is>
          <t>Invoices you will be paid for later → AR. Bills you will pay later → AP.</t>
        </is>
      </c>
    </row>
    <row r="18">
      <c r="B18" s="10" t="inlineStr">
        <is>
          <t>6. Review the DASHBOARD</t>
        </is>
      </c>
      <c r="D18" s="11" t="inlineStr">
        <is>
          <t>Pick the month at the top. Revenue, expenses, profit and cash update automatically.</t>
        </is>
      </c>
    </row>
    <row r="19">
      <c r="B19" s="10" t="inlineStr">
        <is>
          <t>7. Review monthly reports</t>
        </is>
      </c>
      <c r="D19" s="11" t="inlineStr">
        <is>
          <t>Profit &amp; Loss, Balance Sheet, Cash Flow, Monthly Summary.</t>
        </is>
      </c>
    </row>
    <row r="20">
      <c r="B20" s="10" t="inlineStr">
        <is>
          <t>8. Fix warnings</t>
        </is>
      </c>
      <c r="D20" s="11" t="inlineStr">
        <is>
          <t>The Dashboard's Data Health box lists anything that needs attention (⛔ / ⚠).</t>
        </is>
      </c>
    </row>
    <row r="21">
      <c r="B21" s="10" t="inlineStr">
        <is>
          <t>9. Export / share</t>
        </is>
      </c>
      <c r="D21" s="11" t="inlineStr">
        <is>
          <t>File → Print or Save as PDF on any report sheet. Reports are print-ready.</t>
        </is>
      </c>
    </row>
    <row r="23">
      <c r="B23" s="6" t="inlineStr">
        <is>
          <t>COLOUR GUIDE</t>
        </is>
      </c>
    </row>
    <row r="24">
      <c r="B24" s="12" t="inlineStr">
        <is>
          <t>Yellow cell</t>
        </is>
      </c>
      <c r="C24" s="11" t="inlineStr">
        <is>
          <t>A setting you fill in (SETUP, LISTS, report filters).</t>
        </is>
      </c>
    </row>
    <row r="25">
      <c r="B25" s="13" t="inlineStr">
        <is>
          <t>White table column</t>
        </is>
      </c>
      <c r="C25" s="11" t="inlineStr">
        <is>
          <t>Where you type your data (dark-blue header).</t>
        </is>
      </c>
    </row>
    <row r="26">
      <c r="B26" s="14" t="inlineStr">
        <is>
          <t>Grey cell / column</t>
        </is>
      </c>
      <c r="C26" s="11" t="inlineStr">
        <is>
          <t>Automatic. Calculated for you — do not type here.</t>
        </is>
      </c>
    </row>
    <row r="27">
      <c r="B27" s="15" t="inlineStr">
        <is>
          <t>⛔ Error</t>
        </is>
      </c>
      <c r="C27" s="11" t="inlineStr">
        <is>
          <t>The row is NOT included in reports until you fix it.</t>
        </is>
      </c>
    </row>
    <row r="28">
      <c r="B28" s="16" t="inlineStr">
        <is>
          <t>⚠ Warning</t>
        </is>
      </c>
      <c r="C28" s="11" t="inlineStr">
        <is>
          <t>Included in reports, but please double-check.</t>
        </is>
      </c>
    </row>
    <row r="29">
      <c r="B29" s="17" t="inlineStr">
        <is>
          <t>✓ OK</t>
        </is>
      </c>
      <c r="C29" s="11" t="inlineStr">
        <is>
          <t>All good.</t>
        </is>
      </c>
    </row>
    <row r="31">
      <c r="B31" s="6" t="inlineStr">
        <is>
          <t>GOOD TO KNOW</t>
        </is>
      </c>
    </row>
    <row r="32">
      <c r="B32" s="11" t="inlineStr">
        <is>
          <t>•  Everything is calculated from three input sheets: TRANSACTIONS, AR and AP. Reports never need typing.</t>
        </is>
      </c>
    </row>
    <row r="33">
      <c r="B33" s="11" t="inlineStr">
        <is>
          <t>•  No accounting knowledge needed: choose a Type (Money In / Money Out …) and a Category. Debits and credits are automatic.</t>
        </is>
      </c>
    </row>
    <row r="34">
      <c r="B34" s="11" t="inlineStr">
        <is>
          <t>•  Don't delete or rename sheets. Don't type over grey cells. Most report sheets are protected (no password) to prevent accidents.</t>
        </is>
      </c>
    </row>
    <row r="35">
      <c r="B35" s="11" t="inlineStr">
        <is>
          <t>•  Capacity: 2,000 transactions, 500 invoices and 500 bills per workbook — plenty for a typical small business year. Start a fresh copy each fiscal year.</t>
        </is>
      </c>
    </row>
    <row r="36">
      <c r="B36" s="11" t="inlineStr">
        <is>
          <t>•  Keep a backup: save a dated copy at the end of every month (e.g. Books-2026-09.xlsx).</t>
        </is>
      </c>
    </row>
    <row r="37">
      <c r="B37" s="11" t="inlineStr">
        <is>
          <t>•  Requires Microsoft Excel 2010 or later (Windows or Mac) or Microsoft 365. No macros.</t>
        </is>
      </c>
    </row>
    <row r="39">
      <c r="B39" s="18" t="inlineStr">
        <is>
          <t>SimpleLedger v1.0.0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30" customWidth="1" min="3" max="3"/>
    <col width="70" customWidth="1" min="4" max="4"/>
  </cols>
  <sheetData>
    <row r="1" ht="26" customHeight="1">
      <c r="B1" s="19" t="inlineStr">
        <is>
          <t>Setup</t>
        </is>
      </c>
    </row>
    <row r="2">
      <c r="B2" s="20" t="inlineStr">
        <is>
          <t>Fill in the yellow cells once. Everything else in the workbook reads from here.</t>
        </is>
      </c>
    </row>
    <row r="3">
      <c r="B3" s="21" t="n"/>
      <c r="C3" s="21" t="n"/>
      <c r="D3" s="21" t="n"/>
      <c r="E3" s="21" t="n"/>
    </row>
    <row r="5">
      <c r="B5" s="6" t="inlineStr">
        <is>
          <t>BUSINESS DETAILS</t>
        </is>
      </c>
    </row>
    <row r="6">
      <c r="B6" s="11" t="inlineStr">
        <is>
          <t>Business name</t>
        </is>
      </c>
      <c r="C6" s="22" t="inlineStr">
        <is>
          <t>Sunrise Bakery &amp; Café</t>
        </is>
      </c>
      <c r="D6" s="23" t="inlineStr">
        <is>
          <t>Shown on every report header.</t>
        </is>
      </c>
    </row>
    <row r="7">
      <c r="B7" s="11" t="inlineStr">
        <is>
          <t>Business type</t>
        </is>
      </c>
      <c r="C7" s="22" t="inlineStr">
        <is>
          <t>Food &amp; Beverage</t>
        </is>
      </c>
      <c r="D7" s="23" t="inlineStr">
        <is>
          <t>Pick the closest match.</t>
        </is>
      </c>
    </row>
    <row r="8">
      <c r="B8" s="11" t="inlineStr">
        <is>
          <t>Owner name</t>
        </is>
      </c>
      <c r="C8" s="22" t="inlineStr">
        <is>
          <t>Maria Santos</t>
        </is>
      </c>
      <c r="D8" s="23" t="inlineStr"/>
    </row>
    <row r="9">
      <c r="B9" s="11" t="inlineStr">
        <is>
          <t>Business address</t>
        </is>
      </c>
      <c r="C9" s="22" t="inlineStr">
        <is>
          <t>123 Mabini St., Quezon City</t>
        </is>
      </c>
      <c r="D9" s="23" t="inlineStr"/>
    </row>
    <row r="10">
      <c r="B10" s="11" t="inlineStr">
        <is>
          <t>Email</t>
        </is>
      </c>
      <c r="C10" s="22" t="inlineStr">
        <is>
          <t>hello@sunrisebakery.example</t>
        </is>
      </c>
      <c r="D10" s="23" t="inlineStr"/>
    </row>
    <row r="11">
      <c r="B11" s="11" t="inlineStr">
        <is>
          <t>Phone</t>
        </is>
      </c>
      <c r="C11" s="22" t="inlineStr">
        <is>
          <t>0917 555 0100</t>
        </is>
      </c>
      <c r="D11" s="23" t="inlineStr"/>
    </row>
    <row r="13">
      <c r="B13" s="6" t="inlineStr">
        <is>
          <t>ACCOUNTING SETTINGS</t>
        </is>
      </c>
    </row>
    <row r="14">
      <c r="B14" s="11" t="inlineStr">
        <is>
          <t>Accounting start date</t>
        </is>
      </c>
      <c r="C14" s="24" t="n">
        <v>46023</v>
      </c>
      <c r="D14" s="23" t="inlineStr">
        <is>
          <t>The day you start recording in this workbook. Opening balances are as of this date.</t>
        </is>
      </c>
    </row>
    <row r="15">
      <c r="B15" s="11" t="inlineStr">
        <is>
          <t>Fiscal year starts in</t>
        </is>
      </c>
      <c r="C15" s="22" t="inlineStr">
        <is>
          <t>January</t>
        </is>
      </c>
      <c r="D15" s="23" t="inlineStr">
        <is>
          <t>Most small businesses use January (calendar year).</t>
        </is>
      </c>
    </row>
    <row r="16">
      <c r="B16" s="11" t="inlineStr">
        <is>
          <t>Currency (code or symbol)</t>
        </is>
      </c>
      <c r="C16" s="22" t="inlineStr">
        <is>
          <t>PHP</t>
        </is>
      </c>
      <c r="D16" s="23" t="inlineStr">
        <is>
          <t>Used in report headings, e.g. PHP, USD, ₱, $.</t>
        </is>
      </c>
    </row>
    <row r="17">
      <c r="B17" s="11" t="inlineStr">
        <is>
          <t>Beginning cash on hand</t>
        </is>
      </c>
      <c r="C17" s="25" t="n">
        <v>15000</v>
      </c>
      <c r="D17" s="23" t="inlineStr">
        <is>
          <t>Cash you physically had on the start date. Posts to 'Cash on Hand'.</t>
        </is>
      </c>
    </row>
    <row r="18">
      <c r="B18" s="11" t="inlineStr">
        <is>
          <t>Beginning bank balance</t>
        </is>
      </c>
      <c r="C18" s="25" t="n">
        <v>285000</v>
      </c>
      <c r="D18" s="23" t="inlineStr">
        <is>
          <t>Bank balance on the start date. Posts to 'Bank Account'. Other opening balances: COA sheet.</t>
        </is>
      </c>
    </row>
    <row r="19">
      <c r="B19" s="11" t="inlineStr">
        <is>
          <t>Default payment terms (days)</t>
        </is>
      </c>
      <c r="C19" s="26" t="n">
        <v>30</v>
      </c>
      <c r="D19" s="23" t="inlineStr">
        <is>
          <t>Used for invoice/bill due dates when you leave Due Date blank.</t>
        </is>
      </c>
    </row>
    <row r="21">
      <c r="B21" s="6" t="inlineStr">
        <is>
          <t>TAX SETTINGS</t>
        </is>
      </c>
    </row>
    <row r="22">
      <c r="B22" s="11" t="inlineStr">
        <is>
          <t>Track VAT / sales tax separately?</t>
        </is>
      </c>
      <c r="C22" s="22" t="inlineStr">
        <is>
          <t>Yes</t>
        </is>
      </c>
      <c r="D22" s="23" t="inlineStr">
        <is>
          <t>Yes = the Tax column is posted to the Tax Payable account. No = tax columns are ignored.</t>
        </is>
      </c>
    </row>
    <row r="23">
      <c r="B23" s="11" t="inlineStr">
        <is>
          <t>Tax name</t>
        </is>
      </c>
      <c r="C23" s="22" t="inlineStr">
        <is>
          <t>VAT</t>
        </is>
      </c>
      <c r="D23" s="23" t="inlineStr">
        <is>
          <t>e.g. VAT, GST, Sales Tax. Used in labels only.</t>
        </is>
      </c>
    </row>
    <row r="25">
      <c r="B25" s="6" t="inlineStr">
        <is>
          <t>REPORT PERIOD  (automatic — choose the month on the Dashboard)</t>
        </is>
      </c>
      <c r="D25" s="27">
        <f>HYPERLINK("#DASHBOARD!C5","→ Change report month on the Dashboard")</f>
        <v/>
      </c>
    </row>
    <row r="26">
      <c r="B26" s="4" t="inlineStr">
        <is>
          <t>Report year</t>
        </is>
      </c>
      <c r="C26" s="28">
        <f>IF(ISNUMBER(RptYearIn),RptYearIn,YEAR(TODAY()))</f>
        <v/>
      </c>
    </row>
    <row r="27">
      <c r="B27" s="4" t="inlineStr">
        <is>
          <t>Report month (1-12)</t>
        </is>
      </c>
      <c r="C27" s="28">
        <f>IFERROR(MATCH(RptMonthIn,lstMonths,0),MONTH(TODAY()))</f>
        <v/>
      </c>
    </row>
    <row r="28">
      <c r="B28" s="4" t="inlineStr">
        <is>
          <t>Report period start</t>
        </is>
      </c>
      <c r="C28" s="29">
        <f>DATE(RptYear,RptMonth,1)</f>
        <v/>
      </c>
    </row>
    <row r="29">
      <c r="B29" s="4" t="inlineStr">
        <is>
          <t>Report period end (as-of date)</t>
        </is>
      </c>
      <c r="C29" s="29">
        <f>EOMONTH(RptStart,0)</f>
        <v/>
      </c>
    </row>
    <row r="30">
      <c r="B30" s="4" t="inlineStr">
        <is>
          <t>Fiscal year start month (1-12)</t>
        </is>
      </c>
      <c r="C30" s="28">
        <f>IFERROR(MATCH(FYStartMonthName,lstMonths,0),1)</f>
        <v/>
      </c>
    </row>
    <row r="31">
      <c r="B31" s="4" t="inlineStr">
        <is>
          <t>Fiscal year start</t>
        </is>
      </c>
      <c r="C31" s="29">
        <f>DATE(RptYear-IF(RptMonth&lt;FYStartMonth,1,0),FYStartMonth,1)</f>
        <v/>
      </c>
    </row>
    <row r="32">
      <c r="B32" s="4" t="inlineStr">
        <is>
          <t>Fiscal year end</t>
        </is>
      </c>
      <c r="C32" s="29">
        <f>EDATE(FYStart,12)-1</f>
        <v/>
      </c>
    </row>
    <row r="33">
      <c r="B33" s="4" t="inlineStr">
        <is>
          <t>Fiscal year start (year*12+month)</t>
        </is>
      </c>
      <c r="C33" s="28">
        <f>YEAR(FYStart)*12+MONTH(FYStart)</f>
        <v/>
      </c>
    </row>
    <row r="34">
      <c r="B34" s="4" t="inlineStr">
        <is>
          <t>Report month number within fiscal year</t>
        </is>
      </c>
      <c r="C34" s="28">
        <f>YEAR(RptStart)*12+MONTH(RptStart)-FYYM+1</f>
        <v/>
      </c>
    </row>
    <row r="35">
      <c r="B35" s="4" t="inlineStr">
        <is>
          <t>Previous month start</t>
        </is>
      </c>
      <c r="C35" s="29">
        <f>EDATE(RptStart,-1)</f>
        <v/>
      </c>
    </row>
    <row r="36">
      <c r="B36" s="4" t="inlineStr">
        <is>
          <t>Previous month end</t>
        </is>
      </c>
      <c r="C36" s="29">
        <f>RptStart-1</f>
        <v/>
      </c>
    </row>
    <row r="37">
      <c r="B37" s="4" t="inlineStr">
        <is>
          <t>Default terms used</t>
        </is>
      </c>
      <c r="C37" s="28">
        <f>IF(ISNUMBER(DefaultTerms),DefaultTerms,30)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7">
    <dataValidation sqref="C7" showDropDown="0" showInputMessage="0" showErrorMessage="1" allowBlank="1" errorTitle="Please pick from the list" error="Choose a value from the dropdown." type="list" errorStyle="stop">
      <formula1>=lstBizTypes</formula1>
    </dataValidation>
    <dataValidation sqref="C14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C15" showDropDown="0" showInputMessage="0" showErrorMessage="1" allowBlank="1" errorTitle="Please pick from the list" error="Choose a value from the dropdown." type="list" errorStyle="stop">
      <formula1>=lstMonths</formula1>
    </dataValidation>
    <dataValidation sqref="C17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C18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C19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C22" showDropDown="0" showInputMessage="0" showErrorMessage="1" allowBlank="1" errorTitle="Please pick from the list" error="Choose a value from the dropdown." type="list" errorStyle="stop">
      <formula1>=lstYesNo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S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3" customWidth="1" min="14" max="14"/>
    <col width="2" customWidth="1" min="15" max="15"/>
    <col width="26" customWidth="1" min="16" max="16"/>
    <col width="13" customWidth="1" min="17" max="17"/>
    <col width="13" customWidth="1" min="18" max="18"/>
    <col width="13" customWidth="1" min="19" max="19"/>
  </cols>
  <sheetData>
    <row r="1">
      <c r="B1" s="30" t="inlineStr">
        <is>
          <t>Financial Dashboard</t>
        </is>
      </c>
      <c r="P1" s="31" t="inlineStr">
        <is>
          <t>Chart data (automatic)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P3" s="31" t="inlineStr">
        <is>
          <t>Month</t>
        </is>
      </c>
      <c r="Q3" s="31" t="inlineStr">
        <is>
          <t>Revenue</t>
        </is>
      </c>
      <c r="R3" s="31" t="inlineStr">
        <is>
          <t>Expenses</t>
        </is>
      </c>
      <c r="S3" s="31" t="inlineStr">
        <is>
          <t>Net Profit</t>
        </is>
      </c>
    </row>
    <row r="4">
      <c r="P4" s="33">
        <f>MONTHLY_SUMMARY!B7</f>
        <v/>
      </c>
      <c r="Q4" s="34">
        <f>MONTHLY_SUMMARY!C7</f>
        <v/>
      </c>
      <c r="R4" s="34">
        <f>MONTHLY_SUMMARY!C7-MONTHLY_SUMMARY!H7</f>
        <v/>
      </c>
      <c r="S4" s="34">
        <f>MONTHLY_SUMMARY!H7</f>
        <v/>
      </c>
    </row>
    <row r="5">
      <c r="B5" s="35" t="inlineStr">
        <is>
          <t>Report month</t>
        </is>
      </c>
      <c r="C5" s="22" t="inlineStr">
        <is>
          <t>September</t>
        </is>
      </c>
      <c r="E5" s="36" t="inlineStr">
        <is>
          <t>Year</t>
        </is>
      </c>
      <c r="F5" s="26" t="n">
        <v>2026</v>
      </c>
      <c r="H5" s="23">
        <f>"Period: "&amp;TEXT(RptStart,"mmmm yyyy")&amp;"   ·   Year to date from "&amp;TEXT(FYStart,"dd mmm yyyy")&amp;"   ·   "&amp;Currency</f>
        <v/>
      </c>
      <c r="P5" s="33">
        <f>MONTHLY_SUMMARY!B8</f>
        <v/>
      </c>
      <c r="Q5" s="34">
        <f>MONTHLY_SUMMARY!C8</f>
        <v/>
      </c>
      <c r="R5" s="34">
        <f>MONTHLY_SUMMARY!C8-MONTHLY_SUMMARY!H8</f>
        <v/>
      </c>
      <c r="S5" s="34">
        <f>MONTHLY_SUMMARY!H8</f>
        <v/>
      </c>
    </row>
    <row r="6">
      <c r="P6" s="33">
        <f>MONTHLY_SUMMARY!B9</f>
        <v/>
      </c>
      <c r="Q6" s="34">
        <f>MONTHLY_SUMMARY!C9</f>
        <v/>
      </c>
      <c r="R6" s="34">
        <f>MONTHLY_SUMMARY!C9-MONTHLY_SUMMARY!H9</f>
        <v/>
      </c>
      <c r="S6" s="34">
        <f>MONTHLY_SUMMARY!H9</f>
        <v/>
      </c>
    </row>
    <row r="7" ht="18" customHeight="1">
      <c r="B7" s="37" t="inlineStr">
        <is>
          <t>REVENUE · THIS MONTH</t>
        </is>
      </c>
      <c r="C7" s="38" t="n"/>
      <c r="D7" s="38" t="n"/>
      <c r="E7" s="39" t="inlineStr">
        <is>
          <t>EXPENSES · THIS MONTH</t>
        </is>
      </c>
      <c r="F7" s="38" t="n"/>
      <c r="G7" s="38" t="n"/>
      <c r="H7" s="40" t="inlineStr">
        <is>
          <t>NET PROFIT · THIS MONTH</t>
        </is>
      </c>
      <c r="I7" s="38" t="n"/>
      <c r="J7" s="38" t="n"/>
      <c r="K7" s="41" t="inlineStr">
        <is>
          <t>CASH BALANCE · MONTH END</t>
        </is>
      </c>
      <c r="L7" s="38" t="n"/>
      <c r="M7" s="38" t="n"/>
      <c r="P7" s="33">
        <f>MONTHLY_SUMMARY!B10</f>
        <v/>
      </c>
      <c r="Q7" s="34">
        <f>MONTHLY_SUMMARY!C10</f>
        <v/>
      </c>
      <c r="R7" s="34">
        <f>MONTHLY_SUMMARY!C10-MONTHLY_SUMMARY!H10</f>
        <v/>
      </c>
      <c r="S7" s="34">
        <f>MONTHLY_SUMMARY!H10</f>
        <v/>
      </c>
    </row>
    <row r="8" ht="30" customHeight="1">
      <c r="B8" s="42">
        <f>PL_Rev_Cur</f>
        <v/>
      </c>
      <c r="C8" s="38" t="n"/>
      <c r="D8" s="38" t="n"/>
      <c r="E8" s="43">
        <f>PL_COS_Cur+PL_Opex_Cur+PL_OthExp_Cur</f>
        <v/>
      </c>
      <c r="F8" s="38" t="n"/>
      <c r="G8" s="38" t="n"/>
      <c r="H8" s="44">
        <f>PL_Net_Cur</f>
        <v/>
      </c>
      <c r="I8" s="38" t="n"/>
      <c r="J8" s="38" t="n"/>
      <c r="K8" s="45">
        <f>CF_End_Cur</f>
        <v/>
      </c>
      <c r="L8" s="38" t="n"/>
      <c r="M8" s="38" t="n"/>
      <c r="P8" s="33">
        <f>MONTHLY_SUMMARY!B11</f>
        <v/>
      </c>
      <c r="Q8" s="34">
        <f>MONTHLY_SUMMARY!C11</f>
        <v/>
      </c>
      <c r="R8" s="34">
        <f>MONTHLY_SUMMARY!C11-MONTHLY_SUMMARY!H11</f>
        <v/>
      </c>
      <c r="S8" s="34">
        <f>MONTHLY_SUMMARY!H11</f>
        <v/>
      </c>
    </row>
    <row r="9" ht="18" customHeight="1">
      <c r="B9" s="46">
        <f>"Year to date: "&amp;TEXT(PL_Rev_YTD,"#,##0")</f>
        <v/>
      </c>
      <c r="C9" s="38" t="n"/>
      <c r="D9" s="38" t="n"/>
      <c r="E9" s="47">
        <f>"Year to date: "&amp;TEXT(PL_COS_YTD+PL_Opex_YTD+PL_OthExp_YTD,"#,##0")</f>
        <v/>
      </c>
      <c r="F9" s="38" t="n"/>
      <c r="G9" s="38" t="n"/>
      <c r="H9" s="48">
        <f>"Year to date: "&amp;TEXT(PL_Net_YTD,"#,##0;(#,##0)")</f>
        <v/>
      </c>
      <c r="I9" s="38" t="n"/>
      <c r="J9" s="38" t="n"/>
      <c r="K9" s="49">
        <f>"Change this month: "&amp;TEXT(CF_Net_Cur,"+#,##0;-#,##0;0")</f>
        <v/>
      </c>
      <c r="L9" s="38" t="n"/>
      <c r="M9" s="38" t="n"/>
      <c r="P9" s="33">
        <f>MONTHLY_SUMMARY!B12</f>
        <v/>
      </c>
      <c r="Q9" s="34">
        <f>MONTHLY_SUMMARY!C12</f>
        <v/>
      </c>
      <c r="R9" s="34">
        <f>MONTHLY_SUMMARY!C12-MONTHLY_SUMMARY!H12</f>
        <v/>
      </c>
      <c r="S9" s="34">
        <f>MONTHLY_SUMMARY!H12</f>
        <v/>
      </c>
    </row>
    <row r="10">
      <c r="P10" s="33">
        <f>MONTHLY_SUMMARY!B13</f>
        <v/>
      </c>
      <c r="Q10" s="34">
        <f>MONTHLY_SUMMARY!C13</f>
        <v/>
      </c>
      <c r="R10" s="34">
        <f>MONTHLY_SUMMARY!C13-MONTHLY_SUMMARY!H13</f>
        <v/>
      </c>
      <c r="S10" s="34">
        <f>MONTHLY_SUMMARY!H13</f>
        <v/>
      </c>
    </row>
    <row r="11" ht="18" customHeight="1">
      <c r="B11" s="37" t="inlineStr">
        <is>
          <t>RECEIVABLES · CUSTOMERS OWE YOU</t>
        </is>
      </c>
      <c r="C11" s="38" t="n"/>
      <c r="D11" s="38" t="n"/>
      <c r="E11" s="39" t="inlineStr">
        <is>
          <t>PAYABLES · YOU OWE SUPPLIERS</t>
        </is>
      </c>
      <c r="F11" s="38" t="n"/>
      <c r="G11" s="38" t="n"/>
      <c r="H11" s="40" t="inlineStr">
        <is>
          <t>GROSS MARGIN · YEAR TO DATE</t>
        </is>
      </c>
      <c r="I11" s="38" t="n"/>
      <c r="J11" s="38" t="n"/>
      <c r="K11" s="41" t="inlineStr">
        <is>
          <t>NET MARGIN · YEAR TO DATE</t>
        </is>
      </c>
      <c r="L11" s="38" t="n"/>
      <c r="M11" s="38" t="n"/>
      <c r="P11" s="33">
        <f>MONTHLY_SUMMARY!B14</f>
        <v/>
      </c>
      <c r="Q11" s="34">
        <f>MONTHLY_SUMMARY!C14</f>
        <v/>
      </c>
      <c r="R11" s="34">
        <f>MONTHLY_SUMMARY!C14-MONTHLY_SUMMARY!H14</f>
        <v/>
      </c>
      <c r="S11" s="34">
        <f>MONTHLY_SUMMARY!H14</f>
        <v/>
      </c>
    </row>
    <row r="12" ht="30" customHeight="1">
      <c r="B12" s="42">
        <f>SUMIFS(calc_Bal,calc_Name,acctAR)</f>
        <v/>
      </c>
      <c r="C12" s="38" t="n"/>
      <c r="D12" s="38" t="n"/>
      <c r="E12" s="43">
        <f>-SUMIFS(calc_Bal,calc_Name,acctAP)</f>
        <v/>
      </c>
      <c r="F12" s="38" t="n"/>
      <c r="G12" s="38" t="n"/>
      <c r="H12" s="50">
        <f>IF(PL_GM_YTD="","",PL_GM_YTD)</f>
        <v/>
      </c>
      <c r="I12" s="38" t="n"/>
      <c r="J12" s="38" t="n"/>
      <c r="K12" s="51">
        <f>IF(PL_NM_YTD="","",PL_NM_YTD)</f>
        <v/>
      </c>
      <c r="L12" s="38" t="n"/>
      <c r="M12" s="38" t="n"/>
      <c r="P12" s="33">
        <f>MONTHLY_SUMMARY!B15</f>
        <v/>
      </c>
      <c r="Q12" s="34">
        <f>MONTHLY_SUMMARY!C15</f>
        <v/>
      </c>
      <c r="R12" s="34">
        <f>MONTHLY_SUMMARY!C15-MONTHLY_SUMMARY!H15</f>
        <v/>
      </c>
      <c r="S12" s="34">
        <f>MONTHLY_SUMMARY!H15</f>
        <v/>
      </c>
    </row>
    <row r="13" ht="18" customHeight="1">
      <c r="B13" s="46">
        <f>"Overdue: "&amp;TEXT(SUMIFS(ar_Balance,ar_Status,"Overdue"),"#,##0")</f>
        <v/>
      </c>
      <c r="C13" s="38" t="n"/>
      <c r="D13" s="38" t="n"/>
      <c r="E13" s="47">
        <f>"Overdue: "&amp;TEXT(SUMIFS(ap_Balance,ap_Status,"Overdue"),"#,##0")</f>
        <v/>
      </c>
      <c r="F13" s="38" t="n"/>
      <c r="G13" s="38" t="n"/>
      <c r="H13" s="48">
        <f>"This month: "&amp;IF(PL_GM_Cur="","-",TEXT(PL_GM_Cur,"0.0%"))</f>
        <v/>
      </c>
      <c r="I13" s="38" t="n"/>
      <c r="J13" s="38" t="n"/>
      <c r="K13" s="49">
        <f>"This month: "&amp;IF(PL_NM_Cur="","-",TEXT(PL_NM_Cur,"0.0%"))</f>
        <v/>
      </c>
      <c r="L13" s="38" t="n"/>
      <c r="M13" s="38" t="n"/>
      <c r="P13" s="33">
        <f>MONTHLY_SUMMARY!B16</f>
        <v/>
      </c>
      <c r="Q13" s="34">
        <f>MONTHLY_SUMMARY!C16</f>
        <v/>
      </c>
      <c r="R13" s="34">
        <f>MONTHLY_SUMMARY!C16-MONTHLY_SUMMARY!H16</f>
        <v/>
      </c>
      <c r="S13" s="34">
        <f>MONTHLY_SUMMARY!H16</f>
        <v/>
      </c>
    </row>
    <row r="14">
      <c r="P14" s="33">
        <f>MONTHLY_SUMMARY!B17</f>
        <v/>
      </c>
      <c r="Q14" s="34">
        <f>MONTHLY_SUMMARY!C17</f>
        <v/>
      </c>
      <c r="R14" s="34">
        <f>MONTHLY_SUMMARY!C17-MONTHLY_SUMMARY!H17</f>
        <v/>
      </c>
      <c r="S14" s="34">
        <f>MONTHLY_SUMMARY!H17</f>
        <v/>
      </c>
    </row>
    <row r="15">
      <c r="B15" s="6" t="inlineStr">
        <is>
          <t>DATA HEALTH</t>
        </is>
      </c>
      <c r="P15" s="33">
        <f>MONTHLY_SUMMARY!B18</f>
        <v/>
      </c>
      <c r="Q15" s="34">
        <f>MONTHLY_SUMMARY!C18</f>
        <v/>
      </c>
      <c r="R15" s="34">
        <f>MONTHLY_SUMMARY!C18-MONTHLY_SUMMARY!H18</f>
        <v/>
      </c>
      <c r="S15" s="34">
        <f>MONTHLY_SUMMARY!H18</f>
        <v/>
      </c>
    </row>
    <row r="16">
      <c r="B16" s="11" t="inlineStr">
        <is>
          <t>Trial balance</t>
        </is>
      </c>
      <c r="D16" s="35">
        <f>TB_Status</f>
        <v/>
      </c>
      <c r="H16" s="11" t="inlineStr">
        <is>
          <t>Entries with warnings</t>
        </is>
      </c>
      <c r="J16" s="35">
        <f>IF(COUNTIF(tx_Warn,"?*")+COUNTIF(ar_Warn,"?*")+COUNTIF(ap_Warn,"?*")=0,"✓ None","⚠ "&amp;COUNTIF(tx_Warn,"?*")+COUNTIF(ar_Warn,"?*")+COUNTIF(ap_Warn,"?*")&amp;" to review")</f>
        <v/>
      </c>
    </row>
    <row r="17">
      <c r="B17" s="11" t="inlineStr">
        <is>
          <t>Balance sheet</t>
        </is>
      </c>
      <c r="D17" s="35">
        <f>IF(BS_Diff=0,"✓ Balanced","⚠ Out of balance by "&amp;TEXT(BS_Diff,"#,##0.00"))</f>
        <v/>
      </c>
      <c r="H17" s="11" t="inlineStr">
        <is>
          <t>Receivables register</t>
        </is>
      </c>
      <c r="J17" s="35">
        <f>IF(ROUND(SUM(ar_Balance)-SUMIFS(calc_Bal,calc_Name,acctAR),2)=0,"✓ Matches the ledger","⚠ Differs from ledger by "&amp;TEXT(SUM(ar_Balance)-SUMIFS(calc_Bal,calc_Name,acctAR),"#,##0.00"))</f>
        <v/>
      </c>
      <c r="P17" s="31" t="inlineStr">
        <is>
          <t>Top expenses (YTD)</t>
        </is>
      </c>
      <c r="Q17" s="31" t="inlineStr">
        <is>
          <t>Amount</t>
        </is>
      </c>
    </row>
    <row r="18">
      <c r="B18" s="11" t="inlineStr">
        <is>
          <t>Cash flow</t>
        </is>
      </c>
      <c r="D18" s="35">
        <f>IF(LEFT(CF_Status,1)="✓","✓ Reconciles","⚠ Does not reconcile")</f>
        <v/>
      </c>
      <c r="H18" s="11" t="inlineStr">
        <is>
          <t>Payables register</t>
        </is>
      </c>
      <c r="J18" s="35">
        <f>IF(ROUND(SUM(ap_Balance)-(-SUMIFS(calc_Bal,calc_Name,acctAP)),2)=0,"✓ Matches the ledger","⚠ Differs from ledger by "&amp;TEXT(SUM(ap_Balance)-(-SUMIFS(calc_Bal,calc_Name,acctAP)),"#,##0.00"))</f>
        <v/>
      </c>
      <c r="P18">
        <f>IFERROR(INDEX(calc_Name,MATCH(LARGE(calc_TopKey,1),calc_TopKey,0)),"")</f>
        <v/>
      </c>
      <c r="Q18" s="34">
        <f>IF(P18="",0,INDEX(calc_YTD,MATCH(P18,calc_Name,0)))</f>
        <v/>
      </c>
    </row>
    <row r="19">
      <c r="B19" s="11" t="inlineStr">
        <is>
          <t>Entries with errors</t>
        </is>
      </c>
      <c r="D19" s="35">
        <f>IF(COUNTIF(tx_Err,"?*")+COUNTIF(ar_Err,"?*")+COUNTIF(ap_Err,"?*")=0,"✓ None","⛔ "&amp;COUNTIF(tx_Err,"?*")+COUNTIF(ar_Err,"?*")+COUNTIF(ap_Err,"?*")&amp;" not posted — see the Check column")</f>
        <v/>
      </c>
      <c r="H19" s="11" t="inlineStr">
        <is>
          <t>Setup</t>
        </is>
      </c>
      <c r="J19" s="35">
        <f>IF(COUNTIF(sys_Check,"⛔*")+COUNTIF(coa_Check,"⛔*")&gt;0,"⛔ Fix the Chart of Accounts / Lists",IF(COUNT(tx_Date)&gt;1800,"⚠ Transactions sheet is nearly full","✓ OK"))</f>
        <v/>
      </c>
      <c r="P19">
        <f>IFERROR(INDEX(calc_Name,MATCH(LARGE(calc_TopKey,2),calc_TopKey,0)),"")</f>
        <v/>
      </c>
      <c r="Q19" s="34">
        <f>IF(P19="",0,INDEX(calc_YTD,MATCH(P19,calc_Name,0)))</f>
        <v/>
      </c>
    </row>
    <row r="20">
      <c r="P20">
        <f>IFERROR(INDEX(calc_Name,MATCH(LARGE(calc_TopKey,3),calc_TopKey,0)),"")</f>
        <v/>
      </c>
      <c r="Q20" s="34">
        <f>IF(P20="",0,INDEX(calc_YTD,MATCH(P20,calc_Name,0)))</f>
        <v/>
      </c>
    </row>
    <row r="21">
      <c r="P21">
        <f>IFERROR(INDEX(calc_Name,MATCH(LARGE(calc_TopKey,4),calc_TopKey,0)),"")</f>
        <v/>
      </c>
      <c r="Q21" s="34">
        <f>IF(P21="",0,INDEX(calc_YTD,MATCH(P21,calc_Name,0)))</f>
        <v/>
      </c>
    </row>
    <row r="22">
      <c r="P22">
        <f>IFERROR(INDEX(calc_Name,MATCH(LARGE(calc_TopKey,5),calc_TopKey,0)),"")</f>
        <v/>
      </c>
      <c r="Q22" s="34">
        <f>IF(P22="",0,INDEX(calc_YTD,MATCH(P22,calc_Name,0)))</f>
        <v/>
      </c>
    </row>
    <row r="24">
      <c r="P24" s="31" t="inlineStr">
        <is>
          <t>Aging (days overdue)</t>
        </is>
      </c>
      <c r="Q24" s="31" t="inlineStr">
        <is>
          <t>Receivables</t>
        </is>
      </c>
      <c r="R24" s="31" t="inlineStr">
        <is>
          <t>Payables</t>
        </is>
      </c>
    </row>
    <row r="25">
      <c r="P25" t="inlineStr">
        <is>
          <t>Current</t>
        </is>
      </c>
      <c r="Q25" s="34">
        <f>SUMIFS(ar_Balance,ar_Bucket,P25)</f>
        <v/>
      </c>
      <c r="R25" s="34">
        <f>SUMIFS(ap_Balance,ap_Bucket,P25)</f>
        <v/>
      </c>
    </row>
    <row r="26">
      <c r="P26" t="inlineStr">
        <is>
          <t>1-30</t>
        </is>
      </c>
      <c r="Q26" s="34">
        <f>SUMIFS(ar_Balance,ar_Bucket,P26)</f>
        <v/>
      </c>
      <c r="R26" s="34">
        <f>SUMIFS(ap_Balance,ap_Bucket,P26)</f>
        <v/>
      </c>
    </row>
    <row r="27">
      <c r="P27" t="inlineStr">
        <is>
          <t>31-60</t>
        </is>
      </c>
      <c r="Q27" s="34">
        <f>SUMIFS(ar_Balance,ar_Bucket,P27)</f>
        <v/>
      </c>
      <c r="R27" s="34">
        <f>SUMIFS(ap_Balance,ap_Bucket,P27)</f>
        <v/>
      </c>
    </row>
    <row r="28">
      <c r="P28" t="inlineStr">
        <is>
          <t>61-90</t>
        </is>
      </c>
      <c r="Q28" s="34">
        <f>SUMIFS(ar_Balance,ar_Bucket,P28)</f>
        <v/>
      </c>
      <c r="R28" s="34">
        <f>SUMIFS(ap_Balance,ap_Bucket,P28)</f>
        <v/>
      </c>
    </row>
    <row r="29">
      <c r="P29" t="inlineStr">
        <is>
          <t>90+</t>
        </is>
      </c>
      <c r="Q29" s="34">
        <f>SUMIFS(ar_Balance,ar_Bucket,P29)</f>
        <v/>
      </c>
      <c r="R29" s="34">
        <f>SUMIFS(ap_Balance,ap_Bucket,P29)</f>
        <v/>
      </c>
    </row>
    <row r="54">
      <c r="B54" s="6" t="inlineStr">
        <is>
          <t>CASH FLOW · THIS MONTH</t>
        </is>
      </c>
      <c r="H54" s="6" t="inlineStr">
        <is>
          <t>WHO OWES WHOM</t>
        </is>
      </c>
    </row>
    <row r="55">
      <c r="B55" s="35" t="inlineStr">
        <is>
          <t>Cash at start of month</t>
        </is>
      </c>
      <c r="E55" s="52">
        <f>CF_Begin_Cur</f>
        <v/>
      </c>
      <c r="H55" t="inlineStr">
        <is>
          <t>Receivables due in the next 14 days</t>
        </is>
      </c>
      <c r="L55" s="53">
        <f>SUMIFS(ar_Balance,ar_EffDue,"&gt;="&amp;AsOf,ar_EffDue,"&lt;="&amp;(AsOf+14))</f>
        <v/>
      </c>
    </row>
    <row r="56">
      <c r="B56" s="11" t="inlineStr">
        <is>
          <t>+ Operating activities</t>
        </is>
      </c>
      <c r="E56" s="54">
        <f>CF_Op_Cur</f>
        <v/>
      </c>
      <c r="H56" t="inlineStr">
        <is>
          <t>Payables due in the next 14 days</t>
        </is>
      </c>
      <c r="L56" s="53">
        <f>SUMIFS(ap_Balance,ap_EffDue,"&gt;="&amp;AsOf,ap_EffDue,"&lt;="&amp;(AsOf+14))</f>
        <v/>
      </c>
    </row>
    <row r="57">
      <c r="B57" s="11" t="inlineStr">
        <is>
          <t>+ Investing activities</t>
        </is>
      </c>
      <c r="E57" s="54">
        <f>CF_Inv_Cur</f>
        <v/>
      </c>
    </row>
    <row r="58">
      <c r="B58" s="11" t="inlineStr">
        <is>
          <t>+ Financing activities</t>
        </is>
      </c>
      <c r="E58" s="54">
        <f>CF_Fin_Cur</f>
        <v/>
      </c>
      <c r="H58" s="31" t="inlineStr">
        <is>
          <t>Top customers owing you</t>
        </is>
      </c>
      <c r="K58" s="31" t="inlineStr">
        <is>
          <t>Top vendors you owe</t>
        </is>
      </c>
    </row>
    <row r="59">
      <c r="B59" s="55" t="inlineStr">
        <is>
          <t>Cash at end of month</t>
        </is>
      </c>
      <c r="C59" s="56" t="n"/>
      <c r="D59" s="56" t="n"/>
      <c r="E59" s="57">
        <f>CF_End_Cur</f>
        <v/>
      </c>
      <c r="H59" s="58">
        <f>IFERROR(INDEX(cust_Name,MATCH(LARGE(cust_TopKey,1),cust_TopKey,0)),"")</f>
        <v/>
      </c>
      <c r="J59" s="59">
        <f>IF(H59="","",INDEX(cust_Outstanding,MATCH(H59,cust_Name,0)))</f>
        <v/>
      </c>
      <c r="K59" s="58">
        <f>IFERROR(INDEX(vend_Name,MATCH(LARGE(vend_TopKey,1),vend_TopKey,0)),"")</f>
        <v/>
      </c>
      <c r="M59" s="59">
        <f>IF(K59="","",INDEX(vend_Outstanding,MATCH(K59,vend_Name,0)))</f>
        <v/>
      </c>
    </row>
    <row r="60">
      <c r="H60" s="58">
        <f>IFERROR(INDEX(cust_Name,MATCH(LARGE(cust_TopKey,2),cust_TopKey,0)),"")</f>
        <v/>
      </c>
      <c r="J60" s="59">
        <f>IF(H60="","",INDEX(cust_Outstanding,MATCH(H60,cust_Name,0)))</f>
        <v/>
      </c>
      <c r="K60" s="58">
        <f>IFERROR(INDEX(vend_Name,MATCH(LARGE(vend_TopKey,2),vend_TopKey,0)),"")</f>
        <v/>
      </c>
      <c r="M60" s="59">
        <f>IF(K60="","",INDEX(vend_Outstanding,MATCH(K60,vend_Name,0)))</f>
        <v/>
      </c>
    </row>
    <row r="61">
      <c r="H61" s="58">
        <f>IFERROR(INDEX(cust_Name,MATCH(LARGE(cust_TopKey,3),cust_TopKey,0)),"")</f>
        <v/>
      </c>
      <c r="J61" s="59">
        <f>IF(H61="","",INDEX(cust_Outstanding,MATCH(H61,cust_Name,0)))</f>
        <v/>
      </c>
      <c r="K61" s="58">
        <f>IFERROR(INDEX(vend_Name,MATCH(LARGE(vend_TopKey,3),vend_TopKey,0)),"")</f>
        <v/>
      </c>
      <c r="M61" s="59">
        <f>IF(K61="","",INDEX(vend_Outstanding,MATCH(K61,vend_Name,0)))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5">
    <mergeCell ref="B11:D11"/>
    <mergeCell ref="E13:G13"/>
    <mergeCell ref="B8:D8"/>
    <mergeCell ref="C5:D5"/>
    <mergeCell ref="B13:D13"/>
    <mergeCell ref="E9:G9"/>
    <mergeCell ref="K12:M12"/>
    <mergeCell ref="H11:J11"/>
    <mergeCell ref="H7:J7"/>
    <mergeCell ref="K8:M8"/>
    <mergeCell ref="E11:G11"/>
    <mergeCell ref="H13:J13"/>
    <mergeCell ref="B9:D9"/>
    <mergeCell ref="H12:J12"/>
    <mergeCell ref="E7:G7"/>
    <mergeCell ref="K7:M7"/>
    <mergeCell ref="K13:M13"/>
    <mergeCell ref="H8:J8"/>
    <mergeCell ref="E12:G12"/>
    <mergeCell ref="B7:D7"/>
    <mergeCell ref="K9:M9"/>
    <mergeCell ref="E8:G8"/>
    <mergeCell ref="H9:J9"/>
    <mergeCell ref="B12:D12"/>
    <mergeCell ref="K11:M11"/>
  </mergeCells>
  <conditionalFormatting sqref="D16">
    <cfRule type="expression" priority="1" dxfId="0">
      <formula>LEFT(D16,1)="⛔"</formula>
    </cfRule>
    <cfRule type="expression" priority="2" dxfId="1">
      <formula>LEFT(D16,1)="⚠"</formula>
    </cfRule>
    <cfRule type="expression" priority="3" dxfId="2">
      <formula>LEFT(D16,1)="✓"</formula>
    </cfRule>
  </conditionalFormatting>
  <conditionalFormatting sqref="D17">
    <cfRule type="expression" priority="4" dxfId="0">
      <formula>LEFT(D17,1)="⛔"</formula>
    </cfRule>
    <cfRule type="expression" priority="5" dxfId="1">
      <formula>LEFT(D17,1)="⚠"</formula>
    </cfRule>
    <cfRule type="expression" priority="6" dxfId="2">
      <formula>LEFT(D17,1)="✓"</formula>
    </cfRule>
  </conditionalFormatting>
  <conditionalFormatting sqref="D18">
    <cfRule type="expression" priority="7" dxfId="0">
      <formula>LEFT(D18,1)="⛔"</formula>
    </cfRule>
    <cfRule type="expression" priority="8" dxfId="1">
      <formula>LEFT(D18,1)="⚠"</formula>
    </cfRule>
    <cfRule type="expression" priority="9" dxfId="2">
      <formula>LEFT(D18,1)="✓"</formula>
    </cfRule>
  </conditionalFormatting>
  <conditionalFormatting sqref="D19">
    <cfRule type="expression" priority="10" dxfId="0">
      <formula>LEFT(D19,1)="⛔"</formula>
    </cfRule>
    <cfRule type="expression" priority="11" dxfId="1">
      <formula>LEFT(D19,1)="⚠"</formula>
    </cfRule>
    <cfRule type="expression" priority="12" dxfId="2">
      <formula>LEFT(D19,1)="✓"</formula>
    </cfRule>
  </conditionalFormatting>
  <conditionalFormatting sqref="J16">
    <cfRule type="expression" priority="13" dxfId="0">
      <formula>LEFT(J16,1)="⛔"</formula>
    </cfRule>
    <cfRule type="expression" priority="14" dxfId="1">
      <formula>LEFT(J16,1)="⚠"</formula>
    </cfRule>
    <cfRule type="expression" priority="15" dxfId="2">
      <formula>LEFT(J16,1)="✓"</formula>
    </cfRule>
  </conditionalFormatting>
  <conditionalFormatting sqref="J17">
    <cfRule type="expression" priority="16" dxfId="0">
      <formula>LEFT(J17,1)="⛔"</formula>
    </cfRule>
    <cfRule type="expression" priority="17" dxfId="1">
      <formula>LEFT(J17,1)="⚠"</formula>
    </cfRule>
    <cfRule type="expression" priority="18" dxfId="2">
      <formula>LEFT(J17,1)="✓"</formula>
    </cfRule>
  </conditionalFormatting>
  <conditionalFormatting sqref="J18">
    <cfRule type="expression" priority="19" dxfId="0">
      <formula>LEFT(J18,1)="⛔"</formula>
    </cfRule>
    <cfRule type="expression" priority="20" dxfId="1">
      <formula>LEFT(J18,1)="⚠"</formula>
    </cfRule>
    <cfRule type="expression" priority="21" dxfId="2">
      <formula>LEFT(J18,1)="✓"</formula>
    </cfRule>
  </conditionalFormatting>
  <conditionalFormatting sqref="J19">
    <cfRule type="expression" priority="22" dxfId="0">
      <formula>LEFT(J19,1)="⛔"</formula>
    </cfRule>
    <cfRule type="expression" priority="23" dxfId="1">
      <formula>LEFT(J19,1)="⚠"</formula>
    </cfRule>
    <cfRule type="expression" priority="24" dxfId="2">
      <formula>LEFT(J19,1)="✓"</formula>
    </cfRule>
  </conditionalFormatting>
  <dataValidations count="2">
    <dataValidation sqref="C5" showDropDown="0" showInputMessage="1" showErrorMessage="1" allowBlank="1" errorTitle="Please pick from the list" error="Choose a value from the dropdown." promptTitle="Report month" prompt="Choose the month to report on. Blank = current month." type="list" errorStyle="stop">
      <formula1>=lstMonths</formula1>
    </dataValidation>
    <dataValidation sqref="F5" showDropDown="0" showInputMessage="0" showErrorMessage="1" allowBlank="1" errorTitle="Numbers only" error="Enter a number without currency symbols." type="decimal" errorStyle="stop" operator="greaterThanOrEqual">
      <formula1>2000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12" customWidth="1" min="3" max="3"/>
    <col width="16" customWidth="1" min="4" max="4"/>
    <col width="26" customWidth="1" min="5" max="5"/>
    <col width="30" customWidth="1" min="6" max="6"/>
    <col width="18" customWidth="1" min="7" max="7"/>
    <col width="18" customWidth="1" min="8" max="8"/>
    <col width="13" customWidth="1" min="9" max="9"/>
    <col width="14" customWidth="1" min="10" max="10"/>
    <col width="22" customWidth="1" min="11" max="11"/>
    <col width="14" customWidth="1" min="12" max="12"/>
    <col width="11" customWidth="1" min="13" max="13"/>
    <col width="20" customWidth="1" min="14" max="14"/>
    <col width="13" customWidth="1" min="15" max="15"/>
    <col width="16" customWidth="1" min="16" max="16"/>
    <col width="20" customWidth="1" min="17" max="17"/>
    <col width="20" customWidth="1" min="18" max="18"/>
    <col width="40" customWidth="1" min="19" max="19"/>
    <col hidden="1" outlineLevel="1" width="6" customWidth="1" min="20" max="30"/>
  </cols>
  <sheetData>
    <row r="1" ht="26" customHeight="1">
      <c r="B1" s="19" t="inlineStr">
        <is>
          <t>Transactions</t>
        </is>
      </c>
    </row>
    <row r="2">
      <c r="B2" s="20" t="inlineStr">
        <is>
          <t>Record every money movement here: sales, expenses, payments, transfers. One row = one transaction.</t>
        </is>
      </c>
      <c r="H2" s="23" t="inlineStr">
        <is>
          <t>Example: 15-Jan-2026 | Money Out | Rent | Shop rent January | … | Bank Account | 15,000.00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O5" s="31" t="inlineStr">
        <is>
          <t>▼ AUTOMATIC  (grey columns — calculated, do not type)</t>
        </is>
      </c>
    </row>
    <row r="6" ht="30" customHeight="1">
      <c r="B6" s="7" t="inlineStr">
        <is>
          <t>Transaction ID</t>
        </is>
      </c>
      <c r="C6" s="7" t="inlineStr">
        <is>
          <t>Date</t>
        </is>
      </c>
      <c r="D6" s="7" t="inlineStr">
        <is>
          <t>Type</t>
        </is>
      </c>
      <c r="E6" s="7" t="inlineStr">
        <is>
          <t>Category (Account)</t>
        </is>
      </c>
      <c r="F6" s="7" t="inlineStr">
        <is>
          <t>Description</t>
        </is>
      </c>
      <c r="G6" s="7" t="inlineStr">
        <is>
          <t>Customer</t>
        </is>
      </c>
      <c r="H6" s="7" t="inlineStr">
        <is>
          <t>Vendor</t>
        </is>
      </c>
      <c r="I6" s="7" t="inlineStr">
        <is>
          <t>Payment Method</t>
        </is>
      </c>
      <c r="J6" s="7" t="inlineStr">
        <is>
          <t>Reference No. / Invoice # / Bill #</t>
        </is>
      </c>
      <c r="K6" s="7" t="inlineStr">
        <is>
          <t>Paid From / Deposited To</t>
        </is>
      </c>
      <c r="L6" s="7" t="inlineStr">
        <is>
          <t>Amount (incl. tax)</t>
        </is>
      </c>
      <c r="M6" s="7" t="inlineStr">
        <is>
          <t>Tax</t>
        </is>
      </c>
      <c r="N6" s="7" t="inlineStr">
        <is>
          <t>Notes</t>
        </is>
      </c>
      <c r="O6" s="61" t="inlineStr">
        <is>
          <t>Net Amount</t>
        </is>
      </c>
      <c r="P6" s="61" t="inlineStr">
        <is>
          <t>Account Type</t>
        </is>
      </c>
      <c r="Q6" s="61" t="inlineStr">
        <is>
          <t>Debit Account</t>
        </is>
      </c>
      <c r="R6" s="61" t="inlineStr">
        <is>
          <t>Credit Account</t>
        </is>
      </c>
      <c r="S6" s="61" t="inlineStr">
        <is>
          <t>Check</t>
        </is>
      </c>
      <c r="T6" s="61" t="inlineStr">
        <is>
          <t>Blank?</t>
        </is>
      </c>
      <c r="U6" s="61" t="inlineStr">
        <is>
          <t>Direction</t>
        </is>
      </c>
      <c r="V6" s="61" t="inlineStr">
        <is>
          <t>Other side</t>
        </is>
      </c>
      <c r="W6" s="61" t="inlineStr">
        <is>
          <t>Tax used</t>
        </is>
      </c>
      <c r="X6" s="61" t="inlineStr">
        <is>
          <t>Error</t>
        </is>
      </c>
      <c r="Y6" s="61" t="inlineStr">
        <is>
          <t>Warning</t>
        </is>
      </c>
      <c r="Z6" s="61" t="inlineStr">
        <is>
          <t>Posted</t>
        </is>
      </c>
      <c r="AA6" s="61" t="inlineStr">
        <is>
          <t>Debit Amt</t>
        </is>
      </c>
      <c r="AB6" s="61" t="inlineStr">
        <is>
          <t>Credit Amt</t>
        </is>
      </c>
      <c r="AC6" s="61" t="inlineStr">
        <is>
          <t>Tax Debit</t>
        </is>
      </c>
      <c r="AD6" s="61" t="inlineStr">
        <is>
          <t>Tax Credit</t>
        </is>
      </c>
    </row>
    <row r="7">
      <c r="B7" s="62" t="inlineStr">
        <is>
          <t>TX-0001</t>
        </is>
      </c>
      <c r="C7" s="63" t="n">
        <v>46023</v>
      </c>
      <c r="D7" s="62" t="inlineStr">
        <is>
          <t>Money Out</t>
        </is>
      </c>
      <c r="E7" s="62" t="inlineStr">
        <is>
          <t>Rent</t>
        </is>
      </c>
      <c r="F7" s="62" t="inlineStr">
        <is>
          <t>Shop rent</t>
        </is>
      </c>
      <c r="G7" s="62" t="n"/>
      <c r="H7" s="62" t="n"/>
      <c r="I7" s="62" t="inlineStr">
        <is>
          <t>Bank Transfer</t>
        </is>
      </c>
      <c r="J7" s="62" t="inlineStr">
        <is>
          <t>RENT-01</t>
        </is>
      </c>
      <c r="K7" s="62" t="inlineStr">
        <is>
          <t>Bank Account</t>
        </is>
      </c>
      <c r="L7" s="64" t="n">
        <v>28000</v>
      </c>
      <c r="M7" s="64" t="n">
        <v>3000</v>
      </c>
      <c r="N7" s="62" t="n"/>
      <c r="O7" s="65">
        <f>IF(Z7=1,L7-W7,"")</f>
        <v/>
      </c>
      <c r="P7" s="66">
        <f>IF(V7="","",IFERROR(INDEX(coa_Type,MATCH(V7,coa_Name,0)),""))</f>
        <v/>
      </c>
      <c r="Q7" s="66">
        <f>IF(Z7=1,IF(U7="In",K7&amp;"",V7),"")</f>
        <v/>
      </c>
      <c r="R7" s="66">
        <f>IF(Z7=1,IF(U7="In",V7,K7&amp;""),"")</f>
        <v/>
      </c>
      <c r="S7" s="66">
        <f>IF(X7&lt;&gt;"","⛔ "&amp;X7&amp;" — not posted",IF(Y7&lt;&gt;"","⚠ "&amp;Y7,IF(Z7=1,"✓ OK","")))</f>
        <v/>
      </c>
      <c r="T7" s="67">
        <f>IF(AND(C7="",D7="",E7="",L7="",K7=""),1,0)</f>
        <v/>
      </c>
      <c r="U7" s="67">
        <f>IFERROR(INDEX(tt_Dir,MATCH(D7,tt_Type,0)),"")</f>
        <v/>
      </c>
      <c r="V7" s="67">
        <f>IF(D7="","",IFERROR(IF(INDEX(tt_Other,MATCH(D7,tt_Type,0))="",E7&amp;"",INDEX(tt_Other,MATCH(D7,tt_Type,0))),""))</f>
        <v/>
      </c>
      <c r="W7" s="68">
        <f>IF(OR(TaxOn&lt;&gt;"Yes",NOT(ISNUMBER(M7))),0,IF(IFERROR(INDEX(tt_Tax,MATCH(D7,tt_Type,0)),"No")="Yes",M7,0))</f>
        <v/>
      </c>
      <c r="X7" s="67">
        <f>IF(T7=1,"",IF(C7="","Missing transaction date",IF(NOT(ISNUMBER(C7)),"Invalid date",IF(OR(C7&lt;DATE(2000,1,1),C7&gt;DATE(2099,12,31)),"Invalid date",IF(D7="","Select a type",IF(U7="","Unknown type: "&amp;D7,IF(V7="","Select an account (Category)",IF(ISNA(MATCH(V7,coa_Name,0)),"Unknown account: "&amp;V7,IF(K7="","Select Paid From / Deposited To",IF(ISNA(MATCH(K7,coa_Name,0)),"Unknown account: "&amp;K7,IF(NOT(ISNUMBER(L7)),"Enter an amount",IF(L7=0,"Enter an amount",IF(ABS(W7)&gt;ABS(L7),"Tax is larger than the amount","")))))))))))))</f>
        <v/>
      </c>
      <c r="Y7" s="67">
        <f>IF(OR(T7=1,X7&lt;&gt;""),"",IF(AND(B7&lt;&gt;"",COUNTIF(tx_ID,B7)&gt;1),"Duplicate transaction ID",IF(AND(L7&lt;0,D7&lt;&gt;"Adjustment"),"Negative amount — check this entry",IF(AND(D7="Customer Payment",G7=""),"Add the customer",IF(AND(D7="Customer Payment",OR(J7="",COUNTIF(ar_No,J7&amp;"")=0)),"Invoice # in Reference not found on AR sheet",IF(AND(D7="Bill Payment",H7=""),"Add the vendor",IF(AND(D7="Bill Payment",OR(J7="",COUNTIFS(ap_No,J7&amp;"",ap_Party,H7&amp;"")=0)),"Bill # + vendor not found on AP sheet",IF(AND(ISNUMBER(M7),N(M7)&lt;&gt;0,W7=0),"Tax ignored (tax tracking off, or not allowed for this type)",IF(V7=K7&amp;"","Same account on both sides",IF(AND(ISNUMBER(StartDate),C7&lt;StartDate),"Date is before the accounting start date",IF(AND(D7&lt;&gt;"Adjustment",IFERROR(INDEX(coa_Pay,MATCH(K7&amp;"",coa_Name,0)),"")&lt;&gt;"Yes"),"Paid From / Deposited To is not a payment account","")))))))))))</f>
        <v/>
      </c>
      <c r="Z7" s="67">
        <f>IF(AND(T7=0,X7=""),1,0)</f>
        <v/>
      </c>
      <c r="AA7" s="68">
        <f>IF(Z7=1,IF(U7="In",L7,L7-W7),0)</f>
        <v/>
      </c>
      <c r="AB7" s="68">
        <f>IF(Z7=1,IF(U7="In",L7-W7,L7),0)</f>
        <v/>
      </c>
      <c r="AC7" s="68">
        <f>IF(AND(Z7=1,U7="Out"),W7,0)</f>
        <v/>
      </c>
      <c r="AD7" s="68">
        <f>IF(AND(Z7=1,U7="In"),W7,0)</f>
        <v/>
      </c>
    </row>
    <row r="8">
      <c r="B8" s="62" t="inlineStr">
        <is>
          <t>TX-0002</t>
        </is>
      </c>
      <c r="C8" s="63" t="n">
        <v>46026</v>
      </c>
      <c r="D8" s="62" t="inlineStr">
        <is>
          <t>Money In</t>
        </is>
      </c>
      <c r="E8" s="62" t="inlineStr">
        <is>
          <t>Product Sales</t>
        </is>
      </c>
      <c r="F8" s="62" t="inlineStr">
        <is>
          <t>Counter sales week 1</t>
        </is>
      </c>
      <c r="G8" s="62" t="n"/>
      <c r="H8" s="62" t="n"/>
      <c r="I8" s="62" t="inlineStr">
        <is>
          <t>Cash</t>
        </is>
      </c>
      <c r="J8" s="62" t="n"/>
      <c r="K8" s="62" t="inlineStr">
        <is>
          <t>Cash on Hand</t>
        </is>
      </c>
      <c r="L8" s="64" t="n">
        <v>43084.99</v>
      </c>
      <c r="M8" s="64" t="n">
        <v>4616.25</v>
      </c>
      <c r="N8" s="62" t="n"/>
      <c r="O8" s="65">
        <f>IF(Z8=1,L8-W8,"")</f>
        <v/>
      </c>
      <c r="P8" s="66">
        <f>IF(V8="","",IFERROR(INDEX(coa_Type,MATCH(V8,coa_Name,0)),""))</f>
        <v/>
      </c>
      <c r="Q8" s="66">
        <f>IF(Z8=1,IF(U8="In",K8&amp;"",V8),"")</f>
        <v/>
      </c>
      <c r="R8" s="66">
        <f>IF(Z8=1,IF(U8="In",V8,K8&amp;""),"")</f>
        <v/>
      </c>
      <c r="S8" s="66">
        <f>IF(X8&lt;&gt;"","⛔ "&amp;X8&amp;" — not posted",IF(Y8&lt;&gt;"","⚠ "&amp;Y8,IF(Z8=1,"✓ OK","")))</f>
        <v/>
      </c>
      <c r="T8" s="67">
        <f>IF(AND(C8="",D8="",E8="",L8="",K8=""),1,0)</f>
        <v/>
      </c>
      <c r="U8" s="67">
        <f>IFERROR(INDEX(tt_Dir,MATCH(D8,tt_Type,0)),"")</f>
        <v/>
      </c>
      <c r="V8" s="67">
        <f>IF(D8="","",IFERROR(IF(INDEX(tt_Other,MATCH(D8,tt_Type,0))="",E8&amp;"",INDEX(tt_Other,MATCH(D8,tt_Type,0))),""))</f>
        <v/>
      </c>
      <c r="W8" s="68">
        <f>IF(OR(TaxOn&lt;&gt;"Yes",NOT(ISNUMBER(M8))),0,IF(IFERROR(INDEX(tt_Tax,MATCH(D8,tt_Type,0)),"No")="Yes",M8,0))</f>
        <v/>
      </c>
      <c r="X8" s="67">
        <f>IF(T8=1,"",IF(C8="","Missing transaction date",IF(NOT(ISNUMBER(C8)),"Invalid date",IF(OR(C8&lt;DATE(2000,1,1),C8&gt;DATE(2099,12,31)),"Invalid date",IF(D8="","Select a type",IF(U8="","Unknown type: "&amp;D8,IF(V8="","Select an account (Category)",IF(ISNA(MATCH(V8,coa_Name,0)),"Unknown account: "&amp;V8,IF(K8="","Select Paid From / Deposited To",IF(ISNA(MATCH(K8,coa_Name,0)),"Unknown account: "&amp;K8,IF(NOT(ISNUMBER(L8)),"Enter an amount",IF(L8=0,"Enter an amount",IF(ABS(W8)&gt;ABS(L8),"Tax is larger than the amount","")))))))))))))</f>
        <v/>
      </c>
      <c r="Y8" s="67">
        <f>IF(OR(T8=1,X8&lt;&gt;""),"",IF(AND(B8&lt;&gt;"",COUNTIF(tx_ID,B8)&gt;1),"Duplicate transaction ID",IF(AND(L8&lt;0,D8&lt;&gt;"Adjustment"),"Negative amount — check this entry",IF(AND(D8="Customer Payment",G8=""),"Add the customer",IF(AND(D8="Customer Payment",OR(J8="",COUNTIF(ar_No,J8&amp;"")=0)),"Invoice # in Reference not found on AR sheet",IF(AND(D8="Bill Payment",H8=""),"Add the vendor",IF(AND(D8="Bill Payment",OR(J8="",COUNTIFS(ap_No,J8&amp;"",ap_Party,H8&amp;"")=0)),"Bill # + vendor not found on AP sheet",IF(AND(ISNUMBER(M8),N(M8)&lt;&gt;0,W8=0),"Tax ignored (tax tracking off, or not allowed for this type)",IF(V8=K8&amp;"","Same account on both sides",IF(AND(ISNUMBER(StartDate),C8&lt;StartDate),"Date is before the accounting start date",IF(AND(D8&lt;&gt;"Adjustment",IFERROR(INDEX(coa_Pay,MATCH(K8&amp;"",coa_Name,0)),"")&lt;&gt;"Yes"),"Paid From / Deposited To is not a payment account","")))))))))))</f>
        <v/>
      </c>
      <c r="Z8" s="67">
        <f>IF(AND(T8=0,X8=""),1,0)</f>
        <v/>
      </c>
      <c r="AA8" s="68">
        <f>IF(Z8=1,IF(U8="In",L8,L8-W8),0)</f>
        <v/>
      </c>
      <c r="AB8" s="68">
        <f>IF(Z8=1,IF(U8="In",L8-W8,L8),0)</f>
        <v/>
      </c>
      <c r="AC8" s="68">
        <f>IF(AND(Z8=1,U8="Out"),W8,0)</f>
        <v/>
      </c>
      <c r="AD8" s="68">
        <f>IF(AND(Z8=1,U8="In"),W8,0)</f>
        <v/>
      </c>
    </row>
    <row r="9">
      <c r="B9" s="62" t="inlineStr">
        <is>
          <t>TX-0003</t>
        </is>
      </c>
      <c r="C9" s="63" t="n">
        <v>46027</v>
      </c>
      <c r="D9" s="62" t="inlineStr">
        <is>
          <t>Money In</t>
        </is>
      </c>
      <c r="E9" s="62" t="inlineStr">
        <is>
          <t>Product Sales</t>
        </is>
      </c>
      <c r="F9" s="62" t="inlineStr">
        <is>
          <t>GCash / online orders week 1</t>
        </is>
      </c>
      <c r="G9" s="62" t="n"/>
      <c r="H9" s="62" t="n"/>
      <c r="I9" s="62" t="inlineStr">
        <is>
          <t>E-Wallet</t>
        </is>
      </c>
      <c r="J9" s="62" t="n"/>
      <c r="K9" s="62" t="inlineStr">
        <is>
          <t>E-Wallet / Online Payments</t>
        </is>
      </c>
      <c r="L9" s="64" t="n">
        <v>16978.36</v>
      </c>
      <c r="M9" s="64" t="n">
        <v>1819.11</v>
      </c>
      <c r="N9" s="62" t="n"/>
      <c r="O9" s="65">
        <f>IF(Z9=1,L9-W9,"")</f>
        <v/>
      </c>
      <c r="P9" s="66">
        <f>IF(V9="","",IFERROR(INDEX(coa_Type,MATCH(V9,coa_Name,0)),""))</f>
        <v/>
      </c>
      <c r="Q9" s="66">
        <f>IF(Z9=1,IF(U9="In",K9&amp;"",V9),"")</f>
        <v/>
      </c>
      <c r="R9" s="66">
        <f>IF(Z9=1,IF(U9="In",V9,K9&amp;""),"")</f>
        <v/>
      </c>
      <c r="S9" s="66">
        <f>IF(X9&lt;&gt;"","⛔ "&amp;X9&amp;" — not posted",IF(Y9&lt;&gt;"","⚠ "&amp;Y9,IF(Z9=1,"✓ OK","")))</f>
        <v/>
      </c>
      <c r="T9" s="67">
        <f>IF(AND(C9="",D9="",E9="",L9="",K9=""),1,0)</f>
        <v/>
      </c>
      <c r="U9" s="67">
        <f>IFERROR(INDEX(tt_Dir,MATCH(D9,tt_Type,0)),"")</f>
        <v/>
      </c>
      <c r="V9" s="67">
        <f>IF(D9="","",IFERROR(IF(INDEX(tt_Other,MATCH(D9,tt_Type,0))="",E9&amp;"",INDEX(tt_Other,MATCH(D9,tt_Type,0))),""))</f>
        <v/>
      </c>
      <c r="W9" s="68">
        <f>IF(OR(TaxOn&lt;&gt;"Yes",NOT(ISNUMBER(M9))),0,IF(IFERROR(INDEX(tt_Tax,MATCH(D9,tt_Type,0)),"No")="Yes",M9,0))</f>
        <v/>
      </c>
      <c r="X9" s="67">
        <f>IF(T9=1,"",IF(C9="","Missing transaction date",IF(NOT(ISNUMBER(C9)),"Invalid date",IF(OR(C9&lt;DATE(2000,1,1),C9&gt;DATE(2099,12,31)),"Invalid date",IF(D9="","Select a type",IF(U9="","Unknown type: "&amp;D9,IF(V9="","Select an account (Category)",IF(ISNA(MATCH(V9,coa_Name,0)),"Unknown account: "&amp;V9,IF(K9="","Select Paid From / Deposited To",IF(ISNA(MATCH(K9,coa_Name,0)),"Unknown account: "&amp;K9,IF(NOT(ISNUMBER(L9)),"Enter an amount",IF(L9=0,"Enter an amount",IF(ABS(W9)&gt;ABS(L9),"Tax is larger than the amount","")))))))))))))</f>
        <v/>
      </c>
      <c r="Y9" s="67">
        <f>IF(OR(T9=1,X9&lt;&gt;""),"",IF(AND(B9&lt;&gt;"",COUNTIF(tx_ID,B9)&gt;1),"Duplicate transaction ID",IF(AND(L9&lt;0,D9&lt;&gt;"Adjustment"),"Negative amount — check this entry",IF(AND(D9="Customer Payment",G9=""),"Add the customer",IF(AND(D9="Customer Payment",OR(J9="",COUNTIF(ar_No,J9&amp;"")=0)),"Invoice # in Reference not found on AR sheet",IF(AND(D9="Bill Payment",H9=""),"Add the vendor",IF(AND(D9="Bill Payment",OR(J9="",COUNTIFS(ap_No,J9&amp;"",ap_Party,H9&amp;"")=0)),"Bill # + vendor not found on AP sheet",IF(AND(ISNUMBER(M9),N(M9)&lt;&gt;0,W9=0),"Tax ignored (tax tracking off, or not allowed for this type)",IF(V9=K9&amp;"","Same account on both sides",IF(AND(ISNUMBER(StartDate),C9&lt;StartDate),"Date is before the accounting start date",IF(AND(D9&lt;&gt;"Adjustment",IFERROR(INDEX(coa_Pay,MATCH(K9&amp;"",coa_Name,0)),"")&lt;&gt;"Yes"),"Paid From / Deposited To is not a payment account","")))))))))))</f>
        <v/>
      </c>
      <c r="Z9" s="67">
        <f>IF(AND(T9=0,X9=""),1,0)</f>
        <v/>
      </c>
      <c r="AA9" s="68">
        <f>IF(Z9=1,IF(U9="In",L9,L9-W9),0)</f>
        <v/>
      </c>
      <c r="AB9" s="68">
        <f>IF(Z9=1,IF(U9="In",L9-W9,L9),0)</f>
        <v/>
      </c>
      <c r="AC9" s="68">
        <f>IF(AND(Z9=1,U9="Out"),W9,0)</f>
        <v/>
      </c>
      <c r="AD9" s="68">
        <f>IF(AND(Z9=1,U9="In"),W9,0)</f>
        <v/>
      </c>
    </row>
    <row r="10">
      <c r="B10" s="62" t="inlineStr">
        <is>
          <t>TX-0004</t>
        </is>
      </c>
      <c r="C10" s="63" t="n">
        <v>46028</v>
      </c>
      <c r="D10" s="62" t="inlineStr">
        <is>
          <t>Transfer</t>
        </is>
      </c>
      <c r="E10" s="62" t="inlineStr">
        <is>
          <t>Bank Account</t>
        </is>
      </c>
      <c r="F10" s="62" t="inlineStr">
        <is>
          <t>Cash deposit to bank</t>
        </is>
      </c>
      <c r="G10" s="62" t="n"/>
      <c r="H10" s="62" t="n"/>
      <c r="I10" s="62" t="inlineStr">
        <is>
          <t>Cash</t>
        </is>
      </c>
      <c r="J10" s="62" t="n"/>
      <c r="K10" s="62" t="inlineStr">
        <is>
          <t>Cash on Hand</t>
        </is>
      </c>
      <c r="L10" s="64" t="n">
        <v>36600</v>
      </c>
      <c r="M10" s="64" t="n"/>
      <c r="N10" s="62" t="n"/>
      <c r="O10" s="65">
        <f>IF(Z10=1,L10-W10,"")</f>
        <v/>
      </c>
      <c r="P10" s="66">
        <f>IF(V10="","",IFERROR(INDEX(coa_Type,MATCH(V10,coa_Name,0)),""))</f>
        <v/>
      </c>
      <c r="Q10" s="66">
        <f>IF(Z10=1,IF(U10="In",K10&amp;"",V10),"")</f>
        <v/>
      </c>
      <c r="R10" s="66">
        <f>IF(Z10=1,IF(U10="In",V10,K10&amp;""),"")</f>
        <v/>
      </c>
      <c r="S10" s="66">
        <f>IF(X10&lt;&gt;"","⛔ "&amp;X10&amp;" — not posted",IF(Y10&lt;&gt;"","⚠ "&amp;Y10,IF(Z10=1,"✓ OK","")))</f>
        <v/>
      </c>
      <c r="T10" s="67">
        <f>IF(AND(C10="",D10="",E10="",L10="",K10=""),1,0)</f>
        <v/>
      </c>
      <c r="U10" s="67">
        <f>IFERROR(INDEX(tt_Dir,MATCH(D10,tt_Type,0)),"")</f>
        <v/>
      </c>
      <c r="V10" s="67">
        <f>IF(D10="","",IFERROR(IF(INDEX(tt_Other,MATCH(D10,tt_Type,0))="",E10&amp;"",INDEX(tt_Other,MATCH(D10,tt_Type,0))),""))</f>
        <v/>
      </c>
      <c r="W10" s="68">
        <f>IF(OR(TaxOn&lt;&gt;"Yes",NOT(ISNUMBER(M10))),0,IF(IFERROR(INDEX(tt_Tax,MATCH(D10,tt_Type,0)),"No")="Yes",M10,0))</f>
        <v/>
      </c>
      <c r="X10" s="67">
        <f>IF(T10=1,"",IF(C10="","Missing transaction date",IF(NOT(ISNUMBER(C10)),"Invalid date",IF(OR(C10&lt;DATE(2000,1,1),C10&gt;DATE(2099,12,31)),"Invalid date",IF(D10="","Select a type",IF(U10="","Unknown type: "&amp;D10,IF(V10="","Select an account (Category)",IF(ISNA(MATCH(V10,coa_Name,0)),"Unknown account: "&amp;V10,IF(K10="","Select Paid From / Deposited To",IF(ISNA(MATCH(K10,coa_Name,0)),"Unknown account: "&amp;K10,IF(NOT(ISNUMBER(L10)),"Enter an amount",IF(L10=0,"Enter an amount",IF(ABS(W10)&gt;ABS(L10),"Tax is larger than the amount","")))))))))))))</f>
        <v/>
      </c>
      <c r="Y10" s="67">
        <f>IF(OR(T10=1,X10&lt;&gt;""),"",IF(AND(B10&lt;&gt;"",COUNTIF(tx_ID,B10)&gt;1),"Duplicate transaction ID",IF(AND(L10&lt;0,D10&lt;&gt;"Adjustment"),"Negative amount — check this entry",IF(AND(D10="Customer Payment",G10=""),"Add the customer",IF(AND(D10="Customer Payment",OR(J10="",COUNTIF(ar_No,J10&amp;"")=0)),"Invoice # in Reference not found on AR sheet",IF(AND(D10="Bill Payment",H10=""),"Add the vendor",IF(AND(D10="Bill Payment",OR(J10="",COUNTIFS(ap_No,J10&amp;"",ap_Party,H10&amp;"")=0)),"Bill # + vendor not found on AP sheet",IF(AND(ISNUMBER(M10),N(M10)&lt;&gt;0,W10=0),"Tax ignored (tax tracking off, or not allowed for this type)",IF(V10=K10&amp;"","Same account on both sides",IF(AND(ISNUMBER(StartDate),C10&lt;StartDate),"Date is before the accounting start date",IF(AND(D10&lt;&gt;"Adjustment",IFERROR(INDEX(coa_Pay,MATCH(K10&amp;"",coa_Name,0)),"")&lt;&gt;"Yes"),"Paid From / Deposited To is not a payment account","")))))))))))</f>
        <v/>
      </c>
      <c r="Z10" s="67">
        <f>IF(AND(T10=0,X10=""),1,0)</f>
        <v/>
      </c>
      <c r="AA10" s="68">
        <f>IF(Z10=1,IF(U10="In",L10,L10-W10),0)</f>
        <v/>
      </c>
      <c r="AB10" s="68">
        <f>IF(Z10=1,IF(U10="In",L10-W10,L10),0)</f>
        <v/>
      </c>
      <c r="AC10" s="68">
        <f>IF(AND(Z10=1,U10="Out"),W10,0)</f>
        <v/>
      </c>
      <c r="AD10" s="68">
        <f>IF(AND(Z10=1,U10="In"),W10,0)</f>
        <v/>
      </c>
    </row>
    <row r="11">
      <c r="B11" s="62" t="inlineStr">
        <is>
          <t>TX-0005</t>
        </is>
      </c>
      <c r="C11" s="63" t="n">
        <v>46028</v>
      </c>
      <c r="D11" s="62" t="inlineStr">
        <is>
          <t>Money Out</t>
        </is>
      </c>
      <c r="E11" s="62" t="inlineStr">
        <is>
          <t>Other Direct Costs</t>
        </is>
      </c>
      <c r="F11" s="62" t="inlineStr">
        <is>
          <t>Boxes &amp; paper bags (market)</t>
        </is>
      </c>
      <c r="G11" s="62" t="n"/>
      <c r="H11" s="62" t="n"/>
      <c r="I11" s="62" t="inlineStr">
        <is>
          <t>Cash</t>
        </is>
      </c>
      <c r="J11" s="62" t="n"/>
      <c r="K11" s="62" t="inlineStr">
        <is>
          <t>Cash on Hand</t>
        </is>
      </c>
      <c r="L11" s="64" t="n">
        <v>2776.35</v>
      </c>
      <c r="M11" s="64" t="n">
        <v>297.47</v>
      </c>
      <c r="N11" s="62" t="n"/>
      <c r="O11" s="65">
        <f>IF(Z11=1,L11-W11,"")</f>
        <v/>
      </c>
      <c r="P11" s="66">
        <f>IF(V11="","",IFERROR(INDEX(coa_Type,MATCH(V11,coa_Name,0)),""))</f>
        <v/>
      </c>
      <c r="Q11" s="66">
        <f>IF(Z11=1,IF(U11="In",K11&amp;"",V11),"")</f>
        <v/>
      </c>
      <c r="R11" s="66">
        <f>IF(Z11=1,IF(U11="In",V11,K11&amp;""),"")</f>
        <v/>
      </c>
      <c r="S11" s="66">
        <f>IF(X11&lt;&gt;"","⛔ "&amp;X11&amp;" — not posted",IF(Y11&lt;&gt;"","⚠ "&amp;Y11,IF(Z11=1,"✓ OK","")))</f>
        <v/>
      </c>
      <c r="T11" s="67">
        <f>IF(AND(C11="",D11="",E11="",L11="",K11=""),1,0)</f>
        <v/>
      </c>
      <c r="U11" s="67">
        <f>IFERROR(INDEX(tt_Dir,MATCH(D11,tt_Type,0)),"")</f>
        <v/>
      </c>
      <c r="V11" s="67">
        <f>IF(D11="","",IFERROR(IF(INDEX(tt_Other,MATCH(D11,tt_Type,0))="",E11&amp;"",INDEX(tt_Other,MATCH(D11,tt_Type,0))),""))</f>
        <v/>
      </c>
      <c r="W11" s="68">
        <f>IF(OR(TaxOn&lt;&gt;"Yes",NOT(ISNUMBER(M11))),0,IF(IFERROR(INDEX(tt_Tax,MATCH(D11,tt_Type,0)),"No")="Yes",M11,0))</f>
        <v/>
      </c>
      <c r="X11" s="67">
        <f>IF(T11=1,"",IF(C11="","Missing transaction date",IF(NOT(ISNUMBER(C11)),"Invalid date",IF(OR(C11&lt;DATE(2000,1,1),C11&gt;DATE(2099,12,31)),"Invalid date",IF(D11="","Select a type",IF(U11="","Unknown type: "&amp;D11,IF(V11="","Select an account (Category)",IF(ISNA(MATCH(V11,coa_Name,0)),"Unknown account: "&amp;V11,IF(K11="","Select Paid From / Deposited To",IF(ISNA(MATCH(K11,coa_Name,0)),"Unknown account: "&amp;K11,IF(NOT(ISNUMBER(L11)),"Enter an amount",IF(L11=0,"Enter an amount",IF(ABS(W11)&gt;ABS(L11),"Tax is larger than the amount","")))))))))))))</f>
        <v/>
      </c>
      <c r="Y11" s="67">
        <f>IF(OR(T11=1,X11&lt;&gt;""),"",IF(AND(B11&lt;&gt;"",COUNTIF(tx_ID,B11)&gt;1),"Duplicate transaction ID",IF(AND(L11&lt;0,D11&lt;&gt;"Adjustment"),"Negative amount — check this entry",IF(AND(D11="Customer Payment",G11=""),"Add the customer",IF(AND(D11="Customer Payment",OR(J11="",COUNTIF(ar_No,J11&amp;"")=0)),"Invoice # in Reference not found on AR sheet",IF(AND(D11="Bill Payment",H11=""),"Add the vendor",IF(AND(D11="Bill Payment",OR(J11="",COUNTIFS(ap_No,J11&amp;"",ap_Party,H11&amp;"")=0)),"Bill # + vendor not found on AP sheet",IF(AND(ISNUMBER(M11),N(M11)&lt;&gt;0,W11=0),"Tax ignored (tax tracking off, or not allowed for this type)",IF(V11=K11&amp;"","Same account on both sides",IF(AND(ISNUMBER(StartDate),C11&lt;StartDate),"Date is before the accounting start date",IF(AND(D11&lt;&gt;"Adjustment",IFERROR(INDEX(coa_Pay,MATCH(K11&amp;"",coa_Name,0)),"")&lt;&gt;"Yes"),"Paid From / Deposited To is not a payment account","")))))))))))</f>
        <v/>
      </c>
      <c r="Z11" s="67">
        <f>IF(AND(T11=0,X11=""),1,0)</f>
        <v/>
      </c>
      <c r="AA11" s="68">
        <f>IF(Z11=1,IF(U11="In",L11,L11-W11),0)</f>
        <v/>
      </c>
      <c r="AB11" s="68">
        <f>IF(Z11=1,IF(U11="In",L11-W11,L11),0)</f>
        <v/>
      </c>
      <c r="AC11" s="68">
        <f>IF(AND(Z11=1,U11="Out"),W11,0)</f>
        <v/>
      </c>
      <c r="AD11" s="68">
        <f>IF(AND(Z11=1,U11="In"),W11,0)</f>
        <v/>
      </c>
    </row>
    <row r="12">
      <c r="B12" s="62" t="inlineStr">
        <is>
          <t>TX-0006</t>
        </is>
      </c>
      <c r="C12" s="63" t="n">
        <v>46030</v>
      </c>
      <c r="D12" s="62" t="inlineStr">
        <is>
          <t>Money Out</t>
        </is>
      </c>
      <c r="E12" s="62" t="inlineStr">
        <is>
          <t>Advertising &amp; Marketing</t>
        </is>
      </c>
      <c r="F12" s="62" t="inlineStr">
        <is>
          <t>Facebook / Instagram ads</t>
        </is>
      </c>
      <c r="G12" s="62" t="n"/>
      <c r="H12" s="62" t="n"/>
      <c r="I12" s="62" t="inlineStr">
        <is>
          <t>Credit Card</t>
        </is>
      </c>
      <c r="J12" s="62" t="n"/>
      <c r="K12" s="62" t="inlineStr">
        <is>
          <t>Credit Card</t>
        </is>
      </c>
      <c r="L12" s="64" t="n">
        <v>3835.19</v>
      </c>
      <c r="M12" s="64" t="n">
        <v>410.91</v>
      </c>
      <c r="N12" s="62" t="n"/>
      <c r="O12" s="65">
        <f>IF(Z12=1,L12-W12,"")</f>
        <v/>
      </c>
      <c r="P12" s="66">
        <f>IF(V12="","",IFERROR(INDEX(coa_Type,MATCH(V12,coa_Name,0)),""))</f>
        <v/>
      </c>
      <c r="Q12" s="66">
        <f>IF(Z12=1,IF(U12="In",K12&amp;"",V12),"")</f>
        <v/>
      </c>
      <c r="R12" s="66">
        <f>IF(Z12=1,IF(U12="In",V12,K12&amp;""),"")</f>
        <v/>
      </c>
      <c r="S12" s="66">
        <f>IF(X12&lt;&gt;"","⛔ "&amp;X12&amp;" — not posted",IF(Y12&lt;&gt;"","⚠ "&amp;Y12,IF(Z12=1,"✓ OK","")))</f>
        <v/>
      </c>
      <c r="T12" s="67">
        <f>IF(AND(C12="",D12="",E12="",L12="",K12=""),1,0)</f>
        <v/>
      </c>
      <c r="U12" s="67">
        <f>IFERROR(INDEX(tt_Dir,MATCH(D12,tt_Type,0)),"")</f>
        <v/>
      </c>
      <c r="V12" s="67">
        <f>IF(D12="","",IFERROR(IF(INDEX(tt_Other,MATCH(D12,tt_Type,0))="",E12&amp;"",INDEX(tt_Other,MATCH(D12,tt_Type,0))),""))</f>
        <v/>
      </c>
      <c r="W12" s="68">
        <f>IF(OR(TaxOn&lt;&gt;"Yes",NOT(ISNUMBER(M12))),0,IF(IFERROR(INDEX(tt_Tax,MATCH(D12,tt_Type,0)),"No")="Yes",M12,0))</f>
        <v/>
      </c>
      <c r="X12" s="67">
        <f>IF(T12=1,"",IF(C12="","Missing transaction date",IF(NOT(ISNUMBER(C12)),"Invalid date",IF(OR(C12&lt;DATE(2000,1,1),C12&gt;DATE(2099,12,31)),"Invalid date",IF(D12="","Select a type",IF(U12="","Unknown type: "&amp;D12,IF(V12="","Select an account (Category)",IF(ISNA(MATCH(V12,coa_Name,0)),"Unknown account: "&amp;V12,IF(K12="","Select Paid From / Deposited To",IF(ISNA(MATCH(K12,coa_Name,0)),"Unknown account: "&amp;K12,IF(NOT(ISNUMBER(L12)),"Enter an amount",IF(L12=0,"Enter an amount",IF(ABS(W12)&gt;ABS(L12),"Tax is larger than the amount","")))))))))))))</f>
        <v/>
      </c>
      <c r="Y12" s="67">
        <f>IF(OR(T12=1,X12&lt;&gt;""),"",IF(AND(B12&lt;&gt;"",COUNTIF(tx_ID,B12)&gt;1),"Duplicate transaction ID",IF(AND(L12&lt;0,D12&lt;&gt;"Adjustment"),"Negative amount — check this entry",IF(AND(D12="Customer Payment",G12=""),"Add the customer",IF(AND(D12="Customer Payment",OR(J12="",COUNTIF(ar_No,J12&amp;"")=0)),"Invoice # in Reference not found on AR sheet",IF(AND(D12="Bill Payment",H12=""),"Add the vendor",IF(AND(D12="Bill Payment",OR(J12="",COUNTIFS(ap_No,J12&amp;"",ap_Party,H12&amp;"")=0)),"Bill # + vendor not found on AP sheet",IF(AND(ISNUMBER(M12),N(M12)&lt;&gt;0,W12=0),"Tax ignored (tax tracking off, or not allowed for this type)",IF(V12=K12&amp;"","Same account on both sides",IF(AND(ISNUMBER(StartDate),C12&lt;StartDate),"Date is before the accounting start date",IF(AND(D12&lt;&gt;"Adjustment",IFERROR(INDEX(coa_Pay,MATCH(K12&amp;"",coa_Name,0)),"")&lt;&gt;"Yes"),"Paid From / Deposited To is not a payment account","")))))))))))</f>
        <v/>
      </c>
      <c r="Z12" s="67">
        <f>IF(AND(T12=0,X12=""),1,0)</f>
        <v/>
      </c>
      <c r="AA12" s="68">
        <f>IF(Z12=1,IF(U12="In",L12,L12-W12),0)</f>
        <v/>
      </c>
      <c r="AB12" s="68">
        <f>IF(Z12=1,IF(U12="In",L12-W12,L12),0)</f>
        <v/>
      </c>
      <c r="AC12" s="68">
        <f>IF(AND(Z12=1,U12="Out"),W12,0)</f>
        <v/>
      </c>
      <c r="AD12" s="68">
        <f>IF(AND(Z12=1,U12="In"),W12,0)</f>
        <v/>
      </c>
    </row>
    <row r="13">
      <c r="B13" s="62" t="inlineStr">
        <is>
          <t>TX-0007</t>
        </is>
      </c>
      <c r="C13" s="63" t="n">
        <v>46031</v>
      </c>
      <c r="D13" s="62" t="inlineStr">
        <is>
          <t>Money Out</t>
        </is>
      </c>
      <c r="E13" s="62" t="inlineStr">
        <is>
          <t>Software &amp; Subscriptions</t>
        </is>
      </c>
      <c r="F13" s="62" t="inlineStr">
        <is>
          <t>POS app subscription</t>
        </is>
      </c>
      <c r="G13" s="62" t="n"/>
      <c r="H13" s="62" t="n"/>
      <c r="I13" s="62" t="inlineStr">
        <is>
          <t>Credit Card</t>
        </is>
      </c>
      <c r="J13" s="62" t="n"/>
      <c r="K13" s="62" t="inlineStr">
        <is>
          <t>Credit Card</t>
        </is>
      </c>
      <c r="L13" s="64" t="n">
        <v>1450</v>
      </c>
      <c r="M13" s="64" t="n">
        <v>155.36</v>
      </c>
      <c r="N13" s="62" t="n"/>
      <c r="O13" s="65">
        <f>IF(Z13=1,L13-W13,"")</f>
        <v/>
      </c>
      <c r="P13" s="66">
        <f>IF(V13="","",IFERROR(INDEX(coa_Type,MATCH(V13,coa_Name,0)),""))</f>
        <v/>
      </c>
      <c r="Q13" s="66">
        <f>IF(Z13=1,IF(U13="In",K13&amp;"",V13),"")</f>
        <v/>
      </c>
      <c r="R13" s="66">
        <f>IF(Z13=1,IF(U13="In",V13,K13&amp;""),"")</f>
        <v/>
      </c>
      <c r="S13" s="66">
        <f>IF(X13&lt;&gt;"","⛔ "&amp;X13&amp;" — not posted",IF(Y13&lt;&gt;"","⚠ "&amp;Y13,IF(Z13=1,"✓ OK","")))</f>
        <v/>
      </c>
      <c r="T13" s="67">
        <f>IF(AND(C13="",D13="",E13="",L13="",K13=""),1,0)</f>
        <v/>
      </c>
      <c r="U13" s="67">
        <f>IFERROR(INDEX(tt_Dir,MATCH(D13,tt_Type,0)),"")</f>
        <v/>
      </c>
      <c r="V13" s="67">
        <f>IF(D13="","",IFERROR(IF(INDEX(tt_Other,MATCH(D13,tt_Type,0))="",E13&amp;"",INDEX(tt_Other,MATCH(D13,tt_Type,0))),""))</f>
        <v/>
      </c>
      <c r="W13" s="68">
        <f>IF(OR(TaxOn&lt;&gt;"Yes",NOT(ISNUMBER(M13))),0,IF(IFERROR(INDEX(tt_Tax,MATCH(D13,tt_Type,0)),"No")="Yes",M13,0))</f>
        <v/>
      </c>
      <c r="X13" s="67">
        <f>IF(T13=1,"",IF(C13="","Missing transaction date",IF(NOT(ISNUMBER(C13)),"Invalid date",IF(OR(C13&lt;DATE(2000,1,1),C13&gt;DATE(2099,12,31)),"Invalid date",IF(D13="","Select a type",IF(U13="","Unknown type: "&amp;D13,IF(V13="","Select an account (Category)",IF(ISNA(MATCH(V13,coa_Name,0)),"Unknown account: "&amp;V13,IF(K13="","Select Paid From / Deposited To",IF(ISNA(MATCH(K13,coa_Name,0)),"Unknown account: "&amp;K13,IF(NOT(ISNUMBER(L13)),"Enter an amount",IF(L13=0,"Enter an amount",IF(ABS(W13)&gt;ABS(L13),"Tax is larger than the amount","")))))))))))))</f>
        <v/>
      </c>
      <c r="Y13" s="67">
        <f>IF(OR(T13=1,X13&lt;&gt;""),"",IF(AND(B13&lt;&gt;"",COUNTIF(tx_ID,B13)&gt;1),"Duplicate transaction ID",IF(AND(L13&lt;0,D13&lt;&gt;"Adjustment"),"Negative amount — check this entry",IF(AND(D13="Customer Payment",G13=""),"Add the customer",IF(AND(D13="Customer Payment",OR(J13="",COUNTIF(ar_No,J13&amp;"")=0)),"Invoice # in Reference not found on AR sheet",IF(AND(D13="Bill Payment",H13=""),"Add the vendor",IF(AND(D13="Bill Payment",OR(J13="",COUNTIFS(ap_No,J13&amp;"",ap_Party,H13&amp;"")=0)),"Bill # + vendor not found on AP sheet",IF(AND(ISNUMBER(M13),N(M13)&lt;&gt;0,W13=0),"Tax ignored (tax tracking off, or not allowed for this type)",IF(V13=K13&amp;"","Same account on both sides",IF(AND(ISNUMBER(StartDate),C13&lt;StartDate),"Date is before the accounting start date",IF(AND(D13&lt;&gt;"Adjustment",IFERROR(INDEX(coa_Pay,MATCH(K13&amp;"",coa_Name,0)),"")&lt;&gt;"Yes"),"Paid From / Deposited To is not a payment account","")))))))))))</f>
        <v/>
      </c>
      <c r="Z13" s="67">
        <f>IF(AND(T13=0,X13=""),1,0)</f>
        <v/>
      </c>
      <c r="AA13" s="68">
        <f>IF(Z13=1,IF(U13="In",L13,L13-W13),0)</f>
        <v/>
      </c>
      <c r="AB13" s="68">
        <f>IF(Z13=1,IF(U13="In",L13-W13,L13),0)</f>
        <v/>
      </c>
      <c r="AC13" s="68">
        <f>IF(AND(Z13=1,U13="Out"),W13,0)</f>
        <v/>
      </c>
      <c r="AD13" s="68">
        <f>IF(AND(Z13=1,U13="In"),W13,0)</f>
        <v/>
      </c>
    </row>
    <row r="14">
      <c r="B14" s="62" t="inlineStr">
        <is>
          <t>TX-0008</t>
        </is>
      </c>
      <c r="C14" s="63" t="n">
        <v>46032</v>
      </c>
      <c r="D14" s="62" t="inlineStr">
        <is>
          <t>Money Out</t>
        </is>
      </c>
      <c r="E14" s="62" t="inlineStr">
        <is>
          <t>Loans Payable</t>
        </is>
      </c>
      <c r="F14" s="62" t="inlineStr">
        <is>
          <t>Loan principal</t>
        </is>
      </c>
      <c r="G14" s="62" t="n"/>
      <c r="H14" s="62" t="n"/>
      <c r="I14" s="62" t="inlineStr">
        <is>
          <t>Bank Transfer</t>
        </is>
      </c>
      <c r="J14" s="62" t="inlineStr">
        <is>
          <t>LOAN</t>
        </is>
      </c>
      <c r="K14" s="62" t="inlineStr">
        <is>
          <t>Bank Account</t>
        </is>
      </c>
      <c r="L14" s="64" t="n">
        <v>8000</v>
      </c>
      <c r="M14" s="64" t="n"/>
      <c r="N14" s="62" t="n"/>
      <c r="O14" s="65">
        <f>IF(Z14=1,L14-W14,"")</f>
        <v/>
      </c>
      <c r="P14" s="66">
        <f>IF(V14="","",IFERROR(INDEX(coa_Type,MATCH(V14,coa_Name,0)),""))</f>
        <v/>
      </c>
      <c r="Q14" s="66">
        <f>IF(Z14=1,IF(U14="In",K14&amp;"",V14),"")</f>
        <v/>
      </c>
      <c r="R14" s="66">
        <f>IF(Z14=1,IF(U14="In",V14,K14&amp;""),"")</f>
        <v/>
      </c>
      <c r="S14" s="66">
        <f>IF(X14&lt;&gt;"","⛔ "&amp;X14&amp;" — not posted",IF(Y14&lt;&gt;"","⚠ "&amp;Y14,IF(Z14=1,"✓ OK","")))</f>
        <v/>
      </c>
      <c r="T14" s="67">
        <f>IF(AND(C14="",D14="",E14="",L14="",K14=""),1,0)</f>
        <v/>
      </c>
      <c r="U14" s="67">
        <f>IFERROR(INDEX(tt_Dir,MATCH(D14,tt_Type,0)),"")</f>
        <v/>
      </c>
      <c r="V14" s="67">
        <f>IF(D14="","",IFERROR(IF(INDEX(tt_Other,MATCH(D14,tt_Type,0))="",E14&amp;"",INDEX(tt_Other,MATCH(D14,tt_Type,0))),""))</f>
        <v/>
      </c>
      <c r="W14" s="68">
        <f>IF(OR(TaxOn&lt;&gt;"Yes",NOT(ISNUMBER(M14))),0,IF(IFERROR(INDEX(tt_Tax,MATCH(D14,tt_Type,0)),"No")="Yes",M14,0))</f>
        <v/>
      </c>
      <c r="X14" s="67">
        <f>IF(T14=1,"",IF(C14="","Missing transaction date",IF(NOT(ISNUMBER(C14)),"Invalid date",IF(OR(C14&lt;DATE(2000,1,1),C14&gt;DATE(2099,12,31)),"Invalid date",IF(D14="","Select a type",IF(U14="","Unknown type: "&amp;D14,IF(V14="","Select an account (Category)",IF(ISNA(MATCH(V14,coa_Name,0)),"Unknown account: "&amp;V14,IF(K14="","Select Paid From / Deposited To",IF(ISNA(MATCH(K14,coa_Name,0)),"Unknown account: "&amp;K14,IF(NOT(ISNUMBER(L14)),"Enter an amount",IF(L14=0,"Enter an amount",IF(ABS(W14)&gt;ABS(L14),"Tax is larger than the amount","")))))))))))))</f>
        <v/>
      </c>
      <c r="Y14" s="67">
        <f>IF(OR(T14=1,X14&lt;&gt;""),"",IF(AND(B14&lt;&gt;"",COUNTIF(tx_ID,B14)&gt;1),"Duplicate transaction ID",IF(AND(L14&lt;0,D14&lt;&gt;"Adjustment"),"Negative amount — check this entry",IF(AND(D14="Customer Payment",G14=""),"Add the customer",IF(AND(D14="Customer Payment",OR(J14="",COUNTIF(ar_No,J14&amp;"")=0)),"Invoice # in Reference not found on AR sheet",IF(AND(D14="Bill Payment",H14=""),"Add the vendor",IF(AND(D14="Bill Payment",OR(J14="",COUNTIFS(ap_No,J14&amp;"",ap_Party,H14&amp;"")=0)),"Bill # + vendor not found on AP sheet",IF(AND(ISNUMBER(M14),N(M14)&lt;&gt;0,W14=0),"Tax ignored (tax tracking off, or not allowed for this type)",IF(V14=K14&amp;"","Same account on both sides",IF(AND(ISNUMBER(StartDate),C14&lt;StartDate),"Date is before the accounting start date",IF(AND(D14&lt;&gt;"Adjustment",IFERROR(INDEX(coa_Pay,MATCH(K14&amp;"",coa_Name,0)),"")&lt;&gt;"Yes"),"Paid From / Deposited To is not a payment account","")))))))))))</f>
        <v/>
      </c>
      <c r="Z14" s="67">
        <f>IF(AND(T14=0,X14=""),1,0)</f>
        <v/>
      </c>
      <c r="AA14" s="68">
        <f>IF(Z14=1,IF(U14="In",L14,L14-W14),0)</f>
        <v/>
      </c>
      <c r="AB14" s="68">
        <f>IF(Z14=1,IF(U14="In",L14-W14,L14),0)</f>
        <v/>
      </c>
      <c r="AC14" s="68">
        <f>IF(AND(Z14=1,U14="Out"),W14,0)</f>
        <v/>
      </c>
      <c r="AD14" s="68">
        <f>IF(AND(Z14=1,U14="In"),W14,0)</f>
        <v/>
      </c>
    </row>
    <row r="15">
      <c r="B15" s="62" t="inlineStr">
        <is>
          <t>TX-0009</t>
        </is>
      </c>
      <c r="C15" s="63" t="n">
        <v>46032</v>
      </c>
      <c r="D15" s="62" t="inlineStr">
        <is>
          <t>Money Out</t>
        </is>
      </c>
      <c r="E15" s="62" t="inlineStr">
        <is>
          <t>Interest Expense</t>
        </is>
      </c>
      <c r="F15" s="62" t="inlineStr">
        <is>
          <t>Loan interest</t>
        </is>
      </c>
      <c r="G15" s="62" t="n"/>
      <c r="H15" s="62" t="n"/>
      <c r="I15" s="62" t="inlineStr">
        <is>
          <t>Bank Transfer</t>
        </is>
      </c>
      <c r="J15" s="62" t="inlineStr">
        <is>
          <t>LOAN</t>
        </is>
      </c>
      <c r="K15" s="62" t="inlineStr">
        <is>
          <t>Bank Account</t>
        </is>
      </c>
      <c r="L15" s="64" t="n">
        <v>1500</v>
      </c>
      <c r="M15" s="64" t="n"/>
      <c r="N15" s="62" t="n"/>
      <c r="O15" s="65">
        <f>IF(Z15=1,L15-W15,"")</f>
        <v/>
      </c>
      <c r="P15" s="66">
        <f>IF(V15="","",IFERROR(INDEX(coa_Type,MATCH(V15,coa_Name,0)),""))</f>
        <v/>
      </c>
      <c r="Q15" s="66">
        <f>IF(Z15=1,IF(U15="In",K15&amp;"",V15),"")</f>
        <v/>
      </c>
      <c r="R15" s="66">
        <f>IF(Z15=1,IF(U15="In",V15,K15&amp;""),"")</f>
        <v/>
      </c>
      <c r="S15" s="66">
        <f>IF(X15&lt;&gt;"","⛔ "&amp;X15&amp;" — not posted",IF(Y15&lt;&gt;"","⚠ "&amp;Y15,IF(Z15=1,"✓ OK","")))</f>
        <v/>
      </c>
      <c r="T15" s="67">
        <f>IF(AND(C15="",D15="",E15="",L15="",K15=""),1,0)</f>
        <v/>
      </c>
      <c r="U15" s="67">
        <f>IFERROR(INDEX(tt_Dir,MATCH(D15,tt_Type,0)),"")</f>
        <v/>
      </c>
      <c r="V15" s="67">
        <f>IF(D15="","",IFERROR(IF(INDEX(tt_Other,MATCH(D15,tt_Type,0))="",E15&amp;"",INDEX(tt_Other,MATCH(D15,tt_Type,0))),""))</f>
        <v/>
      </c>
      <c r="W15" s="68">
        <f>IF(OR(TaxOn&lt;&gt;"Yes",NOT(ISNUMBER(M15))),0,IF(IFERROR(INDEX(tt_Tax,MATCH(D15,tt_Type,0)),"No")="Yes",M15,0))</f>
        <v/>
      </c>
      <c r="X15" s="67">
        <f>IF(T15=1,"",IF(C15="","Missing transaction date",IF(NOT(ISNUMBER(C15)),"Invalid date",IF(OR(C15&lt;DATE(2000,1,1),C15&gt;DATE(2099,12,31)),"Invalid date",IF(D15="","Select a type",IF(U15="","Unknown type: "&amp;D15,IF(V15="","Select an account (Category)",IF(ISNA(MATCH(V15,coa_Name,0)),"Unknown account: "&amp;V15,IF(K15="","Select Paid From / Deposited To",IF(ISNA(MATCH(K15,coa_Name,0)),"Unknown account: "&amp;K15,IF(NOT(ISNUMBER(L15)),"Enter an amount",IF(L15=0,"Enter an amount",IF(ABS(W15)&gt;ABS(L15),"Tax is larger than the amount","")))))))))))))</f>
        <v/>
      </c>
      <c r="Y15" s="67">
        <f>IF(OR(T15=1,X15&lt;&gt;""),"",IF(AND(B15&lt;&gt;"",COUNTIF(tx_ID,B15)&gt;1),"Duplicate transaction ID",IF(AND(L15&lt;0,D15&lt;&gt;"Adjustment"),"Negative amount — check this entry",IF(AND(D15="Customer Payment",G15=""),"Add the customer",IF(AND(D15="Customer Payment",OR(J15="",COUNTIF(ar_No,J15&amp;"")=0)),"Invoice # in Reference not found on AR sheet",IF(AND(D15="Bill Payment",H15=""),"Add the vendor",IF(AND(D15="Bill Payment",OR(J15="",COUNTIFS(ap_No,J15&amp;"",ap_Party,H15&amp;"")=0)),"Bill # + vendor not found on AP sheet",IF(AND(ISNUMBER(M15),N(M15)&lt;&gt;0,W15=0),"Tax ignored (tax tracking off, or not allowed for this type)",IF(V15=K15&amp;"","Same account on both sides",IF(AND(ISNUMBER(StartDate),C15&lt;StartDate),"Date is before the accounting start date",IF(AND(D15&lt;&gt;"Adjustment",IFERROR(INDEX(coa_Pay,MATCH(K15&amp;"",coa_Name,0)),"")&lt;&gt;"Yes"),"Paid From / Deposited To is not a payment account","")))))))))))</f>
        <v/>
      </c>
      <c r="Z15" s="67">
        <f>IF(AND(T15=0,X15=""),1,0)</f>
        <v/>
      </c>
      <c r="AA15" s="68">
        <f>IF(Z15=1,IF(U15="In",L15,L15-W15),0)</f>
        <v/>
      </c>
      <c r="AB15" s="68">
        <f>IF(Z15=1,IF(U15="In",L15-W15,L15),0)</f>
        <v/>
      </c>
      <c r="AC15" s="68">
        <f>IF(AND(Z15=1,U15="Out"),W15,0)</f>
        <v/>
      </c>
      <c r="AD15" s="68">
        <f>IF(AND(Z15=1,U15="In"),W15,0)</f>
        <v/>
      </c>
    </row>
    <row r="16">
      <c r="B16" s="62" t="inlineStr">
        <is>
          <t>TX-0010</t>
        </is>
      </c>
      <c r="C16" s="63" t="n">
        <v>46033</v>
      </c>
      <c r="D16" s="62" t="inlineStr">
        <is>
          <t>Money In</t>
        </is>
      </c>
      <c r="E16" s="62" t="inlineStr">
        <is>
          <t>Product Sales</t>
        </is>
      </c>
      <c r="F16" s="62" t="inlineStr">
        <is>
          <t>Counter sales week 2</t>
        </is>
      </c>
      <c r="G16" s="62" t="n"/>
      <c r="H16" s="62" t="n"/>
      <c r="I16" s="62" t="inlineStr">
        <is>
          <t>Cash</t>
        </is>
      </c>
      <c r="J16" s="62" t="n"/>
      <c r="K16" s="62" t="inlineStr">
        <is>
          <t>Cash on Hand</t>
        </is>
      </c>
      <c r="L16" s="64" t="n">
        <v>42316.87</v>
      </c>
      <c r="M16" s="64" t="n">
        <v>4533.95</v>
      </c>
      <c r="N16" s="62" t="n"/>
      <c r="O16" s="65">
        <f>IF(Z16=1,L16-W16,"")</f>
        <v/>
      </c>
      <c r="P16" s="66">
        <f>IF(V16="","",IFERROR(INDEX(coa_Type,MATCH(V16,coa_Name,0)),""))</f>
        <v/>
      </c>
      <c r="Q16" s="66">
        <f>IF(Z16=1,IF(U16="In",K16&amp;"",V16),"")</f>
        <v/>
      </c>
      <c r="R16" s="66">
        <f>IF(Z16=1,IF(U16="In",V16,K16&amp;""),"")</f>
        <v/>
      </c>
      <c r="S16" s="66">
        <f>IF(X16&lt;&gt;"","⛔ "&amp;X16&amp;" — not posted",IF(Y16&lt;&gt;"","⚠ "&amp;Y16,IF(Z16=1,"✓ OK","")))</f>
        <v/>
      </c>
      <c r="T16" s="67">
        <f>IF(AND(C16="",D16="",E16="",L16="",K16=""),1,0)</f>
        <v/>
      </c>
      <c r="U16" s="67">
        <f>IFERROR(INDEX(tt_Dir,MATCH(D16,tt_Type,0)),"")</f>
        <v/>
      </c>
      <c r="V16" s="67">
        <f>IF(D16="","",IFERROR(IF(INDEX(tt_Other,MATCH(D16,tt_Type,0))="",E16&amp;"",INDEX(tt_Other,MATCH(D16,tt_Type,0))),""))</f>
        <v/>
      </c>
      <c r="W16" s="68">
        <f>IF(OR(TaxOn&lt;&gt;"Yes",NOT(ISNUMBER(M16))),0,IF(IFERROR(INDEX(tt_Tax,MATCH(D16,tt_Type,0)),"No")="Yes",M16,0))</f>
        <v/>
      </c>
      <c r="X16" s="67">
        <f>IF(T16=1,"",IF(C16="","Missing transaction date",IF(NOT(ISNUMBER(C16)),"Invalid date",IF(OR(C16&lt;DATE(2000,1,1),C16&gt;DATE(2099,12,31)),"Invalid date",IF(D16="","Select a type",IF(U16="","Unknown type: "&amp;D16,IF(V16="","Select an account (Category)",IF(ISNA(MATCH(V16,coa_Name,0)),"Unknown account: "&amp;V16,IF(K16="","Select Paid From / Deposited To",IF(ISNA(MATCH(K16,coa_Name,0)),"Unknown account: "&amp;K16,IF(NOT(ISNUMBER(L16)),"Enter an amount",IF(L16=0,"Enter an amount",IF(ABS(W16)&gt;ABS(L16),"Tax is larger than the amount","")))))))))))))</f>
        <v/>
      </c>
      <c r="Y16" s="67">
        <f>IF(OR(T16=1,X16&lt;&gt;""),"",IF(AND(B16&lt;&gt;"",COUNTIF(tx_ID,B16)&gt;1),"Duplicate transaction ID",IF(AND(L16&lt;0,D16&lt;&gt;"Adjustment"),"Negative amount — check this entry",IF(AND(D16="Customer Payment",G16=""),"Add the customer",IF(AND(D16="Customer Payment",OR(J16="",COUNTIF(ar_No,J16&amp;"")=0)),"Invoice # in Reference not found on AR sheet",IF(AND(D16="Bill Payment",H16=""),"Add the vendor",IF(AND(D16="Bill Payment",OR(J16="",COUNTIFS(ap_No,J16&amp;"",ap_Party,H16&amp;"")=0)),"Bill # + vendor not found on AP sheet",IF(AND(ISNUMBER(M16),N(M16)&lt;&gt;0,W16=0),"Tax ignored (tax tracking off, or not allowed for this type)",IF(V16=K16&amp;"","Same account on both sides",IF(AND(ISNUMBER(StartDate),C16&lt;StartDate),"Date is before the accounting start date",IF(AND(D16&lt;&gt;"Adjustment",IFERROR(INDEX(coa_Pay,MATCH(K16&amp;"",coa_Name,0)),"")&lt;&gt;"Yes"),"Paid From / Deposited To is not a payment account","")))))))))))</f>
        <v/>
      </c>
      <c r="Z16" s="67">
        <f>IF(AND(T16=0,X16=""),1,0)</f>
        <v/>
      </c>
      <c r="AA16" s="68">
        <f>IF(Z16=1,IF(U16="In",L16,L16-W16),0)</f>
        <v/>
      </c>
      <c r="AB16" s="68">
        <f>IF(Z16=1,IF(U16="In",L16-W16,L16),0)</f>
        <v/>
      </c>
      <c r="AC16" s="68">
        <f>IF(AND(Z16=1,U16="Out"),W16,0)</f>
        <v/>
      </c>
      <c r="AD16" s="68">
        <f>IF(AND(Z16=1,U16="In"),W16,0)</f>
        <v/>
      </c>
    </row>
    <row r="17">
      <c r="B17" s="62" t="inlineStr">
        <is>
          <t>TX-0011</t>
        </is>
      </c>
      <c r="C17" s="63" t="n">
        <v>46034</v>
      </c>
      <c r="D17" s="62" t="inlineStr">
        <is>
          <t>Money In</t>
        </is>
      </c>
      <c r="E17" s="62" t="inlineStr">
        <is>
          <t>Product Sales</t>
        </is>
      </c>
      <c r="F17" s="62" t="inlineStr">
        <is>
          <t>GCash / online orders week 2</t>
        </is>
      </c>
      <c r="G17" s="62" t="n"/>
      <c r="H17" s="62" t="n"/>
      <c r="I17" s="62" t="inlineStr">
        <is>
          <t>E-Wallet</t>
        </is>
      </c>
      <c r="J17" s="62" t="n"/>
      <c r="K17" s="62" t="inlineStr">
        <is>
          <t>E-Wallet / Online Payments</t>
        </is>
      </c>
      <c r="L17" s="64" t="n">
        <v>22825.17</v>
      </c>
      <c r="M17" s="64" t="n">
        <v>2445.55</v>
      </c>
      <c r="N17" s="62" t="n"/>
      <c r="O17" s="65">
        <f>IF(Z17=1,L17-W17,"")</f>
        <v/>
      </c>
      <c r="P17" s="66">
        <f>IF(V17="","",IFERROR(INDEX(coa_Type,MATCH(V17,coa_Name,0)),""))</f>
        <v/>
      </c>
      <c r="Q17" s="66">
        <f>IF(Z17=1,IF(U17="In",K17&amp;"",V17),"")</f>
        <v/>
      </c>
      <c r="R17" s="66">
        <f>IF(Z17=1,IF(U17="In",V17,K17&amp;""),"")</f>
        <v/>
      </c>
      <c r="S17" s="66">
        <f>IF(X17&lt;&gt;"","⛔ "&amp;X17&amp;" — not posted",IF(Y17&lt;&gt;"","⚠ "&amp;Y17,IF(Z17=1,"✓ OK","")))</f>
        <v/>
      </c>
      <c r="T17" s="67">
        <f>IF(AND(C17="",D17="",E17="",L17="",K17=""),1,0)</f>
        <v/>
      </c>
      <c r="U17" s="67">
        <f>IFERROR(INDEX(tt_Dir,MATCH(D17,tt_Type,0)),"")</f>
        <v/>
      </c>
      <c r="V17" s="67">
        <f>IF(D17="","",IFERROR(IF(INDEX(tt_Other,MATCH(D17,tt_Type,0))="",E17&amp;"",INDEX(tt_Other,MATCH(D17,tt_Type,0))),""))</f>
        <v/>
      </c>
      <c r="W17" s="68">
        <f>IF(OR(TaxOn&lt;&gt;"Yes",NOT(ISNUMBER(M17))),0,IF(IFERROR(INDEX(tt_Tax,MATCH(D17,tt_Type,0)),"No")="Yes",M17,0))</f>
        <v/>
      </c>
      <c r="X17" s="67">
        <f>IF(T17=1,"",IF(C17="","Missing transaction date",IF(NOT(ISNUMBER(C17)),"Invalid date",IF(OR(C17&lt;DATE(2000,1,1),C17&gt;DATE(2099,12,31)),"Invalid date",IF(D17="","Select a type",IF(U17="","Unknown type: "&amp;D17,IF(V17="","Select an account (Category)",IF(ISNA(MATCH(V17,coa_Name,0)),"Unknown account: "&amp;V17,IF(K17="","Select Paid From / Deposited To",IF(ISNA(MATCH(K17,coa_Name,0)),"Unknown account: "&amp;K17,IF(NOT(ISNUMBER(L17)),"Enter an amount",IF(L17=0,"Enter an amount",IF(ABS(W17)&gt;ABS(L17),"Tax is larger than the amount","")))))))))))))</f>
        <v/>
      </c>
      <c r="Y17" s="67">
        <f>IF(OR(T17=1,X17&lt;&gt;""),"",IF(AND(B17&lt;&gt;"",COUNTIF(tx_ID,B17)&gt;1),"Duplicate transaction ID",IF(AND(L17&lt;0,D17&lt;&gt;"Adjustment"),"Negative amount — check this entry",IF(AND(D17="Customer Payment",G17=""),"Add the customer",IF(AND(D17="Customer Payment",OR(J17="",COUNTIF(ar_No,J17&amp;"")=0)),"Invoice # in Reference not found on AR sheet",IF(AND(D17="Bill Payment",H17=""),"Add the vendor",IF(AND(D17="Bill Payment",OR(J17="",COUNTIFS(ap_No,J17&amp;"",ap_Party,H17&amp;"")=0)),"Bill # + vendor not found on AP sheet",IF(AND(ISNUMBER(M17),N(M17)&lt;&gt;0,W17=0),"Tax ignored (tax tracking off, or not allowed for this type)",IF(V17=K17&amp;"","Same account on both sides",IF(AND(ISNUMBER(StartDate),C17&lt;StartDate),"Date is before the accounting start date",IF(AND(D17&lt;&gt;"Adjustment",IFERROR(INDEX(coa_Pay,MATCH(K17&amp;"",coa_Name,0)),"")&lt;&gt;"Yes"),"Paid From / Deposited To is not a payment account","")))))))))))</f>
        <v/>
      </c>
      <c r="Z17" s="67">
        <f>IF(AND(T17=0,X17=""),1,0)</f>
        <v/>
      </c>
      <c r="AA17" s="68">
        <f>IF(Z17=1,IF(U17="In",L17,L17-W17),0)</f>
        <v/>
      </c>
      <c r="AB17" s="68">
        <f>IF(Z17=1,IF(U17="In",L17-W17,L17),0)</f>
        <v/>
      </c>
      <c r="AC17" s="68">
        <f>IF(AND(Z17=1,U17="Out"),W17,0)</f>
        <v/>
      </c>
      <c r="AD17" s="68">
        <f>IF(AND(Z17=1,U17="In"),W17,0)</f>
        <v/>
      </c>
    </row>
    <row r="18">
      <c r="B18" s="62" t="inlineStr">
        <is>
          <t>TX-0012</t>
        </is>
      </c>
      <c r="C18" s="63" t="n">
        <v>46034</v>
      </c>
      <c r="D18" s="62" t="inlineStr">
        <is>
          <t>Money Out</t>
        </is>
      </c>
      <c r="E18" s="62" t="inlineStr">
        <is>
          <t>Utilities</t>
        </is>
      </c>
      <c r="F18" s="62" t="inlineStr">
        <is>
          <t>Electricity &amp; water</t>
        </is>
      </c>
      <c r="G18" s="62" t="n"/>
      <c r="H18" s="62" t="n"/>
      <c r="I18" s="62" t="inlineStr">
        <is>
          <t>Bank Transfer</t>
        </is>
      </c>
      <c r="J18" s="62" t="n"/>
      <c r="K18" s="62" t="inlineStr">
        <is>
          <t>Bank Account</t>
        </is>
      </c>
      <c r="L18" s="64" t="n">
        <v>9162.959999999999</v>
      </c>
      <c r="M18" s="64" t="n">
        <v>981.75</v>
      </c>
      <c r="N18" s="62" t="n"/>
      <c r="O18" s="65">
        <f>IF(Z18=1,L18-W18,"")</f>
        <v/>
      </c>
      <c r="P18" s="66">
        <f>IF(V18="","",IFERROR(INDEX(coa_Type,MATCH(V18,coa_Name,0)),""))</f>
        <v/>
      </c>
      <c r="Q18" s="66">
        <f>IF(Z18=1,IF(U18="In",K18&amp;"",V18),"")</f>
        <v/>
      </c>
      <c r="R18" s="66">
        <f>IF(Z18=1,IF(U18="In",V18,K18&amp;""),"")</f>
        <v/>
      </c>
      <c r="S18" s="66">
        <f>IF(X18&lt;&gt;"","⛔ "&amp;X18&amp;" — not posted",IF(Y18&lt;&gt;"","⚠ "&amp;Y18,IF(Z18=1,"✓ OK","")))</f>
        <v/>
      </c>
      <c r="T18" s="67">
        <f>IF(AND(C18="",D18="",E18="",L18="",K18=""),1,0)</f>
        <v/>
      </c>
      <c r="U18" s="67">
        <f>IFERROR(INDEX(tt_Dir,MATCH(D18,tt_Type,0)),"")</f>
        <v/>
      </c>
      <c r="V18" s="67">
        <f>IF(D18="","",IFERROR(IF(INDEX(tt_Other,MATCH(D18,tt_Type,0))="",E18&amp;"",INDEX(tt_Other,MATCH(D18,tt_Type,0))),""))</f>
        <v/>
      </c>
      <c r="W18" s="68">
        <f>IF(OR(TaxOn&lt;&gt;"Yes",NOT(ISNUMBER(M18))),0,IF(IFERROR(INDEX(tt_Tax,MATCH(D18,tt_Type,0)),"No")="Yes",M18,0))</f>
        <v/>
      </c>
      <c r="X18" s="67">
        <f>IF(T18=1,"",IF(C18="","Missing transaction date",IF(NOT(ISNUMBER(C18)),"Invalid date",IF(OR(C18&lt;DATE(2000,1,1),C18&gt;DATE(2099,12,31)),"Invalid date",IF(D18="","Select a type",IF(U18="","Unknown type: "&amp;D18,IF(V18="","Select an account (Category)",IF(ISNA(MATCH(V18,coa_Name,0)),"Unknown account: "&amp;V18,IF(K18="","Select Paid From / Deposited To",IF(ISNA(MATCH(K18,coa_Name,0)),"Unknown account: "&amp;K18,IF(NOT(ISNUMBER(L18)),"Enter an amount",IF(L18=0,"Enter an amount",IF(ABS(W18)&gt;ABS(L18),"Tax is larger than the amount","")))))))))))))</f>
        <v/>
      </c>
      <c r="Y18" s="67">
        <f>IF(OR(T18=1,X18&lt;&gt;""),"",IF(AND(B18&lt;&gt;"",COUNTIF(tx_ID,B18)&gt;1),"Duplicate transaction ID",IF(AND(L18&lt;0,D18&lt;&gt;"Adjustment"),"Negative amount — check this entry",IF(AND(D18="Customer Payment",G18=""),"Add the customer",IF(AND(D18="Customer Payment",OR(J18="",COUNTIF(ar_No,J18&amp;"")=0)),"Invoice # in Reference not found on AR sheet",IF(AND(D18="Bill Payment",H18=""),"Add the vendor",IF(AND(D18="Bill Payment",OR(J18="",COUNTIFS(ap_No,J18&amp;"",ap_Party,H18&amp;"")=0)),"Bill # + vendor not found on AP sheet",IF(AND(ISNUMBER(M18),N(M18)&lt;&gt;0,W18=0),"Tax ignored (tax tracking off, or not allowed for this type)",IF(V18=K18&amp;"","Same account on both sides",IF(AND(ISNUMBER(StartDate),C18&lt;StartDate),"Date is before the accounting start date",IF(AND(D18&lt;&gt;"Adjustment",IFERROR(INDEX(coa_Pay,MATCH(K18&amp;"",coa_Name,0)),"")&lt;&gt;"Yes"),"Paid From / Deposited To is not a payment account","")))))))))))</f>
        <v/>
      </c>
      <c r="Z18" s="67">
        <f>IF(AND(T18=0,X18=""),1,0)</f>
        <v/>
      </c>
      <c r="AA18" s="68">
        <f>IF(Z18=1,IF(U18="In",L18,L18-W18),0)</f>
        <v/>
      </c>
      <c r="AB18" s="68">
        <f>IF(Z18=1,IF(U18="In",L18-W18,L18),0)</f>
        <v/>
      </c>
      <c r="AC18" s="68">
        <f>IF(AND(Z18=1,U18="Out"),W18,0)</f>
        <v/>
      </c>
      <c r="AD18" s="68">
        <f>IF(AND(Z18=1,U18="In"),W18,0)</f>
        <v/>
      </c>
    </row>
    <row r="19">
      <c r="B19" s="62" t="inlineStr">
        <is>
          <t>TX-0013</t>
        </is>
      </c>
      <c r="C19" s="63" t="n">
        <v>46035</v>
      </c>
      <c r="D19" s="62" t="inlineStr">
        <is>
          <t>Transfer</t>
        </is>
      </c>
      <c r="E19" s="62" t="inlineStr">
        <is>
          <t>Bank Account</t>
        </is>
      </c>
      <c r="F19" s="62" t="inlineStr">
        <is>
          <t>Cash deposit to bank</t>
        </is>
      </c>
      <c r="G19" s="62" t="n"/>
      <c r="H19" s="62" t="n"/>
      <c r="I19" s="62" t="inlineStr">
        <is>
          <t>Cash</t>
        </is>
      </c>
      <c r="J19" s="62" t="n"/>
      <c r="K19" s="62" t="inlineStr">
        <is>
          <t>Cash on Hand</t>
        </is>
      </c>
      <c r="L19" s="64" t="n">
        <v>36000</v>
      </c>
      <c r="M19" s="64" t="n"/>
      <c r="N19" s="62" t="n"/>
      <c r="O19" s="65">
        <f>IF(Z19=1,L19-W19,"")</f>
        <v/>
      </c>
      <c r="P19" s="66">
        <f>IF(V19="","",IFERROR(INDEX(coa_Type,MATCH(V19,coa_Name,0)),""))</f>
        <v/>
      </c>
      <c r="Q19" s="66">
        <f>IF(Z19=1,IF(U19="In",K19&amp;"",V19),"")</f>
        <v/>
      </c>
      <c r="R19" s="66">
        <f>IF(Z19=1,IF(U19="In",V19,K19&amp;""),"")</f>
        <v/>
      </c>
      <c r="S19" s="66">
        <f>IF(X19&lt;&gt;"","⛔ "&amp;X19&amp;" — not posted",IF(Y19&lt;&gt;"","⚠ "&amp;Y19,IF(Z19=1,"✓ OK","")))</f>
        <v/>
      </c>
      <c r="T19" s="67">
        <f>IF(AND(C19="",D19="",E19="",L19="",K19=""),1,0)</f>
        <v/>
      </c>
      <c r="U19" s="67">
        <f>IFERROR(INDEX(tt_Dir,MATCH(D19,tt_Type,0)),"")</f>
        <v/>
      </c>
      <c r="V19" s="67">
        <f>IF(D19="","",IFERROR(IF(INDEX(tt_Other,MATCH(D19,tt_Type,0))="",E19&amp;"",INDEX(tt_Other,MATCH(D19,tt_Type,0))),""))</f>
        <v/>
      </c>
      <c r="W19" s="68">
        <f>IF(OR(TaxOn&lt;&gt;"Yes",NOT(ISNUMBER(M19))),0,IF(IFERROR(INDEX(tt_Tax,MATCH(D19,tt_Type,0)),"No")="Yes",M19,0))</f>
        <v/>
      </c>
      <c r="X19" s="67">
        <f>IF(T19=1,"",IF(C19="","Missing transaction date",IF(NOT(ISNUMBER(C19)),"Invalid date",IF(OR(C19&lt;DATE(2000,1,1),C19&gt;DATE(2099,12,31)),"Invalid date",IF(D19="","Select a type",IF(U19="","Unknown type: "&amp;D19,IF(V19="","Select an account (Category)",IF(ISNA(MATCH(V19,coa_Name,0)),"Unknown account: "&amp;V19,IF(K19="","Select Paid From / Deposited To",IF(ISNA(MATCH(K19,coa_Name,0)),"Unknown account: "&amp;K19,IF(NOT(ISNUMBER(L19)),"Enter an amount",IF(L19=0,"Enter an amount",IF(ABS(W19)&gt;ABS(L19),"Tax is larger than the amount","")))))))))))))</f>
        <v/>
      </c>
      <c r="Y19" s="67">
        <f>IF(OR(T19=1,X19&lt;&gt;""),"",IF(AND(B19&lt;&gt;"",COUNTIF(tx_ID,B19)&gt;1),"Duplicate transaction ID",IF(AND(L19&lt;0,D19&lt;&gt;"Adjustment"),"Negative amount — check this entry",IF(AND(D19="Customer Payment",G19=""),"Add the customer",IF(AND(D19="Customer Payment",OR(J19="",COUNTIF(ar_No,J19&amp;"")=0)),"Invoice # in Reference not found on AR sheet",IF(AND(D19="Bill Payment",H19=""),"Add the vendor",IF(AND(D19="Bill Payment",OR(J19="",COUNTIFS(ap_No,J19&amp;"",ap_Party,H19&amp;"")=0)),"Bill # + vendor not found on AP sheet",IF(AND(ISNUMBER(M19),N(M19)&lt;&gt;0,W19=0),"Tax ignored (tax tracking off, or not allowed for this type)",IF(V19=K19&amp;"","Same account on both sides",IF(AND(ISNUMBER(StartDate),C19&lt;StartDate),"Date is before the accounting start date",IF(AND(D19&lt;&gt;"Adjustment",IFERROR(INDEX(coa_Pay,MATCH(K19&amp;"",coa_Name,0)),"")&lt;&gt;"Yes"),"Paid From / Deposited To is not a payment account","")))))))))))</f>
        <v/>
      </c>
      <c r="Z19" s="67">
        <f>IF(AND(T19=0,X19=""),1,0)</f>
        <v/>
      </c>
      <c r="AA19" s="68">
        <f>IF(Z19=1,IF(U19="In",L19,L19-W19),0)</f>
        <v/>
      </c>
      <c r="AB19" s="68">
        <f>IF(Z19=1,IF(U19="In",L19-W19,L19),0)</f>
        <v/>
      </c>
      <c r="AC19" s="68">
        <f>IF(AND(Z19=1,U19="Out"),W19,0)</f>
        <v/>
      </c>
      <c r="AD19" s="68">
        <f>IF(AND(Z19=1,U19="In"),W19,0)</f>
        <v/>
      </c>
    </row>
    <row r="20">
      <c r="B20" s="62" t="inlineStr">
        <is>
          <t>TX-0014</t>
        </is>
      </c>
      <c r="C20" s="63" t="n">
        <v>46037</v>
      </c>
      <c r="D20" s="62" t="inlineStr">
        <is>
          <t>Money Out</t>
        </is>
      </c>
      <c r="E20" s="62" t="inlineStr">
        <is>
          <t>Internet &amp; Phone</t>
        </is>
      </c>
      <c r="F20" s="62" t="inlineStr">
        <is>
          <t>Fiber internet</t>
        </is>
      </c>
      <c r="G20" s="62" t="n"/>
      <c r="H20" s="62" t="n"/>
      <c r="I20" s="62" t="inlineStr">
        <is>
          <t>Bank Transfer</t>
        </is>
      </c>
      <c r="J20" s="62" t="n"/>
      <c r="K20" s="62" t="inlineStr">
        <is>
          <t>Bank Account</t>
        </is>
      </c>
      <c r="L20" s="64" t="n">
        <v>2499</v>
      </c>
      <c r="M20" s="64" t="n">
        <v>267.75</v>
      </c>
      <c r="N20" s="62" t="n"/>
      <c r="O20" s="65">
        <f>IF(Z20=1,L20-W20,"")</f>
        <v/>
      </c>
      <c r="P20" s="66">
        <f>IF(V20="","",IFERROR(INDEX(coa_Type,MATCH(V20,coa_Name,0)),""))</f>
        <v/>
      </c>
      <c r="Q20" s="66">
        <f>IF(Z20=1,IF(U20="In",K20&amp;"",V20),"")</f>
        <v/>
      </c>
      <c r="R20" s="66">
        <f>IF(Z20=1,IF(U20="In",V20,K20&amp;""),"")</f>
        <v/>
      </c>
      <c r="S20" s="66">
        <f>IF(X20&lt;&gt;"","⛔ "&amp;X20&amp;" — not posted",IF(Y20&lt;&gt;"","⚠ "&amp;Y20,IF(Z20=1,"✓ OK","")))</f>
        <v/>
      </c>
      <c r="T20" s="67">
        <f>IF(AND(C20="",D20="",E20="",L20="",K20=""),1,0)</f>
        <v/>
      </c>
      <c r="U20" s="67">
        <f>IFERROR(INDEX(tt_Dir,MATCH(D20,tt_Type,0)),"")</f>
        <v/>
      </c>
      <c r="V20" s="67">
        <f>IF(D20="","",IFERROR(IF(INDEX(tt_Other,MATCH(D20,tt_Type,0))="",E20&amp;"",INDEX(tt_Other,MATCH(D20,tt_Type,0))),""))</f>
        <v/>
      </c>
      <c r="W20" s="68">
        <f>IF(OR(TaxOn&lt;&gt;"Yes",NOT(ISNUMBER(M20))),0,IF(IFERROR(INDEX(tt_Tax,MATCH(D20,tt_Type,0)),"No")="Yes",M20,0))</f>
        <v/>
      </c>
      <c r="X20" s="67">
        <f>IF(T20=1,"",IF(C20="","Missing transaction date",IF(NOT(ISNUMBER(C20)),"Invalid date",IF(OR(C20&lt;DATE(2000,1,1),C20&gt;DATE(2099,12,31)),"Invalid date",IF(D20="","Select a type",IF(U20="","Unknown type: "&amp;D20,IF(V20="","Select an account (Category)",IF(ISNA(MATCH(V20,coa_Name,0)),"Unknown account: "&amp;V20,IF(K20="","Select Paid From / Deposited To",IF(ISNA(MATCH(K20,coa_Name,0)),"Unknown account: "&amp;K20,IF(NOT(ISNUMBER(L20)),"Enter an amount",IF(L20=0,"Enter an amount",IF(ABS(W20)&gt;ABS(L20),"Tax is larger than the amount","")))))))))))))</f>
        <v/>
      </c>
      <c r="Y20" s="67">
        <f>IF(OR(T20=1,X20&lt;&gt;""),"",IF(AND(B20&lt;&gt;"",COUNTIF(tx_ID,B20)&gt;1),"Duplicate transaction ID",IF(AND(L20&lt;0,D20&lt;&gt;"Adjustment"),"Negative amount — check this entry",IF(AND(D20="Customer Payment",G20=""),"Add the customer",IF(AND(D20="Customer Payment",OR(J20="",COUNTIF(ar_No,J20&amp;"")=0)),"Invoice # in Reference not found on AR sheet",IF(AND(D20="Bill Payment",H20=""),"Add the vendor",IF(AND(D20="Bill Payment",OR(J20="",COUNTIFS(ap_No,J20&amp;"",ap_Party,H20&amp;"")=0)),"Bill # + vendor not found on AP sheet",IF(AND(ISNUMBER(M20),N(M20)&lt;&gt;0,W20=0),"Tax ignored (tax tracking off, or not allowed for this type)",IF(V20=K20&amp;"","Same account on both sides",IF(AND(ISNUMBER(StartDate),C20&lt;StartDate),"Date is before the accounting start date",IF(AND(D20&lt;&gt;"Adjustment",IFERROR(INDEX(coa_Pay,MATCH(K20&amp;"",coa_Name,0)),"")&lt;&gt;"Yes"),"Paid From / Deposited To is not a payment account","")))))))))))</f>
        <v/>
      </c>
      <c r="Z20" s="67">
        <f>IF(AND(T20=0,X20=""),1,0)</f>
        <v/>
      </c>
      <c r="AA20" s="68">
        <f>IF(Z20=1,IF(U20="In",L20,L20-W20),0)</f>
        <v/>
      </c>
      <c r="AB20" s="68">
        <f>IF(Z20=1,IF(U20="In",L20-W20,L20),0)</f>
        <v/>
      </c>
      <c r="AC20" s="68">
        <f>IF(AND(Z20=1,U20="Out"),W20,0)</f>
        <v/>
      </c>
      <c r="AD20" s="68">
        <f>IF(AND(Z20=1,U20="In"),W20,0)</f>
        <v/>
      </c>
    </row>
    <row r="21">
      <c r="B21" s="62" t="inlineStr">
        <is>
          <t>TX-0015</t>
        </is>
      </c>
      <c r="C21" s="63" t="n">
        <v>46037</v>
      </c>
      <c r="D21" s="62" t="inlineStr">
        <is>
          <t>Money Out</t>
        </is>
      </c>
      <c r="E21" s="62" t="inlineStr">
        <is>
          <t>Direct Labor</t>
        </is>
      </c>
      <c r="F21" s="62" t="inlineStr">
        <is>
          <t>Bakers' salaries (1st-15th)</t>
        </is>
      </c>
      <c r="G21" s="62" t="n"/>
      <c r="H21" s="62" t="n"/>
      <c r="I21" s="62" t="inlineStr">
        <is>
          <t>Bank Transfer</t>
        </is>
      </c>
      <c r="J21" s="62" t="n"/>
      <c r="K21" s="62" t="inlineStr">
        <is>
          <t>Bank Account</t>
        </is>
      </c>
      <c r="L21" s="64" t="n">
        <v>38000</v>
      </c>
      <c r="M21" s="64" t="n"/>
      <c r="N21" s="62" t="n"/>
      <c r="O21" s="65">
        <f>IF(Z21=1,L21-W21,"")</f>
        <v/>
      </c>
      <c r="P21" s="66">
        <f>IF(V21="","",IFERROR(INDEX(coa_Type,MATCH(V21,coa_Name,0)),""))</f>
        <v/>
      </c>
      <c r="Q21" s="66">
        <f>IF(Z21=1,IF(U21="In",K21&amp;"",V21),"")</f>
        <v/>
      </c>
      <c r="R21" s="66">
        <f>IF(Z21=1,IF(U21="In",V21,K21&amp;""),"")</f>
        <v/>
      </c>
      <c r="S21" s="66">
        <f>IF(X21&lt;&gt;"","⛔ "&amp;X21&amp;" — not posted",IF(Y21&lt;&gt;"","⚠ "&amp;Y21,IF(Z21=1,"✓ OK","")))</f>
        <v/>
      </c>
      <c r="T21" s="67">
        <f>IF(AND(C21="",D21="",E21="",L21="",K21=""),1,0)</f>
        <v/>
      </c>
      <c r="U21" s="67">
        <f>IFERROR(INDEX(tt_Dir,MATCH(D21,tt_Type,0)),"")</f>
        <v/>
      </c>
      <c r="V21" s="67">
        <f>IF(D21="","",IFERROR(IF(INDEX(tt_Other,MATCH(D21,tt_Type,0))="",E21&amp;"",INDEX(tt_Other,MATCH(D21,tt_Type,0))),""))</f>
        <v/>
      </c>
      <c r="W21" s="68">
        <f>IF(OR(TaxOn&lt;&gt;"Yes",NOT(ISNUMBER(M21))),0,IF(IFERROR(INDEX(tt_Tax,MATCH(D21,tt_Type,0)),"No")="Yes",M21,0))</f>
        <v/>
      </c>
      <c r="X21" s="67">
        <f>IF(T21=1,"",IF(C21="","Missing transaction date",IF(NOT(ISNUMBER(C21)),"Invalid date",IF(OR(C21&lt;DATE(2000,1,1),C21&gt;DATE(2099,12,31)),"Invalid date",IF(D21="","Select a type",IF(U21="","Unknown type: "&amp;D21,IF(V21="","Select an account (Category)",IF(ISNA(MATCH(V21,coa_Name,0)),"Unknown account: "&amp;V21,IF(K21="","Select Paid From / Deposited To",IF(ISNA(MATCH(K21,coa_Name,0)),"Unknown account: "&amp;K21,IF(NOT(ISNUMBER(L21)),"Enter an amount",IF(L21=0,"Enter an amount",IF(ABS(W21)&gt;ABS(L21),"Tax is larger than the amount","")))))))))))))</f>
        <v/>
      </c>
      <c r="Y21" s="67">
        <f>IF(OR(T21=1,X21&lt;&gt;""),"",IF(AND(B21&lt;&gt;"",COUNTIF(tx_ID,B21)&gt;1),"Duplicate transaction ID",IF(AND(L21&lt;0,D21&lt;&gt;"Adjustment"),"Negative amount — check this entry",IF(AND(D21="Customer Payment",G21=""),"Add the customer",IF(AND(D21="Customer Payment",OR(J21="",COUNTIF(ar_No,J21&amp;"")=0)),"Invoice # in Reference not found on AR sheet",IF(AND(D21="Bill Payment",H21=""),"Add the vendor",IF(AND(D21="Bill Payment",OR(J21="",COUNTIFS(ap_No,J21&amp;"",ap_Party,H21&amp;"")=0)),"Bill # + vendor not found on AP sheet",IF(AND(ISNUMBER(M21),N(M21)&lt;&gt;0,W21=0),"Tax ignored (tax tracking off, or not allowed for this type)",IF(V21=K21&amp;"","Same account on both sides",IF(AND(ISNUMBER(StartDate),C21&lt;StartDate),"Date is before the accounting start date",IF(AND(D21&lt;&gt;"Adjustment",IFERROR(INDEX(coa_Pay,MATCH(K21&amp;"",coa_Name,0)),"")&lt;&gt;"Yes"),"Paid From / Deposited To is not a payment account","")))))))))))</f>
        <v/>
      </c>
      <c r="Z21" s="67">
        <f>IF(AND(T21=0,X21=""),1,0)</f>
        <v/>
      </c>
      <c r="AA21" s="68">
        <f>IF(Z21=1,IF(U21="In",L21,L21-W21),0)</f>
        <v/>
      </c>
      <c r="AB21" s="68">
        <f>IF(Z21=1,IF(U21="In",L21-W21,L21),0)</f>
        <v/>
      </c>
      <c r="AC21" s="68">
        <f>IF(AND(Z21=1,U21="Out"),W21,0)</f>
        <v/>
      </c>
      <c r="AD21" s="68">
        <f>IF(AND(Z21=1,U21="In"),W21,0)</f>
        <v/>
      </c>
    </row>
    <row r="22">
      <c r="B22" s="62" t="inlineStr">
        <is>
          <t>TX-0016</t>
        </is>
      </c>
      <c r="C22" s="63" t="n">
        <v>46037</v>
      </c>
      <c r="D22" s="62" t="inlineStr">
        <is>
          <t>Money Out</t>
        </is>
      </c>
      <c r="E22" s="62" t="inlineStr">
        <is>
          <t>Salaries &amp; Wages</t>
        </is>
      </c>
      <c r="F22" s="62" t="inlineStr">
        <is>
          <t>Cashier salary (1st-15th)</t>
        </is>
      </c>
      <c r="G22" s="62" t="n"/>
      <c r="H22" s="62" t="n"/>
      <c r="I22" s="62" t="inlineStr">
        <is>
          <t>Bank Transfer</t>
        </is>
      </c>
      <c r="J22" s="62" t="n"/>
      <c r="K22" s="62" t="inlineStr">
        <is>
          <t>Bank Account</t>
        </is>
      </c>
      <c r="L22" s="64" t="n">
        <v>9000</v>
      </c>
      <c r="M22" s="64" t="n"/>
      <c r="N22" s="62" t="n"/>
      <c r="O22" s="65">
        <f>IF(Z22=1,L22-W22,"")</f>
        <v/>
      </c>
      <c r="P22" s="66">
        <f>IF(V22="","",IFERROR(INDEX(coa_Type,MATCH(V22,coa_Name,0)),""))</f>
        <v/>
      </c>
      <c r="Q22" s="66">
        <f>IF(Z22=1,IF(U22="In",K22&amp;"",V22),"")</f>
        <v/>
      </c>
      <c r="R22" s="66">
        <f>IF(Z22=1,IF(U22="In",V22,K22&amp;""),"")</f>
        <v/>
      </c>
      <c r="S22" s="66">
        <f>IF(X22&lt;&gt;"","⛔ "&amp;X22&amp;" — not posted",IF(Y22&lt;&gt;"","⚠ "&amp;Y22,IF(Z22=1,"✓ OK","")))</f>
        <v/>
      </c>
      <c r="T22" s="67">
        <f>IF(AND(C22="",D22="",E22="",L22="",K22=""),1,0)</f>
        <v/>
      </c>
      <c r="U22" s="67">
        <f>IFERROR(INDEX(tt_Dir,MATCH(D22,tt_Type,0)),"")</f>
        <v/>
      </c>
      <c r="V22" s="67">
        <f>IF(D22="","",IFERROR(IF(INDEX(tt_Other,MATCH(D22,tt_Type,0))="",E22&amp;"",INDEX(tt_Other,MATCH(D22,tt_Type,0))),""))</f>
        <v/>
      </c>
      <c r="W22" s="68">
        <f>IF(OR(TaxOn&lt;&gt;"Yes",NOT(ISNUMBER(M22))),0,IF(IFERROR(INDEX(tt_Tax,MATCH(D22,tt_Type,0)),"No")="Yes",M22,0))</f>
        <v/>
      </c>
      <c r="X22" s="67">
        <f>IF(T22=1,"",IF(C22="","Missing transaction date",IF(NOT(ISNUMBER(C22)),"Invalid date",IF(OR(C22&lt;DATE(2000,1,1),C22&gt;DATE(2099,12,31)),"Invalid date",IF(D22="","Select a type",IF(U22="","Unknown type: "&amp;D22,IF(V22="","Select an account (Category)",IF(ISNA(MATCH(V22,coa_Name,0)),"Unknown account: "&amp;V22,IF(K22="","Select Paid From / Deposited To",IF(ISNA(MATCH(K22,coa_Name,0)),"Unknown account: "&amp;K22,IF(NOT(ISNUMBER(L22)),"Enter an amount",IF(L22=0,"Enter an amount",IF(ABS(W22)&gt;ABS(L22),"Tax is larger than the amount","")))))))))))))</f>
        <v/>
      </c>
      <c r="Y22" s="67">
        <f>IF(OR(T22=1,X22&lt;&gt;""),"",IF(AND(B22&lt;&gt;"",COUNTIF(tx_ID,B22)&gt;1),"Duplicate transaction ID",IF(AND(L22&lt;0,D22&lt;&gt;"Adjustment"),"Negative amount — check this entry",IF(AND(D22="Customer Payment",G22=""),"Add the customer",IF(AND(D22="Customer Payment",OR(J22="",COUNTIF(ar_No,J22&amp;"")=0)),"Invoice # in Reference not found on AR sheet",IF(AND(D22="Bill Payment",H22=""),"Add the vendor",IF(AND(D22="Bill Payment",OR(J22="",COUNTIFS(ap_No,J22&amp;"",ap_Party,H22&amp;"")=0)),"Bill # + vendor not found on AP sheet",IF(AND(ISNUMBER(M22),N(M22)&lt;&gt;0,W22=0),"Tax ignored (tax tracking off, or not allowed for this type)",IF(V22=K22&amp;"","Same account on both sides",IF(AND(ISNUMBER(StartDate),C22&lt;StartDate),"Date is before the accounting start date",IF(AND(D22&lt;&gt;"Adjustment",IFERROR(INDEX(coa_Pay,MATCH(K22&amp;"",coa_Name,0)),"")&lt;&gt;"Yes"),"Paid From / Deposited To is not a payment account","")))))))))))</f>
        <v/>
      </c>
      <c r="Z22" s="67">
        <f>IF(AND(T22=0,X22=""),1,0)</f>
        <v/>
      </c>
      <c r="AA22" s="68">
        <f>IF(Z22=1,IF(U22="In",L22,L22-W22),0)</f>
        <v/>
      </c>
      <c r="AB22" s="68">
        <f>IF(Z22=1,IF(U22="In",L22-W22,L22),0)</f>
        <v/>
      </c>
      <c r="AC22" s="68">
        <f>IF(AND(Z22=1,U22="Out"),W22,0)</f>
        <v/>
      </c>
      <c r="AD22" s="68">
        <f>IF(AND(Z22=1,U22="In"),W22,0)</f>
        <v/>
      </c>
    </row>
    <row r="23">
      <c r="B23" s="62" t="inlineStr">
        <is>
          <t>TX-0017</t>
        </is>
      </c>
      <c r="C23" s="63" t="n">
        <v>46040</v>
      </c>
      <c r="D23" s="62" t="inlineStr">
        <is>
          <t>Money In</t>
        </is>
      </c>
      <c r="E23" s="62" t="inlineStr">
        <is>
          <t>Product Sales</t>
        </is>
      </c>
      <c r="F23" s="62" t="inlineStr">
        <is>
          <t>Counter sales week 3</t>
        </is>
      </c>
      <c r="G23" s="62" t="n"/>
      <c r="H23" s="62" t="n"/>
      <c r="I23" s="62" t="inlineStr">
        <is>
          <t>Cash</t>
        </is>
      </c>
      <c r="J23" s="62" t="n"/>
      <c r="K23" s="62" t="inlineStr">
        <is>
          <t>Cash on Hand</t>
        </is>
      </c>
      <c r="L23" s="64" t="n">
        <v>61115.56</v>
      </c>
      <c r="M23" s="64" t="n">
        <v>6548.1</v>
      </c>
      <c r="N23" s="62" t="n"/>
      <c r="O23" s="65">
        <f>IF(Z23=1,L23-W23,"")</f>
        <v/>
      </c>
      <c r="P23" s="66">
        <f>IF(V23="","",IFERROR(INDEX(coa_Type,MATCH(V23,coa_Name,0)),""))</f>
        <v/>
      </c>
      <c r="Q23" s="66">
        <f>IF(Z23=1,IF(U23="In",K23&amp;"",V23),"")</f>
        <v/>
      </c>
      <c r="R23" s="66">
        <f>IF(Z23=1,IF(U23="In",V23,K23&amp;""),"")</f>
        <v/>
      </c>
      <c r="S23" s="66">
        <f>IF(X23&lt;&gt;"","⛔ "&amp;X23&amp;" — not posted",IF(Y23&lt;&gt;"","⚠ "&amp;Y23,IF(Z23=1,"✓ OK","")))</f>
        <v/>
      </c>
      <c r="T23" s="67">
        <f>IF(AND(C23="",D23="",E23="",L23="",K23=""),1,0)</f>
        <v/>
      </c>
      <c r="U23" s="67">
        <f>IFERROR(INDEX(tt_Dir,MATCH(D23,tt_Type,0)),"")</f>
        <v/>
      </c>
      <c r="V23" s="67">
        <f>IF(D23="","",IFERROR(IF(INDEX(tt_Other,MATCH(D23,tt_Type,0))="",E23&amp;"",INDEX(tt_Other,MATCH(D23,tt_Type,0))),""))</f>
        <v/>
      </c>
      <c r="W23" s="68">
        <f>IF(OR(TaxOn&lt;&gt;"Yes",NOT(ISNUMBER(M23))),0,IF(IFERROR(INDEX(tt_Tax,MATCH(D23,tt_Type,0)),"No")="Yes",M23,0))</f>
        <v/>
      </c>
      <c r="X23" s="67">
        <f>IF(T23=1,"",IF(C23="","Missing transaction date",IF(NOT(ISNUMBER(C23)),"Invalid date",IF(OR(C23&lt;DATE(2000,1,1),C23&gt;DATE(2099,12,31)),"Invalid date",IF(D23="","Select a type",IF(U23="","Unknown type: "&amp;D23,IF(V23="","Select an account (Category)",IF(ISNA(MATCH(V23,coa_Name,0)),"Unknown account: "&amp;V23,IF(K23="","Select Paid From / Deposited To",IF(ISNA(MATCH(K23,coa_Name,0)),"Unknown account: "&amp;K23,IF(NOT(ISNUMBER(L23)),"Enter an amount",IF(L23=0,"Enter an amount",IF(ABS(W23)&gt;ABS(L23),"Tax is larger than the amount","")))))))))))))</f>
        <v/>
      </c>
      <c r="Y23" s="67">
        <f>IF(OR(T23=1,X23&lt;&gt;""),"",IF(AND(B23&lt;&gt;"",COUNTIF(tx_ID,B23)&gt;1),"Duplicate transaction ID",IF(AND(L23&lt;0,D23&lt;&gt;"Adjustment"),"Negative amount — check this entry",IF(AND(D23="Customer Payment",G23=""),"Add the customer",IF(AND(D23="Customer Payment",OR(J23="",COUNTIF(ar_No,J23&amp;"")=0)),"Invoice # in Reference not found on AR sheet",IF(AND(D23="Bill Payment",H23=""),"Add the vendor",IF(AND(D23="Bill Payment",OR(J23="",COUNTIFS(ap_No,J23&amp;"",ap_Party,H23&amp;"")=0)),"Bill # + vendor not found on AP sheet",IF(AND(ISNUMBER(M23),N(M23)&lt;&gt;0,W23=0),"Tax ignored (tax tracking off, or not allowed for this type)",IF(V23=K23&amp;"","Same account on both sides",IF(AND(ISNUMBER(StartDate),C23&lt;StartDate),"Date is before the accounting start date",IF(AND(D23&lt;&gt;"Adjustment",IFERROR(INDEX(coa_Pay,MATCH(K23&amp;"",coa_Name,0)),"")&lt;&gt;"Yes"),"Paid From / Deposited To is not a payment account","")))))))))))</f>
        <v/>
      </c>
      <c r="Z23" s="67">
        <f>IF(AND(T23=0,X23=""),1,0)</f>
        <v/>
      </c>
      <c r="AA23" s="68">
        <f>IF(Z23=1,IF(U23="In",L23,L23-W23),0)</f>
        <v/>
      </c>
      <c r="AB23" s="68">
        <f>IF(Z23=1,IF(U23="In",L23-W23,L23),0)</f>
        <v/>
      </c>
      <c r="AC23" s="68">
        <f>IF(AND(Z23=1,U23="Out"),W23,0)</f>
        <v/>
      </c>
      <c r="AD23" s="68">
        <f>IF(AND(Z23=1,U23="In"),W23,0)</f>
        <v/>
      </c>
    </row>
    <row r="24">
      <c r="B24" s="62" t="inlineStr">
        <is>
          <t>TX-0018</t>
        </is>
      </c>
      <c r="C24" s="63" t="n">
        <v>46041</v>
      </c>
      <c r="D24" s="62" t="inlineStr">
        <is>
          <t>Money In</t>
        </is>
      </c>
      <c r="E24" s="62" t="inlineStr">
        <is>
          <t>Product Sales</t>
        </is>
      </c>
      <c r="F24" s="62" t="inlineStr">
        <is>
          <t>GCash / online orders week 3</t>
        </is>
      </c>
      <c r="G24" s="62" t="n"/>
      <c r="H24" s="62" t="n"/>
      <c r="I24" s="62" t="inlineStr">
        <is>
          <t>E-Wallet</t>
        </is>
      </c>
      <c r="J24" s="62" t="n"/>
      <c r="K24" s="62" t="inlineStr">
        <is>
          <t>E-Wallet / Online Payments</t>
        </is>
      </c>
      <c r="L24" s="64" t="n">
        <v>17837.56</v>
      </c>
      <c r="M24" s="64" t="n">
        <v>1911.17</v>
      </c>
      <c r="N24" s="62" t="n"/>
      <c r="O24" s="65">
        <f>IF(Z24=1,L24-W24,"")</f>
        <v/>
      </c>
      <c r="P24" s="66">
        <f>IF(V24="","",IFERROR(INDEX(coa_Type,MATCH(V24,coa_Name,0)),""))</f>
        <v/>
      </c>
      <c r="Q24" s="66">
        <f>IF(Z24=1,IF(U24="In",K24&amp;"",V24),"")</f>
        <v/>
      </c>
      <c r="R24" s="66">
        <f>IF(Z24=1,IF(U24="In",V24,K24&amp;""),"")</f>
        <v/>
      </c>
      <c r="S24" s="66">
        <f>IF(X24&lt;&gt;"","⛔ "&amp;X24&amp;" — not posted",IF(Y24&lt;&gt;"","⚠ "&amp;Y24,IF(Z24=1,"✓ OK","")))</f>
        <v/>
      </c>
      <c r="T24" s="67">
        <f>IF(AND(C24="",D24="",E24="",L24="",K24=""),1,0)</f>
        <v/>
      </c>
      <c r="U24" s="67">
        <f>IFERROR(INDEX(tt_Dir,MATCH(D24,tt_Type,0)),"")</f>
        <v/>
      </c>
      <c r="V24" s="67">
        <f>IF(D24="","",IFERROR(IF(INDEX(tt_Other,MATCH(D24,tt_Type,0))="",E24&amp;"",INDEX(tt_Other,MATCH(D24,tt_Type,0))),""))</f>
        <v/>
      </c>
      <c r="W24" s="68">
        <f>IF(OR(TaxOn&lt;&gt;"Yes",NOT(ISNUMBER(M24))),0,IF(IFERROR(INDEX(tt_Tax,MATCH(D24,tt_Type,0)),"No")="Yes",M24,0))</f>
        <v/>
      </c>
      <c r="X24" s="67">
        <f>IF(T24=1,"",IF(C24="","Missing transaction date",IF(NOT(ISNUMBER(C24)),"Invalid date",IF(OR(C24&lt;DATE(2000,1,1),C24&gt;DATE(2099,12,31)),"Invalid date",IF(D24="","Select a type",IF(U24="","Unknown type: "&amp;D24,IF(V24="","Select an account (Category)",IF(ISNA(MATCH(V24,coa_Name,0)),"Unknown account: "&amp;V24,IF(K24="","Select Paid From / Deposited To",IF(ISNA(MATCH(K24,coa_Name,0)),"Unknown account: "&amp;K24,IF(NOT(ISNUMBER(L24)),"Enter an amount",IF(L24=0,"Enter an amount",IF(ABS(W24)&gt;ABS(L24),"Tax is larger than the amount","")))))))))))))</f>
        <v/>
      </c>
      <c r="Y24" s="67">
        <f>IF(OR(T24=1,X24&lt;&gt;""),"",IF(AND(B24&lt;&gt;"",COUNTIF(tx_ID,B24)&gt;1),"Duplicate transaction ID",IF(AND(L24&lt;0,D24&lt;&gt;"Adjustment"),"Negative amount — check this entry",IF(AND(D24="Customer Payment",G24=""),"Add the customer",IF(AND(D24="Customer Payment",OR(J24="",COUNTIF(ar_No,J24&amp;"")=0)),"Invoice # in Reference not found on AR sheet",IF(AND(D24="Bill Payment",H24=""),"Add the vendor",IF(AND(D24="Bill Payment",OR(J24="",COUNTIFS(ap_No,J24&amp;"",ap_Party,H24&amp;"")=0)),"Bill # + vendor not found on AP sheet",IF(AND(ISNUMBER(M24),N(M24)&lt;&gt;0,W24=0),"Tax ignored (tax tracking off, or not allowed for this type)",IF(V24=K24&amp;"","Same account on both sides",IF(AND(ISNUMBER(StartDate),C24&lt;StartDate),"Date is before the accounting start date",IF(AND(D24&lt;&gt;"Adjustment",IFERROR(INDEX(coa_Pay,MATCH(K24&amp;"",coa_Name,0)),"")&lt;&gt;"Yes"),"Paid From / Deposited To is not a payment account","")))))))))))</f>
        <v/>
      </c>
      <c r="Z24" s="67">
        <f>IF(AND(T24=0,X24=""),1,0)</f>
        <v/>
      </c>
      <c r="AA24" s="68">
        <f>IF(Z24=1,IF(U24="In",L24,L24-W24),0)</f>
        <v/>
      </c>
      <c r="AB24" s="68">
        <f>IF(Z24=1,IF(U24="In",L24-W24,L24),0)</f>
        <v/>
      </c>
      <c r="AC24" s="68">
        <f>IF(AND(Z24=1,U24="Out"),W24,0)</f>
        <v/>
      </c>
      <c r="AD24" s="68">
        <f>IF(AND(Z24=1,U24="In"),W24,0)</f>
        <v/>
      </c>
    </row>
    <row r="25">
      <c r="B25" s="62" t="inlineStr">
        <is>
          <t>TX-0019</t>
        </is>
      </c>
      <c r="C25" s="63" t="n">
        <v>46042</v>
      </c>
      <c r="D25" s="62" t="inlineStr">
        <is>
          <t>Transfer</t>
        </is>
      </c>
      <c r="E25" s="62" t="inlineStr">
        <is>
          <t>Bank Account</t>
        </is>
      </c>
      <c r="F25" s="62" t="inlineStr">
        <is>
          <t>Cash deposit to bank</t>
        </is>
      </c>
      <c r="G25" s="62" t="n"/>
      <c r="H25" s="62" t="n"/>
      <c r="I25" s="62" t="inlineStr">
        <is>
          <t>Cash</t>
        </is>
      </c>
      <c r="J25" s="62" t="n"/>
      <c r="K25" s="62" t="inlineStr">
        <is>
          <t>Cash on Hand</t>
        </is>
      </c>
      <c r="L25" s="64" t="n">
        <v>51900</v>
      </c>
      <c r="M25" s="64" t="n"/>
      <c r="N25" s="62" t="n"/>
      <c r="O25" s="65">
        <f>IF(Z25=1,L25-W25,"")</f>
        <v/>
      </c>
      <c r="P25" s="66">
        <f>IF(V25="","",IFERROR(INDEX(coa_Type,MATCH(V25,coa_Name,0)),""))</f>
        <v/>
      </c>
      <c r="Q25" s="66">
        <f>IF(Z25=1,IF(U25="In",K25&amp;"",V25),"")</f>
        <v/>
      </c>
      <c r="R25" s="66">
        <f>IF(Z25=1,IF(U25="In",V25,K25&amp;""),"")</f>
        <v/>
      </c>
      <c r="S25" s="66">
        <f>IF(X25&lt;&gt;"","⛔ "&amp;X25&amp;" — not posted",IF(Y25&lt;&gt;"","⚠ "&amp;Y25,IF(Z25=1,"✓ OK","")))</f>
        <v/>
      </c>
      <c r="T25" s="67">
        <f>IF(AND(C25="",D25="",E25="",L25="",K25=""),1,0)</f>
        <v/>
      </c>
      <c r="U25" s="67">
        <f>IFERROR(INDEX(tt_Dir,MATCH(D25,tt_Type,0)),"")</f>
        <v/>
      </c>
      <c r="V25" s="67">
        <f>IF(D25="","",IFERROR(IF(INDEX(tt_Other,MATCH(D25,tt_Type,0))="",E25&amp;"",INDEX(tt_Other,MATCH(D25,tt_Type,0))),""))</f>
        <v/>
      </c>
      <c r="W25" s="68">
        <f>IF(OR(TaxOn&lt;&gt;"Yes",NOT(ISNUMBER(M25))),0,IF(IFERROR(INDEX(tt_Tax,MATCH(D25,tt_Type,0)),"No")="Yes",M25,0))</f>
        <v/>
      </c>
      <c r="X25" s="67">
        <f>IF(T25=1,"",IF(C25="","Missing transaction date",IF(NOT(ISNUMBER(C25)),"Invalid date",IF(OR(C25&lt;DATE(2000,1,1),C25&gt;DATE(2099,12,31)),"Invalid date",IF(D25="","Select a type",IF(U25="","Unknown type: "&amp;D25,IF(V25="","Select an account (Category)",IF(ISNA(MATCH(V25,coa_Name,0)),"Unknown account: "&amp;V25,IF(K25="","Select Paid From / Deposited To",IF(ISNA(MATCH(K25,coa_Name,0)),"Unknown account: "&amp;K25,IF(NOT(ISNUMBER(L25)),"Enter an amount",IF(L25=0,"Enter an amount",IF(ABS(W25)&gt;ABS(L25),"Tax is larger than the amount","")))))))))))))</f>
        <v/>
      </c>
      <c r="Y25" s="67">
        <f>IF(OR(T25=1,X25&lt;&gt;""),"",IF(AND(B25&lt;&gt;"",COUNTIF(tx_ID,B25)&gt;1),"Duplicate transaction ID",IF(AND(L25&lt;0,D25&lt;&gt;"Adjustment"),"Negative amount — check this entry",IF(AND(D25="Customer Payment",G25=""),"Add the customer",IF(AND(D25="Customer Payment",OR(J25="",COUNTIF(ar_No,J25&amp;"")=0)),"Invoice # in Reference not found on AR sheet",IF(AND(D25="Bill Payment",H25=""),"Add the vendor",IF(AND(D25="Bill Payment",OR(J25="",COUNTIFS(ap_No,J25&amp;"",ap_Party,H25&amp;"")=0)),"Bill # + vendor not found on AP sheet",IF(AND(ISNUMBER(M25),N(M25)&lt;&gt;0,W25=0),"Tax ignored (tax tracking off, or not allowed for this type)",IF(V25=K25&amp;"","Same account on both sides",IF(AND(ISNUMBER(StartDate),C25&lt;StartDate),"Date is before the accounting start date",IF(AND(D25&lt;&gt;"Adjustment",IFERROR(INDEX(coa_Pay,MATCH(K25&amp;"",coa_Name,0)),"")&lt;&gt;"Yes"),"Paid From / Deposited To is not a payment account","")))))))))))</f>
        <v/>
      </c>
      <c r="Z25" s="67">
        <f>IF(AND(T25=0,X25=""),1,0)</f>
        <v/>
      </c>
      <c r="AA25" s="68">
        <f>IF(Z25=1,IF(U25="In",L25,L25-W25),0)</f>
        <v/>
      </c>
      <c r="AB25" s="68">
        <f>IF(Z25=1,IF(U25="In",L25-W25,L25),0)</f>
        <v/>
      </c>
      <c r="AC25" s="68">
        <f>IF(AND(Z25=1,U25="Out"),W25,0)</f>
        <v/>
      </c>
      <c r="AD25" s="68">
        <f>IF(AND(Z25=1,U25="In"),W25,0)</f>
        <v/>
      </c>
    </row>
    <row r="26">
      <c r="B26" s="62" t="inlineStr">
        <is>
          <t>TX-0020</t>
        </is>
      </c>
      <c r="C26" s="63" t="n">
        <v>46042</v>
      </c>
      <c r="D26" s="62" t="inlineStr">
        <is>
          <t>Money Out</t>
        </is>
      </c>
      <c r="E26" s="62" t="inlineStr">
        <is>
          <t>Transportation &amp; Delivery</t>
        </is>
      </c>
      <c r="F26" s="62" t="inlineStr">
        <is>
          <t>Delivery fuel</t>
        </is>
      </c>
      <c r="G26" s="62" t="n"/>
      <c r="H26" s="62" t="n"/>
      <c r="I26" s="62" t="inlineStr">
        <is>
          <t>Cash</t>
        </is>
      </c>
      <c r="J26" s="62" t="n"/>
      <c r="K26" s="62" t="inlineStr">
        <is>
          <t>Cash on Hand</t>
        </is>
      </c>
      <c r="L26" s="64" t="n">
        <v>4029.57</v>
      </c>
      <c r="M26" s="64" t="n">
        <v>431.74</v>
      </c>
      <c r="N26" s="62" t="n"/>
      <c r="O26" s="65">
        <f>IF(Z26=1,L26-W26,"")</f>
        <v/>
      </c>
      <c r="P26" s="66">
        <f>IF(V26="","",IFERROR(INDEX(coa_Type,MATCH(V26,coa_Name,0)),""))</f>
        <v/>
      </c>
      <c r="Q26" s="66">
        <f>IF(Z26=1,IF(U26="In",K26&amp;"",V26),"")</f>
        <v/>
      </c>
      <c r="R26" s="66">
        <f>IF(Z26=1,IF(U26="In",V26,K26&amp;""),"")</f>
        <v/>
      </c>
      <c r="S26" s="66">
        <f>IF(X26&lt;&gt;"","⛔ "&amp;X26&amp;" — not posted",IF(Y26&lt;&gt;"","⚠ "&amp;Y26,IF(Z26=1,"✓ OK","")))</f>
        <v/>
      </c>
      <c r="T26" s="67">
        <f>IF(AND(C26="",D26="",E26="",L26="",K26=""),1,0)</f>
        <v/>
      </c>
      <c r="U26" s="67">
        <f>IFERROR(INDEX(tt_Dir,MATCH(D26,tt_Type,0)),"")</f>
        <v/>
      </c>
      <c r="V26" s="67">
        <f>IF(D26="","",IFERROR(IF(INDEX(tt_Other,MATCH(D26,tt_Type,0))="",E26&amp;"",INDEX(tt_Other,MATCH(D26,tt_Type,0))),""))</f>
        <v/>
      </c>
      <c r="W26" s="68">
        <f>IF(OR(TaxOn&lt;&gt;"Yes",NOT(ISNUMBER(M26))),0,IF(IFERROR(INDEX(tt_Tax,MATCH(D26,tt_Type,0)),"No")="Yes",M26,0))</f>
        <v/>
      </c>
      <c r="X26" s="67">
        <f>IF(T26=1,"",IF(C26="","Missing transaction date",IF(NOT(ISNUMBER(C26)),"Invalid date",IF(OR(C26&lt;DATE(2000,1,1),C26&gt;DATE(2099,12,31)),"Invalid date",IF(D26="","Select a type",IF(U26="","Unknown type: "&amp;D26,IF(V26="","Select an account (Category)",IF(ISNA(MATCH(V26,coa_Name,0)),"Unknown account: "&amp;V26,IF(K26="","Select Paid From / Deposited To",IF(ISNA(MATCH(K26,coa_Name,0)),"Unknown account: "&amp;K26,IF(NOT(ISNUMBER(L26)),"Enter an amount",IF(L26=0,"Enter an amount",IF(ABS(W26)&gt;ABS(L26),"Tax is larger than the amount","")))))))))))))</f>
        <v/>
      </c>
      <c r="Y26" s="67">
        <f>IF(OR(T26=1,X26&lt;&gt;""),"",IF(AND(B26&lt;&gt;"",COUNTIF(tx_ID,B26)&gt;1),"Duplicate transaction ID",IF(AND(L26&lt;0,D26&lt;&gt;"Adjustment"),"Negative amount — check this entry",IF(AND(D26="Customer Payment",G26=""),"Add the customer",IF(AND(D26="Customer Payment",OR(J26="",COUNTIF(ar_No,J26&amp;"")=0)),"Invoice # in Reference not found on AR sheet",IF(AND(D26="Bill Payment",H26=""),"Add the vendor",IF(AND(D26="Bill Payment",OR(J26="",COUNTIFS(ap_No,J26&amp;"",ap_Party,H26&amp;"")=0)),"Bill # + vendor not found on AP sheet",IF(AND(ISNUMBER(M26),N(M26)&lt;&gt;0,W26=0),"Tax ignored (tax tracking off, or not allowed for this type)",IF(V26=K26&amp;"","Same account on both sides",IF(AND(ISNUMBER(StartDate),C26&lt;StartDate),"Date is before the accounting start date",IF(AND(D26&lt;&gt;"Adjustment",IFERROR(INDEX(coa_Pay,MATCH(K26&amp;"",coa_Name,0)),"")&lt;&gt;"Yes"),"Paid From / Deposited To is not a payment account","")))))))))))</f>
        <v/>
      </c>
      <c r="Z26" s="67">
        <f>IF(AND(T26=0,X26=""),1,0)</f>
        <v/>
      </c>
      <c r="AA26" s="68">
        <f>IF(Z26=1,IF(U26="In",L26,L26-W26),0)</f>
        <v/>
      </c>
      <c r="AB26" s="68">
        <f>IF(Z26=1,IF(U26="In",L26-W26,L26),0)</f>
        <v/>
      </c>
      <c r="AC26" s="68">
        <f>IF(AND(Z26=1,U26="Out"),W26,0)</f>
        <v/>
      </c>
      <c r="AD26" s="68">
        <f>IF(AND(Z26=1,U26="In"),W26,0)</f>
        <v/>
      </c>
    </row>
    <row r="27">
      <c r="B27" s="62" t="inlineStr">
        <is>
          <t>TX-0021</t>
        </is>
      </c>
      <c r="C27" s="63" t="n">
        <v>46047</v>
      </c>
      <c r="D27" s="62" t="inlineStr">
        <is>
          <t>Money In</t>
        </is>
      </c>
      <c r="E27" s="62" t="inlineStr">
        <is>
          <t>Product Sales</t>
        </is>
      </c>
      <c r="F27" s="62" t="inlineStr">
        <is>
          <t>Counter sales week 4</t>
        </is>
      </c>
      <c r="G27" s="62" t="n"/>
      <c r="H27" s="62" t="n"/>
      <c r="I27" s="62" t="inlineStr">
        <is>
          <t>Cash</t>
        </is>
      </c>
      <c r="J27" s="62" t="n"/>
      <c r="K27" s="62" t="inlineStr">
        <is>
          <t>Cash on Hand</t>
        </is>
      </c>
      <c r="L27" s="64" t="n">
        <v>60161.37</v>
      </c>
      <c r="M27" s="64" t="n">
        <v>6445.86</v>
      </c>
      <c r="N27" s="62" t="n"/>
      <c r="O27" s="65">
        <f>IF(Z27=1,L27-W27,"")</f>
        <v/>
      </c>
      <c r="P27" s="66">
        <f>IF(V27="","",IFERROR(INDEX(coa_Type,MATCH(V27,coa_Name,0)),""))</f>
        <v/>
      </c>
      <c r="Q27" s="66">
        <f>IF(Z27=1,IF(U27="In",K27&amp;"",V27),"")</f>
        <v/>
      </c>
      <c r="R27" s="66">
        <f>IF(Z27=1,IF(U27="In",V27,K27&amp;""),"")</f>
        <v/>
      </c>
      <c r="S27" s="66">
        <f>IF(X27&lt;&gt;"","⛔ "&amp;X27&amp;" — not posted",IF(Y27&lt;&gt;"","⚠ "&amp;Y27,IF(Z27=1,"✓ OK","")))</f>
        <v/>
      </c>
      <c r="T27" s="67">
        <f>IF(AND(C27="",D27="",E27="",L27="",K27=""),1,0)</f>
        <v/>
      </c>
      <c r="U27" s="67">
        <f>IFERROR(INDEX(tt_Dir,MATCH(D27,tt_Type,0)),"")</f>
        <v/>
      </c>
      <c r="V27" s="67">
        <f>IF(D27="","",IFERROR(IF(INDEX(tt_Other,MATCH(D27,tt_Type,0))="",E27&amp;"",INDEX(tt_Other,MATCH(D27,tt_Type,0))),""))</f>
        <v/>
      </c>
      <c r="W27" s="68">
        <f>IF(OR(TaxOn&lt;&gt;"Yes",NOT(ISNUMBER(M27))),0,IF(IFERROR(INDEX(tt_Tax,MATCH(D27,tt_Type,0)),"No")="Yes",M27,0))</f>
        <v/>
      </c>
      <c r="X27" s="67">
        <f>IF(T27=1,"",IF(C27="","Missing transaction date",IF(NOT(ISNUMBER(C27)),"Invalid date",IF(OR(C27&lt;DATE(2000,1,1),C27&gt;DATE(2099,12,31)),"Invalid date",IF(D27="","Select a type",IF(U27="","Unknown type: "&amp;D27,IF(V27="","Select an account (Category)",IF(ISNA(MATCH(V27,coa_Name,0)),"Unknown account: "&amp;V27,IF(K27="","Select Paid From / Deposited To",IF(ISNA(MATCH(K27,coa_Name,0)),"Unknown account: "&amp;K27,IF(NOT(ISNUMBER(L27)),"Enter an amount",IF(L27=0,"Enter an amount",IF(ABS(W27)&gt;ABS(L27),"Tax is larger than the amount","")))))))))))))</f>
        <v/>
      </c>
      <c r="Y27" s="67">
        <f>IF(OR(T27=1,X27&lt;&gt;""),"",IF(AND(B27&lt;&gt;"",COUNTIF(tx_ID,B27)&gt;1),"Duplicate transaction ID",IF(AND(L27&lt;0,D27&lt;&gt;"Adjustment"),"Negative amount — check this entry",IF(AND(D27="Customer Payment",G27=""),"Add the customer",IF(AND(D27="Customer Payment",OR(J27="",COUNTIF(ar_No,J27&amp;"")=0)),"Invoice # in Reference not found on AR sheet",IF(AND(D27="Bill Payment",H27=""),"Add the vendor",IF(AND(D27="Bill Payment",OR(J27="",COUNTIFS(ap_No,J27&amp;"",ap_Party,H27&amp;"")=0)),"Bill # + vendor not found on AP sheet",IF(AND(ISNUMBER(M27),N(M27)&lt;&gt;0,W27=0),"Tax ignored (tax tracking off, or not allowed for this type)",IF(V27=K27&amp;"","Same account on both sides",IF(AND(ISNUMBER(StartDate),C27&lt;StartDate),"Date is before the accounting start date",IF(AND(D27&lt;&gt;"Adjustment",IFERROR(INDEX(coa_Pay,MATCH(K27&amp;"",coa_Name,0)),"")&lt;&gt;"Yes"),"Paid From / Deposited To is not a payment account","")))))))))))</f>
        <v/>
      </c>
      <c r="Z27" s="67">
        <f>IF(AND(T27=0,X27=""),1,0)</f>
        <v/>
      </c>
      <c r="AA27" s="68">
        <f>IF(Z27=1,IF(U27="In",L27,L27-W27),0)</f>
        <v/>
      </c>
      <c r="AB27" s="68">
        <f>IF(Z27=1,IF(U27="In",L27-W27,L27),0)</f>
        <v/>
      </c>
      <c r="AC27" s="68">
        <f>IF(AND(Z27=1,U27="Out"),W27,0)</f>
        <v/>
      </c>
      <c r="AD27" s="68">
        <f>IF(AND(Z27=1,U27="In"),W27,0)</f>
        <v/>
      </c>
    </row>
    <row r="28">
      <c r="B28" s="62" t="inlineStr">
        <is>
          <t>TX-0022</t>
        </is>
      </c>
      <c r="C28" s="63" t="n">
        <v>46047</v>
      </c>
      <c r="D28" s="62" t="inlineStr">
        <is>
          <t>Owner Draw</t>
        </is>
      </c>
      <c r="E28" s="62" t="n"/>
      <c r="F28" s="62" t="inlineStr">
        <is>
          <t>Owner salary / personal draw</t>
        </is>
      </c>
      <c r="G28" s="62" t="n"/>
      <c r="H28" s="62" t="n"/>
      <c r="I28" s="62" t="inlineStr">
        <is>
          <t>Bank Transfer</t>
        </is>
      </c>
      <c r="J28" s="62" t="n"/>
      <c r="K28" s="62" t="inlineStr">
        <is>
          <t>Bank Account</t>
        </is>
      </c>
      <c r="L28" s="64" t="n">
        <v>20000</v>
      </c>
      <c r="M28" s="64" t="n"/>
      <c r="N28" s="62" t="n"/>
      <c r="O28" s="65">
        <f>IF(Z28=1,L28-W28,"")</f>
        <v/>
      </c>
      <c r="P28" s="66">
        <f>IF(V28="","",IFERROR(INDEX(coa_Type,MATCH(V28,coa_Name,0)),""))</f>
        <v/>
      </c>
      <c r="Q28" s="66">
        <f>IF(Z28=1,IF(U28="In",K28&amp;"",V28),"")</f>
        <v/>
      </c>
      <c r="R28" s="66">
        <f>IF(Z28=1,IF(U28="In",V28,K28&amp;""),"")</f>
        <v/>
      </c>
      <c r="S28" s="66">
        <f>IF(X28&lt;&gt;"","⛔ "&amp;X28&amp;" — not posted",IF(Y28&lt;&gt;"","⚠ "&amp;Y28,IF(Z28=1,"✓ OK","")))</f>
        <v/>
      </c>
      <c r="T28" s="67">
        <f>IF(AND(C28="",D28="",E28="",L28="",K28=""),1,0)</f>
        <v/>
      </c>
      <c r="U28" s="67">
        <f>IFERROR(INDEX(tt_Dir,MATCH(D28,tt_Type,0)),"")</f>
        <v/>
      </c>
      <c r="V28" s="67">
        <f>IF(D28="","",IFERROR(IF(INDEX(tt_Other,MATCH(D28,tt_Type,0))="",E28&amp;"",INDEX(tt_Other,MATCH(D28,tt_Type,0))),""))</f>
        <v/>
      </c>
      <c r="W28" s="68">
        <f>IF(OR(TaxOn&lt;&gt;"Yes",NOT(ISNUMBER(M28))),0,IF(IFERROR(INDEX(tt_Tax,MATCH(D28,tt_Type,0)),"No")="Yes",M28,0))</f>
        <v/>
      </c>
      <c r="X28" s="67">
        <f>IF(T28=1,"",IF(C28="","Missing transaction date",IF(NOT(ISNUMBER(C28)),"Invalid date",IF(OR(C28&lt;DATE(2000,1,1),C28&gt;DATE(2099,12,31)),"Invalid date",IF(D28="","Select a type",IF(U28="","Unknown type: "&amp;D28,IF(V28="","Select an account (Category)",IF(ISNA(MATCH(V28,coa_Name,0)),"Unknown account: "&amp;V28,IF(K28="","Select Paid From / Deposited To",IF(ISNA(MATCH(K28,coa_Name,0)),"Unknown account: "&amp;K28,IF(NOT(ISNUMBER(L28)),"Enter an amount",IF(L28=0,"Enter an amount",IF(ABS(W28)&gt;ABS(L28),"Tax is larger than the amount","")))))))))))))</f>
        <v/>
      </c>
      <c r="Y28" s="67">
        <f>IF(OR(T28=1,X28&lt;&gt;""),"",IF(AND(B28&lt;&gt;"",COUNTIF(tx_ID,B28)&gt;1),"Duplicate transaction ID",IF(AND(L28&lt;0,D28&lt;&gt;"Adjustment"),"Negative amount — check this entry",IF(AND(D28="Customer Payment",G28=""),"Add the customer",IF(AND(D28="Customer Payment",OR(J28="",COUNTIF(ar_No,J28&amp;"")=0)),"Invoice # in Reference not found on AR sheet",IF(AND(D28="Bill Payment",H28=""),"Add the vendor",IF(AND(D28="Bill Payment",OR(J28="",COUNTIFS(ap_No,J28&amp;"",ap_Party,H28&amp;"")=0)),"Bill # + vendor not found on AP sheet",IF(AND(ISNUMBER(M28),N(M28)&lt;&gt;0,W28=0),"Tax ignored (tax tracking off, or not allowed for this type)",IF(V28=K28&amp;"","Same account on both sides",IF(AND(ISNUMBER(StartDate),C28&lt;StartDate),"Date is before the accounting start date",IF(AND(D28&lt;&gt;"Adjustment",IFERROR(INDEX(coa_Pay,MATCH(K28&amp;"",coa_Name,0)),"")&lt;&gt;"Yes"),"Paid From / Deposited To is not a payment account","")))))))))))</f>
        <v/>
      </c>
      <c r="Z28" s="67">
        <f>IF(AND(T28=0,X28=""),1,0)</f>
        <v/>
      </c>
      <c r="AA28" s="68">
        <f>IF(Z28=1,IF(U28="In",L28,L28-W28),0)</f>
        <v/>
      </c>
      <c r="AB28" s="68">
        <f>IF(Z28=1,IF(U28="In",L28-W28,L28),0)</f>
        <v/>
      </c>
      <c r="AC28" s="68">
        <f>IF(AND(Z28=1,U28="Out"),W28,0)</f>
        <v/>
      </c>
      <c r="AD28" s="68">
        <f>IF(AND(Z28=1,U28="In"),W28,0)</f>
        <v/>
      </c>
    </row>
    <row r="29">
      <c r="B29" s="62" t="inlineStr">
        <is>
          <t>TX-0023</t>
        </is>
      </c>
      <c r="C29" s="63" t="n">
        <v>46048</v>
      </c>
      <c r="D29" s="62" t="inlineStr">
        <is>
          <t>Money In</t>
        </is>
      </c>
      <c r="E29" s="62" t="inlineStr">
        <is>
          <t>Product Sales</t>
        </is>
      </c>
      <c r="F29" s="62" t="inlineStr">
        <is>
          <t>GCash / online orders week 4</t>
        </is>
      </c>
      <c r="G29" s="62" t="n"/>
      <c r="H29" s="62" t="n"/>
      <c r="I29" s="62" t="inlineStr">
        <is>
          <t>E-Wallet</t>
        </is>
      </c>
      <c r="J29" s="62" t="n"/>
      <c r="K29" s="62" t="inlineStr">
        <is>
          <t>E-Wallet / Online Payments</t>
        </is>
      </c>
      <c r="L29" s="64" t="n">
        <v>15775.69</v>
      </c>
      <c r="M29" s="64" t="n">
        <v>1690.25</v>
      </c>
      <c r="N29" s="62" t="n"/>
      <c r="O29" s="65">
        <f>IF(Z29=1,L29-W29,"")</f>
        <v/>
      </c>
      <c r="P29" s="66">
        <f>IF(V29="","",IFERROR(INDEX(coa_Type,MATCH(V29,coa_Name,0)),""))</f>
        <v/>
      </c>
      <c r="Q29" s="66">
        <f>IF(Z29=1,IF(U29="In",K29&amp;"",V29),"")</f>
        <v/>
      </c>
      <c r="R29" s="66">
        <f>IF(Z29=1,IF(U29="In",V29,K29&amp;""),"")</f>
        <v/>
      </c>
      <c r="S29" s="66">
        <f>IF(X29&lt;&gt;"","⛔ "&amp;X29&amp;" — not posted",IF(Y29&lt;&gt;"","⚠ "&amp;Y29,IF(Z29=1,"✓ OK","")))</f>
        <v/>
      </c>
      <c r="T29" s="67">
        <f>IF(AND(C29="",D29="",E29="",L29="",K29=""),1,0)</f>
        <v/>
      </c>
      <c r="U29" s="67">
        <f>IFERROR(INDEX(tt_Dir,MATCH(D29,tt_Type,0)),"")</f>
        <v/>
      </c>
      <c r="V29" s="67">
        <f>IF(D29="","",IFERROR(IF(INDEX(tt_Other,MATCH(D29,tt_Type,0))="",E29&amp;"",INDEX(tt_Other,MATCH(D29,tt_Type,0))),""))</f>
        <v/>
      </c>
      <c r="W29" s="68">
        <f>IF(OR(TaxOn&lt;&gt;"Yes",NOT(ISNUMBER(M29))),0,IF(IFERROR(INDEX(tt_Tax,MATCH(D29,tt_Type,0)),"No")="Yes",M29,0))</f>
        <v/>
      </c>
      <c r="X29" s="67">
        <f>IF(T29=1,"",IF(C29="","Missing transaction date",IF(NOT(ISNUMBER(C29)),"Invalid date",IF(OR(C29&lt;DATE(2000,1,1),C29&gt;DATE(2099,12,31)),"Invalid date",IF(D29="","Select a type",IF(U29="","Unknown type: "&amp;D29,IF(V29="","Select an account (Category)",IF(ISNA(MATCH(V29,coa_Name,0)),"Unknown account: "&amp;V29,IF(K29="","Select Paid From / Deposited To",IF(ISNA(MATCH(K29,coa_Name,0)),"Unknown account: "&amp;K29,IF(NOT(ISNUMBER(L29)),"Enter an amount",IF(L29=0,"Enter an amount",IF(ABS(W29)&gt;ABS(L29),"Tax is larger than the amount","")))))))))))))</f>
        <v/>
      </c>
      <c r="Y29" s="67">
        <f>IF(OR(T29=1,X29&lt;&gt;""),"",IF(AND(B29&lt;&gt;"",COUNTIF(tx_ID,B29)&gt;1),"Duplicate transaction ID",IF(AND(L29&lt;0,D29&lt;&gt;"Adjustment"),"Negative amount — check this entry",IF(AND(D29="Customer Payment",G29=""),"Add the customer",IF(AND(D29="Customer Payment",OR(J29="",COUNTIF(ar_No,J29&amp;"")=0)),"Invoice # in Reference not found on AR sheet",IF(AND(D29="Bill Payment",H29=""),"Add the vendor",IF(AND(D29="Bill Payment",OR(J29="",COUNTIFS(ap_No,J29&amp;"",ap_Party,H29&amp;"")=0)),"Bill # + vendor not found on AP sheet",IF(AND(ISNUMBER(M29),N(M29)&lt;&gt;0,W29=0),"Tax ignored (tax tracking off, or not allowed for this type)",IF(V29=K29&amp;"","Same account on both sides",IF(AND(ISNUMBER(StartDate),C29&lt;StartDate),"Date is before the accounting start date",IF(AND(D29&lt;&gt;"Adjustment",IFERROR(INDEX(coa_Pay,MATCH(K29&amp;"",coa_Name,0)),"")&lt;&gt;"Yes"),"Paid From / Deposited To is not a payment account","")))))))))))</f>
        <v/>
      </c>
      <c r="Z29" s="67">
        <f>IF(AND(T29=0,X29=""),1,0)</f>
        <v/>
      </c>
      <c r="AA29" s="68">
        <f>IF(Z29=1,IF(U29="In",L29,L29-W29),0)</f>
        <v/>
      </c>
      <c r="AB29" s="68">
        <f>IF(Z29=1,IF(U29="In",L29-W29,L29),0)</f>
        <v/>
      </c>
      <c r="AC29" s="68">
        <f>IF(AND(Z29=1,U29="Out"),W29,0)</f>
        <v/>
      </c>
      <c r="AD29" s="68">
        <f>IF(AND(Z29=1,U29="In"),W29,0)</f>
        <v/>
      </c>
    </row>
    <row r="30">
      <c r="B30" s="62" t="inlineStr">
        <is>
          <t>TX-0024</t>
        </is>
      </c>
      <c r="C30" s="63" t="n">
        <v>46048</v>
      </c>
      <c r="D30" s="62" t="inlineStr">
        <is>
          <t>Bill Payment</t>
        </is>
      </c>
      <c r="E30" s="62" t="n"/>
      <c r="F30" s="62" t="inlineStr">
        <is>
          <t>Supplier payment</t>
        </is>
      </c>
      <c r="G30" s="62" t="n"/>
      <c r="H30" s="62" t="inlineStr">
        <is>
          <t>Fresh Dairy Co.</t>
        </is>
      </c>
      <c r="I30" s="62" t="inlineStr">
        <is>
          <t>Bank Transfer</t>
        </is>
      </c>
      <c r="J30" s="62" t="inlineStr">
        <is>
          <t>FR-012</t>
        </is>
      </c>
      <c r="K30" s="62" t="inlineStr">
        <is>
          <t>Bank Account</t>
        </is>
      </c>
      <c r="L30" s="64" t="n">
        <v>18581.84</v>
      </c>
      <c r="M30" s="64" t="n"/>
      <c r="N30" s="62" t="n"/>
      <c r="O30" s="65">
        <f>IF(Z30=1,L30-W30,"")</f>
        <v/>
      </c>
      <c r="P30" s="66">
        <f>IF(V30="","",IFERROR(INDEX(coa_Type,MATCH(V30,coa_Name,0)),""))</f>
        <v/>
      </c>
      <c r="Q30" s="66">
        <f>IF(Z30=1,IF(U30="In",K30&amp;"",V30),"")</f>
        <v/>
      </c>
      <c r="R30" s="66">
        <f>IF(Z30=1,IF(U30="In",V30,K30&amp;""),"")</f>
        <v/>
      </c>
      <c r="S30" s="66">
        <f>IF(X30&lt;&gt;"","⛔ "&amp;X30&amp;" — not posted",IF(Y30&lt;&gt;"","⚠ "&amp;Y30,IF(Z30=1,"✓ OK","")))</f>
        <v/>
      </c>
      <c r="T30" s="67">
        <f>IF(AND(C30="",D30="",E30="",L30="",K30=""),1,0)</f>
        <v/>
      </c>
      <c r="U30" s="67">
        <f>IFERROR(INDEX(tt_Dir,MATCH(D30,tt_Type,0)),"")</f>
        <v/>
      </c>
      <c r="V30" s="67">
        <f>IF(D30="","",IFERROR(IF(INDEX(tt_Other,MATCH(D30,tt_Type,0))="",E30&amp;"",INDEX(tt_Other,MATCH(D30,tt_Type,0))),""))</f>
        <v/>
      </c>
      <c r="W30" s="68">
        <f>IF(OR(TaxOn&lt;&gt;"Yes",NOT(ISNUMBER(M30))),0,IF(IFERROR(INDEX(tt_Tax,MATCH(D30,tt_Type,0)),"No")="Yes",M30,0))</f>
        <v/>
      </c>
      <c r="X30" s="67">
        <f>IF(T30=1,"",IF(C30="","Missing transaction date",IF(NOT(ISNUMBER(C30)),"Invalid date",IF(OR(C30&lt;DATE(2000,1,1),C30&gt;DATE(2099,12,31)),"Invalid date",IF(D30="","Select a type",IF(U30="","Unknown type: "&amp;D30,IF(V30="","Select an account (Category)",IF(ISNA(MATCH(V30,coa_Name,0)),"Unknown account: "&amp;V30,IF(K30="","Select Paid From / Deposited To",IF(ISNA(MATCH(K30,coa_Name,0)),"Unknown account: "&amp;K30,IF(NOT(ISNUMBER(L30)),"Enter an amount",IF(L30=0,"Enter an amount",IF(ABS(W30)&gt;ABS(L30),"Tax is larger than the amount","")))))))))))))</f>
        <v/>
      </c>
      <c r="Y30" s="67">
        <f>IF(OR(T30=1,X30&lt;&gt;""),"",IF(AND(B30&lt;&gt;"",COUNTIF(tx_ID,B30)&gt;1),"Duplicate transaction ID",IF(AND(L30&lt;0,D30&lt;&gt;"Adjustment"),"Negative amount — check this entry",IF(AND(D30="Customer Payment",G30=""),"Add the customer",IF(AND(D30="Customer Payment",OR(J30="",COUNTIF(ar_No,J30&amp;"")=0)),"Invoice # in Reference not found on AR sheet",IF(AND(D30="Bill Payment",H30=""),"Add the vendor",IF(AND(D30="Bill Payment",OR(J30="",COUNTIFS(ap_No,J30&amp;"",ap_Party,H30&amp;"")=0)),"Bill # + vendor not found on AP sheet",IF(AND(ISNUMBER(M30),N(M30)&lt;&gt;0,W30=0),"Tax ignored (tax tracking off, or not allowed for this type)",IF(V30=K30&amp;"","Same account on both sides",IF(AND(ISNUMBER(StartDate),C30&lt;StartDate),"Date is before the accounting start date",IF(AND(D30&lt;&gt;"Adjustment",IFERROR(INDEX(coa_Pay,MATCH(K30&amp;"",coa_Name,0)),"")&lt;&gt;"Yes"),"Paid From / Deposited To is not a payment account","")))))))))))</f>
        <v/>
      </c>
      <c r="Z30" s="67">
        <f>IF(AND(T30=0,X30=""),1,0)</f>
        <v/>
      </c>
      <c r="AA30" s="68">
        <f>IF(Z30=1,IF(U30="In",L30,L30-W30),0)</f>
        <v/>
      </c>
      <c r="AB30" s="68">
        <f>IF(Z30=1,IF(U30="In",L30-W30,L30),0)</f>
        <v/>
      </c>
      <c r="AC30" s="68">
        <f>IF(AND(Z30=1,U30="Out"),W30,0)</f>
        <v/>
      </c>
      <c r="AD30" s="68">
        <f>IF(AND(Z30=1,U30="In"),W30,0)</f>
        <v/>
      </c>
    </row>
    <row r="31">
      <c r="B31" s="62" t="inlineStr">
        <is>
          <t>TX-0025</t>
        </is>
      </c>
      <c r="C31" s="63" t="n">
        <v>46049</v>
      </c>
      <c r="D31" s="62" t="inlineStr">
        <is>
          <t>Transfer</t>
        </is>
      </c>
      <c r="E31" s="62" t="inlineStr">
        <is>
          <t>Bank Account</t>
        </is>
      </c>
      <c r="F31" s="62" t="inlineStr">
        <is>
          <t>Cash deposit to bank</t>
        </is>
      </c>
      <c r="G31" s="62" t="n"/>
      <c r="H31" s="62" t="n"/>
      <c r="I31" s="62" t="inlineStr">
        <is>
          <t>Cash</t>
        </is>
      </c>
      <c r="J31" s="62" t="n"/>
      <c r="K31" s="62" t="inlineStr">
        <is>
          <t>Cash on Hand</t>
        </is>
      </c>
      <c r="L31" s="64" t="n">
        <v>51100</v>
      </c>
      <c r="M31" s="64" t="n"/>
      <c r="N31" s="62" t="n"/>
      <c r="O31" s="65">
        <f>IF(Z31=1,L31-W31,"")</f>
        <v/>
      </c>
      <c r="P31" s="66">
        <f>IF(V31="","",IFERROR(INDEX(coa_Type,MATCH(V31,coa_Name,0)),""))</f>
        <v/>
      </c>
      <c r="Q31" s="66">
        <f>IF(Z31=1,IF(U31="In",K31&amp;"",V31),"")</f>
        <v/>
      </c>
      <c r="R31" s="66">
        <f>IF(Z31=1,IF(U31="In",V31,K31&amp;""),"")</f>
        <v/>
      </c>
      <c r="S31" s="66">
        <f>IF(X31&lt;&gt;"","⛔ "&amp;X31&amp;" — not posted",IF(Y31&lt;&gt;"","⚠ "&amp;Y31,IF(Z31=1,"✓ OK","")))</f>
        <v/>
      </c>
      <c r="T31" s="67">
        <f>IF(AND(C31="",D31="",E31="",L31="",K31=""),1,0)</f>
        <v/>
      </c>
      <c r="U31" s="67">
        <f>IFERROR(INDEX(tt_Dir,MATCH(D31,tt_Type,0)),"")</f>
        <v/>
      </c>
      <c r="V31" s="67">
        <f>IF(D31="","",IFERROR(IF(INDEX(tt_Other,MATCH(D31,tt_Type,0))="",E31&amp;"",INDEX(tt_Other,MATCH(D31,tt_Type,0))),""))</f>
        <v/>
      </c>
      <c r="W31" s="68">
        <f>IF(OR(TaxOn&lt;&gt;"Yes",NOT(ISNUMBER(M31))),0,IF(IFERROR(INDEX(tt_Tax,MATCH(D31,tt_Type,0)),"No")="Yes",M31,0))</f>
        <v/>
      </c>
      <c r="X31" s="67">
        <f>IF(T31=1,"",IF(C31="","Missing transaction date",IF(NOT(ISNUMBER(C31)),"Invalid date",IF(OR(C31&lt;DATE(2000,1,1),C31&gt;DATE(2099,12,31)),"Invalid date",IF(D31="","Select a type",IF(U31="","Unknown type: "&amp;D31,IF(V31="","Select an account (Category)",IF(ISNA(MATCH(V31,coa_Name,0)),"Unknown account: "&amp;V31,IF(K31="","Select Paid From / Deposited To",IF(ISNA(MATCH(K31,coa_Name,0)),"Unknown account: "&amp;K31,IF(NOT(ISNUMBER(L31)),"Enter an amount",IF(L31=0,"Enter an amount",IF(ABS(W31)&gt;ABS(L31),"Tax is larger than the amount","")))))))))))))</f>
        <v/>
      </c>
      <c r="Y31" s="67">
        <f>IF(OR(T31=1,X31&lt;&gt;""),"",IF(AND(B31&lt;&gt;"",COUNTIF(tx_ID,B31)&gt;1),"Duplicate transaction ID",IF(AND(L31&lt;0,D31&lt;&gt;"Adjustment"),"Negative amount — check this entry",IF(AND(D31="Customer Payment",G31=""),"Add the customer",IF(AND(D31="Customer Payment",OR(J31="",COUNTIF(ar_No,J31&amp;"")=0)),"Invoice # in Reference not found on AR sheet",IF(AND(D31="Bill Payment",H31=""),"Add the vendor",IF(AND(D31="Bill Payment",OR(J31="",COUNTIFS(ap_No,J31&amp;"",ap_Party,H31&amp;"")=0)),"Bill # + vendor not found on AP sheet",IF(AND(ISNUMBER(M31),N(M31)&lt;&gt;0,W31=0),"Tax ignored (tax tracking off, or not allowed for this type)",IF(V31=K31&amp;"","Same account on both sides",IF(AND(ISNUMBER(StartDate),C31&lt;StartDate),"Date is before the accounting start date",IF(AND(D31&lt;&gt;"Adjustment",IFERROR(INDEX(coa_Pay,MATCH(K31&amp;"",coa_Name,0)),"")&lt;&gt;"Yes"),"Paid From / Deposited To is not a payment account","")))))))))))</f>
        <v/>
      </c>
      <c r="Z31" s="67">
        <f>IF(AND(T31=0,X31=""),1,0)</f>
        <v/>
      </c>
      <c r="AA31" s="68">
        <f>IF(Z31=1,IF(U31="In",L31,L31-W31),0)</f>
        <v/>
      </c>
      <c r="AB31" s="68">
        <f>IF(Z31=1,IF(U31="In",L31-W31,L31),0)</f>
        <v/>
      </c>
      <c r="AC31" s="68">
        <f>IF(AND(Z31=1,U31="Out"),W31,0)</f>
        <v/>
      </c>
      <c r="AD31" s="68">
        <f>IF(AND(Z31=1,U31="In"),W31,0)</f>
        <v/>
      </c>
    </row>
    <row r="32">
      <c r="B32" s="62" t="inlineStr">
        <is>
          <t>TX-0026</t>
        </is>
      </c>
      <c r="C32" s="63" t="n">
        <v>46049</v>
      </c>
      <c r="D32" s="62" t="inlineStr">
        <is>
          <t>Money Out</t>
        </is>
      </c>
      <c r="E32" s="62" t="inlineStr">
        <is>
          <t>Bank &amp; Payment Fees</t>
        </is>
      </c>
      <c r="F32" s="62" t="inlineStr">
        <is>
          <t>Monthly bank charge</t>
        </is>
      </c>
      <c r="G32" s="62" t="n"/>
      <c r="H32" s="62" t="n"/>
      <c r="I32" s="62" t="inlineStr">
        <is>
          <t>Bank Transfer</t>
        </is>
      </c>
      <c r="J32" s="62" t="n"/>
      <c r="K32" s="62" t="inlineStr">
        <is>
          <t>Bank Account</t>
        </is>
      </c>
      <c r="L32" s="64" t="n">
        <v>150</v>
      </c>
      <c r="M32" s="64" t="n"/>
      <c r="N32" s="62" t="n"/>
      <c r="O32" s="65">
        <f>IF(Z32=1,L32-W32,"")</f>
        <v/>
      </c>
      <c r="P32" s="66">
        <f>IF(V32="","",IFERROR(INDEX(coa_Type,MATCH(V32,coa_Name,0)),""))</f>
        <v/>
      </c>
      <c r="Q32" s="66">
        <f>IF(Z32=1,IF(U32="In",K32&amp;"",V32),"")</f>
        <v/>
      </c>
      <c r="R32" s="66">
        <f>IF(Z32=1,IF(U32="In",V32,K32&amp;""),"")</f>
        <v/>
      </c>
      <c r="S32" s="66">
        <f>IF(X32&lt;&gt;"","⛔ "&amp;X32&amp;" — not posted",IF(Y32&lt;&gt;"","⚠ "&amp;Y32,IF(Z32=1,"✓ OK","")))</f>
        <v/>
      </c>
      <c r="T32" s="67">
        <f>IF(AND(C32="",D32="",E32="",L32="",K32=""),1,0)</f>
        <v/>
      </c>
      <c r="U32" s="67">
        <f>IFERROR(INDEX(tt_Dir,MATCH(D32,tt_Type,0)),"")</f>
        <v/>
      </c>
      <c r="V32" s="67">
        <f>IF(D32="","",IFERROR(IF(INDEX(tt_Other,MATCH(D32,tt_Type,0))="",E32&amp;"",INDEX(tt_Other,MATCH(D32,tt_Type,0))),""))</f>
        <v/>
      </c>
      <c r="W32" s="68">
        <f>IF(OR(TaxOn&lt;&gt;"Yes",NOT(ISNUMBER(M32))),0,IF(IFERROR(INDEX(tt_Tax,MATCH(D32,tt_Type,0)),"No")="Yes",M32,0))</f>
        <v/>
      </c>
      <c r="X32" s="67">
        <f>IF(T32=1,"",IF(C32="","Missing transaction date",IF(NOT(ISNUMBER(C32)),"Invalid date",IF(OR(C32&lt;DATE(2000,1,1),C32&gt;DATE(2099,12,31)),"Invalid date",IF(D32="","Select a type",IF(U32="","Unknown type: "&amp;D32,IF(V32="","Select an account (Category)",IF(ISNA(MATCH(V32,coa_Name,0)),"Unknown account: "&amp;V32,IF(K32="","Select Paid From / Deposited To",IF(ISNA(MATCH(K32,coa_Name,0)),"Unknown account: "&amp;K32,IF(NOT(ISNUMBER(L32)),"Enter an amount",IF(L32=0,"Enter an amount",IF(ABS(W32)&gt;ABS(L32),"Tax is larger than the amount","")))))))))))))</f>
        <v/>
      </c>
      <c r="Y32" s="67">
        <f>IF(OR(T32=1,X32&lt;&gt;""),"",IF(AND(B32&lt;&gt;"",COUNTIF(tx_ID,B32)&gt;1),"Duplicate transaction ID",IF(AND(L32&lt;0,D32&lt;&gt;"Adjustment"),"Negative amount — check this entry",IF(AND(D32="Customer Payment",G32=""),"Add the customer",IF(AND(D32="Customer Payment",OR(J32="",COUNTIF(ar_No,J32&amp;"")=0)),"Invoice # in Reference not found on AR sheet",IF(AND(D32="Bill Payment",H32=""),"Add the vendor",IF(AND(D32="Bill Payment",OR(J32="",COUNTIFS(ap_No,J32&amp;"",ap_Party,H32&amp;"")=0)),"Bill # + vendor not found on AP sheet",IF(AND(ISNUMBER(M32),N(M32)&lt;&gt;0,W32=0),"Tax ignored (tax tracking off, or not allowed for this type)",IF(V32=K32&amp;"","Same account on both sides",IF(AND(ISNUMBER(StartDate),C32&lt;StartDate),"Date is before the accounting start date",IF(AND(D32&lt;&gt;"Adjustment",IFERROR(INDEX(coa_Pay,MATCH(K32&amp;"",coa_Name,0)),"")&lt;&gt;"Yes"),"Paid From / Deposited To is not a payment account","")))))))))))</f>
        <v/>
      </c>
      <c r="Z32" s="67">
        <f>IF(AND(T32=0,X32=""),1,0)</f>
        <v/>
      </c>
      <c r="AA32" s="68">
        <f>IF(Z32=1,IF(U32="In",L32,L32-W32),0)</f>
        <v/>
      </c>
      <c r="AB32" s="68">
        <f>IF(Z32=1,IF(U32="In",L32-W32,L32),0)</f>
        <v/>
      </c>
      <c r="AC32" s="68">
        <f>IF(AND(Z32=1,U32="Out"),W32,0)</f>
        <v/>
      </c>
      <c r="AD32" s="68">
        <f>IF(AND(Z32=1,U32="In"),W32,0)</f>
        <v/>
      </c>
    </row>
    <row r="33">
      <c r="B33" s="62" t="inlineStr">
        <is>
          <t>TX-0027</t>
        </is>
      </c>
      <c r="C33" s="63" t="n">
        <v>46050</v>
      </c>
      <c r="D33" s="62" t="inlineStr">
        <is>
          <t>Transfer</t>
        </is>
      </c>
      <c r="E33" s="62" t="inlineStr">
        <is>
          <t>Bank Account</t>
        </is>
      </c>
      <c r="F33" s="62" t="inlineStr">
        <is>
          <t>E-wallet cash-out to bank</t>
        </is>
      </c>
      <c r="G33" s="62" t="n"/>
      <c r="H33" s="62" t="n"/>
      <c r="I33" s="62" t="inlineStr">
        <is>
          <t>Online Payment</t>
        </is>
      </c>
      <c r="J33" s="62" t="n"/>
      <c r="K33" s="62" t="inlineStr">
        <is>
          <t>E-Wallet / Online Payments</t>
        </is>
      </c>
      <c r="L33" s="64" t="n">
        <v>50200</v>
      </c>
      <c r="M33" s="64" t="n"/>
      <c r="N33" s="62" t="n"/>
      <c r="O33" s="65">
        <f>IF(Z33=1,L33-W33,"")</f>
        <v/>
      </c>
      <c r="P33" s="66">
        <f>IF(V33="","",IFERROR(INDEX(coa_Type,MATCH(V33,coa_Name,0)),""))</f>
        <v/>
      </c>
      <c r="Q33" s="66">
        <f>IF(Z33=1,IF(U33="In",K33&amp;"",V33),"")</f>
        <v/>
      </c>
      <c r="R33" s="66">
        <f>IF(Z33=1,IF(U33="In",V33,K33&amp;""),"")</f>
        <v/>
      </c>
      <c r="S33" s="66">
        <f>IF(X33&lt;&gt;"","⛔ "&amp;X33&amp;" — not posted",IF(Y33&lt;&gt;"","⚠ "&amp;Y33,IF(Z33=1,"✓ OK","")))</f>
        <v/>
      </c>
      <c r="T33" s="67">
        <f>IF(AND(C33="",D33="",E33="",L33="",K33=""),1,0)</f>
        <v/>
      </c>
      <c r="U33" s="67">
        <f>IFERROR(INDEX(tt_Dir,MATCH(D33,tt_Type,0)),"")</f>
        <v/>
      </c>
      <c r="V33" s="67">
        <f>IF(D33="","",IFERROR(IF(INDEX(tt_Other,MATCH(D33,tt_Type,0))="",E33&amp;"",INDEX(tt_Other,MATCH(D33,tt_Type,0))),""))</f>
        <v/>
      </c>
      <c r="W33" s="68">
        <f>IF(OR(TaxOn&lt;&gt;"Yes",NOT(ISNUMBER(M33))),0,IF(IFERROR(INDEX(tt_Tax,MATCH(D33,tt_Type,0)),"No")="Yes",M33,0))</f>
        <v/>
      </c>
      <c r="X33" s="67">
        <f>IF(T33=1,"",IF(C33="","Missing transaction date",IF(NOT(ISNUMBER(C33)),"Invalid date",IF(OR(C33&lt;DATE(2000,1,1),C33&gt;DATE(2099,12,31)),"Invalid date",IF(D33="","Select a type",IF(U33="","Unknown type: "&amp;D33,IF(V33="","Select an account (Category)",IF(ISNA(MATCH(V33,coa_Name,0)),"Unknown account: "&amp;V33,IF(K33="","Select Paid From / Deposited To",IF(ISNA(MATCH(K33,coa_Name,0)),"Unknown account: "&amp;K33,IF(NOT(ISNUMBER(L33)),"Enter an amount",IF(L33=0,"Enter an amount",IF(ABS(W33)&gt;ABS(L33),"Tax is larger than the amount","")))))))))))))</f>
        <v/>
      </c>
      <c r="Y33" s="67">
        <f>IF(OR(T33=1,X33&lt;&gt;""),"",IF(AND(B33&lt;&gt;"",COUNTIF(tx_ID,B33)&gt;1),"Duplicate transaction ID",IF(AND(L33&lt;0,D33&lt;&gt;"Adjustment"),"Negative amount — check this entry",IF(AND(D33="Customer Payment",G33=""),"Add the customer",IF(AND(D33="Customer Payment",OR(J33="",COUNTIF(ar_No,J33&amp;"")=0)),"Invoice # in Reference not found on AR sheet",IF(AND(D33="Bill Payment",H33=""),"Add the vendor",IF(AND(D33="Bill Payment",OR(J33="",COUNTIFS(ap_No,J33&amp;"",ap_Party,H33&amp;"")=0)),"Bill # + vendor not found on AP sheet",IF(AND(ISNUMBER(M33),N(M33)&lt;&gt;0,W33=0),"Tax ignored (tax tracking off, or not allowed for this type)",IF(V33=K33&amp;"","Same account on both sides",IF(AND(ISNUMBER(StartDate),C33&lt;StartDate),"Date is before the accounting start date",IF(AND(D33&lt;&gt;"Adjustment",IFERROR(INDEX(coa_Pay,MATCH(K33&amp;"",coa_Name,0)),"")&lt;&gt;"Yes"),"Paid From / Deposited To is not a payment account","")))))))))))</f>
        <v/>
      </c>
      <c r="Z33" s="67">
        <f>IF(AND(T33=0,X33=""),1,0)</f>
        <v/>
      </c>
      <c r="AA33" s="68">
        <f>IF(Z33=1,IF(U33="In",L33,L33-W33),0)</f>
        <v/>
      </c>
      <c r="AB33" s="68">
        <f>IF(Z33=1,IF(U33="In",L33-W33,L33),0)</f>
        <v/>
      </c>
      <c r="AC33" s="68">
        <f>IF(AND(Z33=1,U33="Out"),W33,0)</f>
        <v/>
      </c>
      <c r="AD33" s="68">
        <f>IF(AND(Z33=1,U33="In"),W33,0)</f>
        <v/>
      </c>
    </row>
    <row r="34">
      <c r="B34" s="62" t="inlineStr">
        <is>
          <t>TX-0028</t>
        </is>
      </c>
      <c r="C34" s="63" t="n">
        <v>46050</v>
      </c>
      <c r="D34" s="62" t="inlineStr">
        <is>
          <t>Money Out</t>
        </is>
      </c>
      <c r="E34" s="62" t="inlineStr">
        <is>
          <t>Direct Labor</t>
        </is>
      </c>
      <c r="F34" s="62" t="inlineStr">
        <is>
          <t>Bakers' salaries (16th-end)</t>
        </is>
      </c>
      <c r="G34" s="62" t="n"/>
      <c r="H34" s="62" t="n"/>
      <c r="I34" s="62" t="inlineStr">
        <is>
          <t>Bank Transfer</t>
        </is>
      </c>
      <c r="J34" s="62" t="n"/>
      <c r="K34" s="62" t="inlineStr">
        <is>
          <t>Bank Account</t>
        </is>
      </c>
      <c r="L34" s="64" t="n">
        <v>38000</v>
      </c>
      <c r="M34" s="64" t="n"/>
      <c r="N34" s="62" t="n"/>
      <c r="O34" s="65">
        <f>IF(Z34=1,L34-W34,"")</f>
        <v/>
      </c>
      <c r="P34" s="66">
        <f>IF(V34="","",IFERROR(INDEX(coa_Type,MATCH(V34,coa_Name,0)),""))</f>
        <v/>
      </c>
      <c r="Q34" s="66">
        <f>IF(Z34=1,IF(U34="In",K34&amp;"",V34),"")</f>
        <v/>
      </c>
      <c r="R34" s="66">
        <f>IF(Z34=1,IF(U34="In",V34,K34&amp;""),"")</f>
        <v/>
      </c>
      <c r="S34" s="66">
        <f>IF(X34&lt;&gt;"","⛔ "&amp;X34&amp;" — not posted",IF(Y34&lt;&gt;"","⚠ "&amp;Y34,IF(Z34=1,"✓ OK","")))</f>
        <v/>
      </c>
      <c r="T34" s="67">
        <f>IF(AND(C34="",D34="",E34="",L34="",K34=""),1,0)</f>
        <v/>
      </c>
      <c r="U34" s="67">
        <f>IFERROR(INDEX(tt_Dir,MATCH(D34,tt_Type,0)),"")</f>
        <v/>
      </c>
      <c r="V34" s="67">
        <f>IF(D34="","",IFERROR(IF(INDEX(tt_Other,MATCH(D34,tt_Type,0))="",E34&amp;"",INDEX(tt_Other,MATCH(D34,tt_Type,0))),""))</f>
        <v/>
      </c>
      <c r="W34" s="68">
        <f>IF(OR(TaxOn&lt;&gt;"Yes",NOT(ISNUMBER(M34))),0,IF(IFERROR(INDEX(tt_Tax,MATCH(D34,tt_Type,0)),"No")="Yes",M34,0))</f>
        <v/>
      </c>
      <c r="X34" s="67">
        <f>IF(T34=1,"",IF(C34="","Missing transaction date",IF(NOT(ISNUMBER(C34)),"Invalid date",IF(OR(C34&lt;DATE(2000,1,1),C34&gt;DATE(2099,12,31)),"Invalid date",IF(D34="","Select a type",IF(U34="","Unknown type: "&amp;D34,IF(V34="","Select an account (Category)",IF(ISNA(MATCH(V34,coa_Name,0)),"Unknown account: "&amp;V34,IF(K34="","Select Paid From / Deposited To",IF(ISNA(MATCH(K34,coa_Name,0)),"Unknown account: "&amp;K34,IF(NOT(ISNUMBER(L34)),"Enter an amount",IF(L34=0,"Enter an amount",IF(ABS(W34)&gt;ABS(L34),"Tax is larger than the amount","")))))))))))))</f>
        <v/>
      </c>
      <c r="Y34" s="67">
        <f>IF(OR(T34=1,X34&lt;&gt;""),"",IF(AND(B34&lt;&gt;"",COUNTIF(tx_ID,B34)&gt;1),"Duplicate transaction ID",IF(AND(L34&lt;0,D34&lt;&gt;"Adjustment"),"Negative amount — check this entry",IF(AND(D34="Customer Payment",G34=""),"Add the customer",IF(AND(D34="Customer Payment",OR(J34="",COUNTIF(ar_No,J34&amp;"")=0)),"Invoice # in Reference not found on AR sheet",IF(AND(D34="Bill Payment",H34=""),"Add the vendor",IF(AND(D34="Bill Payment",OR(J34="",COUNTIFS(ap_No,J34&amp;"",ap_Party,H34&amp;"")=0)),"Bill # + vendor not found on AP sheet",IF(AND(ISNUMBER(M34),N(M34)&lt;&gt;0,W34=0),"Tax ignored (tax tracking off, or not allowed for this type)",IF(V34=K34&amp;"","Same account on both sides",IF(AND(ISNUMBER(StartDate),C34&lt;StartDate),"Date is before the accounting start date",IF(AND(D34&lt;&gt;"Adjustment",IFERROR(INDEX(coa_Pay,MATCH(K34&amp;"",coa_Name,0)),"")&lt;&gt;"Yes"),"Paid From / Deposited To is not a payment account","")))))))))))</f>
        <v/>
      </c>
      <c r="Z34" s="67">
        <f>IF(AND(T34=0,X34=""),1,0)</f>
        <v/>
      </c>
      <c r="AA34" s="68">
        <f>IF(Z34=1,IF(U34="In",L34,L34-W34),0)</f>
        <v/>
      </c>
      <c r="AB34" s="68">
        <f>IF(Z34=1,IF(U34="In",L34-W34,L34),0)</f>
        <v/>
      </c>
      <c r="AC34" s="68">
        <f>IF(AND(Z34=1,U34="Out"),W34,0)</f>
        <v/>
      </c>
      <c r="AD34" s="68">
        <f>IF(AND(Z34=1,U34="In"),W34,0)</f>
        <v/>
      </c>
    </row>
    <row r="35">
      <c r="B35" s="62" t="inlineStr">
        <is>
          <t>TX-0029</t>
        </is>
      </c>
      <c r="C35" s="63" t="n">
        <v>46050</v>
      </c>
      <c r="D35" s="62" t="inlineStr">
        <is>
          <t>Money Out</t>
        </is>
      </c>
      <c r="E35" s="62" t="inlineStr">
        <is>
          <t>Salaries &amp; Wages</t>
        </is>
      </c>
      <c r="F35" s="62" t="inlineStr">
        <is>
          <t>Cashier salary (16th-end)</t>
        </is>
      </c>
      <c r="G35" s="62" t="n"/>
      <c r="H35" s="62" t="n"/>
      <c r="I35" s="62" t="inlineStr">
        <is>
          <t>Bank Transfer</t>
        </is>
      </c>
      <c r="J35" s="62" t="n"/>
      <c r="K35" s="62" t="inlineStr">
        <is>
          <t>Bank Account</t>
        </is>
      </c>
      <c r="L35" s="64" t="n">
        <v>9000</v>
      </c>
      <c r="M35" s="64" t="n"/>
      <c r="N35" s="62" t="n"/>
      <c r="O35" s="65">
        <f>IF(Z35=1,L35-W35,"")</f>
        <v/>
      </c>
      <c r="P35" s="66">
        <f>IF(V35="","",IFERROR(INDEX(coa_Type,MATCH(V35,coa_Name,0)),""))</f>
        <v/>
      </c>
      <c r="Q35" s="66">
        <f>IF(Z35=1,IF(U35="In",K35&amp;"",V35),"")</f>
        <v/>
      </c>
      <c r="R35" s="66">
        <f>IF(Z35=1,IF(U35="In",V35,K35&amp;""),"")</f>
        <v/>
      </c>
      <c r="S35" s="66">
        <f>IF(X35&lt;&gt;"","⛔ "&amp;X35&amp;" — not posted",IF(Y35&lt;&gt;"","⚠ "&amp;Y35,IF(Z35=1,"✓ OK","")))</f>
        <v/>
      </c>
      <c r="T35" s="67">
        <f>IF(AND(C35="",D35="",E35="",L35="",K35=""),1,0)</f>
        <v/>
      </c>
      <c r="U35" s="67">
        <f>IFERROR(INDEX(tt_Dir,MATCH(D35,tt_Type,0)),"")</f>
        <v/>
      </c>
      <c r="V35" s="67">
        <f>IF(D35="","",IFERROR(IF(INDEX(tt_Other,MATCH(D35,tt_Type,0))="",E35&amp;"",INDEX(tt_Other,MATCH(D35,tt_Type,0))),""))</f>
        <v/>
      </c>
      <c r="W35" s="68">
        <f>IF(OR(TaxOn&lt;&gt;"Yes",NOT(ISNUMBER(M35))),0,IF(IFERROR(INDEX(tt_Tax,MATCH(D35,tt_Type,0)),"No")="Yes",M35,0))</f>
        <v/>
      </c>
      <c r="X35" s="67">
        <f>IF(T35=1,"",IF(C35="","Missing transaction date",IF(NOT(ISNUMBER(C35)),"Invalid date",IF(OR(C35&lt;DATE(2000,1,1),C35&gt;DATE(2099,12,31)),"Invalid date",IF(D35="","Select a type",IF(U35="","Unknown type: "&amp;D35,IF(V35="","Select an account (Category)",IF(ISNA(MATCH(V35,coa_Name,0)),"Unknown account: "&amp;V35,IF(K35="","Select Paid From / Deposited To",IF(ISNA(MATCH(K35,coa_Name,0)),"Unknown account: "&amp;K35,IF(NOT(ISNUMBER(L35)),"Enter an amount",IF(L35=0,"Enter an amount",IF(ABS(W35)&gt;ABS(L35),"Tax is larger than the amount","")))))))))))))</f>
        <v/>
      </c>
      <c r="Y35" s="67">
        <f>IF(OR(T35=1,X35&lt;&gt;""),"",IF(AND(B35&lt;&gt;"",COUNTIF(tx_ID,B35)&gt;1),"Duplicate transaction ID",IF(AND(L35&lt;0,D35&lt;&gt;"Adjustment"),"Negative amount — check this entry",IF(AND(D35="Customer Payment",G35=""),"Add the customer",IF(AND(D35="Customer Payment",OR(J35="",COUNTIF(ar_No,J35&amp;"")=0)),"Invoice # in Reference not found on AR sheet",IF(AND(D35="Bill Payment",H35=""),"Add the vendor",IF(AND(D35="Bill Payment",OR(J35="",COUNTIFS(ap_No,J35&amp;"",ap_Party,H35&amp;"")=0)),"Bill # + vendor not found on AP sheet",IF(AND(ISNUMBER(M35),N(M35)&lt;&gt;0,W35=0),"Tax ignored (tax tracking off, or not allowed for this type)",IF(V35=K35&amp;"","Same account on both sides",IF(AND(ISNUMBER(StartDate),C35&lt;StartDate),"Date is before the accounting start date",IF(AND(D35&lt;&gt;"Adjustment",IFERROR(INDEX(coa_Pay,MATCH(K35&amp;"",coa_Name,0)),"")&lt;&gt;"Yes"),"Paid From / Deposited To is not a payment account","")))))))))))</f>
        <v/>
      </c>
      <c r="Z35" s="67">
        <f>IF(AND(T35=0,X35=""),1,0)</f>
        <v/>
      </c>
      <c r="AA35" s="68">
        <f>IF(Z35=1,IF(U35="In",L35,L35-W35),0)</f>
        <v/>
      </c>
      <c r="AB35" s="68">
        <f>IF(Z35=1,IF(U35="In",L35-W35,L35),0)</f>
        <v/>
      </c>
      <c r="AC35" s="68">
        <f>IF(AND(Z35=1,U35="Out"),W35,0)</f>
        <v/>
      </c>
      <c r="AD35" s="68">
        <f>IF(AND(Z35=1,U35="In"),W35,0)</f>
        <v/>
      </c>
    </row>
    <row r="36">
      <c r="B36" s="62" t="inlineStr">
        <is>
          <t>TX-0030</t>
        </is>
      </c>
      <c r="C36" s="63" t="n">
        <v>46052</v>
      </c>
      <c r="D36" s="62" t="inlineStr">
        <is>
          <t>Adjustment</t>
        </is>
      </c>
      <c r="E36" s="62" t="inlineStr">
        <is>
          <t>Depreciation</t>
        </is>
      </c>
      <c r="F36" s="62" t="inlineStr">
        <is>
          <t>Monthly depreciation of equipment</t>
        </is>
      </c>
      <c r="G36" s="62" t="n"/>
      <c r="H36" s="62" t="n"/>
      <c r="I36" s="62" t="n"/>
      <c r="J36" s="62" t="n"/>
      <c r="K36" s="62" t="inlineStr">
        <is>
          <t>Accumulated Depreciation</t>
        </is>
      </c>
      <c r="L36" s="64" t="n">
        <v>3000</v>
      </c>
      <c r="M36" s="64" t="n"/>
      <c r="N36" s="62" t="n"/>
      <c r="O36" s="65">
        <f>IF(Z36=1,L36-W36,"")</f>
        <v/>
      </c>
      <c r="P36" s="66">
        <f>IF(V36="","",IFERROR(INDEX(coa_Type,MATCH(V36,coa_Name,0)),""))</f>
        <v/>
      </c>
      <c r="Q36" s="66">
        <f>IF(Z36=1,IF(U36="In",K36&amp;"",V36),"")</f>
        <v/>
      </c>
      <c r="R36" s="66">
        <f>IF(Z36=1,IF(U36="In",V36,K36&amp;""),"")</f>
        <v/>
      </c>
      <c r="S36" s="66">
        <f>IF(X36&lt;&gt;"","⛔ "&amp;X36&amp;" — not posted",IF(Y36&lt;&gt;"","⚠ "&amp;Y36,IF(Z36=1,"✓ OK","")))</f>
        <v/>
      </c>
      <c r="T36" s="67">
        <f>IF(AND(C36="",D36="",E36="",L36="",K36=""),1,0)</f>
        <v/>
      </c>
      <c r="U36" s="67">
        <f>IFERROR(INDEX(tt_Dir,MATCH(D36,tt_Type,0)),"")</f>
        <v/>
      </c>
      <c r="V36" s="67">
        <f>IF(D36="","",IFERROR(IF(INDEX(tt_Other,MATCH(D36,tt_Type,0))="",E36&amp;"",INDEX(tt_Other,MATCH(D36,tt_Type,0))),""))</f>
        <v/>
      </c>
      <c r="W36" s="68">
        <f>IF(OR(TaxOn&lt;&gt;"Yes",NOT(ISNUMBER(M36))),0,IF(IFERROR(INDEX(tt_Tax,MATCH(D36,tt_Type,0)),"No")="Yes",M36,0))</f>
        <v/>
      </c>
      <c r="X36" s="67">
        <f>IF(T36=1,"",IF(C36="","Missing transaction date",IF(NOT(ISNUMBER(C36)),"Invalid date",IF(OR(C36&lt;DATE(2000,1,1),C36&gt;DATE(2099,12,31)),"Invalid date",IF(D36="","Select a type",IF(U36="","Unknown type: "&amp;D36,IF(V36="","Select an account (Category)",IF(ISNA(MATCH(V36,coa_Name,0)),"Unknown account: "&amp;V36,IF(K36="","Select Paid From / Deposited To",IF(ISNA(MATCH(K36,coa_Name,0)),"Unknown account: "&amp;K36,IF(NOT(ISNUMBER(L36)),"Enter an amount",IF(L36=0,"Enter an amount",IF(ABS(W36)&gt;ABS(L36),"Tax is larger than the amount","")))))))))))))</f>
        <v/>
      </c>
      <c r="Y36" s="67">
        <f>IF(OR(T36=1,X36&lt;&gt;""),"",IF(AND(B36&lt;&gt;"",COUNTIF(tx_ID,B36)&gt;1),"Duplicate transaction ID",IF(AND(L36&lt;0,D36&lt;&gt;"Adjustment"),"Negative amount — check this entry",IF(AND(D36="Customer Payment",G36=""),"Add the customer",IF(AND(D36="Customer Payment",OR(J36="",COUNTIF(ar_No,J36&amp;"")=0)),"Invoice # in Reference not found on AR sheet",IF(AND(D36="Bill Payment",H36=""),"Add the vendor",IF(AND(D36="Bill Payment",OR(J36="",COUNTIFS(ap_No,J36&amp;"",ap_Party,H36&amp;"")=0)),"Bill # + vendor not found on AP sheet",IF(AND(ISNUMBER(M36),N(M36)&lt;&gt;0,W36=0),"Tax ignored (tax tracking off, or not allowed for this type)",IF(V36=K36&amp;"","Same account on both sides",IF(AND(ISNUMBER(StartDate),C36&lt;StartDate),"Date is before the accounting start date",IF(AND(D36&lt;&gt;"Adjustment",IFERROR(INDEX(coa_Pay,MATCH(K36&amp;"",coa_Name,0)),"")&lt;&gt;"Yes"),"Paid From / Deposited To is not a payment account","")))))))))))</f>
        <v/>
      </c>
      <c r="Z36" s="67">
        <f>IF(AND(T36=0,X36=""),1,0)</f>
        <v/>
      </c>
      <c r="AA36" s="68">
        <f>IF(Z36=1,IF(U36="In",L36,L36-W36),0)</f>
        <v/>
      </c>
      <c r="AB36" s="68">
        <f>IF(Z36=1,IF(U36="In",L36-W36,L36),0)</f>
        <v/>
      </c>
      <c r="AC36" s="68">
        <f>IF(AND(Z36=1,U36="Out"),W36,0)</f>
        <v/>
      </c>
      <c r="AD36" s="68">
        <f>IF(AND(Z36=1,U36="In"),W36,0)</f>
        <v/>
      </c>
    </row>
    <row r="37">
      <c r="B37" s="62" t="inlineStr">
        <is>
          <t>TX-0031</t>
        </is>
      </c>
      <c r="C37" s="63" t="n">
        <v>46054</v>
      </c>
      <c r="D37" s="62" t="inlineStr">
        <is>
          <t>Money Out</t>
        </is>
      </c>
      <c r="E37" s="62" t="inlineStr">
        <is>
          <t>Rent</t>
        </is>
      </c>
      <c r="F37" s="62" t="inlineStr">
        <is>
          <t>Shop rent</t>
        </is>
      </c>
      <c r="G37" s="62" t="n"/>
      <c r="H37" s="62" t="n"/>
      <c r="I37" s="62" t="inlineStr">
        <is>
          <t>Bank Transfer</t>
        </is>
      </c>
      <c r="J37" s="62" t="inlineStr">
        <is>
          <t>RENT-02</t>
        </is>
      </c>
      <c r="K37" s="62" t="inlineStr">
        <is>
          <t>Bank Account</t>
        </is>
      </c>
      <c r="L37" s="64" t="n">
        <v>28000</v>
      </c>
      <c r="M37" s="64" t="n">
        <v>3000</v>
      </c>
      <c r="N37" s="62" t="n"/>
      <c r="O37" s="65">
        <f>IF(Z37=1,L37-W37,"")</f>
        <v/>
      </c>
      <c r="P37" s="66">
        <f>IF(V37="","",IFERROR(INDEX(coa_Type,MATCH(V37,coa_Name,0)),""))</f>
        <v/>
      </c>
      <c r="Q37" s="66">
        <f>IF(Z37=1,IF(U37="In",K37&amp;"",V37),"")</f>
        <v/>
      </c>
      <c r="R37" s="66">
        <f>IF(Z37=1,IF(U37="In",V37,K37&amp;""),"")</f>
        <v/>
      </c>
      <c r="S37" s="66">
        <f>IF(X37&lt;&gt;"","⛔ "&amp;X37&amp;" — not posted",IF(Y37&lt;&gt;"","⚠ "&amp;Y37,IF(Z37=1,"✓ OK","")))</f>
        <v/>
      </c>
      <c r="T37" s="67">
        <f>IF(AND(C37="",D37="",E37="",L37="",K37=""),1,0)</f>
        <v/>
      </c>
      <c r="U37" s="67">
        <f>IFERROR(INDEX(tt_Dir,MATCH(D37,tt_Type,0)),"")</f>
        <v/>
      </c>
      <c r="V37" s="67">
        <f>IF(D37="","",IFERROR(IF(INDEX(tt_Other,MATCH(D37,tt_Type,0))="",E37&amp;"",INDEX(tt_Other,MATCH(D37,tt_Type,0))),""))</f>
        <v/>
      </c>
      <c r="W37" s="68">
        <f>IF(OR(TaxOn&lt;&gt;"Yes",NOT(ISNUMBER(M37))),0,IF(IFERROR(INDEX(tt_Tax,MATCH(D37,tt_Type,0)),"No")="Yes",M37,0))</f>
        <v/>
      </c>
      <c r="X37" s="67">
        <f>IF(T37=1,"",IF(C37="","Missing transaction date",IF(NOT(ISNUMBER(C37)),"Invalid date",IF(OR(C37&lt;DATE(2000,1,1),C37&gt;DATE(2099,12,31)),"Invalid date",IF(D37="","Select a type",IF(U37="","Unknown type: "&amp;D37,IF(V37="","Select an account (Category)",IF(ISNA(MATCH(V37,coa_Name,0)),"Unknown account: "&amp;V37,IF(K37="","Select Paid From / Deposited To",IF(ISNA(MATCH(K37,coa_Name,0)),"Unknown account: "&amp;K37,IF(NOT(ISNUMBER(L37)),"Enter an amount",IF(L37=0,"Enter an amount",IF(ABS(W37)&gt;ABS(L37),"Tax is larger than the amount","")))))))))))))</f>
        <v/>
      </c>
      <c r="Y37" s="67">
        <f>IF(OR(T37=1,X37&lt;&gt;""),"",IF(AND(B37&lt;&gt;"",COUNTIF(tx_ID,B37)&gt;1),"Duplicate transaction ID",IF(AND(L37&lt;0,D37&lt;&gt;"Adjustment"),"Negative amount — check this entry",IF(AND(D37="Customer Payment",G37=""),"Add the customer",IF(AND(D37="Customer Payment",OR(J37="",COUNTIF(ar_No,J37&amp;"")=0)),"Invoice # in Reference not found on AR sheet",IF(AND(D37="Bill Payment",H37=""),"Add the vendor",IF(AND(D37="Bill Payment",OR(J37="",COUNTIFS(ap_No,J37&amp;"",ap_Party,H37&amp;"")=0)),"Bill # + vendor not found on AP sheet",IF(AND(ISNUMBER(M37),N(M37)&lt;&gt;0,W37=0),"Tax ignored (tax tracking off, or not allowed for this type)",IF(V37=K37&amp;"","Same account on both sides",IF(AND(ISNUMBER(StartDate),C37&lt;StartDate),"Date is before the accounting start date",IF(AND(D37&lt;&gt;"Adjustment",IFERROR(INDEX(coa_Pay,MATCH(K37&amp;"",coa_Name,0)),"")&lt;&gt;"Yes"),"Paid From / Deposited To is not a payment account","")))))))))))</f>
        <v/>
      </c>
      <c r="Z37" s="67">
        <f>IF(AND(T37=0,X37=""),1,0)</f>
        <v/>
      </c>
      <c r="AA37" s="68">
        <f>IF(Z37=1,IF(U37="In",L37,L37-W37),0)</f>
        <v/>
      </c>
      <c r="AB37" s="68">
        <f>IF(Z37=1,IF(U37="In",L37-W37,L37),0)</f>
        <v/>
      </c>
      <c r="AC37" s="68">
        <f>IF(AND(Z37=1,U37="Out"),W37,0)</f>
        <v/>
      </c>
      <c r="AD37" s="68">
        <f>IF(AND(Z37=1,U37="In"),W37,0)</f>
        <v/>
      </c>
    </row>
    <row r="38">
      <c r="B38" s="62" t="inlineStr">
        <is>
          <t>TX-0032</t>
        </is>
      </c>
      <c r="C38" s="63" t="n">
        <v>46055</v>
      </c>
      <c r="D38" s="62" t="inlineStr">
        <is>
          <t>Bill Payment</t>
        </is>
      </c>
      <c r="E38" s="62" t="n"/>
      <c r="F38" s="62" t="inlineStr">
        <is>
          <t>Supplier payment</t>
        </is>
      </c>
      <c r="G38" s="62" t="n"/>
      <c r="H38" s="62" t="inlineStr">
        <is>
          <t>Fresh Dairy Co.</t>
        </is>
      </c>
      <c r="I38" s="62" t="inlineStr">
        <is>
          <t>Bank Transfer</t>
        </is>
      </c>
      <c r="J38" s="62" t="inlineStr">
        <is>
          <t>FR-011</t>
        </is>
      </c>
      <c r="K38" s="62" t="inlineStr">
        <is>
          <t>Bank Account</t>
        </is>
      </c>
      <c r="L38" s="64" t="n">
        <v>18464.42</v>
      </c>
      <c r="M38" s="64" t="n"/>
      <c r="N38" s="62" t="n"/>
      <c r="O38" s="65">
        <f>IF(Z38=1,L38-W38,"")</f>
        <v/>
      </c>
      <c r="P38" s="66">
        <f>IF(V38="","",IFERROR(INDEX(coa_Type,MATCH(V38,coa_Name,0)),""))</f>
        <v/>
      </c>
      <c r="Q38" s="66">
        <f>IF(Z38=1,IF(U38="In",K38&amp;"",V38),"")</f>
        <v/>
      </c>
      <c r="R38" s="66">
        <f>IF(Z38=1,IF(U38="In",V38,K38&amp;""),"")</f>
        <v/>
      </c>
      <c r="S38" s="66">
        <f>IF(X38&lt;&gt;"","⛔ "&amp;X38&amp;" — not posted",IF(Y38&lt;&gt;"","⚠ "&amp;Y38,IF(Z38=1,"✓ OK","")))</f>
        <v/>
      </c>
      <c r="T38" s="67">
        <f>IF(AND(C38="",D38="",E38="",L38="",K38=""),1,0)</f>
        <v/>
      </c>
      <c r="U38" s="67">
        <f>IFERROR(INDEX(tt_Dir,MATCH(D38,tt_Type,0)),"")</f>
        <v/>
      </c>
      <c r="V38" s="67">
        <f>IF(D38="","",IFERROR(IF(INDEX(tt_Other,MATCH(D38,tt_Type,0))="",E38&amp;"",INDEX(tt_Other,MATCH(D38,tt_Type,0))),""))</f>
        <v/>
      </c>
      <c r="W38" s="68">
        <f>IF(OR(TaxOn&lt;&gt;"Yes",NOT(ISNUMBER(M38))),0,IF(IFERROR(INDEX(tt_Tax,MATCH(D38,tt_Type,0)),"No")="Yes",M38,0))</f>
        <v/>
      </c>
      <c r="X38" s="67">
        <f>IF(T38=1,"",IF(C38="","Missing transaction date",IF(NOT(ISNUMBER(C38)),"Invalid date",IF(OR(C38&lt;DATE(2000,1,1),C38&gt;DATE(2099,12,31)),"Invalid date",IF(D38="","Select a type",IF(U38="","Unknown type: "&amp;D38,IF(V38="","Select an account (Category)",IF(ISNA(MATCH(V38,coa_Name,0)),"Unknown account: "&amp;V38,IF(K38="","Select Paid From / Deposited To",IF(ISNA(MATCH(K38,coa_Name,0)),"Unknown account: "&amp;K38,IF(NOT(ISNUMBER(L38)),"Enter an amount",IF(L38=0,"Enter an amount",IF(ABS(W38)&gt;ABS(L38),"Tax is larger than the amount","")))))))))))))</f>
        <v/>
      </c>
      <c r="Y38" s="67">
        <f>IF(OR(T38=1,X38&lt;&gt;""),"",IF(AND(B38&lt;&gt;"",COUNTIF(tx_ID,B38)&gt;1),"Duplicate transaction ID",IF(AND(L38&lt;0,D38&lt;&gt;"Adjustment"),"Negative amount — check this entry",IF(AND(D38="Customer Payment",G38=""),"Add the customer",IF(AND(D38="Customer Payment",OR(J38="",COUNTIF(ar_No,J38&amp;"")=0)),"Invoice # in Reference not found on AR sheet",IF(AND(D38="Bill Payment",H38=""),"Add the vendor",IF(AND(D38="Bill Payment",OR(J38="",COUNTIFS(ap_No,J38&amp;"",ap_Party,H38&amp;"")=0)),"Bill # + vendor not found on AP sheet",IF(AND(ISNUMBER(M38),N(M38)&lt;&gt;0,W38=0),"Tax ignored (tax tracking off, or not allowed for this type)",IF(V38=K38&amp;"","Same account on both sides",IF(AND(ISNUMBER(StartDate),C38&lt;StartDate),"Date is before the accounting start date",IF(AND(D38&lt;&gt;"Adjustment",IFERROR(INDEX(coa_Pay,MATCH(K38&amp;"",coa_Name,0)),"")&lt;&gt;"Yes"),"Paid From / Deposited To is not a payment account","")))))))))))</f>
        <v/>
      </c>
      <c r="Z38" s="67">
        <f>IF(AND(T38=0,X38=""),1,0)</f>
        <v/>
      </c>
      <c r="AA38" s="68">
        <f>IF(Z38=1,IF(U38="In",L38,L38-W38),0)</f>
        <v/>
      </c>
      <c r="AB38" s="68">
        <f>IF(Z38=1,IF(U38="In",L38-W38,L38),0)</f>
        <v/>
      </c>
      <c r="AC38" s="68">
        <f>IF(AND(Z38=1,U38="Out"),W38,0)</f>
        <v/>
      </c>
      <c r="AD38" s="68">
        <f>IF(AND(Z38=1,U38="In"),W38,0)</f>
        <v/>
      </c>
    </row>
    <row r="39">
      <c r="B39" s="62" t="inlineStr">
        <is>
          <t>TX-0033</t>
        </is>
      </c>
      <c r="C39" s="63" t="n">
        <v>46057</v>
      </c>
      <c r="D39" s="62" t="inlineStr">
        <is>
          <t>Money In</t>
        </is>
      </c>
      <c r="E39" s="62" t="inlineStr">
        <is>
          <t>Product Sales</t>
        </is>
      </c>
      <c r="F39" s="62" t="inlineStr">
        <is>
          <t>Counter sales week 1</t>
        </is>
      </c>
      <c r="G39" s="62" t="n"/>
      <c r="H39" s="62" t="n"/>
      <c r="I39" s="62" t="inlineStr">
        <is>
          <t>Cash</t>
        </is>
      </c>
      <c r="J39" s="62" t="n"/>
      <c r="K39" s="62" t="inlineStr">
        <is>
          <t>Cash on Hand</t>
        </is>
      </c>
      <c r="L39" s="64" t="n">
        <v>54543.17</v>
      </c>
      <c r="M39" s="64" t="n">
        <v>5843.91</v>
      </c>
      <c r="N39" s="62" t="n"/>
      <c r="O39" s="65">
        <f>IF(Z39=1,L39-W39,"")</f>
        <v/>
      </c>
      <c r="P39" s="66">
        <f>IF(V39="","",IFERROR(INDEX(coa_Type,MATCH(V39,coa_Name,0)),""))</f>
        <v/>
      </c>
      <c r="Q39" s="66">
        <f>IF(Z39=1,IF(U39="In",K39&amp;"",V39),"")</f>
        <v/>
      </c>
      <c r="R39" s="66">
        <f>IF(Z39=1,IF(U39="In",V39,K39&amp;""),"")</f>
        <v/>
      </c>
      <c r="S39" s="66">
        <f>IF(X39&lt;&gt;"","⛔ "&amp;X39&amp;" — not posted",IF(Y39&lt;&gt;"","⚠ "&amp;Y39,IF(Z39=1,"✓ OK","")))</f>
        <v/>
      </c>
      <c r="T39" s="67">
        <f>IF(AND(C39="",D39="",E39="",L39="",K39=""),1,0)</f>
        <v/>
      </c>
      <c r="U39" s="67">
        <f>IFERROR(INDEX(tt_Dir,MATCH(D39,tt_Type,0)),"")</f>
        <v/>
      </c>
      <c r="V39" s="67">
        <f>IF(D39="","",IFERROR(IF(INDEX(tt_Other,MATCH(D39,tt_Type,0))="",E39&amp;"",INDEX(tt_Other,MATCH(D39,tt_Type,0))),""))</f>
        <v/>
      </c>
      <c r="W39" s="68">
        <f>IF(OR(TaxOn&lt;&gt;"Yes",NOT(ISNUMBER(M39))),0,IF(IFERROR(INDEX(tt_Tax,MATCH(D39,tt_Type,0)),"No")="Yes",M39,0))</f>
        <v/>
      </c>
      <c r="X39" s="67">
        <f>IF(T39=1,"",IF(C39="","Missing transaction date",IF(NOT(ISNUMBER(C39)),"Invalid date",IF(OR(C39&lt;DATE(2000,1,1),C39&gt;DATE(2099,12,31)),"Invalid date",IF(D39="","Select a type",IF(U39="","Unknown type: "&amp;D39,IF(V39="","Select an account (Category)",IF(ISNA(MATCH(V39,coa_Name,0)),"Unknown account: "&amp;V39,IF(K39="","Select Paid From / Deposited To",IF(ISNA(MATCH(K39,coa_Name,0)),"Unknown account: "&amp;K39,IF(NOT(ISNUMBER(L39)),"Enter an amount",IF(L39=0,"Enter an amount",IF(ABS(W39)&gt;ABS(L39),"Tax is larger than the amount","")))))))))))))</f>
        <v/>
      </c>
      <c r="Y39" s="67">
        <f>IF(OR(T39=1,X39&lt;&gt;""),"",IF(AND(B39&lt;&gt;"",COUNTIF(tx_ID,B39)&gt;1),"Duplicate transaction ID",IF(AND(L39&lt;0,D39&lt;&gt;"Adjustment"),"Negative amount — check this entry",IF(AND(D39="Customer Payment",G39=""),"Add the customer",IF(AND(D39="Customer Payment",OR(J39="",COUNTIF(ar_No,J39&amp;"")=0)),"Invoice # in Reference not found on AR sheet",IF(AND(D39="Bill Payment",H39=""),"Add the vendor",IF(AND(D39="Bill Payment",OR(J39="",COUNTIFS(ap_No,J39&amp;"",ap_Party,H39&amp;"")=0)),"Bill # + vendor not found on AP sheet",IF(AND(ISNUMBER(M39),N(M39)&lt;&gt;0,W39=0),"Tax ignored (tax tracking off, or not allowed for this type)",IF(V39=K39&amp;"","Same account on both sides",IF(AND(ISNUMBER(StartDate),C39&lt;StartDate),"Date is before the accounting start date",IF(AND(D39&lt;&gt;"Adjustment",IFERROR(INDEX(coa_Pay,MATCH(K39&amp;"",coa_Name,0)),"")&lt;&gt;"Yes"),"Paid From / Deposited To is not a payment account","")))))))))))</f>
        <v/>
      </c>
      <c r="Z39" s="67">
        <f>IF(AND(T39=0,X39=""),1,0)</f>
        <v/>
      </c>
      <c r="AA39" s="68">
        <f>IF(Z39=1,IF(U39="In",L39,L39-W39),0)</f>
        <v/>
      </c>
      <c r="AB39" s="68">
        <f>IF(Z39=1,IF(U39="In",L39-W39,L39),0)</f>
        <v/>
      </c>
      <c r="AC39" s="68">
        <f>IF(AND(Z39=1,U39="Out"),W39,0)</f>
        <v/>
      </c>
      <c r="AD39" s="68">
        <f>IF(AND(Z39=1,U39="In"),W39,0)</f>
        <v/>
      </c>
    </row>
    <row r="40">
      <c r="B40" s="62" t="inlineStr">
        <is>
          <t>TX-0034</t>
        </is>
      </c>
      <c r="C40" s="63" t="n">
        <v>46058</v>
      </c>
      <c r="D40" s="62" t="inlineStr">
        <is>
          <t>Customer Payment</t>
        </is>
      </c>
      <c r="E40" s="62" t="n"/>
      <c r="F40" s="62" t="inlineStr">
        <is>
          <t>Partial payment</t>
        </is>
      </c>
      <c r="G40" s="62" t="inlineStr">
        <is>
          <t>Brightpath Academy</t>
        </is>
      </c>
      <c r="H40" s="62" t="n"/>
      <c r="I40" s="62" t="inlineStr">
        <is>
          <t>Bank Transfer</t>
        </is>
      </c>
      <c r="J40" s="62" t="inlineStr">
        <is>
          <t>INV-1002</t>
        </is>
      </c>
      <c r="K40" s="62" t="inlineStr">
        <is>
          <t>Bank Account</t>
        </is>
      </c>
      <c r="L40" s="64" t="n">
        <v>20273.83</v>
      </c>
      <c r="M40" s="64" t="n"/>
      <c r="N40" s="62" t="n"/>
      <c r="O40" s="65">
        <f>IF(Z40=1,L40-W40,"")</f>
        <v/>
      </c>
      <c r="P40" s="66">
        <f>IF(V40="","",IFERROR(INDEX(coa_Type,MATCH(V40,coa_Name,0)),""))</f>
        <v/>
      </c>
      <c r="Q40" s="66">
        <f>IF(Z40=1,IF(U40="In",K40&amp;"",V40),"")</f>
        <v/>
      </c>
      <c r="R40" s="66">
        <f>IF(Z40=1,IF(U40="In",V40,K40&amp;""),"")</f>
        <v/>
      </c>
      <c r="S40" s="66">
        <f>IF(X40&lt;&gt;"","⛔ "&amp;X40&amp;" — not posted",IF(Y40&lt;&gt;"","⚠ "&amp;Y40,IF(Z40=1,"✓ OK","")))</f>
        <v/>
      </c>
      <c r="T40" s="67">
        <f>IF(AND(C40="",D40="",E40="",L40="",K40=""),1,0)</f>
        <v/>
      </c>
      <c r="U40" s="67">
        <f>IFERROR(INDEX(tt_Dir,MATCH(D40,tt_Type,0)),"")</f>
        <v/>
      </c>
      <c r="V40" s="67">
        <f>IF(D40="","",IFERROR(IF(INDEX(tt_Other,MATCH(D40,tt_Type,0))="",E40&amp;"",INDEX(tt_Other,MATCH(D40,tt_Type,0))),""))</f>
        <v/>
      </c>
      <c r="W40" s="68">
        <f>IF(OR(TaxOn&lt;&gt;"Yes",NOT(ISNUMBER(M40))),0,IF(IFERROR(INDEX(tt_Tax,MATCH(D40,tt_Type,0)),"No")="Yes",M40,0))</f>
        <v/>
      </c>
      <c r="X40" s="67">
        <f>IF(T40=1,"",IF(C40="","Missing transaction date",IF(NOT(ISNUMBER(C40)),"Invalid date",IF(OR(C40&lt;DATE(2000,1,1),C40&gt;DATE(2099,12,31)),"Invalid date",IF(D40="","Select a type",IF(U40="","Unknown type: "&amp;D40,IF(V40="","Select an account (Category)",IF(ISNA(MATCH(V40,coa_Name,0)),"Unknown account: "&amp;V40,IF(K40="","Select Paid From / Deposited To",IF(ISNA(MATCH(K40,coa_Name,0)),"Unknown account: "&amp;K40,IF(NOT(ISNUMBER(L40)),"Enter an amount",IF(L40=0,"Enter an amount",IF(ABS(W40)&gt;ABS(L40),"Tax is larger than the amount","")))))))))))))</f>
        <v/>
      </c>
      <c r="Y40" s="67">
        <f>IF(OR(T40=1,X40&lt;&gt;""),"",IF(AND(B40&lt;&gt;"",COUNTIF(tx_ID,B40)&gt;1),"Duplicate transaction ID",IF(AND(L40&lt;0,D40&lt;&gt;"Adjustment"),"Negative amount — check this entry",IF(AND(D40="Customer Payment",G40=""),"Add the customer",IF(AND(D40="Customer Payment",OR(J40="",COUNTIF(ar_No,J40&amp;"")=0)),"Invoice # in Reference not found on AR sheet",IF(AND(D40="Bill Payment",H40=""),"Add the vendor",IF(AND(D40="Bill Payment",OR(J40="",COUNTIFS(ap_No,J40&amp;"",ap_Party,H40&amp;"")=0)),"Bill # + vendor not found on AP sheet",IF(AND(ISNUMBER(M40),N(M40)&lt;&gt;0,W40=0),"Tax ignored (tax tracking off, or not allowed for this type)",IF(V40=K40&amp;"","Same account on both sides",IF(AND(ISNUMBER(StartDate),C40&lt;StartDate),"Date is before the accounting start date",IF(AND(D40&lt;&gt;"Adjustment",IFERROR(INDEX(coa_Pay,MATCH(K40&amp;"",coa_Name,0)),"")&lt;&gt;"Yes"),"Paid From / Deposited To is not a payment account","")))))))))))</f>
        <v/>
      </c>
      <c r="Z40" s="67">
        <f>IF(AND(T40=0,X40=""),1,0)</f>
        <v/>
      </c>
      <c r="AA40" s="68">
        <f>IF(Z40=1,IF(U40="In",L40,L40-W40),0)</f>
        <v/>
      </c>
      <c r="AB40" s="68">
        <f>IF(Z40=1,IF(U40="In",L40-W40,L40),0)</f>
        <v/>
      </c>
      <c r="AC40" s="68">
        <f>IF(AND(Z40=1,U40="Out"),W40,0)</f>
        <v/>
      </c>
      <c r="AD40" s="68">
        <f>IF(AND(Z40=1,U40="In"),W40,0)</f>
        <v/>
      </c>
    </row>
    <row r="41">
      <c r="B41" s="62" t="inlineStr">
        <is>
          <t>TX-0035</t>
        </is>
      </c>
      <c r="C41" s="63" t="n">
        <v>46058</v>
      </c>
      <c r="D41" s="62" t="inlineStr">
        <is>
          <t>Money In</t>
        </is>
      </c>
      <c r="E41" s="62" t="inlineStr">
        <is>
          <t>Product Sales</t>
        </is>
      </c>
      <c r="F41" s="62" t="inlineStr">
        <is>
          <t>GCash / online orders week 1</t>
        </is>
      </c>
      <c r="G41" s="62" t="n"/>
      <c r="H41" s="62" t="n"/>
      <c r="I41" s="62" t="inlineStr">
        <is>
          <t>E-Wallet</t>
        </is>
      </c>
      <c r="J41" s="62" t="n"/>
      <c r="K41" s="62" t="inlineStr">
        <is>
          <t>E-Wallet / Online Payments</t>
        </is>
      </c>
      <c r="L41" s="64" t="n">
        <v>22766.39</v>
      </c>
      <c r="M41" s="64" t="n">
        <v>2439.26</v>
      </c>
      <c r="N41" s="62" t="n"/>
      <c r="O41" s="65">
        <f>IF(Z41=1,L41-W41,"")</f>
        <v/>
      </c>
      <c r="P41" s="66">
        <f>IF(V41="","",IFERROR(INDEX(coa_Type,MATCH(V41,coa_Name,0)),""))</f>
        <v/>
      </c>
      <c r="Q41" s="66">
        <f>IF(Z41=1,IF(U41="In",K41&amp;"",V41),"")</f>
        <v/>
      </c>
      <c r="R41" s="66">
        <f>IF(Z41=1,IF(U41="In",V41,K41&amp;""),"")</f>
        <v/>
      </c>
      <c r="S41" s="66">
        <f>IF(X41&lt;&gt;"","⛔ "&amp;X41&amp;" — not posted",IF(Y41&lt;&gt;"","⚠ "&amp;Y41,IF(Z41=1,"✓ OK","")))</f>
        <v/>
      </c>
      <c r="T41" s="67">
        <f>IF(AND(C41="",D41="",E41="",L41="",K41=""),1,0)</f>
        <v/>
      </c>
      <c r="U41" s="67">
        <f>IFERROR(INDEX(tt_Dir,MATCH(D41,tt_Type,0)),"")</f>
        <v/>
      </c>
      <c r="V41" s="67">
        <f>IF(D41="","",IFERROR(IF(INDEX(tt_Other,MATCH(D41,tt_Type,0))="",E41&amp;"",INDEX(tt_Other,MATCH(D41,tt_Type,0))),""))</f>
        <v/>
      </c>
      <c r="W41" s="68">
        <f>IF(OR(TaxOn&lt;&gt;"Yes",NOT(ISNUMBER(M41))),0,IF(IFERROR(INDEX(tt_Tax,MATCH(D41,tt_Type,0)),"No")="Yes",M41,0))</f>
        <v/>
      </c>
      <c r="X41" s="67">
        <f>IF(T41=1,"",IF(C41="","Missing transaction date",IF(NOT(ISNUMBER(C41)),"Invalid date",IF(OR(C41&lt;DATE(2000,1,1),C41&gt;DATE(2099,12,31)),"Invalid date",IF(D41="","Select a type",IF(U41="","Unknown type: "&amp;D41,IF(V41="","Select an account (Category)",IF(ISNA(MATCH(V41,coa_Name,0)),"Unknown account: "&amp;V41,IF(K41="","Select Paid From / Deposited To",IF(ISNA(MATCH(K41,coa_Name,0)),"Unknown account: "&amp;K41,IF(NOT(ISNUMBER(L41)),"Enter an amount",IF(L41=0,"Enter an amount",IF(ABS(W41)&gt;ABS(L41),"Tax is larger than the amount","")))))))))))))</f>
        <v/>
      </c>
      <c r="Y41" s="67">
        <f>IF(OR(T41=1,X41&lt;&gt;""),"",IF(AND(B41&lt;&gt;"",COUNTIF(tx_ID,B41)&gt;1),"Duplicate transaction ID",IF(AND(L41&lt;0,D41&lt;&gt;"Adjustment"),"Negative amount — check this entry",IF(AND(D41="Customer Payment",G41=""),"Add the customer",IF(AND(D41="Customer Payment",OR(J41="",COUNTIF(ar_No,J41&amp;"")=0)),"Invoice # in Reference not found on AR sheet",IF(AND(D41="Bill Payment",H41=""),"Add the vendor",IF(AND(D41="Bill Payment",OR(J41="",COUNTIFS(ap_No,J41&amp;"",ap_Party,H41&amp;"")=0)),"Bill # + vendor not found on AP sheet",IF(AND(ISNUMBER(M41),N(M41)&lt;&gt;0,W41=0),"Tax ignored (tax tracking off, or not allowed for this type)",IF(V41=K41&amp;"","Same account on both sides",IF(AND(ISNUMBER(StartDate),C41&lt;StartDate),"Date is before the accounting start date",IF(AND(D41&lt;&gt;"Adjustment",IFERROR(INDEX(coa_Pay,MATCH(K41&amp;"",coa_Name,0)),"")&lt;&gt;"Yes"),"Paid From / Deposited To is not a payment account","")))))))))))</f>
        <v/>
      </c>
      <c r="Z41" s="67">
        <f>IF(AND(T41=0,X41=""),1,0)</f>
        <v/>
      </c>
      <c r="AA41" s="68">
        <f>IF(Z41=1,IF(U41="In",L41,L41-W41),0)</f>
        <v/>
      </c>
      <c r="AB41" s="68">
        <f>IF(Z41=1,IF(U41="In",L41-W41,L41),0)</f>
        <v/>
      </c>
      <c r="AC41" s="68">
        <f>IF(AND(Z41=1,U41="Out"),W41,0)</f>
        <v/>
      </c>
      <c r="AD41" s="68">
        <f>IF(AND(Z41=1,U41="In"),W41,0)</f>
        <v/>
      </c>
    </row>
    <row r="42">
      <c r="B42" s="62" t="inlineStr">
        <is>
          <t>TX-0036</t>
        </is>
      </c>
      <c r="C42" s="63" t="n">
        <v>46058</v>
      </c>
      <c r="D42" s="62" t="inlineStr">
        <is>
          <t>Transfer</t>
        </is>
      </c>
      <c r="E42" s="62" t="inlineStr">
        <is>
          <t>Credit Card</t>
        </is>
      </c>
      <c r="F42" s="62" t="inlineStr">
        <is>
          <t>Credit card payment</t>
        </is>
      </c>
      <c r="G42" s="62" t="n"/>
      <c r="H42" s="62" t="n"/>
      <c r="I42" s="62" t="inlineStr">
        <is>
          <t>Bank Transfer</t>
        </is>
      </c>
      <c r="J42" s="62" t="n"/>
      <c r="K42" s="62" t="inlineStr">
        <is>
          <t>Bank Account</t>
        </is>
      </c>
      <c r="L42" s="64" t="n">
        <v>5285.19</v>
      </c>
      <c r="M42" s="64" t="n"/>
      <c r="N42" s="62" t="n"/>
      <c r="O42" s="65">
        <f>IF(Z42=1,L42-W42,"")</f>
        <v/>
      </c>
      <c r="P42" s="66">
        <f>IF(V42="","",IFERROR(INDEX(coa_Type,MATCH(V42,coa_Name,0)),""))</f>
        <v/>
      </c>
      <c r="Q42" s="66">
        <f>IF(Z42=1,IF(U42="In",K42&amp;"",V42),"")</f>
        <v/>
      </c>
      <c r="R42" s="66">
        <f>IF(Z42=1,IF(U42="In",V42,K42&amp;""),"")</f>
        <v/>
      </c>
      <c r="S42" s="66">
        <f>IF(X42&lt;&gt;"","⛔ "&amp;X42&amp;" — not posted",IF(Y42&lt;&gt;"","⚠ "&amp;Y42,IF(Z42=1,"✓ OK","")))</f>
        <v/>
      </c>
      <c r="T42" s="67">
        <f>IF(AND(C42="",D42="",E42="",L42="",K42=""),1,0)</f>
        <v/>
      </c>
      <c r="U42" s="67">
        <f>IFERROR(INDEX(tt_Dir,MATCH(D42,tt_Type,0)),"")</f>
        <v/>
      </c>
      <c r="V42" s="67">
        <f>IF(D42="","",IFERROR(IF(INDEX(tt_Other,MATCH(D42,tt_Type,0))="",E42&amp;"",INDEX(tt_Other,MATCH(D42,tt_Type,0))),""))</f>
        <v/>
      </c>
      <c r="W42" s="68">
        <f>IF(OR(TaxOn&lt;&gt;"Yes",NOT(ISNUMBER(M42))),0,IF(IFERROR(INDEX(tt_Tax,MATCH(D42,tt_Type,0)),"No")="Yes",M42,0))</f>
        <v/>
      </c>
      <c r="X42" s="67">
        <f>IF(T42=1,"",IF(C42="","Missing transaction date",IF(NOT(ISNUMBER(C42)),"Invalid date",IF(OR(C42&lt;DATE(2000,1,1),C42&gt;DATE(2099,12,31)),"Invalid date",IF(D42="","Select a type",IF(U42="","Unknown type: "&amp;D42,IF(V42="","Select an account (Category)",IF(ISNA(MATCH(V42,coa_Name,0)),"Unknown account: "&amp;V42,IF(K42="","Select Paid From / Deposited To",IF(ISNA(MATCH(K42,coa_Name,0)),"Unknown account: "&amp;K42,IF(NOT(ISNUMBER(L42)),"Enter an amount",IF(L42=0,"Enter an amount",IF(ABS(W42)&gt;ABS(L42),"Tax is larger than the amount","")))))))))))))</f>
        <v/>
      </c>
      <c r="Y42" s="67">
        <f>IF(OR(T42=1,X42&lt;&gt;""),"",IF(AND(B42&lt;&gt;"",COUNTIF(tx_ID,B42)&gt;1),"Duplicate transaction ID",IF(AND(L42&lt;0,D42&lt;&gt;"Adjustment"),"Negative amount — check this entry",IF(AND(D42="Customer Payment",G42=""),"Add the customer",IF(AND(D42="Customer Payment",OR(J42="",COUNTIF(ar_No,J42&amp;"")=0)),"Invoice # in Reference not found on AR sheet",IF(AND(D42="Bill Payment",H42=""),"Add the vendor",IF(AND(D42="Bill Payment",OR(J42="",COUNTIFS(ap_No,J42&amp;"",ap_Party,H42&amp;"")=0)),"Bill # + vendor not found on AP sheet",IF(AND(ISNUMBER(M42),N(M42)&lt;&gt;0,W42=0),"Tax ignored (tax tracking off, or not allowed for this type)",IF(V42=K42&amp;"","Same account on both sides",IF(AND(ISNUMBER(StartDate),C42&lt;StartDate),"Date is before the accounting start date",IF(AND(D42&lt;&gt;"Adjustment",IFERROR(INDEX(coa_Pay,MATCH(K42&amp;"",coa_Name,0)),"")&lt;&gt;"Yes"),"Paid From / Deposited To is not a payment account","")))))))))))</f>
        <v/>
      </c>
      <c r="Z42" s="67">
        <f>IF(AND(T42=0,X42=""),1,0)</f>
        <v/>
      </c>
      <c r="AA42" s="68">
        <f>IF(Z42=1,IF(U42="In",L42,L42-W42),0)</f>
        <v/>
      </c>
      <c r="AB42" s="68">
        <f>IF(Z42=1,IF(U42="In",L42-W42,L42),0)</f>
        <v/>
      </c>
      <c r="AC42" s="68">
        <f>IF(AND(Z42=1,U42="Out"),W42,0)</f>
        <v/>
      </c>
      <c r="AD42" s="68">
        <f>IF(AND(Z42=1,U42="In"),W42,0)</f>
        <v/>
      </c>
    </row>
    <row r="43">
      <c r="B43" s="62" t="inlineStr">
        <is>
          <t>TX-0037</t>
        </is>
      </c>
      <c r="C43" s="63" t="n">
        <v>46059</v>
      </c>
      <c r="D43" s="62" t="inlineStr">
        <is>
          <t>Transfer</t>
        </is>
      </c>
      <c r="E43" s="62" t="inlineStr">
        <is>
          <t>Bank Account</t>
        </is>
      </c>
      <c r="F43" s="62" t="inlineStr">
        <is>
          <t>Cash deposit to bank</t>
        </is>
      </c>
      <c r="G43" s="62" t="n"/>
      <c r="H43" s="62" t="n"/>
      <c r="I43" s="62" t="inlineStr">
        <is>
          <t>Cash</t>
        </is>
      </c>
      <c r="J43" s="62" t="n"/>
      <c r="K43" s="62" t="inlineStr">
        <is>
          <t>Cash on Hand</t>
        </is>
      </c>
      <c r="L43" s="64" t="n">
        <v>46400</v>
      </c>
      <c r="M43" s="64" t="n"/>
      <c r="N43" s="62" t="n"/>
      <c r="O43" s="65">
        <f>IF(Z43=1,L43-W43,"")</f>
        <v/>
      </c>
      <c r="P43" s="66">
        <f>IF(V43="","",IFERROR(INDEX(coa_Type,MATCH(V43,coa_Name,0)),""))</f>
        <v/>
      </c>
      <c r="Q43" s="66">
        <f>IF(Z43=1,IF(U43="In",K43&amp;"",V43),"")</f>
        <v/>
      </c>
      <c r="R43" s="66">
        <f>IF(Z43=1,IF(U43="In",V43,K43&amp;""),"")</f>
        <v/>
      </c>
      <c r="S43" s="66">
        <f>IF(X43&lt;&gt;"","⛔ "&amp;X43&amp;" — not posted",IF(Y43&lt;&gt;"","⚠ "&amp;Y43,IF(Z43=1,"✓ OK","")))</f>
        <v/>
      </c>
      <c r="T43" s="67">
        <f>IF(AND(C43="",D43="",E43="",L43="",K43=""),1,0)</f>
        <v/>
      </c>
      <c r="U43" s="67">
        <f>IFERROR(INDEX(tt_Dir,MATCH(D43,tt_Type,0)),"")</f>
        <v/>
      </c>
      <c r="V43" s="67">
        <f>IF(D43="","",IFERROR(IF(INDEX(tt_Other,MATCH(D43,tt_Type,0))="",E43&amp;"",INDEX(tt_Other,MATCH(D43,tt_Type,0))),""))</f>
        <v/>
      </c>
      <c r="W43" s="68">
        <f>IF(OR(TaxOn&lt;&gt;"Yes",NOT(ISNUMBER(M43))),0,IF(IFERROR(INDEX(tt_Tax,MATCH(D43,tt_Type,0)),"No")="Yes",M43,0))</f>
        <v/>
      </c>
      <c r="X43" s="67">
        <f>IF(T43=1,"",IF(C43="","Missing transaction date",IF(NOT(ISNUMBER(C43)),"Invalid date",IF(OR(C43&lt;DATE(2000,1,1),C43&gt;DATE(2099,12,31)),"Invalid date",IF(D43="","Select a type",IF(U43="","Unknown type: "&amp;D43,IF(V43="","Select an account (Category)",IF(ISNA(MATCH(V43,coa_Name,0)),"Unknown account: "&amp;V43,IF(K43="","Select Paid From / Deposited To",IF(ISNA(MATCH(K43,coa_Name,0)),"Unknown account: "&amp;K43,IF(NOT(ISNUMBER(L43)),"Enter an amount",IF(L43=0,"Enter an amount",IF(ABS(W43)&gt;ABS(L43),"Tax is larger than the amount","")))))))))))))</f>
        <v/>
      </c>
      <c r="Y43" s="67">
        <f>IF(OR(T43=1,X43&lt;&gt;""),"",IF(AND(B43&lt;&gt;"",COUNTIF(tx_ID,B43)&gt;1),"Duplicate transaction ID",IF(AND(L43&lt;0,D43&lt;&gt;"Adjustment"),"Negative amount — check this entry",IF(AND(D43="Customer Payment",G43=""),"Add the customer",IF(AND(D43="Customer Payment",OR(J43="",COUNTIF(ar_No,J43&amp;"")=0)),"Invoice # in Reference not found on AR sheet",IF(AND(D43="Bill Payment",H43=""),"Add the vendor",IF(AND(D43="Bill Payment",OR(J43="",COUNTIFS(ap_No,J43&amp;"",ap_Party,H43&amp;"")=0)),"Bill # + vendor not found on AP sheet",IF(AND(ISNUMBER(M43),N(M43)&lt;&gt;0,W43=0),"Tax ignored (tax tracking off, or not allowed for this type)",IF(V43=K43&amp;"","Same account on both sides",IF(AND(ISNUMBER(StartDate),C43&lt;StartDate),"Date is before the accounting start date",IF(AND(D43&lt;&gt;"Adjustment",IFERROR(INDEX(coa_Pay,MATCH(K43&amp;"",coa_Name,0)),"")&lt;&gt;"Yes"),"Paid From / Deposited To is not a payment account","")))))))))))</f>
        <v/>
      </c>
      <c r="Z43" s="67">
        <f>IF(AND(T43=0,X43=""),1,0)</f>
        <v/>
      </c>
      <c r="AA43" s="68">
        <f>IF(Z43=1,IF(U43="In",L43,L43-W43),0)</f>
        <v/>
      </c>
      <c r="AB43" s="68">
        <f>IF(Z43=1,IF(U43="In",L43-W43,L43),0)</f>
        <v/>
      </c>
      <c r="AC43" s="68">
        <f>IF(AND(Z43=1,U43="Out"),W43,0)</f>
        <v/>
      </c>
      <c r="AD43" s="68">
        <f>IF(AND(Z43=1,U43="In"),W43,0)</f>
        <v/>
      </c>
    </row>
    <row r="44">
      <c r="B44" s="62" t="inlineStr">
        <is>
          <t>TX-0038</t>
        </is>
      </c>
      <c r="C44" s="63" t="n">
        <v>46059</v>
      </c>
      <c r="D44" s="62" t="inlineStr">
        <is>
          <t>Money Out</t>
        </is>
      </c>
      <c r="E44" s="62" t="inlineStr">
        <is>
          <t>Other Direct Costs</t>
        </is>
      </c>
      <c r="F44" s="62" t="inlineStr">
        <is>
          <t>Boxes &amp; paper bags (market)</t>
        </is>
      </c>
      <c r="G44" s="62" t="n"/>
      <c r="H44" s="62" t="n"/>
      <c r="I44" s="62" t="inlineStr">
        <is>
          <t>Cash</t>
        </is>
      </c>
      <c r="J44" s="62" t="n"/>
      <c r="K44" s="62" t="inlineStr">
        <is>
          <t>Cash on Hand</t>
        </is>
      </c>
      <c r="L44" s="64" t="n">
        <v>2849.94</v>
      </c>
      <c r="M44" s="64" t="n">
        <v>305.35</v>
      </c>
      <c r="N44" s="62" t="n"/>
      <c r="O44" s="65">
        <f>IF(Z44=1,L44-W44,"")</f>
        <v/>
      </c>
      <c r="P44" s="66">
        <f>IF(V44="","",IFERROR(INDEX(coa_Type,MATCH(V44,coa_Name,0)),""))</f>
        <v/>
      </c>
      <c r="Q44" s="66">
        <f>IF(Z44=1,IF(U44="In",K44&amp;"",V44),"")</f>
        <v/>
      </c>
      <c r="R44" s="66">
        <f>IF(Z44=1,IF(U44="In",V44,K44&amp;""),"")</f>
        <v/>
      </c>
      <c r="S44" s="66">
        <f>IF(X44&lt;&gt;"","⛔ "&amp;X44&amp;" — not posted",IF(Y44&lt;&gt;"","⚠ "&amp;Y44,IF(Z44=1,"✓ OK","")))</f>
        <v/>
      </c>
      <c r="T44" s="67">
        <f>IF(AND(C44="",D44="",E44="",L44="",K44=""),1,0)</f>
        <v/>
      </c>
      <c r="U44" s="67">
        <f>IFERROR(INDEX(tt_Dir,MATCH(D44,tt_Type,0)),"")</f>
        <v/>
      </c>
      <c r="V44" s="67">
        <f>IF(D44="","",IFERROR(IF(INDEX(tt_Other,MATCH(D44,tt_Type,0))="",E44&amp;"",INDEX(tt_Other,MATCH(D44,tt_Type,0))),""))</f>
        <v/>
      </c>
      <c r="W44" s="68">
        <f>IF(OR(TaxOn&lt;&gt;"Yes",NOT(ISNUMBER(M44))),0,IF(IFERROR(INDEX(tt_Tax,MATCH(D44,tt_Type,0)),"No")="Yes",M44,0))</f>
        <v/>
      </c>
      <c r="X44" s="67">
        <f>IF(T44=1,"",IF(C44="","Missing transaction date",IF(NOT(ISNUMBER(C44)),"Invalid date",IF(OR(C44&lt;DATE(2000,1,1),C44&gt;DATE(2099,12,31)),"Invalid date",IF(D44="","Select a type",IF(U44="","Unknown type: "&amp;D44,IF(V44="","Select an account (Category)",IF(ISNA(MATCH(V44,coa_Name,0)),"Unknown account: "&amp;V44,IF(K44="","Select Paid From / Deposited To",IF(ISNA(MATCH(K44,coa_Name,0)),"Unknown account: "&amp;K44,IF(NOT(ISNUMBER(L44)),"Enter an amount",IF(L44=0,"Enter an amount",IF(ABS(W44)&gt;ABS(L44),"Tax is larger than the amount","")))))))))))))</f>
        <v/>
      </c>
      <c r="Y44" s="67">
        <f>IF(OR(T44=1,X44&lt;&gt;""),"",IF(AND(B44&lt;&gt;"",COUNTIF(tx_ID,B44)&gt;1),"Duplicate transaction ID",IF(AND(L44&lt;0,D44&lt;&gt;"Adjustment"),"Negative amount — check this entry",IF(AND(D44="Customer Payment",G44=""),"Add the customer",IF(AND(D44="Customer Payment",OR(J44="",COUNTIF(ar_No,J44&amp;"")=0)),"Invoice # in Reference not found on AR sheet",IF(AND(D44="Bill Payment",H44=""),"Add the vendor",IF(AND(D44="Bill Payment",OR(J44="",COUNTIFS(ap_No,J44&amp;"",ap_Party,H44&amp;"")=0)),"Bill # + vendor not found on AP sheet",IF(AND(ISNUMBER(M44),N(M44)&lt;&gt;0,W44=0),"Tax ignored (tax tracking off, or not allowed for this type)",IF(V44=K44&amp;"","Same account on both sides",IF(AND(ISNUMBER(StartDate),C44&lt;StartDate),"Date is before the accounting start date",IF(AND(D44&lt;&gt;"Adjustment",IFERROR(INDEX(coa_Pay,MATCH(K44&amp;"",coa_Name,0)),"")&lt;&gt;"Yes"),"Paid From / Deposited To is not a payment account","")))))))))))</f>
        <v/>
      </c>
      <c r="Z44" s="67">
        <f>IF(AND(T44=0,X44=""),1,0)</f>
        <v/>
      </c>
      <c r="AA44" s="68">
        <f>IF(Z44=1,IF(U44="In",L44,L44-W44),0)</f>
        <v/>
      </c>
      <c r="AB44" s="68">
        <f>IF(Z44=1,IF(U44="In",L44-W44,L44),0)</f>
        <v/>
      </c>
      <c r="AC44" s="68">
        <f>IF(AND(Z44=1,U44="Out"),W44,0)</f>
        <v/>
      </c>
      <c r="AD44" s="68">
        <f>IF(AND(Z44=1,U44="In"),W44,0)</f>
        <v/>
      </c>
    </row>
    <row r="45">
      <c r="B45" s="62" t="inlineStr">
        <is>
          <t>TX-0039</t>
        </is>
      </c>
      <c r="C45" s="63" t="n">
        <v>46061</v>
      </c>
      <c r="D45" s="62" t="inlineStr">
        <is>
          <t>Money Out</t>
        </is>
      </c>
      <c r="E45" s="62" t="inlineStr">
        <is>
          <t>Advertising &amp; Marketing</t>
        </is>
      </c>
      <c r="F45" s="62" t="inlineStr">
        <is>
          <t>Facebook / Instagram ads</t>
        </is>
      </c>
      <c r="G45" s="62" t="n"/>
      <c r="H45" s="62" t="n"/>
      <c r="I45" s="62" t="inlineStr">
        <is>
          <t>Credit Card</t>
        </is>
      </c>
      <c r="J45" s="62" t="n"/>
      <c r="K45" s="62" t="inlineStr">
        <is>
          <t>Credit Card</t>
        </is>
      </c>
      <c r="L45" s="64" t="n">
        <v>5589.97</v>
      </c>
      <c r="M45" s="64" t="n">
        <v>598.92</v>
      </c>
      <c r="N45" s="62" t="n"/>
      <c r="O45" s="65">
        <f>IF(Z45=1,L45-W45,"")</f>
        <v/>
      </c>
      <c r="P45" s="66">
        <f>IF(V45="","",IFERROR(INDEX(coa_Type,MATCH(V45,coa_Name,0)),""))</f>
        <v/>
      </c>
      <c r="Q45" s="66">
        <f>IF(Z45=1,IF(U45="In",K45&amp;"",V45),"")</f>
        <v/>
      </c>
      <c r="R45" s="66">
        <f>IF(Z45=1,IF(U45="In",V45,K45&amp;""),"")</f>
        <v/>
      </c>
      <c r="S45" s="66">
        <f>IF(X45&lt;&gt;"","⛔ "&amp;X45&amp;" — not posted",IF(Y45&lt;&gt;"","⚠ "&amp;Y45,IF(Z45=1,"✓ OK","")))</f>
        <v/>
      </c>
      <c r="T45" s="67">
        <f>IF(AND(C45="",D45="",E45="",L45="",K45=""),1,0)</f>
        <v/>
      </c>
      <c r="U45" s="67">
        <f>IFERROR(INDEX(tt_Dir,MATCH(D45,tt_Type,0)),"")</f>
        <v/>
      </c>
      <c r="V45" s="67">
        <f>IF(D45="","",IFERROR(IF(INDEX(tt_Other,MATCH(D45,tt_Type,0))="",E45&amp;"",INDEX(tt_Other,MATCH(D45,tt_Type,0))),""))</f>
        <v/>
      </c>
      <c r="W45" s="68">
        <f>IF(OR(TaxOn&lt;&gt;"Yes",NOT(ISNUMBER(M45))),0,IF(IFERROR(INDEX(tt_Tax,MATCH(D45,tt_Type,0)),"No")="Yes",M45,0))</f>
        <v/>
      </c>
      <c r="X45" s="67">
        <f>IF(T45=1,"",IF(C45="","Missing transaction date",IF(NOT(ISNUMBER(C45)),"Invalid date",IF(OR(C45&lt;DATE(2000,1,1),C45&gt;DATE(2099,12,31)),"Invalid date",IF(D45="","Select a type",IF(U45="","Unknown type: "&amp;D45,IF(V45="","Select an account (Category)",IF(ISNA(MATCH(V45,coa_Name,0)),"Unknown account: "&amp;V45,IF(K45="","Select Paid From / Deposited To",IF(ISNA(MATCH(K45,coa_Name,0)),"Unknown account: "&amp;K45,IF(NOT(ISNUMBER(L45)),"Enter an amount",IF(L45=0,"Enter an amount",IF(ABS(W45)&gt;ABS(L45),"Tax is larger than the amount","")))))))))))))</f>
        <v/>
      </c>
      <c r="Y45" s="67">
        <f>IF(OR(T45=1,X45&lt;&gt;""),"",IF(AND(B45&lt;&gt;"",COUNTIF(tx_ID,B45)&gt;1),"Duplicate transaction ID",IF(AND(L45&lt;0,D45&lt;&gt;"Adjustment"),"Negative amount — check this entry",IF(AND(D45="Customer Payment",G45=""),"Add the customer",IF(AND(D45="Customer Payment",OR(J45="",COUNTIF(ar_No,J45&amp;"")=0)),"Invoice # in Reference not found on AR sheet",IF(AND(D45="Bill Payment",H45=""),"Add the vendor",IF(AND(D45="Bill Payment",OR(J45="",COUNTIFS(ap_No,J45&amp;"",ap_Party,H45&amp;"")=0)),"Bill # + vendor not found on AP sheet",IF(AND(ISNUMBER(M45),N(M45)&lt;&gt;0,W45=0),"Tax ignored (tax tracking off, or not allowed for this type)",IF(V45=K45&amp;"","Same account on both sides",IF(AND(ISNUMBER(StartDate),C45&lt;StartDate),"Date is before the accounting start date",IF(AND(D45&lt;&gt;"Adjustment",IFERROR(INDEX(coa_Pay,MATCH(K45&amp;"",coa_Name,0)),"")&lt;&gt;"Yes"),"Paid From / Deposited To is not a payment account","")))))))))))</f>
        <v/>
      </c>
      <c r="Z45" s="67">
        <f>IF(AND(T45=0,X45=""),1,0)</f>
        <v/>
      </c>
      <c r="AA45" s="68">
        <f>IF(Z45=1,IF(U45="In",L45,L45-W45),0)</f>
        <v/>
      </c>
      <c r="AB45" s="68">
        <f>IF(Z45=1,IF(U45="In",L45-W45,L45),0)</f>
        <v/>
      </c>
      <c r="AC45" s="68">
        <f>IF(AND(Z45=1,U45="Out"),W45,0)</f>
        <v/>
      </c>
      <c r="AD45" s="68">
        <f>IF(AND(Z45=1,U45="In"),W45,0)</f>
        <v/>
      </c>
    </row>
    <row r="46">
      <c r="B46" s="62" t="inlineStr">
        <is>
          <t>TX-0040</t>
        </is>
      </c>
      <c r="C46" s="63" t="n">
        <v>46062</v>
      </c>
      <c r="D46" s="62" t="inlineStr">
        <is>
          <t>Money Out</t>
        </is>
      </c>
      <c r="E46" s="62" t="inlineStr">
        <is>
          <t>Software &amp; Subscriptions</t>
        </is>
      </c>
      <c r="F46" s="62" t="inlineStr">
        <is>
          <t>POS app subscription</t>
        </is>
      </c>
      <c r="G46" s="62" t="n"/>
      <c r="H46" s="62" t="n"/>
      <c r="I46" s="62" t="inlineStr">
        <is>
          <t>Credit Card</t>
        </is>
      </c>
      <c r="J46" s="62" t="n"/>
      <c r="K46" s="62" t="inlineStr">
        <is>
          <t>Credit Card</t>
        </is>
      </c>
      <c r="L46" s="64" t="n">
        <v>1450</v>
      </c>
      <c r="M46" s="64" t="n">
        <v>155.36</v>
      </c>
      <c r="N46" s="62" t="n"/>
      <c r="O46" s="65">
        <f>IF(Z46=1,L46-W46,"")</f>
        <v/>
      </c>
      <c r="P46" s="66">
        <f>IF(V46="","",IFERROR(INDEX(coa_Type,MATCH(V46,coa_Name,0)),""))</f>
        <v/>
      </c>
      <c r="Q46" s="66">
        <f>IF(Z46=1,IF(U46="In",K46&amp;"",V46),"")</f>
        <v/>
      </c>
      <c r="R46" s="66">
        <f>IF(Z46=1,IF(U46="In",V46,K46&amp;""),"")</f>
        <v/>
      </c>
      <c r="S46" s="66">
        <f>IF(X46&lt;&gt;"","⛔ "&amp;X46&amp;" — not posted",IF(Y46&lt;&gt;"","⚠ "&amp;Y46,IF(Z46=1,"✓ OK","")))</f>
        <v/>
      </c>
      <c r="T46" s="67">
        <f>IF(AND(C46="",D46="",E46="",L46="",K46=""),1,0)</f>
        <v/>
      </c>
      <c r="U46" s="67">
        <f>IFERROR(INDEX(tt_Dir,MATCH(D46,tt_Type,0)),"")</f>
        <v/>
      </c>
      <c r="V46" s="67">
        <f>IF(D46="","",IFERROR(IF(INDEX(tt_Other,MATCH(D46,tt_Type,0))="",E46&amp;"",INDEX(tt_Other,MATCH(D46,tt_Type,0))),""))</f>
        <v/>
      </c>
      <c r="W46" s="68">
        <f>IF(OR(TaxOn&lt;&gt;"Yes",NOT(ISNUMBER(M46))),0,IF(IFERROR(INDEX(tt_Tax,MATCH(D46,tt_Type,0)),"No")="Yes",M46,0))</f>
        <v/>
      </c>
      <c r="X46" s="67">
        <f>IF(T46=1,"",IF(C46="","Missing transaction date",IF(NOT(ISNUMBER(C46)),"Invalid date",IF(OR(C46&lt;DATE(2000,1,1),C46&gt;DATE(2099,12,31)),"Invalid date",IF(D46="","Select a type",IF(U46="","Unknown type: "&amp;D46,IF(V46="","Select an account (Category)",IF(ISNA(MATCH(V46,coa_Name,0)),"Unknown account: "&amp;V46,IF(K46="","Select Paid From / Deposited To",IF(ISNA(MATCH(K46,coa_Name,0)),"Unknown account: "&amp;K46,IF(NOT(ISNUMBER(L46)),"Enter an amount",IF(L46=0,"Enter an amount",IF(ABS(W46)&gt;ABS(L46),"Tax is larger than the amount","")))))))))))))</f>
        <v/>
      </c>
      <c r="Y46" s="67">
        <f>IF(OR(T46=1,X46&lt;&gt;""),"",IF(AND(B46&lt;&gt;"",COUNTIF(tx_ID,B46)&gt;1),"Duplicate transaction ID",IF(AND(L46&lt;0,D46&lt;&gt;"Adjustment"),"Negative amount — check this entry",IF(AND(D46="Customer Payment",G46=""),"Add the customer",IF(AND(D46="Customer Payment",OR(J46="",COUNTIF(ar_No,J46&amp;"")=0)),"Invoice # in Reference not found on AR sheet",IF(AND(D46="Bill Payment",H46=""),"Add the vendor",IF(AND(D46="Bill Payment",OR(J46="",COUNTIFS(ap_No,J46&amp;"",ap_Party,H46&amp;"")=0)),"Bill # + vendor not found on AP sheet",IF(AND(ISNUMBER(M46),N(M46)&lt;&gt;0,W46=0),"Tax ignored (tax tracking off, or not allowed for this type)",IF(V46=K46&amp;"","Same account on both sides",IF(AND(ISNUMBER(StartDate),C46&lt;StartDate),"Date is before the accounting start date",IF(AND(D46&lt;&gt;"Adjustment",IFERROR(INDEX(coa_Pay,MATCH(K46&amp;"",coa_Name,0)),"")&lt;&gt;"Yes"),"Paid From / Deposited To is not a payment account","")))))))))))</f>
        <v/>
      </c>
      <c r="Z46" s="67">
        <f>IF(AND(T46=0,X46=""),1,0)</f>
        <v/>
      </c>
      <c r="AA46" s="68">
        <f>IF(Z46=1,IF(U46="In",L46,L46-W46),0)</f>
        <v/>
      </c>
      <c r="AB46" s="68">
        <f>IF(Z46=1,IF(U46="In",L46-W46,L46),0)</f>
        <v/>
      </c>
      <c r="AC46" s="68">
        <f>IF(AND(Z46=1,U46="Out"),W46,0)</f>
        <v/>
      </c>
      <c r="AD46" s="68">
        <f>IF(AND(Z46=1,U46="In"),W46,0)</f>
        <v/>
      </c>
    </row>
    <row r="47">
      <c r="B47" s="62" t="inlineStr">
        <is>
          <t>TX-0041</t>
        </is>
      </c>
      <c r="C47" s="63" t="n">
        <v>46063</v>
      </c>
      <c r="D47" s="62" t="inlineStr">
        <is>
          <t>Bill Payment</t>
        </is>
      </c>
      <c r="E47" s="62" t="n"/>
      <c r="F47" s="62" t="inlineStr">
        <is>
          <t>Supplier payment</t>
        </is>
      </c>
      <c r="G47" s="62" t="n"/>
      <c r="H47" s="62" t="inlineStr">
        <is>
          <t>Golden Grain Flour Mill</t>
        </is>
      </c>
      <c r="I47" s="62" t="inlineStr">
        <is>
          <t>Bank Transfer</t>
        </is>
      </c>
      <c r="J47" s="62" t="inlineStr">
        <is>
          <t>GO-012</t>
        </is>
      </c>
      <c r="K47" s="62" t="inlineStr">
        <is>
          <t>Bank Account</t>
        </is>
      </c>
      <c r="L47" s="64" t="n">
        <v>40022.39</v>
      </c>
      <c r="M47" s="64" t="n"/>
      <c r="N47" s="62" t="n"/>
      <c r="O47" s="65">
        <f>IF(Z47=1,L47-W47,"")</f>
        <v/>
      </c>
      <c r="P47" s="66">
        <f>IF(V47="","",IFERROR(INDEX(coa_Type,MATCH(V47,coa_Name,0)),""))</f>
        <v/>
      </c>
      <c r="Q47" s="66">
        <f>IF(Z47=1,IF(U47="In",K47&amp;"",V47),"")</f>
        <v/>
      </c>
      <c r="R47" s="66">
        <f>IF(Z47=1,IF(U47="In",V47,K47&amp;""),"")</f>
        <v/>
      </c>
      <c r="S47" s="66">
        <f>IF(X47&lt;&gt;"","⛔ "&amp;X47&amp;" — not posted",IF(Y47&lt;&gt;"","⚠ "&amp;Y47,IF(Z47=1,"✓ OK","")))</f>
        <v/>
      </c>
      <c r="T47" s="67">
        <f>IF(AND(C47="",D47="",E47="",L47="",K47=""),1,0)</f>
        <v/>
      </c>
      <c r="U47" s="67">
        <f>IFERROR(INDEX(tt_Dir,MATCH(D47,tt_Type,0)),"")</f>
        <v/>
      </c>
      <c r="V47" s="67">
        <f>IF(D47="","",IFERROR(IF(INDEX(tt_Other,MATCH(D47,tt_Type,0))="",E47&amp;"",INDEX(tt_Other,MATCH(D47,tt_Type,0))),""))</f>
        <v/>
      </c>
      <c r="W47" s="68">
        <f>IF(OR(TaxOn&lt;&gt;"Yes",NOT(ISNUMBER(M47))),0,IF(IFERROR(INDEX(tt_Tax,MATCH(D47,tt_Type,0)),"No")="Yes",M47,0))</f>
        <v/>
      </c>
      <c r="X47" s="67">
        <f>IF(T47=1,"",IF(C47="","Missing transaction date",IF(NOT(ISNUMBER(C47)),"Invalid date",IF(OR(C47&lt;DATE(2000,1,1),C47&gt;DATE(2099,12,31)),"Invalid date",IF(D47="","Select a type",IF(U47="","Unknown type: "&amp;D47,IF(V47="","Select an account (Category)",IF(ISNA(MATCH(V47,coa_Name,0)),"Unknown account: "&amp;V47,IF(K47="","Select Paid From / Deposited To",IF(ISNA(MATCH(K47,coa_Name,0)),"Unknown account: "&amp;K47,IF(NOT(ISNUMBER(L47)),"Enter an amount",IF(L47=0,"Enter an amount",IF(ABS(W47)&gt;ABS(L47),"Tax is larger than the amount","")))))))))))))</f>
        <v/>
      </c>
      <c r="Y47" s="67">
        <f>IF(OR(T47=1,X47&lt;&gt;""),"",IF(AND(B47&lt;&gt;"",COUNTIF(tx_ID,B47)&gt;1),"Duplicate transaction ID",IF(AND(L47&lt;0,D47&lt;&gt;"Adjustment"),"Negative amount — check this entry",IF(AND(D47="Customer Payment",G47=""),"Add the customer",IF(AND(D47="Customer Payment",OR(J47="",COUNTIF(ar_No,J47&amp;"")=0)),"Invoice # in Reference not found on AR sheet",IF(AND(D47="Bill Payment",H47=""),"Add the vendor",IF(AND(D47="Bill Payment",OR(J47="",COUNTIFS(ap_No,J47&amp;"",ap_Party,H47&amp;"")=0)),"Bill # + vendor not found on AP sheet",IF(AND(ISNUMBER(M47),N(M47)&lt;&gt;0,W47=0),"Tax ignored (tax tracking off, or not allowed for this type)",IF(V47=K47&amp;"","Same account on both sides",IF(AND(ISNUMBER(StartDate),C47&lt;StartDate),"Date is before the accounting start date",IF(AND(D47&lt;&gt;"Adjustment",IFERROR(INDEX(coa_Pay,MATCH(K47&amp;"",coa_Name,0)),"")&lt;&gt;"Yes"),"Paid From / Deposited To is not a payment account","")))))))))))</f>
        <v/>
      </c>
      <c r="Z47" s="67">
        <f>IF(AND(T47=0,X47=""),1,0)</f>
        <v/>
      </c>
      <c r="AA47" s="68">
        <f>IF(Z47=1,IF(U47="In",L47,L47-W47),0)</f>
        <v/>
      </c>
      <c r="AB47" s="68">
        <f>IF(Z47=1,IF(U47="In",L47-W47,L47),0)</f>
        <v/>
      </c>
      <c r="AC47" s="68">
        <f>IF(AND(Z47=1,U47="Out"),W47,0)</f>
        <v/>
      </c>
      <c r="AD47" s="68">
        <f>IF(AND(Z47=1,U47="In"),W47,0)</f>
        <v/>
      </c>
    </row>
    <row r="48">
      <c r="B48" s="62" t="inlineStr">
        <is>
          <t>TX-0042</t>
        </is>
      </c>
      <c r="C48" s="63" t="n">
        <v>46063</v>
      </c>
      <c r="D48" s="62" t="inlineStr">
        <is>
          <t>Money Out</t>
        </is>
      </c>
      <c r="E48" s="62" t="inlineStr">
        <is>
          <t>Loans Payable</t>
        </is>
      </c>
      <c r="F48" s="62" t="inlineStr">
        <is>
          <t>Loan principal</t>
        </is>
      </c>
      <c r="G48" s="62" t="n"/>
      <c r="H48" s="62" t="n"/>
      <c r="I48" s="62" t="inlineStr">
        <is>
          <t>Bank Transfer</t>
        </is>
      </c>
      <c r="J48" s="62" t="inlineStr">
        <is>
          <t>LOAN</t>
        </is>
      </c>
      <c r="K48" s="62" t="inlineStr">
        <is>
          <t>Bank Account</t>
        </is>
      </c>
      <c r="L48" s="64" t="n">
        <v>8000</v>
      </c>
      <c r="M48" s="64" t="n"/>
      <c r="N48" s="62" t="n"/>
      <c r="O48" s="65">
        <f>IF(Z48=1,L48-W48,"")</f>
        <v/>
      </c>
      <c r="P48" s="66">
        <f>IF(V48="","",IFERROR(INDEX(coa_Type,MATCH(V48,coa_Name,0)),""))</f>
        <v/>
      </c>
      <c r="Q48" s="66">
        <f>IF(Z48=1,IF(U48="In",K48&amp;"",V48),"")</f>
        <v/>
      </c>
      <c r="R48" s="66">
        <f>IF(Z48=1,IF(U48="In",V48,K48&amp;""),"")</f>
        <v/>
      </c>
      <c r="S48" s="66">
        <f>IF(X48&lt;&gt;"","⛔ "&amp;X48&amp;" — not posted",IF(Y48&lt;&gt;"","⚠ "&amp;Y48,IF(Z48=1,"✓ OK","")))</f>
        <v/>
      </c>
      <c r="T48" s="67">
        <f>IF(AND(C48="",D48="",E48="",L48="",K48=""),1,0)</f>
        <v/>
      </c>
      <c r="U48" s="67">
        <f>IFERROR(INDEX(tt_Dir,MATCH(D48,tt_Type,0)),"")</f>
        <v/>
      </c>
      <c r="V48" s="67">
        <f>IF(D48="","",IFERROR(IF(INDEX(tt_Other,MATCH(D48,tt_Type,0))="",E48&amp;"",INDEX(tt_Other,MATCH(D48,tt_Type,0))),""))</f>
        <v/>
      </c>
      <c r="W48" s="68">
        <f>IF(OR(TaxOn&lt;&gt;"Yes",NOT(ISNUMBER(M48))),0,IF(IFERROR(INDEX(tt_Tax,MATCH(D48,tt_Type,0)),"No")="Yes",M48,0))</f>
        <v/>
      </c>
      <c r="X48" s="67">
        <f>IF(T48=1,"",IF(C48="","Missing transaction date",IF(NOT(ISNUMBER(C48)),"Invalid date",IF(OR(C48&lt;DATE(2000,1,1),C48&gt;DATE(2099,12,31)),"Invalid date",IF(D48="","Select a type",IF(U48="","Unknown type: "&amp;D48,IF(V48="","Select an account (Category)",IF(ISNA(MATCH(V48,coa_Name,0)),"Unknown account: "&amp;V48,IF(K48="","Select Paid From / Deposited To",IF(ISNA(MATCH(K48,coa_Name,0)),"Unknown account: "&amp;K48,IF(NOT(ISNUMBER(L48)),"Enter an amount",IF(L48=0,"Enter an amount",IF(ABS(W48)&gt;ABS(L48),"Tax is larger than the amount","")))))))))))))</f>
        <v/>
      </c>
      <c r="Y48" s="67">
        <f>IF(OR(T48=1,X48&lt;&gt;""),"",IF(AND(B48&lt;&gt;"",COUNTIF(tx_ID,B48)&gt;1),"Duplicate transaction ID",IF(AND(L48&lt;0,D48&lt;&gt;"Adjustment"),"Negative amount — check this entry",IF(AND(D48="Customer Payment",G48=""),"Add the customer",IF(AND(D48="Customer Payment",OR(J48="",COUNTIF(ar_No,J48&amp;"")=0)),"Invoice # in Reference not found on AR sheet",IF(AND(D48="Bill Payment",H48=""),"Add the vendor",IF(AND(D48="Bill Payment",OR(J48="",COUNTIFS(ap_No,J48&amp;"",ap_Party,H48&amp;"")=0)),"Bill # + vendor not found on AP sheet",IF(AND(ISNUMBER(M48),N(M48)&lt;&gt;0,W48=0),"Tax ignored (tax tracking off, or not allowed for this type)",IF(V48=K48&amp;"","Same account on both sides",IF(AND(ISNUMBER(StartDate),C48&lt;StartDate),"Date is before the accounting start date",IF(AND(D48&lt;&gt;"Adjustment",IFERROR(INDEX(coa_Pay,MATCH(K48&amp;"",coa_Name,0)),"")&lt;&gt;"Yes"),"Paid From / Deposited To is not a payment account","")))))))))))</f>
        <v/>
      </c>
      <c r="Z48" s="67">
        <f>IF(AND(T48=0,X48=""),1,0)</f>
        <v/>
      </c>
      <c r="AA48" s="68">
        <f>IF(Z48=1,IF(U48="In",L48,L48-W48),0)</f>
        <v/>
      </c>
      <c r="AB48" s="68">
        <f>IF(Z48=1,IF(U48="In",L48-W48,L48),0)</f>
        <v/>
      </c>
      <c r="AC48" s="68">
        <f>IF(AND(Z48=1,U48="Out"),W48,0)</f>
        <v/>
      </c>
      <c r="AD48" s="68">
        <f>IF(AND(Z48=1,U48="In"),W48,0)</f>
        <v/>
      </c>
    </row>
    <row r="49">
      <c r="B49" s="62" t="inlineStr">
        <is>
          <t>TX-0043</t>
        </is>
      </c>
      <c r="C49" s="63" t="n">
        <v>46063</v>
      </c>
      <c r="D49" s="62" t="inlineStr">
        <is>
          <t>Money Out</t>
        </is>
      </c>
      <c r="E49" s="62" t="inlineStr">
        <is>
          <t>Interest Expense</t>
        </is>
      </c>
      <c r="F49" s="62" t="inlineStr">
        <is>
          <t>Loan interest</t>
        </is>
      </c>
      <c r="G49" s="62" t="n"/>
      <c r="H49" s="62" t="n"/>
      <c r="I49" s="62" t="inlineStr">
        <is>
          <t>Bank Transfer</t>
        </is>
      </c>
      <c r="J49" s="62" t="inlineStr">
        <is>
          <t>LOAN</t>
        </is>
      </c>
      <c r="K49" s="62" t="inlineStr">
        <is>
          <t>Bank Account</t>
        </is>
      </c>
      <c r="L49" s="64" t="n">
        <v>1440</v>
      </c>
      <c r="M49" s="64" t="n"/>
      <c r="N49" s="62" t="n"/>
      <c r="O49" s="65">
        <f>IF(Z49=1,L49-W49,"")</f>
        <v/>
      </c>
      <c r="P49" s="66">
        <f>IF(V49="","",IFERROR(INDEX(coa_Type,MATCH(V49,coa_Name,0)),""))</f>
        <v/>
      </c>
      <c r="Q49" s="66">
        <f>IF(Z49=1,IF(U49="In",K49&amp;"",V49),"")</f>
        <v/>
      </c>
      <c r="R49" s="66">
        <f>IF(Z49=1,IF(U49="In",V49,K49&amp;""),"")</f>
        <v/>
      </c>
      <c r="S49" s="66">
        <f>IF(X49&lt;&gt;"","⛔ "&amp;X49&amp;" — not posted",IF(Y49&lt;&gt;"","⚠ "&amp;Y49,IF(Z49=1,"✓ OK","")))</f>
        <v/>
      </c>
      <c r="T49" s="67">
        <f>IF(AND(C49="",D49="",E49="",L49="",K49=""),1,0)</f>
        <v/>
      </c>
      <c r="U49" s="67">
        <f>IFERROR(INDEX(tt_Dir,MATCH(D49,tt_Type,0)),"")</f>
        <v/>
      </c>
      <c r="V49" s="67">
        <f>IF(D49="","",IFERROR(IF(INDEX(tt_Other,MATCH(D49,tt_Type,0))="",E49&amp;"",INDEX(tt_Other,MATCH(D49,tt_Type,0))),""))</f>
        <v/>
      </c>
      <c r="W49" s="68">
        <f>IF(OR(TaxOn&lt;&gt;"Yes",NOT(ISNUMBER(M49))),0,IF(IFERROR(INDEX(tt_Tax,MATCH(D49,tt_Type,0)),"No")="Yes",M49,0))</f>
        <v/>
      </c>
      <c r="X49" s="67">
        <f>IF(T49=1,"",IF(C49="","Missing transaction date",IF(NOT(ISNUMBER(C49)),"Invalid date",IF(OR(C49&lt;DATE(2000,1,1),C49&gt;DATE(2099,12,31)),"Invalid date",IF(D49="","Select a type",IF(U49="","Unknown type: "&amp;D49,IF(V49="","Select an account (Category)",IF(ISNA(MATCH(V49,coa_Name,0)),"Unknown account: "&amp;V49,IF(K49="","Select Paid From / Deposited To",IF(ISNA(MATCH(K49,coa_Name,0)),"Unknown account: "&amp;K49,IF(NOT(ISNUMBER(L49)),"Enter an amount",IF(L49=0,"Enter an amount",IF(ABS(W49)&gt;ABS(L49),"Tax is larger than the amount","")))))))))))))</f>
        <v/>
      </c>
      <c r="Y49" s="67">
        <f>IF(OR(T49=1,X49&lt;&gt;""),"",IF(AND(B49&lt;&gt;"",COUNTIF(tx_ID,B49)&gt;1),"Duplicate transaction ID",IF(AND(L49&lt;0,D49&lt;&gt;"Adjustment"),"Negative amount — check this entry",IF(AND(D49="Customer Payment",G49=""),"Add the customer",IF(AND(D49="Customer Payment",OR(J49="",COUNTIF(ar_No,J49&amp;"")=0)),"Invoice # in Reference not found on AR sheet",IF(AND(D49="Bill Payment",H49=""),"Add the vendor",IF(AND(D49="Bill Payment",OR(J49="",COUNTIFS(ap_No,J49&amp;"",ap_Party,H49&amp;"")=0)),"Bill # + vendor not found on AP sheet",IF(AND(ISNUMBER(M49),N(M49)&lt;&gt;0,W49=0),"Tax ignored (tax tracking off, or not allowed for this type)",IF(V49=K49&amp;"","Same account on both sides",IF(AND(ISNUMBER(StartDate),C49&lt;StartDate),"Date is before the accounting start date",IF(AND(D49&lt;&gt;"Adjustment",IFERROR(INDEX(coa_Pay,MATCH(K49&amp;"",coa_Name,0)),"")&lt;&gt;"Yes"),"Paid From / Deposited To is not a payment account","")))))))))))</f>
        <v/>
      </c>
      <c r="Z49" s="67">
        <f>IF(AND(T49=0,X49=""),1,0)</f>
        <v/>
      </c>
      <c r="AA49" s="68">
        <f>IF(Z49=1,IF(U49="In",L49,L49-W49),0)</f>
        <v/>
      </c>
      <c r="AB49" s="68">
        <f>IF(Z49=1,IF(U49="In",L49-W49,L49),0)</f>
        <v/>
      </c>
      <c r="AC49" s="68">
        <f>IF(AND(Z49=1,U49="Out"),W49,0)</f>
        <v/>
      </c>
      <c r="AD49" s="68">
        <f>IF(AND(Z49=1,U49="In"),W49,0)</f>
        <v/>
      </c>
    </row>
    <row r="50">
      <c r="B50" s="62" t="inlineStr">
        <is>
          <t>TX-0044</t>
        </is>
      </c>
      <c r="C50" s="63" t="n">
        <v>46064</v>
      </c>
      <c r="D50" s="62" t="inlineStr">
        <is>
          <t>Money In</t>
        </is>
      </c>
      <c r="E50" s="62" t="inlineStr">
        <is>
          <t>Product Sales</t>
        </is>
      </c>
      <c r="F50" s="62" t="inlineStr">
        <is>
          <t>Counter sales week 2</t>
        </is>
      </c>
      <c r="G50" s="62" t="n"/>
      <c r="H50" s="62" t="n"/>
      <c r="I50" s="62" t="inlineStr">
        <is>
          <t>Cash</t>
        </is>
      </c>
      <c r="J50" s="62" t="n"/>
      <c r="K50" s="62" t="inlineStr">
        <is>
          <t>Cash on Hand</t>
        </is>
      </c>
      <c r="L50" s="64" t="n">
        <v>45728.07</v>
      </c>
      <c r="M50" s="64" t="n">
        <v>4899.44</v>
      </c>
      <c r="N50" s="62" t="n"/>
      <c r="O50" s="65">
        <f>IF(Z50=1,L50-W50,"")</f>
        <v/>
      </c>
      <c r="P50" s="66">
        <f>IF(V50="","",IFERROR(INDEX(coa_Type,MATCH(V50,coa_Name,0)),""))</f>
        <v/>
      </c>
      <c r="Q50" s="66">
        <f>IF(Z50=1,IF(U50="In",K50&amp;"",V50),"")</f>
        <v/>
      </c>
      <c r="R50" s="66">
        <f>IF(Z50=1,IF(U50="In",V50,K50&amp;""),"")</f>
        <v/>
      </c>
      <c r="S50" s="66">
        <f>IF(X50&lt;&gt;"","⛔ "&amp;X50&amp;" — not posted",IF(Y50&lt;&gt;"","⚠ "&amp;Y50,IF(Z50=1,"✓ OK","")))</f>
        <v/>
      </c>
      <c r="T50" s="67">
        <f>IF(AND(C50="",D50="",E50="",L50="",K50=""),1,0)</f>
        <v/>
      </c>
      <c r="U50" s="67">
        <f>IFERROR(INDEX(tt_Dir,MATCH(D50,tt_Type,0)),"")</f>
        <v/>
      </c>
      <c r="V50" s="67">
        <f>IF(D50="","",IFERROR(IF(INDEX(tt_Other,MATCH(D50,tt_Type,0))="",E50&amp;"",INDEX(tt_Other,MATCH(D50,tt_Type,0))),""))</f>
        <v/>
      </c>
      <c r="W50" s="68">
        <f>IF(OR(TaxOn&lt;&gt;"Yes",NOT(ISNUMBER(M50))),0,IF(IFERROR(INDEX(tt_Tax,MATCH(D50,tt_Type,0)),"No")="Yes",M50,0))</f>
        <v/>
      </c>
      <c r="X50" s="67">
        <f>IF(T50=1,"",IF(C50="","Missing transaction date",IF(NOT(ISNUMBER(C50)),"Invalid date",IF(OR(C50&lt;DATE(2000,1,1),C50&gt;DATE(2099,12,31)),"Invalid date",IF(D50="","Select a type",IF(U50="","Unknown type: "&amp;D50,IF(V50="","Select an account (Category)",IF(ISNA(MATCH(V50,coa_Name,0)),"Unknown account: "&amp;V50,IF(K50="","Select Paid From / Deposited To",IF(ISNA(MATCH(K50,coa_Name,0)),"Unknown account: "&amp;K50,IF(NOT(ISNUMBER(L50)),"Enter an amount",IF(L50=0,"Enter an amount",IF(ABS(W50)&gt;ABS(L50),"Tax is larger than the amount","")))))))))))))</f>
        <v/>
      </c>
      <c r="Y50" s="67">
        <f>IF(OR(T50=1,X50&lt;&gt;""),"",IF(AND(B50&lt;&gt;"",COUNTIF(tx_ID,B50)&gt;1),"Duplicate transaction ID",IF(AND(L50&lt;0,D50&lt;&gt;"Adjustment"),"Negative amount — check this entry",IF(AND(D50="Customer Payment",G50=""),"Add the customer",IF(AND(D50="Customer Payment",OR(J50="",COUNTIF(ar_No,J50&amp;"")=0)),"Invoice # in Reference not found on AR sheet",IF(AND(D50="Bill Payment",H50=""),"Add the vendor",IF(AND(D50="Bill Payment",OR(J50="",COUNTIFS(ap_No,J50&amp;"",ap_Party,H50&amp;"")=0)),"Bill # + vendor not found on AP sheet",IF(AND(ISNUMBER(M50),N(M50)&lt;&gt;0,W50=0),"Tax ignored (tax tracking off, or not allowed for this type)",IF(V50=K50&amp;"","Same account on both sides",IF(AND(ISNUMBER(StartDate),C50&lt;StartDate),"Date is before the accounting start date",IF(AND(D50&lt;&gt;"Adjustment",IFERROR(INDEX(coa_Pay,MATCH(K50&amp;"",coa_Name,0)),"")&lt;&gt;"Yes"),"Paid From / Deposited To is not a payment account","")))))))))))</f>
        <v/>
      </c>
      <c r="Z50" s="67">
        <f>IF(AND(T50=0,X50=""),1,0)</f>
        <v/>
      </c>
      <c r="AA50" s="68">
        <f>IF(Z50=1,IF(U50="In",L50,L50-W50),0)</f>
        <v/>
      </c>
      <c r="AB50" s="68">
        <f>IF(Z50=1,IF(U50="In",L50-W50,L50),0)</f>
        <v/>
      </c>
      <c r="AC50" s="68">
        <f>IF(AND(Z50=1,U50="Out"),W50,0)</f>
        <v/>
      </c>
      <c r="AD50" s="68">
        <f>IF(AND(Z50=1,U50="In"),W50,0)</f>
        <v/>
      </c>
    </row>
    <row r="51">
      <c r="B51" s="62" t="inlineStr">
        <is>
          <t>TX-0045</t>
        </is>
      </c>
      <c r="C51" s="63" t="n">
        <v>46065</v>
      </c>
      <c r="D51" s="62" t="inlineStr">
        <is>
          <t>Money In</t>
        </is>
      </c>
      <c r="E51" s="62" t="inlineStr">
        <is>
          <t>Product Sales</t>
        </is>
      </c>
      <c r="F51" s="62" t="inlineStr">
        <is>
          <t>GCash / online orders week 2</t>
        </is>
      </c>
      <c r="G51" s="62" t="n"/>
      <c r="H51" s="62" t="n"/>
      <c r="I51" s="62" t="inlineStr">
        <is>
          <t>E-Wallet</t>
        </is>
      </c>
      <c r="J51" s="62" t="n"/>
      <c r="K51" s="62" t="inlineStr">
        <is>
          <t>E-Wallet / Online Payments</t>
        </is>
      </c>
      <c r="L51" s="64" t="n">
        <v>14444.75</v>
      </c>
      <c r="M51" s="64" t="n">
        <v>1547.65</v>
      </c>
      <c r="N51" s="62" t="n"/>
      <c r="O51" s="65">
        <f>IF(Z51=1,L51-W51,"")</f>
        <v/>
      </c>
      <c r="P51" s="66">
        <f>IF(V51="","",IFERROR(INDEX(coa_Type,MATCH(V51,coa_Name,0)),""))</f>
        <v/>
      </c>
      <c r="Q51" s="66">
        <f>IF(Z51=1,IF(U51="In",K51&amp;"",V51),"")</f>
        <v/>
      </c>
      <c r="R51" s="66">
        <f>IF(Z51=1,IF(U51="In",V51,K51&amp;""),"")</f>
        <v/>
      </c>
      <c r="S51" s="66">
        <f>IF(X51&lt;&gt;"","⛔ "&amp;X51&amp;" — not posted",IF(Y51&lt;&gt;"","⚠ "&amp;Y51,IF(Z51=1,"✓ OK","")))</f>
        <v/>
      </c>
      <c r="T51" s="67">
        <f>IF(AND(C51="",D51="",E51="",L51="",K51=""),1,0)</f>
        <v/>
      </c>
      <c r="U51" s="67">
        <f>IFERROR(INDEX(tt_Dir,MATCH(D51,tt_Type,0)),"")</f>
        <v/>
      </c>
      <c r="V51" s="67">
        <f>IF(D51="","",IFERROR(IF(INDEX(tt_Other,MATCH(D51,tt_Type,0))="",E51&amp;"",INDEX(tt_Other,MATCH(D51,tt_Type,0))),""))</f>
        <v/>
      </c>
      <c r="W51" s="68">
        <f>IF(OR(TaxOn&lt;&gt;"Yes",NOT(ISNUMBER(M51))),0,IF(IFERROR(INDEX(tt_Tax,MATCH(D51,tt_Type,0)),"No")="Yes",M51,0))</f>
        <v/>
      </c>
      <c r="X51" s="67">
        <f>IF(T51=1,"",IF(C51="","Missing transaction date",IF(NOT(ISNUMBER(C51)),"Invalid date",IF(OR(C51&lt;DATE(2000,1,1),C51&gt;DATE(2099,12,31)),"Invalid date",IF(D51="","Select a type",IF(U51="","Unknown type: "&amp;D51,IF(V51="","Select an account (Category)",IF(ISNA(MATCH(V51,coa_Name,0)),"Unknown account: "&amp;V51,IF(K51="","Select Paid From / Deposited To",IF(ISNA(MATCH(K51,coa_Name,0)),"Unknown account: "&amp;K51,IF(NOT(ISNUMBER(L51)),"Enter an amount",IF(L51=0,"Enter an amount",IF(ABS(W51)&gt;ABS(L51),"Tax is larger than the amount","")))))))))))))</f>
        <v/>
      </c>
      <c r="Y51" s="67">
        <f>IF(OR(T51=1,X51&lt;&gt;""),"",IF(AND(B51&lt;&gt;"",COUNTIF(tx_ID,B51)&gt;1),"Duplicate transaction ID",IF(AND(L51&lt;0,D51&lt;&gt;"Adjustment"),"Negative amount — check this entry",IF(AND(D51="Customer Payment",G51=""),"Add the customer",IF(AND(D51="Customer Payment",OR(J51="",COUNTIF(ar_No,J51&amp;"")=0)),"Invoice # in Reference not found on AR sheet",IF(AND(D51="Bill Payment",H51=""),"Add the vendor",IF(AND(D51="Bill Payment",OR(J51="",COUNTIFS(ap_No,J51&amp;"",ap_Party,H51&amp;"")=0)),"Bill # + vendor not found on AP sheet",IF(AND(ISNUMBER(M51),N(M51)&lt;&gt;0,W51=0),"Tax ignored (tax tracking off, or not allowed for this type)",IF(V51=K51&amp;"","Same account on both sides",IF(AND(ISNUMBER(StartDate),C51&lt;StartDate),"Date is before the accounting start date",IF(AND(D51&lt;&gt;"Adjustment",IFERROR(INDEX(coa_Pay,MATCH(K51&amp;"",coa_Name,0)),"")&lt;&gt;"Yes"),"Paid From / Deposited To is not a payment account","")))))))))))</f>
        <v/>
      </c>
      <c r="Z51" s="67">
        <f>IF(AND(T51=0,X51=""),1,0)</f>
        <v/>
      </c>
      <c r="AA51" s="68">
        <f>IF(Z51=1,IF(U51="In",L51,L51-W51),0)</f>
        <v/>
      </c>
      <c r="AB51" s="68">
        <f>IF(Z51=1,IF(U51="In",L51-W51,L51),0)</f>
        <v/>
      </c>
      <c r="AC51" s="68">
        <f>IF(AND(Z51=1,U51="Out"),W51,0)</f>
        <v/>
      </c>
      <c r="AD51" s="68">
        <f>IF(AND(Z51=1,U51="In"),W51,0)</f>
        <v/>
      </c>
    </row>
    <row r="52">
      <c r="B52" s="62" t="inlineStr">
        <is>
          <t>TX-0046</t>
        </is>
      </c>
      <c r="C52" s="63" t="n">
        <v>46065</v>
      </c>
      <c r="D52" s="62" t="inlineStr">
        <is>
          <t>Money Out</t>
        </is>
      </c>
      <c r="E52" s="62" t="inlineStr">
        <is>
          <t>Utilities</t>
        </is>
      </c>
      <c r="F52" s="62" t="inlineStr">
        <is>
          <t>Electricity &amp; water</t>
        </is>
      </c>
      <c r="G52" s="62" t="n"/>
      <c r="H52" s="62" t="n"/>
      <c r="I52" s="62" t="inlineStr">
        <is>
          <t>Bank Transfer</t>
        </is>
      </c>
      <c r="J52" s="62" t="n"/>
      <c r="K52" s="62" t="inlineStr">
        <is>
          <t>Bank Account</t>
        </is>
      </c>
      <c r="L52" s="64" t="n">
        <v>10133.34</v>
      </c>
      <c r="M52" s="64" t="n">
        <v>1085.72</v>
      </c>
      <c r="N52" s="62" t="n"/>
      <c r="O52" s="65">
        <f>IF(Z52=1,L52-W52,"")</f>
        <v/>
      </c>
      <c r="P52" s="66">
        <f>IF(V52="","",IFERROR(INDEX(coa_Type,MATCH(V52,coa_Name,0)),""))</f>
        <v/>
      </c>
      <c r="Q52" s="66">
        <f>IF(Z52=1,IF(U52="In",K52&amp;"",V52),"")</f>
        <v/>
      </c>
      <c r="R52" s="66">
        <f>IF(Z52=1,IF(U52="In",V52,K52&amp;""),"")</f>
        <v/>
      </c>
      <c r="S52" s="66">
        <f>IF(X52&lt;&gt;"","⛔ "&amp;X52&amp;" — not posted",IF(Y52&lt;&gt;"","⚠ "&amp;Y52,IF(Z52=1,"✓ OK","")))</f>
        <v/>
      </c>
      <c r="T52" s="67">
        <f>IF(AND(C52="",D52="",E52="",L52="",K52=""),1,0)</f>
        <v/>
      </c>
      <c r="U52" s="67">
        <f>IFERROR(INDEX(tt_Dir,MATCH(D52,tt_Type,0)),"")</f>
        <v/>
      </c>
      <c r="V52" s="67">
        <f>IF(D52="","",IFERROR(IF(INDEX(tt_Other,MATCH(D52,tt_Type,0))="",E52&amp;"",INDEX(tt_Other,MATCH(D52,tt_Type,0))),""))</f>
        <v/>
      </c>
      <c r="W52" s="68">
        <f>IF(OR(TaxOn&lt;&gt;"Yes",NOT(ISNUMBER(M52))),0,IF(IFERROR(INDEX(tt_Tax,MATCH(D52,tt_Type,0)),"No")="Yes",M52,0))</f>
        <v/>
      </c>
      <c r="X52" s="67">
        <f>IF(T52=1,"",IF(C52="","Missing transaction date",IF(NOT(ISNUMBER(C52)),"Invalid date",IF(OR(C52&lt;DATE(2000,1,1),C52&gt;DATE(2099,12,31)),"Invalid date",IF(D52="","Select a type",IF(U52="","Unknown type: "&amp;D52,IF(V52="","Select an account (Category)",IF(ISNA(MATCH(V52,coa_Name,0)),"Unknown account: "&amp;V52,IF(K52="","Select Paid From / Deposited To",IF(ISNA(MATCH(K52,coa_Name,0)),"Unknown account: "&amp;K52,IF(NOT(ISNUMBER(L52)),"Enter an amount",IF(L52=0,"Enter an amount",IF(ABS(W52)&gt;ABS(L52),"Tax is larger than the amount","")))))))))))))</f>
        <v/>
      </c>
      <c r="Y52" s="67">
        <f>IF(OR(T52=1,X52&lt;&gt;""),"",IF(AND(B52&lt;&gt;"",COUNTIF(tx_ID,B52)&gt;1),"Duplicate transaction ID",IF(AND(L52&lt;0,D52&lt;&gt;"Adjustment"),"Negative amount — check this entry",IF(AND(D52="Customer Payment",G52=""),"Add the customer",IF(AND(D52="Customer Payment",OR(J52="",COUNTIF(ar_No,J52&amp;"")=0)),"Invoice # in Reference not found on AR sheet",IF(AND(D52="Bill Payment",H52=""),"Add the vendor",IF(AND(D52="Bill Payment",OR(J52="",COUNTIFS(ap_No,J52&amp;"",ap_Party,H52&amp;"")=0)),"Bill # + vendor not found on AP sheet",IF(AND(ISNUMBER(M52),N(M52)&lt;&gt;0,W52=0),"Tax ignored (tax tracking off, or not allowed for this type)",IF(V52=K52&amp;"","Same account on both sides",IF(AND(ISNUMBER(StartDate),C52&lt;StartDate),"Date is before the accounting start date",IF(AND(D52&lt;&gt;"Adjustment",IFERROR(INDEX(coa_Pay,MATCH(K52&amp;"",coa_Name,0)),"")&lt;&gt;"Yes"),"Paid From / Deposited To is not a payment account","")))))))))))</f>
        <v/>
      </c>
      <c r="Z52" s="67">
        <f>IF(AND(T52=0,X52=""),1,0)</f>
        <v/>
      </c>
      <c r="AA52" s="68">
        <f>IF(Z52=1,IF(U52="In",L52,L52-W52),0)</f>
        <v/>
      </c>
      <c r="AB52" s="68">
        <f>IF(Z52=1,IF(U52="In",L52-W52,L52),0)</f>
        <v/>
      </c>
      <c r="AC52" s="68">
        <f>IF(AND(Z52=1,U52="Out"),W52,0)</f>
        <v/>
      </c>
      <c r="AD52" s="68">
        <f>IF(AND(Z52=1,U52="In"),W52,0)</f>
        <v/>
      </c>
    </row>
    <row r="53">
      <c r="B53" s="62" t="inlineStr">
        <is>
          <t>TX-0047</t>
        </is>
      </c>
      <c r="C53" s="63" t="n">
        <v>46066</v>
      </c>
      <c r="D53" s="62" t="inlineStr">
        <is>
          <t>Transfer</t>
        </is>
      </c>
      <c r="E53" s="62" t="inlineStr">
        <is>
          <t>Bank Account</t>
        </is>
      </c>
      <c r="F53" s="62" t="inlineStr">
        <is>
          <t>Cash deposit to bank</t>
        </is>
      </c>
      <c r="G53" s="62" t="n"/>
      <c r="H53" s="62" t="n"/>
      <c r="I53" s="62" t="inlineStr">
        <is>
          <t>Cash</t>
        </is>
      </c>
      <c r="J53" s="62" t="n"/>
      <c r="K53" s="62" t="inlineStr">
        <is>
          <t>Cash on Hand</t>
        </is>
      </c>
      <c r="L53" s="64" t="n">
        <v>38900</v>
      </c>
      <c r="M53" s="64" t="n"/>
      <c r="N53" s="62" t="n"/>
      <c r="O53" s="65">
        <f>IF(Z53=1,L53-W53,"")</f>
        <v/>
      </c>
      <c r="P53" s="66">
        <f>IF(V53="","",IFERROR(INDEX(coa_Type,MATCH(V53,coa_Name,0)),""))</f>
        <v/>
      </c>
      <c r="Q53" s="66">
        <f>IF(Z53=1,IF(U53="In",K53&amp;"",V53),"")</f>
        <v/>
      </c>
      <c r="R53" s="66">
        <f>IF(Z53=1,IF(U53="In",V53,K53&amp;""),"")</f>
        <v/>
      </c>
      <c r="S53" s="66">
        <f>IF(X53&lt;&gt;"","⛔ "&amp;X53&amp;" — not posted",IF(Y53&lt;&gt;"","⚠ "&amp;Y53,IF(Z53=1,"✓ OK","")))</f>
        <v/>
      </c>
      <c r="T53" s="67">
        <f>IF(AND(C53="",D53="",E53="",L53="",K53=""),1,0)</f>
        <v/>
      </c>
      <c r="U53" s="67">
        <f>IFERROR(INDEX(tt_Dir,MATCH(D53,tt_Type,0)),"")</f>
        <v/>
      </c>
      <c r="V53" s="67">
        <f>IF(D53="","",IFERROR(IF(INDEX(tt_Other,MATCH(D53,tt_Type,0))="",E53&amp;"",INDEX(tt_Other,MATCH(D53,tt_Type,0))),""))</f>
        <v/>
      </c>
      <c r="W53" s="68">
        <f>IF(OR(TaxOn&lt;&gt;"Yes",NOT(ISNUMBER(M53))),0,IF(IFERROR(INDEX(tt_Tax,MATCH(D53,tt_Type,0)),"No")="Yes",M53,0))</f>
        <v/>
      </c>
      <c r="X53" s="67">
        <f>IF(T53=1,"",IF(C53="","Missing transaction date",IF(NOT(ISNUMBER(C53)),"Invalid date",IF(OR(C53&lt;DATE(2000,1,1),C53&gt;DATE(2099,12,31)),"Invalid date",IF(D53="","Select a type",IF(U53="","Unknown type: "&amp;D53,IF(V53="","Select an account (Category)",IF(ISNA(MATCH(V53,coa_Name,0)),"Unknown account: "&amp;V53,IF(K53="","Select Paid From / Deposited To",IF(ISNA(MATCH(K53,coa_Name,0)),"Unknown account: "&amp;K53,IF(NOT(ISNUMBER(L53)),"Enter an amount",IF(L53=0,"Enter an amount",IF(ABS(W53)&gt;ABS(L53),"Tax is larger than the amount","")))))))))))))</f>
        <v/>
      </c>
      <c r="Y53" s="67">
        <f>IF(OR(T53=1,X53&lt;&gt;""),"",IF(AND(B53&lt;&gt;"",COUNTIF(tx_ID,B53)&gt;1),"Duplicate transaction ID",IF(AND(L53&lt;0,D53&lt;&gt;"Adjustment"),"Negative amount — check this entry",IF(AND(D53="Customer Payment",G53=""),"Add the customer",IF(AND(D53="Customer Payment",OR(J53="",COUNTIF(ar_No,J53&amp;"")=0)),"Invoice # in Reference not found on AR sheet",IF(AND(D53="Bill Payment",H53=""),"Add the vendor",IF(AND(D53="Bill Payment",OR(J53="",COUNTIFS(ap_No,J53&amp;"",ap_Party,H53&amp;"")=0)),"Bill # + vendor not found on AP sheet",IF(AND(ISNUMBER(M53),N(M53)&lt;&gt;0,W53=0),"Tax ignored (tax tracking off, or not allowed for this type)",IF(V53=K53&amp;"","Same account on both sides",IF(AND(ISNUMBER(StartDate),C53&lt;StartDate),"Date is before the accounting start date",IF(AND(D53&lt;&gt;"Adjustment",IFERROR(INDEX(coa_Pay,MATCH(K53&amp;"",coa_Name,0)),"")&lt;&gt;"Yes"),"Paid From / Deposited To is not a payment account","")))))))))))</f>
        <v/>
      </c>
      <c r="Z53" s="67">
        <f>IF(AND(T53=0,X53=""),1,0)</f>
        <v/>
      </c>
      <c r="AA53" s="68">
        <f>IF(Z53=1,IF(U53="In",L53,L53-W53),0)</f>
        <v/>
      </c>
      <c r="AB53" s="68">
        <f>IF(Z53=1,IF(U53="In",L53-W53,L53),0)</f>
        <v/>
      </c>
      <c r="AC53" s="68">
        <f>IF(AND(Z53=1,U53="Out"),W53,0)</f>
        <v/>
      </c>
      <c r="AD53" s="68">
        <f>IF(AND(Z53=1,U53="In"),W53,0)</f>
        <v/>
      </c>
    </row>
    <row r="54">
      <c r="B54" s="62" t="inlineStr">
        <is>
          <t>TX-0048</t>
        </is>
      </c>
      <c r="C54" s="63" t="n">
        <v>46067</v>
      </c>
      <c r="D54" s="62" t="inlineStr">
        <is>
          <t>Customer Payment</t>
        </is>
      </c>
      <c r="E54" s="62" t="n"/>
      <c r="F54" s="62" t="inlineStr">
        <is>
          <t>Invoice payment</t>
        </is>
      </c>
      <c r="G54" s="62" t="inlineStr">
        <is>
          <t>Northwind Offices</t>
        </is>
      </c>
      <c r="H54" s="62" t="n"/>
      <c r="I54" s="62" t="inlineStr">
        <is>
          <t>Bank Transfer</t>
        </is>
      </c>
      <c r="J54" s="62" t="inlineStr">
        <is>
          <t>INV-1001</t>
        </is>
      </c>
      <c r="K54" s="62" t="inlineStr">
        <is>
          <t>Bank Account</t>
        </is>
      </c>
      <c r="L54" s="64" t="n">
        <v>23665.51</v>
      </c>
      <c r="M54" s="64" t="n"/>
      <c r="N54" s="62" t="n"/>
      <c r="O54" s="65">
        <f>IF(Z54=1,L54-W54,"")</f>
        <v/>
      </c>
      <c r="P54" s="66">
        <f>IF(V54="","",IFERROR(INDEX(coa_Type,MATCH(V54,coa_Name,0)),""))</f>
        <v/>
      </c>
      <c r="Q54" s="66">
        <f>IF(Z54=1,IF(U54="In",K54&amp;"",V54),"")</f>
        <v/>
      </c>
      <c r="R54" s="66">
        <f>IF(Z54=1,IF(U54="In",V54,K54&amp;""),"")</f>
        <v/>
      </c>
      <c r="S54" s="66">
        <f>IF(X54&lt;&gt;"","⛔ "&amp;X54&amp;" — not posted",IF(Y54&lt;&gt;"","⚠ "&amp;Y54,IF(Z54=1,"✓ OK","")))</f>
        <v/>
      </c>
      <c r="T54" s="67">
        <f>IF(AND(C54="",D54="",E54="",L54="",K54=""),1,0)</f>
        <v/>
      </c>
      <c r="U54" s="67">
        <f>IFERROR(INDEX(tt_Dir,MATCH(D54,tt_Type,0)),"")</f>
        <v/>
      </c>
      <c r="V54" s="67">
        <f>IF(D54="","",IFERROR(IF(INDEX(tt_Other,MATCH(D54,tt_Type,0))="",E54&amp;"",INDEX(tt_Other,MATCH(D54,tt_Type,0))),""))</f>
        <v/>
      </c>
      <c r="W54" s="68">
        <f>IF(OR(TaxOn&lt;&gt;"Yes",NOT(ISNUMBER(M54))),0,IF(IFERROR(INDEX(tt_Tax,MATCH(D54,tt_Type,0)),"No")="Yes",M54,0))</f>
        <v/>
      </c>
      <c r="X54" s="67">
        <f>IF(T54=1,"",IF(C54="","Missing transaction date",IF(NOT(ISNUMBER(C54)),"Invalid date",IF(OR(C54&lt;DATE(2000,1,1),C54&gt;DATE(2099,12,31)),"Invalid date",IF(D54="","Select a type",IF(U54="","Unknown type: "&amp;D54,IF(V54="","Select an account (Category)",IF(ISNA(MATCH(V54,coa_Name,0)),"Unknown account: "&amp;V54,IF(K54="","Select Paid From / Deposited To",IF(ISNA(MATCH(K54,coa_Name,0)),"Unknown account: "&amp;K54,IF(NOT(ISNUMBER(L54)),"Enter an amount",IF(L54=0,"Enter an amount",IF(ABS(W54)&gt;ABS(L54),"Tax is larger than the amount","")))))))))))))</f>
        <v/>
      </c>
      <c r="Y54" s="67">
        <f>IF(OR(T54=1,X54&lt;&gt;""),"",IF(AND(B54&lt;&gt;"",COUNTIF(tx_ID,B54)&gt;1),"Duplicate transaction ID",IF(AND(L54&lt;0,D54&lt;&gt;"Adjustment"),"Negative amount — check this entry",IF(AND(D54="Customer Payment",G54=""),"Add the customer",IF(AND(D54="Customer Payment",OR(J54="",COUNTIF(ar_No,J54&amp;"")=0)),"Invoice # in Reference not found on AR sheet",IF(AND(D54="Bill Payment",H54=""),"Add the vendor",IF(AND(D54="Bill Payment",OR(J54="",COUNTIFS(ap_No,J54&amp;"",ap_Party,H54&amp;"")=0)),"Bill # + vendor not found on AP sheet",IF(AND(ISNUMBER(M54),N(M54)&lt;&gt;0,W54=0),"Tax ignored (tax tracking off, or not allowed for this type)",IF(V54=K54&amp;"","Same account on both sides",IF(AND(ISNUMBER(StartDate),C54&lt;StartDate),"Date is before the accounting start date",IF(AND(D54&lt;&gt;"Adjustment",IFERROR(INDEX(coa_Pay,MATCH(K54&amp;"",coa_Name,0)),"")&lt;&gt;"Yes"),"Paid From / Deposited To is not a payment account","")))))))))))</f>
        <v/>
      </c>
      <c r="Z54" s="67">
        <f>IF(AND(T54=0,X54=""),1,0)</f>
        <v/>
      </c>
      <c r="AA54" s="68">
        <f>IF(Z54=1,IF(U54="In",L54,L54-W54),0)</f>
        <v/>
      </c>
      <c r="AB54" s="68">
        <f>IF(Z54=1,IF(U54="In",L54-W54,L54),0)</f>
        <v/>
      </c>
      <c r="AC54" s="68">
        <f>IF(AND(Z54=1,U54="Out"),W54,0)</f>
        <v/>
      </c>
      <c r="AD54" s="68">
        <f>IF(AND(Z54=1,U54="In"),W54,0)</f>
        <v/>
      </c>
    </row>
    <row r="55">
      <c r="B55" s="62" t="inlineStr">
        <is>
          <t>TX-0049</t>
        </is>
      </c>
      <c r="C55" s="63" t="n">
        <v>46067</v>
      </c>
      <c r="D55" s="62" t="inlineStr">
        <is>
          <t>Money Out</t>
        </is>
      </c>
      <c r="E55" s="62" t="inlineStr">
        <is>
          <t>Taxes &amp; Licenses</t>
        </is>
      </c>
      <c r="F55" s="62" t="inlineStr">
        <is>
          <t>Business permit renewal</t>
        </is>
      </c>
      <c r="G55" s="62" t="n"/>
      <c r="H55" s="62" t="n"/>
      <c r="I55" s="62" t="inlineStr">
        <is>
          <t>Bank Transfer</t>
        </is>
      </c>
      <c r="J55" s="62" t="n"/>
      <c r="K55" s="62" t="inlineStr">
        <is>
          <t>Bank Account</t>
        </is>
      </c>
      <c r="L55" s="64" t="n">
        <v>7800</v>
      </c>
      <c r="M55" s="64" t="n"/>
      <c r="N55" s="62" t="n"/>
      <c r="O55" s="65">
        <f>IF(Z55=1,L55-W55,"")</f>
        <v/>
      </c>
      <c r="P55" s="66">
        <f>IF(V55="","",IFERROR(INDEX(coa_Type,MATCH(V55,coa_Name,0)),""))</f>
        <v/>
      </c>
      <c r="Q55" s="66">
        <f>IF(Z55=1,IF(U55="In",K55&amp;"",V55),"")</f>
        <v/>
      </c>
      <c r="R55" s="66">
        <f>IF(Z55=1,IF(U55="In",V55,K55&amp;""),"")</f>
        <v/>
      </c>
      <c r="S55" s="66">
        <f>IF(X55&lt;&gt;"","⛔ "&amp;X55&amp;" — not posted",IF(Y55&lt;&gt;"","⚠ "&amp;Y55,IF(Z55=1,"✓ OK","")))</f>
        <v/>
      </c>
      <c r="T55" s="67">
        <f>IF(AND(C55="",D55="",E55="",L55="",K55=""),1,0)</f>
        <v/>
      </c>
      <c r="U55" s="67">
        <f>IFERROR(INDEX(tt_Dir,MATCH(D55,tt_Type,0)),"")</f>
        <v/>
      </c>
      <c r="V55" s="67">
        <f>IF(D55="","",IFERROR(IF(INDEX(tt_Other,MATCH(D55,tt_Type,0))="",E55&amp;"",INDEX(tt_Other,MATCH(D55,tt_Type,0))),""))</f>
        <v/>
      </c>
      <c r="W55" s="68">
        <f>IF(OR(TaxOn&lt;&gt;"Yes",NOT(ISNUMBER(M55))),0,IF(IFERROR(INDEX(tt_Tax,MATCH(D55,tt_Type,0)),"No")="Yes",M55,0))</f>
        <v/>
      </c>
      <c r="X55" s="67">
        <f>IF(T55=1,"",IF(C55="","Missing transaction date",IF(NOT(ISNUMBER(C55)),"Invalid date",IF(OR(C55&lt;DATE(2000,1,1),C55&gt;DATE(2099,12,31)),"Invalid date",IF(D55="","Select a type",IF(U55="","Unknown type: "&amp;D55,IF(V55="","Select an account (Category)",IF(ISNA(MATCH(V55,coa_Name,0)),"Unknown account: "&amp;V55,IF(K55="","Select Paid From / Deposited To",IF(ISNA(MATCH(K55,coa_Name,0)),"Unknown account: "&amp;K55,IF(NOT(ISNUMBER(L55)),"Enter an amount",IF(L55=0,"Enter an amount",IF(ABS(W55)&gt;ABS(L55),"Tax is larger than the amount","")))))))))))))</f>
        <v/>
      </c>
      <c r="Y55" s="67">
        <f>IF(OR(T55=1,X55&lt;&gt;""),"",IF(AND(B55&lt;&gt;"",COUNTIF(tx_ID,B55)&gt;1),"Duplicate transaction ID",IF(AND(L55&lt;0,D55&lt;&gt;"Adjustment"),"Negative amount — check this entry",IF(AND(D55="Customer Payment",G55=""),"Add the customer",IF(AND(D55="Customer Payment",OR(J55="",COUNTIF(ar_No,J55&amp;"")=0)),"Invoice # in Reference not found on AR sheet",IF(AND(D55="Bill Payment",H55=""),"Add the vendor",IF(AND(D55="Bill Payment",OR(J55="",COUNTIFS(ap_No,J55&amp;"",ap_Party,H55&amp;"")=0)),"Bill # + vendor not found on AP sheet",IF(AND(ISNUMBER(M55),N(M55)&lt;&gt;0,W55=0),"Tax ignored (tax tracking off, or not allowed for this type)",IF(V55=K55&amp;"","Same account on both sides",IF(AND(ISNUMBER(StartDate),C55&lt;StartDate),"Date is before the accounting start date",IF(AND(D55&lt;&gt;"Adjustment",IFERROR(INDEX(coa_Pay,MATCH(K55&amp;"",coa_Name,0)),"")&lt;&gt;"Yes"),"Paid From / Deposited To is not a payment account","")))))))))))</f>
        <v/>
      </c>
      <c r="Z55" s="67">
        <f>IF(AND(T55=0,X55=""),1,0)</f>
        <v/>
      </c>
      <c r="AA55" s="68">
        <f>IF(Z55=1,IF(U55="In",L55,L55-W55),0)</f>
        <v/>
      </c>
      <c r="AB55" s="68">
        <f>IF(Z55=1,IF(U55="In",L55-W55,L55),0)</f>
        <v/>
      </c>
      <c r="AC55" s="68">
        <f>IF(AND(Z55=1,U55="Out"),W55,0)</f>
        <v/>
      </c>
      <c r="AD55" s="68">
        <f>IF(AND(Z55=1,U55="In"),W55,0)</f>
        <v/>
      </c>
    </row>
    <row r="56">
      <c r="B56" s="62" t="inlineStr">
        <is>
          <t>TX-0050</t>
        </is>
      </c>
      <c r="C56" s="63" t="n">
        <v>46068</v>
      </c>
      <c r="D56" s="62" t="inlineStr">
        <is>
          <t>Money Out</t>
        </is>
      </c>
      <c r="E56" s="62" t="inlineStr">
        <is>
          <t>Internet &amp; Phone</t>
        </is>
      </c>
      <c r="F56" s="62" t="inlineStr">
        <is>
          <t>Fiber internet</t>
        </is>
      </c>
      <c r="G56" s="62" t="n"/>
      <c r="H56" s="62" t="n"/>
      <c r="I56" s="62" t="inlineStr">
        <is>
          <t>Bank Transfer</t>
        </is>
      </c>
      <c r="J56" s="62" t="n"/>
      <c r="K56" s="62" t="inlineStr">
        <is>
          <t>Bank Account</t>
        </is>
      </c>
      <c r="L56" s="64" t="n">
        <v>2499</v>
      </c>
      <c r="M56" s="64" t="n">
        <v>267.75</v>
      </c>
      <c r="N56" s="62" t="n"/>
      <c r="O56" s="65">
        <f>IF(Z56=1,L56-W56,"")</f>
        <v/>
      </c>
      <c r="P56" s="66">
        <f>IF(V56="","",IFERROR(INDEX(coa_Type,MATCH(V56,coa_Name,0)),""))</f>
        <v/>
      </c>
      <c r="Q56" s="66">
        <f>IF(Z56=1,IF(U56="In",K56&amp;"",V56),"")</f>
        <v/>
      </c>
      <c r="R56" s="66">
        <f>IF(Z56=1,IF(U56="In",V56,K56&amp;""),"")</f>
        <v/>
      </c>
      <c r="S56" s="66">
        <f>IF(X56&lt;&gt;"","⛔ "&amp;X56&amp;" — not posted",IF(Y56&lt;&gt;"","⚠ "&amp;Y56,IF(Z56=1,"✓ OK","")))</f>
        <v/>
      </c>
      <c r="T56" s="67">
        <f>IF(AND(C56="",D56="",E56="",L56="",K56=""),1,0)</f>
        <v/>
      </c>
      <c r="U56" s="67">
        <f>IFERROR(INDEX(tt_Dir,MATCH(D56,tt_Type,0)),"")</f>
        <v/>
      </c>
      <c r="V56" s="67">
        <f>IF(D56="","",IFERROR(IF(INDEX(tt_Other,MATCH(D56,tt_Type,0))="",E56&amp;"",INDEX(tt_Other,MATCH(D56,tt_Type,0))),""))</f>
        <v/>
      </c>
      <c r="W56" s="68">
        <f>IF(OR(TaxOn&lt;&gt;"Yes",NOT(ISNUMBER(M56))),0,IF(IFERROR(INDEX(tt_Tax,MATCH(D56,tt_Type,0)),"No")="Yes",M56,0))</f>
        <v/>
      </c>
      <c r="X56" s="67">
        <f>IF(T56=1,"",IF(C56="","Missing transaction date",IF(NOT(ISNUMBER(C56)),"Invalid date",IF(OR(C56&lt;DATE(2000,1,1),C56&gt;DATE(2099,12,31)),"Invalid date",IF(D56="","Select a type",IF(U56="","Unknown type: "&amp;D56,IF(V56="","Select an account (Category)",IF(ISNA(MATCH(V56,coa_Name,0)),"Unknown account: "&amp;V56,IF(K56="","Select Paid From / Deposited To",IF(ISNA(MATCH(K56,coa_Name,0)),"Unknown account: "&amp;K56,IF(NOT(ISNUMBER(L56)),"Enter an amount",IF(L56=0,"Enter an amount",IF(ABS(W56)&gt;ABS(L56),"Tax is larger than the amount","")))))))))))))</f>
        <v/>
      </c>
      <c r="Y56" s="67">
        <f>IF(OR(T56=1,X56&lt;&gt;""),"",IF(AND(B56&lt;&gt;"",COUNTIF(tx_ID,B56)&gt;1),"Duplicate transaction ID",IF(AND(L56&lt;0,D56&lt;&gt;"Adjustment"),"Negative amount — check this entry",IF(AND(D56="Customer Payment",G56=""),"Add the customer",IF(AND(D56="Customer Payment",OR(J56="",COUNTIF(ar_No,J56&amp;"")=0)),"Invoice # in Reference not found on AR sheet",IF(AND(D56="Bill Payment",H56=""),"Add the vendor",IF(AND(D56="Bill Payment",OR(J56="",COUNTIFS(ap_No,J56&amp;"",ap_Party,H56&amp;"")=0)),"Bill # + vendor not found on AP sheet",IF(AND(ISNUMBER(M56),N(M56)&lt;&gt;0,W56=0),"Tax ignored (tax tracking off, or not allowed for this type)",IF(V56=K56&amp;"","Same account on both sides",IF(AND(ISNUMBER(StartDate),C56&lt;StartDate),"Date is before the accounting start date",IF(AND(D56&lt;&gt;"Adjustment",IFERROR(INDEX(coa_Pay,MATCH(K56&amp;"",coa_Name,0)),"")&lt;&gt;"Yes"),"Paid From / Deposited To is not a payment account","")))))))))))</f>
        <v/>
      </c>
      <c r="Z56" s="67">
        <f>IF(AND(T56=0,X56=""),1,0)</f>
        <v/>
      </c>
      <c r="AA56" s="68">
        <f>IF(Z56=1,IF(U56="In",L56,L56-W56),0)</f>
        <v/>
      </c>
      <c r="AB56" s="68">
        <f>IF(Z56=1,IF(U56="In",L56-W56,L56),0)</f>
        <v/>
      </c>
      <c r="AC56" s="68">
        <f>IF(AND(Z56=1,U56="Out"),W56,0)</f>
        <v/>
      </c>
      <c r="AD56" s="68">
        <f>IF(AND(Z56=1,U56="In"),W56,0)</f>
        <v/>
      </c>
    </row>
    <row r="57">
      <c r="B57" s="62" t="inlineStr">
        <is>
          <t>TX-0051</t>
        </is>
      </c>
      <c r="C57" s="63" t="n">
        <v>46068</v>
      </c>
      <c r="D57" s="62" t="inlineStr">
        <is>
          <t>Money Out</t>
        </is>
      </c>
      <c r="E57" s="62" t="inlineStr">
        <is>
          <t>Direct Labor</t>
        </is>
      </c>
      <c r="F57" s="62" t="inlineStr">
        <is>
          <t>Bakers' salaries (1st-15th)</t>
        </is>
      </c>
      <c r="G57" s="62" t="n"/>
      <c r="H57" s="62" t="n"/>
      <c r="I57" s="62" t="inlineStr">
        <is>
          <t>Bank Transfer</t>
        </is>
      </c>
      <c r="J57" s="62" t="n"/>
      <c r="K57" s="62" t="inlineStr">
        <is>
          <t>Bank Account</t>
        </is>
      </c>
      <c r="L57" s="64" t="n">
        <v>38000</v>
      </c>
      <c r="M57" s="64" t="n"/>
      <c r="N57" s="62" t="n"/>
      <c r="O57" s="65">
        <f>IF(Z57=1,L57-W57,"")</f>
        <v/>
      </c>
      <c r="P57" s="66">
        <f>IF(V57="","",IFERROR(INDEX(coa_Type,MATCH(V57,coa_Name,0)),""))</f>
        <v/>
      </c>
      <c r="Q57" s="66">
        <f>IF(Z57=1,IF(U57="In",K57&amp;"",V57),"")</f>
        <v/>
      </c>
      <c r="R57" s="66">
        <f>IF(Z57=1,IF(U57="In",V57,K57&amp;""),"")</f>
        <v/>
      </c>
      <c r="S57" s="66">
        <f>IF(X57&lt;&gt;"","⛔ "&amp;X57&amp;" — not posted",IF(Y57&lt;&gt;"","⚠ "&amp;Y57,IF(Z57=1,"✓ OK","")))</f>
        <v/>
      </c>
      <c r="T57" s="67">
        <f>IF(AND(C57="",D57="",E57="",L57="",K57=""),1,0)</f>
        <v/>
      </c>
      <c r="U57" s="67">
        <f>IFERROR(INDEX(tt_Dir,MATCH(D57,tt_Type,0)),"")</f>
        <v/>
      </c>
      <c r="V57" s="67">
        <f>IF(D57="","",IFERROR(IF(INDEX(tt_Other,MATCH(D57,tt_Type,0))="",E57&amp;"",INDEX(tt_Other,MATCH(D57,tt_Type,0))),""))</f>
        <v/>
      </c>
      <c r="W57" s="68">
        <f>IF(OR(TaxOn&lt;&gt;"Yes",NOT(ISNUMBER(M57))),0,IF(IFERROR(INDEX(tt_Tax,MATCH(D57,tt_Type,0)),"No")="Yes",M57,0))</f>
        <v/>
      </c>
      <c r="X57" s="67">
        <f>IF(T57=1,"",IF(C57="","Missing transaction date",IF(NOT(ISNUMBER(C57)),"Invalid date",IF(OR(C57&lt;DATE(2000,1,1),C57&gt;DATE(2099,12,31)),"Invalid date",IF(D57="","Select a type",IF(U57="","Unknown type: "&amp;D57,IF(V57="","Select an account (Category)",IF(ISNA(MATCH(V57,coa_Name,0)),"Unknown account: "&amp;V57,IF(K57="","Select Paid From / Deposited To",IF(ISNA(MATCH(K57,coa_Name,0)),"Unknown account: "&amp;K57,IF(NOT(ISNUMBER(L57)),"Enter an amount",IF(L57=0,"Enter an amount",IF(ABS(W57)&gt;ABS(L57),"Tax is larger than the amount","")))))))))))))</f>
        <v/>
      </c>
      <c r="Y57" s="67">
        <f>IF(OR(T57=1,X57&lt;&gt;""),"",IF(AND(B57&lt;&gt;"",COUNTIF(tx_ID,B57)&gt;1),"Duplicate transaction ID",IF(AND(L57&lt;0,D57&lt;&gt;"Adjustment"),"Negative amount — check this entry",IF(AND(D57="Customer Payment",G57=""),"Add the customer",IF(AND(D57="Customer Payment",OR(J57="",COUNTIF(ar_No,J57&amp;"")=0)),"Invoice # in Reference not found on AR sheet",IF(AND(D57="Bill Payment",H57=""),"Add the vendor",IF(AND(D57="Bill Payment",OR(J57="",COUNTIFS(ap_No,J57&amp;"",ap_Party,H57&amp;"")=0)),"Bill # + vendor not found on AP sheet",IF(AND(ISNUMBER(M57),N(M57)&lt;&gt;0,W57=0),"Tax ignored (tax tracking off, or not allowed for this type)",IF(V57=K57&amp;"","Same account on both sides",IF(AND(ISNUMBER(StartDate),C57&lt;StartDate),"Date is before the accounting start date",IF(AND(D57&lt;&gt;"Adjustment",IFERROR(INDEX(coa_Pay,MATCH(K57&amp;"",coa_Name,0)),"")&lt;&gt;"Yes"),"Paid From / Deposited To is not a payment account","")))))))))))</f>
        <v/>
      </c>
      <c r="Z57" s="67">
        <f>IF(AND(T57=0,X57=""),1,0)</f>
        <v/>
      </c>
      <c r="AA57" s="68">
        <f>IF(Z57=1,IF(U57="In",L57,L57-W57),0)</f>
        <v/>
      </c>
      <c r="AB57" s="68">
        <f>IF(Z57=1,IF(U57="In",L57-W57,L57),0)</f>
        <v/>
      </c>
      <c r="AC57" s="68">
        <f>IF(AND(Z57=1,U57="Out"),W57,0)</f>
        <v/>
      </c>
      <c r="AD57" s="68">
        <f>IF(AND(Z57=1,U57="In"),W57,0)</f>
        <v/>
      </c>
    </row>
    <row r="58">
      <c r="B58" s="62" t="inlineStr">
        <is>
          <t>TX-0052</t>
        </is>
      </c>
      <c r="C58" s="63" t="n">
        <v>46068</v>
      </c>
      <c r="D58" s="62" t="inlineStr">
        <is>
          <t>Money Out</t>
        </is>
      </c>
      <c r="E58" s="62" t="inlineStr">
        <is>
          <t>Salaries &amp; Wages</t>
        </is>
      </c>
      <c r="F58" s="62" t="inlineStr">
        <is>
          <t>Cashier salary (1st-15th)</t>
        </is>
      </c>
      <c r="G58" s="62" t="n"/>
      <c r="H58" s="62" t="n"/>
      <c r="I58" s="62" t="inlineStr">
        <is>
          <t>Bank Transfer</t>
        </is>
      </c>
      <c r="J58" s="62" t="n"/>
      <c r="K58" s="62" t="inlineStr">
        <is>
          <t>Bank Account</t>
        </is>
      </c>
      <c r="L58" s="64" t="n">
        <v>9000</v>
      </c>
      <c r="M58" s="64" t="n"/>
      <c r="N58" s="62" t="n"/>
      <c r="O58" s="65">
        <f>IF(Z58=1,L58-W58,"")</f>
        <v/>
      </c>
      <c r="P58" s="66">
        <f>IF(V58="","",IFERROR(INDEX(coa_Type,MATCH(V58,coa_Name,0)),""))</f>
        <v/>
      </c>
      <c r="Q58" s="66">
        <f>IF(Z58=1,IF(U58="In",K58&amp;"",V58),"")</f>
        <v/>
      </c>
      <c r="R58" s="66">
        <f>IF(Z58=1,IF(U58="In",V58,K58&amp;""),"")</f>
        <v/>
      </c>
      <c r="S58" s="66">
        <f>IF(X58&lt;&gt;"","⛔ "&amp;X58&amp;" — not posted",IF(Y58&lt;&gt;"","⚠ "&amp;Y58,IF(Z58=1,"✓ OK","")))</f>
        <v/>
      </c>
      <c r="T58" s="67">
        <f>IF(AND(C58="",D58="",E58="",L58="",K58=""),1,0)</f>
        <v/>
      </c>
      <c r="U58" s="67">
        <f>IFERROR(INDEX(tt_Dir,MATCH(D58,tt_Type,0)),"")</f>
        <v/>
      </c>
      <c r="V58" s="67">
        <f>IF(D58="","",IFERROR(IF(INDEX(tt_Other,MATCH(D58,tt_Type,0))="",E58&amp;"",INDEX(tt_Other,MATCH(D58,tt_Type,0))),""))</f>
        <v/>
      </c>
      <c r="W58" s="68">
        <f>IF(OR(TaxOn&lt;&gt;"Yes",NOT(ISNUMBER(M58))),0,IF(IFERROR(INDEX(tt_Tax,MATCH(D58,tt_Type,0)),"No")="Yes",M58,0))</f>
        <v/>
      </c>
      <c r="X58" s="67">
        <f>IF(T58=1,"",IF(C58="","Missing transaction date",IF(NOT(ISNUMBER(C58)),"Invalid date",IF(OR(C58&lt;DATE(2000,1,1),C58&gt;DATE(2099,12,31)),"Invalid date",IF(D58="","Select a type",IF(U58="","Unknown type: "&amp;D58,IF(V58="","Select an account (Category)",IF(ISNA(MATCH(V58,coa_Name,0)),"Unknown account: "&amp;V58,IF(K58="","Select Paid From / Deposited To",IF(ISNA(MATCH(K58,coa_Name,0)),"Unknown account: "&amp;K58,IF(NOT(ISNUMBER(L58)),"Enter an amount",IF(L58=0,"Enter an amount",IF(ABS(W58)&gt;ABS(L58),"Tax is larger than the amount","")))))))))))))</f>
        <v/>
      </c>
      <c r="Y58" s="67">
        <f>IF(OR(T58=1,X58&lt;&gt;""),"",IF(AND(B58&lt;&gt;"",COUNTIF(tx_ID,B58)&gt;1),"Duplicate transaction ID",IF(AND(L58&lt;0,D58&lt;&gt;"Adjustment"),"Negative amount — check this entry",IF(AND(D58="Customer Payment",G58=""),"Add the customer",IF(AND(D58="Customer Payment",OR(J58="",COUNTIF(ar_No,J58&amp;"")=0)),"Invoice # in Reference not found on AR sheet",IF(AND(D58="Bill Payment",H58=""),"Add the vendor",IF(AND(D58="Bill Payment",OR(J58="",COUNTIFS(ap_No,J58&amp;"",ap_Party,H58&amp;"")=0)),"Bill # + vendor not found on AP sheet",IF(AND(ISNUMBER(M58),N(M58)&lt;&gt;0,W58=0),"Tax ignored (tax tracking off, or not allowed for this type)",IF(V58=K58&amp;"","Same account on both sides",IF(AND(ISNUMBER(StartDate),C58&lt;StartDate),"Date is before the accounting start date",IF(AND(D58&lt;&gt;"Adjustment",IFERROR(INDEX(coa_Pay,MATCH(K58&amp;"",coa_Name,0)),"")&lt;&gt;"Yes"),"Paid From / Deposited To is not a payment account","")))))))))))</f>
        <v/>
      </c>
      <c r="Z58" s="67">
        <f>IF(AND(T58=0,X58=""),1,0)</f>
        <v/>
      </c>
      <c r="AA58" s="68">
        <f>IF(Z58=1,IF(U58="In",L58,L58-W58),0)</f>
        <v/>
      </c>
      <c r="AB58" s="68">
        <f>IF(Z58=1,IF(U58="In",L58-W58,L58),0)</f>
        <v/>
      </c>
      <c r="AC58" s="68">
        <f>IF(AND(Z58=1,U58="Out"),W58,0)</f>
        <v/>
      </c>
      <c r="AD58" s="68">
        <f>IF(AND(Z58=1,U58="In"),W58,0)</f>
        <v/>
      </c>
    </row>
    <row r="59">
      <c r="B59" s="62" t="inlineStr">
        <is>
          <t>TX-0053</t>
        </is>
      </c>
      <c r="C59" s="63" t="n">
        <v>46069</v>
      </c>
      <c r="D59" s="62" t="inlineStr">
        <is>
          <t>Bill Payment</t>
        </is>
      </c>
      <c r="E59" s="62" t="n"/>
      <c r="F59" s="62" t="inlineStr">
        <is>
          <t>Supplier payment</t>
        </is>
      </c>
      <c r="G59" s="62" t="n"/>
      <c r="H59" s="62" t="inlineStr">
        <is>
          <t>Golden Grain Flour Mill</t>
        </is>
      </c>
      <c r="I59" s="62" t="inlineStr">
        <is>
          <t>Bank Transfer</t>
        </is>
      </c>
      <c r="J59" s="62" t="inlineStr">
        <is>
          <t>GO-011</t>
        </is>
      </c>
      <c r="K59" s="62" t="inlineStr">
        <is>
          <t>Bank Account</t>
        </is>
      </c>
      <c r="L59" s="64" t="n">
        <v>44768.62</v>
      </c>
      <c r="M59" s="64" t="n"/>
      <c r="N59" s="62" t="n"/>
      <c r="O59" s="65">
        <f>IF(Z59=1,L59-W59,"")</f>
        <v/>
      </c>
      <c r="P59" s="66">
        <f>IF(V59="","",IFERROR(INDEX(coa_Type,MATCH(V59,coa_Name,0)),""))</f>
        <v/>
      </c>
      <c r="Q59" s="66">
        <f>IF(Z59=1,IF(U59="In",K59&amp;"",V59),"")</f>
        <v/>
      </c>
      <c r="R59" s="66">
        <f>IF(Z59=1,IF(U59="In",V59,K59&amp;""),"")</f>
        <v/>
      </c>
      <c r="S59" s="66">
        <f>IF(X59&lt;&gt;"","⛔ "&amp;X59&amp;" — not posted",IF(Y59&lt;&gt;"","⚠ "&amp;Y59,IF(Z59=1,"✓ OK","")))</f>
        <v/>
      </c>
      <c r="T59" s="67">
        <f>IF(AND(C59="",D59="",E59="",L59="",K59=""),1,0)</f>
        <v/>
      </c>
      <c r="U59" s="67">
        <f>IFERROR(INDEX(tt_Dir,MATCH(D59,tt_Type,0)),"")</f>
        <v/>
      </c>
      <c r="V59" s="67">
        <f>IF(D59="","",IFERROR(IF(INDEX(tt_Other,MATCH(D59,tt_Type,0))="",E59&amp;"",INDEX(tt_Other,MATCH(D59,tt_Type,0))),""))</f>
        <v/>
      </c>
      <c r="W59" s="68">
        <f>IF(OR(TaxOn&lt;&gt;"Yes",NOT(ISNUMBER(M59))),0,IF(IFERROR(INDEX(tt_Tax,MATCH(D59,tt_Type,0)),"No")="Yes",M59,0))</f>
        <v/>
      </c>
      <c r="X59" s="67">
        <f>IF(T59=1,"",IF(C59="","Missing transaction date",IF(NOT(ISNUMBER(C59)),"Invalid date",IF(OR(C59&lt;DATE(2000,1,1),C59&gt;DATE(2099,12,31)),"Invalid date",IF(D59="","Select a type",IF(U59="","Unknown type: "&amp;D59,IF(V59="","Select an account (Category)",IF(ISNA(MATCH(V59,coa_Name,0)),"Unknown account: "&amp;V59,IF(K59="","Select Paid From / Deposited To",IF(ISNA(MATCH(K59,coa_Name,0)),"Unknown account: "&amp;K59,IF(NOT(ISNUMBER(L59)),"Enter an amount",IF(L59=0,"Enter an amount",IF(ABS(W59)&gt;ABS(L59),"Tax is larger than the amount","")))))))))))))</f>
        <v/>
      </c>
      <c r="Y59" s="67">
        <f>IF(OR(T59=1,X59&lt;&gt;""),"",IF(AND(B59&lt;&gt;"",COUNTIF(tx_ID,B59)&gt;1),"Duplicate transaction ID",IF(AND(L59&lt;0,D59&lt;&gt;"Adjustment"),"Negative amount — check this entry",IF(AND(D59="Customer Payment",G59=""),"Add the customer",IF(AND(D59="Customer Payment",OR(J59="",COUNTIF(ar_No,J59&amp;"")=0)),"Invoice # in Reference not found on AR sheet",IF(AND(D59="Bill Payment",H59=""),"Add the vendor",IF(AND(D59="Bill Payment",OR(J59="",COUNTIFS(ap_No,J59&amp;"",ap_Party,H59&amp;"")=0)),"Bill # + vendor not found on AP sheet",IF(AND(ISNUMBER(M59),N(M59)&lt;&gt;0,W59=0),"Tax ignored (tax tracking off, or not allowed for this type)",IF(V59=K59&amp;"","Same account on both sides",IF(AND(ISNUMBER(StartDate),C59&lt;StartDate),"Date is before the accounting start date",IF(AND(D59&lt;&gt;"Adjustment",IFERROR(INDEX(coa_Pay,MATCH(K59&amp;"",coa_Name,0)),"")&lt;&gt;"Yes"),"Paid From / Deposited To is not a payment account","")))))))))))</f>
        <v/>
      </c>
      <c r="Z59" s="67">
        <f>IF(AND(T59=0,X59=""),1,0)</f>
        <v/>
      </c>
      <c r="AA59" s="68">
        <f>IF(Z59=1,IF(U59="In",L59,L59-W59),0)</f>
        <v/>
      </c>
      <c r="AB59" s="68">
        <f>IF(Z59=1,IF(U59="In",L59-W59,L59),0)</f>
        <v/>
      </c>
      <c r="AC59" s="68">
        <f>IF(AND(Z59=1,U59="Out"),W59,0)</f>
        <v/>
      </c>
      <c r="AD59" s="68">
        <f>IF(AND(Z59=1,U59="In"),W59,0)</f>
        <v/>
      </c>
    </row>
    <row r="60">
      <c r="B60" s="62" t="inlineStr">
        <is>
          <t>TX-0054</t>
        </is>
      </c>
      <c r="C60" s="63" t="n">
        <v>46070</v>
      </c>
      <c r="D60" s="62" t="inlineStr">
        <is>
          <t>Bill Payment</t>
        </is>
      </c>
      <c r="E60" s="62" t="n"/>
      <c r="F60" s="62" t="inlineStr">
        <is>
          <t>Supplier payment</t>
        </is>
      </c>
      <c r="G60" s="62" t="n"/>
      <c r="H60" s="62" t="inlineStr">
        <is>
          <t>PackRight Supplies</t>
        </is>
      </c>
      <c r="I60" s="62" t="inlineStr">
        <is>
          <t>Bank Transfer</t>
        </is>
      </c>
      <c r="J60" s="62" t="inlineStr">
        <is>
          <t>PA-011</t>
        </is>
      </c>
      <c r="K60" s="62" t="inlineStr">
        <is>
          <t>Bank Account</t>
        </is>
      </c>
      <c r="L60" s="64" t="n">
        <v>9618.83</v>
      </c>
      <c r="M60" s="64" t="n"/>
      <c r="N60" s="62" t="n"/>
      <c r="O60" s="65">
        <f>IF(Z60=1,L60-W60,"")</f>
        <v/>
      </c>
      <c r="P60" s="66">
        <f>IF(V60="","",IFERROR(INDEX(coa_Type,MATCH(V60,coa_Name,0)),""))</f>
        <v/>
      </c>
      <c r="Q60" s="66">
        <f>IF(Z60=1,IF(U60="In",K60&amp;"",V60),"")</f>
        <v/>
      </c>
      <c r="R60" s="66">
        <f>IF(Z60=1,IF(U60="In",V60,K60&amp;""),"")</f>
        <v/>
      </c>
      <c r="S60" s="66">
        <f>IF(X60&lt;&gt;"","⛔ "&amp;X60&amp;" — not posted",IF(Y60&lt;&gt;"","⚠ "&amp;Y60,IF(Z60=1,"✓ OK","")))</f>
        <v/>
      </c>
      <c r="T60" s="67">
        <f>IF(AND(C60="",D60="",E60="",L60="",K60=""),1,0)</f>
        <v/>
      </c>
      <c r="U60" s="67">
        <f>IFERROR(INDEX(tt_Dir,MATCH(D60,tt_Type,0)),"")</f>
        <v/>
      </c>
      <c r="V60" s="67">
        <f>IF(D60="","",IFERROR(IF(INDEX(tt_Other,MATCH(D60,tt_Type,0))="",E60&amp;"",INDEX(tt_Other,MATCH(D60,tt_Type,0))),""))</f>
        <v/>
      </c>
      <c r="W60" s="68">
        <f>IF(OR(TaxOn&lt;&gt;"Yes",NOT(ISNUMBER(M60))),0,IF(IFERROR(INDEX(tt_Tax,MATCH(D60,tt_Type,0)),"No")="Yes",M60,0))</f>
        <v/>
      </c>
      <c r="X60" s="67">
        <f>IF(T60=1,"",IF(C60="","Missing transaction date",IF(NOT(ISNUMBER(C60)),"Invalid date",IF(OR(C60&lt;DATE(2000,1,1),C60&gt;DATE(2099,12,31)),"Invalid date",IF(D60="","Select a type",IF(U60="","Unknown type: "&amp;D60,IF(V60="","Select an account (Category)",IF(ISNA(MATCH(V60,coa_Name,0)),"Unknown account: "&amp;V60,IF(K60="","Select Paid From / Deposited To",IF(ISNA(MATCH(K60,coa_Name,0)),"Unknown account: "&amp;K60,IF(NOT(ISNUMBER(L60)),"Enter an amount",IF(L60=0,"Enter an amount",IF(ABS(W60)&gt;ABS(L60),"Tax is larger than the amount","")))))))))))))</f>
        <v/>
      </c>
      <c r="Y60" s="67">
        <f>IF(OR(T60=1,X60&lt;&gt;""),"",IF(AND(B60&lt;&gt;"",COUNTIF(tx_ID,B60)&gt;1),"Duplicate transaction ID",IF(AND(L60&lt;0,D60&lt;&gt;"Adjustment"),"Negative amount — check this entry",IF(AND(D60="Customer Payment",G60=""),"Add the customer",IF(AND(D60="Customer Payment",OR(J60="",COUNTIF(ar_No,J60&amp;"")=0)),"Invoice # in Reference not found on AR sheet",IF(AND(D60="Bill Payment",H60=""),"Add the vendor",IF(AND(D60="Bill Payment",OR(J60="",COUNTIFS(ap_No,J60&amp;"",ap_Party,H60&amp;"")=0)),"Bill # + vendor not found on AP sheet",IF(AND(ISNUMBER(M60),N(M60)&lt;&gt;0,W60=0),"Tax ignored (tax tracking off, or not allowed for this type)",IF(V60=K60&amp;"","Same account on both sides",IF(AND(ISNUMBER(StartDate),C60&lt;StartDate),"Date is before the accounting start date",IF(AND(D60&lt;&gt;"Adjustment",IFERROR(INDEX(coa_Pay,MATCH(K60&amp;"",coa_Name,0)),"")&lt;&gt;"Yes"),"Paid From / Deposited To is not a payment account","")))))))))))</f>
        <v/>
      </c>
      <c r="Z60" s="67">
        <f>IF(AND(T60=0,X60=""),1,0)</f>
        <v/>
      </c>
      <c r="AA60" s="68">
        <f>IF(Z60=1,IF(U60="In",L60,L60-W60),0)</f>
        <v/>
      </c>
      <c r="AB60" s="68">
        <f>IF(Z60=1,IF(U60="In",L60-W60,L60),0)</f>
        <v/>
      </c>
      <c r="AC60" s="68">
        <f>IF(AND(Z60=1,U60="Out"),W60,0)</f>
        <v/>
      </c>
      <c r="AD60" s="68">
        <f>IF(AND(Z60=1,U60="In"),W60,0)</f>
        <v/>
      </c>
    </row>
    <row r="61">
      <c r="B61" s="62" t="inlineStr">
        <is>
          <t>TX-0055</t>
        </is>
      </c>
      <c r="C61" s="63" t="n">
        <v>46071</v>
      </c>
      <c r="D61" s="62" t="inlineStr">
        <is>
          <t>Money In</t>
        </is>
      </c>
      <c r="E61" s="62" t="inlineStr">
        <is>
          <t>Product Sales</t>
        </is>
      </c>
      <c r="F61" s="62" t="inlineStr">
        <is>
          <t>Counter sales week 3</t>
        </is>
      </c>
      <c r="G61" s="62" t="n"/>
      <c r="H61" s="62" t="n"/>
      <c r="I61" s="62" t="inlineStr">
        <is>
          <t>Cash</t>
        </is>
      </c>
      <c r="J61" s="62" t="n"/>
      <c r="K61" s="62" t="inlineStr">
        <is>
          <t>Cash on Hand</t>
        </is>
      </c>
      <c r="L61" s="64" t="n">
        <v>49252.74</v>
      </c>
      <c r="M61" s="64" t="n">
        <v>5277.08</v>
      </c>
      <c r="N61" s="62" t="n"/>
      <c r="O61" s="65">
        <f>IF(Z61=1,L61-W61,"")</f>
        <v/>
      </c>
      <c r="P61" s="66">
        <f>IF(V61="","",IFERROR(INDEX(coa_Type,MATCH(V61,coa_Name,0)),""))</f>
        <v/>
      </c>
      <c r="Q61" s="66">
        <f>IF(Z61=1,IF(U61="In",K61&amp;"",V61),"")</f>
        <v/>
      </c>
      <c r="R61" s="66">
        <f>IF(Z61=1,IF(U61="In",V61,K61&amp;""),"")</f>
        <v/>
      </c>
      <c r="S61" s="66">
        <f>IF(X61&lt;&gt;"","⛔ "&amp;X61&amp;" — not posted",IF(Y61&lt;&gt;"","⚠ "&amp;Y61,IF(Z61=1,"✓ OK","")))</f>
        <v/>
      </c>
      <c r="T61" s="67">
        <f>IF(AND(C61="",D61="",E61="",L61="",K61=""),1,0)</f>
        <v/>
      </c>
      <c r="U61" s="67">
        <f>IFERROR(INDEX(tt_Dir,MATCH(D61,tt_Type,0)),"")</f>
        <v/>
      </c>
      <c r="V61" s="67">
        <f>IF(D61="","",IFERROR(IF(INDEX(tt_Other,MATCH(D61,tt_Type,0))="",E61&amp;"",INDEX(tt_Other,MATCH(D61,tt_Type,0))),""))</f>
        <v/>
      </c>
      <c r="W61" s="68">
        <f>IF(OR(TaxOn&lt;&gt;"Yes",NOT(ISNUMBER(M61))),0,IF(IFERROR(INDEX(tt_Tax,MATCH(D61,tt_Type,0)),"No")="Yes",M61,0))</f>
        <v/>
      </c>
      <c r="X61" s="67">
        <f>IF(T61=1,"",IF(C61="","Missing transaction date",IF(NOT(ISNUMBER(C61)),"Invalid date",IF(OR(C61&lt;DATE(2000,1,1),C61&gt;DATE(2099,12,31)),"Invalid date",IF(D61="","Select a type",IF(U61="","Unknown type: "&amp;D61,IF(V61="","Select an account (Category)",IF(ISNA(MATCH(V61,coa_Name,0)),"Unknown account: "&amp;V61,IF(K61="","Select Paid From / Deposited To",IF(ISNA(MATCH(K61,coa_Name,0)),"Unknown account: "&amp;K61,IF(NOT(ISNUMBER(L61)),"Enter an amount",IF(L61=0,"Enter an amount",IF(ABS(W61)&gt;ABS(L61),"Tax is larger than the amount","")))))))))))))</f>
        <v/>
      </c>
      <c r="Y61" s="67">
        <f>IF(OR(T61=1,X61&lt;&gt;""),"",IF(AND(B61&lt;&gt;"",COUNTIF(tx_ID,B61)&gt;1),"Duplicate transaction ID",IF(AND(L61&lt;0,D61&lt;&gt;"Adjustment"),"Negative amount — check this entry",IF(AND(D61="Customer Payment",G61=""),"Add the customer",IF(AND(D61="Customer Payment",OR(J61="",COUNTIF(ar_No,J61&amp;"")=0)),"Invoice # in Reference not found on AR sheet",IF(AND(D61="Bill Payment",H61=""),"Add the vendor",IF(AND(D61="Bill Payment",OR(J61="",COUNTIFS(ap_No,J61&amp;"",ap_Party,H61&amp;"")=0)),"Bill # + vendor not found on AP sheet",IF(AND(ISNUMBER(M61),N(M61)&lt;&gt;0,W61=0),"Tax ignored (tax tracking off, or not allowed for this type)",IF(V61=K61&amp;"","Same account on both sides",IF(AND(ISNUMBER(StartDate),C61&lt;StartDate),"Date is before the accounting start date",IF(AND(D61&lt;&gt;"Adjustment",IFERROR(INDEX(coa_Pay,MATCH(K61&amp;"",coa_Name,0)),"")&lt;&gt;"Yes"),"Paid From / Deposited To is not a payment account","")))))))))))</f>
        <v/>
      </c>
      <c r="Z61" s="67">
        <f>IF(AND(T61=0,X61=""),1,0)</f>
        <v/>
      </c>
      <c r="AA61" s="68">
        <f>IF(Z61=1,IF(U61="In",L61,L61-W61),0)</f>
        <v/>
      </c>
      <c r="AB61" s="68">
        <f>IF(Z61=1,IF(U61="In",L61-W61,L61),0)</f>
        <v/>
      </c>
      <c r="AC61" s="68">
        <f>IF(AND(Z61=1,U61="Out"),W61,0)</f>
        <v/>
      </c>
      <c r="AD61" s="68">
        <f>IF(AND(Z61=1,U61="In"),W61,0)</f>
        <v/>
      </c>
    </row>
    <row r="62">
      <c r="B62" s="62" t="inlineStr">
        <is>
          <t>TX-0056</t>
        </is>
      </c>
      <c r="C62" s="63" t="n">
        <v>46072</v>
      </c>
      <c r="D62" s="62" t="inlineStr">
        <is>
          <t>Money In</t>
        </is>
      </c>
      <c r="E62" s="62" t="inlineStr">
        <is>
          <t>Product Sales</t>
        </is>
      </c>
      <c r="F62" s="62" t="inlineStr">
        <is>
          <t>GCash / online orders week 3</t>
        </is>
      </c>
      <c r="G62" s="62" t="n"/>
      <c r="H62" s="62" t="n"/>
      <c r="I62" s="62" t="inlineStr">
        <is>
          <t>E-Wallet</t>
        </is>
      </c>
      <c r="J62" s="62" t="n"/>
      <c r="K62" s="62" t="inlineStr">
        <is>
          <t>E-Wallet / Online Payments</t>
        </is>
      </c>
      <c r="L62" s="64" t="n">
        <v>14327.04</v>
      </c>
      <c r="M62" s="64" t="n">
        <v>1535.04</v>
      </c>
      <c r="N62" s="62" t="n"/>
      <c r="O62" s="65">
        <f>IF(Z62=1,L62-W62,"")</f>
        <v/>
      </c>
      <c r="P62" s="66">
        <f>IF(V62="","",IFERROR(INDEX(coa_Type,MATCH(V62,coa_Name,0)),""))</f>
        <v/>
      </c>
      <c r="Q62" s="66">
        <f>IF(Z62=1,IF(U62="In",K62&amp;"",V62),"")</f>
        <v/>
      </c>
      <c r="R62" s="66">
        <f>IF(Z62=1,IF(U62="In",V62,K62&amp;""),"")</f>
        <v/>
      </c>
      <c r="S62" s="66">
        <f>IF(X62&lt;&gt;"","⛔ "&amp;X62&amp;" — not posted",IF(Y62&lt;&gt;"","⚠ "&amp;Y62,IF(Z62=1,"✓ OK","")))</f>
        <v/>
      </c>
      <c r="T62" s="67">
        <f>IF(AND(C62="",D62="",E62="",L62="",K62=""),1,0)</f>
        <v/>
      </c>
      <c r="U62" s="67">
        <f>IFERROR(INDEX(tt_Dir,MATCH(D62,tt_Type,0)),"")</f>
        <v/>
      </c>
      <c r="V62" s="67">
        <f>IF(D62="","",IFERROR(IF(INDEX(tt_Other,MATCH(D62,tt_Type,0))="",E62&amp;"",INDEX(tt_Other,MATCH(D62,tt_Type,0))),""))</f>
        <v/>
      </c>
      <c r="W62" s="68">
        <f>IF(OR(TaxOn&lt;&gt;"Yes",NOT(ISNUMBER(M62))),0,IF(IFERROR(INDEX(tt_Tax,MATCH(D62,tt_Type,0)),"No")="Yes",M62,0))</f>
        <v/>
      </c>
      <c r="X62" s="67">
        <f>IF(T62=1,"",IF(C62="","Missing transaction date",IF(NOT(ISNUMBER(C62)),"Invalid date",IF(OR(C62&lt;DATE(2000,1,1),C62&gt;DATE(2099,12,31)),"Invalid date",IF(D62="","Select a type",IF(U62="","Unknown type: "&amp;D62,IF(V62="","Select an account (Category)",IF(ISNA(MATCH(V62,coa_Name,0)),"Unknown account: "&amp;V62,IF(K62="","Select Paid From / Deposited To",IF(ISNA(MATCH(K62,coa_Name,0)),"Unknown account: "&amp;K62,IF(NOT(ISNUMBER(L62)),"Enter an amount",IF(L62=0,"Enter an amount",IF(ABS(W62)&gt;ABS(L62),"Tax is larger than the amount","")))))))))))))</f>
        <v/>
      </c>
      <c r="Y62" s="67">
        <f>IF(OR(T62=1,X62&lt;&gt;""),"",IF(AND(B62&lt;&gt;"",COUNTIF(tx_ID,B62)&gt;1),"Duplicate transaction ID",IF(AND(L62&lt;0,D62&lt;&gt;"Adjustment"),"Negative amount — check this entry",IF(AND(D62="Customer Payment",G62=""),"Add the customer",IF(AND(D62="Customer Payment",OR(J62="",COUNTIF(ar_No,J62&amp;"")=0)),"Invoice # in Reference not found on AR sheet",IF(AND(D62="Bill Payment",H62=""),"Add the vendor",IF(AND(D62="Bill Payment",OR(J62="",COUNTIFS(ap_No,J62&amp;"",ap_Party,H62&amp;"")=0)),"Bill # + vendor not found on AP sheet",IF(AND(ISNUMBER(M62),N(M62)&lt;&gt;0,W62=0),"Tax ignored (tax tracking off, or not allowed for this type)",IF(V62=K62&amp;"","Same account on both sides",IF(AND(ISNUMBER(StartDate),C62&lt;StartDate),"Date is before the accounting start date",IF(AND(D62&lt;&gt;"Adjustment",IFERROR(INDEX(coa_Pay,MATCH(K62&amp;"",coa_Name,0)),"")&lt;&gt;"Yes"),"Paid From / Deposited To is not a payment account","")))))))))))</f>
        <v/>
      </c>
      <c r="Z62" s="67">
        <f>IF(AND(T62=0,X62=""),1,0)</f>
        <v/>
      </c>
      <c r="AA62" s="68">
        <f>IF(Z62=1,IF(U62="In",L62,L62-W62),0)</f>
        <v/>
      </c>
      <c r="AB62" s="68">
        <f>IF(Z62=1,IF(U62="In",L62-W62,L62),0)</f>
        <v/>
      </c>
      <c r="AC62" s="68">
        <f>IF(AND(Z62=1,U62="Out"),W62,0)</f>
        <v/>
      </c>
      <c r="AD62" s="68">
        <f>IF(AND(Z62=1,U62="In"),W62,0)</f>
        <v/>
      </c>
    </row>
    <row r="63">
      <c r="B63" s="62" t="inlineStr">
        <is>
          <t>TX-0057</t>
        </is>
      </c>
      <c r="C63" s="63" t="n">
        <v>46073</v>
      </c>
      <c r="D63" s="62" t="inlineStr">
        <is>
          <t>Transfer</t>
        </is>
      </c>
      <c r="E63" s="62" t="inlineStr">
        <is>
          <t>Bank Account</t>
        </is>
      </c>
      <c r="F63" s="62" t="inlineStr">
        <is>
          <t>Cash deposit to bank</t>
        </is>
      </c>
      <c r="G63" s="62" t="n"/>
      <c r="H63" s="62" t="n"/>
      <c r="I63" s="62" t="inlineStr">
        <is>
          <t>Cash</t>
        </is>
      </c>
      <c r="J63" s="62" t="n"/>
      <c r="K63" s="62" t="inlineStr">
        <is>
          <t>Cash on Hand</t>
        </is>
      </c>
      <c r="L63" s="64" t="n">
        <v>41900</v>
      </c>
      <c r="M63" s="64" t="n"/>
      <c r="N63" s="62" t="n"/>
      <c r="O63" s="65">
        <f>IF(Z63=1,L63-W63,"")</f>
        <v/>
      </c>
      <c r="P63" s="66">
        <f>IF(V63="","",IFERROR(INDEX(coa_Type,MATCH(V63,coa_Name,0)),""))</f>
        <v/>
      </c>
      <c r="Q63" s="66">
        <f>IF(Z63=1,IF(U63="In",K63&amp;"",V63),"")</f>
        <v/>
      </c>
      <c r="R63" s="66">
        <f>IF(Z63=1,IF(U63="In",V63,K63&amp;""),"")</f>
        <v/>
      </c>
      <c r="S63" s="66">
        <f>IF(X63&lt;&gt;"","⛔ "&amp;X63&amp;" — not posted",IF(Y63&lt;&gt;"","⚠ "&amp;Y63,IF(Z63=1,"✓ OK","")))</f>
        <v/>
      </c>
      <c r="T63" s="67">
        <f>IF(AND(C63="",D63="",E63="",L63="",K63=""),1,0)</f>
        <v/>
      </c>
      <c r="U63" s="67">
        <f>IFERROR(INDEX(tt_Dir,MATCH(D63,tt_Type,0)),"")</f>
        <v/>
      </c>
      <c r="V63" s="67">
        <f>IF(D63="","",IFERROR(IF(INDEX(tt_Other,MATCH(D63,tt_Type,0))="",E63&amp;"",INDEX(tt_Other,MATCH(D63,tt_Type,0))),""))</f>
        <v/>
      </c>
      <c r="W63" s="68">
        <f>IF(OR(TaxOn&lt;&gt;"Yes",NOT(ISNUMBER(M63))),0,IF(IFERROR(INDEX(tt_Tax,MATCH(D63,tt_Type,0)),"No")="Yes",M63,0))</f>
        <v/>
      </c>
      <c r="X63" s="67">
        <f>IF(T63=1,"",IF(C63="","Missing transaction date",IF(NOT(ISNUMBER(C63)),"Invalid date",IF(OR(C63&lt;DATE(2000,1,1),C63&gt;DATE(2099,12,31)),"Invalid date",IF(D63="","Select a type",IF(U63="","Unknown type: "&amp;D63,IF(V63="","Select an account (Category)",IF(ISNA(MATCH(V63,coa_Name,0)),"Unknown account: "&amp;V63,IF(K63="","Select Paid From / Deposited To",IF(ISNA(MATCH(K63,coa_Name,0)),"Unknown account: "&amp;K63,IF(NOT(ISNUMBER(L63)),"Enter an amount",IF(L63=0,"Enter an amount",IF(ABS(W63)&gt;ABS(L63),"Tax is larger than the amount","")))))))))))))</f>
        <v/>
      </c>
      <c r="Y63" s="67">
        <f>IF(OR(T63=1,X63&lt;&gt;""),"",IF(AND(B63&lt;&gt;"",COUNTIF(tx_ID,B63)&gt;1),"Duplicate transaction ID",IF(AND(L63&lt;0,D63&lt;&gt;"Adjustment"),"Negative amount — check this entry",IF(AND(D63="Customer Payment",G63=""),"Add the customer",IF(AND(D63="Customer Payment",OR(J63="",COUNTIF(ar_No,J63&amp;"")=0)),"Invoice # in Reference not found on AR sheet",IF(AND(D63="Bill Payment",H63=""),"Add the vendor",IF(AND(D63="Bill Payment",OR(J63="",COUNTIFS(ap_No,J63&amp;"",ap_Party,H63&amp;"")=0)),"Bill # + vendor not found on AP sheet",IF(AND(ISNUMBER(M63),N(M63)&lt;&gt;0,W63=0),"Tax ignored (tax tracking off, or not allowed for this type)",IF(V63=K63&amp;"","Same account on both sides",IF(AND(ISNUMBER(StartDate),C63&lt;StartDate),"Date is before the accounting start date",IF(AND(D63&lt;&gt;"Adjustment",IFERROR(INDEX(coa_Pay,MATCH(K63&amp;"",coa_Name,0)),"")&lt;&gt;"Yes"),"Paid From / Deposited To is not a payment account","")))))))))))</f>
        <v/>
      </c>
      <c r="Z63" s="67">
        <f>IF(AND(T63=0,X63=""),1,0)</f>
        <v/>
      </c>
      <c r="AA63" s="68">
        <f>IF(Z63=1,IF(U63="In",L63,L63-W63),0)</f>
        <v/>
      </c>
      <c r="AB63" s="68">
        <f>IF(Z63=1,IF(U63="In",L63-W63,L63),0)</f>
        <v/>
      </c>
      <c r="AC63" s="68">
        <f>IF(AND(Z63=1,U63="Out"),W63,0)</f>
        <v/>
      </c>
      <c r="AD63" s="68">
        <f>IF(AND(Z63=1,U63="In"),W63,0)</f>
        <v/>
      </c>
    </row>
    <row r="64">
      <c r="B64" s="62" t="inlineStr">
        <is>
          <t>TX-0058</t>
        </is>
      </c>
      <c r="C64" s="63" t="n">
        <v>46073</v>
      </c>
      <c r="D64" s="62" t="inlineStr">
        <is>
          <t>Money Out</t>
        </is>
      </c>
      <c r="E64" s="62" t="inlineStr">
        <is>
          <t>Transportation &amp; Delivery</t>
        </is>
      </c>
      <c r="F64" s="62" t="inlineStr">
        <is>
          <t>Delivery fuel</t>
        </is>
      </c>
      <c r="G64" s="62" t="n"/>
      <c r="H64" s="62" t="n"/>
      <c r="I64" s="62" t="inlineStr">
        <is>
          <t>Cash</t>
        </is>
      </c>
      <c r="J64" s="62" t="n"/>
      <c r="K64" s="62" t="inlineStr">
        <is>
          <t>Cash on Hand</t>
        </is>
      </c>
      <c r="L64" s="64" t="n">
        <v>4752.29</v>
      </c>
      <c r="M64" s="64" t="n">
        <v>509.17</v>
      </c>
      <c r="N64" s="62" t="n"/>
      <c r="O64" s="65">
        <f>IF(Z64=1,L64-W64,"")</f>
        <v/>
      </c>
      <c r="P64" s="66">
        <f>IF(V64="","",IFERROR(INDEX(coa_Type,MATCH(V64,coa_Name,0)),""))</f>
        <v/>
      </c>
      <c r="Q64" s="66">
        <f>IF(Z64=1,IF(U64="In",K64&amp;"",V64),"")</f>
        <v/>
      </c>
      <c r="R64" s="66">
        <f>IF(Z64=1,IF(U64="In",V64,K64&amp;""),"")</f>
        <v/>
      </c>
      <c r="S64" s="66">
        <f>IF(X64&lt;&gt;"","⛔ "&amp;X64&amp;" — not posted",IF(Y64&lt;&gt;"","⚠ "&amp;Y64,IF(Z64=1,"✓ OK","")))</f>
        <v/>
      </c>
      <c r="T64" s="67">
        <f>IF(AND(C64="",D64="",E64="",L64="",K64=""),1,0)</f>
        <v/>
      </c>
      <c r="U64" s="67">
        <f>IFERROR(INDEX(tt_Dir,MATCH(D64,tt_Type,0)),"")</f>
        <v/>
      </c>
      <c r="V64" s="67">
        <f>IF(D64="","",IFERROR(IF(INDEX(tt_Other,MATCH(D64,tt_Type,0))="",E64&amp;"",INDEX(tt_Other,MATCH(D64,tt_Type,0))),""))</f>
        <v/>
      </c>
      <c r="W64" s="68">
        <f>IF(OR(TaxOn&lt;&gt;"Yes",NOT(ISNUMBER(M64))),0,IF(IFERROR(INDEX(tt_Tax,MATCH(D64,tt_Type,0)),"No")="Yes",M64,0))</f>
        <v/>
      </c>
      <c r="X64" s="67">
        <f>IF(T64=1,"",IF(C64="","Missing transaction date",IF(NOT(ISNUMBER(C64)),"Invalid date",IF(OR(C64&lt;DATE(2000,1,1),C64&gt;DATE(2099,12,31)),"Invalid date",IF(D64="","Select a type",IF(U64="","Unknown type: "&amp;D64,IF(V64="","Select an account (Category)",IF(ISNA(MATCH(V64,coa_Name,0)),"Unknown account: "&amp;V64,IF(K64="","Select Paid From / Deposited To",IF(ISNA(MATCH(K64,coa_Name,0)),"Unknown account: "&amp;K64,IF(NOT(ISNUMBER(L64)),"Enter an amount",IF(L64=0,"Enter an amount",IF(ABS(W64)&gt;ABS(L64),"Tax is larger than the amount","")))))))))))))</f>
        <v/>
      </c>
      <c r="Y64" s="67">
        <f>IF(OR(T64=1,X64&lt;&gt;""),"",IF(AND(B64&lt;&gt;"",COUNTIF(tx_ID,B64)&gt;1),"Duplicate transaction ID",IF(AND(L64&lt;0,D64&lt;&gt;"Adjustment"),"Negative amount — check this entry",IF(AND(D64="Customer Payment",G64=""),"Add the customer",IF(AND(D64="Customer Payment",OR(J64="",COUNTIF(ar_No,J64&amp;"")=0)),"Invoice # in Reference not found on AR sheet",IF(AND(D64="Bill Payment",H64=""),"Add the vendor",IF(AND(D64="Bill Payment",OR(J64="",COUNTIFS(ap_No,J64&amp;"",ap_Party,H64&amp;"")=0)),"Bill # + vendor not found on AP sheet",IF(AND(ISNUMBER(M64),N(M64)&lt;&gt;0,W64=0),"Tax ignored (tax tracking off, or not allowed for this type)",IF(V64=K64&amp;"","Same account on both sides",IF(AND(ISNUMBER(StartDate),C64&lt;StartDate),"Date is before the accounting start date",IF(AND(D64&lt;&gt;"Adjustment",IFERROR(INDEX(coa_Pay,MATCH(K64&amp;"",coa_Name,0)),"")&lt;&gt;"Yes"),"Paid From / Deposited To is not a payment account","")))))))))))</f>
        <v/>
      </c>
      <c r="Z64" s="67">
        <f>IF(AND(T64=0,X64=""),1,0)</f>
        <v/>
      </c>
      <c r="AA64" s="68">
        <f>IF(Z64=1,IF(U64="In",L64,L64-W64),0)</f>
        <v/>
      </c>
      <c r="AB64" s="68">
        <f>IF(Z64=1,IF(U64="In",L64-W64,L64),0)</f>
        <v/>
      </c>
      <c r="AC64" s="68">
        <f>IF(AND(Z64=1,U64="Out"),W64,0)</f>
        <v/>
      </c>
      <c r="AD64" s="68">
        <f>IF(AND(Z64=1,U64="In"),W64,0)</f>
        <v/>
      </c>
    </row>
    <row r="65">
      <c r="B65" s="62" t="inlineStr">
        <is>
          <t>TX-0059</t>
        </is>
      </c>
      <c r="C65" s="63" t="n">
        <v>46075</v>
      </c>
      <c r="D65" s="62" t="inlineStr">
        <is>
          <t>Customer Payment</t>
        </is>
      </c>
      <c r="E65" s="62" t="n"/>
      <c r="F65" s="62" t="inlineStr">
        <is>
          <t>Invoice payment</t>
        </is>
      </c>
      <c r="G65" s="62" t="inlineStr">
        <is>
          <t>Brightpath Academy</t>
        </is>
      </c>
      <c r="H65" s="62" t="n"/>
      <c r="I65" s="62" t="inlineStr">
        <is>
          <t>Bank Transfer</t>
        </is>
      </c>
      <c r="J65" s="62" t="inlineStr">
        <is>
          <t>INV-1005</t>
        </is>
      </c>
      <c r="K65" s="62" t="inlineStr">
        <is>
          <t>Bank Account</t>
        </is>
      </c>
      <c r="L65" s="64" t="n">
        <v>21310.46</v>
      </c>
      <c r="M65" s="64" t="n"/>
      <c r="N65" s="62" t="n"/>
      <c r="O65" s="65">
        <f>IF(Z65=1,L65-W65,"")</f>
        <v/>
      </c>
      <c r="P65" s="66">
        <f>IF(V65="","",IFERROR(INDEX(coa_Type,MATCH(V65,coa_Name,0)),""))</f>
        <v/>
      </c>
      <c r="Q65" s="66">
        <f>IF(Z65=1,IF(U65="In",K65&amp;"",V65),"")</f>
        <v/>
      </c>
      <c r="R65" s="66">
        <f>IF(Z65=1,IF(U65="In",V65,K65&amp;""),"")</f>
        <v/>
      </c>
      <c r="S65" s="66">
        <f>IF(X65&lt;&gt;"","⛔ "&amp;X65&amp;" — not posted",IF(Y65&lt;&gt;"","⚠ "&amp;Y65,IF(Z65=1,"✓ OK","")))</f>
        <v/>
      </c>
      <c r="T65" s="67">
        <f>IF(AND(C65="",D65="",E65="",L65="",K65=""),1,0)</f>
        <v/>
      </c>
      <c r="U65" s="67">
        <f>IFERROR(INDEX(tt_Dir,MATCH(D65,tt_Type,0)),"")</f>
        <v/>
      </c>
      <c r="V65" s="67">
        <f>IF(D65="","",IFERROR(IF(INDEX(tt_Other,MATCH(D65,tt_Type,0))="",E65&amp;"",INDEX(tt_Other,MATCH(D65,tt_Type,0))),""))</f>
        <v/>
      </c>
      <c r="W65" s="68">
        <f>IF(OR(TaxOn&lt;&gt;"Yes",NOT(ISNUMBER(M65))),0,IF(IFERROR(INDEX(tt_Tax,MATCH(D65,tt_Type,0)),"No")="Yes",M65,0))</f>
        <v/>
      </c>
      <c r="X65" s="67">
        <f>IF(T65=1,"",IF(C65="","Missing transaction date",IF(NOT(ISNUMBER(C65)),"Invalid date",IF(OR(C65&lt;DATE(2000,1,1),C65&gt;DATE(2099,12,31)),"Invalid date",IF(D65="","Select a type",IF(U65="","Unknown type: "&amp;D65,IF(V65="","Select an account (Category)",IF(ISNA(MATCH(V65,coa_Name,0)),"Unknown account: "&amp;V65,IF(K65="","Select Paid From / Deposited To",IF(ISNA(MATCH(K65,coa_Name,0)),"Unknown account: "&amp;K65,IF(NOT(ISNUMBER(L65)),"Enter an amount",IF(L65=0,"Enter an amount",IF(ABS(W65)&gt;ABS(L65),"Tax is larger than the amount","")))))))))))))</f>
        <v/>
      </c>
      <c r="Y65" s="67">
        <f>IF(OR(T65=1,X65&lt;&gt;""),"",IF(AND(B65&lt;&gt;"",COUNTIF(tx_ID,B65)&gt;1),"Duplicate transaction ID",IF(AND(L65&lt;0,D65&lt;&gt;"Adjustment"),"Negative amount — check this entry",IF(AND(D65="Customer Payment",G65=""),"Add the customer",IF(AND(D65="Customer Payment",OR(J65="",COUNTIF(ar_No,J65&amp;"")=0)),"Invoice # in Reference not found on AR sheet",IF(AND(D65="Bill Payment",H65=""),"Add the vendor",IF(AND(D65="Bill Payment",OR(J65="",COUNTIFS(ap_No,J65&amp;"",ap_Party,H65&amp;"")=0)),"Bill # + vendor not found on AP sheet",IF(AND(ISNUMBER(M65),N(M65)&lt;&gt;0,W65=0),"Tax ignored (tax tracking off, or not allowed for this type)",IF(V65=K65&amp;"","Same account on both sides",IF(AND(ISNUMBER(StartDate),C65&lt;StartDate),"Date is before the accounting start date",IF(AND(D65&lt;&gt;"Adjustment",IFERROR(INDEX(coa_Pay,MATCH(K65&amp;"",coa_Name,0)),"")&lt;&gt;"Yes"),"Paid From / Deposited To is not a payment account","")))))))))))</f>
        <v/>
      </c>
      <c r="Z65" s="67">
        <f>IF(AND(T65=0,X65=""),1,0)</f>
        <v/>
      </c>
      <c r="AA65" s="68">
        <f>IF(Z65=1,IF(U65="In",L65,L65-W65),0)</f>
        <v/>
      </c>
      <c r="AB65" s="68">
        <f>IF(Z65=1,IF(U65="In",L65-W65,L65),0)</f>
        <v/>
      </c>
      <c r="AC65" s="68">
        <f>IF(AND(Z65=1,U65="Out"),W65,0)</f>
        <v/>
      </c>
      <c r="AD65" s="68">
        <f>IF(AND(Z65=1,U65="In"),W65,0)</f>
        <v/>
      </c>
    </row>
    <row r="66">
      <c r="B66" s="62" t="inlineStr">
        <is>
          <t>TX-0060</t>
        </is>
      </c>
      <c r="C66" s="63" t="n">
        <v>46078</v>
      </c>
      <c r="D66" s="62" t="inlineStr">
        <is>
          <t>Customer Payment</t>
        </is>
      </c>
      <c r="E66" s="62" t="n"/>
      <c r="F66" s="62" t="inlineStr">
        <is>
          <t>Balance payment</t>
        </is>
      </c>
      <c r="G66" s="62" t="inlineStr">
        <is>
          <t>Brightpath Academy</t>
        </is>
      </c>
      <c r="H66" s="62" t="n"/>
      <c r="I66" s="62" t="inlineStr">
        <is>
          <t>Bank Transfer</t>
        </is>
      </c>
      <c r="J66" s="62" t="inlineStr">
        <is>
          <t>INV-1002</t>
        </is>
      </c>
      <c r="K66" s="62" t="inlineStr">
        <is>
          <t>Bank Account</t>
        </is>
      </c>
      <c r="L66" s="64" t="n">
        <v>20273.84</v>
      </c>
      <c r="M66" s="64" t="n"/>
      <c r="N66" s="62" t="n"/>
      <c r="O66" s="65">
        <f>IF(Z66=1,L66-W66,"")</f>
        <v/>
      </c>
      <c r="P66" s="66">
        <f>IF(V66="","",IFERROR(INDEX(coa_Type,MATCH(V66,coa_Name,0)),""))</f>
        <v/>
      </c>
      <c r="Q66" s="66">
        <f>IF(Z66=1,IF(U66="In",K66&amp;"",V66),"")</f>
        <v/>
      </c>
      <c r="R66" s="66">
        <f>IF(Z66=1,IF(U66="In",V66,K66&amp;""),"")</f>
        <v/>
      </c>
      <c r="S66" s="66">
        <f>IF(X66&lt;&gt;"","⛔ "&amp;X66&amp;" — not posted",IF(Y66&lt;&gt;"","⚠ "&amp;Y66,IF(Z66=1,"✓ OK","")))</f>
        <v/>
      </c>
      <c r="T66" s="67">
        <f>IF(AND(C66="",D66="",E66="",L66="",K66=""),1,0)</f>
        <v/>
      </c>
      <c r="U66" s="67">
        <f>IFERROR(INDEX(tt_Dir,MATCH(D66,tt_Type,0)),"")</f>
        <v/>
      </c>
      <c r="V66" s="67">
        <f>IF(D66="","",IFERROR(IF(INDEX(tt_Other,MATCH(D66,tt_Type,0))="",E66&amp;"",INDEX(tt_Other,MATCH(D66,tt_Type,0))),""))</f>
        <v/>
      </c>
      <c r="W66" s="68">
        <f>IF(OR(TaxOn&lt;&gt;"Yes",NOT(ISNUMBER(M66))),0,IF(IFERROR(INDEX(tt_Tax,MATCH(D66,tt_Type,0)),"No")="Yes",M66,0))</f>
        <v/>
      </c>
      <c r="X66" s="67">
        <f>IF(T66=1,"",IF(C66="","Missing transaction date",IF(NOT(ISNUMBER(C66)),"Invalid date",IF(OR(C66&lt;DATE(2000,1,1),C66&gt;DATE(2099,12,31)),"Invalid date",IF(D66="","Select a type",IF(U66="","Unknown type: "&amp;D66,IF(V66="","Select an account (Category)",IF(ISNA(MATCH(V66,coa_Name,0)),"Unknown account: "&amp;V66,IF(K66="","Select Paid From / Deposited To",IF(ISNA(MATCH(K66,coa_Name,0)),"Unknown account: "&amp;K66,IF(NOT(ISNUMBER(L66)),"Enter an amount",IF(L66=0,"Enter an amount",IF(ABS(W66)&gt;ABS(L66),"Tax is larger than the amount","")))))))))))))</f>
        <v/>
      </c>
      <c r="Y66" s="67">
        <f>IF(OR(T66=1,X66&lt;&gt;""),"",IF(AND(B66&lt;&gt;"",COUNTIF(tx_ID,B66)&gt;1),"Duplicate transaction ID",IF(AND(L66&lt;0,D66&lt;&gt;"Adjustment"),"Negative amount — check this entry",IF(AND(D66="Customer Payment",G66=""),"Add the customer",IF(AND(D66="Customer Payment",OR(J66="",COUNTIF(ar_No,J66&amp;"")=0)),"Invoice # in Reference not found on AR sheet",IF(AND(D66="Bill Payment",H66=""),"Add the vendor",IF(AND(D66="Bill Payment",OR(J66="",COUNTIFS(ap_No,J66&amp;"",ap_Party,H66&amp;"")=0)),"Bill # + vendor not found on AP sheet",IF(AND(ISNUMBER(M66),N(M66)&lt;&gt;0,W66=0),"Tax ignored (tax tracking off, or not allowed for this type)",IF(V66=K66&amp;"","Same account on both sides",IF(AND(ISNUMBER(StartDate),C66&lt;StartDate),"Date is before the accounting start date",IF(AND(D66&lt;&gt;"Adjustment",IFERROR(INDEX(coa_Pay,MATCH(K66&amp;"",coa_Name,0)),"")&lt;&gt;"Yes"),"Paid From / Deposited To is not a payment account","")))))))))))</f>
        <v/>
      </c>
      <c r="Z66" s="67">
        <f>IF(AND(T66=0,X66=""),1,0)</f>
        <v/>
      </c>
      <c r="AA66" s="68">
        <f>IF(Z66=1,IF(U66="In",L66,L66-W66),0)</f>
        <v/>
      </c>
      <c r="AB66" s="68">
        <f>IF(Z66=1,IF(U66="In",L66-W66,L66),0)</f>
        <v/>
      </c>
      <c r="AC66" s="68">
        <f>IF(AND(Z66=1,U66="Out"),W66,0)</f>
        <v/>
      </c>
      <c r="AD66" s="68">
        <f>IF(AND(Z66=1,U66="In"),W66,0)</f>
        <v/>
      </c>
    </row>
    <row r="67">
      <c r="B67" s="62" t="inlineStr">
        <is>
          <t>TX-0061</t>
        </is>
      </c>
      <c r="C67" s="63" t="n">
        <v>46078</v>
      </c>
      <c r="D67" s="62" t="inlineStr">
        <is>
          <t>Money In</t>
        </is>
      </c>
      <c r="E67" s="62" t="inlineStr">
        <is>
          <t>Product Sales</t>
        </is>
      </c>
      <c r="F67" s="62" t="inlineStr">
        <is>
          <t>Counter sales week 4</t>
        </is>
      </c>
      <c r="G67" s="62" t="n"/>
      <c r="H67" s="62" t="n"/>
      <c r="I67" s="62" t="inlineStr">
        <is>
          <t>Cash</t>
        </is>
      </c>
      <c r="J67" s="62" t="n"/>
      <c r="K67" s="62" t="inlineStr">
        <is>
          <t>Cash on Hand</t>
        </is>
      </c>
      <c r="L67" s="64" t="n">
        <v>55884.42</v>
      </c>
      <c r="M67" s="64" t="n">
        <v>5987.62</v>
      </c>
      <c r="N67" s="62" t="n"/>
      <c r="O67" s="65">
        <f>IF(Z67=1,L67-W67,"")</f>
        <v/>
      </c>
      <c r="P67" s="66">
        <f>IF(V67="","",IFERROR(INDEX(coa_Type,MATCH(V67,coa_Name,0)),""))</f>
        <v/>
      </c>
      <c r="Q67" s="66">
        <f>IF(Z67=1,IF(U67="In",K67&amp;"",V67),"")</f>
        <v/>
      </c>
      <c r="R67" s="66">
        <f>IF(Z67=1,IF(U67="In",V67,K67&amp;""),"")</f>
        <v/>
      </c>
      <c r="S67" s="66">
        <f>IF(X67&lt;&gt;"","⛔ "&amp;X67&amp;" — not posted",IF(Y67&lt;&gt;"","⚠ "&amp;Y67,IF(Z67=1,"✓ OK","")))</f>
        <v/>
      </c>
      <c r="T67" s="67">
        <f>IF(AND(C67="",D67="",E67="",L67="",K67=""),1,0)</f>
        <v/>
      </c>
      <c r="U67" s="67">
        <f>IFERROR(INDEX(tt_Dir,MATCH(D67,tt_Type,0)),"")</f>
        <v/>
      </c>
      <c r="V67" s="67">
        <f>IF(D67="","",IFERROR(IF(INDEX(tt_Other,MATCH(D67,tt_Type,0))="",E67&amp;"",INDEX(tt_Other,MATCH(D67,tt_Type,0))),""))</f>
        <v/>
      </c>
      <c r="W67" s="68">
        <f>IF(OR(TaxOn&lt;&gt;"Yes",NOT(ISNUMBER(M67))),0,IF(IFERROR(INDEX(tt_Tax,MATCH(D67,tt_Type,0)),"No")="Yes",M67,0))</f>
        <v/>
      </c>
      <c r="X67" s="67">
        <f>IF(T67=1,"",IF(C67="","Missing transaction date",IF(NOT(ISNUMBER(C67)),"Invalid date",IF(OR(C67&lt;DATE(2000,1,1),C67&gt;DATE(2099,12,31)),"Invalid date",IF(D67="","Select a type",IF(U67="","Unknown type: "&amp;D67,IF(V67="","Select an account (Category)",IF(ISNA(MATCH(V67,coa_Name,0)),"Unknown account: "&amp;V67,IF(K67="","Select Paid From / Deposited To",IF(ISNA(MATCH(K67,coa_Name,0)),"Unknown account: "&amp;K67,IF(NOT(ISNUMBER(L67)),"Enter an amount",IF(L67=0,"Enter an amount",IF(ABS(W67)&gt;ABS(L67),"Tax is larger than the amount","")))))))))))))</f>
        <v/>
      </c>
      <c r="Y67" s="67">
        <f>IF(OR(T67=1,X67&lt;&gt;""),"",IF(AND(B67&lt;&gt;"",COUNTIF(tx_ID,B67)&gt;1),"Duplicate transaction ID",IF(AND(L67&lt;0,D67&lt;&gt;"Adjustment"),"Negative amount — check this entry",IF(AND(D67="Customer Payment",G67=""),"Add the customer",IF(AND(D67="Customer Payment",OR(J67="",COUNTIF(ar_No,J67&amp;"")=0)),"Invoice # in Reference not found on AR sheet",IF(AND(D67="Bill Payment",H67=""),"Add the vendor",IF(AND(D67="Bill Payment",OR(J67="",COUNTIFS(ap_No,J67&amp;"",ap_Party,H67&amp;"")=0)),"Bill # + vendor not found on AP sheet",IF(AND(ISNUMBER(M67),N(M67)&lt;&gt;0,W67=0),"Tax ignored (tax tracking off, or not allowed for this type)",IF(V67=K67&amp;"","Same account on both sides",IF(AND(ISNUMBER(StartDate),C67&lt;StartDate),"Date is before the accounting start date",IF(AND(D67&lt;&gt;"Adjustment",IFERROR(INDEX(coa_Pay,MATCH(K67&amp;"",coa_Name,0)),"")&lt;&gt;"Yes"),"Paid From / Deposited To is not a payment account","")))))))))))</f>
        <v/>
      </c>
      <c r="Z67" s="67">
        <f>IF(AND(T67=0,X67=""),1,0)</f>
        <v/>
      </c>
      <c r="AA67" s="68">
        <f>IF(Z67=1,IF(U67="In",L67,L67-W67),0)</f>
        <v/>
      </c>
      <c r="AB67" s="68">
        <f>IF(Z67=1,IF(U67="In",L67-W67,L67),0)</f>
        <v/>
      </c>
      <c r="AC67" s="68">
        <f>IF(AND(Z67=1,U67="Out"),W67,0)</f>
        <v/>
      </c>
      <c r="AD67" s="68">
        <f>IF(AND(Z67=1,U67="In"),W67,0)</f>
        <v/>
      </c>
    </row>
    <row r="68">
      <c r="B68" s="62" t="inlineStr">
        <is>
          <t>TX-0062</t>
        </is>
      </c>
      <c r="C68" s="63" t="n">
        <v>46078</v>
      </c>
      <c r="D68" s="62" t="inlineStr">
        <is>
          <t>Owner Draw</t>
        </is>
      </c>
      <c r="E68" s="62" t="n"/>
      <c r="F68" s="62" t="inlineStr">
        <is>
          <t>Owner salary / personal draw</t>
        </is>
      </c>
      <c r="G68" s="62" t="n"/>
      <c r="H68" s="62" t="n"/>
      <c r="I68" s="62" t="inlineStr">
        <is>
          <t>Bank Transfer</t>
        </is>
      </c>
      <c r="J68" s="62" t="n"/>
      <c r="K68" s="62" t="inlineStr">
        <is>
          <t>Bank Account</t>
        </is>
      </c>
      <c r="L68" s="64" t="n">
        <v>20000</v>
      </c>
      <c r="M68" s="64" t="n"/>
      <c r="N68" s="62" t="n"/>
      <c r="O68" s="65">
        <f>IF(Z68=1,L68-W68,"")</f>
        <v/>
      </c>
      <c r="P68" s="66">
        <f>IF(V68="","",IFERROR(INDEX(coa_Type,MATCH(V68,coa_Name,0)),""))</f>
        <v/>
      </c>
      <c r="Q68" s="66">
        <f>IF(Z68=1,IF(U68="In",K68&amp;"",V68),"")</f>
        <v/>
      </c>
      <c r="R68" s="66">
        <f>IF(Z68=1,IF(U68="In",V68,K68&amp;""),"")</f>
        <v/>
      </c>
      <c r="S68" s="66">
        <f>IF(X68&lt;&gt;"","⛔ "&amp;X68&amp;" — not posted",IF(Y68&lt;&gt;"","⚠ "&amp;Y68,IF(Z68=1,"✓ OK","")))</f>
        <v/>
      </c>
      <c r="T68" s="67">
        <f>IF(AND(C68="",D68="",E68="",L68="",K68=""),1,0)</f>
        <v/>
      </c>
      <c r="U68" s="67">
        <f>IFERROR(INDEX(tt_Dir,MATCH(D68,tt_Type,0)),"")</f>
        <v/>
      </c>
      <c r="V68" s="67">
        <f>IF(D68="","",IFERROR(IF(INDEX(tt_Other,MATCH(D68,tt_Type,0))="",E68&amp;"",INDEX(tt_Other,MATCH(D68,tt_Type,0))),""))</f>
        <v/>
      </c>
      <c r="W68" s="68">
        <f>IF(OR(TaxOn&lt;&gt;"Yes",NOT(ISNUMBER(M68))),0,IF(IFERROR(INDEX(tt_Tax,MATCH(D68,tt_Type,0)),"No")="Yes",M68,0))</f>
        <v/>
      </c>
      <c r="X68" s="67">
        <f>IF(T68=1,"",IF(C68="","Missing transaction date",IF(NOT(ISNUMBER(C68)),"Invalid date",IF(OR(C68&lt;DATE(2000,1,1),C68&gt;DATE(2099,12,31)),"Invalid date",IF(D68="","Select a type",IF(U68="","Unknown type: "&amp;D68,IF(V68="","Select an account (Category)",IF(ISNA(MATCH(V68,coa_Name,0)),"Unknown account: "&amp;V68,IF(K68="","Select Paid From / Deposited To",IF(ISNA(MATCH(K68,coa_Name,0)),"Unknown account: "&amp;K68,IF(NOT(ISNUMBER(L68)),"Enter an amount",IF(L68=0,"Enter an amount",IF(ABS(W68)&gt;ABS(L68),"Tax is larger than the amount","")))))))))))))</f>
        <v/>
      </c>
      <c r="Y68" s="67">
        <f>IF(OR(T68=1,X68&lt;&gt;""),"",IF(AND(B68&lt;&gt;"",COUNTIF(tx_ID,B68)&gt;1),"Duplicate transaction ID",IF(AND(L68&lt;0,D68&lt;&gt;"Adjustment"),"Negative amount — check this entry",IF(AND(D68="Customer Payment",G68=""),"Add the customer",IF(AND(D68="Customer Payment",OR(J68="",COUNTIF(ar_No,J68&amp;"")=0)),"Invoice # in Reference not found on AR sheet",IF(AND(D68="Bill Payment",H68=""),"Add the vendor",IF(AND(D68="Bill Payment",OR(J68="",COUNTIFS(ap_No,J68&amp;"",ap_Party,H68&amp;"")=0)),"Bill # + vendor not found on AP sheet",IF(AND(ISNUMBER(M68),N(M68)&lt;&gt;0,W68=0),"Tax ignored (tax tracking off, or not allowed for this type)",IF(V68=K68&amp;"","Same account on both sides",IF(AND(ISNUMBER(StartDate),C68&lt;StartDate),"Date is before the accounting start date",IF(AND(D68&lt;&gt;"Adjustment",IFERROR(INDEX(coa_Pay,MATCH(K68&amp;"",coa_Name,0)),"")&lt;&gt;"Yes"),"Paid From / Deposited To is not a payment account","")))))))))))</f>
        <v/>
      </c>
      <c r="Z68" s="67">
        <f>IF(AND(T68=0,X68=""),1,0)</f>
        <v/>
      </c>
      <c r="AA68" s="68">
        <f>IF(Z68=1,IF(U68="In",L68,L68-W68),0)</f>
        <v/>
      </c>
      <c r="AB68" s="68">
        <f>IF(Z68=1,IF(U68="In",L68-W68,L68),0)</f>
        <v/>
      </c>
      <c r="AC68" s="68">
        <f>IF(AND(Z68=1,U68="Out"),W68,0)</f>
        <v/>
      </c>
      <c r="AD68" s="68">
        <f>IF(AND(Z68=1,U68="In"),W68,0)</f>
        <v/>
      </c>
    </row>
    <row r="69">
      <c r="B69" s="62" t="inlineStr">
        <is>
          <t>TX-0063</t>
        </is>
      </c>
      <c r="C69" s="63" t="n">
        <v>46079</v>
      </c>
      <c r="D69" s="62" t="inlineStr">
        <is>
          <t>Money In</t>
        </is>
      </c>
      <c r="E69" s="62" t="inlineStr">
        <is>
          <t>Product Sales</t>
        </is>
      </c>
      <c r="F69" s="62" t="inlineStr">
        <is>
          <t>GCash / online orders week 4</t>
        </is>
      </c>
      <c r="G69" s="62" t="n"/>
      <c r="H69" s="62" t="n"/>
      <c r="I69" s="62" t="inlineStr">
        <is>
          <t>E-Wallet</t>
        </is>
      </c>
      <c r="J69" s="62" t="n"/>
      <c r="K69" s="62" t="inlineStr">
        <is>
          <t>E-Wallet / Online Payments</t>
        </is>
      </c>
      <c r="L69" s="64" t="n">
        <v>17317.78</v>
      </c>
      <c r="M69" s="64" t="n">
        <v>1855.48</v>
      </c>
      <c r="N69" s="62" t="n"/>
      <c r="O69" s="65">
        <f>IF(Z69=1,L69-W69,"")</f>
        <v/>
      </c>
      <c r="P69" s="66">
        <f>IF(V69="","",IFERROR(INDEX(coa_Type,MATCH(V69,coa_Name,0)),""))</f>
        <v/>
      </c>
      <c r="Q69" s="66">
        <f>IF(Z69=1,IF(U69="In",K69&amp;"",V69),"")</f>
        <v/>
      </c>
      <c r="R69" s="66">
        <f>IF(Z69=1,IF(U69="In",V69,K69&amp;""),"")</f>
        <v/>
      </c>
      <c r="S69" s="66">
        <f>IF(X69&lt;&gt;"","⛔ "&amp;X69&amp;" — not posted",IF(Y69&lt;&gt;"","⚠ "&amp;Y69,IF(Z69=1,"✓ OK","")))</f>
        <v/>
      </c>
      <c r="T69" s="67">
        <f>IF(AND(C69="",D69="",E69="",L69="",K69=""),1,0)</f>
        <v/>
      </c>
      <c r="U69" s="67">
        <f>IFERROR(INDEX(tt_Dir,MATCH(D69,tt_Type,0)),"")</f>
        <v/>
      </c>
      <c r="V69" s="67">
        <f>IF(D69="","",IFERROR(IF(INDEX(tt_Other,MATCH(D69,tt_Type,0))="",E69&amp;"",INDEX(tt_Other,MATCH(D69,tt_Type,0))),""))</f>
        <v/>
      </c>
      <c r="W69" s="68">
        <f>IF(OR(TaxOn&lt;&gt;"Yes",NOT(ISNUMBER(M69))),0,IF(IFERROR(INDEX(tt_Tax,MATCH(D69,tt_Type,0)),"No")="Yes",M69,0))</f>
        <v/>
      </c>
      <c r="X69" s="67">
        <f>IF(T69=1,"",IF(C69="","Missing transaction date",IF(NOT(ISNUMBER(C69)),"Invalid date",IF(OR(C69&lt;DATE(2000,1,1),C69&gt;DATE(2099,12,31)),"Invalid date",IF(D69="","Select a type",IF(U69="","Unknown type: "&amp;D69,IF(V69="","Select an account (Category)",IF(ISNA(MATCH(V69,coa_Name,0)),"Unknown account: "&amp;V69,IF(K69="","Select Paid From / Deposited To",IF(ISNA(MATCH(K69,coa_Name,0)),"Unknown account: "&amp;K69,IF(NOT(ISNUMBER(L69)),"Enter an amount",IF(L69=0,"Enter an amount",IF(ABS(W69)&gt;ABS(L69),"Tax is larger than the amount","")))))))))))))</f>
        <v/>
      </c>
      <c r="Y69" s="67">
        <f>IF(OR(T69=1,X69&lt;&gt;""),"",IF(AND(B69&lt;&gt;"",COUNTIF(tx_ID,B69)&gt;1),"Duplicate transaction ID",IF(AND(L69&lt;0,D69&lt;&gt;"Adjustment"),"Negative amount — check this entry",IF(AND(D69="Customer Payment",G69=""),"Add the customer",IF(AND(D69="Customer Payment",OR(J69="",COUNTIF(ar_No,J69&amp;"")=0)),"Invoice # in Reference not found on AR sheet",IF(AND(D69="Bill Payment",H69=""),"Add the vendor",IF(AND(D69="Bill Payment",OR(J69="",COUNTIFS(ap_No,J69&amp;"",ap_Party,H69&amp;"")=0)),"Bill # + vendor not found on AP sheet",IF(AND(ISNUMBER(M69),N(M69)&lt;&gt;0,W69=0),"Tax ignored (tax tracking off, or not allowed for this type)",IF(V69=K69&amp;"","Same account on both sides",IF(AND(ISNUMBER(StartDate),C69&lt;StartDate),"Date is before the accounting start date",IF(AND(D69&lt;&gt;"Adjustment",IFERROR(INDEX(coa_Pay,MATCH(K69&amp;"",coa_Name,0)),"")&lt;&gt;"Yes"),"Paid From / Deposited To is not a payment account","")))))))))))</f>
        <v/>
      </c>
      <c r="Z69" s="67">
        <f>IF(AND(T69=0,X69=""),1,0)</f>
        <v/>
      </c>
      <c r="AA69" s="68">
        <f>IF(Z69=1,IF(U69="In",L69,L69-W69),0)</f>
        <v/>
      </c>
      <c r="AB69" s="68">
        <f>IF(Z69=1,IF(U69="In",L69-W69,L69),0)</f>
        <v/>
      </c>
      <c r="AC69" s="68">
        <f>IF(AND(Z69=1,U69="Out"),W69,0)</f>
        <v/>
      </c>
      <c r="AD69" s="68">
        <f>IF(AND(Z69=1,U69="In"),W69,0)</f>
        <v/>
      </c>
    </row>
    <row r="70">
      <c r="B70" s="62" t="inlineStr">
        <is>
          <t>TX-0064</t>
        </is>
      </c>
      <c r="C70" s="63" t="n">
        <v>46080</v>
      </c>
      <c r="D70" s="62" t="inlineStr">
        <is>
          <t>Transfer</t>
        </is>
      </c>
      <c r="E70" s="62" t="inlineStr">
        <is>
          <t>Bank Account</t>
        </is>
      </c>
      <c r="F70" s="62" t="inlineStr">
        <is>
          <t>Cash deposit to bank</t>
        </is>
      </c>
      <c r="G70" s="62" t="n"/>
      <c r="H70" s="62" t="n"/>
      <c r="I70" s="62" t="inlineStr">
        <is>
          <t>Cash</t>
        </is>
      </c>
      <c r="J70" s="62" t="n"/>
      <c r="K70" s="62" t="inlineStr">
        <is>
          <t>Cash on Hand</t>
        </is>
      </c>
      <c r="L70" s="64" t="n">
        <v>47500</v>
      </c>
      <c r="M70" s="64" t="n"/>
      <c r="N70" s="62" t="n"/>
      <c r="O70" s="65">
        <f>IF(Z70=1,L70-W70,"")</f>
        <v/>
      </c>
      <c r="P70" s="66">
        <f>IF(V70="","",IFERROR(INDEX(coa_Type,MATCH(V70,coa_Name,0)),""))</f>
        <v/>
      </c>
      <c r="Q70" s="66">
        <f>IF(Z70=1,IF(U70="In",K70&amp;"",V70),"")</f>
        <v/>
      </c>
      <c r="R70" s="66">
        <f>IF(Z70=1,IF(U70="In",V70,K70&amp;""),"")</f>
        <v/>
      </c>
      <c r="S70" s="66">
        <f>IF(X70&lt;&gt;"","⛔ "&amp;X70&amp;" — not posted",IF(Y70&lt;&gt;"","⚠ "&amp;Y70,IF(Z70=1,"✓ OK","")))</f>
        <v/>
      </c>
      <c r="T70" s="67">
        <f>IF(AND(C70="",D70="",E70="",L70="",K70=""),1,0)</f>
        <v/>
      </c>
      <c r="U70" s="67">
        <f>IFERROR(INDEX(tt_Dir,MATCH(D70,tt_Type,0)),"")</f>
        <v/>
      </c>
      <c r="V70" s="67">
        <f>IF(D70="","",IFERROR(IF(INDEX(tt_Other,MATCH(D70,tt_Type,0))="",E70&amp;"",INDEX(tt_Other,MATCH(D70,tt_Type,0))),""))</f>
        <v/>
      </c>
      <c r="W70" s="68">
        <f>IF(OR(TaxOn&lt;&gt;"Yes",NOT(ISNUMBER(M70))),0,IF(IFERROR(INDEX(tt_Tax,MATCH(D70,tt_Type,0)),"No")="Yes",M70,0))</f>
        <v/>
      </c>
      <c r="X70" s="67">
        <f>IF(T70=1,"",IF(C70="","Missing transaction date",IF(NOT(ISNUMBER(C70)),"Invalid date",IF(OR(C70&lt;DATE(2000,1,1),C70&gt;DATE(2099,12,31)),"Invalid date",IF(D70="","Select a type",IF(U70="","Unknown type: "&amp;D70,IF(V70="","Select an account (Category)",IF(ISNA(MATCH(V70,coa_Name,0)),"Unknown account: "&amp;V70,IF(K70="","Select Paid From / Deposited To",IF(ISNA(MATCH(K70,coa_Name,0)),"Unknown account: "&amp;K70,IF(NOT(ISNUMBER(L70)),"Enter an amount",IF(L70=0,"Enter an amount",IF(ABS(W70)&gt;ABS(L70),"Tax is larger than the amount","")))))))))))))</f>
        <v/>
      </c>
      <c r="Y70" s="67">
        <f>IF(OR(T70=1,X70&lt;&gt;""),"",IF(AND(B70&lt;&gt;"",COUNTIF(tx_ID,B70)&gt;1),"Duplicate transaction ID",IF(AND(L70&lt;0,D70&lt;&gt;"Adjustment"),"Negative amount — check this entry",IF(AND(D70="Customer Payment",G70=""),"Add the customer",IF(AND(D70="Customer Payment",OR(J70="",COUNTIF(ar_No,J70&amp;"")=0)),"Invoice # in Reference not found on AR sheet",IF(AND(D70="Bill Payment",H70=""),"Add the vendor",IF(AND(D70="Bill Payment",OR(J70="",COUNTIFS(ap_No,J70&amp;"",ap_Party,H70&amp;"")=0)),"Bill # + vendor not found on AP sheet",IF(AND(ISNUMBER(M70),N(M70)&lt;&gt;0,W70=0),"Tax ignored (tax tracking off, or not allowed for this type)",IF(V70=K70&amp;"","Same account on both sides",IF(AND(ISNUMBER(StartDate),C70&lt;StartDate),"Date is before the accounting start date",IF(AND(D70&lt;&gt;"Adjustment",IFERROR(INDEX(coa_Pay,MATCH(K70&amp;"",coa_Name,0)),"")&lt;&gt;"Yes"),"Paid From / Deposited To is not a payment account","")))))))))))</f>
        <v/>
      </c>
      <c r="Z70" s="67">
        <f>IF(AND(T70=0,X70=""),1,0)</f>
        <v/>
      </c>
      <c r="AA70" s="68">
        <f>IF(Z70=1,IF(U70="In",L70,L70-W70),0)</f>
        <v/>
      </c>
      <c r="AB70" s="68">
        <f>IF(Z70=1,IF(U70="In",L70-W70,L70),0)</f>
        <v/>
      </c>
      <c r="AC70" s="68">
        <f>IF(AND(Z70=1,U70="Out"),W70,0)</f>
        <v/>
      </c>
      <c r="AD70" s="68">
        <f>IF(AND(Z70=1,U70="In"),W70,0)</f>
        <v/>
      </c>
    </row>
    <row r="71">
      <c r="B71" s="62" t="inlineStr">
        <is>
          <t>TX-0065</t>
        </is>
      </c>
      <c r="C71" s="63" t="n">
        <v>46080</v>
      </c>
      <c r="D71" s="62" t="inlineStr">
        <is>
          <t>Money Out</t>
        </is>
      </c>
      <c r="E71" s="62" t="inlineStr">
        <is>
          <t>Bank &amp; Payment Fees</t>
        </is>
      </c>
      <c r="F71" s="62" t="inlineStr">
        <is>
          <t>Monthly bank charge</t>
        </is>
      </c>
      <c r="G71" s="62" t="n"/>
      <c r="H71" s="62" t="n"/>
      <c r="I71" s="62" t="inlineStr">
        <is>
          <t>Bank Transfer</t>
        </is>
      </c>
      <c r="J71" s="62" t="n"/>
      <c r="K71" s="62" t="inlineStr">
        <is>
          <t>Bank Account</t>
        </is>
      </c>
      <c r="L71" s="64" t="n">
        <v>150</v>
      </c>
      <c r="M71" s="64" t="n"/>
      <c r="N71" s="62" t="n"/>
      <c r="O71" s="65">
        <f>IF(Z71=1,L71-W71,"")</f>
        <v/>
      </c>
      <c r="P71" s="66">
        <f>IF(V71="","",IFERROR(INDEX(coa_Type,MATCH(V71,coa_Name,0)),""))</f>
        <v/>
      </c>
      <c r="Q71" s="66">
        <f>IF(Z71=1,IF(U71="In",K71&amp;"",V71),"")</f>
        <v/>
      </c>
      <c r="R71" s="66">
        <f>IF(Z71=1,IF(U71="In",V71,K71&amp;""),"")</f>
        <v/>
      </c>
      <c r="S71" s="66">
        <f>IF(X71&lt;&gt;"","⛔ "&amp;X71&amp;" — not posted",IF(Y71&lt;&gt;"","⚠ "&amp;Y71,IF(Z71=1,"✓ OK","")))</f>
        <v/>
      </c>
      <c r="T71" s="67">
        <f>IF(AND(C71="",D71="",E71="",L71="",K71=""),1,0)</f>
        <v/>
      </c>
      <c r="U71" s="67">
        <f>IFERROR(INDEX(tt_Dir,MATCH(D71,tt_Type,0)),"")</f>
        <v/>
      </c>
      <c r="V71" s="67">
        <f>IF(D71="","",IFERROR(IF(INDEX(tt_Other,MATCH(D71,tt_Type,0))="",E71&amp;"",INDEX(tt_Other,MATCH(D71,tt_Type,0))),""))</f>
        <v/>
      </c>
      <c r="W71" s="68">
        <f>IF(OR(TaxOn&lt;&gt;"Yes",NOT(ISNUMBER(M71))),0,IF(IFERROR(INDEX(tt_Tax,MATCH(D71,tt_Type,0)),"No")="Yes",M71,0))</f>
        <v/>
      </c>
      <c r="X71" s="67">
        <f>IF(T71=1,"",IF(C71="","Missing transaction date",IF(NOT(ISNUMBER(C71)),"Invalid date",IF(OR(C71&lt;DATE(2000,1,1),C71&gt;DATE(2099,12,31)),"Invalid date",IF(D71="","Select a type",IF(U71="","Unknown type: "&amp;D71,IF(V71="","Select an account (Category)",IF(ISNA(MATCH(V71,coa_Name,0)),"Unknown account: "&amp;V71,IF(K71="","Select Paid From / Deposited To",IF(ISNA(MATCH(K71,coa_Name,0)),"Unknown account: "&amp;K71,IF(NOT(ISNUMBER(L71)),"Enter an amount",IF(L71=0,"Enter an amount",IF(ABS(W71)&gt;ABS(L71),"Tax is larger than the amount","")))))))))))))</f>
        <v/>
      </c>
      <c r="Y71" s="67">
        <f>IF(OR(T71=1,X71&lt;&gt;""),"",IF(AND(B71&lt;&gt;"",COUNTIF(tx_ID,B71)&gt;1),"Duplicate transaction ID",IF(AND(L71&lt;0,D71&lt;&gt;"Adjustment"),"Negative amount — check this entry",IF(AND(D71="Customer Payment",G71=""),"Add the customer",IF(AND(D71="Customer Payment",OR(J71="",COUNTIF(ar_No,J71&amp;"")=0)),"Invoice # in Reference not found on AR sheet",IF(AND(D71="Bill Payment",H71=""),"Add the vendor",IF(AND(D71="Bill Payment",OR(J71="",COUNTIFS(ap_No,J71&amp;"",ap_Party,H71&amp;"")=0)),"Bill # + vendor not found on AP sheet",IF(AND(ISNUMBER(M71),N(M71)&lt;&gt;0,W71=0),"Tax ignored (tax tracking off, or not allowed for this type)",IF(V71=K71&amp;"","Same account on both sides",IF(AND(ISNUMBER(StartDate),C71&lt;StartDate),"Date is before the accounting start date",IF(AND(D71&lt;&gt;"Adjustment",IFERROR(INDEX(coa_Pay,MATCH(K71&amp;"",coa_Name,0)),"")&lt;&gt;"Yes"),"Paid From / Deposited To is not a payment account","")))))))))))</f>
        <v/>
      </c>
      <c r="Z71" s="67">
        <f>IF(AND(T71=0,X71=""),1,0)</f>
        <v/>
      </c>
      <c r="AA71" s="68">
        <f>IF(Z71=1,IF(U71="In",L71,L71-W71),0)</f>
        <v/>
      </c>
      <c r="AB71" s="68">
        <f>IF(Z71=1,IF(U71="In",L71-W71,L71),0)</f>
        <v/>
      </c>
      <c r="AC71" s="68">
        <f>IF(AND(Z71=1,U71="Out"),W71,0)</f>
        <v/>
      </c>
      <c r="AD71" s="68">
        <f>IF(AND(Z71=1,U71="In"),W71,0)</f>
        <v/>
      </c>
    </row>
    <row r="72">
      <c r="B72" s="62" t="inlineStr">
        <is>
          <t>TX-0066</t>
        </is>
      </c>
      <c r="C72" s="63" t="n">
        <v>46081</v>
      </c>
      <c r="D72" s="62" t="inlineStr">
        <is>
          <t>Transfer</t>
        </is>
      </c>
      <c r="E72" s="62" t="inlineStr">
        <is>
          <t>Bank Account</t>
        </is>
      </c>
      <c r="F72" s="62" t="inlineStr">
        <is>
          <t>E-wallet cash-out to bank</t>
        </is>
      </c>
      <c r="G72" s="62" t="n"/>
      <c r="H72" s="62" t="n"/>
      <c r="I72" s="62" t="inlineStr">
        <is>
          <t>Online Payment</t>
        </is>
      </c>
      <c r="J72" s="62" t="n"/>
      <c r="K72" s="62" t="inlineStr">
        <is>
          <t>E-Wallet / Online Payments</t>
        </is>
      </c>
      <c r="L72" s="64" t="n">
        <v>44200</v>
      </c>
      <c r="M72" s="64" t="n"/>
      <c r="N72" s="62" t="n"/>
      <c r="O72" s="65">
        <f>IF(Z72=1,L72-W72,"")</f>
        <v/>
      </c>
      <c r="P72" s="66">
        <f>IF(V72="","",IFERROR(INDEX(coa_Type,MATCH(V72,coa_Name,0)),""))</f>
        <v/>
      </c>
      <c r="Q72" s="66">
        <f>IF(Z72=1,IF(U72="In",K72&amp;"",V72),"")</f>
        <v/>
      </c>
      <c r="R72" s="66">
        <f>IF(Z72=1,IF(U72="In",V72,K72&amp;""),"")</f>
        <v/>
      </c>
      <c r="S72" s="66">
        <f>IF(X72&lt;&gt;"","⛔ "&amp;X72&amp;" — not posted",IF(Y72&lt;&gt;"","⚠ "&amp;Y72,IF(Z72=1,"✓ OK","")))</f>
        <v/>
      </c>
      <c r="T72" s="67">
        <f>IF(AND(C72="",D72="",E72="",L72="",K72=""),1,0)</f>
        <v/>
      </c>
      <c r="U72" s="67">
        <f>IFERROR(INDEX(tt_Dir,MATCH(D72,tt_Type,0)),"")</f>
        <v/>
      </c>
      <c r="V72" s="67">
        <f>IF(D72="","",IFERROR(IF(INDEX(tt_Other,MATCH(D72,tt_Type,0))="",E72&amp;"",INDEX(tt_Other,MATCH(D72,tt_Type,0))),""))</f>
        <v/>
      </c>
      <c r="W72" s="68">
        <f>IF(OR(TaxOn&lt;&gt;"Yes",NOT(ISNUMBER(M72))),0,IF(IFERROR(INDEX(tt_Tax,MATCH(D72,tt_Type,0)),"No")="Yes",M72,0))</f>
        <v/>
      </c>
      <c r="X72" s="67">
        <f>IF(T72=1,"",IF(C72="","Missing transaction date",IF(NOT(ISNUMBER(C72)),"Invalid date",IF(OR(C72&lt;DATE(2000,1,1),C72&gt;DATE(2099,12,31)),"Invalid date",IF(D72="","Select a type",IF(U72="","Unknown type: "&amp;D72,IF(V72="","Select an account (Category)",IF(ISNA(MATCH(V72,coa_Name,0)),"Unknown account: "&amp;V72,IF(K72="","Select Paid From / Deposited To",IF(ISNA(MATCH(K72,coa_Name,0)),"Unknown account: "&amp;K72,IF(NOT(ISNUMBER(L72)),"Enter an amount",IF(L72=0,"Enter an amount",IF(ABS(W72)&gt;ABS(L72),"Tax is larger than the amount","")))))))))))))</f>
        <v/>
      </c>
      <c r="Y72" s="67">
        <f>IF(OR(T72=1,X72&lt;&gt;""),"",IF(AND(B72&lt;&gt;"",COUNTIF(tx_ID,B72)&gt;1),"Duplicate transaction ID",IF(AND(L72&lt;0,D72&lt;&gt;"Adjustment"),"Negative amount — check this entry",IF(AND(D72="Customer Payment",G72=""),"Add the customer",IF(AND(D72="Customer Payment",OR(J72="",COUNTIF(ar_No,J72&amp;"")=0)),"Invoice # in Reference not found on AR sheet",IF(AND(D72="Bill Payment",H72=""),"Add the vendor",IF(AND(D72="Bill Payment",OR(J72="",COUNTIFS(ap_No,J72&amp;"",ap_Party,H72&amp;"")=0)),"Bill # + vendor not found on AP sheet",IF(AND(ISNUMBER(M72),N(M72)&lt;&gt;0,W72=0),"Tax ignored (tax tracking off, or not allowed for this type)",IF(V72=K72&amp;"","Same account on both sides",IF(AND(ISNUMBER(StartDate),C72&lt;StartDate),"Date is before the accounting start date",IF(AND(D72&lt;&gt;"Adjustment",IFERROR(INDEX(coa_Pay,MATCH(K72&amp;"",coa_Name,0)),"")&lt;&gt;"Yes"),"Paid From / Deposited To is not a payment account","")))))))))))</f>
        <v/>
      </c>
      <c r="Z72" s="67">
        <f>IF(AND(T72=0,X72=""),1,0)</f>
        <v/>
      </c>
      <c r="AA72" s="68">
        <f>IF(Z72=1,IF(U72="In",L72,L72-W72),0)</f>
        <v/>
      </c>
      <c r="AB72" s="68">
        <f>IF(Z72=1,IF(U72="In",L72-W72,L72),0)</f>
        <v/>
      </c>
      <c r="AC72" s="68">
        <f>IF(AND(Z72=1,U72="Out"),W72,0)</f>
        <v/>
      </c>
      <c r="AD72" s="68">
        <f>IF(AND(Z72=1,U72="In"),W72,0)</f>
        <v/>
      </c>
    </row>
    <row r="73">
      <c r="B73" s="62" t="inlineStr">
        <is>
          <t>TX-0067</t>
        </is>
      </c>
      <c r="C73" s="63" t="n">
        <v>46081</v>
      </c>
      <c r="D73" s="62" t="inlineStr">
        <is>
          <t>Money Out</t>
        </is>
      </c>
      <c r="E73" s="62" t="inlineStr">
        <is>
          <t>Direct Labor</t>
        </is>
      </c>
      <c r="F73" s="62" t="inlineStr">
        <is>
          <t>Bakers' salaries (16th-end)</t>
        </is>
      </c>
      <c r="G73" s="62" t="n"/>
      <c r="H73" s="62" t="n"/>
      <c r="I73" s="62" t="inlineStr">
        <is>
          <t>Bank Transfer</t>
        </is>
      </c>
      <c r="J73" s="62" t="n"/>
      <c r="K73" s="62" t="inlineStr">
        <is>
          <t>Bank Account</t>
        </is>
      </c>
      <c r="L73" s="64" t="n">
        <v>38000</v>
      </c>
      <c r="M73" s="64" t="n"/>
      <c r="N73" s="62" t="n"/>
      <c r="O73" s="65">
        <f>IF(Z73=1,L73-W73,"")</f>
        <v/>
      </c>
      <c r="P73" s="66">
        <f>IF(V73="","",IFERROR(INDEX(coa_Type,MATCH(V73,coa_Name,0)),""))</f>
        <v/>
      </c>
      <c r="Q73" s="66">
        <f>IF(Z73=1,IF(U73="In",K73&amp;"",V73),"")</f>
        <v/>
      </c>
      <c r="R73" s="66">
        <f>IF(Z73=1,IF(U73="In",V73,K73&amp;""),"")</f>
        <v/>
      </c>
      <c r="S73" s="66">
        <f>IF(X73&lt;&gt;"","⛔ "&amp;X73&amp;" — not posted",IF(Y73&lt;&gt;"","⚠ "&amp;Y73,IF(Z73=1,"✓ OK","")))</f>
        <v/>
      </c>
      <c r="T73" s="67">
        <f>IF(AND(C73="",D73="",E73="",L73="",K73=""),1,0)</f>
        <v/>
      </c>
      <c r="U73" s="67">
        <f>IFERROR(INDEX(tt_Dir,MATCH(D73,tt_Type,0)),"")</f>
        <v/>
      </c>
      <c r="V73" s="67">
        <f>IF(D73="","",IFERROR(IF(INDEX(tt_Other,MATCH(D73,tt_Type,0))="",E73&amp;"",INDEX(tt_Other,MATCH(D73,tt_Type,0))),""))</f>
        <v/>
      </c>
      <c r="W73" s="68">
        <f>IF(OR(TaxOn&lt;&gt;"Yes",NOT(ISNUMBER(M73))),0,IF(IFERROR(INDEX(tt_Tax,MATCH(D73,tt_Type,0)),"No")="Yes",M73,0))</f>
        <v/>
      </c>
      <c r="X73" s="67">
        <f>IF(T73=1,"",IF(C73="","Missing transaction date",IF(NOT(ISNUMBER(C73)),"Invalid date",IF(OR(C73&lt;DATE(2000,1,1),C73&gt;DATE(2099,12,31)),"Invalid date",IF(D73="","Select a type",IF(U73="","Unknown type: "&amp;D73,IF(V73="","Select an account (Category)",IF(ISNA(MATCH(V73,coa_Name,0)),"Unknown account: "&amp;V73,IF(K73="","Select Paid From / Deposited To",IF(ISNA(MATCH(K73,coa_Name,0)),"Unknown account: "&amp;K73,IF(NOT(ISNUMBER(L73)),"Enter an amount",IF(L73=0,"Enter an amount",IF(ABS(W73)&gt;ABS(L73),"Tax is larger than the amount","")))))))))))))</f>
        <v/>
      </c>
      <c r="Y73" s="67">
        <f>IF(OR(T73=1,X73&lt;&gt;""),"",IF(AND(B73&lt;&gt;"",COUNTIF(tx_ID,B73)&gt;1),"Duplicate transaction ID",IF(AND(L73&lt;0,D73&lt;&gt;"Adjustment"),"Negative amount — check this entry",IF(AND(D73="Customer Payment",G73=""),"Add the customer",IF(AND(D73="Customer Payment",OR(J73="",COUNTIF(ar_No,J73&amp;"")=0)),"Invoice # in Reference not found on AR sheet",IF(AND(D73="Bill Payment",H73=""),"Add the vendor",IF(AND(D73="Bill Payment",OR(J73="",COUNTIFS(ap_No,J73&amp;"",ap_Party,H73&amp;"")=0)),"Bill # + vendor not found on AP sheet",IF(AND(ISNUMBER(M73),N(M73)&lt;&gt;0,W73=0),"Tax ignored (tax tracking off, or not allowed for this type)",IF(V73=K73&amp;"","Same account on both sides",IF(AND(ISNUMBER(StartDate),C73&lt;StartDate),"Date is before the accounting start date",IF(AND(D73&lt;&gt;"Adjustment",IFERROR(INDEX(coa_Pay,MATCH(K73&amp;"",coa_Name,0)),"")&lt;&gt;"Yes"),"Paid From / Deposited To is not a payment account","")))))))))))</f>
        <v/>
      </c>
      <c r="Z73" s="67">
        <f>IF(AND(T73=0,X73=""),1,0)</f>
        <v/>
      </c>
      <c r="AA73" s="68">
        <f>IF(Z73=1,IF(U73="In",L73,L73-W73),0)</f>
        <v/>
      </c>
      <c r="AB73" s="68">
        <f>IF(Z73=1,IF(U73="In",L73-W73,L73),0)</f>
        <v/>
      </c>
      <c r="AC73" s="68">
        <f>IF(AND(Z73=1,U73="Out"),W73,0)</f>
        <v/>
      </c>
      <c r="AD73" s="68">
        <f>IF(AND(Z73=1,U73="In"),W73,0)</f>
        <v/>
      </c>
    </row>
    <row r="74">
      <c r="B74" s="62" t="inlineStr">
        <is>
          <t>TX-0068</t>
        </is>
      </c>
      <c r="C74" s="63" t="n">
        <v>46081</v>
      </c>
      <c r="D74" s="62" t="inlineStr">
        <is>
          <t>Money Out</t>
        </is>
      </c>
      <c r="E74" s="62" t="inlineStr">
        <is>
          <t>Salaries &amp; Wages</t>
        </is>
      </c>
      <c r="F74" s="62" t="inlineStr">
        <is>
          <t>Cashier salary (16th-end)</t>
        </is>
      </c>
      <c r="G74" s="62" t="n"/>
      <c r="H74" s="62" t="n"/>
      <c r="I74" s="62" t="inlineStr">
        <is>
          <t>Bank Transfer</t>
        </is>
      </c>
      <c r="J74" s="62" t="n"/>
      <c r="K74" s="62" t="inlineStr">
        <is>
          <t>Bank Account</t>
        </is>
      </c>
      <c r="L74" s="64" t="n">
        <v>9000</v>
      </c>
      <c r="M74" s="64" t="n"/>
      <c r="N74" s="62" t="n"/>
      <c r="O74" s="65">
        <f>IF(Z74=1,L74-W74,"")</f>
        <v/>
      </c>
      <c r="P74" s="66">
        <f>IF(V74="","",IFERROR(INDEX(coa_Type,MATCH(V74,coa_Name,0)),""))</f>
        <v/>
      </c>
      <c r="Q74" s="66">
        <f>IF(Z74=1,IF(U74="In",K74&amp;"",V74),"")</f>
        <v/>
      </c>
      <c r="R74" s="66">
        <f>IF(Z74=1,IF(U74="In",V74,K74&amp;""),"")</f>
        <v/>
      </c>
      <c r="S74" s="66">
        <f>IF(X74&lt;&gt;"","⛔ "&amp;X74&amp;" — not posted",IF(Y74&lt;&gt;"","⚠ "&amp;Y74,IF(Z74=1,"✓ OK","")))</f>
        <v/>
      </c>
      <c r="T74" s="67">
        <f>IF(AND(C74="",D74="",E74="",L74="",K74=""),1,0)</f>
        <v/>
      </c>
      <c r="U74" s="67">
        <f>IFERROR(INDEX(tt_Dir,MATCH(D74,tt_Type,0)),"")</f>
        <v/>
      </c>
      <c r="V74" s="67">
        <f>IF(D74="","",IFERROR(IF(INDEX(tt_Other,MATCH(D74,tt_Type,0))="",E74&amp;"",INDEX(tt_Other,MATCH(D74,tt_Type,0))),""))</f>
        <v/>
      </c>
      <c r="W74" s="68">
        <f>IF(OR(TaxOn&lt;&gt;"Yes",NOT(ISNUMBER(M74))),0,IF(IFERROR(INDEX(tt_Tax,MATCH(D74,tt_Type,0)),"No")="Yes",M74,0))</f>
        <v/>
      </c>
      <c r="X74" s="67">
        <f>IF(T74=1,"",IF(C74="","Missing transaction date",IF(NOT(ISNUMBER(C74)),"Invalid date",IF(OR(C74&lt;DATE(2000,1,1),C74&gt;DATE(2099,12,31)),"Invalid date",IF(D74="","Select a type",IF(U74="","Unknown type: "&amp;D74,IF(V74="","Select an account (Category)",IF(ISNA(MATCH(V74,coa_Name,0)),"Unknown account: "&amp;V74,IF(K74="","Select Paid From / Deposited To",IF(ISNA(MATCH(K74,coa_Name,0)),"Unknown account: "&amp;K74,IF(NOT(ISNUMBER(L74)),"Enter an amount",IF(L74=0,"Enter an amount",IF(ABS(W74)&gt;ABS(L74),"Tax is larger than the amount","")))))))))))))</f>
        <v/>
      </c>
      <c r="Y74" s="67">
        <f>IF(OR(T74=1,X74&lt;&gt;""),"",IF(AND(B74&lt;&gt;"",COUNTIF(tx_ID,B74)&gt;1),"Duplicate transaction ID",IF(AND(L74&lt;0,D74&lt;&gt;"Adjustment"),"Negative amount — check this entry",IF(AND(D74="Customer Payment",G74=""),"Add the customer",IF(AND(D74="Customer Payment",OR(J74="",COUNTIF(ar_No,J74&amp;"")=0)),"Invoice # in Reference not found on AR sheet",IF(AND(D74="Bill Payment",H74=""),"Add the vendor",IF(AND(D74="Bill Payment",OR(J74="",COUNTIFS(ap_No,J74&amp;"",ap_Party,H74&amp;"")=0)),"Bill # + vendor not found on AP sheet",IF(AND(ISNUMBER(M74),N(M74)&lt;&gt;0,W74=0),"Tax ignored (tax tracking off, or not allowed for this type)",IF(V74=K74&amp;"","Same account on both sides",IF(AND(ISNUMBER(StartDate),C74&lt;StartDate),"Date is before the accounting start date",IF(AND(D74&lt;&gt;"Adjustment",IFERROR(INDEX(coa_Pay,MATCH(K74&amp;"",coa_Name,0)),"")&lt;&gt;"Yes"),"Paid From / Deposited To is not a payment account","")))))))))))</f>
        <v/>
      </c>
      <c r="Z74" s="67">
        <f>IF(AND(T74=0,X74=""),1,0)</f>
        <v/>
      </c>
      <c r="AA74" s="68">
        <f>IF(Z74=1,IF(U74="In",L74,L74-W74),0)</f>
        <v/>
      </c>
      <c r="AB74" s="68">
        <f>IF(Z74=1,IF(U74="In",L74-W74,L74),0)</f>
        <v/>
      </c>
      <c r="AC74" s="68">
        <f>IF(AND(Z74=1,U74="Out"),W74,0)</f>
        <v/>
      </c>
      <c r="AD74" s="68">
        <f>IF(AND(Z74=1,U74="In"),W74,0)</f>
        <v/>
      </c>
    </row>
    <row r="75">
      <c r="B75" s="62" t="inlineStr">
        <is>
          <t>TX-0069</t>
        </is>
      </c>
      <c r="C75" s="63" t="n">
        <v>46081</v>
      </c>
      <c r="D75" s="62" t="inlineStr">
        <is>
          <t>Adjustment</t>
        </is>
      </c>
      <c r="E75" s="62" t="inlineStr">
        <is>
          <t>Depreciation</t>
        </is>
      </c>
      <c r="F75" s="62" t="inlineStr">
        <is>
          <t>Monthly depreciation of equipment</t>
        </is>
      </c>
      <c r="G75" s="62" t="n"/>
      <c r="H75" s="62" t="n"/>
      <c r="I75" s="62" t="n"/>
      <c r="J75" s="62" t="n"/>
      <c r="K75" s="62" t="inlineStr">
        <is>
          <t>Accumulated Depreciation</t>
        </is>
      </c>
      <c r="L75" s="64" t="n">
        <v>3000</v>
      </c>
      <c r="M75" s="64" t="n"/>
      <c r="N75" s="62" t="n"/>
      <c r="O75" s="65">
        <f>IF(Z75=1,L75-W75,"")</f>
        <v/>
      </c>
      <c r="P75" s="66">
        <f>IF(V75="","",IFERROR(INDEX(coa_Type,MATCH(V75,coa_Name,0)),""))</f>
        <v/>
      </c>
      <c r="Q75" s="66">
        <f>IF(Z75=1,IF(U75="In",K75&amp;"",V75),"")</f>
        <v/>
      </c>
      <c r="R75" s="66">
        <f>IF(Z75=1,IF(U75="In",V75,K75&amp;""),"")</f>
        <v/>
      </c>
      <c r="S75" s="66">
        <f>IF(X75&lt;&gt;"","⛔ "&amp;X75&amp;" — not posted",IF(Y75&lt;&gt;"","⚠ "&amp;Y75,IF(Z75=1,"✓ OK","")))</f>
        <v/>
      </c>
      <c r="T75" s="67">
        <f>IF(AND(C75="",D75="",E75="",L75="",K75=""),1,0)</f>
        <v/>
      </c>
      <c r="U75" s="67">
        <f>IFERROR(INDEX(tt_Dir,MATCH(D75,tt_Type,0)),"")</f>
        <v/>
      </c>
      <c r="V75" s="67">
        <f>IF(D75="","",IFERROR(IF(INDEX(tt_Other,MATCH(D75,tt_Type,0))="",E75&amp;"",INDEX(tt_Other,MATCH(D75,tt_Type,0))),""))</f>
        <v/>
      </c>
      <c r="W75" s="68">
        <f>IF(OR(TaxOn&lt;&gt;"Yes",NOT(ISNUMBER(M75))),0,IF(IFERROR(INDEX(tt_Tax,MATCH(D75,tt_Type,0)),"No")="Yes",M75,0))</f>
        <v/>
      </c>
      <c r="X75" s="67">
        <f>IF(T75=1,"",IF(C75="","Missing transaction date",IF(NOT(ISNUMBER(C75)),"Invalid date",IF(OR(C75&lt;DATE(2000,1,1),C75&gt;DATE(2099,12,31)),"Invalid date",IF(D75="","Select a type",IF(U75="","Unknown type: "&amp;D75,IF(V75="","Select an account (Category)",IF(ISNA(MATCH(V75,coa_Name,0)),"Unknown account: "&amp;V75,IF(K75="","Select Paid From / Deposited To",IF(ISNA(MATCH(K75,coa_Name,0)),"Unknown account: "&amp;K75,IF(NOT(ISNUMBER(L75)),"Enter an amount",IF(L75=0,"Enter an amount",IF(ABS(W75)&gt;ABS(L75),"Tax is larger than the amount","")))))))))))))</f>
        <v/>
      </c>
      <c r="Y75" s="67">
        <f>IF(OR(T75=1,X75&lt;&gt;""),"",IF(AND(B75&lt;&gt;"",COUNTIF(tx_ID,B75)&gt;1),"Duplicate transaction ID",IF(AND(L75&lt;0,D75&lt;&gt;"Adjustment"),"Negative amount — check this entry",IF(AND(D75="Customer Payment",G75=""),"Add the customer",IF(AND(D75="Customer Payment",OR(J75="",COUNTIF(ar_No,J75&amp;"")=0)),"Invoice # in Reference not found on AR sheet",IF(AND(D75="Bill Payment",H75=""),"Add the vendor",IF(AND(D75="Bill Payment",OR(J75="",COUNTIFS(ap_No,J75&amp;"",ap_Party,H75&amp;"")=0)),"Bill # + vendor not found on AP sheet",IF(AND(ISNUMBER(M75),N(M75)&lt;&gt;0,W75=0),"Tax ignored (tax tracking off, or not allowed for this type)",IF(V75=K75&amp;"","Same account on both sides",IF(AND(ISNUMBER(StartDate),C75&lt;StartDate),"Date is before the accounting start date",IF(AND(D75&lt;&gt;"Adjustment",IFERROR(INDEX(coa_Pay,MATCH(K75&amp;"",coa_Name,0)),"")&lt;&gt;"Yes"),"Paid From / Deposited To is not a payment account","")))))))))))</f>
        <v/>
      </c>
      <c r="Z75" s="67">
        <f>IF(AND(T75=0,X75=""),1,0)</f>
        <v/>
      </c>
      <c r="AA75" s="68">
        <f>IF(Z75=1,IF(U75="In",L75,L75-W75),0)</f>
        <v/>
      </c>
      <c r="AB75" s="68">
        <f>IF(Z75=1,IF(U75="In",L75-W75,L75),0)</f>
        <v/>
      </c>
      <c r="AC75" s="68">
        <f>IF(AND(Z75=1,U75="Out"),W75,0)</f>
        <v/>
      </c>
      <c r="AD75" s="68">
        <f>IF(AND(Z75=1,U75="In"),W75,0)</f>
        <v/>
      </c>
    </row>
    <row r="76">
      <c r="B76" s="62" t="inlineStr">
        <is>
          <t>TX-0070</t>
        </is>
      </c>
      <c r="C76" s="63" t="n">
        <v>46082</v>
      </c>
      <c r="D76" s="62" t="inlineStr">
        <is>
          <t>Money Out</t>
        </is>
      </c>
      <c r="E76" s="62" t="inlineStr">
        <is>
          <t>Rent</t>
        </is>
      </c>
      <c r="F76" s="62" t="inlineStr">
        <is>
          <t>Shop rent</t>
        </is>
      </c>
      <c r="G76" s="62" t="n"/>
      <c r="H76" s="62" t="n"/>
      <c r="I76" s="62" t="inlineStr">
        <is>
          <t>Bank Transfer</t>
        </is>
      </c>
      <c r="J76" s="62" t="inlineStr">
        <is>
          <t>RENT-03</t>
        </is>
      </c>
      <c r="K76" s="62" t="inlineStr">
        <is>
          <t>Bank Account</t>
        </is>
      </c>
      <c r="L76" s="64" t="n">
        <v>28000</v>
      </c>
      <c r="M76" s="64" t="n">
        <v>3000</v>
      </c>
      <c r="N76" s="62" t="n"/>
      <c r="O76" s="65">
        <f>IF(Z76=1,L76-W76,"")</f>
        <v/>
      </c>
      <c r="P76" s="66">
        <f>IF(V76="","",IFERROR(INDEX(coa_Type,MATCH(V76,coa_Name,0)),""))</f>
        <v/>
      </c>
      <c r="Q76" s="66">
        <f>IF(Z76=1,IF(U76="In",K76&amp;"",V76),"")</f>
        <v/>
      </c>
      <c r="R76" s="66">
        <f>IF(Z76=1,IF(U76="In",V76,K76&amp;""),"")</f>
        <v/>
      </c>
      <c r="S76" s="66">
        <f>IF(X76&lt;&gt;"","⛔ "&amp;X76&amp;" — not posted",IF(Y76&lt;&gt;"","⚠ "&amp;Y76,IF(Z76=1,"✓ OK","")))</f>
        <v/>
      </c>
      <c r="T76" s="67">
        <f>IF(AND(C76="",D76="",E76="",L76="",K76=""),1,0)</f>
        <v/>
      </c>
      <c r="U76" s="67">
        <f>IFERROR(INDEX(tt_Dir,MATCH(D76,tt_Type,0)),"")</f>
        <v/>
      </c>
      <c r="V76" s="67">
        <f>IF(D76="","",IFERROR(IF(INDEX(tt_Other,MATCH(D76,tt_Type,0))="",E76&amp;"",INDEX(tt_Other,MATCH(D76,tt_Type,0))),""))</f>
        <v/>
      </c>
      <c r="W76" s="68">
        <f>IF(OR(TaxOn&lt;&gt;"Yes",NOT(ISNUMBER(M76))),0,IF(IFERROR(INDEX(tt_Tax,MATCH(D76,tt_Type,0)),"No")="Yes",M76,0))</f>
        <v/>
      </c>
      <c r="X76" s="67">
        <f>IF(T76=1,"",IF(C76="","Missing transaction date",IF(NOT(ISNUMBER(C76)),"Invalid date",IF(OR(C76&lt;DATE(2000,1,1),C76&gt;DATE(2099,12,31)),"Invalid date",IF(D76="","Select a type",IF(U76="","Unknown type: "&amp;D76,IF(V76="","Select an account (Category)",IF(ISNA(MATCH(V76,coa_Name,0)),"Unknown account: "&amp;V76,IF(K76="","Select Paid From / Deposited To",IF(ISNA(MATCH(K76,coa_Name,0)),"Unknown account: "&amp;K76,IF(NOT(ISNUMBER(L76)),"Enter an amount",IF(L76=0,"Enter an amount",IF(ABS(W76)&gt;ABS(L76),"Tax is larger than the amount","")))))))))))))</f>
        <v/>
      </c>
      <c r="Y76" s="67">
        <f>IF(OR(T76=1,X76&lt;&gt;""),"",IF(AND(B76&lt;&gt;"",COUNTIF(tx_ID,B76)&gt;1),"Duplicate transaction ID",IF(AND(L76&lt;0,D76&lt;&gt;"Adjustment"),"Negative amount — check this entry",IF(AND(D76="Customer Payment",G76=""),"Add the customer",IF(AND(D76="Customer Payment",OR(J76="",COUNTIF(ar_No,J76&amp;"")=0)),"Invoice # in Reference not found on AR sheet",IF(AND(D76="Bill Payment",H76=""),"Add the vendor",IF(AND(D76="Bill Payment",OR(J76="",COUNTIFS(ap_No,J76&amp;"",ap_Party,H76&amp;"")=0)),"Bill # + vendor not found on AP sheet",IF(AND(ISNUMBER(M76),N(M76)&lt;&gt;0,W76=0),"Tax ignored (tax tracking off, or not allowed for this type)",IF(V76=K76&amp;"","Same account on both sides",IF(AND(ISNUMBER(StartDate),C76&lt;StartDate),"Date is before the accounting start date",IF(AND(D76&lt;&gt;"Adjustment",IFERROR(INDEX(coa_Pay,MATCH(K76&amp;"",coa_Name,0)),"")&lt;&gt;"Yes"),"Paid From / Deposited To is not a payment account","")))))))))))</f>
        <v/>
      </c>
      <c r="Z76" s="67">
        <f>IF(AND(T76=0,X76=""),1,0)</f>
        <v/>
      </c>
      <c r="AA76" s="68">
        <f>IF(Z76=1,IF(U76="In",L76,L76-W76),0)</f>
        <v/>
      </c>
      <c r="AB76" s="68">
        <f>IF(Z76=1,IF(U76="In",L76-W76,L76),0)</f>
        <v/>
      </c>
      <c r="AC76" s="68">
        <f>IF(AND(Z76=1,U76="Out"),W76,0)</f>
        <v/>
      </c>
      <c r="AD76" s="68">
        <f>IF(AND(Z76=1,U76="In"),W76,0)</f>
        <v/>
      </c>
    </row>
    <row r="77">
      <c r="B77" s="62" t="inlineStr">
        <is>
          <t>TX-0071</t>
        </is>
      </c>
      <c r="C77" s="63" t="n">
        <v>46084</v>
      </c>
      <c r="D77" s="62" t="inlineStr">
        <is>
          <t>Bill Payment</t>
        </is>
      </c>
      <c r="E77" s="62" t="n"/>
      <c r="F77" s="62" t="inlineStr">
        <is>
          <t>Supplier payment</t>
        </is>
      </c>
      <c r="G77" s="62" t="n"/>
      <c r="H77" s="62" t="inlineStr">
        <is>
          <t>Fresh Dairy Co.</t>
        </is>
      </c>
      <c r="I77" s="62" t="inlineStr">
        <is>
          <t>Bank Transfer</t>
        </is>
      </c>
      <c r="J77" s="62" t="inlineStr">
        <is>
          <t>FR-021</t>
        </is>
      </c>
      <c r="K77" s="62" t="inlineStr">
        <is>
          <t>Bank Account</t>
        </is>
      </c>
      <c r="L77" s="64" t="n">
        <v>15771.18</v>
      </c>
      <c r="M77" s="64" t="n"/>
      <c r="N77" s="62" t="n"/>
      <c r="O77" s="65">
        <f>IF(Z77=1,L77-W77,"")</f>
        <v/>
      </c>
      <c r="P77" s="66">
        <f>IF(V77="","",IFERROR(INDEX(coa_Type,MATCH(V77,coa_Name,0)),""))</f>
        <v/>
      </c>
      <c r="Q77" s="66">
        <f>IF(Z77=1,IF(U77="In",K77&amp;"",V77),"")</f>
        <v/>
      </c>
      <c r="R77" s="66">
        <f>IF(Z77=1,IF(U77="In",V77,K77&amp;""),"")</f>
        <v/>
      </c>
      <c r="S77" s="66">
        <f>IF(X77&lt;&gt;"","⛔ "&amp;X77&amp;" — not posted",IF(Y77&lt;&gt;"","⚠ "&amp;Y77,IF(Z77=1,"✓ OK","")))</f>
        <v/>
      </c>
      <c r="T77" s="67">
        <f>IF(AND(C77="",D77="",E77="",L77="",K77=""),1,0)</f>
        <v/>
      </c>
      <c r="U77" s="67">
        <f>IFERROR(INDEX(tt_Dir,MATCH(D77,tt_Type,0)),"")</f>
        <v/>
      </c>
      <c r="V77" s="67">
        <f>IF(D77="","",IFERROR(IF(INDEX(tt_Other,MATCH(D77,tt_Type,0))="",E77&amp;"",INDEX(tt_Other,MATCH(D77,tt_Type,0))),""))</f>
        <v/>
      </c>
      <c r="W77" s="68">
        <f>IF(OR(TaxOn&lt;&gt;"Yes",NOT(ISNUMBER(M77))),0,IF(IFERROR(INDEX(tt_Tax,MATCH(D77,tt_Type,0)),"No")="Yes",M77,0))</f>
        <v/>
      </c>
      <c r="X77" s="67">
        <f>IF(T77=1,"",IF(C77="","Missing transaction date",IF(NOT(ISNUMBER(C77)),"Invalid date",IF(OR(C77&lt;DATE(2000,1,1),C77&gt;DATE(2099,12,31)),"Invalid date",IF(D77="","Select a type",IF(U77="","Unknown type: "&amp;D77,IF(V77="","Select an account (Category)",IF(ISNA(MATCH(V77,coa_Name,0)),"Unknown account: "&amp;V77,IF(K77="","Select Paid From / Deposited To",IF(ISNA(MATCH(K77,coa_Name,0)),"Unknown account: "&amp;K77,IF(NOT(ISNUMBER(L77)),"Enter an amount",IF(L77=0,"Enter an amount",IF(ABS(W77)&gt;ABS(L77),"Tax is larger than the amount","")))))))))))))</f>
        <v/>
      </c>
      <c r="Y77" s="67">
        <f>IF(OR(T77=1,X77&lt;&gt;""),"",IF(AND(B77&lt;&gt;"",COUNTIF(tx_ID,B77)&gt;1),"Duplicate transaction ID",IF(AND(L77&lt;0,D77&lt;&gt;"Adjustment"),"Negative amount — check this entry",IF(AND(D77="Customer Payment",G77=""),"Add the customer",IF(AND(D77="Customer Payment",OR(J77="",COUNTIF(ar_No,J77&amp;"")=0)),"Invoice # in Reference not found on AR sheet",IF(AND(D77="Bill Payment",H77=""),"Add the vendor",IF(AND(D77="Bill Payment",OR(J77="",COUNTIFS(ap_No,J77&amp;"",ap_Party,H77&amp;"")=0)),"Bill # + vendor not found on AP sheet",IF(AND(ISNUMBER(M77),N(M77)&lt;&gt;0,W77=0),"Tax ignored (tax tracking off, or not allowed for this type)",IF(V77=K77&amp;"","Same account on both sides",IF(AND(ISNUMBER(StartDate),C77&lt;StartDate),"Date is before the accounting start date",IF(AND(D77&lt;&gt;"Adjustment",IFERROR(INDEX(coa_Pay,MATCH(K77&amp;"",coa_Name,0)),"")&lt;&gt;"Yes"),"Paid From / Deposited To is not a payment account","")))))))))))</f>
        <v/>
      </c>
      <c r="Z77" s="67">
        <f>IF(AND(T77=0,X77=""),1,0)</f>
        <v/>
      </c>
      <c r="AA77" s="68">
        <f>IF(Z77=1,IF(U77="In",L77,L77-W77),0)</f>
        <v/>
      </c>
      <c r="AB77" s="68">
        <f>IF(Z77=1,IF(U77="In",L77-W77,L77),0)</f>
        <v/>
      </c>
      <c r="AC77" s="68">
        <f>IF(AND(Z77=1,U77="Out"),W77,0)</f>
        <v/>
      </c>
      <c r="AD77" s="68">
        <f>IF(AND(Z77=1,U77="In"),W77,0)</f>
        <v/>
      </c>
    </row>
    <row r="78">
      <c r="B78" s="62" t="inlineStr">
        <is>
          <t>TX-0072</t>
        </is>
      </c>
      <c r="C78" s="63" t="n">
        <v>46085</v>
      </c>
      <c r="D78" s="62" t="inlineStr">
        <is>
          <t>Money In</t>
        </is>
      </c>
      <c r="E78" s="62" t="inlineStr">
        <is>
          <t>Product Sales</t>
        </is>
      </c>
      <c r="F78" s="62" t="inlineStr">
        <is>
          <t>Counter sales week 1</t>
        </is>
      </c>
      <c r="G78" s="62" t="n"/>
      <c r="H78" s="62" t="n"/>
      <c r="I78" s="62" t="inlineStr">
        <is>
          <t>Cash</t>
        </is>
      </c>
      <c r="J78" s="62" t="n"/>
      <c r="K78" s="62" t="inlineStr">
        <is>
          <t>Cash on Hand</t>
        </is>
      </c>
      <c r="L78" s="64" t="n">
        <v>54153.2</v>
      </c>
      <c r="M78" s="64" t="n">
        <v>5802.13</v>
      </c>
      <c r="N78" s="62" t="n"/>
      <c r="O78" s="65">
        <f>IF(Z78=1,L78-W78,"")</f>
        <v/>
      </c>
      <c r="P78" s="66">
        <f>IF(V78="","",IFERROR(INDEX(coa_Type,MATCH(V78,coa_Name,0)),""))</f>
        <v/>
      </c>
      <c r="Q78" s="66">
        <f>IF(Z78=1,IF(U78="In",K78&amp;"",V78),"")</f>
        <v/>
      </c>
      <c r="R78" s="66">
        <f>IF(Z78=1,IF(U78="In",V78,K78&amp;""),"")</f>
        <v/>
      </c>
      <c r="S78" s="66">
        <f>IF(X78&lt;&gt;"","⛔ "&amp;X78&amp;" — not posted",IF(Y78&lt;&gt;"","⚠ "&amp;Y78,IF(Z78=1,"✓ OK","")))</f>
        <v/>
      </c>
      <c r="T78" s="67">
        <f>IF(AND(C78="",D78="",E78="",L78="",K78=""),1,0)</f>
        <v/>
      </c>
      <c r="U78" s="67">
        <f>IFERROR(INDEX(tt_Dir,MATCH(D78,tt_Type,0)),"")</f>
        <v/>
      </c>
      <c r="V78" s="67">
        <f>IF(D78="","",IFERROR(IF(INDEX(tt_Other,MATCH(D78,tt_Type,0))="",E78&amp;"",INDEX(tt_Other,MATCH(D78,tt_Type,0))),""))</f>
        <v/>
      </c>
      <c r="W78" s="68">
        <f>IF(OR(TaxOn&lt;&gt;"Yes",NOT(ISNUMBER(M78))),0,IF(IFERROR(INDEX(tt_Tax,MATCH(D78,tt_Type,0)),"No")="Yes",M78,0))</f>
        <v/>
      </c>
      <c r="X78" s="67">
        <f>IF(T78=1,"",IF(C78="","Missing transaction date",IF(NOT(ISNUMBER(C78)),"Invalid date",IF(OR(C78&lt;DATE(2000,1,1),C78&gt;DATE(2099,12,31)),"Invalid date",IF(D78="","Select a type",IF(U78="","Unknown type: "&amp;D78,IF(V78="","Select an account (Category)",IF(ISNA(MATCH(V78,coa_Name,0)),"Unknown account: "&amp;V78,IF(K78="","Select Paid From / Deposited To",IF(ISNA(MATCH(K78,coa_Name,0)),"Unknown account: "&amp;K78,IF(NOT(ISNUMBER(L78)),"Enter an amount",IF(L78=0,"Enter an amount",IF(ABS(W78)&gt;ABS(L78),"Tax is larger than the amount","")))))))))))))</f>
        <v/>
      </c>
      <c r="Y78" s="67">
        <f>IF(OR(T78=1,X78&lt;&gt;""),"",IF(AND(B78&lt;&gt;"",COUNTIF(tx_ID,B78)&gt;1),"Duplicate transaction ID",IF(AND(L78&lt;0,D78&lt;&gt;"Adjustment"),"Negative amount — check this entry",IF(AND(D78="Customer Payment",G78=""),"Add the customer",IF(AND(D78="Customer Payment",OR(J78="",COUNTIF(ar_No,J78&amp;"")=0)),"Invoice # in Reference not found on AR sheet",IF(AND(D78="Bill Payment",H78=""),"Add the vendor",IF(AND(D78="Bill Payment",OR(J78="",COUNTIFS(ap_No,J78&amp;"",ap_Party,H78&amp;"")=0)),"Bill # + vendor not found on AP sheet",IF(AND(ISNUMBER(M78),N(M78)&lt;&gt;0,W78=0),"Tax ignored (tax tracking off, or not allowed for this type)",IF(V78=K78&amp;"","Same account on both sides",IF(AND(ISNUMBER(StartDate),C78&lt;StartDate),"Date is before the accounting start date",IF(AND(D78&lt;&gt;"Adjustment",IFERROR(INDEX(coa_Pay,MATCH(K78&amp;"",coa_Name,0)),"")&lt;&gt;"Yes"),"Paid From / Deposited To is not a payment account","")))))))))))</f>
        <v/>
      </c>
      <c r="Z78" s="67">
        <f>IF(AND(T78=0,X78=""),1,0)</f>
        <v/>
      </c>
      <c r="AA78" s="68">
        <f>IF(Z78=1,IF(U78="In",L78,L78-W78),0)</f>
        <v/>
      </c>
      <c r="AB78" s="68">
        <f>IF(Z78=1,IF(U78="In",L78-W78,L78),0)</f>
        <v/>
      </c>
      <c r="AC78" s="68">
        <f>IF(AND(Z78=1,U78="Out"),W78,0)</f>
        <v/>
      </c>
      <c r="AD78" s="68">
        <f>IF(AND(Z78=1,U78="In"),W78,0)</f>
        <v/>
      </c>
    </row>
    <row r="79">
      <c r="B79" s="62" t="inlineStr">
        <is>
          <t>TX-0073</t>
        </is>
      </c>
      <c r="C79" s="63" t="n">
        <v>46086</v>
      </c>
      <c r="D79" s="62" t="inlineStr">
        <is>
          <t>Money In</t>
        </is>
      </c>
      <c r="E79" s="62" t="inlineStr">
        <is>
          <t>Product Sales</t>
        </is>
      </c>
      <c r="F79" s="62" t="inlineStr">
        <is>
          <t>GCash / online orders week 1</t>
        </is>
      </c>
      <c r="G79" s="62" t="n"/>
      <c r="H79" s="62" t="n"/>
      <c r="I79" s="62" t="inlineStr">
        <is>
          <t>E-Wallet</t>
        </is>
      </c>
      <c r="J79" s="62" t="n"/>
      <c r="K79" s="62" t="inlineStr">
        <is>
          <t>E-Wallet / Online Payments</t>
        </is>
      </c>
      <c r="L79" s="64" t="n">
        <v>22503.88</v>
      </c>
      <c r="M79" s="64" t="n">
        <v>2411.13</v>
      </c>
      <c r="N79" s="62" t="n"/>
      <c r="O79" s="65">
        <f>IF(Z79=1,L79-W79,"")</f>
        <v/>
      </c>
      <c r="P79" s="66">
        <f>IF(V79="","",IFERROR(INDEX(coa_Type,MATCH(V79,coa_Name,0)),""))</f>
        <v/>
      </c>
      <c r="Q79" s="66">
        <f>IF(Z79=1,IF(U79="In",K79&amp;"",V79),"")</f>
        <v/>
      </c>
      <c r="R79" s="66">
        <f>IF(Z79=1,IF(U79="In",V79,K79&amp;""),"")</f>
        <v/>
      </c>
      <c r="S79" s="66">
        <f>IF(X79&lt;&gt;"","⛔ "&amp;X79&amp;" — not posted",IF(Y79&lt;&gt;"","⚠ "&amp;Y79,IF(Z79=1,"✓ OK","")))</f>
        <v/>
      </c>
      <c r="T79" s="67">
        <f>IF(AND(C79="",D79="",E79="",L79="",K79=""),1,0)</f>
        <v/>
      </c>
      <c r="U79" s="67">
        <f>IFERROR(INDEX(tt_Dir,MATCH(D79,tt_Type,0)),"")</f>
        <v/>
      </c>
      <c r="V79" s="67">
        <f>IF(D79="","",IFERROR(IF(INDEX(tt_Other,MATCH(D79,tt_Type,0))="",E79&amp;"",INDEX(tt_Other,MATCH(D79,tt_Type,0))),""))</f>
        <v/>
      </c>
      <c r="W79" s="68">
        <f>IF(OR(TaxOn&lt;&gt;"Yes",NOT(ISNUMBER(M79))),0,IF(IFERROR(INDEX(tt_Tax,MATCH(D79,tt_Type,0)),"No")="Yes",M79,0))</f>
        <v/>
      </c>
      <c r="X79" s="67">
        <f>IF(T79=1,"",IF(C79="","Missing transaction date",IF(NOT(ISNUMBER(C79)),"Invalid date",IF(OR(C79&lt;DATE(2000,1,1),C79&gt;DATE(2099,12,31)),"Invalid date",IF(D79="","Select a type",IF(U79="","Unknown type: "&amp;D79,IF(V79="","Select an account (Category)",IF(ISNA(MATCH(V79,coa_Name,0)),"Unknown account: "&amp;V79,IF(K79="","Select Paid From / Deposited To",IF(ISNA(MATCH(K79,coa_Name,0)),"Unknown account: "&amp;K79,IF(NOT(ISNUMBER(L79)),"Enter an amount",IF(L79=0,"Enter an amount",IF(ABS(W79)&gt;ABS(L79),"Tax is larger than the amount","")))))))))))))</f>
        <v/>
      </c>
      <c r="Y79" s="67">
        <f>IF(OR(T79=1,X79&lt;&gt;""),"",IF(AND(B79&lt;&gt;"",COUNTIF(tx_ID,B79)&gt;1),"Duplicate transaction ID",IF(AND(L79&lt;0,D79&lt;&gt;"Adjustment"),"Negative amount — check this entry",IF(AND(D79="Customer Payment",G79=""),"Add the customer",IF(AND(D79="Customer Payment",OR(J79="",COUNTIF(ar_No,J79&amp;"")=0)),"Invoice # in Reference not found on AR sheet",IF(AND(D79="Bill Payment",H79=""),"Add the vendor",IF(AND(D79="Bill Payment",OR(J79="",COUNTIFS(ap_No,J79&amp;"",ap_Party,H79&amp;"")=0)),"Bill # + vendor not found on AP sheet",IF(AND(ISNUMBER(M79),N(M79)&lt;&gt;0,W79=0),"Tax ignored (tax tracking off, or not allowed for this type)",IF(V79=K79&amp;"","Same account on both sides",IF(AND(ISNUMBER(StartDate),C79&lt;StartDate),"Date is before the accounting start date",IF(AND(D79&lt;&gt;"Adjustment",IFERROR(INDEX(coa_Pay,MATCH(K79&amp;"",coa_Name,0)),"")&lt;&gt;"Yes"),"Paid From / Deposited To is not a payment account","")))))))))))</f>
        <v/>
      </c>
      <c r="Z79" s="67">
        <f>IF(AND(T79=0,X79=""),1,0)</f>
        <v/>
      </c>
      <c r="AA79" s="68">
        <f>IF(Z79=1,IF(U79="In",L79,L79-W79),0)</f>
        <v/>
      </c>
      <c r="AB79" s="68">
        <f>IF(Z79=1,IF(U79="In",L79-W79,L79),0)</f>
        <v/>
      </c>
      <c r="AC79" s="68">
        <f>IF(AND(Z79=1,U79="Out"),W79,0)</f>
        <v/>
      </c>
      <c r="AD79" s="68">
        <f>IF(AND(Z79=1,U79="In"),W79,0)</f>
        <v/>
      </c>
    </row>
    <row r="80">
      <c r="B80" s="62" t="inlineStr">
        <is>
          <t>TX-0074</t>
        </is>
      </c>
      <c r="C80" s="63" t="n">
        <v>46086</v>
      </c>
      <c r="D80" s="62" t="inlineStr">
        <is>
          <t>Transfer</t>
        </is>
      </c>
      <c r="E80" s="62" t="inlineStr">
        <is>
          <t>Credit Card</t>
        </is>
      </c>
      <c r="F80" s="62" t="inlineStr">
        <is>
          <t>Credit card payment</t>
        </is>
      </c>
      <c r="G80" s="62" t="n"/>
      <c r="H80" s="62" t="n"/>
      <c r="I80" s="62" t="inlineStr">
        <is>
          <t>Bank Transfer</t>
        </is>
      </c>
      <c r="J80" s="62" t="n"/>
      <c r="K80" s="62" t="inlineStr">
        <is>
          <t>Bank Account</t>
        </is>
      </c>
      <c r="L80" s="64" t="n">
        <v>7039.97</v>
      </c>
      <c r="M80" s="64" t="n"/>
      <c r="N80" s="62" t="n"/>
      <c r="O80" s="65">
        <f>IF(Z80=1,L80-W80,"")</f>
        <v/>
      </c>
      <c r="P80" s="66">
        <f>IF(V80="","",IFERROR(INDEX(coa_Type,MATCH(V80,coa_Name,0)),""))</f>
        <v/>
      </c>
      <c r="Q80" s="66">
        <f>IF(Z80=1,IF(U80="In",K80&amp;"",V80),"")</f>
        <v/>
      </c>
      <c r="R80" s="66">
        <f>IF(Z80=1,IF(U80="In",V80,K80&amp;""),"")</f>
        <v/>
      </c>
      <c r="S80" s="66">
        <f>IF(X80&lt;&gt;"","⛔ "&amp;X80&amp;" — not posted",IF(Y80&lt;&gt;"","⚠ "&amp;Y80,IF(Z80=1,"✓ OK","")))</f>
        <v/>
      </c>
      <c r="T80" s="67">
        <f>IF(AND(C80="",D80="",E80="",L80="",K80=""),1,0)</f>
        <v/>
      </c>
      <c r="U80" s="67">
        <f>IFERROR(INDEX(tt_Dir,MATCH(D80,tt_Type,0)),"")</f>
        <v/>
      </c>
      <c r="V80" s="67">
        <f>IF(D80="","",IFERROR(IF(INDEX(tt_Other,MATCH(D80,tt_Type,0))="",E80&amp;"",INDEX(tt_Other,MATCH(D80,tt_Type,0))),""))</f>
        <v/>
      </c>
      <c r="W80" s="68">
        <f>IF(OR(TaxOn&lt;&gt;"Yes",NOT(ISNUMBER(M80))),0,IF(IFERROR(INDEX(tt_Tax,MATCH(D80,tt_Type,0)),"No")="Yes",M80,0))</f>
        <v/>
      </c>
      <c r="X80" s="67">
        <f>IF(T80=1,"",IF(C80="","Missing transaction date",IF(NOT(ISNUMBER(C80)),"Invalid date",IF(OR(C80&lt;DATE(2000,1,1),C80&gt;DATE(2099,12,31)),"Invalid date",IF(D80="","Select a type",IF(U80="","Unknown type: "&amp;D80,IF(V80="","Select an account (Category)",IF(ISNA(MATCH(V80,coa_Name,0)),"Unknown account: "&amp;V80,IF(K80="","Select Paid From / Deposited To",IF(ISNA(MATCH(K80,coa_Name,0)),"Unknown account: "&amp;K80,IF(NOT(ISNUMBER(L80)),"Enter an amount",IF(L80=0,"Enter an amount",IF(ABS(W80)&gt;ABS(L80),"Tax is larger than the amount","")))))))))))))</f>
        <v/>
      </c>
      <c r="Y80" s="67">
        <f>IF(OR(T80=1,X80&lt;&gt;""),"",IF(AND(B80&lt;&gt;"",COUNTIF(tx_ID,B80)&gt;1),"Duplicate transaction ID",IF(AND(L80&lt;0,D80&lt;&gt;"Adjustment"),"Negative amount — check this entry",IF(AND(D80="Customer Payment",G80=""),"Add the customer",IF(AND(D80="Customer Payment",OR(J80="",COUNTIF(ar_No,J80&amp;"")=0)),"Invoice # in Reference not found on AR sheet",IF(AND(D80="Bill Payment",H80=""),"Add the vendor",IF(AND(D80="Bill Payment",OR(J80="",COUNTIFS(ap_No,J80&amp;"",ap_Party,H80&amp;"")=0)),"Bill # + vendor not found on AP sheet",IF(AND(ISNUMBER(M80),N(M80)&lt;&gt;0,W80=0),"Tax ignored (tax tracking off, or not allowed for this type)",IF(V80=K80&amp;"","Same account on both sides",IF(AND(ISNUMBER(StartDate),C80&lt;StartDate),"Date is before the accounting start date",IF(AND(D80&lt;&gt;"Adjustment",IFERROR(INDEX(coa_Pay,MATCH(K80&amp;"",coa_Name,0)),"")&lt;&gt;"Yes"),"Paid From / Deposited To is not a payment account","")))))))))))</f>
        <v/>
      </c>
      <c r="Z80" s="67">
        <f>IF(AND(T80=0,X80=""),1,0)</f>
        <v/>
      </c>
      <c r="AA80" s="68">
        <f>IF(Z80=1,IF(U80="In",L80,L80-W80),0)</f>
        <v/>
      </c>
      <c r="AB80" s="68">
        <f>IF(Z80=1,IF(U80="In",L80-W80,L80),0)</f>
        <v/>
      </c>
      <c r="AC80" s="68">
        <f>IF(AND(Z80=1,U80="Out"),W80,0)</f>
        <v/>
      </c>
      <c r="AD80" s="68">
        <f>IF(AND(Z80=1,U80="In"),W80,0)</f>
        <v/>
      </c>
    </row>
    <row r="81">
      <c r="B81" s="62" t="inlineStr">
        <is>
          <t>TX-0075</t>
        </is>
      </c>
      <c r="C81" s="63" t="n">
        <v>46087</v>
      </c>
      <c r="D81" s="62" t="inlineStr">
        <is>
          <t>Transfer</t>
        </is>
      </c>
      <c r="E81" s="62" t="inlineStr">
        <is>
          <t>Bank Account</t>
        </is>
      </c>
      <c r="F81" s="62" t="inlineStr">
        <is>
          <t>Cash deposit to bank</t>
        </is>
      </c>
      <c r="G81" s="62" t="n"/>
      <c r="H81" s="62" t="n"/>
      <c r="I81" s="62" t="inlineStr">
        <is>
          <t>Cash</t>
        </is>
      </c>
      <c r="J81" s="62" t="n"/>
      <c r="K81" s="62" t="inlineStr">
        <is>
          <t>Cash on Hand</t>
        </is>
      </c>
      <c r="L81" s="64" t="n">
        <v>46000</v>
      </c>
      <c r="M81" s="64" t="n"/>
      <c r="N81" s="62" t="n"/>
      <c r="O81" s="65">
        <f>IF(Z81=1,L81-W81,"")</f>
        <v/>
      </c>
      <c r="P81" s="66">
        <f>IF(V81="","",IFERROR(INDEX(coa_Type,MATCH(V81,coa_Name,0)),""))</f>
        <v/>
      </c>
      <c r="Q81" s="66">
        <f>IF(Z81=1,IF(U81="In",K81&amp;"",V81),"")</f>
        <v/>
      </c>
      <c r="R81" s="66">
        <f>IF(Z81=1,IF(U81="In",V81,K81&amp;""),"")</f>
        <v/>
      </c>
      <c r="S81" s="66">
        <f>IF(X81&lt;&gt;"","⛔ "&amp;X81&amp;" — not posted",IF(Y81&lt;&gt;"","⚠ "&amp;Y81,IF(Z81=1,"✓ OK","")))</f>
        <v/>
      </c>
      <c r="T81" s="67">
        <f>IF(AND(C81="",D81="",E81="",L81="",K81=""),1,0)</f>
        <v/>
      </c>
      <c r="U81" s="67">
        <f>IFERROR(INDEX(tt_Dir,MATCH(D81,tt_Type,0)),"")</f>
        <v/>
      </c>
      <c r="V81" s="67">
        <f>IF(D81="","",IFERROR(IF(INDEX(tt_Other,MATCH(D81,tt_Type,0))="",E81&amp;"",INDEX(tt_Other,MATCH(D81,tt_Type,0))),""))</f>
        <v/>
      </c>
      <c r="W81" s="68">
        <f>IF(OR(TaxOn&lt;&gt;"Yes",NOT(ISNUMBER(M81))),0,IF(IFERROR(INDEX(tt_Tax,MATCH(D81,tt_Type,0)),"No")="Yes",M81,0))</f>
        <v/>
      </c>
      <c r="X81" s="67">
        <f>IF(T81=1,"",IF(C81="","Missing transaction date",IF(NOT(ISNUMBER(C81)),"Invalid date",IF(OR(C81&lt;DATE(2000,1,1),C81&gt;DATE(2099,12,31)),"Invalid date",IF(D81="","Select a type",IF(U81="","Unknown type: "&amp;D81,IF(V81="","Select an account (Category)",IF(ISNA(MATCH(V81,coa_Name,0)),"Unknown account: "&amp;V81,IF(K81="","Select Paid From / Deposited To",IF(ISNA(MATCH(K81,coa_Name,0)),"Unknown account: "&amp;K81,IF(NOT(ISNUMBER(L81)),"Enter an amount",IF(L81=0,"Enter an amount",IF(ABS(W81)&gt;ABS(L81),"Tax is larger than the amount","")))))))))))))</f>
        <v/>
      </c>
      <c r="Y81" s="67">
        <f>IF(OR(T81=1,X81&lt;&gt;""),"",IF(AND(B81&lt;&gt;"",COUNTIF(tx_ID,B81)&gt;1),"Duplicate transaction ID",IF(AND(L81&lt;0,D81&lt;&gt;"Adjustment"),"Negative amount — check this entry",IF(AND(D81="Customer Payment",G81=""),"Add the customer",IF(AND(D81="Customer Payment",OR(J81="",COUNTIF(ar_No,J81&amp;"")=0)),"Invoice # in Reference not found on AR sheet",IF(AND(D81="Bill Payment",H81=""),"Add the vendor",IF(AND(D81="Bill Payment",OR(J81="",COUNTIFS(ap_No,J81&amp;"",ap_Party,H81&amp;"")=0)),"Bill # + vendor not found on AP sheet",IF(AND(ISNUMBER(M81),N(M81)&lt;&gt;0,W81=0),"Tax ignored (tax tracking off, or not allowed for this type)",IF(V81=K81&amp;"","Same account on both sides",IF(AND(ISNUMBER(StartDate),C81&lt;StartDate),"Date is before the accounting start date",IF(AND(D81&lt;&gt;"Adjustment",IFERROR(INDEX(coa_Pay,MATCH(K81&amp;"",coa_Name,0)),"")&lt;&gt;"Yes"),"Paid From / Deposited To is not a payment account","")))))))))))</f>
        <v/>
      </c>
      <c r="Z81" s="67">
        <f>IF(AND(T81=0,X81=""),1,0)</f>
        <v/>
      </c>
      <c r="AA81" s="68">
        <f>IF(Z81=1,IF(U81="In",L81,L81-W81),0)</f>
        <v/>
      </c>
      <c r="AB81" s="68">
        <f>IF(Z81=1,IF(U81="In",L81-W81,L81),0)</f>
        <v/>
      </c>
      <c r="AC81" s="68">
        <f>IF(AND(Z81=1,U81="Out"),W81,0)</f>
        <v/>
      </c>
      <c r="AD81" s="68">
        <f>IF(AND(Z81=1,U81="In"),W81,0)</f>
        <v/>
      </c>
    </row>
    <row r="82">
      <c r="B82" s="62" t="inlineStr">
        <is>
          <t>TX-0076</t>
        </is>
      </c>
      <c r="C82" s="63" t="n">
        <v>46087</v>
      </c>
      <c r="D82" s="62" t="inlineStr">
        <is>
          <t>Money Out</t>
        </is>
      </c>
      <c r="E82" s="62" t="inlineStr">
        <is>
          <t>Other Direct Costs</t>
        </is>
      </c>
      <c r="F82" s="62" t="inlineStr">
        <is>
          <t>Boxes &amp; paper bags (market)</t>
        </is>
      </c>
      <c r="G82" s="62" t="n"/>
      <c r="H82" s="62" t="n"/>
      <c r="I82" s="62" t="inlineStr">
        <is>
          <t>Cash</t>
        </is>
      </c>
      <c r="J82" s="62" t="n"/>
      <c r="K82" s="62" t="inlineStr">
        <is>
          <t>Cash on Hand</t>
        </is>
      </c>
      <c r="L82" s="64" t="n">
        <v>4022.28</v>
      </c>
      <c r="M82" s="64" t="n">
        <v>430.96</v>
      </c>
      <c r="N82" s="62" t="n"/>
      <c r="O82" s="65">
        <f>IF(Z82=1,L82-W82,"")</f>
        <v/>
      </c>
      <c r="P82" s="66">
        <f>IF(V82="","",IFERROR(INDEX(coa_Type,MATCH(V82,coa_Name,0)),""))</f>
        <v/>
      </c>
      <c r="Q82" s="66">
        <f>IF(Z82=1,IF(U82="In",K82&amp;"",V82),"")</f>
        <v/>
      </c>
      <c r="R82" s="66">
        <f>IF(Z82=1,IF(U82="In",V82,K82&amp;""),"")</f>
        <v/>
      </c>
      <c r="S82" s="66">
        <f>IF(X82&lt;&gt;"","⛔ "&amp;X82&amp;" — not posted",IF(Y82&lt;&gt;"","⚠ "&amp;Y82,IF(Z82=1,"✓ OK","")))</f>
        <v/>
      </c>
      <c r="T82" s="67">
        <f>IF(AND(C82="",D82="",E82="",L82="",K82=""),1,0)</f>
        <v/>
      </c>
      <c r="U82" s="67">
        <f>IFERROR(INDEX(tt_Dir,MATCH(D82,tt_Type,0)),"")</f>
        <v/>
      </c>
      <c r="V82" s="67">
        <f>IF(D82="","",IFERROR(IF(INDEX(tt_Other,MATCH(D82,tt_Type,0))="",E82&amp;"",INDEX(tt_Other,MATCH(D82,tt_Type,0))),""))</f>
        <v/>
      </c>
      <c r="W82" s="68">
        <f>IF(OR(TaxOn&lt;&gt;"Yes",NOT(ISNUMBER(M82))),0,IF(IFERROR(INDEX(tt_Tax,MATCH(D82,tt_Type,0)),"No")="Yes",M82,0))</f>
        <v/>
      </c>
      <c r="X82" s="67">
        <f>IF(T82=1,"",IF(C82="","Missing transaction date",IF(NOT(ISNUMBER(C82)),"Invalid date",IF(OR(C82&lt;DATE(2000,1,1),C82&gt;DATE(2099,12,31)),"Invalid date",IF(D82="","Select a type",IF(U82="","Unknown type: "&amp;D82,IF(V82="","Select an account (Category)",IF(ISNA(MATCH(V82,coa_Name,0)),"Unknown account: "&amp;V82,IF(K82="","Select Paid From / Deposited To",IF(ISNA(MATCH(K82,coa_Name,0)),"Unknown account: "&amp;K82,IF(NOT(ISNUMBER(L82)),"Enter an amount",IF(L82=0,"Enter an amount",IF(ABS(W82)&gt;ABS(L82),"Tax is larger than the amount","")))))))))))))</f>
        <v/>
      </c>
      <c r="Y82" s="67">
        <f>IF(OR(T82=1,X82&lt;&gt;""),"",IF(AND(B82&lt;&gt;"",COUNTIF(tx_ID,B82)&gt;1),"Duplicate transaction ID",IF(AND(L82&lt;0,D82&lt;&gt;"Adjustment"),"Negative amount — check this entry",IF(AND(D82="Customer Payment",G82=""),"Add the customer",IF(AND(D82="Customer Payment",OR(J82="",COUNTIF(ar_No,J82&amp;"")=0)),"Invoice # in Reference not found on AR sheet",IF(AND(D82="Bill Payment",H82=""),"Add the vendor",IF(AND(D82="Bill Payment",OR(J82="",COUNTIFS(ap_No,J82&amp;"",ap_Party,H82&amp;"")=0)),"Bill # + vendor not found on AP sheet",IF(AND(ISNUMBER(M82),N(M82)&lt;&gt;0,W82=0),"Tax ignored (tax tracking off, or not allowed for this type)",IF(V82=K82&amp;"","Same account on both sides",IF(AND(ISNUMBER(StartDate),C82&lt;StartDate),"Date is before the accounting start date",IF(AND(D82&lt;&gt;"Adjustment",IFERROR(INDEX(coa_Pay,MATCH(K82&amp;"",coa_Name,0)),"")&lt;&gt;"Yes"),"Paid From / Deposited To is not a payment account","")))))))))))</f>
        <v/>
      </c>
      <c r="Z82" s="67">
        <f>IF(AND(T82=0,X82=""),1,0)</f>
        <v/>
      </c>
      <c r="AA82" s="68">
        <f>IF(Z82=1,IF(U82="In",L82,L82-W82),0)</f>
        <v/>
      </c>
      <c r="AB82" s="68">
        <f>IF(Z82=1,IF(U82="In",L82-W82,L82),0)</f>
        <v/>
      </c>
      <c r="AC82" s="68">
        <f>IF(AND(Z82=1,U82="Out"),W82,0)</f>
        <v/>
      </c>
      <c r="AD82" s="68">
        <f>IF(AND(Z82=1,U82="In"),W82,0)</f>
        <v/>
      </c>
    </row>
    <row r="83">
      <c r="B83" s="62" t="inlineStr">
        <is>
          <t>TX-0077</t>
        </is>
      </c>
      <c r="C83" s="63" t="n">
        <v>46089</v>
      </c>
      <c r="D83" s="62" t="inlineStr">
        <is>
          <t>Bill Payment</t>
        </is>
      </c>
      <c r="E83" s="62" t="n"/>
      <c r="F83" s="62" t="inlineStr">
        <is>
          <t>Supplier payment</t>
        </is>
      </c>
      <c r="G83" s="62" t="n"/>
      <c r="H83" s="62" t="inlineStr">
        <is>
          <t>Fresh Dairy Co.</t>
        </is>
      </c>
      <c r="I83" s="62" t="inlineStr">
        <is>
          <t>Bank Transfer</t>
        </is>
      </c>
      <c r="J83" s="62" t="inlineStr">
        <is>
          <t>FR-022</t>
        </is>
      </c>
      <c r="K83" s="62" t="inlineStr">
        <is>
          <t>Bank Account</t>
        </is>
      </c>
      <c r="L83" s="64" t="n">
        <v>19350.56</v>
      </c>
      <c r="M83" s="64" t="n"/>
      <c r="N83" s="62" t="n"/>
      <c r="O83" s="65">
        <f>IF(Z83=1,L83-W83,"")</f>
        <v/>
      </c>
      <c r="P83" s="66">
        <f>IF(V83="","",IFERROR(INDEX(coa_Type,MATCH(V83,coa_Name,0)),""))</f>
        <v/>
      </c>
      <c r="Q83" s="66">
        <f>IF(Z83=1,IF(U83="In",K83&amp;"",V83),"")</f>
        <v/>
      </c>
      <c r="R83" s="66">
        <f>IF(Z83=1,IF(U83="In",V83,K83&amp;""),"")</f>
        <v/>
      </c>
      <c r="S83" s="66">
        <f>IF(X83&lt;&gt;"","⛔ "&amp;X83&amp;" — not posted",IF(Y83&lt;&gt;"","⚠ "&amp;Y83,IF(Z83=1,"✓ OK","")))</f>
        <v/>
      </c>
      <c r="T83" s="67">
        <f>IF(AND(C83="",D83="",E83="",L83="",K83=""),1,0)</f>
        <v/>
      </c>
      <c r="U83" s="67">
        <f>IFERROR(INDEX(tt_Dir,MATCH(D83,tt_Type,0)),"")</f>
        <v/>
      </c>
      <c r="V83" s="67">
        <f>IF(D83="","",IFERROR(IF(INDEX(tt_Other,MATCH(D83,tt_Type,0))="",E83&amp;"",INDEX(tt_Other,MATCH(D83,tt_Type,0))),""))</f>
        <v/>
      </c>
      <c r="W83" s="68">
        <f>IF(OR(TaxOn&lt;&gt;"Yes",NOT(ISNUMBER(M83))),0,IF(IFERROR(INDEX(tt_Tax,MATCH(D83,tt_Type,0)),"No")="Yes",M83,0))</f>
        <v/>
      </c>
      <c r="X83" s="67">
        <f>IF(T83=1,"",IF(C83="","Missing transaction date",IF(NOT(ISNUMBER(C83)),"Invalid date",IF(OR(C83&lt;DATE(2000,1,1),C83&gt;DATE(2099,12,31)),"Invalid date",IF(D83="","Select a type",IF(U83="","Unknown type: "&amp;D83,IF(V83="","Select an account (Category)",IF(ISNA(MATCH(V83,coa_Name,0)),"Unknown account: "&amp;V83,IF(K83="","Select Paid From / Deposited To",IF(ISNA(MATCH(K83,coa_Name,0)),"Unknown account: "&amp;K83,IF(NOT(ISNUMBER(L83)),"Enter an amount",IF(L83=0,"Enter an amount",IF(ABS(W83)&gt;ABS(L83),"Tax is larger than the amount","")))))))))))))</f>
        <v/>
      </c>
      <c r="Y83" s="67">
        <f>IF(OR(T83=1,X83&lt;&gt;""),"",IF(AND(B83&lt;&gt;"",COUNTIF(tx_ID,B83)&gt;1),"Duplicate transaction ID",IF(AND(L83&lt;0,D83&lt;&gt;"Adjustment"),"Negative amount — check this entry",IF(AND(D83="Customer Payment",G83=""),"Add the customer",IF(AND(D83="Customer Payment",OR(J83="",COUNTIF(ar_No,J83&amp;"")=0)),"Invoice # in Reference not found on AR sheet",IF(AND(D83="Bill Payment",H83=""),"Add the vendor",IF(AND(D83="Bill Payment",OR(J83="",COUNTIFS(ap_No,J83&amp;"",ap_Party,H83&amp;"")=0)),"Bill # + vendor not found on AP sheet",IF(AND(ISNUMBER(M83),N(M83)&lt;&gt;0,W83=0),"Tax ignored (tax tracking off, or not allowed for this type)",IF(V83=K83&amp;"","Same account on both sides",IF(AND(ISNUMBER(StartDate),C83&lt;StartDate),"Date is before the accounting start date",IF(AND(D83&lt;&gt;"Adjustment",IFERROR(INDEX(coa_Pay,MATCH(K83&amp;"",coa_Name,0)),"")&lt;&gt;"Yes"),"Paid From / Deposited To is not a payment account","")))))))))))</f>
        <v/>
      </c>
      <c r="Z83" s="67">
        <f>IF(AND(T83=0,X83=""),1,0)</f>
        <v/>
      </c>
      <c r="AA83" s="68">
        <f>IF(Z83=1,IF(U83="In",L83,L83-W83),0)</f>
        <v/>
      </c>
      <c r="AB83" s="68">
        <f>IF(Z83=1,IF(U83="In",L83-W83,L83),0)</f>
        <v/>
      </c>
      <c r="AC83" s="68">
        <f>IF(AND(Z83=1,U83="Out"),W83,0)</f>
        <v/>
      </c>
      <c r="AD83" s="68">
        <f>IF(AND(Z83=1,U83="In"),W83,0)</f>
        <v/>
      </c>
    </row>
    <row r="84">
      <c r="B84" s="62" t="inlineStr">
        <is>
          <t>TX-0078</t>
        </is>
      </c>
      <c r="C84" s="63" t="n">
        <v>46089</v>
      </c>
      <c r="D84" s="62" t="inlineStr">
        <is>
          <t>Bill Payment</t>
        </is>
      </c>
      <c r="E84" s="62" t="n"/>
      <c r="F84" s="62" t="inlineStr">
        <is>
          <t>Supplier payment</t>
        </is>
      </c>
      <c r="G84" s="62" t="n"/>
      <c r="H84" s="62" t="inlineStr">
        <is>
          <t>PackRight Supplies</t>
        </is>
      </c>
      <c r="I84" s="62" t="inlineStr">
        <is>
          <t>Bank Transfer</t>
        </is>
      </c>
      <c r="J84" s="62" t="inlineStr">
        <is>
          <t>PA-021</t>
        </is>
      </c>
      <c r="K84" s="62" t="inlineStr">
        <is>
          <t>Bank Account</t>
        </is>
      </c>
      <c r="L84" s="64" t="n">
        <v>6988.51</v>
      </c>
      <c r="M84" s="64" t="n"/>
      <c r="N84" s="62" t="n"/>
      <c r="O84" s="65">
        <f>IF(Z84=1,L84-W84,"")</f>
        <v/>
      </c>
      <c r="P84" s="66">
        <f>IF(V84="","",IFERROR(INDEX(coa_Type,MATCH(V84,coa_Name,0)),""))</f>
        <v/>
      </c>
      <c r="Q84" s="66">
        <f>IF(Z84=1,IF(U84="In",K84&amp;"",V84),"")</f>
        <v/>
      </c>
      <c r="R84" s="66">
        <f>IF(Z84=1,IF(U84="In",V84,K84&amp;""),"")</f>
        <v/>
      </c>
      <c r="S84" s="66">
        <f>IF(X84&lt;&gt;"","⛔ "&amp;X84&amp;" — not posted",IF(Y84&lt;&gt;"","⚠ "&amp;Y84,IF(Z84=1,"✓ OK","")))</f>
        <v/>
      </c>
      <c r="T84" s="67">
        <f>IF(AND(C84="",D84="",E84="",L84="",K84=""),1,0)</f>
        <v/>
      </c>
      <c r="U84" s="67">
        <f>IFERROR(INDEX(tt_Dir,MATCH(D84,tt_Type,0)),"")</f>
        <v/>
      </c>
      <c r="V84" s="67">
        <f>IF(D84="","",IFERROR(IF(INDEX(tt_Other,MATCH(D84,tt_Type,0))="",E84&amp;"",INDEX(tt_Other,MATCH(D84,tt_Type,0))),""))</f>
        <v/>
      </c>
      <c r="W84" s="68">
        <f>IF(OR(TaxOn&lt;&gt;"Yes",NOT(ISNUMBER(M84))),0,IF(IFERROR(INDEX(tt_Tax,MATCH(D84,tt_Type,0)),"No")="Yes",M84,0))</f>
        <v/>
      </c>
      <c r="X84" s="67">
        <f>IF(T84=1,"",IF(C84="","Missing transaction date",IF(NOT(ISNUMBER(C84)),"Invalid date",IF(OR(C84&lt;DATE(2000,1,1),C84&gt;DATE(2099,12,31)),"Invalid date",IF(D84="","Select a type",IF(U84="","Unknown type: "&amp;D84,IF(V84="","Select an account (Category)",IF(ISNA(MATCH(V84,coa_Name,0)),"Unknown account: "&amp;V84,IF(K84="","Select Paid From / Deposited To",IF(ISNA(MATCH(K84,coa_Name,0)),"Unknown account: "&amp;K84,IF(NOT(ISNUMBER(L84)),"Enter an amount",IF(L84=0,"Enter an amount",IF(ABS(W84)&gt;ABS(L84),"Tax is larger than the amount","")))))))))))))</f>
        <v/>
      </c>
      <c r="Y84" s="67">
        <f>IF(OR(T84=1,X84&lt;&gt;""),"",IF(AND(B84&lt;&gt;"",COUNTIF(tx_ID,B84)&gt;1),"Duplicate transaction ID",IF(AND(L84&lt;0,D84&lt;&gt;"Adjustment"),"Negative amount — check this entry",IF(AND(D84="Customer Payment",G84=""),"Add the customer",IF(AND(D84="Customer Payment",OR(J84="",COUNTIF(ar_No,J84&amp;"")=0)),"Invoice # in Reference not found on AR sheet",IF(AND(D84="Bill Payment",H84=""),"Add the vendor",IF(AND(D84="Bill Payment",OR(J84="",COUNTIFS(ap_No,J84&amp;"",ap_Party,H84&amp;"")=0)),"Bill # + vendor not found on AP sheet",IF(AND(ISNUMBER(M84),N(M84)&lt;&gt;0,W84=0),"Tax ignored (tax tracking off, or not allowed for this type)",IF(V84=K84&amp;"","Same account on both sides",IF(AND(ISNUMBER(StartDate),C84&lt;StartDate),"Date is before the accounting start date",IF(AND(D84&lt;&gt;"Adjustment",IFERROR(INDEX(coa_Pay,MATCH(K84&amp;"",coa_Name,0)),"")&lt;&gt;"Yes"),"Paid From / Deposited To is not a payment account","")))))))))))</f>
        <v/>
      </c>
      <c r="Z84" s="67">
        <f>IF(AND(T84=0,X84=""),1,0)</f>
        <v/>
      </c>
      <c r="AA84" s="68">
        <f>IF(Z84=1,IF(U84="In",L84,L84-W84),0)</f>
        <v/>
      </c>
      <c r="AB84" s="68">
        <f>IF(Z84=1,IF(U84="In",L84-W84,L84),0)</f>
        <v/>
      </c>
      <c r="AC84" s="68">
        <f>IF(AND(Z84=1,U84="Out"),W84,0)</f>
        <v/>
      </c>
      <c r="AD84" s="68">
        <f>IF(AND(Z84=1,U84="In"),W84,0)</f>
        <v/>
      </c>
    </row>
    <row r="85">
      <c r="B85" s="62" t="inlineStr">
        <is>
          <t>TX-0079</t>
        </is>
      </c>
      <c r="C85" s="63" t="n">
        <v>46089</v>
      </c>
      <c r="D85" s="62" t="inlineStr">
        <is>
          <t>Money Out</t>
        </is>
      </c>
      <c r="E85" s="62" t="inlineStr">
        <is>
          <t>Advertising &amp; Marketing</t>
        </is>
      </c>
      <c r="F85" s="62" t="inlineStr">
        <is>
          <t>Facebook / Instagram ads</t>
        </is>
      </c>
      <c r="G85" s="62" t="n"/>
      <c r="H85" s="62" t="n"/>
      <c r="I85" s="62" t="inlineStr">
        <is>
          <t>Credit Card</t>
        </is>
      </c>
      <c r="J85" s="62" t="n"/>
      <c r="K85" s="62" t="inlineStr">
        <is>
          <t>Credit Card</t>
        </is>
      </c>
      <c r="L85" s="64" t="n">
        <v>5460.76</v>
      </c>
      <c r="M85" s="64" t="n">
        <v>585.08</v>
      </c>
      <c r="N85" s="62" t="n"/>
      <c r="O85" s="65">
        <f>IF(Z85=1,L85-W85,"")</f>
        <v/>
      </c>
      <c r="P85" s="66">
        <f>IF(V85="","",IFERROR(INDEX(coa_Type,MATCH(V85,coa_Name,0)),""))</f>
        <v/>
      </c>
      <c r="Q85" s="66">
        <f>IF(Z85=1,IF(U85="In",K85&amp;"",V85),"")</f>
        <v/>
      </c>
      <c r="R85" s="66">
        <f>IF(Z85=1,IF(U85="In",V85,K85&amp;""),"")</f>
        <v/>
      </c>
      <c r="S85" s="66">
        <f>IF(X85&lt;&gt;"","⛔ "&amp;X85&amp;" — not posted",IF(Y85&lt;&gt;"","⚠ "&amp;Y85,IF(Z85=1,"✓ OK","")))</f>
        <v/>
      </c>
      <c r="T85" s="67">
        <f>IF(AND(C85="",D85="",E85="",L85="",K85=""),1,0)</f>
        <v/>
      </c>
      <c r="U85" s="67">
        <f>IFERROR(INDEX(tt_Dir,MATCH(D85,tt_Type,0)),"")</f>
        <v/>
      </c>
      <c r="V85" s="67">
        <f>IF(D85="","",IFERROR(IF(INDEX(tt_Other,MATCH(D85,tt_Type,0))="",E85&amp;"",INDEX(tt_Other,MATCH(D85,tt_Type,0))),""))</f>
        <v/>
      </c>
      <c r="W85" s="68">
        <f>IF(OR(TaxOn&lt;&gt;"Yes",NOT(ISNUMBER(M85))),0,IF(IFERROR(INDEX(tt_Tax,MATCH(D85,tt_Type,0)),"No")="Yes",M85,0))</f>
        <v/>
      </c>
      <c r="X85" s="67">
        <f>IF(T85=1,"",IF(C85="","Missing transaction date",IF(NOT(ISNUMBER(C85)),"Invalid date",IF(OR(C85&lt;DATE(2000,1,1),C85&gt;DATE(2099,12,31)),"Invalid date",IF(D85="","Select a type",IF(U85="","Unknown type: "&amp;D85,IF(V85="","Select an account (Category)",IF(ISNA(MATCH(V85,coa_Name,0)),"Unknown account: "&amp;V85,IF(K85="","Select Paid From / Deposited To",IF(ISNA(MATCH(K85,coa_Name,0)),"Unknown account: "&amp;K85,IF(NOT(ISNUMBER(L85)),"Enter an amount",IF(L85=0,"Enter an amount",IF(ABS(W85)&gt;ABS(L85),"Tax is larger than the amount","")))))))))))))</f>
        <v/>
      </c>
      <c r="Y85" s="67">
        <f>IF(OR(T85=1,X85&lt;&gt;""),"",IF(AND(B85&lt;&gt;"",COUNTIF(tx_ID,B85)&gt;1),"Duplicate transaction ID",IF(AND(L85&lt;0,D85&lt;&gt;"Adjustment"),"Negative amount — check this entry",IF(AND(D85="Customer Payment",G85=""),"Add the customer",IF(AND(D85="Customer Payment",OR(J85="",COUNTIF(ar_No,J85&amp;"")=0)),"Invoice # in Reference not found on AR sheet",IF(AND(D85="Bill Payment",H85=""),"Add the vendor",IF(AND(D85="Bill Payment",OR(J85="",COUNTIFS(ap_No,J85&amp;"",ap_Party,H85&amp;"")=0)),"Bill # + vendor not found on AP sheet",IF(AND(ISNUMBER(M85),N(M85)&lt;&gt;0,W85=0),"Tax ignored (tax tracking off, or not allowed for this type)",IF(V85=K85&amp;"","Same account on both sides",IF(AND(ISNUMBER(StartDate),C85&lt;StartDate),"Date is before the accounting start date",IF(AND(D85&lt;&gt;"Adjustment",IFERROR(INDEX(coa_Pay,MATCH(K85&amp;"",coa_Name,0)),"")&lt;&gt;"Yes"),"Paid From / Deposited To is not a payment account","")))))))))))</f>
        <v/>
      </c>
      <c r="Z85" s="67">
        <f>IF(AND(T85=0,X85=""),1,0)</f>
        <v/>
      </c>
      <c r="AA85" s="68">
        <f>IF(Z85=1,IF(U85="In",L85,L85-W85),0)</f>
        <v/>
      </c>
      <c r="AB85" s="68">
        <f>IF(Z85=1,IF(U85="In",L85-W85,L85),0)</f>
        <v/>
      </c>
      <c r="AC85" s="68">
        <f>IF(AND(Z85=1,U85="Out"),W85,0)</f>
        <v/>
      </c>
      <c r="AD85" s="68">
        <f>IF(AND(Z85=1,U85="In"),W85,0)</f>
        <v/>
      </c>
    </row>
    <row r="86">
      <c r="B86" s="62" t="inlineStr">
        <is>
          <t>TX-0080</t>
        </is>
      </c>
      <c r="C86" s="63" t="n">
        <v>46090</v>
      </c>
      <c r="D86" s="62" t="inlineStr">
        <is>
          <t>Money Out</t>
        </is>
      </c>
      <c r="E86" s="62" t="inlineStr">
        <is>
          <t>Software &amp; Subscriptions</t>
        </is>
      </c>
      <c r="F86" s="62" t="inlineStr">
        <is>
          <t>POS app subscription</t>
        </is>
      </c>
      <c r="G86" s="62" t="n"/>
      <c r="H86" s="62" t="n"/>
      <c r="I86" s="62" t="inlineStr">
        <is>
          <t>Credit Card</t>
        </is>
      </c>
      <c r="J86" s="62" t="n"/>
      <c r="K86" s="62" t="inlineStr">
        <is>
          <t>Credit Card</t>
        </is>
      </c>
      <c r="L86" s="64" t="n">
        <v>1450</v>
      </c>
      <c r="M86" s="64" t="n">
        <v>155.36</v>
      </c>
      <c r="N86" s="62" t="n"/>
      <c r="O86" s="65">
        <f>IF(Z86=1,L86-W86,"")</f>
        <v/>
      </c>
      <c r="P86" s="66">
        <f>IF(V86="","",IFERROR(INDEX(coa_Type,MATCH(V86,coa_Name,0)),""))</f>
        <v/>
      </c>
      <c r="Q86" s="66">
        <f>IF(Z86=1,IF(U86="In",K86&amp;"",V86),"")</f>
        <v/>
      </c>
      <c r="R86" s="66">
        <f>IF(Z86=1,IF(U86="In",V86,K86&amp;""),"")</f>
        <v/>
      </c>
      <c r="S86" s="66">
        <f>IF(X86&lt;&gt;"","⛔ "&amp;X86&amp;" — not posted",IF(Y86&lt;&gt;"","⚠ "&amp;Y86,IF(Z86=1,"✓ OK","")))</f>
        <v/>
      </c>
      <c r="T86" s="67">
        <f>IF(AND(C86="",D86="",E86="",L86="",K86=""),1,0)</f>
        <v/>
      </c>
      <c r="U86" s="67">
        <f>IFERROR(INDEX(tt_Dir,MATCH(D86,tt_Type,0)),"")</f>
        <v/>
      </c>
      <c r="V86" s="67">
        <f>IF(D86="","",IFERROR(IF(INDEX(tt_Other,MATCH(D86,tt_Type,0))="",E86&amp;"",INDEX(tt_Other,MATCH(D86,tt_Type,0))),""))</f>
        <v/>
      </c>
      <c r="W86" s="68">
        <f>IF(OR(TaxOn&lt;&gt;"Yes",NOT(ISNUMBER(M86))),0,IF(IFERROR(INDEX(tt_Tax,MATCH(D86,tt_Type,0)),"No")="Yes",M86,0))</f>
        <v/>
      </c>
      <c r="X86" s="67">
        <f>IF(T86=1,"",IF(C86="","Missing transaction date",IF(NOT(ISNUMBER(C86)),"Invalid date",IF(OR(C86&lt;DATE(2000,1,1),C86&gt;DATE(2099,12,31)),"Invalid date",IF(D86="","Select a type",IF(U86="","Unknown type: "&amp;D86,IF(V86="","Select an account (Category)",IF(ISNA(MATCH(V86,coa_Name,0)),"Unknown account: "&amp;V86,IF(K86="","Select Paid From / Deposited To",IF(ISNA(MATCH(K86,coa_Name,0)),"Unknown account: "&amp;K86,IF(NOT(ISNUMBER(L86)),"Enter an amount",IF(L86=0,"Enter an amount",IF(ABS(W86)&gt;ABS(L86),"Tax is larger than the amount","")))))))))))))</f>
        <v/>
      </c>
      <c r="Y86" s="67">
        <f>IF(OR(T86=1,X86&lt;&gt;""),"",IF(AND(B86&lt;&gt;"",COUNTIF(tx_ID,B86)&gt;1),"Duplicate transaction ID",IF(AND(L86&lt;0,D86&lt;&gt;"Adjustment"),"Negative amount — check this entry",IF(AND(D86="Customer Payment",G86=""),"Add the customer",IF(AND(D86="Customer Payment",OR(J86="",COUNTIF(ar_No,J86&amp;"")=0)),"Invoice # in Reference not found on AR sheet",IF(AND(D86="Bill Payment",H86=""),"Add the vendor",IF(AND(D86="Bill Payment",OR(J86="",COUNTIFS(ap_No,J86&amp;"",ap_Party,H86&amp;"")=0)),"Bill # + vendor not found on AP sheet",IF(AND(ISNUMBER(M86),N(M86)&lt;&gt;0,W86=0),"Tax ignored (tax tracking off, or not allowed for this type)",IF(V86=K86&amp;"","Same account on both sides",IF(AND(ISNUMBER(StartDate),C86&lt;StartDate),"Date is before the accounting start date",IF(AND(D86&lt;&gt;"Adjustment",IFERROR(INDEX(coa_Pay,MATCH(K86&amp;"",coa_Name,0)),"")&lt;&gt;"Yes"),"Paid From / Deposited To is not a payment account","")))))))))))</f>
        <v/>
      </c>
      <c r="Z86" s="67">
        <f>IF(AND(T86=0,X86=""),1,0)</f>
        <v/>
      </c>
      <c r="AA86" s="68">
        <f>IF(Z86=1,IF(U86="In",L86,L86-W86),0)</f>
        <v/>
      </c>
      <c r="AB86" s="68">
        <f>IF(Z86=1,IF(U86="In",L86-W86,L86),0)</f>
        <v/>
      </c>
      <c r="AC86" s="68">
        <f>IF(AND(Z86=1,U86="Out"),W86,0)</f>
        <v/>
      </c>
      <c r="AD86" s="68">
        <f>IF(AND(Z86=1,U86="In"),W86,0)</f>
        <v/>
      </c>
    </row>
    <row r="87">
      <c r="B87" s="62" t="inlineStr">
        <is>
          <t>TX-0081</t>
        </is>
      </c>
      <c r="C87" s="63" t="n">
        <v>46091</v>
      </c>
      <c r="D87" s="62" t="inlineStr">
        <is>
          <t>Money Out</t>
        </is>
      </c>
      <c r="E87" s="62" t="inlineStr">
        <is>
          <t>Loans Payable</t>
        </is>
      </c>
      <c r="F87" s="62" t="inlineStr">
        <is>
          <t>Loan principal</t>
        </is>
      </c>
      <c r="G87" s="62" t="n"/>
      <c r="H87" s="62" t="n"/>
      <c r="I87" s="62" t="inlineStr">
        <is>
          <t>Bank Transfer</t>
        </is>
      </c>
      <c r="J87" s="62" t="inlineStr">
        <is>
          <t>LOAN</t>
        </is>
      </c>
      <c r="K87" s="62" t="inlineStr">
        <is>
          <t>Bank Account</t>
        </is>
      </c>
      <c r="L87" s="64" t="n">
        <v>8000</v>
      </c>
      <c r="M87" s="64" t="n"/>
      <c r="N87" s="62" t="n"/>
      <c r="O87" s="65">
        <f>IF(Z87=1,L87-W87,"")</f>
        <v/>
      </c>
      <c r="P87" s="66">
        <f>IF(V87="","",IFERROR(INDEX(coa_Type,MATCH(V87,coa_Name,0)),""))</f>
        <v/>
      </c>
      <c r="Q87" s="66">
        <f>IF(Z87=1,IF(U87="In",K87&amp;"",V87),"")</f>
        <v/>
      </c>
      <c r="R87" s="66">
        <f>IF(Z87=1,IF(U87="In",V87,K87&amp;""),"")</f>
        <v/>
      </c>
      <c r="S87" s="66">
        <f>IF(X87&lt;&gt;"","⛔ "&amp;X87&amp;" — not posted",IF(Y87&lt;&gt;"","⚠ "&amp;Y87,IF(Z87=1,"✓ OK","")))</f>
        <v/>
      </c>
      <c r="T87" s="67">
        <f>IF(AND(C87="",D87="",E87="",L87="",K87=""),1,0)</f>
        <v/>
      </c>
      <c r="U87" s="67">
        <f>IFERROR(INDEX(tt_Dir,MATCH(D87,tt_Type,0)),"")</f>
        <v/>
      </c>
      <c r="V87" s="67">
        <f>IF(D87="","",IFERROR(IF(INDEX(tt_Other,MATCH(D87,tt_Type,0))="",E87&amp;"",INDEX(tt_Other,MATCH(D87,tt_Type,0))),""))</f>
        <v/>
      </c>
      <c r="W87" s="68">
        <f>IF(OR(TaxOn&lt;&gt;"Yes",NOT(ISNUMBER(M87))),0,IF(IFERROR(INDEX(tt_Tax,MATCH(D87,tt_Type,0)),"No")="Yes",M87,0))</f>
        <v/>
      </c>
      <c r="X87" s="67">
        <f>IF(T87=1,"",IF(C87="","Missing transaction date",IF(NOT(ISNUMBER(C87)),"Invalid date",IF(OR(C87&lt;DATE(2000,1,1),C87&gt;DATE(2099,12,31)),"Invalid date",IF(D87="","Select a type",IF(U87="","Unknown type: "&amp;D87,IF(V87="","Select an account (Category)",IF(ISNA(MATCH(V87,coa_Name,0)),"Unknown account: "&amp;V87,IF(K87="","Select Paid From / Deposited To",IF(ISNA(MATCH(K87,coa_Name,0)),"Unknown account: "&amp;K87,IF(NOT(ISNUMBER(L87)),"Enter an amount",IF(L87=0,"Enter an amount",IF(ABS(W87)&gt;ABS(L87),"Tax is larger than the amount","")))))))))))))</f>
        <v/>
      </c>
      <c r="Y87" s="67">
        <f>IF(OR(T87=1,X87&lt;&gt;""),"",IF(AND(B87&lt;&gt;"",COUNTIF(tx_ID,B87)&gt;1),"Duplicate transaction ID",IF(AND(L87&lt;0,D87&lt;&gt;"Adjustment"),"Negative amount — check this entry",IF(AND(D87="Customer Payment",G87=""),"Add the customer",IF(AND(D87="Customer Payment",OR(J87="",COUNTIF(ar_No,J87&amp;"")=0)),"Invoice # in Reference not found on AR sheet",IF(AND(D87="Bill Payment",H87=""),"Add the vendor",IF(AND(D87="Bill Payment",OR(J87="",COUNTIFS(ap_No,J87&amp;"",ap_Party,H87&amp;"")=0)),"Bill # + vendor not found on AP sheet",IF(AND(ISNUMBER(M87),N(M87)&lt;&gt;0,W87=0),"Tax ignored (tax tracking off, or not allowed for this type)",IF(V87=K87&amp;"","Same account on both sides",IF(AND(ISNUMBER(StartDate),C87&lt;StartDate),"Date is before the accounting start date",IF(AND(D87&lt;&gt;"Adjustment",IFERROR(INDEX(coa_Pay,MATCH(K87&amp;"",coa_Name,0)),"")&lt;&gt;"Yes"),"Paid From / Deposited To is not a payment account","")))))))))))</f>
        <v/>
      </c>
      <c r="Z87" s="67">
        <f>IF(AND(T87=0,X87=""),1,0)</f>
        <v/>
      </c>
      <c r="AA87" s="68">
        <f>IF(Z87=1,IF(U87="In",L87,L87-W87),0)</f>
        <v/>
      </c>
      <c r="AB87" s="68">
        <f>IF(Z87=1,IF(U87="In",L87-W87,L87),0)</f>
        <v/>
      </c>
      <c r="AC87" s="68">
        <f>IF(AND(Z87=1,U87="Out"),W87,0)</f>
        <v/>
      </c>
      <c r="AD87" s="68">
        <f>IF(AND(Z87=1,U87="In"),W87,0)</f>
        <v/>
      </c>
    </row>
    <row r="88">
      <c r="B88" s="62" t="inlineStr">
        <is>
          <t>TX-0082</t>
        </is>
      </c>
      <c r="C88" s="63" t="n">
        <v>46091</v>
      </c>
      <c r="D88" s="62" t="inlineStr">
        <is>
          <t>Money Out</t>
        </is>
      </c>
      <c r="E88" s="62" t="inlineStr">
        <is>
          <t>Interest Expense</t>
        </is>
      </c>
      <c r="F88" s="62" t="inlineStr">
        <is>
          <t>Loan interest</t>
        </is>
      </c>
      <c r="G88" s="62" t="n"/>
      <c r="H88" s="62" t="n"/>
      <c r="I88" s="62" t="inlineStr">
        <is>
          <t>Bank Transfer</t>
        </is>
      </c>
      <c r="J88" s="62" t="inlineStr">
        <is>
          <t>LOAN</t>
        </is>
      </c>
      <c r="K88" s="62" t="inlineStr">
        <is>
          <t>Bank Account</t>
        </is>
      </c>
      <c r="L88" s="64" t="n">
        <v>1380</v>
      </c>
      <c r="M88" s="64" t="n"/>
      <c r="N88" s="62" t="n"/>
      <c r="O88" s="65">
        <f>IF(Z88=1,L88-W88,"")</f>
        <v/>
      </c>
      <c r="P88" s="66">
        <f>IF(V88="","",IFERROR(INDEX(coa_Type,MATCH(V88,coa_Name,0)),""))</f>
        <v/>
      </c>
      <c r="Q88" s="66">
        <f>IF(Z88=1,IF(U88="In",K88&amp;"",V88),"")</f>
        <v/>
      </c>
      <c r="R88" s="66">
        <f>IF(Z88=1,IF(U88="In",V88,K88&amp;""),"")</f>
        <v/>
      </c>
      <c r="S88" s="66">
        <f>IF(X88&lt;&gt;"","⛔ "&amp;X88&amp;" — not posted",IF(Y88&lt;&gt;"","⚠ "&amp;Y88,IF(Z88=1,"✓ OK","")))</f>
        <v/>
      </c>
      <c r="T88" s="67">
        <f>IF(AND(C88="",D88="",E88="",L88="",K88=""),1,0)</f>
        <v/>
      </c>
      <c r="U88" s="67">
        <f>IFERROR(INDEX(tt_Dir,MATCH(D88,tt_Type,0)),"")</f>
        <v/>
      </c>
      <c r="V88" s="67">
        <f>IF(D88="","",IFERROR(IF(INDEX(tt_Other,MATCH(D88,tt_Type,0))="",E88&amp;"",INDEX(tt_Other,MATCH(D88,tt_Type,0))),""))</f>
        <v/>
      </c>
      <c r="W88" s="68">
        <f>IF(OR(TaxOn&lt;&gt;"Yes",NOT(ISNUMBER(M88))),0,IF(IFERROR(INDEX(tt_Tax,MATCH(D88,tt_Type,0)),"No")="Yes",M88,0))</f>
        <v/>
      </c>
      <c r="X88" s="67">
        <f>IF(T88=1,"",IF(C88="","Missing transaction date",IF(NOT(ISNUMBER(C88)),"Invalid date",IF(OR(C88&lt;DATE(2000,1,1),C88&gt;DATE(2099,12,31)),"Invalid date",IF(D88="","Select a type",IF(U88="","Unknown type: "&amp;D88,IF(V88="","Select an account (Category)",IF(ISNA(MATCH(V88,coa_Name,0)),"Unknown account: "&amp;V88,IF(K88="","Select Paid From / Deposited To",IF(ISNA(MATCH(K88,coa_Name,0)),"Unknown account: "&amp;K88,IF(NOT(ISNUMBER(L88)),"Enter an amount",IF(L88=0,"Enter an amount",IF(ABS(W88)&gt;ABS(L88),"Tax is larger than the amount","")))))))))))))</f>
        <v/>
      </c>
      <c r="Y88" s="67">
        <f>IF(OR(T88=1,X88&lt;&gt;""),"",IF(AND(B88&lt;&gt;"",COUNTIF(tx_ID,B88)&gt;1),"Duplicate transaction ID",IF(AND(L88&lt;0,D88&lt;&gt;"Adjustment"),"Negative amount — check this entry",IF(AND(D88="Customer Payment",G88=""),"Add the customer",IF(AND(D88="Customer Payment",OR(J88="",COUNTIF(ar_No,J88&amp;"")=0)),"Invoice # in Reference not found on AR sheet",IF(AND(D88="Bill Payment",H88=""),"Add the vendor",IF(AND(D88="Bill Payment",OR(J88="",COUNTIFS(ap_No,J88&amp;"",ap_Party,H88&amp;"")=0)),"Bill # + vendor not found on AP sheet",IF(AND(ISNUMBER(M88),N(M88)&lt;&gt;0,W88=0),"Tax ignored (tax tracking off, or not allowed for this type)",IF(V88=K88&amp;"","Same account on both sides",IF(AND(ISNUMBER(StartDate),C88&lt;StartDate),"Date is before the accounting start date",IF(AND(D88&lt;&gt;"Adjustment",IFERROR(INDEX(coa_Pay,MATCH(K88&amp;"",coa_Name,0)),"")&lt;&gt;"Yes"),"Paid From / Deposited To is not a payment account","")))))))))))</f>
        <v/>
      </c>
      <c r="Z88" s="67">
        <f>IF(AND(T88=0,X88=""),1,0)</f>
        <v/>
      </c>
      <c r="AA88" s="68">
        <f>IF(Z88=1,IF(U88="In",L88,L88-W88),0)</f>
        <v/>
      </c>
      <c r="AB88" s="68">
        <f>IF(Z88=1,IF(U88="In",L88-W88,L88),0)</f>
        <v/>
      </c>
      <c r="AC88" s="68">
        <f>IF(AND(Z88=1,U88="Out"),W88,0)</f>
        <v/>
      </c>
      <c r="AD88" s="68">
        <f>IF(AND(Z88=1,U88="In"),W88,0)</f>
        <v/>
      </c>
    </row>
    <row r="89">
      <c r="B89" s="62" t="inlineStr">
        <is>
          <t>TX-0083</t>
        </is>
      </c>
      <c r="C89" s="63" t="n">
        <v>46092</v>
      </c>
      <c r="D89" s="62" t="inlineStr">
        <is>
          <t>Money In</t>
        </is>
      </c>
      <c r="E89" s="62" t="inlineStr">
        <is>
          <t>Product Sales</t>
        </is>
      </c>
      <c r="F89" s="62" t="inlineStr">
        <is>
          <t>Counter sales week 2</t>
        </is>
      </c>
      <c r="G89" s="62" t="n"/>
      <c r="H89" s="62" t="n"/>
      <c r="I89" s="62" t="inlineStr">
        <is>
          <t>Cash</t>
        </is>
      </c>
      <c r="J89" s="62" t="n"/>
      <c r="K89" s="62" t="inlineStr">
        <is>
          <t>Cash on Hand</t>
        </is>
      </c>
      <c r="L89" s="64" t="n">
        <v>59824.8</v>
      </c>
      <c r="M89" s="64" t="n">
        <v>6409.8</v>
      </c>
      <c r="N89" s="62" t="n"/>
      <c r="O89" s="65">
        <f>IF(Z89=1,L89-W89,"")</f>
        <v/>
      </c>
      <c r="P89" s="66">
        <f>IF(V89="","",IFERROR(INDEX(coa_Type,MATCH(V89,coa_Name,0)),""))</f>
        <v/>
      </c>
      <c r="Q89" s="66">
        <f>IF(Z89=1,IF(U89="In",K89&amp;"",V89),"")</f>
        <v/>
      </c>
      <c r="R89" s="66">
        <f>IF(Z89=1,IF(U89="In",V89,K89&amp;""),"")</f>
        <v/>
      </c>
      <c r="S89" s="66">
        <f>IF(X89&lt;&gt;"","⛔ "&amp;X89&amp;" — not posted",IF(Y89&lt;&gt;"","⚠ "&amp;Y89,IF(Z89=1,"✓ OK","")))</f>
        <v/>
      </c>
      <c r="T89" s="67">
        <f>IF(AND(C89="",D89="",E89="",L89="",K89=""),1,0)</f>
        <v/>
      </c>
      <c r="U89" s="67">
        <f>IFERROR(INDEX(tt_Dir,MATCH(D89,tt_Type,0)),"")</f>
        <v/>
      </c>
      <c r="V89" s="67">
        <f>IF(D89="","",IFERROR(IF(INDEX(tt_Other,MATCH(D89,tt_Type,0))="",E89&amp;"",INDEX(tt_Other,MATCH(D89,tt_Type,0))),""))</f>
        <v/>
      </c>
      <c r="W89" s="68">
        <f>IF(OR(TaxOn&lt;&gt;"Yes",NOT(ISNUMBER(M89))),0,IF(IFERROR(INDEX(tt_Tax,MATCH(D89,tt_Type,0)),"No")="Yes",M89,0))</f>
        <v/>
      </c>
      <c r="X89" s="67">
        <f>IF(T89=1,"",IF(C89="","Missing transaction date",IF(NOT(ISNUMBER(C89)),"Invalid date",IF(OR(C89&lt;DATE(2000,1,1),C89&gt;DATE(2099,12,31)),"Invalid date",IF(D89="","Select a type",IF(U89="","Unknown type: "&amp;D89,IF(V89="","Select an account (Category)",IF(ISNA(MATCH(V89,coa_Name,0)),"Unknown account: "&amp;V89,IF(K89="","Select Paid From / Deposited To",IF(ISNA(MATCH(K89,coa_Name,0)),"Unknown account: "&amp;K89,IF(NOT(ISNUMBER(L89)),"Enter an amount",IF(L89=0,"Enter an amount",IF(ABS(W89)&gt;ABS(L89),"Tax is larger than the amount","")))))))))))))</f>
        <v/>
      </c>
      <c r="Y89" s="67">
        <f>IF(OR(T89=1,X89&lt;&gt;""),"",IF(AND(B89&lt;&gt;"",COUNTIF(tx_ID,B89)&gt;1),"Duplicate transaction ID",IF(AND(L89&lt;0,D89&lt;&gt;"Adjustment"),"Negative amount — check this entry",IF(AND(D89="Customer Payment",G89=""),"Add the customer",IF(AND(D89="Customer Payment",OR(J89="",COUNTIF(ar_No,J89&amp;"")=0)),"Invoice # in Reference not found on AR sheet",IF(AND(D89="Bill Payment",H89=""),"Add the vendor",IF(AND(D89="Bill Payment",OR(J89="",COUNTIFS(ap_No,J89&amp;"",ap_Party,H89&amp;"")=0)),"Bill # + vendor not found on AP sheet",IF(AND(ISNUMBER(M89),N(M89)&lt;&gt;0,W89=0),"Tax ignored (tax tracking off, or not allowed for this type)",IF(V89=K89&amp;"","Same account on both sides",IF(AND(ISNUMBER(StartDate),C89&lt;StartDate),"Date is before the accounting start date",IF(AND(D89&lt;&gt;"Adjustment",IFERROR(INDEX(coa_Pay,MATCH(K89&amp;"",coa_Name,0)),"")&lt;&gt;"Yes"),"Paid From / Deposited To is not a payment account","")))))))))))</f>
        <v/>
      </c>
      <c r="Z89" s="67">
        <f>IF(AND(T89=0,X89=""),1,0)</f>
        <v/>
      </c>
      <c r="AA89" s="68">
        <f>IF(Z89=1,IF(U89="In",L89,L89-W89),0)</f>
        <v/>
      </c>
      <c r="AB89" s="68">
        <f>IF(Z89=1,IF(U89="In",L89-W89,L89),0)</f>
        <v/>
      </c>
      <c r="AC89" s="68">
        <f>IF(AND(Z89=1,U89="Out"),W89,0)</f>
        <v/>
      </c>
      <c r="AD89" s="68">
        <f>IF(AND(Z89=1,U89="In"),W89,0)</f>
        <v/>
      </c>
    </row>
    <row r="90">
      <c r="B90" s="62" t="inlineStr">
        <is>
          <t>TX-0084</t>
        </is>
      </c>
      <c r="C90" s="63" t="n">
        <v>46093</v>
      </c>
      <c r="D90" s="62" t="inlineStr">
        <is>
          <t>Money In</t>
        </is>
      </c>
      <c r="E90" s="62" t="inlineStr">
        <is>
          <t>Product Sales</t>
        </is>
      </c>
      <c r="F90" s="62" t="inlineStr">
        <is>
          <t>GCash / online orders week 2</t>
        </is>
      </c>
      <c r="G90" s="62" t="n"/>
      <c r="H90" s="62" t="n"/>
      <c r="I90" s="62" t="inlineStr">
        <is>
          <t>E-Wallet</t>
        </is>
      </c>
      <c r="J90" s="62" t="n"/>
      <c r="K90" s="62" t="inlineStr">
        <is>
          <t>E-Wallet / Online Payments</t>
        </is>
      </c>
      <c r="L90" s="64" t="n">
        <v>20962.71</v>
      </c>
      <c r="M90" s="64" t="n">
        <v>2246</v>
      </c>
      <c r="N90" s="62" t="n"/>
      <c r="O90" s="65">
        <f>IF(Z90=1,L90-W90,"")</f>
        <v/>
      </c>
      <c r="P90" s="66">
        <f>IF(V90="","",IFERROR(INDEX(coa_Type,MATCH(V90,coa_Name,0)),""))</f>
        <v/>
      </c>
      <c r="Q90" s="66">
        <f>IF(Z90=1,IF(U90="In",K90&amp;"",V90),"")</f>
        <v/>
      </c>
      <c r="R90" s="66">
        <f>IF(Z90=1,IF(U90="In",V90,K90&amp;""),"")</f>
        <v/>
      </c>
      <c r="S90" s="66">
        <f>IF(X90&lt;&gt;"","⛔ "&amp;X90&amp;" — not posted",IF(Y90&lt;&gt;"","⚠ "&amp;Y90,IF(Z90=1,"✓ OK","")))</f>
        <v/>
      </c>
      <c r="T90" s="67">
        <f>IF(AND(C90="",D90="",E90="",L90="",K90=""),1,0)</f>
        <v/>
      </c>
      <c r="U90" s="67">
        <f>IFERROR(INDEX(tt_Dir,MATCH(D90,tt_Type,0)),"")</f>
        <v/>
      </c>
      <c r="V90" s="67">
        <f>IF(D90="","",IFERROR(IF(INDEX(tt_Other,MATCH(D90,tt_Type,0))="",E90&amp;"",INDEX(tt_Other,MATCH(D90,tt_Type,0))),""))</f>
        <v/>
      </c>
      <c r="W90" s="68">
        <f>IF(OR(TaxOn&lt;&gt;"Yes",NOT(ISNUMBER(M90))),0,IF(IFERROR(INDEX(tt_Tax,MATCH(D90,tt_Type,0)),"No")="Yes",M90,0))</f>
        <v/>
      </c>
      <c r="X90" s="67">
        <f>IF(T90=1,"",IF(C90="","Missing transaction date",IF(NOT(ISNUMBER(C90)),"Invalid date",IF(OR(C90&lt;DATE(2000,1,1),C90&gt;DATE(2099,12,31)),"Invalid date",IF(D90="","Select a type",IF(U90="","Unknown type: "&amp;D90,IF(V90="","Select an account (Category)",IF(ISNA(MATCH(V90,coa_Name,0)),"Unknown account: "&amp;V90,IF(K90="","Select Paid From / Deposited To",IF(ISNA(MATCH(K90,coa_Name,0)),"Unknown account: "&amp;K90,IF(NOT(ISNUMBER(L90)),"Enter an amount",IF(L90=0,"Enter an amount",IF(ABS(W90)&gt;ABS(L90),"Tax is larger than the amount","")))))))))))))</f>
        <v/>
      </c>
      <c r="Y90" s="67">
        <f>IF(OR(T90=1,X90&lt;&gt;""),"",IF(AND(B90&lt;&gt;"",COUNTIF(tx_ID,B90)&gt;1),"Duplicate transaction ID",IF(AND(L90&lt;0,D90&lt;&gt;"Adjustment"),"Negative amount — check this entry",IF(AND(D90="Customer Payment",G90=""),"Add the customer",IF(AND(D90="Customer Payment",OR(J90="",COUNTIF(ar_No,J90&amp;"")=0)),"Invoice # in Reference not found on AR sheet",IF(AND(D90="Bill Payment",H90=""),"Add the vendor",IF(AND(D90="Bill Payment",OR(J90="",COUNTIFS(ap_No,J90&amp;"",ap_Party,H90&amp;"")=0)),"Bill # + vendor not found on AP sheet",IF(AND(ISNUMBER(M90),N(M90)&lt;&gt;0,W90=0),"Tax ignored (tax tracking off, or not allowed for this type)",IF(V90=K90&amp;"","Same account on both sides",IF(AND(ISNUMBER(StartDate),C90&lt;StartDate),"Date is before the accounting start date",IF(AND(D90&lt;&gt;"Adjustment",IFERROR(INDEX(coa_Pay,MATCH(K90&amp;"",coa_Name,0)),"")&lt;&gt;"Yes"),"Paid From / Deposited To is not a payment account","")))))))))))</f>
        <v/>
      </c>
      <c r="Z90" s="67">
        <f>IF(AND(T90=0,X90=""),1,0)</f>
        <v/>
      </c>
      <c r="AA90" s="68">
        <f>IF(Z90=1,IF(U90="In",L90,L90-W90),0)</f>
        <v/>
      </c>
      <c r="AB90" s="68">
        <f>IF(Z90=1,IF(U90="In",L90-W90,L90),0)</f>
        <v/>
      </c>
      <c r="AC90" s="68">
        <f>IF(AND(Z90=1,U90="Out"),W90,0)</f>
        <v/>
      </c>
      <c r="AD90" s="68">
        <f>IF(AND(Z90=1,U90="In"),W90,0)</f>
        <v/>
      </c>
    </row>
    <row r="91">
      <c r="B91" s="62" t="inlineStr">
        <is>
          <t>TX-0085</t>
        </is>
      </c>
      <c r="C91" s="63" t="n">
        <v>46093</v>
      </c>
      <c r="D91" s="62" t="inlineStr">
        <is>
          <t>Money Out</t>
        </is>
      </c>
      <c r="E91" s="62" t="inlineStr">
        <is>
          <t>Utilities</t>
        </is>
      </c>
      <c r="F91" s="62" t="inlineStr">
        <is>
          <t>Electricity &amp; water</t>
        </is>
      </c>
      <c r="G91" s="62" t="n"/>
      <c r="H91" s="62" t="n"/>
      <c r="I91" s="62" t="inlineStr">
        <is>
          <t>Bank Transfer</t>
        </is>
      </c>
      <c r="J91" s="62" t="n"/>
      <c r="K91" s="62" t="inlineStr">
        <is>
          <t>Bank Account</t>
        </is>
      </c>
      <c r="L91" s="64" t="n">
        <v>12220.9</v>
      </c>
      <c r="M91" s="64" t="n">
        <v>1309.38</v>
      </c>
      <c r="N91" s="62" t="n"/>
      <c r="O91" s="65">
        <f>IF(Z91=1,L91-W91,"")</f>
        <v/>
      </c>
      <c r="P91" s="66">
        <f>IF(V91="","",IFERROR(INDEX(coa_Type,MATCH(V91,coa_Name,0)),""))</f>
        <v/>
      </c>
      <c r="Q91" s="66">
        <f>IF(Z91=1,IF(U91="In",K91&amp;"",V91),"")</f>
        <v/>
      </c>
      <c r="R91" s="66">
        <f>IF(Z91=1,IF(U91="In",V91,K91&amp;""),"")</f>
        <v/>
      </c>
      <c r="S91" s="66">
        <f>IF(X91&lt;&gt;"","⛔ "&amp;X91&amp;" — not posted",IF(Y91&lt;&gt;"","⚠ "&amp;Y91,IF(Z91=1,"✓ OK","")))</f>
        <v/>
      </c>
      <c r="T91" s="67">
        <f>IF(AND(C91="",D91="",E91="",L91="",K91=""),1,0)</f>
        <v/>
      </c>
      <c r="U91" s="67">
        <f>IFERROR(INDEX(tt_Dir,MATCH(D91,tt_Type,0)),"")</f>
        <v/>
      </c>
      <c r="V91" s="67">
        <f>IF(D91="","",IFERROR(IF(INDEX(tt_Other,MATCH(D91,tt_Type,0))="",E91&amp;"",INDEX(tt_Other,MATCH(D91,tt_Type,0))),""))</f>
        <v/>
      </c>
      <c r="W91" s="68">
        <f>IF(OR(TaxOn&lt;&gt;"Yes",NOT(ISNUMBER(M91))),0,IF(IFERROR(INDEX(tt_Tax,MATCH(D91,tt_Type,0)),"No")="Yes",M91,0))</f>
        <v/>
      </c>
      <c r="X91" s="67">
        <f>IF(T91=1,"",IF(C91="","Missing transaction date",IF(NOT(ISNUMBER(C91)),"Invalid date",IF(OR(C91&lt;DATE(2000,1,1),C91&gt;DATE(2099,12,31)),"Invalid date",IF(D91="","Select a type",IF(U91="","Unknown type: "&amp;D91,IF(V91="","Select an account (Category)",IF(ISNA(MATCH(V91,coa_Name,0)),"Unknown account: "&amp;V91,IF(K91="","Select Paid From / Deposited To",IF(ISNA(MATCH(K91,coa_Name,0)),"Unknown account: "&amp;K91,IF(NOT(ISNUMBER(L91)),"Enter an amount",IF(L91=0,"Enter an amount",IF(ABS(W91)&gt;ABS(L91),"Tax is larger than the amount","")))))))))))))</f>
        <v/>
      </c>
      <c r="Y91" s="67">
        <f>IF(OR(T91=1,X91&lt;&gt;""),"",IF(AND(B91&lt;&gt;"",COUNTIF(tx_ID,B91)&gt;1),"Duplicate transaction ID",IF(AND(L91&lt;0,D91&lt;&gt;"Adjustment"),"Negative amount — check this entry",IF(AND(D91="Customer Payment",G91=""),"Add the customer",IF(AND(D91="Customer Payment",OR(J91="",COUNTIF(ar_No,J91&amp;"")=0)),"Invoice # in Reference not found on AR sheet",IF(AND(D91="Bill Payment",H91=""),"Add the vendor",IF(AND(D91="Bill Payment",OR(J91="",COUNTIFS(ap_No,J91&amp;"",ap_Party,H91&amp;"")=0)),"Bill # + vendor not found on AP sheet",IF(AND(ISNUMBER(M91),N(M91)&lt;&gt;0,W91=0),"Tax ignored (tax tracking off, or not allowed for this type)",IF(V91=K91&amp;"","Same account on both sides",IF(AND(ISNUMBER(StartDate),C91&lt;StartDate),"Date is before the accounting start date",IF(AND(D91&lt;&gt;"Adjustment",IFERROR(INDEX(coa_Pay,MATCH(K91&amp;"",coa_Name,0)),"")&lt;&gt;"Yes"),"Paid From / Deposited To is not a payment account","")))))))))))</f>
        <v/>
      </c>
      <c r="Z91" s="67">
        <f>IF(AND(T91=0,X91=""),1,0)</f>
        <v/>
      </c>
      <c r="AA91" s="68">
        <f>IF(Z91=1,IF(U91="In",L91,L91-W91),0)</f>
        <v/>
      </c>
      <c r="AB91" s="68">
        <f>IF(Z91=1,IF(U91="In",L91-W91,L91),0)</f>
        <v/>
      </c>
      <c r="AC91" s="68">
        <f>IF(AND(Z91=1,U91="Out"),W91,0)</f>
        <v/>
      </c>
      <c r="AD91" s="68">
        <f>IF(AND(Z91=1,U91="In"),W91,0)</f>
        <v/>
      </c>
    </row>
    <row r="92">
      <c r="B92" s="62" t="inlineStr">
        <is>
          <t>TX-0086</t>
        </is>
      </c>
      <c r="C92" s="63" t="n">
        <v>46094</v>
      </c>
      <c r="D92" s="62" t="inlineStr">
        <is>
          <t>Transfer</t>
        </is>
      </c>
      <c r="E92" s="62" t="inlineStr">
        <is>
          <t>Bank Account</t>
        </is>
      </c>
      <c r="F92" s="62" t="inlineStr">
        <is>
          <t>Cash deposit to bank</t>
        </is>
      </c>
      <c r="G92" s="62" t="n"/>
      <c r="H92" s="62" t="n"/>
      <c r="I92" s="62" t="inlineStr">
        <is>
          <t>Cash</t>
        </is>
      </c>
      <c r="J92" s="62" t="n"/>
      <c r="K92" s="62" t="inlineStr">
        <is>
          <t>Cash on Hand</t>
        </is>
      </c>
      <c r="L92" s="64" t="n">
        <v>50900</v>
      </c>
      <c r="M92" s="64" t="n"/>
      <c r="N92" s="62" t="n"/>
      <c r="O92" s="65">
        <f>IF(Z92=1,L92-W92,"")</f>
        <v/>
      </c>
      <c r="P92" s="66">
        <f>IF(V92="","",IFERROR(INDEX(coa_Type,MATCH(V92,coa_Name,0)),""))</f>
        <v/>
      </c>
      <c r="Q92" s="66">
        <f>IF(Z92=1,IF(U92="In",K92&amp;"",V92),"")</f>
        <v/>
      </c>
      <c r="R92" s="66">
        <f>IF(Z92=1,IF(U92="In",V92,K92&amp;""),"")</f>
        <v/>
      </c>
      <c r="S92" s="66">
        <f>IF(X92&lt;&gt;"","⛔ "&amp;X92&amp;" — not posted",IF(Y92&lt;&gt;"","⚠ "&amp;Y92,IF(Z92=1,"✓ OK","")))</f>
        <v/>
      </c>
      <c r="T92" s="67">
        <f>IF(AND(C92="",D92="",E92="",L92="",K92=""),1,0)</f>
        <v/>
      </c>
      <c r="U92" s="67">
        <f>IFERROR(INDEX(tt_Dir,MATCH(D92,tt_Type,0)),"")</f>
        <v/>
      </c>
      <c r="V92" s="67">
        <f>IF(D92="","",IFERROR(IF(INDEX(tt_Other,MATCH(D92,tt_Type,0))="",E92&amp;"",INDEX(tt_Other,MATCH(D92,tt_Type,0))),""))</f>
        <v/>
      </c>
      <c r="W92" s="68">
        <f>IF(OR(TaxOn&lt;&gt;"Yes",NOT(ISNUMBER(M92))),0,IF(IFERROR(INDEX(tt_Tax,MATCH(D92,tt_Type,0)),"No")="Yes",M92,0))</f>
        <v/>
      </c>
      <c r="X92" s="67">
        <f>IF(T92=1,"",IF(C92="","Missing transaction date",IF(NOT(ISNUMBER(C92)),"Invalid date",IF(OR(C92&lt;DATE(2000,1,1),C92&gt;DATE(2099,12,31)),"Invalid date",IF(D92="","Select a type",IF(U92="","Unknown type: "&amp;D92,IF(V92="","Select an account (Category)",IF(ISNA(MATCH(V92,coa_Name,0)),"Unknown account: "&amp;V92,IF(K92="","Select Paid From / Deposited To",IF(ISNA(MATCH(K92,coa_Name,0)),"Unknown account: "&amp;K92,IF(NOT(ISNUMBER(L92)),"Enter an amount",IF(L92=0,"Enter an amount",IF(ABS(W92)&gt;ABS(L92),"Tax is larger than the amount","")))))))))))))</f>
        <v/>
      </c>
      <c r="Y92" s="67">
        <f>IF(OR(T92=1,X92&lt;&gt;""),"",IF(AND(B92&lt;&gt;"",COUNTIF(tx_ID,B92)&gt;1),"Duplicate transaction ID",IF(AND(L92&lt;0,D92&lt;&gt;"Adjustment"),"Negative amount — check this entry",IF(AND(D92="Customer Payment",G92=""),"Add the customer",IF(AND(D92="Customer Payment",OR(J92="",COUNTIF(ar_No,J92&amp;"")=0)),"Invoice # in Reference not found on AR sheet",IF(AND(D92="Bill Payment",H92=""),"Add the vendor",IF(AND(D92="Bill Payment",OR(J92="",COUNTIFS(ap_No,J92&amp;"",ap_Party,H92&amp;"")=0)),"Bill # + vendor not found on AP sheet",IF(AND(ISNUMBER(M92),N(M92)&lt;&gt;0,W92=0),"Tax ignored (tax tracking off, or not allowed for this type)",IF(V92=K92&amp;"","Same account on both sides",IF(AND(ISNUMBER(StartDate),C92&lt;StartDate),"Date is before the accounting start date",IF(AND(D92&lt;&gt;"Adjustment",IFERROR(INDEX(coa_Pay,MATCH(K92&amp;"",coa_Name,0)),"")&lt;&gt;"Yes"),"Paid From / Deposited To is not a payment account","")))))))))))</f>
        <v/>
      </c>
      <c r="Z92" s="67">
        <f>IF(AND(T92=0,X92=""),1,0)</f>
        <v/>
      </c>
      <c r="AA92" s="68">
        <f>IF(Z92=1,IF(U92="In",L92,L92-W92),0)</f>
        <v/>
      </c>
      <c r="AB92" s="68">
        <f>IF(Z92=1,IF(U92="In",L92-W92,L92),0)</f>
        <v/>
      </c>
      <c r="AC92" s="68">
        <f>IF(AND(Z92=1,U92="Out"),W92,0)</f>
        <v/>
      </c>
      <c r="AD92" s="68">
        <f>IF(AND(Z92=1,U92="In"),W92,0)</f>
        <v/>
      </c>
    </row>
    <row r="93">
      <c r="B93" s="62" t="inlineStr">
        <is>
          <t>TX-0087</t>
        </is>
      </c>
      <c r="C93" s="63" t="n">
        <v>46096</v>
      </c>
      <c r="D93" s="62" t="inlineStr">
        <is>
          <t>Money Out</t>
        </is>
      </c>
      <c r="E93" s="62" t="inlineStr">
        <is>
          <t>Internet &amp; Phone</t>
        </is>
      </c>
      <c r="F93" s="62" t="inlineStr">
        <is>
          <t>Fiber internet</t>
        </is>
      </c>
      <c r="G93" s="62" t="n"/>
      <c r="H93" s="62" t="n"/>
      <c r="I93" s="62" t="inlineStr">
        <is>
          <t>Bank Transfer</t>
        </is>
      </c>
      <c r="J93" s="62" t="n"/>
      <c r="K93" s="62" t="inlineStr">
        <is>
          <t>Bank Account</t>
        </is>
      </c>
      <c r="L93" s="64" t="n">
        <v>2499</v>
      </c>
      <c r="M93" s="64" t="n">
        <v>267.75</v>
      </c>
      <c r="N93" s="62" t="n"/>
      <c r="O93" s="65">
        <f>IF(Z93=1,L93-W93,"")</f>
        <v/>
      </c>
      <c r="P93" s="66">
        <f>IF(V93="","",IFERROR(INDEX(coa_Type,MATCH(V93,coa_Name,0)),""))</f>
        <v/>
      </c>
      <c r="Q93" s="66">
        <f>IF(Z93=1,IF(U93="In",K93&amp;"",V93),"")</f>
        <v/>
      </c>
      <c r="R93" s="66">
        <f>IF(Z93=1,IF(U93="In",V93,K93&amp;""),"")</f>
        <v/>
      </c>
      <c r="S93" s="66">
        <f>IF(X93&lt;&gt;"","⛔ "&amp;X93&amp;" — not posted",IF(Y93&lt;&gt;"","⚠ "&amp;Y93,IF(Z93=1,"✓ OK","")))</f>
        <v/>
      </c>
      <c r="T93" s="67">
        <f>IF(AND(C93="",D93="",E93="",L93="",K93=""),1,0)</f>
        <v/>
      </c>
      <c r="U93" s="67">
        <f>IFERROR(INDEX(tt_Dir,MATCH(D93,tt_Type,0)),"")</f>
        <v/>
      </c>
      <c r="V93" s="67">
        <f>IF(D93="","",IFERROR(IF(INDEX(tt_Other,MATCH(D93,tt_Type,0))="",E93&amp;"",INDEX(tt_Other,MATCH(D93,tt_Type,0))),""))</f>
        <v/>
      </c>
      <c r="W93" s="68">
        <f>IF(OR(TaxOn&lt;&gt;"Yes",NOT(ISNUMBER(M93))),0,IF(IFERROR(INDEX(tt_Tax,MATCH(D93,tt_Type,0)),"No")="Yes",M93,0))</f>
        <v/>
      </c>
      <c r="X93" s="67">
        <f>IF(T93=1,"",IF(C93="","Missing transaction date",IF(NOT(ISNUMBER(C93)),"Invalid date",IF(OR(C93&lt;DATE(2000,1,1),C93&gt;DATE(2099,12,31)),"Invalid date",IF(D93="","Select a type",IF(U93="","Unknown type: "&amp;D93,IF(V93="","Select an account (Category)",IF(ISNA(MATCH(V93,coa_Name,0)),"Unknown account: "&amp;V93,IF(K93="","Select Paid From / Deposited To",IF(ISNA(MATCH(K93,coa_Name,0)),"Unknown account: "&amp;K93,IF(NOT(ISNUMBER(L93)),"Enter an amount",IF(L93=0,"Enter an amount",IF(ABS(W93)&gt;ABS(L93),"Tax is larger than the amount","")))))))))))))</f>
        <v/>
      </c>
      <c r="Y93" s="67">
        <f>IF(OR(T93=1,X93&lt;&gt;""),"",IF(AND(B93&lt;&gt;"",COUNTIF(tx_ID,B93)&gt;1),"Duplicate transaction ID",IF(AND(L93&lt;0,D93&lt;&gt;"Adjustment"),"Negative amount — check this entry",IF(AND(D93="Customer Payment",G93=""),"Add the customer",IF(AND(D93="Customer Payment",OR(J93="",COUNTIF(ar_No,J93&amp;"")=0)),"Invoice # in Reference not found on AR sheet",IF(AND(D93="Bill Payment",H93=""),"Add the vendor",IF(AND(D93="Bill Payment",OR(J93="",COUNTIFS(ap_No,J93&amp;"",ap_Party,H93&amp;"")=0)),"Bill # + vendor not found on AP sheet",IF(AND(ISNUMBER(M93),N(M93)&lt;&gt;0,W93=0),"Tax ignored (tax tracking off, or not allowed for this type)",IF(V93=K93&amp;"","Same account on both sides",IF(AND(ISNUMBER(StartDate),C93&lt;StartDate),"Date is before the accounting start date",IF(AND(D93&lt;&gt;"Adjustment",IFERROR(INDEX(coa_Pay,MATCH(K93&amp;"",coa_Name,0)),"")&lt;&gt;"Yes"),"Paid From / Deposited To is not a payment account","")))))))))))</f>
        <v/>
      </c>
      <c r="Z93" s="67">
        <f>IF(AND(T93=0,X93=""),1,0)</f>
        <v/>
      </c>
      <c r="AA93" s="68">
        <f>IF(Z93=1,IF(U93="In",L93,L93-W93),0)</f>
        <v/>
      </c>
      <c r="AB93" s="68">
        <f>IF(Z93=1,IF(U93="In",L93-W93,L93),0)</f>
        <v/>
      </c>
      <c r="AC93" s="68">
        <f>IF(AND(Z93=1,U93="Out"),W93,0)</f>
        <v/>
      </c>
      <c r="AD93" s="68">
        <f>IF(AND(Z93=1,U93="In"),W93,0)</f>
        <v/>
      </c>
    </row>
    <row r="94">
      <c r="B94" s="62" t="inlineStr">
        <is>
          <t>TX-0088</t>
        </is>
      </c>
      <c r="C94" s="63" t="n">
        <v>46096</v>
      </c>
      <c r="D94" s="62" t="inlineStr">
        <is>
          <t>Money Out</t>
        </is>
      </c>
      <c r="E94" s="62" t="inlineStr">
        <is>
          <t>Direct Labor</t>
        </is>
      </c>
      <c r="F94" s="62" t="inlineStr">
        <is>
          <t>Bakers' salaries (1st-15th)</t>
        </is>
      </c>
      <c r="G94" s="62" t="n"/>
      <c r="H94" s="62" t="n"/>
      <c r="I94" s="62" t="inlineStr">
        <is>
          <t>Bank Transfer</t>
        </is>
      </c>
      <c r="J94" s="62" t="n"/>
      <c r="K94" s="62" t="inlineStr">
        <is>
          <t>Bank Account</t>
        </is>
      </c>
      <c r="L94" s="64" t="n">
        <v>38000</v>
      </c>
      <c r="M94" s="64" t="n"/>
      <c r="N94" s="62" t="n"/>
      <c r="O94" s="65">
        <f>IF(Z94=1,L94-W94,"")</f>
        <v/>
      </c>
      <c r="P94" s="66">
        <f>IF(V94="","",IFERROR(INDEX(coa_Type,MATCH(V94,coa_Name,0)),""))</f>
        <v/>
      </c>
      <c r="Q94" s="66">
        <f>IF(Z94=1,IF(U94="In",K94&amp;"",V94),"")</f>
        <v/>
      </c>
      <c r="R94" s="66">
        <f>IF(Z94=1,IF(U94="In",V94,K94&amp;""),"")</f>
        <v/>
      </c>
      <c r="S94" s="66">
        <f>IF(X94&lt;&gt;"","⛔ "&amp;X94&amp;" — not posted",IF(Y94&lt;&gt;"","⚠ "&amp;Y94,IF(Z94=1,"✓ OK","")))</f>
        <v/>
      </c>
      <c r="T94" s="67">
        <f>IF(AND(C94="",D94="",E94="",L94="",K94=""),1,0)</f>
        <v/>
      </c>
      <c r="U94" s="67">
        <f>IFERROR(INDEX(tt_Dir,MATCH(D94,tt_Type,0)),"")</f>
        <v/>
      </c>
      <c r="V94" s="67">
        <f>IF(D94="","",IFERROR(IF(INDEX(tt_Other,MATCH(D94,tt_Type,0))="",E94&amp;"",INDEX(tt_Other,MATCH(D94,tt_Type,0))),""))</f>
        <v/>
      </c>
      <c r="W94" s="68">
        <f>IF(OR(TaxOn&lt;&gt;"Yes",NOT(ISNUMBER(M94))),0,IF(IFERROR(INDEX(tt_Tax,MATCH(D94,tt_Type,0)),"No")="Yes",M94,0))</f>
        <v/>
      </c>
      <c r="X94" s="67">
        <f>IF(T94=1,"",IF(C94="","Missing transaction date",IF(NOT(ISNUMBER(C94)),"Invalid date",IF(OR(C94&lt;DATE(2000,1,1),C94&gt;DATE(2099,12,31)),"Invalid date",IF(D94="","Select a type",IF(U94="","Unknown type: "&amp;D94,IF(V94="","Select an account (Category)",IF(ISNA(MATCH(V94,coa_Name,0)),"Unknown account: "&amp;V94,IF(K94="","Select Paid From / Deposited To",IF(ISNA(MATCH(K94,coa_Name,0)),"Unknown account: "&amp;K94,IF(NOT(ISNUMBER(L94)),"Enter an amount",IF(L94=0,"Enter an amount",IF(ABS(W94)&gt;ABS(L94),"Tax is larger than the amount","")))))))))))))</f>
        <v/>
      </c>
      <c r="Y94" s="67">
        <f>IF(OR(T94=1,X94&lt;&gt;""),"",IF(AND(B94&lt;&gt;"",COUNTIF(tx_ID,B94)&gt;1),"Duplicate transaction ID",IF(AND(L94&lt;0,D94&lt;&gt;"Adjustment"),"Negative amount — check this entry",IF(AND(D94="Customer Payment",G94=""),"Add the customer",IF(AND(D94="Customer Payment",OR(J94="",COUNTIF(ar_No,J94&amp;"")=0)),"Invoice # in Reference not found on AR sheet",IF(AND(D94="Bill Payment",H94=""),"Add the vendor",IF(AND(D94="Bill Payment",OR(J94="",COUNTIFS(ap_No,J94&amp;"",ap_Party,H94&amp;"")=0)),"Bill # + vendor not found on AP sheet",IF(AND(ISNUMBER(M94),N(M94)&lt;&gt;0,W94=0),"Tax ignored (tax tracking off, or not allowed for this type)",IF(V94=K94&amp;"","Same account on both sides",IF(AND(ISNUMBER(StartDate),C94&lt;StartDate),"Date is before the accounting start date",IF(AND(D94&lt;&gt;"Adjustment",IFERROR(INDEX(coa_Pay,MATCH(K94&amp;"",coa_Name,0)),"")&lt;&gt;"Yes"),"Paid From / Deposited To is not a payment account","")))))))))))</f>
        <v/>
      </c>
      <c r="Z94" s="67">
        <f>IF(AND(T94=0,X94=""),1,0)</f>
        <v/>
      </c>
      <c r="AA94" s="68">
        <f>IF(Z94=1,IF(U94="In",L94,L94-W94),0)</f>
        <v/>
      </c>
      <c r="AB94" s="68">
        <f>IF(Z94=1,IF(U94="In",L94-W94,L94),0)</f>
        <v/>
      </c>
      <c r="AC94" s="68">
        <f>IF(AND(Z94=1,U94="Out"),W94,0)</f>
        <v/>
      </c>
      <c r="AD94" s="68">
        <f>IF(AND(Z94=1,U94="In"),W94,0)</f>
        <v/>
      </c>
    </row>
    <row r="95">
      <c r="B95" s="62" t="inlineStr">
        <is>
          <t>TX-0089</t>
        </is>
      </c>
      <c r="C95" s="63" t="n">
        <v>46096</v>
      </c>
      <c r="D95" s="62" t="inlineStr">
        <is>
          <t>Money Out</t>
        </is>
      </c>
      <c r="E95" s="62" t="inlineStr">
        <is>
          <t>Salaries &amp; Wages</t>
        </is>
      </c>
      <c r="F95" s="62" t="inlineStr">
        <is>
          <t>Cashier salary (1st-15th)</t>
        </is>
      </c>
      <c r="G95" s="62" t="n"/>
      <c r="H95" s="62" t="n"/>
      <c r="I95" s="62" t="inlineStr">
        <is>
          <t>Bank Transfer</t>
        </is>
      </c>
      <c r="J95" s="62" t="n"/>
      <c r="K95" s="62" t="inlineStr">
        <is>
          <t>Bank Account</t>
        </is>
      </c>
      <c r="L95" s="64" t="n">
        <v>9000</v>
      </c>
      <c r="M95" s="64" t="n"/>
      <c r="N95" s="62" t="n"/>
      <c r="O95" s="65">
        <f>IF(Z95=1,L95-W95,"")</f>
        <v/>
      </c>
      <c r="P95" s="66">
        <f>IF(V95="","",IFERROR(INDEX(coa_Type,MATCH(V95,coa_Name,0)),""))</f>
        <v/>
      </c>
      <c r="Q95" s="66">
        <f>IF(Z95=1,IF(U95="In",K95&amp;"",V95),"")</f>
        <v/>
      </c>
      <c r="R95" s="66">
        <f>IF(Z95=1,IF(U95="In",V95,K95&amp;""),"")</f>
        <v/>
      </c>
      <c r="S95" s="66">
        <f>IF(X95&lt;&gt;"","⛔ "&amp;X95&amp;" — not posted",IF(Y95&lt;&gt;"","⚠ "&amp;Y95,IF(Z95=1,"✓ OK","")))</f>
        <v/>
      </c>
      <c r="T95" s="67">
        <f>IF(AND(C95="",D95="",E95="",L95="",K95=""),1,0)</f>
        <v/>
      </c>
      <c r="U95" s="67">
        <f>IFERROR(INDEX(tt_Dir,MATCH(D95,tt_Type,0)),"")</f>
        <v/>
      </c>
      <c r="V95" s="67">
        <f>IF(D95="","",IFERROR(IF(INDEX(tt_Other,MATCH(D95,tt_Type,0))="",E95&amp;"",INDEX(tt_Other,MATCH(D95,tt_Type,0))),""))</f>
        <v/>
      </c>
      <c r="W95" s="68">
        <f>IF(OR(TaxOn&lt;&gt;"Yes",NOT(ISNUMBER(M95))),0,IF(IFERROR(INDEX(tt_Tax,MATCH(D95,tt_Type,0)),"No")="Yes",M95,0))</f>
        <v/>
      </c>
      <c r="X95" s="67">
        <f>IF(T95=1,"",IF(C95="","Missing transaction date",IF(NOT(ISNUMBER(C95)),"Invalid date",IF(OR(C95&lt;DATE(2000,1,1),C95&gt;DATE(2099,12,31)),"Invalid date",IF(D95="","Select a type",IF(U95="","Unknown type: "&amp;D95,IF(V95="","Select an account (Category)",IF(ISNA(MATCH(V95,coa_Name,0)),"Unknown account: "&amp;V95,IF(K95="","Select Paid From / Deposited To",IF(ISNA(MATCH(K95,coa_Name,0)),"Unknown account: "&amp;K95,IF(NOT(ISNUMBER(L95)),"Enter an amount",IF(L95=0,"Enter an amount",IF(ABS(W95)&gt;ABS(L95),"Tax is larger than the amount","")))))))))))))</f>
        <v/>
      </c>
      <c r="Y95" s="67">
        <f>IF(OR(T95=1,X95&lt;&gt;""),"",IF(AND(B95&lt;&gt;"",COUNTIF(tx_ID,B95)&gt;1),"Duplicate transaction ID",IF(AND(L95&lt;0,D95&lt;&gt;"Adjustment"),"Negative amount — check this entry",IF(AND(D95="Customer Payment",G95=""),"Add the customer",IF(AND(D95="Customer Payment",OR(J95="",COUNTIF(ar_No,J95&amp;"")=0)),"Invoice # in Reference not found on AR sheet",IF(AND(D95="Bill Payment",H95=""),"Add the vendor",IF(AND(D95="Bill Payment",OR(J95="",COUNTIFS(ap_No,J95&amp;"",ap_Party,H95&amp;"")=0)),"Bill # + vendor not found on AP sheet",IF(AND(ISNUMBER(M95),N(M95)&lt;&gt;0,W95=0),"Tax ignored (tax tracking off, or not allowed for this type)",IF(V95=K95&amp;"","Same account on both sides",IF(AND(ISNUMBER(StartDate),C95&lt;StartDate),"Date is before the accounting start date",IF(AND(D95&lt;&gt;"Adjustment",IFERROR(INDEX(coa_Pay,MATCH(K95&amp;"",coa_Name,0)),"")&lt;&gt;"Yes"),"Paid From / Deposited To is not a payment account","")))))))))))</f>
        <v/>
      </c>
      <c r="Z95" s="67">
        <f>IF(AND(T95=0,X95=""),1,0)</f>
        <v/>
      </c>
      <c r="AA95" s="68">
        <f>IF(Z95=1,IF(U95="In",L95,L95-W95),0)</f>
        <v/>
      </c>
      <c r="AB95" s="68">
        <f>IF(Z95=1,IF(U95="In",L95-W95,L95),0)</f>
        <v/>
      </c>
      <c r="AC95" s="68">
        <f>IF(AND(Z95=1,U95="Out"),W95,0)</f>
        <v/>
      </c>
      <c r="AD95" s="68">
        <f>IF(AND(Z95=1,U95="In"),W95,0)</f>
        <v/>
      </c>
    </row>
    <row r="96">
      <c r="B96" s="62" t="inlineStr">
        <is>
          <t>TX-0090</t>
        </is>
      </c>
      <c r="C96" s="63" t="n">
        <v>46098</v>
      </c>
      <c r="D96" s="62" t="inlineStr">
        <is>
          <t>Bill Payment</t>
        </is>
      </c>
      <c r="E96" s="62" t="n"/>
      <c r="F96" s="62" t="inlineStr">
        <is>
          <t>Supplier payment</t>
        </is>
      </c>
      <c r="G96" s="62" t="n"/>
      <c r="H96" s="62" t="inlineStr">
        <is>
          <t>Golden Grain Flour Mill</t>
        </is>
      </c>
      <c r="I96" s="62" t="inlineStr">
        <is>
          <t>Bank Transfer</t>
        </is>
      </c>
      <c r="J96" s="62" t="inlineStr">
        <is>
          <t>GO-021</t>
        </is>
      </c>
      <c r="K96" s="62" t="inlineStr">
        <is>
          <t>Bank Account</t>
        </is>
      </c>
      <c r="L96" s="64" t="n">
        <v>33454.88</v>
      </c>
      <c r="M96" s="64" t="n"/>
      <c r="N96" s="62" t="n"/>
      <c r="O96" s="65">
        <f>IF(Z96=1,L96-W96,"")</f>
        <v/>
      </c>
      <c r="P96" s="66">
        <f>IF(V96="","",IFERROR(INDEX(coa_Type,MATCH(V96,coa_Name,0)),""))</f>
        <v/>
      </c>
      <c r="Q96" s="66">
        <f>IF(Z96=1,IF(U96="In",K96&amp;"",V96),"")</f>
        <v/>
      </c>
      <c r="R96" s="66">
        <f>IF(Z96=1,IF(U96="In",V96,K96&amp;""),"")</f>
        <v/>
      </c>
      <c r="S96" s="66">
        <f>IF(X96&lt;&gt;"","⛔ "&amp;X96&amp;" — not posted",IF(Y96&lt;&gt;"","⚠ "&amp;Y96,IF(Z96=1,"✓ OK","")))</f>
        <v/>
      </c>
      <c r="T96" s="67">
        <f>IF(AND(C96="",D96="",E96="",L96="",K96=""),1,0)</f>
        <v/>
      </c>
      <c r="U96" s="67">
        <f>IFERROR(INDEX(tt_Dir,MATCH(D96,tt_Type,0)),"")</f>
        <v/>
      </c>
      <c r="V96" s="67">
        <f>IF(D96="","",IFERROR(IF(INDEX(tt_Other,MATCH(D96,tt_Type,0))="",E96&amp;"",INDEX(tt_Other,MATCH(D96,tt_Type,0))),""))</f>
        <v/>
      </c>
      <c r="W96" s="68">
        <f>IF(OR(TaxOn&lt;&gt;"Yes",NOT(ISNUMBER(M96))),0,IF(IFERROR(INDEX(tt_Tax,MATCH(D96,tt_Type,0)),"No")="Yes",M96,0))</f>
        <v/>
      </c>
      <c r="X96" s="67">
        <f>IF(T96=1,"",IF(C96="","Missing transaction date",IF(NOT(ISNUMBER(C96)),"Invalid date",IF(OR(C96&lt;DATE(2000,1,1),C96&gt;DATE(2099,12,31)),"Invalid date",IF(D96="","Select a type",IF(U96="","Unknown type: "&amp;D96,IF(V96="","Select an account (Category)",IF(ISNA(MATCH(V96,coa_Name,0)),"Unknown account: "&amp;V96,IF(K96="","Select Paid From / Deposited To",IF(ISNA(MATCH(K96,coa_Name,0)),"Unknown account: "&amp;K96,IF(NOT(ISNUMBER(L96)),"Enter an amount",IF(L96=0,"Enter an amount",IF(ABS(W96)&gt;ABS(L96),"Tax is larger than the amount","")))))))))))))</f>
        <v/>
      </c>
      <c r="Y96" s="67">
        <f>IF(OR(T96=1,X96&lt;&gt;""),"",IF(AND(B96&lt;&gt;"",COUNTIF(tx_ID,B96)&gt;1),"Duplicate transaction ID",IF(AND(L96&lt;0,D96&lt;&gt;"Adjustment"),"Negative amount — check this entry",IF(AND(D96="Customer Payment",G96=""),"Add the customer",IF(AND(D96="Customer Payment",OR(J96="",COUNTIF(ar_No,J96&amp;"")=0)),"Invoice # in Reference not found on AR sheet",IF(AND(D96="Bill Payment",H96=""),"Add the vendor",IF(AND(D96="Bill Payment",OR(J96="",COUNTIFS(ap_No,J96&amp;"",ap_Party,H96&amp;"")=0)),"Bill # + vendor not found on AP sheet",IF(AND(ISNUMBER(M96),N(M96)&lt;&gt;0,W96=0),"Tax ignored (tax tracking off, or not allowed for this type)",IF(V96=K96&amp;"","Same account on both sides",IF(AND(ISNUMBER(StartDate),C96&lt;StartDate),"Date is before the accounting start date",IF(AND(D96&lt;&gt;"Adjustment",IFERROR(INDEX(coa_Pay,MATCH(K96&amp;"",coa_Name,0)),"")&lt;&gt;"Yes"),"Paid From / Deposited To is not a payment account","")))))))))))</f>
        <v/>
      </c>
      <c r="Z96" s="67">
        <f>IF(AND(T96=0,X96=""),1,0)</f>
        <v/>
      </c>
      <c r="AA96" s="68">
        <f>IF(Z96=1,IF(U96="In",L96,L96-W96),0)</f>
        <v/>
      </c>
      <c r="AB96" s="68">
        <f>IF(Z96=1,IF(U96="In",L96-W96,L96),0)</f>
        <v/>
      </c>
      <c r="AC96" s="68">
        <f>IF(AND(Z96=1,U96="Out"),W96,0)</f>
        <v/>
      </c>
      <c r="AD96" s="68">
        <f>IF(AND(Z96=1,U96="In"),W96,0)</f>
        <v/>
      </c>
    </row>
    <row r="97">
      <c r="B97" s="62" t="inlineStr">
        <is>
          <t>TX-0091</t>
        </is>
      </c>
      <c r="C97" s="63" t="n">
        <v>46099</v>
      </c>
      <c r="D97" s="62" t="inlineStr">
        <is>
          <t>Money In</t>
        </is>
      </c>
      <c r="E97" s="62" t="inlineStr">
        <is>
          <t>Product Sales</t>
        </is>
      </c>
      <c r="F97" s="62" t="inlineStr">
        <is>
          <t>Counter sales week 3</t>
        </is>
      </c>
      <c r="G97" s="62" t="n"/>
      <c r="H97" s="62" t="n"/>
      <c r="I97" s="62" t="inlineStr">
        <is>
          <t>Cash</t>
        </is>
      </c>
      <c r="J97" s="62" t="n"/>
      <c r="K97" s="62" t="inlineStr">
        <is>
          <t>Cash on Hand</t>
        </is>
      </c>
      <c r="L97" s="64" t="n">
        <v>46936.07</v>
      </c>
      <c r="M97" s="64" t="n">
        <v>5028.86</v>
      </c>
      <c r="N97" s="62" t="n"/>
      <c r="O97" s="65">
        <f>IF(Z97=1,L97-W97,"")</f>
        <v/>
      </c>
      <c r="P97" s="66">
        <f>IF(V97="","",IFERROR(INDEX(coa_Type,MATCH(V97,coa_Name,0)),""))</f>
        <v/>
      </c>
      <c r="Q97" s="66">
        <f>IF(Z97=1,IF(U97="In",K97&amp;"",V97),"")</f>
        <v/>
      </c>
      <c r="R97" s="66">
        <f>IF(Z97=1,IF(U97="In",V97,K97&amp;""),"")</f>
        <v/>
      </c>
      <c r="S97" s="66">
        <f>IF(X97&lt;&gt;"","⛔ "&amp;X97&amp;" — not posted",IF(Y97&lt;&gt;"","⚠ "&amp;Y97,IF(Z97=1,"✓ OK","")))</f>
        <v/>
      </c>
      <c r="T97" s="67">
        <f>IF(AND(C97="",D97="",E97="",L97="",K97=""),1,0)</f>
        <v/>
      </c>
      <c r="U97" s="67">
        <f>IFERROR(INDEX(tt_Dir,MATCH(D97,tt_Type,0)),"")</f>
        <v/>
      </c>
      <c r="V97" s="67">
        <f>IF(D97="","",IFERROR(IF(INDEX(tt_Other,MATCH(D97,tt_Type,0))="",E97&amp;"",INDEX(tt_Other,MATCH(D97,tt_Type,0))),""))</f>
        <v/>
      </c>
      <c r="W97" s="68">
        <f>IF(OR(TaxOn&lt;&gt;"Yes",NOT(ISNUMBER(M97))),0,IF(IFERROR(INDEX(tt_Tax,MATCH(D97,tt_Type,0)),"No")="Yes",M97,0))</f>
        <v/>
      </c>
      <c r="X97" s="67">
        <f>IF(T97=1,"",IF(C97="","Missing transaction date",IF(NOT(ISNUMBER(C97)),"Invalid date",IF(OR(C97&lt;DATE(2000,1,1),C97&gt;DATE(2099,12,31)),"Invalid date",IF(D97="","Select a type",IF(U97="","Unknown type: "&amp;D97,IF(V97="","Select an account (Category)",IF(ISNA(MATCH(V97,coa_Name,0)),"Unknown account: "&amp;V97,IF(K97="","Select Paid From / Deposited To",IF(ISNA(MATCH(K97,coa_Name,0)),"Unknown account: "&amp;K97,IF(NOT(ISNUMBER(L97)),"Enter an amount",IF(L97=0,"Enter an amount",IF(ABS(W97)&gt;ABS(L97),"Tax is larger than the amount","")))))))))))))</f>
        <v/>
      </c>
      <c r="Y97" s="67">
        <f>IF(OR(T97=1,X97&lt;&gt;""),"",IF(AND(B97&lt;&gt;"",COUNTIF(tx_ID,B97)&gt;1),"Duplicate transaction ID",IF(AND(L97&lt;0,D97&lt;&gt;"Adjustment"),"Negative amount — check this entry",IF(AND(D97="Customer Payment",G97=""),"Add the customer",IF(AND(D97="Customer Payment",OR(J97="",COUNTIF(ar_No,J97&amp;"")=0)),"Invoice # in Reference not found on AR sheet",IF(AND(D97="Bill Payment",H97=""),"Add the vendor",IF(AND(D97="Bill Payment",OR(J97="",COUNTIFS(ap_No,J97&amp;"",ap_Party,H97&amp;"")=0)),"Bill # + vendor not found on AP sheet",IF(AND(ISNUMBER(M97),N(M97)&lt;&gt;0,W97=0),"Tax ignored (tax tracking off, or not allowed for this type)",IF(V97=K97&amp;"","Same account on both sides",IF(AND(ISNUMBER(StartDate),C97&lt;StartDate),"Date is before the accounting start date",IF(AND(D97&lt;&gt;"Adjustment",IFERROR(INDEX(coa_Pay,MATCH(K97&amp;"",coa_Name,0)),"")&lt;&gt;"Yes"),"Paid From / Deposited To is not a payment account","")))))))))))</f>
        <v/>
      </c>
      <c r="Z97" s="67">
        <f>IF(AND(T97=0,X97=""),1,0)</f>
        <v/>
      </c>
      <c r="AA97" s="68">
        <f>IF(Z97=1,IF(U97="In",L97,L97-W97),0)</f>
        <v/>
      </c>
      <c r="AB97" s="68">
        <f>IF(Z97=1,IF(U97="In",L97-W97,L97),0)</f>
        <v/>
      </c>
      <c r="AC97" s="68">
        <f>IF(AND(Z97=1,U97="Out"),W97,0)</f>
        <v/>
      </c>
      <c r="AD97" s="68">
        <f>IF(AND(Z97=1,U97="In"),W97,0)</f>
        <v/>
      </c>
    </row>
    <row r="98">
      <c r="B98" s="62" t="inlineStr">
        <is>
          <t>TX-0092</t>
        </is>
      </c>
      <c r="C98" s="63" t="n">
        <v>46100</v>
      </c>
      <c r="D98" s="62" t="inlineStr">
        <is>
          <t>Money In</t>
        </is>
      </c>
      <c r="E98" s="62" t="inlineStr">
        <is>
          <t>Product Sales</t>
        </is>
      </c>
      <c r="F98" s="62" t="inlineStr">
        <is>
          <t>GCash / online orders week 3</t>
        </is>
      </c>
      <c r="G98" s="62" t="n"/>
      <c r="H98" s="62" t="n"/>
      <c r="I98" s="62" t="inlineStr">
        <is>
          <t>E-Wallet</t>
        </is>
      </c>
      <c r="J98" s="62" t="n"/>
      <c r="K98" s="62" t="inlineStr">
        <is>
          <t>E-Wallet / Online Payments</t>
        </is>
      </c>
      <c r="L98" s="64" t="n">
        <v>20500.12</v>
      </c>
      <c r="M98" s="64" t="n">
        <v>2196.44</v>
      </c>
      <c r="N98" s="62" t="n"/>
      <c r="O98" s="65">
        <f>IF(Z98=1,L98-W98,"")</f>
        <v/>
      </c>
      <c r="P98" s="66">
        <f>IF(V98="","",IFERROR(INDEX(coa_Type,MATCH(V98,coa_Name,0)),""))</f>
        <v/>
      </c>
      <c r="Q98" s="66">
        <f>IF(Z98=1,IF(U98="In",K98&amp;"",V98),"")</f>
        <v/>
      </c>
      <c r="R98" s="66">
        <f>IF(Z98=1,IF(U98="In",V98,K98&amp;""),"")</f>
        <v/>
      </c>
      <c r="S98" s="66">
        <f>IF(X98&lt;&gt;"","⛔ "&amp;X98&amp;" — not posted",IF(Y98&lt;&gt;"","⚠ "&amp;Y98,IF(Z98=1,"✓ OK","")))</f>
        <v/>
      </c>
      <c r="T98" s="67">
        <f>IF(AND(C98="",D98="",E98="",L98="",K98=""),1,0)</f>
        <v/>
      </c>
      <c r="U98" s="67">
        <f>IFERROR(INDEX(tt_Dir,MATCH(D98,tt_Type,0)),"")</f>
        <v/>
      </c>
      <c r="V98" s="67">
        <f>IF(D98="","",IFERROR(IF(INDEX(tt_Other,MATCH(D98,tt_Type,0))="",E98&amp;"",INDEX(tt_Other,MATCH(D98,tt_Type,0))),""))</f>
        <v/>
      </c>
      <c r="W98" s="68">
        <f>IF(OR(TaxOn&lt;&gt;"Yes",NOT(ISNUMBER(M98))),0,IF(IFERROR(INDEX(tt_Tax,MATCH(D98,tt_Type,0)),"No")="Yes",M98,0))</f>
        <v/>
      </c>
      <c r="X98" s="67">
        <f>IF(T98=1,"",IF(C98="","Missing transaction date",IF(NOT(ISNUMBER(C98)),"Invalid date",IF(OR(C98&lt;DATE(2000,1,1),C98&gt;DATE(2099,12,31)),"Invalid date",IF(D98="","Select a type",IF(U98="","Unknown type: "&amp;D98,IF(V98="","Select an account (Category)",IF(ISNA(MATCH(V98,coa_Name,0)),"Unknown account: "&amp;V98,IF(K98="","Select Paid From / Deposited To",IF(ISNA(MATCH(K98,coa_Name,0)),"Unknown account: "&amp;K98,IF(NOT(ISNUMBER(L98)),"Enter an amount",IF(L98=0,"Enter an amount",IF(ABS(W98)&gt;ABS(L98),"Tax is larger than the amount","")))))))))))))</f>
        <v/>
      </c>
      <c r="Y98" s="67">
        <f>IF(OR(T98=1,X98&lt;&gt;""),"",IF(AND(B98&lt;&gt;"",COUNTIF(tx_ID,B98)&gt;1),"Duplicate transaction ID",IF(AND(L98&lt;0,D98&lt;&gt;"Adjustment"),"Negative amount — check this entry",IF(AND(D98="Customer Payment",G98=""),"Add the customer",IF(AND(D98="Customer Payment",OR(J98="",COUNTIF(ar_No,J98&amp;"")=0)),"Invoice # in Reference not found on AR sheet",IF(AND(D98="Bill Payment",H98=""),"Add the vendor",IF(AND(D98="Bill Payment",OR(J98="",COUNTIFS(ap_No,J98&amp;"",ap_Party,H98&amp;"")=0)),"Bill # + vendor not found on AP sheet",IF(AND(ISNUMBER(M98),N(M98)&lt;&gt;0,W98=0),"Tax ignored (tax tracking off, or not allowed for this type)",IF(V98=K98&amp;"","Same account on both sides",IF(AND(ISNUMBER(StartDate),C98&lt;StartDate),"Date is before the accounting start date",IF(AND(D98&lt;&gt;"Adjustment",IFERROR(INDEX(coa_Pay,MATCH(K98&amp;"",coa_Name,0)),"")&lt;&gt;"Yes"),"Paid From / Deposited To is not a payment account","")))))))))))</f>
        <v/>
      </c>
      <c r="Z98" s="67">
        <f>IF(AND(T98=0,X98=""),1,0)</f>
        <v/>
      </c>
      <c r="AA98" s="68">
        <f>IF(Z98=1,IF(U98="In",L98,L98-W98),0)</f>
        <v/>
      </c>
      <c r="AB98" s="68">
        <f>IF(Z98=1,IF(U98="In",L98-W98,L98),0)</f>
        <v/>
      </c>
      <c r="AC98" s="68">
        <f>IF(AND(Z98=1,U98="Out"),W98,0)</f>
        <v/>
      </c>
      <c r="AD98" s="68">
        <f>IF(AND(Z98=1,U98="In"),W98,0)</f>
        <v/>
      </c>
    </row>
    <row r="99">
      <c r="B99" s="62" t="inlineStr">
        <is>
          <t>TX-0093</t>
        </is>
      </c>
      <c r="C99" s="63" t="n">
        <v>46101</v>
      </c>
      <c r="D99" s="62" t="inlineStr">
        <is>
          <t>Transfer</t>
        </is>
      </c>
      <c r="E99" s="62" t="inlineStr">
        <is>
          <t>Bank Account</t>
        </is>
      </c>
      <c r="F99" s="62" t="inlineStr">
        <is>
          <t>Cash deposit to bank</t>
        </is>
      </c>
      <c r="G99" s="62" t="n"/>
      <c r="H99" s="62" t="n"/>
      <c r="I99" s="62" t="inlineStr">
        <is>
          <t>Cash</t>
        </is>
      </c>
      <c r="J99" s="62" t="n"/>
      <c r="K99" s="62" t="inlineStr">
        <is>
          <t>Cash on Hand</t>
        </is>
      </c>
      <c r="L99" s="64" t="n">
        <v>39900</v>
      </c>
      <c r="M99" s="64" t="n"/>
      <c r="N99" s="62" t="n"/>
      <c r="O99" s="65">
        <f>IF(Z99=1,L99-W99,"")</f>
        <v/>
      </c>
      <c r="P99" s="66">
        <f>IF(V99="","",IFERROR(INDEX(coa_Type,MATCH(V99,coa_Name,0)),""))</f>
        <v/>
      </c>
      <c r="Q99" s="66">
        <f>IF(Z99=1,IF(U99="In",K99&amp;"",V99),"")</f>
        <v/>
      </c>
      <c r="R99" s="66">
        <f>IF(Z99=1,IF(U99="In",V99,K99&amp;""),"")</f>
        <v/>
      </c>
      <c r="S99" s="66">
        <f>IF(X99&lt;&gt;"","⛔ "&amp;X99&amp;" — not posted",IF(Y99&lt;&gt;"","⚠ "&amp;Y99,IF(Z99=1,"✓ OK","")))</f>
        <v/>
      </c>
      <c r="T99" s="67">
        <f>IF(AND(C99="",D99="",E99="",L99="",K99=""),1,0)</f>
        <v/>
      </c>
      <c r="U99" s="67">
        <f>IFERROR(INDEX(tt_Dir,MATCH(D99,tt_Type,0)),"")</f>
        <v/>
      </c>
      <c r="V99" s="67">
        <f>IF(D99="","",IFERROR(IF(INDEX(tt_Other,MATCH(D99,tt_Type,0))="",E99&amp;"",INDEX(tt_Other,MATCH(D99,tt_Type,0))),""))</f>
        <v/>
      </c>
      <c r="W99" s="68">
        <f>IF(OR(TaxOn&lt;&gt;"Yes",NOT(ISNUMBER(M99))),0,IF(IFERROR(INDEX(tt_Tax,MATCH(D99,tt_Type,0)),"No")="Yes",M99,0))</f>
        <v/>
      </c>
      <c r="X99" s="67">
        <f>IF(T99=1,"",IF(C99="","Missing transaction date",IF(NOT(ISNUMBER(C99)),"Invalid date",IF(OR(C99&lt;DATE(2000,1,1),C99&gt;DATE(2099,12,31)),"Invalid date",IF(D99="","Select a type",IF(U99="","Unknown type: "&amp;D99,IF(V99="","Select an account (Category)",IF(ISNA(MATCH(V99,coa_Name,0)),"Unknown account: "&amp;V99,IF(K99="","Select Paid From / Deposited To",IF(ISNA(MATCH(K99,coa_Name,0)),"Unknown account: "&amp;K99,IF(NOT(ISNUMBER(L99)),"Enter an amount",IF(L99=0,"Enter an amount",IF(ABS(W99)&gt;ABS(L99),"Tax is larger than the amount","")))))))))))))</f>
        <v/>
      </c>
      <c r="Y99" s="67">
        <f>IF(OR(T99=1,X99&lt;&gt;""),"",IF(AND(B99&lt;&gt;"",COUNTIF(tx_ID,B99)&gt;1),"Duplicate transaction ID",IF(AND(L99&lt;0,D99&lt;&gt;"Adjustment"),"Negative amount — check this entry",IF(AND(D99="Customer Payment",G99=""),"Add the customer",IF(AND(D99="Customer Payment",OR(J99="",COUNTIF(ar_No,J99&amp;"")=0)),"Invoice # in Reference not found on AR sheet",IF(AND(D99="Bill Payment",H99=""),"Add the vendor",IF(AND(D99="Bill Payment",OR(J99="",COUNTIFS(ap_No,J99&amp;"",ap_Party,H99&amp;"")=0)),"Bill # + vendor not found on AP sheet",IF(AND(ISNUMBER(M99),N(M99)&lt;&gt;0,W99=0),"Tax ignored (tax tracking off, or not allowed for this type)",IF(V99=K99&amp;"","Same account on both sides",IF(AND(ISNUMBER(StartDate),C99&lt;StartDate),"Date is before the accounting start date",IF(AND(D99&lt;&gt;"Adjustment",IFERROR(INDEX(coa_Pay,MATCH(K99&amp;"",coa_Name,0)),"")&lt;&gt;"Yes"),"Paid From / Deposited To is not a payment account","")))))))))))</f>
        <v/>
      </c>
      <c r="Z99" s="67">
        <f>IF(AND(T99=0,X99=""),1,0)</f>
        <v/>
      </c>
      <c r="AA99" s="68">
        <f>IF(Z99=1,IF(U99="In",L99,L99-W99),0)</f>
        <v/>
      </c>
      <c r="AB99" s="68">
        <f>IF(Z99=1,IF(U99="In",L99-W99,L99),0)</f>
        <v/>
      </c>
      <c r="AC99" s="68">
        <f>IF(AND(Z99=1,U99="Out"),W99,0)</f>
        <v/>
      </c>
      <c r="AD99" s="68">
        <f>IF(AND(Z99=1,U99="In"),W99,0)</f>
        <v/>
      </c>
    </row>
    <row r="100">
      <c r="B100" s="62" t="inlineStr">
        <is>
          <t>TX-0094</t>
        </is>
      </c>
      <c r="C100" s="63" t="n">
        <v>46101</v>
      </c>
      <c r="D100" s="62" t="inlineStr">
        <is>
          <t>Money Out</t>
        </is>
      </c>
      <c r="E100" s="62" t="inlineStr">
        <is>
          <t>Transportation &amp; Delivery</t>
        </is>
      </c>
      <c r="F100" s="62" t="inlineStr">
        <is>
          <t>Delivery fuel</t>
        </is>
      </c>
      <c r="G100" s="62" t="n"/>
      <c r="H100" s="62" t="n"/>
      <c r="I100" s="62" t="inlineStr">
        <is>
          <t>Cash</t>
        </is>
      </c>
      <c r="J100" s="62" t="n"/>
      <c r="K100" s="62" t="inlineStr">
        <is>
          <t>Cash on Hand</t>
        </is>
      </c>
      <c r="L100" s="64" t="n">
        <v>4100.81</v>
      </c>
      <c r="M100" s="64" t="n">
        <v>439.37</v>
      </c>
      <c r="N100" s="62" t="n"/>
      <c r="O100" s="65">
        <f>IF(Z100=1,L100-W100,"")</f>
        <v/>
      </c>
      <c r="P100" s="66">
        <f>IF(V100="","",IFERROR(INDEX(coa_Type,MATCH(V100,coa_Name,0)),""))</f>
        <v/>
      </c>
      <c r="Q100" s="66">
        <f>IF(Z100=1,IF(U100="In",K100&amp;"",V100),"")</f>
        <v/>
      </c>
      <c r="R100" s="66">
        <f>IF(Z100=1,IF(U100="In",V100,K100&amp;""),"")</f>
        <v/>
      </c>
      <c r="S100" s="66">
        <f>IF(X100&lt;&gt;"","⛔ "&amp;X100&amp;" — not posted",IF(Y100&lt;&gt;"","⚠ "&amp;Y100,IF(Z100=1,"✓ OK","")))</f>
        <v/>
      </c>
      <c r="T100" s="67">
        <f>IF(AND(C100="",D100="",E100="",L100="",K100=""),1,0)</f>
        <v/>
      </c>
      <c r="U100" s="67">
        <f>IFERROR(INDEX(tt_Dir,MATCH(D100,tt_Type,0)),"")</f>
        <v/>
      </c>
      <c r="V100" s="67">
        <f>IF(D100="","",IFERROR(IF(INDEX(tt_Other,MATCH(D100,tt_Type,0))="",E100&amp;"",INDEX(tt_Other,MATCH(D100,tt_Type,0))),""))</f>
        <v/>
      </c>
      <c r="W100" s="68">
        <f>IF(OR(TaxOn&lt;&gt;"Yes",NOT(ISNUMBER(M100))),0,IF(IFERROR(INDEX(tt_Tax,MATCH(D100,tt_Type,0)),"No")="Yes",M100,0))</f>
        <v/>
      </c>
      <c r="X100" s="67">
        <f>IF(T100=1,"",IF(C100="","Missing transaction date",IF(NOT(ISNUMBER(C100)),"Invalid date",IF(OR(C100&lt;DATE(2000,1,1),C100&gt;DATE(2099,12,31)),"Invalid date",IF(D100="","Select a type",IF(U100="","Unknown type: "&amp;D100,IF(V100="","Select an account (Category)",IF(ISNA(MATCH(V100,coa_Name,0)),"Unknown account: "&amp;V100,IF(K100="","Select Paid From / Deposited To",IF(ISNA(MATCH(K100,coa_Name,0)),"Unknown account: "&amp;K100,IF(NOT(ISNUMBER(L100)),"Enter an amount",IF(L100=0,"Enter an amount",IF(ABS(W100)&gt;ABS(L100),"Tax is larger than the amount","")))))))))))))</f>
        <v/>
      </c>
      <c r="Y100" s="67">
        <f>IF(OR(T100=1,X100&lt;&gt;""),"",IF(AND(B100&lt;&gt;"",COUNTIF(tx_ID,B100)&gt;1),"Duplicate transaction ID",IF(AND(L100&lt;0,D100&lt;&gt;"Adjustment"),"Negative amount — check this entry",IF(AND(D100="Customer Payment",G100=""),"Add the customer",IF(AND(D100="Customer Payment",OR(J100="",COUNTIF(ar_No,J100&amp;"")=0)),"Invoice # in Reference not found on AR sheet",IF(AND(D100="Bill Payment",H100=""),"Add the vendor",IF(AND(D100="Bill Payment",OR(J100="",COUNTIFS(ap_No,J100&amp;"",ap_Party,H100&amp;"")=0)),"Bill # + vendor not found on AP sheet",IF(AND(ISNUMBER(M100),N(M100)&lt;&gt;0,W100=0),"Tax ignored (tax tracking off, or not allowed for this type)",IF(V100=K100&amp;"","Same account on both sides",IF(AND(ISNUMBER(StartDate),C100&lt;StartDate),"Date is before the accounting start date",IF(AND(D100&lt;&gt;"Adjustment",IFERROR(INDEX(coa_Pay,MATCH(K100&amp;"",coa_Name,0)),"")&lt;&gt;"Yes"),"Paid From / Deposited To is not a payment account","")))))))))))</f>
        <v/>
      </c>
      <c r="Z100" s="67">
        <f>IF(AND(T100=0,X100=""),1,0)</f>
        <v/>
      </c>
      <c r="AA100" s="68">
        <f>IF(Z100=1,IF(U100="In",L100,L100-W100),0)</f>
        <v/>
      </c>
      <c r="AB100" s="68">
        <f>IF(Z100=1,IF(U100="In",L100-W100,L100),0)</f>
        <v/>
      </c>
      <c r="AC100" s="68">
        <f>IF(AND(Z100=1,U100="Out"),W100,0)</f>
        <v/>
      </c>
      <c r="AD100" s="68">
        <f>IF(AND(Z100=1,U100="In"),W100,0)</f>
        <v/>
      </c>
    </row>
    <row r="101">
      <c r="B101" s="62" t="inlineStr">
        <is>
          <t>TX-0095</t>
        </is>
      </c>
      <c r="C101" s="63" t="n">
        <v>46101</v>
      </c>
      <c r="D101" s="62" t="inlineStr">
        <is>
          <t>Money Out</t>
        </is>
      </c>
      <c r="E101" s="62" t="inlineStr">
        <is>
          <t>Professional Fees</t>
        </is>
      </c>
      <c r="F101" s="62" t="inlineStr">
        <is>
          <t>Bookkeeper — Q1 VAT filing</t>
        </is>
      </c>
      <c r="G101" s="62" t="n"/>
      <c r="H101" s="62" t="n"/>
      <c r="I101" s="62" t="inlineStr">
        <is>
          <t>Bank Transfer</t>
        </is>
      </c>
      <c r="J101" s="62" t="n"/>
      <c r="K101" s="62" t="inlineStr">
        <is>
          <t>Bank Account</t>
        </is>
      </c>
      <c r="L101" s="64" t="n">
        <v>12000</v>
      </c>
      <c r="M101" s="64" t="n"/>
      <c r="N101" s="62" t="n"/>
      <c r="O101" s="65">
        <f>IF(Z101=1,L101-W101,"")</f>
        <v/>
      </c>
      <c r="P101" s="66">
        <f>IF(V101="","",IFERROR(INDEX(coa_Type,MATCH(V101,coa_Name,0)),""))</f>
        <v/>
      </c>
      <c r="Q101" s="66">
        <f>IF(Z101=1,IF(U101="In",K101&amp;"",V101),"")</f>
        <v/>
      </c>
      <c r="R101" s="66">
        <f>IF(Z101=1,IF(U101="In",V101,K101&amp;""),"")</f>
        <v/>
      </c>
      <c r="S101" s="66">
        <f>IF(X101&lt;&gt;"","⛔ "&amp;X101&amp;" — not posted",IF(Y101&lt;&gt;"","⚠ "&amp;Y101,IF(Z101=1,"✓ OK","")))</f>
        <v/>
      </c>
      <c r="T101" s="67">
        <f>IF(AND(C101="",D101="",E101="",L101="",K101=""),1,0)</f>
        <v/>
      </c>
      <c r="U101" s="67">
        <f>IFERROR(INDEX(tt_Dir,MATCH(D101,tt_Type,0)),"")</f>
        <v/>
      </c>
      <c r="V101" s="67">
        <f>IF(D101="","",IFERROR(IF(INDEX(tt_Other,MATCH(D101,tt_Type,0))="",E101&amp;"",INDEX(tt_Other,MATCH(D101,tt_Type,0))),""))</f>
        <v/>
      </c>
      <c r="W101" s="68">
        <f>IF(OR(TaxOn&lt;&gt;"Yes",NOT(ISNUMBER(M101))),0,IF(IFERROR(INDEX(tt_Tax,MATCH(D101,tt_Type,0)),"No")="Yes",M101,0))</f>
        <v/>
      </c>
      <c r="X101" s="67">
        <f>IF(T101=1,"",IF(C101="","Missing transaction date",IF(NOT(ISNUMBER(C101)),"Invalid date",IF(OR(C101&lt;DATE(2000,1,1),C101&gt;DATE(2099,12,31)),"Invalid date",IF(D101="","Select a type",IF(U101="","Unknown type: "&amp;D101,IF(V101="","Select an account (Category)",IF(ISNA(MATCH(V101,coa_Name,0)),"Unknown account: "&amp;V101,IF(K101="","Select Paid From / Deposited To",IF(ISNA(MATCH(K101,coa_Name,0)),"Unknown account: "&amp;K101,IF(NOT(ISNUMBER(L101)),"Enter an amount",IF(L101=0,"Enter an amount",IF(ABS(W101)&gt;ABS(L101),"Tax is larger than the amount","")))))))))))))</f>
        <v/>
      </c>
      <c r="Y101" s="67">
        <f>IF(OR(T101=1,X101&lt;&gt;""),"",IF(AND(B101&lt;&gt;"",COUNTIF(tx_ID,B101)&gt;1),"Duplicate transaction ID",IF(AND(L101&lt;0,D101&lt;&gt;"Adjustment"),"Negative amount — check this entry",IF(AND(D101="Customer Payment",G101=""),"Add the customer",IF(AND(D101="Customer Payment",OR(J101="",COUNTIF(ar_No,J101&amp;"")=0)),"Invoice # in Reference not found on AR sheet",IF(AND(D101="Bill Payment",H101=""),"Add the vendor",IF(AND(D101="Bill Payment",OR(J101="",COUNTIFS(ap_No,J101&amp;"",ap_Party,H101&amp;"")=0)),"Bill # + vendor not found on AP sheet",IF(AND(ISNUMBER(M101),N(M101)&lt;&gt;0,W101=0),"Tax ignored (tax tracking off, or not allowed for this type)",IF(V101=K101&amp;"","Same account on both sides",IF(AND(ISNUMBER(StartDate),C101&lt;StartDate),"Date is before the accounting start date",IF(AND(D101&lt;&gt;"Adjustment",IFERROR(INDEX(coa_Pay,MATCH(K101&amp;"",coa_Name,0)),"")&lt;&gt;"Yes"),"Paid From / Deposited To is not a payment account","")))))))))))</f>
        <v/>
      </c>
      <c r="Z101" s="67">
        <f>IF(AND(T101=0,X101=""),1,0)</f>
        <v/>
      </c>
      <c r="AA101" s="68">
        <f>IF(Z101=1,IF(U101="In",L101,L101-W101),0)</f>
        <v/>
      </c>
      <c r="AB101" s="68">
        <f>IF(Z101=1,IF(U101="In",L101-W101,L101),0)</f>
        <v/>
      </c>
      <c r="AC101" s="68">
        <f>IF(AND(Z101=1,U101="Out"),W101,0)</f>
        <v/>
      </c>
      <c r="AD101" s="68">
        <f>IF(AND(Z101=1,U101="In"),W101,0)</f>
        <v/>
      </c>
    </row>
    <row r="102">
      <c r="B102" s="62" t="inlineStr">
        <is>
          <t>TX-0096</t>
        </is>
      </c>
      <c r="C102" s="63" t="n">
        <v>46103</v>
      </c>
      <c r="D102" s="62" t="inlineStr">
        <is>
          <t>Bill Payment</t>
        </is>
      </c>
      <c r="E102" s="62" t="n"/>
      <c r="F102" s="62" t="inlineStr">
        <is>
          <t>Supplier payment</t>
        </is>
      </c>
      <c r="G102" s="62" t="n"/>
      <c r="H102" s="62" t="inlineStr">
        <is>
          <t>Fresh Dairy Co.</t>
        </is>
      </c>
      <c r="I102" s="62" t="inlineStr">
        <is>
          <t>Bank Transfer</t>
        </is>
      </c>
      <c r="J102" s="62" t="inlineStr">
        <is>
          <t>FR-031</t>
        </is>
      </c>
      <c r="K102" s="62" t="inlineStr">
        <is>
          <t>Bank Account</t>
        </is>
      </c>
      <c r="L102" s="64" t="n">
        <v>19040.4</v>
      </c>
      <c r="M102" s="64" t="n"/>
      <c r="N102" s="62" t="n"/>
      <c r="O102" s="65">
        <f>IF(Z102=1,L102-W102,"")</f>
        <v/>
      </c>
      <c r="P102" s="66">
        <f>IF(V102="","",IFERROR(INDEX(coa_Type,MATCH(V102,coa_Name,0)),""))</f>
        <v/>
      </c>
      <c r="Q102" s="66">
        <f>IF(Z102=1,IF(U102="In",K102&amp;"",V102),"")</f>
        <v/>
      </c>
      <c r="R102" s="66">
        <f>IF(Z102=1,IF(U102="In",V102,K102&amp;""),"")</f>
        <v/>
      </c>
      <c r="S102" s="66">
        <f>IF(X102&lt;&gt;"","⛔ "&amp;X102&amp;" — not posted",IF(Y102&lt;&gt;"","⚠ "&amp;Y102,IF(Z102=1,"✓ OK","")))</f>
        <v/>
      </c>
      <c r="T102" s="67">
        <f>IF(AND(C102="",D102="",E102="",L102="",K102=""),1,0)</f>
        <v/>
      </c>
      <c r="U102" s="67">
        <f>IFERROR(INDEX(tt_Dir,MATCH(D102,tt_Type,0)),"")</f>
        <v/>
      </c>
      <c r="V102" s="67">
        <f>IF(D102="","",IFERROR(IF(INDEX(tt_Other,MATCH(D102,tt_Type,0))="",E102&amp;"",INDEX(tt_Other,MATCH(D102,tt_Type,0))),""))</f>
        <v/>
      </c>
      <c r="W102" s="68">
        <f>IF(OR(TaxOn&lt;&gt;"Yes",NOT(ISNUMBER(M102))),0,IF(IFERROR(INDEX(tt_Tax,MATCH(D102,tt_Type,0)),"No")="Yes",M102,0))</f>
        <v/>
      </c>
      <c r="X102" s="67">
        <f>IF(T102=1,"",IF(C102="","Missing transaction date",IF(NOT(ISNUMBER(C102)),"Invalid date",IF(OR(C102&lt;DATE(2000,1,1),C102&gt;DATE(2099,12,31)),"Invalid date",IF(D102="","Select a type",IF(U102="","Unknown type: "&amp;D102,IF(V102="","Select an account (Category)",IF(ISNA(MATCH(V102,coa_Name,0)),"Unknown account: "&amp;V102,IF(K102="","Select Paid From / Deposited To",IF(ISNA(MATCH(K102,coa_Name,0)),"Unknown account: "&amp;K102,IF(NOT(ISNUMBER(L102)),"Enter an amount",IF(L102=0,"Enter an amount",IF(ABS(W102)&gt;ABS(L102),"Tax is larger than the amount","")))))))))))))</f>
        <v/>
      </c>
      <c r="Y102" s="67">
        <f>IF(OR(T102=1,X102&lt;&gt;""),"",IF(AND(B102&lt;&gt;"",COUNTIF(tx_ID,B102)&gt;1),"Duplicate transaction ID",IF(AND(L102&lt;0,D102&lt;&gt;"Adjustment"),"Negative amount — check this entry",IF(AND(D102="Customer Payment",G102=""),"Add the customer",IF(AND(D102="Customer Payment",OR(J102="",COUNTIF(ar_No,J102&amp;"")=0)),"Invoice # in Reference not found on AR sheet",IF(AND(D102="Bill Payment",H102=""),"Add the vendor",IF(AND(D102="Bill Payment",OR(J102="",COUNTIFS(ap_No,J102&amp;"",ap_Party,H102&amp;"")=0)),"Bill # + vendor not found on AP sheet",IF(AND(ISNUMBER(M102),N(M102)&lt;&gt;0,W102=0),"Tax ignored (tax tracking off, or not allowed for this type)",IF(V102=K102&amp;"","Same account on both sides",IF(AND(ISNUMBER(StartDate),C102&lt;StartDate),"Date is before the accounting start date",IF(AND(D102&lt;&gt;"Adjustment",IFERROR(INDEX(coa_Pay,MATCH(K102&amp;"",coa_Name,0)),"")&lt;&gt;"Yes"),"Paid From / Deposited To is not a payment account","")))))))))))</f>
        <v/>
      </c>
      <c r="Z102" s="67">
        <f>IF(AND(T102=0,X102=""),1,0)</f>
        <v/>
      </c>
      <c r="AA102" s="68">
        <f>IF(Z102=1,IF(U102="In",L102,L102-W102),0)</f>
        <v/>
      </c>
      <c r="AB102" s="68">
        <f>IF(Z102=1,IF(U102="In",L102-W102,L102),0)</f>
        <v/>
      </c>
      <c r="AC102" s="68">
        <f>IF(AND(Z102=1,U102="Out"),W102,0)</f>
        <v/>
      </c>
      <c r="AD102" s="68">
        <f>IF(AND(Z102=1,U102="In"),W102,0)</f>
        <v/>
      </c>
    </row>
    <row r="103">
      <c r="B103" s="62" t="inlineStr">
        <is>
          <t>TX-0097</t>
        </is>
      </c>
      <c r="C103" s="63" t="n">
        <v>46105</v>
      </c>
      <c r="D103" s="62" t="inlineStr">
        <is>
          <t>Bill Payment</t>
        </is>
      </c>
      <c r="E103" s="62" t="n"/>
      <c r="F103" s="62" t="inlineStr">
        <is>
          <t>Supplier payment</t>
        </is>
      </c>
      <c r="G103" s="62" t="n"/>
      <c r="H103" s="62" t="inlineStr">
        <is>
          <t>Golden Grain Flour Mill</t>
        </is>
      </c>
      <c r="I103" s="62" t="inlineStr">
        <is>
          <t>Bank Transfer</t>
        </is>
      </c>
      <c r="J103" s="62" t="inlineStr">
        <is>
          <t>GO-022</t>
        </is>
      </c>
      <c r="K103" s="62" t="inlineStr">
        <is>
          <t>Bank Account</t>
        </is>
      </c>
      <c r="L103" s="64" t="n">
        <v>40282.36</v>
      </c>
      <c r="M103" s="64" t="n"/>
      <c r="N103" s="62" t="n"/>
      <c r="O103" s="65">
        <f>IF(Z103=1,L103-W103,"")</f>
        <v/>
      </c>
      <c r="P103" s="66">
        <f>IF(V103="","",IFERROR(INDEX(coa_Type,MATCH(V103,coa_Name,0)),""))</f>
        <v/>
      </c>
      <c r="Q103" s="66">
        <f>IF(Z103=1,IF(U103="In",K103&amp;"",V103),"")</f>
        <v/>
      </c>
      <c r="R103" s="66">
        <f>IF(Z103=1,IF(U103="In",V103,K103&amp;""),"")</f>
        <v/>
      </c>
      <c r="S103" s="66">
        <f>IF(X103&lt;&gt;"","⛔ "&amp;X103&amp;" — not posted",IF(Y103&lt;&gt;"","⚠ "&amp;Y103,IF(Z103=1,"✓ OK","")))</f>
        <v/>
      </c>
      <c r="T103" s="67">
        <f>IF(AND(C103="",D103="",E103="",L103="",K103=""),1,0)</f>
        <v/>
      </c>
      <c r="U103" s="67">
        <f>IFERROR(INDEX(tt_Dir,MATCH(D103,tt_Type,0)),"")</f>
        <v/>
      </c>
      <c r="V103" s="67">
        <f>IF(D103="","",IFERROR(IF(INDEX(tt_Other,MATCH(D103,tt_Type,0))="",E103&amp;"",INDEX(tt_Other,MATCH(D103,tt_Type,0))),""))</f>
        <v/>
      </c>
      <c r="W103" s="68">
        <f>IF(OR(TaxOn&lt;&gt;"Yes",NOT(ISNUMBER(M103))),0,IF(IFERROR(INDEX(tt_Tax,MATCH(D103,tt_Type,0)),"No")="Yes",M103,0))</f>
        <v/>
      </c>
      <c r="X103" s="67">
        <f>IF(T103=1,"",IF(C103="","Missing transaction date",IF(NOT(ISNUMBER(C103)),"Invalid date",IF(OR(C103&lt;DATE(2000,1,1),C103&gt;DATE(2099,12,31)),"Invalid date",IF(D103="","Select a type",IF(U103="","Unknown type: "&amp;D103,IF(V103="","Select an account (Category)",IF(ISNA(MATCH(V103,coa_Name,0)),"Unknown account: "&amp;V103,IF(K103="","Select Paid From / Deposited To",IF(ISNA(MATCH(K103,coa_Name,0)),"Unknown account: "&amp;K103,IF(NOT(ISNUMBER(L103)),"Enter an amount",IF(L103=0,"Enter an amount",IF(ABS(W103)&gt;ABS(L103),"Tax is larger than the amount","")))))))))))))</f>
        <v/>
      </c>
      <c r="Y103" s="67">
        <f>IF(OR(T103=1,X103&lt;&gt;""),"",IF(AND(B103&lt;&gt;"",COUNTIF(tx_ID,B103)&gt;1),"Duplicate transaction ID",IF(AND(L103&lt;0,D103&lt;&gt;"Adjustment"),"Negative amount — check this entry",IF(AND(D103="Customer Payment",G103=""),"Add the customer",IF(AND(D103="Customer Payment",OR(J103="",COUNTIF(ar_No,J103&amp;"")=0)),"Invoice # in Reference not found on AR sheet",IF(AND(D103="Bill Payment",H103=""),"Add the vendor",IF(AND(D103="Bill Payment",OR(J103="",COUNTIFS(ap_No,J103&amp;"",ap_Party,H103&amp;"")=0)),"Bill # + vendor not found on AP sheet",IF(AND(ISNUMBER(M103),N(M103)&lt;&gt;0,W103=0),"Tax ignored (tax tracking off, or not allowed for this type)",IF(V103=K103&amp;"","Same account on both sides",IF(AND(ISNUMBER(StartDate),C103&lt;StartDate),"Date is before the accounting start date",IF(AND(D103&lt;&gt;"Adjustment",IFERROR(INDEX(coa_Pay,MATCH(K103&amp;"",coa_Name,0)),"")&lt;&gt;"Yes"),"Paid From / Deposited To is not a payment account","")))))))))))</f>
        <v/>
      </c>
      <c r="Z103" s="67">
        <f>IF(AND(T103=0,X103=""),1,0)</f>
        <v/>
      </c>
      <c r="AA103" s="68">
        <f>IF(Z103=1,IF(U103="In",L103,L103-W103),0)</f>
        <v/>
      </c>
      <c r="AB103" s="68">
        <f>IF(Z103=1,IF(U103="In",L103-W103,L103),0)</f>
        <v/>
      </c>
      <c r="AC103" s="68">
        <f>IF(AND(Z103=1,U103="Out"),W103,0)</f>
        <v/>
      </c>
      <c r="AD103" s="68">
        <f>IF(AND(Z103=1,U103="In"),W103,0)</f>
        <v/>
      </c>
    </row>
    <row r="104">
      <c r="B104" s="62" t="inlineStr">
        <is>
          <t>TX-0098</t>
        </is>
      </c>
      <c r="C104" s="63" t="n">
        <v>46106</v>
      </c>
      <c r="D104" s="62" t="inlineStr">
        <is>
          <t>Money In</t>
        </is>
      </c>
      <c r="E104" s="62" t="inlineStr">
        <is>
          <t>Product Sales</t>
        </is>
      </c>
      <c r="F104" s="62" t="inlineStr">
        <is>
          <t>Counter sales week 4</t>
        </is>
      </c>
      <c r="G104" s="62" t="n"/>
      <c r="H104" s="62" t="n"/>
      <c r="I104" s="62" t="inlineStr">
        <is>
          <t>Cash</t>
        </is>
      </c>
      <c r="J104" s="62" t="n"/>
      <c r="K104" s="62" t="inlineStr">
        <is>
          <t>Cash on Hand</t>
        </is>
      </c>
      <c r="L104" s="64" t="n">
        <v>50219.43</v>
      </c>
      <c r="M104" s="64" t="n">
        <v>5380.65</v>
      </c>
      <c r="N104" s="62" t="n"/>
      <c r="O104" s="65">
        <f>IF(Z104=1,L104-W104,"")</f>
        <v/>
      </c>
      <c r="P104" s="66">
        <f>IF(V104="","",IFERROR(INDEX(coa_Type,MATCH(V104,coa_Name,0)),""))</f>
        <v/>
      </c>
      <c r="Q104" s="66">
        <f>IF(Z104=1,IF(U104="In",K104&amp;"",V104),"")</f>
        <v/>
      </c>
      <c r="R104" s="66">
        <f>IF(Z104=1,IF(U104="In",V104,K104&amp;""),"")</f>
        <v/>
      </c>
      <c r="S104" s="66">
        <f>IF(X104&lt;&gt;"","⛔ "&amp;X104&amp;" — not posted",IF(Y104&lt;&gt;"","⚠ "&amp;Y104,IF(Z104=1,"✓ OK","")))</f>
        <v/>
      </c>
      <c r="T104" s="67">
        <f>IF(AND(C104="",D104="",E104="",L104="",K104=""),1,0)</f>
        <v/>
      </c>
      <c r="U104" s="67">
        <f>IFERROR(INDEX(tt_Dir,MATCH(D104,tt_Type,0)),"")</f>
        <v/>
      </c>
      <c r="V104" s="67">
        <f>IF(D104="","",IFERROR(IF(INDEX(tt_Other,MATCH(D104,tt_Type,0))="",E104&amp;"",INDEX(tt_Other,MATCH(D104,tt_Type,0))),""))</f>
        <v/>
      </c>
      <c r="W104" s="68">
        <f>IF(OR(TaxOn&lt;&gt;"Yes",NOT(ISNUMBER(M104))),0,IF(IFERROR(INDEX(tt_Tax,MATCH(D104,tt_Type,0)),"No")="Yes",M104,0))</f>
        <v/>
      </c>
      <c r="X104" s="67">
        <f>IF(T104=1,"",IF(C104="","Missing transaction date",IF(NOT(ISNUMBER(C104)),"Invalid date",IF(OR(C104&lt;DATE(2000,1,1),C104&gt;DATE(2099,12,31)),"Invalid date",IF(D104="","Select a type",IF(U104="","Unknown type: "&amp;D104,IF(V104="","Select an account (Category)",IF(ISNA(MATCH(V104,coa_Name,0)),"Unknown account: "&amp;V104,IF(K104="","Select Paid From / Deposited To",IF(ISNA(MATCH(K104,coa_Name,0)),"Unknown account: "&amp;K104,IF(NOT(ISNUMBER(L104)),"Enter an amount",IF(L104=0,"Enter an amount",IF(ABS(W104)&gt;ABS(L104),"Tax is larger than the amount","")))))))))))))</f>
        <v/>
      </c>
      <c r="Y104" s="67">
        <f>IF(OR(T104=1,X104&lt;&gt;""),"",IF(AND(B104&lt;&gt;"",COUNTIF(tx_ID,B104)&gt;1),"Duplicate transaction ID",IF(AND(L104&lt;0,D104&lt;&gt;"Adjustment"),"Negative amount — check this entry",IF(AND(D104="Customer Payment",G104=""),"Add the customer",IF(AND(D104="Customer Payment",OR(J104="",COUNTIF(ar_No,J104&amp;"")=0)),"Invoice # in Reference not found on AR sheet",IF(AND(D104="Bill Payment",H104=""),"Add the vendor",IF(AND(D104="Bill Payment",OR(J104="",COUNTIFS(ap_No,J104&amp;"",ap_Party,H104&amp;"")=0)),"Bill # + vendor not found on AP sheet",IF(AND(ISNUMBER(M104),N(M104)&lt;&gt;0,W104=0),"Tax ignored (tax tracking off, or not allowed for this type)",IF(V104=K104&amp;"","Same account on both sides",IF(AND(ISNUMBER(StartDate),C104&lt;StartDate),"Date is before the accounting start date",IF(AND(D104&lt;&gt;"Adjustment",IFERROR(INDEX(coa_Pay,MATCH(K104&amp;"",coa_Name,0)),"")&lt;&gt;"Yes"),"Paid From / Deposited To is not a payment account","")))))))))))</f>
        <v/>
      </c>
      <c r="Z104" s="67">
        <f>IF(AND(T104=0,X104=""),1,0)</f>
        <v/>
      </c>
      <c r="AA104" s="68">
        <f>IF(Z104=1,IF(U104="In",L104,L104-W104),0)</f>
        <v/>
      </c>
      <c r="AB104" s="68">
        <f>IF(Z104=1,IF(U104="In",L104-W104,L104),0)</f>
        <v/>
      </c>
      <c r="AC104" s="68">
        <f>IF(AND(Z104=1,U104="Out"),W104,0)</f>
        <v/>
      </c>
      <c r="AD104" s="68">
        <f>IF(AND(Z104=1,U104="In"),W104,0)</f>
        <v/>
      </c>
    </row>
    <row r="105">
      <c r="B105" s="62" t="inlineStr">
        <is>
          <t>TX-0099</t>
        </is>
      </c>
      <c r="C105" s="63" t="n">
        <v>46106</v>
      </c>
      <c r="D105" s="62" t="inlineStr">
        <is>
          <t>Owner Draw</t>
        </is>
      </c>
      <c r="E105" s="62" t="n"/>
      <c r="F105" s="62" t="inlineStr">
        <is>
          <t>Owner salary / personal draw</t>
        </is>
      </c>
      <c r="G105" s="62" t="n"/>
      <c r="H105" s="62" t="n"/>
      <c r="I105" s="62" t="inlineStr">
        <is>
          <t>Bank Transfer</t>
        </is>
      </c>
      <c r="J105" s="62" t="n"/>
      <c r="K105" s="62" t="inlineStr">
        <is>
          <t>Bank Account</t>
        </is>
      </c>
      <c r="L105" s="64" t="n">
        <v>20000</v>
      </c>
      <c r="M105" s="64" t="n"/>
      <c r="N105" s="62" t="n"/>
      <c r="O105" s="65">
        <f>IF(Z105=1,L105-W105,"")</f>
        <v/>
      </c>
      <c r="P105" s="66">
        <f>IF(V105="","",IFERROR(INDEX(coa_Type,MATCH(V105,coa_Name,0)),""))</f>
        <v/>
      </c>
      <c r="Q105" s="66">
        <f>IF(Z105=1,IF(U105="In",K105&amp;"",V105),"")</f>
        <v/>
      </c>
      <c r="R105" s="66">
        <f>IF(Z105=1,IF(U105="In",V105,K105&amp;""),"")</f>
        <v/>
      </c>
      <c r="S105" s="66">
        <f>IF(X105&lt;&gt;"","⛔ "&amp;X105&amp;" — not posted",IF(Y105&lt;&gt;"","⚠ "&amp;Y105,IF(Z105=1,"✓ OK","")))</f>
        <v/>
      </c>
      <c r="T105" s="67">
        <f>IF(AND(C105="",D105="",E105="",L105="",K105=""),1,0)</f>
        <v/>
      </c>
      <c r="U105" s="67">
        <f>IFERROR(INDEX(tt_Dir,MATCH(D105,tt_Type,0)),"")</f>
        <v/>
      </c>
      <c r="V105" s="67">
        <f>IF(D105="","",IFERROR(IF(INDEX(tt_Other,MATCH(D105,tt_Type,0))="",E105&amp;"",INDEX(tt_Other,MATCH(D105,tt_Type,0))),""))</f>
        <v/>
      </c>
      <c r="W105" s="68">
        <f>IF(OR(TaxOn&lt;&gt;"Yes",NOT(ISNUMBER(M105))),0,IF(IFERROR(INDEX(tt_Tax,MATCH(D105,tt_Type,0)),"No")="Yes",M105,0))</f>
        <v/>
      </c>
      <c r="X105" s="67">
        <f>IF(T105=1,"",IF(C105="","Missing transaction date",IF(NOT(ISNUMBER(C105)),"Invalid date",IF(OR(C105&lt;DATE(2000,1,1),C105&gt;DATE(2099,12,31)),"Invalid date",IF(D105="","Select a type",IF(U105="","Unknown type: "&amp;D105,IF(V105="","Select an account (Category)",IF(ISNA(MATCH(V105,coa_Name,0)),"Unknown account: "&amp;V105,IF(K105="","Select Paid From / Deposited To",IF(ISNA(MATCH(K105,coa_Name,0)),"Unknown account: "&amp;K105,IF(NOT(ISNUMBER(L105)),"Enter an amount",IF(L105=0,"Enter an amount",IF(ABS(W105)&gt;ABS(L105),"Tax is larger than the amount","")))))))))))))</f>
        <v/>
      </c>
      <c r="Y105" s="67">
        <f>IF(OR(T105=1,X105&lt;&gt;""),"",IF(AND(B105&lt;&gt;"",COUNTIF(tx_ID,B105)&gt;1),"Duplicate transaction ID",IF(AND(L105&lt;0,D105&lt;&gt;"Adjustment"),"Negative amount — check this entry",IF(AND(D105="Customer Payment",G105=""),"Add the customer",IF(AND(D105="Customer Payment",OR(J105="",COUNTIF(ar_No,J105&amp;"")=0)),"Invoice # in Reference not found on AR sheet",IF(AND(D105="Bill Payment",H105=""),"Add the vendor",IF(AND(D105="Bill Payment",OR(J105="",COUNTIFS(ap_No,J105&amp;"",ap_Party,H105&amp;"")=0)),"Bill # + vendor not found on AP sheet",IF(AND(ISNUMBER(M105),N(M105)&lt;&gt;0,W105=0),"Tax ignored (tax tracking off, or not allowed for this type)",IF(V105=K105&amp;"","Same account on both sides",IF(AND(ISNUMBER(StartDate),C105&lt;StartDate),"Date is before the accounting start date",IF(AND(D105&lt;&gt;"Adjustment",IFERROR(INDEX(coa_Pay,MATCH(K105&amp;"",coa_Name,0)),"")&lt;&gt;"Yes"),"Paid From / Deposited To is not a payment account","")))))))))))</f>
        <v/>
      </c>
      <c r="Z105" s="67">
        <f>IF(AND(T105=0,X105=""),1,0)</f>
        <v/>
      </c>
      <c r="AA105" s="68">
        <f>IF(Z105=1,IF(U105="In",L105,L105-W105),0)</f>
        <v/>
      </c>
      <c r="AB105" s="68">
        <f>IF(Z105=1,IF(U105="In",L105-W105,L105),0)</f>
        <v/>
      </c>
      <c r="AC105" s="68">
        <f>IF(AND(Z105=1,U105="Out"),W105,0)</f>
        <v/>
      </c>
      <c r="AD105" s="68">
        <f>IF(AND(Z105=1,U105="In"),W105,0)</f>
        <v/>
      </c>
    </row>
    <row r="106">
      <c r="B106" s="62" t="inlineStr">
        <is>
          <t>TX-0100</t>
        </is>
      </c>
      <c r="C106" s="63" t="n">
        <v>46107</v>
      </c>
      <c r="D106" s="62" t="inlineStr">
        <is>
          <t>Money In</t>
        </is>
      </c>
      <c r="E106" s="62" t="inlineStr">
        <is>
          <t>Product Sales</t>
        </is>
      </c>
      <c r="F106" s="62" t="inlineStr">
        <is>
          <t>GCash / online orders week 4</t>
        </is>
      </c>
      <c r="G106" s="62" t="n"/>
      <c r="H106" s="62" t="n"/>
      <c r="I106" s="62" t="inlineStr">
        <is>
          <t>E-Wallet</t>
        </is>
      </c>
      <c r="J106" s="62" t="n"/>
      <c r="K106" s="62" t="inlineStr">
        <is>
          <t>E-Wallet / Online Payments</t>
        </is>
      </c>
      <c r="L106" s="64" t="n">
        <v>14833.49</v>
      </c>
      <c r="M106" s="64" t="n">
        <v>1589.3</v>
      </c>
      <c r="N106" s="62" t="n"/>
      <c r="O106" s="65">
        <f>IF(Z106=1,L106-W106,"")</f>
        <v/>
      </c>
      <c r="P106" s="66">
        <f>IF(V106="","",IFERROR(INDEX(coa_Type,MATCH(V106,coa_Name,0)),""))</f>
        <v/>
      </c>
      <c r="Q106" s="66">
        <f>IF(Z106=1,IF(U106="In",K106&amp;"",V106),"")</f>
        <v/>
      </c>
      <c r="R106" s="66">
        <f>IF(Z106=1,IF(U106="In",V106,K106&amp;""),"")</f>
        <v/>
      </c>
      <c r="S106" s="66">
        <f>IF(X106&lt;&gt;"","⛔ "&amp;X106&amp;" — not posted",IF(Y106&lt;&gt;"","⚠ "&amp;Y106,IF(Z106=1,"✓ OK","")))</f>
        <v/>
      </c>
      <c r="T106" s="67">
        <f>IF(AND(C106="",D106="",E106="",L106="",K106=""),1,0)</f>
        <v/>
      </c>
      <c r="U106" s="67">
        <f>IFERROR(INDEX(tt_Dir,MATCH(D106,tt_Type,0)),"")</f>
        <v/>
      </c>
      <c r="V106" s="67">
        <f>IF(D106="","",IFERROR(IF(INDEX(tt_Other,MATCH(D106,tt_Type,0))="",E106&amp;"",INDEX(tt_Other,MATCH(D106,tt_Type,0))),""))</f>
        <v/>
      </c>
      <c r="W106" s="68">
        <f>IF(OR(TaxOn&lt;&gt;"Yes",NOT(ISNUMBER(M106))),0,IF(IFERROR(INDEX(tt_Tax,MATCH(D106,tt_Type,0)),"No")="Yes",M106,0))</f>
        <v/>
      </c>
      <c r="X106" s="67">
        <f>IF(T106=1,"",IF(C106="","Missing transaction date",IF(NOT(ISNUMBER(C106)),"Invalid date",IF(OR(C106&lt;DATE(2000,1,1),C106&gt;DATE(2099,12,31)),"Invalid date",IF(D106="","Select a type",IF(U106="","Unknown type: "&amp;D106,IF(V106="","Select an account (Category)",IF(ISNA(MATCH(V106,coa_Name,0)),"Unknown account: "&amp;V106,IF(K106="","Select Paid From / Deposited To",IF(ISNA(MATCH(K106,coa_Name,0)),"Unknown account: "&amp;K106,IF(NOT(ISNUMBER(L106)),"Enter an amount",IF(L106=0,"Enter an amount",IF(ABS(W106)&gt;ABS(L106),"Tax is larger than the amount","")))))))))))))</f>
        <v/>
      </c>
      <c r="Y106" s="67">
        <f>IF(OR(T106=1,X106&lt;&gt;""),"",IF(AND(B106&lt;&gt;"",COUNTIF(tx_ID,B106)&gt;1),"Duplicate transaction ID",IF(AND(L106&lt;0,D106&lt;&gt;"Adjustment"),"Negative amount — check this entry",IF(AND(D106="Customer Payment",G106=""),"Add the customer",IF(AND(D106="Customer Payment",OR(J106="",COUNTIF(ar_No,J106&amp;"")=0)),"Invoice # in Reference not found on AR sheet",IF(AND(D106="Bill Payment",H106=""),"Add the vendor",IF(AND(D106="Bill Payment",OR(J106="",COUNTIFS(ap_No,J106&amp;"",ap_Party,H106&amp;"")=0)),"Bill # + vendor not found on AP sheet",IF(AND(ISNUMBER(M106),N(M106)&lt;&gt;0,W106=0),"Tax ignored (tax tracking off, or not allowed for this type)",IF(V106=K106&amp;"","Same account on both sides",IF(AND(ISNUMBER(StartDate),C106&lt;StartDate),"Date is before the accounting start date",IF(AND(D106&lt;&gt;"Adjustment",IFERROR(INDEX(coa_Pay,MATCH(K106&amp;"",coa_Name,0)),"")&lt;&gt;"Yes"),"Paid From / Deposited To is not a payment account","")))))))))))</f>
        <v/>
      </c>
      <c r="Z106" s="67">
        <f>IF(AND(T106=0,X106=""),1,0)</f>
        <v/>
      </c>
      <c r="AA106" s="68">
        <f>IF(Z106=1,IF(U106="In",L106,L106-W106),0)</f>
        <v/>
      </c>
      <c r="AB106" s="68">
        <f>IF(Z106=1,IF(U106="In",L106-W106,L106),0)</f>
        <v/>
      </c>
      <c r="AC106" s="68">
        <f>IF(AND(Z106=1,U106="Out"),W106,0)</f>
        <v/>
      </c>
      <c r="AD106" s="68">
        <f>IF(AND(Z106=1,U106="In"),W106,0)</f>
        <v/>
      </c>
    </row>
    <row r="107">
      <c r="B107" s="62" t="inlineStr">
        <is>
          <t>TX-0101</t>
        </is>
      </c>
      <c r="C107" s="63" t="n">
        <v>46108</v>
      </c>
      <c r="D107" s="62" t="inlineStr">
        <is>
          <t>Transfer</t>
        </is>
      </c>
      <c r="E107" s="62" t="inlineStr">
        <is>
          <t>Bank Account</t>
        </is>
      </c>
      <c r="F107" s="62" t="inlineStr">
        <is>
          <t>Cash deposit to bank</t>
        </is>
      </c>
      <c r="G107" s="62" t="n"/>
      <c r="H107" s="62" t="n"/>
      <c r="I107" s="62" t="inlineStr">
        <is>
          <t>Cash</t>
        </is>
      </c>
      <c r="J107" s="62" t="n"/>
      <c r="K107" s="62" t="inlineStr">
        <is>
          <t>Cash on Hand</t>
        </is>
      </c>
      <c r="L107" s="64" t="n">
        <v>42700</v>
      </c>
      <c r="M107" s="64" t="n"/>
      <c r="N107" s="62" t="n"/>
      <c r="O107" s="65">
        <f>IF(Z107=1,L107-W107,"")</f>
        <v/>
      </c>
      <c r="P107" s="66">
        <f>IF(V107="","",IFERROR(INDEX(coa_Type,MATCH(V107,coa_Name,0)),""))</f>
        <v/>
      </c>
      <c r="Q107" s="66">
        <f>IF(Z107=1,IF(U107="In",K107&amp;"",V107),"")</f>
        <v/>
      </c>
      <c r="R107" s="66">
        <f>IF(Z107=1,IF(U107="In",V107,K107&amp;""),"")</f>
        <v/>
      </c>
      <c r="S107" s="66">
        <f>IF(X107&lt;&gt;"","⛔ "&amp;X107&amp;" — not posted",IF(Y107&lt;&gt;"","⚠ "&amp;Y107,IF(Z107=1,"✓ OK","")))</f>
        <v/>
      </c>
      <c r="T107" s="67">
        <f>IF(AND(C107="",D107="",E107="",L107="",K107=""),1,0)</f>
        <v/>
      </c>
      <c r="U107" s="67">
        <f>IFERROR(INDEX(tt_Dir,MATCH(D107,tt_Type,0)),"")</f>
        <v/>
      </c>
      <c r="V107" s="67">
        <f>IF(D107="","",IFERROR(IF(INDEX(tt_Other,MATCH(D107,tt_Type,0))="",E107&amp;"",INDEX(tt_Other,MATCH(D107,tt_Type,0))),""))</f>
        <v/>
      </c>
      <c r="W107" s="68">
        <f>IF(OR(TaxOn&lt;&gt;"Yes",NOT(ISNUMBER(M107))),0,IF(IFERROR(INDEX(tt_Tax,MATCH(D107,tt_Type,0)),"No")="Yes",M107,0))</f>
        <v/>
      </c>
      <c r="X107" s="67">
        <f>IF(T107=1,"",IF(C107="","Missing transaction date",IF(NOT(ISNUMBER(C107)),"Invalid date",IF(OR(C107&lt;DATE(2000,1,1),C107&gt;DATE(2099,12,31)),"Invalid date",IF(D107="","Select a type",IF(U107="","Unknown type: "&amp;D107,IF(V107="","Select an account (Category)",IF(ISNA(MATCH(V107,coa_Name,0)),"Unknown account: "&amp;V107,IF(K107="","Select Paid From / Deposited To",IF(ISNA(MATCH(K107,coa_Name,0)),"Unknown account: "&amp;K107,IF(NOT(ISNUMBER(L107)),"Enter an amount",IF(L107=0,"Enter an amount",IF(ABS(W107)&gt;ABS(L107),"Tax is larger than the amount","")))))))))))))</f>
        <v/>
      </c>
      <c r="Y107" s="67">
        <f>IF(OR(T107=1,X107&lt;&gt;""),"",IF(AND(B107&lt;&gt;"",COUNTIF(tx_ID,B107)&gt;1),"Duplicate transaction ID",IF(AND(L107&lt;0,D107&lt;&gt;"Adjustment"),"Negative amount — check this entry",IF(AND(D107="Customer Payment",G107=""),"Add the customer",IF(AND(D107="Customer Payment",OR(J107="",COUNTIF(ar_No,J107&amp;"")=0)),"Invoice # in Reference not found on AR sheet",IF(AND(D107="Bill Payment",H107=""),"Add the vendor",IF(AND(D107="Bill Payment",OR(J107="",COUNTIFS(ap_No,J107&amp;"",ap_Party,H107&amp;"")=0)),"Bill # + vendor not found on AP sheet",IF(AND(ISNUMBER(M107),N(M107)&lt;&gt;0,W107=0),"Tax ignored (tax tracking off, or not allowed for this type)",IF(V107=K107&amp;"","Same account on both sides",IF(AND(ISNUMBER(StartDate),C107&lt;StartDate),"Date is before the accounting start date",IF(AND(D107&lt;&gt;"Adjustment",IFERROR(INDEX(coa_Pay,MATCH(K107&amp;"",coa_Name,0)),"")&lt;&gt;"Yes"),"Paid From / Deposited To is not a payment account","")))))))))))</f>
        <v/>
      </c>
      <c r="Z107" s="67">
        <f>IF(AND(T107=0,X107=""),1,0)</f>
        <v/>
      </c>
      <c r="AA107" s="68">
        <f>IF(Z107=1,IF(U107="In",L107,L107-W107),0)</f>
        <v/>
      </c>
      <c r="AB107" s="68">
        <f>IF(Z107=1,IF(U107="In",L107-W107,L107),0)</f>
        <v/>
      </c>
      <c r="AC107" s="68">
        <f>IF(AND(Z107=1,U107="Out"),W107,0)</f>
        <v/>
      </c>
      <c r="AD107" s="68">
        <f>IF(AND(Z107=1,U107="In"),W107,0)</f>
        <v/>
      </c>
    </row>
    <row r="108">
      <c r="B108" s="62" t="inlineStr">
        <is>
          <t>TX-0102</t>
        </is>
      </c>
      <c r="C108" s="63" t="n">
        <v>46108</v>
      </c>
      <c r="D108" s="62" t="inlineStr">
        <is>
          <t>Money Out</t>
        </is>
      </c>
      <c r="E108" s="62" t="inlineStr">
        <is>
          <t>Bank &amp; Payment Fees</t>
        </is>
      </c>
      <c r="F108" s="62" t="inlineStr">
        <is>
          <t>Monthly bank charge</t>
        </is>
      </c>
      <c r="G108" s="62" t="n"/>
      <c r="H108" s="62" t="n"/>
      <c r="I108" s="62" t="inlineStr">
        <is>
          <t>Bank Transfer</t>
        </is>
      </c>
      <c r="J108" s="62" t="n"/>
      <c r="K108" s="62" t="inlineStr">
        <is>
          <t>Bank Account</t>
        </is>
      </c>
      <c r="L108" s="64" t="n">
        <v>150</v>
      </c>
      <c r="M108" s="64" t="n"/>
      <c r="N108" s="62" t="n"/>
      <c r="O108" s="65">
        <f>IF(Z108=1,L108-W108,"")</f>
        <v/>
      </c>
      <c r="P108" s="66">
        <f>IF(V108="","",IFERROR(INDEX(coa_Type,MATCH(V108,coa_Name,0)),""))</f>
        <v/>
      </c>
      <c r="Q108" s="66">
        <f>IF(Z108=1,IF(U108="In",K108&amp;"",V108),"")</f>
        <v/>
      </c>
      <c r="R108" s="66">
        <f>IF(Z108=1,IF(U108="In",V108,K108&amp;""),"")</f>
        <v/>
      </c>
      <c r="S108" s="66">
        <f>IF(X108&lt;&gt;"","⛔ "&amp;X108&amp;" — not posted",IF(Y108&lt;&gt;"","⚠ "&amp;Y108,IF(Z108=1,"✓ OK","")))</f>
        <v/>
      </c>
      <c r="T108" s="67">
        <f>IF(AND(C108="",D108="",E108="",L108="",K108=""),1,0)</f>
        <v/>
      </c>
      <c r="U108" s="67">
        <f>IFERROR(INDEX(tt_Dir,MATCH(D108,tt_Type,0)),"")</f>
        <v/>
      </c>
      <c r="V108" s="67">
        <f>IF(D108="","",IFERROR(IF(INDEX(tt_Other,MATCH(D108,tt_Type,0))="",E108&amp;"",INDEX(tt_Other,MATCH(D108,tt_Type,0))),""))</f>
        <v/>
      </c>
      <c r="W108" s="68">
        <f>IF(OR(TaxOn&lt;&gt;"Yes",NOT(ISNUMBER(M108))),0,IF(IFERROR(INDEX(tt_Tax,MATCH(D108,tt_Type,0)),"No")="Yes",M108,0))</f>
        <v/>
      </c>
      <c r="X108" s="67">
        <f>IF(T108=1,"",IF(C108="","Missing transaction date",IF(NOT(ISNUMBER(C108)),"Invalid date",IF(OR(C108&lt;DATE(2000,1,1),C108&gt;DATE(2099,12,31)),"Invalid date",IF(D108="","Select a type",IF(U108="","Unknown type: "&amp;D108,IF(V108="","Select an account (Category)",IF(ISNA(MATCH(V108,coa_Name,0)),"Unknown account: "&amp;V108,IF(K108="","Select Paid From / Deposited To",IF(ISNA(MATCH(K108,coa_Name,0)),"Unknown account: "&amp;K108,IF(NOT(ISNUMBER(L108)),"Enter an amount",IF(L108=0,"Enter an amount",IF(ABS(W108)&gt;ABS(L108),"Tax is larger than the amount","")))))))))))))</f>
        <v/>
      </c>
      <c r="Y108" s="67">
        <f>IF(OR(T108=1,X108&lt;&gt;""),"",IF(AND(B108&lt;&gt;"",COUNTIF(tx_ID,B108)&gt;1),"Duplicate transaction ID",IF(AND(L108&lt;0,D108&lt;&gt;"Adjustment"),"Negative amount — check this entry",IF(AND(D108="Customer Payment",G108=""),"Add the customer",IF(AND(D108="Customer Payment",OR(J108="",COUNTIF(ar_No,J108&amp;"")=0)),"Invoice # in Reference not found on AR sheet",IF(AND(D108="Bill Payment",H108=""),"Add the vendor",IF(AND(D108="Bill Payment",OR(J108="",COUNTIFS(ap_No,J108&amp;"",ap_Party,H108&amp;"")=0)),"Bill # + vendor not found on AP sheet",IF(AND(ISNUMBER(M108),N(M108)&lt;&gt;0,W108=0),"Tax ignored (tax tracking off, or not allowed for this type)",IF(V108=K108&amp;"","Same account on both sides",IF(AND(ISNUMBER(StartDate),C108&lt;StartDate),"Date is before the accounting start date",IF(AND(D108&lt;&gt;"Adjustment",IFERROR(INDEX(coa_Pay,MATCH(K108&amp;"",coa_Name,0)),"")&lt;&gt;"Yes"),"Paid From / Deposited To is not a payment account","")))))))))))</f>
        <v/>
      </c>
      <c r="Z108" s="67">
        <f>IF(AND(T108=0,X108=""),1,0)</f>
        <v/>
      </c>
      <c r="AA108" s="68">
        <f>IF(Z108=1,IF(U108="In",L108,L108-W108),0)</f>
        <v/>
      </c>
      <c r="AB108" s="68">
        <f>IF(Z108=1,IF(U108="In",L108-W108,L108),0)</f>
        <v/>
      </c>
      <c r="AC108" s="68">
        <f>IF(AND(Z108=1,U108="Out"),W108,0)</f>
        <v/>
      </c>
      <c r="AD108" s="68">
        <f>IF(AND(Z108=1,U108="In"),W108,0)</f>
        <v/>
      </c>
    </row>
    <row r="109">
      <c r="B109" s="62" t="inlineStr">
        <is>
          <t>TX-0103</t>
        </is>
      </c>
      <c r="C109" s="63" t="n">
        <v>46109</v>
      </c>
      <c r="D109" s="62" t="inlineStr">
        <is>
          <t>Transfer</t>
        </is>
      </c>
      <c r="E109" s="62" t="inlineStr">
        <is>
          <t>Bank Account</t>
        </is>
      </c>
      <c r="F109" s="62" t="inlineStr">
        <is>
          <t>E-wallet cash-out to bank</t>
        </is>
      </c>
      <c r="G109" s="62" t="n"/>
      <c r="H109" s="62" t="n"/>
      <c r="I109" s="62" t="inlineStr">
        <is>
          <t>Online Payment</t>
        </is>
      </c>
      <c r="J109" s="62" t="n"/>
      <c r="K109" s="62" t="inlineStr">
        <is>
          <t>E-Wallet / Online Payments</t>
        </is>
      </c>
      <c r="L109" s="64" t="n">
        <v>51400</v>
      </c>
      <c r="M109" s="64" t="n"/>
      <c r="N109" s="62" t="n"/>
      <c r="O109" s="65">
        <f>IF(Z109=1,L109-W109,"")</f>
        <v/>
      </c>
      <c r="P109" s="66">
        <f>IF(V109="","",IFERROR(INDEX(coa_Type,MATCH(V109,coa_Name,0)),""))</f>
        <v/>
      </c>
      <c r="Q109" s="66">
        <f>IF(Z109=1,IF(U109="In",K109&amp;"",V109),"")</f>
        <v/>
      </c>
      <c r="R109" s="66">
        <f>IF(Z109=1,IF(U109="In",V109,K109&amp;""),"")</f>
        <v/>
      </c>
      <c r="S109" s="66">
        <f>IF(X109&lt;&gt;"","⛔ "&amp;X109&amp;" — not posted",IF(Y109&lt;&gt;"","⚠ "&amp;Y109,IF(Z109=1,"✓ OK","")))</f>
        <v/>
      </c>
      <c r="T109" s="67">
        <f>IF(AND(C109="",D109="",E109="",L109="",K109=""),1,0)</f>
        <v/>
      </c>
      <c r="U109" s="67">
        <f>IFERROR(INDEX(tt_Dir,MATCH(D109,tt_Type,0)),"")</f>
        <v/>
      </c>
      <c r="V109" s="67">
        <f>IF(D109="","",IFERROR(IF(INDEX(tt_Other,MATCH(D109,tt_Type,0))="",E109&amp;"",INDEX(tt_Other,MATCH(D109,tt_Type,0))),""))</f>
        <v/>
      </c>
      <c r="W109" s="68">
        <f>IF(OR(TaxOn&lt;&gt;"Yes",NOT(ISNUMBER(M109))),0,IF(IFERROR(INDEX(tt_Tax,MATCH(D109,tt_Type,0)),"No")="Yes",M109,0))</f>
        <v/>
      </c>
      <c r="X109" s="67">
        <f>IF(T109=1,"",IF(C109="","Missing transaction date",IF(NOT(ISNUMBER(C109)),"Invalid date",IF(OR(C109&lt;DATE(2000,1,1),C109&gt;DATE(2099,12,31)),"Invalid date",IF(D109="","Select a type",IF(U109="","Unknown type: "&amp;D109,IF(V109="","Select an account (Category)",IF(ISNA(MATCH(V109,coa_Name,0)),"Unknown account: "&amp;V109,IF(K109="","Select Paid From / Deposited To",IF(ISNA(MATCH(K109,coa_Name,0)),"Unknown account: "&amp;K109,IF(NOT(ISNUMBER(L109)),"Enter an amount",IF(L109=0,"Enter an amount",IF(ABS(W109)&gt;ABS(L109),"Tax is larger than the amount","")))))))))))))</f>
        <v/>
      </c>
      <c r="Y109" s="67">
        <f>IF(OR(T109=1,X109&lt;&gt;""),"",IF(AND(B109&lt;&gt;"",COUNTIF(tx_ID,B109)&gt;1),"Duplicate transaction ID",IF(AND(L109&lt;0,D109&lt;&gt;"Adjustment"),"Negative amount — check this entry",IF(AND(D109="Customer Payment",G109=""),"Add the customer",IF(AND(D109="Customer Payment",OR(J109="",COUNTIF(ar_No,J109&amp;"")=0)),"Invoice # in Reference not found on AR sheet",IF(AND(D109="Bill Payment",H109=""),"Add the vendor",IF(AND(D109="Bill Payment",OR(J109="",COUNTIFS(ap_No,J109&amp;"",ap_Party,H109&amp;"")=0)),"Bill # + vendor not found on AP sheet",IF(AND(ISNUMBER(M109),N(M109)&lt;&gt;0,W109=0),"Tax ignored (tax tracking off, or not allowed for this type)",IF(V109=K109&amp;"","Same account on both sides",IF(AND(ISNUMBER(StartDate),C109&lt;StartDate),"Date is before the accounting start date",IF(AND(D109&lt;&gt;"Adjustment",IFERROR(INDEX(coa_Pay,MATCH(K109&amp;"",coa_Name,0)),"")&lt;&gt;"Yes"),"Paid From / Deposited To is not a payment account","")))))))))))</f>
        <v/>
      </c>
      <c r="Z109" s="67">
        <f>IF(AND(T109=0,X109=""),1,0)</f>
        <v/>
      </c>
      <c r="AA109" s="68">
        <f>IF(Z109=1,IF(U109="In",L109,L109-W109),0)</f>
        <v/>
      </c>
      <c r="AB109" s="68">
        <f>IF(Z109=1,IF(U109="In",L109-W109,L109),0)</f>
        <v/>
      </c>
      <c r="AC109" s="68">
        <f>IF(AND(Z109=1,U109="Out"),W109,0)</f>
        <v/>
      </c>
      <c r="AD109" s="68">
        <f>IF(AND(Z109=1,U109="In"),W109,0)</f>
        <v/>
      </c>
    </row>
    <row r="110">
      <c r="B110" s="62" t="inlineStr">
        <is>
          <t>TX-0104</t>
        </is>
      </c>
      <c r="C110" s="63" t="n">
        <v>46109</v>
      </c>
      <c r="D110" s="62" t="inlineStr">
        <is>
          <t>Money Out</t>
        </is>
      </c>
      <c r="E110" s="62" t="inlineStr">
        <is>
          <t>Direct Labor</t>
        </is>
      </c>
      <c r="F110" s="62" t="inlineStr">
        <is>
          <t>Bakers' salaries (16th-end)</t>
        </is>
      </c>
      <c r="G110" s="62" t="n"/>
      <c r="H110" s="62" t="n"/>
      <c r="I110" s="62" t="inlineStr">
        <is>
          <t>Bank Transfer</t>
        </is>
      </c>
      <c r="J110" s="62" t="n"/>
      <c r="K110" s="62" t="inlineStr">
        <is>
          <t>Bank Account</t>
        </is>
      </c>
      <c r="L110" s="64" t="n">
        <v>38000</v>
      </c>
      <c r="M110" s="64" t="n"/>
      <c r="N110" s="62" t="n"/>
      <c r="O110" s="65">
        <f>IF(Z110=1,L110-W110,"")</f>
        <v/>
      </c>
      <c r="P110" s="66">
        <f>IF(V110="","",IFERROR(INDEX(coa_Type,MATCH(V110,coa_Name,0)),""))</f>
        <v/>
      </c>
      <c r="Q110" s="66">
        <f>IF(Z110=1,IF(U110="In",K110&amp;"",V110),"")</f>
        <v/>
      </c>
      <c r="R110" s="66">
        <f>IF(Z110=1,IF(U110="In",V110,K110&amp;""),"")</f>
        <v/>
      </c>
      <c r="S110" s="66">
        <f>IF(X110&lt;&gt;"","⛔ "&amp;X110&amp;" — not posted",IF(Y110&lt;&gt;"","⚠ "&amp;Y110,IF(Z110=1,"✓ OK","")))</f>
        <v/>
      </c>
      <c r="T110" s="67">
        <f>IF(AND(C110="",D110="",E110="",L110="",K110=""),1,0)</f>
        <v/>
      </c>
      <c r="U110" s="67">
        <f>IFERROR(INDEX(tt_Dir,MATCH(D110,tt_Type,0)),"")</f>
        <v/>
      </c>
      <c r="V110" s="67">
        <f>IF(D110="","",IFERROR(IF(INDEX(tt_Other,MATCH(D110,tt_Type,0))="",E110&amp;"",INDEX(tt_Other,MATCH(D110,tt_Type,0))),""))</f>
        <v/>
      </c>
      <c r="W110" s="68">
        <f>IF(OR(TaxOn&lt;&gt;"Yes",NOT(ISNUMBER(M110))),0,IF(IFERROR(INDEX(tt_Tax,MATCH(D110,tt_Type,0)),"No")="Yes",M110,0))</f>
        <v/>
      </c>
      <c r="X110" s="67">
        <f>IF(T110=1,"",IF(C110="","Missing transaction date",IF(NOT(ISNUMBER(C110)),"Invalid date",IF(OR(C110&lt;DATE(2000,1,1),C110&gt;DATE(2099,12,31)),"Invalid date",IF(D110="","Select a type",IF(U110="","Unknown type: "&amp;D110,IF(V110="","Select an account (Category)",IF(ISNA(MATCH(V110,coa_Name,0)),"Unknown account: "&amp;V110,IF(K110="","Select Paid From / Deposited To",IF(ISNA(MATCH(K110,coa_Name,0)),"Unknown account: "&amp;K110,IF(NOT(ISNUMBER(L110)),"Enter an amount",IF(L110=0,"Enter an amount",IF(ABS(W110)&gt;ABS(L110),"Tax is larger than the amount","")))))))))))))</f>
        <v/>
      </c>
      <c r="Y110" s="67">
        <f>IF(OR(T110=1,X110&lt;&gt;""),"",IF(AND(B110&lt;&gt;"",COUNTIF(tx_ID,B110)&gt;1),"Duplicate transaction ID",IF(AND(L110&lt;0,D110&lt;&gt;"Adjustment"),"Negative amount — check this entry",IF(AND(D110="Customer Payment",G110=""),"Add the customer",IF(AND(D110="Customer Payment",OR(J110="",COUNTIF(ar_No,J110&amp;"")=0)),"Invoice # in Reference not found on AR sheet",IF(AND(D110="Bill Payment",H110=""),"Add the vendor",IF(AND(D110="Bill Payment",OR(J110="",COUNTIFS(ap_No,J110&amp;"",ap_Party,H110&amp;"")=0)),"Bill # + vendor not found on AP sheet",IF(AND(ISNUMBER(M110),N(M110)&lt;&gt;0,W110=0),"Tax ignored (tax tracking off, or not allowed for this type)",IF(V110=K110&amp;"","Same account on both sides",IF(AND(ISNUMBER(StartDate),C110&lt;StartDate),"Date is before the accounting start date",IF(AND(D110&lt;&gt;"Adjustment",IFERROR(INDEX(coa_Pay,MATCH(K110&amp;"",coa_Name,0)),"")&lt;&gt;"Yes"),"Paid From / Deposited To is not a payment account","")))))))))))</f>
        <v/>
      </c>
      <c r="Z110" s="67">
        <f>IF(AND(T110=0,X110=""),1,0)</f>
        <v/>
      </c>
      <c r="AA110" s="68">
        <f>IF(Z110=1,IF(U110="In",L110,L110-W110),0)</f>
        <v/>
      </c>
      <c r="AB110" s="68">
        <f>IF(Z110=1,IF(U110="In",L110-W110,L110),0)</f>
        <v/>
      </c>
      <c r="AC110" s="68">
        <f>IF(AND(Z110=1,U110="Out"),W110,0)</f>
        <v/>
      </c>
      <c r="AD110" s="68">
        <f>IF(AND(Z110=1,U110="In"),W110,0)</f>
        <v/>
      </c>
    </row>
    <row r="111">
      <c r="B111" s="62" t="inlineStr">
        <is>
          <t>TX-0105</t>
        </is>
      </c>
      <c r="C111" s="63" t="n">
        <v>46109</v>
      </c>
      <c r="D111" s="62" t="inlineStr">
        <is>
          <t>Money Out</t>
        </is>
      </c>
      <c r="E111" s="62" t="inlineStr">
        <is>
          <t>Salaries &amp; Wages</t>
        </is>
      </c>
      <c r="F111" s="62" t="inlineStr">
        <is>
          <t>Cashier salary (16th-end)</t>
        </is>
      </c>
      <c r="G111" s="62" t="n"/>
      <c r="H111" s="62" t="n"/>
      <c r="I111" s="62" t="inlineStr">
        <is>
          <t>Bank Transfer</t>
        </is>
      </c>
      <c r="J111" s="62" t="n"/>
      <c r="K111" s="62" t="inlineStr">
        <is>
          <t>Bank Account</t>
        </is>
      </c>
      <c r="L111" s="64" t="n">
        <v>9000</v>
      </c>
      <c r="M111" s="64" t="n"/>
      <c r="N111" s="62" t="n"/>
      <c r="O111" s="65">
        <f>IF(Z111=1,L111-W111,"")</f>
        <v/>
      </c>
      <c r="P111" s="66">
        <f>IF(V111="","",IFERROR(INDEX(coa_Type,MATCH(V111,coa_Name,0)),""))</f>
        <v/>
      </c>
      <c r="Q111" s="66">
        <f>IF(Z111=1,IF(U111="In",K111&amp;"",V111),"")</f>
        <v/>
      </c>
      <c r="R111" s="66">
        <f>IF(Z111=1,IF(U111="In",V111,K111&amp;""),"")</f>
        <v/>
      </c>
      <c r="S111" s="66">
        <f>IF(X111&lt;&gt;"","⛔ "&amp;X111&amp;" — not posted",IF(Y111&lt;&gt;"","⚠ "&amp;Y111,IF(Z111=1,"✓ OK","")))</f>
        <v/>
      </c>
      <c r="T111" s="67">
        <f>IF(AND(C111="",D111="",E111="",L111="",K111=""),1,0)</f>
        <v/>
      </c>
      <c r="U111" s="67">
        <f>IFERROR(INDEX(tt_Dir,MATCH(D111,tt_Type,0)),"")</f>
        <v/>
      </c>
      <c r="V111" s="67">
        <f>IF(D111="","",IFERROR(IF(INDEX(tt_Other,MATCH(D111,tt_Type,0))="",E111&amp;"",INDEX(tt_Other,MATCH(D111,tt_Type,0))),""))</f>
        <v/>
      </c>
      <c r="W111" s="68">
        <f>IF(OR(TaxOn&lt;&gt;"Yes",NOT(ISNUMBER(M111))),0,IF(IFERROR(INDEX(tt_Tax,MATCH(D111,tt_Type,0)),"No")="Yes",M111,0))</f>
        <v/>
      </c>
      <c r="X111" s="67">
        <f>IF(T111=1,"",IF(C111="","Missing transaction date",IF(NOT(ISNUMBER(C111)),"Invalid date",IF(OR(C111&lt;DATE(2000,1,1),C111&gt;DATE(2099,12,31)),"Invalid date",IF(D111="","Select a type",IF(U111="","Unknown type: "&amp;D111,IF(V111="","Select an account (Category)",IF(ISNA(MATCH(V111,coa_Name,0)),"Unknown account: "&amp;V111,IF(K111="","Select Paid From / Deposited To",IF(ISNA(MATCH(K111,coa_Name,0)),"Unknown account: "&amp;K111,IF(NOT(ISNUMBER(L111)),"Enter an amount",IF(L111=0,"Enter an amount",IF(ABS(W111)&gt;ABS(L111),"Tax is larger than the amount","")))))))))))))</f>
        <v/>
      </c>
      <c r="Y111" s="67">
        <f>IF(OR(T111=1,X111&lt;&gt;""),"",IF(AND(B111&lt;&gt;"",COUNTIF(tx_ID,B111)&gt;1),"Duplicate transaction ID",IF(AND(L111&lt;0,D111&lt;&gt;"Adjustment"),"Negative amount — check this entry",IF(AND(D111="Customer Payment",G111=""),"Add the customer",IF(AND(D111="Customer Payment",OR(J111="",COUNTIF(ar_No,J111&amp;"")=0)),"Invoice # in Reference not found on AR sheet",IF(AND(D111="Bill Payment",H111=""),"Add the vendor",IF(AND(D111="Bill Payment",OR(J111="",COUNTIFS(ap_No,J111&amp;"",ap_Party,H111&amp;"")=0)),"Bill # + vendor not found on AP sheet",IF(AND(ISNUMBER(M111),N(M111)&lt;&gt;0,W111=0),"Tax ignored (tax tracking off, or not allowed for this type)",IF(V111=K111&amp;"","Same account on both sides",IF(AND(ISNUMBER(StartDate),C111&lt;StartDate),"Date is before the accounting start date",IF(AND(D111&lt;&gt;"Adjustment",IFERROR(INDEX(coa_Pay,MATCH(K111&amp;"",coa_Name,0)),"")&lt;&gt;"Yes"),"Paid From / Deposited To is not a payment account","")))))))))))</f>
        <v/>
      </c>
      <c r="Z111" s="67">
        <f>IF(AND(T111=0,X111=""),1,0)</f>
        <v/>
      </c>
      <c r="AA111" s="68">
        <f>IF(Z111=1,IF(U111="In",L111,L111-W111),0)</f>
        <v/>
      </c>
      <c r="AB111" s="68">
        <f>IF(Z111=1,IF(U111="In",L111-W111,L111),0)</f>
        <v/>
      </c>
      <c r="AC111" s="68">
        <f>IF(AND(Z111=1,U111="Out"),W111,0)</f>
        <v/>
      </c>
      <c r="AD111" s="68">
        <f>IF(AND(Z111=1,U111="In"),W111,0)</f>
        <v/>
      </c>
    </row>
    <row r="112">
      <c r="B112" s="62" t="inlineStr">
        <is>
          <t>TX-0106</t>
        </is>
      </c>
      <c r="C112" s="63" t="n">
        <v>46111</v>
      </c>
      <c r="D112" s="62" t="inlineStr">
        <is>
          <t>Adjustment</t>
        </is>
      </c>
      <c r="E112" s="62" t="inlineStr">
        <is>
          <t>Depreciation</t>
        </is>
      </c>
      <c r="F112" s="62" t="inlineStr">
        <is>
          <t>Monthly depreciation of equipment</t>
        </is>
      </c>
      <c r="G112" s="62" t="n"/>
      <c r="H112" s="62" t="n"/>
      <c r="I112" s="62" t="n"/>
      <c r="J112" s="62" t="n"/>
      <c r="K112" s="62" t="inlineStr">
        <is>
          <t>Accumulated Depreciation</t>
        </is>
      </c>
      <c r="L112" s="64" t="n">
        <v>3000</v>
      </c>
      <c r="M112" s="64" t="n"/>
      <c r="N112" s="62" t="n"/>
      <c r="O112" s="65">
        <f>IF(Z112=1,L112-W112,"")</f>
        <v/>
      </c>
      <c r="P112" s="66">
        <f>IF(V112="","",IFERROR(INDEX(coa_Type,MATCH(V112,coa_Name,0)),""))</f>
        <v/>
      </c>
      <c r="Q112" s="66">
        <f>IF(Z112=1,IF(U112="In",K112&amp;"",V112),"")</f>
        <v/>
      </c>
      <c r="R112" s="66">
        <f>IF(Z112=1,IF(U112="In",V112,K112&amp;""),"")</f>
        <v/>
      </c>
      <c r="S112" s="66">
        <f>IF(X112&lt;&gt;"","⛔ "&amp;X112&amp;" — not posted",IF(Y112&lt;&gt;"","⚠ "&amp;Y112,IF(Z112=1,"✓ OK","")))</f>
        <v/>
      </c>
      <c r="T112" s="67">
        <f>IF(AND(C112="",D112="",E112="",L112="",K112=""),1,0)</f>
        <v/>
      </c>
      <c r="U112" s="67">
        <f>IFERROR(INDEX(tt_Dir,MATCH(D112,tt_Type,0)),"")</f>
        <v/>
      </c>
      <c r="V112" s="67">
        <f>IF(D112="","",IFERROR(IF(INDEX(tt_Other,MATCH(D112,tt_Type,0))="",E112&amp;"",INDEX(tt_Other,MATCH(D112,tt_Type,0))),""))</f>
        <v/>
      </c>
      <c r="W112" s="68">
        <f>IF(OR(TaxOn&lt;&gt;"Yes",NOT(ISNUMBER(M112))),0,IF(IFERROR(INDEX(tt_Tax,MATCH(D112,tt_Type,0)),"No")="Yes",M112,0))</f>
        <v/>
      </c>
      <c r="X112" s="67">
        <f>IF(T112=1,"",IF(C112="","Missing transaction date",IF(NOT(ISNUMBER(C112)),"Invalid date",IF(OR(C112&lt;DATE(2000,1,1),C112&gt;DATE(2099,12,31)),"Invalid date",IF(D112="","Select a type",IF(U112="","Unknown type: "&amp;D112,IF(V112="","Select an account (Category)",IF(ISNA(MATCH(V112,coa_Name,0)),"Unknown account: "&amp;V112,IF(K112="","Select Paid From / Deposited To",IF(ISNA(MATCH(K112,coa_Name,0)),"Unknown account: "&amp;K112,IF(NOT(ISNUMBER(L112)),"Enter an amount",IF(L112=0,"Enter an amount",IF(ABS(W112)&gt;ABS(L112),"Tax is larger than the amount","")))))))))))))</f>
        <v/>
      </c>
      <c r="Y112" s="67">
        <f>IF(OR(T112=1,X112&lt;&gt;""),"",IF(AND(B112&lt;&gt;"",COUNTIF(tx_ID,B112)&gt;1),"Duplicate transaction ID",IF(AND(L112&lt;0,D112&lt;&gt;"Adjustment"),"Negative amount — check this entry",IF(AND(D112="Customer Payment",G112=""),"Add the customer",IF(AND(D112="Customer Payment",OR(J112="",COUNTIF(ar_No,J112&amp;"")=0)),"Invoice # in Reference not found on AR sheet",IF(AND(D112="Bill Payment",H112=""),"Add the vendor",IF(AND(D112="Bill Payment",OR(J112="",COUNTIFS(ap_No,J112&amp;"",ap_Party,H112&amp;"")=0)),"Bill # + vendor not found on AP sheet",IF(AND(ISNUMBER(M112),N(M112)&lt;&gt;0,W112=0),"Tax ignored (tax tracking off, or not allowed for this type)",IF(V112=K112&amp;"","Same account on both sides",IF(AND(ISNUMBER(StartDate),C112&lt;StartDate),"Date is before the accounting start date",IF(AND(D112&lt;&gt;"Adjustment",IFERROR(INDEX(coa_Pay,MATCH(K112&amp;"",coa_Name,0)),"")&lt;&gt;"Yes"),"Paid From / Deposited To is not a payment account","")))))))))))</f>
        <v/>
      </c>
      <c r="Z112" s="67">
        <f>IF(AND(T112=0,X112=""),1,0)</f>
        <v/>
      </c>
      <c r="AA112" s="68">
        <f>IF(Z112=1,IF(U112="In",L112,L112-W112),0)</f>
        <v/>
      </c>
      <c r="AB112" s="68">
        <f>IF(Z112=1,IF(U112="In",L112-W112,L112),0)</f>
        <v/>
      </c>
      <c r="AC112" s="68">
        <f>IF(AND(Z112=1,U112="Out"),W112,0)</f>
        <v/>
      </c>
      <c r="AD112" s="68">
        <f>IF(AND(Z112=1,U112="In"),W112,0)</f>
        <v/>
      </c>
    </row>
    <row r="113">
      <c r="B113" s="62" t="inlineStr">
        <is>
          <t>TX-0107</t>
        </is>
      </c>
      <c r="C113" s="63" t="n">
        <v>46111</v>
      </c>
      <c r="D113" s="62" t="inlineStr">
        <is>
          <t>Money In</t>
        </is>
      </c>
      <c r="E113" s="62" t="inlineStr">
        <is>
          <t>Interest Income</t>
        </is>
      </c>
      <c r="F113" s="62" t="inlineStr">
        <is>
          <t>Bank interest</t>
        </is>
      </c>
      <c r="G113" s="62" t="n"/>
      <c r="H113" s="62" t="n"/>
      <c r="I113" s="62" t="inlineStr">
        <is>
          <t>Bank Transfer</t>
        </is>
      </c>
      <c r="J113" s="62" t="n"/>
      <c r="K113" s="62" t="inlineStr">
        <is>
          <t>Bank Account</t>
        </is>
      </c>
      <c r="L113" s="64" t="n">
        <v>90.58</v>
      </c>
      <c r="M113" s="64" t="n"/>
      <c r="N113" s="62" t="n"/>
      <c r="O113" s="65">
        <f>IF(Z113=1,L113-W113,"")</f>
        <v/>
      </c>
      <c r="P113" s="66">
        <f>IF(V113="","",IFERROR(INDEX(coa_Type,MATCH(V113,coa_Name,0)),""))</f>
        <v/>
      </c>
      <c r="Q113" s="66">
        <f>IF(Z113=1,IF(U113="In",K113&amp;"",V113),"")</f>
        <v/>
      </c>
      <c r="R113" s="66">
        <f>IF(Z113=1,IF(U113="In",V113,K113&amp;""),"")</f>
        <v/>
      </c>
      <c r="S113" s="66">
        <f>IF(X113&lt;&gt;"","⛔ "&amp;X113&amp;" — not posted",IF(Y113&lt;&gt;"","⚠ "&amp;Y113,IF(Z113=1,"✓ OK","")))</f>
        <v/>
      </c>
      <c r="T113" s="67">
        <f>IF(AND(C113="",D113="",E113="",L113="",K113=""),1,0)</f>
        <v/>
      </c>
      <c r="U113" s="67">
        <f>IFERROR(INDEX(tt_Dir,MATCH(D113,tt_Type,0)),"")</f>
        <v/>
      </c>
      <c r="V113" s="67">
        <f>IF(D113="","",IFERROR(IF(INDEX(tt_Other,MATCH(D113,tt_Type,0))="",E113&amp;"",INDEX(tt_Other,MATCH(D113,tt_Type,0))),""))</f>
        <v/>
      </c>
      <c r="W113" s="68">
        <f>IF(OR(TaxOn&lt;&gt;"Yes",NOT(ISNUMBER(M113))),0,IF(IFERROR(INDEX(tt_Tax,MATCH(D113,tt_Type,0)),"No")="Yes",M113,0))</f>
        <v/>
      </c>
      <c r="X113" s="67">
        <f>IF(T113=1,"",IF(C113="","Missing transaction date",IF(NOT(ISNUMBER(C113)),"Invalid date",IF(OR(C113&lt;DATE(2000,1,1),C113&gt;DATE(2099,12,31)),"Invalid date",IF(D113="","Select a type",IF(U113="","Unknown type: "&amp;D113,IF(V113="","Select an account (Category)",IF(ISNA(MATCH(V113,coa_Name,0)),"Unknown account: "&amp;V113,IF(K113="","Select Paid From / Deposited To",IF(ISNA(MATCH(K113,coa_Name,0)),"Unknown account: "&amp;K113,IF(NOT(ISNUMBER(L113)),"Enter an amount",IF(L113=0,"Enter an amount",IF(ABS(W113)&gt;ABS(L113),"Tax is larger than the amount","")))))))))))))</f>
        <v/>
      </c>
      <c r="Y113" s="67">
        <f>IF(OR(T113=1,X113&lt;&gt;""),"",IF(AND(B113&lt;&gt;"",COUNTIF(tx_ID,B113)&gt;1),"Duplicate transaction ID",IF(AND(L113&lt;0,D113&lt;&gt;"Adjustment"),"Negative amount — check this entry",IF(AND(D113="Customer Payment",G113=""),"Add the customer",IF(AND(D113="Customer Payment",OR(J113="",COUNTIF(ar_No,J113&amp;"")=0)),"Invoice # in Reference not found on AR sheet",IF(AND(D113="Bill Payment",H113=""),"Add the vendor",IF(AND(D113="Bill Payment",OR(J113="",COUNTIFS(ap_No,J113&amp;"",ap_Party,H113&amp;"")=0)),"Bill # + vendor not found on AP sheet",IF(AND(ISNUMBER(M113),N(M113)&lt;&gt;0,W113=0),"Tax ignored (tax tracking off, or not allowed for this type)",IF(V113=K113&amp;"","Same account on both sides",IF(AND(ISNUMBER(StartDate),C113&lt;StartDate),"Date is before the accounting start date",IF(AND(D113&lt;&gt;"Adjustment",IFERROR(INDEX(coa_Pay,MATCH(K113&amp;"",coa_Name,0)),"")&lt;&gt;"Yes"),"Paid From / Deposited To is not a payment account","")))))))))))</f>
        <v/>
      </c>
      <c r="Z113" s="67">
        <f>IF(AND(T113=0,X113=""),1,0)</f>
        <v/>
      </c>
      <c r="AA113" s="68">
        <f>IF(Z113=1,IF(U113="In",L113,L113-W113),0)</f>
        <v/>
      </c>
      <c r="AB113" s="68">
        <f>IF(Z113=1,IF(U113="In",L113-W113,L113),0)</f>
        <v/>
      </c>
      <c r="AC113" s="68">
        <f>IF(AND(Z113=1,U113="Out"),W113,0)</f>
        <v/>
      </c>
      <c r="AD113" s="68">
        <f>IF(AND(Z113=1,U113="In"),W113,0)</f>
        <v/>
      </c>
    </row>
    <row r="114">
      <c r="B114" s="62" t="inlineStr">
        <is>
          <t>TX-0108</t>
        </is>
      </c>
      <c r="C114" s="63" t="n">
        <v>46113</v>
      </c>
      <c r="D114" s="62" t="inlineStr">
        <is>
          <t>Money Out</t>
        </is>
      </c>
      <c r="E114" s="62" t="inlineStr">
        <is>
          <t>Rent</t>
        </is>
      </c>
      <c r="F114" s="62" t="inlineStr">
        <is>
          <t>Shop rent</t>
        </is>
      </c>
      <c r="G114" s="62" t="n"/>
      <c r="H114" s="62" t="n"/>
      <c r="I114" s="62" t="inlineStr">
        <is>
          <t>Bank Transfer</t>
        </is>
      </c>
      <c r="J114" s="62" t="inlineStr">
        <is>
          <t>RENT-04</t>
        </is>
      </c>
      <c r="K114" s="62" t="inlineStr">
        <is>
          <t>Bank Account</t>
        </is>
      </c>
      <c r="L114" s="64" t="n">
        <v>28000</v>
      </c>
      <c r="M114" s="64" t="n">
        <v>3000</v>
      </c>
      <c r="N114" s="62" t="n"/>
      <c r="O114" s="65">
        <f>IF(Z114=1,L114-W114,"")</f>
        <v/>
      </c>
      <c r="P114" s="66">
        <f>IF(V114="","",IFERROR(INDEX(coa_Type,MATCH(V114,coa_Name,0)),""))</f>
        <v/>
      </c>
      <c r="Q114" s="66">
        <f>IF(Z114=1,IF(U114="In",K114&amp;"",V114),"")</f>
        <v/>
      </c>
      <c r="R114" s="66">
        <f>IF(Z114=1,IF(U114="In",V114,K114&amp;""),"")</f>
        <v/>
      </c>
      <c r="S114" s="66">
        <f>IF(X114&lt;&gt;"","⛔ "&amp;X114&amp;" — not posted",IF(Y114&lt;&gt;"","⚠ "&amp;Y114,IF(Z114=1,"✓ OK","")))</f>
        <v/>
      </c>
      <c r="T114" s="67">
        <f>IF(AND(C114="",D114="",E114="",L114="",K114=""),1,0)</f>
        <v/>
      </c>
      <c r="U114" s="67">
        <f>IFERROR(INDEX(tt_Dir,MATCH(D114,tt_Type,0)),"")</f>
        <v/>
      </c>
      <c r="V114" s="67">
        <f>IF(D114="","",IFERROR(IF(INDEX(tt_Other,MATCH(D114,tt_Type,0))="",E114&amp;"",INDEX(tt_Other,MATCH(D114,tt_Type,0))),""))</f>
        <v/>
      </c>
      <c r="W114" s="68">
        <f>IF(OR(TaxOn&lt;&gt;"Yes",NOT(ISNUMBER(M114))),0,IF(IFERROR(INDEX(tt_Tax,MATCH(D114,tt_Type,0)),"No")="Yes",M114,0))</f>
        <v/>
      </c>
      <c r="X114" s="67">
        <f>IF(T114=1,"",IF(C114="","Missing transaction date",IF(NOT(ISNUMBER(C114)),"Invalid date",IF(OR(C114&lt;DATE(2000,1,1),C114&gt;DATE(2099,12,31)),"Invalid date",IF(D114="","Select a type",IF(U114="","Unknown type: "&amp;D114,IF(V114="","Select an account (Category)",IF(ISNA(MATCH(V114,coa_Name,0)),"Unknown account: "&amp;V114,IF(K114="","Select Paid From / Deposited To",IF(ISNA(MATCH(K114,coa_Name,0)),"Unknown account: "&amp;K114,IF(NOT(ISNUMBER(L114)),"Enter an amount",IF(L114=0,"Enter an amount",IF(ABS(W114)&gt;ABS(L114),"Tax is larger than the amount","")))))))))))))</f>
        <v/>
      </c>
      <c r="Y114" s="67">
        <f>IF(OR(T114=1,X114&lt;&gt;""),"",IF(AND(B114&lt;&gt;"",COUNTIF(tx_ID,B114)&gt;1),"Duplicate transaction ID",IF(AND(L114&lt;0,D114&lt;&gt;"Adjustment"),"Negative amount — check this entry",IF(AND(D114="Customer Payment",G114=""),"Add the customer",IF(AND(D114="Customer Payment",OR(J114="",COUNTIF(ar_No,J114&amp;"")=0)),"Invoice # in Reference not found on AR sheet",IF(AND(D114="Bill Payment",H114=""),"Add the vendor",IF(AND(D114="Bill Payment",OR(J114="",COUNTIFS(ap_No,J114&amp;"",ap_Party,H114&amp;"")=0)),"Bill # + vendor not found on AP sheet",IF(AND(ISNUMBER(M114),N(M114)&lt;&gt;0,W114=0),"Tax ignored (tax tracking off, or not allowed for this type)",IF(V114=K114&amp;"","Same account on both sides",IF(AND(ISNUMBER(StartDate),C114&lt;StartDate),"Date is before the accounting start date",IF(AND(D114&lt;&gt;"Adjustment",IFERROR(INDEX(coa_Pay,MATCH(K114&amp;"",coa_Name,0)),"")&lt;&gt;"Yes"),"Paid From / Deposited To is not a payment account","")))))))))))</f>
        <v/>
      </c>
      <c r="Z114" s="67">
        <f>IF(AND(T114=0,X114=""),1,0)</f>
        <v/>
      </c>
      <c r="AA114" s="68">
        <f>IF(Z114=1,IF(U114="In",L114,L114-W114),0)</f>
        <v/>
      </c>
      <c r="AB114" s="68">
        <f>IF(Z114=1,IF(U114="In",L114-W114,L114),0)</f>
        <v/>
      </c>
      <c r="AC114" s="68">
        <f>IF(AND(Z114=1,U114="Out"),W114,0)</f>
        <v/>
      </c>
      <c r="AD114" s="68">
        <f>IF(AND(Z114=1,U114="In"),W114,0)</f>
        <v/>
      </c>
    </row>
    <row r="115">
      <c r="B115" s="62" t="inlineStr">
        <is>
          <t>TX-0109</t>
        </is>
      </c>
      <c r="C115" s="63" t="n">
        <v>46114</v>
      </c>
      <c r="D115" s="62" t="inlineStr">
        <is>
          <t>Customer Payment</t>
        </is>
      </c>
      <c r="E115" s="62" t="n"/>
      <c r="F115" s="62" t="inlineStr">
        <is>
          <t>Invoice payment</t>
        </is>
      </c>
      <c r="G115" s="62" t="inlineStr">
        <is>
          <t>Northwind Offices</t>
        </is>
      </c>
      <c r="H115" s="62" t="n"/>
      <c r="I115" s="62" t="inlineStr">
        <is>
          <t>Bank Transfer</t>
        </is>
      </c>
      <c r="J115" s="62" t="inlineStr">
        <is>
          <t>INV-1003</t>
        </is>
      </c>
      <c r="K115" s="62" t="inlineStr">
        <is>
          <t>Bank Account</t>
        </is>
      </c>
      <c r="L115" s="64" t="n">
        <v>35728.47</v>
      </c>
      <c r="M115" s="64" t="n"/>
      <c r="N115" s="62" t="n"/>
      <c r="O115" s="65">
        <f>IF(Z115=1,L115-W115,"")</f>
        <v/>
      </c>
      <c r="P115" s="66">
        <f>IF(V115="","",IFERROR(INDEX(coa_Type,MATCH(V115,coa_Name,0)),""))</f>
        <v/>
      </c>
      <c r="Q115" s="66">
        <f>IF(Z115=1,IF(U115="In",K115&amp;"",V115),"")</f>
        <v/>
      </c>
      <c r="R115" s="66">
        <f>IF(Z115=1,IF(U115="In",V115,K115&amp;""),"")</f>
        <v/>
      </c>
      <c r="S115" s="66">
        <f>IF(X115&lt;&gt;"","⛔ "&amp;X115&amp;" — not posted",IF(Y115&lt;&gt;"","⚠ "&amp;Y115,IF(Z115=1,"✓ OK","")))</f>
        <v/>
      </c>
      <c r="T115" s="67">
        <f>IF(AND(C115="",D115="",E115="",L115="",K115=""),1,0)</f>
        <v/>
      </c>
      <c r="U115" s="67">
        <f>IFERROR(INDEX(tt_Dir,MATCH(D115,tt_Type,0)),"")</f>
        <v/>
      </c>
      <c r="V115" s="67">
        <f>IF(D115="","",IFERROR(IF(INDEX(tt_Other,MATCH(D115,tt_Type,0))="",E115&amp;"",INDEX(tt_Other,MATCH(D115,tt_Type,0))),""))</f>
        <v/>
      </c>
      <c r="W115" s="68">
        <f>IF(OR(TaxOn&lt;&gt;"Yes",NOT(ISNUMBER(M115))),0,IF(IFERROR(INDEX(tt_Tax,MATCH(D115,tt_Type,0)),"No")="Yes",M115,0))</f>
        <v/>
      </c>
      <c r="X115" s="67">
        <f>IF(T115=1,"",IF(C115="","Missing transaction date",IF(NOT(ISNUMBER(C115)),"Invalid date",IF(OR(C115&lt;DATE(2000,1,1),C115&gt;DATE(2099,12,31)),"Invalid date",IF(D115="","Select a type",IF(U115="","Unknown type: "&amp;D115,IF(V115="","Select an account (Category)",IF(ISNA(MATCH(V115,coa_Name,0)),"Unknown account: "&amp;V115,IF(K115="","Select Paid From / Deposited To",IF(ISNA(MATCH(K115,coa_Name,0)),"Unknown account: "&amp;K115,IF(NOT(ISNUMBER(L115)),"Enter an amount",IF(L115=0,"Enter an amount",IF(ABS(W115)&gt;ABS(L115),"Tax is larger than the amount","")))))))))))))</f>
        <v/>
      </c>
      <c r="Y115" s="67">
        <f>IF(OR(T115=1,X115&lt;&gt;""),"",IF(AND(B115&lt;&gt;"",COUNTIF(tx_ID,B115)&gt;1),"Duplicate transaction ID",IF(AND(L115&lt;0,D115&lt;&gt;"Adjustment"),"Negative amount — check this entry",IF(AND(D115="Customer Payment",G115=""),"Add the customer",IF(AND(D115="Customer Payment",OR(J115="",COUNTIF(ar_No,J115&amp;"")=0)),"Invoice # in Reference not found on AR sheet",IF(AND(D115="Bill Payment",H115=""),"Add the vendor",IF(AND(D115="Bill Payment",OR(J115="",COUNTIFS(ap_No,J115&amp;"",ap_Party,H115&amp;"")=0)),"Bill # + vendor not found on AP sheet",IF(AND(ISNUMBER(M115),N(M115)&lt;&gt;0,W115=0),"Tax ignored (tax tracking off, or not allowed for this type)",IF(V115=K115&amp;"","Same account on both sides",IF(AND(ISNUMBER(StartDate),C115&lt;StartDate),"Date is before the accounting start date",IF(AND(D115&lt;&gt;"Adjustment",IFERROR(INDEX(coa_Pay,MATCH(K115&amp;"",coa_Name,0)),"")&lt;&gt;"Yes"),"Paid From / Deposited To is not a payment account","")))))))))))</f>
        <v/>
      </c>
      <c r="Z115" s="67">
        <f>IF(AND(T115=0,X115=""),1,0)</f>
        <v/>
      </c>
      <c r="AA115" s="68">
        <f>IF(Z115=1,IF(U115="In",L115,L115-W115),0)</f>
        <v/>
      </c>
      <c r="AB115" s="68">
        <f>IF(Z115=1,IF(U115="In",L115-W115,L115),0)</f>
        <v/>
      </c>
      <c r="AC115" s="68">
        <f>IF(AND(Z115=1,U115="Out"),W115,0)</f>
        <v/>
      </c>
      <c r="AD115" s="68">
        <f>IF(AND(Z115=1,U115="In"),W115,0)</f>
        <v/>
      </c>
    </row>
    <row r="116">
      <c r="B116" s="62" t="inlineStr">
        <is>
          <t>TX-0110</t>
        </is>
      </c>
      <c r="C116" s="63" t="n">
        <v>46114</v>
      </c>
      <c r="D116" s="62" t="inlineStr">
        <is>
          <t>Owner Investment</t>
        </is>
      </c>
      <c r="E116" s="62" t="n"/>
      <c r="F116" s="62" t="inlineStr">
        <is>
          <t>Owner capital for new oven</t>
        </is>
      </c>
      <c r="G116" s="62" t="n"/>
      <c r="H116" s="62" t="n"/>
      <c r="I116" s="62" t="inlineStr">
        <is>
          <t>Bank Transfer</t>
        </is>
      </c>
      <c r="J116" s="62" t="n"/>
      <c r="K116" s="62" t="inlineStr">
        <is>
          <t>Bank Account</t>
        </is>
      </c>
      <c r="L116" s="64" t="n">
        <v>50000</v>
      </c>
      <c r="M116" s="64" t="n"/>
      <c r="N116" s="62" t="n"/>
      <c r="O116" s="65">
        <f>IF(Z116=1,L116-W116,"")</f>
        <v/>
      </c>
      <c r="P116" s="66">
        <f>IF(V116="","",IFERROR(INDEX(coa_Type,MATCH(V116,coa_Name,0)),""))</f>
        <v/>
      </c>
      <c r="Q116" s="66">
        <f>IF(Z116=1,IF(U116="In",K116&amp;"",V116),"")</f>
        <v/>
      </c>
      <c r="R116" s="66">
        <f>IF(Z116=1,IF(U116="In",V116,K116&amp;""),"")</f>
        <v/>
      </c>
      <c r="S116" s="66">
        <f>IF(X116&lt;&gt;"","⛔ "&amp;X116&amp;" — not posted",IF(Y116&lt;&gt;"","⚠ "&amp;Y116,IF(Z116=1,"✓ OK","")))</f>
        <v/>
      </c>
      <c r="T116" s="67">
        <f>IF(AND(C116="",D116="",E116="",L116="",K116=""),1,0)</f>
        <v/>
      </c>
      <c r="U116" s="67">
        <f>IFERROR(INDEX(tt_Dir,MATCH(D116,tt_Type,0)),"")</f>
        <v/>
      </c>
      <c r="V116" s="67">
        <f>IF(D116="","",IFERROR(IF(INDEX(tt_Other,MATCH(D116,tt_Type,0))="",E116&amp;"",INDEX(tt_Other,MATCH(D116,tt_Type,0))),""))</f>
        <v/>
      </c>
      <c r="W116" s="68">
        <f>IF(OR(TaxOn&lt;&gt;"Yes",NOT(ISNUMBER(M116))),0,IF(IFERROR(INDEX(tt_Tax,MATCH(D116,tt_Type,0)),"No")="Yes",M116,0))</f>
        <v/>
      </c>
      <c r="X116" s="67">
        <f>IF(T116=1,"",IF(C116="","Missing transaction date",IF(NOT(ISNUMBER(C116)),"Invalid date",IF(OR(C116&lt;DATE(2000,1,1),C116&gt;DATE(2099,12,31)),"Invalid date",IF(D116="","Select a type",IF(U116="","Unknown type: "&amp;D116,IF(V116="","Select an account (Category)",IF(ISNA(MATCH(V116,coa_Name,0)),"Unknown account: "&amp;V116,IF(K116="","Select Paid From / Deposited To",IF(ISNA(MATCH(K116,coa_Name,0)),"Unknown account: "&amp;K116,IF(NOT(ISNUMBER(L116)),"Enter an amount",IF(L116=0,"Enter an amount",IF(ABS(W116)&gt;ABS(L116),"Tax is larger than the amount","")))))))))))))</f>
        <v/>
      </c>
      <c r="Y116" s="67">
        <f>IF(OR(T116=1,X116&lt;&gt;""),"",IF(AND(B116&lt;&gt;"",COUNTIF(tx_ID,B116)&gt;1),"Duplicate transaction ID",IF(AND(L116&lt;0,D116&lt;&gt;"Adjustment"),"Negative amount — check this entry",IF(AND(D116="Customer Payment",G116=""),"Add the customer",IF(AND(D116="Customer Payment",OR(J116="",COUNTIF(ar_No,J116&amp;"")=0)),"Invoice # in Reference not found on AR sheet",IF(AND(D116="Bill Payment",H116=""),"Add the vendor",IF(AND(D116="Bill Payment",OR(J116="",COUNTIFS(ap_No,J116&amp;"",ap_Party,H116&amp;"")=0)),"Bill # + vendor not found on AP sheet",IF(AND(ISNUMBER(M116),N(M116)&lt;&gt;0,W116=0),"Tax ignored (tax tracking off, or not allowed for this type)",IF(V116=K116&amp;"","Same account on both sides",IF(AND(ISNUMBER(StartDate),C116&lt;StartDate),"Date is before the accounting start date",IF(AND(D116&lt;&gt;"Adjustment",IFERROR(INDEX(coa_Pay,MATCH(K116&amp;"",coa_Name,0)),"")&lt;&gt;"Yes"),"Paid From / Deposited To is not a payment account","")))))))))))</f>
        <v/>
      </c>
      <c r="Z116" s="67">
        <f>IF(AND(T116=0,X116=""),1,0)</f>
        <v/>
      </c>
      <c r="AA116" s="68">
        <f>IF(Z116=1,IF(U116="In",L116,L116-W116),0)</f>
        <v/>
      </c>
      <c r="AB116" s="68">
        <f>IF(Z116=1,IF(U116="In",L116-W116,L116),0)</f>
        <v/>
      </c>
      <c r="AC116" s="68">
        <f>IF(AND(Z116=1,U116="Out"),W116,0)</f>
        <v/>
      </c>
      <c r="AD116" s="68">
        <f>IF(AND(Z116=1,U116="In"),W116,0)</f>
        <v/>
      </c>
    </row>
    <row r="117">
      <c r="B117" s="62" t="inlineStr">
        <is>
          <t>TX-0111</t>
        </is>
      </c>
      <c r="C117" s="63" t="n">
        <v>46116</v>
      </c>
      <c r="D117" s="62" t="inlineStr">
        <is>
          <t>Money In</t>
        </is>
      </c>
      <c r="E117" s="62" t="inlineStr">
        <is>
          <t>Product Sales</t>
        </is>
      </c>
      <c r="F117" s="62" t="inlineStr">
        <is>
          <t>Counter sales week 1</t>
        </is>
      </c>
      <c r="G117" s="62" t="n"/>
      <c r="H117" s="62" t="n"/>
      <c r="I117" s="62" t="inlineStr">
        <is>
          <t>Cash</t>
        </is>
      </c>
      <c r="J117" s="62" t="n"/>
      <c r="K117" s="62" t="inlineStr">
        <is>
          <t>Cash on Hand</t>
        </is>
      </c>
      <c r="L117" s="64" t="n">
        <v>59473.55</v>
      </c>
      <c r="M117" s="64" t="n">
        <v>6372.17</v>
      </c>
      <c r="N117" s="62" t="n"/>
      <c r="O117" s="65">
        <f>IF(Z117=1,L117-W117,"")</f>
        <v/>
      </c>
      <c r="P117" s="66">
        <f>IF(V117="","",IFERROR(INDEX(coa_Type,MATCH(V117,coa_Name,0)),""))</f>
        <v/>
      </c>
      <c r="Q117" s="66">
        <f>IF(Z117=1,IF(U117="In",K117&amp;"",V117),"")</f>
        <v/>
      </c>
      <c r="R117" s="66">
        <f>IF(Z117=1,IF(U117="In",V117,K117&amp;""),"")</f>
        <v/>
      </c>
      <c r="S117" s="66">
        <f>IF(X117&lt;&gt;"","⛔ "&amp;X117&amp;" — not posted",IF(Y117&lt;&gt;"","⚠ "&amp;Y117,IF(Z117=1,"✓ OK","")))</f>
        <v/>
      </c>
      <c r="T117" s="67">
        <f>IF(AND(C117="",D117="",E117="",L117="",K117=""),1,0)</f>
        <v/>
      </c>
      <c r="U117" s="67">
        <f>IFERROR(INDEX(tt_Dir,MATCH(D117,tt_Type,0)),"")</f>
        <v/>
      </c>
      <c r="V117" s="67">
        <f>IF(D117="","",IFERROR(IF(INDEX(tt_Other,MATCH(D117,tt_Type,0))="",E117&amp;"",INDEX(tt_Other,MATCH(D117,tt_Type,0))),""))</f>
        <v/>
      </c>
      <c r="W117" s="68">
        <f>IF(OR(TaxOn&lt;&gt;"Yes",NOT(ISNUMBER(M117))),0,IF(IFERROR(INDEX(tt_Tax,MATCH(D117,tt_Type,0)),"No")="Yes",M117,0))</f>
        <v/>
      </c>
      <c r="X117" s="67">
        <f>IF(T117=1,"",IF(C117="","Missing transaction date",IF(NOT(ISNUMBER(C117)),"Invalid date",IF(OR(C117&lt;DATE(2000,1,1),C117&gt;DATE(2099,12,31)),"Invalid date",IF(D117="","Select a type",IF(U117="","Unknown type: "&amp;D117,IF(V117="","Select an account (Category)",IF(ISNA(MATCH(V117,coa_Name,0)),"Unknown account: "&amp;V117,IF(K117="","Select Paid From / Deposited To",IF(ISNA(MATCH(K117,coa_Name,0)),"Unknown account: "&amp;K117,IF(NOT(ISNUMBER(L117)),"Enter an amount",IF(L117=0,"Enter an amount",IF(ABS(W117)&gt;ABS(L117),"Tax is larger than the amount","")))))))))))))</f>
        <v/>
      </c>
      <c r="Y117" s="67">
        <f>IF(OR(T117=1,X117&lt;&gt;""),"",IF(AND(B117&lt;&gt;"",COUNTIF(tx_ID,B117)&gt;1),"Duplicate transaction ID",IF(AND(L117&lt;0,D117&lt;&gt;"Adjustment"),"Negative amount — check this entry",IF(AND(D117="Customer Payment",G117=""),"Add the customer",IF(AND(D117="Customer Payment",OR(J117="",COUNTIF(ar_No,J117&amp;"")=0)),"Invoice # in Reference not found on AR sheet",IF(AND(D117="Bill Payment",H117=""),"Add the vendor",IF(AND(D117="Bill Payment",OR(J117="",COUNTIFS(ap_No,J117&amp;"",ap_Party,H117&amp;"")=0)),"Bill # + vendor not found on AP sheet",IF(AND(ISNUMBER(M117),N(M117)&lt;&gt;0,W117=0),"Tax ignored (tax tracking off, or not allowed for this type)",IF(V117=K117&amp;"","Same account on both sides",IF(AND(ISNUMBER(StartDate),C117&lt;StartDate),"Date is before the accounting start date",IF(AND(D117&lt;&gt;"Adjustment",IFERROR(INDEX(coa_Pay,MATCH(K117&amp;"",coa_Name,0)),"")&lt;&gt;"Yes"),"Paid From / Deposited To is not a payment account","")))))))))))</f>
        <v/>
      </c>
      <c r="Z117" s="67">
        <f>IF(AND(T117=0,X117=""),1,0)</f>
        <v/>
      </c>
      <c r="AA117" s="68">
        <f>IF(Z117=1,IF(U117="In",L117,L117-W117),0)</f>
        <v/>
      </c>
      <c r="AB117" s="68">
        <f>IF(Z117=1,IF(U117="In",L117-W117,L117),0)</f>
        <v/>
      </c>
      <c r="AC117" s="68">
        <f>IF(AND(Z117=1,U117="Out"),W117,0)</f>
        <v/>
      </c>
      <c r="AD117" s="68">
        <f>IF(AND(Z117=1,U117="In"),W117,0)</f>
        <v/>
      </c>
    </row>
    <row r="118">
      <c r="B118" s="62" t="inlineStr">
        <is>
          <t>TX-0112</t>
        </is>
      </c>
      <c r="C118" s="63" t="n">
        <v>46117</v>
      </c>
      <c r="D118" s="62" t="inlineStr">
        <is>
          <t>Bill Payment</t>
        </is>
      </c>
      <c r="E118" s="62" t="n"/>
      <c r="F118" s="62" t="inlineStr">
        <is>
          <t>Supplier payment</t>
        </is>
      </c>
      <c r="G118" s="62" t="n"/>
      <c r="H118" s="62" t="inlineStr">
        <is>
          <t>PackRight Supplies</t>
        </is>
      </c>
      <c r="I118" s="62" t="inlineStr">
        <is>
          <t>Bank Transfer</t>
        </is>
      </c>
      <c r="J118" s="62" t="inlineStr">
        <is>
          <t>PA-031</t>
        </is>
      </c>
      <c r="K118" s="62" t="inlineStr">
        <is>
          <t>Bank Account</t>
        </is>
      </c>
      <c r="L118" s="64" t="n">
        <v>9645.48</v>
      </c>
      <c r="M118" s="64" t="n"/>
      <c r="N118" s="62" t="n"/>
      <c r="O118" s="65">
        <f>IF(Z118=1,L118-W118,"")</f>
        <v/>
      </c>
      <c r="P118" s="66">
        <f>IF(V118="","",IFERROR(INDEX(coa_Type,MATCH(V118,coa_Name,0)),""))</f>
        <v/>
      </c>
      <c r="Q118" s="66">
        <f>IF(Z118=1,IF(U118="In",K118&amp;"",V118),"")</f>
        <v/>
      </c>
      <c r="R118" s="66">
        <f>IF(Z118=1,IF(U118="In",V118,K118&amp;""),"")</f>
        <v/>
      </c>
      <c r="S118" s="66">
        <f>IF(X118&lt;&gt;"","⛔ "&amp;X118&amp;" — not posted",IF(Y118&lt;&gt;"","⚠ "&amp;Y118,IF(Z118=1,"✓ OK","")))</f>
        <v/>
      </c>
      <c r="T118" s="67">
        <f>IF(AND(C118="",D118="",E118="",L118="",K118=""),1,0)</f>
        <v/>
      </c>
      <c r="U118" s="67">
        <f>IFERROR(INDEX(tt_Dir,MATCH(D118,tt_Type,0)),"")</f>
        <v/>
      </c>
      <c r="V118" s="67">
        <f>IF(D118="","",IFERROR(IF(INDEX(tt_Other,MATCH(D118,tt_Type,0))="",E118&amp;"",INDEX(tt_Other,MATCH(D118,tt_Type,0))),""))</f>
        <v/>
      </c>
      <c r="W118" s="68">
        <f>IF(OR(TaxOn&lt;&gt;"Yes",NOT(ISNUMBER(M118))),0,IF(IFERROR(INDEX(tt_Tax,MATCH(D118,tt_Type,0)),"No")="Yes",M118,0))</f>
        <v/>
      </c>
      <c r="X118" s="67">
        <f>IF(T118=1,"",IF(C118="","Missing transaction date",IF(NOT(ISNUMBER(C118)),"Invalid date",IF(OR(C118&lt;DATE(2000,1,1),C118&gt;DATE(2099,12,31)),"Invalid date",IF(D118="","Select a type",IF(U118="","Unknown type: "&amp;D118,IF(V118="","Select an account (Category)",IF(ISNA(MATCH(V118,coa_Name,0)),"Unknown account: "&amp;V118,IF(K118="","Select Paid From / Deposited To",IF(ISNA(MATCH(K118,coa_Name,0)),"Unknown account: "&amp;K118,IF(NOT(ISNUMBER(L118)),"Enter an amount",IF(L118=0,"Enter an amount",IF(ABS(W118)&gt;ABS(L118),"Tax is larger than the amount","")))))))))))))</f>
        <v/>
      </c>
      <c r="Y118" s="67">
        <f>IF(OR(T118=1,X118&lt;&gt;""),"",IF(AND(B118&lt;&gt;"",COUNTIF(tx_ID,B118)&gt;1),"Duplicate transaction ID",IF(AND(L118&lt;0,D118&lt;&gt;"Adjustment"),"Negative amount — check this entry",IF(AND(D118="Customer Payment",G118=""),"Add the customer",IF(AND(D118="Customer Payment",OR(J118="",COUNTIF(ar_No,J118&amp;"")=0)),"Invoice # in Reference not found on AR sheet",IF(AND(D118="Bill Payment",H118=""),"Add the vendor",IF(AND(D118="Bill Payment",OR(J118="",COUNTIFS(ap_No,J118&amp;"",ap_Party,H118&amp;"")=0)),"Bill # + vendor not found on AP sheet",IF(AND(ISNUMBER(M118),N(M118)&lt;&gt;0,W118=0),"Tax ignored (tax tracking off, or not allowed for this type)",IF(V118=K118&amp;"","Same account on both sides",IF(AND(ISNUMBER(StartDate),C118&lt;StartDate),"Date is before the accounting start date",IF(AND(D118&lt;&gt;"Adjustment",IFERROR(INDEX(coa_Pay,MATCH(K118&amp;"",coa_Name,0)),"")&lt;&gt;"Yes"),"Paid From / Deposited To is not a payment account","")))))))))))</f>
        <v/>
      </c>
      <c r="Z118" s="67">
        <f>IF(AND(T118=0,X118=""),1,0)</f>
        <v/>
      </c>
      <c r="AA118" s="68">
        <f>IF(Z118=1,IF(U118="In",L118,L118-W118),0)</f>
        <v/>
      </c>
      <c r="AB118" s="68">
        <f>IF(Z118=1,IF(U118="In",L118-W118,L118),0)</f>
        <v/>
      </c>
      <c r="AC118" s="68">
        <f>IF(AND(Z118=1,U118="Out"),W118,0)</f>
        <v/>
      </c>
      <c r="AD118" s="68">
        <f>IF(AND(Z118=1,U118="In"),W118,0)</f>
        <v/>
      </c>
    </row>
    <row r="119">
      <c r="B119" s="62" t="inlineStr">
        <is>
          <t>TX-0113</t>
        </is>
      </c>
      <c r="C119" s="63" t="n">
        <v>46117</v>
      </c>
      <c r="D119" s="62" t="inlineStr">
        <is>
          <t>Money In</t>
        </is>
      </c>
      <c r="E119" s="62" t="inlineStr">
        <is>
          <t>Product Sales</t>
        </is>
      </c>
      <c r="F119" s="62" t="inlineStr">
        <is>
          <t>GCash / online orders week 1</t>
        </is>
      </c>
      <c r="G119" s="62" t="n"/>
      <c r="H119" s="62" t="n"/>
      <c r="I119" s="62" t="inlineStr">
        <is>
          <t>E-Wallet</t>
        </is>
      </c>
      <c r="J119" s="62" t="n"/>
      <c r="K119" s="62" t="inlineStr">
        <is>
          <t>E-Wallet / Online Payments</t>
        </is>
      </c>
      <c r="L119" s="64" t="n">
        <v>16625.49</v>
      </c>
      <c r="M119" s="64" t="n">
        <v>1781.3</v>
      </c>
      <c r="N119" s="62" t="n"/>
      <c r="O119" s="65">
        <f>IF(Z119=1,L119-W119,"")</f>
        <v/>
      </c>
      <c r="P119" s="66">
        <f>IF(V119="","",IFERROR(INDEX(coa_Type,MATCH(V119,coa_Name,0)),""))</f>
        <v/>
      </c>
      <c r="Q119" s="66">
        <f>IF(Z119=1,IF(U119="In",K119&amp;"",V119),"")</f>
        <v/>
      </c>
      <c r="R119" s="66">
        <f>IF(Z119=1,IF(U119="In",V119,K119&amp;""),"")</f>
        <v/>
      </c>
      <c r="S119" s="66">
        <f>IF(X119&lt;&gt;"","⛔ "&amp;X119&amp;" — not posted",IF(Y119&lt;&gt;"","⚠ "&amp;Y119,IF(Z119=1,"✓ OK","")))</f>
        <v/>
      </c>
      <c r="T119" s="67">
        <f>IF(AND(C119="",D119="",E119="",L119="",K119=""),1,0)</f>
        <v/>
      </c>
      <c r="U119" s="67">
        <f>IFERROR(INDEX(tt_Dir,MATCH(D119,tt_Type,0)),"")</f>
        <v/>
      </c>
      <c r="V119" s="67">
        <f>IF(D119="","",IFERROR(IF(INDEX(tt_Other,MATCH(D119,tt_Type,0))="",E119&amp;"",INDEX(tt_Other,MATCH(D119,tt_Type,0))),""))</f>
        <v/>
      </c>
      <c r="W119" s="68">
        <f>IF(OR(TaxOn&lt;&gt;"Yes",NOT(ISNUMBER(M119))),0,IF(IFERROR(INDEX(tt_Tax,MATCH(D119,tt_Type,0)),"No")="Yes",M119,0))</f>
        <v/>
      </c>
      <c r="X119" s="67">
        <f>IF(T119=1,"",IF(C119="","Missing transaction date",IF(NOT(ISNUMBER(C119)),"Invalid date",IF(OR(C119&lt;DATE(2000,1,1),C119&gt;DATE(2099,12,31)),"Invalid date",IF(D119="","Select a type",IF(U119="","Unknown type: "&amp;D119,IF(V119="","Select an account (Category)",IF(ISNA(MATCH(V119,coa_Name,0)),"Unknown account: "&amp;V119,IF(K119="","Select Paid From / Deposited To",IF(ISNA(MATCH(K119,coa_Name,0)),"Unknown account: "&amp;K119,IF(NOT(ISNUMBER(L119)),"Enter an amount",IF(L119=0,"Enter an amount",IF(ABS(W119)&gt;ABS(L119),"Tax is larger than the amount","")))))))))))))</f>
        <v/>
      </c>
      <c r="Y119" s="67">
        <f>IF(OR(T119=1,X119&lt;&gt;""),"",IF(AND(B119&lt;&gt;"",COUNTIF(tx_ID,B119)&gt;1),"Duplicate transaction ID",IF(AND(L119&lt;0,D119&lt;&gt;"Adjustment"),"Negative amount — check this entry",IF(AND(D119="Customer Payment",G119=""),"Add the customer",IF(AND(D119="Customer Payment",OR(J119="",COUNTIF(ar_No,J119&amp;"")=0)),"Invoice # in Reference not found on AR sheet",IF(AND(D119="Bill Payment",H119=""),"Add the vendor",IF(AND(D119="Bill Payment",OR(J119="",COUNTIFS(ap_No,J119&amp;"",ap_Party,H119&amp;"")=0)),"Bill # + vendor not found on AP sheet",IF(AND(ISNUMBER(M119),N(M119)&lt;&gt;0,W119=0),"Tax ignored (tax tracking off, or not allowed for this type)",IF(V119=K119&amp;"","Same account on both sides",IF(AND(ISNUMBER(StartDate),C119&lt;StartDate),"Date is before the accounting start date",IF(AND(D119&lt;&gt;"Adjustment",IFERROR(INDEX(coa_Pay,MATCH(K119&amp;"",coa_Name,0)),"")&lt;&gt;"Yes"),"Paid From / Deposited To is not a payment account","")))))))))))</f>
        <v/>
      </c>
      <c r="Z119" s="67">
        <f>IF(AND(T119=0,X119=""),1,0)</f>
        <v/>
      </c>
      <c r="AA119" s="68">
        <f>IF(Z119=1,IF(U119="In",L119,L119-W119),0)</f>
        <v/>
      </c>
      <c r="AB119" s="68">
        <f>IF(Z119=1,IF(U119="In",L119-W119,L119),0)</f>
        <v/>
      </c>
      <c r="AC119" s="68">
        <f>IF(AND(Z119=1,U119="Out"),W119,0)</f>
        <v/>
      </c>
      <c r="AD119" s="68">
        <f>IF(AND(Z119=1,U119="In"),W119,0)</f>
        <v/>
      </c>
    </row>
    <row r="120">
      <c r="B120" s="62" t="inlineStr">
        <is>
          <t>TX-0114</t>
        </is>
      </c>
      <c r="C120" s="63" t="n">
        <v>46117</v>
      </c>
      <c r="D120" s="62" t="inlineStr">
        <is>
          <t>Transfer</t>
        </is>
      </c>
      <c r="E120" s="62" t="inlineStr">
        <is>
          <t>Credit Card</t>
        </is>
      </c>
      <c r="F120" s="62" t="inlineStr">
        <is>
          <t>Credit card payment</t>
        </is>
      </c>
      <c r="G120" s="62" t="n"/>
      <c r="H120" s="62" t="n"/>
      <c r="I120" s="62" t="inlineStr">
        <is>
          <t>Bank Transfer</t>
        </is>
      </c>
      <c r="J120" s="62" t="n"/>
      <c r="K120" s="62" t="inlineStr">
        <is>
          <t>Bank Account</t>
        </is>
      </c>
      <c r="L120" s="64" t="n">
        <v>6910.76</v>
      </c>
      <c r="M120" s="64" t="n"/>
      <c r="N120" s="62" t="n"/>
      <c r="O120" s="65">
        <f>IF(Z120=1,L120-W120,"")</f>
        <v/>
      </c>
      <c r="P120" s="66">
        <f>IF(V120="","",IFERROR(INDEX(coa_Type,MATCH(V120,coa_Name,0)),""))</f>
        <v/>
      </c>
      <c r="Q120" s="66">
        <f>IF(Z120=1,IF(U120="In",K120&amp;"",V120),"")</f>
        <v/>
      </c>
      <c r="R120" s="66">
        <f>IF(Z120=1,IF(U120="In",V120,K120&amp;""),"")</f>
        <v/>
      </c>
      <c r="S120" s="66">
        <f>IF(X120&lt;&gt;"","⛔ "&amp;X120&amp;" — not posted",IF(Y120&lt;&gt;"","⚠ "&amp;Y120,IF(Z120=1,"✓ OK","")))</f>
        <v/>
      </c>
      <c r="T120" s="67">
        <f>IF(AND(C120="",D120="",E120="",L120="",K120=""),1,0)</f>
        <v/>
      </c>
      <c r="U120" s="67">
        <f>IFERROR(INDEX(tt_Dir,MATCH(D120,tt_Type,0)),"")</f>
        <v/>
      </c>
      <c r="V120" s="67">
        <f>IF(D120="","",IFERROR(IF(INDEX(tt_Other,MATCH(D120,tt_Type,0))="",E120&amp;"",INDEX(tt_Other,MATCH(D120,tt_Type,0))),""))</f>
        <v/>
      </c>
      <c r="W120" s="68">
        <f>IF(OR(TaxOn&lt;&gt;"Yes",NOT(ISNUMBER(M120))),0,IF(IFERROR(INDEX(tt_Tax,MATCH(D120,tt_Type,0)),"No")="Yes",M120,0))</f>
        <v/>
      </c>
      <c r="X120" s="67">
        <f>IF(T120=1,"",IF(C120="","Missing transaction date",IF(NOT(ISNUMBER(C120)),"Invalid date",IF(OR(C120&lt;DATE(2000,1,1),C120&gt;DATE(2099,12,31)),"Invalid date",IF(D120="","Select a type",IF(U120="","Unknown type: "&amp;D120,IF(V120="","Select an account (Category)",IF(ISNA(MATCH(V120,coa_Name,0)),"Unknown account: "&amp;V120,IF(K120="","Select Paid From / Deposited To",IF(ISNA(MATCH(K120,coa_Name,0)),"Unknown account: "&amp;K120,IF(NOT(ISNUMBER(L120)),"Enter an amount",IF(L120=0,"Enter an amount",IF(ABS(W120)&gt;ABS(L120),"Tax is larger than the amount","")))))))))))))</f>
        <v/>
      </c>
      <c r="Y120" s="67">
        <f>IF(OR(T120=1,X120&lt;&gt;""),"",IF(AND(B120&lt;&gt;"",COUNTIF(tx_ID,B120)&gt;1),"Duplicate transaction ID",IF(AND(L120&lt;0,D120&lt;&gt;"Adjustment"),"Negative amount — check this entry",IF(AND(D120="Customer Payment",G120=""),"Add the customer",IF(AND(D120="Customer Payment",OR(J120="",COUNTIF(ar_No,J120&amp;"")=0)),"Invoice # in Reference not found on AR sheet",IF(AND(D120="Bill Payment",H120=""),"Add the vendor",IF(AND(D120="Bill Payment",OR(J120="",COUNTIFS(ap_No,J120&amp;"",ap_Party,H120&amp;"")=0)),"Bill # + vendor not found on AP sheet",IF(AND(ISNUMBER(M120),N(M120)&lt;&gt;0,W120=0),"Tax ignored (tax tracking off, or not allowed for this type)",IF(V120=K120&amp;"","Same account on both sides",IF(AND(ISNUMBER(StartDate),C120&lt;StartDate),"Date is before the accounting start date",IF(AND(D120&lt;&gt;"Adjustment",IFERROR(INDEX(coa_Pay,MATCH(K120&amp;"",coa_Name,0)),"")&lt;&gt;"Yes"),"Paid From / Deposited To is not a payment account","")))))))))))</f>
        <v/>
      </c>
      <c r="Z120" s="67">
        <f>IF(AND(T120=0,X120=""),1,0)</f>
        <v/>
      </c>
      <c r="AA120" s="68">
        <f>IF(Z120=1,IF(U120="In",L120,L120-W120),0)</f>
        <v/>
      </c>
      <c r="AB120" s="68">
        <f>IF(Z120=1,IF(U120="In",L120-W120,L120),0)</f>
        <v/>
      </c>
      <c r="AC120" s="68">
        <f>IF(AND(Z120=1,U120="Out"),W120,0)</f>
        <v/>
      </c>
      <c r="AD120" s="68">
        <f>IF(AND(Z120=1,U120="In"),W120,0)</f>
        <v/>
      </c>
    </row>
    <row r="121">
      <c r="B121" s="62" t="inlineStr">
        <is>
          <t>TX-0115</t>
        </is>
      </c>
      <c r="C121" s="63" t="n">
        <v>46118</v>
      </c>
      <c r="D121" s="62" t="inlineStr">
        <is>
          <t>Transfer</t>
        </is>
      </c>
      <c r="E121" s="62" t="inlineStr">
        <is>
          <t>Bank Account</t>
        </is>
      </c>
      <c r="F121" s="62" t="inlineStr">
        <is>
          <t>Cash deposit to bank</t>
        </is>
      </c>
      <c r="G121" s="62" t="n"/>
      <c r="H121" s="62" t="n"/>
      <c r="I121" s="62" t="inlineStr">
        <is>
          <t>Cash</t>
        </is>
      </c>
      <c r="J121" s="62" t="n"/>
      <c r="K121" s="62" t="inlineStr">
        <is>
          <t>Cash on Hand</t>
        </is>
      </c>
      <c r="L121" s="64" t="n">
        <v>50600</v>
      </c>
      <c r="M121" s="64" t="n"/>
      <c r="N121" s="62" t="n"/>
      <c r="O121" s="65">
        <f>IF(Z121=1,L121-W121,"")</f>
        <v/>
      </c>
      <c r="P121" s="66">
        <f>IF(V121="","",IFERROR(INDEX(coa_Type,MATCH(V121,coa_Name,0)),""))</f>
        <v/>
      </c>
      <c r="Q121" s="66">
        <f>IF(Z121=1,IF(U121="In",K121&amp;"",V121),"")</f>
        <v/>
      </c>
      <c r="R121" s="66">
        <f>IF(Z121=1,IF(U121="In",V121,K121&amp;""),"")</f>
        <v/>
      </c>
      <c r="S121" s="66">
        <f>IF(X121&lt;&gt;"","⛔ "&amp;X121&amp;" — not posted",IF(Y121&lt;&gt;"","⚠ "&amp;Y121,IF(Z121=1,"✓ OK","")))</f>
        <v/>
      </c>
      <c r="T121" s="67">
        <f>IF(AND(C121="",D121="",E121="",L121="",K121=""),1,0)</f>
        <v/>
      </c>
      <c r="U121" s="67">
        <f>IFERROR(INDEX(tt_Dir,MATCH(D121,tt_Type,0)),"")</f>
        <v/>
      </c>
      <c r="V121" s="67">
        <f>IF(D121="","",IFERROR(IF(INDEX(tt_Other,MATCH(D121,tt_Type,0))="",E121&amp;"",INDEX(tt_Other,MATCH(D121,tt_Type,0))),""))</f>
        <v/>
      </c>
      <c r="W121" s="68">
        <f>IF(OR(TaxOn&lt;&gt;"Yes",NOT(ISNUMBER(M121))),0,IF(IFERROR(INDEX(tt_Tax,MATCH(D121,tt_Type,0)),"No")="Yes",M121,0))</f>
        <v/>
      </c>
      <c r="X121" s="67">
        <f>IF(T121=1,"",IF(C121="","Missing transaction date",IF(NOT(ISNUMBER(C121)),"Invalid date",IF(OR(C121&lt;DATE(2000,1,1),C121&gt;DATE(2099,12,31)),"Invalid date",IF(D121="","Select a type",IF(U121="","Unknown type: "&amp;D121,IF(V121="","Select an account (Category)",IF(ISNA(MATCH(V121,coa_Name,0)),"Unknown account: "&amp;V121,IF(K121="","Select Paid From / Deposited To",IF(ISNA(MATCH(K121,coa_Name,0)),"Unknown account: "&amp;K121,IF(NOT(ISNUMBER(L121)),"Enter an amount",IF(L121=0,"Enter an amount",IF(ABS(W121)&gt;ABS(L121),"Tax is larger than the amount","")))))))))))))</f>
        <v/>
      </c>
      <c r="Y121" s="67">
        <f>IF(OR(T121=1,X121&lt;&gt;""),"",IF(AND(B121&lt;&gt;"",COUNTIF(tx_ID,B121)&gt;1),"Duplicate transaction ID",IF(AND(L121&lt;0,D121&lt;&gt;"Adjustment"),"Negative amount — check this entry",IF(AND(D121="Customer Payment",G121=""),"Add the customer",IF(AND(D121="Customer Payment",OR(J121="",COUNTIF(ar_No,J121&amp;"")=0)),"Invoice # in Reference not found on AR sheet",IF(AND(D121="Bill Payment",H121=""),"Add the vendor",IF(AND(D121="Bill Payment",OR(J121="",COUNTIFS(ap_No,J121&amp;"",ap_Party,H121&amp;"")=0)),"Bill # + vendor not found on AP sheet",IF(AND(ISNUMBER(M121),N(M121)&lt;&gt;0,W121=0),"Tax ignored (tax tracking off, or not allowed for this type)",IF(V121=K121&amp;"","Same account on both sides",IF(AND(ISNUMBER(StartDate),C121&lt;StartDate),"Date is before the accounting start date",IF(AND(D121&lt;&gt;"Adjustment",IFERROR(INDEX(coa_Pay,MATCH(K121&amp;"",coa_Name,0)),"")&lt;&gt;"Yes"),"Paid From / Deposited To is not a payment account","")))))))))))</f>
        <v/>
      </c>
      <c r="Z121" s="67">
        <f>IF(AND(T121=0,X121=""),1,0)</f>
        <v/>
      </c>
      <c r="AA121" s="68">
        <f>IF(Z121=1,IF(U121="In",L121,L121-W121),0)</f>
        <v/>
      </c>
      <c r="AB121" s="68">
        <f>IF(Z121=1,IF(U121="In",L121-W121,L121),0)</f>
        <v/>
      </c>
      <c r="AC121" s="68">
        <f>IF(AND(Z121=1,U121="Out"),W121,0)</f>
        <v/>
      </c>
      <c r="AD121" s="68">
        <f>IF(AND(Z121=1,U121="In"),W121,0)</f>
        <v/>
      </c>
    </row>
    <row r="122">
      <c r="B122" s="62" t="inlineStr">
        <is>
          <t>TX-0116</t>
        </is>
      </c>
      <c r="C122" s="63" t="n">
        <v>46118</v>
      </c>
      <c r="D122" s="62" t="inlineStr">
        <is>
          <t>Money Out</t>
        </is>
      </c>
      <c r="E122" s="62" t="inlineStr">
        <is>
          <t>Other Direct Costs</t>
        </is>
      </c>
      <c r="F122" s="62" t="inlineStr">
        <is>
          <t>Boxes &amp; paper bags (market)</t>
        </is>
      </c>
      <c r="G122" s="62" t="n"/>
      <c r="H122" s="62" t="n"/>
      <c r="I122" s="62" t="inlineStr">
        <is>
          <t>Cash</t>
        </is>
      </c>
      <c r="J122" s="62" t="n"/>
      <c r="K122" s="62" t="inlineStr">
        <is>
          <t>Cash on Hand</t>
        </is>
      </c>
      <c r="L122" s="64" t="n">
        <v>3652.7</v>
      </c>
      <c r="M122" s="64" t="n">
        <v>391.36</v>
      </c>
      <c r="N122" s="62" t="n"/>
      <c r="O122" s="65">
        <f>IF(Z122=1,L122-W122,"")</f>
        <v/>
      </c>
      <c r="P122" s="66">
        <f>IF(V122="","",IFERROR(INDEX(coa_Type,MATCH(V122,coa_Name,0)),""))</f>
        <v/>
      </c>
      <c r="Q122" s="66">
        <f>IF(Z122=1,IF(U122="In",K122&amp;"",V122),"")</f>
        <v/>
      </c>
      <c r="R122" s="66">
        <f>IF(Z122=1,IF(U122="In",V122,K122&amp;""),"")</f>
        <v/>
      </c>
      <c r="S122" s="66">
        <f>IF(X122&lt;&gt;"","⛔ "&amp;X122&amp;" — not posted",IF(Y122&lt;&gt;"","⚠ "&amp;Y122,IF(Z122=1,"✓ OK","")))</f>
        <v/>
      </c>
      <c r="T122" s="67">
        <f>IF(AND(C122="",D122="",E122="",L122="",K122=""),1,0)</f>
        <v/>
      </c>
      <c r="U122" s="67">
        <f>IFERROR(INDEX(tt_Dir,MATCH(D122,tt_Type,0)),"")</f>
        <v/>
      </c>
      <c r="V122" s="67">
        <f>IF(D122="","",IFERROR(IF(INDEX(tt_Other,MATCH(D122,tt_Type,0))="",E122&amp;"",INDEX(tt_Other,MATCH(D122,tt_Type,0))),""))</f>
        <v/>
      </c>
      <c r="W122" s="68">
        <f>IF(OR(TaxOn&lt;&gt;"Yes",NOT(ISNUMBER(M122))),0,IF(IFERROR(INDEX(tt_Tax,MATCH(D122,tt_Type,0)),"No")="Yes",M122,0))</f>
        <v/>
      </c>
      <c r="X122" s="67">
        <f>IF(T122=1,"",IF(C122="","Missing transaction date",IF(NOT(ISNUMBER(C122)),"Invalid date",IF(OR(C122&lt;DATE(2000,1,1),C122&gt;DATE(2099,12,31)),"Invalid date",IF(D122="","Select a type",IF(U122="","Unknown type: "&amp;D122,IF(V122="","Select an account (Category)",IF(ISNA(MATCH(V122,coa_Name,0)),"Unknown account: "&amp;V122,IF(K122="","Select Paid From / Deposited To",IF(ISNA(MATCH(K122,coa_Name,0)),"Unknown account: "&amp;K122,IF(NOT(ISNUMBER(L122)),"Enter an amount",IF(L122=0,"Enter an amount",IF(ABS(W122)&gt;ABS(L122),"Tax is larger than the amount","")))))))))))))</f>
        <v/>
      </c>
      <c r="Y122" s="67">
        <f>IF(OR(T122=1,X122&lt;&gt;""),"",IF(AND(B122&lt;&gt;"",COUNTIF(tx_ID,B122)&gt;1),"Duplicate transaction ID",IF(AND(L122&lt;0,D122&lt;&gt;"Adjustment"),"Negative amount — check this entry",IF(AND(D122="Customer Payment",G122=""),"Add the customer",IF(AND(D122="Customer Payment",OR(J122="",COUNTIF(ar_No,J122&amp;"")=0)),"Invoice # in Reference not found on AR sheet",IF(AND(D122="Bill Payment",H122=""),"Add the vendor",IF(AND(D122="Bill Payment",OR(J122="",COUNTIFS(ap_No,J122&amp;"",ap_Party,H122&amp;"")=0)),"Bill # + vendor not found on AP sheet",IF(AND(ISNUMBER(M122),N(M122)&lt;&gt;0,W122=0),"Tax ignored (tax tracking off, or not allowed for this type)",IF(V122=K122&amp;"","Same account on both sides",IF(AND(ISNUMBER(StartDate),C122&lt;StartDate),"Date is before the accounting start date",IF(AND(D122&lt;&gt;"Adjustment",IFERROR(INDEX(coa_Pay,MATCH(K122&amp;"",coa_Name,0)),"")&lt;&gt;"Yes"),"Paid From / Deposited To is not a payment account","")))))))))))</f>
        <v/>
      </c>
      <c r="Z122" s="67">
        <f>IF(AND(T122=0,X122=""),1,0)</f>
        <v/>
      </c>
      <c r="AA122" s="68">
        <f>IF(Z122=1,IF(U122="In",L122,L122-W122),0)</f>
        <v/>
      </c>
      <c r="AB122" s="68">
        <f>IF(Z122=1,IF(U122="In",L122-W122,L122),0)</f>
        <v/>
      </c>
      <c r="AC122" s="68">
        <f>IF(AND(Z122=1,U122="Out"),W122,0)</f>
        <v/>
      </c>
      <c r="AD122" s="68">
        <f>IF(AND(Z122=1,U122="In"),W122,0)</f>
        <v/>
      </c>
    </row>
    <row r="123">
      <c r="B123" s="62" t="inlineStr">
        <is>
          <t>TX-0117</t>
        </is>
      </c>
      <c r="C123" s="63" t="n">
        <v>46118</v>
      </c>
      <c r="D123" s="62" t="inlineStr">
        <is>
          <t>Money Out</t>
        </is>
      </c>
      <c r="E123" s="62" t="inlineStr">
        <is>
          <t>Equipment</t>
        </is>
      </c>
      <c r="F123" s="62" t="inlineStr">
        <is>
          <t>Deck oven (3-tray)</t>
        </is>
      </c>
      <c r="G123" s="62" t="n"/>
      <c r="H123" s="62" t="inlineStr">
        <is>
          <t>PackRight Supplies</t>
        </is>
      </c>
      <c r="I123" s="62" t="inlineStr">
        <is>
          <t>Bank Transfer</t>
        </is>
      </c>
      <c r="J123" s="62" t="inlineStr">
        <is>
          <t>OR-55821</t>
        </is>
      </c>
      <c r="K123" s="62" t="inlineStr">
        <is>
          <t>Bank Account</t>
        </is>
      </c>
      <c r="L123" s="64" t="n">
        <v>112000</v>
      </c>
      <c r="M123" s="64" t="n">
        <v>12000</v>
      </c>
      <c r="N123" s="62" t="n"/>
      <c r="O123" s="65">
        <f>IF(Z123=1,L123-W123,"")</f>
        <v/>
      </c>
      <c r="P123" s="66">
        <f>IF(V123="","",IFERROR(INDEX(coa_Type,MATCH(V123,coa_Name,0)),""))</f>
        <v/>
      </c>
      <c r="Q123" s="66">
        <f>IF(Z123=1,IF(U123="In",K123&amp;"",V123),"")</f>
        <v/>
      </c>
      <c r="R123" s="66">
        <f>IF(Z123=1,IF(U123="In",V123,K123&amp;""),"")</f>
        <v/>
      </c>
      <c r="S123" s="66">
        <f>IF(X123&lt;&gt;"","⛔ "&amp;X123&amp;" — not posted",IF(Y123&lt;&gt;"","⚠ "&amp;Y123,IF(Z123=1,"✓ OK","")))</f>
        <v/>
      </c>
      <c r="T123" s="67">
        <f>IF(AND(C123="",D123="",E123="",L123="",K123=""),1,0)</f>
        <v/>
      </c>
      <c r="U123" s="67">
        <f>IFERROR(INDEX(tt_Dir,MATCH(D123,tt_Type,0)),"")</f>
        <v/>
      </c>
      <c r="V123" s="67">
        <f>IF(D123="","",IFERROR(IF(INDEX(tt_Other,MATCH(D123,tt_Type,0))="",E123&amp;"",INDEX(tt_Other,MATCH(D123,tt_Type,0))),""))</f>
        <v/>
      </c>
      <c r="W123" s="68">
        <f>IF(OR(TaxOn&lt;&gt;"Yes",NOT(ISNUMBER(M123))),0,IF(IFERROR(INDEX(tt_Tax,MATCH(D123,tt_Type,0)),"No")="Yes",M123,0))</f>
        <v/>
      </c>
      <c r="X123" s="67">
        <f>IF(T123=1,"",IF(C123="","Missing transaction date",IF(NOT(ISNUMBER(C123)),"Invalid date",IF(OR(C123&lt;DATE(2000,1,1),C123&gt;DATE(2099,12,31)),"Invalid date",IF(D123="","Select a type",IF(U123="","Unknown type: "&amp;D123,IF(V123="","Select an account (Category)",IF(ISNA(MATCH(V123,coa_Name,0)),"Unknown account: "&amp;V123,IF(K123="","Select Paid From / Deposited To",IF(ISNA(MATCH(K123,coa_Name,0)),"Unknown account: "&amp;K123,IF(NOT(ISNUMBER(L123)),"Enter an amount",IF(L123=0,"Enter an amount",IF(ABS(W123)&gt;ABS(L123),"Tax is larger than the amount","")))))))))))))</f>
        <v/>
      </c>
      <c r="Y123" s="67">
        <f>IF(OR(T123=1,X123&lt;&gt;""),"",IF(AND(B123&lt;&gt;"",COUNTIF(tx_ID,B123)&gt;1),"Duplicate transaction ID",IF(AND(L123&lt;0,D123&lt;&gt;"Adjustment"),"Negative amount — check this entry",IF(AND(D123="Customer Payment",G123=""),"Add the customer",IF(AND(D123="Customer Payment",OR(J123="",COUNTIF(ar_No,J123&amp;"")=0)),"Invoice # in Reference not found on AR sheet",IF(AND(D123="Bill Payment",H123=""),"Add the vendor",IF(AND(D123="Bill Payment",OR(J123="",COUNTIFS(ap_No,J123&amp;"",ap_Party,H123&amp;"")=0)),"Bill # + vendor not found on AP sheet",IF(AND(ISNUMBER(M123),N(M123)&lt;&gt;0,W123=0),"Tax ignored (tax tracking off, or not allowed for this type)",IF(V123=K123&amp;"","Same account on both sides",IF(AND(ISNUMBER(StartDate),C123&lt;StartDate),"Date is before the accounting start date",IF(AND(D123&lt;&gt;"Adjustment",IFERROR(INDEX(coa_Pay,MATCH(K123&amp;"",coa_Name,0)),"")&lt;&gt;"Yes"),"Paid From / Deposited To is not a payment account","")))))))))))</f>
        <v/>
      </c>
      <c r="Z123" s="67">
        <f>IF(AND(T123=0,X123=""),1,0)</f>
        <v/>
      </c>
      <c r="AA123" s="68">
        <f>IF(Z123=1,IF(U123="In",L123,L123-W123),0)</f>
        <v/>
      </c>
      <c r="AB123" s="68">
        <f>IF(Z123=1,IF(U123="In",L123-W123,L123),0)</f>
        <v/>
      </c>
      <c r="AC123" s="68">
        <f>IF(AND(Z123=1,U123="Out"),W123,0)</f>
        <v/>
      </c>
      <c r="AD123" s="68">
        <f>IF(AND(Z123=1,U123="In"),W123,0)</f>
        <v/>
      </c>
    </row>
    <row r="124">
      <c r="B124" s="62" t="inlineStr">
        <is>
          <t>TX-0118</t>
        </is>
      </c>
      <c r="C124" s="63" t="n">
        <v>46120</v>
      </c>
      <c r="D124" s="62" t="inlineStr">
        <is>
          <t>Money Out</t>
        </is>
      </c>
      <c r="E124" s="62" t="inlineStr">
        <is>
          <t>Advertising &amp; Marketing</t>
        </is>
      </c>
      <c r="F124" s="62" t="inlineStr">
        <is>
          <t>Facebook / Instagram ads</t>
        </is>
      </c>
      <c r="G124" s="62" t="n"/>
      <c r="H124" s="62" t="n"/>
      <c r="I124" s="62" t="inlineStr">
        <is>
          <t>Credit Card</t>
        </is>
      </c>
      <c r="J124" s="62" t="n"/>
      <c r="K124" s="62" t="inlineStr">
        <is>
          <t>Credit Card</t>
        </is>
      </c>
      <c r="L124" s="64" t="n">
        <v>5493.49</v>
      </c>
      <c r="M124" s="64" t="n">
        <v>588.59</v>
      </c>
      <c r="N124" s="62" t="n"/>
      <c r="O124" s="65">
        <f>IF(Z124=1,L124-W124,"")</f>
        <v/>
      </c>
      <c r="P124" s="66">
        <f>IF(V124="","",IFERROR(INDEX(coa_Type,MATCH(V124,coa_Name,0)),""))</f>
        <v/>
      </c>
      <c r="Q124" s="66">
        <f>IF(Z124=1,IF(U124="In",K124&amp;"",V124),"")</f>
        <v/>
      </c>
      <c r="R124" s="66">
        <f>IF(Z124=1,IF(U124="In",V124,K124&amp;""),"")</f>
        <v/>
      </c>
      <c r="S124" s="66">
        <f>IF(X124&lt;&gt;"","⛔ "&amp;X124&amp;" — not posted",IF(Y124&lt;&gt;"","⚠ "&amp;Y124,IF(Z124=1,"✓ OK","")))</f>
        <v/>
      </c>
      <c r="T124" s="67">
        <f>IF(AND(C124="",D124="",E124="",L124="",K124=""),1,0)</f>
        <v/>
      </c>
      <c r="U124" s="67">
        <f>IFERROR(INDEX(tt_Dir,MATCH(D124,tt_Type,0)),"")</f>
        <v/>
      </c>
      <c r="V124" s="67">
        <f>IF(D124="","",IFERROR(IF(INDEX(tt_Other,MATCH(D124,tt_Type,0))="",E124&amp;"",INDEX(tt_Other,MATCH(D124,tt_Type,0))),""))</f>
        <v/>
      </c>
      <c r="W124" s="68">
        <f>IF(OR(TaxOn&lt;&gt;"Yes",NOT(ISNUMBER(M124))),0,IF(IFERROR(INDEX(tt_Tax,MATCH(D124,tt_Type,0)),"No")="Yes",M124,0))</f>
        <v/>
      </c>
      <c r="X124" s="67">
        <f>IF(T124=1,"",IF(C124="","Missing transaction date",IF(NOT(ISNUMBER(C124)),"Invalid date",IF(OR(C124&lt;DATE(2000,1,1),C124&gt;DATE(2099,12,31)),"Invalid date",IF(D124="","Select a type",IF(U124="","Unknown type: "&amp;D124,IF(V124="","Select an account (Category)",IF(ISNA(MATCH(V124,coa_Name,0)),"Unknown account: "&amp;V124,IF(K124="","Select Paid From / Deposited To",IF(ISNA(MATCH(K124,coa_Name,0)),"Unknown account: "&amp;K124,IF(NOT(ISNUMBER(L124)),"Enter an amount",IF(L124=0,"Enter an amount",IF(ABS(W124)&gt;ABS(L124),"Tax is larger than the amount","")))))))))))))</f>
        <v/>
      </c>
      <c r="Y124" s="67">
        <f>IF(OR(T124=1,X124&lt;&gt;""),"",IF(AND(B124&lt;&gt;"",COUNTIF(tx_ID,B124)&gt;1),"Duplicate transaction ID",IF(AND(L124&lt;0,D124&lt;&gt;"Adjustment"),"Negative amount — check this entry",IF(AND(D124="Customer Payment",G124=""),"Add the customer",IF(AND(D124="Customer Payment",OR(J124="",COUNTIF(ar_No,J124&amp;"")=0)),"Invoice # in Reference not found on AR sheet",IF(AND(D124="Bill Payment",H124=""),"Add the vendor",IF(AND(D124="Bill Payment",OR(J124="",COUNTIFS(ap_No,J124&amp;"",ap_Party,H124&amp;"")=0)),"Bill # + vendor not found on AP sheet",IF(AND(ISNUMBER(M124),N(M124)&lt;&gt;0,W124=0),"Tax ignored (tax tracking off, or not allowed for this type)",IF(V124=K124&amp;"","Same account on both sides",IF(AND(ISNUMBER(StartDate),C124&lt;StartDate),"Date is before the accounting start date",IF(AND(D124&lt;&gt;"Adjustment",IFERROR(INDEX(coa_Pay,MATCH(K124&amp;"",coa_Name,0)),"")&lt;&gt;"Yes"),"Paid From / Deposited To is not a payment account","")))))))))))</f>
        <v/>
      </c>
      <c r="Z124" s="67">
        <f>IF(AND(T124=0,X124=""),1,0)</f>
        <v/>
      </c>
      <c r="AA124" s="68">
        <f>IF(Z124=1,IF(U124="In",L124,L124-W124),0)</f>
        <v/>
      </c>
      <c r="AB124" s="68">
        <f>IF(Z124=1,IF(U124="In",L124-W124,L124),0)</f>
        <v/>
      </c>
      <c r="AC124" s="68">
        <f>IF(AND(Z124=1,U124="Out"),W124,0)</f>
        <v/>
      </c>
      <c r="AD124" s="68">
        <f>IF(AND(Z124=1,U124="In"),W124,0)</f>
        <v/>
      </c>
    </row>
    <row r="125">
      <c r="B125" s="62" t="inlineStr">
        <is>
          <t>TX-0119</t>
        </is>
      </c>
      <c r="C125" s="63" t="n">
        <v>46121</v>
      </c>
      <c r="D125" s="62" t="inlineStr">
        <is>
          <t>Money Out</t>
        </is>
      </c>
      <c r="E125" s="62" t="inlineStr">
        <is>
          <t>Software &amp; Subscriptions</t>
        </is>
      </c>
      <c r="F125" s="62" t="inlineStr">
        <is>
          <t>POS app subscription</t>
        </is>
      </c>
      <c r="G125" s="62" t="n"/>
      <c r="H125" s="62" t="n"/>
      <c r="I125" s="62" t="inlineStr">
        <is>
          <t>Credit Card</t>
        </is>
      </c>
      <c r="J125" s="62" t="n"/>
      <c r="K125" s="62" t="inlineStr">
        <is>
          <t>Credit Card</t>
        </is>
      </c>
      <c r="L125" s="64" t="n">
        <v>1450</v>
      </c>
      <c r="M125" s="64" t="n">
        <v>155.36</v>
      </c>
      <c r="N125" s="62" t="n"/>
      <c r="O125" s="65">
        <f>IF(Z125=1,L125-W125,"")</f>
        <v/>
      </c>
      <c r="P125" s="66">
        <f>IF(V125="","",IFERROR(INDEX(coa_Type,MATCH(V125,coa_Name,0)),""))</f>
        <v/>
      </c>
      <c r="Q125" s="66">
        <f>IF(Z125=1,IF(U125="In",K125&amp;"",V125),"")</f>
        <v/>
      </c>
      <c r="R125" s="66">
        <f>IF(Z125=1,IF(U125="In",V125,K125&amp;""),"")</f>
        <v/>
      </c>
      <c r="S125" s="66">
        <f>IF(X125&lt;&gt;"","⛔ "&amp;X125&amp;" — not posted",IF(Y125&lt;&gt;"","⚠ "&amp;Y125,IF(Z125=1,"✓ OK","")))</f>
        <v/>
      </c>
      <c r="T125" s="67">
        <f>IF(AND(C125="",D125="",E125="",L125="",K125=""),1,0)</f>
        <v/>
      </c>
      <c r="U125" s="67">
        <f>IFERROR(INDEX(tt_Dir,MATCH(D125,tt_Type,0)),"")</f>
        <v/>
      </c>
      <c r="V125" s="67">
        <f>IF(D125="","",IFERROR(IF(INDEX(tt_Other,MATCH(D125,tt_Type,0))="",E125&amp;"",INDEX(tt_Other,MATCH(D125,tt_Type,0))),""))</f>
        <v/>
      </c>
      <c r="W125" s="68">
        <f>IF(OR(TaxOn&lt;&gt;"Yes",NOT(ISNUMBER(M125))),0,IF(IFERROR(INDEX(tt_Tax,MATCH(D125,tt_Type,0)),"No")="Yes",M125,0))</f>
        <v/>
      </c>
      <c r="X125" s="67">
        <f>IF(T125=1,"",IF(C125="","Missing transaction date",IF(NOT(ISNUMBER(C125)),"Invalid date",IF(OR(C125&lt;DATE(2000,1,1),C125&gt;DATE(2099,12,31)),"Invalid date",IF(D125="","Select a type",IF(U125="","Unknown type: "&amp;D125,IF(V125="","Select an account (Category)",IF(ISNA(MATCH(V125,coa_Name,0)),"Unknown account: "&amp;V125,IF(K125="","Select Paid From / Deposited To",IF(ISNA(MATCH(K125,coa_Name,0)),"Unknown account: "&amp;K125,IF(NOT(ISNUMBER(L125)),"Enter an amount",IF(L125=0,"Enter an amount",IF(ABS(W125)&gt;ABS(L125),"Tax is larger than the amount","")))))))))))))</f>
        <v/>
      </c>
      <c r="Y125" s="67">
        <f>IF(OR(T125=1,X125&lt;&gt;""),"",IF(AND(B125&lt;&gt;"",COUNTIF(tx_ID,B125)&gt;1),"Duplicate transaction ID",IF(AND(L125&lt;0,D125&lt;&gt;"Adjustment"),"Negative amount — check this entry",IF(AND(D125="Customer Payment",G125=""),"Add the customer",IF(AND(D125="Customer Payment",OR(J125="",COUNTIF(ar_No,J125&amp;"")=0)),"Invoice # in Reference not found on AR sheet",IF(AND(D125="Bill Payment",H125=""),"Add the vendor",IF(AND(D125="Bill Payment",OR(J125="",COUNTIFS(ap_No,J125&amp;"",ap_Party,H125&amp;"")=0)),"Bill # + vendor not found on AP sheet",IF(AND(ISNUMBER(M125),N(M125)&lt;&gt;0,W125=0),"Tax ignored (tax tracking off, or not allowed for this type)",IF(V125=K125&amp;"","Same account on both sides",IF(AND(ISNUMBER(StartDate),C125&lt;StartDate),"Date is before the accounting start date",IF(AND(D125&lt;&gt;"Adjustment",IFERROR(INDEX(coa_Pay,MATCH(K125&amp;"",coa_Name,0)),"")&lt;&gt;"Yes"),"Paid From / Deposited To is not a payment account","")))))))))))</f>
        <v/>
      </c>
      <c r="Z125" s="67">
        <f>IF(AND(T125=0,X125=""),1,0)</f>
        <v/>
      </c>
      <c r="AA125" s="68">
        <f>IF(Z125=1,IF(U125="In",L125,L125-W125),0)</f>
        <v/>
      </c>
      <c r="AB125" s="68">
        <f>IF(Z125=1,IF(U125="In",L125-W125,L125),0)</f>
        <v/>
      </c>
      <c r="AC125" s="68">
        <f>IF(AND(Z125=1,U125="Out"),W125,0)</f>
        <v/>
      </c>
      <c r="AD125" s="68">
        <f>IF(AND(Z125=1,U125="In"),W125,0)</f>
        <v/>
      </c>
    </row>
    <row r="126">
      <c r="B126" s="62" t="inlineStr">
        <is>
          <t>TX-0120</t>
        </is>
      </c>
      <c r="C126" s="63" t="n">
        <v>46122</v>
      </c>
      <c r="D126" s="62" t="inlineStr">
        <is>
          <t>Bill Payment</t>
        </is>
      </c>
      <c r="E126" s="62" t="n"/>
      <c r="F126" s="62" t="inlineStr">
        <is>
          <t>Supplier payment</t>
        </is>
      </c>
      <c r="G126" s="62" t="n"/>
      <c r="H126" s="62" t="inlineStr">
        <is>
          <t>Golden Grain Flour Mill</t>
        </is>
      </c>
      <c r="I126" s="62" t="inlineStr">
        <is>
          <t>Bank Transfer</t>
        </is>
      </c>
      <c r="J126" s="62" t="inlineStr">
        <is>
          <t>GO-032</t>
        </is>
      </c>
      <c r="K126" s="62" t="inlineStr">
        <is>
          <t>Bank Account</t>
        </is>
      </c>
      <c r="L126" s="64" t="n">
        <v>51294.42</v>
      </c>
      <c r="M126" s="64" t="n"/>
      <c r="N126" s="62" t="n"/>
      <c r="O126" s="65">
        <f>IF(Z126=1,L126-W126,"")</f>
        <v/>
      </c>
      <c r="P126" s="66">
        <f>IF(V126="","",IFERROR(INDEX(coa_Type,MATCH(V126,coa_Name,0)),""))</f>
        <v/>
      </c>
      <c r="Q126" s="66">
        <f>IF(Z126=1,IF(U126="In",K126&amp;"",V126),"")</f>
        <v/>
      </c>
      <c r="R126" s="66">
        <f>IF(Z126=1,IF(U126="In",V126,K126&amp;""),"")</f>
        <v/>
      </c>
      <c r="S126" s="66">
        <f>IF(X126&lt;&gt;"","⛔ "&amp;X126&amp;" — not posted",IF(Y126&lt;&gt;"","⚠ "&amp;Y126,IF(Z126=1,"✓ OK","")))</f>
        <v/>
      </c>
      <c r="T126" s="67">
        <f>IF(AND(C126="",D126="",E126="",L126="",K126=""),1,0)</f>
        <v/>
      </c>
      <c r="U126" s="67">
        <f>IFERROR(INDEX(tt_Dir,MATCH(D126,tt_Type,0)),"")</f>
        <v/>
      </c>
      <c r="V126" s="67">
        <f>IF(D126="","",IFERROR(IF(INDEX(tt_Other,MATCH(D126,tt_Type,0))="",E126&amp;"",INDEX(tt_Other,MATCH(D126,tt_Type,0))),""))</f>
        <v/>
      </c>
      <c r="W126" s="68">
        <f>IF(OR(TaxOn&lt;&gt;"Yes",NOT(ISNUMBER(M126))),0,IF(IFERROR(INDEX(tt_Tax,MATCH(D126,tt_Type,0)),"No")="Yes",M126,0))</f>
        <v/>
      </c>
      <c r="X126" s="67">
        <f>IF(T126=1,"",IF(C126="","Missing transaction date",IF(NOT(ISNUMBER(C126)),"Invalid date",IF(OR(C126&lt;DATE(2000,1,1),C126&gt;DATE(2099,12,31)),"Invalid date",IF(D126="","Select a type",IF(U126="","Unknown type: "&amp;D126,IF(V126="","Select an account (Category)",IF(ISNA(MATCH(V126,coa_Name,0)),"Unknown account: "&amp;V126,IF(K126="","Select Paid From / Deposited To",IF(ISNA(MATCH(K126,coa_Name,0)),"Unknown account: "&amp;K126,IF(NOT(ISNUMBER(L126)),"Enter an amount",IF(L126=0,"Enter an amount",IF(ABS(W126)&gt;ABS(L126),"Tax is larger than the amount","")))))))))))))</f>
        <v/>
      </c>
      <c r="Y126" s="67">
        <f>IF(OR(T126=1,X126&lt;&gt;""),"",IF(AND(B126&lt;&gt;"",COUNTIF(tx_ID,B126)&gt;1),"Duplicate transaction ID",IF(AND(L126&lt;0,D126&lt;&gt;"Adjustment"),"Negative amount — check this entry",IF(AND(D126="Customer Payment",G126=""),"Add the customer",IF(AND(D126="Customer Payment",OR(J126="",COUNTIF(ar_No,J126&amp;"")=0)),"Invoice # in Reference not found on AR sheet",IF(AND(D126="Bill Payment",H126=""),"Add the vendor",IF(AND(D126="Bill Payment",OR(J126="",COUNTIFS(ap_No,J126&amp;"",ap_Party,H126&amp;"")=0)),"Bill # + vendor not found on AP sheet",IF(AND(ISNUMBER(M126),N(M126)&lt;&gt;0,W126=0),"Tax ignored (tax tracking off, or not allowed for this type)",IF(V126=K126&amp;"","Same account on both sides",IF(AND(ISNUMBER(StartDate),C126&lt;StartDate),"Date is before the accounting start date",IF(AND(D126&lt;&gt;"Adjustment",IFERROR(INDEX(coa_Pay,MATCH(K126&amp;"",coa_Name,0)),"")&lt;&gt;"Yes"),"Paid From / Deposited To is not a payment account","")))))))))))</f>
        <v/>
      </c>
      <c r="Z126" s="67">
        <f>IF(AND(T126=0,X126=""),1,0)</f>
        <v/>
      </c>
      <c r="AA126" s="68">
        <f>IF(Z126=1,IF(U126="In",L126,L126-W126),0)</f>
        <v/>
      </c>
      <c r="AB126" s="68">
        <f>IF(Z126=1,IF(U126="In",L126-W126,L126),0)</f>
        <v/>
      </c>
      <c r="AC126" s="68">
        <f>IF(AND(Z126=1,U126="Out"),W126,0)</f>
        <v/>
      </c>
      <c r="AD126" s="68">
        <f>IF(AND(Z126=1,U126="In"),W126,0)</f>
        <v/>
      </c>
    </row>
    <row r="127">
      <c r="B127" s="62" t="inlineStr">
        <is>
          <t>TX-0121</t>
        </is>
      </c>
      <c r="C127" s="63" t="n">
        <v>46122</v>
      </c>
      <c r="D127" s="62" t="inlineStr">
        <is>
          <t>Money Out</t>
        </is>
      </c>
      <c r="E127" s="62" t="inlineStr">
        <is>
          <t>Loans Payable</t>
        </is>
      </c>
      <c r="F127" s="62" t="inlineStr">
        <is>
          <t>Loan principal</t>
        </is>
      </c>
      <c r="G127" s="62" t="n"/>
      <c r="H127" s="62" t="n"/>
      <c r="I127" s="62" t="inlineStr">
        <is>
          <t>Bank Transfer</t>
        </is>
      </c>
      <c r="J127" s="62" t="inlineStr">
        <is>
          <t>LOAN</t>
        </is>
      </c>
      <c r="K127" s="62" t="inlineStr">
        <is>
          <t>Bank Account</t>
        </is>
      </c>
      <c r="L127" s="64" t="n">
        <v>8000</v>
      </c>
      <c r="M127" s="64" t="n"/>
      <c r="N127" s="62" t="n"/>
      <c r="O127" s="65">
        <f>IF(Z127=1,L127-W127,"")</f>
        <v/>
      </c>
      <c r="P127" s="66">
        <f>IF(V127="","",IFERROR(INDEX(coa_Type,MATCH(V127,coa_Name,0)),""))</f>
        <v/>
      </c>
      <c r="Q127" s="66">
        <f>IF(Z127=1,IF(U127="In",K127&amp;"",V127),"")</f>
        <v/>
      </c>
      <c r="R127" s="66">
        <f>IF(Z127=1,IF(U127="In",V127,K127&amp;""),"")</f>
        <v/>
      </c>
      <c r="S127" s="66">
        <f>IF(X127&lt;&gt;"","⛔ "&amp;X127&amp;" — not posted",IF(Y127&lt;&gt;"","⚠ "&amp;Y127,IF(Z127=1,"✓ OK","")))</f>
        <v/>
      </c>
      <c r="T127" s="67">
        <f>IF(AND(C127="",D127="",E127="",L127="",K127=""),1,0)</f>
        <v/>
      </c>
      <c r="U127" s="67">
        <f>IFERROR(INDEX(tt_Dir,MATCH(D127,tt_Type,0)),"")</f>
        <v/>
      </c>
      <c r="V127" s="67">
        <f>IF(D127="","",IFERROR(IF(INDEX(tt_Other,MATCH(D127,tt_Type,0))="",E127&amp;"",INDEX(tt_Other,MATCH(D127,tt_Type,0))),""))</f>
        <v/>
      </c>
      <c r="W127" s="68">
        <f>IF(OR(TaxOn&lt;&gt;"Yes",NOT(ISNUMBER(M127))),0,IF(IFERROR(INDEX(tt_Tax,MATCH(D127,tt_Type,0)),"No")="Yes",M127,0))</f>
        <v/>
      </c>
      <c r="X127" s="67">
        <f>IF(T127=1,"",IF(C127="","Missing transaction date",IF(NOT(ISNUMBER(C127)),"Invalid date",IF(OR(C127&lt;DATE(2000,1,1),C127&gt;DATE(2099,12,31)),"Invalid date",IF(D127="","Select a type",IF(U127="","Unknown type: "&amp;D127,IF(V127="","Select an account (Category)",IF(ISNA(MATCH(V127,coa_Name,0)),"Unknown account: "&amp;V127,IF(K127="","Select Paid From / Deposited To",IF(ISNA(MATCH(K127,coa_Name,0)),"Unknown account: "&amp;K127,IF(NOT(ISNUMBER(L127)),"Enter an amount",IF(L127=0,"Enter an amount",IF(ABS(W127)&gt;ABS(L127),"Tax is larger than the amount","")))))))))))))</f>
        <v/>
      </c>
      <c r="Y127" s="67">
        <f>IF(OR(T127=1,X127&lt;&gt;""),"",IF(AND(B127&lt;&gt;"",COUNTIF(tx_ID,B127)&gt;1),"Duplicate transaction ID",IF(AND(L127&lt;0,D127&lt;&gt;"Adjustment"),"Negative amount — check this entry",IF(AND(D127="Customer Payment",G127=""),"Add the customer",IF(AND(D127="Customer Payment",OR(J127="",COUNTIF(ar_No,J127&amp;"")=0)),"Invoice # in Reference not found on AR sheet",IF(AND(D127="Bill Payment",H127=""),"Add the vendor",IF(AND(D127="Bill Payment",OR(J127="",COUNTIFS(ap_No,J127&amp;"",ap_Party,H127&amp;"")=0)),"Bill # + vendor not found on AP sheet",IF(AND(ISNUMBER(M127),N(M127)&lt;&gt;0,W127=0),"Tax ignored (tax tracking off, or not allowed for this type)",IF(V127=K127&amp;"","Same account on both sides",IF(AND(ISNUMBER(StartDate),C127&lt;StartDate),"Date is before the accounting start date",IF(AND(D127&lt;&gt;"Adjustment",IFERROR(INDEX(coa_Pay,MATCH(K127&amp;"",coa_Name,0)),"")&lt;&gt;"Yes"),"Paid From / Deposited To is not a payment account","")))))))))))</f>
        <v/>
      </c>
      <c r="Z127" s="67">
        <f>IF(AND(T127=0,X127=""),1,0)</f>
        <v/>
      </c>
      <c r="AA127" s="68">
        <f>IF(Z127=1,IF(U127="In",L127,L127-W127),0)</f>
        <v/>
      </c>
      <c r="AB127" s="68">
        <f>IF(Z127=1,IF(U127="In",L127-W127,L127),0)</f>
        <v/>
      </c>
      <c r="AC127" s="68">
        <f>IF(AND(Z127=1,U127="Out"),W127,0)</f>
        <v/>
      </c>
      <c r="AD127" s="68">
        <f>IF(AND(Z127=1,U127="In"),W127,0)</f>
        <v/>
      </c>
    </row>
    <row r="128">
      <c r="B128" s="62" t="inlineStr">
        <is>
          <t>TX-0122</t>
        </is>
      </c>
      <c r="C128" s="63" t="n">
        <v>46122</v>
      </c>
      <c r="D128" s="62" t="inlineStr">
        <is>
          <t>Money Out</t>
        </is>
      </c>
      <c r="E128" s="62" t="inlineStr">
        <is>
          <t>Interest Expense</t>
        </is>
      </c>
      <c r="F128" s="62" t="inlineStr">
        <is>
          <t>Loan interest</t>
        </is>
      </c>
      <c r="G128" s="62" t="n"/>
      <c r="H128" s="62" t="n"/>
      <c r="I128" s="62" t="inlineStr">
        <is>
          <t>Bank Transfer</t>
        </is>
      </c>
      <c r="J128" s="62" t="inlineStr">
        <is>
          <t>LOAN</t>
        </is>
      </c>
      <c r="K128" s="62" t="inlineStr">
        <is>
          <t>Bank Account</t>
        </is>
      </c>
      <c r="L128" s="64" t="n">
        <v>1320</v>
      </c>
      <c r="M128" s="64" t="n"/>
      <c r="N128" s="62" t="n"/>
      <c r="O128" s="65">
        <f>IF(Z128=1,L128-W128,"")</f>
        <v/>
      </c>
      <c r="P128" s="66">
        <f>IF(V128="","",IFERROR(INDEX(coa_Type,MATCH(V128,coa_Name,0)),""))</f>
        <v/>
      </c>
      <c r="Q128" s="66">
        <f>IF(Z128=1,IF(U128="In",K128&amp;"",V128),"")</f>
        <v/>
      </c>
      <c r="R128" s="66">
        <f>IF(Z128=1,IF(U128="In",V128,K128&amp;""),"")</f>
        <v/>
      </c>
      <c r="S128" s="66">
        <f>IF(X128&lt;&gt;"","⛔ "&amp;X128&amp;" — not posted",IF(Y128&lt;&gt;"","⚠ "&amp;Y128,IF(Z128=1,"✓ OK","")))</f>
        <v/>
      </c>
      <c r="T128" s="67">
        <f>IF(AND(C128="",D128="",E128="",L128="",K128=""),1,0)</f>
        <v/>
      </c>
      <c r="U128" s="67">
        <f>IFERROR(INDEX(tt_Dir,MATCH(D128,tt_Type,0)),"")</f>
        <v/>
      </c>
      <c r="V128" s="67">
        <f>IF(D128="","",IFERROR(IF(INDEX(tt_Other,MATCH(D128,tt_Type,0))="",E128&amp;"",INDEX(tt_Other,MATCH(D128,tt_Type,0))),""))</f>
        <v/>
      </c>
      <c r="W128" s="68">
        <f>IF(OR(TaxOn&lt;&gt;"Yes",NOT(ISNUMBER(M128))),0,IF(IFERROR(INDEX(tt_Tax,MATCH(D128,tt_Type,0)),"No")="Yes",M128,0))</f>
        <v/>
      </c>
      <c r="X128" s="67">
        <f>IF(T128=1,"",IF(C128="","Missing transaction date",IF(NOT(ISNUMBER(C128)),"Invalid date",IF(OR(C128&lt;DATE(2000,1,1),C128&gt;DATE(2099,12,31)),"Invalid date",IF(D128="","Select a type",IF(U128="","Unknown type: "&amp;D128,IF(V128="","Select an account (Category)",IF(ISNA(MATCH(V128,coa_Name,0)),"Unknown account: "&amp;V128,IF(K128="","Select Paid From / Deposited To",IF(ISNA(MATCH(K128,coa_Name,0)),"Unknown account: "&amp;K128,IF(NOT(ISNUMBER(L128)),"Enter an amount",IF(L128=0,"Enter an amount",IF(ABS(W128)&gt;ABS(L128),"Tax is larger than the amount","")))))))))))))</f>
        <v/>
      </c>
      <c r="Y128" s="67">
        <f>IF(OR(T128=1,X128&lt;&gt;""),"",IF(AND(B128&lt;&gt;"",COUNTIF(tx_ID,B128)&gt;1),"Duplicate transaction ID",IF(AND(L128&lt;0,D128&lt;&gt;"Adjustment"),"Negative amount — check this entry",IF(AND(D128="Customer Payment",G128=""),"Add the customer",IF(AND(D128="Customer Payment",OR(J128="",COUNTIF(ar_No,J128&amp;"")=0)),"Invoice # in Reference not found on AR sheet",IF(AND(D128="Bill Payment",H128=""),"Add the vendor",IF(AND(D128="Bill Payment",OR(J128="",COUNTIFS(ap_No,J128&amp;"",ap_Party,H128&amp;"")=0)),"Bill # + vendor not found on AP sheet",IF(AND(ISNUMBER(M128),N(M128)&lt;&gt;0,W128=0),"Tax ignored (tax tracking off, or not allowed for this type)",IF(V128=K128&amp;"","Same account on both sides",IF(AND(ISNUMBER(StartDate),C128&lt;StartDate),"Date is before the accounting start date",IF(AND(D128&lt;&gt;"Adjustment",IFERROR(INDEX(coa_Pay,MATCH(K128&amp;"",coa_Name,0)),"")&lt;&gt;"Yes"),"Paid From / Deposited To is not a payment account","")))))))))))</f>
        <v/>
      </c>
      <c r="Z128" s="67">
        <f>IF(AND(T128=0,X128=""),1,0)</f>
        <v/>
      </c>
      <c r="AA128" s="68">
        <f>IF(Z128=1,IF(U128="In",L128,L128-W128),0)</f>
        <v/>
      </c>
      <c r="AB128" s="68">
        <f>IF(Z128=1,IF(U128="In",L128-W128,L128),0)</f>
        <v/>
      </c>
      <c r="AC128" s="68">
        <f>IF(AND(Z128=1,U128="Out"),W128,0)</f>
        <v/>
      </c>
      <c r="AD128" s="68">
        <f>IF(AND(Z128=1,U128="In"),W128,0)</f>
        <v/>
      </c>
    </row>
    <row r="129">
      <c r="B129" s="62" t="inlineStr">
        <is>
          <t>TX-0123</t>
        </is>
      </c>
      <c r="C129" s="63" t="n">
        <v>46123</v>
      </c>
      <c r="D129" s="62" t="inlineStr">
        <is>
          <t>Money In</t>
        </is>
      </c>
      <c r="E129" s="62" t="inlineStr">
        <is>
          <t>Product Sales</t>
        </is>
      </c>
      <c r="F129" s="62" t="inlineStr">
        <is>
          <t>Counter sales week 2</t>
        </is>
      </c>
      <c r="G129" s="62" t="n"/>
      <c r="H129" s="62" t="n"/>
      <c r="I129" s="62" t="inlineStr">
        <is>
          <t>Cash</t>
        </is>
      </c>
      <c r="J129" s="62" t="n"/>
      <c r="K129" s="62" t="inlineStr">
        <is>
          <t>Cash on Hand</t>
        </is>
      </c>
      <c r="L129" s="64" t="n">
        <v>47243.35</v>
      </c>
      <c r="M129" s="64" t="n">
        <v>5061.79</v>
      </c>
      <c r="N129" s="62" t="n"/>
      <c r="O129" s="65">
        <f>IF(Z129=1,L129-W129,"")</f>
        <v/>
      </c>
      <c r="P129" s="66">
        <f>IF(V129="","",IFERROR(INDEX(coa_Type,MATCH(V129,coa_Name,0)),""))</f>
        <v/>
      </c>
      <c r="Q129" s="66">
        <f>IF(Z129=1,IF(U129="In",K129&amp;"",V129),"")</f>
        <v/>
      </c>
      <c r="R129" s="66">
        <f>IF(Z129=1,IF(U129="In",V129,K129&amp;""),"")</f>
        <v/>
      </c>
      <c r="S129" s="66">
        <f>IF(X129&lt;&gt;"","⛔ "&amp;X129&amp;" — not posted",IF(Y129&lt;&gt;"","⚠ "&amp;Y129,IF(Z129=1,"✓ OK","")))</f>
        <v/>
      </c>
      <c r="T129" s="67">
        <f>IF(AND(C129="",D129="",E129="",L129="",K129=""),1,0)</f>
        <v/>
      </c>
      <c r="U129" s="67">
        <f>IFERROR(INDEX(tt_Dir,MATCH(D129,tt_Type,0)),"")</f>
        <v/>
      </c>
      <c r="V129" s="67">
        <f>IF(D129="","",IFERROR(IF(INDEX(tt_Other,MATCH(D129,tt_Type,0))="",E129&amp;"",INDEX(tt_Other,MATCH(D129,tt_Type,0))),""))</f>
        <v/>
      </c>
      <c r="W129" s="68">
        <f>IF(OR(TaxOn&lt;&gt;"Yes",NOT(ISNUMBER(M129))),0,IF(IFERROR(INDEX(tt_Tax,MATCH(D129,tt_Type,0)),"No")="Yes",M129,0))</f>
        <v/>
      </c>
      <c r="X129" s="67">
        <f>IF(T129=1,"",IF(C129="","Missing transaction date",IF(NOT(ISNUMBER(C129)),"Invalid date",IF(OR(C129&lt;DATE(2000,1,1),C129&gt;DATE(2099,12,31)),"Invalid date",IF(D129="","Select a type",IF(U129="","Unknown type: "&amp;D129,IF(V129="","Select an account (Category)",IF(ISNA(MATCH(V129,coa_Name,0)),"Unknown account: "&amp;V129,IF(K129="","Select Paid From / Deposited To",IF(ISNA(MATCH(K129,coa_Name,0)),"Unknown account: "&amp;K129,IF(NOT(ISNUMBER(L129)),"Enter an amount",IF(L129=0,"Enter an amount",IF(ABS(W129)&gt;ABS(L129),"Tax is larger than the amount","")))))))))))))</f>
        <v/>
      </c>
      <c r="Y129" s="67">
        <f>IF(OR(T129=1,X129&lt;&gt;""),"",IF(AND(B129&lt;&gt;"",COUNTIF(tx_ID,B129)&gt;1),"Duplicate transaction ID",IF(AND(L129&lt;0,D129&lt;&gt;"Adjustment"),"Negative amount — check this entry",IF(AND(D129="Customer Payment",G129=""),"Add the customer",IF(AND(D129="Customer Payment",OR(J129="",COUNTIF(ar_No,J129&amp;"")=0)),"Invoice # in Reference not found on AR sheet",IF(AND(D129="Bill Payment",H129=""),"Add the vendor",IF(AND(D129="Bill Payment",OR(J129="",COUNTIFS(ap_No,J129&amp;"",ap_Party,H129&amp;"")=0)),"Bill # + vendor not found on AP sheet",IF(AND(ISNUMBER(M129),N(M129)&lt;&gt;0,W129=0),"Tax ignored (tax tracking off, or not allowed for this type)",IF(V129=K129&amp;"","Same account on both sides",IF(AND(ISNUMBER(StartDate),C129&lt;StartDate),"Date is before the accounting start date",IF(AND(D129&lt;&gt;"Adjustment",IFERROR(INDEX(coa_Pay,MATCH(K129&amp;"",coa_Name,0)),"")&lt;&gt;"Yes"),"Paid From / Deposited To is not a payment account","")))))))))))</f>
        <v/>
      </c>
      <c r="Z129" s="67">
        <f>IF(AND(T129=0,X129=""),1,0)</f>
        <v/>
      </c>
      <c r="AA129" s="68">
        <f>IF(Z129=1,IF(U129="In",L129,L129-W129),0)</f>
        <v/>
      </c>
      <c r="AB129" s="68">
        <f>IF(Z129=1,IF(U129="In",L129-W129,L129),0)</f>
        <v/>
      </c>
      <c r="AC129" s="68">
        <f>IF(AND(Z129=1,U129="Out"),W129,0)</f>
        <v/>
      </c>
      <c r="AD129" s="68">
        <f>IF(AND(Z129=1,U129="In"),W129,0)</f>
        <v/>
      </c>
    </row>
    <row r="130">
      <c r="B130" s="62" t="inlineStr">
        <is>
          <t>TX-0124</t>
        </is>
      </c>
      <c r="C130" s="63" t="n">
        <v>46124</v>
      </c>
      <c r="D130" s="62" t="inlineStr">
        <is>
          <t>Money In</t>
        </is>
      </c>
      <c r="E130" s="62" t="inlineStr">
        <is>
          <t>Product Sales</t>
        </is>
      </c>
      <c r="F130" s="62" t="inlineStr">
        <is>
          <t>GCash / online orders week 2</t>
        </is>
      </c>
      <c r="G130" s="62" t="n"/>
      <c r="H130" s="62" t="n"/>
      <c r="I130" s="62" t="inlineStr">
        <is>
          <t>E-Wallet</t>
        </is>
      </c>
      <c r="J130" s="62" t="n"/>
      <c r="K130" s="62" t="inlineStr">
        <is>
          <t>E-Wallet / Online Payments</t>
        </is>
      </c>
      <c r="L130" s="64" t="n">
        <v>23423.91</v>
      </c>
      <c r="M130" s="64" t="n">
        <v>2509.7</v>
      </c>
      <c r="N130" s="62" t="n"/>
      <c r="O130" s="65">
        <f>IF(Z130=1,L130-W130,"")</f>
        <v/>
      </c>
      <c r="P130" s="66">
        <f>IF(V130="","",IFERROR(INDEX(coa_Type,MATCH(V130,coa_Name,0)),""))</f>
        <v/>
      </c>
      <c r="Q130" s="66">
        <f>IF(Z130=1,IF(U130="In",K130&amp;"",V130),"")</f>
        <v/>
      </c>
      <c r="R130" s="66">
        <f>IF(Z130=1,IF(U130="In",V130,K130&amp;""),"")</f>
        <v/>
      </c>
      <c r="S130" s="66">
        <f>IF(X130&lt;&gt;"","⛔ "&amp;X130&amp;" — not posted",IF(Y130&lt;&gt;"","⚠ "&amp;Y130,IF(Z130=1,"✓ OK","")))</f>
        <v/>
      </c>
      <c r="T130" s="67">
        <f>IF(AND(C130="",D130="",E130="",L130="",K130=""),1,0)</f>
        <v/>
      </c>
      <c r="U130" s="67">
        <f>IFERROR(INDEX(tt_Dir,MATCH(D130,tt_Type,0)),"")</f>
        <v/>
      </c>
      <c r="V130" s="67">
        <f>IF(D130="","",IFERROR(IF(INDEX(tt_Other,MATCH(D130,tt_Type,0))="",E130&amp;"",INDEX(tt_Other,MATCH(D130,tt_Type,0))),""))</f>
        <v/>
      </c>
      <c r="W130" s="68">
        <f>IF(OR(TaxOn&lt;&gt;"Yes",NOT(ISNUMBER(M130))),0,IF(IFERROR(INDEX(tt_Tax,MATCH(D130,tt_Type,0)),"No")="Yes",M130,0))</f>
        <v/>
      </c>
      <c r="X130" s="67">
        <f>IF(T130=1,"",IF(C130="","Missing transaction date",IF(NOT(ISNUMBER(C130)),"Invalid date",IF(OR(C130&lt;DATE(2000,1,1),C130&gt;DATE(2099,12,31)),"Invalid date",IF(D130="","Select a type",IF(U130="","Unknown type: "&amp;D130,IF(V130="","Select an account (Category)",IF(ISNA(MATCH(V130,coa_Name,0)),"Unknown account: "&amp;V130,IF(K130="","Select Paid From / Deposited To",IF(ISNA(MATCH(K130,coa_Name,0)),"Unknown account: "&amp;K130,IF(NOT(ISNUMBER(L130)),"Enter an amount",IF(L130=0,"Enter an amount",IF(ABS(W130)&gt;ABS(L130),"Tax is larger than the amount","")))))))))))))</f>
        <v/>
      </c>
      <c r="Y130" s="67">
        <f>IF(OR(T130=1,X130&lt;&gt;""),"",IF(AND(B130&lt;&gt;"",COUNTIF(tx_ID,B130)&gt;1),"Duplicate transaction ID",IF(AND(L130&lt;0,D130&lt;&gt;"Adjustment"),"Negative amount — check this entry",IF(AND(D130="Customer Payment",G130=""),"Add the customer",IF(AND(D130="Customer Payment",OR(J130="",COUNTIF(ar_No,J130&amp;"")=0)),"Invoice # in Reference not found on AR sheet",IF(AND(D130="Bill Payment",H130=""),"Add the vendor",IF(AND(D130="Bill Payment",OR(J130="",COUNTIFS(ap_No,J130&amp;"",ap_Party,H130&amp;"")=0)),"Bill # + vendor not found on AP sheet",IF(AND(ISNUMBER(M130),N(M130)&lt;&gt;0,W130=0),"Tax ignored (tax tracking off, or not allowed for this type)",IF(V130=K130&amp;"","Same account on both sides",IF(AND(ISNUMBER(StartDate),C130&lt;StartDate),"Date is before the accounting start date",IF(AND(D130&lt;&gt;"Adjustment",IFERROR(INDEX(coa_Pay,MATCH(K130&amp;"",coa_Name,0)),"")&lt;&gt;"Yes"),"Paid From / Deposited To is not a payment account","")))))))))))</f>
        <v/>
      </c>
      <c r="Z130" s="67">
        <f>IF(AND(T130=0,X130=""),1,0)</f>
        <v/>
      </c>
      <c r="AA130" s="68">
        <f>IF(Z130=1,IF(U130="In",L130,L130-W130),0)</f>
        <v/>
      </c>
      <c r="AB130" s="68">
        <f>IF(Z130=1,IF(U130="In",L130-W130,L130),0)</f>
        <v/>
      </c>
      <c r="AC130" s="68">
        <f>IF(AND(Z130=1,U130="Out"),W130,0)</f>
        <v/>
      </c>
      <c r="AD130" s="68">
        <f>IF(AND(Z130=1,U130="In"),W130,0)</f>
        <v/>
      </c>
    </row>
    <row r="131">
      <c r="B131" s="62" t="inlineStr">
        <is>
          <t>TX-0125</t>
        </is>
      </c>
      <c r="C131" s="63" t="n">
        <v>46124</v>
      </c>
      <c r="D131" s="62" t="inlineStr">
        <is>
          <t>Money Out</t>
        </is>
      </c>
      <c r="E131" s="62" t="inlineStr">
        <is>
          <t>Utilities</t>
        </is>
      </c>
      <c r="F131" s="62" t="inlineStr">
        <is>
          <t>Electricity &amp; water</t>
        </is>
      </c>
      <c r="G131" s="62" t="n"/>
      <c r="H131" s="62" t="n"/>
      <c r="I131" s="62" t="inlineStr">
        <is>
          <t>Bank Transfer</t>
        </is>
      </c>
      <c r="J131" s="62" t="n"/>
      <c r="K131" s="62" t="inlineStr">
        <is>
          <t>Bank Account</t>
        </is>
      </c>
      <c r="L131" s="64" t="n">
        <v>11798.25</v>
      </c>
      <c r="M131" s="64" t="n">
        <v>1264.1</v>
      </c>
      <c r="N131" s="62" t="n"/>
      <c r="O131" s="65">
        <f>IF(Z131=1,L131-W131,"")</f>
        <v/>
      </c>
      <c r="P131" s="66">
        <f>IF(V131="","",IFERROR(INDEX(coa_Type,MATCH(V131,coa_Name,0)),""))</f>
        <v/>
      </c>
      <c r="Q131" s="66">
        <f>IF(Z131=1,IF(U131="In",K131&amp;"",V131),"")</f>
        <v/>
      </c>
      <c r="R131" s="66">
        <f>IF(Z131=1,IF(U131="In",V131,K131&amp;""),"")</f>
        <v/>
      </c>
      <c r="S131" s="66">
        <f>IF(X131&lt;&gt;"","⛔ "&amp;X131&amp;" — not posted",IF(Y131&lt;&gt;"","⚠ "&amp;Y131,IF(Z131=1,"✓ OK","")))</f>
        <v/>
      </c>
      <c r="T131" s="67">
        <f>IF(AND(C131="",D131="",E131="",L131="",K131=""),1,0)</f>
        <v/>
      </c>
      <c r="U131" s="67">
        <f>IFERROR(INDEX(tt_Dir,MATCH(D131,tt_Type,0)),"")</f>
        <v/>
      </c>
      <c r="V131" s="67">
        <f>IF(D131="","",IFERROR(IF(INDEX(tt_Other,MATCH(D131,tt_Type,0))="",E131&amp;"",INDEX(tt_Other,MATCH(D131,tt_Type,0))),""))</f>
        <v/>
      </c>
      <c r="W131" s="68">
        <f>IF(OR(TaxOn&lt;&gt;"Yes",NOT(ISNUMBER(M131))),0,IF(IFERROR(INDEX(tt_Tax,MATCH(D131,tt_Type,0)),"No")="Yes",M131,0))</f>
        <v/>
      </c>
      <c r="X131" s="67">
        <f>IF(T131=1,"",IF(C131="","Missing transaction date",IF(NOT(ISNUMBER(C131)),"Invalid date",IF(OR(C131&lt;DATE(2000,1,1),C131&gt;DATE(2099,12,31)),"Invalid date",IF(D131="","Select a type",IF(U131="","Unknown type: "&amp;D131,IF(V131="","Select an account (Category)",IF(ISNA(MATCH(V131,coa_Name,0)),"Unknown account: "&amp;V131,IF(K131="","Select Paid From / Deposited To",IF(ISNA(MATCH(K131,coa_Name,0)),"Unknown account: "&amp;K131,IF(NOT(ISNUMBER(L131)),"Enter an amount",IF(L131=0,"Enter an amount",IF(ABS(W131)&gt;ABS(L131),"Tax is larger than the amount","")))))))))))))</f>
        <v/>
      </c>
      <c r="Y131" s="67">
        <f>IF(OR(T131=1,X131&lt;&gt;""),"",IF(AND(B131&lt;&gt;"",COUNTIF(tx_ID,B131)&gt;1),"Duplicate transaction ID",IF(AND(L131&lt;0,D131&lt;&gt;"Adjustment"),"Negative amount — check this entry",IF(AND(D131="Customer Payment",G131=""),"Add the customer",IF(AND(D131="Customer Payment",OR(J131="",COUNTIF(ar_No,J131&amp;"")=0)),"Invoice # in Reference not found on AR sheet",IF(AND(D131="Bill Payment",H131=""),"Add the vendor",IF(AND(D131="Bill Payment",OR(J131="",COUNTIFS(ap_No,J131&amp;"",ap_Party,H131&amp;"")=0)),"Bill # + vendor not found on AP sheet",IF(AND(ISNUMBER(M131),N(M131)&lt;&gt;0,W131=0),"Tax ignored (tax tracking off, or not allowed for this type)",IF(V131=K131&amp;"","Same account on both sides",IF(AND(ISNUMBER(StartDate),C131&lt;StartDate),"Date is before the accounting start date",IF(AND(D131&lt;&gt;"Adjustment",IFERROR(INDEX(coa_Pay,MATCH(K131&amp;"",coa_Name,0)),"")&lt;&gt;"Yes"),"Paid From / Deposited To is not a payment account","")))))))))))</f>
        <v/>
      </c>
      <c r="Z131" s="67">
        <f>IF(AND(T131=0,X131=""),1,0)</f>
        <v/>
      </c>
      <c r="AA131" s="68">
        <f>IF(Z131=1,IF(U131="In",L131,L131-W131),0)</f>
        <v/>
      </c>
      <c r="AB131" s="68">
        <f>IF(Z131=1,IF(U131="In",L131-W131,L131),0)</f>
        <v/>
      </c>
      <c r="AC131" s="68">
        <f>IF(AND(Z131=1,U131="Out"),W131,0)</f>
        <v/>
      </c>
      <c r="AD131" s="68">
        <f>IF(AND(Z131=1,U131="In"),W131,0)</f>
        <v/>
      </c>
    </row>
    <row r="132">
      <c r="B132" s="62" t="inlineStr">
        <is>
          <t>TX-0126</t>
        </is>
      </c>
      <c r="C132" s="63" t="n">
        <v>46125</v>
      </c>
      <c r="D132" s="62" t="inlineStr">
        <is>
          <t>Transfer</t>
        </is>
      </c>
      <c r="E132" s="62" t="inlineStr">
        <is>
          <t>Bank Account</t>
        </is>
      </c>
      <c r="F132" s="62" t="inlineStr">
        <is>
          <t>Cash deposit to bank</t>
        </is>
      </c>
      <c r="G132" s="62" t="n"/>
      <c r="H132" s="62" t="n"/>
      <c r="I132" s="62" t="inlineStr">
        <is>
          <t>Cash</t>
        </is>
      </c>
      <c r="J132" s="62" t="n"/>
      <c r="K132" s="62" t="inlineStr">
        <is>
          <t>Cash on Hand</t>
        </is>
      </c>
      <c r="L132" s="64" t="n">
        <v>40200</v>
      </c>
      <c r="M132" s="64" t="n"/>
      <c r="N132" s="62" t="n"/>
      <c r="O132" s="65">
        <f>IF(Z132=1,L132-W132,"")</f>
        <v/>
      </c>
      <c r="P132" s="66">
        <f>IF(V132="","",IFERROR(INDEX(coa_Type,MATCH(V132,coa_Name,0)),""))</f>
        <v/>
      </c>
      <c r="Q132" s="66">
        <f>IF(Z132=1,IF(U132="In",K132&amp;"",V132),"")</f>
        <v/>
      </c>
      <c r="R132" s="66">
        <f>IF(Z132=1,IF(U132="In",V132,K132&amp;""),"")</f>
        <v/>
      </c>
      <c r="S132" s="66">
        <f>IF(X132&lt;&gt;"","⛔ "&amp;X132&amp;" — not posted",IF(Y132&lt;&gt;"","⚠ "&amp;Y132,IF(Z132=1,"✓ OK","")))</f>
        <v/>
      </c>
      <c r="T132" s="67">
        <f>IF(AND(C132="",D132="",E132="",L132="",K132=""),1,0)</f>
        <v/>
      </c>
      <c r="U132" s="67">
        <f>IFERROR(INDEX(tt_Dir,MATCH(D132,tt_Type,0)),"")</f>
        <v/>
      </c>
      <c r="V132" s="67">
        <f>IF(D132="","",IFERROR(IF(INDEX(tt_Other,MATCH(D132,tt_Type,0))="",E132&amp;"",INDEX(tt_Other,MATCH(D132,tt_Type,0))),""))</f>
        <v/>
      </c>
      <c r="W132" s="68">
        <f>IF(OR(TaxOn&lt;&gt;"Yes",NOT(ISNUMBER(M132))),0,IF(IFERROR(INDEX(tt_Tax,MATCH(D132,tt_Type,0)),"No")="Yes",M132,0))</f>
        <v/>
      </c>
      <c r="X132" s="67">
        <f>IF(T132=1,"",IF(C132="","Missing transaction date",IF(NOT(ISNUMBER(C132)),"Invalid date",IF(OR(C132&lt;DATE(2000,1,1),C132&gt;DATE(2099,12,31)),"Invalid date",IF(D132="","Select a type",IF(U132="","Unknown type: "&amp;D132,IF(V132="","Select an account (Category)",IF(ISNA(MATCH(V132,coa_Name,0)),"Unknown account: "&amp;V132,IF(K132="","Select Paid From / Deposited To",IF(ISNA(MATCH(K132,coa_Name,0)),"Unknown account: "&amp;K132,IF(NOT(ISNUMBER(L132)),"Enter an amount",IF(L132=0,"Enter an amount",IF(ABS(W132)&gt;ABS(L132),"Tax is larger than the amount","")))))))))))))</f>
        <v/>
      </c>
      <c r="Y132" s="67">
        <f>IF(OR(T132=1,X132&lt;&gt;""),"",IF(AND(B132&lt;&gt;"",COUNTIF(tx_ID,B132)&gt;1),"Duplicate transaction ID",IF(AND(L132&lt;0,D132&lt;&gt;"Adjustment"),"Negative amount — check this entry",IF(AND(D132="Customer Payment",G132=""),"Add the customer",IF(AND(D132="Customer Payment",OR(J132="",COUNTIF(ar_No,J132&amp;"")=0)),"Invoice # in Reference not found on AR sheet",IF(AND(D132="Bill Payment",H132=""),"Add the vendor",IF(AND(D132="Bill Payment",OR(J132="",COUNTIFS(ap_No,J132&amp;"",ap_Party,H132&amp;"")=0)),"Bill # + vendor not found on AP sheet",IF(AND(ISNUMBER(M132),N(M132)&lt;&gt;0,W132=0),"Tax ignored (tax tracking off, or not allowed for this type)",IF(V132=K132&amp;"","Same account on both sides",IF(AND(ISNUMBER(StartDate),C132&lt;StartDate),"Date is before the accounting start date",IF(AND(D132&lt;&gt;"Adjustment",IFERROR(INDEX(coa_Pay,MATCH(K132&amp;"",coa_Name,0)),"")&lt;&gt;"Yes"),"Paid From / Deposited To is not a payment account","")))))))))))</f>
        <v/>
      </c>
      <c r="Z132" s="67">
        <f>IF(AND(T132=0,X132=""),1,0)</f>
        <v/>
      </c>
      <c r="AA132" s="68">
        <f>IF(Z132=1,IF(U132="In",L132,L132-W132),0)</f>
        <v/>
      </c>
      <c r="AB132" s="68">
        <f>IF(Z132=1,IF(U132="In",L132-W132,L132),0)</f>
        <v/>
      </c>
      <c r="AC132" s="68">
        <f>IF(AND(Z132=1,U132="Out"),W132,0)</f>
        <v/>
      </c>
      <c r="AD132" s="68">
        <f>IF(AND(Z132=1,U132="In"),W132,0)</f>
        <v/>
      </c>
    </row>
    <row r="133">
      <c r="B133" s="62" t="inlineStr">
        <is>
          <t>TX-0127</t>
        </is>
      </c>
      <c r="C133" s="63" t="n">
        <v>46126</v>
      </c>
      <c r="D133" s="62" t="inlineStr">
        <is>
          <t>Bill Payment</t>
        </is>
      </c>
      <c r="E133" s="62" t="n"/>
      <c r="F133" s="62" t="inlineStr">
        <is>
          <t>Supplier payment</t>
        </is>
      </c>
      <c r="G133" s="62" t="n"/>
      <c r="H133" s="62" t="inlineStr">
        <is>
          <t>Golden Grain Flour Mill</t>
        </is>
      </c>
      <c r="I133" s="62" t="inlineStr">
        <is>
          <t>Bank Transfer</t>
        </is>
      </c>
      <c r="J133" s="62" t="inlineStr">
        <is>
          <t>GO-031</t>
        </is>
      </c>
      <c r="K133" s="62" t="inlineStr">
        <is>
          <t>Bank Account</t>
        </is>
      </c>
      <c r="L133" s="64" t="n">
        <v>51386.35</v>
      </c>
      <c r="M133" s="64" t="n"/>
      <c r="N133" s="62" t="n"/>
      <c r="O133" s="65">
        <f>IF(Z133=1,L133-W133,"")</f>
        <v/>
      </c>
      <c r="P133" s="66">
        <f>IF(V133="","",IFERROR(INDEX(coa_Type,MATCH(V133,coa_Name,0)),""))</f>
        <v/>
      </c>
      <c r="Q133" s="66">
        <f>IF(Z133=1,IF(U133="In",K133&amp;"",V133),"")</f>
        <v/>
      </c>
      <c r="R133" s="66">
        <f>IF(Z133=1,IF(U133="In",V133,K133&amp;""),"")</f>
        <v/>
      </c>
      <c r="S133" s="66">
        <f>IF(X133&lt;&gt;"","⛔ "&amp;X133&amp;" — not posted",IF(Y133&lt;&gt;"","⚠ "&amp;Y133,IF(Z133=1,"✓ OK","")))</f>
        <v/>
      </c>
      <c r="T133" s="67">
        <f>IF(AND(C133="",D133="",E133="",L133="",K133=""),1,0)</f>
        <v/>
      </c>
      <c r="U133" s="67">
        <f>IFERROR(INDEX(tt_Dir,MATCH(D133,tt_Type,0)),"")</f>
        <v/>
      </c>
      <c r="V133" s="67">
        <f>IF(D133="","",IFERROR(IF(INDEX(tt_Other,MATCH(D133,tt_Type,0))="",E133&amp;"",INDEX(tt_Other,MATCH(D133,tt_Type,0))),""))</f>
        <v/>
      </c>
      <c r="W133" s="68">
        <f>IF(OR(TaxOn&lt;&gt;"Yes",NOT(ISNUMBER(M133))),0,IF(IFERROR(INDEX(tt_Tax,MATCH(D133,tt_Type,0)),"No")="Yes",M133,0))</f>
        <v/>
      </c>
      <c r="X133" s="67">
        <f>IF(T133=1,"",IF(C133="","Missing transaction date",IF(NOT(ISNUMBER(C133)),"Invalid date",IF(OR(C133&lt;DATE(2000,1,1),C133&gt;DATE(2099,12,31)),"Invalid date",IF(D133="","Select a type",IF(U133="","Unknown type: "&amp;D133,IF(V133="","Select an account (Category)",IF(ISNA(MATCH(V133,coa_Name,0)),"Unknown account: "&amp;V133,IF(K133="","Select Paid From / Deposited To",IF(ISNA(MATCH(K133,coa_Name,0)),"Unknown account: "&amp;K133,IF(NOT(ISNUMBER(L133)),"Enter an amount",IF(L133=0,"Enter an amount",IF(ABS(W133)&gt;ABS(L133),"Tax is larger than the amount","")))))))))))))</f>
        <v/>
      </c>
      <c r="Y133" s="67">
        <f>IF(OR(T133=1,X133&lt;&gt;""),"",IF(AND(B133&lt;&gt;"",COUNTIF(tx_ID,B133)&gt;1),"Duplicate transaction ID",IF(AND(L133&lt;0,D133&lt;&gt;"Adjustment"),"Negative amount — check this entry",IF(AND(D133="Customer Payment",G133=""),"Add the customer",IF(AND(D133="Customer Payment",OR(J133="",COUNTIF(ar_No,J133&amp;"")=0)),"Invoice # in Reference not found on AR sheet",IF(AND(D133="Bill Payment",H133=""),"Add the vendor",IF(AND(D133="Bill Payment",OR(J133="",COUNTIFS(ap_No,J133&amp;"",ap_Party,H133&amp;"")=0)),"Bill # + vendor not found on AP sheet",IF(AND(ISNUMBER(M133),N(M133)&lt;&gt;0,W133=0),"Tax ignored (tax tracking off, or not allowed for this type)",IF(V133=K133&amp;"","Same account on both sides",IF(AND(ISNUMBER(StartDate),C133&lt;StartDate),"Date is before the accounting start date",IF(AND(D133&lt;&gt;"Adjustment",IFERROR(INDEX(coa_Pay,MATCH(K133&amp;"",coa_Name,0)),"")&lt;&gt;"Yes"),"Paid From / Deposited To is not a payment account","")))))))))))</f>
        <v/>
      </c>
      <c r="Z133" s="67">
        <f>IF(AND(T133=0,X133=""),1,0)</f>
        <v/>
      </c>
      <c r="AA133" s="68">
        <f>IF(Z133=1,IF(U133="In",L133,L133-W133),0)</f>
        <v/>
      </c>
      <c r="AB133" s="68">
        <f>IF(Z133=1,IF(U133="In",L133-W133,L133),0)</f>
        <v/>
      </c>
      <c r="AC133" s="68">
        <f>IF(AND(Z133=1,U133="Out"),W133,0)</f>
        <v/>
      </c>
      <c r="AD133" s="68">
        <f>IF(AND(Z133=1,U133="In"),W133,0)</f>
        <v/>
      </c>
    </row>
    <row r="134">
      <c r="B134" s="62" t="inlineStr">
        <is>
          <t>TX-0128</t>
        </is>
      </c>
      <c r="C134" s="63" t="n">
        <v>46126</v>
      </c>
      <c r="D134" s="62" t="inlineStr">
        <is>
          <t>Bill Payment</t>
        </is>
      </c>
      <c r="E134" s="62" t="n"/>
      <c r="F134" s="62" t="inlineStr">
        <is>
          <t>Supplier payment</t>
        </is>
      </c>
      <c r="G134" s="62" t="n"/>
      <c r="H134" s="62" t="inlineStr">
        <is>
          <t>Fresh Dairy Co.</t>
        </is>
      </c>
      <c r="I134" s="62" t="inlineStr">
        <is>
          <t>Bank Transfer</t>
        </is>
      </c>
      <c r="J134" s="62" t="inlineStr">
        <is>
          <t>FR-032</t>
        </is>
      </c>
      <c r="K134" s="62" t="inlineStr">
        <is>
          <t>Bank Account</t>
        </is>
      </c>
      <c r="L134" s="64" t="n">
        <v>16582.27</v>
      </c>
      <c r="M134" s="64" t="n"/>
      <c r="N134" s="62" t="n"/>
      <c r="O134" s="65">
        <f>IF(Z134=1,L134-W134,"")</f>
        <v/>
      </c>
      <c r="P134" s="66">
        <f>IF(V134="","",IFERROR(INDEX(coa_Type,MATCH(V134,coa_Name,0)),""))</f>
        <v/>
      </c>
      <c r="Q134" s="66">
        <f>IF(Z134=1,IF(U134="In",K134&amp;"",V134),"")</f>
        <v/>
      </c>
      <c r="R134" s="66">
        <f>IF(Z134=1,IF(U134="In",V134,K134&amp;""),"")</f>
        <v/>
      </c>
      <c r="S134" s="66">
        <f>IF(X134&lt;&gt;"","⛔ "&amp;X134&amp;" — not posted",IF(Y134&lt;&gt;"","⚠ "&amp;Y134,IF(Z134=1,"✓ OK","")))</f>
        <v/>
      </c>
      <c r="T134" s="67">
        <f>IF(AND(C134="",D134="",E134="",L134="",K134=""),1,0)</f>
        <v/>
      </c>
      <c r="U134" s="67">
        <f>IFERROR(INDEX(tt_Dir,MATCH(D134,tt_Type,0)),"")</f>
        <v/>
      </c>
      <c r="V134" s="67">
        <f>IF(D134="","",IFERROR(IF(INDEX(tt_Other,MATCH(D134,tt_Type,0))="",E134&amp;"",INDEX(tt_Other,MATCH(D134,tt_Type,0))),""))</f>
        <v/>
      </c>
      <c r="W134" s="68">
        <f>IF(OR(TaxOn&lt;&gt;"Yes",NOT(ISNUMBER(M134))),0,IF(IFERROR(INDEX(tt_Tax,MATCH(D134,tt_Type,0)),"No")="Yes",M134,0))</f>
        <v/>
      </c>
      <c r="X134" s="67">
        <f>IF(T134=1,"",IF(C134="","Missing transaction date",IF(NOT(ISNUMBER(C134)),"Invalid date",IF(OR(C134&lt;DATE(2000,1,1),C134&gt;DATE(2099,12,31)),"Invalid date",IF(D134="","Select a type",IF(U134="","Unknown type: "&amp;D134,IF(V134="","Select an account (Category)",IF(ISNA(MATCH(V134,coa_Name,0)),"Unknown account: "&amp;V134,IF(K134="","Select Paid From / Deposited To",IF(ISNA(MATCH(K134,coa_Name,0)),"Unknown account: "&amp;K134,IF(NOT(ISNUMBER(L134)),"Enter an amount",IF(L134=0,"Enter an amount",IF(ABS(W134)&gt;ABS(L134),"Tax is larger than the amount","")))))))))))))</f>
        <v/>
      </c>
      <c r="Y134" s="67">
        <f>IF(OR(T134=1,X134&lt;&gt;""),"",IF(AND(B134&lt;&gt;"",COUNTIF(tx_ID,B134)&gt;1),"Duplicate transaction ID",IF(AND(L134&lt;0,D134&lt;&gt;"Adjustment"),"Negative amount — check this entry",IF(AND(D134="Customer Payment",G134=""),"Add the customer",IF(AND(D134="Customer Payment",OR(J134="",COUNTIF(ar_No,J134&amp;"")=0)),"Invoice # in Reference not found on AR sheet",IF(AND(D134="Bill Payment",H134=""),"Add the vendor",IF(AND(D134="Bill Payment",OR(J134="",COUNTIFS(ap_No,J134&amp;"",ap_Party,H134&amp;"")=0)),"Bill # + vendor not found on AP sheet",IF(AND(ISNUMBER(M134),N(M134)&lt;&gt;0,W134=0),"Tax ignored (tax tracking off, or not allowed for this type)",IF(V134=K134&amp;"","Same account on both sides",IF(AND(ISNUMBER(StartDate),C134&lt;StartDate),"Date is before the accounting start date",IF(AND(D134&lt;&gt;"Adjustment",IFERROR(INDEX(coa_Pay,MATCH(K134&amp;"",coa_Name,0)),"")&lt;&gt;"Yes"),"Paid From / Deposited To is not a payment account","")))))))))))</f>
        <v/>
      </c>
      <c r="Z134" s="67">
        <f>IF(AND(T134=0,X134=""),1,0)</f>
        <v/>
      </c>
      <c r="AA134" s="68">
        <f>IF(Z134=1,IF(U134="In",L134,L134-W134),0)</f>
        <v/>
      </c>
      <c r="AB134" s="68">
        <f>IF(Z134=1,IF(U134="In",L134-W134,L134),0)</f>
        <v/>
      </c>
      <c r="AC134" s="68">
        <f>IF(AND(Z134=1,U134="Out"),W134,0)</f>
        <v/>
      </c>
      <c r="AD134" s="68">
        <f>IF(AND(Z134=1,U134="In"),W134,0)</f>
        <v/>
      </c>
    </row>
    <row r="135">
      <c r="B135" s="62" t="inlineStr">
        <is>
          <t>TX-0129</t>
        </is>
      </c>
      <c r="C135" s="63" t="n">
        <v>46127</v>
      </c>
      <c r="D135" s="62" t="inlineStr">
        <is>
          <t>Customer Payment</t>
        </is>
      </c>
      <c r="E135" s="62" t="n"/>
      <c r="F135" s="62" t="inlineStr">
        <is>
          <t>Invoice payment</t>
        </is>
      </c>
      <c r="G135" s="62" t="inlineStr">
        <is>
          <t>Luntian Coworking</t>
        </is>
      </c>
      <c r="H135" s="62" t="n"/>
      <c r="I135" s="62" t="inlineStr">
        <is>
          <t>Bank Transfer</t>
        </is>
      </c>
      <c r="J135" s="62" t="inlineStr">
        <is>
          <t>INV-1007</t>
        </is>
      </c>
      <c r="K135" s="62" t="inlineStr">
        <is>
          <t>Bank Account</t>
        </is>
      </c>
      <c r="L135" s="64" t="n">
        <v>24998.54</v>
      </c>
      <c r="M135" s="64" t="n"/>
      <c r="N135" s="62" t="n"/>
      <c r="O135" s="65">
        <f>IF(Z135=1,L135-W135,"")</f>
        <v/>
      </c>
      <c r="P135" s="66">
        <f>IF(V135="","",IFERROR(INDEX(coa_Type,MATCH(V135,coa_Name,0)),""))</f>
        <v/>
      </c>
      <c r="Q135" s="66">
        <f>IF(Z135=1,IF(U135="In",K135&amp;"",V135),"")</f>
        <v/>
      </c>
      <c r="R135" s="66">
        <f>IF(Z135=1,IF(U135="In",V135,K135&amp;""),"")</f>
        <v/>
      </c>
      <c r="S135" s="66">
        <f>IF(X135&lt;&gt;"","⛔ "&amp;X135&amp;" — not posted",IF(Y135&lt;&gt;"","⚠ "&amp;Y135,IF(Z135=1,"✓ OK","")))</f>
        <v/>
      </c>
      <c r="T135" s="67">
        <f>IF(AND(C135="",D135="",E135="",L135="",K135=""),1,0)</f>
        <v/>
      </c>
      <c r="U135" s="67">
        <f>IFERROR(INDEX(tt_Dir,MATCH(D135,tt_Type,0)),"")</f>
        <v/>
      </c>
      <c r="V135" s="67">
        <f>IF(D135="","",IFERROR(IF(INDEX(tt_Other,MATCH(D135,tt_Type,0))="",E135&amp;"",INDEX(tt_Other,MATCH(D135,tt_Type,0))),""))</f>
        <v/>
      </c>
      <c r="W135" s="68">
        <f>IF(OR(TaxOn&lt;&gt;"Yes",NOT(ISNUMBER(M135))),0,IF(IFERROR(INDEX(tt_Tax,MATCH(D135,tt_Type,0)),"No")="Yes",M135,0))</f>
        <v/>
      </c>
      <c r="X135" s="67">
        <f>IF(T135=1,"",IF(C135="","Missing transaction date",IF(NOT(ISNUMBER(C135)),"Invalid date",IF(OR(C135&lt;DATE(2000,1,1),C135&gt;DATE(2099,12,31)),"Invalid date",IF(D135="","Select a type",IF(U135="","Unknown type: "&amp;D135,IF(V135="","Select an account (Category)",IF(ISNA(MATCH(V135,coa_Name,0)),"Unknown account: "&amp;V135,IF(K135="","Select Paid From / Deposited To",IF(ISNA(MATCH(K135,coa_Name,0)),"Unknown account: "&amp;K135,IF(NOT(ISNUMBER(L135)),"Enter an amount",IF(L135=0,"Enter an amount",IF(ABS(W135)&gt;ABS(L135),"Tax is larger than the amount","")))))))))))))</f>
        <v/>
      </c>
      <c r="Y135" s="67">
        <f>IF(OR(T135=1,X135&lt;&gt;""),"",IF(AND(B135&lt;&gt;"",COUNTIF(tx_ID,B135)&gt;1),"Duplicate transaction ID",IF(AND(L135&lt;0,D135&lt;&gt;"Adjustment"),"Negative amount — check this entry",IF(AND(D135="Customer Payment",G135=""),"Add the customer",IF(AND(D135="Customer Payment",OR(J135="",COUNTIF(ar_No,J135&amp;"")=0)),"Invoice # in Reference not found on AR sheet",IF(AND(D135="Bill Payment",H135=""),"Add the vendor",IF(AND(D135="Bill Payment",OR(J135="",COUNTIFS(ap_No,J135&amp;"",ap_Party,H135&amp;"")=0)),"Bill # + vendor not found on AP sheet",IF(AND(ISNUMBER(M135),N(M135)&lt;&gt;0,W135=0),"Tax ignored (tax tracking off, or not allowed for this type)",IF(V135=K135&amp;"","Same account on both sides",IF(AND(ISNUMBER(StartDate),C135&lt;StartDate),"Date is before the accounting start date",IF(AND(D135&lt;&gt;"Adjustment",IFERROR(INDEX(coa_Pay,MATCH(K135&amp;"",coa_Name,0)),"")&lt;&gt;"Yes"),"Paid From / Deposited To is not a payment account","")))))))))))</f>
        <v/>
      </c>
      <c r="Z135" s="67">
        <f>IF(AND(T135=0,X135=""),1,0)</f>
        <v/>
      </c>
      <c r="AA135" s="68">
        <f>IF(Z135=1,IF(U135="In",L135,L135-W135),0)</f>
        <v/>
      </c>
      <c r="AB135" s="68">
        <f>IF(Z135=1,IF(U135="In",L135-W135,L135),0)</f>
        <v/>
      </c>
      <c r="AC135" s="68">
        <f>IF(AND(Z135=1,U135="Out"),W135,0)</f>
        <v/>
      </c>
      <c r="AD135" s="68">
        <f>IF(AND(Z135=1,U135="In"),W135,0)</f>
        <v/>
      </c>
    </row>
    <row r="136">
      <c r="B136" s="62" t="inlineStr">
        <is>
          <t>TX-0130</t>
        </is>
      </c>
      <c r="C136" s="63" t="n">
        <v>46127</v>
      </c>
      <c r="D136" s="62" t="inlineStr">
        <is>
          <t>Money Out</t>
        </is>
      </c>
      <c r="E136" s="62" t="inlineStr">
        <is>
          <t>Internet &amp; Phone</t>
        </is>
      </c>
      <c r="F136" s="62" t="inlineStr">
        <is>
          <t>Fiber internet</t>
        </is>
      </c>
      <c r="G136" s="62" t="n"/>
      <c r="H136" s="62" t="n"/>
      <c r="I136" s="62" t="inlineStr">
        <is>
          <t>Bank Transfer</t>
        </is>
      </c>
      <c r="J136" s="62" t="n"/>
      <c r="K136" s="62" t="inlineStr">
        <is>
          <t>Bank Account</t>
        </is>
      </c>
      <c r="L136" s="64" t="n">
        <v>2499</v>
      </c>
      <c r="M136" s="64" t="n">
        <v>267.75</v>
      </c>
      <c r="N136" s="62" t="n"/>
      <c r="O136" s="65">
        <f>IF(Z136=1,L136-W136,"")</f>
        <v/>
      </c>
      <c r="P136" s="66">
        <f>IF(V136="","",IFERROR(INDEX(coa_Type,MATCH(V136,coa_Name,0)),""))</f>
        <v/>
      </c>
      <c r="Q136" s="66">
        <f>IF(Z136=1,IF(U136="In",K136&amp;"",V136),"")</f>
        <v/>
      </c>
      <c r="R136" s="66">
        <f>IF(Z136=1,IF(U136="In",V136,K136&amp;""),"")</f>
        <v/>
      </c>
      <c r="S136" s="66">
        <f>IF(X136&lt;&gt;"","⛔ "&amp;X136&amp;" — not posted",IF(Y136&lt;&gt;"","⚠ "&amp;Y136,IF(Z136=1,"✓ OK","")))</f>
        <v/>
      </c>
      <c r="T136" s="67">
        <f>IF(AND(C136="",D136="",E136="",L136="",K136=""),1,0)</f>
        <v/>
      </c>
      <c r="U136" s="67">
        <f>IFERROR(INDEX(tt_Dir,MATCH(D136,tt_Type,0)),"")</f>
        <v/>
      </c>
      <c r="V136" s="67">
        <f>IF(D136="","",IFERROR(IF(INDEX(tt_Other,MATCH(D136,tt_Type,0))="",E136&amp;"",INDEX(tt_Other,MATCH(D136,tt_Type,0))),""))</f>
        <v/>
      </c>
      <c r="W136" s="68">
        <f>IF(OR(TaxOn&lt;&gt;"Yes",NOT(ISNUMBER(M136))),0,IF(IFERROR(INDEX(tt_Tax,MATCH(D136,tt_Type,0)),"No")="Yes",M136,0))</f>
        <v/>
      </c>
      <c r="X136" s="67">
        <f>IF(T136=1,"",IF(C136="","Missing transaction date",IF(NOT(ISNUMBER(C136)),"Invalid date",IF(OR(C136&lt;DATE(2000,1,1),C136&gt;DATE(2099,12,31)),"Invalid date",IF(D136="","Select a type",IF(U136="","Unknown type: "&amp;D136,IF(V136="","Select an account (Category)",IF(ISNA(MATCH(V136,coa_Name,0)),"Unknown account: "&amp;V136,IF(K136="","Select Paid From / Deposited To",IF(ISNA(MATCH(K136,coa_Name,0)),"Unknown account: "&amp;K136,IF(NOT(ISNUMBER(L136)),"Enter an amount",IF(L136=0,"Enter an amount",IF(ABS(W136)&gt;ABS(L136),"Tax is larger than the amount","")))))))))))))</f>
        <v/>
      </c>
      <c r="Y136" s="67">
        <f>IF(OR(T136=1,X136&lt;&gt;""),"",IF(AND(B136&lt;&gt;"",COUNTIF(tx_ID,B136)&gt;1),"Duplicate transaction ID",IF(AND(L136&lt;0,D136&lt;&gt;"Adjustment"),"Negative amount — check this entry",IF(AND(D136="Customer Payment",G136=""),"Add the customer",IF(AND(D136="Customer Payment",OR(J136="",COUNTIF(ar_No,J136&amp;"")=0)),"Invoice # in Reference not found on AR sheet",IF(AND(D136="Bill Payment",H136=""),"Add the vendor",IF(AND(D136="Bill Payment",OR(J136="",COUNTIFS(ap_No,J136&amp;"",ap_Party,H136&amp;"")=0)),"Bill # + vendor not found on AP sheet",IF(AND(ISNUMBER(M136),N(M136)&lt;&gt;0,W136=0),"Tax ignored (tax tracking off, or not allowed for this type)",IF(V136=K136&amp;"","Same account on both sides",IF(AND(ISNUMBER(StartDate),C136&lt;StartDate),"Date is before the accounting start date",IF(AND(D136&lt;&gt;"Adjustment",IFERROR(INDEX(coa_Pay,MATCH(K136&amp;"",coa_Name,0)),"")&lt;&gt;"Yes"),"Paid From / Deposited To is not a payment account","")))))))))))</f>
        <v/>
      </c>
      <c r="Z136" s="67">
        <f>IF(AND(T136=0,X136=""),1,0)</f>
        <v/>
      </c>
      <c r="AA136" s="68">
        <f>IF(Z136=1,IF(U136="In",L136,L136-W136),0)</f>
        <v/>
      </c>
      <c r="AB136" s="68">
        <f>IF(Z136=1,IF(U136="In",L136-W136,L136),0)</f>
        <v/>
      </c>
      <c r="AC136" s="68">
        <f>IF(AND(Z136=1,U136="Out"),W136,0)</f>
        <v/>
      </c>
      <c r="AD136" s="68">
        <f>IF(AND(Z136=1,U136="In"),W136,0)</f>
        <v/>
      </c>
    </row>
    <row r="137">
      <c r="B137" s="62" t="inlineStr">
        <is>
          <t>TX-0131</t>
        </is>
      </c>
      <c r="C137" s="63" t="n">
        <v>46127</v>
      </c>
      <c r="D137" s="62" t="inlineStr">
        <is>
          <t>Money Out</t>
        </is>
      </c>
      <c r="E137" s="62" t="inlineStr">
        <is>
          <t>Direct Labor</t>
        </is>
      </c>
      <c r="F137" s="62" t="inlineStr">
        <is>
          <t>Bakers' salaries (1st-15th)</t>
        </is>
      </c>
      <c r="G137" s="62" t="n"/>
      <c r="H137" s="62" t="n"/>
      <c r="I137" s="62" t="inlineStr">
        <is>
          <t>Bank Transfer</t>
        </is>
      </c>
      <c r="J137" s="62" t="n"/>
      <c r="K137" s="62" t="inlineStr">
        <is>
          <t>Bank Account</t>
        </is>
      </c>
      <c r="L137" s="64" t="n">
        <v>38000</v>
      </c>
      <c r="M137" s="64" t="n"/>
      <c r="N137" s="62" t="n"/>
      <c r="O137" s="65">
        <f>IF(Z137=1,L137-W137,"")</f>
        <v/>
      </c>
      <c r="P137" s="66">
        <f>IF(V137="","",IFERROR(INDEX(coa_Type,MATCH(V137,coa_Name,0)),""))</f>
        <v/>
      </c>
      <c r="Q137" s="66">
        <f>IF(Z137=1,IF(U137="In",K137&amp;"",V137),"")</f>
        <v/>
      </c>
      <c r="R137" s="66">
        <f>IF(Z137=1,IF(U137="In",V137,K137&amp;""),"")</f>
        <v/>
      </c>
      <c r="S137" s="66">
        <f>IF(X137&lt;&gt;"","⛔ "&amp;X137&amp;" — not posted",IF(Y137&lt;&gt;"","⚠ "&amp;Y137,IF(Z137=1,"✓ OK","")))</f>
        <v/>
      </c>
      <c r="T137" s="67">
        <f>IF(AND(C137="",D137="",E137="",L137="",K137=""),1,0)</f>
        <v/>
      </c>
      <c r="U137" s="67">
        <f>IFERROR(INDEX(tt_Dir,MATCH(D137,tt_Type,0)),"")</f>
        <v/>
      </c>
      <c r="V137" s="67">
        <f>IF(D137="","",IFERROR(IF(INDEX(tt_Other,MATCH(D137,tt_Type,0))="",E137&amp;"",INDEX(tt_Other,MATCH(D137,tt_Type,0))),""))</f>
        <v/>
      </c>
      <c r="W137" s="68">
        <f>IF(OR(TaxOn&lt;&gt;"Yes",NOT(ISNUMBER(M137))),0,IF(IFERROR(INDEX(tt_Tax,MATCH(D137,tt_Type,0)),"No")="Yes",M137,0))</f>
        <v/>
      </c>
      <c r="X137" s="67">
        <f>IF(T137=1,"",IF(C137="","Missing transaction date",IF(NOT(ISNUMBER(C137)),"Invalid date",IF(OR(C137&lt;DATE(2000,1,1),C137&gt;DATE(2099,12,31)),"Invalid date",IF(D137="","Select a type",IF(U137="","Unknown type: "&amp;D137,IF(V137="","Select an account (Category)",IF(ISNA(MATCH(V137,coa_Name,0)),"Unknown account: "&amp;V137,IF(K137="","Select Paid From / Deposited To",IF(ISNA(MATCH(K137,coa_Name,0)),"Unknown account: "&amp;K137,IF(NOT(ISNUMBER(L137)),"Enter an amount",IF(L137=0,"Enter an amount",IF(ABS(W137)&gt;ABS(L137),"Tax is larger than the amount","")))))))))))))</f>
        <v/>
      </c>
      <c r="Y137" s="67">
        <f>IF(OR(T137=1,X137&lt;&gt;""),"",IF(AND(B137&lt;&gt;"",COUNTIF(tx_ID,B137)&gt;1),"Duplicate transaction ID",IF(AND(L137&lt;0,D137&lt;&gt;"Adjustment"),"Negative amount — check this entry",IF(AND(D137="Customer Payment",G137=""),"Add the customer",IF(AND(D137="Customer Payment",OR(J137="",COUNTIF(ar_No,J137&amp;"")=0)),"Invoice # in Reference not found on AR sheet",IF(AND(D137="Bill Payment",H137=""),"Add the vendor",IF(AND(D137="Bill Payment",OR(J137="",COUNTIFS(ap_No,J137&amp;"",ap_Party,H137&amp;"")=0)),"Bill # + vendor not found on AP sheet",IF(AND(ISNUMBER(M137),N(M137)&lt;&gt;0,W137=0),"Tax ignored (tax tracking off, or not allowed for this type)",IF(V137=K137&amp;"","Same account on both sides",IF(AND(ISNUMBER(StartDate),C137&lt;StartDate),"Date is before the accounting start date",IF(AND(D137&lt;&gt;"Adjustment",IFERROR(INDEX(coa_Pay,MATCH(K137&amp;"",coa_Name,0)),"")&lt;&gt;"Yes"),"Paid From / Deposited To is not a payment account","")))))))))))</f>
        <v/>
      </c>
      <c r="Z137" s="67">
        <f>IF(AND(T137=0,X137=""),1,0)</f>
        <v/>
      </c>
      <c r="AA137" s="68">
        <f>IF(Z137=1,IF(U137="In",L137,L137-W137),0)</f>
        <v/>
      </c>
      <c r="AB137" s="68">
        <f>IF(Z137=1,IF(U137="In",L137-W137,L137),0)</f>
        <v/>
      </c>
      <c r="AC137" s="68">
        <f>IF(AND(Z137=1,U137="Out"),W137,0)</f>
        <v/>
      </c>
      <c r="AD137" s="68">
        <f>IF(AND(Z137=1,U137="In"),W137,0)</f>
        <v/>
      </c>
    </row>
    <row r="138">
      <c r="B138" s="62" t="inlineStr">
        <is>
          <t>TX-0132</t>
        </is>
      </c>
      <c r="C138" s="63" t="n">
        <v>46127</v>
      </c>
      <c r="D138" s="62" t="inlineStr">
        <is>
          <t>Money Out</t>
        </is>
      </c>
      <c r="E138" s="62" t="inlineStr">
        <is>
          <t>Salaries &amp; Wages</t>
        </is>
      </c>
      <c r="F138" s="62" t="inlineStr">
        <is>
          <t>Cashier salary (1st-15th)</t>
        </is>
      </c>
      <c r="G138" s="62" t="n"/>
      <c r="H138" s="62" t="n"/>
      <c r="I138" s="62" t="inlineStr">
        <is>
          <t>Bank Transfer</t>
        </is>
      </c>
      <c r="J138" s="62" t="n"/>
      <c r="K138" s="62" t="inlineStr">
        <is>
          <t>Bank Account</t>
        </is>
      </c>
      <c r="L138" s="64" t="n">
        <v>9000</v>
      </c>
      <c r="M138" s="64" t="n"/>
      <c r="N138" s="62" t="n"/>
      <c r="O138" s="65">
        <f>IF(Z138=1,L138-W138,"")</f>
        <v/>
      </c>
      <c r="P138" s="66">
        <f>IF(V138="","",IFERROR(INDEX(coa_Type,MATCH(V138,coa_Name,0)),""))</f>
        <v/>
      </c>
      <c r="Q138" s="66">
        <f>IF(Z138=1,IF(U138="In",K138&amp;"",V138),"")</f>
        <v/>
      </c>
      <c r="R138" s="66">
        <f>IF(Z138=1,IF(U138="In",V138,K138&amp;""),"")</f>
        <v/>
      </c>
      <c r="S138" s="66">
        <f>IF(X138&lt;&gt;"","⛔ "&amp;X138&amp;" — not posted",IF(Y138&lt;&gt;"","⚠ "&amp;Y138,IF(Z138=1,"✓ OK","")))</f>
        <v/>
      </c>
      <c r="T138" s="67">
        <f>IF(AND(C138="",D138="",E138="",L138="",K138=""),1,0)</f>
        <v/>
      </c>
      <c r="U138" s="67">
        <f>IFERROR(INDEX(tt_Dir,MATCH(D138,tt_Type,0)),"")</f>
        <v/>
      </c>
      <c r="V138" s="67">
        <f>IF(D138="","",IFERROR(IF(INDEX(tt_Other,MATCH(D138,tt_Type,0))="",E138&amp;"",INDEX(tt_Other,MATCH(D138,tt_Type,0))),""))</f>
        <v/>
      </c>
      <c r="W138" s="68">
        <f>IF(OR(TaxOn&lt;&gt;"Yes",NOT(ISNUMBER(M138))),0,IF(IFERROR(INDEX(tt_Tax,MATCH(D138,tt_Type,0)),"No")="Yes",M138,0))</f>
        <v/>
      </c>
      <c r="X138" s="67">
        <f>IF(T138=1,"",IF(C138="","Missing transaction date",IF(NOT(ISNUMBER(C138)),"Invalid date",IF(OR(C138&lt;DATE(2000,1,1),C138&gt;DATE(2099,12,31)),"Invalid date",IF(D138="","Select a type",IF(U138="","Unknown type: "&amp;D138,IF(V138="","Select an account (Category)",IF(ISNA(MATCH(V138,coa_Name,0)),"Unknown account: "&amp;V138,IF(K138="","Select Paid From / Deposited To",IF(ISNA(MATCH(K138,coa_Name,0)),"Unknown account: "&amp;K138,IF(NOT(ISNUMBER(L138)),"Enter an amount",IF(L138=0,"Enter an amount",IF(ABS(W138)&gt;ABS(L138),"Tax is larger than the amount","")))))))))))))</f>
        <v/>
      </c>
      <c r="Y138" s="67">
        <f>IF(OR(T138=1,X138&lt;&gt;""),"",IF(AND(B138&lt;&gt;"",COUNTIF(tx_ID,B138)&gt;1),"Duplicate transaction ID",IF(AND(L138&lt;0,D138&lt;&gt;"Adjustment"),"Negative amount — check this entry",IF(AND(D138="Customer Payment",G138=""),"Add the customer",IF(AND(D138="Customer Payment",OR(J138="",COUNTIF(ar_No,J138&amp;"")=0)),"Invoice # in Reference not found on AR sheet",IF(AND(D138="Bill Payment",H138=""),"Add the vendor",IF(AND(D138="Bill Payment",OR(J138="",COUNTIFS(ap_No,J138&amp;"",ap_Party,H138&amp;"")=0)),"Bill # + vendor not found on AP sheet",IF(AND(ISNUMBER(M138),N(M138)&lt;&gt;0,W138=0),"Tax ignored (tax tracking off, or not allowed for this type)",IF(V138=K138&amp;"","Same account on both sides",IF(AND(ISNUMBER(StartDate),C138&lt;StartDate),"Date is before the accounting start date",IF(AND(D138&lt;&gt;"Adjustment",IFERROR(INDEX(coa_Pay,MATCH(K138&amp;"",coa_Name,0)),"")&lt;&gt;"Yes"),"Paid From / Deposited To is not a payment account","")))))))))))</f>
        <v/>
      </c>
      <c r="Z138" s="67">
        <f>IF(AND(T138=0,X138=""),1,0)</f>
        <v/>
      </c>
      <c r="AA138" s="68">
        <f>IF(Z138=1,IF(U138="In",L138,L138-W138),0)</f>
        <v/>
      </c>
      <c r="AB138" s="68">
        <f>IF(Z138=1,IF(U138="In",L138-W138,L138),0)</f>
        <v/>
      </c>
      <c r="AC138" s="68">
        <f>IF(AND(Z138=1,U138="Out"),W138,0)</f>
        <v/>
      </c>
      <c r="AD138" s="68">
        <f>IF(AND(Z138=1,U138="In"),W138,0)</f>
        <v/>
      </c>
    </row>
    <row r="139">
      <c r="B139" s="62" t="inlineStr">
        <is>
          <t>TX-0133</t>
        </is>
      </c>
      <c r="C139" s="63" t="n">
        <v>46130</v>
      </c>
      <c r="D139" s="62" t="inlineStr">
        <is>
          <t>Money In</t>
        </is>
      </c>
      <c r="E139" s="62" t="inlineStr">
        <is>
          <t>Product Sales</t>
        </is>
      </c>
      <c r="F139" s="62" t="inlineStr">
        <is>
          <t>Counter sales week 3</t>
        </is>
      </c>
      <c r="G139" s="62" t="n"/>
      <c r="H139" s="62" t="n"/>
      <c r="I139" s="62" t="inlineStr">
        <is>
          <t>Cash</t>
        </is>
      </c>
      <c r="J139" s="62" t="n"/>
      <c r="K139" s="62" t="inlineStr">
        <is>
          <t>Cash on Hand</t>
        </is>
      </c>
      <c r="L139" s="64" t="n">
        <v>51494.21</v>
      </c>
      <c r="M139" s="64" t="n">
        <v>5517.24</v>
      </c>
      <c r="N139" s="62" t="n"/>
      <c r="O139" s="65">
        <f>IF(Z139=1,L139-W139,"")</f>
        <v/>
      </c>
      <c r="P139" s="66">
        <f>IF(V139="","",IFERROR(INDEX(coa_Type,MATCH(V139,coa_Name,0)),""))</f>
        <v/>
      </c>
      <c r="Q139" s="66">
        <f>IF(Z139=1,IF(U139="In",K139&amp;"",V139),"")</f>
        <v/>
      </c>
      <c r="R139" s="66">
        <f>IF(Z139=1,IF(U139="In",V139,K139&amp;""),"")</f>
        <v/>
      </c>
      <c r="S139" s="66">
        <f>IF(X139&lt;&gt;"","⛔ "&amp;X139&amp;" — not posted",IF(Y139&lt;&gt;"","⚠ "&amp;Y139,IF(Z139=1,"✓ OK","")))</f>
        <v/>
      </c>
      <c r="T139" s="67">
        <f>IF(AND(C139="",D139="",E139="",L139="",K139=""),1,0)</f>
        <v/>
      </c>
      <c r="U139" s="67">
        <f>IFERROR(INDEX(tt_Dir,MATCH(D139,tt_Type,0)),"")</f>
        <v/>
      </c>
      <c r="V139" s="67">
        <f>IF(D139="","",IFERROR(IF(INDEX(tt_Other,MATCH(D139,tt_Type,0))="",E139&amp;"",INDEX(tt_Other,MATCH(D139,tt_Type,0))),""))</f>
        <v/>
      </c>
      <c r="W139" s="68">
        <f>IF(OR(TaxOn&lt;&gt;"Yes",NOT(ISNUMBER(M139))),0,IF(IFERROR(INDEX(tt_Tax,MATCH(D139,tt_Type,0)),"No")="Yes",M139,0))</f>
        <v/>
      </c>
      <c r="X139" s="67">
        <f>IF(T139=1,"",IF(C139="","Missing transaction date",IF(NOT(ISNUMBER(C139)),"Invalid date",IF(OR(C139&lt;DATE(2000,1,1),C139&gt;DATE(2099,12,31)),"Invalid date",IF(D139="","Select a type",IF(U139="","Unknown type: "&amp;D139,IF(V139="","Select an account (Category)",IF(ISNA(MATCH(V139,coa_Name,0)),"Unknown account: "&amp;V139,IF(K139="","Select Paid From / Deposited To",IF(ISNA(MATCH(K139,coa_Name,0)),"Unknown account: "&amp;K139,IF(NOT(ISNUMBER(L139)),"Enter an amount",IF(L139=0,"Enter an amount",IF(ABS(W139)&gt;ABS(L139),"Tax is larger than the amount","")))))))))))))</f>
        <v/>
      </c>
      <c r="Y139" s="67">
        <f>IF(OR(T139=1,X139&lt;&gt;""),"",IF(AND(B139&lt;&gt;"",COUNTIF(tx_ID,B139)&gt;1),"Duplicate transaction ID",IF(AND(L139&lt;0,D139&lt;&gt;"Adjustment"),"Negative amount — check this entry",IF(AND(D139="Customer Payment",G139=""),"Add the customer",IF(AND(D139="Customer Payment",OR(J139="",COUNTIF(ar_No,J139&amp;"")=0)),"Invoice # in Reference not found on AR sheet",IF(AND(D139="Bill Payment",H139=""),"Add the vendor",IF(AND(D139="Bill Payment",OR(J139="",COUNTIFS(ap_No,J139&amp;"",ap_Party,H139&amp;"")=0)),"Bill # + vendor not found on AP sheet",IF(AND(ISNUMBER(M139),N(M139)&lt;&gt;0,W139=0),"Tax ignored (tax tracking off, or not allowed for this type)",IF(V139=K139&amp;"","Same account on both sides",IF(AND(ISNUMBER(StartDate),C139&lt;StartDate),"Date is before the accounting start date",IF(AND(D139&lt;&gt;"Adjustment",IFERROR(INDEX(coa_Pay,MATCH(K139&amp;"",coa_Name,0)),"")&lt;&gt;"Yes"),"Paid From / Deposited To is not a payment account","")))))))))))</f>
        <v/>
      </c>
      <c r="Z139" s="67">
        <f>IF(AND(T139=0,X139=""),1,0)</f>
        <v/>
      </c>
      <c r="AA139" s="68">
        <f>IF(Z139=1,IF(U139="In",L139,L139-W139),0)</f>
        <v/>
      </c>
      <c r="AB139" s="68">
        <f>IF(Z139=1,IF(U139="In",L139-W139,L139),0)</f>
        <v/>
      </c>
      <c r="AC139" s="68">
        <f>IF(AND(Z139=1,U139="Out"),W139,0)</f>
        <v/>
      </c>
      <c r="AD139" s="68">
        <f>IF(AND(Z139=1,U139="In"),W139,0)</f>
        <v/>
      </c>
    </row>
    <row r="140">
      <c r="B140" s="62" t="inlineStr">
        <is>
          <t>TX-0134</t>
        </is>
      </c>
      <c r="C140" s="63" t="n">
        <v>46131</v>
      </c>
      <c r="D140" s="62" t="inlineStr">
        <is>
          <t>Money In</t>
        </is>
      </c>
      <c r="E140" s="62" t="inlineStr">
        <is>
          <t>Product Sales</t>
        </is>
      </c>
      <c r="F140" s="62" t="inlineStr">
        <is>
          <t>GCash / online orders week 3</t>
        </is>
      </c>
      <c r="G140" s="62" t="n"/>
      <c r="H140" s="62" t="n"/>
      <c r="I140" s="62" t="inlineStr">
        <is>
          <t>E-Wallet</t>
        </is>
      </c>
      <c r="J140" s="62" t="n"/>
      <c r="K140" s="62" t="inlineStr">
        <is>
          <t>E-Wallet / Online Payments</t>
        </is>
      </c>
      <c r="L140" s="64" t="n">
        <v>16440.75</v>
      </c>
      <c r="M140" s="64" t="n">
        <v>1761.51</v>
      </c>
      <c r="N140" s="62" t="n"/>
      <c r="O140" s="65">
        <f>IF(Z140=1,L140-W140,"")</f>
        <v/>
      </c>
      <c r="P140" s="66">
        <f>IF(V140="","",IFERROR(INDEX(coa_Type,MATCH(V140,coa_Name,0)),""))</f>
        <v/>
      </c>
      <c r="Q140" s="66">
        <f>IF(Z140=1,IF(U140="In",K140&amp;"",V140),"")</f>
        <v/>
      </c>
      <c r="R140" s="66">
        <f>IF(Z140=1,IF(U140="In",V140,K140&amp;""),"")</f>
        <v/>
      </c>
      <c r="S140" s="66">
        <f>IF(X140&lt;&gt;"","⛔ "&amp;X140&amp;" — not posted",IF(Y140&lt;&gt;"","⚠ "&amp;Y140,IF(Z140=1,"✓ OK","")))</f>
        <v/>
      </c>
      <c r="T140" s="67">
        <f>IF(AND(C140="",D140="",E140="",L140="",K140=""),1,0)</f>
        <v/>
      </c>
      <c r="U140" s="67">
        <f>IFERROR(INDEX(tt_Dir,MATCH(D140,tt_Type,0)),"")</f>
        <v/>
      </c>
      <c r="V140" s="67">
        <f>IF(D140="","",IFERROR(IF(INDEX(tt_Other,MATCH(D140,tt_Type,0))="",E140&amp;"",INDEX(tt_Other,MATCH(D140,tt_Type,0))),""))</f>
        <v/>
      </c>
      <c r="W140" s="68">
        <f>IF(OR(TaxOn&lt;&gt;"Yes",NOT(ISNUMBER(M140))),0,IF(IFERROR(INDEX(tt_Tax,MATCH(D140,tt_Type,0)),"No")="Yes",M140,0))</f>
        <v/>
      </c>
      <c r="X140" s="67">
        <f>IF(T140=1,"",IF(C140="","Missing transaction date",IF(NOT(ISNUMBER(C140)),"Invalid date",IF(OR(C140&lt;DATE(2000,1,1),C140&gt;DATE(2099,12,31)),"Invalid date",IF(D140="","Select a type",IF(U140="","Unknown type: "&amp;D140,IF(V140="","Select an account (Category)",IF(ISNA(MATCH(V140,coa_Name,0)),"Unknown account: "&amp;V140,IF(K140="","Select Paid From / Deposited To",IF(ISNA(MATCH(K140,coa_Name,0)),"Unknown account: "&amp;K140,IF(NOT(ISNUMBER(L140)),"Enter an amount",IF(L140=0,"Enter an amount",IF(ABS(W140)&gt;ABS(L140),"Tax is larger than the amount","")))))))))))))</f>
        <v/>
      </c>
      <c r="Y140" s="67">
        <f>IF(OR(T140=1,X140&lt;&gt;""),"",IF(AND(B140&lt;&gt;"",COUNTIF(tx_ID,B140)&gt;1),"Duplicate transaction ID",IF(AND(L140&lt;0,D140&lt;&gt;"Adjustment"),"Negative amount — check this entry",IF(AND(D140="Customer Payment",G140=""),"Add the customer",IF(AND(D140="Customer Payment",OR(J140="",COUNTIF(ar_No,J140&amp;"")=0)),"Invoice # in Reference not found on AR sheet",IF(AND(D140="Bill Payment",H140=""),"Add the vendor",IF(AND(D140="Bill Payment",OR(J140="",COUNTIFS(ap_No,J140&amp;"",ap_Party,H140&amp;"")=0)),"Bill # + vendor not found on AP sheet",IF(AND(ISNUMBER(M140),N(M140)&lt;&gt;0,W140=0),"Tax ignored (tax tracking off, or not allowed for this type)",IF(V140=K140&amp;"","Same account on both sides",IF(AND(ISNUMBER(StartDate),C140&lt;StartDate),"Date is before the accounting start date",IF(AND(D140&lt;&gt;"Adjustment",IFERROR(INDEX(coa_Pay,MATCH(K140&amp;"",coa_Name,0)),"")&lt;&gt;"Yes"),"Paid From / Deposited To is not a payment account","")))))))))))</f>
        <v/>
      </c>
      <c r="Z140" s="67">
        <f>IF(AND(T140=0,X140=""),1,0)</f>
        <v/>
      </c>
      <c r="AA140" s="68">
        <f>IF(Z140=1,IF(U140="In",L140,L140-W140),0)</f>
        <v/>
      </c>
      <c r="AB140" s="68">
        <f>IF(Z140=1,IF(U140="In",L140-W140,L140),0)</f>
        <v/>
      </c>
      <c r="AC140" s="68">
        <f>IF(AND(Z140=1,U140="Out"),W140,0)</f>
        <v/>
      </c>
      <c r="AD140" s="68">
        <f>IF(AND(Z140=1,U140="In"),W140,0)</f>
        <v/>
      </c>
    </row>
    <row r="141">
      <c r="B141" s="62" t="inlineStr">
        <is>
          <t>TX-0135</t>
        </is>
      </c>
      <c r="C141" s="63" t="n">
        <v>46132</v>
      </c>
      <c r="D141" s="62" t="inlineStr">
        <is>
          <t>Transfer</t>
        </is>
      </c>
      <c r="E141" s="62" t="inlineStr">
        <is>
          <t>Bank Account</t>
        </is>
      </c>
      <c r="F141" s="62" t="inlineStr">
        <is>
          <t>Cash deposit to bank</t>
        </is>
      </c>
      <c r="G141" s="62" t="n"/>
      <c r="H141" s="62" t="n"/>
      <c r="I141" s="62" t="inlineStr">
        <is>
          <t>Cash</t>
        </is>
      </c>
      <c r="J141" s="62" t="n"/>
      <c r="K141" s="62" t="inlineStr">
        <is>
          <t>Cash on Hand</t>
        </is>
      </c>
      <c r="L141" s="64" t="n">
        <v>43800</v>
      </c>
      <c r="M141" s="64" t="n"/>
      <c r="N141" s="62" t="n"/>
      <c r="O141" s="65">
        <f>IF(Z141=1,L141-W141,"")</f>
        <v/>
      </c>
      <c r="P141" s="66">
        <f>IF(V141="","",IFERROR(INDEX(coa_Type,MATCH(V141,coa_Name,0)),""))</f>
        <v/>
      </c>
      <c r="Q141" s="66">
        <f>IF(Z141=1,IF(U141="In",K141&amp;"",V141),"")</f>
        <v/>
      </c>
      <c r="R141" s="66">
        <f>IF(Z141=1,IF(U141="In",V141,K141&amp;""),"")</f>
        <v/>
      </c>
      <c r="S141" s="66">
        <f>IF(X141&lt;&gt;"","⛔ "&amp;X141&amp;" — not posted",IF(Y141&lt;&gt;"","⚠ "&amp;Y141,IF(Z141=1,"✓ OK","")))</f>
        <v/>
      </c>
      <c r="T141" s="67">
        <f>IF(AND(C141="",D141="",E141="",L141="",K141=""),1,0)</f>
        <v/>
      </c>
      <c r="U141" s="67">
        <f>IFERROR(INDEX(tt_Dir,MATCH(D141,tt_Type,0)),"")</f>
        <v/>
      </c>
      <c r="V141" s="67">
        <f>IF(D141="","",IFERROR(IF(INDEX(tt_Other,MATCH(D141,tt_Type,0))="",E141&amp;"",INDEX(tt_Other,MATCH(D141,tt_Type,0))),""))</f>
        <v/>
      </c>
      <c r="W141" s="68">
        <f>IF(OR(TaxOn&lt;&gt;"Yes",NOT(ISNUMBER(M141))),0,IF(IFERROR(INDEX(tt_Tax,MATCH(D141,tt_Type,0)),"No")="Yes",M141,0))</f>
        <v/>
      </c>
      <c r="X141" s="67">
        <f>IF(T141=1,"",IF(C141="","Missing transaction date",IF(NOT(ISNUMBER(C141)),"Invalid date",IF(OR(C141&lt;DATE(2000,1,1),C141&gt;DATE(2099,12,31)),"Invalid date",IF(D141="","Select a type",IF(U141="","Unknown type: "&amp;D141,IF(V141="","Select an account (Category)",IF(ISNA(MATCH(V141,coa_Name,0)),"Unknown account: "&amp;V141,IF(K141="","Select Paid From / Deposited To",IF(ISNA(MATCH(K141,coa_Name,0)),"Unknown account: "&amp;K141,IF(NOT(ISNUMBER(L141)),"Enter an amount",IF(L141=0,"Enter an amount",IF(ABS(W141)&gt;ABS(L141),"Tax is larger than the amount","")))))))))))))</f>
        <v/>
      </c>
      <c r="Y141" s="67">
        <f>IF(OR(T141=1,X141&lt;&gt;""),"",IF(AND(B141&lt;&gt;"",COUNTIF(tx_ID,B141)&gt;1),"Duplicate transaction ID",IF(AND(L141&lt;0,D141&lt;&gt;"Adjustment"),"Negative amount — check this entry",IF(AND(D141="Customer Payment",G141=""),"Add the customer",IF(AND(D141="Customer Payment",OR(J141="",COUNTIF(ar_No,J141&amp;"")=0)),"Invoice # in Reference not found on AR sheet",IF(AND(D141="Bill Payment",H141=""),"Add the vendor",IF(AND(D141="Bill Payment",OR(J141="",COUNTIFS(ap_No,J141&amp;"",ap_Party,H141&amp;"")=0)),"Bill # + vendor not found on AP sheet",IF(AND(ISNUMBER(M141),N(M141)&lt;&gt;0,W141=0),"Tax ignored (tax tracking off, or not allowed for this type)",IF(V141=K141&amp;"","Same account on both sides",IF(AND(ISNUMBER(StartDate),C141&lt;StartDate),"Date is before the accounting start date",IF(AND(D141&lt;&gt;"Adjustment",IFERROR(INDEX(coa_Pay,MATCH(K141&amp;"",coa_Name,0)),"")&lt;&gt;"Yes"),"Paid From / Deposited To is not a payment account","")))))))))))</f>
        <v/>
      </c>
      <c r="Z141" s="67">
        <f>IF(AND(T141=0,X141=""),1,0)</f>
        <v/>
      </c>
      <c r="AA141" s="68">
        <f>IF(Z141=1,IF(U141="In",L141,L141-W141),0)</f>
        <v/>
      </c>
      <c r="AB141" s="68">
        <f>IF(Z141=1,IF(U141="In",L141-W141,L141),0)</f>
        <v/>
      </c>
      <c r="AC141" s="68">
        <f>IF(AND(Z141=1,U141="Out"),W141,0)</f>
        <v/>
      </c>
      <c r="AD141" s="68">
        <f>IF(AND(Z141=1,U141="In"),W141,0)</f>
        <v/>
      </c>
    </row>
    <row r="142">
      <c r="B142" s="62" t="inlineStr">
        <is>
          <t>TX-0136</t>
        </is>
      </c>
      <c r="C142" s="63" t="n">
        <v>46132</v>
      </c>
      <c r="D142" s="62" t="inlineStr">
        <is>
          <t>Money Out</t>
        </is>
      </c>
      <c r="E142" s="62" t="inlineStr">
        <is>
          <t>Transportation &amp; Delivery</t>
        </is>
      </c>
      <c r="F142" s="62" t="inlineStr">
        <is>
          <t>Delivery fuel</t>
        </is>
      </c>
      <c r="G142" s="62" t="n"/>
      <c r="H142" s="62" t="n"/>
      <c r="I142" s="62" t="inlineStr">
        <is>
          <t>Cash</t>
        </is>
      </c>
      <c r="J142" s="62" t="n"/>
      <c r="K142" s="62" t="inlineStr">
        <is>
          <t>Cash on Hand</t>
        </is>
      </c>
      <c r="L142" s="64" t="n">
        <v>3640.56</v>
      </c>
      <c r="M142" s="64" t="n">
        <v>390.06</v>
      </c>
      <c r="N142" s="62" t="n"/>
      <c r="O142" s="65">
        <f>IF(Z142=1,L142-W142,"")</f>
        <v/>
      </c>
      <c r="P142" s="66">
        <f>IF(V142="","",IFERROR(INDEX(coa_Type,MATCH(V142,coa_Name,0)),""))</f>
        <v/>
      </c>
      <c r="Q142" s="66">
        <f>IF(Z142=1,IF(U142="In",K142&amp;"",V142),"")</f>
        <v/>
      </c>
      <c r="R142" s="66">
        <f>IF(Z142=1,IF(U142="In",V142,K142&amp;""),"")</f>
        <v/>
      </c>
      <c r="S142" s="66">
        <f>IF(X142&lt;&gt;"","⛔ "&amp;X142&amp;" — not posted",IF(Y142&lt;&gt;"","⚠ "&amp;Y142,IF(Z142=1,"✓ OK","")))</f>
        <v/>
      </c>
      <c r="T142" s="67">
        <f>IF(AND(C142="",D142="",E142="",L142="",K142=""),1,0)</f>
        <v/>
      </c>
      <c r="U142" s="67">
        <f>IFERROR(INDEX(tt_Dir,MATCH(D142,tt_Type,0)),"")</f>
        <v/>
      </c>
      <c r="V142" s="67">
        <f>IF(D142="","",IFERROR(IF(INDEX(tt_Other,MATCH(D142,tt_Type,0))="",E142&amp;"",INDEX(tt_Other,MATCH(D142,tt_Type,0))),""))</f>
        <v/>
      </c>
      <c r="W142" s="68">
        <f>IF(OR(TaxOn&lt;&gt;"Yes",NOT(ISNUMBER(M142))),0,IF(IFERROR(INDEX(tt_Tax,MATCH(D142,tt_Type,0)),"No")="Yes",M142,0))</f>
        <v/>
      </c>
      <c r="X142" s="67">
        <f>IF(T142=1,"",IF(C142="","Missing transaction date",IF(NOT(ISNUMBER(C142)),"Invalid date",IF(OR(C142&lt;DATE(2000,1,1),C142&gt;DATE(2099,12,31)),"Invalid date",IF(D142="","Select a type",IF(U142="","Unknown type: "&amp;D142,IF(V142="","Select an account (Category)",IF(ISNA(MATCH(V142,coa_Name,0)),"Unknown account: "&amp;V142,IF(K142="","Select Paid From / Deposited To",IF(ISNA(MATCH(K142,coa_Name,0)),"Unknown account: "&amp;K142,IF(NOT(ISNUMBER(L142)),"Enter an amount",IF(L142=0,"Enter an amount",IF(ABS(W142)&gt;ABS(L142),"Tax is larger than the amount","")))))))))))))</f>
        <v/>
      </c>
      <c r="Y142" s="67">
        <f>IF(OR(T142=1,X142&lt;&gt;""),"",IF(AND(B142&lt;&gt;"",COUNTIF(tx_ID,B142)&gt;1),"Duplicate transaction ID",IF(AND(L142&lt;0,D142&lt;&gt;"Adjustment"),"Negative amount — check this entry",IF(AND(D142="Customer Payment",G142=""),"Add the customer",IF(AND(D142="Customer Payment",OR(J142="",COUNTIF(ar_No,J142&amp;"")=0)),"Invoice # in Reference not found on AR sheet",IF(AND(D142="Bill Payment",H142=""),"Add the vendor",IF(AND(D142="Bill Payment",OR(J142="",COUNTIFS(ap_No,J142&amp;"",ap_Party,H142&amp;"")=0)),"Bill # + vendor not found on AP sheet",IF(AND(ISNUMBER(M142),N(M142)&lt;&gt;0,W142=0),"Tax ignored (tax tracking off, or not allowed for this type)",IF(V142=K142&amp;"","Same account on both sides",IF(AND(ISNUMBER(StartDate),C142&lt;StartDate),"Date is before the accounting start date",IF(AND(D142&lt;&gt;"Adjustment",IFERROR(INDEX(coa_Pay,MATCH(K142&amp;"",coa_Name,0)),"")&lt;&gt;"Yes"),"Paid From / Deposited To is not a payment account","")))))))))))</f>
        <v/>
      </c>
      <c r="Z142" s="67">
        <f>IF(AND(T142=0,X142=""),1,0)</f>
        <v/>
      </c>
      <c r="AA142" s="68">
        <f>IF(Z142=1,IF(U142="In",L142,L142-W142),0)</f>
        <v/>
      </c>
      <c r="AB142" s="68">
        <f>IF(Z142=1,IF(U142="In",L142-W142,L142),0)</f>
        <v/>
      </c>
      <c r="AC142" s="68">
        <f>IF(AND(Z142=1,U142="Out"),W142,0)</f>
        <v/>
      </c>
      <c r="AD142" s="68">
        <f>IF(AND(Z142=1,U142="In"),W142,0)</f>
        <v/>
      </c>
    </row>
    <row r="143">
      <c r="B143" s="62" t="inlineStr">
        <is>
          <t>TX-0137</t>
        </is>
      </c>
      <c r="C143" s="63" t="n">
        <v>46136</v>
      </c>
      <c r="D143" s="62" t="inlineStr">
        <is>
          <t>Money Out</t>
        </is>
      </c>
      <c r="E143" s="62" t="inlineStr">
        <is>
          <t>Tax Payable</t>
        </is>
      </c>
      <c r="F143" s="62" t="inlineStr">
        <is>
          <t>VAT return Q1 2026</t>
        </is>
      </c>
      <c r="G143" s="62" t="n"/>
      <c r="H143" s="62" t="n"/>
      <c r="I143" s="62" t="inlineStr">
        <is>
          <t>Bank Transfer</t>
        </is>
      </c>
      <c r="J143" s="62" t="inlineStr">
        <is>
          <t>VAT-Q1</t>
        </is>
      </c>
      <c r="K143" s="62" t="inlineStr">
        <is>
          <t>Bank Account</t>
        </is>
      </c>
      <c r="L143" s="64" t="n">
        <v>53482.33</v>
      </c>
      <c r="M143" s="64" t="n"/>
      <c r="N143" s="62" t="n"/>
      <c r="O143" s="65">
        <f>IF(Z143=1,L143-W143,"")</f>
        <v/>
      </c>
      <c r="P143" s="66">
        <f>IF(V143="","",IFERROR(INDEX(coa_Type,MATCH(V143,coa_Name,0)),""))</f>
        <v/>
      </c>
      <c r="Q143" s="66">
        <f>IF(Z143=1,IF(U143="In",K143&amp;"",V143),"")</f>
        <v/>
      </c>
      <c r="R143" s="66">
        <f>IF(Z143=1,IF(U143="In",V143,K143&amp;""),"")</f>
        <v/>
      </c>
      <c r="S143" s="66">
        <f>IF(X143&lt;&gt;"","⛔ "&amp;X143&amp;" — not posted",IF(Y143&lt;&gt;"","⚠ "&amp;Y143,IF(Z143=1,"✓ OK","")))</f>
        <v/>
      </c>
      <c r="T143" s="67">
        <f>IF(AND(C143="",D143="",E143="",L143="",K143=""),1,0)</f>
        <v/>
      </c>
      <c r="U143" s="67">
        <f>IFERROR(INDEX(tt_Dir,MATCH(D143,tt_Type,0)),"")</f>
        <v/>
      </c>
      <c r="V143" s="67">
        <f>IF(D143="","",IFERROR(IF(INDEX(tt_Other,MATCH(D143,tt_Type,0))="",E143&amp;"",INDEX(tt_Other,MATCH(D143,tt_Type,0))),""))</f>
        <v/>
      </c>
      <c r="W143" s="68">
        <f>IF(OR(TaxOn&lt;&gt;"Yes",NOT(ISNUMBER(M143))),0,IF(IFERROR(INDEX(tt_Tax,MATCH(D143,tt_Type,0)),"No")="Yes",M143,0))</f>
        <v/>
      </c>
      <c r="X143" s="67">
        <f>IF(T143=1,"",IF(C143="","Missing transaction date",IF(NOT(ISNUMBER(C143)),"Invalid date",IF(OR(C143&lt;DATE(2000,1,1),C143&gt;DATE(2099,12,31)),"Invalid date",IF(D143="","Select a type",IF(U143="","Unknown type: "&amp;D143,IF(V143="","Select an account (Category)",IF(ISNA(MATCH(V143,coa_Name,0)),"Unknown account: "&amp;V143,IF(K143="","Select Paid From / Deposited To",IF(ISNA(MATCH(K143,coa_Name,0)),"Unknown account: "&amp;K143,IF(NOT(ISNUMBER(L143)),"Enter an amount",IF(L143=0,"Enter an amount",IF(ABS(W143)&gt;ABS(L143),"Tax is larger than the amount","")))))))))))))</f>
        <v/>
      </c>
      <c r="Y143" s="67">
        <f>IF(OR(T143=1,X143&lt;&gt;""),"",IF(AND(B143&lt;&gt;"",COUNTIF(tx_ID,B143)&gt;1),"Duplicate transaction ID",IF(AND(L143&lt;0,D143&lt;&gt;"Adjustment"),"Negative amount — check this entry",IF(AND(D143="Customer Payment",G143=""),"Add the customer",IF(AND(D143="Customer Payment",OR(J143="",COUNTIF(ar_No,J143&amp;"")=0)),"Invoice # in Reference not found on AR sheet",IF(AND(D143="Bill Payment",H143=""),"Add the vendor",IF(AND(D143="Bill Payment",OR(J143="",COUNTIFS(ap_No,J143&amp;"",ap_Party,H143&amp;"")=0)),"Bill # + vendor not found on AP sheet",IF(AND(ISNUMBER(M143),N(M143)&lt;&gt;0,W143=0),"Tax ignored (tax tracking off, or not allowed for this type)",IF(V143=K143&amp;"","Same account on both sides",IF(AND(ISNUMBER(StartDate),C143&lt;StartDate),"Date is before the accounting start date",IF(AND(D143&lt;&gt;"Adjustment",IFERROR(INDEX(coa_Pay,MATCH(K143&amp;"",coa_Name,0)),"")&lt;&gt;"Yes"),"Paid From / Deposited To is not a payment account","")))))))))))</f>
        <v/>
      </c>
      <c r="Z143" s="67">
        <f>IF(AND(T143=0,X143=""),1,0)</f>
        <v/>
      </c>
      <c r="AA143" s="68">
        <f>IF(Z143=1,IF(U143="In",L143,L143-W143),0)</f>
        <v/>
      </c>
      <c r="AB143" s="68">
        <f>IF(Z143=1,IF(U143="In",L143-W143,L143),0)</f>
        <v/>
      </c>
      <c r="AC143" s="68">
        <f>IF(AND(Z143=1,U143="Out"),W143,0)</f>
        <v/>
      </c>
      <c r="AD143" s="68">
        <f>IF(AND(Z143=1,U143="In"),W143,0)</f>
        <v/>
      </c>
    </row>
    <row r="144">
      <c r="B144" s="62" t="inlineStr">
        <is>
          <t>TX-0138</t>
        </is>
      </c>
      <c r="C144" s="63" t="n">
        <v>46137</v>
      </c>
      <c r="D144" s="62" t="inlineStr">
        <is>
          <t>Customer Payment</t>
        </is>
      </c>
      <c r="E144" s="62" t="n"/>
      <c r="F144" s="62" t="inlineStr">
        <is>
          <t>Invoice payment</t>
        </is>
      </c>
      <c r="G144" s="62" t="inlineStr">
        <is>
          <t>St. Jude Clinic</t>
        </is>
      </c>
      <c r="H144" s="62" t="n"/>
      <c r="I144" s="62" t="inlineStr">
        <is>
          <t>Bank Transfer</t>
        </is>
      </c>
      <c r="J144" s="62" t="inlineStr">
        <is>
          <t>INV-1004</t>
        </is>
      </c>
      <c r="K144" s="62" t="inlineStr">
        <is>
          <t>Bank Account</t>
        </is>
      </c>
      <c r="L144" s="64" t="n">
        <v>29856.65</v>
      </c>
      <c r="M144" s="64" t="n"/>
      <c r="N144" s="62" t="n"/>
      <c r="O144" s="65">
        <f>IF(Z144=1,L144-W144,"")</f>
        <v/>
      </c>
      <c r="P144" s="66">
        <f>IF(V144="","",IFERROR(INDEX(coa_Type,MATCH(V144,coa_Name,0)),""))</f>
        <v/>
      </c>
      <c r="Q144" s="66">
        <f>IF(Z144=1,IF(U144="In",K144&amp;"",V144),"")</f>
        <v/>
      </c>
      <c r="R144" s="66">
        <f>IF(Z144=1,IF(U144="In",V144,K144&amp;""),"")</f>
        <v/>
      </c>
      <c r="S144" s="66">
        <f>IF(X144&lt;&gt;"","⛔ "&amp;X144&amp;" — not posted",IF(Y144&lt;&gt;"","⚠ "&amp;Y144,IF(Z144=1,"✓ OK","")))</f>
        <v/>
      </c>
      <c r="T144" s="67">
        <f>IF(AND(C144="",D144="",E144="",L144="",K144=""),1,0)</f>
        <v/>
      </c>
      <c r="U144" s="67">
        <f>IFERROR(INDEX(tt_Dir,MATCH(D144,tt_Type,0)),"")</f>
        <v/>
      </c>
      <c r="V144" s="67">
        <f>IF(D144="","",IFERROR(IF(INDEX(tt_Other,MATCH(D144,tt_Type,0))="",E144&amp;"",INDEX(tt_Other,MATCH(D144,tt_Type,0))),""))</f>
        <v/>
      </c>
      <c r="W144" s="68">
        <f>IF(OR(TaxOn&lt;&gt;"Yes",NOT(ISNUMBER(M144))),0,IF(IFERROR(INDEX(tt_Tax,MATCH(D144,tt_Type,0)),"No")="Yes",M144,0))</f>
        <v/>
      </c>
      <c r="X144" s="67">
        <f>IF(T144=1,"",IF(C144="","Missing transaction date",IF(NOT(ISNUMBER(C144)),"Invalid date",IF(OR(C144&lt;DATE(2000,1,1),C144&gt;DATE(2099,12,31)),"Invalid date",IF(D144="","Select a type",IF(U144="","Unknown type: "&amp;D144,IF(V144="","Select an account (Category)",IF(ISNA(MATCH(V144,coa_Name,0)),"Unknown account: "&amp;V144,IF(K144="","Select Paid From / Deposited To",IF(ISNA(MATCH(K144,coa_Name,0)),"Unknown account: "&amp;K144,IF(NOT(ISNUMBER(L144)),"Enter an amount",IF(L144=0,"Enter an amount",IF(ABS(W144)&gt;ABS(L144),"Tax is larger than the amount","")))))))))))))</f>
        <v/>
      </c>
      <c r="Y144" s="67">
        <f>IF(OR(T144=1,X144&lt;&gt;""),"",IF(AND(B144&lt;&gt;"",COUNTIF(tx_ID,B144)&gt;1),"Duplicate transaction ID",IF(AND(L144&lt;0,D144&lt;&gt;"Adjustment"),"Negative amount — check this entry",IF(AND(D144="Customer Payment",G144=""),"Add the customer",IF(AND(D144="Customer Payment",OR(J144="",COUNTIF(ar_No,J144&amp;"")=0)),"Invoice # in Reference not found on AR sheet",IF(AND(D144="Bill Payment",H144=""),"Add the vendor",IF(AND(D144="Bill Payment",OR(J144="",COUNTIFS(ap_No,J144&amp;"",ap_Party,H144&amp;"")=0)),"Bill # + vendor not found on AP sheet",IF(AND(ISNUMBER(M144),N(M144)&lt;&gt;0,W144=0),"Tax ignored (tax tracking off, or not allowed for this type)",IF(V144=K144&amp;"","Same account on both sides",IF(AND(ISNUMBER(StartDate),C144&lt;StartDate),"Date is before the accounting start date",IF(AND(D144&lt;&gt;"Adjustment",IFERROR(INDEX(coa_Pay,MATCH(K144&amp;"",coa_Name,0)),"")&lt;&gt;"Yes"),"Paid From / Deposited To is not a payment account","")))))))))))</f>
        <v/>
      </c>
      <c r="Z144" s="67">
        <f>IF(AND(T144=0,X144=""),1,0)</f>
        <v/>
      </c>
      <c r="AA144" s="68">
        <f>IF(Z144=1,IF(U144="In",L144,L144-W144),0)</f>
        <v/>
      </c>
      <c r="AB144" s="68">
        <f>IF(Z144=1,IF(U144="In",L144-W144,L144),0)</f>
        <v/>
      </c>
      <c r="AC144" s="68">
        <f>IF(AND(Z144=1,U144="Out"),W144,0)</f>
        <v/>
      </c>
      <c r="AD144" s="68">
        <f>IF(AND(Z144=1,U144="In"),W144,0)</f>
        <v/>
      </c>
    </row>
    <row r="145">
      <c r="B145" s="62" t="inlineStr">
        <is>
          <t>TX-0139</t>
        </is>
      </c>
      <c r="C145" s="63" t="n">
        <v>46137</v>
      </c>
      <c r="D145" s="62" t="inlineStr">
        <is>
          <t>Money In</t>
        </is>
      </c>
      <c r="E145" s="62" t="inlineStr">
        <is>
          <t>Product Sales</t>
        </is>
      </c>
      <c r="F145" s="62" t="inlineStr">
        <is>
          <t>Counter sales week 4</t>
        </is>
      </c>
      <c r="G145" s="62" t="n"/>
      <c r="H145" s="62" t="n"/>
      <c r="I145" s="62" t="inlineStr">
        <is>
          <t>Cash</t>
        </is>
      </c>
      <c r="J145" s="62" t="n"/>
      <c r="K145" s="62" t="inlineStr">
        <is>
          <t>Cash on Hand</t>
        </is>
      </c>
      <c r="L145" s="64" t="n">
        <v>48194.06</v>
      </c>
      <c r="M145" s="64" t="n">
        <v>5163.65</v>
      </c>
      <c r="N145" s="62" t="n"/>
      <c r="O145" s="65">
        <f>IF(Z145=1,L145-W145,"")</f>
        <v/>
      </c>
      <c r="P145" s="66">
        <f>IF(V145="","",IFERROR(INDEX(coa_Type,MATCH(V145,coa_Name,0)),""))</f>
        <v/>
      </c>
      <c r="Q145" s="66">
        <f>IF(Z145=1,IF(U145="In",K145&amp;"",V145),"")</f>
        <v/>
      </c>
      <c r="R145" s="66">
        <f>IF(Z145=1,IF(U145="In",V145,K145&amp;""),"")</f>
        <v/>
      </c>
      <c r="S145" s="66">
        <f>IF(X145&lt;&gt;"","⛔ "&amp;X145&amp;" — not posted",IF(Y145&lt;&gt;"","⚠ "&amp;Y145,IF(Z145=1,"✓ OK","")))</f>
        <v/>
      </c>
      <c r="T145" s="67">
        <f>IF(AND(C145="",D145="",E145="",L145="",K145=""),1,0)</f>
        <v/>
      </c>
      <c r="U145" s="67">
        <f>IFERROR(INDEX(tt_Dir,MATCH(D145,tt_Type,0)),"")</f>
        <v/>
      </c>
      <c r="V145" s="67">
        <f>IF(D145="","",IFERROR(IF(INDEX(tt_Other,MATCH(D145,tt_Type,0))="",E145&amp;"",INDEX(tt_Other,MATCH(D145,tt_Type,0))),""))</f>
        <v/>
      </c>
      <c r="W145" s="68">
        <f>IF(OR(TaxOn&lt;&gt;"Yes",NOT(ISNUMBER(M145))),0,IF(IFERROR(INDEX(tt_Tax,MATCH(D145,tt_Type,0)),"No")="Yes",M145,0))</f>
        <v/>
      </c>
      <c r="X145" s="67">
        <f>IF(T145=1,"",IF(C145="","Missing transaction date",IF(NOT(ISNUMBER(C145)),"Invalid date",IF(OR(C145&lt;DATE(2000,1,1),C145&gt;DATE(2099,12,31)),"Invalid date",IF(D145="","Select a type",IF(U145="","Unknown type: "&amp;D145,IF(V145="","Select an account (Category)",IF(ISNA(MATCH(V145,coa_Name,0)),"Unknown account: "&amp;V145,IF(K145="","Select Paid From / Deposited To",IF(ISNA(MATCH(K145,coa_Name,0)),"Unknown account: "&amp;K145,IF(NOT(ISNUMBER(L145)),"Enter an amount",IF(L145=0,"Enter an amount",IF(ABS(W145)&gt;ABS(L145),"Tax is larger than the amount","")))))))))))))</f>
        <v/>
      </c>
      <c r="Y145" s="67">
        <f>IF(OR(T145=1,X145&lt;&gt;""),"",IF(AND(B145&lt;&gt;"",COUNTIF(tx_ID,B145)&gt;1),"Duplicate transaction ID",IF(AND(L145&lt;0,D145&lt;&gt;"Adjustment"),"Negative amount — check this entry",IF(AND(D145="Customer Payment",G145=""),"Add the customer",IF(AND(D145="Customer Payment",OR(J145="",COUNTIF(ar_No,J145&amp;"")=0)),"Invoice # in Reference not found on AR sheet",IF(AND(D145="Bill Payment",H145=""),"Add the vendor",IF(AND(D145="Bill Payment",OR(J145="",COUNTIFS(ap_No,J145&amp;"",ap_Party,H145&amp;"")=0)),"Bill # + vendor not found on AP sheet",IF(AND(ISNUMBER(M145),N(M145)&lt;&gt;0,W145=0),"Tax ignored (tax tracking off, or not allowed for this type)",IF(V145=K145&amp;"","Same account on both sides",IF(AND(ISNUMBER(StartDate),C145&lt;StartDate),"Date is before the accounting start date",IF(AND(D145&lt;&gt;"Adjustment",IFERROR(INDEX(coa_Pay,MATCH(K145&amp;"",coa_Name,0)),"")&lt;&gt;"Yes"),"Paid From / Deposited To is not a payment account","")))))))))))</f>
        <v/>
      </c>
      <c r="Z145" s="67">
        <f>IF(AND(T145=0,X145=""),1,0)</f>
        <v/>
      </c>
      <c r="AA145" s="68">
        <f>IF(Z145=1,IF(U145="In",L145,L145-W145),0)</f>
        <v/>
      </c>
      <c r="AB145" s="68">
        <f>IF(Z145=1,IF(U145="In",L145-W145,L145),0)</f>
        <v/>
      </c>
      <c r="AC145" s="68">
        <f>IF(AND(Z145=1,U145="Out"),W145,0)</f>
        <v/>
      </c>
      <c r="AD145" s="68">
        <f>IF(AND(Z145=1,U145="In"),W145,0)</f>
        <v/>
      </c>
    </row>
    <row r="146">
      <c r="B146" s="62" t="inlineStr">
        <is>
          <t>TX-0140</t>
        </is>
      </c>
      <c r="C146" s="63" t="n">
        <v>46137</v>
      </c>
      <c r="D146" s="62" t="inlineStr">
        <is>
          <t>Owner Draw</t>
        </is>
      </c>
      <c r="E146" s="62" t="n"/>
      <c r="F146" s="62" t="inlineStr">
        <is>
          <t>Owner salary / personal draw</t>
        </is>
      </c>
      <c r="G146" s="62" t="n"/>
      <c r="H146" s="62" t="n"/>
      <c r="I146" s="62" t="inlineStr">
        <is>
          <t>Bank Transfer</t>
        </is>
      </c>
      <c r="J146" s="62" t="n"/>
      <c r="K146" s="62" t="inlineStr">
        <is>
          <t>Bank Account</t>
        </is>
      </c>
      <c r="L146" s="64" t="n">
        <v>20000</v>
      </c>
      <c r="M146" s="64" t="n"/>
      <c r="N146" s="62" t="n"/>
      <c r="O146" s="65">
        <f>IF(Z146=1,L146-W146,"")</f>
        <v/>
      </c>
      <c r="P146" s="66">
        <f>IF(V146="","",IFERROR(INDEX(coa_Type,MATCH(V146,coa_Name,0)),""))</f>
        <v/>
      </c>
      <c r="Q146" s="66">
        <f>IF(Z146=1,IF(U146="In",K146&amp;"",V146),"")</f>
        <v/>
      </c>
      <c r="R146" s="66">
        <f>IF(Z146=1,IF(U146="In",V146,K146&amp;""),"")</f>
        <v/>
      </c>
      <c r="S146" s="66">
        <f>IF(X146&lt;&gt;"","⛔ "&amp;X146&amp;" — not posted",IF(Y146&lt;&gt;"","⚠ "&amp;Y146,IF(Z146=1,"✓ OK","")))</f>
        <v/>
      </c>
      <c r="T146" s="67">
        <f>IF(AND(C146="",D146="",E146="",L146="",K146=""),1,0)</f>
        <v/>
      </c>
      <c r="U146" s="67">
        <f>IFERROR(INDEX(tt_Dir,MATCH(D146,tt_Type,0)),"")</f>
        <v/>
      </c>
      <c r="V146" s="67">
        <f>IF(D146="","",IFERROR(IF(INDEX(tt_Other,MATCH(D146,tt_Type,0))="",E146&amp;"",INDEX(tt_Other,MATCH(D146,tt_Type,0))),""))</f>
        <v/>
      </c>
      <c r="W146" s="68">
        <f>IF(OR(TaxOn&lt;&gt;"Yes",NOT(ISNUMBER(M146))),0,IF(IFERROR(INDEX(tt_Tax,MATCH(D146,tt_Type,0)),"No")="Yes",M146,0))</f>
        <v/>
      </c>
      <c r="X146" s="67">
        <f>IF(T146=1,"",IF(C146="","Missing transaction date",IF(NOT(ISNUMBER(C146)),"Invalid date",IF(OR(C146&lt;DATE(2000,1,1),C146&gt;DATE(2099,12,31)),"Invalid date",IF(D146="","Select a type",IF(U146="","Unknown type: "&amp;D146,IF(V146="","Select an account (Category)",IF(ISNA(MATCH(V146,coa_Name,0)),"Unknown account: "&amp;V146,IF(K146="","Select Paid From / Deposited To",IF(ISNA(MATCH(K146,coa_Name,0)),"Unknown account: "&amp;K146,IF(NOT(ISNUMBER(L146)),"Enter an amount",IF(L146=0,"Enter an amount",IF(ABS(W146)&gt;ABS(L146),"Tax is larger than the amount","")))))))))))))</f>
        <v/>
      </c>
      <c r="Y146" s="67">
        <f>IF(OR(T146=1,X146&lt;&gt;""),"",IF(AND(B146&lt;&gt;"",COUNTIF(tx_ID,B146)&gt;1),"Duplicate transaction ID",IF(AND(L146&lt;0,D146&lt;&gt;"Adjustment"),"Negative amount — check this entry",IF(AND(D146="Customer Payment",G146=""),"Add the customer",IF(AND(D146="Customer Payment",OR(J146="",COUNTIF(ar_No,J146&amp;"")=0)),"Invoice # in Reference not found on AR sheet",IF(AND(D146="Bill Payment",H146=""),"Add the vendor",IF(AND(D146="Bill Payment",OR(J146="",COUNTIFS(ap_No,J146&amp;"",ap_Party,H146&amp;"")=0)),"Bill # + vendor not found on AP sheet",IF(AND(ISNUMBER(M146),N(M146)&lt;&gt;0,W146=0),"Tax ignored (tax tracking off, or not allowed for this type)",IF(V146=K146&amp;"","Same account on both sides",IF(AND(ISNUMBER(StartDate),C146&lt;StartDate),"Date is before the accounting start date",IF(AND(D146&lt;&gt;"Adjustment",IFERROR(INDEX(coa_Pay,MATCH(K146&amp;"",coa_Name,0)),"")&lt;&gt;"Yes"),"Paid From / Deposited To is not a payment account","")))))))))))</f>
        <v/>
      </c>
      <c r="Z146" s="67">
        <f>IF(AND(T146=0,X146=""),1,0)</f>
        <v/>
      </c>
      <c r="AA146" s="68">
        <f>IF(Z146=1,IF(U146="In",L146,L146-W146),0)</f>
        <v/>
      </c>
      <c r="AB146" s="68">
        <f>IF(Z146=1,IF(U146="In",L146-W146,L146),0)</f>
        <v/>
      </c>
      <c r="AC146" s="68">
        <f>IF(AND(Z146=1,U146="Out"),W146,0)</f>
        <v/>
      </c>
      <c r="AD146" s="68">
        <f>IF(AND(Z146=1,U146="In"),W146,0)</f>
        <v/>
      </c>
    </row>
    <row r="147">
      <c r="B147" s="62" t="inlineStr">
        <is>
          <t>TX-0141</t>
        </is>
      </c>
      <c r="C147" s="63" t="n">
        <v>46138</v>
      </c>
      <c r="D147" s="62" t="inlineStr">
        <is>
          <t>Money In</t>
        </is>
      </c>
      <c r="E147" s="62" t="inlineStr">
        <is>
          <t>Product Sales</t>
        </is>
      </c>
      <c r="F147" s="62" t="inlineStr">
        <is>
          <t>GCash / online orders week 4</t>
        </is>
      </c>
      <c r="G147" s="62" t="n"/>
      <c r="H147" s="62" t="n"/>
      <c r="I147" s="62" t="inlineStr">
        <is>
          <t>E-Wallet</t>
        </is>
      </c>
      <c r="J147" s="62" t="n"/>
      <c r="K147" s="62" t="inlineStr">
        <is>
          <t>E-Wallet / Online Payments</t>
        </is>
      </c>
      <c r="L147" s="64" t="n">
        <v>22208.87</v>
      </c>
      <c r="M147" s="64" t="n">
        <v>2379.52</v>
      </c>
      <c r="N147" s="62" t="n"/>
      <c r="O147" s="65">
        <f>IF(Z147=1,L147-W147,"")</f>
        <v/>
      </c>
      <c r="P147" s="66">
        <f>IF(V147="","",IFERROR(INDEX(coa_Type,MATCH(V147,coa_Name,0)),""))</f>
        <v/>
      </c>
      <c r="Q147" s="66">
        <f>IF(Z147=1,IF(U147="In",K147&amp;"",V147),"")</f>
        <v/>
      </c>
      <c r="R147" s="66">
        <f>IF(Z147=1,IF(U147="In",V147,K147&amp;""),"")</f>
        <v/>
      </c>
      <c r="S147" s="66">
        <f>IF(X147&lt;&gt;"","⛔ "&amp;X147&amp;" — not posted",IF(Y147&lt;&gt;"","⚠ "&amp;Y147,IF(Z147=1,"✓ OK","")))</f>
        <v/>
      </c>
      <c r="T147" s="67">
        <f>IF(AND(C147="",D147="",E147="",L147="",K147=""),1,0)</f>
        <v/>
      </c>
      <c r="U147" s="67">
        <f>IFERROR(INDEX(tt_Dir,MATCH(D147,tt_Type,0)),"")</f>
        <v/>
      </c>
      <c r="V147" s="67">
        <f>IF(D147="","",IFERROR(IF(INDEX(tt_Other,MATCH(D147,tt_Type,0))="",E147&amp;"",INDEX(tt_Other,MATCH(D147,tt_Type,0))),""))</f>
        <v/>
      </c>
      <c r="W147" s="68">
        <f>IF(OR(TaxOn&lt;&gt;"Yes",NOT(ISNUMBER(M147))),0,IF(IFERROR(INDEX(tt_Tax,MATCH(D147,tt_Type,0)),"No")="Yes",M147,0))</f>
        <v/>
      </c>
      <c r="X147" s="67">
        <f>IF(T147=1,"",IF(C147="","Missing transaction date",IF(NOT(ISNUMBER(C147)),"Invalid date",IF(OR(C147&lt;DATE(2000,1,1),C147&gt;DATE(2099,12,31)),"Invalid date",IF(D147="","Select a type",IF(U147="","Unknown type: "&amp;D147,IF(V147="","Select an account (Category)",IF(ISNA(MATCH(V147,coa_Name,0)),"Unknown account: "&amp;V147,IF(K147="","Select Paid From / Deposited To",IF(ISNA(MATCH(K147,coa_Name,0)),"Unknown account: "&amp;K147,IF(NOT(ISNUMBER(L147)),"Enter an amount",IF(L147=0,"Enter an amount",IF(ABS(W147)&gt;ABS(L147),"Tax is larger than the amount","")))))))))))))</f>
        <v/>
      </c>
      <c r="Y147" s="67">
        <f>IF(OR(T147=1,X147&lt;&gt;""),"",IF(AND(B147&lt;&gt;"",COUNTIF(tx_ID,B147)&gt;1),"Duplicate transaction ID",IF(AND(L147&lt;0,D147&lt;&gt;"Adjustment"),"Negative amount — check this entry",IF(AND(D147="Customer Payment",G147=""),"Add the customer",IF(AND(D147="Customer Payment",OR(J147="",COUNTIF(ar_No,J147&amp;"")=0)),"Invoice # in Reference not found on AR sheet",IF(AND(D147="Bill Payment",H147=""),"Add the vendor",IF(AND(D147="Bill Payment",OR(J147="",COUNTIFS(ap_No,J147&amp;"",ap_Party,H147&amp;"")=0)),"Bill # + vendor not found on AP sheet",IF(AND(ISNUMBER(M147),N(M147)&lt;&gt;0,W147=0),"Tax ignored (tax tracking off, or not allowed for this type)",IF(V147=K147&amp;"","Same account on both sides",IF(AND(ISNUMBER(StartDate),C147&lt;StartDate),"Date is before the accounting start date",IF(AND(D147&lt;&gt;"Adjustment",IFERROR(INDEX(coa_Pay,MATCH(K147&amp;"",coa_Name,0)),"")&lt;&gt;"Yes"),"Paid From / Deposited To is not a payment account","")))))))))))</f>
        <v/>
      </c>
      <c r="Z147" s="67">
        <f>IF(AND(T147=0,X147=""),1,0)</f>
        <v/>
      </c>
      <c r="AA147" s="68">
        <f>IF(Z147=1,IF(U147="In",L147,L147-W147),0)</f>
        <v/>
      </c>
      <c r="AB147" s="68">
        <f>IF(Z147=1,IF(U147="In",L147-W147,L147),0)</f>
        <v/>
      </c>
      <c r="AC147" s="68">
        <f>IF(AND(Z147=1,U147="Out"),W147,0)</f>
        <v/>
      </c>
      <c r="AD147" s="68">
        <f>IF(AND(Z147=1,U147="In"),W147,0)</f>
        <v/>
      </c>
    </row>
    <row r="148">
      <c r="B148" s="62" t="inlineStr">
        <is>
          <t>TX-0142</t>
        </is>
      </c>
      <c r="C148" s="63" t="n">
        <v>46139</v>
      </c>
      <c r="D148" s="62" t="inlineStr">
        <is>
          <t>Transfer</t>
        </is>
      </c>
      <c r="E148" s="62" t="inlineStr">
        <is>
          <t>Bank Account</t>
        </is>
      </c>
      <c r="F148" s="62" t="inlineStr">
        <is>
          <t>Cash deposit to bank</t>
        </is>
      </c>
      <c r="G148" s="62" t="n"/>
      <c r="H148" s="62" t="n"/>
      <c r="I148" s="62" t="inlineStr">
        <is>
          <t>Cash</t>
        </is>
      </c>
      <c r="J148" s="62" t="n"/>
      <c r="K148" s="62" t="inlineStr">
        <is>
          <t>Cash on Hand</t>
        </is>
      </c>
      <c r="L148" s="64" t="n">
        <v>41000</v>
      </c>
      <c r="M148" s="64" t="n"/>
      <c r="N148" s="62" t="n"/>
      <c r="O148" s="65">
        <f>IF(Z148=1,L148-W148,"")</f>
        <v/>
      </c>
      <c r="P148" s="66">
        <f>IF(V148="","",IFERROR(INDEX(coa_Type,MATCH(V148,coa_Name,0)),""))</f>
        <v/>
      </c>
      <c r="Q148" s="66">
        <f>IF(Z148=1,IF(U148="In",K148&amp;"",V148),"")</f>
        <v/>
      </c>
      <c r="R148" s="66">
        <f>IF(Z148=1,IF(U148="In",V148,K148&amp;""),"")</f>
        <v/>
      </c>
      <c r="S148" s="66">
        <f>IF(X148&lt;&gt;"","⛔ "&amp;X148&amp;" — not posted",IF(Y148&lt;&gt;"","⚠ "&amp;Y148,IF(Z148=1,"✓ OK","")))</f>
        <v/>
      </c>
      <c r="T148" s="67">
        <f>IF(AND(C148="",D148="",E148="",L148="",K148=""),1,0)</f>
        <v/>
      </c>
      <c r="U148" s="67">
        <f>IFERROR(INDEX(tt_Dir,MATCH(D148,tt_Type,0)),"")</f>
        <v/>
      </c>
      <c r="V148" s="67">
        <f>IF(D148="","",IFERROR(IF(INDEX(tt_Other,MATCH(D148,tt_Type,0))="",E148&amp;"",INDEX(tt_Other,MATCH(D148,tt_Type,0))),""))</f>
        <v/>
      </c>
      <c r="W148" s="68">
        <f>IF(OR(TaxOn&lt;&gt;"Yes",NOT(ISNUMBER(M148))),0,IF(IFERROR(INDEX(tt_Tax,MATCH(D148,tt_Type,0)),"No")="Yes",M148,0))</f>
        <v/>
      </c>
      <c r="X148" s="67">
        <f>IF(T148=1,"",IF(C148="","Missing transaction date",IF(NOT(ISNUMBER(C148)),"Invalid date",IF(OR(C148&lt;DATE(2000,1,1),C148&gt;DATE(2099,12,31)),"Invalid date",IF(D148="","Select a type",IF(U148="","Unknown type: "&amp;D148,IF(V148="","Select an account (Category)",IF(ISNA(MATCH(V148,coa_Name,0)),"Unknown account: "&amp;V148,IF(K148="","Select Paid From / Deposited To",IF(ISNA(MATCH(K148,coa_Name,0)),"Unknown account: "&amp;K148,IF(NOT(ISNUMBER(L148)),"Enter an amount",IF(L148=0,"Enter an amount",IF(ABS(W148)&gt;ABS(L148),"Tax is larger than the amount","")))))))))))))</f>
        <v/>
      </c>
      <c r="Y148" s="67">
        <f>IF(OR(T148=1,X148&lt;&gt;""),"",IF(AND(B148&lt;&gt;"",COUNTIF(tx_ID,B148)&gt;1),"Duplicate transaction ID",IF(AND(L148&lt;0,D148&lt;&gt;"Adjustment"),"Negative amount — check this entry",IF(AND(D148="Customer Payment",G148=""),"Add the customer",IF(AND(D148="Customer Payment",OR(J148="",COUNTIF(ar_No,J148&amp;"")=0)),"Invoice # in Reference not found on AR sheet",IF(AND(D148="Bill Payment",H148=""),"Add the vendor",IF(AND(D148="Bill Payment",OR(J148="",COUNTIFS(ap_No,J148&amp;"",ap_Party,H148&amp;"")=0)),"Bill # + vendor not found on AP sheet",IF(AND(ISNUMBER(M148),N(M148)&lt;&gt;0,W148=0),"Tax ignored (tax tracking off, or not allowed for this type)",IF(V148=K148&amp;"","Same account on both sides",IF(AND(ISNUMBER(StartDate),C148&lt;StartDate),"Date is before the accounting start date",IF(AND(D148&lt;&gt;"Adjustment",IFERROR(INDEX(coa_Pay,MATCH(K148&amp;"",coa_Name,0)),"")&lt;&gt;"Yes"),"Paid From / Deposited To is not a payment account","")))))))))))</f>
        <v/>
      </c>
      <c r="Z148" s="67">
        <f>IF(AND(T148=0,X148=""),1,0)</f>
        <v/>
      </c>
      <c r="AA148" s="68">
        <f>IF(Z148=1,IF(U148="In",L148,L148-W148),0)</f>
        <v/>
      </c>
      <c r="AB148" s="68">
        <f>IF(Z148=1,IF(U148="In",L148-W148,L148),0)</f>
        <v/>
      </c>
      <c r="AC148" s="68">
        <f>IF(AND(Z148=1,U148="Out"),W148,0)</f>
        <v/>
      </c>
      <c r="AD148" s="68">
        <f>IF(AND(Z148=1,U148="In"),W148,0)</f>
        <v/>
      </c>
    </row>
    <row r="149">
      <c r="B149" s="62" t="inlineStr">
        <is>
          <t>TX-0143</t>
        </is>
      </c>
      <c r="C149" s="63" t="n">
        <v>46139</v>
      </c>
      <c r="D149" s="62" t="inlineStr">
        <is>
          <t>Money Out</t>
        </is>
      </c>
      <c r="E149" s="62" t="inlineStr">
        <is>
          <t>Bank &amp; Payment Fees</t>
        </is>
      </c>
      <c r="F149" s="62" t="inlineStr">
        <is>
          <t>Monthly bank charge</t>
        </is>
      </c>
      <c r="G149" s="62" t="n"/>
      <c r="H149" s="62" t="n"/>
      <c r="I149" s="62" t="inlineStr">
        <is>
          <t>Bank Transfer</t>
        </is>
      </c>
      <c r="J149" s="62" t="n"/>
      <c r="K149" s="62" t="inlineStr">
        <is>
          <t>Bank Account</t>
        </is>
      </c>
      <c r="L149" s="64" t="n">
        <v>150</v>
      </c>
      <c r="M149" s="64" t="n"/>
      <c r="N149" s="62" t="n"/>
      <c r="O149" s="65">
        <f>IF(Z149=1,L149-W149,"")</f>
        <v/>
      </c>
      <c r="P149" s="66">
        <f>IF(V149="","",IFERROR(INDEX(coa_Type,MATCH(V149,coa_Name,0)),""))</f>
        <v/>
      </c>
      <c r="Q149" s="66">
        <f>IF(Z149=1,IF(U149="In",K149&amp;"",V149),"")</f>
        <v/>
      </c>
      <c r="R149" s="66">
        <f>IF(Z149=1,IF(U149="In",V149,K149&amp;""),"")</f>
        <v/>
      </c>
      <c r="S149" s="66">
        <f>IF(X149&lt;&gt;"","⛔ "&amp;X149&amp;" — not posted",IF(Y149&lt;&gt;"","⚠ "&amp;Y149,IF(Z149=1,"✓ OK","")))</f>
        <v/>
      </c>
      <c r="T149" s="67">
        <f>IF(AND(C149="",D149="",E149="",L149="",K149=""),1,0)</f>
        <v/>
      </c>
      <c r="U149" s="67">
        <f>IFERROR(INDEX(tt_Dir,MATCH(D149,tt_Type,0)),"")</f>
        <v/>
      </c>
      <c r="V149" s="67">
        <f>IF(D149="","",IFERROR(IF(INDEX(tt_Other,MATCH(D149,tt_Type,0))="",E149&amp;"",INDEX(tt_Other,MATCH(D149,tt_Type,0))),""))</f>
        <v/>
      </c>
      <c r="W149" s="68">
        <f>IF(OR(TaxOn&lt;&gt;"Yes",NOT(ISNUMBER(M149))),0,IF(IFERROR(INDEX(tt_Tax,MATCH(D149,tt_Type,0)),"No")="Yes",M149,0))</f>
        <v/>
      </c>
      <c r="X149" s="67">
        <f>IF(T149=1,"",IF(C149="","Missing transaction date",IF(NOT(ISNUMBER(C149)),"Invalid date",IF(OR(C149&lt;DATE(2000,1,1),C149&gt;DATE(2099,12,31)),"Invalid date",IF(D149="","Select a type",IF(U149="","Unknown type: "&amp;D149,IF(V149="","Select an account (Category)",IF(ISNA(MATCH(V149,coa_Name,0)),"Unknown account: "&amp;V149,IF(K149="","Select Paid From / Deposited To",IF(ISNA(MATCH(K149,coa_Name,0)),"Unknown account: "&amp;K149,IF(NOT(ISNUMBER(L149)),"Enter an amount",IF(L149=0,"Enter an amount",IF(ABS(W149)&gt;ABS(L149),"Tax is larger than the amount","")))))))))))))</f>
        <v/>
      </c>
      <c r="Y149" s="67">
        <f>IF(OR(T149=1,X149&lt;&gt;""),"",IF(AND(B149&lt;&gt;"",COUNTIF(tx_ID,B149)&gt;1),"Duplicate transaction ID",IF(AND(L149&lt;0,D149&lt;&gt;"Adjustment"),"Negative amount — check this entry",IF(AND(D149="Customer Payment",G149=""),"Add the customer",IF(AND(D149="Customer Payment",OR(J149="",COUNTIF(ar_No,J149&amp;"")=0)),"Invoice # in Reference not found on AR sheet",IF(AND(D149="Bill Payment",H149=""),"Add the vendor",IF(AND(D149="Bill Payment",OR(J149="",COUNTIFS(ap_No,J149&amp;"",ap_Party,H149&amp;"")=0)),"Bill # + vendor not found on AP sheet",IF(AND(ISNUMBER(M149),N(M149)&lt;&gt;0,W149=0),"Tax ignored (tax tracking off, or not allowed for this type)",IF(V149=K149&amp;"","Same account on both sides",IF(AND(ISNUMBER(StartDate),C149&lt;StartDate),"Date is before the accounting start date",IF(AND(D149&lt;&gt;"Adjustment",IFERROR(INDEX(coa_Pay,MATCH(K149&amp;"",coa_Name,0)),"")&lt;&gt;"Yes"),"Paid From / Deposited To is not a payment account","")))))))))))</f>
        <v/>
      </c>
      <c r="Z149" s="67">
        <f>IF(AND(T149=0,X149=""),1,0)</f>
        <v/>
      </c>
      <c r="AA149" s="68">
        <f>IF(Z149=1,IF(U149="In",L149,L149-W149),0)</f>
        <v/>
      </c>
      <c r="AB149" s="68">
        <f>IF(Z149=1,IF(U149="In",L149-W149,L149),0)</f>
        <v/>
      </c>
      <c r="AC149" s="68">
        <f>IF(AND(Z149=1,U149="Out"),W149,0)</f>
        <v/>
      </c>
      <c r="AD149" s="68">
        <f>IF(AND(Z149=1,U149="In"),W149,0)</f>
        <v/>
      </c>
    </row>
    <row r="150">
      <c r="B150" s="62" t="inlineStr">
        <is>
          <t>TX-0144</t>
        </is>
      </c>
      <c r="C150" s="63" t="n">
        <v>46140</v>
      </c>
      <c r="D150" s="62" t="inlineStr">
        <is>
          <t>Transfer</t>
        </is>
      </c>
      <c r="E150" s="62" t="inlineStr">
        <is>
          <t>Bank Account</t>
        </is>
      </c>
      <c r="F150" s="62" t="inlineStr">
        <is>
          <t>E-wallet cash-out to bank</t>
        </is>
      </c>
      <c r="G150" s="62" t="n"/>
      <c r="H150" s="62" t="n"/>
      <c r="I150" s="62" t="inlineStr">
        <is>
          <t>Online Payment</t>
        </is>
      </c>
      <c r="J150" s="62" t="n"/>
      <c r="K150" s="62" t="inlineStr">
        <is>
          <t>E-Wallet / Online Payments</t>
        </is>
      </c>
      <c r="L150" s="64" t="n">
        <v>54400</v>
      </c>
      <c r="M150" s="64" t="n"/>
      <c r="N150" s="62" t="n"/>
      <c r="O150" s="65">
        <f>IF(Z150=1,L150-W150,"")</f>
        <v/>
      </c>
      <c r="P150" s="66">
        <f>IF(V150="","",IFERROR(INDEX(coa_Type,MATCH(V150,coa_Name,0)),""))</f>
        <v/>
      </c>
      <c r="Q150" s="66">
        <f>IF(Z150=1,IF(U150="In",K150&amp;"",V150),"")</f>
        <v/>
      </c>
      <c r="R150" s="66">
        <f>IF(Z150=1,IF(U150="In",V150,K150&amp;""),"")</f>
        <v/>
      </c>
      <c r="S150" s="66">
        <f>IF(X150&lt;&gt;"","⛔ "&amp;X150&amp;" — not posted",IF(Y150&lt;&gt;"","⚠ "&amp;Y150,IF(Z150=1,"✓ OK","")))</f>
        <v/>
      </c>
      <c r="T150" s="67">
        <f>IF(AND(C150="",D150="",E150="",L150="",K150=""),1,0)</f>
        <v/>
      </c>
      <c r="U150" s="67">
        <f>IFERROR(INDEX(tt_Dir,MATCH(D150,tt_Type,0)),"")</f>
        <v/>
      </c>
      <c r="V150" s="67">
        <f>IF(D150="","",IFERROR(IF(INDEX(tt_Other,MATCH(D150,tt_Type,0))="",E150&amp;"",INDEX(tt_Other,MATCH(D150,tt_Type,0))),""))</f>
        <v/>
      </c>
      <c r="W150" s="68">
        <f>IF(OR(TaxOn&lt;&gt;"Yes",NOT(ISNUMBER(M150))),0,IF(IFERROR(INDEX(tt_Tax,MATCH(D150,tt_Type,0)),"No")="Yes",M150,0))</f>
        <v/>
      </c>
      <c r="X150" s="67">
        <f>IF(T150=1,"",IF(C150="","Missing transaction date",IF(NOT(ISNUMBER(C150)),"Invalid date",IF(OR(C150&lt;DATE(2000,1,1),C150&gt;DATE(2099,12,31)),"Invalid date",IF(D150="","Select a type",IF(U150="","Unknown type: "&amp;D150,IF(V150="","Select an account (Category)",IF(ISNA(MATCH(V150,coa_Name,0)),"Unknown account: "&amp;V150,IF(K150="","Select Paid From / Deposited To",IF(ISNA(MATCH(K150,coa_Name,0)),"Unknown account: "&amp;K150,IF(NOT(ISNUMBER(L150)),"Enter an amount",IF(L150=0,"Enter an amount",IF(ABS(W150)&gt;ABS(L150),"Tax is larger than the amount","")))))))))))))</f>
        <v/>
      </c>
      <c r="Y150" s="67">
        <f>IF(OR(T150=1,X150&lt;&gt;""),"",IF(AND(B150&lt;&gt;"",COUNTIF(tx_ID,B150)&gt;1),"Duplicate transaction ID",IF(AND(L150&lt;0,D150&lt;&gt;"Adjustment"),"Negative amount — check this entry",IF(AND(D150="Customer Payment",G150=""),"Add the customer",IF(AND(D150="Customer Payment",OR(J150="",COUNTIF(ar_No,J150&amp;"")=0)),"Invoice # in Reference not found on AR sheet",IF(AND(D150="Bill Payment",H150=""),"Add the vendor",IF(AND(D150="Bill Payment",OR(J150="",COUNTIFS(ap_No,J150&amp;"",ap_Party,H150&amp;"")=0)),"Bill # + vendor not found on AP sheet",IF(AND(ISNUMBER(M150),N(M150)&lt;&gt;0,W150=0),"Tax ignored (tax tracking off, or not allowed for this type)",IF(V150=K150&amp;"","Same account on both sides",IF(AND(ISNUMBER(StartDate),C150&lt;StartDate),"Date is before the accounting start date",IF(AND(D150&lt;&gt;"Adjustment",IFERROR(INDEX(coa_Pay,MATCH(K150&amp;"",coa_Name,0)),"")&lt;&gt;"Yes"),"Paid From / Deposited To is not a payment account","")))))))))))</f>
        <v/>
      </c>
      <c r="Z150" s="67">
        <f>IF(AND(T150=0,X150=""),1,0)</f>
        <v/>
      </c>
      <c r="AA150" s="68">
        <f>IF(Z150=1,IF(U150="In",L150,L150-W150),0)</f>
        <v/>
      </c>
      <c r="AB150" s="68">
        <f>IF(Z150=1,IF(U150="In",L150-W150,L150),0)</f>
        <v/>
      </c>
      <c r="AC150" s="68">
        <f>IF(AND(Z150=1,U150="Out"),W150,0)</f>
        <v/>
      </c>
      <c r="AD150" s="68">
        <f>IF(AND(Z150=1,U150="In"),W150,0)</f>
        <v/>
      </c>
    </row>
    <row r="151">
      <c r="B151" s="62" t="inlineStr">
        <is>
          <t>TX-0145</t>
        </is>
      </c>
      <c r="C151" s="63" t="n">
        <v>46140</v>
      </c>
      <c r="D151" s="62" t="inlineStr">
        <is>
          <t>Money Out</t>
        </is>
      </c>
      <c r="E151" s="62" t="inlineStr">
        <is>
          <t>Direct Labor</t>
        </is>
      </c>
      <c r="F151" s="62" t="inlineStr">
        <is>
          <t>Bakers' salaries (16th-end)</t>
        </is>
      </c>
      <c r="G151" s="62" t="n"/>
      <c r="H151" s="62" t="n"/>
      <c r="I151" s="62" t="inlineStr">
        <is>
          <t>Bank Transfer</t>
        </is>
      </c>
      <c r="J151" s="62" t="n"/>
      <c r="K151" s="62" t="inlineStr">
        <is>
          <t>Bank Account</t>
        </is>
      </c>
      <c r="L151" s="64" t="n">
        <v>38000</v>
      </c>
      <c r="M151" s="64" t="n"/>
      <c r="N151" s="62" t="n"/>
      <c r="O151" s="65">
        <f>IF(Z151=1,L151-W151,"")</f>
        <v/>
      </c>
      <c r="P151" s="66">
        <f>IF(V151="","",IFERROR(INDEX(coa_Type,MATCH(V151,coa_Name,0)),""))</f>
        <v/>
      </c>
      <c r="Q151" s="66">
        <f>IF(Z151=1,IF(U151="In",K151&amp;"",V151),"")</f>
        <v/>
      </c>
      <c r="R151" s="66">
        <f>IF(Z151=1,IF(U151="In",V151,K151&amp;""),"")</f>
        <v/>
      </c>
      <c r="S151" s="66">
        <f>IF(X151&lt;&gt;"","⛔ "&amp;X151&amp;" — not posted",IF(Y151&lt;&gt;"","⚠ "&amp;Y151,IF(Z151=1,"✓ OK","")))</f>
        <v/>
      </c>
      <c r="T151" s="67">
        <f>IF(AND(C151="",D151="",E151="",L151="",K151=""),1,0)</f>
        <v/>
      </c>
      <c r="U151" s="67">
        <f>IFERROR(INDEX(tt_Dir,MATCH(D151,tt_Type,0)),"")</f>
        <v/>
      </c>
      <c r="V151" s="67">
        <f>IF(D151="","",IFERROR(IF(INDEX(tt_Other,MATCH(D151,tt_Type,0))="",E151&amp;"",INDEX(tt_Other,MATCH(D151,tt_Type,0))),""))</f>
        <v/>
      </c>
      <c r="W151" s="68">
        <f>IF(OR(TaxOn&lt;&gt;"Yes",NOT(ISNUMBER(M151))),0,IF(IFERROR(INDEX(tt_Tax,MATCH(D151,tt_Type,0)),"No")="Yes",M151,0))</f>
        <v/>
      </c>
      <c r="X151" s="67">
        <f>IF(T151=1,"",IF(C151="","Missing transaction date",IF(NOT(ISNUMBER(C151)),"Invalid date",IF(OR(C151&lt;DATE(2000,1,1),C151&gt;DATE(2099,12,31)),"Invalid date",IF(D151="","Select a type",IF(U151="","Unknown type: "&amp;D151,IF(V151="","Select an account (Category)",IF(ISNA(MATCH(V151,coa_Name,0)),"Unknown account: "&amp;V151,IF(K151="","Select Paid From / Deposited To",IF(ISNA(MATCH(K151,coa_Name,0)),"Unknown account: "&amp;K151,IF(NOT(ISNUMBER(L151)),"Enter an amount",IF(L151=0,"Enter an amount",IF(ABS(W151)&gt;ABS(L151),"Tax is larger than the amount","")))))))))))))</f>
        <v/>
      </c>
      <c r="Y151" s="67">
        <f>IF(OR(T151=1,X151&lt;&gt;""),"",IF(AND(B151&lt;&gt;"",COUNTIF(tx_ID,B151)&gt;1),"Duplicate transaction ID",IF(AND(L151&lt;0,D151&lt;&gt;"Adjustment"),"Negative amount — check this entry",IF(AND(D151="Customer Payment",G151=""),"Add the customer",IF(AND(D151="Customer Payment",OR(J151="",COUNTIF(ar_No,J151&amp;"")=0)),"Invoice # in Reference not found on AR sheet",IF(AND(D151="Bill Payment",H151=""),"Add the vendor",IF(AND(D151="Bill Payment",OR(J151="",COUNTIFS(ap_No,J151&amp;"",ap_Party,H151&amp;"")=0)),"Bill # + vendor not found on AP sheet",IF(AND(ISNUMBER(M151),N(M151)&lt;&gt;0,W151=0),"Tax ignored (tax tracking off, or not allowed for this type)",IF(V151=K151&amp;"","Same account on both sides",IF(AND(ISNUMBER(StartDate),C151&lt;StartDate),"Date is before the accounting start date",IF(AND(D151&lt;&gt;"Adjustment",IFERROR(INDEX(coa_Pay,MATCH(K151&amp;"",coa_Name,0)),"")&lt;&gt;"Yes"),"Paid From / Deposited To is not a payment account","")))))))))))</f>
        <v/>
      </c>
      <c r="Z151" s="67">
        <f>IF(AND(T151=0,X151=""),1,0)</f>
        <v/>
      </c>
      <c r="AA151" s="68">
        <f>IF(Z151=1,IF(U151="In",L151,L151-W151),0)</f>
        <v/>
      </c>
      <c r="AB151" s="68">
        <f>IF(Z151=1,IF(U151="In",L151-W151,L151),0)</f>
        <v/>
      </c>
      <c r="AC151" s="68">
        <f>IF(AND(Z151=1,U151="Out"),W151,0)</f>
        <v/>
      </c>
      <c r="AD151" s="68">
        <f>IF(AND(Z151=1,U151="In"),W151,0)</f>
        <v/>
      </c>
    </row>
    <row r="152">
      <c r="B152" s="62" t="inlineStr">
        <is>
          <t>TX-0146</t>
        </is>
      </c>
      <c r="C152" s="63" t="n">
        <v>46140</v>
      </c>
      <c r="D152" s="62" t="inlineStr">
        <is>
          <t>Money Out</t>
        </is>
      </c>
      <c r="E152" s="62" t="inlineStr">
        <is>
          <t>Salaries &amp; Wages</t>
        </is>
      </c>
      <c r="F152" s="62" t="inlineStr">
        <is>
          <t>Cashier salary (16th-end)</t>
        </is>
      </c>
      <c r="G152" s="62" t="n"/>
      <c r="H152" s="62" t="n"/>
      <c r="I152" s="62" t="inlineStr">
        <is>
          <t>Bank Transfer</t>
        </is>
      </c>
      <c r="J152" s="62" t="n"/>
      <c r="K152" s="62" t="inlineStr">
        <is>
          <t>Bank Account</t>
        </is>
      </c>
      <c r="L152" s="64" t="n">
        <v>9000</v>
      </c>
      <c r="M152" s="64" t="n"/>
      <c r="N152" s="62" t="n"/>
      <c r="O152" s="65">
        <f>IF(Z152=1,L152-W152,"")</f>
        <v/>
      </c>
      <c r="P152" s="66">
        <f>IF(V152="","",IFERROR(INDEX(coa_Type,MATCH(V152,coa_Name,0)),""))</f>
        <v/>
      </c>
      <c r="Q152" s="66">
        <f>IF(Z152=1,IF(U152="In",K152&amp;"",V152),"")</f>
        <v/>
      </c>
      <c r="R152" s="66">
        <f>IF(Z152=1,IF(U152="In",V152,K152&amp;""),"")</f>
        <v/>
      </c>
      <c r="S152" s="66">
        <f>IF(X152&lt;&gt;"","⛔ "&amp;X152&amp;" — not posted",IF(Y152&lt;&gt;"","⚠ "&amp;Y152,IF(Z152=1,"✓ OK","")))</f>
        <v/>
      </c>
      <c r="T152" s="67">
        <f>IF(AND(C152="",D152="",E152="",L152="",K152=""),1,0)</f>
        <v/>
      </c>
      <c r="U152" s="67">
        <f>IFERROR(INDEX(tt_Dir,MATCH(D152,tt_Type,0)),"")</f>
        <v/>
      </c>
      <c r="V152" s="67">
        <f>IF(D152="","",IFERROR(IF(INDEX(tt_Other,MATCH(D152,tt_Type,0))="",E152&amp;"",INDEX(tt_Other,MATCH(D152,tt_Type,0))),""))</f>
        <v/>
      </c>
      <c r="W152" s="68">
        <f>IF(OR(TaxOn&lt;&gt;"Yes",NOT(ISNUMBER(M152))),0,IF(IFERROR(INDEX(tt_Tax,MATCH(D152,tt_Type,0)),"No")="Yes",M152,0))</f>
        <v/>
      </c>
      <c r="X152" s="67">
        <f>IF(T152=1,"",IF(C152="","Missing transaction date",IF(NOT(ISNUMBER(C152)),"Invalid date",IF(OR(C152&lt;DATE(2000,1,1),C152&gt;DATE(2099,12,31)),"Invalid date",IF(D152="","Select a type",IF(U152="","Unknown type: "&amp;D152,IF(V152="","Select an account (Category)",IF(ISNA(MATCH(V152,coa_Name,0)),"Unknown account: "&amp;V152,IF(K152="","Select Paid From / Deposited To",IF(ISNA(MATCH(K152,coa_Name,0)),"Unknown account: "&amp;K152,IF(NOT(ISNUMBER(L152)),"Enter an amount",IF(L152=0,"Enter an amount",IF(ABS(W152)&gt;ABS(L152),"Tax is larger than the amount","")))))))))))))</f>
        <v/>
      </c>
      <c r="Y152" s="67">
        <f>IF(OR(T152=1,X152&lt;&gt;""),"",IF(AND(B152&lt;&gt;"",COUNTIF(tx_ID,B152)&gt;1),"Duplicate transaction ID",IF(AND(L152&lt;0,D152&lt;&gt;"Adjustment"),"Negative amount — check this entry",IF(AND(D152="Customer Payment",G152=""),"Add the customer",IF(AND(D152="Customer Payment",OR(J152="",COUNTIF(ar_No,J152&amp;"")=0)),"Invoice # in Reference not found on AR sheet",IF(AND(D152="Bill Payment",H152=""),"Add the vendor",IF(AND(D152="Bill Payment",OR(J152="",COUNTIFS(ap_No,J152&amp;"",ap_Party,H152&amp;"")=0)),"Bill # + vendor not found on AP sheet",IF(AND(ISNUMBER(M152),N(M152)&lt;&gt;0,W152=0),"Tax ignored (tax tracking off, or not allowed for this type)",IF(V152=K152&amp;"","Same account on both sides",IF(AND(ISNUMBER(StartDate),C152&lt;StartDate),"Date is before the accounting start date",IF(AND(D152&lt;&gt;"Adjustment",IFERROR(INDEX(coa_Pay,MATCH(K152&amp;"",coa_Name,0)),"")&lt;&gt;"Yes"),"Paid From / Deposited To is not a payment account","")))))))))))</f>
        <v/>
      </c>
      <c r="Z152" s="67">
        <f>IF(AND(T152=0,X152=""),1,0)</f>
        <v/>
      </c>
      <c r="AA152" s="68">
        <f>IF(Z152=1,IF(U152="In",L152,L152-W152),0)</f>
        <v/>
      </c>
      <c r="AB152" s="68">
        <f>IF(Z152=1,IF(U152="In",L152-W152,L152),0)</f>
        <v/>
      </c>
      <c r="AC152" s="68">
        <f>IF(AND(Z152=1,U152="Out"),W152,0)</f>
        <v/>
      </c>
      <c r="AD152" s="68">
        <f>IF(AND(Z152=1,U152="In"),W152,0)</f>
        <v/>
      </c>
    </row>
    <row r="153">
      <c r="B153" s="62" t="inlineStr">
        <is>
          <t>TX-0147</t>
        </is>
      </c>
      <c r="C153" s="63" t="n">
        <v>46142</v>
      </c>
      <c r="D153" s="62" t="inlineStr">
        <is>
          <t>Adjustment</t>
        </is>
      </c>
      <c r="E153" s="62" t="inlineStr">
        <is>
          <t>Depreciation</t>
        </is>
      </c>
      <c r="F153" s="62" t="inlineStr">
        <is>
          <t>Monthly depreciation of equipment</t>
        </is>
      </c>
      <c r="G153" s="62" t="n"/>
      <c r="H153" s="62" t="n"/>
      <c r="I153" s="62" t="n"/>
      <c r="J153" s="62" t="n"/>
      <c r="K153" s="62" t="inlineStr">
        <is>
          <t>Accumulated Depreciation</t>
        </is>
      </c>
      <c r="L153" s="64" t="n">
        <v>3000</v>
      </c>
      <c r="M153" s="64" t="n"/>
      <c r="N153" s="62" t="n"/>
      <c r="O153" s="65">
        <f>IF(Z153=1,L153-W153,"")</f>
        <v/>
      </c>
      <c r="P153" s="66">
        <f>IF(V153="","",IFERROR(INDEX(coa_Type,MATCH(V153,coa_Name,0)),""))</f>
        <v/>
      </c>
      <c r="Q153" s="66">
        <f>IF(Z153=1,IF(U153="In",K153&amp;"",V153),"")</f>
        <v/>
      </c>
      <c r="R153" s="66">
        <f>IF(Z153=1,IF(U153="In",V153,K153&amp;""),"")</f>
        <v/>
      </c>
      <c r="S153" s="66">
        <f>IF(X153&lt;&gt;"","⛔ "&amp;X153&amp;" — not posted",IF(Y153&lt;&gt;"","⚠ "&amp;Y153,IF(Z153=1,"✓ OK","")))</f>
        <v/>
      </c>
      <c r="T153" s="67">
        <f>IF(AND(C153="",D153="",E153="",L153="",K153=""),1,0)</f>
        <v/>
      </c>
      <c r="U153" s="67">
        <f>IFERROR(INDEX(tt_Dir,MATCH(D153,tt_Type,0)),"")</f>
        <v/>
      </c>
      <c r="V153" s="67">
        <f>IF(D153="","",IFERROR(IF(INDEX(tt_Other,MATCH(D153,tt_Type,0))="",E153&amp;"",INDEX(tt_Other,MATCH(D153,tt_Type,0))),""))</f>
        <v/>
      </c>
      <c r="W153" s="68">
        <f>IF(OR(TaxOn&lt;&gt;"Yes",NOT(ISNUMBER(M153))),0,IF(IFERROR(INDEX(tt_Tax,MATCH(D153,tt_Type,0)),"No")="Yes",M153,0))</f>
        <v/>
      </c>
      <c r="X153" s="67">
        <f>IF(T153=1,"",IF(C153="","Missing transaction date",IF(NOT(ISNUMBER(C153)),"Invalid date",IF(OR(C153&lt;DATE(2000,1,1),C153&gt;DATE(2099,12,31)),"Invalid date",IF(D153="","Select a type",IF(U153="","Unknown type: "&amp;D153,IF(V153="","Select an account (Category)",IF(ISNA(MATCH(V153,coa_Name,0)),"Unknown account: "&amp;V153,IF(K153="","Select Paid From / Deposited To",IF(ISNA(MATCH(K153,coa_Name,0)),"Unknown account: "&amp;K153,IF(NOT(ISNUMBER(L153)),"Enter an amount",IF(L153=0,"Enter an amount",IF(ABS(W153)&gt;ABS(L153),"Tax is larger than the amount","")))))))))))))</f>
        <v/>
      </c>
      <c r="Y153" s="67">
        <f>IF(OR(T153=1,X153&lt;&gt;""),"",IF(AND(B153&lt;&gt;"",COUNTIF(tx_ID,B153)&gt;1),"Duplicate transaction ID",IF(AND(L153&lt;0,D153&lt;&gt;"Adjustment"),"Negative amount — check this entry",IF(AND(D153="Customer Payment",G153=""),"Add the customer",IF(AND(D153="Customer Payment",OR(J153="",COUNTIF(ar_No,J153&amp;"")=0)),"Invoice # in Reference not found on AR sheet",IF(AND(D153="Bill Payment",H153=""),"Add the vendor",IF(AND(D153="Bill Payment",OR(J153="",COUNTIFS(ap_No,J153&amp;"",ap_Party,H153&amp;"")=0)),"Bill # + vendor not found on AP sheet",IF(AND(ISNUMBER(M153),N(M153)&lt;&gt;0,W153=0),"Tax ignored (tax tracking off, or not allowed for this type)",IF(V153=K153&amp;"","Same account on both sides",IF(AND(ISNUMBER(StartDate),C153&lt;StartDate),"Date is before the accounting start date",IF(AND(D153&lt;&gt;"Adjustment",IFERROR(INDEX(coa_Pay,MATCH(K153&amp;"",coa_Name,0)),"")&lt;&gt;"Yes"),"Paid From / Deposited To is not a payment account","")))))))))))</f>
        <v/>
      </c>
      <c r="Z153" s="67">
        <f>IF(AND(T153=0,X153=""),1,0)</f>
        <v/>
      </c>
      <c r="AA153" s="68">
        <f>IF(Z153=1,IF(U153="In",L153,L153-W153),0)</f>
        <v/>
      </c>
      <c r="AB153" s="68">
        <f>IF(Z153=1,IF(U153="In",L153-W153,L153),0)</f>
        <v/>
      </c>
      <c r="AC153" s="68">
        <f>IF(AND(Z153=1,U153="Out"),W153,0)</f>
        <v/>
      </c>
      <c r="AD153" s="68">
        <f>IF(AND(Z153=1,U153="In"),W153,0)</f>
        <v/>
      </c>
    </row>
    <row r="154">
      <c r="B154" s="62" t="inlineStr">
        <is>
          <t>TX-0148</t>
        </is>
      </c>
      <c r="C154" s="63" t="n">
        <v>46143</v>
      </c>
      <c r="D154" s="62" t="inlineStr">
        <is>
          <t>Bill Payment</t>
        </is>
      </c>
      <c r="E154" s="62" t="n"/>
      <c r="F154" s="62" t="inlineStr">
        <is>
          <t>Supplier payment</t>
        </is>
      </c>
      <c r="G154" s="62" t="n"/>
      <c r="H154" s="62" t="inlineStr">
        <is>
          <t>Fresh Dairy Co.</t>
        </is>
      </c>
      <c r="I154" s="62" t="inlineStr">
        <is>
          <t>Bank Transfer</t>
        </is>
      </c>
      <c r="J154" s="62" t="inlineStr">
        <is>
          <t>FR-041</t>
        </is>
      </c>
      <c r="K154" s="62" t="inlineStr">
        <is>
          <t>Bank Account</t>
        </is>
      </c>
      <c r="L154" s="64" t="n">
        <v>16450.6</v>
      </c>
      <c r="M154" s="64" t="n"/>
      <c r="N154" s="62" t="n"/>
      <c r="O154" s="65">
        <f>IF(Z154=1,L154-W154,"")</f>
        <v/>
      </c>
      <c r="P154" s="66">
        <f>IF(V154="","",IFERROR(INDEX(coa_Type,MATCH(V154,coa_Name,0)),""))</f>
        <v/>
      </c>
      <c r="Q154" s="66">
        <f>IF(Z154=1,IF(U154="In",K154&amp;"",V154),"")</f>
        <v/>
      </c>
      <c r="R154" s="66">
        <f>IF(Z154=1,IF(U154="In",V154,K154&amp;""),"")</f>
        <v/>
      </c>
      <c r="S154" s="66">
        <f>IF(X154&lt;&gt;"","⛔ "&amp;X154&amp;" — not posted",IF(Y154&lt;&gt;"","⚠ "&amp;Y154,IF(Z154=1,"✓ OK","")))</f>
        <v/>
      </c>
      <c r="T154" s="67">
        <f>IF(AND(C154="",D154="",E154="",L154="",K154=""),1,0)</f>
        <v/>
      </c>
      <c r="U154" s="67">
        <f>IFERROR(INDEX(tt_Dir,MATCH(D154,tt_Type,0)),"")</f>
        <v/>
      </c>
      <c r="V154" s="67">
        <f>IF(D154="","",IFERROR(IF(INDEX(tt_Other,MATCH(D154,tt_Type,0))="",E154&amp;"",INDEX(tt_Other,MATCH(D154,tt_Type,0))),""))</f>
        <v/>
      </c>
      <c r="W154" s="68">
        <f>IF(OR(TaxOn&lt;&gt;"Yes",NOT(ISNUMBER(M154))),0,IF(IFERROR(INDEX(tt_Tax,MATCH(D154,tt_Type,0)),"No")="Yes",M154,0))</f>
        <v/>
      </c>
      <c r="X154" s="67">
        <f>IF(T154=1,"",IF(C154="","Missing transaction date",IF(NOT(ISNUMBER(C154)),"Invalid date",IF(OR(C154&lt;DATE(2000,1,1),C154&gt;DATE(2099,12,31)),"Invalid date",IF(D154="","Select a type",IF(U154="","Unknown type: "&amp;D154,IF(V154="","Select an account (Category)",IF(ISNA(MATCH(V154,coa_Name,0)),"Unknown account: "&amp;V154,IF(K154="","Select Paid From / Deposited To",IF(ISNA(MATCH(K154,coa_Name,0)),"Unknown account: "&amp;K154,IF(NOT(ISNUMBER(L154)),"Enter an amount",IF(L154=0,"Enter an amount",IF(ABS(W154)&gt;ABS(L154),"Tax is larger than the amount","")))))))))))))</f>
        <v/>
      </c>
      <c r="Y154" s="67">
        <f>IF(OR(T154=1,X154&lt;&gt;""),"",IF(AND(B154&lt;&gt;"",COUNTIF(tx_ID,B154)&gt;1),"Duplicate transaction ID",IF(AND(L154&lt;0,D154&lt;&gt;"Adjustment"),"Negative amount — check this entry",IF(AND(D154="Customer Payment",G154=""),"Add the customer",IF(AND(D154="Customer Payment",OR(J154="",COUNTIF(ar_No,J154&amp;"")=0)),"Invoice # in Reference not found on AR sheet",IF(AND(D154="Bill Payment",H154=""),"Add the vendor",IF(AND(D154="Bill Payment",OR(J154="",COUNTIFS(ap_No,J154&amp;"",ap_Party,H154&amp;"")=0)),"Bill # + vendor not found on AP sheet",IF(AND(ISNUMBER(M154),N(M154)&lt;&gt;0,W154=0),"Tax ignored (tax tracking off, or not allowed for this type)",IF(V154=K154&amp;"","Same account on both sides",IF(AND(ISNUMBER(StartDate),C154&lt;StartDate),"Date is before the accounting start date",IF(AND(D154&lt;&gt;"Adjustment",IFERROR(INDEX(coa_Pay,MATCH(K154&amp;"",coa_Name,0)),"")&lt;&gt;"Yes"),"Paid From / Deposited To is not a payment account","")))))))))))</f>
        <v/>
      </c>
      <c r="Z154" s="67">
        <f>IF(AND(T154=0,X154=""),1,0)</f>
        <v/>
      </c>
      <c r="AA154" s="68">
        <f>IF(Z154=1,IF(U154="In",L154,L154-W154),0)</f>
        <v/>
      </c>
      <c r="AB154" s="68">
        <f>IF(Z154=1,IF(U154="In",L154-W154,L154),0)</f>
        <v/>
      </c>
      <c r="AC154" s="68">
        <f>IF(AND(Z154=1,U154="Out"),W154,0)</f>
        <v/>
      </c>
      <c r="AD154" s="68">
        <f>IF(AND(Z154=1,U154="In"),W154,0)</f>
        <v/>
      </c>
    </row>
    <row r="155">
      <c r="B155" s="62" t="inlineStr">
        <is>
          <t>TX-0149</t>
        </is>
      </c>
      <c r="C155" s="63" t="n">
        <v>46143</v>
      </c>
      <c r="D155" s="62" t="inlineStr">
        <is>
          <t>Money Out</t>
        </is>
      </c>
      <c r="E155" s="62" t="inlineStr">
        <is>
          <t>Rent</t>
        </is>
      </c>
      <c r="F155" s="62" t="inlineStr">
        <is>
          <t>Shop rent</t>
        </is>
      </c>
      <c r="G155" s="62" t="n"/>
      <c r="H155" s="62" t="n"/>
      <c r="I155" s="62" t="inlineStr">
        <is>
          <t>Bank Transfer</t>
        </is>
      </c>
      <c r="J155" s="62" t="inlineStr">
        <is>
          <t>RENT-05</t>
        </is>
      </c>
      <c r="K155" s="62" t="inlineStr">
        <is>
          <t>Bank Account</t>
        </is>
      </c>
      <c r="L155" s="64" t="n">
        <v>28000</v>
      </c>
      <c r="M155" s="64" t="n">
        <v>3000</v>
      </c>
      <c r="N155" s="62" t="n"/>
      <c r="O155" s="65">
        <f>IF(Z155=1,L155-W155,"")</f>
        <v/>
      </c>
      <c r="P155" s="66">
        <f>IF(V155="","",IFERROR(INDEX(coa_Type,MATCH(V155,coa_Name,0)),""))</f>
        <v/>
      </c>
      <c r="Q155" s="66">
        <f>IF(Z155=1,IF(U155="In",K155&amp;"",V155),"")</f>
        <v/>
      </c>
      <c r="R155" s="66">
        <f>IF(Z155=1,IF(U155="In",V155,K155&amp;""),"")</f>
        <v/>
      </c>
      <c r="S155" s="66">
        <f>IF(X155&lt;&gt;"","⛔ "&amp;X155&amp;" — not posted",IF(Y155&lt;&gt;"","⚠ "&amp;Y155,IF(Z155=1,"✓ OK","")))</f>
        <v/>
      </c>
      <c r="T155" s="67">
        <f>IF(AND(C155="",D155="",E155="",L155="",K155=""),1,0)</f>
        <v/>
      </c>
      <c r="U155" s="67">
        <f>IFERROR(INDEX(tt_Dir,MATCH(D155,tt_Type,0)),"")</f>
        <v/>
      </c>
      <c r="V155" s="67">
        <f>IF(D155="","",IFERROR(IF(INDEX(tt_Other,MATCH(D155,tt_Type,0))="",E155&amp;"",INDEX(tt_Other,MATCH(D155,tt_Type,0))),""))</f>
        <v/>
      </c>
      <c r="W155" s="68">
        <f>IF(OR(TaxOn&lt;&gt;"Yes",NOT(ISNUMBER(M155))),0,IF(IFERROR(INDEX(tt_Tax,MATCH(D155,tt_Type,0)),"No")="Yes",M155,0))</f>
        <v/>
      </c>
      <c r="X155" s="67">
        <f>IF(T155=1,"",IF(C155="","Missing transaction date",IF(NOT(ISNUMBER(C155)),"Invalid date",IF(OR(C155&lt;DATE(2000,1,1),C155&gt;DATE(2099,12,31)),"Invalid date",IF(D155="","Select a type",IF(U155="","Unknown type: "&amp;D155,IF(V155="","Select an account (Category)",IF(ISNA(MATCH(V155,coa_Name,0)),"Unknown account: "&amp;V155,IF(K155="","Select Paid From / Deposited To",IF(ISNA(MATCH(K155,coa_Name,0)),"Unknown account: "&amp;K155,IF(NOT(ISNUMBER(L155)),"Enter an amount",IF(L155=0,"Enter an amount",IF(ABS(W155)&gt;ABS(L155),"Tax is larger than the amount","")))))))))))))</f>
        <v/>
      </c>
      <c r="Y155" s="67">
        <f>IF(OR(T155=1,X155&lt;&gt;""),"",IF(AND(B155&lt;&gt;"",COUNTIF(tx_ID,B155)&gt;1),"Duplicate transaction ID",IF(AND(L155&lt;0,D155&lt;&gt;"Adjustment"),"Negative amount — check this entry",IF(AND(D155="Customer Payment",G155=""),"Add the customer",IF(AND(D155="Customer Payment",OR(J155="",COUNTIF(ar_No,J155&amp;"")=0)),"Invoice # in Reference not found on AR sheet",IF(AND(D155="Bill Payment",H155=""),"Add the vendor",IF(AND(D155="Bill Payment",OR(J155="",COUNTIFS(ap_No,J155&amp;"",ap_Party,H155&amp;"")=0)),"Bill # + vendor not found on AP sheet",IF(AND(ISNUMBER(M155),N(M155)&lt;&gt;0,W155=0),"Tax ignored (tax tracking off, or not allowed for this type)",IF(V155=K155&amp;"","Same account on both sides",IF(AND(ISNUMBER(StartDate),C155&lt;StartDate),"Date is before the accounting start date",IF(AND(D155&lt;&gt;"Adjustment",IFERROR(INDEX(coa_Pay,MATCH(K155&amp;"",coa_Name,0)),"")&lt;&gt;"Yes"),"Paid From / Deposited To is not a payment account","")))))))))))</f>
        <v/>
      </c>
      <c r="Z155" s="67">
        <f>IF(AND(T155=0,X155=""),1,0)</f>
        <v/>
      </c>
      <c r="AA155" s="68">
        <f>IF(Z155=1,IF(U155="In",L155,L155-W155),0)</f>
        <v/>
      </c>
      <c r="AB155" s="68">
        <f>IF(Z155=1,IF(U155="In",L155-W155,L155),0)</f>
        <v/>
      </c>
      <c r="AC155" s="68">
        <f>IF(AND(Z155=1,U155="Out"),W155,0)</f>
        <v/>
      </c>
      <c r="AD155" s="68">
        <f>IF(AND(Z155=1,U155="In"),W155,0)</f>
        <v/>
      </c>
    </row>
    <row r="156">
      <c r="B156" s="62" t="inlineStr">
        <is>
          <t>TX-0150</t>
        </is>
      </c>
      <c r="C156" s="63" t="n">
        <v>46145</v>
      </c>
      <c r="D156" s="62" t="inlineStr">
        <is>
          <t>Customer Payment</t>
        </is>
      </c>
      <c r="E156" s="62" t="n"/>
      <c r="F156" s="62" t="inlineStr">
        <is>
          <t>Partial payment</t>
        </is>
      </c>
      <c r="G156" s="62" t="inlineStr">
        <is>
          <t>Brightpath Academy</t>
        </is>
      </c>
      <c r="H156" s="62" t="n"/>
      <c r="I156" s="62" t="inlineStr">
        <is>
          <t>Bank Transfer</t>
        </is>
      </c>
      <c r="J156" s="62" t="inlineStr">
        <is>
          <t>INV-1008</t>
        </is>
      </c>
      <c r="K156" s="62" t="inlineStr">
        <is>
          <t>Bank Account</t>
        </is>
      </c>
      <c r="L156" s="64" t="n">
        <v>7434.19</v>
      </c>
      <c r="M156" s="64" t="n"/>
      <c r="N156" s="62" t="n"/>
      <c r="O156" s="65">
        <f>IF(Z156=1,L156-W156,"")</f>
        <v/>
      </c>
      <c r="P156" s="66">
        <f>IF(V156="","",IFERROR(INDEX(coa_Type,MATCH(V156,coa_Name,0)),""))</f>
        <v/>
      </c>
      <c r="Q156" s="66">
        <f>IF(Z156=1,IF(U156="In",K156&amp;"",V156),"")</f>
        <v/>
      </c>
      <c r="R156" s="66">
        <f>IF(Z156=1,IF(U156="In",V156,K156&amp;""),"")</f>
        <v/>
      </c>
      <c r="S156" s="66">
        <f>IF(X156&lt;&gt;"","⛔ "&amp;X156&amp;" — not posted",IF(Y156&lt;&gt;"","⚠ "&amp;Y156,IF(Z156=1,"✓ OK","")))</f>
        <v/>
      </c>
      <c r="T156" s="67">
        <f>IF(AND(C156="",D156="",E156="",L156="",K156=""),1,0)</f>
        <v/>
      </c>
      <c r="U156" s="67">
        <f>IFERROR(INDEX(tt_Dir,MATCH(D156,tt_Type,0)),"")</f>
        <v/>
      </c>
      <c r="V156" s="67">
        <f>IF(D156="","",IFERROR(IF(INDEX(tt_Other,MATCH(D156,tt_Type,0))="",E156&amp;"",INDEX(tt_Other,MATCH(D156,tt_Type,0))),""))</f>
        <v/>
      </c>
      <c r="W156" s="68">
        <f>IF(OR(TaxOn&lt;&gt;"Yes",NOT(ISNUMBER(M156))),0,IF(IFERROR(INDEX(tt_Tax,MATCH(D156,tt_Type,0)),"No")="Yes",M156,0))</f>
        <v/>
      </c>
      <c r="X156" s="67">
        <f>IF(T156=1,"",IF(C156="","Missing transaction date",IF(NOT(ISNUMBER(C156)),"Invalid date",IF(OR(C156&lt;DATE(2000,1,1),C156&gt;DATE(2099,12,31)),"Invalid date",IF(D156="","Select a type",IF(U156="","Unknown type: "&amp;D156,IF(V156="","Select an account (Category)",IF(ISNA(MATCH(V156,coa_Name,0)),"Unknown account: "&amp;V156,IF(K156="","Select Paid From / Deposited To",IF(ISNA(MATCH(K156,coa_Name,0)),"Unknown account: "&amp;K156,IF(NOT(ISNUMBER(L156)),"Enter an amount",IF(L156=0,"Enter an amount",IF(ABS(W156)&gt;ABS(L156),"Tax is larger than the amount","")))))))))))))</f>
        <v/>
      </c>
      <c r="Y156" s="67">
        <f>IF(OR(T156=1,X156&lt;&gt;""),"",IF(AND(B156&lt;&gt;"",COUNTIF(tx_ID,B156)&gt;1),"Duplicate transaction ID",IF(AND(L156&lt;0,D156&lt;&gt;"Adjustment"),"Negative amount — check this entry",IF(AND(D156="Customer Payment",G156=""),"Add the customer",IF(AND(D156="Customer Payment",OR(J156="",COUNTIF(ar_No,J156&amp;"")=0)),"Invoice # in Reference not found on AR sheet",IF(AND(D156="Bill Payment",H156=""),"Add the vendor",IF(AND(D156="Bill Payment",OR(J156="",COUNTIFS(ap_No,J156&amp;"",ap_Party,H156&amp;"")=0)),"Bill # + vendor not found on AP sheet",IF(AND(ISNUMBER(M156),N(M156)&lt;&gt;0,W156=0),"Tax ignored (tax tracking off, or not allowed for this type)",IF(V156=K156&amp;"","Same account on both sides",IF(AND(ISNUMBER(StartDate),C156&lt;StartDate),"Date is before the accounting start date",IF(AND(D156&lt;&gt;"Adjustment",IFERROR(INDEX(coa_Pay,MATCH(K156&amp;"",coa_Name,0)),"")&lt;&gt;"Yes"),"Paid From / Deposited To is not a payment account","")))))))))))</f>
        <v/>
      </c>
      <c r="Z156" s="67">
        <f>IF(AND(T156=0,X156=""),1,0)</f>
        <v/>
      </c>
      <c r="AA156" s="68">
        <f>IF(Z156=1,IF(U156="In",L156,L156-W156),0)</f>
        <v/>
      </c>
      <c r="AB156" s="68">
        <f>IF(Z156=1,IF(U156="In",L156-W156,L156),0)</f>
        <v/>
      </c>
      <c r="AC156" s="68">
        <f>IF(AND(Z156=1,U156="Out"),W156,0)</f>
        <v/>
      </c>
      <c r="AD156" s="68">
        <f>IF(AND(Z156=1,U156="In"),W156,0)</f>
        <v/>
      </c>
    </row>
    <row r="157">
      <c r="B157" s="62" t="inlineStr">
        <is>
          <t>TX-0151</t>
        </is>
      </c>
      <c r="C157" s="63" t="n">
        <v>46146</v>
      </c>
      <c r="D157" s="62" t="inlineStr">
        <is>
          <t>Money In</t>
        </is>
      </c>
      <c r="E157" s="62" t="inlineStr">
        <is>
          <t>Product Sales</t>
        </is>
      </c>
      <c r="F157" s="62" t="inlineStr">
        <is>
          <t>Counter sales week 1</t>
        </is>
      </c>
      <c r="G157" s="62" t="n"/>
      <c r="H157" s="62" t="n"/>
      <c r="I157" s="62" t="inlineStr">
        <is>
          <t>Cash</t>
        </is>
      </c>
      <c r="J157" s="62" t="n"/>
      <c r="K157" s="62" t="inlineStr">
        <is>
          <t>Cash on Hand</t>
        </is>
      </c>
      <c r="L157" s="64" t="n">
        <v>61285.13</v>
      </c>
      <c r="M157" s="64" t="n">
        <v>6566.26</v>
      </c>
      <c r="N157" s="62" t="n"/>
      <c r="O157" s="65">
        <f>IF(Z157=1,L157-W157,"")</f>
        <v/>
      </c>
      <c r="P157" s="66">
        <f>IF(V157="","",IFERROR(INDEX(coa_Type,MATCH(V157,coa_Name,0)),""))</f>
        <v/>
      </c>
      <c r="Q157" s="66">
        <f>IF(Z157=1,IF(U157="In",K157&amp;"",V157),"")</f>
        <v/>
      </c>
      <c r="R157" s="66">
        <f>IF(Z157=1,IF(U157="In",V157,K157&amp;""),"")</f>
        <v/>
      </c>
      <c r="S157" s="66">
        <f>IF(X157&lt;&gt;"","⛔ "&amp;X157&amp;" — not posted",IF(Y157&lt;&gt;"","⚠ "&amp;Y157,IF(Z157=1,"✓ OK","")))</f>
        <v/>
      </c>
      <c r="T157" s="67">
        <f>IF(AND(C157="",D157="",E157="",L157="",K157=""),1,0)</f>
        <v/>
      </c>
      <c r="U157" s="67">
        <f>IFERROR(INDEX(tt_Dir,MATCH(D157,tt_Type,0)),"")</f>
        <v/>
      </c>
      <c r="V157" s="67">
        <f>IF(D157="","",IFERROR(IF(INDEX(tt_Other,MATCH(D157,tt_Type,0))="",E157&amp;"",INDEX(tt_Other,MATCH(D157,tt_Type,0))),""))</f>
        <v/>
      </c>
      <c r="W157" s="68">
        <f>IF(OR(TaxOn&lt;&gt;"Yes",NOT(ISNUMBER(M157))),0,IF(IFERROR(INDEX(tt_Tax,MATCH(D157,tt_Type,0)),"No")="Yes",M157,0))</f>
        <v/>
      </c>
      <c r="X157" s="67">
        <f>IF(T157=1,"",IF(C157="","Missing transaction date",IF(NOT(ISNUMBER(C157)),"Invalid date",IF(OR(C157&lt;DATE(2000,1,1),C157&gt;DATE(2099,12,31)),"Invalid date",IF(D157="","Select a type",IF(U157="","Unknown type: "&amp;D157,IF(V157="","Select an account (Category)",IF(ISNA(MATCH(V157,coa_Name,0)),"Unknown account: "&amp;V157,IF(K157="","Select Paid From / Deposited To",IF(ISNA(MATCH(K157,coa_Name,0)),"Unknown account: "&amp;K157,IF(NOT(ISNUMBER(L157)),"Enter an amount",IF(L157=0,"Enter an amount",IF(ABS(W157)&gt;ABS(L157),"Tax is larger than the amount","")))))))))))))</f>
        <v/>
      </c>
      <c r="Y157" s="67">
        <f>IF(OR(T157=1,X157&lt;&gt;""),"",IF(AND(B157&lt;&gt;"",COUNTIF(tx_ID,B157)&gt;1),"Duplicate transaction ID",IF(AND(L157&lt;0,D157&lt;&gt;"Adjustment"),"Negative amount — check this entry",IF(AND(D157="Customer Payment",G157=""),"Add the customer",IF(AND(D157="Customer Payment",OR(J157="",COUNTIF(ar_No,J157&amp;"")=0)),"Invoice # in Reference not found on AR sheet",IF(AND(D157="Bill Payment",H157=""),"Add the vendor",IF(AND(D157="Bill Payment",OR(J157="",COUNTIFS(ap_No,J157&amp;"",ap_Party,H157&amp;"")=0)),"Bill # + vendor not found on AP sheet",IF(AND(ISNUMBER(M157),N(M157)&lt;&gt;0,W157=0),"Tax ignored (tax tracking off, or not allowed for this type)",IF(V157=K157&amp;"","Same account on both sides",IF(AND(ISNUMBER(StartDate),C157&lt;StartDate),"Date is before the accounting start date",IF(AND(D157&lt;&gt;"Adjustment",IFERROR(INDEX(coa_Pay,MATCH(K157&amp;"",coa_Name,0)),"")&lt;&gt;"Yes"),"Paid From / Deposited To is not a payment account","")))))))))))</f>
        <v/>
      </c>
      <c r="Z157" s="67">
        <f>IF(AND(T157=0,X157=""),1,0)</f>
        <v/>
      </c>
      <c r="AA157" s="68">
        <f>IF(Z157=1,IF(U157="In",L157,L157-W157),0)</f>
        <v/>
      </c>
      <c r="AB157" s="68">
        <f>IF(Z157=1,IF(U157="In",L157-W157,L157),0)</f>
        <v/>
      </c>
      <c r="AC157" s="68">
        <f>IF(AND(Z157=1,U157="Out"),W157,0)</f>
        <v/>
      </c>
      <c r="AD157" s="68">
        <f>IF(AND(Z157=1,U157="In"),W157,0)</f>
        <v/>
      </c>
    </row>
    <row r="158">
      <c r="B158" s="62" t="inlineStr">
        <is>
          <t>TX-0152</t>
        </is>
      </c>
      <c r="C158" s="63" t="n">
        <v>46147</v>
      </c>
      <c r="D158" s="62" t="inlineStr">
        <is>
          <t>Bill Payment</t>
        </is>
      </c>
      <c r="E158" s="62" t="n"/>
      <c r="F158" s="62" t="inlineStr">
        <is>
          <t>Supplier payment</t>
        </is>
      </c>
      <c r="G158" s="62" t="n"/>
      <c r="H158" s="62" t="inlineStr">
        <is>
          <t>Golden Grain Flour Mill</t>
        </is>
      </c>
      <c r="I158" s="62" t="inlineStr">
        <is>
          <t>Bank Transfer</t>
        </is>
      </c>
      <c r="J158" s="62" t="inlineStr">
        <is>
          <t>GO-041</t>
        </is>
      </c>
      <c r="K158" s="62" t="inlineStr">
        <is>
          <t>Bank Account</t>
        </is>
      </c>
      <c r="L158" s="64" t="n">
        <v>36226.24</v>
      </c>
      <c r="M158" s="64" t="n"/>
      <c r="N158" s="62" t="n"/>
      <c r="O158" s="65">
        <f>IF(Z158=1,L158-W158,"")</f>
        <v/>
      </c>
      <c r="P158" s="66">
        <f>IF(V158="","",IFERROR(INDEX(coa_Type,MATCH(V158,coa_Name,0)),""))</f>
        <v/>
      </c>
      <c r="Q158" s="66">
        <f>IF(Z158=1,IF(U158="In",K158&amp;"",V158),"")</f>
        <v/>
      </c>
      <c r="R158" s="66">
        <f>IF(Z158=1,IF(U158="In",V158,K158&amp;""),"")</f>
        <v/>
      </c>
      <c r="S158" s="66">
        <f>IF(X158&lt;&gt;"","⛔ "&amp;X158&amp;" — not posted",IF(Y158&lt;&gt;"","⚠ "&amp;Y158,IF(Z158=1,"✓ OK","")))</f>
        <v/>
      </c>
      <c r="T158" s="67">
        <f>IF(AND(C158="",D158="",E158="",L158="",K158=""),1,0)</f>
        <v/>
      </c>
      <c r="U158" s="67">
        <f>IFERROR(INDEX(tt_Dir,MATCH(D158,tt_Type,0)),"")</f>
        <v/>
      </c>
      <c r="V158" s="67">
        <f>IF(D158="","",IFERROR(IF(INDEX(tt_Other,MATCH(D158,tt_Type,0))="",E158&amp;"",INDEX(tt_Other,MATCH(D158,tt_Type,0))),""))</f>
        <v/>
      </c>
      <c r="W158" s="68">
        <f>IF(OR(TaxOn&lt;&gt;"Yes",NOT(ISNUMBER(M158))),0,IF(IFERROR(INDEX(tt_Tax,MATCH(D158,tt_Type,0)),"No")="Yes",M158,0))</f>
        <v/>
      </c>
      <c r="X158" s="67">
        <f>IF(T158=1,"",IF(C158="","Missing transaction date",IF(NOT(ISNUMBER(C158)),"Invalid date",IF(OR(C158&lt;DATE(2000,1,1),C158&gt;DATE(2099,12,31)),"Invalid date",IF(D158="","Select a type",IF(U158="","Unknown type: "&amp;D158,IF(V158="","Select an account (Category)",IF(ISNA(MATCH(V158,coa_Name,0)),"Unknown account: "&amp;V158,IF(K158="","Select Paid From / Deposited To",IF(ISNA(MATCH(K158,coa_Name,0)),"Unknown account: "&amp;K158,IF(NOT(ISNUMBER(L158)),"Enter an amount",IF(L158=0,"Enter an amount",IF(ABS(W158)&gt;ABS(L158),"Tax is larger than the amount","")))))))))))))</f>
        <v/>
      </c>
      <c r="Y158" s="67">
        <f>IF(OR(T158=1,X158&lt;&gt;""),"",IF(AND(B158&lt;&gt;"",COUNTIF(tx_ID,B158)&gt;1),"Duplicate transaction ID",IF(AND(L158&lt;0,D158&lt;&gt;"Adjustment"),"Negative amount — check this entry",IF(AND(D158="Customer Payment",G158=""),"Add the customer",IF(AND(D158="Customer Payment",OR(J158="",COUNTIF(ar_No,J158&amp;"")=0)),"Invoice # in Reference not found on AR sheet",IF(AND(D158="Bill Payment",H158=""),"Add the vendor",IF(AND(D158="Bill Payment",OR(J158="",COUNTIFS(ap_No,J158&amp;"",ap_Party,H158&amp;"")=0)),"Bill # + vendor not found on AP sheet",IF(AND(ISNUMBER(M158),N(M158)&lt;&gt;0,W158=0),"Tax ignored (tax tracking off, or not allowed for this type)",IF(V158=K158&amp;"","Same account on both sides",IF(AND(ISNUMBER(StartDate),C158&lt;StartDate),"Date is before the accounting start date",IF(AND(D158&lt;&gt;"Adjustment",IFERROR(INDEX(coa_Pay,MATCH(K158&amp;"",coa_Name,0)),"")&lt;&gt;"Yes"),"Paid From / Deposited To is not a payment account","")))))))))))</f>
        <v/>
      </c>
      <c r="Z158" s="67">
        <f>IF(AND(T158=0,X158=""),1,0)</f>
        <v/>
      </c>
      <c r="AA158" s="68">
        <f>IF(Z158=1,IF(U158="In",L158,L158-W158),0)</f>
        <v/>
      </c>
      <c r="AB158" s="68">
        <f>IF(Z158=1,IF(U158="In",L158-W158,L158),0)</f>
        <v/>
      </c>
      <c r="AC158" s="68">
        <f>IF(AND(Z158=1,U158="Out"),W158,0)</f>
        <v/>
      </c>
      <c r="AD158" s="68">
        <f>IF(AND(Z158=1,U158="In"),W158,0)</f>
        <v/>
      </c>
    </row>
    <row r="159">
      <c r="B159" s="62" t="inlineStr">
        <is>
          <t>TX-0153</t>
        </is>
      </c>
      <c r="C159" s="63" t="n">
        <v>46147</v>
      </c>
      <c r="D159" s="62" t="inlineStr">
        <is>
          <t>Money In</t>
        </is>
      </c>
      <c r="E159" s="62" t="inlineStr">
        <is>
          <t>Product Sales</t>
        </is>
      </c>
      <c r="F159" s="62" t="inlineStr">
        <is>
          <t>GCash / online orders week 1</t>
        </is>
      </c>
      <c r="G159" s="62" t="n"/>
      <c r="H159" s="62" t="n"/>
      <c r="I159" s="62" t="inlineStr">
        <is>
          <t>E-Wallet</t>
        </is>
      </c>
      <c r="J159" s="62" t="n"/>
      <c r="K159" s="62" t="inlineStr">
        <is>
          <t>E-Wallet / Online Payments</t>
        </is>
      </c>
      <c r="L159" s="64" t="n">
        <v>23636.44</v>
      </c>
      <c r="M159" s="64" t="n">
        <v>2532.48</v>
      </c>
      <c r="N159" s="62" t="n"/>
      <c r="O159" s="65">
        <f>IF(Z159=1,L159-W159,"")</f>
        <v/>
      </c>
      <c r="P159" s="66">
        <f>IF(V159="","",IFERROR(INDEX(coa_Type,MATCH(V159,coa_Name,0)),""))</f>
        <v/>
      </c>
      <c r="Q159" s="66">
        <f>IF(Z159=1,IF(U159="In",K159&amp;"",V159),"")</f>
        <v/>
      </c>
      <c r="R159" s="66">
        <f>IF(Z159=1,IF(U159="In",V159,K159&amp;""),"")</f>
        <v/>
      </c>
      <c r="S159" s="66">
        <f>IF(X159&lt;&gt;"","⛔ "&amp;X159&amp;" — not posted",IF(Y159&lt;&gt;"","⚠ "&amp;Y159,IF(Z159=1,"✓ OK","")))</f>
        <v/>
      </c>
      <c r="T159" s="67">
        <f>IF(AND(C159="",D159="",E159="",L159="",K159=""),1,0)</f>
        <v/>
      </c>
      <c r="U159" s="67">
        <f>IFERROR(INDEX(tt_Dir,MATCH(D159,tt_Type,0)),"")</f>
        <v/>
      </c>
      <c r="V159" s="67">
        <f>IF(D159="","",IFERROR(IF(INDEX(tt_Other,MATCH(D159,tt_Type,0))="",E159&amp;"",INDEX(tt_Other,MATCH(D159,tt_Type,0))),""))</f>
        <v/>
      </c>
      <c r="W159" s="68">
        <f>IF(OR(TaxOn&lt;&gt;"Yes",NOT(ISNUMBER(M159))),0,IF(IFERROR(INDEX(tt_Tax,MATCH(D159,tt_Type,0)),"No")="Yes",M159,0))</f>
        <v/>
      </c>
      <c r="X159" s="67">
        <f>IF(T159=1,"",IF(C159="","Missing transaction date",IF(NOT(ISNUMBER(C159)),"Invalid date",IF(OR(C159&lt;DATE(2000,1,1),C159&gt;DATE(2099,12,31)),"Invalid date",IF(D159="","Select a type",IF(U159="","Unknown type: "&amp;D159,IF(V159="","Select an account (Category)",IF(ISNA(MATCH(V159,coa_Name,0)),"Unknown account: "&amp;V159,IF(K159="","Select Paid From / Deposited To",IF(ISNA(MATCH(K159,coa_Name,0)),"Unknown account: "&amp;K159,IF(NOT(ISNUMBER(L159)),"Enter an amount",IF(L159=0,"Enter an amount",IF(ABS(W159)&gt;ABS(L159),"Tax is larger than the amount","")))))))))))))</f>
        <v/>
      </c>
      <c r="Y159" s="67">
        <f>IF(OR(T159=1,X159&lt;&gt;""),"",IF(AND(B159&lt;&gt;"",COUNTIF(tx_ID,B159)&gt;1),"Duplicate transaction ID",IF(AND(L159&lt;0,D159&lt;&gt;"Adjustment"),"Negative amount — check this entry",IF(AND(D159="Customer Payment",G159=""),"Add the customer",IF(AND(D159="Customer Payment",OR(J159="",COUNTIF(ar_No,J159&amp;"")=0)),"Invoice # in Reference not found on AR sheet",IF(AND(D159="Bill Payment",H159=""),"Add the vendor",IF(AND(D159="Bill Payment",OR(J159="",COUNTIFS(ap_No,J159&amp;"",ap_Party,H159&amp;"")=0)),"Bill # + vendor not found on AP sheet",IF(AND(ISNUMBER(M159),N(M159)&lt;&gt;0,W159=0),"Tax ignored (tax tracking off, or not allowed for this type)",IF(V159=K159&amp;"","Same account on both sides",IF(AND(ISNUMBER(StartDate),C159&lt;StartDate),"Date is before the accounting start date",IF(AND(D159&lt;&gt;"Adjustment",IFERROR(INDEX(coa_Pay,MATCH(K159&amp;"",coa_Name,0)),"")&lt;&gt;"Yes"),"Paid From / Deposited To is not a payment account","")))))))))))</f>
        <v/>
      </c>
      <c r="Z159" s="67">
        <f>IF(AND(T159=0,X159=""),1,0)</f>
        <v/>
      </c>
      <c r="AA159" s="68">
        <f>IF(Z159=1,IF(U159="In",L159,L159-W159),0)</f>
        <v/>
      </c>
      <c r="AB159" s="68">
        <f>IF(Z159=1,IF(U159="In",L159-W159,L159),0)</f>
        <v/>
      </c>
      <c r="AC159" s="68">
        <f>IF(AND(Z159=1,U159="Out"),W159,0)</f>
        <v/>
      </c>
      <c r="AD159" s="68">
        <f>IF(AND(Z159=1,U159="In"),W159,0)</f>
        <v/>
      </c>
    </row>
    <row r="160">
      <c r="B160" s="62" t="inlineStr">
        <is>
          <t>TX-0154</t>
        </is>
      </c>
      <c r="C160" s="63" t="n">
        <v>46147</v>
      </c>
      <c r="D160" s="62" t="inlineStr">
        <is>
          <t>Transfer</t>
        </is>
      </c>
      <c r="E160" s="62" t="inlineStr">
        <is>
          <t>Credit Card</t>
        </is>
      </c>
      <c r="F160" s="62" t="inlineStr">
        <is>
          <t>Credit card payment</t>
        </is>
      </c>
      <c r="G160" s="62" t="n"/>
      <c r="H160" s="62" t="n"/>
      <c r="I160" s="62" t="inlineStr">
        <is>
          <t>Bank Transfer</t>
        </is>
      </c>
      <c r="J160" s="62" t="n"/>
      <c r="K160" s="62" t="inlineStr">
        <is>
          <t>Bank Account</t>
        </is>
      </c>
      <c r="L160" s="64" t="n">
        <v>6943.49</v>
      </c>
      <c r="M160" s="64" t="n"/>
      <c r="N160" s="62" t="n"/>
      <c r="O160" s="65">
        <f>IF(Z160=1,L160-W160,"")</f>
        <v/>
      </c>
      <c r="P160" s="66">
        <f>IF(V160="","",IFERROR(INDEX(coa_Type,MATCH(V160,coa_Name,0)),""))</f>
        <v/>
      </c>
      <c r="Q160" s="66">
        <f>IF(Z160=1,IF(U160="In",K160&amp;"",V160),"")</f>
        <v/>
      </c>
      <c r="R160" s="66">
        <f>IF(Z160=1,IF(U160="In",V160,K160&amp;""),"")</f>
        <v/>
      </c>
      <c r="S160" s="66">
        <f>IF(X160&lt;&gt;"","⛔ "&amp;X160&amp;" — not posted",IF(Y160&lt;&gt;"","⚠ "&amp;Y160,IF(Z160=1,"✓ OK","")))</f>
        <v/>
      </c>
      <c r="T160" s="67">
        <f>IF(AND(C160="",D160="",E160="",L160="",K160=""),1,0)</f>
        <v/>
      </c>
      <c r="U160" s="67">
        <f>IFERROR(INDEX(tt_Dir,MATCH(D160,tt_Type,0)),"")</f>
        <v/>
      </c>
      <c r="V160" s="67">
        <f>IF(D160="","",IFERROR(IF(INDEX(tt_Other,MATCH(D160,tt_Type,0))="",E160&amp;"",INDEX(tt_Other,MATCH(D160,tt_Type,0))),""))</f>
        <v/>
      </c>
      <c r="W160" s="68">
        <f>IF(OR(TaxOn&lt;&gt;"Yes",NOT(ISNUMBER(M160))),0,IF(IFERROR(INDEX(tt_Tax,MATCH(D160,tt_Type,0)),"No")="Yes",M160,0))</f>
        <v/>
      </c>
      <c r="X160" s="67">
        <f>IF(T160=1,"",IF(C160="","Missing transaction date",IF(NOT(ISNUMBER(C160)),"Invalid date",IF(OR(C160&lt;DATE(2000,1,1),C160&gt;DATE(2099,12,31)),"Invalid date",IF(D160="","Select a type",IF(U160="","Unknown type: "&amp;D160,IF(V160="","Select an account (Category)",IF(ISNA(MATCH(V160,coa_Name,0)),"Unknown account: "&amp;V160,IF(K160="","Select Paid From / Deposited To",IF(ISNA(MATCH(K160,coa_Name,0)),"Unknown account: "&amp;K160,IF(NOT(ISNUMBER(L160)),"Enter an amount",IF(L160=0,"Enter an amount",IF(ABS(W160)&gt;ABS(L160),"Tax is larger than the amount","")))))))))))))</f>
        <v/>
      </c>
      <c r="Y160" s="67">
        <f>IF(OR(T160=1,X160&lt;&gt;""),"",IF(AND(B160&lt;&gt;"",COUNTIF(tx_ID,B160)&gt;1),"Duplicate transaction ID",IF(AND(L160&lt;0,D160&lt;&gt;"Adjustment"),"Negative amount — check this entry",IF(AND(D160="Customer Payment",G160=""),"Add the customer",IF(AND(D160="Customer Payment",OR(J160="",COUNTIF(ar_No,J160&amp;"")=0)),"Invoice # in Reference not found on AR sheet",IF(AND(D160="Bill Payment",H160=""),"Add the vendor",IF(AND(D160="Bill Payment",OR(J160="",COUNTIFS(ap_No,J160&amp;"",ap_Party,H160&amp;"")=0)),"Bill # + vendor not found on AP sheet",IF(AND(ISNUMBER(M160),N(M160)&lt;&gt;0,W160=0),"Tax ignored (tax tracking off, or not allowed for this type)",IF(V160=K160&amp;"","Same account on both sides",IF(AND(ISNUMBER(StartDate),C160&lt;StartDate),"Date is before the accounting start date",IF(AND(D160&lt;&gt;"Adjustment",IFERROR(INDEX(coa_Pay,MATCH(K160&amp;"",coa_Name,0)),"")&lt;&gt;"Yes"),"Paid From / Deposited To is not a payment account","")))))))))))</f>
        <v/>
      </c>
      <c r="Z160" s="67">
        <f>IF(AND(T160=0,X160=""),1,0)</f>
        <v/>
      </c>
      <c r="AA160" s="68">
        <f>IF(Z160=1,IF(U160="In",L160,L160-W160),0)</f>
        <v/>
      </c>
      <c r="AB160" s="68">
        <f>IF(Z160=1,IF(U160="In",L160-W160,L160),0)</f>
        <v/>
      </c>
      <c r="AC160" s="68">
        <f>IF(AND(Z160=1,U160="Out"),W160,0)</f>
        <v/>
      </c>
      <c r="AD160" s="68">
        <f>IF(AND(Z160=1,U160="In"),W160,0)</f>
        <v/>
      </c>
    </row>
    <row r="161">
      <c r="B161" s="62" t="inlineStr">
        <is>
          <t>TX-0155</t>
        </is>
      </c>
      <c r="C161" s="63" t="n">
        <v>46148</v>
      </c>
      <c r="D161" s="62" t="inlineStr">
        <is>
          <t>Transfer</t>
        </is>
      </c>
      <c r="E161" s="62" t="inlineStr">
        <is>
          <t>Bank Account</t>
        </is>
      </c>
      <c r="F161" s="62" t="inlineStr">
        <is>
          <t>Cash deposit to bank</t>
        </is>
      </c>
      <c r="G161" s="62" t="n"/>
      <c r="H161" s="62" t="n"/>
      <c r="I161" s="62" t="inlineStr">
        <is>
          <t>Cash</t>
        </is>
      </c>
      <c r="J161" s="62" t="n"/>
      <c r="K161" s="62" t="inlineStr">
        <is>
          <t>Cash on Hand</t>
        </is>
      </c>
      <c r="L161" s="64" t="n">
        <v>52100</v>
      </c>
      <c r="M161" s="64" t="n"/>
      <c r="N161" s="62" t="n"/>
      <c r="O161" s="65">
        <f>IF(Z161=1,L161-W161,"")</f>
        <v/>
      </c>
      <c r="P161" s="66">
        <f>IF(V161="","",IFERROR(INDEX(coa_Type,MATCH(V161,coa_Name,0)),""))</f>
        <v/>
      </c>
      <c r="Q161" s="66">
        <f>IF(Z161=1,IF(U161="In",K161&amp;"",V161),"")</f>
        <v/>
      </c>
      <c r="R161" s="66">
        <f>IF(Z161=1,IF(U161="In",V161,K161&amp;""),"")</f>
        <v/>
      </c>
      <c r="S161" s="66">
        <f>IF(X161&lt;&gt;"","⛔ "&amp;X161&amp;" — not posted",IF(Y161&lt;&gt;"","⚠ "&amp;Y161,IF(Z161=1,"✓ OK","")))</f>
        <v/>
      </c>
      <c r="T161" s="67">
        <f>IF(AND(C161="",D161="",E161="",L161="",K161=""),1,0)</f>
        <v/>
      </c>
      <c r="U161" s="67">
        <f>IFERROR(INDEX(tt_Dir,MATCH(D161,tt_Type,0)),"")</f>
        <v/>
      </c>
      <c r="V161" s="67">
        <f>IF(D161="","",IFERROR(IF(INDEX(tt_Other,MATCH(D161,tt_Type,0))="",E161&amp;"",INDEX(tt_Other,MATCH(D161,tt_Type,0))),""))</f>
        <v/>
      </c>
      <c r="W161" s="68">
        <f>IF(OR(TaxOn&lt;&gt;"Yes",NOT(ISNUMBER(M161))),0,IF(IFERROR(INDEX(tt_Tax,MATCH(D161,tt_Type,0)),"No")="Yes",M161,0))</f>
        <v/>
      </c>
      <c r="X161" s="67">
        <f>IF(T161=1,"",IF(C161="","Missing transaction date",IF(NOT(ISNUMBER(C161)),"Invalid date",IF(OR(C161&lt;DATE(2000,1,1),C161&gt;DATE(2099,12,31)),"Invalid date",IF(D161="","Select a type",IF(U161="","Unknown type: "&amp;D161,IF(V161="","Select an account (Category)",IF(ISNA(MATCH(V161,coa_Name,0)),"Unknown account: "&amp;V161,IF(K161="","Select Paid From / Deposited To",IF(ISNA(MATCH(K161,coa_Name,0)),"Unknown account: "&amp;K161,IF(NOT(ISNUMBER(L161)),"Enter an amount",IF(L161=0,"Enter an amount",IF(ABS(W161)&gt;ABS(L161),"Tax is larger than the amount","")))))))))))))</f>
        <v/>
      </c>
      <c r="Y161" s="67">
        <f>IF(OR(T161=1,X161&lt;&gt;""),"",IF(AND(B161&lt;&gt;"",COUNTIF(tx_ID,B161)&gt;1),"Duplicate transaction ID",IF(AND(L161&lt;0,D161&lt;&gt;"Adjustment"),"Negative amount — check this entry",IF(AND(D161="Customer Payment",G161=""),"Add the customer",IF(AND(D161="Customer Payment",OR(J161="",COUNTIF(ar_No,J161&amp;"")=0)),"Invoice # in Reference not found on AR sheet",IF(AND(D161="Bill Payment",H161=""),"Add the vendor",IF(AND(D161="Bill Payment",OR(J161="",COUNTIFS(ap_No,J161&amp;"",ap_Party,H161&amp;"")=0)),"Bill # + vendor not found on AP sheet",IF(AND(ISNUMBER(M161),N(M161)&lt;&gt;0,W161=0),"Tax ignored (tax tracking off, or not allowed for this type)",IF(V161=K161&amp;"","Same account on both sides",IF(AND(ISNUMBER(StartDate),C161&lt;StartDate),"Date is before the accounting start date",IF(AND(D161&lt;&gt;"Adjustment",IFERROR(INDEX(coa_Pay,MATCH(K161&amp;"",coa_Name,0)),"")&lt;&gt;"Yes"),"Paid From / Deposited To is not a payment account","")))))))))))</f>
        <v/>
      </c>
      <c r="Z161" s="67">
        <f>IF(AND(T161=0,X161=""),1,0)</f>
        <v/>
      </c>
      <c r="AA161" s="68">
        <f>IF(Z161=1,IF(U161="In",L161,L161-W161),0)</f>
        <v/>
      </c>
      <c r="AB161" s="68">
        <f>IF(Z161=1,IF(U161="In",L161-W161,L161),0)</f>
        <v/>
      </c>
      <c r="AC161" s="68">
        <f>IF(AND(Z161=1,U161="Out"),W161,0)</f>
        <v/>
      </c>
      <c r="AD161" s="68">
        <f>IF(AND(Z161=1,U161="In"),W161,0)</f>
        <v/>
      </c>
    </row>
    <row r="162">
      <c r="B162" s="62" t="inlineStr">
        <is>
          <t>TX-0156</t>
        </is>
      </c>
      <c r="C162" s="63" t="n">
        <v>46148</v>
      </c>
      <c r="D162" s="62" t="inlineStr">
        <is>
          <t>Money Out</t>
        </is>
      </c>
      <c r="E162" s="62" t="inlineStr">
        <is>
          <t>Other Direct Costs</t>
        </is>
      </c>
      <c r="F162" s="62" t="inlineStr">
        <is>
          <t>Boxes &amp; paper bags (market)</t>
        </is>
      </c>
      <c r="G162" s="62" t="n"/>
      <c r="H162" s="62" t="n"/>
      <c r="I162" s="62" t="inlineStr">
        <is>
          <t>Cash</t>
        </is>
      </c>
      <c r="J162" s="62" t="n"/>
      <c r="K162" s="62" t="inlineStr">
        <is>
          <t>Cash on Hand</t>
        </is>
      </c>
      <c r="L162" s="64" t="n">
        <v>3161.61</v>
      </c>
      <c r="M162" s="64" t="n">
        <v>338.74</v>
      </c>
      <c r="N162" s="62" t="n"/>
      <c r="O162" s="65">
        <f>IF(Z162=1,L162-W162,"")</f>
        <v/>
      </c>
      <c r="P162" s="66">
        <f>IF(V162="","",IFERROR(INDEX(coa_Type,MATCH(V162,coa_Name,0)),""))</f>
        <v/>
      </c>
      <c r="Q162" s="66">
        <f>IF(Z162=1,IF(U162="In",K162&amp;"",V162),"")</f>
        <v/>
      </c>
      <c r="R162" s="66">
        <f>IF(Z162=1,IF(U162="In",V162,K162&amp;""),"")</f>
        <v/>
      </c>
      <c r="S162" s="66">
        <f>IF(X162&lt;&gt;"","⛔ "&amp;X162&amp;" — not posted",IF(Y162&lt;&gt;"","⚠ "&amp;Y162,IF(Z162=1,"✓ OK","")))</f>
        <v/>
      </c>
      <c r="T162" s="67">
        <f>IF(AND(C162="",D162="",E162="",L162="",K162=""),1,0)</f>
        <v/>
      </c>
      <c r="U162" s="67">
        <f>IFERROR(INDEX(tt_Dir,MATCH(D162,tt_Type,0)),"")</f>
        <v/>
      </c>
      <c r="V162" s="67">
        <f>IF(D162="","",IFERROR(IF(INDEX(tt_Other,MATCH(D162,tt_Type,0))="",E162&amp;"",INDEX(tt_Other,MATCH(D162,tt_Type,0))),""))</f>
        <v/>
      </c>
      <c r="W162" s="68">
        <f>IF(OR(TaxOn&lt;&gt;"Yes",NOT(ISNUMBER(M162))),0,IF(IFERROR(INDEX(tt_Tax,MATCH(D162,tt_Type,0)),"No")="Yes",M162,0))</f>
        <v/>
      </c>
      <c r="X162" s="67">
        <f>IF(T162=1,"",IF(C162="","Missing transaction date",IF(NOT(ISNUMBER(C162)),"Invalid date",IF(OR(C162&lt;DATE(2000,1,1),C162&gt;DATE(2099,12,31)),"Invalid date",IF(D162="","Select a type",IF(U162="","Unknown type: "&amp;D162,IF(V162="","Select an account (Category)",IF(ISNA(MATCH(V162,coa_Name,0)),"Unknown account: "&amp;V162,IF(K162="","Select Paid From / Deposited To",IF(ISNA(MATCH(K162,coa_Name,0)),"Unknown account: "&amp;K162,IF(NOT(ISNUMBER(L162)),"Enter an amount",IF(L162=0,"Enter an amount",IF(ABS(W162)&gt;ABS(L162),"Tax is larger than the amount","")))))))))))))</f>
        <v/>
      </c>
      <c r="Y162" s="67">
        <f>IF(OR(T162=1,X162&lt;&gt;""),"",IF(AND(B162&lt;&gt;"",COUNTIF(tx_ID,B162)&gt;1),"Duplicate transaction ID",IF(AND(L162&lt;0,D162&lt;&gt;"Adjustment"),"Negative amount — check this entry",IF(AND(D162="Customer Payment",G162=""),"Add the customer",IF(AND(D162="Customer Payment",OR(J162="",COUNTIF(ar_No,J162&amp;"")=0)),"Invoice # in Reference not found on AR sheet",IF(AND(D162="Bill Payment",H162=""),"Add the vendor",IF(AND(D162="Bill Payment",OR(J162="",COUNTIFS(ap_No,J162&amp;"",ap_Party,H162&amp;"")=0)),"Bill # + vendor not found on AP sheet",IF(AND(ISNUMBER(M162),N(M162)&lt;&gt;0,W162=0),"Tax ignored (tax tracking off, or not allowed for this type)",IF(V162=K162&amp;"","Same account on both sides",IF(AND(ISNUMBER(StartDate),C162&lt;StartDate),"Date is before the accounting start date",IF(AND(D162&lt;&gt;"Adjustment",IFERROR(INDEX(coa_Pay,MATCH(K162&amp;"",coa_Name,0)),"")&lt;&gt;"Yes"),"Paid From / Deposited To is not a payment account","")))))))))))</f>
        <v/>
      </c>
      <c r="Z162" s="67">
        <f>IF(AND(T162=0,X162=""),1,0)</f>
        <v/>
      </c>
      <c r="AA162" s="68">
        <f>IF(Z162=1,IF(U162="In",L162,L162-W162),0)</f>
        <v/>
      </c>
      <c r="AB162" s="68">
        <f>IF(Z162=1,IF(U162="In",L162-W162,L162),0)</f>
        <v/>
      </c>
      <c r="AC162" s="68">
        <f>IF(AND(Z162=1,U162="Out"),W162,0)</f>
        <v/>
      </c>
      <c r="AD162" s="68">
        <f>IF(AND(Z162=1,U162="In"),W162,0)</f>
        <v/>
      </c>
    </row>
    <row r="163">
      <c r="B163" s="62" t="inlineStr">
        <is>
          <t>TX-0157</t>
        </is>
      </c>
      <c r="C163" s="63" t="n">
        <v>46150</v>
      </c>
      <c r="D163" s="62" t="inlineStr">
        <is>
          <t>Money Out</t>
        </is>
      </c>
      <c r="E163" s="62" t="inlineStr">
        <is>
          <t>Advertising &amp; Marketing</t>
        </is>
      </c>
      <c r="F163" s="62" t="inlineStr">
        <is>
          <t>Facebook / Instagram ads</t>
        </is>
      </c>
      <c r="G163" s="62" t="n"/>
      <c r="H163" s="62" t="n"/>
      <c r="I163" s="62" t="inlineStr">
        <is>
          <t>Credit Card</t>
        </is>
      </c>
      <c r="J163" s="62" t="n"/>
      <c r="K163" s="62" t="inlineStr">
        <is>
          <t>Credit Card</t>
        </is>
      </c>
      <c r="L163" s="64" t="n">
        <v>5912.97</v>
      </c>
      <c r="M163" s="64" t="n">
        <v>633.53</v>
      </c>
      <c r="N163" s="62" t="n"/>
      <c r="O163" s="65">
        <f>IF(Z163=1,L163-W163,"")</f>
        <v/>
      </c>
      <c r="P163" s="66">
        <f>IF(V163="","",IFERROR(INDEX(coa_Type,MATCH(V163,coa_Name,0)),""))</f>
        <v/>
      </c>
      <c r="Q163" s="66">
        <f>IF(Z163=1,IF(U163="In",K163&amp;"",V163),"")</f>
        <v/>
      </c>
      <c r="R163" s="66">
        <f>IF(Z163=1,IF(U163="In",V163,K163&amp;""),"")</f>
        <v/>
      </c>
      <c r="S163" s="66">
        <f>IF(X163&lt;&gt;"","⛔ "&amp;X163&amp;" — not posted",IF(Y163&lt;&gt;"","⚠ "&amp;Y163,IF(Z163=1,"✓ OK","")))</f>
        <v/>
      </c>
      <c r="T163" s="67">
        <f>IF(AND(C163="",D163="",E163="",L163="",K163=""),1,0)</f>
        <v/>
      </c>
      <c r="U163" s="67">
        <f>IFERROR(INDEX(tt_Dir,MATCH(D163,tt_Type,0)),"")</f>
        <v/>
      </c>
      <c r="V163" s="67">
        <f>IF(D163="","",IFERROR(IF(INDEX(tt_Other,MATCH(D163,tt_Type,0))="",E163&amp;"",INDEX(tt_Other,MATCH(D163,tt_Type,0))),""))</f>
        <v/>
      </c>
      <c r="W163" s="68">
        <f>IF(OR(TaxOn&lt;&gt;"Yes",NOT(ISNUMBER(M163))),0,IF(IFERROR(INDEX(tt_Tax,MATCH(D163,tt_Type,0)),"No")="Yes",M163,0))</f>
        <v/>
      </c>
      <c r="X163" s="67">
        <f>IF(T163=1,"",IF(C163="","Missing transaction date",IF(NOT(ISNUMBER(C163)),"Invalid date",IF(OR(C163&lt;DATE(2000,1,1),C163&gt;DATE(2099,12,31)),"Invalid date",IF(D163="","Select a type",IF(U163="","Unknown type: "&amp;D163,IF(V163="","Select an account (Category)",IF(ISNA(MATCH(V163,coa_Name,0)),"Unknown account: "&amp;V163,IF(K163="","Select Paid From / Deposited To",IF(ISNA(MATCH(K163,coa_Name,0)),"Unknown account: "&amp;K163,IF(NOT(ISNUMBER(L163)),"Enter an amount",IF(L163=0,"Enter an amount",IF(ABS(W163)&gt;ABS(L163),"Tax is larger than the amount","")))))))))))))</f>
        <v/>
      </c>
      <c r="Y163" s="67">
        <f>IF(OR(T163=1,X163&lt;&gt;""),"",IF(AND(B163&lt;&gt;"",COUNTIF(tx_ID,B163)&gt;1),"Duplicate transaction ID",IF(AND(L163&lt;0,D163&lt;&gt;"Adjustment"),"Negative amount — check this entry",IF(AND(D163="Customer Payment",G163=""),"Add the customer",IF(AND(D163="Customer Payment",OR(J163="",COUNTIF(ar_No,J163&amp;"")=0)),"Invoice # in Reference not found on AR sheet",IF(AND(D163="Bill Payment",H163=""),"Add the vendor",IF(AND(D163="Bill Payment",OR(J163="",COUNTIFS(ap_No,J163&amp;"",ap_Party,H163&amp;"")=0)),"Bill # + vendor not found on AP sheet",IF(AND(ISNUMBER(M163),N(M163)&lt;&gt;0,W163=0),"Tax ignored (tax tracking off, or not allowed for this type)",IF(V163=K163&amp;"","Same account on both sides",IF(AND(ISNUMBER(StartDate),C163&lt;StartDate),"Date is before the accounting start date",IF(AND(D163&lt;&gt;"Adjustment",IFERROR(INDEX(coa_Pay,MATCH(K163&amp;"",coa_Name,0)),"")&lt;&gt;"Yes"),"Paid From / Deposited To is not a payment account","")))))))))))</f>
        <v/>
      </c>
      <c r="Z163" s="67">
        <f>IF(AND(T163=0,X163=""),1,0)</f>
        <v/>
      </c>
      <c r="AA163" s="68">
        <f>IF(Z163=1,IF(U163="In",L163,L163-W163),0)</f>
        <v/>
      </c>
      <c r="AB163" s="68">
        <f>IF(Z163=1,IF(U163="In",L163-W163,L163),0)</f>
        <v/>
      </c>
      <c r="AC163" s="68">
        <f>IF(AND(Z163=1,U163="Out"),W163,0)</f>
        <v/>
      </c>
      <c r="AD163" s="68">
        <f>IF(AND(Z163=1,U163="In"),W163,0)</f>
        <v/>
      </c>
    </row>
    <row r="164">
      <c r="B164" s="62" t="inlineStr">
        <is>
          <t>TX-0158</t>
        </is>
      </c>
      <c r="C164" s="63" t="n">
        <v>46151</v>
      </c>
      <c r="D164" s="62" t="inlineStr">
        <is>
          <t>Bill Payment</t>
        </is>
      </c>
      <c r="E164" s="62" t="n"/>
      <c r="F164" s="62" t="inlineStr">
        <is>
          <t>Supplier payment</t>
        </is>
      </c>
      <c r="G164" s="62" t="n"/>
      <c r="H164" s="62" t="inlineStr">
        <is>
          <t>PackRight Supplies</t>
        </is>
      </c>
      <c r="I164" s="62" t="inlineStr">
        <is>
          <t>Bank Transfer</t>
        </is>
      </c>
      <c r="J164" s="62" t="inlineStr">
        <is>
          <t>PA-041</t>
        </is>
      </c>
      <c r="K164" s="62" t="inlineStr">
        <is>
          <t>Bank Account</t>
        </is>
      </c>
      <c r="L164" s="64" t="n">
        <v>8714.58</v>
      </c>
      <c r="M164" s="64" t="n"/>
      <c r="N164" s="62" t="n"/>
      <c r="O164" s="65">
        <f>IF(Z164=1,L164-W164,"")</f>
        <v/>
      </c>
      <c r="P164" s="66">
        <f>IF(V164="","",IFERROR(INDEX(coa_Type,MATCH(V164,coa_Name,0)),""))</f>
        <v/>
      </c>
      <c r="Q164" s="66">
        <f>IF(Z164=1,IF(U164="In",K164&amp;"",V164),"")</f>
        <v/>
      </c>
      <c r="R164" s="66">
        <f>IF(Z164=1,IF(U164="In",V164,K164&amp;""),"")</f>
        <v/>
      </c>
      <c r="S164" s="66">
        <f>IF(X164&lt;&gt;"","⛔ "&amp;X164&amp;" — not posted",IF(Y164&lt;&gt;"","⚠ "&amp;Y164,IF(Z164=1,"✓ OK","")))</f>
        <v/>
      </c>
      <c r="T164" s="67">
        <f>IF(AND(C164="",D164="",E164="",L164="",K164=""),1,0)</f>
        <v/>
      </c>
      <c r="U164" s="67">
        <f>IFERROR(INDEX(tt_Dir,MATCH(D164,tt_Type,0)),"")</f>
        <v/>
      </c>
      <c r="V164" s="67">
        <f>IF(D164="","",IFERROR(IF(INDEX(tt_Other,MATCH(D164,tt_Type,0))="",E164&amp;"",INDEX(tt_Other,MATCH(D164,tt_Type,0))),""))</f>
        <v/>
      </c>
      <c r="W164" s="68">
        <f>IF(OR(TaxOn&lt;&gt;"Yes",NOT(ISNUMBER(M164))),0,IF(IFERROR(INDEX(tt_Tax,MATCH(D164,tt_Type,0)),"No")="Yes",M164,0))</f>
        <v/>
      </c>
      <c r="X164" s="67">
        <f>IF(T164=1,"",IF(C164="","Missing transaction date",IF(NOT(ISNUMBER(C164)),"Invalid date",IF(OR(C164&lt;DATE(2000,1,1),C164&gt;DATE(2099,12,31)),"Invalid date",IF(D164="","Select a type",IF(U164="","Unknown type: "&amp;D164,IF(V164="","Select an account (Category)",IF(ISNA(MATCH(V164,coa_Name,0)),"Unknown account: "&amp;V164,IF(K164="","Select Paid From / Deposited To",IF(ISNA(MATCH(K164,coa_Name,0)),"Unknown account: "&amp;K164,IF(NOT(ISNUMBER(L164)),"Enter an amount",IF(L164=0,"Enter an amount",IF(ABS(W164)&gt;ABS(L164),"Tax is larger than the amount","")))))))))))))</f>
        <v/>
      </c>
      <c r="Y164" s="67">
        <f>IF(OR(T164=1,X164&lt;&gt;""),"",IF(AND(B164&lt;&gt;"",COUNTIF(tx_ID,B164)&gt;1),"Duplicate transaction ID",IF(AND(L164&lt;0,D164&lt;&gt;"Adjustment"),"Negative amount — check this entry",IF(AND(D164="Customer Payment",G164=""),"Add the customer",IF(AND(D164="Customer Payment",OR(J164="",COUNTIF(ar_No,J164&amp;"")=0)),"Invoice # in Reference not found on AR sheet",IF(AND(D164="Bill Payment",H164=""),"Add the vendor",IF(AND(D164="Bill Payment",OR(J164="",COUNTIFS(ap_No,J164&amp;"",ap_Party,H164&amp;"")=0)),"Bill # + vendor not found on AP sheet",IF(AND(ISNUMBER(M164),N(M164)&lt;&gt;0,W164=0),"Tax ignored (tax tracking off, or not allowed for this type)",IF(V164=K164&amp;"","Same account on both sides",IF(AND(ISNUMBER(StartDate),C164&lt;StartDate),"Date is before the accounting start date",IF(AND(D164&lt;&gt;"Adjustment",IFERROR(INDEX(coa_Pay,MATCH(K164&amp;"",coa_Name,0)),"")&lt;&gt;"Yes"),"Paid From / Deposited To is not a payment account","")))))))))))</f>
        <v/>
      </c>
      <c r="Z164" s="67">
        <f>IF(AND(T164=0,X164=""),1,0)</f>
        <v/>
      </c>
      <c r="AA164" s="68">
        <f>IF(Z164=1,IF(U164="In",L164,L164-W164),0)</f>
        <v/>
      </c>
      <c r="AB164" s="68">
        <f>IF(Z164=1,IF(U164="In",L164-W164,L164),0)</f>
        <v/>
      </c>
      <c r="AC164" s="68">
        <f>IF(AND(Z164=1,U164="Out"),W164,0)</f>
        <v/>
      </c>
      <c r="AD164" s="68">
        <f>IF(AND(Z164=1,U164="In"),W164,0)</f>
        <v/>
      </c>
    </row>
    <row r="165">
      <c r="B165" s="62" t="inlineStr">
        <is>
          <t>TX-0159</t>
        </is>
      </c>
      <c r="C165" s="63" t="n">
        <v>46151</v>
      </c>
      <c r="D165" s="62" t="inlineStr">
        <is>
          <t>Money Out</t>
        </is>
      </c>
      <c r="E165" s="62" t="inlineStr">
        <is>
          <t>Software &amp; Subscriptions</t>
        </is>
      </c>
      <c r="F165" s="62" t="inlineStr">
        <is>
          <t>POS app subscription</t>
        </is>
      </c>
      <c r="G165" s="62" t="n"/>
      <c r="H165" s="62" t="n"/>
      <c r="I165" s="62" t="inlineStr">
        <is>
          <t>Credit Card</t>
        </is>
      </c>
      <c r="J165" s="62" t="n"/>
      <c r="K165" s="62" t="inlineStr">
        <is>
          <t>Credit Card</t>
        </is>
      </c>
      <c r="L165" s="64" t="n">
        <v>1450</v>
      </c>
      <c r="M165" s="64" t="n">
        <v>155.36</v>
      </c>
      <c r="N165" s="62" t="n"/>
      <c r="O165" s="65">
        <f>IF(Z165=1,L165-W165,"")</f>
        <v/>
      </c>
      <c r="P165" s="66">
        <f>IF(V165="","",IFERROR(INDEX(coa_Type,MATCH(V165,coa_Name,0)),""))</f>
        <v/>
      </c>
      <c r="Q165" s="66">
        <f>IF(Z165=1,IF(U165="In",K165&amp;"",V165),"")</f>
        <v/>
      </c>
      <c r="R165" s="66">
        <f>IF(Z165=1,IF(U165="In",V165,K165&amp;""),"")</f>
        <v/>
      </c>
      <c r="S165" s="66">
        <f>IF(X165&lt;&gt;"","⛔ "&amp;X165&amp;" — not posted",IF(Y165&lt;&gt;"","⚠ "&amp;Y165,IF(Z165=1,"✓ OK","")))</f>
        <v/>
      </c>
      <c r="T165" s="67">
        <f>IF(AND(C165="",D165="",E165="",L165="",K165=""),1,0)</f>
        <v/>
      </c>
      <c r="U165" s="67">
        <f>IFERROR(INDEX(tt_Dir,MATCH(D165,tt_Type,0)),"")</f>
        <v/>
      </c>
      <c r="V165" s="67">
        <f>IF(D165="","",IFERROR(IF(INDEX(tt_Other,MATCH(D165,tt_Type,0))="",E165&amp;"",INDEX(tt_Other,MATCH(D165,tt_Type,0))),""))</f>
        <v/>
      </c>
      <c r="W165" s="68">
        <f>IF(OR(TaxOn&lt;&gt;"Yes",NOT(ISNUMBER(M165))),0,IF(IFERROR(INDEX(tt_Tax,MATCH(D165,tt_Type,0)),"No")="Yes",M165,0))</f>
        <v/>
      </c>
      <c r="X165" s="67">
        <f>IF(T165=1,"",IF(C165="","Missing transaction date",IF(NOT(ISNUMBER(C165)),"Invalid date",IF(OR(C165&lt;DATE(2000,1,1),C165&gt;DATE(2099,12,31)),"Invalid date",IF(D165="","Select a type",IF(U165="","Unknown type: "&amp;D165,IF(V165="","Select an account (Category)",IF(ISNA(MATCH(V165,coa_Name,0)),"Unknown account: "&amp;V165,IF(K165="","Select Paid From / Deposited To",IF(ISNA(MATCH(K165,coa_Name,0)),"Unknown account: "&amp;K165,IF(NOT(ISNUMBER(L165)),"Enter an amount",IF(L165=0,"Enter an amount",IF(ABS(W165)&gt;ABS(L165),"Tax is larger than the amount","")))))))))))))</f>
        <v/>
      </c>
      <c r="Y165" s="67">
        <f>IF(OR(T165=1,X165&lt;&gt;""),"",IF(AND(B165&lt;&gt;"",COUNTIF(tx_ID,B165)&gt;1),"Duplicate transaction ID",IF(AND(L165&lt;0,D165&lt;&gt;"Adjustment"),"Negative amount — check this entry",IF(AND(D165="Customer Payment",G165=""),"Add the customer",IF(AND(D165="Customer Payment",OR(J165="",COUNTIF(ar_No,J165&amp;"")=0)),"Invoice # in Reference not found on AR sheet",IF(AND(D165="Bill Payment",H165=""),"Add the vendor",IF(AND(D165="Bill Payment",OR(J165="",COUNTIFS(ap_No,J165&amp;"",ap_Party,H165&amp;"")=0)),"Bill # + vendor not found on AP sheet",IF(AND(ISNUMBER(M165),N(M165)&lt;&gt;0,W165=0),"Tax ignored (tax tracking off, or not allowed for this type)",IF(V165=K165&amp;"","Same account on both sides",IF(AND(ISNUMBER(StartDate),C165&lt;StartDate),"Date is before the accounting start date",IF(AND(D165&lt;&gt;"Adjustment",IFERROR(INDEX(coa_Pay,MATCH(K165&amp;"",coa_Name,0)),"")&lt;&gt;"Yes"),"Paid From / Deposited To is not a payment account","")))))))))))</f>
        <v/>
      </c>
      <c r="Z165" s="67">
        <f>IF(AND(T165=0,X165=""),1,0)</f>
        <v/>
      </c>
      <c r="AA165" s="68">
        <f>IF(Z165=1,IF(U165="In",L165,L165-W165),0)</f>
        <v/>
      </c>
      <c r="AB165" s="68">
        <f>IF(Z165=1,IF(U165="In",L165-W165,L165),0)</f>
        <v/>
      </c>
      <c r="AC165" s="68">
        <f>IF(AND(Z165=1,U165="Out"),W165,0)</f>
        <v/>
      </c>
      <c r="AD165" s="68">
        <f>IF(AND(Z165=1,U165="In"),W165,0)</f>
        <v/>
      </c>
    </row>
    <row r="166">
      <c r="B166" s="62" t="inlineStr">
        <is>
          <t>TX-0160</t>
        </is>
      </c>
      <c r="C166" s="63" t="n">
        <v>46152</v>
      </c>
      <c r="D166" s="62" t="inlineStr">
        <is>
          <t>Money Out</t>
        </is>
      </c>
      <c r="E166" s="62" t="inlineStr">
        <is>
          <t>Loans Payable</t>
        </is>
      </c>
      <c r="F166" s="62" t="inlineStr">
        <is>
          <t>Loan principal</t>
        </is>
      </c>
      <c r="G166" s="62" t="n"/>
      <c r="H166" s="62" t="n"/>
      <c r="I166" s="62" t="inlineStr">
        <is>
          <t>Bank Transfer</t>
        </is>
      </c>
      <c r="J166" s="62" t="inlineStr">
        <is>
          <t>LOAN</t>
        </is>
      </c>
      <c r="K166" s="62" t="inlineStr">
        <is>
          <t>Bank Account</t>
        </is>
      </c>
      <c r="L166" s="64" t="n">
        <v>8000</v>
      </c>
      <c r="M166" s="64" t="n"/>
      <c r="N166" s="62" t="n"/>
      <c r="O166" s="65">
        <f>IF(Z166=1,L166-W166,"")</f>
        <v/>
      </c>
      <c r="P166" s="66">
        <f>IF(V166="","",IFERROR(INDEX(coa_Type,MATCH(V166,coa_Name,0)),""))</f>
        <v/>
      </c>
      <c r="Q166" s="66">
        <f>IF(Z166=1,IF(U166="In",K166&amp;"",V166),"")</f>
        <v/>
      </c>
      <c r="R166" s="66">
        <f>IF(Z166=1,IF(U166="In",V166,K166&amp;""),"")</f>
        <v/>
      </c>
      <c r="S166" s="66">
        <f>IF(X166&lt;&gt;"","⛔ "&amp;X166&amp;" — not posted",IF(Y166&lt;&gt;"","⚠ "&amp;Y166,IF(Z166=1,"✓ OK","")))</f>
        <v/>
      </c>
      <c r="T166" s="67">
        <f>IF(AND(C166="",D166="",E166="",L166="",K166=""),1,0)</f>
        <v/>
      </c>
      <c r="U166" s="67">
        <f>IFERROR(INDEX(tt_Dir,MATCH(D166,tt_Type,0)),"")</f>
        <v/>
      </c>
      <c r="V166" s="67">
        <f>IF(D166="","",IFERROR(IF(INDEX(tt_Other,MATCH(D166,tt_Type,0))="",E166&amp;"",INDEX(tt_Other,MATCH(D166,tt_Type,0))),""))</f>
        <v/>
      </c>
      <c r="W166" s="68">
        <f>IF(OR(TaxOn&lt;&gt;"Yes",NOT(ISNUMBER(M166))),0,IF(IFERROR(INDEX(tt_Tax,MATCH(D166,tt_Type,0)),"No")="Yes",M166,0))</f>
        <v/>
      </c>
      <c r="X166" s="67">
        <f>IF(T166=1,"",IF(C166="","Missing transaction date",IF(NOT(ISNUMBER(C166)),"Invalid date",IF(OR(C166&lt;DATE(2000,1,1),C166&gt;DATE(2099,12,31)),"Invalid date",IF(D166="","Select a type",IF(U166="","Unknown type: "&amp;D166,IF(V166="","Select an account (Category)",IF(ISNA(MATCH(V166,coa_Name,0)),"Unknown account: "&amp;V166,IF(K166="","Select Paid From / Deposited To",IF(ISNA(MATCH(K166,coa_Name,0)),"Unknown account: "&amp;K166,IF(NOT(ISNUMBER(L166)),"Enter an amount",IF(L166=0,"Enter an amount",IF(ABS(W166)&gt;ABS(L166),"Tax is larger than the amount","")))))))))))))</f>
        <v/>
      </c>
      <c r="Y166" s="67">
        <f>IF(OR(T166=1,X166&lt;&gt;""),"",IF(AND(B166&lt;&gt;"",COUNTIF(tx_ID,B166)&gt;1),"Duplicate transaction ID",IF(AND(L166&lt;0,D166&lt;&gt;"Adjustment"),"Negative amount — check this entry",IF(AND(D166="Customer Payment",G166=""),"Add the customer",IF(AND(D166="Customer Payment",OR(J166="",COUNTIF(ar_No,J166&amp;"")=0)),"Invoice # in Reference not found on AR sheet",IF(AND(D166="Bill Payment",H166=""),"Add the vendor",IF(AND(D166="Bill Payment",OR(J166="",COUNTIFS(ap_No,J166&amp;"",ap_Party,H166&amp;"")=0)),"Bill # + vendor not found on AP sheet",IF(AND(ISNUMBER(M166),N(M166)&lt;&gt;0,W166=0),"Tax ignored (tax tracking off, or not allowed for this type)",IF(V166=K166&amp;"","Same account on both sides",IF(AND(ISNUMBER(StartDate),C166&lt;StartDate),"Date is before the accounting start date",IF(AND(D166&lt;&gt;"Adjustment",IFERROR(INDEX(coa_Pay,MATCH(K166&amp;"",coa_Name,0)),"")&lt;&gt;"Yes"),"Paid From / Deposited To is not a payment account","")))))))))))</f>
        <v/>
      </c>
      <c r="Z166" s="67">
        <f>IF(AND(T166=0,X166=""),1,0)</f>
        <v/>
      </c>
      <c r="AA166" s="68">
        <f>IF(Z166=1,IF(U166="In",L166,L166-W166),0)</f>
        <v/>
      </c>
      <c r="AB166" s="68">
        <f>IF(Z166=1,IF(U166="In",L166-W166,L166),0)</f>
        <v/>
      </c>
      <c r="AC166" s="68">
        <f>IF(AND(Z166=1,U166="Out"),W166,0)</f>
        <v/>
      </c>
      <c r="AD166" s="68">
        <f>IF(AND(Z166=1,U166="In"),W166,0)</f>
        <v/>
      </c>
    </row>
    <row r="167">
      <c r="B167" s="62" t="inlineStr">
        <is>
          <t>TX-0161</t>
        </is>
      </c>
      <c r="C167" s="63" t="n">
        <v>46152</v>
      </c>
      <c r="D167" s="62" t="inlineStr">
        <is>
          <t>Money Out</t>
        </is>
      </c>
      <c r="E167" s="62" t="inlineStr">
        <is>
          <t>Interest Expense</t>
        </is>
      </c>
      <c r="F167" s="62" t="inlineStr">
        <is>
          <t>Loan interest</t>
        </is>
      </c>
      <c r="G167" s="62" t="n"/>
      <c r="H167" s="62" t="n"/>
      <c r="I167" s="62" t="inlineStr">
        <is>
          <t>Bank Transfer</t>
        </is>
      </c>
      <c r="J167" s="62" t="inlineStr">
        <is>
          <t>LOAN</t>
        </is>
      </c>
      <c r="K167" s="62" t="inlineStr">
        <is>
          <t>Bank Account</t>
        </is>
      </c>
      <c r="L167" s="64" t="n">
        <v>1260</v>
      </c>
      <c r="M167" s="64" t="n"/>
      <c r="N167" s="62" t="n"/>
      <c r="O167" s="65">
        <f>IF(Z167=1,L167-W167,"")</f>
        <v/>
      </c>
      <c r="P167" s="66">
        <f>IF(V167="","",IFERROR(INDEX(coa_Type,MATCH(V167,coa_Name,0)),""))</f>
        <v/>
      </c>
      <c r="Q167" s="66">
        <f>IF(Z167=1,IF(U167="In",K167&amp;"",V167),"")</f>
        <v/>
      </c>
      <c r="R167" s="66">
        <f>IF(Z167=1,IF(U167="In",V167,K167&amp;""),"")</f>
        <v/>
      </c>
      <c r="S167" s="66">
        <f>IF(X167&lt;&gt;"","⛔ "&amp;X167&amp;" — not posted",IF(Y167&lt;&gt;"","⚠ "&amp;Y167,IF(Z167=1,"✓ OK","")))</f>
        <v/>
      </c>
      <c r="T167" s="67">
        <f>IF(AND(C167="",D167="",E167="",L167="",K167=""),1,0)</f>
        <v/>
      </c>
      <c r="U167" s="67">
        <f>IFERROR(INDEX(tt_Dir,MATCH(D167,tt_Type,0)),"")</f>
        <v/>
      </c>
      <c r="V167" s="67">
        <f>IF(D167="","",IFERROR(IF(INDEX(tt_Other,MATCH(D167,tt_Type,0))="",E167&amp;"",INDEX(tt_Other,MATCH(D167,tt_Type,0))),""))</f>
        <v/>
      </c>
      <c r="W167" s="68">
        <f>IF(OR(TaxOn&lt;&gt;"Yes",NOT(ISNUMBER(M167))),0,IF(IFERROR(INDEX(tt_Tax,MATCH(D167,tt_Type,0)),"No")="Yes",M167,0))</f>
        <v/>
      </c>
      <c r="X167" s="67">
        <f>IF(T167=1,"",IF(C167="","Missing transaction date",IF(NOT(ISNUMBER(C167)),"Invalid date",IF(OR(C167&lt;DATE(2000,1,1),C167&gt;DATE(2099,12,31)),"Invalid date",IF(D167="","Select a type",IF(U167="","Unknown type: "&amp;D167,IF(V167="","Select an account (Category)",IF(ISNA(MATCH(V167,coa_Name,0)),"Unknown account: "&amp;V167,IF(K167="","Select Paid From / Deposited To",IF(ISNA(MATCH(K167,coa_Name,0)),"Unknown account: "&amp;K167,IF(NOT(ISNUMBER(L167)),"Enter an amount",IF(L167=0,"Enter an amount",IF(ABS(W167)&gt;ABS(L167),"Tax is larger than the amount","")))))))))))))</f>
        <v/>
      </c>
      <c r="Y167" s="67">
        <f>IF(OR(T167=1,X167&lt;&gt;""),"",IF(AND(B167&lt;&gt;"",COUNTIF(tx_ID,B167)&gt;1),"Duplicate transaction ID",IF(AND(L167&lt;0,D167&lt;&gt;"Adjustment"),"Negative amount — check this entry",IF(AND(D167="Customer Payment",G167=""),"Add the customer",IF(AND(D167="Customer Payment",OR(J167="",COUNTIF(ar_No,J167&amp;"")=0)),"Invoice # in Reference not found on AR sheet",IF(AND(D167="Bill Payment",H167=""),"Add the vendor",IF(AND(D167="Bill Payment",OR(J167="",COUNTIFS(ap_No,J167&amp;"",ap_Party,H167&amp;"")=0)),"Bill # + vendor not found on AP sheet",IF(AND(ISNUMBER(M167),N(M167)&lt;&gt;0,W167=0),"Tax ignored (tax tracking off, or not allowed for this type)",IF(V167=K167&amp;"","Same account on both sides",IF(AND(ISNUMBER(StartDate),C167&lt;StartDate),"Date is before the accounting start date",IF(AND(D167&lt;&gt;"Adjustment",IFERROR(INDEX(coa_Pay,MATCH(K167&amp;"",coa_Name,0)),"")&lt;&gt;"Yes"),"Paid From / Deposited To is not a payment account","")))))))))))</f>
        <v/>
      </c>
      <c r="Z167" s="67">
        <f>IF(AND(T167=0,X167=""),1,0)</f>
        <v/>
      </c>
      <c r="AA167" s="68">
        <f>IF(Z167=1,IF(U167="In",L167,L167-W167),0)</f>
        <v/>
      </c>
      <c r="AB167" s="68">
        <f>IF(Z167=1,IF(U167="In",L167-W167,L167),0)</f>
        <v/>
      </c>
      <c r="AC167" s="68">
        <f>IF(AND(Z167=1,U167="Out"),W167,0)</f>
        <v/>
      </c>
      <c r="AD167" s="68">
        <f>IF(AND(Z167=1,U167="In"),W167,0)</f>
        <v/>
      </c>
    </row>
    <row r="168">
      <c r="B168" s="62" t="inlineStr">
        <is>
          <t>TX-0162</t>
        </is>
      </c>
      <c r="C168" s="63" t="n">
        <v>46153</v>
      </c>
      <c r="D168" s="62" t="inlineStr">
        <is>
          <t>Customer Payment</t>
        </is>
      </c>
      <c r="E168" s="62" t="n"/>
      <c r="F168" s="62" t="inlineStr">
        <is>
          <t>Invoice payment</t>
        </is>
      </c>
      <c r="G168" s="62" t="inlineStr">
        <is>
          <t>Casa Verde Events</t>
        </is>
      </c>
      <c r="H168" s="62" t="n"/>
      <c r="I168" s="62" t="inlineStr">
        <is>
          <t>Bank Transfer</t>
        </is>
      </c>
      <c r="J168" s="62" t="inlineStr">
        <is>
          <t>INV-1006</t>
        </is>
      </c>
      <c r="K168" s="62" t="inlineStr">
        <is>
          <t>Bank Account</t>
        </is>
      </c>
      <c r="L168" s="64" t="n">
        <v>38801.41</v>
      </c>
      <c r="M168" s="64" t="n"/>
      <c r="N168" s="62" t="n"/>
      <c r="O168" s="65">
        <f>IF(Z168=1,L168-W168,"")</f>
        <v/>
      </c>
      <c r="P168" s="66">
        <f>IF(V168="","",IFERROR(INDEX(coa_Type,MATCH(V168,coa_Name,0)),""))</f>
        <v/>
      </c>
      <c r="Q168" s="66">
        <f>IF(Z168=1,IF(U168="In",K168&amp;"",V168),"")</f>
        <v/>
      </c>
      <c r="R168" s="66">
        <f>IF(Z168=1,IF(U168="In",V168,K168&amp;""),"")</f>
        <v/>
      </c>
      <c r="S168" s="66">
        <f>IF(X168&lt;&gt;"","⛔ "&amp;X168&amp;" — not posted",IF(Y168&lt;&gt;"","⚠ "&amp;Y168,IF(Z168=1,"✓ OK","")))</f>
        <v/>
      </c>
      <c r="T168" s="67">
        <f>IF(AND(C168="",D168="",E168="",L168="",K168=""),1,0)</f>
        <v/>
      </c>
      <c r="U168" s="67">
        <f>IFERROR(INDEX(tt_Dir,MATCH(D168,tt_Type,0)),"")</f>
        <v/>
      </c>
      <c r="V168" s="67">
        <f>IF(D168="","",IFERROR(IF(INDEX(tt_Other,MATCH(D168,tt_Type,0))="",E168&amp;"",INDEX(tt_Other,MATCH(D168,tt_Type,0))),""))</f>
        <v/>
      </c>
      <c r="W168" s="68">
        <f>IF(OR(TaxOn&lt;&gt;"Yes",NOT(ISNUMBER(M168))),0,IF(IFERROR(INDEX(tt_Tax,MATCH(D168,tt_Type,0)),"No")="Yes",M168,0))</f>
        <v/>
      </c>
      <c r="X168" s="67">
        <f>IF(T168=1,"",IF(C168="","Missing transaction date",IF(NOT(ISNUMBER(C168)),"Invalid date",IF(OR(C168&lt;DATE(2000,1,1),C168&gt;DATE(2099,12,31)),"Invalid date",IF(D168="","Select a type",IF(U168="","Unknown type: "&amp;D168,IF(V168="","Select an account (Category)",IF(ISNA(MATCH(V168,coa_Name,0)),"Unknown account: "&amp;V168,IF(K168="","Select Paid From / Deposited To",IF(ISNA(MATCH(K168,coa_Name,0)),"Unknown account: "&amp;K168,IF(NOT(ISNUMBER(L168)),"Enter an amount",IF(L168=0,"Enter an amount",IF(ABS(W168)&gt;ABS(L168),"Tax is larger than the amount","")))))))))))))</f>
        <v/>
      </c>
      <c r="Y168" s="67">
        <f>IF(OR(T168=1,X168&lt;&gt;""),"",IF(AND(B168&lt;&gt;"",COUNTIF(tx_ID,B168)&gt;1),"Duplicate transaction ID",IF(AND(L168&lt;0,D168&lt;&gt;"Adjustment"),"Negative amount — check this entry",IF(AND(D168="Customer Payment",G168=""),"Add the customer",IF(AND(D168="Customer Payment",OR(J168="",COUNTIF(ar_No,J168&amp;"")=0)),"Invoice # in Reference not found on AR sheet",IF(AND(D168="Bill Payment",H168=""),"Add the vendor",IF(AND(D168="Bill Payment",OR(J168="",COUNTIFS(ap_No,J168&amp;"",ap_Party,H168&amp;"")=0)),"Bill # + vendor not found on AP sheet",IF(AND(ISNUMBER(M168),N(M168)&lt;&gt;0,W168=0),"Tax ignored (tax tracking off, or not allowed for this type)",IF(V168=K168&amp;"","Same account on both sides",IF(AND(ISNUMBER(StartDate),C168&lt;StartDate),"Date is before the accounting start date",IF(AND(D168&lt;&gt;"Adjustment",IFERROR(INDEX(coa_Pay,MATCH(K168&amp;"",coa_Name,0)),"")&lt;&gt;"Yes"),"Paid From / Deposited To is not a payment account","")))))))))))</f>
        <v/>
      </c>
      <c r="Z168" s="67">
        <f>IF(AND(T168=0,X168=""),1,0)</f>
        <v/>
      </c>
      <c r="AA168" s="68">
        <f>IF(Z168=1,IF(U168="In",L168,L168-W168),0)</f>
        <v/>
      </c>
      <c r="AB168" s="68">
        <f>IF(Z168=1,IF(U168="In",L168-W168,L168),0)</f>
        <v/>
      </c>
      <c r="AC168" s="68">
        <f>IF(AND(Z168=1,U168="Out"),W168,0)</f>
        <v/>
      </c>
      <c r="AD168" s="68">
        <f>IF(AND(Z168=1,U168="In"),W168,0)</f>
        <v/>
      </c>
    </row>
    <row r="169">
      <c r="B169" s="62" t="inlineStr">
        <is>
          <t>TX-0163</t>
        </is>
      </c>
      <c r="C169" s="63" t="n">
        <v>46153</v>
      </c>
      <c r="D169" s="62" t="inlineStr">
        <is>
          <t>Money In</t>
        </is>
      </c>
      <c r="E169" s="62" t="inlineStr">
        <is>
          <t>Product Sales</t>
        </is>
      </c>
      <c r="F169" s="62" t="inlineStr">
        <is>
          <t>Counter sales week 2</t>
        </is>
      </c>
      <c r="G169" s="62" t="n"/>
      <c r="H169" s="62" t="n"/>
      <c r="I169" s="62" t="inlineStr">
        <is>
          <t>Cash</t>
        </is>
      </c>
      <c r="J169" s="62" t="n"/>
      <c r="K169" s="62" t="inlineStr">
        <is>
          <t>Cash on Hand</t>
        </is>
      </c>
      <c r="L169" s="64" t="n">
        <v>61835.44</v>
      </c>
      <c r="M169" s="64" t="n">
        <v>6625.23</v>
      </c>
      <c r="N169" s="62" t="n"/>
      <c r="O169" s="65">
        <f>IF(Z169=1,L169-W169,"")</f>
        <v/>
      </c>
      <c r="P169" s="66">
        <f>IF(V169="","",IFERROR(INDEX(coa_Type,MATCH(V169,coa_Name,0)),""))</f>
        <v/>
      </c>
      <c r="Q169" s="66">
        <f>IF(Z169=1,IF(U169="In",K169&amp;"",V169),"")</f>
        <v/>
      </c>
      <c r="R169" s="66">
        <f>IF(Z169=1,IF(U169="In",V169,K169&amp;""),"")</f>
        <v/>
      </c>
      <c r="S169" s="66">
        <f>IF(X169&lt;&gt;"","⛔ "&amp;X169&amp;" — not posted",IF(Y169&lt;&gt;"","⚠ "&amp;Y169,IF(Z169=1,"✓ OK","")))</f>
        <v/>
      </c>
      <c r="T169" s="67">
        <f>IF(AND(C169="",D169="",E169="",L169="",K169=""),1,0)</f>
        <v/>
      </c>
      <c r="U169" s="67">
        <f>IFERROR(INDEX(tt_Dir,MATCH(D169,tt_Type,0)),"")</f>
        <v/>
      </c>
      <c r="V169" s="67">
        <f>IF(D169="","",IFERROR(IF(INDEX(tt_Other,MATCH(D169,tt_Type,0))="",E169&amp;"",INDEX(tt_Other,MATCH(D169,tt_Type,0))),""))</f>
        <v/>
      </c>
      <c r="W169" s="68">
        <f>IF(OR(TaxOn&lt;&gt;"Yes",NOT(ISNUMBER(M169))),0,IF(IFERROR(INDEX(tt_Tax,MATCH(D169,tt_Type,0)),"No")="Yes",M169,0))</f>
        <v/>
      </c>
      <c r="X169" s="67">
        <f>IF(T169=1,"",IF(C169="","Missing transaction date",IF(NOT(ISNUMBER(C169)),"Invalid date",IF(OR(C169&lt;DATE(2000,1,1),C169&gt;DATE(2099,12,31)),"Invalid date",IF(D169="","Select a type",IF(U169="","Unknown type: "&amp;D169,IF(V169="","Select an account (Category)",IF(ISNA(MATCH(V169,coa_Name,0)),"Unknown account: "&amp;V169,IF(K169="","Select Paid From / Deposited To",IF(ISNA(MATCH(K169,coa_Name,0)),"Unknown account: "&amp;K169,IF(NOT(ISNUMBER(L169)),"Enter an amount",IF(L169=0,"Enter an amount",IF(ABS(W169)&gt;ABS(L169),"Tax is larger than the amount","")))))))))))))</f>
        <v/>
      </c>
      <c r="Y169" s="67">
        <f>IF(OR(T169=1,X169&lt;&gt;""),"",IF(AND(B169&lt;&gt;"",COUNTIF(tx_ID,B169)&gt;1),"Duplicate transaction ID",IF(AND(L169&lt;0,D169&lt;&gt;"Adjustment"),"Negative amount — check this entry",IF(AND(D169="Customer Payment",G169=""),"Add the customer",IF(AND(D169="Customer Payment",OR(J169="",COUNTIF(ar_No,J169&amp;"")=0)),"Invoice # in Reference not found on AR sheet",IF(AND(D169="Bill Payment",H169=""),"Add the vendor",IF(AND(D169="Bill Payment",OR(J169="",COUNTIFS(ap_No,J169&amp;"",ap_Party,H169&amp;"")=0)),"Bill # + vendor not found on AP sheet",IF(AND(ISNUMBER(M169),N(M169)&lt;&gt;0,W169=0),"Tax ignored (tax tracking off, or not allowed for this type)",IF(V169=K169&amp;"","Same account on both sides",IF(AND(ISNUMBER(StartDate),C169&lt;StartDate),"Date is before the accounting start date",IF(AND(D169&lt;&gt;"Adjustment",IFERROR(INDEX(coa_Pay,MATCH(K169&amp;"",coa_Name,0)),"")&lt;&gt;"Yes"),"Paid From / Deposited To is not a payment account","")))))))))))</f>
        <v/>
      </c>
      <c r="Z169" s="67">
        <f>IF(AND(T169=0,X169=""),1,0)</f>
        <v/>
      </c>
      <c r="AA169" s="68">
        <f>IF(Z169=1,IF(U169="In",L169,L169-W169),0)</f>
        <v/>
      </c>
      <c r="AB169" s="68">
        <f>IF(Z169=1,IF(U169="In",L169-W169,L169),0)</f>
        <v/>
      </c>
      <c r="AC169" s="68">
        <f>IF(AND(Z169=1,U169="Out"),W169,0)</f>
        <v/>
      </c>
      <c r="AD169" s="68">
        <f>IF(AND(Z169=1,U169="In"),W169,0)</f>
        <v/>
      </c>
    </row>
    <row r="170">
      <c r="B170" s="62" t="inlineStr">
        <is>
          <t>TX-0164</t>
        </is>
      </c>
      <c r="C170" s="63" t="n">
        <v>46154</v>
      </c>
      <c r="D170" s="62" t="inlineStr">
        <is>
          <t>Money In</t>
        </is>
      </c>
      <c r="E170" s="62" t="inlineStr">
        <is>
          <t>Product Sales</t>
        </is>
      </c>
      <c r="F170" s="62" t="inlineStr">
        <is>
          <t>GCash / online orders week 2</t>
        </is>
      </c>
      <c r="G170" s="62" t="n"/>
      <c r="H170" s="62" t="n"/>
      <c r="I170" s="62" t="inlineStr">
        <is>
          <t>E-Wallet</t>
        </is>
      </c>
      <c r="J170" s="62" t="n"/>
      <c r="K170" s="62" t="inlineStr">
        <is>
          <t>E-Wallet / Online Payments</t>
        </is>
      </c>
      <c r="L170" s="64" t="n">
        <v>22445.37</v>
      </c>
      <c r="M170" s="64" t="n">
        <v>2404.86</v>
      </c>
      <c r="N170" s="62" t="n"/>
      <c r="O170" s="65">
        <f>IF(Z170=1,L170-W170,"")</f>
        <v/>
      </c>
      <c r="P170" s="66">
        <f>IF(V170="","",IFERROR(INDEX(coa_Type,MATCH(V170,coa_Name,0)),""))</f>
        <v/>
      </c>
      <c r="Q170" s="66">
        <f>IF(Z170=1,IF(U170="In",K170&amp;"",V170),"")</f>
        <v/>
      </c>
      <c r="R170" s="66">
        <f>IF(Z170=1,IF(U170="In",V170,K170&amp;""),"")</f>
        <v/>
      </c>
      <c r="S170" s="66">
        <f>IF(X170&lt;&gt;"","⛔ "&amp;X170&amp;" — not posted",IF(Y170&lt;&gt;"","⚠ "&amp;Y170,IF(Z170=1,"✓ OK","")))</f>
        <v/>
      </c>
      <c r="T170" s="67">
        <f>IF(AND(C170="",D170="",E170="",L170="",K170=""),1,0)</f>
        <v/>
      </c>
      <c r="U170" s="67">
        <f>IFERROR(INDEX(tt_Dir,MATCH(D170,tt_Type,0)),"")</f>
        <v/>
      </c>
      <c r="V170" s="67">
        <f>IF(D170="","",IFERROR(IF(INDEX(tt_Other,MATCH(D170,tt_Type,0))="",E170&amp;"",INDEX(tt_Other,MATCH(D170,tt_Type,0))),""))</f>
        <v/>
      </c>
      <c r="W170" s="68">
        <f>IF(OR(TaxOn&lt;&gt;"Yes",NOT(ISNUMBER(M170))),0,IF(IFERROR(INDEX(tt_Tax,MATCH(D170,tt_Type,0)),"No")="Yes",M170,0))</f>
        <v/>
      </c>
      <c r="X170" s="67">
        <f>IF(T170=1,"",IF(C170="","Missing transaction date",IF(NOT(ISNUMBER(C170)),"Invalid date",IF(OR(C170&lt;DATE(2000,1,1),C170&gt;DATE(2099,12,31)),"Invalid date",IF(D170="","Select a type",IF(U170="","Unknown type: "&amp;D170,IF(V170="","Select an account (Category)",IF(ISNA(MATCH(V170,coa_Name,0)),"Unknown account: "&amp;V170,IF(K170="","Select Paid From / Deposited To",IF(ISNA(MATCH(K170,coa_Name,0)),"Unknown account: "&amp;K170,IF(NOT(ISNUMBER(L170)),"Enter an amount",IF(L170=0,"Enter an amount",IF(ABS(W170)&gt;ABS(L170),"Tax is larger than the amount","")))))))))))))</f>
        <v/>
      </c>
      <c r="Y170" s="67">
        <f>IF(OR(T170=1,X170&lt;&gt;""),"",IF(AND(B170&lt;&gt;"",COUNTIF(tx_ID,B170)&gt;1),"Duplicate transaction ID",IF(AND(L170&lt;0,D170&lt;&gt;"Adjustment"),"Negative amount — check this entry",IF(AND(D170="Customer Payment",G170=""),"Add the customer",IF(AND(D170="Customer Payment",OR(J170="",COUNTIF(ar_No,J170&amp;"")=0)),"Invoice # in Reference not found on AR sheet",IF(AND(D170="Bill Payment",H170=""),"Add the vendor",IF(AND(D170="Bill Payment",OR(J170="",COUNTIFS(ap_No,J170&amp;"",ap_Party,H170&amp;"")=0)),"Bill # + vendor not found on AP sheet",IF(AND(ISNUMBER(M170),N(M170)&lt;&gt;0,W170=0),"Tax ignored (tax tracking off, or not allowed for this type)",IF(V170=K170&amp;"","Same account on both sides",IF(AND(ISNUMBER(StartDate),C170&lt;StartDate),"Date is before the accounting start date",IF(AND(D170&lt;&gt;"Adjustment",IFERROR(INDEX(coa_Pay,MATCH(K170&amp;"",coa_Name,0)),"")&lt;&gt;"Yes"),"Paid From / Deposited To is not a payment account","")))))))))))</f>
        <v/>
      </c>
      <c r="Z170" s="67">
        <f>IF(AND(T170=0,X170=""),1,0)</f>
        <v/>
      </c>
      <c r="AA170" s="68">
        <f>IF(Z170=1,IF(U170="In",L170,L170-W170),0)</f>
        <v/>
      </c>
      <c r="AB170" s="68">
        <f>IF(Z170=1,IF(U170="In",L170-W170,L170),0)</f>
        <v/>
      </c>
      <c r="AC170" s="68">
        <f>IF(AND(Z170=1,U170="Out"),W170,0)</f>
        <v/>
      </c>
      <c r="AD170" s="68">
        <f>IF(AND(Z170=1,U170="In"),W170,0)</f>
        <v/>
      </c>
    </row>
    <row r="171">
      <c r="B171" s="62" t="inlineStr">
        <is>
          <t>TX-0165</t>
        </is>
      </c>
      <c r="C171" s="63" t="n">
        <v>46154</v>
      </c>
      <c r="D171" s="62" t="inlineStr">
        <is>
          <t>Money Out</t>
        </is>
      </c>
      <c r="E171" s="62" t="inlineStr">
        <is>
          <t>Utilities</t>
        </is>
      </c>
      <c r="F171" s="62" t="inlineStr">
        <is>
          <t>Electricity &amp; water</t>
        </is>
      </c>
      <c r="G171" s="62" t="n"/>
      <c r="H171" s="62" t="n"/>
      <c r="I171" s="62" t="inlineStr">
        <is>
          <t>Bank Transfer</t>
        </is>
      </c>
      <c r="J171" s="62" t="n"/>
      <c r="K171" s="62" t="inlineStr">
        <is>
          <t>Bank Account</t>
        </is>
      </c>
      <c r="L171" s="64" t="n">
        <v>11861.48</v>
      </c>
      <c r="M171" s="64" t="n">
        <v>1270.87</v>
      </c>
      <c r="N171" s="62" t="n"/>
      <c r="O171" s="65">
        <f>IF(Z171=1,L171-W171,"")</f>
        <v/>
      </c>
      <c r="P171" s="66">
        <f>IF(V171="","",IFERROR(INDEX(coa_Type,MATCH(V171,coa_Name,0)),""))</f>
        <v/>
      </c>
      <c r="Q171" s="66">
        <f>IF(Z171=1,IF(U171="In",K171&amp;"",V171),"")</f>
        <v/>
      </c>
      <c r="R171" s="66">
        <f>IF(Z171=1,IF(U171="In",V171,K171&amp;""),"")</f>
        <v/>
      </c>
      <c r="S171" s="66">
        <f>IF(X171&lt;&gt;"","⛔ "&amp;X171&amp;" — not posted",IF(Y171&lt;&gt;"","⚠ "&amp;Y171,IF(Z171=1,"✓ OK","")))</f>
        <v/>
      </c>
      <c r="T171" s="67">
        <f>IF(AND(C171="",D171="",E171="",L171="",K171=""),1,0)</f>
        <v/>
      </c>
      <c r="U171" s="67">
        <f>IFERROR(INDEX(tt_Dir,MATCH(D171,tt_Type,0)),"")</f>
        <v/>
      </c>
      <c r="V171" s="67">
        <f>IF(D171="","",IFERROR(IF(INDEX(tt_Other,MATCH(D171,tt_Type,0))="",E171&amp;"",INDEX(tt_Other,MATCH(D171,tt_Type,0))),""))</f>
        <v/>
      </c>
      <c r="W171" s="68">
        <f>IF(OR(TaxOn&lt;&gt;"Yes",NOT(ISNUMBER(M171))),0,IF(IFERROR(INDEX(tt_Tax,MATCH(D171,tt_Type,0)),"No")="Yes",M171,0))</f>
        <v/>
      </c>
      <c r="X171" s="67">
        <f>IF(T171=1,"",IF(C171="","Missing transaction date",IF(NOT(ISNUMBER(C171)),"Invalid date",IF(OR(C171&lt;DATE(2000,1,1),C171&gt;DATE(2099,12,31)),"Invalid date",IF(D171="","Select a type",IF(U171="","Unknown type: "&amp;D171,IF(V171="","Select an account (Category)",IF(ISNA(MATCH(V171,coa_Name,0)),"Unknown account: "&amp;V171,IF(K171="","Select Paid From / Deposited To",IF(ISNA(MATCH(K171,coa_Name,0)),"Unknown account: "&amp;K171,IF(NOT(ISNUMBER(L171)),"Enter an amount",IF(L171=0,"Enter an amount",IF(ABS(W171)&gt;ABS(L171),"Tax is larger than the amount","")))))))))))))</f>
        <v/>
      </c>
      <c r="Y171" s="67">
        <f>IF(OR(T171=1,X171&lt;&gt;""),"",IF(AND(B171&lt;&gt;"",COUNTIF(tx_ID,B171)&gt;1),"Duplicate transaction ID",IF(AND(L171&lt;0,D171&lt;&gt;"Adjustment"),"Negative amount — check this entry",IF(AND(D171="Customer Payment",G171=""),"Add the customer",IF(AND(D171="Customer Payment",OR(J171="",COUNTIF(ar_No,J171&amp;"")=0)),"Invoice # in Reference not found on AR sheet",IF(AND(D171="Bill Payment",H171=""),"Add the vendor",IF(AND(D171="Bill Payment",OR(J171="",COUNTIFS(ap_No,J171&amp;"",ap_Party,H171&amp;"")=0)),"Bill # + vendor not found on AP sheet",IF(AND(ISNUMBER(M171),N(M171)&lt;&gt;0,W171=0),"Tax ignored (tax tracking off, or not allowed for this type)",IF(V171=K171&amp;"","Same account on both sides",IF(AND(ISNUMBER(StartDate),C171&lt;StartDate),"Date is before the accounting start date",IF(AND(D171&lt;&gt;"Adjustment",IFERROR(INDEX(coa_Pay,MATCH(K171&amp;"",coa_Name,0)),"")&lt;&gt;"Yes"),"Paid From / Deposited To is not a payment account","")))))))))))</f>
        <v/>
      </c>
      <c r="Z171" s="67">
        <f>IF(AND(T171=0,X171=""),1,0)</f>
        <v/>
      </c>
      <c r="AA171" s="68">
        <f>IF(Z171=1,IF(U171="In",L171,L171-W171),0)</f>
        <v/>
      </c>
      <c r="AB171" s="68">
        <f>IF(Z171=1,IF(U171="In",L171-W171,L171),0)</f>
        <v/>
      </c>
      <c r="AC171" s="68">
        <f>IF(AND(Z171=1,U171="Out"),W171,0)</f>
        <v/>
      </c>
      <c r="AD171" s="68">
        <f>IF(AND(Z171=1,U171="In"),W171,0)</f>
        <v/>
      </c>
    </row>
    <row r="172">
      <c r="B172" s="62" t="inlineStr">
        <is>
          <t>TX-0166</t>
        </is>
      </c>
      <c r="C172" s="63" t="n">
        <v>46155</v>
      </c>
      <c r="D172" s="62" t="inlineStr">
        <is>
          <t>Bill Payment</t>
        </is>
      </c>
      <c r="E172" s="62" t="n"/>
      <c r="F172" s="62" t="inlineStr">
        <is>
          <t>Supplier payment</t>
        </is>
      </c>
      <c r="G172" s="62" t="n"/>
      <c r="H172" s="62" t="inlineStr">
        <is>
          <t>Fresh Dairy Co.</t>
        </is>
      </c>
      <c r="I172" s="62" t="inlineStr">
        <is>
          <t>Bank Transfer</t>
        </is>
      </c>
      <c r="J172" s="62" t="inlineStr">
        <is>
          <t>FR-042</t>
        </is>
      </c>
      <c r="K172" s="62" t="inlineStr">
        <is>
          <t>Bank Account</t>
        </is>
      </c>
      <c r="L172" s="64" t="n">
        <v>12966.48</v>
      </c>
      <c r="M172" s="64" t="n"/>
      <c r="N172" s="62" t="n"/>
      <c r="O172" s="65">
        <f>IF(Z172=1,L172-W172,"")</f>
        <v/>
      </c>
      <c r="P172" s="66">
        <f>IF(V172="","",IFERROR(INDEX(coa_Type,MATCH(V172,coa_Name,0)),""))</f>
        <v/>
      </c>
      <c r="Q172" s="66">
        <f>IF(Z172=1,IF(U172="In",K172&amp;"",V172),"")</f>
        <v/>
      </c>
      <c r="R172" s="66">
        <f>IF(Z172=1,IF(U172="In",V172,K172&amp;""),"")</f>
        <v/>
      </c>
      <c r="S172" s="66">
        <f>IF(X172&lt;&gt;"","⛔ "&amp;X172&amp;" — not posted",IF(Y172&lt;&gt;"","⚠ "&amp;Y172,IF(Z172=1,"✓ OK","")))</f>
        <v/>
      </c>
      <c r="T172" s="67">
        <f>IF(AND(C172="",D172="",E172="",L172="",K172=""),1,0)</f>
        <v/>
      </c>
      <c r="U172" s="67">
        <f>IFERROR(INDEX(tt_Dir,MATCH(D172,tt_Type,0)),"")</f>
        <v/>
      </c>
      <c r="V172" s="67">
        <f>IF(D172="","",IFERROR(IF(INDEX(tt_Other,MATCH(D172,tt_Type,0))="",E172&amp;"",INDEX(tt_Other,MATCH(D172,tt_Type,0))),""))</f>
        <v/>
      </c>
      <c r="W172" s="68">
        <f>IF(OR(TaxOn&lt;&gt;"Yes",NOT(ISNUMBER(M172))),0,IF(IFERROR(INDEX(tt_Tax,MATCH(D172,tt_Type,0)),"No")="Yes",M172,0))</f>
        <v/>
      </c>
      <c r="X172" s="67">
        <f>IF(T172=1,"",IF(C172="","Missing transaction date",IF(NOT(ISNUMBER(C172)),"Invalid date",IF(OR(C172&lt;DATE(2000,1,1),C172&gt;DATE(2099,12,31)),"Invalid date",IF(D172="","Select a type",IF(U172="","Unknown type: "&amp;D172,IF(V172="","Select an account (Category)",IF(ISNA(MATCH(V172,coa_Name,0)),"Unknown account: "&amp;V172,IF(K172="","Select Paid From / Deposited To",IF(ISNA(MATCH(K172,coa_Name,0)),"Unknown account: "&amp;K172,IF(NOT(ISNUMBER(L172)),"Enter an amount",IF(L172=0,"Enter an amount",IF(ABS(W172)&gt;ABS(L172),"Tax is larger than the amount","")))))))))))))</f>
        <v/>
      </c>
      <c r="Y172" s="67">
        <f>IF(OR(T172=1,X172&lt;&gt;""),"",IF(AND(B172&lt;&gt;"",COUNTIF(tx_ID,B172)&gt;1),"Duplicate transaction ID",IF(AND(L172&lt;0,D172&lt;&gt;"Adjustment"),"Negative amount — check this entry",IF(AND(D172="Customer Payment",G172=""),"Add the customer",IF(AND(D172="Customer Payment",OR(J172="",COUNTIF(ar_No,J172&amp;"")=0)),"Invoice # in Reference not found on AR sheet",IF(AND(D172="Bill Payment",H172=""),"Add the vendor",IF(AND(D172="Bill Payment",OR(J172="",COUNTIFS(ap_No,J172&amp;"",ap_Party,H172&amp;"")=0)),"Bill # + vendor not found on AP sheet",IF(AND(ISNUMBER(M172),N(M172)&lt;&gt;0,W172=0),"Tax ignored (tax tracking off, or not allowed for this type)",IF(V172=K172&amp;"","Same account on both sides",IF(AND(ISNUMBER(StartDate),C172&lt;StartDate),"Date is before the accounting start date",IF(AND(D172&lt;&gt;"Adjustment",IFERROR(INDEX(coa_Pay,MATCH(K172&amp;"",coa_Name,0)),"")&lt;&gt;"Yes"),"Paid From / Deposited To is not a payment account","")))))))))))</f>
        <v/>
      </c>
      <c r="Z172" s="67">
        <f>IF(AND(T172=0,X172=""),1,0)</f>
        <v/>
      </c>
      <c r="AA172" s="68">
        <f>IF(Z172=1,IF(U172="In",L172,L172-W172),0)</f>
        <v/>
      </c>
      <c r="AB172" s="68">
        <f>IF(Z172=1,IF(U172="In",L172-W172,L172),0)</f>
        <v/>
      </c>
      <c r="AC172" s="68">
        <f>IF(AND(Z172=1,U172="Out"),W172,0)</f>
        <v/>
      </c>
      <c r="AD172" s="68">
        <f>IF(AND(Z172=1,U172="In"),W172,0)</f>
        <v/>
      </c>
    </row>
    <row r="173">
      <c r="B173" s="62" t="inlineStr">
        <is>
          <t>TX-0167</t>
        </is>
      </c>
      <c r="C173" s="63" t="n">
        <v>46155</v>
      </c>
      <c r="D173" s="62" t="inlineStr">
        <is>
          <t>Transfer</t>
        </is>
      </c>
      <c r="E173" s="62" t="inlineStr">
        <is>
          <t>Bank Account</t>
        </is>
      </c>
      <c r="F173" s="62" t="inlineStr">
        <is>
          <t>Cash deposit to bank</t>
        </is>
      </c>
      <c r="G173" s="62" t="n"/>
      <c r="H173" s="62" t="n"/>
      <c r="I173" s="62" t="inlineStr">
        <is>
          <t>Cash</t>
        </is>
      </c>
      <c r="J173" s="62" t="n"/>
      <c r="K173" s="62" t="inlineStr">
        <is>
          <t>Cash on Hand</t>
        </is>
      </c>
      <c r="L173" s="64" t="n">
        <v>52600</v>
      </c>
      <c r="M173" s="64" t="n"/>
      <c r="N173" s="62" t="n"/>
      <c r="O173" s="65">
        <f>IF(Z173=1,L173-W173,"")</f>
        <v/>
      </c>
      <c r="P173" s="66">
        <f>IF(V173="","",IFERROR(INDEX(coa_Type,MATCH(V173,coa_Name,0)),""))</f>
        <v/>
      </c>
      <c r="Q173" s="66">
        <f>IF(Z173=1,IF(U173="In",K173&amp;"",V173),"")</f>
        <v/>
      </c>
      <c r="R173" s="66">
        <f>IF(Z173=1,IF(U173="In",V173,K173&amp;""),"")</f>
        <v/>
      </c>
      <c r="S173" s="66">
        <f>IF(X173&lt;&gt;"","⛔ "&amp;X173&amp;" — not posted",IF(Y173&lt;&gt;"","⚠ "&amp;Y173,IF(Z173=1,"✓ OK","")))</f>
        <v/>
      </c>
      <c r="T173" s="67">
        <f>IF(AND(C173="",D173="",E173="",L173="",K173=""),1,0)</f>
        <v/>
      </c>
      <c r="U173" s="67">
        <f>IFERROR(INDEX(tt_Dir,MATCH(D173,tt_Type,0)),"")</f>
        <v/>
      </c>
      <c r="V173" s="67">
        <f>IF(D173="","",IFERROR(IF(INDEX(tt_Other,MATCH(D173,tt_Type,0))="",E173&amp;"",INDEX(tt_Other,MATCH(D173,tt_Type,0))),""))</f>
        <v/>
      </c>
      <c r="W173" s="68">
        <f>IF(OR(TaxOn&lt;&gt;"Yes",NOT(ISNUMBER(M173))),0,IF(IFERROR(INDEX(tt_Tax,MATCH(D173,tt_Type,0)),"No")="Yes",M173,0))</f>
        <v/>
      </c>
      <c r="X173" s="67">
        <f>IF(T173=1,"",IF(C173="","Missing transaction date",IF(NOT(ISNUMBER(C173)),"Invalid date",IF(OR(C173&lt;DATE(2000,1,1),C173&gt;DATE(2099,12,31)),"Invalid date",IF(D173="","Select a type",IF(U173="","Unknown type: "&amp;D173,IF(V173="","Select an account (Category)",IF(ISNA(MATCH(V173,coa_Name,0)),"Unknown account: "&amp;V173,IF(K173="","Select Paid From / Deposited To",IF(ISNA(MATCH(K173,coa_Name,0)),"Unknown account: "&amp;K173,IF(NOT(ISNUMBER(L173)),"Enter an amount",IF(L173=0,"Enter an amount",IF(ABS(W173)&gt;ABS(L173),"Tax is larger than the amount","")))))))))))))</f>
        <v/>
      </c>
      <c r="Y173" s="67">
        <f>IF(OR(T173=1,X173&lt;&gt;""),"",IF(AND(B173&lt;&gt;"",COUNTIF(tx_ID,B173)&gt;1),"Duplicate transaction ID",IF(AND(L173&lt;0,D173&lt;&gt;"Adjustment"),"Negative amount — check this entry",IF(AND(D173="Customer Payment",G173=""),"Add the customer",IF(AND(D173="Customer Payment",OR(J173="",COUNTIF(ar_No,J173&amp;"")=0)),"Invoice # in Reference not found on AR sheet",IF(AND(D173="Bill Payment",H173=""),"Add the vendor",IF(AND(D173="Bill Payment",OR(J173="",COUNTIFS(ap_No,J173&amp;"",ap_Party,H173&amp;"")=0)),"Bill # + vendor not found on AP sheet",IF(AND(ISNUMBER(M173),N(M173)&lt;&gt;0,W173=0),"Tax ignored (tax tracking off, or not allowed for this type)",IF(V173=K173&amp;"","Same account on both sides",IF(AND(ISNUMBER(StartDate),C173&lt;StartDate),"Date is before the accounting start date",IF(AND(D173&lt;&gt;"Adjustment",IFERROR(INDEX(coa_Pay,MATCH(K173&amp;"",coa_Name,0)),"")&lt;&gt;"Yes"),"Paid From / Deposited To is not a payment account","")))))))))))</f>
        <v/>
      </c>
      <c r="Z173" s="67">
        <f>IF(AND(T173=0,X173=""),1,0)</f>
        <v/>
      </c>
      <c r="AA173" s="68">
        <f>IF(Z173=1,IF(U173="In",L173,L173-W173),0)</f>
        <v/>
      </c>
      <c r="AB173" s="68">
        <f>IF(Z173=1,IF(U173="In",L173-W173,L173),0)</f>
        <v/>
      </c>
      <c r="AC173" s="68">
        <f>IF(AND(Z173=1,U173="Out"),W173,0)</f>
        <v/>
      </c>
      <c r="AD173" s="68">
        <f>IF(AND(Z173=1,U173="In"),W173,0)</f>
        <v/>
      </c>
    </row>
    <row r="174">
      <c r="B174" s="62" t="inlineStr">
        <is>
          <t>TX-0168</t>
        </is>
      </c>
      <c r="C174" s="63" t="n">
        <v>46157</v>
      </c>
      <c r="D174" s="62" t="inlineStr">
        <is>
          <t>Money Out</t>
        </is>
      </c>
      <c r="E174" s="62" t="inlineStr">
        <is>
          <t>Internet &amp; Phone</t>
        </is>
      </c>
      <c r="F174" s="62" t="inlineStr">
        <is>
          <t>Fiber internet</t>
        </is>
      </c>
      <c r="G174" s="62" t="n"/>
      <c r="H174" s="62" t="n"/>
      <c r="I174" s="62" t="inlineStr">
        <is>
          <t>Bank Transfer</t>
        </is>
      </c>
      <c r="J174" s="62" t="n"/>
      <c r="K174" s="62" t="inlineStr">
        <is>
          <t>Bank Account</t>
        </is>
      </c>
      <c r="L174" s="64" t="n">
        <v>2499</v>
      </c>
      <c r="M174" s="64" t="n">
        <v>267.75</v>
      </c>
      <c r="N174" s="62" t="n"/>
      <c r="O174" s="65">
        <f>IF(Z174=1,L174-W174,"")</f>
        <v/>
      </c>
      <c r="P174" s="66">
        <f>IF(V174="","",IFERROR(INDEX(coa_Type,MATCH(V174,coa_Name,0)),""))</f>
        <v/>
      </c>
      <c r="Q174" s="66">
        <f>IF(Z174=1,IF(U174="In",K174&amp;"",V174),"")</f>
        <v/>
      </c>
      <c r="R174" s="66">
        <f>IF(Z174=1,IF(U174="In",V174,K174&amp;""),"")</f>
        <v/>
      </c>
      <c r="S174" s="66">
        <f>IF(X174&lt;&gt;"","⛔ "&amp;X174&amp;" — not posted",IF(Y174&lt;&gt;"","⚠ "&amp;Y174,IF(Z174=1,"✓ OK","")))</f>
        <v/>
      </c>
      <c r="T174" s="67">
        <f>IF(AND(C174="",D174="",E174="",L174="",K174=""),1,0)</f>
        <v/>
      </c>
      <c r="U174" s="67">
        <f>IFERROR(INDEX(tt_Dir,MATCH(D174,tt_Type,0)),"")</f>
        <v/>
      </c>
      <c r="V174" s="67">
        <f>IF(D174="","",IFERROR(IF(INDEX(tt_Other,MATCH(D174,tt_Type,0))="",E174&amp;"",INDEX(tt_Other,MATCH(D174,tt_Type,0))),""))</f>
        <v/>
      </c>
      <c r="W174" s="68">
        <f>IF(OR(TaxOn&lt;&gt;"Yes",NOT(ISNUMBER(M174))),0,IF(IFERROR(INDEX(tt_Tax,MATCH(D174,tt_Type,0)),"No")="Yes",M174,0))</f>
        <v/>
      </c>
      <c r="X174" s="67">
        <f>IF(T174=1,"",IF(C174="","Missing transaction date",IF(NOT(ISNUMBER(C174)),"Invalid date",IF(OR(C174&lt;DATE(2000,1,1),C174&gt;DATE(2099,12,31)),"Invalid date",IF(D174="","Select a type",IF(U174="","Unknown type: "&amp;D174,IF(V174="","Select an account (Category)",IF(ISNA(MATCH(V174,coa_Name,0)),"Unknown account: "&amp;V174,IF(K174="","Select Paid From / Deposited To",IF(ISNA(MATCH(K174,coa_Name,0)),"Unknown account: "&amp;K174,IF(NOT(ISNUMBER(L174)),"Enter an amount",IF(L174=0,"Enter an amount",IF(ABS(W174)&gt;ABS(L174),"Tax is larger than the amount","")))))))))))))</f>
        <v/>
      </c>
      <c r="Y174" s="67">
        <f>IF(OR(T174=1,X174&lt;&gt;""),"",IF(AND(B174&lt;&gt;"",COUNTIF(tx_ID,B174)&gt;1),"Duplicate transaction ID",IF(AND(L174&lt;0,D174&lt;&gt;"Adjustment"),"Negative amount — check this entry",IF(AND(D174="Customer Payment",G174=""),"Add the customer",IF(AND(D174="Customer Payment",OR(J174="",COUNTIF(ar_No,J174&amp;"")=0)),"Invoice # in Reference not found on AR sheet",IF(AND(D174="Bill Payment",H174=""),"Add the vendor",IF(AND(D174="Bill Payment",OR(J174="",COUNTIFS(ap_No,J174&amp;"",ap_Party,H174&amp;"")=0)),"Bill # + vendor not found on AP sheet",IF(AND(ISNUMBER(M174),N(M174)&lt;&gt;0,W174=0),"Tax ignored (tax tracking off, or not allowed for this type)",IF(V174=K174&amp;"","Same account on both sides",IF(AND(ISNUMBER(StartDate),C174&lt;StartDate),"Date is before the accounting start date",IF(AND(D174&lt;&gt;"Adjustment",IFERROR(INDEX(coa_Pay,MATCH(K174&amp;"",coa_Name,0)),"")&lt;&gt;"Yes"),"Paid From / Deposited To is not a payment account","")))))))))))</f>
        <v/>
      </c>
      <c r="Z174" s="67">
        <f>IF(AND(T174=0,X174=""),1,0)</f>
        <v/>
      </c>
      <c r="AA174" s="68">
        <f>IF(Z174=1,IF(U174="In",L174,L174-W174),0)</f>
        <v/>
      </c>
      <c r="AB174" s="68">
        <f>IF(Z174=1,IF(U174="In",L174-W174,L174),0)</f>
        <v/>
      </c>
      <c r="AC174" s="68">
        <f>IF(AND(Z174=1,U174="Out"),W174,0)</f>
        <v/>
      </c>
      <c r="AD174" s="68">
        <f>IF(AND(Z174=1,U174="In"),W174,0)</f>
        <v/>
      </c>
    </row>
    <row r="175">
      <c r="B175" s="62" t="inlineStr">
        <is>
          <t>TX-0169</t>
        </is>
      </c>
      <c r="C175" s="63" t="n">
        <v>46157</v>
      </c>
      <c r="D175" s="62" t="inlineStr">
        <is>
          <t>Money Out</t>
        </is>
      </c>
      <c r="E175" s="62" t="inlineStr">
        <is>
          <t>Direct Labor</t>
        </is>
      </c>
      <c r="F175" s="62" t="inlineStr">
        <is>
          <t>Bakers' salaries (1st-15th)</t>
        </is>
      </c>
      <c r="G175" s="62" t="n"/>
      <c r="H175" s="62" t="n"/>
      <c r="I175" s="62" t="inlineStr">
        <is>
          <t>Bank Transfer</t>
        </is>
      </c>
      <c r="J175" s="62" t="n"/>
      <c r="K175" s="62" t="inlineStr">
        <is>
          <t>Bank Account</t>
        </is>
      </c>
      <c r="L175" s="64" t="n">
        <v>38000</v>
      </c>
      <c r="M175" s="64" t="n"/>
      <c r="N175" s="62" t="n"/>
      <c r="O175" s="65">
        <f>IF(Z175=1,L175-W175,"")</f>
        <v/>
      </c>
      <c r="P175" s="66">
        <f>IF(V175="","",IFERROR(INDEX(coa_Type,MATCH(V175,coa_Name,0)),""))</f>
        <v/>
      </c>
      <c r="Q175" s="66">
        <f>IF(Z175=1,IF(U175="In",K175&amp;"",V175),"")</f>
        <v/>
      </c>
      <c r="R175" s="66">
        <f>IF(Z175=1,IF(U175="In",V175,K175&amp;""),"")</f>
        <v/>
      </c>
      <c r="S175" s="66">
        <f>IF(X175&lt;&gt;"","⛔ "&amp;X175&amp;" — not posted",IF(Y175&lt;&gt;"","⚠ "&amp;Y175,IF(Z175=1,"✓ OK","")))</f>
        <v/>
      </c>
      <c r="T175" s="67">
        <f>IF(AND(C175="",D175="",E175="",L175="",K175=""),1,0)</f>
        <v/>
      </c>
      <c r="U175" s="67">
        <f>IFERROR(INDEX(tt_Dir,MATCH(D175,tt_Type,0)),"")</f>
        <v/>
      </c>
      <c r="V175" s="67">
        <f>IF(D175="","",IFERROR(IF(INDEX(tt_Other,MATCH(D175,tt_Type,0))="",E175&amp;"",INDEX(tt_Other,MATCH(D175,tt_Type,0))),""))</f>
        <v/>
      </c>
      <c r="W175" s="68">
        <f>IF(OR(TaxOn&lt;&gt;"Yes",NOT(ISNUMBER(M175))),0,IF(IFERROR(INDEX(tt_Tax,MATCH(D175,tt_Type,0)),"No")="Yes",M175,0))</f>
        <v/>
      </c>
      <c r="X175" s="67">
        <f>IF(T175=1,"",IF(C175="","Missing transaction date",IF(NOT(ISNUMBER(C175)),"Invalid date",IF(OR(C175&lt;DATE(2000,1,1),C175&gt;DATE(2099,12,31)),"Invalid date",IF(D175="","Select a type",IF(U175="","Unknown type: "&amp;D175,IF(V175="","Select an account (Category)",IF(ISNA(MATCH(V175,coa_Name,0)),"Unknown account: "&amp;V175,IF(K175="","Select Paid From / Deposited To",IF(ISNA(MATCH(K175,coa_Name,0)),"Unknown account: "&amp;K175,IF(NOT(ISNUMBER(L175)),"Enter an amount",IF(L175=0,"Enter an amount",IF(ABS(W175)&gt;ABS(L175),"Tax is larger than the amount","")))))))))))))</f>
        <v/>
      </c>
      <c r="Y175" s="67">
        <f>IF(OR(T175=1,X175&lt;&gt;""),"",IF(AND(B175&lt;&gt;"",COUNTIF(tx_ID,B175)&gt;1),"Duplicate transaction ID",IF(AND(L175&lt;0,D175&lt;&gt;"Adjustment"),"Negative amount — check this entry",IF(AND(D175="Customer Payment",G175=""),"Add the customer",IF(AND(D175="Customer Payment",OR(J175="",COUNTIF(ar_No,J175&amp;"")=0)),"Invoice # in Reference not found on AR sheet",IF(AND(D175="Bill Payment",H175=""),"Add the vendor",IF(AND(D175="Bill Payment",OR(J175="",COUNTIFS(ap_No,J175&amp;"",ap_Party,H175&amp;"")=0)),"Bill # + vendor not found on AP sheet",IF(AND(ISNUMBER(M175),N(M175)&lt;&gt;0,W175=0),"Tax ignored (tax tracking off, or not allowed for this type)",IF(V175=K175&amp;"","Same account on both sides",IF(AND(ISNUMBER(StartDate),C175&lt;StartDate),"Date is before the accounting start date",IF(AND(D175&lt;&gt;"Adjustment",IFERROR(INDEX(coa_Pay,MATCH(K175&amp;"",coa_Name,0)),"")&lt;&gt;"Yes"),"Paid From / Deposited To is not a payment account","")))))))))))</f>
        <v/>
      </c>
      <c r="Z175" s="67">
        <f>IF(AND(T175=0,X175=""),1,0)</f>
        <v/>
      </c>
      <c r="AA175" s="68">
        <f>IF(Z175=1,IF(U175="In",L175,L175-W175),0)</f>
        <v/>
      </c>
      <c r="AB175" s="68">
        <f>IF(Z175=1,IF(U175="In",L175-W175,L175),0)</f>
        <v/>
      </c>
      <c r="AC175" s="68">
        <f>IF(AND(Z175=1,U175="Out"),W175,0)</f>
        <v/>
      </c>
      <c r="AD175" s="68">
        <f>IF(AND(Z175=1,U175="In"),W175,0)</f>
        <v/>
      </c>
    </row>
    <row r="176">
      <c r="B176" s="62" t="inlineStr">
        <is>
          <t>TX-0170</t>
        </is>
      </c>
      <c r="C176" s="63" t="n">
        <v>46157</v>
      </c>
      <c r="D176" s="62" t="inlineStr">
        <is>
          <t>Money Out</t>
        </is>
      </c>
      <c r="E176" s="62" t="inlineStr">
        <is>
          <t>Salaries &amp; Wages</t>
        </is>
      </c>
      <c r="F176" s="62" t="inlineStr">
        <is>
          <t>Cashier salary (1st-15th)</t>
        </is>
      </c>
      <c r="G176" s="62" t="n"/>
      <c r="H176" s="62" t="n"/>
      <c r="I176" s="62" t="inlineStr">
        <is>
          <t>Bank Transfer</t>
        </is>
      </c>
      <c r="J176" s="62" t="n"/>
      <c r="K176" s="62" t="inlineStr">
        <is>
          <t>Bank Account</t>
        </is>
      </c>
      <c r="L176" s="64" t="n">
        <v>9000</v>
      </c>
      <c r="M176" s="64" t="n"/>
      <c r="N176" s="62" t="n"/>
      <c r="O176" s="65">
        <f>IF(Z176=1,L176-W176,"")</f>
        <v/>
      </c>
      <c r="P176" s="66">
        <f>IF(V176="","",IFERROR(INDEX(coa_Type,MATCH(V176,coa_Name,0)),""))</f>
        <v/>
      </c>
      <c r="Q176" s="66">
        <f>IF(Z176=1,IF(U176="In",K176&amp;"",V176),"")</f>
        <v/>
      </c>
      <c r="R176" s="66">
        <f>IF(Z176=1,IF(U176="In",V176,K176&amp;""),"")</f>
        <v/>
      </c>
      <c r="S176" s="66">
        <f>IF(X176&lt;&gt;"","⛔ "&amp;X176&amp;" — not posted",IF(Y176&lt;&gt;"","⚠ "&amp;Y176,IF(Z176=1,"✓ OK","")))</f>
        <v/>
      </c>
      <c r="T176" s="67">
        <f>IF(AND(C176="",D176="",E176="",L176="",K176=""),1,0)</f>
        <v/>
      </c>
      <c r="U176" s="67">
        <f>IFERROR(INDEX(tt_Dir,MATCH(D176,tt_Type,0)),"")</f>
        <v/>
      </c>
      <c r="V176" s="67">
        <f>IF(D176="","",IFERROR(IF(INDEX(tt_Other,MATCH(D176,tt_Type,0))="",E176&amp;"",INDEX(tt_Other,MATCH(D176,tt_Type,0))),""))</f>
        <v/>
      </c>
      <c r="W176" s="68">
        <f>IF(OR(TaxOn&lt;&gt;"Yes",NOT(ISNUMBER(M176))),0,IF(IFERROR(INDEX(tt_Tax,MATCH(D176,tt_Type,0)),"No")="Yes",M176,0))</f>
        <v/>
      </c>
      <c r="X176" s="67">
        <f>IF(T176=1,"",IF(C176="","Missing transaction date",IF(NOT(ISNUMBER(C176)),"Invalid date",IF(OR(C176&lt;DATE(2000,1,1),C176&gt;DATE(2099,12,31)),"Invalid date",IF(D176="","Select a type",IF(U176="","Unknown type: "&amp;D176,IF(V176="","Select an account (Category)",IF(ISNA(MATCH(V176,coa_Name,0)),"Unknown account: "&amp;V176,IF(K176="","Select Paid From / Deposited To",IF(ISNA(MATCH(K176,coa_Name,0)),"Unknown account: "&amp;K176,IF(NOT(ISNUMBER(L176)),"Enter an amount",IF(L176=0,"Enter an amount",IF(ABS(W176)&gt;ABS(L176),"Tax is larger than the amount","")))))))))))))</f>
        <v/>
      </c>
      <c r="Y176" s="67">
        <f>IF(OR(T176=1,X176&lt;&gt;""),"",IF(AND(B176&lt;&gt;"",COUNTIF(tx_ID,B176)&gt;1),"Duplicate transaction ID",IF(AND(L176&lt;0,D176&lt;&gt;"Adjustment"),"Negative amount — check this entry",IF(AND(D176="Customer Payment",G176=""),"Add the customer",IF(AND(D176="Customer Payment",OR(J176="",COUNTIF(ar_No,J176&amp;"")=0)),"Invoice # in Reference not found on AR sheet",IF(AND(D176="Bill Payment",H176=""),"Add the vendor",IF(AND(D176="Bill Payment",OR(J176="",COUNTIFS(ap_No,J176&amp;"",ap_Party,H176&amp;"")=0)),"Bill # + vendor not found on AP sheet",IF(AND(ISNUMBER(M176),N(M176)&lt;&gt;0,W176=0),"Tax ignored (tax tracking off, or not allowed for this type)",IF(V176=K176&amp;"","Same account on both sides",IF(AND(ISNUMBER(StartDate),C176&lt;StartDate),"Date is before the accounting start date",IF(AND(D176&lt;&gt;"Adjustment",IFERROR(INDEX(coa_Pay,MATCH(K176&amp;"",coa_Name,0)),"")&lt;&gt;"Yes"),"Paid From / Deposited To is not a payment account","")))))))))))</f>
        <v/>
      </c>
      <c r="Z176" s="67">
        <f>IF(AND(T176=0,X176=""),1,0)</f>
        <v/>
      </c>
      <c r="AA176" s="68">
        <f>IF(Z176=1,IF(U176="In",L176,L176-W176),0)</f>
        <v/>
      </c>
      <c r="AB176" s="68">
        <f>IF(Z176=1,IF(U176="In",L176-W176,L176),0)</f>
        <v/>
      </c>
      <c r="AC176" s="68">
        <f>IF(AND(Z176=1,U176="Out"),W176,0)</f>
        <v/>
      </c>
      <c r="AD176" s="68">
        <f>IF(AND(Z176=1,U176="In"),W176,0)</f>
        <v/>
      </c>
    </row>
    <row r="177">
      <c r="B177" s="62" t="inlineStr">
        <is>
          <t>TX-0171</t>
        </is>
      </c>
      <c r="C177" s="63" t="n">
        <v>46157</v>
      </c>
      <c r="D177" s="62" t="inlineStr">
        <is>
          <t>Money Out</t>
        </is>
      </c>
      <c r="E177" s="62" t="inlineStr">
        <is>
          <t>Insurance</t>
        </is>
      </c>
      <c r="F177" s="62" t="inlineStr">
        <is>
          <t>Shop insurance (annual)</t>
        </is>
      </c>
      <c r="G177" s="62" t="n"/>
      <c r="H177" s="62" t="n"/>
      <c r="I177" s="62" t="inlineStr">
        <is>
          <t>Bank Transfer</t>
        </is>
      </c>
      <c r="J177" s="62" t="n"/>
      <c r="K177" s="62" t="inlineStr">
        <is>
          <t>Bank Account</t>
        </is>
      </c>
      <c r="L177" s="64" t="n">
        <v>9800</v>
      </c>
      <c r="M177" s="64" t="n"/>
      <c r="N177" s="62" t="n"/>
      <c r="O177" s="65">
        <f>IF(Z177=1,L177-W177,"")</f>
        <v/>
      </c>
      <c r="P177" s="66">
        <f>IF(V177="","",IFERROR(INDEX(coa_Type,MATCH(V177,coa_Name,0)),""))</f>
        <v/>
      </c>
      <c r="Q177" s="66">
        <f>IF(Z177=1,IF(U177="In",K177&amp;"",V177),"")</f>
        <v/>
      </c>
      <c r="R177" s="66">
        <f>IF(Z177=1,IF(U177="In",V177,K177&amp;""),"")</f>
        <v/>
      </c>
      <c r="S177" s="66">
        <f>IF(X177&lt;&gt;"","⛔ "&amp;X177&amp;" — not posted",IF(Y177&lt;&gt;"","⚠ "&amp;Y177,IF(Z177=1,"✓ OK","")))</f>
        <v/>
      </c>
      <c r="T177" s="67">
        <f>IF(AND(C177="",D177="",E177="",L177="",K177=""),1,0)</f>
        <v/>
      </c>
      <c r="U177" s="67">
        <f>IFERROR(INDEX(tt_Dir,MATCH(D177,tt_Type,0)),"")</f>
        <v/>
      </c>
      <c r="V177" s="67">
        <f>IF(D177="","",IFERROR(IF(INDEX(tt_Other,MATCH(D177,tt_Type,0))="",E177&amp;"",INDEX(tt_Other,MATCH(D177,tt_Type,0))),""))</f>
        <v/>
      </c>
      <c r="W177" s="68">
        <f>IF(OR(TaxOn&lt;&gt;"Yes",NOT(ISNUMBER(M177))),0,IF(IFERROR(INDEX(tt_Tax,MATCH(D177,tt_Type,0)),"No")="Yes",M177,0))</f>
        <v/>
      </c>
      <c r="X177" s="67">
        <f>IF(T177=1,"",IF(C177="","Missing transaction date",IF(NOT(ISNUMBER(C177)),"Invalid date",IF(OR(C177&lt;DATE(2000,1,1),C177&gt;DATE(2099,12,31)),"Invalid date",IF(D177="","Select a type",IF(U177="","Unknown type: "&amp;D177,IF(V177="","Select an account (Category)",IF(ISNA(MATCH(V177,coa_Name,0)),"Unknown account: "&amp;V177,IF(K177="","Select Paid From / Deposited To",IF(ISNA(MATCH(K177,coa_Name,0)),"Unknown account: "&amp;K177,IF(NOT(ISNUMBER(L177)),"Enter an amount",IF(L177=0,"Enter an amount",IF(ABS(W177)&gt;ABS(L177),"Tax is larger than the amount","")))))))))))))</f>
        <v/>
      </c>
      <c r="Y177" s="67">
        <f>IF(OR(T177=1,X177&lt;&gt;""),"",IF(AND(B177&lt;&gt;"",COUNTIF(tx_ID,B177)&gt;1),"Duplicate transaction ID",IF(AND(L177&lt;0,D177&lt;&gt;"Adjustment"),"Negative amount — check this entry",IF(AND(D177="Customer Payment",G177=""),"Add the customer",IF(AND(D177="Customer Payment",OR(J177="",COUNTIF(ar_No,J177&amp;"")=0)),"Invoice # in Reference not found on AR sheet",IF(AND(D177="Bill Payment",H177=""),"Add the vendor",IF(AND(D177="Bill Payment",OR(J177="",COUNTIFS(ap_No,J177&amp;"",ap_Party,H177&amp;"")=0)),"Bill # + vendor not found on AP sheet",IF(AND(ISNUMBER(M177),N(M177)&lt;&gt;0,W177=0),"Tax ignored (tax tracking off, or not allowed for this type)",IF(V177=K177&amp;"","Same account on both sides",IF(AND(ISNUMBER(StartDate),C177&lt;StartDate),"Date is before the accounting start date",IF(AND(D177&lt;&gt;"Adjustment",IFERROR(INDEX(coa_Pay,MATCH(K177&amp;"",coa_Name,0)),"")&lt;&gt;"Yes"),"Paid From / Deposited To is not a payment account","")))))))))))</f>
        <v/>
      </c>
      <c r="Z177" s="67">
        <f>IF(AND(T177=0,X177=""),1,0)</f>
        <v/>
      </c>
      <c r="AA177" s="68">
        <f>IF(Z177=1,IF(U177="In",L177,L177-W177),0)</f>
        <v/>
      </c>
      <c r="AB177" s="68">
        <f>IF(Z177=1,IF(U177="In",L177-W177,L177),0)</f>
        <v/>
      </c>
      <c r="AC177" s="68">
        <f>IF(AND(Z177=1,U177="Out"),W177,0)</f>
        <v/>
      </c>
      <c r="AD177" s="68">
        <f>IF(AND(Z177=1,U177="In"),W177,0)</f>
        <v/>
      </c>
    </row>
    <row r="178">
      <c r="B178" s="62" t="inlineStr">
        <is>
          <t>TX-0172</t>
        </is>
      </c>
      <c r="C178" s="63" t="n">
        <v>46160</v>
      </c>
      <c r="D178" s="62" t="inlineStr">
        <is>
          <t>Money In</t>
        </is>
      </c>
      <c r="E178" s="62" t="inlineStr">
        <is>
          <t>Product Sales</t>
        </is>
      </c>
      <c r="F178" s="62" t="inlineStr">
        <is>
          <t>Counter sales week 3</t>
        </is>
      </c>
      <c r="G178" s="62" t="n"/>
      <c r="H178" s="62" t="n"/>
      <c r="I178" s="62" t="inlineStr">
        <is>
          <t>Cash</t>
        </is>
      </c>
      <c r="J178" s="62" t="n"/>
      <c r="K178" s="62" t="inlineStr">
        <is>
          <t>Cash on Hand</t>
        </is>
      </c>
      <c r="L178" s="64" t="n">
        <v>63320.16</v>
      </c>
      <c r="M178" s="64" t="n">
        <v>6784.3</v>
      </c>
      <c r="N178" s="62" t="n"/>
      <c r="O178" s="65">
        <f>IF(Z178=1,L178-W178,"")</f>
        <v/>
      </c>
      <c r="P178" s="66">
        <f>IF(V178="","",IFERROR(INDEX(coa_Type,MATCH(V178,coa_Name,0)),""))</f>
        <v/>
      </c>
      <c r="Q178" s="66">
        <f>IF(Z178=1,IF(U178="In",K178&amp;"",V178),"")</f>
        <v/>
      </c>
      <c r="R178" s="66">
        <f>IF(Z178=1,IF(U178="In",V178,K178&amp;""),"")</f>
        <v/>
      </c>
      <c r="S178" s="66">
        <f>IF(X178&lt;&gt;"","⛔ "&amp;X178&amp;" — not posted",IF(Y178&lt;&gt;"","⚠ "&amp;Y178,IF(Z178=1,"✓ OK","")))</f>
        <v/>
      </c>
      <c r="T178" s="67">
        <f>IF(AND(C178="",D178="",E178="",L178="",K178=""),1,0)</f>
        <v/>
      </c>
      <c r="U178" s="67">
        <f>IFERROR(INDEX(tt_Dir,MATCH(D178,tt_Type,0)),"")</f>
        <v/>
      </c>
      <c r="V178" s="67">
        <f>IF(D178="","",IFERROR(IF(INDEX(tt_Other,MATCH(D178,tt_Type,0))="",E178&amp;"",INDEX(tt_Other,MATCH(D178,tt_Type,0))),""))</f>
        <v/>
      </c>
      <c r="W178" s="68">
        <f>IF(OR(TaxOn&lt;&gt;"Yes",NOT(ISNUMBER(M178))),0,IF(IFERROR(INDEX(tt_Tax,MATCH(D178,tt_Type,0)),"No")="Yes",M178,0))</f>
        <v/>
      </c>
      <c r="X178" s="67">
        <f>IF(T178=1,"",IF(C178="","Missing transaction date",IF(NOT(ISNUMBER(C178)),"Invalid date",IF(OR(C178&lt;DATE(2000,1,1),C178&gt;DATE(2099,12,31)),"Invalid date",IF(D178="","Select a type",IF(U178="","Unknown type: "&amp;D178,IF(V178="","Select an account (Category)",IF(ISNA(MATCH(V178,coa_Name,0)),"Unknown account: "&amp;V178,IF(K178="","Select Paid From / Deposited To",IF(ISNA(MATCH(K178,coa_Name,0)),"Unknown account: "&amp;K178,IF(NOT(ISNUMBER(L178)),"Enter an amount",IF(L178=0,"Enter an amount",IF(ABS(W178)&gt;ABS(L178),"Tax is larger than the amount","")))))))))))))</f>
        <v/>
      </c>
      <c r="Y178" s="67">
        <f>IF(OR(T178=1,X178&lt;&gt;""),"",IF(AND(B178&lt;&gt;"",COUNTIF(tx_ID,B178)&gt;1),"Duplicate transaction ID",IF(AND(L178&lt;0,D178&lt;&gt;"Adjustment"),"Negative amount — check this entry",IF(AND(D178="Customer Payment",G178=""),"Add the customer",IF(AND(D178="Customer Payment",OR(J178="",COUNTIF(ar_No,J178&amp;"")=0)),"Invoice # in Reference not found on AR sheet",IF(AND(D178="Bill Payment",H178=""),"Add the vendor",IF(AND(D178="Bill Payment",OR(J178="",COUNTIFS(ap_No,J178&amp;"",ap_Party,H178&amp;"")=0)),"Bill # + vendor not found on AP sheet",IF(AND(ISNUMBER(M178),N(M178)&lt;&gt;0,W178=0),"Tax ignored (tax tracking off, or not allowed for this type)",IF(V178=K178&amp;"","Same account on both sides",IF(AND(ISNUMBER(StartDate),C178&lt;StartDate),"Date is before the accounting start date",IF(AND(D178&lt;&gt;"Adjustment",IFERROR(INDEX(coa_Pay,MATCH(K178&amp;"",coa_Name,0)),"")&lt;&gt;"Yes"),"Paid From / Deposited To is not a payment account","")))))))))))</f>
        <v/>
      </c>
      <c r="Z178" s="67">
        <f>IF(AND(T178=0,X178=""),1,0)</f>
        <v/>
      </c>
      <c r="AA178" s="68">
        <f>IF(Z178=1,IF(U178="In",L178,L178-W178),0)</f>
        <v/>
      </c>
      <c r="AB178" s="68">
        <f>IF(Z178=1,IF(U178="In",L178-W178,L178),0)</f>
        <v/>
      </c>
      <c r="AC178" s="68">
        <f>IF(AND(Z178=1,U178="Out"),W178,0)</f>
        <v/>
      </c>
      <c r="AD178" s="68">
        <f>IF(AND(Z178=1,U178="In"),W178,0)</f>
        <v/>
      </c>
    </row>
    <row r="179">
      <c r="B179" s="62" t="inlineStr">
        <is>
          <t>TX-0173</t>
        </is>
      </c>
      <c r="C179" s="63" t="n">
        <v>46161</v>
      </c>
      <c r="D179" s="62" t="inlineStr">
        <is>
          <t>Customer Payment</t>
        </is>
      </c>
      <c r="E179" s="62" t="n"/>
      <c r="F179" s="62" t="inlineStr">
        <is>
          <t>Invoice payment</t>
        </is>
      </c>
      <c r="G179" s="62" t="inlineStr">
        <is>
          <t>St. Jude Clinic</t>
        </is>
      </c>
      <c r="H179" s="62" t="n"/>
      <c r="I179" s="62" t="inlineStr">
        <is>
          <t>Bank Transfer</t>
        </is>
      </c>
      <c r="J179" s="62" t="inlineStr">
        <is>
          <t>INV-1009</t>
        </is>
      </c>
      <c r="K179" s="62" t="inlineStr">
        <is>
          <t>Bank Account</t>
        </is>
      </c>
      <c r="L179" s="64" t="n">
        <v>13390.41</v>
      </c>
      <c r="M179" s="64" t="n"/>
      <c r="N179" s="62" t="n"/>
      <c r="O179" s="65">
        <f>IF(Z179=1,L179-W179,"")</f>
        <v/>
      </c>
      <c r="P179" s="66">
        <f>IF(V179="","",IFERROR(INDEX(coa_Type,MATCH(V179,coa_Name,0)),""))</f>
        <v/>
      </c>
      <c r="Q179" s="66">
        <f>IF(Z179=1,IF(U179="In",K179&amp;"",V179),"")</f>
        <v/>
      </c>
      <c r="R179" s="66">
        <f>IF(Z179=1,IF(U179="In",V179,K179&amp;""),"")</f>
        <v/>
      </c>
      <c r="S179" s="66">
        <f>IF(X179&lt;&gt;"","⛔ "&amp;X179&amp;" — not posted",IF(Y179&lt;&gt;"","⚠ "&amp;Y179,IF(Z179=1,"✓ OK","")))</f>
        <v/>
      </c>
      <c r="T179" s="67">
        <f>IF(AND(C179="",D179="",E179="",L179="",K179=""),1,0)</f>
        <v/>
      </c>
      <c r="U179" s="67">
        <f>IFERROR(INDEX(tt_Dir,MATCH(D179,tt_Type,0)),"")</f>
        <v/>
      </c>
      <c r="V179" s="67">
        <f>IF(D179="","",IFERROR(IF(INDEX(tt_Other,MATCH(D179,tt_Type,0))="",E179&amp;"",INDEX(tt_Other,MATCH(D179,tt_Type,0))),""))</f>
        <v/>
      </c>
      <c r="W179" s="68">
        <f>IF(OR(TaxOn&lt;&gt;"Yes",NOT(ISNUMBER(M179))),0,IF(IFERROR(INDEX(tt_Tax,MATCH(D179,tt_Type,0)),"No")="Yes",M179,0))</f>
        <v/>
      </c>
      <c r="X179" s="67">
        <f>IF(T179=1,"",IF(C179="","Missing transaction date",IF(NOT(ISNUMBER(C179)),"Invalid date",IF(OR(C179&lt;DATE(2000,1,1),C179&gt;DATE(2099,12,31)),"Invalid date",IF(D179="","Select a type",IF(U179="","Unknown type: "&amp;D179,IF(V179="","Select an account (Category)",IF(ISNA(MATCH(V179,coa_Name,0)),"Unknown account: "&amp;V179,IF(K179="","Select Paid From / Deposited To",IF(ISNA(MATCH(K179,coa_Name,0)),"Unknown account: "&amp;K179,IF(NOT(ISNUMBER(L179)),"Enter an amount",IF(L179=0,"Enter an amount",IF(ABS(W179)&gt;ABS(L179),"Tax is larger than the amount","")))))))))))))</f>
        <v/>
      </c>
      <c r="Y179" s="67">
        <f>IF(OR(T179=1,X179&lt;&gt;""),"",IF(AND(B179&lt;&gt;"",COUNTIF(tx_ID,B179)&gt;1),"Duplicate transaction ID",IF(AND(L179&lt;0,D179&lt;&gt;"Adjustment"),"Negative amount — check this entry",IF(AND(D179="Customer Payment",G179=""),"Add the customer",IF(AND(D179="Customer Payment",OR(J179="",COUNTIF(ar_No,J179&amp;"")=0)),"Invoice # in Reference not found on AR sheet",IF(AND(D179="Bill Payment",H179=""),"Add the vendor",IF(AND(D179="Bill Payment",OR(J179="",COUNTIFS(ap_No,J179&amp;"",ap_Party,H179&amp;"")=0)),"Bill # + vendor not found on AP sheet",IF(AND(ISNUMBER(M179),N(M179)&lt;&gt;0,W179=0),"Tax ignored (tax tracking off, or not allowed for this type)",IF(V179=K179&amp;"","Same account on both sides",IF(AND(ISNUMBER(StartDate),C179&lt;StartDate),"Date is before the accounting start date",IF(AND(D179&lt;&gt;"Adjustment",IFERROR(INDEX(coa_Pay,MATCH(K179&amp;"",coa_Name,0)),"")&lt;&gt;"Yes"),"Paid From / Deposited To is not a payment account","")))))))))))</f>
        <v/>
      </c>
      <c r="Z179" s="67">
        <f>IF(AND(T179=0,X179=""),1,0)</f>
        <v/>
      </c>
      <c r="AA179" s="68">
        <f>IF(Z179=1,IF(U179="In",L179,L179-W179),0)</f>
        <v/>
      </c>
      <c r="AB179" s="68">
        <f>IF(Z179=1,IF(U179="In",L179-W179,L179),0)</f>
        <v/>
      </c>
      <c r="AC179" s="68">
        <f>IF(AND(Z179=1,U179="Out"),W179,0)</f>
        <v/>
      </c>
      <c r="AD179" s="68">
        <f>IF(AND(Z179=1,U179="In"),W179,0)</f>
        <v/>
      </c>
    </row>
    <row r="180">
      <c r="B180" s="62" t="inlineStr">
        <is>
          <t>TX-0174</t>
        </is>
      </c>
      <c r="C180" s="63" t="n">
        <v>46161</v>
      </c>
      <c r="D180" s="62" t="inlineStr">
        <is>
          <t>Bill Payment</t>
        </is>
      </c>
      <c r="E180" s="62" t="n"/>
      <c r="F180" s="62" t="inlineStr">
        <is>
          <t>Supplier payment</t>
        </is>
      </c>
      <c r="G180" s="62" t="n"/>
      <c r="H180" s="62" t="inlineStr">
        <is>
          <t>Golden Grain Flour Mill</t>
        </is>
      </c>
      <c r="I180" s="62" t="inlineStr">
        <is>
          <t>Bank Transfer</t>
        </is>
      </c>
      <c r="J180" s="62" t="inlineStr">
        <is>
          <t>GO-042</t>
        </is>
      </c>
      <c r="K180" s="62" t="inlineStr">
        <is>
          <t>Bank Account</t>
        </is>
      </c>
      <c r="L180" s="64" t="n">
        <v>32169.81</v>
      </c>
      <c r="M180" s="64" t="n"/>
      <c r="N180" s="62" t="n"/>
      <c r="O180" s="65">
        <f>IF(Z180=1,L180-W180,"")</f>
        <v/>
      </c>
      <c r="P180" s="66">
        <f>IF(V180="","",IFERROR(INDEX(coa_Type,MATCH(V180,coa_Name,0)),""))</f>
        <v/>
      </c>
      <c r="Q180" s="66">
        <f>IF(Z180=1,IF(U180="In",K180&amp;"",V180),"")</f>
        <v/>
      </c>
      <c r="R180" s="66">
        <f>IF(Z180=1,IF(U180="In",V180,K180&amp;""),"")</f>
        <v/>
      </c>
      <c r="S180" s="66">
        <f>IF(X180&lt;&gt;"","⛔ "&amp;X180&amp;" — not posted",IF(Y180&lt;&gt;"","⚠ "&amp;Y180,IF(Z180=1,"✓ OK","")))</f>
        <v/>
      </c>
      <c r="T180" s="67">
        <f>IF(AND(C180="",D180="",E180="",L180="",K180=""),1,0)</f>
        <v/>
      </c>
      <c r="U180" s="67">
        <f>IFERROR(INDEX(tt_Dir,MATCH(D180,tt_Type,0)),"")</f>
        <v/>
      </c>
      <c r="V180" s="67">
        <f>IF(D180="","",IFERROR(IF(INDEX(tt_Other,MATCH(D180,tt_Type,0))="",E180&amp;"",INDEX(tt_Other,MATCH(D180,tt_Type,0))),""))</f>
        <v/>
      </c>
      <c r="W180" s="68">
        <f>IF(OR(TaxOn&lt;&gt;"Yes",NOT(ISNUMBER(M180))),0,IF(IFERROR(INDEX(tt_Tax,MATCH(D180,tt_Type,0)),"No")="Yes",M180,0))</f>
        <v/>
      </c>
      <c r="X180" s="67">
        <f>IF(T180=1,"",IF(C180="","Missing transaction date",IF(NOT(ISNUMBER(C180)),"Invalid date",IF(OR(C180&lt;DATE(2000,1,1),C180&gt;DATE(2099,12,31)),"Invalid date",IF(D180="","Select a type",IF(U180="","Unknown type: "&amp;D180,IF(V180="","Select an account (Category)",IF(ISNA(MATCH(V180,coa_Name,0)),"Unknown account: "&amp;V180,IF(K180="","Select Paid From / Deposited To",IF(ISNA(MATCH(K180,coa_Name,0)),"Unknown account: "&amp;K180,IF(NOT(ISNUMBER(L180)),"Enter an amount",IF(L180=0,"Enter an amount",IF(ABS(W180)&gt;ABS(L180),"Tax is larger than the amount","")))))))))))))</f>
        <v/>
      </c>
      <c r="Y180" s="67">
        <f>IF(OR(T180=1,X180&lt;&gt;""),"",IF(AND(B180&lt;&gt;"",COUNTIF(tx_ID,B180)&gt;1),"Duplicate transaction ID",IF(AND(L180&lt;0,D180&lt;&gt;"Adjustment"),"Negative amount — check this entry",IF(AND(D180="Customer Payment",G180=""),"Add the customer",IF(AND(D180="Customer Payment",OR(J180="",COUNTIF(ar_No,J180&amp;"")=0)),"Invoice # in Reference not found on AR sheet",IF(AND(D180="Bill Payment",H180=""),"Add the vendor",IF(AND(D180="Bill Payment",OR(J180="",COUNTIFS(ap_No,J180&amp;"",ap_Party,H180&amp;"")=0)),"Bill # + vendor not found on AP sheet",IF(AND(ISNUMBER(M180),N(M180)&lt;&gt;0,W180=0),"Tax ignored (tax tracking off, or not allowed for this type)",IF(V180=K180&amp;"","Same account on both sides",IF(AND(ISNUMBER(StartDate),C180&lt;StartDate),"Date is before the accounting start date",IF(AND(D180&lt;&gt;"Adjustment",IFERROR(INDEX(coa_Pay,MATCH(K180&amp;"",coa_Name,0)),"")&lt;&gt;"Yes"),"Paid From / Deposited To is not a payment account","")))))))))))</f>
        <v/>
      </c>
      <c r="Z180" s="67">
        <f>IF(AND(T180=0,X180=""),1,0)</f>
        <v/>
      </c>
      <c r="AA180" s="68">
        <f>IF(Z180=1,IF(U180="In",L180,L180-W180),0)</f>
        <v/>
      </c>
      <c r="AB180" s="68">
        <f>IF(Z180=1,IF(U180="In",L180-W180,L180),0)</f>
        <v/>
      </c>
      <c r="AC180" s="68">
        <f>IF(AND(Z180=1,U180="Out"),W180,0)</f>
        <v/>
      </c>
      <c r="AD180" s="68">
        <f>IF(AND(Z180=1,U180="In"),W180,0)</f>
        <v/>
      </c>
    </row>
    <row r="181">
      <c r="B181" s="62" t="inlineStr">
        <is>
          <t>TX-0175</t>
        </is>
      </c>
      <c r="C181" s="63" t="n">
        <v>46161</v>
      </c>
      <c r="D181" s="62" t="inlineStr">
        <is>
          <t>Money In</t>
        </is>
      </c>
      <c r="E181" s="62" t="inlineStr">
        <is>
          <t>Product Sales</t>
        </is>
      </c>
      <c r="F181" s="62" t="inlineStr">
        <is>
          <t>GCash / online orders week 3</t>
        </is>
      </c>
      <c r="G181" s="62" t="n"/>
      <c r="H181" s="62" t="n"/>
      <c r="I181" s="62" t="inlineStr">
        <is>
          <t>E-Wallet</t>
        </is>
      </c>
      <c r="J181" s="62" t="n"/>
      <c r="K181" s="62" t="inlineStr">
        <is>
          <t>E-Wallet / Online Payments</t>
        </is>
      </c>
      <c r="L181" s="64" t="n">
        <v>16619.5</v>
      </c>
      <c r="M181" s="64" t="n">
        <v>1780.66</v>
      </c>
      <c r="N181" s="62" t="n"/>
      <c r="O181" s="65">
        <f>IF(Z181=1,L181-W181,"")</f>
        <v/>
      </c>
      <c r="P181" s="66">
        <f>IF(V181="","",IFERROR(INDEX(coa_Type,MATCH(V181,coa_Name,0)),""))</f>
        <v/>
      </c>
      <c r="Q181" s="66">
        <f>IF(Z181=1,IF(U181="In",K181&amp;"",V181),"")</f>
        <v/>
      </c>
      <c r="R181" s="66">
        <f>IF(Z181=1,IF(U181="In",V181,K181&amp;""),"")</f>
        <v/>
      </c>
      <c r="S181" s="66">
        <f>IF(X181&lt;&gt;"","⛔ "&amp;X181&amp;" — not posted",IF(Y181&lt;&gt;"","⚠ "&amp;Y181,IF(Z181=1,"✓ OK","")))</f>
        <v/>
      </c>
      <c r="T181" s="67">
        <f>IF(AND(C181="",D181="",E181="",L181="",K181=""),1,0)</f>
        <v/>
      </c>
      <c r="U181" s="67">
        <f>IFERROR(INDEX(tt_Dir,MATCH(D181,tt_Type,0)),"")</f>
        <v/>
      </c>
      <c r="V181" s="67">
        <f>IF(D181="","",IFERROR(IF(INDEX(tt_Other,MATCH(D181,tt_Type,0))="",E181&amp;"",INDEX(tt_Other,MATCH(D181,tt_Type,0))),""))</f>
        <v/>
      </c>
      <c r="W181" s="68">
        <f>IF(OR(TaxOn&lt;&gt;"Yes",NOT(ISNUMBER(M181))),0,IF(IFERROR(INDEX(tt_Tax,MATCH(D181,tt_Type,0)),"No")="Yes",M181,0))</f>
        <v/>
      </c>
      <c r="X181" s="67">
        <f>IF(T181=1,"",IF(C181="","Missing transaction date",IF(NOT(ISNUMBER(C181)),"Invalid date",IF(OR(C181&lt;DATE(2000,1,1),C181&gt;DATE(2099,12,31)),"Invalid date",IF(D181="","Select a type",IF(U181="","Unknown type: "&amp;D181,IF(V181="","Select an account (Category)",IF(ISNA(MATCH(V181,coa_Name,0)),"Unknown account: "&amp;V181,IF(K181="","Select Paid From / Deposited To",IF(ISNA(MATCH(K181,coa_Name,0)),"Unknown account: "&amp;K181,IF(NOT(ISNUMBER(L181)),"Enter an amount",IF(L181=0,"Enter an amount",IF(ABS(W181)&gt;ABS(L181),"Tax is larger than the amount","")))))))))))))</f>
        <v/>
      </c>
      <c r="Y181" s="67">
        <f>IF(OR(T181=1,X181&lt;&gt;""),"",IF(AND(B181&lt;&gt;"",COUNTIF(tx_ID,B181)&gt;1),"Duplicate transaction ID",IF(AND(L181&lt;0,D181&lt;&gt;"Adjustment"),"Negative amount — check this entry",IF(AND(D181="Customer Payment",G181=""),"Add the customer",IF(AND(D181="Customer Payment",OR(J181="",COUNTIF(ar_No,J181&amp;"")=0)),"Invoice # in Reference not found on AR sheet",IF(AND(D181="Bill Payment",H181=""),"Add the vendor",IF(AND(D181="Bill Payment",OR(J181="",COUNTIFS(ap_No,J181&amp;"",ap_Party,H181&amp;"")=0)),"Bill # + vendor not found on AP sheet",IF(AND(ISNUMBER(M181),N(M181)&lt;&gt;0,W181=0),"Tax ignored (tax tracking off, or not allowed for this type)",IF(V181=K181&amp;"","Same account on both sides",IF(AND(ISNUMBER(StartDate),C181&lt;StartDate),"Date is before the accounting start date",IF(AND(D181&lt;&gt;"Adjustment",IFERROR(INDEX(coa_Pay,MATCH(K181&amp;"",coa_Name,0)),"")&lt;&gt;"Yes"),"Paid From / Deposited To is not a payment account","")))))))))))</f>
        <v/>
      </c>
      <c r="Z181" s="67">
        <f>IF(AND(T181=0,X181=""),1,0)</f>
        <v/>
      </c>
      <c r="AA181" s="68">
        <f>IF(Z181=1,IF(U181="In",L181,L181-W181),0)</f>
        <v/>
      </c>
      <c r="AB181" s="68">
        <f>IF(Z181=1,IF(U181="In",L181-W181,L181),0)</f>
        <v/>
      </c>
      <c r="AC181" s="68">
        <f>IF(AND(Z181=1,U181="Out"),W181,0)</f>
        <v/>
      </c>
      <c r="AD181" s="68">
        <f>IF(AND(Z181=1,U181="In"),W181,0)</f>
        <v/>
      </c>
    </row>
    <row r="182">
      <c r="B182" s="62" t="inlineStr">
        <is>
          <t>TX-0176</t>
        </is>
      </c>
      <c r="C182" s="63" t="n">
        <v>46162</v>
      </c>
      <c r="D182" s="62" t="inlineStr">
        <is>
          <t>Transfer</t>
        </is>
      </c>
      <c r="E182" s="62" t="inlineStr">
        <is>
          <t>Bank Account</t>
        </is>
      </c>
      <c r="F182" s="62" t="inlineStr">
        <is>
          <t>Cash deposit to bank</t>
        </is>
      </c>
      <c r="G182" s="62" t="n"/>
      <c r="H182" s="62" t="n"/>
      <c r="I182" s="62" t="inlineStr">
        <is>
          <t>Cash</t>
        </is>
      </c>
      <c r="J182" s="62" t="n"/>
      <c r="K182" s="62" t="inlineStr">
        <is>
          <t>Cash on Hand</t>
        </is>
      </c>
      <c r="L182" s="64" t="n">
        <v>53800</v>
      </c>
      <c r="M182" s="64" t="n"/>
      <c r="N182" s="62" t="n"/>
      <c r="O182" s="65">
        <f>IF(Z182=1,L182-W182,"")</f>
        <v/>
      </c>
      <c r="P182" s="66">
        <f>IF(V182="","",IFERROR(INDEX(coa_Type,MATCH(V182,coa_Name,0)),""))</f>
        <v/>
      </c>
      <c r="Q182" s="66">
        <f>IF(Z182=1,IF(U182="In",K182&amp;"",V182),"")</f>
        <v/>
      </c>
      <c r="R182" s="66">
        <f>IF(Z182=1,IF(U182="In",V182,K182&amp;""),"")</f>
        <v/>
      </c>
      <c r="S182" s="66">
        <f>IF(X182&lt;&gt;"","⛔ "&amp;X182&amp;" — not posted",IF(Y182&lt;&gt;"","⚠ "&amp;Y182,IF(Z182=1,"✓ OK","")))</f>
        <v/>
      </c>
      <c r="T182" s="67">
        <f>IF(AND(C182="",D182="",E182="",L182="",K182=""),1,0)</f>
        <v/>
      </c>
      <c r="U182" s="67">
        <f>IFERROR(INDEX(tt_Dir,MATCH(D182,tt_Type,0)),"")</f>
        <v/>
      </c>
      <c r="V182" s="67">
        <f>IF(D182="","",IFERROR(IF(INDEX(tt_Other,MATCH(D182,tt_Type,0))="",E182&amp;"",INDEX(tt_Other,MATCH(D182,tt_Type,0))),""))</f>
        <v/>
      </c>
      <c r="W182" s="68">
        <f>IF(OR(TaxOn&lt;&gt;"Yes",NOT(ISNUMBER(M182))),0,IF(IFERROR(INDEX(tt_Tax,MATCH(D182,tt_Type,0)),"No")="Yes",M182,0))</f>
        <v/>
      </c>
      <c r="X182" s="67">
        <f>IF(T182=1,"",IF(C182="","Missing transaction date",IF(NOT(ISNUMBER(C182)),"Invalid date",IF(OR(C182&lt;DATE(2000,1,1),C182&gt;DATE(2099,12,31)),"Invalid date",IF(D182="","Select a type",IF(U182="","Unknown type: "&amp;D182,IF(V182="","Select an account (Category)",IF(ISNA(MATCH(V182,coa_Name,0)),"Unknown account: "&amp;V182,IF(K182="","Select Paid From / Deposited To",IF(ISNA(MATCH(K182,coa_Name,0)),"Unknown account: "&amp;K182,IF(NOT(ISNUMBER(L182)),"Enter an amount",IF(L182=0,"Enter an amount",IF(ABS(W182)&gt;ABS(L182),"Tax is larger than the amount","")))))))))))))</f>
        <v/>
      </c>
      <c r="Y182" s="67">
        <f>IF(OR(T182=1,X182&lt;&gt;""),"",IF(AND(B182&lt;&gt;"",COUNTIF(tx_ID,B182)&gt;1),"Duplicate transaction ID",IF(AND(L182&lt;0,D182&lt;&gt;"Adjustment"),"Negative amount — check this entry",IF(AND(D182="Customer Payment",G182=""),"Add the customer",IF(AND(D182="Customer Payment",OR(J182="",COUNTIF(ar_No,J182&amp;"")=0)),"Invoice # in Reference not found on AR sheet",IF(AND(D182="Bill Payment",H182=""),"Add the vendor",IF(AND(D182="Bill Payment",OR(J182="",COUNTIFS(ap_No,J182&amp;"",ap_Party,H182&amp;"")=0)),"Bill # + vendor not found on AP sheet",IF(AND(ISNUMBER(M182),N(M182)&lt;&gt;0,W182=0),"Tax ignored (tax tracking off, or not allowed for this type)",IF(V182=K182&amp;"","Same account on both sides",IF(AND(ISNUMBER(StartDate),C182&lt;StartDate),"Date is before the accounting start date",IF(AND(D182&lt;&gt;"Adjustment",IFERROR(INDEX(coa_Pay,MATCH(K182&amp;"",coa_Name,0)),"")&lt;&gt;"Yes"),"Paid From / Deposited To is not a payment account","")))))))))))</f>
        <v/>
      </c>
      <c r="Z182" s="67">
        <f>IF(AND(T182=0,X182=""),1,0)</f>
        <v/>
      </c>
      <c r="AA182" s="68">
        <f>IF(Z182=1,IF(U182="In",L182,L182-W182),0)</f>
        <v/>
      </c>
      <c r="AB182" s="68">
        <f>IF(Z182=1,IF(U182="In",L182-W182,L182),0)</f>
        <v/>
      </c>
      <c r="AC182" s="68">
        <f>IF(AND(Z182=1,U182="Out"),W182,0)</f>
        <v/>
      </c>
      <c r="AD182" s="68">
        <f>IF(AND(Z182=1,U182="In"),W182,0)</f>
        <v/>
      </c>
    </row>
    <row r="183">
      <c r="B183" s="62" t="inlineStr">
        <is>
          <t>TX-0177</t>
        </is>
      </c>
      <c r="C183" s="63" t="n">
        <v>46162</v>
      </c>
      <c r="D183" s="62" t="inlineStr">
        <is>
          <t>Money Out</t>
        </is>
      </c>
      <c r="E183" s="62" t="inlineStr">
        <is>
          <t>Transportation &amp; Delivery</t>
        </is>
      </c>
      <c r="F183" s="62" t="inlineStr">
        <is>
          <t>Delivery fuel</t>
        </is>
      </c>
      <c r="G183" s="62" t="n"/>
      <c r="H183" s="62" t="n"/>
      <c r="I183" s="62" t="inlineStr">
        <is>
          <t>Cash</t>
        </is>
      </c>
      <c r="J183" s="62" t="n"/>
      <c r="K183" s="62" t="inlineStr">
        <is>
          <t>Cash on Hand</t>
        </is>
      </c>
      <c r="L183" s="64" t="n">
        <v>5102.08</v>
      </c>
      <c r="M183" s="64" t="n">
        <v>546.65</v>
      </c>
      <c r="N183" s="62" t="n"/>
      <c r="O183" s="65">
        <f>IF(Z183=1,L183-W183,"")</f>
        <v/>
      </c>
      <c r="P183" s="66">
        <f>IF(V183="","",IFERROR(INDEX(coa_Type,MATCH(V183,coa_Name,0)),""))</f>
        <v/>
      </c>
      <c r="Q183" s="66">
        <f>IF(Z183=1,IF(U183="In",K183&amp;"",V183),"")</f>
        <v/>
      </c>
      <c r="R183" s="66">
        <f>IF(Z183=1,IF(U183="In",V183,K183&amp;""),"")</f>
        <v/>
      </c>
      <c r="S183" s="66">
        <f>IF(X183&lt;&gt;"","⛔ "&amp;X183&amp;" — not posted",IF(Y183&lt;&gt;"","⚠ "&amp;Y183,IF(Z183=1,"✓ OK","")))</f>
        <v/>
      </c>
      <c r="T183" s="67">
        <f>IF(AND(C183="",D183="",E183="",L183="",K183=""),1,0)</f>
        <v/>
      </c>
      <c r="U183" s="67">
        <f>IFERROR(INDEX(tt_Dir,MATCH(D183,tt_Type,0)),"")</f>
        <v/>
      </c>
      <c r="V183" s="67">
        <f>IF(D183="","",IFERROR(IF(INDEX(tt_Other,MATCH(D183,tt_Type,0))="",E183&amp;"",INDEX(tt_Other,MATCH(D183,tt_Type,0))),""))</f>
        <v/>
      </c>
      <c r="W183" s="68">
        <f>IF(OR(TaxOn&lt;&gt;"Yes",NOT(ISNUMBER(M183))),0,IF(IFERROR(INDEX(tt_Tax,MATCH(D183,tt_Type,0)),"No")="Yes",M183,0))</f>
        <v/>
      </c>
      <c r="X183" s="67">
        <f>IF(T183=1,"",IF(C183="","Missing transaction date",IF(NOT(ISNUMBER(C183)),"Invalid date",IF(OR(C183&lt;DATE(2000,1,1),C183&gt;DATE(2099,12,31)),"Invalid date",IF(D183="","Select a type",IF(U183="","Unknown type: "&amp;D183,IF(V183="","Select an account (Category)",IF(ISNA(MATCH(V183,coa_Name,0)),"Unknown account: "&amp;V183,IF(K183="","Select Paid From / Deposited To",IF(ISNA(MATCH(K183,coa_Name,0)),"Unknown account: "&amp;K183,IF(NOT(ISNUMBER(L183)),"Enter an amount",IF(L183=0,"Enter an amount",IF(ABS(W183)&gt;ABS(L183),"Tax is larger than the amount","")))))))))))))</f>
        <v/>
      </c>
      <c r="Y183" s="67">
        <f>IF(OR(T183=1,X183&lt;&gt;""),"",IF(AND(B183&lt;&gt;"",COUNTIF(tx_ID,B183)&gt;1),"Duplicate transaction ID",IF(AND(L183&lt;0,D183&lt;&gt;"Adjustment"),"Negative amount — check this entry",IF(AND(D183="Customer Payment",G183=""),"Add the customer",IF(AND(D183="Customer Payment",OR(J183="",COUNTIF(ar_No,J183&amp;"")=0)),"Invoice # in Reference not found on AR sheet",IF(AND(D183="Bill Payment",H183=""),"Add the vendor",IF(AND(D183="Bill Payment",OR(J183="",COUNTIFS(ap_No,J183&amp;"",ap_Party,H183&amp;"")=0)),"Bill # + vendor not found on AP sheet",IF(AND(ISNUMBER(M183),N(M183)&lt;&gt;0,W183=0),"Tax ignored (tax tracking off, or not allowed for this type)",IF(V183=K183&amp;"","Same account on both sides",IF(AND(ISNUMBER(StartDate),C183&lt;StartDate),"Date is before the accounting start date",IF(AND(D183&lt;&gt;"Adjustment",IFERROR(INDEX(coa_Pay,MATCH(K183&amp;"",coa_Name,0)),"")&lt;&gt;"Yes"),"Paid From / Deposited To is not a payment account","")))))))))))</f>
        <v/>
      </c>
      <c r="Z183" s="67">
        <f>IF(AND(T183=0,X183=""),1,0)</f>
        <v/>
      </c>
      <c r="AA183" s="68">
        <f>IF(Z183=1,IF(U183="In",L183,L183-W183),0)</f>
        <v/>
      </c>
      <c r="AB183" s="68">
        <f>IF(Z183=1,IF(U183="In",L183-W183,L183),0)</f>
        <v/>
      </c>
      <c r="AC183" s="68">
        <f>IF(AND(Z183=1,U183="Out"),W183,0)</f>
        <v/>
      </c>
      <c r="AD183" s="68">
        <f>IF(AND(Z183=1,U183="In"),W183,0)</f>
        <v/>
      </c>
    </row>
    <row r="184">
      <c r="B184" s="62" t="inlineStr">
        <is>
          <t>TX-0178</t>
        </is>
      </c>
      <c r="C184" s="63" t="n">
        <v>46165</v>
      </c>
      <c r="D184" s="62" t="inlineStr">
        <is>
          <t>Customer Payment</t>
        </is>
      </c>
      <c r="E184" s="62" t="n"/>
      <c r="F184" s="62" t="inlineStr">
        <is>
          <t>Balance payment</t>
        </is>
      </c>
      <c r="G184" s="62" t="inlineStr">
        <is>
          <t>Brightpath Academy</t>
        </is>
      </c>
      <c r="H184" s="62" t="n"/>
      <c r="I184" s="62" t="inlineStr">
        <is>
          <t>Bank Transfer</t>
        </is>
      </c>
      <c r="J184" s="62" t="inlineStr">
        <is>
          <t>INV-1008</t>
        </is>
      </c>
      <c r="K184" s="62" t="inlineStr">
        <is>
          <t>Bank Account</t>
        </is>
      </c>
      <c r="L184" s="64" t="n">
        <v>7434.19</v>
      </c>
      <c r="M184" s="64" t="n"/>
      <c r="N184" s="62" t="n"/>
      <c r="O184" s="65">
        <f>IF(Z184=1,L184-W184,"")</f>
        <v/>
      </c>
      <c r="P184" s="66">
        <f>IF(V184="","",IFERROR(INDEX(coa_Type,MATCH(V184,coa_Name,0)),""))</f>
        <v/>
      </c>
      <c r="Q184" s="66">
        <f>IF(Z184=1,IF(U184="In",K184&amp;"",V184),"")</f>
        <v/>
      </c>
      <c r="R184" s="66">
        <f>IF(Z184=1,IF(U184="In",V184,K184&amp;""),"")</f>
        <v/>
      </c>
      <c r="S184" s="66">
        <f>IF(X184&lt;&gt;"","⛔ "&amp;X184&amp;" — not posted",IF(Y184&lt;&gt;"","⚠ "&amp;Y184,IF(Z184=1,"✓ OK","")))</f>
        <v/>
      </c>
      <c r="T184" s="67">
        <f>IF(AND(C184="",D184="",E184="",L184="",K184=""),1,0)</f>
        <v/>
      </c>
      <c r="U184" s="67">
        <f>IFERROR(INDEX(tt_Dir,MATCH(D184,tt_Type,0)),"")</f>
        <v/>
      </c>
      <c r="V184" s="67">
        <f>IF(D184="","",IFERROR(IF(INDEX(tt_Other,MATCH(D184,tt_Type,0))="",E184&amp;"",INDEX(tt_Other,MATCH(D184,tt_Type,0))),""))</f>
        <v/>
      </c>
      <c r="W184" s="68">
        <f>IF(OR(TaxOn&lt;&gt;"Yes",NOT(ISNUMBER(M184))),0,IF(IFERROR(INDEX(tt_Tax,MATCH(D184,tt_Type,0)),"No")="Yes",M184,0))</f>
        <v/>
      </c>
      <c r="X184" s="67">
        <f>IF(T184=1,"",IF(C184="","Missing transaction date",IF(NOT(ISNUMBER(C184)),"Invalid date",IF(OR(C184&lt;DATE(2000,1,1),C184&gt;DATE(2099,12,31)),"Invalid date",IF(D184="","Select a type",IF(U184="","Unknown type: "&amp;D184,IF(V184="","Select an account (Category)",IF(ISNA(MATCH(V184,coa_Name,0)),"Unknown account: "&amp;V184,IF(K184="","Select Paid From / Deposited To",IF(ISNA(MATCH(K184,coa_Name,0)),"Unknown account: "&amp;K184,IF(NOT(ISNUMBER(L184)),"Enter an amount",IF(L184=0,"Enter an amount",IF(ABS(W184)&gt;ABS(L184),"Tax is larger than the amount","")))))))))))))</f>
        <v/>
      </c>
      <c r="Y184" s="67">
        <f>IF(OR(T184=1,X184&lt;&gt;""),"",IF(AND(B184&lt;&gt;"",COUNTIF(tx_ID,B184)&gt;1),"Duplicate transaction ID",IF(AND(L184&lt;0,D184&lt;&gt;"Adjustment"),"Negative amount — check this entry",IF(AND(D184="Customer Payment",G184=""),"Add the customer",IF(AND(D184="Customer Payment",OR(J184="",COUNTIF(ar_No,J184&amp;"")=0)),"Invoice # in Reference not found on AR sheet",IF(AND(D184="Bill Payment",H184=""),"Add the vendor",IF(AND(D184="Bill Payment",OR(J184="",COUNTIFS(ap_No,J184&amp;"",ap_Party,H184&amp;"")=0)),"Bill # + vendor not found on AP sheet",IF(AND(ISNUMBER(M184),N(M184)&lt;&gt;0,W184=0),"Tax ignored (tax tracking off, or not allowed for this type)",IF(V184=K184&amp;"","Same account on both sides",IF(AND(ISNUMBER(StartDate),C184&lt;StartDate),"Date is before the accounting start date",IF(AND(D184&lt;&gt;"Adjustment",IFERROR(INDEX(coa_Pay,MATCH(K184&amp;"",coa_Name,0)),"")&lt;&gt;"Yes"),"Paid From / Deposited To is not a payment account","")))))))))))</f>
        <v/>
      </c>
      <c r="Z184" s="67">
        <f>IF(AND(T184=0,X184=""),1,0)</f>
        <v/>
      </c>
      <c r="AA184" s="68">
        <f>IF(Z184=1,IF(U184="In",L184,L184-W184),0)</f>
        <v/>
      </c>
      <c r="AB184" s="68">
        <f>IF(Z184=1,IF(U184="In",L184-W184,L184),0)</f>
        <v/>
      </c>
      <c r="AC184" s="68">
        <f>IF(AND(Z184=1,U184="Out"),W184,0)</f>
        <v/>
      </c>
      <c r="AD184" s="68">
        <f>IF(AND(Z184=1,U184="In"),W184,0)</f>
        <v/>
      </c>
    </row>
    <row r="185">
      <c r="B185" s="62" t="inlineStr">
        <is>
          <t>TX-0179</t>
        </is>
      </c>
      <c r="C185" s="63" t="n">
        <v>46167</v>
      </c>
      <c r="D185" s="62" t="inlineStr">
        <is>
          <t>Money In</t>
        </is>
      </c>
      <c r="E185" s="62" t="inlineStr">
        <is>
          <t>Product Sales</t>
        </is>
      </c>
      <c r="F185" s="62" t="inlineStr">
        <is>
          <t>Counter sales week 4</t>
        </is>
      </c>
      <c r="G185" s="62" t="n"/>
      <c r="H185" s="62" t="n"/>
      <c r="I185" s="62" t="inlineStr">
        <is>
          <t>Cash</t>
        </is>
      </c>
      <c r="J185" s="62" t="n"/>
      <c r="K185" s="62" t="inlineStr">
        <is>
          <t>Cash on Hand</t>
        </is>
      </c>
      <c r="L185" s="64" t="n">
        <v>50646.14</v>
      </c>
      <c r="M185" s="64" t="n">
        <v>5426.37</v>
      </c>
      <c r="N185" s="62" t="n"/>
      <c r="O185" s="65">
        <f>IF(Z185=1,L185-W185,"")</f>
        <v/>
      </c>
      <c r="P185" s="66">
        <f>IF(V185="","",IFERROR(INDEX(coa_Type,MATCH(V185,coa_Name,0)),""))</f>
        <v/>
      </c>
      <c r="Q185" s="66">
        <f>IF(Z185=1,IF(U185="In",K185&amp;"",V185),"")</f>
        <v/>
      </c>
      <c r="R185" s="66">
        <f>IF(Z185=1,IF(U185="In",V185,K185&amp;""),"")</f>
        <v/>
      </c>
      <c r="S185" s="66">
        <f>IF(X185&lt;&gt;"","⛔ "&amp;X185&amp;" — not posted",IF(Y185&lt;&gt;"","⚠ "&amp;Y185,IF(Z185=1,"✓ OK","")))</f>
        <v/>
      </c>
      <c r="T185" s="67">
        <f>IF(AND(C185="",D185="",E185="",L185="",K185=""),1,0)</f>
        <v/>
      </c>
      <c r="U185" s="67">
        <f>IFERROR(INDEX(tt_Dir,MATCH(D185,tt_Type,0)),"")</f>
        <v/>
      </c>
      <c r="V185" s="67">
        <f>IF(D185="","",IFERROR(IF(INDEX(tt_Other,MATCH(D185,tt_Type,0))="",E185&amp;"",INDEX(tt_Other,MATCH(D185,tt_Type,0))),""))</f>
        <v/>
      </c>
      <c r="W185" s="68">
        <f>IF(OR(TaxOn&lt;&gt;"Yes",NOT(ISNUMBER(M185))),0,IF(IFERROR(INDEX(tt_Tax,MATCH(D185,tt_Type,0)),"No")="Yes",M185,0))</f>
        <v/>
      </c>
      <c r="X185" s="67">
        <f>IF(T185=1,"",IF(C185="","Missing transaction date",IF(NOT(ISNUMBER(C185)),"Invalid date",IF(OR(C185&lt;DATE(2000,1,1),C185&gt;DATE(2099,12,31)),"Invalid date",IF(D185="","Select a type",IF(U185="","Unknown type: "&amp;D185,IF(V185="","Select an account (Category)",IF(ISNA(MATCH(V185,coa_Name,0)),"Unknown account: "&amp;V185,IF(K185="","Select Paid From / Deposited To",IF(ISNA(MATCH(K185,coa_Name,0)),"Unknown account: "&amp;K185,IF(NOT(ISNUMBER(L185)),"Enter an amount",IF(L185=0,"Enter an amount",IF(ABS(W185)&gt;ABS(L185),"Tax is larger than the amount","")))))))))))))</f>
        <v/>
      </c>
      <c r="Y185" s="67">
        <f>IF(OR(T185=1,X185&lt;&gt;""),"",IF(AND(B185&lt;&gt;"",COUNTIF(tx_ID,B185)&gt;1),"Duplicate transaction ID",IF(AND(L185&lt;0,D185&lt;&gt;"Adjustment"),"Negative amount — check this entry",IF(AND(D185="Customer Payment",G185=""),"Add the customer",IF(AND(D185="Customer Payment",OR(J185="",COUNTIF(ar_No,J185&amp;"")=0)),"Invoice # in Reference not found on AR sheet",IF(AND(D185="Bill Payment",H185=""),"Add the vendor",IF(AND(D185="Bill Payment",OR(J185="",COUNTIFS(ap_No,J185&amp;"",ap_Party,H185&amp;"")=0)),"Bill # + vendor not found on AP sheet",IF(AND(ISNUMBER(M185),N(M185)&lt;&gt;0,W185=0),"Tax ignored (tax tracking off, or not allowed for this type)",IF(V185=K185&amp;"","Same account on both sides",IF(AND(ISNUMBER(StartDate),C185&lt;StartDate),"Date is before the accounting start date",IF(AND(D185&lt;&gt;"Adjustment",IFERROR(INDEX(coa_Pay,MATCH(K185&amp;"",coa_Name,0)),"")&lt;&gt;"Yes"),"Paid From / Deposited To is not a payment account","")))))))))))</f>
        <v/>
      </c>
      <c r="Z185" s="67">
        <f>IF(AND(T185=0,X185=""),1,0)</f>
        <v/>
      </c>
      <c r="AA185" s="68">
        <f>IF(Z185=1,IF(U185="In",L185,L185-W185),0)</f>
        <v/>
      </c>
      <c r="AB185" s="68">
        <f>IF(Z185=1,IF(U185="In",L185-W185,L185),0)</f>
        <v/>
      </c>
      <c r="AC185" s="68">
        <f>IF(AND(Z185=1,U185="Out"),W185,0)</f>
        <v/>
      </c>
      <c r="AD185" s="68">
        <f>IF(AND(Z185=1,U185="In"),W185,0)</f>
        <v/>
      </c>
    </row>
    <row r="186">
      <c r="B186" s="62" t="inlineStr">
        <is>
          <t>TX-0180</t>
        </is>
      </c>
      <c r="C186" s="63" t="n">
        <v>46167</v>
      </c>
      <c r="D186" s="62" t="inlineStr">
        <is>
          <t>Owner Draw</t>
        </is>
      </c>
      <c r="E186" s="62" t="n"/>
      <c r="F186" s="62" t="inlineStr">
        <is>
          <t>Owner salary / personal draw</t>
        </is>
      </c>
      <c r="G186" s="62" t="n"/>
      <c r="H186" s="62" t="n"/>
      <c r="I186" s="62" t="inlineStr">
        <is>
          <t>Bank Transfer</t>
        </is>
      </c>
      <c r="J186" s="62" t="n"/>
      <c r="K186" s="62" t="inlineStr">
        <is>
          <t>Bank Account</t>
        </is>
      </c>
      <c r="L186" s="64" t="n">
        <v>20000</v>
      </c>
      <c r="M186" s="64" t="n"/>
      <c r="N186" s="62" t="n"/>
      <c r="O186" s="65">
        <f>IF(Z186=1,L186-W186,"")</f>
        <v/>
      </c>
      <c r="P186" s="66">
        <f>IF(V186="","",IFERROR(INDEX(coa_Type,MATCH(V186,coa_Name,0)),""))</f>
        <v/>
      </c>
      <c r="Q186" s="66">
        <f>IF(Z186=1,IF(U186="In",K186&amp;"",V186),"")</f>
        <v/>
      </c>
      <c r="R186" s="66">
        <f>IF(Z186=1,IF(U186="In",V186,K186&amp;""),"")</f>
        <v/>
      </c>
      <c r="S186" s="66">
        <f>IF(X186&lt;&gt;"","⛔ "&amp;X186&amp;" — not posted",IF(Y186&lt;&gt;"","⚠ "&amp;Y186,IF(Z186=1,"✓ OK","")))</f>
        <v/>
      </c>
      <c r="T186" s="67">
        <f>IF(AND(C186="",D186="",E186="",L186="",K186=""),1,0)</f>
        <v/>
      </c>
      <c r="U186" s="67">
        <f>IFERROR(INDEX(tt_Dir,MATCH(D186,tt_Type,0)),"")</f>
        <v/>
      </c>
      <c r="V186" s="67">
        <f>IF(D186="","",IFERROR(IF(INDEX(tt_Other,MATCH(D186,tt_Type,0))="",E186&amp;"",INDEX(tt_Other,MATCH(D186,tt_Type,0))),""))</f>
        <v/>
      </c>
      <c r="W186" s="68">
        <f>IF(OR(TaxOn&lt;&gt;"Yes",NOT(ISNUMBER(M186))),0,IF(IFERROR(INDEX(tt_Tax,MATCH(D186,tt_Type,0)),"No")="Yes",M186,0))</f>
        <v/>
      </c>
      <c r="X186" s="67">
        <f>IF(T186=1,"",IF(C186="","Missing transaction date",IF(NOT(ISNUMBER(C186)),"Invalid date",IF(OR(C186&lt;DATE(2000,1,1),C186&gt;DATE(2099,12,31)),"Invalid date",IF(D186="","Select a type",IF(U186="","Unknown type: "&amp;D186,IF(V186="","Select an account (Category)",IF(ISNA(MATCH(V186,coa_Name,0)),"Unknown account: "&amp;V186,IF(K186="","Select Paid From / Deposited To",IF(ISNA(MATCH(K186,coa_Name,0)),"Unknown account: "&amp;K186,IF(NOT(ISNUMBER(L186)),"Enter an amount",IF(L186=0,"Enter an amount",IF(ABS(W186)&gt;ABS(L186),"Tax is larger than the amount","")))))))))))))</f>
        <v/>
      </c>
      <c r="Y186" s="67">
        <f>IF(OR(T186=1,X186&lt;&gt;""),"",IF(AND(B186&lt;&gt;"",COUNTIF(tx_ID,B186)&gt;1),"Duplicate transaction ID",IF(AND(L186&lt;0,D186&lt;&gt;"Adjustment"),"Negative amount — check this entry",IF(AND(D186="Customer Payment",G186=""),"Add the customer",IF(AND(D186="Customer Payment",OR(J186="",COUNTIF(ar_No,J186&amp;"")=0)),"Invoice # in Reference not found on AR sheet",IF(AND(D186="Bill Payment",H186=""),"Add the vendor",IF(AND(D186="Bill Payment",OR(J186="",COUNTIFS(ap_No,J186&amp;"",ap_Party,H186&amp;"")=0)),"Bill # + vendor not found on AP sheet",IF(AND(ISNUMBER(M186),N(M186)&lt;&gt;0,W186=0),"Tax ignored (tax tracking off, or not allowed for this type)",IF(V186=K186&amp;"","Same account on both sides",IF(AND(ISNUMBER(StartDate),C186&lt;StartDate),"Date is before the accounting start date",IF(AND(D186&lt;&gt;"Adjustment",IFERROR(INDEX(coa_Pay,MATCH(K186&amp;"",coa_Name,0)),"")&lt;&gt;"Yes"),"Paid From / Deposited To is not a payment account","")))))))))))</f>
        <v/>
      </c>
      <c r="Z186" s="67">
        <f>IF(AND(T186=0,X186=""),1,0)</f>
        <v/>
      </c>
      <c r="AA186" s="68">
        <f>IF(Z186=1,IF(U186="In",L186,L186-W186),0)</f>
        <v/>
      </c>
      <c r="AB186" s="68">
        <f>IF(Z186=1,IF(U186="In",L186-W186,L186),0)</f>
        <v/>
      </c>
      <c r="AC186" s="68">
        <f>IF(AND(Z186=1,U186="Out"),W186,0)</f>
        <v/>
      </c>
      <c r="AD186" s="68">
        <f>IF(AND(Z186=1,U186="In"),W186,0)</f>
        <v/>
      </c>
    </row>
    <row r="187">
      <c r="B187" s="62" t="inlineStr">
        <is>
          <t>TX-0181</t>
        </is>
      </c>
      <c r="C187" s="63" t="n">
        <v>46168</v>
      </c>
      <c r="D187" s="62" t="inlineStr">
        <is>
          <t>Money In</t>
        </is>
      </c>
      <c r="E187" s="62" t="inlineStr">
        <is>
          <t>Product Sales</t>
        </is>
      </c>
      <c r="F187" s="62" t="inlineStr">
        <is>
          <t>GCash / online orders week 4</t>
        </is>
      </c>
      <c r="G187" s="62" t="n"/>
      <c r="H187" s="62" t="n"/>
      <c r="I187" s="62" t="inlineStr">
        <is>
          <t>E-Wallet</t>
        </is>
      </c>
      <c r="J187" s="62" t="n"/>
      <c r="K187" s="62" t="inlineStr">
        <is>
          <t>E-Wallet / Online Payments</t>
        </is>
      </c>
      <c r="L187" s="64" t="n">
        <v>18880.07</v>
      </c>
      <c r="M187" s="64" t="n">
        <v>2022.86</v>
      </c>
      <c r="N187" s="62" t="n"/>
      <c r="O187" s="65">
        <f>IF(Z187=1,L187-W187,"")</f>
        <v/>
      </c>
      <c r="P187" s="66">
        <f>IF(V187="","",IFERROR(INDEX(coa_Type,MATCH(V187,coa_Name,0)),""))</f>
        <v/>
      </c>
      <c r="Q187" s="66">
        <f>IF(Z187=1,IF(U187="In",K187&amp;"",V187),"")</f>
        <v/>
      </c>
      <c r="R187" s="66">
        <f>IF(Z187=1,IF(U187="In",V187,K187&amp;""),"")</f>
        <v/>
      </c>
      <c r="S187" s="66">
        <f>IF(X187&lt;&gt;"","⛔ "&amp;X187&amp;" — not posted",IF(Y187&lt;&gt;"","⚠ "&amp;Y187,IF(Z187=1,"✓ OK","")))</f>
        <v/>
      </c>
      <c r="T187" s="67">
        <f>IF(AND(C187="",D187="",E187="",L187="",K187=""),1,0)</f>
        <v/>
      </c>
      <c r="U187" s="67">
        <f>IFERROR(INDEX(tt_Dir,MATCH(D187,tt_Type,0)),"")</f>
        <v/>
      </c>
      <c r="V187" s="67">
        <f>IF(D187="","",IFERROR(IF(INDEX(tt_Other,MATCH(D187,tt_Type,0))="",E187&amp;"",INDEX(tt_Other,MATCH(D187,tt_Type,0))),""))</f>
        <v/>
      </c>
      <c r="W187" s="68">
        <f>IF(OR(TaxOn&lt;&gt;"Yes",NOT(ISNUMBER(M187))),0,IF(IFERROR(INDEX(tt_Tax,MATCH(D187,tt_Type,0)),"No")="Yes",M187,0))</f>
        <v/>
      </c>
      <c r="X187" s="67">
        <f>IF(T187=1,"",IF(C187="","Missing transaction date",IF(NOT(ISNUMBER(C187)),"Invalid date",IF(OR(C187&lt;DATE(2000,1,1),C187&gt;DATE(2099,12,31)),"Invalid date",IF(D187="","Select a type",IF(U187="","Unknown type: "&amp;D187,IF(V187="","Select an account (Category)",IF(ISNA(MATCH(V187,coa_Name,0)),"Unknown account: "&amp;V187,IF(K187="","Select Paid From / Deposited To",IF(ISNA(MATCH(K187,coa_Name,0)),"Unknown account: "&amp;K187,IF(NOT(ISNUMBER(L187)),"Enter an amount",IF(L187=0,"Enter an amount",IF(ABS(W187)&gt;ABS(L187),"Tax is larger than the amount","")))))))))))))</f>
        <v/>
      </c>
      <c r="Y187" s="67">
        <f>IF(OR(T187=1,X187&lt;&gt;""),"",IF(AND(B187&lt;&gt;"",COUNTIF(tx_ID,B187)&gt;1),"Duplicate transaction ID",IF(AND(L187&lt;0,D187&lt;&gt;"Adjustment"),"Negative amount — check this entry",IF(AND(D187="Customer Payment",G187=""),"Add the customer",IF(AND(D187="Customer Payment",OR(J187="",COUNTIF(ar_No,J187&amp;"")=0)),"Invoice # in Reference not found on AR sheet",IF(AND(D187="Bill Payment",H187=""),"Add the vendor",IF(AND(D187="Bill Payment",OR(J187="",COUNTIFS(ap_No,J187&amp;"",ap_Party,H187&amp;"")=0)),"Bill # + vendor not found on AP sheet",IF(AND(ISNUMBER(M187),N(M187)&lt;&gt;0,W187=0),"Tax ignored (tax tracking off, or not allowed for this type)",IF(V187=K187&amp;"","Same account on both sides",IF(AND(ISNUMBER(StartDate),C187&lt;StartDate),"Date is before the accounting start date",IF(AND(D187&lt;&gt;"Adjustment",IFERROR(INDEX(coa_Pay,MATCH(K187&amp;"",coa_Name,0)),"")&lt;&gt;"Yes"),"Paid From / Deposited To is not a payment account","")))))))))))</f>
        <v/>
      </c>
      <c r="Z187" s="67">
        <f>IF(AND(T187=0,X187=""),1,0)</f>
        <v/>
      </c>
      <c r="AA187" s="68">
        <f>IF(Z187=1,IF(U187="In",L187,L187-W187),0)</f>
        <v/>
      </c>
      <c r="AB187" s="68">
        <f>IF(Z187=1,IF(U187="In",L187-W187,L187),0)</f>
        <v/>
      </c>
      <c r="AC187" s="68">
        <f>IF(AND(Z187=1,U187="Out"),W187,0)</f>
        <v/>
      </c>
      <c r="AD187" s="68">
        <f>IF(AND(Z187=1,U187="In"),W187,0)</f>
        <v/>
      </c>
    </row>
    <row r="188">
      <c r="B188" s="62" t="inlineStr">
        <is>
          <t>TX-0182</t>
        </is>
      </c>
      <c r="C188" s="63" t="n">
        <v>46169</v>
      </c>
      <c r="D188" s="62" t="inlineStr">
        <is>
          <t>Transfer</t>
        </is>
      </c>
      <c r="E188" s="62" t="inlineStr">
        <is>
          <t>Bank Account</t>
        </is>
      </c>
      <c r="F188" s="62" t="inlineStr">
        <is>
          <t>Cash deposit to bank</t>
        </is>
      </c>
      <c r="G188" s="62" t="n"/>
      <c r="H188" s="62" t="n"/>
      <c r="I188" s="62" t="inlineStr">
        <is>
          <t>Cash</t>
        </is>
      </c>
      <c r="J188" s="62" t="n"/>
      <c r="K188" s="62" t="inlineStr">
        <is>
          <t>Cash on Hand</t>
        </is>
      </c>
      <c r="L188" s="64" t="n">
        <v>43000</v>
      </c>
      <c r="M188" s="64" t="n"/>
      <c r="N188" s="62" t="n"/>
      <c r="O188" s="65">
        <f>IF(Z188=1,L188-W188,"")</f>
        <v/>
      </c>
      <c r="P188" s="66">
        <f>IF(V188="","",IFERROR(INDEX(coa_Type,MATCH(V188,coa_Name,0)),""))</f>
        <v/>
      </c>
      <c r="Q188" s="66">
        <f>IF(Z188=1,IF(U188="In",K188&amp;"",V188),"")</f>
        <v/>
      </c>
      <c r="R188" s="66">
        <f>IF(Z188=1,IF(U188="In",V188,K188&amp;""),"")</f>
        <v/>
      </c>
      <c r="S188" s="66">
        <f>IF(X188&lt;&gt;"","⛔ "&amp;X188&amp;" — not posted",IF(Y188&lt;&gt;"","⚠ "&amp;Y188,IF(Z188=1,"✓ OK","")))</f>
        <v/>
      </c>
      <c r="T188" s="67">
        <f>IF(AND(C188="",D188="",E188="",L188="",K188=""),1,0)</f>
        <v/>
      </c>
      <c r="U188" s="67">
        <f>IFERROR(INDEX(tt_Dir,MATCH(D188,tt_Type,0)),"")</f>
        <v/>
      </c>
      <c r="V188" s="67">
        <f>IF(D188="","",IFERROR(IF(INDEX(tt_Other,MATCH(D188,tt_Type,0))="",E188&amp;"",INDEX(tt_Other,MATCH(D188,tt_Type,0))),""))</f>
        <v/>
      </c>
      <c r="W188" s="68">
        <f>IF(OR(TaxOn&lt;&gt;"Yes",NOT(ISNUMBER(M188))),0,IF(IFERROR(INDEX(tt_Tax,MATCH(D188,tt_Type,0)),"No")="Yes",M188,0))</f>
        <v/>
      </c>
      <c r="X188" s="67">
        <f>IF(T188=1,"",IF(C188="","Missing transaction date",IF(NOT(ISNUMBER(C188)),"Invalid date",IF(OR(C188&lt;DATE(2000,1,1),C188&gt;DATE(2099,12,31)),"Invalid date",IF(D188="","Select a type",IF(U188="","Unknown type: "&amp;D188,IF(V188="","Select an account (Category)",IF(ISNA(MATCH(V188,coa_Name,0)),"Unknown account: "&amp;V188,IF(K188="","Select Paid From / Deposited To",IF(ISNA(MATCH(K188,coa_Name,0)),"Unknown account: "&amp;K188,IF(NOT(ISNUMBER(L188)),"Enter an amount",IF(L188=0,"Enter an amount",IF(ABS(W188)&gt;ABS(L188),"Tax is larger than the amount","")))))))))))))</f>
        <v/>
      </c>
      <c r="Y188" s="67">
        <f>IF(OR(T188=1,X188&lt;&gt;""),"",IF(AND(B188&lt;&gt;"",COUNTIF(tx_ID,B188)&gt;1),"Duplicate transaction ID",IF(AND(L188&lt;0,D188&lt;&gt;"Adjustment"),"Negative amount — check this entry",IF(AND(D188="Customer Payment",G188=""),"Add the customer",IF(AND(D188="Customer Payment",OR(J188="",COUNTIF(ar_No,J188&amp;"")=0)),"Invoice # in Reference not found on AR sheet",IF(AND(D188="Bill Payment",H188=""),"Add the vendor",IF(AND(D188="Bill Payment",OR(J188="",COUNTIFS(ap_No,J188&amp;"",ap_Party,H188&amp;"")=0)),"Bill # + vendor not found on AP sheet",IF(AND(ISNUMBER(M188),N(M188)&lt;&gt;0,W188=0),"Tax ignored (tax tracking off, or not allowed for this type)",IF(V188=K188&amp;"","Same account on both sides",IF(AND(ISNUMBER(StartDate),C188&lt;StartDate),"Date is before the accounting start date",IF(AND(D188&lt;&gt;"Adjustment",IFERROR(INDEX(coa_Pay,MATCH(K188&amp;"",coa_Name,0)),"")&lt;&gt;"Yes"),"Paid From / Deposited To is not a payment account","")))))))))))</f>
        <v/>
      </c>
      <c r="Z188" s="67">
        <f>IF(AND(T188=0,X188=""),1,0)</f>
        <v/>
      </c>
      <c r="AA188" s="68">
        <f>IF(Z188=1,IF(U188="In",L188,L188-W188),0)</f>
        <v/>
      </c>
      <c r="AB188" s="68">
        <f>IF(Z188=1,IF(U188="In",L188-W188,L188),0)</f>
        <v/>
      </c>
      <c r="AC188" s="68">
        <f>IF(AND(Z188=1,U188="Out"),W188,0)</f>
        <v/>
      </c>
      <c r="AD188" s="68">
        <f>IF(AND(Z188=1,U188="In"),W188,0)</f>
        <v/>
      </c>
    </row>
    <row r="189">
      <c r="B189" s="62" t="inlineStr">
        <is>
          <t>TX-0183</t>
        </is>
      </c>
      <c r="C189" s="63" t="n">
        <v>46169</v>
      </c>
      <c r="D189" s="62" t="inlineStr">
        <is>
          <t>Money Out</t>
        </is>
      </c>
      <c r="E189" s="62" t="inlineStr">
        <is>
          <t>Bank &amp; Payment Fees</t>
        </is>
      </c>
      <c r="F189" s="62" t="inlineStr">
        <is>
          <t>Monthly bank charge</t>
        </is>
      </c>
      <c r="G189" s="62" t="n"/>
      <c r="H189" s="62" t="n"/>
      <c r="I189" s="62" t="inlineStr">
        <is>
          <t>Bank Transfer</t>
        </is>
      </c>
      <c r="J189" s="62" t="n"/>
      <c r="K189" s="62" t="inlineStr">
        <is>
          <t>Bank Account</t>
        </is>
      </c>
      <c r="L189" s="64" t="n">
        <v>150</v>
      </c>
      <c r="M189" s="64" t="n"/>
      <c r="N189" s="62" t="n"/>
      <c r="O189" s="65">
        <f>IF(Z189=1,L189-W189,"")</f>
        <v/>
      </c>
      <c r="P189" s="66">
        <f>IF(V189="","",IFERROR(INDEX(coa_Type,MATCH(V189,coa_Name,0)),""))</f>
        <v/>
      </c>
      <c r="Q189" s="66">
        <f>IF(Z189=1,IF(U189="In",K189&amp;"",V189),"")</f>
        <v/>
      </c>
      <c r="R189" s="66">
        <f>IF(Z189=1,IF(U189="In",V189,K189&amp;""),"")</f>
        <v/>
      </c>
      <c r="S189" s="66">
        <f>IF(X189&lt;&gt;"","⛔ "&amp;X189&amp;" — not posted",IF(Y189&lt;&gt;"","⚠ "&amp;Y189,IF(Z189=1,"✓ OK","")))</f>
        <v/>
      </c>
      <c r="T189" s="67">
        <f>IF(AND(C189="",D189="",E189="",L189="",K189=""),1,0)</f>
        <v/>
      </c>
      <c r="U189" s="67">
        <f>IFERROR(INDEX(tt_Dir,MATCH(D189,tt_Type,0)),"")</f>
        <v/>
      </c>
      <c r="V189" s="67">
        <f>IF(D189="","",IFERROR(IF(INDEX(tt_Other,MATCH(D189,tt_Type,0))="",E189&amp;"",INDEX(tt_Other,MATCH(D189,tt_Type,0))),""))</f>
        <v/>
      </c>
      <c r="W189" s="68">
        <f>IF(OR(TaxOn&lt;&gt;"Yes",NOT(ISNUMBER(M189))),0,IF(IFERROR(INDEX(tt_Tax,MATCH(D189,tt_Type,0)),"No")="Yes",M189,0))</f>
        <v/>
      </c>
      <c r="X189" s="67">
        <f>IF(T189=1,"",IF(C189="","Missing transaction date",IF(NOT(ISNUMBER(C189)),"Invalid date",IF(OR(C189&lt;DATE(2000,1,1),C189&gt;DATE(2099,12,31)),"Invalid date",IF(D189="","Select a type",IF(U189="","Unknown type: "&amp;D189,IF(V189="","Select an account (Category)",IF(ISNA(MATCH(V189,coa_Name,0)),"Unknown account: "&amp;V189,IF(K189="","Select Paid From / Deposited To",IF(ISNA(MATCH(K189,coa_Name,0)),"Unknown account: "&amp;K189,IF(NOT(ISNUMBER(L189)),"Enter an amount",IF(L189=0,"Enter an amount",IF(ABS(W189)&gt;ABS(L189),"Tax is larger than the amount","")))))))))))))</f>
        <v/>
      </c>
      <c r="Y189" s="67">
        <f>IF(OR(T189=1,X189&lt;&gt;""),"",IF(AND(B189&lt;&gt;"",COUNTIF(tx_ID,B189)&gt;1),"Duplicate transaction ID",IF(AND(L189&lt;0,D189&lt;&gt;"Adjustment"),"Negative amount — check this entry",IF(AND(D189="Customer Payment",G189=""),"Add the customer",IF(AND(D189="Customer Payment",OR(J189="",COUNTIF(ar_No,J189&amp;"")=0)),"Invoice # in Reference not found on AR sheet",IF(AND(D189="Bill Payment",H189=""),"Add the vendor",IF(AND(D189="Bill Payment",OR(J189="",COUNTIFS(ap_No,J189&amp;"",ap_Party,H189&amp;"")=0)),"Bill # + vendor not found on AP sheet",IF(AND(ISNUMBER(M189),N(M189)&lt;&gt;0,W189=0),"Tax ignored (tax tracking off, or not allowed for this type)",IF(V189=K189&amp;"","Same account on both sides",IF(AND(ISNUMBER(StartDate),C189&lt;StartDate),"Date is before the accounting start date",IF(AND(D189&lt;&gt;"Adjustment",IFERROR(INDEX(coa_Pay,MATCH(K189&amp;"",coa_Name,0)),"")&lt;&gt;"Yes"),"Paid From / Deposited To is not a payment account","")))))))))))</f>
        <v/>
      </c>
      <c r="Z189" s="67">
        <f>IF(AND(T189=0,X189=""),1,0)</f>
        <v/>
      </c>
      <c r="AA189" s="68">
        <f>IF(Z189=1,IF(U189="In",L189,L189-W189),0)</f>
        <v/>
      </c>
      <c r="AB189" s="68">
        <f>IF(Z189=1,IF(U189="In",L189-W189,L189),0)</f>
        <v/>
      </c>
      <c r="AC189" s="68">
        <f>IF(AND(Z189=1,U189="Out"),W189,0)</f>
        <v/>
      </c>
      <c r="AD189" s="68">
        <f>IF(AND(Z189=1,U189="In"),W189,0)</f>
        <v/>
      </c>
    </row>
    <row r="190">
      <c r="B190" s="62" t="inlineStr">
        <is>
          <t>TX-0184</t>
        </is>
      </c>
      <c r="C190" s="63" t="n">
        <v>46170</v>
      </c>
      <c r="D190" s="62" t="inlineStr">
        <is>
          <t>Transfer</t>
        </is>
      </c>
      <c r="E190" s="62" t="inlineStr">
        <is>
          <t>Bank Account</t>
        </is>
      </c>
      <c r="F190" s="62" t="inlineStr">
        <is>
          <t>E-wallet cash-out to bank</t>
        </is>
      </c>
      <c r="G190" s="62" t="n"/>
      <c r="H190" s="62" t="n"/>
      <c r="I190" s="62" t="inlineStr">
        <is>
          <t>Online Payment</t>
        </is>
      </c>
      <c r="J190" s="62" t="n"/>
      <c r="K190" s="62" t="inlineStr">
        <is>
          <t>E-Wallet / Online Payments</t>
        </is>
      </c>
      <c r="L190" s="64" t="n">
        <v>44700</v>
      </c>
      <c r="M190" s="64" t="n"/>
      <c r="N190" s="62" t="n"/>
      <c r="O190" s="65">
        <f>IF(Z190=1,L190-W190,"")</f>
        <v/>
      </c>
      <c r="P190" s="66">
        <f>IF(V190="","",IFERROR(INDEX(coa_Type,MATCH(V190,coa_Name,0)),""))</f>
        <v/>
      </c>
      <c r="Q190" s="66">
        <f>IF(Z190=1,IF(U190="In",K190&amp;"",V190),"")</f>
        <v/>
      </c>
      <c r="R190" s="66">
        <f>IF(Z190=1,IF(U190="In",V190,K190&amp;""),"")</f>
        <v/>
      </c>
      <c r="S190" s="66">
        <f>IF(X190&lt;&gt;"","⛔ "&amp;X190&amp;" — not posted",IF(Y190&lt;&gt;"","⚠ "&amp;Y190,IF(Z190=1,"✓ OK","")))</f>
        <v/>
      </c>
      <c r="T190" s="67">
        <f>IF(AND(C190="",D190="",E190="",L190="",K190=""),1,0)</f>
        <v/>
      </c>
      <c r="U190" s="67">
        <f>IFERROR(INDEX(tt_Dir,MATCH(D190,tt_Type,0)),"")</f>
        <v/>
      </c>
      <c r="V190" s="67">
        <f>IF(D190="","",IFERROR(IF(INDEX(tt_Other,MATCH(D190,tt_Type,0))="",E190&amp;"",INDEX(tt_Other,MATCH(D190,tt_Type,0))),""))</f>
        <v/>
      </c>
      <c r="W190" s="68">
        <f>IF(OR(TaxOn&lt;&gt;"Yes",NOT(ISNUMBER(M190))),0,IF(IFERROR(INDEX(tt_Tax,MATCH(D190,tt_Type,0)),"No")="Yes",M190,0))</f>
        <v/>
      </c>
      <c r="X190" s="67">
        <f>IF(T190=1,"",IF(C190="","Missing transaction date",IF(NOT(ISNUMBER(C190)),"Invalid date",IF(OR(C190&lt;DATE(2000,1,1),C190&gt;DATE(2099,12,31)),"Invalid date",IF(D190="","Select a type",IF(U190="","Unknown type: "&amp;D190,IF(V190="","Select an account (Category)",IF(ISNA(MATCH(V190,coa_Name,0)),"Unknown account: "&amp;V190,IF(K190="","Select Paid From / Deposited To",IF(ISNA(MATCH(K190,coa_Name,0)),"Unknown account: "&amp;K190,IF(NOT(ISNUMBER(L190)),"Enter an amount",IF(L190=0,"Enter an amount",IF(ABS(W190)&gt;ABS(L190),"Tax is larger than the amount","")))))))))))))</f>
        <v/>
      </c>
      <c r="Y190" s="67">
        <f>IF(OR(T190=1,X190&lt;&gt;""),"",IF(AND(B190&lt;&gt;"",COUNTIF(tx_ID,B190)&gt;1),"Duplicate transaction ID",IF(AND(L190&lt;0,D190&lt;&gt;"Adjustment"),"Negative amount — check this entry",IF(AND(D190="Customer Payment",G190=""),"Add the customer",IF(AND(D190="Customer Payment",OR(J190="",COUNTIF(ar_No,J190&amp;"")=0)),"Invoice # in Reference not found on AR sheet",IF(AND(D190="Bill Payment",H190=""),"Add the vendor",IF(AND(D190="Bill Payment",OR(J190="",COUNTIFS(ap_No,J190&amp;"",ap_Party,H190&amp;"")=0)),"Bill # + vendor not found on AP sheet",IF(AND(ISNUMBER(M190),N(M190)&lt;&gt;0,W190=0),"Tax ignored (tax tracking off, or not allowed for this type)",IF(V190=K190&amp;"","Same account on both sides",IF(AND(ISNUMBER(StartDate),C190&lt;StartDate),"Date is before the accounting start date",IF(AND(D190&lt;&gt;"Adjustment",IFERROR(INDEX(coa_Pay,MATCH(K190&amp;"",coa_Name,0)),"")&lt;&gt;"Yes"),"Paid From / Deposited To is not a payment account","")))))))))))</f>
        <v/>
      </c>
      <c r="Z190" s="67">
        <f>IF(AND(T190=0,X190=""),1,0)</f>
        <v/>
      </c>
      <c r="AA190" s="68">
        <f>IF(Z190=1,IF(U190="In",L190,L190-W190),0)</f>
        <v/>
      </c>
      <c r="AB190" s="68">
        <f>IF(Z190=1,IF(U190="In",L190-W190,L190),0)</f>
        <v/>
      </c>
      <c r="AC190" s="68">
        <f>IF(AND(Z190=1,U190="Out"),W190,0)</f>
        <v/>
      </c>
      <c r="AD190" s="68">
        <f>IF(AND(Z190=1,U190="In"),W190,0)</f>
        <v/>
      </c>
    </row>
    <row r="191">
      <c r="B191" s="62" t="inlineStr">
        <is>
          <t>TX-0185</t>
        </is>
      </c>
      <c r="C191" s="63" t="n">
        <v>46170</v>
      </c>
      <c r="D191" s="62" t="inlineStr">
        <is>
          <t>Money Out</t>
        </is>
      </c>
      <c r="E191" s="62" t="inlineStr">
        <is>
          <t>Direct Labor</t>
        </is>
      </c>
      <c r="F191" s="62" t="inlineStr">
        <is>
          <t>Bakers' salaries (16th-end)</t>
        </is>
      </c>
      <c r="G191" s="62" t="n"/>
      <c r="H191" s="62" t="n"/>
      <c r="I191" s="62" t="inlineStr">
        <is>
          <t>Bank Transfer</t>
        </is>
      </c>
      <c r="J191" s="62" t="n"/>
      <c r="K191" s="62" t="inlineStr">
        <is>
          <t>Bank Account</t>
        </is>
      </c>
      <c r="L191" s="64" t="n">
        <v>38000</v>
      </c>
      <c r="M191" s="64" t="n"/>
      <c r="N191" s="62" t="n"/>
      <c r="O191" s="65">
        <f>IF(Z191=1,L191-W191,"")</f>
        <v/>
      </c>
      <c r="P191" s="66">
        <f>IF(V191="","",IFERROR(INDEX(coa_Type,MATCH(V191,coa_Name,0)),""))</f>
        <v/>
      </c>
      <c r="Q191" s="66">
        <f>IF(Z191=1,IF(U191="In",K191&amp;"",V191),"")</f>
        <v/>
      </c>
      <c r="R191" s="66">
        <f>IF(Z191=1,IF(U191="In",V191,K191&amp;""),"")</f>
        <v/>
      </c>
      <c r="S191" s="66">
        <f>IF(X191&lt;&gt;"","⛔ "&amp;X191&amp;" — not posted",IF(Y191&lt;&gt;"","⚠ "&amp;Y191,IF(Z191=1,"✓ OK","")))</f>
        <v/>
      </c>
      <c r="T191" s="67">
        <f>IF(AND(C191="",D191="",E191="",L191="",K191=""),1,0)</f>
        <v/>
      </c>
      <c r="U191" s="67">
        <f>IFERROR(INDEX(tt_Dir,MATCH(D191,tt_Type,0)),"")</f>
        <v/>
      </c>
      <c r="V191" s="67">
        <f>IF(D191="","",IFERROR(IF(INDEX(tt_Other,MATCH(D191,tt_Type,0))="",E191&amp;"",INDEX(tt_Other,MATCH(D191,tt_Type,0))),""))</f>
        <v/>
      </c>
      <c r="W191" s="68">
        <f>IF(OR(TaxOn&lt;&gt;"Yes",NOT(ISNUMBER(M191))),0,IF(IFERROR(INDEX(tt_Tax,MATCH(D191,tt_Type,0)),"No")="Yes",M191,0))</f>
        <v/>
      </c>
      <c r="X191" s="67">
        <f>IF(T191=1,"",IF(C191="","Missing transaction date",IF(NOT(ISNUMBER(C191)),"Invalid date",IF(OR(C191&lt;DATE(2000,1,1),C191&gt;DATE(2099,12,31)),"Invalid date",IF(D191="","Select a type",IF(U191="","Unknown type: "&amp;D191,IF(V191="","Select an account (Category)",IF(ISNA(MATCH(V191,coa_Name,0)),"Unknown account: "&amp;V191,IF(K191="","Select Paid From / Deposited To",IF(ISNA(MATCH(K191,coa_Name,0)),"Unknown account: "&amp;K191,IF(NOT(ISNUMBER(L191)),"Enter an amount",IF(L191=0,"Enter an amount",IF(ABS(W191)&gt;ABS(L191),"Tax is larger than the amount","")))))))))))))</f>
        <v/>
      </c>
      <c r="Y191" s="67">
        <f>IF(OR(T191=1,X191&lt;&gt;""),"",IF(AND(B191&lt;&gt;"",COUNTIF(tx_ID,B191)&gt;1),"Duplicate transaction ID",IF(AND(L191&lt;0,D191&lt;&gt;"Adjustment"),"Negative amount — check this entry",IF(AND(D191="Customer Payment",G191=""),"Add the customer",IF(AND(D191="Customer Payment",OR(J191="",COUNTIF(ar_No,J191&amp;"")=0)),"Invoice # in Reference not found on AR sheet",IF(AND(D191="Bill Payment",H191=""),"Add the vendor",IF(AND(D191="Bill Payment",OR(J191="",COUNTIFS(ap_No,J191&amp;"",ap_Party,H191&amp;"")=0)),"Bill # + vendor not found on AP sheet",IF(AND(ISNUMBER(M191),N(M191)&lt;&gt;0,W191=0),"Tax ignored (tax tracking off, or not allowed for this type)",IF(V191=K191&amp;"","Same account on both sides",IF(AND(ISNUMBER(StartDate),C191&lt;StartDate),"Date is before the accounting start date",IF(AND(D191&lt;&gt;"Adjustment",IFERROR(INDEX(coa_Pay,MATCH(K191&amp;"",coa_Name,0)),"")&lt;&gt;"Yes"),"Paid From / Deposited To is not a payment account","")))))))))))</f>
        <v/>
      </c>
      <c r="Z191" s="67">
        <f>IF(AND(T191=0,X191=""),1,0)</f>
        <v/>
      </c>
      <c r="AA191" s="68">
        <f>IF(Z191=1,IF(U191="In",L191,L191-W191),0)</f>
        <v/>
      </c>
      <c r="AB191" s="68">
        <f>IF(Z191=1,IF(U191="In",L191-W191,L191),0)</f>
        <v/>
      </c>
      <c r="AC191" s="68">
        <f>IF(AND(Z191=1,U191="Out"),W191,0)</f>
        <v/>
      </c>
      <c r="AD191" s="68">
        <f>IF(AND(Z191=1,U191="In"),W191,0)</f>
        <v/>
      </c>
    </row>
    <row r="192">
      <c r="B192" s="62" t="inlineStr">
        <is>
          <t>TX-0186</t>
        </is>
      </c>
      <c r="C192" s="63" t="n">
        <v>46170</v>
      </c>
      <c r="D192" s="62" t="inlineStr">
        <is>
          <t>Money Out</t>
        </is>
      </c>
      <c r="E192" s="62" t="inlineStr">
        <is>
          <t>Salaries &amp; Wages</t>
        </is>
      </c>
      <c r="F192" s="62" t="inlineStr">
        <is>
          <t>Cashier salary (16th-end)</t>
        </is>
      </c>
      <c r="G192" s="62" t="n"/>
      <c r="H192" s="62" t="n"/>
      <c r="I192" s="62" t="inlineStr">
        <is>
          <t>Bank Transfer</t>
        </is>
      </c>
      <c r="J192" s="62" t="n"/>
      <c r="K192" s="62" t="inlineStr">
        <is>
          <t>Bank Account</t>
        </is>
      </c>
      <c r="L192" s="64" t="n">
        <v>9000</v>
      </c>
      <c r="M192" s="64" t="n"/>
      <c r="N192" s="62" t="n"/>
      <c r="O192" s="65">
        <f>IF(Z192=1,L192-W192,"")</f>
        <v/>
      </c>
      <c r="P192" s="66">
        <f>IF(V192="","",IFERROR(INDEX(coa_Type,MATCH(V192,coa_Name,0)),""))</f>
        <v/>
      </c>
      <c r="Q192" s="66">
        <f>IF(Z192=1,IF(U192="In",K192&amp;"",V192),"")</f>
        <v/>
      </c>
      <c r="R192" s="66">
        <f>IF(Z192=1,IF(U192="In",V192,K192&amp;""),"")</f>
        <v/>
      </c>
      <c r="S192" s="66">
        <f>IF(X192&lt;&gt;"","⛔ "&amp;X192&amp;" — not posted",IF(Y192&lt;&gt;"","⚠ "&amp;Y192,IF(Z192=1,"✓ OK","")))</f>
        <v/>
      </c>
      <c r="T192" s="67">
        <f>IF(AND(C192="",D192="",E192="",L192="",K192=""),1,0)</f>
        <v/>
      </c>
      <c r="U192" s="67">
        <f>IFERROR(INDEX(tt_Dir,MATCH(D192,tt_Type,0)),"")</f>
        <v/>
      </c>
      <c r="V192" s="67">
        <f>IF(D192="","",IFERROR(IF(INDEX(tt_Other,MATCH(D192,tt_Type,0))="",E192&amp;"",INDEX(tt_Other,MATCH(D192,tt_Type,0))),""))</f>
        <v/>
      </c>
      <c r="W192" s="68">
        <f>IF(OR(TaxOn&lt;&gt;"Yes",NOT(ISNUMBER(M192))),0,IF(IFERROR(INDEX(tt_Tax,MATCH(D192,tt_Type,0)),"No")="Yes",M192,0))</f>
        <v/>
      </c>
      <c r="X192" s="67">
        <f>IF(T192=1,"",IF(C192="","Missing transaction date",IF(NOT(ISNUMBER(C192)),"Invalid date",IF(OR(C192&lt;DATE(2000,1,1),C192&gt;DATE(2099,12,31)),"Invalid date",IF(D192="","Select a type",IF(U192="","Unknown type: "&amp;D192,IF(V192="","Select an account (Category)",IF(ISNA(MATCH(V192,coa_Name,0)),"Unknown account: "&amp;V192,IF(K192="","Select Paid From / Deposited To",IF(ISNA(MATCH(K192,coa_Name,0)),"Unknown account: "&amp;K192,IF(NOT(ISNUMBER(L192)),"Enter an amount",IF(L192=0,"Enter an amount",IF(ABS(W192)&gt;ABS(L192),"Tax is larger than the amount","")))))))))))))</f>
        <v/>
      </c>
      <c r="Y192" s="67">
        <f>IF(OR(T192=1,X192&lt;&gt;""),"",IF(AND(B192&lt;&gt;"",COUNTIF(tx_ID,B192)&gt;1),"Duplicate transaction ID",IF(AND(L192&lt;0,D192&lt;&gt;"Adjustment"),"Negative amount — check this entry",IF(AND(D192="Customer Payment",G192=""),"Add the customer",IF(AND(D192="Customer Payment",OR(J192="",COUNTIF(ar_No,J192&amp;"")=0)),"Invoice # in Reference not found on AR sheet",IF(AND(D192="Bill Payment",H192=""),"Add the vendor",IF(AND(D192="Bill Payment",OR(J192="",COUNTIFS(ap_No,J192&amp;"",ap_Party,H192&amp;"")=0)),"Bill # + vendor not found on AP sheet",IF(AND(ISNUMBER(M192),N(M192)&lt;&gt;0,W192=0),"Tax ignored (tax tracking off, or not allowed for this type)",IF(V192=K192&amp;"","Same account on both sides",IF(AND(ISNUMBER(StartDate),C192&lt;StartDate),"Date is before the accounting start date",IF(AND(D192&lt;&gt;"Adjustment",IFERROR(INDEX(coa_Pay,MATCH(K192&amp;"",coa_Name,0)),"")&lt;&gt;"Yes"),"Paid From / Deposited To is not a payment account","")))))))))))</f>
        <v/>
      </c>
      <c r="Z192" s="67">
        <f>IF(AND(T192=0,X192=""),1,0)</f>
        <v/>
      </c>
      <c r="AA192" s="68">
        <f>IF(Z192=1,IF(U192="In",L192,L192-W192),0)</f>
        <v/>
      </c>
      <c r="AB192" s="68">
        <f>IF(Z192=1,IF(U192="In",L192-W192,L192),0)</f>
        <v/>
      </c>
      <c r="AC192" s="68">
        <f>IF(AND(Z192=1,U192="Out"),W192,0)</f>
        <v/>
      </c>
      <c r="AD192" s="68">
        <f>IF(AND(Z192=1,U192="In"),W192,0)</f>
        <v/>
      </c>
    </row>
    <row r="193">
      <c r="B193" s="62" t="inlineStr">
        <is>
          <t>TX-0187</t>
        </is>
      </c>
      <c r="C193" s="63" t="n">
        <v>46172</v>
      </c>
      <c r="D193" s="62" t="inlineStr">
        <is>
          <t>Adjustment</t>
        </is>
      </c>
      <c r="E193" s="62" t="inlineStr">
        <is>
          <t>Depreciation</t>
        </is>
      </c>
      <c r="F193" s="62" t="inlineStr">
        <is>
          <t>Monthly depreciation of equipment</t>
        </is>
      </c>
      <c r="G193" s="62" t="n"/>
      <c r="H193" s="62" t="n"/>
      <c r="I193" s="62" t="n"/>
      <c r="J193" s="62" t="n"/>
      <c r="K193" s="62" t="inlineStr">
        <is>
          <t>Accumulated Depreciation</t>
        </is>
      </c>
      <c r="L193" s="64" t="n">
        <v>3000</v>
      </c>
      <c r="M193" s="64" t="n"/>
      <c r="N193" s="62" t="n"/>
      <c r="O193" s="65">
        <f>IF(Z193=1,L193-W193,"")</f>
        <v/>
      </c>
      <c r="P193" s="66">
        <f>IF(V193="","",IFERROR(INDEX(coa_Type,MATCH(V193,coa_Name,0)),""))</f>
        <v/>
      </c>
      <c r="Q193" s="66">
        <f>IF(Z193=1,IF(U193="In",K193&amp;"",V193),"")</f>
        <v/>
      </c>
      <c r="R193" s="66">
        <f>IF(Z193=1,IF(U193="In",V193,K193&amp;""),"")</f>
        <v/>
      </c>
      <c r="S193" s="66">
        <f>IF(X193&lt;&gt;"","⛔ "&amp;X193&amp;" — not posted",IF(Y193&lt;&gt;"","⚠ "&amp;Y193,IF(Z193=1,"✓ OK","")))</f>
        <v/>
      </c>
      <c r="T193" s="67">
        <f>IF(AND(C193="",D193="",E193="",L193="",K193=""),1,0)</f>
        <v/>
      </c>
      <c r="U193" s="67">
        <f>IFERROR(INDEX(tt_Dir,MATCH(D193,tt_Type,0)),"")</f>
        <v/>
      </c>
      <c r="V193" s="67">
        <f>IF(D193="","",IFERROR(IF(INDEX(tt_Other,MATCH(D193,tt_Type,0))="",E193&amp;"",INDEX(tt_Other,MATCH(D193,tt_Type,0))),""))</f>
        <v/>
      </c>
      <c r="W193" s="68">
        <f>IF(OR(TaxOn&lt;&gt;"Yes",NOT(ISNUMBER(M193))),0,IF(IFERROR(INDEX(tt_Tax,MATCH(D193,tt_Type,0)),"No")="Yes",M193,0))</f>
        <v/>
      </c>
      <c r="X193" s="67">
        <f>IF(T193=1,"",IF(C193="","Missing transaction date",IF(NOT(ISNUMBER(C193)),"Invalid date",IF(OR(C193&lt;DATE(2000,1,1),C193&gt;DATE(2099,12,31)),"Invalid date",IF(D193="","Select a type",IF(U193="","Unknown type: "&amp;D193,IF(V193="","Select an account (Category)",IF(ISNA(MATCH(V193,coa_Name,0)),"Unknown account: "&amp;V193,IF(K193="","Select Paid From / Deposited To",IF(ISNA(MATCH(K193,coa_Name,0)),"Unknown account: "&amp;K193,IF(NOT(ISNUMBER(L193)),"Enter an amount",IF(L193=0,"Enter an amount",IF(ABS(W193)&gt;ABS(L193),"Tax is larger than the amount","")))))))))))))</f>
        <v/>
      </c>
      <c r="Y193" s="67">
        <f>IF(OR(T193=1,X193&lt;&gt;""),"",IF(AND(B193&lt;&gt;"",COUNTIF(tx_ID,B193)&gt;1),"Duplicate transaction ID",IF(AND(L193&lt;0,D193&lt;&gt;"Adjustment"),"Negative amount — check this entry",IF(AND(D193="Customer Payment",G193=""),"Add the customer",IF(AND(D193="Customer Payment",OR(J193="",COUNTIF(ar_No,J193&amp;"")=0)),"Invoice # in Reference not found on AR sheet",IF(AND(D193="Bill Payment",H193=""),"Add the vendor",IF(AND(D193="Bill Payment",OR(J193="",COUNTIFS(ap_No,J193&amp;"",ap_Party,H193&amp;"")=0)),"Bill # + vendor not found on AP sheet",IF(AND(ISNUMBER(M193),N(M193)&lt;&gt;0,W193=0),"Tax ignored (tax tracking off, or not allowed for this type)",IF(V193=K193&amp;"","Same account on both sides",IF(AND(ISNUMBER(StartDate),C193&lt;StartDate),"Date is before the accounting start date",IF(AND(D193&lt;&gt;"Adjustment",IFERROR(INDEX(coa_Pay,MATCH(K193&amp;"",coa_Name,0)),"")&lt;&gt;"Yes"),"Paid From / Deposited To is not a payment account","")))))))))))</f>
        <v/>
      </c>
      <c r="Z193" s="67">
        <f>IF(AND(T193=0,X193=""),1,0)</f>
        <v/>
      </c>
      <c r="AA193" s="68">
        <f>IF(Z193=1,IF(U193="In",L193,L193-W193),0)</f>
        <v/>
      </c>
      <c r="AB193" s="68">
        <f>IF(Z193=1,IF(U193="In",L193-W193,L193),0)</f>
        <v/>
      </c>
      <c r="AC193" s="68">
        <f>IF(AND(Z193=1,U193="Out"),W193,0)</f>
        <v/>
      </c>
      <c r="AD193" s="68">
        <f>IF(AND(Z193=1,U193="In"),W193,0)</f>
        <v/>
      </c>
    </row>
    <row r="194">
      <c r="B194" s="62" t="inlineStr">
        <is>
          <t>TX-0188</t>
        </is>
      </c>
      <c r="C194" s="63" t="n">
        <v>46172</v>
      </c>
      <c r="D194" s="62" t="inlineStr">
        <is>
          <t>Bill Payment</t>
        </is>
      </c>
      <c r="E194" s="62" t="n"/>
      <c r="F194" s="62" t="inlineStr">
        <is>
          <t>Supplier payment</t>
        </is>
      </c>
      <c r="G194" s="62" t="n"/>
      <c r="H194" s="62" t="inlineStr">
        <is>
          <t>PackRight Supplies</t>
        </is>
      </c>
      <c r="I194" s="62" t="inlineStr">
        <is>
          <t>Bank Transfer</t>
        </is>
      </c>
      <c r="J194" s="62" t="inlineStr">
        <is>
          <t>PA-051</t>
        </is>
      </c>
      <c r="K194" s="62" t="inlineStr">
        <is>
          <t>Bank Account</t>
        </is>
      </c>
      <c r="L194" s="64" t="n">
        <v>9210.299999999999</v>
      </c>
      <c r="M194" s="64" t="n"/>
      <c r="N194" s="62" t="n"/>
      <c r="O194" s="65">
        <f>IF(Z194=1,L194-W194,"")</f>
        <v/>
      </c>
      <c r="P194" s="66">
        <f>IF(V194="","",IFERROR(INDEX(coa_Type,MATCH(V194,coa_Name,0)),""))</f>
        <v/>
      </c>
      <c r="Q194" s="66">
        <f>IF(Z194=1,IF(U194="In",K194&amp;"",V194),"")</f>
        <v/>
      </c>
      <c r="R194" s="66">
        <f>IF(Z194=1,IF(U194="In",V194,K194&amp;""),"")</f>
        <v/>
      </c>
      <c r="S194" s="66">
        <f>IF(X194&lt;&gt;"","⛔ "&amp;X194&amp;" — not posted",IF(Y194&lt;&gt;"","⚠ "&amp;Y194,IF(Z194=1,"✓ OK","")))</f>
        <v/>
      </c>
      <c r="T194" s="67">
        <f>IF(AND(C194="",D194="",E194="",L194="",K194=""),1,0)</f>
        <v/>
      </c>
      <c r="U194" s="67">
        <f>IFERROR(INDEX(tt_Dir,MATCH(D194,tt_Type,0)),"")</f>
        <v/>
      </c>
      <c r="V194" s="67">
        <f>IF(D194="","",IFERROR(IF(INDEX(tt_Other,MATCH(D194,tt_Type,0))="",E194&amp;"",INDEX(tt_Other,MATCH(D194,tt_Type,0))),""))</f>
        <v/>
      </c>
      <c r="W194" s="68">
        <f>IF(OR(TaxOn&lt;&gt;"Yes",NOT(ISNUMBER(M194))),0,IF(IFERROR(INDEX(tt_Tax,MATCH(D194,tt_Type,0)),"No")="Yes",M194,0))</f>
        <v/>
      </c>
      <c r="X194" s="67">
        <f>IF(T194=1,"",IF(C194="","Missing transaction date",IF(NOT(ISNUMBER(C194)),"Invalid date",IF(OR(C194&lt;DATE(2000,1,1),C194&gt;DATE(2099,12,31)),"Invalid date",IF(D194="","Select a type",IF(U194="","Unknown type: "&amp;D194,IF(V194="","Select an account (Category)",IF(ISNA(MATCH(V194,coa_Name,0)),"Unknown account: "&amp;V194,IF(K194="","Select Paid From / Deposited To",IF(ISNA(MATCH(K194,coa_Name,0)),"Unknown account: "&amp;K194,IF(NOT(ISNUMBER(L194)),"Enter an amount",IF(L194=0,"Enter an amount",IF(ABS(W194)&gt;ABS(L194),"Tax is larger than the amount","")))))))))))))</f>
        <v/>
      </c>
      <c r="Y194" s="67">
        <f>IF(OR(T194=1,X194&lt;&gt;""),"",IF(AND(B194&lt;&gt;"",COUNTIF(tx_ID,B194)&gt;1),"Duplicate transaction ID",IF(AND(L194&lt;0,D194&lt;&gt;"Adjustment"),"Negative amount — check this entry",IF(AND(D194="Customer Payment",G194=""),"Add the customer",IF(AND(D194="Customer Payment",OR(J194="",COUNTIF(ar_No,J194&amp;"")=0)),"Invoice # in Reference not found on AR sheet",IF(AND(D194="Bill Payment",H194=""),"Add the vendor",IF(AND(D194="Bill Payment",OR(J194="",COUNTIFS(ap_No,J194&amp;"",ap_Party,H194&amp;"")=0)),"Bill # + vendor not found on AP sheet",IF(AND(ISNUMBER(M194),N(M194)&lt;&gt;0,W194=0),"Tax ignored (tax tracking off, or not allowed for this type)",IF(V194=K194&amp;"","Same account on both sides",IF(AND(ISNUMBER(StartDate),C194&lt;StartDate),"Date is before the accounting start date",IF(AND(D194&lt;&gt;"Adjustment",IFERROR(INDEX(coa_Pay,MATCH(K194&amp;"",coa_Name,0)),"")&lt;&gt;"Yes"),"Paid From / Deposited To is not a payment account","")))))))))))</f>
        <v/>
      </c>
      <c r="Z194" s="67">
        <f>IF(AND(T194=0,X194=""),1,0)</f>
        <v/>
      </c>
      <c r="AA194" s="68">
        <f>IF(Z194=1,IF(U194="In",L194,L194-W194),0)</f>
        <v/>
      </c>
      <c r="AB194" s="68">
        <f>IF(Z194=1,IF(U194="In",L194-W194,L194),0)</f>
        <v/>
      </c>
      <c r="AC194" s="68">
        <f>IF(AND(Z194=1,U194="Out"),W194,0)</f>
        <v/>
      </c>
      <c r="AD194" s="68">
        <f>IF(AND(Z194=1,U194="In"),W194,0)</f>
        <v/>
      </c>
    </row>
    <row r="195">
      <c r="B195" s="62" t="inlineStr">
        <is>
          <t>TX-0189</t>
        </is>
      </c>
      <c r="C195" s="63" t="n">
        <v>46174</v>
      </c>
      <c r="D195" s="62" t="inlineStr">
        <is>
          <t>Bill Payment</t>
        </is>
      </c>
      <c r="E195" s="62" t="n"/>
      <c r="F195" s="62" t="inlineStr">
        <is>
          <t>Supplier payment</t>
        </is>
      </c>
      <c r="G195" s="62" t="n"/>
      <c r="H195" s="62" t="inlineStr">
        <is>
          <t>Fresh Dairy Co.</t>
        </is>
      </c>
      <c r="I195" s="62" t="inlineStr">
        <is>
          <t>Bank Transfer</t>
        </is>
      </c>
      <c r="J195" s="62" t="inlineStr">
        <is>
          <t>FR-051</t>
        </is>
      </c>
      <c r="K195" s="62" t="inlineStr">
        <is>
          <t>Bank Account</t>
        </is>
      </c>
      <c r="L195" s="64" t="n">
        <v>15599.17</v>
      </c>
      <c r="M195" s="64" t="n"/>
      <c r="N195" s="62" t="n"/>
      <c r="O195" s="65">
        <f>IF(Z195=1,L195-W195,"")</f>
        <v/>
      </c>
      <c r="P195" s="66">
        <f>IF(V195="","",IFERROR(INDEX(coa_Type,MATCH(V195,coa_Name,0)),""))</f>
        <v/>
      </c>
      <c r="Q195" s="66">
        <f>IF(Z195=1,IF(U195="In",K195&amp;"",V195),"")</f>
        <v/>
      </c>
      <c r="R195" s="66">
        <f>IF(Z195=1,IF(U195="In",V195,K195&amp;""),"")</f>
        <v/>
      </c>
      <c r="S195" s="66">
        <f>IF(X195&lt;&gt;"","⛔ "&amp;X195&amp;" — not posted",IF(Y195&lt;&gt;"","⚠ "&amp;Y195,IF(Z195=1,"✓ OK","")))</f>
        <v/>
      </c>
      <c r="T195" s="67">
        <f>IF(AND(C195="",D195="",E195="",L195="",K195=""),1,0)</f>
        <v/>
      </c>
      <c r="U195" s="67">
        <f>IFERROR(INDEX(tt_Dir,MATCH(D195,tt_Type,0)),"")</f>
        <v/>
      </c>
      <c r="V195" s="67">
        <f>IF(D195="","",IFERROR(IF(INDEX(tt_Other,MATCH(D195,tt_Type,0))="",E195&amp;"",INDEX(tt_Other,MATCH(D195,tt_Type,0))),""))</f>
        <v/>
      </c>
      <c r="W195" s="68">
        <f>IF(OR(TaxOn&lt;&gt;"Yes",NOT(ISNUMBER(M195))),0,IF(IFERROR(INDEX(tt_Tax,MATCH(D195,tt_Type,0)),"No")="Yes",M195,0))</f>
        <v/>
      </c>
      <c r="X195" s="67">
        <f>IF(T195=1,"",IF(C195="","Missing transaction date",IF(NOT(ISNUMBER(C195)),"Invalid date",IF(OR(C195&lt;DATE(2000,1,1),C195&gt;DATE(2099,12,31)),"Invalid date",IF(D195="","Select a type",IF(U195="","Unknown type: "&amp;D195,IF(V195="","Select an account (Category)",IF(ISNA(MATCH(V195,coa_Name,0)),"Unknown account: "&amp;V195,IF(K195="","Select Paid From / Deposited To",IF(ISNA(MATCH(K195,coa_Name,0)),"Unknown account: "&amp;K195,IF(NOT(ISNUMBER(L195)),"Enter an amount",IF(L195=0,"Enter an amount",IF(ABS(W195)&gt;ABS(L195),"Tax is larger than the amount","")))))))))))))</f>
        <v/>
      </c>
      <c r="Y195" s="67">
        <f>IF(OR(T195=1,X195&lt;&gt;""),"",IF(AND(B195&lt;&gt;"",COUNTIF(tx_ID,B195)&gt;1),"Duplicate transaction ID",IF(AND(L195&lt;0,D195&lt;&gt;"Adjustment"),"Negative amount — check this entry",IF(AND(D195="Customer Payment",G195=""),"Add the customer",IF(AND(D195="Customer Payment",OR(J195="",COUNTIF(ar_No,J195&amp;"")=0)),"Invoice # in Reference not found on AR sheet",IF(AND(D195="Bill Payment",H195=""),"Add the vendor",IF(AND(D195="Bill Payment",OR(J195="",COUNTIFS(ap_No,J195&amp;"",ap_Party,H195&amp;"")=0)),"Bill # + vendor not found on AP sheet",IF(AND(ISNUMBER(M195),N(M195)&lt;&gt;0,W195=0),"Tax ignored (tax tracking off, or not allowed for this type)",IF(V195=K195&amp;"","Same account on both sides",IF(AND(ISNUMBER(StartDate),C195&lt;StartDate),"Date is before the accounting start date",IF(AND(D195&lt;&gt;"Adjustment",IFERROR(INDEX(coa_Pay,MATCH(K195&amp;"",coa_Name,0)),"")&lt;&gt;"Yes"),"Paid From / Deposited To is not a payment account","")))))))))))</f>
        <v/>
      </c>
      <c r="Z195" s="67">
        <f>IF(AND(T195=0,X195=""),1,0)</f>
        <v/>
      </c>
      <c r="AA195" s="68">
        <f>IF(Z195=1,IF(U195="In",L195,L195-W195),0)</f>
        <v/>
      </c>
      <c r="AB195" s="68">
        <f>IF(Z195=1,IF(U195="In",L195-W195,L195),0)</f>
        <v/>
      </c>
      <c r="AC195" s="68">
        <f>IF(AND(Z195=1,U195="Out"),W195,0)</f>
        <v/>
      </c>
      <c r="AD195" s="68">
        <f>IF(AND(Z195=1,U195="In"),W195,0)</f>
        <v/>
      </c>
    </row>
    <row r="196">
      <c r="B196" s="62" t="inlineStr">
        <is>
          <t>TX-0190</t>
        </is>
      </c>
      <c r="C196" s="63" t="n">
        <v>46174</v>
      </c>
      <c r="D196" s="62" t="inlineStr">
        <is>
          <t>Money Out</t>
        </is>
      </c>
      <c r="E196" s="62" t="inlineStr">
        <is>
          <t>Rent</t>
        </is>
      </c>
      <c r="F196" s="62" t="inlineStr">
        <is>
          <t>Shop rent</t>
        </is>
      </c>
      <c r="G196" s="62" t="n"/>
      <c r="H196" s="62" t="n"/>
      <c r="I196" s="62" t="inlineStr">
        <is>
          <t>Bank Transfer</t>
        </is>
      </c>
      <c r="J196" s="62" t="inlineStr">
        <is>
          <t>RENT-06</t>
        </is>
      </c>
      <c r="K196" s="62" t="inlineStr">
        <is>
          <t>Bank Account</t>
        </is>
      </c>
      <c r="L196" s="64" t="n">
        <v>28000</v>
      </c>
      <c r="M196" s="64" t="n">
        <v>3000</v>
      </c>
      <c r="N196" s="62" t="n"/>
      <c r="O196" s="65">
        <f>IF(Z196=1,L196-W196,"")</f>
        <v/>
      </c>
      <c r="P196" s="66">
        <f>IF(V196="","",IFERROR(INDEX(coa_Type,MATCH(V196,coa_Name,0)),""))</f>
        <v/>
      </c>
      <c r="Q196" s="66">
        <f>IF(Z196=1,IF(U196="In",K196&amp;"",V196),"")</f>
        <v/>
      </c>
      <c r="R196" s="66">
        <f>IF(Z196=1,IF(U196="In",V196,K196&amp;""),"")</f>
        <v/>
      </c>
      <c r="S196" s="66">
        <f>IF(X196&lt;&gt;"","⛔ "&amp;X196&amp;" — not posted",IF(Y196&lt;&gt;"","⚠ "&amp;Y196,IF(Z196=1,"✓ OK","")))</f>
        <v/>
      </c>
      <c r="T196" s="67">
        <f>IF(AND(C196="",D196="",E196="",L196="",K196=""),1,0)</f>
        <v/>
      </c>
      <c r="U196" s="67">
        <f>IFERROR(INDEX(tt_Dir,MATCH(D196,tt_Type,0)),"")</f>
        <v/>
      </c>
      <c r="V196" s="67">
        <f>IF(D196="","",IFERROR(IF(INDEX(tt_Other,MATCH(D196,tt_Type,0))="",E196&amp;"",INDEX(tt_Other,MATCH(D196,tt_Type,0))),""))</f>
        <v/>
      </c>
      <c r="W196" s="68">
        <f>IF(OR(TaxOn&lt;&gt;"Yes",NOT(ISNUMBER(M196))),0,IF(IFERROR(INDEX(tt_Tax,MATCH(D196,tt_Type,0)),"No")="Yes",M196,0))</f>
        <v/>
      </c>
      <c r="X196" s="67">
        <f>IF(T196=1,"",IF(C196="","Missing transaction date",IF(NOT(ISNUMBER(C196)),"Invalid date",IF(OR(C196&lt;DATE(2000,1,1),C196&gt;DATE(2099,12,31)),"Invalid date",IF(D196="","Select a type",IF(U196="","Unknown type: "&amp;D196,IF(V196="","Select an account (Category)",IF(ISNA(MATCH(V196,coa_Name,0)),"Unknown account: "&amp;V196,IF(K196="","Select Paid From / Deposited To",IF(ISNA(MATCH(K196,coa_Name,0)),"Unknown account: "&amp;K196,IF(NOT(ISNUMBER(L196)),"Enter an amount",IF(L196=0,"Enter an amount",IF(ABS(W196)&gt;ABS(L196),"Tax is larger than the amount","")))))))))))))</f>
        <v/>
      </c>
      <c r="Y196" s="67">
        <f>IF(OR(T196=1,X196&lt;&gt;""),"",IF(AND(B196&lt;&gt;"",COUNTIF(tx_ID,B196)&gt;1),"Duplicate transaction ID",IF(AND(L196&lt;0,D196&lt;&gt;"Adjustment"),"Negative amount — check this entry",IF(AND(D196="Customer Payment",G196=""),"Add the customer",IF(AND(D196="Customer Payment",OR(J196="",COUNTIF(ar_No,J196&amp;"")=0)),"Invoice # in Reference not found on AR sheet",IF(AND(D196="Bill Payment",H196=""),"Add the vendor",IF(AND(D196="Bill Payment",OR(J196="",COUNTIFS(ap_No,J196&amp;"",ap_Party,H196&amp;"")=0)),"Bill # + vendor not found on AP sheet",IF(AND(ISNUMBER(M196),N(M196)&lt;&gt;0,W196=0),"Tax ignored (tax tracking off, or not allowed for this type)",IF(V196=K196&amp;"","Same account on both sides",IF(AND(ISNUMBER(StartDate),C196&lt;StartDate),"Date is before the accounting start date",IF(AND(D196&lt;&gt;"Adjustment",IFERROR(INDEX(coa_Pay,MATCH(K196&amp;"",coa_Name,0)),"")&lt;&gt;"Yes"),"Paid From / Deposited To is not a payment account","")))))))))))</f>
        <v/>
      </c>
      <c r="Z196" s="67">
        <f>IF(AND(T196=0,X196=""),1,0)</f>
        <v/>
      </c>
      <c r="AA196" s="68">
        <f>IF(Z196=1,IF(U196="In",L196,L196-W196),0)</f>
        <v/>
      </c>
      <c r="AB196" s="68">
        <f>IF(Z196=1,IF(U196="In",L196-W196,L196),0)</f>
        <v/>
      </c>
      <c r="AC196" s="68">
        <f>IF(AND(Z196=1,U196="Out"),W196,0)</f>
        <v/>
      </c>
      <c r="AD196" s="68">
        <f>IF(AND(Z196=1,U196="In"),W196,0)</f>
        <v/>
      </c>
    </row>
    <row r="197">
      <c r="B197" s="62" t="inlineStr">
        <is>
          <t>TX-0191</t>
        </is>
      </c>
      <c r="C197" s="63" t="n">
        <v>46176</v>
      </c>
      <c r="D197" s="62" t="inlineStr">
        <is>
          <t>Bill Payment</t>
        </is>
      </c>
      <c r="E197" s="62" t="n"/>
      <c r="F197" s="62" t="inlineStr">
        <is>
          <t>Supplier payment</t>
        </is>
      </c>
      <c r="G197" s="62" t="n"/>
      <c r="H197" s="62" t="inlineStr">
        <is>
          <t>Fresh Dairy Co.</t>
        </is>
      </c>
      <c r="I197" s="62" t="inlineStr">
        <is>
          <t>Bank Transfer</t>
        </is>
      </c>
      <c r="J197" s="62" t="inlineStr">
        <is>
          <t>FR-052</t>
        </is>
      </c>
      <c r="K197" s="62" t="inlineStr">
        <is>
          <t>Bank Account</t>
        </is>
      </c>
      <c r="L197" s="64" t="n">
        <v>19453.81</v>
      </c>
      <c r="M197" s="64" t="n"/>
      <c r="N197" s="62" t="n"/>
      <c r="O197" s="65">
        <f>IF(Z197=1,L197-W197,"")</f>
        <v/>
      </c>
      <c r="P197" s="66">
        <f>IF(V197="","",IFERROR(INDEX(coa_Type,MATCH(V197,coa_Name,0)),""))</f>
        <v/>
      </c>
      <c r="Q197" s="66">
        <f>IF(Z197=1,IF(U197="In",K197&amp;"",V197),"")</f>
        <v/>
      </c>
      <c r="R197" s="66">
        <f>IF(Z197=1,IF(U197="In",V197,K197&amp;""),"")</f>
        <v/>
      </c>
      <c r="S197" s="66">
        <f>IF(X197&lt;&gt;"","⛔ "&amp;X197&amp;" — not posted",IF(Y197&lt;&gt;"","⚠ "&amp;Y197,IF(Z197=1,"✓ OK","")))</f>
        <v/>
      </c>
      <c r="T197" s="67">
        <f>IF(AND(C197="",D197="",E197="",L197="",K197=""),1,0)</f>
        <v/>
      </c>
      <c r="U197" s="67">
        <f>IFERROR(INDEX(tt_Dir,MATCH(D197,tt_Type,0)),"")</f>
        <v/>
      </c>
      <c r="V197" s="67">
        <f>IF(D197="","",IFERROR(IF(INDEX(tt_Other,MATCH(D197,tt_Type,0))="",E197&amp;"",INDEX(tt_Other,MATCH(D197,tt_Type,0))),""))</f>
        <v/>
      </c>
      <c r="W197" s="68">
        <f>IF(OR(TaxOn&lt;&gt;"Yes",NOT(ISNUMBER(M197))),0,IF(IFERROR(INDEX(tt_Tax,MATCH(D197,tt_Type,0)),"No")="Yes",M197,0))</f>
        <v/>
      </c>
      <c r="X197" s="67">
        <f>IF(T197=1,"",IF(C197="","Missing transaction date",IF(NOT(ISNUMBER(C197)),"Invalid date",IF(OR(C197&lt;DATE(2000,1,1),C197&gt;DATE(2099,12,31)),"Invalid date",IF(D197="","Select a type",IF(U197="","Unknown type: "&amp;D197,IF(V197="","Select an account (Category)",IF(ISNA(MATCH(V197,coa_Name,0)),"Unknown account: "&amp;V197,IF(K197="","Select Paid From / Deposited To",IF(ISNA(MATCH(K197,coa_Name,0)),"Unknown account: "&amp;K197,IF(NOT(ISNUMBER(L197)),"Enter an amount",IF(L197=0,"Enter an amount",IF(ABS(W197)&gt;ABS(L197),"Tax is larger than the amount","")))))))))))))</f>
        <v/>
      </c>
      <c r="Y197" s="67">
        <f>IF(OR(T197=1,X197&lt;&gt;""),"",IF(AND(B197&lt;&gt;"",COUNTIF(tx_ID,B197)&gt;1),"Duplicate transaction ID",IF(AND(L197&lt;0,D197&lt;&gt;"Adjustment"),"Negative amount — check this entry",IF(AND(D197="Customer Payment",G197=""),"Add the customer",IF(AND(D197="Customer Payment",OR(J197="",COUNTIF(ar_No,J197&amp;"")=0)),"Invoice # in Reference not found on AR sheet",IF(AND(D197="Bill Payment",H197=""),"Add the vendor",IF(AND(D197="Bill Payment",OR(J197="",COUNTIFS(ap_No,J197&amp;"",ap_Party,H197&amp;"")=0)),"Bill # + vendor not found on AP sheet",IF(AND(ISNUMBER(M197),N(M197)&lt;&gt;0,W197=0),"Tax ignored (tax tracking off, or not allowed for this type)",IF(V197=K197&amp;"","Same account on both sides",IF(AND(ISNUMBER(StartDate),C197&lt;StartDate),"Date is before the accounting start date",IF(AND(D197&lt;&gt;"Adjustment",IFERROR(INDEX(coa_Pay,MATCH(K197&amp;"",coa_Name,0)),"")&lt;&gt;"Yes"),"Paid From / Deposited To is not a payment account","")))))))))))</f>
        <v/>
      </c>
      <c r="Z197" s="67">
        <f>IF(AND(T197=0,X197=""),1,0)</f>
        <v/>
      </c>
      <c r="AA197" s="68">
        <f>IF(Z197=1,IF(U197="In",L197,L197-W197),0)</f>
        <v/>
      </c>
      <c r="AB197" s="68">
        <f>IF(Z197=1,IF(U197="In",L197-W197,L197),0)</f>
        <v/>
      </c>
      <c r="AC197" s="68">
        <f>IF(AND(Z197=1,U197="Out"),W197,0)</f>
        <v/>
      </c>
      <c r="AD197" s="68">
        <f>IF(AND(Z197=1,U197="In"),W197,0)</f>
        <v/>
      </c>
    </row>
    <row r="198">
      <c r="B198" s="62" t="inlineStr">
        <is>
          <t>TX-0192</t>
        </is>
      </c>
      <c r="C198" s="63" t="n">
        <v>46177</v>
      </c>
      <c r="D198" s="62" t="inlineStr">
        <is>
          <t>Money In</t>
        </is>
      </c>
      <c r="E198" s="62" t="inlineStr">
        <is>
          <t>Product Sales</t>
        </is>
      </c>
      <c r="F198" s="62" t="inlineStr">
        <is>
          <t>Counter sales week 1</t>
        </is>
      </c>
      <c r="G198" s="62" t="n"/>
      <c r="H198" s="62" t="n"/>
      <c r="I198" s="62" t="inlineStr">
        <is>
          <t>Cash</t>
        </is>
      </c>
      <c r="J198" s="62" t="n"/>
      <c r="K198" s="62" t="inlineStr">
        <is>
          <t>Cash on Hand</t>
        </is>
      </c>
      <c r="L198" s="64" t="n">
        <v>48316.74</v>
      </c>
      <c r="M198" s="64" t="n">
        <v>5176.79</v>
      </c>
      <c r="N198" s="62" t="n"/>
      <c r="O198" s="65">
        <f>IF(Z198=1,L198-W198,"")</f>
        <v/>
      </c>
      <c r="P198" s="66">
        <f>IF(V198="","",IFERROR(INDEX(coa_Type,MATCH(V198,coa_Name,0)),""))</f>
        <v/>
      </c>
      <c r="Q198" s="66">
        <f>IF(Z198=1,IF(U198="In",K198&amp;"",V198),"")</f>
        <v/>
      </c>
      <c r="R198" s="66">
        <f>IF(Z198=1,IF(U198="In",V198,K198&amp;""),"")</f>
        <v/>
      </c>
      <c r="S198" s="66">
        <f>IF(X198&lt;&gt;"","⛔ "&amp;X198&amp;" — not posted",IF(Y198&lt;&gt;"","⚠ "&amp;Y198,IF(Z198=1,"✓ OK","")))</f>
        <v/>
      </c>
      <c r="T198" s="67">
        <f>IF(AND(C198="",D198="",E198="",L198="",K198=""),1,0)</f>
        <v/>
      </c>
      <c r="U198" s="67">
        <f>IFERROR(INDEX(tt_Dir,MATCH(D198,tt_Type,0)),"")</f>
        <v/>
      </c>
      <c r="V198" s="67">
        <f>IF(D198="","",IFERROR(IF(INDEX(tt_Other,MATCH(D198,tt_Type,0))="",E198&amp;"",INDEX(tt_Other,MATCH(D198,tt_Type,0))),""))</f>
        <v/>
      </c>
      <c r="W198" s="68">
        <f>IF(OR(TaxOn&lt;&gt;"Yes",NOT(ISNUMBER(M198))),0,IF(IFERROR(INDEX(tt_Tax,MATCH(D198,tt_Type,0)),"No")="Yes",M198,0))</f>
        <v/>
      </c>
      <c r="X198" s="67">
        <f>IF(T198=1,"",IF(C198="","Missing transaction date",IF(NOT(ISNUMBER(C198)),"Invalid date",IF(OR(C198&lt;DATE(2000,1,1),C198&gt;DATE(2099,12,31)),"Invalid date",IF(D198="","Select a type",IF(U198="","Unknown type: "&amp;D198,IF(V198="","Select an account (Category)",IF(ISNA(MATCH(V198,coa_Name,0)),"Unknown account: "&amp;V198,IF(K198="","Select Paid From / Deposited To",IF(ISNA(MATCH(K198,coa_Name,0)),"Unknown account: "&amp;K198,IF(NOT(ISNUMBER(L198)),"Enter an amount",IF(L198=0,"Enter an amount",IF(ABS(W198)&gt;ABS(L198),"Tax is larger than the amount","")))))))))))))</f>
        <v/>
      </c>
      <c r="Y198" s="67">
        <f>IF(OR(T198=1,X198&lt;&gt;""),"",IF(AND(B198&lt;&gt;"",COUNTIF(tx_ID,B198)&gt;1),"Duplicate transaction ID",IF(AND(L198&lt;0,D198&lt;&gt;"Adjustment"),"Negative amount — check this entry",IF(AND(D198="Customer Payment",G198=""),"Add the customer",IF(AND(D198="Customer Payment",OR(J198="",COUNTIF(ar_No,J198&amp;"")=0)),"Invoice # in Reference not found on AR sheet",IF(AND(D198="Bill Payment",H198=""),"Add the vendor",IF(AND(D198="Bill Payment",OR(J198="",COUNTIFS(ap_No,J198&amp;"",ap_Party,H198&amp;"")=0)),"Bill # + vendor not found on AP sheet",IF(AND(ISNUMBER(M198),N(M198)&lt;&gt;0,W198=0),"Tax ignored (tax tracking off, or not allowed for this type)",IF(V198=K198&amp;"","Same account on both sides",IF(AND(ISNUMBER(StartDate),C198&lt;StartDate),"Date is before the accounting start date",IF(AND(D198&lt;&gt;"Adjustment",IFERROR(INDEX(coa_Pay,MATCH(K198&amp;"",coa_Name,0)),"")&lt;&gt;"Yes"),"Paid From / Deposited To is not a payment account","")))))))))))</f>
        <v/>
      </c>
      <c r="Z198" s="67">
        <f>IF(AND(T198=0,X198=""),1,0)</f>
        <v/>
      </c>
      <c r="AA198" s="68">
        <f>IF(Z198=1,IF(U198="In",L198,L198-W198),0)</f>
        <v/>
      </c>
      <c r="AB198" s="68">
        <f>IF(Z198=1,IF(U198="In",L198-W198,L198),0)</f>
        <v/>
      </c>
      <c r="AC198" s="68">
        <f>IF(AND(Z198=1,U198="Out"),W198,0)</f>
        <v/>
      </c>
      <c r="AD198" s="68">
        <f>IF(AND(Z198=1,U198="In"),W198,0)</f>
        <v/>
      </c>
    </row>
    <row r="199">
      <c r="B199" s="62" t="inlineStr">
        <is>
          <t>TX-0193</t>
        </is>
      </c>
      <c r="C199" s="63" t="n">
        <v>46178</v>
      </c>
      <c r="D199" s="62" t="inlineStr">
        <is>
          <t>Bill Payment</t>
        </is>
      </c>
      <c r="E199" s="62" t="n"/>
      <c r="F199" s="62" t="inlineStr">
        <is>
          <t>Supplier payment</t>
        </is>
      </c>
      <c r="G199" s="62" t="n"/>
      <c r="H199" s="62" t="inlineStr">
        <is>
          <t>Golden Grain Flour Mill</t>
        </is>
      </c>
      <c r="I199" s="62" t="inlineStr">
        <is>
          <t>Bank Transfer</t>
        </is>
      </c>
      <c r="J199" s="62" t="inlineStr">
        <is>
          <t>GO-051</t>
        </is>
      </c>
      <c r="K199" s="62" t="inlineStr">
        <is>
          <t>Bank Account</t>
        </is>
      </c>
      <c r="L199" s="64" t="n">
        <v>43186.92</v>
      </c>
      <c r="M199" s="64" t="n"/>
      <c r="N199" s="62" t="n"/>
      <c r="O199" s="65">
        <f>IF(Z199=1,L199-W199,"")</f>
        <v/>
      </c>
      <c r="P199" s="66">
        <f>IF(V199="","",IFERROR(INDEX(coa_Type,MATCH(V199,coa_Name,0)),""))</f>
        <v/>
      </c>
      <c r="Q199" s="66">
        <f>IF(Z199=1,IF(U199="In",K199&amp;"",V199),"")</f>
        <v/>
      </c>
      <c r="R199" s="66">
        <f>IF(Z199=1,IF(U199="In",V199,K199&amp;""),"")</f>
        <v/>
      </c>
      <c r="S199" s="66">
        <f>IF(X199&lt;&gt;"","⛔ "&amp;X199&amp;" — not posted",IF(Y199&lt;&gt;"","⚠ "&amp;Y199,IF(Z199=1,"✓ OK","")))</f>
        <v/>
      </c>
      <c r="T199" s="67">
        <f>IF(AND(C199="",D199="",E199="",L199="",K199=""),1,0)</f>
        <v/>
      </c>
      <c r="U199" s="67">
        <f>IFERROR(INDEX(tt_Dir,MATCH(D199,tt_Type,0)),"")</f>
        <v/>
      </c>
      <c r="V199" s="67">
        <f>IF(D199="","",IFERROR(IF(INDEX(tt_Other,MATCH(D199,tt_Type,0))="",E199&amp;"",INDEX(tt_Other,MATCH(D199,tt_Type,0))),""))</f>
        <v/>
      </c>
      <c r="W199" s="68">
        <f>IF(OR(TaxOn&lt;&gt;"Yes",NOT(ISNUMBER(M199))),0,IF(IFERROR(INDEX(tt_Tax,MATCH(D199,tt_Type,0)),"No")="Yes",M199,0))</f>
        <v/>
      </c>
      <c r="X199" s="67">
        <f>IF(T199=1,"",IF(C199="","Missing transaction date",IF(NOT(ISNUMBER(C199)),"Invalid date",IF(OR(C199&lt;DATE(2000,1,1),C199&gt;DATE(2099,12,31)),"Invalid date",IF(D199="","Select a type",IF(U199="","Unknown type: "&amp;D199,IF(V199="","Select an account (Category)",IF(ISNA(MATCH(V199,coa_Name,0)),"Unknown account: "&amp;V199,IF(K199="","Select Paid From / Deposited To",IF(ISNA(MATCH(K199,coa_Name,0)),"Unknown account: "&amp;K199,IF(NOT(ISNUMBER(L199)),"Enter an amount",IF(L199=0,"Enter an amount",IF(ABS(W199)&gt;ABS(L199),"Tax is larger than the amount","")))))))))))))</f>
        <v/>
      </c>
      <c r="Y199" s="67">
        <f>IF(OR(T199=1,X199&lt;&gt;""),"",IF(AND(B199&lt;&gt;"",COUNTIF(tx_ID,B199)&gt;1),"Duplicate transaction ID",IF(AND(L199&lt;0,D199&lt;&gt;"Adjustment"),"Negative amount — check this entry",IF(AND(D199="Customer Payment",G199=""),"Add the customer",IF(AND(D199="Customer Payment",OR(J199="",COUNTIF(ar_No,J199&amp;"")=0)),"Invoice # in Reference not found on AR sheet",IF(AND(D199="Bill Payment",H199=""),"Add the vendor",IF(AND(D199="Bill Payment",OR(J199="",COUNTIFS(ap_No,J199&amp;"",ap_Party,H199&amp;"")=0)),"Bill # + vendor not found on AP sheet",IF(AND(ISNUMBER(M199),N(M199)&lt;&gt;0,W199=0),"Tax ignored (tax tracking off, or not allowed for this type)",IF(V199=K199&amp;"","Same account on both sides",IF(AND(ISNUMBER(StartDate),C199&lt;StartDate),"Date is before the accounting start date",IF(AND(D199&lt;&gt;"Adjustment",IFERROR(INDEX(coa_Pay,MATCH(K199&amp;"",coa_Name,0)),"")&lt;&gt;"Yes"),"Paid From / Deposited To is not a payment account","")))))))))))</f>
        <v/>
      </c>
      <c r="Z199" s="67">
        <f>IF(AND(T199=0,X199=""),1,0)</f>
        <v/>
      </c>
      <c r="AA199" s="68">
        <f>IF(Z199=1,IF(U199="In",L199,L199-W199),0)</f>
        <v/>
      </c>
      <c r="AB199" s="68">
        <f>IF(Z199=1,IF(U199="In",L199-W199,L199),0)</f>
        <v/>
      </c>
      <c r="AC199" s="68">
        <f>IF(AND(Z199=1,U199="Out"),W199,0)</f>
        <v/>
      </c>
      <c r="AD199" s="68">
        <f>IF(AND(Z199=1,U199="In"),W199,0)</f>
        <v/>
      </c>
    </row>
    <row r="200">
      <c r="B200" s="62" t="inlineStr">
        <is>
          <t>TX-0194</t>
        </is>
      </c>
      <c r="C200" s="63" t="n">
        <v>46178</v>
      </c>
      <c r="D200" s="62" t="inlineStr">
        <is>
          <t>Money In</t>
        </is>
      </c>
      <c r="E200" s="62" t="inlineStr">
        <is>
          <t>Product Sales</t>
        </is>
      </c>
      <c r="F200" s="62" t="inlineStr">
        <is>
          <t>GCash / online orders week 1</t>
        </is>
      </c>
      <c r="G200" s="62" t="n"/>
      <c r="H200" s="62" t="n"/>
      <c r="I200" s="62" t="inlineStr">
        <is>
          <t>E-Wallet</t>
        </is>
      </c>
      <c r="J200" s="62" t="n"/>
      <c r="K200" s="62" t="inlineStr">
        <is>
          <t>E-Wallet / Online Payments</t>
        </is>
      </c>
      <c r="L200" s="64" t="n">
        <v>17722.92</v>
      </c>
      <c r="M200" s="64" t="n">
        <v>1898.88</v>
      </c>
      <c r="N200" s="62" t="n"/>
      <c r="O200" s="65">
        <f>IF(Z200=1,L200-W200,"")</f>
        <v/>
      </c>
      <c r="P200" s="66">
        <f>IF(V200="","",IFERROR(INDEX(coa_Type,MATCH(V200,coa_Name,0)),""))</f>
        <v/>
      </c>
      <c r="Q200" s="66">
        <f>IF(Z200=1,IF(U200="In",K200&amp;"",V200),"")</f>
        <v/>
      </c>
      <c r="R200" s="66">
        <f>IF(Z200=1,IF(U200="In",V200,K200&amp;""),"")</f>
        <v/>
      </c>
      <c r="S200" s="66">
        <f>IF(X200&lt;&gt;"","⛔ "&amp;X200&amp;" — not posted",IF(Y200&lt;&gt;"","⚠ "&amp;Y200,IF(Z200=1,"✓ OK","")))</f>
        <v/>
      </c>
      <c r="T200" s="67">
        <f>IF(AND(C200="",D200="",E200="",L200="",K200=""),1,0)</f>
        <v/>
      </c>
      <c r="U200" s="67">
        <f>IFERROR(INDEX(tt_Dir,MATCH(D200,tt_Type,0)),"")</f>
        <v/>
      </c>
      <c r="V200" s="67">
        <f>IF(D200="","",IFERROR(IF(INDEX(tt_Other,MATCH(D200,tt_Type,0))="",E200&amp;"",INDEX(tt_Other,MATCH(D200,tt_Type,0))),""))</f>
        <v/>
      </c>
      <c r="W200" s="68">
        <f>IF(OR(TaxOn&lt;&gt;"Yes",NOT(ISNUMBER(M200))),0,IF(IFERROR(INDEX(tt_Tax,MATCH(D200,tt_Type,0)),"No")="Yes",M200,0))</f>
        <v/>
      </c>
      <c r="X200" s="67">
        <f>IF(T200=1,"",IF(C200="","Missing transaction date",IF(NOT(ISNUMBER(C200)),"Invalid date",IF(OR(C200&lt;DATE(2000,1,1),C200&gt;DATE(2099,12,31)),"Invalid date",IF(D200="","Select a type",IF(U200="","Unknown type: "&amp;D200,IF(V200="","Select an account (Category)",IF(ISNA(MATCH(V200,coa_Name,0)),"Unknown account: "&amp;V200,IF(K200="","Select Paid From / Deposited To",IF(ISNA(MATCH(K200,coa_Name,0)),"Unknown account: "&amp;K200,IF(NOT(ISNUMBER(L200)),"Enter an amount",IF(L200=0,"Enter an amount",IF(ABS(W200)&gt;ABS(L200),"Tax is larger than the amount","")))))))))))))</f>
        <v/>
      </c>
      <c r="Y200" s="67">
        <f>IF(OR(T200=1,X200&lt;&gt;""),"",IF(AND(B200&lt;&gt;"",COUNTIF(tx_ID,B200)&gt;1),"Duplicate transaction ID",IF(AND(L200&lt;0,D200&lt;&gt;"Adjustment"),"Negative amount — check this entry",IF(AND(D200="Customer Payment",G200=""),"Add the customer",IF(AND(D200="Customer Payment",OR(J200="",COUNTIF(ar_No,J200&amp;"")=0)),"Invoice # in Reference not found on AR sheet",IF(AND(D200="Bill Payment",H200=""),"Add the vendor",IF(AND(D200="Bill Payment",OR(J200="",COUNTIFS(ap_No,J200&amp;"",ap_Party,H200&amp;"")=0)),"Bill # + vendor not found on AP sheet",IF(AND(ISNUMBER(M200),N(M200)&lt;&gt;0,W200=0),"Tax ignored (tax tracking off, or not allowed for this type)",IF(V200=K200&amp;"","Same account on both sides",IF(AND(ISNUMBER(StartDate),C200&lt;StartDate),"Date is before the accounting start date",IF(AND(D200&lt;&gt;"Adjustment",IFERROR(INDEX(coa_Pay,MATCH(K200&amp;"",coa_Name,0)),"")&lt;&gt;"Yes"),"Paid From / Deposited To is not a payment account","")))))))))))</f>
        <v/>
      </c>
      <c r="Z200" s="67">
        <f>IF(AND(T200=0,X200=""),1,0)</f>
        <v/>
      </c>
      <c r="AA200" s="68">
        <f>IF(Z200=1,IF(U200="In",L200,L200-W200),0)</f>
        <v/>
      </c>
      <c r="AB200" s="68">
        <f>IF(Z200=1,IF(U200="In",L200-W200,L200),0)</f>
        <v/>
      </c>
      <c r="AC200" s="68">
        <f>IF(AND(Z200=1,U200="Out"),W200,0)</f>
        <v/>
      </c>
      <c r="AD200" s="68">
        <f>IF(AND(Z200=1,U200="In"),W200,0)</f>
        <v/>
      </c>
    </row>
    <row r="201">
      <c r="B201" s="62" t="inlineStr">
        <is>
          <t>TX-0195</t>
        </is>
      </c>
      <c r="C201" s="63" t="n">
        <v>46178</v>
      </c>
      <c r="D201" s="62" t="inlineStr">
        <is>
          <t>Transfer</t>
        </is>
      </c>
      <c r="E201" s="62" t="inlineStr">
        <is>
          <t>Credit Card</t>
        </is>
      </c>
      <c r="F201" s="62" t="inlineStr">
        <is>
          <t>Credit card payment</t>
        </is>
      </c>
      <c r="G201" s="62" t="n"/>
      <c r="H201" s="62" t="n"/>
      <c r="I201" s="62" t="inlineStr">
        <is>
          <t>Bank Transfer</t>
        </is>
      </c>
      <c r="J201" s="62" t="n"/>
      <c r="K201" s="62" t="inlineStr">
        <is>
          <t>Bank Account</t>
        </is>
      </c>
      <c r="L201" s="64" t="n">
        <v>7362.97</v>
      </c>
      <c r="M201" s="64" t="n"/>
      <c r="N201" s="62" t="n"/>
      <c r="O201" s="65">
        <f>IF(Z201=1,L201-W201,"")</f>
        <v/>
      </c>
      <c r="P201" s="66">
        <f>IF(V201="","",IFERROR(INDEX(coa_Type,MATCH(V201,coa_Name,0)),""))</f>
        <v/>
      </c>
      <c r="Q201" s="66">
        <f>IF(Z201=1,IF(U201="In",K201&amp;"",V201),"")</f>
        <v/>
      </c>
      <c r="R201" s="66">
        <f>IF(Z201=1,IF(U201="In",V201,K201&amp;""),"")</f>
        <v/>
      </c>
      <c r="S201" s="66">
        <f>IF(X201&lt;&gt;"","⛔ "&amp;X201&amp;" — not posted",IF(Y201&lt;&gt;"","⚠ "&amp;Y201,IF(Z201=1,"✓ OK","")))</f>
        <v/>
      </c>
      <c r="T201" s="67">
        <f>IF(AND(C201="",D201="",E201="",L201="",K201=""),1,0)</f>
        <v/>
      </c>
      <c r="U201" s="67">
        <f>IFERROR(INDEX(tt_Dir,MATCH(D201,tt_Type,0)),"")</f>
        <v/>
      </c>
      <c r="V201" s="67">
        <f>IF(D201="","",IFERROR(IF(INDEX(tt_Other,MATCH(D201,tt_Type,0))="",E201&amp;"",INDEX(tt_Other,MATCH(D201,tt_Type,0))),""))</f>
        <v/>
      </c>
      <c r="W201" s="68">
        <f>IF(OR(TaxOn&lt;&gt;"Yes",NOT(ISNUMBER(M201))),0,IF(IFERROR(INDEX(tt_Tax,MATCH(D201,tt_Type,0)),"No")="Yes",M201,0))</f>
        <v/>
      </c>
      <c r="X201" s="67">
        <f>IF(T201=1,"",IF(C201="","Missing transaction date",IF(NOT(ISNUMBER(C201)),"Invalid date",IF(OR(C201&lt;DATE(2000,1,1),C201&gt;DATE(2099,12,31)),"Invalid date",IF(D201="","Select a type",IF(U201="","Unknown type: "&amp;D201,IF(V201="","Select an account (Category)",IF(ISNA(MATCH(V201,coa_Name,0)),"Unknown account: "&amp;V201,IF(K201="","Select Paid From / Deposited To",IF(ISNA(MATCH(K201,coa_Name,0)),"Unknown account: "&amp;K201,IF(NOT(ISNUMBER(L201)),"Enter an amount",IF(L201=0,"Enter an amount",IF(ABS(W201)&gt;ABS(L201),"Tax is larger than the amount","")))))))))))))</f>
        <v/>
      </c>
      <c r="Y201" s="67">
        <f>IF(OR(T201=1,X201&lt;&gt;""),"",IF(AND(B201&lt;&gt;"",COUNTIF(tx_ID,B201)&gt;1),"Duplicate transaction ID",IF(AND(L201&lt;0,D201&lt;&gt;"Adjustment"),"Negative amount — check this entry",IF(AND(D201="Customer Payment",G201=""),"Add the customer",IF(AND(D201="Customer Payment",OR(J201="",COUNTIF(ar_No,J201&amp;"")=0)),"Invoice # in Reference not found on AR sheet",IF(AND(D201="Bill Payment",H201=""),"Add the vendor",IF(AND(D201="Bill Payment",OR(J201="",COUNTIFS(ap_No,J201&amp;"",ap_Party,H201&amp;"")=0)),"Bill # + vendor not found on AP sheet",IF(AND(ISNUMBER(M201),N(M201)&lt;&gt;0,W201=0),"Tax ignored (tax tracking off, or not allowed for this type)",IF(V201=K201&amp;"","Same account on both sides",IF(AND(ISNUMBER(StartDate),C201&lt;StartDate),"Date is before the accounting start date",IF(AND(D201&lt;&gt;"Adjustment",IFERROR(INDEX(coa_Pay,MATCH(K201&amp;"",coa_Name,0)),"")&lt;&gt;"Yes"),"Paid From / Deposited To is not a payment account","")))))))))))</f>
        <v/>
      </c>
      <c r="Z201" s="67">
        <f>IF(AND(T201=0,X201=""),1,0)</f>
        <v/>
      </c>
      <c r="AA201" s="68">
        <f>IF(Z201=1,IF(U201="In",L201,L201-W201),0)</f>
        <v/>
      </c>
      <c r="AB201" s="68">
        <f>IF(Z201=1,IF(U201="In",L201-W201,L201),0)</f>
        <v/>
      </c>
      <c r="AC201" s="68">
        <f>IF(AND(Z201=1,U201="Out"),W201,0)</f>
        <v/>
      </c>
      <c r="AD201" s="68">
        <f>IF(AND(Z201=1,U201="In"),W201,0)</f>
        <v/>
      </c>
    </row>
    <row r="202">
      <c r="B202" s="62" t="inlineStr">
        <is>
          <t>TX-0196</t>
        </is>
      </c>
      <c r="C202" s="63" t="n">
        <v>46179</v>
      </c>
      <c r="D202" s="62" t="inlineStr">
        <is>
          <t>Transfer</t>
        </is>
      </c>
      <c r="E202" s="62" t="inlineStr">
        <is>
          <t>Bank Account</t>
        </is>
      </c>
      <c r="F202" s="62" t="inlineStr">
        <is>
          <t>Cash deposit to bank</t>
        </is>
      </c>
      <c r="G202" s="62" t="n"/>
      <c r="H202" s="62" t="n"/>
      <c r="I202" s="62" t="inlineStr">
        <is>
          <t>Cash</t>
        </is>
      </c>
      <c r="J202" s="62" t="n"/>
      <c r="K202" s="62" t="inlineStr">
        <is>
          <t>Cash on Hand</t>
        </is>
      </c>
      <c r="L202" s="64" t="n">
        <v>41100</v>
      </c>
      <c r="M202" s="64" t="n"/>
      <c r="N202" s="62" t="n"/>
      <c r="O202" s="65">
        <f>IF(Z202=1,L202-W202,"")</f>
        <v/>
      </c>
      <c r="P202" s="66">
        <f>IF(V202="","",IFERROR(INDEX(coa_Type,MATCH(V202,coa_Name,0)),""))</f>
        <v/>
      </c>
      <c r="Q202" s="66">
        <f>IF(Z202=1,IF(U202="In",K202&amp;"",V202),"")</f>
        <v/>
      </c>
      <c r="R202" s="66">
        <f>IF(Z202=1,IF(U202="In",V202,K202&amp;""),"")</f>
        <v/>
      </c>
      <c r="S202" s="66">
        <f>IF(X202&lt;&gt;"","⛔ "&amp;X202&amp;" — not posted",IF(Y202&lt;&gt;"","⚠ "&amp;Y202,IF(Z202=1,"✓ OK","")))</f>
        <v/>
      </c>
      <c r="T202" s="67">
        <f>IF(AND(C202="",D202="",E202="",L202="",K202=""),1,0)</f>
        <v/>
      </c>
      <c r="U202" s="67">
        <f>IFERROR(INDEX(tt_Dir,MATCH(D202,tt_Type,0)),"")</f>
        <v/>
      </c>
      <c r="V202" s="67">
        <f>IF(D202="","",IFERROR(IF(INDEX(tt_Other,MATCH(D202,tt_Type,0))="",E202&amp;"",INDEX(tt_Other,MATCH(D202,tt_Type,0))),""))</f>
        <v/>
      </c>
      <c r="W202" s="68">
        <f>IF(OR(TaxOn&lt;&gt;"Yes",NOT(ISNUMBER(M202))),0,IF(IFERROR(INDEX(tt_Tax,MATCH(D202,tt_Type,0)),"No")="Yes",M202,0))</f>
        <v/>
      </c>
      <c r="X202" s="67">
        <f>IF(T202=1,"",IF(C202="","Missing transaction date",IF(NOT(ISNUMBER(C202)),"Invalid date",IF(OR(C202&lt;DATE(2000,1,1),C202&gt;DATE(2099,12,31)),"Invalid date",IF(D202="","Select a type",IF(U202="","Unknown type: "&amp;D202,IF(V202="","Select an account (Category)",IF(ISNA(MATCH(V202,coa_Name,0)),"Unknown account: "&amp;V202,IF(K202="","Select Paid From / Deposited To",IF(ISNA(MATCH(K202,coa_Name,0)),"Unknown account: "&amp;K202,IF(NOT(ISNUMBER(L202)),"Enter an amount",IF(L202=0,"Enter an amount",IF(ABS(W202)&gt;ABS(L202),"Tax is larger than the amount","")))))))))))))</f>
        <v/>
      </c>
      <c r="Y202" s="67">
        <f>IF(OR(T202=1,X202&lt;&gt;""),"",IF(AND(B202&lt;&gt;"",COUNTIF(tx_ID,B202)&gt;1),"Duplicate transaction ID",IF(AND(L202&lt;0,D202&lt;&gt;"Adjustment"),"Negative amount — check this entry",IF(AND(D202="Customer Payment",G202=""),"Add the customer",IF(AND(D202="Customer Payment",OR(J202="",COUNTIF(ar_No,J202&amp;"")=0)),"Invoice # in Reference not found on AR sheet",IF(AND(D202="Bill Payment",H202=""),"Add the vendor",IF(AND(D202="Bill Payment",OR(J202="",COUNTIFS(ap_No,J202&amp;"",ap_Party,H202&amp;"")=0)),"Bill # + vendor not found on AP sheet",IF(AND(ISNUMBER(M202),N(M202)&lt;&gt;0,W202=0),"Tax ignored (tax tracking off, or not allowed for this type)",IF(V202=K202&amp;"","Same account on both sides",IF(AND(ISNUMBER(StartDate),C202&lt;StartDate),"Date is before the accounting start date",IF(AND(D202&lt;&gt;"Adjustment",IFERROR(INDEX(coa_Pay,MATCH(K202&amp;"",coa_Name,0)),"")&lt;&gt;"Yes"),"Paid From / Deposited To is not a payment account","")))))))))))</f>
        <v/>
      </c>
      <c r="Z202" s="67">
        <f>IF(AND(T202=0,X202=""),1,0)</f>
        <v/>
      </c>
      <c r="AA202" s="68">
        <f>IF(Z202=1,IF(U202="In",L202,L202-W202),0)</f>
        <v/>
      </c>
      <c r="AB202" s="68">
        <f>IF(Z202=1,IF(U202="In",L202-W202,L202),0)</f>
        <v/>
      </c>
      <c r="AC202" s="68">
        <f>IF(AND(Z202=1,U202="Out"),W202,0)</f>
        <v/>
      </c>
      <c r="AD202" s="68">
        <f>IF(AND(Z202=1,U202="In"),W202,0)</f>
        <v/>
      </c>
    </row>
    <row r="203">
      <c r="B203" s="62" t="inlineStr">
        <is>
          <t>TX-0197</t>
        </is>
      </c>
      <c r="C203" s="63" t="n">
        <v>46179</v>
      </c>
      <c r="D203" s="62" t="inlineStr">
        <is>
          <t>Money Out</t>
        </is>
      </c>
      <c r="E203" s="62" t="inlineStr">
        <is>
          <t>Other Direct Costs</t>
        </is>
      </c>
      <c r="F203" s="62" t="inlineStr">
        <is>
          <t>Boxes &amp; paper bags (market)</t>
        </is>
      </c>
      <c r="G203" s="62" t="n"/>
      <c r="H203" s="62" t="n"/>
      <c r="I203" s="62" t="inlineStr">
        <is>
          <t>Cash</t>
        </is>
      </c>
      <c r="J203" s="62" t="n"/>
      <c r="K203" s="62" t="inlineStr">
        <is>
          <t>Cash on Hand</t>
        </is>
      </c>
      <c r="L203" s="64" t="n">
        <v>3207.58</v>
      </c>
      <c r="M203" s="64" t="n">
        <v>343.67</v>
      </c>
      <c r="N203" s="62" t="n"/>
      <c r="O203" s="65">
        <f>IF(Z203=1,L203-W203,"")</f>
        <v/>
      </c>
      <c r="P203" s="66">
        <f>IF(V203="","",IFERROR(INDEX(coa_Type,MATCH(V203,coa_Name,0)),""))</f>
        <v/>
      </c>
      <c r="Q203" s="66">
        <f>IF(Z203=1,IF(U203="In",K203&amp;"",V203),"")</f>
        <v/>
      </c>
      <c r="R203" s="66">
        <f>IF(Z203=1,IF(U203="In",V203,K203&amp;""),"")</f>
        <v/>
      </c>
      <c r="S203" s="66">
        <f>IF(X203&lt;&gt;"","⛔ "&amp;X203&amp;" — not posted",IF(Y203&lt;&gt;"","⚠ "&amp;Y203,IF(Z203=1,"✓ OK","")))</f>
        <v/>
      </c>
      <c r="T203" s="67">
        <f>IF(AND(C203="",D203="",E203="",L203="",K203=""),1,0)</f>
        <v/>
      </c>
      <c r="U203" s="67">
        <f>IFERROR(INDEX(tt_Dir,MATCH(D203,tt_Type,0)),"")</f>
        <v/>
      </c>
      <c r="V203" s="67">
        <f>IF(D203="","",IFERROR(IF(INDEX(tt_Other,MATCH(D203,tt_Type,0))="",E203&amp;"",INDEX(tt_Other,MATCH(D203,tt_Type,0))),""))</f>
        <v/>
      </c>
      <c r="W203" s="68">
        <f>IF(OR(TaxOn&lt;&gt;"Yes",NOT(ISNUMBER(M203))),0,IF(IFERROR(INDEX(tt_Tax,MATCH(D203,tt_Type,0)),"No")="Yes",M203,0))</f>
        <v/>
      </c>
      <c r="X203" s="67">
        <f>IF(T203=1,"",IF(C203="","Missing transaction date",IF(NOT(ISNUMBER(C203)),"Invalid date",IF(OR(C203&lt;DATE(2000,1,1),C203&gt;DATE(2099,12,31)),"Invalid date",IF(D203="","Select a type",IF(U203="","Unknown type: "&amp;D203,IF(V203="","Select an account (Category)",IF(ISNA(MATCH(V203,coa_Name,0)),"Unknown account: "&amp;V203,IF(K203="","Select Paid From / Deposited To",IF(ISNA(MATCH(K203,coa_Name,0)),"Unknown account: "&amp;K203,IF(NOT(ISNUMBER(L203)),"Enter an amount",IF(L203=0,"Enter an amount",IF(ABS(W203)&gt;ABS(L203),"Tax is larger than the amount","")))))))))))))</f>
        <v/>
      </c>
      <c r="Y203" s="67">
        <f>IF(OR(T203=1,X203&lt;&gt;""),"",IF(AND(B203&lt;&gt;"",COUNTIF(tx_ID,B203)&gt;1),"Duplicate transaction ID",IF(AND(L203&lt;0,D203&lt;&gt;"Adjustment"),"Negative amount — check this entry",IF(AND(D203="Customer Payment",G203=""),"Add the customer",IF(AND(D203="Customer Payment",OR(J203="",COUNTIF(ar_No,J203&amp;"")=0)),"Invoice # in Reference not found on AR sheet",IF(AND(D203="Bill Payment",H203=""),"Add the vendor",IF(AND(D203="Bill Payment",OR(J203="",COUNTIFS(ap_No,J203&amp;"",ap_Party,H203&amp;"")=0)),"Bill # + vendor not found on AP sheet",IF(AND(ISNUMBER(M203),N(M203)&lt;&gt;0,W203=0),"Tax ignored (tax tracking off, or not allowed for this type)",IF(V203=K203&amp;"","Same account on both sides",IF(AND(ISNUMBER(StartDate),C203&lt;StartDate),"Date is before the accounting start date",IF(AND(D203&lt;&gt;"Adjustment",IFERROR(INDEX(coa_Pay,MATCH(K203&amp;"",coa_Name,0)),"")&lt;&gt;"Yes"),"Paid From / Deposited To is not a payment account","")))))))))))</f>
        <v/>
      </c>
      <c r="Z203" s="67">
        <f>IF(AND(T203=0,X203=""),1,0)</f>
        <v/>
      </c>
      <c r="AA203" s="68">
        <f>IF(Z203=1,IF(U203="In",L203,L203-W203),0)</f>
        <v/>
      </c>
      <c r="AB203" s="68">
        <f>IF(Z203=1,IF(U203="In",L203-W203,L203),0)</f>
        <v/>
      </c>
      <c r="AC203" s="68">
        <f>IF(AND(Z203=1,U203="Out"),W203,0)</f>
        <v/>
      </c>
      <c r="AD203" s="68">
        <f>IF(AND(Z203=1,U203="In"),W203,0)</f>
        <v/>
      </c>
    </row>
    <row r="204">
      <c r="B204" s="62" t="inlineStr">
        <is>
          <t>TX-0198</t>
        </is>
      </c>
      <c r="C204" s="63" t="n">
        <v>46181</v>
      </c>
      <c r="D204" s="62" t="inlineStr">
        <is>
          <t>Money Out</t>
        </is>
      </c>
      <c r="E204" s="62" t="inlineStr">
        <is>
          <t>Advertising &amp; Marketing</t>
        </is>
      </c>
      <c r="F204" s="62" t="inlineStr">
        <is>
          <t>Facebook / Instagram ads</t>
        </is>
      </c>
      <c r="G204" s="62" t="n"/>
      <c r="H204" s="62" t="n"/>
      <c r="I204" s="62" t="inlineStr">
        <is>
          <t>Credit Card</t>
        </is>
      </c>
      <c r="J204" s="62" t="n"/>
      <c r="K204" s="62" t="inlineStr">
        <is>
          <t>Credit Card</t>
        </is>
      </c>
      <c r="L204" s="64" t="n">
        <v>5990.2</v>
      </c>
      <c r="M204" s="64" t="n">
        <v>641.8099999999999</v>
      </c>
      <c r="N204" s="62" t="n"/>
      <c r="O204" s="65">
        <f>IF(Z204=1,L204-W204,"")</f>
        <v/>
      </c>
      <c r="P204" s="66">
        <f>IF(V204="","",IFERROR(INDEX(coa_Type,MATCH(V204,coa_Name,0)),""))</f>
        <v/>
      </c>
      <c r="Q204" s="66">
        <f>IF(Z204=1,IF(U204="In",K204&amp;"",V204),"")</f>
        <v/>
      </c>
      <c r="R204" s="66">
        <f>IF(Z204=1,IF(U204="In",V204,K204&amp;""),"")</f>
        <v/>
      </c>
      <c r="S204" s="66">
        <f>IF(X204&lt;&gt;"","⛔ "&amp;X204&amp;" — not posted",IF(Y204&lt;&gt;"","⚠ "&amp;Y204,IF(Z204=1,"✓ OK","")))</f>
        <v/>
      </c>
      <c r="T204" s="67">
        <f>IF(AND(C204="",D204="",E204="",L204="",K204=""),1,0)</f>
        <v/>
      </c>
      <c r="U204" s="67">
        <f>IFERROR(INDEX(tt_Dir,MATCH(D204,tt_Type,0)),"")</f>
        <v/>
      </c>
      <c r="V204" s="67">
        <f>IF(D204="","",IFERROR(IF(INDEX(tt_Other,MATCH(D204,tt_Type,0))="",E204&amp;"",INDEX(tt_Other,MATCH(D204,tt_Type,0))),""))</f>
        <v/>
      </c>
      <c r="W204" s="68">
        <f>IF(OR(TaxOn&lt;&gt;"Yes",NOT(ISNUMBER(M204))),0,IF(IFERROR(INDEX(tt_Tax,MATCH(D204,tt_Type,0)),"No")="Yes",M204,0))</f>
        <v/>
      </c>
      <c r="X204" s="67">
        <f>IF(T204=1,"",IF(C204="","Missing transaction date",IF(NOT(ISNUMBER(C204)),"Invalid date",IF(OR(C204&lt;DATE(2000,1,1),C204&gt;DATE(2099,12,31)),"Invalid date",IF(D204="","Select a type",IF(U204="","Unknown type: "&amp;D204,IF(V204="","Select an account (Category)",IF(ISNA(MATCH(V204,coa_Name,0)),"Unknown account: "&amp;V204,IF(K204="","Select Paid From / Deposited To",IF(ISNA(MATCH(K204,coa_Name,0)),"Unknown account: "&amp;K204,IF(NOT(ISNUMBER(L204)),"Enter an amount",IF(L204=0,"Enter an amount",IF(ABS(W204)&gt;ABS(L204),"Tax is larger than the amount","")))))))))))))</f>
        <v/>
      </c>
      <c r="Y204" s="67">
        <f>IF(OR(T204=1,X204&lt;&gt;""),"",IF(AND(B204&lt;&gt;"",COUNTIF(tx_ID,B204)&gt;1),"Duplicate transaction ID",IF(AND(L204&lt;0,D204&lt;&gt;"Adjustment"),"Negative amount — check this entry",IF(AND(D204="Customer Payment",G204=""),"Add the customer",IF(AND(D204="Customer Payment",OR(J204="",COUNTIF(ar_No,J204&amp;"")=0)),"Invoice # in Reference not found on AR sheet",IF(AND(D204="Bill Payment",H204=""),"Add the vendor",IF(AND(D204="Bill Payment",OR(J204="",COUNTIFS(ap_No,J204&amp;"",ap_Party,H204&amp;"")=0)),"Bill # + vendor not found on AP sheet",IF(AND(ISNUMBER(M204),N(M204)&lt;&gt;0,W204=0),"Tax ignored (tax tracking off, or not allowed for this type)",IF(V204=K204&amp;"","Same account on both sides",IF(AND(ISNUMBER(StartDate),C204&lt;StartDate),"Date is before the accounting start date",IF(AND(D204&lt;&gt;"Adjustment",IFERROR(INDEX(coa_Pay,MATCH(K204&amp;"",coa_Name,0)),"")&lt;&gt;"Yes"),"Paid From / Deposited To is not a payment account","")))))))))))</f>
        <v/>
      </c>
      <c r="Z204" s="67">
        <f>IF(AND(T204=0,X204=""),1,0)</f>
        <v/>
      </c>
      <c r="AA204" s="68">
        <f>IF(Z204=1,IF(U204="In",L204,L204-W204),0)</f>
        <v/>
      </c>
      <c r="AB204" s="68">
        <f>IF(Z204=1,IF(U204="In",L204-W204,L204),0)</f>
        <v/>
      </c>
      <c r="AC204" s="68">
        <f>IF(AND(Z204=1,U204="Out"),W204,0)</f>
        <v/>
      </c>
      <c r="AD204" s="68">
        <f>IF(AND(Z204=1,U204="In"),W204,0)</f>
        <v/>
      </c>
    </row>
    <row r="205">
      <c r="B205" s="62" t="inlineStr">
        <is>
          <t>TX-0199</t>
        </is>
      </c>
      <c r="C205" s="63" t="n">
        <v>46182</v>
      </c>
      <c r="D205" s="62" t="inlineStr">
        <is>
          <t>Money Out</t>
        </is>
      </c>
      <c r="E205" s="62" t="inlineStr">
        <is>
          <t>Software &amp; Subscriptions</t>
        </is>
      </c>
      <c r="F205" s="62" t="inlineStr">
        <is>
          <t>POS app subscription</t>
        </is>
      </c>
      <c r="G205" s="62" t="n"/>
      <c r="H205" s="62" t="n"/>
      <c r="I205" s="62" t="inlineStr">
        <is>
          <t>Credit Card</t>
        </is>
      </c>
      <c r="J205" s="62" t="n"/>
      <c r="K205" s="62" t="inlineStr">
        <is>
          <t>Credit Card</t>
        </is>
      </c>
      <c r="L205" s="64" t="n">
        <v>1450</v>
      </c>
      <c r="M205" s="64" t="n">
        <v>155.36</v>
      </c>
      <c r="N205" s="62" t="n"/>
      <c r="O205" s="65">
        <f>IF(Z205=1,L205-W205,"")</f>
        <v/>
      </c>
      <c r="P205" s="66">
        <f>IF(V205="","",IFERROR(INDEX(coa_Type,MATCH(V205,coa_Name,0)),""))</f>
        <v/>
      </c>
      <c r="Q205" s="66">
        <f>IF(Z205=1,IF(U205="In",K205&amp;"",V205),"")</f>
        <v/>
      </c>
      <c r="R205" s="66">
        <f>IF(Z205=1,IF(U205="In",V205,K205&amp;""),"")</f>
        <v/>
      </c>
      <c r="S205" s="66">
        <f>IF(X205&lt;&gt;"","⛔ "&amp;X205&amp;" — not posted",IF(Y205&lt;&gt;"","⚠ "&amp;Y205,IF(Z205=1,"✓ OK","")))</f>
        <v/>
      </c>
      <c r="T205" s="67">
        <f>IF(AND(C205="",D205="",E205="",L205="",K205=""),1,0)</f>
        <v/>
      </c>
      <c r="U205" s="67">
        <f>IFERROR(INDEX(tt_Dir,MATCH(D205,tt_Type,0)),"")</f>
        <v/>
      </c>
      <c r="V205" s="67">
        <f>IF(D205="","",IFERROR(IF(INDEX(tt_Other,MATCH(D205,tt_Type,0))="",E205&amp;"",INDEX(tt_Other,MATCH(D205,tt_Type,0))),""))</f>
        <v/>
      </c>
      <c r="W205" s="68">
        <f>IF(OR(TaxOn&lt;&gt;"Yes",NOT(ISNUMBER(M205))),0,IF(IFERROR(INDEX(tt_Tax,MATCH(D205,tt_Type,0)),"No")="Yes",M205,0))</f>
        <v/>
      </c>
      <c r="X205" s="67">
        <f>IF(T205=1,"",IF(C205="","Missing transaction date",IF(NOT(ISNUMBER(C205)),"Invalid date",IF(OR(C205&lt;DATE(2000,1,1),C205&gt;DATE(2099,12,31)),"Invalid date",IF(D205="","Select a type",IF(U205="","Unknown type: "&amp;D205,IF(V205="","Select an account (Category)",IF(ISNA(MATCH(V205,coa_Name,0)),"Unknown account: "&amp;V205,IF(K205="","Select Paid From / Deposited To",IF(ISNA(MATCH(K205,coa_Name,0)),"Unknown account: "&amp;K205,IF(NOT(ISNUMBER(L205)),"Enter an amount",IF(L205=0,"Enter an amount",IF(ABS(W205)&gt;ABS(L205),"Tax is larger than the amount","")))))))))))))</f>
        <v/>
      </c>
      <c r="Y205" s="67">
        <f>IF(OR(T205=1,X205&lt;&gt;""),"",IF(AND(B205&lt;&gt;"",COUNTIF(tx_ID,B205)&gt;1),"Duplicate transaction ID",IF(AND(L205&lt;0,D205&lt;&gt;"Adjustment"),"Negative amount — check this entry",IF(AND(D205="Customer Payment",G205=""),"Add the customer",IF(AND(D205="Customer Payment",OR(J205="",COUNTIF(ar_No,J205&amp;"")=0)),"Invoice # in Reference not found on AR sheet",IF(AND(D205="Bill Payment",H205=""),"Add the vendor",IF(AND(D205="Bill Payment",OR(J205="",COUNTIFS(ap_No,J205&amp;"",ap_Party,H205&amp;"")=0)),"Bill # + vendor not found on AP sheet",IF(AND(ISNUMBER(M205),N(M205)&lt;&gt;0,W205=0),"Tax ignored (tax tracking off, or not allowed for this type)",IF(V205=K205&amp;"","Same account on both sides",IF(AND(ISNUMBER(StartDate),C205&lt;StartDate),"Date is before the accounting start date",IF(AND(D205&lt;&gt;"Adjustment",IFERROR(INDEX(coa_Pay,MATCH(K205&amp;"",coa_Name,0)),"")&lt;&gt;"Yes"),"Paid From / Deposited To is not a payment account","")))))))))))</f>
        <v/>
      </c>
      <c r="Z205" s="67">
        <f>IF(AND(T205=0,X205=""),1,0)</f>
        <v/>
      </c>
      <c r="AA205" s="68">
        <f>IF(Z205=1,IF(U205="In",L205,L205-W205),0)</f>
        <v/>
      </c>
      <c r="AB205" s="68">
        <f>IF(Z205=1,IF(U205="In",L205-W205,L205),0)</f>
        <v/>
      </c>
      <c r="AC205" s="68">
        <f>IF(AND(Z205=1,U205="Out"),W205,0)</f>
        <v/>
      </c>
      <c r="AD205" s="68">
        <f>IF(AND(Z205=1,U205="In"),W205,0)</f>
        <v/>
      </c>
    </row>
    <row r="206">
      <c r="B206" s="62" t="inlineStr">
        <is>
          <t>TX-0200</t>
        </is>
      </c>
      <c r="C206" s="63" t="n">
        <v>46183</v>
      </c>
      <c r="D206" s="62" t="inlineStr">
        <is>
          <t>Money Out</t>
        </is>
      </c>
      <c r="E206" s="62" t="inlineStr">
        <is>
          <t>Loans Payable</t>
        </is>
      </c>
      <c r="F206" s="62" t="inlineStr">
        <is>
          <t>Loan principal</t>
        </is>
      </c>
      <c r="G206" s="62" t="n"/>
      <c r="H206" s="62" t="n"/>
      <c r="I206" s="62" t="inlineStr">
        <is>
          <t>Bank Transfer</t>
        </is>
      </c>
      <c r="J206" s="62" t="inlineStr">
        <is>
          <t>LOAN</t>
        </is>
      </c>
      <c r="K206" s="62" t="inlineStr">
        <is>
          <t>Bank Account</t>
        </is>
      </c>
      <c r="L206" s="64" t="n">
        <v>8000</v>
      </c>
      <c r="M206" s="64" t="n"/>
      <c r="N206" s="62" t="n"/>
      <c r="O206" s="65">
        <f>IF(Z206=1,L206-W206,"")</f>
        <v/>
      </c>
      <c r="P206" s="66">
        <f>IF(V206="","",IFERROR(INDEX(coa_Type,MATCH(V206,coa_Name,0)),""))</f>
        <v/>
      </c>
      <c r="Q206" s="66">
        <f>IF(Z206=1,IF(U206="In",K206&amp;"",V206),"")</f>
        <v/>
      </c>
      <c r="R206" s="66">
        <f>IF(Z206=1,IF(U206="In",V206,K206&amp;""),"")</f>
        <v/>
      </c>
      <c r="S206" s="66">
        <f>IF(X206&lt;&gt;"","⛔ "&amp;X206&amp;" — not posted",IF(Y206&lt;&gt;"","⚠ "&amp;Y206,IF(Z206=1,"✓ OK","")))</f>
        <v/>
      </c>
      <c r="T206" s="67">
        <f>IF(AND(C206="",D206="",E206="",L206="",K206=""),1,0)</f>
        <v/>
      </c>
      <c r="U206" s="67">
        <f>IFERROR(INDEX(tt_Dir,MATCH(D206,tt_Type,0)),"")</f>
        <v/>
      </c>
      <c r="V206" s="67">
        <f>IF(D206="","",IFERROR(IF(INDEX(tt_Other,MATCH(D206,tt_Type,0))="",E206&amp;"",INDEX(tt_Other,MATCH(D206,tt_Type,0))),""))</f>
        <v/>
      </c>
      <c r="W206" s="68">
        <f>IF(OR(TaxOn&lt;&gt;"Yes",NOT(ISNUMBER(M206))),0,IF(IFERROR(INDEX(tt_Tax,MATCH(D206,tt_Type,0)),"No")="Yes",M206,0))</f>
        <v/>
      </c>
      <c r="X206" s="67">
        <f>IF(T206=1,"",IF(C206="","Missing transaction date",IF(NOT(ISNUMBER(C206)),"Invalid date",IF(OR(C206&lt;DATE(2000,1,1),C206&gt;DATE(2099,12,31)),"Invalid date",IF(D206="","Select a type",IF(U206="","Unknown type: "&amp;D206,IF(V206="","Select an account (Category)",IF(ISNA(MATCH(V206,coa_Name,0)),"Unknown account: "&amp;V206,IF(K206="","Select Paid From / Deposited To",IF(ISNA(MATCH(K206,coa_Name,0)),"Unknown account: "&amp;K206,IF(NOT(ISNUMBER(L206)),"Enter an amount",IF(L206=0,"Enter an amount",IF(ABS(W206)&gt;ABS(L206),"Tax is larger than the amount","")))))))))))))</f>
        <v/>
      </c>
      <c r="Y206" s="67">
        <f>IF(OR(T206=1,X206&lt;&gt;""),"",IF(AND(B206&lt;&gt;"",COUNTIF(tx_ID,B206)&gt;1),"Duplicate transaction ID",IF(AND(L206&lt;0,D206&lt;&gt;"Adjustment"),"Negative amount — check this entry",IF(AND(D206="Customer Payment",G206=""),"Add the customer",IF(AND(D206="Customer Payment",OR(J206="",COUNTIF(ar_No,J206&amp;"")=0)),"Invoice # in Reference not found on AR sheet",IF(AND(D206="Bill Payment",H206=""),"Add the vendor",IF(AND(D206="Bill Payment",OR(J206="",COUNTIFS(ap_No,J206&amp;"",ap_Party,H206&amp;"")=0)),"Bill # + vendor not found on AP sheet",IF(AND(ISNUMBER(M206),N(M206)&lt;&gt;0,W206=0),"Tax ignored (tax tracking off, or not allowed for this type)",IF(V206=K206&amp;"","Same account on both sides",IF(AND(ISNUMBER(StartDate),C206&lt;StartDate),"Date is before the accounting start date",IF(AND(D206&lt;&gt;"Adjustment",IFERROR(INDEX(coa_Pay,MATCH(K206&amp;"",coa_Name,0)),"")&lt;&gt;"Yes"),"Paid From / Deposited To is not a payment account","")))))))))))</f>
        <v/>
      </c>
      <c r="Z206" s="67">
        <f>IF(AND(T206=0,X206=""),1,0)</f>
        <v/>
      </c>
      <c r="AA206" s="68">
        <f>IF(Z206=1,IF(U206="In",L206,L206-W206),0)</f>
        <v/>
      </c>
      <c r="AB206" s="68">
        <f>IF(Z206=1,IF(U206="In",L206-W206,L206),0)</f>
        <v/>
      </c>
      <c r="AC206" s="68">
        <f>IF(AND(Z206=1,U206="Out"),W206,0)</f>
        <v/>
      </c>
      <c r="AD206" s="68">
        <f>IF(AND(Z206=1,U206="In"),W206,0)</f>
        <v/>
      </c>
    </row>
    <row r="207">
      <c r="B207" s="62" t="inlineStr">
        <is>
          <t>TX-0201</t>
        </is>
      </c>
      <c r="C207" s="63" t="n">
        <v>46183</v>
      </c>
      <c r="D207" s="62" t="inlineStr">
        <is>
          <t>Money Out</t>
        </is>
      </c>
      <c r="E207" s="62" t="inlineStr">
        <is>
          <t>Interest Expense</t>
        </is>
      </c>
      <c r="F207" s="62" t="inlineStr">
        <is>
          <t>Loan interest</t>
        </is>
      </c>
      <c r="G207" s="62" t="n"/>
      <c r="H207" s="62" t="n"/>
      <c r="I207" s="62" t="inlineStr">
        <is>
          <t>Bank Transfer</t>
        </is>
      </c>
      <c r="J207" s="62" t="inlineStr">
        <is>
          <t>LOAN</t>
        </is>
      </c>
      <c r="K207" s="62" t="inlineStr">
        <is>
          <t>Bank Account</t>
        </is>
      </c>
      <c r="L207" s="64" t="n">
        <v>1200</v>
      </c>
      <c r="M207" s="64" t="n"/>
      <c r="N207" s="62" t="n"/>
      <c r="O207" s="65">
        <f>IF(Z207=1,L207-W207,"")</f>
        <v/>
      </c>
      <c r="P207" s="66">
        <f>IF(V207="","",IFERROR(INDEX(coa_Type,MATCH(V207,coa_Name,0)),""))</f>
        <v/>
      </c>
      <c r="Q207" s="66">
        <f>IF(Z207=1,IF(U207="In",K207&amp;"",V207),"")</f>
        <v/>
      </c>
      <c r="R207" s="66">
        <f>IF(Z207=1,IF(U207="In",V207,K207&amp;""),"")</f>
        <v/>
      </c>
      <c r="S207" s="66">
        <f>IF(X207&lt;&gt;"","⛔ "&amp;X207&amp;" — not posted",IF(Y207&lt;&gt;"","⚠ "&amp;Y207,IF(Z207=1,"✓ OK","")))</f>
        <v/>
      </c>
      <c r="T207" s="67">
        <f>IF(AND(C207="",D207="",E207="",L207="",K207=""),1,0)</f>
        <v/>
      </c>
      <c r="U207" s="67">
        <f>IFERROR(INDEX(tt_Dir,MATCH(D207,tt_Type,0)),"")</f>
        <v/>
      </c>
      <c r="V207" s="67">
        <f>IF(D207="","",IFERROR(IF(INDEX(tt_Other,MATCH(D207,tt_Type,0))="",E207&amp;"",INDEX(tt_Other,MATCH(D207,tt_Type,0))),""))</f>
        <v/>
      </c>
      <c r="W207" s="68">
        <f>IF(OR(TaxOn&lt;&gt;"Yes",NOT(ISNUMBER(M207))),0,IF(IFERROR(INDEX(tt_Tax,MATCH(D207,tt_Type,0)),"No")="Yes",M207,0))</f>
        <v/>
      </c>
      <c r="X207" s="67">
        <f>IF(T207=1,"",IF(C207="","Missing transaction date",IF(NOT(ISNUMBER(C207)),"Invalid date",IF(OR(C207&lt;DATE(2000,1,1),C207&gt;DATE(2099,12,31)),"Invalid date",IF(D207="","Select a type",IF(U207="","Unknown type: "&amp;D207,IF(V207="","Select an account (Category)",IF(ISNA(MATCH(V207,coa_Name,0)),"Unknown account: "&amp;V207,IF(K207="","Select Paid From / Deposited To",IF(ISNA(MATCH(K207,coa_Name,0)),"Unknown account: "&amp;K207,IF(NOT(ISNUMBER(L207)),"Enter an amount",IF(L207=0,"Enter an amount",IF(ABS(W207)&gt;ABS(L207),"Tax is larger than the amount","")))))))))))))</f>
        <v/>
      </c>
      <c r="Y207" s="67">
        <f>IF(OR(T207=1,X207&lt;&gt;""),"",IF(AND(B207&lt;&gt;"",COUNTIF(tx_ID,B207)&gt;1),"Duplicate transaction ID",IF(AND(L207&lt;0,D207&lt;&gt;"Adjustment"),"Negative amount — check this entry",IF(AND(D207="Customer Payment",G207=""),"Add the customer",IF(AND(D207="Customer Payment",OR(J207="",COUNTIF(ar_No,J207&amp;"")=0)),"Invoice # in Reference not found on AR sheet",IF(AND(D207="Bill Payment",H207=""),"Add the vendor",IF(AND(D207="Bill Payment",OR(J207="",COUNTIFS(ap_No,J207&amp;"",ap_Party,H207&amp;"")=0)),"Bill # + vendor not found on AP sheet",IF(AND(ISNUMBER(M207),N(M207)&lt;&gt;0,W207=0),"Tax ignored (tax tracking off, or not allowed for this type)",IF(V207=K207&amp;"","Same account on both sides",IF(AND(ISNUMBER(StartDate),C207&lt;StartDate),"Date is before the accounting start date",IF(AND(D207&lt;&gt;"Adjustment",IFERROR(INDEX(coa_Pay,MATCH(K207&amp;"",coa_Name,0)),"")&lt;&gt;"Yes"),"Paid From / Deposited To is not a payment account","")))))))))))</f>
        <v/>
      </c>
      <c r="Z207" s="67">
        <f>IF(AND(T207=0,X207=""),1,0)</f>
        <v/>
      </c>
      <c r="AA207" s="68">
        <f>IF(Z207=1,IF(U207="In",L207,L207-W207),0)</f>
        <v/>
      </c>
      <c r="AB207" s="68">
        <f>IF(Z207=1,IF(U207="In",L207-W207,L207),0)</f>
        <v/>
      </c>
      <c r="AC207" s="68">
        <f>IF(AND(Z207=1,U207="Out"),W207,0)</f>
        <v/>
      </c>
      <c r="AD207" s="68">
        <f>IF(AND(Z207=1,U207="In"),W207,0)</f>
        <v/>
      </c>
    </row>
    <row r="208">
      <c r="B208" s="62" t="inlineStr">
        <is>
          <t>TX-0202</t>
        </is>
      </c>
      <c r="C208" s="63" t="n">
        <v>46184</v>
      </c>
      <c r="D208" s="62" t="inlineStr">
        <is>
          <t>Money In</t>
        </is>
      </c>
      <c r="E208" s="62" t="inlineStr">
        <is>
          <t>Product Sales</t>
        </is>
      </c>
      <c r="F208" s="62" t="inlineStr">
        <is>
          <t>Counter sales week 2</t>
        </is>
      </c>
      <c r="G208" s="62" t="n"/>
      <c r="H208" s="62" t="n"/>
      <c r="I208" s="62" t="inlineStr">
        <is>
          <t>Cash</t>
        </is>
      </c>
      <c r="J208" s="62" t="n"/>
      <c r="K208" s="62" t="inlineStr">
        <is>
          <t>Cash on Hand</t>
        </is>
      </c>
      <c r="L208" s="64" t="n">
        <v>59792.22</v>
      </c>
      <c r="M208" s="64" t="n">
        <v>6406.31</v>
      </c>
      <c r="N208" s="62" t="n"/>
      <c r="O208" s="65">
        <f>IF(Z208=1,L208-W208,"")</f>
        <v/>
      </c>
      <c r="P208" s="66">
        <f>IF(V208="","",IFERROR(INDEX(coa_Type,MATCH(V208,coa_Name,0)),""))</f>
        <v/>
      </c>
      <c r="Q208" s="66">
        <f>IF(Z208=1,IF(U208="In",K208&amp;"",V208),"")</f>
        <v/>
      </c>
      <c r="R208" s="66">
        <f>IF(Z208=1,IF(U208="In",V208,K208&amp;""),"")</f>
        <v/>
      </c>
      <c r="S208" s="66">
        <f>IF(X208&lt;&gt;"","⛔ "&amp;X208&amp;" — not posted",IF(Y208&lt;&gt;"","⚠ "&amp;Y208,IF(Z208=1,"✓ OK","")))</f>
        <v/>
      </c>
      <c r="T208" s="67">
        <f>IF(AND(C208="",D208="",E208="",L208="",K208=""),1,0)</f>
        <v/>
      </c>
      <c r="U208" s="67">
        <f>IFERROR(INDEX(tt_Dir,MATCH(D208,tt_Type,0)),"")</f>
        <v/>
      </c>
      <c r="V208" s="67">
        <f>IF(D208="","",IFERROR(IF(INDEX(tt_Other,MATCH(D208,tt_Type,0))="",E208&amp;"",INDEX(tt_Other,MATCH(D208,tt_Type,0))),""))</f>
        <v/>
      </c>
      <c r="W208" s="68">
        <f>IF(OR(TaxOn&lt;&gt;"Yes",NOT(ISNUMBER(M208))),0,IF(IFERROR(INDEX(tt_Tax,MATCH(D208,tt_Type,0)),"No")="Yes",M208,0))</f>
        <v/>
      </c>
      <c r="X208" s="67">
        <f>IF(T208=1,"",IF(C208="","Missing transaction date",IF(NOT(ISNUMBER(C208)),"Invalid date",IF(OR(C208&lt;DATE(2000,1,1),C208&gt;DATE(2099,12,31)),"Invalid date",IF(D208="","Select a type",IF(U208="","Unknown type: "&amp;D208,IF(V208="","Select an account (Category)",IF(ISNA(MATCH(V208,coa_Name,0)),"Unknown account: "&amp;V208,IF(K208="","Select Paid From / Deposited To",IF(ISNA(MATCH(K208,coa_Name,0)),"Unknown account: "&amp;K208,IF(NOT(ISNUMBER(L208)),"Enter an amount",IF(L208=0,"Enter an amount",IF(ABS(W208)&gt;ABS(L208),"Tax is larger than the amount","")))))))))))))</f>
        <v/>
      </c>
      <c r="Y208" s="67">
        <f>IF(OR(T208=1,X208&lt;&gt;""),"",IF(AND(B208&lt;&gt;"",COUNTIF(tx_ID,B208)&gt;1),"Duplicate transaction ID",IF(AND(L208&lt;0,D208&lt;&gt;"Adjustment"),"Negative amount — check this entry",IF(AND(D208="Customer Payment",G208=""),"Add the customer",IF(AND(D208="Customer Payment",OR(J208="",COUNTIF(ar_No,J208&amp;"")=0)),"Invoice # in Reference not found on AR sheet",IF(AND(D208="Bill Payment",H208=""),"Add the vendor",IF(AND(D208="Bill Payment",OR(J208="",COUNTIFS(ap_No,J208&amp;"",ap_Party,H208&amp;"")=0)),"Bill # + vendor not found on AP sheet",IF(AND(ISNUMBER(M208),N(M208)&lt;&gt;0,W208=0),"Tax ignored (tax tracking off, or not allowed for this type)",IF(V208=K208&amp;"","Same account on both sides",IF(AND(ISNUMBER(StartDate),C208&lt;StartDate),"Date is before the accounting start date",IF(AND(D208&lt;&gt;"Adjustment",IFERROR(INDEX(coa_Pay,MATCH(K208&amp;"",coa_Name,0)),"")&lt;&gt;"Yes"),"Paid From / Deposited To is not a payment account","")))))))))))</f>
        <v/>
      </c>
      <c r="Z208" s="67">
        <f>IF(AND(T208=0,X208=""),1,0)</f>
        <v/>
      </c>
      <c r="AA208" s="68">
        <f>IF(Z208=1,IF(U208="In",L208,L208-W208),0)</f>
        <v/>
      </c>
      <c r="AB208" s="68">
        <f>IF(Z208=1,IF(U208="In",L208-W208,L208),0)</f>
        <v/>
      </c>
      <c r="AC208" s="68">
        <f>IF(AND(Z208=1,U208="Out"),W208,0)</f>
        <v/>
      </c>
      <c r="AD208" s="68">
        <f>IF(AND(Z208=1,U208="In"),W208,0)</f>
        <v/>
      </c>
    </row>
    <row r="209">
      <c r="B209" s="62" t="inlineStr">
        <is>
          <t>TX-0203</t>
        </is>
      </c>
      <c r="C209" s="63" t="n">
        <v>46185</v>
      </c>
      <c r="D209" s="62" t="inlineStr">
        <is>
          <t>Money In</t>
        </is>
      </c>
      <c r="E209" s="62" t="inlineStr">
        <is>
          <t>Product Sales</t>
        </is>
      </c>
      <c r="F209" s="62" t="inlineStr">
        <is>
          <t>GCash / online orders week 2</t>
        </is>
      </c>
      <c r="G209" s="62" t="n"/>
      <c r="H209" s="62" t="n"/>
      <c r="I209" s="62" t="inlineStr">
        <is>
          <t>E-Wallet</t>
        </is>
      </c>
      <c r="J209" s="62" t="n"/>
      <c r="K209" s="62" t="inlineStr">
        <is>
          <t>E-Wallet / Online Payments</t>
        </is>
      </c>
      <c r="L209" s="64" t="n">
        <v>16636.16</v>
      </c>
      <c r="M209" s="64" t="n">
        <v>1782.45</v>
      </c>
      <c r="N209" s="62" t="n"/>
      <c r="O209" s="65">
        <f>IF(Z209=1,L209-W209,"")</f>
        <v/>
      </c>
      <c r="P209" s="66">
        <f>IF(V209="","",IFERROR(INDEX(coa_Type,MATCH(V209,coa_Name,0)),""))</f>
        <v/>
      </c>
      <c r="Q209" s="66">
        <f>IF(Z209=1,IF(U209="In",K209&amp;"",V209),"")</f>
        <v/>
      </c>
      <c r="R209" s="66">
        <f>IF(Z209=1,IF(U209="In",V209,K209&amp;""),"")</f>
        <v/>
      </c>
      <c r="S209" s="66">
        <f>IF(X209&lt;&gt;"","⛔ "&amp;X209&amp;" — not posted",IF(Y209&lt;&gt;"","⚠ "&amp;Y209,IF(Z209=1,"✓ OK","")))</f>
        <v/>
      </c>
      <c r="T209" s="67">
        <f>IF(AND(C209="",D209="",E209="",L209="",K209=""),1,0)</f>
        <v/>
      </c>
      <c r="U209" s="67">
        <f>IFERROR(INDEX(tt_Dir,MATCH(D209,tt_Type,0)),"")</f>
        <v/>
      </c>
      <c r="V209" s="67">
        <f>IF(D209="","",IFERROR(IF(INDEX(tt_Other,MATCH(D209,tt_Type,0))="",E209&amp;"",INDEX(tt_Other,MATCH(D209,tt_Type,0))),""))</f>
        <v/>
      </c>
      <c r="W209" s="68">
        <f>IF(OR(TaxOn&lt;&gt;"Yes",NOT(ISNUMBER(M209))),0,IF(IFERROR(INDEX(tt_Tax,MATCH(D209,tt_Type,0)),"No")="Yes",M209,0))</f>
        <v/>
      </c>
      <c r="X209" s="67">
        <f>IF(T209=1,"",IF(C209="","Missing transaction date",IF(NOT(ISNUMBER(C209)),"Invalid date",IF(OR(C209&lt;DATE(2000,1,1),C209&gt;DATE(2099,12,31)),"Invalid date",IF(D209="","Select a type",IF(U209="","Unknown type: "&amp;D209,IF(V209="","Select an account (Category)",IF(ISNA(MATCH(V209,coa_Name,0)),"Unknown account: "&amp;V209,IF(K209="","Select Paid From / Deposited To",IF(ISNA(MATCH(K209,coa_Name,0)),"Unknown account: "&amp;K209,IF(NOT(ISNUMBER(L209)),"Enter an amount",IF(L209=0,"Enter an amount",IF(ABS(W209)&gt;ABS(L209),"Tax is larger than the amount","")))))))))))))</f>
        <v/>
      </c>
      <c r="Y209" s="67">
        <f>IF(OR(T209=1,X209&lt;&gt;""),"",IF(AND(B209&lt;&gt;"",COUNTIF(tx_ID,B209)&gt;1),"Duplicate transaction ID",IF(AND(L209&lt;0,D209&lt;&gt;"Adjustment"),"Negative amount — check this entry",IF(AND(D209="Customer Payment",G209=""),"Add the customer",IF(AND(D209="Customer Payment",OR(J209="",COUNTIF(ar_No,J209&amp;"")=0)),"Invoice # in Reference not found on AR sheet",IF(AND(D209="Bill Payment",H209=""),"Add the vendor",IF(AND(D209="Bill Payment",OR(J209="",COUNTIFS(ap_No,J209&amp;"",ap_Party,H209&amp;"")=0)),"Bill # + vendor not found on AP sheet",IF(AND(ISNUMBER(M209),N(M209)&lt;&gt;0,W209=0),"Tax ignored (tax tracking off, or not allowed for this type)",IF(V209=K209&amp;"","Same account on both sides",IF(AND(ISNUMBER(StartDate),C209&lt;StartDate),"Date is before the accounting start date",IF(AND(D209&lt;&gt;"Adjustment",IFERROR(INDEX(coa_Pay,MATCH(K209&amp;"",coa_Name,0)),"")&lt;&gt;"Yes"),"Paid From / Deposited To is not a payment account","")))))))))))</f>
        <v/>
      </c>
      <c r="Z209" s="67">
        <f>IF(AND(T209=0,X209=""),1,0)</f>
        <v/>
      </c>
      <c r="AA209" s="68">
        <f>IF(Z209=1,IF(U209="In",L209,L209-W209),0)</f>
        <v/>
      </c>
      <c r="AB209" s="68">
        <f>IF(Z209=1,IF(U209="In",L209-W209,L209),0)</f>
        <v/>
      </c>
      <c r="AC209" s="68">
        <f>IF(AND(Z209=1,U209="Out"),W209,0)</f>
        <v/>
      </c>
      <c r="AD209" s="68">
        <f>IF(AND(Z209=1,U209="In"),W209,0)</f>
        <v/>
      </c>
    </row>
    <row r="210">
      <c r="B210" s="62" t="inlineStr">
        <is>
          <t>TX-0204</t>
        </is>
      </c>
      <c r="C210" s="63" t="n">
        <v>46185</v>
      </c>
      <c r="D210" s="62" t="inlineStr">
        <is>
          <t>Money Out</t>
        </is>
      </c>
      <c r="E210" s="62" t="inlineStr">
        <is>
          <t>Utilities</t>
        </is>
      </c>
      <c r="F210" s="62" t="inlineStr">
        <is>
          <t>Electricity &amp; water</t>
        </is>
      </c>
      <c r="G210" s="62" t="n"/>
      <c r="H210" s="62" t="n"/>
      <c r="I210" s="62" t="inlineStr">
        <is>
          <t>Bank Transfer</t>
        </is>
      </c>
      <c r="J210" s="62" t="n"/>
      <c r="K210" s="62" t="inlineStr">
        <is>
          <t>Bank Account</t>
        </is>
      </c>
      <c r="L210" s="64" t="n">
        <v>13128.51</v>
      </c>
      <c r="M210" s="64" t="n">
        <v>1406.63</v>
      </c>
      <c r="N210" s="62" t="n"/>
      <c r="O210" s="65">
        <f>IF(Z210=1,L210-W210,"")</f>
        <v/>
      </c>
      <c r="P210" s="66">
        <f>IF(V210="","",IFERROR(INDEX(coa_Type,MATCH(V210,coa_Name,0)),""))</f>
        <v/>
      </c>
      <c r="Q210" s="66">
        <f>IF(Z210=1,IF(U210="In",K210&amp;"",V210),"")</f>
        <v/>
      </c>
      <c r="R210" s="66">
        <f>IF(Z210=1,IF(U210="In",V210,K210&amp;""),"")</f>
        <v/>
      </c>
      <c r="S210" s="66">
        <f>IF(X210&lt;&gt;"","⛔ "&amp;X210&amp;" — not posted",IF(Y210&lt;&gt;"","⚠ "&amp;Y210,IF(Z210=1,"✓ OK","")))</f>
        <v/>
      </c>
      <c r="T210" s="67">
        <f>IF(AND(C210="",D210="",E210="",L210="",K210=""),1,0)</f>
        <v/>
      </c>
      <c r="U210" s="67">
        <f>IFERROR(INDEX(tt_Dir,MATCH(D210,tt_Type,0)),"")</f>
        <v/>
      </c>
      <c r="V210" s="67">
        <f>IF(D210="","",IFERROR(IF(INDEX(tt_Other,MATCH(D210,tt_Type,0))="",E210&amp;"",INDEX(tt_Other,MATCH(D210,tt_Type,0))),""))</f>
        <v/>
      </c>
      <c r="W210" s="68">
        <f>IF(OR(TaxOn&lt;&gt;"Yes",NOT(ISNUMBER(M210))),0,IF(IFERROR(INDEX(tt_Tax,MATCH(D210,tt_Type,0)),"No")="Yes",M210,0))</f>
        <v/>
      </c>
      <c r="X210" s="67">
        <f>IF(T210=1,"",IF(C210="","Missing transaction date",IF(NOT(ISNUMBER(C210)),"Invalid date",IF(OR(C210&lt;DATE(2000,1,1),C210&gt;DATE(2099,12,31)),"Invalid date",IF(D210="","Select a type",IF(U210="","Unknown type: "&amp;D210,IF(V210="","Select an account (Category)",IF(ISNA(MATCH(V210,coa_Name,0)),"Unknown account: "&amp;V210,IF(K210="","Select Paid From / Deposited To",IF(ISNA(MATCH(K210,coa_Name,0)),"Unknown account: "&amp;K210,IF(NOT(ISNUMBER(L210)),"Enter an amount",IF(L210=0,"Enter an amount",IF(ABS(W210)&gt;ABS(L210),"Tax is larger than the amount","")))))))))))))</f>
        <v/>
      </c>
      <c r="Y210" s="67">
        <f>IF(OR(T210=1,X210&lt;&gt;""),"",IF(AND(B210&lt;&gt;"",COUNTIF(tx_ID,B210)&gt;1),"Duplicate transaction ID",IF(AND(L210&lt;0,D210&lt;&gt;"Adjustment"),"Negative amount — check this entry",IF(AND(D210="Customer Payment",G210=""),"Add the customer",IF(AND(D210="Customer Payment",OR(J210="",COUNTIF(ar_No,J210&amp;"")=0)),"Invoice # in Reference not found on AR sheet",IF(AND(D210="Bill Payment",H210=""),"Add the vendor",IF(AND(D210="Bill Payment",OR(J210="",COUNTIFS(ap_No,J210&amp;"",ap_Party,H210&amp;"")=0)),"Bill # + vendor not found on AP sheet",IF(AND(ISNUMBER(M210),N(M210)&lt;&gt;0,W210=0),"Tax ignored (tax tracking off, or not allowed for this type)",IF(V210=K210&amp;"","Same account on both sides",IF(AND(ISNUMBER(StartDate),C210&lt;StartDate),"Date is before the accounting start date",IF(AND(D210&lt;&gt;"Adjustment",IFERROR(INDEX(coa_Pay,MATCH(K210&amp;"",coa_Name,0)),"")&lt;&gt;"Yes"),"Paid From / Deposited To is not a payment account","")))))))))))</f>
        <v/>
      </c>
      <c r="Z210" s="67">
        <f>IF(AND(T210=0,X210=""),1,0)</f>
        <v/>
      </c>
      <c r="AA210" s="68">
        <f>IF(Z210=1,IF(U210="In",L210,L210-W210),0)</f>
        <v/>
      </c>
      <c r="AB210" s="68">
        <f>IF(Z210=1,IF(U210="In",L210-W210,L210),0)</f>
        <v/>
      </c>
      <c r="AC210" s="68">
        <f>IF(AND(Z210=1,U210="Out"),W210,0)</f>
        <v/>
      </c>
      <c r="AD210" s="68">
        <f>IF(AND(Z210=1,U210="In"),W210,0)</f>
        <v/>
      </c>
    </row>
    <row r="211">
      <c r="B211" s="62" t="inlineStr">
        <is>
          <t>TX-0205</t>
        </is>
      </c>
      <c r="C211" s="63" t="n">
        <v>46186</v>
      </c>
      <c r="D211" s="62" t="inlineStr">
        <is>
          <t>Bill Payment</t>
        </is>
      </c>
      <c r="E211" s="62" t="n"/>
      <c r="F211" s="62" t="inlineStr">
        <is>
          <t>Supplier payment</t>
        </is>
      </c>
      <c r="G211" s="62" t="n"/>
      <c r="H211" s="62" t="inlineStr">
        <is>
          <t>Golden Grain Flour Mill</t>
        </is>
      </c>
      <c r="I211" s="62" t="inlineStr">
        <is>
          <t>Bank Transfer</t>
        </is>
      </c>
      <c r="J211" s="62" t="inlineStr">
        <is>
          <t>GO-052</t>
        </is>
      </c>
      <c r="K211" s="62" t="inlineStr">
        <is>
          <t>Bank Account</t>
        </is>
      </c>
      <c r="L211" s="64" t="n">
        <v>48327.06</v>
      </c>
      <c r="M211" s="64" t="n"/>
      <c r="N211" s="62" t="n"/>
      <c r="O211" s="65">
        <f>IF(Z211=1,L211-W211,"")</f>
        <v/>
      </c>
      <c r="P211" s="66">
        <f>IF(V211="","",IFERROR(INDEX(coa_Type,MATCH(V211,coa_Name,0)),""))</f>
        <v/>
      </c>
      <c r="Q211" s="66">
        <f>IF(Z211=1,IF(U211="In",K211&amp;"",V211),"")</f>
        <v/>
      </c>
      <c r="R211" s="66">
        <f>IF(Z211=1,IF(U211="In",V211,K211&amp;""),"")</f>
        <v/>
      </c>
      <c r="S211" s="66">
        <f>IF(X211&lt;&gt;"","⛔ "&amp;X211&amp;" — not posted",IF(Y211&lt;&gt;"","⚠ "&amp;Y211,IF(Z211=1,"✓ OK","")))</f>
        <v/>
      </c>
      <c r="T211" s="67">
        <f>IF(AND(C211="",D211="",E211="",L211="",K211=""),1,0)</f>
        <v/>
      </c>
      <c r="U211" s="67">
        <f>IFERROR(INDEX(tt_Dir,MATCH(D211,tt_Type,0)),"")</f>
        <v/>
      </c>
      <c r="V211" s="67">
        <f>IF(D211="","",IFERROR(IF(INDEX(tt_Other,MATCH(D211,tt_Type,0))="",E211&amp;"",INDEX(tt_Other,MATCH(D211,tt_Type,0))),""))</f>
        <v/>
      </c>
      <c r="W211" s="68">
        <f>IF(OR(TaxOn&lt;&gt;"Yes",NOT(ISNUMBER(M211))),0,IF(IFERROR(INDEX(tt_Tax,MATCH(D211,tt_Type,0)),"No")="Yes",M211,0))</f>
        <v/>
      </c>
      <c r="X211" s="67">
        <f>IF(T211=1,"",IF(C211="","Missing transaction date",IF(NOT(ISNUMBER(C211)),"Invalid date",IF(OR(C211&lt;DATE(2000,1,1),C211&gt;DATE(2099,12,31)),"Invalid date",IF(D211="","Select a type",IF(U211="","Unknown type: "&amp;D211,IF(V211="","Select an account (Category)",IF(ISNA(MATCH(V211,coa_Name,0)),"Unknown account: "&amp;V211,IF(K211="","Select Paid From / Deposited To",IF(ISNA(MATCH(K211,coa_Name,0)),"Unknown account: "&amp;K211,IF(NOT(ISNUMBER(L211)),"Enter an amount",IF(L211=0,"Enter an amount",IF(ABS(W211)&gt;ABS(L211),"Tax is larger than the amount","")))))))))))))</f>
        <v/>
      </c>
      <c r="Y211" s="67">
        <f>IF(OR(T211=1,X211&lt;&gt;""),"",IF(AND(B211&lt;&gt;"",COUNTIF(tx_ID,B211)&gt;1),"Duplicate transaction ID",IF(AND(L211&lt;0,D211&lt;&gt;"Adjustment"),"Negative amount — check this entry",IF(AND(D211="Customer Payment",G211=""),"Add the customer",IF(AND(D211="Customer Payment",OR(J211="",COUNTIF(ar_No,J211&amp;"")=0)),"Invoice # in Reference not found on AR sheet",IF(AND(D211="Bill Payment",H211=""),"Add the vendor",IF(AND(D211="Bill Payment",OR(J211="",COUNTIFS(ap_No,J211&amp;"",ap_Party,H211&amp;"")=0)),"Bill # + vendor not found on AP sheet",IF(AND(ISNUMBER(M211),N(M211)&lt;&gt;0,W211=0),"Tax ignored (tax tracking off, or not allowed for this type)",IF(V211=K211&amp;"","Same account on both sides",IF(AND(ISNUMBER(StartDate),C211&lt;StartDate),"Date is before the accounting start date",IF(AND(D211&lt;&gt;"Adjustment",IFERROR(INDEX(coa_Pay,MATCH(K211&amp;"",coa_Name,0)),"")&lt;&gt;"Yes"),"Paid From / Deposited To is not a payment account","")))))))))))</f>
        <v/>
      </c>
      <c r="Z211" s="67">
        <f>IF(AND(T211=0,X211=""),1,0)</f>
        <v/>
      </c>
      <c r="AA211" s="68">
        <f>IF(Z211=1,IF(U211="In",L211,L211-W211),0)</f>
        <v/>
      </c>
      <c r="AB211" s="68">
        <f>IF(Z211=1,IF(U211="In",L211-W211,L211),0)</f>
        <v/>
      </c>
      <c r="AC211" s="68">
        <f>IF(AND(Z211=1,U211="Out"),W211,0)</f>
        <v/>
      </c>
      <c r="AD211" s="68">
        <f>IF(AND(Z211=1,U211="In"),W211,0)</f>
        <v/>
      </c>
    </row>
    <row r="212">
      <c r="B212" s="62" t="inlineStr">
        <is>
          <t>TX-0206</t>
        </is>
      </c>
      <c r="C212" s="63" t="n">
        <v>46186</v>
      </c>
      <c r="D212" s="62" t="inlineStr">
        <is>
          <t>Transfer</t>
        </is>
      </c>
      <c r="E212" s="62" t="inlineStr">
        <is>
          <t>Bank Account</t>
        </is>
      </c>
      <c r="F212" s="62" t="inlineStr">
        <is>
          <t>Cash deposit to bank</t>
        </is>
      </c>
      <c r="G212" s="62" t="n"/>
      <c r="H212" s="62" t="n"/>
      <c r="I212" s="62" t="inlineStr">
        <is>
          <t>Cash</t>
        </is>
      </c>
      <c r="J212" s="62" t="n"/>
      <c r="K212" s="62" t="inlineStr">
        <is>
          <t>Cash on Hand</t>
        </is>
      </c>
      <c r="L212" s="64" t="n">
        <v>50800</v>
      </c>
      <c r="M212" s="64" t="n"/>
      <c r="N212" s="62" t="n"/>
      <c r="O212" s="65">
        <f>IF(Z212=1,L212-W212,"")</f>
        <v/>
      </c>
      <c r="P212" s="66">
        <f>IF(V212="","",IFERROR(INDEX(coa_Type,MATCH(V212,coa_Name,0)),""))</f>
        <v/>
      </c>
      <c r="Q212" s="66">
        <f>IF(Z212=1,IF(U212="In",K212&amp;"",V212),"")</f>
        <v/>
      </c>
      <c r="R212" s="66">
        <f>IF(Z212=1,IF(U212="In",V212,K212&amp;""),"")</f>
        <v/>
      </c>
      <c r="S212" s="66">
        <f>IF(X212&lt;&gt;"","⛔ "&amp;X212&amp;" — not posted",IF(Y212&lt;&gt;"","⚠ "&amp;Y212,IF(Z212=1,"✓ OK","")))</f>
        <v/>
      </c>
      <c r="T212" s="67">
        <f>IF(AND(C212="",D212="",E212="",L212="",K212=""),1,0)</f>
        <v/>
      </c>
      <c r="U212" s="67">
        <f>IFERROR(INDEX(tt_Dir,MATCH(D212,tt_Type,0)),"")</f>
        <v/>
      </c>
      <c r="V212" s="67">
        <f>IF(D212="","",IFERROR(IF(INDEX(tt_Other,MATCH(D212,tt_Type,0))="",E212&amp;"",INDEX(tt_Other,MATCH(D212,tt_Type,0))),""))</f>
        <v/>
      </c>
      <c r="W212" s="68">
        <f>IF(OR(TaxOn&lt;&gt;"Yes",NOT(ISNUMBER(M212))),0,IF(IFERROR(INDEX(tt_Tax,MATCH(D212,tt_Type,0)),"No")="Yes",M212,0))</f>
        <v/>
      </c>
      <c r="X212" s="67">
        <f>IF(T212=1,"",IF(C212="","Missing transaction date",IF(NOT(ISNUMBER(C212)),"Invalid date",IF(OR(C212&lt;DATE(2000,1,1),C212&gt;DATE(2099,12,31)),"Invalid date",IF(D212="","Select a type",IF(U212="","Unknown type: "&amp;D212,IF(V212="","Select an account (Category)",IF(ISNA(MATCH(V212,coa_Name,0)),"Unknown account: "&amp;V212,IF(K212="","Select Paid From / Deposited To",IF(ISNA(MATCH(K212,coa_Name,0)),"Unknown account: "&amp;K212,IF(NOT(ISNUMBER(L212)),"Enter an amount",IF(L212=0,"Enter an amount",IF(ABS(W212)&gt;ABS(L212),"Tax is larger than the amount","")))))))))))))</f>
        <v/>
      </c>
      <c r="Y212" s="67">
        <f>IF(OR(T212=1,X212&lt;&gt;""),"",IF(AND(B212&lt;&gt;"",COUNTIF(tx_ID,B212)&gt;1),"Duplicate transaction ID",IF(AND(L212&lt;0,D212&lt;&gt;"Adjustment"),"Negative amount — check this entry",IF(AND(D212="Customer Payment",G212=""),"Add the customer",IF(AND(D212="Customer Payment",OR(J212="",COUNTIF(ar_No,J212&amp;"")=0)),"Invoice # in Reference not found on AR sheet",IF(AND(D212="Bill Payment",H212=""),"Add the vendor",IF(AND(D212="Bill Payment",OR(J212="",COUNTIFS(ap_No,J212&amp;"",ap_Party,H212&amp;"")=0)),"Bill # + vendor not found on AP sheet",IF(AND(ISNUMBER(M212),N(M212)&lt;&gt;0,W212=0),"Tax ignored (tax tracking off, or not allowed for this type)",IF(V212=K212&amp;"","Same account on both sides",IF(AND(ISNUMBER(StartDate),C212&lt;StartDate),"Date is before the accounting start date",IF(AND(D212&lt;&gt;"Adjustment",IFERROR(INDEX(coa_Pay,MATCH(K212&amp;"",coa_Name,0)),"")&lt;&gt;"Yes"),"Paid From / Deposited To is not a payment account","")))))))))))</f>
        <v/>
      </c>
      <c r="Z212" s="67">
        <f>IF(AND(T212=0,X212=""),1,0)</f>
        <v/>
      </c>
      <c r="AA212" s="68">
        <f>IF(Z212=1,IF(U212="In",L212,L212-W212),0)</f>
        <v/>
      </c>
      <c r="AB212" s="68">
        <f>IF(Z212=1,IF(U212="In",L212-W212,L212),0)</f>
        <v/>
      </c>
      <c r="AC212" s="68">
        <f>IF(AND(Z212=1,U212="Out"),W212,0)</f>
        <v/>
      </c>
      <c r="AD212" s="68">
        <f>IF(AND(Z212=1,U212="In"),W212,0)</f>
        <v/>
      </c>
    </row>
    <row r="213">
      <c r="B213" s="62" t="inlineStr">
        <is>
          <t>TX-0207</t>
        </is>
      </c>
      <c r="C213" s="63" t="n">
        <v>46188</v>
      </c>
      <c r="D213" s="62" t="inlineStr">
        <is>
          <t>Money Out</t>
        </is>
      </c>
      <c r="E213" s="62" t="inlineStr">
        <is>
          <t>Internet &amp; Phone</t>
        </is>
      </c>
      <c r="F213" s="62" t="inlineStr">
        <is>
          <t>Fiber internet</t>
        </is>
      </c>
      <c r="G213" s="62" t="n"/>
      <c r="H213" s="62" t="n"/>
      <c r="I213" s="62" t="inlineStr">
        <is>
          <t>Bank Transfer</t>
        </is>
      </c>
      <c r="J213" s="62" t="n"/>
      <c r="K213" s="62" t="inlineStr">
        <is>
          <t>Bank Account</t>
        </is>
      </c>
      <c r="L213" s="64" t="n">
        <v>2499</v>
      </c>
      <c r="M213" s="64" t="n">
        <v>267.75</v>
      </c>
      <c r="N213" s="62" t="n"/>
      <c r="O213" s="65">
        <f>IF(Z213=1,L213-W213,"")</f>
        <v/>
      </c>
      <c r="P213" s="66">
        <f>IF(V213="","",IFERROR(INDEX(coa_Type,MATCH(V213,coa_Name,0)),""))</f>
        <v/>
      </c>
      <c r="Q213" s="66">
        <f>IF(Z213=1,IF(U213="In",K213&amp;"",V213),"")</f>
        <v/>
      </c>
      <c r="R213" s="66">
        <f>IF(Z213=1,IF(U213="In",V213,K213&amp;""),"")</f>
        <v/>
      </c>
      <c r="S213" s="66">
        <f>IF(X213&lt;&gt;"","⛔ "&amp;X213&amp;" — not posted",IF(Y213&lt;&gt;"","⚠ "&amp;Y213,IF(Z213=1,"✓ OK","")))</f>
        <v/>
      </c>
      <c r="T213" s="67">
        <f>IF(AND(C213="",D213="",E213="",L213="",K213=""),1,0)</f>
        <v/>
      </c>
      <c r="U213" s="67">
        <f>IFERROR(INDEX(tt_Dir,MATCH(D213,tt_Type,0)),"")</f>
        <v/>
      </c>
      <c r="V213" s="67">
        <f>IF(D213="","",IFERROR(IF(INDEX(tt_Other,MATCH(D213,tt_Type,0))="",E213&amp;"",INDEX(tt_Other,MATCH(D213,tt_Type,0))),""))</f>
        <v/>
      </c>
      <c r="W213" s="68">
        <f>IF(OR(TaxOn&lt;&gt;"Yes",NOT(ISNUMBER(M213))),0,IF(IFERROR(INDEX(tt_Tax,MATCH(D213,tt_Type,0)),"No")="Yes",M213,0))</f>
        <v/>
      </c>
      <c r="X213" s="67">
        <f>IF(T213=1,"",IF(C213="","Missing transaction date",IF(NOT(ISNUMBER(C213)),"Invalid date",IF(OR(C213&lt;DATE(2000,1,1),C213&gt;DATE(2099,12,31)),"Invalid date",IF(D213="","Select a type",IF(U213="","Unknown type: "&amp;D213,IF(V213="","Select an account (Category)",IF(ISNA(MATCH(V213,coa_Name,0)),"Unknown account: "&amp;V213,IF(K213="","Select Paid From / Deposited To",IF(ISNA(MATCH(K213,coa_Name,0)),"Unknown account: "&amp;K213,IF(NOT(ISNUMBER(L213)),"Enter an amount",IF(L213=0,"Enter an amount",IF(ABS(W213)&gt;ABS(L213),"Tax is larger than the amount","")))))))))))))</f>
        <v/>
      </c>
      <c r="Y213" s="67">
        <f>IF(OR(T213=1,X213&lt;&gt;""),"",IF(AND(B213&lt;&gt;"",COUNTIF(tx_ID,B213)&gt;1),"Duplicate transaction ID",IF(AND(L213&lt;0,D213&lt;&gt;"Adjustment"),"Negative amount — check this entry",IF(AND(D213="Customer Payment",G213=""),"Add the customer",IF(AND(D213="Customer Payment",OR(J213="",COUNTIF(ar_No,J213&amp;"")=0)),"Invoice # in Reference not found on AR sheet",IF(AND(D213="Bill Payment",H213=""),"Add the vendor",IF(AND(D213="Bill Payment",OR(J213="",COUNTIFS(ap_No,J213&amp;"",ap_Party,H213&amp;"")=0)),"Bill # + vendor not found on AP sheet",IF(AND(ISNUMBER(M213),N(M213)&lt;&gt;0,W213=0),"Tax ignored (tax tracking off, or not allowed for this type)",IF(V213=K213&amp;"","Same account on both sides",IF(AND(ISNUMBER(StartDate),C213&lt;StartDate),"Date is before the accounting start date",IF(AND(D213&lt;&gt;"Adjustment",IFERROR(INDEX(coa_Pay,MATCH(K213&amp;"",coa_Name,0)),"")&lt;&gt;"Yes"),"Paid From / Deposited To is not a payment account","")))))))))))</f>
        <v/>
      </c>
      <c r="Z213" s="67">
        <f>IF(AND(T213=0,X213=""),1,0)</f>
        <v/>
      </c>
      <c r="AA213" s="68">
        <f>IF(Z213=1,IF(U213="In",L213,L213-W213),0)</f>
        <v/>
      </c>
      <c r="AB213" s="68">
        <f>IF(Z213=1,IF(U213="In",L213-W213,L213),0)</f>
        <v/>
      </c>
      <c r="AC213" s="68">
        <f>IF(AND(Z213=1,U213="Out"),W213,0)</f>
        <v/>
      </c>
      <c r="AD213" s="68">
        <f>IF(AND(Z213=1,U213="In"),W213,0)</f>
        <v/>
      </c>
    </row>
    <row r="214">
      <c r="B214" s="62" t="inlineStr">
        <is>
          <t>TX-0208</t>
        </is>
      </c>
      <c r="C214" s="63" t="n">
        <v>46188</v>
      </c>
      <c r="D214" s="62" t="inlineStr">
        <is>
          <t>Money Out</t>
        </is>
      </c>
      <c r="E214" s="62" t="inlineStr">
        <is>
          <t>Direct Labor</t>
        </is>
      </c>
      <c r="F214" s="62" t="inlineStr">
        <is>
          <t>Bakers' salaries (1st-15th)</t>
        </is>
      </c>
      <c r="G214" s="62" t="n"/>
      <c r="H214" s="62" t="n"/>
      <c r="I214" s="62" t="inlineStr">
        <is>
          <t>Bank Transfer</t>
        </is>
      </c>
      <c r="J214" s="62" t="n"/>
      <c r="K214" s="62" t="inlineStr">
        <is>
          <t>Bank Account</t>
        </is>
      </c>
      <c r="L214" s="64" t="n">
        <v>38000</v>
      </c>
      <c r="M214" s="64" t="n"/>
      <c r="N214" s="62" t="n"/>
      <c r="O214" s="65">
        <f>IF(Z214=1,L214-W214,"")</f>
        <v/>
      </c>
      <c r="P214" s="66">
        <f>IF(V214="","",IFERROR(INDEX(coa_Type,MATCH(V214,coa_Name,0)),""))</f>
        <v/>
      </c>
      <c r="Q214" s="66">
        <f>IF(Z214=1,IF(U214="In",K214&amp;"",V214),"")</f>
        <v/>
      </c>
      <c r="R214" s="66">
        <f>IF(Z214=1,IF(U214="In",V214,K214&amp;""),"")</f>
        <v/>
      </c>
      <c r="S214" s="66">
        <f>IF(X214&lt;&gt;"","⛔ "&amp;X214&amp;" — not posted",IF(Y214&lt;&gt;"","⚠ "&amp;Y214,IF(Z214=1,"✓ OK","")))</f>
        <v/>
      </c>
      <c r="T214" s="67">
        <f>IF(AND(C214="",D214="",E214="",L214="",K214=""),1,0)</f>
        <v/>
      </c>
      <c r="U214" s="67">
        <f>IFERROR(INDEX(tt_Dir,MATCH(D214,tt_Type,0)),"")</f>
        <v/>
      </c>
      <c r="V214" s="67">
        <f>IF(D214="","",IFERROR(IF(INDEX(tt_Other,MATCH(D214,tt_Type,0))="",E214&amp;"",INDEX(tt_Other,MATCH(D214,tt_Type,0))),""))</f>
        <v/>
      </c>
      <c r="W214" s="68">
        <f>IF(OR(TaxOn&lt;&gt;"Yes",NOT(ISNUMBER(M214))),0,IF(IFERROR(INDEX(tt_Tax,MATCH(D214,tt_Type,0)),"No")="Yes",M214,0))</f>
        <v/>
      </c>
      <c r="X214" s="67">
        <f>IF(T214=1,"",IF(C214="","Missing transaction date",IF(NOT(ISNUMBER(C214)),"Invalid date",IF(OR(C214&lt;DATE(2000,1,1),C214&gt;DATE(2099,12,31)),"Invalid date",IF(D214="","Select a type",IF(U214="","Unknown type: "&amp;D214,IF(V214="","Select an account (Category)",IF(ISNA(MATCH(V214,coa_Name,0)),"Unknown account: "&amp;V214,IF(K214="","Select Paid From / Deposited To",IF(ISNA(MATCH(K214,coa_Name,0)),"Unknown account: "&amp;K214,IF(NOT(ISNUMBER(L214)),"Enter an amount",IF(L214=0,"Enter an amount",IF(ABS(W214)&gt;ABS(L214),"Tax is larger than the amount","")))))))))))))</f>
        <v/>
      </c>
      <c r="Y214" s="67">
        <f>IF(OR(T214=1,X214&lt;&gt;""),"",IF(AND(B214&lt;&gt;"",COUNTIF(tx_ID,B214)&gt;1),"Duplicate transaction ID",IF(AND(L214&lt;0,D214&lt;&gt;"Adjustment"),"Negative amount — check this entry",IF(AND(D214="Customer Payment",G214=""),"Add the customer",IF(AND(D214="Customer Payment",OR(J214="",COUNTIF(ar_No,J214&amp;"")=0)),"Invoice # in Reference not found on AR sheet",IF(AND(D214="Bill Payment",H214=""),"Add the vendor",IF(AND(D214="Bill Payment",OR(J214="",COUNTIFS(ap_No,J214&amp;"",ap_Party,H214&amp;"")=0)),"Bill # + vendor not found on AP sheet",IF(AND(ISNUMBER(M214),N(M214)&lt;&gt;0,W214=0),"Tax ignored (tax tracking off, or not allowed for this type)",IF(V214=K214&amp;"","Same account on both sides",IF(AND(ISNUMBER(StartDate),C214&lt;StartDate),"Date is before the accounting start date",IF(AND(D214&lt;&gt;"Adjustment",IFERROR(INDEX(coa_Pay,MATCH(K214&amp;"",coa_Name,0)),"")&lt;&gt;"Yes"),"Paid From / Deposited To is not a payment account","")))))))))))</f>
        <v/>
      </c>
      <c r="Z214" s="67">
        <f>IF(AND(T214=0,X214=""),1,0)</f>
        <v/>
      </c>
      <c r="AA214" s="68">
        <f>IF(Z214=1,IF(U214="In",L214,L214-W214),0)</f>
        <v/>
      </c>
      <c r="AB214" s="68">
        <f>IF(Z214=1,IF(U214="In",L214-W214,L214),0)</f>
        <v/>
      </c>
      <c r="AC214" s="68">
        <f>IF(AND(Z214=1,U214="Out"),W214,0)</f>
        <v/>
      </c>
      <c r="AD214" s="68">
        <f>IF(AND(Z214=1,U214="In"),W214,0)</f>
        <v/>
      </c>
    </row>
    <row r="215">
      <c r="B215" s="62" t="inlineStr">
        <is>
          <t>TX-0209</t>
        </is>
      </c>
      <c r="C215" s="63" t="n">
        <v>46188</v>
      </c>
      <c r="D215" s="62" t="inlineStr">
        <is>
          <t>Money Out</t>
        </is>
      </c>
      <c r="E215" s="62" t="inlineStr">
        <is>
          <t>Salaries &amp; Wages</t>
        </is>
      </c>
      <c r="F215" s="62" t="inlineStr">
        <is>
          <t>Cashier salary (1st-15th)</t>
        </is>
      </c>
      <c r="G215" s="62" t="n"/>
      <c r="H215" s="62" t="n"/>
      <c r="I215" s="62" t="inlineStr">
        <is>
          <t>Bank Transfer</t>
        </is>
      </c>
      <c r="J215" s="62" t="n"/>
      <c r="K215" s="62" t="inlineStr">
        <is>
          <t>Bank Account</t>
        </is>
      </c>
      <c r="L215" s="64" t="n">
        <v>9000</v>
      </c>
      <c r="M215" s="64" t="n"/>
      <c r="N215" s="62" t="n"/>
      <c r="O215" s="65">
        <f>IF(Z215=1,L215-W215,"")</f>
        <v/>
      </c>
      <c r="P215" s="66">
        <f>IF(V215="","",IFERROR(INDEX(coa_Type,MATCH(V215,coa_Name,0)),""))</f>
        <v/>
      </c>
      <c r="Q215" s="66">
        <f>IF(Z215=1,IF(U215="In",K215&amp;"",V215),"")</f>
        <v/>
      </c>
      <c r="R215" s="66">
        <f>IF(Z215=1,IF(U215="In",V215,K215&amp;""),"")</f>
        <v/>
      </c>
      <c r="S215" s="66">
        <f>IF(X215&lt;&gt;"","⛔ "&amp;X215&amp;" — not posted",IF(Y215&lt;&gt;"","⚠ "&amp;Y215,IF(Z215=1,"✓ OK","")))</f>
        <v/>
      </c>
      <c r="T215" s="67">
        <f>IF(AND(C215="",D215="",E215="",L215="",K215=""),1,0)</f>
        <v/>
      </c>
      <c r="U215" s="67">
        <f>IFERROR(INDEX(tt_Dir,MATCH(D215,tt_Type,0)),"")</f>
        <v/>
      </c>
      <c r="V215" s="67">
        <f>IF(D215="","",IFERROR(IF(INDEX(tt_Other,MATCH(D215,tt_Type,0))="",E215&amp;"",INDEX(tt_Other,MATCH(D215,tt_Type,0))),""))</f>
        <v/>
      </c>
      <c r="W215" s="68">
        <f>IF(OR(TaxOn&lt;&gt;"Yes",NOT(ISNUMBER(M215))),0,IF(IFERROR(INDEX(tt_Tax,MATCH(D215,tt_Type,0)),"No")="Yes",M215,0))</f>
        <v/>
      </c>
      <c r="X215" s="67">
        <f>IF(T215=1,"",IF(C215="","Missing transaction date",IF(NOT(ISNUMBER(C215)),"Invalid date",IF(OR(C215&lt;DATE(2000,1,1),C215&gt;DATE(2099,12,31)),"Invalid date",IF(D215="","Select a type",IF(U215="","Unknown type: "&amp;D215,IF(V215="","Select an account (Category)",IF(ISNA(MATCH(V215,coa_Name,0)),"Unknown account: "&amp;V215,IF(K215="","Select Paid From / Deposited To",IF(ISNA(MATCH(K215,coa_Name,0)),"Unknown account: "&amp;K215,IF(NOT(ISNUMBER(L215)),"Enter an amount",IF(L215=0,"Enter an amount",IF(ABS(W215)&gt;ABS(L215),"Tax is larger than the amount","")))))))))))))</f>
        <v/>
      </c>
      <c r="Y215" s="67">
        <f>IF(OR(T215=1,X215&lt;&gt;""),"",IF(AND(B215&lt;&gt;"",COUNTIF(tx_ID,B215)&gt;1),"Duplicate transaction ID",IF(AND(L215&lt;0,D215&lt;&gt;"Adjustment"),"Negative amount — check this entry",IF(AND(D215="Customer Payment",G215=""),"Add the customer",IF(AND(D215="Customer Payment",OR(J215="",COUNTIF(ar_No,J215&amp;"")=0)),"Invoice # in Reference not found on AR sheet",IF(AND(D215="Bill Payment",H215=""),"Add the vendor",IF(AND(D215="Bill Payment",OR(J215="",COUNTIFS(ap_No,J215&amp;"",ap_Party,H215&amp;"")=0)),"Bill # + vendor not found on AP sheet",IF(AND(ISNUMBER(M215),N(M215)&lt;&gt;0,W215=0),"Tax ignored (tax tracking off, or not allowed for this type)",IF(V215=K215&amp;"","Same account on both sides",IF(AND(ISNUMBER(StartDate),C215&lt;StartDate),"Date is before the accounting start date",IF(AND(D215&lt;&gt;"Adjustment",IFERROR(INDEX(coa_Pay,MATCH(K215&amp;"",coa_Name,0)),"")&lt;&gt;"Yes"),"Paid From / Deposited To is not a payment account","")))))))))))</f>
        <v/>
      </c>
      <c r="Z215" s="67">
        <f>IF(AND(T215=0,X215=""),1,0)</f>
        <v/>
      </c>
      <c r="AA215" s="68">
        <f>IF(Z215=1,IF(U215="In",L215,L215-W215),0)</f>
        <v/>
      </c>
      <c r="AB215" s="68">
        <f>IF(Z215=1,IF(U215="In",L215-W215,L215),0)</f>
        <v/>
      </c>
      <c r="AC215" s="68">
        <f>IF(AND(Z215=1,U215="Out"),W215,0)</f>
        <v/>
      </c>
      <c r="AD215" s="68">
        <f>IF(AND(Z215=1,U215="In"),W215,0)</f>
        <v/>
      </c>
    </row>
    <row r="216">
      <c r="B216" s="62" t="inlineStr">
        <is>
          <t>TX-0210</t>
        </is>
      </c>
      <c r="C216" s="63" t="n">
        <v>46191</v>
      </c>
      <c r="D216" s="62" t="inlineStr">
        <is>
          <t>Money In</t>
        </is>
      </c>
      <c r="E216" s="62" t="inlineStr">
        <is>
          <t>Product Sales</t>
        </is>
      </c>
      <c r="F216" s="62" t="inlineStr">
        <is>
          <t>Counter sales week 3</t>
        </is>
      </c>
      <c r="G216" s="62" t="n"/>
      <c r="H216" s="62" t="n"/>
      <c r="I216" s="62" t="inlineStr">
        <is>
          <t>Cash</t>
        </is>
      </c>
      <c r="J216" s="62" t="n"/>
      <c r="K216" s="62" t="inlineStr">
        <is>
          <t>Cash on Hand</t>
        </is>
      </c>
      <c r="L216" s="64" t="n">
        <v>58377.89</v>
      </c>
      <c r="M216" s="64" t="n">
        <v>6254.77</v>
      </c>
      <c r="N216" s="62" t="n"/>
      <c r="O216" s="65">
        <f>IF(Z216=1,L216-W216,"")</f>
        <v/>
      </c>
      <c r="P216" s="66">
        <f>IF(V216="","",IFERROR(INDEX(coa_Type,MATCH(V216,coa_Name,0)),""))</f>
        <v/>
      </c>
      <c r="Q216" s="66">
        <f>IF(Z216=1,IF(U216="In",K216&amp;"",V216),"")</f>
        <v/>
      </c>
      <c r="R216" s="66">
        <f>IF(Z216=1,IF(U216="In",V216,K216&amp;""),"")</f>
        <v/>
      </c>
      <c r="S216" s="66">
        <f>IF(X216&lt;&gt;"","⛔ "&amp;X216&amp;" — not posted",IF(Y216&lt;&gt;"","⚠ "&amp;Y216,IF(Z216=1,"✓ OK","")))</f>
        <v/>
      </c>
      <c r="T216" s="67">
        <f>IF(AND(C216="",D216="",E216="",L216="",K216=""),1,0)</f>
        <v/>
      </c>
      <c r="U216" s="67">
        <f>IFERROR(INDEX(tt_Dir,MATCH(D216,tt_Type,0)),"")</f>
        <v/>
      </c>
      <c r="V216" s="67">
        <f>IF(D216="","",IFERROR(IF(INDEX(tt_Other,MATCH(D216,tt_Type,0))="",E216&amp;"",INDEX(tt_Other,MATCH(D216,tt_Type,0))),""))</f>
        <v/>
      </c>
      <c r="W216" s="68">
        <f>IF(OR(TaxOn&lt;&gt;"Yes",NOT(ISNUMBER(M216))),0,IF(IFERROR(INDEX(tt_Tax,MATCH(D216,tt_Type,0)),"No")="Yes",M216,0))</f>
        <v/>
      </c>
      <c r="X216" s="67">
        <f>IF(T216=1,"",IF(C216="","Missing transaction date",IF(NOT(ISNUMBER(C216)),"Invalid date",IF(OR(C216&lt;DATE(2000,1,1),C216&gt;DATE(2099,12,31)),"Invalid date",IF(D216="","Select a type",IF(U216="","Unknown type: "&amp;D216,IF(V216="","Select an account (Category)",IF(ISNA(MATCH(V216,coa_Name,0)),"Unknown account: "&amp;V216,IF(K216="","Select Paid From / Deposited To",IF(ISNA(MATCH(K216,coa_Name,0)),"Unknown account: "&amp;K216,IF(NOT(ISNUMBER(L216)),"Enter an amount",IF(L216=0,"Enter an amount",IF(ABS(W216)&gt;ABS(L216),"Tax is larger than the amount","")))))))))))))</f>
        <v/>
      </c>
      <c r="Y216" s="67">
        <f>IF(OR(T216=1,X216&lt;&gt;""),"",IF(AND(B216&lt;&gt;"",COUNTIF(tx_ID,B216)&gt;1),"Duplicate transaction ID",IF(AND(L216&lt;0,D216&lt;&gt;"Adjustment"),"Negative amount — check this entry",IF(AND(D216="Customer Payment",G216=""),"Add the customer",IF(AND(D216="Customer Payment",OR(J216="",COUNTIF(ar_No,J216&amp;"")=0)),"Invoice # in Reference not found on AR sheet",IF(AND(D216="Bill Payment",H216=""),"Add the vendor",IF(AND(D216="Bill Payment",OR(J216="",COUNTIFS(ap_No,J216&amp;"",ap_Party,H216&amp;"")=0)),"Bill # + vendor not found on AP sheet",IF(AND(ISNUMBER(M216),N(M216)&lt;&gt;0,W216=0),"Tax ignored (tax tracking off, or not allowed for this type)",IF(V216=K216&amp;"","Same account on both sides",IF(AND(ISNUMBER(StartDate),C216&lt;StartDate),"Date is before the accounting start date",IF(AND(D216&lt;&gt;"Adjustment",IFERROR(INDEX(coa_Pay,MATCH(K216&amp;"",coa_Name,0)),"")&lt;&gt;"Yes"),"Paid From / Deposited To is not a payment account","")))))))))))</f>
        <v/>
      </c>
      <c r="Z216" s="67">
        <f>IF(AND(T216=0,X216=""),1,0)</f>
        <v/>
      </c>
      <c r="AA216" s="68">
        <f>IF(Z216=1,IF(U216="In",L216,L216-W216),0)</f>
        <v/>
      </c>
      <c r="AB216" s="68">
        <f>IF(Z216=1,IF(U216="In",L216-W216,L216),0)</f>
        <v/>
      </c>
      <c r="AC216" s="68">
        <f>IF(AND(Z216=1,U216="Out"),W216,0)</f>
        <v/>
      </c>
      <c r="AD216" s="68">
        <f>IF(AND(Z216=1,U216="In"),W216,0)</f>
        <v/>
      </c>
    </row>
    <row r="217">
      <c r="B217" s="62" t="inlineStr">
        <is>
          <t>TX-0211</t>
        </is>
      </c>
      <c r="C217" s="63" t="n">
        <v>46191</v>
      </c>
      <c r="D217" s="62" t="inlineStr">
        <is>
          <t>Money Out</t>
        </is>
      </c>
      <c r="E217" s="62" t="inlineStr">
        <is>
          <t>Refunds &amp; Discounts</t>
        </is>
      </c>
      <c r="F217" s="62" t="inlineStr">
        <is>
          <t>Refund — damaged cake order</t>
        </is>
      </c>
      <c r="G217" s="62" t="n"/>
      <c r="H217" s="62" t="n"/>
      <c r="I217" s="62" t="inlineStr">
        <is>
          <t>Cash</t>
        </is>
      </c>
      <c r="J217" s="62" t="n"/>
      <c r="K217" s="62" t="inlineStr">
        <is>
          <t>Cash on Hand</t>
        </is>
      </c>
      <c r="L217" s="64" t="n">
        <v>1680</v>
      </c>
      <c r="M217" s="64" t="n">
        <v>180</v>
      </c>
      <c r="N217" s="62" t="n"/>
      <c r="O217" s="65">
        <f>IF(Z217=1,L217-W217,"")</f>
        <v/>
      </c>
      <c r="P217" s="66">
        <f>IF(V217="","",IFERROR(INDEX(coa_Type,MATCH(V217,coa_Name,0)),""))</f>
        <v/>
      </c>
      <c r="Q217" s="66">
        <f>IF(Z217=1,IF(U217="In",K217&amp;"",V217),"")</f>
        <v/>
      </c>
      <c r="R217" s="66">
        <f>IF(Z217=1,IF(U217="In",V217,K217&amp;""),"")</f>
        <v/>
      </c>
      <c r="S217" s="66">
        <f>IF(X217&lt;&gt;"","⛔ "&amp;X217&amp;" — not posted",IF(Y217&lt;&gt;"","⚠ "&amp;Y217,IF(Z217=1,"✓ OK","")))</f>
        <v/>
      </c>
      <c r="T217" s="67">
        <f>IF(AND(C217="",D217="",E217="",L217="",K217=""),1,0)</f>
        <v/>
      </c>
      <c r="U217" s="67">
        <f>IFERROR(INDEX(tt_Dir,MATCH(D217,tt_Type,0)),"")</f>
        <v/>
      </c>
      <c r="V217" s="67">
        <f>IF(D217="","",IFERROR(IF(INDEX(tt_Other,MATCH(D217,tt_Type,0))="",E217&amp;"",INDEX(tt_Other,MATCH(D217,tt_Type,0))),""))</f>
        <v/>
      </c>
      <c r="W217" s="68">
        <f>IF(OR(TaxOn&lt;&gt;"Yes",NOT(ISNUMBER(M217))),0,IF(IFERROR(INDEX(tt_Tax,MATCH(D217,tt_Type,0)),"No")="Yes",M217,0))</f>
        <v/>
      </c>
      <c r="X217" s="67">
        <f>IF(T217=1,"",IF(C217="","Missing transaction date",IF(NOT(ISNUMBER(C217)),"Invalid date",IF(OR(C217&lt;DATE(2000,1,1),C217&gt;DATE(2099,12,31)),"Invalid date",IF(D217="","Select a type",IF(U217="","Unknown type: "&amp;D217,IF(V217="","Select an account (Category)",IF(ISNA(MATCH(V217,coa_Name,0)),"Unknown account: "&amp;V217,IF(K217="","Select Paid From / Deposited To",IF(ISNA(MATCH(K217,coa_Name,0)),"Unknown account: "&amp;K217,IF(NOT(ISNUMBER(L217)),"Enter an amount",IF(L217=0,"Enter an amount",IF(ABS(W217)&gt;ABS(L217),"Tax is larger than the amount","")))))))))))))</f>
        <v/>
      </c>
      <c r="Y217" s="67">
        <f>IF(OR(T217=1,X217&lt;&gt;""),"",IF(AND(B217&lt;&gt;"",COUNTIF(tx_ID,B217)&gt;1),"Duplicate transaction ID",IF(AND(L217&lt;0,D217&lt;&gt;"Adjustment"),"Negative amount — check this entry",IF(AND(D217="Customer Payment",G217=""),"Add the customer",IF(AND(D217="Customer Payment",OR(J217="",COUNTIF(ar_No,J217&amp;"")=0)),"Invoice # in Reference not found on AR sheet",IF(AND(D217="Bill Payment",H217=""),"Add the vendor",IF(AND(D217="Bill Payment",OR(J217="",COUNTIFS(ap_No,J217&amp;"",ap_Party,H217&amp;"")=0)),"Bill # + vendor not found on AP sheet",IF(AND(ISNUMBER(M217),N(M217)&lt;&gt;0,W217=0),"Tax ignored (tax tracking off, or not allowed for this type)",IF(V217=K217&amp;"","Same account on both sides",IF(AND(ISNUMBER(StartDate),C217&lt;StartDate),"Date is before the accounting start date",IF(AND(D217&lt;&gt;"Adjustment",IFERROR(INDEX(coa_Pay,MATCH(K217&amp;"",coa_Name,0)),"")&lt;&gt;"Yes"),"Paid From / Deposited To is not a payment account","")))))))))))</f>
        <v/>
      </c>
      <c r="Z217" s="67">
        <f>IF(AND(T217=0,X217=""),1,0)</f>
        <v/>
      </c>
      <c r="AA217" s="68">
        <f>IF(Z217=1,IF(U217="In",L217,L217-W217),0)</f>
        <v/>
      </c>
      <c r="AB217" s="68">
        <f>IF(Z217=1,IF(U217="In",L217-W217,L217),0)</f>
        <v/>
      </c>
      <c r="AC217" s="68">
        <f>IF(AND(Z217=1,U217="Out"),W217,0)</f>
        <v/>
      </c>
      <c r="AD217" s="68">
        <f>IF(AND(Z217=1,U217="In"),W217,0)</f>
        <v/>
      </c>
    </row>
    <row r="218">
      <c r="B218" s="62" t="inlineStr">
        <is>
          <t>TX-0212</t>
        </is>
      </c>
      <c r="C218" s="63" t="n">
        <v>46192</v>
      </c>
      <c r="D218" s="62" t="inlineStr">
        <is>
          <t>Money In</t>
        </is>
      </c>
      <c r="E218" s="62" t="inlineStr">
        <is>
          <t>Product Sales</t>
        </is>
      </c>
      <c r="F218" s="62" t="inlineStr">
        <is>
          <t>GCash / online orders week 3</t>
        </is>
      </c>
      <c r="G218" s="62" t="n"/>
      <c r="H218" s="62" t="n"/>
      <c r="I218" s="62" t="inlineStr">
        <is>
          <t>E-Wallet</t>
        </is>
      </c>
      <c r="J218" s="62" t="n"/>
      <c r="K218" s="62" t="inlineStr">
        <is>
          <t>E-Wallet / Online Payments</t>
        </is>
      </c>
      <c r="L218" s="64" t="n">
        <v>14242.61</v>
      </c>
      <c r="M218" s="64" t="n">
        <v>1525.99</v>
      </c>
      <c r="N218" s="62" t="n"/>
      <c r="O218" s="65">
        <f>IF(Z218=1,L218-W218,"")</f>
        <v/>
      </c>
      <c r="P218" s="66">
        <f>IF(V218="","",IFERROR(INDEX(coa_Type,MATCH(V218,coa_Name,0)),""))</f>
        <v/>
      </c>
      <c r="Q218" s="66">
        <f>IF(Z218=1,IF(U218="In",K218&amp;"",V218),"")</f>
        <v/>
      </c>
      <c r="R218" s="66">
        <f>IF(Z218=1,IF(U218="In",V218,K218&amp;""),"")</f>
        <v/>
      </c>
      <c r="S218" s="66">
        <f>IF(X218&lt;&gt;"","⛔ "&amp;X218&amp;" — not posted",IF(Y218&lt;&gt;"","⚠ "&amp;Y218,IF(Z218=1,"✓ OK","")))</f>
        <v/>
      </c>
      <c r="T218" s="67">
        <f>IF(AND(C218="",D218="",E218="",L218="",K218=""),1,0)</f>
        <v/>
      </c>
      <c r="U218" s="67">
        <f>IFERROR(INDEX(tt_Dir,MATCH(D218,tt_Type,0)),"")</f>
        <v/>
      </c>
      <c r="V218" s="67">
        <f>IF(D218="","",IFERROR(IF(INDEX(tt_Other,MATCH(D218,tt_Type,0))="",E218&amp;"",INDEX(tt_Other,MATCH(D218,tt_Type,0))),""))</f>
        <v/>
      </c>
      <c r="W218" s="68">
        <f>IF(OR(TaxOn&lt;&gt;"Yes",NOT(ISNUMBER(M218))),0,IF(IFERROR(INDEX(tt_Tax,MATCH(D218,tt_Type,0)),"No")="Yes",M218,0))</f>
        <v/>
      </c>
      <c r="X218" s="67">
        <f>IF(T218=1,"",IF(C218="","Missing transaction date",IF(NOT(ISNUMBER(C218)),"Invalid date",IF(OR(C218&lt;DATE(2000,1,1),C218&gt;DATE(2099,12,31)),"Invalid date",IF(D218="","Select a type",IF(U218="","Unknown type: "&amp;D218,IF(V218="","Select an account (Category)",IF(ISNA(MATCH(V218,coa_Name,0)),"Unknown account: "&amp;V218,IF(K218="","Select Paid From / Deposited To",IF(ISNA(MATCH(K218,coa_Name,0)),"Unknown account: "&amp;K218,IF(NOT(ISNUMBER(L218)),"Enter an amount",IF(L218=0,"Enter an amount",IF(ABS(W218)&gt;ABS(L218),"Tax is larger than the amount","")))))))))))))</f>
        <v/>
      </c>
      <c r="Y218" s="67">
        <f>IF(OR(T218=1,X218&lt;&gt;""),"",IF(AND(B218&lt;&gt;"",COUNTIF(tx_ID,B218)&gt;1),"Duplicate transaction ID",IF(AND(L218&lt;0,D218&lt;&gt;"Adjustment"),"Negative amount — check this entry",IF(AND(D218="Customer Payment",G218=""),"Add the customer",IF(AND(D218="Customer Payment",OR(J218="",COUNTIF(ar_No,J218&amp;"")=0)),"Invoice # in Reference not found on AR sheet",IF(AND(D218="Bill Payment",H218=""),"Add the vendor",IF(AND(D218="Bill Payment",OR(J218="",COUNTIFS(ap_No,J218&amp;"",ap_Party,H218&amp;"")=0)),"Bill # + vendor not found on AP sheet",IF(AND(ISNUMBER(M218),N(M218)&lt;&gt;0,W218=0),"Tax ignored (tax tracking off, or not allowed for this type)",IF(V218=K218&amp;"","Same account on both sides",IF(AND(ISNUMBER(StartDate),C218&lt;StartDate),"Date is before the accounting start date",IF(AND(D218&lt;&gt;"Adjustment",IFERROR(INDEX(coa_Pay,MATCH(K218&amp;"",coa_Name,0)),"")&lt;&gt;"Yes"),"Paid From / Deposited To is not a payment account","")))))))))))</f>
        <v/>
      </c>
      <c r="Z218" s="67">
        <f>IF(AND(T218=0,X218=""),1,0)</f>
        <v/>
      </c>
      <c r="AA218" s="68">
        <f>IF(Z218=1,IF(U218="In",L218,L218-W218),0)</f>
        <v/>
      </c>
      <c r="AB218" s="68">
        <f>IF(Z218=1,IF(U218="In",L218-W218,L218),0)</f>
        <v/>
      </c>
      <c r="AC218" s="68">
        <f>IF(AND(Z218=1,U218="Out"),W218,0)</f>
        <v/>
      </c>
      <c r="AD218" s="68">
        <f>IF(AND(Z218=1,U218="In"),W218,0)</f>
        <v/>
      </c>
    </row>
    <row r="219">
      <c r="B219" s="62" t="inlineStr">
        <is>
          <t>TX-0213</t>
        </is>
      </c>
      <c r="C219" s="63" t="n">
        <v>46192</v>
      </c>
      <c r="D219" s="62" t="inlineStr">
        <is>
          <t>Bill Payment</t>
        </is>
      </c>
      <c r="E219" s="62" t="n"/>
      <c r="F219" s="62" t="inlineStr">
        <is>
          <t>Supplier payment</t>
        </is>
      </c>
      <c r="G219" s="62" t="n"/>
      <c r="H219" s="62" t="inlineStr">
        <is>
          <t>Fresh Dairy Co.</t>
        </is>
      </c>
      <c r="I219" s="62" t="inlineStr">
        <is>
          <t>Bank Transfer</t>
        </is>
      </c>
      <c r="J219" s="62" t="inlineStr">
        <is>
          <t>FR-061</t>
        </is>
      </c>
      <c r="K219" s="62" t="inlineStr">
        <is>
          <t>Bank Account</t>
        </is>
      </c>
      <c r="L219" s="64" t="n">
        <v>12913.67</v>
      </c>
      <c r="M219" s="64" t="n"/>
      <c r="N219" s="62" t="n"/>
      <c r="O219" s="65">
        <f>IF(Z219=1,L219-W219,"")</f>
        <v/>
      </c>
      <c r="P219" s="66">
        <f>IF(V219="","",IFERROR(INDEX(coa_Type,MATCH(V219,coa_Name,0)),""))</f>
        <v/>
      </c>
      <c r="Q219" s="66">
        <f>IF(Z219=1,IF(U219="In",K219&amp;"",V219),"")</f>
        <v/>
      </c>
      <c r="R219" s="66">
        <f>IF(Z219=1,IF(U219="In",V219,K219&amp;""),"")</f>
        <v/>
      </c>
      <c r="S219" s="66">
        <f>IF(X219&lt;&gt;"","⛔ "&amp;X219&amp;" — not posted",IF(Y219&lt;&gt;"","⚠ "&amp;Y219,IF(Z219=1,"✓ OK","")))</f>
        <v/>
      </c>
      <c r="T219" s="67">
        <f>IF(AND(C219="",D219="",E219="",L219="",K219=""),1,0)</f>
        <v/>
      </c>
      <c r="U219" s="67">
        <f>IFERROR(INDEX(tt_Dir,MATCH(D219,tt_Type,0)),"")</f>
        <v/>
      </c>
      <c r="V219" s="67">
        <f>IF(D219="","",IFERROR(IF(INDEX(tt_Other,MATCH(D219,tt_Type,0))="",E219&amp;"",INDEX(tt_Other,MATCH(D219,tt_Type,0))),""))</f>
        <v/>
      </c>
      <c r="W219" s="68">
        <f>IF(OR(TaxOn&lt;&gt;"Yes",NOT(ISNUMBER(M219))),0,IF(IFERROR(INDEX(tt_Tax,MATCH(D219,tt_Type,0)),"No")="Yes",M219,0))</f>
        <v/>
      </c>
      <c r="X219" s="67">
        <f>IF(T219=1,"",IF(C219="","Missing transaction date",IF(NOT(ISNUMBER(C219)),"Invalid date",IF(OR(C219&lt;DATE(2000,1,1),C219&gt;DATE(2099,12,31)),"Invalid date",IF(D219="","Select a type",IF(U219="","Unknown type: "&amp;D219,IF(V219="","Select an account (Category)",IF(ISNA(MATCH(V219,coa_Name,0)),"Unknown account: "&amp;V219,IF(K219="","Select Paid From / Deposited To",IF(ISNA(MATCH(K219,coa_Name,0)),"Unknown account: "&amp;K219,IF(NOT(ISNUMBER(L219)),"Enter an amount",IF(L219=0,"Enter an amount",IF(ABS(W219)&gt;ABS(L219),"Tax is larger than the amount","")))))))))))))</f>
        <v/>
      </c>
      <c r="Y219" s="67">
        <f>IF(OR(T219=1,X219&lt;&gt;""),"",IF(AND(B219&lt;&gt;"",COUNTIF(tx_ID,B219)&gt;1),"Duplicate transaction ID",IF(AND(L219&lt;0,D219&lt;&gt;"Adjustment"),"Negative amount — check this entry",IF(AND(D219="Customer Payment",G219=""),"Add the customer",IF(AND(D219="Customer Payment",OR(J219="",COUNTIF(ar_No,J219&amp;"")=0)),"Invoice # in Reference not found on AR sheet",IF(AND(D219="Bill Payment",H219=""),"Add the vendor",IF(AND(D219="Bill Payment",OR(J219="",COUNTIFS(ap_No,J219&amp;"",ap_Party,H219&amp;"")=0)),"Bill # + vendor not found on AP sheet",IF(AND(ISNUMBER(M219),N(M219)&lt;&gt;0,W219=0),"Tax ignored (tax tracking off, or not allowed for this type)",IF(V219=K219&amp;"","Same account on both sides",IF(AND(ISNUMBER(StartDate),C219&lt;StartDate),"Date is before the accounting start date",IF(AND(D219&lt;&gt;"Adjustment",IFERROR(INDEX(coa_Pay,MATCH(K219&amp;"",coa_Name,0)),"")&lt;&gt;"Yes"),"Paid From / Deposited To is not a payment account","")))))))))))</f>
        <v/>
      </c>
      <c r="Z219" s="67">
        <f>IF(AND(T219=0,X219=""),1,0)</f>
        <v/>
      </c>
      <c r="AA219" s="68">
        <f>IF(Z219=1,IF(U219="In",L219,L219-W219),0)</f>
        <v/>
      </c>
      <c r="AB219" s="68">
        <f>IF(Z219=1,IF(U219="In",L219-W219,L219),0)</f>
        <v/>
      </c>
      <c r="AC219" s="68">
        <f>IF(AND(Z219=1,U219="Out"),W219,0)</f>
        <v/>
      </c>
      <c r="AD219" s="68">
        <f>IF(AND(Z219=1,U219="In"),W219,0)</f>
        <v/>
      </c>
    </row>
    <row r="220">
      <c r="B220" s="62" t="inlineStr">
        <is>
          <t>TX-0214</t>
        </is>
      </c>
      <c r="C220" s="63" t="n">
        <v>46193</v>
      </c>
      <c r="D220" s="62" t="inlineStr">
        <is>
          <t>Transfer</t>
        </is>
      </c>
      <c r="E220" s="62" t="inlineStr">
        <is>
          <t>Bank Account</t>
        </is>
      </c>
      <c r="F220" s="62" t="inlineStr">
        <is>
          <t>Cash deposit to bank</t>
        </is>
      </c>
      <c r="G220" s="62" t="n"/>
      <c r="H220" s="62" t="n"/>
      <c r="I220" s="62" t="inlineStr">
        <is>
          <t>Cash</t>
        </is>
      </c>
      <c r="J220" s="62" t="n"/>
      <c r="K220" s="62" t="inlineStr">
        <is>
          <t>Cash on Hand</t>
        </is>
      </c>
      <c r="L220" s="64" t="n">
        <v>49600</v>
      </c>
      <c r="M220" s="64" t="n"/>
      <c r="N220" s="62" t="n"/>
      <c r="O220" s="65">
        <f>IF(Z220=1,L220-W220,"")</f>
        <v/>
      </c>
      <c r="P220" s="66">
        <f>IF(V220="","",IFERROR(INDEX(coa_Type,MATCH(V220,coa_Name,0)),""))</f>
        <v/>
      </c>
      <c r="Q220" s="66">
        <f>IF(Z220=1,IF(U220="In",K220&amp;"",V220),"")</f>
        <v/>
      </c>
      <c r="R220" s="66">
        <f>IF(Z220=1,IF(U220="In",V220,K220&amp;""),"")</f>
        <v/>
      </c>
      <c r="S220" s="66">
        <f>IF(X220&lt;&gt;"","⛔ "&amp;X220&amp;" — not posted",IF(Y220&lt;&gt;"","⚠ "&amp;Y220,IF(Z220=1,"✓ OK","")))</f>
        <v/>
      </c>
      <c r="T220" s="67">
        <f>IF(AND(C220="",D220="",E220="",L220="",K220=""),1,0)</f>
        <v/>
      </c>
      <c r="U220" s="67">
        <f>IFERROR(INDEX(tt_Dir,MATCH(D220,tt_Type,0)),"")</f>
        <v/>
      </c>
      <c r="V220" s="67">
        <f>IF(D220="","",IFERROR(IF(INDEX(tt_Other,MATCH(D220,tt_Type,0))="",E220&amp;"",INDEX(tt_Other,MATCH(D220,tt_Type,0))),""))</f>
        <v/>
      </c>
      <c r="W220" s="68">
        <f>IF(OR(TaxOn&lt;&gt;"Yes",NOT(ISNUMBER(M220))),0,IF(IFERROR(INDEX(tt_Tax,MATCH(D220,tt_Type,0)),"No")="Yes",M220,0))</f>
        <v/>
      </c>
      <c r="X220" s="67">
        <f>IF(T220=1,"",IF(C220="","Missing transaction date",IF(NOT(ISNUMBER(C220)),"Invalid date",IF(OR(C220&lt;DATE(2000,1,1),C220&gt;DATE(2099,12,31)),"Invalid date",IF(D220="","Select a type",IF(U220="","Unknown type: "&amp;D220,IF(V220="","Select an account (Category)",IF(ISNA(MATCH(V220,coa_Name,0)),"Unknown account: "&amp;V220,IF(K220="","Select Paid From / Deposited To",IF(ISNA(MATCH(K220,coa_Name,0)),"Unknown account: "&amp;K220,IF(NOT(ISNUMBER(L220)),"Enter an amount",IF(L220=0,"Enter an amount",IF(ABS(W220)&gt;ABS(L220),"Tax is larger than the amount","")))))))))))))</f>
        <v/>
      </c>
      <c r="Y220" s="67">
        <f>IF(OR(T220=1,X220&lt;&gt;""),"",IF(AND(B220&lt;&gt;"",COUNTIF(tx_ID,B220)&gt;1),"Duplicate transaction ID",IF(AND(L220&lt;0,D220&lt;&gt;"Adjustment"),"Negative amount — check this entry",IF(AND(D220="Customer Payment",G220=""),"Add the customer",IF(AND(D220="Customer Payment",OR(J220="",COUNTIF(ar_No,J220&amp;"")=0)),"Invoice # in Reference not found on AR sheet",IF(AND(D220="Bill Payment",H220=""),"Add the vendor",IF(AND(D220="Bill Payment",OR(J220="",COUNTIFS(ap_No,J220&amp;"",ap_Party,H220&amp;"")=0)),"Bill # + vendor not found on AP sheet",IF(AND(ISNUMBER(M220),N(M220)&lt;&gt;0,W220=0),"Tax ignored (tax tracking off, or not allowed for this type)",IF(V220=K220&amp;"","Same account on both sides",IF(AND(ISNUMBER(StartDate),C220&lt;StartDate),"Date is before the accounting start date",IF(AND(D220&lt;&gt;"Adjustment",IFERROR(INDEX(coa_Pay,MATCH(K220&amp;"",coa_Name,0)),"")&lt;&gt;"Yes"),"Paid From / Deposited To is not a payment account","")))))))))))</f>
        <v/>
      </c>
      <c r="Z220" s="67">
        <f>IF(AND(T220=0,X220=""),1,0)</f>
        <v/>
      </c>
      <c r="AA220" s="68">
        <f>IF(Z220=1,IF(U220="In",L220,L220-W220),0)</f>
        <v/>
      </c>
      <c r="AB220" s="68">
        <f>IF(Z220=1,IF(U220="In",L220-W220,L220),0)</f>
        <v/>
      </c>
      <c r="AC220" s="68">
        <f>IF(AND(Z220=1,U220="Out"),W220,0)</f>
        <v/>
      </c>
      <c r="AD220" s="68">
        <f>IF(AND(Z220=1,U220="In"),W220,0)</f>
        <v/>
      </c>
    </row>
    <row r="221">
      <c r="B221" s="62" t="inlineStr">
        <is>
          <t>TX-0215</t>
        </is>
      </c>
      <c r="C221" s="63" t="n">
        <v>46193</v>
      </c>
      <c r="D221" s="62" t="inlineStr">
        <is>
          <t>Money Out</t>
        </is>
      </c>
      <c r="E221" s="62" t="inlineStr">
        <is>
          <t>Transportation &amp; Delivery</t>
        </is>
      </c>
      <c r="F221" s="62" t="inlineStr">
        <is>
          <t>Delivery fuel</t>
        </is>
      </c>
      <c r="G221" s="62" t="n"/>
      <c r="H221" s="62" t="n"/>
      <c r="I221" s="62" t="inlineStr">
        <is>
          <t>Cash</t>
        </is>
      </c>
      <c r="J221" s="62" t="n"/>
      <c r="K221" s="62" t="inlineStr">
        <is>
          <t>Cash on Hand</t>
        </is>
      </c>
      <c r="L221" s="64" t="n">
        <v>4489.9</v>
      </c>
      <c r="M221" s="64" t="n">
        <v>481.06</v>
      </c>
      <c r="N221" s="62" t="n"/>
      <c r="O221" s="65">
        <f>IF(Z221=1,L221-W221,"")</f>
        <v/>
      </c>
      <c r="P221" s="66">
        <f>IF(V221="","",IFERROR(INDEX(coa_Type,MATCH(V221,coa_Name,0)),""))</f>
        <v/>
      </c>
      <c r="Q221" s="66">
        <f>IF(Z221=1,IF(U221="In",K221&amp;"",V221),"")</f>
        <v/>
      </c>
      <c r="R221" s="66">
        <f>IF(Z221=1,IF(U221="In",V221,K221&amp;""),"")</f>
        <v/>
      </c>
      <c r="S221" s="66">
        <f>IF(X221&lt;&gt;"","⛔ "&amp;X221&amp;" — not posted",IF(Y221&lt;&gt;"","⚠ "&amp;Y221,IF(Z221=1,"✓ OK","")))</f>
        <v/>
      </c>
      <c r="T221" s="67">
        <f>IF(AND(C221="",D221="",E221="",L221="",K221=""),1,0)</f>
        <v/>
      </c>
      <c r="U221" s="67">
        <f>IFERROR(INDEX(tt_Dir,MATCH(D221,tt_Type,0)),"")</f>
        <v/>
      </c>
      <c r="V221" s="67">
        <f>IF(D221="","",IFERROR(IF(INDEX(tt_Other,MATCH(D221,tt_Type,0))="",E221&amp;"",INDEX(tt_Other,MATCH(D221,tt_Type,0))),""))</f>
        <v/>
      </c>
      <c r="W221" s="68">
        <f>IF(OR(TaxOn&lt;&gt;"Yes",NOT(ISNUMBER(M221))),0,IF(IFERROR(INDEX(tt_Tax,MATCH(D221,tt_Type,0)),"No")="Yes",M221,0))</f>
        <v/>
      </c>
      <c r="X221" s="67">
        <f>IF(T221=1,"",IF(C221="","Missing transaction date",IF(NOT(ISNUMBER(C221)),"Invalid date",IF(OR(C221&lt;DATE(2000,1,1),C221&gt;DATE(2099,12,31)),"Invalid date",IF(D221="","Select a type",IF(U221="","Unknown type: "&amp;D221,IF(V221="","Select an account (Category)",IF(ISNA(MATCH(V221,coa_Name,0)),"Unknown account: "&amp;V221,IF(K221="","Select Paid From / Deposited To",IF(ISNA(MATCH(K221,coa_Name,0)),"Unknown account: "&amp;K221,IF(NOT(ISNUMBER(L221)),"Enter an amount",IF(L221=0,"Enter an amount",IF(ABS(W221)&gt;ABS(L221),"Tax is larger than the amount","")))))))))))))</f>
        <v/>
      </c>
      <c r="Y221" s="67">
        <f>IF(OR(T221=1,X221&lt;&gt;""),"",IF(AND(B221&lt;&gt;"",COUNTIF(tx_ID,B221)&gt;1),"Duplicate transaction ID",IF(AND(L221&lt;0,D221&lt;&gt;"Adjustment"),"Negative amount — check this entry",IF(AND(D221="Customer Payment",G221=""),"Add the customer",IF(AND(D221="Customer Payment",OR(J221="",COUNTIF(ar_No,J221&amp;"")=0)),"Invoice # in Reference not found on AR sheet",IF(AND(D221="Bill Payment",H221=""),"Add the vendor",IF(AND(D221="Bill Payment",OR(J221="",COUNTIFS(ap_No,J221&amp;"",ap_Party,H221&amp;"")=0)),"Bill # + vendor not found on AP sheet",IF(AND(ISNUMBER(M221),N(M221)&lt;&gt;0,W221=0),"Tax ignored (tax tracking off, or not allowed for this type)",IF(V221=K221&amp;"","Same account on both sides",IF(AND(ISNUMBER(StartDate),C221&lt;StartDate),"Date is before the accounting start date",IF(AND(D221&lt;&gt;"Adjustment",IFERROR(INDEX(coa_Pay,MATCH(K221&amp;"",coa_Name,0)),"")&lt;&gt;"Yes"),"Paid From / Deposited To is not a payment account","")))))))))))</f>
        <v/>
      </c>
      <c r="Z221" s="67">
        <f>IF(AND(T221=0,X221=""),1,0)</f>
        <v/>
      </c>
      <c r="AA221" s="68">
        <f>IF(Z221=1,IF(U221="In",L221,L221-W221),0)</f>
        <v/>
      </c>
      <c r="AB221" s="68">
        <f>IF(Z221=1,IF(U221="In",L221-W221,L221),0)</f>
        <v/>
      </c>
      <c r="AC221" s="68">
        <f>IF(AND(Z221=1,U221="Out"),W221,0)</f>
        <v/>
      </c>
      <c r="AD221" s="68">
        <f>IF(AND(Z221=1,U221="In"),W221,0)</f>
        <v/>
      </c>
    </row>
    <row r="222">
      <c r="B222" s="62" t="inlineStr">
        <is>
          <t>TX-0216</t>
        </is>
      </c>
      <c r="C222" s="63" t="n">
        <v>46194</v>
      </c>
      <c r="D222" s="62" t="inlineStr">
        <is>
          <t>Customer Payment</t>
        </is>
      </c>
      <c r="E222" s="62" t="n"/>
      <c r="F222" s="62" t="inlineStr">
        <is>
          <t>Invoice payment</t>
        </is>
      </c>
      <c r="G222" s="62" t="inlineStr">
        <is>
          <t>Casa Verde Events</t>
        </is>
      </c>
      <c r="H222" s="62" t="n"/>
      <c r="I222" s="62" t="inlineStr">
        <is>
          <t>Bank Transfer</t>
        </is>
      </c>
      <c r="J222" s="62" t="inlineStr">
        <is>
          <t>INV-1011</t>
        </is>
      </c>
      <c r="K222" s="62" t="inlineStr">
        <is>
          <t>Bank Account</t>
        </is>
      </c>
      <c r="L222" s="64" t="n">
        <v>28239.26</v>
      </c>
      <c r="M222" s="64" t="n"/>
      <c r="N222" s="62" t="n"/>
      <c r="O222" s="65">
        <f>IF(Z222=1,L222-W222,"")</f>
        <v/>
      </c>
      <c r="P222" s="66">
        <f>IF(V222="","",IFERROR(INDEX(coa_Type,MATCH(V222,coa_Name,0)),""))</f>
        <v/>
      </c>
      <c r="Q222" s="66">
        <f>IF(Z222=1,IF(U222="In",K222&amp;"",V222),"")</f>
        <v/>
      </c>
      <c r="R222" s="66">
        <f>IF(Z222=1,IF(U222="In",V222,K222&amp;""),"")</f>
        <v/>
      </c>
      <c r="S222" s="66">
        <f>IF(X222&lt;&gt;"","⛔ "&amp;X222&amp;" — not posted",IF(Y222&lt;&gt;"","⚠ "&amp;Y222,IF(Z222=1,"✓ OK","")))</f>
        <v/>
      </c>
      <c r="T222" s="67">
        <f>IF(AND(C222="",D222="",E222="",L222="",K222=""),1,0)</f>
        <v/>
      </c>
      <c r="U222" s="67">
        <f>IFERROR(INDEX(tt_Dir,MATCH(D222,tt_Type,0)),"")</f>
        <v/>
      </c>
      <c r="V222" s="67">
        <f>IF(D222="","",IFERROR(IF(INDEX(tt_Other,MATCH(D222,tt_Type,0))="",E222&amp;"",INDEX(tt_Other,MATCH(D222,tt_Type,0))),""))</f>
        <v/>
      </c>
      <c r="W222" s="68">
        <f>IF(OR(TaxOn&lt;&gt;"Yes",NOT(ISNUMBER(M222))),0,IF(IFERROR(INDEX(tt_Tax,MATCH(D222,tt_Type,0)),"No")="Yes",M222,0))</f>
        <v/>
      </c>
      <c r="X222" s="67">
        <f>IF(T222=1,"",IF(C222="","Missing transaction date",IF(NOT(ISNUMBER(C222)),"Invalid date",IF(OR(C222&lt;DATE(2000,1,1),C222&gt;DATE(2099,12,31)),"Invalid date",IF(D222="","Select a type",IF(U222="","Unknown type: "&amp;D222,IF(V222="","Select an account (Category)",IF(ISNA(MATCH(V222,coa_Name,0)),"Unknown account: "&amp;V222,IF(K222="","Select Paid From / Deposited To",IF(ISNA(MATCH(K222,coa_Name,0)),"Unknown account: "&amp;K222,IF(NOT(ISNUMBER(L222)),"Enter an amount",IF(L222=0,"Enter an amount",IF(ABS(W222)&gt;ABS(L222),"Tax is larger than the amount","")))))))))))))</f>
        <v/>
      </c>
      <c r="Y222" s="67">
        <f>IF(OR(T222=1,X222&lt;&gt;""),"",IF(AND(B222&lt;&gt;"",COUNTIF(tx_ID,B222)&gt;1),"Duplicate transaction ID",IF(AND(L222&lt;0,D222&lt;&gt;"Adjustment"),"Negative amount — check this entry",IF(AND(D222="Customer Payment",G222=""),"Add the customer",IF(AND(D222="Customer Payment",OR(J222="",COUNTIF(ar_No,J222&amp;"")=0)),"Invoice # in Reference not found on AR sheet",IF(AND(D222="Bill Payment",H222=""),"Add the vendor",IF(AND(D222="Bill Payment",OR(J222="",COUNTIFS(ap_No,J222&amp;"",ap_Party,H222&amp;"")=0)),"Bill # + vendor not found on AP sheet",IF(AND(ISNUMBER(M222),N(M222)&lt;&gt;0,W222=0),"Tax ignored (tax tracking off, or not allowed for this type)",IF(V222=K222&amp;"","Same account on both sides",IF(AND(ISNUMBER(StartDate),C222&lt;StartDate),"Date is before the accounting start date",IF(AND(D222&lt;&gt;"Adjustment",IFERROR(INDEX(coa_Pay,MATCH(K222&amp;"",coa_Name,0)),"")&lt;&gt;"Yes"),"Paid From / Deposited To is not a payment account","")))))))))))</f>
        <v/>
      </c>
      <c r="Z222" s="67">
        <f>IF(AND(T222=0,X222=""),1,0)</f>
        <v/>
      </c>
      <c r="AA222" s="68">
        <f>IF(Z222=1,IF(U222="In",L222,L222-W222),0)</f>
        <v/>
      </c>
      <c r="AB222" s="68">
        <f>IF(Z222=1,IF(U222="In",L222-W222,L222),0)</f>
        <v/>
      </c>
      <c r="AC222" s="68">
        <f>IF(AND(Z222=1,U222="Out"),W222,0)</f>
        <v/>
      </c>
      <c r="AD222" s="68">
        <f>IF(AND(Z222=1,U222="In"),W222,0)</f>
        <v/>
      </c>
    </row>
    <row r="223">
      <c r="B223" s="62" t="inlineStr">
        <is>
          <t>TX-0217</t>
        </is>
      </c>
      <c r="C223" s="63" t="n">
        <v>46195</v>
      </c>
      <c r="D223" s="62" t="inlineStr">
        <is>
          <t>Customer Payment</t>
        </is>
      </c>
      <c r="E223" s="62" t="n"/>
      <c r="F223" s="62" t="inlineStr">
        <is>
          <t>Partial payment</t>
        </is>
      </c>
      <c r="G223" s="62" t="inlineStr">
        <is>
          <t>Brightpath Academy</t>
        </is>
      </c>
      <c r="H223" s="62" t="n"/>
      <c r="I223" s="62" t="inlineStr">
        <is>
          <t>Bank Transfer</t>
        </is>
      </c>
      <c r="J223" s="62" t="inlineStr">
        <is>
          <t>INV-1014</t>
        </is>
      </c>
      <c r="K223" s="62" t="inlineStr">
        <is>
          <t>Bank Account</t>
        </is>
      </c>
      <c r="L223" s="64" t="n">
        <v>18290.96</v>
      </c>
      <c r="M223" s="64" t="n"/>
      <c r="N223" s="62" t="n"/>
      <c r="O223" s="65">
        <f>IF(Z223=1,L223-W223,"")</f>
        <v/>
      </c>
      <c r="P223" s="66">
        <f>IF(V223="","",IFERROR(INDEX(coa_Type,MATCH(V223,coa_Name,0)),""))</f>
        <v/>
      </c>
      <c r="Q223" s="66">
        <f>IF(Z223=1,IF(U223="In",K223&amp;"",V223),"")</f>
        <v/>
      </c>
      <c r="R223" s="66">
        <f>IF(Z223=1,IF(U223="In",V223,K223&amp;""),"")</f>
        <v/>
      </c>
      <c r="S223" s="66">
        <f>IF(X223&lt;&gt;"","⛔ "&amp;X223&amp;" — not posted",IF(Y223&lt;&gt;"","⚠ "&amp;Y223,IF(Z223=1,"✓ OK","")))</f>
        <v/>
      </c>
      <c r="T223" s="67">
        <f>IF(AND(C223="",D223="",E223="",L223="",K223=""),1,0)</f>
        <v/>
      </c>
      <c r="U223" s="67">
        <f>IFERROR(INDEX(tt_Dir,MATCH(D223,tt_Type,0)),"")</f>
        <v/>
      </c>
      <c r="V223" s="67">
        <f>IF(D223="","",IFERROR(IF(INDEX(tt_Other,MATCH(D223,tt_Type,0))="",E223&amp;"",INDEX(tt_Other,MATCH(D223,tt_Type,0))),""))</f>
        <v/>
      </c>
      <c r="W223" s="68">
        <f>IF(OR(TaxOn&lt;&gt;"Yes",NOT(ISNUMBER(M223))),0,IF(IFERROR(INDEX(tt_Tax,MATCH(D223,tt_Type,0)),"No")="Yes",M223,0))</f>
        <v/>
      </c>
      <c r="X223" s="67">
        <f>IF(T223=1,"",IF(C223="","Missing transaction date",IF(NOT(ISNUMBER(C223)),"Invalid date",IF(OR(C223&lt;DATE(2000,1,1),C223&gt;DATE(2099,12,31)),"Invalid date",IF(D223="","Select a type",IF(U223="","Unknown type: "&amp;D223,IF(V223="","Select an account (Category)",IF(ISNA(MATCH(V223,coa_Name,0)),"Unknown account: "&amp;V223,IF(K223="","Select Paid From / Deposited To",IF(ISNA(MATCH(K223,coa_Name,0)),"Unknown account: "&amp;K223,IF(NOT(ISNUMBER(L223)),"Enter an amount",IF(L223=0,"Enter an amount",IF(ABS(W223)&gt;ABS(L223),"Tax is larger than the amount","")))))))))))))</f>
        <v/>
      </c>
      <c r="Y223" s="67">
        <f>IF(OR(T223=1,X223&lt;&gt;""),"",IF(AND(B223&lt;&gt;"",COUNTIF(tx_ID,B223)&gt;1),"Duplicate transaction ID",IF(AND(L223&lt;0,D223&lt;&gt;"Adjustment"),"Negative amount — check this entry",IF(AND(D223="Customer Payment",G223=""),"Add the customer",IF(AND(D223="Customer Payment",OR(J223="",COUNTIF(ar_No,J223&amp;"")=0)),"Invoice # in Reference not found on AR sheet",IF(AND(D223="Bill Payment",H223=""),"Add the vendor",IF(AND(D223="Bill Payment",OR(J223="",COUNTIFS(ap_No,J223&amp;"",ap_Party,H223&amp;"")=0)),"Bill # + vendor not found on AP sheet",IF(AND(ISNUMBER(M223),N(M223)&lt;&gt;0,W223=0),"Tax ignored (tax tracking off, or not allowed for this type)",IF(V223=K223&amp;"","Same account on both sides",IF(AND(ISNUMBER(StartDate),C223&lt;StartDate),"Date is before the accounting start date",IF(AND(D223&lt;&gt;"Adjustment",IFERROR(INDEX(coa_Pay,MATCH(K223&amp;"",coa_Name,0)),"")&lt;&gt;"Yes"),"Paid From / Deposited To is not a payment account","")))))))))))</f>
        <v/>
      </c>
      <c r="Z223" s="67">
        <f>IF(AND(T223=0,X223=""),1,0)</f>
        <v/>
      </c>
      <c r="AA223" s="68">
        <f>IF(Z223=1,IF(U223="In",L223,L223-W223),0)</f>
        <v/>
      </c>
      <c r="AB223" s="68">
        <f>IF(Z223=1,IF(U223="In",L223-W223,L223),0)</f>
        <v/>
      </c>
      <c r="AC223" s="68">
        <f>IF(AND(Z223=1,U223="Out"),W223,0)</f>
        <v/>
      </c>
      <c r="AD223" s="68">
        <f>IF(AND(Z223=1,U223="In"),W223,0)</f>
        <v/>
      </c>
    </row>
    <row r="224">
      <c r="B224" s="62" t="inlineStr">
        <is>
          <t>TX-0218</t>
        </is>
      </c>
      <c r="C224" s="63" t="n">
        <v>46198</v>
      </c>
      <c r="D224" s="62" t="inlineStr">
        <is>
          <t>Money In</t>
        </is>
      </c>
      <c r="E224" s="62" t="inlineStr">
        <is>
          <t>Product Sales</t>
        </is>
      </c>
      <c r="F224" s="62" t="inlineStr">
        <is>
          <t>Counter sales week 4</t>
        </is>
      </c>
      <c r="G224" s="62" t="n"/>
      <c r="H224" s="62" t="n"/>
      <c r="I224" s="62" t="inlineStr">
        <is>
          <t>Cash</t>
        </is>
      </c>
      <c r="J224" s="62" t="n"/>
      <c r="K224" s="62" t="inlineStr">
        <is>
          <t>Cash on Hand</t>
        </is>
      </c>
      <c r="L224" s="64" t="n">
        <v>51137.16</v>
      </c>
      <c r="M224" s="64" t="n">
        <v>5478.98</v>
      </c>
      <c r="N224" s="62" t="n"/>
      <c r="O224" s="65">
        <f>IF(Z224=1,L224-W224,"")</f>
        <v/>
      </c>
      <c r="P224" s="66">
        <f>IF(V224="","",IFERROR(INDEX(coa_Type,MATCH(V224,coa_Name,0)),""))</f>
        <v/>
      </c>
      <c r="Q224" s="66">
        <f>IF(Z224=1,IF(U224="In",K224&amp;"",V224),"")</f>
        <v/>
      </c>
      <c r="R224" s="66">
        <f>IF(Z224=1,IF(U224="In",V224,K224&amp;""),"")</f>
        <v/>
      </c>
      <c r="S224" s="66">
        <f>IF(X224&lt;&gt;"","⛔ "&amp;X224&amp;" — not posted",IF(Y224&lt;&gt;"","⚠ "&amp;Y224,IF(Z224=1,"✓ OK","")))</f>
        <v/>
      </c>
      <c r="T224" s="67">
        <f>IF(AND(C224="",D224="",E224="",L224="",K224=""),1,0)</f>
        <v/>
      </c>
      <c r="U224" s="67">
        <f>IFERROR(INDEX(tt_Dir,MATCH(D224,tt_Type,0)),"")</f>
        <v/>
      </c>
      <c r="V224" s="67">
        <f>IF(D224="","",IFERROR(IF(INDEX(tt_Other,MATCH(D224,tt_Type,0))="",E224&amp;"",INDEX(tt_Other,MATCH(D224,tt_Type,0))),""))</f>
        <v/>
      </c>
      <c r="W224" s="68">
        <f>IF(OR(TaxOn&lt;&gt;"Yes",NOT(ISNUMBER(M224))),0,IF(IFERROR(INDEX(tt_Tax,MATCH(D224,tt_Type,0)),"No")="Yes",M224,0))</f>
        <v/>
      </c>
      <c r="X224" s="67">
        <f>IF(T224=1,"",IF(C224="","Missing transaction date",IF(NOT(ISNUMBER(C224)),"Invalid date",IF(OR(C224&lt;DATE(2000,1,1),C224&gt;DATE(2099,12,31)),"Invalid date",IF(D224="","Select a type",IF(U224="","Unknown type: "&amp;D224,IF(V224="","Select an account (Category)",IF(ISNA(MATCH(V224,coa_Name,0)),"Unknown account: "&amp;V224,IF(K224="","Select Paid From / Deposited To",IF(ISNA(MATCH(K224,coa_Name,0)),"Unknown account: "&amp;K224,IF(NOT(ISNUMBER(L224)),"Enter an amount",IF(L224=0,"Enter an amount",IF(ABS(W224)&gt;ABS(L224),"Tax is larger than the amount","")))))))))))))</f>
        <v/>
      </c>
      <c r="Y224" s="67">
        <f>IF(OR(T224=1,X224&lt;&gt;""),"",IF(AND(B224&lt;&gt;"",COUNTIF(tx_ID,B224)&gt;1),"Duplicate transaction ID",IF(AND(L224&lt;0,D224&lt;&gt;"Adjustment"),"Negative amount — check this entry",IF(AND(D224="Customer Payment",G224=""),"Add the customer",IF(AND(D224="Customer Payment",OR(J224="",COUNTIF(ar_No,J224&amp;"")=0)),"Invoice # in Reference not found on AR sheet",IF(AND(D224="Bill Payment",H224=""),"Add the vendor",IF(AND(D224="Bill Payment",OR(J224="",COUNTIFS(ap_No,J224&amp;"",ap_Party,H224&amp;"")=0)),"Bill # + vendor not found on AP sheet",IF(AND(ISNUMBER(M224),N(M224)&lt;&gt;0,W224=0),"Tax ignored (tax tracking off, or not allowed for this type)",IF(V224=K224&amp;"","Same account on both sides",IF(AND(ISNUMBER(StartDate),C224&lt;StartDate),"Date is before the accounting start date",IF(AND(D224&lt;&gt;"Adjustment",IFERROR(INDEX(coa_Pay,MATCH(K224&amp;"",coa_Name,0)),"")&lt;&gt;"Yes"),"Paid From / Deposited To is not a payment account","")))))))))))</f>
        <v/>
      </c>
      <c r="Z224" s="67">
        <f>IF(AND(T224=0,X224=""),1,0)</f>
        <v/>
      </c>
      <c r="AA224" s="68">
        <f>IF(Z224=1,IF(U224="In",L224,L224-W224),0)</f>
        <v/>
      </c>
      <c r="AB224" s="68">
        <f>IF(Z224=1,IF(U224="In",L224-W224,L224),0)</f>
        <v/>
      </c>
      <c r="AC224" s="68">
        <f>IF(AND(Z224=1,U224="Out"),W224,0)</f>
        <v/>
      </c>
      <c r="AD224" s="68">
        <f>IF(AND(Z224=1,U224="In"),W224,0)</f>
        <v/>
      </c>
    </row>
    <row r="225">
      <c r="B225" s="62" t="inlineStr">
        <is>
          <t>TX-0219</t>
        </is>
      </c>
      <c r="C225" s="63" t="n">
        <v>46198</v>
      </c>
      <c r="D225" s="62" t="inlineStr">
        <is>
          <t>Owner Draw</t>
        </is>
      </c>
      <c r="E225" s="62" t="n"/>
      <c r="F225" s="62" t="inlineStr">
        <is>
          <t>Owner salary / personal draw</t>
        </is>
      </c>
      <c r="G225" s="62" t="n"/>
      <c r="H225" s="62" t="n"/>
      <c r="I225" s="62" t="inlineStr">
        <is>
          <t>Bank Transfer</t>
        </is>
      </c>
      <c r="J225" s="62" t="n"/>
      <c r="K225" s="62" t="inlineStr">
        <is>
          <t>Bank Account</t>
        </is>
      </c>
      <c r="L225" s="64" t="n">
        <v>20000</v>
      </c>
      <c r="M225" s="64" t="n"/>
      <c r="N225" s="62" t="n"/>
      <c r="O225" s="65">
        <f>IF(Z225=1,L225-W225,"")</f>
        <v/>
      </c>
      <c r="P225" s="66">
        <f>IF(V225="","",IFERROR(INDEX(coa_Type,MATCH(V225,coa_Name,0)),""))</f>
        <v/>
      </c>
      <c r="Q225" s="66">
        <f>IF(Z225=1,IF(U225="In",K225&amp;"",V225),"")</f>
        <v/>
      </c>
      <c r="R225" s="66">
        <f>IF(Z225=1,IF(U225="In",V225,K225&amp;""),"")</f>
        <v/>
      </c>
      <c r="S225" s="66">
        <f>IF(X225&lt;&gt;"","⛔ "&amp;X225&amp;" — not posted",IF(Y225&lt;&gt;"","⚠ "&amp;Y225,IF(Z225=1,"✓ OK","")))</f>
        <v/>
      </c>
      <c r="T225" s="67">
        <f>IF(AND(C225="",D225="",E225="",L225="",K225=""),1,0)</f>
        <v/>
      </c>
      <c r="U225" s="67">
        <f>IFERROR(INDEX(tt_Dir,MATCH(D225,tt_Type,0)),"")</f>
        <v/>
      </c>
      <c r="V225" s="67">
        <f>IF(D225="","",IFERROR(IF(INDEX(tt_Other,MATCH(D225,tt_Type,0))="",E225&amp;"",INDEX(tt_Other,MATCH(D225,tt_Type,0))),""))</f>
        <v/>
      </c>
      <c r="W225" s="68">
        <f>IF(OR(TaxOn&lt;&gt;"Yes",NOT(ISNUMBER(M225))),0,IF(IFERROR(INDEX(tt_Tax,MATCH(D225,tt_Type,0)),"No")="Yes",M225,0))</f>
        <v/>
      </c>
      <c r="X225" s="67">
        <f>IF(T225=1,"",IF(C225="","Missing transaction date",IF(NOT(ISNUMBER(C225)),"Invalid date",IF(OR(C225&lt;DATE(2000,1,1),C225&gt;DATE(2099,12,31)),"Invalid date",IF(D225="","Select a type",IF(U225="","Unknown type: "&amp;D225,IF(V225="","Select an account (Category)",IF(ISNA(MATCH(V225,coa_Name,0)),"Unknown account: "&amp;V225,IF(K225="","Select Paid From / Deposited To",IF(ISNA(MATCH(K225,coa_Name,0)),"Unknown account: "&amp;K225,IF(NOT(ISNUMBER(L225)),"Enter an amount",IF(L225=0,"Enter an amount",IF(ABS(W225)&gt;ABS(L225),"Tax is larger than the amount","")))))))))))))</f>
        <v/>
      </c>
      <c r="Y225" s="67">
        <f>IF(OR(T225=1,X225&lt;&gt;""),"",IF(AND(B225&lt;&gt;"",COUNTIF(tx_ID,B225)&gt;1),"Duplicate transaction ID",IF(AND(L225&lt;0,D225&lt;&gt;"Adjustment"),"Negative amount — check this entry",IF(AND(D225="Customer Payment",G225=""),"Add the customer",IF(AND(D225="Customer Payment",OR(J225="",COUNTIF(ar_No,J225&amp;"")=0)),"Invoice # in Reference not found on AR sheet",IF(AND(D225="Bill Payment",H225=""),"Add the vendor",IF(AND(D225="Bill Payment",OR(J225="",COUNTIFS(ap_No,J225&amp;"",ap_Party,H225&amp;"")=0)),"Bill # + vendor not found on AP sheet",IF(AND(ISNUMBER(M225),N(M225)&lt;&gt;0,W225=0),"Tax ignored (tax tracking off, or not allowed for this type)",IF(V225=K225&amp;"","Same account on both sides",IF(AND(ISNUMBER(StartDate),C225&lt;StartDate),"Date is before the accounting start date",IF(AND(D225&lt;&gt;"Adjustment",IFERROR(INDEX(coa_Pay,MATCH(K225&amp;"",coa_Name,0)),"")&lt;&gt;"Yes"),"Paid From / Deposited To is not a payment account","")))))))))))</f>
        <v/>
      </c>
      <c r="Z225" s="67">
        <f>IF(AND(T225=0,X225=""),1,0)</f>
        <v/>
      </c>
      <c r="AA225" s="68">
        <f>IF(Z225=1,IF(U225="In",L225,L225-W225),0)</f>
        <v/>
      </c>
      <c r="AB225" s="68">
        <f>IF(Z225=1,IF(U225="In",L225-W225,L225),0)</f>
        <v/>
      </c>
      <c r="AC225" s="68">
        <f>IF(AND(Z225=1,U225="Out"),W225,0)</f>
        <v/>
      </c>
      <c r="AD225" s="68">
        <f>IF(AND(Z225=1,U225="In"),W225,0)</f>
        <v/>
      </c>
    </row>
    <row r="226">
      <c r="B226" s="62" t="inlineStr">
        <is>
          <t>TX-0220</t>
        </is>
      </c>
      <c r="C226" s="63" t="n">
        <v>46199</v>
      </c>
      <c r="D226" s="62" t="inlineStr">
        <is>
          <t>Customer Payment</t>
        </is>
      </c>
      <c r="E226" s="62" t="n"/>
      <c r="F226" s="62" t="inlineStr">
        <is>
          <t>Partial payment</t>
        </is>
      </c>
      <c r="G226" s="62" t="inlineStr">
        <is>
          <t>Casa Verde Events</t>
        </is>
      </c>
      <c r="H226" s="62" t="n"/>
      <c r="I226" s="62" t="inlineStr">
        <is>
          <t>Bank Transfer</t>
        </is>
      </c>
      <c r="J226" s="62" t="inlineStr">
        <is>
          <t>INV-1012</t>
        </is>
      </c>
      <c r="K226" s="62" t="inlineStr">
        <is>
          <t>Bank Account</t>
        </is>
      </c>
      <c r="L226" s="64" t="n">
        <v>19384.04</v>
      </c>
      <c r="M226" s="64" t="n"/>
      <c r="N226" s="62" t="n"/>
      <c r="O226" s="65">
        <f>IF(Z226=1,L226-W226,"")</f>
        <v/>
      </c>
      <c r="P226" s="66">
        <f>IF(V226="","",IFERROR(INDEX(coa_Type,MATCH(V226,coa_Name,0)),""))</f>
        <v/>
      </c>
      <c r="Q226" s="66">
        <f>IF(Z226=1,IF(U226="In",K226&amp;"",V226),"")</f>
        <v/>
      </c>
      <c r="R226" s="66">
        <f>IF(Z226=1,IF(U226="In",V226,K226&amp;""),"")</f>
        <v/>
      </c>
      <c r="S226" s="66">
        <f>IF(X226&lt;&gt;"","⛔ "&amp;X226&amp;" — not posted",IF(Y226&lt;&gt;"","⚠ "&amp;Y226,IF(Z226=1,"✓ OK","")))</f>
        <v/>
      </c>
      <c r="T226" s="67">
        <f>IF(AND(C226="",D226="",E226="",L226="",K226=""),1,0)</f>
        <v/>
      </c>
      <c r="U226" s="67">
        <f>IFERROR(INDEX(tt_Dir,MATCH(D226,tt_Type,0)),"")</f>
        <v/>
      </c>
      <c r="V226" s="67">
        <f>IF(D226="","",IFERROR(IF(INDEX(tt_Other,MATCH(D226,tt_Type,0))="",E226&amp;"",INDEX(tt_Other,MATCH(D226,tt_Type,0))),""))</f>
        <v/>
      </c>
      <c r="W226" s="68">
        <f>IF(OR(TaxOn&lt;&gt;"Yes",NOT(ISNUMBER(M226))),0,IF(IFERROR(INDEX(tt_Tax,MATCH(D226,tt_Type,0)),"No")="Yes",M226,0))</f>
        <v/>
      </c>
      <c r="X226" s="67">
        <f>IF(T226=1,"",IF(C226="","Missing transaction date",IF(NOT(ISNUMBER(C226)),"Invalid date",IF(OR(C226&lt;DATE(2000,1,1),C226&gt;DATE(2099,12,31)),"Invalid date",IF(D226="","Select a type",IF(U226="","Unknown type: "&amp;D226,IF(V226="","Select an account (Category)",IF(ISNA(MATCH(V226,coa_Name,0)),"Unknown account: "&amp;V226,IF(K226="","Select Paid From / Deposited To",IF(ISNA(MATCH(K226,coa_Name,0)),"Unknown account: "&amp;K226,IF(NOT(ISNUMBER(L226)),"Enter an amount",IF(L226=0,"Enter an amount",IF(ABS(W226)&gt;ABS(L226),"Tax is larger than the amount","")))))))))))))</f>
        <v/>
      </c>
      <c r="Y226" s="67">
        <f>IF(OR(T226=1,X226&lt;&gt;""),"",IF(AND(B226&lt;&gt;"",COUNTIF(tx_ID,B226)&gt;1),"Duplicate transaction ID",IF(AND(L226&lt;0,D226&lt;&gt;"Adjustment"),"Negative amount — check this entry",IF(AND(D226="Customer Payment",G226=""),"Add the customer",IF(AND(D226="Customer Payment",OR(J226="",COUNTIF(ar_No,J226&amp;"")=0)),"Invoice # in Reference not found on AR sheet",IF(AND(D226="Bill Payment",H226=""),"Add the vendor",IF(AND(D226="Bill Payment",OR(J226="",COUNTIFS(ap_No,J226&amp;"",ap_Party,H226&amp;"")=0)),"Bill # + vendor not found on AP sheet",IF(AND(ISNUMBER(M226),N(M226)&lt;&gt;0,W226=0),"Tax ignored (tax tracking off, or not allowed for this type)",IF(V226=K226&amp;"","Same account on both sides",IF(AND(ISNUMBER(StartDate),C226&lt;StartDate),"Date is before the accounting start date",IF(AND(D226&lt;&gt;"Adjustment",IFERROR(INDEX(coa_Pay,MATCH(K226&amp;"",coa_Name,0)),"")&lt;&gt;"Yes"),"Paid From / Deposited To is not a payment account","")))))))))))</f>
        <v/>
      </c>
      <c r="Z226" s="67">
        <f>IF(AND(T226=0,X226=""),1,0)</f>
        <v/>
      </c>
      <c r="AA226" s="68">
        <f>IF(Z226=1,IF(U226="In",L226,L226-W226),0)</f>
        <v/>
      </c>
      <c r="AB226" s="68">
        <f>IF(Z226=1,IF(U226="In",L226-W226,L226),0)</f>
        <v/>
      </c>
      <c r="AC226" s="68">
        <f>IF(AND(Z226=1,U226="Out"),W226,0)</f>
        <v/>
      </c>
      <c r="AD226" s="68">
        <f>IF(AND(Z226=1,U226="In"),W226,0)</f>
        <v/>
      </c>
    </row>
    <row r="227">
      <c r="B227" s="62" t="inlineStr">
        <is>
          <t>TX-0221</t>
        </is>
      </c>
      <c r="C227" s="63" t="n">
        <v>46199</v>
      </c>
      <c r="D227" s="62" t="inlineStr">
        <is>
          <t>Money In</t>
        </is>
      </c>
      <c r="E227" s="62" t="inlineStr">
        <is>
          <t>Product Sales</t>
        </is>
      </c>
      <c r="F227" s="62" t="inlineStr">
        <is>
          <t>GCash / online orders week 4</t>
        </is>
      </c>
      <c r="G227" s="62" t="n"/>
      <c r="H227" s="62" t="n"/>
      <c r="I227" s="62" t="inlineStr">
        <is>
          <t>E-Wallet</t>
        </is>
      </c>
      <c r="J227" s="62" t="n"/>
      <c r="K227" s="62" t="inlineStr">
        <is>
          <t>E-Wallet / Online Payments</t>
        </is>
      </c>
      <c r="L227" s="64" t="n">
        <v>20298.41</v>
      </c>
      <c r="M227" s="64" t="n">
        <v>2174.83</v>
      </c>
      <c r="N227" s="62" t="n"/>
      <c r="O227" s="65">
        <f>IF(Z227=1,L227-W227,"")</f>
        <v/>
      </c>
      <c r="P227" s="66">
        <f>IF(V227="","",IFERROR(INDEX(coa_Type,MATCH(V227,coa_Name,0)),""))</f>
        <v/>
      </c>
      <c r="Q227" s="66">
        <f>IF(Z227=1,IF(U227="In",K227&amp;"",V227),"")</f>
        <v/>
      </c>
      <c r="R227" s="66">
        <f>IF(Z227=1,IF(U227="In",V227,K227&amp;""),"")</f>
        <v/>
      </c>
      <c r="S227" s="66">
        <f>IF(X227&lt;&gt;"","⛔ "&amp;X227&amp;" — not posted",IF(Y227&lt;&gt;"","⚠ "&amp;Y227,IF(Z227=1,"✓ OK","")))</f>
        <v/>
      </c>
      <c r="T227" s="67">
        <f>IF(AND(C227="",D227="",E227="",L227="",K227=""),1,0)</f>
        <v/>
      </c>
      <c r="U227" s="67">
        <f>IFERROR(INDEX(tt_Dir,MATCH(D227,tt_Type,0)),"")</f>
        <v/>
      </c>
      <c r="V227" s="67">
        <f>IF(D227="","",IFERROR(IF(INDEX(tt_Other,MATCH(D227,tt_Type,0))="",E227&amp;"",INDEX(tt_Other,MATCH(D227,tt_Type,0))),""))</f>
        <v/>
      </c>
      <c r="W227" s="68">
        <f>IF(OR(TaxOn&lt;&gt;"Yes",NOT(ISNUMBER(M227))),0,IF(IFERROR(INDEX(tt_Tax,MATCH(D227,tt_Type,0)),"No")="Yes",M227,0))</f>
        <v/>
      </c>
      <c r="X227" s="67">
        <f>IF(T227=1,"",IF(C227="","Missing transaction date",IF(NOT(ISNUMBER(C227)),"Invalid date",IF(OR(C227&lt;DATE(2000,1,1),C227&gt;DATE(2099,12,31)),"Invalid date",IF(D227="","Select a type",IF(U227="","Unknown type: "&amp;D227,IF(V227="","Select an account (Category)",IF(ISNA(MATCH(V227,coa_Name,0)),"Unknown account: "&amp;V227,IF(K227="","Select Paid From / Deposited To",IF(ISNA(MATCH(K227,coa_Name,0)),"Unknown account: "&amp;K227,IF(NOT(ISNUMBER(L227)),"Enter an amount",IF(L227=0,"Enter an amount",IF(ABS(W227)&gt;ABS(L227),"Tax is larger than the amount","")))))))))))))</f>
        <v/>
      </c>
      <c r="Y227" s="67">
        <f>IF(OR(T227=1,X227&lt;&gt;""),"",IF(AND(B227&lt;&gt;"",COUNTIF(tx_ID,B227)&gt;1),"Duplicate transaction ID",IF(AND(L227&lt;0,D227&lt;&gt;"Adjustment"),"Negative amount — check this entry",IF(AND(D227="Customer Payment",G227=""),"Add the customer",IF(AND(D227="Customer Payment",OR(J227="",COUNTIF(ar_No,J227&amp;"")=0)),"Invoice # in Reference not found on AR sheet",IF(AND(D227="Bill Payment",H227=""),"Add the vendor",IF(AND(D227="Bill Payment",OR(J227="",COUNTIFS(ap_No,J227&amp;"",ap_Party,H227&amp;"")=0)),"Bill # + vendor not found on AP sheet",IF(AND(ISNUMBER(M227),N(M227)&lt;&gt;0,W227=0),"Tax ignored (tax tracking off, or not allowed for this type)",IF(V227=K227&amp;"","Same account on both sides",IF(AND(ISNUMBER(StartDate),C227&lt;StartDate),"Date is before the accounting start date",IF(AND(D227&lt;&gt;"Adjustment",IFERROR(INDEX(coa_Pay,MATCH(K227&amp;"",coa_Name,0)),"")&lt;&gt;"Yes"),"Paid From / Deposited To is not a payment account","")))))))))))</f>
        <v/>
      </c>
      <c r="Z227" s="67">
        <f>IF(AND(T227=0,X227=""),1,0)</f>
        <v/>
      </c>
      <c r="AA227" s="68">
        <f>IF(Z227=1,IF(U227="In",L227,L227-W227),0)</f>
        <v/>
      </c>
      <c r="AB227" s="68">
        <f>IF(Z227=1,IF(U227="In",L227-W227,L227),0)</f>
        <v/>
      </c>
      <c r="AC227" s="68">
        <f>IF(AND(Z227=1,U227="Out"),W227,0)</f>
        <v/>
      </c>
      <c r="AD227" s="68">
        <f>IF(AND(Z227=1,U227="In"),W227,0)</f>
        <v/>
      </c>
    </row>
    <row r="228">
      <c r="B228" s="62" t="inlineStr">
        <is>
          <t>TX-0222</t>
        </is>
      </c>
      <c r="C228" s="63" t="n">
        <v>46200</v>
      </c>
      <c r="D228" s="62" t="inlineStr">
        <is>
          <t>Transfer</t>
        </is>
      </c>
      <c r="E228" s="62" t="inlineStr">
        <is>
          <t>Bank Account</t>
        </is>
      </c>
      <c r="F228" s="62" t="inlineStr">
        <is>
          <t>Cash deposit to bank</t>
        </is>
      </c>
      <c r="G228" s="62" t="n"/>
      <c r="H228" s="62" t="n"/>
      <c r="I228" s="62" t="inlineStr">
        <is>
          <t>Cash</t>
        </is>
      </c>
      <c r="J228" s="62" t="n"/>
      <c r="K228" s="62" t="inlineStr">
        <is>
          <t>Cash on Hand</t>
        </is>
      </c>
      <c r="L228" s="64" t="n">
        <v>43500</v>
      </c>
      <c r="M228" s="64" t="n"/>
      <c r="N228" s="62" t="n"/>
      <c r="O228" s="65">
        <f>IF(Z228=1,L228-W228,"")</f>
        <v/>
      </c>
      <c r="P228" s="66">
        <f>IF(V228="","",IFERROR(INDEX(coa_Type,MATCH(V228,coa_Name,0)),""))</f>
        <v/>
      </c>
      <c r="Q228" s="66">
        <f>IF(Z228=1,IF(U228="In",K228&amp;"",V228),"")</f>
        <v/>
      </c>
      <c r="R228" s="66">
        <f>IF(Z228=1,IF(U228="In",V228,K228&amp;""),"")</f>
        <v/>
      </c>
      <c r="S228" s="66">
        <f>IF(X228&lt;&gt;"","⛔ "&amp;X228&amp;" — not posted",IF(Y228&lt;&gt;"","⚠ "&amp;Y228,IF(Z228=1,"✓ OK","")))</f>
        <v/>
      </c>
      <c r="T228" s="67">
        <f>IF(AND(C228="",D228="",E228="",L228="",K228=""),1,0)</f>
        <v/>
      </c>
      <c r="U228" s="67">
        <f>IFERROR(INDEX(tt_Dir,MATCH(D228,tt_Type,0)),"")</f>
        <v/>
      </c>
      <c r="V228" s="67">
        <f>IF(D228="","",IFERROR(IF(INDEX(tt_Other,MATCH(D228,tt_Type,0))="",E228&amp;"",INDEX(tt_Other,MATCH(D228,tt_Type,0))),""))</f>
        <v/>
      </c>
      <c r="W228" s="68">
        <f>IF(OR(TaxOn&lt;&gt;"Yes",NOT(ISNUMBER(M228))),0,IF(IFERROR(INDEX(tt_Tax,MATCH(D228,tt_Type,0)),"No")="Yes",M228,0))</f>
        <v/>
      </c>
      <c r="X228" s="67">
        <f>IF(T228=1,"",IF(C228="","Missing transaction date",IF(NOT(ISNUMBER(C228)),"Invalid date",IF(OR(C228&lt;DATE(2000,1,1),C228&gt;DATE(2099,12,31)),"Invalid date",IF(D228="","Select a type",IF(U228="","Unknown type: "&amp;D228,IF(V228="","Select an account (Category)",IF(ISNA(MATCH(V228,coa_Name,0)),"Unknown account: "&amp;V228,IF(K228="","Select Paid From / Deposited To",IF(ISNA(MATCH(K228,coa_Name,0)),"Unknown account: "&amp;K228,IF(NOT(ISNUMBER(L228)),"Enter an amount",IF(L228=0,"Enter an amount",IF(ABS(W228)&gt;ABS(L228),"Tax is larger than the amount","")))))))))))))</f>
        <v/>
      </c>
      <c r="Y228" s="67">
        <f>IF(OR(T228=1,X228&lt;&gt;""),"",IF(AND(B228&lt;&gt;"",COUNTIF(tx_ID,B228)&gt;1),"Duplicate transaction ID",IF(AND(L228&lt;0,D228&lt;&gt;"Adjustment"),"Negative amount — check this entry",IF(AND(D228="Customer Payment",G228=""),"Add the customer",IF(AND(D228="Customer Payment",OR(J228="",COUNTIF(ar_No,J228&amp;"")=0)),"Invoice # in Reference not found on AR sheet",IF(AND(D228="Bill Payment",H228=""),"Add the vendor",IF(AND(D228="Bill Payment",OR(J228="",COUNTIFS(ap_No,J228&amp;"",ap_Party,H228&amp;"")=0)),"Bill # + vendor not found on AP sheet",IF(AND(ISNUMBER(M228),N(M228)&lt;&gt;0,W228=0),"Tax ignored (tax tracking off, or not allowed for this type)",IF(V228=K228&amp;"","Same account on both sides",IF(AND(ISNUMBER(StartDate),C228&lt;StartDate),"Date is before the accounting start date",IF(AND(D228&lt;&gt;"Adjustment",IFERROR(INDEX(coa_Pay,MATCH(K228&amp;"",coa_Name,0)),"")&lt;&gt;"Yes"),"Paid From / Deposited To is not a payment account","")))))))))))</f>
        <v/>
      </c>
      <c r="Z228" s="67">
        <f>IF(AND(T228=0,X228=""),1,0)</f>
        <v/>
      </c>
      <c r="AA228" s="68">
        <f>IF(Z228=1,IF(U228="In",L228,L228-W228),0)</f>
        <v/>
      </c>
      <c r="AB228" s="68">
        <f>IF(Z228=1,IF(U228="In",L228-W228,L228),0)</f>
        <v/>
      </c>
      <c r="AC228" s="68">
        <f>IF(AND(Z228=1,U228="Out"),W228,0)</f>
        <v/>
      </c>
      <c r="AD228" s="68">
        <f>IF(AND(Z228=1,U228="In"),W228,0)</f>
        <v/>
      </c>
    </row>
    <row r="229">
      <c r="B229" s="62" t="inlineStr">
        <is>
          <t>TX-0223</t>
        </is>
      </c>
      <c r="C229" s="63" t="n">
        <v>46200</v>
      </c>
      <c r="D229" s="62" t="inlineStr">
        <is>
          <t>Money Out</t>
        </is>
      </c>
      <c r="E229" s="62" t="inlineStr">
        <is>
          <t>Bank &amp; Payment Fees</t>
        </is>
      </c>
      <c r="F229" s="62" t="inlineStr">
        <is>
          <t>Monthly bank charge</t>
        </is>
      </c>
      <c r="G229" s="62" t="n"/>
      <c r="H229" s="62" t="n"/>
      <c r="I229" s="62" t="inlineStr">
        <is>
          <t>Bank Transfer</t>
        </is>
      </c>
      <c r="J229" s="62" t="n"/>
      <c r="K229" s="62" t="inlineStr">
        <is>
          <t>Bank Account</t>
        </is>
      </c>
      <c r="L229" s="64" t="n">
        <v>150</v>
      </c>
      <c r="M229" s="64" t="n"/>
      <c r="N229" s="62" t="n"/>
      <c r="O229" s="65">
        <f>IF(Z229=1,L229-W229,"")</f>
        <v/>
      </c>
      <c r="P229" s="66">
        <f>IF(V229="","",IFERROR(INDEX(coa_Type,MATCH(V229,coa_Name,0)),""))</f>
        <v/>
      </c>
      <c r="Q229" s="66">
        <f>IF(Z229=1,IF(U229="In",K229&amp;"",V229),"")</f>
        <v/>
      </c>
      <c r="R229" s="66">
        <f>IF(Z229=1,IF(U229="In",V229,K229&amp;""),"")</f>
        <v/>
      </c>
      <c r="S229" s="66">
        <f>IF(X229&lt;&gt;"","⛔ "&amp;X229&amp;" — not posted",IF(Y229&lt;&gt;"","⚠ "&amp;Y229,IF(Z229=1,"✓ OK","")))</f>
        <v/>
      </c>
      <c r="T229" s="67">
        <f>IF(AND(C229="",D229="",E229="",L229="",K229=""),1,0)</f>
        <v/>
      </c>
      <c r="U229" s="67">
        <f>IFERROR(INDEX(tt_Dir,MATCH(D229,tt_Type,0)),"")</f>
        <v/>
      </c>
      <c r="V229" s="67">
        <f>IF(D229="","",IFERROR(IF(INDEX(tt_Other,MATCH(D229,tt_Type,0))="",E229&amp;"",INDEX(tt_Other,MATCH(D229,tt_Type,0))),""))</f>
        <v/>
      </c>
      <c r="W229" s="68">
        <f>IF(OR(TaxOn&lt;&gt;"Yes",NOT(ISNUMBER(M229))),0,IF(IFERROR(INDEX(tt_Tax,MATCH(D229,tt_Type,0)),"No")="Yes",M229,0))</f>
        <v/>
      </c>
      <c r="X229" s="67">
        <f>IF(T229=1,"",IF(C229="","Missing transaction date",IF(NOT(ISNUMBER(C229)),"Invalid date",IF(OR(C229&lt;DATE(2000,1,1),C229&gt;DATE(2099,12,31)),"Invalid date",IF(D229="","Select a type",IF(U229="","Unknown type: "&amp;D229,IF(V229="","Select an account (Category)",IF(ISNA(MATCH(V229,coa_Name,0)),"Unknown account: "&amp;V229,IF(K229="","Select Paid From / Deposited To",IF(ISNA(MATCH(K229,coa_Name,0)),"Unknown account: "&amp;K229,IF(NOT(ISNUMBER(L229)),"Enter an amount",IF(L229=0,"Enter an amount",IF(ABS(W229)&gt;ABS(L229),"Tax is larger than the amount","")))))))))))))</f>
        <v/>
      </c>
      <c r="Y229" s="67">
        <f>IF(OR(T229=1,X229&lt;&gt;""),"",IF(AND(B229&lt;&gt;"",COUNTIF(tx_ID,B229)&gt;1),"Duplicate transaction ID",IF(AND(L229&lt;0,D229&lt;&gt;"Adjustment"),"Negative amount — check this entry",IF(AND(D229="Customer Payment",G229=""),"Add the customer",IF(AND(D229="Customer Payment",OR(J229="",COUNTIF(ar_No,J229&amp;"")=0)),"Invoice # in Reference not found on AR sheet",IF(AND(D229="Bill Payment",H229=""),"Add the vendor",IF(AND(D229="Bill Payment",OR(J229="",COUNTIFS(ap_No,J229&amp;"",ap_Party,H229&amp;"")=0)),"Bill # + vendor not found on AP sheet",IF(AND(ISNUMBER(M229),N(M229)&lt;&gt;0,W229=0),"Tax ignored (tax tracking off, or not allowed for this type)",IF(V229=K229&amp;"","Same account on both sides",IF(AND(ISNUMBER(StartDate),C229&lt;StartDate),"Date is before the accounting start date",IF(AND(D229&lt;&gt;"Adjustment",IFERROR(INDEX(coa_Pay,MATCH(K229&amp;"",coa_Name,0)),"")&lt;&gt;"Yes"),"Paid From / Deposited To is not a payment account","")))))))))))</f>
        <v/>
      </c>
      <c r="Z229" s="67">
        <f>IF(AND(T229=0,X229=""),1,0)</f>
        <v/>
      </c>
      <c r="AA229" s="68">
        <f>IF(Z229=1,IF(U229="In",L229,L229-W229),0)</f>
        <v/>
      </c>
      <c r="AB229" s="68">
        <f>IF(Z229=1,IF(U229="In",L229-W229,L229),0)</f>
        <v/>
      </c>
      <c r="AC229" s="68">
        <f>IF(AND(Z229=1,U229="Out"),W229,0)</f>
        <v/>
      </c>
      <c r="AD229" s="68">
        <f>IF(AND(Z229=1,U229="In"),W229,0)</f>
        <v/>
      </c>
    </row>
    <row r="230">
      <c r="B230" s="62" t="inlineStr">
        <is>
          <t>TX-0224</t>
        </is>
      </c>
      <c r="C230" s="63" t="n">
        <v>46201</v>
      </c>
      <c r="D230" s="62" t="inlineStr">
        <is>
          <t>Transfer</t>
        </is>
      </c>
      <c r="E230" s="62" t="inlineStr">
        <is>
          <t>Bank Account</t>
        </is>
      </c>
      <c r="F230" s="62" t="inlineStr">
        <is>
          <t>E-wallet cash-out to bank</t>
        </is>
      </c>
      <c r="G230" s="62" t="n"/>
      <c r="H230" s="62" t="n"/>
      <c r="I230" s="62" t="inlineStr">
        <is>
          <t>Online Payment</t>
        </is>
      </c>
      <c r="J230" s="62" t="n"/>
      <c r="K230" s="62" t="inlineStr">
        <is>
          <t>E-Wallet / Online Payments</t>
        </is>
      </c>
      <c r="L230" s="64" t="n">
        <v>44100</v>
      </c>
      <c r="M230" s="64" t="n"/>
      <c r="N230" s="62" t="n"/>
      <c r="O230" s="65">
        <f>IF(Z230=1,L230-W230,"")</f>
        <v/>
      </c>
      <c r="P230" s="66">
        <f>IF(V230="","",IFERROR(INDEX(coa_Type,MATCH(V230,coa_Name,0)),""))</f>
        <v/>
      </c>
      <c r="Q230" s="66">
        <f>IF(Z230=1,IF(U230="In",K230&amp;"",V230),"")</f>
        <v/>
      </c>
      <c r="R230" s="66">
        <f>IF(Z230=1,IF(U230="In",V230,K230&amp;""),"")</f>
        <v/>
      </c>
      <c r="S230" s="66">
        <f>IF(X230&lt;&gt;"","⛔ "&amp;X230&amp;" — not posted",IF(Y230&lt;&gt;"","⚠ "&amp;Y230,IF(Z230=1,"✓ OK","")))</f>
        <v/>
      </c>
      <c r="T230" s="67">
        <f>IF(AND(C230="",D230="",E230="",L230="",K230=""),1,0)</f>
        <v/>
      </c>
      <c r="U230" s="67">
        <f>IFERROR(INDEX(tt_Dir,MATCH(D230,tt_Type,0)),"")</f>
        <v/>
      </c>
      <c r="V230" s="67">
        <f>IF(D230="","",IFERROR(IF(INDEX(tt_Other,MATCH(D230,tt_Type,0))="",E230&amp;"",INDEX(tt_Other,MATCH(D230,tt_Type,0))),""))</f>
        <v/>
      </c>
      <c r="W230" s="68">
        <f>IF(OR(TaxOn&lt;&gt;"Yes",NOT(ISNUMBER(M230))),0,IF(IFERROR(INDEX(tt_Tax,MATCH(D230,tt_Type,0)),"No")="Yes",M230,0))</f>
        <v/>
      </c>
      <c r="X230" s="67">
        <f>IF(T230=1,"",IF(C230="","Missing transaction date",IF(NOT(ISNUMBER(C230)),"Invalid date",IF(OR(C230&lt;DATE(2000,1,1),C230&gt;DATE(2099,12,31)),"Invalid date",IF(D230="","Select a type",IF(U230="","Unknown type: "&amp;D230,IF(V230="","Select an account (Category)",IF(ISNA(MATCH(V230,coa_Name,0)),"Unknown account: "&amp;V230,IF(K230="","Select Paid From / Deposited To",IF(ISNA(MATCH(K230,coa_Name,0)),"Unknown account: "&amp;K230,IF(NOT(ISNUMBER(L230)),"Enter an amount",IF(L230=0,"Enter an amount",IF(ABS(W230)&gt;ABS(L230),"Tax is larger than the amount","")))))))))))))</f>
        <v/>
      </c>
      <c r="Y230" s="67">
        <f>IF(OR(T230=1,X230&lt;&gt;""),"",IF(AND(B230&lt;&gt;"",COUNTIF(tx_ID,B230)&gt;1),"Duplicate transaction ID",IF(AND(L230&lt;0,D230&lt;&gt;"Adjustment"),"Negative amount — check this entry",IF(AND(D230="Customer Payment",G230=""),"Add the customer",IF(AND(D230="Customer Payment",OR(J230="",COUNTIF(ar_No,J230&amp;"")=0)),"Invoice # in Reference not found on AR sheet",IF(AND(D230="Bill Payment",H230=""),"Add the vendor",IF(AND(D230="Bill Payment",OR(J230="",COUNTIFS(ap_No,J230&amp;"",ap_Party,H230&amp;"")=0)),"Bill # + vendor not found on AP sheet",IF(AND(ISNUMBER(M230),N(M230)&lt;&gt;0,W230=0),"Tax ignored (tax tracking off, or not allowed for this type)",IF(V230=K230&amp;"","Same account on both sides",IF(AND(ISNUMBER(StartDate),C230&lt;StartDate),"Date is before the accounting start date",IF(AND(D230&lt;&gt;"Adjustment",IFERROR(INDEX(coa_Pay,MATCH(K230&amp;"",coa_Name,0)),"")&lt;&gt;"Yes"),"Paid From / Deposited To is not a payment account","")))))))))))</f>
        <v/>
      </c>
      <c r="Z230" s="67">
        <f>IF(AND(T230=0,X230=""),1,0)</f>
        <v/>
      </c>
      <c r="AA230" s="68">
        <f>IF(Z230=1,IF(U230="In",L230,L230-W230),0)</f>
        <v/>
      </c>
      <c r="AB230" s="68">
        <f>IF(Z230=1,IF(U230="In",L230-W230,L230),0)</f>
        <v/>
      </c>
      <c r="AC230" s="68">
        <f>IF(AND(Z230=1,U230="Out"),W230,0)</f>
        <v/>
      </c>
      <c r="AD230" s="68">
        <f>IF(AND(Z230=1,U230="In"),W230,0)</f>
        <v/>
      </c>
    </row>
    <row r="231">
      <c r="B231" s="62" t="inlineStr">
        <is>
          <t>TX-0225</t>
        </is>
      </c>
      <c r="C231" s="63" t="n">
        <v>46201</v>
      </c>
      <c r="D231" s="62" t="inlineStr">
        <is>
          <t>Money Out</t>
        </is>
      </c>
      <c r="E231" s="62" t="inlineStr">
        <is>
          <t>Direct Labor</t>
        </is>
      </c>
      <c r="F231" s="62" t="inlineStr">
        <is>
          <t>Bakers' salaries (16th-end)</t>
        </is>
      </c>
      <c r="G231" s="62" t="n"/>
      <c r="H231" s="62" t="n"/>
      <c r="I231" s="62" t="inlineStr">
        <is>
          <t>Bank Transfer</t>
        </is>
      </c>
      <c r="J231" s="62" t="n"/>
      <c r="K231" s="62" t="inlineStr">
        <is>
          <t>Bank Account</t>
        </is>
      </c>
      <c r="L231" s="64" t="n">
        <v>38000</v>
      </c>
      <c r="M231" s="64" t="n"/>
      <c r="N231" s="62" t="n"/>
      <c r="O231" s="65">
        <f>IF(Z231=1,L231-W231,"")</f>
        <v/>
      </c>
      <c r="P231" s="66">
        <f>IF(V231="","",IFERROR(INDEX(coa_Type,MATCH(V231,coa_Name,0)),""))</f>
        <v/>
      </c>
      <c r="Q231" s="66">
        <f>IF(Z231=1,IF(U231="In",K231&amp;"",V231),"")</f>
        <v/>
      </c>
      <c r="R231" s="66">
        <f>IF(Z231=1,IF(U231="In",V231,K231&amp;""),"")</f>
        <v/>
      </c>
      <c r="S231" s="66">
        <f>IF(X231&lt;&gt;"","⛔ "&amp;X231&amp;" — not posted",IF(Y231&lt;&gt;"","⚠ "&amp;Y231,IF(Z231=1,"✓ OK","")))</f>
        <v/>
      </c>
      <c r="T231" s="67">
        <f>IF(AND(C231="",D231="",E231="",L231="",K231=""),1,0)</f>
        <v/>
      </c>
      <c r="U231" s="67">
        <f>IFERROR(INDEX(tt_Dir,MATCH(D231,tt_Type,0)),"")</f>
        <v/>
      </c>
      <c r="V231" s="67">
        <f>IF(D231="","",IFERROR(IF(INDEX(tt_Other,MATCH(D231,tt_Type,0))="",E231&amp;"",INDEX(tt_Other,MATCH(D231,tt_Type,0))),""))</f>
        <v/>
      </c>
      <c r="W231" s="68">
        <f>IF(OR(TaxOn&lt;&gt;"Yes",NOT(ISNUMBER(M231))),0,IF(IFERROR(INDEX(tt_Tax,MATCH(D231,tt_Type,0)),"No")="Yes",M231,0))</f>
        <v/>
      </c>
      <c r="X231" s="67">
        <f>IF(T231=1,"",IF(C231="","Missing transaction date",IF(NOT(ISNUMBER(C231)),"Invalid date",IF(OR(C231&lt;DATE(2000,1,1),C231&gt;DATE(2099,12,31)),"Invalid date",IF(D231="","Select a type",IF(U231="","Unknown type: "&amp;D231,IF(V231="","Select an account (Category)",IF(ISNA(MATCH(V231,coa_Name,0)),"Unknown account: "&amp;V231,IF(K231="","Select Paid From / Deposited To",IF(ISNA(MATCH(K231,coa_Name,0)),"Unknown account: "&amp;K231,IF(NOT(ISNUMBER(L231)),"Enter an amount",IF(L231=0,"Enter an amount",IF(ABS(W231)&gt;ABS(L231),"Tax is larger than the amount","")))))))))))))</f>
        <v/>
      </c>
      <c r="Y231" s="67">
        <f>IF(OR(T231=1,X231&lt;&gt;""),"",IF(AND(B231&lt;&gt;"",COUNTIF(tx_ID,B231)&gt;1),"Duplicate transaction ID",IF(AND(L231&lt;0,D231&lt;&gt;"Adjustment"),"Negative amount — check this entry",IF(AND(D231="Customer Payment",G231=""),"Add the customer",IF(AND(D231="Customer Payment",OR(J231="",COUNTIF(ar_No,J231&amp;"")=0)),"Invoice # in Reference not found on AR sheet",IF(AND(D231="Bill Payment",H231=""),"Add the vendor",IF(AND(D231="Bill Payment",OR(J231="",COUNTIFS(ap_No,J231&amp;"",ap_Party,H231&amp;"")=0)),"Bill # + vendor not found on AP sheet",IF(AND(ISNUMBER(M231),N(M231)&lt;&gt;0,W231=0),"Tax ignored (tax tracking off, or not allowed for this type)",IF(V231=K231&amp;"","Same account on both sides",IF(AND(ISNUMBER(StartDate),C231&lt;StartDate),"Date is before the accounting start date",IF(AND(D231&lt;&gt;"Adjustment",IFERROR(INDEX(coa_Pay,MATCH(K231&amp;"",coa_Name,0)),"")&lt;&gt;"Yes"),"Paid From / Deposited To is not a payment account","")))))))))))</f>
        <v/>
      </c>
      <c r="Z231" s="67">
        <f>IF(AND(T231=0,X231=""),1,0)</f>
        <v/>
      </c>
      <c r="AA231" s="68">
        <f>IF(Z231=1,IF(U231="In",L231,L231-W231),0)</f>
        <v/>
      </c>
      <c r="AB231" s="68">
        <f>IF(Z231=1,IF(U231="In",L231-W231,L231),0)</f>
        <v/>
      </c>
      <c r="AC231" s="68">
        <f>IF(AND(Z231=1,U231="Out"),W231,0)</f>
        <v/>
      </c>
      <c r="AD231" s="68">
        <f>IF(AND(Z231=1,U231="In"),W231,0)</f>
        <v/>
      </c>
    </row>
    <row r="232">
      <c r="B232" s="62" t="inlineStr">
        <is>
          <t>TX-0226</t>
        </is>
      </c>
      <c r="C232" s="63" t="n">
        <v>46201</v>
      </c>
      <c r="D232" s="62" t="inlineStr">
        <is>
          <t>Money Out</t>
        </is>
      </c>
      <c r="E232" s="62" t="inlineStr">
        <is>
          <t>Salaries &amp; Wages</t>
        </is>
      </c>
      <c r="F232" s="62" t="inlineStr">
        <is>
          <t>Cashier salary (16th-end)</t>
        </is>
      </c>
      <c r="G232" s="62" t="n"/>
      <c r="H232" s="62" t="n"/>
      <c r="I232" s="62" t="inlineStr">
        <is>
          <t>Bank Transfer</t>
        </is>
      </c>
      <c r="J232" s="62" t="n"/>
      <c r="K232" s="62" t="inlineStr">
        <is>
          <t>Bank Account</t>
        </is>
      </c>
      <c r="L232" s="64" t="n">
        <v>9000</v>
      </c>
      <c r="M232" s="64" t="n"/>
      <c r="N232" s="62" t="n"/>
      <c r="O232" s="65">
        <f>IF(Z232=1,L232-W232,"")</f>
        <v/>
      </c>
      <c r="P232" s="66">
        <f>IF(V232="","",IFERROR(INDEX(coa_Type,MATCH(V232,coa_Name,0)),""))</f>
        <v/>
      </c>
      <c r="Q232" s="66">
        <f>IF(Z232=1,IF(U232="In",K232&amp;"",V232),"")</f>
        <v/>
      </c>
      <c r="R232" s="66">
        <f>IF(Z232=1,IF(U232="In",V232,K232&amp;""),"")</f>
        <v/>
      </c>
      <c r="S232" s="66">
        <f>IF(X232&lt;&gt;"","⛔ "&amp;X232&amp;" — not posted",IF(Y232&lt;&gt;"","⚠ "&amp;Y232,IF(Z232=1,"✓ OK","")))</f>
        <v/>
      </c>
      <c r="T232" s="67">
        <f>IF(AND(C232="",D232="",E232="",L232="",K232=""),1,0)</f>
        <v/>
      </c>
      <c r="U232" s="67">
        <f>IFERROR(INDEX(tt_Dir,MATCH(D232,tt_Type,0)),"")</f>
        <v/>
      </c>
      <c r="V232" s="67">
        <f>IF(D232="","",IFERROR(IF(INDEX(tt_Other,MATCH(D232,tt_Type,0))="",E232&amp;"",INDEX(tt_Other,MATCH(D232,tt_Type,0))),""))</f>
        <v/>
      </c>
      <c r="W232" s="68">
        <f>IF(OR(TaxOn&lt;&gt;"Yes",NOT(ISNUMBER(M232))),0,IF(IFERROR(INDEX(tt_Tax,MATCH(D232,tt_Type,0)),"No")="Yes",M232,0))</f>
        <v/>
      </c>
      <c r="X232" s="67">
        <f>IF(T232=1,"",IF(C232="","Missing transaction date",IF(NOT(ISNUMBER(C232)),"Invalid date",IF(OR(C232&lt;DATE(2000,1,1),C232&gt;DATE(2099,12,31)),"Invalid date",IF(D232="","Select a type",IF(U232="","Unknown type: "&amp;D232,IF(V232="","Select an account (Category)",IF(ISNA(MATCH(V232,coa_Name,0)),"Unknown account: "&amp;V232,IF(K232="","Select Paid From / Deposited To",IF(ISNA(MATCH(K232,coa_Name,0)),"Unknown account: "&amp;K232,IF(NOT(ISNUMBER(L232)),"Enter an amount",IF(L232=0,"Enter an amount",IF(ABS(W232)&gt;ABS(L232),"Tax is larger than the amount","")))))))))))))</f>
        <v/>
      </c>
      <c r="Y232" s="67">
        <f>IF(OR(T232=1,X232&lt;&gt;""),"",IF(AND(B232&lt;&gt;"",COUNTIF(tx_ID,B232)&gt;1),"Duplicate transaction ID",IF(AND(L232&lt;0,D232&lt;&gt;"Adjustment"),"Negative amount — check this entry",IF(AND(D232="Customer Payment",G232=""),"Add the customer",IF(AND(D232="Customer Payment",OR(J232="",COUNTIF(ar_No,J232&amp;"")=0)),"Invoice # in Reference not found on AR sheet",IF(AND(D232="Bill Payment",H232=""),"Add the vendor",IF(AND(D232="Bill Payment",OR(J232="",COUNTIFS(ap_No,J232&amp;"",ap_Party,H232&amp;"")=0)),"Bill # + vendor not found on AP sheet",IF(AND(ISNUMBER(M232),N(M232)&lt;&gt;0,W232=0),"Tax ignored (tax tracking off, or not allowed for this type)",IF(V232=K232&amp;"","Same account on both sides",IF(AND(ISNUMBER(StartDate),C232&lt;StartDate),"Date is before the accounting start date",IF(AND(D232&lt;&gt;"Adjustment",IFERROR(INDEX(coa_Pay,MATCH(K232&amp;"",coa_Name,0)),"")&lt;&gt;"Yes"),"Paid From / Deposited To is not a payment account","")))))))))))</f>
        <v/>
      </c>
      <c r="Z232" s="67">
        <f>IF(AND(T232=0,X232=""),1,0)</f>
        <v/>
      </c>
      <c r="AA232" s="68">
        <f>IF(Z232=1,IF(U232="In",L232,L232-W232),0)</f>
        <v/>
      </c>
      <c r="AB232" s="68">
        <f>IF(Z232=1,IF(U232="In",L232-W232,L232),0)</f>
        <v/>
      </c>
      <c r="AC232" s="68">
        <f>IF(AND(Z232=1,U232="Out"),W232,0)</f>
        <v/>
      </c>
      <c r="AD232" s="68">
        <f>IF(AND(Z232=1,U232="In"),W232,0)</f>
        <v/>
      </c>
    </row>
    <row r="233">
      <c r="B233" s="62" t="inlineStr">
        <is>
          <t>TX-0227</t>
        </is>
      </c>
      <c r="C233" s="63" t="n">
        <v>46203</v>
      </c>
      <c r="D233" s="62" t="inlineStr">
        <is>
          <t>Adjustment</t>
        </is>
      </c>
      <c r="E233" s="62" t="inlineStr">
        <is>
          <t>Depreciation</t>
        </is>
      </c>
      <c r="F233" s="62" t="inlineStr">
        <is>
          <t>Monthly depreciation of equipment</t>
        </is>
      </c>
      <c r="G233" s="62" t="n"/>
      <c r="H233" s="62" t="n"/>
      <c r="I233" s="62" t="n"/>
      <c r="J233" s="62" t="n"/>
      <c r="K233" s="62" t="inlineStr">
        <is>
          <t>Accumulated Depreciation</t>
        </is>
      </c>
      <c r="L233" s="64" t="n">
        <v>3000</v>
      </c>
      <c r="M233" s="64" t="n"/>
      <c r="N233" s="62" t="n"/>
      <c r="O233" s="65">
        <f>IF(Z233=1,L233-W233,"")</f>
        <v/>
      </c>
      <c r="P233" s="66">
        <f>IF(V233="","",IFERROR(INDEX(coa_Type,MATCH(V233,coa_Name,0)),""))</f>
        <v/>
      </c>
      <c r="Q233" s="66">
        <f>IF(Z233=1,IF(U233="In",K233&amp;"",V233),"")</f>
        <v/>
      </c>
      <c r="R233" s="66">
        <f>IF(Z233=1,IF(U233="In",V233,K233&amp;""),"")</f>
        <v/>
      </c>
      <c r="S233" s="66">
        <f>IF(X233&lt;&gt;"","⛔ "&amp;X233&amp;" — not posted",IF(Y233&lt;&gt;"","⚠ "&amp;Y233,IF(Z233=1,"✓ OK","")))</f>
        <v/>
      </c>
      <c r="T233" s="67">
        <f>IF(AND(C233="",D233="",E233="",L233="",K233=""),1,0)</f>
        <v/>
      </c>
      <c r="U233" s="67">
        <f>IFERROR(INDEX(tt_Dir,MATCH(D233,tt_Type,0)),"")</f>
        <v/>
      </c>
      <c r="V233" s="67">
        <f>IF(D233="","",IFERROR(IF(INDEX(tt_Other,MATCH(D233,tt_Type,0))="",E233&amp;"",INDEX(tt_Other,MATCH(D233,tt_Type,0))),""))</f>
        <v/>
      </c>
      <c r="W233" s="68">
        <f>IF(OR(TaxOn&lt;&gt;"Yes",NOT(ISNUMBER(M233))),0,IF(IFERROR(INDEX(tt_Tax,MATCH(D233,tt_Type,0)),"No")="Yes",M233,0))</f>
        <v/>
      </c>
      <c r="X233" s="67">
        <f>IF(T233=1,"",IF(C233="","Missing transaction date",IF(NOT(ISNUMBER(C233)),"Invalid date",IF(OR(C233&lt;DATE(2000,1,1),C233&gt;DATE(2099,12,31)),"Invalid date",IF(D233="","Select a type",IF(U233="","Unknown type: "&amp;D233,IF(V233="","Select an account (Category)",IF(ISNA(MATCH(V233,coa_Name,0)),"Unknown account: "&amp;V233,IF(K233="","Select Paid From / Deposited To",IF(ISNA(MATCH(K233,coa_Name,0)),"Unknown account: "&amp;K233,IF(NOT(ISNUMBER(L233)),"Enter an amount",IF(L233=0,"Enter an amount",IF(ABS(W233)&gt;ABS(L233),"Tax is larger than the amount","")))))))))))))</f>
        <v/>
      </c>
      <c r="Y233" s="67">
        <f>IF(OR(T233=1,X233&lt;&gt;""),"",IF(AND(B233&lt;&gt;"",COUNTIF(tx_ID,B233)&gt;1),"Duplicate transaction ID",IF(AND(L233&lt;0,D233&lt;&gt;"Adjustment"),"Negative amount — check this entry",IF(AND(D233="Customer Payment",G233=""),"Add the customer",IF(AND(D233="Customer Payment",OR(J233="",COUNTIF(ar_No,J233&amp;"")=0)),"Invoice # in Reference not found on AR sheet",IF(AND(D233="Bill Payment",H233=""),"Add the vendor",IF(AND(D233="Bill Payment",OR(J233="",COUNTIFS(ap_No,J233&amp;"",ap_Party,H233&amp;"")=0)),"Bill # + vendor not found on AP sheet",IF(AND(ISNUMBER(M233),N(M233)&lt;&gt;0,W233=0),"Tax ignored (tax tracking off, or not allowed for this type)",IF(V233=K233&amp;"","Same account on both sides",IF(AND(ISNUMBER(StartDate),C233&lt;StartDate),"Date is before the accounting start date",IF(AND(D233&lt;&gt;"Adjustment",IFERROR(INDEX(coa_Pay,MATCH(K233&amp;"",coa_Name,0)),"")&lt;&gt;"Yes"),"Paid From / Deposited To is not a payment account","")))))))))))</f>
        <v/>
      </c>
      <c r="Z233" s="67">
        <f>IF(AND(T233=0,X233=""),1,0)</f>
        <v/>
      </c>
      <c r="AA233" s="68">
        <f>IF(Z233=1,IF(U233="In",L233,L233-W233),0)</f>
        <v/>
      </c>
      <c r="AB233" s="68">
        <f>IF(Z233=1,IF(U233="In",L233-W233,L233),0)</f>
        <v/>
      </c>
      <c r="AC233" s="68">
        <f>IF(AND(Z233=1,U233="Out"),W233,0)</f>
        <v/>
      </c>
      <c r="AD233" s="68">
        <f>IF(AND(Z233=1,U233="In"),W233,0)</f>
        <v/>
      </c>
    </row>
    <row r="234">
      <c r="B234" s="62" t="inlineStr">
        <is>
          <t>TX-0228</t>
        </is>
      </c>
      <c r="C234" s="63" t="n">
        <v>46203</v>
      </c>
      <c r="D234" s="62" t="inlineStr">
        <is>
          <t>Money In</t>
        </is>
      </c>
      <c r="E234" s="62" t="inlineStr">
        <is>
          <t>Interest Income</t>
        </is>
      </c>
      <c r="F234" s="62" t="inlineStr">
        <is>
          <t>Bank interest</t>
        </is>
      </c>
      <c r="G234" s="62" t="n"/>
      <c r="H234" s="62" t="n"/>
      <c r="I234" s="62" t="inlineStr">
        <is>
          <t>Bank Transfer</t>
        </is>
      </c>
      <c r="J234" s="62" t="n"/>
      <c r="K234" s="62" t="inlineStr">
        <is>
          <t>Bank Account</t>
        </is>
      </c>
      <c r="L234" s="64" t="n">
        <v>108</v>
      </c>
      <c r="M234" s="64" t="n"/>
      <c r="N234" s="62" t="n"/>
      <c r="O234" s="65">
        <f>IF(Z234=1,L234-W234,"")</f>
        <v/>
      </c>
      <c r="P234" s="66">
        <f>IF(V234="","",IFERROR(INDEX(coa_Type,MATCH(V234,coa_Name,0)),""))</f>
        <v/>
      </c>
      <c r="Q234" s="66">
        <f>IF(Z234=1,IF(U234="In",K234&amp;"",V234),"")</f>
        <v/>
      </c>
      <c r="R234" s="66">
        <f>IF(Z234=1,IF(U234="In",V234,K234&amp;""),"")</f>
        <v/>
      </c>
      <c r="S234" s="66">
        <f>IF(X234&lt;&gt;"","⛔ "&amp;X234&amp;" — not posted",IF(Y234&lt;&gt;"","⚠ "&amp;Y234,IF(Z234=1,"✓ OK","")))</f>
        <v/>
      </c>
      <c r="T234" s="67">
        <f>IF(AND(C234="",D234="",E234="",L234="",K234=""),1,0)</f>
        <v/>
      </c>
      <c r="U234" s="67">
        <f>IFERROR(INDEX(tt_Dir,MATCH(D234,tt_Type,0)),"")</f>
        <v/>
      </c>
      <c r="V234" s="67">
        <f>IF(D234="","",IFERROR(IF(INDEX(tt_Other,MATCH(D234,tt_Type,0))="",E234&amp;"",INDEX(tt_Other,MATCH(D234,tt_Type,0))),""))</f>
        <v/>
      </c>
      <c r="W234" s="68">
        <f>IF(OR(TaxOn&lt;&gt;"Yes",NOT(ISNUMBER(M234))),0,IF(IFERROR(INDEX(tt_Tax,MATCH(D234,tt_Type,0)),"No")="Yes",M234,0))</f>
        <v/>
      </c>
      <c r="X234" s="67">
        <f>IF(T234=1,"",IF(C234="","Missing transaction date",IF(NOT(ISNUMBER(C234)),"Invalid date",IF(OR(C234&lt;DATE(2000,1,1),C234&gt;DATE(2099,12,31)),"Invalid date",IF(D234="","Select a type",IF(U234="","Unknown type: "&amp;D234,IF(V234="","Select an account (Category)",IF(ISNA(MATCH(V234,coa_Name,0)),"Unknown account: "&amp;V234,IF(K234="","Select Paid From / Deposited To",IF(ISNA(MATCH(K234,coa_Name,0)),"Unknown account: "&amp;K234,IF(NOT(ISNUMBER(L234)),"Enter an amount",IF(L234=0,"Enter an amount",IF(ABS(W234)&gt;ABS(L234),"Tax is larger than the amount","")))))))))))))</f>
        <v/>
      </c>
      <c r="Y234" s="67">
        <f>IF(OR(T234=1,X234&lt;&gt;""),"",IF(AND(B234&lt;&gt;"",COUNTIF(tx_ID,B234)&gt;1),"Duplicate transaction ID",IF(AND(L234&lt;0,D234&lt;&gt;"Adjustment"),"Negative amount — check this entry",IF(AND(D234="Customer Payment",G234=""),"Add the customer",IF(AND(D234="Customer Payment",OR(J234="",COUNTIF(ar_No,J234&amp;"")=0)),"Invoice # in Reference not found on AR sheet",IF(AND(D234="Bill Payment",H234=""),"Add the vendor",IF(AND(D234="Bill Payment",OR(J234="",COUNTIFS(ap_No,J234&amp;"",ap_Party,H234&amp;"")=0)),"Bill # + vendor not found on AP sheet",IF(AND(ISNUMBER(M234),N(M234)&lt;&gt;0,W234=0),"Tax ignored (tax tracking off, or not allowed for this type)",IF(V234=K234&amp;"","Same account on both sides",IF(AND(ISNUMBER(StartDate),C234&lt;StartDate),"Date is before the accounting start date",IF(AND(D234&lt;&gt;"Adjustment",IFERROR(INDEX(coa_Pay,MATCH(K234&amp;"",coa_Name,0)),"")&lt;&gt;"Yes"),"Paid From / Deposited To is not a payment account","")))))))))))</f>
        <v/>
      </c>
      <c r="Z234" s="67">
        <f>IF(AND(T234=0,X234=""),1,0)</f>
        <v/>
      </c>
      <c r="AA234" s="68">
        <f>IF(Z234=1,IF(U234="In",L234,L234-W234),0)</f>
        <v/>
      </c>
      <c r="AB234" s="68">
        <f>IF(Z234=1,IF(U234="In",L234-W234,L234),0)</f>
        <v/>
      </c>
      <c r="AC234" s="68">
        <f>IF(AND(Z234=1,U234="Out"),W234,0)</f>
        <v/>
      </c>
      <c r="AD234" s="68">
        <f>IF(AND(Z234=1,U234="In"),W234,0)</f>
        <v/>
      </c>
    </row>
    <row r="235">
      <c r="B235" s="62" t="inlineStr">
        <is>
          <t>TX-0229</t>
        </is>
      </c>
      <c r="C235" s="63" t="n">
        <v>46204</v>
      </c>
      <c r="D235" s="62" t="inlineStr">
        <is>
          <t>Money Out</t>
        </is>
      </c>
      <c r="E235" s="62" t="inlineStr">
        <is>
          <t>Rent</t>
        </is>
      </c>
      <c r="F235" s="62" t="inlineStr">
        <is>
          <t>Shop rent</t>
        </is>
      </c>
      <c r="G235" s="62" t="n"/>
      <c r="H235" s="62" t="n"/>
      <c r="I235" s="62" t="inlineStr">
        <is>
          <t>Bank Transfer</t>
        </is>
      </c>
      <c r="J235" s="62" t="inlineStr">
        <is>
          <t>RENT-07</t>
        </is>
      </c>
      <c r="K235" s="62" t="inlineStr">
        <is>
          <t>Bank Account</t>
        </is>
      </c>
      <c r="L235" s="64" t="n">
        <v>28000</v>
      </c>
      <c r="M235" s="64" t="n">
        <v>3000</v>
      </c>
      <c r="N235" s="62" t="n"/>
      <c r="O235" s="65">
        <f>IF(Z235=1,L235-W235,"")</f>
        <v/>
      </c>
      <c r="P235" s="66">
        <f>IF(V235="","",IFERROR(INDEX(coa_Type,MATCH(V235,coa_Name,0)),""))</f>
        <v/>
      </c>
      <c r="Q235" s="66">
        <f>IF(Z235=1,IF(U235="In",K235&amp;"",V235),"")</f>
        <v/>
      </c>
      <c r="R235" s="66">
        <f>IF(Z235=1,IF(U235="In",V235,K235&amp;""),"")</f>
        <v/>
      </c>
      <c r="S235" s="66">
        <f>IF(X235&lt;&gt;"","⛔ "&amp;X235&amp;" — not posted",IF(Y235&lt;&gt;"","⚠ "&amp;Y235,IF(Z235=1,"✓ OK","")))</f>
        <v/>
      </c>
      <c r="T235" s="67">
        <f>IF(AND(C235="",D235="",E235="",L235="",K235=""),1,0)</f>
        <v/>
      </c>
      <c r="U235" s="67">
        <f>IFERROR(INDEX(tt_Dir,MATCH(D235,tt_Type,0)),"")</f>
        <v/>
      </c>
      <c r="V235" s="67">
        <f>IF(D235="","",IFERROR(IF(INDEX(tt_Other,MATCH(D235,tt_Type,0))="",E235&amp;"",INDEX(tt_Other,MATCH(D235,tt_Type,0))),""))</f>
        <v/>
      </c>
      <c r="W235" s="68">
        <f>IF(OR(TaxOn&lt;&gt;"Yes",NOT(ISNUMBER(M235))),0,IF(IFERROR(INDEX(tt_Tax,MATCH(D235,tt_Type,0)),"No")="Yes",M235,0))</f>
        <v/>
      </c>
      <c r="X235" s="67">
        <f>IF(T235=1,"",IF(C235="","Missing transaction date",IF(NOT(ISNUMBER(C235)),"Invalid date",IF(OR(C235&lt;DATE(2000,1,1),C235&gt;DATE(2099,12,31)),"Invalid date",IF(D235="","Select a type",IF(U235="","Unknown type: "&amp;D235,IF(V235="","Select an account (Category)",IF(ISNA(MATCH(V235,coa_Name,0)),"Unknown account: "&amp;V235,IF(K235="","Select Paid From / Deposited To",IF(ISNA(MATCH(K235,coa_Name,0)),"Unknown account: "&amp;K235,IF(NOT(ISNUMBER(L235)),"Enter an amount",IF(L235=0,"Enter an amount",IF(ABS(W235)&gt;ABS(L235),"Tax is larger than the amount","")))))))))))))</f>
        <v/>
      </c>
      <c r="Y235" s="67">
        <f>IF(OR(T235=1,X235&lt;&gt;""),"",IF(AND(B235&lt;&gt;"",COUNTIF(tx_ID,B235)&gt;1),"Duplicate transaction ID",IF(AND(L235&lt;0,D235&lt;&gt;"Adjustment"),"Negative amount — check this entry",IF(AND(D235="Customer Payment",G235=""),"Add the customer",IF(AND(D235="Customer Payment",OR(J235="",COUNTIF(ar_No,J235&amp;"")=0)),"Invoice # in Reference not found on AR sheet",IF(AND(D235="Bill Payment",H235=""),"Add the vendor",IF(AND(D235="Bill Payment",OR(J235="",COUNTIFS(ap_No,J235&amp;"",ap_Party,H235&amp;"")=0)),"Bill # + vendor not found on AP sheet",IF(AND(ISNUMBER(M235),N(M235)&lt;&gt;0,W235=0),"Tax ignored (tax tracking off, or not allowed for this type)",IF(V235=K235&amp;"","Same account on both sides",IF(AND(ISNUMBER(StartDate),C235&lt;StartDate),"Date is before the accounting start date",IF(AND(D235&lt;&gt;"Adjustment",IFERROR(INDEX(coa_Pay,MATCH(K235&amp;"",coa_Name,0)),"")&lt;&gt;"Yes"),"Paid From / Deposited To is not a payment account","")))))))))))</f>
        <v/>
      </c>
      <c r="Z235" s="67">
        <f>IF(AND(T235=0,X235=""),1,0)</f>
        <v/>
      </c>
      <c r="AA235" s="68">
        <f>IF(Z235=1,IF(U235="In",L235,L235-W235),0)</f>
        <v/>
      </c>
      <c r="AB235" s="68">
        <f>IF(Z235=1,IF(U235="In",L235-W235,L235),0)</f>
        <v/>
      </c>
      <c r="AC235" s="68">
        <f>IF(AND(Z235=1,U235="Out"),W235,0)</f>
        <v/>
      </c>
      <c r="AD235" s="68">
        <f>IF(AND(Z235=1,U235="In"),W235,0)</f>
        <v/>
      </c>
    </row>
    <row r="236">
      <c r="B236" s="62" t="inlineStr">
        <is>
          <t>TX-0230</t>
        </is>
      </c>
      <c r="C236" s="63" t="n">
        <v>46207</v>
      </c>
      <c r="D236" s="62" t="inlineStr">
        <is>
          <t>Bill Payment</t>
        </is>
      </c>
      <c r="E236" s="62" t="n"/>
      <c r="F236" s="62" t="inlineStr">
        <is>
          <t>Supplier payment</t>
        </is>
      </c>
      <c r="G236" s="62" t="n"/>
      <c r="H236" s="62" t="inlineStr">
        <is>
          <t>Fresh Dairy Co.</t>
        </is>
      </c>
      <c r="I236" s="62" t="inlineStr">
        <is>
          <t>Bank Transfer</t>
        </is>
      </c>
      <c r="J236" s="62" t="inlineStr">
        <is>
          <t>FR-062</t>
        </is>
      </c>
      <c r="K236" s="62" t="inlineStr">
        <is>
          <t>Bank Account</t>
        </is>
      </c>
      <c r="L236" s="64" t="n">
        <v>12473.46</v>
      </c>
      <c r="M236" s="64" t="n"/>
      <c r="N236" s="62" t="n"/>
      <c r="O236" s="65">
        <f>IF(Z236=1,L236-W236,"")</f>
        <v/>
      </c>
      <c r="P236" s="66">
        <f>IF(V236="","",IFERROR(INDEX(coa_Type,MATCH(V236,coa_Name,0)),""))</f>
        <v/>
      </c>
      <c r="Q236" s="66">
        <f>IF(Z236=1,IF(U236="In",K236&amp;"",V236),"")</f>
        <v/>
      </c>
      <c r="R236" s="66">
        <f>IF(Z236=1,IF(U236="In",V236,K236&amp;""),"")</f>
        <v/>
      </c>
      <c r="S236" s="66">
        <f>IF(X236&lt;&gt;"","⛔ "&amp;X236&amp;" — not posted",IF(Y236&lt;&gt;"","⚠ "&amp;Y236,IF(Z236=1,"✓ OK","")))</f>
        <v/>
      </c>
      <c r="T236" s="67">
        <f>IF(AND(C236="",D236="",E236="",L236="",K236=""),1,0)</f>
        <v/>
      </c>
      <c r="U236" s="67">
        <f>IFERROR(INDEX(tt_Dir,MATCH(D236,tt_Type,0)),"")</f>
        <v/>
      </c>
      <c r="V236" s="67">
        <f>IF(D236="","",IFERROR(IF(INDEX(tt_Other,MATCH(D236,tt_Type,0))="",E236&amp;"",INDEX(tt_Other,MATCH(D236,tt_Type,0))),""))</f>
        <v/>
      </c>
      <c r="W236" s="68">
        <f>IF(OR(TaxOn&lt;&gt;"Yes",NOT(ISNUMBER(M236))),0,IF(IFERROR(INDEX(tt_Tax,MATCH(D236,tt_Type,0)),"No")="Yes",M236,0))</f>
        <v/>
      </c>
      <c r="X236" s="67">
        <f>IF(T236=1,"",IF(C236="","Missing transaction date",IF(NOT(ISNUMBER(C236)),"Invalid date",IF(OR(C236&lt;DATE(2000,1,1),C236&gt;DATE(2099,12,31)),"Invalid date",IF(D236="","Select a type",IF(U236="","Unknown type: "&amp;D236,IF(V236="","Select an account (Category)",IF(ISNA(MATCH(V236,coa_Name,0)),"Unknown account: "&amp;V236,IF(K236="","Select Paid From / Deposited To",IF(ISNA(MATCH(K236,coa_Name,0)),"Unknown account: "&amp;K236,IF(NOT(ISNUMBER(L236)),"Enter an amount",IF(L236=0,"Enter an amount",IF(ABS(W236)&gt;ABS(L236),"Tax is larger than the amount","")))))))))))))</f>
        <v/>
      </c>
      <c r="Y236" s="67">
        <f>IF(OR(T236=1,X236&lt;&gt;""),"",IF(AND(B236&lt;&gt;"",COUNTIF(tx_ID,B236)&gt;1),"Duplicate transaction ID",IF(AND(L236&lt;0,D236&lt;&gt;"Adjustment"),"Negative amount — check this entry",IF(AND(D236="Customer Payment",G236=""),"Add the customer",IF(AND(D236="Customer Payment",OR(J236="",COUNTIF(ar_No,J236&amp;"")=0)),"Invoice # in Reference not found on AR sheet",IF(AND(D236="Bill Payment",H236=""),"Add the vendor",IF(AND(D236="Bill Payment",OR(J236="",COUNTIFS(ap_No,J236&amp;"",ap_Party,H236&amp;"")=0)),"Bill # + vendor not found on AP sheet",IF(AND(ISNUMBER(M236),N(M236)&lt;&gt;0,W236=0),"Tax ignored (tax tracking off, or not allowed for this type)",IF(V236=K236&amp;"","Same account on both sides",IF(AND(ISNUMBER(StartDate),C236&lt;StartDate),"Date is before the accounting start date",IF(AND(D236&lt;&gt;"Adjustment",IFERROR(INDEX(coa_Pay,MATCH(K236&amp;"",coa_Name,0)),"")&lt;&gt;"Yes"),"Paid From / Deposited To is not a payment account","")))))))))))</f>
        <v/>
      </c>
      <c r="Z236" s="67">
        <f>IF(AND(T236=0,X236=""),1,0)</f>
        <v/>
      </c>
      <c r="AA236" s="68">
        <f>IF(Z236=1,IF(U236="In",L236,L236-W236),0)</f>
        <v/>
      </c>
      <c r="AB236" s="68">
        <f>IF(Z236=1,IF(U236="In",L236-W236,L236),0)</f>
        <v/>
      </c>
      <c r="AC236" s="68">
        <f>IF(AND(Z236=1,U236="Out"),W236,0)</f>
        <v/>
      </c>
      <c r="AD236" s="68">
        <f>IF(AND(Z236=1,U236="In"),W236,0)</f>
        <v/>
      </c>
    </row>
    <row r="237">
      <c r="B237" s="62" t="inlineStr">
        <is>
          <t>TX-0231</t>
        </is>
      </c>
      <c r="C237" s="63" t="n">
        <v>46207</v>
      </c>
      <c r="D237" s="62" t="inlineStr">
        <is>
          <t>Money In</t>
        </is>
      </c>
      <c r="E237" s="62" t="inlineStr">
        <is>
          <t>Product Sales</t>
        </is>
      </c>
      <c r="F237" s="62" t="inlineStr">
        <is>
          <t>Counter sales week 1</t>
        </is>
      </c>
      <c r="G237" s="62" t="n"/>
      <c r="H237" s="62" t="n"/>
      <c r="I237" s="62" t="inlineStr">
        <is>
          <t>Cash</t>
        </is>
      </c>
      <c r="J237" s="62" t="n"/>
      <c r="K237" s="62" t="inlineStr">
        <is>
          <t>Cash on Hand</t>
        </is>
      </c>
      <c r="L237" s="64" t="n">
        <v>49962</v>
      </c>
      <c r="M237" s="64" t="n">
        <v>5353.07</v>
      </c>
      <c r="N237" s="62" t="n"/>
      <c r="O237" s="65">
        <f>IF(Z237=1,L237-W237,"")</f>
        <v/>
      </c>
      <c r="P237" s="66">
        <f>IF(V237="","",IFERROR(INDEX(coa_Type,MATCH(V237,coa_Name,0)),""))</f>
        <v/>
      </c>
      <c r="Q237" s="66">
        <f>IF(Z237=1,IF(U237="In",K237&amp;"",V237),"")</f>
        <v/>
      </c>
      <c r="R237" s="66">
        <f>IF(Z237=1,IF(U237="In",V237,K237&amp;""),"")</f>
        <v/>
      </c>
      <c r="S237" s="66">
        <f>IF(X237&lt;&gt;"","⛔ "&amp;X237&amp;" — not posted",IF(Y237&lt;&gt;"","⚠ "&amp;Y237,IF(Z237=1,"✓ OK","")))</f>
        <v/>
      </c>
      <c r="T237" s="67">
        <f>IF(AND(C237="",D237="",E237="",L237="",K237=""),1,0)</f>
        <v/>
      </c>
      <c r="U237" s="67">
        <f>IFERROR(INDEX(tt_Dir,MATCH(D237,tt_Type,0)),"")</f>
        <v/>
      </c>
      <c r="V237" s="67">
        <f>IF(D237="","",IFERROR(IF(INDEX(tt_Other,MATCH(D237,tt_Type,0))="",E237&amp;"",INDEX(tt_Other,MATCH(D237,tt_Type,0))),""))</f>
        <v/>
      </c>
      <c r="W237" s="68">
        <f>IF(OR(TaxOn&lt;&gt;"Yes",NOT(ISNUMBER(M237))),0,IF(IFERROR(INDEX(tt_Tax,MATCH(D237,tt_Type,0)),"No")="Yes",M237,0))</f>
        <v/>
      </c>
      <c r="X237" s="67">
        <f>IF(T237=1,"",IF(C237="","Missing transaction date",IF(NOT(ISNUMBER(C237)),"Invalid date",IF(OR(C237&lt;DATE(2000,1,1),C237&gt;DATE(2099,12,31)),"Invalid date",IF(D237="","Select a type",IF(U237="","Unknown type: "&amp;D237,IF(V237="","Select an account (Category)",IF(ISNA(MATCH(V237,coa_Name,0)),"Unknown account: "&amp;V237,IF(K237="","Select Paid From / Deposited To",IF(ISNA(MATCH(K237,coa_Name,0)),"Unknown account: "&amp;K237,IF(NOT(ISNUMBER(L237)),"Enter an amount",IF(L237=0,"Enter an amount",IF(ABS(W237)&gt;ABS(L237),"Tax is larger than the amount","")))))))))))))</f>
        <v/>
      </c>
      <c r="Y237" s="67">
        <f>IF(OR(T237=1,X237&lt;&gt;""),"",IF(AND(B237&lt;&gt;"",COUNTIF(tx_ID,B237)&gt;1),"Duplicate transaction ID",IF(AND(L237&lt;0,D237&lt;&gt;"Adjustment"),"Negative amount — check this entry",IF(AND(D237="Customer Payment",G237=""),"Add the customer",IF(AND(D237="Customer Payment",OR(J237="",COUNTIF(ar_No,J237&amp;"")=0)),"Invoice # in Reference not found on AR sheet",IF(AND(D237="Bill Payment",H237=""),"Add the vendor",IF(AND(D237="Bill Payment",OR(J237="",COUNTIFS(ap_No,J237&amp;"",ap_Party,H237&amp;"")=0)),"Bill # + vendor not found on AP sheet",IF(AND(ISNUMBER(M237),N(M237)&lt;&gt;0,W237=0),"Tax ignored (tax tracking off, or not allowed for this type)",IF(V237=K237&amp;"","Same account on both sides",IF(AND(ISNUMBER(StartDate),C237&lt;StartDate),"Date is before the accounting start date",IF(AND(D237&lt;&gt;"Adjustment",IFERROR(INDEX(coa_Pay,MATCH(K237&amp;"",coa_Name,0)),"")&lt;&gt;"Yes"),"Paid From / Deposited To is not a payment account","")))))))))))</f>
        <v/>
      </c>
      <c r="Z237" s="67">
        <f>IF(AND(T237=0,X237=""),1,0)</f>
        <v/>
      </c>
      <c r="AA237" s="68">
        <f>IF(Z237=1,IF(U237="In",L237,L237-W237),0)</f>
        <v/>
      </c>
      <c r="AB237" s="68">
        <f>IF(Z237=1,IF(U237="In",L237-W237,L237),0)</f>
        <v/>
      </c>
      <c r="AC237" s="68">
        <f>IF(AND(Z237=1,U237="Out"),W237,0)</f>
        <v/>
      </c>
      <c r="AD237" s="68">
        <f>IF(AND(Z237=1,U237="In"),W237,0)</f>
        <v/>
      </c>
    </row>
    <row r="238">
      <c r="B238" s="62" t="inlineStr">
        <is>
          <t>TX-0232</t>
        </is>
      </c>
      <c r="C238" s="63" t="n">
        <v>46208</v>
      </c>
      <c r="D238" s="62" t="inlineStr">
        <is>
          <t>Money In</t>
        </is>
      </c>
      <c r="E238" s="62" t="inlineStr">
        <is>
          <t>Product Sales</t>
        </is>
      </c>
      <c r="F238" s="62" t="inlineStr">
        <is>
          <t>GCash / online orders week 1</t>
        </is>
      </c>
      <c r="G238" s="62" t="n"/>
      <c r="H238" s="62" t="n"/>
      <c r="I238" s="62" t="inlineStr">
        <is>
          <t>E-Wallet</t>
        </is>
      </c>
      <c r="J238" s="62" t="n"/>
      <c r="K238" s="62" t="inlineStr">
        <is>
          <t>E-Wallet / Online Payments</t>
        </is>
      </c>
      <c r="L238" s="64" t="n">
        <v>21839.02</v>
      </c>
      <c r="M238" s="64" t="n">
        <v>2339.89</v>
      </c>
      <c r="N238" s="62" t="n"/>
      <c r="O238" s="65">
        <f>IF(Z238=1,L238-W238,"")</f>
        <v/>
      </c>
      <c r="P238" s="66">
        <f>IF(V238="","",IFERROR(INDEX(coa_Type,MATCH(V238,coa_Name,0)),""))</f>
        <v/>
      </c>
      <c r="Q238" s="66">
        <f>IF(Z238=1,IF(U238="In",K238&amp;"",V238),"")</f>
        <v/>
      </c>
      <c r="R238" s="66">
        <f>IF(Z238=1,IF(U238="In",V238,K238&amp;""),"")</f>
        <v/>
      </c>
      <c r="S238" s="66">
        <f>IF(X238&lt;&gt;"","⛔ "&amp;X238&amp;" — not posted",IF(Y238&lt;&gt;"","⚠ "&amp;Y238,IF(Z238=1,"✓ OK","")))</f>
        <v/>
      </c>
      <c r="T238" s="67">
        <f>IF(AND(C238="",D238="",E238="",L238="",K238=""),1,0)</f>
        <v/>
      </c>
      <c r="U238" s="67">
        <f>IFERROR(INDEX(tt_Dir,MATCH(D238,tt_Type,0)),"")</f>
        <v/>
      </c>
      <c r="V238" s="67">
        <f>IF(D238="","",IFERROR(IF(INDEX(tt_Other,MATCH(D238,tt_Type,0))="",E238&amp;"",INDEX(tt_Other,MATCH(D238,tt_Type,0))),""))</f>
        <v/>
      </c>
      <c r="W238" s="68">
        <f>IF(OR(TaxOn&lt;&gt;"Yes",NOT(ISNUMBER(M238))),0,IF(IFERROR(INDEX(tt_Tax,MATCH(D238,tt_Type,0)),"No")="Yes",M238,0))</f>
        <v/>
      </c>
      <c r="X238" s="67">
        <f>IF(T238=1,"",IF(C238="","Missing transaction date",IF(NOT(ISNUMBER(C238)),"Invalid date",IF(OR(C238&lt;DATE(2000,1,1),C238&gt;DATE(2099,12,31)),"Invalid date",IF(D238="","Select a type",IF(U238="","Unknown type: "&amp;D238,IF(V238="","Select an account (Category)",IF(ISNA(MATCH(V238,coa_Name,0)),"Unknown account: "&amp;V238,IF(K238="","Select Paid From / Deposited To",IF(ISNA(MATCH(K238,coa_Name,0)),"Unknown account: "&amp;K238,IF(NOT(ISNUMBER(L238)),"Enter an amount",IF(L238=0,"Enter an amount",IF(ABS(W238)&gt;ABS(L238),"Tax is larger than the amount","")))))))))))))</f>
        <v/>
      </c>
      <c r="Y238" s="67">
        <f>IF(OR(T238=1,X238&lt;&gt;""),"",IF(AND(B238&lt;&gt;"",COUNTIF(tx_ID,B238)&gt;1),"Duplicate transaction ID",IF(AND(L238&lt;0,D238&lt;&gt;"Adjustment"),"Negative amount — check this entry",IF(AND(D238="Customer Payment",G238=""),"Add the customer",IF(AND(D238="Customer Payment",OR(J238="",COUNTIF(ar_No,J238&amp;"")=0)),"Invoice # in Reference not found on AR sheet",IF(AND(D238="Bill Payment",H238=""),"Add the vendor",IF(AND(D238="Bill Payment",OR(J238="",COUNTIFS(ap_No,J238&amp;"",ap_Party,H238&amp;"")=0)),"Bill # + vendor not found on AP sheet",IF(AND(ISNUMBER(M238),N(M238)&lt;&gt;0,W238=0),"Tax ignored (tax tracking off, or not allowed for this type)",IF(V238=K238&amp;"","Same account on both sides",IF(AND(ISNUMBER(StartDate),C238&lt;StartDate),"Date is before the accounting start date",IF(AND(D238&lt;&gt;"Adjustment",IFERROR(INDEX(coa_Pay,MATCH(K238&amp;"",coa_Name,0)),"")&lt;&gt;"Yes"),"Paid From / Deposited To is not a payment account","")))))))))))</f>
        <v/>
      </c>
      <c r="Z238" s="67">
        <f>IF(AND(T238=0,X238=""),1,0)</f>
        <v/>
      </c>
      <c r="AA238" s="68">
        <f>IF(Z238=1,IF(U238="In",L238,L238-W238),0)</f>
        <v/>
      </c>
      <c r="AB238" s="68">
        <f>IF(Z238=1,IF(U238="In",L238-W238,L238),0)</f>
        <v/>
      </c>
      <c r="AC238" s="68">
        <f>IF(AND(Z238=1,U238="Out"),W238,0)</f>
        <v/>
      </c>
      <c r="AD238" s="68">
        <f>IF(AND(Z238=1,U238="In"),W238,0)</f>
        <v/>
      </c>
    </row>
    <row r="239">
      <c r="B239" s="62" t="inlineStr">
        <is>
          <t>TX-0233</t>
        </is>
      </c>
      <c r="C239" s="63" t="n">
        <v>46208</v>
      </c>
      <c r="D239" s="62" t="inlineStr">
        <is>
          <t>Transfer</t>
        </is>
      </c>
      <c r="E239" s="62" t="inlineStr">
        <is>
          <t>Credit Card</t>
        </is>
      </c>
      <c r="F239" s="62" t="inlineStr">
        <is>
          <t>Credit card payment</t>
        </is>
      </c>
      <c r="G239" s="62" t="n"/>
      <c r="H239" s="62" t="n"/>
      <c r="I239" s="62" t="inlineStr">
        <is>
          <t>Bank Transfer</t>
        </is>
      </c>
      <c r="J239" s="62" t="n"/>
      <c r="K239" s="62" t="inlineStr">
        <is>
          <t>Bank Account</t>
        </is>
      </c>
      <c r="L239" s="64" t="n">
        <v>7440.2</v>
      </c>
      <c r="M239" s="64" t="n"/>
      <c r="N239" s="62" t="n"/>
      <c r="O239" s="65">
        <f>IF(Z239=1,L239-W239,"")</f>
        <v/>
      </c>
      <c r="P239" s="66">
        <f>IF(V239="","",IFERROR(INDEX(coa_Type,MATCH(V239,coa_Name,0)),""))</f>
        <v/>
      </c>
      <c r="Q239" s="66">
        <f>IF(Z239=1,IF(U239="In",K239&amp;"",V239),"")</f>
        <v/>
      </c>
      <c r="R239" s="66">
        <f>IF(Z239=1,IF(U239="In",V239,K239&amp;""),"")</f>
        <v/>
      </c>
      <c r="S239" s="66">
        <f>IF(X239&lt;&gt;"","⛔ "&amp;X239&amp;" — not posted",IF(Y239&lt;&gt;"","⚠ "&amp;Y239,IF(Z239=1,"✓ OK","")))</f>
        <v/>
      </c>
      <c r="T239" s="67">
        <f>IF(AND(C239="",D239="",E239="",L239="",K239=""),1,0)</f>
        <v/>
      </c>
      <c r="U239" s="67">
        <f>IFERROR(INDEX(tt_Dir,MATCH(D239,tt_Type,0)),"")</f>
        <v/>
      </c>
      <c r="V239" s="67">
        <f>IF(D239="","",IFERROR(IF(INDEX(tt_Other,MATCH(D239,tt_Type,0))="",E239&amp;"",INDEX(tt_Other,MATCH(D239,tt_Type,0))),""))</f>
        <v/>
      </c>
      <c r="W239" s="68">
        <f>IF(OR(TaxOn&lt;&gt;"Yes",NOT(ISNUMBER(M239))),0,IF(IFERROR(INDEX(tt_Tax,MATCH(D239,tt_Type,0)),"No")="Yes",M239,0))</f>
        <v/>
      </c>
      <c r="X239" s="67">
        <f>IF(T239=1,"",IF(C239="","Missing transaction date",IF(NOT(ISNUMBER(C239)),"Invalid date",IF(OR(C239&lt;DATE(2000,1,1),C239&gt;DATE(2099,12,31)),"Invalid date",IF(D239="","Select a type",IF(U239="","Unknown type: "&amp;D239,IF(V239="","Select an account (Category)",IF(ISNA(MATCH(V239,coa_Name,0)),"Unknown account: "&amp;V239,IF(K239="","Select Paid From / Deposited To",IF(ISNA(MATCH(K239,coa_Name,0)),"Unknown account: "&amp;K239,IF(NOT(ISNUMBER(L239)),"Enter an amount",IF(L239=0,"Enter an amount",IF(ABS(W239)&gt;ABS(L239),"Tax is larger than the amount","")))))))))))))</f>
        <v/>
      </c>
      <c r="Y239" s="67">
        <f>IF(OR(T239=1,X239&lt;&gt;""),"",IF(AND(B239&lt;&gt;"",COUNTIF(tx_ID,B239)&gt;1),"Duplicate transaction ID",IF(AND(L239&lt;0,D239&lt;&gt;"Adjustment"),"Negative amount — check this entry",IF(AND(D239="Customer Payment",G239=""),"Add the customer",IF(AND(D239="Customer Payment",OR(J239="",COUNTIF(ar_No,J239&amp;"")=0)),"Invoice # in Reference not found on AR sheet",IF(AND(D239="Bill Payment",H239=""),"Add the vendor",IF(AND(D239="Bill Payment",OR(J239="",COUNTIFS(ap_No,J239&amp;"",ap_Party,H239&amp;"")=0)),"Bill # + vendor not found on AP sheet",IF(AND(ISNUMBER(M239),N(M239)&lt;&gt;0,W239=0),"Tax ignored (tax tracking off, or not allowed for this type)",IF(V239=K239&amp;"","Same account on both sides",IF(AND(ISNUMBER(StartDate),C239&lt;StartDate),"Date is before the accounting start date",IF(AND(D239&lt;&gt;"Adjustment",IFERROR(INDEX(coa_Pay,MATCH(K239&amp;"",coa_Name,0)),"")&lt;&gt;"Yes"),"Paid From / Deposited To is not a payment account","")))))))))))</f>
        <v/>
      </c>
      <c r="Z239" s="67">
        <f>IF(AND(T239=0,X239=""),1,0)</f>
        <v/>
      </c>
      <c r="AA239" s="68">
        <f>IF(Z239=1,IF(U239="In",L239,L239-W239),0)</f>
        <v/>
      </c>
      <c r="AB239" s="68">
        <f>IF(Z239=1,IF(U239="In",L239-W239,L239),0)</f>
        <v/>
      </c>
      <c r="AC239" s="68">
        <f>IF(AND(Z239=1,U239="Out"),W239,0)</f>
        <v/>
      </c>
      <c r="AD239" s="68">
        <f>IF(AND(Z239=1,U239="In"),W239,0)</f>
        <v/>
      </c>
    </row>
    <row r="240">
      <c r="B240" s="62" t="inlineStr">
        <is>
          <t>TX-0234</t>
        </is>
      </c>
      <c r="C240" s="63" t="n">
        <v>46209</v>
      </c>
      <c r="D240" s="62" t="inlineStr">
        <is>
          <t>Bill Payment</t>
        </is>
      </c>
      <c r="E240" s="62" t="n"/>
      <c r="F240" s="62" t="inlineStr">
        <is>
          <t>Supplier payment</t>
        </is>
      </c>
      <c r="G240" s="62" t="n"/>
      <c r="H240" s="62" t="inlineStr">
        <is>
          <t>Golden Grain Flour Mill</t>
        </is>
      </c>
      <c r="I240" s="62" t="inlineStr">
        <is>
          <t>Bank Transfer</t>
        </is>
      </c>
      <c r="J240" s="62" t="inlineStr">
        <is>
          <t>GO-061</t>
        </is>
      </c>
      <c r="K240" s="62" t="inlineStr">
        <is>
          <t>Bank Account</t>
        </is>
      </c>
      <c r="L240" s="64" t="n">
        <v>30986.89</v>
      </c>
      <c r="M240" s="64" t="n"/>
      <c r="N240" s="62" t="n"/>
      <c r="O240" s="65">
        <f>IF(Z240=1,L240-W240,"")</f>
        <v/>
      </c>
      <c r="P240" s="66">
        <f>IF(V240="","",IFERROR(INDEX(coa_Type,MATCH(V240,coa_Name,0)),""))</f>
        <v/>
      </c>
      <c r="Q240" s="66">
        <f>IF(Z240=1,IF(U240="In",K240&amp;"",V240),"")</f>
        <v/>
      </c>
      <c r="R240" s="66">
        <f>IF(Z240=1,IF(U240="In",V240,K240&amp;""),"")</f>
        <v/>
      </c>
      <c r="S240" s="66">
        <f>IF(X240&lt;&gt;"","⛔ "&amp;X240&amp;" — not posted",IF(Y240&lt;&gt;"","⚠ "&amp;Y240,IF(Z240=1,"✓ OK","")))</f>
        <v/>
      </c>
      <c r="T240" s="67">
        <f>IF(AND(C240="",D240="",E240="",L240="",K240=""),1,0)</f>
        <v/>
      </c>
      <c r="U240" s="67">
        <f>IFERROR(INDEX(tt_Dir,MATCH(D240,tt_Type,0)),"")</f>
        <v/>
      </c>
      <c r="V240" s="67">
        <f>IF(D240="","",IFERROR(IF(INDEX(tt_Other,MATCH(D240,tt_Type,0))="",E240&amp;"",INDEX(tt_Other,MATCH(D240,tt_Type,0))),""))</f>
        <v/>
      </c>
      <c r="W240" s="68">
        <f>IF(OR(TaxOn&lt;&gt;"Yes",NOT(ISNUMBER(M240))),0,IF(IFERROR(INDEX(tt_Tax,MATCH(D240,tt_Type,0)),"No")="Yes",M240,0))</f>
        <v/>
      </c>
      <c r="X240" s="67">
        <f>IF(T240=1,"",IF(C240="","Missing transaction date",IF(NOT(ISNUMBER(C240)),"Invalid date",IF(OR(C240&lt;DATE(2000,1,1),C240&gt;DATE(2099,12,31)),"Invalid date",IF(D240="","Select a type",IF(U240="","Unknown type: "&amp;D240,IF(V240="","Select an account (Category)",IF(ISNA(MATCH(V240,coa_Name,0)),"Unknown account: "&amp;V240,IF(K240="","Select Paid From / Deposited To",IF(ISNA(MATCH(K240,coa_Name,0)),"Unknown account: "&amp;K240,IF(NOT(ISNUMBER(L240)),"Enter an amount",IF(L240=0,"Enter an amount",IF(ABS(W240)&gt;ABS(L240),"Tax is larger than the amount","")))))))))))))</f>
        <v/>
      </c>
      <c r="Y240" s="67">
        <f>IF(OR(T240=1,X240&lt;&gt;""),"",IF(AND(B240&lt;&gt;"",COUNTIF(tx_ID,B240)&gt;1),"Duplicate transaction ID",IF(AND(L240&lt;0,D240&lt;&gt;"Adjustment"),"Negative amount — check this entry",IF(AND(D240="Customer Payment",G240=""),"Add the customer",IF(AND(D240="Customer Payment",OR(J240="",COUNTIF(ar_No,J240&amp;"")=0)),"Invoice # in Reference not found on AR sheet",IF(AND(D240="Bill Payment",H240=""),"Add the vendor",IF(AND(D240="Bill Payment",OR(J240="",COUNTIFS(ap_No,J240&amp;"",ap_Party,H240&amp;"")=0)),"Bill # + vendor not found on AP sheet",IF(AND(ISNUMBER(M240),N(M240)&lt;&gt;0,W240=0),"Tax ignored (tax tracking off, or not allowed for this type)",IF(V240=K240&amp;"","Same account on both sides",IF(AND(ISNUMBER(StartDate),C240&lt;StartDate),"Date is before the accounting start date",IF(AND(D240&lt;&gt;"Adjustment",IFERROR(INDEX(coa_Pay,MATCH(K240&amp;"",coa_Name,0)),"")&lt;&gt;"Yes"),"Paid From / Deposited To is not a payment account","")))))))))))</f>
        <v/>
      </c>
      <c r="Z240" s="67">
        <f>IF(AND(T240=0,X240=""),1,0)</f>
        <v/>
      </c>
      <c r="AA240" s="68">
        <f>IF(Z240=1,IF(U240="In",L240,L240-W240),0)</f>
        <v/>
      </c>
      <c r="AB240" s="68">
        <f>IF(Z240=1,IF(U240="In",L240-W240,L240),0)</f>
        <v/>
      </c>
      <c r="AC240" s="68">
        <f>IF(AND(Z240=1,U240="Out"),W240,0)</f>
        <v/>
      </c>
      <c r="AD240" s="68">
        <f>IF(AND(Z240=1,U240="In"),W240,0)</f>
        <v/>
      </c>
    </row>
    <row r="241">
      <c r="B241" s="62" t="inlineStr">
        <is>
          <t>TX-0235</t>
        </is>
      </c>
      <c r="C241" s="63" t="n">
        <v>46209</v>
      </c>
      <c r="D241" s="62" t="inlineStr">
        <is>
          <t>Transfer</t>
        </is>
      </c>
      <c r="E241" s="62" t="inlineStr">
        <is>
          <t>Bank Account</t>
        </is>
      </c>
      <c r="F241" s="62" t="inlineStr">
        <is>
          <t>Cash deposit to bank</t>
        </is>
      </c>
      <c r="G241" s="62" t="n"/>
      <c r="H241" s="62" t="n"/>
      <c r="I241" s="62" t="inlineStr">
        <is>
          <t>Cash</t>
        </is>
      </c>
      <c r="J241" s="62" t="n"/>
      <c r="K241" s="62" t="inlineStr">
        <is>
          <t>Cash on Hand</t>
        </is>
      </c>
      <c r="L241" s="64" t="n">
        <v>42500</v>
      </c>
      <c r="M241" s="64" t="n"/>
      <c r="N241" s="62" t="n"/>
      <c r="O241" s="65">
        <f>IF(Z241=1,L241-W241,"")</f>
        <v/>
      </c>
      <c r="P241" s="66">
        <f>IF(V241="","",IFERROR(INDEX(coa_Type,MATCH(V241,coa_Name,0)),""))</f>
        <v/>
      </c>
      <c r="Q241" s="66">
        <f>IF(Z241=1,IF(U241="In",K241&amp;"",V241),"")</f>
        <v/>
      </c>
      <c r="R241" s="66">
        <f>IF(Z241=1,IF(U241="In",V241,K241&amp;""),"")</f>
        <v/>
      </c>
      <c r="S241" s="66">
        <f>IF(X241&lt;&gt;"","⛔ "&amp;X241&amp;" — not posted",IF(Y241&lt;&gt;"","⚠ "&amp;Y241,IF(Z241=1,"✓ OK","")))</f>
        <v/>
      </c>
      <c r="T241" s="67">
        <f>IF(AND(C241="",D241="",E241="",L241="",K241=""),1,0)</f>
        <v/>
      </c>
      <c r="U241" s="67">
        <f>IFERROR(INDEX(tt_Dir,MATCH(D241,tt_Type,0)),"")</f>
        <v/>
      </c>
      <c r="V241" s="67">
        <f>IF(D241="","",IFERROR(IF(INDEX(tt_Other,MATCH(D241,tt_Type,0))="",E241&amp;"",INDEX(tt_Other,MATCH(D241,tt_Type,0))),""))</f>
        <v/>
      </c>
      <c r="W241" s="68">
        <f>IF(OR(TaxOn&lt;&gt;"Yes",NOT(ISNUMBER(M241))),0,IF(IFERROR(INDEX(tt_Tax,MATCH(D241,tt_Type,0)),"No")="Yes",M241,0))</f>
        <v/>
      </c>
      <c r="X241" s="67">
        <f>IF(T241=1,"",IF(C241="","Missing transaction date",IF(NOT(ISNUMBER(C241)),"Invalid date",IF(OR(C241&lt;DATE(2000,1,1),C241&gt;DATE(2099,12,31)),"Invalid date",IF(D241="","Select a type",IF(U241="","Unknown type: "&amp;D241,IF(V241="","Select an account (Category)",IF(ISNA(MATCH(V241,coa_Name,0)),"Unknown account: "&amp;V241,IF(K241="","Select Paid From / Deposited To",IF(ISNA(MATCH(K241,coa_Name,0)),"Unknown account: "&amp;K241,IF(NOT(ISNUMBER(L241)),"Enter an amount",IF(L241=0,"Enter an amount",IF(ABS(W241)&gt;ABS(L241),"Tax is larger than the amount","")))))))))))))</f>
        <v/>
      </c>
      <c r="Y241" s="67">
        <f>IF(OR(T241=1,X241&lt;&gt;""),"",IF(AND(B241&lt;&gt;"",COUNTIF(tx_ID,B241)&gt;1),"Duplicate transaction ID",IF(AND(L241&lt;0,D241&lt;&gt;"Adjustment"),"Negative amount — check this entry",IF(AND(D241="Customer Payment",G241=""),"Add the customer",IF(AND(D241="Customer Payment",OR(J241="",COUNTIF(ar_No,J241&amp;"")=0)),"Invoice # in Reference not found on AR sheet",IF(AND(D241="Bill Payment",H241=""),"Add the vendor",IF(AND(D241="Bill Payment",OR(J241="",COUNTIFS(ap_No,J241&amp;"",ap_Party,H241&amp;"")=0)),"Bill # + vendor not found on AP sheet",IF(AND(ISNUMBER(M241),N(M241)&lt;&gt;0,W241=0),"Tax ignored (tax tracking off, or not allowed for this type)",IF(V241=K241&amp;"","Same account on both sides",IF(AND(ISNUMBER(StartDate),C241&lt;StartDate),"Date is before the accounting start date",IF(AND(D241&lt;&gt;"Adjustment",IFERROR(INDEX(coa_Pay,MATCH(K241&amp;"",coa_Name,0)),"")&lt;&gt;"Yes"),"Paid From / Deposited To is not a payment account","")))))))))))</f>
        <v/>
      </c>
      <c r="Z241" s="67">
        <f>IF(AND(T241=0,X241=""),1,0)</f>
        <v/>
      </c>
      <c r="AA241" s="68">
        <f>IF(Z241=1,IF(U241="In",L241,L241-W241),0)</f>
        <v/>
      </c>
      <c r="AB241" s="68">
        <f>IF(Z241=1,IF(U241="In",L241-W241,L241),0)</f>
        <v/>
      </c>
      <c r="AC241" s="68">
        <f>IF(AND(Z241=1,U241="Out"),W241,0)</f>
        <v/>
      </c>
      <c r="AD241" s="68">
        <f>IF(AND(Z241=1,U241="In"),W241,0)</f>
        <v/>
      </c>
    </row>
    <row r="242">
      <c r="B242" s="62" t="inlineStr">
        <is>
          <t>TX-0236</t>
        </is>
      </c>
      <c r="C242" s="63" t="n">
        <v>46209</v>
      </c>
      <c r="D242" s="62" t="inlineStr">
        <is>
          <t>Money Out</t>
        </is>
      </c>
      <c r="E242" s="62" t="inlineStr">
        <is>
          <t>Other Direct Costs</t>
        </is>
      </c>
      <c r="F242" s="62" t="inlineStr">
        <is>
          <t>Boxes &amp; paper bags (market)</t>
        </is>
      </c>
      <c r="G242" s="62" t="n"/>
      <c r="H242" s="62" t="n"/>
      <c r="I242" s="62" t="inlineStr">
        <is>
          <t>Cash</t>
        </is>
      </c>
      <c r="J242" s="62" t="n"/>
      <c r="K242" s="62" t="inlineStr">
        <is>
          <t>Cash on Hand</t>
        </is>
      </c>
      <c r="L242" s="64" t="n">
        <v>3759.29</v>
      </c>
      <c r="M242" s="64" t="n">
        <v>402.78</v>
      </c>
      <c r="N242" s="62" t="n"/>
      <c r="O242" s="65">
        <f>IF(Z242=1,L242-W242,"")</f>
        <v/>
      </c>
      <c r="P242" s="66">
        <f>IF(V242="","",IFERROR(INDEX(coa_Type,MATCH(V242,coa_Name,0)),""))</f>
        <v/>
      </c>
      <c r="Q242" s="66">
        <f>IF(Z242=1,IF(U242="In",K242&amp;"",V242),"")</f>
        <v/>
      </c>
      <c r="R242" s="66">
        <f>IF(Z242=1,IF(U242="In",V242,K242&amp;""),"")</f>
        <v/>
      </c>
      <c r="S242" s="66">
        <f>IF(X242&lt;&gt;"","⛔ "&amp;X242&amp;" — not posted",IF(Y242&lt;&gt;"","⚠ "&amp;Y242,IF(Z242=1,"✓ OK","")))</f>
        <v/>
      </c>
      <c r="T242" s="67">
        <f>IF(AND(C242="",D242="",E242="",L242="",K242=""),1,0)</f>
        <v/>
      </c>
      <c r="U242" s="67">
        <f>IFERROR(INDEX(tt_Dir,MATCH(D242,tt_Type,0)),"")</f>
        <v/>
      </c>
      <c r="V242" s="67">
        <f>IF(D242="","",IFERROR(IF(INDEX(tt_Other,MATCH(D242,tt_Type,0))="",E242&amp;"",INDEX(tt_Other,MATCH(D242,tt_Type,0))),""))</f>
        <v/>
      </c>
      <c r="W242" s="68">
        <f>IF(OR(TaxOn&lt;&gt;"Yes",NOT(ISNUMBER(M242))),0,IF(IFERROR(INDEX(tt_Tax,MATCH(D242,tt_Type,0)),"No")="Yes",M242,0))</f>
        <v/>
      </c>
      <c r="X242" s="67">
        <f>IF(T242=1,"",IF(C242="","Missing transaction date",IF(NOT(ISNUMBER(C242)),"Invalid date",IF(OR(C242&lt;DATE(2000,1,1),C242&gt;DATE(2099,12,31)),"Invalid date",IF(D242="","Select a type",IF(U242="","Unknown type: "&amp;D242,IF(V242="","Select an account (Category)",IF(ISNA(MATCH(V242,coa_Name,0)),"Unknown account: "&amp;V242,IF(K242="","Select Paid From / Deposited To",IF(ISNA(MATCH(K242,coa_Name,0)),"Unknown account: "&amp;K242,IF(NOT(ISNUMBER(L242)),"Enter an amount",IF(L242=0,"Enter an amount",IF(ABS(W242)&gt;ABS(L242),"Tax is larger than the amount","")))))))))))))</f>
        <v/>
      </c>
      <c r="Y242" s="67">
        <f>IF(OR(T242=1,X242&lt;&gt;""),"",IF(AND(B242&lt;&gt;"",COUNTIF(tx_ID,B242)&gt;1),"Duplicate transaction ID",IF(AND(L242&lt;0,D242&lt;&gt;"Adjustment"),"Negative amount — check this entry",IF(AND(D242="Customer Payment",G242=""),"Add the customer",IF(AND(D242="Customer Payment",OR(J242="",COUNTIF(ar_No,J242&amp;"")=0)),"Invoice # in Reference not found on AR sheet",IF(AND(D242="Bill Payment",H242=""),"Add the vendor",IF(AND(D242="Bill Payment",OR(J242="",COUNTIFS(ap_No,J242&amp;"",ap_Party,H242&amp;"")=0)),"Bill # + vendor not found on AP sheet",IF(AND(ISNUMBER(M242),N(M242)&lt;&gt;0,W242=0),"Tax ignored (tax tracking off, or not allowed for this type)",IF(V242=K242&amp;"","Same account on both sides",IF(AND(ISNUMBER(StartDate),C242&lt;StartDate),"Date is before the accounting start date",IF(AND(D242&lt;&gt;"Adjustment",IFERROR(INDEX(coa_Pay,MATCH(K242&amp;"",coa_Name,0)),"")&lt;&gt;"Yes"),"Paid From / Deposited To is not a payment account","")))))))))))</f>
        <v/>
      </c>
      <c r="Z242" s="67">
        <f>IF(AND(T242=0,X242=""),1,0)</f>
        <v/>
      </c>
      <c r="AA242" s="68">
        <f>IF(Z242=1,IF(U242="In",L242,L242-W242),0)</f>
        <v/>
      </c>
      <c r="AB242" s="68">
        <f>IF(Z242=1,IF(U242="In",L242-W242,L242),0)</f>
        <v/>
      </c>
      <c r="AC242" s="68">
        <f>IF(AND(Z242=1,U242="Out"),W242,0)</f>
        <v/>
      </c>
      <c r="AD242" s="68">
        <f>IF(AND(Z242=1,U242="In"),W242,0)</f>
        <v/>
      </c>
    </row>
    <row r="243">
      <c r="B243" s="62" t="inlineStr">
        <is>
          <t>TX-0237</t>
        </is>
      </c>
      <c r="C243" s="63" t="n">
        <v>46211</v>
      </c>
      <c r="D243" s="62" t="inlineStr">
        <is>
          <t>Money Out</t>
        </is>
      </c>
      <c r="E243" s="62" t="inlineStr">
        <is>
          <t>Advertising &amp; Marketing</t>
        </is>
      </c>
      <c r="F243" s="62" t="inlineStr">
        <is>
          <t>Facebook / Instagram ads</t>
        </is>
      </c>
      <c r="G243" s="62" t="n"/>
      <c r="H243" s="62" t="n"/>
      <c r="I243" s="62" t="inlineStr">
        <is>
          <t>Credit Card</t>
        </is>
      </c>
      <c r="J243" s="62" t="n"/>
      <c r="K243" s="62" t="inlineStr">
        <is>
          <t>Credit Card</t>
        </is>
      </c>
      <c r="L243" s="64" t="n">
        <v>4337.28</v>
      </c>
      <c r="M243" s="64" t="n">
        <v>464.71</v>
      </c>
      <c r="N243" s="62" t="n"/>
      <c r="O243" s="65">
        <f>IF(Z243=1,L243-W243,"")</f>
        <v/>
      </c>
      <c r="P243" s="66">
        <f>IF(V243="","",IFERROR(INDEX(coa_Type,MATCH(V243,coa_Name,0)),""))</f>
        <v/>
      </c>
      <c r="Q243" s="66">
        <f>IF(Z243=1,IF(U243="In",K243&amp;"",V243),"")</f>
        <v/>
      </c>
      <c r="R243" s="66">
        <f>IF(Z243=1,IF(U243="In",V243,K243&amp;""),"")</f>
        <v/>
      </c>
      <c r="S243" s="66">
        <f>IF(X243&lt;&gt;"","⛔ "&amp;X243&amp;" — not posted",IF(Y243&lt;&gt;"","⚠ "&amp;Y243,IF(Z243=1,"✓ OK","")))</f>
        <v/>
      </c>
      <c r="T243" s="67">
        <f>IF(AND(C243="",D243="",E243="",L243="",K243=""),1,0)</f>
        <v/>
      </c>
      <c r="U243" s="67">
        <f>IFERROR(INDEX(tt_Dir,MATCH(D243,tt_Type,0)),"")</f>
        <v/>
      </c>
      <c r="V243" s="67">
        <f>IF(D243="","",IFERROR(IF(INDEX(tt_Other,MATCH(D243,tt_Type,0))="",E243&amp;"",INDEX(tt_Other,MATCH(D243,tt_Type,0))),""))</f>
        <v/>
      </c>
      <c r="W243" s="68">
        <f>IF(OR(TaxOn&lt;&gt;"Yes",NOT(ISNUMBER(M243))),0,IF(IFERROR(INDEX(tt_Tax,MATCH(D243,tt_Type,0)),"No")="Yes",M243,0))</f>
        <v/>
      </c>
      <c r="X243" s="67">
        <f>IF(T243=1,"",IF(C243="","Missing transaction date",IF(NOT(ISNUMBER(C243)),"Invalid date",IF(OR(C243&lt;DATE(2000,1,1),C243&gt;DATE(2099,12,31)),"Invalid date",IF(D243="","Select a type",IF(U243="","Unknown type: "&amp;D243,IF(V243="","Select an account (Category)",IF(ISNA(MATCH(V243,coa_Name,0)),"Unknown account: "&amp;V243,IF(K243="","Select Paid From / Deposited To",IF(ISNA(MATCH(K243,coa_Name,0)),"Unknown account: "&amp;K243,IF(NOT(ISNUMBER(L243)),"Enter an amount",IF(L243=0,"Enter an amount",IF(ABS(W243)&gt;ABS(L243),"Tax is larger than the amount","")))))))))))))</f>
        <v/>
      </c>
      <c r="Y243" s="67">
        <f>IF(OR(T243=1,X243&lt;&gt;""),"",IF(AND(B243&lt;&gt;"",COUNTIF(tx_ID,B243)&gt;1),"Duplicate transaction ID",IF(AND(L243&lt;0,D243&lt;&gt;"Adjustment"),"Negative amount — check this entry",IF(AND(D243="Customer Payment",G243=""),"Add the customer",IF(AND(D243="Customer Payment",OR(J243="",COUNTIF(ar_No,J243&amp;"")=0)),"Invoice # in Reference not found on AR sheet",IF(AND(D243="Bill Payment",H243=""),"Add the vendor",IF(AND(D243="Bill Payment",OR(J243="",COUNTIFS(ap_No,J243&amp;"",ap_Party,H243&amp;"")=0)),"Bill # + vendor not found on AP sheet",IF(AND(ISNUMBER(M243),N(M243)&lt;&gt;0,W243=0),"Tax ignored (tax tracking off, or not allowed for this type)",IF(V243=K243&amp;"","Same account on both sides",IF(AND(ISNUMBER(StartDate),C243&lt;StartDate),"Date is before the accounting start date",IF(AND(D243&lt;&gt;"Adjustment",IFERROR(INDEX(coa_Pay,MATCH(K243&amp;"",coa_Name,0)),"")&lt;&gt;"Yes"),"Paid From / Deposited To is not a payment account","")))))))))))</f>
        <v/>
      </c>
      <c r="Z243" s="67">
        <f>IF(AND(T243=0,X243=""),1,0)</f>
        <v/>
      </c>
      <c r="AA243" s="68">
        <f>IF(Z243=1,IF(U243="In",L243,L243-W243),0)</f>
        <v/>
      </c>
      <c r="AB243" s="68">
        <f>IF(Z243=1,IF(U243="In",L243-W243,L243),0)</f>
        <v/>
      </c>
      <c r="AC243" s="68">
        <f>IF(AND(Z243=1,U243="Out"),W243,0)</f>
        <v/>
      </c>
      <c r="AD243" s="68">
        <f>IF(AND(Z243=1,U243="In"),W243,0)</f>
        <v/>
      </c>
    </row>
    <row r="244">
      <c r="B244" s="62" t="inlineStr">
        <is>
          <t>TX-0238</t>
        </is>
      </c>
      <c r="C244" s="63" t="n">
        <v>46212</v>
      </c>
      <c r="D244" s="62" t="inlineStr">
        <is>
          <t>Customer Payment</t>
        </is>
      </c>
      <c r="E244" s="62" t="n"/>
      <c r="F244" s="62" t="inlineStr">
        <is>
          <t>Invoice payment</t>
        </is>
      </c>
      <c r="G244" s="62" t="inlineStr">
        <is>
          <t>Northwind Offices</t>
        </is>
      </c>
      <c r="H244" s="62" t="n"/>
      <c r="I244" s="62" t="inlineStr">
        <is>
          <t>Bank Transfer</t>
        </is>
      </c>
      <c r="J244" s="62" t="inlineStr">
        <is>
          <t>INV-1015</t>
        </is>
      </c>
      <c r="K244" s="62" t="inlineStr">
        <is>
          <t>Bank Account</t>
        </is>
      </c>
      <c r="L244" s="64" t="n">
        <v>41106.95</v>
      </c>
      <c r="M244" s="64" t="n"/>
      <c r="N244" s="62" t="n"/>
      <c r="O244" s="65">
        <f>IF(Z244=1,L244-W244,"")</f>
        <v/>
      </c>
      <c r="P244" s="66">
        <f>IF(V244="","",IFERROR(INDEX(coa_Type,MATCH(V244,coa_Name,0)),""))</f>
        <v/>
      </c>
      <c r="Q244" s="66">
        <f>IF(Z244=1,IF(U244="In",K244&amp;"",V244),"")</f>
        <v/>
      </c>
      <c r="R244" s="66">
        <f>IF(Z244=1,IF(U244="In",V244,K244&amp;""),"")</f>
        <v/>
      </c>
      <c r="S244" s="66">
        <f>IF(X244&lt;&gt;"","⛔ "&amp;X244&amp;" — not posted",IF(Y244&lt;&gt;"","⚠ "&amp;Y244,IF(Z244=1,"✓ OK","")))</f>
        <v/>
      </c>
      <c r="T244" s="67">
        <f>IF(AND(C244="",D244="",E244="",L244="",K244=""),1,0)</f>
        <v/>
      </c>
      <c r="U244" s="67">
        <f>IFERROR(INDEX(tt_Dir,MATCH(D244,tt_Type,0)),"")</f>
        <v/>
      </c>
      <c r="V244" s="67">
        <f>IF(D244="","",IFERROR(IF(INDEX(tt_Other,MATCH(D244,tt_Type,0))="",E244&amp;"",INDEX(tt_Other,MATCH(D244,tt_Type,0))),""))</f>
        <v/>
      </c>
      <c r="W244" s="68">
        <f>IF(OR(TaxOn&lt;&gt;"Yes",NOT(ISNUMBER(M244))),0,IF(IFERROR(INDEX(tt_Tax,MATCH(D244,tt_Type,0)),"No")="Yes",M244,0))</f>
        <v/>
      </c>
      <c r="X244" s="67">
        <f>IF(T244=1,"",IF(C244="","Missing transaction date",IF(NOT(ISNUMBER(C244)),"Invalid date",IF(OR(C244&lt;DATE(2000,1,1),C244&gt;DATE(2099,12,31)),"Invalid date",IF(D244="","Select a type",IF(U244="","Unknown type: "&amp;D244,IF(V244="","Select an account (Category)",IF(ISNA(MATCH(V244,coa_Name,0)),"Unknown account: "&amp;V244,IF(K244="","Select Paid From / Deposited To",IF(ISNA(MATCH(K244,coa_Name,0)),"Unknown account: "&amp;K244,IF(NOT(ISNUMBER(L244)),"Enter an amount",IF(L244=0,"Enter an amount",IF(ABS(W244)&gt;ABS(L244),"Tax is larger than the amount","")))))))))))))</f>
        <v/>
      </c>
      <c r="Y244" s="67">
        <f>IF(OR(T244=1,X244&lt;&gt;""),"",IF(AND(B244&lt;&gt;"",COUNTIF(tx_ID,B244)&gt;1),"Duplicate transaction ID",IF(AND(L244&lt;0,D244&lt;&gt;"Adjustment"),"Negative amount — check this entry",IF(AND(D244="Customer Payment",G244=""),"Add the customer",IF(AND(D244="Customer Payment",OR(J244="",COUNTIF(ar_No,J244&amp;"")=0)),"Invoice # in Reference not found on AR sheet",IF(AND(D244="Bill Payment",H244=""),"Add the vendor",IF(AND(D244="Bill Payment",OR(J244="",COUNTIFS(ap_No,J244&amp;"",ap_Party,H244&amp;"")=0)),"Bill # + vendor not found on AP sheet",IF(AND(ISNUMBER(M244),N(M244)&lt;&gt;0,W244=0),"Tax ignored (tax tracking off, or not allowed for this type)",IF(V244=K244&amp;"","Same account on both sides",IF(AND(ISNUMBER(StartDate),C244&lt;StartDate),"Date is before the accounting start date",IF(AND(D244&lt;&gt;"Adjustment",IFERROR(INDEX(coa_Pay,MATCH(K244&amp;"",coa_Name,0)),"")&lt;&gt;"Yes"),"Paid From / Deposited To is not a payment account","")))))))))))</f>
        <v/>
      </c>
      <c r="Z244" s="67">
        <f>IF(AND(T244=0,X244=""),1,0)</f>
        <v/>
      </c>
      <c r="AA244" s="68">
        <f>IF(Z244=1,IF(U244="In",L244,L244-W244),0)</f>
        <v/>
      </c>
      <c r="AB244" s="68">
        <f>IF(Z244=1,IF(U244="In",L244-W244,L244),0)</f>
        <v/>
      </c>
      <c r="AC244" s="68">
        <f>IF(AND(Z244=1,U244="Out"),W244,0)</f>
        <v/>
      </c>
      <c r="AD244" s="68">
        <f>IF(AND(Z244=1,U244="In"),W244,0)</f>
        <v/>
      </c>
    </row>
    <row r="245">
      <c r="B245" s="62" t="inlineStr">
        <is>
          <t>TX-0239</t>
        </is>
      </c>
      <c r="C245" s="63" t="n">
        <v>46212</v>
      </c>
      <c r="D245" s="62" t="inlineStr">
        <is>
          <t>Money Out</t>
        </is>
      </c>
      <c r="E245" s="62" t="inlineStr">
        <is>
          <t>Software &amp; Subscriptions</t>
        </is>
      </c>
      <c r="F245" s="62" t="inlineStr">
        <is>
          <t>POS app subscription</t>
        </is>
      </c>
      <c r="G245" s="62" t="n"/>
      <c r="H245" s="62" t="n"/>
      <c r="I245" s="62" t="inlineStr">
        <is>
          <t>Credit Card</t>
        </is>
      </c>
      <c r="J245" s="62" t="n"/>
      <c r="K245" s="62" t="inlineStr">
        <is>
          <t>Credit Card</t>
        </is>
      </c>
      <c r="L245" s="64" t="n">
        <v>1450</v>
      </c>
      <c r="M245" s="64" t="n">
        <v>155.36</v>
      </c>
      <c r="N245" s="62" t="n"/>
      <c r="O245" s="65">
        <f>IF(Z245=1,L245-W245,"")</f>
        <v/>
      </c>
      <c r="P245" s="66">
        <f>IF(V245="","",IFERROR(INDEX(coa_Type,MATCH(V245,coa_Name,0)),""))</f>
        <v/>
      </c>
      <c r="Q245" s="66">
        <f>IF(Z245=1,IF(U245="In",K245&amp;"",V245),"")</f>
        <v/>
      </c>
      <c r="R245" s="66">
        <f>IF(Z245=1,IF(U245="In",V245,K245&amp;""),"")</f>
        <v/>
      </c>
      <c r="S245" s="66">
        <f>IF(X245&lt;&gt;"","⛔ "&amp;X245&amp;" — not posted",IF(Y245&lt;&gt;"","⚠ "&amp;Y245,IF(Z245=1,"✓ OK","")))</f>
        <v/>
      </c>
      <c r="T245" s="67">
        <f>IF(AND(C245="",D245="",E245="",L245="",K245=""),1,0)</f>
        <v/>
      </c>
      <c r="U245" s="67">
        <f>IFERROR(INDEX(tt_Dir,MATCH(D245,tt_Type,0)),"")</f>
        <v/>
      </c>
      <c r="V245" s="67">
        <f>IF(D245="","",IFERROR(IF(INDEX(tt_Other,MATCH(D245,tt_Type,0))="",E245&amp;"",INDEX(tt_Other,MATCH(D245,tt_Type,0))),""))</f>
        <v/>
      </c>
      <c r="W245" s="68">
        <f>IF(OR(TaxOn&lt;&gt;"Yes",NOT(ISNUMBER(M245))),0,IF(IFERROR(INDEX(tt_Tax,MATCH(D245,tt_Type,0)),"No")="Yes",M245,0))</f>
        <v/>
      </c>
      <c r="X245" s="67">
        <f>IF(T245=1,"",IF(C245="","Missing transaction date",IF(NOT(ISNUMBER(C245)),"Invalid date",IF(OR(C245&lt;DATE(2000,1,1),C245&gt;DATE(2099,12,31)),"Invalid date",IF(D245="","Select a type",IF(U245="","Unknown type: "&amp;D245,IF(V245="","Select an account (Category)",IF(ISNA(MATCH(V245,coa_Name,0)),"Unknown account: "&amp;V245,IF(K245="","Select Paid From / Deposited To",IF(ISNA(MATCH(K245,coa_Name,0)),"Unknown account: "&amp;K245,IF(NOT(ISNUMBER(L245)),"Enter an amount",IF(L245=0,"Enter an amount",IF(ABS(W245)&gt;ABS(L245),"Tax is larger than the amount","")))))))))))))</f>
        <v/>
      </c>
      <c r="Y245" s="67">
        <f>IF(OR(T245=1,X245&lt;&gt;""),"",IF(AND(B245&lt;&gt;"",COUNTIF(tx_ID,B245)&gt;1),"Duplicate transaction ID",IF(AND(L245&lt;0,D245&lt;&gt;"Adjustment"),"Negative amount — check this entry",IF(AND(D245="Customer Payment",G245=""),"Add the customer",IF(AND(D245="Customer Payment",OR(J245="",COUNTIF(ar_No,J245&amp;"")=0)),"Invoice # in Reference not found on AR sheet",IF(AND(D245="Bill Payment",H245=""),"Add the vendor",IF(AND(D245="Bill Payment",OR(J245="",COUNTIFS(ap_No,J245&amp;"",ap_Party,H245&amp;"")=0)),"Bill # + vendor not found on AP sheet",IF(AND(ISNUMBER(M245),N(M245)&lt;&gt;0,W245=0),"Tax ignored (tax tracking off, or not allowed for this type)",IF(V245=K245&amp;"","Same account on both sides",IF(AND(ISNUMBER(StartDate),C245&lt;StartDate),"Date is before the accounting start date",IF(AND(D245&lt;&gt;"Adjustment",IFERROR(INDEX(coa_Pay,MATCH(K245&amp;"",coa_Name,0)),"")&lt;&gt;"Yes"),"Paid From / Deposited To is not a payment account","")))))))))))</f>
        <v/>
      </c>
      <c r="Z245" s="67">
        <f>IF(AND(T245=0,X245=""),1,0)</f>
        <v/>
      </c>
      <c r="AA245" s="68">
        <f>IF(Z245=1,IF(U245="In",L245,L245-W245),0)</f>
        <v/>
      </c>
      <c r="AB245" s="68">
        <f>IF(Z245=1,IF(U245="In",L245-W245,L245),0)</f>
        <v/>
      </c>
      <c r="AC245" s="68">
        <f>IF(AND(Z245=1,U245="Out"),W245,0)</f>
        <v/>
      </c>
      <c r="AD245" s="68">
        <f>IF(AND(Z245=1,U245="In"),W245,0)</f>
        <v/>
      </c>
    </row>
    <row r="246">
      <c r="B246" s="62" t="inlineStr">
        <is>
          <t>TX-0240</t>
        </is>
      </c>
      <c r="C246" s="63" t="n">
        <v>46213</v>
      </c>
      <c r="D246" s="62" t="inlineStr">
        <is>
          <t>Money Out</t>
        </is>
      </c>
      <c r="E246" s="62" t="inlineStr">
        <is>
          <t>Loans Payable</t>
        </is>
      </c>
      <c r="F246" s="62" t="inlineStr">
        <is>
          <t>Loan principal</t>
        </is>
      </c>
      <c r="G246" s="62" t="n"/>
      <c r="H246" s="62" t="n"/>
      <c r="I246" s="62" t="inlineStr">
        <is>
          <t>Bank Transfer</t>
        </is>
      </c>
      <c r="J246" s="62" t="inlineStr">
        <is>
          <t>LOAN</t>
        </is>
      </c>
      <c r="K246" s="62" t="inlineStr">
        <is>
          <t>Bank Account</t>
        </is>
      </c>
      <c r="L246" s="64" t="n">
        <v>8000</v>
      </c>
      <c r="M246" s="64" t="n"/>
      <c r="N246" s="62" t="n"/>
      <c r="O246" s="65">
        <f>IF(Z246=1,L246-W246,"")</f>
        <v/>
      </c>
      <c r="P246" s="66">
        <f>IF(V246="","",IFERROR(INDEX(coa_Type,MATCH(V246,coa_Name,0)),""))</f>
        <v/>
      </c>
      <c r="Q246" s="66">
        <f>IF(Z246=1,IF(U246="In",K246&amp;"",V246),"")</f>
        <v/>
      </c>
      <c r="R246" s="66">
        <f>IF(Z246=1,IF(U246="In",V246,K246&amp;""),"")</f>
        <v/>
      </c>
      <c r="S246" s="66">
        <f>IF(X246&lt;&gt;"","⛔ "&amp;X246&amp;" — not posted",IF(Y246&lt;&gt;"","⚠ "&amp;Y246,IF(Z246=1,"✓ OK","")))</f>
        <v/>
      </c>
      <c r="T246" s="67">
        <f>IF(AND(C246="",D246="",E246="",L246="",K246=""),1,0)</f>
        <v/>
      </c>
      <c r="U246" s="67">
        <f>IFERROR(INDEX(tt_Dir,MATCH(D246,tt_Type,0)),"")</f>
        <v/>
      </c>
      <c r="V246" s="67">
        <f>IF(D246="","",IFERROR(IF(INDEX(tt_Other,MATCH(D246,tt_Type,0))="",E246&amp;"",INDEX(tt_Other,MATCH(D246,tt_Type,0))),""))</f>
        <v/>
      </c>
      <c r="W246" s="68">
        <f>IF(OR(TaxOn&lt;&gt;"Yes",NOT(ISNUMBER(M246))),0,IF(IFERROR(INDEX(tt_Tax,MATCH(D246,tt_Type,0)),"No")="Yes",M246,0))</f>
        <v/>
      </c>
      <c r="X246" s="67">
        <f>IF(T246=1,"",IF(C246="","Missing transaction date",IF(NOT(ISNUMBER(C246)),"Invalid date",IF(OR(C246&lt;DATE(2000,1,1),C246&gt;DATE(2099,12,31)),"Invalid date",IF(D246="","Select a type",IF(U246="","Unknown type: "&amp;D246,IF(V246="","Select an account (Category)",IF(ISNA(MATCH(V246,coa_Name,0)),"Unknown account: "&amp;V246,IF(K246="","Select Paid From / Deposited To",IF(ISNA(MATCH(K246,coa_Name,0)),"Unknown account: "&amp;K246,IF(NOT(ISNUMBER(L246)),"Enter an amount",IF(L246=0,"Enter an amount",IF(ABS(W246)&gt;ABS(L246),"Tax is larger than the amount","")))))))))))))</f>
        <v/>
      </c>
      <c r="Y246" s="67">
        <f>IF(OR(T246=1,X246&lt;&gt;""),"",IF(AND(B246&lt;&gt;"",COUNTIF(tx_ID,B246)&gt;1),"Duplicate transaction ID",IF(AND(L246&lt;0,D246&lt;&gt;"Adjustment"),"Negative amount — check this entry",IF(AND(D246="Customer Payment",G246=""),"Add the customer",IF(AND(D246="Customer Payment",OR(J246="",COUNTIF(ar_No,J246&amp;"")=0)),"Invoice # in Reference not found on AR sheet",IF(AND(D246="Bill Payment",H246=""),"Add the vendor",IF(AND(D246="Bill Payment",OR(J246="",COUNTIFS(ap_No,J246&amp;"",ap_Party,H246&amp;"")=0)),"Bill # + vendor not found on AP sheet",IF(AND(ISNUMBER(M246),N(M246)&lt;&gt;0,W246=0),"Tax ignored (tax tracking off, or not allowed for this type)",IF(V246=K246&amp;"","Same account on both sides",IF(AND(ISNUMBER(StartDate),C246&lt;StartDate),"Date is before the accounting start date",IF(AND(D246&lt;&gt;"Adjustment",IFERROR(INDEX(coa_Pay,MATCH(K246&amp;"",coa_Name,0)),"")&lt;&gt;"Yes"),"Paid From / Deposited To is not a payment account","")))))))))))</f>
        <v/>
      </c>
      <c r="Z246" s="67">
        <f>IF(AND(T246=0,X246=""),1,0)</f>
        <v/>
      </c>
      <c r="AA246" s="68">
        <f>IF(Z246=1,IF(U246="In",L246,L246-W246),0)</f>
        <v/>
      </c>
      <c r="AB246" s="68">
        <f>IF(Z246=1,IF(U246="In",L246-W246,L246),0)</f>
        <v/>
      </c>
      <c r="AC246" s="68">
        <f>IF(AND(Z246=1,U246="Out"),W246,0)</f>
        <v/>
      </c>
      <c r="AD246" s="68">
        <f>IF(AND(Z246=1,U246="In"),W246,0)</f>
        <v/>
      </c>
    </row>
    <row r="247">
      <c r="B247" s="62" t="inlineStr">
        <is>
          <t>TX-0241</t>
        </is>
      </c>
      <c r="C247" s="63" t="n">
        <v>46213</v>
      </c>
      <c r="D247" s="62" t="inlineStr">
        <is>
          <t>Money Out</t>
        </is>
      </c>
      <c r="E247" s="62" t="inlineStr">
        <is>
          <t>Interest Expense</t>
        </is>
      </c>
      <c r="F247" s="62" t="inlineStr">
        <is>
          <t>Loan interest</t>
        </is>
      </c>
      <c r="G247" s="62" t="n"/>
      <c r="H247" s="62" t="n"/>
      <c r="I247" s="62" t="inlineStr">
        <is>
          <t>Bank Transfer</t>
        </is>
      </c>
      <c r="J247" s="62" t="inlineStr">
        <is>
          <t>LOAN</t>
        </is>
      </c>
      <c r="K247" s="62" t="inlineStr">
        <is>
          <t>Bank Account</t>
        </is>
      </c>
      <c r="L247" s="64" t="n">
        <v>1140</v>
      </c>
      <c r="M247" s="64" t="n"/>
      <c r="N247" s="62" t="n"/>
      <c r="O247" s="65">
        <f>IF(Z247=1,L247-W247,"")</f>
        <v/>
      </c>
      <c r="P247" s="66">
        <f>IF(V247="","",IFERROR(INDEX(coa_Type,MATCH(V247,coa_Name,0)),""))</f>
        <v/>
      </c>
      <c r="Q247" s="66">
        <f>IF(Z247=1,IF(U247="In",K247&amp;"",V247),"")</f>
        <v/>
      </c>
      <c r="R247" s="66">
        <f>IF(Z247=1,IF(U247="In",V247,K247&amp;""),"")</f>
        <v/>
      </c>
      <c r="S247" s="66">
        <f>IF(X247&lt;&gt;"","⛔ "&amp;X247&amp;" — not posted",IF(Y247&lt;&gt;"","⚠ "&amp;Y247,IF(Z247=1,"✓ OK","")))</f>
        <v/>
      </c>
      <c r="T247" s="67">
        <f>IF(AND(C247="",D247="",E247="",L247="",K247=""),1,0)</f>
        <v/>
      </c>
      <c r="U247" s="67">
        <f>IFERROR(INDEX(tt_Dir,MATCH(D247,tt_Type,0)),"")</f>
        <v/>
      </c>
      <c r="V247" s="67">
        <f>IF(D247="","",IFERROR(IF(INDEX(tt_Other,MATCH(D247,tt_Type,0))="",E247&amp;"",INDEX(tt_Other,MATCH(D247,tt_Type,0))),""))</f>
        <v/>
      </c>
      <c r="W247" s="68">
        <f>IF(OR(TaxOn&lt;&gt;"Yes",NOT(ISNUMBER(M247))),0,IF(IFERROR(INDEX(tt_Tax,MATCH(D247,tt_Type,0)),"No")="Yes",M247,0))</f>
        <v/>
      </c>
      <c r="X247" s="67">
        <f>IF(T247=1,"",IF(C247="","Missing transaction date",IF(NOT(ISNUMBER(C247)),"Invalid date",IF(OR(C247&lt;DATE(2000,1,1),C247&gt;DATE(2099,12,31)),"Invalid date",IF(D247="","Select a type",IF(U247="","Unknown type: "&amp;D247,IF(V247="","Select an account (Category)",IF(ISNA(MATCH(V247,coa_Name,0)),"Unknown account: "&amp;V247,IF(K247="","Select Paid From / Deposited To",IF(ISNA(MATCH(K247,coa_Name,0)),"Unknown account: "&amp;K247,IF(NOT(ISNUMBER(L247)),"Enter an amount",IF(L247=0,"Enter an amount",IF(ABS(W247)&gt;ABS(L247),"Tax is larger than the amount","")))))))))))))</f>
        <v/>
      </c>
      <c r="Y247" s="67">
        <f>IF(OR(T247=1,X247&lt;&gt;""),"",IF(AND(B247&lt;&gt;"",COUNTIF(tx_ID,B247)&gt;1),"Duplicate transaction ID",IF(AND(L247&lt;0,D247&lt;&gt;"Adjustment"),"Negative amount — check this entry",IF(AND(D247="Customer Payment",G247=""),"Add the customer",IF(AND(D247="Customer Payment",OR(J247="",COUNTIF(ar_No,J247&amp;"")=0)),"Invoice # in Reference not found on AR sheet",IF(AND(D247="Bill Payment",H247=""),"Add the vendor",IF(AND(D247="Bill Payment",OR(J247="",COUNTIFS(ap_No,J247&amp;"",ap_Party,H247&amp;"")=0)),"Bill # + vendor not found on AP sheet",IF(AND(ISNUMBER(M247),N(M247)&lt;&gt;0,W247=0),"Tax ignored (tax tracking off, or not allowed for this type)",IF(V247=K247&amp;"","Same account on both sides",IF(AND(ISNUMBER(StartDate),C247&lt;StartDate),"Date is before the accounting start date",IF(AND(D247&lt;&gt;"Adjustment",IFERROR(INDEX(coa_Pay,MATCH(K247&amp;"",coa_Name,0)),"")&lt;&gt;"Yes"),"Paid From / Deposited To is not a payment account","")))))))))))</f>
        <v/>
      </c>
      <c r="Z247" s="67">
        <f>IF(AND(T247=0,X247=""),1,0)</f>
        <v/>
      </c>
      <c r="AA247" s="68">
        <f>IF(Z247=1,IF(U247="In",L247,L247-W247),0)</f>
        <v/>
      </c>
      <c r="AB247" s="68">
        <f>IF(Z247=1,IF(U247="In",L247-W247,L247),0)</f>
        <v/>
      </c>
      <c r="AC247" s="68">
        <f>IF(AND(Z247=1,U247="Out"),W247,0)</f>
        <v/>
      </c>
      <c r="AD247" s="68">
        <f>IF(AND(Z247=1,U247="In"),W247,0)</f>
        <v/>
      </c>
    </row>
    <row r="248">
      <c r="B248" s="62" t="inlineStr">
        <is>
          <t>TX-0242</t>
        </is>
      </c>
      <c r="C248" s="63" t="n">
        <v>46214</v>
      </c>
      <c r="D248" s="62" t="inlineStr">
        <is>
          <t>Money In</t>
        </is>
      </c>
      <c r="E248" s="62" t="inlineStr">
        <is>
          <t>Product Sales</t>
        </is>
      </c>
      <c r="F248" s="62" t="inlineStr">
        <is>
          <t>Counter sales week 2</t>
        </is>
      </c>
      <c r="G248" s="62" t="n"/>
      <c r="H248" s="62" t="n"/>
      <c r="I248" s="62" t="inlineStr">
        <is>
          <t>Cash</t>
        </is>
      </c>
      <c r="J248" s="62" t="n"/>
      <c r="K248" s="62" t="inlineStr">
        <is>
          <t>Cash on Hand</t>
        </is>
      </c>
      <c r="L248" s="64" t="n">
        <v>54568.07</v>
      </c>
      <c r="M248" s="64" t="n">
        <v>5846.58</v>
      </c>
      <c r="N248" s="62" t="n"/>
      <c r="O248" s="65">
        <f>IF(Z248=1,L248-W248,"")</f>
        <v/>
      </c>
      <c r="P248" s="66">
        <f>IF(V248="","",IFERROR(INDEX(coa_Type,MATCH(V248,coa_Name,0)),""))</f>
        <v/>
      </c>
      <c r="Q248" s="66">
        <f>IF(Z248=1,IF(U248="In",K248&amp;"",V248),"")</f>
        <v/>
      </c>
      <c r="R248" s="66">
        <f>IF(Z248=1,IF(U248="In",V248,K248&amp;""),"")</f>
        <v/>
      </c>
      <c r="S248" s="66">
        <f>IF(X248&lt;&gt;"","⛔ "&amp;X248&amp;" — not posted",IF(Y248&lt;&gt;"","⚠ "&amp;Y248,IF(Z248=1,"✓ OK","")))</f>
        <v/>
      </c>
      <c r="T248" s="67">
        <f>IF(AND(C248="",D248="",E248="",L248="",K248=""),1,0)</f>
        <v/>
      </c>
      <c r="U248" s="67">
        <f>IFERROR(INDEX(tt_Dir,MATCH(D248,tt_Type,0)),"")</f>
        <v/>
      </c>
      <c r="V248" s="67">
        <f>IF(D248="","",IFERROR(IF(INDEX(tt_Other,MATCH(D248,tt_Type,0))="",E248&amp;"",INDEX(tt_Other,MATCH(D248,tt_Type,0))),""))</f>
        <v/>
      </c>
      <c r="W248" s="68">
        <f>IF(OR(TaxOn&lt;&gt;"Yes",NOT(ISNUMBER(M248))),0,IF(IFERROR(INDEX(tt_Tax,MATCH(D248,tt_Type,0)),"No")="Yes",M248,0))</f>
        <v/>
      </c>
      <c r="X248" s="67">
        <f>IF(T248=1,"",IF(C248="","Missing transaction date",IF(NOT(ISNUMBER(C248)),"Invalid date",IF(OR(C248&lt;DATE(2000,1,1),C248&gt;DATE(2099,12,31)),"Invalid date",IF(D248="","Select a type",IF(U248="","Unknown type: "&amp;D248,IF(V248="","Select an account (Category)",IF(ISNA(MATCH(V248,coa_Name,0)),"Unknown account: "&amp;V248,IF(K248="","Select Paid From / Deposited To",IF(ISNA(MATCH(K248,coa_Name,0)),"Unknown account: "&amp;K248,IF(NOT(ISNUMBER(L248)),"Enter an amount",IF(L248=0,"Enter an amount",IF(ABS(W248)&gt;ABS(L248),"Tax is larger than the amount","")))))))))))))</f>
        <v/>
      </c>
      <c r="Y248" s="67">
        <f>IF(OR(T248=1,X248&lt;&gt;""),"",IF(AND(B248&lt;&gt;"",COUNTIF(tx_ID,B248)&gt;1),"Duplicate transaction ID",IF(AND(L248&lt;0,D248&lt;&gt;"Adjustment"),"Negative amount — check this entry",IF(AND(D248="Customer Payment",G248=""),"Add the customer",IF(AND(D248="Customer Payment",OR(J248="",COUNTIF(ar_No,J248&amp;"")=0)),"Invoice # in Reference not found on AR sheet",IF(AND(D248="Bill Payment",H248=""),"Add the vendor",IF(AND(D248="Bill Payment",OR(J248="",COUNTIFS(ap_No,J248&amp;"",ap_Party,H248&amp;"")=0)),"Bill # + vendor not found on AP sheet",IF(AND(ISNUMBER(M248),N(M248)&lt;&gt;0,W248=0),"Tax ignored (tax tracking off, or not allowed for this type)",IF(V248=K248&amp;"","Same account on both sides",IF(AND(ISNUMBER(StartDate),C248&lt;StartDate),"Date is before the accounting start date",IF(AND(D248&lt;&gt;"Adjustment",IFERROR(INDEX(coa_Pay,MATCH(K248&amp;"",coa_Name,0)),"")&lt;&gt;"Yes"),"Paid From / Deposited To is not a payment account","")))))))))))</f>
        <v/>
      </c>
      <c r="Z248" s="67">
        <f>IF(AND(T248=0,X248=""),1,0)</f>
        <v/>
      </c>
      <c r="AA248" s="68">
        <f>IF(Z248=1,IF(U248="In",L248,L248-W248),0)</f>
        <v/>
      </c>
      <c r="AB248" s="68">
        <f>IF(Z248=1,IF(U248="In",L248-W248,L248),0)</f>
        <v/>
      </c>
      <c r="AC248" s="68">
        <f>IF(AND(Z248=1,U248="Out"),W248,0)</f>
        <v/>
      </c>
      <c r="AD248" s="68">
        <f>IF(AND(Z248=1,U248="In"),W248,0)</f>
        <v/>
      </c>
    </row>
    <row r="249">
      <c r="B249" s="62" t="inlineStr">
        <is>
          <t>TX-0243</t>
        </is>
      </c>
      <c r="C249" s="63" t="n">
        <v>46214</v>
      </c>
      <c r="D249" s="62" t="inlineStr">
        <is>
          <t>Money Out</t>
        </is>
      </c>
      <c r="E249" s="62" t="inlineStr">
        <is>
          <t>Repairs &amp; Maintenance</t>
        </is>
      </c>
      <c r="F249" s="62" t="inlineStr">
        <is>
          <t>Mixer motor repair</t>
        </is>
      </c>
      <c r="G249" s="62" t="n"/>
      <c r="H249" s="62" t="n"/>
      <c r="I249" s="62" t="inlineStr">
        <is>
          <t>Cash</t>
        </is>
      </c>
      <c r="J249" s="62" t="n"/>
      <c r="K249" s="62" t="inlineStr">
        <is>
          <t>Cash on Hand</t>
        </is>
      </c>
      <c r="L249" s="64" t="n">
        <v>6500</v>
      </c>
      <c r="M249" s="64" t="n">
        <v>696.4299999999999</v>
      </c>
      <c r="N249" s="62" t="n"/>
      <c r="O249" s="65">
        <f>IF(Z249=1,L249-W249,"")</f>
        <v/>
      </c>
      <c r="P249" s="66">
        <f>IF(V249="","",IFERROR(INDEX(coa_Type,MATCH(V249,coa_Name,0)),""))</f>
        <v/>
      </c>
      <c r="Q249" s="66">
        <f>IF(Z249=1,IF(U249="In",K249&amp;"",V249),"")</f>
        <v/>
      </c>
      <c r="R249" s="66">
        <f>IF(Z249=1,IF(U249="In",V249,K249&amp;""),"")</f>
        <v/>
      </c>
      <c r="S249" s="66">
        <f>IF(X249&lt;&gt;"","⛔ "&amp;X249&amp;" — not posted",IF(Y249&lt;&gt;"","⚠ "&amp;Y249,IF(Z249=1,"✓ OK","")))</f>
        <v/>
      </c>
      <c r="T249" s="67">
        <f>IF(AND(C249="",D249="",E249="",L249="",K249=""),1,0)</f>
        <v/>
      </c>
      <c r="U249" s="67">
        <f>IFERROR(INDEX(tt_Dir,MATCH(D249,tt_Type,0)),"")</f>
        <v/>
      </c>
      <c r="V249" s="67">
        <f>IF(D249="","",IFERROR(IF(INDEX(tt_Other,MATCH(D249,tt_Type,0))="",E249&amp;"",INDEX(tt_Other,MATCH(D249,tt_Type,0))),""))</f>
        <v/>
      </c>
      <c r="W249" s="68">
        <f>IF(OR(TaxOn&lt;&gt;"Yes",NOT(ISNUMBER(M249))),0,IF(IFERROR(INDEX(tt_Tax,MATCH(D249,tt_Type,0)),"No")="Yes",M249,0))</f>
        <v/>
      </c>
      <c r="X249" s="67">
        <f>IF(T249=1,"",IF(C249="","Missing transaction date",IF(NOT(ISNUMBER(C249)),"Invalid date",IF(OR(C249&lt;DATE(2000,1,1),C249&gt;DATE(2099,12,31)),"Invalid date",IF(D249="","Select a type",IF(U249="","Unknown type: "&amp;D249,IF(V249="","Select an account (Category)",IF(ISNA(MATCH(V249,coa_Name,0)),"Unknown account: "&amp;V249,IF(K249="","Select Paid From / Deposited To",IF(ISNA(MATCH(K249,coa_Name,0)),"Unknown account: "&amp;K249,IF(NOT(ISNUMBER(L249)),"Enter an amount",IF(L249=0,"Enter an amount",IF(ABS(W249)&gt;ABS(L249),"Tax is larger than the amount","")))))))))))))</f>
        <v/>
      </c>
      <c r="Y249" s="67">
        <f>IF(OR(T249=1,X249&lt;&gt;""),"",IF(AND(B249&lt;&gt;"",COUNTIF(tx_ID,B249)&gt;1),"Duplicate transaction ID",IF(AND(L249&lt;0,D249&lt;&gt;"Adjustment"),"Negative amount — check this entry",IF(AND(D249="Customer Payment",G249=""),"Add the customer",IF(AND(D249="Customer Payment",OR(J249="",COUNTIF(ar_No,J249&amp;"")=0)),"Invoice # in Reference not found on AR sheet",IF(AND(D249="Bill Payment",H249=""),"Add the vendor",IF(AND(D249="Bill Payment",OR(J249="",COUNTIFS(ap_No,J249&amp;"",ap_Party,H249&amp;"")=0)),"Bill # + vendor not found on AP sheet",IF(AND(ISNUMBER(M249),N(M249)&lt;&gt;0,W249=0),"Tax ignored (tax tracking off, or not allowed for this type)",IF(V249=K249&amp;"","Same account on both sides",IF(AND(ISNUMBER(StartDate),C249&lt;StartDate),"Date is before the accounting start date",IF(AND(D249&lt;&gt;"Adjustment",IFERROR(INDEX(coa_Pay,MATCH(K249&amp;"",coa_Name,0)),"")&lt;&gt;"Yes"),"Paid From / Deposited To is not a payment account","")))))))))))</f>
        <v/>
      </c>
      <c r="Z249" s="67">
        <f>IF(AND(T249=0,X249=""),1,0)</f>
        <v/>
      </c>
      <c r="AA249" s="68">
        <f>IF(Z249=1,IF(U249="In",L249,L249-W249),0)</f>
        <v/>
      </c>
      <c r="AB249" s="68">
        <f>IF(Z249=1,IF(U249="In",L249-W249,L249),0)</f>
        <v/>
      </c>
      <c r="AC249" s="68">
        <f>IF(AND(Z249=1,U249="Out"),W249,0)</f>
        <v/>
      </c>
      <c r="AD249" s="68">
        <f>IF(AND(Z249=1,U249="In"),W249,0)</f>
        <v/>
      </c>
    </row>
    <row r="250">
      <c r="B250" s="62" t="inlineStr">
        <is>
          <t>TX-0244</t>
        </is>
      </c>
      <c r="C250" s="63" t="n">
        <v>46215</v>
      </c>
      <c r="D250" s="62" t="inlineStr">
        <is>
          <t>Customer Payment</t>
        </is>
      </c>
      <c r="E250" s="62" t="n"/>
      <c r="F250" s="62" t="inlineStr">
        <is>
          <t>Balance payment</t>
        </is>
      </c>
      <c r="G250" s="62" t="inlineStr">
        <is>
          <t>Brightpath Academy</t>
        </is>
      </c>
      <c r="H250" s="62" t="n"/>
      <c r="I250" s="62" t="inlineStr">
        <is>
          <t>Bank Transfer</t>
        </is>
      </c>
      <c r="J250" s="62" t="inlineStr">
        <is>
          <t>INV-1014</t>
        </is>
      </c>
      <c r="K250" s="62" t="inlineStr">
        <is>
          <t>Bank Account</t>
        </is>
      </c>
      <c r="L250" s="64" t="n">
        <v>18290.95</v>
      </c>
      <c r="M250" s="64" t="n"/>
      <c r="N250" s="62" t="n"/>
      <c r="O250" s="65">
        <f>IF(Z250=1,L250-W250,"")</f>
        <v/>
      </c>
      <c r="P250" s="66">
        <f>IF(V250="","",IFERROR(INDEX(coa_Type,MATCH(V250,coa_Name,0)),""))</f>
        <v/>
      </c>
      <c r="Q250" s="66">
        <f>IF(Z250=1,IF(U250="In",K250&amp;"",V250),"")</f>
        <v/>
      </c>
      <c r="R250" s="66">
        <f>IF(Z250=1,IF(U250="In",V250,K250&amp;""),"")</f>
        <v/>
      </c>
      <c r="S250" s="66">
        <f>IF(X250&lt;&gt;"","⛔ "&amp;X250&amp;" — not posted",IF(Y250&lt;&gt;"","⚠ "&amp;Y250,IF(Z250=1,"✓ OK","")))</f>
        <v/>
      </c>
      <c r="T250" s="67">
        <f>IF(AND(C250="",D250="",E250="",L250="",K250=""),1,0)</f>
        <v/>
      </c>
      <c r="U250" s="67">
        <f>IFERROR(INDEX(tt_Dir,MATCH(D250,tt_Type,0)),"")</f>
        <v/>
      </c>
      <c r="V250" s="67">
        <f>IF(D250="","",IFERROR(IF(INDEX(tt_Other,MATCH(D250,tt_Type,0))="",E250&amp;"",INDEX(tt_Other,MATCH(D250,tt_Type,0))),""))</f>
        <v/>
      </c>
      <c r="W250" s="68">
        <f>IF(OR(TaxOn&lt;&gt;"Yes",NOT(ISNUMBER(M250))),0,IF(IFERROR(INDEX(tt_Tax,MATCH(D250,tt_Type,0)),"No")="Yes",M250,0))</f>
        <v/>
      </c>
      <c r="X250" s="67">
        <f>IF(T250=1,"",IF(C250="","Missing transaction date",IF(NOT(ISNUMBER(C250)),"Invalid date",IF(OR(C250&lt;DATE(2000,1,1),C250&gt;DATE(2099,12,31)),"Invalid date",IF(D250="","Select a type",IF(U250="","Unknown type: "&amp;D250,IF(V250="","Select an account (Category)",IF(ISNA(MATCH(V250,coa_Name,0)),"Unknown account: "&amp;V250,IF(K250="","Select Paid From / Deposited To",IF(ISNA(MATCH(K250,coa_Name,0)),"Unknown account: "&amp;K250,IF(NOT(ISNUMBER(L250)),"Enter an amount",IF(L250=0,"Enter an amount",IF(ABS(W250)&gt;ABS(L250),"Tax is larger than the amount","")))))))))))))</f>
        <v/>
      </c>
      <c r="Y250" s="67">
        <f>IF(OR(T250=1,X250&lt;&gt;""),"",IF(AND(B250&lt;&gt;"",COUNTIF(tx_ID,B250)&gt;1),"Duplicate transaction ID",IF(AND(L250&lt;0,D250&lt;&gt;"Adjustment"),"Negative amount — check this entry",IF(AND(D250="Customer Payment",G250=""),"Add the customer",IF(AND(D250="Customer Payment",OR(J250="",COUNTIF(ar_No,J250&amp;"")=0)),"Invoice # in Reference not found on AR sheet",IF(AND(D250="Bill Payment",H250=""),"Add the vendor",IF(AND(D250="Bill Payment",OR(J250="",COUNTIFS(ap_No,J250&amp;"",ap_Party,H250&amp;"")=0)),"Bill # + vendor not found on AP sheet",IF(AND(ISNUMBER(M250),N(M250)&lt;&gt;0,W250=0),"Tax ignored (tax tracking off, or not allowed for this type)",IF(V250=K250&amp;"","Same account on both sides",IF(AND(ISNUMBER(StartDate),C250&lt;StartDate),"Date is before the accounting start date",IF(AND(D250&lt;&gt;"Adjustment",IFERROR(INDEX(coa_Pay,MATCH(K250&amp;"",coa_Name,0)),"")&lt;&gt;"Yes"),"Paid From / Deposited To is not a payment account","")))))))))))</f>
        <v/>
      </c>
      <c r="Z250" s="67">
        <f>IF(AND(T250=0,X250=""),1,0)</f>
        <v/>
      </c>
      <c r="AA250" s="68">
        <f>IF(Z250=1,IF(U250="In",L250,L250-W250),0)</f>
        <v/>
      </c>
      <c r="AB250" s="68">
        <f>IF(Z250=1,IF(U250="In",L250-W250,L250),0)</f>
        <v/>
      </c>
      <c r="AC250" s="68">
        <f>IF(AND(Z250=1,U250="Out"),W250,0)</f>
        <v/>
      </c>
      <c r="AD250" s="68">
        <f>IF(AND(Z250=1,U250="In"),W250,0)</f>
        <v/>
      </c>
    </row>
    <row r="251">
      <c r="B251" s="62" t="inlineStr">
        <is>
          <t>TX-0245</t>
        </is>
      </c>
      <c r="C251" s="63" t="n">
        <v>46215</v>
      </c>
      <c r="D251" s="62" t="inlineStr">
        <is>
          <t>Money In</t>
        </is>
      </c>
      <c r="E251" s="62" t="inlineStr">
        <is>
          <t>Product Sales</t>
        </is>
      </c>
      <c r="F251" s="62" t="inlineStr">
        <is>
          <t>GCash / online orders week 2</t>
        </is>
      </c>
      <c r="G251" s="62" t="n"/>
      <c r="H251" s="62" t="n"/>
      <c r="I251" s="62" t="inlineStr">
        <is>
          <t>E-Wallet</t>
        </is>
      </c>
      <c r="J251" s="62" t="n"/>
      <c r="K251" s="62" t="inlineStr">
        <is>
          <t>E-Wallet / Online Payments</t>
        </is>
      </c>
      <c r="L251" s="64" t="n">
        <v>23256.12</v>
      </c>
      <c r="M251" s="64" t="n">
        <v>2491.73</v>
      </c>
      <c r="N251" s="62" t="n"/>
      <c r="O251" s="65">
        <f>IF(Z251=1,L251-W251,"")</f>
        <v/>
      </c>
      <c r="P251" s="66">
        <f>IF(V251="","",IFERROR(INDEX(coa_Type,MATCH(V251,coa_Name,0)),""))</f>
        <v/>
      </c>
      <c r="Q251" s="66">
        <f>IF(Z251=1,IF(U251="In",K251&amp;"",V251),"")</f>
        <v/>
      </c>
      <c r="R251" s="66">
        <f>IF(Z251=1,IF(U251="In",V251,K251&amp;""),"")</f>
        <v/>
      </c>
      <c r="S251" s="66">
        <f>IF(X251&lt;&gt;"","⛔ "&amp;X251&amp;" — not posted",IF(Y251&lt;&gt;"","⚠ "&amp;Y251,IF(Z251=1,"✓ OK","")))</f>
        <v/>
      </c>
      <c r="T251" s="67">
        <f>IF(AND(C251="",D251="",E251="",L251="",K251=""),1,0)</f>
        <v/>
      </c>
      <c r="U251" s="67">
        <f>IFERROR(INDEX(tt_Dir,MATCH(D251,tt_Type,0)),"")</f>
        <v/>
      </c>
      <c r="V251" s="67">
        <f>IF(D251="","",IFERROR(IF(INDEX(tt_Other,MATCH(D251,tt_Type,0))="",E251&amp;"",INDEX(tt_Other,MATCH(D251,tt_Type,0))),""))</f>
        <v/>
      </c>
      <c r="W251" s="68">
        <f>IF(OR(TaxOn&lt;&gt;"Yes",NOT(ISNUMBER(M251))),0,IF(IFERROR(INDEX(tt_Tax,MATCH(D251,tt_Type,0)),"No")="Yes",M251,0))</f>
        <v/>
      </c>
      <c r="X251" s="67">
        <f>IF(T251=1,"",IF(C251="","Missing transaction date",IF(NOT(ISNUMBER(C251)),"Invalid date",IF(OR(C251&lt;DATE(2000,1,1),C251&gt;DATE(2099,12,31)),"Invalid date",IF(D251="","Select a type",IF(U251="","Unknown type: "&amp;D251,IF(V251="","Select an account (Category)",IF(ISNA(MATCH(V251,coa_Name,0)),"Unknown account: "&amp;V251,IF(K251="","Select Paid From / Deposited To",IF(ISNA(MATCH(K251,coa_Name,0)),"Unknown account: "&amp;K251,IF(NOT(ISNUMBER(L251)),"Enter an amount",IF(L251=0,"Enter an amount",IF(ABS(W251)&gt;ABS(L251),"Tax is larger than the amount","")))))))))))))</f>
        <v/>
      </c>
      <c r="Y251" s="67">
        <f>IF(OR(T251=1,X251&lt;&gt;""),"",IF(AND(B251&lt;&gt;"",COUNTIF(tx_ID,B251)&gt;1),"Duplicate transaction ID",IF(AND(L251&lt;0,D251&lt;&gt;"Adjustment"),"Negative amount — check this entry",IF(AND(D251="Customer Payment",G251=""),"Add the customer",IF(AND(D251="Customer Payment",OR(J251="",COUNTIF(ar_No,J251&amp;"")=0)),"Invoice # in Reference not found on AR sheet",IF(AND(D251="Bill Payment",H251=""),"Add the vendor",IF(AND(D251="Bill Payment",OR(J251="",COUNTIFS(ap_No,J251&amp;"",ap_Party,H251&amp;"")=0)),"Bill # + vendor not found on AP sheet",IF(AND(ISNUMBER(M251),N(M251)&lt;&gt;0,W251=0),"Tax ignored (tax tracking off, or not allowed for this type)",IF(V251=K251&amp;"","Same account on both sides",IF(AND(ISNUMBER(StartDate),C251&lt;StartDate),"Date is before the accounting start date",IF(AND(D251&lt;&gt;"Adjustment",IFERROR(INDEX(coa_Pay,MATCH(K251&amp;"",coa_Name,0)),"")&lt;&gt;"Yes"),"Paid From / Deposited To is not a payment account","")))))))))))</f>
        <v/>
      </c>
      <c r="Z251" s="67">
        <f>IF(AND(T251=0,X251=""),1,0)</f>
        <v/>
      </c>
      <c r="AA251" s="68">
        <f>IF(Z251=1,IF(U251="In",L251,L251-W251),0)</f>
        <v/>
      </c>
      <c r="AB251" s="68">
        <f>IF(Z251=1,IF(U251="In",L251-W251,L251),0)</f>
        <v/>
      </c>
      <c r="AC251" s="68">
        <f>IF(AND(Z251=1,U251="Out"),W251,0)</f>
        <v/>
      </c>
      <c r="AD251" s="68">
        <f>IF(AND(Z251=1,U251="In"),W251,0)</f>
        <v/>
      </c>
    </row>
    <row r="252">
      <c r="B252" s="62" t="inlineStr">
        <is>
          <t>TX-0246</t>
        </is>
      </c>
      <c r="C252" s="63" t="n">
        <v>46215</v>
      </c>
      <c r="D252" s="62" t="inlineStr">
        <is>
          <t>Money Out</t>
        </is>
      </c>
      <c r="E252" s="62" t="inlineStr">
        <is>
          <t>Utilities</t>
        </is>
      </c>
      <c r="F252" s="62" t="inlineStr">
        <is>
          <t>Electricity &amp; water</t>
        </is>
      </c>
      <c r="G252" s="62" t="n"/>
      <c r="H252" s="62" t="n"/>
      <c r="I252" s="62" t="inlineStr">
        <is>
          <t>Bank Transfer</t>
        </is>
      </c>
      <c r="J252" s="62" t="n"/>
      <c r="K252" s="62" t="inlineStr">
        <is>
          <t>Bank Account</t>
        </is>
      </c>
      <c r="L252" s="64" t="n">
        <v>12256.86</v>
      </c>
      <c r="M252" s="64" t="n">
        <v>1313.23</v>
      </c>
      <c r="N252" s="62" t="n"/>
      <c r="O252" s="65">
        <f>IF(Z252=1,L252-W252,"")</f>
        <v/>
      </c>
      <c r="P252" s="66">
        <f>IF(V252="","",IFERROR(INDEX(coa_Type,MATCH(V252,coa_Name,0)),""))</f>
        <v/>
      </c>
      <c r="Q252" s="66">
        <f>IF(Z252=1,IF(U252="In",K252&amp;"",V252),"")</f>
        <v/>
      </c>
      <c r="R252" s="66">
        <f>IF(Z252=1,IF(U252="In",V252,K252&amp;""),"")</f>
        <v/>
      </c>
      <c r="S252" s="66">
        <f>IF(X252&lt;&gt;"","⛔ "&amp;X252&amp;" — not posted",IF(Y252&lt;&gt;"","⚠ "&amp;Y252,IF(Z252=1,"✓ OK","")))</f>
        <v/>
      </c>
      <c r="T252" s="67">
        <f>IF(AND(C252="",D252="",E252="",L252="",K252=""),1,0)</f>
        <v/>
      </c>
      <c r="U252" s="67">
        <f>IFERROR(INDEX(tt_Dir,MATCH(D252,tt_Type,0)),"")</f>
        <v/>
      </c>
      <c r="V252" s="67">
        <f>IF(D252="","",IFERROR(IF(INDEX(tt_Other,MATCH(D252,tt_Type,0))="",E252&amp;"",INDEX(tt_Other,MATCH(D252,tt_Type,0))),""))</f>
        <v/>
      </c>
      <c r="W252" s="68">
        <f>IF(OR(TaxOn&lt;&gt;"Yes",NOT(ISNUMBER(M252))),0,IF(IFERROR(INDEX(tt_Tax,MATCH(D252,tt_Type,0)),"No")="Yes",M252,0))</f>
        <v/>
      </c>
      <c r="X252" s="67">
        <f>IF(T252=1,"",IF(C252="","Missing transaction date",IF(NOT(ISNUMBER(C252)),"Invalid date",IF(OR(C252&lt;DATE(2000,1,1),C252&gt;DATE(2099,12,31)),"Invalid date",IF(D252="","Select a type",IF(U252="","Unknown type: "&amp;D252,IF(V252="","Select an account (Category)",IF(ISNA(MATCH(V252,coa_Name,0)),"Unknown account: "&amp;V252,IF(K252="","Select Paid From / Deposited To",IF(ISNA(MATCH(K252,coa_Name,0)),"Unknown account: "&amp;K252,IF(NOT(ISNUMBER(L252)),"Enter an amount",IF(L252=0,"Enter an amount",IF(ABS(W252)&gt;ABS(L252),"Tax is larger than the amount","")))))))))))))</f>
        <v/>
      </c>
      <c r="Y252" s="67">
        <f>IF(OR(T252=1,X252&lt;&gt;""),"",IF(AND(B252&lt;&gt;"",COUNTIF(tx_ID,B252)&gt;1),"Duplicate transaction ID",IF(AND(L252&lt;0,D252&lt;&gt;"Adjustment"),"Negative amount — check this entry",IF(AND(D252="Customer Payment",G252=""),"Add the customer",IF(AND(D252="Customer Payment",OR(J252="",COUNTIF(ar_No,J252&amp;"")=0)),"Invoice # in Reference not found on AR sheet",IF(AND(D252="Bill Payment",H252=""),"Add the vendor",IF(AND(D252="Bill Payment",OR(J252="",COUNTIFS(ap_No,J252&amp;"",ap_Party,H252&amp;"")=0)),"Bill # + vendor not found on AP sheet",IF(AND(ISNUMBER(M252),N(M252)&lt;&gt;0,W252=0),"Tax ignored (tax tracking off, or not allowed for this type)",IF(V252=K252&amp;"","Same account on both sides",IF(AND(ISNUMBER(StartDate),C252&lt;StartDate),"Date is before the accounting start date",IF(AND(D252&lt;&gt;"Adjustment",IFERROR(INDEX(coa_Pay,MATCH(K252&amp;"",coa_Name,0)),"")&lt;&gt;"Yes"),"Paid From / Deposited To is not a payment account","")))))))))))</f>
        <v/>
      </c>
      <c r="Z252" s="67">
        <f>IF(AND(T252=0,X252=""),1,0)</f>
        <v/>
      </c>
      <c r="AA252" s="68">
        <f>IF(Z252=1,IF(U252="In",L252,L252-W252),0)</f>
        <v/>
      </c>
      <c r="AB252" s="68">
        <f>IF(Z252=1,IF(U252="In",L252-W252,L252),0)</f>
        <v/>
      </c>
      <c r="AC252" s="68">
        <f>IF(AND(Z252=1,U252="Out"),W252,0)</f>
        <v/>
      </c>
      <c r="AD252" s="68">
        <f>IF(AND(Z252=1,U252="In"),W252,0)</f>
        <v/>
      </c>
    </row>
    <row r="253">
      <c r="B253" s="62" t="inlineStr">
        <is>
          <t>TX-0247</t>
        </is>
      </c>
      <c r="C253" s="63" t="n">
        <v>46216</v>
      </c>
      <c r="D253" s="62" t="inlineStr">
        <is>
          <t>Transfer</t>
        </is>
      </c>
      <c r="E253" s="62" t="inlineStr">
        <is>
          <t>Bank Account</t>
        </is>
      </c>
      <c r="F253" s="62" t="inlineStr">
        <is>
          <t>Cash deposit to bank</t>
        </is>
      </c>
      <c r="G253" s="62" t="n"/>
      <c r="H253" s="62" t="n"/>
      <c r="I253" s="62" t="inlineStr">
        <is>
          <t>Cash</t>
        </is>
      </c>
      <c r="J253" s="62" t="n"/>
      <c r="K253" s="62" t="inlineStr">
        <is>
          <t>Cash on Hand</t>
        </is>
      </c>
      <c r="L253" s="64" t="n">
        <v>46400</v>
      </c>
      <c r="M253" s="64" t="n"/>
      <c r="N253" s="62" t="n"/>
      <c r="O253" s="65">
        <f>IF(Z253=1,L253-W253,"")</f>
        <v/>
      </c>
      <c r="P253" s="66">
        <f>IF(V253="","",IFERROR(INDEX(coa_Type,MATCH(V253,coa_Name,0)),""))</f>
        <v/>
      </c>
      <c r="Q253" s="66">
        <f>IF(Z253=1,IF(U253="In",K253&amp;"",V253),"")</f>
        <v/>
      </c>
      <c r="R253" s="66">
        <f>IF(Z253=1,IF(U253="In",V253,K253&amp;""),"")</f>
        <v/>
      </c>
      <c r="S253" s="66">
        <f>IF(X253&lt;&gt;"","⛔ "&amp;X253&amp;" — not posted",IF(Y253&lt;&gt;"","⚠ "&amp;Y253,IF(Z253=1,"✓ OK","")))</f>
        <v/>
      </c>
      <c r="T253" s="67">
        <f>IF(AND(C253="",D253="",E253="",L253="",K253=""),1,0)</f>
        <v/>
      </c>
      <c r="U253" s="67">
        <f>IFERROR(INDEX(tt_Dir,MATCH(D253,tt_Type,0)),"")</f>
        <v/>
      </c>
      <c r="V253" s="67">
        <f>IF(D253="","",IFERROR(IF(INDEX(tt_Other,MATCH(D253,tt_Type,0))="",E253&amp;"",INDEX(tt_Other,MATCH(D253,tt_Type,0))),""))</f>
        <v/>
      </c>
      <c r="W253" s="68">
        <f>IF(OR(TaxOn&lt;&gt;"Yes",NOT(ISNUMBER(M253))),0,IF(IFERROR(INDEX(tt_Tax,MATCH(D253,tt_Type,0)),"No")="Yes",M253,0))</f>
        <v/>
      </c>
      <c r="X253" s="67">
        <f>IF(T253=1,"",IF(C253="","Missing transaction date",IF(NOT(ISNUMBER(C253)),"Invalid date",IF(OR(C253&lt;DATE(2000,1,1),C253&gt;DATE(2099,12,31)),"Invalid date",IF(D253="","Select a type",IF(U253="","Unknown type: "&amp;D253,IF(V253="","Select an account (Category)",IF(ISNA(MATCH(V253,coa_Name,0)),"Unknown account: "&amp;V253,IF(K253="","Select Paid From / Deposited To",IF(ISNA(MATCH(K253,coa_Name,0)),"Unknown account: "&amp;K253,IF(NOT(ISNUMBER(L253)),"Enter an amount",IF(L253=0,"Enter an amount",IF(ABS(W253)&gt;ABS(L253),"Tax is larger than the amount","")))))))))))))</f>
        <v/>
      </c>
      <c r="Y253" s="67">
        <f>IF(OR(T253=1,X253&lt;&gt;""),"",IF(AND(B253&lt;&gt;"",COUNTIF(tx_ID,B253)&gt;1),"Duplicate transaction ID",IF(AND(L253&lt;0,D253&lt;&gt;"Adjustment"),"Negative amount — check this entry",IF(AND(D253="Customer Payment",G253=""),"Add the customer",IF(AND(D253="Customer Payment",OR(J253="",COUNTIF(ar_No,J253&amp;"")=0)),"Invoice # in Reference not found on AR sheet",IF(AND(D253="Bill Payment",H253=""),"Add the vendor",IF(AND(D253="Bill Payment",OR(J253="",COUNTIFS(ap_No,J253&amp;"",ap_Party,H253&amp;"")=0)),"Bill # + vendor not found on AP sheet",IF(AND(ISNUMBER(M253),N(M253)&lt;&gt;0,W253=0),"Tax ignored (tax tracking off, or not allowed for this type)",IF(V253=K253&amp;"","Same account on both sides",IF(AND(ISNUMBER(StartDate),C253&lt;StartDate),"Date is before the accounting start date",IF(AND(D253&lt;&gt;"Adjustment",IFERROR(INDEX(coa_Pay,MATCH(K253&amp;"",coa_Name,0)),"")&lt;&gt;"Yes"),"Paid From / Deposited To is not a payment account","")))))))))))</f>
        <v/>
      </c>
      <c r="Z253" s="67">
        <f>IF(AND(T253=0,X253=""),1,0)</f>
        <v/>
      </c>
      <c r="AA253" s="68">
        <f>IF(Z253=1,IF(U253="In",L253,L253-W253),0)</f>
        <v/>
      </c>
      <c r="AB253" s="68">
        <f>IF(Z253=1,IF(U253="In",L253-W253,L253),0)</f>
        <v/>
      </c>
      <c r="AC253" s="68">
        <f>IF(AND(Z253=1,U253="Out"),W253,0)</f>
        <v/>
      </c>
      <c r="AD253" s="68">
        <f>IF(AND(Z253=1,U253="In"),W253,0)</f>
        <v/>
      </c>
    </row>
    <row r="254">
      <c r="B254" s="62" t="inlineStr">
        <is>
          <t>TX-0248</t>
        </is>
      </c>
      <c r="C254" s="63" t="n">
        <v>46217</v>
      </c>
      <c r="D254" s="62" t="inlineStr">
        <is>
          <t>Bill Payment</t>
        </is>
      </c>
      <c r="E254" s="62" t="n"/>
      <c r="F254" s="62" t="inlineStr">
        <is>
          <t>Supplier payment</t>
        </is>
      </c>
      <c r="G254" s="62" t="n"/>
      <c r="H254" s="62" t="inlineStr">
        <is>
          <t>Fresh Dairy Co.</t>
        </is>
      </c>
      <c r="I254" s="62" t="inlineStr">
        <is>
          <t>Bank Transfer</t>
        </is>
      </c>
      <c r="J254" s="62" t="inlineStr">
        <is>
          <t>FR-071</t>
        </is>
      </c>
      <c r="K254" s="62" t="inlineStr">
        <is>
          <t>Bank Account</t>
        </is>
      </c>
      <c r="L254" s="64" t="n">
        <v>12922.61</v>
      </c>
      <c r="M254" s="64" t="n"/>
      <c r="N254" s="62" t="n"/>
      <c r="O254" s="65">
        <f>IF(Z254=1,L254-W254,"")</f>
        <v/>
      </c>
      <c r="P254" s="66">
        <f>IF(V254="","",IFERROR(INDEX(coa_Type,MATCH(V254,coa_Name,0)),""))</f>
        <v/>
      </c>
      <c r="Q254" s="66">
        <f>IF(Z254=1,IF(U254="In",K254&amp;"",V254),"")</f>
        <v/>
      </c>
      <c r="R254" s="66">
        <f>IF(Z254=1,IF(U254="In",V254,K254&amp;""),"")</f>
        <v/>
      </c>
      <c r="S254" s="66">
        <f>IF(X254&lt;&gt;"","⛔ "&amp;X254&amp;" — not posted",IF(Y254&lt;&gt;"","⚠ "&amp;Y254,IF(Z254=1,"✓ OK","")))</f>
        <v/>
      </c>
      <c r="T254" s="67">
        <f>IF(AND(C254="",D254="",E254="",L254="",K254=""),1,0)</f>
        <v/>
      </c>
      <c r="U254" s="67">
        <f>IFERROR(INDEX(tt_Dir,MATCH(D254,tt_Type,0)),"")</f>
        <v/>
      </c>
      <c r="V254" s="67">
        <f>IF(D254="","",IFERROR(IF(INDEX(tt_Other,MATCH(D254,tt_Type,0))="",E254&amp;"",INDEX(tt_Other,MATCH(D254,tt_Type,0))),""))</f>
        <v/>
      </c>
      <c r="W254" s="68">
        <f>IF(OR(TaxOn&lt;&gt;"Yes",NOT(ISNUMBER(M254))),0,IF(IFERROR(INDEX(tt_Tax,MATCH(D254,tt_Type,0)),"No")="Yes",M254,0))</f>
        <v/>
      </c>
      <c r="X254" s="67">
        <f>IF(T254=1,"",IF(C254="","Missing transaction date",IF(NOT(ISNUMBER(C254)),"Invalid date",IF(OR(C254&lt;DATE(2000,1,1),C254&gt;DATE(2099,12,31)),"Invalid date",IF(D254="","Select a type",IF(U254="","Unknown type: "&amp;D254,IF(V254="","Select an account (Category)",IF(ISNA(MATCH(V254,coa_Name,0)),"Unknown account: "&amp;V254,IF(K254="","Select Paid From / Deposited To",IF(ISNA(MATCH(K254,coa_Name,0)),"Unknown account: "&amp;K254,IF(NOT(ISNUMBER(L254)),"Enter an amount",IF(L254=0,"Enter an amount",IF(ABS(W254)&gt;ABS(L254),"Tax is larger than the amount","")))))))))))))</f>
        <v/>
      </c>
      <c r="Y254" s="67">
        <f>IF(OR(T254=1,X254&lt;&gt;""),"",IF(AND(B254&lt;&gt;"",COUNTIF(tx_ID,B254)&gt;1),"Duplicate transaction ID",IF(AND(L254&lt;0,D254&lt;&gt;"Adjustment"),"Negative amount — check this entry",IF(AND(D254="Customer Payment",G254=""),"Add the customer",IF(AND(D254="Customer Payment",OR(J254="",COUNTIF(ar_No,J254&amp;"")=0)),"Invoice # in Reference not found on AR sheet",IF(AND(D254="Bill Payment",H254=""),"Add the vendor",IF(AND(D254="Bill Payment",OR(J254="",COUNTIFS(ap_No,J254&amp;"",ap_Party,H254&amp;"")=0)),"Bill # + vendor not found on AP sheet",IF(AND(ISNUMBER(M254),N(M254)&lt;&gt;0,W254=0),"Tax ignored (tax tracking off, or not allowed for this type)",IF(V254=K254&amp;"","Same account on both sides",IF(AND(ISNUMBER(StartDate),C254&lt;StartDate),"Date is before the accounting start date",IF(AND(D254&lt;&gt;"Adjustment",IFERROR(INDEX(coa_Pay,MATCH(K254&amp;"",coa_Name,0)),"")&lt;&gt;"Yes"),"Paid From / Deposited To is not a payment account","")))))))))))</f>
        <v/>
      </c>
      <c r="Z254" s="67">
        <f>IF(AND(T254=0,X254=""),1,0)</f>
        <v/>
      </c>
      <c r="AA254" s="68">
        <f>IF(Z254=1,IF(U254="In",L254,L254-W254),0)</f>
        <v/>
      </c>
      <c r="AB254" s="68">
        <f>IF(Z254=1,IF(U254="In",L254-W254,L254),0)</f>
        <v/>
      </c>
      <c r="AC254" s="68">
        <f>IF(AND(Z254=1,U254="Out"),W254,0)</f>
        <v/>
      </c>
      <c r="AD254" s="68">
        <f>IF(AND(Z254=1,U254="In"),W254,0)</f>
        <v/>
      </c>
    </row>
    <row r="255">
      <c r="B255" s="62" t="inlineStr">
        <is>
          <t>TX-0249</t>
        </is>
      </c>
      <c r="C255" s="63" t="n">
        <v>46218</v>
      </c>
      <c r="D255" s="62" t="inlineStr">
        <is>
          <t>Bill Payment</t>
        </is>
      </c>
      <c r="E255" s="62" t="n"/>
      <c r="F255" s="62" t="inlineStr">
        <is>
          <t>Supplier payment</t>
        </is>
      </c>
      <c r="G255" s="62" t="n"/>
      <c r="H255" s="62" t="inlineStr">
        <is>
          <t>PackRight Supplies</t>
        </is>
      </c>
      <c r="I255" s="62" t="inlineStr">
        <is>
          <t>Bank Transfer</t>
        </is>
      </c>
      <c r="J255" s="62" t="inlineStr">
        <is>
          <t>PA-061</t>
        </is>
      </c>
      <c r="K255" s="62" t="inlineStr">
        <is>
          <t>Bank Account</t>
        </is>
      </c>
      <c r="L255" s="64" t="n">
        <v>6460.39</v>
      </c>
      <c r="M255" s="64" t="n"/>
      <c r="N255" s="62" t="n"/>
      <c r="O255" s="65">
        <f>IF(Z255=1,L255-W255,"")</f>
        <v/>
      </c>
      <c r="P255" s="66">
        <f>IF(V255="","",IFERROR(INDEX(coa_Type,MATCH(V255,coa_Name,0)),""))</f>
        <v/>
      </c>
      <c r="Q255" s="66">
        <f>IF(Z255=1,IF(U255="In",K255&amp;"",V255),"")</f>
        <v/>
      </c>
      <c r="R255" s="66">
        <f>IF(Z255=1,IF(U255="In",V255,K255&amp;""),"")</f>
        <v/>
      </c>
      <c r="S255" s="66">
        <f>IF(X255&lt;&gt;"","⛔ "&amp;X255&amp;" — not posted",IF(Y255&lt;&gt;"","⚠ "&amp;Y255,IF(Z255=1,"✓ OK","")))</f>
        <v/>
      </c>
      <c r="T255" s="67">
        <f>IF(AND(C255="",D255="",E255="",L255="",K255=""),1,0)</f>
        <v/>
      </c>
      <c r="U255" s="67">
        <f>IFERROR(INDEX(tt_Dir,MATCH(D255,tt_Type,0)),"")</f>
        <v/>
      </c>
      <c r="V255" s="67">
        <f>IF(D255="","",IFERROR(IF(INDEX(tt_Other,MATCH(D255,tt_Type,0))="",E255&amp;"",INDEX(tt_Other,MATCH(D255,tt_Type,0))),""))</f>
        <v/>
      </c>
      <c r="W255" s="68">
        <f>IF(OR(TaxOn&lt;&gt;"Yes",NOT(ISNUMBER(M255))),0,IF(IFERROR(INDEX(tt_Tax,MATCH(D255,tt_Type,0)),"No")="Yes",M255,0))</f>
        <v/>
      </c>
      <c r="X255" s="67">
        <f>IF(T255=1,"",IF(C255="","Missing transaction date",IF(NOT(ISNUMBER(C255)),"Invalid date",IF(OR(C255&lt;DATE(2000,1,1),C255&gt;DATE(2099,12,31)),"Invalid date",IF(D255="","Select a type",IF(U255="","Unknown type: "&amp;D255,IF(V255="","Select an account (Category)",IF(ISNA(MATCH(V255,coa_Name,0)),"Unknown account: "&amp;V255,IF(K255="","Select Paid From / Deposited To",IF(ISNA(MATCH(K255,coa_Name,0)),"Unknown account: "&amp;K255,IF(NOT(ISNUMBER(L255)),"Enter an amount",IF(L255=0,"Enter an amount",IF(ABS(W255)&gt;ABS(L255),"Tax is larger than the amount","")))))))))))))</f>
        <v/>
      </c>
      <c r="Y255" s="67">
        <f>IF(OR(T255=1,X255&lt;&gt;""),"",IF(AND(B255&lt;&gt;"",COUNTIF(tx_ID,B255)&gt;1),"Duplicate transaction ID",IF(AND(L255&lt;0,D255&lt;&gt;"Adjustment"),"Negative amount — check this entry",IF(AND(D255="Customer Payment",G255=""),"Add the customer",IF(AND(D255="Customer Payment",OR(J255="",COUNTIF(ar_No,J255&amp;"")=0)),"Invoice # in Reference not found on AR sheet",IF(AND(D255="Bill Payment",H255=""),"Add the vendor",IF(AND(D255="Bill Payment",OR(J255="",COUNTIFS(ap_No,J255&amp;"",ap_Party,H255&amp;"")=0)),"Bill # + vendor not found on AP sheet",IF(AND(ISNUMBER(M255),N(M255)&lt;&gt;0,W255=0),"Tax ignored (tax tracking off, or not allowed for this type)",IF(V255=K255&amp;"","Same account on both sides",IF(AND(ISNUMBER(StartDate),C255&lt;StartDate),"Date is before the accounting start date",IF(AND(D255&lt;&gt;"Adjustment",IFERROR(INDEX(coa_Pay,MATCH(K255&amp;"",coa_Name,0)),"")&lt;&gt;"Yes"),"Paid From / Deposited To is not a payment account","")))))))))))</f>
        <v/>
      </c>
      <c r="Z255" s="67">
        <f>IF(AND(T255=0,X255=""),1,0)</f>
        <v/>
      </c>
      <c r="AA255" s="68">
        <f>IF(Z255=1,IF(U255="In",L255,L255-W255),0)</f>
        <v/>
      </c>
      <c r="AB255" s="68">
        <f>IF(Z255=1,IF(U255="In",L255-W255,L255),0)</f>
        <v/>
      </c>
      <c r="AC255" s="68">
        <f>IF(AND(Z255=1,U255="Out"),W255,0)</f>
        <v/>
      </c>
      <c r="AD255" s="68">
        <f>IF(AND(Z255=1,U255="In"),W255,0)</f>
        <v/>
      </c>
    </row>
    <row r="256">
      <c r="B256" s="62" t="inlineStr">
        <is>
          <t>TX-0250</t>
        </is>
      </c>
      <c r="C256" s="63" t="n">
        <v>46218</v>
      </c>
      <c r="D256" s="62" t="inlineStr">
        <is>
          <t>Money Out</t>
        </is>
      </c>
      <c r="E256" s="62" t="inlineStr">
        <is>
          <t>Internet &amp; Phone</t>
        </is>
      </c>
      <c r="F256" s="62" t="inlineStr">
        <is>
          <t>Fiber internet</t>
        </is>
      </c>
      <c r="G256" s="62" t="n"/>
      <c r="H256" s="62" t="n"/>
      <c r="I256" s="62" t="inlineStr">
        <is>
          <t>Bank Transfer</t>
        </is>
      </c>
      <c r="J256" s="62" t="n"/>
      <c r="K256" s="62" t="inlineStr">
        <is>
          <t>Bank Account</t>
        </is>
      </c>
      <c r="L256" s="64" t="n">
        <v>2499</v>
      </c>
      <c r="M256" s="64" t="n">
        <v>267.75</v>
      </c>
      <c r="N256" s="62" t="n"/>
      <c r="O256" s="65">
        <f>IF(Z256=1,L256-W256,"")</f>
        <v/>
      </c>
      <c r="P256" s="66">
        <f>IF(V256="","",IFERROR(INDEX(coa_Type,MATCH(V256,coa_Name,0)),""))</f>
        <v/>
      </c>
      <c r="Q256" s="66">
        <f>IF(Z256=1,IF(U256="In",K256&amp;"",V256),"")</f>
        <v/>
      </c>
      <c r="R256" s="66">
        <f>IF(Z256=1,IF(U256="In",V256,K256&amp;""),"")</f>
        <v/>
      </c>
      <c r="S256" s="66">
        <f>IF(X256&lt;&gt;"","⛔ "&amp;X256&amp;" — not posted",IF(Y256&lt;&gt;"","⚠ "&amp;Y256,IF(Z256=1,"✓ OK","")))</f>
        <v/>
      </c>
      <c r="T256" s="67">
        <f>IF(AND(C256="",D256="",E256="",L256="",K256=""),1,0)</f>
        <v/>
      </c>
      <c r="U256" s="67">
        <f>IFERROR(INDEX(tt_Dir,MATCH(D256,tt_Type,0)),"")</f>
        <v/>
      </c>
      <c r="V256" s="67">
        <f>IF(D256="","",IFERROR(IF(INDEX(tt_Other,MATCH(D256,tt_Type,0))="",E256&amp;"",INDEX(tt_Other,MATCH(D256,tt_Type,0))),""))</f>
        <v/>
      </c>
      <c r="W256" s="68">
        <f>IF(OR(TaxOn&lt;&gt;"Yes",NOT(ISNUMBER(M256))),0,IF(IFERROR(INDEX(tt_Tax,MATCH(D256,tt_Type,0)),"No")="Yes",M256,0))</f>
        <v/>
      </c>
      <c r="X256" s="67">
        <f>IF(T256=1,"",IF(C256="","Missing transaction date",IF(NOT(ISNUMBER(C256)),"Invalid date",IF(OR(C256&lt;DATE(2000,1,1),C256&gt;DATE(2099,12,31)),"Invalid date",IF(D256="","Select a type",IF(U256="","Unknown type: "&amp;D256,IF(V256="","Select an account (Category)",IF(ISNA(MATCH(V256,coa_Name,0)),"Unknown account: "&amp;V256,IF(K256="","Select Paid From / Deposited To",IF(ISNA(MATCH(K256,coa_Name,0)),"Unknown account: "&amp;K256,IF(NOT(ISNUMBER(L256)),"Enter an amount",IF(L256=0,"Enter an amount",IF(ABS(W256)&gt;ABS(L256),"Tax is larger than the amount","")))))))))))))</f>
        <v/>
      </c>
      <c r="Y256" s="67">
        <f>IF(OR(T256=1,X256&lt;&gt;""),"",IF(AND(B256&lt;&gt;"",COUNTIF(tx_ID,B256)&gt;1),"Duplicate transaction ID",IF(AND(L256&lt;0,D256&lt;&gt;"Adjustment"),"Negative amount — check this entry",IF(AND(D256="Customer Payment",G256=""),"Add the customer",IF(AND(D256="Customer Payment",OR(J256="",COUNTIF(ar_No,J256&amp;"")=0)),"Invoice # in Reference not found on AR sheet",IF(AND(D256="Bill Payment",H256=""),"Add the vendor",IF(AND(D256="Bill Payment",OR(J256="",COUNTIFS(ap_No,J256&amp;"",ap_Party,H256&amp;"")=0)),"Bill # + vendor not found on AP sheet",IF(AND(ISNUMBER(M256),N(M256)&lt;&gt;0,W256=0),"Tax ignored (tax tracking off, or not allowed for this type)",IF(V256=K256&amp;"","Same account on both sides",IF(AND(ISNUMBER(StartDate),C256&lt;StartDate),"Date is before the accounting start date",IF(AND(D256&lt;&gt;"Adjustment",IFERROR(INDEX(coa_Pay,MATCH(K256&amp;"",coa_Name,0)),"")&lt;&gt;"Yes"),"Paid From / Deposited To is not a payment account","")))))))))))</f>
        <v/>
      </c>
      <c r="Z256" s="67">
        <f>IF(AND(T256=0,X256=""),1,0)</f>
        <v/>
      </c>
      <c r="AA256" s="68">
        <f>IF(Z256=1,IF(U256="In",L256,L256-W256),0)</f>
        <v/>
      </c>
      <c r="AB256" s="68">
        <f>IF(Z256=1,IF(U256="In",L256-W256,L256),0)</f>
        <v/>
      </c>
      <c r="AC256" s="68">
        <f>IF(AND(Z256=1,U256="Out"),W256,0)</f>
        <v/>
      </c>
      <c r="AD256" s="68">
        <f>IF(AND(Z256=1,U256="In"),W256,0)</f>
        <v/>
      </c>
    </row>
    <row r="257">
      <c r="B257" s="62" t="inlineStr">
        <is>
          <t>TX-0251</t>
        </is>
      </c>
      <c r="C257" s="63" t="n">
        <v>46218</v>
      </c>
      <c r="D257" s="62" t="inlineStr">
        <is>
          <t>Money Out</t>
        </is>
      </c>
      <c r="E257" s="62" t="inlineStr">
        <is>
          <t>Direct Labor</t>
        </is>
      </c>
      <c r="F257" s="62" t="inlineStr">
        <is>
          <t>Bakers' salaries (1st-15th)</t>
        </is>
      </c>
      <c r="G257" s="62" t="n"/>
      <c r="H257" s="62" t="n"/>
      <c r="I257" s="62" t="inlineStr">
        <is>
          <t>Bank Transfer</t>
        </is>
      </c>
      <c r="J257" s="62" t="n"/>
      <c r="K257" s="62" t="inlineStr">
        <is>
          <t>Bank Account</t>
        </is>
      </c>
      <c r="L257" s="64" t="n">
        <v>38000</v>
      </c>
      <c r="M257" s="64" t="n"/>
      <c r="N257" s="62" t="n"/>
      <c r="O257" s="65">
        <f>IF(Z257=1,L257-W257,"")</f>
        <v/>
      </c>
      <c r="P257" s="66">
        <f>IF(V257="","",IFERROR(INDEX(coa_Type,MATCH(V257,coa_Name,0)),""))</f>
        <v/>
      </c>
      <c r="Q257" s="66">
        <f>IF(Z257=1,IF(U257="In",K257&amp;"",V257),"")</f>
        <v/>
      </c>
      <c r="R257" s="66">
        <f>IF(Z257=1,IF(U257="In",V257,K257&amp;""),"")</f>
        <v/>
      </c>
      <c r="S257" s="66">
        <f>IF(X257&lt;&gt;"","⛔ "&amp;X257&amp;" — not posted",IF(Y257&lt;&gt;"","⚠ "&amp;Y257,IF(Z257=1,"✓ OK","")))</f>
        <v/>
      </c>
      <c r="T257" s="67">
        <f>IF(AND(C257="",D257="",E257="",L257="",K257=""),1,0)</f>
        <v/>
      </c>
      <c r="U257" s="67">
        <f>IFERROR(INDEX(tt_Dir,MATCH(D257,tt_Type,0)),"")</f>
        <v/>
      </c>
      <c r="V257" s="67">
        <f>IF(D257="","",IFERROR(IF(INDEX(tt_Other,MATCH(D257,tt_Type,0))="",E257&amp;"",INDEX(tt_Other,MATCH(D257,tt_Type,0))),""))</f>
        <v/>
      </c>
      <c r="W257" s="68">
        <f>IF(OR(TaxOn&lt;&gt;"Yes",NOT(ISNUMBER(M257))),0,IF(IFERROR(INDEX(tt_Tax,MATCH(D257,tt_Type,0)),"No")="Yes",M257,0))</f>
        <v/>
      </c>
      <c r="X257" s="67">
        <f>IF(T257=1,"",IF(C257="","Missing transaction date",IF(NOT(ISNUMBER(C257)),"Invalid date",IF(OR(C257&lt;DATE(2000,1,1),C257&gt;DATE(2099,12,31)),"Invalid date",IF(D257="","Select a type",IF(U257="","Unknown type: "&amp;D257,IF(V257="","Select an account (Category)",IF(ISNA(MATCH(V257,coa_Name,0)),"Unknown account: "&amp;V257,IF(K257="","Select Paid From / Deposited To",IF(ISNA(MATCH(K257,coa_Name,0)),"Unknown account: "&amp;K257,IF(NOT(ISNUMBER(L257)),"Enter an amount",IF(L257=0,"Enter an amount",IF(ABS(W257)&gt;ABS(L257),"Tax is larger than the amount","")))))))))))))</f>
        <v/>
      </c>
      <c r="Y257" s="67">
        <f>IF(OR(T257=1,X257&lt;&gt;""),"",IF(AND(B257&lt;&gt;"",COUNTIF(tx_ID,B257)&gt;1),"Duplicate transaction ID",IF(AND(L257&lt;0,D257&lt;&gt;"Adjustment"),"Negative amount — check this entry",IF(AND(D257="Customer Payment",G257=""),"Add the customer",IF(AND(D257="Customer Payment",OR(J257="",COUNTIF(ar_No,J257&amp;"")=0)),"Invoice # in Reference not found on AR sheet",IF(AND(D257="Bill Payment",H257=""),"Add the vendor",IF(AND(D257="Bill Payment",OR(J257="",COUNTIFS(ap_No,J257&amp;"",ap_Party,H257&amp;"")=0)),"Bill # + vendor not found on AP sheet",IF(AND(ISNUMBER(M257),N(M257)&lt;&gt;0,W257=0),"Tax ignored (tax tracking off, or not allowed for this type)",IF(V257=K257&amp;"","Same account on both sides",IF(AND(ISNUMBER(StartDate),C257&lt;StartDate),"Date is before the accounting start date",IF(AND(D257&lt;&gt;"Adjustment",IFERROR(INDEX(coa_Pay,MATCH(K257&amp;"",coa_Name,0)),"")&lt;&gt;"Yes"),"Paid From / Deposited To is not a payment account","")))))))))))</f>
        <v/>
      </c>
      <c r="Z257" s="67">
        <f>IF(AND(T257=0,X257=""),1,0)</f>
        <v/>
      </c>
      <c r="AA257" s="68">
        <f>IF(Z257=1,IF(U257="In",L257,L257-W257),0)</f>
        <v/>
      </c>
      <c r="AB257" s="68">
        <f>IF(Z257=1,IF(U257="In",L257-W257,L257),0)</f>
        <v/>
      </c>
      <c r="AC257" s="68">
        <f>IF(AND(Z257=1,U257="Out"),W257,0)</f>
        <v/>
      </c>
      <c r="AD257" s="68">
        <f>IF(AND(Z257=1,U257="In"),W257,0)</f>
        <v/>
      </c>
    </row>
    <row r="258">
      <c r="B258" s="62" t="inlineStr">
        <is>
          <t>TX-0252</t>
        </is>
      </c>
      <c r="C258" s="63" t="n">
        <v>46218</v>
      </c>
      <c r="D258" s="62" t="inlineStr">
        <is>
          <t>Money Out</t>
        </is>
      </c>
      <c r="E258" s="62" t="inlineStr">
        <is>
          <t>Salaries &amp; Wages</t>
        </is>
      </c>
      <c r="F258" s="62" t="inlineStr">
        <is>
          <t>Cashier salary (1st-15th)</t>
        </is>
      </c>
      <c r="G258" s="62" t="n"/>
      <c r="H258" s="62" t="n"/>
      <c r="I258" s="62" t="inlineStr">
        <is>
          <t>Bank Transfer</t>
        </is>
      </c>
      <c r="J258" s="62" t="n"/>
      <c r="K258" s="62" t="inlineStr">
        <is>
          <t>Bank Account</t>
        </is>
      </c>
      <c r="L258" s="64" t="n">
        <v>9000</v>
      </c>
      <c r="M258" s="64" t="n"/>
      <c r="N258" s="62" t="n"/>
      <c r="O258" s="65">
        <f>IF(Z258=1,L258-W258,"")</f>
        <v/>
      </c>
      <c r="P258" s="66">
        <f>IF(V258="","",IFERROR(INDEX(coa_Type,MATCH(V258,coa_Name,0)),""))</f>
        <v/>
      </c>
      <c r="Q258" s="66">
        <f>IF(Z258=1,IF(U258="In",K258&amp;"",V258),"")</f>
        <v/>
      </c>
      <c r="R258" s="66">
        <f>IF(Z258=1,IF(U258="In",V258,K258&amp;""),"")</f>
        <v/>
      </c>
      <c r="S258" s="66">
        <f>IF(X258&lt;&gt;"","⛔ "&amp;X258&amp;" — not posted",IF(Y258&lt;&gt;"","⚠ "&amp;Y258,IF(Z258=1,"✓ OK","")))</f>
        <v/>
      </c>
      <c r="T258" s="67">
        <f>IF(AND(C258="",D258="",E258="",L258="",K258=""),1,0)</f>
        <v/>
      </c>
      <c r="U258" s="67">
        <f>IFERROR(INDEX(tt_Dir,MATCH(D258,tt_Type,0)),"")</f>
        <v/>
      </c>
      <c r="V258" s="67">
        <f>IF(D258="","",IFERROR(IF(INDEX(tt_Other,MATCH(D258,tt_Type,0))="",E258&amp;"",INDEX(tt_Other,MATCH(D258,tt_Type,0))),""))</f>
        <v/>
      </c>
      <c r="W258" s="68">
        <f>IF(OR(TaxOn&lt;&gt;"Yes",NOT(ISNUMBER(M258))),0,IF(IFERROR(INDEX(tt_Tax,MATCH(D258,tt_Type,0)),"No")="Yes",M258,0))</f>
        <v/>
      </c>
      <c r="X258" s="67">
        <f>IF(T258=1,"",IF(C258="","Missing transaction date",IF(NOT(ISNUMBER(C258)),"Invalid date",IF(OR(C258&lt;DATE(2000,1,1),C258&gt;DATE(2099,12,31)),"Invalid date",IF(D258="","Select a type",IF(U258="","Unknown type: "&amp;D258,IF(V258="","Select an account (Category)",IF(ISNA(MATCH(V258,coa_Name,0)),"Unknown account: "&amp;V258,IF(K258="","Select Paid From / Deposited To",IF(ISNA(MATCH(K258,coa_Name,0)),"Unknown account: "&amp;K258,IF(NOT(ISNUMBER(L258)),"Enter an amount",IF(L258=0,"Enter an amount",IF(ABS(W258)&gt;ABS(L258),"Tax is larger than the amount","")))))))))))))</f>
        <v/>
      </c>
      <c r="Y258" s="67">
        <f>IF(OR(T258=1,X258&lt;&gt;""),"",IF(AND(B258&lt;&gt;"",COUNTIF(tx_ID,B258)&gt;1),"Duplicate transaction ID",IF(AND(L258&lt;0,D258&lt;&gt;"Adjustment"),"Negative amount — check this entry",IF(AND(D258="Customer Payment",G258=""),"Add the customer",IF(AND(D258="Customer Payment",OR(J258="",COUNTIF(ar_No,J258&amp;"")=0)),"Invoice # in Reference not found on AR sheet",IF(AND(D258="Bill Payment",H258=""),"Add the vendor",IF(AND(D258="Bill Payment",OR(J258="",COUNTIFS(ap_No,J258&amp;"",ap_Party,H258&amp;"")=0)),"Bill # + vendor not found on AP sheet",IF(AND(ISNUMBER(M258),N(M258)&lt;&gt;0,W258=0),"Tax ignored (tax tracking off, or not allowed for this type)",IF(V258=K258&amp;"","Same account on both sides",IF(AND(ISNUMBER(StartDate),C258&lt;StartDate),"Date is before the accounting start date",IF(AND(D258&lt;&gt;"Adjustment",IFERROR(INDEX(coa_Pay,MATCH(K258&amp;"",coa_Name,0)),"")&lt;&gt;"Yes"),"Paid From / Deposited To is not a payment account","")))))))))))</f>
        <v/>
      </c>
      <c r="Z258" s="67">
        <f>IF(AND(T258=0,X258=""),1,0)</f>
        <v/>
      </c>
      <c r="AA258" s="68">
        <f>IF(Z258=1,IF(U258="In",L258,L258-W258),0)</f>
        <v/>
      </c>
      <c r="AB258" s="68">
        <f>IF(Z258=1,IF(U258="In",L258-W258,L258),0)</f>
        <v/>
      </c>
      <c r="AC258" s="68">
        <f>IF(AND(Z258=1,U258="Out"),W258,0)</f>
        <v/>
      </c>
      <c r="AD258" s="68">
        <f>IF(AND(Z258=1,U258="In"),W258,0)</f>
        <v/>
      </c>
    </row>
    <row r="259">
      <c r="B259" s="62" t="inlineStr">
        <is>
          <t>TX-0253</t>
        </is>
      </c>
      <c r="C259" s="63" t="n">
        <v>46219</v>
      </c>
      <c r="D259" s="62" t="inlineStr">
        <is>
          <t>Customer Payment</t>
        </is>
      </c>
      <c r="E259" s="62" t="n"/>
      <c r="F259" s="62" t="inlineStr">
        <is>
          <t>Balance payment</t>
        </is>
      </c>
      <c r="G259" s="62" t="inlineStr">
        <is>
          <t>Casa Verde Events</t>
        </is>
      </c>
      <c r="H259" s="62" t="n"/>
      <c r="I259" s="62" t="inlineStr">
        <is>
          <t>Bank Transfer</t>
        </is>
      </c>
      <c r="J259" s="62" t="inlineStr">
        <is>
          <t>INV-1012</t>
        </is>
      </c>
      <c r="K259" s="62" t="inlineStr">
        <is>
          <t>Bank Account</t>
        </is>
      </c>
      <c r="L259" s="64" t="n">
        <v>19384.05</v>
      </c>
      <c r="M259" s="64" t="n"/>
      <c r="N259" s="62" t="n"/>
      <c r="O259" s="65">
        <f>IF(Z259=1,L259-W259,"")</f>
        <v/>
      </c>
      <c r="P259" s="66">
        <f>IF(V259="","",IFERROR(INDEX(coa_Type,MATCH(V259,coa_Name,0)),""))</f>
        <v/>
      </c>
      <c r="Q259" s="66">
        <f>IF(Z259=1,IF(U259="In",K259&amp;"",V259),"")</f>
        <v/>
      </c>
      <c r="R259" s="66">
        <f>IF(Z259=1,IF(U259="In",V259,K259&amp;""),"")</f>
        <v/>
      </c>
      <c r="S259" s="66">
        <f>IF(X259&lt;&gt;"","⛔ "&amp;X259&amp;" — not posted",IF(Y259&lt;&gt;"","⚠ "&amp;Y259,IF(Z259=1,"✓ OK","")))</f>
        <v/>
      </c>
      <c r="T259" s="67">
        <f>IF(AND(C259="",D259="",E259="",L259="",K259=""),1,0)</f>
        <v/>
      </c>
      <c r="U259" s="67">
        <f>IFERROR(INDEX(tt_Dir,MATCH(D259,tt_Type,0)),"")</f>
        <v/>
      </c>
      <c r="V259" s="67">
        <f>IF(D259="","",IFERROR(IF(INDEX(tt_Other,MATCH(D259,tt_Type,0))="",E259&amp;"",INDEX(tt_Other,MATCH(D259,tt_Type,0))),""))</f>
        <v/>
      </c>
      <c r="W259" s="68">
        <f>IF(OR(TaxOn&lt;&gt;"Yes",NOT(ISNUMBER(M259))),0,IF(IFERROR(INDEX(tt_Tax,MATCH(D259,tt_Type,0)),"No")="Yes",M259,0))</f>
        <v/>
      </c>
      <c r="X259" s="67">
        <f>IF(T259=1,"",IF(C259="","Missing transaction date",IF(NOT(ISNUMBER(C259)),"Invalid date",IF(OR(C259&lt;DATE(2000,1,1),C259&gt;DATE(2099,12,31)),"Invalid date",IF(D259="","Select a type",IF(U259="","Unknown type: "&amp;D259,IF(V259="","Select an account (Category)",IF(ISNA(MATCH(V259,coa_Name,0)),"Unknown account: "&amp;V259,IF(K259="","Select Paid From / Deposited To",IF(ISNA(MATCH(K259,coa_Name,0)),"Unknown account: "&amp;K259,IF(NOT(ISNUMBER(L259)),"Enter an amount",IF(L259=0,"Enter an amount",IF(ABS(W259)&gt;ABS(L259),"Tax is larger than the amount","")))))))))))))</f>
        <v/>
      </c>
      <c r="Y259" s="67">
        <f>IF(OR(T259=1,X259&lt;&gt;""),"",IF(AND(B259&lt;&gt;"",COUNTIF(tx_ID,B259)&gt;1),"Duplicate transaction ID",IF(AND(L259&lt;0,D259&lt;&gt;"Adjustment"),"Negative amount — check this entry",IF(AND(D259="Customer Payment",G259=""),"Add the customer",IF(AND(D259="Customer Payment",OR(J259="",COUNTIF(ar_No,J259&amp;"")=0)),"Invoice # in Reference not found on AR sheet",IF(AND(D259="Bill Payment",H259=""),"Add the vendor",IF(AND(D259="Bill Payment",OR(J259="",COUNTIFS(ap_No,J259&amp;"",ap_Party,H259&amp;"")=0)),"Bill # + vendor not found on AP sheet",IF(AND(ISNUMBER(M259),N(M259)&lt;&gt;0,W259=0),"Tax ignored (tax tracking off, or not allowed for this type)",IF(V259=K259&amp;"","Same account on both sides",IF(AND(ISNUMBER(StartDate),C259&lt;StartDate),"Date is before the accounting start date",IF(AND(D259&lt;&gt;"Adjustment",IFERROR(INDEX(coa_Pay,MATCH(K259&amp;"",coa_Name,0)),"")&lt;&gt;"Yes"),"Paid From / Deposited To is not a payment account","")))))))))))</f>
        <v/>
      </c>
      <c r="Z259" s="67">
        <f>IF(AND(T259=0,X259=""),1,0)</f>
        <v/>
      </c>
      <c r="AA259" s="68">
        <f>IF(Z259=1,IF(U259="In",L259,L259-W259),0)</f>
        <v/>
      </c>
      <c r="AB259" s="68">
        <f>IF(Z259=1,IF(U259="In",L259-W259,L259),0)</f>
        <v/>
      </c>
      <c r="AC259" s="68">
        <f>IF(AND(Z259=1,U259="Out"),W259,0)</f>
        <v/>
      </c>
      <c r="AD259" s="68">
        <f>IF(AND(Z259=1,U259="In"),W259,0)</f>
        <v/>
      </c>
    </row>
    <row r="260">
      <c r="B260" s="62" t="inlineStr">
        <is>
          <t>TX-0254</t>
        </is>
      </c>
      <c r="C260" s="63" t="n">
        <v>46221</v>
      </c>
      <c r="D260" s="62" t="inlineStr">
        <is>
          <t>Money In</t>
        </is>
      </c>
      <c r="E260" s="62" t="inlineStr">
        <is>
          <t>Product Sales</t>
        </is>
      </c>
      <c r="F260" s="62" t="inlineStr">
        <is>
          <t>Counter sales week 3</t>
        </is>
      </c>
      <c r="G260" s="62" t="n"/>
      <c r="H260" s="62" t="n"/>
      <c r="I260" s="62" t="inlineStr">
        <is>
          <t>Cash</t>
        </is>
      </c>
      <c r="J260" s="62" t="n"/>
      <c r="K260" s="62" t="inlineStr">
        <is>
          <t>Cash on Hand</t>
        </is>
      </c>
      <c r="L260" s="64" t="n">
        <v>53485.43</v>
      </c>
      <c r="M260" s="64" t="n">
        <v>5730.58</v>
      </c>
      <c r="N260" s="62" t="n"/>
      <c r="O260" s="65">
        <f>IF(Z260=1,L260-W260,"")</f>
        <v/>
      </c>
      <c r="P260" s="66">
        <f>IF(V260="","",IFERROR(INDEX(coa_Type,MATCH(V260,coa_Name,0)),""))</f>
        <v/>
      </c>
      <c r="Q260" s="66">
        <f>IF(Z260=1,IF(U260="In",K260&amp;"",V260),"")</f>
        <v/>
      </c>
      <c r="R260" s="66">
        <f>IF(Z260=1,IF(U260="In",V260,K260&amp;""),"")</f>
        <v/>
      </c>
      <c r="S260" s="66">
        <f>IF(X260&lt;&gt;"","⛔ "&amp;X260&amp;" — not posted",IF(Y260&lt;&gt;"","⚠ "&amp;Y260,IF(Z260=1,"✓ OK","")))</f>
        <v/>
      </c>
      <c r="T260" s="67">
        <f>IF(AND(C260="",D260="",E260="",L260="",K260=""),1,0)</f>
        <v/>
      </c>
      <c r="U260" s="67">
        <f>IFERROR(INDEX(tt_Dir,MATCH(D260,tt_Type,0)),"")</f>
        <v/>
      </c>
      <c r="V260" s="67">
        <f>IF(D260="","",IFERROR(IF(INDEX(tt_Other,MATCH(D260,tt_Type,0))="",E260&amp;"",INDEX(tt_Other,MATCH(D260,tt_Type,0))),""))</f>
        <v/>
      </c>
      <c r="W260" s="68">
        <f>IF(OR(TaxOn&lt;&gt;"Yes",NOT(ISNUMBER(M260))),0,IF(IFERROR(INDEX(tt_Tax,MATCH(D260,tt_Type,0)),"No")="Yes",M260,0))</f>
        <v/>
      </c>
      <c r="X260" s="67">
        <f>IF(T260=1,"",IF(C260="","Missing transaction date",IF(NOT(ISNUMBER(C260)),"Invalid date",IF(OR(C260&lt;DATE(2000,1,1),C260&gt;DATE(2099,12,31)),"Invalid date",IF(D260="","Select a type",IF(U260="","Unknown type: "&amp;D260,IF(V260="","Select an account (Category)",IF(ISNA(MATCH(V260,coa_Name,0)),"Unknown account: "&amp;V260,IF(K260="","Select Paid From / Deposited To",IF(ISNA(MATCH(K260,coa_Name,0)),"Unknown account: "&amp;K260,IF(NOT(ISNUMBER(L260)),"Enter an amount",IF(L260=0,"Enter an amount",IF(ABS(W260)&gt;ABS(L260),"Tax is larger than the amount","")))))))))))))</f>
        <v/>
      </c>
      <c r="Y260" s="67">
        <f>IF(OR(T260=1,X260&lt;&gt;""),"",IF(AND(B260&lt;&gt;"",COUNTIF(tx_ID,B260)&gt;1),"Duplicate transaction ID",IF(AND(L260&lt;0,D260&lt;&gt;"Adjustment"),"Negative amount — check this entry",IF(AND(D260="Customer Payment",G260=""),"Add the customer",IF(AND(D260="Customer Payment",OR(J260="",COUNTIF(ar_No,J260&amp;"")=0)),"Invoice # in Reference not found on AR sheet",IF(AND(D260="Bill Payment",H260=""),"Add the vendor",IF(AND(D260="Bill Payment",OR(J260="",COUNTIFS(ap_No,J260&amp;"",ap_Party,H260&amp;"")=0)),"Bill # + vendor not found on AP sheet",IF(AND(ISNUMBER(M260),N(M260)&lt;&gt;0,W260=0),"Tax ignored (tax tracking off, or not allowed for this type)",IF(V260=K260&amp;"","Same account on both sides",IF(AND(ISNUMBER(StartDate),C260&lt;StartDate),"Date is before the accounting start date",IF(AND(D260&lt;&gt;"Adjustment",IFERROR(INDEX(coa_Pay,MATCH(K260&amp;"",coa_Name,0)),"")&lt;&gt;"Yes"),"Paid From / Deposited To is not a payment account","")))))))))))</f>
        <v/>
      </c>
      <c r="Z260" s="67">
        <f>IF(AND(T260=0,X260=""),1,0)</f>
        <v/>
      </c>
      <c r="AA260" s="68">
        <f>IF(Z260=1,IF(U260="In",L260,L260-W260),0)</f>
        <v/>
      </c>
      <c r="AB260" s="68">
        <f>IF(Z260=1,IF(U260="In",L260-W260,L260),0)</f>
        <v/>
      </c>
      <c r="AC260" s="68">
        <f>IF(AND(Z260=1,U260="Out"),W260,0)</f>
        <v/>
      </c>
      <c r="AD260" s="68">
        <f>IF(AND(Z260=1,U260="In"),W260,0)</f>
        <v/>
      </c>
    </row>
    <row r="261">
      <c r="B261" s="62" t="inlineStr">
        <is>
          <t>TX-0255</t>
        </is>
      </c>
      <c r="C261" s="63" t="n">
        <v>46222</v>
      </c>
      <c r="D261" s="62" t="inlineStr">
        <is>
          <t>Customer Payment</t>
        </is>
      </c>
      <c r="E261" s="62" t="n"/>
      <c r="F261" s="62" t="inlineStr">
        <is>
          <t>Invoice payment</t>
        </is>
      </c>
      <c r="G261" s="62" t="inlineStr">
        <is>
          <t>St. Jude Clinic</t>
        </is>
      </c>
      <c r="H261" s="62" t="n"/>
      <c r="I261" s="62" t="inlineStr">
        <is>
          <t>Bank Transfer</t>
        </is>
      </c>
      <c r="J261" s="62" t="inlineStr">
        <is>
          <t>INV-1013</t>
        </is>
      </c>
      <c r="K261" s="62" t="inlineStr">
        <is>
          <t>Bank Account</t>
        </is>
      </c>
      <c r="L261" s="64" t="n">
        <v>30856.26</v>
      </c>
      <c r="M261" s="64" t="n"/>
      <c r="N261" s="62" t="n"/>
      <c r="O261" s="65">
        <f>IF(Z261=1,L261-W261,"")</f>
        <v/>
      </c>
      <c r="P261" s="66">
        <f>IF(V261="","",IFERROR(INDEX(coa_Type,MATCH(V261,coa_Name,0)),""))</f>
        <v/>
      </c>
      <c r="Q261" s="66">
        <f>IF(Z261=1,IF(U261="In",K261&amp;"",V261),"")</f>
        <v/>
      </c>
      <c r="R261" s="66">
        <f>IF(Z261=1,IF(U261="In",V261,K261&amp;""),"")</f>
        <v/>
      </c>
      <c r="S261" s="66">
        <f>IF(X261&lt;&gt;"","⛔ "&amp;X261&amp;" — not posted",IF(Y261&lt;&gt;"","⚠ "&amp;Y261,IF(Z261=1,"✓ OK","")))</f>
        <v/>
      </c>
      <c r="T261" s="67">
        <f>IF(AND(C261="",D261="",E261="",L261="",K261=""),1,0)</f>
        <v/>
      </c>
      <c r="U261" s="67">
        <f>IFERROR(INDEX(tt_Dir,MATCH(D261,tt_Type,0)),"")</f>
        <v/>
      </c>
      <c r="V261" s="67">
        <f>IF(D261="","",IFERROR(IF(INDEX(tt_Other,MATCH(D261,tt_Type,0))="",E261&amp;"",INDEX(tt_Other,MATCH(D261,tt_Type,0))),""))</f>
        <v/>
      </c>
      <c r="W261" s="68">
        <f>IF(OR(TaxOn&lt;&gt;"Yes",NOT(ISNUMBER(M261))),0,IF(IFERROR(INDEX(tt_Tax,MATCH(D261,tt_Type,0)),"No")="Yes",M261,0))</f>
        <v/>
      </c>
      <c r="X261" s="67">
        <f>IF(T261=1,"",IF(C261="","Missing transaction date",IF(NOT(ISNUMBER(C261)),"Invalid date",IF(OR(C261&lt;DATE(2000,1,1),C261&gt;DATE(2099,12,31)),"Invalid date",IF(D261="","Select a type",IF(U261="","Unknown type: "&amp;D261,IF(V261="","Select an account (Category)",IF(ISNA(MATCH(V261,coa_Name,0)),"Unknown account: "&amp;V261,IF(K261="","Select Paid From / Deposited To",IF(ISNA(MATCH(K261,coa_Name,0)),"Unknown account: "&amp;K261,IF(NOT(ISNUMBER(L261)),"Enter an amount",IF(L261=0,"Enter an amount",IF(ABS(W261)&gt;ABS(L261),"Tax is larger than the amount","")))))))))))))</f>
        <v/>
      </c>
      <c r="Y261" s="67">
        <f>IF(OR(T261=1,X261&lt;&gt;""),"",IF(AND(B261&lt;&gt;"",COUNTIF(tx_ID,B261)&gt;1),"Duplicate transaction ID",IF(AND(L261&lt;0,D261&lt;&gt;"Adjustment"),"Negative amount — check this entry",IF(AND(D261="Customer Payment",G261=""),"Add the customer",IF(AND(D261="Customer Payment",OR(J261="",COUNTIF(ar_No,J261&amp;"")=0)),"Invoice # in Reference not found on AR sheet",IF(AND(D261="Bill Payment",H261=""),"Add the vendor",IF(AND(D261="Bill Payment",OR(J261="",COUNTIFS(ap_No,J261&amp;"",ap_Party,H261&amp;"")=0)),"Bill # + vendor not found on AP sheet",IF(AND(ISNUMBER(M261),N(M261)&lt;&gt;0,W261=0),"Tax ignored (tax tracking off, or not allowed for this type)",IF(V261=K261&amp;"","Same account on both sides",IF(AND(ISNUMBER(StartDate),C261&lt;StartDate),"Date is before the accounting start date",IF(AND(D261&lt;&gt;"Adjustment",IFERROR(INDEX(coa_Pay,MATCH(K261&amp;"",coa_Name,0)),"")&lt;&gt;"Yes"),"Paid From / Deposited To is not a payment account","")))))))))))</f>
        <v/>
      </c>
      <c r="Z261" s="67">
        <f>IF(AND(T261=0,X261=""),1,0)</f>
        <v/>
      </c>
      <c r="AA261" s="68">
        <f>IF(Z261=1,IF(U261="In",L261,L261-W261),0)</f>
        <v/>
      </c>
      <c r="AB261" s="68">
        <f>IF(Z261=1,IF(U261="In",L261-W261,L261),0)</f>
        <v/>
      </c>
      <c r="AC261" s="68">
        <f>IF(AND(Z261=1,U261="Out"),W261,0)</f>
        <v/>
      </c>
      <c r="AD261" s="68">
        <f>IF(AND(Z261=1,U261="In"),W261,0)</f>
        <v/>
      </c>
    </row>
    <row r="262">
      <c r="B262" s="62" t="inlineStr">
        <is>
          <t>TX-0256</t>
        </is>
      </c>
      <c r="C262" s="63" t="n">
        <v>46222</v>
      </c>
      <c r="D262" s="62" t="inlineStr">
        <is>
          <t>Money In</t>
        </is>
      </c>
      <c r="E262" s="62" t="inlineStr">
        <is>
          <t>Product Sales</t>
        </is>
      </c>
      <c r="F262" s="62" t="inlineStr">
        <is>
          <t>GCash / online orders week 3</t>
        </is>
      </c>
      <c r="G262" s="62" t="n"/>
      <c r="H262" s="62" t="n"/>
      <c r="I262" s="62" t="inlineStr">
        <is>
          <t>E-Wallet</t>
        </is>
      </c>
      <c r="J262" s="62" t="n"/>
      <c r="K262" s="62" t="inlineStr">
        <is>
          <t>E-Wallet / Online Payments</t>
        </is>
      </c>
      <c r="L262" s="64" t="n">
        <v>15207.53</v>
      </c>
      <c r="M262" s="64" t="n">
        <v>1629.38</v>
      </c>
      <c r="N262" s="62" t="n"/>
      <c r="O262" s="65">
        <f>IF(Z262=1,L262-W262,"")</f>
        <v/>
      </c>
      <c r="P262" s="66">
        <f>IF(V262="","",IFERROR(INDEX(coa_Type,MATCH(V262,coa_Name,0)),""))</f>
        <v/>
      </c>
      <c r="Q262" s="66">
        <f>IF(Z262=1,IF(U262="In",K262&amp;"",V262),"")</f>
        <v/>
      </c>
      <c r="R262" s="66">
        <f>IF(Z262=1,IF(U262="In",V262,K262&amp;""),"")</f>
        <v/>
      </c>
      <c r="S262" s="66">
        <f>IF(X262&lt;&gt;"","⛔ "&amp;X262&amp;" — not posted",IF(Y262&lt;&gt;"","⚠ "&amp;Y262,IF(Z262=1,"✓ OK","")))</f>
        <v/>
      </c>
      <c r="T262" s="67">
        <f>IF(AND(C262="",D262="",E262="",L262="",K262=""),1,0)</f>
        <v/>
      </c>
      <c r="U262" s="67">
        <f>IFERROR(INDEX(tt_Dir,MATCH(D262,tt_Type,0)),"")</f>
        <v/>
      </c>
      <c r="V262" s="67">
        <f>IF(D262="","",IFERROR(IF(INDEX(tt_Other,MATCH(D262,tt_Type,0))="",E262&amp;"",INDEX(tt_Other,MATCH(D262,tt_Type,0))),""))</f>
        <v/>
      </c>
      <c r="W262" s="68">
        <f>IF(OR(TaxOn&lt;&gt;"Yes",NOT(ISNUMBER(M262))),0,IF(IFERROR(INDEX(tt_Tax,MATCH(D262,tt_Type,0)),"No")="Yes",M262,0))</f>
        <v/>
      </c>
      <c r="X262" s="67">
        <f>IF(T262=1,"",IF(C262="","Missing transaction date",IF(NOT(ISNUMBER(C262)),"Invalid date",IF(OR(C262&lt;DATE(2000,1,1),C262&gt;DATE(2099,12,31)),"Invalid date",IF(D262="","Select a type",IF(U262="","Unknown type: "&amp;D262,IF(V262="","Select an account (Category)",IF(ISNA(MATCH(V262,coa_Name,0)),"Unknown account: "&amp;V262,IF(K262="","Select Paid From / Deposited To",IF(ISNA(MATCH(K262,coa_Name,0)),"Unknown account: "&amp;K262,IF(NOT(ISNUMBER(L262)),"Enter an amount",IF(L262=0,"Enter an amount",IF(ABS(W262)&gt;ABS(L262),"Tax is larger than the amount","")))))))))))))</f>
        <v/>
      </c>
      <c r="Y262" s="67">
        <f>IF(OR(T262=1,X262&lt;&gt;""),"",IF(AND(B262&lt;&gt;"",COUNTIF(tx_ID,B262)&gt;1),"Duplicate transaction ID",IF(AND(L262&lt;0,D262&lt;&gt;"Adjustment"),"Negative amount — check this entry",IF(AND(D262="Customer Payment",G262=""),"Add the customer",IF(AND(D262="Customer Payment",OR(J262="",COUNTIF(ar_No,J262&amp;"")=0)),"Invoice # in Reference not found on AR sheet",IF(AND(D262="Bill Payment",H262=""),"Add the vendor",IF(AND(D262="Bill Payment",OR(J262="",COUNTIFS(ap_No,J262&amp;"",ap_Party,H262&amp;"")=0)),"Bill # + vendor not found on AP sheet",IF(AND(ISNUMBER(M262),N(M262)&lt;&gt;0,W262=0),"Tax ignored (tax tracking off, or not allowed for this type)",IF(V262=K262&amp;"","Same account on both sides",IF(AND(ISNUMBER(StartDate),C262&lt;StartDate),"Date is before the accounting start date",IF(AND(D262&lt;&gt;"Adjustment",IFERROR(INDEX(coa_Pay,MATCH(K262&amp;"",coa_Name,0)),"")&lt;&gt;"Yes"),"Paid From / Deposited To is not a payment account","")))))))))))</f>
        <v/>
      </c>
      <c r="Z262" s="67">
        <f>IF(AND(T262=0,X262=""),1,0)</f>
        <v/>
      </c>
      <c r="AA262" s="68">
        <f>IF(Z262=1,IF(U262="In",L262,L262-W262),0)</f>
        <v/>
      </c>
      <c r="AB262" s="68">
        <f>IF(Z262=1,IF(U262="In",L262-W262,L262),0)</f>
        <v/>
      </c>
      <c r="AC262" s="68">
        <f>IF(AND(Z262=1,U262="Out"),W262,0)</f>
        <v/>
      </c>
      <c r="AD262" s="68">
        <f>IF(AND(Z262=1,U262="In"),W262,0)</f>
        <v/>
      </c>
    </row>
    <row r="263">
      <c r="B263" s="62" t="inlineStr">
        <is>
          <t>TX-0257</t>
        </is>
      </c>
      <c r="C263" s="63" t="n">
        <v>46223</v>
      </c>
      <c r="D263" s="62" t="inlineStr">
        <is>
          <t>Transfer</t>
        </is>
      </c>
      <c r="E263" s="62" t="inlineStr">
        <is>
          <t>Bank Account</t>
        </is>
      </c>
      <c r="F263" s="62" t="inlineStr">
        <is>
          <t>Cash deposit to bank</t>
        </is>
      </c>
      <c r="G263" s="62" t="n"/>
      <c r="H263" s="62" t="n"/>
      <c r="I263" s="62" t="inlineStr">
        <is>
          <t>Cash</t>
        </is>
      </c>
      <c r="J263" s="62" t="n"/>
      <c r="K263" s="62" t="inlineStr">
        <is>
          <t>Cash on Hand</t>
        </is>
      </c>
      <c r="L263" s="64" t="n">
        <v>45500</v>
      </c>
      <c r="M263" s="64" t="n"/>
      <c r="N263" s="62" t="n"/>
      <c r="O263" s="65">
        <f>IF(Z263=1,L263-W263,"")</f>
        <v/>
      </c>
      <c r="P263" s="66">
        <f>IF(V263="","",IFERROR(INDEX(coa_Type,MATCH(V263,coa_Name,0)),""))</f>
        <v/>
      </c>
      <c r="Q263" s="66">
        <f>IF(Z263=1,IF(U263="In",K263&amp;"",V263),"")</f>
        <v/>
      </c>
      <c r="R263" s="66">
        <f>IF(Z263=1,IF(U263="In",V263,K263&amp;""),"")</f>
        <v/>
      </c>
      <c r="S263" s="66">
        <f>IF(X263&lt;&gt;"","⛔ "&amp;X263&amp;" — not posted",IF(Y263&lt;&gt;"","⚠ "&amp;Y263,IF(Z263=1,"✓ OK","")))</f>
        <v/>
      </c>
      <c r="T263" s="67">
        <f>IF(AND(C263="",D263="",E263="",L263="",K263=""),1,0)</f>
        <v/>
      </c>
      <c r="U263" s="67">
        <f>IFERROR(INDEX(tt_Dir,MATCH(D263,tt_Type,0)),"")</f>
        <v/>
      </c>
      <c r="V263" s="67">
        <f>IF(D263="","",IFERROR(IF(INDEX(tt_Other,MATCH(D263,tt_Type,0))="",E263&amp;"",INDEX(tt_Other,MATCH(D263,tt_Type,0))),""))</f>
        <v/>
      </c>
      <c r="W263" s="68">
        <f>IF(OR(TaxOn&lt;&gt;"Yes",NOT(ISNUMBER(M263))),0,IF(IFERROR(INDEX(tt_Tax,MATCH(D263,tt_Type,0)),"No")="Yes",M263,0))</f>
        <v/>
      </c>
      <c r="X263" s="67">
        <f>IF(T263=1,"",IF(C263="","Missing transaction date",IF(NOT(ISNUMBER(C263)),"Invalid date",IF(OR(C263&lt;DATE(2000,1,1),C263&gt;DATE(2099,12,31)),"Invalid date",IF(D263="","Select a type",IF(U263="","Unknown type: "&amp;D263,IF(V263="","Select an account (Category)",IF(ISNA(MATCH(V263,coa_Name,0)),"Unknown account: "&amp;V263,IF(K263="","Select Paid From / Deposited To",IF(ISNA(MATCH(K263,coa_Name,0)),"Unknown account: "&amp;K263,IF(NOT(ISNUMBER(L263)),"Enter an amount",IF(L263=0,"Enter an amount",IF(ABS(W263)&gt;ABS(L263),"Tax is larger than the amount","")))))))))))))</f>
        <v/>
      </c>
      <c r="Y263" s="67">
        <f>IF(OR(T263=1,X263&lt;&gt;""),"",IF(AND(B263&lt;&gt;"",COUNTIF(tx_ID,B263)&gt;1),"Duplicate transaction ID",IF(AND(L263&lt;0,D263&lt;&gt;"Adjustment"),"Negative amount — check this entry",IF(AND(D263="Customer Payment",G263=""),"Add the customer",IF(AND(D263="Customer Payment",OR(J263="",COUNTIF(ar_No,J263&amp;"")=0)),"Invoice # in Reference not found on AR sheet",IF(AND(D263="Bill Payment",H263=""),"Add the vendor",IF(AND(D263="Bill Payment",OR(J263="",COUNTIFS(ap_No,J263&amp;"",ap_Party,H263&amp;"")=0)),"Bill # + vendor not found on AP sheet",IF(AND(ISNUMBER(M263),N(M263)&lt;&gt;0,W263=0),"Tax ignored (tax tracking off, or not allowed for this type)",IF(V263=K263&amp;"","Same account on both sides",IF(AND(ISNUMBER(StartDate),C263&lt;StartDate),"Date is before the accounting start date",IF(AND(D263&lt;&gt;"Adjustment",IFERROR(INDEX(coa_Pay,MATCH(K263&amp;"",coa_Name,0)),"")&lt;&gt;"Yes"),"Paid From / Deposited To is not a payment account","")))))))))))</f>
        <v/>
      </c>
      <c r="Z263" s="67">
        <f>IF(AND(T263=0,X263=""),1,0)</f>
        <v/>
      </c>
      <c r="AA263" s="68">
        <f>IF(Z263=1,IF(U263="In",L263,L263-W263),0)</f>
        <v/>
      </c>
      <c r="AB263" s="68">
        <f>IF(Z263=1,IF(U263="In",L263-W263,L263),0)</f>
        <v/>
      </c>
      <c r="AC263" s="68">
        <f>IF(AND(Z263=1,U263="Out"),W263,0)</f>
        <v/>
      </c>
      <c r="AD263" s="68">
        <f>IF(AND(Z263=1,U263="In"),W263,0)</f>
        <v/>
      </c>
    </row>
    <row r="264">
      <c r="B264" s="62" t="inlineStr">
        <is>
          <t>TX-0258</t>
        </is>
      </c>
      <c r="C264" s="63" t="n">
        <v>46223</v>
      </c>
      <c r="D264" s="62" t="inlineStr">
        <is>
          <t>Money Out</t>
        </is>
      </c>
      <c r="E264" s="62" t="inlineStr">
        <is>
          <t>Transportation &amp; Delivery</t>
        </is>
      </c>
      <c r="F264" s="62" t="inlineStr">
        <is>
          <t>Delivery fuel</t>
        </is>
      </c>
      <c r="G264" s="62" t="n"/>
      <c r="H264" s="62" t="n"/>
      <c r="I264" s="62" t="inlineStr">
        <is>
          <t>Cash</t>
        </is>
      </c>
      <c r="J264" s="62" t="n"/>
      <c r="K264" s="62" t="inlineStr">
        <is>
          <t>Cash on Hand</t>
        </is>
      </c>
      <c r="L264" s="64" t="n">
        <v>4740.16</v>
      </c>
      <c r="M264" s="64" t="n">
        <v>507.87</v>
      </c>
      <c r="N264" s="62" t="n"/>
      <c r="O264" s="65">
        <f>IF(Z264=1,L264-W264,"")</f>
        <v/>
      </c>
      <c r="P264" s="66">
        <f>IF(V264="","",IFERROR(INDEX(coa_Type,MATCH(V264,coa_Name,0)),""))</f>
        <v/>
      </c>
      <c r="Q264" s="66">
        <f>IF(Z264=1,IF(U264="In",K264&amp;"",V264),"")</f>
        <v/>
      </c>
      <c r="R264" s="66">
        <f>IF(Z264=1,IF(U264="In",V264,K264&amp;""),"")</f>
        <v/>
      </c>
      <c r="S264" s="66">
        <f>IF(X264&lt;&gt;"","⛔ "&amp;X264&amp;" — not posted",IF(Y264&lt;&gt;"","⚠ "&amp;Y264,IF(Z264=1,"✓ OK","")))</f>
        <v/>
      </c>
      <c r="T264" s="67">
        <f>IF(AND(C264="",D264="",E264="",L264="",K264=""),1,0)</f>
        <v/>
      </c>
      <c r="U264" s="67">
        <f>IFERROR(INDEX(tt_Dir,MATCH(D264,tt_Type,0)),"")</f>
        <v/>
      </c>
      <c r="V264" s="67">
        <f>IF(D264="","",IFERROR(IF(INDEX(tt_Other,MATCH(D264,tt_Type,0))="",E264&amp;"",INDEX(tt_Other,MATCH(D264,tt_Type,0))),""))</f>
        <v/>
      </c>
      <c r="W264" s="68">
        <f>IF(OR(TaxOn&lt;&gt;"Yes",NOT(ISNUMBER(M264))),0,IF(IFERROR(INDEX(tt_Tax,MATCH(D264,tt_Type,0)),"No")="Yes",M264,0))</f>
        <v/>
      </c>
      <c r="X264" s="67">
        <f>IF(T264=1,"",IF(C264="","Missing transaction date",IF(NOT(ISNUMBER(C264)),"Invalid date",IF(OR(C264&lt;DATE(2000,1,1),C264&gt;DATE(2099,12,31)),"Invalid date",IF(D264="","Select a type",IF(U264="","Unknown type: "&amp;D264,IF(V264="","Select an account (Category)",IF(ISNA(MATCH(V264,coa_Name,0)),"Unknown account: "&amp;V264,IF(K264="","Select Paid From / Deposited To",IF(ISNA(MATCH(K264,coa_Name,0)),"Unknown account: "&amp;K264,IF(NOT(ISNUMBER(L264)),"Enter an amount",IF(L264=0,"Enter an amount",IF(ABS(W264)&gt;ABS(L264),"Tax is larger than the amount","")))))))))))))</f>
        <v/>
      </c>
      <c r="Y264" s="67">
        <f>IF(OR(T264=1,X264&lt;&gt;""),"",IF(AND(B264&lt;&gt;"",COUNTIF(tx_ID,B264)&gt;1),"Duplicate transaction ID",IF(AND(L264&lt;0,D264&lt;&gt;"Adjustment"),"Negative amount — check this entry",IF(AND(D264="Customer Payment",G264=""),"Add the customer",IF(AND(D264="Customer Payment",OR(J264="",COUNTIF(ar_No,J264&amp;"")=0)),"Invoice # in Reference not found on AR sheet",IF(AND(D264="Bill Payment",H264=""),"Add the vendor",IF(AND(D264="Bill Payment",OR(J264="",COUNTIFS(ap_No,J264&amp;"",ap_Party,H264&amp;"")=0)),"Bill # + vendor not found on AP sheet",IF(AND(ISNUMBER(M264),N(M264)&lt;&gt;0,W264=0),"Tax ignored (tax tracking off, or not allowed for this type)",IF(V264=K264&amp;"","Same account on both sides",IF(AND(ISNUMBER(StartDate),C264&lt;StartDate),"Date is before the accounting start date",IF(AND(D264&lt;&gt;"Adjustment",IFERROR(INDEX(coa_Pay,MATCH(K264&amp;"",coa_Name,0)),"")&lt;&gt;"Yes"),"Paid From / Deposited To is not a payment account","")))))))))))</f>
        <v/>
      </c>
      <c r="Z264" s="67">
        <f>IF(AND(T264=0,X264=""),1,0)</f>
        <v/>
      </c>
      <c r="AA264" s="68">
        <f>IF(Z264=1,IF(U264="In",L264,L264-W264),0)</f>
        <v/>
      </c>
      <c r="AB264" s="68">
        <f>IF(Z264=1,IF(U264="In",L264-W264,L264),0)</f>
        <v/>
      </c>
      <c r="AC264" s="68">
        <f>IF(AND(Z264=1,U264="Out"),W264,0)</f>
        <v/>
      </c>
      <c r="AD264" s="68">
        <f>IF(AND(Z264=1,U264="In"),W264,0)</f>
        <v/>
      </c>
    </row>
    <row r="265">
      <c r="B265" s="62" t="inlineStr">
        <is>
          <t>TX-0259</t>
        </is>
      </c>
      <c r="C265" s="63" t="n">
        <v>46227</v>
      </c>
      <c r="D265" s="62" t="inlineStr">
        <is>
          <t>Money Out</t>
        </is>
      </c>
      <c r="E265" s="62" t="inlineStr">
        <is>
          <t>Tax Payable</t>
        </is>
      </c>
      <c r="F265" s="62" t="inlineStr">
        <is>
          <t>VAT return Q2 2026</t>
        </is>
      </c>
      <c r="G265" s="62" t="n"/>
      <c r="H265" s="62" t="n"/>
      <c r="I265" s="62" t="inlineStr">
        <is>
          <t>Bank Transfer</t>
        </is>
      </c>
      <c r="J265" s="62" t="inlineStr">
        <is>
          <t>VAT-Q2</t>
        </is>
      </c>
      <c r="K265" s="62" t="inlineStr">
        <is>
          <t>Bank Account</t>
        </is>
      </c>
      <c r="L265" s="64" t="n">
        <v>54513.04</v>
      </c>
      <c r="M265" s="64" t="n"/>
      <c r="N265" s="62" t="n"/>
      <c r="O265" s="65">
        <f>IF(Z265=1,L265-W265,"")</f>
        <v/>
      </c>
      <c r="P265" s="66">
        <f>IF(V265="","",IFERROR(INDEX(coa_Type,MATCH(V265,coa_Name,0)),""))</f>
        <v/>
      </c>
      <c r="Q265" s="66">
        <f>IF(Z265=1,IF(U265="In",K265&amp;"",V265),"")</f>
        <v/>
      </c>
      <c r="R265" s="66">
        <f>IF(Z265=1,IF(U265="In",V265,K265&amp;""),"")</f>
        <v/>
      </c>
      <c r="S265" s="66">
        <f>IF(X265&lt;&gt;"","⛔ "&amp;X265&amp;" — not posted",IF(Y265&lt;&gt;"","⚠ "&amp;Y265,IF(Z265=1,"✓ OK","")))</f>
        <v/>
      </c>
      <c r="T265" s="67">
        <f>IF(AND(C265="",D265="",E265="",L265="",K265=""),1,0)</f>
        <v/>
      </c>
      <c r="U265" s="67">
        <f>IFERROR(INDEX(tt_Dir,MATCH(D265,tt_Type,0)),"")</f>
        <v/>
      </c>
      <c r="V265" s="67">
        <f>IF(D265="","",IFERROR(IF(INDEX(tt_Other,MATCH(D265,tt_Type,0))="",E265&amp;"",INDEX(tt_Other,MATCH(D265,tt_Type,0))),""))</f>
        <v/>
      </c>
      <c r="W265" s="68">
        <f>IF(OR(TaxOn&lt;&gt;"Yes",NOT(ISNUMBER(M265))),0,IF(IFERROR(INDEX(tt_Tax,MATCH(D265,tt_Type,0)),"No")="Yes",M265,0))</f>
        <v/>
      </c>
      <c r="X265" s="67">
        <f>IF(T265=1,"",IF(C265="","Missing transaction date",IF(NOT(ISNUMBER(C265)),"Invalid date",IF(OR(C265&lt;DATE(2000,1,1),C265&gt;DATE(2099,12,31)),"Invalid date",IF(D265="","Select a type",IF(U265="","Unknown type: "&amp;D265,IF(V265="","Select an account (Category)",IF(ISNA(MATCH(V265,coa_Name,0)),"Unknown account: "&amp;V265,IF(K265="","Select Paid From / Deposited To",IF(ISNA(MATCH(K265,coa_Name,0)),"Unknown account: "&amp;K265,IF(NOT(ISNUMBER(L265)),"Enter an amount",IF(L265=0,"Enter an amount",IF(ABS(W265)&gt;ABS(L265),"Tax is larger than the amount","")))))))))))))</f>
        <v/>
      </c>
      <c r="Y265" s="67">
        <f>IF(OR(T265=1,X265&lt;&gt;""),"",IF(AND(B265&lt;&gt;"",COUNTIF(tx_ID,B265)&gt;1),"Duplicate transaction ID",IF(AND(L265&lt;0,D265&lt;&gt;"Adjustment"),"Negative amount — check this entry",IF(AND(D265="Customer Payment",G265=""),"Add the customer",IF(AND(D265="Customer Payment",OR(J265="",COUNTIF(ar_No,J265&amp;"")=0)),"Invoice # in Reference not found on AR sheet",IF(AND(D265="Bill Payment",H265=""),"Add the vendor",IF(AND(D265="Bill Payment",OR(J265="",COUNTIFS(ap_No,J265&amp;"",ap_Party,H265&amp;"")=0)),"Bill # + vendor not found on AP sheet",IF(AND(ISNUMBER(M265),N(M265)&lt;&gt;0,W265=0),"Tax ignored (tax tracking off, or not allowed for this type)",IF(V265=K265&amp;"","Same account on both sides",IF(AND(ISNUMBER(StartDate),C265&lt;StartDate),"Date is before the accounting start date",IF(AND(D265&lt;&gt;"Adjustment",IFERROR(INDEX(coa_Pay,MATCH(K265&amp;"",coa_Name,0)),"")&lt;&gt;"Yes"),"Paid From / Deposited To is not a payment account","")))))))))))</f>
        <v/>
      </c>
      <c r="Z265" s="67">
        <f>IF(AND(T265=0,X265=""),1,0)</f>
        <v/>
      </c>
      <c r="AA265" s="68">
        <f>IF(Z265=1,IF(U265="In",L265,L265-W265),0)</f>
        <v/>
      </c>
      <c r="AB265" s="68">
        <f>IF(Z265=1,IF(U265="In",L265-W265,L265),0)</f>
        <v/>
      </c>
      <c r="AC265" s="68">
        <f>IF(AND(Z265=1,U265="Out"),W265,0)</f>
        <v/>
      </c>
      <c r="AD265" s="68">
        <f>IF(AND(Z265=1,U265="In"),W265,0)</f>
        <v/>
      </c>
    </row>
    <row r="266">
      <c r="B266" s="62" t="inlineStr">
        <is>
          <t>TX-0260</t>
        </is>
      </c>
      <c r="C266" s="63" t="n">
        <v>46228</v>
      </c>
      <c r="D266" s="62" t="inlineStr">
        <is>
          <t>Money In</t>
        </is>
      </c>
      <c r="E266" s="62" t="inlineStr">
        <is>
          <t>Product Sales</t>
        </is>
      </c>
      <c r="F266" s="62" t="inlineStr">
        <is>
          <t>Counter sales week 4</t>
        </is>
      </c>
      <c r="G266" s="62" t="n"/>
      <c r="H266" s="62" t="n"/>
      <c r="I266" s="62" t="inlineStr">
        <is>
          <t>Cash</t>
        </is>
      </c>
      <c r="J266" s="62" t="n"/>
      <c r="K266" s="62" t="inlineStr">
        <is>
          <t>Cash on Hand</t>
        </is>
      </c>
      <c r="L266" s="64" t="n">
        <v>49199.04</v>
      </c>
      <c r="M266" s="64" t="n">
        <v>5271.33</v>
      </c>
      <c r="N266" s="62" t="n"/>
      <c r="O266" s="65">
        <f>IF(Z266=1,L266-W266,"")</f>
        <v/>
      </c>
      <c r="P266" s="66">
        <f>IF(V266="","",IFERROR(INDEX(coa_Type,MATCH(V266,coa_Name,0)),""))</f>
        <v/>
      </c>
      <c r="Q266" s="66">
        <f>IF(Z266=1,IF(U266="In",K266&amp;"",V266),"")</f>
        <v/>
      </c>
      <c r="R266" s="66">
        <f>IF(Z266=1,IF(U266="In",V266,K266&amp;""),"")</f>
        <v/>
      </c>
      <c r="S266" s="66">
        <f>IF(X266&lt;&gt;"","⛔ "&amp;X266&amp;" — not posted",IF(Y266&lt;&gt;"","⚠ "&amp;Y266,IF(Z266=1,"✓ OK","")))</f>
        <v/>
      </c>
      <c r="T266" s="67">
        <f>IF(AND(C266="",D266="",E266="",L266="",K266=""),1,0)</f>
        <v/>
      </c>
      <c r="U266" s="67">
        <f>IFERROR(INDEX(tt_Dir,MATCH(D266,tt_Type,0)),"")</f>
        <v/>
      </c>
      <c r="V266" s="67">
        <f>IF(D266="","",IFERROR(IF(INDEX(tt_Other,MATCH(D266,tt_Type,0))="",E266&amp;"",INDEX(tt_Other,MATCH(D266,tt_Type,0))),""))</f>
        <v/>
      </c>
      <c r="W266" s="68">
        <f>IF(OR(TaxOn&lt;&gt;"Yes",NOT(ISNUMBER(M266))),0,IF(IFERROR(INDEX(tt_Tax,MATCH(D266,tt_Type,0)),"No")="Yes",M266,0))</f>
        <v/>
      </c>
      <c r="X266" s="67">
        <f>IF(T266=1,"",IF(C266="","Missing transaction date",IF(NOT(ISNUMBER(C266)),"Invalid date",IF(OR(C266&lt;DATE(2000,1,1),C266&gt;DATE(2099,12,31)),"Invalid date",IF(D266="","Select a type",IF(U266="","Unknown type: "&amp;D266,IF(V266="","Select an account (Category)",IF(ISNA(MATCH(V266,coa_Name,0)),"Unknown account: "&amp;V266,IF(K266="","Select Paid From / Deposited To",IF(ISNA(MATCH(K266,coa_Name,0)),"Unknown account: "&amp;K266,IF(NOT(ISNUMBER(L266)),"Enter an amount",IF(L266=0,"Enter an amount",IF(ABS(W266)&gt;ABS(L266),"Tax is larger than the amount","")))))))))))))</f>
        <v/>
      </c>
      <c r="Y266" s="67">
        <f>IF(OR(T266=1,X266&lt;&gt;""),"",IF(AND(B266&lt;&gt;"",COUNTIF(tx_ID,B266)&gt;1),"Duplicate transaction ID",IF(AND(L266&lt;0,D266&lt;&gt;"Adjustment"),"Negative amount — check this entry",IF(AND(D266="Customer Payment",G266=""),"Add the customer",IF(AND(D266="Customer Payment",OR(J266="",COUNTIF(ar_No,J266&amp;"")=0)),"Invoice # in Reference not found on AR sheet",IF(AND(D266="Bill Payment",H266=""),"Add the vendor",IF(AND(D266="Bill Payment",OR(J266="",COUNTIFS(ap_No,J266&amp;"",ap_Party,H266&amp;"")=0)),"Bill # + vendor not found on AP sheet",IF(AND(ISNUMBER(M266),N(M266)&lt;&gt;0,W266=0),"Tax ignored (tax tracking off, or not allowed for this type)",IF(V266=K266&amp;"","Same account on both sides",IF(AND(ISNUMBER(StartDate),C266&lt;StartDate),"Date is before the accounting start date",IF(AND(D266&lt;&gt;"Adjustment",IFERROR(INDEX(coa_Pay,MATCH(K266&amp;"",coa_Name,0)),"")&lt;&gt;"Yes"),"Paid From / Deposited To is not a payment account","")))))))))))</f>
        <v/>
      </c>
      <c r="Z266" s="67">
        <f>IF(AND(T266=0,X266=""),1,0)</f>
        <v/>
      </c>
      <c r="AA266" s="68">
        <f>IF(Z266=1,IF(U266="In",L266,L266-W266),0)</f>
        <v/>
      </c>
      <c r="AB266" s="68">
        <f>IF(Z266=1,IF(U266="In",L266-W266,L266),0)</f>
        <v/>
      </c>
      <c r="AC266" s="68">
        <f>IF(AND(Z266=1,U266="Out"),W266,0)</f>
        <v/>
      </c>
      <c r="AD266" s="68">
        <f>IF(AND(Z266=1,U266="In"),W266,0)</f>
        <v/>
      </c>
    </row>
    <row r="267">
      <c r="B267" s="62" t="inlineStr">
        <is>
          <t>TX-0261</t>
        </is>
      </c>
      <c r="C267" s="63" t="n">
        <v>46228</v>
      </c>
      <c r="D267" s="62" t="inlineStr">
        <is>
          <t>Owner Draw</t>
        </is>
      </c>
      <c r="E267" s="62" t="n"/>
      <c r="F267" s="62" t="inlineStr">
        <is>
          <t>Owner salary / personal draw</t>
        </is>
      </c>
      <c r="G267" s="62" t="n"/>
      <c r="H267" s="62" t="n"/>
      <c r="I267" s="62" t="inlineStr">
        <is>
          <t>Bank Transfer</t>
        </is>
      </c>
      <c r="J267" s="62" t="n"/>
      <c r="K267" s="62" t="inlineStr">
        <is>
          <t>Bank Account</t>
        </is>
      </c>
      <c r="L267" s="64" t="n">
        <v>20000</v>
      </c>
      <c r="M267" s="64" t="n"/>
      <c r="N267" s="62" t="n"/>
      <c r="O267" s="65">
        <f>IF(Z267=1,L267-W267,"")</f>
        <v/>
      </c>
      <c r="P267" s="66">
        <f>IF(V267="","",IFERROR(INDEX(coa_Type,MATCH(V267,coa_Name,0)),""))</f>
        <v/>
      </c>
      <c r="Q267" s="66">
        <f>IF(Z267=1,IF(U267="In",K267&amp;"",V267),"")</f>
        <v/>
      </c>
      <c r="R267" s="66">
        <f>IF(Z267=1,IF(U267="In",V267,K267&amp;""),"")</f>
        <v/>
      </c>
      <c r="S267" s="66">
        <f>IF(X267&lt;&gt;"","⛔ "&amp;X267&amp;" — not posted",IF(Y267&lt;&gt;"","⚠ "&amp;Y267,IF(Z267=1,"✓ OK","")))</f>
        <v/>
      </c>
      <c r="T267" s="67">
        <f>IF(AND(C267="",D267="",E267="",L267="",K267=""),1,0)</f>
        <v/>
      </c>
      <c r="U267" s="67">
        <f>IFERROR(INDEX(tt_Dir,MATCH(D267,tt_Type,0)),"")</f>
        <v/>
      </c>
      <c r="V267" s="67">
        <f>IF(D267="","",IFERROR(IF(INDEX(tt_Other,MATCH(D267,tt_Type,0))="",E267&amp;"",INDEX(tt_Other,MATCH(D267,tt_Type,0))),""))</f>
        <v/>
      </c>
      <c r="W267" s="68">
        <f>IF(OR(TaxOn&lt;&gt;"Yes",NOT(ISNUMBER(M267))),0,IF(IFERROR(INDEX(tt_Tax,MATCH(D267,tt_Type,0)),"No")="Yes",M267,0))</f>
        <v/>
      </c>
      <c r="X267" s="67">
        <f>IF(T267=1,"",IF(C267="","Missing transaction date",IF(NOT(ISNUMBER(C267)),"Invalid date",IF(OR(C267&lt;DATE(2000,1,1),C267&gt;DATE(2099,12,31)),"Invalid date",IF(D267="","Select a type",IF(U267="","Unknown type: "&amp;D267,IF(V267="","Select an account (Category)",IF(ISNA(MATCH(V267,coa_Name,0)),"Unknown account: "&amp;V267,IF(K267="","Select Paid From / Deposited To",IF(ISNA(MATCH(K267,coa_Name,0)),"Unknown account: "&amp;K267,IF(NOT(ISNUMBER(L267)),"Enter an amount",IF(L267=0,"Enter an amount",IF(ABS(W267)&gt;ABS(L267),"Tax is larger than the amount","")))))))))))))</f>
        <v/>
      </c>
      <c r="Y267" s="67">
        <f>IF(OR(T267=1,X267&lt;&gt;""),"",IF(AND(B267&lt;&gt;"",COUNTIF(tx_ID,B267)&gt;1),"Duplicate transaction ID",IF(AND(L267&lt;0,D267&lt;&gt;"Adjustment"),"Negative amount — check this entry",IF(AND(D267="Customer Payment",G267=""),"Add the customer",IF(AND(D267="Customer Payment",OR(J267="",COUNTIF(ar_No,J267&amp;"")=0)),"Invoice # in Reference not found on AR sheet",IF(AND(D267="Bill Payment",H267=""),"Add the vendor",IF(AND(D267="Bill Payment",OR(J267="",COUNTIFS(ap_No,J267&amp;"",ap_Party,H267&amp;"")=0)),"Bill # + vendor not found on AP sheet",IF(AND(ISNUMBER(M267),N(M267)&lt;&gt;0,W267=0),"Tax ignored (tax tracking off, or not allowed for this type)",IF(V267=K267&amp;"","Same account on both sides",IF(AND(ISNUMBER(StartDate),C267&lt;StartDate),"Date is before the accounting start date",IF(AND(D267&lt;&gt;"Adjustment",IFERROR(INDEX(coa_Pay,MATCH(K267&amp;"",coa_Name,0)),"")&lt;&gt;"Yes"),"Paid From / Deposited To is not a payment account","")))))))))))</f>
        <v/>
      </c>
      <c r="Z267" s="67">
        <f>IF(AND(T267=0,X267=""),1,0)</f>
        <v/>
      </c>
      <c r="AA267" s="68">
        <f>IF(Z267=1,IF(U267="In",L267,L267-W267),0)</f>
        <v/>
      </c>
      <c r="AB267" s="68">
        <f>IF(Z267=1,IF(U267="In",L267-W267,L267),0)</f>
        <v/>
      </c>
      <c r="AC267" s="68">
        <f>IF(AND(Z267=1,U267="Out"),W267,0)</f>
        <v/>
      </c>
      <c r="AD267" s="68">
        <f>IF(AND(Z267=1,U267="In"),W267,0)</f>
        <v/>
      </c>
    </row>
    <row r="268">
      <c r="B268" s="62" t="inlineStr">
        <is>
          <t>TX-0262</t>
        </is>
      </c>
      <c r="C268" s="63" t="n">
        <v>46229</v>
      </c>
      <c r="D268" s="62" t="inlineStr">
        <is>
          <t>Money In</t>
        </is>
      </c>
      <c r="E268" s="62" t="inlineStr">
        <is>
          <t>Product Sales</t>
        </is>
      </c>
      <c r="F268" s="62" t="inlineStr">
        <is>
          <t>GCash / online orders week 4</t>
        </is>
      </c>
      <c r="G268" s="62" t="n"/>
      <c r="H268" s="62" t="n"/>
      <c r="I268" s="62" t="inlineStr">
        <is>
          <t>E-Wallet</t>
        </is>
      </c>
      <c r="J268" s="62" t="n"/>
      <c r="K268" s="62" t="inlineStr">
        <is>
          <t>E-Wallet / Online Payments</t>
        </is>
      </c>
      <c r="L268" s="64" t="n">
        <v>21062.27</v>
      </c>
      <c r="M268" s="64" t="n">
        <v>2256.67</v>
      </c>
      <c r="N268" s="62" t="n"/>
      <c r="O268" s="65">
        <f>IF(Z268=1,L268-W268,"")</f>
        <v/>
      </c>
      <c r="P268" s="66">
        <f>IF(V268="","",IFERROR(INDEX(coa_Type,MATCH(V268,coa_Name,0)),""))</f>
        <v/>
      </c>
      <c r="Q268" s="66">
        <f>IF(Z268=1,IF(U268="In",K268&amp;"",V268),"")</f>
        <v/>
      </c>
      <c r="R268" s="66">
        <f>IF(Z268=1,IF(U268="In",V268,K268&amp;""),"")</f>
        <v/>
      </c>
      <c r="S268" s="66">
        <f>IF(X268&lt;&gt;"","⛔ "&amp;X268&amp;" — not posted",IF(Y268&lt;&gt;"","⚠ "&amp;Y268,IF(Z268=1,"✓ OK","")))</f>
        <v/>
      </c>
      <c r="T268" s="67">
        <f>IF(AND(C268="",D268="",E268="",L268="",K268=""),1,0)</f>
        <v/>
      </c>
      <c r="U268" s="67">
        <f>IFERROR(INDEX(tt_Dir,MATCH(D268,tt_Type,0)),"")</f>
        <v/>
      </c>
      <c r="V268" s="67">
        <f>IF(D268="","",IFERROR(IF(INDEX(tt_Other,MATCH(D268,tt_Type,0))="",E268&amp;"",INDEX(tt_Other,MATCH(D268,tt_Type,0))),""))</f>
        <v/>
      </c>
      <c r="W268" s="68">
        <f>IF(OR(TaxOn&lt;&gt;"Yes",NOT(ISNUMBER(M268))),0,IF(IFERROR(INDEX(tt_Tax,MATCH(D268,tt_Type,0)),"No")="Yes",M268,0))</f>
        <v/>
      </c>
      <c r="X268" s="67">
        <f>IF(T268=1,"",IF(C268="","Missing transaction date",IF(NOT(ISNUMBER(C268)),"Invalid date",IF(OR(C268&lt;DATE(2000,1,1),C268&gt;DATE(2099,12,31)),"Invalid date",IF(D268="","Select a type",IF(U268="","Unknown type: "&amp;D268,IF(V268="","Select an account (Category)",IF(ISNA(MATCH(V268,coa_Name,0)),"Unknown account: "&amp;V268,IF(K268="","Select Paid From / Deposited To",IF(ISNA(MATCH(K268,coa_Name,0)),"Unknown account: "&amp;K268,IF(NOT(ISNUMBER(L268)),"Enter an amount",IF(L268=0,"Enter an amount",IF(ABS(W268)&gt;ABS(L268),"Tax is larger than the amount","")))))))))))))</f>
        <v/>
      </c>
      <c r="Y268" s="67">
        <f>IF(OR(T268=1,X268&lt;&gt;""),"",IF(AND(B268&lt;&gt;"",COUNTIF(tx_ID,B268)&gt;1),"Duplicate transaction ID",IF(AND(L268&lt;0,D268&lt;&gt;"Adjustment"),"Negative amount — check this entry",IF(AND(D268="Customer Payment",G268=""),"Add the customer",IF(AND(D268="Customer Payment",OR(J268="",COUNTIF(ar_No,J268&amp;"")=0)),"Invoice # in Reference not found on AR sheet",IF(AND(D268="Bill Payment",H268=""),"Add the vendor",IF(AND(D268="Bill Payment",OR(J268="",COUNTIFS(ap_No,J268&amp;"",ap_Party,H268&amp;"")=0)),"Bill # + vendor not found on AP sheet",IF(AND(ISNUMBER(M268),N(M268)&lt;&gt;0,W268=0),"Tax ignored (tax tracking off, or not allowed for this type)",IF(V268=K268&amp;"","Same account on both sides",IF(AND(ISNUMBER(StartDate),C268&lt;StartDate),"Date is before the accounting start date",IF(AND(D268&lt;&gt;"Adjustment",IFERROR(INDEX(coa_Pay,MATCH(K268&amp;"",coa_Name,0)),"")&lt;&gt;"Yes"),"Paid From / Deposited To is not a payment account","")))))))))))</f>
        <v/>
      </c>
      <c r="Z268" s="67">
        <f>IF(AND(T268=0,X268=""),1,0)</f>
        <v/>
      </c>
      <c r="AA268" s="68">
        <f>IF(Z268=1,IF(U268="In",L268,L268-W268),0)</f>
        <v/>
      </c>
      <c r="AB268" s="68">
        <f>IF(Z268=1,IF(U268="In",L268-W268,L268),0)</f>
        <v/>
      </c>
      <c r="AC268" s="68">
        <f>IF(AND(Z268=1,U268="Out"),W268,0)</f>
        <v/>
      </c>
      <c r="AD268" s="68">
        <f>IF(AND(Z268=1,U268="In"),W268,0)</f>
        <v/>
      </c>
    </row>
    <row r="269">
      <c r="B269" s="62" t="inlineStr">
        <is>
          <t>TX-0263</t>
        </is>
      </c>
      <c r="C269" s="63" t="n">
        <v>46230</v>
      </c>
      <c r="D269" s="62" t="inlineStr">
        <is>
          <t>Transfer</t>
        </is>
      </c>
      <c r="E269" s="62" t="inlineStr">
        <is>
          <t>Bank Account</t>
        </is>
      </c>
      <c r="F269" s="62" t="inlineStr">
        <is>
          <t>Cash deposit to bank</t>
        </is>
      </c>
      <c r="G269" s="62" t="n"/>
      <c r="H269" s="62" t="n"/>
      <c r="I269" s="62" t="inlineStr">
        <is>
          <t>Cash</t>
        </is>
      </c>
      <c r="J269" s="62" t="n"/>
      <c r="K269" s="62" t="inlineStr">
        <is>
          <t>Cash on Hand</t>
        </is>
      </c>
      <c r="L269" s="64" t="n">
        <v>41800</v>
      </c>
      <c r="M269" s="64" t="n"/>
      <c r="N269" s="62" t="n"/>
      <c r="O269" s="65">
        <f>IF(Z269=1,L269-W269,"")</f>
        <v/>
      </c>
      <c r="P269" s="66">
        <f>IF(V269="","",IFERROR(INDEX(coa_Type,MATCH(V269,coa_Name,0)),""))</f>
        <v/>
      </c>
      <c r="Q269" s="66">
        <f>IF(Z269=1,IF(U269="In",K269&amp;"",V269),"")</f>
        <v/>
      </c>
      <c r="R269" s="66">
        <f>IF(Z269=1,IF(U269="In",V269,K269&amp;""),"")</f>
        <v/>
      </c>
      <c r="S269" s="66">
        <f>IF(X269&lt;&gt;"","⛔ "&amp;X269&amp;" — not posted",IF(Y269&lt;&gt;"","⚠ "&amp;Y269,IF(Z269=1,"✓ OK","")))</f>
        <v/>
      </c>
      <c r="T269" s="67">
        <f>IF(AND(C269="",D269="",E269="",L269="",K269=""),1,0)</f>
        <v/>
      </c>
      <c r="U269" s="67">
        <f>IFERROR(INDEX(tt_Dir,MATCH(D269,tt_Type,0)),"")</f>
        <v/>
      </c>
      <c r="V269" s="67">
        <f>IF(D269="","",IFERROR(IF(INDEX(tt_Other,MATCH(D269,tt_Type,0))="",E269&amp;"",INDEX(tt_Other,MATCH(D269,tt_Type,0))),""))</f>
        <v/>
      </c>
      <c r="W269" s="68">
        <f>IF(OR(TaxOn&lt;&gt;"Yes",NOT(ISNUMBER(M269))),0,IF(IFERROR(INDEX(tt_Tax,MATCH(D269,tt_Type,0)),"No")="Yes",M269,0))</f>
        <v/>
      </c>
      <c r="X269" s="67">
        <f>IF(T269=1,"",IF(C269="","Missing transaction date",IF(NOT(ISNUMBER(C269)),"Invalid date",IF(OR(C269&lt;DATE(2000,1,1),C269&gt;DATE(2099,12,31)),"Invalid date",IF(D269="","Select a type",IF(U269="","Unknown type: "&amp;D269,IF(V269="","Select an account (Category)",IF(ISNA(MATCH(V269,coa_Name,0)),"Unknown account: "&amp;V269,IF(K269="","Select Paid From / Deposited To",IF(ISNA(MATCH(K269,coa_Name,0)),"Unknown account: "&amp;K269,IF(NOT(ISNUMBER(L269)),"Enter an amount",IF(L269=0,"Enter an amount",IF(ABS(W269)&gt;ABS(L269),"Tax is larger than the amount","")))))))))))))</f>
        <v/>
      </c>
      <c r="Y269" s="67">
        <f>IF(OR(T269=1,X269&lt;&gt;""),"",IF(AND(B269&lt;&gt;"",COUNTIF(tx_ID,B269)&gt;1),"Duplicate transaction ID",IF(AND(L269&lt;0,D269&lt;&gt;"Adjustment"),"Negative amount — check this entry",IF(AND(D269="Customer Payment",G269=""),"Add the customer",IF(AND(D269="Customer Payment",OR(J269="",COUNTIF(ar_No,J269&amp;"")=0)),"Invoice # in Reference not found on AR sheet",IF(AND(D269="Bill Payment",H269=""),"Add the vendor",IF(AND(D269="Bill Payment",OR(J269="",COUNTIFS(ap_No,J269&amp;"",ap_Party,H269&amp;"")=0)),"Bill # + vendor not found on AP sheet",IF(AND(ISNUMBER(M269),N(M269)&lt;&gt;0,W269=0),"Tax ignored (tax tracking off, or not allowed for this type)",IF(V269=K269&amp;"","Same account on both sides",IF(AND(ISNUMBER(StartDate),C269&lt;StartDate),"Date is before the accounting start date",IF(AND(D269&lt;&gt;"Adjustment",IFERROR(INDEX(coa_Pay,MATCH(K269&amp;"",coa_Name,0)),"")&lt;&gt;"Yes"),"Paid From / Deposited To is not a payment account","")))))))))))</f>
        <v/>
      </c>
      <c r="Z269" s="67">
        <f>IF(AND(T269=0,X269=""),1,0)</f>
        <v/>
      </c>
      <c r="AA269" s="68">
        <f>IF(Z269=1,IF(U269="In",L269,L269-W269),0)</f>
        <v/>
      </c>
      <c r="AB269" s="68">
        <f>IF(Z269=1,IF(U269="In",L269-W269,L269),0)</f>
        <v/>
      </c>
      <c r="AC269" s="68">
        <f>IF(AND(Z269=1,U269="Out"),W269,0)</f>
        <v/>
      </c>
      <c r="AD269" s="68">
        <f>IF(AND(Z269=1,U269="In"),W269,0)</f>
        <v/>
      </c>
    </row>
    <row r="270">
      <c r="B270" s="62" t="inlineStr">
        <is>
          <t>TX-0264</t>
        </is>
      </c>
      <c r="C270" s="63" t="n">
        <v>46230</v>
      </c>
      <c r="D270" s="62" t="inlineStr">
        <is>
          <t>Money Out</t>
        </is>
      </c>
      <c r="E270" s="62" t="inlineStr">
        <is>
          <t>Bank &amp; Payment Fees</t>
        </is>
      </c>
      <c r="F270" s="62" t="inlineStr">
        <is>
          <t>Monthly bank charge</t>
        </is>
      </c>
      <c r="G270" s="62" t="n"/>
      <c r="H270" s="62" t="n"/>
      <c r="I270" s="62" t="inlineStr">
        <is>
          <t>Bank Transfer</t>
        </is>
      </c>
      <c r="J270" s="62" t="n"/>
      <c r="K270" s="62" t="inlineStr">
        <is>
          <t>Bank Account</t>
        </is>
      </c>
      <c r="L270" s="64" t="n">
        <v>150</v>
      </c>
      <c r="M270" s="64" t="n"/>
      <c r="N270" s="62" t="n"/>
      <c r="O270" s="65">
        <f>IF(Z270=1,L270-W270,"")</f>
        <v/>
      </c>
      <c r="P270" s="66">
        <f>IF(V270="","",IFERROR(INDEX(coa_Type,MATCH(V270,coa_Name,0)),""))</f>
        <v/>
      </c>
      <c r="Q270" s="66">
        <f>IF(Z270=1,IF(U270="In",K270&amp;"",V270),"")</f>
        <v/>
      </c>
      <c r="R270" s="66">
        <f>IF(Z270=1,IF(U270="In",V270,K270&amp;""),"")</f>
        <v/>
      </c>
      <c r="S270" s="66">
        <f>IF(X270&lt;&gt;"","⛔ "&amp;X270&amp;" — not posted",IF(Y270&lt;&gt;"","⚠ "&amp;Y270,IF(Z270=1,"✓ OK","")))</f>
        <v/>
      </c>
      <c r="T270" s="67">
        <f>IF(AND(C270="",D270="",E270="",L270="",K270=""),1,0)</f>
        <v/>
      </c>
      <c r="U270" s="67">
        <f>IFERROR(INDEX(tt_Dir,MATCH(D270,tt_Type,0)),"")</f>
        <v/>
      </c>
      <c r="V270" s="67">
        <f>IF(D270="","",IFERROR(IF(INDEX(tt_Other,MATCH(D270,tt_Type,0))="",E270&amp;"",INDEX(tt_Other,MATCH(D270,tt_Type,0))),""))</f>
        <v/>
      </c>
      <c r="W270" s="68">
        <f>IF(OR(TaxOn&lt;&gt;"Yes",NOT(ISNUMBER(M270))),0,IF(IFERROR(INDEX(tt_Tax,MATCH(D270,tt_Type,0)),"No")="Yes",M270,0))</f>
        <v/>
      </c>
      <c r="X270" s="67">
        <f>IF(T270=1,"",IF(C270="","Missing transaction date",IF(NOT(ISNUMBER(C270)),"Invalid date",IF(OR(C270&lt;DATE(2000,1,1),C270&gt;DATE(2099,12,31)),"Invalid date",IF(D270="","Select a type",IF(U270="","Unknown type: "&amp;D270,IF(V270="","Select an account (Category)",IF(ISNA(MATCH(V270,coa_Name,0)),"Unknown account: "&amp;V270,IF(K270="","Select Paid From / Deposited To",IF(ISNA(MATCH(K270,coa_Name,0)),"Unknown account: "&amp;K270,IF(NOT(ISNUMBER(L270)),"Enter an amount",IF(L270=0,"Enter an amount",IF(ABS(W270)&gt;ABS(L270),"Tax is larger than the amount","")))))))))))))</f>
        <v/>
      </c>
      <c r="Y270" s="67">
        <f>IF(OR(T270=1,X270&lt;&gt;""),"",IF(AND(B270&lt;&gt;"",COUNTIF(tx_ID,B270)&gt;1),"Duplicate transaction ID",IF(AND(L270&lt;0,D270&lt;&gt;"Adjustment"),"Negative amount — check this entry",IF(AND(D270="Customer Payment",G270=""),"Add the customer",IF(AND(D270="Customer Payment",OR(J270="",COUNTIF(ar_No,J270&amp;"")=0)),"Invoice # in Reference not found on AR sheet",IF(AND(D270="Bill Payment",H270=""),"Add the vendor",IF(AND(D270="Bill Payment",OR(J270="",COUNTIFS(ap_No,J270&amp;"",ap_Party,H270&amp;"")=0)),"Bill # + vendor not found on AP sheet",IF(AND(ISNUMBER(M270),N(M270)&lt;&gt;0,W270=0),"Tax ignored (tax tracking off, or not allowed for this type)",IF(V270=K270&amp;"","Same account on both sides",IF(AND(ISNUMBER(StartDate),C270&lt;StartDate),"Date is before the accounting start date",IF(AND(D270&lt;&gt;"Adjustment",IFERROR(INDEX(coa_Pay,MATCH(K270&amp;"",coa_Name,0)),"")&lt;&gt;"Yes"),"Paid From / Deposited To is not a payment account","")))))))))))</f>
        <v/>
      </c>
      <c r="Z270" s="67">
        <f>IF(AND(T270=0,X270=""),1,0)</f>
        <v/>
      </c>
      <c r="AA270" s="68">
        <f>IF(Z270=1,IF(U270="In",L270,L270-W270),0)</f>
        <v/>
      </c>
      <c r="AB270" s="68">
        <f>IF(Z270=1,IF(U270="In",L270-W270,L270),0)</f>
        <v/>
      </c>
      <c r="AC270" s="68">
        <f>IF(AND(Z270=1,U270="Out"),W270,0)</f>
        <v/>
      </c>
      <c r="AD270" s="68">
        <f>IF(AND(Z270=1,U270="In"),W270,0)</f>
        <v/>
      </c>
    </row>
    <row r="271">
      <c r="B271" s="62" t="inlineStr">
        <is>
          <t>TX-0265</t>
        </is>
      </c>
      <c r="C271" s="63" t="n">
        <v>46231</v>
      </c>
      <c r="D271" s="62" t="inlineStr">
        <is>
          <t>Transfer</t>
        </is>
      </c>
      <c r="E271" s="62" t="inlineStr">
        <is>
          <t>Bank Account</t>
        </is>
      </c>
      <c r="F271" s="62" t="inlineStr">
        <is>
          <t>E-wallet cash-out to bank</t>
        </is>
      </c>
      <c r="G271" s="62" t="n"/>
      <c r="H271" s="62" t="n"/>
      <c r="I271" s="62" t="inlineStr">
        <is>
          <t>Online Payment</t>
        </is>
      </c>
      <c r="J271" s="62" t="n"/>
      <c r="K271" s="62" t="inlineStr">
        <is>
          <t>E-Wallet / Online Payments</t>
        </is>
      </c>
      <c r="L271" s="64" t="n">
        <v>57600</v>
      </c>
      <c r="M271" s="64" t="n"/>
      <c r="N271" s="62" t="n"/>
      <c r="O271" s="65">
        <f>IF(Z271=1,L271-W271,"")</f>
        <v/>
      </c>
      <c r="P271" s="66">
        <f>IF(V271="","",IFERROR(INDEX(coa_Type,MATCH(V271,coa_Name,0)),""))</f>
        <v/>
      </c>
      <c r="Q271" s="66">
        <f>IF(Z271=1,IF(U271="In",K271&amp;"",V271),"")</f>
        <v/>
      </c>
      <c r="R271" s="66">
        <f>IF(Z271=1,IF(U271="In",V271,K271&amp;""),"")</f>
        <v/>
      </c>
      <c r="S271" s="66">
        <f>IF(X271&lt;&gt;"","⛔ "&amp;X271&amp;" — not posted",IF(Y271&lt;&gt;"","⚠ "&amp;Y271,IF(Z271=1,"✓ OK","")))</f>
        <v/>
      </c>
      <c r="T271" s="67">
        <f>IF(AND(C271="",D271="",E271="",L271="",K271=""),1,0)</f>
        <v/>
      </c>
      <c r="U271" s="67">
        <f>IFERROR(INDEX(tt_Dir,MATCH(D271,tt_Type,0)),"")</f>
        <v/>
      </c>
      <c r="V271" s="67">
        <f>IF(D271="","",IFERROR(IF(INDEX(tt_Other,MATCH(D271,tt_Type,0))="",E271&amp;"",INDEX(tt_Other,MATCH(D271,tt_Type,0))),""))</f>
        <v/>
      </c>
      <c r="W271" s="68">
        <f>IF(OR(TaxOn&lt;&gt;"Yes",NOT(ISNUMBER(M271))),0,IF(IFERROR(INDEX(tt_Tax,MATCH(D271,tt_Type,0)),"No")="Yes",M271,0))</f>
        <v/>
      </c>
      <c r="X271" s="67">
        <f>IF(T271=1,"",IF(C271="","Missing transaction date",IF(NOT(ISNUMBER(C271)),"Invalid date",IF(OR(C271&lt;DATE(2000,1,1),C271&gt;DATE(2099,12,31)),"Invalid date",IF(D271="","Select a type",IF(U271="","Unknown type: "&amp;D271,IF(V271="","Select an account (Category)",IF(ISNA(MATCH(V271,coa_Name,0)),"Unknown account: "&amp;V271,IF(K271="","Select Paid From / Deposited To",IF(ISNA(MATCH(K271,coa_Name,0)),"Unknown account: "&amp;K271,IF(NOT(ISNUMBER(L271)),"Enter an amount",IF(L271=0,"Enter an amount",IF(ABS(W271)&gt;ABS(L271),"Tax is larger than the amount","")))))))))))))</f>
        <v/>
      </c>
      <c r="Y271" s="67">
        <f>IF(OR(T271=1,X271&lt;&gt;""),"",IF(AND(B271&lt;&gt;"",COUNTIF(tx_ID,B271)&gt;1),"Duplicate transaction ID",IF(AND(L271&lt;0,D271&lt;&gt;"Adjustment"),"Negative amount — check this entry",IF(AND(D271="Customer Payment",G271=""),"Add the customer",IF(AND(D271="Customer Payment",OR(J271="",COUNTIF(ar_No,J271&amp;"")=0)),"Invoice # in Reference not found on AR sheet",IF(AND(D271="Bill Payment",H271=""),"Add the vendor",IF(AND(D271="Bill Payment",OR(J271="",COUNTIFS(ap_No,J271&amp;"",ap_Party,H271&amp;"")=0)),"Bill # + vendor not found on AP sheet",IF(AND(ISNUMBER(M271),N(M271)&lt;&gt;0,W271=0),"Tax ignored (tax tracking off, or not allowed for this type)",IF(V271=K271&amp;"","Same account on both sides",IF(AND(ISNUMBER(StartDate),C271&lt;StartDate),"Date is before the accounting start date",IF(AND(D271&lt;&gt;"Adjustment",IFERROR(INDEX(coa_Pay,MATCH(K271&amp;"",coa_Name,0)),"")&lt;&gt;"Yes"),"Paid From / Deposited To is not a payment account","")))))))))))</f>
        <v/>
      </c>
      <c r="Z271" s="67">
        <f>IF(AND(T271=0,X271=""),1,0)</f>
        <v/>
      </c>
      <c r="AA271" s="68">
        <f>IF(Z271=1,IF(U271="In",L271,L271-W271),0)</f>
        <v/>
      </c>
      <c r="AB271" s="68">
        <f>IF(Z271=1,IF(U271="In",L271-W271,L271),0)</f>
        <v/>
      </c>
      <c r="AC271" s="68">
        <f>IF(AND(Z271=1,U271="Out"),W271,0)</f>
        <v/>
      </c>
      <c r="AD271" s="68">
        <f>IF(AND(Z271=1,U271="In"),W271,0)</f>
        <v/>
      </c>
    </row>
    <row r="272">
      <c r="B272" s="62" t="inlineStr">
        <is>
          <t>TX-0266</t>
        </is>
      </c>
      <c r="C272" s="63" t="n">
        <v>46231</v>
      </c>
      <c r="D272" s="62" t="inlineStr">
        <is>
          <t>Money Out</t>
        </is>
      </c>
      <c r="E272" s="62" t="inlineStr">
        <is>
          <t>Direct Labor</t>
        </is>
      </c>
      <c r="F272" s="62" t="inlineStr">
        <is>
          <t>Bakers' salaries (16th-end)</t>
        </is>
      </c>
      <c r="G272" s="62" t="n"/>
      <c r="H272" s="62" t="n"/>
      <c r="I272" s="62" t="inlineStr">
        <is>
          <t>Bank Transfer</t>
        </is>
      </c>
      <c r="J272" s="62" t="n"/>
      <c r="K272" s="62" t="inlineStr">
        <is>
          <t>Bank Account</t>
        </is>
      </c>
      <c r="L272" s="64" t="n">
        <v>38000</v>
      </c>
      <c r="M272" s="64" t="n"/>
      <c r="N272" s="62" t="n"/>
      <c r="O272" s="65">
        <f>IF(Z272=1,L272-W272,"")</f>
        <v/>
      </c>
      <c r="P272" s="66">
        <f>IF(V272="","",IFERROR(INDEX(coa_Type,MATCH(V272,coa_Name,0)),""))</f>
        <v/>
      </c>
      <c r="Q272" s="66">
        <f>IF(Z272=1,IF(U272="In",K272&amp;"",V272),"")</f>
        <v/>
      </c>
      <c r="R272" s="66">
        <f>IF(Z272=1,IF(U272="In",V272,K272&amp;""),"")</f>
        <v/>
      </c>
      <c r="S272" s="66">
        <f>IF(X272&lt;&gt;"","⛔ "&amp;X272&amp;" — not posted",IF(Y272&lt;&gt;"","⚠ "&amp;Y272,IF(Z272=1,"✓ OK","")))</f>
        <v/>
      </c>
      <c r="T272" s="67">
        <f>IF(AND(C272="",D272="",E272="",L272="",K272=""),1,0)</f>
        <v/>
      </c>
      <c r="U272" s="67">
        <f>IFERROR(INDEX(tt_Dir,MATCH(D272,tt_Type,0)),"")</f>
        <v/>
      </c>
      <c r="V272" s="67">
        <f>IF(D272="","",IFERROR(IF(INDEX(tt_Other,MATCH(D272,tt_Type,0))="",E272&amp;"",INDEX(tt_Other,MATCH(D272,tt_Type,0))),""))</f>
        <v/>
      </c>
      <c r="W272" s="68">
        <f>IF(OR(TaxOn&lt;&gt;"Yes",NOT(ISNUMBER(M272))),0,IF(IFERROR(INDEX(tt_Tax,MATCH(D272,tt_Type,0)),"No")="Yes",M272,0))</f>
        <v/>
      </c>
      <c r="X272" s="67">
        <f>IF(T272=1,"",IF(C272="","Missing transaction date",IF(NOT(ISNUMBER(C272)),"Invalid date",IF(OR(C272&lt;DATE(2000,1,1),C272&gt;DATE(2099,12,31)),"Invalid date",IF(D272="","Select a type",IF(U272="","Unknown type: "&amp;D272,IF(V272="","Select an account (Category)",IF(ISNA(MATCH(V272,coa_Name,0)),"Unknown account: "&amp;V272,IF(K272="","Select Paid From / Deposited To",IF(ISNA(MATCH(K272,coa_Name,0)),"Unknown account: "&amp;K272,IF(NOT(ISNUMBER(L272)),"Enter an amount",IF(L272=0,"Enter an amount",IF(ABS(W272)&gt;ABS(L272),"Tax is larger than the amount","")))))))))))))</f>
        <v/>
      </c>
      <c r="Y272" s="67">
        <f>IF(OR(T272=1,X272&lt;&gt;""),"",IF(AND(B272&lt;&gt;"",COUNTIF(tx_ID,B272)&gt;1),"Duplicate transaction ID",IF(AND(L272&lt;0,D272&lt;&gt;"Adjustment"),"Negative amount — check this entry",IF(AND(D272="Customer Payment",G272=""),"Add the customer",IF(AND(D272="Customer Payment",OR(J272="",COUNTIF(ar_No,J272&amp;"")=0)),"Invoice # in Reference not found on AR sheet",IF(AND(D272="Bill Payment",H272=""),"Add the vendor",IF(AND(D272="Bill Payment",OR(J272="",COUNTIFS(ap_No,J272&amp;"",ap_Party,H272&amp;"")=0)),"Bill # + vendor not found on AP sheet",IF(AND(ISNUMBER(M272),N(M272)&lt;&gt;0,W272=0),"Tax ignored (tax tracking off, or not allowed for this type)",IF(V272=K272&amp;"","Same account on both sides",IF(AND(ISNUMBER(StartDate),C272&lt;StartDate),"Date is before the accounting start date",IF(AND(D272&lt;&gt;"Adjustment",IFERROR(INDEX(coa_Pay,MATCH(K272&amp;"",coa_Name,0)),"")&lt;&gt;"Yes"),"Paid From / Deposited To is not a payment account","")))))))))))</f>
        <v/>
      </c>
      <c r="Z272" s="67">
        <f>IF(AND(T272=0,X272=""),1,0)</f>
        <v/>
      </c>
      <c r="AA272" s="68">
        <f>IF(Z272=1,IF(U272="In",L272,L272-W272),0)</f>
        <v/>
      </c>
      <c r="AB272" s="68">
        <f>IF(Z272=1,IF(U272="In",L272-W272,L272),0)</f>
        <v/>
      </c>
      <c r="AC272" s="68">
        <f>IF(AND(Z272=1,U272="Out"),W272,0)</f>
        <v/>
      </c>
      <c r="AD272" s="68">
        <f>IF(AND(Z272=1,U272="In"),W272,0)</f>
        <v/>
      </c>
    </row>
    <row r="273">
      <c r="B273" s="62" t="inlineStr">
        <is>
          <t>TX-0267</t>
        </is>
      </c>
      <c r="C273" s="63" t="n">
        <v>46231</v>
      </c>
      <c r="D273" s="62" t="inlineStr">
        <is>
          <t>Money Out</t>
        </is>
      </c>
      <c r="E273" s="62" t="inlineStr">
        <is>
          <t>Salaries &amp; Wages</t>
        </is>
      </c>
      <c r="F273" s="62" t="inlineStr">
        <is>
          <t>Cashier salary (16th-end)</t>
        </is>
      </c>
      <c r="G273" s="62" t="n"/>
      <c r="H273" s="62" t="n"/>
      <c r="I273" s="62" t="inlineStr">
        <is>
          <t>Bank Transfer</t>
        </is>
      </c>
      <c r="J273" s="62" t="n"/>
      <c r="K273" s="62" t="inlineStr">
        <is>
          <t>Bank Account</t>
        </is>
      </c>
      <c r="L273" s="64" t="n">
        <v>9000</v>
      </c>
      <c r="M273" s="64" t="n"/>
      <c r="N273" s="62" t="n"/>
      <c r="O273" s="65">
        <f>IF(Z273=1,L273-W273,"")</f>
        <v/>
      </c>
      <c r="P273" s="66">
        <f>IF(V273="","",IFERROR(INDEX(coa_Type,MATCH(V273,coa_Name,0)),""))</f>
        <v/>
      </c>
      <c r="Q273" s="66">
        <f>IF(Z273=1,IF(U273="In",K273&amp;"",V273),"")</f>
        <v/>
      </c>
      <c r="R273" s="66">
        <f>IF(Z273=1,IF(U273="In",V273,K273&amp;""),"")</f>
        <v/>
      </c>
      <c r="S273" s="66">
        <f>IF(X273&lt;&gt;"","⛔ "&amp;X273&amp;" — not posted",IF(Y273&lt;&gt;"","⚠ "&amp;Y273,IF(Z273=1,"✓ OK","")))</f>
        <v/>
      </c>
      <c r="T273" s="67">
        <f>IF(AND(C273="",D273="",E273="",L273="",K273=""),1,0)</f>
        <v/>
      </c>
      <c r="U273" s="67">
        <f>IFERROR(INDEX(tt_Dir,MATCH(D273,tt_Type,0)),"")</f>
        <v/>
      </c>
      <c r="V273" s="67">
        <f>IF(D273="","",IFERROR(IF(INDEX(tt_Other,MATCH(D273,tt_Type,0))="",E273&amp;"",INDEX(tt_Other,MATCH(D273,tt_Type,0))),""))</f>
        <v/>
      </c>
      <c r="W273" s="68">
        <f>IF(OR(TaxOn&lt;&gt;"Yes",NOT(ISNUMBER(M273))),0,IF(IFERROR(INDEX(tt_Tax,MATCH(D273,tt_Type,0)),"No")="Yes",M273,0))</f>
        <v/>
      </c>
      <c r="X273" s="67">
        <f>IF(T273=1,"",IF(C273="","Missing transaction date",IF(NOT(ISNUMBER(C273)),"Invalid date",IF(OR(C273&lt;DATE(2000,1,1),C273&gt;DATE(2099,12,31)),"Invalid date",IF(D273="","Select a type",IF(U273="","Unknown type: "&amp;D273,IF(V273="","Select an account (Category)",IF(ISNA(MATCH(V273,coa_Name,0)),"Unknown account: "&amp;V273,IF(K273="","Select Paid From / Deposited To",IF(ISNA(MATCH(K273,coa_Name,0)),"Unknown account: "&amp;K273,IF(NOT(ISNUMBER(L273)),"Enter an amount",IF(L273=0,"Enter an amount",IF(ABS(W273)&gt;ABS(L273),"Tax is larger than the amount","")))))))))))))</f>
        <v/>
      </c>
      <c r="Y273" s="67">
        <f>IF(OR(T273=1,X273&lt;&gt;""),"",IF(AND(B273&lt;&gt;"",COUNTIF(tx_ID,B273)&gt;1),"Duplicate transaction ID",IF(AND(L273&lt;0,D273&lt;&gt;"Adjustment"),"Negative amount — check this entry",IF(AND(D273="Customer Payment",G273=""),"Add the customer",IF(AND(D273="Customer Payment",OR(J273="",COUNTIF(ar_No,J273&amp;"")=0)),"Invoice # in Reference not found on AR sheet",IF(AND(D273="Bill Payment",H273=""),"Add the vendor",IF(AND(D273="Bill Payment",OR(J273="",COUNTIFS(ap_No,J273&amp;"",ap_Party,H273&amp;"")=0)),"Bill # + vendor not found on AP sheet",IF(AND(ISNUMBER(M273),N(M273)&lt;&gt;0,W273=0),"Tax ignored (tax tracking off, or not allowed for this type)",IF(V273=K273&amp;"","Same account on both sides",IF(AND(ISNUMBER(StartDate),C273&lt;StartDate),"Date is before the accounting start date",IF(AND(D273&lt;&gt;"Adjustment",IFERROR(INDEX(coa_Pay,MATCH(K273&amp;"",coa_Name,0)),"")&lt;&gt;"Yes"),"Paid From / Deposited To is not a payment account","")))))))))))</f>
        <v/>
      </c>
      <c r="Z273" s="67">
        <f>IF(AND(T273=0,X273=""),1,0)</f>
        <v/>
      </c>
      <c r="AA273" s="68">
        <f>IF(Z273=1,IF(U273="In",L273,L273-W273),0)</f>
        <v/>
      </c>
      <c r="AB273" s="68">
        <f>IF(Z273=1,IF(U273="In",L273-W273,L273),0)</f>
        <v/>
      </c>
      <c r="AC273" s="68">
        <f>IF(AND(Z273=1,U273="Out"),W273,0)</f>
        <v/>
      </c>
      <c r="AD273" s="68">
        <f>IF(AND(Z273=1,U273="In"),W273,0)</f>
        <v/>
      </c>
    </row>
    <row r="274">
      <c r="B274" s="62" t="inlineStr">
        <is>
          <t>TX-0268</t>
        </is>
      </c>
      <c r="C274" s="63" t="n">
        <v>46231</v>
      </c>
      <c r="D274" s="62" t="inlineStr">
        <is>
          <t>Bill Payment</t>
        </is>
      </c>
      <c r="E274" s="62" t="n"/>
      <c r="F274" s="62" t="inlineStr">
        <is>
          <t>Supplier payment</t>
        </is>
      </c>
      <c r="G274" s="62" t="n"/>
      <c r="H274" s="62" t="inlineStr">
        <is>
          <t>Fresh Dairy Co.</t>
        </is>
      </c>
      <c r="I274" s="62" t="inlineStr">
        <is>
          <t>Bank Transfer</t>
        </is>
      </c>
      <c r="J274" s="62" t="inlineStr">
        <is>
          <t>FR-072</t>
        </is>
      </c>
      <c r="K274" s="62" t="inlineStr">
        <is>
          <t>Bank Account</t>
        </is>
      </c>
      <c r="L274" s="64" t="n">
        <v>19176.88</v>
      </c>
      <c r="M274" s="64" t="n"/>
      <c r="N274" s="62" t="n"/>
      <c r="O274" s="65">
        <f>IF(Z274=1,L274-W274,"")</f>
        <v/>
      </c>
      <c r="P274" s="66">
        <f>IF(V274="","",IFERROR(INDEX(coa_Type,MATCH(V274,coa_Name,0)),""))</f>
        <v/>
      </c>
      <c r="Q274" s="66">
        <f>IF(Z274=1,IF(U274="In",K274&amp;"",V274),"")</f>
        <v/>
      </c>
      <c r="R274" s="66">
        <f>IF(Z274=1,IF(U274="In",V274,K274&amp;""),"")</f>
        <v/>
      </c>
      <c r="S274" s="66">
        <f>IF(X274&lt;&gt;"","⛔ "&amp;X274&amp;" — not posted",IF(Y274&lt;&gt;"","⚠ "&amp;Y274,IF(Z274=1,"✓ OK","")))</f>
        <v/>
      </c>
      <c r="T274" s="67">
        <f>IF(AND(C274="",D274="",E274="",L274="",K274=""),1,0)</f>
        <v/>
      </c>
      <c r="U274" s="67">
        <f>IFERROR(INDEX(tt_Dir,MATCH(D274,tt_Type,0)),"")</f>
        <v/>
      </c>
      <c r="V274" s="67">
        <f>IF(D274="","",IFERROR(IF(INDEX(tt_Other,MATCH(D274,tt_Type,0))="",E274&amp;"",INDEX(tt_Other,MATCH(D274,tt_Type,0))),""))</f>
        <v/>
      </c>
      <c r="W274" s="68">
        <f>IF(OR(TaxOn&lt;&gt;"Yes",NOT(ISNUMBER(M274))),0,IF(IFERROR(INDEX(tt_Tax,MATCH(D274,tt_Type,0)),"No")="Yes",M274,0))</f>
        <v/>
      </c>
      <c r="X274" s="67">
        <f>IF(T274=1,"",IF(C274="","Missing transaction date",IF(NOT(ISNUMBER(C274)),"Invalid date",IF(OR(C274&lt;DATE(2000,1,1),C274&gt;DATE(2099,12,31)),"Invalid date",IF(D274="","Select a type",IF(U274="","Unknown type: "&amp;D274,IF(V274="","Select an account (Category)",IF(ISNA(MATCH(V274,coa_Name,0)),"Unknown account: "&amp;V274,IF(K274="","Select Paid From / Deposited To",IF(ISNA(MATCH(K274,coa_Name,0)),"Unknown account: "&amp;K274,IF(NOT(ISNUMBER(L274)),"Enter an amount",IF(L274=0,"Enter an amount",IF(ABS(W274)&gt;ABS(L274),"Tax is larger than the amount","")))))))))))))</f>
        <v/>
      </c>
      <c r="Y274" s="67">
        <f>IF(OR(T274=1,X274&lt;&gt;""),"",IF(AND(B274&lt;&gt;"",COUNTIF(tx_ID,B274)&gt;1),"Duplicate transaction ID",IF(AND(L274&lt;0,D274&lt;&gt;"Adjustment"),"Negative amount — check this entry",IF(AND(D274="Customer Payment",G274=""),"Add the customer",IF(AND(D274="Customer Payment",OR(J274="",COUNTIF(ar_No,J274&amp;"")=0)),"Invoice # in Reference not found on AR sheet",IF(AND(D274="Bill Payment",H274=""),"Add the vendor",IF(AND(D274="Bill Payment",OR(J274="",COUNTIFS(ap_No,J274&amp;"",ap_Party,H274&amp;"")=0)),"Bill # + vendor not found on AP sheet",IF(AND(ISNUMBER(M274),N(M274)&lt;&gt;0,W274=0),"Tax ignored (tax tracking off, or not allowed for this type)",IF(V274=K274&amp;"","Same account on both sides",IF(AND(ISNUMBER(StartDate),C274&lt;StartDate),"Date is before the accounting start date",IF(AND(D274&lt;&gt;"Adjustment",IFERROR(INDEX(coa_Pay,MATCH(K274&amp;"",coa_Name,0)),"")&lt;&gt;"Yes"),"Paid From / Deposited To is not a payment account","")))))))))))</f>
        <v/>
      </c>
      <c r="Z274" s="67">
        <f>IF(AND(T274=0,X274=""),1,0)</f>
        <v/>
      </c>
      <c r="AA274" s="68">
        <f>IF(Z274=1,IF(U274="In",L274,L274-W274),0)</f>
        <v/>
      </c>
      <c r="AB274" s="68">
        <f>IF(Z274=1,IF(U274="In",L274-W274,L274),0)</f>
        <v/>
      </c>
      <c r="AC274" s="68">
        <f>IF(AND(Z274=1,U274="Out"),W274,0)</f>
        <v/>
      </c>
      <c r="AD274" s="68">
        <f>IF(AND(Z274=1,U274="In"),W274,0)</f>
        <v/>
      </c>
    </row>
    <row r="275">
      <c r="B275" s="62" t="inlineStr">
        <is>
          <t>TX-0269</t>
        </is>
      </c>
      <c r="C275" s="63" t="n">
        <v>46233</v>
      </c>
      <c r="D275" s="62" t="inlineStr">
        <is>
          <t>Bill Payment</t>
        </is>
      </c>
      <c r="E275" s="62" t="n"/>
      <c r="F275" s="62" t="inlineStr">
        <is>
          <t>Supplier payment</t>
        </is>
      </c>
      <c r="G275" s="62" t="n"/>
      <c r="H275" s="62" t="inlineStr">
        <is>
          <t>Golden Grain Flour Mill</t>
        </is>
      </c>
      <c r="I275" s="62" t="inlineStr">
        <is>
          <t>Bank Transfer</t>
        </is>
      </c>
      <c r="J275" s="62" t="inlineStr">
        <is>
          <t>GO-062</t>
        </is>
      </c>
      <c r="K275" s="62" t="inlineStr">
        <is>
          <t>Bank Account</t>
        </is>
      </c>
      <c r="L275" s="64" t="n">
        <v>32206.93</v>
      </c>
      <c r="M275" s="64" t="n"/>
      <c r="N275" s="62" t="n"/>
      <c r="O275" s="65">
        <f>IF(Z275=1,L275-W275,"")</f>
        <v/>
      </c>
      <c r="P275" s="66">
        <f>IF(V275="","",IFERROR(INDEX(coa_Type,MATCH(V275,coa_Name,0)),""))</f>
        <v/>
      </c>
      <c r="Q275" s="66">
        <f>IF(Z275=1,IF(U275="In",K275&amp;"",V275),"")</f>
        <v/>
      </c>
      <c r="R275" s="66">
        <f>IF(Z275=1,IF(U275="In",V275,K275&amp;""),"")</f>
        <v/>
      </c>
      <c r="S275" s="66">
        <f>IF(X275&lt;&gt;"","⛔ "&amp;X275&amp;" — not posted",IF(Y275&lt;&gt;"","⚠ "&amp;Y275,IF(Z275=1,"✓ OK","")))</f>
        <v/>
      </c>
      <c r="T275" s="67">
        <f>IF(AND(C275="",D275="",E275="",L275="",K275=""),1,0)</f>
        <v/>
      </c>
      <c r="U275" s="67">
        <f>IFERROR(INDEX(tt_Dir,MATCH(D275,tt_Type,0)),"")</f>
        <v/>
      </c>
      <c r="V275" s="67">
        <f>IF(D275="","",IFERROR(IF(INDEX(tt_Other,MATCH(D275,tt_Type,0))="",E275&amp;"",INDEX(tt_Other,MATCH(D275,tt_Type,0))),""))</f>
        <v/>
      </c>
      <c r="W275" s="68">
        <f>IF(OR(TaxOn&lt;&gt;"Yes",NOT(ISNUMBER(M275))),0,IF(IFERROR(INDEX(tt_Tax,MATCH(D275,tt_Type,0)),"No")="Yes",M275,0))</f>
        <v/>
      </c>
      <c r="X275" s="67">
        <f>IF(T275=1,"",IF(C275="","Missing transaction date",IF(NOT(ISNUMBER(C275)),"Invalid date",IF(OR(C275&lt;DATE(2000,1,1),C275&gt;DATE(2099,12,31)),"Invalid date",IF(D275="","Select a type",IF(U275="","Unknown type: "&amp;D275,IF(V275="","Select an account (Category)",IF(ISNA(MATCH(V275,coa_Name,0)),"Unknown account: "&amp;V275,IF(K275="","Select Paid From / Deposited To",IF(ISNA(MATCH(K275,coa_Name,0)),"Unknown account: "&amp;K275,IF(NOT(ISNUMBER(L275)),"Enter an amount",IF(L275=0,"Enter an amount",IF(ABS(W275)&gt;ABS(L275),"Tax is larger than the amount","")))))))))))))</f>
        <v/>
      </c>
      <c r="Y275" s="67">
        <f>IF(OR(T275=1,X275&lt;&gt;""),"",IF(AND(B275&lt;&gt;"",COUNTIF(tx_ID,B275)&gt;1),"Duplicate transaction ID",IF(AND(L275&lt;0,D275&lt;&gt;"Adjustment"),"Negative amount — check this entry",IF(AND(D275="Customer Payment",G275=""),"Add the customer",IF(AND(D275="Customer Payment",OR(J275="",COUNTIF(ar_No,J275&amp;"")=0)),"Invoice # in Reference not found on AR sheet",IF(AND(D275="Bill Payment",H275=""),"Add the vendor",IF(AND(D275="Bill Payment",OR(J275="",COUNTIFS(ap_No,J275&amp;"",ap_Party,H275&amp;"")=0)),"Bill # + vendor not found on AP sheet",IF(AND(ISNUMBER(M275),N(M275)&lt;&gt;0,W275=0),"Tax ignored (tax tracking off, or not allowed for this type)",IF(V275=K275&amp;"","Same account on both sides",IF(AND(ISNUMBER(StartDate),C275&lt;StartDate),"Date is before the accounting start date",IF(AND(D275&lt;&gt;"Adjustment",IFERROR(INDEX(coa_Pay,MATCH(K275&amp;"",coa_Name,0)),"")&lt;&gt;"Yes"),"Paid From / Deposited To is not a payment account","")))))))))))</f>
        <v/>
      </c>
      <c r="Z275" s="67">
        <f>IF(AND(T275=0,X275=""),1,0)</f>
        <v/>
      </c>
      <c r="AA275" s="68">
        <f>IF(Z275=1,IF(U275="In",L275,L275-W275),0)</f>
        <v/>
      </c>
      <c r="AB275" s="68">
        <f>IF(Z275=1,IF(U275="In",L275-W275,L275),0)</f>
        <v/>
      </c>
      <c r="AC275" s="68">
        <f>IF(AND(Z275=1,U275="Out"),W275,0)</f>
        <v/>
      </c>
      <c r="AD275" s="68">
        <f>IF(AND(Z275=1,U275="In"),W275,0)</f>
        <v/>
      </c>
    </row>
    <row r="276">
      <c r="B276" s="62" t="inlineStr">
        <is>
          <t>TX-0270</t>
        </is>
      </c>
      <c r="C276" s="63" t="n">
        <v>46233</v>
      </c>
      <c r="D276" s="62" t="inlineStr">
        <is>
          <t>Adjustment</t>
        </is>
      </c>
      <c r="E276" s="62" t="inlineStr">
        <is>
          <t>Depreciation</t>
        </is>
      </c>
      <c r="F276" s="62" t="inlineStr">
        <is>
          <t>Monthly depreciation of equipment</t>
        </is>
      </c>
      <c r="G276" s="62" t="n"/>
      <c r="H276" s="62" t="n"/>
      <c r="I276" s="62" t="n"/>
      <c r="J276" s="62" t="n"/>
      <c r="K276" s="62" t="inlineStr">
        <is>
          <t>Accumulated Depreciation</t>
        </is>
      </c>
      <c r="L276" s="64" t="n">
        <v>3000</v>
      </c>
      <c r="M276" s="64" t="n"/>
      <c r="N276" s="62" t="n"/>
      <c r="O276" s="65">
        <f>IF(Z276=1,L276-W276,"")</f>
        <v/>
      </c>
      <c r="P276" s="66">
        <f>IF(V276="","",IFERROR(INDEX(coa_Type,MATCH(V276,coa_Name,0)),""))</f>
        <v/>
      </c>
      <c r="Q276" s="66">
        <f>IF(Z276=1,IF(U276="In",K276&amp;"",V276),"")</f>
        <v/>
      </c>
      <c r="R276" s="66">
        <f>IF(Z276=1,IF(U276="In",V276,K276&amp;""),"")</f>
        <v/>
      </c>
      <c r="S276" s="66">
        <f>IF(X276&lt;&gt;"","⛔ "&amp;X276&amp;" — not posted",IF(Y276&lt;&gt;"","⚠ "&amp;Y276,IF(Z276=1,"✓ OK","")))</f>
        <v/>
      </c>
      <c r="T276" s="67">
        <f>IF(AND(C276="",D276="",E276="",L276="",K276=""),1,0)</f>
        <v/>
      </c>
      <c r="U276" s="67">
        <f>IFERROR(INDEX(tt_Dir,MATCH(D276,tt_Type,0)),"")</f>
        <v/>
      </c>
      <c r="V276" s="67">
        <f>IF(D276="","",IFERROR(IF(INDEX(tt_Other,MATCH(D276,tt_Type,0))="",E276&amp;"",INDEX(tt_Other,MATCH(D276,tt_Type,0))),""))</f>
        <v/>
      </c>
      <c r="W276" s="68">
        <f>IF(OR(TaxOn&lt;&gt;"Yes",NOT(ISNUMBER(M276))),0,IF(IFERROR(INDEX(tt_Tax,MATCH(D276,tt_Type,0)),"No")="Yes",M276,0))</f>
        <v/>
      </c>
      <c r="X276" s="67">
        <f>IF(T276=1,"",IF(C276="","Missing transaction date",IF(NOT(ISNUMBER(C276)),"Invalid date",IF(OR(C276&lt;DATE(2000,1,1),C276&gt;DATE(2099,12,31)),"Invalid date",IF(D276="","Select a type",IF(U276="","Unknown type: "&amp;D276,IF(V276="","Select an account (Category)",IF(ISNA(MATCH(V276,coa_Name,0)),"Unknown account: "&amp;V276,IF(K276="","Select Paid From / Deposited To",IF(ISNA(MATCH(K276,coa_Name,0)),"Unknown account: "&amp;K276,IF(NOT(ISNUMBER(L276)),"Enter an amount",IF(L276=0,"Enter an amount",IF(ABS(W276)&gt;ABS(L276),"Tax is larger than the amount","")))))))))))))</f>
        <v/>
      </c>
      <c r="Y276" s="67">
        <f>IF(OR(T276=1,X276&lt;&gt;""),"",IF(AND(B276&lt;&gt;"",COUNTIF(tx_ID,B276)&gt;1),"Duplicate transaction ID",IF(AND(L276&lt;0,D276&lt;&gt;"Adjustment"),"Negative amount — check this entry",IF(AND(D276="Customer Payment",G276=""),"Add the customer",IF(AND(D276="Customer Payment",OR(J276="",COUNTIF(ar_No,J276&amp;"")=0)),"Invoice # in Reference not found on AR sheet",IF(AND(D276="Bill Payment",H276=""),"Add the vendor",IF(AND(D276="Bill Payment",OR(J276="",COUNTIFS(ap_No,J276&amp;"",ap_Party,H276&amp;"")=0)),"Bill # + vendor not found on AP sheet",IF(AND(ISNUMBER(M276),N(M276)&lt;&gt;0,W276=0),"Tax ignored (tax tracking off, or not allowed for this type)",IF(V276=K276&amp;"","Same account on both sides",IF(AND(ISNUMBER(StartDate),C276&lt;StartDate),"Date is before the accounting start date",IF(AND(D276&lt;&gt;"Adjustment",IFERROR(INDEX(coa_Pay,MATCH(K276&amp;"",coa_Name,0)),"")&lt;&gt;"Yes"),"Paid From / Deposited To is not a payment account","")))))))))))</f>
        <v/>
      </c>
      <c r="Z276" s="67">
        <f>IF(AND(T276=0,X276=""),1,0)</f>
        <v/>
      </c>
      <c r="AA276" s="68">
        <f>IF(Z276=1,IF(U276="In",L276,L276-W276),0)</f>
        <v/>
      </c>
      <c r="AB276" s="68">
        <f>IF(Z276=1,IF(U276="In",L276-W276,L276),0)</f>
        <v/>
      </c>
      <c r="AC276" s="68">
        <f>IF(AND(Z276=1,U276="Out"),W276,0)</f>
        <v/>
      </c>
      <c r="AD276" s="68">
        <f>IF(AND(Z276=1,U276="In"),W276,0)</f>
        <v/>
      </c>
    </row>
    <row r="277">
      <c r="B277" s="62" t="inlineStr">
        <is>
          <t>TX-0271</t>
        </is>
      </c>
      <c r="C277" s="63" t="n">
        <v>46233</v>
      </c>
      <c r="D277" s="62" t="inlineStr">
        <is>
          <t>Bill Payment</t>
        </is>
      </c>
      <c r="E277" s="62" t="n"/>
      <c r="F277" s="62" t="inlineStr">
        <is>
          <t>Supplier payment</t>
        </is>
      </c>
      <c r="G277" s="62" t="n"/>
      <c r="H277" s="62" t="inlineStr">
        <is>
          <t>PackRight Supplies</t>
        </is>
      </c>
      <c r="I277" s="62" t="inlineStr">
        <is>
          <t>Bank Transfer</t>
        </is>
      </c>
      <c r="J277" s="62" t="inlineStr">
        <is>
          <t>PA-071</t>
        </is>
      </c>
      <c r="K277" s="62" t="inlineStr">
        <is>
          <t>Bank Account</t>
        </is>
      </c>
      <c r="L277" s="64" t="n">
        <v>10348.47</v>
      </c>
      <c r="M277" s="64" t="n"/>
      <c r="N277" s="62" t="n"/>
      <c r="O277" s="65">
        <f>IF(Z277=1,L277-W277,"")</f>
        <v/>
      </c>
      <c r="P277" s="66">
        <f>IF(V277="","",IFERROR(INDEX(coa_Type,MATCH(V277,coa_Name,0)),""))</f>
        <v/>
      </c>
      <c r="Q277" s="66">
        <f>IF(Z277=1,IF(U277="In",K277&amp;"",V277),"")</f>
        <v/>
      </c>
      <c r="R277" s="66">
        <f>IF(Z277=1,IF(U277="In",V277,K277&amp;""),"")</f>
        <v/>
      </c>
      <c r="S277" s="66">
        <f>IF(X277&lt;&gt;"","⛔ "&amp;X277&amp;" — not posted",IF(Y277&lt;&gt;"","⚠ "&amp;Y277,IF(Z277=1,"✓ OK","")))</f>
        <v/>
      </c>
      <c r="T277" s="67">
        <f>IF(AND(C277="",D277="",E277="",L277="",K277=""),1,0)</f>
        <v/>
      </c>
      <c r="U277" s="67">
        <f>IFERROR(INDEX(tt_Dir,MATCH(D277,tt_Type,0)),"")</f>
        <v/>
      </c>
      <c r="V277" s="67">
        <f>IF(D277="","",IFERROR(IF(INDEX(tt_Other,MATCH(D277,tt_Type,0))="",E277&amp;"",INDEX(tt_Other,MATCH(D277,tt_Type,0))),""))</f>
        <v/>
      </c>
      <c r="W277" s="68">
        <f>IF(OR(TaxOn&lt;&gt;"Yes",NOT(ISNUMBER(M277))),0,IF(IFERROR(INDEX(tt_Tax,MATCH(D277,tt_Type,0)),"No")="Yes",M277,0))</f>
        <v/>
      </c>
      <c r="X277" s="67">
        <f>IF(T277=1,"",IF(C277="","Missing transaction date",IF(NOT(ISNUMBER(C277)),"Invalid date",IF(OR(C277&lt;DATE(2000,1,1),C277&gt;DATE(2099,12,31)),"Invalid date",IF(D277="","Select a type",IF(U277="","Unknown type: "&amp;D277,IF(V277="","Select an account (Category)",IF(ISNA(MATCH(V277,coa_Name,0)),"Unknown account: "&amp;V277,IF(K277="","Select Paid From / Deposited To",IF(ISNA(MATCH(K277,coa_Name,0)),"Unknown account: "&amp;K277,IF(NOT(ISNUMBER(L277)),"Enter an amount",IF(L277=0,"Enter an amount",IF(ABS(W277)&gt;ABS(L277),"Tax is larger than the amount","")))))))))))))</f>
        <v/>
      </c>
      <c r="Y277" s="67">
        <f>IF(OR(T277=1,X277&lt;&gt;""),"",IF(AND(B277&lt;&gt;"",COUNTIF(tx_ID,B277)&gt;1),"Duplicate transaction ID",IF(AND(L277&lt;0,D277&lt;&gt;"Adjustment"),"Negative amount — check this entry",IF(AND(D277="Customer Payment",G277=""),"Add the customer",IF(AND(D277="Customer Payment",OR(J277="",COUNTIF(ar_No,J277&amp;"")=0)),"Invoice # in Reference not found on AR sheet",IF(AND(D277="Bill Payment",H277=""),"Add the vendor",IF(AND(D277="Bill Payment",OR(J277="",COUNTIFS(ap_No,J277&amp;"",ap_Party,H277&amp;"")=0)),"Bill # + vendor not found on AP sheet",IF(AND(ISNUMBER(M277),N(M277)&lt;&gt;0,W277=0),"Tax ignored (tax tracking off, or not allowed for this type)",IF(V277=K277&amp;"","Same account on both sides",IF(AND(ISNUMBER(StartDate),C277&lt;StartDate),"Date is before the accounting start date",IF(AND(D277&lt;&gt;"Adjustment",IFERROR(INDEX(coa_Pay,MATCH(K277&amp;"",coa_Name,0)),"")&lt;&gt;"Yes"),"Paid From / Deposited To is not a payment account","")))))))))))</f>
        <v/>
      </c>
      <c r="Z277" s="67">
        <f>IF(AND(T277=0,X277=""),1,0)</f>
        <v/>
      </c>
      <c r="AA277" s="68">
        <f>IF(Z277=1,IF(U277="In",L277,L277-W277),0)</f>
        <v/>
      </c>
      <c r="AB277" s="68">
        <f>IF(Z277=1,IF(U277="In",L277-W277,L277),0)</f>
        <v/>
      </c>
      <c r="AC277" s="68">
        <f>IF(AND(Z277=1,U277="Out"),W277,0)</f>
        <v/>
      </c>
      <c r="AD277" s="68">
        <f>IF(AND(Z277=1,U277="In"),W277,0)</f>
        <v/>
      </c>
    </row>
    <row r="278">
      <c r="B278" s="62" t="inlineStr">
        <is>
          <t>TX-0272</t>
        </is>
      </c>
      <c r="C278" s="63" t="n">
        <v>46235</v>
      </c>
      <c r="D278" s="62" t="inlineStr">
        <is>
          <t>Money Out</t>
        </is>
      </c>
      <c r="E278" s="62" t="inlineStr">
        <is>
          <t>Rent</t>
        </is>
      </c>
      <c r="F278" s="62" t="inlineStr">
        <is>
          <t>Shop rent</t>
        </is>
      </c>
      <c r="G278" s="62" t="n"/>
      <c r="H278" s="62" t="n"/>
      <c r="I278" s="62" t="inlineStr">
        <is>
          <t>Bank Transfer</t>
        </is>
      </c>
      <c r="J278" s="62" t="inlineStr">
        <is>
          <t>RENT-08</t>
        </is>
      </c>
      <c r="K278" s="62" t="inlineStr">
        <is>
          <t>Bank Account</t>
        </is>
      </c>
      <c r="L278" s="64" t="n">
        <v>28000</v>
      </c>
      <c r="M278" s="64" t="n">
        <v>3000</v>
      </c>
      <c r="N278" s="62" t="n"/>
      <c r="O278" s="65">
        <f>IF(Z278=1,L278-W278,"")</f>
        <v/>
      </c>
      <c r="P278" s="66">
        <f>IF(V278="","",IFERROR(INDEX(coa_Type,MATCH(V278,coa_Name,0)),""))</f>
        <v/>
      </c>
      <c r="Q278" s="66">
        <f>IF(Z278=1,IF(U278="In",K278&amp;"",V278),"")</f>
        <v/>
      </c>
      <c r="R278" s="66">
        <f>IF(Z278=1,IF(U278="In",V278,K278&amp;""),"")</f>
        <v/>
      </c>
      <c r="S278" s="66">
        <f>IF(X278&lt;&gt;"","⛔ "&amp;X278&amp;" — not posted",IF(Y278&lt;&gt;"","⚠ "&amp;Y278,IF(Z278=1,"✓ OK","")))</f>
        <v/>
      </c>
      <c r="T278" s="67">
        <f>IF(AND(C278="",D278="",E278="",L278="",K278=""),1,0)</f>
        <v/>
      </c>
      <c r="U278" s="67">
        <f>IFERROR(INDEX(tt_Dir,MATCH(D278,tt_Type,0)),"")</f>
        <v/>
      </c>
      <c r="V278" s="67">
        <f>IF(D278="","",IFERROR(IF(INDEX(tt_Other,MATCH(D278,tt_Type,0))="",E278&amp;"",INDEX(tt_Other,MATCH(D278,tt_Type,0))),""))</f>
        <v/>
      </c>
      <c r="W278" s="68">
        <f>IF(OR(TaxOn&lt;&gt;"Yes",NOT(ISNUMBER(M278))),0,IF(IFERROR(INDEX(tt_Tax,MATCH(D278,tt_Type,0)),"No")="Yes",M278,0))</f>
        <v/>
      </c>
      <c r="X278" s="67">
        <f>IF(T278=1,"",IF(C278="","Missing transaction date",IF(NOT(ISNUMBER(C278)),"Invalid date",IF(OR(C278&lt;DATE(2000,1,1),C278&gt;DATE(2099,12,31)),"Invalid date",IF(D278="","Select a type",IF(U278="","Unknown type: "&amp;D278,IF(V278="","Select an account (Category)",IF(ISNA(MATCH(V278,coa_Name,0)),"Unknown account: "&amp;V278,IF(K278="","Select Paid From / Deposited To",IF(ISNA(MATCH(K278,coa_Name,0)),"Unknown account: "&amp;K278,IF(NOT(ISNUMBER(L278)),"Enter an amount",IF(L278=0,"Enter an amount",IF(ABS(W278)&gt;ABS(L278),"Tax is larger than the amount","")))))))))))))</f>
        <v/>
      </c>
      <c r="Y278" s="67">
        <f>IF(OR(T278=1,X278&lt;&gt;""),"",IF(AND(B278&lt;&gt;"",COUNTIF(tx_ID,B278)&gt;1),"Duplicate transaction ID",IF(AND(L278&lt;0,D278&lt;&gt;"Adjustment"),"Negative amount — check this entry",IF(AND(D278="Customer Payment",G278=""),"Add the customer",IF(AND(D278="Customer Payment",OR(J278="",COUNTIF(ar_No,J278&amp;"")=0)),"Invoice # in Reference not found on AR sheet",IF(AND(D278="Bill Payment",H278=""),"Add the vendor",IF(AND(D278="Bill Payment",OR(J278="",COUNTIFS(ap_No,J278&amp;"",ap_Party,H278&amp;"")=0)),"Bill # + vendor not found on AP sheet",IF(AND(ISNUMBER(M278),N(M278)&lt;&gt;0,W278=0),"Tax ignored (tax tracking off, or not allowed for this type)",IF(V278=K278&amp;"","Same account on both sides",IF(AND(ISNUMBER(StartDate),C278&lt;StartDate),"Date is before the accounting start date",IF(AND(D278&lt;&gt;"Adjustment",IFERROR(INDEX(coa_Pay,MATCH(K278&amp;"",coa_Name,0)),"")&lt;&gt;"Yes"),"Paid From / Deposited To is not a payment account","")))))))))))</f>
        <v/>
      </c>
      <c r="Z278" s="67">
        <f>IF(AND(T278=0,X278=""),1,0)</f>
        <v/>
      </c>
      <c r="AA278" s="68">
        <f>IF(Z278=1,IF(U278="In",L278,L278-W278),0)</f>
        <v/>
      </c>
      <c r="AB278" s="68">
        <f>IF(Z278=1,IF(U278="In",L278-W278,L278),0)</f>
        <v/>
      </c>
      <c r="AC278" s="68">
        <f>IF(AND(Z278=1,U278="Out"),W278,0)</f>
        <v/>
      </c>
      <c r="AD278" s="68">
        <f>IF(AND(Z278=1,U278="In"),W278,0)</f>
        <v/>
      </c>
    </row>
    <row r="279">
      <c r="B279" s="62" t="inlineStr">
        <is>
          <t>TX-0273</t>
        </is>
      </c>
      <c r="C279" s="63" t="n">
        <v>46238</v>
      </c>
      <c r="D279" s="62" t="inlineStr">
        <is>
          <t>Customer Payment</t>
        </is>
      </c>
      <c r="E279" s="62" t="n"/>
      <c r="F279" s="62" t="inlineStr">
        <is>
          <t>Invoice payment</t>
        </is>
      </c>
      <c r="G279" s="62" t="inlineStr">
        <is>
          <t>Northwind Offices</t>
        </is>
      </c>
      <c r="H279" s="62" t="n"/>
      <c r="I279" s="62" t="inlineStr">
        <is>
          <t>Bank Transfer</t>
        </is>
      </c>
      <c r="J279" s="62" t="inlineStr">
        <is>
          <t>INV-1010</t>
        </is>
      </c>
      <c r="K279" s="62" t="inlineStr">
        <is>
          <t>Bank Account</t>
        </is>
      </c>
      <c r="L279" s="64" t="n">
        <v>38993.36</v>
      </c>
      <c r="M279" s="64" t="n"/>
      <c r="N279" s="62" t="n"/>
      <c r="O279" s="65">
        <f>IF(Z279=1,L279-W279,"")</f>
        <v/>
      </c>
      <c r="P279" s="66">
        <f>IF(V279="","",IFERROR(INDEX(coa_Type,MATCH(V279,coa_Name,0)),""))</f>
        <v/>
      </c>
      <c r="Q279" s="66">
        <f>IF(Z279=1,IF(U279="In",K279&amp;"",V279),"")</f>
        <v/>
      </c>
      <c r="R279" s="66">
        <f>IF(Z279=1,IF(U279="In",V279,K279&amp;""),"")</f>
        <v/>
      </c>
      <c r="S279" s="66">
        <f>IF(X279&lt;&gt;"","⛔ "&amp;X279&amp;" — not posted",IF(Y279&lt;&gt;"","⚠ "&amp;Y279,IF(Z279=1,"✓ OK","")))</f>
        <v/>
      </c>
      <c r="T279" s="67">
        <f>IF(AND(C279="",D279="",E279="",L279="",K279=""),1,0)</f>
        <v/>
      </c>
      <c r="U279" s="67">
        <f>IFERROR(INDEX(tt_Dir,MATCH(D279,tt_Type,0)),"")</f>
        <v/>
      </c>
      <c r="V279" s="67">
        <f>IF(D279="","",IFERROR(IF(INDEX(tt_Other,MATCH(D279,tt_Type,0))="",E279&amp;"",INDEX(tt_Other,MATCH(D279,tt_Type,0))),""))</f>
        <v/>
      </c>
      <c r="W279" s="68">
        <f>IF(OR(TaxOn&lt;&gt;"Yes",NOT(ISNUMBER(M279))),0,IF(IFERROR(INDEX(tt_Tax,MATCH(D279,tt_Type,0)),"No")="Yes",M279,0))</f>
        <v/>
      </c>
      <c r="X279" s="67">
        <f>IF(T279=1,"",IF(C279="","Missing transaction date",IF(NOT(ISNUMBER(C279)),"Invalid date",IF(OR(C279&lt;DATE(2000,1,1),C279&gt;DATE(2099,12,31)),"Invalid date",IF(D279="","Select a type",IF(U279="","Unknown type: "&amp;D279,IF(V279="","Select an account (Category)",IF(ISNA(MATCH(V279,coa_Name,0)),"Unknown account: "&amp;V279,IF(K279="","Select Paid From / Deposited To",IF(ISNA(MATCH(K279,coa_Name,0)),"Unknown account: "&amp;K279,IF(NOT(ISNUMBER(L279)),"Enter an amount",IF(L279=0,"Enter an amount",IF(ABS(W279)&gt;ABS(L279),"Tax is larger than the amount","")))))))))))))</f>
        <v/>
      </c>
      <c r="Y279" s="67">
        <f>IF(OR(T279=1,X279&lt;&gt;""),"",IF(AND(B279&lt;&gt;"",COUNTIF(tx_ID,B279)&gt;1),"Duplicate transaction ID",IF(AND(L279&lt;0,D279&lt;&gt;"Adjustment"),"Negative amount — check this entry",IF(AND(D279="Customer Payment",G279=""),"Add the customer",IF(AND(D279="Customer Payment",OR(J279="",COUNTIF(ar_No,J279&amp;"")=0)),"Invoice # in Reference not found on AR sheet",IF(AND(D279="Bill Payment",H279=""),"Add the vendor",IF(AND(D279="Bill Payment",OR(J279="",COUNTIFS(ap_No,J279&amp;"",ap_Party,H279&amp;"")=0)),"Bill # + vendor not found on AP sheet",IF(AND(ISNUMBER(M279),N(M279)&lt;&gt;0,W279=0),"Tax ignored (tax tracking off, or not allowed for this type)",IF(V279=K279&amp;"","Same account on both sides",IF(AND(ISNUMBER(StartDate),C279&lt;StartDate),"Date is before the accounting start date",IF(AND(D279&lt;&gt;"Adjustment",IFERROR(INDEX(coa_Pay,MATCH(K279&amp;"",coa_Name,0)),"")&lt;&gt;"Yes"),"Paid From / Deposited To is not a payment account","")))))))))))</f>
        <v/>
      </c>
      <c r="Z279" s="67">
        <f>IF(AND(T279=0,X279=""),1,0)</f>
        <v/>
      </c>
      <c r="AA279" s="68">
        <f>IF(Z279=1,IF(U279="In",L279,L279-W279),0)</f>
        <v/>
      </c>
      <c r="AB279" s="68">
        <f>IF(Z279=1,IF(U279="In",L279-W279,L279),0)</f>
        <v/>
      </c>
      <c r="AC279" s="68">
        <f>IF(AND(Z279=1,U279="Out"),W279,0)</f>
        <v/>
      </c>
      <c r="AD279" s="68">
        <f>IF(AND(Z279=1,U279="In"),W279,0)</f>
        <v/>
      </c>
    </row>
    <row r="280">
      <c r="B280" s="62" t="inlineStr">
        <is>
          <t>TX-0274</t>
        </is>
      </c>
      <c r="C280" s="63" t="n">
        <v>46238</v>
      </c>
      <c r="D280" s="62" t="inlineStr">
        <is>
          <t>Bill Payment</t>
        </is>
      </c>
      <c r="E280" s="62" t="n"/>
      <c r="F280" s="62" t="inlineStr">
        <is>
          <t>Supplier payment</t>
        </is>
      </c>
      <c r="G280" s="62" t="n"/>
      <c r="H280" s="62" t="inlineStr">
        <is>
          <t>Golden Grain Flour Mill</t>
        </is>
      </c>
      <c r="I280" s="62" t="inlineStr">
        <is>
          <t>Bank Transfer</t>
        </is>
      </c>
      <c r="J280" s="62" t="inlineStr">
        <is>
          <t>GO-071</t>
        </is>
      </c>
      <c r="K280" s="62" t="inlineStr">
        <is>
          <t>Bank Account</t>
        </is>
      </c>
      <c r="L280" s="64" t="n">
        <v>39028.98</v>
      </c>
      <c r="M280" s="64" t="n"/>
      <c r="N280" s="62" t="n"/>
      <c r="O280" s="65">
        <f>IF(Z280=1,L280-W280,"")</f>
        <v/>
      </c>
      <c r="P280" s="66">
        <f>IF(V280="","",IFERROR(INDEX(coa_Type,MATCH(V280,coa_Name,0)),""))</f>
        <v/>
      </c>
      <c r="Q280" s="66">
        <f>IF(Z280=1,IF(U280="In",K280&amp;"",V280),"")</f>
        <v/>
      </c>
      <c r="R280" s="66">
        <f>IF(Z280=1,IF(U280="In",V280,K280&amp;""),"")</f>
        <v/>
      </c>
      <c r="S280" s="66">
        <f>IF(X280&lt;&gt;"","⛔ "&amp;X280&amp;" — not posted",IF(Y280&lt;&gt;"","⚠ "&amp;Y280,IF(Z280=1,"✓ OK","")))</f>
        <v/>
      </c>
      <c r="T280" s="67">
        <f>IF(AND(C280="",D280="",E280="",L280="",K280=""),1,0)</f>
        <v/>
      </c>
      <c r="U280" s="67">
        <f>IFERROR(INDEX(tt_Dir,MATCH(D280,tt_Type,0)),"")</f>
        <v/>
      </c>
      <c r="V280" s="67">
        <f>IF(D280="","",IFERROR(IF(INDEX(tt_Other,MATCH(D280,tt_Type,0))="",E280&amp;"",INDEX(tt_Other,MATCH(D280,tt_Type,0))),""))</f>
        <v/>
      </c>
      <c r="W280" s="68">
        <f>IF(OR(TaxOn&lt;&gt;"Yes",NOT(ISNUMBER(M280))),0,IF(IFERROR(INDEX(tt_Tax,MATCH(D280,tt_Type,0)),"No")="Yes",M280,0))</f>
        <v/>
      </c>
      <c r="X280" s="67">
        <f>IF(T280=1,"",IF(C280="","Missing transaction date",IF(NOT(ISNUMBER(C280)),"Invalid date",IF(OR(C280&lt;DATE(2000,1,1),C280&gt;DATE(2099,12,31)),"Invalid date",IF(D280="","Select a type",IF(U280="","Unknown type: "&amp;D280,IF(V280="","Select an account (Category)",IF(ISNA(MATCH(V280,coa_Name,0)),"Unknown account: "&amp;V280,IF(K280="","Select Paid From / Deposited To",IF(ISNA(MATCH(K280,coa_Name,0)),"Unknown account: "&amp;K280,IF(NOT(ISNUMBER(L280)),"Enter an amount",IF(L280=0,"Enter an amount",IF(ABS(W280)&gt;ABS(L280),"Tax is larger than the amount","")))))))))))))</f>
        <v/>
      </c>
      <c r="Y280" s="67">
        <f>IF(OR(T280=1,X280&lt;&gt;""),"",IF(AND(B280&lt;&gt;"",COUNTIF(tx_ID,B280)&gt;1),"Duplicate transaction ID",IF(AND(L280&lt;0,D280&lt;&gt;"Adjustment"),"Negative amount — check this entry",IF(AND(D280="Customer Payment",G280=""),"Add the customer",IF(AND(D280="Customer Payment",OR(J280="",COUNTIF(ar_No,J280&amp;"")=0)),"Invoice # in Reference not found on AR sheet",IF(AND(D280="Bill Payment",H280=""),"Add the vendor",IF(AND(D280="Bill Payment",OR(J280="",COUNTIFS(ap_No,J280&amp;"",ap_Party,H280&amp;"")=0)),"Bill # + vendor not found on AP sheet",IF(AND(ISNUMBER(M280),N(M280)&lt;&gt;0,W280=0),"Tax ignored (tax tracking off, or not allowed for this type)",IF(V280=K280&amp;"","Same account on both sides",IF(AND(ISNUMBER(StartDate),C280&lt;StartDate),"Date is before the accounting start date",IF(AND(D280&lt;&gt;"Adjustment",IFERROR(INDEX(coa_Pay,MATCH(K280&amp;"",coa_Name,0)),"")&lt;&gt;"Yes"),"Paid From / Deposited To is not a payment account","")))))))))))</f>
        <v/>
      </c>
      <c r="Z280" s="67">
        <f>IF(AND(T280=0,X280=""),1,0)</f>
        <v/>
      </c>
      <c r="AA280" s="68">
        <f>IF(Z280=1,IF(U280="In",L280,L280-W280),0)</f>
        <v/>
      </c>
      <c r="AB280" s="68">
        <f>IF(Z280=1,IF(U280="In",L280-W280,L280),0)</f>
        <v/>
      </c>
      <c r="AC280" s="68">
        <f>IF(AND(Z280=1,U280="Out"),W280,0)</f>
        <v/>
      </c>
      <c r="AD280" s="68">
        <f>IF(AND(Z280=1,U280="In"),W280,0)</f>
        <v/>
      </c>
    </row>
    <row r="281">
      <c r="B281" s="62" t="inlineStr">
        <is>
          <t>TX-0275</t>
        </is>
      </c>
      <c r="C281" s="63" t="n">
        <v>46238</v>
      </c>
      <c r="D281" s="62" t="inlineStr">
        <is>
          <t>Money In</t>
        </is>
      </c>
      <c r="E281" s="62" t="inlineStr">
        <is>
          <t>Product Sales</t>
        </is>
      </c>
      <c r="F281" s="62" t="inlineStr">
        <is>
          <t>Counter sales week 1</t>
        </is>
      </c>
      <c r="G281" s="62" t="n"/>
      <c r="H281" s="62" t="n"/>
      <c r="I281" s="62" t="inlineStr">
        <is>
          <t>Cash</t>
        </is>
      </c>
      <c r="J281" s="62" t="n"/>
      <c r="K281" s="62" t="inlineStr">
        <is>
          <t>Cash on Hand</t>
        </is>
      </c>
      <c r="L281" s="64" t="n">
        <v>63660.69</v>
      </c>
      <c r="M281" s="64" t="n">
        <v>6820.79</v>
      </c>
      <c r="N281" s="62" t="n"/>
      <c r="O281" s="65">
        <f>IF(Z281=1,L281-W281,"")</f>
        <v/>
      </c>
      <c r="P281" s="66">
        <f>IF(V281="","",IFERROR(INDEX(coa_Type,MATCH(V281,coa_Name,0)),""))</f>
        <v/>
      </c>
      <c r="Q281" s="66">
        <f>IF(Z281=1,IF(U281="In",K281&amp;"",V281),"")</f>
        <v/>
      </c>
      <c r="R281" s="66">
        <f>IF(Z281=1,IF(U281="In",V281,K281&amp;""),"")</f>
        <v/>
      </c>
      <c r="S281" s="66">
        <f>IF(X281&lt;&gt;"","⛔ "&amp;X281&amp;" — not posted",IF(Y281&lt;&gt;"","⚠ "&amp;Y281,IF(Z281=1,"✓ OK","")))</f>
        <v/>
      </c>
      <c r="T281" s="67">
        <f>IF(AND(C281="",D281="",E281="",L281="",K281=""),1,0)</f>
        <v/>
      </c>
      <c r="U281" s="67">
        <f>IFERROR(INDEX(tt_Dir,MATCH(D281,tt_Type,0)),"")</f>
        <v/>
      </c>
      <c r="V281" s="67">
        <f>IF(D281="","",IFERROR(IF(INDEX(tt_Other,MATCH(D281,tt_Type,0))="",E281&amp;"",INDEX(tt_Other,MATCH(D281,tt_Type,0))),""))</f>
        <v/>
      </c>
      <c r="W281" s="68">
        <f>IF(OR(TaxOn&lt;&gt;"Yes",NOT(ISNUMBER(M281))),0,IF(IFERROR(INDEX(tt_Tax,MATCH(D281,tt_Type,0)),"No")="Yes",M281,0))</f>
        <v/>
      </c>
      <c r="X281" s="67">
        <f>IF(T281=1,"",IF(C281="","Missing transaction date",IF(NOT(ISNUMBER(C281)),"Invalid date",IF(OR(C281&lt;DATE(2000,1,1),C281&gt;DATE(2099,12,31)),"Invalid date",IF(D281="","Select a type",IF(U281="","Unknown type: "&amp;D281,IF(V281="","Select an account (Category)",IF(ISNA(MATCH(V281,coa_Name,0)),"Unknown account: "&amp;V281,IF(K281="","Select Paid From / Deposited To",IF(ISNA(MATCH(K281,coa_Name,0)),"Unknown account: "&amp;K281,IF(NOT(ISNUMBER(L281)),"Enter an amount",IF(L281=0,"Enter an amount",IF(ABS(W281)&gt;ABS(L281),"Tax is larger than the amount","")))))))))))))</f>
        <v/>
      </c>
      <c r="Y281" s="67">
        <f>IF(OR(T281=1,X281&lt;&gt;""),"",IF(AND(B281&lt;&gt;"",COUNTIF(tx_ID,B281)&gt;1),"Duplicate transaction ID",IF(AND(L281&lt;0,D281&lt;&gt;"Adjustment"),"Negative amount — check this entry",IF(AND(D281="Customer Payment",G281=""),"Add the customer",IF(AND(D281="Customer Payment",OR(J281="",COUNTIF(ar_No,J281&amp;"")=0)),"Invoice # in Reference not found on AR sheet",IF(AND(D281="Bill Payment",H281=""),"Add the vendor",IF(AND(D281="Bill Payment",OR(J281="",COUNTIFS(ap_No,J281&amp;"",ap_Party,H281&amp;"")=0)),"Bill # + vendor not found on AP sheet",IF(AND(ISNUMBER(M281),N(M281)&lt;&gt;0,W281=0),"Tax ignored (tax tracking off, or not allowed for this type)",IF(V281=K281&amp;"","Same account on both sides",IF(AND(ISNUMBER(StartDate),C281&lt;StartDate),"Date is before the accounting start date",IF(AND(D281&lt;&gt;"Adjustment",IFERROR(INDEX(coa_Pay,MATCH(K281&amp;"",coa_Name,0)),"")&lt;&gt;"Yes"),"Paid From / Deposited To is not a payment account","")))))))))))</f>
        <v/>
      </c>
      <c r="Z281" s="67">
        <f>IF(AND(T281=0,X281=""),1,0)</f>
        <v/>
      </c>
      <c r="AA281" s="68">
        <f>IF(Z281=1,IF(U281="In",L281,L281-W281),0)</f>
        <v/>
      </c>
      <c r="AB281" s="68">
        <f>IF(Z281=1,IF(U281="In",L281-W281,L281),0)</f>
        <v/>
      </c>
      <c r="AC281" s="68">
        <f>IF(AND(Z281=1,U281="Out"),W281,0)</f>
        <v/>
      </c>
      <c r="AD281" s="68">
        <f>IF(AND(Z281=1,U281="In"),W281,0)</f>
        <v/>
      </c>
    </row>
    <row r="282">
      <c r="B282" s="62" t="inlineStr">
        <is>
          <t>TX-0276</t>
        </is>
      </c>
      <c r="C282" s="63" t="n">
        <v>46239</v>
      </c>
      <c r="D282" s="62" t="inlineStr">
        <is>
          <t>Customer Payment</t>
        </is>
      </c>
      <c r="E282" s="62" t="n"/>
      <c r="F282" s="62" t="inlineStr">
        <is>
          <t>Invoice payment</t>
        </is>
      </c>
      <c r="G282" s="62" t="inlineStr">
        <is>
          <t>St. Jude Clinic</t>
        </is>
      </c>
      <c r="H282" s="62" t="n"/>
      <c r="I282" s="62" t="inlineStr">
        <is>
          <t>Bank Transfer</t>
        </is>
      </c>
      <c r="J282" s="62" t="inlineStr">
        <is>
          <t>INV-1017</t>
        </is>
      </c>
      <c r="K282" s="62" t="inlineStr">
        <is>
          <t>Bank Account</t>
        </is>
      </c>
      <c r="L282" s="64" t="n">
        <v>13130.45</v>
      </c>
      <c r="M282" s="64" t="n"/>
      <c r="N282" s="62" t="n"/>
      <c r="O282" s="65">
        <f>IF(Z282=1,L282-W282,"")</f>
        <v/>
      </c>
      <c r="P282" s="66">
        <f>IF(V282="","",IFERROR(INDEX(coa_Type,MATCH(V282,coa_Name,0)),""))</f>
        <v/>
      </c>
      <c r="Q282" s="66">
        <f>IF(Z282=1,IF(U282="In",K282&amp;"",V282),"")</f>
        <v/>
      </c>
      <c r="R282" s="66">
        <f>IF(Z282=1,IF(U282="In",V282,K282&amp;""),"")</f>
        <v/>
      </c>
      <c r="S282" s="66">
        <f>IF(X282&lt;&gt;"","⛔ "&amp;X282&amp;" — not posted",IF(Y282&lt;&gt;"","⚠ "&amp;Y282,IF(Z282=1,"✓ OK","")))</f>
        <v/>
      </c>
      <c r="T282" s="67">
        <f>IF(AND(C282="",D282="",E282="",L282="",K282=""),1,0)</f>
        <v/>
      </c>
      <c r="U282" s="67">
        <f>IFERROR(INDEX(tt_Dir,MATCH(D282,tt_Type,0)),"")</f>
        <v/>
      </c>
      <c r="V282" s="67">
        <f>IF(D282="","",IFERROR(IF(INDEX(tt_Other,MATCH(D282,tt_Type,0))="",E282&amp;"",INDEX(tt_Other,MATCH(D282,tt_Type,0))),""))</f>
        <v/>
      </c>
      <c r="W282" s="68">
        <f>IF(OR(TaxOn&lt;&gt;"Yes",NOT(ISNUMBER(M282))),0,IF(IFERROR(INDEX(tt_Tax,MATCH(D282,tt_Type,0)),"No")="Yes",M282,0))</f>
        <v/>
      </c>
      <c r="X282" s="67">
        <f>IF(T282=1,"",IF(C282="","Missing transaction date",IF(NOT(ISNUMBER(C282)),"Invalid date",IF(OR(C282&lt;DATE(2000,1,1),C282&gt;DATE(2099,12,31)),"Invalid date",IF(D282="","Select a type",IF(U282="","Unknown type: "&amp;D282,IF(V282="","Select an account (Category)",IF(ISNA(MATCH(V282,coa_Name,0)),"Unknown account: "&amp;V282,IF(K282="","Select Paid From / Deposited To",IF(ISNA(MATCH(K282,coa_Name,0)),"Unknown account: "&amp;K282,IF(NOT(ISNUMBER(L282)),"Enter an amount",IF(L282=0,"Enter an amount",IF(ABS(W282)&gt;ABS(L282),"Tax is larger than the amount","")))))))))))))</f>
        <v/>
      </c>
      <c r="Y282" s="67">
        <f>IF(OR(T282=1,X282&lt;&gt;""),"",IF(AND(B282&lt;&gt;"",COUNTIF(tx_ID,B282)&gt;1),"Duplicate transaction ID",IF(AND(L282&lt;0,D282&lt;&gt;"Adjustment"),"Negative amount — check this entry",IF(AND(D282="Customer Payment",G282=""),"Add the customer",IF(AND(D282="Customer Payment",OR(J282="",COUNTIF(ar_No,J282&amp;"")=0)),"Invoice # in Reference not found on AR sheet",IF(AND(D282="Bill Payment",H282=""),"Add the vendor",IF(AND(D282="Bill Payment",OR(J282="",COUNTIFS(ap_No,J282&amp;"",ap_Party,H282&amp;"")=0)),"Bill # + vendor not found on AP sheet",IF(AND(ISNUMBER(M282),N(M282)&lt;&gt;0,W282=0),"Tax ignored (tax tracking off, or not allowed for this type)",IF(V282=K282&amp;"","Same account on both sides",IF(AND(ISNUMBER(StartDate),C282&lt;StartDate),"Date is before the accounting start date",IF(AND(D282&lt;&gt;"Adjustment",IFERROR(INDEX(coa_Pay,MATCH(K282&amp;"",coa_Name,0)),"")&lt;&gt;"Yes"),"Paid From / Deposited To is not a payment account","")))))))))))</f>
        <v/>
      </c>
      <c r="Z282" s="67">
        <f>IF(AND(T282=0,X282=""),1,0)</f>
        <v/>
      </c>
      <c r="AA282" s="68">
        <f>IF(Z282=1,IF(U282="In",L282,L282-W282),0)</f>
        <v/>
      </c>
      <c r="AB282" s="68">
        <f>IF(Z282=1,IF(U282="In",L282-W282,L282),0)</f>
        <v/>
      </c>
      <c r="AC282" s="68">
        <f>IF(AND(Z282=1,U282="Out"),W282,0)</f>
        <v/>
      </c>
      <c r="AD282" s="68">
        <f>IF(AND(Z282=1,U282="In"),W282,0)</f>
        <v/>
      </c>
    </row>
    <row r="283">
      <c r="B283" s="62" t="inlineStr">
        <is>
          <t>TX-0277</t>
        </is>
      </c>
      <c r="C283" s="63" t="n">
        <v>46239</v>
      </c>
      <c r="D283" s="62" t="inlineStr">
        <is>
          <t>Money In</t>
        </is>
      </c>
      <c r="E283" s="62" t="inlineStr">
        <is>
          <t>Product Sales</t>
        </is>
      </c>
      <c r="F283" s="62" t="inlineStr">
        <is>
          <t>GCash / online orders week 1</t>
        </is>
      </c>
      <c r="G283" s="62" t="n"/>
      <c r="H283" s="62" t="n"/>
      <c r="I283" s="62" t="inlineStr">
        <is>
          <t>E-Wallet</t>
        </is>
      </c>
      <c r="J283" s="62" t="n"/>
      <c r="K283" s="62" t="inlineStr">
        <is>
          <t>E-Wallet / Online Payments</t>
        </is>
      </c>
      <c r="L283" s="64" t="n">
        <v>21053.29</v>
      </c>
      <c r="M283" s="64" t="n">
        <v>2255.71</v>
      </c>
      <c r="N283" s="62" t="n"/>
      <c r="O283" s="65">
        <f>IF(Z283=1,L283-W283,"")</f>
        <v/>
      </c>
      <c r="P283" s="66">
        <f>IF(V283="","",IFERROR(INDEX(coa_Type,MATCH(V283,coa_Name,0)),""))</f>
        <v/>
      </c>
      <c r="Q283" s="66">
        <f>IF(Z283=1,IF(U283="In",K283&amp;"",V283),"")</f>
        <v/>
      </c>
      <c r="R283" s="66">
        <f>IF(Z283=1,IF(U283="In",V283,K283&amp;""),"")</f>
        <v/>
      </c>
      <c r="S283" s="66">
        <f>IF(X283&lt;&gt;"","⛔ "&amp;X283&amp;" — not posted",IF(Y283&lt;&gt;"","⚠ "&amp;Y283,IF(Z283=1,"✓ OK","")))</f>
        <v/>
      </c>
      <c r="T283" s="67">
        <f>IF(AND(C283="",D283="",E283="",L283="",K283=""),1,0)</f>
        <v/>
      </c>
      <c r="U283" s="67">
        <f>IFERROR(INDEX(tt_Dir,MATCH(D283,tt_Type,0)),"")</f>
        <v/>
      </c>
      <c r="V283" s="67">
        <f>IF(D283="","",IFERROR(IF(INDEX(tt_Other,MATCH(D283,tt_Type,0))="",E283&amp;"",INDEX(tt_Other,MATCH(D283,tt_Type,0))),""))</f>
        <v/>
      </c>
      <c r="W283" s="68">
        <f>IF(OR(TaxOn&lt;&gt;"Yes",NOT(ISNUMBER(M283))),0,IF(IFERROR(INDEX(tt_Tax,MATCH(D283,tt_Type,0)),"No")="Yes",M283,0))</f>
        <v/>
      </c>
      <c r="X283" s="67">
        <f>IF(T283=1,"",IF(C283="","Missing transaction date",IF(NOT(ISNUMBER(C283)),"Invalid date",IF(OR(C283&lt;DATE(2000,1,1),C283&gt;DATE(2099,12,31)),"Invalid date",IF(D283="","Select a type",IF(U283="","Unknown type: "&amp;D283,IF(V283="","Select an account (Category)",IF(ISNA(MATCH(V283,coa_Name,0)),"Unknown account: "&amp;V283,IF(K283="","Select Paid From / Deposited To",IF(ISNA(MATCH(K283,coa_Name,0)),"Unknown account: "&amp;K283,IF(NOT(ISNUMBER(L283)),"Enter an amount",IF(L283=0,"Enter an amount",IF(ABS(W283)&gt;ABS(L283),"Tax is larger than the amount","")))))))))))))</f>
        <v/>
      </c>
      <c r="Y283" s="67">
        <f>IF(OR(T283=1,X283&lt;&gt;""),"",IF(AND(B283&lt;&gt;"",COUNTIF(tx_ID,B283)&gt;1),"Duplicate transaction ID",IF(AND(L283&lt;0,D283&lt;&gt;"Adjustment"),"Negative amount — check this entry",IF(AND(D283="Customer Payment",G283=""),"Add the customer",IF(AND(D283="Customer Payment",OR(J283="",COUNTIF(ar_No,J283&amp;"")=0)),"Invoice # in Reference not found on AR sheet",IF(AND(D283="Bill Payment",H283=""),"Add the vendor",IF(AND(D283="Bill Payment",OR(J283="",COUNTIFS(ap_No,J283&amp;"",ap_Party,H283&amp;"")=0)),"Bill # + vendor not found on AP sheet",IF(AND(ISNUMBER(M283),N(M283)&lt;&gt;0,W283=0),"Tax ignored (tax tracking off, or not allowed for this type)",IF(V283=K283&amp;"","Same account on both sides",IF(AND(ISNUMBER(StartDate),C283&lt;StartDate),"Date is before the accounting start date",IF(AND(D283&lt;&gt;"Adjustment",IFERROR(INDEX(coa_Pay,MATCH(K283&amp;"",coa_Name,0)),"")&lt;&gt;"Yes"),"Paid From / Deposited To is not a payment account","")))))))))))</f>
        <v/>
      </c>
      <c r="Z283" s="67">
        <f>IF(AND(T283=0,X283=""),1,0)</f>
        <v/>
      </c>
      <c r="AA283" s="68">
        <f>IF(Z283=1,IF(U283="In",L283,L283-W283),0)</f>
        <v/>
      </c>
      <c r="AB283" s="68">
        <f>IF(Z283=1,IF(U283="In",L283-W283,L283),0)</f>
        <v/>
      </c>
      <c r="AC283" s="68">
        <f>IF(AND(Z283=1,U283="Out"),W283,0)</f>
        <v/>
      </c>
      <c r="AD283" s="68">
        <f>IF(AND(Z283=1,U283="In"),W283,0)</f>
        <v/>
      </c>
    </row>
    <row r="284">
      <c r="B284" s="62" t="inlineStr">
        <is>
          <t>TX-0278</t>
        </is>
      </c>
      <c r="C284" s="63" t="n">
        <v>46239</v>
      </c>
      <c r="D284" s="62" t="inlineStr">
        <is>
          <t>Transfer</t>
        </is>
      </c>
      <c r="E284" s="62" t="inlineStr">
        <is>
          <t>Credit Card</t>
        </is>
      </c>
      <c r="F284" s="62" t="inlineStr">
        <is>
          <t>Credit card payment</t>
        </is>
      </c>
      <c r="G284" s="62" t="n"/>
      <c r="H284" s="62" t="n"/>
      <c r="I284" s="62" t="inlineStr">
        <is>
          <t>Bank Transfer</t>
        </is>
      </c>
      <c r="J284" s="62" t="n"/>
      <c r="K284" s="62" t="inlineStr">
        <is>
          <t>Bank Account</t>
        </is>
      </c>
      <c r="L284" s="64" t="n">
        <v>5787.28</v>
      </c>
      <c r="M284" s="64" t="n"/>
      <c r="N284" s="62" t="n"/>
      <c r="O284" s="65">
        <f>IF(Z284=1,L284-W284,"")</f>
        <v/>
      </c>
      <c r="P284" s="66">
        <f>IF(V284="","",IFERROR(INDEX(coa_Type,MATCH(V284,coa_Name,0)),""))</f>
        <v/>
      </c>
      <c r="Q284" s="66">
        <f>IF(Z284=1,IF(U284="In",K284&amp;"",V284),"")</f>
        <v/>
      </c>
      <c r="R284" s="66">
        <f>IF(Z284=1,IF(U284="In",V284,K284&amp;""),"")</f>
        <v/>
      </c>
      <c r="S284" s="66">
        <f>IF(X284&lt;&gt;"","⛔ "&amp;X284&amp;" — not posted",IF(Y284&lt;&gt;"","⚠ "&amp;Y284,IF(Z284=1,"✓ OK","")))</f>
        <v/>
      </c>
      <c r="T284" s="67">
        <f>IF(AND(C284="",D284="",E284="",L284="",K284=""),1,0)</f>
        <v/>
      </c>
      <c r="U284" s="67">
        <f>IFERROR(INDEX(tt_Dir,MATCH(D284,tt_Type,0)),"")</f>
        <v/>
      </c>
      <c r="V284" s="67">
        <f>IF(D284="","",IFERROR(IF(INDEX(tt_Other,MATCH(D284,tt_Type,0))="",E284&amp;"",INDEX(tt_Other,MATCH(D284,tt_Type,0))),""))</f>
        <v/>
      </c>
      <c r="W284" s="68">
        <f>IF(OR(TaxOn&lt;&gt;"Yes",NOT(ISNUMBER(M284))),0,IF(IFERROR(INDEX(tt_Tax,MATCH(D284,tt_Type,0)),"No")="Yes",M284,0))</f>
        <v/>
      </c>
      <c r="X284" s="67">
        <f>IF(T284=1,"",IF(C284="","Missing transaction date",IF(NOT(ISNUMBER(C284)),"Invalid date",IF(OR(C284&lt;DATE(2000,1,1),C284&gt;DATE(2099,12,31)),"Invalid date",IF(D284="","Select a type",IF(U284="","Unknown type: "&amp;D284,IF(V284="","Select an account (Category)",IF(ISNA(MATCH(V284,coa_Name,0)),"Unknown account: "&amp;V284,IF(K284="","Select Paid From / Deposited To",IF(ISNA(MATCH(K284,coa_Name,0)),"Unknown account: "&amp;K284,IF(NOT(ISNUMBER(L284)),"Enter an amount",IF(L284=0,"Enter an amount",IF(ABS(W284)&gt;ABS(L284),"Tax is larger than the amount","")))))))))))))</f>
        <v/>
      </c>
      <c r="Y284" s="67">
        <f>IF(OR(T284=1,X284&lt;&gt;""),"",IF(AND(B284&lt;&gt;"",COUNTIF(tx_ID,B284)&gt;1),"Duplicate transaction ID",IF(AND(L284&lt;0,D284&lt;&gt;"Adjustment"),"Negative amount — check this entry",IF(AND(D284="Customer Payment",G284=""),"Add the customer",IF(AND(D284="Customer Payment",OR(J284="",COUNTIF(ar_No,J284&amp;"")=0)),"Invoice # in Reference not found on AR sheet",IF(AND(D284="Bill Payment",H284=""),"Add the vendor",IF(AND(D284="Bill Payment",OR(J284="",COUNTIFS(ap_No,J284&amp;"",ap_Party,H284&amp;"")=0)),"Bill # + vendor not found on AP sheet",IF(AND(ISNUMBER(M284),N(M284)&lt;&gt;0,W284=0),"Tax ignored (tax tracking off, or not allowed for this type)",IF(V284=K284&amp;"","Same account on both sides",IF(AND(ISNUMBER(StartDate),C284&lt;StartDate),"Date is before the accounting start date",IF(AND(D284&lt;&gt;"Adjustment",IFERROR(INDEX(coa_Pay,MATCH(K284&amp;"",coa_Name,0)),"")&lt;&gt;"Yes"),"Paid From / Deposited To is not a payment account","")))))))))))</f>
        <v/>
      </c>
      <c r="Z284" s="67">
        <f>IF(AND(T284=0,X284=""),1,0)</f>
        <v/>
      </c>
      <c r="AA284" s="68">
        <f>IF(Z284=1,IF(U284="In",L284,L284-W284),0)</f>
        <v/>
      </c>
      <c r="AB284" s="68">
        <f>IF(Z284=1,IF(U284="In",L284-W284,L284),0)</f>
        <v/>
      </c>
      <c r="AC284" s="68">
        <f>IF(AND(Z284=1,U284="Out"),W284,0)</f>
        <v/>
      </c>
      <c r="AD284" s="68">
        <f>IF(AND(Z284=1,U284="In"),W284,0)</f>
        <v/>
      </c>
    </row>
    <row r="285">
      <c r="B285" s="62" t="inlineStr">
        <is>
          <t>TX-0279</t>
        </is>
      </c>
      <c r="C285" s="63" t="n">
        <v>46240</v>
      </c>
      <c r="D285" s="62" t="inlineStr">
        <is>
          <t>Transfer</t>
        </is>
      </c>
      <c r="E285" s="62" t="inlineStr">
        <is>
          <t>Bank Account</t>
        </is>
      </c>
      <c r="F285" s="62" t="inlineStr">
        <is>
          <t>Cash deposit to bank</t>
        </is>
      </c>
      <c r="G285" s="62" t="n"/>
      <c r="H285" s="62" t="n"/>
      <c r="I285" s="62" t="inlineStr">
        <is>
          <t>Cash</t>
        </is>
      </c>
      <c r="J285" s="62" t="n"/>
      <c r="K285" s="62" t="inlineStr">
        <is>
          <t>Cash on Hand</t>
        </is>
      </c>
      <c r="L285" s="64" t="n">
        <v>54100</v>
      </c>
      <c r="M285" s="64" t="n"/>
      <c r="N285" s="62" t="n"/>
      <c r="O285" s="65">
        <f>IF(Z285=1,L285-W285,"")</f>
        <v/>
      </c>
      <c r="P285" s="66">
        <f>IF(V285="","",IFERROR(INDEX(coa_Type,MATCH(V285,coa_Name,0)),""))</f>
        <v/>
      </c>
      <c r="Q285" s="66">
        <f>IF(Z285=1,IF(U285="In",K285&amp;"",V285),"")</f>
        <v/>
      </c>
      <c r="R285" s="66">
        <f>IF(Z285=1,IF(U285="In",V285,K285&amp;""),"")</f>
        <v/>
      </c>
      <c r="S285" s="66">
        <f>IF(X285&lt;&gt;"","⛔ "&amp;X285&amp;" — not posted",IF(Y285&lt;&gt;"","⚠ "&amp;Y285,IF(Z285=1,"✓ OK","")))</f>
        <v/>
      </c>
      <c r="T285" s="67">
        <f>IF(AND(C285="",D285="",E285="",L285="",K285=""),1,0)</f>
        <v/>
      </c>
      <c r="U285" s="67">
        <f>IFERROR(INDEX(tt_Dir,MATCH(D285,tt_Type,0)),"")</f>
        <v/>
      </c>
      <c r="V285" s="67">
        <f>IF(D285="","",IFERROR(IF(INDEX(tt_Other,MATCH(D285,tt_Type,0))="",E285&amp;"",INDEX(tt_Other,MATCH(D285,tt_Type,0))),""))</f>
        <v/>
      </c>
      <c r="W285" s="68">
        <f>IF(OR(TaxOn&lt;&gt;"Yes",NOT(ISNUMBER(M285))),0,IF(IFERROR(INDEX(tt_Tax,MATCH(D285,tt_Type,0)),"No")="Yes",M285,0))</f>
        <v/>
      </c>
      <c r="X285" s="67">
        <f>IF(T285=1,"",IF(C285="","Missing transaction date",IF(NOT(ISNUMBER(C285)),"Invalid date",IF(OR(C285&lt;DATE(2000,1,1),C285&gt;DATE(2099,12,31)),"Invalid date",IF(D285="","Select a type",IF(U285="","Unknown type: "&amp;D285,IF(V285="","Select an account (Category)",IF(ISNA(MATCH(V285,coa_Name,0)),"Unknown account: "&amp;V285,IF(K285="","Select Paid From / Deposited To",IF(ISNA(MATCH(K285,coa_Name,0)),"Unknown account: "&amp;K285,IF(NOT(ISNUMBER(L285)),"Enter an amount",IF(L285=0,"Enter an amount",IF(ABS(W285)&gt;ABS(L285),"Tax is larger than the amount","")))))))))))))</f>
        <v/>
      </c>
      <c r="Y285" s="67">
        <f>IF(OR(T285=1,X285&lt;&gt;""),"",IF(AND(B285&lt;&gt;"",COUNTIF(tx_ID,B285)&gt;1),"Duplicate transaction ID",IF(AND(L285&lt;0,D285&lt;&gt;"Adjustment"),"Negative amount — check this entry",IF(AND(D285="Customer Payment",G285=""),"Add the customer",IF(AND(D285="Customer Payment",OR(J285="",COUNTIF(ar_No,J285&amp;"")=0)),"Invoice # in Reference not found on AR sheet",IF(AND(D285="Bill Payment",H285=""),"Add the vendor",IF(AND(D285="Bill Payment",OR(J285="",COUNTIFS(ap_No,J285&amp;"",ap_Party,H285&amp;"")=0)),"Bill # + vendor not found on AP sheet",IF(AND(ISNUMBER(M285),N(M285)&lt;&gt;0,W285=0),"Tax ignored (tax tracking off, or not allowed for this type)",IF(V285=K285&amp;"","Same account on both sides",IF(AND(ISNUMBER(StartDate),C285&lt;StartDate),"Date is before the accounting start date",IF(AND(D285&lt;&gt;"Adjustment",IFERROR(INDEX(coa_Pay,MATCH(K285&amp;"",coa_Name,0)),"")&lt;&gt;"Yes"),"Paid From / Deposited To is not a payment account","")))))))))))</f>
        <v/>
      </c>
      <c r="Z285" s="67">
        <f>IF(AND(T285=0,X285=""),1,0)</f>
        <v/>
      </c>
      <c r="AA285" s="68">
        <f>IF(Z285=1,IF(U285="In",L285,L285-W285),0)</f>
        <v/>
      </c>
      <c r="AB285" s="68">
        <f>IF(Z285=1,IF(U285="In",L285-W285,L285),0)</f>
        <v/>
      </c>
      <c r="AC285" s="68">
        <f>IF(AND(Z285=1,U285="Out"),W285,0)</f>
        <v/>
      </c>
      <c r="AD285" s="68">
        <f>IF(AND(Z285=1,U285="In"),W285,0)</f>
        <v/>
      </c>
    </row>
    <row r="286">
      <c r="B286" s="62" t="inlineStr">
        <is>
          <t>TX-0280</t>
        </is>
      </c>
      <c r="C286" s="63" t="n">
        <v>46240</v>
      </c>
      <c r="D286" s="62" t="inlineStr">
        <is>
          <t>Money Out</t>
        </is>
      </c>
      <c r="E286" s="62" t="inlineStr">
        <is>
          <t>Other Direct Costs</t>
        </is>
      </c>
      <c r="F286" s="62" t="inlineStr">
        <is>
          <t>Boxes &amp; paper bags (market)</t>
        </is>
      </c>
      <c r="G286" s="62" t="n"/>
      <c r="H286" s="62" t="n"/>
      <c r="I286" s="62" t="inlineStr">
        <is>
          <t>Cash</t>
        </is>
      </c>
      <c r="J286" s="62" t="n"/>
      <c r="K286" s="62" t="inlineStr">
        <is>
          <t>Cash on Hand</t>
        </is>
      </c>
      <c r="L286" s="64" t="n">
        <v>3804.02</v>
      </c>
      <c r="M286" s="64" t="n">
        <v>407.57</v>
      </c>
      <c r="N286" s="62" t="n"/>
      <c r="O286" s="65">
        <f>IF(Z286=1,L286-W286,"")</f>
        <v/>
      </c>
      <c r="P286" s="66">
        <f>IF(V286="","",IFERROR(INDEX(coa_Type,MATCH(V286,coa_Name,0)),""))</f>
        <v/>
      </c>
      <c r="Q286" s="66">
        <f>IF(Z286=1,IF(U286="In",K286&amp;"",V286),"")</f>
        <v/>
      </c>
      <c r="R286" s="66">
        <f>IF(Z286=1,IF(U286="In",V286,K286&amp;""),"")</f>
        <v/>
      </c>
      <c r="S286" s="66">
        <f>IF(X286&lt;&gt;"","⛔ "&amp;X286&amp;" — not posted",IF(Y286&lt;&gt;"","⚠ "&amp;Y286,IF(Z286=1,"✓ OK","")))</f>
        <v/>
      </c>
      <c r="T286" s="67">
        <f>IF(AND(C286="",D286="",E286="",L286="",K286=""),1,0)</f>
        <v/>
      </c>
      <c r="U286" s="67">
        <f>IFERROR(INDEX(tt_Dir,MATCH(D286,tt_Type,0)),"")</f>
        <v/>
      </c>
      <c r="V286" s="67">
        <f>IF(D286="","",IFERROR(IF(INDEX(tt_Other,MATCH(D286,tt_Type,0))="",E286&amp;"",INDEX(tt_Other,MATCH(D286,tt_Type,0))),""))</f>
        <v/>
      </c>
      <c r="W286" s="68">
        <f>IF(OR(TaxOn&lt;&gt;"Yes",NOT(ISNUMBER(M286))),0,IF(IFERROR(INDEX(tt_Tax,MATCH(D286,tt_Type,0)),"No")="Yes",M286,0))</f>
        <v/>
      </c>
      <c r="X286" s="67">
        <f>IF(T286=1,"",IF(C286="","Missing transaction date",IF(NOT(ISNUMBER(C286)),"Invalid date",IF(OR(C286&lt;DATE(2000,1,1),C286&gt;DATE(2099,12,31)),"Invalid date",IF(D286="","Select a type",IF(U286="","Unknown type: "&amp;D286,IF(V286="","Select an account (Category)",IF(ISNA(MATCH(V286,coa_Name,0)),"Unknown account: "&amp;V286,IF(K286="","Select Paid From / Deposited To",IF(ISNA(MATCH(K286,coa_Name,0)),"Unknown account: "&amp;K286,IF(NOT(ISNUMBER(L286)),"Enter an amount",IF(L286=0,"Enter an amount",IF(ABS(W286)&gt;ABS(L286),"Tax is larger than the amount","")))))))))))))</f>
        <v/>
      </c>
      <c r="Y286" s="67">
        <f>IF(OR(T286=1,X286&lt;&gt;""),"",IF(AND(B286&lt;&gt;"",COUNTIF(tx_ID,B286)&gt;1),"Duplicate transaction ID",IF(AND(L286&lt;0,D286&lt;&gt;"Adjustment"),"Negative amount — check this entry",IF(AND(D286="Customer Payment",G286=""),"Add the customer",IF(AND(D286="Customer Payment",OR(J286="",COUNTIF(ar_No,J286&amp;"")=0)),"Invoice # in Reference not found on AR sheet",IF(AND(D286="Bill Payment",H286=""),"Add the vendor",IF(AND(D286="Bill Payment",OR(J286="",COUNTIFS(ap_No,J286&amp;"",ap_Party,H286&amp;"")=0)),"Bill # + vendor not found on AP sheet",IF(AND(ISNUMBER(M286),N(M286)&lt;&gt;0,W286=0),"Tax ignored (tax tracking off, or not allowed for this type)",IF(V286=K286&amp;"","Same account on both sides",IF(AND(ISNUMBER(StartDate),C286&lt;StartDate),"Date is before the accounting start date",IF(AND(D286&lt;&gt;"Adjustment",IFERROR(INDEX(coa_Pay,MATCH(K286&amp;"",coa_Name,0)),"")&lt;&gt;"Yes"),"Paid From / Deposited To is not a payment account","")))))))))))</f>
        <v/>
      </c>
      <c r="Z286" s="67">
        <f>IF(AND(T286=0,X286=""),1,0)</f>
        <v/>
      </c>
      <c r="AA286" s="68">
        <f>IF(Z286=1,IF(U286="In",L286,L286-W286),0)</f>
        <v/>
      </c>
      <c r="AB286" s="68">
        <f>IF(Z286=1,IF(U286="In",L286-W286,L286),0)</f>
        <v/>
      </c>
      <c r="AC286" s="68">
        <f>IF(AND(Z286=1,U286="Out"),W286,0)</f>
        <v/>
      </c>
      <c r="AD286" s="68">
        <f>IF(AND(Z286=1,U286="In"),W286,0)</f>
        <v/>
      </c>
    </row>
    <row r="287">
      <c r="B287" s="62" t="inlineStr">
        <is>
          <t>TX-0281</t>
        </is>
      </c>
      <c r="C287" s="63" t="n">
        <v>46242</v>
      </c>
      <c r="D287" s="62" t="inlineStr">
        <is>
          <t>Money Out</t>
        </is>
      </c>
      <c r="E287" s="62" t="inlineStr">
        <is>
          <t>Advertising &amp; Marketing</t>
        </is>
      </c>
      <c r="F287" s="62" t="inlineStr">
        <is>
          <t>Facebook / Instagram ads</t>
        </is>
      </c>
      <c r="G287" s="62" t="n"/>
      <c r="H287" s="62" t="n"/>
      <c r="I287" s="62" t="inlineStr">
        <is>
          <t>Credit Card</t>
        </is>
      </c>
      <c r="J287" s="62" t="n"/>
      <c r="K287" s="62" t="inlineStr">
        <is>
          <t>Credit Card</t>
        </is>
      </c>
      <c r="L287" s="64" t="n">
        <v>4834.68</v>
      </c>
      <c r="M287" s="64" t="n">
        <v>518</v>
      </c>
      <c r="N287" s="62" t="n"/>
      <c r="O287" s="65">
        <f>IF(Z287=1,L287-W287,"")</f>
        <v/>
      </c>
      <c r="P287" s="66">
        <f>IF(V287="","",IFERROR(INDEX(coa_Type,MATCH(V287,coa_Name,0)),""))</f>
        <v/>
      </c>
      <c r="Q287" s="66">
        <f>IF(Z287=1,IF(U287="In",K287&amp;"",V287),"")</f>
        <v/>
      </c>
      <c r="R287" s="66">
        <f>IF(Z287=1,IF(U287="In",V287,K287&amp;""),"")</f>
        <v/>
      </c>
      <c r="S287" s="66">
        <f>IF(X287&lt;&gt;"","⛔ "&amp;X287&amp;" — not posted",IF(Y287&lt;&gt;"","⚠ "&amp;Y287,IF(Z287=1,"✓ OK","")))</f>
        <v/>
      </c>
      <c r="T287" s="67">
        <f>IF(AND(C287="",D287="",E287="",L287="",K287=""),1,0)</f>
        <v/>
      </c>
      <c r="U287" s="67">
        <f>IFERROR(INDEX(tt_Dir,MATCH(D287,tt_Type,0)),"")</f>
        <v/>
      </c>
      <c r="V287" s="67">
        <f>IF(D287="","",IFERROR(IF(INDEX(tt_Other,MATCH(D287,tt_Type,0))="",E287&amp;"",INDEX(tt_Other,MATCH(D287,tt_Type,0))),""))</f>
        <v/>
      </c>
      <c r="W287" s="68">
        <f>IF(OR(TaxOn&lt;&gt;"Yes",NOT(ISNUMBER(M287))),0,IF(IFERROR(INDEX(tt_Tax,MATCH(D287,tt_Type,0)),"No")="Yes",M287,0))</f>
        <v/>
      </c>
      <c r="X287" s="67">
        <f>IF(T287=1,"",IF(C287="","Missing transaction date",IF(NOT(ISNUMBER(C287)),"Invalid date",IF(OR(C287&lt;DATE(2000,1,1),C287&gt;DATE(2099,12,31)),"Invalid date",IF(D287="","Select a type",IF(U287="","Unknown type: "&amp;D287,IF(V287="","Select an account (Category)",IF(ISNA(MATCH(V287,coa_Name,0)),"Unknown account: "&amp;V287,IF(K287="","Select Paid From / Deposited To",IF(ISNA(MATCH(K287,coa_Name,0)),"Unknown account: "&amp;K287,IF(NOT(ISNUMBER(L287)),"Enter an amount",IF(L287=0,"Enter an amount",IF(ABS(W287)&gt;ABS(L287),"Tax is larger than the amount","")))))))))))))</f>
        <v/>
      </c>
      <c r="Y287" s="67">
        <f>IF(OR(T287=1,X287&lt;&gt;""),"",IF(AND(B287&lt;&gt;"",COUNTIF(tx_ID,B287)&gt;1),"Duplicate transaction ID",IF(AND(L287&lt;0,D287&lt;&gt;"Adjustment"),"Negative amount — check this entry",IF(AND(D287="Customer Payment",G287=""),"Add the customer",IF(AND(D287="Customer Payment",OR(J287="",COUNTIF(ar_No,J287&amp;"")=0)),"Invoice # in Reference not found on AR sheet",IF(AND(D287="Bill Payment",H287=""),"Add the vendor",IF(AND(D287="Bill Payment",OR(J287="",COUNTIFS(ap_No,J287&amp;"",ap_Party,H287&amp;"")=0)),"Bill # + vendor not found on AP sheet",IF(AND(ISNUMBER(M287),N(M287)&lt;&gt;0,W287=0),"Tax ignored (tax tracking off, or not allowed for this type)",IF(V287=K287&amp;"","Same account on both sides",IF(AND(ISNUMBER(StartDate),C287&lt;StartDate),"Date is before the accounting start date",IF(AND(D287&lt;&gt;"Adjustment",IFERROR(INDEX(coa_Pay,MATCH(K287&amp;"",coa_Name,0)),"")&lt;&gt;"Yes"),"Paid From / Deposited To is not a payment account","")))))))))))</f>
        <v/>
      </c>
      <c r="Z287" s="67">
        <f>IF(AND(T287=0,X287=""),1,0)</f>
        <v/>
      </c>
      <c r="AA287" s="68">
        <f>IF(Z287=1,IF(U287="In",L287,L287-W287),0)</f>
        <v/>
      </c>
      <c r="AB287" s="68">
        <f>IF(Z287=1,IF(U287="In",L287-W287,L287),0)</f>
        <v/>
      </c>
      <c r="AC287" s="68">
        <f>IF(AND(Z287=1,U287="Out"),W287,0)</f>
        <v/>
      </c>
      <c r="AD287" s="68">
        <f>IF(AND(Z287=1,U287="In"),W287,0)</f>
        <v/>
      </c>
    </row>
    <row r="288">
      <c r="B288" s="62" t="inlineStr">
        <is>
          <t>TX-0282</t>
        </is>
      </c>
      <c r="C288" s="63" t="n">
        <v>46243</v>
      </c>
      <c r="D288" s="62" t="inlineStr">
        <is>
          <t>Money Out</t>
        </is>
      </c>
      <c r="E288" s="62" t="inlineStr">
        <is>
          <t>Software &amp; Subscriptions</t>
        </is>
      </c>
      <c r="F288" s="62" t="inlineStr">
        <is>
          <t>POS app subscription</t>
        </is>
      </c>
      <c r="G288" s="62" t="n"/>
      <c r="H288" s="62" t="n"/>
      <c r="I288" s="62" t="inlineStr">
        <is>
          <t>Credit Card</t>
        </is>
      </c>
      <c r="J288" s="62" t="n"/>
      <c r="K288" s="62" t="inlineStr">
        <is>
          <t>Credit Card</t>
        </is>
      </c>
      <c r="L288" s="64" t="n">
        <v>1450</v>
      </c>
      <c r="M288" s="64" t="n">
        <v>155.36</v>
      </c>
      <c r="N288" s="62" t="n"/>
      <c r="O288" s="65">
        <f>IF(Z288=1,L288-W288,"")</f>
        <v/>
      </c>
      <c r="P288" s="66">
        <f>IF(V288="","",IFERROR(INDEX(coa_Type,MATCH(V288,coa_Name,0)),""))</f>
        <v/>
      </c>
      <c r="Q288" s="66">
        <f>IF(Z288=1,IF(U288="In",K288&amp;"",V288),"")</f>
        <v/>
      </c>
      <c r="R288" s="66">
        <f>IF(Z288=1,IF(U288="In",V288,K288&amp;""),"")</f>
        <v/>
      </c>
      <c r="S288" s="66">
        <f>IF(X288&lt;&gt;"","⛔ "&amp;X288&amp;" — not posted",IF(Y288&lt;&gt;"","⚠ "&amp;Y288,IF(Z288=1,"✓ OK","")))</f>
        <v/>
      </c>
      <c r="T288" s="67">
        <f>IF(AND(C288="",D288="",E288="",L288="",K288=""),1,0)</f>
        <v/>
      </c>
      <c r="U288" s="67">
        <f>IFERROR(INDEX(tt_Dir,MATCH(D288,tt_Type,0)),"")</f>
        <v/>
      </c>
      <c r="V288" s="67">
        <f>IF(D288="","",IFERROR(IF(INDEX(tt_Other,MATCH(D288,tt_Type,0))="",E288&amp;"",INDEX(tt_Other,MATCH(D288,tt_Type,0))),""))</f>
        <v/>
      </c>
      <c r="W288" s="68">
        <f>IF(OR(TaxOn&lt;&gt;"Yes",NOT(ISNUMBER(M288))),0,IF(IFERROR(INDEX(tt_Tax,MATCH(D288,tt_Type,0)),"No")="Yes",M288,0))</f>
        <v/>
      </c>
      <c r="X288" s="67">
        <f>IF(T288=1,"",IF(C288="","Missing transaction date",IF(NOT(ISNUMBER(C288)),"Invalid date",IF(OR(C288&lt;DATE(2000,1,1),C288&gt;DATE(2099,12,31)),"Invalid date",IF(D288="","Select a type",IF(U288="","Unknown type: "&amp;D288,IF(V288="","Select an account (Category)",IF(ISNA(MATCH(V288,coa_Name,0)),"Unknown account: "&amp;V288,IF(K288="","Select Paid From / Deposited To",IF(ISNA(MATCH(K288,coa_Name,0)),"Unknown account: "&amp;K288,IF(NOT(ISNUMBER(L288)),"Enter an amount",IF(L288=0,"Enter an amount",IF(ABS(W288)&gt;ABS(L288),"Tax is larger than the amount","")))))))))))))</f>
        <v/>
      </c>
      <c r="Y288" s="67">
        <f>IF(OR(T288=1,X288&lt;&gt;""),"",IF(AND(B288&lt;&gt;"",COUNTIF(tx_ID,B288)&gt;1),"Duplicate transaction ID",IF(AND(L288&lt;0,D288&lt;&gt;"Adjustment"),"Negative amount — check this entry",IF(AND(D288="Customer Payment",G288=""),"Add the customer",IF(AND(D288="Customer Payment",OR(J288="",COUNTIF(ar_No,J288&amp;"")=0)),"Invoice # in Reference not found on AR sheet",IF(AND(D288="Bill Payment",H288=""),"Add the vendor",IF(AND(D288="Bill Payment",OR(J288="",COUNTIFS(ap_No,J288&amp;"",ap_Party,H288&amp;"")=0)),"Bill # + vendor not found on AP sheet",IF(AND(ISNUMBER(M288),N(M288)&lt;&gt;0,W288=0),"Tax ignored (tax tracking off, or not allowed for this type)",IF(V288=K288&amp;"","Same account on both sides",IF(AND(ISNUMBER(StartDate),C288&lt;StartDate),"Date is before the accounting start date",IF(AND(D288&lt;&gt;"Adjustment",IFERROR(INDEX(coa_Pay,MATCH(K288&amp;"",coa_Name,0)),"")&lt;&gt;"Yes"),"Paid From / Deposited To is not a payment account","")))))))))))</f>
        <v/>
      </c>
      <c r="Z288" s="67">
        <f>IF(AND(T288=0,X288=""),1,0)</f>
        <v/>
      </c>
      <c r="AA288" s="68">
        <f>IF(Z288=1,IF(U288="In",L288,L288-W288),0)</f>
        <v/>
      </c>
      <c r="AB288" s="68">
        <f>IF(Z288=1,IF(U288="In",L288-W288,L288),0)</f>
        <v/>
      </c>
      <c r="AC288" s="68">
        <f>IF(AND(Z288=1,U288="Out"),W288,0)</f>
        <v/>
      </c>
      <c r="AD288" s="68">
        <f>IF(AND(Z288=1,U288="In"),W288,0)</f>
        <v/>
      </c>
    </row>
    <row r="289">
      <c r="B289" s="62" t="inlineStr">
        <is>
          <t>TX-0283</t>
        </is>
      </c>
      <c r="C289" s="63" t="n">
        <v>46244</v>
      </c>
      <c r="D289" s="62" t="inlineStr">
        <is>
          <t>Money Out</t>
        </is>
      </c>
      <c r="E289" s="62" t="inlineStr">
        <is>
          <t>Loans Payable</t>
        </is>
      </c>
      <c r="F289" s="62" t="inlineStr">
        <is>
          <t>Loan principal</t>
        </is>
      </c>
      <c r="G289" s="62" t="n"/>
      <c r="H289" s="62" t="n"/>
      <c r="I289" s="62" t="inlineStr">
        <is>
          <t>Bank Transfer</t>
        </is>
      </c>
      <c r="J289" s="62" t="inlineStr">
        <is>
          <t>LOAN</t>
        </is>
      </c>
      <c r="K289" s="62" t="inlineStr">
        <is>
          <t>Bank Account</t>
        </is>
      </c>
      <c r="L289" s="64" t="n">
        <v>8000</v>
      </c>
      <c r="M289" s="64" t="n"/>
      <c r="N289" s="62" t="n"/>
      <c r="O289" s="65">
        <f>IF(Z289=1,L289-W289,"")</f>
        <v/>
      </c>
      <c r="P289" s="66">
        <f>IF(V289="","",IFERROR(INDEX(coa_Type,MATCH(V289,coa_Name,0)),""))</f>
        <v/>
      </c>
      <c r="Q289" s="66">
        <f>IF(Z289=1,IF(U289="In",K289&amp;"",V289),"")</f>
        <v/>
      </c>
      <c r="R289" s="66">
        <f>IF(Z289=1,IF(U289="In",V289,K289&amp;""),"")</f>
        <v/>
      </c>
      <c r="S289" s="66">
        <f>IF(X289&lt;&gt;"","⛔ "&amp;X289&amp;" — not posted",IF(Y289&lt;&gt;"","⚠ "&amp;Y289,IF(Z289=1,"✓ OK","")))</f>
        <v/>
      </c>
      <c r="T289" s="67">
        <f>IF(AND(C289="",D289="",E289="",L289="",K289=""),1,0)</f>
        <v/>
      </c>
      <c r="U289" s="67">
        <f>IFERROR(INDEX(tt_Dir,MATCH(D289,tt_Type,0)),"")</f>
        <v/>
      </c>
      <c r="V289" s="67">
        <f>IF(D289="","",IFERROR(IF(INDEX(tt_Other,MATCH(D289,tt_Type,0))="",E289&amp;"",INDEX(tt_Other,MATCH(D289,tt_Type,0))),""))</f>
        <v/>
      </c>
      <c r="W289" s="68">
        <f>IF(OR(TaxOn&lt;&gt;"Yes",NOT(ISNUMBER(M289))),0,IF(IFERROR(INDEX(tt_Tax,MATCH(D289,tt_Type,0)),"No")="Yes",M289,0))</f>
        <v/>
      </c>
      <c r="X289" s="67">
        <f>IF(T289=1,"",IF(C289="","Missing transaction date",IF(NOT(ISNUMBER(C289)),"Invalid date",IF(OR(C289&lt;DATE(2000,1,1),C289&gt;DATE(2099,12,31)),"Invalid date",IF(D289="","Select a type",IF(U289="","Unknown type: "&amp;D289,IF(V289="","Select an account (Category)",IF(ISNA(MATCH(V289,coa_Name,0)),"Unknown account: "&amp;V289,IF(K289="","Select Paid From / Deposited To",IF(ISNA(MATCH(K289,coa_Name,0)),"Unknown account: "&amp;K289,IF(NOT(ISNUMBER(L289)),"Enter an amount",IF(L289=0,"Enter an amount",IF(ABS(W289)&gt;ABS(L289),"Tax is larger than the amount","")))))))))))))</f>
        <v/>
      </c>
      <c r="Y289" s="67">
        <f>IF(OR(T289=1,X289&lt;&gt;""),"",IF(AND(B289&lt;&gt;"",COUNTIF(tx_ID,B289)&gt;1),"Duplicate transaction ID",IF(AND(L289&lt;0,D289&lt;&gt;"Adjustment"),"Negative amount — check this entry",IF(AND(D289="Customer Payment",G289=""),"Add the customer",IF(AND(D289="Customer Payment",OR(J289="",COUNTIF(ar_No,J289&amp;"")=0)),"Invoice # in Reference not found on AR sheet",IF(AND(D289="Bill Payment",H289=""),"Add the vendor",IF(AND(D289="Bill Payment",OR(J289="",COUNTIFS(ap_No,J289&amp;"",ap_Party,H289&amp;"")=0)),"Bill # + vendor not found on AP sheet",IF(AND(ISNUMBER(M289),N(M289)&lt;&gt;0,W289=0),"Tax ignored (tax tracking off, or not allowed for this type)",IF(V289=K289&amp;"","Same account on both sides",IF(AND(ISNUMBER(StartDate),C289&lt;StartDate),"Date is before the accounting start date",IF(AND(D289&lt;&gt;"Adjustment",IFERROR(INDEX(coa_Pay,MATCH(K289&amp;"",coa_Name,0)),"")&lt;&gt;"Yes"),"Paid From / Deposited To is not a payment account","")))))))))))</f>
        <v/>
      </c>
      <c r="Z289" s="67">
        <f>IF(AND(T289=0,X289=""),1,0)</f>
        <v/>
      </c>
      <c r="AA289" s="68">
        <f>IF(Z289=1,IF(U289="In",L289,L289-W289),0)</f>
        <v/>
      </c>
      <c r="AB289" s="68">
        <f>IF(Z289=1,IF(U289="In",L289-W289,L289),0)</f>
        <v/>
      </c>
      <c r="AC289" s="68">
        <f>IF(AND(Z289=1,U289="Out"),W289,0)</f>
        <v/>
      </c>
      <c r="AD289" s="68">
        <f>IF(AND(Z289=1,U289="In"),W289,0)</f>
        <v/>
      </c>
    </row>
    <row r="290">
      <c r="B290" s="62" t="inlineStr">
        <is>
          <t>TX-0284</t>
        </is>
      </c>
      <c r="C290" s="63" t="n">
        <v>46244</v>
      </c>
      <c r="D290" s="62" t="inlineStr">
        <is>
          <t>Money Out</t>
        </is>
      </c>
      <c r="E290" s="62" t="inlineStr">
        <is>
          <t>Interest Expense</t>
        </is>
      </c>
      <c r="F290" s="62" t="inlineStr">
        <is>
          <t>Loan interest</t>
        </is>
      </c>
      <c r="G290" s="62" t="n"/>
      <c r="H290" s="62" t="n"/>
      <c r="I290" s="62" t="inlineStr">
        <is>
          <t>Bank Transfer</t>
        </is>
      </c>
      <c r="J290" s="62" t="inlineStr">
        <is>
          <t>LOAN</t>
        </is>
      </c>
      <c r="K290" s="62" t="inlineStr">
        <is>
          <t>Bank Account</t>
        </is>
      </c>
      <c r="L290" s="64" t="n">
        <v>1080</v>
      </c>
      <c r="M290" s="64" t="n"/>
      <c r="N290" s="62" t="n"/>
      <c r="O290" s="65">
        <f>IF(Z290=1,L290-W290,"")</f>
        <v/>
      </c>
      <c r="P290" s="66">
        <f>IF(V290="","",IFERROR(INDEX(coa_Type,MATCH(V290,coa_Name,0)),""))</f>
        <v/>
      </c>
      <c r="Q290" s="66">
        <f>IF(Z290=1,IF(U290="In",K290&amp;"",V290),"")</f>
        <v/>
      </c>
      <c r="R290" s="66">
        <f>IF(Z290=1,IF(U290="In",V290,K290&amp;""),"")</f>
        <v/>
      </c>
      <c r="S290" s="66">
        <f>IF(X290&lt;&gt;"","⛔ "&amp;X290&amp;" — not posted",IF(Y290&lt;&gt;"","⚠ "&amp;Y290,IF(Z290=1,"✓ OK","")))</f>
        <v/>
      </c>
      <c r="T290" s="67">
        <f>IF(AND(C290="",D290="",E290="",L290="",K290=""),1,0)</f>
        <v/>
      </c>
      <c r="U290" s="67">
        <f>IFERROR(INDEX(tt_Dir,MATCH(D290,tt_Type,0)),"")</f>
        <v/>
      </c>
      <c r="V290" s="67">
        <f>IF(D290="","",IFERROR(IF(INDEX(tt_Other,MATCH(D290,tt_Type,0))="",E290&amp;"",INDEX(tt_Other,MATCH(D290,tt_Type,0))),""))</f>
        <v/>
      </c>
      <c r="W290" s="68">
        <f>IF(OR(TaxOn&lt;&gt;"Yes",NOT(ISNUMBER(M290))),0,IF(IFERROR(INDEX(tt_Tax,MATCH(D290,tt_Type,0)),"No")="Yes",M290,0))</f>
        <v/>
      </c>
      <c r="X290" s="67">
        <f>IF(T290=1,"",IF(C290="","Missing transaction date",IF(NOT(ISNUMBER(C290)),"Invalid date",IF(OR(C290&lt;DATE(2000,1,1),C290&gt;DATE(2099,12,31)),"Invalid date",IF(D290="","Select a type",IF(U290="","Unknown type: "&amp;D290,IF(V290="","Select an account (Category)",IF(ISNA(MATCH(V290,coa_Name,0)),"Unknown account: "&amp;V290,IF(K290="","Select Paid From / Deposited To",IF(ISNA(MATCH(K290,coa_Name,0)),"Unknown account: "&amp;K290,IF(NOT(ISNUMBER(L290)),"Enter an amount",IF(L290=0,"Enter an amount",IF(ABS(W290)&gt;ABS(L290),"Tax is larger than the amount","")))))))))))))</f>
        <v/>
      </c>
      <c r="Y290" s="67">
        <f>IF(OR(T290=1,X290&lt;&gt;""),"",IF(AND(B290&lt;&gt;"",COUNTIF(tx_ID,B290)&gt;1),"Duplicate transaction ID",IF(AND(L290&lt;0,D290&lt;&gt;"Adjustment"),"Negative amount — check this entry",IF(AND(D290="Customer Payment",G290=""),"Add the customer",IF(AND(D290="Customer Payment",OR(J290="",COUNTIF(ar_No,J290&amp;"")=0)),"Invoice # in Reference not found on AR sheet",IF(AND(D290="Bill Payment",H290=""),"Add the vendor",IF(AND(D290="Bill Payment",OR(J290="",COUNTIFS(ap_No,J290&amp;"",ap_Party,H290&amp;"")=0)),"Bill # + vendor not found on AP sheet",IF(AND(ISNUMBER(M290),N(M290)&lt;&gt;0,W290=0),"Tax ignored (tax tracking off, or not allowed for this type)",IF(V290=K290&amp;"","Same account on both sides",IF(AND(ISNUMBER(StartDate),C290&lt;StartDate),"Date is before the accounting start date",IF(AND(D290&lt;&gt;"Adjustment",IFERROR(INDEX(coa_Pay,MATCH(K290&amp;"",coa_Name,0)),"")&lt;&gt;"Yes"),"Paid From / Deposited To is not a payment account","")))))))))))</f>
        <v/>
      </c>
      <c r="Z290" s="67">
        <f>IF(AND(T290=0,X290=""),1,0)</f>
        <v/>
      </c>
      <c r="AA290" s="68">
        <f>IF(Z290=1,IF(U290="In",L290,L290-W290),0)</f>
        <v/>
      </c>
      <c r="AB290" s="68">
        <f>IF(Z290=1,IF(U290="In",L290-W290,L290),0)</f>
        <v/>
      </c>
      <c r="AC290" s="68">
        <f>IF(AND(Z290=1,U290="Out"),W290,0)</f>
        <v/>
      </c>
      <c r="AD290" s="68">
        <f>IF(AND(Z290=1,U290="In"),W290,0)</f>
        <v/>
      </c>
    </row>
    <row r="291">
      <c r="B291" s="62" t="inlineStr">
        <is>
          <t>TX-0285</t>
        </is>
      </c>
      <c r="C291" s="63" t="n">
        <v>46245</v>
      </c>
      <c r="D291" s="62" t="inlineStr">
        <is>
          <t>Money In</t>
        </is>
      </c>
      <c r="E291" s="62" t="inlineStr">
        <is>
          <t>Product Sales</t>
        </is>
      </c>
      <c r="F291" s="62" t="inlineStr">
        <is>
          <t>Counter sales week 2</t>
        </is>
      </c>
      <c r="G291" s="62" t="n"/>
      <c r="H291" s="62" t="n"/>
      <c r="I291" s="62" t="inlineStr">
        <is>
          <t>Cash</t>
        </is>
      </c>
      <c r="J291" s="62" t="n"/>
      <c r="K291" s="62" t="inlineStr">
        <is>
          <t>Cash on Hand</t>
        </is>
      </c>
      <c r="L291" s="64" t="n">
        <v>53186.9</v>
      </c>
      <c r="M291" s="64" t="n">
        <v>5698.6</v>
      </c>
      <c r="N291" s="62" t="n"/>
      <c r="O291" s="65">
        <f>IF(Z291=1,L291-W291,"")</f>
        <v/>
      </c>
      <c r="P291" s="66">
        <f>IF(V291="","",IFERROR(INDEX(coa_Type,MATCH(V291,coa_Name,0)),""))</f>
        <v/>
      </c>
      <c r="Q291" s="66">
        <f>IF(Z291=1,IF(U291="In",K291&amp;"",V291),"")</f>
        <v/>
      </c>
      <c r="R291" s="66">
        <f>IF(Z291=1,IF(U291="In",V291,K291&amp;""),"")</f>
        <v/>
      </c>
      <c r="S291" s="66">
        <f>IF(X291&lt;&gt;"","⛔ "&amp;X291&amp;" — not posted",IF(Y291&lt;&gt;"","⚠ "&amp;Y291,IF(Z291=1,"✓ OK","")))</f>
        <v/>
      </c>
      <c r="T291" s="67">
        <f>IF(AND(C291="",D291="",E291="",L291="",K291=""),1,0)</f>
        <v/>
      </c>
      <c r="U291" s="67">
        <f>IFERROR(INDEX(tt_Dir,MATCH(D291,tt_Type,0)),"")</f>
        <v/>
      </c>
      <c r="V291" s="67">
        <f>IF(D291="","",IFERROR(IF(INDEX(tt_Other,MATCH(D291,tt_Type,0))="",E291&amp;"",INDEX(tt_Other,MATCH(D291,tt_Type,0))),""))</f>
        <v/>
      </c>
      <c r="W291" s="68">
        <f>IF(OR(TaxOn&lt;&gt;"Yes",NOT(ISNUMBER(M291))),0,IF(IFERROR(INDEX(tt_Tax,MATCH(D291,tt_Type,0)),"No")="Yes",M291,0))</f>
        <v/>
      </c>
      <c r="X291" s="67">
        <f>IF(T291=1,"",IF(C291="","Missing transaction date",IF(NOT(ISNUMBER(C291)),"Invalid date",IF(OR(C291&lt;DATE(2000,1,1),C291&gt;DATE(2099,12,31)),"Invalid date",IF(D291="","Select a type",IF(U291="","Unknown type: "&amp;D291,IF(V291="","Select an account (Category)",IF(ISNA(MATCH(V291,coa_Name,0)),"Unknown account: "&amp;V291,IF(K291="","Select Paid From / Deposited To",IF(ISNA(MATCH(K291,coa_Name,0)),"Unknown account: "&amp;K291,IF(NOT(ISNUMBER(L291)),"Enter an amount",IF(L291=0,"Enter an amount",IF(ABS(W291)&gt;ABS(L291),"Tax is larger than the amount","")))))))))))))</f>
        <v/>
      </c>
      <c r="Y291" s="67">
        <f>IF(OR(T291=1,X291&lt;&gt;""),"",IF(AND(B291&lt;&gt;"",COUNTIF(tx_ID,B291)&gt;1),"Duplicate transaction ID",IF(AND(L291&lt;0,D291&lt;&gt;"Adjustment"),"Negative amount — check this entry",IF(AND(D291="Customer Payment",G291=""),"Add the customer",IF(AND(D291="Customer Payment",OR(J291="",COUNTIF(ar_No,J291&amp;"")=0)),"Invoice # in Reference not found on AR sheet",IF(AND(D291="Bill Payment",H291=""),"Add the vendor",IF(AND(D291="Bill Payment",OR(J291="",COUNTIFS(ap_No,J291&amp;"",ap_Party,H291&amp;"")=0)),"Bill # + vendor not found on AP sheet",IF(AND(ISNUMBER(M291),N(M291)&lt;&gt;0,W291=0),"Tax ignored (tax tracking off, or not allowed for this type)",IF(V291=K291&amp;"","Same account on both sides",IF(AND(ISNUMBER(StartDate),C291&lt;StartDate),"Date is before the accounting start date",IF(AND(D291&lt;&gt;"Adjustment",IFERROR(INDEX(coa_Pay,MATCH(K291&amp;"",coa_Name,0)),"")&lt;&gt;"Yes"),"Paid From / Deposited To is not a payment account","")))))))))))</f>
        <v/>
      </c>
      <c r="Z291" s="67">
        <f>IF(AND(T291=0,X291=""),1,0)</f>
        <v/>
      </c>
      <c r="AA291" s="68">
        <f>IF(Z291=1,IF(U291="In",L291,L291-W291),0)</f>
        <v/>
      </c>
      <c r="AB291" s="68">
        <f>IF(Z291=1,IF(U291="In",L291-W291,L291),0)</f>
        <v/>
      </c>
      <c r="AC291" s="68">
        <f>IF(AND(Z291=1,U291="Out"),W291,0)</f>
        <v/>
      </c>
      <c r="AD291" s="68">
        <f>IF(AND(Z291=1,U291="In"),W291,0)</f>
        <v/>
      </c>
    </row>
    <row r="292">
      <c r="B292" s="62" t="inlineStr">
        <is>
          <t>TX-0286</t>
        </is>
      </c>
      <c r="C292" s="63" t="n">
        <v>46246</v>
      </c>
      <c r="D292" s="62" t="inlineStr">
        <is>
          <t>Money In</t>
        </is>
      </c>
      <c r="E292" s="62" t="inlineStr">
        <is>
          <t>Product Sales</t>
        </is>
      </c>
      <c r="F292" s="62" t="inlineStr">
        <is>
          <t>GCash / online orders week 2</t>
        </is>
      </c>
      <c r="G292" s="62" t="n"/>
      <c r="H292" s="62" t="n"/>
      <c r="I292" s="62" t="inlineStr">
        <is>
          <t>E-Wallet</t>
        </is>
      </c>
      <c r="J292" s="62" t="n"/>
      <c r="K292" s="62" t="inlineStr">
        <is>
          <t>E-Wallet / Online Payments</t>
        </is>
      </c>
      <c r="L292" s="64" t="n">
        <v>20929.64</v>
      </c>
      <c r="M292" s="64" t="n">
        <v>2242.46</v>
      </c>
      <c r="N292" s="62" t="n"/>
      <c r="O292" s="65">
        <f>IF(Z292=1,L292-W292,"")</f>
        <v/>
      </c>
      <c r="P292" s="66">
        <f>IF(V292="","",IFERROR(INDEX(coa_Type,MATCH(V292,coa_Name,0)),""))</f>
        <v/>
      </c>
      <c r="Q292" s="66">
        <f>IF(Z292=1,IF(U292="In",K292&amp;"",V292),"")</f>
        <v/>
      </c>
      <c r="R292" s="66">
        <f>IF(Z292=1,IF(U292="In",V292,K292&amp;""),"")</f>
        <v/>
      </c>
      <c r="S292" s="66">
        <f>IF(X292&lt;&gt;"","⛔ "&amp;X292&amp;" — not posted",IF(Y292&lt;&gt;"","⚠ "&amp;Y292,IF(Z292=1,"✓ OK","")))</f>
        <v/>
      </c>
      <c r="T292" s="67">
        <f>IF(AND(C292="",D292="",E292="",L292="",K292=""),1,0)</f>
        <v/>
      </c>
      <c r="U292" s="67">
        <f>IFERROR(INDEX(tt_Dir,MATCH(D292,tt_Type,0)),"")</f>
        <v/>
      </c>
      <c r="V292" s="67">
        <f>IF(D292="","",IFERROR(IF(INDEX(tt_Other,MATCH(D292,tt_Type,0))="",E292&amp;"",INDEX(tt_Other,MATCH(D292,tt_Type,0))),""))</f>
        <v/>
      </c>
      <c r="W292" s="68">
        <f>IF(OR(TaxOn&lt;&gt;"Yes",NOT(ISNUMBER(M292))),0,IF(IFERROR(INDEX(tt_Tax,MATCH(D292,tt_Type,0)),"No")="Yes",M292,0))</f>
        <v/>
      </c>
      <c r="X292" s="67">
        <f>IF(T292=1,"",IF(C292="","Missing transaction date",IF(NOT(ISNUMBER(C292)),"Invalid date",IF(OR(C292&lt;DATE(2000,1,1),C292&gt;DATE(2099,12,31)),"Invalid date",IF(D292="","Select a type",IF(U292="","Unknown type: "&amp;D292,IF(V292="","Select an account (Category)",IF(ISNA(MATCH(V292,coa_Name,0)),"Unknown account: "&amp;V292,IF(K292="","Select Paid From / Deposited To",IF(ISNA(MATCH(K292,coa_Name,0)),"Unknown account: "&amp;K292,IF(NOT(ISNUMBER(L292)),"Enter an amount",IF(L292=0,"Enter an amount",IF(ABS(W292)&gt;ABS(L292),"Tax is larger than the amount","")))))))))))))</f>
        <v/>
      </c>
      <c r="Y292" s="67">
        <f>IF(OR(T292=1,X292&lt;&gt;""),"",IF(AND(B292&lt;&gt;"",COUNTIF(tx_ID,B292)&gt;1),"Duplicate transaction ID",IF(AND(L292&lt;0,D292&lt;&gt;"Adjustment"),"Negative amount — check this entry",IF(AND(D292="Customer Payment",G292=""),"Add the customer",IF(AND(D292="Customer Payment",OR(J292="",COUNTIF(ar_No,J292&amp;"")=0)),"Invoice # in Reference not found on AR sheet",IF(AND(D292="Bill Payment",H292=""),"Add the vendor",IF(AND(D292="Bill Payment",OR(J292="",COUNTIFS(ap_No,J292&amp;"",ap_Party,H292&amp;"")=0)),"Bill # + vendor not found on AP sheet",IF(AND(ISNUMBER(M292),N(M292)&lt;&gt;0,W292=0),"Tax ignored (tax tracking off, or not allowed for this type)",IF(V292=K292&amp;"","Same account on both sides",IF(AND(ISNUMBER(StartDate),C292&lt;StartDate),"Date is before the accounting start date",IF(AND(D292&lt;&gt;"Adjustment",IFERROR(INDEX(coa_Pay,MATCH(K292&amp;"",coa_Name,0)),"")&lt;&gt;"Yes"),"Paid From / Deposited To is not a payment account","")))))))))))</f>
        <v/>
      </c>
      <c r="Z292" s="67">
        <f>IF(AND(T292=0,X292=""),1,0)</f>
        <v/>
      </c>
      <c r="AA292" s="68">
        <f>IF(Z292=1,IF(U292="In",L292,L292-W292),0)</f>
        <v/>
      </c>
      <c r="AB292" s="68">
        <f>IF(Z292=1,IF(U292="In",L292-W292,L292),0)</f>
        <v/>
      </c>
      <c r="AC292" s="68">
        <f>IF(AND(Z292=1,U292="Out"),W292,0)</f>
        <v/>
      </c>
      <c r="AD292" s="68">
        <f>IF(AND(Z292=1,U292="In"),W292,0)</f>
        <v/>
      </c>
    </row>
    <row r="293">
      <c r="B293" s="62" t="inlineStr">
        <is>
          <t>TX-0287</t>
        </is>
      </c>
      <c r="C293" s="63" t="n">
        <v>46246</v>
      </c>
      <c r="D293" s="62" t="inlineStr">
        <is>
          <t>Money Out</t>
        </is>
      </c>
      <c r="E293" s="62" t="inlineStr">
        <is>
          <t>Utilities</t>
        </is>
      </c>
      <c r="F293" s="62" t="inlineStr">
        <is>
          <t>Electricity &amp; water</t>
        </is>
      </c>
      <c r="G293" s="62" t="n"/>
      <c r="H293" s="62" t="n"/>
      <c r="I293" s="62" t="inlineStr">
        <is>
          <t>Bank Transfer</t>
        </is>
      </c>
      <c r="J293" s="62" t="n"/>
      <c r="K293" s="62" t="inlineStr">
        <is>
          <t>Bank Account</t>
        </is>
      </c>
      <c r="L293" s="64" t="n">
        <v>10795.27</v>
      </c>
      <c r="M293" s="64" t="n">
        <v>1156.64</v>
      </c>
      <c r="N293" s="62" t="n"/>
      <c r="O293" s="65">
        <f>IF(Z293=1,L293-W293,"")</f>
        <v/>
      </c>
      <c r="P293" s="66">
        <f>IF(V293="","",IFERROR(INDEX(coa_Type,MATCH(V293,coa_Name,0)),""))</f>
        <v/>
      </c>
      <c r="Q293" s="66">
        <f>IF(Z293=1,IF(U293="In",K293&amp;"",V293),"")</f>
        <v/>
      </c>
      <c r="R293" s="66">
        <f>IF(Z293=1,IF(U293="In",V293,K293&amp;""),"")</f>
        <v/>
      </c>
      <c r="S293" s="66">
        <f>IF(X293&lt;&gt;"","⛔ "&amp;X293&amp;" — not posted",IF(Y293&lt;&gt;"","⚠ "&amp;Y293,IF(Z293=1,"✓ OK","")))</f>
        <v/>
      </c>
      <c r="T293" s="67">
        <f>IF(AND(C293="",D293="",E293="",L293="",K293=""),1,0)</f>
        <v/>
      </c>
      <c r="U293" s="67">
        <f>IFERROR(INDEX(tt_Dir,MATCH(D293,tt_Type,0)),"")</f>
        <v/>
      </c>
      <c r="V293" s="67">
        <f>IF(D293="","",IFERROR(IF(INDEX(tt_Other,MATCH(D293,tt_Type,0))="",E293&amp;"",INDEX(tt_Other,MATCH(D293,tt_Type,0))),""))</f>
        <v/>
      </c>
      <c r="W293" s="68">
        <f>IF(OR(TaxOn&lt;&gt;"Yes",NOT(ISNUMBER(M293))),0,IF(IFERROR(INDEX(tt_Tax,MATCH(D293,tt_Type,0)),"No")="Yes",M293,0))</f>
        <v/>
      </c>
      <c r="X293" s="67">
        <f>IF(T293=1,"",IF(C293="","Missing transaction date",IF(NOT(ISNUMBER(C293)),"Invalid date",IF(OR(C293&lt;DATE(2000,1,1),C293&gt;DATE(2099,12,31)),"Invalid date",IF(D293="","Select a type",IF(U293="","Unknown type: "&amp;D293,IF(V293="","Select an account (Category)",IF(ISNA(MATCH(V293,coa_Name,0)),"Unknown account: "&amp;V293,IF(K293="","Select Paid From / Deposited To",IF(ISNA(MATCH(K293,coa_Name,0)),"Unknown account: "&amp;K293,IF(NOT(ISNUMBER(L293)),"Enter an amount",IF(L293=0,"Enter an amount",IF(ABS(W293)&gt;ABS(L293),"Tax is larger than the amount","")))))))))))))</f>
        <v/>
      </c>
      <c r="Y293" s="67">
        <f>IF(OR(T293=1,X293&lt;&gt;""),"",IF(AND(B293&lt;&gt;"",COUNTIF(tx_ID,B293)&gt;1),"Duplicate transaction ID",IF(AND(L293&lt;0,D293&lt;&gt;"Adjustment"),"Negative amount — check this entry",IF(AND(D293="Customer Payment",G293=""),"Add the customer",IF(AND(D293="Customer Payment",OR(J293="",COUNTIF(ar_No,J293&amp;"")=0)),"Invoice # in Reference not found on AR sheet",IF(AND(D293="Bill Payment",H293=""),"Add the vendor",IF(AND(D293="Bill Payment",OR(J293="",COUNTIFS(ap_No,J293&amp;"",ap_Party,H293&amp;"")=0)),"Bill # + vendor not found on AP sheet",IF(AND(ISNUMBER(M293),N(M293)&lt;&gt;0,W293=0),"Tax ignored (tax tracking off, or not allowed for this type)",IF(V293=K293&amp;"","Same account on both sides",IF(AND(ISNUMBER(StartDate),C293&lt;StartDate),"Date is before the accounting start date",IF(AND(D293&lt;&gt;"Adjustment",IFERROR(INDEX(coa_Pay,MATCH(K293&amp;"",coa_Name,0)),"")&lt;&gt;"Yes"),"Paid From / Deposited To is not a payment account","")))))))))))</f>
        <v/>
      </c>
      <c r="Z293" s="67">
        <f>IF(AND(T293=0,X293=""),1,0)</f>
        <v/>
      </c>
      <c r="AA293" s="68">
        <f>IF(Z293=1,IF(U293="In",L293,L293-W293),0)</f>
        <v/>
      </c>
      <c r="AB293" s="68">
        <f>IF(Z293=1,IF(U293="In",L293-W293,L293),0)</f>
        <v/>
      </c>
      <c r="AC293" s="68">
        <f>IF(AND(Z293=1,U293="Out"),W293,0)</f>
        <v/>
      </c>
      <c r="AD293" s="68">
        <f>IF(AND(Z293=1,U293="In"),W293,0)</f>
        <v/>
      </c>
    </row>
    <row r="294">
      <c r="B294" s="62" t="inlineStr">
        <is>
          <t>TX-0288</t>
        </is>
      </c>
      <c r="C294" s="63" t="n">
        <v>46247</v>
      </c>
      <c r="D294" s="62" t="inlineStr">
        <is>
          <t>Transfer</t>
        </is>
      </c>
      <c r="E294" s="62" t="inlineStr">
        <is>
          <t>Bank Account</t>
        </is>
      </c>
      <c r="F294" s="62" t="inlineStr">
        <is>
          <t>Cash deposit to bank</t>
        </is>
      </c>
      <c r="G294" s="62" t="n"/>
      <c r="H294" s="62" t="n"/>
      <c r="I294" s="62" t="inlineStr">
        <is>
          <t>Cash</t>
        </is>
      </c>
      <c r="J294" s="62" t="n"/>
      <c r="K294" s="62" t="inlineStr">
        <is>
          <t>Cash on Hand</t>
        </is>
      </c>
      <c r="L294" s="64" t="n">
        <v>45200</v>
      </c>
      <c r="M294" s="64" t="n"/>
      <c r="N294" s="62" t="n"/>
      <c r="O294" s="65">
        <f>IF(Z294=1,L294-W294,"")</f>
        <v/>
      </c>
      <c r="P294" s="66">
        <f>IF(V294="","",IFERROR(INDEX(coa_Type,MATCH(V294,coa_Name,0)),""))</f>
        <v/>
      </c>
      <c r="Q294" s="66">
        <f>IF(Z294=1,IF(U294="In",K294&amp;"",V294),"")</f>
        <v/>
      </c>
      <c r="R294" s="66">
        <f>IF(Z294=1,IF(U294="In",V294,K294&amp;""),"")</f>
        <v/>
      </c>
      <c r="S294" s="66">
        <f>IF(X294&lt;&gt;"","⛔ "&amp;X294&amp;" — not posted",IF(Y294&lt;&gt;"","⚠ "&amp;Y294,IF(Z294=1,"✓ OK","")))</f>
        <v/>
      </c>
      <c r="T294" s="67">
        <f>IF(AND(C294="",D294="",E294="",L294="",K294=""),1,0)</f>
        <v/>
      </c>
      <c r="U294" s="67">
        <f>IFERROR(INDEX(tt_Dir,MATCH(D294,tt_Type,0)),"")</f>
        <v/>
      </c>
      <c r="V294" s="67">
        <f>IF(D294="","",IFERROR(IF(INDEX(tt_Other,MATCH(D294,tt_Type,0))="",E294&amp;"",INDEX(tt_Other,MATCH(D294,tt_Type,0))),""))</f>
        <v/>
      </c>
      <c r="W294" s="68">
        <f>IF(OR(TaxOn&lt;&gt;"Yes",NOT(ISNUMBER(M294))),0,IF(IFERROR(INDEX(tt_Tax,MATCH(D294,tt_Type,0)),"No")="Yes",M294,0))</f>
        <v/>
      </c>
      <c r="X294" s="67">
        <f>IF(T294=1,"",IF(C294="","Missing transaction date",IF(NOT(ISNUMBER(C294)),"Invalid date",IF(OR(C294&lt;DATE(2000,1,1),C294&gt;DATE(2099,12,31)),"Invalid date",IF(D294="","Select a type",IF(U294="","Unknown type: "&amp;D294,IF(V294="","Select an account (Category)",IF(ISNA(MATCH(V294,coa_Name,0)),"Unknown account: "&amp;V294,IF(K294="","Select Paid From / Deposited To",IF(ISNA(MATCH(K294,coa_Name,0)),"Unknown account: "&amp;K294,IF(NOT(ISNUMBER(L294)),"Enter an amount",IF(L294=0,"Enter an amount",IF(ABS(W294)&gt;ABS(L294),"Tax is larger than the amount","")))))))))))))</f>
        <v/>
      </c>
      <c r="Y294" s="67">
        <f>IF(OR(T294=1,X294&lt;&gt;""),"",IF(AND(B294&lt;&gt;"",COUNTIF(tx_ID,B294)&gt;1),"Duplicate transaction ID",IF(AND(L294&lt;0,D294&lt;&gt;"Adjustment"),"Negative amount — check this entry",IF(AND(D294="Customer Payment",G294=""),"Add the customer",IF(AND(D294="Customer Payment",OR(J294="",COUNTIF(ar_No,J294&amp;"")=0)),"Invoice # in Reference not found on AR sheet",IF(AND(D294="Bill Payment",H294=""),"Add the vendor",IF(AND(D294="Bill Payment",OR(J294="",COUNTIFS(ap_No,J294&amp;"",ap_Party,H294&amp;"")=0)),"Bill # + vendor not found on AP sheet",IF(AND(ISNUMBER(M294),N(M294)&lt;&gt;0,W294=0),"Tax ignored (tax tracking off, or not allowed for this type)",IF(V294=K294&amp;"","Same account on both sides",IF(AND(ISNUMBER(StartDate),C294&lt;StartDate),"Date is before the accounting start date",IF(AND(D294&lt;&gt;"Adjustment",IFERROR(INDEX(coa_Pay,MATCH(K294&amp;"",coa_Name,0)),"")&lt;&gt;"Yes"),"Paid From / Deposited To is not a payment account","")))))))))))</f>
        <v/>
      </c>
      <c r="Z294" s="67">
        <f>IF(AND(T294=0,X294=""),1,0)</f>
        <v/>
      </c>
      <c r="AA294" s="68">
        <f>IF(Z294=1,IF(U294="In",L294,L294-W294),0)</f>
        <v/>
      </c>
      <c r="AB294" s="68">
        <f>IF(Z294=1,IF(U294="In",L294-W294,L294),0)</f>
        <v/>
      </c>
      <c r="AC294" s="68">
        <f>IF(AND(Z294=1,U294="Out"),W294,0)</f>
        <v/>
      </c>
      <c r="AD294" s="68">
        <f>IF(AND(Z294=1,U294="In"),W294,0)</f>
        <v/>
      </c>
    </row>
    <row r="295">
      <c r="B295" s="62" t="inlineStr">
        <is>
          <t>TX-0289</t>
        </is>
      </c>
      <c r="C295" s="63" t="n">
        <v>46249</v>
      </c>
      <c r="D295" s="62" t="inlineStr">
        <is>
          <t>Bill Payment</t>
        </is>
      </c>
      <c r="E295" s="62" t="n"/>
      <c r="F295" s="62" t="inlineStr">
        <is>
          <t>Supplier payment</t>
        </is>
      </c>
      <c r="G295" s="62" t="n"/>
      <c r="H295" s="62" t="inlineStr">
        <is>
          <t>Golden Grain Flour Mill</t>
        </is>
      </c>
      <c r="I295" s="62" t="inlineStr">
        <is>
          <t>Bank Transfer</t>
        </is>
      </c>
      <c r="J295" s="62" t="inlineStr">
        <is>
          <t>GO-072</t>
        </is>
      </c>
      <c r="K295" s="62" t="inlineStr">
        <is>
          <t>Bank Account</t>
        </is>
      </c>
      <c r="L295" s="64" t="n">
        <v>42203.51</v>
      </c>
      <c r="M295" s="64" t="n"/>
      <c r="N295" s="62" t="n"/>
      <c r="O295" s="65">
        <f>IF(Z295=1,L295-W295,"")</f>
        <v/>
      </c>
      <c r="P295" s="66">
        <f>IF(V295="","",IFERROR(INDEX(coa_Type,MATCH(V295,coa_Name,0)),""))</f>
        <v/>
      </c>
      <c r="Q295" s="66">
        <f>IF(Z295=1,IF(U295="In",K295&amp;"",V295),"")</f>
        <v/>
      </c>
      <c r="R295" s="66">
        <f>IF(Z295=1,IF(U295="In",V295,K295&amp;""),"")</f>
        <v/>
      </c>
      <c r="S295" s="66">
        <f>IF(X295&lt;&gt;"","⛔ "&amp;X295&amp;" — not posted",IF(Y295&lt;&gt;"","⚠ "&amp;Y295,IF(Z295=1,"✓ OK","")))</f>
        <v/>
      </c>
      <c r="T295" s="67">
        <f>IF(AND(C295="",D295="",E295="",L295="",K295=""),1,0)</f>
        <v/>
      </c>
      <c r="U295" s="67">
        <f>IFERROR(INDEX(tt_Dir,MATCH(D295,tt_Type,0)),"")</f>
        <v/>
      </c>
      <c r="V295" s="67">
        <f>IF(D295="","",IFERROR(IF(INDEX(tt_Other,MATCH(D295,tt_Type,0))="",E295&amp;"",INDEX(tt_Other,MATCH(D295,tt_Type,0))),""))</f>
        <v/>
      </c>
      <c r="W295" s="68">
        <f>IF(OR(TaxOn&lt;&gt;"Yes",NOT(ISNUMBER(M295))),0,IF(IFERROR(INDEX(tt_Tax,MATCH(D295,tt_Type,0)),"No")="Yes",M295,0))</f>
        <v/>
      </c>
      <c r="X295" s="67">
        <f>IF(T295=1,"",IF(C295="","Missing transaction date",IF(NOT(ISNUMBER(C295)),"Invalid date",IF(OR(C295&lt;DATE(2000,1,1),C295&gt;DATE(2099,12,31)),"Invalid date",IF(D295="","Select a type",IF(U295="","Unknown type: "&amp;D295,IF(V295="","Select an account (Category)",IF(ISNA(MATCH(V295,coa_Name,0)),"Unknown account: "&amp;V295,IF(K295="","Select Paid From / Deposited To",IF(ISNA(MATCH(K295,coa_Name,0)),"Unknown account: "&amp;K295,IF(NOT(ISNUMBER(L295)),"Enter an amount",IF(L295=0,"Enter an amount",IF(ABS(W295)&gt;ABS(L295),"Tax is larger than the amount","")))))))))))))</f>
        <v/>
      </c>
      <c r="Y295" s="67">
        <f>IF(OR(T295=1,X295&lt;&gt;""),"",IF(AND(B295&lt;&gt;"",COUNTIF(tx_ID,B295)&gt;1),"Duplicate transaction ID",IF(AND(L295&lt;0,D295&lt;&gt;"Adjustment"),"Negative amount — check this entry",IF(AND(D295="Customer Payment",G295=""),"Add the customer",IF(AND(D295="Customer Payment",OR(J295="",COUNTIF(ar_No,J295&amp;"")=0)),"Invoice # in Reference not found on AR sheet",IF(AND(D295="Bill Payment",H295=""),"Add the vendor",IF(AND(D295="Bill Payment",OR(J295="",COUNTIFS(ap_No,J295&amp;"",ap_Party,H295&amp;"")=0)),"Bill # + vendor not found on AP sheet",IF(AND(ISNUMBER(M295),N(M295)&lt;&gt;0,W295=0),"Tax ignored (tax tracking off, or not allowed for this type)",IF(V295=K295&amp;"","Same account on both sides",IF(AND(ISNUMBER(StartDate),C295&lt;StartDate),"Date is before the accounting start date",IF(AND(D295&lt;&gt;"Adjustment",IFERROR(INDEX(coa_Pay,MATCH(K295&amp;"",coa_Name,0)),"")&lt;&gt;"Yes"),"Paid From / Deposited To is not a payment account","")))))))))))</f>
        <v/>
      </c>
      <c r="Z295" s="67">
        <f>IF(AND(T295=0,X295=""),1,0)</f>
        <v/>
      </c>
      <c r="AA295" s="68">
        <f>IF(Z295=1,IF(U295="In",L295,L295-W295),0)</f>
        <v/>
      </c>
      <c r="AB295" s="68">
        <f>IF(Z295=1,IF(U295="In",L295-W295,L295),0)</f>
        <v/>
      </c>
      <c r="AC295" s="68">
        <f>IF(AND(Z295=1,U295="Out"),W295,0)</f>
        <v/>
      </c>
      <c r="AD295" s="68">
        <f>IF(AND(Z295=1,U295="In"),W295,0)</f>
        <v/>
      </c>
    </row>
    <row r="296">
      <c r="B296" s="62" t="inlineStr">
        <is>
          <t>TX-0290</t>
        </is>
      </c>
      <c r="C296" s="63" t="n">
        <v>46249</v>
      </c>
      <c r="D296" s="62" t="inlineStr">
        <is>
          <t>Money Out</t>
        </is>
      </c>
      <c r="E296" s="62" t="inlineStr">
        <is>
          <t>Internet &amp; Phone</t>
        </is>
      </c>
      <c r="F296" s="62" t="inlineStr">
        <is>
          <t>Fiber internet</t>
        </is>
      </c>
      <c r="G296" s="62" t="n"/>
      <c r="H296" s="62" t="n"/>
      <c r="I296" s="62" t="inlineStr">
        <is>
          <t>Bank Transfer</t>
        </is>
      </c>
      <c r="J296" s="62" t="n"/>
      <c r="K296" s="62" t="inlineStr">
        <is>
          <t>Bank Account</t>
        </is>
      </c>
      <c r="L296" s="64" t="n">
        <v>2499</v>
      </c>
      <c r="M296" s="64" t="n">
        <v>267.75</v>
      </c>
      <c r="N296" s="62" t="n"/>
      <c r="O296" s="65">
        <f>IF(Z296=1,L296-W296,"")</f>
        <v/>
      </c>
      <c r="P296" s="66">
        <f>IF(V296="","",IFERROR(INDEX(coa_Type,MATCH(V296,coa_Name,0)),""))</f>
        <v/>
      </c>
      <c r="Q296" s="66">
        <f>IF(Z296=1,IF(U296="In",K296&amp;"",V296),"")</f>
        <v/>
      </c>
      <c r="R296" s="66">
        <f>IF(Z296=1,IF(U296="In",V296,K296&amp;""),"")</f>
        <v/>
      </c>
      <c r="S296" s="66">
        <f>IF(X296&lt;&gt;"","⛔ "&amp;X296&amp;" — not posted",IF(Y296&lt;&gt;"","⚠ "&amp;Y296,IF(Z296=1,"✓ OK","")))</f>
        <v/>
      </c>
      <c r="T296" s="67">
        <f>IF(AND(C296="",D296="",E296="",L296="",K296=""),1,0)</f>
        <v/>
      </c>
      <c r="U296" s="67">
        <f>IFERROR(INDEX(tt_Dir,MATCH(D296,tt_Type,0)),"")</f>
        <v/>
      </c>
      <c r="V296" s="67">
        <f>IF(D296="","",IFERROR(IF(INDEX(tt_Other,MATCH(D296,tt_Type,0))="",E296&amp;"",INDEX(tt_Other,MATCH(D296,tt_Type,0))),""))</f>
        <v/>
      </c>
      <c r="W296" s="68">
        <f>IF(OR(TaxOn&lt;&gt;"Yes",NOT(ISNUMBER(M296))),0,IF(IFERROR(INDEX(tt_Tax,MATCH(D296,tt_Type,0)),"No")="Yes",M296,0))</f>
        <v/>
      </c>
      <c r="X296" s="67">
        <f>IF(T296=1,"",IF(C296="","Missing transaction date",IF(NOT(ISNUMBER(C296)),"Invalid date",IF(OR(C296&lt;DATE(2000,1,1),C296&gt;DATE(2099,12,31)),"Invalid date",IF(D296="","Select a type",IF(U296="","Unknown type: "&amp;D296,IF(V296="","Select an account (Category)",IF(ISNA(MATCH(V296,coa_Name,0)),"Unknown account: "&amp;V296,IF(K296="","Select Paid From / Deposited To",IF(ISNA(MATCH(K296,coa_Name,0)),"Unknown account: "&amp;K296,IF(NOT(ISNUMBER(L296)),"Enter an amount",IF(L296=0,"Enter an amount",IF(ABS(W296)&gt;ABS(L296),"Tax is larger than the amount","")))))))))))))</f>
        <v/>
      </c>
      <c r="Y296" s="67">
        <f>IF(OR(T296=1,X296&lt;&gt;""),"",IF(AND(B296&lt;&gt;"",COUNTIF(tx_ID,B296)&gt;1),"Duplicate transaction ID",IF(AND(L296&lt;0,D296&lt;&gt;"Adjustment"),"Negative amount — check this entry",IF(AND(D296="Customer Payment",G296=""),"Add the customer",IF(AND(D296="Customer Payment",OR(J296="",COUNTIF(ar_No,J296&amp;"")=0)),"Invoice # in Reference not found on AR sheet",IF(AND(D296="Bill Payment",H296=""),"Add the vendor",IF(AND(D296="Bill Payment",OR(J296="",COUNTIFS(ap_No,J296&amp;"",ap_Party,H296&amp;"")=0)),"Bill # + vendor not found on AP sheet",IF(AND(ISNUMBER(M296),N(M296)&lt;&gt;0,W296=0),"Tax ignored (tax tracking off, or not allowed for this type)",IF(V296=K296&amp;"","Same account on both sides",IF(AND(ISNUMBER(StartDate),C296&lt;StartDate),"Date is before the accounting start date",IF(AND(D296&lt;&gt;"Adjustment",IFERROR(INDEX(coa_Pay,MATCH(K296&amp;"",coa_Name,0)),"")&lt;&gt;"Yes"),"Paid From / Deposited To is not a payment account","")))))))))))</f>
        <v/>
      </c>
      <c r="Z296" s="67">
        <f>IF(AND(T296=0,X296=""),1,0)</f>
        <v/>
      </c>
      <c r="AA296" s="68">
        <f>IF(Z296=1,IF(U296="In",L296,L296-W296),0)</f>
        <v/>
      </c>
      <c r="AB296" s="68">
        <f>IF(Z296=1,IF(U296="In",L296-W296,L296),0)</f>
        <v/>
      </c>
      <c r="AC296" s="68">
        <f>IF(AND(Z296=1,U296="Out"),W296,0)</f>
        <v/>
      </c>
      <c r="AD296" s="68">
        <f>IF(AND(Z296=1,U296="In"),W296,0)</f>
        <v/>
      </c>
    </row>
    <row r="297">
      <c r="B297" s="62" t="inlineStr">
        <is>
          <t>TX-0291</t>
        </is>
      </c>
      <c r="C297" s="63" t="n">
        <v>46249</v>
      </c>
      <c r="D297" s="62" t="inlineStr">
        <is>
          <t>Money Out</t>
        </is>
      </c>
      <c r="E297" s="62" t="inlineStr">
        <is>
          <t>Direct Labor</t>
        </is>
      </c>
      <c r="F297" s="62" t="inlineStr">
        <is>
          <t>Bakers' salaries (1st-15th)</t>
        </is>
      </c>
      <c r="G297" s="62" t="n"/>
      <c r="H297" s="62" t="n"/>
      <c r="I297" s="62" t="inlineStr">
        <is>
          <t>Bank Transfer</t>
        </is>
      </c>
      <c r="J297" s="62" t="n"/>
      <c r="K297" s="62" t="inlineStr">
        <is>
          <t>Bank Account</t>
        </is>
      </c>
      <c r="L297" s="64" t="n">
        <v>38000</v>
      </c>
      <c r="M297" s="64" t="n"/>
      <c r="N297" s="62" t="n"/>
      <c r="O297" s="65">
        <f>IF(Z297=1,L297-W297,"")</f>
        <v/>
      </c>
      <c r="P297" s="66">
        <f>IF(V297="","",IFERROR(INDEX(coa_Type,MATCH(V297,coa_Name,0)),""))</f>
        <v/>
      </c>
      <c r="Q297" s="66">
        <f>IF(Z297=1,IF(U297="In",K297&amp;"",V297),"")</f>
        <v/>
      </c>
      <c r="R297" s="66">
        <f>IF(Z297=1,IF(U297="In",V297,K297&amp;""),"")</f>
        <v/>
      </c>
      <c r="S297" s="66">
        <f>IF(X297&lt;&gt;"","⛔ "&amp;X297&amp;" — not posted",IF(Y297&lt;&gt;"","⚠ "&amp;Y297,IF(Z297=1,"✓ OK","")))</f>
        <v/>
      </c>
      <c r="T297" s="67">
        <f>IF(AND(C297="",D297="",E297="",L297="",K297=""),1,0)</f>
        <v/>
      </c>
      <c r="U297" s="67">
        <f>IFERROR(INDEX(tt_Dir,MATCH(D297,tt_Type,0)),"")</f>
        <v/>
      </c>
      <c r="V297" s="67">
        <f>IF(D297="","",IFERROR(IF(INDEX(tt_Other,MATCH(D297,tt_Type,0))="",E297&amp;"",INDEX(tt_Other,MATCH(D297,tt_Type,0))),""))</f>
        <v/>
      </c>
      <c r="W297" s="68">
        <f>IF(OR(TaxOn&lt;&gt;"Yes",NOT(ISNUMBER(M297))),0,IF(IFERROR(INDEX(tt_Tax,MATCH(D297,tt_Type,0)),"No")="Yes",M297,0))</f>
        <v/>
      </c>
      <c r="X297" s="67">
        <f>IF(T297=1,"",IF(C297="","Missing transaction date",IF(NOT(ISNUMBER(C297)),"Invalid date",IF(OR(C297&lt;DATE(2000,1,1),C297&gt;DATE(2099,12,31)),"Invalid date",IF(D297="","Select a type",IF(U297="","Unknown type: "&amp;D297,IF(V297="","Select an account (Category)",IF(ISNA(MATCH(V297,coa_Name,0)),"Unknown account: "&amp;V297,IF(K297="","Select Paid From / Deposited To",IF(ISNA(MATCH(K297,coa_Name,0)),"Unknown account: "&amp;K297,IF(NOT(ISNUMBER(L297)),"Enter an amount",IF(L297=0,"Enter an amount",IF(ABS(W297)&gt;ABS(L297),"Tax is larger than the amount","")))))))))))))</f>
        <v/>
      </c>
      <c r="Y297" s="67">
        <f>IF(OR(T297=1,X297&lt;&gt;""),"",IF(AND(B297&lt;&gt;"",COUNTIF(tx_ID,B297)&gt;1),"Duplicate transaction ID",IF(AND(L297&lt;0,D297&lt;&gt;"Adjustment"),"Negative amount — check this entry",IF(AND(D297="Customer Payment",G297=""),"Add the customer",IF(AND(D297="Customer Payment",OR(J297="",COUNTIF(ar_No,J297&amp;"")=0)),"Invoice # in Reference not found on AR sheet",IF(AND(D297="Bill Payment",H297=""),"Add the vendor",IF(AND(D297="Bill Payment",OR(J297="",COUNTIFS(ap_No,J297&amp;"",ap_Party,H297&amp;"")=0)),"Bill # + vendor not found on AP sheet",IF(AND(ISNUMBER(M297),N(M297)&lt;&gt;0,W297=0),"Tax ignored (tax tracking off, or not allowed for this type)",IF(V297=K297&amp;"","Same account on both sides",IF(AND(ISNUMBER(StartDate),C297&lt;StartDate),"Date is before the accounting start date",IF(AND(D297&lt;&gt;"Adjustment",IFERROR(INDEX(coa_Pay,MATCH(K297&amp;"",coa_Name,0)),"")&lt;&gt;"Yes"),"Paid From / Deposited To is not a payment account","")))))))))))</f>
        <v/>
      </c>
      <c r="Z297" s="67">
        <f>IF(AND(T297=0,X297=""),1,0)</f>
        <v/>
      </c>
      <c r="AA297" s="68">
        <f>IF(Z297=1,IF(U297="In",L297,L297-W297),0)</f>
        <v/>
      </c>
      <c r="AB297" s="68">
        <f>IF(Z297=1,IF(U297="In",L297-W297,L297),0)</f>
        <v/>
      </c>
      <c r="AC297" s="68">
        <f>IF(AND(Z297=1,U297="Out"),W297,0)</f>
        <v/>
      </c>
      <c r="AD297" s="68">
        <f>IF(AND(Z297=1,U297="In"),W297,0)</f>
        <v/>
      </c>
    </row>
    <row r="298">
      <c r="B298" s="62" t="inlineStr">
        <is>
          <t>TX-0292</t>
        </is>
      </c>
      <c r="C298" s="63" t="n">
        <v>46249</v>
      </c>
      <c r="D298" s="62" t="inlineStr">
        <is>
          <t>Money Out</t>
        </is>
      </c>
      <c r="E298" s="62" t="inlineStr">
        <is>
          <t>Salaries &amp; Wages</t>
        </is>
      </c>
      <c r="F298" s="62" t="inlineStr">
        <is>
          <t>Cashier salary (1st-15th)</t>
        </is>
      </c>
      <c r="G298" s="62" t="n"/>
      <c r="H298" s="62" t="n"/>
      <c r="I298" s="62" t="inlineStr">
        <is>
          <t>Bank Transfer</t>
        </is>
      </c>
      <c r="J298" s="62" t="n"/>
      <c r="K298" s="62" t="inlineStr">
        <is>
          <t>Bank Account</t>
        </is>
      </c>
      <c r="L298" s="64" t="n">
        <v>9000</v>
      </c>
      <c r="M298" s="64" t="n"/>
      <c r="N298" s="62" t="n"/>
      <c r="O298" s="65">
        <f>IF(Z298=1,L298-W298,"")</f>
        <v/>
      </c>
      <c r="P298" s="66">
        <f>IF(V298="","",IFERROR(INDEX(coa_Type,MATCH(V298,coa_Name,0)),""))</f>
        <v/>
      </c>
      <c r="Q298" s="66">
        <f>IF(Z298=1,IF(U298="In",K298&amp;"",V298),"")</f>
        <v/>
      </c>
      <c r="R298" s="66">
        <f>IF(Z298=1,IF(U298="In",V298,K298&amp;""),"")</f>
        <v/>
      </c>
      <c r="S298" s="66">
        <f>IF(X298&lt;&gt;"","⛔ "&amp;X298&amp;" — not posted",IF(Y298&lt;&gt;"","⚠ "&amp;Y298,IF(Z298=1,"✓ OK","")))</f>
        <v/>
      </c>
      <c r="T298" s="67">
        <f>IF(AND(C298="",D298="",E298="",L298="",K298=""),1,0)</f>
        <v/>
      </c>
      <c r="U298" s="67">
        <f>IFERROR(INDEX(tt_Dir,MATCH(D298,tt_Type,0)),"")</f>
        <v/>
      </c>
      <c r="V298" s="67">
        <f>IF(D298="","",IFERROR(IF(INDEX(tt_Other,MATCH(D298,tt_Type,0))="",E298&amp;"",INDEX(tt_Other,MATCH(D298,tt_Type,0))),""))</f>
        <v/>
      </c>
      <c r="W298" s="68">
        <f>IF(OR(TaxOn&lt;&gt;"Yes",NOT(ISNUMBER(M298))),0,IF(IFERROR(INDEX(tt_Tax,MATCH(D298,tt_Type,0)),"No")="Yes",M298,0))</f>
        <v/>
      </c>
      <c r="X298" s="67">
        <f>IF(T298=1,"",IF(C298="","Missing transaction date",IF(NOT(ISNUMBER(C298)),"Invalid date",IF(OR(C298&lt;DATE(2000,1,1),C298&gt;DATE(2099,12,31)),"Invalid date",IF(D298="","Select a type",IF(U298="","Unknown type: "&amp;D298,IF(V298="","Select an account (Category)",IF(ISNA(MATCH(V298,coa_Name,0)),"Unknown account: "&amp;V298,IF(K298="","Select Paid From / Deposited To",IF(ISNA(MATCH(K298,coa_Name,0)),"Unknown account: "&amp;K298,IF(NOT(ISNUMBER(L298)),"Enter an amount",IF(L298=0,"Enter an amount",IF(ABS(W298)&gt;ABS(L298),"Tax is larger than the amount","")))))))))))))</f>
        <v/>
      </c>
      <c r="Y298" s="67">
        <f>IF(OR(T298=1,X298&lt;&gt;""),"",IF(AND(B298&lt;&gt;"",COUNTIF(tx_ID,B298)&gt;1),"Duplicate transaction ID",IF(AND(L298&lt;0,D298&lt;&gt;"Adjustment"),"Negative amount — check this entry",IF(AND(D298="Customer Payment",G298=""),"Add the customer",IF(AND(D298="Customer Payment",OR(J298="",COUNTIF(ar_No,J298&amp;"")=0)),"Invoice # in Reference not found on AR sheet",IF(AND(D298="Bill Payment",H298=""),"Add the vendor",IF(AND(D298="Bill Payment",OR(J298="",COUNTIFS(ap_No,J298&amp;"",ap_Party,H298&amp;"")=0)),"Bill # + vendor not found on AP sheet",IF(AND(ISNUMBER(M298),N(M298)&lt;&gt;0,W298=0),"Tax ignored (tax tracking off, or not allowed for this type)",IF(V298=K298&amp;"","Same account on both sides",IF(AND(ISNUMBER(StartDate),C298&lt;StartDate),"Date is before the accounting start date",IF(AND(D298&lt;&gt;"Adjustment",IFERROR(INDEX(coa_Pay,MATCH(K298&amp;"",coa_Name,0)),"")&lt;&gt;"Yes"),"Paid From / Deposited To is not a payment account","")))))))))))</f>
        <v/>
      </c>
      <c r="Z298" s="67">
        <f>IF(AND(T298=0,X298=""),1,0)</f>
        <v/>
      </c>
      <c r="AA298" s="68">
        <f>IF(Z298=1,IF(U298="In",L298,L298-W298),0)</f>
        <v/>
      </c>
      <c r="AB298" s="68">
        <f>IF(Z298=1,IF(U298="In",L298-W298,L298),0)</f>
        <v/>
      </c>
      <c r="AC298" s="68">
        <f>IF(AND(Z298=1,U298="Out"),W298,0)</f>
        <v/>
      </c>
      <c r="AD298" s="68">
        <f>IF(AND(Z298=1,U298="In"),W298,0)</f>
        <v/>
      </c>
    </row>
    <row r="299">
      <c r="B299" s="62" t="inlineStr">
        <is>
          <t>TX-0293</t>
        </is>
      </c>
      <c r="C299" s="63" t="n">
        <v>46252</v>
      </c>
      <c r="D299" s="62" t="inlineStr">
        <is>
          <t>Money In</t>
        </is>
      </c>
      <c r="E299" s="62" t="inlineStr">
        <is>
          <t>Product Sales</t>
        </is>
      </c>
      <c r="F299" s="62" t="inlineStr">
        <is>
          <t>Counter sales week 3</t>
        </is>
      </c>
      <c r="G299" s="62" t="n"/>
      <c r="H299" s="62" t="n"/>
      <c r="I299" s="62" t="inlineStr">
        <is>
          <t>Cash</t>
        </is>
      </c>
      <c r="J299" s="62" t="n"/>
      <c r="K299" s="62" t="inlineStr">
        <is>
          <t>Cash on Hand</t>
        </is>
      </c>
      <c r="L299" s="64" t="n">
        <v>52180.26</v>
      </c>
      <c r="M299" s="64" t="n">
        <v>5590.74</v>
      </c>
      <c r="N299" s="62" t="n"/>
      <c r="O299" s="65">
        <f>IF(Z299=1,L299-W299,"")</f>
        <v/>
      </c>
      <c r="P299" s="66">
        <f>IF(V299="","",IFERROR(INDEX(coa_Type,MATCH(V299,coa_Name,0)),""))</f>
        <v/>
      </c>
      <c r="Q299" s="66">
        <f>IF(Z299=1,IF(U299="In",K299&amp;"",V299),"")</f>
        <v/>
      </c>
      <c r="R299" s="66">
        <f>IF(Z299=1,IF(U299="In",V299,K299&amp;""),"")</f>
        <v/>
      </c>
      <c r="S299" s="66">
        <f>IF(X299&lt;&gt;"","⛔ "&amp;X299&amp;" — not posted",IF(Y299&lt;&gt;"","⚠ "&amp;Y299,IF(Z299=1,"✓ OK","")))</f>
        <v/>
      </c>
      <c r="T299" s="67">
        <f>IF(AND(C299="",D299="",E299="",L299="",K299=""),1,0)</f>
        <v/>
      </c>
      <c r="U299" s="67">
        <f>IFERROR(INDEX(tt_Dir,MATCH(D299,tt_Type,0)),"")</f>
        <v/>
      </c>
      <c r="V299" s="67">
        <f>IF(D299="","",IFERROR(IF(INDEX(tt_Other,MATCH(D299,tt_Type,0))="",E299&amp;"",INDEX(tt_Other,MATCH(D299,tt_Type,0))),""))</f>
        <v/>
      </c>
      <c r="W299" s="68">
        <f>IF(OR(TaxOn&lt;&gt;"Yes",NOT(ISNUMBER(M299))),0,IF(IFERROR(INDEX(tt_Tax,MATCH(D299,tt_Type,0)),"No")="Yes",M299,0))</f>
        <v/>
      </c>
      <c r="X299" s="67">
        <f>IF(T299=1,"",IF(C299="","Missing transaction date",IF(NOT(ISNUMBER(C299)),"Invalid date",IF(OR(C299&lt;DATE(2000,1,1),C299&gt;DATE(2099,12,31)),"Invalid date",IF(D299="","Select a type",IF(U299="","Unknown type: "&amp;D299,IF(V299="","Select an account (Category)",IF(ISNA(MATCH(V299,coa_Name,0)),"Unknown account: "&amp;V299,IF(K299="","Select Paid From / Deposited To",IF(ISNA(MATCH(K299,coa_Name,0)),"Unknown account: "&amp;K299,IF(NOT(ISNUMBER(L299)),"Enter an amount",IF(L299=0,"Enter an amount",IF(ABS(W299)&gt;ABS(L299),"Tax is larger than the amount","")))))))))))))</f>
        <v/>
      </c>
      <c r="Y299" s="67">
        <f>IF(OR(T299=1,X299&lt;&gt;""),"",IF(AND(B299&lt;&gt;"",COUNTIF(tx_ID,B299)&gt;1),"Duplicate transaction ID",IF(AND(L299&lt;0,D299&lt;&gt;"Adjustment"),"Negative amount — check this entry",IF(AND(D299="Customer Payment",G299=""),"Add the customer",IF(AND(D299="Customer Payment",OR(J299="",COUNTIF(ar_No,J299&amp;"")=0)),"Invoice # in Reference not found on AR sheet",IF(AND(D299="Bill Payment",H299=""),"Add the vendor",IF(AND(D299="Bill Payment",OR(J299="",COUNTIFS(ap_No,J299&amp;"",ap_Party,H299&amp;"")=0)),"Bill # + vendor not found on AP sheet",IF(AND(ISNUMBER(M299),N(M299)&lt;&gt;0,W299=0),"Tax ignored (tax tracking off, or not allowed for this type)",IF(V299=K299&amp;"","Same account on both sides",IF(AND(ISNUMBER(StartDate),C299&lt;StartDate),"Date is before the accounting start date",IF(AND(D299&lt;&gt;"Adjustment",IFERROR(INDEX(coa_Pay,MATCH(K299&amp;"",coa_Name,0)),"")&lt;&gt;"Yes"),"Paid From / Deposited To is not a payment account","")))))))))))</f>
        <v/>
      </c>
      <c r="Z299" s="67">
        <f>IF(AND(T299=0,X299=""),1,0)</f>
        <v/>
      </c>
      <c r="AA299" s="68">
        <f>IF(Z299=1,IF(U299="In",L299,L299-W299),0)</f>
        <v/>
      </c>
      <c r="AB299" s="68">
        <f>IF(Z299=1,IF(U299="In",L299-W299,L299),0)</f>
        <v/>
      </c>
      <c r="AC299" s="68">
        <f>IF(AND(Z299=1,U299="Out"),W299,0)</f>
        <v/>
      </c>
      <c r="AD299" s="68">
        <f>IF(AND(Z299=1,U299="In"),W299,0)</f>
        <v/>
      </c>
    </row>
    <row r="300">
      <c r="B300" s="62" t="inlineStr">
        <is>
          <t>TX-0294</t>
        </is>
      </c>
      <c r="C300" s="63" t="n">
        <v>46252</v>
      </c>
      <c r="D300" s="62" t="inlineStr">
        <is>
          <t>Bill Payment</t>
        </is>
      </c>
      <c r="E300" s="62" t="n"/>
      <c r="F300" s="62" t="inlineStr">
        <is>
          <t>Supplier payment</t>
        </is>
      </c>
      <c r="G300" s="62" t="n"/>
      <c r="H300" s="62" t="inlineStr">
        <is>
          <t>Fresh Dairy Co.</t>
        </is>
      </c>
      <c r="I300" s="62" t="inlineStr">
        <is>
          <t>Bank Transfer</t>
        </is>
      </c>
      <c r="J300" s="62" t="inlineStr">
        <is>
          <t>FR-081</t>
        </is>
      </c>
      <c r="K300" s="62" t="inlineStr">
        <is>
          <t>Bank Account</t>
        </is>
      </c>
      <c r="L300" s="64" t="n">
        <v>17628.93</v>
      </c>
      <c r="M300" s="64" t="n"/>
      <c r="N300" s="62" t="n"/>
      <c r="O300" s="65">
        <f>IF(Z300=1,L300-W300,"")</f>
        <v/>
      </c>
      <c r="P300" s="66">
        <f>IF(V300="","",IFERROR(INDEX(coa_Type,MATCH(V300,coa_Name,0)),""))</f>
        <v/>
      </c>
      <c r="Q300" s="66">
        <f>IF(Z300=1,IF(U300="In",K300&amp;"",V300),"")</f>
        <v/>
      </c>
      <c r="R300" s="66">
        <f>IF(Z300=1,IF(U300="In",V300,K300&amp;""),"")</f>
        <v/>
      </c>
      <c r="S300" s="66">
        <f>IF(X300&lt;&gt;"","⛔ "&amp;X300&amp;" — not posted",IF(Y300&lt;&gt;"","⚠ "&amp;Y300,IF(Z300=1,"✓ OK","")))</f>
        <v/>
      </c>
      <c r="T300" s="67">
        <f>IF(AND(C300="",D300="",E300="",L300="",K300=""),1,0)</f>
        <v/>
      </c>
      <c r="U300" s="67">
        <f>IFERROR(INDEX(tt_Dir,MATCH(D300,tt_Type,0)),"")</f>
        <v/>
      </c>
      <c r="V300" s="67">
        <f>IF(D300="","",IFERROR(IF(INDEX(tt_Other,MATCH(D300,tt_Type,0))="",E300&amp;"",INDEX(tt_Other,MATCH(D300,tt_Type,0))),""))</f>
        <v/>
      </c>
      <c r="W300" s="68">
        <f>IF(OR(TaxOn&lt;&gt;"Yes",NOT(ISNUMBER(M300))),0,IF(IFERROR(INDEX(tt_Tax,MATCH(D300,tt_Type,0)),"No")="Yes",M300,0))</f>
        <v/>
      </c>
      <c r="X300" s="67">
        <f>IF(T300=1,"",IF(C300="","Missing transaction date",IF(NOT(ISNUMBER(C300)),"Invalid date",IF(OR(C300&lt;DATE(2000,1,1),C300&gt;DATE(2099,12,31)),"Invalid date",IF(D300="","Select a type",IF(U300="","Unknown type: "&amp;D300,IF(V300="","Select an account (Category)",IF(ISNA(MATCH(V300,coa_Name,0)),"Unknown account: "&amp;V300,IF(K300="","Select Paid From / Deposited To",IF(ISNA(MATCH(K300,coa_Name,0)),"Unknown account: "&amp;K300,IF(NOT(ISNUMBER(L300)),"Enter an amount",IF(L300=0,"Enter an amount",IF(ABS(W300)&gt;ABS(L300),"Tax is larger than the amount","")))))))))))))</f>
        <v/>
      </c>
      <c r="Y300" s="67">
        <f>IF(OR(T300=1,X300&lt;&gt;""),"",IF(AND(B300&lt;&gt;"",COUNTIF(tx_ID,B300)&gt;1),"Duplicate transaction ID",IF(AND(L300&lt;0,D300&lt;&gt;"Adjustment"),"Negative amount — check this entry",IF(AND(D300="Customer Payment",G300=""),"Add the customer",IF(AND(D300="Customer Payment",OR(J300="",COUNTIF(ar_No,J300&amp;"")=0)),"Invoice # in Reference not found on AR sheet",IF(AND(D300="Bill Payment",H300=""),"Add the vendor",IF(AND(D300="Bill Payment",OR(J300="",COUNTIFS(ap_No,J300&amp;"",ap_Party,H300&amp;"")=0)),"Bill # + vendor not found on AP sheet",IF(AND(ISNUMBER(M300),N(M300)&lt;&gt;0,W300=0),"Tax ignored (tax tracking off, or not allowed for this type)",IF(V300=K300&amp;"","Same account on both sides",IF(AND(ISNUMBER(StartDate),C300&lt;StartDate),"Date is before the accounting start date",IF(AND(D300&lt;&gt;"Adjustment",IFERROR(INDEX(coa_Pay,MATCH(K300&amp;"",coa_Name,0)),"")&lt;&gt;"Yes"),"Paid From / Deposited To is not a payment account","")))))))))))</f>
        <v/>
      </c>
      <c r="Z300" s="67">
        <f>IF(AND(T300=0,X300=""),1,0)</f>
        <v/>
      </c>
      <c r="AA300" s="68">
        <f>IF(Z300=1,IF(U300="In",L300,L300-W300),0)</f>
        <v/>
      </c>
      <c r="AB300" s="68">
        <f>IF(Z300=1,IF(U300="In",L300-W300,L300),0)</f>
        <v/>
      </c>
      <c r="AC300" s="68">
        <f>IF(AND(Z300=1,U300="Out"),W300,0)</f>
        <v/>
      </c>
      <c r="AD300" s="68">
        <f>IF(AND(Z300=1,U300="In"),W300,0)</f>
        <v/>
      </c>
    </row>
    <row r="301">
      <c r="B301" s="62" t="inlineStr">
        <is>
          <t>TX-0295</t>
        </is>
      </c>
      <c r="C301" s="63" t="n">
        <v>46253</v>
      </c>
      <c r="D301" s="62" t="inlineStr">
        <is>
          <t>Money In</t>
        </is>
      </c>
      <c r="E301" s="62" t="inlineStr">
        <is>
          <t>Product Sales</t>
        </is>
      </c>
      <c r="F301" s="62" t="inlineStr">
        <is>
          <t>GCash / online orders week 3</t>
        </is>
      </c>
      <c r="G301" s="62" t="n"/>
      <c r="H301" s="62" t="n"/>
      <c r="I301" s="62" t="inlineStr">
        <is>
          <t>E-Wallet</t>
        </is>
      </c>
      <c r="J301" s="62" t="n"/>
      <c r="K301" s="62" t="inlineStr">
        <is>
          <t>E-Wallet / Online Payments</t>
        </is>
      </c>
      <c r="L301" s="64" t="n">
        <v>15266.33</v>
      </c>
      <c r="M301" s="64" t="n">
        <v>1635.68</v>
      </c>
      <c r="N301" s="62" t="n"/>
      <c r="O301" s="65">
        <f>IF(Z301=1,L301-W301,"")</f>
        <v/>
      </c>
      <c r="P301" s="66">
        <f>IF(V301="","",IFERROR(INDEX(coa_Type,MATCH(V301,coa_Name,0)),""))</f>
        <v/>
      </c>
      <c r="Q301" s="66">
        <f>IF(Z301=1,IF(U301="In",K301&amp;"",V301),"")</f>
        <v/>
      </c>
      <c r="R301" s="66">
        <f>IF(Z301=1,IF(U301="In",V301,K301&amp;""),"")</f>
        <v/>
      </c>
      <c r="S301" s="66">
        <f>IF(X301&lt;&gt;"","⛔ "&amp;X301&amp;" — not posted",IF(Y301&lt;&gt;"","⚠ "&amp;Y301,IF(Z301=1,"✓ OK","")))</f>
        <v/>
      </c>
      <c r="T301" s="67">
        <f>IF(AND(C301="",D301="",E301="",L301="",K301=""),1,0)</f>
        <v/>
      </c>
      <c r="U301" s="67">
        <f>IFERROR(INDEX(tt_Dir,MATCH(D301,tt_Type,0)),"")</f>
        <v/>
      </c>
      <c r="V301" s="67">
        <f>IF(D301="","",IFERROR(IF(INDEX(tt_Other,MATCH(D301,tt_Type,0))="",E301&amp;"",INDEX(tt_Other,MATCH(D301,tt_Type,0))),""))</f>
        <v/>
      </c>
      <c r="W301" s="68">
        <f>IF(OR(TaxOn&lt;&gt;"Yes",NOT(ISNUMBER(M301))),0,IF(IFERROR(INDEX(tt_Tax,MATCH(D301,tt_Type,0)),"No")="Yes",M301,0))</f>
        <v/>
      </c>
      <c r="X301" s="67">
        <f>IF(T301=1,"",IF(C301="","Missing transaction date",IF(NOT(ISNUMBER(C301)),"Invalid date",IF(OR(C301&lt;DATE(2000,1,1),C301&gt;DATE(2099,12,31)),"Invalid date",IF(D301="","Select a type",IF(U301="","Unknown type: "&amp;D301,IF(V301="","Select an account (Category)",IF(ISNA(MATCH(V301,coa_Name,0)),"Unknown account: "&amp;V301,IF(K301="","Select Paid From / Deposited To",IF(ISNA(MATCH(K301,coa_Name,0)),"Unknown account: "&amp;K301,IF(NOT(ISNUMBER(L301)),"Enter an amount",IF(L301=0,"Enter an amount",IF(ABS(W301)&gt;ABS(L301),"Tax is larger than the amount","")))))))))))))</f>
        <v/>
      </c>
      <c r="Y301" s="67">
        <f>IF(OR(T301=1,X301&lt;&gt;""),"",IF(AND(B301&lt;&gt;"",COUNTIF(tx_ID,B301)&gt;1),"Duplicate transaction ID",IF(AND(L301&lt;0,D301&lt;&gt;"Adjustment"),"Negative amount — check this entry",IF(AND(D301="Customer Payment",G301=""),"Add the customer",IF(AND(D301="Customer Payment",OR(J301="",COUNTIF(ar_No,J301&amp;"")=0)),"Invoice # in Reference not found on AR sheet",IF(AND(D301="Bill Payment",H301=""),"Add the vendor",IF(AND(D301="Bill Payment",OR(J301="",COUNTIFS(ap_No,J301&amp;"",ap_Party,H301&amp;"")=0)),"Bill # + vendor not found on AP sheet",IF(AND(ISNUMBER(M301),N(M301)&lt;&gt;0,W301=0),"Tax ignored (tax tracking off, or not allowed for this type)",IF(V301=K301&amp;"","Same account on both sides",IF(AND(ISNUMBER(StartDate),C301&lt;StartDate),"Date is before the accounting start date",IF(AND(D301&lt;&gt;"Adjustment",IFERROR(INDEX(coa_Pay,MATCH(K301&amp;"",coa_Name,0)),"")&lt;&gt;"Yes"),"Paid From / Deposited To is not a payment account","")))))))))))</f>
        <v/>
      </c>
      <c r="Z301" s="67">
        <f>IF(AND(T301=0,X301=""),1,0)</f>
        <v/>
      </c>
      <c r="AA301" s="68">
        <f>IF(Z301=1,IF(U301="In",L301,L301-W301),0)</f>
        <v/>
      </c>
      <c r="AB301" s="68">
        <f>IF(Z301=1,IF(U301="In",L301-W301,L301),0)</f>
        <v/>
      </c>
      <c r="AC301" s="68">
        <f>IF(AND(Z301=1,U301="Out"),W301,0)</f>
        <v/>
      </c>
      <c r="AD301" s="68">
        <f>IF(AND(Z301=1,U301="In"),W301,0)</f>
        <v/>
      </c>
    </row>
    <row r="302">
      <c r="B302" s="62" t="inlineStr">
        <is>
          <t>TX-0296</t>
        </is>
      </c>
      <c r="C302" s="63" t="n">
        <v>46254</v>
      </c>
      <c r="D302" s="62" t="inlineStr">
        <is>
          <t>Transfer</t>
        </is>
      </c>
      <c r="E302" s="62" t="inlineStr">
        <is>
          <t>Bank Account</t>
        </is>
      </c>
      <c r="F302" s="62" t="inlineStr">
        <is>
          <t>Cash deposit to bank</t>
        </is>
      </c>
      <c r="G302" s="62" t="n"/>
      <c r="H302" s="62" t="n"/>
      <c r="I302" s="62" t="inlineStr">
        <is>
          <t>Cash</t>
        </is>
      </c>
      <c r="J302" s="62" t="n"/>
      <c r="K302" s="62" t="inlineStr">
        <is>
          <t>Cash on Hand</t>
        </is>
      </c>
      <c r="L302" s="64" t="n">
        <v>44400</v>
      </c>
      <c r="M302" s="64" t="n"/>
      <c r="N302" s="62" t="n"/>
      <c r="O302" s="65">
        <f>IF(Z302=1,L302-W302,"")</f>
        <v/>
      </c>
      <c r="P302" s="66">
        <f>IF(V302="","",IFERROR(INDEX(coa_Type,MATCH(V302,coa_Name,0)),""))</f>
        <v/>
      </c>
      <c r="Q302" s="66">
        <f>IF(Z302=1,IF(U302="In",K302&amp;"",V302),"")</f>
        <v/>
      </c>
      <c r="R302" s="66">
        <f>IF(Z302=1,IF(U302="In",V302,K302&amp;""),"")</f>
        <v/>
      </c>
      <c r="S302" s="66">
        <f>IF(X302&lt;&gt;"","⛔ "&amp;X302&amp;" — not posted",IF(Y302&lt;&gt;"","⚠ "&amp;Y302,IF(Z302=1,"✓ OK","")))</f>
        <v/>
      </c>
      <c r="T302" s="67">
        <f>IF(AND(C302="",D302="",E302="",L302="",K302=""),1,0)</f>
        <v/>
      </c>
      <c r="U302" s="67">
        <f>IFERROR(INDEX(tt_Dir,MATCH(D302,tt_Type,0)),"")</f>
        <v/>
      </c>
      <c r="V302" s="67">
        <f>IF(D302="","",IFERROR(IF(INDEX(tt_Other,MATCH(D302,tt_Type,0))="",E302&amp;"",INDEX(tt_Other,MATCH(D302,tt_Type,0))),""))</f>
        <v/>
      </c>
      <c r="W302" s="68">
        <f>IF(OR(TaxOn&lt;&gt;"Yes",NOT(ISNUMBER(M302))),0,IF(IFERROR(INDEX(tt_Tax,MATCH(D302,tt_Type,0)),"No")="Yes",M302,0))</f>
        <v/>
      </c>
      <c r="X302" s="67">
        <f>IF(T302=1,"",IF(C302="","Missing transaction date",IF(NOT(ISNUMBER(C302)),"Invalid date",IF(OR(C302&lt;DATE(2000,1,1),C302&gt;DATE(2099,12,31)),"Invalid date",IF(D302="","Select a type",IF(U302="","Unknown type: "&amp;D302,IF(V302="","Select an account (Category)",IF(ISNA(MATCH(V302,coa_Name,0)),"Unknown account: "&amp;V302,IF(K302="","Select Paid From / Deposited To",IF(ISNA(MATCH(K302,coa_Name,0)),"Unknown account: "&amp;K302,IF(NOT(ISNUMBER(L302)),"Enter an amount",IF(L302=0,"Enter an amount",IF(ABS(W302)&gt;ABS(L302),"Tax is larger than the amount","")))))))))))))</f>
        <v/>
      </c>
      <c r="Y302" s="67">
        <f>IF(OR(T302=1,X302&lt;&gt;""),"",IF(AND(B302&lt;&gt;"",COUNTIF(tx_ID,B302)&gt;1),"Duplicate transaction ID",IF(AND(L302&lt;0,D302&lt;&gt;"Adjustment"),"Negative amount — check this entry",IF(AND(D302="Customer Payment",G302=""),"Add the customer",IF(AND(D302="Customer Payment",OR(J302="",COUNTIF(ar_No,J302&amp;"")=0)),"Invoice # in Reference not found on AR sheet",IF(AND(D302="Bill Payment",H302=""),"Add the vendor",IF(AND(D302="Bill Payment",OR(J302="",COUNTIFS(ap_No,J302&amp;"",ap_Party,H302&amp;"")=0)),"Bill # + vendor not found on AP sheet",IF(AND(ISNUMBER(M302),N(M302)&lt;&gt;0,W302=0),"Tax ignored (tax tracking off, or not allowed for this type)",IF(V302=K302&amp;"","Same account on both sides",IF(AND(ISNUMBER(StartDate),C302&lt;StartDate),"Date is before the accounting start date",IF(AND(D302&lt;&gt;"Adjustment",IFERROR(INDEX(coa_Pay,MATCH(K302&amp;"",coa_Name,0)),"")&lt;&gt;"Yes"),"Paid From / Deposited To is not a payment account","")))))))))))</f>
        <v/>
      </c>
      <c r="Z302" s="67">
        <f>IF(AND(T302=0,X302=""),1,0)</f>
        <v/>
      </c>
      <c r="AA302" s="68">
        <f>IF(Z302=1,IF(U302="In",L302,L302-W302),0)</f>
        <v/>
      </c>
      <c r="AB302" s="68">
        <f>IF(Z302=1,IF(U302="In",L302-W302,L302),0)</f>
        <v/>
      </c>
      <c r="AC302" s="68">
        <f>IF(AND(Z302=1,U302="Out"),W302,0)</f>
        <v/>
      </c>
      <c r="AD302" s="68">
        <f>IF(AND(Z302=1,U302="In"),W302,0)</f>
        <v/>
      </c>
    </row>
    <row r="303">
      <c r="B303" s="62" t="inlineStr">
        <is>
          <t>TX-0297</t>
        </is>
      </c>
      <c r="C303" s="63" t="n">
        <v>46254</v>
      </c>
      <c r="D303" s="62" t="inlineStr">
        <is>
          <t>Money Out</t>
        </is>
      </c>
      <c r="E303" s="62" t="inlineStr">
        <is>
          <t>Transportation &amp; Delivery</t>
        </is>
      </c>
      <c r="F303" s="62" t="inlineStr">
        <is>
          <t>Delivery fuel</t>
        </is>
      </c>
      <c r="G303" s="62" t="n"/>
      <c r="H303" s="62" t="n"/>
      <c r="I303" s="62" t="inlineStr">
        <is>
          <t>Cash</t>
        </is>
      </c>
      <c r="J303" s="62" t="n"/>
      <c r="K303" s="62" t="inlineStr">
        <is>
          <t>Cash on Hand</t>
        </is>
      </c>
      <c r="L303" s="64" t="n">
        <v>3502.8</v>
      </c>
      <c r="M303" s="64" t="n">
        <v>375.3</v>
      </c>
      <c r="N303" s="62" t="n"/>
      <c r="O303" s="65">
        <f>IF(Z303=1,L303-W303,"")</f>
        <v/>
      </c>
      <c r="P303" s="66">
        <f>IF(V303="","",IFERROR(INDEX(coa_Type,MATCH(V303,coa_Name,0)),""))</f>
        <v/>
      </c>
      <c r="Q303" s="66">
        <f>IF(Z303=1,IF(U303="In",K303&amp;"",V303),"")</f>
        <v/>
      </c>
      <c r="R303" s="66">
        <f>IF(Z303=1,IF(U303="In",V303,K303&amp;""),"")</f>
        <v/>
      </c>
      <c r="S303" s="66">
        <f>IF(X303&lt;&gt;"","⛔ "&amp;X303&amp;" — not posted",IF(Y303&lt;&gt;"","⚠ "&amp;Y303,IF(Z303=1,"✓ OK","")))</f>
        <v/>
      </c>
      <c r="T303" s="67">
        <f>IF(AND(C303="",D303="",E303="",L303="",K303=""),1,0)</f>
        <v/>
      </c>
      <c r="U303" s="67">
        <f>IFERROR(INDEX(tt_Dir,MATCH(D303,tt_Type,0)),"")</f>
        <v/>
      </c>
      <c r="V303" s="67">
        <f>IF(D303="","",IFERROR(IF(INDEX(tt_Other,MATCH(D303,tt_Type,0))="",E303&amp;"",INDEX(tt_Other,MATCH(D303,tt_Type,0))),""))</f>
        <v/>
      </c>
      <c r="W303" s="68">
        <f>IF(OR(TaxOn&lt;&gt;"Yes",NOT(ISNUMBER(M303))),0,IF(IFERROR(INDEX(tt_Tax,MATCH(D303,tt_Type,0)),"No")="Yes",M303,0))</f>
        <v/>
      </c>
      <c r="X303" s="67">
        <f>IF(T303=1,"",IF(C303="","Missing transaction date",IF(NOT(ISNUMBER(C303)),"Invalid date",IF(OR(C303&lt;DATE(2000,1,1),C303&gt;DATE(2099,12,31)),"Invalid date",IF(D303="","Select a type",IF(U303="","Unknown type: "&amp;D303,IF(V303="","Select an account (Category)",IF(ISNA(MATCH(V303,coa_Name,0)),"Unknown account: "&amp;V303,IF(K303="","Select Paid From / Deposited To",IF(ISNA(MATCH(K303,coa_Name,0)),"Unknown account: "&amp;K303,IF(NOT(ISNUMBER(L303)),"Enter an amount",IF(L303=0,"Enter an amount",IF(ABS(W303)&gt;ABS(L303),"Tax is larger than the amount","")))))))))))))</f>
        <v/>
      </c>
      <c r="Y303" s="67">
        <f>IF(OR(T303=1,X303&lt;&gt;""),"",IF(AND(B303&lt;&gt;"",COUNTIF(tx_ID,B303)&gt;1),"Duplicate transaction ID",IF(AND(L303&lt;0,D303&lt;&gt;"Adjustment"),"Negative amount — check this entry",IF(AND(D303="Customer Payment",G303=""),"Add the customer",IF(AND(D303="Customer Payment",OR(J303="",COUNTIF(ar_No,J303&amp;"")=0)),"Invoice # in Reference not found on AR sheet",IF(AND(D303="Bill Payment",H303=""),"Add the vendor",IF(AND(D303="Bill Payment",OR(J303="",COUNTIFS(ap_No,J303&amp;"",ap_Party,H303&amp;"")=0)),"Bill # + vendor not found on AP sheet",IF(AND(ISNUMBER(M303),N(M303)&lt;&gt;0,W303=0),"Tax ignored (tax tracking off, or not allowed for this type)",IF(V303=K303&amp;"","Same account on both sides",IF(AND(ISNUMBER(StartDate),C303&lt;StartDate),"Date is before the accounting start date",IF(AND(D303&lt;&gt;"Adjustment",IFERROR(INDEX(coa_Pay,MATCH(K303&amp;"",coa_Name,0)),"")&lt;&gt;"Yes"),"Paid From / Deposited To is not a payment account","")))))))))))</f>
        <v/>
      </c>
      <c r="Z303" s="67">
        <f>IF(AND(T303=0,X303=""),1,0)</f>
        <v/>
      </c>
      <c r="AA303" s="68">
        <f>IF(Z303=1,IF(U303="In",L303,L303-W303),0)</f>
        <v/>
      </c>
      <c r="AB303" s="68">
        <f>IF(Z303=1,IF(U303="In",L303-W303,L303),0)</f>
        <v/>
      </c>
      <c r="AC303" s="68">
        <f>IF(AND(Z303=1,U303="Out"),W303,0)</f>
        <v/>
      </c>
      <c r="AD303" s="68">
        <f>IF(AND(Z303=1,U303="In"),W303,0)</f>
        <v/>
      </c>
    </row>
    <row r="304">
      <c r="B304" s="62" t="inlineStr">
        <is>
          <t>TX-0298</t>
        </is>
      </c>
      <c r="C304" s="63" t="n">
        <v>46259</v>
      </c>
      <c r="D304" s="62" t="inlineStr">
        <is>
          <t>Money In</t>
        </is>
      </c>
      <c r="E304" s="62" t="inlineStr">
        <is>
          <t>Product Sales</t>
        </is>
      </c>
      <c r="F304" s="62" t="inlineStr">
        <is>
          <t>Counter sales week 4</t>
        </is>
      </c>
      <c r="G304" s="62" t="n"/>
      <c r="H304" s="62" t="n"/>
      <c r="I304" s="62" t="inlineStr">
        <is>
          <t>Cash</t>
        </is>
      </c>
      <c r="J304" s="62" t="n"/>
      <c r="K304" s="62" t="inlineStr">
        <is>
          <t>Cash on Hand</t>
        </is>
      </c>
      <c r="L304" s="64" t="n">
        <v>60802.47</v>
      </c>
      <c r="M304" s="64" t="n">
        <v>6514.55</v>
      </c>
      <c r="N304" s="62" t="n"/>
      <c r="O304" s="65">
        <f>IF(Z304=1,L304-W304,"")</f>
        <v/>
      </c>
      <c r="P304" s="66">
        <f>IF(V304="","",IFERROR(INDEX(coa_Type,MATCH(V304,coa_Name,0)),""))</f>
        <v/>
      </c>
      <c r="Q304" s="66">
        <f>IF(Z304=1,IF(U304="In",K304&amp;"",V304),"")</f>
        <v/>
      </c>
      <c r="R304" s="66">
        <f>IF(Z304=1,IF(U304="In",V304,K304&amp;""),"")</f>
        <v/>
      </c>
      <c r="S304" s="66">
        <f>IF(X304&lt;&gt;"","⛔ "&amp;X304&amp;" — not posted",IF(Y304&lt;&gt;"","⚠ "&amp;Y304,IF(Z304=1,"✓ OK","")))</f>
        <v/>
      </c>
      <c r="T304" s="67">
        <f>IF(AND(C304="",D304="",E304="",L304="",K304=""),1,0)</f>
        <v/>
      </c>
      <c r="U304" s="67">
        <f>IFERROR(INDEX(tt_Dir,MATCH(D304,tt_Type,0)),"")</f>
        <v/>
      </c>
      <c r="V304" s="67">
        <f>IF(D304="","",IFERROR(IF(INDEX(tt_Other,MATCH(D304,tt_Type,0))="",E304&amp;"",INDEX(tt_Other,MATCH(D304,tt_Type,0))),""))</f>
        <v/>
      </c>
      <c r="W304" s="68">
        <f>IF(OR(TaxOn&lt;&gt;"Yes",NOT(ISNUMBER(M304))),0,IF(IFERROR(INDEX(tt_Tax,MATCH(D304,tt_Type,0)),"No")="Yes",M304,0))</f>
        <v/>
      </c>
      <c r="X304" s="67">
        <f>IF(T304=1,"",IF(C304="","Missing transaction date",IF(NOT(ISNUMBER(C304)),"Invalid date",IF(OR(C304&lt;DATE(2000,1,1),C304&gt;DATE(2099,12,31)),"Invalid date",IF(D304="","Select a type",IF(U304="","Unknown type: "&amp;D304,IF(V304="","Select an account (Category)",IF(ISNA(MATCH(V304,coa_Name,0)),"Unknown account: "&amp;V304,IF(K304="","Select Paid From / Deposited To",IF(ISNA(MATCH(K304,coa_Name,0)),"Unknown account: "&amp;K304,IF(NOT(ISNUMBER(L304)),"Enter an amount",IF(L304=0,"Enter an amount",IF(ABS(W304)&gt;ABS(L304),"Tax is larger than the amount","")))))))))))))</f>
        <v/>
      </c>
      <c r="Y304" s="67">
        <f>IF(OR(T304=1,X304&lt;&gt;""),"",IF(AND(B304&lt;&gt;"",COUNTIF(tx_ID,B304)&gt;1),"Duplicate transaction ID",IF(AND(L304&lt;0,D304&lt;&gt;"Adjustment"),"Negative amount — check this entry",IF(AND(D304="Customer Payment",G304=""),"Add the customer",IF(AND(D304="Customer Payment",OR(J304="",COUNTIF(ar_No,J304&amp;"")=0)),"Invoice # in Reference not found on AR sheet",IF(AND(D304="Bill Payment",H304=""),"Add the vendor",IF(AND(D304="Bill Payment",OR(J304="",COUNTIFS(ap_No,J304&amp;"",ap_Party,H304&amp;"")=0)),"Bill # + vendor not found on AP sheet",IF(AND(ISNUMBER(M304),N(M304)&lt;&gt;0,W304=0),"Tax ignored (tax tracking off, or not allowed for this type)",IF(V304=K304&amp;"","Same account on both sides",IF(AND(ISNUMBER(StartDate),C304&lt;StartDate),"Date is before the accounting start date",IF(AND(D304&lt;&gt;"Adjustment",IFERROR(INDEX(coa_Pay,MATCH(K304&amp;"",coa_Name,0)),"")&lt;&gt;"Yes"),"Paid From / Deposited To is not a payment account","")))))))))))</f>
        <v/>
      </c>
      <c r="Z304" s="67">
        <f>IF(AND(T304=0,X304=""),1,0)</f>
        <v/>
      </c>
      <c r="AA304" s="68">
        <f>IF(Z304=1,IF(U304="In",L304,L304-W304),0)</f>
        <v/>
      </c>
      <c r="AB304" s="68">
        <f>IF(Z304=1,IF(U304="In",L304-W304,L304),0)</f>
        <v/>
      </c>
      <c r="AC304" s="68">
        <f>IF(AND(Z304=1,U304="Out"),W304,0)</f>
        <v/>
      </c>
      <c r="AD304" s="68">
        <f>IF(AND(Z304=1,U304="In"),W304,0)</f>
        <v/>
      </c>
    </row>
    <row r="305">
      <c r="B305" s="62" t="inlineStr">
        <is>
          <t>TX-0299</t>
        </is>
      </c>
      <c r="C305" s="63" t="n">
        <v>46259</v>
      </c>
      <c r="D305" s="62" t="inlineStr">
        <is>
          <t>Owner Draw</t>
        </is>
      </c>
      <c r="E305" s="62" t="n"/>
      <c r="F305" s="62" t="inlineStr">
        <is>
          <t>Owner salary / personal draw</t>
        </is>
      </c>
      <c r="G305" s="62" t="n"/>
      <c r="H305" s="62" t="n"/>
      <c r="I305" s="62" t="inlineStr">
        <is>
          <t>Bank Transfer</t>
        </is>
      </c>
      <c r="J305" s="62" t="n"/>
      <c r="K305" s="62" t="inlineStr">
        <is>
          <t>Bank Account</t>
        </is>
      </c>
      <c r="L305" s="64" t="n">
        <v>20000</v>
      </c>
      <c r="M305" s="64" t="n"/>
      <c r="N305" s="62" t="n"/>
      <c r="O305" s="65">
        <f>IF(Z305=1,L305-W305,"")</f>
        <v/>
      </c>
      <c r="P305" s="66">
        <f>IF(V305="","",IFERROR(INDEX(coa_Type,MATCH(V305,coa_Name,0)),""))</f>
        <v/>
      </c>
      <c r="Q305" s="66">
        <f>IF(Z305=1,IF(U305="In",K305&amp;"",V305),"")</f>
        <v/>
      </c>
      <c r="R305" s="66">
        <f>IF(Z305=1,IF(U305="In",V305,K305&amp;""),"")</f>
        <v/>
      </c>
      <c r="S305" s="66">
        <f>IF(X305&lt;&gt;"","⛔ "&amp;X305&amp;" — not posted",IF(Y305&lt;&gt;"","⚠ "&amp;Y305,IF(Z305=1,"✓ OK","")))</f>
        <v/>
      </c>
      <c r="T305" s="67">
        <f>IF(AND(C305="",D305="",E305="",L305="",K305=""),1,0)</f>
        <v/>
      </c>
      <c r="U305" s="67">
        <f>IFERROR(INDEX(tt_Dir,MATCH(D305,tt_Type,0)),"")</f>
        <v/>
      </c>
      <c r="V305" s="67">
        <f>IF(D305="","",IFERROR(IF(INDEX(tt_Other,MATCH(D305,tt_Type,0))="",E305&amp;"",INDEX(tt_Other,MATCH(D305,tt_Type,0))),""))</f>
        <v/>
      </c>
      <c r="W305" s="68">
        <f>IF(OR(TaxOn&lt;&gt;"Yes",NOT(ISNUMBER(M305))),0,IF(IFERROR(INDEX(tt_Tax,MATCH(D305,tt_Type,0)),"No")="Yes",M305,0))</f>
        <v/>
      </c>
      <c r="X305" s="67">
        <f>IF(T305=1,"",IF(C305="","Missing transaction date",IF(NOT(ISNUMBER(C305)),"Invalid date",IF(OR(C305&lt;DATE(2000,1,1),C305&gt;DATE(2099,12,31)),"Invalid date",IF(D305="","Select a type",IF(U305="","Unknown type: "&amp;D305,IF(V305="","Select an account (Category)",IF(ISNA(MATCH(V305,coa_Name,0)),"Unknown account: "&amp;V305,IF(K305="","Select Paid From / Deposited To",IF(ISNA(MATCH(K305,coa_Name,0)),"Unknown account: "&amp;K305,IF(NOT(ISNUMBER(L305)),"Enter an amount",IF(L305=0,"Enter an amount",IF(ABS(W305)&gt;ABS(L305),"Tax is larger than the amount","")))))))))))))</f>
        <v/>
      </c>
      <c r="Y305" s="67">
        <f>IF(OR(T305=1,X305&lt;&gt;""),"",IF(AND(B305&lt;&gt;"",COUNTIF(tx_ID,B305)&gt;1),"Duplicate transaction ID",IF(AND(L305&lt;0,D305&lt;&gt;"Adjustment"),"Negative amount — check this entry",IF(AND(D305="Customer Payment",G305=""),"Add the customer",IF(AND(D305="Customer Payment",OR(J305="",COUNTIF(ar_No,J305&amp;"")=0)),"Invoice # in Reference not found on AR sheet",IF(AND(D305="Bill Payment",H305=""),"Add the vendor",IF(AND(D305="Bill Payment",OR(J305="",COUNTIFS(ap_No,J305&amp;"",ap_Party,H305&amp;"")=0)),"Bill # + vendor not found on AP sheet",IF(AND(ISNUMBER(M305),N(M305)&lt;&gt;0,W305=0),"Tax ignored (tax tracking off, or not allowed for this type)",IF(V305=K305&amp;"","Same account on both sides",IF(AND(ISNUMBER(StartDate),C305&lt;StartDate),"Date is before the accounting start date",IF(AND(D305&lt;&gt;"Adjustment",IFERROR(INDEX(coa_Pay,MATCH(K305&amp;"",coa_Name,0)),"")&lt;&gt;"Yes"),"Paid From / Deposited To is not a payment account","")))))))))))</f>
        <v/>
      </c>
      <c r="Z305" s="67">
        <f>IF(AND(T305=0,X305=""),1,0)</f>
        <v/>
      </c>
      <c r="AA305" s="68">
        <f>IF(Z305=1,IF(U305="In",L305,L305-W305),0)</f>
        <v/>
      </c>
      <c r="AB305" s="68">
        <f>IF(Z305=1,IF(U305="In",L305-W305,L305),0)</f>
        <v/>
      </c>
      <c r="AC305" s="68">
        <f>IF(AND(Z305=1,U305="Out"),W305,0)</f>
        <v/>
      </c>
      <c r="AD305" s="68">
        <f>IF(AND(Z305=1,U305="In"),W305,0)</f>
        <v/>
      </c>
    </row>
    <row r="306">
      <c r="B306" s="62" t="inlineStr">
        <is>
          <t>TX-0300</t>
        </is>
      </c>
      <c r="C306" s="63" t="n">
        <v>46260</v>
      </c>
      <c r="D306" s="62" t="inlineStr">
        <is>
          <t>Money In</t>
        </is>
      </c>
      <c r="E306" s="62" t="inlineStr">
        <is>
          <t>Product Sales</t>
        </is>
      </c>
      <c r="F306" s="62" t="inlineStr">
        <is>
          <t>GCash / online orders week 4</t>
        </is>
      </c>
      <c r="G306" s="62" t="n"/>
      <c r="H306" s="62" t="n"/>
      <c r="I306" s="62" t="inlineStr">
        <is>
          <t>E-Wallet</t>
        </is>
      </c>
      <c r="J306" s="62" t="n"/>
      <c r="K306" s="62" t="inlineStr">
        <is>
          <t>E-Wallet / Online Payments</t>
        </is>
      </c>
      <c r="L306" s="64" t="n">
        <v>23188.88</v>
      </c>
      <c r="M306" s="64" t="n">
        <v>2484.52</v>
      </c>
      <c r="N306" s="62" t="n"/>
      <c r="O306" s="65">
        <f>IF(Z306=1,L306-W306,"")</f>
        <v/>
      </c>
      <c r="P306" s="66">
        <f>IF(V306="","",IFERROR(INDEX(coa_Type,MATCH(V306,coa_Name,0)),""))</f>
        <v/>
      </c>
      <c r="Q306" s="66">
        <f>IF(Z306=1,IF(U306="In",K306&amp;"",V306),"")</f>
        <v/>
      </c>
      <c r="R306" s="66">
        <f>IF(Z306=1,IF(U306="In",V306,K306&amp;""),"")</f>
        <v/>
      </c>
      <c r="S306" s="66">
        <f>IF(X306&lt;&gt;"","⛔ "&amp;X306&amp;" — not posted",IF(Y306&lt;&gt;"","⚠ "&amp;Y306,IF(Z306=1,"✓ OK","")))</f>
        <v/>
      </c>
      <c r="T306" s="67">
        <f>IF(AND(C306="",D306="",E306="",L306="",K306=""),1,0)</f>
        <v/>
      </c>
      <c r="U306" s="67">
        <f>IFERROR(INDEX(tt_Dir,MATCH(D306,tt_Type,0)),"")</f>
        <v/>
      </c>
      <c r="V306" s="67">
        <f>IF(D306="","",IFERROR(IF(INDEX(tt_Other,MATCH(D306,tt_Type,0))="",E306&amp;"",INDEX(tt_Other,MATCH(D306,tt_Type,0))),""))</f>
        <v/>
      </c>
      <c r="W306" s="68">
        <f>IF(OR(TaxOn&lt;&gt;"Yes",NOT(ISNUMBER(M306))),0,IF(IFERROR(INDEX(tt_Tax,MATCH(D306,tt_Type,0)),"No")="Yes",M306,0))</f>
        <v/>
      </c>
      <c r="X306" s="67">
        <f>IF(T306=1,"",IF(C306="","Missing transaction date",IF(NOT(ISNUMBER(C306)),"Invalid date",IF(OR(C306&lt;DATE(2000,1,1),C306&gt;DATE(2099,12,31)),"Invalid date",IF(D306="","Select a type",IF(U306="","Unknown type: "&amp;D306,IF(V306="","Select an account (Category)",IF(ISNA(MATCH(V306,coa_Name,0)),"Unknown account: "&amp;V306,IF(K306="","Select Paid From / Deposited To",IF(ISNA(MATCH(K306,coa_Name,0)),"Unknown account: "&amp;K306,IF(NOT(ISNUMBER(L306)),"Enter an amount",IF(L306=0,"Enter an amount",IF(ABS(W306)&gt;ABS(L306),"Tax is larger than the amount","")))))))))))))</f>
        <v/>
      </c>
      <c r="Y306" s="67">
        <f>IF(OR(T306=1,X306&lt;&gt;""),"",IF(AND(B306&lt;&gt;"",COUNTIF(tx_ID,B306)&gt;1),"Duplicate transaction ID",IF(AND(L306&lt;0,D306&lt;&gt;"Adjustment"),"Negative amount — check this entry",IF(AND(D306="Customer Payment",G306=""),"Add the customer",IF(AND(D306="Customer Payment",OR(J306="",COUNTIF(ar_No,J306&amp;"")=0)),"Invoice # in Reference not found on AR sheet",IF(AND(D306="Bill Payment",H306=""),"Add the vendor",IF(AND(D306="Bill Payment",OR(J306="",COUNTIFS(ap_No,J306&amp;"",ap_Party,H306&amp;"")=0)),"Bill # + vendor not found on AP sheet",IF(AND(ISNUMBER(M306),N(M306)&lt;&gt;0,W306=0),"Tax ignored (tax tracking off, or not allowed for this type)",IF(V306=K306&amp;"","Same account on both sides",IF(AND(ISNUMBER(StartDate),C306&lt;StartDate),"Date is before the accounting start date",IF(AND(D306&lt;&gt;"Adjustment",IFERROR(INDEX(coa_Pay,MATCH(K306&amp;"",coa_Name,0)),"")&lt;&gt;"Yes"),"Paid From / Deposited To is not a payment account","")))))))))))</f>
        <v/>
      </c>
      <c r="Z306" s="67">
        <f>IF(AND(T306=0,X306=""),1,0)</f>
        <v/>
      </c>
      <c r="AA306" s="68">
        <f>IF(Z306=1,IF(U306="In",L306,L306-W306),0)</f>
        <v/>
      </c>
      <c r="AB306" s="68">
        <f>IF(Z306=1,IF(U306="In",L306-W306,L306),0)</f>
        <v/>
      </c>
      <c r="AC306" s="68">
        <f>IF(AND(Z306=1,U306="Out"),W306,0)</f>
        <v/>
      </c>
      <c r="AD306" s="68">
        <f>IF(AND(Z306=1,U306="In"),W306,0)</f>
        <v/>
      </c>
    </row>
    <row r="307">
      <c r="B307" s="62" t="inlineStr">
        <is>
          <t>TX-0301</t>
        </is>
      </c>
      <c r="C307" s="63" t="n">
        <v>46261</v>
      </c>
      <c r="D307" s="62" t="inlineStr">
        <is>
          <t>Transfer</t>
        </is>
      </c>
      <c r="E307" s="62" t="inlineStr">
        <is>
          <t>Bank Account</t>
        </is>
      </c>
      <c r="F307" s="62" t="inlineStr">
        <is>
          <t>Cash deposit to bank</t>
        </is>
      </c>
      <c r="G307" s="62" t="n"/>
      <c r="H307" s="62" t="n"/>
      <c r="I307" s="62" t="inlineStr">
        <is>
          <t>Cash</t>
        </is>
      </c>
      <c r="J307" s="62" t="n"/>
      <c r="K307" s="62" t="inlineStr">
        <is>
          <t>Cash on Hand</t>
        </is>
      </c>
      <c r="L307" s="64" t="n">
        <v>51700</v>
      </c>
      <c r="M307" s="64" t="n"/>
      <c r="N307" s="62" t="n"/>
      <c r="O307" s="65">
        <f>IF(Z307=1,L307-W307,"")</f>
        <v/>
      </c>
      <c r="P307" s="66">
        <f>IF(V307="","",IFERROR(INDEX(coa_Type,MATCH(V307,coa_Name,0)),""))</f>
        <v/>
      </c>
      <c r="Q307" s="66">
        <f>IF(Z307=1,IF(U307="In",K307&amp;"",V307),"")</f>
        <v/>
      </c>
      <c r="R307" s="66">
        <f>IF(Z307=1,IF(U307="In",V307,K307&amp;""),"")</f>
        <v/>
      </c>
      <c r="S307" s="66">
        <f>IF(X307&lt;&gt;"","⛔ "&amp;X307&amp;" — not posted",IF(Y307&lt;&gt;"","⚠ "&amp;Y307,IF(Z307=1,"✓ OK","")))</f>
        <v/>
      </c>
      <c r="T307" s="67">
        <f>IF(AND(C307="",D307="",E307="",L307="",K307=""),1,0)</f>
        <v/>
      </c>
      <c r="U307" s="67">
        <f>IFERROR(INDEX(tt_Dir,MATCH(D307,tt_Type,0)),"")</f>
        <v/>
      </c>
      <c r="V307" s="67">
        <f>IF(D307="","",IFERROR(IF(INDEX(tt_Other,MATCH(D307,tt_Type,0))="",E307&amp;"",INDEX(tt_Other,MATCH(D307,tt_Type,0))),""))</f>
        <v/>
      </c>
      <c r="W307" s="68">
        <f>IF(OR(TaxOn&lt;&gt;"Yes",NOT(ISNUMBER(M307))),0,IF(IFERROR(INDEX(tt_Tax,MATCH(D307,tt_Type,0)),"No")="Yes",M307,0))</f>
        <v/>
      </c>
      <c r="X307" s="67">
        <f>IF(T307=1,"",IF(C307="","Missing transaction date",IF(NOT(ISNUMBER(C307)),"Invalid date",IF(OR(C307&lt;DATE(2000,1,1),C307&gt;DATE(2099,12,31)),"Invalid date",IF(D307="","Select a type",IF(U307="","Unknown type: "&amp;D307,IF(V307="","Select an account (Category)",IF(ISNA(MATCH(V307,coa_Name,0)),"Unknown account: "&amp;V307,IF(K307="","Select Paid From / Deposited To",IF(ISNA(MATCH(K307,coa_Name,0)),"Unknown account: "&amp;K307,IF(NOT(ISNUMBER(L307)),"Enter an amount",IF(L307=0,"Enter an amount",IF(ABS(W307)&gt;ABS(L307),"Tax is larger than the amount","")))))))))))))</f>
        <v/>
      </c>
      <c r="Y307" s="67">
        <f>IF(OR(T307=1,X307&lt;&gt;""),"",IF(AND(B307&lt;&gt;"",COUNTIF(tx_ID,B307)&gt;1),"Duplicate transaction ID",IF(AND(L307&lt;0,D307&lt;&gt;"Adjustment"),"Negative amount — check this entry",IF(AND(D307="Customer Payment",G307=""),"Add the customer",IF(AND(D307="Customer Payment",OR(J307="",COUNTIF(ar_No,J307&amp;"")=0)),"Invoice # in Reference not found on AR sheet",IF(AND(D307="Bill Payment",H307=""),"Add the vendor",IF(AND(D307="Bill Payment",OR(J307="",COUNTIFS(ap_No,J307&amp;"",ap_Party,H307&amp;"")=0)),"Bill # + vendor not found on AP sheet",IF(AND(ISNUMBER(M307),N(M307)&lt;&gt;0,W307=0),"Tax ignored (tax tracking off, or not allowed for this type)",IF(V307=K307&amp;"","Same account on both sides",IF(AND(ISNUMBER(StartDate),C307&lt;StartDate),"Date is before the accounting start date",IF(AND(D307&lt;&gt;"Adjustment",IFERROR(INDEX(coa_Pay,MATCH(K307&amp;"",coa_Name,0)),"")&lt;&gt;"Yes"),"Paid From / Deposited To is not a payment account","")))))))))))</f>
        <v/>
      </c>
      <c r="Z307" s="67">
        <f>IF(AND(T307=0,X307=""),1,0)</f>
        <v/>
      </c>
      <c r="AA307" s="68">
        <f>IF(Z307=1,IF(U307="In",L307,L307-W307),0)</f>
        <v/>
      </c>
      <c r="AB307" s="68">
        <f>IF(Z307=1,IF(U307="In",L307-W307,L307),0)</f>
        <v/>
      </c>
      <c r="AC307" s="68">
        <f>IF(AND(Z307=1,U307="Out"),W307,0)</f>
        <v/>
      </c>
      <c r="AD307" s="68">
        <f>IF(AND(Z307=1,U307="In"),W307,0)</f>
        <v/>
      </c>
    </row>
    <row r="308">
      <c r="B308" s="62" t="inlineStr">
        <is>
          <t>TX-0302</t>
        </is>
      </c>
      <c r="C308" s="63" t="n">
        <v>46261</v>
      </c>
      <c r="D308" s="62" t="inlineStr">
        <is>
          <t>Money Out</t>
        </is>
      </c>
      <c r="E308" s="62" t="inlineStr">
        <is>
          <t>Bank &amp; Payment Fees</t>
        </is>
      </c>
      <c r="F308" s="62" t="inlineStr">
        <is>
          <t>Monthly bank charge</t>
        </is>
      </c>
      <c r="G308" s="62" t="n"/>
      <c r="H308" s="62" t="n"/>
      <c r="I308" s="62" t="inlineStr">
        <is>
          <t>Bank Transfer</t>
        </is>
      </c>
      <c r="J308" s="62" t="n"/>
      <c r="K308" s="62" t="inlineStr">
        <is>
          <t>Bank Account</t>
        </is>
      </c>
      <c r="L308" s="64" t="n">
        <v>150</v>
      </c>
      <c r="M308" s="64" t="n"/>
      <c r="N308" s="62" t="n"/>
      <c r="O308" s="65">
        <f>IF(Z308=1,L308-W308,"")</f>
        <v/>
      </c>
      <c r="P308" s="66">
        <f>IF(V308="","",IFERROR(INDEX(coa_Type,MATCH(V308,coa_Name,0)),""))</f>
        <v/>
      </c>
      <c r="Q308" s="66">
        <f>IF(Z308=1,IF(U308="In",K308&amp;"",V308),"")</f>
        <v/>
      </c>
      <c r="R308" s="66">
        <f>IF(Z308=1,IF(U308="In",V308,K308&amp;""),"")</f>
        <v/>
      </c>
      <c r="S308" s="66">
        <f>IF(X308&lt;&gt;"","⛔ "&amp;X308&amp;" — not posted",IF(Y308&lt;&gt;"","⚠ "&amp;Y308,IF(Z308=1,"✓ OK","")))</f>
        <v/>
      </c>
      <c r="T308" s="67">
        <f>IF(AND(C308="",D308="",E308="",L308="",K308=""),1,0)</f>
        <v/>
      </c>
      <c r="U308" s="67">
        <f>IFERROR(INDEX(tt_Dir,MATCH(D308,tt_Type,0)),"")</f>
        <v/>
      </c>
      <c r="V308" s="67">
        <f>IF(D308="","",IFERROR(IF(INDEX(tt_Other,MATCH(D308,tt_Type,0))="",E308&amp;"",INDEX(tt_Other,MATCH(D308,tt_Type,0))),""))</f>
        <v/>
      </c>
      <c r="W308" s="68">
        <f>IF(OR(TaxOn&lt;&gt;"Yes",NOT(ISNUMBER(M308))),0,IF(IFERROR(INDEX(tt_Tax,MATCH(D308,tt_Type,0)),"No")="Yes",M308,0))</f>
        <v/>
      </c>
      <c r="X308" s="67">
        <f>IF(T308=1,"",IF(C308="","Missing transaction date",IF(NOT(ISNUMBER(C308)),"Invalid date",IF(OR(C308&lt;DATE(2000,1,1),C308&gt;DATE(2099,12,31)),"Invalid date",IF(D308="","Select a type",IF(U308="","Unknown type: "&amp;D308,IF(V308="","Select an account (Category)",IF(ISNA(MATCH(V308,coa_Name,0)),"Unknown account: "&amp;V308,IF(K308="","Select Paid From / Deposited To",IF(ISNA(MATCH(K308,coa_Name,0)),"Unknown account: "&amp;K308,IF(NOT(ISNUMBER(L308)),"Enter an amount",IF(L308=0,"Enter an amount",IF(ABS(W308)&gt;ABS(L308),"Tax is larger than the amount","")))))))))))))</f>
        <v/>
      </c>
      <c r="Y308" s="67">
        <f>IF(OR(T308=1,X308&lt;&gt;""),"",IF(AND(B308&lt;&gt;"",COUNTIF(tx_ID,B308)&gt;1),"Duplicate transaction ID",IF(AND(L308&lt;0,D308&lt;&gt;"Adjustment"),"Negative amount — check this entry",IF(AND(D308="Customer Payment",G308=""),"Add the customer",IF(AND(D308="Customer Payment",OR(J308="",COUNTIF(ar_No,J308&amp;"")=0)),"Invoice # in Reference not found on AR sheet",IF(AND(D308="Bill Payment",H308=""),"Add the vendor",IF(AND(D308="Bill Payment",OR(J308="",COUNTIFS(ap_No,J308&amp;"",ap_Party,H308&amp;"")=0)),"Bill # + vendor not found on AP sheet",IF(AND(ISNUMBER(M308),N(M308)&lt;&gt;0,W308=0),"Tax ignored (tax tracking off, or not allowed for this type)",IF(V308=K308&amp;"","Same account on both sides",IF(AND(ISNUMBER(StartDate),C308&lt;StartDate),"Date is before the accounting start date",IF(AND(D308&lt;&gt;"Adjustment",IFERROR(INDEX(coa_Pay,MATCH(K308&amp;"",coa_Name,0)),"")&lt;&gt;"Yes"),"Paid From / Deposited To is not a payment account","")))))))))))</f>
        <v/>
      </c>
      <c r="Z308" s="67">
        <f>IF(AND(T308=0,X308=""),1,0)</f>
        <v/>
      </c>
      <c r="AA308" s="68">
        <f>IF(Z308=1,IF(U308="In",L308,L308-W308),0)</f>
        <v/>
      </c>
      <c r="AB308" s="68">
        <f>IF(Z308=1,IF(U308="In",L308-W308,L308),0)</f>
        <v/>
      </c>
      <c r="AC308" s="68">
        <f>IF(AND(Z308=1,U308="Out"),W308,0)</f>
        <v/>
      </c>
      <c r="AD308" s="68">
        <f>IF(AND(Z308=1,U308="In"),W308,0)</f>
        <v/>
      </c>
    </row>
    <row r="309">
      <c r="B309" s="62" t="inlineStr">
        <is>
          <t>TX-0303</t>
        </is>
      </c>
      <c r="C309" s="63" t="n">
        <v>46262</v>
      </c>
      <c r="D309" s="62" t="inlineStr">
        <is>
          <t>Transfer</t>
        </is>
      </c>
      <c r="E309" s="62" t="inlineStr">
        <is>
          <t>Bank Account</t>
        </is>
      </c>
      <c r="F309" s="62" t="inlineStr">
        <is>
          <t>E-wallet cash-out to bank</t>
        </is>
      </c>
      <c r="G309" s="62" t="n"/>
      <c r="H309" s="62" t="n"/>
      <c r="I309" s="62" t="inlineStr">
        <is>
          <t>Online Payment</t>
        </is>
      </c>
      <c r="J309" s="62" t="n"/>
      <c r="K309" s="62" t="inlineStr">
        <is>
          <t>E-Wallet / Online Payments</t>
        </is>
      </c>
      <c r="L309" s="64" t="n">
        <v>46400</v>
      </c>
      <c r="M309" s="64" t="n"/>
      <c r="N309" s="62" t="n"/>
      <c r="O309" s="65">
        <f>IF(Z309=1,L309-W309,"")</f>
        <v/>
      </c>
      <c r="P309" s="66">
        <f>IF(V309="","",IFERROR(INDEX(coa_Type,MATCH(V309,coa_Name,0)),""))</f>
        <v/>
      </c>
      <c r="Q309" s="66">
        <f>IF(Z309=1,IF(U309="In",K309&amp;"",V309),"")</f>
        <v/>
      </c>
      <c r="R309" s="66">
        <f>IF(Z309=1,IF(U309="In",V309,K309&amp;""),"")</f>
        <v/>
      </c>
      <c r="S309" s="66">
        <f>IF(X309&lt;&gt;"","⛔ "&amp;X309&amp;" — not posted",IF(Y309&lt;&gt;"","⚠ "&amp;Y309,IF(Z309=1,"✓ OK","")))</f>
        <v/>
      </c>
      <c r="T309" s="67">
        <f>IF(AND(C309="",D309="",E309="",L309="",K309=""),1,0)</f>
        <v/>
      </c>
      <c r="U309" s="67">
        <f>IFERROR(INDEX(tt_Dir,MATCH(D309,tt_Type,0)),"")</f>
        <v/>
      </c>
      <c r="V309" s="67">
        <f>IF(D309="","",IFERROR(IF(INDEX(tt_Other,MATCH(D309,tt_Type,0))="",E309&amp;"",INDEX(tt_Other,MATCH(D309,tt_Type,0))),""))</f>
        <v/>
      </c>
      <c r="W309" s="68">
        <f>IF(OR(TaxOn&lt;&gt;"Yes",NOT(ISNUMBER(M309))),0,IF(IFERROR(INDEX(tt_Tax,MATCH(D309,tt_Type,0)),"No")="Yes",M309,0))</f>
        <v/>
      </c>
      <c r="X309" s="67">
        <f>IF(T309=1,"",IF(C309="","Missing transaction date",IF(NOT(ISNUMBER(C309)),"Invalid date",IF(OR(C309&lt;DATE(2000,1,1),C309&gt;DATE(2099,12,31)),"Invalid date",IF(D309="","Select a type",IF(U309="","Unknown type: "&amp;D309,IF(V309="","Select an account (Category)",IF(ISNA(MATCH(V309,coa_Name,0)),"Unknown account: "&amp;V309,IF(K309="","Select Paid From / Deposited To",IF(ISNA(MATCH(K309,coa_Name,0)),"Unknown account: "&amp;K309,IF(NOT(ISNUMBER(L309)),"Enter an amount",IF(L309=0,"Enter an amount",IF(ABS(W309)&gt;ABS(L309),"Tax is larger than the amount","")))))))))))))</f>
        <v/>
      </c>
      <c r="Y309" s="67">
        <f>IF(OR(T309=1,X309&lt;&gt;""),"",IF(AND(B309&lt;&gt;"",COUNTIF(tx_ID,B309)&gt;1),"Duplicate transaction ID",IF(AND(L309&lt;0,D309&lt;&gt;"Adjustment"),"Negative amount — check this entry",IF(AND(D309="Customer Payment",G309=""),"Add the customer",IF(AND(D309="Customer Payment",OR(J309="",COUNTIF(ar_No,J309&amp;"")=0)),"Invoice # in Reference not found on AR sheet",IF(AND(D309="Bill Payment",H309=""),"Add the vendor",IF(AND(D309="Bill Payment",OR(J309="",COUNTIFS(ap_No,J309&amp;"",ap_Party,H309&amp;"")=0)),"Bill # + vendor not found on AP sheet",IF(AND(ISNUMBER(M309),N(M309)&lt;&gt;0,W309=0),"Tax ignored (tax tracking off, or not allowed for this type)",IF(V309=K309&amp;"","Same account on both sides",IF(AND(ISNUMBER(StartDate),C309&lt;StartDate),"Date is before the accounting start date",IF(AND(D309&lt;&gt;"Adjustment",IFERROR(INDEX(coa_Pay,MATCH(K309&amp;"",coa_Name,0)),"")&lt;&gt;"Yes"),"Paid From / Deposited To is not a payment account","")))))))))))</f>
        <v/>
      </c>
      <c r="Z309" s="67">
        <f>IF(AND(T309=0,X309=""),1,0)</f>
        <v/>
      </c>
      <c r="AA309" s="68">
        <f>IF(Z309=1,IF(U309="In",L309,L309-W309),0)</f>
        <v/>
      </c>
      <c r="AB309" s="68">
        <f>IF(Z309=1,IF(U309="In",L309-W309,L309),0)</f>
        <v/>
      </c>
      <c r="AC309" s="68">
        <f>IF(AND(Z309=1,U309="Out"),W309,0)</f>
        <v/>
      </c>
      <c r="AD309" s="68">
        <f>IF(AND(Z309=1,U309="In"),W309,0)</f>
        <v/>
      </c>
    </row>
    <row r="310">
      <c r="B310" s="62" t="inlineStr">
        <is>
          <t>TX-0304</t>
        </is>
      </c>
      <c r="C310" s="63" t="n">
        <v>46262</v>
      </c>
      <c r="D310" s="62" t="inlineStr">
        <is>
          <t>Money Out</t>
        </is>
      </c>
      <c r="E310" s="62" t="inlineStr">
        <is>
          <t>Direct Labor</t>
        </is>
      </c>
      <c r="F310" s="62" t="inlineStr">
        <is>
          <t>Bakers' salaries (16th-end)</t>
        </is>
      </c>
      <c r="G310" s="62" t="n"/>
      <c r="H310" s="62" t="n"/>
      <c r="I310" s="62" t="inlineStr">
        <is>
          <t>Bank Transfer</t>
        </is>
      </c>
      <c r="J310" s="62" t="n"/>
      <c r="K310" s="62" t="inlineStr">
        <is>
          <t>Bank Account</t>
        </is>
      </c>
      <c r="L310" s="64" t="n">
        <v>38000</v>
      </c>
      <c r="M310" s="64" t="n"/>
      <c r="N310" s="62" t="n"/>
      <c r="O310" s="65">
        <f>IF(Z310=1,L310-W310,"")</f>
        <v/>
      </c>
      <c r="P310" s="66">
        <f>IF(V310="","",IFERROR(INDEX(coa_Type,MATCH(V310,coa_Name,0)),""))</f>
        <v/>
      </c>
      <c r="Q310" s="66">
        <f>IF(Z310=1,IF(U310="In",K310&amp;"",V310),"")</f>
        <v/>
      </c>
      <c r="R310" s="66">
        <f>IF(Z310=1,IF(U310="In",V310,K310&amp;""),"")</f>
        <v/>
      </c>
      <c r="S310" s="66">
        <f>IF(X310&lt;&gt;"","⛔ "&amp;X310&amp;" — not posted",IF(Y310&lt;&gt;"","⚠ "&amp;Y310,IF(Z310=1,"✓ OK","")))</f>
        <v/>
      </c>
      <c r="T310" s="67">
        <f>IF(AND(C310="",D310="",E310="",L310="",K310=""),1,0)</f>
        <v/>
      </c>
      <c r="U310" s="67">
        <f>IFERROR(INDEX(tt_Dir,MATCH(D310,tt_Type,0)),"")</f>
        <v/>
      </c>
      <c r="V310" s="67">
        <f>IF(D310="","",IFERROR(IF(INDEX(tt_Other,MATCH(D310,tt_Type,0))="",E310&amp;"",INDEX(tt_Other,MATCH(D310,tt_Type,0))),""))</f>
        <v/>
      </c>
      <c r="W310" s="68">
        <f>IF(OR(TaxOn&lt;&gt;"Yes",NOT(ISNUMBER(M310))),0,IF(IFERROR(INDEX(tt_Tax,MATCH(D310,tt_Type,0)),"No")="Yes",M310,0))</f>
        <v/>
      </c>
      <c r="X310" s="67">
        <f>IF(T310=1,"",IF(C310="","Missing transaction date",IF(NOT(ISNUMBER(C310)),"Invalid date",IF(OR(C310&lt;DATE(2000,1,1),C310&gt;DATE(2099,12,31)),"Invalid date",IF(D310="","Select a type",IF(U310="","Unknown type: "&amp;D310,IF(V310="","Select an account (Category)",IF(ISNA(MATCH(V310,coa_Name,0)),"Unknown account: "&amp;V310,IF(K310="","Select Paid From / Deposited To",IF(ISNA(MATCH(K310,coa_Name,0)),"Unknown account: "&amp;K310,IF(NOT(ISNUMBER(L310)),"Enter an amount",IF(L310=0,"Enter an amount",IF(ABS(W310)&gt;ABS(L310),"Tax is larger than the amount","")))))))))))))</f>
        <v/>
      </c>
      <c r="Y310" s="67">
        <f>IF(OR(T310=1,X310&lt;&gt;""),"",IF(AND(B310&lt;&gt;"",COUNTIF(tx_ID,B310)&gt;1),"Duplicate transaction ID",IF(AND(L310&lt;0,D310&lt;&gt;"Adjustment"),"Negative amount — check this entry",IF(AND(D310="Customer Payment",G310=""),"Add the customer",IF(AND(D310="Customer Payment",OR(J310="",COUNTIF(ar_No,J310&amp;"")=0)),"Invoice # in Reference not found on AR sheet",IF(AND(D310="Bill Payment",H310=""),"Add the vendor",IF(AND(D310="Bill Payment",OR(J310="",COUNTIFS(ap_No,J310&amp;"",ap_Party,H310&amp;"")=0)),"Bill # + vendor not found on AP sheet",IF(AND(ISNUMBER(M310),N(M310)&lt;&gt;0,W310=0),"Tax ignored (tax tracking off, or not allowed for this type)",IF(V310=K310&amp;"","Same account on both sides",IF(AND(ISNUMBER(StartDate),C310&lt;StartDate),"Date is before the accounting start date",IF(AND(D310&lt;&gt;"Adjustment",IFERROR(INDEX(coa_Pay,MATCH(K310&amp;"",coa_Name,0)),"")&lt;&gt;"Yes"),"Paid From / Deposited To is not a payment account","")))))))))))</f>
        <v/>
      </c>
      <c r="Z310" s="67">
        <f>IF(AND(T310=0,X310=""),1,0)</f>
        <v/>
      </c>
      <c r="AA310" s="68">
        <f>IF(Z310=1,IF(U310="In",L310,L310-W310),0)</f>
        <v/>
      </c>
      <c r="AB310" s="68">
        <f>IF(Z310=1,IF(U310="In",L310-W310,L310),0)</f>
        <v/>
      </c>
      <c r="AC310" s="68">
        <f>IF(AND(Z310=1,U310="Out"),W310,0)</f>
        <v/>
      </c>
      <c r="AD310" s="68">
        <f>IF(AND(Z310=1,U310="In"),W310,0)</f>
        <v/>
      </c>
    </row>
    <row r="311">
      <c r="B311" s="62" t="inlineStr">
        <is>
          <t>TX-0305</t>
        </is>
      </c>
      <c r="C311" s="63" t="n">
        <v>46262</v>
      </c>
      <c r="D311" s="62" t="inlineStr">
        <is>
          <t>Money Out</t>
        </is>
      </c>
      <c r="E311" s="62" t="inlineStr">
        <is>
          <t>Salaries &amp; Wages</t>
        </is>
      </c>
      <c r="F311" s="62" t="inlineStr">
        <is>
          <t>Cashier salary (16th-end)</t>
        </is>
      </c>
      <c r="G311" s="62" t="n"/>
      <c r="H311" s="62" t="n"/>
      <c r="I311" s="62" t="inlineStr">
        <is>
          <t>Bank Transfer</t>
        </is>
      </c>
      <c r="J311" s="62" t="n"/>
      <c r="K311" s="62" t="inlineStr">
        <is>
          <t>Bank Account</t>
        </is>
      </c>
      <c r="L311" s="64" t="n">
        <v>9000</v>
      </c>
      <c r="M311" s="64" t="n"/>
      <c r="N311" s="62" t="n"/>
      <c r="O311" s="65">
        <f>IF(Z311=1,L311-W311,"")</f>
        <v/>
      </c>
      <c r="P311" s="66">
        <f>IF(V311="","",IFERROR(INDEX(coa_Type,MATCH(V311,coa_Name,0)),""))</f>
        <v/>
      </c>
      <c r="Q311" s="66">
        <f>IF(Z311=1,IF(U311="In",K311&amp;"",V311),"")</f>
        <v/>
      </c>
      <c r="R311" s="66">
        <f>IF(Z311=1,IF(U311="In",V311,K311&amp;""),"")</f>
        <v/>
      </c>
      <c r="S311" s="66">
        <f>IF(X311&lt;&gt;"","⛔ "&amp;X311&amp;" — not posted",IF(Y311&lt;&gt;"","⚠ "&amp;Y311,IF(Z311=1,"✓ OK","")))</f>
        <v/>
      </c>
      <c r="T311" s="67">
        <f>IF(AND(C311="",D311="",E311="",L311="",K311=""),1,0)</f>
        <v/>
      </c>
      <c r="U311" s="67">
        <f>IFERROR(INDEX(tt_Dir,MATCH(D311,tt_Type,0)),"")</f>
        <v/>
      </c>
      <c r="V311" s="67">
        <f>IF(D311="","",IFERROR(IF(INDEX(tt_Other,MATCH(D311,tt_Type,0))="",E311&amp;"",INDEX(tt_Other,MATCH(D311,tt_Type,0))),""))</f>
        <v/>
      </c>
      <c r="W311" s="68">
        <f>IF(OR(TaxOn&lt;&gt;"Yes",NOT(ISNUMBER(M311))),0,IF(IFERROR(INDEX(tt_Tax,MATCH(D311,tt_Type,0)),"No")="Yes",M311,0))</f>
        <v/>
      </c>
      <c r="X311" s="67">
        <f>IF(T311=1,"",IF(C311="","Missing transaction date",IF(NOT(ISNUMBER(C311)),"Invalid date",IF(OR(C311&lt;DATE(2000,1,1),C311&gt;DATE(2099,12,31)),"Invalid date",IF(D311="","Select a type",IF(U311="","Unknown type: "&amp;D311,IF(V311="","Select an account (Category)",IF(ISNA(MATCH(V311,coa_Name,0)),"Unknown account: "&amp;V311,IF(K311="","Select Paid From / Deposited To",IF(ISNA(MATCH(K311,coa_Name,0)),"Unknown account: "&amp;K311,IF(NOT(ISNUMBER(L311)),"Enter an amount",IF(L311=0,"Enter an amount",IF(ABS(W311)&gt;ABS(L311),"Tax is larger than the amount","")))))))))))))</f>
        <v/>
      </c>
      <c r="Y311" s="67">
        <f>IF(OR(T311=1,X311&lt;&gt;""),"",IF(AND(B311&lt;&gt;"",COUNTIF(tx_ID,B311)&gt;1),"Duplicate transaction ID",IF(AND(L311&lt;0,D311&lt;&gt;"Adjustment"),"Negative amount — check this entry",IF(AND(D311="Customer Payment",G311=""),"Add the customer",IF(AND(D311="Customer Payment",OR(J311="",COUNTIF(ar_No,J311&amp;"")=0)),"Invoice # in Reference not found on AR sheet",IF(AND(D311="Bill Payment",H311=""),"Add the vendor",IF(AND(D311="Bill Payment",OR(J311="",COUNTIFS(ap_No,J311&amp;"",ap_Party,H311&amp;"")=0)),"Bill # + vendor not found on AP sheet",IF(AND(ISNUMBER(M311),N(M311)&lt;&gt;0,W311=0),"Tax ignored (tax tracking off, or not allowed for this type)",IF(V311=K311&amp;"","Same account on both sides",IF(AND(ISNUMBER(StartDate),C311&lt;StartDate),"Date is before the accounting start date",IF(AND(D311&lt;&gt;"Adjustment",IFERROR(INDEX(coa_Pay,MATCH(K311&amp;"",coa_Name,0)),"")&lt;&gt;"Yes"),"Paid From / Deposited To is not a payment account","")))))))))))</f>
        <v/>
      </c>
      <c r="Z311" s="67">
        <f>IF(AND(T311=0,X311=""),1,0)</f>
        <v/>
      </c>
      <c r="AA311" s="68">
        <f>IF(Z311=1,IF(U311="In",L311,L311-W311),0)</f>
        <v/>
      </c>
      <c r="AB311" s="68">
        <f>IF(Z311=1,IF(U311="In",L311-W311,L311),0)</f>
        <v/>
      </c>
      <c r="AC311" s="68">
        <f>IF(AND(Z311=1,U311="Out"),W311,0)</f>
        <v/>
      </c>
      <c r="AD311" s="68">
        <f>IF(AND(Z311=1,U311="In"),W311,0)</f>
        <v/>
      </c>
    </row>
    <row r="312">
      <c r="B312" s="62" t="inlineStr">
        <is>
          <t>TX-0306</t>
        </is>
      </c>
      <c r="C312" s="63" t="n">
        <v>46263</v>
      </c>
      <c r="D312" s="62" t="inlineStr">
        <is>
          <t>Bill Payment</t>
        </is>
      </c>
      <c r="E312" s="62" t="n"/>
      <c r="F312" s="62" t="inlineStr">
        <is>
          <t>Supplier payment</t>
        </is>
      </c>
      <c r="G312" s="62" t="n"/>
      <c r="H312" s="62" t="inlineStr">
        <is>
          <t>Fresh Dairy Co.</t>
        </is>
      </c>
      <c r="I312" s="62" t="inlineStr">
        <is>
          <t>Bank Transfer</t>
        </is>
      </c>
      <c r="J312" s="62" t="inlineStr">
        <is>
          <t>FR-082</t>
        </is>
      </c>
      <c r="K312" s="62" t="inlineStr">
        <is>
          <t>Bank Account</t>
        </is>
      </c>
      <c r="L312" s="64" t="n">
        <v>19124.37</v>
      </c>
      <c r="M312" s="64" t="n"/>
      <c r="N312" s="62" t="n"/>
      <c r="O312" s="65">
        <f>IF(Z312=1,L312-W312,"")</f>
        <v/>
      </c>
      <c r="P312" s="66">
        <f>IF(V312="","",IFERROR(INDEX(coa_Type,MATCH(V312,coa_Name,0)),""))</f>
        <v/>
      </c>
      <c r="Q312" s="66">
        <f>IF(Z312=1,IF(U312="In",K312&amp;"",V312),"")</f>
        <v/>
      </c>
      <c r="R312" s="66">
        <f>IF(Z312=1,IF(U312="In",V312,K312&amp;""),"")</f>
        <v/>
      </c>
      <c r="S312" s="66">
        <f>IF(X312&lt;&gt;"","⛔ "&amp;X312&amp;" — not posted",IF(Y312&lt;&gt;"","⚠ "&amp;Y312,IF(Z312=1,"✓ OK","")))</f>
        <v/>
      </c>
      <c r="T312" s="67">
        <f>IF(AND(C312="",D312="",E312="",L312="",K312=""),1,0)</f>
        <v/>
      </c>
      <c r="U312" s="67">
        <f>IFERROR(INDEX(tt_Dir,MATCH(D312,tt_Type,0)),"")</f>
        <v/>
      </c>
      <c r="V312" s="67">
        <f>IF(D312="","",IFERROR(IF(INDEX(tt_Other,MATCH(D312,tt_Type,0))="",E312&amp;"",INDEX(tt_Other,MATCH(D312,tt_Type,0))),""))</f>
        <v/>
      </c>
      <c r="W312" s="68">
        <f>IF(OR(TaxOn&lt;&gt;"Yes",NOT(ISNUMBER(M312))),0,IF(IFERROR(INDEX(tt_Tax,MATCH(D312,tt_Type,0)),"No")="Yes",M312,0))</f>
        <v/>
      </c>
      <c r="X312" s="67">
        <f>IF(T312=1,"",IF(C312="","Missing transaction date",IF(NOT(ISNUMBER(C312)),"Invalid date",IF(OR(C312&lt;DATE(2000,1,1),C312&gt;DATE(2099,12,31)),"Invalid date",IF(D312="","Select a type",IF(U312="","Unknown type: "&amp;D312,IF(V312="","Select an account (Category)",IF(ISNA(MATCH(V312,coa_Name,0)),"Unknown account: "&amp;V312,IF(K312="","Select Paid From / Deposited To",IF(ISNA(MATCH(K312,coa_Name,0)),"Unknown account: "&amp;K312,IF(NOT(ISNUMBER(L312)),"Enter an amount",IF(L312=0,"Enter an amount",IF(ABS(W312)&gt;ABS(L312),"Tax is larger than the amount","")))))))))))))</f>
        <v/>
      </c>
      <c r="Y312" s="67">
        <f>IF(OR(T312=1,X312&lt;&gt;""),"",IF(AND(B312&lt;&gt;"",COUNTIF(tx_ID,B312)&gt;1),"Duplicate transaction ID",IF(AND(L312&lt;0,D312&lt;&gt;"Adjustment"),"Negative amount — check this entry",IF(AND(D312="Customer Payment",G312=""),"Add the customer",IF(AND(D312="Customer Payment",OR(J312="",COUNTIF(ar_No,J312&amp;"")=0)),"Invoice # in Reference not found on AR sheet",IF(AND(D312="Bill Payment",H312=""),"Add the vendor",IF(AND(D312="Bill Payment",OR(J312="",COUNTIFS(ap_No,J312&amp;"",ap_Party,H312&amp;"")=0)),"Bill # + vendor not found on AP sheet",IF(AND(ISNUMBER(M312),N(M312)&lt;&gt;0,W312=0),"Tax ignored (tax tracking off, or not allowed for this type)",IF(V312=K312&amp;"","Same account on both sides",IF(AND(ISNUMBER(StartDate),C312&lt;StartDate),"Date is before the accounting start date",IF(AND(D312&lt;&gt;"Adjustment",IFERROR(INDEX(coa_Pay,MATCH(K312&amp;"",coa_Name,0)),"")&lt;&gt;"Yes"),"Paid From / Deposited To is not a payment account","")))))))))))</f>
        <v/>
      </c>
      <c r="Z312" s="67">
        <f>IF(AND(T312=0,X312=""),1,0)</f>
        <v/>
      </c>
      <c r="AA312" s="68">
        <f>IF(Z312=1,IF(U312="In",L312,L312-W312),0)</f>
        <v/>
      </c>
      <c r="AB312" s="68">
        <f>IF(Z312=1,IF(U312="In",L312-W312,L312),0)</f>
        <v/>
      </c>
      <c r="AC312" s="68">
        <f>IF(AND(Z312=1,U312="Out"),W312,0)</f>
        <v/>
      </c>
      <c r="AD312" s="68">
        <f>IF(AND(Z312=1,U312="In"),W312,0)</f>
        <v/>
      </c>
    </row>
    <row r="313">
      <c r="B313" s="62" t="inlineStr">
        <is>
          <t>TX-0307</t>
        </is>
      </c>
      <c r="C313" s="63" t="n">
        <v>46263</v>
      </c>
      <c r="D313" s="62" t="inlineStr">
        <is>
          <t>Bill Payment</t>
        </is>
      </c>
      <c r="E313" s="62" t="n"/>
      <c r="F313" s="62" t="inlineStr">
        <is>
          <t>Supplier payment</t>
        </is>
      </c>
      <c r="G313" s="62" t="n"/>
      <c r="H313" s="62" t="inlineStr">
        <is>
          <t>PackRight Supplies</t>
        </is>
      </c>
      <c r="I313" s="62" t="inlineStr">
        <is>
          <t>Bank Transfer</t>
        </is>
      </c>
      <c r="J313" s="62" t="inlineStr">
        <is>
          <t>PA-081</t>
        </is>
      </c>
      <c r="K313" s="62" t="inlineStr">
        <is>
          <t>Bank Account</t>
        </is>
      </c>
      <c r="L313" s="64" t="n">
        <v>8354.290000000001</v>
      </c>
      <c r="M313" s="64" t="n"/>
      <c r="N313" s="62" t="n"/>
      <c r="O313" s="65">
        <f>IF(Z313=1,L313-W313,"")</f>
        <v/>
      </c>
      <c r="P313" s="66">
        <f>IF(V313="","",IFERROR(INDEX(coa_Type,MATCH(V313,coa_Name,0)),""))</f>
        <v/>
      </c>
      <c r="Q313" s="66">
        <f>IF(Z313=1,IF(U313="In",K313&amp;"",V313),"")</f>
        <v/>
      </c>
      <c r="R313" s="66">
        <f>IF(Z313=1,IF(U313="In",V313,K313&amp;""),"")</f>
        <v/>
      </c>
      <c r="S313" s="66">
        <f>IF(X313&lt;&gt;"","⛔ "&amp;X313&amp;" — not posted",IF(Y313&lt;&gt;"","⚠ "&amp;Y313,IF(Z313=1,"✓ OK","")))</f>
        <v/>
      </c>
      <c r="T313" s="67">
        <f>IF(AND(C313="",D313="",E313="",L313="",K313=""),1,0)</f>
        <v/>
      </c>
      <c r="U313" s="67">
        <f>IFERROR(INDEX(tt_Dir,MATCH(D313,tt_Type,0)),"")</f>
        <v/>
      </c>
      <c r="V313" s="67">
        <f>IF(D313="","",IFERROR(IF(INDEX(tt_Other,MATCH(D313,tt_Type,0))="",E313&amp;"",INDEX(tt_Other,MATCH(D313,tt_Type,0))),""))</f>
        <v/>
      </c>
      <c r="W313" s="68">
        <f>IF(OR(TaxOn&lt;&gt;"Yes",NOT(ISNUMBER(M313))),0,IF(IFERROR(INDEX(tt_Tax,MATCH(D313,tt_Type,0)),"No")="Yes",M313,0))</f>
        <v/>
      </c>
      <c r="X313" s="67">
        <f>IF(T313=1,"",IF(C313="","Missing transaction date",IF(NOT(ISNUMBER(C313)),"Invalid date",IF(OR(C313&lt;DATE(2000,1,1),C313&gt;DATE(2099,12,31)),"Invalid date",IF(D313="","Select a type",IF(U313="","Unknown type: "&amp;D313,IF(V313="","Select an account (Category)",IF(ISNA(MATCH(V313,coa_Name,0)),"Unknown account: "&amp;V313,IF(K313="","Select Paid From / Deposited To",IF(ISNA(MATCH(K313,coa_Name,0)),"Unknown account: "&amp;K313,IF(NOT(ISNUMBER(L313)),"Enter an amount",IF(L313=0,"Enter an amount",IF(ABS(W313)&gt;ABS(L313),"Tax is larger than the amount","")))))))))))))</f>
        <v/>
      </c>
      <c r="Y313" s="67">
        <f>IF(OR(T313=1,X313&lt;&gt;""),"",IF(AND(B313&lt;&gt;"",COUNTIF(tx_ID,B313)&gt;1),"Duplicate transaction ID",IF(AND(L313&lt;0,D313&lt;&gt;"Adjustment"),"Negative amount — check this entry",IF(AND(D313="Customer Payment",G313=""),"Add the customer",IF(AND(D313="Customer Payment",OR(J313="",COUNTIF(ar_No,J313&amp;"")=0)),"Invoice # in Reference not found on AR sheet",IF(AND(D313="Bill Payment",H313=""),"Add the vendor",IF(AND(D313="Bill Payment",OR(J313="",COUNTIFS(ap_No,J313&amp;"",ap_Party,H313&amp;"")=0)),"Bill # + vendor not found on AP sheet",IF(AND(ISNUMBER(M313),N(M313)&lt;&gt;0,W313=0),"Tax ignored (tax tracking off, or not allowed for this type)",IF(V313=K313&amp;"","Same account on both sides",IF(AND(ISNUMBER(StartDate),C313&lt;StartDate),"Date is before the accounting start date",IF(AND(D313&lt;&gt;"Adjustment",IFERROR(INDEX(coa_Pay,MATCH(K313&amp;"",coa_Name,0)),"")&lt;&gt;"Yes"),"Paid From / Deposited To is not a payment account","")))))))))))</f>
        <v/>
      </c>
      <c r="Z313" s="67">
        <f>IF(AND(T313=0,X313=""),1,0)</f>
        <v/>
      </c>
      <c r="AA313" s="68">
        <f>IF(Z313=1,IF(U313="In",L313,L313-W313),0)</f>
        <v/>
      </c>
      <c r="AB313" s="68">
        <f>IF(Z313=1,IF(U313="In",L313-W313,L313),0)</f>
        <v/>
      </c>
      <c r="AC313" s="68">
        <f>IF(AND(Z313=1,U313="Out"),W313,0)</f>
        <v/>
      </c>
      <c r="AD313" s="68">
        <f>IF(AND(Z313=1,U313="In"),W313,0)</f>
        <v/>
      </c>
    </row>
    <row r="314">
      <c r="B314" s="62" t="inlineStr">
        <is>
          <t>TX-0308</t>
        </is>
      </c>
      <c r="C314" s="63" t="n">
        <v>46264</v>
      </c>
      <c r="D314" s="62" t="inlineStr">
        <is>
          <t>Adjustment</t>
        </is>
      </c>
      <c r="E314" s="62" t="inlineStr">
        <is>
          <t>Depreciation</t>
        </is>
      </c>
      <c r="F314" s="62" t="inlineStr">
        <is>
          <t>Monthly depreciation of equipment</t>
        </is>
      </c>
      <c r="G314" s="62" t="n"/>
      <c r="H314" s="62" t="n"/>
      <c r="I314" s="62" t="n"/>
      <c r="J314" s="62" t="n"/>
      <c r="K314" s="62" t="inlineStr">
        <is>
          <t>Accumulated Depreciation</t>
        </is>
      </c>
      <c r="L314" s="64" t="n">
        <v>3000</v>
      </c>
      <c r="M314" s="64" t="n"/>
      <c r="N314" s="62" t="n"/>
      <c r="O314" s="65">
        <f>IF(Z314=1,L314-W314,"")</f>
        <v/>
      </c>
      <c r="P314" s="66">
        <f>IF(V314="","",IFERROR(INDEX(coa_Type,MATCH(V314,coa_Name,0)),""))</f>
        <v/>
      </c>
      <c r="Q314" s="66">
        <f>IF(Z314=1,IF(U314="In",K314&amp;"",V314),"")</f>
        <v/>
      </c>
      <c r="R314" s="66">
        <f>IF(Z314=1,IF(U314="In",V314,K314&amp;""),"")</f>
        <v/>
      </c>
      <c r="S314" s="66">
        <f>IF(X314&lt;&gt;"","⛔ "&amp;X314&amp;" — not posted",IF(Y314&lt;&gt;"","⚠ "&amp;Y314,IF(Z314=1,"✓ OK","")))</f>
        <v/>
      </c>
      <c r="T314" s="67">
        <f>IF(AND(C314="",D314="",E314="",L314="",K314=""),1,0)</f>
        <v/>
      </c>
      <c r="U314" s="67">
        <f>IFERROR(INDEX(tt_Dir,MATCH(D314,tt_Type,0)),"")</f>
        <v/>
      </c>
      <c r="V314" s="67">
        <f>IF(D314="","",IFERROR(IF(INDEX(tt_Other,MATCH(D314,tt_Type,0))="",E314&amp;"",INDEX(tt_Other,MATCH(D314,tt_Type,0))),""))</f>
        <v/>
      </c>
      <c r="W314" s="68">
        <f>IF(OR(TaxOn&lt;&gt;"Yes",NOT(ISNUMBER(M314))),0,IF(IFERROR(INDEX(tt_Tax,MATCH(D314,tt_Type,0)),"No")="Yes",M314,0))</f>
        <v/>
      </c>
      <c r="X314" s="67">
        <f>IF(T314=1,"",IF(C314="","Missing transaction date",IF(NOT(ISNUMBER(C314)),"Invalid date",IF(OR(C314&lt;DATE(2000,1,1),C314&gt;DATE(2099,12,31)),"Invalid date",IF(D314="","Select a type",IF(U314="","Unknown type: "&amp;D314,IF(V314="","Select an account (Category)",IF(ISNA(MATCH(V314,coa_Name,0)),"Unknown account: "&amp;V314,IF(K314="","Select Paid From / Deposited To",IF(ISNA(MATCH(K314,coa_Name,0)),"Unknown account: "&amp;K314,IF(NOT(ISNUMBER(L314)),"Enter an amount",IF(L314=0,"Enter an amount",IF(ABS(W314)&gt;ABS(L314),"Tax is larger than the amount","")))))))))))))</f>
        <v/>
      </c>
      <c r="Y314" s="67">
        <f>IF(OR(T314=1,X314&lt;&gt;""),"",IF(AND(B314&lt;&gt;"",COUNTIF(tx_ID,B314)&gt;1),"Duplicate transaction ID",IF(AND(L314&lt;0,D314&lt;&gt;"Adjustment"),"Negative amount — check this entry",IF(AND(D314="Customer Payment",G314=""),"Add the customer",IF(AND(D314="Customer Payment",OR(J314="",COUNTIF(ar_No,J314&amp;"")=0)),"Invoice # in Reference not found on AR sheet",IF(AND(D314="Bill Payment",H314=""),"Add the vendor",IF(AND(D314="Bill Payment",OR(J314="",COUNTIFS(ap_No,J314&amp;"",ap_Party,H314&amp;"")=0)),"Bill # + vendor not found on AP sheet",IF(AND(ISNUMBER(M314),N(M314)&lt;&gt;0,W314=0),"Tax ignored (tax tracking off, or not allowed for this type)",IF(V314=K314&amp;"","Same account on both sides",IF(AND(ISNUMBER(StartDate),C314&lt;StartDate),"Date is before the accounting start date",IF(AND(D314&lt;&gt;"Adjustment",IFERROR(INDEX(coa_Pay,MATCH(K314&amp;"",coa_Name,0)),"")&lt;&gt;"Yes"),"Paid From / Deposited To is not a payment account","")))))))))))</f>
        <v/>
      </c>
      <c r="Z314" s="67">
        <f>IF(AND(T314=0,X314=""),1,0)</f>
        <v/>
      </c>
      <c r="AA314" s="68">
        <f>IF(Z314=1,IF(U314="In",L314,L314-W314),0)</f>
        <v/>
      </c>
      <c r="AB314" s="68">
        <f>IF(Z314=1,IF(U314="In",L314-W314,L314),0)</f>
        <v/>
      </c>
      <c r="AC314" s="68">
        <f>IF(AND(Z314=1,U314="Out"),W314,0)</f>
        <v/>
      </c>
      <c r="AD314" s="68">
        <f>IF(AND(Z314=1,U314="In"),W314,0)</f>
        <v/>
      </c>
    </row>
    <row r="315">
      <c r="B315" s="62" t="inlineStr">
        <is>
          <t>TX-0309</t>
        </is>
      </c>
      <c r="C315" s="63" t="n">
        <v>46266</v>
      </c>
      <c r="D315" s="62" t="inlineStr">
        <is>
          <t>Money Out</t>
        </is>
      </c>
      <c r="E315" s="62" t="inlineStr">
        <is>
          <t>Rent</t>
        </is>
      </c>
      <c r="F315" s="62" t="inlineStr">
        <is>
          <t>Shop rent</t>
        </is>
      </c>
      <c r="G315" s="62" t="n"/>
      <c r="H315" s="62" t="n"/>
      <c r="I315" s="62" t="inlineStr">
        <is>
          <t>Bank Transfer</t>
        </is>
      </c>
      <c r="J315" s="62" t="inlineStr">
        <is>
          <t>RENT-09</t>
        </is>
      </c>
      <c r="K315" s="62" t="inlineStr">
        <is>
          <t>Bank Account</t>
        </is>
      </c>
      <c r="L315" s="64" t="n">
        <v>28000</v>
      </c>
      <c r="M315" s="64" t="n">
        <v>3000</v>
      </c>
      <c r="N315" s="62" t="n"/>
      <c r="O315" s="65">
        <f>IF(Z315=1,L315-W315,"")</f>
        <v/>
      </c>
      <c r="P315" s="66">
        <f>IF(V315="","",IFERROR(INDEX(coa_Type,MATCH(V315,coa_Name,0)),""))</f>
        <v/>
      </c>
      <c r="Q315" s="66">
        <f>IF(Z315=1,IF(U315="In",K315&amp;"",V315),"")</f>
        <v/>
      </c>
      <c r="R315" s="66">
        <f>IF(Z315=1,IF(U315="In",V315,K315&amp;""),"")</f>
        <v/>
      </c>
      <c r="S315" s="66">
        <f>IF(X315&lt;&gt;"","⛔ "&amp;X315&amp;" — not posted",IF(Y315&lt;&gt;"","⚠ "&amp;Y315,IF(Z315=1,"✓ OK","")))</f>
        <v/>
      </c>
      <c r="T315" s="67">
        <f>IF(AND(C315="",D315="",E315="",L315="",K315=""),1,0)</f>
        <v/>
      </c>
      <c r="U315" s="67">
        <f>IFERROR(INDEX(tt_Dir,MATCH(D315,tt_Type,0)),"")</f>
        <v/>
      </c>
      <c r="V315" s="67">
        <f>IF(D315="","",IFERROR(IF(INDEX(tt_Other,MATCH(D315,tt_Type,0))="",E315&amp;"",INDEX(tt_Other,MATCH(D315,tt_Type,0))),""))</f>
        <v/>
      </c>
      <c r="W315" s="68">
        <f>IF(OR(TaxOn&lt;&gt;"Yes",NOT(ISNUMBER(M315))),0,IF(IFERROR(INDEX(tt_Tax,MATCH(D315,tt_Type,0)),"No")="Yes",M315,0))</f>
        <v/>
      </c>
      <c r="X315" s="67">
        <f>IF(T315=1,"",IF(C315="","Missing transaction date",IF(NOT(ISNUMBER(C315)),"Invalid date",IF(OR(C315&lt;DATE(2000,1,1),C315&gt;DATE(2099,12,31)),"Invalid date",IF(D315="","Select a type",IF(U315="","Unknown type: "&amp;D315,IF(V315="","Select an account (Category)",IF(ISNA(MATCH(V315,coa_Name,0)),"Unknown account: "&amp;V315,IF(K315="","Select Paid From / Deposited To",IF(ISNA(MATCH(K315,coa_Name,0)),"Unknown account: "&amp;K315,IF(NOT(ISNUMBER(L315)),"Enter an amount",IF(L315=0,"Enter an amount",IF(ABS(W315)&gt;ABS(L315),"Tax is larger than the amount","")))))))))))))</f>
        <v/>
      </c>
      <c r="Y315" s="67">
        <f>IF(OR(T315=1,X315&lt;&gt;""),"",IF(AND(B315&lt;&gt;"",COUNTIF(tx_ID,B315)&gt;1),"Duplicate transaction ID",IF(AND(L315&lt;0,D315&lt;&gt;"Adjustment"),"Negative amount — check this entry",IF(AND(D315="Customer Payment",G315=""),"Add the customer",IF(AND(D315="Customer Payment",OR(J315="",COUNTIF(ar_No,J315&amp;"")=0)),"Invoice # in Reference not found on AR sheet",IF(AND(D315="Bill Payment",H315=""),"Add the vendor",IF(AND(D315="Bill Payment",OR(J315="",COUNTIFS(ap_No,J315&amp;"",ap_Party,H315&amp;"")=0)),"Bill # + vendor not found on AP sheet",IF(AND(ISNUMBER(M315),N(M315)&lt;&gt;0,W315=0),"Tax ignored (tax tracking off, or not allowed for this type)",IF(V315=K315&amp;"","Same account on both sides",IF(AND(ISNUMBER(StartDate),C315&lt;StartDate),"Date is before the accounting start date",IF(AND(D315&lt;&gt;"Adjustment",IFERROR(INDEX(coa_Pay,MATCH(K315&amp;"",coa_Name,0)),"")&lt;&gt;"Yes"),"Paid From / Deposited To is not a payment account","")))))))))))</f>
        <v/>
      </c>
      <c r="Z315" s="67">
        <f>IF(AND(T315=0,X315=""),1,0)</f>
        <v/>
      </c>
      <c r="AA315" s="68">
        <f>IF(Z315=1,IF(U315="In",L315,L315-W315),0)</f>
        <v/>
      </c>
      <c r="AB315" s="68">
        <f>IF(Z315=1,IF(U315="In",L315-W315,L315),0)</f>
        <v/>
      </c>
      <c r="AC315" s="68">
        <f>IF(AND(Z315=1,U315="Out"),W315,0)</f>
        <v/>
      </c>
      <c r="AD315" s="68">
        <f>IF(AND(Z315=1,U315="In"),W315,0)</f>
        <v/>
      </c>
    </row>
    <row r="316">
      <c r="B316" s="62" t="inlineStr">
        <is>
          <t>TX-0310</t>
        </is>
      </c>
      <c r="C316" s="63" t="n">
        <v>46268</v>
      </c>
      <c r="D316" s="62" t="inlineStr">
        <is>
          <t>Customer Payment</t>
        </is>
      </c>
      <c r="E316" s="62" t="n"/>
      <c r="F316" s="62" t="inlineStr">
        <is>
          <t>Invoice payment</t>
        </is>
      </c>
      <c r="G316" s="62" t="inlineStr">
        <is>
          <t>Northwind Offices</t>
        </is>
      </c>
      <c r="H316" s="62" t="n"/>
      <c r="I316" s="62" t="inlineStr">
        <is>
          <t>Bank Transfer</t>
        </is>
      </c>
      <c r="J316" s="62" t="inlineStr">
        <is>
          <t>INV-1018</t>
        </is>
      </c>
      <c r="K316" s="62" t="inlineStr">
        <is>
          <t>Bank Account</t>
        </is>
      </c>
      <c r="L316" s="64" t="n">
        <v>37907.57</v>
      </c>
      <c r="M316" s="64" t="n"/>
      <c r="N316" s="62" t="n"/>
      <c r="O316" s="65">
        <f>IF(Z316=1,L316-W316,"")</f>
        <v/>
      </c>
      <c r="P316" s="66">
        <f>IF(V316="","",IFERROR(INDEX(coa_Type,MATCH(V316,coa_Name,0)),""))</f>
        <v/>
      </c>
      <c r="Q316" s="66">
        <f>IF(Z316=1,IF(U316="In",K316&amp;"",V316),"")</f>
        <v/>
      </c>
      <c r="R316" s="66">
        <f>IF(Z316=1,IF(U316="In",V316,K316&amp;""),"")</f>
        <v/>
      </c>
      <c r="S316" s="66">
        <f>IF(X316&lt;&gt;"","⛔ "&amp;X316&amp;" — not posted",IF(Y316&lt;&gt;"","⚠ "&amp;Y316,IF(Z316=1,"✓ OK","")))</f>
        <v/>
      </c>
      <c r="T316" s="67">
        <f>IF(AND(C316="",D316="",E316="",L316="",K316=""),1,0)</f>
        <v/>
      </c>
      <c r="U316" s="67">
        <f>IFERROR(INDEX(tt_Dir,MATCH(D316,tt_Type,0)),"")</f>
        <v/>
      </c>
      <c r="V316" s="67">
        <f>IF(D316="","",IFERROR(IF(INDEX(tt_Other,MATCH(D316,tt_Type,0))="",E316&amp;"",INDEX(tt_Other,MATCH(D316,tt_Type,0))),""))</f>
        <v/>
      </c>
      <c r="W316" s="68">
        <f>IF(OR(TaxOn&lt;&gt;"Yes",NOT(ISNUMBER(M316))),0,IF(IFERROR(INDEX(tt_Tax,MATCH(D316,tt_Type,0)),"No")="Yes",M316,0))</f>
        <v/>
      </c>
      <c r="X316" s="67">
        <f>IF(T316=1,"",IF(C316="","Missing transaction date",IF(NOT(ISNUMBER(C316)),"Invalid date",IF(OR(C316&lt;DATE(2000,1,1),C316&gt;DATE(2099,12,31)),"Invalid date",IF(D316="","Select a type",IF(U316="","Unknown type: "&amp;D316,IF(V316="","Select an account (Category)",IF(ISNA(MATCH(V316,coa_Name,0)),"Unknown account: "&amp;V316,IF(K316="","Select Paid From / Deposited To",IF(ISNA(MATCH(K316,coa_Name,0)),"Unknown account: "&amp;K316,IF(NOT(ISNUMBER(L316)),"Enter an amount",IF(L316=0,"Enter an amount",IF(ABS(W316)&gt;ABS(L316),"Tax is larger than the amount","")))))))))))))</f>
        <v/>
      </c>
      <c r="Y316" s="67">
        <f>IF(OR(T316=1,X316&lt;&gt;""),"",IF(AND(B316&lt;&gt;"",COUNTIF(tx_ID,B316)&gt;1),"Duplicate transaction ID",IF(AND(L316&lt;0,D316&lt;&gt;"Adjustment"),"Negative amount — check this entry",IF(AND(D316="Customer Payment",G316=""),"Add the customer",IF(AND(D316="Customer Payment",OR(J316="",COUNTIF(ar_No,J316&amp;"")=0)),"Invoice # in Reference not found on AR sheet",IF(AND(D316="Bill Payment",H316=""),"Add the vendor",IF(AND(D316="Bill Payment",OR(J316="",COUNTIFS(ap_No,J316&amp;"",ap_Party,H316&amp;"")=0)),"Bill # + vendor not found on AP sheet",IF(AND(ISNUMBER(M316),N(M316)&lt;&gt;0,W316=0),"Tax ignored (tax tracking off, or not allowed for this type)",IF(V316=K316&amp;"","Same account on both sides",IF(AND(ISNUMBER(StartDate),C316&lt;StartDate),"Date is before the accounting start date",IF(AND(D316&lt;&gt;"Adjustment",IFERROR(INDEX(coa_Pay,MATCH(K316&amp;"",coa_Name,0)),"")&lt;&gt;"Yes"),"Paid From / Deposited To is not a payment account","")))))))))))</f>
        <v/>
      </c>
      <c r="Z316" s="67">
        <f>IF(AND(T316=0,X316=""),1,0)</f>
        <v/>
      </c>
      <c r="AA316" s="68">
        <f>IF(Z316=1,IF(U316="In",L316,L316-W316),0)</f>
        <v/>
      </c>
      <c r="AB316" s="68">
        <f>IF(Z316=1,IF(U316="In",L316-W316,L316),0)</f>
        <v/>
      </c>
      <c r="AC316" s="68">
        <f>IF(AND(Z316=1,U316="Out"),W316,0)</f>
        <v/>
      </c>
      <c r="AD316" s="68">
        <f>IF(AND(Z316=1,U316="In"),W316,0)</f>
        <v/>
      </c>
    </row>
    <row r="317">
      <c r="B317" s="62" t="inlineStr">
        <is>
          <t>TX-0311</t>
        </is>
      </c>
      <c r="C317" s="63" t="n">
        <v>46269</v>
      </c>
      <c r="D317" s="62" t="inlineStr">
        <is>
          <t>Money In</t>
        </is>
      </c>
      <c r="E317" s="62" t="inlineStr">
        <is>
          <t>Product Sales</t>
        </is>
      </c>
      <c r="F317" s="62" t="inlineStr">
        <is>
          <t>Counter sales week 1</t>
        </is>
      </c>
      <c r="G317" s="62" t="n"/>
      <c r="H317" s="62" t="n"/>
      <c r="I317" s="62" t="inlineStr">
        <is>
          <t>Cash</t>
        </is>
      </c>
      <c r="J317" s="62" t="n"/>
      <c r="K317" s="62" t="inlineStr">
        <is>
          <t>Cash on Hand</t>
        </is>
      </c>
      <c r="L317" s="64" t="n">
        <v>55687.5</v>
      </c>
      <c r="M317" s="64" t="n">
        <v>5966.52</v>
      </c>
      <c r="N317" s="62" t="n"/>
      <c r="O317" s="65">
        <f>IF(Z317=1,L317-W317,"")</f>
        <v/>
      </c>
      <c r="P317" s="66">
        <f>IF(V317="","",IFERROR(INDEX(coa_Type,MATCH(V317,coa_Name,0)),""))</f>
        <v/>
      </c>
      <c r="Q317" s="66">
        <f>IF(Z317=1,IF(U317="In",K317&amp;"",V317),"")</f>
        <v/>
      </c>
      <c r="R317" s="66">
        <f>IF(Z317=1,IF(U317="In",V317,K317&amp;""),"")</f>
        <v/>
      </c>
      <c r="S317" s="66">
        <f>IF(X317&lt;&gt;"","⛔ "&amp;X317&amp;" — not posted",IF(Y317&lt;&gt;"","⚠ "&amp;Y317,IF(Z317=1,"✓ OK","")))</f>
        <v/>
      </c>
      <c r="T317" s="67">
        <f>IF(AND(C317="",D317="",E317="",L317="",K317=""),1,0)</f>
        <v/>
      </c>
      <c r="U317" s="67">
        <f>IFERROR(INDEX(tt_Dir,MATCH(D317,tt_Type,0)),"")</f>
        <v/>
      </c>
      <c r="V317" s="67">
        <f>IF(D317="","",IFERROR(IF(INDEX(tt_Other,MATCH(D317,tt_Type,0))="",E317&amp;"",INDEX(tt_Other,MATCH(D317,tt_Type,0))),""))</f>
        <v/>
      </c>
      <c r="W317" s="68">
        <f>IF(OR(TaxOn&lt;&gt;"Yes",NOT(ISNUMBER(M317))),0,IF(IFERROR(INDEX(tt_Tax,MATCH(D317,tt_Type,0)),"No")="Yes",M317,0))</f>
        <v/>
      </c>
      <c r="X317" s="67">
        <f>IF(T317=1,"",IF(C317="","Missing transaction date",IF(NOT(ISNUMBER(C317)),"Invalid date",IF(OR(C317&lt;DATE(2000,1,1),C317&gt;DATE(2099,12,31)),"Invalid date",IF(D317="","Select a type",IF(U317="","Unknown type: "&amp;D317,IF(V317="","Select an account (Category)",IF(ISNA(MATCH(V317,coa_Name,0)),"Unknown account: "&amp;V317,IF(K317="","Select Paid From / Deposited To",IF(ISNA(MATCH(K317,coa_Name,0)),"Unknown account: "&amp;K317,IF(NOT(ISNUMBER(L317)),"Enter an amount",IF(L317=0,"Enter an amount",IF(ABS(W317)&gt;ABS(L317),"Tax is larger than the amount","")))))))))))))</f>
        <v/>
      </c>
      <c r="Y317" s="67">
        <f>IF(OR(T317=1,X317&lt;&gt;""),"",IF(AND(B317&lt;&gt;"",COUNTIF(tx_ID,B317)&gt;1),"Duplicate transaction ID",IF(AND(L317&lt;0,D317&lt;&gt;"Adjustment"),"Negative amount — check this entry",IF(AND(D317="Customer Payment",G317=""),"Add the customer",IF(AND(D317="Customer Payment",OR(J317="",COUNTIF(ar_No,J317&amp;"")=0)),"Invoice # in Reference not found on AR sheet",IF(AND(D317="Bill Payment",H317=""),"Add the vendor",IF(AND(D317="Bill Payment",OR(J317="",COUNTIFS(ap_No,J317&amp;"",ap_Party,H317&amp;"")=0)),"Bill # + vendor not found on AP sheet",IF(AND(ISNUMBER(M317),N(M317)&lt;&gt;0,W317=0),"Tax ignored (tax tracking off, or not allowed for this type)",IF(V317=K317&amp;"","Same account on both sides",IF(AND(ISNUMBER(StartDate),C317&lt;StartDate),"Date is before the accounting start date",IF(AND(D317&lt;&gt;"Adjustment",IFERROR(INDEX(coa_Pay,MATCH(K317&amp;"",coa_Name,0)),"")&lt;&gt;"Yes"),"Paid From / Deposited To is not a payment account","")))))))))))</f>
        <v/>
      </c>
      <c r="Z317" s="67">
        <f>IF(AND(T317=0,X317=""),1,0)</f>
        <v/>
      </c>
      <c r="AA317" s="68">
        <f>IF(Z317=1,IF(U317="In",L317,L317-W317),0)</f>
        <v/>
      </c>
      <c r="AB317" s="68">
        <f>IF(Z317=1,IF(U317="In",L317-W317,L317),0)</f>
        <v/>
      </c>
      <c r="AC317" s="68">
        <f>IF(AND(Z317=1,U317="Out"),W317,0)</f>
        <v/>
      </c>
      <c r="AD317" s="68">
        <f>IF(AND(Z317=1,U317="In"),W317,0)</f>
        <v/>
      </c>
    </row>
    <row r="318">
      <c r="B318" s="62" t="inlineStr">
        <is>
          <t>TX-0312</t>
        </is>
      </c>
      <c r="C318" s="63" t="n">
        <v>46270</v>
      </c>
      <c r="D318" s="62" t="inlineStr">
        <is>
          <t>Money In</t>
        </is>
      </c>
      <c r="E318" s="62" t="inlineStr">
        <is>
          <t>Product Sales</t>
        </is>
      </c>
      <c r="F318" s="62" t="inlineStr">
        <is>
          <t>GCash / online orders week 1</t>
        </is>
      </c>
      <c r="G318" s="62" t="n"/>
      <c r="H318" s="62" t="n"/>
      <c r="I318" s="62" t="inlineStr">
        <is>
          <t>E-Wallet</t>
        </is>
      </c>
      <c r="J318" s="62" t="n"/>
      <c r="K318" s="62" t="inlineStr">
        <is>
          <t>E-Wallet / Online Payments</t>
        </is>
      </c>
      <c r="L318" s="64" t="n">
        <v>15106.24</v>
      </c>
      <c r="M318" s="64" t="n">
        <v>1618.53</v>
      </c>
      <c r="N318" s="62" t="n"/>
      <c r="O318" s="65">
        <f>IF(Z318=1,L318-W318,"")</f>
        <v/>
      </c>
      <c r="P318" s="66">
        <f>IF(V318="","",IFERROR(INDEX(coa_Type,MATCH(V318,coa_Name,0)),""))</f>
        <v/>
      </c>
      <c r="Q318" s="66">
        <f>IF(Z318=1,IF(U318="In",K318&amp;"",V318),"")</f>
        <v/>
      </c>
      <c r="R318" s="66">
        <f>IF(Z318=1,IF(U318="In",V318,K318&amp;""),"")</f>
        <v/>
      </c>
      <c r="S318" s="66">
        <f>IF(X318&lt;&gt;"","⛔ "&amp;X318&amp;" — not posted",IF(Y318&lt;&gt;"","⚠ "&amp;Y318,IF(Z318=1,"✓ OK","")))</f>
        <v/>
      </c>
      <c r="T318" s="67">
        <f>IF(AND(C318="",D318="",E318="",L318="",K318=""),1,0)</f>
        <v/>
      </c>
      <c r="U318" s="67">
        <f>IFERROR(INDEX(tt_Dir,MATCH(D318,tt_Type,0)),"")</f>
        <v/>
      </c>
      <c r="V318" s="67">
        <f>IF(D318="","",IFERROR(IF(INDEX(tt_Other,MATCH(D318,tt_Type,0))="",E318&amp;"",INDEX(tt_Other,MATCH(D318,tt_Type,0))),""))</f>
        <v/>
      </c>
      <c r="W318" s="68">
        <f>IF(OR(TaxOn&lt;&gt;"Yes",NOT(ISNUMBER(M318))),0,IF(IFERROR(INDEX(tt_Tax,MATCH(D318,tt_Type,0)),"No")="Yes",M318,0))</f>
        <v/>
      </c>
      <c r="X318" s="67">
        <f>IF(T318=1,"",IF(C318="","Missing transaction date",IF(NOT(ISNUMBER(C318)),"Invalid date",IF(OR(C318&lt;DATE(2000,1,1),C318&gt;DATE(2099,12,31)),"Invalid date",IF(D318="","Select a type",IF(U318="","Unknown type: "&amp;D318,IF(V318="","Select an account (Category)",IF(ISNA(MATCH(V318,coa_Name,0)),"Unknown account: "&amp;V318,IF(K318="","Select Paid From / Deposited To",IF(ISNA(MATCH(K318,coa_Name,0)),"Unknown account: "&amp;K318,IF(NOT(ISNUMBER(L318)),"Enter an amount",IF(L318=0,"Enter an amount",IF(ABS(W318)&gt;ABS(L318),"Tax is larger than the amount","")))))))))))))</f>
        <v/>
      </c>
      <c r="Y318" s="67">
        <f>IF(OR(T318=1,X318&lt;&gt;""),"",IF(AND(B318&lt;&gt;"",COUNTIF(tx_ID,B318)&gt;1),"Duplicate transaction ID",IF(AND(L318&lt;0,D318&lt;&gt;"Adjustment"),"Negative amount — check this entry",IF(AND(D318="Customer Payment",G318=""),"Add the customer",IF(AND(D318="Customer Payment",OR(J318="",COUNTIF(ar_No,J318&amp;"")=0)),"Invoice # in Reference not found on AR sheet",IF(AND(D318="Bill Payment",H318=""),"Add the vendor",IF(AND(D318="Bill Payment",OR(J318="",COUNTIFS(ap_No,J318&amp;"",ap_Party,H318&amp;"")=0)),"Bill # + vendor not found on AP sheet",IF(AND(ISNUMBER(M318),N(M318)&lt;&gt;0,W318=0),"Tax ignored (tax tracking off, or not allowed for this type)",IF(V318=K318&amp;"","Same account on both sides",IF(AND(ISNUMBER(StartDate),C318&lt;StartDate),"Date is before the accounting start date",IF(AND(D318&lt;&gt;"Adjustment",IFERROR(INDEX(coa_Pay,MATCH(K318&amp;"",coa_Name,0)),"")&lt;&gt;"Yes"),"Paid From / Deposited To is not a payment account","")))))))))))</f>
        <v/>
      </c>
      <c r="Z318" s="67">
        <f>IF(AND(T318=0,X318=""),1,0)</f>
        <v/>
      </c>
      <c r="AA318" s="68">
        <f>IF(Z318=1,IF(U318="In",L318,L318-W318),0)</f>
        <v/>
      </c>
      <c r="AB318" s="68">
        <f>IF(Z318=1,IF(U318="In",L318-W318,L318),0)</f>
        <v/>
      </c>
      <c r="AC318" s="68">
        <f>IF(AND(Z318=1,U318="Out"),W318,0)</f>
        <v/>
      </c>
      <c r="AD318" s="68">
        <f>IF(AND(Z318=1,U318="In"),W318,0)</f>
        <v/>
      </c>
    </row>
    <row r="319">
      <c r="B319" s="62" t="inlineStr">
        <is>
          <t>TX-0313</t>
        </is>
      </c>
      <c r="C319" s="63" t="n">
        <v>46270</v>
      </c>
      <c r="D319" s="62" t="inlineStr">
        <is>
          <t>Transfer</t>
        </is>
      </c>
      <c r="E319" s="62" t="inlineStr">
        <is>
          <t>Credit Card</t>
        </is>
      </c>
      <c r="F319" s="62" t="inlineStr">
        <is>
          <t>Credit card payment</t>
        </is>
      </c>
      <c r="G319" s="62" t="n"/>
      <c r="H319" s="62" t="n"/>
      <c r="I319" s="62" t="inlineStr">
        <is>
          <t>Bank Transfer</t>
        </is>
      </c>
      <c r="J319" s="62" t="n"/>
      <c r="K319" s="62" t="inlineStr">
        <is>
          <t>Bank Account</t>
        </is>
      </c>
      <c r="L319" s="64" t="n">
        <v>6284.68</v>
      </c>
      <c r="M319" s="64" t="n"/>
      <c r="N319" s="62" t="n"/>
      <c r="O319" s="65">
        <f>IF(Z319=1,L319-W319,"")</f>
        <v/>
      </c>
      <c r="P319" s="66">
        <f>IF(V319="","",IFERROR(INDEX(coa_Type,MATCH(V319,coa_Name,0)),""))</f>
        <v/>
      </c>
      <c r="Q319" s="66">
        <f>IF(Z319=1,IF(U319="In",K319&amp;"",V319),"")</f>
        <v/>
      </c>
      <c r="R319" s="66">
        <f>IF(Z319=1,IF(U319="In",V319,K319&amp;""),"")</f>
        <v/>
      </c>
      <c r="S319" s="66">
        <f>IF(X319&lt;&gt;"","⛔ "&amp;X319&amp;" — not posted",IF(Y319&lt;&gt;"","⚠ "&amp;Y319,IF(Z319=1,"✓ OK","")))</f>
        <v/>
      </c>
      <c r="T319" s="67">
        <f>IF(AND(C319="",D319="",E319="",L319="",K319=""),1,0)</f>
        <v/>
      </c>
      <c r="U319" s="67">
        <f>IFERROR(INDEX(tt_Dir,MATCH(D319,tt_Type,0)),"")</f>
        <v/>
      </c>
      <c r="V319" s="67">
        <f>IF(D319="","",IFERROR(IF(INDEX(tt_Other,MATCH(D319,tt_Type,0))="",E319&amp;"",INDEX(tt_Other,MATCH(D319,tt_Type,0))),""))</f>
        <v/>
      </c>
      <c r="W319" s="68">
        <f>IF(OR(TaxOn&lt;&gt;"Yes",NOT(ISNUMBER(M319))),0,IF(IFERROR(INDEX(tt_Tax,MATCH(D319,tt_Type,0)),"No")="Yes",M319,0))</f>
        <v/>
      </c>
      <c r="X319" s="67">
        <f>IF(T319=1,"",IF(C319="","Missing transaction date",IF(NOT(ISNUMBER(C319)),"Invalid date",IF(OR(C319&lt;DATE(2000,1,1),C319&gt;DATE(2099,12,31)),"Invalid date",IF(D319="","Select a type",IF(U319="","Unknown type: "&amp;D319,IF(V319="","Select an account (Category)",IF(ISNA(MATCH(V319,coa_Name,0)),"Unknown account: "&amp;V319,IF(K319="","Select Paid From / Deposited To",IF(ISNA(MATCH(K319,coa_Name,0)),"Unknown account: "&amp;K319,IF(NOT(ISNUMBER(L319)),"Enter an amount",IF(L319=0,"Enter an amount",IF(ABS(W319)&gt;ABS(L319),"Tax is larger than the amount","")))))))))))))</f>
        <v/>
      </c>
      <c r="Y319" s="67">
        <f>IF(OR(T319=1,X319&lt;&gt;""),"",IF(AND(B319&lt;&gt;"",COUNTIF(tx_ID,B319)&gt;1),"Duplicate transaction ID",IF(AND(L319&lt;0,D319&lt;&gt;"Adjustment"),"Negative amount — check this entry",IF(AND(D319="Customer Payment",G319=""),"Add the customer",IF(AND(D319="Customer Payment",OR(J319="",COUNTIF(ar_No,J319&amp;"")=0)),"Invoice # in Reference not found on AR sheet",IF(AND(D319="Bill Payment",H319=""),"Add the vendor",IF(AND(D319="Bill Payment",OR(J319="",COUNTIFS(ap_No,J319&amp;"",ap_Party,H319&amp;"")=0)),"Bill # + vendor not found on AP sheet",IF(AND(ISNUMBER(M319),N(M319)&lt;&gt;0,W319=0),"Tax ignored (tax tracking off, or not allowed for this type)",IF(V319=K319&amp;"","Same account on both sides",IF(AND(ISNUMBER(StartDate),C319&lt;StartDate),"Date is before the accounting start date",IF(AND(D319&lt;&gt;"Adjustment",IFERROR(INDEX(coa_Pay,MATCH(K319&amp;"",coa_Name,0)),"")&lt;&gt;"Yes"),"Paid From / Deposited To is not a payment account","")))))))))))</f>
        <v/>
      </c>
      <c r="Z319" s="67">
        <f>IF(AND(T319=0,X319=""),1,0)</f>
        <v/>
      </c>
      <c r="AA319" s="68">
        <f>IF(Z319=1,IF(U319="In",L319,L319-W319),0)</f>
        <v/>
      </c>
      <c r="AB319" s="68">
        <f>IF(Z319=1,IF(U319="In",L319-W319,L319),0)</f>
        <v/>
      </c>
      <c r="AC319" s="68">
        <f>IF(AND(Z319=1,U319="Out"),W319,0)</f>
        <v/>
      </c>
      <c r="AD319" s="68">
        <f>IF(AND(Z319=1,U319="In"),W319,0)</f>
        <v/>
      </c>
    </row>
    <row r="320">
      <c r="B320" s="62" t="inlineStr">
        <is>
          <t>TX-0314</t>
        </is>
      </c>
      <c r="C320" s="63" t="n">
        <v>46271</v>
      </c>
      <c r="D320" s="62" t="inlineStr">
        <is>
          <t>Transfer</t>
        </is>
      </c>
      <c r="E320" s="62" t="inlineStr">
        <is>
          <t>Bank Account</t>
        </is>
      </c>
      <c r="F320" s="62" t="inlineStr">
        <is>
          <t>Cash deposit to bank</t>
        </is>
      </c>
      <c r="G320" s="62" t="n"/>
      <c r="H320" s="62" t="n"/>
      <c r="I320" s="62" t="inlineStr">
        <is>
          <t>Cash</t>
        </is>
      </c>
      <c r="J320" s="62" t="n"/>
      <c r="K320" s="62" t="inlineStr">
        <is>
          <t>Cash on Hand</t>
        </is>
      </c>
      <c r="L320" s="64" t="n">
        <v>47300</v>
      </c>
      <c r="M320" s="64" t="n"/>
      <c r="N320" s="62" t="n"/>
      <c r="O320" s="65">
        <f>IF(Z320=1,L320-W320,"")</f>
        <v/>
      </c>
      <c r="P320" s="66">
        <f>IF(V320="","",IFERROR(INDEX(coa_Type,MATCH(V320,coa_Name,0)),""))</f>
        <v/>
      </c>
      <c r="Q320" s="66">
        <f>IF(Z320=1,IF(U320="In",K320&amp;"",V320),"")</f>
        <v/>
      </c>
      <c r="R320" s="66">
        <f>IF(Z320=1,IF(U320="In",V320,K320&amp;""),"")</f>
        <v/>
      </c>
      <c r="S320" s="66">
        <f>IF(X320&lt;&gt;"","⛔ "&amp;X320&amp;" — not posted",IF(Y320&lt;&gt;"","⚠ "&amp;Y320,IF(Z320=1,"✓ OK","")))</f>
        <v/>
      </c>
      <c r="T320" s="67">
        <f>IF(AND(C320="",D320="",E320="",L320="",K320=""),1,0)</f>
        <v/>
      </c>
      <c r="U320" s="67">
        <f>IFERROR(INDEX(tt_Dir,MATCH(D320,tt_Type,0)),"")</f>
        <v/>
      </c>
      <c r="V320" s="67">
        <f>IF(D320="","",IFERROR(IF(INDEX(tt_Other,MATCH(D320,tt_Type,0))="",E320&amp;"",INDEX(tt_Other,MATCH(D320,tt_Type,0))),""))</f>
        <v/>
      </c>
      <c r="W320" s="68">
        <f>IF(OR(TaxOn&lt;&gt;"Yes",NOT(ISNUMBER(M320))),0,IF(IFERROR(INDEX(tt_Tax,MATCH(D320,tt_Type,0)),"No")="Yes",M320,0))</f>
        <v/>
      </c>
      <c r="X320" s="67">
        <f>IF(T320=1,"",IF(C320="","Missing transaction date",IF(NOT(ISNUMBER(C320)),"Invalid date",IF(OR(C320&lt;DATE(2000,1,1),C320&gt;DATE(2099,12,31)),"Invalid date",IF(D320="","Select a type",IF(U320="","Unknown type: "&amp;D320,IF(V320="","Select an account (Category)",IF(ISNA(MATCH(V320,coa_Name,0)),"Unknown account: "&amp;V320,IF(K320="","Select Paid From / Deposited To",IF(ISNA(MATCH(K320,coa_Name,0)),"Unknown account: "&amp;K320,IF(NOT(ISNUMBER(L320)),"Enter an amount",IF(L320=0,"Enter an amount",IF(ABS(W320)&gt;ABS(L320),"Tax is larger than the amount","")))))))))))))</f>
        <v/>
      </c>
      <c r="Y320" s="67">
        <f>IF(OR(T320=1,X320&lt;&gt;""),"",IF(AND(B320&lt;&gt;"",COUNTIF(tx_ID,B320)&gt;1),"Duplicate transaction ID",IF(AND(L320&lt;0,D320&lt;&gt;"Adjustment"),"Negative amount — check this entry",IF(AND(D320="Customer Payment",G320=""),"Add the customer",IF(AND(D320="Customer Payment",OR(J320="",COUNTIF(ar_No,J320&amp;"")=0)),"Invoice # in Reference not found on AR sheet",IF(AND(D320="Bill Payment",H320=""),"Add the vendor",IF(AND(D320="Bill Payment",OR(J320="",COUNTIFS(ap_No,J320&amp;"",ap_Party,H320&amp;"")=0)),"Bill # + vendor not found on AP sheet",IF(AND(ISNUMBER(M320),N(M320)&lt;&gt;0,W320=0),"Tax ignored (tax tracking off, or not allowed for this type)",IF(V320=K320&amp;"","Same account on both sides",IF(AND(ISNUMBER(StartDate),C320&lt;StartDate),"Date is before the accounting start date",IF(AND(D320&lt;&gt;"Adjustment",IFERROR(INDEX(coa_Pay,MATCH(K320&amp;"",coa_Name,0)),"")&lt;&gt;"Yes"),"Paid From / Deposited To is not a payment account","")))))))))))</f>
        <v/>
      </c>
      <c r="Z320" s="67">
        <f>IF(AND(T320=0,X320=""),1,0)</f>
        <v/>
      </c>
      <c r="AA320" s="68">
        <f>IF(Z320=1,IF(U320="In",L320,L320-W320),0)</f>
        <v/>
      </c>
      <c r="AB320" s="68">
        <f>IF(Z320=1,IF(U320="In",L320-W320,L320),0)</f>
        <v/>
      </c>
      <c r="AC320" s="68">
        <f>IF(AND(Z320=1,U320="Out"),W320,0)</f>
        <v/>
      </c>
      <c r="AD320" s="68">
        <f>IF(AND(Z320=1,U320="In"),W320,0)</f>
        <v/>
      </c>
    </row>
    <row r="321">
      <c r="B321" s="62" t="inlineStr">
        <is>
          <t>TX-0315</t>
        </is>
      </c>
      <c r="C321" s="63" t="n">
        <v>46271</v>
      </c>
      <c r="D321" s="62" t="inlineStr">
        <is>
          <t>Money Out</t>
        </is>
      </c>
      <c r="E321" s="62" t="inlineStr">
        <is>
          <t>Other Direct Costs</t>
        </is>
      </c>
      <c r="F321" s="62" t="inlineStr">
        <is>
          <t>Boxes &amp; paper bags (market)</t>
        </is>
      </c>
      <c r="G321" s="62" t="n"/>
      <c r="H321" s="62" t="n"/>
      <c r="I321" s="62" t="inlineStr">
        <is>
          <t>Cash</t>
        </is>
      </c>
      <c r="J321" s="62" t="n"/>
      <c r="K321" s="62" t="inlineStr">
        <is>
          <t>Cash on Hand</t>
        </is>
      </c>
      <c r="L321" s="64" t="n">
        <v>3206.02</v>
      </c>
      <c r="M321" s="64" t="n">
        <v>343.5</v>
      </c>
      <c r="N321" s="62" t="n"/>
      <c r="O321" s="65">
        <f>IF(Z321=1,L321-W321,"")</f>
        <v/>
      </c>
      <c r="P321" s="66">
        <f>IF(V321="","",IFERROR(INDEX(coa_Type,MATCH(V321,coa_Name,0)),""))</f>
        <v/>
      </c>
      <c r="Q321" s="66">
        <f>IF(Z321=1,IF(U321="In",K321&amp;"",V321),"")</f>
        <v/>
      </c>
      <c r="R321" s="66">
        <f>IF(Z321=1,IF(U321="In",V321,K321&amp;""),"")</f>
        <v/>
      </c>
      <c r="S321" s="66">
        <f>IF(X321&lt;&gt;"","⛔ "&amp;X321&amp;" — not posted",IF(Y321&lt;&gt;"","⚠ "&amp;Y321,IF(Z321=1,"✓ OK","")))</f>
        <v/>
      </c>
      <c r="T321" s="67">
        <f>IF(AND(C321="",D321="",E321="",L321="",K321=""),1,0)</f>
        <v/>
      </c>
      <c r="U321" s="67">
        <f>IFERROR(INDEX(tt_Dir,MATCH(D321,tt_Type,0)),"")</f>
        <v/>
      </c>
      <c r="V321" s="67">
        <f>IF(D321="","",IFERROR(IF(INDEX(tt_Other,MATCH(D321,tt_Type,0))="",E321&amp;"",INDEX(tt_Other,MATCH(D321,tt_Type,0))),""))</f>
        <v/>
      </c>
      <c r="W321" s="68">
        <f>IF(OR(TaxOn&lt;&gt;"Yes",NOT(ISNUMBER(M321))),0,IF(IFERROR(INDEX(tt_Tax,MATCH(D321,tt_Type,0)),"No")="Yes",M321,0))</f>
        <v/>
      </c>
      <c r="X321" s="67">
        <f>IF(T321=1,"",IF(C321="","Missing transaction date",IF(NOT(ISNUMBER(C321)),"Invalid date",IF(OR(C321&lt;DATE(2000,1,1),C321&gt;DATE(2099,12,31)),"Invalid date",IF(D321="","Select a type",IF(U321="","Unknown type: "&amp;D321,IF(V321="","Select an account (Category)",IF(ISNA(MATCH(V321,coa_Name,0)),"Unknown account: "&amp;V321,IF(K321="","Select Paid From / Deposited To",IF(ISNA(MATCH(K321,coa_Name,0)),"Unknown account: "&amp;K321,IF(NOT(ISNUMBER(L321)),"Enter an amount",IF(L321=0,"Enter an amount",IF(ABS(W321)&gt;ABS(L321),"Tax is larger than the amount","")))))))))))))</f>
        <v/>
      </c>
      <c r="Y321" s="67">
        <f>IF(OR(T321=1,X321&lt;&gt;""),"",IF(AND(B321&lt;&gt;"",COUNTIF(tx_ID,B321)&gt;1),"Duplicate transaction ID",IF(AND(L321&lt;0,D321&lt;&gt;"Adjustment"),"Negative amount — check this entry",IF(AND(D321="Customer Payment",G321=""),"Add the customer",IF(AND(D321="Customer Payment",OR(J321="",COUNTIF(ar_No,J321&amp;"")=0)),"Invoice # in Reference not found on AR sheet",IF(AND(D321="Bill Payment",H321=""),"Add the vendor",IF(AND(D321="Bill Payment",OR(J321="",COUNTIFS(ap_No,J321&amp;"",ap_Party,H321&amp;"")=0)),"Bill # + vendor not found on AP sheet",IF(AND(ISNUMBER(M321),N(M321)&lt;&gt;0,W321=0),"Tax ignored (tax tracking off, or not allowed for this type)",IF(V321=K321&amp;"","Same account on both sides",IF(AND(ISNUMBER(StartDate),C321&lt;StartDate),"Date is before the accounting start date",IF(AND(D321&lt;&gt;"Adjustment",IFERROR(INDEX(coa_Pay,MATCH(K321&amp;"",coa_Name,0)),"")&lt;&gt;"Yes"),"Paid From / Deposited To is not a payment account","")))))))))))</f>
        <v/>
      </c>
      <c r="Z321" s="67">
        <f>IF(AND(T321=0,X321=""),1,0)</f>
        <v/>
      </c>
      <c r="AA321" s="68">
        <f>IF(Z321=1,IF(U321="In",L321,L321-W321),0)</f>
        <v/>
      </c>
      <c r="AB321" s="68">
        <f>IF(Z321=1,IF(U321="In",L321-W321,L321),0)</f>
        <v/>
      </c>
      <c r="AC321" s="68">
        <f>IF(AND(Z321=1,U321="Out"),W321,0)</f>
        <v/>
      </c>
      <c r="AD321" s="68">
        <f>IF(AND(Z321=1,U321="In"),W321,0)</f>
        <v/>
      </c>
    </row>
    <row r="322">
      <c r="B322" s="62" t="inlineStr">
        <is>
          <t>TX-0316</t>
        </is>
      </c>
      <c r="C322" s="63" t="n">
        <v>46272</v>
      </c>
      <c r="D322" s="62" t="inlineStr">
        <is>
          <t>Customer Payment</t>
        </is>
      </c>
      <c r="E322" s="62" t="n"/>
      <c r="F322" s="62" t="inlineStr">
        <is>
          <t>Invoice payment</t>
        </is>
      </c>
      <c r="G322" s="62" t="inlineStr">
        <is>
          <t>Northwind Offices</t>
        </is>
      </c>
      <c r="H322" s="62" t="n"/>
      <c r="I322" s="62" t="inlineStr">
        <is>
          <t>Bank Transfer</t>
        </is>
      </c>
      <c r="J322" s="62" t="inlineStr">
        <is>
          <t>INV-1016</t>
        </is>
      </c>
      <c r="K322" s="62" t="inlineStr">
        <is>
          <t>Bank Account</t>
        </is>
      </c>
      <c r="L322" s="64" t="n">
        <v>32512.92</v>
      </c>
      <c r="M322" s="64" t="n"/>
      <c r="N322" s="62" t="n"/>
      <c r="O322" s="65">
        <f>IF(Z322=1,L322-W322,"")</f>
        <v/>
      </c>
      <c r="P322" s="66">
        <f>IF(V322="","",IFERROR(INDEX(coa_Type,MATCH(V322,coa_Name,0)),""))</f>
        <v/>
      </c>
      <c r="Q322" s="66">
        <f>IF(Z322=1,IF(U322="In",K322&amp;"",V322),"")</f>
        <v/>
      </c>
      <c r="R322" s="66">
        <f>IF(Z322=1,IF(U322="In",V322,K322&amp;""),"")</f>
        <v/>
      </c>
      <c r="S322" s="66">
        <f>IF(X322&lt;&gt;"","⛔ "&amp;X322&amp;" — not posted",IF(Y322&lt;&gt;"","⚠ "&amp;Y322,IF(Z322=1,"✓ OK","")))</f>
        <v/>
      </c>
      <c r="T322" s="67">
        <f>IF(AND(C322="",D322="",E322="",L322="",K322=""),1,0)</f>
        <v/>
      </c>
      <c r="U322" s="67">
        <f>IFERROR(INDEX(tt_Dir,MATCH(D322,tt_Type,0)),"")</f>
        <v/>
      </c>
      <c r="V322" s="67">
        <f>IF(D322="","",IFERROR(IF(INDEX(tt_Other,MATCH(D322,tt_Type,0))="",E322&amp;"",INDEX(tt_Other,MATCH(D322,tt_Type,0))),""))</f>
        <v/>
      </c>
      <c r="W322" s="68">
        <f>IF(OR(TaxOn&lt;&gt;"Yes",NOT(ISNUMBER(M322))),0,IF(IFERROR(INDEX(tt_Tax,MATCH(D322,tt_Type,0)),"No")="Yes",M322,0))</f>
        <v/>
      </c>
      <c r="X322" s="67">
        <f>IF(T322=1,"",IF(C322="","Missing transaction date",IF(NOT(ISNUMBER(C322)),"Invalid date",IF(OR(C322&lt;DATE(2000,1,1),C322&gt;DATE(2099,12,31)),"Invalid date",IF(D322="","Select a type",IF(U322="","Unknown type: "&amp;D322,IF(V322="","Select an account (Category)",IF(ISNA(MATCH(V322,coa_Name,0)),"Unknown account: "&amp;V322,IF(K322="","Select Paid From / Deposited To",IF(ISNA(MATCH(K322,coa_Name,0)),"Unknown account: "&amp;K322,IF(NOT(ISNUMBER(L322)),"Enter an amount",IF(L322=0,"Enter an amount",IF(ABS(W322)&gt;ABS(L322),"Tax is larger than the amount","")))))))))))))</f>
        <v/>
      </c>
      <c r="Y322" s="67">
        <f>IF(OR(T322=1,X322&lt;&gt;""),"",IF(AND(B322&lt;&gt;"",COUNTIF(tx_ID,B322)&gt;1),"Duplicate transaction ID",IF(AND(L322&lt;0,D322&lt;&gt;"Adjustment"),"Negative amount — check this entry",IF(AND(D322="Customer Payment",G322=""),"Add the customer",IF(AND(D322="Customer Payment",OR(J322="",COUNTIF(ar_No,J322&amp;"")=0)),"Invoice # in Reference not found on AR sheet",IF(AND(D322="Bill Payment",H322=""),"Add the vendor",IF(AND(D322="Bill Payment",OR(J322="",COUNTIFS(ap_No,J322&amp;"",ap_Party,H322&amp;"")=0)),"Bill # + vendor not found on AP sheet",IF(AND(ISNUMBER(M322),N(M322)&lt;&gt;0,W322=0),"Tax ignored (tax tracking off, or not allowed for this type)",IF(V322=K322&amp;"","Same account on both sides",IF(AND(ISNUMBER(StartDate),C322&lt;StartDate),"Date is before the accounting start date",IF(AND(D322&lt;&gt;"Adjustment",IFERROR(INDEX(coa_Pay,MATCH(K322&amp;"",coa_Name,0)),"")&lt;&gt;"Yes"),"Paid From / Deposited To is not a payment account","")))))))))))</f>
        <v/>
      </c>
      <c r="Z322" s="67">
        <f>IF(AND(T322=0,X322=""),1,0)</f>
        <v/>
      </c>
      <c r="AA322" s="68">
        <f>IF(Z322=1,IF(U322="In",L322,L322-W322),0)</f>
        <v/>
      </c>
      <c r="AB322" s="68">
        <f>IF(Z322=1,IF(U322="In",L322-W322,L322),0)</f>
        <v/>
      </c>
      <c r="AC322" s="68">
        <f>IF(AND(Z322=1,U322="Out"),W322,0)</f>
        <v/>
      </c>
      <c r="AD322" s="68">
        <f>IF(AND(Z322=1,U322="In"),W322,0)</f>
        <v/>
      </c>
    </row>
    <row r="323">
      <c r="B323" s="62" t="inlineStr">
        <is>
          <t>TX-0317</t>
        </is>
      </c>
      <c r="C323" s="63" t="n">
        <v>46273</v>
      </c>
      <c r="D323" s="62" t="inlineStr">
        <is>
          <t>Bill Payment</t>
        </is>
      </c>
      <c r="E323" s="62" t="n"/>
      <c r="F323" s="62" t="inlineStr">
        <is>
          <t>Supplier payment</t>
        </is>
      </c>
      <c r="G323" s="62" t="n"/>
      <c r="H323" s="62" t="inlineStr">
        <is>
          <t>Golden Grain Flour Mill</t>
        </is>
      </c>
      <c r="I323" s="62" t="inlineStr">
        <is>
          <t>Bank Transfer</t>
        </is>
      </c>
      <c r="J323" s="62" t="inlineStr">
        <is>
          <t>GO-081</t>
        </is>
      </c>
      <c r="K323" s="62" t="inlineStr">
        <is>
          <t>Bank Account</t>
        </is>
      </c>
      <c r="L323" s="64" t="n">
        <v>44984.06</v>
      </c>
      <c r="M323" s="64" t="n"/>
      <c r="N323" s="62" t="n"/>
      <c r="O323" s="65">
        <f>IF(Z323=1,L323-W323,"")</f>
        <v/>
      </c>
      <c r="P323" s="66">
        <f>IF(V323="","",IFERROR(INDEX(coa_Type,MATCH(V323,coa_Name,0)),""))</f>
        <v/>
      </c>
      <c r="Q323" s="66">
        <f>IF(Z323=1,IF(U323="In",K323&amp;"",V323),"")</f>
        <v/>
      </c>
      <c r="R323" s="66">
        <f>IF(Z323=1,IF(U323="In",V323,K323&amp;""),"")</f>
        <v/>
      </c>
      <c r="S323" s="66">
        <f>IF(X323&lt;&gt;"","⛔ "&amp;X323&amp;" — not posted",IF(Y323&lt;&gt;"","⚠ "&amp;Y323,IF(Z323=1,"✓ OK","")))</f>
        <v/>
      </c>
      <c r="T323" s="67">
        <f>IF(AND(C323="",D323="",E323="",L323="",K323=""),1,0)</f>
        <v/>
      </c>
      <c r="U323" s="67">
        <f>IFERROR(INDEX(tt_Dir,MATCH(D323,tt_Type,0)),"")</f>
        <v/>
      </c>
      <c r="V323" s="67">
        <f>IF(D323="","",IFERROR(IF(INDEX(tt_Other,MATCH(D323,tt_Type,0))="",E323&amp;"",INDEX(tt_Other,MATCH(D323,tt_Type,0))),""))</f>
        <v/>
      </c>
      <c r="W323" s="68">
        <f>IF(OR(TaxOn&lt;&gt;"Yes",NOT(ISNUMBER(M323))),0,IF(IFERROR(INDEX(tt_Tax,MATCH(D323,tt_Type,0)),"No")="Yes",M323,0))</f>
        <v/>
      </c>
      <c r="X323" s="67">
        <f>IF(T323=1,"",IF(C323="","Missing transaction date",IF(NOT(ISNUMBER(C323)),"Invalid date",IF(OR(C323&lt;DATE(2000,1,1),C323&gt;DATE(2099,12,31)),"Invalid date",IF(D323="","Select a type",IF(U323="","Unknown type: "&amp;D323,IF(V323="","Select an account (Category)",IF(ISNA(MATCH(V323,coa_Name,0)),"Unknown account: "&amp;V323,IF(K323="","Select Paid From / Deposited To",IF(ISNA(MATCH(K323,coa_Name,0)),"Unknown account: "&amp;K323,IF(NOT(ISNUMBER(L323)),"Enter an amount",IF(L323=0,"Enter an amount",IF(ABS(W323)&gt;ABS(L323),"Tax is larger than the amount","")))))))))))))</f>
        <v/>
      </c>
      <c r="Y323" s="67">
        <f>IF(OR(T323=1,X323&lt;&gt;""),"",IF(AND(B323&lt;&gt;"",COUNTIF(tx_ID,B323)&gt;1),"Duplicate transaction ID",IF(AND(L323&lt;0,D323&lt;&gt;"Adjustment"),"Negative amount — check this entry",IF(AND(D323="Customer Payment",G323=""),"Add the customer",IF(AND(D323="Customer Payment",OR(J323="",COUNTIF(ar_No,J323&amp;"")=0)),"Invoice # in Reference not found on AR sheet",IF(AND(D323="Bill Payment",H323=""),"Add the vendor",IF(AND(D323="Bill Payment",OR(J323="",COUNTIFS(ap_No,J323&amp;"",ap_Party,H323&amp;"")=0)),"Bill # + vendor not found on AP sheet",IF(AND(ISNUMBER(M323),N(M323)&lt;&gt;0,W323=0),"Tax ignored (tax tracking off, or not allowed for this type)",IF(V323=K323&amp;"","Same account on both sides",IF(AND(ISNUMBER(StartDate),C323&lt;StartDate),"Date is before the accounting start date",IF(AND(D323&lt;&gt;"Adjustment",IFERROR(INDEX(coa_Pay,MATCH(K323&amp;"",coa_Name,0)),"")&lt;&gt;"Yes"),"Paid From / Deposited To is not a payment account","")))))))))))</f>
        <v/>
      </c>
      <c r="Z323" s="67">
        <f>IF(AND(T323=0,X323=""),1,0)</f>
        <v/>
      </c>
      <c r="AA323" s="68">
        <f>IF(Z323=1,IF(U323="In",L323,L323-W323),0)</f>
        <v/>
      </c>
      <c r="AB323" s="68">
        <f>IF(Z323=1,IF(U323="In",L323-W323,L323),0)</f>
        <v/>
      </c>
      <c r="AC323" s="68">
        <f>IF(AND(Z323=1,U323="Out"),W323,0)</f>
        <v/>
      </c>
      <c r="AD323" s="68">
        <f>IF(AND(Z323=1,U323="In"),W323,0)</f>
        <v/>
      </c>
    </row>
    <row r="324">
      <c r="B324" s="62" t="inlineStr">
        <is>
          <t>TX-0318</t>
        </is>
      </c>
      <c r="C324" s="63" t="n">
        <v>46273</v>
      </c>
      <c r="D324" s="62" t="inlineStr">
        <is>
          <t>Money Out</t>
        </is>
      </c>
      <c r="E324" s="62" t="inlineStr">
        <is>
          <t>Advertising &amp; Marketing</t>
        </is>
      </c>
      <c r="F324" s="62" t="inlineStr">
        <is>
          <t>Facebook / Instagram ads</t>
        </is>
      </c>
      <c r="G324" s="62" t="n"/>
      <c r="H324" s="62" t="n"/>
      <c r="I324" s="62" t="inlineStr">
        <is>
          <t>Credit Card</t>
        </is>
      </c>
      <c r="J324" s="62" t="n"/>
      <c r="K324" s="62" t="inlineStr">
        <is>
          <t>Credit Card</t>
        </is>
      </c>
      <c r="L324" s="64" t="n">
        <v>4310.4</v>
      </c>
      <c r="M324" s="64" t="n">
        <v>461.83</v>
      </c>
      <c r="N324" s="62" t="n"/>
      <c r="O324" s="65">
        <f>IF(Z324=1,L324-W324,"")</f>
        <v/>
      </c>
      <c r="P324" s="66">
        <f>IF(V324="","",IFERROR(INDEX(coa_Type,MATCH(V324,coa_Name,0)),""))</f>
        <v/>
      </c>
      <c r="Q324" s="66">
        <f>IF(Z324=1,IF(U324="In",K324&amp;"",V324),"")</f>
        <v/>
      </c>
      <c r="R324" s="66">
        <f>IF(Z324=1,IF(U324="In",V324,K324&amp;""),"")</f>
        <v/>
      </c>
      <c r="S324" s="66">
        <f>IF(X324&lt;&gt;"","⛔ "&amp;X324&amp;" — not posted",IF(Y324&lt;&gt;"","⚠ "&amp;Y324,IF(Z324=1,"✓ OK","")))</f>
        <v/>
      </c>
      <c r="T324" s="67">
        <f>IF(AND(C324="",D324="",E324="",L324="",K324=""),1,0)</f>
        <v/>
      </c>
      <c r="U324" s="67">
        <f>IFERROR(INDEX(tt_Dir,MATCH(D324,tt_Type,0)),"")</f>
        <v/>
      </c>
      <c r="V324" s="67">
        <f>IF(D324="","",IFERROR(IF(INDEX(tt_Other,MATCH(D324,tt_Type,0))="",E324&amp;"",INDEX(tt_Other,MATCH(D324,tt_Type,0))),""))</f>
        <v/>
      </c>
      <c r="W324" s="68">
        <f>IF(OR(TaxOn&lt;&gt;"Yes",NOT(ISNUMBER(M324))),0,IF(IFERROR(INDEX(tt_Tax,MATCH(D324,tt_Type,0)),"No")="Yes",M324,0))</f>
        <v/>
      </c>
      <c r="X324" s="67">
        <f>IF(T324=1,"",IF(C324="","Missing transaction date",IF(NOT(ISNUMBER(C324)),"Invalid date",IF(OR(C324&lt;DATE(2000,1,1),C324&gt;DATE(2099,12,31)),"Invalid date",IF(D324="","Select a type",IF(U324="","Unknown type: "&amp;D324,IF(V324="","Select an account (Category)",IF(ISNA(MATCH(V324,coa_Name,0)),"Unknown account: "&amp;V324,IF(K324="","Select Paid From / Deposited To",IF(ISNA(MATCH(K324,coa_Name,0)),"Unknown account: "&amp;K324,IF(NOT(ISNUMBER(L324)),"Enter an amount",IF(L324=0,"Enter an amount",IF(ABS(W324)&gt;ABS(L324),"Tax is larger than the amount","")))))))))))))</f>
        <v/>
      </c>
      <c r="Y324" s="67">
        <f>IF(OR(T324=1,X324&lt;&gt;""),"",IF(AND(B324&lt;&gt;"",COUNTIF(tx_ID,B324)&gt;1),"Duplicate transaction ID",IF(AND(L324&lt;0,D324&lt;&gt;"Adjustment"),"Negative amount — check this entry",IF(AND(D324="Customer Payment",G324=""),"Add the customer",IF(AND(D324="Customer Payment",OR(J324="",COUNTIF(ar_No,J324&amp;"")=0)),"Invoice # in Reference not found on AR sheet",IF(AND(D324="Bill Payment",H324=""),"Add the vendor",IF(AND(D324="Bill Payment",OR(J324="",COUNTIFS(ap_No,J324&amp;"",ap_Party,H324&amp;"")=0)),"Bill # + vendor not found on AP sheet",IF(AND(ISNUMBER(M324),N(M324)&lt;&gt;0,W324=0),"Tax ignored (tax tracking off, or not allowed for this type)",IF(V324=K324&amp;"","Same account on both sides",IF(AND(ISNUMBER(StartDate),C324&lt;StartDate),"Date is before the accounting start date",IF(AND(D324&lt;&gt;"Adjustment",IFERROR(INDEX(coa_Pay,MATCH(K324&amp;"",coa_Name,0)),"")&lt;&gt;"Yes"),"Paid From / Deposited To is not a payment account","")))))))))))</f>
        <v/>
      </c>
      <c r="Z324" s="67">
        <f>IF(AND(T324=0,X324=""),1,0)</f>
        <v/>
      </c>
      <c r="AA324" s="68">
        <f>IF(Z324=1,IF(U324="In",L324,L324-W324),0)</f>
        <v/>
      </c>
      <c r="AB324" s="68">
        <f>IF(Z324=1,IF(U324="In",L324-W324,L324),0)</f>
        <v/>
      </c>
      <c r="AC324" s="68">
        <f>IF(AND(Z324=1,U324="Out"),W324,0)</f>
        <v/>
      </c>
      <c r="AD324" s="68">
        <f>IF(AND(Z324=1,U324="In"),W324,0)</f>
        <v/>
      </c>
    </row>
    <row r="325">
      <c r="B325" s="62" t="inlineStr">
        <is>
          <t>TX-0319</t>
        </is>
      </c>
      <c r="C325" s="63" t="n">
        <v>46274</v>
      </c>
      <c r="D325" s="62" t="inlineStr">
        <is>
          <t>Money Out</t>
        </is>
      </c>
      <c r="E325" s="62" t="inlineStr">
        <is>
          <t>Software &amp; Subscriptions</t>
        </is>
      </c>
      <c r="F325" s="62" t="inlineStr">
        <is>
          <t>POS app subscription</t>
        </is>
      </c>
      <c r="G325" s="62" t="n"/>
      <c r="H325" s="62" t="n"/>
      <c r="I325" s="62" t="inlineStr">
        <is>
          <t>Credit Card</t>
        </is>
      </c>
      <c r="J325" s="62" t="n"/>
      <c r="K325" s="62" t="inlineStr">
        <is>
          <t>Credit Card</t>
        </is>
      </c>
      <c r="L325" s="64" t="n">
        <v>1450</v>
      </c>
      <c r="M325" s="64" t="n">
        <v>155.36</v>
      </c>
      <c r="N325" s="62" t="n"/>
      <c r="O325" s="65">
        <f>IF(Z325=1,L325-W325,"")</f>
        <v/>
      </c>
      <c r="P325" s="66">
        <f>IF(V325="","",IFERROR(INDEX(coa_Type,MATCH(V325,coa_Name,0)),""))</f>
        <v/>
      </c>
      <c r="Q325" s="66">
        <f>IF(Z325=1,IF(U325="In",K325&amp;"",V325),"")</f>
        <v/>
      </c>
      <c r="R325" s="66">
        <f>IF(Z325=1,IF(U325="In",V325,K325&amp;""),"")</f>
        <v/>
      </c>
      <c r="S325" s="66">
        <f>IF(X325&lt;&gt;"","⛔ "&amp;X325&amp;" — not posted",IF(Y325&lt;&gt;"","⚠ "&amp;Y325,IF(Z325=1,"✓ OK","")))</f>
        <v/>
      </c>
      <c r="T325" s="67">
        <f>IF(AND(C325="",D325="",E325="",L325="",K325=""),1,0)</f>
        <v/>
      </c>
      <c r="U325" s="67">
        <f>IFERROR(INDEX(tt_Dir,MATCH(D325,tt_Type,0)),"")</f>
        <v/>
      </c>
      <c r="V325" s="67">
        <f>IF(D325="","",IFERROR(IF(INDEX(tt_Other,MATCH(D325,tt_Type,0))="",E325&amp;"",INDEX(tt_Other,MATCH(D325,tt_Type,0))),""))</f>
        <v/>
      </c>
      <c r="W325" s="68">
        <f>IF(OR(TaxOn&lt;&gt;"Yes",NOT(ISNUMBER(M325))),0,IF(IFERROR(INDEX(tt_Tax,MATCH(D325,tt_Type,0)),"No")="Yes",M325,0))</f>
        <v/>
      </c>
      <c r="X325" s="67">
        <f>IF(T325=1,"",IF(C325="","Missing transaction date",IF(NOT(ISNUMBER(C325)),"Invalid date",IF(OR(C325&lt;DATE(2000,1,1),C325&gt;DATE(2099,12,31)),"Invalid date",IF(D325="","Select a type",IF(U325="","Unknown type: "&amp;D325,IF(V325="","Select an account (Category)",IF(ISNA(MATCH(V325,coa_Name,0)),"Unknown account: "&amp;V325,IF(K325="","Select Paid From / Deposited To",IF(ISNA(MATCH(K325,coa_Name,0)),"Unknown account: "&amp;K325,IF(NOT(ISNUMBER(L325)),"Enter an amount",IF(L325=0,"Enter an amount",IF(ABS(W325)&gt;ABS(L325),"Tax is larger than the amount","")))))))))))))</f>
        <v/>
      </c>
      <c r="Y325" s="67">
        <f>IF(OR(T325=1,X325&lt;&gt;""),"",IF(AND(B325&lt;&gt;"",COUNTIF(tx_ID,B325)&gt;1),"Duplicate transaction ID",IF(AND(L325&lt;0,D325&lt;&gt;"Adjustment"),"Negative amount — check this entry",IF(AND(D325="Customer Payment",G325=""),"Add the customer",IF(AND(D325="Customer Payment",OR(J325="",COUNTIF(ar_No,J325&amp;"")=0)),"Invoice # in Reference not found on AR sheet",IF(AND(D325="Bill Payment",H325=""),"Add the vendor",IF(AND(D325="Bill Payment",OR(J325="",COUNTIFS(ap_No,J325&amp;"",ap_Party,H325&amp;"")=0)),"Bill # + vendor not found on AP sheet",IF(AND(ISNUMBER(M325),N(M325)&lt;&gt;0,W325=0),"Tax ignored (tax tracking off, or not allowed for this type)",IF(V325=K325&amp;"","Same account on both sides",IF(AND(ISNUMBER(StartDate),C325&lt;StartDate),"Date is before the accounting start date",IF(AND(D325&lt;&gt;"Adjustment",IFERROR(INDEX(coa_Pay,MATCH(K325&amp;"",coa_Name,0)),"")&lt;&gt;"Yes"),"Paid From / Deposited To is not a payment account","")))))))))))</f>
        <v/>
      </c>
      <c r="Z325" s="67">
        <f>IF(AND(T325=0,X325=""),1,0)</f>
        <v/>
      </c>
      <c r="AA325" s="68">
        <f>IF(Z325=1,IF(U325="In",L325,L325-W325),0)</f>
        <v/>
      </c>
      <c r="AB325" s="68">
        <f>IF(Z325=1,IF(U325="In",L325-W325,L325),0)</f>
        <v/>
      </c>
      <c r="AC325" s="68">
        <f>IF(AND(Z325=1,U325="Out"),W325,0)</f>
        <v/>
      </c>
      <c r="AD325" s="68">
        <f>IF(AND(Z325=1,U325="In"),W325,0)</f>
        <v/>
      </c>
    </row>
    <row r="326">
      <c r="B326" s="62" t="inlineStr">
        <is>
          <t>TX-0320</t>
        </is>
      </c>
      <c r="C326" s="63" t="n">
        <v>46275</v>
      </c>
      <c r="D326" s="62" t="inlineStr">
        <is>
          <t>Money Out</t>
        </is>
      </c>
      <c r="E326" s="62" t="inlineStr">
        <is>
          <t>Loans Payable</t>
        </is>
      </c>
      <c r="F326" s="62" t="inlineStr">
        <is>
          <t>Loan principal</t>
        </is>
      </c>
      <c r="G326" s="62" t="n"/>
      <c r="H326" s="62" t="n"/>
      <c r="I326" s="62" t="inlineStr">
        <is>
          <t>Bank Transfer</t>
        </is>
      </c>
      <c r="J326" s="62" t="inlineStr">
        <is>
          <t>LOAN</t>
        </is>
      </c>
      <c r="K326" s="62" t="inlineStr">
        <is>
          <t>Bank Account</t>
        </is>
      </c>
      <c r="L326" s="64" t="n">
        <v>8000</v>
      </c>
      <c r="M326" s="64" t="n"/>
      <c r="N326" s="62" t="n"/>
      <c r="O326" s="65">
        <f>IF(Z326=1,L326-W326,"")</f>
        <v/>
      </c>
      <c r="P326" s="66">
        <f>IF(V326="","",IFERROR(INDEX(coa_Type,MATCH(V326,coa_Name,0)),""))</f>
        <v/>
      </c>
      <c r="Q326" s="66">
        <f>IF(Z326=1,IF(U326="In",K326&amp;"",V326),"")</f>
        <v/>
      </c>
      <c r="R326" s="66">
        <f>IF(Z326=1,IF(U326="In",V326,K326&amp;""),"")</f>
        <v/>
      </c>
      <c r="S326" s="66">
        <f>IF(X326&lt;&gt;"","⛔ "&amp;X326&amp;" — not posted",IF(Y326&lt;&gt;"","⚠ "&amp;Y326,IF(Z326=1,"✓ OK","")))</f>
        <v/>
      </c>
      <c r="T326" s="67">
        <f>IF(AND(C326="",D326="",E326="",L326="",K326=""),1,0)</f>
        <v/>
      </c>
      <c r="U326" s="67">
        <f>IFERROR(INDEX(tt_Dir,MATCH(D326,tt_Type,0)),"")</f>
        <v/>
      </c>
      <c r="V326" s="67">
        <f>IF(D326="","",IFERROR(IF(INDEX(tt_Other,MATCH(D326,tt_Type,0))="",E326&amp;"",INDEX(tt_Other,MATCH(D326,tt_Type,0))),""))</f>
        <v/>
      </c>
      <c r="W326" s="68">
        <f>IF(OR(TaxOn&lt;&gt;"Yes",NOT(ISNUMBER(M326))),0,IF(IFERROR(INDEX(tt_Tax,MATCH(D326,tt_Type,0)),"No")="Yes",M326,0))</f>
        <v/>
      </c>
      <c r="X326" s="67">
        <f>IF(T326=1,"",IF(C326="","Missing transaction date",IF(NOT(ISNUMBER(C326)),"Invalid date",IF(OR(C326&lt;DATE(2000,1,1),C326&gt;DATE(2099,12,31)),"Invalid date",IF(D326="","Select a type",IF(U326="","Unknown type: "&amp;D326,IF(V326="","Select an account (Category)",IF(ISNA(MATCH(V326,coa_Name,0)),"Unknown account: "&amp;V326,IF(K326="","Select Paid From / Deposited To",IF(ISNA(MATCH(K326,coa_Name,0)),"Unknown account: "&amp;K326,IF(NOT(ISNUMBER(L326)),"Enter an amount",IF(L326=0,"Enter an amount",IF(ABS(W326)&gt;ABS(L326),"Tax is larger than the amount","")))))))))))))</f>
        <v/>
      </c>
      <c r="Y326" s="67">
        <f>IF(OR(T326=1,X326&lt;&gt;""),"",IF(AND(B326&lt;&gt;"",COUNTIF(tx_ID,B326)&gt;1),"Duplicate transaction ID",IF(AND(L326&lt;0,D326&lt;&gt;"Adjustment"),"Negative amount — check this entry",IF(AND(D326="Customer Payment",G326=""),"Add the customer",IF(AND(D326="Customer Payment",OR(J326="",COUNTIF(ar_No,J326&amp;"")=0)),"Invoice # in Reference not found on AR sheet",IF(AND(D326="Bill Payment",H326=""),"Add the vendor",IF(AND(D326="Bill Payment",OR(J326="",COUNTIFS(ap_No,J326&amp;"",ap_Party,H326&amp;"")=0)),"Bill # + vendor not found on AP sheet",IF(AND(ISNUMBER(M326),N(M326)&lt;&gt;0,W326=0),"Tax ignored (tax tracking off, or not allowed for this type)",IF(V326=K326&amp;"","Same account on both sides",IF(AND(ISNUMBER(StartDate),C326&lt;StartDate),"Date is before the accounting start date",IF(AND(D326&lt;&gt;"Adjustment",IFERROR(INDEX(coa_Pay,MATCH(K326&amp;"",coa_Name,0)),"")&lt;&gt;"Yes"),"Paid From / Deposited To is not a payment account","")))))))))))</f>
        <v/>
      </c>
      <c r="Z326" s="67">
        <f>IF(AND(T326=0,X326=""),1,0)</f>
        <v/>
      </c>
      <c r="AA326" s="68">
        <f>IF(Z326=1,IF(U326="In",L326,L326-W326),0)</f>
        <v/>
      </c>
      <c r="AB326" s="68">
        <f>IF(Z326=1,IF(U326="In",L326-W326,L326),0)</f>
        <v/>
      </c>
      <c r="AC326" s="68">
        <f>IF(AND(Z326=1,U326="Out"),W326,0)</f>
        <v/>
      </c>
      <c r="AD326" s="68">
        <f>IF(AND(Z326=1,U326="In"),W326,0)</f>
        <v/>
      </c>
    </row>
    <row r="327">
      <c r="B327" s="62" t="inlineStr">
        <is>
          <t>TX-0321</t>
        </is>
      </c>
      <c r="C327" s="63" t="n">
        <v>46275</v>
      </c>
      <c r="D327" s="62" t="inlineStr">
        <is>
          <t>Money Out</t>
        </is>
      </c>
      <c r="E327" s="62" t="inlineStr">
        <is>
          <t>Interest Expense</t>
        </is>
      </c>
      <c r="F327" s="62" t="inlineStr">
        <is>
          <t>Loan interest</t>
        </is>
      </c>
      <c r="G327" s="62" t="n"/>
      <c r="H327" s="62" t="n"/>
      <c r="I327" s="62" t="inlineStr">
        <is>
          <t>Bank Transfer</t>
        </is>
      </c>
      <c r="J327" s="62" t="inlineStr">
        <is>
          <t>LOAN</t>
        </is>
      </c>
      <c r="K327" s="62" t="inlineStr">
        <is>
          <t>Bank Account</t>
        </is>
      </c>
      <c r="L327" s="64" t="n">
        <v>1020</v>
      </c>
      <c r="M327" s="64" t="n"/>
      <c r="N327" s="62" t="n"/>
      <c r="O327" s="65">
        <f>IF(Z327=1,L327-W327,"")</f>
        <v/>
      </c>
      <c r="P327" s="66">
        <f>IF(V327="","",IFERROR(INDEX(coa_Type,MATCH(V327,coa_Name,0)),""))</f>
        <v/>
      </c>
      <c r="Q327" s="66">
        <f>IF(Z327=1,IF(U327="In",K327&amp;"",V327),"")</f>
        <v/>
      </c>
      <c r="R327" s="66">
        <f>IF(Z327=1,IF(U327="In",V327,K327&amp;""),"")</f>
        <v/>
      </c>
      <c r="S327" s="66">
        <f>IF(X327&lt;&gt;"","⛔ "&amp;X327&amp;" — not posted",IF(Y327&lt;&gt;"","⚠ "&amp;Y327,IF(Z327=1,"✓ OK","")))</f>
        <v/>
      </c>
      <c r="T327" s="67">
        <f>IF(AND(C327="",D327="",E327="",L327="",K327=""),1,0)</f>
        <v/>
      </c>
      <c r="U327" s="67">
        <f>IFERROR(INDEX(tt_Dir,MATCH(D327,tt_Type,0)),"")</f>
        <v/>
      </c>
      <c r="V327" s="67">
        <f>IF(D327="","",IFERROR(IF(INDEX(tt_Other,MATCH(D327,tt_Type,0))="",E327&amp;"",INDEX(tt_Other,MATCH(D327,tt_Type,0))),""))</f>
        <v/>
      </c>
      <c r="W327" s="68">
        <f>IF(OR(TaxOn&lt;&gt;"Yes",NOT(ISNUMBER(M327))),0,IF(IFERROR(INDEX(tt_Tax,MATCH(D327,tt_Type,0)),"No")="Yes",M327,0))</f>
        <v/>
      </c>
      <c r="X327" s="67">
        <f>IF(T327=1,"",IF(C327="","Missing transaction date",IF(NOT(ISNUMBER(C327)),"Invalid date",IF(OR(C327&lt;DATE(2000,1,1),C327&gt;DATE(2099,12,31)),"Invalid date",IF(D327="","Select a type",IF(U327="","Unknown type: "&amp;D327,IF(V327="","Select an account (Category)",IF(ISNA(MATCH(V327,coa_Name,0)),"Unknown account: "&amp;V327,IF(K327="","Select Paid From / Deposited To",IF(ISNA(MATCH(K327,coa_Name,0)),"Unknown account: "&amp;K327,IF(NOT(ISNUMBER(L327)),"Enter an amount",IF(L327=0,"Enter an amount",IF(ABS(W327)&gt;ABS(L327),"Tax is larger than the amount","")))))))))))))</f>
        <v/>
      </c>
      <c r="Y327" s="67">
        <f>IF(OR(T327=1,X327&lt;&gt;""),"",IF(AND(B327&lt;&gt;"",COUNTIF(tx_ID,B327)&gt;1),"Duplicate transaction ID",IF(AND(L327&lt;0,D327&lt;&gt;"Adjustment"),"Negative amount — check this entry",IF(AND(D327="Customer Payment",G327=""),"Add the customer",IF(AND(D327="Customer Payment",OR(J327="",COUNTIF(ar_No,J327&amp;"")=0)),"Invoice # in Reference not found on AR sheet",IF(AND(D327="Bill Payment",H327=""),"Add the vendor",IF(AND(D327="Bill Payment",OR(J327="",COUNTIFS(ap_No,J327&amp;"",ap_Party,H327&amp;"")=0)),"Bill # + vendor not found on AP sheet",IF(AND(ISNUMBER(M327),N(M327)&lt;&gt;0,W327=0),"Tax ignored (tax tracking off, or not allowed for this type)",IF(V327=K327&amp;"","Same account on both sides",IF(AND(ISNUMBER(StartDate),C327&lt;StartDate),"Date is before the accounting start date",IF(AND(D327&lt;&gt;"Adjustment",IFERROR(INDEX(coa_Pay,MATCH(K327&amp;"",coa_Name,0)),"")&lt;&gt;"Yes"),"Paid From / Deposited To is not a payment account","")))))))))))</f>
        <v/>
      </c>
      <c r="Z327" s="67">
        <f>IF(AND(T327=0,X327=""),1,0)</f>
        <v/>
      </c>
      <c r="AA327" s="68">
        <f>IF(Z327=1,IF(U327="In",L327,L327-W327),0)</f>
        <v/>
      </c>
      <c r="AB327" s="68">
        <f>IF(Z327=1,IF(U327="In",L327-W327,L327),0)</f>
        <v/>
      </c>
      <c r="AC327" s="68">
        <f>IF(AND(Z327=1,U327="Out"),W327,0)</f>
        <v/>
      </c>
      <c r="AD327" s="68">
        <f>IF(AND(Z327=1,U327="In"),W327,0)</f>
        <v/>
      </c>
    </row>
    <row r="328">
      <c r="B328" s="62" t="inlineStr">
        <is>
          <t>TX-0322</t>
        </is>
      </c>
      <c r="C328" s="63" t="n">
        <v>46276</v>
      </c>
      <c r="D328" s="62" t="inlineStr">
        <is>
          <t>Bill Payment</t>
        </is>
      </c>
      <c r="E328" s="62" t="n"/>
      <c r="F328" s="62" t="inlineStr">
        <is>
          <t>Supplier payment</t>
        </is>
      </c>
      <c r="G328" s="62" t="n"/>
      <c r="H328" s="62" t="inlineStr">
        <is>
          <t>Golden Grain Flour Mill</t>
        </is>
      </c>
      <c r="I328" s="62" t="inlineStr">
        <is>
          <t>Bank Transfer</t>
        </is>
      </c>
      <c r="J328" s="62" t="inlineStr">
        <is>
          <t>GO-082</t>
        </is>
      </c>
      <c r="K328" s="62" t="inlineStr">
        <is>
          <t>Bank Account</t>
        </is>
      </c>
      <c r="L328" s="64" t="n">
        <v>43697.89</v>
      </c>
      <c r="M328" s="64" t="n"/>
      <c r="N328" s="62" t="n"/>
      <c r="O328" s="65">
        <f>IF(Z328=1,L328-W328,"")</f>
        <v/>
      </c>
      <c r="P328" s="66">
        <f>IF(V328="","",IFERROR(INDEX(coa_Type,MATCH(V328,coa_Name,0)),""))</f>
        <v/>
      </c>
      <c r="Q328" s="66">
        <f>IF(Z328=1,IF(U328="In",K328&amp;"",V328),"")</f>
        <v/>
      </c>
      <c r="R328" s="66">
        <f>IF(Z328=1,IF(U328="In",V328,K328&amp;""),"")</f>
        <v/>
      </c>
      <c r="S328" s="66">
        <f>IF(X328&lt;&gt;"","⛔ "&amp;X328&amp;" — not posted",IF(Y328&lt;&gt;"","⚠ "&amp;Y328,IF(Z328=1,"✓ OK","")))</f>
        <v/>
      </c>
      <c r="T328" s="67">
        <f>IF(AND(C328="",D328="",E328="",L328="",K328=""),1,0)</f>
        <v/>
      </c>
      <c r="U328" s="67">
        <f>IFERROR(INDEX(tt_Dir,MATCH(D328,tt_Type,0)),"")</f>
        <v/>
      </c>
      <c r="V328" s="67">
        <f>IF(D328="","",IFERROR(IF(INDEX(tt_Other,MATCH(D328,tt_Type,0))="",E328&amp;"",INDEX(tt_Other,MATCH(D328,tt_Type,0))),""))</f>
        <v/>
      </c>
      <c r="W328" s="68">
        <f>IF(OR(TaxOn&lt;&gt;"Yes",NOT(ISNUMBER(M328))),0,IF(IFERROR(INDEX(tt_Tax,MATCH(D328,tt_Type,0)),"No")="Yes",M328,0))</f>
        <v/>
      </c>
      <c r="X328" s="67">
        <f>IF(T328=1,"",IF(C328="","Missing transaction date",IF(NOT(ISNUMBER(C328)),"Invalid date",IF(OR(C328&lt;DATE(2000,1,1),C328&gt;DATE(2099,12,31)),"Invalid date",IF(D328="","Select a type",IF(U328="","Unknown type: "&amp;D328,IF(V328="","Select an account (Category)",IF(ISNA(MATCH(V328,coa_Name,0)),"Unknown account: "&amp;V328,IF(K328="","Select Paid From / Deposited To",IF(ISNA(MATCH(K328,coa_Name,0)),"Unknown account: "&amp;K328,IF(NOT(ISNUMBER(L328)),"Enter an amount",IF(L328=0,"Enter an amount",IF(ABS(W328)&gt;ABS(L328),"Tax is larger than the amount","")))))))))))))</f>
        <v/>
      </c>
      <c r="Y328" s="67">
        <f>IF(OR(T328=1,X328&lt;&gt;""),"",IF(AND(B328&lt;&gt;"",COUNTIF(tx_ID,B328)&gt;1),"Duplicate transaction ID",IF(AND(L328&lt;0,D328&lt;&gt;"Adjustment"),"Negative amount — check this entry",IF(AND(D328="Customer Payment",G328=""),"Add the customer",IF(AND(D328="Customer Payment",OR(J328="",COUNTIF(ar_No,J328&amp;"")=0)),"Invoice # in Reference not found on AR sheet",IF(AND(D328="Bill Payment",H328=""),"Add the vendor",IF(AND(D328="Bill Payment",OR(J328="",COUNTIFS(ap_No,J328&amp;"",ap_Party,H328&amp;"")=0)),"Bill # + vendor not found on AP sheet",IF(AND(ISNUMBER(M328),N(M328)&lt;&gt;0,W328=0),"Tax ignored (tax tracking off, or not allowed for this type)",IF(V328=K328&amp;"","Same account on both sides",IF(AND(ISNUMBER(StartDate),C328&lt;StartDate),"Date is before the accounting start date",IF(AND(D328&lt;&gt;"Adjustment",IFERROR(INDEX(coa_Pay,MATCH(K328&amp;"",coa_Name,0)),"")&lt;&gt;"Yes"),"Paid From / Deposited To is not a payment account","")))))))))))</f>
        <v/>
      </c>
      <c r="Z328" s="67">
        <f>IF(AND(T328=0,X328=""),1,0)</f>
        <v/>
      </c>
      <c r="AA328" s="68">
        <f>IF(Z328=1,IF(U328="In",L328,L328-W328),0)</f>
        <v/>
      </c>
      <c r="AB328" s="68">
        <f>IF(Z328=1,IF(U328="In",L328-W328,L328),0)</f>
        <v/>
      </c>
      <c r="AC328" s="68">
        <f>IF(AND(Z328=1,U328="Out"),W328,0)</f>
        <v/>
      </c>
      <c r="AD328" s="68">
        <f>IF(AND(Z328=1,U328="In"),W328,0)</f>
        <v/>
      </c>
    </row>
    <row r="329">
      <c r="B329" s="62" t="inlineStr">
        <is>
          <t>TX-0323</t>
        </is>
      </c>
      <c r="C329" s="63" t="n">
        <v>46276</v>
      </c>
      <c r="D329" s="62" t="inlineStr">
        <is>
          <t>Money In</t>
        </is>
      </c>
      <c r="E329" s="62" t="inlineStr">
        <is>
          <t>Product Sales</t>
        </is>
      </c>
      <c r="F329" s="62" t="inlineStr">
        <is>
          <t>Counter sales week 2</t>
        </is>
      </c>
      <c r="G329" s="62" t="n"/>
      <c r="H329" s="62" t="n"/>
      <c r="I329" s="62" t="inlineStr">
        <is>
          <t>Cash</t>
        </is>
      </c>
      <c r="J329" s="62" t="n"/>
      <c r="K329" s="62" t="inlineStr">
        <is>
          <t>Cash on Hand</t>
        </is>
      </c>
      <c r="L329" s="64" t="n">
        <v>43895.18</v>
      </c>
      <c r="M329" s="64" t="n">
        <v>4703.05</v>
      </c>
      <c r="N329" s="62" t="n"/>
      <c r="O329" s="65">
        <f>IF(Z329=1,L329-W329,"")</f>
        <v/>
      </c>
      <c r="P329" s="66">
        <f>IF(V329="","",IFERROR(INDEX(coa_Type,MATCH(V329,coa_Name,0)),""))</f>
        <v/>
      </c>
      <c r="Q329" s="66">
        <f>IF(Z329=1,IF(U329="In",K329&amp;"",V329),"")</f>
        <v/>
      </c>
      <c r="R329" s="66">
        <f>IF(Z329=1,IF(U329="In",V329,K329&amp;""),"")</f>
        <v/>
      </c>
      <c r="S329" s="66">
        <f>IF(X329&lt;&gt;"","⛔ "&amp;X329&amp;" — not posted",IF(Y329&lt;&gt;"","⚠ "&amp;Y329,IF(Z329=1,"✓ OK","")))</f>
        <v/>
      </c>
      <c r="T329" s="67">
        <f>IF(AND(C329="",D329="",E329="",L329="",K329=""),1,0)</f>
        <v/>
      </c>
      <c r="U329" s="67">
        <f>IFERROR(INDEX(tt_Dir,MATCH(D329,tt_Type,0)),"")</f>
        <v/>
      </c>
      <c r="V329" s="67">
        <f>IF(D329="","",IFERROR(IF(INDEX(tt_Other,MATCH(D329,tt_Type,0))="",E329&amp;"",INDEX(tt_Other,MATCH(D329,tt_Type,0))),""))</f>
        <v/>
      </c>
      <c r="W329" s="68">
        <f>IF(OR(TaxOn&lt;&gt;"Yes",NOT(ISNUMBER(M329))),0,IF(IFERROR(INDEX(tt_Tax,MATCH(D329,tt_Type,0)),"No")="Yes",M329,0))</f>
        <v/>
      </c>
      <c r="X329" s="67">
        <f>IF(T329=1,"",IF(C329="","Missing transaction date",IF(NOT(ISNUMBER(C329)),"Invalid date",IF(OR(C329&lt;DATE(2000,1,1),C329&gt;DATE(2099,12,31)),"Invalid date",IF(D329="","Select a type",IF(U329="","Unknown type: "&amp;D329,IF(V329="","Select an account (Category)",IF(ISNA(MATCH(V329,coa_Name,0)),"Unknown account: "&amp;V329,IF(K329="","Select Paid From / Deposited To",IF(ISNA(MATCH(K329,coa_Name,0)),"Unknown account: "&amp;K329,IF(NOT(ISNUMBER(L329)),"Enter an amount",IF(L329=0,"Enter an amount",IF(ABS(W329)&gt;ABS(L329),"Tax is larger than the amount","")))))))))))))</f>
        <v/>
      </c>
      <c r="Y329" s="67">
        <f>IF(OR(T329=1,X329&lt;&gt;""),"",IF(AND(B329&lt;&gt;"",COUNTIF(tx_ID,B329)&gt;1),"Duplicate transaction ID",IF(AND(L329&lt;0,D329&lt;&gt;"Adjustment"),"Negative amount — check this entry",IF(AND(D329="Customer Payment",G329=""),"Add the customer",IF(AND(D329="Customer Payment",OR(J329="",COUNTIF(ar_No,J329&amp;"")=0)),"Invoice # in Reference not found on AR sheet",IF(AND(D329="Bill Payment",H329=""),"Add the vendor",IF(AND(D329="Bill Payment",OR(J329="",COUNTIFS(ap_No,J329&amp;"",ap_Party,H329&amp;"")=0)),"Bill # + vendor not found on AP sheet",IF(AND(ISNUMBER(M329),N(M329)&lt;&gt;0,W329=0),"Tax ignored (tax tracking off, or not allowed for this type)",IF(V329=K329&amp;"","Same account on both sides",IF(AND(ISNUMBER(StartDate),C329&lt;StartDate),"Date is before the accounting start date",IF(AND(D329&lt;&gt;"Adjustment",IFERROR(INDEX(coa_Pay,MATCH(K329&amp;"",coa_Name,0)),"")&lt;&gt;"Yes"),"Paid From / Deposited To is not a payment account","")))))))))))</f>
        <v/>
      </c>
      <c r="Z329" s="67">
        <f>IF(AND(T329=0,X329=""),1,0)</f>
        <v/>
      </c>
      <c r="AA329" s="68">
        <f>IF(Z329=1,IF(U329="In",L329,L329-W329),0)</f>
        <v/>
      </c>
      <c r="AB329" s="68">
        <f>IF(Z329=1,IF(U329="In",L329-W329,L329),0)</f>
        <v/>
      </c>
      <c r="AC329" s="68">
        <f>IF(AND(Z329=1,U329="Out"),W329,0)</f>
        <v/>
      </c>
      <c r="AD329" s="68">
        <f>IF(AND(Z329=1,U329="In"),W329,0)</f>
        <v/>
      </c>
    </row>
    <row r="330">
      <c r="B330" s="62" t="inlineStr">
        <is>
          <t>TX-0324</t>
        </is>
      </c>
      <c r="C330" s="63" t="n">
        <v>46277</v>
      </c>
      <c r="D330" s="62" t="inlineStr">
        <is>
          <t>Money In</t>
        </is>
      </c>
      <c r="E330" s="62" t="inlineStr">
        <is>
          <t>Product Sales</t>
        </is>
      </c>
      <c r="F330" s="62" t="inlineStr">
        <is>
          <t>GCash / online orders week 2</t>
        </is>
      </c>
      <c r="G330" s="62" t="n"/>
      <c r="H330" s="62" t="n"/>
      <c r="I330" s="62" t="inlineStr">
        <is>
          <t>E-Wallet</t>
        </is>
      </c>
      <c r="J330" s="62" t="n"/>
      <c r="K330" s="62" t="inlineStr">
        <is>
          <t>E-Wallet / Online Payments</t>
        </is>
      </c>
      <c r="L330" s="64" t="n">
        <v>18164.78</v>
      </c>
      <c r="M330" s="64" t="n">
        <v>1946.23</v>
      </c>
      <c r="N330" s="62" t="n"/>
      <c r="O330" s="65">
        <f>IF(Z330=1,L330-W330,"")</f>
        <v/>
      </c>
      <c r="P330" s="66">
        <f>IF(V330="","",IFERROR(INDEX(coa_Type,MATCH(V330,coa_Name,0)),""))</f>
        <v/>
      </c>
      <c r="Q330" s="66">
        <f>IF(Z330=1,IF(U330="In",K330&amp;"",V330),"")</f>
        <v/>
      </c>
      <c r="R330" s="66">
        <f>IF(Z330=1,IF(U330="In",V330,K330&amp;""),"")</f>
        <v/>
      </c>
      <c r="S330" s="66">
        <f>IF(X330&lt;&gt;"","⛔ "&amp;X330&amp;" — not posted",IF(Y330&lt;&gt;"","⚠ "&amp;Y330,IF(Z330=1,"✓ OK","")))</f>
        <v/>
      </c>
      <c r="T330" s="67">
        <f>IF(AND(C330="",D330="",E330="",L330="",K330=""),1,0)</f>
        <v/>
      </c>
      <c r="U330" s="67">
        <f>IFERROR(INDEX(tt_Dir,MATCH(D330,tt_Type,0)),"")</f>
        <v/>
      </c>
      <c r="V330" s="67">
        <f>IF(D330="","",IFERROR(IF(INDEX(tt_Other,MATCH(D330,tt_Type,0))="",E330&amp;"",INDEX(tt_Other,MATCH(D330,tt_Type,0))),""))</f>
        <v/>
      </c>
      <c r="W330" s="68">
        <f>IF(OR(TaxOn&lt;&gt;"Yes",NOT(ISNUMBER(M330))),0,IF(IFERROR(INDEX(tt_Tax,MATCH(D330,tt_Type,0)),"No")="Yes",M330,0))</f>
        <v/>
      </c>
      <c r="X330" s="67">
        <f>IF(T330=1,"",IF(C330="","Missing transaction date",IF(NOT(ISNUMBER(C330)),"Invalid date",IF(OR(C330&lt;DATE(2000,1,1),C330&gt;DATE(2099,12,31)),"Invalid date",IF(D330="","Select a type",IF(U330="","Unknown type: "&amp;D330,IF(V330="","Select an account (Category)",IF(ISNA(MATCH(V330,coa_Name,0)),"Unknown account: "&amp;V330,IF(K330="","Select Paid From / Deposited To",IF(ISNA(MATCH(K330,coa_Name,0)),"Unknown account: "&amp;K330,IF(NOT(ISNUMBER(L330)),"Enter an amount",IF(L330=0,"Enter an amount",IF(ABS(W330)&gt;ABS(L330),"Tax is larger than the amount","")))))))))))))</f>
        <v/>
      </c>
      <c r="Y330" s="67">
        <f>IF(OR(T330=1,X330&lt;&gt;""),"",IF(AND(B330&lt;&gt;"",COUNTIF(tx_ID,B330)&gt;1),"Duplicate transaction ID",IF(AND(L330&lt;0,D330&lt;&gt;"Adjustment"),"Negative amount — check this entry",IF(AND(D330="Customer Payment",G330=""),"Add the customer",IF(AND(D330="Customer Payment",OR(J330="",COUNTIF(ar_No,J330&amp;"")=0)),"Invoice # in Reference not found on AR sheet",IF(AND(D330="Bill Payment",H330=""),"Add the vendor",IF(AND(D330="Bill Payment",OR(J330="",COUNTIFS(ap_No,J330&amp;"",ap_Party,H330&amp;"")=0)),"Bill # + vendor not found on AP sheet",IF(AND(ISNUMBER(M330),N(M330)&lt;&gt;0,W330=0),"Tax ignored (tax tracking off, or not allowed for this type)",IF(V330=K330&amp;"","Same account on both sides",IF(AND(ISNUMBER(StartDate),C330&lt;StartDate),"Date is before the accounting start date",IF(AND(D330&lt;&gt;"Adjustment",IFERROR(INDEX(coa_Pay,MATCH(K330&amp;"",coa_Name,0)),"")&lt;&gt;"Yes"),"Paid From / Deposited To is not a payment account","")))))))))))</f>
        <v/>
      </c>
      <c r="Z330" s="67">
        <f>IF(AND(T330=0,X330=""),1,0)</f>
        <v/>
      </c>
      <c r="AA330" s="68">
        <f>IF(Z330=1,IF(U330="In",L330,L330-W330),0)</f>
        <v/>
      </c>
      <c r="AB330" s="68">
        <f>IF(Z330=1,IF(U330="In",L330-W330,L330),0)</f>
        <v/>
      </c>
      <c r="AC330" s="68">
        <f>IF(AND(Z330=1,U330="Out"),W330,0)</f>
        <v/>
      </c>
      <c r="AD330" s="68">
        <f>IF(AND(Z330=1,U330="In"),W330,0)</f>
        <v/>
      </c>
    </row>
    <row r="331">
      <c r="B331" s="62" t="inlineStr">
        <is>
          <t>TX-0325</t>
        </is>
      </c>
      <c r="C331" s="63" t="n">
        <v>46277</v>
      </c>
      <c r="D331" s="62" t="inlineStr">
        <is>
          <t>Money Out</t>
        </is>
      </c>
      <c r="E331" s="62" t="inlineStr">
        <is>
          <t>Utilities</t>
        </is>
      </c>
      <c r="F331" s="62" t="inlineStr">
        <is>
          <t>Electricity &amp; water</t>
        </is>
      </c>
      <c r="G331" s="62" t="n"/>
      <c r="H331" s="62" t="n"/>
      <c r="I331" s="62" t="inlineStr">
        <is>
          <t>Bank Transfer</t>
        </is>
      </c>
      <c r="J331" s="62" t="n"/>
      <c r="K331" s="62" t="inlineStr">
        <is>
          <t>Bank Account</t>
        </is>
      </c>
      <c r="L331" s="64" t="n">
        <v>11361.12</v>
      </c>
      <c r="M331" s="64" t="n">
        <v>1217.26</v>
      </c>
      <c r="N331" s="62" t="n"/>
      <c r="O331" s="65">
        <f>IF(Z331=1,L331-W331,"")</f>
        <v/>
      </c>
      <c r="P331" s="66">
        <f>IF(V331="","",IFERROR(INDEX(coa_Type,MATCH(V331,coa_Name,0)),""))</f>
        <v/>
      </c>
      <c r="Q331" s="66">
        <f>IF(Z331=1,IF(U331="In",K331&amp;"",V331),"")</f>
        <v/>
      </c>
      <c r="R331" s="66">
        <f>IF(Z331=1,IF(U331="In",V331,K331&amp;""),"")</f>
        <v/>
      </c>
      <c r="S331" s="66">
        <f>IF(X331&lt;&gt;"","⛔ "&amp;X331&amp;" — not posted",IF(Y331&lt;&gt;"","⚠ "&amp;Y331,IF(Z331=1,"✓ OK","")))</f>
        <v/>
      </c>
      <c r="T331" s="67">
        <f>IF(AND(C331="",D331="",E331="",L331="",K331=""),1,0)</f>
        <v/>
      </c>
      <c r="U331" s="67">
        <f>IFERROR(INDEX(tt_Dir,MATCH(D331,tt_Type,0)),"")</f>
        <v/>
      </c>
      <c r="V331" s="67">
        <f>IF(D331="","",IFERROR(IF(INDEX(tt_Other,MATCH(D331,tt_Type,0))="",E331&amp;"",INDEX(tt_Other,MATCH(D331,tt_Type,0))),""))</f>
        <v/>
      </c>
      <c r="W331" s="68">
        <f>IF(OR(TaxOn&lt;&gt;"Yes",NOT(ISNUMBER(M331))),0,IF(IFERROR(INDEX(tt_Tax,MATCH(D331,tt_Type,0)),"No")="Yes",M331,0))</f>
        <v/>
      </c>
      <c r="X331" s="67">
        <f>IF(T331=1,"",IF(C331="","Missing transaction date",IF(NOT(ISNUMBER(C331)),"Invalid date",IF(OR(C331&lt;DATE(2000,1,1),C331&gt;DATE(2099,12,31)),"Invalid date",IF(D331="","Select a type",IF(U331="","Unknown type: "&amp;D331,IF(V331="","Select an account (Category)",IF(ISNA(MATCH(V331,coa_Name,0)),"Unknown account: "&amp;V331,IF(K331="","Select Paid From / Deposited To",IF(ISNA(MATCH(K331,coa_Name,0)),"Unknown account: "&amp;K331,IF(NOT(ISNUMBER(L331)),"Enter an amount",IF(L331=0,"Enter an amount",IF(ABS(W331)&gt;ABS(L331),"Tax is larger than the amount","")))))))))))))</f>
        <v/>
      </c>
      <c r="Y331" s="67">
        <f>IF(OR(T331=1,X331&lt;&gt;""),"",IF(AND(B331&lt;&gt;"",COUNTIF(tx_ID,B331)&gt;1),"Duplicate transaction ID",IF(AND(L331&lt;0,D331&lt;&gt;"Adjustment"),"Negative amount — check this entry",IF(AND(D331="Customer Payment",G331=""),"Add the customer",IF(AND(D331="Customer Payment",OR(J331="",COUNTIF(ar_No,J331&amp;"")=0)),"Invoice # in Reference not found on AR sheet",IF(AND(D331="Bill Payment",H331=""),"Add the vendor",IF(AND(D331="Bill Payment",OR(J331="",COUNTIFS(ap_No,J331&amp;"",ap_Party,H331&amp;"")=0)),"Bill # + vendor not found on AP sheet",IF(AND(ISNUMBER(M331),N(M331)&lt;&gt;0,W331=0),"Tax ignored (tax tracking off, or not allowed for this type)",IF(V331=K331&amp;"","Same account on both sides",IF(AND(ISNUMBER(StartDate),C331&lt;StartDate),"Date is before the accounting start date",IF(AND(D331&lt;&gt;"Adjustment",IFERROR(INDEX(coa_Pay,MATCH(K331&amp;"",coa_Name,0)),"")&lt;&gt;"Yes"),"Paid From / Deposited To is not a payment account","")))))))))))</f>
        <v/>
      </c>
      <c r="Z331" s="67">
        <f>IF(AND(T331=0,X331=""),1,0)</f>
        <v/>
      </c>
      <c r="AA331" s="68">
        <f>IF(Z331=1,IF(U331="In",L331,L331-W331),0)</f>
        <v/>
      </c>
      <c r="AB331" s="68">
        <f>IF(Z331=1,IF(U331="In",L331-W331,L331),0)</f>
        <v/>
      </c>
      <c r="AC331" s="68">
        <f>IF(AND(Z331=1,U331="Out"),W331,0)</f>
        <v/>
      </c>
      <c r="AD331" s="68">
        <f>IF(AND(Z331=1,U331="In"),W331,0)</f>
        <v/>
      </c>
    </row>
    <row r="332">
      <c r="B332" s="62" t="inlineStr">
        <is>
          <t>TX-0326</t>
        </is>
      </c>
      <c r="C332" s="63" t="n">
        <v>46278</v>
      </c>
      <c r="D332" s="62" t="inlineStr">
        <is>
          <t>Transfer</t>
        </is>
      </c>
      <c r="E332" s="62" t="inlineStr">
        <is>
          <t>Bank Account</t>
        </is>
      </c>
      <c r="F332" s="62" t="inlineStr">
        <is>
          <t>Cash deposit to bank</t>
        </is>
      </c>
      <c r="G332" s="62" t="n"/>
      <c r="H332" s="62" t="n"/>
      <c r="I332" s="62" t="inlineStr">
        <is>
          <t>Cash</t>
        </is>
      </c>
      <c r="J332" s="62" t="n"/>
      <c r="K332" s="62" t="inlineStr">
        <is>
          <t>Cash on Hand</t>
        </is>
      </c>
      <c r="L332" s="64" t="n">
        <v>37300</v>
      </c>
      <c r="M332" s="64" t="n"/>
      <c r="N332" s="62" t="n"/>
      <c r="O332" s="65">
        <f>IF(Z332=1,L332-W332,"")</f>
        <v/>
      </c>
      <c r="P332" s="66">
        <f>IF(V332="","",IFERROR(INDEX(coa_Type,MATCH(V332,coa_Name,0)),""))</f>
        <v/>
      </c>
      <c r="Q332" s="66">
        <f>IF(Z332=1,IF(U332="In",K332&amp;"",V332),"")</f>
        <v/>
      </c>
      <c r="R332" s="66">
        <f>IF(Z332=1,IF(U332="In",V332,K332&amp;""),"")</f>
        <v/>
      </c>
      <c r="S332" s="66">
        <f>IF(X332&lt;&gt;"","⛔ "&amp;X332&amp;" — not posted",IF(Y332&lt;&gt;"","⚠ "&amp;Y332,IF(Z332=1,"✓ OK","")))</f>
        <v/>
      </c>
      <c r="T332" s="67">
        <f>IF(AND(C332="",D332="",E332="",L332="",K332=""),1,0)</f>
        <v/>
      </c>
      <c r="U332" s="67">
        <f>IFERROR(INDEX(tt_Dir,MATCH(D332,tt_Type,0)),"")</f>
        <v/>
      </c>
      <c r="V332" s="67">
        <f>IF(D332="","",IFERROR(IF(INDEX(tt_Other,MATCH(D332,tt_Type,0))="",E332&amp;"",INDEX(tt_Other,MATCH(D332,tt_Type,0))),""))</f>
        <v/>
      </c>
      <c r="W332" s="68">
        <f>IF(OR(TaxOn&lt;&gt;"Yes",NOT(ISNUMBER(M332))),0,IF(IFERROR(INDEX(tt_Tax,MATCH(D332,tt_Type,0)),"No")="Yes",M332,0))</f>
        <v/>
      </c>
      <c r="X332" s="67">
        <f>IF(T332=1,"",IF(C332="","Missing transaction date",IF(NOT(ISNUMBER(C332)),"Invalid date",IF(OR(C332&lt;DATE(2000,1,1),C332&gt;DATE(2099,12,31)),"Invalid date",IF(D332="","Select a type",IF(U332="","Unknown type: "&amp;D332,IF(V332="","Select an account (Category)",IF(ISNA(MATCH(V332,coa_Name,0)),"Unknown account: "&amp;V332,IF(K332="","Select Paid From / Deposited To",IF(ISNA(MATCH(K332,coa_Name,0)),"Unknown account: "&amp;K332,IF(NOT(ISNUMBER(L332)),"Enter an amount",IF(L332=0,"Enter an amount",IF(ABS(W332)&gt;ABS(L332),"Tax is larger than the amount","")))))))))))))</f>
        <v/>
      </c>
      <c r="Y332" s="67">
        <f>IF(OR(T332=1,X332&lt;&gt;""),"",IF(AND(B332&lt;&gt;"",COUNTIF(tx_ID,B332)&gt;1),"Duplicate transaction ID",IF(AND(L332&lt;0,D332&lt;&gt;"Adjustment"),"Negative amount — check this entry",IF(AND(D332="Customer Payment",G332=""),"Add the customer",IF(AND(D332="Customer Payment",OR(J332="",COUNTIF(ar_No,J332&amp;"")=0)),"Invoice # in Reference not found on AR sheet",IF(AND(D332="Bill Payment",H332=""),"Add the vendor",IF(AND(D332="Bill Payment",OR(J332="",COUNTIFS(ap_No,J332&amp;"",ap_Party,H332&amp;"")=0)),"Bill # + vendor not found on AP sheet",IF(AND(ISNUMBER(M332),N(M332)&lt;&gt;0,W332=0),"Tax ignored (tax tracking off, or not allowed for this type)",IF(V332=K332&amp;"","Same account on both sides",IF(AND(ISNUMBER(StartDate),C332&lt;StartDate),"Date is before the accounting start date",IF(AND(D332&lt;&gt;"Adjustment",IFERROR(INDEX(coa_Pay,MATCH(K332&amp;"",coa_Name,0)),"")&lt;&gt;"Yes"),"Paid From / Deposited To is not a payment account","")))))))))))</f>
        <v/>
      </c>
      <c r="Z332" s="67">
        <f>IF(AND(T332=0,X332=""),1,0)</f>
        <v/>
      </c>
      <c r="AA332" s="68">
        <f>IF(Z332=1,IF(U332="In",L332,L332-W332),0)</f>
        <v/>
      </c>
      <c r="AB332" s="68">
        <f>IF(Z332=1,IF(U332="In",L332-W332,L332),0)</f>
        <v/>
      </c>
      <c r="AC332" s="68">
        <f>IF(AND(Z332=1,U332="Out"),W332,0)</f>
        <v/>
      </c>
      <c r="AD332" s="68">
        <f>IF(AND(Z332=1,U332="In"),W332,0)</f>
        <v/>
      </c>
    </row>
    <row r="333">
      <c r="B333" s="62" t="inlineStr">
        <is>
          <t>TX-0327</t>
        </is>
      </c>
      <c r="C333" s="63" t="n">
        <v>46280</v>
      </c>
      <c r="D333" s="62" t="inlineStr">
        <is>
          <t>Money Out</t>
        </is>
      </c>
      <c r="E333" s="62" t="inlineStr">
        <is>
          <t>Internet &amp; Phone</t>
        </is>
      </c>
      <c r="F333" s="62" t="inlineStr">
        <is>
          <t>Fiber internet</t>
        </is>
      </c>
      <c r="G333" s="62" t="n"/>
      <c r="H333" s="62" t="n"/>
      <c r="I333" s="62" t="inlineStr">
        <is>
          <t>Bank Transfer</t>
        </is>
      </c>
      <c r="J333" s="62" t="n"/>
      <c r="K333" s="62" t="inlineStr">
        <is>
          <t>Bank Account</t>
        </is>
      </c>
      <c r="L333" s="64" t="n">
        <v>2499</v>
      </c>
      <c r="M333" s="64" t="n">
        <v>267.75</v>
      </c>
      <c r="N333" s="62" t="n"/>
      <c r="O333" s="65">
        <f>IF(Z333=1,L333-W333,"")</f>
        <v/>
      </c>
      <c r="P333" s="66">
        <f>IF(V333="","",IFERROR(INDEX(coa_Type,MATCH(V333,coa_Name,0)),""))</f>
        <v/>
      </c>
      <c r="Q333" s="66">
        <f>IF(Z333=1,IF(U333="In",K333&amp;"",V333),"")</f>
        <v/>
      </c>
      <c r="R333" s="66">
        <f>IF(Z333=1,IF(U333="In",V333,K333&amp;""),"")</f>
        <v/>
      </c>
      <c r="S333" s="66">
        <f>IF(X333&lt;&gt;"","⛔ "&amp;X333&amp;" — not posted",IF(Y333&lt;&gt;"","⚠ "&amp;Y333,IF(Z333=1,"✓ OK","")))</f>
        <v/>
      </c>
      <c r="T333" s="67">
        <f>IF(AND(C333="",D333="",E333="",L333="",K333=""),1,0)</f>
        <v/>
      </c>
      <c r="U333" s="67">
        <f>IFERROR(INDEX(tt_Dir,MATCH(D333,tt_Type,0)),"")</f>
        <v/>
      </c>
      <c r="V333" s="67">
        <f>IF(D333="","",IFERROR(IF(INDEX(tt_Other,MATCH(D333,tt_Type,0))="",E333&amp;"",INDEX(tt_Other,MATCH(D333,tt_Type,0))),""))</f>
        <v/>
      </c>
      <c r="W333" s="68">
        <f>IF(OR(TaxOn&lt;&gt;"Yes",NOT(ISNUMBER(M333))),0,IF(IFERROR(INDEX(tt_Tax,MATCH(D333,tt_Type,0)),"No")="Yes",M333,0))</f>
        <v/>
      </c>
      <c r="X333" s="67">
        <f>IF(T333=1,"",IF(C333="","Missing transaction date",IF(NOT(ISNUMBER(C333)),"Invalid date",IF(OR(C333&lt;DATE(2000,1,1),C333&gt;DATE(2099,12,31)),"Invalid date",IF(D333="","Select a type",IF(U333="","Unknown type: "&amp;D333,IF(V333="","Select an account (Category)",IF(ISNA(MATCH(V333,coa_Name,0)),"Unknown account: "&amp;V333,IF(K333="","Select Paid From / Deposited To",IF(ISNA(MATCH(K333,coa_Name,0)),"Unknown account: "&amp;K333,IF(NOT(ISNUMBER(L333)),"Enter an amount",IF(L333=0,"Enter an amount",IF(ABS(W333)&gt;ABS(L333),"Tax is larger than the amount","")))))))))))))</f>
        <v/>
      </c>
      <c r="Y333" s="67">
        <f>IF(OR(T333=1,X333&lt;&gt;""),"",IF(AND(B333&lt;&gt;"",COUNTIF(tx_ID,B333)&gt;1),"Duplicate transaction ID",IF(AND(L333&lt;0,D333&lt;&gt;"Adjustment"),"Negative amount — check this entry",IF(AND(D333="Customer Payment",G333=""),"Add the customer",IF(AND(D333="Customer Payment",OR(J333="",COUNTIF(ar_No,J333&amp;"")=0)),"Invoice # in Reference not found on AR sheet",IF(AND(D333="Bill Payment",H333=""),"Add the vendor",IF(AND(D333="Bill Payment",OR(J333="",COUNTIFS(ap_No,J333&amp;"",ap_Party,H333&amp;"")=0)),"Bill # + vendor not found on AP sheet",IF(AND(ISNUMBER(M333),N(M333)&lt;&gt;0,W333=0),"Tax ignored (tax tracking off, or not allowed for this type)",IF(V333=K333&amp;"","Same account on both sides",IF(AND(ISNUMBER(StartDate),C333&lt;StartDate),"Date is before the accounting start date",IF(AND(D333&lt;&gt;"Adjustment",IFERROR(INDEX(coa_Pay,MATCH(K333&amp;"",coa_Name,0)),"")&lt;&gt;"Yes"),"Paid From / Deposited To is not a payment account","")))))))))))</f>
        <v/>
      </c>
      <c r="Z333" s="67">
        <f>IF(AND(T333=0,X333=""),1,0)</f>
        <v/>
      </c>
      <c r="AA333" s="68">
        <f>IF(Z333=1,IF(U333="In",L333,L333-W333),0)</f>
        <v/>
      </c>
      <c r="AB333" s="68">
        <f>IF(Z333=1,IF(U333="In",L333-W333,L333),0)</f>
        <v/>
      </c>
      <c r="AC333" s="68">
        <f>IF(AND(Z333=1,U333="Out"),W333,0)</f>
        <v/>
      </c>
      <c r="AD333" s="68">
        <f>IF(AND(Z333=1,U333="In"),W333,0)</f>
        <v/>
      </c>
    </row>
    <row r="334">
      <c r="B334" s="62" t="inlineStr">
        <is>
          <t>TX-0328</t>
        </is>
      </c>
      <c r="C334" s="63" t="n">
        <v>46280</v>
      </c>
      <c r="D334" s="62" t="inlineStr">
        <is>
          <t>Money Out</t>
        </is>
      </c>
      <c r="E334" s="62" t="inlineStr">
        <is>
          <t>Direct Labor</t>
        </is>
      </c>
      <c r="F334" s="62" t="inlineStr">
        <is>
          <t>Bakers' salaries (1st-15th)</t>
        </is>
      </c>
      <c r="G334" s="62" t="n"/>
      <c r="H334" s="62" t="n"/>
      <c r="I334" s="62" t="inlineStr">
        <is>
          <t>Bank Transfer</t>
        </is>
      </c>
      <c r="J334" s="62" t="n"/>
      <c r="K334" s="62" t="inlineStr">
        <is>
          <t>Bank Account</t>
        </is>
      </c>
      <c r="L334" s="64" t="n">
        <v>38000</v>
      </c>
      <c r="M334" s="64" t="n"/>
      <c r="N334" s="62" t="n"/>
      <c r="O334" s="65">
        <f>IF(Z334=1,L334-W334,"")</f>
        <v/>
      </c>
      <c r="P334" s="66">
        <f>IF(V334="","",IFERROR(INDEX(coa_Type,MATCH(V334,coa_Name,0)),""))</f>
        <v/>
      </c>
      <c r="Q334" s="66">
        <f>IF(Z334=1,IF(U334="In",K334&amp;"",V334),"")</f>
        <v/>
      </c>
      <c r="R334" s="66">
        <f>IF(Z334=1,IF(U334="In",V334,K334&amp;""),"")</f>
        <v/>
      </c>
      <c r="S334" s="66">
        <f>IF(X334&lt;&gt;"","⛔ "&amp;X334&amp;" — not posted",IF(Y334&lt;&gt;"","⚠ "&amp;Y334,IF(Z334=1,"✓ OK","")))</f>
        <v/>
      </c>
      <c r="T334" s="67">
        <f>IF(AND(C334="",D334="",E334="",L334="",K334=""),1,0)</f>
        <v/>
      </c>
      <c r="U334" s="67">
        <f>IFERROR(INDEX(tt_Dir,MATCH(D334,tt_Type,0)),"")</f>
        <v/>
      </c>
      <c r="V334" s="67">
        <f>IF(D334="","",IFERROR(IF(INDEX(tt_Other,MATCH(D334,tt_Type,0))="",E334&amp;"",INDEX(tt_Other,MATCH(D334,tt_Type,0))),""))</f>
        <v/>
      </c>
      <c r="W334" s="68">
        <f>IF(OR(TaxOn&lt;&gt;"Yes",NOT(ISNUMBER(M334))),0,IF(IFERROR(INDEX(tt_Tax,MATCH(D334,tt_Type,0)),"No")="Yes",M334,0))</f>
        <v/>
      </c>
      <c r="X334" s="67">
        <f>IF(T334=1,"",IF(C334="","Missing transaction date",IF(NOT(ISNUMBER(C334)),"Invalid date",IF(OR(C334&lt;DATE(2000,1,1),C334&gt;DATE(2099,12,31)),"Invalid date",IF(D334="","Select a type",IF(U334="","Unknown type: "&amp;D334,IF(V334="","Select an account (Category)",IF(ISNA(MATCH(V334,coa_Name,0)),"Unknown account: "&amp;V334,IF(K334="","Select Paid From / Deposited To",IF(ISNA(MATCH(K334,coa_Name,0)),"Unknown account: "&amp;K334,IF(NOT(ISNUMBER(L334)),"Enter an amount",IF(L334=0,"Enter an amount",IF(ABS(W334)&gt;ABS(L334),"Tax is larger than the amount","")))))))))))))</f>
        <v/>
      </c>
      <c r="Y334" s="67">
        <f>IF(OR(T334=1,X334&lt;&gt;""),"",IF(AND(B334&lt;&gt;"",COUNTIF(tx_ID,B334)&gt;1),"Duplicate transaction ID",IF(AND(L334&lt;0,D334&lt;&gt;"Adjustment"),"Negative amount — check this entry",IF(AND(D334="Customer Payment",G334=""),"Add the customer",IF(AND(D334="Customer Payment",OR(J334="",COUNTIF(ar_No,J334&amp;"")=0)),"Invoice # in Reference not found on AR sheet",IF(AND(D334="Bill Payment",H334=""),"Add the vendor",IF(AND(D334="Bill Payment",OR(J334="",COUNTIFS(ap_No,J334&amp;"",ap_Party,H334&amp;"")=0)),"Bill # + vendor not found on AP sheet",IF(AND(ISNUMBER(M334),N(M334)&lt;&gt;0,W334=0),"Tax ignored (tax tracking off, or not allowed for this type)",IF(V334=K334&amp;"","Same account on both sides",IF(AND(ISNUMBER(StartDate),C334&lt;StartDate),"Date is before the accounting start date",IF(AND(D334&lt;&gt;"Adjustment",IFERROR(INDEX(coa_Pay,MATCH(K334&amp;"",coa_Name,0)),"")&lt;&gt;"Yes"),"Paid From / Deposited To is not a payment account","")))))))))))</f>
        <v/>
      </c>
      <c r="Z334" s="67">
        <f>IF(AND(T334=0,X334=""),1,0)</f>
        <v/>
      </c>
      <c r="AA334" s="68">
        <f>IF(Z334=1,IF(U334="In",L334,L334-W334),0)</f>
        <v/>
      </c>
      <c r="AB334" s="68">
        <f>IF(Z334=1,IF(U334="In",L334-W334,L334),0)</f>
        <v/>
      </c>
      <c r="AC334" s="68">
        <f>IF(AND(Z334=1,U334="Out"),W334,0)</f>
        <v/>
      </c>
      <c r="AD334" s="68">
        <f>IF(AND(Z334=1,U334="In"),W334,0)</f>
        <v/>
      </c>
    </row>
    <row r="335">
      <c r="B335" s="62" t="inlineStr">
        <is>
          <t>TX-0329</t>
        </is>
      </c>
      <c r="C335" s="63" t="n">
        <v>46280</v>
      </c>
      <c r="D335" s="62" t="inlineStr">
        <is>
          <t>Money Out</t>
        </is>
      </c>
      <c r="E335" s="62" t="inlineStr">
        <is>
          <t>Salaries &amp; Wages</t>
        </is>
      </c>
      <c r="F335" s="62" t="inlineStr">
        <is>
          <t>Cashier salary (1st-15th)</t>
        </is>
      </c>
      <c r="G335" s="62" t="n"/>
      <c r="H335" s="62" t="n"/>
      <c r="I335" s="62" t="inlineStr">
        <is>
          <t>Bank Transfer</t>
        </is>
      </c>
      <c r="J335" s="62" t="n"/>
      <c r="K335" s="62" t="inlineStr">
        <is>
          <t>Bank Account</t>
        </is>
      </c>
      <c r="L335" s="64" t="n">
        <v>9000</v>
      </c>
      <c r="M335" s="64" t="n"/>
      <c r="N335" s="62" t="n"/>
      <c r="O335" s="65">
        <f>IF(Z335=1,L335-W335,"")</f>
        <v/>
      </c>
      <c r="P335" s="66">
        <f>IF(V335="","",IFERROR(INDEX(coa_Type,MATCH(V335,coa_Name,0)),""))</f>
        <v/>
      </c>
      <c r="Q335" s="66">
        <f>IF(Z335=1,IF(U335="In",K335&amp;"",V335),"")</f>
        <v/>
      </c>
      <c r="R335" s="66">
        <f>IF(Z335=1,IF(U335="In",V335,K335&amp;""),"")</f>
        <v/>
      </c>
      <c r="S335" s="66">
        <f>IF(X335&lt;&gt;"","⛔ "&amp;X335&amp;" — not posted",IF(Y335&lt;&gt;"","⚠ "&amp;Y335,IF(Z335=1,"✓ OK","")))</f>
        <v/>
      </c>
      <c r="T335" s="67">
        <f>IF(AND(C335="",D335="",E335="",L335="",K335=""),1,0)</f>
        <v/>
      </c>
      <c r="U335" s="67">
        <f>IFERROR(INDEX(tt_Dir,MATCH(D335,tt_Type,0)),"")</f>
        <v/>
      </c>
      <c r="V335" s="67">
        <f>IF(D335="","",IFERROR(IF(INDEX(tt_Other,MATCH(D335,tt_Type,0))="",E335&amp;"",INDEX(tt_Other,MATCH(D335,tt_Type,0))),""))</f>
        <v/>
      </c>
      <c r="W335" s="68">
        <f>IF(OR(TaxOn&lt;&gt;"Yes",NOT(ISNUMBER(M335))),0,IF(IFERROR(INDEX(tt_Tax,MATCH(D335,tt_Type,0)),"No")="Yes",M335,0))</f>
        <v/>
      </c>
      <c r="X335" s="67">
        <f>IF(T335=1,"",IF(C335="","Missing transaction date",IF(NOT(ISNUMBER(C335)),"Invalid date",IF(OR(C335&lt;DATE(2000,1,1),C335&gt;DATE(2099,12,31)),"Invalid date",IF(D335="","Select a type",IF(U335="","Unknown type: "&amp;D335,IF(V335="","Select an account (Category)",IF(ISNA(MATCH(V335,coa_Name,0)),"Unknown account: "&amp;V335,IF(K335="","Select Paid From / Deposited To",IF(ISNA(MATCH(K335,coa_Name,0)),"Unknown account: "&amp;K335,IF(NOT(ISNUMBER(L335)),"Enter an amount",IF(L335=0,"Enter an amount",IF(ABS(W335)&gt;ABS(L335),"Tax is larger than the amount","")))))))))))))</f>
        <v/>
      </c>
      <c r="Y335" s="67">
        <f>IF(OR(T335=1,X335&lt;&gt;""),"",IF(AND(B335&lt;&gt;"",COUNTIF(tx_ID,B335)&gt;1),"Duplicate transaction ID",IF(AND(L335&lt;0,D335&lt;&gt;"Adjustment"),"Negative amount — check this entry",IF(AND(D335="Customer Payment",G335=""),"Add the customer",IF(AND(D335="Customer Payment",OR(J335="",COUNTIF(ar_No,J335&amp;"")=0)),"Invoice # in Reference not found on AR sheet",IF(AND(D335="Bill Payment",H335=""),"Add the vendor",IF(AND(D335="Bill Payment",OR(J335="",COUNTIFS(ap_No,J335&amp;"",ap_Party,H335&amp;"")=0)),"Bill # + vendor not found on AP sheet",IF(AND(ISNUMBER(M335),N(M335)&lt;&gt;0,W335=0),"Tax ignored (tax tracking off, or not allowed for this type)",IF(V335=K335&amp;"","Same account on both sides",IF(AND(ISNUMBER(StartDate),C335&lt;StartDate),"Date is before the accounting start date",IF(AND(D335&lt;&gt;"Adjustment",IFERROR(INDEX(coa_Pay,MATCH(K335&amp;"",coa_Name,0)),"")&lt;&gt;"Yes"),"Paid From / Deposited To is not a payment account","")))))))))))</f>
        <v/>
      </c>
      <c r="Z335" s="67">
        <f>IF(AND(T335=0,X335=""),1,0)</f>
        <v/>
      </c>
      <c r="AA335" s="68">
        <f>IF(Z335=1,IF(U335="In",L335,L335-W335),0)</f>
        <v/>
      </c>
      <c r="AB335" s="68">
        <f>IF(Z335=1,IF(U335="In",L335-W335,L335),0)</f>
        <v/>
      </c>
      <c r="AC335" s="68">
        <f>IF(AND(Z335=1,U335="Out"),W335,0)</f>
        <v/>
      </c>
      <c r="AD335" s="68">
        <f>IF(AND(Z335=1,U335="In"),W335,0)</f>
        <v/>
      </c>
    </row>
    <row r="336">
      <c r="B336" s="62" t="inlineStr">
        <is>
          <t>TX-0330</t>
        </is>
      </c>
      <c r="C336" s="63" t="n">
        <v>46283</v>
      </c>
      <c r="D336" s="62" t="inlineStr">
        <is>
          <t>Money In</t>
        </is>
      </c>
      <c r="E336" s="62" t="inlineStr">
        <is>
          <t>Product Sales</t>
        </is>
      </c>
      <c r="F336" s="62" t="inlineStr">
        <is>
          <t>Counter sales week 3</t>
        </is>
      </c>
      <c r="G336" s="62" t="n"/>
      <c r="H336" s="62" t="n"/>
      <c r="I336" s="62" t="inlineStr">
        <is>
          <t>Cash</t>
        </is>
      </c>
      <c r="J336" s="62" t="n"/>
      <c r="K336" s="62" t="inlineStr">
        <is>
          <t>Cash on Hand</t>
        </is>
      </c>
      <c r="L336" s="64" t="n">
        <v>60714.52</v>
      </c>
      <c r="M336" s="64" t="n">
        <v>6505.13</v>
      </c>
      <c r="N336" s="62" t="n"/>
      <c r="O336" s="65">
        <f>IF(Z336=1,L336-W336,"")</f>
        <v/>
      </c>
      <c r="P336" s="66">
        <f>IF(V336="","",IFERROR(INDEX(coa_Type,MATCH(V336,coa_Name,0)),""))</f>
        <v/>
      </c>
      <c r="Q336" s="66">
        <f>IF(Z336=1,IF(U336="In",K336&amp;"",V336),"")</f>
        <v/>
      </c>
      <c r="R336" s="66">
        <f>IF(Z336=1,IF(U336="In",V336,K336&amp;""),"")</f>
        <v/>
      </c>
      <c r="S336" s="66">
        <f>IF(X336&lt;&gt;"","⛔ "&amp;X336&amp;" — not posted",IF(Y336&lt;&gt;"","⚠ "&amp;Y336,IF(Z336=1,"✓ OK","")))</f>
        <v/>
      </c>
      <c r="T336" s="67">
        <f>IF(AND(C336="",D336="",E336="",L336="",K336=""),1,0)</f>
        <v/>
      </c>
      <c r="U336" s="67">
        <f>IFERROR(INDEX(tt_Dir,MATCH(D336,tt_Type,0)),"")</f>
        <v/>
      </c>
      <c r="V336" s="67">
        <f>IF(D336="","",IFERROR(IF(INDEX(tt_Other,MATCH(D336,tt_Type,0))="",E336&amp;"",INDEX(tt_Other,MATCH(D336,tt_Type,0))),""))</f>
        <v/>
      </c>
      <c r="W336" s="68">
        <f>IF(OR(TaxOn&lt;&gt;"Yes",NOT(ISNUMBER(M336))),0,IF(IFERROR(INDEX(tt_Tax,MATCH(D336,tt_Type,0)),"No")="Yes",M336,0))</f>
        <v/>
      </c>
      <c r="X336" s="67">
        <f>IF(T336=1,"",IF(C336="","Missing transaction date",IF(NOT(ISNUMBER(C336)),"Invalid date",IF(OR(C336&lt;DATE(2000,1,1),C336&gt;DATE(2099,12,31)),"Invalid date",IF(D336="","Select a type",IF(U336="","Unknown type: "&amp;D336,IF(V336="","Select an account (Category)",IF(ISNA(MATCH(V336,coa_Name,0)),"Unknown account: "&amp;V336,IF(K336="","Select Paid From / Deposited To",IF(ISNA(MATCH(K336,coa_Name,0)),"Unknown account: "&amp;K336,IF(NOT(ISNUMBER(L336)),"Enter an amount",IF(L336=0,"Enter an amount",IF(ABS(W336)&gt;ABS(L336),"Tax is larger than the amount","")))))))))))))</f>
        <v/>
      </c>
      <c r="Y336" s="67">
        <f>IF(OR(T336=1,X336&lt;&gt;""),"",IF(AND(B336&lt;&gt;"",COUNTIF(tx_ID,B336)&gt;1),"Duplicate transaction ID",IF(AND(L336&lt;0,D336&lt;&gt;"Adjustment"),"Negative amount — check this entry",IF(AND(D336="Customer Payment",G336=""),"Add the customer",IF(AND(D336="Customer Payment",OR(J336="",COUNTIF(ar_No,J336&amp;"")=0)),"Invoice # in Reference not found on AR sheet",IF(AND(D336="Bill Payment",H336=""),"Add the vendor",IF(AND(D336="Bill Payment",OR(J336="",COUNTIFS(ap_No,J336&amp;"",ap_Party,H336&amp;"")=0)),"Bill # + vendor not found on AP sheet",IF(AND(ISNUMBER(M336),N(M336)&lt;&gt;0,W336=0),"Tax ignored (tax tracking off, or not allowed for this type)",IF(V336=K336&amp;"","Same account on both sides",IF(AND(ISNUMBER(StartDate),C336&lt;StartDate),"Date is before the accounting start date",IF(AND(D336&lt;&gt;"Adjustment",IFERROR(INDEX(coa_Pay,MATCH(K336&amp;"",coa_Name,0)),"")&lt;&gt;"Yes"),"Paid From / Deposited To is not a payment account","")))))))))))</f>
        <v/>
      </c>
      <c r="Z336" s="67">
        <f>IF(AND(T336=0,X336=""),1,0)</f>
        <v/>
      </c>
      <c r="AA336" s="68">
        <f>IF(Z336=1,IF(U336="In",L336,L336-W336),0)</f>
        <v/>
      </c>
      <c r="AB336" s="68">
        <f>IF(Z336=1,IF(U336="In",L336-W336,L336),0)</f>
        <v/>
      </c>
      <c r="AC336" s="68">
        <f>IF(AND(Z336=1,U336="Out"),W336,0)</f>
        <v/>
      </c>
      <c r="AD336" s="68">
        <f>IF(AND(Z336=1,U336="In"),W336,0)</f>
        <v/>
      </c>
    </row>
    <row r="337">
      <c r="B337" s="62" t="inlineStr">
        <is>
          <t>TX-0331</t>
        </is>
      </c>
      <c r="C337" s="63" t="n">
        <v>46283</v>
      </c>
      <c r="D337" s="62" t="inlineStr">
        <is>
          <t>Customer Payment</t>
        </is>
      </c>
      <c r="E337" s="62" t="n"/>
      <c r="F337" s="62" t="inlineStr">
        <is>
          <t>Invoice payment</t>
        </is>
      </c>
      <c r="G337" s="62" t="inlineStr">
        <is>
          <t>Northwind Offices</t>
        </is>
      </c>
      <c r="H337" s="62" t="n"/>
      <c r="I337" s="62" t="inlineStr">
        <is>
          <t>Bank Transfer</t>
        </is>
      </c>
      <c r="J337" s="62" t="inlineStr">
        <is>
          <t>INV-1022</t>
        </is>
      </c>
      <c r="K337" s="62" t="inlineStr">
        <is>
          <t>Bank Account</t>
        </is>
      </c>
      <c r="L337" s="64" t="n">
        <v>19955.56</v>
      </c>
      <c r="M337" s="64" t="n"/>
      <c r="N337" s="62" t="n"/>
      <c r="O337" s="65">
        <f>IF(Z337=1,L337-W337,"")</f>
        <v/>
      </c>
      <c r="P337" s="66">
        <f>IF(V337="","",IFERROR(INDEX(coa_Type,MATCH(V337,coa_Name,0)),""))</f>
        <v/>
      </c>
      <c r="Q337" s="66">
        <f>IF(Z337=1,IF(U337="In",K337&amp;"",V337),"")</f>
        <v/>
      </c>
      <c r="R337" s="66">
        <f>IF(Z337=1,IF(U337="In",V337,K337&amp;""),"")</f>
        <v/>
      </c>
      <c r="S337" s="66">
        <f>IF(X337&lt;&gt;"","⛔ "&amp;X337&amp;" — not posted",IF(Y337&lt;&gt;"","⚠ "&amp;Y337,IF(Z337=1,"✓ OK","")))</f>
        <v/>
      </c>
      <c r="T337" s="67">
        <f>IF(AND(C337="",D337="",E337="",L337="",K337=""),1,0)</f>
        <v/>
      </c>
      <c r="U337" s="67">
        <f>IFERROR(INDEX(tt_Dir,MATCH(D337,tt_Type,0)),"")</f>
        <v/>
      </c>
      <c r="V337" s="67">
        <f>IF(D337="","",IFERROR(IF(INDEX(tt_Other,MATCH(D337,tt_Type,0))="",E337&amp;"",INDEX(tt_Other,MATCH(D337,tt_Type,0))),""))</f>
        <v/>
      </c>
      <c r="W337" s="68">
        <f>IF(OR(TaxOn&lt;&gt;"Yes",NOT(ISNUMBER(M337))),0,IF(IFERROR(INDEX(tt_Tax,MATCH(D337,tt_Type,0)),"No")="Yes",M337,0))</f>
        <v/>
      </c>
      <c r="X337" s="67">
        <f>IF(T337=1,"",IF(C337="","Missing transaction date",IF(NOT(ISNUMBER(C337)),"Invalid date",IF(OR(C337&lt;DATE(2000,1,1),C337&gt;DATE(2099,12,31)),"Invalid date",IF(D337="","Select a type",IF(U337="","Unknown type: "&amp;D337,IF(V337="","Select an account (Category)",IF(ISNA(MATCH(V337,coa_Name,0)),"Unknown account: "&amp;V337,IF(K337="","Select Paid From / Deposited To",IF(ISNA(MATCH(K337,coa_Name,0)),"Unknown account: "&amp;K337,IF(NOT(ISNUMBER(L337)),"Enter an amount",IF(L337=0,"Enter an amount",IF(ABS(W337)&gt;ABS(L337),"Tax is larger than the amount","")))))))))))))</f>
        <v/>
      </c>
      <c r="Y337" s="67">
        <f>IF(OR(T337=1,X337&lt;&gt;""),"",IF(AND(B337&lt;&gt;"",COUNTIF(tx_ID,B337)&gt;1),"Duplicate transaction ID",IF(AND(L337&lt;0,D337&lt;&gt;"Adjustment"),"Negative amount — check this entry",IF(AND(D337="Customer Payment",G337=""),"Add the customer",IF(AND(D337="Customer Payment",OR(J337="",COUNTIF(ar_No,J337&amp;"")=0)),"Invoice # in Reference not found on AR sheet",IF(AND(D337="Bill Payment",H337=""),"Add the vendor",IF(AND(D337="Bill Payment",OR(J337="",COUNTIFS(ap_No,J337&amp;"",ap_Party,H337&amp;"")=0)),"Bill # + vendor not found on AP sheet",IF(AND(ISNUMBER(M337),N(M337)&lt;&gt;0,W337=0),"Tax ignored (tax tracking off, or not allowed for this type)",IF(V337=K337&amp;"","Same account on both sides",IF(AND(ISNUMBER(StartDate),C337&lt;StartDate),"Date is before the accounting start date",IF(AND(D337&lt;&gt;"Adjustment",IFERROR(INDEX(coa_Pay,MATCH(K337&amp;"",coa_Name,0)),"")&lt;&gt;"Yes"),"Paid From / Deposited To is not a payment account","")))))))))))</f>
        <v/>
      </c>
      <c r="Z337" s="67">
        <f>IF(AND(T337=0,X337=""),1,0)</f>
        <v/>
      </c>
      <c r="AA337" s="68">
        <f>IF(Z337=1,IF(U337="In",L337,L337-W337),0)</f>
        <v/>
      </c>
      <c r="AB337" s="68">
        <f>IF(Z337=1,IF(U337="In",L337-W337,L337),0)</f>
        <v/>
      </c>
      <c r="AC337" s="68">
        <f>IF(AND(Z337=1,U337="Out"),W337,0)</f>
        <v/>
      </c>
      <c r="AD337" s="68">
        <f>IF(AND(Z337=1,U337="In"),W337,0)</f>
        <v/>
      </c>
    </row>
    <row r="338">
      <c r="B338" s="62" t="inlineStr">
        <is>
          <t>TX-0332</t>
        </is>
      </c>
      <c r="C338" s="63" t="n">
        <v>46284</v>
      </c>
      <c r="D338" s="62" t="inlineStr">
        <is>
          <t>Money In</t>
        </is>
      </c>
      <c r="E338" s="62" t="inlineStr">
        <is>
          <t>Product Sales</t>
        </is>
      </c>
      <c r="F338" s="62" t="inlineStr">
        <is>
          <t>GCash / online orders week 3</t>
        </is>
      </c>
      <c r="G338" s="62" t="n"/>
      <c r="H338" s="62" t="n"/>
      <c r="I338" s="62" t="inlineStr">
        <is>
          <t>E-Wallet</t>
        </is>
      </c>
      <c r="J338" s="62" t="n"/>
      <c r="K338" s="62" t="inlineStr">
        <is>
          <t>E-Wallet / Online Payments</t>
        </is>
      </c>
      <c r="L338" s="64" t="n">
        <v>14381.81</v>
      </c>
      <c r="M338" s="64" t="n">
        <v>1540.91</v>
      </c>
      <c r="N338" s="62" t="n"/>
      <c r="O338" s="65">
        <f>IF(Z338=1,L338-W338,"")</f>
        <v/>
      </c>
      <c r="P338" s="66">
        <f>IF(V338="","",IFERROR(INDEX(coa_Type,MATCH(V338,coa_Name,0)),""))</f>
        <v/>
      </c>
      <c r="Q338" s="66">
        <f>IF(Z338=1,IF(U338="In",K338&amp;"",V338),"")</f>
        <v/>
      </c>
      <c r="R338" s="66">
        <f>IF(Z338=1,IF(U338="In",V338,K338&amp;""),"")</f>
        <v/>
      </c>
      <c r="S338" s="66">
        <f>IF(X338&lt;&gt;"","⛔ "&amp;X338&amp;" — not posted",IF(Y338&lt;&gt;"","⚠ "&amp;Y338,IF(Z338=1,"✓ OK","")))</f>
        <v/>
      </c>
      <c r="T338" s="67">
        <f>IF(AND(C338="",D338="",E338="",L338="",K338=""),1,0)</f>
        <v/>
      </c>
      <c r="U338" s="67">
        <f>IFERROR(INDEX(tt_Dir,MATCH(D338,tt_Type,0)),"")</f>
        <v/>
      </c>
      <c r="V338" s="67">
        <f>IF(D338="","",IFERROR(IF(INDEX(tt_Other,MATCH(D338,tt_Type,0))="",E338&amp;"",INDEX(tt_Other,MATCH(D338,tt_Type,0))),""))</f>
        <v/>
      </c>
      <c r="W338" s="68">
        <f>IF(OR(TaxOn&lt;&gt;"Yes",NOT(ISNUMBER(M338))),0,IF(IFERROR(INDEX(tt_Tax,MATCH(D338,tt_Type,0)),"No")="Yes",M338,0))</f>
        <v/>
      </c>
      <c r="X338" s="67">
        <f>IF(T338=1,"",IF(C338="","Missing transaction date",IF(NOT(ISNUMBER(C338)),"Invalid date",IF(OR(C338&lt;DATE(2000,1,1),C338&gt;DATE(2099,12,31)),"Invalid date",IF(D338="","Select a type",IF(U338="","Unknown type: "&amp;D338,IF(V338="","Select an account (Category)",IF(ISNA(MATCH(V338,coa_Name,0)),"Unknown account: "&amp;V338,IF(K338="","Select Paid From / Deposited To",IF(ISNA(MATCH(K338,coa_Name,0)),"Unknown account: "&amp;K338,IF(NOT(ISNUMBER(L338)),"Enter an amount",IF(L338=0,"Enter an amount",IF(ABS(W338)&gt;ABS(L338),"Tax is larger than the amount","")))))))))))))</f>
        <v/>
      </c>
      <c r="Y338" s="67">
        <f>IF(OR(T338=1,X338&lt;&gt;""),"",IF(AND(B338&lt;&gt;"",COUNTIF(tx_ID,B338)&gt;1),"Duplicate transaction ID",IF(AND(L338&lt;0,D338&lt;&gt;"Adjustment"),"Negative amount — check this entry",IF(AND(D338="Customer Payment",G338=""),"Add the customer",IF(AND(D338="Customer Payment",OR(J338="",COUNTIF(ar_No,J338&amp;"")=0)),"Invoice # in Reference not found on AR sheet",IF(AND(D338="Bill Payment",H338=""),"Add the vendor",IF(AND(D338="Bill Payment",OR(J338="",COUNTIFS(ap_No,J338&amp;"",ap_Party,H338&amp;"")=0)),"Bill # + vendor not found on AP sheet",IF(AND(ISNUMBER(M338),N(M338)&lt;&gt;0,W338=0),"Tax ignored (tax tracking off, or not allowed for this type)",IF(V338=K338&amp;"","Same account on both sides",IF(AND(ISNUMBER(StartDate),C338&lt;StartDate),"Date is before the accounting start date",IF(AND(D338&lt;&gt;"Adjustment",IFERROR(INDEX(coa_Pay,MATCH(K338&amp;"",coa_Name,0)),"")&lt;&gt;"Yes"),"Paid From / Deposited To is not a payment account","")))))))))))</f>
        <v/>
      </c>
      <c r="Z338" s="67">
        <f>IF(AND(T338=0,X338=""),1,0)</f>
        <v/>
      </c>
      <c r="AA338" s="68">
        <f>IF(Z338=1,IF(U338="In",L338,L338-W338),0)</f>
        <v/>
      </c>
      <c r="AB338" s="68">
        <f>IF(Z338=1,IF(U338="In",L338-W338,L338),0)</f>
        <v/>
      </c>
      <c r="AC338" s="68">
        <f>IF(AND(Z338=1,U338="Out"),W338,0)</f>
        <v/>
      </c>
      <c r="AD338" s="68">
        <f>IF(AND(Z338=1,U338="In"),W338,0)</f>
        <v/>
      </c>
    </row>
    <row r="339">
      <c r="B339" s="62" t="inlineStr">
        <is>
          <t>TX-0333</t>
        </is>
      </c>
      <c r="C339" s="63" t="n">
        <v>46285</v>
      </c>
      <c r="D339" s="62" t="inlineStr">
        <is>
          <t>Transfer</t>
        </is>
      </c>
      <c r="E339" s="62" t="inlineStr">
        <is>
          <t>Bank Account</t>
        </is>
      </c>
      <c r="F339" s="62" t="inlineStr">
        <is>
          <t>Cash deposit to bank</t>
        </is>
      </c>
      <c r="G339" s="62" t="n"/>
      <c r="H339" s="62" t="n"/>
      <c r="I339" s="62" t="inlineStr">
        <is>
          <t>Cash</t>
        </is>
      </c>
      <c r="J339" s="62" t="n"/>
      <c r="K339" s="62" t="inlineStr">
        <is>
          <t>Cash on Hand</t>
        </is>
      </c>
      <c r="L339" s="64" t="n">
        <v>51600</v>
      </c>
      <c r="M339" s="64" t="n"/>
      <c r="N339" s="62" t="n"/>
      <c r="O339" s="65">
        <f>IF(Z339=1,L339-W339,"")</f>
        <v/>
      </c>
      <c r="P339" s="66">
        <f>IF(V339="","",IFERROR(INDEX(coa_Type,MATCH(V339,coa_Name,0)),""))</f>
        <v/>
      </c>
      <c r="Q339" s="66">
        <f>IF(Z339=1,IF(U339="In",K339&amp;"",V339),"")</f>
        <v/>
      </c>
      <c r="R339" s="66">
        <f>IF(Z339=1,IF(U339="In",V339,K339&amp;""),"")</f>
        <v/>
      </c>
      <c r="S339" s="66">
        <f>IF(X339&lt;&gt;"","⛔ "&amp;X339&amp;" — not posted",IF(Y339&lt;&gt;"","⚠ "&amp;Y339,IF(Z339=1,"✓ OK","")))</f>
        <v/>
      </c>
      <c r="T339" s="67">
        <f>IF(AND(C339="",D339="",E339="",L339="",K339=""),1,0)</f>
        <v/>
      </c>
      <c r="U339" s="67">
        <f>IFERROR(INDEX(tt_Dir,MATCH(D339,tt_Type,0)),"")</f>
        <v/>
      </c>
      <c r="V339" s="67">
        <f>IF(D339="","",IFERROR(IF(INDEX(tt_Other,MATCH(D339,tt_Type,0))="",E339&amp;"",INDEX(tt_Other,MATCH(D339,tt_Type,0))),""))</f>
        <v/>
      </c>
      <c r="W339" s="68">
        <f>IF(OR(TaxOn&lt;&gt;"Yes",NOT(ISNUMBER(M339))),0,IF(IFERROR(INDEX(tt_Tax,MATCH(D339,tt_Type,0)),"No")="Yes",M339,0))</f>
        <v/>
      </c>
      <c r="X339" s="67">
        <f>IF(T339=1,"",IF(C339="","Missing transaction date",IF(NOT(ISNUMBER(C339)),"Invalid date",IF(OR(C339&lt;DATE(2000,1,1),C339&gt;DATE(2099,12,31)),"Invalid date",IF(D339="","Select a type",IF(U339="","Unknown type: "&amp;D339,IF(V339="","Select an account (Category)",IF(ISNA(MATCH(V339,coa_Name,0)),"Unknown account: "&amp;V339,IF(K339="","Select Paid From / Deposited To",IF(ISNA(MATCH(K339,coa_Name,0)),"Unknown account: "&amp;K339,IF(NOT(ISNUMBER(L339)),"Enter an amount",IF(L339=0,"Enter an amount",IF(ABS(W339)&gt;ABS(L339),"Tax is larger than the amount","")))))))))))))</f>
        <v/>
      </c>
      <c r="Y339" s="67">
        <f>IF(OR(T339=1,X339&lt;&gt;""),"",IF(AND(B339&lt;&gt;"",COUNTIF(tx_ID,B339)&gt;1),"Duplicate transaction ID",IF(AND(L339&lt;0,D339&lt;&gt;"Adjustment"),"Negative amount — check this entry",IF(AND(D339="Customer Payment",G339=""),"Add the customer",IF(AND(D339="Customer Payment",OR(J339="",COUNTIF(ar_No,J339&amp;"")=0)),"Invoice # in Reference not found on AR sheet",IF(AND(D339="Bill Payment",H339=""),"Add the vendor",IF(AND(D339="Bill Payment",OR(J339="",COUNTIFS(ap_No,J339&amp;"",ap_Party,H339&amp;"")=0)),"Bill # + vendor not found on AP sheet",IF(AND(ISNUMBER(M339),N(M339)&lt;&gt;0,W339=0),"Tax ignored (tax tracking off, or not allowed for this type)",IF(V339=K339&amp;"","Same account on both sides",IF(AND(ISNUMBER(StartDate),C339&lt;StartDate),"Date is before the accounting start date",IF(AND(D339&lt;&gt;"Adjustment",IFERROR(INDEX(coa_Pay,MATCH(K339&amp;"",coa_Name,0)),"")&lt;&gt;"Yes"),"Paid From / Deposited To is not a payment account","")))))))))))</f>
        <v/>
      </c>
      <c r="Z339" s="67">
        <f>IF(AND(T339=0,X339=""),1,0)</f>
        <v/>
      </c>
      <c r="AA339" s="68">
        <f>IF(Z339=1,IF(U339="In",L339,L339-W339),0)</f>
        <v/>
      </c>
      <c r="AB339" s="68">
        <f>IF(Z339=1,IF(U339="In",L339-W339,L339),0)</f>
        <v/>
      </c>
      <c r="AC339" s="68">
        <f>IF(AND(Z339=1,U339="Out"),W339,0)</f>
        <v/>
      </c>
      <c r="AD339" s="68">
        <f>IF(AND(Z339=1,U339="In"),W339,0)</f>
        <v/>
      </c>
    </row>
    <row r="340">
      <c r="B340" s="62" t="inlineStr">
        <is>
          <t>TX-0334</t>
        </is>
      </c>
      <c r="C340" s="63" t="n">
        <v>46285</v>
      </c>
      <c r="D340" s="62" t="inlineStr">
        <is>
          <t>Money Out</t>
        </is>
      </c>
      <c r="E340" s="62" t="inlineStr">
        <is>
          <t>Transportation &amp; Delivery</t>
        </is>
      </c>
      <c r="F340" s="62" t="inlineStr">
        <is>
          <t>Delivery fuel</t>
        </is>
      </c>
      <c r="G340" s="62" t="n"/>
      <c r="H340" s="62" t="n"/>
      <c r="I340" s="62" t="inlineStr">
        <is>
          <t>Cash</t>
        </is>
      </c>
      <c r="J340" s="62" t="n"/>
      <c r="K340" s="62" t="inlineStr">
        <is>
          <t>Cash on Hand</t>
        </is>
      </c>
      <c r="L340" s="64" t="n">
        <v>4467.21</v>
      </c>
      <c r="M340" s="64" t="n">
        <v>478.63</v>
      </c>
      <c r="N340" s="62" t="n"/>
      <c r="O340" s="65">
        <f>IF(Z340=1,L340-W340,"")</f>
        <v/>
      </c>
      <c r="P340" s="66">
        <f>IF(V340="","",IFERROR(INDEX(coa_Type,MATCH(V340,coa_Name,0)),""))</f>
        <v/>
      </c>
      <c r="Q340" s="66">
        <f>IF(Z340=1,IF(U340="In",K340&amp;"",V340),"")</f>
        <v/>
      </c>
      <c r="R340" s="66">
        <f>IF(Z340=1,IF(U340="In",V340,K340&amp;""),"")</f>
        <v/>
      </c>
      <c r="S340" s="66">
        <f>IF(X340&lt;&gt;"","⛔ "&amp;X340&amp;" — not posted",IF(Y340&lt;&gt;"","⚠ "&amp;Y340,IF(Z340=1,"✓ OK","")))</f>
        <v/>
      </c>
      <c r="T340" s="67">
        <f>IF(AND(C340="",D340="",E340="",L340="",K340=""),1,0)</f>
        <v/>
      </c>
      <c r="U340" s="67">
        <f>IFERROR(INDEX(tt_Dir,MATCH(D340,tt_Type,0)),"")</f>
        <v/>
      </c>
      <c r="V340" s="67">
        <f>IF(D340="","",IFERROR(IF(INDEX(tt_Other,MATCH(D340,tt_Type,0))="",E340&amp;"",INDEX(tt_Other,MATCH(D340,tt_Type,0))),""))</f>
        <v/>
      </c>
      <c r="W340" s="68">
        <f>IF(OR(TaxOn&lt;&gt;"Yes",NOT(ISNUMBER(M340))),0,IF(IFERROR(INDEX(tt_Tax,MATCH(D340,tt_Type,0)),"No")="Yes",M340,0))</f>
        <v/>
      </c>
      <c r="X340" s="67">
        <f>IF(T340=1,"",IF(C340="","Missing transaction date",IF(NOT(ISNUMBER(C340)),"Invalid date",IF(OR(C340&lt;DATE(2000,1,1),C340&gt;DATE(2099,12,31)),"Invalid date",IF(D340="","Select a type",IF(U340="","Unknown type: "&amp;D340,IF(V340="","Select an account (Category)",IF(ISNA(MATCH(V340,coa_Name,0)),"Unknown account: "&amp;V340,IF(K340="","Select Paid From / Deposited To",IF(ISNA(MATCH(K340,coa_Name,0)),"Unknown account: "&amp;K340,IF(NOT(ISNUMBER(L340)),"Enter an amount",IF(L340=0,"Enter an amount",IF(ABS(W340)&gt;ABS(L340),"Tax is larger than the amount","")))))))))))))</f>
        <v/>
      </c>
      <c r="Y340" s="67">
        <f>IF(OR(T340=1,X340&lt;&gt;""),"",IF(AND(B340&lt;&gt;"",COUNTIF(tx_ID,B340)&gt;1),"Duplicate transaction ID",IF(AND(L340&lt;0,D340&lt;&gt;"Adjustment"),"Negative amount — check this entry",IF(AND(D340="Customer Payment",G340=""),"Add the customer",IF(AND(D340="Customer Payment",OR(J340="",COUNTIF(ar_No,J340&amp;"")=0)),"Invoice # in Reference not found on AR sheet",IF(AND(D340="Bill Payment",H340=""),"Add the vendor",IF(AND(D340="Bill Payment",OR(J340="",COUNTIFS(ap_No,J340&amp;"",ap_Party,H340&amp;"")=0)),"Bill # + vendor not found on AP sheet",IF(AND(ISNUMBER(M340),N(M340)&lt;&gt;0,W340=0),"Tax ignored (tax tracking off, or not allowed for this type)",IF(V340=K340&amp;"","Same account on both sides",IF(AND(ISNUMBER(StartDate),C340&lt;StartDate),"Date is before the accounting start date",IF(AND(D340&lt;&gt;"Adjustment",IFERROR(INDEX(coa_Pay,MATCH(K340&amp;"",coa_Name,0)),"")&lt;&gt;"Yes"),"Paid From / Deposited To is not a payment account","")))))))))))</f>
        <v/>
      </c>
      <c r="Z340" s="67">
        <f>IF(AND(T340=0,X340=""),1,0)</f>
        <v/>
      </c>
      <c r="AA340" s="68">
        <f>IF(Z340=1,IF(U340="In",L340,L340-W340),0)</f>
        <v/>
      </c>
      <c r="AB340" s="68">
        <f>IF(Z340=1,IF(U340="In",L340-W340,L340),0)</f>
        <v/>
      </c>
      <c r="AC340" s="68">
        <f>IF(AND(Z340=1,U340="Out"),W340,0)</f>
        <v/>
      </c>
      <c r="AD340" s="68">
        <f>IF(AND(Z340=1,U340="In"),W340,0)</f>
        <v/>
      </c>
    </row>
    <row r="341">
      <c r="B341" s="62" t="inlineStr">
        <is>
          <t>TX-0335</t>
        </is>
      </c>
      <c r="C341" s="63" t="n">
        <v>46290</v>
      </c>
      <c r="D341" s="62" t="inlineStr">
        <is>
          <t>Money In</t>
        </is>
      </c>
      <c r="E341" s="62" t="inlineStr">
        <is>
          <t>Product Sales</t>
        </is>
      </c>
      <c r="F341" s="62" t="inlineStr">
        <is>
          <t>Counter sales week 4</t>
        </is>
      </c>
      <c r="G341" s="62" t="n"/>
      <c r="H341" s="62" t="n"/>
      <c r="I341" s="62" t="inlineStr">
        <is>
          <t>Cash</t>
        </is>
      </c>
      <c r="J341" s="62" t="n"/>
      <c r="K341" s="62" t="inlineStr">
        <is>
          <t>Cash on Hand</t>
        </is>
      </c>
      <c r="L341" s="64" t="n">
        <v>56289.68</v>
      </c>
      <c r="M341" s="64" t="n">
        <v>6031.04</v>
      </c>
      <c r="N341" s="62" t="n"/>
      <c r="O341" s="65">
        <f>IF(Z341=1,L341-W341,"")</f>
        <v/>
      </c>
      <c r="P341" s="66">
        <f>IF(V341="","",IFERROR(INDEX(coa_Type,MATCH(V341,coa_Name,0)),""))</f>
        <v/>
      </c>
      <c r="Q341" s="66">
        <f>IF(Z341=1,IF(U341="In",K341&amp;"",V341),"")</f>
        <v/>
      </c>
      <c r="R341" s="66">
        <f>IF(Z341=1,IF(U341="In",V341,K341&amp;""),"")</f>
        <v/>
      </c>
      <c r="S341" s="66">
        <f>IF(X341&lt;&gt;"","⛔ "&amp;X341&amp;" — not posted",IF(Y341&lt;&gt;"","⚠ "&amp;Y341,IF(Z341=1,"✓ OK","")))</f>
        <v/>
      </c>
      <c r="T341" s="67">
        <f>IF(AND(C341="",D341="",E341="",L341="",K341=""),1,0)</f>
        <v/>
      </c>
      <c r="U341" s="67">
        <f>IFERROR(INDEX(tt_Dir,MATCH(D341,tt_Type,0)),"")</f>
        <v/>
      </c>
      <c r="V341" s="67">
        <f>IF(D341="","",IFERROR(IF(INDEX(tt_Other,MATCH(D341,tt_Type,0))="",E341&amp;"",INDEX(tt_Other,MATCH(D341,tt_Type,0))),""))</f>
        <v/>
      </c>
      <c r="W341" s="68">
        <f>IF(OR(TaxOn&lt;&gt;"Yes",NOT(ISNUMBER(M341))),0,IF(IFERROR(INDEX(tt_Tax,MATCH(D341,tt_Type,0)),"No")="Yes",M341,0))</f>
        <v/>
      </c>
      <c r="X341" s="67">
        <f>IF(T341=1,"",IF(C341="","Missing transaction date",IF(NOT(ISNUMBER(C341)),"Invalid date",IF(OR(C341&lt;DATE(2000,1,1),C341&gt;DATE(2099,12,31)),"Invalid date",IF(D341="","Select a type",IF(U341="","Unknown type: "&amp;D341,IF(V341="","Select an account (Category)",IF(ISNA(MATCH(V341,coa_Name,0)),"Unknown account: "&amp;V341,IF(K341="","Select Paid From / Deposited To",IF(ISNA(MATCH(K341,coa_Name,0)),"Unknown account: "&amp;K341,IF(NOT(ISNUMBER(L341)),"Enter an amount",IF(L341=0,"Enter an amount",IF(ABS(W341)&gt;ABS(L341),"Tax is larger than the amount","")))))))))))))</f>
        <v/>
      </c>
      <c r="Y341" s="67">
        <f>IF(OR(T341=1,X341&lt;&gt;""),"",IF(AND(B341&lt;&gt;"",COUNTIF(tx_ID,B341)&gt;1),"Duplicate transaction ID",IF(AND(L341&lt;0,D341&lt;&gt;"Adjustment"),"Negative amount — check this entry",IF(AND(D341="Customer Payment",G341=""),"Add the customer",IF(AND(D341="Customer Payment",OR(J341="",COUNTIF(ar_No,J341&amp;"")=0)),"Invoice # in Reference not found on AR sheet",IF(AND(D341="Bill Payment",H341=""),"Add the vendor",IF(AND(D341="Bill Payment",OR(J341="",COUNTIFS(ap_No,J341&amp;"",ap_Party,H341&amp;"")=0)),"Bill # + vendor not found on AP sheet",IF(AND(ISNUMBER(M341),N(M341)&lt;&gt;0,W341=0),"Tax ignored (tax tracking off, or not allowed for this type)",IF(V341=K341&amp;"","Same account on both sides",IF(AND(ISNUMBER(StartDate),C341&lt;StartDate),"Date is before the accounting start date",IF(AND(D341&lt;&gt;"Adjustment",IFERROR(INDEX(coa_Pay,MATCH(K341&amp;"",coa_Name,0)),"")&lt;&gt;"Yes"),"Paid From / Deposited To is not a payment account","")))))))))))</f>
        <v/>
      </c>
      <c r="Z341" s="67">
        <f>IF(AND(T341=0,X341=""),1,0)</f>
        <v/>
      </c>
      <c r="AA341" s="68">
        <f>IF(Z341=1,IF(U341="In",L341,L341-W341),0)</f>
        <v/>
      </c>
      <c r="AB341" s="68">
        <f>IF(Z341=1,IF(U341="In",L341-W341,L341),0)</f>
        <v/>
      </c>
      <c r="AC341" s="68">
        <f>IF(AND(Z341=1,U341="Out"),W341,0)</f>
        <v/>
      </c>
      <c r="AD341" s="68">
        <f>IF(AND(Z341=1,U341="In"),W341,0)</f>
        <v/>
      </c>
    </row>
    <row r="342">
      <c r="B342" s="62" t="inlineStr">
        <is>
          <t>TX-0336</t>
        </is>
      </c>
      <c r="C342" s="63" t="n">
        <v>46290</v>
      </c>
      <c r="D342" s="62" t="inlineStr">
        <is>
          <t>Owner Draw</t>
        </is>
      </c>
      <c r="E342" s="62" t="n"/>
      <c r="F342" s="62" t="inlineStr">
        <is>
          <t>Owner salary / personal draw</t>
        </is>
      </c>
      <c r="G342" s="62" t="n"/>
      <c r="H342" s="62" t="n"/>
      <c r="I342" s="62" t="inlineStr">
        <is>
          <t>Bank Transfer</t>
        </is>
      </c>
      <c r="J342" s="62" t="n"/>
      <c r="K342" s="62" t="inlineStr">
        <is>
          <t>Bank Account</t>
        </is>
      </c>
      <c r="L342" s="64" t="n">
        <v>20000</v>
      </c>
      <c r="M342" s="64" t="n"/>
      <c r="N342" s="62" t="n"/>
      <c r="O342" s="65">
        <f>IF(Z342=1,L342-W342,"")</f>
        <v/>
      </c>
      <c r="P342" s="66">
        <f>IF(V342="","",IFERROR(INDEX(coa_Type,MATCH(V342,coa_Name,0)),""))</f>
        <v/>
      </c>
      <c r="Q342" s="66">
        <f>IF(Z342=1,IF(U342="In",K342&amp;"",V342),"")</f>
        <v/>
      </c>
      <c r="R342" s="66">
        <f>IF(Z342=1,IF(U342="In",V342,K342&amp;""),"")</f>
        <v/>
      </c>
      <c r="S342" s="66">
        <f>IF(X342&lt;&gt;"","⛔ "&amp;X342&amp;" — not posted",IF(Y342&lt;&gt;"","⚠ "&amp;Y342,IF(Z342=1,"✓ OK","")))</f>
        <v/>
      </c>
      <c r="T342" s="67">
        <f>IF(AND(C342="",D342="",E342="",L342="",K342=""),1,0)</f>
        <v/>
      </c>
      <c r="U342" s="67">
        <f>IFERROR(INDEX(tt_Dir,MATCH(D342,tt_Type,0)),"")</f>
        <v/>
      </c>
      <c r="V342" s="67">
        <f>IF(D342="","",IFERROR(IF(INDEX(tt_Other,MATCH(D342,tt_Type,0))="",E342&amp;"",INDEX(tt_Other,MATCH(D342,tt_Type,0))),""))</f>
        <v/>
      </c>
      <c r="W342" s="68">
        <f>IF(OR(TaxOn&lt;&gt;"Yes",NOT(ISNUMBER(M342))),0,IF(IFERROR(INDEX(tt_Tax,MATCH(D342,tt_Type,0)),"No")="Yes",M342,0))</f>
        <v/>
      </c>
      <c r="X342" s="67">
        <f>IF(T342=1,"",IF(C342="","Missing transaction date",IF(NOT(ISNUMBER(C342)),"Invalid date",IF(OR(C342&lt;DATE(2000,1,1),C342&gt;DATE(2099,12,31)),"Invalid date",IF(D342="","Select a type",IF(U342="","Unknown type: "&amp;D342,IF(V342="","Select an account (Category)",IF(ISNA(MATCH(V342,coa_Name,0)),"Unknown account: "&amp;V342,IF(K342="","Select Paid From / Deposited To",IF(ISNA(MATCH(K342,coa_Name,0)),"Unknown account: "&amp;K342,IF(NOT(ISNUMBER(L342)),"Enter an amount",IF(L342=0,"Enter an amount",IF(ABS(W342)&gt;ABS(L342),"Tax is larger than the amount","")))))))))))))</f>
        <v/>
      </c>
      <c r="Y342" s="67">
        <f>IF(OR(T342=1,X342&lt;&gt;""),"",IF(AND(B342&lt;&gt;"",COUNTIF(tx_ID,B342)&gt;1),"Duplicate transaction ID",IF(AND(L342&lt;0,D342&lt;&gt;"Adjustment"),"Negative amount — check this entry",IF(AND(D342="Customer Payment",G342=""),"Add the customer",IF(AND(D342="Customer Payment",OR(J342="",COUNTIF(ar_No,J342&amp;"")=0)),"Invoice # in Reference not found on AR sheet",IF(AND(D342="Bill Payment",H342=""),"Add the vendor",IF(AND(D342="Bill Payment",OR(J342="",COUNTIFS(ap_No,J342&amp;"",ap_Party,H342&amp;"")=0)),"Bill # + vendor not found on AP sheet",IF(AND(ISNUMBER(M342),N(M342)&lt;&gt;0,W342=0),"Tax ignored (tax tracking off, or not allowed for this type)",IF(V342=K342&amp;"","Same account on both sides",IF(AND(ISNUMBER(StartDate),C342&lt;StartDate),"Date is before the accounting start date",IF(AND(D342&lt;&gt;"Adjustment",IFERROR(INDEX(coa_Pay,MATCH(K342&amp;"",coa_Name,0)),"")&lt;&gt;"Yes"),"Paid From / Deposited To is not a payment account","")))))))))))</f>
        <v/>
      </c>
      <c r="Z342" s="67">
        <f>IF(AND(T342=0,X342=""),1,0)</f>
        <v/>
      </c>
      <c r="AA342" s="68">
        <f>IF(Z342=1,IF(U342="In",L342,L342-W342),0)</f>
        <v/>
      </c>
      <c r="AB342" s="68">
        <f>IF(Z342=1,IF(U342="In",L342-W342,L342),0)</f>
        <v/>
      </c>
      <c r="AC342" s="68">
        <f>IF(AND(Z342=1,U342="Out"),W342,0)</f>
        <v/>
      </c>
      <c r="AD342" s="68">
        <f>IF(AND(Z342=1,U342="In"),W342,0)</f>
        <v/>
      </c>
    </row>
    <row r="343">
      <c r="B343" s="62" t="inlineStr">
        <is>
          <t>TX-0337</t>
        </is>
      </c>
      <c r="C343" s="63" t="n">
        <v>46291</v>
      </c>
      <c r="D343" s="62" t="inlineStr">
        <is>
          <t>Money In</t>
        </is>
      </c>
      <c r="E343" s="62" t="inlineStr">
        <is>
          <t>Product Sales</t>
        </is>
      </c>
      <c r="F343" s="62" t="inlineStr">
        <is>
          <t>GCash / online orders week 4</t>
        </is>
      </c>
      <c r="G343" s="62" t="n"/>
      <c r="H343" s="62" t="n"/>
      <c r="I343" s="62" t="inlineStr">
        <is>
          <t>E-Wallet</t>
        </is>
      </c>
      <c r="J343" s="62" t="n"/>
      <c r="K343" s="62" t="inlineStr">
        <is>
          <t>E-Wallet / Online Payments</t>
        </is>
      </c>
      <c r="L343" s="64" t="n">
        <v>22684.21</v>
      </c>
      <c r="M343" s="64" t="n">
        <v>2430.45</v>
      </c>
      <c r="N343" s="62" t="n"/>
      <c r="O343" s="65">
        <f>IF(Z343=1,L343-W343,"")</f>
        <v/>
      </c>
      <c r="P343" s="66">
        <f>IF(V343="","",IFERROR(INDEX(coa_Type,MATCH(V343,coa_Name,0)),""))</f>
        <v/>
      </c>
      <c r="Q343" s="66">
        <f>IF(Z343=1,IF(U343="In",K343&amp;"",V343),"")</f>
        <v/>
      </c>
      <c r="R343" s="66">
        <f>IF(Z343=1,IF(U343="In",V343,K343&amp;""),"")</f>
        <v/>
      </c>
      <c r="S343" s="66">
        <f>IF(X343&lt;&gt;"","⛔ "&amp;X343&amp;" — not posted",IF(Y343&lt;&gt;"","⚠ "&amp;Y343,IF(Z343=1,"✓ OK","")))</f>
        <v/>
      </c>
      <c r="T343" s="67">
        <f>IF(AND(C343="",D343="",E343="",L343="",K343=""),1,0)</f>
        <v/>
      </c>
      <c r="U343" s="67">
        <f>IFERROR(INDEX(tt_Dir,MATCH(D343,tt_Type,0)),"")</f>
        <v/>
      </c>
      <c r="V343" s="67">
        <f>IF(D343="","",IFERROR(IF(INDEX(tt_Other,MATCH(D343,tt_Type,0))="",E343&amp;"",INDEX(tt_Other,MATCH(D343,tt_Type,0))),""))</f>
        <v/>
      </c>
      <c r="W343" s="68">
        <f>IF(OR(TaxOn&lt;&gt;"Yes",NOT(ISNUMBER(M343))),0,IF(IFERROR(INDEX(tt_Tax,MATCH(D343,tt_Type,0)),"No")="Yes",M343,0))</f>
        <v/>
      </c>
      <c r="X343" s="67">
        <f>IF(T343=1,"",IF(C343="","Missing transaction date",IF(NOT(ISNUMBER(C343)),"Invalid date",IF(OR(C343&lt;DATE(2000,1,1),C343&gt;DATE(2099,12,31)),"Invalid date",IF(D343="","Select a type",IF(U343="","Unknown type: "&amp;D343,IF(V343="","Select an account (Category)",IF(ISNA(MATCH(V343,coa_Name,0)),"Unknown account: "&amp;V343,IF(K343="","Select Paid From / Deposited To",IF(ISNA(MATCH(K343,coa_Name,0)),"Unknown account: "&amp;K343,IF(NOT(ISNUMBER(L343)),"Enter an amount",IF(L343=0,"Enter an amount",IF(ABS(W343)&gt;ABS(L343),"Tax is larger than the amount","")))))))))))))</f>
        <v/>
      </c>
      <c r="Y343" s="67">
        <f>IF(OR(T343=1,X343&lt;&gt;""),"",IF(AND(B343&lt;&gt;"",COUNTIF(tx_ID,B343)&gt;1),"Duplicate transaction ID",IF(AND(L343&lt;0,D343&lt;&gt;"Adjustment"),"Negative amount — check this entry",IF(AND(D343="Customer Payment",G343=""),"Add the customer",IF(AND(D343="Customer Payment",OR(J343="",COUNTIF(ar_No,J343&amp;"")=0)),"Invoice # in Reference not found on AR sheet",IF(AND(D343="Bill Payment",H343=""),"Add the vendor",IF(AND(D343="Bill Payment",OR(J343="",COUNTIFS(ap_No,J343&amp;"",ap_Party,H343&amp;"")=0)),"Bill # + vendor not found on AP sheet",IF(AND(ISNUMBER(M343),N(M343)&lt;&gt;0,W343=0),"Tax ignored (tax tracking off, or not allowed for this type)",IF(V343=K343&amp;"","Same account on both sides",IF(AND(ISNUMBER(StartDate),C343&lt;StartDate),"Date is before the accounting start date",IF(AND(D343&lt;&gt;"Adjustment",IFERROR(INDEX(coa_Pay,MATCH(K343&amp;"",coa_Name,0)),"")&lt;&gt;"Yes"),"Paid From / Deposited To is not a payment account","")))))))))))</f>
        <v/>
      </c>
      <c r="Z343" s="67">
        <f>IF(AND(T343=0,X343=""),1,0)</f>
        <v/>
      </c>
      <c r="AA343" s="68">
        <f>IF(Z343=1,IF(U343="In",L343,L343-W343),0)</f>
        <v/>
      </c>
      <c r="AB343" s="68">
        <f>IF(Z343=1,IF(U343="In",L343-W343,L343),0)</f>
        <v/>
      </c>
      <c r="AC343" s="68">
        <f>IF(AND(Z343=1,U343="Out"),W343,0)</f>
        <v/>
      </c>
      <c r="AD343" s="68">
        <f>IF(AND(Z343=1,U343="In"),W343,0)</f>
        <v/>
      </c>
    </row>
    <row r="344">
      <c r="B344" s="62" t="inlineStr">
        <is>
          <t>TX-0338</t>
        </is>
      </c>
      <c r="C344" s="63" t="n">
        <v>46292</v>
      </c>
      <c r="D344" s="62" t="inlineStr">
        <is>
          <t>Transfer</t>
        </is>
      </c>
      <c r="E344" s="62" t="inlineStr">
        <is>
          <t>Bank Account</t>
        </is>
      </c>
      <c r="F344" s="62" t="inlineStr">
        <is>
          <t>Cash deposit to bank</t>
        </is>
      </c>
      <c r="G344" s="62" t="n"/>
      <c r="H344" s="62" t="n"/>
      <c r="I344" s="62" t="inlineStr">
        <is>
          <t>Cash</t>
        </is>
      </c>
      <c r="J344" s="62" t="n"/>
      <c r="K344" s="62" t="inlineStr">
        <is>
          <t>Cash on Hand</t>
        </is>
      </c>
      <c r="L344" s="64" t="n">
        <v>47800</v>
      </c>
      <c r="M344" s="64" t="n"/>
      <c r="N344" s="62" t="n"/>
      <c r="O344" s="65">
        <f>IF(Z344=1,L344-W344,"")</f>
        <v/>
      </c>
      <c r="P344" s="66">
        <f>IF(V344="","",IFERROR(INDEX(coa_Type,MATCH(V344,coa_Name,0)),""))</f>
        <v/>
      </c>
      <c r="Q344" s="66">
        <f>IF(Z344=1,IF(U344="In",K344&amp;"",V344),"")</f>
        <v/>
      </c>
      <c r="R344" s="66">
        <f>IF(Z344=1,IF(U344="In",V344,K344&amp;""),"")</f>
        <v/>
      </c>
      <c r="S344" s="66">
        <f>IF(X344&lt;&gt;"","⛔ "&amp;X344&amp;" — not posted",IF(Y344&lt;&gt;"","⚠ "&amp;Y344,IF(Z344=1,"✓ OK","")))</f>
        <v/>
      </c>
      <c r="T344" s="67">
        <f>IF(AND(C344="",D344="",E344="",L344="",K344=""),1,0)</f>
        <v/>
      </c>
      <c r="U344" s="67">
        <f>IFERROR(INDEX(tt_Dir,MATCH(D344,tt_Type,0)),"")</f>
        <v/>
      </c>
      <c r="V344" s="67">
        <f>IF(D344="","",IFERROR(IF(INDEX(tt_Other,MATCH(D344,tt_Type,0))="",E344&amp;"",INDEX(tt_Other,MATCH(D344,tt_Type,0))),""))</f>
        <v/>
      </c>
      <c r="W344" s="68">
        <f>IF(OR(TaxOn&lt;&gt;"Yes",NOT(ISNUMBER(M344))),0,IF(IFERROR(INDEX(tt_Tax,MATCH(D344,tt_Type,0)),"No")="Yes",M344,0))</f>
        <v/>
      </c>
      <c r="X344" s="67">
        <f>IF(T344=1,"",IF(C344="","Missing transaction date",IF(NOT(ISNUMBER(C344)),"Invalid date",IF(OR(C344&lt;DATE(2000,1,1),C344&gt;DATE(2099,12,31)),"Invalid date",IF(D344="","Select a type",IF(U344="","Unknown type: "&amp;D344,IF(V344="","Select an account (Category)",IF(ISNA(MATCH(V344,coa_Name,0)),"Unknown account: "&amp;V344,IF(K344="","Select Paid From / Deposited To",IF(ISNA(MATCH(K344,coa_Name,0)),"Unknown account: "&amp;K344,IF(NOT(ISNUMBER(L344)),"Enter an amount",IF(L344=0,"Enter an amount",IF(ABS(W344)&gt;ABS(L344),"Tax is larger than the amount","")))))))))))))</f>
        <v/>
      </c>
      <c r="Y344" s="67">
        <f>IF(OR(T344=1,X344&lt;&gt;""),"",IF(AND(B344&lt;&gt;"",COUNTIF(tx_ID,B344)&gt;1),"Duplicate transaction ID",IF(AND(L344&lt;0,D344&lt;&gt;"Adjustment"),"Negative amount — check this entry",IF(AND(D344="Customer Payment",G344=""),"Add the customer",IF(AND(D344="Customer Payment",OR(J344="",COUNTIF(ar_No,J344&amp;"")=0)),"Invoice # in Reference not found on AR sheet",IF(AND(D344="Bill Payment",H344=""),"Add the vendor",IF(AND(D344="Bill Payment",OR(J344="",COUNTIFS(ap_No,J344&amp;"",ap_Party,H344&amp;"")=0)),"Bill # + vendor not found on AP sheet",IF(AND(ISNUMBER(M344),N(M344)&lt;&gt;0,W344=0),"Tax ignored (tax tracking off, or not allowed for this type)",IF(V344=K344&amp;"","Same account on both sides",IF(AND(ISNUMBER(StartDate),C344&lt;StartDate),"Date is before the accounting start date",IF(AND(D344&lt;&gt;"Adjustment",IFERROR(INDEX(coa_Pay,MATCH(K344&amp;"",coa_Name,0)),"")&lt;&gt;"Yes"),"Paid From / Deposited To is not a payment account","")))))))))))</f>
        <v/>
      </c>
      <c r="Z344" s="67">
        <f>IF(AND(T344=0,X344=""),1,0)</f>
        <v/>
      </c>
      <c r="AA344" s="68">
        <f>IF(Z344=1,IF(U344="In",L344,L344-W344),0)</f>
        <v/>
      </c>
      <c r="AB344" s="68">
        <f>IF(Z344=1,IF(U344="In",L344-W344,L344),0)</f>
        <v/>
      </c>
      <c r="AC344" s="68">
        <f>IF(AND(Z344=1,U344="Out"),W344,0)</f>
        <v/>
      </c>
      <c r="AD344" s="68">
        <f>IF(AND(Z344=1,U344="In"),W344,0)</f>
        <v/>
      </c>
    </row>
    <row r="345">
      <c r="B345" s="62" t="inlineStr">
        <is>
          <t>TX-0339</t>
        </is>
      </c>
      <c r="C345" s="63" t="n">
        <v>46292</v>
      </c>
      <c r="D345" s="62" t="inlineStr">
        <is>
          <t>Money Out</t>
        </is>
      </c>
      <c r="E345" s="62" t="inlineStr">
        <is>
          <t>Bank &amp; Payment Fees</t>
        </is>
      </c>
      <c r="F345" s="62" t="inlineStr">
        <is>
          <t>Monthly bank charge</t>
        </is>
      </c>
      <c r="G345" s="62" t="n"/>
      <c r="H345" s="62" t="n"/>
      <c r="I345" s="62" t="inlineStr">
        <is>
          <t>Bank Transfer</t>
        </is>
      </c>
      <c r="J345" s="62" t="n"/>
      <c r="K345" s="62" t="inlineStr">
        <is>
          <t>Bank Account</t>
        </is>
      </c>
      <c r="L345" s="64" t="n">
        <v>150</v>
      </c>
      <c r="M345" s="64" t="n"/>
      <c r="N345" s="62" t="n"/>
      <c r="O345" s="65">
        <f>IF(Z345=1,L345-W345,"")</f>
        <v/>
      </c>
      <c r="P345" s="66">
        <f>IF(V345="","",IFERROR(INDEX(coa_Type,MATCH(V345,coa_Name,0)),""))</f>
        <v/>
      </c>
      <c r="Q345" s="66">
        <f>IF(Z345=1,IF(U345="In",K345&amp;"",V345),"")</f>
        <v/>
      </c>
      <c r="R345" s="66">
        <f>IF(Z345=1,IF(U345="In",V345,K345&amp;""),"")</f>
        <v/>
      </c>
      <c r="S345" s="66">
        <f>IF(X345&lt;&gt;"","⛔ "&amp;X345&amp;" — not posted",IF(Y345&lt;&gt;"","⚠ "&amp;Y345,IF(Z345=1,"✓ OK","")))</f>
        <v/>
      </c>
      <c r="T345" s="67">
        <f>IF(AND(C345="",D345="",E345="",L345="",K345=""),1,0)</f>
        <v/>
      </c>
      <c r="U345" s="67">
        <f>IFERROR(INDEX(tt_Dir,MATCH(D345,tt_Type,0)),"")</f>
        <v/>
      </c>
      <c r="V345" s="67">
        <f>IF(D345="","",IFERROR(IF(INDEX(tt_Other,MATCH(D345,tt_Type,0))="",E345&amp;"",INDEX(tt_Other,MATCH(D345,tt_Type,0))),""))</f>
        <v/>
      </c>
      <c r="W345" s="68">
        <f>IF(OR(TaxOn&lt;&gt;"Yes",NOT(ISNUMBER(M345))),0,IF(IFERROR(INDEX(tt_Tax,MATCH(D345,tt_Type,0)),"No")="Yes",M345,0))</f>
        <v/>
      </c>
      <c r="X345" s="67">
        <f>IF(T345=1,"",IF(C345="","Missing transaction date",IF(NOT(ISNUMBER(C345)),"Invalid date",IF(OR(C345&lt;DATE(2000,1,1),C345&gt;DATE(2099,12,31)),"Invalid date",IF(D345="","Select a type",IF(U345="","Unknown type: "&amp;D345,IF(V345="","Select an account (Category)",IF(ISNA(MATCH(V345,coa_Name,0)),"Unknown account: "&amp;V345,IF(K345="","Select Paid From / Deposited To",IF(ISNA(MATCH(K345,coa_Name,0)),"Unknown account: "&amp;K345,IF(NOT(ISNUMBER(L345)),"Enter an amount",IF(L345=0,"Enter an amount",IF(ABS(W345)&gt;ABS(L345),"Tax is larger than the amount","")))))))))))))</f>
        <v/>
      </c>
      <c r="Y345" s="67">
        <f>IF(OR(T345=1,X345&lt;&gt;""),"",IF(AND(B345&lt;&gt;"",COUNTIF(tx_ID,B345)&gt;1),"Duplicate transaction ID",IF(AND(L345&lt;0,D345&lt;&gt;"Adjustment"),"Negative amount — check this entry",IF(AND(D345="Customer Payment",G345=""),"Add the customer",IF(AND(D345="Customer Payment",OR(J345="",COUNTIF(ar_No,J345&amp;"")=0)),"Invoice # in Reference not found on AR sheet",IF(AND(D345="Bill Payment",H345=""),"Add the vendor",IF(AND(D345="Bill Payment",OR(J345="",COUNTIFS(ap_No,J345&amp;"",ap_Party,H345&amp;"")=0)),"Bill # + vendor not found on AP sheet",IF(AND(ISNUMBER(M345),N(M345)&lt;&gt;0,W345=0),"Tax ignored (tax tracking off, or not allowed for this type)",IF(V345=K345&amp;"","Same account on both sides",IF(AND(ISNUMBER(StartDate),C345&lt;StartDate),"Date is before the accounting start date",IF(AND(D345&lt;&gt;"Adjustment",IFERROR(INDEX(coa_Pay,MATCH(K345&amp;"",coa_Name,0)),"")&lt;&gt;"Yes"),"Paid From / Deposited To is not a payment account","")))))))))))</f>
        <v/>
      </c>
      <c r="Z345" s="67">
        <f>IF(AND(T345=0,X345=""),1,0)</f>
        <v/>
      </c>
      <c r="AA345" s="68">
        <f>IF(Z345=1,IF(U345="In",L345,L345-W345),0)</f>
        <v/>
      </c>
      <c r="AB345" s="68">
        <f>IF(Z345=1,IF(U345="In",L345-W345,L345),0)</f>
        <v/>
      </c>
      <c r="AC345" s="68">
        <f>IF(AND(Z345=1,U345="Out"),W345,0)</f>
        <v/>
      </c>
      <c r="AD345" s="68">
        <f>IF(AND(Z345=1,U345="In"),W345,0)</f>
        <v/>
      </c>
    </row>
    <row r="346">
      <c r="B346" s="62" t="inlineStr">
        <is>
          <t>TX-0340</t>
        </is>
      </c>
      <c r="C346" s="63" t="n">
        <v>46293</v>
      </c>
      <c r="D346" s="62" t="inlineStr">
        <is>
          <t>Transfer</t>
        </is>
      </c>
      <c r="E346" s="62" t="inlineStr">
        <is>
          <t>Bank Account</t>
        </is>
      </c>
      <c r="F346" s="62" t="inlineStr">
        <is>
          <t>E-wallet cash-out to bank</t>
        </is>
      </c>
      <c r="G346" s="62" t="n"/>
      <c r="H346" s="62" t="n"/>
      <c r="I346" s="62" t="inlineStr">
        <is>
          <t>Online Payment</t>
        </is>
      </c>
      <c r="J346" s="62" t="n"/>
      <c r="K346" s="62" t="inlineStr">
        <is>
          <t>E-Wallet / Online Payments</t>
        </is>
      </c>
      <c r="L346" s="64" t="n">
        <v>41100</v>
      </c>
      <c r="M346" s="64" t="n"/>
      <c r="N346" s="62" t="n"/>
      <c r="O346" s="65">
        <f>IF(Z346=1,L346-W346,"")</f>
        <v/>
      </c>
      <c r="P346" s="66">
        <f>IF(V346="","",IFERROR(INDEX(coa_Type,MATCH(V346,coa_Name,0)),""))</f>
        <v/>
      </c>
      <c r="Q346" s="66">
        <f>IF(Z346=1,IF(U346="In",K346&amp;"",V346),"")</f>
        <v/>
      </c>
      <c r="R346" s="66">
        <f>IF(Z346=1,IF(U346="In",V346,K346&amp;""),"")</f>
        <v/>
      </c>
      <c r="S346" s="66">
        <f>IF(X346&lt;&gt;"","⛔ "&amp;X346&amp;" — not posted",IF(Y346&lt;&gt;"","⚠ "&amp;Y346,IF(Z346=1,"✓ OK","")))</f>
        <v/>
      </c>
      <c r="T346" s="67">
        <f>IF(AND(C346="",D346="",E346="",L346="",K346=""),1,0)</f>
        <v/>
      </c>
      <c r="U346" s="67">
        <f>IFERROR(INDEX(tt_Dir,MATCH(D346,tt_Type,0)),"")</f>
        <v/>
      </c>
      <c r="V346" s="67">
        <f>IF(D346="","",IFERROR(IF(INDEX(tt_Other,MATCH(D346,tt_Type,0))="",E346&amp;"",INDEX(tt_Other,MATCH(D346,tt_Type,0))),""))</f>
        <v/>
      </c>
      <c r="W346" s="68">
        <f>IF(OR(TaxOn&lt;&gt;"Yes",NOT(ISNUMBER(M346))),0,IF(IFERROR(INDEX(tt_Tax,MATCH(D346,tt_Type,0)),"No")="Yes",M346,0))</f>
        <v/>
      </c>
      <c r="X346" s="67">
        <f>IF(T346=1,"",IF(C346="","Missing transaction date",IF(NOT(ISNUMBER(C346)),"Invalid date",IF(OR(C346&lt;DATE(2000,1,1),C346&gt;DATE(2099,12,31)),"Invalid date",IF(D346="","Select a type",IF(U346="","Unknown type: "&amp;D346,IF(V346="","Select an account (Category)",IF(ISNA(MATCH(V346,coa_Name,0)),"Unknown account: "&amp;V346,IF(K346="","Select Paid From / Deposited To",IF(ISNA(MATCH(K346,coa_Name,0)),"Unknown account: "&amp;K346,IF(NOT(ISNUMBER(L346)),"Enter an amount",IF(L346=0,"Enter an amount",IF(ABS(W346)&gt;ABS(L346),"Tax is larger than the amount","")))))))))))))</f>
        <v/>
      </c>
      <c r="Y346" s="67">
        <f>IF(OR(T346=1,X346&lt;&gt;""),"",IF(AND(B346&lt;&gt;"",COUNTIF(tx_ID,B346)&gt;1),"Duplicate transaction ID",IF(AND(L346&lt;0,D346&lt;&gt;"Adjustment"),"Negative amount — check this entry",IF(AND(D346="Customer Payment",G346=""),"Add the customer",IF(AND(D346="Customer Payment",OR(J346="",COUNTIF(ar_No,J346&amp;"")=0)),"Invoice # in Reference not found on AR sheet",IF(AND(D346="Bill Payment",H346=""),"Add the vendor",IF(AND(D346="Bill Payment",OR(J346="",COUNTIFS(ap_No,J346&amp;"",ap_Party,H346&amp;"")=0)),"Bill # + vendor not found on AP sheet",IF(AND(ISNUMBER(M346),N(M346)&lt;&gt;0,W346=0),"Tax ignored (tax tracking off, or not allowed for this type)",IF(V346=K346&amp;"","Same account on both sides",IF(AND(ISNUMBER(StartDate),C346&lt;StartDate),"Date is before the accounting start date",IF(AND(D346&lt;&gt;"Adjustment",IFERROR(INDEX(coa_Pay,MATCH(K346&amp;"",coa_Name,0)),"")&lt;&gt;"Yes"),"Paid From / Deposited To is not a payment account","")))))))))))</f>
        <v/>
      </c>
      <c r="Z346" s="67">
        <f>IF(AND(T346=0,X346=""),1,0)</f>
        <v/>
      </c>
      <c r="AA346" s="68">
        <f>IF(Z346=1,IF(U346="In",L346,L346-W346),0)</f>
        <v/>
      </c>
      <c r="AB346" s="68">
        <f>IF(Z346=1,IF(U346="In",L346-W346,L346),0)</f>
        <v/>
      </c>
      <c r="AC346" s="68">
        <f>IF(AND(Z346=1,U346="Out"),W346,0)</f>
        <v/>
      </c>
      <c r="AD346" s="68">
        <f>IF(AND(Z346=1,U346="In"),W346,0)</f>
        <v/>
      </c>
    </row>
    <row r="347">
      <c r="B347" s="62" t="inlineStr">
        <is>
          <t>TX-0341</t>
        </is>
      </c>
      <c r="C347" s="63" t="n">
        <v>46293</v>
      </c>
      <c r="D347" s="62" t="inlineStr">
        <is>
          <t>Money Out</t>
        </is>
      </c>
      <c r="E347" s="62" t="inlineStr">
        <is>
          <t>Direct Labor</t>
        </is>
      </c>
      <c r="F347" s="62" t="inlineStr">
        <is>
          <t>Bakers' salaries (16th-end)</t>
        </is>
      </c>
      <c r="G347" s="62" t="n"/>
      <c r="H347" s="62" t="n"/>
      <c r="I347" s="62" t="inlineStr">
        <is>
          <t>Bank Transfer</t>
        </is>
      </c>
      <c r="J347" s="62" t="n"/>
      <c r="K347" s="62" t="inlineStr">
        <is>
          <t>Bank Account</t>
        </is>
      </c>
      <c r="L347" s="64" t="n">
        <v>38000</v>
      </c>
      <c r="M347" s="64" t="n"/>
      <c r="N347" s="62" t="n"/>
      <c r="O347" s="65">
        <f>IF(Z347=1,L347-W347,"")</f>
        <v/>
      </c>
      <c r="P347" s="66">
        <f>IF(V347="","",IFERROR(INDEX(coa_Type,MATCH(V347,coa_Name,0)),""))</f>
        <v/>
      </c>
      <c r="Q347" s="66">
        <f>IF(Z347=1,IF(U347="In",K347&amp;"",V347),"")</f>
        <v/>
      </c>
      <c r="R347" s="66">
        <f>IF(Z347=1,IF(U347="In",V347,K347&amp;""),"")</f>
        <v/>
      </c>
      <c r="S347" s="66">
        <f>IF(X347&lt;&gt;"","⛔ "&amp;X347&amp;" — not posted",IF(Y347&lt;&gt;"","⚠ "&amp;Y347,IF(Z347=1,"✓ OK","")))</f>
        <v/>
      </c>
      <c r="T347" s="67">
        <f>IF(AND(C347="",D347="",E347="",L347="",K347=""),1,0)</f>
        <v/>
      </c>
      <c r="U347" s="67">
        <f>IFERROR(INDEX(tt_Dir,MATCH(D347,tt_Type,0)),"")</f>
        <v/>
      </c>
      <c r="V347" s="67">
        <f>IF(D347="","",IFERROR(IF(INDEX(tt_Other,MATCH(D347,tt_Type,0))="",E347&amp;"",INDEX(tt_Other,MATCH(D347,tt_Type,0))),""))</f>
        <v/>
      </c>
      <c r="W347" s="68">
        <f>IF(OR(TaxOn&lt;&gt;"Yes",NOT(ISNUMBER(M347))),0,IF(IFERROR(INDEX(tt_Tax,MATCH(D347,tt_Type,0)),"No")="Yes",M347,0))</f>
        <v/>
      </c>
      <c r="X347" s="67">
        <f>IF(T347=1,"",IF(C347="","Missing transaction date",IF(NOT(ISNUMBER(C347)),"Invalid date",IF(OR(C347&lt;DATE(2000,1,1),C347&gt;DATE(2099,12,31)),"Invalid date",IF(D347="","Select a type",IF(U347="","Unknown type: "&amp;D347,IF(V347="","Select an account (Category)",IF(ISNA(MATCH(V347,coa_Name,0)),"Unknown account: "&amp;V347,IF(K347="","Select Paid From / Deposited To",IF(ISNA(MATCH(K347,coa_Name,0)),"Unknown account: "&amp;K347,IF(NOT(ISNUMBER(L347)),"Enter an amount",IF(L347=0,"Enter an amount",IF(ABS(W347)&gt;ABS(L347),"Tax is larger than the amount","")))))))))))))</f>
        <v/>
      </c>
      <c r="Y347" s="67">
        <f>IF(OR(T347=1,X347&lt;&gt;""),"",IF(AND(B347&lt;&gt;"",COUNTIF(tx_ID,B347)&gt;1),"Duplicate transaction ID",IF(AND(L347&lt;0,D347&lt;&gt;"Adjustment"),"Negative amount — check this entry",IF(AND(D347="Customer Payment",G347=""),"Add the customer",IF(AND(D347="Customer Payment",OR(J347="",COUNTIF(ar_No,J347&amp;"")=0)),"Invoice # in Reference not found on AR sheet",IF(AND(D347="Bill Payment",H347=""),"Add the vendor",IF(AND(D347="Bill Payment",OR(J347="",COUNTIFS(ap_No,J347&amp;"",ap_Party,H347&amp;"")=0)),"Bill # + vendor not found on AP sheet",IF(AND(ISNUMBER(M347),N(M347)&lt;&gt;0,W347=0),"Tax ignored (tax tracking off, or not allowed for this type)",IF(V347=K347&amp;"","Same account on both sides",IF(AND(ISNUMBER(StartDate),C347&lt;StartDate),"Date is before the accounting start date",IF(AND(D347&lt;&gt;"Adjustment",IFERROR(INDEX(coa_Pay,MATCH(K347&amp;"",coa_Name,0)),"")&lt;&gt;"Yes"),"Paid From / Deposited To is not a payment account","")))))))))))</f>
        <v/>
      </c>
      <c r="Z347" s="67">
        <f>IF(AND(T347=0,X347=""),1,0)</f>
        <v/>
      </c>
      <c r="AA347" s="68">
        <f>IF(Z347=1,IF(U347="In",L347,L347-W347),0)</f>
        <v/>
      </c>
      <c r="AB347" s="68">
        <f>IF(Z347=1,IF(U347="In",L347-W347,L347),0)</f>
        <v/>
      </c>
      <c r="AC347" s="68">
        <f>IF(AND(Z347=1,U347="Out"),W347,0)</f>
        <v/>
      </c>
      <c r="AD347" s="68">
        <f>IF(AND(Z347=1,U347="In"),W347,0)</f>
        <v/>
      </c>
    </row>
    <row r="348">
      <c r="B348" s="62" t="inlineStr">
        <is>
          <t>TX-0342</t>
        </is>
      </c>
      <c r="C348" s="63" t="n">
        <v>46293</v>
      </c>
      <c r="D348" s="62" t="inlineStr">
        <is>
          <t>Money Out</t>
        </is>
      </c>
      <c r="E348" s="62" t="inlineStr">
        <is>
          <t>Salaries &amp; Wages</t>
        </is>
      </c>
      <c r="F348" s="62" t="inlineStr">
        <is>
          <t>Cashier salary (16th-end)</t>
        </is>
      </c>
      <c r="G348" s="62" t="n"/>
      <c r="H348" s="62" t="n"/>
      <c r="I348" s="62" t="inlineStr">
        <is>
          <t>Bank Transfer</t>
        </is>
      </c>
      <c r="J348" s="62" t="n"/>
      <c r="K348" s="62" t="inlineStr">
        <is>
          <t>Bank Account</t>
        </is>
      </c>
      <c r="L348" s="64" t="n">
        <v>9000</v>
      </c>
      <c r="M348" s="64" t="n"/>
      <c r="N348" s="62" t="n"/>
      <c r="O348" s="65">
        <f>IF(Z348=1,L348-W348,"")</f>
        <v/>
      </c>
      <c r="P348" s="66">
        <f>IF(V348="","",IFERROR(INDEX(coa_Type,MATCH(V348,coa_Name,0)),""))</f>
        <v/>
      </c>
      <c r="Q348" s="66">
        <f>IF(Z348=1,IF(U348="In",K348&amp;"",V348),"")</f>
        <v/>
      </c>
      <c r="R348" s="66">
        <f>IF(Z348=1,IF(U348="In",V348,K348&amp;""),"")</f>
        <v/>
      </c>
      <c r="S348" s="66">
        <f>IF(X348&lt;&gt;"","⛔ "&amp;X348&amp;" — not posted",IF(Y348&lt;&gt;"","⚠ "&amp;Y348,IF(Z348=1,"✓ OK","")))</f>
        <v/>
      </c>
      <c r="T348" s="67">
        <f>IF(AND(C348="",D348="",E348="",L348="",K348=""),1,0)</f>
        <v/>
      </c>
      <c r="U348" s="67">
        <f>IFERROR(INDEX(tt_Dir,MATCH(D348,tt_Type,0)),"")</f>
        <v/>
      </c>
      <c r="V348" s="67">
        <f>IF(D348="","",IFERROR(IF(INDEX(tt_Other,MATCH(D348,tt_Type,0))="",E348&amp;"",INDEX(tt_Other,MATCH(D348,tt_Type,0))),""))</f>
        <v/>
      </c>
      <c r="W348" s="68">
        <f>IF(OR(TaxOn&lt;&gt;"Yes",NOT(ISNUMBER(M348))),0,IF(IFERROR(INDEX(tt_Tax,MATCH(D348,tt_Type,0)),"No")="Yes",M348,0))</f>
        <v/>
      </c>
      <c r="X348" s="67">
        <f>IF(T348=1,"",IF(C348="","Missing transaction date",IF(NOT(ISNUMBER(C348)),"Invalid date",IF(OR(C348&lt;DATE(2000,1,1),C348&gt;DATE(2099,12,31)),"Invalid date",IF(D348="","Select a type",IF(U348="","Unknown type: "&amp;D348,IF(V348="","Select an account (Category)",IF(ISNA(MATCH(V348,coa_Name,0)),"Unknown account: "&amp;V348,IF(K348="","Select Paid From / Deposited To",IF(ISNA(MATCH(K348,coa_Name,0)),"Unknown account: "&amp;K348,IF(NOT(ISNUMBER(L348)),"Enter an amount",IF(L348=0,"Enter an amount",IF(ABS(W348)&gt;ABS(L348),"Tax is larger than the amount","")))))))))))))</f>
        <v/>
      </c>
      <c r="Y348" s="67">
        <f>IF(OR(T348=1,X348&lt;&gt;""),"",IF(AND(B348&lt;&gt;"",COUNTIF(tx_ID,B348)&gt;1),"Duplicate transaction ID",IF(AND(L348&lt;0,D348&lt;&gt;"Adjustment"),"Negative amount — check this entry",IF(AND(D348="Customer Payment",G348=""),"Add the customer",IF(AND(D348="Customer Payment",OR(J348="",COUNTIF(ar_No,J348&amp;"")=0)),"Invoice # in Reference not found on AR sheet",IF(AND(D348="Bill Payment",H348=""),"Add the vendor",IF(AND(D348="Bill Payment",OR(J348="",COUNTIFS(ap_No,J348&amp;"",ap_Party,H348&amp;"")=0)),"Bill # + vendor not found on AP sheet",IF(AND(ISNUMBER(M348),N(M348)&lt;&gt;0,W348=0),"Tax ignored (tax tracking off, or not allowed for this type)",IF(V348=K348&amp;"","Same account on both sides",IF(AND(ISNUMBER(StartDate),C348&lt;StartDate),"Date is before the accounting start date",IF(AND(D348&lt;&gt;"Adjustment",IFERROR(INDEX(coa_Pay,MATCH(K348&amp;"",coa_Name,0)),"")&lt;&gt;"Yes"),"Paid From / Deposited To is not a payment account","")))))))))))</f>
        <v/>
      </c>
      <c r="Z348" s="67">
        <f>IF(AND(T348=0,X348=""),1,0)</f>
        <v/>
      </c>
      <c r="AA348" s="68">
        <f>IF(Z348=1,IF(U348="In",L348,L348-W348),0)</f>
        <v/>
      </c>
      <c r="AB348" s="68">
        <f>IF(Z348=1,IF(U348="In",L348-W348,L348),0)</f>
        <v/>
      </c>
      <c r="AC348" s="68">
        <f>IF(AND(Z348=1,U348="Out"),W348,0)</f>
        <v/>
      </c>
      <c r="AD348" s="68">
        <f>IF(AND(Z348=1,U348="In"),W348,0)</f>
        <v/>
      </c>
    </row>
    <row r="349">
      <c r="B349" s="62" t="inlineStr">
        <is>
          <t>TX-0343</t>
        </is>
      </c>
      <c r="C349" s="63" t="n">
        <v>46295</v>
      </c>
      <c r="D349" s="62" t="inlineStr">
        <is>
          <t>Adjustment</t>
        </is>
      </c>
      <c r="E349" s="62" t="inlineStr">
        <is>
          <t>Depreciation</t>
        </is>
      </c>
      <c r="F349" s="62" t="inlineStr">
        <is>
          <t>Monthly depreciation of equipment</t>
        </is>
      </c>
      <c r="G349" s="62" t="n"/>
      <c r="H349" s="62" t="n"/>
      <c r="I349" s="62" t="n"/>
      <c r="J349" s="62" t="n"/>
      <c r="K349" s="62" t="inlineStr">
        <is>
          <t>Accumulated Depreciation</t>
        </is>
      </c>
      <c r="L349" s="64" t="n">
        <v>3000</v>
      </c>
      <c r="M349" s="64" t="n"/>
      <c r="N349" s="62" t="n"/>
      <c r="O349" s="65">
        <f>IF(Z349=1,L349-W349,"")</f>
        <v/>
      </c>
      <c r="P349" s="66">
        <f>IF(V349="","",IFERROR(INDEX(coa_Type,MATCH(V349,coa_Name,0)),""))</f>
        <v/>
      </c>
      <c r="Q349" s="66">
        <f>IF(Z349=1,IF(U349="In",K349&amp;"",V349),"")</f>
        <v/>
      </c>
      <c r="R349" s="66">
        <f>IF(Z349=1,IF(U349="In",V349,K349&amp;""),"")</f>
        <v/>
      </c>
      <c r="S349" s="66">
        <f>IF(X349&lt;&gt;"","⛔ "&amp;X349&amp;" — not posted",IF(Y349&lt;&gt;"","⚠ "&amp;Y349,IF(Z349=1,"✓ OK","")))</f>
        <v/>
      </c>
      <c r="T349" s="67">
        <f>IF(AND(C349="",D349="",E349="",L349="",K349=""),1,0)</f>
        <v/>
      </c>
      <c r="U349" s="67">
        <f>IFERROR(INDEX(tt_Dir,MATCH(D349,tt_Type,0)),"")</f>
        <v/>
      </c>
      <c r="V349" s="67">
        <f>IF(D349="","",IFERROR(IF(INDEX(tt_Other,MATCH(D349,tt_Type,0))="",E349&amp;"",INDEX(tt_Other,MATCH(D349,tt_Type,0))),""))</f>
        <v/>
      </c>
      <c r="W349" s="68">
        <f>IF(OR(TaxOn&lt;&gt;"Yes",NOT(ISNUMBER(M349))),0,IF(IFERROR(INDEX(tt_Tax,MATCH(D349,tt_Type,0)),"No")="Yes",M349,0))</f>
        <v/>
      </c>
      <c r="X349" s="67">
        <f>IF(T349=1,"",IF(C349="","Missing transaction date",IF(NOT(ISNUMBER(C349)),"Invalid date",IF(OR(C349&lt;DATE(2000,1,1),C349&gt;DATE(2099,12,31)),"Invalid date",IF(D349="","Select a type",IF(U349="","Unknown type: "&amp;D349,IF(V349="","Select an account (Category)",IF(ISNA(MATCH(V349,coa_Name,0)),"Unknown account: "&amp;V349,IF(K349="","Select Paid From / Deposited To",IF(ISNA(MATCH(K349,coa_Name,0)),"Unknown account: "&amp;K349,IF(NOT(ISNUMBER(L349)),"Enter an amount",IF(L349=0,"Enter an amount",IF(ABS(W349)&gt;ABS(L349),"Tax is larger than the amount","")))))))))))))</f>
        <v/>
      </c>
      <c r="Y349" s="67">
        <f>IF(OR(T349=1,X349&lt;&gt;""),"",IF(AND(B349&lt;&gt;"",COUNTIF(tx_ID,B349)&gt;1),"Duplicate transaction ID",IF(AND(L349&lt;0,D349&lt;&gt;"Adjustment"),"Negative amount — check this entry",IF(AND(D349="Customer Payment",G349=""),"Add the customer",IF(AND(D349="Customer Payment",OR(J349="",COUNTIF(ar_No,J349&amp;"")=0)),"Invoice # in Reference not found on AR sheet",IF(AND(D349="Bill Payment",H349=""),"Add the vendor",IF(AND(D349="Bill Payment",OR(J349="",COUNTIFS(ap_No,J349&amp;"",ap_Party,H349&amp;"")=0)),"Bill # + vendor not found on AP sheet",IF(AND(ISNUMBER(M349),N(M349)&lt;&gt;0,W349=0),"Tax ignored (tax tracking off, or not allowed for this type)",IF(V349=K349&amp;"","Same account on both sides",IF(AND(ISNUMBER(StartDate),C349&lt;StartDate),"Date is before the accounting start date",IF(AND(D349&lt;&gt;"Adjustment",IFERROR(INDEX(coa_Pay,MATCH(K349&amp;"",coa_Name,0)),"")&lt;&gt;"Yes"),"Paid From / Deposited To is not a payment account","")))))))))))</f>
        <v/>
      </c>
      <c r="Z349" s="67">
        <f>IF(AND(T349=0,X349=""),1,0)</f>
        <v/>
      </c>
      <c r="AA349" s="68">
        <f>IF(Z349=1,IF(U349="In",L349,L349-W349),0)</f>
        <v/>
      </c>
      <c r="AB349" s="68">
        <f>IF(Z349=1,IF(U349="In",L349-W349,L349),0)</f>
        <v/>
      </c>
      <c r="AC349" s="68">
        <f>IF(AND(Z349=1,U349="Out"),W349,0)</f>
        <v/>
      </c>
      <c r="AD349" s="68">
        <f>IF(AND(Z349=1,U349="In"),W349,0)</f>
        <v/>
      </c>
    </row>
    <row r="350">
      <c r="B350" s="62" t="inlineStr">
        <is>
          <t>TX-0344</t>
        </is>
      </c>
      <c r="C350" s="63" t="n">
        <v>46295</v>
      </c>
      <c r="D350" s="62" t="inlineStr">
        <is>
          <t>Money In</t>
        </is>
      </c>
      <c r="E350" s="62" t="inlineStr">
        <is>
          <t>Interest Income</t>
        </is>
      </c>
      <c r="F350" s="62" t="inlineStr">
        <is>
          <t>Bank interest</t>
        </is>
      </c>
      <c r="G350" s="62" t="n"/>
      <c r="H350" s="62" t="n"/>
      <c r="I350" s="62" t="inlineStr">
        <is>
          <t>Bank Transfer</t>
        </is>
      </c>
      <c r="J350" s="62" t="n"/>
      <c r="K350" s="62" t="inlineStr">
        <is>
          <t>Bank Account</t>
        </is>
      </c>
      <c r="L350" s="64" t="n">
        <v>97.66</v>
      </c>
      <c r="M350" s="64" t="n"/>
      <c r="N350" s="62" t="n"/>
      <c r="O350" s="65">
        <f>IF(Z350=1,L350-W350,"")</f>
        <v/>
      </c>
      <c r="P350" s="66">
        <f>IF(V350="","",IFERROR(INDEX(coa_Type,MATCH(V350,coa_Name,0)),""))</f>
        <v/>
      </c>
      <c r="Q350" s="66">
        <f>IF(Z350=1,IF(U350="In",K350&amp;"",V350),"")</f>
        <v/>
      </c>
      <c r="R350" s="66">
        <f>IF(Z350=1,IF(U350="In",V350,K350&amp;""),"")</f>
        <v/>
      </c>
      <c r="S350" s="66">
        <f>IF(X350&lt;&gt;"","⛔ "&amp;X350&amp;" — not posted",IF(Y350&lt;&gt;"","⚠ "&amp;Y350,IF(Z350=1,"✓ OK","")))</f>
        <v/>
      </c>
      <c r="T350" s="67">
        <f>IF(AND(C350="",D350="",E350="",L350="",K350=""),1,0)</f>
        <v/>
      </c>
      <c r="U350" s="67">
        <f>IFERROR(INDEX(tt_Dir,MATCH(D350,tt_Type,0)),"")</f>
        <v/>
      </c>
      <c r="V350" s="67">
        <f>IF(D350="","",IFERROR(IF(INDEX(tt_Other,MATCH(D350,tt_Type,0))="",E350&amp;"",INDEX(tt_Other,MATCH(D350,tt_Type,0))),""))</f>
        <v/>
      </c>
      <c r="W350" s="68">
        <f>IF(OR(TaxOn&lt;&gt;"Yes",NOT(ISNUMBER(M350))),0,IF(IFERROR(INDEX(tt_Tax,MATCH(D350,tt_Type,0)),"No")="Yes",M350,0))</f>
        <v/>
      </c>
      <c r="X350" s="67">
        <f>IF(T350=1,"",IF(C350="","Missing transaction date",IF(NOT(ISNUMBER(C350)),"Invalid date",IF(OR(C350&lt;DATE(2000,1,1),C350&gt;DATE(2099,12,31)),"Invalid date",IF(D350="","Select a type",IF(U350="","Unknown type: "&amp;D350,IF(V350="","Select an account (Category)",IF(ISNA(MATCH(V350,coa_Name,0)),"Unknown account: "&amp;V350,IF(K350="","Select Paid From / Deposited To",IF(ISNA(MATCH(K350,coa_Name,0)),"Unknown account: "&amp;K350,IF(NOT(ISNUMBER(L350)),"Enter an amount",IF(L350=0,"Enter an amount",IF(ABS(W350)&gt;ABS(L350),"Tax is larger than the amount","")))))))))))))</f>
        <v/>
      </c>
      <c r="Y350" s="67">
        <f>IF(OR(T350=1,X350&lt;&gt;""),"",IF(AND(B350&lt;&gt;"",COUNTIF(tx_ID,B350)&gt;1),"Duplicate transaction ID",IF(AND(L350&lt;0,D350&lt;&gt;"Adjustment"),"Negative amount — check this entry",IF(AND(D350="Customer Payment",G350=""),"Add the customer",IF(AND(D350="Customer Payment",OR(J350="",COUNTIF(ar_No,J350&amp;"")=0)),"Invoice # in Reference not found on AR sheet",IF(AND(D350="Bill Payment",H350=""),"Add the vendor",IF(AND(D350="Bill Payment",OR(J350="",COUNTIFS(ap_No,J350&amp;"",ap_Party,H350&amp;"")=0)),"Bill # + vendor not found on AP sheet",IF(AND(ISNUMBER(M350),N(M350)&lt;&gt;0,W350=0),"Tax ignored (tax tracking off, or not allowed for this type)",IF(V350=K350&amp;"","Same account on both sides",IF(AND(ISNUMBER(StartDate),C350&lt;StartDate),"Date is before the accounting start date",IF(AND(D350&lt;&gt;"Adjustment",IFERROR(INDEX(coa_Pay,MATCH(K350&amp;"",coa_Name,0)),"")&lt;&gt;"Yes"),"Paid From / Deposited To is not a payment account","")))))))))))</f>
        <v/>
      </c>
      <c r="Z350" s="67">
        <f>IF(AND(T350=0,X350=""),1,0)</f>
        <v/>
      </c>
      <c r="AA350" s="68">
        <f>IF(Z350=1,IF(U350="In",L350,L350-W350),0)</f>
        <v/>
      </c>
      <c r="AB350" s="68">
        <f>IF(Z350=1,IF(U350="In",L350-W350,L350),0)</f>
        <v/>
      </c>
      <c r="AC350" s="68">
        <f>IF(AND(Z350=1,U350="Out"),W350,0)</f>
        <v/>
      </c>
      <c r="AD350" s="68">
        <f>IF(AND(Z350=1,U350="In"),W350,0)</f>
        <v/>
      </c>
    </row>
    <row r="351">
      <c r="B351" s="62" t="inlineStr">
        <is>
          <t>TX-0345</t>
        </is>
      </c>
      <c r="C351" s="63" t="n">
        <v>46295</v>
      </c>
      <c r="D351" s="62" t="inlineStr">
        <is>
          <t>Bill Payment</t>
        </is>
      </c>
      <c r="E351" s="62" t="n"/>
      <c r="F351" s="62" t="inlineStr">
        <is>
          <t>Supplier payment</t>
        </is>
      </c>
      <c r="G351" s="62" t="n"/>
      <c r="H351" s="62" t="inlineStr">
        <is>
          <t>Fresh Dairy Co.</t>
        </is>
      </c>
      <c r="I351" s="62" t="inlineStr">
        <is>
          <t>Bank Transfer</t>
        </is>
      </c>
      <c r="J351" s="62" t="inlineStr">
        <is>
          <t>FR-091</t>
        </is>
      </c>
      <c r="K351" s="62" t="inlineStr">
        <is>
          <t>Bank Account</t>
        </is>
      </c>
      <c r="L351" s="64" t="n">
        <v>13034.76</v>
      </c>
      <c r="M351" s="64" t="n"/>
      <c r="N351" s="62" t="n"/>
      <c r="O351" s="65">
        <f>IF(Z351=1,L351-W351,"")</f>
        <v/>
      </c>
      <c r="P351" s="66">
        <f>IF(V351="","",IFERROR(INDEX(coa_Type,MATCH(V351,coa_Name,0)),""))</f>
        <v/>
      </c>
      <c r="Q351" s="66">
        <f>IF(Z351=1,IF(U351="In",K351&amp;"",V351),"")</f>
        <v/>
      </c>
      <c r="R351" s="66">
        <f>IF(Z351=1,IF(U351="In",V351,K351&amp;""),"")</f>
        <v/>
      </c>
      <c r="S351" s="66">
        <f>IF(X351&lt;&gt;"","⛔ "&amp;X351&amp;" — not posted",IF(Y351&lt;&gt;"","⚠ "&amp;Y351,IF(Z351=1,"✓ OK","")))</f>
        <v/>
      </c>
      <c r="T351" s="67">
        <f>IF(AND(C351="",D351="",E351="",L351="",K351=""),1,0)</f>
        <v/>
      </c>
      <c r="U351" s="67">
        <f>IFERROR(INDEX(tt_Dir,MATCH(D351,tt_Type,0)),"")</f>
        <v/>
      </c>
      <c r="V351" s="67">
        <f>IF(D351="","",IFERROR(IF(INDEX(tt_Other,MATCH(D351,tt_Type,0))="",E351&amp;"",INDEX(tt_Other,MATCH(D351,tt_Type,0))),""))</f>
        <v/>
      </c>
      <c r="W351" s="68">
        <f>IF(OR(TaxOn&lt;&gt;"Yes",NOT(ISNUMBER(M351))),0,IF(IFERROR(INDEX(tt_Tax,MATCH(D351,tt_Type,0)),"No")="Yes",M351,0))</f>
        <v/>
      </c>
      <c r="X351" s="67">
        <f>IF(T351=1,"",IF(C351="","Missing transaction date",IF(NOT(ISNUMBER(C351)),"Invalid date",IF(OR(C351&lt;DATE(2000,1,1),C351&gt;DATE(2099,12,31)),"Invalid date",IF(D351="","Select a type",IF(U351="","Unknown type: "&amp;D351,IF(V351="","Select an account (Category)",IF(ISNA(MATCH(V351,coa_Name,0)),"Unknown account: "&amp;V351,IF(K351="","Select Paid From / Deposited To",IF(ISNA(MATCH(K351,coa_Name,0)),"Unknown account: "&amp;K351,IF(NOT(ISNUMBER(L351)),"Enter an amount",IF(L351=0,"Enter an amount",IF(ABS(W351)&gt;ABS(L351),"Tax is larger than the amount","")))))))))))))</f>
        <v/>
      </c>
      <c r="Y351" s="67">
        <f>IF(OR(T351=1,X351&lt;&gt;""),"",IF(AND(B351&lt;&gt;"",COUNTIF(tx_ID,B351)&gt;1),"Duplicate transaction ID",IF(AND(L351&lt;0,D351&lt;&gt;"Adjustment"),"Negative amount — check this entry",IF(AND(D351="Customer Payment",G351=""),"Add the customer",IF(AND(D351="Customer Payment",OR(J351="",COUNTIF(ar_No,J351&amp;"")=0)),"Invoice # in Reference not found on AR sheet",IF(AND(D351="Bill Payment",H351=""),"Add the vendor",IF(AND(D351="Bill Payment",OR(J351="",COUNTIFS(ap_No,J351&amp;"",ap_Party,H351&amp;"")=0)),"Bill # + vendor not found on AP sheet",IF(AND(ISNUMBER(M351),N(M351)&lt;&gt;0,W351=0),"Tax ignored (tax tracking off, or not allowed for this type)",IF(V351=K351&amp;"","Same account on both sides",IF(AND(ISNUMBER(StartDate),C351&lt;StartDate),"Date is before the accounting start date",IF(AND(D351&lt;&gt;"Adjustment",IFERROR(INDEX(coa_Pay,MATCH(K351&amp;"",coa_Name,0)),"")&lt;&gt;"Yes"),"Paid From / Deposited To is not a payment account","")))))))))))</f>
        <v/>
      </c>
      <c r="Z351" s="67">
        <f>IF(AND(T351=0,X351=""),1,0)</f>
        <v/>
      </c>
      <c r="AA351" s="68">
        <f>IF(Z351=1,IF(U351="In",L351,L351-W351),0)</f>
        <v/>
      </c>
      <c r="AB351" s="68">
        <f>IF(Z351=1,IF(U351="In",L351-W351,L351),0)</f>
        <v/>
      </c>
      <c r="AC351" s="68">
        <f>IF(AND(Z351=1,U351="Out"),W351,0)</f>
        <v/>
      </c>
      <c r="AD351" s="68">
        <f>IF(AND(Z351=1,U351="In"),W351,0)</f>
        <v/>
      </c>
    </row>
    <row r="352">
      <c r="B352" s="62" t="inlineStr">
        <is>
          <t>TX-0346</t>
        </is>
      </c>
      <c r="C352" s="63" t="n"/>
      <c r="D352" s="62" t="n"/>
      <c r="E352" s="62" t="n"/>
      <c r="F352" s="62" t="n"/>
      <c r="G352" s="62" t="n"/>
      <c r="H352" s="62" t="n"/>
      <c r="I352" s="62" t="n"/>
      <c r="J352" s="62" t="n"/>
      <c r="K352" s="62" t="n"/>
      <c r="L352" s="64" t="n"/>
      <c r="M352" s="64" t="n"/>
      <c r="N352" s="62" t="n"/>
      <c r="O352" s="65">
        <f>IF(Z352=1,L352-W352,"")</f>
        <v/>
      </c>
      <c r="P352" s="66">
        <f>IF(V352="","",IFERROR(INDEX(coa_Type,MATCH(V352,coa_Name,0)),""))</f>
        <v/>
      </c>
      <c r="Q352" s="66">
        <f>IF(Z352=1,IF(U352="In",K352&amp;"",V352),"")</f>
        <v/>
      </c>
      <c r="R352" s="66">
        <f>IF(Z352=1,IF(U352="In",V352,K352&amp;""),"")</f>
        <v/>
      </c>
      <c r="S352" s="66">
        <f>IF(X352&lt;&gt;"","⛔ "&amp;X352&amp;" — not posted",IF(Y352&lt;&gt;"","⚠ "&amp;Y352,IF(Z352=1,"✓ OK","")))</f>
        <v/>
      </c>
      <c r="T352" s="67">
        <f>IF(AND(C352="",D352="",E352="",L352="",K352=""),1,0)</f>
        <v/>
      </c>
      <c r="U352" s="67">
        <f>IFERROR(INDEX(tt_Dir,MATCH(D352,tt_Type,0)),"")</f>
        <v/>
      </c>
      <c r="V352" s="67">
        <f>IF(D352="","",IFERROR(IF(INDEX(tt_Other,MATCH(D352,tt_Type,0))="",E352&amp;"",INDEX(tt_Other,MATCH(D352,tt_Type,0))),""))</f>
        <v/>
      </c>
      <c r="W352" s="68">
        <f>IF(OR(TaxOn&lt;&gt;"Yes",NOT(ISNUMBER(M352))),0,IF(IFERROR(INDEX(tt_Tax,MATCH(D352,tt_Type,0)),"No")="Yes",M352,0))</f>
        <v/>
      </c>
      <c r="X352" s="67">
        <f>IF(T352=1,"",IF(C352="","Missing transaction date",IF(NOT(ISNUMBER(C352)),"Invalid date",IF(OR(C352&lt;DATE(2000,1,1),C352&gt;DATE(2099,12,31)),"Invalid date",IF(D352="","Select a type",IF(U352="","Unknown type: "&amp;D352,IF(V352="","Select an account (Category)",IF(ISNA(MATCH(V352,coa_Name,0)),"Unknown account: "&amp;V352,IF(K352="","Select Paid From / Deposited To",IF(ISNA(MATCH(K352,coa_Name,0)),"Unknown account: "&amp;K352,IF(NOT(ISNUMBER(L352)),"Enter an amount",IF(L352=0,"Enter an amount",IF(ABS(W352)&gt;ABS(L352),"Tax is larger than the amount","")))))))))))))</f>
        <v/>
      </c>
      <c r="Y352" s="67">
        <f>IF(OR(T352=1,X352&lt;&gt;""),"",IF(AND(B352&lt;&gt;"",COUNTIF(tx_ID,B352)&gt;1),"Duplicate transaction ID",IF(AND(L352&lt;0,D352&lt;&gt;"Adjustment"),"Negative amount — check this entry",IF(AND(D352="Customer Payment",G352=""),"Add the customer",IF(AND(D352="Customer Payment",OR(J352="",COUNTIF(ar_No,J352&amp;"")=0)),"Invoice # in Reference not found on AR sheet",IF(AND(D352="Bill Payment",H352=""),"Add the vendor",IF(AND(D352="Bill Payment",OR(J352="",COUNTIFS(ap_No,J352&amp;"",ap_Party,H352&amp;"")=0)),"Bill # + vendor not found on AP sheet",IF(AND(ISNUMBER(M352),N(M352)&lt;&gt;0,W352=0),"Tax ignored (tax tracking off, or not allowed for this type)",IF(V352=K352&amp;"","Same account on both sides",IF(AND(ISNUMBER(StartDate),C352&lt;StartDate),"Date is before the accounting start date",IF(AND(D352&lt;&gt;"Adjustment",IFERROR(INDEX(coa_Pay,MATCH(K352&amp;"",coa_Name,0)),"")&lt;&gt;"Yes"),"Paid From / Deposited To is not a payment account","")))))))))))</f>
        <v/>
      </c>
      <c r="Z352" s="67">
        <f>IF(AND(T352=0,X352=""),1,0)</f>
        <v/>
      </c>
      <c r="AA352" s="68">
        <f>IF(Z352=1,IF(U352="In",L352,L352-W352),0)</f>
        <v/>
      </c>
      <c r="AB352" s="68">
        <f>IF(Z352=1,IF(U352="In",L352-W352,L352),0)</f>
        <v/>
      </c>
      <c r="AC352" s="68">
        <f>IF(AND(Z352=1,U352="Out"),W352,0)</f>
        <v/>
      </c>
      <c r="AD352" s="68">
        <f>IF(AND(Z352=1,U352="In"),W352,0)</f>
        <v/>
      </c>
    </row>
    <row r="353">
      <c r="B353" s="62" t="inlineStr">
        <is>
          <t>TX-0347</t>
        </is>
      </c>
      <c r="C353" s="63" t="n"/>
      <c r="D353" s="62" t="n"/>
      <c r="E353" s="62" t="n"/>
      <c r="F353" s="62" t="n"/>
      <c r="G353" s="62" t="n"/>
      <c r="H353" s="62" t="n"/>
      <c r="I353" s="62" t="n"/>
      <c r="J353" s="62" t="n"/>
      <c r="K353" s="62" t="n"/>
      <c r="L353" s="64" t="n"/>
      <c r="M353" s="64" t="n"/>
      <c r="N353" s="62" t="n"/>
      <c r="O353" s="65">
        <f>IF(Z353=1,L353-W353,"")</f>
        <v/>
      </c>
      <c r="P353" s="66">
        <f>IF(V353="","",IFERROR(INDEX(coa_Type,MATCH(V353,coa_Name,0)),""))</f>
        <v/>
      </c>
      <c r="Q353" s="66">
        <f>IF(Z353=1,IF(U353="In",K353&amp;"",V353),"")</f>
        <v/>
      </c>
      <c r="R353" s="66">
        <f>IF(Z353=1,IF(U353="In",V353,K353&amp;""),"")</f>
        <v/>
      </c>
      <c r="S353" s="66">
        <f>IF(X353&lt;&gt;"","⛔ "&amp;X353&amp;" — not posted",IF(Y353&lt;&gt;"","⚠ "&amp;Y353,IF(Z353=1,"✓ OK","")))</f>
        <v/>
      </c>
      <c r="T353" s="67">
        <f>IF(AND(C353="",D353="",E353="",L353="",K353=""),1,0)</f>
        <v/>
      </c>
      <c r="U353" s="67">
        <f>IFERROR(INDEX(tt_Dir,MATCH(D353,tt_Type,0)),"")</f>
        <v/>
      </c>
      <c r="V353" s="67">
        <f>IF(D353="","",IFERROR(IF(INDEX(tt_Other,MATCH(D353,tt_Type,0))="",E353&amp;"",INDEX(tt_Other,MATCH(D353,tt_Type,0))),""))</f>
        <v/>
      </c>
      <c r="W353" s="68">
        <f>IF(OR(TaxOn&lt;&gt;"Yes",NOT(ISNUMBER(M353))),0,IF(IFERROR(INDEX(tt_Tax,MATCH(D353,tt_Type,0)),"No")="Yes",M353,0))</f>
        <v/>
      </c>
      <c r="X353" s="67">
        <f>IF(T353=1,"",IF(C353="","Missing transaction date",IF(NOT(ISNUMBER(C353)),"Invalid date",IF(OR(C353&lt;DATE(2000,1,1),C353&gt;DATE(2099,12,31)),"Invalid date",IF(D353="","Select a type",IF(U353="","Unknown type: "&amp;D353,IF(V353="","Select an account (Category)",IF(ISNA(MATCH(V353,coa_Name,0)),"Unknown account: "&amp;V353,IF(K353="","Select Paid From / Deposited To",IF(ISNA(MATCH(K353,coa_Name,0)),"Unknown account: "&amp;K353,IF(NOT(ISNUMBER(L353)),"Enter an amount",IF(L353=0,"Enter an amount",IF(ABS(W353)&gt;ABS(L353),"Tax is larger than the amount","")))))))))))))</f>
        <v/>
      </c>
      <c r="Y353" s="67">
        <f>IF(OR(T353=1,X353&lt;&gt;""),"",IF(AND(B353&lt;&gt;"",COUNTIF(tx_ID,B353)&gt;1),"Duplicate transaction ID",IF(AND(L353&lt;0,D353&lt;&gt;"Adjustment"),"Negative amount — check this entry",IF(AND(D353="Customer Payment",G353=""),"Add the customer",IF(AND(D353="Customer Payment",OR(J353="",COUNTIF(ar_No,J353&amp;"")=0)),"Invoice # in Reference not found on AR sheet",IF(AND(D353="Bill Payment",H353=""),"Add the vendor",IF(AND(D353="Bill Payment",OR(J353="",COUNTIFS(ap_No,J353&amp;"",ap_Party,H353&amp;"")=0)),"Bill # + vendor not found on AP sheet",IF(AND(ISNUMBER(M353),N(M353)&lt;&gt;0,W353=0),"Tax ignored (tax tracking off, or not allowed for this type)",IF(V353=K353&amp;"","Same account on both sides",IF(AND(ISNUMBER(StartDate),C353&lt;StartDate),"Date is before the accounting start date",IF(AND(D353&lt;&gt;"Adjustment",IFERROR(INDEX(coa_Pay,MATCH(K353&amp;"",coa_Name,0)),"")&lt;&gt;"Yes"),"Paid From / Deposited To is not a payment account","")))))))))))</f>
        <v/>
      </c>
      <c r="Z353" s="67">
        <f>IF(AND(T353=0,X353=""),1,0)</f>
        <v/>
      </c>
      <c r="AA353" s="68">
        <f>IF(Z353=1,IF(U353="In",L353,L353-W353),0)</f>
        <v/>
      </c>
      <c r="AB353" s="68">
        <f>IF(Z353=1,IF(U353="In",L353-W353,L353),0)</f>
        <v/>
      </c>
      <c r="AC353" s="68">
        <f>IF(AND(Z353=1,U353="Out"),W353,0)</f>
        <v/>
      </c>
      <c r="AD353" s="68">
        <f>IF(AND(Z353=1,U353="In"),W353,0)</f>
        <v/>
      </c>
    </row>
    <row r="354">
      <c r="B354" s="62" t="inlineStr">
        <is>
          <t>TX-0348</t>
        </is>
      </c>
      <c r="C354" s="63" t="n"/>
      <c r="D354" s="62" t="n"/>
      <c r="E354" s="62" t="n"/>
      <c r="F354" s="62" t="n"/>
      <c r="G354" s="62" t="n"/>
      <c r="H354" s="62" t="n"/>
      <c r="I354" s="62" t="n"/>
      <c r="J354" s="62" t="n"/>
      <c r="K354" s="62" t="n"/>
      <c r="L354" s="64" t="n"/>
      <c r="M354" s="64" t="n"/>
      <c r="N354" s="62" t="n"/>
      <c r="O354" s="65">
        <f>IF(Z354=1,L354-W354,"")</f>
        <v/>
      </c>
      <c r="P354" s="66">
        <f>IF(V354="","",IFERROR(INDEX(coa_Type,MATCH(V354,coa_Name,0)),""))</f>
        <v/>
      </c>
      <c r="Q354" s="66">
        <f>IF(Z354=1,IF(U354="In",K354&amp;"",V354),"")</f>
        <v/>
      </c>
      <c r="R354" s="66">
        <f>IF(Z354=1,IF(U354="In",V354,K354&amp;""),"")</f>
        <v/>
      </c>
      <c r="S354" s="66">
        <f>IF(X354&lt;&gt;"","⛔ "&amp;X354&amp;" — not posted",IF(Y354&lt;&gt;"","⚠ "&amp;Y354,IF(Z354=1,"✓ OK","")))</f>
        <v/>
      </c>
      <c r="T354" s="67">
        <f>IF(AND(C354="",D354="",E354="",L354="",K354=""),1,0)</f>
        <v/>
      </c>
      <c r="U354" s="67">
        <f>IFERROR(INDEX(tt_Dir,MATCH(D354,tt_Type,0)),"")</f>
        <v/>
      </c>
      <c r="V354" s="67">
        <f>IF(D354="","",IFERROR(IF(INDEX(tt_Other,MATCH(D354,tt_Type,0))="",E354&amp;"",INDEX(tt_Other,MATCH(D354,tt_Type,0))),""))</f>
        <v/>
      </c>
      <c r="W354" s="68">
        <f>IF(OR(TaxOn&lt;&gt;"Yes",NOT(ISNUMBER(M354))),0,IF(IFERROR(INDEX(tt_Tax,MATCH(D354,tt_Type,0)),"No")="Yes",M354,0))</f>
        <v/>
      </c>
      <c r="X354" s="67">
        <f>IF(T354=1,"",IF(C354="","Missing transaction date",IF(NOT(ISNUMBER(C354)),"Invalid date",IF(OR(C354&lt;DATE(2000,1,1),C354&gt;DATE(2099,12,31)),"Invalid date",IF(D354="","Select a type",IF(U354="","Unknown type: "&amp;D354,IF(V354="","Select an account (Category)",IF(ISNA(MATCH(V354,coa_Name,0)),"Unknown account: "&amp;V354,IF(K354="","Select Paid From / Deposited To",IF(ISNA(MATCH(K354,coa_Name,0)),"Unknown account: "&amp;K354,IF(NOT(ISNUMBER(L354)),"Enter an amount",IF(L354=0,"Enter an amount",IF(ABS(W354)&gt;ABS(L354),"Tax is larger than the amount","")))))))))))))</f>
        <v/>
      </c>
      <c r="Y354" s="67">
        <f>IF(OR(T354=1,X354&lt;&gt;""),"",IF(AND(B354&lt;&gt;"",COUNTIF(tx_ID,B354)&gt;1),"Duplicate transaction ID",IF(AND(L354&lt;0,D354&lt;&gt;"Adjustment"),"Negative amount — check this entry",IF(AND(D354="Customer Payment",G354=""),"Add the customer",IF(AND(D354="Customer Payment",OR(J354="",COUNTIF(ar_No,J354&amp;"")=0)),"Invoice # in Reference not found on AR sheet",IF(AND(D354="Bill Payment",H354=""),"Add the vendor",IF(AND(D354="Bill Payment",OR(J354="",COUNTIFS(ap_No,J354&amp;"",ap_Party,H354&amp;"")=0)),"Bill # + vendor not found on AP sheet",IF(AND(ISNUMBER(M354),N(M354)&lt;&gt;0,W354=0),"Tax ignored (tax tracking off, or not allowed for this type)",IF(V354=K354&amp;"","Same account on both sides",IF(AND(ISNUMBER(StartDate),C354&lt;StartDate),"Date is before the accounting start date",IF(AND(D354&lt;&gt;"Adjustment",IFERROR(INDEX(coa_Pay,MATCH(K354&amp;"",coa_Name,0)),"")&lt;&gt;"Yes"),"Paid From / Deposited To is not a payment account","")))))))))))</f>
        <v/>
      </c>
      <c r="Z354" s="67">
        <f>IF(AND(T354=0,X354=""),1,0)</f>
        <v/>
      </c>
      <c r="AA354" s="68">
        <f>IF(Z354=1,IF(U354="In",L354,L354-W354),0)</f>
        <v/>
      </c>
      <c r="AB354" s="68">
        <f>IF(Z354=1,IF(U354="In",L354-W354,L354),0)</f>
        <v/>
      </c>
      <c r="AC354" s="68">
        <f>IF(AND(Z354=1,U354="Out"),W354,0)</f>
        <v/>
      </c>
      <c r="AD354" s="68">
        <f>IF(AND(Z354=1,U354="In"),W354,0)</f>
        <v/>
      </c>
    </row>
    <row r="355">
      <c r="B355" s="62" t="inlineStr">
        <is>
          <t>TX-0349</t>
        </is>
      </c>
      <c r="C355" s="63" t="n"/>
      <c r="D355" s="62" t="n"/>
      <c r="E355" s="62" t="n"/>
      <c r="F355" s="62" t="n"/>
      <c r="G355" s="62" t="n"/>
      <c r="H355" s="62" t="n"/>
      <c r="I355" s="62" t="n"/>
      <c r="J355" s="62" t="n"/>
      <c r="K355" s="62" t="n"/>
      <c r="L355" s="64" t="n"/>
      <c r="M355" s="64" t="n"/>
      <c r="N355" s="62" t="n"/>
      <c r="O355" s="65">
        <f>IF(Z355=1,L355-W355,"")</f>
        <v/>
      </c>
      <c r="P355" s="66">
        <f>IF(V355="","",IFERROR(INDEX(coa_Type,MATCH(V355,coa_Name,0)),""))</f>
        <v/>
      </c>
      <c r="Q355" s="66">
        <f>IF(Z355=1,IF(U355="In",K355&amp;"",V355),"")</f>
        <v/>
      </c>
      <c r="R355" s="66">
        <f>IF(Z355=1,IF(U355="In",V355,K355&amp;""),"")</f>
        <v/>
      </c>
      <c r="S355" s="66">
        <f>IF(X355&lt;&gt;"","⛔ "&amp;X355&amp;" — not posted",IF(Y355&lt;&gt;"","⚠ "&amp;Y355,IF(Z355=1,"✓ OK","")))</f>
        <v/>
      </c>
      <c r="T355" s="67">
        <f>IF(AND(C355="",D355="",E355="",L355="",K355=""),1,0)</f>
        <v/>
      </c>
      <c r="U355" s="67">
        <f>IFERROR(INDEX(tt_Dir,MATCH(D355,tt_Type,0)),"")</f>
        <v/>
      </c>
      <c r="V355" s="67">
        <f>IF(D355="","",IFERROR(IF(INDEX(tt_Other,MATCH(D355,tt_Type,0))="",E355&amp;"",INDEX(tt_Other,MATCH(D355,tt_Type,0))),""))</f>
        <v/>
      </c>
      <c r="W355" s="68">
        <f>IF(OR(TaxOn&lt;&gt;"Yes",NOT(ISNUMBER(M355))),0,IF(IFERROR(INDEX(tt_Tax,MATCH(D355,tt_Type,0)),"No")="Yes",M355,0))</f>
        <v/>
      </c>
      <c r="X355" s="67">
        <f>IF(T355=1,"",IF(C355="","Missing transaction date",IF(NOT(ISNUMBER(C355)),"Invalid date",IF(OR(C355&lt;DATE(2000,1,1),C355&gt;DATE(2099,12,31)),"Invalid date",IF(D355="","Select a type",IF(U355="","Unknown type: "&amp;D355,IF(V355="","Select an account (Category)",IF(ISNA(MATCH(V355,coa_Name,0)),"Unknown account: "&amp;V355,IF(K355="","Select Paid From / Deposited To",IF(ISNA(MATCH(K355,coa_Name,0)),"Unknown account: "&amp;K355,IF(NOT(ISNUMBER(L355)),"Enter an amount",IF(L355=0,"Enter an amount",IF(ABS(W355)&gt;ABS(L355),"Tax is larger than the amount","")))))))))))))</f>
        <v/>
      </c>
      <c r="Y355" s="67">
        <f>IF(OR(T355=1,X355&lt;&gt;""),"",IF(AND(B355&lt;&gt;"",COUNTIF(tx_ID,B355)&gt;1),"Duplicate transaction ID",IF(AND(L355&lt;0,D355&lt;&gt;"Adjustment"),"Negative amount — check this entry",IF(AND(D355="Customer Payment",G355=""),"Add the customer",IF(AND(D355="Customer Payment",OR(J355="",COUNTIF(ar_No,J355&amp;"")=0)),"Invoice # in Reference not found on AR sheet",IF(AND(D355="Bill Payment",H355=""),"Add the vendor",IF(AND(D355="Bill Payment",OR(J355="",COUNTIFS(ap_No,J355&amp;"",ap_Party,H355&amp;"")=0)),"Bill # + vendor not found on AP sheet",IF(AND(ISNUMBER(M355),N(M355)&lt;&gt;0,W355=0),"Tax ignored (tax tracking off, or not allowed for this type)",IF(V355=K355&amp;"","Same account on both sides",IF(AND(ISNUMBER(StartDate),C355&lt;StartDate),"Date is before the accounting start date",IF(AND(D355&lt;&gt;"Adjustment",IFERROR(INDEX(coa_Pay,MATCH(K355&amp;"",coa_Name,0)),"")&lt;&gt;"Yes"),"Paid From / Deposited To is not a payment account","")))))))))))</f>
        <v/>
      </c>
      <c r="Z355" s="67">
        <f>IF(AND(T355=0,X355=""),1,0)</f>
        <v/>
      </c>
      <c r="AA355" s="68">
        <f>IF(Z355=1,IF(U355="In",L355,L355-W355),0)</f>
        <v/>
      </c>
      <c r="AB355" s="68">
        <f>IF(Z355=1,IF(U355="In",L355-W355,L355),0)</f>
        <v/>
      </c>
      <c r="AC355" s="68">
        <f>IF(AND(Z355=1,U355="Out"),W355,0)</f>
        <v/>
      </c>
      <c r="AD355" s="68">
        <f>IF(AND(Z355=1,U355="In"),W355,0)</f>
        <v/>
      </c>
    </row>
    <row r="356">
      <c r="B356" s="62" t="inlineStr">
        <is>
          <t>TX-0350</t>
        </is>
      </c>
      <c r="C356" s="63" t="n"/>
      <c r="D356" s="62" t="n"/>
      <c r="E356" s="62" t="n"/>
      <c r="F356" s="62" t="n"/>
      <c r="G356" s="62" t="n"/>
      <c r="H356" s="62" t="n"/>
      <c r="I356" s="62" t="n"/>
      <c r="J356" s="62" t="n"/>
      <c r="K356" s="62" t="n"/>
      <c r="L356" s="64" t="n"/>
      <c r="M356" s="64" t="n"/>
      <c r="N356" s="62" t="n"/>
      <c r="O356" s="65">
        <f>IF(Z356=1,L356-W356,"")</f>
        <v/>
      </c>
      <c r="P356" s="66">
        <f>IF(V356="","",IFERROR(INDEX(coa_Type,MATCH(V356,coa_Name,0)),""))</f>
        <v/>
      </c>
      <c r="Q356" s="66">
        <f>IF(Z356=1,IF(U356="In",K356&amp;"",V356),"")</f>
        <v/>
      </c>
      <c r="R356" s="66">
        <f>IF(Z356=1,IF(U356="In",V356,K356&amp;""),"")</f>
        <v/>
      </c>
      <c r="S356" s="66">
        <f>IF(X356&lt;&gt;"","⛔ "&amp;X356&amp;" — not posted",IF(Y356&lt;&gt;"","⚠ "&amp;Y356,IF(Z356=1,"✓ OK","")))</f>
        <v/>
      </c>
      <c r="T356" s="67">
        <f>IF(AND(C356="",D356="",E356="",L356="",K356=""),1,0)</f>
        <v/>
      </c>
      <c r="U356" s="67">
        <f>IFERROR(INDEX(tt_Dir,MATCH(D356,tt_Type,0)),"")</f>
        <v/>
      </c>
      <c r="V356" s="67">
        <f>IF(D356="","",IFERROR(IF(INDEX(tt_Other,MATCH(D356,tt_Type,0))="",E356&amp;"",INDEX(tt_Other,MATCH(D356,tt_Type,0))),""))</f>
        <v/>
      </c>
      <c r="W356" s="68">
        <f>IF(OR(TaxOn&lt;&gt;"Yes",NOT(ISNUMBER(M356))),0,IF(IFERROR(INDEX(tt_Tax,MATCH(D356,tt_Type,0)),"No")="Yes",M356,0))</f>
        <v/>
      </c>
      <c r="X356" s="67">
        <f>IF(T356=1,"",IF(C356="","Missing transaction date",IF(NOT(ISNUMBER(C356)),"Invalid date",IF(OR(C356&lt;DATE(2000,1,1),C356&gt;DATE(2099,12,31)),"Invalid date",IF(D356="","Select a type",IF(U356="","Unknown type: "&amp;D356,IF(V356="","Select an account (Category)",IF(ISNA(MATCH(V356,coa_Name,0)),"Unknown account: "&amp;V356,IF(K356="","Select Paid From / Deposited To",IF(ISNA(MATCH(K356,coa_Name,0)),"Unknown account: "&amp;K356,IF(NOT(ISNUMBER(L356)),"Enter an amount",IF(L356=0,"Enter an amount",IF(ABS(W356)&gt;ABS(L356),"Tax is larger than the amount","")))))))))))))</f>
        <v/>
      </c>
      <c r="Y356" s="67">
        <f>IF(OR(T356=1,X356&lt;&gt;""),"",IF(AND(B356&lt;&gt;"",COUNTIF(tx_ID,B356)&gt;1),"Duplicate transaction ID",IF(AND(L356&lt;0,D356&lt;&gt;"Adjustment"),"Negative amount — check this entry",IF(AND(D356="Customer Payment",G356=""),"Add the customer",IF(AND(D356="Customer Payment",OR(J356="",COUNTIF(ar_No,J356&amp;"")=0)),"Invoice # in Reference not found on AR sheet",IF(AND(D356="Bill Payment",H356=""),"Add the vendor",IF(AND(D356="Bill Payment",OR(J356="",COUNTIFS(ap_No,J356&amp;"",ap_Party,H356&amp;"")=0)),"Bill # + vendor not found on AP sheet",IF(AND(ISNUMBER(M356),N(M356)&lt;&gt;0,W356=0),"Tax ignored (tax tracking off, or not allowed for this type)",IF(V356=K356&amp;"","Same account on both sides",IF(AND(ISNUMBER(StartDate),C356&lt;StartDate),"Date is before the accounting start date",IF(AND(D356&lt;&gt;"Adjustment",IFERROR(INDEX(coa_Pay,MATCH(K356&amp;"",coa_Name,0)),"")&lt;&gt;"Yes"),"Paid From / Deposited To is not a payment account","")))))))))))</f>
        <v/>
      </c>
      <c r="Z356" s="67">
        <f>IF(AND(T356=0,X356=""),1,0)</f>
        <v/>
      </c>
      <c r="AA356" s="68">
        <f>IF(Z356=1,IF(U356="In",L356,L356-W356),0)</f>
        <v/>
      </c>
      <c r="AB356" s="68">
        <f>IF(Z356=1,IF(U356="In",L356-W356,L356),0)</f>
        <v/>
      </c>
      <c r="AC356" s="68">
        <f>IF(AND(Z356=1,U356="Out"),W356,0)</f>
        <v/>
      </c>
      <c r="AD356" s="68">
        <f>IF(AND(Z356=1,U356="In"),W356,0)</f>
        <v/>
      </c>
    </row>
    <row r="357">
      <c r="B357" s="62" t="inlineStr">
        <is>
          <t>TX-0351</t>
        </is>
      </c>
      <c r="C357" s="63" t="n"/>
      <c r="D357" s="62" t="n"/>
      <c r="E357" s="62" t="n"/>
      <c r="F357" s="62" t="n"/>
      <c r="G357" s="62" t="n"/>
      <c r="H357" s="62" t="n"/>
      <c r="I357" s="62" t="n"/>
      <c r="J357" s="62" t="n"/>
      <c r="K357" s="62" t="n"/>
      <c r="L357" s="64" t="n"/>
      <c r="M357" s="64" t="n"/>
      <c r="N357" s="62" t="n"/>
      <c r="O357" s="65">
        <f>IF(Z357=1,L357-W357,"")</f>
        <v/>
      </c>
      <c r="P357" s="66">
        <f>IF(V357="","",IFERROR(INDEX(coa_Type,MATCH(V357,coa_Name,0)),""))</f>
        <v/>
      </c>
      <c r="Q357" s="66">
        <f>IF(Z357=1,IF(U357="In",K357&amp;"",V357),"")</f>
        <v/>
      </c>
      <c r="R357" s="66">
        <f>IF(Z357=1,IF(U357="In",V357,K357&amp;""),"")</f>
        <v/>
      </c>
      <c r="S357" s="66">
        <f>IF(X357&lt;&gt;"","⛔ "&amp;X357&amp;" — not posted",IF(Y357&lt;&gt;"","⚠ "&amp;Y357,IF(Z357=1,"✓ OK","")))</f>
        <v/>
      </c>
      <c r="T357" s="67">
        <f>IF(AND(C357="",D357="",E357="",L357="",K357=""),1,0)</f>
        <v/>
      </c>
      <c r="U357" s="67">
        <f>IFERROR(INDEX(tt_Dir,MATCH(D357,tt_Type,0)),"")</f>
        <v/>
      </c>
      <c r="V357" s="67">
        <f>IF(D357="","",IFERROR(IF(INDEX(tt_Other,MATCH(D357,tt_Type,0))="",E357&amp;"",INDEX(tt_Other,MATCH(D357,tt_Type,0))),""))</f>
        <v/>
      </c>
      <c r="W357" s="68">
        <f>IF(OR(TaxOn&lt;&gt;"Yes",NOT(ISNUMBER(M357))),0,IF(IFERROR(INDEX(tt_Tax,MATCH(D357,tt_Type,0)),"No")="Yes",M357,0))</f>
        <v/>
      </c>
      <c r="X357" s="67">
        <f>IF(T357=1,"",IF(C357="","Missing transaction date",IF(NOT(ISNUMBER(C357)),"Invalid date",IF(OR(C357&lt;DATE(2000,1,1),C357&gt;DATE(2099,12,31)),"Invalid date",IF(D357="","Select a type",IF(U357="","Unknown type: "&amp;D357,IF(V357="","Select an account (Category)",IF(ISNA(MATCH(V357,coa_Name,0)),"Unknown account: "&amp;V357,IF(K357="","Select Paid From / Deposited To",IF(ISNA(MATCH(K357,coa_Name,0)),"Unknown account: "&amp;K357,IF(NOT(ISNUMBER(L357)),"Enter an amount",IF(L357=0,"Enter an amount",IF(ABS(W357)&gt;ABS(L357),"Tax is larger than the amount","")))))))))))))</f>
        <v/>
      </c>
      <c r="Y357" s="67">
        <f>IF(OR(T357=1,X357&lt;&gt;""),"",IF(AND(B357&lt;&gt;"",COUNTIF(tx_ID,B357)&gt;1),"Duplicate transaction ID",IF(AND(L357&lt;0,D357&lt;&gt;"Adjustment"),"Negative amount — check this entry",IF(AND(D357="Customer Payment",G357=""),"Add the customer",IF(AND(D357="Customer Payment",OR(J357="",COUNTIF(ar_No,J357&amp;"")=0)),"Invoice # in Reference not found on AR sheet",IF(AND(D357="Bill Payment",H357=""),"Add the vendor",IF(AND(D357="Bill Payment",OR(J357="",COUNTIFS(ap_No,J357&amp;"",ap_Party,H357&amp;"")=0)),"Bill # + vendor not found on AP sheet",IF(AND(ISNUMBER(M357),N(M357)&lt;&gt;0,W357=0),"Tax ignored (tax tracking off, or not allowed for this type)",IF(V357=K357&amp;"","Same account on both sides",IF(AND(ISNUMBER(StartDate),C357&lt;StartDate),"Date is before the accounting start date",IF(AND(D357&lt;&gt;"Adjustment",IFERROR(INDEX(coa_Pay,MATCH(K357&amp;"",coa_Name,0)),"")&lt;&gt;"Yes"),"Paid From / Deposited To is not a payment account","")))))))))))</f>
        <v/>
      </c>
      <c r="Z357" s="67">
        <f>IF(AND(T357=0,X357=""),1,0)</f>
        <v/>
      </c>
      <c r="AA357" s="68">
        <f>IF(Z357=1,IF(U357="In",L357,L357-W357),0)</f>
        <v/>
      </c>
      <c r="AB357" s="68">
        <f>IF(Z357=1,IF(U357="In",L357-W357,L357),0)</f>
        <v/>
      </c>
      <c r="AC357" s="68">
        <f>IF(AND(Z357=1,U357="Out"),W357,0)</f>
        <v/>
      </c>
      <c r="AD357" s="68">
        <f>IF(AND(Z357=1,U357="In"),W357,0)</f>
        <v/>
      </c>
    </row>
    <row r="358">
      <c r="B358" s="62" t="inlineStr">
        <is>
          <t>TX-0352</t>
        </is>
      </c>
      <c r="C358" s="63" t="n"/>
      <c r="D358" s="62" t="n"/>
      <c r="E358" s="62" t="n"/>
      <c r="F358" s="62" t="n"/>
      <c r="G358" s="62" t="n"/>
      <c r="H358" s="62" t="n"/>
      <c r="I358" s="62" t="n"/>
      <c r="J358" s="62" t="n"/>
      <c r="K358" s="62" t="n"/>
      <c r="L358" s="64" t="n"/>
      <c r="M358" s="64" t="n"/>
      <c r="N358" s="62" t="n"/>
      <c r="O358" s="65">
        <f>IF(Z358=1,L358-W358,"")</f>
        <v/>
      </c>
      <c r="P358" s="66">
        <f>IF(V358="","",IFERROR(INDEX(coa_Type,MATCH(V358,coa_Name,0)),""))</f>
        <v/>
      </c>
      <c r="Q358" s="66">
        <f>IF(Z358=1,IF(U358="In",K358&amp;"",V358),"")</f>
        <v/>
      </c>
      <c r="R358" s="66">
        <f>IF(Z358=1,IF(U358="In",V358,K358&amp;""),"")</f>
        <v/>
      </c>
      <c r="S358" s="66">
        <f>IF(X358&lt;&gt;"","⛔ "&amp;X358&amp;" — not posted",IF(Y358&lt;&gt;"","⚠ "&amp;Y358,IF(Z358=1,"✓ OK","")))</f>
        <v/>
      </c>
      <c r="T358" s="67">
        <f>IF(AND(C358="",D358="",E358="",L358="",K358=""),1,0)</f>
        <v/>
      </c>
      <c r="U358" s="67">
        <f>IFERROR(INDEX(tt_Dir,MATCH(D358,tt_Type,0)),"")</f>
        <v/>
      </c>
      <c r="V358" s="67">
        <f>IF(D358="","",IFERROR(IF(INDEX(tt_Other,MATCH(D358,tt_Type,0))="",E358&amp;"",INDEX(tt_Other,MATCH(D358,tt_Type,0))),""))</f>
        <v/>
      </c>
      <c r="W358" s="68">
        <f>IF(OR(TaxOn&lt;&gt;"Yes",NOT(ISNUMBER(M358))),0,IF(IFERROR(INDEX(tt_Tax,MATCH(D358,tt_Type,0)),"No")="Yes",M358,0))</f>
        <v/>
      </c>
      <c r="X358" s="67">
        <f>IF(T358=1,"",IF(C358="","Missing transaction date",IF(NOT(ISNUMBER(C358)),"Invalid date",IF(OR(C358&lt;DATE(2000,1,1),C358&gt;DATE(2099,12,31)),"Invalid date",IF(D358="","Select a type",IF(U358="","Unknown type: "&amp;D358,IF(V358="","Select an account (Category)",IF(ISNA(MATCH(V358,coa_Name,0)),"Unknown account: "&amp;V358,IF(K358="","Select Paid From / Deposited To",IF(ISNA(MATCH(K358,coa_Name,0)),"Unknown account: "&amp;K358,IF(NOT(ISNUMBER(L358)),"Enter an amount",IF(L358=0,"Enter an amount",IF(ABS(W358)&gt;ABS(L358),"Tax is larger than the amount","")))))))))))))</f>
        <v/>
      </c>
      <c r="Y358" s="67">
        <f>IF(OR(T358=1,X358&lt;&gt;""),"",IF(AND(B358&lt;&gt;"",COUNTIF(tx_ID,B358)&gt;1),"Duplicate transaction ID",IF(AND(L358&lt;0,D358&lt;&gt;"Adjustment"),"Negative amount — check this entry",IF(AND(D358="Customer Payment",G358=""),"Add the customer",IF(AND(D358="Customer Payment",OR(J358="",COUNTIF(ar_No,J358&amp;"")=0)),"Invoice # in Reference not found on AR sheet",IF(AND(D358="Bill Payment",H358=""),"Add the vendor",IF(AND(D358="Bill Payment",OR(J358="",COUNTIFS(ap_No,J358&amp;"",ap_Party,H358&amp;"")=0)),"Bill # + vendor not found on AP sheet",IF(AND(ISNUMBER(M358),N(M358)&lt;&gt;0,W358=0),"Tax ignored (tax tracking off, or not allowed for this type)",IF(V358=K358&amp;"","Same account on both sides",IF(AND(ISNUMBER(StartDate),C358&lt;StartDate),"Date is before the accounting start date",IF(AND(D358&lt;&gt;"Adjustment",IFERROR(INDEX(coa_Pay,MATCH(K358&amp;"",coa_Name,0)),"")&lt;&gt;"Yes"),"Paid From / Deposited To is not a payment account","")))))))))))</f>
        <v/>
      </c>
      <c r="Z358" s="67">
        <f>IF(AND(T358=0,X358=""),1,0)</f>
        <v/>
      </c>
      <c r="AA358" s="68">
        <f>IF(Z358=1,IF(U358="In",L358,L358-W358),0)</f>
        <v/>
      </c>
      <c r="AB358" s="68">
        <f>IF(Z358=1,IF(U358="In",L358-W358,L358),0)</f>
        <v/>
      </c>
      <c r="AC358" s="68">
        <f>IF(AND(Z358=1,U358="Out"),W358,0)</f>
        <v/>
      </c>
      <c r="AD358" s="68">
        <f>IF(AND(Z358=1,U358="In"),W358,0)</f>
        <v/>
      </c>
    </row>
    <row r="359">
      <c r="B359" s="62" t="inlineStr">
        <is>
          <t>TX-0353</t>
        </is>
      </c>
      <c r="C359" s="63" t="n"/>
      <c r="D359" s="62" t="n"/>
      <c r="E359" s="62" t="n"/>
      <c r="F359" s="62" t="n"/>
      <c r="G359" s="62" t="n"/>
      <c r="H359" s="62" t="n"/>
      <c r="I359" s="62" t="n"/>
      <c r="J359" s="62" t="n"/>
      <c r="K359" s="62" t="n"/>
      <c r="L359" s="64" t="n"/>
      <c r="M359" s="64" t="n"/>
      <c r="N359" s="62" t="n"/>
      <c r="O359" s="65">
        <f>IF(Z359=1,L359-W359,"")</f>
        <v/>
      </c>
      <c r="P359" s="66">
        <f>IF(V359="","",IFERROR(INDEX(coa_Type,MATCH(V359,coa_Name,0)),""))</f>
        <v/>
      </c>
      <c r="Q359" s="66">
        <f>IF(Z359=1,IF(U359="In",K359&amp;"",V359),"")</f>
        <v/>
      </c>
      <c r="R359" s="66">
        <f>IF(Z359=1,IF(U359="In",V359,K359&amp;""),"")</f>
        <v/>
      </c>
      <c r="S359" s="66">
        <f>IF(X359&lt;&gt;"","⛔ "&amp;X359&amp;" — not posted",IF(Y359&lt;&gt;"","⚠ "&amp;Y359,IF(Z359=1,"✓ OK","")))</f>
        <v/>
      </c>
      <c r="T359" s="67">
        <f>IF(AND(C359="",D359="",E359="",L359="",K359=""),1,0)</f>
        <v/>
      </c>
      <c r="U359" s="67">
        <f>IFERROR(INDEX(tt_Dir,MATCH(D359,tt_Type,0)),"")</f>
        <v/>
      </c>
      <c r="V359" s="67">
        <f>IF(D359="","",IFERROR(IF(INDEX(tt_Other,MATCH(D359,tt_Type,0))="",E359&amp;"",INDEX(tt_Other,MATCH(D359,tt_Type,0))),""))</f>
        <v/>
      </c>
      <c r="W359" s="68">
        <f>IF(OR(TaxOn&lt;&gt;"Yes",NOT(ISNUMBER(M359))),0,IF(IFERROR(INDEX(tt_Tax,MATCH(D359,tt_Type,0)),"No")="Yes",M359,0))</f>
        <v/>
      </c>
      <c r="X359" s="67">
        <f>IF(T359=1,"",IF(C359="","Missing transaction date",IF(NOT(ISNUMBER(C359)),"Invalid date",IF(OR(C359&lt;DATE(2000,1,1),C359&gt;DATE(2099,12,31)),"Invalid date",IF(D359="","Select a type",IF(U359="","Unknown type: "&amp;D359,IF(V359="","Select an account (Category)",IF(ISNA(MATCH(V359,coa_Name,0)),"Unknown account: "&amp;V359,IF(K359="","Select Paid From / Deposited To",IF(ISNA(MATCH(K359,coa_Name,0)),"Unknown account: "&amp;K359,IF(NOT(ISNUMBER(L359)),"Enter an amount",IF(L359=0,"Enter an amount",IF(ABS(W359)&gt;ABS(L359),"Tax is larger than the amount","")))))))))))))</f>
        <v/>
      </c>
      <c r="Y359" s="67">
        <f>IF(OR(T359=1,X359&lt;&gt;""),"",IF(AND(B359&lt;&gt;"",COUNTIF(tx_ID,B359)&gt;1),"Duplicate transaction ID",IF(AND(L359&lt;0,D359&lt;&gt;"Adjustment"),"Negative amount — check this entry",IF(AND(D359="Customer Payment",G359=""),"Add the customer",IF(AND(D359="Customer Payment",OR(J359="",COUNTIF(ar_No,J359&amp;"")=0)),"Invoice # in Reference not found on AR sheet",IF(AND(D359="Bill Payment",H359=""),"Add the vendor",IF(AND(D359="Bill Payment",OR(J359="",COUNTIFS(ap_No,J359&amp;"",ap_Party,H359&amp;"")=0)),"Bill # + vendor not found on AP sheet",IF(AND(ISNUMBER(M359),N(M359)&lt;&gt;0,W359=0),"Tax ignored (tax tracking off, or not allowed for this type)",IF(V359=K359&amp;"","Same account on both sides",IF(AND(ISNUMBER(StartDate),C359&lt;StartDate),"Date is before the accounting start date",IF(AND(D359&lt;&gt;"Adjustment",IFERROR(INDEX(coa_Pay,MATCH(K359&amp;"",coa_Name,0)),"")&lt;&gt;"Yes"),"Paid From / Deposited To is not a payment account","")))))))))))</f>
        <v/>
      </c>
      <c r="Z359" s="67">
        <f>IF(AND(T359=0,X359=""),1,0)</f>
        <v/>
      </c>
      <c r="AA359" s="68">
        <f>IF(Z359=1,IF(U359="In",L359,L359-W359),0)</f>
        <v/>
      </c>
      <c r="AB359" s="68">
        <f>IF(Z359=1,IF(U359="In",L359-W359,L359),0)</f>
        <v/>
      </c>
      <c r="AC359" s="68">
        <f>IF(AND(Z359=1,U359="Out"),W359,0)</f>
        <v/>
      </c>
      <c r="AD359" s="68">
        <f>IF(AND(Z359=1,U359="In"),W359,0)</f>
        <v/>
      </c>
    </row>
    <row r="360">
      <c r="B360" s="62" t="inlineStr">
        <is>
          <t>TX-0354</t>
        </is>
      </c>
      <c r="C360" s="63" t="n"/>
      <c r="D360" s="62" t="n"/>
      <c r="E360" s="62" t="n"/>
      <c r="F360" s="62" t="n"/>
      <c r="G360" s="62" t="n"/>
      <c r="H360" s="62" t="n"/>
      <c r="I360" s="62" t="n"/>
      <c r="J360" s="62" t="n"/>
      <c r="K360" s="62" t="n"/>
      <c r="L360" s="64" t="n"/>
      <c r="M360" s="64" t="n"/>
      <c r="N360" s="62" t="n"/>
      <c r="O360" s="65">
        <f>IF(Z360=1,L360-W360,"")</f>
        <v/>
      </c>
      <c r="P360" s="66">
        <f>IF(V360="","",IFERROR(INDEX(coa_Type,MATCH(V360,coa_Name,0)),""))</f>
        <v/>
      </c>
      <c r="Q360" s="66">
        <f>IF(Z360=1,IF(U360="In",K360&amp;"",V360),"")</f>
        <v/>
      </c>
      <c r="R360" s="66">
        <f>IF(Z360=1,IF(U360="In",V360,K360&amp;""),"")</f>
        <v/>
      </c>
      <c r="S360" s="66">
        <f>IF(X360&lt;&gt;"","⛔ "&amp;X360&amp;" — not posted",IF(Y360&lt;&gt;"","⚠ "&amp;Y360,IF(Z360=1,"✓ OK","")))</f>
        <v/>
      </c>
      <c r="T360" s="67">
        <f>IF(AND(C360="",D360="",E360="",L360="",K360=""),1,0)</f>
        <v/>
      </c>
      <c r="U360" s="67">
        <f>IFERROR(INDEX(tt_Dir,MATCH(D360,tt_Type,0)),"")</f>
        <v/>
      </c>
      <c r="V360" s="67">
        <f>IF(D360="","",IFERROR(IF(INDEX(tt_Other,MATCH(D360,tt_Type,0))="",E360&amp;"",INDEX(tt_Other,MATCH(D360,tt_Type,0))),""))</f>
        <v/>
      </c>
      <c r="W360" s="68">
        <f>IF(OR(TaxOn&lt;&gt;"Yes",NOT(ISNUMBER(M360))),0,IF(IFERROR(INDEX(tt_Tax,MATCH(D360,tt_Type,0)),"No")="Yes",M360,0))</f>
        <v/>
      </c>
      <c r="X360" s="67">
        <f>IF(T360=1,"",IF(C360="","Missing transaction date",IF(NOT(ISNUMBER(C360)),"Invalid date",IF(OR(C360&lt;DATE(2000,1,1),C360&gt;DATE(2099,12,31)),"Invalid date",IF(D360="","Select a type",IF(U360="","Unknown type: "&amp;D360,IF(V360="","Select an account (Category)",IF(ISNA(MATCH(V360,coa_Name,0)),"Unknown account: "&amp;V360,IF(K360="","Select Paid From / Deposited To",IF(ISNA(MATCH(K360,coa_Name,0)),"Unknown account: "&amp;K360,IF(NOT(ISNUMBER(L360)),"Enter an amount",IF(L360=0,"Enter an amount",IF(ABS(W360)&gt;ABS(L360),"Tax is larger than the amount","")))))))))))))</f>
        <v/>
      </c>
      <c r="Y360" s="67">
        <f>IF(OR(T360=1,X360&lt;&gt;""),"",IF(AND(B360&lt;&gt;"",COUNTIF(tx_ID,B360)&gt;1),"Duplicate transaction ID",IF(AND(L360&lt;0,D360&lt;&gt;"Adjustment"),"Negative amount — check this entry",IF(AND(D360="Customer Payment",G360=""),"Add the customer",IF(AND(D360="Customer Payment",OR(J360="",COUNTIF(ar_No,J360&amp;"")=0)),"Invoice # in Reference not found on AR sheet",IF(AND(D360="Bill Payment",H360=""),"Add the vendor",IF(AND(D360="Bill Payment",OR(J360="",COUNTIFS(ap_No,J360&amp;"",ap_Party,H360&amp;"")=0)),"Bill # + vendor not found on AP sheet",IF(AND(ISNUMBER(M360),N(M360)&lt;&gt;0,W360=0),"Tax ignored (tax tracking off, or not allowed for this type)",IF(V360=K360&amp;"","Same account on both sides",IF(AND(ISNUMBER(StartDate),C360&lt;StartDate),"Date is before the accounting start date",IF(AND(D360&lt;&gt;"Adjustment",IFERROR(INDEX(coa_Pay,MATCH(K360&amp;"",coa_Name,0)),"")&lt;&gt;"Yes"),"Paid From / Deposited To is not a payment account","")))))))))))</f>
        <v/>
      </c>
      <c r="Z360" s="67">
        <f>IF(AND(T360=0,X360=""),1,0)</f>
        <v/>
      </c>
      <c r="AA360" s="68">
        <f>IF(Z360=1,IF(U360="In",L360,L360-W360),0)</f>
        <v/>
      </c>
      <c r="AB360" s="68">
        <f>IF(Z360=1,IF(U360="In",L360-W360,L360),0)</f>
        <v/>
      </c>
      <c r="AC360" s="68">
        <f>IF(AND(Z360=1,U360="Out"),W360,0)</f>
        <v/>
      </c>
      <c r="AD360" s="68">
        <f>IF(AND(Z360=1,U360="In"),W360,0)</f>
        <v/>
      </c>
    </row>
    <row r="361">
      <c r="B361" s="62" t="inlineStr">
        <is>
          <t>TX-0355</t>
        </is>
      </c>
      <c r="C361" s="63" t="n"/>
      <c r="D361" s="62" t="n"/>
      <c r="E361" s="62" t="n"/>
      <c r="F361" s="62" t="n"/>
      <c r="G361" s="62" t="n"/>
      <c r="H361" s="62" t="n"/>
      <c r="I361" s="62" t="n"/>
      <c r="J361" s="62" t="n"/>
      <c r="K361" s="62" t="n"/>
      <c r="L361" s="64" t="n"/>
      <c r="M361" s="64" t="n"/>
      <c r="N361" s="62" t="n"/>
      <c r="O361" s="65">
        <f>IF(Z361=1,L361-W361,"")</f>
        <v/>
      </c>
      <c r="P361" s="66">
        <f>IF(V361="","",IFERROR(INDEX(coa_Type,MATCH(V361,coa_Name,0)),""))</f>
        <v/>
      </c>
      <c r="Q361" s="66">
        <f>IF(Z361=1,IF(U361="In",K361&amp;"",V361),"")</f>
        <v/>
      </c>
      <c r="R361" s="66">
        <f>IF(Z361=1,IF(U361="In",V361,K361&amp;""),"")</f>
        <v/>
      </c>
      <c r="S361" s="66">
        <f>IF(X361&lt;&gt;"","⛔ "&amp;X361&amp;" — not posted",IF(Y361&lt;&gt;"","⚠ "&amp;Y361,IF(Z361=1,"✓ OK","")))</f>
        <v/>
      </c>
      <c r="T361" s="67">
        <f>IF(AND(C361="",D361="",E361="",L361="",K361=""),1,0)</f>
        <v/>
      </c>
      <c r="U361" s="67">
        <f>IFERROR(INDEX(tt_Dir,MATCH(D361,tt_Type,0)),"")</f>
        <v/>
      </c>
      <c r="V361" s="67">
        <f>IF(D361="","",IFERROR(IF(INDEX(tt_Other,MATCH(D361,tt_Type,0))="",E361&amp;"",INDEX(tt_Other,MATCH(D361,tt_Type,0))),""))</f>
        <v/>
      </c>
      <c r="W361" s="68">
        <f>IF(OR(TaxOn&lt;&gt;"Yes",NOT(ISNUMBER(M361))),0,IF(IFERROR(INDEX(tt_Tax,MATCH(D361,tt_Type,0)),"No")="Yes",M361,0))</f>
        <v/>
      </c>
      <c r="X361" s="67">
        <f>IF(T361=1,"",IF(C361="","Missing transaction date",IF(NOT(ISNUMBER(C361)),"Invalid date",IF(OR(C361&lt;DATE(2000,1,1),C361&gt;DATE(2099,12,31)),"Invalid date",IF(D361="","Select a type",IF(U361="","Unknown type: "&amp;D361,IF(V361="","Select an account (Category)",IF(ISNA(MATCH(V361,coa_Name,0)),"Unknown account: "&amp;V361,IF(K361="","Select Paid From / Deposited To",IF(ISNA(MATCH(K361,coa_Name,0)),"Unknown account: "&amp;K361,IF(NOT(ISNUMBER(L361)),"Enter an amount",IF(L361=0,"Enter an amount",IF(ABS(W361)&gt;ABS(L361),"Tax is larger than the amount","")))))))))))))</f>
        <v/>
      </c>
      <c r="Y361" s="67">
        <f>IF(OR(T361=1,X361&lt;&gt;""),"",IF(AND(B361&lt;&gt;"",COUNTIF(tx_ID,B361)&gt;1),"Duplicate transaction ID",IF(AND(L361&lt;0,D361&lt;&gt;"Adjustment"),"Negative amount — check this entry",IF(AND(D361="Customer Payment",G361=""),"Add the customer",IF(AND(D361="Customer Payment",OR(J361="",COUNTIF(ar_No,J361&amp;"")=0)),"Invoice # in Reference not found on AR sheet",IF(AND(D361="Bill Payment",H361=""),"Add the vendor",IF(AND(D361="Bill Payment",OR(J361="",COUNTIFS(ap_No,J361&amp;"",ap_Party,H361&amp;"")=0)),"Bill # + vendor not found on AP sheet",IF(AND(ISNUMBER(M361),N(M361)&lt;&gt;0,W361=0),"Tax ignored (tax tracking off, or not allowed for this type)",IF(V361=K361&amp;"","Same account on both sides",IF(AND(ISNUMBER(StartDate),C361&lt;StartDate),"Date is before the accounting start date",IF(AND(D361&lt;&gt;"Adjustment",IFERROR(INDEX(coa_Pay,MATCH(K361&amp;"",coa_Name,0)),"")&lt;&gt;"Yes"),"Paid From / Deposited To is not a payment account","")))))))))))</f>
        <v/>
      </c>
      <c r="Z361" s="67">
        <f>IF(AND(T361=0,X361=""),1,0)</f>
        <v/>
      </c>
      <c r="AA361" s="68">
        <f>IF(Z361=1,IF(U361="In",L361,L361-W361),0)</f>
        <v/>
      </c>
      <c r="AB361" s="68">
        <f>IF(Z361=1,IF(U361="In",L361-W361,L361),0)</f>
        <v/>
      </c>
      <c r="AC361" s="68">
        <f>IF(AND(Z361=1,U361="Out"),W361,0)</f>
        <v/>
      </c>
      <c r="AD361" s="68">
        <f>IF(AND(Z361=1,U361="In"),W361,0)</f>
        <v/>
      </c>
    </row>
    <row r="362">
      <c r="B362" s="62" t="inlineStr">
        <is>
          <t>TX-0356</t>
        </is>
      </c>
      <c r="C362" s="63" t="n"/>
      <c r="D362" s="62" t="n"/>
      <c r="E362" s="62" t="n"/>
      <c r="F362" s="62" t="n"/>
      <c r="G362" s="62" t="n"/>
      <c r="H362" s="62" t="n"/>
      <c r="I362" s="62" t="n"/>
      <c r="J362" s="62" t="n"/>
      <c r="K362" s="62" t="n"/>
      <c r="L362" s="64" t="n"/>
      <c r="M362" s="64" t="n"/>
      <c r="N362" s="62" t="n"/>
      <c r="O362" s="65">
        <f>IF(Z362=1,L362-W362,"")</f>
        <v/>
      </c>
      <c r="P362" s="66">
        <f>IF(V362="","",IFERROR(INDEX(coa_Type,MATCH(V362,coa_Name,0)),""))</f>
        <v/>
      </c>
      <c r="Q362" s="66">
        <f>IF(Z362=1,IF(U362="In",K362&amp;"",V362),"")</f>
        <v/>
      </c>
      <c r="R362" s="66">
        <f>IF(Z362=1,IF(U362="In",V362,K362&amp;""),"")</f>
        <v/>
      </c>
      <c r="S362" s="66">
        <f>IF(X362&lt;&gt;"","⛔ "&amp;X362&amp;" — not posted",IF(Y362&lt;&gt;"","⚠ "&amp;Y362,IF(Z362=1,"✓ OK","")))</f>
        <v/>
      </c>
      <c r="T362" s="67">
        <f>IF(AND(C362="",D362="",E362="",L362="",K362=""),1,0)</f>
        <v/>
      </c>
      <c r="U362" s="67">
        <f>IFERROR(INDEX(tt_Dir,MATCH(D362,tt_Type,0)),"")</f>
        <v/>
      </c>
      <c r="V362" s="67">
        <f>IF(D362="","",IFERROR(IF(INDEX(tt_Other,MATCH(D362,tt_Type,0))="",E362&amp;"",INDEX(tt_Other,MATCH(D362,tt_Type,0))),""))</f>
        <v/>
      </c>
      <c r="W362" s="68">
        <f>IF(OR(TaxOn&lt;&gt;"Yes",NOT(ISNUMBER(M362))),0,IF(IFERROR(INDEX(tt_Tax,MATCH(D362,tt_Type,0)),"No")="Yes",M362,0))</f>
        <v/>
      </c>
      <c r="X362" s="67">
        <f>IF(T362=1,"",IF(C362="","Missing transaction date",IF(NOT(ISNUMBER(C362)),"Invalid date",IF(OR(C362&lt;DATE(2000,1,1),C362&gt;DATE(2099,12,31)),"Invalid date",IF(D362="","Select a type",IF(U362="","Unknown type: "&amp;D362,IF(V362="","Select an account (Category)",IF(ISNA(MATCH(V362,coa_Name,0)),"Unknown account: "&amp;V362,IF(K362="","Select Paid From / Deposited To",IF(ISNA(MATCH(K362,coa_Name,0)),"Unknown account: "&amp;K362,IF(NOT(ISNUMBER(L362)),"Enter an amount",IF(L362=0,"Enter an amount",IF(ABS(W362)&gt;ABS(L362),"Tax is larger than the amount","")))))))))))))</f>
        <v/>
      </c>
      <c r="Y362" s="67">
        <f>IF(OR(T362=1,X362&lt;&gt;""),"",IF(AND(B362&lt;&gt;"",COUNTIF(tx_ID,B362)&gt;1),"Duplicate transaction ID",IF(AND(L362&lt;0,D362&lt;&gt;"Adjustment"),"Negative amount — check this entry",IF(AND(D362="Customer Payment",G362=""),"Add the customer",IF(AND(D362="Customer Payment",OR(J362="",COUNTIF(ar_No,J362&amp;"")=0)),"Invoice # in Reference not found on AR sheet",IF(AND(D362="Bill Payment",H362=""),"Add the vendor",IF(AND(D362="Bill Payment",OR(J362="",COUNTIFS(ap_No,J362&amp;"",ap_Party,H362&amp;"")=0)),"Bill # + vendor not found on AP sheet",IF(AND(ISNUMBER(M362),N(M362)&lt;&gt;0,W362=0),"Tax ignored (tax tracking off, or not allowed for this type)",IF(V362=K362&amp;"","Same account on both sides",IF(AND(ISNUMBER(StartDate),C362&lt;StartDate),"Date is before the accounting start date",IF(AND(D362&lt;&gt;"Adjustment",IFERROR(INDEX(coa_Pay,MATCH(K362&amp;"",coa_Name,0)),"")&lt;&gt;"Yes"),"Paid From / Deposited To is not a payment account","")))))))))))</f>
        <v/>
      </c>
      <c r="Z362" s="67">
        <f>IF(AND(T362=0,X362=""),1,0)</f>
        <v/>
      </c>
      <c r="AA362" s="68">
        <f>IF(Z362=1,IF(U362="In",L362,L362-W362),0)</f>
        <v/>
      </c>
      <c r="AB362" s="68">
        <f>IF(Z362=1,IF(U362="In",L362-W362,L362),0)</f>
        <v/>
      </c>
      <c r="AC362" s="68">
        <f>IF(AND(Z362=1,U362="Out"),W362,0)</f>
        <v/>
      </c>
      <c r="AD362" s="68">
        <f>IF(AND(Z362=1,U362="In"),W362,0)</f>
        <v/>
      </c>
    </row>
    <row r="363">
      <c r="B363" s="62" t="inlineStr">
        <is>
          <t>TX-0357</t>
        </is>
      </c>
      <c r="C363" s="63" t="n"/>
      <c r="D363" s="62" t="n"/>
      <c r="E363" s="62" t="n"/>
      <c r="F363" s="62" t="n"/>
      <c r="G363" s="62" t="n"/>
      <c r="H363" s="62" t="n"/>
      <c r="I363" s="62" t="n"/>
      <c r="J363" s="62" t="n"/>
      <c r="K363" s="62" t="n"/>
      <c r="L363" s="64" t="n"/>
      <c r="M363" s="64" t="n"/>
      <c r="N363" s="62" t="n"/>
      <c r="O363" s="65">
        <f>IF(Z363=1,L363-W363,"")</f>
        <v/>
      </c>
      <c r="P363" s="66">
        <f>IF(V363="","",IFERROR(INDEX(coa_Type,MATCH(V363,coa_Name,0)),""))</f>
        <v/>
      </c>
      <c r="Q363" s="66">
        <f>IF(Z363=1,IF(U363="In",K363&amp;"",V363),"")</f>
        <v/>
      </c>
      <c r="R363" s="66">
        <f>IF(Z363=1,IF(U363="In",V363,K363&amp;""),"")</f>
        <v/>
      </c>
      <c r="S363" s="66">
        <f>IF(X363&lt;&gt;"","⛔ "&amp;X363&amp;" — not posted",IF(Y363&lt;&gt;"","⚠ "&amp;Y363,IF(Z363=1,"✓ OK","")))</f>
        <v/>
      </c>
      <c r="T363" s="67">
        <f>IF(AND(C363="",D363="",E363="",L363="",K363=""),1,0)</f>
        <v/>
      </c>
      <c r="U363" s="67">
        <f>IFERROR(INDEX(tt_Dir,MATCH(D363,tt_Type,0)),"")</f>
        <v/>
      </c>
      <c r="V363" s="67">
        <f>IF(D363="","",IFERROR(IF(INDEX(tt_Other,MATCH(D363,tt_Type,0))="",E363&amp;"",INDEX(tt_Other,MATCH(D363,tt_Type,0))),""))</f>
        <v/>
      </c>
      <c r="W363" s="68">
        <f>IF(OR(TaxOn&lt;&gt;"Yes",NOT(ISNUMBER(M363))),0,IF(IFERROR(INDEX(tt_Tax,MATCH(D363,tt_Type,0)),"No")="Yes",M363,0))</f>
        <v/>
      </c>
      <c r="X363" s="67">
        <f>IF(T363=1,"",IF(C363="","Missing transaction date",IF(NOT(ISNUMBER(C363)),"Invalid date",IF(OR(C363&lt;DATE(2000,1,1),C363&gt;DATE(2099,12,31)),"Invalid date",IF(D363="","Select a type",IF(U363="","Unknown type: "&amp;D363,IF(V363="","Select an account (Category)",IF(ISNA(MATCH(V363,coa_Name,0)),"Unknown account: "&amp;V363,IF(K363="","Select Paid From / Deposited To",IF(ISNA(MATCH(K363,coa_Name,0)),"Unknown account: "&amp;K363,IF(NOT(ISNUMBER(L363)),"Enter an amount",IF(L363=0,"Enter an amount",IF(ABS(W363)&gt;ABS(L363),"Tax is larger than the amount","")))))))))))))</f>
        <v/>
      </c>
      <c r="Y363" s="67">
        <f>IF(OR(T363=1,X363&lt;&gt;""),"",IF(AND(B363&lt;&gt;"",COUNTIF(tx_ID,B363)&gt;1),"Duplicate transaction ID",IF(AND(L363&lt;0,D363&lt;&gt;"Adjustment"),"Negative amount — check this entry",IF(AND(D363="Customer Payment",G363=""),"Add the customer",IF(AND(D363="Customer Payment",OR(J363="",COUNTIF(ar_No,J363&amp;"")=0)),"Invoice # in Reference not found on AR sheet",IF(AND(D363="Bill Payment",H363=""),"Add the vendor",IF(AND(D363="Bill Payment",OR(J363="",COUNTIFS(ap_No,J363&amp;"",ap_Party,H363&amp;"")=0)),"Bill # + vendor not found on AP sheet",IF(AND(ISNUMBER(M363),N(M363)&lt;&gt;0,W363=0),"Tax ignored (tax tracking off, or not allowed for this type)",IF(V363=K363&amp;"","Same account on both sides",IF(AND(ISNUMBER(StartDate),C363&lt;StartDate),"Date is before the accounting start date",IF(AND(D363&lt;&gt;"Adjustment",IFERROR(INDEX(coa_Pay,MATCH(K363&amp;"",coa_Name,0)),"")&lt;&gt;"Yes"),"Paid From / Deposited To is not a payment account","")))))))))))</f>
        <v/>
      </c>
      <c r="Z363" s="67">
        <f>IF(AND(T363=0,X363=""),1,0)</f>
        <v/>
      </c>
      <c r="AA363" s="68">
        <f>IF(Z363=1,IF(U363="In",L363,L363-W363),0)</f>
        <v/>
      </c>
      <c r="AB363" s="68">
        <f>IF(Z363=1,IF(U363="In",L363-W363,L363),0)</f>
        <v/>
      </c>
      <c r="AC363" s="68">
        <f>IF(AND(Z363=1,U363="Out"),W363,0)</f>
        <v/>
      </c>
      <c r="AD363" s="68">
        <f>IF(AND(Z363=1,U363="In"),W363,0)</f>
        <v/>
      </c>
    </row>
    <row r="364">
      <c r="B364" s="62" t="inlineStr">
        <is>
          <t>TX-0358</t>
        </is>
      </c>
      <c r="C364" s="63" t="n"/>
      <c r="D364" s="62" t="n"/>
      <c r="E364" s="62" t="n"/>
      <c r="F364" s="62" t="n"/>
      <c r="G364" s="62" t="n"/>
      <c r="H364" s="62" t="n"/>
      <c r="I364" s="62" t="n"/>
      <c r="J364" s="62" t="n"/>
      <c r="K364" s="62" t="n"/>
      <c r="L364" s="64" t="n"/>
      <c r="M364" s="64" t="n"/>
      <c r="N364" s="62" t="n"/>
      <c r="O364" s="65">
        <f>IF(Z364=1,L364-W364,"")</f>
        <v/>
      </c>
      <c r="P364" s="66">
        <f>IF(V364="","",IFERROR(INDEX(coa_Type,MATCH(V364,coa_Name,0)),""))</f>
        <v/>
      </c>
      <c r="Q364" s="66">
        <f>IF(Z364=1,IF(U364="In",K364&amp;"",V364),"")</f>
        <v/>
      </c>
      <c r="R364" s="66">
        <f>IF(Z364=1,IF(U364="In",V364,K364&amp;""),"")</f>
        <v/>
      </c>
      <c r="S364" s="66">
        <f>IF(X364&lt;&gt;"","⛔ "&amp;X364&amp;" — not posted",IF(Y364&lt;&gt;"","⚠ "&amp;Y364,IF(Z364=1,"✓ OK","")))</f>
        <v/>
      </c>
      <c r="T364" s="67">
        <f>IF(AND(C364="",D364="",E364="",L364="",K364=""),1,0)</f>
        <v/>
      </c>
      <c r="U364" s="67">
        <f>IFERROR(INDEX(tt_Dir,MATCH(D364,tt_Type,0)),"")</f>
        <v/>
      </c>
      <c r="V364" s="67">
        <f>IF(D364="","",IFERROR(IF(INDEX(tt_Other,MATCH(D364,tt_Type,0))="",E364&amp;"",INDEX(tt_Other,MATCH(D364,tt_Type,0))),""))</f>
        <v/>
      </c>
      <c r="W364" s="68">
        <f>IF(OR(TaxOn&lt;&gt;"Yes",NOT(ISNUMBER(M364))),0,IF(IFERROR(INDEX(tt_Tax,MATCH(D364,tt_Type,0)),"No")="Yes",M364,0))</f>
        <v/>
      </c>
      <c r="X364" s="67">
        <f>IF(T364=1,"",IF(C364="","Missing transaction date",IF(NOT(ISNUMBER(C364)),"Invalid date",IF(OR(C364&lt;DATE(2000,1,1),C364&gt;DATE(2099,12,31)),"Invalid date",IF(D364="","Select a type",IF(U364="","Unknown type: "&amp;D364,IF(V364="","Select an account (Category)",IF(ISNA(MATCH(V364,coa_Name,0)),"Unknown account: "&amp;V364,IF(K364="","Select Paid From / Deposited To",IF(ISNA(MATCH(K364,coa_Name,0)),"Unknown account: "&amp;K364,IF(NOT(ISNUMBER(L364)),"Enter an amount",IF(L364=0,"Enter an amount",IF(ABS(W364)&gt;ABS(L364),"Tax is larger than the amount","")))))))))))))</f>
        <v/>
      </c>
      <c r="Y364" s="67">
        <f>IF(OR(T364=1,X364&lt;&gt;""),"",IF(AND(B364&lt;&gt;"",COUNTIF(tx_ID,B364)&gt;1),"Duplicate transaction ID",IF(AND(L364&lt;0,D364&lt;&gt;"Adjustment"),"Negative amount — check this entry",IF(AND(D364="Customer Payment",G364=""),"Add the customer",IF(AND(D364="Customer Payment",OR(J364="",COUNTIF(ar_No,J364&amp;"")=0)),"Invoice # in Reference not found on AR sheet",IF(AND(D364="Bill Payment",H364=""),"Add the vendor",IF(AND(D364="Bill Payment",OR(J364="",COUNTIFS(ap_No,J364&amp;"",ap_Party,H364&amp;"")=0)),"Bill # + vendor not found on AP sheet",IF(AND(ISNUMBER(M364),N(M364)&lt;&gt;0,W364=0),"Tax ignored (tax tracking off, or not allowed for this type)",IF(V364=K364&amp;"","Same account on both sides",IF(AND(ISNUMBER(StartDate),C364&lt;StartDate),"Date is before the accounting start date",IF(AND(D364&lt;&gt;"Adjustment",IFERROR(INDEX(coa_Pay,MATCH(K364&amp;"",coa_Name,0)),"")&lt;&gt;"Yes"),"Paid From / Deposited To is not a payment account","")))))))))))</f>
        <v/>
      </c>
      <c r="Z364" s="67">
        <f>IF(AND(T364=0,X364=""),1,0)</f>
        <v/>
      </c>
      <c r="AA364" s="68">
        <f>IF(Z364=1,IF(U364="In",L364,L364-W364),0)</f>
        <v/>
      </c>
      <c r="AB364" s="68">
        <f>IF(Z364=1,IF(U364="In",L364-W364,L364),0)</f>
        <v/>
      </c>
      <c r="AC364" s="68">
        <f>IF(AND(Z364=1,U364="Out"),W364,0)</f>
        <v/>
      </c>
      <c r="AD364" s="68">
        <f>IF(AND(Z364=1,U364="In"),W364,0)</f>
        <v/>
      </c>
    </row>
    <row r="365">
      <c r="B365" s="62" t="inlineStr">
        <is>
          <t>TX-0359</t>
        </is>
      </c>
      <c r="C365" s="63" t="n"/>
      <c r="D365" s="62" t="n"/>
      <c r="E365" s="62" t="n"/>
      <c r="F365" s="62" t="n"/>
      <c r="G365" s="62" t="n"/>
      <c r="H365" s="62" t="n"/>
      <c r="I365" s="62" t="n"/>
      <c r="J365" s="62" t="n"/>
      <c r="K365" s="62" t="n"/>
      <c r="L365" s="64" t="n"/>
      <c r="M365" s="64" t="n"/>
      <c r="N365" s="62" t="n"/>
      <c r="O365" s="65">
        <f>IF(Z365=1,L365-W365,"")</f>
        <v/>
      </c>
      <c r="P365" s="66">
        <f>IF(V365="","",IFERROR(INDEX(coa_Type,MATCH(V365,coa_Name,0)),""))</f>
        <v/>
      </c>
      <c r="Q365" s="66">
        <f>IF(Z365=1,IF(U365="In",K365&amp;"",V365),"")</f>
        <v/>
      </c>
      <c r="R365" s="66">
        <f>IF(Z365=1,IF(U365="In",V365,K365&amp;""),"")</f>
        <v/>
      </c>
      <c r="S365" s="66">
        <f>IF(X365&lt;&gt;"","⛔ "&amp;X365&amp;" — not posted",IF(Y365&lt;&gt;"","⚠ "&amp;Y365,IF(Z365=1,"✓ OK","")))</f>
        <v/>
      </c>
      <c r="T365" s="67">
        <f>IF(AND(C365="",D365="",E365="",L365="",K365=""),1,0)</f>
        <v/>
      </c>
      <c r="U365" s="67">
        <f>IFERROR(INDEX(tt_Dir,MATCH(D365,tt_Type,0)),"")</f>
        <v/>
      </c>
      <c r="V365" s="67">
        <f>IF(D365="","",IFERROR(IF(INDEX(tt_Other,MATCH(D365,tt_Type,0))="",E365&amp;"",INDEX(tt_Other,MATCH(D365,tt_Type,0))),""))</f>
        <v/>
      </c>
      <c r="W365" s="68">
        <f>IF(OR(TaxOn&lt;&gt;"Yes",NOT(ISNUMBER(M365))),0,IF(IFERROR(INDEX(tt_Tax,MATCH(D365,tt_Type,0)),"No")="Yes",M365,0))</f>
        <v/>
      </c>
      <c r="X365" s="67">
        <f>IF(T365=1,"",IF(C365="","Missing transaction date",IF(NOT(ISNUMBER(C365)),"Invalid date",IF(OR(C365&lt;DATE(2000,1,1),C365&gt;DATE(2099,12,31)),"Invalid date",IF(D365="","Select a type",IF(U365="","Unknown type: "&amp;D365,IF(V365="","Select an account (Category)",IF(ISNA(MATCH(V365,coa_Name,0)),"Unknown account: "&amp;V365,IF(K365="","Select Paid From / Deposited To",IF(ISNA(MATCH(K365,coa_Name,0)),"Unknown account: "&amp;K365,IF(NOT(ISNUMBER(L365)),"Enter an amount",IF(L365=0,"Enter an amount",IF(ABS(W365)&gt;ABS(L365),"Tax is larger than the amount","")))))))))))))</f>
        <v/>
      </c>
      <c r="Y365" s="67">
        <f>IF(OR(T365=1,X365&lt;&gt;""),"",IF(AND(B365&lt;&gt;"",COUNTIF(tx_ID,B365)&gt;1),"Duplicate transaction ID",IF(AND(L365&lt;0,D365&lt;&gt;"Adjustment"),"Negative amount — check this entry",IF(AND(D365="Customer Payment",G365=""),"Add the customer",IF(AND(D365="Customer Payment",OR(J365="",COUNTIF(ar_No,J365&amp;"")=0)),"Invoice # in Reference not found on AR sheet",IF(AND(D365="Bill Payment",H365=""),"Add the vendor",IF(AND(D365="Bill Payment",OR(J365="",COUNTIFS(ap_No,J365&amp;"",ap_Party,H365&amp;"")=0)),"Bill # + vendor not found on AP sheet",IF(AND(ISNUMBER(M365),N(M365)&lt;&gt;0,W365=0),"Tax ignored (tax tracking off, or not allowed for this type)",IF(V365=K365&amp;"","Same account on both sides",IF(AND(ISNUMBER(StartDate),C365&lt;StartDate),"Date is before the accounting start date",IF(AND(D365&lt;&gt;"Adjustment",IFERROR(INDEX(coa_Pay,MATCH(K365&amp;"",coa_Name,0)),"")&lt;&gt;"Yes"),"Paid From / Deposited To is not a payment account","")))))))))))</f>
        <v/>
      </c>
      <c r="Z365" s="67">
        <f>IF(AND(T365=0,X365=""),1,0)</f>
        <v/>
      </c>
      <c r="AA365" s="68">
        <f>IF(Z365=1,IF(U365="In",L365,L365-W365),0)</f>
        <v/>
      </c>
      <c r="AB365" s="68">
        <f>IF(Z365=1,IF(U365="In",L365-W365,L365),0)</f>
        <v/>
      </c>
      <c r="AC365" s="68">
        <f>IF(AND(Z365=1,U365="Out"),W365,0)</f>
        <v/>
      </c>
      <c r="AD365" s="68">
        <f>IF(AND(Z365=1,U365="In"),W365,0)</f>
        <v/>
      </c>
    </row>
    <row r="366">
      <c r="B366" s="62" t="inlineStr">
        <is>
          <t>TX-0360</t>
        </is>
      </c>
      <c r="C366" s="63" t="n"/>
      <c r="D366" s="62" t="n"/>
      <c r="E366" s="62" t="n"/>
      <c r="F366" s="62" t="n"/>
      <c r="G366" s="62" t="n"/>
      <c r="H366" s="62" t="n"/>
      <c r="I366" s="62" t="n"/>
      <c r="J366" s="62" t="n"/>
      <c r="K366" s="62" t="n"/>
      <c r="L366" s="64" t="n"/>
      <c r="M366" s="64" t="n"/>
      <c r="N366" s="62" t="n"/>
      <c r="O366" s="65">
        <f>IF(Z366=1,L366-W366,"")</f>
        <v/>
      </c>
      <c r="P366" s="66">
        <f>IF(V366="","",IFERROR(INDEX(coa_Type,MATCH(V366,coa_Name,0)),""))</f>
        <v/>
      </c>
      <c r="Q366" s="66">
        <f>IF(Z366=1,IF(U366="In",K366&amp;"",V366),"")</f>
        <v/>
      </c>
      <c r="R366" s="66">
        <f>IF(Z366=1,IF(U366="In",V366,K366&amp;""),"")</f>
        <v/>
      </c>
      <c r="S366" s="66">
        <f>IF(X366&lt;&gt;"","⛔ "&amp;X366&amp;" — not posted",IF(Y366&lt;&gt;"","⚠ "&amp;Y366,IF(Z366=1,"✓ OK","")))</f>
        <v/>
      </c>
      <c r="T366" s="67">
        <f>IF(AND(C366="",D366="",E366="",L366="",K366=""),1,0)</f>
        <v/>
      </c>
      <c r="U366" s="67">
        <f>IFERROR(INDEX(tt_Dir,MATCH(D366,tt_Type,0)),"")</f>
        <v/>
      </c>
      <c r="V366" s="67">
        <f>IF(D366="","",IFERROR(IF(INDEX(tt_Other,MATCH(D366,tt_Type,0))="",E366&amp;"",INDEX(tt_Other,MATCH(D366,tt_Type,0))),""))</f>
        <v/>
      </c>
      <c r="W366" s="68">
        <f>IF(OR(TaxOn&lt;&gt;"Yes",NOT(ISNUMBER(M366))),0,IF(IFERROR(INDEX(tt_Tax,MATCH(D366,tt_Type,0)),"No")="Yes",M366,0))</f>
        <v/>
      </c>
      <c r="X366" s="67">
        <f>IF(T366=1,"",IF(C366="","Missing transaction date",IF(NOT(ISNUMBER(C366)),"Invalid date",IF(OR(C366&lt;DATE(2000,1,1),C366&gt;DATE(2099,12,31)),"Invalid date",IF(D366="","Select a type",IF(U366="","Unknown type: "&amp;D366,IF(V366="","Select an account (Category)",IF(ISNA(MATCH(V366,coa_Name,0)),"Unknown account: "&amp;V366,IF(K366="","Select Paid From / Deposited To",IF(ISNA(MATCH(K366,coa_Name,0)),"Unknown account: "&amp;K366,IF(NOT(ISNUMBER(L366)),"Enter an amount",IF(L366=0,"Enter an amount",IF(ABS(W366)&gt;ABS(L366),"Tax is larger than the amount","")))))))))))))</f>
        <v/>
      </c>
      <c r="Y366" s="67">
        <f>IF(OR(T366=1,X366&lt;&gt;""),"",IF(AND(B366&lt;&gt;"",COUNTIF(tx_ID,B366)&gt;1),"Duplicate transaction ID",IF(AND(L366&lt;0,D366&lt;&gt;"Adjustment"),"Negative amount — check this entry",IF(AND(D366="Customer Payment",G366=""),"Add the customer",IF(AND(D366="Customer Payment",OR(J366="",COUNTIF(ar_No,J366&amp;"")=0)),"Invoice # in Reference not found on AR sheet",IF(AND(D366="Bill Payment",H366=""),"Add the vendor",IF(AND(D366="Bill Payment",OR(J366="",COUNTIFS(ap_No,J366&amp;"",ap_Party,H366&amp;"")=0)),"Bill # + vendor not found on AP sheet",IF(AND(ISNUMBER(M366),N(M366)&lt;&gt;0,W366=0),"Tax ignored (tax tracking off, or not allowed for this type)",IF(V366=K366&amp;"","Same account on both sides",IF(AND(ISNUMBER(StartDate),C366&lt;StartDate),"Date is before the accounting start date",IF(AND(D366&lt;&gt;"Adjustment",IFERROR(INDEX(coa_Pay,MATCH(K366&amp;"",coa_Name,0)),"")&lt;&gt;"Yes"),"Paid From / Deposited To is not a payment account","")))))))))))</f>
        <v/>
      </c>
      <c r="Z366" s="67">
        <f>IF(AND(T366=0,X366=""),1,0)</f>
        <v/>
      </c>
      <c r="AA366" s="68">
        <f>IF(Z366=1,IF(U366="In",L366,L366-W366),0)</f>
        <v/>
      </c>
      <c r="AB366" s="68">
        <f>IF(Z366=1,IF(U366="In",L366-W366,L366),0)</f>
        <v/>
      </c>
      <c r="AC366" s="68">
        <f>IF(AND(Z366=1,U366="Out"),W366,0)</f>
        <v/>
      </c>
      <c r="AD366" s="68">
        <f>IF(AND(Z366=1,U366="In"),W366,0)</f>
        <v/>
      </c>
    </row>
    <row r="367">
      <c r="B367" s="62" t="inlineStr">
        <is>
          <t>TX-0361</t>
        </is>
      </c>
      <c r="C367" s="63" t="n"/>
      <c r="D367" s="62" t="n"/>
      <c r="E367" s="62" t="n"/>
      <c r="F367" s="62" t="n"/>
      <c r="G367" s="62" t="n"/>
      <c r="H367" s="62" t="n"/>
      <c r="I367" s="62" t="n"/>
      <c r="J367" s="62" t="n"/>
      <c r="K367" s="62" t="n"/>
      <c r="L367" s="64" t="n"/>
      <c r="M367" s="64" t="n"/>
      <c r="N367" s="62" t="n"/>
      <c r="O367" s="65">
        <f>IF(Z367=1,L367-W367,"")</f>
        <v/>
      </c>
      <c r="P367" s="66">
        <f>IF(V367="","",IFERROR(INDEX(coa_Type,MATCH(V367,coa_Name,0)),""))</f>
        <v/>
      </c>
      <c r="Q367" s="66">
        <f>IF(Z367=1,IF(U367="In",K367&amp;"",V367),"")</f>
        <v/>
      </c>
      <c r="R367" s="66">
        <f>IF(Z367=1,IF(U367="In",V367,K367&amp;""),"")</f>
        <v/>
      </c>
      <c r="S367" s="66">
        <f>IF(X367&lt;&gt;"","⛔ "&amp;X367&amp;" — not posted",IF(Y367&lt;&gt;"","⚠ "&amp;Y367,IF(Z367=1,"✓ OK","")))</f>
        <v/>
      </c>
      <c r="T367" s="67">
        <f>IF(AND(C367="",D367="",E367="",L367="",K367=""),1,0)</f>
        <v/>
      </c>
      <c r="U367" s="67">
        <f>IFERROR(INDEX(tt_Dir,MATCH(D367,tt_Type,0)),"")</f>
        <v/>
      </c>
      <c r="V367" s="67">
        <f>IF(D367="","",IFERROR(IF(INDEX(tt_Other,MATCH(D367,tt_Type,0))="",E367&amp;"",INDEX(tt_Other,MATCH(D367,tt_Type,0))),""))</f>
        <v/>
      </c>
      <c r="W367" s="68">
        <f>IF(OR(TaxOn&lt;&gt;"Yes",NOT(ISNUMBER(M367))),0,IF(IFERROR(INDEX(tt_Tax,MATCH(D367,tt_Type,0)),"No")="Yes",M367,0))</f>
        <v/>
      </c>
      <c r="X367" s="67">
        <f>IF(T367=1,"",IF(C367="","Missing transaction date",IF(NOT(ISNUMBER(C367)),"Invalid date",IF(OR(C367&lt;DATE(2000,1,1),C367&gt;DATE(2099,12,31)),"Invalid date",IF(D367="","Select a type",IF(U367="","Unknown type: "&amp;D367,IF(V367="","Select an account (Category)",IF(ISNA(MATCH(V367,coa_Name,0)),"Unknown account: "&amp;V367,IF(K367="","Select Paid From / Deposited To",IF(ISNA(MATCH(K367,coa_Name,0)),"Unknown account: "&amp;K367,IF(NOT(ISNUMBER(L367)),"Enter an amount",IF(L367=0,"Enter an amount",IF(ABS(W367)&gt;ABS(L367),"Tax is larger than the amount","")))))))))))))</f>
        <v/>
      </c>
      <c r="Y367" s="67">
        <f>IF(OR(T367=1,X367&lt;&gt;""),"",IF(AND(B367&lt;&gt;"",COUNTIF(tx_ID,B367)&gt;1),"Duplicate transaction ID",IF(AND(L367&lt;0,D367&lt;&gt;"Adjustment"),"Negative amount — check this entry",IF(AND(D367="Customer Payment",G367=""),"Add the customer",IF(AND(D367="Customer Payment",OR(J367="",COUNTIF(ar_No,J367&amp;"")=0)),"Invoice # in Reference not found on AR sheet",IF(AND(D367="Bill Payment",H367=""),"Add the vendor",IF(AND(D367="Bill Payment",OR(J367="",COUNTIFS(ap_No,J367&amp;"",ap_Party,H367&amp;"")=0)),"Bill # + vendor not found on AP sheet",IF(AND(ISNUMBER(M367),N(M367)&lt;&gt;0,W367=0),"Tax ignored (tax tracking off, or not allowed for this type)",IF(V367=K367&amp;"","Same account on both sides",IF(AND(ISNUMBER(StartDate),C367&lt;StartDate),"Date is before the accounting start date",IF(AND(D367&lt;&gt;"Adjustment",IFERROR(INDEX(coa_Pay,MATCH(K367&amp;"",coa_Name,0)),"")&lt;&gt;"Yes"),"Paid From / Deposited To is not a payment account","")))))))))))</f>
        <v/>
      </c>
      <c r="Z367" s="67">
        <f>IF(AND(T367=0,X367=""),1,0)</f>
        <v/>
      </c>
      <c r="AA367" s="68">
        <f>IF(Z367=1,IF(U367="In",L367,L367-W367),0)</f>
        <v/>
      </c>
      <c r="AB367" s="68">
        <f>IF(Z367=1,IF(U367="In",L367-W367,L367),0)</f>
        <v/>
      </c>
      <c r="AC367" s="68">
        <f>IF(AND(Z367=1,U367="Out"),W367,0)</f>
        <v/>
      </c>
      <c r="AD367" s="68">
        <f>IF(AND(Z367=1,U367="In"),W367,0)</f>
        <v/>
      </c>
    </row>
    <row r="368">
      <c r="B368" s="62" t="inlineStr">
        <is>
          <t>TX-0362</t>
        </is>
      </c>
      <c r="C368" s="63" t="n"/>
      <c r="D368" s="62" t="n"/>
      <c r="E368" s="62" t="n"/>
      <c r="F368" s="62" t="n"/>
      <c r="G368" s="62" t="n"/>
      <c r="H368" s="62" t="n"/>
      <c r="I368" s="62" t="n"/>
      <c r="J368" s="62" t="n"/>
      <c r="K368" s="62" t="n"/>
      <c r="L368" s="64" t="n"/>
      <c r="M368" s="64" t="n"/>
      <c r="N368" s="62" t="n"/>
      <c r="O368" s="65">
        <f>IF(Z368=1,L368-W368,"")</f>
        <v/>
      </c>
      <c r="P368" s="66">
        <f>IF(V368="","",IFERROR(INDEX(coa_Type,MATCH(V368,coa_Name,0)),""))</f>
        <v/>
      </c>
      <c r="Q368" s="66">
        <f>IF(Z368=1,IF(U368="In",K368&amp;"",V368),"")</f>
        <v/>
      </c>
      <c r="R368" s="66">
        <f>IF(Z368=1,IF(U368="In",V368,K368&amp;""),"")</f>
        <v/>
      </c>
      <c r="S368" s="66">
        <f>IF(X368&lt;&gt;"","⛔ "&amp;X368&amp;" — not posted",IF(Y368&lt;&gt;"","⚠ "&amp;Y368,IF(Z368=1,"✓ OK","")))</f>
        <v/>
      </c>
      <c r="T368" s="67">
        <f>IF(AND(C368="",D368="",E368="",L368="",K368=""),1,0)</f>
        <v/>
      </c>
      <c r="U368" s="67">
        <f>IFERROR(INDEX(tt_Dir,MATCH(D368,tt_Type,0)),"")</f>
        <v/>
      </c>
      <c r="V368" s="67">
        <f>IF(D368="","",IFERROR(IF(INDEX(tt_Other,MATCH(D368,tt_Type,0))="",E368&amp;"",INDEX(tt_Other,MATCH(D368,tt_Type,0))),""))</f>
        <v/>
      </c>
      <c r="W368" s="68">
        <f>IF(OR(TaxOn&lt;&gt;"Yes",NOT(ISNUMBER(M368))),0,IF(IFERROR(INDEX(tt_Tax,MATCH(D368,tt_Type,0)),"No")="Yes",M368,0))</f>
        <v/>
      </c>
      <c r="X368" s="67">
        <f>IF(T368=1,"",IF(C368="","Missing transaction date",IF(NOT(ISNUMBER(C368)),"Invalid date",IF(OR(C368&lt;DATE(2000,1,1),C368&gt;DATE(2099,12,31)),"Invalid date",IF(D368="","Select a type",IF(U368="","Unknown type: "&amp;D368,IF(V368="","Select an account (Category)",IF(ISNA(MATCH(V368,coa_Name,0)),"Unknown account: "&amp;V368,IF(K368="","Select Paid From / Deposited To",IF(ISNA(MATCH(K368,coa_Name,0)),"Unknown account: "&amp;K368,IF(NOT(ISNUMBER(L368)),"Enter an amount",IF(L368=0,"Enter an amount",IF(ABS(W368)&gt;ABS(L368),"Tax is larger than the amount","")))))))))))))</f>
        <v/>
      </c>
      <c r="Y368" s="67">
        <f>IF(OR(T368=1,X368&lt;&gt;""),"",IF(AND(B368&lt;&gt;"",COUNTIF(tx_ID,B368)&gt;1),"Duplicate transaction ID",IF(AND(L368&lt;0,D368&lt;&gt;"Adjustment"),"Negative amount — check this entry",IF(AND(D368="Customer Payment",G368=""),"Add the customer",IF(AND(D368="Customer Payment",OR(J368="",COUNTIF(ar_No,J368&amp;"")=0)),"Invoice # in Reference not found on AR sheet",IF(AND(D368="Bill Payment",H368=""),"Add the vendor",IF(AND(D368="Bill Payment",OR(J368="",COUNTIFS(ap_No,J368&amp;"",ap_Party,H368&amp;"")=0)),"Bill # + vendor not found on AP sheet",IF(AND(ISNUMBER(M368),N(M368)&lt;&gt;0,W368=0),"Tax ignored (tax tracking off, or not allowed for this type)",IF(V368=K368&amp;"","Same account on both sides",IF(AND(ISNUMBER(StartDate),C368&lt;StartDate),"Date is before the accounting start date",IF(AND(D368&lt;&gt;"Adjustment",IFERROR(INDEX(coa_Pay,MATCH(K368&amp;"",coa_Name,0)),"")&lt;&gt;"Yes"),"Paid From / Deposited To is not a payment account","")))))))))))</f>
        <v/>
      </c>
      <c r="Z368" s="67">
        <f>IF(AND(T368=0,X368=""),1,0)</f>
        <v/>
      </c>
      <c r="AA368" s="68">
        <f>IF(Z368=1,IF(U368="In",L368,L368-W368),0)</f>
        <v/>
      </c>
      <c r="AB368" s="68">
        <f>IF(Z368=1,IF(U368="In",L368-W368,L368),0)</f>
        <v/>
      </c>
      <c r="AC368" s="68">
        <f>IF(AND(Z368=1,U368="Out"),W368,0)</f>
        <v/>
      </c>
      <c r="AD368" s="68">
        <f>IF(AND(Z368=1,U368="In"),W368,0)</f>
        <v/>
      </c>
    </row>
    <row r="369">
      <c r="B369" s="62" t="inlineStr">
        <is>
          <t>TX-0363</t>
        </is>
      </c>
      <c r="C369" s="63" t="n"/>
      <c r="D369" s="62" t="n"/>
      <c r="E369" s="62" t="n"/>
      <c r="F369" s="62" t="n"/>
      <c r="G369" s="62" t="n"/>
      <c r="H369" s="62" t="n"/>
      <c r="I369" s="62" t="n"/>
      <c r="J369" s="62" t="n"/>
      <c r="K369" s="62" t="n"/>
      <c r="L369" s="64" t="n"/>
      <c r="M369" s="64" t="n"/>
      <c r="N369" s="62" t="n"/>
      <c r="O369" s="65">
        <f>IF(Z369=1,L369-W369,"")</f>
        <v/>
      </c>
      <c r="P369" s="66">
        <f>IF(V369="","",IFERROR(INDEX(coa_Type,MATCH(V369,coa_Name,0)),""))</f>
        <v/>
      </c>
      <c r="Q369" s="66">
        <f>IF(Z369=1,IF(U369="In",K369&amp;"",V369),"")</f>
        <v/>
      </c>
      <c r="R369" s="66">
        <f>IF(Z369=1,IF(U369="In",V369,K369&amp;""),"")</f>
        <v/>
      </c>
      <c r="S369" s="66">
        <f>IF(X369&lt;&gt;"","⛔ "&amp;X369&amp;" — not posted",IF(Y369&lt;&gt;"","⚠ "&amp;Y369,IF(Z369=1,"✓ OK","")))</f>
        <v/>
      </c>
      <c r="T369" s="67">
        <f>IF(AND(C369="",D369="",E369="",L369="",K369=""),1,0)</f>
        <v/>
      </c>
      <c r="U369" s="67">
        <f>IFERROR(INDEX(tt_Dir,MATCH(D369,tt_Type,0)),"")</f>
        <v/>
      </c>
      <c r="V369" s="67">
        <f>IF(D369="","",IFERROR(IF(INDEX(tt_Other,MATCH(D369,tt_Type,0))="",E369&amp;"",INDEX(tt_Other,MATCH(D369,tt_Type,0))),""))</f>
        <v/>
      </c>
      <c r="W369" s="68">
        <f>IF(OR(TaxOn&lt;&gt;"Yes",NOT(ISNUMBER(M369))),0,IF(IFERROR(INDEX(tt_Tax,MATCH(D369,tt_Type,0)),"No")="Yes",M369,0))</f>
        <v/>
      </c>
      <c r="X369" s="67">
        <f>IF(T369=1,"",IF(C369="","Missing transaction date",IF(NOT(ISNUMBER(C369)),"Invalid date",IF(OR(C369&lt;DATE(2000,1,1),C369&gt;DATE(2099,12,31)),"Invalid date",IF(D369="","Select a type",IF(U369="","Unknown type: "&amp;D369,IF(V369="","Select an account (Category)",IF(ISNA(MATCH(V369,coa_Name,0)),"Unknown account: "&amp;V369,IF(K369="","Select Paid From / Deposited To",IF(ISNA(MATCH(K369,coa_Name,0)),"Unknown account: "&amp;K369,IF(NOT(ISNUMBER(L369)),"Enter an amount",IF(L369=0,"Enter an amount",IF(ABS(W369)&gt;ABS(L369),"Tax is larger than the amount","")))))))))))))</f>
        <v/>
      </c>
      <c r="Y369" s="67">
        <f>IF(OR(T369=1,X369&lt;&gt;""),"",IF(AND(B369&lt;&gt;"",COUNTIF(tx_ID,B369)&gt;1),"Duplicate transaction ID",IF(AND(L369&lt;0,D369&lt;&gt;"Adjustment"),"Negative amount — check this entry",IF(AND(D369="Customer Payment",G369=""),"Add the customer",IF(AND(D369="Customer Payment",OR(J369="",COUNTIF(ar_No,J369&amp;"")=0)),"Invoice # in Reference not found on AR sheet",IF(AND(D369="Bill Payment",H369=""),"Add the vendor",IF(AND(D369="Bill Payment",OR(J369="",COUNTIFS(ap_No,J369&amp;"",ap_Party,H369&amp;"")=0)),"Bill # + vendor not found on AP sheet",IF(AND(ISNUMBER(M369),N(M369)&lt;&gt;0,W369=0),"Tax ignored (tax tracking off, or not allowed for this type)",IF(V369=K369&amp;"","Same account on both sides",IF(AND(ISNUMBER(StartDate),C369&lt;StartDate),"Date is before the accounting start date",IF(AND(D369&lt;&gt;"Adjustment",IFERROR(INDEX(coa_Pay,MATCH(K369&amp;"",coa_Name,0)),"")&lt;&gt;"Yes"),"Paid From / Deposited To is not a payment account","")))))))))))</f>
        <v/>
      </c>
      <c r="Z369" s="67">
        <f>IF(AND(T369=0,X369=""),1,0)</f>
        <v/>
      </c>
      <c r="AA369" s="68">
        <f>IF(Z369=1,IF(U369="In",L369,L369-W369),0)</f>
        <v/>
      </c>
      <c r="AB369" s="68">
        <f>IF(Z369=1,IF(U369="In",L369-W369,L369),0)</f>
        <v/>
      </c>
      <c r="AC369" s="68">
        <f>IF(AND(Z369=1,U369="Out"),W369,0)</f>
        <v/>
      </c>
      <c r="AD369" s="68">
        <f>IF(AND(Z369=1,U369="In"),W369,0)</f>
        <v/>
      </c>
    </row>
    <row r="370">
      <c r="B370" s="62" t="inlineStr">
        <is>
          <t>TX-0364</t>
        </is>
      </c>
      <c r="C370" s="63" t="n"/>
      <c r="D370" s="62" t="n"/>
      <c r="E370" s="62" t="n"/>
      <c r="F370" s="62" t="n"/>
      <c r="G370" s="62" t="n"/>
      <c r="H370" s="62" t="n"/>
      <c r="I370" s="62" t="n"/>
      <c r="J370" s="62" t="n"/>
      <c r="K370" s="62" t="n"/>
      <c r="L370" s="64" t="n"/>
      <c r="M370" s="64" t="n"/>
      <c r="N370" s="62" t="n"/>
      <c r="O370" s="65">
        <f>IF(Z370=1,L370-W370,"")</f>
        <v/>
      </c>
      <c r="P370" s="66">
        <f>IF(V370="","",IFERROR(INDEX(coa_Type,MATCH(V370,coa_Name,0)),""))</f>
        <v/>
      </c>
      <c r="Q370" s="66">
        <f>IF(Z370=1,IF(U370="In",K370&amp;"",V370),"")</f>
        <v/>
      </c>
      <c r="R370" s="66">
        <f>IF(Z370=1,IF(U370="In",V370,K370&amp;""),"")</f>
        <v/>
      </c>
      <c r="S370" s="66">
        <f>IF(X370&lt;&gt;"","⛔ "&amp;X370&amp;" — not posted",IF(Y370&lt;&gt;"","⚠ "&amp;Y370,IF(Z370=1,"✓ OK","")))</f>
        <v/>
      </c>
      <c r="T370" s="67">
        <f>IF(AND(C370="",D370="",E370="",L370="",K370=""),1,0)</f>
        <v/>
      </c>
      <c r="U370" s="67">
        <f>IFERROR(INDEX(tt_Dir,MATCH(D370,tt_Type,0)),"")</f>
        <v/>
      </c>
      <c r="V370" s="67">
        <f>IF(D370="","",IFERROR(IF(INDEX(tt_Other,MATCH(D370,tt_Type,0))="",E370&amp;"",INDEX(tt_Other,MATCH(D370,tt_Type,0))),""))</f>
        <v/>
      </c>
      <c r="W370" s="68">
        <f>IF(OR(TaxOn&lt;&gt;"Yes",NOT(ISNUMBER(M370))),0,IF(IFERROR(INDEX(tt_Tax,MATCH(D370,tt_Type,0)),"No")="Yes",M370,0))</f>
        <v/>
      </c>
      <c r="X370" s="67">
        <f>IF(T370=1,"",IF(C370="","Missing transaction date",IF(NOT(ISNUMBER(C370)),"Invalid date",IF(OR(C370&lt;DATE(2000,1,1),C370&gt;DATE(2099,12,31)),"Invalid date",IF(D370="","Select a type",IF(U370="","Unknown type: "&amp;D370,IF(V370="","Select an account (Category)",IF(ISNA(MATCH(V370,coa_Name,0)),"Unknown account: "&amp;V370,IF(K370="","Select Paid From / Deposited To",IF(ISNA(MATCH(K370,coa_Name,0)),"Unknown account: "&amp;K370,IF(NOT(ISNUMBER(L370)),"Enter an amount",IF(L370=0,"Enter an amount",IF(ABS(W370)&gt;ABS(L370),"Tax is larger than the amount","")))))))))))))</f>
        <v/>
      </c>
      <c r="Y370" s="67">
        <f>IF(OR(T370=1,X370&lt;&gt;""),"",IF(AND(B370&lt;&gt;"",COUNTIF(tx_ID,B370)&gt;1),"Duplicate transaction ID",IF(AND(L370&lt;0,D370&lt;&gt;"Adjustment"),"Negative amount — check this entry",IF(AND(D370="Customer Payment",G370=""),"Add the customer",IF(AND(D370="Customer Payment",OR(J370="",COUNTIF(ar_No,J370&amp;"")=0)),"Invoice # in Reference not found on AR sheet",IF(AND(D370="Bill Payment",H370=""),"Add the vendor",IF(AND(D370="Bill Payment",OR(J370="",COUNTIFS(ap_No,J370&amp;"",ap_Party,H370&amp;"")=0)),"Bill # + vendor not found on AP sheet",IF(AND(ISNUMBER(M370),N(M370)&lt;&gt;0,W370=0),"Tax ignored (tax tracking off, or not allowed for this type)",IF(V370=K370&amp;"","Same account on both sides",IF(AND(ISNUMBER(StartDate),C370&lt;StartDate),"Date is before the accounting start date",IF(AND(D370&lt;&gt;"Adjustment",IFERROR(INDEX(coa_Pay,MATCH(K370&amp;"",coa_Name,0)),"")&lt;&gt;"Yes"),"Paid From / Deposited To is not a payment account","")))))))))))</f>
        <v/>
      </c>
      <c r="Z370" s="67">
        <f>IF(AND(T370=0,X370=""),1,0)</f>
        <v/>
      </c>
      <c r="AA370" s="68">
        <f>IF(Z370=1,IF(U370="In",L370,L370-W370),0)</f>
        <v/>
      </c>
      <c r="AB370" s="68">
        <f>IF(Z370=1,IF(U370="In",L370-W370,L370),0)</f>
        <v/>
      </c>
      <c r="AC370" s="68">
        <f>IF(AND(Z370=1,U370="Out"),W370,0)</f>
        <v/>
      </c>
      <c r="AD370" s="68">
        <f>IF(AND(Z370=1,U370="In"),W370,0)</f>
        <v/>
      </c>
    </row>
    <row r="371">
      <c r="B371" s="62" t="inlineStr">
        <is>
          <t>TX-0365</t>
        </is>
      </c>
      <c r="C371" s="63" t="n"/>
      <c r="D371" s="62" t="n"/>
      <c r="E371" s="62" t="n"/>
      <c r="F371" s="62" t="n"/>
      <c r="G371" s="62" t="n"/>
      <c r="H371" s="62" t="n"/>
      <c r="I371" s="62" t="n"/>
      <c r="J371" s="62" t="n"/>
      <c r="K371" s="62" t="n"/>
      <c r="L371" s="64" t="n"/>
      <c r="M371" s="64" t="n"/>
      <c r="N371" s="62" t="n"/>
      <c r="O371" s="65">
        <f>IF(Z371=1,L371-W371,"")</f>
        <v/>
      </c>
      <c r="P371" s="66">
        <f>IF(V371="","",IFERROR(INDEX(coa_Type,MATCH(V371,coa_Name,0)),""))</f>
        <v/>
      </c>
      <c r="Q371" s="66">
        <f>IF(Z371=1,IF(U371="In",K371&amp;"",V371),"")</f>
        <v/>
      </c>
      <c r="R371" s="66">
        <f>IF(Z371=1,IF(U371="In",V371,K371&amp;""),"")</f>
        <v/>
      </c>
      <c r="S371" s="66">
        <f>IF(X371&lt;&gt;"","⛔ "&amp;X371&amp;" — not posted",IF(Y371&lt;&gt;"","⚠ "&amp;Y371,IF(Z371=1,"✓ OK","")))</f>
        <v/>
      </c>
      <c r="T371" s="67">
        <f>IF(AND(C371="",D371="",E371="",L371="",K371=""),1,0)</f>
        <v/>
      </c>
      <c r="U371" s="67">
        <f>IFERROR(INDEX(tt_Dir,MATCH(D371,tt_Type,0)),"")</f>
        <v/>
      </c>
      <c r="V371" s="67">
        <f>IF(D371="","",IFERROR(IF(INDEX(tt_Other,MATCH(D371,tt_Type,0))="",E371&amp;"",INDEX(tt_Other,MATCH(D371,tt_Type,0))),""))</f>
        <v/>
      </c>
      <c r="W371" s="68">
        <f>IF(OR(TaxOn&lt;&gt;"Yes",NOT(ISNUMBER(M371))),0,IF(IFERROR(INDEX(tt_Tax,MATCH(D371,tt_Type,0)),"No")="Yes",M371,0))</f>
        <v/>
      </c>
      <c r="X371" s="67">
        <f>IF(T371=1,"",IF(C371="","Missing transaction date",IF(NOT(ISNUMBER(C371)),"Invalid date",IF(OR(C371&lt;DATE(2000,1,1),C371&gt;DATE(2099,12,31)),"Invalid date",IF(D371="","Select a type",IF(U371="","Unknown type: "&amp;D371,IF(V371="","Select an account (Category)",IF(ISNA(MATCH(V371,coa_Name,0)),"Unknown account: "&amp;V371,IF(K371="","Select Paid From / Deposited To",IF(ISNA(MATCH(K371,coa_Name,0)),"Unknown account: "&amp;K371,IF(NOT(ISNUMBER(L371)),"Enter an amount",IF(L371=0,"Enter an amount",IF(ABS(W371)&gt;ABS(L371),"Tax is larger than the amount","")))))))))))))</f>
        <v/>
      </c>
      <c r="Y371" s="67">
        <f>IF(OR(T371=1,X371&lt;&gt;""),"",IF(AND(B371&lt;&gt;"",COUNTIF(tx_ID,B371)&gt;1),"Duplicate transaction ID",IF(AND(L371&lt;0,D371&lt;&gt;"Adjustment"),"Negative amount — check this entry",IF(AND(D371="Customer Payment",G371=""),"Add the customer",IF(AND(D371="Customer Payment",OR(J371="",COUNTIF(ar_No,J371&amp;"")=0)),"Invoice # in Reference not found on AR sheet",IF(AND(D371="Bill Payment",H371=""),"Add the vendor",IF(AND(D371="Bill Payment",OR(J371="",COUNTIFS(ap_No,J371&amp;"",ap_Party,H371&amp;"")=0)),"Bill # + vendor not found on AP sheet",IF(AND(ISNUMBER(M371),N(M371)&lt;&gt;0,W371=0),"Tax ignored (tax tracking off, or not allowed for this type)",IF(V371=K371&amp;"","Same account on both sides",IF(AND(ISNUMBER(StartDate),C371&lt;StartDate),"Date is before the accounting start date",IF(AND(D371&lt;&gt;"Adjustment",IFERROR(INDEX(coa_Pay,MATCH(K371&amp;"",coa_Name,0)),"")&lt;&gt;"Yes"),"Paid From / Deposited To is not a payment account","")))))))))))</f>
        <v/>
      </c>
      <c r="Z371" s="67">
        <f>IF(AND(T371=0,X371=""),1,0)</f>
        <v/>
      </c>
      <c r="AA371" s="68">
        <f>IF(Z371=1,IF(U371="In",L371,L371-W371),0)</f>
        <v/>
      </c>
      <c r="AB371" s="68">
        <f>IF(Z371=1,IF(U371="In",L371-W371,L371),0)</f>
        <v/>
      </c>
      <c r="AC371" s="68">
        <f>IF(AND(Z371=1,U371="Out"),W371,0)</f>
        <v/>
      </c>
      <c r="AD371" s="68">
        <f>IF(AND(Z371=1,U371="In"),W371,0)</f>
        <v/>
      </c>
    </row>
    <row r="372">
      <c r="B372" s="62" t="inlineStr">
        <is>
          <t>TX-0366</t>
        </is>
      </c>
      <c r="C372" s="63" t="n"/>
      <c r="D372" s="62" t="n"/>
      <c r="E372" s="62" t="n"/>
      <c r="F372" s="62" t="n"/>
      <c r="G372" s="62" t="n"/>
      <c r="H372" s="62" t="n"/>
      <c r="I372" s="62" t="n"/>
      <c r="J372" s="62" t="n"/>
      <c r="K372" s="62" t="n"/>
      <c r="L372" s="64" t="n"/>
      <c r="M372" s="64" t="n"/>
      <c r="N372" s="62" t="n"/>
      <c r="O372" s="65">
        <f>IF(Z372=1,L372-W372,"")</f>
        <v/>
      </c>
      <c r="P372" s="66">
        <f>IF(V372="","",IFERROR(INDEX(coa_Type,MATCH(V372,coa_Name,0)),""))</f>
        <v/>
      </c>
      <c r="Q372" s="66">
        <f>IF(Z372=1,IF(U372="In",K372&amp;"",V372),"")</f>
        <v/>
      </c>
      <c r="R372" s="66">
        <f>IF(Z372=1,IF(U372="In",V372,K372&amp;""),"")</f>
        <v/>
      </c>
      <c r="S372" s="66">
        <f>IF(X372&lt;&gt;"","⛔ "&amp;X372&amp;" — not posted",IF(Y372&lt;&gt;"","⚠ "&amp;Y372,IF(Z372=1,"✓ OK","")))</f>
        <v/>
      </c>
      <c r="T372" s="67">
        <f>IF(AND(C372="",D372="",E372="",L372="",K372=""),1,0)</f>
        <v/>
      </c>
      <c r="U372" s="67">
        <f>IFERROR(INDEX(tt_Dir,MATCH(D372,tt_Type,0)),"")</f>
        <v/>
      </c>
      <c r="V372" s="67">
        <f>IF(D372="","",IFERROR(IF(INDEX(tt_Other,MATCH(D372,tt_Type,0))="",E372&amp;"",INDEX(tt_Other,MATCH(D372,tt_Type,0))),""))</f>
        <v/>
      </c>
      <c r="W372" s="68">
        <f>IF(OR(TaxOn&lt;&gt;"Yes",NOT(ISNUMBER(M372))),0,IF(IFERROR(INDEX(tt_Tax,MATCH(D372,tt_Type,0)),"No")="Yes",M372,0))</f>
        <v/>
      </c>
      <c r="X372" s="67">
        <f>IF(T372=1,"",IF(C372="","Missing transaction date",IF(NOT(ISNUMBER(C372)),"Invalid date",IF(OR(C372&lt;DATE(2000,1,1),C372&gt;DATE(2099,12,31)),"Invalid date",IF(D372="","Select a type",IF(U372="","Unknown type: "&amp;D372,IF(V372="","Select an account (Category)",IF(ISNA(MATCH(V372,coa_Name,0)),"Unknown account: "&amp;V372,IF(K372="","Select Paid From / Deposited To",IF(ISNA(MATCH(K372,coa_Name,0)),"Unknown account: "&amp;K372,IF(NOT(ISNUMBER(L372)),"Enter an amount",IF(L372=0,"Enter an amount",IF(ABS(W372)&gt;ABS(L372),"Tax is larger than the amount","")))))))))))))</f>
        <v/>
      </c>
      <c r="Y372" s="67">
        <f>IF(OR(T372=1,X372&lt;&gt;""),"",IF(AND(B372&lt;&gt;"",COUNTIF(tx_ID,B372)&gt;1),"Duplicate transaction ID",IF(AND(L372&lt;0,D372&lt;&gt;"Adjustment"),"Negative amount — check this entry",IF(AND(D372="Customer Payment",G372=""),"Add the customer",IF(AND(D372="Customer Payment",OR(J372="",COUNTIF(ar_No,J372&amp;"")=0)),"Invoice # in Reference not found on AR sheet",IF(AND(D372="Bill Payment",H372=""),"Add the vendor",IF(AND(D372="Bill Payment",OR(J372="",COUNTIFS(ap_No,J372&amp;"",ap_Party,H372&amp;"")=0)),"Bill # + vendor not found on AP sheet",IF(AND(ISNUMBER(M372),N(M372)&lt;&gt;0,W372=0),"Tax ignored (tax tracking off, or not allowed for this type)",IF(V372=K372&amp;"","Same account on both sides",IF(AND(ISNUMBER(StartDate),C372&lt;StartDate),"Date is before the accounting start date",IF(AND(D372&lt;&gt;"Adjustment",IFERROR(INDEX(coa_Pay,MATCH(K372&amp;"",coa_Name,0)),"")&lt;&gt;"Yes"),"Paid From / Deposited To is not a payment account","")))))))))))</f>
        <v/>
      </c>
      <c r="Z372" s="67">
        <f>IF(AND(T372=0,X372=""),1,0)</f>
        <v/>
      </c>
      <c r="AA372" s="68">
        <f>IF(Z372=1,IF(U372="In",L372,L372-W372),0)</f>
        <v/>
      </c>
      <c r="AB372" s="68">
        <f>IF(Z372=1,IF(U372="In",L372-W372,L372),0)</f>
        <v/>
      </c>
      <c r="AC372" s="68">
        <f>IF(AND(Z372=1,U372="Out"),W372,0)</f>
        <v/>
      </c>
      <c r="AD372" s="68">
        <f>IF(AND(Z372=1,U372="In"),W372,0)</f>
        <v/>
      </c>
    </row>
    <row r="373">
      <c r="B373" s="62" t="inlineStr">
        <is>
          <t>TX-0367</t>
        </is>
      </c>
      <c r="C373" s="63" t="n"/>
      <c r="D373" s="62" t="n"/>
      <c r="E373" s="62" t="n"/>
      <c r="F373" s="62" t="n"/>
      <c r="G373" s="62" t="n"/>
      <c r="H373" s="62" t="n"/>
      <c r="I373" s="62" t="n"/>
      <c r="J373" s="62" t="n"/>
      <c r="K373" s="62" t="n"/>
      <c r="L373" s="64" t="n"/>
      <c r="M373" s="64" t="n"/>
      <c r="N373" s="62" t="n"/>
      <c r="O373" s="65">
        <f>IF(Z373=1,L373-W373,"")</f>
        <v/>
      </c>
      <c r="P373" s="66">
        <f>IF(V373="","",IFERROR(INDEX(coa_Type,MATCH(V373,coa_Name,0)),""))</f>
        <v/>
      </c>
      <c r="Q373" s="66">
        <f>IF(Z373=1,IF(U373="In",K373&amp;"",V373),"")</f>
        <v/>
      </c>
      <c r="R373" s="66">
        <f>IF(Z373=1,IF(U373="In",V373,K373&amp;""),"")</f>
        <v/>
      </c>
      <c r="S373" s="66">
        <f>IF(X373&lt;&gt;"","⛔ "&amp;X373&amp;" — not posted",IF(Y373&lt;&gt;"","⚠ "&amp;Y373,IF(Z373=1,"✓ OK","")))</f>
        <v/>
      </c>
      <c r="T373" s="67">
        <f>IF(AND(C373="",D373="",E373="",L373="",K373=""),1,0)</f>
        <v/>
      </c>
      <c r="U373" s="67">
        <f>IFERROR(INDEX(tt_Dir,MATCH(D373,tt_Type,0)),"")</f>
        <v/>
      </c>
      <c r="V373" s="67">
        <f>IF(D373="","",IFERROR(IF(INDEX(tt_Other,MATCH(D373,tt_Type,0))="",E373&amp;"",INDEX(tt_Other,MATCH(D373,tt_Type,0))),""))</f>
        <v/>
      </c>
      <c r="W373" s="68">
        <f>IF(OR(TaxOn&lt;&gt;"Yes",NOT(ISNUMBER(M373))),0,IF(IFERROR(INDEX(tt_Tax,MATCH(D373,tt_Type,0)),"No")="Yes",M373,0))</f>
        <v/>
      </c>
      <c r="X373" s="67">
        <f>IF(T373=1,"",IF(C373="","Missing transaction date",IF(NOT(ISNUMBER(C373)),"Invalid date",IF(OR(C373&lt;DATE(2000,1,1),C373&gt;DATE(2099,12,31)),"Invalid date",IF(D373="","Select a type",IF(U373="","Unknown type: "&amp;D373,IF(V373="","Select an account (Category)",IF(ISNA(MATCH(V373,coa_Name,0)),"Unknown account: "&amp;V373,IF(K373="","Select Paid From / Deposited To",IF(ISNA(MATCH(K373,coa_Name,0)),"Unknown account: "&amp;K373,IF(NOT(ISNUMBER(L373)),"Enter an amount",IF(L373=0,"Enter an amount",IF(ABS(W373)&gt;ABS(L373),"Tax is larger than the amount","")))))))))))))</f>
        <v/>
      </c>
      <c r="Y373" s="67">
        <f>IF(OR(T373=1,X373&lt;&gt;""),"",IF(AND(B373&lt;&gt;"",COUNTIF(tx_ID,B373)&gt;1),"Duplicate transaction ID",IF(AND(L373&lt;0,D373&lt;&gt;"Adjustment"),"Negative amount — check this entry",IF(AND(D373="Customer Payment",G373=""),"Add the customer",IF(AND(D373="Customer Payment",OR(J373="",COUNTIF(ar_No,J373&amp;"")=0)),"Invoice # in Reference not found on AR sheet",IF(AND(D373="Bill Payment",H373=""),"Add the vendor",IF(AND(D373="Bill Payment",OR(J373="",COUNTIFS(ap_No,J373&amp;"",ap_Party,H373&amp;"")=0)),"Bill # + vendor not found on AP sheet",IF(AND(ISNUMBER(M373),N(M373)&lt;&gt;0,W373=0),"Tax ignored (tax tracking off, or not allowed for this type)",IF(V373=K373&amp;"","Same account on both sides",IF(AND(ISNUMBER(StartDate),C373&lt;StartDate),"Date is before the accounting start date",IF(AND(D373&lt;&gt;"Adjustment",IFERROR(INDEX(coa_Pay,MATCH(K373&amp;"",coa_Name,0)),"")&lt;&gt;"Yes"),"Paid From / Deposited To is not a payment account","")))))))))))</f>
        <v/>
      </c>
      <c r="Z373" s="67">
        <f>IF(AND(T373=0,X373=""),1,0)</f>
        <v/>
      </c>
      <c r="AA373" s="68">
        <f>IF(Z373=1,IF(U373="In",L373,L373-W373),0)</f>
        <v/>
      </c>
      <c r="AB373" s="68">
        <f>IF(Z373=1,IF(U373="In",L373-W373,L373),0)</f>
        <v/>
      </c>
      <c r="AC373" s="68">
        <f>IF(AND(Z373=1,U373="Out"),W373,0)</f>
        <v/>
      </c>
      <c r="AD373" s="68">
        <f>IF(AND(Z373=1,U373="In"),W373,0)</f>
        <v/>
      </c>
    </row>
    <row r="374">
      <c r="B374" s="62" t="inlineStr">
        <is>
          <t>TX-0368</t>
        </is>
      </c>
      <c r="C374" s="63" t="n"/>
      <c r="D374" s="62" t="n"/>
      <c r="E374" s="62" t="n"/>
      <c r="F374" s="62" t="n"/>
      <c r="G374" s="62" t="n"/>
      <c r="H374" s="62" t="n"/>
      <c r="I374" s="62" t="n"/>
      <c r="J374" s="62" t="n"/>
      <c r="K374" s="62" t="n"/>
      <c r="L374" s="64" t="n"/>
      <c r="M374" s="64" t="n"/>
      <c r="N374" s="62" t="n"/>
      <c r="O374" s="65">
        <f>IF(Z374=1,L374-W374,"")</f>
        <v/>
      </c>
      <c r="P374" s="66">
        <f>IF(V374="","",IFERROR(INDEX(coa_Type,MATCH(V374,coa_Name,0)),""))</f>
        <v/>
      </c>
      <c r="Q374" s="66">
        <f>IF(Z374=1,IF(U374="In",K374&amp;"",V374),"")</f>
        <v/>
      </c>
      <c r="R374" s="66">
        <f>IF(Z374=1,IF(U374="In",V374,K374&amp;""),"")</f>
        <v/>
      </c>
      <c r="S374" s="66">
        <f>IF(X374&lt;&gt;"","⛔ "&amp;X374&amp;" — not posted",IF(Y374&lt;&gt;"","⚠ "&amp;Y374,IF(Z374=1,"✓ OK","")))</f>
        <v/>
      </c>
      <c r="T374" s="67">
        <f>IF(AND(C374="",D374="",E374="",L374="",K374=""),1,0)</f>
        <v/>
      </c>
      <c r="U374" s="67">
        <f>IFERROR(INDEX(tt_Dir,MATCH(D374,tt_Type,0)),"")</f>
        <v/>
      </c>
      <c r="V374" s="67">
        <f>IF(D374="","",IFERROR(IF(INDEX(tt_Other,MATCH(D374,tt_Type,0))="",E374&amp;"",INDEX(tt_Other,MATCH(D374,tt_Type,0))),""))</f>
        <v/>
      </c>
      <c r="W374" s="68">
        <f>IF(OR(TaxOn&lt;&gt;"Yes",NOT(ISNUMBER(M374))),0,IF(IFERROR(INDEX(tt_Tax,MATCH(D374,tt_Type,0)),"No")="Yes",M374,0))</f>
        <v/>
      </c>
      <c r="X374" s="67">
        <f>IF(T374=1,"",IF(C374="","Missing transaction date",IF(NOT(ISNUMBER(C374)),"Invalid date",IF(OR(C374&lt;DATE(2000,1,1),C374&gt;DATE(2099,12,31)),"Invalid date",IF(D374="","Select a type",IF(U374="","Unknown type: "&amp;D374,IF(V374="","Select an account (Category)",IF(ISNA(MATCH(V374,coa_Name,0)),"Unknown account: "&amp;V374,IF(K374="","Select Paid From / Deposited To",IF(ISNA(MATCH(K374,coa_Name,0)),"Unknown account: "&amp;K374,IF(NOT(ISNUMBER(L374)),"Enter an amount",IF(L374=0,"Enter an amount",IF(ABS(W374)&gt;ABS(L374),"Tax is larger than the amount","")))))))))))))</f>
        <v/>
      </c>
      <c r="Y374" s="67">
        <f>IF(OR(T374=1,X374&lt;&gt;""),"",IF(AND(B374&lt;&gt;"",COUNTIF(tx_ID,B374)&gt;1),"Duplicate transaction ID",IF(AND(L374&lt;0,D374&lt;&gt;"Adjustment"),"Negative amount — check this entry",IF(AND(D374="Customer Payment",G374=""),"Add the customer",IF(AND(D374="Customer Payment",OR(J374="",COUNTIF(ar_No,J374&amp;"")=0)),"Invoice # in Reference not found on AR sheet",IF(AND(D374="Bill Payment",H374=""),"Add the vendor",IF(AND(D374="Bill Payment",OR(J374="",COUNTIFS(ap_No,J374&amp;"",ap_Party,H374&amp;"")=0)),"Bill # + vendor not found on AP sheet",IF(AND(ISNUMBER(M374),N(M374)&lt;&gt;0,W374=0),"Tax ignored (tax tracking off, or not allowed for this type)",IF(V374=K374&amp;"","Same account on both sides",IF(AND(ISNUMBER(StartDate),C374&lt;StartDate),"Date is before the accounting start date",IF(AND(D374&lt;&gt;"Adjustment",IFERROR(INDEX(coa_Pay,MATCH(K374&amp;"",coa_Name,0)),"")&lt;&gt;"Yes"),"Paid From / Deposited To is not a payment account","")))))))))))</f>
        <v/>
      </c>
      <c r="Z374" s="67">
        <f>IF(AND(T374=0,X374=""),1,0)</f>
        <v/>
      </c>
      <c r="AA374" s="68">
        <f>IF(Z374=1,IF(U374="In",L374,L374-W374),0)</f>
        <v/>
      </c>
      <c r="AB374" s="68">
        <f>IF(Z374=1,IF(U374="In",L374-W374,L374),0)</f>
        <v/>
      </c>
      <c r="AC374" s="68">
        <f>IF(AND(Z374=1,U374="Out"),W374,0)</f>
        <v/>
      </c>
      <c r="AD374" s="68">
        <f>IF(AND(Z374=1,U374="In"),W374,0)</f>
        <v/>
      </c>
    </row>
    <row r="375">
      <c r="B375" s="62" t="inlineStr">
        <is>
          <t>TX-0369</t>
        </is>
      </c>
      <c r="C375" s="63" t="n"/>
      <c r="D375" s="62" t="n"/>
      <c r="E375" s="62" t="n"/>
      <c r="F375" s="62" t="n"/>
      <c r="G375" s="62" t="n"/>
      <c r="H375" s="62" t="n"/>
      <c r="I375" s="62" t="n"/>
      <c r="J375" s="62" t="n"/>
      <c r="K375" s="62" t="n"/>
      <c r="L375" s="64" t="n"/>
      <c r="M375" s="64" t="n"/>
      <c r="N375" s="62" t="n"/>
      <c r="O375" s="65">
        <f>IF(Z375=1,L375-W375,"")</f>
        <v/>
      </c>
      <c r="P375" s="66">
        <f>IF(V375="","",IFERROR(INDEX(coa_Type,MATCH(V375,coa_Name,0)),""))</f>
        <v/>
      </c>
      <c r="Q375" s="66">
        <f>IF(Z375=1,IF(U375="In",K375&amp;"",V375),"")</f>
        <v/>
      </c>
      <c r="R375" s="66">
        <f>IF(Z375=1,IF(U375="In",V375,K375&amp;""),"")</f>
        <v/>
      </c>
      <c r="S375" s="66">
        <f>IF(X375&lt;&gt;"","⛔ "&amp;X375&amp;" — not posted",IF(Y375&lt;&gt;"","⚠ "&amp;Y375,IF(Z375=1,"✓ OK","")))</f>
        <v/>
      </c>
      <c r="T375" s="67">
        <f>IF(AND(C375="",D375="",E375="",L375="",K375=""),1,0)</f>
        <v/>
      </c>
      <c r="U375" s="67">
        <f>IFERROR(INDEX(tt_Dir,MATCH(D375,tt_Type,0)),"")</f>
        <v/>
      </c>
      <c r="V375" s="67">
        <f>IF(D375="","",IFERROR(IF(INDEX(tt_Other,MATCH(D375,tt_Type,0))="",E375&amp;"",INDEX(tt_Other,MATCH(D375,tt_Type,0))),""))</f>
        <v/>
      </c>
      <c r="W375" s="68">
        <f>IF(OR(TaxOn&lt;&gt;"Yes",NOT(ISNUMBER(M375))),0,IF(IFERROR(INDEX(tt_Tax,MATCH(D375,tt_Type,0)),"No")="Yes",M375,0))</f>
        <v/>
      </c>
      <c r="X375" s="67">
        <f>IF(T375=1,"",IF(C375="","Missing transaction date",IF(NOT(ISNUMBER(C375)),"Invalid date",IF(OR(C375&lt;DATE(2000,1,1),C375&gt;DATE(2099,12,31)),"Invalid date",IF(D375="","Select a type",IF(U375="","Unknown type: "&amp;D375,IF(V375="","Select an account (Category)",IF(ISNA(MATCH(V375,coa_Name,0)),"Unknown account: "&amp;V375,IF(K375="","Select Paid From / Deposited To",IF(ISNA(MATCH(K375,coa_Name,0)),"Unknown account: "&amp;K375,IF(NOT(ISNUMBER(L375)),"Enter an amount",IF(L375=0,"Enter an amount",IF(ABS(W375)&gt;ABS(L375),"Tax is larger than the amount","")))))))))))))</f>
        <v/>
      </c>
      <c r="Y375" s="67">
        <f>IF(OR(T375=1,X375&lt;&gt;""),"",IF(AND(B375&lt;&gt;"",COUNTIF(tx_ID,B375)&gt;1),"Duplicate transaction ID",IF(AND(L375&lt;0,D375&lt;&gt;"Adjustment"),"Negative amount — check this entry",IF(AND(D375="Customer Payment",G375=""),"Add the customer",IF(AND(D375="Customer Payment",OR(J375="",COUNTIF(ar_No,J375&amp;"")=0)),"Invoice # in Reference not found on AR sheet",IF(AND(D375="Bill Payment",H375=""),"Add the vendor",IF(AND(D375="Bill Payment",OR(J375="",COUNTIFS(ap_No,J375&amp;"",ap_Party,H375&amp;"")=0)),"Bill # + vendor not found on AP sheet",IF(AND(ISNUMBER(M375),N(M375)&lt;&gt;0,W375=0),"Tax ignored (tax tracking off, or not allowed for this type)",IF(V375=K375&amp;"","Same account on both sides",IF(AND(ISNUMBER(StartDate),C375&lt;StartDate),"Date is before the accounting start date",IF(AND(D375&lt;&gt;"Adjustment",IFERROR(INDEX(coa_Pay,MATCH(K375&amp;"",coa_Name,0)),"")&lt;&gt;"Yes"),"Paid From / Deposited To is not a payment account","")))))))))))</f>
        <v/>
      </c>
      <c r="Z375" s="67">
        <f>IF(AND(T375=0,X375=""),1,0)</f>
        <v/>
      </c>
      <c r="AA375" s="68">
        <f>IF(Z375=1,IF(U375="In",L375,L375-W375),0)</f>
        <v/>
      </c>
      <c r="AB375" s="68">
        <f>IF(Z375=1,IF(U375="In",L375-W375,L375),0)</f>
        <v/>
      </c>
      <c r="AC375" s="68">
        <f>IF(AND(Z375=1,U375="Out"),W375,0)</f>
        <v/>
      </c>
      <c r="AD375" s="68">
        <f>IF(AND(Z375=1,U375="In"),W375,0)</f>
        <v/>
      </c>
    </row>
    <row r="376">
      <c r="B376" s="62" t="inlineStr">
        <is>
          <t>TX-0370</t>
        </is>
      </c>
      <c r="C376" s="63" t="n"/>
      <c r="D376" s="62" t="n"/>
      <c r="E376" s="62" t="n"/>
      <c r="F376" s="62" t="n"/>
      <c r="G376" s="62" t="n"/>
      <c r="H376" s="62" t="n"/>
      <c r="I376" s="62" t="n"/>
      <c r="J376" s="62" t="n"/>
      <c r="K376" s="62" t="n"/>
      <c r="L376" s="64" t="n"/>
      <c r="M376" s="64" t="n"/>
      <c r="N376" s="62" t="n"/>
      <c r="O376" s="65">
        <f>IF(Z376=1,L376-W376,"")</f>
        <v/>
      </c>
      <c r="P376" s="66">
        <f>IF(V376="","",IFERROR(INDEX(coa_Type,MATCH(V376,coa_Name,0)),""))</f>
        <v/>
      </c>
      <c r="Q376" s="66">
        <f>IF(Z376=1,IF(U376="In",K376&amp;"",V376),"")</f>
        <v/>
      </c>
      <c r="R376" s="66">
        <f>IF(Z376=1,IF(U376="In",V376,K376&amp;""),"")</f>
        <v/>
      </c>
      <c r="S376" s="66">
        <f>IF(X376&lt;&gt;"","⛔ "&amp;X376&amp;" — not posted",IF(Y376&lt;&gt;"","⚠ "&amp;Y376,IF(Z376=1,"✓ OK","")))</f>
        <v/>
      </c>
      <c r="T376" s="67">
        <f>IF(AND(C376="",D376="",E376="",L376="",K376=""),1,0)</f>
        <v/>
      </c>
      <c r="U376" s="67">
        <f>IFERROR(INDEX(tt_Dir,MATCH(D376,tt_Type,0)),"")</f>
        <v/>
      </c>
      <c r="V376" s="67">
        <f>IF(D376="","",IFERROR(IF(INDEX(tt_Other,MATCH(D376,tt_Type,0))="",E376&amp;"",INDEX(tt_Other,MATCH(D376,tt_Type,0))),""))</f>
        <v/>
      </c>
      <c r="W376" s="68">
        <f>IF(OR(TaxOn&lt;&gt;"Yes",NOT(ISNUMBER(M376))),0,IF(IFERROR(INDEX(tt_Tax,MATCH(D376,tt_Type,0)),"No")="Yes",M376,0))</f>
        <v/>
      </c>
      <c r="X376" s="67">
        <f>IF(T376=1,"",IF(C376="","Missing transaction date",IF(NOT(ISNUMBER(C376)),"Invalid date",IF(OR(C376&lt;DATE(2000,1,1),C376&gt;DATE(2099,12,31)),"Invalid date",IF(D376="","Select a type",IF(U376="","Unknown type: "&amp;D376,IF(V376="","Select an account (Category)",IF(ISNA(MATCH(V376,coa_Name,0)),"Unknown account: "&amp;V376,IF(K376="","Select Paid From / Deposited To",IF(ISNA(MATCH(K376,coa_Name,0)),"Unknown account: "&amp;K376,IF(NOT(ISNUMBER(L376)),"Enter an amount",IF(L376=0,"Enter an amount",IF(ABS(W376)&gt;ABS(L376),"Tax is larger than the amount","")))))))))))))</f>
        <v/>
      </c>
      <c r="Y376" s="67">
        <f>IF(OR(T376=1,X376&lt;&gt;""),"",IF(AND(B376&lt;&gt;"",COUNTIF(tx_ID,B376)&gt;1),"Duplicate transaction ID",IF(AND(L376&lt;0,D376&lt;&gt;"Adjustment"),"Negative amount — check this entry",IF(AND(D376="Customer Payment",G376=""),"Add the customer",IF(AND(D376="Customer Payment",OR(J376="",COUNTIF(ar_No,J376&amp;"")=0)),"Invoice # in Reference not found on AR sheet",IF(AND(D376="Bill Payment",H376=""),"Add the vendor",IF(AND(D376="Bill Payment",OR(J376="",COUNTIFS(ap_No,J376&amp;"",ap_Party,H376&amp;"")=0)),"Bill # + vendor not found on AP sheet",IF(AND(ISNUMBER(M376),N(M376)&lt;&gt;0,W376=0),"Tax ignored (tax tracking off, or not allowed for this type)",IF(V376=K376&amp;"","Same account on both sides",IF(AND(ISNUMBER(StartDate),C376&lt;StartDate),"Date is before the accounting start date",IF(AND(D376&lt;&gt;"Adjustment",IFERROR(INDEX(coa_Pay,MATCH(K376&amp;"",coa_Name,0)),"")&lt;&gt;"Yes"),"Paid From / Deposited To is not a payment account","")))))))))))</f>
        <v/>
      </c>
      <c r="Z376" s="67">
        <f>IF(AND(T376=0,X376=""),1,0)</f>
        <v/>
      </c>
      <c r="AA376" s="68">
        <f>IF(Z376=1,IF(U376="In",L376,L376-W376),0)</f>
        <v/>
      </c>
      <c r="AB376" s="68">
        <f>IF(Z376=1,IF(U376="In",L376-W376,L376),0)</f>
        <v/>
      </c>
      <c r="AC376" s="68">
        <f>IF(AND(Z376=1,U376="Out"),W376,0)</f>
        <v/>
      </c>
      <c r="AD376" s="68">
        <f>IF(AND(Z376=1,U376="In"),W376,0)</f>
        <v/>
      </c>
    </row>
    <row r="377">
      <c r="B377" s="62" t="inlineStr">
        <is>
          <t>TX-0371</t>
        </is>
      </c>
      <c r="C377" s="63" t="n"/>
      <c r="D377" s="62" t="n"/>
      <c r="E377" s="62" t="n"/>
      <c r="F377" s="62" t="n"/>
      <c r="G377" s="62" t="n"/>
      <c r="H377" s="62" t="n"/>
      <c r="I377" s="62" t="n"/>
      <c r="J377" s="62" t="n"/>
      <c r="K377" s="62" t="n"/>
      <c r="L377" s="64" t="n"/>
      <c r="M377" s="64" t="n"/>
      <c r="N377" s="62" t="n"/>
      <c r="O377" s="65">
        <f>IF(Z377=1,L377-W377,"")</f>
        <v/>
      </c>
      <c r="P377" s="66">
        <f>IF(V377="","",IFERROR(INDEX(coa_Type,MATCH(V377,coa_Name,0)),""))</f>
        <v/>
      </c>
      <c r="Q377" s="66">
        <f>IF(Z377=1,IF(U377="In",K377&amp;"",V377),"")</f>
        <v/>
      </c>
      <c r="R377" s="66">
        <f>IF(Z377=1,IF(U377="In",V377,K377&amp;""),"")</f>
        <v/>
      </c>
      <c r="S377" s="66">
        <f>IF(X377&lt;&gt;"","⛔ "&amp;X377&amp;" — not posted",IF(Y377&lt;&gt;"","⚠ "&amp;Y377,IF(Z377=1,"✓ OK","")))</f>
        <v/>
      </c>
      <c r="T377" s="67">
        <f>IF(AND(C377="",D377="",E377="",L377="",K377=""),1,0)</f>
        <v/>
      </c>
      <c r="U377" s="67">
        <f>IFERROR(INDEX(tt_Dir,MATCH(D377,tt_Type,0)),"")</f>
        <v/>
      </c>
      <c r="V377" s="67">
        <f>IF(D377="","",IFERROR(IF(INDEX(tt_Other,MATCH(D377,tt_Type,0))="",E377&amp;"",INDEX(tt_Other,MATCH(D377,tt_Type,0))),""))</f>
        <v/>
      </c>
      <c r="W377" s="68">
        <f>IF(OR(TaxOn&lt;&gt;"Yes",NOT(ISNUMBER(M377))),0,IF(IFERROR(INDEX(tt_Tax,MATCH(D377,tt_Type,0)),"No")="Yes",M377,0))</f>
        <v/>
      </c>
      <c r="X377" s="67">
        <f>IF(T377=1,"",IF(C377="","Missing transaction date",IF(NOT(ISNUMBER(C377)),"Invalid date",IF(OR(C377&lt;DATE(2000,1,1),C377&gt;DATE(2099,12,31)),"Invalid date",IF(D377="","Select a type",IF(U377="","Unknown type: "&amp;D377,IF(V377="","Select an account (Category)",IF(ISNA(MATCH(V377,coa_Name,0)),"Unknown account: "&amp;V377,IF(K377="","Select Paid From / Deposited To",IF(ISNA(MATCH(K377,coa_Name,0)),"Unknown account: "&amp;K377,IF(NOT(ISNUMBER(L377)),"Enter an amount",IF(L377=0,"Enter an amount",IF(ABS(W377)&gt;ABS(L377),"Tax is larger than the amount","")))))))))))))</f>
        <v/>
      </c>
      <c r="Y377" s="67">
        <f>IF(OR(T377=1,X377&lt;&gt;""),"",IF(AND(B377&lt;&gt;"",COUNTIF(tx_ID,B377)&gt;1),"Duplicate transaction ID",IF(AND(L377&lt;0,D377&lt;&gt;"Adjustment"),"Negative amount — check this entry",IF(AND(D377="Customer Payment",G377=""),"Add the customer",IF(AND(D377="Customer Payment",OR(J377="",COUNTIF(ar_No,J377&amp;"")=0)),"Invoice # in Reference not found on AR sheet",IF(AND(D377="Bill Payment",H377=""),"Add the vendor",IF(AND(D377="Bill Payment",OR(J377="",COUNTIFS(ap_No,J377&amp;"",ap_Party,H377&amp;"")=0)),"Bill # + vendor not found on AP sheet",IF(AND(ISNUMBER(M377),N(M377)&lt;&gt;0,W377=0),"Tax ignored (tax tracking off, or not allowed for this type)",IF(V377=K377&amp;"","Same account on both sides",IF(AND(ISNUMBER(StartDate),C377&lt;StartDate),"Date is before the accounting start date",IF(AND(D377&lt;&gt;"Adjustment",IFERROR(INDEX(coa_Pay,MATCH(K377&amp;"",coa_Name,0)),"")&lt;&gt;"Yes"),"Paid From / Deposited To is not a payment account","")))))))))))</f>
        <v/>
      </c>
      <c r="Z377" s="67">
        <f>IF(AND(T377=0,X377=""),1,0)</f>
        <v/>
      </c>
      <c r="AA377" s="68">
        <f>IF(Z377=1,IF(U377="In",L377,L377-W377),0)</f>
        <v/>
      </c>
      <c r="AB377" s="68">
        <f>IF(Z377=1,IF(U377="In",L377-W377,L377),0)</f>
        <v/>
      </c>
      <c r="AC377" s="68">
        <f>IF(AND(Z377=1,U377="Out"),W377,0)</f>
        <v/>
      </c>
      <c r="AD377" s="68">
        <f>IF(AND(Z377=1,U377="In"),W377,0)</f>
        <v/>
      </c>
    </row>
    <row r="378">
      <c r="B378" s="62" t="inlineStr">
        <is>
          <t>TX-0372</t>
        </is>
      </c>
      <c r="C378" s="63" t="n"/>
      <c r="D378" s="62" t="n"/>
      <c r="E378" s="62" t="n"/>
      <c r="F378" s="62" t="n"/>
      <c r="G378" s="62" t="n"/>
      <c r="H378" s="62" t="n"/>
      <c r="I378" s="62" t="n"/>
      <c r="J378" s="62" t="n"/>
      <c r="K378" s="62" t="n"/>
      <c r="L378" s="64" t="n"/>
      <c r="M378" s="64" t="n"/>
      <c r="N378" s="62" t="n"/>
      <c r="O378" s="65">
        <f>IF(Z378=1,L378-W378,"")</f>
        <v/>
      </c>
      <c r="P378" s="66">
        <f>IF(V378="","",IFERROR(INDEX(coa_Type,MATCH(V378,coa_Name,0)),""))</f>
        <v/>
      </c>
      <c r="Q378" s="66">
        <f>IF(Z378=1,IF(U378="In",K378&amp;"",V378),"")</f>
        <v/>
      </c>
      <c r="R378" s="66">
        <f>IF(Z378=1,IF(U378="In",V378,K378&amp;""),"")</f>
        <v/>
      </c>
      <c r="S378" s="66">
        <f>IF(X378&lt;&gt;"","⛔ "&amp;X378&amp;" — not posted",IF(Y378&lt;&gt;"","⚠ "&amp;Y378,IF(Z378=1,"✓ OK","")))</f>
        <v/>
      </c>
      <c r="T378" s="67">
        <f>IF(AND(C378="",D378="",E378="",L378="",K378=""),1,0)</f>
        <v/>
      </c>
      <c r="U378" s="67">
        <f>IFERROR(INDEX(tt_Dir,MATCH(D378,tt_Type,0)),"")</f>
        <v/>
      </c>
      <c r="V378" s="67">
        <f>IF(D378="","",IFERROR(IF(INDEX(tt_Other,MATCH(D378,tt_Type,0))="",E378&amp;"",INDEX(tt_Other,MATCH(D378,tt_Type,0))),""))</f>
        <v/>
      </c>
      <c r="W378" s="68">
        <f>IF(OR(TaxOn&lt;&gt;"Yes",NOT(ISNUMBER(M378))),0,IF(IFERROR(INDEX(tt_Tax,MATCH(D378,tt_Type,0)),"No")="Yes",M378,0))</f>
        <v/>
      </c>
      <c r="X378" s="67">
        <f>IF(T378=1,"",IF(C378="","Missing transaction date",IF(NOT(ISNUMBER(C378)),"Invalid date",IF(OR(C378&lt;DATE(2000,1,1),C378&gt;DATE(2099,12,31)),"Invalid date",IF(D378="","Select a type",IF(U378="","Unknown type: "&amp;D378,IF(V378="","Select an account (Category)",IF(ISNA(MATCH(V378,coa_Name,0)),"Unknown account: "&amp;V378,IF(K378="","Select Paid From / Deposited To",IF(ISNA(MATCH(K378,coa_Name,0)),"Unknown account: "&amp;K378,IF(NOT(ISNUMBER(L378)),"Enter an amount",IF(L378=0,"Enter an amount",IF(ABS(W378)&gt;ABS(L378),"Tax is larger than the amount","")))))))))))))</f>
        <v/>
      </c>
      <c r="Y378" s="67">
        <f>IF(OR(T378=1,X378&lt;&gt;""),"",IF(AND(B378&lt;&gt;"",COUNTIF(tx_ID,B378)&gt;1),"Duplicate transaction ID",IF(AND(L378&lt;0,D378&lt;&gt;"Adjustment"),"Negative amount — check this entry",IF(AND(D378="Customer Payment",G378=""),"Add the customer",IF(AND(D378="Customer Payment",OR(J378="",COUNTIF(ar_No,J378&amp;"")=0)),"Invoice # in Reference not found on AR sheet",IF(AND(D378="Bill Payment",H378=""),"Add the vendor",IF(AND(D378="Bill Payment",OR(J378="",COUNTIFS(ap_No,J378&amp;"",ap_Party,H378&amp;"")=0)),"Bill # + vendor not found on AP sheet",IF(AND(ISNUMBER(M378),N(M378)&lt;&gt;0,W378=0),"Tax ignored (tax tracking off, or not allowed for this type)",IF(V378=K378&amp;"","Same account on both sides",IF(AND(ISNUMBER(StartDate),C378&lt;StartDate),"Date is before the accounting start date",IF(AND(D378&lt;&gt;"Adjustment",IFERROR(INDEX(coa_Pay,MATCH(K378&amp;"",coa_Name,0)),"")&lt;&gt;"Yes"),"Paid From / Deposited To is not a payment account","")))))))))))</f>
        <v/>
      </c>
      <c r="Z378" s="67">
        <f>IF(AND(T378=0,X378=""),1,0)</f>
        <v/>
      </c>
      <c r="AA378" s="68">
        <f>IF(Z378=1,IF(U378="In",L378,L378-W378),0)</f>
        <v/>
      </c>
      <c r="AB378" s="68">
        <f>IF(Z378=1,IF(U378="In",L378-W378,L378),0)</f>
        <v/>
      </c>
      <c r="AC378" s="68">
        <f>IF(AND(Z378=1,U378="Out"),W378,0)</f>
        <v/>
      </c>
      <c r="AD378" s="68">
        <f>IF(AND(Z378=1,U378="In"),W378,0)</f>
        <v/>
      </c>
    </row>
    <row r="379">
      <c r="B379" s="62" t="inlineStr">
        <is>
          <t>TX-0373</t>
        </is>
      </c>
      <c r="C379" s="63" t="n"/>
      <c r="D379" s="62" t="n"/>
      <c r="E379" s="62" t="n"/>
      <c r="F379" s="62" t="n"/>
      <c r="G379" s="62" t="n"/>
      <c r="H379" s="62" t="n"/>
      <c r="I379" s="62" t="n"/>
      <c r="J379" s="62" t="n"/>
      <c r="K379" s="62" t="n"/>
      <c r="L379" s="64" t="n"/>
      <c r="M379" s="64" t="n"/>
      <c r="N379" s="62" t="n"/>
      <c r="O379" s="65">
        <f>IF(Z379=1,L379-W379,"")</f>
        <v/>
      </c>
      <c r="P379" s="66">
        <f>IF(V379="","",IFERROR(INDEX(coa_Type,MATCH(V379,coa_Name,0)),""))</f>
        <v/>
      </c>
      <c r="Q379" s="66">
        <f>IF(Z379=1,IF(U379="In",K379&amp;"",V379),"")</f>
        <v/>
      </c>
      <c r="R379" s="66">
        <f>IF(Z379=1,IF(U379="In",V379,K379&amp;""),"")</f>
        <v/>
      </c>
      <c r="S379" s="66">
        <f>IF(X379&lt;&gt;"","⛔ "&amp;X379&amp;" — not posted",IF(Y379&lt;&gt;"","⚠ "&amp;Y379,IF(Z379=1,"✓ OK","")))</f>
        <v/>
      </c>
      <c r="T379" s="67">
        <f>IF(AND(C379="",D379="",E379="",L379="",K379=""),1,0)</f>
        <v/>
      </c>
      <c r="U379" s="67">
        <f>IFERROR(INDEX(tt_Dir,MATCH(D379,tt_Type,0)),"")</f>
        <v/>
      </c>
      <c r="V379" s="67">
        <f>IF(D379="","",IFERROR(IF(INDEX(tt_Other,MATCH(D379,tt_Type,0))="",E379&amp;"",INDEX(tt_Other,MATCH(D379,tt_Type,0))),""))</f>
        <v/>
      </c>
      <c r="W379" s="68">
        <f>IF(OR(TaxOn&lt;&gt;"Yes",NOT(ISNUMBER(M379))),0,IF(IFERROR(INDEX(tt_Tax,MATCH(D379,tt_Type,0)),"No")="Yes",M379,0))</f>
        <v/>
      </c>
      <c r="X379" s="67">
        <f>IF(T379=1,"",IF(C379="","Missing transaction date",IF(NOT(ISNUMBER(C379)),"Invalid date",IF(OR(C379&lt;DATE(2000,1,1),C379&gt;DATE(2099,12,31)),"Invalid date",IF(D379="","Select a type",IF(U379="","Unknown type: "&amp;D379,IF(V379="","Select an account (Category)",IF(ISNA(MATCH(V379,coa_Name,0)),"Unknown account: "&amp;V379,IF(K379="","Select Paid From / Deposited To",IF(ISNA(MATCH(K379,coa_Name,0)),"Unknown account: "&amp;K379,IF(NOT(ISNUMBER(L379)),"Enter an amount",IF(L379=0,"Enter an amount",IF(ABS(W379)&gt;ABS(L379),"Tax is larger than the amount","")))))))))))))</f>
        <v/>
      </c>
      <c r="Y379" s="67">
        <f>IF(OR(T379=1,X379&lt;&gt;""),"",IF(AND(B379&lt;&gt;"",COUNTIF(tx_ID,B379)&gt;1),"Duplicate transaction ID",IF(AND(L379&lt;0,D379&lt;&gt;"Adjustment"),"Negative amount — check this entry",IF(AND(D379="Customer Payment",G379=""),"Add the customer",IF(AND(D379="Customer Payment",OR(J379="",COUNTIF(ar_No,J379&amp;"")=0)),"Invoice # in Reference not found on AR sheet",IF(AND(D379="Bill Payment",H379=""),"Add the vendor",IF(AND(D379="Bill Payment",OR(J379="",COUNTIFS(ap_No,J379&amp;"",ap_Party,H379&amp;"")=0)),"Bill # + vendor not found on AP sheet",IF(AND(ISNUMBER(M379),N(M379)&lt;&gt;0,W379=0),"Tax ignored (tax tracking off, or not allowed for this type)",IF(V379=K379&amp;"","Same account on both sides",IF(AND(ISNUMBER(StartDate),C379&lt;StartDate),"Date is before the accounting start date",IF(AND(D379&lt;&gt;"Adjustment",IFERROR(INDEX(coa_Pay,MATCH(K379&amp;"",coa_Name,0)),"")&lt;&gt;"Yes"),"Paid From / Deposited To is not a payment account","")))))))))))</f>
        <v/>
      </c>
      <c r="Z379" s="67">
        <f>IF(AND(T379=0,X379=""),1,0)</f>
        <v/>
      </c>
      <c r="AA379" s="68">
        <f>IF(Z379=1,IF(U379="In",L379,L379-W379),0)</f>
        <v/>
      </c>
      <c r="AB379" s="68">
        <f>IF(Z379=1,IF(U379="In",L379-W379,L379),0)</f>
        <v/>
      </c>
      <c r="AC379" s="68">
        <f>IF(AND(Z379=1,U379="Out"),W379,0)</f>
        <v/>
      </c>
      <c r="AD379" s="68">
        <f>IF(AND(Z379=1,U379="In"),W379,0)</f>
        <v/>
      </c>
    </row>
    <row r="380">
      <c r="B380" s="62" t="inlineStr">
        <is>
          <t>TX-0374</t>
        </is>
      </c>
      <c r="C380" s="63" t="n"/>
      <c r="D380" s="62" t="n"/>
      <c r="E380" s="62" t="n"/>
      <c r="F380" s="62" t="n"/>
      <c r="G380" s="62" t="n"/>
      <c r="H380" s="62" t="n"/>
      <c r="I380" s="62" t="n"/>
      <c r="J380" s="62" t="n"/>
      <c r="K380" s="62" t="n"/>
      <c r="L380" s="64" t="n"/>
      <c r="M380" s="64" t="n"/>
      <c r="N380" s="62" t="n"/>
      <c r="O380" s="65">
        <f>IF(Z380=1,L380-W380,"")</f>
        <v/>
      </c>
      <c r="P380" s="66">
        <f>IF(V380="","",IFERROR(INDEX(coa_Type,MATCH(V380,coa_Name,0)),""))</f>
        <v/>
      </c>
      <c r="Q380" s="66">
        <f>IF(Z380=1,IF(U380="In",K380&amp;"",V380),"")</f>
        <v/>
      </c>
      <c r="R380" s="66">
        <f>IF(Z380=1,IF(U380="In",V380,K380&amp;""),"")</f>
        <v/>
      </c>
      <c r="S380" s="66">
        <f>IF(X380&lt;&gt;"","⛔ "&amp;X380&amp;" — not posted",IF(Y380&lt;&gt;"","⚠ "&amp;Y380,IF(Z380=1,"✓ OK","")))</f>
        <v/>
      </c>
      <c r="T380" s="67">
        <f>IF(AND(C380="",D380="",E380="",L380="",K380=""),1,0)</f>
        <v/>
      </c>
      <c r="U380" s="67">
        <f>IFERROR(INDEX(tt_Dir,MATCH(D380,tt_Type,0)),"")</f>
        <v/>
      </c>
      <c r="V380" s="67">
        <f>IF(D380="","",IFERROR(IF(INDEX(tt_Other,MATCH(D380,tt_Type,0))="",E380&amp;"",INDEX(tt_Other,MATCH(D380,tt_Type,0))),""))</f>
        <v/>
      </c>
      <c r="W380" s="68">
        <f>IF(OR(TaxOn&lt;&gt;"Yes",NOT(ISNUMBER(M380))),0,IF(IFERROR(INDEX(tt_Tax,MATCH(D380,tt_Type,0)),"No")="Yes",M380,0))</f>
        <v/>
      </c>
      <c r="X380" s="67">
        <f>IF(T380=1,"",IF(C380="","Missing transaction date",IF(NOT(ISNUMBER(C380)),"Invalid date",IF(OR(C380&lt;DATE(2000,1,1),C380&gt;DATE(2099,12,31)),"Invalid date",IF(D380="","Select a type",IF(U380="","Unknown type: "&amp;D380,IF(V380="","Select an account (Category)",IF(ISNA(MATCH(V380,coa_Name,0)),"Unknown account: "&amp;V380,IF(K380="","Select Paid From / Deposited To",IF(ISNA(MATCH(K380,coa_Name,0)),"Unknown account: "&amp;K380,IF(NOT(ISNUMBER(L380)),"Enter an amount",IF(L380=0,"Enter an amount",IF(ABS(W380)&gt;ABS(L380),"Tax is larger than the amount","")))))))))))))</f>
        <v/>
      </c>
      <c r="Y380" s="67">
        <f>IF(OR(T380=1,X380&lt;&gt;""),"",IF(AND(B380&lt;&gt;"",COUNTIF(tx_ID,B380)&gt;1),"Duplicate transaction ID",IF(AND(L380&lt;0,D380&lt;&gt;"Adjustment"),"Negative amount — check this entry",IF(AND(D380="Customer Payment",G380=""),"Add the customer",IF(AND(D380="Customer Payment",OR(J380="",COUNTIF(ar_No,J380&amp;"")=0)),"Invoice # in Reference not found on AR sheet",IF(AND(D380="Bill Payment",H380=""),"Add the vendor",IF(AND(D380="Bill Payment",OR(J380="",COUNTIFS(ap_No,J380&amp;"",ap_Party,H380&amp;"")=0)),"Bill # + vendor not found on AP sheet",IF(AND(ISNUMBER(M380),N(M380)&lt;&gt;0,W380=0),"Tax ignored (tax tracking off, or not allowed for this type)",IF(V380=K380&amp;"","Same account on both sides",IF(AND(ISNUMBER(StartDate),C380&lt;StartDate),"Date is before the accounting start date",IF(AND(D380&lt;&gt;"Adjustment",IFERROR(INDEX(coa_Pay,MATCH(K380&amp;"",coa_Name,0)),"")&lt;&gt;"Yes"),"Paid From / Deposited To is not a payment account","")))))))))))</f>
        <v/>
      </c>
      <c r="Z380" s="67">
        <f>IF(AND(T380=0,X380=""),1,0)</f>
        <v/>
      </c>
      <c r="AA380" s="68">
        <f>IF(Z380=1,IF(U380="In",L380,L380-W380),0)</f>
        <v/>
      </c>
      <c r="AB380" s="68">
        <f>IF(Z380=1,IF(U380="In",L380-W380,L380),0)</f>
        <v/>
      </c>
      <c r="AC380" s="68">
        <f>IF(AND(Z380=1,U380="Out"),W380,0)</f>
        <v/>
      </c>
      <c r="AD380" s="68">
        <f>IF(AND(Z380=1,U380="In"),W380,0)</f>
        <v/>
      </c>
    </row>
    <row r="381">
      <c r="B381" s="62" t="inlineStr">
        <is>
          <t>TX-0375</t>
        </is>
      </c>
      <c r="C381" s="63" t="n"/>
      <c r="D381" s="62" t="n"/>
      <c r="E381" s="62" t="n"/>
      <c r="F381" s="62" t="n"/>
      <c r="G381" s="62" t="n"/>
      <c r="H381" s="62" t="n"/>
      <c r="I381" s="62" t="n"/>
      <c r="J381" s="62" t="n"/>
      <c r="K381" s="62" t="n"/>
      <c r="L381" s="64" t="n"/>
      <c r="M381" s="64" t="n"/>
      <c r="N381" s="62" t="n"/>
      <c r="O381" s="65">
        <f>IF(Z381=1,L381-W381,"")</f>
        <v/>
      </c>
      <c r="P381" s="66">
        <f>IF(V381="","",IFERROR(INDEX(coa_Type,MATCH(V381,coa_Name,0)),""))</f>
        <v/>
      </c>
      <c r="Q381" s="66">
        <f>IF(Z381=1,IF(U381="In",K381&amp;"",V381),"")</f>
        <v/>
      </c>
      <c r="R381" s="66">
        <f>IF(Z381=1,IF(U381="In",V381,K381&amp;""),"")</f>
        <v/>
      </c>
      <c r="S381" s="66">
        <f>IF(X381&lt;&gt;"","⛔ "&amp;X381&amp;" — not posted",IF(Y381&lt;&gt;"","⚠ "&amp;Y381,IF(Z381=1,"✓ OK","")))</f>
        <v/>
      </c>
      <c r="T381" s="67">
        <f>IF(AND(C381="",D381="",E381="",L381="",K381=""),1,0)</f>
        <v/>
      </c>
      <c r="U381" s="67">
        <f>IFERROR(INDEX(tt_Dir,MATCH(D381,tt_Type,0)),"")</f>
        <v/>
      </c>
      <c r="V381" s="67">
        <f>IF(D381="","",IFERROR(IF(INDEX(tt_Other,MATCH(D381,tt_Type,0))="",E381&amp;"",INDEX(tt_Other,MATCH(D381,tt_Type,0))),""))</f>
        <v/>
      </c>
      <c r="W381" s="68">
        <f>IF(OR(TaxOn&lt;&gt;"Yes",NOT(ISNUMBER(M381))),0,IF(IFERROR(INDEX(tt_Tax,MATCH(D381,tt_Type,0)),"No")="Yes",M381,0))</f>
        <v/>
      </c>
      <c r="X381" s="67">
        <f>IF(T381=1,"",IF(C381="","Missing transaction date",IF(NOT(ISNUMBER(C381)),"Invalid date",IF(OR(C381&lt;DATE(2000,1,1),C381&gt;DATE(2099,12,31)),"Invalid date",IF(D381="","Select a type",IF(U381="","Unknown type: "&amp;D381,IF(V381="","Select an account (Category)",IF(ISNA(MATCH(V381,coa_Name,0)),"Unknown account: "&amp;V381,IF(K381="","Select Paid From / Deposited To",IF(ISNA(MATCH(K381,coa_Name,0)),"Unknown account: "&amp;K381,IF(NOT(ISNUMBER(L381)),"Enter an amount",IF(L381=0,"Enter an amount",IF(ABS(W381)&gt;ABS(L381),"Tax is larger than the amount","")))))))))))))</f>
        <v/>
      </c>
      <c r="Y381" s="67">
        <f>IF(OR(T381=1,X381&lt;&gt;""),"",IF(AND(B381&lt;&gt;"",COUNTIF(tx_ID,B381)&gt;1),"Duplicate transaction ID",IF(AND(L381&lt;0,D381&lt;&gt;"Adjustment"),"Negative amount — check this entry",IF(AND(D381="Customer Payment",G381=""),"Add the customer",IF(AND(D381="Customer Payment",OR(J381="",COUNTIF(ar_No,J381&amp;"")=0)),"Invoice # in Reference not found on AR sheet",IF(AND(D381="Bill Payment",H381=""),"Add the vendor",IF(AND(D381="Bill Payment",OR(J381="",COUNTIFS(ap_No,J381&amp;"",ap_Party,H381&amp;"")=0)),"Bill # + vendor not found on AP sheet",IF(AND(ISNUMBER(M381),N(M381)&lt;&gt;0,W381=0),"Tax ignored (tax tracking off, or not allowed for this type)",IF(V381=K381&amp;"","Same account on both sides",IF(AND(ISNUMBER(StartDate),C381&lt;StartDate),"Date is before the accounting start date",IF(AND(D381&lt;&gt;"Adjustment",IFERROR(INDEX(coa_Pay,MATCH(K381&amp;"",coa_Name,0)),"")&lt;&gt;"Yes"),"Paid From / Deposited To is not a payment account","")))))))))))</f>
        <v/>
      </c>
      <c r="Z381" s="67">
        <f>IF(AND(T381=0,X381=""),1,0)</f>
        <v/>
      </c>
      <c r="AA381" s="68">
        <f>IF(Z381=1,IF(U381="In",L381,L381-W381),0)</f>
        <v/>
      </c>
      <c r="AB381" s="68">
        <f>IF(Z381=1,IF(U381="In",L381-W381,L381),0)</f>
        <v/>
      </c>
      <c r="AC381" s="68">
        <f>IF(AND(Z381=1,U381="Out"),W381,0)</f>
        <v/>
      </c>
      <c r="AD381" s="68">
        <f>IF(AND(Z381=1,U381="In"),W381,0)</f>
        <v/>
      </c>
    </row>
    <row r="382">
      <c r="B382" s="62" t="inlineStr">
        <is>
          <t>TX-0376</t>
        </is>
      </c>
      <c r="C382" s="63" t="n"/>
      <c r="D382" s="62" t="n"/>
      <c r="E382" s="62" t="n"/>
      <c r="F382" s="62" t="n"/>
      <c r="G382" s="62" t="n"/>
      <c r="H382" s="62" t="n"/>
      <c r="I382" s="62" t="n"/>
      <c r="J382" s="62" t="n"/>
      <c r="K382" s="62" t="n"/>
      <c r="L382" s="64" t="n"/>
      <c r="M382" s="64" t="n"/>
      <c r="N382" s="62" t="n"/>
      <c r="O382" s="65">
        <f>IF(Z382=1,L382-W382,"")</f>
        <v/>
      </c>
      <c r="P382" s="66">
        <f>IF(V382="","",IFERROR(INDEX(coa_Type,MATCH(V382,coa_Name,0)),""))</f>
        <v/>
      </c>
      <c r="Q382" s="66">
        <f>IF(Z382=1,IF(U382="In",K382&amp;"",V382),"")</f>
        <v/>
      </c>
      <c r="R382" s="66">
        <f>IF(Z382=1,IF(U382="In",V382,K382&amp;""),"")</f>
        <v/>
      </c>
      <c r="S382" s="66">
        <f>IF(X382&lt;&gt;"","⛔ "&amp;X382&amp;" — not posted",IF(Y382&lt;&gt;"","⚠ "&amp;Y382,IF(Z382=1,"✓ OK","")))</f>
        <v/>
      </c>
      <c r="T382" s="67">
        <f>IF(AND(C382="",D382="",E382="",L382="",K382=""),1,0)</f>
        <v/>
      </c>
      <c r="U382" s="67">
        <f>IFERROR(INDEX(tt_Dir,MATCH(D382,tt_Type,0)),"")</f>
        <v/>
      </c>
      <c r="V382" s="67">
        <f>IF(D382="","",IFERROR(IF(INDEX(tt_Other,MATCH(D382,tt_Type,0))="",E382&amp;"",INDEX(tt_Other,MATCH(D382,tt_Type,0))),""))</f>
        <v/>
      </c>
      <c r="W382" s="68">
        <f>IF(OR(TaxOn&lt;&gt;"Yes",NOT(ISNUMBER(M382))),0,IF(IFERROR(INDEX(tt_Tax,MATCH(D382,tt_Type,0)),"No")="Yes",M382,0))</f>
        <v/>
      </c>
      <c r="X382" s="67">
        <f>IF(T382=1,"",IF(C382="","Missing transaction date",IF(NOT(ISNUMBER(C382)),"Invalid date",IF(OR(C382&lt;DATE(2000,1,1),C382&gt;DATE(2099,12,31)),"Invalid date",IF(D382="","Select a type",IF(U382="","Unknown type: "&amp;D382,IF(V382="","Select an account (Category)",IF(ISNA(MATCH(V382,coa_Name,0)),"Unknown account: "&amp;V382,IF(K382="","Select Paid From / Deposited To",IF(ISNA(MATCH(K382,coa_Name,0)),"Unknown account: "&amp;K382,IF(NOT(ISNUMBER(L382)),"Enter an amount",IF(L382=0,"Enter an amount",IF(ABS(W382)&gt;ABS(L382),"Tax is larger than the amount","")))))))))))))</f>
        <v/>
      </c>
      <c r="Y382" s="67">
        <f>IF(OR(T382=1,X382&lt;&gt;""),"",IF(AND(B382&lt;&gt;"",COUNTIF(tx_ID,B382)&gt;1),"Duplicate transaction ID",IF(AND(L382&lt;0,D382&lt;&gt;"Adjustment"),"Negative amount — check this entry",IF(AND(D382="Customer Payment",G382=""),"Add the customer",IF(AND(D382="Customer Payment",OR(J382="",COUNTIF(ar_No,J382&amp;"")=0)),"Invoice # in Reference not found on AR sheet",IF(AND(D382="Bill Payment",H382=""),"Add the vendor",IF(AND(D382="Bill Payment",OR(J382="",COUNTIFS(ap_No,J382&amp;"",ap_Party,H382&amp;"")=0)),"Bill # + vendor not found on AP sheet",IF(AND(ISNUMBER(M382),N(M382)&lt;&gt;0,W382=0),"Tax ignored (tax tracking off, or not allowed for this type)",IF(V382=K382&amp;"","Same account on both sides",IF(AND(ISNUMBER(StartDate),C382&lt;StartDate),"Date is before the accounting start date",IF(AND(D382&lt;&gt;"Adjustment",IFERROR(INDEX(coa_Pay,MATCH(K382&amp;"",coa_Name,0)),"")&lt;&gt;"Yes"),"Paid From / Deposited To is not a payment account","")))))))))))</f>
        <v/>
      </c>
      <c r="Z382" s="67">
        <f>IF(AND(T382=0,X382=""),1,0)</f>
        <v/>
      </c>
      <c r="AA382" s="68">
        <f>IF(Z382=1,IF(U382="In",L382,L382-W382),0)</f>
        <v/>
      </c>
      <c r="AB382" s="68">
        <f>IF(Z382=1,IF(U382="In",L382-W382,L382),0)</f>
        <v/>
      </c>
      <c r="AC382" s="68">
        <f>IF(AND(Z382=1,U382="Out"),W382,0)</f>
        <v/>
      </c>
      <c r="AD382" s="68">
        <f>IF(AND(Z382=1,U382="In"),W382,0)</f>
        <v/>
      </c>
    </row>
    <row r="383">
      <c r="B383" s="62" t="inlineStr">
        <is>
          <t>TX-0377</t>
        </is>
      </c>
      <c r="C383" s="63" t="n"/>
      <c r="D383" s="62" t="n"/>
      <c r="E383" s="62" t="n"/>
      <c r="F383" s="62" t="n"/>
      <c r="G383" s="62" t="n"/>
      <c r="H383" s="62" t="n"/>
      <c r="I383" s="62" t="n"/>
      <c r="J383" s="62" t="n"/>
      <c r="K383" s="62" t="n"/>
      <c r="L383" s="64" t="n"/>
      <c r="M383" s="64" t="n"/>
      <c r="N383" s="62" t="n"/>
      <c r="O383" s="65">
        <f>IF(Z383=1,L383-W383,"")</f>
        <v/>
      </c>
      <c r="P383" s="66">
        <f>IF(V383="","",IFERROR(INDEX(coa_Type,MATCH(V383,coa_Name,0)),""))</f>
        <v/>
      </c>
      <c r="Q383" s="66">
        <f>IF(Z383=1,IF(U383="In",K383&amp;"",V383),"")</f>
        <v/>
      </c>
      <c r="R383" s="66">
        <f>IF(Z383=1,IF(U383="In",V383,K383&amp;""),"")</f>
        <v/>
      </c>
      <c r="S383" s="66">
        <f>IF(X383&lt;&gt;"","⛔ "&amp;X383&amp;" — not posted",IF(Y383&lt;&gt;"","⚠ "&amp;Y383,IF(Z383=1,"✓ OK","")))</f>
        <v/>
      </c>
      <c r="T383" s="67">
        <f>IF(AND(C383="",D383="",E383="",L383="",K383=""),1,0)</f>
        <v/>
      </c>
      <c r="U383" s="67">
        <f>IFERROR(INDEX(tt_Dir,MATCH(D383,tt_Type,0)),"")</f>
        <v/>
      </c>
      <c r="V383" s="67">
        <f>IF(D383="","",IFERROR(IF(INDEX(tt_Other,MATCH(D383,tt_Type,0))="",E383&amp;"",INDEX(tt_Other,MATCH(D383,tt_Type,0))),""))</f>
        <v/>
      </c>
      <c r="W383" s="68">
        <f>IF(OR(TaxOn&lt;&gt;"Yes",NOT(ISNUMBER(M383))),0,IF(IFERROR(INDEX(tt_Tax,MATCH(D383,tt_Type,0)),"No")="Yes",M383,0))</f>
        <v/>
      </c>
      <c r="X383" s="67">
        <f>IF(T383=1,"",IF(C383="","Missing transaction date",IF(NOT(ISNUMBER(C383)),"Invalid date",IF(OR(C383&lt;DATE(2000,1,1),C383&gt;DATE(2099,12,31)),"Invalid date",IF(D383="","Select a type",IF(U383="","Unknown type: "&amp;D383,IF(V383="","Select an account (Category)",IF(ISNA(MATCH(V383,coa_Name,0)),"Unknown account: "&amp;V383,IF(K383="","Select Paid From / Deposited To",IF(ISNA(MATCH(K383,coa_Name,0)),"Unknown account: "&amp;K383,IF(NOT(ISNUMBER(L383)),"Enter an amount",IF(L383=0,"Enter an amount",IF(ABS(W383)&gt;ABS(L383),"Tax is larger than the amount","")))))))))))))</f>
        <v/>
      </c>
      <c r="Y383" s="67">
        <f>IF(OR(T383=1,X383&lt;&gt;""),"",IF(AND(B383&lt;&gt;"",COUNTIF(tx_ID,B383)&gt;1),"Duplicate transaction ID",IF(AND(L383&lt;0,D383&lt;&gt;"Adjustment"),"Negative amount — check this entry",IF(AND(D383="Customer Payment",G383=""),"Add the customer",IF(AND(D383="Customer Payment",OR(J383="",COUNTIF(ar_No,J383&amp;"")=0)),"Invoice # in Reference not found on AR sheet",IF(AND(D383="Bill Payment",H383=""),"Add the vendor",IF(AND(D383="Bill Payment",OR(J383="",COUNTIFS(ap_No,J383&amp;"",ap_Party,H383&amp;"")=0)),"Bill # + vendor not found on AP sheet",IF(AND(ISNUMBER(M383),N(M383)&lt;&gt;0,W383=0),"Tax ignored (tax tracking off, or not allowed for this type)",IF(V383=K383&amp;"","Same account on both sides",IF(AND(ISNUMBER(StartDate),C383&lt;StartDate),"Date is before the accounting start date",IF(AND(D383&lt;&gt;"Adjustment",IFERROR(INDEX(coa_Pay,MATCH(K383&amp;"",coa_Name,0)),"")&lt;&gt;"Yes"),"Paid From / Deposited To is not a payment account","")))))))))))</f>
        <v/>
      </c>
      <c r="Z383" s="67">
        <f>IF(AND(T383=0,X383=""),1,0)</f>
        <v/>
      </c>
      <c r="AA383" s="68">
        <f>IF(Z383=1,IF(U383="In",L383,L383-W383),0)</f>
        <v/>
      </c>
      <c r="AB383" s="68">
        <f>IF(Z383=1,IF(U383="In",L383-W383,L383),0)</f>
        <v/>
      </c>
      <c r="AC383" s="68">
        <f>IF(AND(Z383=1,U383="Out"),W383,0)</f>
        <v/>
      </c>
      <c r="AD383" s="68">
        <f>IF(AND(Z383=1,U383="In"),W383,0)</f>
        <v/>
      </c>
    </row>
    <row r="384">
      <c r="B384" s="62" t="inlineStr">
        <is>
          <t>TX-0378</t>
        </is>
      </c>
      <c r="C384" s="63" t="n"/>
      <c r="D384" s="62" t="n"/>
      <c r="E384" s="62" t="n"/>
      <c r="F384" s="62" t="n"/>
      <c r="G384" s="62" t="n"/>
      <c r="H384" s="62" t="n"/>
      <c r="I384" s="62" t="n"/>
      <c r="J384" s="62" t="n"/>
      <c r="K384" s="62" t="n"/>
      <c r="L384" s="64" t="n"/>
      <c r="M384" s="64" t="n"/>
      <c r="N384" s="62" t="n"/>
      <c r="O384" s="65">
        <f>IF(Z384=1,L384-W384,"")</f>
        <v/>
      </c>
      <c r="P384" s="66">
        <f>IF(V384="","",IFERROR(INDEX(coa_Type,MATCH(V384,coa_Name,0)),""))</f>
        <v/>
      </c>
      <c r="Q384" s="66">
        <f>IF(Z384=1,IF(U384="In",K384&amp;"",V384),"")</f>
        <v/>
      </c>
      <c r="R384" s="66">
        <f>IF(Z384=1,IF(U384="In",V384,K384&amp;""),"")</f>
        <v/>
      </c>
      <c r="S384" s="66">
        <f>IF(X384&lt;&gt;"","⛔ "&amp;X384&amp;" — not posted",IF(Y384&lt;&gt;"","⚠ "&amp;Y384,IF(Z384=1,"✓ OK","")))</f>
        <v/>
      </c>
      <c r="T384" s="67">
        <f>IF(AND(C384="",D384="",E384="",L384="",K384=""),1,0)</f>
        <v/>
      </c>
      <c r="U384" s="67">
        <f>IFERROR(INDEX(tt_Dir,MATCH(D384,tt_Type,0)),"")</f>
        <v/>
      </c>
      <c r="V384" s="67">
        <f>IF(D384="","",IFERROR(IF(INDEX(tt_Other,MATCH(D384,tt_Type,0))="",E384&amp;"",INDEX(tt_Other,MATCH(D384,tt_Type,0))),""))</f>
        <v/>
      </c>
      <c r="W384" s="68">
        <f>IF(OR(TaxOn&lt;&gt;"Yes",NOT(ISNUMBER(M384))),0,IF(IFERROR(INDEX(tt_Tax,MATCH(D384,tt_Type,0)),"No")="Yes",M384,0))</f>
        <v/>
      </c>
      <c r="X384" s="67">
        <f>IF(T384=1,"",IF(C384="","Missing transaction date",IF(NOT(ISNUMBER(C384)),"Invalid date",IF(OR(C384&lt;DATE(2000,1,1),C384&gt;DATE(2099,12,31)),"Invalid date",IF(D384="","Select a type",IF(U384="","Unknown type: "&amp;D384,IF(V384="","Select an account (Category)",IF(ISNA(MATCH(V384,coa_Name,0)),"Unknown account: "&amp;V384,IF(K384="","Select Paid From / Deposited To",IF(ISNA(MATCH(K384,coa_Name,0)),"Unknown account: "&amp;K384,IF(NOT(ISNUMBER(L384)),"Enter an amount",IF(L384=0,"Enter an amount",IF(ABS(W384)&gt;ABS(L384),"Tax is larger than the amount","")))))))))))))</f>
        <v/>
      </c>
      <c r="Y384" s="67">
        <f>IF(OR(T384=1,X384&lt;&gt;""),"",IF(AND(B384&lt;&gt;"",COUNTIF(tx_ID,B384)&gt;1),"Duplicate transaction ID",IF(AND(L384&lt;0,D384&lt;&gt;"Adjustment"),"Negative amount — check this entry",IF(AND(D384="Customer Payment",G384=""),"Add the customer",IF(AND(D384="Customer Payment",OR(J384="",COUNTIF(ar_No,J384&amp;"")=0)),"Invoice # in Reference not found on AR sheet",IF(AND(D384="Bill Payment",H384=""),"Add the vendor",IF(AND(D384="Bill Payment",OR(J384="",COUNTIFS(ap_No,J384&amp;"",ap_Party,H384&amp;"")=0)),"Bill # + vendor not found on AP sheet",IF(AND(ISNUMBER(M384),N(M384)&lt;&gt;0,W384=0),"Tax ignored (tax tracking off, or not allowed for this type)",IF(V384=K384&amp;"","Same account on both sides",IF(AND(ISNUMBER(StartDate),C384&lt;StartDate),"Date is before the accounting start date",IF(AND(D384&lt;&gt;"Adjustment",IFERROR(INDEX(coa_Pay,MATCH(K384&amp;"",coa_Name,0)),"")&lt;&gt;"Yes"),"Paid From / Deposited To is not a payment account","")))))))))))</f>
        <v/>
      </c>
      <c r="Z384" s="67">
        <f>IF(AND(T384=0,X384=""),1,0)</f>
        <v/>
      </c>
      <c r="AA384" s="68">
        <f>IF(Z384=1,IF(U384="In",L384,L384-W384),0)</f>
        <v/>
      </c>
      <c r="AB384" s="68">
        <f>IF(Z384=1,IF(U384="In",L384-W384,L384),0)</f>
        <v/>
      </c>
      <c r="AC384" s="68">
        <f>IF(AND(Z384=1,U384="Out"),W384,0)</f>
        <v/>
      </c>
      <c r="AD384" s="68">
        <f>IF(AND(Z384=1,U384="In"),W384,0)</f>
        <v/>
      </c>
    </row>
    <row r="385">
      <c r="B385" s="62" t="inlineStr">
        <is>
          <t>TX-0379</t>
        </is>
      </c>
      <c r="C385" s="63" t="n"/>
      <c r="D385" s="62" t="n"/>
      <c r="E385" s="62" t="n"/>
      <c r="F385" s="62" t="n"/>
      <c r="G385" s="62" t="n"/>
      <c r="H385" s="62" t="n"/>
      <c r="I385" s="62" t="n"/>
      <c r="J385" s="62" t="n"/>
      <c r="K385" s="62" t="n"/>
      <c r="L385" s="64" t="n"/>
      <c r="M385" s="64" t="n"/>
      <c r="N385" s="62" t="n"/>
      <c r="O385" s="65">
        <f>IF(Z385=1,L385-W385,"")</f>
        <v/>
      </c>
      <c r="P385" s="66">
        <f>IF(V385="","",IFERROR(INDEX(coa_Type,MATCH(V385,coa_Name,0)),""))</f>
        <v/>
      </c>
      <c r="Q385" s="66">
        <f>IF(Z385=1,IF(U385="In",K385&amp;"",V385),"")</f>
        <v/>
      </c>
      <c r="R385" s="66">
        <f>IF(Z385=1,IF(U385="In",V385,K385&amp;""),"")</f>
        <v/>
      </c>
      <c r="S385" s="66">
        <f>IF(X385&lt;&gt;"","⛔ "&amp;X385&amp;" — not posted",IF(Y385&lt;&gt;"","⚠ "&amp;Y385,IF(Z385=1,"✓ OK","")))</f>
        <v/>
      </c>
      <c r="T385" s="67">
        <f>IF(AND(C385="",D385="",E385="",L385="",K385=""),1,0)</f>
        <v/>
      </c>
      <c r="U385" s="67">
        <f>IFERROR(INDEX(tt_Dir,MATCH(D385,tt_Type,0)),"")</f>
        <v/>
      </c>
      <c r="V385" s="67">
        <f>IF(D385="","",IFERROR(IF(INDEX(tt_Other,MATCH(D385,tt_Type,0))="",E385&amp;"",INDEX(tt_Other,MATCH(D385,tt_Type,0))),""))</f>
        <v/>
      </c>
      <c r="W385" s="68">
        <f>IF(OR(TaxOn&lt;&gt;"Yes",NOT(ISNUMBER(M385))),0,IF(IFERROR(INDEX(tt_Tax,MATCH(D385,tt_Type,0)),"No")="Yes",M385,0))</f>
        <v/>
      </c>
      <c r="X385" s="67">
        <f>IF(T385=1,"",IF(C385="","Missing transaction date",IF(NOT(ISNUMBER(C385)),"Invalid date",IF(OR(C385&lt;DATE(2000,1,1),C385&gt;DATE(2099,12,31)),"Invalid date",IF(D385="","Select a type",IF(U385="","Unknown type: "&amp;D385,IF(V385="","Select an account (Category)",IF(ISNA(MATCH(V385,coa_Name,0)),"Unknown account: "&amp;V385,IF(K385="","Select Paid From / Deposited To",IF(ISNA(MATCH(K385,coa_Name,0)),"Unknown account: "&amp;K385,IF(NOT(ISNUMBER(L385)),"Enter an amount",IF(L385=0,"Enter an amount",IF(ABS(W385)&gt;ABS(L385),"Tax is larger than the amount","")))))))))))))</f>
        <v/>
      </c>
      <c r="Y385" s="67">
        <f>IF(OR(T385=1,X385&lt;&gt;""),"",IF(AND(B385&lt;&gt;"",COUNTIF(tx_ID,B385)&gt;1),"Duplicate transaction ID",IF(AND(L385&lt;0,D385&lt;&gt;"Adjustment"),"Negative amount — check this entry",IF(AND(D385="Customer Payment",G385=""),"Add the customer",IF(AND(D385="Customer Payment",OR(J385="",COUNTIF(ar_No,J385&amp;"")=0)),"Invoice # in Reference not found on AR sheet",IF(AND(D385="Bill Payment",H385=""),"Add the vendor",IF(AND(D385="Bill Payment",OR(J385="",COUNTIFS(ap_No,J385&amp;"",ap_Party,H385&amp;"")=0)),"Bill # + vendor not found on AP sheet",IF(AND(ISNUMBER(M385),N(M385)&lt;&gt;0,W385=0),"Tax ignored (tax tracking off, or not allowed for this type)",IF(V385=K385&amp;"","Same account on both sides",IF(AND(ISNUMBER(StartDate),C385&lt;StartDate),"Date is before the accounting start date",IF(AND(D385&lt;&gt;"Adjustment",IFERROR(INDEX(coa_Pay,MATCH(K385&amp;"",coa_Name,0)),"")&lt;&gt;"Yes"),"Paid From / Deposited To is not a payment account","")))))))))))</f>
        <v/>
      </c>
      <c r="Z385" s="67">
        <f>IF(AND(T385=0,X385=""),1,0)</f>
        <v/>
      </c>
      <c r="AA385" s="68">
        <f>IF(Z385=1,IF(U385="In",L385,L385-W385),0)</f>
        <v/>
      </c>
      <c r="AB385" s="68">
        <f>IF(Z385=1,IF(U385="In",L385-W385,L385),0)</f>
        <v/>
      </c>
      <c r="AC385" s="68">
        <f>IF(AND(Z385=1,U385="Out"),W385,0)</f>
        <v/>
      </c>
      <c r="AD385" s="68">
        <f>IF(AND(Z385=1,U385="In"),W385,0)</f>
        <v/>
      </c>
    </row>
    <row r="386">
      <c r="B386" s="62" t="inlineStr">
        <is>
          <t>TX-0380</t>
        </is>
      </c>
      <c r="C386" s="63" t="n"/>
      <c r="D386" s="62" t="n"/>
      <c r="E386" s="62" t="n"/>
      <c r="F386" s="62" t="n"/>
      <c r="G386" s="62" t="n"/>
      <c r="H386" s="62" t="n"/>
      <c r="I386" s="62" t="n"/>
      <c r="J386" s="62" t="n"/>
      <c r="K386" s="62" t="n"/>
      <c r="L386" s="64" t="n"/>
      <c r="M386" s="64" t="n"/>
      <c r="N386" s="62" t="n"/>
      <c r="O386" s="65">
        <f>IF(Z386=1,L386-W386,"")</f>
        <v/>
      </c>
      <c r="P386" s="66">
        <f>IF(V386="","",IFERROR(INDEX(coa_Type,MATCH(V386,coa_Name,0)),""))</f>
        <v/>
      </c>
      <c r="Q386" s="66">
        <f>IF(Z386=1,IF(U386="In",K386&amp;"",V386),"")</f>
        <v/>
      </c>
      <c r="R386" s="66">
        <f>IF(Z386=1,IF(U386="In",V386,K386&amp;""),"")</f>
        <v/>
      </c>
      <c r="S386" s="66">
        <f>IF(X386&lt;&gt;"","⛔ "&amp;X386&amp;" — not posted",IF(Y386&lt;&gt;"","⚠ "&amp;Y386,IF(Z386=1,"✓ OK","")))</f>
        <v/>
      </c>
      <c r="T386" s="67">
        <f>IF(AND(C386="",D386="",E386="",L386="",K386=""),1,0)</f>
        <v/>
      </c>
      <c r="U386" s="67">
        <f>IFERROR(INDEX(tt_Dir,MATCH(D386,tt_Type,0)),"")</f>
        <v/>
      </c>
      <c r="V386" s="67">
        <f>IF(D386="","",IFERROR(IF(INDEX(tt_Other,MATCH(D386,tt_Type,0))="",E386&amp;"",INDEX(tt_Other,MATCH(D386,tt_Type,0))),""))</f>
        <v/>
      </c>
      <c r="W386" s="68">
        <f>IF(OR(TaxOn&lt;&gt;"Yes",NOT(ISNUMBER(M386))),0,IF(IFERROR(INDEX(tt_Tax,MATCH(D386,tt_Type,0)),"No")="Yes",M386,0))</f>
        <v/>
      </c>
      <c r="X386" s="67">
        <f>IF(T386=1,"",IF(C386="","Missing transaction date",IF(NOT(ISNUMBER(C386)),"Invalid date",IF(OR(C386&lt;DATE(2000,1,1),C386&gt;DATE(2099,12,31)),"Invalid date",IF(D386="","Select a type",IF(U386="","Unknown type: "&amp;D386,IF(V386="","Select an account (Category)",IF(ISNA(MATCH(V386,coa_Name,0)),"Unknown account: "&amp;V386,IF(K386="","Select Paid From / Deposited To",IF(ISNA(MATCH(K386,coa_Name,0)),"Unknown account: "&amp;K386,IF(NOT(ISNUMBER(L386)),"Enter an amount",IF(L386=0,"Enter an amount",IF(ABS(W386)&gt;ABS(L386),"Tax is larger than the amount","")))))))))))))</f>
        <v/>
      </c>
      <c r="Y386" s="67">
        <f>IF(OR(T386=1,X386&lt;&gt;""),"",IF(AND(B386&lt;&gt;"",COUNTIF(tx_ID,B386)&gt;1),"Duplicate transaction ID",IF(AND(L386&lt;0,D386&lt;&gt;"Adjustment"),"Negative amount — check this entry",IF(AND(D386="Customer Payment",G386=""),"Add the customer",IF(AND(D386="Customer Payment",OR(J386="",COUNTIF(ar_No,J386&amp;"")=0)),"Invoice # in Reference not found on AR sheet",IF(AND(D386="Bill Payment",H386=""),"Add the vendor",IF(AND(D386="Bill Payment",OR(J386="",COUNTIFS(ap_No,J386&amp;"",ap_Party,H386&amp;"")=0)),"Bill # + vendor not found on AP sheet",IF(AND(ISNUMBER(M386),N(M386)&lt;&gt;0,W386=0),"Tax ignored (tax tracking off, or not allowed for this type)",IF(V386=K386&amp;"","Same account on both sides",IF(AND(ISNUMBER(StartDate),C386&lt;StartDate),"Date is before the accounting start date",IF(AND(D386&lt;&gt;"Adjustment",IFERROR(INDEX(coa_Pay,MATCH(K386&amp;"",coa_Name,0)),"")&lt;&gt;"Yes"),"Paid From / Deposited To is not a payment account","")))))))))))</f>
        <v/>
      </c>
      <c r="Z386" s="67">
        <f>IF(AND(T386=0,X386=""),1,0)</f>
        <v/>
      </c>
      <c r="AA386" s="68">
        <f>IF(Z386=1,IF(U386="In",L386,L386-W386),0)</f>
        <v/>
      </c>
      <c r="AB386" s="68">
        <f>IF(Z386=1,IF(U386="In",L386-W386,L386),0)</f>
        <v/>
      </c>
      <c r="AC386" s="68">
        <f>IF(AND(Z386=1,U386="Out"),W386,0)</f>
        <v/>
      </c>
      <c r="AD386" s="68">
        <f>IF(AND(Z386=1,U386="In"),W386,0)</f>
        <v/>
      </c>
    </row>
    <row r="387">
      <c r="B387" s="62" t="inlineStr">
        <is>
          <t>TX-0381</t>
        </is>
      </c>
      <c r="C387" s="63" t="n"/>
      <c r="D387" s="62" t="n"/>
      <c r="E387" s="62" t="n"/>
      <c r="F387" s="62" t="n"/>
      <c r="G387" s="62" t="n"/>
      <c r="H387" s="62" t="n"/>
      <c r="I387" s="62" t="n"/>
      <c r="J387" s="62" t="n"/>
      <c r="K387" s="62" t="n"/>
      <c r="L387" s="64" t="n"/>
      <c r="M387" s="64" t="n"/>
      <c r="N387" s="62" t="n"/>
      <c r="O387" s="65">
        <f>IF(Z387=1,L387-W387,"")</f>
        <v/>
      </c>
      <c r="P387" s="66">
        <f>IF(V387="","",IFERROR(INDEX(coa_Type,MATCH(V387,coa_Name,0)),""))</f>
        <v/>
      </c>
      <c r="Q387" s="66">
        <f>IF(Z387=1,IF(U387="In",K387&amp;"",V387),"")</f>
        <v/>
      </c>
      <c r="R387" s="66">
        <f>IF(Z387=1,IF(U387="In",V387,K387&amp;""),"")</f>
        <v/>
      </c>
      <c r="S387" s="66">
        <f>IF(X387&lt;&gt;"","⛔ "&amp;X387&amp;" — not posted",IF(Y387&lt;&gt;"","⚠ "&amp;Y387,IF(Z387=1,"✓ OK","")))</f>
        <v/>
      </c>
      <c r="T387" s="67">
        <f>IF(AND(C387="",D387="",E387="",L387="",K387=""),1,0)</f>
        <v/>
      </c>
      <c r="U387" s="67">
        <f>IFERROR(INDEX(tt_Dir,MATCH(D387,tt_Type,0)),"")</f>
        <v/>
      </c>
      <c r="V387" s="67">
        <f>IF(D387="","",IFERROR(IF(INDEX(tt_Other,MATCH(D387,tt_Type,0))="",E387&amp;"",INDEX(tt_Other,MATCH(D387,tt_Type,0))),""))</f>
        <v/>
      </c>
      <c r="W387" s="68">
        <f>IF(OR(TaxOn&lt;&gt;"Yes",NOT(ISNUMBER(M387))),0,IF(IFERROR(INDEX(tt_Tax,MATCH(D387,tt_Type,0)),"No")="Yes",M387,0))</f>
        <v/>
      </c>
      <c r="X387" s="67">
        <f>IF(T387=1,"",IF(C387="","Missing transaction date",IF(NOT(ISNUMBER(C387)),"Invalid date",IF(OR(C387&lt;DATE(2000,1,1),C387&gt;DATE(2099,12,31)),"Invalid date",IF(D387="","Select a type",IF(U387="","Unknown type: "&amp;D387,IF(V387="","Select an account (Category)",IF(ISNA(MATCH(V387,coa_Name,0)),"Unknown account: "&amp;V387,IF(K387="","Select Paid From / Deposited To",IF(ISNA(MATCH(K387,coa_Name,0)),"Unknown account: "&amp;K387,IF(NOT(ISNUMBER(L387)),"Enter an amount",IF(L387=0,"Enter an amount",IF(ABS(W387)&gt;ABS(L387),"Tax is larger than the amount","")))))))))))))</f>
        <v/>
      </c>
      <c r="Y387" s="67">
        <f>IF(OR(T387=1,X387&lt;&gt;""),"",IF(AND(B387&lt;&gt;"",COUNTIF(tx_ID,B387)&gt;1),"Duplicate transaction ID",IF(AND(L387&lt;0,D387&lt;&gt;"Adjustment"),"Negative amount — check this entry",IF(AND(D387="Customer Payment",G387=""),"Add the customer",IF(AND(D387="Customer Payment",OR(J387="",COUNTIF(ar_No,J387&amp;"")=0)),"Invoice # in Reference not found on AR sheet",IF(AND(D387="Bill Payment",H387=""),"Add the vendor",IF(AND(D387="Bill Payment",OR(J387="",COUNTIFS(ap_No,J387&amp;"",ap_Party,H387&amp;"")=0)),"Bill # + vendor not found on AP sheet",IF(AND(ISNUMBER(M387),N(M387)&lt;&gt;0,W387=0),"Tax ignored (tax tracking off, or not allowed for this type)",IF(V387=K387&amp;"","Same account on both sides",IF(AND(ISNUMBER(StartDate),C387&lt;StartDate),"Date is before the accounting start date",IF(AND(D387&lt;&gt;"Adjustment",IFERROR(INDEX(coa_Pay,MATCH(K387&amp;"",coa_Name,0)),"")&lt;&gt;"Yes"),"Paid From / Deposited To is not a payment account","")))))))))))</f>
        <v/>
      </c>
      <c r="Z387" s="67">
        <f>IF(AND(T387=0,X387=""),1,0)</f>
        <v/>
      </c>
      <c r="AA387" s="68">
        <f>IF(Z387=1,IF(U387="In",L387,L387-W387),0)</f>
        <v/>
      </c>
      <c r="AB387" s="68">
        <f>IF(Z387=1,IF(U387="In",L387-W387,L387),0)</f>
        <v/>
      </c>
      <c r="AC387" s="68">
        <f>IF(AND(Z387=1,U387="Out"),W387,0)</f>
        <v/>
      </c>
      <c r="AD387" s="68">
        <f>IF(AND(Z387=1,U387="In"),W387,0)</f>
        <v/>
      </c>
    </row>
    <row r="388">
      <c r="B388" s="62" t="inlineStr">
        <is>
          <t>TX-0382</t>
        </is>
      </c>
      <c r="C388" s="63" t="n"/>
      <c r="D388" s="62" t="n"/>
      <c r="E388" s="62" t="n"/>
      <c r="F388" s="62" t="n"/>
      <c r="G388" s="62" t="n"/>
      <c r="H388" s="62" t="n"/>
      <c r="I388" s="62" t="n"/>
      <c r="J388" s="62" t="n"/>
      <c r="K388" s="62" t="n"/>
      <c r="L388" s="64" t="n"/>
      <c r="M388" s="64" t="n"/>
      <c r="N388" s="62" t="n"/>
      <c r="O388" s="65">
        <f>IF(Z388=1,L388-W388,"")</f>
        <v/>
      </c>
      <c r="P388" s="66">
        <f>IF(V388="","",IFERROR(INDEX(coa_Type,MATCH(V388,coa_Name,0)),""))</f>
        <v/>
      </c>
      <c r="Q388" s="66">
        <f>IF(Z388=1,IF(U388="In",K388&amp;"",V388),"")</f>
        <v/>
      </c>
      <c r="R388" s="66">
        <f>IF(Z388=1,IF(U388="In",V388,K388&amp;""),"")</f>
        <v/>
      </c>
      <c r="S388" s="66">
        <f>IF(X388&lt;&gt;"","⛔ "&amp;X388&amp;" — not posted",IF(Y388&lt;&gt;"","⚠ "&amp;Y388,IF(Z388=1,"✓ OK","")))</f>
        <v/>
      </c>
      <c r="T388" s="67">
        <f>IF(AND(C388="",D388="",E388="",L388="",K388=""),1,0)</f>
        <v/>
      </c>
      <c r="U388" s="67">
        <f>IFERROR(INDEX(tt_Dir,MATCH(D388,tt_Type,0)),"")</f>
        <v/>
      </c>
      <c r="V388" s="67">
        <f>IF(D388="","",IFERROR(IF(INDEX(tt_Other,MATCH(D388,tt_Type,0))="",E388&amp;"",INDEX(tt_Other,MATCH(D388,tt_Type,0))),""))</f>
        <v/>
      </c>
      <c r="W388" s="68">
        <f>IF(OR(TaxOn&lt;&gt;"Yes",NOT(ISNUMBER(M388))),0,IF(IFERROR(INDEX(tt_Tax,MATCH(D388,tt_Type,0)),"No")="Yes",M388,0))</f>
        <v/>
      </c>
      <c r="X388" s="67">
        <f>IF(T388=1,"",IF(C388="","Missing transaction date",IF(NOT(ISNUMBER(C388)),"Invalid date",IF(OR(C388&lt;DATE(2000,1,1),C388&gt;DATE(2099,12,31)),"Invalid date",IF(D388="","Select a type",IF(U388="","Unknown type: "&amp;D388,IF(V388="","Select an account (Category)",IF(ISNA(MATCH(V388,coa_Name,0)),"Unknown account: "&amp;V388,IF(K388="","Select Paid From / Deposited To",IF(ISNA(MATCH(K388,coa_Name,0)),"Unknown account: "&amp;K388,IF(NOT(ISNUMBER(L388)),"Enter an amount",IF(L388=0,"Enter an amount",IF(ABS(W388)&gt;ABS(L388),"Tax is larger than the amount","")))))))))))))</f>
        <v/>
      </c>
      <c r="Y388" s="67">
        <f>IF(OR(T388=1,X388&lt;&gt;""),"",IF(AND(B388&lt;&gt;"",COUNTIF(tx_ID,B388)&gt;1),"Duplicate transaction ID",IF(AND(L388&lt;0,D388&lt;&gt;"Adjustment"),"Negative amount — check this entry",IF(AND(D388="Customer Payment",G388=""),"Add the customer",IF(AND(D388="Customer Payment",OR(J388="",COUNTIF(ar_No,J388&amp;"")=0)),"Invoice # in Reference not found on AR sheet",IF(AND(D388="Bill Payment",H388=""),"Add the vendor",IF(AND(D388="Bill Payment",OR(J388="",COUNTIFS(ap_No,J388&amp;"",ap_Party,H388&amp;"")=0)),"Bill # + vendor not found on AP sheet",IF(AND(ISNUMBER(M388),N(M388)&lt;&gt;0,W388=0),"Tax ignored (tax tracking off, or not allowed for this type)",IF(V388=K388&amp;"","Same account on both sides",IF(AND(ISNUMBER(StartDate),C388&lt;StartDate),"Date is before the accounting start date",IF(AND(D388&lt;&gt;"Adjustment",IFERROR(INDEX(coa_Pay,MATCH(K388&amp;"",coa_Name,0)),"")&lt;&gt;"Yes"),"Paid From / Deposited To is not a payment account","")))))))))))</f>
        <v/>
      </c>
      <c r="Z388" s="67">
        <f>IF(AND(T388=0,X388=""),1,0)</f>
        <v/>
      </c>
      <c r="AA388" s="68">
        <f>IF(Z388=1,IF(U388="In",L388,L388-W388),0)</f>
        <v/>
      </c>
      <c r="AB388" s="68">
        <f>IF(Z388=1,IF(U388="In",L388-W388,L388),0)</f>
        <v/>
      </c>
      <c r="AC388" s="68">
        <f>IF(AND(Z388=1,U388="Out"),W388,0)</f>
        <v/>
      </c>
      <c r="AD388" s="68">
        <f>IF(AND(Z388=1,U388="In"),W388,0)</f>
        <v/>
      </c>
    </row>
    <row r="389">
      <c r="B389" s="62" t="inlineStr">
        <is>
          <t>TX-0383</t>
        </is>
      </c>
      <c r="C389" s="63" t="n"/>
      <c r="D389" s="62" t="n"/>
      <c r="E389" s="62" t="n"/>
      <c r="F389" s="62" t="n"/>
      <c r="G389" s="62" t="n"/>
      <c r="H389" s="62" t="n"/>
      <c r="I389" s="62" t="n"/>
      <c r="J389" s="62" t="n"/>
      <c r="K389" s="62" t="n"/>
      <c r="L389" s="64" t="n"/>
      <c r="M389" s="64" t="n"/>
      <c r="N389" s="62" t="n"/>
      <c r="O389" s="65">
        <f>IF(Z389=1,L389-W389,"")</f>
        <v/>
      </c>
      <c r="P389" s="66">
        <f>IF(V389="","",IFERROR(INDEX(coa_Type,MATCH(V389,coa_Name,0)),""))</f>
        <v/>
      </c>
      <c r="Q389" s="66">
        <f>IF(Z389=1,IF(U389="In",K389&amp;"",V389),"")</f>
        <v/>
      </c>
      <c r="R389" s="66">
        <f>IF(Z389=1,IF(U389="In",V389,K389&amp;""),"")</f>
        <v/>
      </c>
      <c r="S389" s="66">
        <f>IF(X389&lt;&gt;"","⛔ "&amp;X389&amp;" — not posted",IF(Y389&lt;&gt;"","⚠ "&amp;Y389,IF(Z389=1,"✓ OK","")))</f>
        <v/>
      </c>
      <c r="T389" s="67">
        <f>IF(AND(C389="",D389="",E389="",L389="",K389=""),1,0)</f>
        <v/>
      </c>
      <c r="U389" s="67">
        <f>IFERROR(INDEX(tt_Dir,MATCH(D389,tt_Type,0)),"")</f>
        <v/>
      </c>
      <c r="V389" s="67">
        <f>IF(D389="","",IFERROR(IF(INDEX(tt_Other,MATCH(D389,tt_Type,0))="",E389&amp;"",INDEX(tt_Other,MATCH(D389,tt_Type,0))),""))</f>
        <v/>
      </c>
      <c r="W389" s="68">
        <f>IF(OR(TaxOn&lt;&gt;"Yes",NOT(ISNUMBER(M389))),0,IF(IFERROR(INDEX(tt_Tax,MATCH(D389,tt_Type,0)),"No")="Yes",M389,0))</f>
        <v/>
      </c>
      <c r="X389" s="67">
        <f>IF(T389=1,"",IF(C389="","Missing transaction date",IF(NOT(ISNUMBER(C389)),"Invalid date",IF(OR(C389&lt;DATE(2000,1,1),C389&gt;DATE(2099,12,31)),"Invalid date",IF(D389="","Select a type",IF(U389="","Unknown type: "&amp;D389,IF(V389="","Select an account (Category)",IF(ISNA(MATCH(V389,coa_Name,0)),"Unknown account: "&amp;V389,IF(K389="","Select Paid From / Deposited To",IF(ISNA(MATCH(K389,coa_Name,0)),"Unknown account: "&amp;K389,IF(NOT(ISNUMBER(L389)),"Enter an amount",IF(L389=0,"Enter an amount",IF(ABS(W389)&gt;ABS(L389),"Tax is larger than the amount","")))))))))))))</f>
        <v/>
      </c>
      <c r="Y389" s="67">
        <f>IF(OR(T389=1,X389&lt;&gt;""),"",IF(AND(B389&lt;&gt;"",COUNTIF(tx_ID,B389)&gt;1),"Duplicate transaction ID",IF(AND(L389&lt;0,D389&lt;&gt;"Adjustment"),"Negative amount — check this entry",IF(AND(D389="Customer Payment",G389=""),"Add the customer",IF(AND(D389="Customer Payment",OR(J389="",COUNTIF(ar_No,J389&amp;"")=0)),"Invoice # in Reference not found on AR sheet",IF(AND(D389="Bill Payment",H389=""),"Add the vendor",IF(AND(D389="Bill Payment",OR(J389="",COUNTIFS(ap_No,J389&amp;"",ap_Party,H389&amp;"")=0)),"Bill # + vendor not found on AP sheet",IF(AND(ISNUMBER(M389),N(M389)&lt;&gt;0,W389=0),"Tax ignored (tax tracking off, or not allowed for this type)",IF(V389=K389&amp;"","Same account on both sides",IF(AND(ISNUMBER(StartDate),C389&lt;StartDate),"Date is before the accounting start date",IF(AND(D389&lt;&gt;"Adjustment",IFERROR(INDEX(coa_Pay,MATCH(K389&amp;"",coa_Name,0)),"")&lt;&gt;"Yes"),"Paid From / Deposited To is not a payment account","")))))))))))</f>
        <v/>
      </c>
      <c r="Z389" s="67">
        <f>IF(AND(T389=0,X389=""),1,0)</f>
        <v/>
      </c>
      <c r="AA389" s="68">
        <f>IF(Z389=1,IF(U389="In",L389,L389-W389),0)</f>
        <v/>
      </c>
      <c r="AB389" s="68">
        <f>IF(Z389=1,IF(U389="In",L389-W389,L389),0)</f>
        <v/>
      </c>
      <c r="AC389" s="68">
        <f>IF(AND(Z389=1,U389="Out"),W389,0)</f>
        <v/>
      </c>
      <c r="AD389" s="68">
        <f>IF(AND(Z389=1,U389="In"),W389,0)</f>
        <v/>
      </c>
    </row>
    <row r="390">
      <c r="B390" s="62" t="inlineStr">
        <is>
          <t>TX-0384</t>
        </is>
      </c>
      <c r="C390" s="63" t="n"/>
      <c r="D390" s="62" t="n"/>
      <c r="E390" s="62" t="n"/>
      <c r="F390" s="62" t="n"/>
      <c r="G390" s="62" t="n"/>
      <c r="H390" s="62" t="n"/>
      <c r="I390" s="62" t="n"/>
      <c r="J390" s="62" t="n"/>
      <c r="K390" s="62" t="n"/>
      <c r="L390" s="64" t="n"/>
      <c r="M390" s="64" t="n"/>
      <c r="N390" s="62" t="n"/>
      <c r="O390" s="65">
        <f>IF(Z390=1,L390-W390,"")</f>
        <v/>
      </c>
      <c r="P390" s="66">
        <f>IF(V390="","",IFERROR(INDEX(coa_Type,MATCH(V390,coa_Name,0)),""))</f>
        <v/>
      </c>
      <c r="Q390" s="66">
        <f>IF(Z390=1,IF(U390="In",K390&amp;"",V390),"")</f>
        <v/>
      </c>
      <c r="R390" s="66">
        <f>IF(Z390=1,IF(U390="In",V390,K390&amp;""),"")</f>
        <v/>
      </c>
      <c r="S390" s="66">
        <f>IF(X390&lt;&gt;"","⛔ "&amp;X390&amp;" — not posted",IF(Y390&lt;&gt;"","⚠ "&amp;Y390,IF(Z390=1,"✓ OK","")))</f>
        <v/>
      </c>
      <c r="T390" s="67">
        <f>IF(AND(C390="",D390="",E390="",L390="",K390=""),1,0)</f>
        <v/>
      </c>
      <c r="U390" s="67">
        <f>IFERROR(INDEX(tt_Dir,MATCH(D390,tt_Type,0)),"")</f>
        <v/>
      </c>
      <c r="V390" s="67">
        <f>IF(D390="","",IFERROR(IF(INDEX(tt_Other,MATCH(D390,tt_Type,0))="",E390&amp;"",INDEX(tt_Other,MATCH(D390,tt_Type,0))),""))</f>
        <v/>
      </c>
      <c r="W390" s="68">
        <f>IF(OR(TaxOn&lt;&gt;"Yes",NOT(ISNUMBER(M390))),0,IF(IFERROR(INDEX(tt_Tax,MATCH(D390,tt_Type,0)),"No")="Yes",M390,0))</f>
        <v/>
      </c>
      <c r="X390" s="67">
        <f>IF(T390=1,"",IF(C390="","Missing transaction date",IF(NOT(ISNUMBER(C390)),"Invalid date",IF(OR(C390&lt;DATE(2000,1,1),C390&gt;DATE(2099,12,31)),"Invalid date",IF(D390="","Select a type",IF(U390="","Unknown type: "&amp;D390,IF(V390="","Select an account (Category)",IF(ISNA(MATCH(V390,coa_Name,0)),"Unknown account: "&amp;V390,IF(K390="","Select Paid From / Deposited To",IF(ISNA(MATCH(K390,coa_Name,0)),"Unknown account: "&amp;K390,IF(NOT(ISNUMBER(L390)),"Enter an amount",IF(L390=0,"Enter an amount",IF(ABS(W390)&gt;ABS(L390),"Tax is larger than the amount","")))))))))))))</f>
        <v/>
      </c>
      <c r="Y390" s="67">
        <f>IF(OR(T390=1,X390&lt;&gt;""),"",IF(AND(B390&lt;&gt;"",COUNTIF(tx_ID,B390)&gt;1),"Duplicate transaction ID",IF(AND(L390&lt;0,D390&lt;&gt;"Adjustment"),"Negative amount — check this entry",IF(AND(D390="Customer Payment",G390=""),"Add the customer",IF(AND(D390="Customer Payment",OR(J390="",COUNTIF(ar_No,J390&amp;"")=0)),"Invoice # in Reference not found on AR sheet",IF(AND(D390="Bill Payment",H390=""),"Add the vendor",IF(AND(D390="Bill Payment",OR(J390="",COUNTIFS(ap_No,J390&amp;"",ap_Party,H390&amp;"")=0)),"Bill # + vendor not found on AP sheet",IF(AND(ISNUMBER(M390),N(M390)&lt;&gt;0,W390=0),"Tax ignored (tax tracking off, or not allowed for this type)",IF(V390=K390&amp;"","Same account on both sides",IF(AND(ISNUMBER(StartDate),C390&lt;StartDate),"Date is before the accounting start date",IF(AND(D390&lt;&gt;"Adjustment",IFERROR(INDEX(coa_Pay,MATCH(K390&amp;"",coa_Name,0)),"")&lt;&gt;"Yes"),"Paid From / Deposited To is not a payment account","")))))))))))</f>
        <v/>
      </c>
      <c r="Z390" s="67">
        <f>IF(AND(T390=0,X390=""),1,0)</f>
        <v/>
      </c>
      <c r="AA390" s="68">
        <f>IF(Z390=1,IF(U390="In",L390,L390-W390),0)</f>
        <v/>
      </c>
      <c r="AB390" s="68">
        <f>IF(Z390=1,IF(U390="In",L390-W390,L390),0)</f>
        <v/>
      </c>
      <c r="AC390" s="68">
        <f>IF(AND(Z390=1,U390="Out"),W390,0)</f>
        <v/>
      </c>
      <c r="AD390" s="68">
        <f>IF(AND(Z390=1,U390="In"),W390,0)</f>
        <v/>
      </c>
    </row>
    <row r="391">
      <c r="B391" s="62" t="inlineStr">
        <is>
          <t>TX-0385</t>
        </is>
      </c>
      <c r="C391" s="63" t="n"/>
      <c r="D391" s="62" t="n"/>
      <c r="E391" s="62" t="n"/>
      <c r="F391" s="62" t="n"/>
      <c r="G391" s="62" t="n"/>
      <c r="H391" s="62" t="n"/>
      <c r="I391" s="62" t="n"/>
      <c r="J391" s="62" t="n"/>
      <c r="K391" s="62" t="n"/>
      <c r="L391" s="64" t="n"/>
      <c r="M391" s="64" t="n"/>
      <c r="N391" s="62" t="n"/>
      <c r="O391" s="65">
        <f>IF(Z391=1,L391-W391,"")</f>
        <v/>
      </c>
      <c r="P391" s="66">
        <f>IF(V391="","",IFERROR(INDEX(coa_Type,MATCH(V391,coa_Name,0)),""))</f>
        <v/>
      </c>
      <c r="Q391" s="66">
        <f>IF(Z391=1,IF(U391="In",K391&amp;"",V391),"")</f>
        <v/>
      </c>
      <c r="R391" s="66">
        <f>IF(Z391=1,IF(U391="In",V391,K391&amp;""),"")</f>
        <v/>
      </c>
      <c r="S391" s="66">
        <f>IF(X391&lt;&gt;"","⛔ "&amp;X391&amp;" — not posted",IF(Y391&lt;&gt;"","⚠ "&amp;Y391,IF(Z391=1,"✓ OK","")))</f>
        <v/>
      </c>
      <c r="T391" s="67">
        <f>IF(AND(C391="",D391="",E391="",L391="",K391=""),1,0)</f>
        <v/>
      </c>
      <c r="U391" s="67">
        <f>IFERROR(INDEX(tt_Dir,MATCH(D391,tt_Type,0)),"")</f>
        <v/>
      </c>
      <c r="V391" s="67">
        <f>IF(D391="","",IFERROR(IF(INDEX(tt_Other,MATCH(D391,tt_Type,0))="",E391&amp;"",INDEX(tt_Other,MATCH(D391,tt_Type,0))),""))</f>
        <v/>
      </c>
      <c r="W391" s="68">
        <f>IF(OR(TaxOn&lt;&gt;"Yes",NOT(ISNUMBER(M391))),0,IF(IFERROR(INDEX(tt_Tax,MATCH(D391,tt_Type,0)),"No")="Yes",M391,0))</f>
        <v/>
      </c>
      <c r="X391" s="67">
        <f>IF(T391=1,"",IF(C391="","Missing transaction date",IF(NOT(ISNUMBER(C391)),"Invalid date",IF(OR(C391&lt;DATE(2000,1,1),C391&gt;DATE(2099,12,31)),"Invalid date",IF(D391="","Select a type",IF(U391="","Unknown type: "&amp;D391,IF(V391="","Select an account (Category)",IF(ISNA(MATCH(V391,coa_Name,0)),"Unknown account: "&amp;V391,IF(K391="","Select Paid From / Deposited To",IF(ISNA(MATCH(K391,coa_Name,0)),"Unknown account: "&amp;K391,IF(NOT(ISNUMBER(L391)),"Enter an amount",IF(L391=0,"Enter an amount",IF(ABS(W391)&gt;ABS(L391),"Tax is larger than the amount","")))))))))))))</f>
        <v/>
      </c>
      <c r="Y391" s="67">
        <f>IF(OR(T391=1,X391&lt;&gt;""),"",IF(AND(B391&lt;&gt;"",COUNTIF(tx_ID,B391)&gt;1),"Duplicate transaction ID",IF(AND(L391&lt;0,D391&lt;&gt;"Adjustment"),"Negative amount — check this entry",IF(AND(D391="Customer Payment",G391=""),"Add the customer",IF(AND(D391="Customer Payment",OR(J391="",COUNTIF(ar_No,J391&amp;"")=0)),"Invoice # in Reference not found on AR sheet",IF(AND(D391="Bill Payment",H391=""),"Add the vendor",IF(AND(D391="Bill Payment",OR(J391="",COUNTIFS(ap_No,J391&amp;"",ap_Party,H391&amp;"")=0)),"Bill # + vendor not found on AP sheet",IF(AND(ISNUMBER(M391),N(M391)&lt;&gt;0,W391=0),"Tax ignored (tax tracking off, or not allowed for this type)",IF(V391=K391&amp;"","Same account on both sides",IF(AND(ISNUMBER(StartDate),C391&lt;StartDate),"Date is before the accounting start date",IF(AND(D391&lt;&gt;"Adjustment",IFERROR(INDEX(coa_Pay,MATCH(K391&amp;"",coa_Name,0)),"")&lt;&gt;"Yes"),"Paid From / Deposited To is not a payment account","")))))))))))</f>
        <v/>
      </c>
      <c r="Z391" s="67">
        <f>IF(AND(T391=0,X391=""),1,0)</f>
        <v/>
      </c>
      <c r="AA391" s="68">
        <f>IF(Z391=1,IF(U391="In",L391,L391-W391),0)</f>
        <v/>
      </c>
      <c r="AB391" s="68">
        <f>IF(Z391=1,IF(U391="In",L391-W391,L391),0)</f>
        <v/>
      </c>
      <c r="AC391" s="68">
        <f>IF(AND(Z391=1,U391="Out"),W391,0)</f>
        <v/>
      </c>
      <c r="AD391" s="68">
        <f>IF(AND(Z391=1,U391="In"),W391,0)</f>
        <v/>
      </c>
    </row>
    <row r="392">
      <c r="B392" s="62" t="inlineStr">
        <is>
          <t>TX-0386</t>
        </is>
      </c>
      <c r="C392" s="63" t="n"/>
      <c r="D392" s="62" t="n"/>
      <c r="E392" s="62" t="n"/>
      <c r="F392" s="62" t="n"/>
      <c r="G392" s="62" t="n"/>
      <c r="H392" s="62" t="n"/>
      <c r="I392" s="62" t="n"/>
      <c r="J392" s="62" t="n"/>
      <c r="K392" s="62" t="n"/>
      <c r="L392" s="64" t="n"/>
      <c r="M392" s="64" t="n"/>
      <c r="N392" s="62" t="n"/>
      <c r="O392" s="65">
        <f>IF(Z392=1,L392-W392,"")</f>
        <v/>
      </c>
      <c r="P392" s="66">
        <f>IF(V392="","",IFERROR(INDEX(coa_Type,MATCH(V392,coa_Name,0)),""))</f>
        <v/>
      </c>
      <c r="Q392" s="66">
        <f>IF(Z392=1,IF(U392="In",K392&amp;"",V392),"")</f>
        <v/>
      </c>
      <c r="R392" s="66">
        <f>IF(Z392=1,IF(U392="In",V392,K392&amp;""),"")</f>
        <v/>
      </c>
      <c r="S392" s="66">
        <f>IF(X392&lt;&gt;"","⛔ "&amp;X392&amp;" — not posted",IF(Y392&lt;&gt;"","⚠ "&amp;Y392,IF(Z392=1,"✓ OK","")))</f>
        <v/>
      </c>
      <c r="T392" s="67">
        <f>IF(AND(C392="",D392="",E392="",L392="",K392=""),1,0)</f>
        <v/>
      </c>
      <c r="U392" s="67">
        <f>IFERROR(INDEX(tt_Dir,MATCH(D392,tt_Type,0)),"")</f>
        <v/>
      </c>
      <c r="V392" s="67">
        <f>IF(D392="","",IFERROR(IF(INDEX(tt_Other,MATCH(D392,tt_Type,0))="",E392&amp;"",INDEX(tt_Other,MATCH(D392,tt_Type,0))),""))</f>
        <v/>
      </c>
      <c r="W392" s="68">
        <f>IF(OR(TaxOn&lt;&gt;"Yes",NOT(ISNUMBER(M392))),0,IF(IFERROR(INDEX(tt_Tax,MATCH(D392,tt_Type,0)),"No")="Yes",M392,0))</f>
        <v/>
      </c>
      <c r="X392" s="67">
        <f>IF(T392=1,"",IF(C392="","Missing transaction date",IF(NOT(ISNUMBER(C392)),"Invalid date",IF(OR(C392&lt;DATE(2000,1,1),C392&gt;DATE(2099,12,31)),"Invalid date",IF(D392="","Select a type",IF(U392="","Unknown type: "&amp;D392,IF(V392="","Select an account (Category)",IF(ISNA(MATCH(V392,coa_Name,0)),"Unknown account: "&amp;V392,IF(K392="","Select Paid From / Deposited To",IF(ISNA(MATCH(K392,coa_Name,0)),"Unknown account: "&amp;K392,IF(NOT(ISNUMBER(L392)),"Enter an amount",IF(L392=0,"Enter an amount",IF(ABS(W392)&gt;ABS(L392),"Tax is larger than the amount","")))))))))))))</f>
        <v/>
      </c>
      <c r="Y392" s="67">
        <f>IF(OR(T392=1,X392&lt;&gt;""),"",IF(AND(B392&lt;&gt;"",COUNTIF(tx_ID,B392)&gt;1),"Duplicate transaction ID",IF(AND(L392&lt;0,D392&lt;&gt;"Adjustment"),"Negative amount — check this entry",IF(AND(D392="Customer Payment",G392=""),"Add the customer",IF(AND(D392="Customer Payment",OR(J392="",COUNTIF(ar_No,J392&amp;"")=0)),"Invoice # in Reference not found on AR sheet",IF(AND(D392="Bill Payment",H392=""),"Add the vendor",IF(AND(D392="Bill Payment",OR(J392="",COUNTIFS(ap_No,J392&amp;"",ap_Party,H392&amp;"")=0)),"Bill # + vendor not found on AP sheet",IF(AND(ISNUMBER(M392),N(M392)&lt;&gt;0,W392=0),"Tax ignored (tax tracking off, or not allowed for this type)",IF(V392=K392&amp;"","Same account on both sides",IF(AND(ISNUMBER(StartDate),C392&lt;StartDate),"Date is before the accounting start date",IF(AND(D392&lt;&gt;"Adjustment",IFERROR(INDEX(coa_Pay,MATCH(K392&amp;"",coa_Name,0)),"")&lt;&gt;"Yes"),"Paid From / Deposited To is not a payment account","")))))))))))</f>
        <v/>
      </c>
      <c r="Z392" s="67">
        <f>IF(AND(T392=0,X392=""),1,0)</f>
        <v/>
      </c>
      <c r="AA392" s="68">
        <f>IF(Z392=1,IF(U392="In",L392,L392-W392),0)</f>
        <v/>
      </c>
      <c r="AB392" s="68">
        <f>IF(Z392=1,IF(U392="In",L392-W392,L392),0)</f>
        <v/>
      </c>
      <c r="AC392" s="68">
        <f>IF(AND(Z392=1,U392="Out"),W392,0)</f>
        <v/>
      </c>
      <c r="AD392" s="68">
        <f>IF(AND(Z392=1,U392="In"),W392,0)</f>
        <v/>
      </c>
    </row>
    <row r="393">
      <c r="B393" s="62" t="inlineStr">
        <is>
          <t>TX-0387</t>
        </is>
      </c>
      <c r="C393" s="63" t="n"/>
      <c r="D393" s="62" t="n"/>
      <c r="E393" s="62" t="n"/>
      <c r="F393" s="62" t="n"/>
      <c r="G393" s="62" t="n"/>
      <c r="H393" s="62" t="n"/>
      <c r="I393" s="62" t="n"/>
      <c r="J393" s="62" t="n"/>
      <c r="K393" s="62" t="n"/>
      <c r="L393" s="64" t="n"/>
      <c r="M393" s="64" t="n"/>
      <c r="N393" s="62" t="n"/>
      <c r="O393" s="65">
        <f>IF(Z393=1,L393-W393,"")</f>
        <v/>
      </c>
      <c r="P393" s="66">
        <f>IF(V393="","",IFERROR(INDEX(coa_Type,MATCH(V393,coa_Name,0)),""))</f>
        <v/>
      </c>
      <c r="Q393" s="66">
        <f>IF(Z393=1,IF(U393="In",K393&amp;"",V393),"")</f>
        <v/>
      </c>
      <c r="R393" s="66">
        <f>IF(Z393=1,IF(U393="In",V393,K393&amp;""),"")</f>
        <v/>
      </c>
      <c r="S393" s="66">
        <f>IF(X393&lt;&gt;"","⛔ "&amp;X393&amp;" — not posted",IF(Y393&lt;&gt;"","⚠ "&amp;Y393,IF(Z393=1,"✓ OK","")))</f>
        <v/>
      </c>
      <c r="T393" s="67">
        <f>IF(AND(C393="",D393="",E393="",L393="",K393=""),1,0)</f>
        <v/>
      </c>
      <c r="U393" s="67">
        <f>IFERROR(INDEX(tt_Dir,MATCH(D393,tt_Type,0)),"")</f>
        <v/>
      </c>
      <c r="V393" s="67">
        <f>IF(D393="","",IFERROR(IF(INDEX(tt_Other,MATCH(D393,tt_Type,0))="",E393&amp;"",INDEX(tt_Other,MATCH(D393,tt_Type,0))),""))</f>
        <v/>
      </c>
      <c r="W393" s="68">
        <f>IF(OR(TaxOn&lt;&gt;"Yes",NOT(ISNUMBER(M393))),0,IF(IFERROR(INDEX(tt_Tax,MATCH(D393,tt_Type,0)),"No")="Yes",M393,0))</f>
        <v/>
      </c>
      <c r="X393" s="67">
        <f>IF(T393=1,"",IF(C393="","Missing transaction date",IF(NOT(ISNUMBER(C393)),"Invalid date",IF(OR(C393&lt;DATE(2000,1,1),C393&gt;DATE(2099,12,31)),"Invalid date",IF(D393="","Select a type",IF(U393="","Unknown type: "&amp;D393,IF(V393="","Select an account (Category)",IF(ISNA(MATCH(V393,coa_Name,0)),"Unknown account: "&amp;V393,IF(K393="","Select Paid From / Deposited To",IF(ISNA(MATCH(K393,coa_Name,0)),"Unknown account: "&amp;K393,IF(NOT(ISNUMBER(L393)),"Enter an amount",IF(L393=0,"Enter an amount",IF(ABS(W393)&gt;ABS(L393),"Tax is larger than the amount","")))))))))))))</f>
        <v/>
      </c>
      <c r="Y393" s="67">
        <f>IF(OR(T393=1,X393&lt;&gt;""),"",IF(AND(B393&lt;&gt;"",COUNTIF(tx_ID,B393)&gt;1),"Duplicate transaction ID",IF(AND(L393&lt;0,D393&lt;&gt;"Adjustment"),"Negative amount — check this entry",IF(AND(D393="Customer Payment",G393=""),"Add the customer",IF(AND(D393="Customer Payment",OR(J393="",COUNTIF(ar_No,J393&amp;"")=0)),"Invoice # in Reference not found on AR sheet",IF(AND(D393="Bill Payment",H393=""),"Add the vendor",IF(AND(D393="Bill Payment",OR(J393="",COUNTIFS(ap_No,J393&amp;"",ap_Party,H393&amp;"")=0)),"Bill # + vendor not found on AP sheet",IF(AND(ISNUMBER(M393),N(M393)&lt;&gt;0,W393=0),"Tax ignored (tax tracking off, or not allowed for this type)",IF(V393=K393&amp;"","Same account on both sides",IF(AND(ISNUMBER(StartDate),C393&lt;StartDate),"Date is before the accounting start date",IF(AND(D393&lt;&gt;"Adjustment",IFERROR(INDEX(coa_Pay,MATCH(K393&amp;"",coa_Name,0)),"")&lt;&gt;"Yes"),"Paid From / Deposited To is not a payment account","")))))))))))</f>
        <v/>
      </c>
      <c r="Z393" s="67">
        <f>IF(AND(T393=0,X393=""),1,0)</f>
        <v/>
      </c>
      <c r="AA393" s="68">
        <f>IF(Z393=1,IF(U393="In",L393,L393-W393),0)</f>
        <v/>
      </c>
      <c r="AB393" s="68">
        <f>IF(Z393=1,IF(U393="In",L393-W393,L393),0)</f>
        <v/>
      </c>
      <c r="AC393" s="68">
        <f>IF(AND(Z393=1,U393="Out"),W393,0)</f>
        <v/>
      </c>
      <c r="AD393" s="68">
        <f>IF(AND(Z393=1,U393="In"),W393,0)</f>
        <v/>
      </c>
    </row>
    <row r="394">
      <c r="B394" s="62" t="inlineStr">
        <is>
          <t>TX-0388</t>
        </is>
      </c>
      <c r="C394" s="63" t="n"/>
      <c r="D394" s="62" t="n"/>
      <c r="E394" s="62" t="n"/>
      <c r="F394" s="62" t="n"/>
      <c r="G394" s="62" t="n"/>
      <c r="H394" s="62" t="n"/>
      <c r="I394" s="62" t="n"/>
      <c r="J394" s="62" t="n"/>
      <c r="K394" s="62" t="n"/>
      <c r="L394" s="64" t="n"/>
      <c r="M394" s="64" t="n"/>
      <c r="N394" s="62" t="n"/>
      <c r="O394" s="65">
        <f>IF(Z394=1,L394-W394,"")</f>
        <v/>
      </c>
      <c r="P394" s="66">
        <f>IF(V394="","",IFERROR(INDEX(coa_Type,MATCH(V394,coa_Name,0)),""))</f>
        <v/>
      </c>
      <c r="Q394" s="66">
        <f>IF(Z394=1,IF(U394="In",K394&amp;"",V394),"")</f>
        <v/>
      </c>
      <c r="R394" s="66">
        <f>IF(Z394=1,IF(U394="In",V394,K394&amp;""),"")</f>
        <v/>
      </c>
      <c r="S394" s="66">
        <f>IF(X394&lt;&gt;"","⛔ "&amp;X394&amp;" — not posted",IF(Y394&lt;&gt;"","⚠ "&amp;Y394,IF(Z394=1,"✓ OK","")))</f>
        <v/>
      </c>
      <c r="T394" s="67">
        <f>IF(AND(C394="",D394="",E394="",L394="",K394=""),1,0)</f>
        <v/>
      </c>
      <c r="U394" s="67">
        <f>IFERROR(INDEX(tt_Dir,MATCH(D394,tt_Type,0)),"")</f>
        <v/>
      </c>
      <c r="V394" s="67">
        <f>IF(D394="","",IFERROR(IF(INDEX(tt_Other,MATCH(D394,tt_Type,0))="",E394&amp;"",INDEX(tt_Other,MATCH(D394,tt_Type,0))),""))</f>
        <v/>
      </c>
      <c r="W394" s="68">
        <f>IF(OR(TaxOn&lt;&gt;"Yes",NOT(ISNUMBER(M394))),0,IF(IFERROR(INDEX(tt_Tax,MATCH(D394,tt_Type,0)),"No")="Yes",M394,0))</f>
        <v/>
      </c>
      <c r="X394" s="67">
        <f>IF(T394=1,"",IF(C394="","Missing transaction date",IF(NOT(ISNUMBER(C394)),"Invalid date",IF(OR(C394&lt;DATE(2000,1,1),C394&gt;DATE(2099,12,31)),"Invalid date",IF(D394="","Select a type",IF(U394="","Unknown type: "&amp;D394,IF(V394="","Select an account (Category)",IF(ISNA(MATCH(V394,coa_Name,0)),"Unknown account: "&amp;V394,IF(K394="","Select Paid From / Deposited To",IF(ISNA(MATCH(K394,coa_Name,0)),"Unknown account: "&amp;K394,IF(NOT(ISNUMBER(L394)),"Enter an amount",IF(L394=0,"Enter an amount",IF(ABS(W394)&gt;ABS(L394),"Tax is larger than the amount","")))))))))))))</f>
        <v/>
      </c>
      <c r="Y394" s="67">
        <f>IF(OR(T394=1,X394&lt;&gt;""),"",IF(AND(B394&lt;&gt;"",COUNTIF(tx_ID,B394)&gt;1),"Duplicate transaction ID",IF(AND(L394&lt;0,D394&lt;&gt;"Adjustment"),"Negative amount — check this entry",IF(AND(D394="Customer Payment",G394=""),"Add the customer",IF(AND(D394="Customer Payment",OR(J394="",COUNTIF(ar_No,J394&amp;"")=0)),"Invoice # in Reference not found on AR sheet",IF(AND(D394="Bill Payment",H394=""),"Add the vendor",IF(AND(D394="Bill Payment",OR(J394="",COUNTIFS(ap_No,J394&amp;"",ap_Party,H394&amp;"")=0)),"Bill # + vendor not found on AP sheet",IF(AND(ISNUMBER(M394),N(M394)&lt;&gt;0,W394=0),"Tax ignored (tax tracking off, or not allowed for this type)",IF(V394=K394&amp;"","Same account on both sides",IF(AND(ISNUMBER(StartDate),C394&lt;StartDate),"Date is before the accounting start date",IF(AND(D394&lt;&gt;"Adjustment",IFERROR(INDEX(coa_Pay,MATCH(K394&amp;"",coa_Name,0)),"")&lt;&gt;"Yes"),"Paid From / Deposited To is not a payment account","")))))))))))</f>
        <v/>
      </c>
      <c r="Z394" s="67">
        <f>IF(AND(T394=0,X394=""),1,0)</f>
        <v/>
      </c>
      <c r="AA394" s="68">
        <f>IF(Z394=1,IF(U394="In",L394,L394-W394),0)</f>
        <v/>
      </c>
      <c r="AB394" s="68">
        <f>IF(Z394=1,IF(U394="In",L394-W394,L394),0)</f>
        <v/>
      </c>
      <c r="AC394" s="68">
        <f>IF(AND(Z394=1,U394="Out"),W394,0)</f>
        <v/>
      </c>
      <c r="AD394" s="68">
        <f>IF(AND(Z394=1,U394="In"),W394,0)</f>
        <v/>
      </c>
    </row>
    <row r="395">
      <c r="B395" s="62" t="inlineStr">
        <is>
          <t>TX-0389</t>
        </is>
      </c>
      <c r="C395" s="63" t="n"/>
      <c r="D395" s="62" t="n"/>
      <c r="E395" s="62" t="n"/>
      <c r="F395" s="62" t="n"/>
      <c r="G395" s="62" t="n"/>
      <c r="H395" s="62" t="n"/>
      <c r="I395" s="62" t="n"/>
      <c r="J395" s="62" t="n"/>
      <c r="K395" s="62" t="n"/>
      <c r="L395" s="64" t="n"/>
      <c r="M395" s="64" t="n"/>
      <c r="N395" s="62" t="n"/>
      <c r="O395" s="65">
        <f>IF(Z395=1,L395-W395,"")</f>
        <v/>
      </c>
      <c r="P395" s="66">
        <f>IF(V395="","",IFERROR(INDEX(coa_Type,MATCH(V395,coa_Name,0)),""))</f>
        <v/>
      </c>
      <c r="Q395" s="66">
        <f>IF(Z395=1,IF(U395="In",K395&amp;"",V395),"")</f>
        <v/>
      </c>
      <c r="R395" s="66">
        <f>IF(Z395=1,IF(U395="In",V395,K395&amp;""),"")</f>
        <v/>
      </c>
      <c r="S395" s="66">
        <f>IF(X395&lt;&gt;"","⛔ "&amp;X395&amp;" — not posted",IF(Y395&lt;&gt;"","⚠ "&amp;Y395,IF(Z395=1,"✓ OK","")))</f>
        <v/>
      </c>
      <c r="T395" s="67">
        <f>IF(AND(C395="",D395="",E395="",L395="",K395=""),1,0)</f>
        <v/>
      </c>
      <c r="U395" s="67">
        <f>IFERROR(INDEX(tt_Dir,MATCH(D395,tt_Type,0)),"")</f>
        <v/>
      </c>
      <c r="V395" s="67">
        <f>IF(D395="","",IFERROR(IF(INDEX(tt_Other,MATCH(D395,tt_Type,0))="",E395&amp;"",INDEX(tt_Other,MATCH(D395,tt_Type,0))),""))</f>
        <v/>
      </c>
      <c r="W395" s="68">
        <f>IF(OR(TaxOn&lt;&gt;"Yes",NOT(ISNUMBER(M395))),0,IF(IFERROR(INDEX(tt_Tax,MATCH(D395,tt_Type,0)),"No")="Yes",M395,0))</f>
        <v/>
      </c>
      <c r="X395" s="67">
        <f>IF(T395=1,"",IF(C395="","Missing transaction date",IF(NOT(ISNUMBER(C395)),"Invalid date",IF(OR(C395&lt;DATE(2000,1,1),C395&gt;DATE(2099,12,31)),"Invalid date",IF(D395="","Select a type",IF(U395="","Unknown type: "&amp;D395,IF(V395="","Select an account (Category)",IF(ISNA(MATCH(V395,coa_Name,0)),"Unknown account: "&amp;V395,IF(K395="","Select Paid From / Deposited To",IF(ISNA(MATCH(K395,coa_Name,0)),"Unknown account: "&amp;K395,IF(NOT(ISNUMBER(L395)),"Enter an amount",IF(L395=0,"Enter an amount",IF(ABS(W395)&gt;ABS(L395),"Tax is larger than the amount","")))))))))))))</f>
        <v/>
      </c>
      <c r="Y395" s="67">
        <f>IF(OR(T395=1,X395&lt;&gt;""),"",IF(AND(B395&lt;&gt;"",COUNTIF(tx_ID,B395)&gt;1),"Duplicate transaction ID",IF(AND(L395&lt;0,D395&lt;&gt;"Adjustment"),"Negative amount — check this entry",IF(AND(D395="Customer Payment",G395=""),"Add the customer",IF(AND(D395="Customer Payment",OR(J395="",COUNTIF(ar_No,J395&amp;"")=0)),"Invoice # in Reference not found on AR sheet",IF(AND(D395="Bill Payment",H395=""),"Add the vendor",IF(AND(D395="Bill Payment",OR(J395="",COUNTIFS(ap_No,J395&amp;"",ap_Party,H395&amp;"")=0)),"Bill # + vendor not found on AP sheet",IF(AND(ISNUMBER(M395),N(M395)&lt;&gt;0,W395=0),"Tax ignored (tax tracking off, or not allowed for this type)",IF(V395=K395&amp;"","Same account on both sides",IF(AND(ISNUMBER(StartDate),C395&lt;StartDate),"Date is before the accounting start date",IF(AND(D395&lt;&gt;"Adjustment",IFERROR(INDEX(coa_Pay,MATCH(K395&amp;"",coa_Name,0)),"")&lt;&gt;"Yes"),"Paid From / Deposited To is not a payment account","")))))))))))</f>
        <v/>
      </c>
      <c r="Z395" s="67">
        <f>IF(AND(T395=0,X395=""),1,0)</f>
        <v/>
      </c>
      <c r="AA395" s="68">
        <f>IF(Z395=1,IF(U395="In",L395,L395-W395),0)</f>
        <v/>
      </c>
      <c r="AB395" s="68">
        <f>IF(Z395=1,IF(U395="In",L395-W395,L395),0)</f>
        <v/>
      </c>
      <c r="AC395" s="68">
        <f>IF(AND(Z395=1,U395="Out"),W395,0)</f>
        <v/>
      </c>
      <c r="AD395" s="68">
        <f>IF(AND(Z395=1,U395="In"),W395,0)</f>
        <v/>
      </c>
    </row>
    <row r="396">
      <c r="B396" s="62" t="inlineStr">
        <is>
          <t>TX-0390</t>
        </is>
      </c>
      <c r="C396" s="63" t="n"/>
      <c r="D396" s="62" t="n"/>
      <c r="E396" s="62" t="n"/>
      <c r="F396" s="62" t="n"/>
      <c r="G396" s="62" t="n"/>
      <c r="H396" s="62" t="n"/>
      <c r="I396" s="62" t="n"/>
      <c r="J396" s="62" t="n"/>
      <c r="K396" s="62" t="n"/>
      <c r="L396" s="64" t="n"/>
      <c r="M396" s="64" t="n"/>
      <c r="N396" s="62" t="n"/>
      <c r="O396" s="65">
        <f>IF(Z396=1,L396-W396,"")</f>
        <v/>
      </c>
      <c r="P396" s="66">
        <f>IF(V396="","",IFERROR(INDEX(coa_Type,MATCH(V396,coa_Name,0)),""))</f>
        <v/>
      </c>
      <c r="Q396" s="66">
        <f>IF(Z396=1,IF(U396="In",K396&amp;"",V396),"")</f>
        <v/>
      </c>
      <c r="R396" s="66">
        <f>IF(Z396=1,IF(U396="In",V396,K396&amp;""),"")</f>
        <v/>
      </c>
      <c r="S396" s="66">
        <f>IF(X396&lt;&gt;"","⛔ "&amp;X396&amp;" — not posted",IF(Y396&lt;&gt;"","⚠ "&amp;Y396,IF(Z396=1,"✓ OK","")))</f>
        <v/>
      </c>
      <c r="T396" s="67">
        <f>IF(AND(C396="",D396="",E396="",L396="",K396=""),1,0)</f>
        <v/>
      </c>
      <c r="U396" s="67">
        <f>IFERROR(INDEX(tt_Dir,MATCH(D396,tt_Type,0)),"")</f>
        <v/>
      </c>
      <c r="V396" s="67">
        <f>IF(D396="","",IFERROR(IF(INDEX(tt_Other,MATCH(D396,tt_Type,0))="",E396&amp;"",INDEX(tt_Other,MATCH(D396,tt_Type,0))),""))</f>
        <v/>
      </c>
      <c r="W396" s="68">
        <f>IF(OR(TaxOn&lt;&gt;"Yes",NOT(ISNUMBER(M396))),0,IF(IFERROR(INDEX(tt_Tax,MATCH(D396,tt_Type,0)),"No")="Yes",M396,0))</f>
        <v/>
      </c>
      <c r="X396" s="67">
        <f>IF(T396=1,"",IF(C396="","Missing transaction date",IF(NOT(ISNUMBER(C396)),"Invalid date",IF(OR(C396&lt;DATE(2000,1,1),C396&gt;DATE(2099,12,31)),"Invalid date",IF(D396="","Select a type",IF(U396="","Unknown type: "&amp;D396,IF(V396="","Select an account (Category)",IF(ISNA(MATCH(V396,coa_Name,0)),"Unknown account: "&amp;V396,IF(K396="","Select Paid From / Deposited To",IF(ISNA(MATCH(K396,coa_Name,0)),"Unknown account: "&amp;K396,IF(NOT(ISNUMBER(L396)),"Enter an amount",IF(L396=0,"Enter an amount",IF(ABS(W396)&gt;ABS(L396),"Tax is larger than the amount","")))))))))))))</f>
        <v/>
      </c>
      <c r="Y396" s="67">
        <f>IF(OR(T396=1,X396&lt;&gt;""),"",IF(AND(B396&lt;&gt;"",COUNTIF(tx_ID,B396)&gt;1),"Duplicate transaction ID",IF(AND(L396&lt;0,D396&lt;&gt;"Adjustment"),"Negative amount — check this entry",IF(AND(D396="Customer Payment",G396=""),"Add the customer",IF(AND(D396="Customer Payment",OR(J396="",COUNTIF(ar_No,J396&amp;"")=0)),"Invoice # in Reference not found on AR sheet",IF(AND(D396="Bill Payment",H396=""),"Add the vendor",IF(AND(D396="Bill Payment",OR(J396="",COUNTIFS(ap_No,J396&amp;"",ap_Party,H396&amp;"")=0)),"Bill # + vendor not found on AP sheet",IF(AND(ISNUMBER(M396),N(M396)&lt;&gt;0,W396=0),"Tax ignored (tax tracking off, or not allowed for this type)",IF(V396=K396&amp;"","Same account on both sides",IF(AND(ISNUMBER(StartDate),C396&lt;StartDate),"Date is before the accounting start date",IF(AND(D396&lt;&gt;"Adjustment",IFERROR(INDEX(coa_Pay,MATCH(K396&amp;"",coa_Name,0)),"")&lt;&gt;"Yes"),"Paid From / Deposited To is not a payment account","")))))))))))</f>
        <v/>
      </c>
      <c r="Z396" s="67">
        <f>IF(AND(T396=0,X396=""),1,0)</f>
        <v/>
      </c>
      <c r="AA396" s="68">
        <f>IF(Z396=1,IF(U396="In",L396,L396-W396),0)</f>
        <v/>
      </c>
      <c r="AB396" s="68">
        <f>IF(Z396=1,IF(U396="In",L396-W396,L396),0)</f>
        <v/>
      </c>
      <c r="AC396" s="68">
        <f>IF(AND(Z396=1,U396="Out"),W396,0)</f>
        <v/>
      </c>
      <c r="AD396" s="68">
        <f>IF(AND(Z396=1,U396="In"),W396,0)</f>
        <v/>
      </c>
    </row>
    <row r="397">
      <c r="B397" s="62" t="inlineStr">
        <is>
          <t>TX-0391</t>
        </is>
      </c>
      <c r="C397" s="63" t="n"/>
      <c r="D397" s="62" t="n"/>
      <c r="E397" s="62" t="n"/>
      <c r="F397" s="62" t="n"/>
      <c r="G397" s="62" t="n"/>
      <c r="H397" s="62" t="n"/>
      <c r="I397" s="62" t="n"/>
      <c r="J397" s="62" t="n"/>
      <c r="K397" s="62" t="n"/>
      <c r="L397" s="64" t="n"/>
      <c r="M397" s="64" t="n"/>
      <c r="N397" s="62" t="n"/>
      <c r="O397" s="65">
        <f>IF(Z397=1,L397-W397,"")</f>
        <v/>
      </c>
      <c r="P397" s="66">
        <f>IF(V397="","",IFERROR(INDEX(coa_Type,MATCH(V397,coa_Name,0)),""))</f>
        <v/>
      </c>
      <c r="Q397" s="66">
        <f>IF(Z397=1,IF(U397="In",K397&amp;"",V397),"")</f>
        <v/>
      </c>
      <c r="R397" s="66">
        <f>IF(Z397=1,IF(U397="In",V397,K397&amp;""),"")</f>
        <v/>
      </c>
      <c r="S397" s="66">
        <f>IF(X397&lt;&gt;"","⛔ "&amp;X397&amp;" — not posted",IF(Y397&lt;&gt;"","⚠ "&amp;Y397,IF(Z397=1,"✓ OK","")))</f>
        <v/>
      </c>
      <c r="T397" s="67">
        <f>IF(AND(C397="",D397="",E397="",L397="",K397=""),1,0)</f>
        <v/>
      </c>
      <c r="U397" s="67">
        <f>IFERROR(INDEX(tt_Dir,MATCH(D397,tt_Type,0)),"")</f>
        <v/>
      </c>
      <c r="V397" s="67">
        <f>IF(D397="","",IFERROR(IF(INDEX(tt_Other,MATCH(D397,tt_Type,0))="",E397&amp;"",INDEX(tt_Other,MATCH(D397,tt_Type,0))),""))</f>
        <v/>
      </c>
      <c r="W397" s="68">
        <f>IF(OR(TaxOn&lt;&gt;"Yes",NOT(ISNUMBER(M397))),0,IF(IFERROR(INDEX(tt_Tax,MATCH(D397,tt_Type,0)),"No")="Yes",M397,0))</f>
        <v/>
      </c>
      <c r="X397" s="67">
        <f>IF(T397=1,"",IF(C397="","Missing transaction date",IF(NOT(ISNUMBER(C397)),"Invalid date",IF(OR(C397&lt;DATE(2000,1,1),C397&gt;DATE(2099,12,31)),"Invalid date",IF(D397="","Select a type",IF(U397="","Unknown type: "&amp;D397,IF(V397="","Select an account (Category)",IF(ISNA(MATCH(V397,coa_Name,0)),"Unknown account: "&amp;V397,IF(K397="","Select Paid From / Deposited To",IF(ISNA(MATCH(K397,coa_Name,0)),"Unknown account: "&amp;K397,IF(NOT(ISNUMBER(L397)),"Enter an amount",IF(L397=0,"Enter an amount",IF(ABS(W397)&gt;ABS(L397),"Tax is larger than the amount","")))))))))))))</f>
        <v/>
      </c>
      <c r="Y397" s="67">
        <f>IF(OR(T397=1,X397&lt;&gt;""),"",IF(AND(B397&lt;&gt;"",COUNTIF(tx_ID,B397)&gt;1),"Duplicate transaction ID",IF(AND(L397&lt;0,D397&lt;&gt;"Adjustment"),"Negative amount — check this entry",IF(AND(D397="Customer Payment",G397=""),"Add the customer",IF(AND(D397="Customer Payment",OR(J397="",COUNTIF(ar_No,J397&amp;"")=0)),"Invoice # in Reference not found on AR sheet",IF(AND(D397="Bill Payment",H397=""),"Add the vendor",IF(AND(D397="Bill Payment",OR(J397="",COUNTIFS(ap_No,J397&amp;"",ap_Party,H397&amp;"")=0)),"Bill # + vendor not found on AP sheet",IF(AND(ISNUMBER(M397),N(M397)&lt;&gt;0,W397=0),"Tax ignored (tax tracking off, or not allowed for this type)",IF(V397=K397&amp;"","Same account on both sides",IF(AND(ISNUMBER(StartDate),C397&lt;StartDate),"Date is before the accounting start date",IF(AND(D397&lt;&gt;"Adjustment",IFERROR(INDEX(coa_Pay,MATCH(K397&amp;"",coa_Name,0)),"")&lt;&gt;"Yes"),"Paid From / Deposited To is not a payment account","")))))))))))</f>
        <v/>
      </c>
      <c r="Z397" s="67">
        <f>IF(AND(T397=0,X397=""),1,0)</f>
        <v/>
      </c>
      <c r="AA397" s="68">
        <f>IF(Z397=1,IF(U397="In",L397,L397-W397),0)</f>
        <v/>
      </c>
      <c r="AB397" s="68">
        <f>IF(Z397=1,IF(U397="In",L397-W397,L397),0)</f>
        <v/>
      </c>
      <c r="AC397" s="68">
        <f>IF(AND(Z397=1,U397="Out"),W397,0)</f>
        <v/>
      </c>
      <c r="AD397" s="68">
        <f>IF(AND(Z397=1,U397="In"),W397,0)</f>
        <v/>
      </c>
    </row>
    <row r="398">
      <c r="B398" s="62" t="inlineStr">
        <is>
          <t>TX-0392</t>
        </is>
      </c>
      <c r="C398" s="63" t="n"/>
      <c r="D398" s="62" t="n"/>
      <c r="E398" s="62" t="n"/>
      <c r="F398" s="62" t="n"/>
      <c r="G398" s="62" t="n"/>
      <c r="H398" s="62" t="n"/>
      <c r="I398" s="62" t="n"/>
      <c r="J398" s="62" t="n"/>
      <c r="K398" s="62" t="n"/>
      <c r="L398" s="64" t="n"/>
      <c r="M398" s="64" t="n"/>
      <c r="N398" s="62" t="n"/>
      <c r="O398" s="65">
        <f>IF(Z398=1,L398-W398,"")</f>
        <v/>
      </c>
      <c r="P398" s="66">
        <f>IF(V398="","",IFERROR(INDEX(coa_Type,MATCH(V398,coa_Name,0)),""))</f>
        <v/>
      </c>
      <c r="Q398" s="66">
        <f>IF(Z398=1,IF(U398="In",K398&amp;"",V398),"")</f>
        <v/>
      </c>
      <c r="R398" s="66">
        <f>IF(Z398=1,IF(U398="In",V398,K398&amp;""),"")</f>
        <v/>
      </c>
      <c r="S398" s="66">
        <f>IF(X398&lt;&gt;"","⛔ "&amp;X398&amp;" — not posted",IF(Y398&lt;&gt;"","⚠ "&amp;Y398,IF(Z398=1,"✓ OK","")))</f>
        <v/>
      </c>
      <c r="T398" s="67">
        <f>IF(AND(C398="",D398="",E398="",L398="",K398=""),1,0)</f>
        <v/>
      </c>
      <c r="U398" s="67">
        <f>IFERROR(INDEX(tt_Dir,MATCH(D398,tt_Type,0)),"")</f>
        <v/>
      </c>
      <c r="V398" s="67">
        <f>IF(D398="","",IFERROR(IF(INDEX(tt_Other,MATCH(D398,tt_Type,0))="",E398&amp;"",INDEX(tt_Other,MATCH(D398,tt_Type,0))),""))</f>
        <v/>
      </c>
      <c r="W398" s="68">
        <f>IF(OR(TaxOn&lt;&gt;"Yes",NOT(ISNUMBER(M398))),0,IF(IFERROR(INDEX(tt_Tax,MATCH(D398,tt_Type,0)),"No")="Yes",M398,0))</f>
        <v/>
      </c>
      <c r="X398" s="67">
        <f>IF(T398=1,"",IF(C398="","Missing transaction date",IF(NOT(ISNUMBER(C398)),"Invalid date",IF(OR(C398&lt;DATE(2000,1,1),C398&gt;DATE(2099,12,31)),"Invalid date",IF(D398="","Select a type",IF(U398="","Unknown type: "&amp;D398,IF(V398="","Select an account (Category)",IF(ISNA(MATCH(V398,coa_Name,0)),"Unknown account: "&amp;V398,IF(K398="","Select Paid From / Deposited To",IF(ISNA(MATCH(K398,coa_Name,0)),"Unknown account: "&amp;K398,IF(NOT(ISNUMBER(L398)),"Enter an amount",IF(L398=0,"Enter an amount",IF(ABS(W398)&gt;ABS(L398),"Tax is larger than the amount","")))))))))))))</f>
        <v/>
      </c>
      <c r="Y398" s="67">
        <f>IF(OR(T398=1,X398&lt;&gt;""),"",IF(AND(B398&lt;&gt;"",COUNTIF(tx_ID,B398)&gt;1),"Duplicate transaction ID",IF(AND(L398&lt;0,D398&lt;&gt;"Adjustment"),"Negative amount — check this entry",IF(AND(D398="Customer Payment",G398=""),"Add the customer",IF(AND(D398="Customer Payment",OR(J398="",COUNTIF(ar_No,J398&amp;"")=0)),"Invoice # in Reference not found on AR sheet",IF(AND(D398="Bill Payment",H398=""),"Add the vendor",IF(AND(D398="Bill Payment",OR(J398="",COUNTIFS(ap_No,J398&amp;"",ap_Party,H398&amp;"")=0)),"Bill # + vendor not found on AP sheet",IF(AND(ISNUMBER(M398),N(M398)&lt;&gt;0,W398=0),"Tax ignored (tax tracking off, or not allowed for this type)",IF(V398=K398&amp;"","Same account on both sides",IF(AND(ISNUMBER(StartDate),C398&lt;StartDate),"Date is before the accounting start date",IF(AND(D398&lt;&gt;"Adjustment",IFERROR(INDEX(coa_Pay,MATCH(K398&amp;"",coa_Name,0)),"")&lt;&gt;"Yes"),"Paid From / Deposited To is not a payment account","")))))))))))</f>
        <v/>
      </c>
      <c r="Z398" s="67">
        <f>IF(AND(T398=0,X398=""),1,0)</f>
        <v/>
      </c>
      <c r="AA398" s="68">
        <f>IF(Z398=1,IF(U398="In",L398,L398-W398),0)</f>
        <v/>
      </c>
      <c r="AB398" s="68">
        <f>IF(Z398=1,IF(U398="In",L398-W398,L398),0)</f>
        <v/>
      </c>
      <c r="AC398" s="68">
        <f>IF(AND(Z398=1,U398="Out"),W398,0)</f>
        <v/>
      </c>
      <c r="AD398" s="68">
        <f>IF(AND(Z398=1,U398="In"),W398,0)</f>
        <v/>
      </c>
    </row>
    <row r="399">
      <c r="B399" s="62" t="inlineStr">
        <is>
          <t>TX-0393</t>
        </is>
      </c>
      <c r="C399" s="63" t="n"/>
      <c r="D399" s="62" t="n"/>
      <c r="E399" s="62" t="n"/>
      <c r="F399" s="62" t="n"/>
      <c r="G399" s="62" t="n"/>
      <c r="H399" s="62" t="n"/>
      <c r="I399" s="62" t="n"/>
      <c r="J399" s="62" t="n"/>
      <c r="K399" s="62" t="n"/>
      <c r="L399" s="64" t="n"/>
      <c r="M399" s="64" t="n"/>
      <c r="N399" s="62" t="n"/>
      <c r="O399" s="65">
        <f>IF(Z399=1,L399-W399,"")</f>
        <v/>
      </c>
      <c r="P399" s="66">
        <f>IF(V399="","",IFERROR(INDEX(coa_Type,MATCH(V399,coa_Name,0)),""))</f>
        <v/>
      </c>
      <c r="Q399" s="66">
        <f>IF(Z399=1,IF(U399="In",K399&amp;"",V399),"")</f>
        <v/>
      </c>
      <c r="R399" s="66">
        <f>IF(Z399=1,IF(U399="In",V399,K399&amp;""),"")</f>
        <v/>
      </c>
      <c r="S399" s="66">
        <f>IF(X399&lt;&gt;"","⛔ "&amp;X399&amp;" — not posted",IF(Y399&lt;&gt;"","⚠ "&amp;Y399,IF(Z399=1,"✓ OK","")))</f>
        <v/>
      </c>
      <c r="T399" s="67">
        <f>IF(AND(C399="",D399="",E399="",L399="",K399=""),1,0)</f>
        <v/>
      </c>
      <c r="U399" s="67">
        <f>IFERROR(INDEX(tt_Dir,MATCH(D399,tt_Type,0)),"")</f>
        <v/>
      </c>
      <c r="V399" s="67">
        <f>IF(D399="","",IFERROR(IF(INDEX(tt_Other,MATCH(D399,tt_Type,0))="",E399&amp;"",INDEX(tt_Other,MATCH(D399,tt_Type,0))),""))</f>
        <v/>
      </c>
      <c r="W399" s="68">
        <f>IF(OR(TaxOn&lt;&gt;"Yes",NOT(ISNUMBER(M399))),0,IF(IFERROR(INDEX(tt_Tax,MATCH(D399,tt_Type,0)),"No")="Yes",M399,0))</f>
        <v/>
      </c>
      <c r="X399" s="67">
        <f>IF(T399=1,"",IF(C399="","Missing transaction date",IF(NOT(ISNUMBER(C399)),"Invalid date",IF(OR(C399&lt;DATE(2000,1,1),C399&gt;DATE(2099,12,31)),"Invalid date",IF(D399="","Select a type",IF(U399="","Unknown type: "&amp;D399,IF(V399="","Select an account (Category)",IF(ISNA(MATCH(V399,coa_Name,0)),"Unknown account: "&amp;V399,IF(K399="","Select Paid From / Deposited To",IF(ISNA(MATCH(K399,coa_Name,0)),"Unknown account: "&amp;K399,IF(NOT(ISNUMBER(L399)),"Enter an amount",IF(L399=0,"Enter an amount",IF(ABS(W399)&gt;ABS(L399),"Tax is larger than the amount","")))))))))))))</f>
        <v/>
      </c>
      <c r="Y399" s="67">
        <f>IF(OR(T399=1,X399&lt;&gt;""),"",IF(AND(B399&lt;&gt;"",COUNTIF(tx_ID,B399)&gt;1),"Duplicate transaction ID",IF(AND(L399&lt;0,D399&lt;&gt;"Adjustment"),"Negative amount — check this entry",IF(AND(D399="Customer Payment",G399=""),"Add the customer",IF(AND(D399="Customer Payment",OR(J399="",COUNTIF(ar_No,J399&amp;"")=0)),"Invoice # in Reference not found on AR sheet",IF(AND(D399="Bill Payment",H399=""),"Add the vendor",IF(AND(D399="Bill Payment",OR(J399="",COUNTIFS(ap_No,J399&amp;"",ap_Party,H399&amp;"")=0)),"Bill # + vendor not found on AP sheet",IF(AND(ISNUMBER(M399),N(M399)&lt;&gt;0,W399=0),"Tax ignored (tax tracking off, or not allowed for this type)",IF(V399=K399&amp;"","Same account on both sides",IF(AND(ISNUMBER(StartDate),C399&lt;StartDate),"Date is before the accounting start date",IF(AND(D399&lt;&gt;"Adjustment",IFERROR(INDEX(coa_Pay,MATCH(K399&amp;"",coa_Name,0)),"")&lt;&gt;"Yes"),"Paid From / Deposited To is not a payment account","")))))))))))</f>
        <v/>
      </c>
      <c r="Z399" s="67">
        <f>IF(AND(T399=0,X399=""),1,0)</f>
        <v/>
      </c>
      <c r="AA399" s="68">
        <f>IF(Z399=1,IF(U399="In",L399,L399-W399),0)</f>
        <v/>
      </c>
      <c r="AB399" s="68">
        <f>IF(Z399=1,IF(U399="In",L399-W399,L399),0)</f>
        <v/>
      </c>
      <c r="AC399" s="68">
        <f>IF(AND(Z399=1,U399="Out"),W399,0)</f>
        <v/>
      </c>
      <c r="AD399" s="68">
        <f>IF(AND(Z399=1,U399="In"),W399,0)</f>
        <v/>
      </c>
    </row>
    <row r="400">
      <c r="B400" s="62" t="inlineStr">
        <is>
          <t>TX-0394</t>
        </is>
      </c>
      <c r="C400" s="63" t="n"/>
      <c r="D400" s="62" t="n"/>
      <c r="E400" s="62" t="n"/>
      <c r="F400" s="62" t="n"/>
      <c r="G400" s="62" t="n"/>
      <c r="H400" s="62" t="n"/>
      <c r="I400" s="62" t="n"/>
      <c r="J400" s="62" t="n"/>
      <c r="K400" s="62" t="n"/>
      <c r="L400" s="64" t="n"/>
      <c r="M400" s="64" t="n"/>
      <c r="N400" s="62" t="n"/>
      <c r="O400" s="65">
        <f>IF(Z400=1,L400-W400,"")</f>
        <v/>
      </c>
      <c r="P400" s="66">
        <f>IF(V400="","",IFERROR(INDEX(coa_Type,MATCH(V400,coa_Name,0)),""))</f>
        <v/>
      </c>
      <c r="Q400" s="66">
        <f>IF(Z400=1,IF(U400="In",K400&amp;"",V400),"")</f>
        <v/>
      </c>
      <c r="R400" s="66">
        <f>IF(Z400=1,IF(U400="In",V400,K400&amp;""),"")</f>
        <v/>
      </c>
      <c r="S400" s="66">
        <f>IF(X400&lt;&gt;"","⛔ "&amp;X400&amp;" — not posted",IF(Y400&lt;&gt;"","⚠ "&amp;Y400,IF(Z400=1,"✓ OK","")))</f>
        <v/>
      </c>
      <c r="T400" s="67">
        <f>IF(AND(C400="",D400="",E400="",L400="",K400=""),1,0)</f>
        <v/>
      </c>
      <c r="U400" s="67">
        <f>IFERROR(INDEX(tt_Dir,MATCH(D400,tt_Type,0)),"")</f>
        <v/>
      </c>
      <c r="V400" s="67">
        <f>IF(D400="","",IFERROR(IF(INDEX(tt_Other,MATCH(D400,tt_Type,0))="",E400&amp;"",INDEX(tt_Other,MATCH(D400,tt_Type,0))),""))</f>
        <v/>
      </c>
      <c r="W400" s="68">
        <f>IF(OR(TaxOn&lt;&gt;"Yes",NOT(ISNUMBER(M400))),0,IF(IFERROR(INDEX(tt_Tax,MATCH(D400,tt_Type,0)),"No")="Yes",M400,0))</f>
        <v/>
      </c>
      <c r="X400" s="67">
        <f>IF(T400=1,"",IF(C400="","Missing transaction date",IF(NOT(ISNUMBER(C400)),"Invalid date",IF(OR(C400&lt;DATE(2000,1,1),C400&gt;DATE(2099,12,31)),"Invalid date",IF(D400="","Select a type",IF(U400="","Unknown type: "&amp;D400,IF(V400="","Select an account (Category)",IF(ISNA(MATCH(V400,coa_Name,0)),"Unknown account: "&amp;V400,IF(K400="","Select Paid From / Deposited To",IF(ISNA(MATCH(K400,coa_Name,0)),"Unknown account: "&amp;K400,IF(NOT(ISNUMBER(L400)),"Enter an amount",IF(L400=0,"Enter an amount",IF(ABS(W400)&gt;ABS(L400),"Tax is larger than the amount","")))))))))))))</f>
        <v/>
      </c>
      <c r="Y400" s="67">
        <f>IF(OR(T400=1,X400&lt;&gt;""),"",IF(AND(B400&lt;&gt;"",COUNTIF(tx_ID,B400)&gt;1),"Duplicate transaction ID",IF(AND(L400&lt;0,D400&lt;&gt;"Adjustment"),"Negative amount — check this entry",IF(AND(D400="Customer Payment",G400=""),"Add the customer",IF(AND(D400="Customer Payment",OR(J400="",COUNTIF(ar_No,J400&amp;"")=0)),"Invoice # in Reference not found on AR sheet",IF(AND(D400="Bill Payment",H400=""),"Add the vendor",IF(AND(D400="Bill Payment",OR(J400="",COUNTIFS(ap_No,J400&amp;"",ap_Party,H400&amp;"")=0)),"Bill # + vendor not found on AP sheet",IF(AND(ISNUMBER(M400),N(M400)&lt;&gt;0,W400=0),"Tax ignored (tax tracking off, or not allowed for this type)",IF(V400=K400&amp;"","Same account on both sides",IF(AND(ISNUMBER(StartDate),C400&lt;StartDate),"Date is before the accounting start date",IF(AND(D400&lt;&gt;"Adjustment",IFERROR(INDEX(coa_Pay,MATCH(K400&amp;"",coa_Name,0)),"")&lt;&gt;"Yes"),"Paid From / Deposited To is not a payment account","")))))))))))</f>
        <v/>
      </c>
      <c r="Z400" s="67">
        <f>IF(AND(T400=0,X400=""),1,0)</f>
        <v/>
      </c>
      <c r="AA400" s="68">
        <f>IF(Z400=1,IF(U400="In",L400,L400-W400),0)</f>
        <v/>
      </c>
      <c r="AB400" s="68">
        <f>IF(Z400=1,IF(U400="In",L400-W400,L400),0)</f>
        <v/>
      </c>
      <c r="AC400" s="68">
        <f>IF(AND(Z400=1,U400="Out"),W400,0)</f>
        <v/>
      </c>
      <c r="AD400" s="68">
        <f>IF(AND(Z400=1,U400="In"),W400,0)</f>
        <v/>
      </c>
    </row>
    <row r="401">
      <c r="B401" s="62" t="inlineStr">
        <is>
          <t>TX-0395</t>
        </is>
      </c>
      <c r="C401" s="63" t="n"/>
      <c r="D401" s="62" t="n"/>
      <c r="E401" s="62" t="n"/>
      <c r="F401" s="62" t="n"/>
      <c r="G401" s="62" t="n"/>
      <c r="H401" s="62" t="n"/>
      <c r="I401" s="62" t="n"/>
      <c r="J401" s="62" t="n"/>
      <c r="K401" s="62" t="n"/>
      <c r="L401" s="64" t="n"/>
      <c r="M401" s="64" t="n"/>
      <c r="N401" s="62" t="n"/>
      <c r="O401" s="65">
        <f>IF(Z401=1,L401-W401,"")</f>
        <v/>
      </c>
      <c r="P401" s="66">
        <f>IF(V401="","",IFERROR(INDEX(coa_Type,MATCH(V401,coa_Name,0)),""))</f>
        <v/>
      </c>
      <c r="Q401" s="66">
        <f>IF(Z401=1,IF(U401="In",K401&amp;"",V401),"")</f>
        <v/>
      </c>
      <c r="R401" s="66">
        <f>IF(Z401=1,IF(U401="In",V401,K401&amp;""),"")</f>
        <v/>
      </c>
      <c r="S401" s="66">
        <f>IF(X401&lt;&gt;"","⛔ "&amp;X401&amp;" — not posted",IF(Y401&lt;&gt;"","⚠ "&amp;Y401,IF(Z401=1,"✓ OK","")))</f>
        <v/>
      </c>
      <c r="T401" s="67">
        <f>IF(AND(C401="",D401="",E401="",L401="",K401=""),1,0)</f>
        <v/>
      </c>
      <c r="U401" s="67">
        <f>IFERROR(INDEX(tt_Dir,MATCH(D401,tt_Type,0)),"")</f>
        <v/>
      </c>
      <c r="V401" s="67">
        <f>IF(D401="","",IFERROR(IF(INDEX(tt_Other,MATCH(D401,tt_Type,0))="",E401&amp;"",INDEX(tt_Other,MATCH(D401,tt_Type,0))),""))</f>
        <v/>
      </c>
      <c r="W401" s="68">
        <f>IF(OR(TaxOn&lt;&gt;"Yes",NOT(ISNUMBER(M401))),0,IF(IFERROR(INDEX(tt_Tax,MATCH(D401,tt_Type,0)),"No")="Yes",M401,0))</f>
        <v/>
      </c>
      <c r="X401" s="67">
        <f>IF(T401=1,"",IF(C401="","Missing transaction date",IF(NOT(ISNUMBER(C401)),"Invalid date",IF(OR(C401&lt;DATE(2000,1,1),C401&gt;DATE(2099,12,31)),"Invalid date",IF(D401="","Select a type",IF(U401="","Unknown type: "&amp;D401,IF(V401="","Select an account (Category)",IF(ISNA(MATCH(V401,coa_Name,0)),"Unknown account: "&amp;V401,IF(K401="","Select Paid From / Deposited To",IF(ISNA(MATCH(K401,coa_Name,0)),"Unknown account: "&amp;K401,IF(NOT(ISNUMBER(L401)),"Enter an amount",IF(L401=0,"Enter an amount",IF(ABS(W401)&gt;ABS(L401),"Tax is larger than the amount","")))))))))))))</f>
        <v/>
      </c>
      <c r="Y401" s="67">
        <f>IF(OR(T401=1,X401&lt;&gt;""),"",IF(AND(B401&lt;&gt;"",COUNTIF(tx_ID,B401)&gt;1),"Duplicate transaction ID",IF(AND(L401&lt;0,D401&lt;&gt;"Adjustment"),"Negative amount — check this entry",IF(AND(D401="Customer Payment",G401=""),"Add the customer",IF(AND(D401="Customer Payment",OR(J401="",COUNTIF(ar_No,J401&amp;"")=0)),"Invoice # in Reference not found on AR sheet",IF(AND(D401="Bill Payment",H401=""),"Add the vendor",IF(AND(D401="Bill Payment",OR(J401="",COUNTIFS(ap_No,J401&amp;"",ap_Party,H401&amp;"")=0)),"Bill # + vendor not found on AP sheet",IF(AND(ISNUMBER(M401),N(M401)&lt;&gt;0,W401=0),"Tax ignored (tax tracking off, or not allowed for this type)",IF(V401=K401&amp;"","Same account on both sides",IF(AND(ISNUMBER(StartDate),C401&lt;StartDate),"Date is before the accounting start date",IF(AND(D401&lt;&gt;"Adjustment",IFERROR(INDEX(coa_Pay,MATCH(K401&amp;"",coa_Name,0)),"")&lt;&gt;"Yes"),"Paid From / Deposited To is not a payment account","")))))))))))</f>
        <v/>
      </c>
      <c r="Z401" s="67">
        <f>IF(AND(T401=0,X401=""),1,0)</f>
        <v/>
      </c>
      <c r="AA401" s="68">
        <f>IF(Z401=1,IF(U401="In",L401,L401-W401),0)</f>
        <v/>
      </c>
      <c r="AB401" s="68">
        <f>IF(Z401=1,IF(U401="In",L401-W401,L401),0)</f>
        <v/>
      </c>
      <c r="AC401" s="68">
        <f>IF(AND(Z401=1,U401="Out"),W401,0)</f>
        <v/>
      </c>
      <c r="AD401" s="68">
        <f>IF(AND(Z401=1,U401="In"),W401,0)</f>
        <v/>
      </c>
    </row>
    <row r="402">
      <c r="B402" s="62" t="inlineStr">
        <is>
          <t>TX-0396</t>
        </is>
      </c>
      <c r="C402" s="63" t="n"/>
      <c r="D402" s="62" t="n"/>
      <c r="E402" s="62" t="n"/>
      <c r="F402" s="62" t="n"/>
      <c r="G402" s="62" t="n"/>
      <c r="H402" s="62" t="n"/>
      <c r="I402" s="62" t="n"/>
      <c r="J402" s="62" t="n"/>
      <c r="K402" s="62" t="n"/>
      <c r="L402" s="64" t="n"/>
      <c r="M402" s="64" t="n"/>
      <c r="N402" s="62" t="n"/>
      <c r="O402" s="65">
        <f>IF(Z402=1,L402-W402,"")</f>
        <v/>
      </c>
      <c r="P402" s="66">
        <f>IF(V402="","",IFERROR(INDEX(coa_Type,MATCH(V402,coa_Name,0)),""))</f>
        <v/>
      </c>
      <c r="Q402" s="66">
        <f>IF(Z402=1,IF(U402="In",K402&amp;"",V402),"")</f>
        <v/>
      </c>
      <c r="R402" s="66">
        <f>IF(Z402=1,IF(U402="In",V402,K402&amp;""),"")</f>
        <v/>
      </c>
      <c r="S402" s="66">
        <f>IF(X402&lt;&gt;"","⛔ "&amp;X402&amp;" — not posted",IF(Y402&lt;&gt;"","⚠ "&amp;Y402,IF(Z402=1,"✓ OK","")))</f>
        <v/>
      </c>
      <c r="T402" s="67">
        <f>IF(AND(C402="",D402="",E402="",L402="",K402=""),1,0)</f>
        <v/>
      </c>
      <c r="U402" s="67">
        <f>IFERROR(INDEX(tt_Dir,MATCH(D402,tt_Type,0)),"")</f>
        <v/>
      </c>
      <c r="V402" s="67">
        <f>IF(D402="","",IFERROR(IF(INDEX(tt_Other,MATCH(D402,tt_Type,0))="",E402&amp;"",INDEX(tt_Other,MATCH(D402,tt_Type,0))),""))</f>
        <v/>
      </c>
      <c r="W402" s="68">
        <f>IF(OR(TaxOn&lt;&gt;"Yes",NOT(ISNUMBER(M402))),0,IF(IFERROR(INDEX(tt_Tax,MATCH(D402,tt_Type,0)),"No")="Yes",M402,0))</f>
        <v/>
      </c>
      <c r="X402" s="67">
        <f>IF(T402=1,"",IF(C402="","Missing transaction date",IF(NOT(ISNUMBER(C402)),"Invalid date",IF(OR(C402&lt;DATE(2000,1,1),C402&gt;DATE(2099,12,31)),"Invalid date",IF(D402="","Select a type",IF(U402="","Unknown type: "&amp;D402,IF(V402="","Select an account (Category)",IF(ISNA(MATCH(V402,coa_Name,0)),"Unknown account: "&amp;V402,IF(K402="","Select Paid From / Deposited To",IF(ISNA(MATCH(K402,coa_Name,0)),"Unknown account: "&amp;K402,IF(NOT(ISNUMBER(L402)),"Enter an amount",IF(L402=0,"Enter an amount",IF(ABS(W402)&gt;ABS(L402),"Tax is larger than the amount","")))))))))))))</f>
        <v/>
      </c>
      <c r="Y402" s="67">
        <f>IF(OR(T402=1,X402&lt;&gt;""),"",IF(AND(B402&lt;&gt;"",COUNTIF(tx_ID,B402)&gt;1),"Duplicate transaction ID",IF(AND(L402&lt;0,D402&lt;&gt;"Adjustment"),"Negative amount — check this entry",IF(AND(D402="Customer Payment",G402=""),"Add the customer",IF(AND(D402="Customer Payment",OR(J402="",COUNTIF(ar_No,J402&amp;"")=0)),"Invoice # in Reference not found on AR sheet",IF(AND(D402="Bill Payment",H402=""),"Add the vendor",IF(AND(D402="Bill Payment",OR(J402="",COUNTIFS(ap_No,J402&amp;"",ap_Party,H402&amp;"")=0)),"Bill # + vendor not found on AP sheet",IF(AND(ISNUMBER(M402),N(M402)&lt;&gt;0,W402=0),"Tax ignored (tax tracking off, or not allowed for this type)",IF(V402=K402&amp;"","Same account on both sides",IF(AND(ISNUMBER(StartDate),C402&lt;StartDate),"Date is before the accounting start date",IF(AND(D402&lt;&gt;"Adjustment",IFERROR(INDEX(coa_Pay,MATCH(K402&amp;"",coa_Name,0)),"")&lt;&gt;"Yes"),"Paid From / Deposited To is not a payment account","")))))))))))</f>
        <v/>
      </c>
      <c r="Z402" s="67">
        <f>IF(AND(T402=0,X402=""),1,0)</f>
        <v/>
      </c>
      <c r="AA402" s="68">
        <f>IF(Z402=1,IF(U402="In",L402,L402-W402),0)</f>
        <v/>
      </c>
      <c r="AB402" s="68">
        <f>IF(Z402=1,IF(U402="In",L402-W402,L402),0)</f>
        <v/>
      </c>
      <c r="AC402" s="68">
        <f>IF(AND(Z402=1,U402="Out"),W402,0)</f>
        <v/>
      </c>
      <c r="AD402" s="68">
        <f>IF(AND(Z402=1,U402="In"),W402,0)</f>
        <v/>
      </c>
    </row>
    <row r="403">
      <c r="B403" s="62" t="inlineStr">
        <is>
          <t>TX-0397</t>
        </is>
      </c>
      <c r="C403" s="63" t="n"/>
      <c r="D403" s="62" t="n"/>
      <c r="E403" s="62" t="n"/>
      <c r="F403" s="62" t="n"/>
      <c r="G403" s="62" t="n"/>
      <c r="H403" s="62" t="n"/>
      <c r="I403" s="62" t="n"/>
      <c r="J403" s="62" t="n"/>
      <c r="K403" s="62" t="n"/>
      <c r="L403" s="64" t="n"/>
      <c r="M403" s="64" t="n"/>
      <c r="N403" s="62" t="n"/>
      <c r="O403" s="65">
        <f>IF(Z403=1,L403-W403,"")</f>
        <v/>
      </c>
      <c r="P403" s="66">
        <f>IF(V403="","",IFERROR(INDEX(coa_Type,MATCH(V403,coa_Name,0)),""))</f>
        <v/>
      </c>
      <c r="Q403" s="66">
        <f>IF(Z403=1,IF(U403="In",K403&amp;"",V403),"")</f>
        <v/>
      </c>
      <c r="R403" s="66">
        <f>IF(Z403=1,IF(U403="In",V403,K403&amp;""),"")</f>
        <v/>
      </c>
      <c r="S403" s="66">
        <f>IF(X403&lt;&gt;"","⛔ "&amp;X403&amp;" — not posted",IF(Y403&lt;&gt;"","⚠ "&amp;Y403,IF(Z403=1,"✓ OK","")))</f>
        <v/>
      </c>
      <c r="T403" s="67">
        <f>IF(AND(C403="",D403="",E403="",L403="",K403=""),1,0)</f>
        <v/>
      </c>
      <c r="U403" s="67">
        <f>IFERROR(INDEX(tt_Dir,MATCH(D403,tt_Type,0)),"")</f>
        <v/>
      </c>
      <c r="V403" s="67">
        <f>IF(D403="","",IFERROR(IF(INDEX(tt_Other,MATCH(D403,tt_Type,0))="",E403&amp;"",INDEX(tt_Other,MATCH(D403,tt_Type,0))),""))</f>
        <v/>
      </c>
      <c r="W403" s="68">
        <f>IF(OR(TaxOn&lt;&gt;"Yes",NOT(ISNUMBER(M403))),0,IF(IFERROR(INDEX(tt_Tax,MATCH(D403,tt_Type,0)),"No")="Yes",M403,0))</f>
        <v/>
      </c>
      <c r="X403" s="67">
        <f>IF(T403=1,"",IF(C403="","Missing transaction date",IF(NOT(ISNUMBER(C403)),"Invalid date",IF(OR(C403&lt;DATE(2000,1,1),C403&gt;DATE(2099,12,31)),"Invalid date",IF(D403="","Select a type",IF(U403="","Unknown type: "&amp;D403,IF(V403="","Select an account (Category)",IF(ISNA(MATCH(V403,coa_Name,0)),"Unknown account: "&amp;V403,IF(K403="","Select Paid From / Deposited To",IF(ISNA(MATCH(K403,coa_Name,0)),"Unknown account: "&amp;K403,IF(NOT(ISNUMBER(L403)),"Enter an amount",IF(L403=0,"Enter an amount",IF(ABS(W403)&gt;ABS(L403),"Tax is larger than the amount","")))))))))))))</f>
        <v/>
      </c>
      <c r="Y403" s="67">
        <f>IF(OR(T403=1,X403&lt;&gt;""),"",IF(AND(B403&lt;&gt;"",COUNTIF(tx_ID,B403)&gt;1),"Duplicate transaction ID",IF(AND(L403&lt;0,D403&lt;&gt;"Adjustment"),"Negative amount — check this entry",IF(AND(D403="Customer Payment",G403=""),"Add the customer",IF(AND(D403="Customer Payment",OR(J403="",COUNTIF(ar_No,J403&amp;"")=0)),"Invoice # in Reference not found on AR sheet",IF(AND(D403="Bill Payment",H403=""),"Add the vendor",IF(AND(D403="Bill Payment",OR(J403="",COUNTIFS(ap_No,J403&amp;"",ap_Party,H403&amp;"")=0)),"Bill # + vendor not found on AP sheet",IF(AND(ISNUMBER(M403),N(M403)&lt;&gt;0,W403=0),"Tax ignored (tax tracking off, or not allowed for this type)",IF(V403=K403&amp;"","Same account on both sides",IF(AND(ISNUMBER(StartDate),C403&lt;StartDate),"Date is before the accounting start date",IF(AND(D403&lt;&gt;"Adjustment",IFERROR(INDEX(coa_Pay,MATCH(K403&amp;"",coa_Name,0)),"")&lt;&gt;"Yes"),"Paid From / Deposited To is not a payment account","")))))))))))</f>
        <v/>
      </c>
      <c r="Z403" s="67">
        <f>IF(AND(T403=0,X403=""),1,0)</f>
        <v/>
      </c>
      <c r="AA403" s="68">
        <f>IF(Z403=1,IF(U403="In",L403,L403-W403),0)</f>
        <v/>
      </c>
      <c r="AB403" s="68">
        <f>IF(Z403=1,IF(U403="In",L403-W403,L403),0)</f>
        <v/>
      </c>
      <c r="AC403" s="68">
        <f>IF(AND(Z403=1,U403="Out"),W403,0)</f>
        <v/>
      </c>
      <c r="AD403" s="68">
        <f>IF(AND(Z403=1,U403="In"),W403,0)</f>
        <v/>
      </c>
    </row>
    <row r="404">
      <c r="B404" s="62" t="inlineStr">
        <is>
          <t>TX-0398</t>
        </is>
      </c>
      <c r="C404" s="63" t="n"/>
      <c r="D404" s="62" t="n"/>
      <c r="E404" s="62" t="n"/>
      <c r="F404" s="62" t="n"/>
      <c r="G404" s="62" t="n"/>
      <c r="H404" s="62" t="n"/>
      <c r="I404" s="62" t="n"/>
      <c r="J404" s="62" t="n"/>
      <c r="K404" s="62" t="n"/>
      <c r="L404" s="64" t="n"/>
      <c r="M404" s="64" t="n"/>
      <c r="N404" s="62" t="n"/>
      <c r="O404" s="65">
        <f>IF(Z404=1,L404-W404,"")</f>
        <v/>
      </c>
      <c r="P404" s="66">
        <f>IF(V404="","",IFERROR(INDEX(coa_Type,MATCH(V404,coa_Name,0)),""))</f>
        <v/>
      </c>
      <c r="Q404" s="66">
        <f>IF(Z404=1,IF(U404="In",K404&amp;"",V404),"")</f>
        <v/>
      </c>
      <c r="R404" s="66">
        <f>IF(Z404=1,IF(U404="In",V404,K404&amp;""),"")</f>
        <v/>
      </c>
      <c r="S404" s="66">
        <f>IF(X404&lt;&gt;"","⛔ "&amp;X404&amp;" — not posted",IF(Y404&lt;&gt;"","⚠ "&amp;Y404,IF(Z404=1,"✓ OK","")))</f>
        <v/>
      </c>
      <c r="T404" s="67">
        <f>IF(AND(C404="",D404="",E404="",L404="",K404=""),1,0)</f>
        <v/>
      </c>
      <c r="U404" s="67">
        <f>IFERROR(INDEX(tt_Dir,MATCH(D404,tt_Type,0)),"")</f>
        <v/>
      </c>
      <c r="V404" s="67">
        <f>IF(D404="","",IFERROR(IF(INDEX(tt_Other,MATCH(D404,tt_Type,0))="",E404&amp;"",INDEX(tt_Other,MATCH(D404,tt_Type,0))),""))</f>
        <v/>
      </c>
      <c r="W404" s="68">
        <f>IF(OR(TaxOn&lt;&gt;"Yes",NOT(ISNUMBER(M404))),0,IF(IFERROR(INDEX(tt_Tax,MATCH(D404,tt_Type,0)),"No")="Yes",M404,0))</f>
        <v/>
      </c>
      <c r="X404" s="67">
        <f>IF(T404=1,"",IF(C404="","Missing transaction date",IF(NOT(ISNUMBER(C404)),"Invalid date",IF(OR(C404&lt;DATE(2000,1,1),C404&gt;DATE(2099,12,31)),"Invalid date",IF(D404="","Select a type",IF(U404="","Unknown type: "&amp;D404,IF(V404="","Select an account (Category)",IF(ISNA(MATCH(V404,coa_Name,0)),"Unknown account: "&amp;V404,IF(K404="","Select Paid From / Deposited To",IF(ISNA(MATCH(K404,coa_Name,0)),"Unknown account: "&amp;K404,IF(NOT(ISNUMBER(L404)),"Enter an amount",IF(L404=0,"Enter an amount",IF(ABS(W404)&gt;ABS(L404),"Tax is larger than the amount","")))))))))))))</f>
        <v/>
      </c>
      <c r="Y404" s="67">
        <f>IF(OR(T404=1,X404&lt;&gt;""),"",IF(AND(B404&lt;&gt;"",COUNTIF(tx_ID,B404)&gt;1),"Duplicate transaction ID",IF(AND(L404&lt;0,D404&lt;&gt;"Adjustment"),"Negative amount — check this entry",IF(AND(D404="Customer Payment",G404=""),"Add the customer",IF(AND(D404="Customer Payment",OR(J404="",COUNTIF(ar_No,J404&amp;"")=0)),"Invoice # in Reference not found on AR sheet",IF(AND(D404="Bill Payment",H404=""),"Add the vendor",IF(AND(D404="Bill Payment",OR(J404="",COUNTIFS(ap_No,J404&amp;"",ap_Party,H404&amp;"")=0)),"Bill # + vendor not found on AP sheet",IF(AND(ISNUMBER(M404),N(M404)&lt;&gt;0,W404=0),"Tax ignored (tax tracking off, or not allowed for this type)",IF(V404=K404&amp;"","Same account on both sides",IF(AND(ISNUMBER(StartDate),C404&lt;StartDate),"Date is before the accounting start date",IF(AND(D404&lt;&gt;"Adjustment",IFERROR(INDEX(coa_Pay,MATCH(K404&amp;"",coa_Name,0)),"")&lt;&gt;"Yes"),"Paid From / Deposited To is not a payment account","")))))))))))</f>
        <v/>
      </c>
      <c r="Z404" s="67">
        <f>IF(AND(T404=0,X404=""),1,0)</f>
        <v/>
      </c>
      <c r="AA404" s="68">
        <f>IF(Z404=1,IF(U404="In",L404,L404-W404),0)</f>
        <v/>
      </c>
      <c r="AB404" s="68">
        <f>IF(Z404=1,IF(U404="In",L404-W404,L404),0)</f>
        <v/>
      </c>
      <c r="AC404" s="68">
        <f>IF(AND(Z404=1,U404="Out"),W404,0)</f>
        <v/>
      </c>
      <c r="AD404" s="68">
        <f>IF(AND(Z404=1,U404="In"),W404,0)</f>
        <v/>
      </c>
    </row>
    <row r="405">
      <c r="B405" s="62" t="inlineStr">
        <is>
          <t>TX-0399</t>
        </is>
      </c>
      <c r="C405" s="63" t="n"/>
      <c r="D405" s="62" t="n"/>
      <c r="E405" s="62" t="n"/>
      <c r="F405" s="62" t="n"/>
      <c r="G405" s="62" t="n"/>
      <c r="H405" s="62" t="n"/>
      <c r="I405" s="62" t="n"/>
      <c r="J405" s="62" t="n"/>
      <c r="K405" s="62" t="n"/>
      <c r="L405" s="64" t="n"/>
      <c r="M405" s="64" t="n"/>
      <c r="N405" s="62" t="n"/>
      <c r="O405" s="65">
        <f>IF(Z405=1,L405-W405,"")</f>
        <v/>
      </c>
      <c r="P405" s="66">
        <f>IF(V405="","",IFERROR(INDEX(coa_Type,MATCH(V405,coa_Name,0)),""))</f>
        <v/>
      </c>
      <c r="Q405" s="66">
        <f>IF(Z405=1,IF(U405="In",K405&amp;"",V405),"")</f>
        <v/>
      </c>
      <c r="R405" s="66">
        <f>IF(Z405=1,IF(U405="In",V405,K405&amp;""),"")</f>
        <v/>
      </c>
      <c r="S405" s="66">
        <f>IF(X405&lt;&gt;"","⛔ "&amp;X405&amp;" — not posted",IF(Y405&lt;&gt;"","⚠ "&amp;Y405,IF(Z405=1,"✓ OK","")))</f>
        <v/>
      </c>
      <c r="T405" s="67">
        <f>IF(AND(C405="",D405="",E405="",L405="",K405=""),1,0)</f>
        <v/>
      </c>
      <c r="U405" s="67">
        <f>IFERROR(INDEX(tt_Dir,MATCH(D405,tt_Type,0)),"")</f>
        <v/>
      </c>
      <c r="V405" s="67">
        <f>IF(D405="","",IFERROR(IF(INDEX(tt_Other,MATCH(D405,tt_Type,0))="",E405&amp;"",INDEX(tt_Other,MATCH(D405,tt_Type,0))),""))</f>
        <v/>
      </c>
      <c r="W405" s="68">
        <f>IF(OR(TaxOn&lt;&gt;"Yes",NOT(ISNUMBER(M405))),0,IF(IFERROR(INDEX(tt_Tax,MATCH(D405,tt_Type,0)),"No")="Yes",M405,0))</f>
        <v/>
      </c>
      <c r="X405" s="67">
        <f>IF(T405=1,"",IF(C405="","Missing transaction date",IF(NOT(ISNUMBER(C405)),"Invalid date",IF(OR(C405&lt;DATE(2000,1,1),C405&gt;DATE(2099,12,31)),"Invalid date",IF(D405="","Select a type",IF(U405="","Unknown type: "&amp;D405,IF(V405="","Select an account (Category)",IF(ISNA(MATCH(V405,coa_Name,0)),"Unknown account: "&amp;V405,IF(K405="","Select Paid From / Deposited To",IF(ISNA(MATCH(K405,coa_Name,0)),"Unknown account: "&amp;K405,IF(NOT(ISNUMBER(L405)),"Enter an amount",IF(L405=0,"Enter an amount",IF(ABS(W405)&gt;ABS(L405),"Tax is larger than the amount","")))))))))))))</f>
        <v/>
      </c>
      <c r="Y405" s="67">
        <f>IF(OR(T405=1,X405&lt;&gt;""),"",IF(AND(B405&lt;&gt;"",COUNTIF(tx_ID,B405)&gt;1),"Duplicate transaction ID",IF(AND(L405&lt;0,D405&lt;&gt;"Adjustment"),"Negative amount — check this entry",IF(AND(D405="Customer Payment",G405=""),"Add the customer",IF(AND(D405="Customer Payment",OR(J405="",COUNTIF(ar_No,J405&amp;"")=0)),"Invoice # in Reference not found on AR sheet",IF(AND(D405="Bill Payment",H405=""),"Add the vendor",IF(AND(D405="Bill Payment",OR(J405="",COUNTIFS(ap_No,J405&amp;"",ap_Party,H405&amp;"")=0)),"Bill # + vendor not found on AP sheet",IF(AND(ISNUMBER(M405),N(M405)&lt;&gt;0,W405=0),"Tax ignored (tax tracking off, or not allowed for this type)",IF(V405=K405&amp;"","Same account on both sides",IF(AND(ISNUMBER(StartDate),C405&lt;StartDate),"Date is before the accounting start date",IF(AND(D405&lt;&gt;"Adjustment",IFERROR(INDEX(coa_Pay,MATCH(K405&amp;"",coa_Name,0)),"")&lt;&gt;"Yes"),"Paid From / Deposited To is not a payment account","")))))))))))</f>
        <v/>
      </c>
      <c r="Z405" s="67">
        <f>IF(AND(T405=0,X405=""),1,0)</f>
        <v/>
      </c>
      <c r="AA405" s="68">
        <f>IF(Z405=1,IF(U405="In",L405,L405-W405),0)</f>
        <v/>
      </c>
      <c r="AB405" s="68">
        <f>IF(Z405=1,IF(U405="In",L405-W405,L405),0)</f>
        <v/>
      </c>
      <c r="AC405" s="68">
        <f>IF(AND(Z405=1,U405="Out"),W405,0)</f>
        <v/>
      </c>
      <c r="AD405" s="68">
        <f>IF(AND(Z405=1,U405="In"),W405,0)</f>
        <v/>
      </c>
    </row>
    <row r="406">
      <c r="B406" s="62" t="inlineStr">
        <is>
          <t>TX-0400</t>
        </is>
      </c>
      <c r="C406" s="63" t="n"/>
      <c r="D406" s="62" t="n"/>
      <c r="E406" s="62" t="n"/>
      <c r="F406" s="62" t="n"/>
      <c r="G406" s="62" t="n"/>
      <c r="H406" s="62" t="n"/>
      <c r="I406" s="62" t="n"/>
      <c r="J406" s="62" t="n"/>
      <c r="K406" s="62" t="n"/>
      <c r="L406" s="64" t="n"/>
      <c r="M406" s="64" t="n"/>
      <c r="N406" s="62" t="n"/>
      <c r="O406" s="65">
        <f>IF(Z406=1,L406-W406,"")</f>
        <v/>
      </c>
      <c r="P406" s="66">
        <f>IF(V406="","",IFERROR(INDEX(coa_Type,MATCH(V406,coa_Name,0)),""))</f>
        <v/>
      </c>
      <c r="Q406" s="66">
        <f>IF(Z406=1,IF(U406="In",K406&amp;"",V406),"")</f>
        <v/>
      </c>
      <c r="R406" s="66">
        <f>IF(Z406=1,IF(U406="In",V406,K406&amp;""),"")</f>
        <v/>
      </c>
      <c r="S406" s="66">
        <f>IF(X406&lt;&gt;"","⛔ "&amp;X406&amp;" — not posted",IF(Y406&lt;&gt;"","⚠ "&amp;Y406,IF(Z406=1,"✓ OK","")))</f>
        <v/>
      </c>
      <c r="T406" s="67">
        <f>IF(AND(C406="",D406="",E406="",L406="",K406=""),1,0)</f>
        <v/>
      </c>
      <c r="U406" s="67">
        <f>IFERROR(INDEX(tt_Dir,MATCH(D406,tt_Type,0)),"")</f>
        <v/>
      </c>
      <c r="V406" s="67">
        <f>IF(D406="","",IFERROR(IF(INDEX(tt_Other,MATCH(D406,tt_Type,0))="",E406&amp;"",INDEX(tt_Other,MATCH(D406,tt_Type,0))),""))</f>
        <v/>
      </c>
      <c r="W406" s="68">
        <f>IF(OR(TaxOn&lt;&gt;"Yes",NOT(ISNUMBER(M406))),0,IF(IFERROR(INDEX(tt_Tax,MATCH(D406,tt_Type,0)),"No")="Yes",M406,0))</f>
        <v/>
      </c>
      <c r="X406" s="67">
        <f>IF(T406=1,"",IF(C406="","Missing transaction date",IF(NOT(ISNUMBER(C406)),"Invalid date",IF(OR(C406&lt;DATE(2000,1,1),C406&gt;DATE(2099,12,31)),"Invalid date",IF(D406="","Select a type",IF(U406="","Unknown type: "&amp;D406,IF(V406="","Select an account (Category)",IF(ISNA(MATCH(V406,coa_Name,0)),"Unknown account: "&amp;V406,IF(K406="","Select Paid From / Deposited To",IF(ISNA(MATCH(K406,coa_Name,0)),"Unknown account: "&amp;K406,IF(NOT(ISNUMBER(L406)),"Enter an amount",IF(L406=0,"Enter an amount",IF(ABS(W406)&gt;ABS(L406),"Tax is larger than the amount","")))))))))))))</f>
        <v/>
      </c>
      <c r="Y406" s="67">
        <f>IF(OR(T406=1,X406&lt;&gt;""),"",IF(AND(B406&lt;&gt;"",COUNTIF(tx_ID,B406)&gt;1),"Duplicate transaction ID",IF(AND(L406&lt;0,D406&lt;&gt;"Adjustment"),"Negative amount — check this entry",IF(AND(D406="Customer Payment",G406=""),"Add the customer",IF(AND(D406="Customer Payment",OR(J406="",COUNTIF(ar_No,J406&amp;"")=0)),"Invoice # in Reference not found on AR sheet",IF(AND(D406="Bill Payment",H406=""),"Add the vendor",IF(AND(D406="Bill Payment",OR(J406="",COUNTIFS(ap_No,J406&amp;"",ap_Party,H406&amp;"")=0)),"Bill # + vendor not found on AP sheet",IF(AND(ISNUMBER(M406),N(M406)&lt;&gt;0,W406=0),"Tax ignored (tax tracking off, or not allowed for this type)",IF(V406=K406&amp;"","Same account on both sides",IF(AND(ISNUMBER(StartDate),C406&lt;StartDate),"Date is before the accounting start date",IF(AND(D406&lt;&gt;"Adjustment",IFERROR(INDEX(coa_Pay,MATCH(K406&amp;"",coa_Name,0)),"")&lt;&gt;"Yes"),"Paid From / Deposited To is not a payment account","")))))))))))</f>
        <v/>
      </c>
      <c r="Z406" s="67">
        <f>IF(AND(T406=0,X406=""),1,0)</f>
        <v/>
      </c>
      <c r="AA406" s="68">
        <f>IF(Z406=1,IF(U406="In",L406,L406-W406),0)</f>
        <v/>
      </c>
      <c r="AB406" s="68">
        <f>IF(Z406=1,IF(U406="In",L406-W406,L406),0)</f>
        <v/>
      </c>
      <c r="AC406" s="68">
        <f>IF(AND(Z406=1,U406="Out"),W406,0)</f>
        <v/>
      </c>
      <c r="AD406" s="68">
        <f>IF(AND(Z406=1,U406="In"),W406,0)</f>
        <v/>
      </c>
    </row>
    <row r="407">
      <c r="B407" s="62" t="inlineStr">
        <is>
          <t>TX-0401</t>
        </is>
      </c>
      <c r="C407" s="63" t="n"/>
      <c r="D407" s="62" t="n"/>
      <c r="E407" s="62" t="n"/>
      <c r="F407" s="62" t="n"/>
      <c r="G407" s="62" t="n"/>
      <c r="H407" s="62" t="n"/>
      <c r="I407" s="62" t="n"/>
      <c r="J407" s="62" t="n"/>
      <c r="K407" s="62" t="n"/>
      <c r="L407" s="64" t="n"/>
      <c r="M407" s="64" t="n"/>
      <c r="N407" s="62" t="n"/>
      <c r="O407" s="65">
        <f>IF(Z407=1,L407-W407,"")</f>
        <v/>
      </c>
      <c r="P407" s="66">
        <f>IF(V407="","",IFERROR(INDEX(coa_Type,MATCH(V407,coa_Name,0)),""))</f>
        <v/>
      </c>
      <c r="Q407" s="66">
        <f>IF(Z407=1,IF(U407="In",K407&amp;"",V407),"")</f>
        <v/>
      </c>
      <c r="R407" s="66">
        <f>IF(Z407=1,IF(U407="In",V407,K407&amp;""),"")</f>
        <v/>
      </c>
      <c r="S407" s="66">
        <f>IF(X407&lt;&gt;"","⛔ "&amp;X407&amp;" — not posted",IF(Y407&lt;&gt;"","⚠ "&amp;Y407,IF(Z407=1,"✓ OK","")))</f>
        <v/>
      </c>
      <c r="T407" s="67">
        <f>IF(AND(C407="",D407="",E407="",L407="",K407=""),1,0)</f>
        <v/>
      </c>
      <c r="U407" s="67">
        <f>IFERROR(INDEX(tt_Dir,MATCH(D407,tt_Type,0)),"")</f>
        <v/>
      </c>
      <c r="V407" s="67">
        <f>IF(D407="","",IFERROR(IF(INDEX(tt_Other,MATCH(D407,tt_Type,0))="",E407&amp;"",INDEX(tt_Other,MATCH(D407,tt_Type,0))),""))</f>
        <v/>
      </c>
      <c r="W407" s="68">
        <f>IF(OR(TaxOn&lt;&gt;"Yes",NOT(ISNUMBER(M407))),0,IF(IFERROR(INDEX(tt_Tax,MATCH(D407,tt_Type,0)),"No")="Yes",M407,0))</f>
        <v/>
      </c>
      <c r="X407" s="67">
        <f>IF(T407=1,"",IF(C407="","Missing transaction date",IF(NOT(ISNUMBER(C407)),"Invalid date",IF(OR(C407&lt;DATE(2000,1,1),C407&gt;DATE(2099,12,31)),"Invalid date",IF(D407="","Select a type",IF(U407="","Unknown type: "&amp;D407,IF(V407="","Select an account (Category)",IF(ISNA(MATCH(V407,coa_Name,0)),"Unknown account: "&amp;V407,IF(K407="","Select Paid From / Deposited To",IF(ISNA(MATCH(K407,coa_Name,0)),"Unknown account: "&amp;K407,IF(NOT(ISNUMBER(L407)),"Enter an amount",IF(L407=0,"Enter an amount",IF(ABS(W407)&gt;ABS(L407),"Tax is larger than the amount","")))))))))))))</f>
        <v/>
      </c>
      <c r="Y407" s="67">
        <f>IF(OR(T407=1,X407&lt;&gt;""),"",IF(AND(B407&lt;&gt;"",COUNTIF(tx_ID,B407)&gt;1),"Duplicate transaction ID",IF(AND(L407&lt;0,D407&lt;&gt;"Adjustment"),"Negative amount — check this entry",IF(AND(D407="Customer Payment",G407=""),"Add the customer",IF(AND(D407="Customer Payment",OR(J407="",COUNTIF(ar_No,J407&amp;"")=0)),"Invoice # in Reference not found on AR sheet",IF(AND(D407="Bill Payment",H407=""),"Add the vendor",IF(AND(D407="Bill Payment",OR(J407="",COUNTIFS(ap_No,J407&amp;"",ap_Party,H407&amp;"")=0)),"Bill # + vendor not found on AP sheet",IF(AND(ISNUMBER(M407),N(M407)&lt;&gt;0,W407=0),"Tax ignored (tax tracking off, or not allowed for this type)",IF(V407=K407&amp;"","Same account on both sides",IF(AND(ISNUMBER(StartDate),C407&lt;StartDate),"Date is before the accounting start date",IF(AND(D407&lt;&gt;"Adjustment",IFERROR(INDEX(coa_Pay,MATCH(K407&amp;"",coa_Name,0)),"")&lt;&gt;"Yes"),"Paid From / Deposited To is not a payment account","")))))))))))</f>
        <v/>
      </c>
      <c r="Z407" s="67">
        <f>IF(AND(T407=0,X407=""),1,0)</f>
        <v/>
      </c>
      <c r="AA407" s="68">
        <f>IF(Z407=1,IF(U407="In",L407,L407-W407),0)</f>
        <v/>
      </c>
      <c r="AB407" s="68">
        <f>IF(Z407=1,IF(U407="In",L407-W407,L407),0)</f>
        <v/>
      </c>
      <c r="AC407" s="68">
        <f>IF(AND(Z407=1,U407="Out"),W407,0)</f>
        <v/>
      </c>
      <c r="AD407" s="68">
        <f>IF(AND(Z407=1,U407="In"),W407,0)</f>
        <v/>
      </c>
    </row>
    <row r="408">
      <c r="B408" s="62" t="inlineStr">
        <is>
          <t>TX-0402</t>
        </is>
      </c>
      <c r="C408" s="63" t="n"/>
      <c r="D408" s="62" t="n"/>
      <c r="E408" s="62" t="n"/>
      <c r="F408" s="62" t="n"/>
      <c r="G408" s="62" t="n"/>
      <c r="H408" s="62" t="n"/>
      <c r="I408" s="62" t="n"/>
      <c r="J408" s="62" t="n"/>
      <c r="K408" s="62" t="n"/>
      <c r="L408" s="64" t="n"/>
      <c r="M408" s="64" t="n"/>
      <c r="N408" s="62" t="n"/>
      <c r="O408" s="65">
        <f>IF(Z408=1,L408-W408,"")</f>
        <v/>
      </c>
      <c r="P408" s="66">
        <f>IF(V408="","",IFERROR(INDEX(coa_Type,MATCH(V408,coa_Name,0)),""))</f>
        <v/>
      </c>
      <c r="Q408" s="66">
        <f>IF(Z408=1,IF(U408="In",K408&amp;"",V408),"")</f>
        <v/>
      </c>
      <c r="R408" s="66">
        <f>IF(Z408=1,IF(U408="In",V408,K408&amp;""),"")</f>
        <v/>
      </c>
      <c r="S408" s="66">
        <f>IF(X408&lt;&gt;"","⛔ "&amp;X408&amp;" — not posted",IF(Y408&lt;&gt;"","⚠ "&amp;Y408,IF(Z408=1,"✓ OK","")))</f>
        <v/>
      </c>
      <c r="T408" s="67">
        <f>IF(AND(C408="",D408="",E408="",L408="",K408=""),1,0)</f>
        <v/>
      </c>
      <c r="U408" s="67">
        <f>IFERROR(INDEX(tt_Dir,MATCH(D408,tt_Type,0)),"")</f>
        <v/>
      </c>
      <c r="V408" s="67">
        <f>IF(D408="","",IFERROR(IF(INDEX(tt_Other,MATCH(D408,tt_Type,0))="",E408&amp;"",INDEX(tt_Other,MATCH(D408,tt_Type,0))),""))</f>
        <v/>
      </c>
      <c r="W408" s="68">
        <f>IF(OR(TaxOn&lt;&gt;"Yes",NOT(ISNUMBER(M408))),0,IF(IFERROR(INDEX(tt_Tax,MATCH(D408,tt_Type,0)),"No")="Yes",M408,0))</f>
        <v/>
      </c>
      <c r="X408" s="67">
        <f>IF(T408=1,"",IF(C408="","Missing transaction date",IF(NOT(ISNUMBER(C408)),"Invalid date",IF(OR(C408&lt;DATE(2000,1,1),C408&gt;DATE(2099,12,31)),"Invalid date",IF(D408="","Select a type",IF(U408="","Unknown type: "&amp;D408,IF(V408="","Select an account (Category)",IF(ISNA(MATCH(V408,coa_Name,0)),"Unknown account: "&amp;V408,IF(K408="","Select Paid From / Deposited To",IF(ISNA(MATCH(K408,coa_Name,0)),"Unknown account: "&amp;K408,IF(NOT(ISNUMBER(L408)),"Enter an amount",IF(L408=0,"Enter an amount",IF(ABS(W408)&gt;ABS(L408),"Tax is larger than the amount","")))))))))))))</f>
        <v/>
      </c>
      <c r="Y408" s="67">
        <f>IF(OR(T408=1,X408&lt;&gt;""),"",IF(AND(B408&lt;&gt;"",COUNTIF(tx_ID,B408)&gt;1),"Duplicate transaction ID",IF(AND(L408&lt;0,D408&lt;&gt;"Adjustment"),"Negative amount — check this entry",IF(AND(D408="Customer Payment",G408=""),"Add the customer",IF(AND(D408="Customer Payment",OR(J408="",COUNTIF(ar_No,J408&amp;"")=0)),"Invoice # in Reference not found on AR sheet",IF(AND(D408="Bill Payment",H408=""),"Add the vendor",IF(AND(D408="Bill Payment",OR(J408="",COUNTIFS(ap_No,J408&amp;"",ap_Party,H408&amp;"")=0)),"Bill # + vendor not found on AP sheet",IF(AND(ISNUMBER(M408),N(M408)&lt;&gt;0,W408=0),"Tax ignored (tax tracking off, or not allowed for this type)",IF(V408=K408&amp;"","Same account on both sides",IF(AND(ISNUMBER(StartDate),C408&lt;StartDate),"Date is before the accounting start date",IF(AND(D408&lt;&gt;"Adjustment",IFERROR(INDEX(coa_Pay,MATCH(K408&amp;"",coa_Name,0)),"")&lt;&gt;"Yes"),"Paid From / Deposited To is not a payment account","")))))))))))</f>
        <v/>
      </c>
      <c r="Z408" s="67">
        <f>IF(AND(T408=0,X408=""),1,0)</f>
        <v/>
      </c>
      <c r="AA408" s="68">
        <f>IF(Z408=1,IF(U408="In",L408,L408-W408),0)</f>
        <v/>
      </c>
      <c r="AB408" s="68">
        <f>IF(Z408=1,IF(U408="In",L408-W408,L408),0)</f>
        <v/>
      </c>
      <c r="AC408" s="68">
        <f>IF(AND(Z408=1,U408="Out"),W408,0)</f>
        <v/>
      </c>
      <c r="AD408" s="68">
        <f>IF(AND(Z408=1,U408="In"),W408,0)</f>
        <v/>
      </c>
    </row>
    <row r="409">
      <c r="B409" s="62" t="inlineStr">
        <is>
          <t>TX-0403</t>
        </is>
      </c>
      <c r="C409" s="63" t="n"/>
      <c r="D409" s="62" t="n"/>
      <c r="E409" s="62" t="n"/>
      <c r="F409" s="62" t="n"/>
      <c r="G409" s="62" t="n"/>
      <c r="H409" s="62" t="n"/>
      <c r="I409" s="62" t="n"/>
      <c r="J409" s="62" t="n"/>
      <c r="K409" s="62" t="n"/>
      <c r="L409" s="64" t="n"/>
      <c r="M409" s="64" t="n"/>
      <c r="N409" s="62" t="n"/>
      <c r="O409" s="65">
        <f>IF(Z409=1,L409-W409,"")</f>
        <v/>
      </c>
      <c r="P409" s="66">
        <f>IF(V409="","",IFERROR(INDEX(coa_Type,MATCH(V409,coa_Name,0)),""))</f>
        <v/>
      </c>
      <c r="Q409" s="66">
        <f>IF(Z409=1,IF(U409="In",K409&amp;"",V409),"")</f>
        <v/>
      </c>
      <c r="R409" s="66">
        <f>IF(Z409=1,IF(U409="In",V409,K409&amp;""),"")</f>
        <v/>
      </c>
      <c r="S409" s="66">
        <f>IF(X409&lt;&gt;"","⛔ "&amp;X409&amp;" — not posted",IF(Y409&lt;&gt;"","⚠ "&amp;Y409,IF(Z409=1,"✓ OK","")))</f>
        <v/>
      </c>
      <c r="T409" s="67">
        <f>IF(AND(C409="",D409="",E409="",L409="",K409=""),1,0)</f>
        <v/>
      </c>
      <c r="U409" s="67">
        <f>IFERROR(INDEX(tt_Dir,MATCH(D409,tt_Type,0)),"")</f>
        <v/>
      </c>
      <c r="V409" s="67">
        <f>IF(D409="","",IFERROR(IF(INDEX(tt_Other,MATCH(D409,tt_Type,0))="",E409&amp;"",INDEX(tt_Other,MATCH(D409,tt_Type,0))),""))</f>
        <v/>
      </c>
      <c r="W409" s="68">
        <f>IF(OR(TaxOn&lt;&gt;"Yes",NOT(ISNUMBER(M409))),0,IF(IFERROR(INDEX(tt_Tax,MATCH(D409,tt_Type,0)),"No")="Yes",M409,0))</f>
        <v/>
      </c>
      <c r="X409" s="67">
        <f>IF(T409=1,"",IF(C409="","Missing transaction date",IF(NOT(ISNUMBER(C409)),"Invalid date",IF(OR(C409&lt;DATE(2000,1,1),C409&gt;DATE(2099,12,31)),"Invalid date",IF(D409="","Select a type",IF(U409="","Unknown type: "&amp;D409,IF(V409="","Select an account (Category)",IF(ISNA(MATCH(V409,coa_Name,0)),"Unknown account: "&amp;V409,IF(K409="","Select Paid From / Deposited To",IF(ISNA(MATCH(K409,coa_Name,0)),"Unknown account: "&amp;K409,IF(NOT(ISNUMBER(L409)),"Enter an amount",IF(L409=0,"Enter an amount",IF(ABS(W409)&gt;ABS(L409),"Tax is larger than the amount","")))))))))))))</f>
        <v/>
      </c>
      <c r="Y409" s="67">
        <f>IF(OR(T409=1,X409&lt;&gt;""),"",IF(AND(B409&lt;&gt;"",COUNTIF(tx_ID,B409)&gt;1),"Duplicate transaction ID",IF(AND(L409&lt;0,D409&lt;&gt;"Adjustment"),"Negative amount — check this entry",IF(AND(D409="Customer Payment",G409=""),"Add the customer",IF(AND(D409="Customer Payment",OR(J409="",COUNTIF(ar_No,J409&amp;"")=0)),"Invoice # in Reference not found on AR sheet",IF(AND(D409="Bill Payment",H409=""),"Add the vendor",IF(AND(D409="Bill Payment",OR(J409="",COUNTIFS(ap_No,J409&amp;"",ap_Party,H409&amp;"")=0)),"Bill # + vendor not found on AP sheet",IF(AND(ISNUMBER(M409),N(M409)&lt;&gt;0,W409=0),"Tax ignored (tax tracking off, or not allowed for this type)",IF(V409=K409&amp;"","Same account on both sides",IF(AND(ISNUMBER(StartDate),C409&lt;StartDate),"Date is before the accounting start date",IF(AND(D409&lt;&gt;"Adjustment",IFERROR(INDEX(coa_Pay,MATCH(K409&amp;"",coa_Name,0)),"")&lt;&gt;"Yes"),"Paid From / Deposited To is not a payment account","")))))))))))</f>
        <v/>
      </c>
      <c r="Z409" s="67">
        <f>IF(AND(T409=0,X409=""),1,0)</f>
        <v/>
      </c>
      <c r="AA409" s="68">
        <f>IF(Z409=1,IF(U409="In",L409,L409-W409),0)</f>
        <v/>
      </c>
      <c r="AB409" s="68">
        <f>IF(Z409=1,IF(U409="In",L409-W409,L409),0)</f>
        <v/>
      </c>
      <c r="AC409" s="68">
        <f>IF(AND(Z409=1,U409="Out"),W409,0)</f>
        <v/>
      </c>
      <c r="AD409" s="68">
        <f>IF(AND(Z409=1,U409="In"),W409,0)</f>
        <v/>
      </c>
    </row>
    <row r="410">
      <c r="B410" s="62" t="inlineStr">
        <is>
          <t>TX-0404</t>
        </is>
      </c>
      <c r="C410" s="63" t="n"/>
      <c r="D410" s="62" t="n"/>
      <c r="E410" s="62" t="n"/>
      <c r="F410" s="62" t="n"/>
      <c r="G410" s="62" t="n"/>
      <c r="H410" s="62" t="n"/>
      <c r="I410" s="62" t="n"/>
      <c r="J410" s="62" t="n"/>
      <c r="K410" s="62" t="n"/>
      <c r="L410" s="64" t="n"/>
      <c r="M410" s="64" t="n"/>
      <c r="N410" s="62" t="n"/>
      <c r="O410" s="65">
        <f>IF(Z410=1,L410-W410,"")</f>
        <v/>
      </c>
      <c r="P410" s="66">
        <f>IF(V410="","",IFERROR(INDEX(coa_Type,MATCH(V410,coa_Name,0)),""))</f>
        <v/>
      </c>
      <c r="Q410" s="66">
        <f>IF(Z410=1,IF(U410="In",K410&amp;"",V410),"")</f>
        <v/>
      </c>
      <c r="R410" s="66">
        <f>IF(Z410=1,IF(U410="In",V410,K410&amp;""),"")</f>
        <v/>
      </c>
      <c r="S410" s="66">
        <f>IF(X410&lt;&gt;"","⛔ "&amp;X410&amp;" — not posted",IF(Y410&lt;&gt;"","⚠ "&amp;Y410,IF(Z410=1,"✓ OK","")))</f>
        <v/>
      </c>
      <c r="T410" s="67">
        <f>IF(AND(C410="",D410="",E410="",L410="",K410=""),1,0)</f>
        <v/>
      </c>
      <c r="U410" s="67">
        <f>IFERROR(INDEX(tt_Dir,MATCH(D410,tt_Type,0)),"")</f>
        <v/>
      </c>
      <c r="V410" s="67">
        <f>IF(D410="","",IFERROR(IF(INDEX(tt_Other,MATCH(D410,tt_Type,0))="",E410&amp;"",INDEX(tt_Other,MATCH(D410,tt_Type,0))),""))</f>
        <v/>
      </c>
      <c r="W410" s="68">
        <f>IF(OR(TaxOn&lt;&gt;"Yes",NOT(ISNUMBER(M410))),0,IF(IFERROR(INDEX(tt_Tax,MATCH(D410,tt_Type,0)),"No")="Yes",M410,0))</f>
        <v/>
      </c>
      <c r="X410" s="67">
        <f>IF(T410=1,"",IF(C410="","Missing transaction date",IF(NOT(ISNUMBER(C410)),"Invalid date",IF(OR(C410&lt;DATE(2000,1,1),C410&gt;DATE(2099,12,31)),"Invalid date",IF(D410="","Select a type",IF(U410="","Unknown type: "&amp;D410,IF(V410="","Select an account (Category)",IF(ISNA(MATCH(V410,coa_Name,0)),"Unknown account: "&amp;V410,IF(K410="","Select Paid From / Deposited To",IF(ISNA(MATCH(K410,coa_Name,0)),"Unknown account: "&amp;K410,IF(NOT(ISNUMBER(L410)),"Enter an amount",IF(L410=0,"Enter an amount",IF(ABS(W410)&gt;ABS(L410),"Tax is larger than the amount","")))))))))))))</f>
        <v/>
      </c>
      <c r="Y410" s="67">
        <f>IF(OR(T410=1,X410&lt;&gt;""),"",IF(AND(B410&lt;&gt;"",COUNTIF(tx_ID,B410)&gt;1),"Duplicate transaction ID",IF(AND(L410&lt;0,D410&lt;&gt;"Adjustment"),"Negative amount — check this entry",IF(AND(D410="Customer Payment",G410=""),"Add the customer",IF(AND(D410="Customer Payment",OR(J410="",COUNTIF(ar_No,J410&amp;"")=0)),"Invoice # in Reference not found on AR sheet",IF(AND(D410="Bill Payment",H410=""),"Add the vendor",IF(AND(D410="Bill Payment",OR(J410="",COUNTIFS(ap_No,J410&amp;"",ap_Party,H410&amp;"")=0)),"Bill # + vendor not found on AP sheet",IF(AND(ISNUMBER(M410),N(M410)&lt;&gt;0,W410=0),"Tax ignored (tax tracking off, or not allowed for this type)",IF(V410=K410&amp;"","Same account on both sides",IF(AND(ISNUMBER(StartDate),C410&lt;StartDate),"Date is before the accounting start date",IF(AND(D410&lt;&gt;"Adjustment",IFERROR(INDEX(coa_Pay,MATCH(K410&amp;"",coa_Name,0)),"")&lt;&gt;"Yes"),"Paid From / Deposited To is not a payment account","")))))))))))</f>
        <v/>
      </c>
      <c r="Z410" s="67">
        <f>IF(AND(T410=0,X410=""),1,0)</f>
        <v/>
      </c>
      <c r="AA410" s="68">
        <f>IF(Z410=1,IF(U410="In",L410,L410-W410),0)</f>
        <v/>
      </c>
      <c r="AB410" s="68">
        <f>IF(Z410=1,IF(U410="In",L410-W410,L410),0)</f>
        <v/>
      </c>
      <c r="AC410" s="68">
        <f>IF(AND(Z410=1,U410="Out"),W410,0)</f>
        <v/>
      </c>
      <c r="AD410" s="68">
        <f>IF(AND(Z410=1,U410="In"),W410,0)</f>
        <v/>
      </c>
    </row>
    <row r="411">
      <c r="B411" s="62" t="inlineStr">
        <is>
          <t>TX-0405</t>
        </is>
      </c>
      <c r="C411" s="63" t="n"/>
      <c r="D411" s="62" t="n"/>
      <c r="E411" s="62" t="n"/>
      <c r="F411" s="62" t="n"/>
      <c r="G411" s="62" t="n"/>
      <c r="H411" s="62" t="n"/>
      <c r="I411" s="62" t="n"/>
      <c r="J411" s="62" t="n"/>
      <c r="K411" s="62" t="n"/>
      <c r="L411" s="64" t="n"/>
      <c r="M411" s="64" t="n"/>
      <c r="N411" s="62" t="n"/>
      <c r="O411" s="65">
        <f>IF(Z411=1,L411-W411,"")</f>
        <v/>
      </c>
      <c r="P411" s="66">
        <f>IF(V411="","",IFERROR(INDEX(coa_Type,MATCH(V411,coa_Name,0)),""))</f>
        <v/>
      </c>
      <c r="Q411" s="66">
        <f>IF(Z411=1,IF(U411="In",K411&amp;"",V411),"")</f>
        <v/>
      </c>
      <c r="R411" s="66">
        <f>IF(Z411=1,IF(U411="In",V411,K411&amp;""),"")</f>
        <v/>
      </c>
      <c r="S411" s="66">
        <f>IF(X411&lt;&gt;"","⛔ "&amp;X411&amp;" — not posted",IF(Y411&lt;&gt;"","⚠ "&amp;Y411,IF(Z411=1,"✓ OK","")))</f>
        <v/>
      </c>
      <c r="T411" s="67">
        <f>IF(AND(C411="",D411="",E411="",L411="",K411=""),1,0)</f>
        <v/>
      </c>
      <c r="U411" s="67">
        <f>IFERROR(INDEX(tt_Dir,MATCH(D411,tt_Type,0)),"")</f>
        <v/>
      </c>
      <c r="V411" s="67">
        <f>IF(D411="","",IFERROR(IF(INDEX(tt_Other,MATCH(D411,tt_Type,0))="",E411&amp;"",INDEX(tt_Other,MATCH(D411,tt_Type,0))),""))</f>
        <v/>
      </c>
      <c r="W411" s="68">
        <f>IF(OR(TaxOn&lt;&gt;"Yes",NOT(ISNUMBER(M411))),0,IF(IFERROR(INDEX(tt_Tax,MATCH(D411,tt_Type,0)),"No")="Yes",M411,0))</f>
        <v/>
      </c>
      <c r="X411" s="67">
        <f>IF(T411=1,"",IF(C411="","Missing transaction date",IF(NOT(ISNUMBER(C411)),"Invalid date",IF(OR(C411&lt;DATE(2000,1,1),C411&gt;DATE(2099,12,31)),"Invalid date",IF(D411="","Select a type",IF(U411="","Unknown type: "&amp;D411,IF(V411="","Select an account (Category)",IF(ISNA(MATCH(V411,coa_Name,0)),"Unknown account: "&amp;V411,IF(K411="","Select Paid From / Deposited To",IF(ISNA(MATCH(K411,coa_Name,0)),"Unknown account: "&amp;K411,IF(NOT(ISNUMBER(L411)),"Enter an amount",IF(L411=0,"Enter an amount",IF(ABS(W411)&gt;ABS(L411),"Tax is larger than the amount","")))))))))))))</f>
        <v/>
      </c>
      <c r="Y411" s="67">
        <f>IF(OR(T411=1,X411&lt;&gt;""),"",IF(AND(B411&lt;&gt;"",COUNTIF(tx_ID,B411)&gt;1),"Duplicate transaction ID",IF(AND(L411&lt;0,D411&lt;&gt;"Adjustment"),"Negative amount — check this entry",IF(AND(D411="Customer Payment",G411=""),"Add the customer",IF(AND(D411="Customer Payment",OR(J411="",COUNTIF(ar_No,J411&amp;"")=0)),"Invoice # in Reference not found on AR sheet",IF(AND(D411="Bill Payment",H411=""),"Add the vendor",IF(AND(D411="Bill Payment",OR(J411="",COUNTIFS(ap_No,J411&amp;"",ap_Party,H411&amp;"")=0)),"Bill # + vendor not found on AP sheet",IF(AND(ISNUMBER(M411),N(M411)&lt;&gt;0,W411=0),"Tax ignored (tax tracking off, or not allowed for this type)",IF(V411=K411&amp;"","Same account on both sides",IF(AND(ISNUMBER(StartDate),C411&lt;StartDate),"Date is before the accounting start date",IF(AND(D411&lt;&gt;"Adjustment",IFERROR(INDEX(coa_Pay,MATCH(K411&amp;"",coa_Name,0)),"")&lt;&gt;"Yes"),"Paid From / Deposited To is not a payment account","")))))))))))</f>
        <v/>
      </c>
      <c r="Z411" s="67">
        <f>IF(AND(T411=0,X411=""),1,0)</f>
        <v/>
      </c>
      <c r="AA411" s="68">
        <f>IF(Z411=1,IF(U411="In",L411,L411-W411),0)</f>
        <v/>
      </c>
      <c r="AB411" s="68">
        <f>IF(Z411=1,IF(U411="In",L411-W411,L411),0)</f>
        <v/>
      </c>
      <c r="AC411" s="68">
        <f>IF(AND(Z411=1,U411="Out"),W411,0)</f>
        <v/>
      </c>
      <c r="AD411" s="68">
        <f>IF(AND(Z411=1,U411="In"),W411,0)</f>
        <v/>
      </c>
    </row>
    <row r="412">
      <c r="B412" s="62" t="inlineStr">
        <is>
          <t>TX-0406</t>
        </is>
      </c>
      <c r="C412" s="63" t="n"/>
      <c r="D412" s="62" t="n"/>
      <c r="E412" s="62" t="n"/>
      <c r="F412" s="62" t="n"/>
      <c r="G412" s="62" t="n"/>
      <c r="H412" s="62" t="n"/>
      <c r="I412" s="62" t="n"/>
      <c r="J412" s="62" t="n"/>
      <c r="K412" s="62" t="n"/>
      <c r="L412" s="64" t="n"/>
      <c r="M412" s="64" t="n"/>
      <c r="N412" s="62" t="n"/>
      <c r="O412" s="65">
        <f>IF(Z412=1,L412-W412,"")</f>
        <v/>
      </c>
      <c r="P412" s="66">
        <f>IF(V412="","",IFERROR(INDEX(coa_Type,MATCH(V412,coa_Name,0)),""))</f>
        <v/>
      </c>
      <c r="Q412" s="66">
        <f>IF(Z412=1,IF(U412="In",K412&amp;"",V412),"")</f>
        <v/>
      </c>
      <c r="R412" s="66">
        <f>IF(Z412=1,IF(U412="In",V412,K412&amp;""),"")</f>
        <v/>
      </c>
      <c r="S412" s="66">
        <f>IF(X412&lt;&gt;"","⛔ "&amp;X412&amp;" — not posted",IF(Y412&lt;&gt;"","⚠ "&amp;Y412,IF(Z412=1,"✓ OK","")))</f>
        <v/>
      </c>
      <c r="T412" s="67">
        <f>IF(AND(C412="",D412="",E412="",L412="",K412=""),1,0)</f>
        <v/>
      </c>
      <c r="U412" s="67">
        <f>IFERROR(INDEX(tt_Dir,MATCH(D412,tt_Type,0)),"")</f>
        <v/>
      </c>
      <c r="V412" s="67">
        <f>IF(D412="","",IFERROR(IF(INDEX(tt_Other,MATCH(D412,tt_Type,0))="",E412&amp;"",INDEX(tt_Other,MATCH(D412,tt_Type,0))),""))</f>
        <v/>
      </c>
      <c r="W412" s="68">
        <f>IF(OR(TaxOn&lt;&gt;"Yes",NOT(ISNUMBER(M412))),0,IF(IFERROR(INDEX(tt_Tax,MATCH(D412,tt_Type,0)),"No")="Yes",M412,0))</f>
        <v/>
      </c>
      <c r="X412" s="67">
        <f>IF(T412=1,"",IF(C412="","Missing transaction date",IF(NOT(ISNUMBER(C412)),"Invalid date",IF(OR(C412&lt;DATE(2000,1,1),C412&gt;DATE(2099,12,31)),"Invalid date",IF(D412="","Select a type",IF(U412="","Unknown type: "&amp;D412,IF(V412="","Select an account (Category)",IF(ISNA(MATCH(V412,coa_Name,0)),"Unknown account: "&amp;V412,IF(K412="","Select Paid From / Deposited To",IF(ISNA(MATCH(K412,coa_Name,0)),"Unknown account: "&amp;K412,IF(NOT(ISNUMBER(L412)),"Enter an amount",IF(L412=0,"Enter an amount",IF(ABS(W412)&gt;ABS(L412),"Tax is larger than the amount","")))))))))))))</f>
        <v/>
      </c>
      <c r="Y412" s="67">
        <f>IF(OR(T412=1,X412&lt;&gt;""),"",IF(AND(B412&lt;&gt;"",COUNTIF(tx_ID,B412)&gt;1),"Duplicate transaction ID",IF(AND(L412&lt;0,D412&lt;&gt;"Adjustment"),"Negative amount — check this entry",IF(AND(D412="Customer Payment",G412=""),"Add the customer",IF(AND(D412="Customer Payment",OR(J412="",COUNTIF(ar_No,J412&amp;"")=0)),"Invoice # in Reference not found on AR sheet",IF(AND(D412="Bill Payment",H412=""),"Add the vendor",IF(AND(D412="Bill Payment",OR(J412="",COUNTIFS(ap_No,J412&amp;"",ap_Party,H412&amp;"")=0)),"Bill # + vendor not found on AP sheet",IF(AND(ISNUMBER(M412),N(M412)&lt;&gt;0,W412=0),"Tax ignored (tax tracking off, or not allowed for this type)",IF(V412=K412&amp;"","Same account on both sides",IF(AND(ISNUMBER(StartDate),C412&lt;StartDate),"Date is before the accounting start date",IF(AND(D412&lt;&gt;"Adjustment",IFERROR(INDEX(coa_Pay,MATCH(K412&amp;"",coa_Name,0)),"")&lt;&gt;"Yes"),"Paid From / Deposited To is not a payment account","")))))))))))</f>
        <v/>
      </c>
      <c r="Z412" s="67">
        <f>IF(AND(T412=0,X412=""),1,0)</f>
        <v/>
      </c>
      <c r="AA412" s="68">
        <f>IF(Z412=1,IF(U412="In",L412,L412-W412),0)</f>
        <v/>
      </c>
      <c r="AB412" s="68">
        <f>IF(Z412=1,IF(U412="In",L412-W412,L412),0)</f>
        <v/>
      </c>
      <c r="AC412" s="68">
        <f>IF(AND(Z412=1,U412="Out"),W412,0)</f>
        <v/>
      </c>
      <c r="AD412" s="68">
        <f>IF(AND(Z412=1,U412="In"),W412,0)</f>
        <v/>
      </c>
    </row>
    <row r="413">
      <c r="B413" s="62" t="inlineStr">
        <is>
          <t>TX-0407</t>
        </is>
      </c>
      <c r="C413" s="63" t="n"/>
      <c r="D413" s="62" t="n"/>
      <c r="E413" s="62" t="n"/>
      <c r="F413" s="62" t="n"/>
      <c r="G413" s="62" t="n"/>
      <c r="H413" s="62" t="n"/>
      <c r="I413" s="62" t="n"/>
      <c r="J413" s="62" t="n"/>
      <c r="K413" s="62" t="n"/>
      <c r="L413" s="64" t="n"/>
      <c r="M413" s="64" t="n"/>
      <c r="N413" s="62" t="n"/>
      <c r="O413" s="65">
        <f>IF(Z413=1,L413-W413,"")</f>
        <v/>
      </c>
      <c r="P413" s="66">
        <f>IF(V413="","",IFERROR(INDEX(coa_Type,MATCH(V413,coa_Name,0)),""))</f>
        <v/>
      </c>
      <c r="Q413" s="66">
        <f>IF(Z413=1,IF(U413="In",K413&amp;"",V413),"")</f>
        <v/>
      </c>
      <c r="R413" s="66">
        <f>IF(Z413=1,IF(U413="In",V413,K413&amp;""),"")</f>
        <v/>
      </c>
      <c r="S413" s="66">
        <f>IF(X413&lt;&gt;"","⛔ "&amp;X413&amp;" — not posted",IF(Y413&lt;&gt;"","⚠ "&amp;Y413,IF(Z413=1,"✓ OK","")))</f>
        <v/>
      </c>
      <c r="T413" s="67">
        <f>IF(AND(C413="",D413="",E413="",L413="",K413=""),1,0)</f>
        <v/>
      </c>
      <c r="U413" s="67">
        <f>IFERROR(INDEX(tt_Dir,MATCH(D413,tt_Type,0)),"")</f>
        <v/>
      </c>
      <c r="V413" s="67">
        <f>IF(D413="","",IFERROR(IF(INDEX(tt_Other,MATCH(D413,tt_Type,0))="",E413&amp;"",INDEX(tt_Other,MATCH(D413,tt_Type,0))),""))</f>
        <v/>
      </c>
      <c r="W413" s="68">
        <f>IF(OR(TaxOn&lt;&gt;"Yes",NOT(ISNUMBER(M413))),0,IF(IFERROR(INDEX(tt_Tax,MATCH(D413,tt_Type,0)),"No")="Yes",M413,0))</f>
        <v/>
      </c>
      <c r="X413" s="67">
        <f>IF(T413=1,"",IF(C413="","Missing transaction date",IF(NOT(ISNUMBER(C413)),"Invalid date",IF(OR(C413&lt;DATE(2000,1,1),C413&gt;DATE(2099,12,31)),"Invalid date",IF(D413="","Select a type",IF(U413="","Unknown type: "&amp;D413,IF(V413="","Select an account (Category)",IF(ISNA(MATCH(V413,coa_Name,0)),"Unknown account: "&amp;V413,IF(K413="","Select Paid From / Deposited To",IF(ISNA(MATCH(K413,coa_Name,0)),"Unknown account: "&amp;K413,IF(NOT(ISNUMBER(L413)),"Enter an amount",IF(L413=0,"Enter an amount",IF(ABS(W413)&gt;ABS(L413),"Tax is larger than the amount","")))))))))))))</f>
        <v/>
      </c>
      <c r="Y413" s="67">
        <f>IF(OR(T413=1,X413&lt;&gt;""),"",IF(AND(B413&lt;&gt;"",COUNTIF(tx_ID,B413)&gt;1),"Duplicate transaction ID",IF(AND(L413&lt;0,D413&lt;&gt;"Adjustment"),"Negative amount — check this entry",IF(AND(D413="Customer Payment",G413=""),"Add the customer",IF(AND(D413="Customer Payment",OR(J413="",COUNTIF(ar_No,J413&amp;"")=0)),"Invoice # in Reference not found on AR sheet",IF(AND(D413="Bill Payment",H413=""),"Add the vendor",IF(AND(D413="Bill Payment",OR(J413="",COUNTIFS(ap_No,J413&amp;"",ap_Party,H413&amp;"")=0)),"Bill # + vendor not found on AP sheet",IF(AND(ISNUMBER(M413),N(M413)&lt;&gt;0,W413=0),"Tax ignored (tax tracking off, or not allowed for this type)",IF(V413=K413&amp;"","Same account on both sides",IF(AND(ISNUMBER(StartDate),C413&lt;StartDate),"Date is before the accounting start date",IF(AND(D413&lt;&gt;"Adjustment",IFERROR(INDEX(coa_Pay,MATCH(K413&amp;"",coa_Name,0)),"")&lt;&gt;"Yes"),"Paid From / Deposited To is not a payment account","")))))))))))</f>
        <v/>
      </c>
      <c r="Z413" s="67">
        <f>IF(AND(T413=0,X413=""),1,0)</f>
        <v/>
      </c>
      <c r="AA413" s="68">
        <f>IF(Z413=1,IF(U413="In",L413,L413-W413),0)</f>
        <v/>
      </c>
      <c r="AB413" s="68">
        <f>IF(Z413=1,IF(U413="In",L413-W413,L413),0)</f>
        <v/>
      </c>
      <c r="AC413" s="68">
        <f>IF(AND(Z413=1,U413="Out"),W413,0)</f>
        <v/>
      </c>
      <c r="AD413" s="68">
        <f>IF(AND(Z413=1,U413="In"),W413,0)</f>
        <v/>
      </c>
    </row>
    <row r="414">
      <c r="B414" s="62" t="inlineStr">
        <is>
          <t>TX-0408</t>
        </is>
      </c>
      <c r="C414" s="63" t="n"/>
      <c r="D414" s="62" t="n"/>
      <c r="E414" s="62" t="n"/>
      <c r="F414" s="62" t="n"/>
      <c r="G414" s="62" t="n"/>
      <c r="H414" s="62" t="n"/>
      <c r="I414" s="62" t="n"/>
      <c r="J414" s="62" t="n"/>
      <c r="K414" s="62" t="n"/>
      <c r="L414" s="64" t="n"/>
      <c r="M414" s="64" t="n"/>
      <c r="N414" s="62" t="n"/>
      <c r="O414" s="65">
        <f>IF(Z414=1,L414-W414,"")</f>
        <v/>
      </c>
      <c r="P414" s="66">
        <f>IF(V414="","",IFERROR(INDEX(coa_Type,MATCH(V414,coa_Name,0)),""))</f>
        <v/>
      </c>
      <c r="Q414" s="66">
        <f>IF(Z414=1,IF(U414="In",K414&amp;"",V414),"")</f>
        <v/>
      </c>
      <c r="R414" s="66">
        <f>IF(Z414=1,IF(U414="In",V414,K414&amp;""),"")</f>
        <v/>
      </c>
      <c r="S414" s="66">
        <f>IF(X414&lt;&gt;"","⛔ "&amp;X414&amp;" — not posted",IF(Y414&lt;&gt;"","⚠ "&amp;Y414,IF(Z414=1,"✓ OK","")))</f>
        <v/>
      </c>
      <c r="T414" s="67">
        <f>IF(AND(C414="",D414="",E414="",L414="",K414=""),1,0)</f>
        <v/>
      </c>
      <c r="U414" s="67">
        <f>IFERROR(INDEX(tt_Dir,MATCH(D414,tt_Type,0)),"")</f>
        <v/>
      </c>
      <c r="V414" s="67">
        <f>IF(D414="","",IFERROR(IF(INDEX(tt_Other,MATCH(D414,tt_Type,0))="",E414&amp;"",INDEX(tt_Other,MATCH(D414,tt_Type,0))),""))</f>
        <v/>
      </c>
      <c r="W414" s="68">
        <f>IF(OR(TaxOn&lt;&gt;"Yes",NOT(ISNUMBER(M414))),0,IF(IFERROR(INDEX(tt_Tax,MATCH(D414,tt_Type,0)),"No")="Yes",M414,0))</f>
        <v/>
      </c>
      <c r="X414" s="67">
        <f>IF(T414=1,"",IF(C414="","Missing transaction date",IF(NOT(ISNUMBER(C414)),"Invalid date",IF(OR(C414&lt;DATE(2000,1,1),C414&gt;DATE(2099,12,31)),"Invalid date",IF(D414="","Select a type",IF(U414="","Unknown type: "&amp;D414,IF(V414="","Select an account (Category)",IF(ISNA(MATCH(V414,coa_Name,0)),"Unknown account: "&amp;V414,IF(K414="","Select Paid From / Deposited To",IF(ISNA(MATCH(K414,coa_Name,0)),"Unknown account: "&amp;K414,IF(NOT(ISNUMBER(L414)),"Enter an amount",IF(L414=0,"Enter an amount",IF(ABS(W414)&gt;ABS(L414),"Tax is larger than the amount","")))))))))))))</f>
        <v/>
      </c>
      <c r="Y414" s="67">
        <f>IF(OR(T414=1,X414&lt;&gt;""),"",IF(AND(B414&lt;&gt;"",COUNTIF(tx_ID,B414)&gt;1),"Duplicate transaction ID",IF(AND(L414&lt;0,D414&lt;&gt;"Adjustment"),"Negative amount — check this entry",IF(AND(D414="Customer Payment",G414=""),"Add the customer",IF(AND(D414="Customer Payment",OR(J414="",COUNTIF(ar_No,J414&amp;"")=0)),"Invoice # in Reference not found on AR sheet",IF(AND(D414="Bill Payment",H414=""),"Add the vendor",IF(AND(D414="Bill Payment",OR(J414="",COUNTIFS(ap_No,J414&amp;"",ap_Party,H414&amp;"")=0)),"Bill # + vendor not found on AP sheet",IF(AND(ISNUMBER(M414),N(M414)&lt;&gt;0,W414=0),"Tax ignored (tax tracking off, or not allowed for this type)",IF(V414=K414&amp;"","Same account on both sides",IF(AND(ISNUMBER(StartDate),C414&lt;StartDate),"Date is before the accounting start date",IF(AND(D414&lt;&gt;"Adjustment",IFERROR(INDEX(coa_Pay,MATCH(K414&amp;"",coa_Name,0)),"")&lt;&gt;"Yes"),"Paid From / Deposited To is not a payment account","")))))))))))</f>
        <v/>
      </c>
      <c r="Z414" s="67">
        <f>IF(AND(T414=0,X414=""),1,0)</f>
        <v/>
      </c>
      <c r="AA414" s="68">
        <f>IF(Z414=1,IF(U414="In",L414,L414-W414),0)</f>
        <v/>
      </c>
      <c r="AB414" s="68">
        <f>IF(Z414=1,IF(U414="In",L414-W414,L414),0)</f>
        <v/>
      </c>
      <c r="AC414" s="68">
        <f>IF(AND(Z414=1,U414="Out"),W414,0)</f>
        <v/>
      </c>
      <c r="AD414" s="68">
        <f>IF(AND(Z414=1,U414="In"),W414,0)</f>
        <v/>
      </c>
    </row>
    <row r="415">
      <c r="B415" s="62" t="inlineStr">
        <is>
          <t>TX-0409</t>
        </is>
      </c>
      <c r="C415" s="63" t="n"/>
      <c r="D415" s="62" t="n"/>
      <c r="E415" s="62" t="n"/>
      <c r="F415" s="62" t="n"/>
      <c r="G415" s="62" t="n"/>
      <c r="H415" s="62" t="n"/>
      <c r="I415" s="62" t="n"/>
      <c r="J415" s="62" t="n"/>
      <c r="K415" s="62" t="n"/>
      <c r="L415" s="64" t="n"/>
      <c r="M415" s="64" t="n"/>
      <c r="N415" s="62" t="n"/>
      <c r="O415" s="65">
        <f>IF(Z415=1,L415-W415,"")</f>
        <v/>
      </c>
      <c r="P415" s="66">
        <f>IF(V415="","",IFERROR(INDEX(coa_Type,MATCH(V415,coa_Name,0)),""))</f>
        <v/>
      </c>
      <c r="Q415" s="66">
        <f>IF(Z415=1,IF(U415="In",K415&amp;"",V415),"")</f>
        <v/>
      </c>
      <c r="R415" s="66">
        <f>IF(Z415=1,IF(U415="In",V415,K415&amp;""),"")</f>
        <v/>
      </c>
      <c r="S415" s="66">
        <f>IF(X415&lt;&gt;"","⛔ "&amp;X415&amp;" — not posted",IF(Y415&lt;&gt;"","⚠ "&amp;Y415,IF(Z415=1,"✓ OK","")))</f>
        <v/>
      </c>
      <c r="T415" s="67">
        <f>IF(AND(C415="",D415="",E415="",L415="",K415=""),1,0)</f>
        <v/>
      </c>
      <c r="U415" s="67">
        <f>IFERROR(INDEX(tt_Dir,MATCH(D415,tt_Type,0)),"")</f>
        <v/>
      </c>
      <c r="V415" s="67">
        <f>IF(D415="","",IFERROR(IF(INDEX(tt_Other,MATCH(D415,tt_Type,0))="",E415&amp;"",INDEX(tt_Other,MATCH(D415,tt_Type,0))),""))</f>
        <v/>
      </c>
      <c r="W415" s="68">
        <f>IF(OR(TaxOn&lt;&gt;"Yes",NOT(ISNUMBER(M415))),0,IF(IFERROR(INDEX(tt_Tax,MATCH(D415,tt_Type,0)),"No")="Yes",M415,0))</f>
        <v/>
      </c>
      <c r="X415" s="67">
        <f>IF(T415=1,"",IF(C415="","Missing transaction date",IF(NOT(ISNUMBER(C415)),"Invalid date",IF(OR(C415&lt;DATE(2000,1,1),C415&gt;DATE(2099,12,31)),"Invalid date",IF(D415="","Select a type",IF(U415="","Unknown type: "&amp;D415,IF(V415="","Select an account (Category)",IF(ISNA(MATCH(V415,coa_Name,0)),"Unknown account: "&amp;V415,IF(K415="","Select Paid From / Deposited To",IF(ISNA(MATCH(K415,coa_Name,0)),"Unknown account: "&amp;K415,IF(NOT(ISNUMBER(L415)),"Enter an amount",IF(L415=0,"Enter an amount",IF(ABS(W415)&gt;ABS(L415),"Tax is larger than the amount","")))))))))))))</f>
        <v/>
      </c>
      <c r="Y415" s="67">
        <f>IF(OR(T415=1,X415&lt;&gt;""),"",IF(AND(B415&lt;&gt;"",COUNTIF(tx_ID,B415)&gt;1),"Duplicate transaction ID",IF(AND(L415&lt;0,D415&lt;&gt;"Adjustment"),"Negative amount — check this entry",IF(AND(D415="Customer Payment",G415=""),"Add the customer",IF(AND(D415="Customer Payment",OR(J415="",COUNTIF(ar_No,J415&amp;"")=0)),"Invoice # in Reference not found on AR sheet",IF(AND(D415="Bill Payment",H415=""),"Add the vendor",IF(AND(D415="Bill Payment",OR(J415="",COUNTIFS(ap_No,J415&amp;"",ap_Party,H415&amp;"")=0)),"Bill # + vendor not found on AP sheet",IF(AND(ISNUMBER(M415),N(M415)&lt;&gt;0,W415=0),"Tax ignored (tax tracking off, or not allowed for this type)",IF(V415=K415&amp;"","Same account on both sides",IF(AND(ISNUMBER(StartDate),C415&lt;StartDate),"Date is before the accounting start date",IF(AND(D415&lt;&gt;"Adjustment",IFERROR(INDEX(coa_Pay,MATCH(K415&amp;"",coa_Name,0)),"")&lt;&gt;"Yes"),"Paid From / Deposited To is not a payment account","")))))))))))</f>
        <v/>
      </c>
      <c r="Z415" s="67">
        <f>IF(AND(T415=0,X415=""),1,0)</f>
        <v/>
      </c>
      <c r="AA415" s="68">
        <f>IF(Z415=1,IF(U415="In",L415,L415-W415),0)</f>
        <v/>
      </c>
      <c r="AB415" s="68">
        <f>IF(Z415=1,IF(U415="In",L415-W415,L415),0)</f>
        <v/>
      </c>
      <c r="AC415" s="68">
        <f>IF(AND(Z415=1,U415="Out"),W415,0)</f>
        <v/>
      </c>
      <c r="AD415" s="68">
        <f>IF(AND(Z415=1,U415="In"),W415,0)</f>
        <v/>
      </c>
    </row>
    <row r="416">
      <c r="B416" s="62" t="inlineStr">
        <is>
          <t>TX-0410</t>
        </is>
      </c>
      <c r="C416" s="63" t="n"/>
      <c r="D416" s="62" t="n"/>
      <c r="E416" s="62" t="n"/>
      <c r="F416" s="62" t="n"/>
      <c r="G416" s="62" t="n"/>
      <c r="H416" s="62" t="n"/>
      <c r="I416" s="62" t="n"/>
      <c r="J416" s="62" t="n"/>
      <c r="K416" s="62" t="n"/>
      <c r="L416" s="64" t="n"/>
      <c r="M416" s="64" t="n"/>
      <c r="N416" s="62" t="n"/>
      <c r="O416" s="65">
        <f>IF(Z416=1,L416-W416,"")</f>
        <v/>
      </c>
      <c r="P416" s="66">
        <f>IF(V416="","",IFERROR(INDEX(coa_Type,MATCH(V416,coa_Name,0)),""))</f>
        <v/>
      </c>
      <c r="Q416" s="66">
        <f>IF(Z416=1,IF(U416="In",K416&amp;"",V416),"")</f>
        <v/>
      </c>
      <c r="R416" s="66">
        <f>IF(Z416=1,IF(U416="In",V416,K416&amp;""),"")</f>
        <v/>
      </c>
      <c r="S416" s="66">
        <f>IF(X416&lt;&gt;"","⛔ "&amp;X416&amp;" — not posted",IF(Y416&lt;&gt;"","⚠ "&amp;Y416,IF(Z416=1,"✓ OK","")))</f>
        <v/>
      </c>
      <c r="T416" s="67">
        <f>IF(AND(C416="",D416="",E416="",L416="",K416=""),1,0)</f>
        <v/>
      </c>
      <c r="U416" s="67">
        <f>IFERROR(INDEX(tt_Dir,MATCH(D416,tt_Type,0)),"")</f>
        <v/>
      </c>
      <c r="V416" s="67">
        <f>IF(D416="","",IFERROR(IF(INDEX(tt_Other,MATCH(D416,tt_Type,0))="",E416&amp;"",INDEX(tt_Other,MATCH(D416,tt_Type,0))),""))</f>
        <v/>
      </c>
      <c r="W416" s="68">
        <f>IF(OR(TaxOn&lt;&gt;"Yes",NOT(ISNUMBER(M416))),0,IF(IFERROR(INDEX(tt_Tax,MATCH(D416,tt_Type,0)),"No")="Yes",M416,0))</f>
        <v/>
      </c>
      <c r="X416" s="67">
        <f>IF(T416=1,"",IF(C416="","Missing transaction date",IF(NOT(ISNUMBER(C416)),"Invalid date",IF(OR(C416&lt;DATE(2000,1,1),C416&gt;DATE(2099,12,31)),"Invalid date",IF(D416="","Select a type",IF(U416="","Unknown type: "&amp;D416,IF(V416="","Select an account (Category)",IF(ISNA(MATCH(V416,coa_Name,0)),"Unknown account: "&amp;V416,IF(K416="","Select Paid From / Deposited To",IF(ISNA(MATCH(K416,coa_Name,0)),"Unknown account: "&amp;K416,IF(NOT(ISNUMBER(L416)),"Enter an amount",IF(L416=0,"Enter an amount",IF(ABS(W416)&gt;ABS(L416),"Tax is larger than the amount","")))))))))))))</f>
        <v/>
      </c>
      <c r="Y416" s="67">
        <f>IF(OR(T416=1,X416&lt;&gt;""),"",IF(AND(B416&lt;&gt;"",COUNTIF(tx_ID,B416)&gt;1),"Duplicate transaction ID",IF(AND(L416&lt;0,D416&lt;&gt;"Adjustment"),"Negative amount — check this entry",IF(AND(D416="Customer Payment",G416=""),"Add the customer",IF(AND(D416="Customer Payment",OR(J416="",COUNTIF(ar_No,J416&amp;"")=0)),"Invoice # in Reference not found on AR sheet",IF(AND(D416="Bill Payment",H416=""),"Add the vendor",IF(AND(D416="Bill Payment",OR(J416="",COUNTIFS(ap_No,J416&amp;"",ap_Party,H416&amp;"")=0)),"Bill # + vendor not found on AP sheet",IF(AND(ISNUMBER(M416),N(M416)&lt;&gt;0,W416=0),"Tax ignored (tax tracking off, or not allowed for this type)",IF(V416=K416&amp;"","Same account on both sides",IF(AND(ISNUMBER(StartDate),C416&lt;StartDate),"Date is before the accounting start date",IF(AND(D416&lt;&gt;"Adjustment",IFERROR(INDEX(coa_Pay,MATCH(K416&amp;"",coa_Name,0)),"")&lt;&gt;"Yes"),"Paid From / Deposited To is not a payment account","")))))))))))</f>
        <v/>
      </c>
      <c r="Z416" s="67">
        <f>IF(AND(T416=0,X416=""),1,0)</f>
        <v/>
      </c>
      <c r="AA416" s="68">
        <f>IF(Z416=1,IF(U416="In",L416,L416-W416),0)</f>
        <v/>
      </c>
      <c r="AB416" s="68">
        <f>IF(Z416=1,IF(U416="In",L416-W416,L416),0)</f>
        <v/>
      </c>
      <c r="AC416" s="68">
        <f>IF(AND(Z416=1,U416="Out"),W416,0)</f>
        <v/>
      </c>
      <c r="AD416" s="68">
        <f>IF(AND(Z416=1,U416="In"),W416,0)</f>
        <v/>
      </c>
    </row>
    <row r="417">
      <c r="B417" s="62" t="inlineStr">
        <is>
          <t>TX-0411</t>
        </is>
      </c>
      <c r="C417" s="63" t="n"/>
      <c r="D417" s="62" t="n"/>
      <c r="E417" s="62" t="n"/>
      <c r="F417" s="62" t="n"/>
      <c r="G417" s="62" t="n"/>
      <c r="H417" s="62" t="n"/>
      <c r="I417" s="62" t="n"/>
      <c r="J417" s="62" t="n"/>
      <c r="K417" s="62" t="n"/>
      <c r="L417" s="64" t="n"/>
      <c r="M417" s="64" t="n"/>
      <c r="N417" s="62" t="n"/>
      <c r="O417" s="65">
        <f>IF(Z417=1,L417-W417,"")</f>
        <v/>
      </c>
      <c r="P417" s="66">
        <f>IF(V417="","",IFERROR(INDEX(coa_Type,MATCH(V417,coa_Name,0)),""))</f>
        <v/>
      </c>
      <c r="Q417" s="66">
        <f>IF(Z417=1,IF(U417="In",K417&amp;"",V417),"")</f>
        <v/>
      </c>
      <c r="R417" s="66">
        <f>IF(Z417=1,IF(U417="In",V417,K417&amp;""),"")</f>
        <v/>
      </c>
      <c r="S417" s="66">
        <f>IF(X417&lt;&gt;"","⛔ "&amp;X417&amp;" — not posted",IF(Y417&lt;&gt;"","⚠ "&amp;Y417,IF(Z417=1,"✓ OK","")))</f>
        <v/>
      </c>
      <c r="T417" s="67">
        <f>IF(AND(C417="",D417="",E417="",L417="",K417=""),1,0)</f>
        <v/>
      </c>
      <c r="U417" s="67">
        <f>IFERROR(INDEX(tt_Dir,MATCH(D417,tt_Type,0)),"")</f>
        <v/>
      </c>
      <c r="V417" s="67">
        <f>IF(D417="","",IFERROR(IF(INDEX(tt_Other,MATCH(D417,tt_Type,0))="",E417&amp;"",INDEX(tt_Other,MATCH(D417,tt_Type,0))),""))</f>
        <v/>
      </c>
      <c r="W417" s="68">
        <f>IF(OR(TaxOn&lt;&gt;"Yes",NOT(ISNUMBER(M417))),0,IF(IFERROR(INDEX(tt_Tax,MATCH(D417,tt_Type,0)),"No")="Yes",M417,0))</f>
        <v/>
      </c>
      <c r="X417" s="67">
        <f>IF(T417=1,"",IF(C417="","Missing transaction date",IF(NOT(ISNUMBER(C417)),"Invalid date",IF(OR(C417&lt;DATE(2000,1,1),C417&gt;DATE(2099,12,31)),"Invalid date",IF(D417="","Select a type",IF(U417="","Unknown type: "&amp;D417,IF(V417="","Select an account (Category)",IF(ISNA(MATCH(V417,coa_Name,0)),"Unknown account: "&amp;V417,IF(K417="","Select Paid From / Deposited To",IF(ISNA(MATCH(K417,coa_Name,0)),"Unknown account: "&amp;K417,IF(NOT(ISNUMBER(L417)),"Enter an amount",IF(L417=0,"Enter an amount",IF(ABS(W417)&gt;ABS(L417),"Tax is larger than the amount","")))))))))))))</f>
        <v/>
      </c>
      <c r="Y417" s="67">
        <f>IF(OR(T417=1,X417&lt;&gt;""),"",IF(AND(B417&lt;&gt;"",COUNTIF(tx_ID,B417)&gt;1),"Duplicate transaction ID",IF(AND(L417&lt;0,D417&lt;&gt;"Adjustment"),"Negative amount — check this entry",IF(AND(D417="Customer Payment",G417=""),"Add the customer",IF(AND(D417="Customer Payment",OR(J417="",COUNTIF(ar_No,J417&amp;"")=0)),"Invoice # in Reference not found on AR sheet",IF(AND(D417="Bill Payment",H417=""),"Add the vendor",IF(AND(D417="Bill Payment",OR(J417="",COUNTIFS(ap_No,J417&amp;"",ap_Party,H417&amp;"")=0)),"Bill # + vendor not found on AP sheet",IF(AND(ISNUMBER(M417),N(M417)&lt;&gt;0,W417=0),"Tax ignored (tax tracking off, or not allowed for this type)",IF(V417=K417&amp;"","Same account on both sides",IF(AND(ISNUMBER(StartDate),C417&lt;StartDate),"Date is before the accounting start date",IF(AND(D417&lt;&gt;"Adjustment",IFERROR(INDEX(coa_Pay,MATCH(K417&amp;"",coa_Name,0)),"")&lt;&gt;"Yes"),"Paid From / Deposited To is not a payment account","")))))))))))</f>
        <v/>
      </c>
      <c r="Z417" s="67">
        <f>IF(AND(T417=0,X417=""),1,0)</f>
        <v/>
      </c>
      <c r="AA417" s="68">
        <f>IF(Z417=1,IF(U417="In",L417,L417-W417),0)</f>
        <v/>
      </c>
      <c r="AB417" s="68">
        <f>IF(Z417=1,IF(U417="In",L417-W417,L417),0)</f>
        <v/>
      </c>
      <c r="AC417" s="68">
        <f>IF(AND(Z417=1,U417="Out"),W417,0)</f>
        <v/>
      </c>
      <c r="AD417" s="68">
        <f>IF(AND(Z417=1,U417="In"),W417,0)</f>
        <v/>
      </c>
    </row>
    <row r="418">
      <c r="B418" s="62" t="inlineStr">
        <is>
          <t>TX-0412</t>
        </is>
      </c>
      <c r="C418" s="63" t="n"/>
      <c r="D418" s="62" t="n"/>
      <c r="E418" s="62" t="n"/>
      <c r="F418" s="62" t="n"/>
      <c r="G418" s="62" t="n"/>
      <c r="H418" s="62" t="n"/>
      <c r="I418" s="62" t="n"/>
      <c r="J418" s="62" t="n"/>
      <c r="K418" s="62" t="n"/>
      <c r="L418" s="64" t="n"/>
      <c r="M418" s="64" t="n"/>
      <c r="N418" s="62" t="n"/>
      <c r="O418" s="65">
        <f>IF(Z418=1,L418-W418,"")</f>
        <v/>
      </c>
      <c r="P418" s="66">
        <f>IF(V418="","",IFERROR(INDEX(coa_Type,MATCH(V418,coa_Name,0)),""))</f>
        <v/>
      </c>
      <c r="Q418" s="66">
        <f>IF(Z418=1,IF(U418="In",K418&amp;"",V418),"")</f>
        <v/>
      </c>
      <c r="R418" s="66">
        <f>IF(Z418=1,IF(U418="In",V418,K418&amp;""),"")</f>
        <v/>
      </c>
      <c r="S418" s="66">
        <f>IF(X418&lt;&gt;"","⛔ "&amp;X418&amp;" — not posted",IF(Y418&lt;&gt;"","⚠ "&amp;Y418,IF(Z418=1,"✓ OK","")))</f>
        <v/>
      </c>
      <c r="T418" s="67">
        <f>IF(AND(C418="",D418="",E418="",L418="",K418=""),1,0)</f>
        <v/>
      </c>
      <c r="U418" s="67">
        <f>IFERROR(INDEX(tt_Dir,MATCH(D418,tt_Type,0)),"")</f>
        <v/>
      </c>
      <c r="V418" s="67">
        <f>IF(D418="","",IFERROR(IF(INDEX(tt_Other,MATCH(D418,tt_Type,0))="",E418&amp;"",INDEX(tt_Other,MATCH(D418,tt_Type,0))),""))</f>
        <v/>
      </c>
      <c r="W418" s="68">
        <f>IF(OR(TaxOn&lt;&gt;"Yes",NOT(ISNUMBER(M418))),0,IF(IFERROR(INDEX(tt_Tax,MATCH(D418,tt_Type,0)),"No")="Yes",M418,0))</f>
        <v/>
      </c>
      <c r="X418" s="67">
        <f>IF(T418=1,"",IF(C418="","Missing transaction date",IF(NOT(ISNUMBER(C418)),"Invalid date",IF(OR(C418&lt;DATE(2000,1,1),C418&gt;DATE(2099,12,31)),"Invalid date",IF(D418="","Select a type",IF(U418="","Unknown type: "&amp;D418,IF(V418="","Select an account (Category)",IF(ISNA(MATCH(V418,coa_Name,0)),"Unknown account: "&amp;V418,IF(K418="","Select Paid From / Deposited To",IF(ISNA(MATCH(K418,coa_Name,0)),"Unknown account: "&amp;K418,IF(NOT(ISNUMBER(L418)),"Enter an amount",IF(L418=0,"Enter an amount",IF(ABS(W418)&gt;ABS(L418),"Tax is larger than the amount","")))))))))))))</f>
        <v/>
      </c>
      <c r="Y418" s="67">
        <f>IF(OR(T418=1,X418&lt;&gt;""),"",IF(AND(B418&lt;&gt;"",COUNTIF(tx_ID,B418)&gt;1),"Duplicate transaction ID",IF(AND(L418&lt;0,D418&lt;&gt;"Adjustment"),"Negative amount — check this entry",IF(AND(D418="Customer Payment",G418=""),"Add the customer",IF(AND(D418="Customer Payment",OR(J418="",COUNTIF(ar_No,J418&amp;"")=0)),"Invoice # in Reference not found on AR sheet",IF(AND(D418="Bill Payment",H418=""),"Add the vendor",IF(AND(D418="Bill Payment",OR(J418="",COUNTIFS(ap_No,J418&amp;"",ap_Party,H418&amp;"")=0)),"Bill # + vendor not found on AP sheet",IF(AND(ISNUMBER(M418),N(M418)&lt;&gt;0,W418=0),"Tax ignored (tax tracking off, or not allowed for this type)",IF(V418=K418&amp;"","Same account on both sides",IF(AND(ISNUMBER(StartDate),C418&lt;StartDate),"Date is before the accounting start date",IF(AND(D418&lt;&gt;"Adjustment",IFERROR(INDEX(coa_Pay,MATCH(K418&amp;"",coa_Name,0)),"")&lt;&gt;"Yes"),"Paid From / Deposited To is not a payment account","")))))))))))</f>
        <v/>
      </c>
      <c r="Z418" s="67">
        <f>IF(AND(T418=0,X418=""),1,0)</f>
        <v/>
      </c>
      <c r="AA418" s="68">
        <f>IF(Z418=1,IF(U418="In",L418,L418-W418),0)</f>
        <v/>
      </c>
      <c r="AB418" s="68">
        <f>IF(Z418=1,IF(U418="In",L418-W418,L418),0)</f>
        <v/>
      </c>
      <c r="AC418" s="68">
        <f>IF(AND(Z418=1,U418="Out"),W418,0)</f>
        <v/>
      </c>
      <c r="AD418" s="68">
        <f>IF(AND(Z418=1,U418="In"),W418,0)</f>
        <v/>
      </c>
    </row>
    <row r="419">
      <c r="B419" s="62" t="inlineStr">
        <is>
          <t>TX-0413</t>
        </is>
      </c>
      <c r="C419" s="63" t="n"/>
      <c r="D419" s="62" t="n"/>
      <c r="E419" s="62" t="n"/>
      <c r="F419" s="62" t="n"/>
      <c r="G419" s="62" t="n"/>
      <c r="H419" s="62" t="n"/>
      <c r="I419" s="62" t="n"/>
      <c r="J419" s="62" t="n"/>
      <c r="K419" s="62" t="n"/>
      <c r="L419" s="64" t="n"/>
      <c r="M419" s="64" t="n"/>
      <c r="N419" s="62" t="n"/>
      <c r="O419" s="65">
        <f>IF(Z419=1,L419-W419,"")</f>
        <v/>
      </c>
      <c r="P419" s="66">
        <f>IF(V419="","",IFERROR(INDEX(coa_Type,MATCH(V419,coa_Name,0)),""))</f>
        <v/>
      </c>
      <c r="Q419" s="66">
        <f>IF(Z419=1,IF(U419="In",K419&amp;"",V419),"")</f>
        <v/>
      </c>
      <c r="R419" s="66">
        <f>IF(Z419=1,IF(U419="In",V419,K419&amp;""),"")</f>
        <v/>
      </c>
      <c r="S419" s="66">
        <f>IF(X419&lt;&gt;"","⛔ "&amp;X419&amp;" — not posted",IF(Y419&lt;&gt;"","⚠ "&amp;Y419,IF(Z419=1,"✓ OK","")))</f>
        <v/>
      </c>
      <c r="T419" s="67">
        <f>IF(AND(C419="",D419="",E419="",L419="",K419=""),1,0)</f>
        <v/>
      </c>
      <c r="U419" s="67">
        <f>IFERROR(INDEX(tt_Dir,MATCH(D419,tt_Type,0)),"")</f>
        <v/>
      </c>
      <c r="V419" s="67">
        <f>IF(D419="","",IFERROR(IF(INDEX(tt_Other,MATCH(D419,tt_Type,0))="",E419&amp;"",INDEX(tt_Other,MATCH(D419,tt_Type,0))),""))</f>
        <v/>
      </c>
      <c r="W419" s="68">
        <f>IF(OR(TaxOn&lt;&gt;"Yes",NOT(ISNUMBER(M419))),0,IF(IFERROR(INDEX(tt_Tax,MATCH(D419,tt_Type,0)),"No")="Yes",M419,0))</f>
        <v/>
      </c>
      <c r="X419" s="67">
        <f>IF(T419=1,"",IF(C419="","Missing transaction date",IF(NOT(ISNUMBER(C419)),"Invalid date",IF(OR(C419&lt;DATE(2000,1,1),C419&gt;DATE(2099,12,31)),"Invalid date",IF(D419="","Select a type",IF(U419="","Unknown type: "&amp;D419,IF(V419="","Select an account (Category)",IF(ISNA(MATCH(V419,coa_Name,0)),"Unknown account: "&amp;V419,IF(K419="","Select Paid From / Deposited To",IF(ISNA(MATCH(K419,coa_Name,0)),"Unknown account: "&amp;K419,IF(NOT(ISNUMBER(L419)),"Enter an amount",IF(L419=0,"Enter an amount",IF(ABS(W419)&gt;ABS(L419),"Tax is larger than the amount","")))))))))))))</f>
        <v/>
      </c>
      <c r="Y419" s="67">
        <f>IF(OR(T419=1,X419&lt;&gt;""),"",IF(AND(B419&lt;&gt;"",COUNTIF(tx_ID,B419)&gt;1),"Duplicate transaction ID",IF(AND(L419&lt;0,D419&lt;&gt;"Adjustment"),"Negative amount — check this entry",IF(AND(D419="Customer Payment",G419=""),"Add the customer",IF(AND(D419="Customer Payment",OR(J419="",COUNTIF(ar_No,J419&amp;"")=0)),"Invoice # in Reference not found on AR sheet",IF(AND(D419="Bill Payment",H419=""),"Add the vendor",IF(AND(D419="Bill Payment",OR(J419="",COUNTIFS(ap_No,J419&amp;"",ap_Party,H419&amp;"")=0)),"Bill # + vendor not found on AP sheet",IF(AND(ISNUMBER(M419),N(M419)&lt;&gt;0,W419=0),"Tax ignored (tax tracking off, or not allowed for this type)",IF(V419=K419&amp;"","Same account on both sides",IF(AND(ISNUMBER(StartDate),C419&lt;StartDate),"Date is before the accounting start date",IF(AND(D419&lt;&gt;"Adjustment",IFERROR(INDEX(coa_Pay,MATCH(K419&amp;"",coa_Name,0)),"")&lt;&gt;"Yes"),"Paid From / Deposited To is not a payment account","")))))))))))</f>
        <v/>
      </c>
      <c r="Z419" s="67">
        <f>IF(AND(T419=0,X419=""),1,0)</f>
        <v/>
      </c>
      <c r="AA419" s="68">
        <f>IF(Z419=1,IF(U419="In",L419,L419-W419),0)</f>
        <v/>
      </c>
      <c r="AB419" s="68">
        <f>IF(Z419=1,IF(U419="In",L419-W419,L419),0)</f>
        <v/>
      </c>
      <c r="AC419" s="68">
        <f>IF(AND(Z419=1,U419="Out"),W419,0)</f>
        <v/>
      </c>
      <c r="AD419" s="68">
        <f>IF(AND(Z419=1,U419="In"),W419,0)</f>
        <v/>
      </c>
    </row>
    <row r="420">
      <c r="B420" s="62" t="inlineStr">
        <is>
          <t>TX-0414</t>
        </is>
      </c>
      <c r="C420" s="63" t="n"/>
      <c r="D420" s="62" t="n"/>
      <c r="E420" s="62" t="n"/>
      <c r="F420" s="62" t="n"/>
      <c r="G420" s="62" t="n"/>
      <c r="H420" s="62" t="n"/>
      <c r="I420" s="62" t="n"/>
      <c r="J420" s="62" t="n"/>
      <c r="K420" s="62" t="n"/>
      <c r="L420" s="64" t="n"/>
      <c r="M420" s="64" t="n"/>
      <c r="N420" s="62" t="n"/>
      <c r="O420" s="65">
        <f>IF(Z420=1,L420-W420,"")</f>
        <v/>
      </c>
      <c r="P420" s="66">
        <f>IF(V420="","",IFERROR(INDEX(coa_Type,MATCH(V420,coa_Name,0)),""))</f>
        <v/>
      </c>
      <c r="Q420" s="66">
        <f>IF(Z420=1,IF(U420="In",K420&amp;"",V420),"")</f>
        <v/>
      </c>
      <c r="R420" s="66">
        <f>IF(Z420=1,IF(U420="In",V420,K420&amp;""),"")</f>
        <v/>
      </c>
      <c r="S420" s="66">
        <f>IF(X420&lt;&gt;"","⛔ "&amp;X420&amp;" — not posted",IF(Y420&lt;&gt;"","⚠ "&amp;Y420,IF(Z420=1,"✓ OK","")))</f>
        <v/>
      </c>
      <c r="T420" s="67">
        <f>IF(AND(C420="",D420="",E420="",L420="",K420=""),1,0)</f>
        <v/>
      </c>
      <c r="U420" s="67">
        <f>IFERROR(INDEX(tt_Dir,MATCH(D420,tt_Type,0)),"")</f>
        <v/>
      </c>
      <c r="V420" s="67">
        <f>IF(D420="","",IFERROR(IF(INDEX(tt_Other,MATCH(D420,tt_Type,0))="",E420&amp;"",INDEX(tt_Other,MATCH(D420,tt_Type,0))),""))</f>
        <v/>
      </c>
      <c r="W420" s="68">
        <f>IF(OR(TaxOn&lt;&gt;"Yes",NOT(ISNUMBER(M420))),0,IF(IFERROR(INDEX(tt_Tax,MATCH(D420,tt_Type,0)),"No")="Yes",M420,0))</f>
        <v/>
      </c>
      <c r="X420" s="67">
        <f>IF(T420=1,"",IF(C420="","Missing transaction date",IF(NOT(ISNUMBER(C420)),"Invalid date",IF(OR(C420&lt;DATE(2000,1,1),C420&gt;DATE(2099,12,31)),"Invalid date",IF(D420="","Select a type",IF(U420="","Unknown type: "&amp;D420,IF(V420="","Select an account (Category)",IF(ISNA(MATCH(V420,coa_Name,0)),"Unknown account: "&amp;V420,IF(K420="","Select Paid From / Deposited To",IF(ISNA(MATCH(K420,coa_Name,0)),"Unknown account: "&amp;K420,IF(NOT(ISNUMBER(L420)),"Enter an amount",IF(L420=0,"Enter an amount",IF(ABS(W420)&gt;ABS(L420),"Tax is larger than the amount","")))))))))))))</f>
        <v/>
      </c>
      <c r="Y420" s="67">
        <f>IF(OR(T420=1,X420&lt;&gt;""),"",IF(AND(B420&lt;&gt;"",COUNTIF(tx_ID,B420)&gt;1),"Duplicate transaction ID",IF(AND(L420&lt;0,D420&lt;&gt;"Adjustment"),"Negative amount — check this entry",IF(AND(D420="Customer Payment",G420=""),"Add the customer",IF(AND(D420="Customer Payment",OR(J420="",COUNTIF(ar_No,J420&amp;"")=0)),"Invoice # in Reference not found on AR sheet",IF(AND(D420="Bill Payment",H420=""),"Add the vendor",IF(AND(D420="Bill Payment",OR(J420="",COUNTIFS(ap_No,J420&amp;"",ap_Party,H420&amp;"")=0)),"Bill # + vendor not found on AP sheet",IF(AND(ISNUMBER(M420),N(M420)&lt;&gt;0,W420=0),"Tax ignored (tax tracking off, or not allowed for this type)",IF(V420=K420&amp;"","Same account on both sides",IF(AND(ISNUMBER(StartDate),C420&lt;StartDate),"Date is before the accounting start date",IF(AND(D420&lt;&gt;"Adjustment",IFERROR(INDEX(coa_Pay,MATCH(K420&amp;"",coa_Name,0)),"")&lt;&gt;"Yes"),"Paid From / Deposited To is not a payment account","")))))))))))</f>
        <v/>
      </c>
      <c r="Z420" s="67">
        <f>IF(AND(T420=0,X420=""),1,0)</f>
        <v/>
      </c>
      <c r="AA420" s="68">
        <f>IF(Z420=1,IF(U420="In",L420,L420-W420),0)</f>
        <v/>
      </c>
      <c r="AB420" s="68">
        <f>IF(Z420=1,IF(U420="In",L420-W420,L420),0)</f>
        <v/>
      </c>
      <c r="AC420" s="68">
        <f>IF(AND(Z420=1,U420="Out"),W420,0)</f>
        <v/>
      </c>
      <c r="AD420" s="68">
        <f>IF(AND(Z420=1,U420="In"),W420,0)</f>
        <v/>
      </c>
    </row>
    <row r="421">
      <c r="B421" s="62" t="inlineStr">
        <is>
          <t>TX-0415</t>
        </is>
      </c>
      <c r="C421" s="63" t="n"/>
      <c r="D421" s="62" t="n"/>
      <c r="E421" s="62" t="n"/>
      <c r="F421" s="62" t="n"/>
      <c r="G421" s="62" t="n"/>
      <c r="H421" s="62" t="n"/>
      <c r="I421" s="62" t="n"/>
      <c r="J421" s="62" t="n"/>
      <c r="K421" s="62" t="n"/>
      <c r="L421" s="64" t="n"/>
      <c r="M421" s="64" t="n"/>
      <c r="N421" s="62" t="n"/>
      <c r="O421" s="65">
        <f>IF(Z421=1,L421-W421,"")</f>
        <v/>
      </c>
      <c r="P421" s="66">
        <f>IF(V421="","",IFERROR(INDEX(coa_Type,MATCH(V421,coa_Name,0)),""))</f>
        <v/>
      </c>
      <c r="Q421" s="66">
        <f>IF(Z421=1,IF(U421="In",K421&amp;"",V421),"")</f>
        <v/>
      </c>
      <c r="R421" s="66">
        <f>IF(Z421=1,IF(U421="In",V421,K421&amp;""),"")</f>
        <v/>
      </c>
      <c r="S421" s="66">
        <f>IF(X421&lt;&gt;"","⛔ "&amp;X421&amp;" — not posted",IF(Y421&lt;&gt;"","⚠ "&amp;Y421,IF(Z421=1,"✓ OK","")))</f>
        <v/>
      </c>
      <c r="T421" s="67">
        <f>IF(AND(C421="",D421="",E421="",L421="",K421=""),1,0)</f>
        <v/>
      </c>
      <c r="U421" s="67">
        <f>IFERROR(INDEX(tt_Dir,MATCH(D421,tt_Type,0)),"")</f>
        <v/>
      </c>
      <c r="V421" s="67">
        <f>IF(D421="","",IFERROR(IF(INDEX(tt_Other,MATCH(D421,tt_Type,0))="",E421&amp;"",INDEX(tt_Other,MATCH(D421,tt_Type,0))),""))</f>
        <v/>
      </c>
      <c r="W421" s="68">
        <f>IF(OR(TaxOn&lt;&gt;"Yes",NOT(ISNUMBER(M421))),0,IF(IFERROR(INDEX(tt_Tax,MATCH(D421,tt_Type,0)),"No")="Yes",M421,0))</f>
        <v/>
      </c>
      <c r="X421" s="67">
        <f>IF(T421=1,"",IF(C421="","Missing transaction date",IF(NOT(ISNUMBER(C421)),"Invalid date",IF(OR(C421&lt;DATE(2000,1,1),C421&gt;DATE(2099,12,31)),"Invalid date",IF(D421="","Select a type",IF(U421="","Unknown type: "&amp;D421,IF(V421="","Select an account (Category)",IF(ISNA(MATCH(V421,coa_Name,0)),"Unknown account: "&amp;V421,IF(K421="","Select Paid From / Deposited To",IF(ISNA(MATCH(K421,coa_Name,0)),"Unknown account: "&amp;K421,IF(NOT(ISNUMBER(L421)),"Enter an amount",IF(L421=0,"Enter an amount",IF(ABS(W421)&gt;ABS(L421),"Tax is larger than the amount","")))))))))))))</f>
        <v/>
      </c>
      <c r="Y421" s="67">
        <f>IF(OR(T421=1,X421&lt;&gt;""),"",IF(AND(B421&lt;&gt;"",COUNTIF(tx_ID,B421)&gt;1),"Duplicate transaction ID",IF(AND(L421&lt;0,D421&lt;&gt;"Adjustment"),"Negative amount — check this entry",IF(AND(D421="Customer Payment",G421=""),"Add the customer",IF(AND(D421="Customer Payment",OR(J421="",COUNTIF(ar_No,J421&amp;"")=0)),"Invoice # in Reference not found on AR sheet",IF(AND(D421="Bill Payment",H421=""),"Add the vendor",IF(AND(D421="Bill Payment",OR(J421="",COUNTIFS(ap_No,J421&amp;"",ap_Party,H421&amp;"")=0)),"Bill # + vendor not found on AP sheet",IF(AND(ISNUMBER(M421),N(M421)&lt;&gt;0,W421=0),"Tax ignored (tax tracking off, or not allowed for this type)",IF(V421=K421&amp;"","Same account on both sides",IF(AND(ISNUMBER(StartDate),C421&lt;StartDate),"Date is before the accounting start date",IF(AND(D421&lt;&gt;"Adjustment",IFERROR(INDEX(coa_Pay,MATCH(K421&amp;"",coa_Name,0)),"")&lt;&gt;"Yes"),"Paid From / Deposited To is not a payment account","")))))))))))</f>
        <v/>
      </c>
      <c r="Z421" s="67">
        <f>IF(AND(T421=0,X421=""),1,0)</f>
        <v/>
      </c>
      <c r="AA421" s="68">
        <f>IF(Z421=1,IF(U421="In",L421,L421-W421),0)</f>
        <v/>
      </c>
      <c r="AB421" s="68">
        <f>IF(Z421=1,IF(U421="In",L421-W421,L421),0)</f>
        <v/>
      </c>
      <c r="AC421" s="68">
        <f>IF(AND(Z421=1,U421="Out"),W421,0)</f>
        <v/>
      </c>
      <c r="AD421" s="68">
        <f>IF(AND(Z421=1,U421="In"),W421,0)</f>
        <v/>
      </c>
    </row>
    <row r="422">
      <c r="B422" s="62" t="inlineStr">
        <is>
          <t>TX-0416</t>
        </is>
      </c>
      <c r="C422" s="63" t="n"/>
      <c r="D422" s="62" t="n"/>
      <c r="E422" s="62" t="n"/>
      <c r="F422" s="62" t="n"/>
      <c r="G422" s="62" t="n"/>
      <c r="H422" s="62" t="n"/>
      <c r="I422" s="62" t="n"/>
      <c r="J422" s="62" t="n"/>
      <c r="K422" s="62" t="n"/>
      <c r="L422" s="64" t="n"/>
      <c r="M422" s="64" t="n"/>
      <c r="N422" s="62" t="n"/>
      <c r="O422" s="65">
        <f>IF(Z422=1,L422-W422,"")</f>
        <v/>
      </c>
      <c r="P422" s="66">
        <f>IF(V422="","",IFERROR(INDEX(coa_Type,MATCH(V422,coa_Name,0)),""))</f>
        <v/>
      </c>
      <c r="Q422" s="66">
        <f>IF(Z422=1,IF(U422="In",K422&amp;"",V422),"")</f>
        <v/>
      </c>
      <c r="R422" s="66">
        <f>IF(Z422=1,IF(U422="In",V422,K422&amp;""),"")</f>
        <v/>
      </c>
      <c r="S422" s="66">
        <f>IF(X422&lt;&gt;"","⛔ "&amp;X422&amp;" — not posted",IF(Y422&lt;&gt;"","⚠ "&amp;Y422,IF(Z422=1,"✓ OK","")))</f>
        <v/>
      </c>
      <c r="T422" s="67">
        <f>IF(AND(C422="",D422="",E422="",L422="",K422=""),1,0)</f>
        <v/>
      </c>
      <c r="U422" s="67">
        <f>IFERROR(INDEX(tt_Dir,MATCH(D422,tt_Type,0)),"")</f>
        <v/>
      </c>
      <c r="V422" s="67">
        <f>IF(D422="","",IFERROR(IF(INDEX(tt_Other,MATCH(D422,tt_Type,0))="",E422&amp;"",INDEX(tt_Other,MATCH(D422,tt_Type,0))),""))</f>
        <v/>
      </c>
      <c r="W422" s="68">
        <f>IF(OR(TaxOn&lt;&gt;"Yes",NOT(ISNUMBER(M422))),0,IF(IFERROR(INDEX(tt_Tax,MATCH(D422,tt_Type,0)),"No")="Yes",M422,0))</f>
        <v/>
      </c>
      <c r="X422" s="67">
        <f>IF(T422=1,"",IF(C422="","Missing transaction date",IF(NOT(ISNUMBER(C422)),"Invalid date",IF(OR(C422&lt;DATE(2000,1,1),C422&gt;DATE(2099,12,31)),"Invalid date",IF(D422="","Select a type",IF(U422="","Unknown type: "&amp;D422,IF(V422="","Select an account (Category)",IF(ISNA(MATCH(V422,coa_Name,0)),"Unknown account: "&amp;V422,IF(K422="","Select Paid From / Deposited To",IF(ISNA(MATCH(K422,coa_Name,0)),"Unknown account: "&amp;K422,IF(NOT(ISNUMBER(L422)),"Enter an amount",IF(L422=0,"Enter an amount",IF(ABS(W422)&gt;ABS(L422),"Tax is larger than the amount","")))))))))))))</f>
        <v/>
      </c>
      <c r="Y422" s="67">
        <f>IF(OR(T422=1,X422&lt;&gt;""),"",IF(AND(B422&lt;&gt;"",COUNTIF(tx_ID,B422)&gt;1),"Duplicate transaction ID",IF(AND(L422&lt;0,D422&lt;&gt;"Adjustment"),"Negative amount — check this entry",IF(AND(D422="Customer Payment",G422=""),"Add the customer",IF(AND(D422="Customer Payment",OR(J422="",COUNTIF(ar_No,J422&amp;"")=0)),"Invoice # in Reference not found on AR sheet",IF(AND(D422="Bill Payment",H422=""),"Add the vendor",IF(AND(D422="Bill Payment",OR(J422="",COUNTIFS(ap_No,J422&amp;"",ap_Party,H422&amp;"")=0)),"Bill # + vendor not found on AP sheet",IF(AND(ISNUMBER(M422),N(M422)&lt;&gt;0,W422=0),"Tax ignored (tax tracking off, or not allowed for this type)",IF(V422=K422&amp;"","Same account on both sides",IF(AND(ISNUMBER(StartDate),C422&lt;StartDate),"Date is before the accounting start date",IF(AND(D422&lt;&gt;"Adjustment",IFERROR(INDEX(coa_Pay,MATCH(K422&amp;"",coa_Name,0)),"")&lt;&gt;"Yes"),"Paid From / Deposited To is not a payment account","")))))))))))</f>
        <v/>
      </c>
      <c r="Z422" s="67">
        <f>IF(AND(T422=0,X422=""),1,0)</f>
        <v/>
      </c>
      <c r="AA422" s="68">
        <f>IF(Z422=1,IF(U422="In",L422,L422-W422),0)</f>
        <v/>
      </c>
      <c r="AB422" s="68">
        <f>IF(Z422=1,IF(U422="In",L422-W422,L422),0)</f>
        <v/>
      </c>
      <c r="AC422" s="68">
        <f>IF(AND(Z422=1,U422="Out"),W422,0)</f>
        <v/>
      </c>
      <c r="AD422" s="68">
        <f>IF(AND(Z422=1,U422="In"),W422,0)</f>
        <v/>
      </c>
    </row>
    <row r="423">
      <c r="B423" s="62" t="inlineStr">
        <is>
          <t>TX-0417</t>
        </is>
      </c>
      <c r="C423" s="63" t="n"/>
      <c r="D423" s="62" t="n"/>
      <c r="E423" s="62" t="n"/>
      <c r="F423" s="62" t="n"/>
      <c r="G423" s="62" t="n"/>
      <c r="H423" s="62" t="n"/>
      <c r="I423" s="62" t="n"/>
      <c r="J423" s="62" t="n"/>
      <c r="K423" s="62" t="n"/>
      <c r="L423" s="64" t="n"/>
      <c r="M423" s="64" t="n"/>
      <c r="N423" s="62" t="n"/>
      <c r="O423" s="65">
        <f>IF(Z423=1,L423-W423,"")</f>
        <v/>
      </c>
      <c r="P423" s="66">
        <f>IF(V423="","",IFERROR(INDEX(coa_Type,MATCH(V423,coa_Name,0)),""))</f>
        <v/>
      </c>
      <c r="Q423" s="66">
        <f>IF(Z423=1,IF(U423="In",K423&amp;"",V423),"")</f>
        <v/>
      </c>
      <c r="R423" s="66">
        <f>IF(Z423=1,IF(U423="In",V423,K423&amp;""),"")</f>
        <v/>
      </c>
      <c r="S423" s="66">
        <f>IF(X423&lt;&gt;"","⛔ "&amp;X423&amp;" — not posted",IF(Y423&lt;&gt;"","⚠ "&amp;Y423,IF(Z423=1,"✓ OK","")))</f>
        <v/>
      </c>
      <c r="T423" s="67">
        <f>IF(AND(C423="",D423="",E423="",L423="",K423=""),1,0)</f>
        <v/>
      </c>
      <c r="U423" s="67">
        <f>IFERROR(INDEX(tt_Dir,MATCH(D423,tt_Type,0)),"")</f>
        <v/>
      </c>
      <c r="V423" s="67">
        <f>IF(D423="","",IFERROR(IF(INDEX(tt_Other,MATCH(D423,tt_Type,0))="",E423&amp;"",INDEX(tt_Other,MATCH(D423,tt_Type,0))),""))</f>
        <v/>
      </c>
      <c r="W423" s="68">
        <f>IF(OR(TaxOn&lt;&gt;"Yes",NOT(ISNUMBER(M423))),0,IF(IFERROR(INDEX(tt_Tax,MATCH(D423,tt_Type,0)),"No")="Yes",M423,0))</f>
        <v/>
      </c>
      <c r="X423" s="67">
        <f>IF(T423=1,"",IF(C423="","Missing transaction date",IF(NOT(ISNUMBER(C423)),"Invalid date",IF(OR(C423&lt;DATE(2000,1,1),C423&gt;DATE(2099,12,31)),"Invalid date",IF(D423="","Select a type",IF(U423="","Unknown type: "&amp;D423,IF(V423="","Select an account (Category)",IF(ISNA(MATCH(V423,coa_Name,0)),"Unknown account: "&amp;V423,IF(K423="","Select Paid From / Deposited To",IF(ISNA(MATCH(K423,coa_Name,0)),"Unknown account: "&amp;K423,IF(NOT(ISNUMBER(L423)),"Enter an amount",IF(L423=0,"Enter an amount",IF(ABS(W423)&gt;ABS(L423),"Tax is larger than the amount","")))))))))))))</f>
        <v/>
      </c>
      <c r="Y423" s="67">
        <f>IF(OR(T423=1,X423&lt;&gt;""),"",IF(AND(B423&lt;&gt;"",COUNTIF(tx_ID,B423)&gt;1),"Duplicate transaction ID",IF(AND(L423&lt;0,D423&lt;&gt;"Adjustment"),"Negative amount — check this entry",IF(AND(D423="Customer Payment",G423=""),"Add the customer",IF(AND(D423="Customer Payment",OR(J423="",COUNTIF(ar_No,J423&amp;"")=0)),"Invoice # in Reference not found on AR sheet",IF(AND(D423="Bill Payment",H423=""),"Add the vendor",IF(AND(D423="Bill Payment",OR(J423="",COUNTIFS(ap_No,J423&amp;"",ap_Party,H423&amp;"")=0)),"Bill # + vendor not found on AP sheet",IF(AND(ISNUMBER(M423),N(M423)&lt;&gt;0,W423=0),"Tax ignored (tax tracking off, or not allowed for this type)",IF(V423=K423&amp;"","Same account on both sides",IF(AND(ISNUMBER(StartDate),C423&lt;StartDate),"Date is before the accounting start date",IF(AND(D423&lt;&gt;"Adjustment",IFERROR(INDEX(coa_Pay,MATCH(K423&amp;"",coa_Name,0)),"")&lt;&gt;"Yes"),"Paid From / Deposited To is not a payment account","")))))))))))</f>
        <v/>
      </c>
      <c r="Z423" s="67">
        <f>IF(AND(T423=0,X423=""),1,0)</f>
        <v/>
      </c>
      <c r="AA423" s="68">
        <f>IF(Z423=1,IF(U423="In",L423,L423-W423),0)</f>
        <v/>
      </c>
      <c r="AB423" s="68">
        <f>IF(Z423=1,IF(U423="In",L423-W423,L423),0)</f>
        <v/>
      </c>
      <c r="AC423" s="68">
        <f>IF(AND(Z423=1,U423="Out"),W423,0)</f>
        <v/>
      </c>
      <c r="AD423" s="68">
        <f>IF(AND(Z423=1,U423="In"),W423,0)</f>
        <v/>
      </c>
    </row>
    <row r="424">
      <c r="B424" s="62" t="inlineStr">
        <is>
          <t>TX-0418</t>
        </is>
      </c>
      <c r="C424" s="63" t="n"/>
      <c r="D424" s="62" t="n"/>
      <c r="E424" s="62" t="n"/>
      <c r="F424" s="62" t="n"/>
      <c r="G424" s="62" t="n"/>
      <c r="H424" s="62" t="n"/>
      <c r="I424" s="62" t="n"/>
      <c r="J424" s="62" t="n"/>
      <c r="K424" s="62" t="n"/>
      <c r="L424" s="64" t="n"/>
      <c r="M424" s="64" t="n"/>
      <c r="N424" s="62" t="n"/>
      <c r="O424" s="65">
        <f>IF(Z424=1,L424-W424,"")</f>
        <v/>
      </c>
      <c r="P424" s="66">
        <f>IF(V424="","",IFERROR(INDEX(coa_Type,MATCH(V424,coa_Name,0)),""))</f>
        <v/>
      </c>
      <c r="Q424" s="66">
        <f>IF(Z424=1,IF(U424="In",K424&amp;"",V424),"")</f>
        <v/>
      </c>
      <c r="R424" s="66">
        <f>IF(Z424=1,IF(U424="In",V424,K424&amp;""),"")</f>
        <v/>
      </c>
      <c r="S424" s="66">
        <f>IF(X424&lt;&gt;"","⛔ "&amp;X424&amp;" — not posted",IF(Y424&lt;&gt;"","⚠ "&amp;Y424,IF(Z424=1,"✓ OK","")))</f>
        <v/>
      </c>
      <c r="T424" s="67">
        <f>IF(AND(C424="",D424="",E424="",L424="",K424=""),1,0)</f>
        <v/>
      </c>
      <c r="U424" s="67">
        <f>IFERROR(INDEX(tt_Dir,MATCH(D424,tt_Type,0)),"")</f>
        <v/>
      </c>
      <c r="V424" s="67">
        <f>IF(D424="","",IFERROR(IF(INDEX(tt_Other,MATCH(D424,tt_Type,0))="",E424&amp;"",INDEX(tt_Other,MATCH(D424,tt_Type,0))),""))</f>
        <v/>
      </c>
      <c r="W424" s="68">
        <f>IF(OR(TaxOn&lt;&gt;"Yes",NOT(ISNUMBER(M424))),0,IF(IFERROR(INDEX(tt_Tax,MATCH(D424,tt_Type,0)),"No")="Yes",M424,0))</f>
        <v/>
      </c>
      <c r="X424" s="67">
        <f>IF(T424=1,"",IF(C424="","Missing transaction date",IF(NOT(ISNUMBER(C424)),"Invalid date",IF(OR(C424&lt;DATE(2000,1,1),C424&gt;DATE(2099,12,31)),"Invalid date",IF(D424="","Select a type",IF(U424="","Unknown type: "&amp;D424,IF(V424="","Select an account (Category)",IF(ISNA(MATCH(V424,coa_Name,0)),"Unknown account: "&amp;V424,IF(K424="","Select Paid From / Deposited To",IF(ISNA(MATCH(K424,coa_Name,0)),"Unknown account: "&amp;K424,IF(NOT(ISNUMBER(L424)),"Enter an amount",IF(L424=0,"Enter an amount",IF(ABS(W424)&gt;ABS(L424),"Tax is larger than the amount","")))))))))))))</f>
        <v/>
      </c>
      <c r="Y424" s="67">
        <f>IF(OR(T424=1,X424&lt;&gt;""),"",IF(AND(B424&lt;&gt;"",COUNTIF(tx_ID,B424)&gt;1),"Duplicate transaction ID",IF(AND(L424&lt;0,D424&lt;&gt;"Adjustment"),"Negative amount — check this entry",IF(AND(D424="Customer Payment",G424=""),"Add the customer",IF(AND(D424="Customer Payment",OR(J424="",COUNTIF(ar_No,J424&amp;"")=0)),"Invoice # in Reference not found on AR sheet",IF(AND(D424="Bill Payment",H424=""),"Add the vendor",IF(AND(D424="Bill Payment",OR(J424="",COUNTIFS(ap_No,J424&amp;"",ap_Party,H424&amp;"")=0)),"Bill # + vendor not found on AP sheet",IF(AND(ISNUMBER(M424),N(M424)&lt;&gt;0,W424=0),"Tax ignored (tax tracking off, or not allowed for this type)",IF(V424=K424&amp;"","Same account on both sides",IF(AND(ISNUMBER(StartDate),C424&lt;StartDate),"Date is before the accounting start date",IF(AND(D424&lt;&gt;"Adjustment",IFERROR(INDEX(coa_Pay,MATCH(K424&amp;"",coa_Name,0)),"")&lt;&gt;"Yes"),"Paid From / Deposited To is not a payment account","")))))))))))</f>
        <v/>
      </c>
      <c r="Z424" s="67">
        <f>IF(AND(T424=0,X424=""),1,0)</f>
        <v/>
      </c>
      <c r="AA424" s="68">
        <f>IF(Z424=1,IF(U424="In",L424,L424-W424),0)</f>
        <v/>
      </c>
      <c r="AB424" s="68">
        <f>IF(Z424=1,IF(U424="In",L424-W424,L424),0)</f>
        <v/>
      </c>
      <c r="AC424" s="68">
        <f>IF(AND(Z424=1,U424="Out"),W424,0)</f>
        <v/>
      </c>
      <c r="AD424" s="68">
        <f>IF(AND(Z424=1,U424="In"),W424,0)</f>
        <v/>
      </c>
    </row>
    <row r="425">
      <c r="B425" s="62" t="inlineStr">
        <is>
          <t>TX-0419</t>
        </is>
      </c>
      <c r="C425" s="63" t="n"/>
      <c r="D425" s="62" t="n"/>
      <c r="E425" s="62" t="n"/>
      <c r="F425" s="62" t="n"/>
      <c r="G425" s="62" t="n"/>
      <c r="H425" s="62" t="n"/>
      <c r="I425" s="62" t="n"/>
      <c r="J425" s="62" t="n"/>
      <c r="K425" s="62" t="n"/>
      <c r="L425" s="64" t="n"/>
      <c r="M425" s="64" t="n"/>
      <c r="N425" s="62" t="n"/>
      <c r="O425" s="65">
        <f>IF(Z425=1,L425-W425,"")</f>
        <v/>
      </c>
      <c r="P425" s="66">
        <f>IF(V425="","",IFERROR(INDEX(coa_Type,MATCH(V425,coa_Name,0)),""))</f>
        <v/>
      </c>
      <c r="Q425" s="66">
        <f>IF(Z425=1,IF(U425="In",K425&amp;"",V425),"")</f>
        <v/>
      </c>
      <c r="R425" s="66">
        <f>IF(Z425=1,IF(U425="In",V425,K425&amp;""),"")</f>
        <v/>
      </c>
      <c r="S425" s="66">
        <f>IF(X425&lt;&gt;"","⛔ "&amp;X425&amp;" — not posted",IF(Y425&lt;&gt;"","⚠ "&amp;Y425,IF(Z425=1,"✓ OK","")))</f>
        <v/>
      </c>
      <c r="T425" s="67">
        <f>IF(AND(C425="",D425="",E425="",L425="",K425=""),1,0)</f>
        <v/>
      </c>
      <c r="U425" s="67">
        <f>IFERROR(INDEX(tt_Dir,MATCH(D425,tt_Type,0)),"")</f>
        <v/>
      </c>
      <c r="V425" s="67">
        <f>IF(D425="","",IFERROR(IF(INDEX(tt_Other,MATCH(D425,tt_Type,0))="",E425&amp;"",INDEX(tt_Other,MATCH(D425,tt_Type,0))),""))</f>
        <v/>
      </c>
      <c r="W425" s="68">
        <f>IF(OR(TaxOn&lt;&gt;"Yes",NOT(ISNUMBER(M425))),0,IF(IFERROR(INDEX(tt_Tax,MATCH(D425,tt_Type,0)),"No")="Yes",M425,0))</f>
        <v/>
      </c>
      <c r="X425" s="67">
        <f>IF(T425=1,"",IF(C425="","Missing transaction date",IF(NOT(ISNUMBER(C425)),"Invalid date",IF(OR(C425&lt;DATE(2000,1,1),C425&gt;DATE(2099,12,31)),"Invalid date",IF(D425="","Select a type",IF(U425="","Unknown type: "&amp;D425,IF(V425="","Select an account (Category)",IF(ISNA(MATCH(V425,coa_Name,0)),"Unknown account: "&amp;V425,IF(K425="","Select Paid From / Deposited To",IF(ISNA(MATCH(K425,coa_Name,0)),"Unknown account: "&amp;K425,IF(NOT(ISNUMBER(L425)),"Enter an amount",IF(L425=0,"Enter an amount",IF(ABS(W425)&gt;ABS(L425),"Tax is larger than the amount","")))))))))))))</f>
        <v/>
      </c>
      <c r="Y425" s="67">
        <f>IF(OR(T425=1,X425&lt;&gt;""),"",IF(AND(B425&lt;&gt;"",COUNTIF(tx_ID,B425)&gt;1),"Duplicate transaction ID",IF(AND(L425&lt;0,D425&lt;&gt;"Adjustment"),"Negative amount — check this entry",IF(AND(D425="Customer Payment",G425=""),"Add the customer",IF(AND(D425="Customer Payment",OR(J425="",COUNTIF(ar_No,J425&amp;"")=0)),"Invoice # in Reference not found on AR sheet",IF(AND(D425="Bill Payment",H425=""),"Add the vendor",IF(AND(D425="Bill Payment",OR(J425="",COUNTIFS(ap_No,J425&amp;"",ap_Party,H425&amp;"")=0)),"Bill # + vendor not found on AP sheet",IF(AND(ISNUMBER(M425),N(M425)&lt;&gt;0,W425=0),"Tax ignored (tax tracking off, or not allowed for this type)",IF(V425=K425&amp;"","Same account on both sides",IF(AND(ISNUMBER(StartDate),C425&lt;StartDate),"Date is before the accounting start date",IF(AND(D425&lt;&gt;"Adjustment",IFERROR(INDEX(coa_Pay,MATCH(K425&amp;"",coa_Name,0)),"")&lt;&gt;"Yes"),"Paid From / Deposited To is not a payment account","")))))))))))</f>
        <v/>
      </c>
      <c r="Z425" s="67">
        <f>IF(AND(T425=0,X425=""),1,0)</f>
        <v/>
      </c>
      <c r="AA425" s="68">
        <f>IF(Z425=1,IF(U425="In",L425,L425-W425),0)</f>
        <v/>
      </c>
      <c r="AB425" s="68">
        <f>IF(Z425=1,IF(U425="In",L425-W425,L425),0)</f>
        <v/>
      </c>
      <c r="AC425" s="68">
        <f>IF(AND(Z425=1,U425="Out"),W425,0)</f>
        <v/>
      </c>
      <c r="AD425" s="68">
        <f>IF(AND(Z425=1,U425="In"),W425,0)</f>
        <v/>
      </c>
    </row>
    <row r="426">
      <c r="B426" s="62" t="inlineStr">
        <is>
          <t>TX-0420</t>
        </is>
      </c>
      <c r="C426" s="63" t="n"/>
      <c r="D426" s="62" t="n"/>
      <c r="E426" s="62" t="n"/>
      <c r="F426" s="62" t="n"/>
      <c r="G426" s="62" t="n"/>
      <c r="H426" s="62" t="n"/>
      <c r="I426" s="62" t="n"/>
      <c r="J426" s="62" t="n"/>
      <c r="K426" s="62" t="n"/>
      <c r="L426" s="64" t="n"/>
      <c r="M426" s="64" t="n"/>
      <c r="N426" s="62" t="n"/>
      <c r="O426" s="65">
        <f>IF(Z426=1,L426-W426,"")</f>
        <v/>
      </c>
      <c r="P426" s="66">
        <f>IF(V426="","",IFERROR(INDEX(coa_Type,MATCH(V426,coa_Name,0)),""))</f>
        <v/>
      </c>
      <c r="Q426" s="66">
        <f>IF(Z426=1,IF(U426="In",K426&amp;"",V426),"")</f>
        <v/>
      </c>
      <c r="R426" s="66">
        <f>IF(Z426=1,IF(U426="In",V426,K426&amp;""),"")</f>
        <v/>
      </c>
      <c r="S426" s="66">
        <f>IF(X426&lt;&gt;"","⛔ "&amp;X426&amp;" — not posted",IF(Y426&lt;&gt;"","⚠ "&amp;Y426,IF(Z426=1,"✓ OK","")))</f>
        <v/>
      </c>
      <c r="T426" s="67">
        <f>IF(AND(C426="",D426="",E426="",L426="",K426=""),1,0)</f>
        <v/>
      </c>
      <c r="U426" s="67">
        <f>IFERROR(INDEX(tt_Dir,MATCH(D426,tt_Type,0)),"")</f>
        <v/>
      </c>
      <c r="V426" s="67">
        <f>IF(D426="","",IFERROR(IF(INDEX(tt_Other,MATCH(D426,tt_Type,0))="",E426&amp;"",INDEX(tt_Other,MATCH(D426,tt_Type,0))),""))</f>
        <v/>
      </c>
      <c r="W426" s="68">
        <f>IF(OR(TaxOn&lt;&gt;"Yes",NOT(ISNUMBER(M426))),0,IF(IFERROR(INDEX(tt_Tax,MATCH(D426,tt_Type,0)),"No")="Yes",M426,0))</f>
        <v/>
      </c>
      <c r="X426" s="67">
        <f>IF(T426=1,"",IF(C426="","Missing transaction date",IF(NOT(ISNUMBER(C426)),"Invalid date",IF(OR(C426&lt;DATE(2000,1,1),C426&gt;DATE(2099,12,31)),"Invalid date",IF(D426="","Select a type",IF(U426="","Unknown type: "&amp;D426,IF(V426="","Select an account (Category)",IF(ISNA(MATCH(V426,coa_Name,0)),"Unknown account: "&amp;V426,IF(K426="","Select Paid From / Deposited To",IF(ISNA(MATCH(K426,coa_Name,0)),"Unknown account: "&amp;K426,IF(NOT(ISNUMBER(L426)),"Enter an amount",IF(L426=0,"Enter an amount",IF(ABS(W426)&gt;ABS(L426),"Tax is larger than the amount","")))))))))))))</f>
        <v/>
      </c>
      <c r="Y426" s="67">
        <f>IF(OR(T426=1,X426&lt;&gt;""),"",IF(AND(B426&lt;&gt;"",COUNTIF(tx_ID,B426)&gt;1),"Duplicate transaction ID",IF(AND(L426&lt;0,D426&lt;&gt;"Adjustment"),"Negative amount — check this entry",IF(AND(D426="Customer Payment",G426=""),"Add the customer",IF(AND(D426="Customer Payment",OR(J426="",COUNTIF(ar_No,J426&amp;"")=0)),"Invoice # in Reference not found on AR sheet",IF(AND(D426="Bill Payment",H426=""),"Add the vendor",IF(AND(D426="Bill Payment",OR(J426="",COUNTIFS(ap_No,J426&amp;"",ap_Party,H426&amp;"")=0)),"Bill # + vendor not found on AP sheet",IF(AND(ISNUMBER(M426),N(M426)&lt;&gt;0,W426=0),"Tax ignored (tax tracking off, or not allowed for this type)",IF(V426=K426&amp;"","Same account on both sides",IF(AND(ISNUMBER(StartDate),C426&lt;StartDate),"Date is before the accounting start date",IF(AND(D426&lt;&gt;"Adjustment",IFERROR(INDEX(coa_Pay,MATCH(K426&amp;"",coa_Name,0)),"")&lt;&gt;"Yes"),"Paid From / Deposited To is not a payment account","")))))))))))</f>
        <v/>
      </c>
      <c r="Z426" s="67">
        <f>IF(AND(T426=0,X426=""),1,0)</f>
        <v/>
      </c>
      <c r="AA426" s="68">
        <f>IF(Z426=1,IF(U426="In",L426,L426-W426),0)</f>
        <v/>
      </c>
      <c r="AB426" s="68">
        <f>IF(Z426=1,IF(U426="In",L426-W426,L426),0)</f>
        <v/>
      </c>
      <c r="AC426" s="68">
        <f>IF(AND(Z426=1,U426="Out"),W426,0)</f>
        <v/>
      </c>
      <c r="AD426" s="68">
        <f>IF(AND(Z426=1,U426="In"),W426,0)</f>
        <v/>
      </c>
    </row>
    <row r="427">
      <c r="B427" s="62" t="inlineStr">
        <is>
          <t>TX-0421</t>
        </is>
      </c>
      <c r="C427" s="63" t="n"/>
      <c r="D427" s="62" t="n"/>
      <c r="E427" s="62" t="n"/>
      <c r="F427" s="62" t="n"/>
      <c r="G427" s="62" t="n"/>
      <c r="H427" s="62" t="n"/>
      <c r="I427" s="62" t="n"/>
      <c r="J427" s="62" t="n"/>
      <c r="K427" s="62" t="n"/>
      <c r="L427" s="64" t="n"/>
      <c r="M427" s="64" t="n"/>
      <c r="N427" s="62" t="n"/>
      <c r="O427" s="65">
        <f>IF(Z427=1,L427-W427,"")</f>
        <v/>
      </c>
      <c r="P427" s="66">
        <f>IF(V427="","",IFERROR(INDEX(coa_Type,MATCH(V427,coa_Name,0)),""))</f>
        <v/>
      </c>
      <c r="Q427" s="66">
        <f>IF(Z427=1,IF(U427="In",K427&amp;"",V427),"")</f>
        <v/>
      </c>
      <c r="R427" s="66">
        <f>IF(Z427=1,IF(U427="In",V427,K427&amp;""),"")</f>
        <v/>
      </c>
      <c r="S427" s="66">
        <f>IF(X427&lt;&gt;"","⛔ "&amp;X427&amp;" — not posted",IF(Y427&lt;&gt;"","⚠ "&amp;Y427,IF(Z427=1,"✓ OK","")))</f>
        <v/>
      </c>
      <c r="T427" s="67">
        <f>IF(AND(C427="",D427="",E427="",L427="",K427=""),1,0)</f>
        <v/>
      </c>
      <c r="U427" s="67">
        <f>IFERROR(INDEX(tt_Dir,MATCH(D427,tt_Type,0)),"")</f>
        <v/>
      </c>
      <c r="V427" s="67">
        <f>IF(D427="","",IFERROR(IF(INDEX(tt_Other,MATCH(D427,tt_Type,0))="",E427&amp;"",INDEX(tt_Other,MATCH(D427,tt_Type,0))),""))</f>
        <v/>
      </c>
      <c r="W427" s="68">
        <f>IF(OR(TaxOn&lt;&gt;"Yes",NOT(ISNUMBER(M427))),0,IF(IFERROR(INDEX(tt_Tax,MATCH(D427,tt_Type,0)),"No")="Yes",M427,0))</f>
        <v/>
      </c>
      <c r="X427" s="67">
        <f>IF(T427=1,"",IF(C427="","Missing transaction date",IF(NOT(ISNUMBER(C427)),"Invalid date",IF(OR(C427&lt;DATE(2000,1,1),C427&gt;DATE(2099,12,31)),"Invalid date",IF(D427="","Select a type",IF(U427="","Unknown type: "&amp;D427,IF(V427="","Select an account (Category)",IF(ISNA(MATCH(V427,coa_Name,0)),"Unknown account: "&amp;V427,IF(K427="","Select Paid From / Deposited To",IF(ISNA(MATCH(K427,coa_Name,0)),"Unknown account: "&amp;K427,IF(NOT(ISNUMBER(L427)),"Enter an amount",IF(L427=0,"Enter an amount",IF(ABS(W427)&gt;ABS(L427),"Tax is larger than the amount","")))))))))))))</f>
        <v/>
      </c>
      <c r="Y427" s="67">
        <f>IF(OR(T427=1,X427&lt;&gt;""),"",IF(AND(B427&lt;&gt;"",COUNTIF(tx_ID,B427)&gt;1),"Duplicate transaction ID",IF(AND(L427&lt;0,D427&lt;&gt;"Adjustment"),"Negative amount — check this entry",IF(AND(D427="Customer Payment",G427=""),"Add the customer",IF(AND(D427="Customer Payment",OR(J427="",COUNTIF(ar_No,J427&amp;"")=0)),"Invoice # in Reference not found on AR sheet",IF(AND(D427="Bill Payment",H427=""),"Add the vendor",IF(AND(D427="Bill Payment",OR(J427="",COUNTIFS(ap_No,J427&amp;"",ap_Party,H427&amp;"")=0)),"Bill # + vendor not found on AP sheet",IF(AND(ISNUMBER(M427),N(M427)&lt;&gt;0,W427=0),"Tax ignored (tax tracking off, or not allowed for this type)",IF(V427=K427&amp;"","Same account on both sides",IF(AND(ISNUMBER(StartDate),C427&lt;StartDate),"Date is before the accounting start date",IF(AND(D427&lt;&gt;"Adjustment",IFERROR(INDEX(coa_Pay,MATCH(K427&amp;"",coa_Name,0)),"")&lt;&gt;"Yes"),"Paid From / Deposited To is not a payment account","")))))))))))</f>
        <v/>
      </c>
      <c r="Z427" s="67">
        <f>IF(AND(T427=0,X427=""),1,0)</f>
        <v/>
      </c>
      <c r="AA427" s="68">
        <f>IF(Z427=1,IF(U427="In",L427,L427-W427),0)</f>
        <v/>
      </c>
      <c r="AB427" s="68">
        <f>IF(Z427=1,IF(U427="In",L427-W427,L427),0)</f>
        <v/>
      </c>
      <c r="AC427" s="68">
        <f>IF(AND(Z427=1,U427="Out"),W427,0)</f>
        <v/>
      </c>
      <c r="AD427" s="68">
        <f>IF(AND(Z427=1,U427="In"),W427,0)</f>
        <v/>
      </c>
    </row>
    <row r="428">
      <c r="B428" s="62" t="inlineStr">
        <is>
          <t>TX-0422</t>
        </is>
      </c>
      <c r="C428" s="63" t="n"/>
      <c r="D428" s="62" t="n"/>
      <c r="E428" s="62" t="n"/>
      <c r="F428" s="62" t="n"/>
      <c r="G428" s="62" t="n"/>
      <c r="H428" s="62" t="n"/>
      <c r="I428" s="62" t="n"/>
      <c r="J428" s="62" t="n"/>
      <c r="K428" s="62" t="n"/>
      <c r="L428" s="64" t="n"/>
      <c r="M428" s="64" t="n"/>
      <c r="N428" s="62" t="n"/>
      <c r="O428" s="65">
        <f>IF(Z428=1,L428-W428,"")</f>
        <v/>
      </c>
      <c r="P428" s="66">
        <f>IF(V428="","",IFERROR(INDEX(coa_Type,MATCH(V428,coa_Name,0)),""))</f>
        <v/>
      </c>
      <c r="Q428" s="66">
        <f>IF(Z428=1,IF(U428="In",K428&amp;"",V428),"")</f>
        <v/>
      </c>
      <c r="R428" s="66">
        <f>IF(Z428=1,IF(U428="In",V428,K428&amp;""),"")</f>
        <v/>
      </c>
      <c r="S428" s="66">
        <f>IF(X428&lt;&gt;"","⛔ "&amp;X428&amp;" — not posted",IF(Y428&lt;&gt;"","⚠ "&amp;Y428,IF(Z428=1,"✓ OK","")))</f>
        <v/>
      </c>
      <c r="T428" s="67">
        <f>IF(AND(C428="",D428="",E428="",L428="",K428=""),1,0)</f>
        <v/>
      </c>
      <c r="U428" s="67">
        <f>IFERROR(INDEX(tt_Dir,MATCH(D428,tt_Type,0)),"")</f>
        <v/>
      </c>
      <c r="V428" s="67">
        <f>IF(D428="","",IFERROR(IF(INDEX(tt_Other,MATCH(D428,tt_Type,0))="",E428&amp;"",INDEX(tt_Other,MATCH(D428,tt_Type,0))),""))</f>
        <v/>
      </c>
      <c r="W428" s="68">
        <f>IF(OR(TaxOn&lt;&gt;"Yes",NOT(ISNUMBER(M428))),0,IF(IFERROR(INDEX(tt_Tax,MATCH(D428,tt_Type,0)),"No")="Yes",M428,0))</f>
        <v/>
      </c>
      <c r="X428" s="67">
        <f>IF(T428=1,"",IF(C428="","Missing transaction date",IF(NOT(ISNUMBER(C428)),"Invalid date",IF(OR(C428&lt;DATE(2000,1,1),C428&gt;DATE(2099,12,31)),"Invalid date",IF(D428="","Select a type",IF(U428="","Unknown type: "&amp;D428,IF(V428="","Select an account (Category)",IF(ISNA(MATCH(V428,coa_Name,0)),"Unknown account: "&amp;V428,IF(K428="","Select Paid From / Deposited To",IF(ISNA(MATCH(K428,coa_Name,0)),"Unknown account: "&amp;K428,IF(NOT(ISNUMBER(L428)),"Enter an amount",IF(L428=0,"Enter an amount",IF(ABS(W428)&gt;ABS(L428),"Tax is larger than the amount","")))))))))))))</f>
        <v/>
      </c>
      <c r="Y428" s="67">
        <f>IF(OR(T428=1,X428&lt;&gt;""),"",IF(AND(B428&lt;&gt;"",COUNTIF(tx_ID,B428)&gt;1),"Duplicate transaction ID",IF(AND(L428&lt;0,D428&lt;&gt;"Adjustment"),"Negative amount — check this entry",IF(AND(D428="Customer Payment",G428=""),"Add the customer",IF(AND(D428="Customer Payment",OR(J428="",COUNTIF(ar_No,J428&amp;"")=0)),"Invoice # in Reference not found on AR sheet",IF(AND(D428="Bill Payment",H428=""),"Add the vendor",IF(AND(D428="Bill Payment",OR(J428="",COUNTIFS(ap_No,J428&amp;"",ap_Party,H428&amp;"")=0)),"Bill # + vendor not found on AP sheet",IF(AND(ISNUMBER(M428),N(M428)&lt;&gt;0,W428=0),"Tax ignored (tax tracking off, or not allowed for this type)",IF(V428=K428&amp;"","Same account on both sides",IF(AND(ISNUMBER(StartDate),C428&lt;StartDate),"Date is before the accounting start date",IF(AND(D428&lt;&gt;"Adjustment",IFERROR(INDEX(coa_Pay,MATCH(K428&amp;"",coa_Name,0)),"")&lt;&gt;"Yes"),"Paid From / Deposited To is not a payment account","")))))))))))</f>
        <v/>
      </c>
      <c r="Z428" s="67">
        <f>IF(AND(T428=0,X428=""),1,0)</f>
        <v/>
      </c>
      <c r="AA428" s="68">
        <f>IF(Z428=1,IF(U428="In",L428,L428-W428),0)</f>
        <v/>
      </c>
      <c r="AB428" s="68">
        <f>IF(Z428=1,IF(U428="In",L428-W428,L428),0)</f>
        <v/>
      </c>
      <c r="AC428" s="68">
        <f>IF(AND(Z428=1,U428="Out"),W428,0)</f>
        <v/>
      </c>
      <c r="AD428" s="68">
        <f>IF(AND(Z428=1,U428="In"),W428,0)</f>
        <v/>
      </c>
    </row>
    <row r="429">
      <c r="B429" s="62" t="inlineStr">
        <is>
          <t>TX-0423</t>
        </is>
      </c>
      <c r="C429" s="63" t="n"/>
      <c r="D429" s="62" t="n"/>
      <c r="E429" s="62" t="n"/>
      <c r="F429" s="62" t="n"/>
      <c r="G429" s="62" t="n"/>
      <c r="H429" s="62" t="n"/>
      <c r="I429" s="62" t="n"/>
      <c r="J429" s="62" t="n"/>
      <c r="K429" s="62" t="n"/>
      <c r="L429" s="64" t="n"/>
      <c r="M429" s="64" t="n"/>
      <c r="N429" s="62" t="n"/>
      <c r="O429" s="65">
        <f>IF(Z429=1,L429-W429,"")</f>
        <v/>
      </c>
      <c r="P429" s="66">
        <f>IF(V429="","",IFERROR(INDEX(coa_Type,MATCH(V429,coa_Name,0)),""))</f>
        <v/>
      </c>
      <c r="Q429" s="66">
        <f>IF(Z429=1,IF(U429="In",K429&amp;"",V429),"")</f>
        <v/>
      </c>
      <c r="R429" s="66">
        <f>IF(Z429=1,IF(U429="In",V429,K429&amp;""),"")</f>
        <v/>
      </c>
      <c r="S429" s="66">
        <f>IF(X429&lt;&gt;"","⛔ "&amp;X429&amp;" — not posted",IF(Y429&lt;&gt;"","⚠ "&amp;Y429,IF(Z429=1,"✓ OK","")))</f>
        <v/>
      </c>
      <c r="T429" s="67">
        <f>IF(AND(C429="",D429="",E429="",L429="",K429=""),1,0)</f>
        <v/>
      </c>
      <c r="U429" s="67">
        <f>IFERROR(INDEX(tt_Dir,MATCH(D429,tt_Type,0)),"")</f>
        <v/>
      </c>
      <c r="V429" s="67">
        <f>IF(D429="","",IFERROR(IF(INDEX(tt_Other,MATCH(D429,tt_Type,0))="",E429&amp;"",INDEX(tt_Other,MATCH(D429,tt_Type,0))),""))</f>
        <v/>
      </c>
      <c r="W429" s="68">
        <f>IF(OR(TaxOn&lt;&gt;"Yes",NOT(ISNUMBER(M429))),0,IF(IFERROR(INDEX(tt_Tax,MATCH(D429,tt_Type,0)),"No")="Yes",M429,0))</f>
        <v/>
      </c>
      <c r="X429" s="67">
        <f>IF(T429=1,"",IF(C429="","Missing transaction date",IF(NOT(ISNUMBER(C429)),"Invalid date",IF(OR(C429&lt;DATE(2000,1,1),C429&gt;DATE(2099,12,31)),"Invalid date",IF(D429="","Select a type",IF(U429="","Unknown type: "&amp;D429,IF(V429="","Select an account (Category)",IF(ISNA(MATCH(V429,coa_Name,0)),"Unknown account: "&amp;V429,IF(K429="","Select Paid From / Deposited To",IF(ISNA(MATCH(K429,coa_Name,0)),"Unknown account: "&amp;K429,IF(NOT(ISNUMBER(L429)),"Enter an amount",IF(L429=0,"Enter an amount",IF(ABS(W429)&gt;ABS(L429),"Tax is larger than the amount","")))))))))))))</f>
        <v/>
      </c>
      <c r="Y429" s="67">
        <f>IF(OR(T429=1,X429&lt;&gt;""),"",IF(AND(B429&lt;&gt;"",COUNTIF(tx_ID,B429)&gt;1),"Duplicate transaction ID",IF(AND(L429&lt;0,D429&lt;&gt;"Adjustment"),"Negative amount — check this entry",IF(AND(D429="Customer Payment",G429=""),"Add the customer",IF(AND(D429="Customer Payment",OR(J429="",COUNTIF(ar_No,J429&amp;"")=0)),"Invoice # in Reference not found on AR sheet",IF(AND(D429="Bill Payment",H429=""),"Add the vendor",IF(AND(D429="Bill Payment",OR(J429="",COUNTIFS(ap_No,J429&amp;"",ap_Party,H429&amp;"")=0)),"Bill # + vendor not found on AP sheet",IF(AND(ISNUMBER(M429),N(M429)&lt;&gt;0,W429=0),"Tax ignored (tax tracking off, or not allowed for this type)",IF(V429=K429&amp;"","Same account on both sides",IF(AND(ISNUMBER(StartDate),C429&lt;StartDate),"Date is before the accounting start date",IF(AND(D429&lt;&gt;"Adjustment",IFERROR(INDEX(coa_Pay,MATCH(K429&amp;"",coa_Name,0)),"")&lt;&gt;"Yes"),"Paid From / Deposited To is not a payment account","")))))))))))</f>
        <v/>
      </c>
      <c r="Z429" s="67">
        <f>IF(AND(T429=0,X429=""),1,0)</f>
        <v/>
      </c>
      <c r="AA429" s="68">
        <f>IF(Z429=1,IF(U429="In",L429,L429-W429),0)</f>
        <v/>
      </c>
      <c r="AB429" s="68">
        <f>IF(Z429=1,IF(U429="In",L429-W429,L429),0)</f>
        <v/>
      </c>
      <c r="AC429" s="68">
        <f>IF(AND(Z429=1,U429="Out"),W429,0)</f>
        <v/>
      </c>
      <c r="AD429" s="68">
        <f>IF(AND(Z429=1,U429="In"),W429,0)</f>
        <v/>
      </c>
    </row>
    <row r="430">
      <c r="B430" s="62" t="inlineStr">
        <is>
          <t>TX-0424</t>
        </is>
      </c>
      <c r="C430" s="63" t="n"/>
      <c r="D430" s="62" t="n"/>
      <c r="E430" s="62" t="n"/>
      <c r="F430" s="62" t="n"/>
      <c r="G430" s="62" t="n"/>
      <c r="H430" s="62" t="n"/>
      <c r="I430" s="62" t="n"/>
      <c r="J430" s="62" t="n"/>
      <c r="K430" s="62" t="n"/>
      <c r="L430" s="64" t="n"/>
      <c r="M430" s="64" t="n"/>
      <c r="N430" s="62" t="n"/>
      <c r="O430" s="65">
        <f>IF(Z430=1,L430-W430,"")</f>
        <v/>
      </c>
      <c r="P430" s="66">
        <f>IF(V430="","",IFERROR(INDEX(coa_Type,MATCH(V430,coa_Name,0)),""))</f>
        <v/>
      </c>
      <c r="Q430" s="66">
        <f>IF(Z430=1,IF(U430="In",K430&amp;"",V430),"")</f>
        <v/>
      </c>
      <c r="R430" s="66">
        <f>IF(Z430=1,IF(U430="In",V430,K430&amp;""),"")</f>
        <v/>
      </c>
      <c r="S430" s="66">
        <f>IF(X430&lt;&gt;"","⛔ "&amp;X430&amp;" — not posted",IF(Y430&lt;&gt;"","⚠ "&amp;Y430,IF(Z430=1,"✓ OK","")))</f>
        <v/>
      </c>
      <c r="T430" s="67">
        <f>IF(AND(C430="",D430="",E430="",L430="",K430=""),1,0)</f>
        <v/>
      </c>
      <c r="U430" s="67">
        <f>IFERROR(INDEX(tt_Dir,MATCH(D430,tt_Type,0)),"")</f>
        <v/>
      </c>
      <c r="V430" s="67">
        <f>IF(D430="","",IFERROR(IF(INDEX(tt_Other,MATCH(D430,tt_Type,0))="",E430&amp;"",INDEX(tt_Other,MATCH(D430,tt_Type,0))),""))</f>
        <v/>
      </c>
      <c r="W430" s="68">
        <f>IF(OR(TaxOn&lt;&gt;"Yes",NOT(ISNUMBER(M430))),0,IF(IFERROR(INDEX(tt_Tax,MATCH(D430,tt_Type,0)),"No")="Yes",M430,0))</f>
        <v/>
      </c>
      <c r="X430" s="67">
        <f>IF(T430=1,"",IF(C430="","Missing transaction date",IF(NOT(ISNUMBER(C430)),"Invalid date",IF(OR(C430&lt;DATE(2000,1,1),C430&gt;DATE(2099,12,31)),"Invalid date",IF(D430="","Select a type",IF(U430="","Unknown type: "&amp;D430,IF(V430="","Select an account (Category)",IF(ISNA(MATCH(V430,coa_Name,0)),"Unknown account: "&amp;V430,IF(K430="","Select Paid From / Deposited To",IF(ISNA(MATCH(K430,coa_Name,0)),"Unknown account: "&amp;K430,IF(NOT(ISNUMBER(L430)),"Enter an amount",IF(L430=0,"Enter an amount",IF(ABS(W430)&gt;ABS(L430),"Tax is larger than the amount","")))))))))))))</f>
        <v/>
      </c>
      <c r="Y430" s="67">
        <f>IF(OR(T430=1,X430&lt;&gt;""),"",IF(AND(B430&lt;&gt;"",COUNTIF(tx_ID,B430)&gt;1),"Duplicate transaction ID",IF(AND(L430&lt;0,D430&lt;&gt;"Adjustment"),"Negative amount — check this entry",IF(AND(D430="Customer Payment",G430=""),"Add the customer",IF(AND(D430="Customer Payment",OR(J430="",COUNTIF(ar_No,J430&amp;"")=0)),"Invoice # in Reference not found on AR sheet",IF(AND(D430="Bill Payment",H430=""),"Add the vendor",IF(AND(D430="Bill Payment",OR(J430="",COUNTIFS(ap_No,J430&amp;"",ap_Party,H430&amp;"")=0)),"Bill # + vendor not found on AP sheet",IF(AND(ISNUMBER(M430),N(M430)&lt;&gt;0,W430=0),"Tax ignored (tax tracking off, or not allowed for this type)",IF(V430=K430&amp;"","Same account on both sides",IF(AND(ISNUMBER(StartDate),C430&lt;StartDate),"Date is before the accounting start date",IF(AND(D430&lt;&gt;"Adjustment",IFERROR(INDEX(coa_Pay,MATCH(K430&amp;"",coa_Name,0)),"")&lt;&gt;"Yes"),"Paid From / Deposited To is not a payment account","")))))))))))</f>
        <v/>
      </c>
      <c r="Z430" s="67">
        <f>IF(AND(T430=0,X430=""),1,0)</f>
        <v/>
      </c>
      <c r="AA430" s="68">
        <f>IF(Z430=1,IF(U430="In",L430,L430-W430),0)</f>
        <v/>
      </c>
      <c r="AB430" s="68">
        <f>IF(Z430=1,IF(U430="In",L430-W430,L430),0)</f>
        <v/>
      </c>
      <c r="AC430" s="68">
        <f>IF(AND(Z430=1,U430="Out"),W430,0)</f>
        <v/>
      </c>
      <c r="AD430" s="68">
        <f>IF(AND(Z430=1,U430="In"),W430,0)</f>
        <v/>
      </c>
    </row>
    <row r="431">
      <c r="B431" s="62" t="inlineStr">
        <is>
          <t>TX-0425</t>
        </is>
      </c>
      <c r="C431" s="63" t="n"/>
      <c r="D431" s="62" t="n"/>
      <c r="E431" s="62" t="n"/>
      <c r="F431" s="62" t="n"/>
      <c r="G431" s="62" t="n"/>
      <c r="H431" s="62" t="n"/>
      <c r="I431" s="62" t="n"/>
      <c r="J431" s="62" t="n"/>
      <c r="K431" s="62" t="n"/>
      <c r="L431" s="64" t="n"/>
      <c r="M431" s="64" t="n"/>
      <c r="N431" s="62" t="n"/>
      <c r="O431" s="65">
        <f>IF(Z431=1,L431-W431,"")</f>
        <v/>
      </c>
      <c r="P431" s="66">
        <f>IF(V431="","",IFERROR(INDEX(coa_Type,MATCH(V431,coa_Name,0)),""))</f>
        <v/>
      </c>
      <c r="Q431" s="66">
        <f>IF(Z431=1,IF(U431="In",K431&amp;"",V431),"")</f>
        <v/>
      </c>
      <c r="R431" s="66">
        <f>IF(Z431=1,IF(U431="In",V431,K431&amp;""),"")</f>
        <v/>
      </c>
      <c r="S431" s="66">
        <f>IF(X431&lt;&gt;"","⛔ "&amp;X431&amp;" — not posted",IF(Y431&lt;&gt;"","⚠ "&amp;Y431,IF(Z431=1,"✓ OK","")))</f>
        <v/>
      </c>
      <c r="T431" s="67">
        <f>IF(AND(C431="",D431="",E431="",L431="",K431=""),1,0)</f>
        <v/>
      </c>
      <c r="U431" s="67">
        <f>IFERROR(INDEX(tt_Dir,MATCH(D431,tt_Type,0)),"")</f>
        <v/>
      </c>
      <c r="V431" s="67">
        <f>IF(D431="","",IFERROR(IF(INDEX(tt_Other,MATCH(D431,tt_Type,0))="",E431&amp;"",INDEX(tt_Other,MATCH(D431,tt_Type,0))),""))</f>
        <v/>
      </c>
      <c r="W431" s="68">
        <f>IF(OR(TaxOn&lt;&gt;"Yes",NOT(ISNUMBER(M431))),0,IF(IFERROR(INDEX(tt_Tax,MATCH(D431,tt_Type,0)),"No")="Yes",M431,0))</f>
        <v/>
      </c>
      <c r="X431" s="67">
        <f>IF(T431=1,"",IF(C431="","Missing transaction date",IF(NOT(ISNUMBER(C431)),"Invalid date",IF(OR(C431&lt;DATE(2000,1,1),C431&gt;DATE(2099,12,31)),"Invalid date",IF(D431="","Select a type",IF(U431="","Unknown type: "&amp;D431,IF(V431="","Select an account (Category)",IF(ISNA(MATCH(V431,coa_Name,0)),"Unknown account: "&amp;V431,IF(K431="","Select Paid From / Deposited To",IF(ISNA(MATCH(K431,coa_Name,0)),"Unknown account: "&amp;K431,IF(NOT(ISNUMBER(L431)),"Enter an amount",IF(L431=0,"Enter an amount",IF(ABS(W431)&gt;ABS(L431),"Tax is larger than the amount","")))))))))))))</f>
        <v/>
      </c>
      <c r="Y431" s="67">
        <f>IF(OR(T431=1,X431&lt;&gt;""),"",IF(AND(B431&lt;&gt;"",COUNTIF(tx_ID,B431)&gt;1),"Duplicate transaction ID",IF(AND(L431&lt;0,D431&lt;&gt;"Adjustment"),"Negative amount — check this entry",IF(AND(D431="Customer Payment",G431=""),"Add the customer",IF(AND(D431="Customer Payment",OR(J431="",COUNTIF(ar_No,J431&amp;"")=0)),"Invoice # in Reference not found on AR sheet",IF(AND(D431="Bill Payment",H431=""),"Add the vendor",IF(AND(D431="Bill Payment",OR(J431="",COUNTIFS(ap_No,J431&amp;"",ap_Party,H431&amp;"")=0)),"Bill # + vendor not found on AP sheet",IF(AND(ISNUMBER(M431),N(M431)&lt;&gt;0,W431=0),"Tax ignored (tax tracking off, or not allowed for this type)",IF(V431=K431&amp;"","Same account on both sides",IF(AND(ISNUMBER(StartDate),C431&lt;StartDate),"Date is before the accounting start date",IF(AND(D431&lt;&gt;"Adjustment",IFERROR(INDEX(coa_Pay,MATCH(K431&amp;"",coa_Name,0)),"")&lt;&gt;"Yes"),"Paid From / Deposited To is not a payment account","")))))))))))</f>
        <v/>
      </c>
      <c r="Z431" s="67">
        <f>IF(AND(T431=0,X431=""),1,0)</f>
        <v/>
      </c>
      <c r="AA431" s="68">
        <f>IF(Z431=1,IF(U431="In",L431,L431-W431),0)</f>
        <v/>
      </c>
      <c r="AB431" s="68">
        <f>IF(Z431=1,IF(U431="In",L431-W431,L431),0)</f>
        <v/>
      </c>
      <c r="AC431" s="68">
        <f>IF(AND(Z431=1,U431="Out"),W431,0)</f>
        <v/>
      </c>
      <c r="AD431" s="68">
        <f>IF(AND(Z431=1,U431="In"),W431,0)</f>
        <v/>
      </c>
    </row>
    <row r="432">
      <c r="B432" s="62" t="inlineStr">
        <is>
          <t>TX-0426</t>
        </is>
      </c>
      <c r="C432" s="63" t="n"/>
      <c r="D432" s="62" t="n"/>
      <c r="E432" s="62" t="n"/>
      <c r="F432" s="62" t="n"/>
      <c r="G432" s="62" t="n"/>
      <c r="H432" s="62" t="n"/>
      <c r="I432" s="62" t="n"/>
      <c r="J432" s="62" t="n"/>
      <c r="K432" s="62" t="n"/>
      <c r="L432" s="64" t="n"/>
      <c r="M432" s="64" t="n"/>
      <c r="N432" s="62" t="n"/>
      <c r="O432" s="65">
        <f>IF(Z432=1,L432-W432,"")</f>
        <v/>
      </c>
      <c r="P432" s="66">
        <f>IF(V432="","",IFERROR(INDEX(coa_Type,MATCH(V432,coa_Name,0)),""))</f>
        <v/>
      </c>
      <c r="Q432" s="66">
        <f>IF(Z432=1,IF(U432="In",K432&amp;"",V432),"")</f>
        <v/>
      </c>
      <c r="R432" s="66">
        <f>IF(Z432=1,IF(U432="In",V432,K432&amp;""),"")</f>
        <v/>
      </c>
      <c r="S432" s="66">
        <f>IF(X432&lt;&gt;"","⛔ "&amp;X432&amp;" — not posted",IF(Y432&lt;&gt;"","⚠ "&amp;Y432,IF(Z432=1,"✓ OK","")))</f>
        <v/>
      </c>
      <c r="T432" s="67">
        <f>IF(AND(C432="",D432="",E432="",L432="",K432=""),1,0)</f>
        <v/>
      </c>
      <c r="U432" s="67">
        <f>IFERROR(INDEX(tt_Dir,MATCH(D432,tt_Type,0)),"")</f>
        <v/>
      </c>
      <c r="V432" s="67">
        <f>IF(D432="","",IFERROR(IF(INDEX(tt_Other,MATCH(D432,tt_Type,0))="",E432&amp;"",INDEX(tt_Other,MATCH(D432,tt_Type,0))),""))</f>
        <v/>
      </c>
      <c r="W432" s="68">
        <f>IF(OR(TaxOn&lt;&gt;"Yes",NOT(ISNUMBER(M432))),0,IF(IFERROR(INDEX(tt_Tax,MATCH(D432,tt_Type,0)),"No")="Yes",M432,0))</f>
        <v/>
      </c>
      <c r="X432" s="67">
        <f>IF(T432=1,"",IF(C432="","Missing transaction date",IF(NOT(ISNUMBER(C432)),"Invalid date",IF(OR(C432&lt;DATE(2000,1,1),C432&gt;DATE(2099,12,31)),"Invalid date",IF(D432="","Select a type",IF(U432="","Unknown type: "&amp;D432,IF(V432="","Select an account (Category)",IF(ISNA(MATCH(V432,coa_Name,0)),"Unknown account: "&amp;V432,IF(K432="","Select Paid From / Deposited To",IF(ISNA(MATCH(K432,coa_Name,0)),"Unknown account: "&amp;K432,IF(NOT(ISNUMBER(L432)),"Enter an amount",IF(L432=0,"Enter an amount",IF(ABS(W432)&gt;ABS(L432),"Tax is larger than the amount","")))))))))))))</f>
        <v/>
      </c>
      <c r="Y432" s="67">
        <f>IF(OR(T432=1,X432&lt;&gt;""),"",IF(AND(B432&lt;&gt;"",COUNTIF(tx_ID,B432)&gt;1),"Duplicate transaction ID",IF(AND(L432&lt;0,D432&lt;&gt;"Adjustment"),"Negative amount — check this entry",IF(AND(D432="Customer Payment",G432=""),"Add the customer",IF(AND(D432="Customer Payment",OR(J432="",COUNTIF(ar_No,J432&amp;"")=0)),"Invoice # in Reference not found on AR sheet",IF(AND(D432="Bill Payment",H432=""),"Add the vendor",IF(AND(D432="Bill Payment",OR(J432="",COUNTIFS(ap_No,J432&amp;"",ap_Party,H432&amp;"")=0)),"Bill # + vendor not found on AP sheet",IF(AND(ISNUMBER(M432),N(M432)&lt;&gt;0,W432=0),"Tax ignored (tax tracking off, or not allowed for this type)",IF(V432=K432&amp;"","Same account on both sides",IF(AND(ISNUMBER(StartDate),C432&lt;StartDate),"Date is before the accounting start date",IF(AND(D432&lt;&gt;"Adjustment",IFERROR(INDEX(coa_Pay,MATCH(K432&amp;"",coa_Name,0)),"")&lt;&gt;"Yes"),"Paid From / Deposited To is not a payment account","")))))))))))</f>
        <v/>
      </c>
      <c r="Z432" s="67">
        <f>IF(AND(T432=0,X432=""),1,0)</f>
        <v/>
      </c>
      <c r="AA432" s="68">
        <f>IF(Z432=1,IF(U432="In",L432,L432-W432),0)</f>
        <v/>
      </c>
      <c r="AB432" s="68">
        <f>IF(Z432=1,IF(U432="In",L432-W432,L432),0)</f>
        <v/>
      </c>
      <c r="AC432" s="68">
        <f>IF(AND(Z432=1,U432="Out"),W432,0)</f>
        <v/>
      </c>
      <c r="AD432" s="68">
        <f>IF(AND(Z432=1,U432="In"),W432,0)</f>
        <v/>
      </c>
    </row>
    <row r="433">
      <c r="B433" s="62" t="inlineStr">
        <is>
          <t>TX-0427</t>
        </is>
      </c>
      <c r="C433" s="63" t="n"/>
      <c r="D433" s="62" t="n"/>
      <c r="E433" s="62" t="n"/>
      <c r="F433" s="62" t="n"/>
      <c r="G433" s="62" t="n"/>
      <c r="H433" s="62" t="n"/>
      <c r="I433" s="62" t="n"/>
      <c r="J433" s="62" t="n"/>
      <c r="K433" s="62" t="n"/>
      <c r="L433" s="64" t="n"/>
      <c r="M433" s="64" t="n"/>
      <c r="N433" s="62" t="n"/>
      <c r="O433" s="65">
        <f>IF(Z433=1,L433-W433,"")</f>
        <v/>
      </c>
      <c r="P433" s="66">
        <f>IF(V433="","",IFERROR(INDEX(coa_Type,MATCH(V433,coa_Name,0)),""))</f>
        <v/>
      </c>
      <c r="Q433" s="66">
        <f>IF(Z433=1,IF(U433="In",K433&amp;"",V433),"")</f>
        <v/>
      </c>
      <c r="R433" s="66">
        <f>IF(Z433=1,IF(U433="In",V433,K433&amp;""),"")</f>
        <v/>
      </c>
      <c r="S433" s="66">
        <f>IF(X433&lt;&gt;"","⛔ "&amp;X433&amp;" — not posted",IF(Y433&lt;&gt;"","⚠ "&amp;Y433,IF(Z433=1,"✓ OK","")))</f>
        <v/>
      </c>
      <c r="T433" s="67">
        <f>IF(AND(C433="",D433="",E433="",L433="",K433=""),1,0)</f>
        <v/>
      </c>
      <c r="U433" s="67">
        <f>IFERROR(INDEX(tt_Dir,MATCH(D433,tt_Type,0)),"")</f>
        <v/>
      </c>
      <c r="V433" s="67">
        <f>IF(D433="","",IFERROR(IF(INDEX(tt_Other,MATCH(D433,tt_Type,0))="",E433&amp;"",INDEX(tt_Other,MATCH(D433,tt_Type,0))),""))</f>
        <v/>
      </c>
      <c r="W433" s="68">
        <f>IF(OR(TaxOn&lt;&gt;"Yes",NOT(ISNUMBER(M433))),0,IF(IFERROR(INDEX(tt_Tax,MATCH(D433,tt_Type,0)),"No")="Yes",M433,0))</f>
        <v/>
      </c>
      <c r="X433" s="67">
        <f>IF(T433=1,"",IF(C433="","Missing transaction date",IF(NOT(ISNUMBER(C433)),"Invalid date",IF(OR(C433&lt;DATE(2000,1,1),C433&gt;DATE(2099,12,31)),"Invalid date",IF(D433="","Select a type",IF(U433="","Unknown type: "&amp;D433,IF(V433="","Select an account (Category)",IF(ISNA(MATCH(V433,coa_Name,0)),"Unknown account: "&amp;V433,IF(K433="","Select Paid From / Deposited To",IF(ISNA(MATCH(K433,coa_Name,0)),"Unknown account: "&amp;K433,IF(NOT(ISNUMBER(L433)),"Enter an amount",IF(L433=0,"Enter an amount",IF(ABS(W433)&gt;ABS(L433),"Tax is larger than the amount","")))))))))))))</f>
        <v/>
      </c>
      <c r="Y433" s="67">
        <f>IF(OR(T433=1,X433&lt;&gt;""),"",IF(AND(B433&lt;&gt;"",COUNTIF(tx_ID,B433)&gt;1),"Duplicate transaction ID",IF(AND(L433&lt;0,D433&lt;&gt;"Adjustment"),"Negative amount — check this entry",IF(AND(D433="Customer Payment",G433=""),"Add the customer",IF(AND(D433="Customer Payment",OR(J433="",COUNTIF(ar_No,J433&amp;"")=0)),"Invoice # in Reference not found on AR sheet",IF(AND(D433="Bill Payment",H433=""),"Add the vendor",IF(AND(D433="Bill Payment",OR(J433="",COUNTIFS(ap_No,J433&amp;"",ap_Party,H433&amp;"")=0)),"Bill # + vendor not found on AP sheet",IF(AND(ISNUMBER(M433),N(M433)&lt;&gt;0,W433=0),"Tax ignored (tax tracking off, or not allowed for this type)",IF(V433=K433&amp;"","Same account on both sides",IF(AND(ISNUMBER(StartDate),C433&lt;StartDate),"Date is before the accounting start date",IF(AND(D433&lt;&gt;"Adjustment",IFERROR(INDEX(coa_Pay,MATCH(K433&amp;"",coa_Name,0)),"")&lt;&gt;"Yes"),"Paid From / Deposited To is not a payment account","")))))))))))</f>
        <v/>
      </c>
      <c r="Z433" s="67">
        <f>IF(AND(T433=0,X433=""),1,0)</f>
        <v/>
      </c>
      <c r="AA433" s="68">
        <f>IF(Z433=1,IF(U433="In",L433,L433-W433),0)</f>
        <v/>
      </c>
      <c r="AB433" s="68">
        <f>IF(Z433=1,IF(U433="In",L433-W433,L433),0)</f>
        <v/>
      </c>
      <c r="AC433" s="68">
        <f>IF(AND(Z433=1,U433="Out"),W433,0)</f>
        <v/>
      </c>
      <c r="AD433" s="68">
        <f>IF(AND(Z433=1,U433="In"),W433,0)</f>
        <v/>
      </c>
    </row>
    <row r="434">
      <c r="B434" s="62" t="inlineStr">
        <is>
          <t>TX-0428</t>
        </is>
      </c>
      <c r="C434" s="63" t="n"/>
      <c r="D434" s="62" t="n"/>
      <c r="E434" s="62" t="n"/>
      <c r="F434" s="62" t="n"/>
      <c r="G434" s="62" t="n"/>
      <c r="H434" s="62" t="n"/>
      <c r="I434" s="62" t="n"/>
      <c r="J434" s="62" t="n"/>
      <c r="K434" s="62" t="n"/>
      <c r="L434" s="64" t="n"/>
      <c r="M434" s="64" t="n"/>
      <c r="N434" s="62" t="n"/>
      <c r="O434" s="65">
        <f>IF(Z434=1,L434-W434,"")</f>
        <v/>
      </c>
      <c r="P434" s="66">
        <f>IF(V434="","",IFERROR(INDEX(coa_Type,MATCH(V434,coa_Name,0)),""))</f>
        <v/>
      </c>
      <c r="Q434" s="66">
        <f>IF(Z434=1,IF(U434="In",K434&amp;"",V434),"")</f>
        <v/>
      </c>
      <c r="R434" s="66">
        <f>IF(Z434=1,IF(U434="In",V434,K434&amp;""),"")</f>
        <v/>
      </c>
      <c r="S434" s="66">
        <f>IF(X434&lt;&gt;"","⛔ "&amp;X434&amp;" — not posted",IF(Y434&lt;&gt;"","⚠ "&amp;Y434,IF(Z434=1,"✓ OK","")))</f>
        <v/>
      </c>
      <c r="T434" s="67">
        <f>IF(AND(C434="",D434="",E434="",L434="",K434=""),1,0)</f>
        <v/>
      </c>
      <c r="U434" s="67">
        <f>IFERROR(INDEX(tt_Dir,MATCH(D434,tt_Type,0)),"")</f>
        <v/>
      </c>
      <c r="V434" s="67">
        <f>IF(D434="","",IFERROR(IF(INDEX(tt_Other,MATCH(D434,tt_Type,0))="",E434&amp;"",INDEX(tt_Other,MATCH(D434,tt_Type,0))),""))</f>
        <v/>
      </c>
      <c r="W434" s="68">
        <f>IF(OR(TaxOn&lt;&gt;"Yes",NOT(ISNUMBER(M434))),0,IF(IFERROR(INDEX(tt_Tax,MATCH(D434,tt_Type,0)),"No")="Yes",M434,0))</f>
        <v/>
      </c>
      <c r="X434" s="67">
        <f>IF(T434=1,"",IF(C434="","Missing transaction date",IF(NOT(ISNUMBER(C434)),"Invalid date",IF(OR(C434&lt;DATE(2000,1,1),C434&gt;DATE(2099,12,31)),"Invalid date",IF(D434="","Select a type",IF(U434="","Unknown type: "&amp;D434,IF(V434="","Select an account (Category)",IF(ISNA(MATCH(V434,coa_Name,0)),"Unknown account: "&amp;V434,IF(K434="","Select Paid From / Deposited To",IF(ISNA(MATCH(K434,coa_Name,0)),"Unknown account: "&amp;K434,IF(NOT(ISNUMBER(L434)),"Enter an amount",IF(L434=0,"Enter an amount",IF(ABS(W434)&gt;ABS(L434),"Tax is larger than the amount","")))))))))))))</f>
        <v/>
      </c>
      <c r="Y434" s="67">
        <f>IF(OR(T434=1,X434&lt;&gt;""),"",IF(AND(B434&lt;&gt;"",COUNTIF(tx_ID,B434)&gt;1),"Duplicate transaction ID",IF(AND(L434&lt;0,D434&lt;&gt;"Adjustment"),"Negative amount — check this entry",IF(AND(D434="Customer Payment",G434=""),"Add the customer",IF(AND(D434="Customer Payment",OR(J434="",COUNTIF(ar_No,J434&amp;"")=0)),"Invoice # in Reference not found on AR sheet",IF(AND(D434="Bill Payment",H434=""),"Add the vendor",IF(AND(D434="Bill Payment",OR(J434="",COUNTIFS(ap_No,J434&amp;"",ap_Party,H434&amp;"")=0)),"Bill # + vendor not found on AP sheet",IF(AND(ISNUMBER(M434),N(M434)&lt;&gt;0,W434=0),"Tax ignored (tax tracking off, or not allowed for this type)",IF(V434=K434&amp;"","Same account on both sides",IF(AND(ISNUMBER(StartDate),C434&lt;StartDate),"Date is before the accounting start date",IF(AND(D434&lt;&gt;"Adjustment",IFERROR(INDEX(coa_Pay,MATCH(K434&amp;"",coa_Name,0)),"")&lt;&gt;"Yes"),"Paid From / Deposited To is not a payment account","")))))))))))</f>
        <v/>
      </c>
      <c r="Z434" s="67">
        <f>IF(AND(T434=0,X434=""),1,0)</f>
        <v/>
      </c>
      <c r="AA434" s="68">
        <f>IF(Z434=1,IF(U434="In",L434,L434-W434),0)</f>
        <v/>
      </c>
      <c r="AB434" s="68">
        <f>IF(Z434=1,IF(U434="In",L434-W434,L434),0)</f>
        <v/>
      </c>
      <c r="AC434" s="68">
        <f>IF(AND(Z434=1,U434="Out"),W434,0)</f>
        <v/>
      </c>
      <c r="AD434" s="68">
        <f>IF(AND(Z434=1,U434="In"),W434,0)</f>
        <v/>
      </c>
    </row>
    <row r="435">
      <c r="B435" s="62" t="inlineStr">
        <is>
          <t>TX-0429</t>
        </is>
      </c>
      <c r="C435" s="63" t="n"/>
      <c r="D435" s="62" t="n"/>
      <c r="E435" s="62" t="n"/>
      <c r="F435" s="62" t="n"/>
      <c r="G435" s="62" t="n"/>
      <c r="H435" s="62" t="n"/>
      <c r="I435" s="62" t="n"/>
      <c r="J435" s="62" t="n"/>
      <c r="K435" s="62" t="n"/>
      <c r="L435" s="64" t="n"/>
      <c r="M435" s="64" t="n"/>
      <c r="N435" s="62" t="n"/>
      <c r="O435" s="65">
        <f>IF(Z435=1,L435-W435,"")</f>
        <v/>
      </c>
      <c r="P435" s="66">
        <f>IF(V435="","",IFERROR(INDEX(coa_Type,MATCH(V435,coa_Name,0)),""))</f>
        <v/>
      </c>
      <c r="Q435" s="66">
        <f>IF(Z435=1,IF(U435="In",K435&amp;"",V435),"")</f>
        <v/>
      </c>
      <c r="R435" s="66">
        <f>IF(Z435=1,IF(U435="In",V435,K435&amp;""),"")</f>
        <v/>
      </c>
      <c r="S435" s="66">
        <f>IF(X435&lt;&gt;"","⛔ "&amp;X435&amp;" — not posted",IF(Y435&lt;&gt;"","⚠ "&amp;Y435,IF(Z435=1,"✓ OK","")))</f>
        <v/>
      </c>
      <c r="T435" s="67">
        <f>IF(AND(C435="",D435="",E435="",L435="",K435=""),1,0)</f>
        <v/>
      </c>
      <c r="U435" s="67">
        <f>IFERROR(INDEX(tt_Dir,MATCH(D435,tt_Type,0)),"")</f>
        <v/>
      </c>
      <c r="V435" s="67">
        <f>IF(D435="","",IFERROR(IF(INDEX(tt_Other,MATCH(D435,tt_Type,0))="",E435&amp;"",INDEX(tt_Other,MATCH(D435,tt_Type,0))),""))</f>
        <v/>
      </c>
      <c r="W435" s="68">
        <f>IF(OR(TaxOn&lt;&gt;"Yes",NOT(ISNUMBER(M435))),0,IF(IFERROR(INDEX(tt_Tax,MATCH(D435,tt_Type,0)),"No")="Yes",M435,0))</f>
        <v/>
      </c>
      <c r="X435" s="67">
        <f>IF(T435=1,"",IF(C435="","Missing transaction date",IF(NOT(ISNUMBER(C435)),"Invalid date",IF(OR(C435&lt;DATE(2000,1,1),C435&gt;DATE(2099,12,31)),"Invalid date",IF(D435="","Select a type",IF(U435="","Unknown type: "&amp;D435,IF(V435="","Select an account (Category)",IF(ISNA(MATCH(V435,coa_Name,0)),"Unknown account: "&amp;V435,IF(K435="","Select Paid From / Deposited To",IF(ISNA(MATCH(K435,coa_Name,0)),"Unknown account: "&amp;K435,IF(NOT(ISNUMBER(L435)),"Enter an amount",IF(L435=0,"Enter an amount",IF(ABS(W435)&gt;ABS(L435),"Tax is larger than the amount","")))))))))))))</f>
        <v/>
      </c>
      <c r="Y435" s="67">
        <f>IF(OR(T435=1,X435&lt;&gt;""),"",IF(AND(B435&lt;&gt;"",COUNTIF(tx_ID,B435)&gt;1),"Duplicate transaction ID",IF(AND(L435&lt;0,D435&lt;&gt;"Adjustment"),"Negative amount — check this entry",IF(AND(D435="Customer Payment",G435=""),"Add the customer",IF(AND(D435="Customer Payment",OR(J435="",COUNTIF(ar_No,J435&amp;"")=0)),"Invoice # in Reference not found on AR sheet",IF(AND(D435="Bill Payment",H435=""),"Add the vendor",IF(AND(D435="Bill Payment",OR(J435="",COUNTIFS(ap_No,J435&amp;"",ap_Party,H435&amp;"")=0)),"Bill # + vendor not found on AP sheet",IF(AND(ISNUMBER(M435),N(M435)&lt;&gt;0,W435=0),"Tax ignored (tax tracking off, or not allowed for this type)",IF(V435=K435&amp;"","Same account on both sides",IF(AND(ISNUMBER(StartDate),C435&lt;StartDate),"Date is before the accounting start date",IF(AND(D435&lt;&gt;"Adjustment",IFERROR(INDEX(coa_Pay,MATCH(K435&amp;"",coa_Name,0)),"")&lt;&gt;"Yes"),"Paid From / Deposited To is not a payment account","")))))))))))</f>
        <v/>
      </c>
      <c r="Z435" s="67">
        <f>IF(AND(T435=0,X435=""),1,0)</f>
        <v/>
      </c>
      <c r="AA435" s="68">
        <f>IF(Z435=1,IF(U435="In",L435,L435-W435),0)</f>
        <v/>
      </c>
      <c r="AB435" s="68">
        <f>IF(Z435=1,IF(U435="In",L435-W435,L435),0)</f>
        <v/>
      </c>
      <c r="AC435" s="68">
        <f>IF(AND(Z435=1,U435="Out"),W435,0)</f>
        <v/>
      </c>
      <c r="AD435" s="68">
        <f>IF(AND(Z435=1,U435="In"),W435,0)</f>
        <v/>
      </c>
    </row>
    <row r="436">
      <c r="B436" s="62" t="inlineStr">
        <is>
          <t>TX-0430</t>
        </is>
      </c>
      <c r="C436" s="63" t="n"/>
      <c r="D436" s="62" t="n"/>
      <c r="E436" s="62" t="n"/>
      <c r="F436" s="62" t="n"/>
      <c r="G436" s="62" t="n"/>
      <c r="H436" s="62" t="n"/>
      <c r="I436" s="62" t="n"/>
      <c r="J436" s="62" t="n"/>
      <c r="K436" s="62" t="n"/>
      <c r="L436" s="64" t="n"/>
      <c r="M436" s="64" t="n"/>
      <c r="N436" s="62" t="n"/>
      <c r="O436" s="65">
        <f>IF(Z436=1,L436-W436,"")</f>
        <v/>
      </c>
      <c r="P436" s="66">
        <f>IF(V436="","",IFERROR(INDEX(coa_Type,MATCH(V436,coa_Name,0)),""))</f>
        <v/>
      </c>
      <c r="Q436" s="66">
        <f>IF(Z436=1,IF(U436="In",K436&amp;"",V436),"")</f>
        <v/>
      </c>
      <c r="R436" s="66">
        <f>IF(Z436=1,IF(U436="In",V436,K436&amp;""),"")</f>
        <v/>
      </c>
      <c r="S436" s="66">
        <f>IF(X436&lt;&gt;"","⛔ "&amp;X436&amp;" — not posted",IF(Y436&lt;&gt;"","⚠ "&amp;Y436,IF(Z436=1,"✓ OK","")))</f>
        <v/>
      </c>
      <c r="T436" s="67">
        <f>IF(AND(C436="",D436="",E436="",L436="",K436=""),1,0)</f>
        <v/>
      </c>
      <c r="U436" s="67">
        <f>IFERROR(INDEX(tt_Dir,MATCH(D436,tt_Type,0)),"")</f>
        <v/>
      </c>
      <c r="V436" s="67">
        <f>IF(D436="","",IFERROR(IF(INDEX(tt_Other,MATCH(D436,tt_Type,0))="",E436&amp;"",INDEX(tt_Other,MATCH(D436,tt_Type,0))),""))</f>
        <v/>
      </c>
      <c r="W436" s="68">
        <f>IF(OR(TaxOn&lt;&gt;"Yes",NOT(ISNUMBER(M436))),0,IF(IFERROR(INDEX(tt_Tax,MATCH(D436,tt_Type,0)),"No")="Yes",M436,0))</f>
        <v/>
      </c>
      <c r="X436" s="67">
        <f>IF(T436=1,"",IF(C436="","Missing transaction date",IF(NOT(ISNUMBER(C436)),"Invalid date",IF(OR(C436&lt;DATE(2000,1,1),C436&gt;DATE(2099,12,31)),"Invalid date",IF(D436="","Select a type",IF(U436="","Unknown type: "&amp;D436,IF(V436="","Select an account (Category)",IF(ISNA(MATCH(V436,coa_Name,0)),"Unknown account: "&amp;V436,IF(K436="","Select Paid From / Deposited To",IF(ISNA(MATCH(K436,coa_Name,0)),"Unknown account: "&amp;K436,IF(NOT(ISNUMBER(L436)),"Enter an amount",IF(L436=0,"Enter an amount",IF(ABS(W436)&gt;ABS(L436),"Tax is larger than the amount","")))))))))))))</f>
        <v/>
      </c>
      <c r="Y436" s="67">
        <f>IF(OR(T436=1,X436&lt;&gt;""),"",IF(AND(B436&lt;&gt;"",COUNTIF(tx_ID,B436)&gt;1),"Duplicate transaction ID",IF(AND(L436&lt;0,D436&lt;&gt;"Adjustment"),"Negative amount — check this entry",IF(AND(D436="Customer Payment",G436=""),"Add the customer",IF(AND(D436="Customer Payment",OR(J436="",COUNTIF(ar_No,J436&amp;"")=0)),"Invoice # in Reference not found on AR sheet",IF(AND(D436="Bill Payment",H436=""),"Add the vendor",IF(AND(D436="Bill Payment",OR(J436="",COUNTIFS(ap_No,J436&amp;"",ap_Party,H436&amp;"")=0)),"Bill # + vendor not found on AP sheet",IF(AND(ISNUMBER(M436),N(M436)&lt;&gt;0,W436=0),"Tax ignored (tax tracking off, or not allowed for this type)",IF(V436=K436&amp;"","Same account on both sides",IF(AND(ISNUMBER(StartDate),C436&lt;StartDate),"Date is before the accounting start date",IF(AND(D436&lt;&gt;"Adjustment",IFERROR(INDEX(coa_Pay,MATCH(K436&amp;"",coa_Name,0)),"")&lt;&gt;"Yes"),"Paid From / Deposited To is not a payment account","")))))))))))</f>
        <v/>
      </c>
      <c r="Z436" s="67">
        <f>IF(AND(T436=0,X436=""),1,0)</f>
        <v/>
      </c>
      <c r="AA436" s="68">
        <f>IF(Z436=1,IF(U436="In",L436,L436-W436),0)</f>
        <v/>
      </c>
      <c r="AB436" s="68">
        <f>IF(Z436=1,IF(U436="In",L436-W436,L436),0)</f>
        <v/>
      </c>
      <c r="AC436" s="68">
        <f>IF(AND(Z436=1,U436="Out"),W436,0)</f>
        <v/>
      </c>
      <c r="AD436" s="68">
        <f>IF(AND(Z436=1,U436="In"),W436,0)</f>
        <v/>
      </c>
    </row>
    <row r="437">
      <c r="B437" s="62" t="inlineStr">
        <is>
          <t>TX-0431</t>
        </is>
      </c>
      <c r="C437" s="63" t="n"/>
      <c r="D437" s="62" t="n"/>
      <c r="E437" s="62" t="n"/>
      <c r="F437" s="62" t="n"/>
      <c r="G437" s="62" t="n"/>
      <c r="H437" s="62" t="n"/>
      <c r="I437" s="62" t="n"/>
      <c r="J437" s="62" t="n"/>
      <c r="K437" s="62" t="n"/>
      <c r="L437" s="64" t="n"/>
      <c r="M437" s="64" t="n"/>
      <c r="N437" s="62" t="n"/>
      <c r="O437" s="65">
        <f>IF(Z437=1,L437-W437,"")</f>
        <v/>
      </c>
      <c r="P437" s="66">
        <f>IF(V437="","",IFERROR(INDEX(coa_Type,MATCH(V437,coa_Name,0)),""))</f>
        <v/>
      </c>
      <c r="Q437" s="66">
        <f>IF(Z437=1,IF(U437="In",K437&amp;"",V437),"")</f>
        <v/>
      </c>
      <c r="R437" s="66">
        <f>IF(Z437=1,IF(U437="In",V437,K437&amp;""),"")</f>
        <v/>
      </c>
      <c r="S437" s="66">
        <f>IF(X437&lt;&gt;"","⛔ "&amp;X437&amp;" — not posted",IF(Y437&lt;&gt;"","⚠ "&amp;Y437,IF(Z437=1,"✓ OK","")))</f>
        <v/>
      </c>
      <c r="T437" s="67">
        <f>IF(AND(C437="",D437="",E437="",L437="",K437=""),1,0)</f>
        <v/>
      </c>
      <c r="U437" s="67">
        <f>IFERROR(INDEX(tt_Dir,MATCH(D437,tt_Type,0)),"")</f>
        <v/>
      </c>
      <c r="V437" s="67">
        <f>IF(D437="","",IFERROR(IF(INDEX(tt_Other,MATCH(D437,tt_Type,0))="",E437&amp;"",INDEX(tt_Other,MATCH(D437,tt_Type,0))),""))</f>
        <v/>
      </c>
      <c r="W437" s="68">
        <f>IF(OR(TaxOn&lt;&gt;"Yes",NOT(ISNUMBER(M437))),0,IF(IFERROR(INDEX(tt_Tax,MATCH(D437,tt_Type,0)),"No")="Yes",M437,0))</f>
        <v/>
      </c>
      <c r="X437" s="67">
        <f>IF(T437=1,"",IF(C437="","Missing transaction date",IF(NOT(ISNUMBER(C437)),"Invalid date",IF(OR(C437&lt;DATE(2000,1,1),C437&gt;DATE(2099,12,31)),"Invalid date",IF(D437="","Select a type",IF(U437="","Unknown type: "&amp;D437,IF(V437="","Select an account (Category)",IF(ISNA(MATCH(V437,coa_Name,0)),"Unknown account: "&amp;V437,IF(K437="","Select Paid From / Deposited To",IF(ISNA(MATCH(K437,coa_Name,0)),"Unknown account: "&amp;K437,IF(NOT(ISNUMBER(L437)),"Enter an amount",IF(L437=0,"Enter an amount",IF(ABS(W437)&gt;ABS(L437),"Tax is larger than the amount","")))))))))))))</f>
        <v/>
      </c>
      <c r="Y437" s="67">
        <f>IF(OR(T437=1,X437&lt;&gt;""),"",IF(AND(B437&lt;&gt;"",COUNTIF(tx_ID,B437)&gt;1),"Duplicate transaction ID",IF(AND(L437&lt;0,D437&lt;&gt;"Adjustment"),"Negative amount — check this entry",IF(AND(D437="Customer Payment",G437=""),"Add the customer",IF(AND(D437="Customer Payment",OR(J437="",COUNTIF(ar_No,J437&amp;"")=0)),"Invoice # in Reference not found on AR sheet",IF(AND(D437="Bill Payment",H437=""),"Add the vendor",IF(AND(D437="Bill Payment",OR(J437="",COUNTIFS(ap_No,J437&amp;"",ap_Party,H437&amp;"")=0)),"Bill # + vendor not found on AP sheet",IF(AND(ISNUMBER(M437),N(M437)&lt;&gt;0,W437=0),"Tax ignored (tax tracking off, or not allowed for this type)",IF(V437=K437&amp;"","Same account on both sides",IF(AND(ISNUMBER(StartDate),C437&lt;StartDate),"Date is before the accounting start date",IF(AND(D437&lt;&gt;"Adjustment",IFERROR(INDEX(coa_Pay,MATCH(K437&amp;"",coa_Name,0)),"")&lt;&gt;"Yes"),"Paid From / Deposited To is not a payment account","")))))))))))</f>
        <v/>
      </c>
      <c r="Z437" s="67">
        <f>IF(AND(T437=0,X437=""),1,0)</f>
        <v/>
      </c>
      <c r="AA437" s="68">
        <f>IF(Z437=1,IF(U437="In",L437,L437-W437),0)</f>
        <v/>
      </c>
      <c r="AB437" s="68">
        <f>IF(Z437=1,IF(U437="In",L437-W437,L437),0)</f>
        <v/>
      </c>
      <c r="AC437" s="68">
        <f>IF(AND(Z437=1,U437="Out"),W437,0)</f>
        <v/>
      </c>
      <c r="AD437" s="68">
        <f>IF(AND(Z437=1,U437="In"),W437,0)</f>
        <v/>
      </c>
    </row>
    <row r="438">
      <c r="B438" s="62" t="inlineStr">
        <is>
          <t>TX-0432</t>
        </is>
      </c>
      <c r="C438" s="63" t="n"/>
      <c r="D438" s="62" t="n"/>
      <c r="E438" s="62" t="n"/>
      <c r="F438" s="62" t="n"/>
      <c r="G438" s="62" t="n"/>
      <c r="H438" s="62" t="n"/>
      <c r="I438" s="62" t="n"/>
      <c r="J438" s="62" t="n"/>
      <c r="K438" s="62" t="n"/>
      <c r="L438" s="64" t="n"/>
      <c r="M438" s="64" t="n"/>
      <c r="N438" s="62" t="n"/>
      <c r="O438" s="65">
        <f>IF(Z438=1,L438-W438,"")</f>
        <v/>
      </c>
      <c r="P438" s="66">
        <f>IF(V438="","",IFERROR(INDEX(coa_Type,MATCH(V438,coa_Name,0)),""))</f>
        <v/>
      </c>
      <c r="Q438" s="66">
        <f>IF(Z438=1,IF(U438="In",K438&amp;"",V438),"")</f>
        <v/>
      </c>
      <c r="R438" s="66">
        <f>IF(Z438=1,IF(U438="In",V438,K438&amp;""),"")</f>
        <v/>
      </c>
      <c r="S438" s="66">
        <f>IF(X438&lt;&gt;"","⛔ "&amp;X438&amp;" — not posted",IF(Y438&lt;&gt;"","⚠ "&amp;Y438,IF(Z438=1,"✓ OK","")))</f>
        <v/>
      </c>
      <c r="T438" s="67">
        <f>IF(AND(C438="",D438="",E438="",L438="",K438=""),1,0)</f>
        <v/>
      </c>
      <c r="U438" s="67">
        <f>IFERROR(INDEX(tt_Dir,MATCH(D438,tt_Type,0)),"")</f>
        <v/>
      </c>
      <c r="V438" s="67">
        <f>IF(D438="","",IFERROR(IF(INDEX(tt_Other,MATCH(D438,tt_Type,0))="",E438&amp;"",INDEX(tt_Other,MATCH(D438,tt_Type,0))),""))</f>
        <v/>
      </c>
      <c r="W438" s="68">
        <f>IF(OR(TaxOn&lt;&gt;"Yes",NOT(ISNUMBER(M438))),0,IF(IFERROR(INDEX(tt_Tax,MATCH(D438,tt_Type,0)),"No")="Yes",M438,0))</f>
        <v/>
      </c>
      <c r="X438" s="67">
        <f>IF(T438=1,"",IF(C438="","Missing transaction date",IF(NOT(ISNUMBER(C438)),"Invalid date",IF(OR(C438&lt;DATE(2000,1,1),C438&gt;DATE(2099,12,31)),"Invalid date",IF(D438="","Select a type",IF(U438="","Unknown type: "&amp;D438,IF(V438="","Select an account (Category)",IF(ISNA(MATCH(V438,coa_Name,0)),"Unknown account: "&amp;V438,IF(K438="","Select Paid From / Deposited To",IF(ISNA(MATCH(K438,coa_Name,0)),"Unknown account: "&amp;K438,IF(NOT(ISNUMBER(L438)),"Enter an amount",IF(L438=0,"Enter an amount",IF(ABS(W438)&gt;ABS(L438),"Tax is larger than the amount","")))))))))))))</f>
        <v/>
      </c>
      <c r="Y438" s="67">
        <f>IF(OR(T438=1,X438&lt;&gt;""),"",IF(AND(B438&lt;&gt;"",COUNTIF(tx_ID,B438)&gt;1),"Duplicate transaction ID",IF(AND(L438&lt;0,D438&lt;&gt;"Adjustment"),"Negative amount — check this entry",IF(AND(D438="Customer Payment",G438=""),"Add the customer",IF(AND(D438="Customer Payment",OR(J438="",COUNTIF(ar_No,J438&amp;"")=0)),"Invoice # in Reference not found on AR sheet",IF(AND(D438="Bill Payment",H438=""),"Add the vendor",IF(AND(D438="Bill Payment",OR(J438="",COUNTIFS(ap_No,J438&amp;"",ap_Party,H438&amp;"")=0)),"Bill # + vendor not found on AP sheet",IF(AND(ISNUMBER(M438),N(M438)&lt;&gt;0,W438=0),"Tax ignored (tax tracking off, or not allowed for this type)",IF(V438=K438&amp;"","Same account on both sides",IF(AND(ISNUMBER(StartDate),C438&lt;StartDate),"Date is before the accounting start date",IF(AND(D438&lt;&gt;"Adjustment",IFERROR(INDEX(coa_Pay,MATCH(K438&amp;"",coa_Name,0)),"")&lt;&gt;"Yes"),"Paid From / Deposited To is not a payment account","")))))))))))</f>
        <v/>
      </c>
      <c r="Z438" s="67">
        <f>IF(AND(T438=0,X438=""),1,0)</f>
        <v/>
      </c>
      <c r="AA438" s="68">
        <f>IF(Z438=1,IF(U438="In",L438,L438-W438),0)</f>
        <v/>
      </c>
      <c r="AB438" s="68">
        <f>IF(Z438=1,IF(U438="In",L438-W438,L438),0)</f>
        <v/>
      </c>
      <c r="AC438" s="68">
        <f>IF(AND(Z438=1,U438="Out"),W438,0)</f>
        <v/>
      </c>
      <c r="AD438" s="68">
        <f>IF(AND(Z438=1,U438="In"),W438,0)</f>
        <v/>
      </c>
    </row>
    <row r="439">
      <c r="B439" s="62" t="inlineStr">
        <is>
          <t>TX-0433</t>
        </is>
      </c>
      <c r="C439" s="63" t="n"/>
      <c r="D439" s="62" t="n"/>
      <c r="E439" s="62" t="n"/>
      <c r="F439" s="62" t="n"/>
      <c r="G439" s="62" t="n"/>
      <c r="H439" s="62" t="n"/>
      <c r="I439" s="62" t="n"/>
      <c r="J439" s="62" t="n"/>
      <c r="K439" s="62" t="n"/>
      <c r="L439" s="64" t="n"/>
      <c r="M439" s="64" t="n"/>
      <c r="N439" s="62" t="n"/>
      <c r="O439" s="65">
        <f>IF(Z439=1,L439-W439,"")</f>
        <v/>
      </c>
      <c r="P439" s="66">
        <f>IF(V439="","",IFERROR(INDEX(coa_Type,MATCH(V439,coa_Name,0)),""))</f>
        <v/>
      </c>
      <c r="Q439" s="66">
        <f>IF(Z439=1,IF(U439="In",K439&amp;"",V439),"")</f>
        <v/>
      </c>
      <c r="R439" s="66">
        <f>IF(Z439=1,IF(U439="In",V439,K439&amp;""),"")</f>
        <v/>
      </c>
      <c r="S439" s="66">
        <f>IF(X439&lt;&gt;"","⛔ "&amp;X439&amp;" — not posted",IF(Y439&lt;&gt;"","⚠ "&amp;Y439,IF(Z439=1,"✓ OK","")))</f>
        <v/>
      </c>
      <c r="T439" s="67">
        <f>IF(AND(C439="",D439="",E439="",L439="",K439=""),1,0)</f>
        <v/>
      </c>
      <c r="U439" s="67">
        <f>IFERROR(INDEX(tt_Dir,MATCH(D439,tt_Type,0)),"")</f>
        <v/>
      </c>
      <c r="V439" s="67">
        <f>IF(D439="","",IFERROR(IF(INDEX(tt_Other,MATCH(D439,tt_Type,0))="",E439&amp;"",INDEX(tt_Other,MATCH(D439,tt_Type,0))),""))</f>
        <v/>
      </c>
      <c r="W439" s="68">
        <f>IF(OR(TaxOn&lt;&gt;"Yes",NOT(ISNUMBER(M439))),0,IF(IFERROR(INDEX(tt_Tax,MATCH(D439,tt_Type,0)),"No")="Yes",M439,0))</f>
        <v/>
      </c>
      <c r="X439" s="67">
        <f>IF(T439=1,"",IF(C439="","Missing transaction date",IF(NOT(ISNUMBER(C439)),"Invalid date",IF(OR(C439&lt;DATE(2000,1,1),C439&gt;DATE(2099,12,31)),"Invalid date",IF(D439="","Select a type",IF(U439="","Unknown type: "&amp;D439,IF(V439="","Select an account (Category)",IF(ISNA(MATCH(V439,coa_Name,0)),"Unknown account: "&amp;V439,IF(K439="","Select Paid From / Deposited To",IF(ISNA(MATCH(K439,coa_Name,0)),"Unknown account: "&amp;K439,IF(NOT(ISNUMBER(L439)),"Enter an amount",IF(L439=0,"Enter an amount",IF(ABS(W439)&gt;ABS(L439),"Tax is larger than the amount","")))))))))))))</f>
        <v/>
      </c>
      <c r="Y439" s="67">
        <f>IF(OR(T439=1,X439&lt;&gt;""),"",IF(AND(B439&lt;&gt;"",COUNTIF(tx_ID,B439)&gt;1),"Duplicate transaction ID",IF(AND(L439&lt;0,D439&lt;&gt;"Adjustment"),"Negative amount — check this entry",IF(AND(D439="Customer Payment",G439=""),"Add the customer",IF(AND(D439="Customer Payment",OR(J439="",COUNTIF(ar_No,J439&amp;"")=0)),"Invoice # in Reference not found on AR sheet",IF(AND(D439="Bill Payment",H439=""),"Add the vendor",IF(AND(D439="Bill Payment",OR(J439="",COUNTIFS(ap_No,J439&amp;"",ap_Party,H439&amp;"")=0)),"Bill # + vendor not found on AP sheet",IF(AND(ISNUMBER(M439),N(M439)&lt;&gt;0,W439=0),"Tax ignored (tax tracking off, or not allowed for this type)",IF(V439=K439&amp;"","Same account on both sides",IF(AND(ISNUMBER(StartDate),C439&lt;StartDate),"Date is before the accounting start date",IF(AND(D439&lt;&gt;"Adjustment",IFERROR(INDEX(coa_Pay,MATCH(K439&amp;"",coa_Name,0)),"")&lt;&gt;"Yes"),"Paid From / Deposited To is not a payment account","")))))))))))</f>
        <v/>
      </c>
      <c r="Z439" s="67">
        <f>IF(AND(T439=0,X439=""),1,0)</f>
        <v/>
      </c>
      <c r="AA439" s="68">
        <f>IF(Z439=1,IF(U439="In",L439,L439-W439),0)</f>
        <v/>
      </c>
      <c r="AB439" s="68">
        <f>IF(Z439=1,IF(U439="In",L439-W439,L439),0)</f>
        <v/>
      </c>
      <c r="AC439" s="68">
        <f>IF(AND(Z439=1,U439="Out"),W439,0)</f>
        <v/>
      </c>
      <c r="AD439" s="68">
        <f>IF(AND(Z439=1,U439="In"),W439,0)</f>
        <v/>
      </c>
    </row>
    <row r="440">
      <c r="B440" s="62" t="inlineStr">
        <is>
          <t>TX-0434</t>
        </is>
      </c>
      <c r="C440" s="63" t="n"/>
      <c r="D440" s="62" t="n"/>
      <c r="E440" s="62" t="n"/>
      <c r="F440" s="62" t="n"/>
      <c r="G440" s="62" t="n"/>
      <c r="H440" s="62" t="n"/>
      <c r="I440" s="62" t="n"/>
      <c r="J440" s="62" t="n"/>
      <c r="K440" s="62" t="n"/>
      <c r="L440" s="64" t="n"/>
      <c r="M440" s="64" t="n"/>
      <c r="N440" s="62" t="n"/>
      <c r="O440" s="65">
        <f>IF(Z440=1,L440-W440,"")</f>
        <v/>
      </c>
      <c r="P440" s="66">
        <f>IF(V440="","",IFERROR(INDEX(coa_Type,MATCH(V440,coa_Name,0)),""))</f>
        <v/>
      </c>
      <c r="Q440" s="66">
        <f>IF(Z440=1,IF(U440="In",K440&amp;"",V440),"")</f>
        <v/>
      </c>
      <c r="R440" s="66">
        <f>IF(Z440=1,IF(U440="In",V440,K440&amp;""),"")</f>
        <v/>
      </c>
      <c r="S440" s="66">
        <f>IF(X440&lt;&gt;"","⛔ "&amp;X440&amp;" — not posted",IF(Y440&lt;&gt;"","⚠ "&amp;Y440,IF(Z440=1,"✓ OK","")))</f>
        <v/>
      </c>
      <c r="T440" s="67">
        <f>IF(AND(C440="",D440="",E440="",L440="",K440=""),1,0)</f>
        <v/>
      </c>
      <c r="U440" s="67">
        <f>IFERROR(INDEX(tt_Dir,MATCH(D440,tt_Type,0)),"")</f>
        <v/>
      </c>
      <c r="V440" s="67">
        <f>IF(D440="","",IFERROR(IF(INDEX(tt_Other,MATCH(D440,tt_Type,0))="",E440&amp;"",INDEX(tt_Other,MATCH(D440,tt_Type,0))),""))</f>
        <v/>
      </c>
      <c r="W440" s="68">
        <f>IF(OR(TaxOn&lt;&gt;"Yes",NOT(ISNUMBER(M440))),0,IF(IFERROR(INDEX(tt_Tax,MATCH(D440,tt_Type,0)),"No")="Yes",M440,0))</f>
        <v/>
      </c>
      <c r="X440" s="67">
        <f>IF(T440=1,"",IF(C440="","Missing transaction date",IF(NOT(ISNUMBER(C440)),"Invalid date",IF(OR(C440&lt;DATE(2000,1,1),C440&gt;DATE(2099,12,31)),"Invalid date",IF(D440="","Select a type",IF(U440="","Unknown type: "&amp;D440,IF(V440="","Select an account (Category)",IF(ISNA(MATCH(V440,coa_Name,0)),"Unknown account: "&amp;V440,IF(K440="","Select Paid From / Deposited To",IF(ISNA(MATCH(K440,coa_Name,0)),"Unknown account: "&amp;K440,IF(NOT(ISNUMBER(L440)),"Enter an amount",IF(L440=0,"Enter an amount",IF(ABS(W440)&gt;ABS(L440),"Tax is larger than the amount","")))))))))))))</f>
        <v/>
      </c>
      <c r="Y440" s="67">
        <f>IF(OR(T440=1,X440&lt;&gt;""),"",IF(AND(B440&lt;&gt;"",COUNTIF(tx_ID,B440)&gt;1),"Duplicate transaction ID",IF(AND(L440&lt;0,D440&lt;&gt;"Adjustment"),"Negative amount — check this entry",IF(AND(D440="Customer Payment",G440=""),"Add the customer",IF(AND(D440="Customer Payment",OR(J440="",COUNTIF(ar_No,J440&amp;"")=0)),"Invoice # in Reference not found on AR sheet",IF(AND(D440="Bill Payment",H440=""),"Add the vendor",IF(AND(D440="Bill Payment",OR(J440="",COUNTIFS(ap_No,J440&amp;"",ap_Party,H440&amp;"")=0)),"Bill # + vendor not found on AP sheet",IF(AND(ISNUMBER(M440),N(M440)&lt;&gt;0,W440=0),"Tax ignored (tax tracking off, or not allowed for this type)",IF(V440=K440&amp;"","Same account on both sides",IF(AND(ISNUMBER(StartDate),C440&lt;StartDate),"Date is before the accounting start date",IF(AND(D440&lt;&gt;"Adjustment",IFERROR(INDEX(coa_Pay,MATCH(K440&amp;"",coa_Name,0)),"")&lt;&gt;"Yes"),"Paid From / Deposited To is not a payment account","")))))))))))</f>
        <v/>
      </c>
      <c r="Z440" s="67">
        <f>IF(AND(T440=0,X440=""),1,0)</f>
        <v/>
      </c>
      <c r="AA440" s="68">
        <f>IF(Z440=1,IF(U440="In",L440,L440-W440),0)</f>
        <v/>
      </c>
      <c r="AB440" s="68">
        <f>IF(Z440=1,IF(U440="In",L440-W440,L440),0)</f>
        <v/>
      </c>
      <c r="AC440" s="68">
        <f>IF(AND(Z440=1,U440="Out"),W440,0)</f>
        <v/>
      </c>
      <c r="AD440" s="68">
        <f>IF(AND(Z440=1,U440="In"),W440,0)</f>
        <v/>
      </c>
    </row>
    <row r="441">
      <c r="B441" s="62" t="inlineStr">
        <is>
          <t>TX-0435</t>
        </is>
      </c>
      <c r="C441" s="63" t="n"/>
      <c r="D441" s="62" t="n"/>
      <c r="E441" s="62" t="n"/>
      <c r="F441" s="62" t="n"/>
      <c r="G441" s="62" t="n"/>
      <c r="H441" s="62" t="n"/>
      <c r="I441" s="62" t="n"/>
      <c r="J441" s="62" t="n"/>
      <c r="K441" s="62" t="n"/>
      <c r="L441" s="64" t="n"/>
      <c r="M441" s="64" t="n"/>
      <c r="N441" s="62" t="n"/>
      <c r="O441" s="65">
        <f>IF(Z441=1,L441-W441,"")</f>
        <v/>
      </c>
      <c r="P441" s="66">
        <f>IF(V441="","",IFERROR(INDEX(coa_Type,MATCH(V441,coa_Name,0)),""))</f>
        <v/>
      </c>
      <c r="Q441" s="66">
        <f>IF(Z441=1,IF(U441="In",K441&amp;"",V441),"")</f>
        <v/>
      </c>
      <c r="R441" s="66">
        <f>IF(Z441=1,IF(U441="In",V441,K441&amp;""),"")</f>
        <v/>
      </c>
      <c r="S441" s="66">
        <f>IF(X441&lt;&gt;"","⛔ "&amp;X441&amp;" — not posted",IF(Y441&lt;&gt;"","⚠ "&amp;Y441,IF(Z441=1,"✓ OK","")))</f>
        <v/>
      </c>
      <c r="T441" s="67">
        <f>IF(AND(C441="",D441="",E441="",L441="",K441=""),1,0)</f>
        <v/>
      </c>
      <c r="U441" s="67">
        <f>IFERROR(INDEX(tt_Dir,MATCH(D441,tt_Type,0)),"")</f>
        <v/>
      </c>
      <c r="V441" s="67">
        <f>IF(D441="","",IFERROR(IF(INDEX(tt_Other,MATCH(D441,tt_Type,0))="",E441&amp;"",INDEX(tt_Other,MATCH(D441,tt_Type,0))),""))</f>
        <v/>
      </c>
      <c r="W441" s="68">
        <f>IF(OR(TaxOn&lt;&gt;"Yes",NOT(ISNUMBER(M441))),0,IF(IFERROR(INDEX(tt_Tax,MATCH(D441,tt_Type,0)),"No")="Yes",M441,0))</f>
        <v/>
      </c>
      <c r="X441" s="67">
        <f>IF(T441=1,"",IF(C441="","Missing transaction date",IF(NOT(ISNUMBER(C441)),"Invalid date",IF(OR(C441&lt;DATE(2000,1,1),C441&gt;DATE(2099,12,31)),"Invalid date",IF(D441="","Select a type",IF(U441="","Unknown type: "&amp;D441,IF(V441="","Select an account (Category)",IF(ISNA(MATCH(V441,coa_Name,0)),"Unknown account: "&amp;V441,IF(K441="","Select Paid From / Deposited To",IF(ISNA(MATCH(K441,coa_Name,0)),"Unknown account: "&amp;K441,IF(NOT(ISNUMBER(L441)),"Enter an amount",IF(L441=0,"Enter an amount",IF(ABS(W441)&gt;ABS(L441),"Tax is larger than the amount","")))))))))))))</f>
        <v/>
      </c>
      <c r="Y441" s="67">
        <f>IF(OR(T441=1,X441&lt;&gt;""),"",IF(AND(B441&lt;&gt;"",COUNTIF(tx_ID,B441)&gt;1),"Duplicate transaction ID",IF(AND(L441&lt;0,D441&lt;&gt;"Adjustment"),"Negative amount — check this entry",IF(AND(D441="Customer Payment",G441=""),"Add the customer",IF(AND(D441="Customer Payment",OR(J441="",COUNTIF(ar_No,J441&amp;"")=0)),"Invoice # in Reference not found on AR sheet",IF(AND(D441="Bill Payment",H441=""),"Add the vendor",IF(AND(D441="Bill Payment",OR(J441="",COUNTIFS(ap_No,J441&amp;"",ap_Party,H441&amp;"")=0)),"Bill # + vendor not found on AP sheet",IF(AND(ISNUMBER(M441),N(M441)&lt;&gt;0,W441=0),"Tax ignored (tax tracking off, or not allowed for this type)",IF(V441=K441&amp;"","Same account on both sides",IF(AND(ISNUMBER(StartDate),C441&lt;StartDate),"Date is before the accounting start date",IF(AND(D441&lt;&gt;"Adjustment",IFERROR(INDEX(coa_Pay,MATCH(K441&amp;"",coa_Name,0)),"")&lt;&gt;"Yes"),"Paid From / Deposited To is not a payment account","")))))))))))</f>
        <v/>
      </c>
      <c r="Z441" s="67">
        <f>IF(AND(T441=0,X441=""),1,0)</f>
        <v/>
      </c>
      <c r="AA441" s="68">
        <f>IF(Z441=1,IF(U441="In",L441,L441-W441),0)</f>
        <v/>
      </c>
      <c r="AB441" s="68">
        <f>IF(Z441=1,IF(U441="In",L441-W441,L441),0)</f>
        <v/>
      </c>
      <c r="AC441" s="68">
        <f>IF(AND(Z441=1,U441="Out"),W441,0)</f>
        <v/>
      </c>
      <c r="AD441" s="68">
        <f>IF(AND(Z441=1,U441="In"),W441,0)</f>
        <v/>
      </c>
    </row>
    <row r="442">
      <c r="B442" s="62" t="inlineStr">
        <is>
          <t>TX-0436</t>
        </is>
      </c>
      <c r="C442" s="63" t="n"/>
      <c r="D442" s="62" t="n"/>
      <c r="E442" s="62" t="n"/>
      <c r="F442" s="62" t="n"/>
      <c r="G442" s="62" t="n"/>
      <c r="H442" s="62" t="n"/>
      <c r="I442" s="62" t="n"/>
      <c r="J442" s="62" t="n"/>
      <c r="K442" s="62" t="n"/>
      <c r="L442" s="64" t="n"/>
      <c r="M442" s="64" t="n"/>
      <c r="N442" s="62" t="n"/>
      <c r="O442" s="65">
        <f>IF(Z442=1,L442-W442,"")</f>
        <v/>
      </c>
      <c r="P442" s="66">
        <f>IF(V442="","",IFERROR(INDEX(coa_Type,MATCH(V442,coa_Name,0)),""))</f>
        <v/>
      </c>
      <c r="Q442" s="66">
        <f>IF(Z442=1,IF(U442="In",K442&amp;"",V442),"")</f>
        <v/>
      </c>
      <c r="R442" s="66">
        <f>IF(Z442=1,IF(U442="In",V442,K442&amp;""),"")</f>
        <v/>
      </c>
      <c r="S442" s="66">
        <f>IF(X442&lt;&gt;"","⛔ "&amp;X442&amp;" — not posted",IF(Y442&lt;&gt;"","⚠ "&amp;Y442,IF(Z442=1,"✓ OK","")))</f>
        <v/>
      </c>
      <c r="T442" s="67">
        <f>IF(AND(C442="",D442="",E442="",L442="",K442=""),1,0)</f>
        <v/>
      </c>
      <c r="U442" s="67">
        <f>IFERROR(INDEX(tt_Dir,MATCH(D442,tt_Type,0)),"")</f>
        <v/>
      </c>
      <c r="V442" s="67">
        <f>IF(D442="","",IFERROR(IF(INDEX(tt_Other,MATCH(D442,tt_Type,0))="",E442&amp;"",INDEX(tt_Other,MATCH(D442,tt_Type,0))),""))</f>
        <v/>
      </c>
      <c r="W442" s="68">
        <f>IF(OR(TaxOn&lt;&gt;"Yes",NOT(ISNUMBER(M442))),0,IF(IFERROR(INDEX(tt_Tax,MATCH(D442,tt_Type,0)),"No")="Yes",M442,0))</f>
        <v/>
      </c>
      <c r="X442" s="67">
        <f>IF(T442=1,"",IF(C442="","Missing transaction date",IF(NOT(ISNUMBER(C442)),"Invalid date",IF(OR(C442&lt;DATE(2000,1,1),C442&gt;DATE(2099,12,31)),"Invalid date",IF(D442="","Select a type",IF(U442="","Unknown type: "&amp;D442,IF(V442="","Select an account (Category)",IF(ISNA(MATCH(V442,coa_Name,0)),"Unknown account: "&amp;V442,IF(K442="","Select Paid From / Deposited To",IF(ISNA(MATCH(K442,coa_Name,0)),"Unknown account: "&amp;K442,IF(NOT(ISNUMBER(L442)),"Enter an amount",IF(L442=0,"Enter an amount",IF(ABS(W442)&gt;ABS(L442),"Tax is larger than the amount","")))))))))))))</f>
        <v/>
      </c>
      <c r="Y442" s="67">
        <f>IF(OR(T442=1,X442&lt;&gt;""),"",IF(AND(B442&lt;&gt;"",COUNTIF(tx_ID,B442)&gt;1),"Duplicate transaction ID",IF(AND(L442&lt;0,D442&lt;&gt;"Adjustment"),"Negative amount — check this entry",IF(AND(D442="Customer Payment",G442=""),"Add the customer",IF(AND(D442="Customer Payment",OR(J442="",COUNTIF(ar_No,J442&amp;"")=0)),"Invoice # in Reference not found on AR sheet",IF(AND(D442="Bill Payment",H442=""),"Add the vendor",IF(AND(D442="Bill Payment",OR(J442="",COUNTIFS(ap_No,J442&amp;"",ap_Party,H442&amp;"")=0)),"Bill # + vendor not found on AP sheet",IF(AND(ISNUMBER(M442),N(M442)&lt;&gt;0,W442=0),"Tax ignored (tax tracking off, or not allowed for this type)",IF(V442=K442&amp;"","Same account on both sides",IF(AND(ISNUMBER(StartDate),C442&lt;StartDate),"Date is before the accounting start date",IF(AND(D442&lt;&gt;"Adjustment",IFERROR(INDEX(coa_Pay,MATCH(K442&amp;"",coa_Name,0)),"")&lt;&gt;"Yes"),"Paid From / Deposited To is not a payment account","")))))))))))</f>
        <v/>
      </c>
      <c r="Z442" s="67">
        <f>IF(AND(T442=0,X442=""),1,0)</f>
        <v/>
      </c>
      <c r="AA442" s="68">
        <f>IF(Z442=1,IF(U442="In",L442,L442-W442),0)</f>
        <v/>
      </c>
      <c r="AB442" s="68">
        <f>IF(Z442=1,IF(U442="In",L442-W442,L442),0)</f>
        <v/>
      </c>
      <c r="AC442" s="68">
        <f>IF(AND(Z442=1,U442="Out"),W442,0)</f>
        <v/>
      </c>
      <c r="AD442" s="68">
        <f>IF(AND(Z442=1,U442="In"),W442,0)</f>
        <v/>
      </c>
    </row>
    <row r="443">
      <c r="B443" s="62" t="inlineStr">
        <is>
          <t>TX-0437</t>
        </is>
      </c>
      <c r="C443" s="63" t="n"/>
      <c r="D443" s="62" t="n"/>
      <c r="E443" s="62" t="n"/>
      <c r="F443" s="62" t="n"/>
      <c r="G443" s="62" t="n"/>
      <c r="H443" s="62" t="n"/>
      <c r="I443" s="62" t="n"/>
      <c r="J443" s="62" t="n"/>
      <c r="K443" s="62" t="n"/>
      <c r="L443" s="64" t="n"/>
      <c r="M443" s="64" t="n"/>
      <c r="N443" s="62" t="n"/>
      <c r="O443" s="65">
        <f>IF(Z443=1,L443-W443,"")</f>
        <v/>
      </c>
      <c r="P443" s="66">
        <f>IF(V443="","",IFERROR(INDEX(coa_Type,MATCH(V443,coa_Name,0)),""))</f>
        <v/>
      </c>
      <c r="Q443" s="66">
        <f>IF(Z443=1,IF(U443="In",K443&amp;"",V443),"")</f>
        <v/>
      </c>
      <c r="R443" s="66">
        <f>IF(Z443=1,IF(U443="In",V443,K443&amp;""),"")</f>
        <v/>
      </c>
      <c r="S443" s="66">
        <f>IF(X443&lt;&gt;"","⛔ "&amp;X443&amp;" — not posted",IF(Y443&lt;&gt;"","⚠ "&amp;Y443,IF(Z443=1,"✓ OK","")))</f>
        <v/>
      </c>
      <c r="T443" s="67">
        <f>IF(AND(C443="",D443="",E443="",L443="",K443=""),1,0)</f>
        <v/>
      </c>
      <c r="U443" s="67">
        <f>IFERROR(INDEX(tt_Dir,MATCH(D443,tt_Type,0)),"")</f>
        <v/>
      </c>
      <c r="V443" s="67">
        <f>IF(D443="","",IFERROR(IF(INDEX(tt_Other,MATCH(D443,tt_Type,0))="",E443&amp;"",INDEX(tt_Other,MATCH(D443,tt_Type,0))),""))</f>
        <v/>
      </c>
      <c r="W443" s="68">
        <f>IF(OR(TaxOn&lt;&gt;"Yes",NOT(ISNUMBER(M443))),0,IF(IFERROR(INDEX(tt_Tax,MATCH(D443,tt_Type,0)),"No")="Yes",M443,0))</f>
        <v/>
      </c>
      <c r="X443" s="67">
        <f>IF(T443=1,"",IF(C443="","Missing transaction date",IF(NOT(ISNUMBER(C443)),"Invalid date",IF(OR(C443&lt;DATE(2000,1,1),C443&gt;DATE(2099,12,31)),"Invalid date",IF(D443="","Select a type",IF(U443="","Unknown type: "&amp;D443,IF(V443="","Select an account (Category)",IF(ISNA(MATCH(V443,coa_Name,0)),"Unknown account: "&amp;V443,IF(K443="","Select Paid From / Deposited To",IF(ISNA(MATCH(K443,coa_Name,0)),"Unknown account: "&amp;K443,IF(NOT(ISNUMBER(L443)),"Enter an amount",IF(L443=0,"Enter an amount",IF(ABS(W443)&gt;ABS(L443),"Tax is larger than the amount","")))))))))))))</f>
        <v/>
      </c>
      <c r="Y443" s="67">
        <f>IF(OR(T443=1,X443&lt;&gt;""),"",IF(AND(B443&lt;&gt;"",COUNTIF(tx_ID,B443)&gt;1),"Duplicate transaction ID",IF(AND(L443&lt;0,D443&lt;&gt;"Adjustment"),"Negative amount — check this entry",IF(AND(D443="Customer Payment",G443=""),"Add the customer",IF(AND(D443="Customer Payment",OR(J443="",COUNTIF(ar_No,J443&amp;"")=0)),"Invoice # in Reference not found on AR sheet",IF(AND(D443="Bill Payment",H443=""),"Add the vendor",IF(AND(D443="Bill Payment",OR(J443="",COUNTIFS(ap_No,J443&amp;"",ap_Party,H443&amp;"")=0)),"Bill # + vendor not found on AP sheet",IF(AND(ISNUMBER(M443),N(M443)&lt;&gt;0,W443=0),"Tax ignored (tax tracking off, or not allowed for this type)",IF(V443=K443&amp;"","Same account on both sides",IF(AND(ISNUMBER(StartDate),C443&lt;StartDate),"Date is before the accounting start date",IF(AND(D443&lt;&gt;"Adjustment",IFERROR(INDEX(coa_Pay,MATCH(K443&amp;"",coa_Name,0)),"")&lt;&gt;"Yes"),"Paid From / Deposited To is not a payment account","")))))))))))</f>
        <v/>
      </c>
      <c r="Z443" s="67">
        <f>IF(AND(T443=0,X443=""),1,0)</f>
        <v/>
      </c>
      <c r="AA443" s="68">
        <f>IF(Z443=1,IF(U443="In",L443,L443-W443),0)</f>
        <v/>
      </c>
      <c r="AB443" s="68">
        <f>IF(Z443=1,IF(U443="In",L443-W443,L443),0)</f>
        <v/>
      </c>
      <c r="AC443" s="68">
        <f>IF(AND(Z443=1,U443="Out"),W443,0)</f>
        <v/>
      </c>
      <c r="AD443" s="68">
        <f>IF(AND(Z443=1,U443="In"),W443,0)</f>
        <v/>
      </c>
    </row>
    <row r="444">
      <c r="B444" s="62" t="inlineStr">
        <is>
          <t>TX-0438</t>
        </is>
      </c>
      <c r="C444" s="63" t="n"/>
      <c r="D444" s="62" t="n"/>
      <c r="E444" s="62" t="n"/>
      <c r="F444" s="62" t="n"/>
      <c r="G444" s="62" t="n"/>
      <c r="H444" s="62" t="n"/>
      <c r="I444" s="62" t="n"/>
      <c r="J444" s="62" t="n"/>
      <c r="K444" s="62" t="n"/>
      <c r="L444" s="64" t="n"/>
      <c r="M444" s="64" t="n"/>
      <c r="N444" s="62" t="n"/>
      <c r="O444" s="65">
        <f>IF(Z444=1,L444-W444,"")</f>
        <v/>
      </c>
      <c r="P444" s="66">
        <f>IF(V444="","",IFERROR(INDEX(coa_Type,MATCH(V444,coa_Name,0)),""))</f>
        <v/>
      </c>
      <c r="Q444" s="66">
        <f>IF(Z444=1,IF(U444="In",K444&amp;"",V444),"")</f>
        <v/>
      </c>
      <c r="R444" s="66">
        <f>IF(Z444=1,IF(U444="In",V444,K444&amp;""),"")</f>
        <v/>
      </c>
      <c r="S444" s="66">
        <f>IF(X444&lt;&gt;"","⛔ "&amp;X444&amp;" — not posted",IF(Y444&lt;&gt;"","⚠ "&amp;Y444,IF(Z444=1,"✓ OK","")))</f>
        <v/>
      </c>
      <c r="T444" s="67">
        <f>IF(AND(C444="",D444="",E444="",L444="",K444=""),1,0)</f>
        <v/>
      </c>
      <c r="U444" s="67">
        <f>IFERROR(INDEX(tt_Dir,MATCH(D444,tt_Type,0)),"")</f>
        <v/>
      </c>
      <c r="V444" s="67">
        <f>IF(D444="","",IFERROR(IF(INDEX(tt_Other,MATCH(D444,tt_Type,0))="",E444&amp;"",INDEX(tt_Other,MATCH(D444,tt_Type,0))),""))</f>
        <v/>
      </c>
      <c r="W444" s="68">
        <f>IF(OR(TaxOn&lt;&gt;"Yes",NOT(ISNUMBER(M444))),0,IF(IFERROR(INDEX(tt_Tax,MATCH(D444,tt_Type,0)),"No")="Yes",M444,0))</f>
        <v/>
      </c>
      <c r="X444" s="67">
        <f>IF(T444=1,"",IF(C444="","Missing transaction date",IF(NOT(ISNUMBER(C444)),"Invalid date",IF(OR(C444&lt;DATE(2000,1,1),C444&gt;DATE(2099,12,31)),"Invalid date",IF(D444="","Select a type",IF(U444="","Unknown type: "&amp;D444,IF(V444="","Select an account (Category)",IF(ISNA(MATCH(V444,coa_Name,0)),"Unknown account: "&amp;V444,IF(K444="","Select Paid From / Deposited To",IF(ISNA(MATCH(K444,coa_Name,0)),"Unknown account: "&amp;K444,IF(NOT(ISNUMBER(L444)),"Enter an amount",IF(L444=0,"Enter an amount",IF(ABS(W444)&gt;ABS(L444),"Tax is larger than the amount","")))))))))))))</f>
        <v/>
      </c>
      <c r="Y444" s="67">
        <f>IF(OR(T444=1,X444&lt;&gt;""),"",IF(AND(B444&lt;&gt;"",COUNTIF(tx_ID,B444)&gt;1),"Duplicate transaction ID",IF(AND(L444&lt;0,D444&lt;&gt;"Adjustment"),"Negative amount — check this entry",IF(AND(D444="Customer Payment",G444=""),"Add the customer",IF(AND(D444="Customer Payment",OR(J444="",COUNTIF(ar_No,J444&amp;"")=0)),"Invoice # in Reference not found on AR sheet",IF(AND(D444="Bill Payment",H444=""),"Add the vendor",IF(AND(D444="Bill Payment",OR(J444="",COUNTIFS(ap_No,J444&amp;"",ap_Party,H444&amp;"")=0)),"Bill # + vendor not found on AP sheet",IF(AND(ISNUMBER(M444),N(M444)&lt;&gt;0,W444=0),"Tax ignored (tax tracking off, or not allowed for this type)",IF(V444=K444&amp;"","Same account on both sides",IF(AND(ISNUMBER(StartDate),C444&lt;StartDate),"Date is before the accounting start date",IF(AND(D444&lt;&gt;"Adjustment",IFERROR(INDEX(coa_Pay,MATCH(K444&amp;"",coa_Name,0)),"")&lt;&gt;"Yes"),"Paid From / Deposited To is not a payment account","")))))))))))</f>
        <v/>
      </c>
      <c r="Z444" s="67">
        <f>IF(AND(T444=0,X444=""),1,0)</f>
        <v/>
      </c>
      <c r="AA444" s="68">
        <f>IF(Z444=1,IF(U444="In",L444,L444-W444),0)</f>
        <v/>
      </c>
      <c r="AB444" s="68">
        <f>IF(Z444=1,IF(U444="In",L444-W444,L444),0)</f>
        <v/>
      </c>
      <c r="AC444" s="68">
        <f>IF(AND(Z444=1,U444="Out"),W444,0)</f>
        <v/>
      </c>
      <c r="AD444" s="68">
        <f>IF(AND(Z444=1,U444="In"),W444,0)</f>
        <v/>
      </c>
    </row>
    <row r="445">
      <c r="B445" s="62" t="inlineStr">
        <is>
          <t>TX-0439</t>
        </is>
      </c>
      <c r="C445" s="63" t="n"/>
      <c r="D445" s="62" t="n"/>
      <c r="E445" s="62" t="n"/>
      <c r="F445" s="62" t="n"/>
      <c r="G445" s="62" t="n"/>
      <c r="H445" s="62" t="n"/>
      <c r="I445" s="62" t="n"/>
      <c r="J445" s="62" t="n"/>
      <c r="K445" s="62" t="n"/>
      <c r="L445" s="64" t="n"/>
      <c r="M445" s="64" t="n"/>
      <c r="N445" s="62" t="n"/>
      <c r="O445" s="65">
        <f>IF(Z445=1,L445-W445,"")</f>
        <v/>
      </c>
      <c r="P445" s="66">
        <f>IF(V445="","",IFERROR(INDEX(coa_Type,MATCH(V445,coa_Name,0)),""))</f>
        <v/>
      </c>
      <c r="Q445" s="66">
        <f>IF(Z445=1,IF(U445="In",K445&amp;"",V445),"")</f>
        <v/>
      </c>
      <c r="R445" s="66">
        <f>IF(Z445=1,IF(U445="In",V445,K445&amp;""),"")</f>
        <v/>
      </c>
      <c r="S445" s="66">
        <f>IF(X445&lt;&gt;"","⛔ "&amp;X445&amp;" — not posted",IF(Y445&lt;&gt;"","⚠ "&amp;Y445,IF(Z445=1,"✓ OK","")))</f>
        <v/>
      </c>
      <c r="T445" s="67">
        <f>IF(AND(C445="",D445="",E445="",L445="",K445=""),1,0)</f>
        <v/>
      </c>
      <c r="U445" s="67">
        <f>IFERROR(INDEX(tt_Dir,MATCH(D445,tt_Type,0)),"")</f>
        <v/>
      </c>
      <c r="V445" s="67">
        <f>IF(D445="","",IFERROR(IF(INDEX(tt_Other,MATCH(D445,tt_Type,0))="",E445&amp;"",INDEX(tt_Other,MATCH(D445,tt_Type,0))),""))</f>
        <v/>
      </c>
      <c r="W445" s="68">
        <f>IF(OR(TaxOn&lt;&gt;"Yes",NOT(ISNUMBER(M445))),0,IF(IFERROR(INDEX(tt_Tax,MATCH(D445,tt_Type,0)),"No")="Yes",M445,0))</f>
        <v/>
      </c>
      <c r="X445" s="67">
        <f>IF(T445=1,"",IF(C445="","Missing transaction date",IF(NOT(ISNUMBER(C445)),"Invalid date",IF(OR(C445&lt;DATE(2000,1,1),C445&gt;DATE(2099,12,31)),"Invalid date",IF(D445="","Select a type",IF(U445="","Unknown type: "&amp;D445,IF(V445="","Select an account (Category)",IF(ISNA(MATCH(V445,coa_Name,0)),"Unknown account: "&amp;V445,IF(K445="","Select Paid From / Deposited To",IF(ISNA(MATCH(K445,coa_Name,0)),"Unknown account: "&amp;K445,IF(NOT(ISNUMBER(L445)),"Enter an amount",IF(L445=0,"Enter an amount",IF(ABS(W445)&gt;ABS(L445),"Tax is larger than the amount","")))))))))))))</f>
        <v/>
      </c>
      <c r="Y445" s="67">
        <f>IF(OR(T445=1,X445&lt;&gt;""),"",IF(AND(B445&lt;&gt;"",COUNTIF(tx_ID,B445)&gt;1),"Duplicate transaction ID",IF(AND(L445&lt;0,D445&lt;&gt;"Adjustment"),"Negative amount — check this entry",IF(AND(D445="Customer Payment",G445=""),"Add the customer",IF(AND(D445="Customer Payment",OR(J445="",COUNTIF(ar_No,J445&amp;"")=0)),"Invoice # in Reference not found on AR sheet",IF(AND(D445="Bill Payment",H445=""),"Add the vendor",IF(AND(D445="Bill Payment",OR(J445="",COUNTIFS(ap_No,J445&amp;"",ap_Party,H445&amp;"")=0)),"Bill # + vendor not found on AP sheet",IF(AND(ISNUMBER(M445),N(M445)&lt;&gt;0,W445=0),"Tax ignored (tax tracking off, or not allowed for this type)",IF(V445=K445&amp;"","Same account on both sides",IF(AND(ISNUMBER(StartDate),C445&lt;StartDate),"Date is before the accounting start date",IF(AND(D445&lt;&gt;"Adjustment",IFERROR(INDEX(coa_Pay,MATCH(K445&amp;"",coa_Name,0)),"")&lt;&gt;"Yes"),"Paid From / Deposited To is not a payment account","")))))))))))</f>
        <v/>
      </c>
      <c r="Z445" s="67">
        <f>IF(AND(T445=0,X445=""),1,0)</f>
        <v/>
      </c>
      <c r="AA445" s="68">
        <f>IF(Z445=1,IF(U445="In",L445,L445-W445),0)</f>
        <v/>
      </c>
      <c r="AB445" s="68">
        <f>IF(Z445=1,IF(U445="In",L445-W445,L445),0)</f>
        <v/>
      </c>
      <c r="AC445" s="68">
        <f>IF(AND(Z445=1,U445="Out"),W445,0)</f>
        <v/>
      </c>
      <c r="AD445" s="68">
        <f>IF(AND(Z445=1,U445="In"),W445,0)</f>
        <v/>
      </c>
    </row>
    <row r="446">
      <c r="B446" s="62" t="inlineStr">
        <is>
          <t>TX-0440</t>
        </is>
      </c>
      <c r="C446" s="63" t="n"/>
      <c r="D446" s="62" t="n"/>
      <c r="E446" s="62" t="n"/>
      <c r="F446" s="62" t="n"/>
      <c r="G446" s="62" t="n"/>
      <c r="H446" s="62" t="n"/>
      <c r="I446" s="62" t="n"/>
      <c r="J446" s="62" t="n"/>
      <c r="K446" s="62" t="n"/>
      <c r="L446" s="64" t="n"/>
      <c r="M446" s="64" t="n"/>
      <c r="N446" s="62" t="n"/>
      <c r="O446" s="65">
        <f>IF(Z446=1,L446-W446,"")</f>
        <v/>
      </c>
      <c r="P446" s="66">
        <f>IF(V446="","",IFERROR(INDEX(coa_Type,MATCH(V446,coa_Name,0)),""))</f>
        <v/>
      </c>
      <c r="Q446" s="66">
        <f>IF(Z446=1,IF(U446="In",K446&amp;"",V446),"")</f>
        <v/>
      </c>
      <c r="R446" s="66">
        <f>IF(Z446=1,IF(U446="In",V446,K446&amp;""),"")</f>
        <v/>
      </c>
      <c r="S446" s="66">
        <f>IF(X446&lt;&gt;"","⛔ "&amp;X446&amp;" — not posted",IF(Y446&lt;&gt;"","⚠ "&amp;Y446,IF(Z446=1,"✓ OK","")))</f>
        <v/>
      </c>
      <c r="T446" s="67">
        <f>IF(AND(C446="",D446="",E446="",L446="",K446=""),1,0)</f>
        <v/>
      </c>
      <c r="U446" s="67">
        <f>IFERROR(INDEX(tt_Dir,MATCH(D446,tt_Type,0)),"")</f>
        <v/>
      </c>
      <c r="V446" s="67">
        <f>IF(D446="","",IFERROR(IF(INDEX(tt_Other,MATCH(D446,tt_Type,0))="",E446&amp;"",INDEX(tt_Other,MATCH(D446,tt_Type,0))),""))</f>
        <v/>
      </c>
      <c r="W446" s="68">
        <f>IF(OR(TaxOn&lt;&gt;"Yes",NOT(ISNUMBER(M446))),0,IF(IFERROR(INDEX(tt_Tax,MATCH(D446,tt_Type,0)),"No")="Yes",M446,0))</f>
        <v/>
      </c>
      <c r="X446" s="67">
        <f>IF(T446=1,"",IF(C446="","Missing transaction date",IF(NOT(ISNUMBER(C446)),"Invalid date",IF(OR(C446&lt;DATE(2000,1,1),C446&gt;DATE(2099,12,31)),"Invalid date",IF(D446="","Select a type",IF(U446="","Unknown type: "&amp;D446,IF(V446="","Select an account (Category)",IF(ISNA(MATCH(V446,coa_Name,0)),"Unknown account: "&amp;V446,IF(K446="","Select Paid From / Deposited To",IF(ISNA(MATCH(K446,coa_Name,0)),"Unknown account: "&amp;K446,IF(NOT(ISNUMBER(L446)),"Enter an amount",IF(L446=0,"Enter an amount",IF(ABS(W446)&gt;ABS(L446),"Tax is larger than the amount","")))))))))))))</f>
        <v/>
      </c>
      <c r="Y446" s="67">
        <f>IF(OR(T446=1,X446&lt;&gt;""),"",IF(AND(B446&lt;&gt;"",COUNTIF(tx_ID,B446)&gt;1),"Duplicate transaction ID",IF(AND(L446&lt;0,D446&lt;&gt;"Adjustment"),"Negative amount — check this entry",IF(AND(D446="Customer Payment",G446=""),"Add the customer",IF(AND(D446="Customer Payment",OR(J446="",COUNTIF(ar_No,J446&amp;"")=0)),"Invoice # in Reference not found on AR sheet",IF(AND(D446="Bill Payment",H446=""),"Add the vendor",IF(AND(D446="Bill Payment",OR(J446="",COUNTIFS(ap_No,J446&amp;"",ap_Party,H446&amp;"")=0)),"Bill # + vendor not found on AP sheet",IF(AND(ISNUMBER(M446),N(M446)&lt;&gt;0,W446=0),"Tax ignored (tax tracking off, or not allowed for this type)",IF(V446=K446&amp;"","Same account on both sides",IF(AND(ISNUMBER(StartDate),C446&lt;StartDate),"Date is before the accounting start date",IF(AND(D446&lt;&gt;"Adjustment",IFERROR(INDEX(coa_Pay,MATCH(K446&amp;"",coa_Name,0)),"")&lt;&gt;"Yes"),"Paid From / Deposited To is not a payment account","")))))))))))</f>
        <v/>
      </c>
      <c r="Z446" s="67">
        <f>IF(AND(T446=0,X446=""),1,0)</f>
        <v/>
      </c>
      <c r="AA446" s="68">
        <f>IF(Z446=1,IF(U446="In",L446,L446-W446),0)</f>
        <v/>
      </c>
      <c r="AB446" s="68">
        <f>IF(Z446=1,IF(U446="In",L446-W446,L446),0)</f>
        <v/>
      </c>
      <c r="AC446" s="68">
        <f>IF(AND(Z446=1,U446="Out"),W446,0)</f>
        <v/>
      </c>
      <c r="AD446" s="68">
        <f>IF(AND(Z446=1,U446="In"),W446,0)</f>
        <v/>
      </c>
    </row>
    <row r="447">
      <c r="B447" s="62" t="inlineStr">
        <is>
          <t>TX-0441</t>
        </is>
      </c>
      <c r="C447" s="63" t="n"/>
      <c r="D447" s="62" t="n"/>
      <c r="E447" s="62" t="n"/>
      <c r="F447" s="62" t="n"/>
      <c r="G447" s="62" t="n"/>
      <c r="H447" s="62" t="n"/>
      <c r="I447" s="62" t="n"/>
      <c r="J447" s="62" t="n"/>
      <c r="K447" s="62" t="n"/>
      <c r="L447" s="64" t="n"/>
      <c r="M447" s="64" t="n"/>
      <c r="N447" s="62" t="n"/>
      <c r="O447" s="65">
        <f>IF(Z447=1,L447-W447,"")</f>
        <v/>
      </c>
      <c r="P447" s="66">
        <f>IF(V447="","",IFERROR(INDEX(coa_Type,MATCH(V447,coa_Name,0)),""))</f>
        <v/>
      </c>
      <c r="Q447" s="66">
        <f>IF(Z447=1,IF(U447="In",K447&amp;"",V447),"")</f>
        <v/>
      </c>
      <c r="R447" s="66">
        <f>IF(Z447=1,IF(U447="In",V447,K447&amp;""),"")</f>
        <v/>
      </c>
      <c r="S447" s="66">
        <f>IF(X447&lt;&gt;"","⛔ "&amp;X447&amp;" — not posted",IF(Y447&lt;&gt;"","⚠ "&amp;Y447,IF(Z447=1,"✓ OK","")))</f>
        <v/>
      </c>
      <c r="T447" s="67">
        <f>IF(AND(C447="",D447="",E447="",L447="",K447=""),1,0)</f>
        <v/>
      </c>
      <c r="U447" s="67">
        <f>IFERROR(INDEX(tt_Dir,MATCH(D447,tt_Type,0)),"")</f>
        <v/>
      </c>
      <c r="V447" s="67">
        <f>IF(D447="","",IFERROR(IF(INDEX(tt_Other,MATCH(D447,tt_Type,0))="",E447&amp;"",INDEX(tt_Other,MATCH(D447,tt_Type,0))),""))</f>
        <v/>
      </c>
      <c r="W447" s="68">
        <f>IF(OR(TaxOn&lt;&gt;"Yes",NOT(ISNUMBER(M447))),0,IF(IFERROR(INDEX(tt_Tax,MATCH(D447,tt_Type,0)),"No")="Yes",M447,0))</f>
        <v/>
      </c>
      <c r="X447" s="67">
        <f>IF(T447=1,"",IF(C447="","Missing transaction date",IF(NOT(ISNUMBER(C447)),"Invalid date",IF(OR(C447&lt;DATE(2000,1,1),C447&gt;DATE(2099,12,31)),"Invalid date",IF(D447="","Select a type",IF(U447="","Unknown type: "&amp;D447,IF(V447="","Select an account (Category)",IF(ISNA(MATCH(V447,coa_Name,0)),"Unknown account: "&amp;V447,IF(K447="","Select Paid From / Deposited To",IF(ISNA(MATCH(K447,coa_Name,0)),"Unknown account: "&amp;K447,IF(NOT(ISNUMBER(L447)),"Enter an amount",IF(L447=0,"Enter an amount",IF(ABS(W447)&gt;ABS(L447),"Tax is larger than the amount","")))))))))))))</f>
        <v/>
      </c>
      <c r="Y447" s="67">
        <f>IF(OR(T447=1,X447&lt;&gt;""),"",IF(AND(B447&lt;&gt;"",COUNTIF(tx_ID,B447)&gt;1),"Duplicate transaction ID",IF(AND(L447&lt;0,D447&lt;&gt;"Adjustment"),"Negative amount — check this entry",IF(AND(D447="Customer Payment",G447=""),"Add the customer",IF(AND(D447="Customer Payment",OR(J447="",COUNTIF(ar_No,J447&amp;"")=0)),"Invoice # in Reference not found on AR sheet",IF(AND(D447="Bill Payment",H447=""),"Add the vendor",IF(AND(D447="Bill Payment",OR(J447="",COUNTIFS(ap_No,J447&amp;"",ap_Party,H447&amp;"")=0)),"Bill # + vendor not found on AP sheet",IF(AND(ISNUMBER(M447),N(M447)&lt;&gt;0,W447=0),"Tax ignored (tax tracking off, or not allowed for this type)",IF(V447=K447&amp;"","Same account on both sides",IF(AND(ISNUMBER(StartDate),C447&lt;StartDate),"Date is before the accounting start date",IF(AND(D447&lt;&gt;"Adjustment",IFERROR(INDEX(coa_Pay,MATCH(K447&amp;"",coa_Name,0)),"")&lt;&gt;"Yes"),"Paid From / Deposited To is not a payment account","")))))))))))</f>
        <v/>
      </c>
      <c r="Z447" s="67">
        <f>IF(AND(T447=0,X447=""),1,0)</f>
        <v/>
      </c>
      <c r="AA447" s="68">
        <f>IF(Z447=1,IF(U447="In",L447,L447-W447),0)</f>
        <v/>
      </c>
      <c r="AB447" s="68">
        <f>IF(Z447=1,IF(U447="In",L447-W447,L447),0)</f>
        <v/>
      </c>
      <c r="AC447" s="68">
        <f>IF(AND(Z447=1,U447="Out"),W447,0)</f>
        <v/>
      </c>
      <c r="AD447" s="68">
        <f>IF(AND(Z447=1,U447="In"),W447,0)</f>
        <v/>
      </c>
    </row>
    <row r="448">
      <c r="B448" s="62" t="inlineStr">
        <is>
          <t>TX-0442</t>
        </is>
      </c>
      <c r="C448" s="63" t="n"/>
      <c r="D448" s="62" t="n"/>
      <c r="E448" s="62" t="n"/>
      <c r="F448" s="62" t="n"/>
      <c r="G448" s="62" t="n"/>
      <c r="H448" s="62" t="n"/>
      <c r="I448" s="62" t="n"/>
      <c r="J448" s="62" t="n"/>
      <c r="K448" s="62" t="n"/>
      <c r="L448" s="64" t="n"/>
      <c r="M448" s="64" t="n"/>
      <c r="N448" s="62" t="n"/>
      <c r="O448" s="65">
        <f>IF(Z448=1,L448-W448,"")</f>
        <v/>
      </c>
      <c r="P448" s="66">
        <f>IF(V448="","",IFERROR(INDEX(coa_Type,MATCH(V448,coa_Name,0)),""))</f>
        <v/>
      </c>
      <c r="Q448" s="66">
        <f>IF(Z448=1,IF(U448="In",K448&amp;"",V448),"")</f>
        <v/>
      </c>
      <c r="R448" s="66">
        <f>IF(Z448=1,IF(U448="In",V448,K448&amp;""),"")</f>
        <v/>
      </c>
      <c r="S448" s="66">
        <f>IF(X448&lt;&gt;"","⛔ "&amp;X448&amp;" — not posted",IF(Y448&lt;&gt;"","⚠ "&amp;Y448,IF(Z448=1,"✓ OK","")))</f>
        <v/>
      </c>
      <c r="T448" s="67">
        <f>IF(AND(C448="",D448="",E448="",L448="",K448=""),1,0)</f>
        <v/>
      </c>
      <c r="U448" s="67">
        <f>IFERROR(INDEX(tt_Dir,MATCH(D448,tt_Type,0)),"")</f>
        <v/>
      </c>
      <c r="V448" s="67">
        <f>IF(D448="","",IFERROR(IF(INDEX(tt_Other,MATCH(D448,tt_Type,0))="",E448&amp;"",INDEX(tt_Other,MATCH(D448,tt_Type,0))),""))</f>
        <v/>
      </c>
      <c r="W448" s="68">
        <f>IF(OR(TaxOn&lt;&gt;"Yes",NOT(ISNUMBER(M448))),0,IF(IFERROR(INDEX(tt_Tax,MATCH(D448,tt_Type,0)),"No")="Yes",M448,0))</f>
        <v/>
      </c>
      <c r="X448" s="67">
        <f>IF(T448=1,"",IF(C448="","Missing transaction date",IF(NOT(ISNUMBER(C448)),"Invalid date",IF(OR(C448&lt;DATE(2000,1,1),C448&gt;DATE(2099,12,31)),"Invalid date",IF(D448="","Select a type",IF(U448="","Unknown type: "&amp;D448,IF(V448="","Select an account (Category)",IF(ISNA(MATCH(V448,coa_Name,0)),"Unknown account: "&amp;V448,IF(K448="","Select Paid From / Deposited To",IF(ISNA(MATCH(K448,coa_Name,0)),"Unknown account: "&amp;K448,IF(NOT(ISNUMBER(L448)),"Enter an amount",IF(L448=0,"Enter an amount",IF(ABS(W448)&gt;ABS(L448),"Tax is larger than the amount","")))))))))))))</f>
        <v/>
      </c>
      <c r="Y448" s="67">
        <f>IF(OR(T448=1,X448&lt;&gt;""),"",IF(AND(B448&lt;&gt;"",COUNTIF(tx_ID,B448)&gt;1),"Duplicate transaction ID",IF(AND(L448&lt;0,D448&lt;&gt;"Adjustment"),"Negative amount — check this entry",IF(AND(D448="Customer Payment",G448=""),"Add the customer",IF(AND(D448="Customer Payment",OR(J448="",COUNTIF(ar_No,J448&amp;"")=0)),"Invoice # in Reference not found on AR sheet",IF(AND(D448="Bill Payment",H448=""),"Add the vendor",IF(AND(D448="Bill Payment",OR(J448="",COUNTIFS(ap_No,J448&amp;"",ap_Party,H448&amp;"")=0)),"Bill # + vendor not found on AP sheet",IF(AND(ISNUMBER(M448),N(M448)&lt;&gt;0,W448=0),"Tax ignored (tax tracking off, or not allowed for this type)",IF(V448=K448&amp;"","Same account on both sides",IF(AND(ISNUMBER(StartDate),C448&lt;StartDate),"Date is before the accounting start date",IF(AND(D448&lt;&gt;"Adjustment",IFERROR(INDEX(coa_Pay,MATCH(K448&amp;"",coa_Name,0)),"")&lt;&gt;"Yes"),"Paid From / Deposited To is not a payment account","")))))))))))</f>
        <v/>
      </c>
      <c r="Z448" s="67">
        <f>IF(AND(T448=0,X448=""),1,0)</f>
        <v/>
      </c>
      <c r="AA448" s="68">
        <f>IF(Z448=1,IF(U448="In",L448,L448-W448),0)</f>
        <v/>
      </c>
      <c r="AB448" s="68">
        <f>IF(Z448=1,IF(U448="In",L448-W448,L448),0)</f>
        <v/>
      </c>
      <c r="AC448" s="68">
        <f>IF(AND(Z448=1,U448="Out"),W448,0)</f>
        <v/>
      </c>
      <c r="AD448" s="68">
        <f>IF(AND(Z448=1,U448="In"),W448,0)</f>
        <v/>
      </c>
    </row>
    <row r="449">
      <c r="B449" s="62" t="inlineStr">
        <is>
          <t>TX-0443</t>
        </is>
      </c>
      <c r="C449" s="63" t="n"/>
      <c r="D449" s="62" t="n"/>
      <c r="E449" s="62" t="n"/>
      <c r="F449" s="62" t="n"/>
      <c r="G449" s="62" t="n"/>
      <c r="H449" s="62" t="n"/>
      <c r="I449" s="62" t="n"/>
      <c r="J449" s="62" t="n"/>
      <c r="K449" s="62" t="n"/>
      <c r="L449" s="64" t="n"/>
      <c r="M449" s="64" t="n"/>
      <c r="N449" s="62" t="n"/>
      <c r="O449" s="65">
        <f>IF(Z449=1,L449-W449,"")</f>
        <v/>
      </c>
      <c r="P449" s="66">
        <f>IF(V449="","",IFERROR(INDEX(coa_Type,MATCH(V449,coa_Name,0)),""))</f>
        <v/>
      </c>
      <c r="Q449" s="66">
        <f>IF(Z449=1,IF(U449="In",K449&amp;"",V449),"")</f>
        <v/>
      </c>
      <c r="R449" s="66">
        <f>IF(Z449=1,IF(U449="In",V449,K449&amp;""),"")</f>
        <v/>
      </c>
      <c r="S449" s="66">
        <f>IF(X449&lt;&gt;"","⛔ "&amp;X449&amp;" — not posted",IF(Y449&lt;&gt;"","⚠ "&amp;Y449,IF(Z449=1,"✓ OK","")))</f>
        <v/>
      </c>
      <c r="T449" s="67">
        <f>IF(AND(C449="",D449="",E449="",L449="",K449=""),1,0)</f>
        <v/>
      </c>
      <c r="U449" s="67">
        <f>IFERROR(INDEX(tt_Dir,MATCH(D449,tt_Type,0)),"")</f>
        <v/>
      </c>
      <c r="V449" s="67">
        <f>IF(D449="","",IFERROR(IF(INDEX(tt_Other,MATCH(D449,tt_Type,0))="",E449&amp;"",INDEX(tt_Other,MATCH(D449,tt_Type,0))),""))</f>
        <v/>
      </c>
      <c r="W449" s="68">
        <f>IF(OR(TaxOn&lt;&gt;"Yes",NOT(ISNUMBER(M449))),0,IF(IFERROR(INDEX(tt_Tax,MATCH(D449,tt_Type,0)),"No")="Yes",M449,0))</f>
        <v/>
      </c>
      <c r="X449" s="67">
        <f>IF(T449=1,"",IF(C449="","Missing transaction date",IF(NOT(ISNUMBER(C449)),"Invalid date",IF(OR(C449&lt;DATE(2000,1,1),C449&gt;DATE(2099,12,31)),"Invalid date",IF(D449="","Select a type",IF(U449="","Unknown type: "&amp;D449,IF(V449="","Select an account (Category)",IF(ISNA(MATCH(V449,coa_Name,0)),"Unknown account: "&amp;V449,IF(K449="","Select Paid From / Deposited To",IF(ISNA(MATCH(K449,coa_Name,0)),"Unknown account: "&amp;K449,IF(NOT(ISNUMBER(L449)),"Enter an amount",IF(L449=0,"Enter an amount",IF(ABS(W449)&gt;ABS(L449),"Tax is larger than the amount","")))))))))))))</f>
        <v/>
      </c>
      <c r="Y449" s="67">
        <f>IF(OR(T449=1,X449&lt;&gt;""),"",IF(AND(B449&lt;&gt;"",COUNTIF(tx_ID,B449)&gt;1),"Duplicate transaction ID",IF(AND(L449&lt;0,D449&lt;&gt;"Adjustment"),"Negative amount — check this entry",IF(AND(D449="Customer Payment",G449=""),"Add the customer",IF(AND(D449="Customer Payment",OR(J449="",COUNTIF(ar_No,J449&amp;"")=0)),"Invoice # in Reference not found on AR sheet",IF(AND(D449="Bill Payment",H449=""),"Add the vendor",IF(AND(D449="Bill Payment",OR(J449="",COUNTIFS(ap_No,J449&amp;"",ap_Party,H449&amp;"")=0)),"Bill # + vendor not found on AP sheet",IF(AND(ISNUMBER(M449),N(M449)&lt;&gt;0,W449=0),"Tax ignored (tax tracking off, or not allowed for this type)",IF(V449=K449&amp;"","Same account on both sides",IF(AND(ISNUMBER(StartDate),C449&lt;StartDate),"Date is before the accounting start date",IF(AND(D449&lt;&gt;"Adjustment",IFERROR(INDEX(coa_Pay,MATCH(K449&amp;"",coa_Name,0)),"")&lt;&gt;"Yes"),"Paid From / Deposited To is not a payment account","")))))))))))</f>
        <v/>
      </c>
      <c r="Z449" s="67">
        <f>IF(AND(T449=0,X449=""),1,0)</f>
        <v/>
      </c>
      <c r="AA449" s="68">
        <f>IF(Z449=1,IF(U449="In",L449,L449-W449),0)</f>
        <v/>
      </c>
      <c r="AB449" s="68">
        <f>IF(Z449=1,IF(U449="In",L449-W449,L449),0)</f>
        <v/>
      </c>
      <c r="AC449" s="68">
        <f>IF(AND(Z449=1,U449="Out"),W449,0)</f>
        <v/>
      </c>
      <c r="AD449" s="68">
        <f>IF(AND(Z449=1,U449="In"),W449,0)</f>
        <v/>
      </c>
    </row>
    <row r="450">
      <c r="B450" s="62" t="inlineStr">
        <is>
          <t>TX-0444</t>
        </is>
      </c>
      <c r="C450" s="63" t="n"/>
      <c r="D450" s="62" t="n"/>
      <c r="E450" s="62" t="n"/>
      <c r="F450" s="62" t="n"/>
      <c r="G450" s="62" t="n"/>
      <c r="H450" s="62" t="n"/>
      <c r="I450" s="62" t="n"/>
      <c r="J450" s="62" t="n"/>
      <c r="K450" s="62" t="n"/>
      <c r="L450" s="64" t="n"/>
      <c r="M450" s="64" t="n"/>
      <c r="N450" s="62" t="n"/>
      <c r="O450" s="65">
        <f>IF(Z450=1,L450-W450,"")</f>
        <v/>
      </c>
      <c r="P450" s="66">
        <f>IF(V450="","",IFERROR(INDEX(coa_Type,MATCH(V450,coa_Name,0)),""))</f>
        <v/>
      </c>
      <c r="Q450" s="66">
        <f>IF(Z450=1,IF(U450="In",K450&amp;"",V450),"")</f>
        <v/>
      </c>
      <c r="R450" s="66">
        <f>IF(Z450=1,IF(U450="In",V450,K450&amp;""),"")</f>
        <v/>
      </c>
      <c r="S450" s="66">
        <f>IF(X450&lt;&gt;"","⛔ "&amp;X450&amp;" — not posted",IF(Y450&lt;&gt;"","⚠ "&amp;Y450,IF(Z450=1,"✓ OK","")))</f>
        <v/>
      </c>
      <c r="T450" s="67">
        <f>IF(AND(C450="",D450="",E450="",L450="",K450=""),1,0)</f>
        <v/>
      </c>
      <c r="U450" s="67">
        <f>IFERROR(INDEX(tt_Dir,MATCH(D450,tt_Type,0)),"")</f>
        <v/>
      </c>
      <c r="V450" s="67">
        <f>IF(D450="","",IFERROR(IF(INDEX(tt_Other,MATCH(D450,tt_Type,0))="",E450&amp;"",INDEX(tt_Other,MATCH(D450,tt_Type,0))),""))</f>
        <v/>
      </c>
      <c r="W450" s="68">
        <f>IF(OR(TaxOn&lt;&gt;"Yes",NOT(ISNUMBER(M450))),0,IF(IFERROR(INDEX(tt_Tax,MATCH(D450,tt_Type,0)),"No")="Yes",M450,0))</f>
        <v/>
      </c>
      <c r="X450" s="67">
        <f>IF(T450=1,"",IF(C450="","Missing transaction date",IF(NOT(ISNUMBER(C450)),"Invalid date",IF(OR(C450&lt;DATE(2000,1,1),C450&gt;DATE(2099,12,31)),"Invalid date",IF(D450="","Select a type",IF(U450="","Unknown type: "&amp;D450,IF(V450="","Select an account (Category)",IF(ISNA(MATCH(V450,coa_Name,0)),"Unknown account: "&amp;V450,IF(K450="","Select Paid From / Deposited To",IF(ISNA(MATCH(K450,coa_Name,0)),"Unknown account: "&amp;K450,IF(NOT(ISNUMBER(L450)),"Enter an amount",IF(L450=0,"Enter an amount",IF(ABS(W450)&gt;ABS(L450),"Tax is larger than the amount","")))))))))))))</f>
        <v/>
      </c>
      <c r="Y450" s="67">
        <f>IF(OR(T450=1,X450&lt;&gt;""),"",IF(AND(B450&lt;&gt;"",COUNTIF(tx_ID,B450)&gt;1),"Duplicate transaction ID",IF(AND(L450&lt;0,D450&lt;&gt;"Adjustment"),"Negative amount — check this entry",IF(AND(D450="Customer Payment",G450=""),"Add the customer",IF(AND(D450="Customer Payment",OR(J450="",COUNTIF(ar_No,J450&amp;"")=0)),"Invoice # in Reference not found on AR sheet",IF(AND(D450="Bill Payment",H450=""),"Add the vendor",IF(AND(D450="Bill Payment",OR(J450="",COUNTIFS(ap_No,J450&amp;"",ap_Party,H450&amp;"")=0)),"Bill # + vendor not found on AP sheet",IF(AND(ISNUMBER(M450),N(M450)&lt;&gt;0,W450=0),"Tax ignored (tax tracking off, or not allowed for this type)",IF(V450=K450&amp;"","Same account on both sides",IF(AND(ISNUMBER(StartDate),C450&lt;StartDate),"Date is before the accounting start date",IF(AND(D450&lt;&gt;"Adjustment",IFERROR(INDEX(coa_Pay,MATCH(K450&amp;"",coa_Name,0)),"")&lt;&gt;"Yes"),"Paid From / Deposited To is not a payment account","")))))))))))</f>
        <v/>
      </c>
      <c r="Z450" s="67">
        <f>IF(AND(T450=0,X450=""),1,0)</f>
        <v/>
      </c>
      <c r="AA450" s="68">
        <f>IF(Z450=1,IF(U450="In",L450,L450-W450),0)</f>
        <v/>
      </c>
      <c r="AB450" s="68">
        <f>IF(Z450=1,IF(U450="In",L450-W450,L450),0)</f>
        <v/>
      </c>
      <c r="AC450" s="68">
        <f>IF(AND(Z450=1,U450="Out"),W450,0)</f>
        <v/>
      </c>
      <c r="AD450" s="68">
        <f>IF(AND(Z450=1,U450="In"),W450,0)</f>
        <v/>
      </c>
    </row>
    <row r="451">
      <c r="B451" s="62" t="inlineStr">
        <is>
          <t>TX-0445</t>
        </is>
      </c>
      <c r="C451" s="63" t="n"/>
      <c r="D451" s="62" t="n"/>
      <c r="E451" s="62" t="n"/>
      <c r="F451" s="62" t="n"/>
      <c r="G451" s="62" t="n"/>
      <c r="H451" s="62" t="n"/>
      <c r="I451" s="62" t="n"/>
      <c r="J451" s="62" t="n"/>
      <c r="K451" s="62" t="n"/>
      <c r="L451" s="64" t="n"/>
      <c r="M451" s="64" t="n"/>
      <c r="N451" s="62" t="n"/>
      <c r="O451" s="65">
        <f>IF(Z451=1,L451-W451,"")</f>
        <v/>
      </c>
      <c r="P451" s="66">
        <f>IF(V451="","",IFERROR(INDEX(coa_Type,MATCH(V451,coa_Name,0)),""))</f>
        <v/>
      </c>
      <c r="Q451" s="66">
        <f>IF(Z451=1,IF(U451="In",K451&amp;"",V451),"")</f>
        <v/>
      </c>
      <c r="R451" s="66">
        <f>IF(Z451=1,IF(U451="In",V451,K451&amp;""),"")</f>
        <v/>
      </c>
      <c r="S451" s="66">
        <f>IF(X451&lt;&gt;"","⛔ "&amp;X451&amp;" — not posted",IF(Y451&lt;&gt;"","⚠ "&amp;Y451,IF(Z451=1,"✓ OK","")))</f>
        <v/>
      </c>
      <c r="T451" s="67">
        <f>IF(AND(C451="",D451="",E451="",L451="",K451=""),1,0)</f>
        <v/>
      </c>
      <c r="U451" s="67">
        <f>IFERROR(INDEX(tt_Dir,MATCH(D451,tt_Type,0)),"")</f>
        <v/>
      </c>
      <c r="V451" s="67">
        <f>IF(D451="","",IFERROR(IF(INDEX(tt_Other,MATCH(D451,tt_Type,0))="",E451&amp;"",INDEX(tt_Other,MATCH(D451,tt_Type,0))),""))</f>
        <v/>
      </c>
      <c r="W451" s="68">
        <f>IF(OR(TaxOn&lt;&gt;"Yes",NOT(ISNUMBER(M451))),0,IF(IFERROR(INDEX(tt_Tax,MATCH(D451,tt_Type,0)),"No")="Yes",M451,0))</f>
        <v/>
      </c>
      <c r="X451" s="67">
        <f>IF(T451=1,"",IF(C451="","Missing transaction date",IF(NOT(ISNUMBER(C451)),"Invalid date",IF(OR(C451&lt;DATE(2000,1,1),C451&gt;DATE(2099,12,31)),"Invalid date",IF(D451="","Select a type",IF(U451="","Unknown type: "&amp;D451,IF(V451="","Select an account (Category)",IF(ISNA(MATCH(V451,coa_Name,0)),"Unknown account: "&amp;V451,IF(K451="","Select Paid From / Deposited To",IF(ISNA(MATCH(K451,coa_Name,0)),"Unknown account: "&amp;K451,IF(NOT(ISNUMBER(L451)),"Enter an amount",IF(L451=0,"Enter an amount",IF(ABS(W451)&gt;ABS(L451),"Tax is larger than the amount","")))))))))))))</f>
        <v/>
      </c>
      <c r="Y451" s="67">
        <f>IF(OR(T451=1,X451&lt;&gt;""),"",IF(AND(B451&lt;&gt;"",COUNTIF(tx_ID,B451)&gt;1),"Duplicate transaction ID",IF(AND(L451&lt;0,D451&lt;&gt;"Adjustment"),"Negative amount — check this entry",IF(AND(D451="Customer Payment",G451=""),"Add the customer",IF(AND(D451="Customer Payment",OR(J451="",COUNTIF(ar_No,J451&amp;"")=0)),"Invoice # in Reference not found on AR sheet",IF(AND(D451="Bill Payment",H451=""),"Add the vendor",IF(AND(D451="Bill Payment",OR(J451="",COUNTIFS(ap_No,J451&amp;"",ap_Party,H451&amp;"")=0)),"Bill # + vendor not found on AP sheet",IF(AND(ISNUMBER(M451),N(M451)&lt;&gt;0,W451=0),"Tax ignored (tax tracking off, or not allowed for this type)",IF(V451=K451&amp;"","Same account on both sides",IF(AND(ISNUMBER(StartDate),C451&lt;StartDate),"Date is before the accounting start date",IF(AND(D451&lt;&gt;"Adjustment",IFERROR(INDEX(coa_Pay,MATCH(K451&amp;"",coa_Name,0)),"")&lt;&gt;"Yes"),"Paid From / Deposited To is not a payment account","")))))))))))</f>
        <v/>
      </c>
      <c r="Z451" s="67">
        <f>IF(AND(T451=0,X451=""),1,0)</f>
        <v/>
      </c>
      <c r="AA451" s="68">
        <f>IF(Z451=1,IF(U451="In",L451,L451-W451),0)</f>
        <v/>
      </c>
      <c r="AB451" s="68">
        <f>IF(Z451=1,IF(U451="In",L451-W451,L451),0)</f>
        <v/>
      </c>
      <c r="AC451" s="68">
        <f>IF(AND(Z451=1,U451="Out"),W451,0)</f>
        <v/>
      </c>
      <c r="AD451" s="68">
        <f>IF(AND(Z451=1,U451="In"),W451,0)</f>
        <v/>
      </c>
    </row>
    <row r="452">
      <c r="B452" s="62" t="inlineStr">
        <is>
          <t>TX-0446</t>
        </is>
      </c>
      <c r="C452" s="63" t="n"/>
      <c r="D452" s="62" t="n"/>
      <c r="E452" s="62" t="n"/>
      <c r="F452" s="62" t="n"/>
      <c r="G452" s="62" t="n"/>
      <c r="H452" s="62" t="n"/>
      <c r="I452" s="62" t="n"/>
      <c r="J452" s="62" t="n"/>
      <c r="K452" s="62" t="n"/>
      <c r="L452" s="64" t="n"/>
      <c r="M452" s="64" t="n"/>
      <c r="N452" s="62" t="n"/>
      <c r="O452" s="65">
        <f>IF(Z452=1,L452-W452,"")</f>
        <v/>
      </c>
      <c r="P452" s="66">
        <f>IF(V452="","",IFERROR(INDEX(coa_Type,MATCH(V452,coa_Name,0)),""))</f>
        <v/>
      </c>
      <c r="Q452" s="66">
        <f>IF(Z452=1,IF(U452="In",K452&amp;"",V452),"")</f>
        <v/>
      </c>
      <c r="R452" s="66">
        <f>IF(Z452=1,IF(U452="In",V452,K452&amp;""),"")</f>
        <v/>
      </c>
      <c r="S452" s="66">
        <f>IF(X452&lt;&gt;"","⛔ "&amp;X452&amp;" — not posted",IF(Y452&lt;&gt;"","⚠ "&amp;Y452,IF(Z452=1,"✓ OK","")))</f>
        <v/>
      </c>
      <c r="T452" s="67">
        <f>IF(AND(C452="",D452="",E452="",L452="",K452=""),1,0)</f>
        <v/>
      </c>
      <c r="U452" s="67">
        <f>IFERROR(INDEX(tt_Dir,MATCH(D452,tt_Type,0)),"")</f>
        <v/>
      </c>
      <c r="V452" s="67">
        <f>IF(D452="","",IFERROR(IF(INDEX(tt_Other,MATCH(D452,tt_Type,0))="",E452&amp;"",INDEX(tt_Other,MATCH(D452,tt_Type,0))),""))</f>
        <v/>
      </c>
      <c r="W452" s="68">
        <f>IF(OR(TaxOn&lt;&gt;"Yes",NOT(ISNUMBER(M452))),0,IF(IFERROR(INDEX(tt_Tax,MATCH(D452,tt_Type,0)),"No")="Yes",M452,0))</f>
        <v/>
      </c>
      <c r="X452" s="67">
        <f>IF(T452=1,"",IF(C452="","Missing transaction date",IF(NOT(ISNUMBER(C452)),"Invalid date",IF(OR(C452&lt;DATE(2000,1,1),C452&gt;DATE(2099,12,31)),"Invalid date",IF(D452="","Select a type",IF(U452="","Unknown type: "&amp;D452,IF(V452="","Select an account (Category)",IF(ISNA(MATCH(V452,coa_Name,0)),"Unknown account: "&amp;V452,IF(K452="","Select Paid From / Deposited To",IF(ISNA(MATCH(K452,coa_Name,0)),"Unknown account: "&amp;K452,IF(NOT(ISNUMBER(L452)),"Enter an amount",IF(L452=0,"Enter an amount",IF(ABS(W452)&gt;ABS(L452),"Tax is larger than the amount","")))))))))))))</f>
        <v/>
      </c>
      <c r="Y452" s="67">
        <f>IF(OR(T452=1,X452&lt;&gt;""),"",IF(AND(B452&lt;&gt;"",COUNTIF(tx_ID,B452)&gt;1),"Duplicate transaction ID",IF(AND(L452&lt;0,D452&lt;&gt;"Adjustment"),"Negative amount — check this entry",IF(AND(D452="Customer Payment",G452=""),"Add the customer",IF(AND(D452="Customer Payment",OR(J452="",COUNTIF(ar_No,J452&amp;"")=0)),"Invoice # in Reference not found on AR sheet",IF(AND(D452="Bill Payment",H452=""),"Add the vendor",IF(AND(D452="Bill Payment",OR(J452="",COUNTIFS(ap_No,J452&amp;"",ap_Party,H452&amp;"")=0)),"Bill # + vendor not found on AP sheet",IF(AND(ISNUMBER(M452),N(M452)&lt;&gt;0,W452=0),"Tax ignored (tax tracking off, or not allowed for this type)",IF(V452=K452&amp;"","Same account on both sides",IF(AND(ISNUMBER(StartDate),C452&lt;StartDate),"Date is before the accounting start date",IF(AND(D452&lt;&gt;"Adjustment",IFERROR(INDEX(coa_Pay,MATCH(K452&amp;"",coa_Name,0)),"")&lt;&gt;"Yes"),"Paid From / Deposited To is not a payment account","")))))))))))</f>
        <v/>
      </c>
      <c r="Z452" s="67">
        <f>IF(AND(T452=0,X452=""),1,0)</f>
        <v/>
      </c>
      <c r="AA452" s="68">
        <f>IF(Z452=1,IF(U452="In",L452,L452-W452),0)</f>
        <v/>
      </c>
      <c r="AB452" s="68">
        <f>IF(Z452=1,IF(U452="In",L452-W452,L452),0)</f>
        <v/>
      </c>
      <c r="AC452" s="68">
        <f>IF(AND(Z452=1,U452="Out"),W452,0)</f>
        <v/>
      </c>
      <c r="AD452" s="68">
        <f>IF(AND(Z452=1,U452="In"),W452,0)</f>
        <v/>
      </c>
    </row>
    <row r="453">
      <c r="B453" s="62" t="inlineStr">
        <is>
          <t>TX-0447</t>
        </is>
      </c>
      <c r="C453" s="63" t="n"/>
      <c r="D453" s="62" t="n"/>
      <c r="E453" s="62" t="n"/>
      <c r="F453" s="62" t="n"/>
      <c r="G453" s="62" t="n"/>
      <c r="H453" s="62" t="n"/>
      <c r="I453" s="62" t="n"/>
      <c r="J453" s="62" t="n"/>
      <c r="K453" s="62" t="n"/>
      <c r="L453" s="64" t="n"/>
      <c r="M453" s="64" t="n"/>
      <c r="N453" s="62" t="n"/>
      <c r="O453" s="65">
        <f>IF(Z453=1,L453-W453,"")</f>
        <v/>
      </c>
      <c r="P453" s="66">
        <f>IF(V453="","",IFERROR(INDEX(coa_Type,MATCH(V453,coa_Name,0)),""))</f>
        <v/>
      </c>
      <c r="Q453" s="66">
        <f>IF(Z453=1,IF(U453="In",K453&amp;"",V453),"")</f>
        <v/>
      </c>
      <c r="R453" s="66">
        <f>IF(Z453=1,IF(U453="In",V453,K453&amp;""),"")</f>
        <v/>
      </c>
      <c r="S453" s="66">
        <f>IF(X453&lt;&gt;"","⛔ "&amp;X453&amp;" — not posted",IF(Y453&lt;&gt;"","⚠ "&amp;Y453,IF(Z453=1,"✓ OK","")))</f>
        <v/>
      </c>
      <c r="T453" s="67">
        <f>IF(AND(C453="",D453="",E453="",L453="",K453=""),1,0)</f>
        <v/>
      </c>
      <c r="U453" s="67">
        <f>IFERROR(INDEX(tt_Dir,MATCH(D453,tt_Type,0)),"")</f>
        <v/>
      </c>
      <c r="V453" s="67">
        <f>IF(D453="","",IFERROR(IF(INDEX(tt_Other,MATCH(D453,tt_Type,0))="",E453&amp;"",INDEX(tt_Other,MATCH(D453,tt_Type,0))),""))</f>
        <v/>
      </c>
      <c r="W453" s="68">
        <f>IF(OR(TaxOn&lt;&gt;"Yes",NOT(ISNUMBER(M453))),0,IF(IFERROR(INDEX(tt_Tax,MATCH(D453,tt_Type,0)),"No")="Yes",M453,0))</f>
        <v/>
      </c>
      <c r="X453" s="67">
        <f>IF(T453=1,"",IF(C453="","Missing transaction date",IF(NOT(ISNUMBER(C453)),"Invalid date",IF(OR(C453&lt;DATE(2000,1,1),C453&gt;DATE(2099,12,31)),"Invalid date",IF(D453="","Select a type",IF(U453="","Unknown type: "&amp;D453,IF(V453="","Select an account (Category)",IF(ISNA(MATCH(V453,coa_Name,0)),"Unknown account: "&amp;V453,IF(K453="","Select Paid From / Deposited To",IF(ISNA(MATCH(K453,coa_Name,0)),"Unknown account: "&amp;K453,IF(NOT(ISNUMBER(L453)),"Enter an amount",IF(L453=0,"Enter an amount",IF(ABS(W453)&gt;ABS(L453),"Tax is larger than the amount","")))))))))))))</f>
        <v/>
      </c>
      <c r="Y453" s="67">
        <f>IF(OR(T453=1,X453&lt;&gt;""),"",IF(AND(B453&lt;&gt;"",COUNTIF(tx_ID,B453)&gt;1),"Duplicate transaction ID",IF(AND(L453&lt;0,D453&lt;&gt;"Adjustment"),"Negative amount — check this entry",IF(AND(D453="Customer Payment",G453=""),"Add the customer",IF(AND(D453="Customer Payment",OR(J453="",COUNTIF(ar_No,J453&amp;"")=0)),"Invoice # in Reference not found on AR sheet",IF(AND(D453="Bill Payment",H453=""),"Add the vendor",IF(AND(D453="Bill Payment",OR(J453="",COUNTIFS(ap_No,J453&amp;"",ap_Party,H453&amp;"")=0)),"Bill # + vendor not found on AP sheet",IF(AND(ISNUMBER(M453),N(M453)&lt;&gt;0,W453=0),"Tax ignored (tax tracking off, or not allowed for this type)",IF(V453=K453&amp;"","Same account on both sides",IF(AND(ISNUMBER(StartDate),C453&lt;StartDate),"Date is before the accounting start date",IF(AND(D453&lt;&gt;"Adjustment",IFERROR(INDEX(coa_Pay,MATCH(K453&amp;"",coa_Name,0)),"")&lt;&gt;"Yes"),"Paid From / Deposited To is not a payment account","")))))))))))</f>
        <v/>
      </c>
      <c r="Z453" s="67">
        <f>IF(AND(T453=0,X453=""),1,0)</f>
        <v/>
      </c>
      <c r="AA453" s="68">
        <f>IF(Z453=1,IF(U453="In",L453,L453-W453),0)</f>
        <v/>
      </c>
      <c r="AB453" s="68">
        <f>IF(Z453=1,IF(U453="In",L453-W453,L453),0)</f>
        <v/>
      </c>
      <c r="AC453" s="68">
        <f>IF(AND(Z453=1,U453="Out"),W453,0)</f>
        <v/>
      </c>
      <c r="AD453" s="68">
        <f>IF(AND(Z453=1,U453="In"),W453,0)</f>
        <v/>
      </c>
    </row>
    <row r="454">
      <c r="B454" s="62" t="inlineStr">
        <is>
          <t>TX-0448</t>
        </is>
      </c>
      <c r="C454" s="63" t="n"/>
      <c r="D454" s="62" t="n"/>
      <c r="E454" s="62" t="n"/>
      <c r="F454" s="62" t="n"/>
      <c r="G454" s="62" t="n"/>
      <c r="H454" s="62" t="n"/>
      <c r="I454" s="62" t="n"/>
      <c r="J454" s="62" t="n"/>
      <c r="K454" s="62" t="n"/>
      <c r="L454" s="64" t="n"/>
      <c r="M454" s="64" t="n"/>
      <c r="N454" s="62" t="n"/>
      <c r="O454" s="65">
        <f>IF(Z454=1,L454-W454,"")</f>
        <v/>
      </c>
      <c r="P454" s="66">
        <f>IF(V454="","",IFERROR(INDEX(coa_Type,MATCH(V454,coa_Name,0)),""))</f>
        <v/>
      </c>
      <c r="Q454" s="66">
        <f>IF(Z454=1,IF(U454="In",K454&amp;"",V454),"")</f>
        <v/>
      </c>
      <c r="R454" s="66">
        <f>IF(Z454=1,IF(U454="In",V454,K454&amp;""),"")</f>
        <v/>
      </c>
      <c r="S454" s="66">
        <f>IF(X454&lt;&gt;"","⛔ "&amp;X454&amp;" — not posted",IF(Y454&lt;&gt;"","⚠ "&amp;Y454,IF(Z454=1,"✓ OK","")))</f>
        <v/>
      </c>
      <c r="T454" s="67">
        <f>IF(AND(C454="",D454="",E454="",L454="",K454=""),1,0)</f>
        <v/>
      </c>
      <c r="U454" s="67">
        <f>IFERROR(INDEX(tt_Dir,MATCH(D454,tt_Type,0)),"")</f>
        <v/>
      </c>
      <c r="V454" s="67">
        <f>IF(D454="","",IFERROR(IF(INDEX(tt_Other,MATCH(D454,tt_Type,0))="",E454&amp;"",INDEX(tt_Other,MATCH(D454,tt_Type,0))),""))</f>
        <v/>
      </c>
      <c r="W454" s="68">
        <f>IF(OR(TaxOn&lt;&gt;"Yes",NOT(ISNUMBER(M454))),0,IF(IFERROR(INDEX(tt_Tax,MATCH(D454,tt_Type,0)),"No")="Yes",M454,0))</f>
        <v/>
      </c>
      <c r="X454" s="67">
        <f>IF(T454=1,"",IF(C454="","Missing transaction date",IF(NOT(ISNUMBER(C454)),"Invalid date",IF(OR(C454&lt;DATE(2000,1,1),C454&gt;DATE(2099,12,31)),"Invalid date",IF(D454="","Select a type",IF(U454="","Unknown type: "&amp;D454,IF(V454="","Select an account (Category)",IF(ISNA(MATCH(V454,coa_Name,0)),"Unknown account: "&amp;V454,IF(K454="","Select Paid From / Deposited To",IF(ISNA(MATCH(K454,coa_Name,0)),"Unknown account: "&amp;K454,IF(NOT(ISNUMBER(L454)),"Enter an amount",IF(L454=0,"Enter an amount",IF(ABS(W454)&gt;ABS(L454),"Tax is larger than the amount","")))))))))))))</f>
        <v/>
      </c>
      <c r="Y454" s="67">
        <f>IF(OR(T454=1,X454&lt;&gt;""),"",IF(AND(B454&lt;&gt;"",COUNTIF(tx_ID,B454)&gt;1),"Duplicate transaction ID",IF(AND(L454&lt;0,D454&lt;&gt;"Adjustment"),"Negative amount — check this entry",IF(AND(D454="Customer Payment",G454=""),"Add the customer",IF(AND(D454="Customer Payment",OR(J454="",COUNTIF(ar_No,J454&amp;"")=0)),"Invoice # in Reference not found on AR sheet",IF(AND(D454="Bill Payment",H454=""),"Add the vendor",IF(AND(D454="Bill Payment",OR(J454="",COUNTIFS(ap_No,J454&amp;"",ap_Party,H454&amp;"")=0)),"Bill # + vendor not found on AP sheet",IF(AND(ISNUMBER(M454),N(M454)&lt;&gt;0,W454=0),"Tax ignored (tax tracking off, or not allowed for this type)",IF(V454=K454&amp;"","Same account on both sides",IF(AND(ISNUMBER(StartDate),C454&lt;StartDate),"Date is before the accounting start date",IF(AND(D454&lt;&gt;"Adjustment",IFERROR(INDEX(coa_Pay,MATCH(K454&amp;"",coa_Name,0)),"")&lt;&gt;"Yes"),"Paid From / Deposited To is not a payment account","")))))))))))</f>
        <v/>
      </c>
      <c r="Z454" s="67">
        <f>IF(AND(T454=0,X454=""),1,0)</f>
        <v/>
      </c>
      <c r="AA454" s="68">
        <f>IF(Z454=1,IF(U454="In",L454,L454-W454),0)</f>
        <v/>
      </c>
      <c r="AB454" s="68">
        <f>IF(Z454=1,IF(U454="In",L454-W454,L454),0)</f>
        <v/>
      </c>
      <c r="AC454" s="68">
        <f>IF(AND(Z454=1,U454="Out"),W454,0)</f>
        <v/>
      </c>
      <c r="AD454" s="68">
        <f>IF(AND(Z454=1,U454="In"),W454,0)</f>
        <v/>
      </c>
    </row>
    <row r="455">
      <c r="B455" s="62" t="inlineStr">
        <is>
          <t>TX-0449</t>
        </is>
      </c>
      <c r="C455" s="63" t="n"/>
      <c r="D455" s="62" t="n"/>
      <c r="E455" s="62" t="n"/>
      <c r="F455" s="62" t="n"/>
      <c r="G455" s="62" t="n"/>
      <c r="H455" s="62" t="n"/>
      <c r="I455" s="62" t="n"/>
      <c r="J455" s="62" t="n"/>
      <c r="K455" s="62" t="n"/>
      <c r="L455" s="64" t="n"/>
      <c r="M455" s="64" t="n"/>
      <c r="N455" s="62" t="n"/>
      <c r="O455" s="65">
        <f>IF(Z455=1,L455-W455,"")</f>
        <v/>
      </c>
      <c r="P455" s="66">
        <f>IF(V455="","",IFERROR(INDEX(coa_Type,MATCH(V455,coa_Name,0)),""))</f>
        <v/>
      </c>
      <c r="Q455" s="66">
        <f>IF(Z455=1,IF(U455="In",K455&amp;"",V455),"")</f>
        <v/>
      </c>
      <c r="R455" s="66">
        <f>IF(Z455=1,IF(U455="In",V455,K455&amp;""),"")</f>
        <v/>
      </c>
      <c r="S455" s="66">
        <f>IF(X455&lt;&gt;"","⛔ "&amp;X455&amp;" — not posted",IF(Y455&lt;&gt;"","⚠ "&amp;Y455,IF(Z455=1,"✓ OK","")))</f>
        <v/>
      </c>
      <c r="T455" s="67">
        <f>IF(AND(C455="",D455="",E455="",L455="",K455=""),1,0)</f>
        <v/>
      </c>
      <c r="U455" s="67">
        <f>IFERROR(INDEX(tt_Dir,MATCH(D455,tt_Type,0)),"")</f>
        <v/>
      </c>
      <c r="V455" s="67">
        <f>IF(D455="","",IFERROR(IF(INDEX(tt_Other,MATCH(D455,tt_Type,0))="",E455&amp;"",INDEX(tt_Other,MATCH(D455,tt_Type,0))),""))</f>
        <v/>
      </c>
      <c r="W455" s="68">
        <f>IF(OR(TaxOn&lt;&gt;"Yes",NOT(ISNUMBER(M455))),0,IF(IFERROR(INDEX(tt_Tax,MATCH(D455,tt_Type,0)),"No")="Yes",M455,0))</f>
        <v/>
      </c>
      <c r="X455" s="67">
        <f>IF(T455=1,"",IF(C455="","Missing transaction date",IF(NOT(ISNUMBER(C455)),"Invalid date",IF(OR(C455&lt;DATE(2000,1,1),C455&gt;DATE(2099,12,31)),"Invalid date",IF(D455="","Select a type",IF(U455="","Unknown type: "&amp;D455,IF(V455="","Select an account (Category)",IF(ISNA(MATCH(V455,coa_Name,0)),"Unknown account: "&amp;V455,IF(K455="","Select Paid From / Deposited To",IF(ISNA(MATCH(K455,coa_Name,0)),"Unknown account: "&amp;K455,IF(NOT(ISNUMBER(L455)),"Enter an amount",IF(L455=0,"Enter an amount",IF(ABS(W455)&gt;ABS(L455),"Tax is larger than the amount","")))))))))))))</f>
        <v/>
      </c>
      <c r="Y455" s="67">
        <f>IF(OR(T455=1,X455&lt;&gt;""),"",IF(AND(B455&lt;&gt;"",COUNTIF(tx_ID,B455)&gt;1),"Duplicate transaction ID",IF(AND(L455&lt;0,D455&lt;&gt;"Adjustment"),"Negative amount — check this entry",IF(AND(D455="Customer Payment",G455=""),"Add the customer",IF(AND(D455="Customer Payment",OR(J455="",COUNTIF(ar_No,J455&amp;"")=0)),"Invoice # in Reference not found on AR sheet",IF(AND(D455="Bill Payment",H455=""),"Add the vendor",IF(AND(D455="Bill Payment",OR(J455="",COUNTIFS(ap_No,J455&amp;"",ap_Party,H455&amp;"")=0)),"Bill # + vendor not found on AP sheet",IF(AND(ISNUMBER(M455),N(M455)&lt;&gt;0,W455=0),"Tax ignored (tax tracking off, or not allowed for this type)",IF(V455=K455&amp;"","Same account on both sides",IF(AND(ISNUMBER(StartDate),C455&lt;StartDate),"Date is before the accounting start date",IF(AND(D455&lt;&gt;"Adjustment",IFERROR(INDEX(coa_Pay,MATCH(K455&amp;"",coa_Name,0)),"")&lt;&gt;"Yes"),"Paid From / Deposited To is not a payment account","")))))))))))</f>
        <v/>
      </c>
      <c r="Z455" s="67">
        <f>IF(AND(T455=0,X455=""),1,0)</f>
        <v/>
      </c>
      <c r="AA455" s="68">
        <f>IF(Z455=1,IF(U455="In",L455,L455-W455),0)</f>
        <v/>
      </c>
      <c r="AB455" s="68">
        <f>IF(Z455=1,IF(U455="In",L455-W455,L455),0)</f>
        <v/>
      </c>
      <c r="AC455" s="68">
        <f>IF(AND(Z455=1,U455="Out"),W455,0)</f>
        <v/>
      </c>
      <c r="AD455" s="68">
        <f>IF(AND(Z455=1,U455="In"),W455,0)</f>
        <v/>
      </c>
    </row>
    <row r="456">
      <c r="B456" s="62" t="inlineStr">
        <is>
          <t>TX-0450</t>
        </is>
      </c>
      <c r="C456" s="63" t="n"/>
      <c r="D456" s="62" t="n"/>
      <c r="E456" s="62" t="n"/>
      <c r="F456" s="62" t="n"/>
      <c r="G456" s="62" t="n"/>
      <c r="H456" s="62" t="n"/>
      <c r="I456" s="62" t="n"/>
      <c r="J456" s="62" t="n"/>
      <c r="K456" s="62" t="n"/>
      <c r="L456" s="64" t="n"/>
      <c r="M456" s="64" t="n"/>
      <c r="N456" s="62" t="n"/>
      <c r="O456" s="65">
        <f>IF(Z456=1,L456-W456,"")</f>
        <v/>
      </c>
      <c r="P456" s="66">
        <f>IF(V456="","",IFERROR(INDEX(coa_Type,MATCH(V456,coa_Name,0)),""))</f>
        <v/>
      </c>
      <c r="Q456" s="66">
        <f>IF(Z456=1,IF(U456="In",K456&amp;"",V456),"")</f>
        <v/>
      </c>
      <c r="R456" s="66">
        <f>IF(Z456=1,IF(U456="In",V456,K456&amp;""),"")</f>
        <v/>
      </c>
      <c r="S456" s="66">
        <f>IF(X456&lt;&gt;"","⛔ "&amp;X456&amp;" — not posted",IF(Y456&lt;&gt;"","⚠ "&amp;Y456,IF(Z456=1,"✓ OK","")))</f>
        <v/>
      </c>
      <c r="T456" s="67">
        <f>IF(AND(C456="",D456="",E456="",L456="",K456=""),1,0)</f>
        <v/>
      </c>
      <c r="U456" s="67">
        <f>IFERROR(INDEX(tt_Dir,MATCH(D456,tt_Type,0)),"")</f>
        <v/>
      </c>
      <c r="V456" s="67">
        <f>IF(D456="","",IFERROR(IF(INDEX(tt_Other,MATCH(D456,tt_Type,0))="",E456&amp;"",INDEX(tt_Other,MATCH(D456,tt_Type,0))),""))</f>
        <v/>
      </c>
      <c r="W456" s="68">
        <f>IF(OR(TaxOn&lt;&gt;"Yes",NOT(ISNUMBER(M456))),0,IF(IFERROR(INDEX(tt_Tax,MATCH(D456,tt_Type,0)),"No")="Yes",M456,0))</f>
        <v/>
      </c>
      <c r="X456" s="67">
        <f>IF(T456=1,"",IF(C456="","Missing transaction date",IF(NOT(ISNUMBER(C456)),"Invalid date",IF(OR(C456&lt;DATE(2000,1,1),C456&gt;DATE(2099,12,31)),"Invalid date",IF(D456="","Select a type",IF(U456="","Unknown type: "&amp;D456,IF(V456="","Select an account (Category)",IF(ISNA(MATCH(V456,coa_Name,0)),"Unknown account: "&amp;V456,IF(K456="","Select Paid From / Deposited To",IF(ISNA(MATCH(K456,coa_Name,0)),"Unknown account: "&amp;K456,IF(NOT(ISNUMBER(L456)),"Enter an amount",IF(L456=0,"Enter an amount",IF(ABS(W456)&gt;ABS(L456),"Tax is larger than the amount","")))))))))))))</f>
        <v/>
      </c>
      <c r="Y456" s="67">
        <f>IF(OR(T456=1,X456&lt;&gt;""),"",IF(AND(B456&lt;&gt;"",COUNTIF(tx_ID,B456)&gt;1),"Duplicate transaction ID",IF(AND(L456&lt;0,D456&lt;&gt;"Adjustment"),"Negative amount — check this entry",IF(AND(D456="Customer Payment",G456=""),"Add the customer",IF(AND(D456="Customer Payment",OR(J456="",COUNTIF(ar_No,J456&amp;"")=0)),"Invoice # in Reference not found on AR sheet",IF(AND(D456="Bill Payment",H456=""),"Add the vendor",IF(AND(D456="Bill Payment",OR(J456="",COUNTIFS(ap_No,J456&amp;"",ap_Party,H456&amp;"")=0)),"Bill # + vendor not found on AP sheet",IF(AND(ISNUMBER(M456),N(M456)&lt;&gt;0,W456=0),"Tax ignored (tax tracking off, or not allowed for this type)",IF(V456=K456&amp;"","Same account on both sides",IF(AND(ISNUMBER(StartDate),C456&lt;StartDate),"Date is before the accounting start date",IF(AND(D456&lt;&gt;"Adjustment",IFERROR(INDEX(coa_Pay,MATCH(K456&amp;"",coa_Name,0)),"")&lt;&gt;"Yes"),"Paid From / Deposited To is not a payment account","")))))))))))</f>
        <v/>
      </c>
      <c r="Z456" s="67">
        <f>IF(AND(T456=0,X456=""),1,0)</f>
        <v/>
      </c>
      <c r="AA456" s="68">
        <f>IF(Z456=1,IF(U456="In",L456,L456-W456),0)</f>
        <v/>
      </c>
      <c r="AB456" s="68">
        <f>IF(Z456=1,IF(U456="In",L456-W456,L456),0)</f>
        <v/>
      </c>
      <c r="AC456" s="68">
        <f>IF(AND(Z456=1,U456="Out"),W456,0)</f>
        <v/>
      </c>
      <c r="AD456" s="68">
        <f>IF(AND(Z456=1,U456="In"),W456,0)</f>
        <v/>
      </c>
    </row>
    <row r="457">
      <c r="B457" s="62" t="inlineStr">
        <is>
          <t>TX-0451</t>
        </is>
      </c>
      <c r="C457" s="63" t="n"/>
      <c r="D457" s="62" t="n"/>
      <c r="E457" s="62" t="n"/>
      <c r="F457" s="62" t="n"/>
      <c r="G457" s="62" t="n"/>
      <c r="H457" s="62" t="n"/>
      <c r="I457" s="62" t="n"/>
      <c r="J457" s="62" t="n"/>
      <c r="K457" s="62" t="n"/>
      <c r="L457" s="64" t="n"/>
      <c r="M457" s="64" t="n"/>
      <c r="N457" s="62" t="n"/>
      <c r="O457" s="65">
        <f>IF(Z457=1,L457-W457,"")</f>
        <v/>
      </c>
      <c r="P457" s="66">
        <f>IF(V457="","",IFERROR(INDEX(coa_Type,MATCH(V457,coa_Name,0)),""))</f>
        <v/>
      </c>
      <c r="Q457" s="66">
        <f>IF(Z457=1,IF(U457="In",K457&amp;"",V457),"")</f>
        <v/>
      </c>
      <c r="R457" s="66">
        <f>IF(Z457=1,IF(U457="In",V457,K457&amp;""),"")</f>
        <v/>
      </c>
      <c r="S457" s="66">
        <f>IF(X457&lt;&gt;"","⛔ "&amp;X457&amp;" — not posted",IF(Y457&lt;&gt;"","⚠ "&amp;Y457,IF(Z457=1,"✓ OK","")))</f>
        <v/>
      </c>
      <c r="T457" s="67">
        <f>IF(AND(C457="",D457="",E457="",L457="",K457=""),1,0)</f>
        <v/>
      </c>
      <c r="U457" s="67">
        <f>IFERROR(INDEX(tt_Dir,MATCH(D457,tt_Type,0)),"")</f>
        <v/>
      </c>
      <c r="V457" s="67">
        <f>IF(D457="","",IFERROR(IF(INDEX(tt_Other,MATCH(D457,tt_Type,0))="",E457&amp;"",INDEX(tt_Other,MATCH(D457,tt_Type,0))),""))</f>
        <v/>
      </c>
      <c r="W457" s="68">
        <f>IF(OR(TaxOn&lt;&gt;"Yes",NOT(ISNUMBER(M457))),0,IF(IFERROR(INDEX(tt_Tax,MATCH(D457,tt_Type,0)),"No")="Yes",M457,0))</f>
        <v/>
      </c>
      <c r="X457" s="67">
        <f>IF(T457=1,"",IF(C457="","Missing transaction date",IF(NOT(ISNUMBER(C457)),"Invalid date",IF(OR(C457&lt;DATE(2000,1,1),C457&gt;DATE(2099,12,31)),"Invalid date",IF(D457="","Select a type",IF(U457="","Unknown type: "&amp;D457,IF(V457="","Select an account (Category)",IF(ISNA(MATCH(V457,coa_Name,0)),"Unknown account: "&amp;V457,IF(K457="","Select Paid From / Deposited To",IF(ISNA(MATCH(K457,coa_Name,0)),"Unknown account: "&amp;K457,IF(NOT(ISNUMBER(L457)),"Enter an amount",IF(L457=0,"Enter an amount",IF(ABS(W457)&gt;ABS(L457),"Tax is larger than the amount","")))))))))))))</f>
        <v/>
      </c>
      <c r="Y457" s="67">
        <f>IF(OR(T457=1,X457&lt;&gt;""),"",IF(AND(B457&lt;&gt;"",COUNTIF(tx_ID,B457)&gt;1),"Duplicate transaction ID",IF(AND(L457&lt;0,D457&lt;&gt;"Adjustment"),"Negative amount — check this entry",IF(AND(D457="Customer Payment",G457=""),"Add the customer",IF(AND(D457="Customer Payment",OR(J457="",COUNTIF(ar_No,J457&amp;"")=0)),"Invoice # in Reference not found on AR sheet",IF(AND(D457="Bill Payment",H457=""),"Add the vendor",IF(AND(D457="Bill Payment",OR(J457="",COUNTIFS(ap_No,J457&amp;"",ap_Party,H457&amp;"")=0)),"Bill # + vendor not found on AP sheet",IF(AND(ISNUMBER(M457),N(M457)&lt;&gt;0,W457=0),"Tax ignored (tax tracking off, or not allowed for this type)",IF(V457=K457&amp;"","Same account on both sides",IF(AND(ISNUMBER(StartDate),C457&lt;StartDate),"Date is before the accounting start date",IF(AND(D457&lt;&gt;"Adjustment",IFERROR(INDEX(coa_Pay,MATCH(K457&amp;"",coa_Name,0)),"")&lt;&gt;"Yes"),"Paid From / Deposited To is not a payment account","")))))))))))</f>
        <v/>
      </c>
      <c r="Z457" s="67">
        <f>IF(AND(T457=0,X457=""),1,0)</f>
        <v/>
      </c>
      <c r="AA457" s="68">
        <f>IF(Z457=1,IF(U457="In",L457,L457-W457),0)</f>
        <v/>
      </c>
      <c r="AB457" s="68">
        <f>IF(Z457=1,IF(U457="In",L457-W457,L457),0)</f>
        <v/>
      </c>
      <c r="AC457" s="68">
        <f>IF(AND(Z457=1,U457="Out"),W457,0)</f>
        <v/>
      </c>
      <c r="AD457" s="68">
        <f>IF(AND(Z457=1,U457="In"),W457,0)</f>
        <v/>
      </c>
    </row>
    <row r="458">
      <c r="B458" s="62" t="inlineStr">
        <is>
          <t>TX-0452</t>
        </is>
      </c>
      <c r="C458" s="63" t="n"/>
      <c r="D458" s="62" t="n"/>
      <c r="E458" s="62" t="n"/>
      <c r="F458" s="62" t="n"/>
      <c r="G458" s="62" t="n"/>
      <c r="H458" s="62" t="n"/>
      <c r="I458" s="62" t="n"/>
      <c r="J458" s="62" t="n"/>
      <c r="K458" s="62" t="n"/>
      <c r="L458" s="64" t="n"/>
      <c r="M458" s="64" t="n"/>
      <c r="N458" s="62" t="n"/>
      <c r="O458" s="65">
        <f>IF(Z458=1,L458-W458,"")</f>
        <v/>
      </c>
      <c r="P458" s="66">
        <f>IF(V458="","",IFERROR(INDEX(coa_Type,MATCH(V458,coa_Name,0)),""))</f>
        <v/>
      </c>
      <c r="Q458" s="66">
        <f>IF(Z458=1,IF(U458="In",K458&amp;"",V458),"")</f>
        <v/>
      </c>
      <c r="R458" s="66">
        <f>IF(Z458=1,IF(U458="In",V458,K458&amp;""),"")</f>
        <v/>
      </c>
      <c r="S458" s="66">
        <f>IF(X458&lt;&gt;"","⛔ "&amp;X458&amp;" — not posted",IF(Y458&lt;&gt;"","⚠ "&amp;Y458,IF(Z458=1,"✓ OK","")))</f>
        <v/>
      </c>
      <c r="T458" s="67">
        <f>IF(AND(C458="",D458="",E458="",L458="",K458=""),1,0)</f>
        <v/>
      </c>
      <c r="U458" s="67">
        <f>IFERROR(INDEX(tt_Dir,MATCH(D458,tt_Type,0)),"")</f>
        <v/>
      </c>
      <c r="V458" s="67">
        <f>IF(D458="","",IFERROR(IF(INDEX(tt_Other,MATCH(D458,tt_Type,0))="",E458&amp;"",INDEX(tt_Other,MATCH(D458,tt_Type,0))),""))</f>
        <v/>
      </c>
      <c r="W458" s="68">
        <f>IF(OR(TaxOn&lt;&gt;"Yes",NOT(ISNUMBER(M458))),0,IF(IFERROR(INDEX(tt_Tax,MATCH(D458,tt_Type,0)),"No")="Yes",M458,0))</f>
        <v/>
      </c>
      <c r="X458" s="67">
        <f>IF(T458=1,"",IF(C458="","Missing transaction date",IF(NOT(ISNUMBER(C458)),"Invalid date",IF(OR(C458&lt;DATE(2000,1,1),C458&gt;DATE(2099,12,31)),"Invalid date",IF(D458="","Select a type",IF(U458="","Unknown type: "&amp;D458,IF(V458="","Select an account (Category)",IF(ISNA(MATCH(V458,coa_Name,0)),"Unknown account: "&amp;V458,IF(K458="","Select Paid From / Deposited To",IF(ISNA(MATCH(K458,coa_Name,0)),"Unknown account: "&amp;K458,IF(NOT(ISNUMBER(L458)),"Enter an amount",IF(L458=0,"Enter an amount",IF(ABS(W458)&gt;ABS(L458),"Tax is larger than the amount","")))))))))))))</f>
        <v/>
      </c>
      <c r="Y458" s="67">
        <f>IF(OR(T458=1,X458&lt;&gt;""),"",IF(AND(B458&lt;&gt;"",COUNTIF(tx_ID,B458)&gt;1),"Duplicate transaction ID",IF(AND(L458&lt;0,D458&lt;&gt;"Adjustment"),"Negative amount — check this entry",IF(AND(D458="Customer Payment",G458=""),"Add the customer",IF(AND(D458="Customer Payment",OR(J458="",COUNTIF(ar_No,J458&amp;"")=0)),"Invoice # in Reference not found on AR sheet",IF(AND(D458="Bill Payment",H458=""),"Add the vendor",IF(AND(D458="Bill Payment",OR(J458="",COUNTIFS(ap_No,J458&amp;"",ap_Party,H458&amp;"")=0)),"Bill # + vendor not found on AP sheet",IF(AND(ISNUMBER(M458),N(M458)&lt;&gt;0,W458=0),"Tax ignored (tax tracking off, or not allowed for this type)",IF(V458=K458&amp;"","Same account on both sides",IF(AND(ISNUMBER(StartDate),C458&lt;StartDate),"Date is before the accounting start date",IF(AND(D458&lt;&gt;"Adjustment",IFERROR(INDEX(coa_Pay,MATCH(K458&amp;"",coa_Name,0)),"")&lt;&gt;"Yes"),"Paid From / Deposited To is not a payment account","")))))))))))</f>
        <v/>
      </c>
      <c r="Z458" s="67">
        <f>IF(AND(T458=0,X458=""),1,0)</f>
        <v/>
      </c>
      <c r="AA458" s="68">
        <f>IF(Z458=1,IF(U458="In",L458,L458-W458),0)</f>
        <v/>
      </c>
      <c r="AB458" s="68">
        <f>IF(Z458=1,IF(U458="In",L458-W458,L458),0)</f>
        <v/>
      </c>
      <c r="AC458" s="68">
        <f>IF(AND(Z458=1,U458="Out"),W458,0)</f>
        <v/>
      </c>
      <c r="AD458" s="68">
        <f>IF(AND(Z458=1,U458="In"),W458,0)</f>
        <v/>
      </c>
    </row>
    <row r="459">
      <c r="B459" s="62" t="inlineStr">
        <is>
          <t>TX-0453</t>
        </is>
      </c>
      <c r="C459" s="63" t="n"/>
      <c r="D459" s="62" t="n"/>
      <c r="E459" s="62" t="n"/>
      <c r="F459" s="62" t="n"/>
      <c r="G459" s="62" t="n"/>
      <c r="H459" s="62" t="n"/>
      <c r="I459" s="62" t="n"/>
      <c r="J459" s="62" t="n"/>
      <c r="K459" s="62" t="n"/>
      <c r="L459" s="64" t="n"/>
      <c r="M459" s="64" t="n"/>
      <c r="N459" s="62" t="n"/>
      <c r="O459" s="65">
        <f>IF(Z459=1,L459-W459,"")</f>
        <v/>
      </c>
      <c r="P459" s="66">
        <f>IF(V459="","",IFERROR(INDEX(coa_Type,MATCH(V459,coa_Name,0)),""))</f>
        <v/>
      </c>
      <c r="Q459" s="66">
        <f>IF(Z459=1,IF(U459="In",K459&amp;"",V459),"")</f>
        <v/>
      </c>
      <c r="R459" s="66">
        <f>IF(Z459=1,IF(U459="In",V459,K459&amp;""),"")</f>
        <v/>
      </c>
      <c r="S459" s="66">
        <f>IF(X459&lt;&gt;"","⛔ "&amp;X459&amp;" — not posted",IF(Y459&lt;&gt;"","⚠ "&amp;Y459,IF(Z459=1,"✓ OK","")))</f>
        <v/>
      </c>
      <c r="T459" s="67">
        <f>IF(AND(C459="",D459="",E459="",L459="",K459=""),1,0)</f>
        <v/>
      </c>
      <c r="U459" s="67">
        <f>IFERROR(INDEX(tt_Dir,MATCH(D459,tt_Type,0)),"")</f>
        <v/>
      </c>
      <c r="V459" s="67">
        <f>IF(D459="","",IFERROR(IF(INDEX(tt_Other,MATCH(D459,tt_Type,0))="",E459&amp;"",INDEX(tt_Other,MATCH(D459,tt_Type,0))),""))</f>
        <v/>
      </c>
      <c r="W459" s="68">
        <f>IF(OR(TaxOn&lt;&gt;"Yes",NOT(ISNUMBER(M459))),0,IF(IFERROR(INDEX(tt_Tax,MATCH(D459,tt_Type,0)),"No")="Yes",M459,0))</f>
        <v/>
      </c>
      <c r="X459" s="67">
        <f>IF(T459=1,"",IF(C459="","Missing transaction date",IF(NOT(ISNUMBER(C459)),"Invalid date",IF(OR(C459&lt;DATE(2000,1,1),C459&gt;DATE(2099,12,31)),"Invalid date",IF(D459="","Select a type",IF(U459="","Unknown type: "&amp;D459,IF(V459="","Select an account (Category)",IF(ISNA(MATCH(V459,coa_Name,0)),"Unknown account: "&amp;V459,IF(K459="","Select Paid From / Deposited To",IF(ISNA(MATCH(K459,coa_Name,0)),"Unknown account: "&amp;K459,IF(NOT(ISNUMBER(L459)),"Enter an amount",IF(L459=0,"Enter an amount",IF(ABS(W459)&gt;ABS(L459),"Tax is larger than the amount","")))))))))))))</f>
        <v/>
      </c>
      <c r="Y459" s="67">
        <f>IF(OR(T459=1,X459&lt;&gt;""),"",IF(AND(B459&lt;&gt;"",COUNTIF(tx_ID,B459)&gt;1),"Duplicate transaction ID",IF(AND(L459&lt;0,D459&lt;&gt;"Adjustment"),"Negative amount — check this entry",IF(AND(D459="Customer Payment",G459=""),"Add the customer",IF(AND(D459="Customer Payment",OR(J459="",COUNTIF(ar_No,J459&amp;"")=0)),"Invoice # in Reference not found on AR sheet",IF(AND(D459="Bill Payment",H459=""),"Add the vendor",IF(AND(D459="Bill Payment",OR(J459="",COUNTIFS(ap_No,J459&amp;"",ap_Party,H459&amp;"")=0)),"Bill # + vendor not found on AP sheet",IF(AND(ISNUMBER(M459),N(M459)&lt;&gt;0,W459=0),"Tax ignored (tax tracking off, or not allowed for this type)",IF(V459=K459&amp;"","Same account on both sides",IF(AND(ISNUMBER(StartDate),C459&lt;StartDate),"Date is before the accounting start date",IF(AND(D459&lt;&gt;"Adjustment",IFERROR(INDEX(coa_Pay,MATCH(K459&amp;"",coa_Name,0)),"")&lt;&gt;"Yes"),"Paid From / Deposited To is not a payment account","")))))))))))</f>
        <v/>
      </c>
      <c r="Z459" s="67">
        <f>IF(AND(T459=0,X459=""),1,0)</f>
        <v/>
      </c>
      <c r="AA459" s="68">
        <f>IF(Z459=1,IF(U459="In",L459,L459-W459),0)</f>
        <v/>
      </c>
      <c r="AB459" s="68">
        <f>IF(Z459=1,IF(U459="In",L459-W459,L459),0)</f>
        <v/>
      </c>
      <c r="AC459" s="68">
        <f>IF(AND(Z459=1,U459="Out"),W459,0)</f>
        <v/>
      </c>
      <c r="AD459" s="68">
        <f>IF(AND(Z459=1,U459="In"),W459,0)</f>
        <v/>
      </c>
    </row>
    <row r="460">
      <c r="B460" s="62" t="inlineStr">
        <is>
          <t>TX-0454</t>
        </is>
      </c>
      <c r="C460" s="63" t="n"/>
      <c r="D460" s="62" t="n"/>
      <c r="E460" s="62" t="n"/>
      <c r="F460" s="62" t="n"/>
      <c r="G460" s="62" t="n"/>
      <c r="H460" s="62" t="n"/>
      <c r="I460" s="62" t="n"/>
      <c r="J460" s="62" t="n"/>
      <c r="K460" s="62" t="n"/>
      <c r="L460" s="64" t="n"/>
      <c r="M460" s="64" t="n"/>
      <c r="N460" s="62" t="n"/>
      <c r="O460" s="65">
        <f>IF(Z460=1,L460-W460,"")</f>
        <v/>
      </c>
      <c r="P460" s="66">
        <f>IF(V460="","",IFERROR(INDEX(coa_Type,MATCH(V460,coa_Name,0)),""))</f>
        <v/>
      </c>
      <c r="Q460" s="66">
        <f>IF(Z460=1,IF(U460="In",K460&amp;"",V460),"")</f>
        <v/>
      </c>
      <c r="R460" s="66">
        <f>IF(Z460=1,IF(U460="In",V460,K460&amp;""),"")</f>
        <v/>
      </c>
      <c r="S460" s="66">
        <f>IF(X460&lt;&gt;"","⛔ "&amp;X460&amp;" — not posted",IF(Y460&lt;&gt;"","⚠ "&amp;Y460,IF(Z460=1,"✓ OK","")))</f>
        <v/>
      </c>
      <c r="T460" s="67">
        <f>IF(AND(C460="",D460="",E460="",L460="",K460=""),1,0)</f>
        <v/>
      </c>
      <c r="U460" s="67">
        <f>IFERROR(INDEX(tt_Dir,MATCH(D460,tt_Type,0)),"")</f>
        <v/>
      </c>
      <c r="V460" s="67">
        <f>IF(D460="","",IFERROR(IF(INDEX(tt_Other,MATCH(D460,tt_Type,0))="",E460&amp;"",INDEX(tt_Other,MATCH(D460,tt_Type,0))),""))</f>
        <v/>
      </c>
      <c r="W460" s="68">
        <f>IF(OR(TaxOn&lt;&gt;"Yes",NOT(ISNUMBER(M460))),0,IF(IFERROR(INDEX(tt_Tax,MATCH(D460,tt_Type,0)),"No")="Yes",M460,0))</f>
        <v/>
      </c>
      <c r="X460" s="67">
        <f>IF(T460=1,"",IF(C460="","Missing transaction date",IF(NOT(ISNUMBER(C460)),"Invalid date",IF(OR(C460&lt;DATE(2000,1,1),C460&gt;DATE(2099,12,31)),"Invalid date",IF(D460="","Select a type",IF(U460="","Unknown type: "&amp;D460,IF(V460="","Select an account (Category)",IF(ISNA(MATCH(V460,coa_Name,0)),"Unknown account: "&amp;V460,IF(K460="","Select Paid From / Deposited To",IF(ISNA(MATCH(K460,coa_Name,0)),"Unknown account: "&amp;K460,IF(NOT(ISNUMBER(L460)),"Enter an amount",IF(L460=0,"Enter an amount",IF(ABS(W460)&gt;ABS(L460),"Tax is larger than the amount","")))))))))))))</f>
        <v/>
      </c>
      <c r="Y460" s="67">
        <f>IF(OR(T460=1,X460&lt;&gt;""),"",IF(AND(B460&lt;&gt;"",COUNTIF(tx_ID,B460)&gt;1),"Duplicate transaction ID",IF(AND(L460&lt;0,D460&lt;&gt;"Adjustment"),"Negative amount — check this entry",IF(AND(D460="Customer Payment",G460=""),"Add the customer",IF(AND(D460="Customer Payment",OR(J460="",COUNTIF(ar_No,J460&amp;"")=0)),"Invoice # in Reference not found on AR sheet",IF(AND(D460="Bill Payment",H460=""),"Add the vendor",IF(AND(D460="Bill Payment",OR(J460="",COUNTIFS(ap_No,J460&amp;"",ap_Party,H460&amp;"")=0)),"Bill # + vendor not found on AP sheet",IF(AND(ISNUMBER(M460),N(M460)&lt;&gt;0,W460=0),"Tax ignored (tax tracking off, or not allowed for this type)",IF(V460=K460&amp;"","Same account on both sides",IF(AND(ISNUMBER(StartDate),C460&lt;StartDate),"Date is before the accounting start date",IF(AND(D460&lt;&gt;"Adjustment",IFERROR(INDEX(coa_Pay,MATCH(K460&amp;"",coa_Name,0)),"")&lt;&gt;"Yes"),"Paid From / Deposited To is not a payment account","")))))))))))</f>
        <v/>
      </c>
      <c r="Z460" s="67">
        <f>IF(AND(T460=0,X460=""),1,0)</f>
        <v/>
      </c>
      <c r="AA460" s="68">
        <f>IF(Z460=1,IF(U460="In",L460,L460-W460),0)</f>
        <v/>
      </c>
      <c r="AB460" s="68">
        <f>IF(Z460=1,IF(U460="In",L460-W460,L460),0)</f>
        <v/>
      </c>
      <c r="AC460" s="68">
        <f>IF(AND(Z460=1,U460="Out"),W460,0)</f>
        <v/>
      </c>
      <c r="AD460" s="68">
        <f>IF(AND(Z460=1,U460="In"),W460,0)</f>
        <v/>
      </c>
    </row>
    <row r="461">
      <c r="B461" s="62" t="inlineStr">
        <is>
          <t>TX-0455</t>
        </is>
      </c>
      <c r="C461" s="63" t="n"/>
      <c r="D461" s="62" t="n"/>
      <c r="E461" s="62" t="n"/>
      <c r="F461" s="62" t="n"/>
      <c r="G461" s="62" t="n"/>
      <c r="H461" s="62" t="n"/>
      <c r="I461" s="62" t="n"/>
      <c r="J461" s="62" t="n"/>
      <c r="K461" s="62" t="n"/>
      <c r="L461" s="64" t="n"/>
      <c r="M461" s="64" t="n"/>
      <c r="N461" s="62" t="n"/>
      <c r="O461" s="65">
        <f>IF(Z461=1,L461-W461,"")</f>
        <v/>
      </c>
      <c r="P461" s="66">
        <f>IF(V461="","",IFERROR(INDEX(coa_Type,MATCH(V461,coa_Name,0)),""))</f>
        <v/>
      </c>
      <c r="Q461" s="66">
        <f>IF(Z461=1,IF(U461="In",K461&amp;"",V461),"")</f>
        <v/>
      </c>
      <c r="R461" s="66">
        <f>IF(Z461=1,IF(U461="In",V461,K461&amp;""),"")</f>
        <v/>
      </c>
      <c r="S461" s="66">
        <f>IF(X461&lt;&gt;"","⛔ "&amp;X461&amp;" — not posted",IF(Y461&lt;&gt;"","⚠ "&amp;Y461,IF(Z461=1,"✓ OK","")))</f>
        <v/>
      </c>
      <c r="T461" s="67">
        <f>IF(AND(C461="",D461="",E461="",L461="",K461=""),1,0)</f>
        <v/>
      </c>
      <c r="U461" s="67">
        <f>IFERROR(INDEX(tt_Dir,MATCH(D461,tt_Type,0)),"")</f>
        <v/>
      </c>
      <c r="V461" s="67">
        <f>IF(D461="","",IFERROR(IF(INDEX(tt_Other,MATCH(D461,tt_Type,0))="",E461&amp;"",INDEX(tt_Other,MATCH(D461,tt_Type,0))),""))</f>
        <v/>
      </c>
      <c r="W461" s="68">
        <f>IF(OR(TaxOn&lt;&gt;"Yes",NOT(ISNUMBER(M461))),0,IF(IFERROR(INDEX(tt_Tax,MATCH(D461,tt_Type,0)),"No")="Yes",M461,0))</f>
        <v/>
      </c>
      <c r="X461" s="67">
        <f>IF(T461=1,"",IF(C461="","Missing transaction date",IF(NOT(ISNUMBER(C461)),"Invalid date",IF(OR(C461&lt;DATE(2000,1,1),C461&gt;DATE(2099,12,31)),"Invalid date",IF(D461="","Select a type",IF(U461="","Unknown type: "&amp;D461,IF(V461="","Select an account (Category)",IF(ISNA(MATCH(V461,coa_Name,0)),"Unknown account: "&amp;V461,IF(K461="","Select Paid From / Deposited To",IF(ISNA(MATCH(K461,coa_Name,0)),"Unknown account: "&amp;K461,IF(NOT(ISNUMBER(L461)),"Enter an amount",IF(L461=0,"Enter an amount",IF(ABS(W461)&gt;ABS(L461),"Tax is larger than the amount","")))))))))))))</f>
        <v/>
      </c>
      <c r="Y461" s="67">
        <f>IF(OR(T461=1,X461&lt;&gt;""),"",IF(AND(B461&lt;&gt;"",COUNTIF(tx_ID,B461)&gt;1),"Duplicate transaction ID",IF(AND(L461&lt;0,D461&lt;&gt;"Adjustment"),"Negative amount — check this entry",IF(AND(D461="Customer Payment",G461=""),"Add the customer",IF(AND(D461="Customer Payment",OR(J461="",COUNTIF(ar_No,J461&amp;"")=0)),"Invoice # in Reference not found on AR sheet",IF(AND(D461="Bill Payment",H461=""),"Add the vendor",IF(AND(D461="Bill Payment",OR(J461="",COUNTIFS(ap_No,J461&amp;"",ap_Party,H461&amp;"")=0)),"Bill # + vendor not found on AP sheet",IF(AND(ISNUMBER(M461),N(M461)&lt;&gt;0,W461=0),"Tax ignored (tax tracking off, or not allowed for this type)",IF(V461=K461&amp;"","Same account on both sides",IF(AND(ISNUMBER(StartDate),C461&lt;StartDate),"Date is before the accounting start date",IF(AND(D461&lt;&gt;"Adjustment",IFERROR(INDEX(coa_Pay,MATCH(K461&amp;"",coa_Name,0)),"")&lt;&gt;"Yes"),"Paid From / Deposited To is not a payment account","")))))))))))</f>
        <v/>
      </c>
      <c r="Z461" s="67">
        <f>IF(AND(T461=0,X461=""),1,0)</f>
        <v/>
      </c>
      <c r="AA461" s="68">
        <f>IF(Z461=1,IF(U461="In",L461,L461-W461),0)</f>
        <v/>
      </c>
      <c r="AB461" s="68">
        <f>IF(Z461=1,IF(U461="In",L461-W461,L461),0)</f>
        <v/>
      </c>
      <c r="AC461" s="68">
        <f>IF(AND(Z461=1,U461="Out"),W461,0)</f>
        <v/>
      </c>
      <c r="AD461" s="68">
        <f>IF(AND(Z461=1,U461="In"),W461,0)</f>
        <v/>
      </c>
    </row>
    <row r="462">
      <c r="B462" s="62" t="inlineStr">
        <is>
          <t>TX-0456</t>
        </is>
      </c>
      <c r="C462" s="63" t="n"/>
      <c r="D462" s="62" t="n"/>
      <c r="E462" s="62" t="n"/>
      <c r="F462" s="62" t="n"/>
      <c r="G462" s="62" t="n"/>
      <c r="H462" s="62" t="n"/>
      <c r="I462" s="62" t="n"/>
      <c r="J462" s="62" t="n"/>
      <c r="K462" s="62" t="n"/>
      <c r="L462" s="64" t="n"/>
      <c r="M462" s="64" t="n"/>
      <c r="N462" s="62" t="n"/>
      <c r="O462" s="65">
        <f>IF(Z462=1,L462-W462,"")</f>
        <v/>
      </c>
      <c r="P462" s="66">
        <f>IF(V462="","",IFERROR(INDEX(coa_Type,MATCH(V462,coa_Name,0)),""))</f>
        <v/>
      </c>
      <c r="Q462" s="66">
        <f>IF(Z462=1,IF(U462="In",K462&amp;"",V462),"")</f>
        <v/>
      </c>
      <c r="R462" s="66">
        <f>IF(Z462=1,IF(U462="In",V462,K462&amp;""),"")</f>
        <v/>
      </c>
      <c r="S462" s="66">
        <f>IF(X462&lt;&gt;"","⛔ "&amp;X462&amp;" — not posted",IF(Y462&lt;&gt;"","⚠ "&amp;Y462,IF(Z462=1,"✓ OK","")))</f>
        <v/>
      </c>
      <c r="T462" s="67">
        <f>IF(AND(C462="",D462="",E462="",L462="",K462=""),1,0)</f>
        <v/>
      </c>
      <c r="U462" s="67">
        <f>IFERROR(INDEX(tt_Dir,MATCH(D462,tt_Type,0)),"")</f>
        <v/>
      </c>
      <c r="V462" s="67">
        <f>IF(D462="","",IFERROR(IF(INDEX(tt_Other,MATCH(D462,tt_Type,0))="",E462&amp;"",INDEX(tt_Other,MATCH(D462,tt_Type,0))),""))</f>
        <v/>
      </c>
      <c r="W462" s="68">
        <f>IF(OR(TaxOn&lt;&gt;"Yes",NOT(ISNUMBER(M462))),0,IF(IFERROR(INDEX(tt_Tax,MATCH(D462,tt_Type,0)),"No")="Yes",M462,0))</f>
        <v/>
      </c>
      <c r="X462" s="67">
        <f>IF(T462=1,"",IF(C462="","Missing transaction date",IF(NOT(ISNUMBER(C462)),"Invalid date",IF(OR(C462&lt;DATE(2000,1,1),C462&gt;DATE(2099,12,31)),"Invalid date",IF(D462="","Select a type",IF(U462="","Unknown type: "&amp;D462,IF(V462="","Select an account (Category)",IF(ISNA(MATCH(V462,coa_Name,0)),"Unknown account: "&amp;V462,IF(K462="","Select Paid From / Deposited To",IF(ISNA(MATCH(K462,coa_Name,0)),"Unknown account: "&amp;K462,IF(NOT(ISNUMBER(L462)),"Enter an amount",IF(L462=0,"Enter an amount",IF(ABS(W462)&gt;ABS(L462),"Tax is larger than the amount","")))))))))))))</f>
        <v/>
      </c>
      <c r="Y462" s="67">
        <f>IF(OR(T462=1,X462&lt;&gt;""),"",IF(AND(B462&lt;&gt;"",COUNTIF(tx_ID,B462)&gt;1),"Duplicate transaction ID",IF(AND(L462&lt;0,D462&lt;&gt;"Adjustment"),"Negative amount — check this entry",IF(AND(D462="Customer Payment",G462=""),"Add the customer",IF(AND(D462="Customer Payment",OR(J462="",COUNTIF(ar_No,J462&amp;"")=0)),"Invoice # in Reference not found on AR sheet",IF(AND(D462="Bill Payment",H462=""),"Add the vendor",IF(AND(D462="Bill Payment",OR(J462="",COUNTIFS(ap_No,J462&amp;"",ap_Party,H462&amp;"")=0)),"Bill # + vendor not found on AP sheet",IF(AND(ISNUMBER(M462),N(M462)&lt;&gt;0,W462=0),"Tax ignored (tax tracking off, or not allowed for this type)",IF(V462=K462&amp;"","Same account on both sides",IF(AND(ISNUMBER(StartDate),C462&lt;StartDate),"Date is before the accounting start date",IF(AND(D462&lt;&gt;"Adjustment",IFERROR(INDEX(coa_Pay,MATCH(K462&amp;"",coa_Name,0)),"")&lt;&gt;"Yes"),"Paid From / Deposited To is not a payment account","")))))))))))</f>
        <v/>
      </c>
      <c r="Z462" s="67">
        <f>IF(AND(T462=0,X462=""),1,0)</f>
        <v/>
      </c>
      <c r="AA462" s="68">
        <f>IF(Z462=1,IF(U462="In",L462,L462-W462),0)</f>
        <v/>
      </c>
      <c r="AB462" s="68">
        <f>IF(Z462=1,IF(U462="In",L462-W462,L462),0)</f>
        <v/>
      </c>
      <c r="AC462" s="68">
        <f>IF(AND(Z462=1,U462="Out"),W462,0)</f>
        <v/>
      </c>
      <c r="AD462" s="68">
        <f>IF(AND(Z462=1,U462="In"),W462,0)</f>
        <v/>
      </c>
    </row>
    <row r="463">
      <c r="B463" s="62" t="inlineStr">
        <is>
          <t>TX-0457</t>
        </is>
      </c>
      <c r="C463" s="63" t="n"/>
      <c r="D463" s="62" t="n"/>
      <c r="E463" s="62" t="n"/>
      <c r="F463" s="62" t="n"/>
      <c r="G463" s="62" t="n"/>
      <c r="H463" s="62" t="n"/>
      <c r="I463" s="62" t="n"/>
      <c r="J463" s="62" t="n"/>
      <c r="K463" s="62" t="n"/>
      <c r="L463" s="64" t="n"/>
      <c r="M463" s="64" t="n"/>
      <c r="N463" s="62" t="n"/>
      <c r="O463" s="65">
        <f>IF(Z463=1,L463-W463,"")</f>
        <v/>
      </c>
      <c r="P463" s="66">
        <f>IF(V463="","",IFERROR(INDEX(coa_Type,MATCH(V463,coa_Name,0)),""))</f>
        <v/>
      </c>
      <c r="Q463" s="66">
        <f>IF(Z463=1,IF(U463="In",K463&amp;"",V463),"")</f>
        <v/>
      </c>
      <c r="R463" s="66">
        <f>IF(Z463=1,IF(U463="In",V463,K463&amp;""),"")</f>
        <v/>
      </c>
      <c r="S463" s="66">
        <f>IF(X463&lt;&gt;"","⛔ "&amp;X463&amp;" — not posted",IF(Y463&lt;&gt;"","⚠ "&amp;Y463,IF(Z463=1,"✓ OK","")))</f>
        <v/>
      </c>
      <c r="T463" s="67">
        <f>IF(AND(C463="",D463="",E463="",L463="",K463=""),1,0)</f>
        <v/>
      </c>
      <c r="U463" s="67">
        <f>IFERROR(INDEX(tt_Dir,MATCH(D463,tt_Type,0)),"")</f>
        <v/>
      </c>
      <c r="V463" s="67">
        <f>IF(D463="","",IFERROR(IF(INDEX(tt_Other,MATCH(D463,tt_Type,0))="",E463&amp;"",INDEX(tt_Other,MATCH(D463,tt_Type,0))),""))</f>
        <v/>
      </c>
      <c r="W463" s="68">
        <f>IF(OR(TaxOn&lt;&gt;"Yes",NOT(ISNUMBER(M463))),0,IF(IFERROR(INDEX(tt_Tax,MATCH(D463,tt_Type,0)),"No")="Yes",M463,0))</f>
        <v/>
      </c>
      <c r="X463" s="67">
        <f>IF(T463=1,"",IF(C463="","Missing transaction date",IF(NOT(ISNUMBER(C463)),"Invalid date",IF(OR(C463&lt;DATE(2000,1,1),C463&gt;DATE(2099,12,31)),"Invalid date",IF(D463="","Select a type",IF(U463="","Unknown type: "&amp;D463,IF(V463="","Select an account (Category)",IF(ISNA(MATCH(V463,coa_Name,0)),"Unknown account: "&amp;V463,IF(K463="","Select Paid From / Deposited To",IF(ISNA(MATCH(K463,coa_Name,0)),"Unknown account: "&amp;K463,IF(NOT(ISNUMBER(L463)),"Enter an amount",IF(L463=0,"Enter an amount",IF(ABS(W463)&gt;ABS(L463),"Tax is larger than the amount","")))))))))))))</f>
        <v/>
      </c>
      <c r="Y463" s="67">
        <f>IF(OR(T463=1,X463&lt;&gt;""),"",IF(AND(B463&lt;&gt;"",COUNTIF(tx_ID,B463)&gt;1),"Duplicate transaction ID",IF(AND(L463&lt;0,D463&lt;&gt;"Adjustment"),"Negative amount — check this entry",IF(AND(D463="Customer Payment",G463=""),"Add the customer",IF(AND(D463="Customer Payment",OR(J463="",COUNTIF(ar_No,J463&amp;"")=0)),"Invoice # in Reference not found on AR sheet",IF(AND(D463="Bill Payment",H463=""),"Add the vendor",IF(AND(D463="Bill Payment",OR(J463="",COUNTIFS(ap_No,J463&amp;"",ap_Party,H463&amp;"")=0)),"Bill # + vendor not found on AP sheet",IF(AND(ISNUMBER(M463),N(M463)&lt;&gt;0,W463=0),"Tax ignored (tax tracking off, or not allowed for this type)",IF(V463=K463&amp;"","Same account on both sides",IF(AND(ISNUMBER(StartDate),C463&lt;StartDate),"Date is before the accounting start date",IF(AND(D463&lt;&gt;"Adjustment",IFERROR(INDEX(coa_Pay,MATCH(K463&amp;"",coa_Name,0)),"")&lt;&gt;"Yes"),"Paid From / Deposited To is not a payment account","")))))))))))</f>
        <v/>
      </c>
      <c r="Z463" s="67">
        <f>IF(AND(T463=0,X463=""),1,0)</f>
        <v/>
      </c>
      <c r="AA463" s="68">
        <f>IF(Z463=1,IF(U463="In",L463,L463-W463),0)</f>
        <v/>
      </c>
      <c r="AB463" s="68">
        <f>IF(Z463=1,IF(U463="In",L463-W463,L463),0)</f>
        <v/>
      </c>
      <c r="AC463" s="68">
        <f>IF(AND(Z463=1,U463="Out"),W463,0)</f>
        <v/>
      </c>
      <c r="AD463" s="68">
        <f>IF(AND(Z463=1,U463="In"),W463,0)</f>
        <v/>
      </c>
    </row>
    <row r="464">
      <c r="B464" s="62" t="inlineStr">
        <is>
          <t>TX-0458</t>
        </is>
      </c>
      <c r="C464" s="63" t="n"/>
      <c r="D464" s="62" t="n"/>
      <c r="E464" s="62" t="n"/>
      <c r="F464" s="62" t="n"/>
      <c r="G464" s="62" t="n"/>
      <c r="H464" s="62" t="n"/>
      <c r="I464" s="62" t="n"/>
      <c r="J464" s="62" t="n"/>
      <c r="K464" s="62" t="n"/>
      <c r="L464" s="64" t="n"/>
      <c r="M464" s="64" t="n"/>
      <c r="N464" s="62" t="n"/>
      <c r="O464" s="65">
        <f>IF(Z464=1,L464-W464,"")</f>
        <v/>
      </c>
      <c r="P464" s="66">
        <f>IF(V464="","",IFERROR(INDEX(coa_Type,MATCH(V464,coa_Name,0)),""))</f>
        <v/>
      </c>
      <c r="Q464" s="66">
        <f>IF(Z464=1,IF(U464="In",K464&amp;"",V464),"")</f>
        <v/>
      </c>
      <c r="R464" s="66">
        <f>IF(Z464=1,IF(U464="In",V464,K464&amp;""),"")</f>
        <v/>
      </c>
      <c r="S464" s="66">
        <f>IF(X464&lt;&gt;"","⛔ "&amp;X464&amp;" — not posted",IF(Y464&lt;&gt;"","⚠ "&amp;Y464,IF(Z464=1,"✓ OK","")))</f>
        <v/>
      </c>
      <c r="T464" s="67">
        <f>IF(AND(C464="",D464="",E464="",L464="",K464=""),1,0)</f>
        <v/>
      </c>
      <c r="U464" s="67">
        <f>IFERROR(INDEX(tt_Dir,MATCH(D464,tt_Type,0)),"")</f>
        <v/>
      </c>
      <c r="V464" s="67">
        <f>IF(D464="","",IFERROR(IF(INDEX(tt_Other,MATCH(D464,tt_Type,0))="",E464&amp;"",INDEX(tt_Other,MATCH(D464,tt_Type,0))),""))</f>
        <v/>
      </c>
      <c r="W464" s="68">
        <f>IF(OR(TaxOn&lt;&gt;"Yes",NOT(ISNUMBER(M464))),0,IF(IFERROR(INDEX(tt_Tax,MATCH(D464,tt_Type,0)),"No")="Yes",M464,0))</f>
        <v/>
      </c>
      <c r="X464" s="67">
        <f>IF(T464=1,"",IF(C464="","Missing transaction date",IF(NOT(ISNUMBER(C464)),"Invalid date",IF(OR(C464&lt;DATE(2000,1,1),C464&gt;DATE(2099,12,31)),"Invalid date",IF(D464="","Select a type",IF(U464="","Unknown type: "&amp;D464,IF(V464="","Select an account (Category)",IF(ISNA(MATCH(V464,coa_Name,0)),"Unknown account: "&amp;V464,IF(K464="","Select Paid From / Deposited To",IF(ISNA(MATCH(K464,coa_Name,0)),"Unknown account: "&amp;K464,IF(NOT(ISNUMBER(L464)),"Enter an amount",IF(L464=0,"Enter an amount",IF(ABS(W464)&gt;ABS(L464),"Tax is larger than the amount","")))))))))))))</f>
        <v/>
      </c>
      <c r="Y464" s="67">
        <f>IF(OR(T464=1,X464&lt;&gt;""),"",IF(AND(B464&lt;&gt;"",COUNTIF(tx_ID,B464)&gt;1),"Duplicate transaction ID",IF(AND(L464&lt;0,D464&lt;&gt;"Adjustment"),"Negative amount — check this entry",IF(AND(D464="Customer Payment",G464=""),"Add the customer",IF(AND(D464="Customer Payment",OR(J464="",COUNTIF(ar_No,J464&amp;"")=0)),"Invoice # in Reference not found on AR sheet",IF(AND(D464="Bill Payment",H464=""),"Add the vendor",IF(AND(D464="Bill Payment",OR(J464="",COUNTIFS(ap_No,J464&amp;"",ap_Party,H464&amp;"")=0)),"Bill # + vendor not found on AP sheet",IF(AND(ISNUMBER(M464),N(M464)&lt;&gt;0,W464=0),"Tax ignored (tax tracking off, or not allowed for this type)",IF(V464=K464&amp;"","Same account on both sides",IF(AND(ISNUMBER(StartDate),C464&lt;StartDate),"Date is before the accounting start date",IF(AND(D464&lt;&gt;"Adjustment",IFERROR(INDEX(coa_Pay,MATCH(K464&amp;"",coa_Name,0)),"")&lt;&gt;"Yes"),"Paid From / Deposited To is not a payment account","")))))))))))</f>
        <v/>
      </c>
      <c r="Z464" s="67">
        <f>IF(AND(T464=0,X464=""),1,0)</f>
        <v/>
      </c>
      <c r="AA464" s="68">
        <f>IF(Z464=1,IF(U464="In",L464,L464-W464),0)</f>
        <v/>
      </c>
      <c r="AB464" s="68">
        <f>IF(Z464=1,IF(U464="In",L464-W464,L464),0)</f>
        <v/>
      </c>
      <c r="AC464" s="68">
        <f>IF(AND(Z464=1,U464="Out"),W464,0)</f>
        <v/>
      </c>
      <c r="AD464" s="68">
        <f>IF(AND(Z464=1,U464="In"),W464,0)</f>
        <v/>
      </c>
    </row>
    <row r="465">
      <c r="B465" s="62" t="inlineStr">
        <is>
          <t>TX-0459</t>
        </is>
      </c>
      <c r="C465" s="63" t="n"/>
      <c r="D465" s="62" t="n"/>
      <c r="E465" s="62" t="n"/>
      <c r="F465" s="62" t="n"/>
      <c r="G465" s="62" t="n"/>
      <c r="H465" s="62" t="n"/>
      <c r="I465" s="62" t="n"/>
      <c r="J465" s="62" t="n"/>
      <c r="K465" s="62" t="n"/>
      <c r="L465" s="64" t="n"/>
      <c r="M465" s="64" t="n"/>
      <c r="N465" s="62" t="n"/>
      <c r="O465" s="65">
        <f>IF(Z465=1,L465-W465,"")</f>
        <v/>
      </c>
      <c r="P465" s="66">
        <f>IF(V465="","",IFERROR(INDEX(coa_Type,MATCH(V465,coa_Name,0)),""))</f>
        <v/>
      </c>
      <c r="Q465" s="66">
        <f>IF(Z465=1,IF(U465="In",K465&amp;"",V465),"")</f>
        <v/>
      </c>
      <c r="R465" s="66">
        <f>IF(Z465=1,IF(U465="In",V465,K465&amp;""),"")</f>
        <v/>
      </c>
      <c r="S465" s="66">
        <f>IF(X465&lt;&gt;"","⛔ "&amp;X465&amp;" — not posted",IF(Y465&lt;&gt;"","⚠ "&amp;Y465,IF(Z465=1,"✓ OK","")))</f>
        <v/>
      </c>
      <c r="T465" s="67">
        <f>IF(AND(C465="",D465="",E465="",L465="",K465=""),1,0)</f>
        <v/>
      </c>
      <c r="U465" s="67">
        <f>IFERROR(INDEX(tt_Dir,MATCH(D465,tt_Type,0)),"")</f>
        <v/>
      </c>
      <c r="V465" s="67">
        <f>IF(D465="","",IFERROR(IF(INDEX(tt_Other,MATCH(D465,tt_Type,0))="",E465&amp;"",INDEX(tt_Other,MATCH(D465,tt_Type,0))),""))</f>
        <v/>
      </c>
      <c r="W465" s="68">
        <f>IF(OR(TaxOn&lt;&gt;"Yes",NOT(ISNUMBER(M465))),0,IF(IFERROR(INDEX(tt_Tax,MATCH(D465,tt_Type,0)),"No")="Yes",M465,0))</f>
        <v/>
      </c>
      <c r="X465" s="67">
        <f>IF(T465=1,"",IF(C465="","Missing transaction date",IF(NOT(ISNUMBER(C465)),"Invalid date",IF(OR(C465&lt;DATE(2000,1,1),C465&gt;DATE(2099,12,31)),"Invalid date",IF(D465="","Select a type",IF(U465="","Unknown type: "&amp;D465,IF(V465="","Select an account (Category)",IF(ISNA(MATCH(V465,coa_Name,0)),"Unknown account: "&amp;V465,IF(K465="","Select Paid From / Deposited To",IF(ISNA(MATCH(K465,coa_Name,0)),"Unknown account: "&amp;K465,IF(NOT(ISNUMBER(L465)),"Enter an amount",IF(L465=0,"Enter an amount",IF(ABS(W465)&gt;ABS(L465),"Tax is larger than the amount","")))))))))))))</f>
        <v/>
      </c>
      <c r="Y465" s="67">
        <f>IF(OR(T465=1,X465&lt;&gt;""),"",IF(AND(B465&lt;&gt;"",COUNTIF(tx_ID,B465)&gt;1),"Duplicate transaction ID",IF(AND(L465&lt;0,D465&lt;&gt;"Adjustment"),"Negative amount — check this entry",IF(AND(D465="Customer Payment",G465=""),"Add the customer",IF(AND(D465="Customer Payment",OR(J465="",COUNTIF(ar_No,J465&amp;"")=0)),"Invoice # in Reference not found on AR sheet",IF(AND(D465="Bill Payment",H465=""),"Add the vendor",IF(AND(D465="Bill Payment",OR(J465="",COUNTIFS(ap_No,J465&amp;"",ap_Party,H465&amp;"")=0)),"Bill # + vendor not found on AP sheet",IF(AND(ISNUMBER(M465),N(M465)&lt;&gt;0,W465=0),"Tax ignored (tax tracking off, or not allowed for this type)",IF(V465=K465&amp;"","Same account on both sides",IF(AND(ISNUMBER(StartDate),C465&lt;StartDate),"Date is before the accounting start date",IF(AND(D465&lt;&gt;"Adjustment",IFERROR(INDEX(coa_Pay,MATCH(K465&amp;"",coa_Name,0)),"")&lt;&gt;"Yes"),"Paid From / Deposited To is not a payment account","")))))))))))</f>
        <v/>
      </c>
      <c r="Z465" s="67">
        <f>IF(AND(T465=0,X465=""),1,0)</f>
        <v/>
      </c>
      <c r="AA465" s="68">
        <f>IF(Z465=1,IF(U465="In",L465,L465-W465),0)</f>
        <v/>
      </c>
      <c r="AB465" s="68">
        <f>IF(Z465=1,IF(U465="In",L465-W465,L465),0)</f>
        <v/>
      </c>
      <c r="AC465" s="68">
        <f>IF(AND(Z465=1,U465="Out"),W465,0)</f>
        <v/>
      </c>
      <c r="AD465" s="68">
        <f>IF(AND(Z465=1,U465="In"),W465,0)</f>
        <v/>
      </c>
    </row>
    <row r="466">
      <c r="B466" s="62" t="inlineStr">
        <is>
          <t>TX-0460</t>
        </is>
      </c>
      <c r="C466" s="63" t="n"/>
      <c r="D466" s="62" t="n"/>
      <c r="E466" s="62" t="n"/>
      <c r="F466" s="62" t="n"/>
      <c r="G466" s="62" t="n"/>
      <c r="H466" s="62" t="n"/>
      <c r="I466" s="62" t="n"/>
      <c r="J466" s="62" t="n"/>
      <c r="K466" s="62" t="n"/>
      <c r="L466" s="64" t="n"/>
      <c r="M466" s="64" t="n"/>
      <c r="N466" s="62" t="n"/>
      <c r="O466" s="65">
        <f>IF(Z466=1,L466-W466,"")</f>
        <v/>
      </c>
      <c r="P466" s="66">
        <f>IF(V466="","",IFERROR(INDEX(coa_Type,MATCH(V466,coa_Name,0)),""))</f>
        <v/>
      </c>
      <c r="Q466" s="66">
        <f>IF(Z466=1,IF(U466="In",K466&amp;"",V466),"")</f>
        <v/>
      </c>
      <c r="R466" s="66">
        <f>IF(Z466=1,IF(U466="In",V466,K466&amp;""),"")</f>
        <v/>
      </c>
      <c r="S466" s="66">
        <f>IF(X466&lt;&gt;"","⛔ "&amp;X466&amp;" — not posted",IF(Y466&lt;&gt;"","⚠ "&amp;Y466,IF(Z466=1,"✓ OK","")))</f>
        <v/>
      </c>
      <c r="T466" s="67">
        <f>IF(AND(C466="",D466="",E466="",L466="",K466=""),1,0)</f>
        <v/>
      </c>
      <c r="U466" s="67">
        <f>IFERROR(INDEX(tt_Dir,MATCH(D466,tt_Type,0)),"")</f>
        <v/>
      </c>
      <c r="V466" s="67">
        <f>IF(D466="","",IFERROR(IF(INDEX(tt_Other,MATCH(D466,tt_Type,0))="",E466&amp;"",INDEX(tt_Other,MATCH(D466,tt_Type,0))),""))</f>
        <v/>
      </c>
      <c r="W466" s="68">
        <f>IF(OR(TaxOn&lt;&gt;"Yes",NOT(ISNUMBER(M466))),0,IF(IFERROR(INDEX(tt_Tax,MATCH(D466,tt_Type,0)),"No")="Yes",M466,0))</f>
        <v/>
      </c>
      <c r="X466" s="67">
        <f>IF(T466=1,"",IF(C466="","Missing transaction date",IF(NOT(ISNUMBER(C466)),"Invalid date",IF(OR(C466&lt;DATE(2000,1,1),C466&gt;DATE(2099,12,31)),"Invalid date",IF(D466="","Select a type",IF(U466="","Unknown type: "&amp;D466,IF(V466="","Select an account (Category)",IF(ISNA(MATCH(V466,coa_Name,0)),"Unknown account: "&amp;V466,IF(K466="","Select Paid From / Deposited To",IF(ISNA(MATCH(K466,coa_Name,0)),"Unknown account: "&amp;K466,IF(NOT(ISNUMBER(L466)),"Enter an amount",IF(L466=0,"Enter an amount",IF(ABS(W466)&gt;ABS(L466),"Tax is larger than the amount","")))))))))))))</f>
        <v/>
      </c>
      <c r="Y466" s="67">
        <f>IF(OR(T466=1,X466&lt;&gt;""),"",IF(AND(B466&lt;&gt;"",COUNTIF(tx_ID,B466)&gt;1),"Duplicate transaction ID",IF(AND(L466&lt;0,D466&lt;&gt;"Adjustment"),"Negative amount — check this entry",IF(AND(D466="Customer Payment",G466=""),"Add the customer",IF(AND(D466="Customer Payment",OR(J466="",COUNTIF(ar_No,J466&amp;"")=0)),"Invoice # in Reference not found on AR sheet",IF(AND(D466="Bill Payment",H466=""),"Add the vendor",IF(AND(D466="Bill Payment",OR(J466="",COUNTIFS(ap_No,J466&amp;"",ap_Party,H466&amp;"")=0)),"Bill # + vendor not found on AP sheet",IF(AND(ISNUMBER(M466),N(M466)&lt;&gt;0,W466=0),"Tax ignored (tax tracking off, or not allowed for this type)",IF(V466=K466&amp;"","Same account on both sides",IF(AND(ISNUMBER(StartDate),C466&lt;StartDate),"Date is before the accounting start date",IF(AND(D466&lt;&gt;"Adjustment",IFERROR(INDEX(coa_Pay,MATCH(K466&amp;"",coa_Name,0)),"")&lt;&gt;"Yes"),"Paid From / Deposited To is not a payment account","")))))))))))</f>
        <v/>
      </c>
      <c r="Z466" s="67">
        <f>IF(AND(T466=0,X466=""),1,0)</f>
        <v/>
      </c>
      <c r="AA466" s="68">
        <f>IF(Z466=1,IF(U466="In",L466,L466-W466),0)</f>
        <v/>
      </c>
      <c r="AB466" s="68">
        <f>IF(Z466=1,IF(U466="In",L466-W466,L466),0)</f>
        <v/>
      </c>
      <c r="AC466" s="68">
        <f>IF(AND(Z466=1,U466="Out"),W466,0)</f>
        <v/>
      </c>
      <c r="AD466" s="68">
        <f>IF(AND(Z466=1,U466="In"),W466,0)</f>
        <v/>
      </c>
    </row>
    <row r="467">
      <c r="B467" s="62" t="inlineStr">
        <is>
          <t>TX-0461</t>
        </is>
      </c>
      <c r="C467" s="63" t="n"/>
      <c r="D467" s="62" t="n"/>
      <c r="E467" s="62" t="n"/>
      <c r="F467" s="62" t="n"/>
      <c r="G467" s="62" t="n"/>
      <c r="H467" s="62" t="n"/>
      <c r="I467" s="62" t="n"/>
      <c r="J467" s="62" t="n"/>
      <c r="K467" s="62" t="n"/>
      <c r="L467" s="64" t="n"/>
      <c r="M467" s="64" t="n"/>
      <c r="N467" s="62" t="n"/>
      <c r="O467" s="65">
        <f>IF(Z467=1,L467-W467,"")</f>
        <v/>
      </c>
      <c r="P467" s="66">
        <f>IF(V467="","",IFERROR(INDEX(coa_Type,MATCH(V467,coa_Name,0)),""))</f>
        <v/>
      </c>
      <c r="Q467" s="66">
        <f>IF(Z467=1,IF(U467="In",K467&amp;"",V467),"")</f>
        <v/>
      </c>
      <c r="R467" s="66">
        <f>IF(Z467=1,IF(U467="In",V467,K467&amp;""),"")</f>
        <v/>
      </c>
      <c r="S467" s="66">
        <f>IF(X467&lt;&gt;"","⛔ "&amp;X467&amp;" — not posted",IF(Y467&lt;&gt;"","⚠ "&amp;Y467,IF(Z467=1,"✓ OK","")))</f>
        <v/>
      </c>
      <c r="T467" s="67">
        <f>IF(AND(C467="",D467="",E467="",L467="",K467=""),1,0)</f>
        <v/>
      </c>
      <c r="U467" s="67">
        <f>IFERROR(INDEX(tt_Dir,MATCH(D467,tt_Type,0)),"")</f>
        <v/>
      </c>
      <c r="V467" s="67">
        <f>IF(D467="","",IFERROR(IF(INDEX(tt_Other,MATCH(D467,tt_Type,0))="",E467&amp;"",INDEX(tt_Other,MATCH(D467,tt_Type,0))),""))</f>
        <v/>
      </c>
      <c r="W467" s="68">
        <f>IF(OR(TaxOn&lt;&gt;"Yes",NOT(ISNUMBER(M467))),0,IF(IFERROR(INDEX(tt_Tax,MATCH(D467,tt_Type,0)),"No")="Yes",M467,0))</f>
        <v/>
      </c>
      <c r="X467" s="67">
        <f>IF(T467=1,"",IF(C467="","Missing transaction date",IF(NOT(ISNUMBER(C467)),"Invalid date",IF(OR(C467&lt;DATE(2000,1,1),C467&gt;DATE(2099,12,31)),"Invalid date",IF(D467="","Select a type",IF(U467="","Unknown type: "&amp;D467,IF(V467="","Select an account (Category)",IF(ISNA(MATCH(V467,coa_Name,0)),"Unknown account: "&amp;V467,IF(K467="","Select Paid From / Deposited To",IF(ISNA(MATCH(K467,coa_Name,0)),"Unknown account: "&amp;K467,IF(NOT(ISNUMBER(L467)),"Enter an amount",IF(L467=0,"Enter an amount",IF(ABS(W467)&gt;ABS(L467),"Tax is larger than the amount","")))))))))))))</f>
        <v/>
      </c>
      <c r="Y467" s="67">
        <f>IF(OR(T467=1,X467&lt;&gt;""),"",IF(AND(B467&lt;&gt;"",COUNTIF(tx_ID,B467)&gt;1),"Duplicate transaction ID",IF(AND(L467&lt;0,D467&lt;&gt;"Adjustment"),"Negative amount — check this entry",IF(AND(D467="Customer Payment",G467=""),"Add the customer",IF(AND(D467="Customer Payment",OR(J467="",COUNTIF(ar_No,J467&amp;"")=0)),"Invoice # in Reference not found on AR sheet",IF(AND(D467="Bill Payment",H467=""),"Add the vendor",IF(AND(D467="Bill Payment",OR(J467="",COUNTIFS(ap_No,J467&amp;"",ap_Party,H467&amp;"")=0)),"Bill # + vendor not found on AP sheet",IF(AND(ISNUMBER(M467),N(M467)&lt;&gt;0,W467=0),"Tax ignored (tax tracking off, or not allowed for this type)",IF(V467=K467&amp;"","Same account on both sides",IF(AND(ISNUMBER(StartDate),C467&lt;StartDate),"Date is before the accounting start date",IF(AND(D467&lt;&gt;"Adjustment",IFERROR(INDEX(coa_Pay,MATCH(K467&amp;"",coa_Name,0)),"")&lt;&gt;"Yes"),"Paid From / Deposited To is not a payment account","")))))))))))</f>
        <v/>
      </c>
      <c r="Z467" s="67">
        <f>IF(AND(T467=0,X467=""),1,0)</f>
        <v/>
      </c>
      <c r="AA467" s="68">
        <f>IF(Z467=1,IF(U467="In",L467,L467-W467),0)</f>
        <v/>
      </c>
      <c r="AB467" s="68">
        <f>IF(Z467=1,IF(U467="In",L467-W467,L467),0)</f>
        <v/>
      </c>
      <c r="AC467" s="68">
        <f>IF(AND(Z467=1,U467="Out"),W467,0)</f>
        <v/>
      </c>
      <c r="AD467" s="68">
        <f>IF(AND(Z467=1,U467="In"),W467,0)</f>
        <v/>
      </c>
    </row>
    <row r="468">
      <c r="B468" s="62" t="inlineStr">
        <is>
          <t>TX-0462</t>
        </is>
      </c>
      <c r="C468" s="63" t="n"/>
      <c r="D468" s="62" t="n"/>
      <c r="E468" s="62" t="n"/>
      <c r="F468" s="62" t="n"/>
      <c r="G468" s="62" t="n"/>
      <c r="H468" s="62" t="n"/>
      <c r="I468" s="62" t="n"/>
      <c r="J468" s="62" t="n"/>
      <c r="K468" s="62" t="n"/>
      <c r="L468" s="64" t="n"/>
      <c r="M468" s="64" t="n"/>
      <c r="N468" s="62" t="n"/>
      <c r="O468" s="65">
        <f>IF(Z468=1,L468-W468,"")</f>
        <v/>
      </c>
      <c r="P468" s="66">
        <f>IF(V468="","",IFERROR(INDEX(coa_Type,MATCH(V468,coa_Name,0)),""))</f>
        <v/>
      </c>
      <c r="Q468" s="66">
        <f>IF(Z468=1,IF(U468="In",K468&amp;"",V468),"")</f>
        <v/>
      </c>
      <c r="R468" s="66">
        <f>IF(Z468=1,IF(U468="In",V468,K468&amp;""),"")</f>
        <v/>
      </c>
      <c r="S468" s="66">
        <f>IF(X468&lt;&gt;"","⛔ "&amp;X468&amp;" — not posted",IF(Y468&lt;&gt;"","⚠ "&amp;Y468,IF(Z468=1,"✓ OK","")))</f>
        <v/>
      </c>
      <c r="T468" s="67">
        <f>IF(AND(C468="",D468="",E468="",L468="",K468=""),1,0)</f>
        <v/>
      </c>
      <c r="U468" s="67">
        <f>IFERROR(INDEX(tt_Dir,MATCH(D468,tt_Type,0)),"")</f>
        <v/>
      </c>
      <c r="V468" s="67">
        <f>IF(D468="","",IFERROR(IF(INDEX(tt_Other,MATCH(D468,tt_Type,0))="",E468&amp;"",INDEX(tt_Other,MATCH(D468,tt_Type,0))),""))</f>
        <v/>
      </c>
      <c r="W468" s="68">
        <f>IF(OR(TaxOn&lt;&gt;"Yes",NOT(ISNUMBER(M468))),0,IF(IFERROR(INDEX(tt_Tax,MATCH(D468,tt_Type,0)),"No")="Yes",M468,0))</f>
        <v/>
      </c>
      <c r="X468" s="67">
        <f>IF(T468=1,"",IF(C468="","Missing transaction date",IF(NOT(ISNUMBER(C468)),"Invalid date",IF(OR(C468&lt;DATE(2000,1,1),C468&gt;DATE(2099,12,31)),"Invalid date",IF(D468="","Select a type",IF(U468="","Unknown type: "&amp;D468,IF(V468="","Select an account (Category)",IF(ISNA(MATCH(V468,coa_Name,0)),"Unknown account: "&amp;V468,IF(K468="","Select Paid From / Deposited To",IF(ISNA(MATCH(K468,coa_Name,0)),"Unknown account: "&amp;K468,IF(NOT(ISNUMBER(L468)),"Enter an amount",IF(L468=0,"Enter an amount",IF(ABS(W468)&gt;ABS(L468),"Tax is larger than the amount","")))))))))))))</f>
        <v/>
      </c>
      <c r="Y468" s="67">
        <f>IF(OR(T468=1,X468&lt;&gt;""),"",IF(AND(B468&lt;&gt;"",COUNTIF(tx_ID,B468)&gt;1),"Duplicate transaction ID",IF(AND(L468&lt;0,D468&lt;&gt;"Adjustment"),"Negative amount — check this entry",IF(AND(D468="Customer Payment",G468=""),"Add the customer",IF(AND(D468="Customer Payment",OR(J468="",COUNTIF(ar_No,J468&amp;"")=0)),"Invoice # in Reference not found on AR sheet",IF(AND(D468="Bill Payment",H468=""),"Add the vendor",IF(AND(D468="Bill Payment",OR(J468="",COUNTIFS(ap_No,J468&amp;"",ap_Party,H468&amp;"")=0)),"Bill # + vendor not found on AP sheet",IF(AND(ISNUMBER(M468),N(M468)&lt;&gt;0,W468=0),"Tax ignored (tax tracking off, or not allowed for this type)",IF(V468=K468&amp;"","Same account on both sides",IF(AND(ISNUMBER(StartDate),C468&lt;StartDate),"Date is before the accounting start date",IF(AND(D468&lt;&gt;"Adjustment",IFERROR(INDEX(coa_Pay,MATCH(K468&amp;"",coa_Name,0)),"")&lt;&gt;"Yes"),"Paid From / Deposited To is not a payment account","")))))))))))</f>
        <v/>
      </c>
      <c r="Z468" s="67">
        <f>IF(AND(T468=0,X468=""),1,0)</f>
        <v/>
      </c>
      <c r="AA468" s="68">
        <f>IF(Z468=1,IF(U468="In",L468,L468-W468),0)</f>
        <v/>
      </c>
      <c r="AB468" s="68">
        <f>IF(Z468=1,IF(U468="In",L468-W468,L468),0)</f>
        <v/>
      </c>
      <c r="AC468" s="68">
        <f>IF(AND(Z468=1,U468="Out"),W468,0)</f>
        <v/>
      </c>
      <c r="AD468" s="68">
        <f>IF(AND(Z468=1,U468="In"),W468,0)</f>
        <v/>
      </c>
    </row>
    <row r="469">
      <c r="B469" s="62" t="inlineStr">
        <is>
          <t>TX-0463</t>
        </is>
      </c>
      <c r="C469" s="63" t="n"/>
      <c r="D469" s="62" t="n"/>
      <c r="E469" s="62" t="n"/>
      <c r="F469" s="62" t="n"/>
      <c r="G469" s="62" t="n"/>
      <c r="H469" s="62" t="n"/>
      <c r="I469" s="62" t="n"/>
      <c r="J469" s="62" t="n"/>
      <c r="K469" s="62" t="n"/>
      <c r="L469" s="64" t="n"/>
      <c r="M469" s="64" t="n"/>
      <c r="N469" s="62" t="n"/>
      <c r="O469" s="65">
        <f>IF(Z469=1,L469-W469,"")</f>
        <v/>
      </c>
      <c r="P469" s="66">
        <f>IF(V469="","",IFERROR(INDEX(coa_Type,MATCH(V469,coa_Name,0)),""))</f>
        <v/>
      </c>
      <c r="Q469" s="66">
        <f>IF(Z469=1,IF(U469="In",K469&amp;"",V469),"")</f>
        <v/>
      </c>
      <c r="R469" s="66">
        <f>IF(Z469=1,IF(U469="In",V469,K469&amp;""),"")</f>
        <v/>
      </c>
      <c r="S469" s="66">
        <f>IF(X469&lt;&gt;"","⛔ "&amp;X469&amp;" — not posted",IF(Y469&lt;&gt;"","⚠ "&amp;Y469,IF(Z469=1,"✓ OK","")))</f>
        <v/>
      </c>
      <c r="T469" s="67">
        <f>IF(AND(C469="",D469="",E469="",L469="",K469=""),1,0)</f>
        <v/>
      </c>
      <c r="U469" s="67">
        <f>IFERROR(INDEX(tt_Dir,MATCH(D469,tt_Type,0)),"")</f>
        <v/>
      </c>
      <c r="V469" s="67">
        <f>IF(D469="","",IFERROR(IF(INDEX(tt_Other,MATCH(D469,tt_Type,0))="",E469&amp;"",INDEX(tt_Other,MATCH(D469,tt_Type,0))),""))</f>
        <v/>
      </c>
      <c r="W469" s="68">
        <f>IF(OR(TaxOn&lt;&gt;"Yes",NOT(ISNUMBER(M469))),0,IF(IFERROR(INDEX(tt_Tax,MATCH(D469,tt_Type,0)),"No")="Yes",M469,0))</f>
        <v/>
      </c>
      <c r="X469" s="67">
        <f>IF(T469=1,"",IF(C469="","Missing transaction date",IF(NOT(ISNUMBER(C469)),"Invalid date",IF(OR(C469&lt;DATE(2000,1,1),C469&gt;DATE(2099,12,31)),"Invalid date",IF(D469="","Select a type",IF(U469="","Unknown type: "&amp;D469,IF(V469="","Select an account (Category)",IF(ISNA(MATCH(V469,coa_Name,0)),"Unknown account: "&amp;V469,IF(K469="","Select Paid From / Deposited To",IF(ISNA(MATCH(K469,coa_Name,0)),"Unknown account: "&amp;K469,IF(NOT(ISNUMBER(L469)),"Enter an amount",IF(L469=0,"Enter an amount",IF(ABS(W469)&gt;ABS(L469),"Tax is larger than the amount","")))))))))))))</f>
        <v/>
      </c>
      <c r="Y469" s="67">
        <f>IF(OR(T469=1,X469&lt;&gt;""),"",IF(AND(B469&lt;&gt;"",COUNTIF(tx_ID,B469)&gt;1),"Duplicate transaction ID",IF(AND(L469&lt;0,D469&lt;&gt;"Adjustment"),"Negative amount — check this entry",IF(AND(D469="Customer Payment",G469=""),"Add the customer",IF(AND(D469="Customer Payment",OR(J469="",COUNTIF(ar_No,J469&amp;"")=0)),"Invoice # in Reference not found on AR sheet",IF(AND(D469="Bill Payment",H469=""),"Add the vendor",IF(AND(D469="Bill Payment",OR(J469="",COUNTIFS(ap_No,J469&amp;"",ap_Party,H469&amp;"")=0)),"Bill # + vendor not found on AP sheet",IF(AND(ISNUMBER(M469),N(M469)&lt;&gt;0,W469=0),"Tax ignored (tax tracking off, or not allowed for this type)",IF(V469=K469&amp;"","Same account on both sides",IF(AND(ISNUMBER(StartDate),C469&lt;StartDate),"Date is before the accounting start date",IF(AND(D469&lt;&gt;"Adjustment",IFERROR(INDEX(coa_Pay,MATCH(K469&amp;"",coa_Name,0)),"")&lt;&gt;"Yes"),"Paid From / Deposited To is not a payment account","")))))))))))</f>
        <v/>
      </c>
      <c r="Z469" s="67">
        <f>IF(AND(T469=0,X469=""),1,0)</f>
        <v/>
      </c>
      <c r="AA469" s="68">
        <f>IF(Z469=1,IF(U469="In",L469,L469-W469),0)</f>
        <v/>
      </c>
      <c r="AB469" s="68">
        <f>IF(Z469=1,IF(U469="In",L469-W469,L469),0)</f>
        <v/>
      </c>
      <c r="AC469" s="68">
        <f>IF(AND(Z469=1,U469="Out"),W469,0)</f>
        <v/>
      </c>
      <c r="AD469" s="68">
        <f>IF(AND(Z469=1,U469="In"),W469,0)</f>
        <v/>
      </c>
    </row>
    <row r="470">
      <c r="B470" s="62" t="inlineStr">
        <is>
          <t>TX-0464</t>
        </is>
      </c>
      <c r="C470" s="63" t="n"/>
      <c r="D470" s="62" t="n"/>
      <c r="E470" s="62" t="n"/>
      <c r="F470" s="62" t="n"/>
      <c r="G470" s="62" t="n"/>
      <c r="H470" s="62" t="n"/>
      <c r="I470" s="62" t="n"/>
      <c r="J470" s="62" t="n"/>
      <c r="K470" s="62" t="n"/>
      <c r="L470" s="64" t="n"/>
      <c r="M470" s="64" t="n"/>
      <c r="N470" s="62" t="n"/>
      <c r="O470" s="65">
        <f>IF(Z470=1,L470-W470,"")</f>
        <v/>
      </c>
      <c r="P470" s="66">
        <f>IF(V470="","",IFERROR(INDEX(coa_Type,MATCH(V470,coa_Name,0)),""))</f>
        <v/>
      </c>
      <c r="Q470" s="66">
        <f>IF(Z470=1,IF(U470="In",K470&amp;"",V470),"")</f>
        <v/>
      </c>
      <c r="R470" s="66">
        <f>IF(Z470=1,IF(U470="In",V470,K470&amp;""),"")</f>
        <v/>
      </c>
      <c r="S470" s="66">
        <f>IF(X470&lt;&gt;"","⛔ "&amp;X470&amp;" — not posted",IF(Y470&lt;&gt;"","⚠ "&amp;Y470,IF(Z470=1,"✓ OK","")))</f>
        <v/>
      </c>
      <c r="T470" s="67">
        <f>IF(AND(C470="",D470="",E470="",L470="",K470=""),1,0)</f>
        <v/>
      </c>
      <c r="U470" s="67">
        <f>IFERROR(INDEX(tt_Dir,MATCH(D470,tt_Type,0)),"")</f>
        <v/>
      </c>
      <c r="V470" s="67">
        <f>IF(D470="","",IFERROR(IF(INDEX(tt_Other,MATCH(D470,tt_Type,0))="",E470&amp;"",INDEX(tt_Other,MATCH(D470,tt_Type,0))),""))</f>
        <v/>
      </c>
      <c r="W470" s="68">
        <f>IF(OR(TaxOn&lt;&gt;"Yes",NOT(ISNUMBER(M470))),0,IF(IFERROR(INDEX(tt_Tax,MATCH(D470,tt_Type,0)),"No")="Yes",M470,0))</f>
        <v/>
      </c>
      <c r="X470" s="67">
        <f>IF(T470=1,"",IF(C470="","Missing transaction date",IF(NOT(ISNUMBER(C470)),"Invalid date",IF(OR(C470&lt;DATE(2000,1,1),C470&gt;DATE(2099,12,31)),"Invalid date",IF(D470="","Select a type",IF(U470="","Unknown type: "&amp;D470,IF(V470="","Select an account (Category)",IF(ISNA(MATCH(V470,coa_Name,0)),"Unknown account: "&amp;V470,IF(K470="","Select Paid From / Deposited To",IF(ISNA(MATCH(K470,coa_Name,0)),"Unknown account: "&amp;K470,IF(NOT(ISNUMBER(L470)),"Enter an amount",IF(L470=0,"Enter an amount",IF(ABS(W470)&gt;ABS(L470),"Tax is larger than the amount","")))))))))))))</f>
        <v/>
      </c>
      <c r="Y470" s="67">
        <f>IF(OR(T470=1,X470&lt;&gt;""),"",IF(AND(B470&lt;&gt;"",COUNTIF(tx_ID,B470)&gt;1),"Duplicate transaction ID",IF(AND(L470&lt;0,D470&lt;&gt;"Adjustment"),"Negative amount — check this entry",IF(AND(D470="Customer Payment",G470=""),"Add the customer",IF(AND(D470="Customer Payment",OR(J470="",COUNTIF(ar_No,J470&amp;"")=0)),"Invoice # in Reference not found on AR sheet",IF(AND(D470="Bill Payment",H470=""),"Add the vendor",IF(AND(D470="Bill Payment",OR(J470="",COUNTIFS(ap_No,J470&amp;"",ap_Party,H470&amp;"")=0)),"Bill # + vendor not found on AP sheet",IF(AND(ISNUMBER(M470),N(M470)&lt;&gt;0,W470=0),"Tax ignored (tax tracking off, or not allowed for this type)",IF(V470=K470&amp;"","Same account on both sides",IF(AND(ISNUMBER(StartDate),C470&lt;StartDate),"Date is before the accounting start date",IF(AND(D470&lt;&gt;"Adjustment",IFERROR(INDEX(coa_Pay,MATCH(K470&amp;"",coa_Name,0)),"")&lt;&gt;"Yes"),"Paid From / Deposited To is not a payment account","")))))))))))</f>
        <v/>
      </c>
      <c r="Z470" s="67">
        <f>IF(AND(T470=0,X470=""),1,0)</f>
        <v/>
      </c>
      <c r="AA470" s="68">
        <f>IF(Z470=1,IF(U470="In",L470,L470-W470),0)</f>
        <v/>
      </c>
      <c r="AB470" s="68">
        <f>IF(Z470=1,IF(U470="In",L470-W470,L470),0)</f>
        <v/>
      </c>
      <c r="AC470" s="68">
        <f>IF(AND(Z470=1,U470="Out"),W470,0)</f>
        <v/>
      </c>
      <c r="AD470" s="68">
        <f>IF(AND(Z470=1,U470="In"),W470,0)</f>
        <v/>
      </c>
    </row>
    <row r="471">
      <c r="B471" s="62" t="inlineStr">
        <is>
          <t>TX-0465</t>
        </is>
      </c>
      <c r="C471" s="63" t="n"/>
      <c r="D471" s="62" t="n"/>
      <c r="E471" s="62" t="n"/>
      <c r="F471" s="62" t="n"/>
      <c r="G471" s="62" t="n"/>
      <c r="H471" s="62" t="n"/>
      <c r="I471" s="62" t="n"/>
      <c r="J471" s="62" t="n"/>
      <c r="K471" s="62" t="n"/>
      <c r="L471" s="64" t="n"/>
      <c r="M471" s="64" t="n"/>
      <c r="N471" s="62" t="n"/>
      <c r="O471" s="65">
        <f>IF(Z471=1,L471-W471,"")</f>
        <v/>
      </c>
      <c r="P471" s="66">
        <f>IF(V471="","",IFERROR(INDEX(coa_Type,MATCH(V471,coa_Name,0)),""))</f>
        <v/>
      </c>
      <c r="Q471" s="66">
        <f>IF(Z471=1,IF(U471="In",K471&amp;"",V471),"")</f>
        <v/>
      </c>
      <c r="R471" s="66">
        <f>IF(Z471=1,IF(U471="In",V471,K471&amp;""),"")</f>
        <v/>
      </c>
      <c r="S471" s="66">
        <f>IF(X471&lt;&gt;"","⛔ "&amp;X471&amp;" — not posted",IF(Y471&lt;&gt;"","⚠ "&amp;Y471,IF(Z471=1,"✓ OK","")))</f>
        <v/>
      </c>
      <c r="T471" s="67">
        <f>IF(AND(C471="",D471="",E471="",L471="",K471=""),1,0)</f>
        <v/>
      </c>
      <c r="U471" s="67">
        <f>IFERROR(INDEX(tt_Dir,MATCH(D471,tt_Type,0)),"")</f>
        <v/>
      </c>
      <c r="V471" s="67">
        <f>IF(D471="","",IFERROR(IF(INDEX(tt_Other,MATCH(D471,tt_Type,0))="",E471&amp;"",INDEX(tt_Other,MATCH(D471,tt_Type,0))),""))</f>
        <v/>
      </c>
      <c r="W471" s="68">
        <f>IF(OR(TaxOn&lt;&gt;"Yes",NOT(ISNUMBER(M471))),0,IF(IFERROR(INDEX(tt_Tax,MATCH(D471,tt_Type,0)),"No")="Yes",M471,0))</f>
        <v/>
      </c>
      <c r="X471" s="67">
        <f>IF(T471=1,"",IF(C471="","Missing transaction date",IF(NOT(ISNUMBER(C471)),"Invalid date",IF(OR(C471&lt;DATE(2000,1,1),C471&gt;DATE(2099,12,31)),"Invalid date",IF(D471="","Select a type",IF(U471="","Unknown type: "&amp;D471,IF(V471="","Select an account (Category)",IF(ISNA(MATCH(V471,coa_Name,0)),"Unknown account: "&amp;V471,IF(K471="","Select Paid From / Deposited To",IF(ISNA(MATCH(K471,coa_Name,0)),"Unknown account: "&amp;K471,IF(NOT(ISNUMBER(L471)),"Enter an amount",IF(L471=0,"Enter an amount",IF(ABS(W471)&gt;ABS(L471),"Tax is larger than the amount","")))))))))))))</f>
        <v/>
      </c>
      <c r="Y471" s="67">
        <f>IF(OR(T471=1,X471&lt;&gt;""),"",IF(AND(B471&lt;&gt;"",COUNTIF(tx_ID,B471)&gt;1),"Duplicate transaction ID",IF(AND(L471&lt;0,D471&lt;&gt;"Adjustment"),"Negative amount — check this entry",IF(AND(D471="Customer Payment",G471=""),"Add the customer",IF(AND(D471="Customer Payment",OR(J471="",COUNTIF(ar_No,J471&amp;"")=0)),"Invoice # in Reference not found on AR sheet",IF(AND(D471="Bill Payment",H471=""),"Add the vendor",IF(AND(D471="Bill Payment",OR(J471="",COUNTIFS(ap_No,J471&amp;"",ap_Party,H471&amp;"")=0)),"Bill # + vendor not found on AP sheet",IF(AND(ISNUMBER(M471),N(M471)&lt;&gt;0,W471=0),"Tax ignored (tax tracking off, or not allowed for this type)",IF(V471=K471&amp;"","Same account on both sides",IF(AND(ISNUMBER(StartDate),C471&lt;StartDate),"Date is before the accounting start date",IF(AND(D471&lt;&gt;"Adjustment",IFERROR(INDEX(coa_Pay,MATCH(K471&amp;"",coa_Name,0)),"")&lt;&gt;"Yes"),"Paid From / Deposited To is not a payment account","")))))))))))</f>
        <v/>
      </c>
      <c r="Z471" s="67">
        <f>IF(AND(T471=0,X471=""),1,0)</f>
        <v/>
      </c>
      <c r="AA471" s="68">
        <f>IF(Z471=1,IF(U471="In",L471,L471-W471),0)</f>
        <v/>
      </c>
      <c r="AB471" s="68">
        <f>IF(Z471=1,IF(U471="In",L471-W471,L471),0)</f>
        <v/>
      </c>
      <c r="AC471" s="68">
        <f>IF(AND(Z471=1,U471="Out"),W471,0)</f>
        <v/>
      </c>
      <c r="AD471" s="68">
        <f>IF(AND(Z471=1,U471="In"),W471,0)</f>
        <v/>
      </c>
    </row>
    <row r="472">
      <c r="B472" s="62" t="inlineStr">
        <is>
          <t>TX-0466</t>
        </is>
      </c>
      <c r="C472" s="63" t="n"/>
      <c r="D472" s="62" t="n"/>
      <c r="E472" s="62" t="n"/>
      <c r="F472" s="62" t="n"/>
      <c r="G472" s="62" t="n"/>
      <c r="H472" s="62" t="n"/>
      <c r="I472" s="62" t="n"/>
      <c r="J472" s="62" t="n"/>
      <c r="K472" s="62" t="n"/>
      <c r="L472" s="64" t="n"/>
      <c r="M472" s="64" t="n"/>
      <c r="N472" s="62" t="n"/>
      <c r="O472" s="65">
        <f>IF(Z472=1,L472-W472,"")</f>
        <v/>
      </c>
      <c r="P472" s="66">
        <f>IF(V472="","",IFERROR(INDEX(coa_Type,MATCH(V472,coa_Name,0)),""))</f>
        <v/>
      </c>
      <c r="Q472" s="66">
        <f>IF(Z472=1,IF(U472="In",K472&amp;"",V472),"")</f>
        <v/>
      </c>
      <c r="R472" s="66">
        <f>IF(Z472=1,IF(U472="In",V472,K472&amp;""),"")</f>
        <v/>
      </c>
      <c r="S472" s="66">
        <f>IF(X472&lt;&gt;"","⛔ "&amp;X472&amp;" — not posted",IF(Y472&lt;&gt;"","⚠ "&amp;Y472,IF(Z472=1,"✓ OK","")))</f>
        <v/>
      </c>
      <c r="T472" s="67">
        <f>IF(AND(C472="",D472="",E472="",L472="",K472=""),1,0)</f>
        <v/>
      </c>
      <c r="U472" s="67">
        <f>IFERROR(INDEX(tt_Dir,MATCH(D472,tt_Type,0)),"")</f>
        <v/>
      </c>
      <c r="V472" s="67">
        <f>IF(D472="","",IFERROR(IF(INDEX(tt_Other,MATCH(D472,tt_Type,0))="",E472&amp;"",INDEX(tt_Other,MATCH(D472,tt_Type,0))),""))</f>
        <v/>
      </c>
      <c r="W472" s="68">
        <f>IF(OR(TaxOn&lt;&gt;"Yes",NOT(ISNUMBER(M472))),0,IF(IFERROR(INDEX(tt_Tax,MATCH(D472,tt_Type,0)),"No")="Yes",M472,0))</f>
        <v/>
      </c>
      <c r="X472" s="67">
        <f>IF(T472=1,"",IF(C472="","Missing transaction date",IF(NOT(ISNUMBER(C472)),"Invalid date",IF(OR(C472&lt;DATE(2000,1,1),C472&gt;DATE(2099,12,31)),"Invalid date",IF(D472="","Select a type",IF(U472="","Unknown type: "&amp;D472,IF(V472="","Select an account (Category)",IF(ISNA(MATCH(V472,coa_Name,0)),"Unknown account: "&amp;V472,IF(K472="","Select Paid From / Deposited To",IF(ISNA(MATCH(K472,coa_Name,0)),"Unknown account: "&amp;K472,IF(NOT(ISNUMBER(L472)),"Enter an amount",IF(L472=0,"Enter an amount",IF(ABS(W472)&gt;ABS(L472),"Tax is larger than the amount","")))))))))))))</f>
        <v/>
      </c>
      <c r="Y472" s="67">
        <f>IF(OR(T472=1,X472&lt;&gt;""),"",IF(AND(B472&lt;&gt;"",COUNTIF(tx_ID,B472)&gt;1),"Duplicate transaction ID",IF(AND(L472&lt;0,D472&lt;&gt;"Adjustment"),"Negative amount — check this entry",IF(AND(D472="Customer Payment",G472=""),"Add the customer",IF(AND(D472="Customer Payment",OR(J472="",COUNTIF(ar_No,J472&amp;"")=0)),"Invoice # in Reference not found on AR sheet",IF(AND(D472="Bill Payment",H472=""),"Add the vendor",IF(AND(D472="Bill Payment",OR(J472="",COUNTIFS(ap_No,J472&amp;"",ap_Party,H472&amp;"")=0)),"Bill # + vendor not found on AP sheet",IF(AND(ISNUMBER(M472),N(M472)&lt;&gt;0,W472=0),"Tax ignored (tax tracking off, or not allowed for this type)",IF(V472=K472&amp;"","Same account on both sides",IF(AND(ISNUMBER(StartDate),C472&lt;StartDate),"Date is before the accounting start date",IF(AND(D472&lt;&gt;"Adjustment",IFERROR(INDEX(coa_Pay,MATCH(K472&amp;"",coa_Name,0)),"")&lt;&gt;"Yes"),"Paid From / Deposited To is not a payment account","")))))))))))</f>
        <v/>
      </c>
      <c r="Z472" s="67">
        <f>IF(AND(T472=0,X472=""),1,0)</f>
        <v/>
      </c>
      <c r="AA472" s="68">
        <f>IF(Z472=1,IF(U472="In",L472,L472-W472),0)</f>
        <v/>
      </c>
      <c r="AB472" s="68">
        <f>IF(Z472=1,IF(U472="In",L472-W472,L472),0)</f>
        <v/>
      </c>
      <c r="AC472" s="68">
        <f>IF(AND(Z472=1,U472="Out"),W472,0)</f>
        <v/>
      </c>
      <c r="AD472" s="68">
        <f>IF(AND(Z472=1,U472="In"),W472,0)</f>
        <v/>
      </c>
    </row>
    <row r="473">
      <c r="B473" s="62" t="inlineStr">
        <is>
          <t>TX-0467</t>
        </is>
      </c>
      <c r="C473" s="63" t="n"/>
      <c r="D473" s="62" t="n"/>
      <c r="E473" s="62" t="n"/>
      <c r="F473" s="62" t="n"/>
      <c r="G473" s="62" t="n"/>
      <c r="H473" s="62" t="n"/>
      <c r="I473" s="62" t="n"/>
      <c r="J473" s="62" t="n"/>
      <c r="K473" s="62" t="n"/>
      <c r="L473" s="64" t="n"/>
      <c r="M473" s="64" t="n"/>
      <c r="N473" s="62" t="n"/>
      <c r="O473" s="65">
        <f>IF(Z473=1,L473-W473,"")</f>
        <v/>
      </c>
      <c r="P473" s="66">
        <f>IF(V473="","",IFERROR(INDEX(coa_Type,MATCH(V473,coa_Name,0)),""))</f>
        <v/>
      </c>
      <c r="Q473" s="66">
        <f>IF(Z473=1,IF(U473="In",K473&amp;"",V473),"")</f>
        <v/>
      </c>
      <c r="R473" s="66">
        <f>IF(Z473=1,IF(U473="In",V473,K473&amp;""),"")</f>
        <v/>
      </c>
      <c r="S473" s="66">
        <f>IF(X473&lt;&gt;"","⛔ "&amp;X473&amp;" — not posted",IF(Y473&lt;&gt;"","⚠ "&amp;Y473,IF(Z473=1,"✓ OK","")))</f>
        <v/>
      </c>
      <c r="T473" s="67">
        <f>IF(AND(C473="",D473="",E473="",L473="",K473=""),1,0)</f>
        <v/>
      </c>
      <c r="U473" s="67">
        <f>IFERROR(INDEX(tt_Dir,MATCH(D473,tt_Type,0)),"")</f>
        <v/>
      </c>
      <c r="V473" s="67">
        <f>IF(D473="","",IFERROR(IF(INDEX(tt_Other,MATCH(D473,tt_Type,0))="",E473&amp;"",INDEX(tt_Other,MATCH(D473,tt_Type,0))),""))</f>
        <v/>
      </c>
      <c r="W473" s="68">
        <f>IF(OR(TaxOn&lt;&gt;"Yes",NOT(ISNUMBER(M473))),0,IF(IFERROR(INDEX(tt_Tax,MATCH(D473,tt_Type,0)),"No")="Yes",M473,0))</f>
        <v/>
      </c>
      <c r="X473" s="67">
        <f>IF(T473=1,"",IF(C473="","Missing transaction date",IF(NOT(ISNUMBER(C473)),"Invalid date",IF(OR(C473&lt;DATE(2000,1,1),C473&gt;DATE(2099,12,31)),"Invalid date",IF(D473="","Select a type",IF(U473="","Unknown type: "&amp;D473,IF(V473="","Select an account (Category)",IF(ISNA(MATCH(V473,coa_Name,0)),"Unknown account: "&amp;V473,IF(K473="","Select Paid From / Deposited To",IF(ISNA(MATCH(K473,coa_Name,0)),"Unknown account: "&amp;K473,IF(NOT(ISNUMBER(L473)),"Enter an amount",IF(L473=0,"Enter an amount",IF(ABS(W473)&gt;ABS(L473),"Tax is larger than the amount","")))))))))))))</f>
        <v/>
      </c>
      <c r="Y473" s="67">
        <f>IF(OR(T473=1,X473&lt;&gt;""),"",IF(AND(B473&lt;&gt;"",COUNTIF(tx_ID,B473)&gt;1),"Duplicate transaction ID",IF(AND(L473&lt;0,D473&lt;&gt;"Adjustment"),"Negative amount — check this entry",IF(AND(D473="Customer Payment",G473=""),"Add the customer",IF(AND(D473="Customer Payment",OR(J473="",COUNTIF(ar_No,J473&amp;"")=0)),"Invoice # in Reference not found on AR sheet",IF(AND(D473="Bill Payment",H473=""),"Add the vendor",IF(AND(D473="Bill Payment",OR(J473="",COUNTIFS(ap_No,J473&amp;"",ap_Party,H473&amp;"")=0)),"Bill # + vendor not found on AP sheet",IF(AND(ISNUMBER(M473),N(M473)&lt;&gt;0,W473=0),"Tax ignored (tax tracking off, or not allowed for this type)",IF(V473=K473&amp;"","Same account on both sides",IF(AND(ISNUMBER(StartDate),C473&lt;StartDate),"Date is before the accounting start date",IF(AND(D473&lt;&gt;"Adjustment",IFERROR(INDEX(coa_Pay,MATCH(K473&amp;"",coa_Name,0)),"")&lt;&gt;"Yes"),"Paid From / Deposited To is not a payment account","")))))))))))</f>
        <v/>
      </c>
      <c r="Z473" s="67">
        <f>IF(AND(T473=0,X473=""),1,0)</f>
        <v/>
      </c>
      <c r="AA473" s="68">
        <f>IF(Z473=1,IF(U473="In",L473,L473-W473),0)</f>
        <v/>
      </c>
      <c r="AB473" s="68">
        <f>IF(Z473=1,IF(U473="In",L473-W473,L473),0)</f>
        <v/>
      </c>
      <c r="AC473" s="68">
        <f>IF(AND(Z473=1,U473="Out"),W473,0)</f>
        <v/>
      </c>
      <c r="AD473" s="68">
        <f>IF(AND(Z473=1,U473="In"),W473,0)</f>
        <v/>
      </c>
    </row>
    <row r="474">
      <c r="B474" s="62" t="inlineStr">
        <is>
          <t>TX-0468</t>
        </is>
      </c>
      <c r="C474" s="63" t="n"/>
      <c r="D474" s="62" t="n"/>
      <c r="E474" s="62" t="n"/>
      <c r="F474" s="62" t="n"/>
      <c r="G474" s="62" t="n"/>
      <c r="H474" s="62" t="n"/>
      <c r="I474" s="62" t="n"/>
      <c r="J474" s="62" t="n"/>
      <c r="K474" s="62" t="n"/>
      <c r="L474" s="64" t="n"/>
      <c r="M474" s="64" t="n"/>
      <c r="N474" s="62" t="n"/>
      <c r="O474" s="65">
        <f>IF(Z474=1,L474-W474,"")</f>
        <v/>
      </c>
      <c r="P474" s="66">
        <f>IF(V474="","",IFERROR(INDEX(coa_Type,MATCH(V474,coa_Name,0)),""))</f>
        <v/>
      </c>
      <c r="Q474" s="66">
        <f>IF(Z474=1,IF(U474="In",K474&amp;"",V474),"")</f>
        <v/>
      </c>
      <c r="R474" s="66">
        <f>IF(Z474=1,IF(U474="In",V474,K474&amp;""),"")</f>
        <v/>
      </c>
      <c r="S474" s="66">
        <f>IF(X474&lt;&gt;"","⛔ "&amp;X474&amp;" — not posted",IF(Y474&lt;&gt;"","⚠ "&amp;Y474,IF(Z474=1,"✓ OK","")))</f>
        <v/>
      </c>
      <c r="T474" s="67">
        <f>IF(AND(C474="",D474="",E474="",L474="",K474=""),1,0)</f>
        <v/>
      </c>
      <c r="U474" s="67">
        <f>IFERROR(INDEX(tt_Dir,MATCH(D474,tt_Type,0)),"")</f>
        <v/>
      </c>
      <c r="V474" s="67">
        <f>IF(D474="","",IFERROR(IF(INDEX(tt_Other,MATCH(D474,tt_Type,0))="",E474&amp;"",INDEX(tt_Other,MATCH(D474,tt_Type,0))),""))</f>
        <v/>
      </c>
      <c r="W474" s="68">
        <f>IF(OR(TaxOn&lt;&gt;"Yes",NOT(ISNUMBER(M474))),0,IF(IFERROR(INDEX(tt_Tax,MATCH(D474,tt_Type,0)),"No")="Yes",M474,0))</f>
        <v/>
      </c>
      <c r="X474" s="67">
        <f>IF(T474=1,"",IF(C474="","Missing transaction date",IF(NOT(ISNUMBER(C474)),"Invalid date",IF(OR(C474&lt;DATE(2000,1,1),C474&gt;DATE(2099,12,31)),"Invalid date",IF(D474="","Select a type",IF(U474="","Unknown type: "&amp;D474,IF(V474="","Select an account (Category)",IF(ISNA(MATCH(V474,coa_Name,0)),"Unknown account: "&amp;V474,IF(K474="","Select Paid From / Deposited To",IF(ISNA(MATCH(K474,coa_Name,0)),"Unknown account: "&amp;K474,IF(NOT(ISNUMBER(L474)),"Enter an amount",IF(L474=0,"Enter an amount",IF(ABS(W474)&gt;ABS(L474),"Tax is larger than the amount","")))))))))))))</f>
        <v/>
      </c>
      <c r="Y474" s="67">
        <f>IF(OR(T474=1,X474&lt;&gt;""),"",IF(AND(B474&lt;&gt;"",COUNTIF(tx_ID,B474)&gt;1),"Duplicate transaction ID",IF(AND(L474&lt;0,D474&lt;&gt;"Adjustment"),"Negative amount — check this entry",IF(AND(D474="Customer Payment",G474=""),"Add the customer",IF(AND(D474="Customer Payment",OR(J474="",COUNTIF(ar_No,J474&amp;"")=0)),"Invoice # in Reference not found on AR sheet",IF(AND(D474="Bill Payment",H474=""),"Add the vendor",IF(AND(D474="Bill Payment",OR(J474="",COUNTIFS(ap_No,J474&amp;"",ap_Party,H474&amp;"")=0)),"Bill # + vendor not found on AP sheet",IF(AND(ISNUMBER(M474),N(M474)&lt;&gt;0,W474=0),"Tax ignored (tax tracking off, or not allowed for this type)",IF(V474=K474&amp;"","Same account on both sides",IF(AND(ISNUMBER(StartDate),C474&lt;StartDate),"Date is before the accounting start date",IF(AND(D474&lt;&gt;"Adjustment",IFERROR(INDEX(coa_Pay,MATCH(K474&amp;"",coa_Name,0)),"")&lt;&gt;"Yes"),"Paid From / Deposited To is not a payment account","")))))))))))</f>
        <v/>
      </c>
      <c r="Z474" s="67">
        <f>IF(AND(T474=0,X474=""),1,0)</f>
        <v/>
      </c>
      <c r="AA474" s="68">
        <f>IF(Z474=1,IF(U474="In",L474,L474-W474),0)</f>
        <v/>
      </c>
      <c r="AB474" s="68">
        <f>IF(Z474=1,IF(U474="In",L474-W474,L474),0)</f>
        <v/>
      </c>
      <c r="AC474" s="68">
        <f>IF(AND(Z474=1,U474="Out"),W474,0)</f>
        <v/>
      </c>
      <c r="AD474" s="68">
        <f>IF(AND(Z474=1,U474="In"),W474,0)</f>
        <v/>
      </c>
    </row>
    <row r="475">
      <c r="B475" s="62" t="inlineStr">
        <is>
          <t>TX-0469</t>
        </is>
      </c>
      <c r="C475" s="63" t="n"/>
      <c r="D475" s="62" t="n"/>
      <c r="E475" s="62" t="n"/>
      <c r="F475" s="62" t="n"/>
      <c r="G475" s="62" t="n"/>
      <c r="H475" s="62" t="n"/>
      <c r="I475" s="62" t="n"/>
      <c r="J475" s="62" t="n"/>
      <c r="K475" s="62" t="n"/>
      <c r="L475" s="64" t="n"/>
      <c r="M475" s="64" t="n"/>
      <c r="N475" s="62" t="n"/>
      <c r="O475" s="65">
        <f>IF(Z475=1,L475-W475,"")</f>
        <v/>
      </c>
      <c r="P475" s="66">
        <f>IF(V475="","",IFERROR(INDEX(coa_Type,MATCH(V475,coa_Name,0)),""))</f>
        <v/>
      </c>
      <c r="Q475" s="66">
        <f>IF(Z475=1,IF(U475="In",K475&amp;"",V475),"")</f>
        <v/>
      </c>
      <c r="R475" s="66">
        <f>IF(Z475=1,IF(U475="In",V475,K475&amp;""),"")</f>
        <v/>
      </c>
      <c r="S475" s="66">
        <f>IF(X475&lt;&gt;"","⛔ "&amp;X475&amp;" — not posted",IF(Y475&lt;&gt;"","⚠ "&amp;Y475,IF(Z475=1,"✓ OK","")))</f>
        <v/>
      </c>
      <c r="T475" s="67">
        <f>IF(AND(C475="",D475="",E475="",L475="",K475=""),1,0)</f>
        <v/>
      </c>
      <c r="U475" s="67">
        <f>IFERROR(INDEX(tt_Dir,MATCH(D475,tt_Type,0)),"")</f>
        <v/>
      </c>
      <c r="V475" s="67">
        <f>IF(D475="","",IFERROR(IF(INDEX(tt_Other,MATCH(D475,tt_Type,0))="",E475&amp;"",INDEX(tt_Other,MATCH(D475,tt_Type,0))),""))</f>
        <v/>
      </c>
      <c r="W475" s="68">
        <f>IF(OR(TaxOn&lt;&gt;"Yes",NOT(ISNUMBER(M475))),0,IF(IFERROR(INDEX(tt_Tax,MATCH(D475,tt_Type,0)),"No")="Yes",M475,0))</f>
        <v/>
      </c>
      <c r="X475" s="67">
        <f>IF(T475=1,"",IF(C475="","Missing transaction date",IF(NOT(ISNUMBER(C475)),"Invalid date",IF(OR(C475&lt;DATE(2000,1,1),C475&gt;DATE(2099,12,31)),"Invalid date",IF(D475="","Select a type",IF(U475="","Unknown type: "&amp;D475,IF(V475="","Select an account (Category)",IF(ISNA(MATCH(V475,coa_Name,0)),"Unknown account: "&amp;V475,IF(K475="","Select Paid From / Deposited To",IF(ISNA(MATCH(K475,coa_Name,0)),"Unknown account: "&amp;K475,IF(NOT(ISNUMBER(L475)),"Enter an amount",IF(L475=0,"Enter an amount",IF(ABS(W475)&gt;ABS(L475),"Tax is larger than the amount","")))))))))))))</f>
        <v/>
      </c>
      <c r="Y475" s="67">
        <f>IF(OR(T475=1,X475&lt;&gt;""),"",IF(AND(B475&lt;&gt;"",COUNTIF(tx_ID,B475)&gt;1),"Duplicate transaction ID",IF(AND(L475&lt;0,D475&lt;&gt;"Adjustment"),"Negative amount — check this entry",IF(AND(D475="Customer Payment",G475=""),"Add the customer",IF(AND(D475="Customer Payment",OR(J475="",COUNTIF(ar_No,J475&amp;"")=0)),"Invoice # in Reference not found on AR sheet",IF(AND(D475="Bill Payment",H475=""),"Add the vendor",IF(AND(D475="Bill Payment",OR(J475="",COUNTIFS(ap_No,J475&amp;"",ap_Party,H475&amp;"")=0)),"Bill # + vendor not found on AP sheet",IF(AND(ISNUMBER(M475),N(M475)&lt;&gt;0,W475=0),"Tax ignored (tax tracking off, or not allowed for this type)",IF(V475=K475&amp;"","Same account on both sides",IF(AND(ISNUMBER(StartDate),C475&lt;StartDate),"Date is before the accounting start date",IF(AND(D475&lt;&gt;"Adjustment",IFERROR(INDEX(coa_Pay,MATCH(K475&amp;"",coa_Name,0)),"")&lt;&gt;"Yes"),"Paid From / Deposited To is not a payment account","")))))))))))</f>
        <v/>
      </c>
      <c r="Z475" s="67">
        <f>IF(AND(T475=0,X475=""),1,0)</f>
        <v/>
      </c>
      <c r="AA475" s="68">
        <f>IF(Z475=1,IF(U475="In",L475,L475-W475),0)</f>
        <v/>
      </c>
      <c r="AB475" s="68">
        <f>IF(Z475=1,IF(U475="In",L475-W475,L475),0)</f>
        <v/>
      </c>
      <c r="AC475" s="68">
        <f>IF(AND(Z475=1,U475="Out"),W475,0)</f>
        <v/>
      </c>
      <c r="AD475" s="68">
        <f>IF(AND(Z475=1,U475="In"),W475,0)</f>
        <v/>
      </c>
    </row>
    <row r="476">
      <c r="B476" s="62" t="inlineStr">
        <is>
          <t>TX-0470</t>
        </is>
      </c>
      <c r="C476" s="63" t="n"/>
      <c r="D476" s="62" t="n"/>
      <c r="E476" s="62" t="n"/>
      <c r="F476" s="62" t="n"/>
      <c r="G476" s="62" t="n"/>
      <c r="H476" s="62" t="n"/>
      <c r="I476" s="62" t="n"/>
      <c r="J476" s="62" t="n"/>
      <c r="K476" s="62" t="n"/>
      <c r="L476" s="64" t="n"/>
      <c r="M476" s="64" t="n"/>
      <c r="N476" s="62" t="n"/>
      <c r="O476" s="65">
        <f>IF(Z476=1,L476-W476,"")</f>
        <v/>
      </c>
      <c r="P476" s="66">
        <f>IF(V476="","",IFERROR(INDEX(coa_Type,MATCH(V476,coa_Name,0)),""))</f>
        <v/>
      </c>
      <c r="Q476" s="66">
        <f>IF(Z476=1,IF(U476="In",K476&amp;"",V476),"")</f>
        <v/>
      </c>
      <c r="R476" s="66">
        <f>IF(Z476=1,IF(U476="In",V476,K476&amp;""),"")</f>
        <v/>
      </c>
      <c r="S476" s="66">
        <f>IF(X476&lt;&gt;"","⛔ "&amp;X476&amp;" — not posted",IF(Y476&lt;&gt;"","⚠ "&amp;Y476,IF(Z476=1,"✓ OK","")))</f>
        <v/>
      </c>
      <c r="T476" s="67">
        <f>IF(AND(C476="",D476="",E476="",L476="",K476=""),1,0)</f>
        <v/>
      </c>
      <c r="U476" s="67">
        <f>IFERROR(INDEX(tt_Dir,MATCH(D476,tt_Type,0)),"")</f>
        <v/>
      </c>
      <c r="V476" s="67">
        <f>IF(D476="","",IFERROR(IF(INDEX(tt_Other,MATCH(D476,tt_Type,0))="",E476&amp;"",INDEX(tt_Other,MATCH(D476,tt_Type,0))),""))</f>
        <v/>
      </c>
      <c r="W476" s="68">
        <f>IF(OR(TaxOn&lt;&gt;"Yes",NOT(ISNUMBER(M476))),0,IF(IFERROR(INDEX(tt_Tax,MATCH(D476,tt_Type,0)),"No")="Yes",M476,0))</f>
        <v/>
      </c>
      <c r="X476" s="67">
        <f>IF(T476=1,"",IF(C476="","Missing transaction date",IF(NOT(ISNUMBER(C476)),"Invalid date",IF(OR(C476&lt;DATE(2000,1,1),C476&gt;DATE(2099,12,31)),"Invalid date",IF(D476="","Select a type",IF(U476="","Unknown type: "&amp;D476,IF(V476="","Select an account (Category)",IF(ISNA(MATCH(V476,coa_Name,0)),"Unknown account: "&amp;V476,IF(K476="","Select Paid From / Deposited To",IF(ISNA(MATCH(K476,coa_Name,0)),"Unknown account: "&amp;K476,IF(NOT(ISNUMBER(L476)),"Enter an amount",IF(L476=0,"Enter an amount",IF(ABS(W476)&gt;ABS(L476),"Tax is larger than the amount","")))))))))))))</f>
        <v/>
      </c>
      <c r="Y476" s="67">
        <f>IF(OR(T476=1,X476&lt;&gt;""),"",IF(AND(B476&lt;&gt;"",COUNTIF(tx_ID,B476)&gt;1),"Duplicate transaction ID",IF(AND(L476&lt;0,D476&lt;&gt;"Adjustment"),"Negative amount — check this entry",IF(AND(D476="Customer Payment",G476=""),"Add the customer",IF(AND(D476="Customer Payment",OR(J476="",COUNTIF(ar_No,J476&amp;"")=0)),"Invoice # in Reference not found on AR sheet",IF(AND(D476="Bill Payment",H476=""),"Add the vendor",IF(AND(D476="Bill Payment",OR(J476="",COUNTIFS(ap_No,J476&amp;"",ap_Party,H476&amp;"")=0)),"Bill # + vendor not found on AP sheet",IF(AND(ISNUMBER(M476),N(M476)&lt;&gt;0,W476=0),"Tax ignored (tax tracking off, or not allowed for this type)",IF(V476=K476&amp;"","Same account on both sides",IF(AND(ISNUMBER(StartDate),C476&lt;StartDate),"Date is before the accounting start date",IF(AND(D476&lt;&gt;"Adjustment",IFERROR(INDEX(coa_Pay,MATCH(K476&amp;"",coa_Name,0)),"")&lt;&gt;"Yes"),"Paid From / Deposited To is not a payment account","")))))))))))</f>
        <v/>
      </c>
      <c r="Z476" s="67">
        <f>IF(AND(T476=0,X476=""),1,0)</f>
        <v/>
      </c>
      <c r="AA476" s="68">
        <f>IF(Z476=1,IF(U476="In",L476,L476-W476),0)</f>
        <v/>
      </c>
      <c r="AB476" s="68">
        <f>IF(Z476=1,IF(U476="In",L476-W476,L476),0)</f>
        <v/>
      </c>
      <c r="AC476" s="68">
        <f>IF(AND(Z476=1,U476="Out"),W476,0)</f>
        <v/>
      </c>
      <c r="AD476" s="68">
        <f>IF(AND(Z476=1,U476="In"),W476,0)</f>
        <v/>
      </c>
    </row>
    <row r="477">
      <c r="B477" s="62" t="inlineStr">
        <is>
          <t>TX-0471</t>
        </is>
      </c>
      <c r="C477" s="63" t="n"/>
      <c r="D477" s="62" t="n"/>
      <c r="E477" s="62" t="n"/>
      <c r="F477" s="62" t="n"/>
      <c r="G477" s="62" t="n"/>
      <c r="H477" s="62" t="n"/>
      <c r="I477" s="62" t="n"/>
      <c r="J477" s="62" t="n"/>
      <c r="K477" s="62" t="n"/>
      <c r="L477" s="64" t="n"/>
      <c r="M477" s="64" t="n"/>
      <c r="N477" s="62" t="n"/>
      <c r="O477" s="65">
        <f>IF(Z477=1,L477-W477,"")</f>
        <v/>
      </c>
      <c r="P477" s="66">
        <f>IF(V477="","",IFERROR(INDEX(coa_Type,MATCH(V477,coa_Name,0)),""))</f>
        <v/>
      </c>
      <c r="Q477" s="66">
        <f>IF(Z477=1,IF(U477="In",K477&amp;"",V477),"")</f>
        <v/>
      </c>
      <c r="R477" s="66">
        <f>IF(Z477=1,IF(U477="In",V477,K477&amp;""),"")</f>
        <v/>
      </c>
      <c r="S477" s="66">
        <f>IF(X477&lt;&gt;"","⛔ "&amp;X477&amp;" — not posted",IF(Y477&lt;&gt;"","⚠ "&amp;Y477,IF(Z477=1,"✓ OK","")))</f>
        <v/>
      </c>
      <c r="T477" s="67">
        <f>IF(AND(C477="",D477="",E477="",L477="",K477=""),1,0)</f>
        <v/>
      </c>
      <c r="U477" s="67">
        <f>IFERROR(INDEX(tt_Dir,MATCH(D477,tt_Type,0)),"")</f>
        <v/>
      </c>
      <c r="V477" s="67">
        <f>IF(D477="","",IFERROR(IF(INDEX(tt_Other,MATCH(D477,tt_Type,0))="",E477&amp;"",INDEX(tt_Other,MATCH(D477,tt_Type,0))),""))</f>
        <v/>
      </c>
      <c r="W477" s="68">
        <f>IF(OR(TaxOn&lt;&gt;"Yes",NOT(ISNUMBER(M477))),0,IF(IFERROR(INDEX(tt_Tax,MATCH(D477,tt_Type,0)),"No")="Yes",M477,0))</f>
        <v/>
      </c>
      <c r="X477" s="67">
        <f>IF(T477=1,"",IF(C477="","Missing transaction date",IF(NOT(ISNUMBER(C477)),"Invalid date",IF(OR(C477&lt;DATE(2000,1,1),C477&gt;DATE(2099,12,31)),"Invalid date",IF(D477="","Select a type",IF(U477="","Unknown type: "&amp;D477,IF(V477="","Select an account (Category)",IF(ISNA(MATCH(V477,coa_Name,0)),"Unknown account: "&amp;V477,IF(K477="","Select Paid From / Deposited To",IF(ISNA(MATCH(K477,coa_Name,0)),"Unknown account: "&amp;K477,IF(NOT(ISNUMBER(L477)),"Enter an amount",IF(L477=0,"Enter an amount",IF(ABS(W477)&gt;ABS(L477),"Tax is larger than the amount","")))))))))))))</f>
        <v/>
      </c>
      <c r="Y477" s="67">
        <f>IF(OR(T477=1,X477&lt;&gt;""),"",IF(AND(B477&lt;&gt;"",COUNTIF(tx_ID,B477)&gt;1),"Duplicate transaction ID",IF(AND(L477&lt;0,D477&lt;&gt;"Adjustment"),"Negative amount — check this entry",IF(AND(D477="Customer Payment",G477=""),"Add the customer",IF(AND(D477="Customer Payment",OR(J477="",COUNTIF(ar_No,J477&amp;"")=0)),"Invoice # in Reference not found on AR sheet",IF(AND(D477="Bill Payment",H477=""),"Add the vendor",IF(AND(D477="Bill Payment",OR(J477="",COUNTIFS(ap_No,J477&amp;"",ap_Party,H477&amp;"")=0)),"Bill # + vendor not found on AP sheet",IF(AND(ISNUMBER(M477),N(M477)&lt;&gt;0,W477=0),"Tax ignored (tax tracking off, or not allowed for this type)",IF(V477=K477&amp;"","Same account on both sides",IF(AND(ISNUMBER(StartDate),C477&lt;StartDate),"Date is before the accounting start date",IF(AND(D477&lt;&gt;"Adjustment",IFERROR(INDEX(coa_Pay,MATCH(K477&amp;"",coa_Name,0)),"")&lt;&gt;"Yes"),"Paid From / Deposited To is not a payment account","")))))))))))</f>
        <v/>
      </c>
      <c r="Z477" s="67">
        <f>IF(AND(T477=0,X477=""),1,0)</f>
        <v/>
      </c>
      <c r="AA477" s="68">
        <f>IF(Z477=1,IF(U477="In",L477,L477-W477),0)</f>
        <v/>
      </c>
      <c r="AB477" s="68">
        <f>IF(Z477=1,IF(U477="In",L477-W477,L477),0)</f>
        <v/>
      </c>
      <c r="AC477" s="68">
        <f>IF(AND(Z477=1,U477="Out"),W477,0)</f>
        <v/>
      </c>
      <c r="AD477" s="68">
        <f>IF(AND(Z477=1,U477="In"),W477,0)</f>
        <v/>
      </c>
    </row>
    <row r="478">
      <c r="B478" s="62" t="inlineStr">
        <is>
          <t>TX-0472</t>
        </is>
      </c>
      <c r="C478" s="63" t="n"/>
      <c r="D478" s="62" t="n"/>
      <c r="E478" s="62" t="n"/>
      <c r="F478" s="62" t="n"/>
      <c r="G478" s="62" t="n"/>
      <c r="H478" s="62" t="n"/>
      <c r="I478" s="62" t="n"/>
      <c r="J478" s="62" t="n"/>
      <c r="K478" s="62" t="n"/>
      <c r="L478" s="64" t="n"/>
      <c r="M478" s="64" t="n"/>
      <c r="N478" s="62" t="n"/>
      <c r="O478" s="65">
        <f>IF(Z478=1,L478-W478,"")</f>
        <v/>
      </c>
      <c r="P478" s="66">
        <f>IF(V478="","",IFERROR(INDEX(coa_Type,MATCH(V478,coa_Name,0)),""))</f>
        <v/>
      </c>
      <c r="Q478" s="66">
        <f>IF(Z478=1,IF(U478="In",K478&amp;"",V478),"")</f>
        <v/>
      </c>
      <c r="R478" s="66">
        <f>IF(Z478=1,IF(U478="In",V478,K478&amp;""),"")</f>
        <v/>
      </c>
      <c r="S478" s="66">
        <f>IF(X478&lt;&gt;"","⛔ "&amp;X478&amp;" — not posted",IF(Y478&lt;&gt;"","⚠ "&amp;Y478,IF(Z478=1,"✓ OK","")))</f>
        <v/>
      </c>
      <c r="T478" s="67">
        <f>IF(AND(C478="",D478="",E478="",L478="",K478=""),1,0)</f>
        <v/>
      </c>
      <c r="U478" s="67">
        <f>IFERROR(INDEX(tt_Dir,MATCH(D478,tt_Type,0)),"")</f>
        <v/>
      </c>
      <c r="V478" s="67">
        <f>IF(D478="","",IFERROR(IF(INDEX(tt_Other,MATCH(D478,tt_Type,0))="",E478&amp;"",INDEX(tt_Other,MATCH(D478,tt_Type,0))),""))</f>
        <v/>
      </c>
      <c r="W478" s="68">
        <f>IF(OR(TaxOn&lt;&gt;"Yes",NOT(ISNUMBER(M478))),0,IF(IFERROR(INDEX(tt_Tax,MATCH(D478,tt_Type,0)),"No")="Yes",M478,0))</f>
        <v/>
      </c>
      <c r="X478" s="67">
        <f>IF(T478=1,"",IF(C478="","Missing transaction date",IF(NOT(ISNUMBER(C478)),"Invalid date",IF(OR(C478&lt;DATE(2000,1,1),C478&gt;DATE(2099,12,31)),"Invalid date",IF(D478="","Select a type",IF(U478="","Unknown type: "&amp;D478,IF(V478="","Select an account (Category)",IF(ISNA(MATCH(V478,coa_Name,0)),"Unknown account: "&amp;V478,IF(K478="","Select Paid From / Deposited To",IF(ISNA(MATCH(K478,coa_Name,0)),"Unknown account: "&amp;K478,IF(NOT(ISNUMBER(L478)),"Enter an amount",IF(L478=0,"Enter an amount",IF(ABS(W478)&gt;ABS(L478),"Tax is larger than the amount","")))))))))))))</f>
        <v/>
      </c>
      <c r="Y478" s="67">
        <f>IF(OR(T478=1,X478&lt;&gt;""),"",IF(AND(B478&lt;&gt;"",COUNTIF(tx_ID,B478)&gt;1),"Duplicate transaction ID",IF(AND(L478&lt;0,D478&lt;&gt;"Adjustment"),"Negative amount — check this entry",IF(AND(D478="Customer Payment",G478=""),"Add the customer",IF(AND(D478="Customer Payment",OR(J478="",COUNTIF(ar_No,J478&amp;"")=0)),"Invoice # in Reference not found on AR sheet",IF(AND(D478="Bill Payment",H478=""),"Add the vendor",IF(AND(D478="Bill Payment",OR(J478="",COUNTIFS(ap_No,J478&amp;"",ap_Party,H478&amp;"")=0)),"Bill # + vendor not found on AP sheet",IF(AND(ISNUMBER(M478),N(M478)&lt;&gt;0,W478=0),"Tax ignored (tax tracking off, or not allowed for this type)",IF(V478=K478&amp;"","Same account on both sides",IF(AND(ISNUMBER(StartDate),C478&lt;StartDate),"Date is before the accounting start date",IF(AND(D478&lt;&gt;"Adjustment",IFERROR(INDEX(coa_Pay,MATCH(K478&amp;"",coa_Name,0)),"")&lt;&gt;"Yes"),"Paid From / Deposited To is not a payment account","")))))))))))</f>
        <v/>
      </c>
      <c r="Z478" s="67">
        <f>IF(AND(T478=0,X478=""),1,0)</f>
        <v/>
      </c>
      <c r="AA478" s="68">
        <f>IF(Z478=1,IF(U478="In",L478,L478-W478),0)</f>
        <v/>
      </c>
      <c r="AB478" s="68">
        <f>IF(Z478=1,IF(U478="In",L478-W478,L478),0)</f>
        <v/>
      </c>
      <c r="AC478" s="68">
        <f>IF(AND(Z478=1,U478="Out"),W478,0)</f>
        <v/>
      </c>
      <c r="AD478" s="68">
        <f>IF(AND(Z478=1,U478="In"),W478,0)</f>
        <v/>
      </c>
    </row>
    <row r="479">
      <c r="B479" s="62" t="inlineStr">
        <is>
          <t>TX-0473</t>
        </is>
      </c>
      <c r="C479" s="63" t="n"/>
      <c r="D479" s="62" t="n"/>
      <c r="E479" s="62" t="n"/>
      <c r="F479" s="62" t="n"/>
      <c r="G479" s="62" t="n"/>
      <c r="H479" s="62" t="n"/>
      <c r="I479" s="62" t="n"/>
      <c r="J479" s="62" t="n"/>
      <c r="K479" s="62" t="n"/>
      <c r="L479" s="64" t="n"/>
      <c r="M479" s="64" t="n"/>
      <c r="N479" s="62" t="n"/>
      <c r="O479" s="65">
        <f>IF(Z479=1,L479-W479,"")</f>
        <v/>
      </c>
      <c r="P479" s="66">
        <f>IF(V479="","",IFERROR(INDEX(coa_Type,MATCH(V479,coa_Name,0)),""))</f>
        <v/>
      </c>
      <c r="Q479" s="66">
        <f>IF(Z479=1,IF(U479="In",K479&amp;"",V479),"")</f>
        <v/>
      </c>
      <c r="R479" s="66">
        <f>IF(Z479=1,IF(U479="In",V479,K479&amp;""),"")</f>
        <v/>
      </c>
      <c r="S479" s="66">
        <f>IF(X479&lt;&gt;"","⛔ "&amp;X479&amp;" — not posted",IF(Y479&lt;&gt;"","⚠ "&amp;Y479,IF(Z479=1,"✓ OK","")))</f>
        <v/>
      </c>
      <c r="T479" s="67">
        <f>IF(AND(C479="",D479="",E479="",L479="",K479=""),1,0)</f>
        <v/>
      </c>
      <c r="U479" s="67">
        <f>IFERROR(INDEX(tt_Dir,MATCH(D479,tt_Type,0)),"")</f>
        <v/>
      </c>
      <c r="V479" s="67">
        <f>IF(D479="","",IFERROR(IF(INDEX(tt_Other,MATCH(D479,tt_Type,0))="",E479&amp;"",INDEX(tt_Other,MATCH(D479,tt_Type,0))),""))</f>
        <v/>
      </c>
      <c r="W479" s="68">
        <f>IF(OR(TaxOn&lt;&gt;"Yes",NOT(ISNUMBER(M479))),0,IF(IFERROR(INDEX(tt_Tax,MATCH(D479,tt_Type,0)),"No")="Yes",M479,0))</f>
        <v/>
      </c>
      <c r="X479" s="67">
        <f>IF(T479=1,"",IF(C479="","Missing transaction date",IF(NOT(ISNUMBER(C479)),"Invalid date",IF(OR(C479&lt;DATE(2000,1,1),C479&gt;DATE(2099,12,31)),"Invalid date",IF(D479="","Select a type",IF(U479="","Unknown type: "&amp;D479,IF(V479="","Select an account (Category)",IF(ISNA(MATCH(V479,coa_Name,0)),"Unknown account: "&amp;V479,IF(K479="","Select Paid From / Deposited To",IF(ISNA(MATCH(K479,coa_Name,0)),"Unknown account: "&amp;K479,IF(NOT(ISNUMBER(L479)),"Enter an amount",IF(L479=0,"Enter an amount",IF(ABS(W479)&gt;ABS(L479),"Tax is larger than the amount","")))))))))))))</f>
        <v/>
      </c>
      <c r="Y479" s="67">
        <f>IF(OR(T479=1,X479&lt;&gt;""),"",IF(AND(B479&lt;&gt;"",COUNTIF(tx_ID,B479)&gt;1),"Duplicate transaction ID",IF(AND(L479&lt;0,D479&lt;&gt;"Adjustment"),"Negative amount — check this entry",IF(AND(D479="Customer Payment",G479=""),"Add the customer",IF(AND(D479="Customer Payment",OR(J479="",COUNTIF(ar_No,J479&amp;"")=0)),"Invoice # in Reference not found on AR sheet",IF(AND(D479="Bill Payment",H479=""),"Add the vendor",IF(AND(D479="Bill Payment",OR(J479="",COUNTIFS(ap_No,J479&amp;"",ap_Party,H479&amp;"")=0)),"Bill # + vendor not found on AP sheet",IF(AND(ISNUMBER(M479),N(M479)&lt;&gt;0,W479=0),"Tax ignored (tax tracking off, or not allowed for this type)",IF(V479=K479&amp;"","Same account on both sides",IF(AND(ISNUMBER(StartDate),C479&lt;StartDate),"Date is before the accounting start date",IF(AND(D479&lt;&gt;"Adjustment",IFERROR(INDEX(coa_Pay,MATCH(K479&amp;"",coa_Name,0)),"")&lt;&gt;"Yes"),"Paid From / Deposited To is not a payment account","")))))))))))</f>
        <v/>
      </c>
      <c r="Z479" s="67">
        <f>IF(AND(T479=0,X479=""),1,0)</f>
        <v/>
      </c>
      <c r="AA479" s="68">
        <f>IF(Z479=1,IF(U479="In",L479,L479-W479),0)</f>
        <v/>
      </c>
      <c r="AB479" s="68">
        <f>IF(Z479=1,IF(U479="In",L479-W479,L479),0)</f>
        <v/>
      </c>
      <c r="AC479" s="68">
        <f>IF(AND(Z479=1,U479="Out"),W479,0)</f>
        <v/>
      </c>
      <c r="AD479" s="68">
        <f>IF(AND(Z479=1,U479="In"),W479,0)</f>
        <v/>
      </c>
    </row>
    <row r="480">
      <c r="B480" s="62" t="inlineStr">
        <is>
          <t>TX-0474</t>
        </is>
      </c>
      <c r="C480" s="63" t="n"/>
      <c r="D480" s="62" t="n"/>
      <c r="E480" s="62" t="n"/>
      <c r="F480" s="62" t="n"/>
      <c r="G480" s="62" t="n"/>
      <c r="H480" s="62" t="n"/>
      <c r="I480" s="62" t="n"/>
      <c r="J480" s="62" t="n"/>
      <c r="K480" s="62" t="n"/>
      <c r="L480" s="64" t="n"/>
      <c r="M480" s="64" t="n"/>
      <c r="N480" s="62" t="n"/>
      <c r="O480" s="65">
        <f>IF(Z480=1,L480-W480,"")</f>
        <v/>
      </c>
      <c r="P480" s="66">
        <f>IF(V480="","",IFERROR(INDEX(coa_Type,MATCH(V480,coa_Name,0)),""))</f>
        <v/>
      </c>
      <c r="Q480" s="66">
        <f>IF(Z480=1,IF(U480="In",K480&amp;"",V480),"")</f>
        <v/>
      </c>
      <c r="R480" s="66">
        <f>IF(Z480=1,IF(U480="In",V480,K480&amp;""),"")</f>
        <v/>
      </c>
      <c r="S480" s="66">
        <f>IF(X480&lt;&gt;"","⛔ "&amp;X480&amp;" — not posted",IF(Y480&lt;&gt;"","⚠ "&amp;Y480,IF(Z480=1,"✓ OK","")))</f>
        <v/>
      </c>
      <c r="T480" s="67">
        <f>IF(AND(C480="",D480="",E480="",L480="",K480=""),1,0)</f>
        <v/>
      </c>
      <c r="U480" s="67">
        <f>IFERROR(INDEX(tt_Dir,MATCH(D480,tt_Type,0)),"")</f>
        <v/>
      </c>
      <c r="V480" s="67">
        <f>IF(D480="","",IFERROR(IF(INDEX(tt_Other,MATCH(D480,tt_Type,0))="",E480&amp;"",INDEX(tt_Other,MATCH(D480,tt_Type,0))),""))</f>
        <v/>
      </c>
      <c r="W480" s="68">
        <f>IF(OR(TaxOn&lt;&gt;"Yes",NOT(ISNUMBER(M480))),0,IF(IFERROR(INDEX(tt_Tax,MATCH(D480,tt_Type,0)),"No")="Yes",M480,0))</f>
        <v/>
      </c>
      <c r="X480" s="67">
        <f>IF(T480=1,"",IF(C480="","Missing transaction date",IF(NOT(ISNUMBER(C480)),"Invalid date",IF(OR(C480&lt;DATE(2000,1,1),C480&gt;DATE(2099,12,31)),"Invalid date",IF(D480="","Select a type",IF(U480="","Unknown type: "&amp;D480,IF(V480="","Select an account (Category)",IF(ISNA(MATCH(V480,coa_Name,0)),"Unknown account: "&amp;V480,IF(K480="","Select Paid From / Deposited To",IF(ISNA(MATCH(K480,coa_Name,0)),"Unknown account: "&amp;K480,IF(NOT(ISNUMBER(L480)),"Enter an amount",IF(L480=0,"Enter an amount",IF(ABS(W480)&gt;ABS(L480),"Tax is larger than the amount","")))))))))))))</f>
        <v/>
      </c>
      <c r="Y480" s="67">
        <f>IF(OR(T480=1,X480&lt;&gt;""),"",IF(AND(B480&lt;&gt;"",COUNTIF(tx_ID,B480)&gt;1),"Duplicate transaction ID",IF(AND(L480&lt;0,D480&lt;&gt;"Adjustment"),"Negative amount — check this entry",IF(AND(D480="Customer Payment",G480=""),"Add the customer",IF(AND(D480="Customer Payment",OR(J480="",COUNTIF(ar_No,J480&amp;"")=0)),"Invoice # in Reference not found on AR sheet",IF(AND(D480="Bill Payment",H480=""),"Add the vendor",IF(AND(D480="Bill Payment",OR(J480="",COUNTIFS(ap_No,J480&amp;"",ap_Party,H480&amp;"")=0)),"Bill # + vendor not found on AP sheet",IF(AND(ISNUMBER(M480),N(M480)&lt;&gt;0,W480=0),"Tax ignored (tax tracking off, or not allowed for this type)",IF(V480=K480&amp;"","Same account on both sides",IF(AND(ISNUMBER(StartDate),C480&lt;StartDate),"Date is before the accounting start date",IF(AND(D480&lt;&gt;"Adjustment",IFERROR(INDEX(coa_Pay,MATCH(K480&amp;"",coa_Name,0)),"")&lt;&gt;"Yes"),"Paid From / Deposited To is not a payment account","")))))))))))</f>
        <v/>
      </c>
      <c r="Z480" s="67">
        <f>IF(AND(T480=0,X480=""),1,0)</f>
        <v/>
      </c>
      <c r="AA480" s="68">
        <f>IF(Z480=1,IF(U480="In",L480,L480-W480),0)</f>
        <v/>
      </c>
      <c r="AB480" s="68">
        <f>IF(Z480=1,IF(U480="In",L480-W480,L480),0)</f>
        <v/>
      </c>
      <c r="AC480" s="68">
        <f>IF(AND(Z480=1,U480="Out"),W480,0)</f>
        <v/>
      </c>
      <c r="AD480" s="68">
        <f>IF(AND(Z480=1,U480="In"),W480,0)</f>
        <v/>
      </c>
    </row>
    <row r="481">
      <c r="B481" s="62" t="inlineStr">
        <is>
          <t>TX-0475</t>
        </is>
      </c>
      <c r="C481" s="63" t="n"/>
      <c r="D481" s="62" t="n"/>
      <c r="E481" s="62" t="n"/>
      <c r="F481" s="62" t="n"/>
      <c r="G481" s="62" t="n"/>
      <c r="H481" s="62" t="n"/>
      <c r="I481" s="62" t="n"/>
      <c r="J481" s="62" t="n"/>
      <c r="K481" s="62" t="n"/>
      <c r="L481" s="64" t="n"/>
      <c r="M481" s="64" t="n"/>
      <c r="N481" s="62" t="n"/>
      <c r="O481" s="65">
        <f>IF(Z481=1,L481-W481,"")</f>
        <v/>
      </c>
      <c r="P481" s="66">
        <f>IF(V481="","",IFERROR(INDEX(coa_Type,MATCH(V481,coa_Name,0)),""))</f>
        <v/>
      </c>
      <c r="Q481" s="66">
        <f>IF(Z481=1,IF(U481="In",K481&amp;"",V481),"")</f>
        <v/>
      </c>
      <c r="R481" s="66">
        <f>IF(Z481=1,IF(U481="In",V481,K481&amp;""),"")</f>
        <v/>
      </c>
      <c r="S481" s="66">
        <f>IF(X481&lt;&gt;"","⛔ "&amp;X481&amp;" — not posted",IF(Y481&lt;&gt;"","⚠ "&amp;Y481,IF(Z481=1,"✓ OK","")))</f>
        <v/>
      </c>
      <c r="T481" s="67">
        <f>IF(AND(C481="",D481="",E481="",L481="",K481=""),1,0)</f>
        <v/>
      </c>
      <c r="U481" s="67">
        <f>IFERROR(INDEX(tt_Dir,MATCH(D481,tt_Type,0)),"")</f>
        <v/>
      </c>
      <c r="V481" s="67">
        <f>IF(D481="","",IFERROR(IF(INDEX(tt_Other,MATCH(D481,tt_Type,0))="",E481&amp;"",INDEX(tt_Other,MATCH(D481,tt_Type,0))),""))</f>
        <v/>
      </c>
      <c r="W481" s="68">
        <f>IF(OR(TaxOn&lt;&gt;"Yes",NOT(ISNUMBER(M481))),0,IF(IFERROR(INDEX(tt_Tax,MATCH(D481,tt_Type,0)),"No")="Yes",M481,0))</f>
        <v/>
      </c>
      <c r="X481" s="67">
        <f>IF(T481=1,"",IF(C481="","Missing transaction date",IF(NOT(ISNUMBER(C481)),"Invalid date",IF(OR(C481&lt;DATE(2000,1,1),C481&gt;DATE(2099,12,31)),"Invalid date",IF(D481="","Select a type",IF(U481="","Unknown type: "&amp;D481,IF(V481="","Select an account (Category)",IF(ISNA(MATCH(V481,coa_Name,0)),"Unknown account: "&amp;V481,IF(K481="","Select Paid From / Deposited To",IF(ISNA(MATCH(K481,coa_Name,0)),"Unknown account: "&amp;K481,IF(NOT(ISNUMBER(L481)),"Enter an amount",IF(L481=0,"Enter an amount",IF(ABS(W481)&gt;ABS(L481),"Tax is larger than the amount","")))))))))))))</f>
        <v/>
      </c>
      <c r="Y481" s="67">
        <f>IF(OR(T481=1,X481&lt;&gt;""),"",IF(AND(B481&lt;&gt;"",COUNTIF(tx_ID,B481)&gt;1),"Duplicate transaction ID",IF(AND(L481&lt;0,D481&lt;&gt;"Adjustment"),"Negative amount — check this entry",IF(AND(D481="Customer Payment",G481=""),"Add the customer",IF(AND(D481="Customer Payment",OR(J481="",COUNTIF(ar_No,J481&amp;"")=0)),"Invoice # in Reference not found on AR sheet",IF(AND(D481="Bill Payment",H481=""),"Add the vendor",IF(AND(D481="Bill Payment",OR(J481="",COUNTIFS(ap_No,J481&amp;"",ap_Party,H481&amp;"")=0)),"Bill # + vendor not found on AP sheet",IF(AND(ISNUMBER(M481),N(M481)&lt;&gt;0,W481=0),"Tax ignored (tax tracking off, or not allowed for this type)",IF(V481=K481&amp;"","Same account on both sides",IF(AND(ISNUMBER(StartDate),C481&lt;StartDate),"Date is before the accounting start date",IF(AND(D481&lt;&gt;"Adjustment",IFERROR(INDEX(coa_Pay,MATCH(K481&amp;"",coa_Name,0)),"")&lt;&gt;"Yes"),"Paid From / Deposited To is not a payment account","")))))))))))</f>
        <v/>
      </c>
      <c r="Z481" s="67">
        <f>IF(AND(T481=0,X481=""),1,0)</f>
        <v/>
      </c>
      <c r="AA481" s="68">
        <f>IF(Z481=1,IF(U481="In",L481,L481-W481),0)</f>
        <v/>
      </c>
      <c r="AB481" s="68">
        <f>IF(Z481=1,IF(U481="In",L481-W481,L481),0)</f>
        <v/>
      </c>
      <c r="AC481" s="68">
        <f>IF(AND(Z481=1,U481="Out"),W481,0)</f>
        <v/>
      </c>
      <c r="AD481" s="68">
        <f>IF(AND(Z481=1,U481="In"),W481,0)</f>
        <v/>
      </c>
    </row>
    <row r="482">
      <c r="B482" s="62" t="inlineStr">
        <is>
          <t>TX-0476</t>
        </is>
      </c>
      <c r="C482" s="63" t="n"/>
      <c r="D482" s="62" t="n"/>
      <c r="E482" s="62" t="n"/>
      <c r="F482" s="62" t="n"/>
      <c r="G482" s="62" t="n"/>
      <c r="H482" s="62" t="n"/>
      <c r="I482" s="62" t="n"/>
      <c r="J482" s="62" t="n"/>
      <c r="K482" s="62" t="n"/>
      <c r="L482" s="64" t="n"/>
      <c r="M482" s="64" t="n"/>
      <c r="N482" s="62" t="n"/>
      <c r="O482" s="65">
        <f>IF(Z482=1,L482-W482,"")</f>
        <v/>
      </c>
      <c r="P482" s="66">
        <f>IF(V482="","",IFERROR(INDEX(coa_Type,MATCH(V482,coa_Name,0)),""))</f>
        <v/>
      </c>
      <c r="Q482" s="66">
        <f>IF(Z482=1,IF(U482="In",K482&amp;"",V482),"")</f>
        <v/>
      </c>
      <c r="R482" s="66">
        <f>IF(Z482=1,IF(U482="In",V482,K482&amp;""),"")</f>
        <v/>
      </c>
      <c r="S482" s="66">
        <f>IF(X482&lt;&gt;"","⛔ "&amp;X482&amp;" — not posted",IF(Y482&lt;&gt;"","⚠ "&amp;Y482,IF(Z482=1,"✓ OK","")))</f>
        <v/>
      </c>
      <c r="T482" s="67">
        <f>IF(AND(C482="",D482="",E482="",L482="",K482=""),1,0)</f>
        <v/>
      </c>
      <c r="U482" s="67">
        <f>IFERROR(INDEX(tt_Dir,MATCH(D482,tt_Type,0)),"")</f>
        <v/>
      </c>
      <c r="V482" s="67">
        <f>IF(D482="","",IFERROR(IF(INDEX(tt_Other,MATCH(D482,tt_Type,0))="",E482&amp;"",INDEX(tt_Other,MATCH(D482,tt_Type,0))),""))</f>
        <v/>
      </c>
      <c r="W482" s="68">
        <f>IF(OR(TaxOn&lt;&gt;"Yes",NOT(ISNUMBER(M482))),0,IF(IFERROR(INDEX(tt_Tax,MATCH(D482,tt_Type,0)),"No")="Yes",M482,0))</f>
        <v/>
      </c>
      <c r="X482" s="67">
        <f>IF(T482=1,"",IF(C482="","Missing transaction date",IF(NOT(ISNUMBER(C482)),"Invalid date",IF(OR(C482&lt;DATE(2000,1,1),C482&gt;DATE(2099,12,31)),"Invalid date",IF(D482="","Select a type",IF(U482="","Unknown type: "&amp;D482,IF(V482="","Select an account (Category)",IF(ISNA(MATCH(V482,coa_Name,0)),"Unknown account: "&amp;V482,IF(K482="","Select Paid From / Deposited To",IF(ISNA(MATCH(K482,coa_Name,0)),"Unknown account: "&amp;K482,IF(NOT(ISNUMBER(L482)),"Enter an amount",IF(L482=0,"Enter an amount",IF(ABS(W482)&gt;ABS(L482),"Tax is larger than the amount","")))))))))))))</f>
        <v/>
      </c>
      <c r="Y482" s="67">
        <f>IF(OR(T482=1,X482&lt;&gt;""),"",IF(AND(B482&lt;&gt;"",COUNTIF(tx_ID,B482)&gt;1),"Duplicate transaction ID",IF(AND(L482&lt;0,D482&lt;&gt;"Adjustment"),"Negative amount — check this entry",IF(AND(D482="Customer Payment",G482=""),"Add the customer",IF(AND(D482="Customer Payment",OR(J482="",COUNTIF(ar_No,J482&amp;"")=0)),"Invoice # in Reference not found on AR sheet",IF(AND(D482="Bill Payment",H482=""),"Add the vendor",IF(AND(D482="Bill Payment",OR(J482="",COUNTIFS(ap_No,J482&amp;"",ap_Party,H482&amp;"")=0)),"Bill # + vendor not found on AP sheet",IF(AND(ISNUMBER(M482),N(M482)&lt;&gt;0,W482=0),"Tax ignored (tax tracking off, or not allowed for this type)",IF(V482=K482&amp;"","Same account on both sides",IF(AND(ISNUMBER(StartDate),C482&lt;StartDate),"Date is before the accounting start date",IF(AND(D482&lt;&gt;"Adjustment",IFERROR(INDEX(coa_Pay,MATCH(K482&amp;"",coa_Name,0)),"")&lt;&gt;"Yes"),"Paid From / Deposited To is not a payment account","")))))))))))</f>
        <v/>
      </c>
      <c r="Z482" s="67">
        <f>IF(AND(T482=0,X482=""),1,0)</f>
        <v/>
      </c>
      <c r="AA482" s="68">
        <f>IF(Z482=1,IF(U482="In",L482,L482-W482),0)</f>
        <v/>
      </c>
      <c r="AB482" s="68">
        <f>IF(Z482=1,IF(U482="In",L482-W482,L482),0)</f>
        <v/>
      </c>
      <c r="AC482" s="68">
        <f>IF(AND(Z482=1,U482="Out"),W482,0)</f>
        <v/>
      </c>
      <c r="AD482" s="68">
        <f>IF(AND(Z482=1,U482="In"),W482,0)</f>
        <v/>
      </c>
    </row>
    <row r="483">
      <c r="B483" s="62" t="inlineStr">
        <is>
          <t>TX-0477</t>
        </is>
      </c>
      <c r="C483" s="63" t="n"/>
      <c r="D483" s="62" t="n"/>
      <c r="E483" s="62" t="n"/>
      <c r="F483" s="62" t="n"/>
      <c r="G483" s="62" t="n"/>
      <c r="H483" s="62" t="n"/>
      <c r="I483" s="62" t="n"/>
      <c r="J483" s="62" t="n"/>
      <c r="K483" s="62" t="n"/>
      <c r="L483" s="64" t="n"/>
      <c r="M483" s="64" t="n"/>
      <c r="N483" s="62" t="n"/>
      <c r="O483" s="65">
        <f>IF(Z483=1,L483-W483,"")</f>
        <v/>
      </c>
      <c r="P483" s="66">
        <f>IF(V483="","",IFERROR(INDEX(coa_Type,MATCH(V483,coa_Name,0)),""))</f>
        <v/>
      </c>
      <c r="Q483" s="66">
        <f>IF(Z483=1,IF(U483="In",K483&amp;"",V483),"")</f>
        <v/>
      </c>
      <c r="R483" s="66">
        <f>IF(Z483=1,IF(U483="In",V483,K483&amp;""),"")</f>
        <v/>
      </c>
      <c r="S483" s="66">
        <f>IF(X483&lt;&gt;"","⛔ "&amp;X483&amp;" — not posted",IF(Y483&lt;&gt;"","⚠ "&amp;Y483,IF(Z483=1,"✓ OK","")))</f>
        <v/>
      </c>
      <c r="T483" s="67">
        <f>IF(AND(C483="",D483="",E483="",L483="",K483=""),1,0)</f>
        <v/>
      </c>
      <c r="U483" s="67">
        <f>IFERROR(INDEX(tt_Dir,MATCH(D483,tt_Type,0)),"")</f>
        <v/>
      </c>
      <c r="V483" s="67">
        <f>IF(D483="","",IFERROR(IF(INDEX(tt_Other,MATCH(D483,tt_Type,0))="",E483&amp;"",INDEX(tt_Other,MATCH(D483,tt_Type,0))),""))</f>
        <v/>
      </c>
      <c r="W483" s="68">
        <f>IF(OR(TaxOn&lt;&gt;"Yes",NOT(ISNUMBER(M483))),0,IF(IFERROR(INDEX(tt_Tax,MATCH(D483,tt_Type,0)),"No")="Yes",M483,0))</f>
        <v/>
      </c>
      <c r="X483" s="67">
        <f>IF(T483=1,"",IF(C483="","Missing transaction date",IF(NOT(ISNUMBER(C483)),"Invalid date",IF(OR(C483&lt;DATE(2000,1,1),C483&gt;DATE(2099,12,31)),"Invalid date",IF(D483="","Select a type",IF(U483="","Unknown type: "&amp;D483,IF(V483="","Select an account (Category)",IF(ISNA(MATCH(V483,coa_Name,0)),"Unknown account: "&amp;V483,IF(K483="","Select Paid From / Deposited To",IF(ISNA(MATCH(K483,coa_Name,0)),"Unknown account: "&amp;K483,IF(NOT(ISNUMBER(L483)),"Enter an amount",IF(L483=0,"Enter an amount",IF(ABS(W483)&gt;ABS(L483),"Tax is larger than the amount","")))))))))))))</f>
        <v/>
      </c>
      <c r="Y483" s="67">
        <f>IF(OR(T483=1,X483&lt;&gt;""),"",IF(AND(B483&lt;&gt;"",COUNTIF(tx_ID,B483)&gt;1),"Duplicate transaction ID",IF(AND(L483&lt;0,D483&lt;&gt;"Adjustment"),"Negative amount — check this entry",IF(AND(D483="Customer Payment",G483=""),"Add the customer",IF(AND(D483="Customer Payment",OR(J483="",COUNTIF(ar_No,J483&amp;"")=0)),"Invoice # in Reference not found on AR sheet",IF(AND(D483="Bill Payment",H483=""),"Add the vendor",IF(AND(D483="Bill Payment",OR(J483="",COUNTIFS(ap_No,J483&amp;"",ap_Party,H483&amp;"")=0)),"Bill # + vendor not found on AP sheet",IF(AND(ISNUMBER(M483),N(M483)&lt;&gt;0,W483=0),"Tax ignored (tax tracking off, or not allowed for this type)",IF(V483=K483&amp;"","Same account on both sides",IF(AND(ISNUMBER(StartDate),C483&lt;StartDate),"Date is before the accounting start date",IF(AND(D483&lt;&gt;"Adjustment",IFERROR(INDEX(coa_Pay,MATCH(K483&amp;"",coa_Name,0)),"")&lt;&gt;"Yes"),"Paid From / Deposited To is not a payment account","")))))))))))</f>
        <v/>
      </c>
      <c r="Z483" s="67">
        <f>IF(AND(T483=0,X483=""),1,0)</f>
        <v/>
      </c>
      <c r="AA483" s="68">
        <f>IF(Z483=1,IF(U483="In",L483,L483-W483),0)</f>
        <v/>
      </c>
      <c r="AB483" s="68">
        <f>IF(Z483=1,IF(U483="In",L483-W483,L483),0)</f>
        <v/>
      </c>
      <c r="AC483" s="68">
        <f>IF(AND(Z483=1,U483="Out"),W483,0)</f>
        <v/>
      </c>
      <c r="AD483" s="68">
        <f>IF(AND(Z483=1,U483="In"),W483,0)</f>
        <v/>
      </c>
    </row>
    <row r="484">
      <c r="B484" s="62" t="inlineStr">
        <is>
          <t>TX-0478</t>
        </is>
      </c>
      <c r="C484" s="63" t="n"/>
      <c r="D484" s="62" t="n"/>
      <c r="E484" s="62" t="n"/>
      <c r="F484" s="62" t="n"/>
      <c r="G484" s="62" t="n"/>
      <c r="H484" s="62" t="n"/>
      <c r="I484" s="62" t="n"/>
      <c r="J484" s="62" t="n"/>
      <c r="K484" s="62" t="n"/>
      <c r="L484" s="64" t="n"/>
      <c r="M484" s="64" t="n"/>
      <c r="N484" s="62" t="n"/>
      <c r="O484" s="65">
        <f>IF(Z484=1,L484-W484,"")</f>
        <v/>
      </c>
      <c r="P484" s="66">
        <f>IF(V484="","",IFERROR(INDEX(coa_Type,MATCH(V484,coa_Name,0)),""))</f>
        <v/>
      </c>
      <c r="Q484" s="66">
        <f>IF(Z484=1,IF(U484="In",K484&amp;"",V484),"")</f>
        <v/>
      </c>
      <c r="R484" s="66">
        <f>IF(Z484=1,IF(U484="In",V484,K484&amp;""),"")</f>
        <v/>
      </c>
      <c r="S484" s="66">
        <f>IF(X484&lt;&gt;"","⛔ "&amp;X484&amp;" — not posted",IF(Y484&lt;&gt;"","⚠ "&amp;Y484,IF(Z484=1,"✓ OK","")))</f>
        <v/>
      </c>
      <c r="T484" s="67">
        <f>IF(AND(C484="",D484="",E484="",L484="",K484=""),1,0)</f>
        <v/>
      </c>
      <c r="U484" s="67">
        <f>IFERROR(INDEX(tt_Dir,MATCH(D484,tt_Type,0)),"")</f>
        <v/>
      </c>
      <c r="V484" s="67">
        <f>IF(D484="","",IFERROR(IF(INDEX(tt_Other,MATCH(D484,tt_Type,0))="",E484&amp;"",INDEX(tt_Other,MATCH(D484,tt_Type,0))),""))</f>
        <v/>
      </c>
      <c r="W484" s="68">
        <f>IF(OR(TaxOn&lt;&gt;"Yes",NOT(ISNUMBER(M484))),0,IF(IFERROR(INDEX(tt_Tax,MATCH(D484,tt_Type,0)),"No")="Yes",M484,0))</f>
        <v/>
      </c>
      <c r="X484" s="67">
        <f>IF(T484=1,"",IF(C484="","Missing transaction date",IF(NOT(ISNUMBER(C484)),"Invalid date",IF(OR(C484&lt;DATE(2000,1,1),C484&gt;DATE(2099,12,31)),"Invalid date",IF(D484="","Select a type",IF(U484="","Unknown type: "&amp;D484,IF(V484="","Select an account (Category)",IF(ISNA(MATCH(V484,coa_Name,0)),"Unknown account: "&amp;V484,IF(K484="","Select Paid From / Deposited To",IF(ISNA(MATCH(K484,coa_Name,0)),"Unknown account: "&amp;K484,IF(NOT(ISNUMBER(L484)),"Enter an amount",IF(L484=0,"Enter an amount",IF(ABS(W484)&gt;ABS(L484),"Tax is larger than the amount","")))))))))))))</f>
        <v/>
      </c>
      <c r="Y484" s="67">
        <f>IF(OR(T484=1,X484&lt;&gt;""),"",IF(AND(B484&lt;&gt;"",COUNTIF(tx_ID,B484)&gt;1),"Duplicate transaction ID",IF(AND(L484&lt;0,D484&lt;&gt;"Adjustment"),"Negative amount — check this entry",IF(AND(D484="Customer Payment",G484=""),"Add the customer",IF(AND(D484="Customer Payment",OR(J484="",COUNTIF(ar_No,J484&amp;"")=0)),"Invoice # in Reference not found on AR sheet",IF(AND(D484="Bill Payment",H484=""),"Add the vendor",IF(AND(D484="Bill Payment",OR(J484="",COUNTIFS(ap_No,J484&amp;"",ap_Party,H484&amp;"")=0)),"Bill # + vendor not found on AP sheet",IF(AND(ISNUMBER(M484),N(M484)&lt;&gt;0,W484=0),"Tax ignored (tax tracking off, or not allowed for this type)",IF(V484=K484&amp;"","Same account on both sides",IF(AND(ISNUMBER(StartDate),C484&lt;StartDate),"Date is before the accounting start date",IF(AND(D484&lt;&gt;"Adjustment",IFERROR(INDEX(coa_Pay,MATCH(K484&amp;"",coa_Name,0)),"")&lt;&gt;"Yes"),"Paid From / Deposited To is not a payment account","")))))))))))</f>
        <v/>
      </c>
      <c r="Z484" s="67">
        <f>IF(AND(T484=0,X484=""),1,0)</f>
        <v/>
      </c>
      <c r="AA484" s="68">
        <f>IF(Z484=1,IF(U484="In",L484,L484-W484),0)</f>
        <v/>
      </c>
      <c r="AB484" s="68">
        <f>IF(Z484=1,IF(U484="In",L484-W484,L484),0)</f>
        <v/>
      </c>
      <c r="AC484" s="68">
        <f>IF(AND(Z484=1,U484="Out"),W484,0)</f>
        <v/>
      </c>
      <c r="AD484" s="68">
        <f>IF(AND(Z484=1,U484="In"),W484,0)</f>
        <v/>
      </c>
    </row>
    <row r="485">
      <c r="B485" s="62" t="inlineStr">
        <is>
          <t>TX-0479</t>
        </is>
      </c>
      <c r="C485" s="63" t="n"/>
      <c r="D485" s="62" t="n"/>
      <c r="E485" s="62" t="n"/>
      <c r="F485" s="62" t="n"/>
      <c r="G485" s="62" t="n"/>
      <c r="H485" s="62" t="n"/>
      <c r="I485" s="62" t="n"/>
      <c r="J485" s="62" t="n"/>
      <c r="K485" s="62" t="n"/>
      <c r="L485" s="64" t="n"/>
      <c r="M485" s="64" t="n"/>
      <c r="N485" s="62" t="n"/>
      <c r="O485" s="65">
        <f>IF(Z485=1,L485-W485,"")</f>
        <v/>
      </c>
      <c r="P485" s="66">
        <f>IF(V485="","",IFERROR(INDEX(coa_Type,MATCH(V485,coa_Name,0)),""))</f>
        <v/>
      </c>
      <c r="Q485" s="66">
        <f>IF(Z485=1,IF(U485="In",K485&amp;"",V485),"")</f>
        <v/>
      </c>
      <c r="R485" s="66">
        <f>IF(Z485=1,IF(U485="In",V485,K485&amp;""),"")</f>
        <v/>
      </c>
      <c r="S485" s="66">
        <f>IF(X485&lt;&gt;"","⛔ "&amp;X485&amp;" — not posted",IF(Y485&lt;&gt;"","⚠ "&amp;Y485,IF(Z485=1,"✓ OK","")))</f>
        <v/>
      </c>
      <c r="T485" s="67">
        <f>IF(AND(C485="",D485="",E485="",L485="",K485=""),1,0)</f>
        <v/>
      </c>
      <c r="U485" s="67">
        <f>IFERROR(INDEX(tt_Dir,MATCH(D485,tt_Type,0)),"")</f>
        <v/>
      </c>
      <c r="V485" s="67">
        <f>IF(D485="","",IFERROR(IF(INDEX(tt_Other,MATCH(D485,tt_Type,0))="",E485&amp;"",INDEX(tt_Other,MATCH(D485,tt_Type,0))),""))</f>
        <v/>
      </c>
      <c r="W485" s="68">
        <f>IF(OR(TaxOn&lt;&gt;"Yes",NOT(ISNUMBER(M485))),0,IF(IFERROR(INDEX(tt_Tax,MATCH(D485,tt_Type,0)),"No")="Yes",M485,0))</f>
        <v/>
      </c>
      <c r="X485" s="67">
        <f>IF(T485=1,"",IF(C485="","Missing transaction date",IF(NOT(ISNUMBER(C485)),"Invalid date",IF(OR(C485&lt;DATE(2000,1,1),C485&gt;DATE(2099,12,31)),"Invalid date",IF(D485="","Select a type",IF(U485="","Unknown type: "&amp;D485,IF(V485="","Select an account (Category)",IF(ISNA(MATCH(V485,coa_Name,0)),"Unknown account: "&amp;V485,IF(K485="","Select Paid From / Deposited To",IF(ISNA(MATCH(K485,coa_Name,0)),"Unknown account: "&amp;K485,IF(NOT(ISNUMBER(L485)),"Enter an amount",IF(L485=0,"Enter an amount",IF(ABS(W485)&gt;ABS(L485),"Tax is larger than the amount","")))))))))))))</f>
        <v/>
      </c>
      <c r="Y485" s="67">
        <f>IF(OR(T485=1,X485&lt;&gt;""),"",IF(AND(B485&lt;&gt;"",COUNTIF(tx_ID,B485)&gt;1),"Duplicate transaction ID",IF(AND(L485&lt;0,D485&lt;&gt;"Adjustment"),"Negative amount — check this entry",IF(AND(D485="Customer Payment",G485=""),"Add the customer",IF(AND(D485="Customer Payment",OR(J485="",COUNTIF(ar_No,J485&amp;"")=0)),"Invoice # in Reference not found on AR sheet",IF(AND(D485="Bill Payment",H485=""),"Add the vendor",IF(AND(D485="Bill Payment",OR(J485="",COUNTIFS(ap_No,J485&amp;"",ap_Party,H485&amp;"")=0)),"Bill # + vendor not found on AP sheet",IF(AND(ISNUMBER(M485),N(M485)&lt;&gt;0,W485=0),"Tax ignored (tax tracking off, or not allowed for this type)",IF(V485=K485&amp;"","Same account on both sides",IF(AND(ISNUMBER(StartDate),C485&lt;StartDate),"Date is before the accounting start date",IF(AND(D485&lt;&gt;"Adjustment",IFERROR(INDEX(coa_Pay,MATCH(K485&amp;"",coa_Name,0)),"")&lt;&gt;"Yes"),"Paid From / Deposited To is not a payment account","")))))))))))</f>
        <v/>
      </c>
      <c r="Z485" s="67">
        <f>IF(AND(T485=0,X485=""),1,0)</f>
        <v/>
      </c>
      <c r="AA485" s="68">
        <f>IF(Z485=1,IF(U485="In",L485,L485-W485),0)</f>
        <v/>
      </c>
      <c r="AB485" s="68">
        <f>IF(Z485=1,IF(U485="In",L485-W485,L485),0)</f>
        <v/>
      </c>
      <c r="AC485" s="68">
        <f>IF(AND(Z485=1,U485="Out"),W485,0)</f>
        <v/>
      </c>
      <c r="AD485" s="68">
        <f>IF(AND(Z485=1,U485="In"),W485,0)</f>
        <v/>
      </c>
    </row>
    <row r="486">
      <c r="B486" s="62" t="inlineStr">
        <is>
          <t>TX-0480</t>
        </is>
      </c>
      <c r="C486" s="63" t="n"/>
      <c r="D486" s="62" t="n"/>
      <c r="E486" s="62" t="n"/>
      <c r="F486" s="62" t="n"/>
      <c r="G486" s="62" t="n"/>
      <c r="H486" s="62" t="n"/>
      <c r="I486" s="62" t="n"/>
      <c r="J486" s="62" t="n"/>
      <c r="K486" s="62" t="n"/>
      <c r="L486" s="64" t="n"/>
      <c r="M486" s="64" t="n"/>
      <c r="N486" s="62" t="n"/>
      <c r="O486" s="65">
        <f>IF(Z486=1,L486-W486,"")</f>
        <v/>
      </c>
      <c r="P486" s="66">
        <f>IF(V486="","",IFERROR(INDEX(coa_Type,MATCH(V486,coa_Name,0)),""))</f>
        <v/>
      </c>
      <c r="Q486" s="66">
        <f>IF(Z486=1,IF(U486="In",K486&amp;"",V486),"")</f>
        <v/>
      </c>
      <c r="R486" s="66">
        <f>IF(Z486=1,IF(U486="In",V486,K486&amp;""),"")</f>
        <v/>
      </c>
      <c r="S486" s="66">
        <f>IF(X486&lt;&gt;"","⛔ "&amp;X486&amp;" — not posted",IF(Y486&lt;&gt;"","⚠ "&amp;Y486,IF(Z486=1,"✓ OK","")))</f>
        <v/>
      </c>
      <c r="T486" s="67">
        <f>IF(AND(C486="",D486="",E486="",L486="",K486=""),1,0)</f>
        <v/>
      </c>
      <c r="U486" s="67">
        <f>IFERROR(INDEX(tt_Dir,MATCH(D486,tt_Type,0)),"")</f>
        <v/>
      </c>
      <c r="V486" s="67">
        <f>IF(D486="","",IFERROR(IF(INDEX(tt_Other,MATCH(D486,tt_Type,0))="",E486&amp;"",INDEX(tt_Other,MATCH(D486,tt_Type,0))),""))</f>
        <v/>
      </c>
      <c r="W486" s="68">
        <f>IF(OR(TaxOn&lt;&gt;"Yes",NOT(ISNUMBER(M486))),0,IF(IFERROR(INDEX(tt_Tax,MATCH(D486,tt_Type,0)),"No")="Yes",M486,0))</f>
        <v/>
      </c>
      <c r="X486" s="67">
        <f>IF(T486=1,"",IF(C486="","Missing transaction date",IF(NOT(ISNUMBER(C486)),"Invalid date",IF(OR(C486&lt;DATE(2000,1,1),C486&gt;DATE(2099,12,31)),"Invalid date",IF(D486="","Select a type",IF(U486="","Unknown type: "&amp;D486,IF(V486="","Select an account (Category)",IF(ISNA(MATCH(V486,coa_Name,0)),"Unknown account: "&amp;V486,IF(K486="","Select Paid From / Deposited To",IF(ISNA(MATCH(K486,coa_Name,0)),"Unknown account: "&amp;K486,IF(NOT(ISNUMBER(L486)),"Enter an amount",IF(L486=0,"Enter an amount",IF(ABS(W486)&gt;ABS(L486),"Tax is larger than the amount","")))))))))))))</f>
        <v/>
      </c>
      <c r="Y486" s="67">
        <f>IF(OR(T486=1,X486&lt;&gt;""),"",IF(AND(B486&lt;&gt;"",COUNTIF(tx_ID,B486)&gt;1),"Duplicate transaction ID",IF(AND(L486&lt;0,D486&lt;&gt;"Adjustment"),"Negative amount — check this entry",IF(AND(D486="Customer Payment",G486=""),"Add the customer",IF(AND(D486="Customer Payment",OR(J486="",COUNTIF(ar_No,J486&amp;"")=0)),"Invoice # in Reference not found on AR sheet",IF(AND(D486="Bill Payment",H486=""),"Add the vendor",IF(AND(D486="Bill Payment",OR(J486="",COUNTIFS(ap_No,J486&amp;"",ap_Party,H486&amp;"")=0)),"Bill # + vendor not found on AP sheet",IF(AND(ISNUMBER(M486),N(M486)&lt;&gt;0,W486=0),"Tax ignored (tax tracking off, or not allowed for this type)",IF(V486=K486&amp;"","Same account on both sides",IF(AND(ISNUMBER(StartDate),C486&lt;StartDate),"Date is before the accounting start date",IF(AND(D486&lt;&gt;"Adjustment",IFERROR(INDEX(coa_Pay,MATCH(K486&amp;"",coa_Name,0)),"")&lt;&gt;"Yes"),"Paid From / Deposited To is not a payment account","")))))))))))</f>
        <v/>
      </c>
      <c r="Z486" s="67">
        <f>IF(AND(T486=0,X486=""),1,0)</f>
        <v/>
      </c>
      <c r="AA486" s="68">
        <f>IF(Z486=1,IF(U486="In",L486,L486-W486),0)</f>
        <v/>
      </c>
      <c r="AB486" s="68">
        <f>IF(Z486=1,IF(U486="In",L486-W486,L486),0)</f>
        <v/>
      </c>
      <c r="AC486" s="68">
        <f>IF(AND(Z486=1,U486="Out"),W486,0)</f>
        <v/>
      </c>
      <c r="AD486" s="68">
        <f>IF(AND(Z486=1,U486="In"),W486,0)</f>
        <v/>
      </c>
    </row>
    <row r="487">
      <c r="B487" s="62" t="inlineStr">
        <is>
          <t>TX-0481</t>
        </is>
      </c>
      <c r="C487" s="63" t="n"/>
      <c r="D487" s="62" t="n"/>
      <c r="E487" s="62" t="n"/>
      <c r="F487" s="62" t="n"/>
      <c r="G487" s="62" t="n"/>
      <c r="H487" s="62" t="n"/>
      <c r="I487" s="62" t="n"/>
      <c r="J487" s="62" t="n"/>
      <c r="K487" s="62" t="n"/>
      <c r="L487" s="64" t="n"/>
      <c r="M487" s="64" t="n"/>
      <c r="N487" s="62" t="n"/>
      <c r="O487" s="65">
        <f>IF(Z487=1,L487-W487,"")</f>
        <v/>
      </c>
      <c r="P487" s="66">
        <f>IF(V487="","",IFERROR(INDEX(coa_Type,MATCH(V487,coa_Name,0)),""))</f>
        <v/>
      </c>
      <c r="Q487" s="66">
        <f>IF(Z487=1,IF(U487="In",K487&amp;"",V487),"")</f>
        <v/>
      </c>
      <c r="R487" s="66">
        <f>IF(Z487=1,IF(U487="In",V487,K487&amp;""),"")</f>
        <v/>
      </c>
      <c r="S487" s="66">
        <f>IF(X487&lt;&gt;"","⛔ "&amp;X487&amp;" — not posted",IF(Y487&lt;&gt;"","⚠ "&amp;Y487,IF(Z487=1,"✓ OK","")))</f>
        <v/>
      </c>
      <c r="T487" s="67">
        <f>IF(AND(C487="",D487="",E487="",L487="",K487=""),1,0)</f>
        <v/>
      </c>
      <c r="U487" s="67">
        <f>IFERROR(INDEX(tt_Dir,MATCH(D487,tt_Type,0)),"")</f>
        <v/>
      </c>
      <c r="V487" s="67">
        <f>IF(D487="","",IFERROR(IF(INDEX(tt_Other,MATCH(D487,tt_Type,0))="",E487&amp;"",INDEX(tt_Other,MATCH(D487,tt_Type,0))),""))</f>
        <v/>
      </c>
      <c r="W487" s="68">
        <f>IF(OR(TaxOn&lt;&gt;"Yes",NOT(ISNUMBER(M487))),0,IF(IFERROR(INDEX(tt_Tax,MATCH(D487,tt_Type,0)),"No")="Yes",M487,0))</f>
        <v/>
      </c>
      <c r="X487" s="67">
        <f>IF(T487=1,"",IF(C487="","Missing transaction date",IF(NOT(ISNUMBER(C487)),"Invalid date",IF(OR(C487&lt;DATE(2000,1,1),C487&gt;DATE(2099,12,31)),"Invalid date",IF(D487="","Select a type",IF(U487="","Unknown type: "&amp;D487,IF(V487="","Select an account (Category)",IF(ISNA(MATCH(V487,coa_Name,0)),"Unknown account: "&amp;V487,IF(K487="","Select Paid From / Deposited To",IF(ISNA(MATCH(K487,coa_Name,0)),"Unknown account: "&amp;K487,IF(NOT(ISNUMBER(L487)),"Enter an amount",IF(L487=0,"Enter an amount",IF(ABS(W487)&gt;ABS(L487),"Tax is larger than the amount","")))))))))))))</f>
        <v/>
      </c>
      <c r="Y487" s="67">
        <f>IF(OR(T487=1,X487&lt;&gt;""),"",IF(AND(B487&lt;&gt;"",COUNTIF(tx_ID,B487)&gt;1),"Duplicate transaction ID",IF(AND(L487&lt;0,D487&lt;&gt;"Adjustment"),"Negative amount — check this entry",IF(AND(D487="Customer Payment",G487=""),"Add the customer",IF(AND(D487="Customer Payment",OR(J487="",COUNTIF(ar_No,J487&amp;"")=0)),"Invoice # in Reference not found on AR sheet",IF(AND(D487="Bill Payment",H487=""),"Add the vendor",IF(AND(D487="Bill Payment",OR(J487="",COUNTIFS(ap_No,J487&amp;"",ap_Party,H487&amp;"")=0)),"Bill # + vendor not found on AP sheet",IF(AND(ISNUMBER(M487),N(M487)&lt;&gt;0,W487=0),"Tax ignored (tax tracking off, or not allowed for this type)",IF(V487=K487&amp;"","Same account on both sides",IF(AND(ISNUMBER(StartDate),C487&lt;StartDate),"Date is before the accounting start date",IF(AND(D487&lt;&gt;"Adjustment",IFERROR(INDEX(coa_Pay,MATCH(K487&amp;"",coa_Name,0)),"")&lt;&gt;"Yes"),"Paid From / Deposited To is not a payment account","")))))))))))</f>
        <v/>
      </c>
      <c r="Z487" s="67">
        <f>IF(AND(T487=0,X487=""),1,0)</f>
        <v/>
      </c>
      <c r="AA487" s="68">
        <f>IF(Z487=1,IF(U487="In",L487,L487-W487),0)</f>
        <v/>
      </c>
      <c r="AB487" s="68">
        <f>IF(Z487=1,IF(U487="In",L487-W487,L487),0)</f>
        <v/>
      </c>
      <c r="AC487" s="68">
        <f>IF(AND(Z487=1,U487="Out"),W487,0)</f>
        <v/>
      </c>
      <c r="AD487" s="68">
        <f>IF(AND(Z487=1,U487="In"),W487,0)</f>
        <v/>
      </c>
    </row>
    <row r="488">
      <c r="B488" s="62" t="inlineStr">
        <is>
          <t>TX-0482</t>
        </is>
      </c>
      <c r="C488" s="63" t="n"/>
      <c r="D488" s="62" t="n"/>
      <c r="E488" s="62" t="n"/>
      <c r="F488" s="62" t="n"/>
      <c r="G488" s="62" t="n"/>
      <c r="H488" s="62" t="n"/>
      <c r="I488" s="62" t="n"/>
      <c r="J488" s="62" t="n"/>
      <c r="K488" s="62" t="n"/>
      <c r="L488" s="64" t="n"/>
      <c r="M488" s="64" t="n"/>
      <c r="N488" s="62" t="n"/>
      <c r="O488" s="65">
        <f>IF(Z488=1,L488-W488,"")</f>
        <v/>
      </c>
      <c r="P488" s="66">
        <f>IF(V488="","",IFERROR(INDEX(coa_Type,MATCH(V488,coa_Name,0)),""))</f>
        <v/>
      </c>
      <c r="Q488" s="66">
        <f>IF(Z488=1,IF(U488="In",K488&amp;"",V488),"")</f>
        <v/>
      </c>
      <c r="R488" s="66">
        <f>IF(Z488=1,IF(U488="In",V488,K488&amp;""),"")</f>
        <v/>
      </c>
      <c r="S488" s="66">
        <f>IF(X488&lt;&gt;"","⛔ "&amp;X488&amp;" — not posted",IF(Y488&lt;&gt;"","⚠ "&amp;Y488,IF(Z488=1,"✓ OK","")))</f>
        <v/>
      </c>
      <c r="T488" s="67">
        <f>IF(AND(C488="",D488="",E488="",L488="",K488=""),1,0)</f>
        <v/>
      </c>
      <c r="U488" s="67">
        <f>IFERROR(INDEX(tt_Dir,MATCH(D488,tt_Type,0)),"")</f>
        <v/>
      </c>
      <c r="V488" s="67">
        <f>IF(D488="","",IFERROR(IF(INDEX(tt_Other,MATCH(D488,tt_Type,0))="",E488&amp;"",INDEX(tt_Other,MATCH(D488,tt_Type,0))),""))</f>
        <v/>
      </c>
      <c r="W488" s="68">
        <f>IF(OR(TaxOn&lt;&gt;"Yes",NOT(ISNUMBER(M488))),0,IF(IFERROR(INDEX(tt_Tax,MATCH(D488,tt_Type,0)),"No")="Yes",M488,0))</f>
        <v/>
      </c>
      <c r="X488" s="67">
        <f>IF(T488=1,"",IF(C488="","Missing transaction date",IF(NOT(ISNUMBER(C488)),"Invalid date",IF(OR(C488&lt;DATE(2000,1,1),C488&gt;DATE(2099,12,31)),"Invalid date",IF(D488="","Select a type",IF(U488="","Unknown type: "&amp;D488,IF(V488="","Select an account (Category)",IF(ISNA(MATCH(V488,coa_Name,0)),"Unknown account: "&amp;V488,IF(K488="","Select Paid From / Deposited To",IF(ISNA(MATCH(K488,coa_Name,0)),"Unknown account: "&amp;K488,IF(NOT(ISNUMBER(L488)),"Enter an amount",IF(L488=0,"Enter an amount",IF(ABS(W488)&gt;ABS(L488),"Tax is larger than the amount","")))))))))))))</f>
        <v/>
      </c>
      <c r="Y488" s="67">
        <f>IF(OR(T488=1,X488&lt;&gt;""),"",IF(AND(B488&lt;&gt;"",COUNTIF(tx_ID,B488)&gt;1),"Duplicate transaction ID",IF(AND(L488&lt;0,D488&lt;&gt;"Adjustment"),"Negative amount — check this entry",IF(AND(D488="Customer Payment",G488=""),"Add the customer",IF(AND(D488="Customer Payment",OR(J488="",COUNTIF(ar_No,J488&amp;"")=0)),"Invoice # in Reference not found on AR sheet",IF(AND(D488="Bill Payment",H488=""),"Add the vendor",IF(AND(D488="Bill Payment",OR(J488="",COUNTIFS(ap_No,J488&amp;"",ap_Party,H488&amp;"")=0)),"Bill # + vendor not found on AP sheet",IF(AND(ISNUMBER(M488),N(M488)&lt;&gt;0,W488=0),"Tax ignored (tax tracking off, or not allowed for this type)",IF(V488=K488&amp;"","Same account on both sides",IF(AND(ISNUMBER(StartDate),C488&lt;StartDate),"Date is before the accounting start date",IF(AND(D488&lt;&gt;"Adjustment",IFERROR(INDEX(coa_Pay,MATCH(K488&amp;"",coa_Name,0)),"")&lt;&gt;"Yes"),"Paid From / Deposited To is not a payment account","")))))))))))</f>
        <v/>
      </c>
      <c r="Z488" s="67">
        <f>IF(AND(T488=0,X488=""),1,0)</f>
        <v/>
      </c>
      <c r="AA488" s="68">
        <f>IF(Z488=1,IF(U488="In",L488,L488-W488),0)</f>
        <v/>
      </c>
      <c r="AB488" s="68">
        <f>IF(Z488=1,IF(U488="In",L488-W488,L488),0)</f>
        <v/>
      </c>
      <c r="AC488" s="68">
        <f>IF(AND(Z488=1,U488="Out"),W488,0)</f>
        <v/>
      </c>
      <c r="AD488" s="68">
        <f>IF(AND(Z488=1,U488="In"),W488,0)</f>
        <v/>
      </c>
    </row>
    <row r="489">
      <c r="B489" s="62" t="inlineStr">
        <is>
          <t>TX-0483</t>
        </is>
      </c>
      <c r="C489" s="63" t="n"/>
      <c r="D489" s="62" t="n"/>
      <c r="E489" s="62" t="n"/>
      <c r="F489" s="62" t="n"/>
      <c r="G489" s="62" t="n"/>
      <c r="H489" s="62" t="n"/>
      <c r="I489" s="62" t="n"/>
      <c r="J489" s="62" t="n"/>
      <c r="K489" s="62" t="n"/>
      <c r="L489" s="64" t="n"/>
      <c r="M489" s="64" t="n"/>
      <c r="N489" s="62" t="n"/>
      <c r="O489" s="65">
        <f>IF(Z489=1,L489-W489,"")</f>
        <v/>
      </c>
      <c r="P489" s="66">
        <f>IF(V489="","",IFERROR(INDEX(coa_Type,MATCH(V489,coa_Name,0)),""))</f>
        <v/>
      </c>
      <c r="Q489" s="66">
        <f>IF(Z489=1,IF(U489="In",K489&amp;"",V489),"")</f>
        <v/>
      </c>
      <c r="R489" s="66">
        <f>IF(Z489=1,IF(U489="In",V489,K489&amp;""),"")</f>
        <v/>
      </c>
      <c r="S489" s="66">
        <f>IF(X489&lt;&gt;"","⛔ "&amp;X489&amp;" — not posted",IF(Y489&lt;&gt;"","⚠ "&amp;Y489,IF(Z489=1,"✓ OK","")))</f>
        <v/>
      </c>
      <c r="T489" s="67">
        <f>IF(AND(C489="",D489="",E489="",L489="",K489=""),1,0)</f>
        <v/>
      </c>
      <c r="U489" s="67">
        <f>IFERROR(INDEX(tt_Dir,MATCH(D489,tt_Type,0)),"")</f>
        <v/>
      </c>
      <c r="V489" s="67">
        <f>IF(D489="","",IFERROR(IF(INDEX(tt_Other,MATCH(D489,tt_Type,0))="",E489&amp;"",INDEX(tt_Other,MATCH(D489,tt_Type,0))),""))</f>
        <v/>
      </c>
      <c r="W489" s="68">
        <f>IF(OR(TaxOn&lt;&gt;"Yes",NOT(ISNUMBER(M489))),0,IF(IFERROR(INDEX(tt_Tax,MATCH(D489,tt_Type,0)),"No")="Yes",M489,0))</f>
        <v/>
      </c>
      <c r="X489" s="67">
        <f>IF(T489=1,"",IF(C489="","Missing transaction date",IF(NOT(ISNUMBER(C489)),"Invalid date",IF(OR(C489&lt;DATE(2000,1,1),C489&gt;DATE(2099,12,31)),"Invalid date",IF(D489="","Select a type",IF(U489="","Unknown type: "&amp;D489,IF(V489="","Select an account (Category)",IF(ISNA(MATCH(V489,coa_Name,0)),"Unknown account: "&amp;V489,IF(K489="","Select Paid From / Deposited To",IF(ISNA(MATCH(K489,coa_Name,0)),"Unknown account: "&amp;K489,IF(NOT(ISNUMBER(L489)),"Enter an amount",IF(L489=0,"Enter an amount",IF(ABS(W489)&gt;ABS(L489),"Tax is larger than the amount","")))))))))))))</f>
        <v/>
      </c>
      <c r="Y489" s="67">
        <f>IF(OR(T489=1,X489&lt;&gt;""),"",IF(AND(B489&lt;&gt;"",COUNTIF(tx_ID,B489)&gt;1),"Duplicate transaction ID",IF(AND(L489&lt;0,D489&lt;&gt;"Adjustment"),"Negative amount — check this entry",IF(AND(D489="Customer Payment",G489=""),"Add the customer",IF(AND(D489="Customer Payment",OR(J489="",COUNTIF(ar_No,J489&amp;"")=0)),"Invoice # in Reference not found on AR sheet",IF(AND(D489="Bill Payment",H489=""),"Add the vendor",IF(AND(D489="Bill Payment",OR(J489="",COUNTIFS(ap_No,J489&amp;"",ap_Party,H489&amp;"")=0)),"Bill # + vendor not found on AP sheet",IF(AND(ISNUMBER(M489),N(M489)&lt;&gt;0,W489=0),"Tax ignored (tax tracking off, or not allowed for this type)",IF(V489=K489&amp;"","Same account on both sides",IF(AND(ISNUMBER(StartDate),C489&lt;StartDate),"Date is before the accounting start date",IF(AND(D489&lt;&gt;"Adjustment",IFERROR(INDEX(coa_Pay,MATCH(K489&amp;"",coa_Name,0)),"")&lt;&gt;"Yes"),"Paid From / Deposited To is not a payment account","")))))))))))</f>
        <v/>
      </c>
      <c r="Z489" s="67">
        <f>IF(AND(T489=0,X489=""),1,0)</f>
        <v/>
      </c>
      <c r="AA489" s="68">
        <f>IF(Z489=1,IF(U489="In",L489,L489-W489),0)</f>
        <v/>
      </c>
      <c r="AB489" s="68">
        <f>IF(Z489=1,IF(U489="In",L489-W489,L489),0)</f>
        <v/>
      </c>
      <c r="AC489" s="68">
        <f>IF(AND(Z489=1,U489="Out"),W489,0)</f>
        <v/>
      </c>
      <c r="AD489" s="68">
        <f>IF(AND(Z489=1,U489="In"),W489,0)</f>
        <v/>
      </c>
    </row>
    <row r="490">
      <c r="B490" s="62" t="inlineStr">
        <is>
          <t>TX-0484</t>
        </is>
      </c>
      <c r="C490" s="63" t="n"/>
      <c r="D490" s="62" t="n"/>
      <c r="E490" s="62" t="n"/>
      <c r="F490" s="62" t="n"/>
      <c r="G490" s="62" t="n"/>
      <c r="H490" s="62" t="n"/>
      <c r="I490" s="62" t="n"/>
      <c r="J490" s="62" t="n"/>
      <c r="K490" s="62" t="n"/>
      <c r="L490" s="64" t="n"/>
      <c r="M490" s="64" t="n"/>
      <c r="N490" s="62" t="n"/>
      <c r="O490" s="65">
        <f>IF(Z490=1,L490-W490,"")</f>
        <v/>
      </c>
      <c r="P490" s="66">
        <f>IF(V490="","",IFERROR(INDEX(coa_Type,MATCH(V490,coa_Name,0)),""))</f>
        <v/>
      </c>
      <c r="Q490" s="66">
        <f>IF(Z490=1,IF(U490="In",K490&amp;"",V490),"")</f>
        <v/>
      </c>
      <c r="R490" s="66">
        <f>IF(Z490=1,IF(U490="In",V490,K490&amp;""),"")</f>
        <v/>
      </c>
      <c r="S490" s="66">
        <f>IF(X490&lt;&gt;"","⛔ "&amp;X490&amp;" — not posted",IF(Y490&lt;&gt;"","⚠ "&amp;Y490,IF(Z490=1,"✓ OK","")))</f>
        <v/>
      </c>
      <c r="T490" s="67">
        <f>IF(AND(C490="",D490="",E490="",L490="",K490=""),1,0)</f>
        <v/>
      </c>
      <c r="U490" s="67">
        <f>IFERROR(INDEX(tt_Dir,MATCH(D490,tt_Type,0)),"")</f>
        <v/>
      </c>
      <c r="V490" s="67">
        <f>IF(D490="","",IFERROR(IF(INDEX(tt_Other,MATCH(D490,tt_Type,0))="",E490&amp;"",INDEX(tt_Other,MATCH(D490,tt_Type,0))),""))</f>
        <v/>
      </c>
      <c r="W490" s="68">
        <f>IF(OR(TaxOn&lt;&gt;"Yes",NOT(ISNUMBER(M490))),0,IF(IFERROR(INDEX(tt_Tax,MATCH(D490,tt_Type,0)),"No")="Yes",M490,0))</f>
        <v/>
      </c>
      <c r="X490" s="67">
        <f>IF(T490=1,"",IF(C490="","Missing transaction date",IF(NOT(ISNUMBER(C490)),"Invalid date",IF(OR(C490&lt;DATE(2000,1,1),C490&gt;DATE(2099,12,31)),"Invalid date",IF(D490="","Select a type",IF(U490="","Unknown type: "&amp;D490,IF(V490="","Select an account (Category)",IF(ISNA(MATCH(V490,coa_Name,0)),"Unknown account: "&amp;V490,IF(K490="","Select Paid From / Deposited To",IF(ISNA(MATCH(K490,coa_Name,0)),"Unknown account: "&amp;K490,IF(NOT(ISNUMBER(L490)),"Enter an amount",IF(L490=0,"Enter an amount",IF(ABS(W490)&gt;ABS(L490),"Tax is larger than the amount","")))))))))))))</f>
        <v/>
      </c>
      <c r="Y490" s="67">
        <f>IF(OR(T490=1,X490&lt;&gt;""),"",IF(AND(B490&lt;&gt;"",COUNTIF(tx_ID,B490)&gt;1),"Duplicate transaction ID",IF(AND(L490&lt;0,D490&lt;&gt;"Adjustment"),"Negative amount — check this entry",IF(AND(D490="Customer Payment",G490=""),"Add the customer",IF(AND(D490="Customer Payment",OR(J490="",COUNTIF(ar_No,J490&amp;"")=0)),"Invoice # in Reference not found on AR sheet",IF(AND(D490="Bill Payment",H490=""),"Add the vendor",IF(AND(D490="Bill Payment",OR(J490="",COUNTIFS(ap_No,J490&amp;"",ap_Party,H490&amp;"")=0)),"Bill # + vendor not found on AP sheet",IF(AND(ISNUMBER(M490),N(M490)&lt;&gt;0,W490=0),"Tax ignored (tax tracking off, or not allowed for this type)",IF(V490=K490&amp;"","Same account on both sides",IF(AND(ISNUMBER(StartDate),C490&lt;StartDate),"Date is before the accounting start date",IF(AND(D490&lt;&gt;"Adjustment",IFERROR(INDEX(coa_Pay,MATCH(K490&amp;"",coa_Name,0)),"")&lt;&gt;"Yes"),"Paid From / Deposited To is not a payment account","")))))))))))</f>
        <v/>
      </c>
      <c r="Z490" s="67">
        <f>IF(AND(T490=0,X490=""),1,0)</f>
        <v/>
      </c>
      <c r="AA490" s="68">
        <f>IF(Z490=1,IF(U490="In",L490,L490-W490),0)</f>
        <v/>
      </c>
      <c r="AB490" s="68">
        <f>IF(Z490=1,IF(U490="In",L490-W490,L490),0)</f>
        <v/>
      </c>
      <c r="AC490" s="68">
        <f>IF(AND(Z490=1,U490="Out"),W490,0)</f>
        <v/>
      </c>
      <c r="AD490" s="68">
        <f>IF(AND(Z490=1,U490="In"),W490,0)</f>
        <v/>
      </c>
    </row>
    <row r="491">
      <c r="B491" s="62" t="inlineStr">
        <is>
          <t>TX-0485</t>
        </is>
      </c>
      <c r="C491" s="63" t="n"/>
      <c r="D491" s="62" t="n"/>
      <c r="E491" s="62" t="n"/>
      <c r="F491" s="62" t="n"/>
      <c r="G491" s="62" t="n"/>
      <c r="H491" s="62" t="n"/>
      <c r="I491" s="62" t="n"/>
      <c r="J491" s="62" t="n"/>
      <c r="K491" s="62" t="n"/>
      <c r="L491" s="64" t="n"/>
      <c r="M491" s="64" t="n"/>
      <c r="N491" s="62" t="n"/>
      <c r="O491" s="65">
        <f>IF(Z491=1,L491-W491,"")</f>
        <v/>
      </c>
      <c r="P491" s="66">
        <f>IF(V491="","",IFERROR(INDEX(coa_Type,MATCH(V491,coa_Name,0)),""))</f>
        <v/>
      </c>
      <c r="Q491" s="66">
        <f>IF(Z491=1,IF(U491="In",K491&amp;"",V491),"")</f>
        <v/>
      </c>
      <c r="R491" s="66">
        <f>IF(Z491=1,IF(U491="In",V491,K491&amp;""),"")</f>
        <v/>
      </c>
      <c r="S491" s="66">
        <f>IF(X491&lt;&gt;"","⛔ "&amp;X491&amp;" — not posted",IF(Y491&lt;&gt;"","⚠ "&amp;Y491,IF(Z491=1,"✓ OK","")))</f>
        <v/>
      </c>
      <c r="T491" s="67">
        <f>IF(AND(C491="",D491="",E491="",L491="",K491=""),1,0)</f>
        <v/>
      </c>
      <c r="U491" s="67">
        <f>IFERROR(INDEX(tt_Dir,MATCH(D491,tt_Type,0)),"")</f>
        <v/>
      </c>
      <c r="V491" s="67">
        <f>IF(D491="","",IFERROR(IF(INDEX(tt_Other,MATCH(D491,tt_Type,0))="",E491&amp;"",INDEX(tt_Other,MATCH(D491,tt_Type,0))),""))</f>
        <v/>
      </c>
      <c r="W491" s="68">
        <f>IF(OR(TaxOn&lt;&gt;"Yes",NOT(ISNUMBER(M491))),0,IF(IFERROR(INDEX(tt_Tax,MATCH(D491,tt_Type,0)),"No")="Yes",M491,0))</f>
        <v/>
      </c>
      <c r="X491" s="67">
        <f>IF(T491=1,"",IF(C491="","Missing transaction date",IF(NOT(ISNUMBER(C491)),"Invalid date",IF(OR(C491&lt;DATE(2000,1,1),C491&gt;DATE(2099,12,31)),"Invalid date",IF(D491="","Select a type",IF(U491="","Unknown type: "&amp;D491,IF(V491="","Select an account (Category)",IF(ISNA(MATCH(V491,coa_Name,0)),"Unknown account: "&amp;V491,IF(K491="","Select Paid From / Deposited To",IF(ISNA(MATCH(K491,coa_Name,0)),"Unknown account: "&amp;K491,IF(NOT(ISNUMBER(L491)),"Enter an amount",IF(L491=0,"Enter an amount",IF(ABS(W491)&gt;ABS(L491),"Tax is larger than the amount","")))))))))))))</f>
        <v/>
      </c>
      <c r="Y491" s="67">
        <f>IF(OR(T491=1,X491&lt;&gt;""),"",IF(AND(B491&lt;&gt;"",COUNTIF(tx_ID,B491)&gt;1),"Duplicate transaction ID",IF(AND(L491&lt;0,D491&lt;&gt;"Adjustment"),"Negative amount — check this entry",IF(AND(D491="Customer Payment",G491=""),"Add the customer",IF(AND(D491="Customer Payment",OR(J491="",COUNTIF(ar_No,J491&amp;"")=0)),"Invoice # in Reference not found on AR sheet",IF(AND(D491="Bill Payment",H491=""),"Add the vendor",IF(AND(D491="Bill Payment",OR(J491="",COUNTIFS(ap_No,J491&amp;"",ap_Party,H491&amp;"")=0)),"Bill # + vendor not found on AP sheet",IF(AND(ISNUMBER(M491),N(M491)&lt;&gt;0,W491=0),"Tax ignored (tax tracking off, or not allowed for this type)",IF(V491=K491&amp;"","Same account on both sides",IF(AND(ISNUMBER(StartDate),C491&lt;StartDate),"Date is before the accounting start date",IF(AND(D491&lt;&gt;"Adjustment",IFERROR(INDEX(coa_Pay,MATCH(K491&amp;"",coa_Name,0)),"")&lt;&gt;"Yes"),"Paid From / Deposited To is not a payment account","")))))))))))</f>
        <v/>
      </c>
      <c r="Z491" s="67">
        <f>IF(AND(T491=0,X491=""),1,0)</f>
        <v/>
      </c>
      <c r="AA491" s="68">
        <f>IF(Z491=1,IF(U491="In",L491,L491-W491),0)</f>
        <v/>
      </c>
      <c r="AB491" s="68">
        <f>IF(Z491=1,IF(U491="In",L491-W491,L491),0)</f>
        <v/>
      </c>
      <c r="AC491" s="68">
        <f>IF(AND(Z491=1,U491="Out"),W491,0)</f>
        <v/>
      </c>
      <c r="AD491" s="68">
        <f>IF(AND(Z491=1,U491="In"),W491,0)</f>
        <v/>
      </c>
    </row>
    <row r="492">
      <c r="B492" s="62" t="inlineStr">
        <is>
          <t>TX-0486</t>
        </is>
      </c>
      <c r="C492" s="63" t="n"/>
      <c r="D492" s="62" t="n"/>
      <c r="E492" s="62" t="n"/>
      <c r="F492" s="62" t="n"/>
      <c r="G492" s="62" t="n"/>
      <c r="H492" s="62" t="n"/>
      <c r="I492" s="62" t="n"/>
      <c r="J492" s="62" t="n"/>
      <c r="K492" s="62" t="n"/>
      <c r="L492" s="64" t="n"/>
      <c r="M492" s="64" t="n"/>
      <c r="N492" s="62" t="n"/>
      <c r="O492" s="65">
        <f>IF(Z492=1,L492-W492,"")</f>
        <v/>
      </c>
      <c r="P492" s="66">
        <f>IF(V492="","",IFERROR(INDEX(coa_Type,MATCH(V492,coa_Name,0)),""))</f>
        <v/>
      </c>
      <c r="Q492" s="66">
        <f>IF(Z492=1,IF(U492="In",K492&amp;"",V492),"")</f>
        <v/>
      </c>
      <c r="R492" s="66">
        <f>IF(Z492=1,IF(U492="In",V492,K492&amp;""),"")</f>
        <v/>
      </c>
      <c r="S492" s="66">
        <f>IF(X492&lt;&gt;"","⛔ "&amp;X492&amp;" — not posted",IF(Y492&lt;&gt;"","⚠ "&amp;Y492,IF(Z492=1,"✓ OK","")))</f>
        <v/>
      </c>
      <c r="T492" s="67">
        <f>IF(AND(C492="",D492="",E492="",L492="",K492=""),1,0)</f>
        <v/>
      </c>
      <c r="U492" s="67">
        <f>IFERROR(INDEX(tt_Dir,MATCH(D492,tt_Type,0)),"")</f>
        <v/>
      </c>
      <c r="V492" s="67">
        <f>IF(D492="","",IFERROR(IF(INDEX(tt_Other,MATCH(D492,tt_Type,0))="",E492&amp;"",INDEX(tt_Other,MATCH(D492,tt_Type,0))),""))</f>
        <v/>
      </c>
      <c r="W492" s="68">
        <f>IF(OR(TaxOn&lt;&gt;"Yes",NOT(ISNUMBER(M492))),0,IF(IFERROR(INDEX(tt_Tax,MATCH(D492,tt_Type,0)),"No")="Yes",M492,0))</f>
        <v/>
      </c>
      <c r="X492" s="67">
        <f>IF(T492=1,"",IF(C492="","Missing transaction date",IF(NOT(ISNUMBER(C492)),"Invalid date",IF(OR(C492&lt;DATE(2000,1,1),C492&gt;DATE(2099,12,31)),"Invalid date",IF(D492="","Select a type",IF(U492="","Unknown type: "&amp;D492,IF(V492="","Select an account (Category)",IF(ISNA(MATCH(V492,coa_Name,0)),"Unknown account: "&amp;V492,IF(K492="","Select Paid From / Deposited To",IF(ISNA(MATCH(K492,coa_Name,0)),"Unknown account: "&amp;K492,IF(NOT(ISNUMBER(L492)),"Enter an amount",IF(L492=0,"Enter an amount",IF(ABS(W492)&gt;ABS(L492),"Tax is larger than the amount","")))))))))))))</f>
        <v/>
      </c>
      <c r="Y492" s="67">
        <f>IF(OR(T492=1,X492&lt;&gt;""),"",IF(AND(B492&lt;&gt;"",COUNTIF(tx_ID,B492)&gt;1),"Duplicate transaction ID",IF(AND(L492&lt;0,D492&lt;&gt;"Adjustment"),"Negative amount — check this entry",IF(AND(D492="Customer Payment",G492=""),"Add the customer",IF(AND(D492="Customer Payment",OR(J492="",COUNTIF(ar_No,J492&amp;"")=0)),"Invoice # in Reference not found on AR sheet",IF(AND(D492="Bill Payment",H492=""),"Add the vendor",IF(AND(D492="Bill Payment",OR(J492="",COUNTIFS(ap_No,J492&amp;"",ap_Party,H492&amp;"")=0)),"Bill # + vendor not found on AP sheet",IF(AND(ISNUMBER(M492),N(M492)&lt;&gt;0,W492=0),"Tax ignored (tax tracking off, or not allowed for this type)",IF(V492=K492&amp;"","Same account on both sides",IF(AND(ISNUMBER(StartDate),C492&lt;StartDate),"Date is before the accounting start date",IF(AND(D492&lt;&gt;"Adjustment",IFERROR(INDEX(coa_Pay,MATCH(K492&amp;"",coa_Name,0)),"")&lt;&gt;"Yes"),"Paid From / Deposited To is not a payment account","")))))))))))</f>
        <v/>
      </c>
      <c r="Z492" s="67">
        <f>IF(AND(T492=0,X492=""),1,0)</f>
        <v/>
      </c>
      <c r="AA492" s="68">
        <f>IF(Z492=1,IF(U492="In",L492,L492-W492),0)</f>
        <v/>
      </c>
      <c r="AB492" s="68">
        <f>IF(Z492=1,IF(U492="In",L492-W492,L492),0)</f>
        <v/>
      </c>
      <c r="AC492" s="68">
        <f>IF(AND(Z492=1,U492="Out"),W492,0)</f>
        <v/>
      </c>
      <c r="AD492" s="68">
        <f>IF(AND(Z492=1,U492="In"),W492,0)</f>
        <v/>
      </c>
    </row>
    <row r="493">
      <c r="B493" s="62" t="inlineStr">
        <is>
          <t>TX-0487</t>
        </is>
      </c>
      <c r="C493" s="63" t="n"/>
      <c r="D493" s="62" t="n"/>
      <c r="E493" s="62" t="n"/>
      <c r="F493" s="62" t="n"/>
      <c r="G493" s="62" t="n"/>
      <c r="H493" s="62" t="n"/>
      <c r="I493" s="62" t="n"/>
      <c r="J493" s="62" t="n"/>
      <c r="K493" s="62" t="n"/>
      <c r="L493" s="64" t="n"/>
      <c r="M493" s="64" t="n"/>
      <c r="N493" s="62" t="n"/>
      <c r="O493" s="65">
        <f>IF(Z493=1,L493-W493,"")</f>
        <v/>
      </c>
      <c r="P493" s="66">
        <f>IF(V493="","",IFERROR(INDEX(coa_Type,MATCH(V493,coa_Name,0)),""))</f>
        <v/>
      </c>
      <c r="Q493" s="66">
        <f>IF(Z493=1,IF(U493="In",K493&amp;"",V493),"")</f>
        <v/>
      </c>
      <c r="R493" s="66">
        <f>IF(Z493=1,IF(U493="In",V493,K493&amp;""),"")</f>
        <v/>
      </c>
      <c r="S493" s="66">
        <f>IF(X493&lt;&gt;"","⛔ "&amp;X493&amp;" — not posted",IF(Y493&lt;&gt;"","⚠ "&amp;Y493,IF(Z493=1,"✓ OK","")))</f>
        <v/>
      </c>
      <c r="T493" s="67">
        <f>IF(AND(C493="",D493="",E493="",L493="",K493=""),1,0)</f>
        <v/>
      </c>
      <c r="U493" s="67">
        <f>IFERROR(INDEX(tt_Dir,MATCH(D493,tt_Type,0)),"")</f>
        <v/>
      </c>
      <c r="V493" s="67">
        <f>IF(D493="","",IFERROR(IF(INDEX(tt_Other,MATCH(D493,tt_Type,0))="",E493&amp;"",INDEX(tt_Other,MATCH(D493,tt_Type,0))),""))</f>
        <v/>
      </c>
      <c r="W493" s="68">
        <f>IF(OR(TaxOn&lt;&gt;"Yes",NOT(ISNUMBER(M493))),0,IF(IFERROR(INDEX(tt_Tax,MATCH(D493,tt_Type,0)),"No")="Yes",M493,0))</f>
        <v/>
      </c>
      <c r="X493" s="67">
        <f>IF(T493=1,"",IF(C493="","Missing transaction date",IF(NOT(ISNUMBER(C493)),"Invalid date",IF(OR(C493&lt;DATE(2000,1,1),C493&gt;DATE(2099,12,31)),"Invalid date",IF(D493="","Select a type",IF(U493="","Unknown type: "&amp;D493,IF(V493="","Select an account (Category)",IF(ISNA(MATCH(V493,coa_Name,0)),"Unknown account: "&amp;V493,IF(K493="","Select Paid From / Deposited To",IF(ISNA(MATCH(K493,coa_Name,0)),"Unknown account: "&amp;K493,IF(NOT(ISNUMBER(L493)),"Enter an amount",IF(L493=0,"Enter an amount",IF(ABS(W493)&gt;ABS(L493),"Tax is larger than the amount","")))))))))))))</f>
        <v/>
      </c>
      <c r="Y493" s="67">
        <f>IF(OR(T493=1,X493&lt;&gt;""),"",IF(AND(B493&lt;&gt;"",COUNTIF(tx_ID,B493)&gt;1),"Duplicate transaction ID",IF(AND(L493&lt;0,D493&lt;&gt;"Adjustment"),"Negative amount — check this entry",IF(AND(D493="Customer Payment",G493=""),"Add the customer",IF(AND(D493="Customer Payment",OR(J493="",COUNTIF(ar_No,J493&amp;"")=0)),"Invoice # in Reference not found on AR sheet",IF(AND(D493="Bill Payment",H493=""),"Add the vendor",IF(AND(D493="Bill Payment",OR(J493="",COUNTIFS(ap_No,J493&amp;"",ap_Party,H493&amp;"")=0)),"Bill # + vendor not found on AP sheet",IF(AND(ISNUMBER(M493),N(M493)&lt;&gt;0,W493=0),"Tax ignored (tax tracking off, or not allowed for this type)",IF(V493=K493&amp;"","Same account on both sides",IF(AND(ISNUMBER(StartDate),C493&lt;StartDate),"Date is before the accounting start date",IF(AND(D493&lt;&gt;"Adjustment",IFERROR(INDEX(coa_Pay,MATCH(K493&amp;"",coa_Name,0)),"")&lt;&gt;"Yes"),"Paid From / Deposited To is not a payment account","")))))))))))</f>
        <v/>
      </c>
      <c r="Z493" s="67">
        <f>IF(AND(T493=0,X493=""),1,0)</f>
        <v/>
      </c>
      <c r="AA493" s="68">
        <f>IF(Z493=1,IF(U493="In",L493,L493-W493),0)</f>
        <v/>
      </c>
      <c r="AB493" s="68">
        <f>IF(Z493=1,IF(U493="In",L493-W493,L493),0)</f>
        <v/>
      </c>
      <c r="AC493" s="68">
        <f>IF(AND(Z493=1,U493="Out"),W493,0)</f>
        <v/>
      </c>
      <c r="AD493" s="68">
        <f>IF(AND(Z493=1,U493="In"),W493,0)</f>
        <v/>
      </c>
    </row>
    <row r="494">
      <c r="B494" s="62" t="inlineStr">
        <is>
          <t>TX-0488</t>
        </is>
      </c>
      <c r="C494" s="63" t="n"/>
      <c r="D494" s="62" t="n"/>
      <c r="E494" s="62" t="n"/>
      <c r="F494" s="62" t="n"/>
      <c r="G494" s="62" t="n"/>
      <c r="H494" s="62" t="n"/>
      <c r="I494" s="62" t="n"/>
      <c r="J494" s="62" t="n"/>
      <c r="K494" s="62" t="n"/>
      <c r="L494" s="64" t="n"/>
      <c r="M494" s="64" t="n"/>
      <c r="N494" s="62" t="n"/>
      <c r="O494" s="65">
        <f>IF(Z494=1,L494-W494,"")</f>
        <v/>
      </c>
      <c r="P494" s="66">
        <f>IF(V494="","",IFERROR(INDEX(coa_Type,MATCH(V494,coa_Name,0)),""))</f>
        <v/>
      </c>
      <c r="Q494" s="66">
        <f>IF(Z494=1,IF(U494="In",K494&amp;"",V494),"")</f>
        <v/>
      </c>
      <c r="R494" s="66">
        <f>IF(Z494=1,IF(U494="In",V494,K494&amp;""),"")</f>
        <v/>
      </c>
      <c r="S494" s="66">
        <f>IF(X494&lt;&gt;"","⛔ "&amp;X494&amp;" — not posted",IF(Y494&lt;&gt;"","⚠ "&amp;Y494,IF(Z494=1,"✓ OK","")))</f>
        <v/>
      </c>
      <c r="T494" s="67">
        <f>IF(AND(C494="",D494="",E494="",L494="",K494=""),1,0)</f>
        <v/>
      </c>
      <c r="U494" s="67">
        <f>IFERROR(INDEX(tt_Dir,MATCH(D494,tt_Type,0)),"")</f>
        <v/>
      </c>
      <c r="V494" s="67">
        <f>IF(D494="","",IFERROR(IF(INDEX(tt_Other,MATCH(D494,tt_Type,0))="",E494&amp;"",INDEX(tt_Other,MATCH(D494,tt_Type,0))),""))</f>
        <v/>
      </c>
      <c r="W494" s="68">
        <f>IF(OR(TaxOn&lt;&gt;"Yes",NOT(ISNUMBER(M494))),0,IF(IFERROR(INDEX(tt_Tax,MATCH(D494,tt_Type,0)),"No")="Yes",M494,0))</f>
        <v/>
      </c>
      <c r="X494" s="67">
        <f>IF(T494=1,"",IF(C494="","Missing transaction date",IF(NOT(ISNUMBER(C494)),"Invalid date",IF(OR(C494&lt;DATE(2000,1,1),C494&gt;DATE(2099,12,31)),"Invalid date",IF(D494="","Select a type",IF(U494="","Unknown type: "&amp;D494,IF(V494="","Select an account (Category)",IF(ISNA(MATCH(V494,coa_Name,0)),"Unknown account: "&amp;V494,IF(K494="","Select Paid From / Deposited To",IF(ISNA(MATCH(K494,coa_Name,0)),"Unknown account: "&amp;K494,IF(NOT(ISNUMBER(L494)),"Enter an amount",IF(L494=0,"Enter an amount",IF(ABS(W494)&gt;ABS(L494),"Tax is larger than the amount","")))))))))))))</f>
        <v/>
      </c>
      <c r="Y494" s="67">
        <f>IF(OR(T494=1,X494&lt;&gt;""),"",IF(AND(B494&lt;&gt;"",COUNTIF(tx_ID,B494)&gt;1),"Duplicate transaction ID",IF(AND(L494&lt;0,D494&lt;&gt;"Adjustment"),"Negative amount — check this entry",IF(AND(D494="Customer Payment",G494=""),"Add the customer",IF(AND(D494="Customer Payment",OR(J494="",COUNTIF(ar_No,J494&amp;"")=0)),"Invoice # in Reference not found on AR sheet",IF(AND(D494="Bill Payment",H494=""),"Add the vendor",IF(AND(D494="Bill Payment",OR(J494="",COUNTIFS(ap_No,J494&amp;"",ap_Party,H494&amp;"")=0)),"Bill # + vendor not found on AP sheet",IF(AND(ISNUMBER(M494),N(M494)&lt;&gt;0,W494=0),"Tax ignored (tax tracking off, or not allowed for this type)",IF(V494=K494&amp;"","Same account on both sides",IF(AND(ISNUMBER(StartDate),C494&lt;StartDate),"Date is before the accounting start date",IF(AND(D494&lt;&gt;"Adjustment",IFERROR(INDEX(coa_Pay,MATCH(K494&amp;"",coa_Name,0)),"")&lt;&gt;"Yes"),"Paid From / Deposited To is not a payment account","")))))))))))</f>
        <v/>
      </c>
      <c r="Z494" s="67">
        <f>IF(AND(T494=0,X494=""),1,0)</f>
        <v/>
      </c>
      <c r="AA494" s="68">
        <f>IF(Z494=1,IF(U494="In",L494,L494-W494),0)</f>
        <v/>
      </c>
      <c r="AB494" s="68">
        <f>IF(Z494=1,IF(U494="In",L494-W494,L494),0)</f>
        <v/>
      </c>
      <c r="AC494" s="68">
        <f>IF(AND(Z494=1,U494="Out"),W494,0)</f>
        <v/>
      </c>
      <c r="AD494" s="68">
        <f>IF(AND(Z494=1,U494="In"),W494,0)</f>
        <v/>
      </c>
    </row>
    <row r="495">
      <c r="B495" s="62" t="inlineStr">
        <is>
          <t>TX-0489</t>
        </is>
      </c>
      <c r="C495" s="63" t="n"/>
      <c r="D495" s="62" t="n"/>
      <c r="E495" s="62" t="n"/>
      <c r="F495" s="62" t="n"/>
      <c r="G495" s="62" t="n"/>
      <c r="H495" s="62" t="n"/>
      <c r="I495" s="62" t="n"/>
      <c r="J495" s="62" t="n"/>
      <c r="K495" s="62" t="n"/>
      <c r="L495" s="64" t="n"/>
      <c r="M495" s="64" t="n"/>
      <c r="N495" s="62" t="n"/>
      <c r="O495" s="65">
        <f>IF(Z495=1,L495-W495,"")</f>
        <v/>
      </c>
      <c r="P495" s="66">
        <f>IF(V495="","",IFERROR(INDEX(coa_Type,MATCH(V495,coa_Name,0)),""))</f>
        <v/>
      </c>
      <c r="Q495" s="66">
        <f>IF(Z495=1,IF(U495="In",K495&amp;"",V495),"")</f>
        <v/>
      </c>
      <c r="R495" s="66">
        <f>IF(Z495=1,IF(U495="In",V495,K495&amp;""),"")</f>
        <v/>
      </c>
      <c r="S495" s="66">
        <f>IF(X495&lt;&gt;"","⛔ "&amp;X495&amp;" — not posted",IF(Y495&lt;&gt;"","⚠ "&amp;Y495,IF(Z495=1,"✓ OK","")))</f>
        <v/>
      </c>
      <c r="T495" s="67">
        <f>IF(AND(C495="",D495="",E495="",L495="",K495=""),1,0)</f>
        <v/>
      </c>
      <c r="U495" s="67">
        <f>IFERROR(INDEX(tt_Dir,MATCH(D495,tt_Type,0)),"")</f>
        <v/>
      </c>
      <c r="V495" s="67">
        <f>IF(D495="","",IFERROR(IF(INDEX(tt_Other,MATCH(D495,tt_Type,0))="",E495&amp;"",INDEX(tt_Other,MATCH(D495,tt_Type,0))),""))</f>
        <v/>
      </c>
      <c r="W495" s="68">
        <f>IF(OR(TaxOn&lt;&gt;"Yes",NOT(ISNUMBER(M495))),0,IF(IFERROR(INDEX(tt_Tax,MATCH(D495,tt_Type,0)),"No")="Yes",M495,0))</f>
        <v/>
      </c>
      <c r="X495" s="67">
        <f>IF(T495=1,"",IF(C495="","Missing transaction date",IF(NOT(ISNUMBER(C495)),"Invalid date",IF(OR(C495&lt;DATE(2000,1,1),C495&gt;DATE(2099,12,31)),"Invalid date",IF(D495="","Select a type",IF(U495="","Unknown type: "&amp;D495,IF(V495="","Select an account (Category)",IF(ISNA(MATCH(V495,coa_Name,0)),"Unknown account: "&amp;V495,IF(K495="","Select Paid From / Deposited To",IF(ISNA(MATCH(K495,coa_Name,0)),"Unknown account: "&amp;K495,IF(NOT(ISNUMBER(L495)),"Enter an amount",IF(L495=0,"Enter an amount",IF(ABS(W495)&gt;ABS(L495),"Tax is larger than the amount","")))))))))))))</f>
        <v/>
      </c>
      <c r="Y495" s="67">
        <f>IF(OR(T495=1,X495&lt;&gt;""),"",IF(AND(B495&lt;&gt;"",COUNTIF(tx_ID,B495)&gt;1),"Duplicate transaction ID",IF(AND(L495&lt;0,D495&lt;&gt;"Adjustment"),"Negative amount — check this entry",IF(AND(D495="Customer Payment",G495=""),"Add the customer",IF(AND(D495="Customer Payment",OR(J495="",COUNTIF(ar_No,J495&amp;"")=0)),"Invoice # in Reference not found on AR sheet",IF(AND(D495="Bill Payment",H495=""),"Add the vendor",IF(AND(D495="Bill Payment",OR(J495="",COUNTIFS(ap_No,J495&amp;"",ap_Party,H495&amp;"")=0)),"Bill # + vendor not found on AP sheet",IF(AND(ISNUMBER(M495),N(M495)&lt;&gt;0,W495=0),"Tax ignored (tax tracking off, or not allowed for this type)",IF(V495=K495&amp;"","Same account on both sides",IF(AND(ISNUMBER(StartDate),C495&lt;StartDate),"Date is before the accounting start date",IF(AND(D495&lt;&gt;"Adjustment",IFERROR(INDEX(coa_Pay,MATCH(K495&amp;"",coa_Name,0)),"")&lt;&gt;"Yes"),"Paid From / Deposited To is not a payment account","")))))))))))</f>
        <v/>
      </c>
      <c r="Z495" s="67">
        <f>IF(AND(T495=0,X495=""),1,0)</f>
        <v/>
      </c>
      <c r="AA495" s="68">
        <f>IF(Z495=1,IF(U495="In",L495,L495-W495),0)</f>
        <v/>
      </c>
      <c r="AB495" s="68">
        <f>IF(Z495=1,IF(U495="In",L495-W495,L495),0)</f>
        <v/>
      </c>
      <c r="AC495" s="68">
        <f>IF(AND(Z495=1,U495="Out"),W495,0)</f>
        <v/>
      </c>
      <c r="AD495" s="68">
        <f>IF(AND(Z495=1,U495="In"),W495,0)</f>
        <v/>
      </c>
    </row>
    <row r="496">
      <c r="B496" s="62" t="inlineStr">
        <is>
          <t>TX-0490</t>
        </is>
      </c>
      <c r="C496" s="63" t="n"/>
      <c r="D496" s="62" t="n"/>
      <c r="E496" s="62" t="n"/>
      <c r="F496" s="62" t="n"/>
      <c r="G496" s="62" t="n"/>
      <c r="H496" s="62" t="n"/>
      <c r="I496" s="62" t="n"/>
      <c r="J496" s="62" t="n"/>
      <c r="K496" s="62" t="n"/>
      <c r="L496" s="64" t="n"/>
      <c r="M496" s="64" t="n"/>
      <c r="N496" s="62" t="n"/>
      <c r="O496" s="65">
        <f>IF(Z496=1,L496-W496,"")</f>
        <v/>
      </c>
      <c r="P496" s="66">
        <f>IF(V496="","",IFERROR(INDEX(coa_Type,MATCH(V496,coa_Name,0)),""))</f>
        <v/>
      </c>
      <c r="Q496" s="66">
        <f>IF(Z496=1,IF(U496="In",K496&amp;"",V496),"")</f>
        <v/>
      </c>
      <c r="R496" s="66">
        <f>IF(Z496=1,IF(U496="In",V496,K496&amp;""),"")</f>
        <v/>
      </c>
      <c r="S496" s="66">
        <f>IF(X496&lt;&gt;"","⛔ "&amp;X496&amp;" — not posted",IF(Y496&lt;&gt;"","⚠ "&amp;Y496,IF(Z496=1,"✓ OK","")))</f>
        <v/>
      </c>
      <c r="T496" s="67">
        <f>IF(AND(C496="",D496="",E496="",L496="",K496=""),1,0)</f>
        <v/>
      </c>
      <c r="U496" s="67">
        <f>IFERROR(INDEX(tt_Dir,MATCH(D496,tt_Type,0)),"")</f>
        <v/>
      </c>
      <c r="V496" s="67">
        <f>IF(D496="","",IFERROR(IF(INDEX(tt_Other,MATCH(D496,tt_Type,0))="",E496&amp;"",INDEX(tt_Other,MATCH(D496,tt_Type,0))),""))</f>
        <v/>
      </c>
      <c r="W496" s="68">
        <f>IF(OR(TaxOn&lt;&gt;"Yes",NOT(ISNUMBER(M496))),0,IF(IFERROR(INDEX(tt_Tax,MATCH(D496,tt_Type,0)),"No")="Yes",M496,0))</f>
        <v/>
      </c>
      <c r="X496" s="67">
        <f>IF(T496=1,"",IF(C496="","Missing transaction date",IF(NOT(ISNUMBER(C496)),"Invalid date",IF(OR(C496&lt;DATE(2000,1,1),C496&gt;DATE(2099,12,31)),"Invalid date",IF(D496="","Select a type",IF(U496="","Unknown type: "&amp;D496,IF(V496="","Select an account (Category)",IF(ISNA(MATCH(V496,coa_Name,0)),"Unknown account: "&amp;V496,IF(K496="","Select Paid From / Deposited To",IF(ISNA(MATCH(K496,coa_Name,0)),"Unknown account: "&amp;K496,IF(NOT(ISNUMBER(L496)),"Enter an amount",IF(L496=0,"Enter an amount",IF(ABS(W496)&gt;ABS(L496),"Tax is larger than the amount","")))))))))))))</f>
        <v/>
      </c>
      <c r="Y496" s="67">
        <f>IF(OR(T496=1,X496&lt;&gt;""),"",IF(AND(B496&lt;&gt;"",COUNTIF(tx_ID,B496)&gt;1),"Duplicate transaction ID",IF(AND(L496&lt;0,D496&lt;&gt;"Adjustment"),"Negative amount — check this entry",IF(AND(D496="Customer Payment",G496=""),"Add the customer",IF(AND(D496="Customer Payment",OR(J496="",COUNTIF(ar_No,J496&amp;"")=0)),"Invoice # in Reference not found on AR sheet",IF(AND(D496="Bill Payment",H496=""),"Add the vendor",IF(AND(D496="Bill Payment",OR(J496="",COUNTIFS(ap_No,J496&amp;"",ap_Party,H496&amp;"")=0)),"Bill # + vendor not found on AP sheet",IF(AND(ISNUMBER(M496),N(M496)&lt;&gt;0,W496=0),"Tax ignored (tax tracking off, or not allowed for this type)",IF(V496=K496&amp;"","Same account on both sides",IF(AND(ISNUMBER(StartDate),C496&lt;StartDate),"Date is before the accounting start date",IF(AND(D496&lt;&gt;"Adjustment",IFERROR(INDEX(coa_Pay,MATCH(K496&amp;"",coa_Name,0)),"")&lt;&gt;"Yes"),"Paid From / Deposited To is not a payment account","")))))))))))</f>
        <v/>
      </c>
      <c r="Z496" s="67">
        <f>IF(AND(T496=0,X496=""),1,0)</f>
        <v/>
      </c>
      <c r="AA496" s="68">
        <f>IF(Z496=1,IF(U496="In",L496,L496-W496),0)</f>
        <v/>
      </c>
      <c r="AB496" s="68">
        <f>IF(Z496=1,IF(U496="In",L496-W496,L496),0)</f>
        <v/>
      </c>
      <c r="AC496" s="68">
        <f>IF(AND(Z496=1,U496="Out"),W496,0)</f>
        <v/>
      </c>
      <c r="AD496" s="68">
        <f>IF(AND(Z496=1,U496="In"),W496,0)</f>
        <v/>
      </c>
    </row>
    <row r="497">
      <c r="B497" s="62" t="inlineStr">
        <is>
          <t>TX-0491</t>
        </is>
      </c>
      <c r="C497" s="63" t="n"/>
      <c r="D497" s="62" t="n"/>
      <c r="E497" s="62" t="n"/>
      <c r="F497" s="62" t="n"/>
      <c r="G497" s="62" t="n"/>
      <c r="H497" s="62" t="n"/>
      <c r="I497" s="62" t="n"/>
      <c r="J497" s="62" t="n"/>
      <c r="K497" s="62" t="n"/>
      <c r="L497" s="64" t="n"/>
      <c r="M497" s="64" t="n"/>
      <c r="N497" s="62" t="n"/>
      <c r="O497" s="65">
        <f>IF(Z497=1,L497-W497,"")</f>
        <v/>
      </c>
      <c r="P497" s="66">
        <f>IF(V497="","",IFERROR(INDEX(coa_Type,MATCH(V497,coa_Name,0)),""))</f>
        <v/>
      </c>
      <c r="Q497" s="66">
        <f>IF(Z497=1,IF(U497="In",K497&amp;"",V497),"")</f>
        <v/>
      </c>
      <c r="R497" s="66">
        <f>IF(Z497=1,IF(U497="In",V497,K497&amp;""),"")</f>
        <v/>
      </c>
      <c r="S497" s="66">
        <f>IF(X497&lt;&gt;"","⛔ "&amp;X497&amp;" — not posted",IF(Y497&lt;&gt;"","⚠ "&amp;Y497,IF(Z497=1,"✓ OK","")))</f>
        <v/>
      </c>
      <c r="T497" s="67">
        <f>IF(AND(C497="",D497="",E497="",L497="",K497=""),1,0)</f>
        <v/>
      </c>
      <c r="U497" s="67">
        <f>IFERROR(INDEX(tt_Dir,MATCH(D497,tt_Type,0)),"")</f>
        <v/>
      </c>
      <c r="V497" s="67">
        <f>IF(D497="","",IFERROR(IF(INDEX(tt_Other,MATCH(D497,tt_Type,0))="",E497&amp;"",INDEX(tt_Other,MATCH(D497,tt_Type,0))),""))</f>
        <v/>
      </c>
      <c r="W497" s="68">
        <f>IF(OR(TaxOn&lt;&gt;"Yes",NOT(ISNUMBER(M497))),0,IF(IFERROR(INDEX(tt_Tax,MATCH(D497,tt_Type,0)),"No")="Yes",M497,0))</f>
        <v/>
      </c>
      <c r="X497" s="67">
        <f>IF(T497=1,"",IF(C497="","Missing transaction date",IF(NOT(ISNUMBER(C497)),"Invalid date",IF(OR(C497&lt;DATE(2000,1,1),C497&gt;DATE(2099,12,31)),"Invalid date",IF(D497="","Select a type",IF(U497="","Unknown type: "&amp;D497,IF(V497="","Select an account (Category)",IF(ISNA(MATCH(V497,coa_Name,0)),"Unknown account: "&amp;V497,IF(K497="","Select Paid From / Deposited To",IF(ISNA(MATCH(K497,coa_Name,0)),"Unknown account: "&amp;K497,IF(NOT(ISNUMBER(L497)),"Enter an amount",IF(L497=0,"Enter an amount",IF(ABS(W497)&gt;ABS(L497),"Tax is larger than the amount","")))))))))))))</f>
        <v/>
      </c>
      <c r="Y497" s="67">
        <f>IF(OR(T497=1,X497&lt;&gt;""),"",IF(AND(B497&lt;&gt;"",COUNTIF(tx_ID,B497)&gt;1),"Duplicate transaction ID",IF(AND(L497&lt;0,D497&lt;&gt;"Adjustment"),"Negative amount — check this entry",IF(AND(D497="Customer Payment",G497=""),"Add the customer",IF(AND(D497="Customer Payment",OR(J497="",COUNTIF(ar_No,J497&amp;"")=0)),"Invoice # in Reference not found on AR sheet",IF(AND(D497="Bill Payment",H497=""),"Add the vendor",IF(AND(D497="Bill Payment",OR(J497="",COUNTIFS(ap_No,J497&amp;"",ap_Party,H497&amp;"")=0)),"Bill # + vendor not found on AP sheet",IF(AND(ISNUMBER(M497),N(M497)&lt;&gt;0,W497=0),"Tax ignored (tax tracking off, or not allowed for this type)",IF(V497=K497&amp;"","Same account on both sides",IF(AND(ISNUMBER(StartDate),C497&lt;StartDate),"Date is before the accounting start date",IF(AND(D497&lt;&gt;"Adjustment",IFERROR(INDEX(coa_Pay,MATCH(K497&amp;"",coa_Name,0)),"")&lt;&gt;"Yes"),"Paid From / Deposited To is not a payment account","")))))))))))</f>
        <v/>
      </c>
      <c r="Z497" s="67">
        <f>IF(AND(T497=0,X497=""),1,0)</f>
        <v/>
      </c>
      <c r="AA497" s="68">
        <f>IF(Z497=1,IF(U497="In",L497,L497-W497),0)</f>
        <v/>
      </c>
      <c r="AB497" s="68">
        <f>IF(Z497=1,IF(U497="In",L497-W497,L497),0)</f>
        <v/>
      </c>
      <c r="AC497" s="68">
        <f>IF(AND(Z497=1,U497="Out"),W497,0)</f>
        <v/>
      </c>
      <c r="AD497" s="68">
        <f>IF(AND(Z497=1,U497="In"),W497,0)</f>
        <v/>
      </c>
    </row>
    <row r="498">
      <c r="B498" s="62" t="inlineStr">
        <is>
          <t>TX-0492</t>
        </is>
      </c>
      <c r="C498" s="63" t="n"/>
      <c r="D498" s="62" t="n"/>
      <c r="E498" s="62" t="n"/>
      <c r="F498" s="62" t="n"/>
      <c r="G498" s="62" t="n"/>
      <c r="H498" s="62" t="n"/>
      <c r="I498" s="62" t="n"/>
      <c r="J498" s="62" t="n"/>
      <c r="K498" s="62" t="n"/>
      <c r="L498" s="64" t="n"/>
      <c r="M498" s="64" t="n"/>
      <c r="N498" s="62" t="n"/>
      <c r="O498" s="65">
        <f>IF(Z498=1,L498-W498,"")</f>
        <v/>
      </c>
      <c r="P498" s="66">
        <f>IF(V498="","",IFERROR(INDEX(coa_Type,MATCH(V498,coa_Name,0)),""))</f>
        <v/>
      </c>
      <c r="Q498" s="66">
        <f>IF(Z498=1,IF(U498="In",K498&amp;"",V498),"")</f>
        <v/>
      </c>
      <c r="R498" s="66">
        <f>IF(Z498=1,IF(U498="In",V498,K498&amp;""),"")</f>
        <v/>
      </c>
      <c r="S498" s="66">
        <f>IF(X498&lt;&gt;"","⛔ "&amp;X498&amp;" — not posted",IF(Y498&lt;&gt;"","⚠ "&amp;Y498,IF(Z498=1,"✓ OK","")))</f>
        <v/>
      </c>
      <c r="T498" s="67">
        <f>IF(AND(C498="",D498="",E498="",L498="",K498=""),1,0)</f>
        <v/>
      </c>
      <c r="U498" s="67">
        <f>IFERROR(INDEX(tt_Dir,MATCH(D498,tt_Type,0)),"")</f>
        <v/>
      </c>
      <c r="V498" s="67">
        <f>IF(D498="","",IFERROR(IF(INDEX(tt_Other,MATCH(D498,tt_Type,0))="",E498&amp;"",INDEX(tt_Other,MATCH(D498,tt_Type,0))),""))</f>
        <v/>
      </c>
      <c r="W498" s="68">
        <f>IF(OR(TaxOn&lt;&gt;"Yes",NOT(ISNUMBER(M498))),0,IF(IFERROR(INDEX(tt_Tax,MATCH(D498,tt_Type,0)),"No")="Yes",M498,0))</f>
        <v/>
      </c>
      <c r="X498" s="67">
        <f>IF(T498=1,"",IF(C498="","Missing transaction date",IF(NOT(ISNUMBER(C498)),"Invalid date",IF(OR(C498&lt;DATE(2000,1,1),C498&gt;DATE(2099,12,31)),"Invalid date",IF(D498="","Select a type",IF(U498="","Unknown type: "&amp;D498,IF(V498="","Select an account (Category)",IF(ISNA(MATCH(V498,coa_Name,0)),"Unknown account: "&amp;V498,IF(K498="","Select Paid From / Deposited To",IF(ISNA(MATCH(K498,coa_Name,0)),"Unknown account: "&amp;K498,IF(NOT(ISNUMBER(L498)),"Enter an amount",IF(L498=0,"Enter an amount",IF(ABS(W498)&gt;ABS(L498),"Tax is larger than the amount","")))))))))))))</f>
        <v/>
      </c>
      <c r="Y498" s="67">
        <f>IF(OR(T498=1,X498&lt;&gt;""),"",IF(AND(B498&lt;&gt;"",COUNTIF(tx_ID,B498)&gt;1),"Duplicate transaction ID",IF(AND(L498&lt;0,D498&lt;&gt;"Adjustment"),"Negative amount — check this entry",IF(AND(D498="Customer Payment",G498=""),"Add the customer",IF(AND(D498="Customer Payment",OR(J498="",COUNTIF(ar_No,J498&amp;"")=0)),"Invoice # in Reference not found on AR sheet",IF(AND(D498="Bill Payment",H498=""),"Add the vendor",IF(AND(D498="Bill Payment",OR(J498="",COUNTIFS(ap_No,J498&amp;"",ap_Party,H498&amp;"")=0)),"Bill # + vendor not found on AP sheet",IF(AND(ISNUMBER(M498),N(M498)&lt;&gt;0,W498=0),"Tax ignored (tax tracking off, or not allowed for this type)",IF(V498=K498&amp;"","Same account on both sides",IF(AND(ISNUMBER(StartDate),C498&lt;StartDate),"Date is before the accounting start date",IF(AND(D498&lt;&gt;"Adjustment",IFERROR(INDEX(coa_Pay,MATCH(K498&amp;"",coa_Name,0)),"")&lt;&gt;"Yes"),"Paid From / Deposited To is not a payment account","")))))))))))</f>
        <v/>
      </c>
      <c r="Z498" s="67">
        <f>IF(AND(T498=0,X498=""),1,0)</f>
        <v/>
      </c>
      <c r="AA498" s="68">
        <f>IF(Z498=1,IF(U498="In",L498,L498-W498),0)</f>
        <v/>
      </c>
      <c r="AB498" s="68">
        <f>IF(Z498=1,IF(U498="In",L498-W498,L498),0)</f>
        <v/>
      </c>
      <c r="AC498" s="68">
        <f>IF(AND(Z498=1,U498="Out"),W498,0)</f>
        <v/>
      </c>
      <c r="AD498" s="68">
        <f>IF(AND(Z498=1,U498="In"),W498,0)</f>
        <v/>
      </c>
    </row>
    <row r="499">
      <c r="B499" s="62" t="inlineStr">
        <is>
          <t>TX-0493</t>
        </is>
      </c>
      <c r="C499" s="63" t="n"/>
      <c r="D499" s="62" t="n"/>
      <c r="E499" s="62" t="n"/>
      <c r="F499" s="62" t="n"/>
      <c r="G499" s="62" t="n"/>
      <c r="H499" s="62" t="n"/>
      <c r="I499" s="62" t="n"/>
      <c r="J499" s="62" t="n"/>
      <c r="K499" s="62" t="n"/>
      <c r="L499" s="64" t="n"/>
      <c r="M499" s="64" t="n"/>
      <c r="N499" s="62" t="n"/>
      <c r="O499" s="65">
        <f>IF(Z499=1,L499-W499,"")</f>
        <v/>
      </c>
      <c r="P499" s="66">
        <f>IF(V499="","",IFERROR(INDEX(coa_Type,MATCH(V499,coa_Name,0)),""))</f>
        <v/>
      </c>
      <c r="Q499" s="66">
        <f>IF(Z499=1,IF(U499="In",K499&amp;"",V499),"")</f>
        <v/>
      </c>
      <c r="R499" s="66">
        <f>IF(Z499=1,IF(U499="In",V499,K499&amp;""),"")</f>
        <v/>
      </c>
      <c r="S499" s="66">
        <f>IF(X499&lt;&gt;"","⛔ "&amp;X499&amp;" — not posted",IF(Y499&lt;&gt;"","⚠ "&amp;Y499,IF(Z499=1,"✓ OK","")))</f>
        <v/>
      </c>
      <c r="T499" s="67">
        <f>IF(AND(C499="",D499="",E499="",L499="",K499=""),1,0)</f>
        <v/>
      </c>
      <c r="U499" s="67">
        <f>IFERROR(INDEX(tt_Dir,MATCH(D499,tt_Type,0)),"")</f>
        <v/>
      </c>
      <c r="V499" s="67">
        <f>IF(D499="","",IFERROR(IF(INDEX(tt_Other,MATCH(D499,tt_Type,0))="",E499&amp;"",INDEX(tt_Other,MATCH(D499,tt_Type,0))),""))</f>
        <v/>
      </c>
      <c r="W499" s="68">
        <f>IF(OR(TaxOn&lt;&gt;"Yes",NOT(ISNUMBER(M499))),0,IF(IFERROR(INDEX(tt_Tax,MATCH(D499,tt_Type,0)),"No")="Yes",M499,0))</f>
        <v/>
      </c>
      <c r="X499" s="67">
        <f>IF(T499=1,"",IF(C499="","Missing transaction date",IF(NOT(ISNUMBER(C499)),"Invalid date",IF(OR(C499&lt;DATE(2000,1,1),C499&gt;DATE(2099,12,31)),"Invalid date",IF(D499="","Select a type",IF(U499="","Unknown type: "&amp;D499,IF(V499="","Select an account (Category)",IF(ISNA(MATCH(V499,coa_Name,0)),"Unknown account: "&amp;V499,IF(K499="","Select Paid From / Deposited To",IF(ISNA(MATCH(K499,coa_Name,0)),"Unknown account: "&amp;K499,IF(NOT(ISNUMBER(L499)),"Enter an amount",IF(L499=0,"Enter an amount",IF(ABS(W499)&gt;ABS(L499),"Tax is larger than the amount","")))))))))))))</f>
        <v/>
      </c>
      <c r="Y499" s="67">
        <f>IF(OR(T499=1,X499&lt;&gt;""),"",IF(AND(B499&lt;&gt;"",COUNTIF(tx_ID,B499)&gt;1),"Duplicate transaction ID",IF(AND(L499&lt;0,D499&lt;&gt;"Adjustment"),"Negative amount — check this entry",IF(AND(D499="Customer Payment",G499=""),"Add the customer",IF(AND(D499="Customer Payment",OR(J499="",COUNTIF(ar_No,J499&amp;"")=0)),"Invoice # in Reference not found on AR sheet",IF(AND(D499="Bill Payment",H499=""),"Add the vendor",IF(AND(D499="Bill Payment",OR(J499="",COUNTIFS(ap_No,J499&amp;"",ap_Party,H499&amp;"")=0)),"Bill # + vendor not found on AP sheet",IF(AND(ISNUMBER(M499),N(M499)&lt;&gt;0,W499=0),"Tax ignored (tax tracking off, or not allowed for this type)",IF(V499=K499&amp;"","Same account on both sides",IF(AND(ISNUMBER(StartDate),C499&lt;StartDate),"Date is before the accounting start date",IF(AND(D499&lt;&gt;"Adjustment",IFERROR(INDEX(coa_Pay,MATCH(K499&amp;"",coa_Name,0)),"")&lt;&gt;"Yes"),"Paid From / Deposited To is not a payment account","")))))))))))</f>
        <v/>
      </c>
      <c r="Z499" s="67">
        <f>IF(AND(T499=0,X499=""),1,0)</f>
        <v/>
      </c>
      <c r="AA499" s="68">
        <f>IF(Z499=1,IF(U499="In",L499,L499-W499),0)</f>
        <v/>
      </c>
      <c r="AB499" s="68">
        <f>IF(Z499=1,IF(U499="In",L499-W499,L499),0)</f>
        <v/>
      </c>
      <c r="AC499" s="68">
        <f>IF(AND(Z499=1,U499="Out"),W499,0)</f>
        <v/>
      </c>
      <c r="AD499" s="68">
        <f>IF(AND(Z499=1,U499="In"),W499,0)</f>
        <v/>
      </c>
    </row>
    <row r="500">
      <c r="B500" s="62" t="inlineStr">
        <is>
          <t>TX-0494</t>
        </is>
      </c>
      <c r="C500" s="63" t="n"/>
      <c r="D500" s="62" t="n"/>
      <c r="E500" s="62" t="n"/>
      <c r="F500" s="62" t="n"/>
      <c r="G500" s="62" t="n"/>
      <c r="H500" s="62" t="n"/>
      <c r="I500" s="62" t="n"/>
      <c r="J500" s="62" t="n"/>
      <c r="K500" s="62" t="n"/>
      <c r="L500" s="64" t="n"/>
      <c r="M500" s="64" t="n"/>
      <c r="N500" s="62" t="n"/>
      <c r="O500" s="65">
        <f>IF(Z500=1,L500-W500,"")</f>
        <v/>
      </c>
      <c r="P500" s="66">
        <f>IF(V500="","",IFERROR(INDEX(coa_Type,MATCH(V500,coa_Name,0)),""))</f>
        <v/>
      </c>
      <c r="Q500" s="66">
        <f>IF(Z500=1,IF(U500="In",K500&amp;"",V500),"")</f>
        <v/>
      </c>
      <c r="R500" s="66">
        <f>IF(Z500=1,IF(U500="In",V500,K500&amp;""),"")</f>
        <v/>
      </c>
      <c r="S500" s="66">
        <f>IF(X500&lt;&gt;"","⛔ "&amp;X500&amp;" — not posted",IF(Y500&lt;&gt;"","⚠ "&amp;Y500,IF(Z500=1,"✓ OK","")))</f>
        <v/>
      </c>
      <c r="T500" s="67">
        <f>IF(AND(C500="",D500="",E500="",L500="",K500=""),1,0)</f>
        <v/>
      </c>
      <c r="U500" s="67">
        <f>IFERROR(INDEX(tt_Dir,MATCH(D500,tt_Type,0)),"")</f>
        <v/>
      </c>
      <c r="V500" s="67">
        <f>IF(D500="","",IFERROR(IF(INDEX(tt_Other,MATCH(D500,tt_Type,0))="",E500&amp;"",INDEX(tt_Other,MATCH(D500,tt_Type,0))),""))</f>
        <v/>
      </c>
      <c r="W500" s="68">
        <f>IF(OR(TaxOn&lt;&gt;"Yes",NOT(ISNUMBER(M500))),0,IF(IFERROR(INDEX(tt_Tax,MATCH(D500,tt_Type,0)),"No")="Yes",M500,0))</f>
        <v/>
      </c>
      <c r="X500" s="67">
        <f>IF(T500=1,"",IF(C500="","Missing transaction date",IF(NOT(ISNUMBER(C500)),"Invalid date",IF(OR(C500&lt;DATE(2000,1,1),C500&gt;DATE(2099,12,31)),"Invalid date",IF(D500="","Select a type",IF(U500="","Unknown type: "&amp;D500,IF(V500="","Select an account (Category)",IF(ISNA(MATCH(V500,coa_Name,0)),"Unknown account: "&amp;V500,IF(K500="","Select Paid From / Deposited To",IF(ISNA(MATCH(K500,coa_Name,0)),"Unknown account: "&amp;K500,IF(NOT(ISNUMBER(L500)),"Enter an amount",IF(L500=0,"Enter an amount",IF(ABS(W500)&gt;ABS(L500),"Tax is larger than the amount","")))))))))))))</f>
        <v/>
      </c>
      <c r="Y500" s="67">
        <f>IF(OR(T500=1,X500&lt;&gt;""),"",IF(AND(B500&lt;&gt;"",COUNTIF(tx_ID,B500)&gt;1),"Duplicate transaction ID",IF(AND(L500&lt;0,D500&lt;&gt;"Adjustment"),"Negative amount — check this entry",IF(AND(D500="Customer Payment",G500=""),"Add the customer",IF(AND(D500="Customer Payment",OR(J500="",COUNTIF(ar_No,J500&amp;"")=0)),"Invoice # in Reference not found on AR sheet",IF(AND(D500="Bill Payment",H500=""),"Add the vendor",IF(AND(D500="Bill Payment",OR(J500="",COUNTIFS(ap_No,J500&amp;"",ap_Party,H500&amp;"")=0)),"Bill # + vendor not found on AP sheet",IF(AND(ISNUMBER(M500),N(M500)&lt;&gt;0,W500=0),"Tax ignored (tax tracking off, or not allowed for this type)",IF(V500=K500&amp;"","Same account on both sides",IF(AND(ISNUMBER(StartDate),C500&lt;StartDate),"Date is before the accounting start date",IF(AND(D500&lt;&gt;"Adjustment",IFERROR(INDEX(coa_Pay,MATCH(K500&amp;"",coa_Name,0)),"")&lt;&gt;"Yes"),"Paid From / Deposited To is not a payment account","")))))))))))</f>
        <v/>
      </c>
      <c r="Z500" s="67">
        <f>IF(AND(T500=0,X500=""),1,0)</f>
        <v/>
      </c>
      <c r="AA500" s="68">
        <f>IF(Z500=1,IF(U500="In",L500,L500-W500),0)</f>
        <v/>
      </c>
      <c r="AB500" s="68">
        <f>IF(Z500=1,IF(U500="In",L500-W500,L500),0)</f>
        <v/>
      </c>
      <c r="AC500" s="68">
        <f>IF(AND(Z500=1,U500="Out"),W500,0)</f>
        <v/>
      </c>
      <c r="AD500" s="68">
        <f>IF(AND(Z500=1,U500="In"),W500,0)</f>
        <v/>
      </c>
    </row>
    <row r="501">
      <c r="B501" s="62" t="inlineStr">
        <is>
          <t>TX-0495</t>
        </is>
      </c>
      <c r="C501" s="63" t="n"/>
      <c r="D501" s="62" t="n"/>
      <c r="E501" s="62" t="n"/>
      <c r="F501" s="62" t="n"/>
      <c r="G501" s="62" t="n"/>
      <c r="H501" s="62" t="n"/>
      <c r="I501" s="62" t="n"/>
      <c r="J501" s="62" t="n"/>
      <c r="K501" s="62" t="n"/>
      <c r="L501" s="64" t="n"/>
      <c r="M501" s="64" t="n"/>
      <c r="N501" s="62" t="n"/>
      <c r="O501" s="65">
        <f>IF(Z501=1,L501-W501,"")</f>
        <v/>
      </c>
      <c r="P501" s="66">
        <f>IF(V501="","",IFERROR(INDEX(coa_Type,MATCH(V501,coa_Name,0)),""))</f>
        <v/>
      </c>
      <c r="Q501" s="66">
        <f>IF(Z501=1,IF(U501="In",K501&amp;"",V501),"")</f>
        <v/>
      </c>
      <c r="R501" s="66">
        <f>IF(Z501=1,IF(U501="In",V501,K501&amp;""),"")</f>
        <v/>
      </c>
      <c r="S501" s="66">
        <f>IF(X501&lt;&gt;"","⛔ "&amp;X501&amp;" — not posted",IF(Y501&lt;&gt;"","⚠ "&amp;Y501,IF(Z501=1,"✓ OK","")))</f>
        <v/>
      </c>
      <c r="T501" s="67">
        <f>IF(AND(C501="",D501="",E501="",L501="",K501=""),1,0)</f>
        <v/>
      </c>
      <c r="U501" s="67">
        <f>IFERROR(INDEX(tt_Dir,MATCH(D501,tt_Type,0)),"")</f>
        <v/>
      </c>
      <c r="V501" s="67">
        <f>IF(D501="","",IFERROR(IF(INDEX(tt_Other,MATCH(D501,tt_Type,0))="",E501&amp;"",INDEX(tt_Other,MATCH(D501,tt_Type,0))),""))</f>
        <v/>
      </c>
      <c r="W501" s="68">
        <f>IF(OR(TaxOn&lt;&gt;"Yes",NOT(ISNUMBER(M501))),0,IF(IFERROR(INDEX(tt_Tax,MATCH(D501,tt_Type,0)),"No")="Yes",M501,0))</f>
        <v/>
      </c>
      <c r="X501" s="67">
        <f>IF(T501=1,"",IF(C501="","Missing transaction date",IF(NOT(ISNUMBER(C501)),"Invalid date",IF(OR(C501&lt;DATE(2000,1,1),C501&gt;DATE(2099,12,31)),"Invalid date",IF(D501="","Select a type",IF(U501="","Unknown type: "&amp;D501,IF(V501="","Select an account (Category)",IF(ISNA(MATCH(V501,coa_Name,0)),"Unknown account: "&amp;V501,IF(K501="","Select Paid From / Deposited To",IF(ISNA(MATCH(K501,coa_Name,0)),"Unknown account: "&amp;K501,IF(NOT(ISNUMBER(L501)),"Enter an amount",IF(L501=0,"Enter an amount",IF(ABS(W501)&gt;ABS(L501),"Tax is larger than the amount","")))))))))))))</f>
        <v/>
      </c>
      <c r="Y501" s="67">
        <f>IF(OR(T501=1,X501&lt;&gt;""),"",IF(AND(B501&lt;&gt;"",COUNTIF(tx_ID,B501)&gt;1),"Duplicate transaction ID",IF(AND(L501&lt;0,D501&lt;&gt;"Adjustment"),"Negative amount — check this entry",IF(AND(D501="Customer Payment",G501=""),"Add the customer",IF(AND(D501="Customer Payment",OR(J501="",COUNTIF(ar_No,J501&amp;"")=0)),"Invoice # in Reference not found on AR sheet",IF(AND(D501="Bill Payment",H501=""),"Add the vendor",IF(AND(D501="Bill Payment",OR(J501="",COUNTIFS(ap_No,J501&amp;"",ap_Party,H501&amp;"")=0)),"Bill # + vendor not found on AP sheet",IF(AND(ISNUMBER(M501),N(M501)&lt;&gt;0,W501=0),"Tax ignored (tax tracking off, or not allowed for this type)",IF(V501=K501&amp;"","Same account on both sides",IF(AND(ISNUMBER(StartDate),C501&lt;StartDate),"Date is before the accounting start date",IF(AND(D501&lt;&gt;"Adjustment",IFERROR(INDEX(coa_Pay,MATCH(K501&amp;"",coa_Name,0)),"")&lt;&gt;"Yes"),"Paid From / Deposited To is not a payment account","")))))))))))</f>
        <v/>
      </c>
      <c r="Z501" s="67">
        <f>IF(AND(T501=0,X501=""),1,0)</f>
        <v/>
      </c>
      <c r="AA501" s="68">
        <f>IF(Z501=1,IF(U501="In",L501,L501-W501),0)</f>
        <v/>
      </c>
      <c r="AB501" s="68">
        <f>IF(Z501=1,IF(U501="In",L501-W501,L501),0)</f>
        <v/>
      </c>
      <c r="AC501" s="68">
        <f>IF(AND(Z501=1,U501="Out"),W501,0)</f>
        <v/>
      </c>
      <c r="AD501" s="68">
        <f>IF(AND(Z501=1,U501="In"),W501,0)</f>
        <v/>
      </c>
    </row>
    <row r="502">
      <c r="B502" s="62" t="inlineStr">
        <is>
          <t>TX-0496</t>
        </is>
      </c>
      <c r="C502" s="63" t="n"/>
      <c r="D502" s="62" t="n"/>
      <c r="E502" s="62" t="n"/>
      <c r="F502" s="62" t="n"/>
      <c r="G502" s="62" t="n"/>
      <c r="H502" s="62" t="n"/>
      <c r="I502" s="62" t="n"/>
      <c r="J502" s="62" t="n"/>
      <c r="K502" s="62" t="n"/>
      <c r="L502" s="64" t="n"/>
      <c r="M502" s="64" t="n"/>
      <c r="N502" s="62" t="n"/>
      <c r="O502" s="65">
        <f>IF(Z502=1,L502-W502,"")</f>
        <v/>
      </c>
      <c r="P502" s="66">
        <f>IF(V502="","",IFERROR(INDEX(coa_Type,MATCH(V502,coa_Name,0)),""))</f>
        <v/>
      </c>
      <c r="Q502" s="66">
        <f>IF(Z502=1,IF(U502="In",K502&amp;"",V502),"")</f>
        <v/>
      </c>
      <c r="R502" s="66">
        <f>IF(Z502=1,IF(U502="In",V502,K502&amp;""),"")</f>
        <v/>
      </c>
      <c r="S502" s="66">
        <f>IF(X502&lt;&gt;"","⛔ "&amp;X502&amp;" — not posted",IF(Y502&lt;&gt;"","⚠ "&amp;Y502,IF(Z502=1,"✓ OK","")))</f>
        <v/>
      </c>
      <c r="T502" s="67">
        <f>IF(AND(C502="",D502="",E502="",L502="",K502=""),1,0)</f>
        <v/>
      </c>
      <c r="U502" s="67">
        <f>IFERROR(INDEX(tt_Dir,MATCH(D502,tt_Type,0)),"")</f>
        <v/>
      </c>
      <c r="V502" s="67">
        <f>IF(D502="","",IFERROR(IF(INDEX(tt_Other,MATCH(D502,tt_Type,0))="",E502&amp;"",INDEX(tt_Other,MATCH(D502,tt_Type,0))),""))</f>
        <v/>
      </c>
      <c r="W502" s="68">
        <f>IF(OR(TaxOn&lt;&gt;"Yes",NOT(ISNUMBER(M502))),0,IF(IFERROR(INDEX(tt_Tax,MATCH(D502,tt_Type,0)),"No")="Yes",M502,0))</f>
        <v/>
      </c>
      <c r="X502" s="67">
        <f>IF(T502=1,"",IF(C502="","Missing transaction date",IF(NOT(ISNUMBER(C502)),"Invalid date",IF(OR(C502&lt;DATE(2000,1,1),C502&gt;DATE(2099,12,31)),"Invalid date",IF(D502="","Select a type",IF(U502="","Unknown type: "&amp;D502,IF(V502="","Select an account (Category)",IF(ISNA(MATCH(V502,coa_Name,0)),"Unknown account: "&amp;V502,IF(K502="","Select Paid From / Deposited To",IF(ISNA(MATCH(K502,coa_Name,0)),"Unknown account: "&amp;K502,IF(NOT(ISNUMBER(L502)),"Enter an amount",IF(L502=0,"Enter an amount",IF(ABS(W502)&gt;ABS(L502),"Tax is larger than the amount","")))))))))))))</f>
        <v/>
      </c>
      <c r="Y502" s="67">
        <f>IF(OR(T502=1,X502&lt;&gt;""),"",IF(AND(B502&lt;&gt;"",COUNTIF(tx_ID,B502)&gt;1),"Duplicate transaction ID",IF(AND(L502&lt;0,D502&lt;&gt;"Adjustment"),"Negative amount — check this entry",IF(AND(D502="Customer Payment",G502=""),"Add the customer",IF(AND(D502="Customer Payment",OR(J502="",COUNTIF(ar_No,J502&amp;"")=0)),"Invoice # in Reference not found on AR sheet",IF(AND(D502="Bill Payment",H502=""),"Add the vendor",IF(AND(D502="Bill Payment",OR(J502="",COUNTIFS(ap_No,J502&amp;"",ap_Party,H502&amp;"")=0)),"Bill # + vendor not found on AP sheet",IF(AND(ISNUMBER(M502),N(M502)&lt;&gt;0,W502=0),"Tax ignored (tax tracking off, or not allowed for this type)",IF(V502=K502&amp;"","Same account on both sides",IF(AND(ISNUMBER(StartDate),C502&lt;StartDate),"Date is before the accounting start date",IF(AND(D502&lt;&gt;"Adjustment",IFERROR(INDEX(coa_Pay,MATCH(K502&amp;"",coa_Name,0)),"")&lt;&gt;"Yes"),"Paid From / Deposited To is not a payment account","")))))))))))</f>
        <v/>
      </c>
      <c r="Z502" s="67">
        <f>IF(AND(T502=0,X502=""),1,0)</f>
        <v/>
      </c>
      <c r="AA502" s="68">
        <f>IF(Z502=1,IF(U502="In",L502,L502-W502),0)</f>
        <v/>
      </c>
      <c r="AB502" s="68">
        <f>IF(Z502=1,IF(U502="In",L502-W502,L502),0)</f>
        <v/>
      </c>
      <c r="AC502" s="68">
        <f>IF(AND(Z502=1,U502="Out"),W502,0)</f>
        <v/>
      </c>
      <c r="AD502" s="68">
        <f>IF(AND(Z502=1,U502="In"),W502,0)</f>
        <v/>
      </c>
    </row>
    <row r="503">
      <c r="B503" s="62" t="inlineStr">
        <is>
          <t>TX-0497</t>
        </is>
      </c>
      <c r="C503" s="63" t="n"/>
      <c r="D503" s="62" t="n"/>
      <c r="E503" s="62" t="n"/>
      <c r="F503" s="62" t="n"/>
      <c r="G503" s="62" t="n"/>
      <c r="H503" s="62" t="n"/>
      <c r="I503" s="62" t="n"/>
      <c r="J503" s="62" t="n"/>
      <c r="K503" s="62" t="n"/>
      <c r="L503" s="64" t="n"/>
      <c r="M503" s="64" t="n"/>
      <c r="N503" s="62" t="n"/>
      <c r="O503" s="65">
        <f>IF(Z503=1,L503-W503,"")</f>
        <v/>
      </c>
      <c r="P503" s="66">
        <f>IF(V503="","",IFERROR(INDEX(coa_Type,MATCH(V503,coa_Name,0)),""))</f>
        <v/>
      </c>
      <c r="Q503" s="66">
        <f>IF(Z503=1,IF(U503="In",K503&amp;"",V503),"")</f>
        <v/>
      </c>
      <c r="R503" s="66">
        <f>IF(Z503=1,IF(U503="In",V503,K503&amp;""),"")</f>
        <v/>
      </c>
      <c r="S503" s="66">
        <f>IF(X503&lt;&gt;"","⛔ "&amp;X503&amp;" — not posted",IF(Y503&lt;&gt;"","⚠ "&amp;Y503,IF(Z503=1,"✓ OK","")))</f>
        <v/>
      </c>
      <c r="T503" s="67">
        <f>IF(AND(C503="",D503="",E503="",L503="",K503=""),1,0)</f>
        <v/>
      </c>
      <c r="U503" s="67">
        <f>IFERROR(INDEX(tt_Dir,MATCH(D503,tt_Type,0)),"")</f>
        <v/>
      </c>
      <c r="V503" s="67">
        <f>IF(D503="","",IFERROR(IF(INDEX(tt_Other,MATCH(D503,tt_Type,0))="",E503&amp;"",INDEX(tt_Other,MATCH(D503,tt_Type,0))),""))</f>
        <v/>
      </c>
      <c r="W503" s="68">
        <f>IF(OR(TaxOn&lt;&gt;"Yes",NOT(ISNUMBER(M503))),0,IF(IFERROR(INDEX(tt_Tax,MATCH(D503,tt_Type,0)),"No")="Yes",M503,0))</f>
        <v/>
      </c>
      <c r="X503" s="67">
        <f>IF(T503=1,"",IF(C503="","Missing transaction date",IF(NOT(ISNUMBER(C503)),"Invalid date",IF(OR(C503&lt;DATE(2000,1,1),C503&gt;DATE(2099,12,31)),"Invalid date",IF(D503="","Select a type",IF(U503="","Unknown type: "&amp;D503,IF(V503="","Select an account (Category)",IF(ISNA(MATCH(V503,coa_Name,0)),"Unknown account: "&amp;V503,IF(K503="","Select Paid From / Deposited To",IF(ISNA(MATCH(K503,coa_Name,0)),"Unknown account: "&amp;K503,IF(NOT(ISNUMBER(L503)),"Enter an amount",IF(L503=0,"Enter an amount",IF(ABS(W503)&gt;ABS(L503),"Tax is larger than the amount","")))))))))))))</f>
        <v/>
      </c>
      <c r="Y503" s="67">
        <f>IF(OR(T503=1,X503&lt;&gt;""),"",IF(AND(B503&lt;&gt;"",COUNTIF(tx_ID,B503)&gt;1),"Duplicate transaction ID",IF(AND(L503&lt;0,D503&lt;&gt;"Adjustment"),"Negative amount — check this entry",IF(AND(D503="Customer Payment",G503=""),"Add the customer",IF(AND(D503="Customer Payment",OR(J503="",COUNTIF(ar_No,J503&amp;"")=0)),"Invoice # in Reference not found on AR sheet",IF(AND(D503="Bill Payment",H503=""),"Add the vendor",IF(AND(D503="Bill Payment",OR(J503="",COUNTIFS(ap_No,J503&amp;"",ap_Party,H503&amp;"")=0)),"Bill # + vendor not found on AP sheet",IF(AND(ISNUMBER(M503),N(M503)&lt;&gt;0,W503=0),"Tax ignored (tax tracking off, or not allowed for this type)",IF(V503=K503&amp;"","Same account on both sides",IF(AND(ISNUMBER(StartDate),C503&lt;StartDate),"Date is before the accounting start date",IF(AND(D503&lt;&gt;"Adjustment",IFERROR(INDEX(coa_Pay,MATCH(K503&amp;"",coa_Name,0)),"")&lt;&gt;"Yes"),"Paid From / Deposited To is not a payment account","")))))))))))</f>
        <v/>
      </c>
      <c r="Z503" s="67">
        <f>IF(AND(T503=0,X503=""),1,0)</f>
        <v/>
      </c>
      <c r="AA503" s="68">
        <f>IF(Z503=1,IF(U503="In",L503,L503-W503),0)</f>
        <v/>
      </c>
      <c r="AB503" s="68">
        <f>IF(Z503=1,IF(U503="In",L503-W503,L503),0)</f>
        <v/>
      </c>
      <c r="AC503" s="68">
        <f>IF(AND(Z503=1,U503="Out"),W503,0)</f>
        <v/>
      </c>
      <c r="AD503" s="68">
        <f>IF(AND(Z503=1,U503="In"),W503,0)</f>
        <v/>
      </c>
    </row>
    <row r="504">
      <c r="B504" s="62" t="inlineStr">
        <is>
          <t>TX-0498</t>
        </is>
      </c>
      <c r="C504" s="63" t="n"/>
      <c r="D504" s="62" t="n"/>
      <c r="E504" s="62" t="n"/>
      <c r="F504" s="62" t="n"/>
      <c r="G504" s="62" t="n"/>
      <c r="H504" s="62" t="n"/>
      <c r="I504" s="62" t="n"/>
      <c r="J504" s="62" t="n"/>
      <c r="K504" s="62" t="n"/>
      <c r="L504" s="64" t="n"/>
      <c r="M504" s="64" t="n"/>
      <c r="N504" s="62" t="n"/>
      <c r="O504" s="65">
        <f>IF(Z504=1,L504-W504,"")</f>
        <v/>
      </c>
      <c r="P504" s="66">
        <f>IF(V504="","",IFERROR(INDEX(coa_Type,MATCH(V504,coa_Name,0)),""))</f>
        <v/>
      </c>
      <c r="Q504" s="66">
        <f>IF(Z504=1,IF(U504="In",K504&amp;"",V504),"")</f>
        <v/>
      </c>
      <c r="R504" s="66">
        <f>IF(Z504=1,IF(U504="In",V504,K504&amp;""),"")</f>
        <v/>
      </c>
      <c r="S504" s="66">
        <f>IF(X504&lt;&gt;"","⛔ "&amp;X504&amp;" — not posted",IF(Y504&lt;&gt;"","⚠ "&amp;Y504,IF(Z504=1,"✓ OK","")))</f>
        <v/>
      </c>
      <c r="T504" s="67">
        <f>IF(AND(C504="",D504="",E504="",L504="",K504=""),1,0)</f>
        <v/>
      </c>
      <c r="U504" s="67">
        <f>IFERROR(INDEX(tt_Dir,MATCH(D504,tt_Type,0)),"")</f>
        <v/>
      </c>
      <c r="V504" s="67">
        <f>IF(D504="","",IFERROR(IF(INDEX(tt_Other,MATCH(D504,tt_Type,0))="",E504&amp;"",INDEX(tt_Other,MATCH(D504,tt_Type,0))),""))</f>
        <v/>
      </c>
      <c r="W504" s="68">
        <f>IF(OR(TaxOn&lt;&gt;"Yes",NOT(ISNUMBER(M504))),0,IF(IFERROR(INDEX(tt_Tax,MATCH(D504,tt_Type,0)),"No")="Yes",M504,0))</f>
        <v/>
      </c>
      <c r="X504" s="67">
        <f>IF(T504=1,"",IF(C504="","Missing transaction date",IF(NOT(ISNUMBER(C504)),"Invalid date",IF(OR(C504&lt;DATE(2000,1,1),C504&gt;DATE(2099,12,31)),"Invalid date",IF(D504="","Select a type",IF(U504="","Unknown type: "&amp;D504,IF(V504="","Select an account (Category)",IF(ISNA(MATCH(V504,coa_Name,0)),"Unknown account: "&amp;V504,IF(K504="","Select Paid From / Deposited To",IF(ISNA(MATCH(K504,coa_Name,0)),"Unknown account: "&amp;K504,IF(NOT(ISNUMBER(L504)),"Enter an amount",IF(L504=0,"Enter an amount",IF(ABS(W504)&gt;ABS(L504),"Tax is larger than the amount","")))))))))))))</f>
        <v/>
      </c>
      <c r="Y504" s="67">
        <f>IF(OR(T504=1,X504&lt;&gt;""),"",IF(AND(B504&lt;&gt;"",COUNTIF(tx_ID,B504)&gt;1),"Duplicate transaction ID",IF(AND(L504&lt;0,D504&lt;&gt;"Adjustment"),"Negative amount — check this entry",IF(AND(D504="Customer Payment",G504=""),"Add the customer",IF(AND(D504="Customer Payment",OR(J504="",COUNTIF(ar_No,J504&amp;"")=0)),"Invoice # in Reference not found on AR sheet",IF(AND(D504="Bill Payment",H504=""),"Add the vendor",IF(AND(D504="Bill Payment",OR(J504="",COUNTIFS(ap_No,J504&amp;"",ap_Party,H504&amp;"")=0)),"Bill # + vendor not found on AP sheet",IF(AND(ISNUMBER(M504),N(M504)&lt;&gt;0,W504=0),"Tax ignored (tax tracking off, or not allowed for this type)",IF(V504=K504&amp;"","Same account on both sides",IF(AND(ISNUMBER(StartDate),C504&lt;StartDate),"Date is before the accounting start date",IF(AND(D504&lt;&gt;"Adjustment",IFERROR(INDEX(coa_Pay,MATCH(K504&amp;"",coa_Name,0)),"")&lt;&gt;"Yes"),"Paid From / Deposited To is not a payment account","")))))))))))</f>
        <v/>
      </c>
      <c r="Z504" s="67">
        <f>IF(AND(T504=0,X504=""),1,0)</f>
        <v/>
      </c>
      <c r="AA504" s="68">
        <f>IF(Z504=1,IF(U504="In",L504,L504-W504),0)</f>
        <v/>
      </c>
      <c r="AB504" s="68">
        <f>IF(Z504=1,IF(U504="In",L504-W504,L504),0)</f>
        <v/>
      </c>
      <c r="AC504" s="68">
        <f>IF(AND(Z504=1,U504="Out"),W504,0)</f>
        <v/>
      </c>
      <c r="AD504" s="68">
        <f>IF(AND(Z504=1,U504="In"),W504,0)</f>
        <v/>
      </c>
    </row>
    <row r="505">
      <c r="B505" s="62" t="inlineStr">
        <is>
          <t>TX-0499</t>
        </is>
      </c>
      <c r="C505" s="63" t="n"/>
      <c r="D505" s="62" t="n"/>
      <c r="E505" s="62" t="n"/>
      <c r="F505" s="62" t="n"/>
      <c r="G505" s="62" t="n"/>
      <c r="H505" s="62" t="n"/>
      <c r="I505" s="62" t="n"/>
      <c r="J505" s="62" t="n"/>
      <c r="K505" s="62" t="n"/>
      <c r="L505" s="64" t="n"/>
      <c r="M505" s="64" t="n"/>
      <c r="N505" s="62" t="n"/>
      <c r="O505" s="65">
        <f>IF(Z505=1,L505-W505,"")</f>
        <v/>
      </c>
      <c r="P505" s="66">
        <f>IF(V505="","",IFERROR(INDEX(coa_Type,MATCH(V505,coa_Name,0)),""))</f>
        <v/>
      </c>
      <c r="Q505" s="66">
        <f>IF(Z505=1,IF(U505="In",K505&amp;"",V505),"")</f>
        <v/>
      </c>
      <c r="R505" s="66">
        <f>IF(Z505=1,IF(U505="In",V505,K505&amp;""),"")</f>
        <v/>
      </c>
      <c r="S505" s="66">
        <f>IF(X505&lt;&gt;"","⛔ "&amp;X505&amp;" — not posted",IF(Y505&lt;&gt;"","⚠ "&amp;Y505,IF(Z505=1,"✓ OK","")))</f>
        <v/>
      </c>
      <c r="T505" s="67">
        <f>IF(AND(C505="",D505="",E505="",L505="",K505=""),1,0)</f>
        <v/>
      </c>
      <c r="U505" s="67">
        <f>IFERROR(INDEX(tt_Dir,MATCH(D505,tt_Type,0)),"")</f>
        <v/>
      </c>
      <c r="V505" s="67">
        <f>IF(D505="","",IFERROR(IF(INDEX(tt_Other,MATCH(D505,tt_Type,0))="",E505&amp;"",INDEX(tt_Other,MATCH(D505,tt_Type,0))),""))</f>
        <v/>
      </c>
      <c r="W505" s="68">
        <f>IF(OR(TaxOn&lt;&gt;"Yes",NOT(ISNUMBER(M505))),0,IF(IFERROR(INDEX(tt_Tax,MATCH(D505,tt_Type,0)),"No")="Yes",M505,0))</f>
        <v/>
      </c>
      <c r="X505" s="67">
        <f>IF(T505=1,"",IF(C505="","Missing transaction date",IF(NOT(ISNUMBER(C505)),"Invalid date",IF(OR(C505&lt;DATE(2000,1,1),C505&gt;DATE(2099,12,31)),"Invalid date",IF(D505="","Select a type",IF(U505="","Unknown type: "&amp;D505,IF(V505="","Select an account (Category)",IF(ISNA(MATCH(V505,coa_Name,0)),"Unknown account: "&amp;V505,IF(K505="","Select Paid From / Deposited To",IF(ISNA(MATCH(K505,coa_Name,0)),"Unknown account: "&amp;K505,IF(NOT(ISNUMBER(L505)),"Enter an amount",IF(L505=0,"Enter an amount",IF(ABS(W505)&gt;ABS(L505),"Tax is larger than the amount","")))))))))))))</f>
        <v/>
      </c>
      <c r="Y505" s="67">
        <f>IF(OR(T505=1,X505&lt;&gt;""),"",IF(AND(B505&lt;&gt;"",COUNTIF(tx_ID,B505)&gt;1),"Duplicate transaction ID",IF(AND(L505&lt;0,D505&lt;&gt;"Adjustment"),"Negative amount — check this entry",IF(AND(D505="Customer Payment",G505=""),"Add the customer",IF(AND(D505="Customer Payment",OR(J505="",COUNTIF(ar_No,J505&amp;"")=0)),"Invoice # in Reference not found on AR sheet",IF(AND(D505="Bill Payment",H505=""),"Add the vendor",IF(AND(D505="Bill Payment",OR(J505="",COUNTIFS(ap_No,J505&amp;"",ap_Party,H505&amp;"")=0)),"Bill # + vendor not found on AP sheet",IF(AND(ISNUMBER(M505),N(M505)&lt;&gt;0,W505=0),"Tax ignored (tax tracking off, or not allowed for this type)",IF(V505=K505&amp;"","Same account on both sides",IF(AND(ISNUMBER(StartDate),C505&lt;StartDate),"Date is before the accounting start date",IF(AND(D505&lt;&gt;"Adjustment",IFERROR(INDEX(coa_Pay,MATCH(K505&amp;"",coa_Name,0)),"")&lt;&gt;"Yes"),"Paid From / Deposited To is not a payment account","")))))))))))</f>
        <v/>
      </c>
      <c r="Z505" s="67">
        <f>IF(AND(T505=0,X505=""),1,0)</f>
        <v/>
      </c>
      <c r="AA505" s="68">
        <f>IF(Z505=1,IF(U505="In",L505,L505-W505),0)</f>
        <v/>
      </c>
      <c r="AB505" s="68">
        <f>IF(Z505=1,IF(U505="In",L505-W505,L505),0)</f>
        <v/>
      </c>
      <c r="AC505" s="68">
        <f>IF(AND(Z505=1,U505="Out"),W505,0)</f>
        <v/>
      </c>
      <c r="AD505" s="68">
        <f>IF(AND(Z505=1,U505="In"),W505,0)</f>
        <v/>
      </c>
    </row>
    <row r="506">
      <c r="B506" s="62" t="inlineStr">
        <is>
          <t>TX-0500</t>
        </is>
      </c>
      <c r="C506" s="63" t="n"/>
      <c r="D506" s="62" t="n"/>
      <c r="E506" s="62" t="n"/>
      <c r="F506" s="62" t="n"/>
      <c r="G506" s="62" t="n"/>
      <c r="H506" s="62" t="n"/>
      <c r="I506" s="62" t="n"/>
      <c r="J506" s="62" t="n"/>
      <c r="K506" s="62" t="n"/>
      <c r="L506" s="64" t="n"/>
      <c r="M506" s="64" t="n"/>
      <c r="N506" s="62" t="n"/>
      <c r="O506" s="65">
        <f>IF(Z506=1,L506-W506,"")</f>
        <v/>
      </c>
      <c r="P506" s="66">
        <f>IF(V506="","",IFERROR(INDEX(coa_Type,MATCH(V506,coa_Name,0)),""))</f>
        <v/>
      </c>
      <c r="Q506" s="66">
        <f>IF(Z506=1,IF(U506="In",K506&amp;"",V506),"")</f>
        <v/>
      </c>
      <c r="R506" s="66">
        <f>IF(Z506=1,IF(U506="In",V506,K506&amp;""),"")</f>
        <v/>
      </c>
      <c r="S506" s="66">
        <f>IF(X506&lt;&gt;"","⛔ "&amp;X506&amp;" — not posted",IF(Y506&lt;&gt;"","⚠ "&amp;Y506,IF(Z506=1,"✓ OK","")))</f>
        <v/>
      </c>
      <c r="T506" s="67">
        <f>IF(AND(C506="",D506="",E506="",L506="",K506=""),1,0)</f>
        <v/>
      </c>
      <c r="U506" s="67">
        <f>IFERROR(INDEX(tt_Dir,MATCH(D506,tt_Type,0)),"")</f>
        <v/>
      </c>
      <c r="V506" s="67">
        <f>IF(D506="","",IFERROR(IF(INDEX(tt_Other,MATCH(D506,tt_Type,0))="",E506&amp;"",INDEX(tt_Other,MATCH(D506,tt_Type,0))),""))</f>
        <v/>
      </c>
      <c r="W506" s="68">
        <f>IF(OR(TaxOn&lt;&gt;"Yes",NOT(ISNUMBER(M506))),0,IF(IFERROR(INDEX(tt_Tax,MATCH(D506,tt_Type,0)),"No")="Yes",M506,0))</f>
        <v/>
      </c>
      <c r="X506" s="67">
        <f>IF(T506=1,"",IF(C506="","Missing transaction date",IF(NOT(ISNUMBER(C506)),"Invalid date",IF(OR(C506&lt;DATE(2000,1,1),C506&gt;DATE(2099,12,31)),"Invalid date",IF(D506="","Select a type",IF(U506="","Unknown type: "&amp;D506,IF(V506="","Select an account (Category)",IF(ISNA(MATCH(V506,coa_Name,0)),"Unknown account: "&amp;V506,IF(K506="","Select Paid From / Deposited To",IF(ISNA(MATCH(K506,coa_Name,0)),"Unknown account: "&amp;K506,IF(NOT(ISNUMBER(L506)),"Enter an amount",IF(L506=0,"Enter an amount",IF(ABS(W506)&gt;ABS(L506),"Tax is larger than the amount","")))))))))))))</f>
        <v/>
      </c>
      <c r="Y506" s="67">
        <f>IF(OR(T506=1,X506&lt;&gt;""),"",IF(AND(B506&lt;&gt;"",COUNTIF(tx_ID,B506)&gt;1),"Duplicate transaction ID",IF(AND(L506&lt;0,D506&lt;&gt;"Adjustment"),"Negative amount — check this entry",IF(AND(D506="Customer Payment",G506=""),"Add the customer",IF(AND(D506="Customer Payment",OR(J506="",COUNTIF(ar_No,J506&amp;"")=0)),"Invoice # in Reference not found on AR sheet",IF(AND(D506="Bill Payment",H506=""),"Add the vendor",IF(AND(D506="Bill Payment",OR(J506="",COUNTIFS(ap_No,J506&amp;"",ap_Party,H506&amp;"")=0)),"Bill # + vendor not found on AP sheet",IF(AND(ISNUMBER(M506),N(M506)&lt;&gt;0,W506=0),"Tax ignored (tax tracking off, or not allowed for this type)",IF(V506=K506&amp;"","Same account on both sides",IF(AND(ISNUMBER(StartDate),C506&lt;StartDate),"Date is before the accounting start date",IF(AND(D506&lt;&gt;"Adjustment",IFERROR(INDEX(coa_Pay,MATCH(K506&amp;"",coa_Name,0)),"")&lt;&gt;"Yes"),"Paid From / Deposited To is not a payment account","")))))))))))</f>
        <v/>
      </c>
      <c r="Z506" s="67">
        <f>IF(AND(T506=0,X506=""),1,0)</f>
        <v/>
      </c>
      <c r="AA506" s="68">
        <f>IF(Z506=1,IF(U506="In",L506,L506-W506),0)</f>
        <v/>
      </c>
      <c r="AB506" s="68">
        <f>IF(Z506=1,IF(U506="In",L506-W506,L506),0)</f>
        <v/>
      </c>
      <c r="AC506" s="68">
        <f>IF(AND(Z506=1,U506="Out"),W506,0)</f>
        <v/>
      </c>
      <c r="AD506" s="68">
        <f>IF(AND(Z506=1,U506="In"),W506,0)</f>
        <v/>
      </c>
    </row>
    <row r="507">
      <c r="B507" s="62" t="inlineStr">
        <is>
          <t>TX-0501</t>
        </is>
      </c>
      <c r="C507" s="63" t="n"/>
      <c r="D507" s="62" t="n"/>
      <c r="E507" s="62" t="n"/>
      <c r="F507" s="62" t="n"/>
      <c r="G507" s="62" t="n"/>
      <c r="H507" s="62" t="n"/>
      <c r="I507" s="62" t="n"/>
      <c r="J507" s="62" t="n"/>
      <c r="K507" s="62" t="n"/>
      <c r="L507" s="64" t="n"/>
      <c r="M507" s="64" t="n"/>
      <c r="N507" s="62" t="n"/>
      <c r="O507" s="65">
        <f>IF(Z507=1,L507-W507,"")</f>
        <v/>
      </c>
      <c r="P507" s="66">
        <f>IF(V507="","",IFERROR(INDEX(coa_Type,MATCH(V507,coa_Name,0)),""))</f>
        <v/>
      </c>
      <c r="Q507" s="66">
        <f>IF(Z507=1,IF(U507="In",K507&amp;"",V507),"")</f>
        <v/>
      </c>
      <c r="R507" s="66">
        <f>IF(Z507=1,IF(U507="In",V507,K507&amp;""),"")</f>
        <v/>
      </c>
      <c r="S507" s="66">
        <f>IF(X507&lt;&gt;"","⛔ "&amp;X507&amp;" — not posted",IF(Y507&lt;&gt;"","⚠ "&amp;Y507,IF(Z507=1,"✓ OK","")))</f>
        <v/>
      </c>
      <c r="T507" s="67">
        <f>IF(AND(C507="",D507="",E507="",L507="",K507=""),1,0)</f>
        <v/>
      </c>
      <c r="U507" s="67">
        <f>IFERROR(INDEX(tt_Dir,MATCH(D507,tt_Type,0)),"")</f>
        <v/>
      </c>
      <c r="V507" s="67">
        <f>IF(D507="","",IFERROR(IF(INDEX(tt_Other,MATCH(D507,tt_Type,0))="",E507&amp;"",INDEX(tt_Other,MATCH(D507,tt_Type,0))),""))</f>
        <v/>
      </c>
      <c r="W507" s="68">
        <f>IF(OR(TaxOn&lt;&gt;"Yes",NOT(ISNUMBER(M507))),0,IF(IFERROR(INDEX(tt_Tax,MATCH(D507,tt_Type,0)),"No")="Yes",M507,0))</f>
        <v/>
      </c>
      <c r="X507" s="67">
        <f>IF(T507=1,"",IF(C507="","Missing transaction date",IF(NOT(ISNUMBER(C507)),"Invalid date",IF(OR(C507&lt;DATE(2000,1,1),C507&gt;DATE(2099,12,31)),"Invalid date",IF(D507="","Select a type",IF(U507="","Unknown type: "&amp;D507,IF(V507="","Select an account (Category)",IF(ISNA(MATCH(V507,coa_Name,0)),"Unknown account: "&amp;V507,IF(K507="","Select Paid From / Deposited To",IF(ISNA(MATCH(K507,coa_Name,0)),"Unknown account: "&amp;K507,IF(NOT(ISNUMBER(L507)),"Enter an amount",IF(L507=0,"Enter an amount",IF(ABS(W507)&gt;ABS(L507),"Tax is larger than the amount","")))))))))))))</f>
        <v/>
      </c>
      <c r="Y507" s="67">
        <f>IF(OR(T507=1,X507&lt;&gt;""),"",IF(AND(B507&lt;&gt;"",COUNTIF(tx_ID,B507)&gt;1),"Duplicate transaction ID",IF(AND(L507&lt;0,D507&lt;&gt;"Adjustment"),"Negative amount — check this entry",IF(AND(D507="Customer Payment",G507=""),"Add the customer",IF(AND(D507="Customer Payment",OR(J507="",COUNTIF(ar_No,J507&amp;"")=0)),"Invoice # in Reference not found on AR sheet",IF(AND(D507="Bill Payment",H507=""),"Add the vendor",IF(AND(D507="Bill Payment",OR(J507="",COUNTIFS(ap_No,J507&amp;"",ap_Party,H507&amp;"")=0)),"Bill # + vendor not found on AP sheet",IF(AND(ISNUMBER(M507),N(M507)&lt;&gt;0,W507=0),"Tax ignored (tax tracking off, or not allowed for this type)",IF(V507=K507&amp;"","Same account on both sides",IF(AND(ISNUMBER(StartDate),C507&lt;StartDate),"Date is before the accounting start date",IF(AND(D507&lt;&gt;"Adjustment",IFERROR(INDEX(coa_Pay,MATCH(K507&amp;"",coa_Name,0)),"")&lt;&gt;"Yes"),"Paid From / Deposited To is not a payment account","")))))))))))</f>
        <v/>
      </c>
      <c r="Z507" s="67">
        <f>IF(AND(T507=0,X507=""),1,0)</f>
        <v/>
      </c>
      <c r="AA507" s="68">
        <f>IF(Z507=1,IF(U507="In",L507,L507-W507),0)</f>
        <v/>
      </c>
      <c r="AB507" s="68">
        <f>IF(Z507=1,IF(U507="In",L507-W507,L507),0)</f>
        <v/>
      </c>
      <c r="AC507" s="68">
        <f>IF(AND(Z507=1,U507="Out"),W507,0)</f>
        <v/>
      </c>
      <c r="AD507" s="68">
        <f>IF(AND(Z507=1,U507="In"),W507,0)</f>
        <v/>
      </c>
    </row>
    <row r="508">
      <c r="B508" s="62" t="inlineStr">
        <is>
          <t>TX-0502</t>
        </is>
      </c>
      <c r="C508" s="63" t="n"/>
      <c r="D508" s="62" t="n"/>
      <c r="E508" s="62" t="n"/>
      <c r="F508" s="62" t="n"/>
      <c r="G508" s="62" t="n"/>
      <c r="H508" s="62" t="n"/>
      <c r="I508" s="62" t="n"/>
      <c r="J508" s="62" t="n"/>
      <c r="K508" s="62" t="n"/>
      <c r="L508" s="64" t="n"/>
      <c r="M508" s="64" t="n"/>
      <c r="N508" s="62" t="n"/>
      <c r="O508" s="65">
        <f>IF(Z508=1,L508-W508,"")</f>
        <v/>
      </c>
      <c r="P508" s="66">
        <f>IF(V508="","",IFERROR(INDEX(coa_Type,MATCH(V508,coa_Name,0)),""))</f>
        <v/>
      </c>
      <c r="Q508" s="66">
        <f>IF(Z508=1,IF(U508="In",K508&amp;"",V508),"")</f>
        <v/>
      </c>
      <c r="R508" s="66">
        <f>IF(Z508=1,IF(U508="In",V508,K508&amp;""),"")</f>
        <v/>
      </c>
      <c r="S508" s="66">
        <f>IF(X508&lt;&gt;"","⛔ "&amp;X508&amp;" — not posted",IF(Y508&lt;&gt;"","⚠ "&amp;Y508,IF(Z508=1,"✓ OK","")))</f>
        <v/>
      </c>
      <c r="T508" s="67">
        <f>IF(AND(C508="",D508="",E508="",L508="",K508=""),1,0)</f>
        <v/>
      </c>
      <c r="U508" s="67">
        <f>IFERROR(INDEX(tt_Dir,MATCH(D508,tt_Type,0)),"")</f>
        <v/>
      </c>
      <c r="V508" s="67">
        <f>IF(D508="","",IFERROR(IF(INDEX(tt_Other,MATCH(D508,tt_Type,0))="",E508&amp;"",INDEX(tt_Other,MATCH(D508,tt_Type,0))),""))</f>
        <v/>
      </c>
      <c r="W508" s="68">
        <f>IF(OR(TaxOn&lt;&gt;"Yes",NOT(ISNUMBER(M508))),0,IF(IFERROR(INDEX(tt_Tax,MATCH(D508,tt_Type,0)),"No")="Yes",M508,0))</f>
        <v/>
      </c>
      <c r="X508" s="67">
        <f>IF(T508=1,"",IF(C508="","Missing transaction date",IF(NOT(ISNUMBER(C508)),"Invalid date",IF(OR(C508&lt;DATE(2000,1,1),C508&gt;DATE(2099,12,31)),"Invalid date",IF(D508="","Select a type",IF(U508="","Unknown type: "&amp;D508,IF(V508="","Select an account (Category)",IF(ISNA(MATCH(V508,coa_Name,0)),"Unknown account: "&amp;V508,IF(K508="","Select Paid From / Deposited To",IF(ISNA(MATCH(K508,coa_Name,0)),"Unknown account: "&amp;K508,IF(NOT(ISNUMBER(L508)),"Enter an amount",IF(L508=0,"Enter an amount",IF(ABS(W508)&gt;ABS(L508),"Tax is larger than the amount","")))))))))))))</f>
        <v/>
      </c>
      <c r="Y508" s="67">
        <f>IF(OR(T508=1,X508&lt;&gt;""),"",IF(AND(B508&lt;&gt;"",COUNTIF(tx_ID,B508)&gt;1),"Duplicate transaction ID",IF(AND(L508&lt;0,D508&lt;&gt;"Adjustment"),"Negative amount — check this entry",IF(AND(D508="Customer Payment",G508=""),"Add the customer",IF(AND(D508="Customer Payment",OR(J508="",COUNTIF(ar_No,J508&amp;"")=0)),"Invoice # in Reference not found on AR sheet",IF(AND(D508="Bill Payment",H508=""),"Add the vendor",IF(AND(D508="Bill Payment",OR(J508="",COUNTIFS(ap_No,J508&amp;"",ap_Party,H508&amp;"")=0)),"Bill # + vendor not found on AP sheet",IF(AND(ISNUMBER(M508),N(M508)&lt;&gt;0,W508=0),"Tax ignored (tax tracking off, or not allowed for this type)",IF(V508=K508&amp;"","Same account on both sides",IF(AND(ISNUMBER(StartDate),C508&lt;StartDate),"Date is before the accounting start date",IF(AND(D508&lt;&gt;"Adjustment",IFERROR(INDEX(coa_Pay,MATCH(K508&amp;"",coa_Name,0)),"")&lt;&gt;"Yes"),"Paid From / Deposited To is not a payment account","")))))))))))</f>
        <v/>
      </c>
      <c r="Z508" s="67">
        <f>IF(AND(T508=0,X508=""),1,0)</f>
        <v/>
      </c>
      <c r="AA508" s="68">
        <f>IF(Z508=1,IF(U508="In",L508,L508-W508),0)</f>
        <v/>
      </c>
      <c r="AB508" s="68">
        <f>IF(Z508=1,IF(U508="In",L508-W508,L508),0)</f>
        <v/>
      </c>
      <c r="AC508" s="68">
        <f>IF(AND(Z508=1,U508="Out"),W508,0)</f>
        <v/>
      </c>
      <c r="AD508" s="68">
        <f>IF(AND(Z508=1,U508="In"),W508,0)</f>
        <v/>
      </c>
    </row>
    <row r="509">
      <c r="B509" s="62" t="inlineStr">
        <is>
          <t>TX-0503</t>
        </is>
      </c>
      <c r="C509" s="63" t="n"/>
      <c r="D509" s="62" t="n"/>
      <c r="E509" s="62" t="n"/>
      <c r="F509" s="62" t="n"/>
      <c r="G509" s="62" t="n"/>
      <c r="H509" s="62" t="n"/>
      <c r="I509" s="62" t="n"/>
      <c r="J509" s="62" t="n"/>
      <c r="K509" s="62" t="n"/>
      <c r="L509" s="64" t="n"/>
      <c r="M509" s="64" t="n"/>
      <c r="N509" s="62" t="n"/>
      <c r="O509" s="65">
        <f>IF(Z509=1,L509-W509,"")</f>
        <v/>
      </c>
      <c r="P509" s="66">
        <f>IF(V509="","",IFERROR(INDEX(coa_Type,MATCH(V509,coa_Name,0)),""))</f>
        <v/>
      </c>
      <c r="Q509" s="66">
        <f>IF(Z509=1,IF(U509="In",K509&amp;"",V509),"")</f>
        <v/>
      </c>
      <c r="R509" s="66">
        <f>IF(Z509=1,IF(U509="In",V509,K509&amp;""),"")</f>
        <v/>
      </c>
      <c r="S509" s="66">
        <f>IF(X509&lt;&gt;"","⛔ "&amp;X509&amp;" — not posted",IF(Y509&lt;&gt;"","⚠ "&amp;Y509,IF(Z509=1,"✓ OK","")))</f>
        <v/>
      </c>
      <c r="T509" s="67">
        <f>IF(AND(C509="",D509="",E509="",L509="",K509=""),1,0)</f>
        <v/>
      </c>
      <c r="U509" s="67">
        <f>IFERROR(INDEX(tt_Dir,MATCH(D509,tt_Type,0)),"")</f>
        <v/>
      </c>
      <c r="V509" s="67">
        <f>IF(D509="","",IFERROR(IF(INDEX(tt_Other,MATCH(D509,tt_Type,0))="",E509&amp;"",INDEX(tt_Other,MATCH(D509,tt_Type,0))),""))</f>
        <v/>
      </c>
      <c r="W509" s="68">
        <f>IF(OR(TaxOn&lt;&gt;"Yes",NOT(ISNUMBER(M509))),0,IF(IFERROR(INDEX(tt_Tax,MATCH(D509,tt_Type,0)),"No")="Yes",M509,0))</f>
        <v/>
      </c>
      <c r="X509" s="67">
        <f>IF(T509=1,"",IF(C509="","Missing transaction date",IF(NOT(ISNUMBER(C509)),"Invalid date",IF(OR(C509&lt;DATE(2000,1,1),C509&gt;DATE(2099,12,31)),"Invalid date",IF(D509="","Select a type",IF(U509="","Unknown type: "&amp;D509,IF(V509="","Select an account (Category)",IF(ISNA(MATCH(V509,coa_Name,0)),"Unknown account: "&amp;V509,IF(K509="","Select Paid From / Deposited To",IF(ISNA(MATCH(K509,coa_Name,0)),"Unknown account: "&amp;K509,IF(NOT(ISNUMBER(L509)),"Enter an amount",IF(L509=0,"Enter an amount",IF(ABS(W509)&gt;ABS(L509),"Tax is larger than the amount","")))))))))))))</f>
        <v/>
      </c>
      <c r="Y509" s="67">
        <f>IF(OR(T509=1,X509&lt;&gt;""),"",IF(AND(B509&lt;&gt;"",COUNTIF(tx_ID,B509)&gt;1),"Duplicate transaction ID",IF(AND(L509&lt;0,D509&lt;&gt;"Adjustment"),"Negative amount — check this entry",IF(AND(D509="Customer Payment",G509=""),"Add the customer",IF(AND(D509="Customer Payment",OR(J509="",COUNTIF(ar_No,J509&amp;"")=0)),"Invoice # in Reference not found on AR sheet",IF(AND(D509="Bill Payment",H509=""),"Add the vendor",IF(AND(D509="Bill Payment",OR(J509="",COUNTIFS(ap_No,J509&amp;"",ap_Party,H509&amp;"")=0)),"Bill # + vendor not found on AP sheet",IF(AND(ISNUMBER(M509),N(M509)&lt;&gt;0,W509=0),"Tax ignored (tax tracking off, or not allowed for this type)",IF(V509=K509&amp;"","Same account on both sides",IF(AND(ISNUMBER(StartDate),C509&lt;StartDate),"Date is before the accounting start date",IF(AND(D509&lt;&gt;"Adjustment",IFERROR(INDEX(coa_Pay,MATCH(K509&amp;"",coa_Name,0)),"")&lt;&gt;"Yes"),"Paid From / Deposited To is not a payment account","")))))))))))</f>
        <v/>
      </c>
      <c r="Z509" s="67">
        <f>IF(AND(T509=0,X509=""),1,0)</f>
        <v/>
      </c>
      <c r="AA509" s="68">
        <f>IF(Z509=1,IF(U509="In",L509,L509-W509),0)</f>
        <v/>
      </c>
      <c r="AB509" s="68">
        <f>IF(Z509=1,IF(U509="In",L509-W509,L509),0)</f>
        <v/>
      </c>
      <c r="AC509" s="68">
        <f>IF(AND(Z509=1,U509="Out"),W509,0)</f>
        <v/>
      </c>
      <c r="AD509" s="68">
        <f>IF(AND(Z509=1,U509="In"),W509,0)</f>
        <v/>
      </c>
    </row>
    <row r="510">
      <c r="B510" s="62" t="inlineStr">
        <is>
          <t>TX-0504</t>
        </is>
      </c>
      <c r="C510" s="63" t="n"/>
      <c r="D510" s="62" t="n"/>
      <c r="E510" s="62" t="n"/>
      <c r="F510" s="62" t="n"/>
      <c r="G510" s="62" t="n"/>
      <c r="H510" s="62" t="n"/>
      <c r="I510" s="62" t="n"/>
      <c r="J510" s="62" t="n"/>
      <c r="K510" s="62" t="n"/>
      <c r="L510" s="64" t="n"/>
      <c r="M510" s="64" t="n"/>
      <c r="N510" s="62" t="n"/>
      <c r="O510" s="65">
        <f>IF(Z510=1,L510-W510,"")</f>
        <v/>
      </c>
      <c r="P510" s="66">
        <f>IF(V510="","",IFERROR(INDEX(coa_Type,MATCH(V510,coa_Name,0)),""))</f>
        <v/>
      </c>
      <c r="Q510" s="66">
        <f>IF(Z510=1,IF(U510="In",K510&amp;"",V510),"")</f>
        <v/>
      </c>
      <c r="R510" s="66">
        <f>IF(Z510=1,IF(U510="In",V510,K510&amp;""),"")</f>
        <v/>
      </c>
      <c r="S510" s="66">
        <f>IF(X510&lt;&gt;"","⛔ "&amp;X510&amp;" — not posted",IF(Y510&lt;&gt;"","⚠ "&amp;Y510,IF(Z510=1,"✓ OK","")))</f>
        <v/>
      </c>
      <c r="T510" s="67">
        <f>IF(AND(C510="",D510="",E510="",L510="",K510=""),1,0)</f>
        <v/>
      </c>
      <c r="U510" s="67">
        <f>IFERROR(INDEX(tt_Dir,MATCH(D510,tt_Type,0)),"")</f>
        <v/>
      </c>
      <c r="V510" s="67">
        <f>IF(D510="","",IFERROR(IF(INDEX(tt_Other,MATCH(D510,tt_Type,0))="",E510&amp;"",INDEX(tt_Other,MATCH(D510,tt_Type,0))),""))</f>
        <v/>
      </c>
      <c r="W510" s="68">
        <f>IF(OR(TaxOn&lt;&gt;"Yes",NOT(ISNUMBER(M510))),0,IF(IFERROR(INDEX(tt_Tax,MATCH(D510,tt_Type,0)),"No")="Yes",M510,0))</f>
        <v/>
      </c>
      <c r="X510" s="67">
        <f>IF(T510=1,"",IF(C510="","Missing transaction date",IF(NOT(ISNUMBER(C510)),"Invalid date",IF(OR(C510&lt;DATE(2000,1,1),C510&gt;DATE(2099,12,31)),"Invalid date",IF(D510="","Select a type",IF(U510="","Unknown type: "&amp;D510,IF(V510="","Select an account (Category)",IF(ISNA(MATCH(V510,coa_Name,0)),"Unknown account: "&amp;V510,IF(K510="","Select Paid From / Deposited To",IF(ISNA(MATCH(K510,coa_Name,0)),"Unknown account: "&amp;K510,IF(NOT(ISNUMBER(L510)),"Enter an amount",IF(L510=0,"Enter an amount",IF(ABS(W510)&gt;ABS(L510),"Tax is larger than the amount","")))))))))))))</f>
        <v/>
      </c>
      <c r="Y510" s="67">
        <f>IF(OR(T510=1,X510&lt;&gt;""),"",IF(AND(B510&lt;&gt;"",COUNTIF(tx_ID,B510)&gt;1),"Duplicate transaction ID",IF(AND(L510&lt;0,D510&lt;&gt;"Adjustment"),"Negative amount — check this entry",IF(AND(D510="Customer Payment",G510=""),"Add the customer",IF(AND(D510="Customer Payment",OR(J510="",COUNTIF(ar_No,J510&amp;"")=0)),"Invoice # in Reference not found on AR sheet",IF(AND(D510="Bill Payment",H510=""),"Add the vendor",IF(AND(D510="Bill Payment",OR(J510="",COUNTIFS(ap_No,J510&amp;"",ap_Party,H510&amp;"")=0)),"Bill # + vendor not found on AP sheet",IF(AND(ISNUMBER(M510),N(M510)&lt;&gt;0,W510=0),"Tax ignored (tax tracking off, or not allowed for this type)",IF(V510=K510&amp;"","Same account on both sides",IF(AND(ISNUMBER(StartDate),C510&lt;StartDate),"Date is before the accounting start date",IF(AND(D510&lt;&gt;"Adjustment",IFERROR(INDEX(coa_Pay,MATCH(K510&amp;"",coa_Name,0)),"")&lt;&gt;"Yes"),"Paid From / Deposited To is not a payment account","")))))))))))</f>
        <v/>
      </c>
      <c r="Z510" s="67">
        <f>IF(AND(T510=0,X510=""),1,0)</f>
        <v/>
      </c>
      <c r="AA510" s="68">
        <f>IF(Z510=1,IF(U510="In",L510,L510-W510),0)</f>
        <v/>
      </c>
      <c r="AB510" s="68">
        <f>IF(Z510=1,IF(U510="In",L510-W510,L510),0)</f>
        <v/>
      </c>
      <c r="AC510" s="68">
        <f>IF(AND(Z510=1,U510="Out"),W510,0)</f>
        <v/>
      </c>
      <c r="AD510" s="68">
        <f>IF(AND(Z510=1,U510="In"),W510,0)</f>
        <v/>
      </c>
    </row>
    <row r="511">
      <c r="B511" s="62" t="inlineStr">
        <is>
          <t>TX-0505</t>
        </is>
      </c>
      <c r="C511" s="63" t="n"/>
      <c r="D511" s="62" t="n"/>
      <c r="E511" s="62" t="n"/>
      <c r="F511" s="62" t="n"/>
      <c r="G511" s="62" t="n"/>
      <c r="H511" s="62" t="n"/>
      <c r="I511" s="62" t="n"/>
      <c r="J511" s="62" t="n"/>
      <c r="K511" s="62" t="n"/>
      <c r="L511" s="64" t="n"/>
      <c r="M511" s="64" t="n"/>
      <c r="N511" s="62" t="n"/>
      <c r="O511" s="65">
        <f>IF(Z511=1,L511-W511,"")</f>
        <v/>
      </c>
      <c r="P511" s="66">
        <f>IF(V511="","",IFERROR(INDEX(coa_Type,MATCH(V511,coa_Name,0)),""))</f>
        <v/>
      </c>
      <c r="Q511" s="66">
        <f>IF(Z511=1,IF(U511="In",K511&amp;"",V511),"")</f>
        <v/>
      </c>
      <c r="R511" s="66">
        <f>IF(Z511=1,IF(U511="In",V511,K511&amp;""),"")</f>
        <v/>
      </c>
      <c r="S511" s="66">
        <f>IF(X511&lt;&gt;"","⛔ "&amp;X511&amp;" — not posted",IF(Y511&lt;&gt;"","⚠ "&amp;Y511,IF(Z511=1,"✓ OK","")))</f>
        <v/>
      </c>
      <c r="T511" s="67">
        <f>IF(AND(C511="",D511="",E511="",L511="",K511=""),1,0)</f>
        <v/>
      </c>
      <c r="U511" s="67">
        <f>IFERROR(INDEX(tt_Dir,MATCH(D511,tt_Type,0)),"")</f>
        <v/>
      </c>
      <c r="V511" s="67">
        <f>IF(D511="","",IFERROR(IF(INDEX(tt_Other,MATCH(D511,tt_Type,0))="",E511&amp;"",INDEX(tt_Other,MATCH(D511,tt_Type,0))),""))</f>
        <v/>
      </c>
      <c r="W511" s="68">
        <f>IF(OR(TaxOn&lt;&gt;"Yes",NOT(ISNUMBER(M511))),0,IF(IFERROR(INDEX(tt_Tax,MATCH(D511,tt_Type,0)),"No")="Yes",M511,0))</f>
        <v/>
      </c>
      <c r="X511" s="67">
        <f>IF(T511=1,"",IF(C511="","Missing transaction date",IF(NOT(ISNUMBER(C511)),"Invalid date",IF(OR(C511&lt;DATE(2000,1,1),C511&gt;DATE(2099,12,31)),"Invalid date",IF(D511="","Select a type",IF(U511="","Unknown type: "&amp;D511,IF(V511="","Select an account (Category)",IF(ISNA(MATCH(V511,coa_Name,0)),"Unknown account: "&amp;V511,IF(K511="","Select Paid From / Deposited To",IF(ISNA(MATCH(K511,coa_Name,0)),"Unknown account: "&amp;K511,IF(NOT(ISNUMBER(L511)),"Enter an amount",IF(L511=0,"Enter an amount",IF(ABS(W511)&gt;ABS(L511),"Tax is larger than the amount","")))))))))))))</f>
        <v/>
      </c>
      <c r="Y511" s="67">
        <f>IF(OR(T511=1,X511&lt;&gt;""),"",IF(AND(B511&lt;&gt;"",COUNTIF(tx_ID,B511)&gt;1),"Duplicate transaction ID",IF(AND(L511&lt;0,D511&lt;&gt;"Adjustment"),"Negative amount — check this entry",IF(AND(D511="Customer Payment",G511=""),"Add the customer",IF(AND(D511="Customer Payment",OR(J511="",COUNTIF(ar_No,J511&amp;"")=0)),"Invoice # in Reference not found on AR sheet",IF(AND(D511="Bill Payment",H511=""),"Add the vendor",IF(AND(D511="Bill Payment",OR(J511="",COUNTIFS(ap_No,J511&amp;"",ap_Party,H511&amp;"")=0)),"Bill # + vendor not found on AP sheet",IF(AND(ISNUMBER(M511),N(M511)&lt;&gt;0,W511=0),"Tax ignored (tax tracking off, or not allowed for this type)",IF(V511=K511&amp;"","Same account on both sides",IF(AND(ISNUMBER(StartDate),C511&lt;StartDate),"Date is before the accounting start date",IF(AND(D511&lt;&gt;"Adjustment",IFERROR(INDEX(coa_Pay,MATCH(K511&amp;"",coa_Name,0)),"")&lt;&gt;"Yes"),"Paid From / Deposited To is not a payment account","")))))))))))</f>
        <v/>
      </c>
      <c r="Z511" s="67">
        <f>IF(AND(T511=0,X511=""),1,0)</f>
        <v/>
      </c>
      <c r="AA511" s="68">
        <f>IF(Z511=1,IF(U511="In",L511,L511-W511),0)</f>
        <v/>
      </c>
      <c r="AB511" s="68">
        <f>IF(Z511=1,IF(U511="In",L511-W511,L511),0)</f>
        <v/>
      </c>
      <c r="AC511" s="68">
        <f>IF(AND(Z511=1,U511="Out"),W511,0)</f>
        <v/>
      </c>
      <c r="AD511" s="68">
        <f>IF(AND(Z511=1,U511="In"),W511,0)</f>
        <v/>
      </c>
    </row>
    <row r="512">
      <c r="B512" s="62" t="inlineStr">
        <is>
          <t>TX-0506</t>
        </is>
      </c>
      <c r="C512" s="63" t="n"/>
      <c r="D512" s="62" t="n"/>
      <c r="E512" s="62" t="n"/>
      <c r="F512" s="62" t="n"/>
      <c r="G512" s="62" t="n"/>
      <c r="H512" s="62" t="n"/>
      <c r="I512" s="62" t="n"/>
      <c r="J512" s="62" t="n"/>
      <c r="K512" s="62" t="n"/>
      <c r="L512" s="64" t="n"/>
      <c r="M512" s="64" t="n"/>
      <c r="N512" s="62" t="n"/>
      <c r="O512" s="65">
        <f>IF(Z512=1,L512-W512,"")</f>
        <v/>
      </c>
      <c r="P512" s="66">
        <f>IF(V512="","",IFERROR(INDEX(coa_Type,MATCH(V512,coa_Name,0)),""))</f>
        <v/>
      </c>
      <c r="Q512" s="66">
        <f>IF(Z512=1,IF(U512="In",K512&amp;"",V512),"")</f>
        <v/>
      </c>
      <c r="R512" s="66">
        <f>IF(Z512=1,IF(U512="In",V512,K512&amp;""),"")</f>
        <v/>
      </c>
      <c r="S512" s="66">
        <f>IF(X512&lt;&gt;"","⛔ "&amp;X512&amp;" — not posted",IF(Y512&lt;&gt;"","⚠ "&amp;Y512,IF(Z512=1,"✓ OK","")))</f>
        <v/>
      </c>
      <c r="T512" s="67">
        <f>IF(AND(C512="",D512="",E512="",L512="",K512=""),1,0)</f>
        <v/>
      </c>
      <c r="U512" s="67">
        <f>IFERROR(INDEX(tt_Dir,MATCH(D512,tt_Type,0)),"")</f>
        <v/>
      </c>
      <c r="V512" s="67">
        <f>IF(D512="","",IFERROR(IF(INDEX(tt_Other,MATCH(D512,tt_Type,0))="",E512&amp;"",INDEX(tt_Other,MATCH(D512,tt_Type,0))),""))</f>
        <v/>
      </c>
      <c r="W512" s="68">
        <f>IF(OR(TaxOn&lt;&gt;"Yes",NOT(ISNUMBER(M512))),0,IF(IFERROR(INDEX(tt_Tax,MATCH(D512,tt_Type,0)),"No")="Yes",M512,0))</f>
        <v/>
      </c>
      <c r="X512" s="67">
        <f>IF(T512=1,"",IF(C512="","Missing transaction date",IF(NOT(ISNUMBER(C512)),"Invalid date",IF(OR(C512&lt;DATE(2000,1,1),C512&gt;DATE(2099,12,31)),"Invalid date",IF(D512="","Select a type",IF(U512="","Unknown type: "&amp;D512,IF(V512="","Select an account (Category)",IF(ISNA(MATCH(V512,coa_Name,0)),"Unknown account: "&amp;V512,IF(K512="","Select Paid From / Deposited To",IF(ISNA(MATCH(K512,coa_Name,0)),"Unknown account: "&amp;K512,IF(NOT(ISNUMBER(L512)),"Enter an amount",IF(L512=0,"Enter an amount",IF(ABS(W512)&gt;ABS(L512),"Tax is larger than the amount","")))))))))))))</f>
        <v/>
      </c>
      <c r="Y512" s="67">
        <f>IF(OR(T512=1,X512&lt;&gt;""),"",IF(AND(B512&lt;&gt;"",COUNTIF(tx_ID,B512)&gt;1),"Duplicate transaction ID",IF(AND(L512&lt;0,D512&lt;&gt;"Adjustment"),"Negative amount — check this entry",IF(AND(D512="Customer Payment",G512=""),"Add the customer",IF(AND(D512="Customer Payment",OR(J512="",COUNTIF(ar_No,J512&amp;"")=0)),"Invoice # in Reference not found on AR sheet",IF(AND(D512="Bill Payment",H512=""),"Add the vendor",IF(AND(D512="Bill Payment",OR(J512="",COUNTIFS(ap_No,J512&amp;"",ap_Party,H512&amp;"")=0)),"Bill # + vendor not found on AP sheet",IF(AND(ISNUMBER(M512),N(M512)&lt;&gt;0,W512=0),"Tax ignored (tax tracking off, or not allowed for this type)",IF(V512=K512&amp;"","Same account on both sides",IF(AND(ISNUMBER(StartDate),C512&lt;StartDate),"Date is before the accounting start date",IF(AND(D512&lt;&gt;"Adjustment",IFERROR(INDEX(coa_Pay,MATCH(K512&amp;"",coa_Name,0)),"")&lt;&gt;"Yes"),"Paid From / Deposited To is not a payment account","")))))))))))</f>
        <v/>
      </c>
      <c r="Z512" s="67">
        <f>IF(AND(T512=0,X512=""),1,0)</f>
        <v/>
      </c>
      <c r="AA512" s="68">
        <f>IF(Z512=1,IF(U512="In",L512,L512-W512),0)</f>
        <v/>
      </c>
      <c r="AB512" s="68">
        <f>IF(Z512=1,IF(U512="In",L512-W512,L512),0)</f>
        <v/>
      </c>
      <c r="AC512" s="68">
        <f>IF(AND(Z512=1,U512="Out"),W512,0)</f>
        <v/>
      </c>
      <c r="AD512" s="68">
        <f>IF(AND(Z512=1,U512="In"),W512,0)</f>
        <v/>
      </c>
    </row>
    <row r="513">
      <c r="B513" s="62" t="inlineStr">
        <is>
          <t>TX-0507</t>
        </is>
      </c>
      <c r="C513" s="63" t="n"/>
      <c r="D513" s="62" t="n"/>
      <c r="E513" s="62" t="n"/>
      <c r="F513" s="62" t="n"/>
      <c r="G513" s="62" t="n"/>
      <c r="H513" s="62" t="n"/>
      <c r="I513" s="62" t="n"/>
      <c r="J513" s="62" t="n"/>
      <c r="K513" s="62" t="n"/>
      <c r="L513" s="64" t="n"/>
      <c r="M513" s="64" t="n"/>
      <c r="N513" s="62" t="n"/>
      <c r="O513" s="65">
        <f>IF(Z513=1,L513-W513,"")</f>
        <v/>
      </c>
      <c r="P513" s="66">
        <f>IF(V513="","",IFERROR(INDEX(coa_Type,MATCH(V513,coa_Name,0)),""))</f>
        <v/>
      </c>
      <c r="Q513" s="66">
        <f>IF(Z513=1,IF(U513="In",K513&amp;"",V513),"")</f>
        <v/>
      </c>
      <c r="R513" s="66">
        <f>IF(Z513=1,IF(U513="In",V513,K513&amp;""),"")</f>
        <v/>
      </c>
      <c r="S513" s="66">
        <f>IF(X513&lt;&gt;"","⛔ "&amp;X513&amp;" — not posted",IF(Y513&lt;&gt;"","⚠ "&amp;Y513,IF(Z513=1,"✓ OK","")))</f>
        <v/>
      </c>
      <c r="T513" s="67">
        <f>IF(AND(C513="",D513="",E513="",L513="",K513=""),1,0)</f>
        <v/>
      </c>
      <c r="U513" s="67">
        <f>IFERROR(INDEX(tt_Dir,MATCH(D513,tt_Type,0)),"")</f>
        <v/>
      </c>
      <c r="V513" s="67">
        <f>IF(D513="","",IFERROR(IF(INDEX(tt_Other,MATCH(D513,tt_Type,0))="",E513&amp;"",INDEX(tt_Other,MATCH(D513,tt_Type,0))),""))</f>
        <v/>
      </c>
      <c r="W513" s="68">
        <f>IF(OR(TaxOn&lt;&gt;"Yes",NOT(ISNUMBER(M513))),0,IF(IFERROR(INDEX(tt_Tax,MATCH(D513,tt_Type,0)),"No")="Yes",M513,0))</f>
        <v/>
      </c>
      <c r="X513" s="67">
        <f>IF(T513=1,"",IF(C513="","Missing transaction date",IF(NOT(ISNUMBER(C513)),"Invalid date",IF(OR(C513&lt;DATE(2000,1,1),C513&gt;DATE(2099,12,31)),"Invalid date",IF(D513="","Select a type",IF(U513="","Unknown type: "&amp;D513,IF(V513="","Select an account (Category)",IF(ISNA(MATCH(V513,coa_Name,0)),"Unknown account: "&amp;V513,IF(K513="","Select Paid From / Deposited To",IF(ISNA(MATCH(K513,coa_Name,0)),"Unknown account: "&amp;K513,IF(NOT(ISNUMBER(L513)),"Enter an amount",IF(L513=0,"Enter an amount",IF(ABS(W513)&gt;ABS(L513),"Tax is larger than the amount","")))))))))))))</f>
        <v/>
      </c>
      <c r="Y513" s="67">
        <f>IF(OR(T513=1,X513&lt;&gt;""),"",IF(AND(B513&lt;&gt;"",COUNTIF(tx_ID,B513)&gt;1),"Duplicate transaction ID",IF(AND(L513&lt;0,D513&lt;&gt;"Adjustment"),"Negative amount — check this entry",IF(AND(D513="Customer Payment",G513=""),"Add the customer",IF(AND(D513="Customer Payment",OR(J513="",COUNTIF(ar_No,J513&amp;"")=0)),"Invoice # in Reference not found on AR sheet",IF(AND(D513="Bill Payment",H513=""),"Add the vendor",IF(AND(D513="Bill Payment",OR(J513="",COUNTIFS(ap_No,J513&amp;"",ap_Party,H513&amp;"")=0)),"Bill # + vendor not found on AP sheet",IF(AND(ISNUMBER(M513),N(M513)&lt;&gt;0,W513=0),"Tax ignored (tax tracking off, or not allowed for this type)",IF(V513=K513&amp;"","Same account on both sides",IF(AND(ISNUMBER(StartDate),C513&lt;StartDate),"Date is before the accounting start date",IF(AND(D513&lt;&gt;"Adjustment",IFERROR(INDEX(coa_Pay,MATCH(K513&amp;"",coa_Name,0)),"")&lt;&gt;"Yes"),"Paid From / Deposited To is not a payment account","")))))))))))</f>
        <v/>
      </c>
      <c r="Z513" s="67">
        <f>IF(AND(T513=0,X513=""),1,0)</f>
        <v/>
      </c>
      <c r="AA513" s="68">
        <f>IF(Z513=1,IF(U513="In",L513,L513-W513),0)</f>
        <v/>
      </c>
      <c r="AB513" s="68">
        <f>IF(Z513=1,IF(U513="In",L513-W513,L513),0)</f>
        <v/>
      </c>
      <c r="AC513" s="68">
        <f>IF(AND(Z513=1,U513="Out"),W513,0)</f>
        <v/>
      </c>
      <c r="AD513" s="68">
        <f>IF(AND(Z513=1,U513="In"),W513,0)</f>
        <v/>
      </c>
    </row>
    <row r="514">
      <c r="B514" s="62" t="inlineStr">
        <is>
          <t>TX-0508</t>
        </is>
      </c>
      <c r="C514" s="63" t="n"/>
      <c r="D514" s="62" t="n"/>
      <c r="E514" s="62" t="n"/>
      <c r="F514" s="62" t="n"/>
      <c r="G514" s="62" t="n"/>
      <c r="H514" s="62" t="n"/>
      <c r="I514" s="62" t="n"/>
      <c r="J514" s="62" t="n"/>
      <c r="K514" s="62" t="n"/>
      <c r="L514" s="64" t="n"/>
      <c r="M514" s="64" t="n"/>
      <c r="N514" s="62" t="n"/>
      <c r="O514" s="65">
        <f>IF(Z514=1,L514-W514,"")</f>
        <v/>
      </c>
      <c r="P514" s="66">
        <f>IF(V514="","",IFERROR(INDEX(coa_Type,MATCH(V514,coa_Name,0)),""))</f>
        <v/>
      </c>
      <c r="Q514" s="66">
        <f>IF(Z514=1,IF(U514="In",K514&amp;"",V514),"")</f>
        <v/>
      </c>
      <c r="R514" s="66">
        <f>IF(Z514=1,IF(U514="In",V514,K514&amp;""),"")</f>
        <v/>
      </c>
      <c r="S514" s="66">
        <f>IF(X514&lt;&gt;"","⛔ "&amp;X514&amp;" — not posted",IF(Y514&lt;&gt;"","⚠ "&amp;Y514,IF(Z514=1,"✓ OK","")))</f>
        <v/>
      </c>
      <c r="T514" s="67">
        <f>IF(AND(C514="",D514="",E514="",L514="",K514=""),1,0)</f>
        <v/>
      </c>
      <c r="U514" s="67">
        <f>IFERROR(INDEX(tt_Dir,MATCH(D514,tt_Type,0)),"")</f>
        <v/>
      </c>
      <c r="V514" s="67">
        <f>IF(D514="","",IFERROR(IF(INDEX(tt_Other,MATCH(D514,tt_Type,0))="",E514&amp;"",INDEX(tt_Other,MATCH(D514,tt_Type,0))),""))</f>
        <v/>
      </c>
      <c r="W514" s="68">
        <f>IF(OR(TaxOn&lt;&gt;"Yes",NOT(ISNUMBER(M514))),0,IF(IFERROR(INDEX(tt_Tax,MATCH(D514,tt_Type,0)),"No")="Yes",M514,0))</f>
        <v/>
      </c>
      <c r="X514" s="67">
        <f>IF(T514=1,"",IF(C514="","Missing transaction date",IF(NOT(ISNUMBER(C514)),"Invalid date",IF(OR(C514&lt;DATE(2000,1,1),C514&gt;DATE(2099,12,31)),"Invalid date",IF(D514="","Select a type",IF(U514="","Unknown type: "&amp;D514,IF(V514="","Select an account (Category)",IF(ISNA(MATCH(V514,coa_Name,0)),"Unknown account: "&amp;V514,IF(K514="","Select Paid From / Deposited To",IF(ISNA(MATCH(K514,coa_Name,0)),"Unknown account: "&amp;K514,IF(NOT(ISNUMBER(L514)),"Enter an amount",IF(L514=0,"Enter an amount",IF(ABS(W514)&gt;ABS(L514),"Tax is larger than the amount","")))))))))))))</f>
        <v/>
      </c>
      <c r="Y514" s="67">
        <f>IF(OR(T514=1,X514&lt;&gt;""),"",IF(AND(B514&lt;&gt;"",COUNTIF(tx_ID,B514)&gt;1),"Duplicate transaction ID",IF(AND(L514&lt;0,D514&lt;&gt;"Adjustment"),"Negative amount — check this entry",IF(AND(D514="Customer Payment",G514=""),"Add the customer",IF(AND(D514="Customer Payment",OR(J514="",COUNTIF(ar_No,J514&amp;"")=0)),"Invoice # in Reference not found on AR sheet",IF(AND(D514="Bill Payment",H514=""),"Add the vendor",IF(AND(D514="Bill Payment",OR(J514="",COUNTIFS(ap_No,J514&amp;"",ap_Party,H514&amp;"")=0)),"Bill # + vendor not found on AP sheet",IF(AND(ISNUMBER(M514),N(M514)&lt;&gt;0,W514=0),"Tax ignored (tax tracking off, or not allowed for this type)",IF(V514=K514&amp;"","Same account on both sides",IF(AND(ISNUMBER(StartDate),C514&lt;StartDate),"Date is before the accounting start date",IF(AND(D514&lt;&gt;"Adjustment",IFERROR(INDEX(coa_Pay,MATCH(K514&amp;"",coa_Name,0)),"")&lt;&gt;"Yes"),"Paid From / Deposited To is not a payment account","")))))))))))</f>
        <v/>
      </c>
      <c r="Z514" s="67">
        <f>IF(AND(T514=0,X514=""),1,0)</f>
        <v/>
      </c>
      <c r="AA514" s="68">
        <f>IF(Z514=1,IF(U514="In",L514,L514-W514),0)</f>
        <v/>
      </c>
      <c r="AB514" s="68">
        <f>IF(Z514=1,IF(U514="In",L514-W514,L514),0)</f>
        <v/>
      </c>
      <c r="AC514" s="68">
        <f>IF(AND(Z514=1,U514="Out"),W514,0)</f>
        <v/>
      </c>
      <c r="AD514" s="68">
        <f>IF(AND(Z514=1,U514="In"),W514,0)</f>
        <v/>
      </c>
    </row>
    <row r="515">
      <c r="B515" s="62" t="inlineStr">
        <is>
          <t>TX-0509</t>
        </is>
      </c>
      <c r="C515" s="63" t="n"/>
      <c r="D515" s="62" t="n"/>
      <c r="E515" s="62" t="n"/>
      <c r="F515" s="62" t="n"/>
      <c r="G515" s="62" t="n"/>
      <c r="H515" s="62" t="n"/>
      <c r="I515" s="62" t="n"/>
      <c r="J515" s="62" t="n"/>
      <c r="K515" s="62" t="n"/>
      <c r="L515" s="64" t="n"/>
      <c r="M515" s="64" t="n"/>
      <c r="N515" s="62" t="n"/>
      <c r="O515" s="65">
        <f>IF(Z515=1,L515-W515,"")</f>
        <v/>
      </c>
      <c r="P515" s="66">
        <f>IF(V515="","",IFERROR(INDEX(coa_Type,MATCH(V515,coa_Name,0)),""))</f>
        <v/>
      </c>
      <c r="Q515" s="66">
        <f>IF(Z515=1,IF(U515="In",K515&amp;"",V515),"")</f>
        <v/>
      </c>
      <c r="R515" s="66">
        <f>IF(Z515=1,IF(U515="In",V515,K515&amp;""),"")</f>
        <v/>
      </c>
      <c r="S515" s="66">
        <f>IF(X515&lt;&gt;"","⛔ "&amp;X515&amp;" — not posted",IF(Y515&lt;&gt;"","⚠ "&amp;Y515,IF(Z515=1,"✓ OK","")))</f>
        <v/>
      </c>
      <c r="T515" s="67">
        <f>IF(AND(C515="",D515="",E515="",L515="",K515=""),1,0)</f>
        <v/>
      </c>
      <c r="U515" s="67">
        <f>IFERROR(INDEX(tt_Dir,MATCH(D515,tt_Type,0)),"")</f>
        <v/>
      </c>
      <c r="V515" s="67">
        <f>IF(D515="","",IFERROR(IF(INDEX(tt_Other,MATCH(D515,tt_Type,0))="",E515&amp;"",INDEX(tt_Other,MATCH(D515,tt_Type,0))),""))</f>
        <v/>
      </c>
      <c r="W515" s="68">
        <f>IF(OR(TaxOn&lt;&gt;"Yes",NOT(ISNUMBER(M515))),0,IF(IFERROR(INDEX(tt_Tax,MATCH(D515,tt_Type,0)),"No")="Yes",M515,0))</f>
        <v/>
      </c>
      <c r="X515" s="67">
        <f>IF(T515=1,"",IF(C515="","Missing transaction date",IF(NOT(ISNUMBER(C515)),"Invalid date",IF(OR(C515&lt;DATE(2000,1,1),C515&gt;DATE(2099,12,31)),"Invalid date",IF(D515="","Select a type",IF(U515="","Unknown type: "&amp;D515,IF(V515="","Select an account (Category)",IF(ISNA(MATCH(V515,coa_Name,0)),"Unknown account: "&amp;V515,IF(K515="","Select Paid From / Deposited To",IF(ISNA(MATCH(K515,coa_Name,0)),"Unknown account: "&amp;K515,IF(NOT(ISNUMBER(L515)),"Enter an amount",IF(L515=0,"Enter an amount",IF(ABS(W515)&gt;ABS(L515),"Tax is larger than the amount","")))))))))))))</f>
        <v/>
      </c>
      <c r="Y515" s="67">
        <f>IF(OR(T515=1,X515&lt;&gt;""),"",IF(AND(B515&lt;&gt;"",COUNTIF(tx_ID,B515)&gt;1),"Duplicate transaction ID",IF(AND(L515&lt;0,D515&lt;&gt;"Adjustment"),"Negative amount — check this entry",IF(AND(D515="Customer Payment",G515=""),"Add the customer",IF(AND(D515="Customer Payment",OR(J515="",COUNTIF(ar_No,J515&amp;"")=0)),"Invoice # in Reference not found on AR sheet",IF(AND(D515="Bill Payment",H515=""),"Add the vendor",IF(AND(D515="Bill Payment",OR(J515="",COUNTIFS(ap_No,J515&amp;"",ap_Party,H515&amp;"")=0)),"Bill # + vendor not found on AP sheet",IF(AND(ISNUMBER(M515),N(M515)&lt;&gt;0,W515=0),"Tax ignored (tax tracking off, or not allowed for this type)",IF(V515=K515&amp;"","Same account on both sides",IF(AND(ISNUMBER(StartDate),C515&lt;StartDate),"Date is before the accounting start date",IF(AND(D515&lt;&gt;"Adjustment",IFERROR(INDEX(coa_Pay,MATCH(K515&amp;"",coa_Name,0)),"")&lt;&gt;"Yes"),"Paid From / Deposited To is not a payment account","")))))))))))</f>
        <v/>
      </c>
      <c r="Z515" s="67">
        <f>IF(AND(T515=0,X515=""),1,0)</f>
        <v/>
      </c>
      <c r="AA515" s="68">
        <f>IF(Z515=1,IF(U515="In",L515,L515-W515),0)</f>
        <v/>
      </c>
      <c r="AB515" s="68">
        <f>IF(Z515=1,IF(U515="In",L515-W515,L515),0)</f>
        <v/>
      </c>
      <c r="AC515" s="68">
        <f>IF(AND(Z515=1,U515="Out"),W515,0)</f>
        <v/>
      </c>
      <c r="AD515" s="68">
        <f>IF(AND(Z515=1,U515="In"),W515,0)</f>
        <v/>
      </c>
    </row>
    <row r="516">
      <c r="B516" s="62" t="inlineStr">
        <is>
          <t>TX-0510</t>
        </is>
      </c>
      <c r="C516" s="63" t="n"/>
      <c r="D516" s="62" t="n"/>
      <c r="E516" s="62" t="n"/>
      <c r="F516" s="62" t="n"/>
      <c r="G516" s="62" t="n"/>
      <c r="H516" s="62" t="n"/>
      <c r="I516" s="62" t="n"/>
      <c r="J516" s="62" t="n"/>
      <c r="K516" s="62" t="n"/>
      <c r="L516" s="64" t="n"/>
      <c r="M516" s="64" t="n"/>
      <c r="N516" s="62" t="n"/>
      <c r="O516" s="65">
        <f>IF(Z516=1,L516-W516,"")</f>
        <v/>
      </c>
      <c r="P516" s="66">
        <f>IF(V516="","",IFERROR(INDEX(coa_Type,MATCH(V516,coa_Name,0)),""))</f>
        <v/>
      </c>
      <c r="Q516" s="66">
        <f>IF(Z516=1,IF(U516="In",K516&amp;"",V516),"")</f>
        <v/>
      </c>
      <c r="R516" s="66">
        <f>IF(Z516=1,IF(U516="In",V516,K516&amp;""),"")</f>
        <v/>
      </c>
      <c r="S516" s="66">
        <f>IF(X516&lt;&gt;"","⛔ "&amp;X516&amp;" — not posted",IF(Y516&lt;&gt;"","⚠ "&amp;Y516,IF(Z516=1,"✓ OK","")))</f>
        <v/>
      </c>
      <c r="T516" s="67">
        <f>IF(AND(C516="",D516="",E516="",L516="",K516=""),1,0)</f>
        <v/>
      </c>
      <c r="U516" s="67">
        <f>IFERROR(INDEX(tt_Dir,MATCH(D516,tt_Type,0)),"")</f>
        <v/>
      </c>
      <c r="V516" s="67">
        <f>IF(D516="","",IFERROR(IF(INDEX(tt_Other,MATCH(D516,tt_Type,0))="",E516&amp;"",INDEX(tt_Other,MATCH(D516,tt_Type,0))),""))</f>
        <v/>
      </c>
      <c r="W516" s="68">
        <f>IF(OR(TaxOn&lt;&gt;"Yes",NOT(ISNUMBER(M516))),0,IF(IFERROR(INDEX(tt_Tax,MATCH(D516,tt_Type,0)),"No")="Yes",M516,0))</f>
        <v/>
      </c>
      <c r="X516" s="67">
        <f>IF(T516=1,"",IF(C516="","Missing transaction date",IF(NOT(ISNUMBER(C516)),"Invalid date",IF(OR(C516&lt;DATE(2000,1,1),C516&gt;DATE(2099,12,31)),"Invalid date",IF(D516="","Select a type",IF(U516="","Unknown type: "&amp;D516,IF(V516="","Select an account (Category)",IF(ISNA(MATCH(V516,coa_Name,0)),"Unknown account: "&amp;V516,IF(K516="","Select Paid From / Deposited To",IF(ISNA(MATCH(K516,coa_Name,0)),"Unknown account: "&amp;K516,IF(NOT(ISNUMBER(L516)),"Enter an amount",IF(L516=0,"Enter an amount",IF(ABS(W516)&gt;ABS(L516),"Tax is larger than the amount","")))))))))))))</f>
        <v/>
      </c>
      <c r="Y516" s="67">
        <f>IF(OR(T516=1,X516&lt;&gt;""),"",IF(AND(B516&lt;&gt;"",COUNTIF(tx_ID,B516)&gt;1),"Duplicate transaction ID",IF(AND(L516&lt;0,D516&lt;&gt;"Adjustment"),"Negative amount — check this entry",IF(AND(D516="Customer Payment",G516=""),"Add the customer",IF(AND(D516="Customer Payment",OR(J516="",COUNTIF(ar_No,J516&amp;"")=0)),"Invoice # in Reference not found on AR sheet",IF(AND(D516="Bill Payment",H516=""),"Add the vendor",IF(AND(D516="Bill Payment",OR(J516="",COUNTIFS(ap_No,J516&amp;"",ap_Party,H516&amp;"")=0)),"Bill # + vendor not found on AP sheet",IF(AND(ISNUMBER(M516),N(M516)&lt;&gt;0,W516=0),"Tax ignored (tax tracking off, or not allowed for this type)",IF(V516=K516&amp;"","Same account on both sides",IF(AND(ISNUMBER(StartDate),C516&lt;StartDate),"Date is before the accounting start date",IF(AND(D516&lt;&gt;"Adjustment",IFERROR(INDEX(coa_Pay,MATCH(K516&amp;"",coa_Name,0)),"")&lt;&gt;"Yes"),"Paid From / Deposited To is not a payment account","")))))))))))</f>
        <v/>
      </c>
      <c r="Z516" s="67">
        <f>IF(AND(T516=0,X516=""),1,0)</f>
        <v/>
      </c>
      <c r="AA516" s="68">
        <f>IF(Z516=1,IF(U516="In",L516,L516-W516),0)</f>
        <v/>
      </c>
      <c r="AB516" s="68">
        <f>IF(Z516=1,IF(U516="In",L516-W516,L516),0)</f>
        <v/>
      </c>
      <c r="AC516" s="68">
        <f>IF(AND(Z516=1,U516="Out"),W516,0)</f>
        <v/>
      </c>
      <c r="AD516" s="68">
        <f>IF(AND(Z516=1,U516="In"),W516,0)</f>
        <v/>
      </c>
    </row>
    <row r="517">
      <c r="B517" s="62" t="inlineStr">
        <is>
          <t>TX-0511</t>
        </is>
      </c>
      <c r="C517" s="63" t="n"/>
      <c r="D517" s="62" t="n"/>
      <c r="E517" s="62" t="n"/>
      <c r="F517" s="62" t="n"/>
      <c r="G517" s="62" t="n"/>
      <c r="H517" s="62" t="n"/>
      <c r="I517" s="62" t="n"/>
      <c r="J517" s="62" t="n"/>
      <c r="K517" s="62" t="n"/>
      <c r="L517" s="64" t="n"/>
      <c r="M517" s="64" t="n"/>
      <c r="N517" s="62" t="n"/>
      <c r="O517" s="65">
        <f>IF(Z517=1,L517-W517,"")</f>
        <v/>
      </c>
      <c r="P517" s="66">
        <f>IF(V517="","",IFERROR(INDEX(coa_Type,MATCH(V517,coa_Name,0)),""))</f>
        <v/>
      </c>
      <c r="Q517" s="66">
        <f>IF(Z517=1,IF(U517="In",K517&amp;"",V517),"")</f>
        <v/>
      </c>
      <c r="R517" s="66">
        <f>IF(Z517=1,IF(U517="In",V517,K517&amp;""),"")</f>
        <v/>
      </c>
      <c r="S517" s="66">
        <f>IF(X517&lt;&gt;"","⛔ "&amp;X517&amp;" — not posted",IF(Y517&lt;&gt;"","⚠ "&amp;Y517,IF(Z517=1,"✓ OK","")))</f>
        <v/>
      </c>
      <c r="T517" s="67">
        <f>IF(AND(C517="",D517="",E517="",L517="",K517=""),1,0)</f>
        <v/>
      </c>
      <c r="U517" s="67">
        <f>IFERROR(INDEX(tt_Dir,MATCH(D517,tt_Type,0)),"")</f>
        <v/>
      </c>
      <c r="V517" s="67">
        <f>IF(D517="","",IFERROR(IF(INDEX(tt_Other,MATCH(D517,tt_Type,0))="",E517&amp;"",INDEX(tt_Other,MATCH(D517,tt_Type,0))),""))</f>
        <v/>
      </c>
      <c r="W517" s="68">
        <f>IF(OR(TaxOn&lt;&gt;"Yes",NOT(ISNUMBER(M517))),0,IF(IFERROR(INDEX(tt_Tax,MATCH(D517,tt_Type,0)),"No")="Yes",M517,0))</f>
        <v/>
      </c>
      <c r="X517" s="67">
        <f>IF(T517=1,"",IF(C517="","Missing transaction date",IF(NOT(ISNUMBER(C517)),"Invalid date",IF(OR(C517&lt;DATE(2000,1,1),C517&gt;DATE(2099,12,31)),"Invalid date",IF(D517="","Select a type",IF(U517="","Unknown type: "&amp;D517,IF(V517="","Select an account (Category)",IF(ISNA(MATCH(V517,coa_Name,0)),"Unknown account: "&amp;V517,IF(K517="","Select Paid From / Deposited To",IF(ISNA(MATCH(K517,coa_Name,0)),"Unknown account: "&amp;K517,IF(NOT(ISNUMBER(L517)),"Enter an amount",IF(L517=0,"Enter an amount",IF(ABS(W517)&gt;ABS(L517),"Tax is larger than the amount","")))))))))))))</f>
        <v/>
      </c>
      <c r="Y517" s="67">
        <f>IF(OR(T517=1,X517&lt;&gt;""),"",IF(AND(B517&lt;&gt;"",COUNTIF(tx_ID,B517)&gt;1),"Duplicate transaction ID",IF(AND(L517&lt;0,D517&lt;&gt;"Adjustment"),"Negative amount — check this entry",IF(AND(D517="Customer Payment",G517=""),"Add the customer",IF(AND(D517="Customer Payment",OR(J517="",COUNTIF(ar_No,J517&amp;"")=0)),"Invoice # in Reference not found on AR sheet",IF(AND(D517="Bill Payment",H517=""),"Add the vendor",IF(AND(D517="Bill Payment",OR(J517="",COUNTIFS(ap_No,J517&amp;"",ap_Party,H517&amp;"")=0)),"Bill # + vendor not found on AP sheet",IF(AND(ISNUMBER(M517),N(M517)&lt;&gt;0,W517=0),"Tax ignored (tax tracking off, or not allowed for this type)",IF(V517=K517&amp;"","Same account on both sides",IF(AND(ISNUMBER(StartDate),C517&lt;StartDate),"Date is before the accounting start date",IF(AND(D517&lt;&gt;"Adjustment",IFERROR(INDEX(coa_Pay,MATCH(K517&amp;"",coa_Name,0)),"")&lt;&gt;"Yes"),"Paid From / Deposited To is not a payment account","")))))))))))</f>
        <v/>
      </c>
      <c r="Z517" s="67">
        <f>IF(AND(T517=0,X517=""),1,0)</f>
        <v/>
      </c>
      <c r="AA517" s="68">
        <f>IF(Z517=1,IF(U517="In",L517,L517-W517),0)</f>
        <v/>
      </c>
      <c r="AB517" s="68">
        <f>IF(Z517=1,IF(U517="In",L517-W517,L517),0)</f>
        <v/>
      </c>
      <c r="AC517" s="68">
        <f>IF(AND(Z517=1,U517="Out"),W517,0)</f>
        <v/>
      </c>
      <c r="AD517" s="68">
        <f>IF(AND(Z517=1,U517="In"),W517,0)</f>
        <v/>
      </c>
    </row>
    <row r="518">
      <c r="B518" s="62" t="inlineStr">
        <is>
          <t>TX-0512</t>
        </is>
      </c>
      <c r="C518" s="63" t="n"/>
      <c r="D518" s="62" t="n"/>
      <c r="E518" s="62" t="n"/>
      <c r="F518" s="62" t="n"/>
      <c r="G518" s="62" t="n"/>
      <c r="H518" s="62" t="n"/>
      <c r="I518" s="62" t="n"/>
      <c r="J518" s="62" t="n"/>
      <c r="K518" s="62" t="n"/>
      <c r="L518" s="64" t="n"/>
      <c r="M518" s="64" t="n"/>
      <c r="N518" s="62" t="n"/>
      <c r="O518" s="65">
        <f>IF(Z518=1,L518-W518,"")</f>
        <v/>
      </c>
      <c r="P518" s="66">
        <f>IF(V518="","",IFERROR(INDEX(coa_Type,MATCH(V518,coa_Name,0)),""))</f>
        <v/>
      </c>
      <c r="Q518" s="66">
        <f>IF(Z518=1,IF(U518="In",K518&amp;"",V518),"")</f>
        <v/>
      </c>
      <c r="R518" s="66">
        <f>IF(Z518=1,IF(U518="In",V518,K518&amp;""),"")</f>
        <v/>
      </c>
      <c r="S518" s="66">
        <f>IF(X518&lt;&gt;"","⛔ "&amp;X518&amp;" — not posted",IF(Y518&lt;&gt;"","⚠ "&amp;Y518,IF(Z518=1,"✓ OK","")))</f>
        <v/>
      </c>
      <c r="T518" s="67">
        <f>IF(AND(C518="",D518="",E518="",L518="",K518=""),1,0)</f>
        <v/>
      </c>
      <c r="U518" s="67">
        <f>IFERROR(INDEX(tt_Dir,MATCH(D518,tt_Type,0)),"")</f>
        <v/>
      </c>
      <c r="V518" s="67">
        <f>IF(D518="","",IFERROR(IF(INDEX(tt_Other,MATCH(D518,tt_Type,0))="",E518&amp;"",INDEX(tt_Other,MATCH(D518,tt_Type,0))),""))</f>
        <v/>
      </c>
      <c r="W518" s="68">
        <f>IF(OR(TaxOn&lt;&gt;"Yes",NOT(ISNUMBER(M518))),0,IF(IFERROR(INDEX(tt_Tax,MATCH(D518,tt_Type,0)),"No")="Yes",M518,0))</f>
        <v/>
      </c>
      <c r="X518" s="67">
        <f>IF(T518=1,"",IF(C518="","Missing transaction date",IF(NOT(ISNUMBER(C518)),"Invalid date",IF(OR(C518&lt;DATE(2000,1,1),C518&gt;DATE(2099,12,31)),"Invalid date",IF(D518="","Select a type",IF(U518="","Unknown type: "&amp;D518,IF(V518="","Select an account (Category)",IF(ISNA(MATCH(V518,coa_Name,0)),"Unknown account: "&amp;V518,IF(K518="","Select Paid From / Deposited To",IF(ISNA(MATCH(K518,coa_Name,0)),"Unknown account: "&amp;K518,IF(NOT(ISNUMBER(L518)),"Enter an amount",IF(L518=0,"Enter an amount",IF(ABS(W518)&gt;ABS(L518),"Tax is larger than the amount","")))))))))))))</f>
        <v/>
      </c>
      <c r="Y518" s="67">
        <f>IF(OR(T518=1,X518&lt;&gt;""),"",IF(AND(B518&lt;&gt;"",COUNTIF(tx_ID,B518)&gt;1),"Duplicate transaction ID",IF(AND(L518&lt;0,D518&lt;&gt;"Adjustment"),"Negative amount — check this entry",IF(AND(D518="Customer Payment",G518=""),"Add the customer",IF(AND(D518="Customer Payment",OR(J518="",COUNTIF(ar_No,J518&amp;"")=0)),"Invoice # in Reference not found on AR sheet",IF(AND(D518="Bill Payment",H518=""),"Add the vendor",IF(AND(D518="Bill Payment",OR(J518="",COUNTIFS(ap_No,J518&amp;"",ap_Party,H518&amp;"")=0)),"Bill # + vendor not found on AP sheet",IF(AND(ISNUMBER(M518),N(M518)&lt;&gt;0,W518=0),"Tax ignored (tax tracking off, or not allowed for this type)",IF(V518=K518&amp;"","Same account on both sides",IF(AND(ISNUMBER(StartDate),C518&lt;StartDate),"Date is before the accounting start date",IF(AND(D518&lt;&gt;"Adjustment",IFERROR(INDEX(coa_Pay,MATCH(K518&amp;"",coa_Name,0)),"")&lt;&gt;"Yes"),"Paid From / Deposited To is not a payment account","")))))))))))</f>
        <v/>
      </c>
      <c r="Z518" s="67">
        <f>IF(AND(T518=0,X518=""),1,0)</f>
        <v/>
      </c>
      <c r="AA518" s="68">
        <f>IF(Z518=1,IF(U518="In",L518,L518-W518),0)</f>
        <v/>
      </c>
      <c r="AB518" s="68">
        <f>IF(Z518=1,IF(U518="In",L518-W518,L518),0)</f>
        <v/>
      </c>
      <c r="AC518" s="68">
        <f>IF(AND(Z518=1,U518="Out"),W518,0)</f>
        <v/>
      </c>
      <c r="AD518" s="68">
        <f>IF(AND(Z518=1,U518="In"),W518,0)</f>
        <v/>
      </c>
    </row>
    <row r="519">
      <c r="B519" s="62" t="inlineStr">
        <is>
          <t>TX-0513</t>
        </is>
      </c>
      <c r="C519" s="63" t="n"/>
      <c r="D519" s="62" t="n"/>
      <c r="E519" s="62" t="n"/>
      <c r="F519" s="62" t="n"/>
      <c r="G519" s="62" t="n"/>
      <c r="H519" s="62" t="n"/>
      <c r="I519" s="62" t="n"/>
      <c r="J519" s="62" t="n"/>
      <c r="K519" s="62" t="n"/>
      <c r="L519" s="64" t="n"/>
      <c r="M519" s="64" t="n"/>
      <c r="N519" s="62" t="n"/>
      <c r="O519" s="65">
        <f>IF(Z519=1,L519-W519,"")</f>
        <v/>
      </c>
      <c r="P519" s="66">
        <f>IF(V519="","",IFERROR(INDEX(coa_Type,MATCH(V519,coa_Name,0)),""))</f>
        <v/>
      </c>
      <c r="Q519" s="66">
        <f>IF(Z519=1,IF(U519="In",K519&amp;"",V519),"")</f>
        <v/>
      </c>
      <c r="R519" s="66">
        <f>IF(Z519=1,IF(U519="In",V519,K519&amp;""),"")</f>
        <v/>
      </c>
      <c r="S519" s="66">
        <f>IF(X519&lt;&gt;"","⛔ "&amp;X519&amp;" — not posted",IF(Y519&lt;&gt;"","⚠ "&amp;Y519,IF(Z519=1,"✓ OK","")))</f>
        <v/>
      </c>
      <c r="T519" s="67">
        <f>IF(AND(C519="",D519="",E519="",L519="",K519=""),1,0)</f>
        <v/>
      </c>
      <c r="U519" s="67">
        <f>IFERROR(INDEX(tt_Dir,MATCH(D519,tt_Type,0)),"")</f>
        <v/>
      </c>
      <c r="V519" s="67">
        <f>IF(D519="","",IFERROR(IF(INDEX(tt_Other,MATCH(D519,tt_Type,0))="",E519&amp;"",INDEX(tt_Other,MATCH(D519,tt_Type,0))),""))</f>
        <v/>
      </c>
      <c r="W519" s="68">
        <f>IF(OR(TaxOn&lt;&gt;"Yes",NOT(ISNUMBER(M519))),0,IF(IFERROR(INDEX(tt_Tax,MATCH(D519,tt_Type,0)),"No")="Yes",M519,0))</f>
        <v/>
      </c>
      <c r="X519" s="67">
        <f>IF(T519=1,"",IF(C519="","Missing transaction date",IF(NOT(ISNUMBER(C519)),"Invalid date",IF(OR(C519&lt;DATE(2000,1,1),C519&gt;DATE(2099,12,31)),"Invalid date",IF(D519="","Select a type",IF(U519="","Unknown type: "&amp;D519,IF(V519="","Select an account (Category)",IF(ISNA(MATCH(V519,coa_Name,0)),"Unknown account: "&amp;V519,IF(K519="","Select Paid From / Deposited To",IF(ISNA(MATCH(K519,coa_Name,0)),"Unknown account: "&amp;K519,IF(NOT(ISNUMBER(L519)),"Enter an amount",IF(L519=0,"Enter an amount",IF(ABS(W519)&gt;ABS(L519),"Tax is larger than the amount","")))))))))))))</f>
        <v/>
      </c>
      <c r="Y519" s="67">
        <f>IF(OR(T519=1,X519&lt;&gt;""),"",IF(AND(B519&lt;&gt;"",COUNTIF(tx_ID,B519)&gt;1),"Duplicate transaction ID",IF(AND(L519&lt;0,D519&lt;&gt;"Adjustment"),"Negative amount — check this entry",IF(AND(D519="Customer Payment",G519=""),"Add the customer",IF(AND(D519="Customer Payment",OR(J519="",COUNTIF(ar_No,J519&amp;"")=0)),"Invoice # in Reference not found on AR sheet",IF(AND(D519="Bill Payment",H519=""),"Add the vendor",IF(AND(D519="Bill Payment",OR(J519="",COUNTIFS(ap_No,J519&amp;"",ap_Party,H519&amp;"")=0)),"Bill # + vendor not found on AP sheet",IF(AND(ISNUMBER(M519),N(M519)&lt;&gt;0,W519=0),"Tax ignored (tax tracking off, or not allowed for this type)",IF(V519=K519&amp;"","Same account on both sides",IF(AND(ISNUMBER(StartDate),C519&lt;StartDate),"Date is before the accounting start date",IF(AND(D519&lt;&gt;"Adjustment",IFERROR(INDEX(coa_Pay,MATCH(K519&amp;"",coa_Name,0)),"")&lt;&gt;"Yes"),"Paid From / Deposited To is not a payment account","")))))))))))</f>
        <v/>
      </c>
      <c r="Z519" s="67">
        <f>IF(AND(T519=0,X519=""),1,0)</f>
        <v/>
      </c>
      <c r="AA519" s="68">
        <f>IF(Z519=1,IF(U519="In",L519,L519-W519),0)</f>
        <v/>
      </c>
      <c r="AB519" s="68">
        <f>IF(Z519=1,IF(U519="In",L519-W519,L519),0)</f>
        <v/>
      </c>
      <c r="AC519" s="68">
        <f>IF(AND(Z519=1,U519="Out"),W519,0)</f>
        <v/>
      </c>
      <c r="AD519" s="68">
        <f>IF(AND(Z519=1,U519="In"),W519,0)</f>
        <v/>
      </c>
    </row>
    <row r="520">
      <c r="B520" s="62" t="inlineStr">
        <is>
          <t>TX-0514</t>
        </is>
      </c>
      <c r="C520" s="63" t="n"/>
      <c r="D520" s="62" t="n"/>
      <c r="E520" s="62" t="n"/>
      <c r="F520" s="62" t="n"/>
      <c r="G520" s="62" t="n"/>
      <c r="H520" s="62" t="n"/>
      <c r="I520" s="62" t="n"/>
      <c r="J520" s="62" t="n"/>
      <c r="K520" s="62" t="n"/>
      <c r="L520" s="64" t="n"/>
      <c r="M520" s="64" t="n"/>
      <c r="N520" s="62" t="n"/>
      <c r="O520" s="65">
        <f>IF(Z520=1,L520-W520,"")</f>
        <v/>
      </c>
      <c r="P520" s="66">
        <f>IF(V520="","",IFERROR(INDEX(coa_Type,MATCH(V520,coa_Name,0)),""))</f>
        <v/>
      </c>
      <c r="Q520" s="66">
        <f>IF(Z520=1,IF(U520="In",K520&amp;"",V520),"")</f>
        <v/>
      </c>
      <c r="R520" s="66">
        <f>IF(Z520=1,IF(U520="In",V520,K520&amp;""),"")</f>
        <v/>
      </c>
      <c r="S520" s="66">
        <f>IF(X520&lt;&gt;"","⛔ "&amp;X520&amp;" — not posted",IF(Y520&lt;&gt;"","⚠ "&amp;Y520,IF(Z520=1,"✓ OK","")))</f>
        <v/>
      </c>
      <c r="T520" s="67">
        <f>IF(AND(C520="",D520="",E520="",L520="",K520=""),1,0)</f>
        <v/>
      </c>
      <c r="U520" s="67">
        <f>IFERROR(INDEX(tt_Dir,MATCH(D520,tt_Type,0)),"")</f>
        <v/>
      </c>
      <c r="V520" s="67">
        <f>IF(D520="","",IFERROR(IF(INDEX(tt_Other,MATCH(D520,tt_Type,0))="",E520&amp;"",INDEX(tt_Other,MATCH(D520,tt_Type,0))),""))</f>
        <v/>
      </c>
      <c r="W520" s="68">
        <f>IF(OR(TaxOn&lt;&gt;"Yes",NOT(ISNUMBER(M520))),0,IF(IFERROR(INDEX(tt_Tax,MATCH(D520,tt_Type,0)),"No")="Yes",M520,0))</f>
        <v/>
      </c>
      <c r="X520" s="67">
        <f>IF(T520=1,"",IF(C520="","Missing transaction date",IF(NOT(ISNUMBER(C520)),"Invalid date",IF(OR(C520&lt;DATE(2000,1,1),C520&gt;DATE(2099,12,31)),"Invalid date",IF(D520="","Select a type",IF(U520="","Unknown type: "&amp;D520,IF(V520="","Select an account (Category)",IF(ISNA(MATCH(V520,coa_Name,0)),"Unknown account: "&amp;V520,IF(K520="","Select Paid From / Deposited To",IF(ISNA(MATCH(K520,coa_Name,0)),"Unknown account: "&amp;K520,IF(NOT(ISNUMBER(L520)),"Enter an amount",IF(L520=0,"Enter an amount",IF(ABS(W520)&gt;ABS(L520),"Tax is larger than the amount","")))))))))))))</f>
        <v/>
      </c>
      <c r="Y520" s="67">
        <f>IF(OR(T520=1,X520&lt;&gt;""),"",IF(AND(B520&lt;&gt;"",COUNTIF(tx_ID,B520)&gt;1),"Duplicate transaction ID",IF(AND(L520&lt;0,D520&lt;&gt;"Adjustment"),"Negative amount — check this entry",IF(AND(D520="Customer Payment",G520=""),"Add the customer",IF(AND(D520="Customer Payment",OR(J520="",COUNTIF(ar_No,J520&amp;"")=0)),"Invoice # in Reference not found on AR sheet",IF(AND(D520="Bill Payment",H520=""),"Add the vendor",IF(AND(D520="Bill Payment",OR(J520="",COUNTIFS(ap_No,J520&amp;"",ap_Party,H520&amp;"")=0)),"Bill # + vendor not found on AP sheet",IF(AND(ISNUMBER(M520),N(M520)&lt;&gt;0,W520=0),"Tax ignored (tax tracking off, or not allowed for this type)",IF(V520=K520&amp;"","Same account on both sides",IF(AND(ISNUMBER(StartDate),C520&lt;StartDate),"Date is before the accounting start date",IF(AND(D520&lt;&gt;"Adjustment",IFERROR(INDEX(coa_Pay,MATCH(K520&amp;"",coa_Name,0)),"")&lt;&gt;"Yes"),"Paid From / Deposited To is not a payment account","")))))))))))</f>
        <v/>
      </c>
      <c r="Z520" s="67">
        <f>IF(AND(T520=0,X520=""),1,0)</f>
        <v/>
      </c>
      <c r="AA520" s="68">
        <f>IF(Z520=1,IF(U520="In",L520,L520-W520),0)</f>
        <v/>
      </c>
      <c r="AB520" s="68">
        <f>IF(Z520=1,IF(U520="In",L520-W520,L520),0)</f>
        <v/>
      </c>
      <c r="AC520" s="68">
        <f>IF(AND(Z520=1,U520="Out"),W520,0)</f>
        <v/>
      </c>
      <c r="AD520" s="68">
        <f>IF(AND(Z520=1,U520="In"),W520,0)</f>
        <v/>
      </c>
    </row>
    <row r="521">
      <c r="B521" s="62" t="inlineStr">
        <is>
          <t>TX-0515</t>
        </is>
      </c>
      <c r="C521" s="63" t="n"/>
      <c r="D521" s="62" t="n"/>
      <c r="E521" s="62" t="n"/>
      <c r="F521" s="62" t="n"/>
      <c r="G521" s="62" t="n"/>
      <c r="H521" s="62" t="n"/>
      <c r="I521" s="62" t="n"/>
      <c r="J521" s="62" t="n"/>
      <c r="K521" s="62" t="n"/>
      <c r="L521" s="64" t="n"/>
      <c r="M521" s="64" t="n"/>
      <c r="N521" s="62" t="n"/>
      <c r="O521" s="65">
        <f>IF(Z521=1,L521-W521,"")</f>
        <v/>
      </c>
      <c r="P521" s="66">
        <f>IF(V521="","",IFERROR(INDEX(coa_Type,MATCH(V521,coa_Name,0)),""))</f>
        <v/>
      </c>
      <c r="Q521" s="66">
        <f>IF(Z521=1,IF(U521="In",K521&amp;"",V521),"")</f>
        <v/>
      </c>
      <c r="R521" s="66">
        <f>IF(Z521=1,IF(U521="In",V521,K521&amp;""),"")</f>
        <v/>
      </c>
      <c r="S521" s="66">
        <f>IF(X521&lt;&gt;"","⛔ "&amp;X521&amp;" — not posted",IF(Y521&lt;&gt;"","⚠ "&amp;Y521,IF(Z521=1,"✓ OK","")))</f>
        <v/>
      </c>
      <c r="T521" s="67">
        <f>IF(AND(C521="",D521="",E521="",L521="",K521=""),1,0)</f>
        <v/>
      </c>
      <c r="U521" s="67">
        <f>IFERROR(INDEX(tt_Dir,MATCH(D521,tt_Type,0)),"")</f>
        <v/>
      </c>
      <c r="V521" s="67">
        <f>IF(D521="","",IFERROR(IF(INDEX(tt_Other,MATCH(D521,tt_Type,0))="",E521&amp;"",INDEX(tt_Other,MATCH(D521,tt_Type,0))),""))</f>
        <v/>
      </c>
      <c r="W521" s="68">
        <f>IF(OR(TaxOn&lt;&gt;"Yes",NOT(ISNUMBER(M521))),0,IF(IFERROR(INDEX(tt_Tax,MATCH(D521,tt_Type,0)),"No")="Yes",M521,0))</f>
        <v/>
      </c>
      <c r="X521" s="67">
        <f>IF(T521=1,"",IF(C521="","Missing transaction date",IF(NOT(ISNUMBER(C521)),"Invalid date",IF(OR(C521&lt;DATE(2000,1,1),C521&gt;DATE(2099,12,31)),"Invalid date",IF(D521="","Select a type",IF(U521="","Unknown type: "&amp;D521,IF(V521="","Select an account (Category)",IF(ISNA(MATCH(V521,coa_Name,0)),"Unknown account: "&amp;V521,IF(K521="","Select Paid From / Deposited To",IF(ISNA(MATCH(K521,coa_Name,0)),"Unknown account: "&amp;K521,IF(NOT(ISNUMBER(L521)),"Enter an amount",IF(L521=0,"Enter an amount",IF(ABS(W521)&gt;ABS(L521),"Tax is larger than the amount","")))))))))))))</f>
        <v/>
      </c>
      <c r="Y521" s="67">
        <f>IF(OR(T521=1,X521&lt;&gt;""),"",IF(AND(B521&lt;&gt;"",COUNTIF(tx_ID,B521)&gt;1),"Duplicate transaction ID",IF(AND(L521&lt;0,D521&lt;&gt;"Adjustment"),"Negative amount — check this entry",IF(AND(D521="Customer Payment",G521=""),"Add the customer",IF(AND(D521="Customer Payment",OR(J521="",COUNTIF(ar_No,J521&amp;"")=0)),"Invoice # in Reference not found on AR sheet",IF(AND(D521="Bill Payment",H521=""),"Add the vendor",IF(AND(D521="Bill Payment",OR(J521="",COUNTIFS(ap_No,J521&amp;"",ap_Party,H521&amp;"")=0)),"Bill # + vendor not found on AP sheet",IF(AND(ISNUMBER(M521),N(M521)&lt;&gt;0,W521=0),"Tax ignored (tax tracking off, or not allowed for this type)",IF(V521=K521&amp;"","Same account on both sides",IF(AND(ISNUMBER(StartDate),C521&lt;StartDate),"Date is before the accounting start date",IF(AND(D521&lt;&gt;"Adjustment",IFERROR(INDEX(coa_Pay,MATCH(K521&amp;"",coa_Name,0)),"")&lt;&gt;"Yes"),"Paid From / Deposited To is not a payment account","")))))))))))</f>
        <v/>
      </c>
      <c r="Z521" s="67">
        <f>IF(AND(T521=0,X521=""),1,0)</f>
        <v/>
      </c>
      <c r="AA521" s="68">
        <f>IF(Z521=1,IF(U521="In",L521,L521-W521),0)</f>
        <v/>
      </c>
      <c r="AB521" s="68">
        <f>IF(Z521=1,IF(U521="In",L521-W521,L521),0)</f>
        <v/>
      </c>
      <c r="AC521" s="68">
        <f>IF(AND(Z521=1,U521="Out"),W521,0)</f>
        <v/>
      </c>
      <c r="AD521" s="68">
        <f>IF(AND(Z521=1,U521="In"),W521,0)</f>
        <v/>
      </c>
    </row>
    <row r="522">
      <c r="B522" s="62" t="inlineStr">
        <is>
          <t>TX-0516</t>
        </is>
      </c>
      <c r="C522" s="63" t="n"/>
      <c r="D522" s="62" t="n"/>
      <c r="E522" s="62" t="n"/>
      <c r="F522" s="62" t="n"/>
      <c r="G522" s="62" t="n"/>
      <c r="H522" s="62" t="n"/>
      <c r="I522" s="62" t="n"/>
      <c r="J522" s="62" t="n"/>
      <c r="K522" s="62" t="n"/>
      <c r="L522" s="64" t="n"/>
      <c r="M522" s="64" t="n"/>
      <c r="N522" s="62" t="n"/>
      <c r="O522" s="65">
        <f>IF(Z522=1,L522-W522,"")</f>
        <v/>
      </c>
      <c r="P522" s="66">
        <f>IF(V522="","",IFERROR(INDEX(coa_Type,MATCH(V522,coa_Name,0)),""))</f>
        <v/>
      </c>
      <c r="Q522" s="66">
        <f>IF(Z522=1,IF(U522="In",K522&amp;"",V522),"")</f>
        <v/>
      </c>
      <c r="R522" s="66">
        <f>IF(Z522=1,IF(U522="In",V522,K522&amp;""),"")</f>
        <v/>
      </c>
      <c r="S522" s="66">
        <f>IF(X522&lt;&gt;"","⛔ "&amp;X522&amp;" — not posted",IF(Y522&lt;&gt;"","⚠ "&amp;Y522,IF(Z522=1,"✓ OK","")))</f>
        <v/>
      </c>
      <c r="T522" s="67">
        <f>IF(AND(C522="",D522="",E522="",L522="",K522=""),1,0)</f>
        <v/>
      </c>
      <c r="U522" s="67">
        <f>IFERROR(INDEX(tt_Dir,MATCH(D522,tt_Type,0)),"")</f>
        <v/>
      </c>
      <c r="V522" s="67">
        <f>IF(D522="","",IFERROR(IF(INDEX(tt_Other,MATCH(D522,tt_Type,0))="",E522&amp;"",INDEX(tt_Other,MATCH(D522,tt_Type,0))),""))</f>
        <v/>
      </c>
      <c r="W522" s="68">
        <f>IF(OR(TaxOn&lt;&gt;"Yes",NOT(ISNUMBER(M522))),0,IF(IFERROR(INDEX(tt_Tax,MATCH(D522,tt_Type,0)),"No")="Yes",M522,0))</f>
        <v/>
      </c>
      <c r="X522" s="67">
        <f>IF(T522=1,"",IF(C522="","Missing transaction date",IF(NOT(ISNUMBER(C522)),"Invalid date",IF(OR(C522&lt;DATE(2000,1,1),C522&gt;DATE(2099,12,31)),"Invalid date",IF(D522="","Select a type",IF(U522="","Unknown type: "&amp;D522,IF(V522="","Select an account (Category)",IF(ISNA(MATCH(V522,coa_Name,0)),"Unknown account: "&amp;V522,IF(K522="","Select Paid From / Deposited To",IF(ISNA(MATCH(K522,coa_Name,0)),"Unknown account: "&amp;K522,IF(NOT(ISNUMBER(L522)),"Enter an amount",IF(L522=0,"Enter an amount",IF(ABS(W522)&gt;ABS(L522),"Tax is larger than the amount","")))))))))))))</f>
        <v/>
      </c>
      <c r="Y522" s="67">
        <f>IF(OR(T522=1,X522&lt;&gt;""),"",IF(AND(B522&lt;&gt;"",COUNTIF(tx_ID,B522)&gt;1),"Duplicate transaction ID",IF(AND(L522&lt;0,D522&lt;&gt;"Adjustment"),"Negative amount — check this entry",IF(AND(D522="Customer Payment",G522=""),"Add the customer",IF(AND(D522="Customer Payment",OR(J522="",COUNTIF(ar_No,J522&amp;"")=0)),"Invoice # in Reference not found on AR sheet",IF(AND(D522="Bill Payment",H522=""),"Add the vendor",IF(AND(D522="Bill Payment",OR(J522="",COUNTIFS(ap_No,J522&amp;"",ap_Party,H522&amp;"")=0)),"Bill # + vendor not found on AP sheet",IF(AND(ISNUMBER(M522),N(M522)&lt;&gt;0,W522=0),"Tax ignored (tax tracking off, or not allowed for this type)",IF(V522=K522&amp;"","Same account on both sides",IF(AND(ISNUMBER(StartDate),C522&lt;StartDate),"Date is before the accounting start date",IF(AND(D522&lt;&gt;"Adjustment",IFERROR(INDEX(coa_Pay,MATCH(K522&amp;"",coa_Name,0)),"")&lt;&gt;"Yes"),"Paid From / Deposited To is not a payment account","")))))))))))</f>
        <v/>
      </c>
      <c r="Z522" s="67">
        <f>IF(AND(T522=0,X522=""),1,0)</f>
        <v/>
      </c>
      <c r="AA522" s="68">
        <f>IF(Z522=1,IF(U522="In",L522,L522-W522),0)</f>
        <v/>
      </c>
      <c r="AB522" s="68">
        <f>IF(Z522=1,IF(U522="In",L522-W522,L522),0)</f>
        <v/>
      </c>
      <c r="AC522" s="68">
        <f>IF(AND(Z522=1,U522="Out"),W522,0)</f>
        <v/>
      </c>
      <c r="AD522" s="68">
        <f>IF(AND(Z522=1,U522="In"),W522,0)</f>
        <v/>
      </c>
    </row>
    <row r="523">
      <c r="B523" s="62" t="inlineStr">
        <is>
          <t>TX-0517</t>
        </is>
      </c>
      <c r="C523" s="63" t="n"/>
      <c r="D523" s="62" t="n"/>
      <c r="E523" s="62" t="n"/>
      <c r="F523" s="62" t="n"/>
      <c r="G523" s="62" t="n"/>
      <c r="H523" s="62" t="n"/>
      <c r="I523" s="62" t="n"/>
      <c r="J523" s="62" t="n"/>
      <c r="K523" s="62" t="n"/>
      <c r="L523" s="64" t="n"/>
      <c r="M523" s="64" t="n"/>
      <c r="N523" s="62" t="n"/>
      <c r="O523" s="65">
        <f>IF(Z523=1,L523-W523,"")</f>
        <v/>
      </c>
      <c r="P523" s="66">
        <f>IF(V523="","",IFERROR(INDEX(coa_Type,MATCH(V523,coa_Name,0)),""))</f>
        <v/>
      </c>
      <c r="Q523" s="66">
        <f>IF(Z523=1,IF(U523="In",K523&amp;"",V523),"")</f>
        <v/>
      </c>
      <c r="R523" s="66">
        <f>IF(Z523=1,IF(U523="In",V523,K523&amp;""),"")</f>
        <v/>
      </c>
      <c r="S523" s="66">
        <f>IF(X523&lt;&gt;"","⛔ "&amp;X523&amp;" — not posted",IF(Y523&lt;&gt;"","⚠ "&amp;Y523,IF(Z523=1,"✓ OK","")))</f>
        <v/>
      </c>
      <c r="T523" s="67">
        <f>IF(AND(C523="",D523="",E523="",L523="",K523=""),1,0)</f>
        <v/>
      </c>
      <c r="U523" s="67">
        <f>IFERROR(INDEX(tt_Dir,MATCH(D523,tt_Type,0)),"")</f>
        <v/>
      </c>
      <c r="V523" s="67">
        <f>IF(D523="","",IFERROR(IF(INDEX(tt_Other,MATCH(D523,tt_Type,0))="",E523&amp;"",INDEX(tt_Other,MATCH(D523,tt_Type,0))),""))</f>
        <v/>
      </c>
      <c r="W523" s="68">
        <f>IF(OR(TaxOn&lt;&gt;"Yes",NOT(ISNUMBER(M523))),0,IF(IFERROR(INDEX(tt_Tax,MATCH(D523,tt_Type,0)),"No")="Yes",M523,0))</f>
        <v/>
      </c>
      <c r="X523" s="67">
        <f>IF(T523=1,"",IF(C523="","Missing transaction date",IF(NOT(ISNUMBER(C523)),"Invalid date",IF(OR(C523&lt;DATE(2000,1,1),C523&gt;DATE(2099,12,31)),"Invalid date",IF(D523="","Select a type",IF(U523="","Unknown type: "&amp;D523,IF(V523="","Select an account (Category)",IF(ISNA(MATCH(V523,coa_Name,0)),"Unknown account: "&amp;V523,IF(K523="","Select Paid From / Deposited To",IF(ISNA(MATCH(K523,coa_Name,0)),"Unknown account: "&amp;K523,IF(NOT(ISNUMBER(L523)),"Enter an amount",IF(L523=0,"Enter an amount",IF(ABS(W523)&gt;ABS(L523),"Tax is larger than the amount","")))))))))))))</f>
        <v/>
      </c>
      <c r="Y523" s="67">
        <f>IF(OR(T523=1,X523&lt;&gt;""),"",IF(AND(B523&lt;&gt;"",COUNTIF(tx_ID,B523)&gt;1),"Duplicate transaction ID",IF(AND(L523&lt;0,D523&lt;&gt;"Adjustment"),"Negative amount — check this entry",IF(AND(D523="Customer Payment",G523=""),"Add the customer",IF(AND(D523="Customer Payment",OR(J523="",COUNTIF(ar_No,J523&amp;"")=0)),"Invoice # in Reference not found on AR sheet",IF(AND(D523="Bill Payment",H523=""),"Add the vendor",IF(AND(D523="Bill Payment",OR(J523="",COUNTIFS(ap_No,J523&amp;"",ap_Party,H523&amp;"")=0)),"Bill # + vendor not found on AP sheet",IF(AND(ISNUMBER(M523),N(M523)&lt;&gt;0,W523=0),"Tax ignored (tax tracking off, or not allowed for this type)",IF(V523=K523&amp;"","Same account on both sides",IF(AND(ISNUMBER(StartDate),C523&lt;StartDate),"Date is before the accounting start date",IF(AND(D523&lt;&gt;"Adjustment",IFERROR(INDEX(coa_Pay,MATCH(K523&amp;"",coa_Name,0)),"")&lt;&gt;"Yes"),"Paid From / Deposited To is not a payment account","")))))))))))</f>
        <v/>
      </c>
      <c r="Z523" s="67">
        <f>IF(AND(T523=0,X523=""),1,0)</f>
        <v/>
      </c>
      <c r="AA523" s="68">
        <f>IF(Z523=1,IF(U523="In",L523,L523-W523),0)</f>
        <v/>
      </c>
      <c r="AB523" s="68">
        <f>IF(Z523=1,IF(U523="In",L523-W523,L523),0)</f>
        <v/>
      </c>
      <c r="AC523" s="68">
        <f>IF(AND(Z523=1,U523="Out"),W523,0)</f>
        <v/>
      </c>
      <c r="AD523" s="68">
        <f>IF(AND(Z523=1,U523="In"),W523,0)</f>
        <v/>
      </c>
    </row>
    <row r="524">
      <c r="B524" s="62" t="inlineStr">
        <is>
          <t>TX-0518</t>
        </is>
      </c>
      <c r="C524" s="63" t="n"/>
      <c r="D524" s="62" t="n"/>
      <c r="E524" s="62" t="n"/>
      <c r="F524" s="62" t="n"/>
      <c r="G524" s="62" t="n"/>
      <c r="H524" s="62" t="n"/>
      <c r="I524" s="62" t="n"/>
      <c r="J524" s="62" t="n"/>
      <c r="K524" s="62" t="n"/>
      <c r="L524" s="64" t="n"/>
      <c r="M524" s="64" t="n"/>
      <c r="N524" s="62" t="n"/>
      <c r="O524" s="65">
        <f>IF(Z524=1,L524-W524,"")</f>
        <v/>
      </c>
      <c r="P524" s="66">
        <f>IF(V524="","",IFERROR(INDEX(coa_Type,MATCH(V524,coa_Name,0)),""))</f>
        <v/>
      </c>
      <c r="Q524" s="66">
        <f>IF(Z524=1,IF(U524="In",K524&amp;"",V524),"")</f>
        <v/>
      </c>
      <c r="R524" s="66">
        <f>IF(Z524=1,IF(U524="In",V524,K524&amp;""),"")</f>
        <v/>
      </c>
      <c r="S524" s="66">
        <f>IF(X524&lt;&gt;"","⛔ "&amp;X524&amp;" — not posted",IF(Y524&lt;&gt;"","⚠ "&amp;Y524,IF(Z524=1,"✓ OK","")))</f>
        <v/>
      </c>
      <c r="T524" s="67">
        <f>IF(AND(C524="",D524="",E524="",L524="",K524=""),1,0)</f>
        <v/>
      </c>
      <c r="U524" s="67">
        <f>IFERROR(INDEX(tt_Dir,MATCH(D524,tt_Type,0)),"")</f>
        <v/>
      </c>
      <c r="V524" s="67">
        <f>IF(D524="","",IFERROR(IF(INDEX(tt_Other,MATCH(D524,tt_Type,0))="",E524&amp;"",INDEX(tt_Other,MATCH(D524,tt_Type,0))),""))</f>
        <v/>
      </c>
      <c r="W524" s="68">
        <f>IF(OR(TaxOn&lt;&gt;"Yes",NOT(ISNUMBER(M524))),0,IF(IFERROR(INDEX(tt_Tax,MATCH(D524,tt_Type,0)),"No")="Yes",M524,0))</f>
        <v/>
      </c>
      <c r="X524" s="67">
        <f>IF(T524=1,"",IF(C524="","Missing transaction date",IF(NOT(ISNUMBER(C524)),"Invalid date",IF(OR(C524&lt;DATE(2000,1,1),C524&gt;DATE(2099,12,31)),"Invalid date",IF(D524="","Select a type",IF(U524="","Unknown type: "&amp;D524,IF(V524="","Select an account (Category)",IF(ISNA(MATCH(V524,coa_Name,0)),"Unknown account: "&amp;V524,IF(K524="","Select Paid From / Deposited To",IF(ISNA(MATCH(K524,coa_Name,0)),"Unknown account: "&amp;K524,IF(NOT(ISNUMBER(L524)),"Enter an amount",IF(L524=0,"Enter an amount",IF(ABS(W524)&gt;ABS(L524),"Tax is larger than the amount","")))))))))))))</f>
        <v/>
      </c>
      <c r="Y524" s="67">
        <f>IF(OR(T524=1,X524&lt;&gt;""),"",IF(AND(B524&lt;&gt;"",COUNTIF(tx_ID,B524)&gt;1),"Duplicate transaction ID",IF(AND(L524&lt;0,D524&lt;&gt;"Adjustment"),"Negative amount — check this entry",IF(AND(D524="Customer Payment",G524=""),"Add the customer",IF(AND(D524="Customer Payment",OR(J524="",COUNTIF(ar_No,J524&amp;"")=0)),"Invoice # in Reference not found on AR sheet",IF(AND(D524="Bill Payment",H524=""),"Add the vendor",IF(AND(D524="Bill Payment",OR(J524="",COUNTIFS(ap_No,J524&amp;"",ap_Party,H524&amp;"")=0)),"Bill # + vendor not found on AP sheet",IF(AND(ISNUMBER(M524),N(M524)&lt;&gt;0,W524=0),"Tax ignored (tax tracking off, or not allowed for this type)",IF(V524=K524&amp;"","Same account on both sides",IF(AND(ISNUMBER(StartDate),C524&lt;StartDate),"Date is before the accounting start date",IF(AND(D524&lt;&gt;"Adjustment",IFERROR(INDEX(coa_Pay,MATCH(K524&amp;"",coa_Name,0)),"")&lt;&gt;"Yes"),"Paid From / Deposited To is not a payment account","")))))))))))</f>
        <v/>
      </c>
      <c r="Z524" s="67">
        <f>IF(AND(T524=0,X524=""),1,0)</f>
        <v/>
      </c>
      <c r="AA524" s="68">
        <f>IF(Z524=1,IF(U524="In",L524,L524-W524),0)</f>
        <v/>
      </c>
      <c r="AB524" s="68">
        <f>IF(Z524=1,IF(U524="In",L524-W524,L524),0)</f>
        <v/>
      </c>
      <c r="AC524" s="68">
        <f>IF(AND(Z524=1,U524="Out"),W524,0)</f>
        <v/>
      </c>
      <c r="AD524" s="68">
        <f>IF(AND(Z524=1,U524="In"),W524,0)</f>
        <v/>
      </c>
    </row>
    <row r="525">
      <c r="B525" s="62" t="inlineStr">
        <is>
          <t>TX-0519</t>
        </is>
      </c>
      <c r="C525" s="63" t="n"/>
      <c r="D525" s="62" t="n"/>
      <c r="E525" s="62" t="n"/>
      <c r="F525" s="62" t="n"/>
      <c r="G525" s="62" t="n"/>
      <c r="H525" s="62" t="n"/>
      <c r="I525" s="62" t="n"/>
      <c r="J525" s="62" t="n"/>
      <c r="K525" s="62" t="n"/>
      <c r="L525" s="64" t="n"/>
      <c r="M525" s="64" t="n"/>
      <c r="N525" s="62" t="n"/>
      <c r="O525" s="65">
        <f>IF(Z525=1,L525-W525,"")</f>
        <v/>
      </c>
      <c r="P525" s="66">
        <f>IF(V525="","",IFERROR(INDEX(coa_Type,MATCH(V525,coa_Name,0)),""))</f>
        <v/>
      </c>
      <c r="Q525" s="66">
        <f>IF(Z525=1,IF(U525="In",K525&amp;"",V525),"")</f>
        <v/>
      </c>
      <c r="R525" s="66">
        <f>IF(Z525=1,IF(U525="In",V525,K525&amp;""),"")</f>
        <v/>
      </c>
      <c r="S525" s="66">
        <f>IF(X525&lt;&gt;"","⛔ "&amp;X525&amp;" — not posted",IF(Y525&lt;&gt;"","⚠ "&amp;Y525,IF(Z525=1,"✓ OK","")))</f>
        <v/>
      </c>
      <c r="T525" s="67">
        <f>IF(AND(C525="",D525="",E525="",L525="",K525=""),1,0)</f>
        <v/>
      </c>
      <c r="U525" s="67">
        <f>IFERROR(INDEX(tt_Dir,MATCH(D525,tt_Type,0)),"")</f>
        <v/>
      </c>
      <c r="V525" s="67">
        <f>IF(D525="","",IFERROR(IF(INDEX(tt_Other,MATCH(D525,tt_Type,0))="",E525&amp;"",INDEX(tt_Other,MATCH(D525,tt_Type,0))),""))</f>
        <v/>
      </c>
      <c r="W525" s="68">
        <f>IF(OR(TaxOn&lt;&gt;"Yes",NOT(ISNUMBER(M525))),0,IF(IFERROR(INDEX(tt_Tax,MATCH(D525,tt_Type,0)),"No")="Yes",M525,0))</f>
        <v/>
      </c>
      <c r="X525" s="67">
        <f>IF(T525=1,"",IF(C525="","Missing transaction date",IF(NOT(ISNUMBER(C525)),"Invalid date",IF(OR(C525&lt;DATE(2000,1,1),C525&gt;DATE(2099,12,31)),"Invalid date",IF(D525="","Select a type",IF(U525="","Unknown type: "&amp;D525,IF(V525="","Select an account (Category)",IF(ISNA(MATCH(V525,coa_Name,0)),"Unknown account: "&amp;V525,IF(K525="","Select Paid From / Deposited To",IF(ISNA(MATCH(K525,coa_Name,0)),"Unknown account: "&amp;K525,IF(NOT(ISNUMBER(L525)),"Enter an amount",IF(L525=0,"Enter an amount",IF(ABS(W525)&gt;ABS(L525),"Tax is larger than the amount","")))))))))))))</f>
        <v/>
      </c>
      <c r="Y525" s="67">
        <f>IF(OR(T525=1,X525&lt;&gt;""),"",IF(AND(B525&lt;&gt;"",COUNTIF(tx_ID,B525)&gt;1),"Duplicate transaction ID",IF(AND(L525&lt;0,D525&lt;&gt;"Adjustment"),"Negative amount — check this entry",IF(AND(D525="Customer Payment",G525=""),"Add the customer",IF(AND(D525="Customer Payment",OR(J525="",COUNTIF(ar_No,J525&amp;"")=0)),"Invoice # in Reference not found on AR sheet",IF(AND(D525="Bill Payment",H525=""),"Add the vendor",IF(AND(D525="Bill Payment",OR(J525="",COUNTIFS(ap_No,J525&amp;"",ap_Party,H525&amp;"")=0)),"Bill # + vendor not found on AP sheet",IF(AND(ISNUMBER(M525),N(M525)&lt;&gt;0,W525=0),"Tax ignored (tax tracking off, or not allowed for this type)",IF(V525=K525&amp;"","Same account on both sides",IF(AND(ISNUMBER(StartDate),C525&lt;StartDate),"Date is before the accounting start date",IF(AND(D525&lt;&gt;"Adjustment",IFERROR(INDEX(coa_Pay,MATCH(K525&amp;"",coa_Name,0)),"")&lt;&gt;"Yes"),"Paid From / Deposited To is not a payment account","")))))))))))</f>
        <v/>
      </c>
      <c r="Z525" s="67">
        <f>IF(AND(T525=0,X525=""),1,0)</f>
        <v/>
      </c>
      <c r="AA525" s="68">
        <f>IF(Z525=1,IF(U525="In",L525,L525-W525),0)</f>
        <v/>
      </c>
      <c r="AB525" s="68">
        <f>IF(Z525=1,IF(U525="In",L525-W525,L525),0)</f>
        <v/>
      </c>
      <c r="AC525" s="68">
        <f>IF(AND(Z525=1,U525="Out"),W525,0)</f>
        <v/>
      </c>
      <c r="AD525" s="68">
        <f>IF(AND(Z525=1,U525="In"),W525,0)</f>
        <v/>
      </c>
    </row>
    <row r="526">
      <c r="B526" s="62" t="inlineStr">
        <is>
          <t>TX-0520</t>
        </is>
      </c>
      <c r="C526" s="63" t="n"/>
      <c r="D526" s="62" t="n"/>
      <c r="E526" s="62" t="n"/>
      <c r="F526" s="62" t="n"/>
      <c r="G526" s="62" t="n"/>
      <c r="H526" s="62" t="n"/>
      <c r="I526" s="62" t="n"/>
      <c r="J526" s="62" t="n"/>
      <c r="K526" s="62" t="n"/>
      <c r="L526" s="64" t="n"/>
      <c r="M526" s="64" t="n"/>
      <c r="N526" s="62" t="n"/>
      <c r="O526" s="65">
        <f>IF(Z526=1,L526-W526,"")</f>
        <v/>
      </c>
      <c r="P526" s="66">
        <f>IF(V526="","",IFERROR(INDEX(coa_Type,MATCH(V526,coa_Name,0)),""))</f>
        <v/>
      </c>
      <c r="Q526" s="66">
        <f>IF(Z526=1,IF(U526="In",K526&amp;"",V526),"")</f>
        <v/>
      </c>
      <c r="R526" s="66">
        <f>IF(Z526=1,IF(U526="In",V526,K526&amp;""),"")</f>
        <v/>
      </c>
      <c r="S526" s="66">
        <f>IF(X526&lt;&gt;"","⛔ "&amp;X526&amp;" — not posted",IF(Y526&lt;&gt;"","⚠ "&amp;Y526,IF(Z526=1,"✓ OK","")))</f>
        <v/>
      </c>
      <c r="T526" s="67">
        <f>IF(AND(C526="",D526="",E526="",L526="",K526=""),1,0)</f>
        <v/>
      </c>
      <c r="U526" s="67">
        <f>IFERROR(INDEX(tt_Dir,MATCH(D526,tt_Type,0)),"")</f>
        <v/>
      </c>
      <c r="V526" s="67">
        <f>IF(D526="","",IFERROR(IF(INDEX(tt_Other,MATCH(D526,tt_Type,0))="",E526&amp;"",INDEX(tt_Other,MATCH(D526,tt_Type,0))),""))</f>
        <v/>
      </c>
      <c r="W526" s="68">
        <f>IF(OR(TaxOn&lt;&gt;"Yes",NOT(ISNUMBER(M526))),0,IF(IFERROR(INDEX(tt_Tax,MATCH(D526,tt_Type,0)),"No")="Yes",M526,0))</f>
        <v/>
      </c>
      <c r="X526" s="67">
        <f>IF(T526=1,"",IF(C526="","Missing transaction date",IF(NOT(ISNUMBER(C526)),"Invalid date",IF(OR(C526&lt;DATE(2000,1,1),C526&gt;DATE(2099,12,31)),"Invalid date",IF(D526="","Select a type",IF(U526="","Unknown type: "&amp;D526,IF(V526="","Select an account (Category)",IF(ISNA(MATCH(V526,coa_Name,0)),"Unknown account: "&amp;V526,IF(K526="","Select Paid From / Deposited To",IF(ISNA(MATCH(K526,coa_Name,0)),"Unknown account: "&amp;K526,IF(NOT(ISNUMBER(L526)),"Enter an amount",IF(L526=0,"Enter an amount",IF(ABS(W526)&gt;ABS(L526),"Tax is larger than the amount","")))))))))))))</f>
        <v/>
      </c>
      <c r="Y526" s="67">
        <f>IF(OR(T526=1,X526&lt;&gt;""),"",IF(AND(B526&lt;&gt;"",COUNTIF(tx_ID,B526)&gt;1),"Duplicate transaction ID",IF(AND(L526&lt;0,D526&lt;&gt;"Adjustment"),"Negative amount — check this entry",IF(AND(D526="Customer Payment",G526=""),"Add the customer",IF(AND(D526="Customer Payment",OR(J526="",COUNTIF(ar_No,J526&amp;"")=0)),"Invoice # in Reference not found on AR sheet",IF(AND(D526="Bill Payment",H526=""),"Add the vendor",IF(AND(D526="Bill Payment",OR(J526="",COUNTIFS(ap_No,J526&amp;"",ap_Party,H526&amp;"")=0)),"Bill # + vendor not found on AP sheet",IF(AND(ISNUMBER(M526),N(M526)&lt;&gt;0,W526=0),"Tax ignored (tax tracking off, or not allowed for this type)",IF(V526=K526&amp;"","Same account on both sides",IF(AND(ISNUMBER(StartDate),C526&lt;StartDate),"Date is before the accounting start date",IF(AND(D526&lt;&gt;"Adjustment",IFERROR(INDEX(coa_Pay,MATCH(K526&amp;"",coa_Name,0)),"")&lt;&gt;"Yes"),"Paid From / Deposited To is not a payment account","")))))))))))</f>
        <v/>
      </c>
      <c r="Z526" s="67">
        <f>IF(AND(T526=0,X526=""),1,0)</f>
        <v/>
      </c>
      <c r="AA526" s="68">
        <f>IF(Z526=1,IF(U526="In",L526,L526-W526),0)</f>
        <v/>
      </c>
      <c r="AB526" s="68">
        <f>IF(Z526=1,IF(U526="In",L526-W526,L526),0)</f>
        <v/>
      </c>
      <c r="AC526" s="68">
        <f>IF(AND(Z526=1,U526="Out"),W526,0)</f>
        <v/>
      </c>
      <c r="AD526" s="68">
        <f>IF(AND(Z526=1,U526="In"),W526,0)</f>
        <v/>
      </c>
    </row>
    <row r="527">
      <c r="B527" s="62" t="inlineStr">
        <is>
          <t>TX-0521</t>
        </is>
      </c>
      <c r="C527" s="63" t="n"/>
      <c r="D527" s="62" t="n"/>
      <c r="E527" s="62" t="n"/>
      <c r="F527" s="62" t="n"/>
      <c r="G527" s="62" t="n"/>
      <c r="H527" s="62" t="n"/>
      <c r="I527" s="62" t="n"/>
      <c r="J527" s="62" t="n"/>
      <c r="K527" s="62" t="n"/>
      <c r="L527" s="64" t="n"/>
      <c r="M527" s="64" t="n"/>
      <c r="N527" s="62" t="n"/>
      <c r="O527" s="65">
        <f>IF(Z527=1,L527-W527,"")</f>
        <v/>
      </c>
      <c r="P527" s="66">
        <f>IF(V527="","",IFERROR(INDEX(coa_Type,MATCH(V527,coa_Name,0)),""))</f>
        <v/>
      </c>
      <c r="Q527" s="66">
        <f>IF(Z527=1,IF(U527="In",K527&amp;"",V527),"")</f>
        <v/>
      </c>
      <c r="R527" s="66">
        <f>IF(Z527=1,IF(U527="In",V527,K527&amp;""),"")</f>
        <v/>
      </c>
      <c r="S527" s="66">
        <f>IF(X527&lt;&gt;"","⛔ "&amp;X527&amp;" — not posted",IF(Y527&lt;&gt;"","⚠ "&amp;Y527,IF(Z527=1,"✓ OK","")))</f>
        <v/>
      </c>
      <c r="T527" s="67">
        <f>IF(AND(C527="",D527="",E527="",L527="",K527=""),1,0)</f>
        <v/>
      </c>
      <c r="U527" s="67">
        <f>IFERROR(INDEX(tt_Dir,MATCH(D527,tt_Type,0)),"")</f>
        <v/>
      </c>
      <c r="V527" s="67">
        <f>IF(D527="","",IFERROR(IF(INDEX(tt_Other,MATCH(D527,tt_Type,0))="",E527&amp;"",INDEX(tt_Other,MATCH(D527,tt_Type,0))),""))</f>
        <v/>
      </c>
      <c r="W527" s="68">
        <f>IF(OR(TaxOn&lt;&gt;"Yes",NOT(ISNUMBER(M527))),0,IF(IFERROR(INDEX(tt_Tax,MATCH(D527,tt_Type,0)),"No")="Yes",M527,0))</f>
        <v/>
      </c>
      <c r="X527" s="67">
        <f>IF(T527=1,"",IF(C527="","Missing transaction date",IF(NOT(ISNUMBER(C527)),"Invalid date",IF(OR(C527&lt;DATE(2000,1,1),C527&gt;DATE(2099,12,31)),"Invalid date",IF(D527="","Select a type",IF(U527="","Unknown type: "&amp;D527,IF(V527="","Select an account (Category)",IF(ISNA(MATCH(V527,coa_Name,0)),"Unknown account: "&amp;V527,IF(K527="","Select Paid From / Deposited To",IF(ISNA(MATCH(K527,coa_Name,0)),"Unknown account: "&amp;K527,IF(NOT(ISNUMBER(L527)),"Enter an amount",IF(L527=0,"Enter an amount",IF(ABS(W527)&gt;ABS(L527),"Tax is larger than the amount","")))))))))))))</f>
        <v/>
      </c>
      <c r="Y527" s="67">
        <f>IF(OR(T527=1,X527&lt;&gt;""),"",IF(AND(B527&lt;&gt;"",COUNTIF(tx_ID,B527)&gt;1),"Duplicate transaction ID",IF(AND(L527&lt;0,D527&lt;&gt;"Adjustment"),"Negative amount — check this entry",IF(AND(D527="Customer Payment",G527=""),"Add the customer",IF(AND(D527="Customer Payment",OR(J527="",COUNTIF(ar_No,J527&amp;"")=0)),"Invoice # in Reference not found on AR sheet",IF(AND(D527="Bill Payment",H527=""),"Add the vendor",IF(AND(D527="Bill Payment",OR(J527="",COUNTIFS(ap_No,J527&amp;"",ap_Party,H527&amp;"")=0)),"Bill # + vendor not found on AP sheet",IF(AND(ISNUMBER(M527),N(M527)&lt;&gt;0,W527=0),"Tax ignored (tax tracking off, or not allowed for this type)",IF(V527=K527&amp;"","Same account on both sides",IF(AND(ISNUMBER(StartDate),C527&lt;StartDate),"Date is before the accounting start date",IF(AND(D527&lt;&gt;"Adjustment",IFERROR(INDEX(coa_Pay,MATCH(K527&amp;"",coa_Name,0)),"")&lt;&gt;"Yes"),"Paid From / Deposited To is not a payment account","")))))))))))</f>
        <v/>
      </c>
      <c r="Z527" s="67">
        <f>IF(AND(T527=0,X527=""),1,0)</f>
        <v/>
      </c>
      <c r="AA527" s="68">
        <f>IF(Z527=1,IF(U527="In",L527,L527-W527),0)</f>
        <v/>
      </c>
      <c r="AB527" s="68">
        <f>IF(Z527=1,IF(U527="In",L527-W527,L527),0)</f>
        <v/>
      </c>
      <c r="AC527" s="68">
        <f>IF(AND(Z527=1,U527="Out"),W527,0)</f>
        <v/>
      </c>
      <c r="AD527" s="68">
        <f>IF(AND(Z527=1,U527="In"),W527,0)</f>
        <v/>
      </c>
    </row>
    <row r="528">
      <c r="B528" s="62" t="inlineStr">
        <is>
          <t>TX-0522</t>
        </is>
      </c>
      <c r="C528" s="63" t="n"/>
      <c r="D528" s="62" t="n"/>
      <c r="E528" s="62" t="n"/>
      <c r="F528" s="62" t="n"/>
      <c r="G528" s="62" t="n"/>
      <c r="H528" s="62" t="n"/>
      <c r="I528" s="62" t="n"/>
      <c r="J528" s="62" t="n"/>
      <c r="K528" s="62" t="n"/>
      <c r="L528" s="64" t="n"/>
      <c r="M528" s="64" t="n"/>
      <c r="N528" s="62" t="n"/>
      <c r="O528" s="65">
        <f>IF(Z528=1,L528-W528,"")</f>
        <v/>
      </c>
      <c r="P528" s="66">
        <f>IF(V528="","",IFERROR(INDEX(coa_Type,MATCH(V528,coa_Name,0)),""))</f>
        <v/>
      </c>
      <c r="Q528" s="66">
        <f>IF(Z528=1,IF(U528="In",K528&amp;"",V528),"")</f>
        <v/>
      </c>
      <c r="R528" s="66">
        <f>IF(Z528=1,IF(U528="In",V528,K528&amp;""),"")</f>
        <v/>
      </c>
      <c r="S528" s="66">
        <f>IF(X528&lt;&gt;"","⛔ "&amp;X528&amp;" — not posted",IF(Y528&lt;&gt;"","⚠ "&amp;Y528,IF(Z528=1,"✓ OK","")))</f>
        <v/>
      </c>
      <c r="T528" s="67">
        <f>IF(AND(C528="",D528="",E528="",L528="",K528=""),1,0)</f>
        <v/>
      </c>
      <c r="U528" s="67">
        <f>IFERROR(INDEX(tt_Dir,MATCH(D528,tt_Type,0)),"")</f>
        <v/>
      </c>
      <c r="V528" s="67">
        <f>IF(D528="","",IFERROR(IF(INDEX(tt_Other,MATCH(D528,tt_Type,0))="",E528&amp;"",INDEX(tt_Other,MATCH(D528,tt_Type,0))),""))</f>
        <v/>
      </c>
      <c r="W528" s="68">
        <f>IF(OR(TaxOn&lt;&gt;"Yes",NOT(ISNUMBER(M528))),0,IF(IFERROR(INDEX(tt_Tax,MATCH(D528,tt_Type,0)),"No")="Yes",M528,0))</f>
        <v/>
      </c>
      <c r="X528" s="67">
        <f>IF(T528=1,"",IF(C528="","Missing transaction date",IF(NOT(ISNUMBER(C528)),"Invalid date",IF(OR(C528&lt;DATE(2000,1,1),C528&gt;DATE(2099,12,31)),"Invalid date",IF(D528="","Select a type",IF(U528="","Unknown type: "&amp;D528,IF(V528="","Select an account (Category)",IF(ISNA(MATCH(V528,coa_Name,0)),"Unknown account: "&amp;V528,IF(K528="","Select Paid From / Deposited To",IF(ISNA(MATCH(K528,coa_Name,0)),"Unknown account: "&amp;K528,IF(NOT(ISNUMBER(L528)),"Enter an amount",IF(L528=0,"Enter an amount",IF(ABS(W528)&gt;ABS(L528),"Tax is larger than the amount","")))))))))))))</f>
        <v/>
      </c>
      <c r="Y528" s="67">
        <f>IF(OR(T528=1,X528&lt;&gt;""),"",IF(AND(B528&lt;&gt;"",COUNTIF(tx_ID,B528)&gt;1),"Duplicate transaction ID",IF(AND(L528&lt;0,D528&lt;&gt;"Adjustment"),"Negative amount — check this entry",IF(AND(D528="Customer Payment",G528=""),"Add the customer",IF(AND(D528="Customer Payment",OR(J528="",COUNTIF(ar_No,J528&amp;"")=0)),"Invoice # in Reference not found on AR sheet",IF(AND(D528="Bill Payment",H528=""),"Add the vendor",IF(AND(D528="Bill Payment",OR(J528="",COUNTIFS(ap_No,J528&amp;"",ap_Party,H528&amp;"")=0)),"Bill # + vendor not found on AP sheet",IF(AND(ISNUMBER(M528),N(M528)&lt;&gt;0,W528=0),"Tax ignored (tax tracking off, or not allowed for this type)",IF(V528=K528&amp;"","Same account on both sides",IF(AND(ISNUMBER(StartDate),C528&lt;StartDate),"Date is before the accounting start date",IF(AND(D528&lt;&gt;"Adjustment",IFERROR(INDEX(coa_Pay,MATCH(K528&amp;"",coa_Name,0)),"")&lt;&gt;"Yes"),"Paid From / Deposited To is not a payment account","")))))))))))</f>
        <v/>
      </c>
      <c r="Z528" s="67">
        <f>IF(AND(T528=0,X528=""),1,0)</f>
        <v/>
      </c>
      <c r="AA528" s="68">
        <f>IF(Z528=1,IF(U528="In",L528,L528-W528),0)</f>
        <v/>
      </c>
      <c r="AB528" s="68">
        <f>IF(Z528=1,IF(U528="In",L528-W528,L528),0)</f>
        <v/>
      </c>
      <c r="AC528" s="68">
        <f>IF(AND(Z528=1,U528="Out"),W528,0)</f>
        <v/>
      </c>
      <c r="AD528" s="68">
        <f>IF(AND(Z528=1,U528="In"),W528,0)</f>
        <v/>
      </c>
    </row>
    <row r="529">
      <c r="B529" s="62" t="inlineStr">
        <is>
          <t>TX-0523</t>
        </is>
      </c>
      <c r="C529" s="63" t="n"/>
      <c r="D529" s="62" t="n"/>
      <c r="E529" s="62" t="n"/>
      <c r="F529" s="62" t="n"/>
      <c r="G529" s="62" t="n"/>
      <c r="H529" s="62" t="n"/>
      <c r="I529" s="62" t="n"/>
      <c r="J529" s="62" t="n"/>
      <c r="K529" s="62" t="n"/>
      <c r="L529" s="64" t="n"/>
      <c r="M529" s="64" t="n"/>
      <c r="N529" s="62" t="n"/>
      <c r="O529" s="65">
        <f>IF(Z529=1,L529-W529,"")</f>
        <v/>
      </c>
      <c r="P529" s="66">
        <f>IF(V529="","",IFERROR(INDEX(coa_Type,MATCH(V529,coa_Name,0)),""))</f>
        <v/>
      </c>
      <c r="Q529" s="66">
        <f>IF(Z529=1,IF(U529="In",K529&amp;"",V529),"")</f>
        <v/>
      </c>
      <c r="R529" s="66">
        <f>IF(Z529=1,IF(U529="In",V529,K529&amp;""),"")</f>
        <v/>
      </c>
      <c r="S529" s="66">
        <f>IF(X529&lt;&gt;"","⛔ "&amp;X529&amp;" — not posted",IF(Y529&lt;&gt;"","⚠ "&amp;Y529,IF(Z529=1,"✓ OK","")))</f>
        <v/>
      </c>
      <c r="T529" s="67">
        <f>IF(AND(C529="",D529="",E529="",L529="",K529=""),1,0)</f>
        <v/>
      </c>
      <c r="U529" s="67">
        <f>IFERROR(INDEX(tt_Dir,MATCH(D529,tt_Type,0)),"")</f>
        <v/>
      </c>
      <c r="V529" s="67">
        <f>IF(D529="","",IFERROR(IF(INDEX(tt_Other,MATCH(D529,tt_Type,0))="",E529&amp;"",INDEX(tt_Other,MATCH(D529,tt_Type,0))),""))</f>
        <v/>
      </c>
      <c r="W529" s="68">
        <f>IF(OR(TaxOn&lt;&gt;"Yes",NOT(ISNUMBER(M529))),0,IF(IFERROR(INDEX(tt_Tax,MATCH(D529,tt_Type,0)),"No")="Yes",M529,0))</f>
        <v/>
      </c>
      <c r="X529" s="67">
        <f>IF(T529=1,"",IF(C529="","Missing transaction date",IF(NOT(ISNUMBER(C529)),"Invalid date",IF(OR(C529&lt;DATE(2000,1,1),C529&gt;DATE(2099,12,31)),"Invalid date",IF(D529="","Select a type",IF(U529="","Unknown type: "&amp;D529,IF(V529="","Select an account (Category)",IF(ISNA(MATCH(V529,coa_Name,0)),"Unknown account: "&amp;V529,IF(K529="","Select Paid From / Deposited To",IF(ISNA(MATCH(K529,coa_Name,0)),"Unknown account: "&amp;K529,IF(NOT(ISNUMBER(L529)),"Enter an amount",IF(L529=0,"Enter an amount",IF(ABS(W529)&gt;ABS(L529),"Tax is larger than the amount","")))))))))))))</f>
        <v/>
      </c>
      <c r="Y529" s="67">
        <f>IF(OR(T529=1,X529&lt;&gt;""),"",IF(AND(B529&lt;&gt;"",COUNTIF(tx_ID,B529)&gt;1),"Duplicate transaction ID",IF(AND(L529&lt;0,D529&lt;&gt;"Adjustment"),"Negative amount — check this entry",IF(AND(D529="Customer Payment",G529=""),"Add the customer",IF(AND(D529="Customer Payment",OR(J529="",COUNTIF(ar_No,J529&amp;"")=0)),"Invoice # in Reference not found on AR sheet",IF(AND(D529="Bill Payment",H529=""),"Add the vendor",IF(AND(D529="Bill Payment",OR(J529="",COUNTIFS(ap_No,J529&amp;"",ap_Party,H529&amp;"")=0)),"Bill # + vendor not found on AP sheet",IF(AND(ISNUMBER(M529),N(M529)&lt;&gt;0,W529=0),"Tax ignored (tax tracking off, or not allowed for this type)",IF(V529=K529&amp;"","Same account on both sides",IF(AND(ISNUMBER(StartDate),C529&lt;StartDate),"Date is before the accounting start date",IF(AND(D529&lt;&gt;"Adjustment",IFERROR(INDEX(coa_Pay,MATCH(K529&amp;"",coa_Name,0)),"")&lt;&gt;"Yes"),"Paid From / Deposited To is not a payment account","")))))))))))</f>
        <v/>
      </c>
      <c r="Z529" s="67">
        <f>IF(AND(T529=0,X529=""),1,0)</f>
        <v/>
      </c>
      <c r="AA529" s="68">
        <f>IF(Z529=1,IF(U529="In",L529,L529-W529),0)</f>
        <v/>
      </c>
      <c r="AB529" s="68">
        <f>IF(Z529=1,IF(U529="In",L529-W529,L529),0)</f>
        <v/>
      </c>
      <c r="AC529" s="68">
        <f>IF(AND(Z529=1,U529="Out"),W529,0)</f>
        <v/>
      </c>
      <c r="AD529" s="68">
        <f>IF(AND(Z529=1,U529="In"),W529,0)</f>
        <v/>
      </c>
    </row>
    <row r="530">
      <c r="B530" s="62" t="inlineStr">
        <is>
          <t>TX-0524</t>
        </is>
      </c>
      <c r="C530" s="63" t="n"/>
      <c r="D530" s="62" t="n"/>
      <c r="E530" s="62" t="n"/>
      <c r="F530" s="62" t="n"/>
      <c r="G530" s="62" t="n"/>
      <c r="H530" s="62" t="n"/>
      <c r="I530" s="62" t="n"/>
      <c r="J530" s="62" t="n"/>
      <c r="K530" s="62" t="n"/>
      <c r="L530" s="64" t="n"/>
      <c r="M530" s="64" t="n"/>
      <c r="N530" s="62" t="n"/>
      <c r="O530" s="65">
        <f>IF(Z530=1,L530-W530,"")</f>
        <v/>
      </c>
      <c r="P530" s="66">
        <f>IF(V530="","",IFERROR(INDEX(coa_Type,MATCH(V530,coa_Name,0)),""))</f>
        <v/>
      </c>
      <c r="Q530" s="66">
        <f>IF(Z530=1,IF(U530="In",K530&amp;"",V530),"")</f>
        <v/>
      </c>
      <c r="R530" s="66">
        <f>IF(Z530=1,IF(U530="In",V530,K530&amp;""),"")</f>
        <v/>
      </c>
      <c r="S530" s="66">
        <f>IF(X530&lt;&gt;"","⛔ "&amp;X530&amp;" — not posted",IF(Y530&lt;&gt;"","⚠ "&amp;Y530,IF(Z530=1,"✓ OK","")))</f>
        <v/>
      </c>
      <c r="T530" s="67">
        <f>IF(AND(C530="",D530="",E530="",L530="",K530=""),1,0)</f>
        <v/>
      </c>
      <c r="U530" s="67">
        <f>IFERROR(INDEX(tt_Dir,MATCH(D530,tt_Type,0)),"")</f>
        <v/>
      </c>
      <c r="V530" s="67">
        <f>IF(D530="","",IFERROR(IF(INDEX(tt_Other,MATCH(D530,tt_Type,0))="",E530&amp;"",INDEX(tt_Other,MATCH(D530,tt_Type,0))),""))</f>
        <v/>
      </c>
      <c r="W530" s="68">
        <f>IF(OR(TaxOn&lt;&gt;"Yes",NOT(ISNUMBER(M530))),0,IF(IFERROR(INDEX(tt_Tax,MATCH(D530,tt_Type,0)),"No")="Yes",M530,0))</f>
        <v/>
      </c>
      <c r="X530" s="67">
        <f>IF(T530=1,"",IF(C530="","Missing transaction date",IF(NOT(ISNUMBER(C530)),"Invalid date",IF(OR(C530&lt;DATE(2000,1,1),C530&gt;DATE(2099,12,31)),"Invalid date",IF(D530="","Select a type",IF(U530="","Unknown type: "&amp;D530,IF(V530="","Select an account (Category)",IF(ISNA(MATCH(V530,coa_Name,0)),"Unknown account: "&amp;V530,IF(K530="","Select Paid From / Deposited To",IF(ISNA(MATCH(K530,coa_Name,0)),"Unknown account: "&amp;K530,IF(NOT(ISNUMBER(L530)),"Enter an amount",IF(L530=0,"Enter an amount",IF(ABS(W530)&gt;ABS(L530),"Tax is larger than the amount","")))))))))))))</f>
        <v/>
      </c>
      <c r="Y530" s="67">
        <f>IF(OR(T530=1,X530&lt;&gt;""),"",IF(AND(B530&lt;&gt;"",COUNTIF(tx_ID,B530)&gt;1),"Duplicate transaction ID",IF(AND(L530&lt;0,D530&lt;&gt;"Adjustment"),"Negative amount — check this entry",IF(AND(D530="Customer Payment",G530=""),"Add the customer",IF(AND(D530="Customer Payment",OR(J530="",COUNTIF(ar_No,J530&amp;"")=0)),"Invoice # in Reference not found on AR sheet",IF(AND(D530="Bill Payment",H530=""),"Add the vendor",IF(AND(D530="Bill Payment",OR(J530="",COUNTIFS(ap_No,J530&amp;"",ap_Party,H530&amp;"")=0)),"Bill # + vendor not found on AP sheet",IF(AND(ISNUMBER(M530),N(M530)&lt;&gt;0,W530=0),"Tax ignored (tax tracking off, or not allowed for this type)",IF(V530=K530&amp;"","Same account on both sides",IF(AND(ISNUMBER(StartDate),C530&lt;StartDate),"Date is before the accounting start date",IF(AND(D530&lt;&gt;"Adjustment",IFERROR(INDEX(coa_Pay,MATCH(K530&amp;"",coa_Name,0)),"")&lt;&gt;"Yes"),"Paid From / Deposited To is not a payment account","")))))))))))</f>
        <v/>
      </c>
      <c r="Z530" s="67">
        <f>IF(AND(T530=0,X530=""),1,0)</f>
        <v/>
      </c>
      <c r="AA530" s="68">
        <f>IF(Z530=1,IF(U530="In",L530,L530-W530),0)</f>
        <v/>
      </c>
      <c r="AB530" s="68">
        <f>IF(Z530=1,IF(U530="In",L530-W530,L530),0)</f>
        <v/>
      </c>
      <c r="AC530" s="68">
        <f>IF(AND(Z530=1,U530="Out"),W530,0)</f>
        <v/>
      </c>
      <c r="AD530" s="68">
        <f>IF(AND(Z530=1,U530="In"),W530,0)</f>
        <v/>
      </c>
    </row>
    <row r="531">
      <c r="B531" s="62" t="inlineStr">
        <is>
          <t>TX-0525</t>
        </is>
      </c>
      <c r="C531" s="63" t="n"/>
      <c r="D531" s="62" t="n"/>
      <c r="E531" s="62" t="n"/>
      <c r="F531" s="62" t="n"/>
      <c r="G531" s="62" t="n"/>
      <c r="H531" s="62" t="n"/>
      <c r="I531" s="62" t="n"/>
      <c r="J531" s="62" t="n"/>
      <c r="K531" s="62" t="n"/>
      <c r="L531" s="64" t="n"/>
      <c r="M531" s="64" t="n"/>
      <c r="N531" s="62" t="n"/>
      <c r="O531" s="65">
        <f>IF(Z531=1,L531-W531,"")</f>
        <v/>
      </c>
      <c r="P531" s="66">
        <f>IF(V531="","",IFERROR(INDEX(coa_Type,MATCH(V531,coa_Name,0)),""))</f>
        <v/>
      </c>
      <c r="Q531" s="66">
        <f>IF(Z531=1,IF(U531="In",K531&amp;"",V531),"")</f>
        <v/>
      </c>
      <c r="R531" s="66">
        <f>IF(Z531=1,IF(U531="In",V531,K531&amp;""),"")</f>
        <v/>
      </c>
      <c r="S531" s="66">
        <f>IF(X531&lt;&gt;"","⛔ "&amp;X531&amp;" — not posted",IF(Y531&lt;&gt;"","⚠ "&amp;Y531,IF(Z531=1,"✓ OK","")))</f>
        <v/>
      </c>
      <c r="T531" s="67">
        <f>IF(AND(C531="",D531="",E531="",L531="",K531=""),1,0)</f>
        <v/>
      </c>
      <c r="U531" s="67">
        <f>IFERROR(INDEX(tt_Dir,MATCH(D531,tt_Type,0)),"")</f>
        <v/>
      </c>
      <c r="V531" s="67">
        <f>IF(D531="","",IFERROR(IF(INDEX(tt_Other,MATCH(D531,tt_Type,0))="",E531&amp;"",INDEX(tt_Other,MATCH(D531,tt_Type,0))),""))</f>
        <v/>
      </c>
      <c r="W531" s="68">
        <f>IF(OR(TaxOn&lt;&gt;"Yes",NOT(ISNUMBER(M531))),0,IF(IFERROR(INDEX(tt_Tax,MATCH(D531,tt_Type,0)),"No")="Yes",M531,0))</f>
        <v/>
      </c>
      <c r="X531" s="67">
        <f>IF(T531=1,"",IF(C531="","Missing transaction date",IF(NOT(ISNUMBER(C531)),"Invalid date",IF(OR(C531&lt;DATE(2000,1,1),C531&gt;DATE(2099,12,31)),"Invalid date",IF(D531="","Select a type",IF(U531="","Unknown type: "&amp;D531,IF(V531="","Select an account (Category)",IF(ISNA(MATCH(V531,coa_Name,0)),"Unknown account: "&amp;V531,IF(K531="","Select Paid From / Deposited To",IF(ISNA(MATCH(K531,coa_Name,0)),"Unknown account: "&amp;K531,IF(NOT(ISNUMBER(L531)),"Enter an amount",IF(L531=0,"Enter an amount",IF(ABS(W531)&gt;ABS(L531),"Tax is larger than the amount","")))))))))))))</f>
        <v/>
      </c>
      <c r="Y531" s="67">
        <f>IF(OR(T531=1,X531&lt;&gt;""),"",IF(AND(B531&lt;&gt;"",COUNTIF(tx_ID,B531)&gt;1),"Duplicate transaction ID",IF(AND(L531&lt;0,D531&lt;&gt;"Adjustment"),"Negative amount — check this entry",IF(AND(D531="Customer Payment",G531=""),"Add the customer",IF(AND(D531="Customer Payment",OR(J531="",COUNTIF(ar_No,J531&amp;"")=0)),"Invoice # in Reference not found on AR sheet",IF(AND(D531="Bill Payment",H531=""),"Add the vendor",IF(AND(D531="Bill Payment",OR(J531="",COUNTIFS(ap_No,J531&amp;"",ap_Party,H531&amp;"")=0)),"Bill # + vendor not found on AP sheet",IF(AND(ISNUMBER(M531),N(M531)&lt;&gt;0,W531=0),"Tax ignored (tax tracking off, or not allowed for this type)",IF(V531=K531&amp;"","Same account on both sides",IF(AND(ISNUMBER(StartDate),C531&lt;StartDate),"Date is before the accounting start date",IF(AND(D531&lt;&gt;"Adjustment",IFERROR(INDEX(coa_Pay,MATCH(K531&amp;"",coa_Name,0)),"")&lt;&gt;"Yes"),"Paid From / Deposited To is not a payment account","")))))))))))</f>
        <v/>
      </c>
      <c r="Z531" s="67">
        <f>IF(AND(T531=0,X531=""),1,0)</f>
        <v/>
      </c>
      <c r="AA531" s="68">
        <f>IF(Z531=1,IF(U531="In",L531,L531-W531),0)</f>
        <v/>
      </c>
      <c r="AB531" s="68">
        <f>IF(Z531=1,IF(U531="In",L531-W531,L531),0)</f>
        <v/>
      </c>
      <c r="AC531" s="68">
        <f>IF(AND(Z531=1,U531="Out"),W531,0)</f>
        <v/>
      </c>
      <c r="AD531" s="68">
        <f>IF(AND(Z531=1,U531="In"),W531,0)</f>
        <v/>
      </c>
    </row>
    <row r="532">
      <c r="B532" s="62" t="inlineStr">
        <is>
          <t>TX-0526</t>
        </is>
      </c>
      <c r="C532" s="63" t="n"/>
      <c r="D532" s="62" t="n"/>
      <c r="E532" s="62" t="n"/>
      <c r="F532" s="62" t="n"/>
      <c r="G532" s="62" t="n"/>
      <c r="H532" s="62" t="n"/>
      <c r="I532" s="62" t="n"/>
      <c r="J532" s="62" t="n"/>
      <c r="K532" s="62" t="n"/>
      <c r="L532" s="64" t="n"/>
      <c r="M532" s="64" t="n"/>
      <c r="N532" s="62" t="n"/>
      <c r="O532" s="65">
        <f>IF(Z532=1,L532-W532,"")</f>
        <v/>
      </c>
      <c r="P532" s="66">
        <f>IF(V532="","",IFERROR(INDEX(coa_Type,MATCH(V532,coa_Name,0)),""))</f>
        <v/>
      </c>
      <c r="Q532" s="66">
        <f>IF(Z532=1,IF(U532="In",K532&amp;"",V532),"")</f>
        <v/>
      </c>
      <c r="R532" s="66">
        <f>IF(Z532=1,IF(U532="In",V532,K532&amp;""),"")</f>
        <v/>
      </c>
      <c r="S532" s="66">
        <f>IF(X532&lt;&gt;"","⛔ "&amp;X532&amp;" — not posted",IF(Y532&lt;&gt;"","⚠ "&amp;Y532,IF(Z532=1,"✓ OK","")))</f>
        <v/>
      </c>
      <c r="T532" s="67">
        <f>IF(AND(C532="",D532="",E532="",L532="",K532=""),1,0)</f>
        <v/>
      </c>
      <c r="U532" s="67">
        <f>IFERROR(INDEX(tt_Dir,MATCH(D532,tt_Type,0)),"")</f>
        <v/>
      </c>
      <c r="V532" s="67">
        <f>IF(D532="","",IFERROR(IF(INDEX(tt_Other,MATCH(D532,tt_Type,0))="",E532&amp;"",INDEX(tt_Other,MATCH(D532,tt_Type,0))),""))</f>
        <v/>
      </c>
      <c r="W532" s="68">
        <f>IF(OR(TaxOn&lt;&gt;"Yes",NOT(ISNUMBER(M532))),0,IF(IFERROR(INDEX(tt_Tax,MATCH(D532,tt_Type,0)),"No")="Yes",M532,0))</f>
        <v/>
      </c>
      <c r="X532" s="67">
        <f>IF(T532=1,"",IF(C532="","Missing transaction date",IF(NOT(ISNUMBER(C532)),"Invalid date",IF(OR(C532&lt;DATE(2000,1,1),C532&gt;DATE(2099,12,31)),"Invalid date",IF(D532="","Select a type",IF(U532="","Unknown type: "&amp;D532,IF(V532="","Select an account (Category)",IF(ISNA(MATCH(V532,coa_Name,0)),"Unknown account: "&amp;V532,IF(K532="","Select Paid From / Deposited To",IF(ISNA(MATCH(K532,coa_Name,0)),"Unknown account: "&amp;K532,IF(NOT(ISNUMBER(L532)),"Enter an amount",IF(L532=0,"Enter an amount",IF(ABS(W532)&gt;ABS(L532),"Tax is larger than the amount","")))))))))))))</f>
        <v/>
      </c>
      <c r="Y532" s="67">
        <f>IF(OR(T532=1,X532&lt;&gt;""),"",IF(AND(B532&lt;&gt;"",COUNTIF(tx_ID,B532)&gt;1),"Duplicate transaction ID",IF(AND(L532&lt;0,D532&lt;&gt;"Adjustment"),"Negative amount — check this entry",IF(AND(D532="Customer Payment",G532=""),"Add the customer",IF(AND(D532="Customer Payment",OR(J532="",COUNTIF(ar_No,J532&amp;"")=0)),"Invoice # in Reference not found on AR sheet",IF(AND(D532="Bill Payment",H532=""),"Add the vendor",IF(AND(D532="Bill Payment",OR(J532="",COUNTIFS(ap_No,J532&amp;"",ap_Party,H532&amp;"")=0)),"Bill # + vendor not found on AP sheet",IF(AND(ISNUMBER(M532),N(M532)&lt;&gt;0,W532=0),"Tax ignored (tax tracking off, or not allowed for this type)",IF(V532=K532&amp;"","Same account on both sides",IF(AND(ISNUMBER(StartDate),C532&lt;StartDate),"Date is before the accounting start date",IF(AND(D532&lt;&gt;"Adjustment",IFERROR(INDEX(coa_Pay,MATCH(K532&amp;"",coa_Name,0)),"")&lt;&gt;"Yes"),"Paid From / Deposited To is not a payment account","")))))))))))</f>
        <v/>
      </c>
      <c r="Z532" s="67">
        <f>IF(AND(T532=0,X532=""),1,0)</f>
        <v/>
      </c>
      <c r="AA532" s="68">
        <f>IF(Z532=1,IF(U532="In",L532,L532-W532),0)</f>
        <v/>
      </c>
      <c r="AB532" s="68">
        <f>IF(Z532=1,IF(U532="In",L532-W532,L532),0)</f>
        <v/>
      </c>
      <c r="AC532" s="68">
        <f>IF(AND(Z532=1,U532="Out"),W532,0)</f>
        <v/>
      </c>
      <c r="AD532" s="68">
        <f>IF(AND(Z532=1,U532="In"),W532,0)</f>
        <v/>
      </c>
    </row>
    <row r="533">
      <c r="B533" s="62" t="inlineStr">
        <is>
          <t>TX-0527</t>
        </is>
      </c>
      <c r="C533" s="63" t="n"/>
      <c r="D533" s="62" t="n"/>
      <c r="E533" s="62" t="n"/>
      <c r="F533" s="62" t="n"/>
      <c r="G533" s="62" t="n"/>
      <c r="H533" s="62" t="n"/>
      <c r="I533" s="62" t="n"/>
      <c r="J533" s="62" t="n"/>
      <c r="K533" s="62" t="n"/>
      <c r="L533" s="64" t="n"/>
      <c r="M533" s="64" t="n"/>
      <c r="N533" s="62" t="n"/>
      <c r="O533" s="65">
        <f>IF(Z533=1,L533-W533,"")</f>
        <v/>
      </c>
      <c r="P533" s="66">
        <f>IF(V533="","",IFERROR(INDEX(coa_Type,MATCH(V533,coa_Name,0)),""))</f>
        <v/>
      </c>
      <c r="Q533" s="66">
        <f>IF(Z533=1,IF(U533="In",K533&amp;"",V533),"")</f>
        <v/>
      </c>
      <c r="R533" s="66">
        <f>IF(Z533=1,IF(U533="In",V533,K533&amp;""),"")</f>
        <v/>
      </c>
      <c r="S533" s="66">
        <f>IF(X533&lt;&gt;"","⛔ "&amp;X533&amp;" — not posted",IF(Y533&lt;&gt;"","⚠ "&amp;Y533,IF(Z533=1,"✓ OK","")))</f>
        <v/>
      </c>
      <c r="T533" s="67">
        <f>IF(AND(C533="",D533="",E533="",L533="",K533=""),1,0)</f>
        <v/>
      </c>
      <c r="U533" s="67">
        <f>IFERROR(INDEX(tt_Dir,MATCH(D533,tt_Type,0)),"")</f>
        <v/>
      </c>
      <c r="V533" s="67">
        <f>IF(D533="","",IFERROR(IF(INDEX(tt_Other,MATCH(D533,tt_Type,0))="",E533&amp;"",INDEX(tt_Other,MATCH(D533,tt_Type,0))),""))</f>
        <v/>
      </c>
      <c r="W533" s="68">
        <f>IF(OR(TaxOn&lt;&gt;"Yes",NOT(ISNUMBER(M533))),0,IF(IFERROR(INDEX(tt_Tax,MATCH(D533,tt_Type,0)),"No")="Yes",M533,0))</f>
        <v/>
      </c>
      <c r="X533" s="67">
        <f>IF(T533=1,"",IF(C533="","Missing transaction date",IF(NOT(ISNUMBER(C533)),"Invalid date",IF(OR(C533&lt;DATE(2000,1,1),C533&gt;DATE(2099,12,31)),"Invalid date",IF(D533="","Select a type",IF(U533="","Unknown type: "&amp;D533,IF(V533="","Select an account (Category)",IF(ISNA(MATCH(V533,coa_Name,0)),"Unknown account: "&amp;V533,IF(K533="","Select Paid From / Deposited To",IF(ISNA(MATCH(K533,coa_Name,0)),"Unknown account: "&amp;K533,IF(NOT(ISNUMBER(L533)),"Enter an amount",IF(L533=0,"Enter an amount",IF(ABS(W533)&gt;ABS(L533),"Tax is larger than the amount","")))))))))))))</f>
        <v/>
      </c>
      <c r="Y533" s="67">
        <f>IF(OR(T533=1,X533&lt;&gt;""),"",IF(AND(B533&lt;&gt;"",COUNTIF(tx_ID,B533)&gt;1),"Duplicate transaction ID",IF(AND(L533&lt;0,D533&lt;&gt;"Adjustment"),"Negative amount — check this entry",IF(AND(D533="Customer Payment",G533=""),"Add the customer",IF(AND(D533="Customer Payment",OR(J533="",COUNTIF(ar_No,J533&amp;"")=0)),"Invoice # in Reference not found on AR sheet",IF(AND(D533="Bill Payment",H533=""),"Add the vendor",IF(AND(D533="Bill Payment",OR(J533="",COUNTIFS(ap_No,J533&amp;"",ap_Party,H533&amp;"")=0)),"Bill # + vendor not found on AP sheet",IF(AND(ISNUMBER(M533),N(M533)&lt;&gt;0,W533=0),"Tax ignored (tax tracking off, or not allowed for this type)",IF(V533=K533&amp;"","Same account on both sides",IF(AND(ISNUMBER(StartDate),C533&lt;StartDate),"Date is before the accounting start date",IF(AND(D533&lt;&gt;"Adjustment",IFERROR(INDEX(coa_Pay,MATCH(K533&amp;"",coa_Name,0)),"")&lt;&gt;"Yes"),"Paid From / Deposited To is not a payment account","")))))))))))</f>
        <v/>
      </c>
      <c r="Z533" s="67">
        <f>IF(AND(T533=0,X533=""),1,0)</f>
        <v/>
      </c>
      <c r="AA533" s="68">
        <f>IF(Z533=1,IF(U533="In",L533,L533-W533),0)</f>
        <v/>
      </c>
      <c r="AB533" s="68">
        <f>IF(Z533=1,IF(U533="In",L533-W533,L533),0)</f>
        <v/>
      </c>
      <c r="AC533" s="68">
        <f>IF(AND(Z533=1,U533="Out"),W533,0)</f>
        <v/>
      </c>
      <c r="AD533" s="68">
        <f>IF(AND(Z533=1,U533="In"),W533,0)</f>
        <v/>
      </c>
    </row>
    <row r="534">
      <c r="B534" s="62" t="inlineStr">
        <is>
          <t>TX-0528</t>
        </is>
      </c>
      <c r="C534" s="63" t="n"/>
      <c r="D534" s="62" t="n"/>
      <c r="E534" s="62" t="n"/>
      <c r="F534" s="62" t="n"/>
      <c r="G534" s="62" t="n"/>
      <c r="H534" s="62" t="n"/>
      <c r="I534" s="62" t="n"/>
      <c r="J534" s="62" t="n"/>
      <c r="K534" s="62" t="n"/>
      <c r="L534" s="64" t="n"/>
      <c r="M534" s="64" t="n"/>
      <c r="N534" s="62" t="n"/>
      <c r="O534" s="65">
        <f>IF(Z534=1,L534-W534,"")</f>
        <v/>
      </c>
      <c r="P534" s="66">
        <f>IF(V534="","",IFERROR(INDEX(coa_Type,MATCH(V534,coa_Name,0)),""))</f>
        <v/>
      </c>
      <c r="Q534" s="66">
        <f>IF(Z534=1,IF(U534="In",K534&amp;"",V534),"")</f>
        <v/>
      </c>
      <c r="R534" s="66">
        <f>IF(Z534=1,IF(U534="In",V534,K534&amp;""),"")</f>
        <v/>
      </c>
      <c r="S534" s="66">
        <f>IF(X534&lt;&gt;"","⛔ "&amp;X534&amp;" — not posted",IF(Y534&lt;&gt;"","⚠ "&amp;Y534,IF(Z534=1,"✓ OK","")))</f>
        <v/>
      </c>
      <c r="T534" s="67">
        <f>IF(AND(C534="",D534="",E534="",L534="",K534=""),1,0)</f>
        <v/>
      </c>
      <c r="U534" s="67">
        <f>IFERROR(INDEX(tt_Dir,MATCH(D534,tt_Type,0)),"")</f>
        <v/>
      </c>
      <c r="V534" s="67">
        <f>IF(D534="","",IFERROR(IF(INDEX(tt_Other,MATCH(D534,tt_Type,0))="",E534&amp;"",INDEX(tt_Other,MATCH(D534,tt_Type,0))),""))</f>
        <v/>
      </c>
      <c r="W534" s="68">
        <f>IF(OR(TaxOn&lt;&gt;"Yes",NOT(ISNUMBER(M534))),0,IF(IFERROR(INDEX(tt_Tax,MATCH(D534,tt_Type,0)),"No")="Yes",M534,0))</f>
        <v/>
      </c>
      <c r="X534" s="67">
        <f>IF(T534=1,"",IF(C534="","Missing transaction date",IF(NOT(ISNUMBER(C534)),"Invalid date",IF(OR(C534&lt;DATE(2000,1,1),C534&gt;DATE(2099,12,31)),"Invalid date",IF(D534="","Select a type",IF(U534="","Unknown type: "&amp;D534,IF(V534="","Select an account (Category)",IF(ISNA(MATCH(V534,coa_Name,0)),"Unknown account: "&amp;V534,IF(K534="","Select Paid From / Deposited To",IF(ISNA(MATCH(K534,coa_Name,0)),"Unknown account: "&amp;K534,IF(NOT(ISNUMBER(L534)),"Enter an amount",IF(L534=0,"Enter an amount",IF(ABS(W534)&gt;ABS(L534),"Tax is larger than the amount","")))))))))))))</f>
        <v/>
      </c>
      <c r="Y534" s="67">
        <f>IF(OR(T534=1,X534&lt;&gt;""),"",IF(AND(B534&lt;&gt;"",COUNTIF(tx_ID,B534)&gt;1),"Duplicate transaction ID",IF(AND(L534&lt;0,D534&lt;&gt;"Adjustment"),"Negative amount — check this entry",IF(AND(D534="Customer Payment",G534=""),"Add the customer",IF(AND(D534="Customer Payment",OR(J534="",COUNTIF(ar_No,J534&amp;"")=0)),"Invoice # in Reference not found on AR sheet",IF(AND(D534="Bill Payment",H534=""),"Add the vendor",IF(AND(D534="Bill Payment",OR(J534="",COUNTIFS(ap_No,J534&amp;"",ap_Party,H534&amp;"")=0)),"Bill # + vendor not found on AP sheet",IF(AND(ISNUMBER(M534),N(M534)&lt;&gt;0,W534=0),"Tax ignored (tax tracking off, or not allowed for this type)",IF(V534=K534&amp;"","Same account on both sides",IF(AND(ISNUMBER(StartDate),C534&lt;StartDate),"Date is before the accounting start date",IF(AND(D534&lt;&gt;"Adjustment",IFERROR(INDEX(coa_Pay,MATCH(K534&amp;"",coa_Name,0)),"")&lt;&gt;"Yes"),"Paid From / Deposited To is not a payment account","")))))))))))</f>
        <v/>
      </c>
      <c r="Z534" s="67">
        <f>IF(AND(T534=0,X534=""),1,0)</f>
        <v/>
      </c>
      <c r="AA534" s="68">
        <f>IF(Z534=1,IF(U534="In",L534,L534-W534),0)</f>
        <v/>
      </c>
      <c r="AB534" s="68">
        <f>IF(Z534=1,IF(U534="In",L534-W534,L534),0)</f>
        <v/>
      </c>
      <c r="AC534" s="68">
        <f>IF(AND(Z534=1,U534="Out"),W534,0)</f>
        <v/>
      </c>
      <c r="AD534" s="68">
        <f>IF(AND(Z534=1,U534="In"),W534,0)</f>
        <v/>
      </c>
    </row>
    <row r="535">
      <c r="B535" s="62" t="inlineStr">
        <is>
          <t>TX-0529</t>
        </is>
      </c>
      <c r="C535" s="63" t="n"/>
      <c r="D535" s="62" t="n"/>
      <c r="E535" s="62" t="n"/>
      <c r="F535" s="62" t="n"/>
      <c r="G535" s="62" t="n"/>
      <c r="H535" s="62" t="n"/>
      <c r="I535" s="62" t="n"/>
      <c r="J535" s="62" t="n"/>
      <c r="K535" s="62" t="n"/>
      <c r="L535" s="64" t="n"/>
      <c r="M535" s="64" t="n"/>
      <c r="N535" s="62" t="n"/>
      <c r="O535" s="65">
        <f>IF(Z535=1,L535-W535,"")</f>
        <v/>
      </c>
      <c r="P535" s="66">
        <f>IF(V535="","",IFERROR(INDEX(coa_Type,MATCH(V535,coa_Name,0)),""))</f>
        <v/>
      </c>
      <c r="Q535" s="66">
        <f>IF(Z535=1,IF(U535="In",K535&amp;"",V535),"")</f>
        <v/>
      </c>
      <c r="R535" s="66">
        <f>IF(Z535=1,IF(U535="In",V535,K535&amp;""),"")</f>
        <v/>
      </c>
      <c r="S535" s="66">
        <f>IF(X535&lt;&gt;"","⛔ "&amp;X535&amp;" — not posted",IF(Y535&lt;&gt;"","⚠ "&amp;Y535,IF(Z535=1,"✓ OK","")))</f>
        <v/>
      </c>
      <c r="T535" s="67">
        <f>IF(AND(C535="",D535="",E535="",L535="",K535=""),1,0)</f>
        <v/>
      </c>
      <c r="U535" s="67">
        <f>IFERROR(INDEX(tt_Dir,MATCH(D535,tt_Type,0)),"")</f>
        <v/>
      </c>
      <c r="V535" s="67">
        <f>IF(D535="","",IFERROR(IF(INDEX(tt_Other,MATCH(D535,tt_Type,0))="",E535&amp;"",INDEX(tt_Other,MATCH(D535,tt_Type,0))),""))</f>
        <v/>
      </c>
      <c r="W535" s="68">
        <f>IF(OR(TaxOn&lt;&gt;"Yes",NOT(ISNUMBER(M535))),0,IF(IFERROR(INDEX(tt_Tax,MATCH(D535,tt_Type,0)),"No")="Yes",M535,0))</f>
        <v/>
      </c>
      <c r="X535" s="67">
        <f>IF(T535=1,"",IF(C535="","Missing transaction date",IF(NOT(ISNUMBER(C535)),"Invalid date",IF(OR(C535&lt;DATE(2000,1,1),C535&gt;DATE(2099,12,31)),"Invalid date",IF(D535="","Select a type",IF(U535="","Unknown type: "&amp;D535,IF(V535="","Select an account (Category)",IF(ISNA(MATCH(V535,coa_Name,0)),"Unknown account: "&amp;V535,IF(K535="","Select Paid From / Deposited To",IF(ISNA(MATCH(K535,coa_Name,0)),"Unknown account: "&amp;K535,IF(NOT(ISNUMBER(L535)),"Enter an amount",IF(L535=0,"Enter an amount",IF(ABS(W535)&gt;ABS(L535),"Tax is larger than the amount","")))))))))))))</f>
        <v/>
      </c>
      <c r="Y535" s="67">
        <f>IF(OR(T535=1,X535&lt;&gt;""),"",IF(AND(B535&lt;&gt;"",COUNTIF(tx_ID,B535)&gt;1),"Duplicate transaction ID",IF(AND(L535&lt;0,D535&lt;&gt;"Adjustment"),"Negative amount — check this entry",IF(AND(D535="Customer Payment",G535=""),"Add the customer",IF(AND(D535="Customer Payment",OR(J535="",COUNTIF(ar_No,J535&amp;"")=0)),"Invoice # in Reference not found on AR sheet",IF(AND(D535="Bill Payment",H535=""),"Add the vendor",IF(AND(D535="Bill Payment",OR(J535="",COUNTIFS(ap_No,J535&amp;"",ap_Party,H535&amp;"")=0)),"Bill # + vendor not found on AP sheet",IF(AND(ISNUMBER(M535),N(M535)&lt;&gt;0,W535=0),"Tax ignored (tax tracking off, or not allowed for this type)",IF(V535=K535&amp;"","Same account on both sides",IF(AND(ISNUMBER(StartDate),C535&lt;StartDate),"Date is before the accounting start date",IF(AND(D535&lt;&gt;"Adjustment",IFERROR(INDEX(coa_Pay,MATCH(K535&amp;"",coa_Name,0)),"")&lt;&gt;"Yes"),"Paid From / Deposited To is not a payment account","")))))))))))</f>
        <v/>
      </c>
      <c r="Z535" s="67">
        <f>IF(AND(T535=0,X535=""),1,0)</f>
        <v/>
      </c>
      <c r="AA535" s="68">
        <f>IF(Z535=1,IF(U535="In",L535,L535-W535),0)</f>
        <v/>
      </c>
      <c r="AB535" s="68">
        <f>IF(Z535=1,IF(U535="In",L535-W535,L535),0)</f>
        <v/>
      </c>
      <c r="AC535" s="68">
        <f>IF(AND(Z535=1,U535="Out"),W535,0)</f>
        <v/>
      </c>
      <c r="AD535" s="68">
        <f>IF(AND(Z535=1,U535="In"),W535,0)</f>
        <v/>
      </c>
    </row>
    <row r="536">
      <c r="B536" s="62" t="inlineStr">
        <is>
          <t>TX-0530</t>
        </is>
      </c>
      <c r="C536" s="63" t="n"/>
      <c r="D536" s="62" t="n"/>
      <c r="E536" s="62" t="n"/>
      <c r="F536" s="62" t="n"/>
      <c r="G536" s="62" t="n"/>
      <c r="H536" s="62" t="n"/>
      <c r="I536" s="62" t="n"/>
      <c r="J536" s="62" t="n"/>
      <c r="K536" s="62" t="n"/>
      <c r="L536" s="64" t="n"/>
      <c r="M536" s="64" t="n"/>
      <c r="N536" s="62" t="n"/>
      <c r="O536" s="65">
        <f>IF(Z536=1,L536-W536,"")</f>
        <v/>
      </c>
      <c r="P536" s="66">
        <f>IF(V536="","",IFERROR(INDEX(coa_Type,MATCH(V536,coa_Name,0)),""))</f>
        <v/>
      </c>
      <c r="Q536" s="66">
        <f>IF(Z536=1,IF(U536="In",K536&amp;"",V536),"")</f>
        <v/>
      </c>
      <c r="R536" s="66">
        <f>IF(Z536=1,IF(U536="In",V536,K536&amp;""),"")</f>
        <v/>
      </c>
      <c r="S536" s="66">
        <f>IF(X536&lt;&gt;"","⛔ "&amp;X536&amp;" — not posted",IF(Y536&lt;&gt;"","⚠ "&amp;Y536,IF(Z536=1,"✓ OK","")))</f>
        <v/>
      </c>
      <c r="T536" s="67">
        <f>IF(AND(C536="",D536="",E536="",L536="",K536=""),1,0)</f>
        <v/>
      </c>
      <c r="U536" s="67">
        <f>IFERROR(INDEX(tt_Dir,MATCH(D536,tt_Type,0)),"")</f>
        <v/>
      </c>
      <c r="V536" s="67">
        <f>IF(D536="","",IFERROR(IF(INDEX(tt_Other,MATCH(D536,tt_Type,0))="",E536&amp;"",INDEX(tt_Other,MATCH(D536,tt_Type,0))),""))</f>
        <v/>
      </c>
      <c r="W536" s="68">
        <f>IF(OR(TaxOn&lt;&gt;"Yes",NOT(ISNUMBER(M536))),0,IF(IFERROR(INDEX(tt_Tax,MATCH(D536,tt_Type,0)),"No")="Yes",M536,0))</f>
        <v/>
      </c>
      <c r="X536" s="67">
        <f>IF(T536=1,"",IF(C536="","Missing transaction date",IF(NOT(ISNUMBER(C536)),"Invalid date",IF(OR(C536&lt;DATE(2000,1,1),C536&gt;DATE(2099,12,31)),"Invalid date",IF(D536="","Select a type",IF(U536="","Unknown type: "&amp;D536,IF(V536="","Select an account (Category)",IF(ISNA(MATCH(V536,coa_Name,0)),"Unknown account: "&amp;V536,IF(K536="","Select Paid From / Deposited To",IF(ISNA(MATCH(K536,coa_Name,0)),"Unknown account: "&amp;K536,IF(NOT(ISNUMBER(L536)),"Enter an amount",IF(L536=0,"Enter an amount",IF(ABS(W536)&gt;ABS(L536),"Tax is larger than the amount","")))))))))))))</f>
        <v/>
      </c>
      <c r="Y536" s="67">
        <f>IF(OR(T536=1,X536&lt;&gt;""),"",IF(AND(B536&lt;&gt;"",COUNTIF(tx_ID,B536)&gt;1),"Duplicate transaction ID",IF(AND(L536&lt;0,D536&lt;&gt;"Adjustment"),"Negative amount — check this entry",IF(AND(D536="Customer Payment",G536=""),"Add the customer",IF(AND(D536="Customer Payment",OR(J536="",COUNTIF(ar_No,J536&amp;"")=0)),"Invoice # in Reference not found on AR sheet",IF(AND(D536="Bill Payment",H536=""),"Add the vendor",IF(AND(D536="Bill Payment",OR(J536="",COUNTIFS(ap_No,J536&amp;"",ap_Party,H536&amp;"")=0)),"Bill # + vendor not found on AP sheet",IF(AND(ISNUMBER(M536),N(M536)&lt;&gt;0,W536=0),"Tax ignored (tax tracking off, or not allowed for this type)",IF(V536=K536&amp;"","Same account on both sides",IF(AND(ISNUMBER(StartDate),C536&lt;StartDate),"Date is before the accounting start date",IF(AND(D536&lt;&gt;"Adjustment",IFERROR(INDEX(coa_Pay,MATCH(K536&amp;"",coa_Name,0)),"")&lt;&gt;"Yes"),"Paid From / Deposited To is not a payment account","")))))))))))</f>
        <v/>
      </c>
      <c r="Z536" s="67">
        <f>IF(AND(T536=0,X536=""),1,0)</f>
        <v/>
      </c>
      <c r="AA536" s="68">
        <f>IF(Z536=1,IF(U536="In",L536,L536-W536),0)</f>
        <v/>
      </c>
      <c r="AB536" s="68">
        <f>IF(Z536=1,IF(U536="In",L536-W536,L536),0)</f>
        <v/>
      </c>
      <c r="AC536" s="68">
        <f>IF(AND(Z536=1,U536="Out"),W536,0)</f>
        <v/>
      </c>
      <c r="AD536" s="68">
        <f>IF(AND(Z536=1,U536="In"),W536,0)</f>
        <v/>
      </c>
    </row>
    <row r="537">
      <c r="B537" s="62" t="inlineStr">
        <is>
          <t>TX-0531</t>
        </is>
      </c>
      <c r="C537" s="63" t="n"/>
      <c r="D537" s="62" t="n"/>
      <c r="E537" s="62" t="n"/>
      <c r="F537" s="62" t="n"/>
      <c r="G537" s="62" t="n"/>
      <c r="H537" s="62" t="n"/>
      <c r="I537" s="62" t="n"/>
      <c r="J537" s="62" t="n"/>
      <c r="K537" s="62" t="n"/>
      <c r="L537" s="64" t="n"/>
      <c r="M537" s="64" t="n"/>
      <c r="N537" s="62" t="n"/>
      <c r="O537" s="65">
        <f>IF(Z537=1,L537-W537,"")</f>
        <v/>
      </c>
      <c r="P537" s="66">
        <f>IF(V537="","",IFERROR(INDEX(coa_Type,MATCH(V537,coa_Name,0)),""))</f>
        <v/>
      </c>
      <c r="Q537" s="66">
        <f>IF(Z537=1,IF(U537="In",K537&amp;"",V537),"")</f>
        <v/>
      </c>
      <c r="R537" s="66">
        <f>IF(Z537=1,IF(U537="In",V537,K537&amp;""),"")</f>
        <v/>
      </c>
      <c r="S537" s="66">
        <f>IF(X537&lt;&gt;"","⛔ "&amp;X537&amp;" — not posted",IF(Y537&lt;&gt;"","⚠ "&amp;Y537,IF(Z537=1,"✓ OK","")))</f>
        <v/>
      </c>
      <c r="T537" s="67">
        <f>IF(AND(C537="",D537="",E537="",L537="",K537=""),1,0)</f>
        <v/>
      </c>
      <c r="U537" s="67">
        <f>IFERROR(INDEX(tt_Dir,MATCH(D537,tt_Type,0)),"")</f>
        <v/>
      </c>
      <c r="V537" s="67">
        <f>IF(D537="","",IFERROR(IF(INDEX(tt_Other,MATCH(D537,tt_Type,0))="",E537&amp;"",INDEX(tt_Other,MATCH(D537,tt_Type,0))),""))</f>
        <v/>
      </c>
      <c r="W537" s="68">
        <f>IF(OR(TaxOn&lt;&gt;"Yes",NOT(ISNUMBER(M537))),0,IF(IFERROR(INDEX(tt_Tax,MATCH(D537,tt_Type,0)),"No")="Yes",M537,0))</f>
        <v/>
      </c>
      <c r="X537" s="67">
        <f>IF(T537=1,"",IF(C537="","Missing transaction date",IF(NOT(ISNUMBER(C537)),"Invalid date",IF(OR(C537&lt;DATE(2000,1,1),C537&gt;DATE(2099,12,31)),"Invalid date",IF(D537="","Select a type",IF(U537="","Unknown type: "&amp;D537,IF(V537="","Select an account (Category)",IF(ISNA(MATCH(V537,coa_Name,0)),"Unknown account: "&amp;V537,IF(K537="","Select Paid From / Deposited To",IF(ISNA(MATCH(K537,coa_Name,0)),"Unknown account: "&amp;K537,IF(NOT(ISNUMBER(L537)),"Enter an amount",IF(L537=0,"Enter an amount",IF(ABS(W537)&gt;ABS(L537),"Tax is larger than the amount","")))))))))))))</f>
        <v/>
      </c>
      <c r="Y537" s="67">
        <f>IF(OR(T537=1,X537&lt;&gt;""),"",IF(AND(B537&lt;&gt;"",COUNTIF(tx_ID,B537)&gt;1),"Duplicate transaction ID",IF(AND(L537&lt;0,D537&lt;&gt;"Adjustment"),"Negative amount — check this entry",IF(AND(D537="Customer Payment",G537=""),"Add the customer",IF(AND(D537="Customer Payment",OR(J537="",COUNTIF(ar_No,J537&amp;"")=0)),"Invoice # in Reference not found on AR sheet",IF(AND(D537="Bill Payment",H537=""),"Add the vendor",IF(AND(D537="Bill Payment",OR(J537="",COUNTIFS(ap_No,J537&amp;"",ap_Party,H537&amp;"")=0)),"Bill # + vendor not found on AP sheet",IF(AND(ISNUMBER(M537),N(M537)&lt;&gt;0,W537=0),"Tax ignored (tax tracking off, or not allowed for this type)",IF(V537=K537&amp;"","Same account on both sides",IF(AND(ISNUMBER(StartDate),C537&lt;StartDate),"Date is before the accounting start date",IF(AND(D537&lt;&gt;"Adjustment",IFERROR(INDEX(coa_Pay,MATCH(K537&amp;"",coa_Name,0)),"")&lt;&gt;"Yes"),"Paid From / Deposited To is not a payment account","")))))))))))</f>
        <v/>
      </c>
      <c r="Z537" s="67">
        <f>IF(AND(T537=0,X537=""),1,0)</f>
        <v/>
      </c>
      <c r="AA537" s="68">
        <f>IF(Z537=1,IF(U537="In",L537,L537-W537),0)</f>
        <v/>
      </c>
      <c r="AB537" s="68">
        <f>IF(Z537=1,IF(U537="In",L537-W537,L537),0)</f>
        <v/>
      </c>
      <c r="AC537" s="68">
        <f>IF(AND(Z537=1,U537="Out"),W537,0)</f>
        <v/>
      </c>
      <c r="AD537" s="68">
        <f>IF(AND(Z537=1,U537="In"),W537,0)</f>
        <v/>
      </c>
    </row>
    <row r="538">
      <c r="B538" s="62" t="inlineStr">
        <is>
          <t>TX-0532</t>
        </is>
      </c>
      <c r="C538" s="63" t="n"/>
      <c r="D538" s="62" t="n"/>
      <c r="E538" s="62" t="n"/>
      <c r="F538" s="62" t="n"/>
      <c r="G538" s="62" t="n"/>
      <c r="H538" s="62" t="n"/>
      <c r="I538" s="62" t="n"/>
      <c r="J538" s="62" t="n"/>
      <c r="K538" s="62" t="n"/>
      <c r="L538" s="64" t="n"/>
      <c r="M538" s="64" t="n"/>
      <c r="N538" s="62" t="n"/>
      <c r="O538" s="65">
        <f>IF(Z538=1,L538-W538,"")</f>
        <v/>
      </c>
      <c r="P538" s="66">
        <f>IF(V538="","",IFERROR(INDEX(coa_Type,MATCH(V538,coa_Name,0)),""))</f>
        <v/>
      </c>
      <c r="Q538" s="66">
        <f>IF(Z538=1,IF(U538="In",K538&amp;"",V538),"")</f>
        <v/>
      </c>
      <c r="R538" s="66">
        <f>IF(Z538=1,IF(U538="In",V538,K538&amp;""),"")</f>
        <v/>
      </c>
      <c r="S538" s="66">
        <f>IF(X538&lt;&gt;"","⛔ "&amp;X538&amp;" — not posted",IF(Y538&lt;&gt;"","⚠ "&amp;Y538,IF(Z538=1,"✓ OK","")))</f>
        <v/>
      </c>
      <c r="T538" s="67">
        <f>IF(AND(C538="",D538="",E538="",L538="",K538=""),1,0)</f>
        <v/>
      </c>
      <c r="U538" s="67">
        <f>IFERROR(INDEX(tt_Dir,MATCH(D538,tt_Type,0)),"")</f>
        <v/>
      </c>
      <c r="V538" s="67">
        <f>IF(D538="","",IFERROR(IF(INDEX(tt_Other,MATCH(D538,tt_Type,0))="",E538&amp;"",INDEX(tt_Other,MATCH(D538,tt_Type,0))),""))</f>
        <v/>
      </c>
      <c r="W538" s="68">
        <f>IF(OR(TaxOn&lt;&gt;"Yes",NOT(ISNUMBER(M538))),0,IF(IFERROR(INDEX(tt_Tax,MATCH(D538,tt_Type,0)),"No")="Yes",M538,0))</f>
        <v/>
      </c>
      <c r="X538" s="67">
        <f>IF(T538=1,"",IF(C538="","Missing transaction date",IF(NOT(ISNUMBER(C538)),"Invalid date",IF(OR(C538&lt;DATE(2000,1,1),C538&gt;DATE(2099,12,31)),"Invalid date",IF(D538="","Select a type",IF(U538="","Unknown type: "&amp;D538,IF(V538="","Select an account (Category)",IF(ISNA(MATCH(V538,coa_Name,0)),"Unknown account: "&amp;V538,IF(K538="","Select Paid From / Deposited To",IF(ISNA(MATCH(K538,coa_Name,0)),"Unknown account: "&amp;K538,IF(NOT(ISNUMBER(L538)),"Enter an amount",IF(L538=0,"Enter an amount",IF(ABS(W538)&gt;ABS(L538),"Tax is larger than the amount","")))))))))))))</f>
        <v/>
      </c>
      <c r="Y538" s="67">
        <f>IF(OR(T538=1,X538&lt;&gt;""),"",IF(AND(B538&lt;&gt;"",COUNTIF(tx_ID,B538)&gt;1),"Duplicate transaction ID",IF(AND(L538&lt;0,D538&lt;&gt;"Adjustment"),"Negative amount — check this entry",IF(AND(D538="Customer Payment",G538=""),"Add the customer",IF(AND(D538="Customer Payment",OR(J538="",COUNTIF(ar_No,J538&amp;"")=0)),"Invoice # in Reference not found on AR sheet",IF(AND(D538="Bill Payment",H538=""),"Add the vendor",IF(AND(D538="Bill Payment",OR(J538="",COUNTIFS(ap_No,J538&amp;"",ap_Party,H538&amp;"")=0)),"Bill # + vendor not found on AP sheet",IF(AND(ISNUMBER(M538),N(M538)&lt;&gt;0,W538=0),"Tax ignored (tax tracking off, or not allowed for this type)",IF(V538=K538&amp;"","Same account on both sides",IF(AND(ISNUMBER(StartDate),C538&lt;StartDate),"Date is before the accounting start date",IF(AND(D538&lt;&gt;"Adjustment",IFERROR(INDEX(coa_Pay,MATCH(K538&amp;"",coa_Name,0)),"")&lt;&gt;"Yes"),"Paid From / Deposited To is not a payment account","")))))))))))</f>
        <v/>
      </c>
      <c r="Z538" s="67">
        <f>IF(AND(T538=0,X538=""),1,0)</f>
        <v/>
      </c>
      <c r="AA538" s="68">
        <f>IF(Z538=1,IF(U538="In",L538,L538-W538),0)</f>
        <v/>
      </c>
      <c r="AB538" s="68">
        <f>IF(Z538=1,IF(U538="In",L538-W538,L538),0)</f>
        <v/>
      </c>
      <c r="AC538" s="68">
        <f>IF(AND(Z538=1,U538="Out"),W538,0)</f>
        <v/>
      </c>
      <c r="AD538" s="68">
        <f>IF(AND(Z538=1,U538="In"),W538,0)</f>
        <v/>
      </c>
    </row>
    <row r="539">
      <c r="B539" s="62" t="inlineStr">
        <is>
          <t>TX-0533</t>
        </is>
      </c>
      <c r="C539" s="63" t="n"/>
      <c r="D539" s="62" t="n"/>
      <c r="E539" s="62" t="n"/>
      <c r="F539" s="62" t="n"/>
      <c r="G539" s="62" t="n"/>
      <c r="H539" s="62" t="n"/>
      <c r="I539" s="62" t="n"/>
      <c r="J539" s="62" t="n"/>
      <c r="K539" s="62" t="n"/>
      <c r="L539" s="64" t="n"/>
      <c r="M539" s="64" t="n"/>
      <c r="N539" s="62" t="n"/>
      <c r="O539" s="65">
        <f>IF(Z539=1,L539-W539,"")</f>
        <v/>
      </c>
      <c r="P539" s="66">
        <f>IF(V539="","",IFERROR(INDEX(coa_Type,MATCH(V539,coa_Name,0)),""))</f>
        <v/>
      </c>
      <c r="Q539" s="66">
        <f>IF(Z539=1,IF(U539="In",K539&amp;"",V539),"")</f>
        <v/>
      </c>
      <c r="R539" s="66">
        <f>IF(Z539=1,IF(U539="In",V539,K539&amp;""),"")</f>
        <v/>
      </c>
      <c r="S539" s="66">
        <f>IF(X539&lt;&gt;"","⛔ "&amp;X539&amp;" — not posted",IF(Y539&lt;&gt;"","⚠ "&amp;Y539,IF(Z539=1,"✓ OK","")))</f>
        <v/>
      </c>
      <c r="T539" s="67">
        <f>IF(AND(C539="",D539="",E539="",L539="",K539=""),1,0)</f>
        <v/>
      </c>
      <c r="U539" s="67">
        <f>IFERROR(INDEX(tt_Dir,MATCH(D539,tt_Type,0)),"")</f>
        <v/>
      </c>
      <c r="V539" s="67">
        <f>IF(D539="","",IFERROR(IF(INDEX(tt_Other,MATCH(D539,tt_Type,0))="",E539&amp;"",INDEX(tt_Other,MATCH(D539,tt_Type,0))),""))</f>
        <v/>
      </c>
      <c r="W539" s="68">
        <f>IF(OR(TaxOn&lt;&gt;"Yes",NOT(ISNUMBER(M539))),0,IF(IFERROR(INDEX(tt_Tax,MATCH(D539,tt_Type,0)),"No")="Yes",M539,0))</f>
        <v/>
      </c>
      <c r="X539" s="67">
        <f>IF(T539=1,"",IF(C539="","Missing transaction date",IF(NOT(ISNUMBER(C539)),"Invalid date",IF(OR(C539&lt;DATE(2000,1,1),C539&gt;DATE(2099,12,31)),"Invalid date",IF(D539="","Select a type",IF(U539="","Unknown type: "&amp;D539,IF(V539="","Select an account (Category)",IF(ISNA(MATCH(V539,coa_Name,0)),"Unknown account: "&amp;V539,IF(K539="","Select Paid From / Deposited To",IF(ISNA(MATCH(K539,coa_Name,0)),"Unknown account: "&amp;K539,IF(NOT(ISNUMBER(L539)),"Enter an amount",IF(L539=0,"Enter an amount",IF(ABS(W539)&gt;ABS(L539),"Tax is larger than the amount","")))))))))))))</f>
        <v/>
      </c>
      <c r="Y539" s="67">
        <f>IF(OR(T539=1,X539&lt;&gt;""),"",IF(AND(B539&lt;&gt;"",COUNTIF(tx_ID,B539)&gt;1),"Duplicate transaction ID",IF(AND(L539&lt;0,D539&lt;&gt;"Adjustment"),"Negative amount — check this entry",IF(AND(D539="Customer Payment",G539=""),"Add the customer",IF(AND(D539="Customer Payment",OR(J539="",COUNTIF(ar_No,J539&amp;"")=0)),"Invoice # in Reference not found on AR sheet",IF(AND(D539="Bill Payment",H539=""),"Add the vendor",IF(AND(D539="Bill Payment",OR(J539="",COUNTIFS(ap_No,J539&amp;"",ap_Party,H539&amp;"")=0)),"Bill # + vendor not found on AP sheet",IF(AND(ISNUMBER(M539),N(M539)&lt;&gt;0,W539=0),"Tax ignored (tax tracking off, or not allowed for this type)",IF(V539=K539&amp;"","Same account on both sides",IF(AND(ISNUMBER(StartDate),C539&lt;StartDate),"Date is before the accounting start date",IF(AND(D539&lt;&gt;"Adjustment",IFERROR(INDEX(coa_Pay,MATCH(K539&amp;"",coa_Name,0)),"")&lt;&gt;"Yes"),"Paid From / Deposited To is not a payment account","")))))))))))</f>
        <v/>
      </c>
      <c r="Z539" s="67">
        <f>IF(AND(T539=0,X539=""),1,0)</f>
        <v/>
      </c>
      <c r="AA539" s="68">
        <f>IF(Z539=1,IF(U539="In",L539,L539-W539),0)</f>
        <v/>
      </c>
      <c r="AB539" s="68">
        <f>IF(Z539=1,IF(U539="In",L539-W539,L539),0)</f>
        <v/>
      </c>
      <c r="AC539" s="68">
        <f>IF(AND(Z539=1,U539="Out"),W539,0)</f>
        <v/>
      </c>
      <c r="AD539" s="68">
        <f>IF(AND(Z539=1,U539="In"),W539,0)</f>
        <v/>
      </c>
    </row>
    <row r="540">
      <c r="B540" s="62" t="inlineStr">
        <is>
          <t>TX-0534</t>
        </is>
      </c>
      <c r="C540" s="63" t="n"/>
      <c r="D540" s="62" t="n"/>
      <c r="E540" s="62" t="n"/>
      <c r="F540" s="62" t="n"/>
      <c r="G540" s="62" t="n"/>
      <c r="H540" s="62" t="n"/>
      <c r="I540" s="62" t="n"/>
      <c r="J540" s="62" t="n"/>
      <c r="K540" s="62" t="n"/>
      <c r="L540" s="64" t="n"/>
      <c r="M540" s="64" t="n"/>
      <c r="N540" s="62" t="n"/>
      <c r="O540" s="65">
        <f>IF(Z540=1,L540-W540,"")</f>
        <v/>
      </c>
      <c r="P540" s="66">
        <f>IF(V540="","",IFERROR(INDEX(coa_Type,MATCH(V540,coa_Name,0)),""))</f>
        <v/>
      </c>
      <c r="Q540" s="66">
        <f>IF(Z540=1,IF(U540="In",K540&amp;"",V540),"")</f>
        <v/>
      </c>
      <c r="R540" s="66">
        <f>IF(Z540=1,IF(U540="In",V540,K540&amp;""),"")</f>
        <v/>
      </c>
      <c r="S540" s="66">
        <f>IF(X540&lt;&gt;"","⛔ "&amp;X540&amp;" — not posted",IF(Y540&lt;&gt;"","⚠ "&amp;Y540,IF(Z540=1,"✓ OK","")))</f>
        <v/>
      </c>
      <c r="T540" s="67">
        <f>IF(AND(C540="",D540="",E540="",L540="",K540=""),1,0)</f>
        <v/>
      </c>
      <c r="U540" s="67">
        <f>IFERROR(INDEX(tt_Dir,MATCH(D540,tt_Type,0)),"")</f>
        <v/>
      </c>
      <c r="V540" s="67">
        <f>IF(D540="","",IFERROR(IF(INDEX(tt_Other,MATCH(D540,tt_Type,0))="",E540&amp;"",INDEX(tt_Other,MATCH(D540,tt_Type,0))),""))</f>
        <v/>
      </c>
      <c r="W540" s="68">
        <f>IF(OR(TaxOn&lt;&gt;"Yes",NOT(ISNUMBER(M540))),0,IF(IFERROR(INDEX(tt_Tax,MATCH(D540,tt_Type,0)),"No")="Yes",M540,0))</f>
        <v/>
      </c>
      <c r="X540" s="67">
        <f>IF(T540=1,"",IF(C540="","Missing transaction date",IF(NOT(ISNUMBER(C540)),"Invalid date",IF(OR(C540&lt;DATE(2000,1,1),C540&gt;DATE(2099,12,31)),"Invalid date",IF(D540="","Select a type",IF(U540="","Unknown type: "&amp;D540,IF(V540="","Select an account (Category)",IF(ISNA(MATCH(V540,coa_Name,0)),"Unknown account: "&amp;V540,IF(K540="","Select Paid From / Deposited To",IF(ISNA(MATCH(K540,coa_Name,0)),"Unknown account: "&amp;K540,IF(NOT(ISNUMBER(L540)),"Enter an amount",IF(L540=0,"Enter an amount",IF(ABS(W540)&gt;ABS(L540),"Tax is larger than the amount","")))))))))))))</f>
        <v/>
      </c>
      <c r="Y540" s="67">
        <f>IF(OR(T540=1,X540&lt;&gt;""),"",IF(AND(B540&lt;&gt;"",COUNTIF(tx_ID,B540)&gt;1),"Duplicate transaction ID",IF(AND(L540&lt;0,D540&lt;&gt;"Adjustment"),"Negative amount — check this entry",IF(AND(D540="Customer Payment",G540=""),"Add the customer",IF(AND(D540="Customer Payment",OR(J540="",COUNTIF(ar_No,J540&amp;"")=0)),"Invoice # in Reference not found on AR sheet",IF(AND(D540="Bill Payment",H540=""),"Add the vendor",IF(AND(D540="Bill Payment",OR(J540="",COUNTIFS(ap_No,J540&amp;"",ap_Party,H540&amp;"")=0)),"Bill # + vendor not found on AP sheet",IF(AND(ISNUMBER(M540),N(M540)&lt;&gt;0,W540=0),"Tax ignored (tax tracking off, or not allowed for this type)",IF(V540=K540&amp;"","Same account on both sides",IF(AND(ISNUMBER(StartDate),C540&lt;StartDate),"Date is before the accounting start date",IF(AND(D540&lt;&gt;"Adjustment",IFERROR(INDEX(coa_Pay,MATCH(K540&amp;"",coa_Name,0)),"")&lt;&gt;"Yes"),"Paid From / Deposited To is not a payment account","")))))))))))</f>
        <v/>
      </c>
      <c r="Z540" s="67">
        <f>IF(AND(T540=0,X540=""),1,0)</f>
        <v/>
      </c>
      <c r="AA540" s="68">
        <f>IF(Z540=1,IF(U540="In",L540,L540-W540),0)</f>
        <v/>
      </c>
      <c r="AB540" s="68">
        <f>IF(Z540=1,IF(U540="In",L540-W540,L540),0)</f>
        <v/>
      </c>
      <c r="AC540" s="68">
        <f>IF(AND(Z540=1,U540="Out"),W540,0)</f>
        <v/>
      </c>
      <c r="AD540" s="68">
        <f>IF(AND(Z540=1,U540="In"),W540,0)</f>
        <v/>
      </c>
    </row>
    <row r="541">
      <c r="B541" s="62" t="inlineStr">
        <is>
          <t>TX-0535</t>
        </is>
      </c>
      <c r="C541" s="63" t="n"/>
      <c r="D541" s="62" t="n"/>
      <c r="E541" s="62" t="n"/>
      <c r="F541" s="62" t="n"/>
      <c r="G541" s="62" t="n"/>
      <c r="H541" s="62" t="n"/>
      <c r="I541" s="62" t="n"/>
      <c r="J541" s="62" t="n"/>
      <c r="K541" s="62" t="n"/>
      <c r="L541" s="64" t="n"/>
      <c r="M541" s="64" t="n"/>
      <c r="N541" s="62" t="n"/>
      <c r="O541" s="65">
        <f>IF(Z541=1,L541-W541,"")</f>
        <v/>
      </c>
      <c r="P541" s="66">
        <f>IF(V541="","",IFERROR(INDEX(coa_Type,MATCH(V541,coa_Name,0)),""))</f>
        <v/>
      </c>
      <c r="Q541" s="66">
        <f>IF(Z541=1,IF(U541="In",K541&amp;"",V541),"")</f>
        <v/>
      </c>
      <c r="R541" s="66">
        <f>IF(Z541=1,IF(U541="In",V541,K541&amp;""),"")</f>
        <v/>
      </c>
      <c r="S541" s="66">
        <f>IF(X541&lt;&gt;"","⛔ "&amp;X541&amp;" — not posted",IF(Y541&lt;&gt;"","⚠ "&amp;Y541,IF(Z541=1,"✓ OK","")))</f>
        <v/>
      </c>
      <c r="T541" s="67">
        <f>IF(AND(C541="",D541="",E541="",L541="",K541=""),1,0)</f>
        <v/>
      </c>
      <c r="U541" s="67">
        <f>IFERROR(INDEX(tt_Dir,MATCH(D541,tt_Type,0)),"")</f>
        <v/>
      </c>
      <c r="V541" s="67">
        <f>IF(D541="","",IFERROR(IF(INDEX(tt_Other,MATCH(D541,tt_Type,0))="",E541&amp;"",INDEX(tt_Other,MATCH(D541,tt_Type,0))),""))</f>
        <v/>
      </c>
      <c r="W541" s="68">
        <f>IF(OR(TaxOn&lt;&gt;"Yes",NOT(ISNUMBER(M541))),0,IF(IFERROR(INDEX(tt_Tax,MATCH(D541,tt_Type,0)),"No")="Yes",M541,0))</f>
        <v/>
      </c>
      <c r="X541" s="67">
        <f>IF(T541=1,"",IF(C541="","Missing transaction date",IF(NOT(ISNUMBER(C541)),"Invalid date",IF(OR(C541&lt;DATE(2000,1,1),C541&gt;DATE(2099,12,31)),"Invalid date",IF(D541="","Select a type",IF(U541="","Unknown type: "&amp;D541,IF(V541="","Select an account (Category)",IF(ISNA(MATCH(V541,coa_Name,0)),"Unknown account: "&amp;V541,IF(K541="","Select Paid From / Deposited To",IF(ISNA(MATCH(K541,coa_Name,0)),"Unknown account: "&amp;K541,IF(NOT(ISNUMBER(L541)),"Enter an amount",IF(L541=0,"Enter an amount",IF(ABS(W541)&gt;ABS(L541),"Tax is larger than the amount","")))))))))))))</f>
        <v/>
      </c>
      <c r="Y541" s="67">
        <f>IF(OR(T541=1,X541&lt;&gt;""),"",IF(AND(B541&lt;&gt;"",COUNTIF(tx_ID,B541)&gt;1),"Duplicate transaction ID",IF(AND(L541&lt;0,D541&lt;&gt;"Adjustment"),"Negative amount — check this entry",IF(AND(D541="Customer Payment",G541=""),"Add the customer",IF(AND(D541="Customer Payment",OR(J541="",COUNTIF(ar_No,J541&amp;"")=0)),"Invoice # in Reference not found on AR sheet",IF(AND(D541="Bill Payment",H541=""),"Add the vendor",IF(AND(D541="Bill Payment",OR(J541="",COUNTIFS(ap_No,J541&amp;"",ap_Party,H541&amp;"")=0)),"Bill # + vendor not found on AP sheet",IF(AND(ISNUMBER(M541),N(M541)&lt;&gt;0,W541=0),"Tax ignored (tax tracking off, or not allowed for this type)",IF(V541=K541&amp;"","Same account on both sides",IF(AND(ISNUMBER(StartDate),C541&lt;StartDate),"Date is before the accounting start date",IF(AND(D541&lt;&gt;"Adjustment",IFERROR(INDEX(coa_Pay,MATCH(K541&amp;"",coa_Name,0)),"")&lt;&gt;"Yes"),"Paid From / Deposited To is not a payment account","")))))))))))</f>
        <v/>
      </c>
      <c r="Z541" s="67">
        <f>IF(AND(T541=0,X541=""),1,0)</f>
        <v/>
      </c>
      <c r="AA541" s="68">
        <f>IF(Z541=1,IF(U541="In",L541,L541-W541),0)</f>
        <v/>
      </c>
      <c r="AB541" s="68">
        <f>IF(Z541=1,IF(U541="In",L541-W541,L541),0)</f>
        <v/>
      </c>
      <c r="AC541" s="68">
        <f>IF(AND(Z541=1,U541="Out"),W541,0)</f>
        <v/>
      </c>
      <c r="AD541" s="68">
        <f>IF(AND(Z541=1,U541="In"),W541,0)</f>
        <v/>
      </c>
    </row>
    <row r="542">
      <c r="B542" s="62" t="inlineStr">
        <is>
          <t>TX-0536</t>
        </is>
      </c>
      <c r="C542" s="63" t="n"/>
      <c r="D542" s="62" t="n"/>
      <c r="E542" s="62" t="n"/>
      <c r="F542" s="62" t="n"/>
      <c r="G542" s="62" t="n"/>
      <c r="H542" s="62" t="n"/>
      <c r="I542" s="62" t="n"/>
      <c r="J542" s="62" t="n"/>
      <c r="K542" s="62" t="n"/>
      <c r="L542" s="64" t="n"/>
      <c r="M542" s="64" t="n"/>
      <c r="N542" s="62" t="n"/>
      <c r="O542" s="65">
        <f>IF(Z542=1,L542-W542,"")</f>
        <v/>
      </c>
      <c r="P542" s="66">
        <f>IF(V542="","",IFERROR(INDEX(coa_Type,MATCH(V542,coa_Name,0)),""))</f>
        <v/>
      </c>
      <c r="Q542" s="66">
        <f>IF(Z542=1,IF(U542="In",K542&amp;"",V542),"")</f>
        <v/>
      </c>
      <c r="R542" s="66">
        <f>IF(Z542=1,IF(U542="In",V542,K542&amp;""),"")</f>
        <v/>
      </c>
      <c r="S542" s="66">
        <f>IF(X542&lt;&gt;"","⛔ "&amp;X542&amp;" — not posted",IF(Y542&lt;&gt;"","⚠ "&amp;Y542,IF(Z542=1,"✓ OK","")))</f>
        <v/>
      </c>
      <c r="T542" s="67">
        <f>IF(AND(C542="",D542="",E542="",L542="",K542=""),1,0)</f>
        <v/>
      </c>
      <c r="U542" s="67">
        <f>IFERROR(INDEX(tt_Dir,MATCH(D542,tt_Type,0)),"")</f>
        <v/>
      </c>
      <c r="V542" s="67">
        <f>IF(D542="","",IFERROR(IF(INDEX(tt_Other,MATCH(D542,tt_Type,0))="",E542&amp;"",INDEX(tt_Other,MATCH(D542,tt_Type,0))),""))</f>
        <v/>
      </c>
      <c r="W542" s="68">
        <f>IF(OR(TaxOn&lt;&gt;"Yes",NOT(ISNUMBER(M542))),0,IF(IFERROR(INDEX(tt_Tax,MATCH(D542,tt_Type,0)),"No")="Yes",M542,0))</f>
        <v/>
      </c>
      <c r="X542" s="67">
        <f>IF(T542=1,"",IF(C542="","Missing transaction date",IF(NOT(ISNUMBER(C542)),"Invalid date",IF(OR(C542&lt;DATE(2000,1,1),C542&gt;DATE(2099,12,31)),"Invalid date",IF(D542="","Select a type",IF(U542="","Unknown type: "&amp;D542,IF(V542="","Select an account (Category)",IF(ISNA(MATCH(V542,coa_Name,0)),"Unknown account: "&amp;V542,IF(K542="","Select Paid From / Deposited To",IF(ISNA(MATCH(K542,coa_Name,0)),"Unknown account: "&amp;K542,IF(NOT(ISNUMBER(L542)),"Enter an amount",IF(L542=0,"Enter an amount",IF(ABS(W542)&gt;ABS(L542),"Tax is larger than the amount","")))))))))))))</f>
        <v/>
      </c>
      <c r="Y542" s="67">
        <f>IF(OR(T542=1,X542&lt;&gt;""),"",IF(AND(B542&lt;&gt;"",COUNTIF(tx_ID,B542)&gt;1),"Duplicate transaction ID",IF(AND(L542&lt;0,D542&lt;&gt;"Adjustment"),"Negative amount — check this entry",IF(AND(D542="Customer Payment",G542=""),"Add the customer",IF(AND(D542="Customer Payment",OR(J542="",COUNTIF(ar_No,J542&amp;"")=0)),"Invoice # in Reference not found on AR sheet",IF(AND(D542="Bill Payment",H542=""),"Add the vendor",IF(AND(D542="Bill Payment",OR(J542="",COUNTIFS(ap_No,J542&amp;"",ap_Party,H542&amp;"")=0)),"Bill # + vendor not found on AP sheet",IF(AND(ISNUMBER(M542),N(M542)&lt;&gt;0,W542=0),"Tax ignored (tax tracking off, or not allowed for this type)",IF(V542=K542&amp;"","Same account on both sides",IF(AND(ISNUMBER(StartDate),C542&lt;StartDate),"Date is before the accounting start date",IF(AND(D542&lt;&gt;"Adjustment",IFERROR(INDEX(coa_Pay,MATCH(K542&amp;"",coa_Name,0)),"")&lt;&gt;"Yes"),"Paid From / Deposited To is not a payment account","")))))))))))</f>
        <v/>
      </c>
      <c r="Z542" s="67">
        <f>IF(AND(T542=0,X542=""),1,0)</f>
        <v/>
      </c>
      <c r="AA542" s="68">
        <f>IF(Z542=1,IF(U542="In",L542,L542-W542),0)</f>
        <v/>
      </c>
      <c r="AB542" s="68">
        <f>IF(Z542=1,IF(U542="In",L542-W542,L542),0)</f>
        <v/>
      </c>
      <c r="AC542" s="68">
        <f>IF(AND(Z542=1,U542="Out"),W542,0)</f>
        <v/>
      </c>
      <c r="AD542" s="68">
        <f>IF(AND(Z542=1,U542="In"),W542,0)</f>
        <v/>
      </c>
    </row>
    <row r="543">
      <c r="B543" s="62" t="inlineStr">
        <is>
          <t>TX-0537</t>
        </is>
      </c>
      <c r="C543" s="63" t="n"/>
      <c r="D543" s="62" t="n"/>
      <c r="E543" s="62" t="n"/>
      <c r="F543" s="62" t="n"/>
      <c r="G543" s="62" t="n"/>
      <c r="H543" s="62" t="n"/>
      <c r="I543" s="62" t="n"/>
      <c r="J543" s="62" t="n"/>
      <c r="K543" s="62" t="n"/>
      <c r="L543" s="64" t="n"/>
      <c r="M543" s="64" t="n"/>
      <c r="N543" s="62" t="n"/>
      <c r="O543" s="65">
        <f>IF(Z543=1,L543-W543,"")</f>
        <v/>
      </c>
      <c r="P543" s="66">
        <f>IF(V543="","",IFERROR(INDEX(coa_Type,MATCH(V543,coa_Name,0)),""))</f>
        <v/>
      </c>
      <c r="Q543" s="66">
        <f>IF(Z543=1,IF(U543="In",K543&amp;"",V543),"")</f>
        <v/>
      </c>
      <c r="R543" s="66">
        <f>IF(Z543=1,IF(U543="In",V543,K543&amp;""),"")</f>
        <v/>
      </c>
      <c r="S543" s="66">
        <f>IF(X543&lt;&gt;"","⛔ "&amp;X543&amp;" — not posted",IF(Y543&lt;&gt;"","⚠ "&amp;Y543,IF(Z543=1,"✓ OK","")))</f>
        <v/>
      </c>
      <c r="T543" s="67">
        <f>IF(AND(C543="",D543="",E543="",L543="",K543=""),1,0)</f>
        <v/>
      </c>
      <c r="U543" s="67">
        <f>IFERROR(INDEX(tt_Dir,MATCH(D543,tt_Type,0)),"")</f>
        <v/>
      </c>
      <c r="V543" s="67">
        <f>IF(D543="","",IFERROR(IF(INDEX(tt_Other,MATCH(D543,tt_Type,0))="",E543&amp;"",INDEX(tt_Other,MATCH(D543,tt_Type,0))),""))</f>
        <v/>
      </c>
      <c r="W543" s="68">
        <f>IF(OR(TaxOn&lt;&gt;"Yes",NOT(ISNUMBER(M543))),0,IF(IFERROR(INDEX(tt_Tax,MATCH(D543,tt_Type,0)),"No")="Yes",M543,0))</f>
        <v/>
      </c>
      <c r="X543" s="67">
        <f>IF(T543=1,"",IF(C543="","Missing transaction date",IF(NOT(ISNUMBER(C543)),"Invalid date",IF(OR(C543&lt;DATE(2000,1,1),C543&gt;DATE(2099,12,31)),"Invalid date",IF(D543="","Select a type",IF(U543="","Unknown type: "&amp;D543,IF(V543="","Select an account (Category)",IF(ISNA(MATCH(V543,coa_Name,0)),"Unknown account: "&amp;V543,IF(K543="","Select Paid From / Deposited To",IF(ISNA(MATCH(K543,coa_Name,0)),"Unknown account: "&amp;K543,IF(NOT(ISNUMBER(L543)),"Enter an amount",IF(L543=0,"Enter an amount",IF(ABS(W543)&gt;ABS(L543),"Tax is larger than the amount","")))))))))))))</f>
        <v/>
      </c>
      <c r="Y543" s="67">
        <f>IF(OR(T543=1,X543&lt;&gt;""),"",IF(AND(B543&lt;&gt;"",COUNTIF(tx_ID,B543)&gt;1),"Duplicate transaction ID",IF(AND(L543&lt;0,D543&lt;&gt;"Adjustment"),"Negative amount — check this entry",IF(AND(D543="Customer Payment",G543=""),"Add the customer",IF(AND(D543="Customer Payment",OR(J543="",COUNTIF(ar_No,J543&amp;"")=0)),"Invoice # in Reference not found on AR sheet",IF(AND(D543="Bill Payment",H543=""),"Add the vendor",IF(AND(D543="Bill Payment",OR(J543="",COUNTIFS(ap_No,J543&amp;"",ap_Party,H543&amp;"")=0)),"Bill # + vendor not found on AP sheet",IF(AND(ISNUMBER(M543),N(M543)&lt;&gt;0,W543=0),"Tax ignored (tax tracking off, or not allowed for this type)",IF(V543=K543&amp;"","Same account on both sides",IF(AND(ISNUMBER(StartDate),C543&lt;StartDate),"Date is before the accounting start date",IF(AND(D543&lt;&gt;"Adjustment",IFERROR(INDEX(coa_Pay,MATCH(K543&amp;"",coa_Name,0)),"")&lt;&gt;"Yes"),"Paid From / Deposited To is not a payment account","")))))))))))</f>
        <v/>
      </c>
      <c r="Z543" s="67">
        <f>IF(AND(T543=0,X543=""),1,0)</f>
        <v/>
      </c>
      <c r="AA543" s="68">
        <f>IF(Z543=1,IF(U543="In",L543,L543-W543),0)</f>
        <v/>
      </c>
      <c r="AB543" s="68">
        <f>IF(Z543=1,IF(U543="In",L543-W543,L543),0)</f>
        <v/>
      </c>
      <c r="AC543" s="68">
        <f>IF(AND(Z543=1,U543="Out"),W543,0)</f>
        <v/>
      </c>
      <c r="AD543" s="68">
        <f>IF(AND(Z543=1,U543="In"),W543,0)</f>
        <v/>
      </c>
    </row>
    <row r="544">
      <c r="B544" s="62" t="inlineStr">
        <is>
          <t>TX-0538</t>
        </is>
      </c>
      <c r="C544" s="63" t="n"/>
      <c r="D544" s="62" t="n"/>
      <c r="E544" s="62" t="n"/>
      <c r="F544" s="62" t="n"/>
      <c r="G544" s="62" t="n"/>
      <c r="H544" s="62" t="n"/>
      <c r="I544" s="62" t="n"/>
      <c r="J544" s="62" t="n"/>
      <c r="K544" s="62" t="n"/>
      <c r="L544" s="64" t="n"/>
      <c r="M544" s="64" t="n"/>
      <c r="N544" s="62" t="n"/>
      <c r="O544" s="65">
        <f>IF(Z544=1,L544-W544,"")</f>
        <v/>
      </c>
      <c r="P544" s="66">
        <f>IF(V544="","",IFERROR(INDEX(coa_Type,MATCH(V544,coa_Name,0)),""))</f>
        <v/>
      </c>
      <c r="Q544" s="66">
        <f>IF(Z544=1,IF(U544="In",K544&amp;"",V544),"")</f>
        <v/>
      </c>
      <c r="R544" s="66">
        <f>IF(Z544=1,IF(U544="In",V544,K544&amp;""),"")</f>
        <v/>
      </c>
      <c r="S544" s="66">
        <f>IF(X544&lt;&gt;"","⛔ "&amp;X544&amp;" — not posted",IF(Y544&lt;&gt;"","⚠ "&amp;Y544,IF(Z544=1,"✓ OK","")))</f>
        <v/>
      </c>
      <c r="T544" s="67">
        <f>IF(AND(C544="",D544="",E544="",L544="",K544=""),1,0)</f>
        <v/>
      </c>
      <c r="U544" s="67">
        <f>IFERROR(INDEX(tt_Dir,MATCH(D544,tt_Type,0)),"")</f>
        <v/>
      </c>
      <c r="V544" s="67">
        <f>IF(D544="","",IFERROR(IF(INDEX(tt_Other,MATCH(D544,tt_Type,0))="",E544&amp;"",INDEX(tt_Other,MATCH(D544,tt_Type,0))),""))</f>
        <v/>
      </c>
      <c r="W544" s="68">
        <f>IF(OR(TaxOn&lt;&gt;"Yes",NOT(ISNUMBER(M544))),0,IF(IFERROR(INDEX(tt_Tax,MATCH(D544,tt_Type,0)),"No")="Yes",M544,0))</f>
        <v/>
      </c>
      <c r="X544" s="67">
        <f>IF(T544=1,"",IF(C544="","Missing transaction date",IF(NOT(ISNUMBER(C544)),"Invalid date",IF(OR(C544&lt;DATE(2000,1,1),C544&gt;DATE(2099,12,31)),"Invalid date",IF(D544="","Select a type",IF(U544="","Unknown type: "&amp;D544,IF(V544="","Select an account (Category)",IF(ISNA(MATCH(V544,coa_Name,0)),"Unknown account: "&amp;V544,IF(K544="","Select Paid From / Deposited To",IF(ISNA(MATCH(K544,coa_Name,0)),"Unknown account: "&amp;K544,IF(NOT(ISNUMBER(L544)),"Enter an amount",IF(L544=0,"Enter an amount",IF(ABS(W544)&gt;ABS(L544),"Tax is larger than the amount","")))))))))))))</f>
        <v/>
      </c>
      <c r="Y544" s="67">
        <f>IF(OR(T544=1,X544&lt;&gt;""),"",IF(AND(B544&lt;&gt;"",COUNTIF(tx_ID,B544)&gt;1),"Duplicate transaction ID",IF(AND(L544&lt;0,D544&lt;&gt;"Adjustment"),"Negative amount — check this entry",IF(AND(D544="Customer Payment",G544=""),"Add the customer",IF(AND(D544="Customer Payment",OR(J544="",COUNTIF(ar_No,J544&amp;"")=0)),"Invoice # in Reference not found on AR sheet",IF(AND(D544="Bill Payment",H544=""),"Add the vendor",IF(AND(D544="Bill Payment",OR(J544="",COUNTIFS(ap_No,J544&amp;"",ap_Party,H544&amp;"")=0)),"Bill # + vendor not found on AP sheet",IF(AND(ISNUMBER(M544),N(M544)&lt;&gt;0,W544=0),"Tax ignored (tax tracking off, or not allowed for this type)",IF(V544=K544&amp;"","Same account on both sides",IF(AND(ISNUMBER(StartDate),C544&lt;StartDate),"Date is before the accounting start date",IF(AND(D544&lt;&gt;"Adjustment",IFERROR(INDEX(coa_Pay,MATCH(K544&amp;"",coa_Name,0)),"")&lt;&gt;"Yes"),"Paid From / Deposited To is not a payment account","")))))))))))</f>
        <v/>
      </c>
      <c r="Z544" s="67">
        <f>IF(AND(T544=0,X544=""),1,0)</f>
        <v/>
      </c>
      <c r="AA544" s="68">
        <f>IF(Z544=1,IF(U544="In",L544,L544-W544),0)</f>
        <v/>
      </c>
      <c r="AB544" s="68">
        <f>IF(Z544=1,IF(U544="In",L544-W544,L544),0)</f>
        <v/>
      </c>
      <c r="AC544" s="68">
        <f>IF(AND(Z544=1,U544="Out"),W544,0)</f>
        <v/>
      </c>
      <c r="AD544" s="68">
        <f>IF(AND(Z544=1,U544="In"),W544,0)</f>
        <v/>
      </c>
    </row>
    <row r="545">
      <c r="B545" s="62" t="inlineStr">
        <is>
          <t>TX-0539</t>
        </is>
      </c>
      <c r="C545" s="63" t="n"/>
      <c r="D545" s="62" t="n"/>
      <c r="E545" s="62" t="n"/>
      <c r="F545" s="62" t="n"/>
      <c r="G545" s="62" t="n"/>
      <c r="H545" s="62" t="n"/>
      <c r="I545" s="62" t="n"/>
      <c r="J545" s="62" t="n"/>
      <c r="K545" s="62" t="n"/>
      <c r="L545" s="64" t="n"/>
      <c r="M545" s="64" t="n"/>
      <c r="N545" s="62" t="n"/>
      <c r="O545" s="65">
        <f>IF(Z545=1,L545-W545,"")</f>
        <v/>
      </c>
      <c r="P545" s="66">
        <f>IF(V545="","",IFERROR(INDEX(coa_Type,MATCH(V545,coa_Name,0)),""))</f>
        <v/>
      </c>
      <c r="Q545" s="66">
        <f>IF(Z545=1,IF(U545="In",K545&amp;"",V545),"")</f>
        <v/>
      </c>
      <c r="R545" s="66">
        <f>IF(Z545=1,IF(U545="In",V545,K545&amp;""),"")</f>
        <v/>
      </c>
      <c r="S545" s="66">
        <f>IF(X545&lt;&gt;"","⛔ "&amp;X545&amp;" — not posted",IF(Y545&lt;&gt;"","⚠ "&amp;Y545,IF(Z545=1,"✓ OK","")))</f>
        <v/>
      </c>
      <c r="T545" s="67">
        <f>IF(AND(C545="",D545="",E545="",L545="",K545=""),1,0)</f>
        <v/>
      </c>
      <c r="U545" s="67">
        <f>IFERROR(INDEX(tt_Dir,MATCH(D545,tt_Type,0)),"")</f>
        <v/>
      </c>
      <c r="V545" s="67">
        <f>IF(D545="","",IFERROR(IF(INDEX(tt_Other,MATCH(D545,tt_Type,0))="",E545&amp;"",INDEX(tt_Other,MATCH(D545,tt_Type,0))),""))</f>
        <v/>
      </c>
      <c r="W545" s="68">
        <f>IF(OR(TaxOn&lt;&gt;"Yes",NOT(ISNUMBER(M545))),0,IF(IFERROR(INDEX(tt_Tax,MATCH(D545,tt_Type,0)),"No")="Yes",M545,0))</f>
        <v/>
      </c>
      <c r="X545" s="67">
        <f>IF(T545=1,"",IF(C545="","Missing transaction date",IF(NOT(ISNUMBER(C545)),"Invalid date",IF(OR(C545&lt;DATE(2000,1,1),C545&gt;DATE(2099,12,31)),"Invalid date",IF(D545="","Select a type",IF(U545="","Unknown type: "&amp;D545,IF(V545="","Select an account (Category)",IF(ISNA(MATCH(V545,coa_Name,0)),"Unknown account: "&amp;V545,IF(K545="","Select Paid From / Deposited To",IF(ISNA(MATCH(K545,coa_Name,0)),"Unknown account: "&amp;K545,IF(NOT(ISNUMBER(L545)),"Enter an amount",IF(L545=0,"Enter an amount",IF(ABS(W545)&gt;ABS(L545),"Tax is larger than the amount","")))))))))))))</f>
        <v/>
      </c>
      <c r="Y545" s="67">
        <f>IF(OR(T545=1,X545&lt;&gt;""),"",IF(AND(B545&lt;&gt;"",COUNTIF(tx_ID,B545)&gt;1),"Duplicate transaction ID",IF(AND(L545&lt;0,D545&lt;&gt;"Adjustment"),"Negative amount — check this entry",IF(AND(D545="Customer Payment",G545=""),"Add the customer",IF(AND(D545="Customer Payment",OR(J545="",COUNTIF(ar_No,J545&amp;"")=0)),"Invoice # in Reference not found on AR sheet",IF(AND(D545="Bill Payment",H545=""),"Add the vendor",IF(AND(D545="Bill Payment",OR(J545="",COUNTIFS(ap_No,J545&amp;"",ap_Party,H545&amp;"")=0)),"Bill # + vendor not found on AP sheet",IF(AND(ISNUMBER(M545),N(M545)&lt;&gt;0,W545=0),"Tax ignored (tax tracking off, or not allowed for this type)",IF(V545=K545&amp;"","Same account on both sides",IF(AND(ISNUMBER(StartDate),C545&lt;StartDate),"Date is before the accounting start date",IF(AND(D545&lt;&gt;"Adjustment",IFERROR(INDEX(coa_Pay,MATCH(K545&amp;"",coa_Name,0)),"")&lt;&gt;"Yes"),"Paid From / Deposited To is not a payment account","")))))))))))</f>
        <v/>
      </c>
      <c r="Z545" s="67">
        <f>IF(AND(T545=0,X545=""),1,0)</f>
        <v/>
      </c>
      <c r="AA545" s="68">
        <f>IF(Z545=1,IF(U545="In",L545,L545-W545),0)</f>
        <v/>
      </c>
      <c r="AB545" s="68">
        <f>IF(Z545=1,IF(U545="In",L545-W545,L545),0)</f>
        <v/>
      </c>
      <c r="AC545" s="68">
        <f>IF(AND(Z545=1,U545="Out"),W545,0)</f>
        <v/>
      </c>
      <c r="AD545" s="68">
        <f>IF(AND(Z545=1,U545="In"),W545,0)</f>
        <v/>
      </c>
    </row>
    <row r="546">
      <c r="B546" s="62" t="inlineStr">
        <is>
          <t>TX-0540</t>
        </is>
      </c>
      <c r="C546" s="63" t="n"/>
      <c r="D546" s="62" t="n"/>
      <c r="E546" s="62" t="n"/>
      <c r="F546" s="62" t="n"/>
      <c r="G546" s="62" t="n"/>
      <c r="H546" s="62" t="n"/>
      <c r="I546" s="62" t="n"/>
      <c r="J546" s="62" t="n"/>
      <c r="K546" s="62" t="n"/>
      <c r="L546" s="64" t="n"/>
      <c r="M546" s="64" t="n"/>
      <c r="N546" s="62" t="n"/>
      <c r="O546" s="65">
        <f>IF(Z546=1,L546-W546,"")</f>
        <v/>
      </c>
      <c r="P546" s="66">
        <f>IF(V546="","",IFERROR(INDEX(coa_Type,MATCH(V546,coa_Name,0)),""))</f>
        <v/>
      </c>
      <c r="Q546" s="66">
        <f>IF(Z546=1,IF(U546="In",K546&amp;"",V546),"")</f>
        <v/>
      </c>
      <c r="R546" s="66">
        <f>IF(Z546=1,IF(U546="In",V546,K546&amp;""),"")</f>
        <v/>
      </c>
      <c r="S546" s="66">
        <f>IF(X546&lt;&gt;"","⛔ "&amp;X546&amp;" — not posted",IF(Y546&lt;&gt;"","⚠ "&amp;Y546,IF(Z546=1,"✓ OK","")))</f>
        <v/>
      </c>
      <c r="T546" s="67">
        <f>IF(AND(C546="",D546="",E546="",L546="",K546=""),1,0)</f>
        <v/>
      </c>
      <c r="U546" s="67">
        <f>IFERROR(INDEX(tt_Dir,MATCH(D546,tt_Type,0)),"")</f>
        <v/>
      </c>
      <c r="V546" s="67">
        <f>IF(D546="","",IFERROR(IF(INDEX(tt_Other,MATCH(D546,tt_Type,0))="",E546&amp;"",INDEX(tt_Other,MATCH(D546,tt_Type,0))),""))</f>
        <v/>
      </c>
      <c r="W546" s="68">
        <f>IF(OR(TaxOn&lt;&gt;"Yes",NOT(ISNUMBER(M546))),0,IF(IFERROR(INDEX(tt_Tax,MATCH(D546,tt_Type,0)),"No")="Yes",M546,0))</f>
        <v/>
      </c>
      <c r="X546" s="67">
        <f>IF(T546=1,"",IF(C546="","Missing transaction date",IF(NOT(ISNUMBER(C546)),"Invalid date",IF(OR(C546&lt;DATE(2000,1,1),C546&gt;DATE(2099,12,31)),"Invalid date",IF(D546="","Select a type",IF(U546="","Unknown type: "&amp;D546,IF(V546="","Select an account (Category)",IF(ISNA(MATCH(V546,coa_Name,0)),"Unknown account: "&amp;V546,IF(K546="","Select Paid From / Deposited To",IF(ISNA(MATCH(K546,coa_Name,0)),"Unknown account: "&amp;K546,IF(NOT(ISNUMBER(L546)),"Enter an amount",IF(L546=0,"Enter an amount",IF(ABS(W546)&gt;ABS(L546),"Tax is larger than the amount","")))))))))))))</f>
        <v/>
      </c>
      <c r="Y546" s="67">
        <f>IF(OR(T546=1,X546&lt;&gt;""),"",IF(AND(B546&lt;&gt;"",COUNTIF(tx_ID,B546)&gt;1),"Duplicate transaction ID",IF(AND(L546&lt;0,D546&lt;&gt;"Adjustment"),"Negative amount — check this entry",IF(AND(D546="Customer Payment",G546=""),"Add the customer",IF(AND(D546="Customer Payment",OR(J546="",COUNTIF(ar_No,J546&amp;"")=0)),"Invoice # in Reference not found on AR sheet",IF(AND(D546="Bill Payment",H546=""),"Add the vendor",IF(AND(D546="Bill Payment",OR(J546="",COUNTIFS(ap_No,J546&amp;"",ap_Party,H546&amp;"")=0)),"Bill # + vendor not found on AP sheet",IF(AND(ISNUMBER(M546),N(M546)&lt;&gt;0,W546=0),"Tax ignored (tax tracking off, or not allowed for this type)",IF(V546=K546&amp;"","Same account on both sides",IF(AND(ISNUMBER(StartDate),C546&lt;StartDate),"Date is before the accounting start date",IF(AND(D546&lt;&gt;"Adjustment",IFERROR(INDEX(coa_Pay,MATCH(K546&amp;"",coa_Name,0)),"")&lt;&gt;"Yes"),"Paid From / Deposited To is not a payment account","")))))))))))</f>
        <v/>
      </c>
      <c r="Z546" s="67">
        <f>IF(AND(T546=0,X546=""),1,0)</f>
        <v/>
      </c>
      <c r="AA546" s="68">
        <f>IF(Z546=1,IF(U546="In",L546,L546-W546),0)</f>
        <v/>
      </c>
      <c r="AB546" s="68">
        <f>IF(Z546=1,IF(U546="In",L546-W546,L546),0)</f>
        <v/>
      </c>
      <c r="AC546" s="68">
        <f>IF(AND(Z546=1,U546="Out"),W546,0)</f>
        <v/>
      </c>
      <c r="AD546" s="68">
        <f>IF(AND(Z546=1,U546="In"),W546,0)</f>
        <v/>
      </c>
    </row>
    <row r="547">
      <c r="B547" s="62" t="inlineStr">
        <is>
          <t>TX-0541</t>
        </is>
      </c>
      <c r="C547" s="63" t="n"/>
      <c r="D547" s="62" t="n"/>
      <c r="E547" s="62" t="n"/>
      <c r="F547" s="62" t="n"/>
      <c r="G547" s="62" t="n"/>
      <c r="H547" s="62" t="n"/>
      <c r="I547" s="62" t="n"/>
      <c r="J547" s="62" t="n"/>
      <c r="K547" s="62" t="n"/>
      <c r="L547" s="64" t="n"/>
      <c r="M547" s="64" t="n"/>
      <c r="N547" s="62" t="n"/>
      <c r="O547" s="65">
        <f>IF(Z547=1,L547-W547,"")</f>
        <v/>
      </c>
      <c r="P547" s="66">
        <f>IF(V547="","",IFERROR(INDEX(coa_Type,MATCH(V547,coa_Name,0)),""))</f>
        <v/>
      </c>
      <c r="Q547" s="66">
        <f>IF(Z547=1,IF(U547="In",K547&amp;"",V547),"")</f>
        <v/>
      </c>
      <c r="R547" s="66">
        <f>IF(Z547=1,IF(U547="In",V547,K547&amp;""),"")</f>
        <v/>
      </c>
      <c r="S547" s="66">
        <f>IF(X547&lt;&gt;"","⛔ "&amp;X547&amp;" — not posted",IF(Y547&lt;&gt;"","⚠ "&amp;Y547,IF(Z547=1,"✓ OK","")))</f>
        <v/>
      </c>
      <c r="T547" s="67">
        <f>IF(AND(C547="",D547="",E547="",L547="",K547=""),1,0)</f>
        <v/>
      </c>
      <c r="U547" s="67">
        <f>IFERROR(INDEX(tt_Dir,MATCH(D547,tt_Type,0)),"")</f>
        <v/>
      </c>
      <c r="V547" s="67">
        <f>IF(D547="","",IFERROR(IF(INDEX(tt_Other,MATCH(D547,tt_Type,0))="",E547&amp;"",INDEX(tt_Other,MATCH(D547,tt_Type,0))),""))</f>
        <v/>
      </c>
      <c r="W547" s="68">
        <f>IF(OR(TaxOn&lt;&gt;"Yes",NOT(ISNUMBER(M547))),0,IF(IFERROR(INDEX(tt_Tax,MATCH(D547,tt_Type,0)),"No")="Yes",M547,0))</f>
        <v/>
      </c>
      <c r="X547" s="67">
        <f>IF(T547=1,"",IF(C547="","Missing transaction date",IF(NOT(ISNUMBER(C547)),"Invalid date",IF(OR(C547&lt;DATE(2000,1,1),C547&gt;DATE(2099,12,31)),"Invalid date",IF(D547="","Select a type",IF(U547="","Unknown type: "&amp;D547,IF(V547="","Select an account (Category)",IF(ISNA(MATCH(V547,coa_Name,0)),"Unknown account: "&amp;V547,IF(K547="","Select Paid From / Deposited To",IF(ISNA(MATCH(K547,coa_Name,0)),"Unknown account: "&amp;K547,IF(NOT(ISNUMBER(L547)),"Enter an amount",IF(L547=0,"Enter an amount",IF(ABS(W547)&gt;ABS(L547),"Tax is larger than the amount","")))))))))))))</f>
        <v/>
      </c>
      <c r="Y547" s="67">
        <f>IF(OR(T547=1,X547&lt;&gt;""),"",IF(AND(B547&lt;&gt;"",COUNTIF(tx_ID,B547)&gt;1),"Duplicate transaction ID",IF(AND(L547&lt;0,D547&lt;&gt;"Adjustment"),"Negative amount — check this entry",IF(AND(D547="Customer Payment",G547=""),"Add the customer",IF(AND(D547="Customer Payment",OR(J547="",COUNTIF(ar_No,J547&amp;"")=0)),"Invoice # in Reference not found on AR sheet",IF(AND(D547="Bill Payment",H547=""),"Add the vendor",IF(AND(D547="Bill Payment",OR(J547="",COUNTIFS(ap_No,J547&amp;"",ap_Party,H547&amp;"")=0)),"Bill # + vendor not found on AP sheet",IF(AND(ISNUMBER(M547),N(M547)&lt;&gt;0,W547=0),"Tax ignored (tax tracking off, or not allowed for this type)",IF(V547=K547&amp;"","Same account on both sides",IF(AND(ISNUMBER(StartDate),C547&lt;StartDate),"Date is before the accounting start date",IF(AND(D547&lt;&gt;"Adjustment",IFERROR(INDEX(coa_Pay,MATCH(K547&amp;"",coa_Name,0)),"")&lt;&gt;"Yes"),"Paid From / Deposited To is not a payment account","")))))))))))</f>
        <v/>
      </c>
      <c r="Z547" s="67">
        <f>IF(AND(T547=0,X547=""),1,0)</f>
        <v/>
      </c>
      <c r="AA547" s="68">
        <f>IF(Z547=1,IF(U547="In",L547,L547-W547),0)</f>
        <v/>
      </c>
      <c r="AB547" s="68">
        <f>IF(Z547=1,IF(U547="In",L547-W547,L547),0)</f>
        <v/>
      </c>
      <c r="AC547" s="68">
        <f>IF(AND(Z547=1,U547="Out"),W547,0)</f>
        <v/>
      </c>
      <c r="AD547" s="68">
        <f>IF(AND(Z547=1,U547="In"),W547,0)</f>
        <v/>
      </c>
    </row>
    <row r="548">
      <c r="B548" s="62" t="inlineStr">
        <is>
          <t>TX-0542</t>
        </is>
      </c>
      <c r="C548" s="63" t="n"/>
      <c r="D548" s="62" t="n"/>
      <c r="E548" s="62" t="n"/>
      <c r="F548" s="62" t="n"/>
      <c r="G548" s="62" t="n"/>
      <c r="H548" s="62" t="n"/>
      <c r="I548" s="62" t="n"/>
      <c r="J548" s="62" t="n"/>
      <c r="K548" s="62" t="n"/>
      <c r="L548" s="64" t="n"/>
      <c r="M548" s="64" t="n"/>
      <c r="N548" s="62" t="n"/>
      <c r="O548" s="65">
        <f>IF(Z548=1,L548-W548,"")</f>
        <v/>
      </c>
      <c r="P548" s="66">
        <f>IF(V548="","",IFERROR(INDEX(coa_Type,MATCH(V548,coa_Name,0)),""))</f>
        <v/>
      </c>
      <c r="Q548" s="66">
        <f>IF(Z548=1,IF(U548="In",K548&amp;"",V548),"")</f>
        <v/>
      </c>
      <c r="R548" s="66">
        <f>IF(Z548=1,IF(U548="In",V548,K548&amp;""),"")</f>
        <v/>
      </c>
      <c r="S548" s="66">
        <f>IF(X548&lt;&gt;"","⛔ "&amp;X548&amp;" — not posted",IF(Y548&lt;&gt;"","⚠ "&amp;Y548,IF(Z548=1,"✓ OK","")))</f>
        <v/>
      </c>
      <c r="T548" s="67">
        <f>IF(AND(C548="",D548="",E548="",L548="",K548=""),1,0)</f>
        <v/>
      </c>
      <c r="U548" s="67">
        <f>IFERROR(INDEX(tt_Dir,MATCH(D548,tt_Type,0)),"")</f>
        <v/>
      </c>
      <c r="V548" s="67">
        <f>IF(D548="","",IFERROR(IF(INDEX(tt_Other,MATCH(D548,tt_Type,0))="",E548&amp;"",INDEX(tt_Other,MATCH(D548,tt_Type,0))),""))</f>
        <v/>
      </c>
      <c r="W548" s="68">
        <f>IF(OR(TaxOn&lt;&gt;"Yes",NOT(ISNUMBER(M548))),0,IF(IFERROR(INDEX(tt_Tax,MATCH(D548,tt_Type,0)),"No")="Yes",M548,0))</f>
        <v/>
      </c>
      <c r="X548" s="67">
        <f>IF(T548=1,"",IF(C548="","Missing transaction date",IF(NOT(ISNUMBER(C548)),"Invalid date",IF(OR(C548&lt;DATE(2000,1,1),C548&gt;DATE(2099,12,31)),"Invalid date",IF(D548="","Select a type",IF(U548="","Unknown type: "&amp;D548,IF(V548="","Select an account (Category)",IF(ISNA(MATCH(V548,coa_Name,0)),"Unknown account: "&amp;V548,IF(K548="","Select Paid From / Deposited To",IF(ISNA(MATCH(K548,coa_Name,0)),"Unknown account: "&amp;K548,IF(NOT(ISNUMBER(L548)),"Enter an amount",IF(L548=0,"Enter an amount",IF(ABS(W548)&gt;ABS(L548),"Tax is larger than the amount","")))))))))))))</f>
        <v/>
      </c>
      <c r="Y548" s="67">
        <f>IF(OR(T548=1,X548&lt;&gt;""),"",IF(AND(B548&lt;&gt;"",COUNTIF(tx_ID,B548)&gt;1),"Duplicate transaction ID",IF(AND(L548&lt;0,D548&lt;&gt;"Adjustment"),"Negative amount — check this entry",IF(AND(D548="Customer Payment",G548=""),"Add the customer",IF(AND(D548="Customer Payment",OR(J548="",COUNTIF(ar_No,J548&amp;"")=0)),"Invoice # in Reference not found on AR sheet",IF(AND(D548="Bill Payment",H548=""),"Add the vendor",IF(AND(D548="Bill Payment",OR(J548="",COUNTIFS(ap_No,J548&amp;"",ap_Party,H548&amp;"")=0)),"Bill # + vendor not found on AP sheet",IF(AND(ISNUMBER(M548),N(M548)&lt;&gt;0,W548=0),"Tax ignored (tax tracking off, or not allowed for this type)",IF(V548=K548&amp;"","Same account on both sides",IF(AND(ISNUMBER(StartDate),C548&lt;StartDate),"Date is before the accounting start date",IF(AND(D548&lt;&gt;"Adjustment",IFERROR(INDEX(coa_Pay,MATCH(K548&amp;"",coa_Name,0)),"")&lt;&gt;"Yes"),"Paid From / Deposited To is not a payment account","")))))))))))</f>
        <v/>
      </c>
      <c r="Z548" s="67">
        <f>IF(AND(T548=0,X548=""),1,0)</f>
        <v/>
      </c>
      <c r="AA548" s="68">
        <f>IF(Z548=1,IF(U548="In",L548,L548-W548),0)</f>
        <v/>
      </c>
      <c r="AB548" s="68">
        <f>IF(Z548=1,IF(U548="In",L548-W548,L548),0)</f>
        <v/>
      </c>
      <c r="AC548" s="68">
        <f>IF(AND(Z548=1,U548="Out"),W548,0)</f>
        <v/>
      </c>
      <c r="AD548" s="68">
        <f>IF(AND(Z548=1,U548="In"),W548,0)</f>
        <v/>
      </c>
    </row>
    <row r="549">
      <c r="B549" s="62" t="inlineStr">
        <is>
          <t>TX-0543</t>
        </is>
      </c>
      <c r="C549" s="63" t="n"/>
      <c r="D549" s="62" t="n"/>
      <c r="E549" s="62" t="n"/>
      <c r="F549" s="62" t="n"/>
      <c r="G549" s="62" t="n"/>
      <c r="H549" s="62" t="n"/>
      <c r="I549" s="62" t="n"/>
      <c r="J549" s="62" t="n"/>
      <c r="K549" s="62" t="n"/>
      <c r="L549" s="64" t="n"/>
      <c r="M549" s="64" t="n"/>
      <c r="N549" s="62" t="n"/>
      <c r="O549" s="65">
        <f>IF(Z549=1,L549-W549,"")</f>
        <v/>
      </c>
      <c r="P549" s="66">
        <f>IF(V549="","",IFERROR(INDEX(coa_Type,MATCH(V549,coa_Name,0)),""))</f>
        <v/>
      </c>
      <c r="Q549" s="66">
        <f>IF(Z549=1,IF(U549="In",K549&amp;"",V549),"")</f>
        <v/>
      </c>
      <c r="R549" s="66">
        <f>IF(Z549=1,IF(U549="In",V549,K549&amp;""),"")</f>
        <v/>
      </c>
      <c r="S549" s="66">
        <f>IF(X549&lt;&gt;"","⛔ "&amp;X549&amp;" — not posted",IF(Y549&lt;&gt;"","⚠ "&amp;Y549,IF(Z549=1,"✓ OK","")))</f>
        <v/>
      </c>
      <c r="T549" s="67">
        <f>IF(AND(C549="",D549="",E549="",L549="",K549=""),1,0)</f>
        <v/>
      </c>
      <c r="U549" s="67">
        <f>IFERROR(INDEX(tt_Dir,MATCH(D549,tt_Type,0)),"")</f>
        <v/>
      </c>
      <c r="V549" s="67">
        <f>IF(D549="","",IFERROR(IF(INDEX(tt_Other,MATCH(D549,tt_Type,0))="",E549&amp;"",INDEX(tt_Other,MATCH(D549,tt_Type,0))),""))</f>
        <v/>
      </c>
      <c r="W549" s="68">
        <f>IF(OR(TaxOn&lt;&gt;"Yes",NOT(ISNUMBER(M549))),0,IF(IFERROR(INDEX(tt_Tax,MATCH(D549,tt_Type,0)),"No")="Yes",M549,0))</f>
        <v/>
      </c>
      <c r="X549" s="67">
        <f>IF(T549=1,"",IF(C549="","Missing transaction date",IF(NOT(ISNUMBER(C549)),"Invalid date",IF(OR(C549&lt;DATE(2000,1,1),C549&gt;DATE(2099,12,31)),"Invalid date",IF(D549="","Select a type",IF(U549="","Unknown type: "&amp;D549,IF(V549="","Select an account (Category)",IF(ISNA(MATCH(V549,coa_Name,0)),"Unknown account: "&amp;V549,IF(K549="","Select Paid From / Deposited To",IF(ISNA(MATCH(K549,coa_Name,0)),"Unknown account: "&amp;K549,IF(NOT(ISNUMBER(L549)),"Enter an amount",IF(L549=0,"Enter an amount",IF(ABS(W549)&gt;ABS(L549),"Tax is larger than the amount","")))))))))))))</f>
        <v/>
      </c>
      <c r="Y549" s="67">
        <f>IF(OR(T549=1,X549&lt;&gt;""),"",IF(AND(B549&lt;&gt;"",COUNTIF(tx_ID,B549)&gt;1),"Duplicate transaction ID",IF(AND(L549&lt;0,D549&lt;&gt;"Adjustment"),"Negative amount — check this entry",IF(AND(D549="Customer Payment",G549=""),"Add the customer",IF(AND(D549="Customer Payment",OR(J549="",COUNTIF(ar_No,J549&amp;"")=0)),"Invoice # in Reference not found on AR sheet",IF(AND(D549="Bill Payment",H549=""),"Add the vendor",IF(AND(D549="Bill Payment",OR(J549="",COUNTIFS(ap_No,J549&amp;"",ap_Party,H549&amp;"")=0)),"Bill # + vendor not found on AP sheet",IF(AND(ISNUMBER(M549),N(M549)&lt;&gt;0,W549=0),"Tax ignored (tax tracking off, or not allowed for this type)",IF(V549=K549&amp;"","Same account on both sides",IF(AND(ISNUMBER(StartDate),C549&lt;StartDate),"Date is before the accounting start date",IF(AND(D549&lt;&gt;"Adjustment",IFERROR(INDEX(coa_Pay,MATCH(K549&amp;"",coa_Name,0)),"")&lt;&gt;"Yes"),"Paid From / Deposited To is not a payment account","")))))))))))</f>
        <v/>
      </c>
      <c r="Z549" s="67">
        <f>IF(AND(T549=0,X549=""),1,0)</f>
        <v/>
      </c>
      <c r="AA549" s="68">
        <f>IF(Z549=1,IF(U549="In",L549,L549-W549),0)</f>
        <v/>
      </c>
      <c r="AB549" s="68">
        <f>IF(Z549=1,IF(U549="In",L549-W549,L549),0)</f>
        <v/>
      </c>
      <c r="AC549" s="68">
        <f>IF(AND(Z549=1,U549="Out"),W549,0)</f>
        <v/>
      </c>
      <c r="AD549" s="68">
        <f>IF(AND(Z549=1,U549="In"),W549,0)</f>
        <v/>
      </c>
    </row>
    <row r="550">
      <c r="B550" s="62" t="inlineStr">
        <is>
          <t>TX-0544</t>
        </is>
      </c>
      <c r="C550" s="63" t="n"/>
      <c r="D550" s="62" t="n"/>
      <c r="E550" s="62" t="n"/>
      <c r="F550" s="62" t="n"/>
      <c r="G550" s="62" t="n"/>
      <c r="H550" s="62" t="n"/>
      <c r="I550" s="62" t="n"/>
      <c r="J550" s="62" t="n"/>
      <c r="K550" s="62" t="n"/>
      <c r="L550" s="64" t="n"/>
      <c r="M550" s="64" t="n"/>
      <c r="N550" s="62" t="n"/>
      <c r="O550" s="65">
        <f>IF(Z550=1,L550-W550,"")</f>
        <v/>
      </c>
      <c r="P550" s="66">
        <f>IF(V550="","",IFERROR(INDEX(coa_Type,MATCH(V550,coa_Name,0)),""))</f>
        <v/>
      </c>
      <c r="Q550" s="66">
        <f>IF(Z550=1,IF(U550="In",K550&amp;"",V550),"")</f>
        <v/>
      </c>
      <c r="R550" s="66">
        <f>IF(Z550=1,IF(U550="In",V550,K550&amp;""),"")</f>
        <v/>
      </c>
      <c r="S550" s="66">
        <f>IF(X550&lt;&gt;"","⛔ "&amp;X550&amp;" — not posted",IF(Y550&lt;&gt;"","⚠ "&amp;Y550,IF(Z550=1,"✓ OK","")))</f>
        <v/>
      </c>
      <c r="T550" s="67">
        <f>IF(AND(C550="",D550="",E550="",L550="",K550=""),1,0)</f>
        <v/>
      </c>
      <c r="U550" s="67">
        <f>IFERROR(INDEX(tt_Dir,MATCH(D550,tt_Type,0)),"")</f>
        <v/>
      </c>
      <c r="V550" s="67">
        <f>IF(D550="","",IFERROR(IF(INDEX(tt_Other,MATCH(D550,tt_Type,0))="",E550&amp;"",INDEX(tt_Other,MATCH(D550,tt_Type,0))),""))</f>
        <v/>
      </c>
      <c r="W550" s="68">
        <f>IF(OR(TaxOn&lt;&gt;"Yes",NOT(ISNUMBER(M550))),0,IF(IFERROR(INDEX(tt_Tax,MATCH(D550,tt_Type,0)),"No")="Yes",M550,0))</f>
        <v/>
      </c>
      <c r="X550" s="67">
        <f>IF(T550=1,"",IF(C550="","Missing transaction date",IF(NOT(ISNUMBER(C550)),"Invalid date",IF(OR(C550&lt;DATE(2000,1,1),C550&gt;DATE(2099,12,31)),"Invalid date",IF(D550="","Select a type",IF(U550="","Unknown type: "&amp;D550,IF(V550="","Select an account (Category)",IF(ISNA(MATCH(V550,coa_Name,0)),"Unknown account: "&amp;V550,IF(K550="","Select Paid From / Deposited To",IF(ISNA(MATCH(K550,coa_Name,0)),"Unknown account: "&amp;K550,IF(NOT(ISNUMBER(L550)),"Enter an amount",IF(L550=0,"Enter an amount",IF(ABS(W550)&gt;ABS(L550),"Tax is larger than the amount","")))))))))))))</f>
        <v/>
      </c>
      <c r="Y550" s="67">
        <f>IF(OR(T550=1,X550&lt;&gt;""),"",IF(AND(B550&lt;&gt;"",COUNTIF(tx_ID,B550)&gt;1),"Duplicate transaction ID",IF(AND(L550&lt;0,D550&lt;&gt;"Adjustment"),"Negative amount — check this entry",IF(AND(D550="Customer Payment",G550=""),"Add the customer",IF(AND(D550="Customer Payment",OR(J550="",COUNTIF(ar_No,J550&amp;"")=0)),"Invoice # in Reference not found on AR sheet",IF(AND(D550="Bill Payment",H550=""),"Add the vendor",IF(AND(D550="Bill Payment",OR(J550="",COUNTIFS(ap_No,J550&amp;"",ap_Party,H550&amp;"")=0)),"Bill # + vendor not found on AP sheet",IF(AND(ISNUMBER(M550),N(M550)&lt;&gt;0,W550=0),"Tax ignored (tax tracking off, or not allowed for this type)",IF(V550=K550&amp;"","Same account on both sides",IF(AND(ISNUMBER(StartDate),C550&lt;StartDate),"Date is before the accounting start date",IF(AND(D550&lt;&gt;"Adjustment",IFERROR(INDEX(coa_Pay,MATCH(K550&amp;"",coa_Name,0)),"")&lt;&gt;"Yes"),"Paid From / Deposited To is not a payment account","")))))))))))</f>
        <v/>
      </c>
      <c r="Z550" s="67">
        <f>IF(AND(T550=0,X550=""),1,0)</f>
        <v/>
      </c>
      <c r="AA550" s="68">
        <f>IF(Z550=1,IF(U550="In",L550,L550-W550),0)</f>
        <v/>
      </c>
      <c r="AB550" s="68">
        <f>IF(Z550=1,IF(U550="In",L550-W550,L550),0)</f>
        <v/>
      </c>
      <c r="AC550" s="68">
        <f>IF(AND(Z550=1,U550="Out"),W550,0)</f>
        <v/>
      </c>
      <c r="AD550" s="68">
        <f>IF(AND(Z550=1,U550="In"),W550,0)</f>
        <v/>
      </c>
    </row>
    <row r="551">
      <c r="B551" s="62" t="inlineStr">
        <is>
          <t>TX-0545</t>
        </is>
      </c>
      <c r="C551" s="63" t="n"/>
      <c r="D551" s="62" t="n"/>
      <c r="E551" s="62" t="n"/>
      <c r="F551" s="62" t="n"/>
      <c r="G551" s="62" t="n"/>
      <c r="H551" s="62" t="n"/>
      <c r="I551" s="62" t="n"/>
      <c r="J551" s="62" t="n"/>
      <c r="K551" s="62" t="n"/>
      <c r="L551" s="64" t="n"/>
      <c r="M551" s="64" t="n"/>
      <c r="N551" s="62" t="n"/>
      <c r="O551" s="65">
        <f>IF(Z551=1,L551-W551,"")</f>
        <v/>
      </c>
      <c r="P551" s="66">
        <f>IF(V551="","",IFERROR(INDEX(coa_Type,MATCH(V551,coa_Name,0)),""))</f>
        <v/>
      </c>
      <c r="Q551" s="66">
        <f>IF(Z551=1,IF(U551="In",K551&amp;"",V551),"")</f>
        <v/>
      </c>
      <c r="R551" s="66">
        <f>IF(Z551=1,IF(U551="In",V551,K551&amp;""),"")</f>
        <v/>
      </c>
      <c r="S551" s="66">
        <f>IF(X551&lt;&gt;"","⛔ "&amp;X551&amp;" — not posted",IF(Y551&lt;&gt;"","⚠ "&amp;Y551,IF(Z551=1,"✓ OK","")))</f>
        <v/>
      </c>
      <c r="T551" s="67">
        <f>IF(AND(C551="",D551="",E551="",L551="",K551=""),1,0)</f>
        <v/>
      </c>
      <c r="U551" s="67">
        <f>IFERROR(INDEX(tt_Dir,MATCH(D551,tt_Type,0)),"")</f>
        <v/>
      </c>
      <c r="V551" s="67">
        <f>IF(D551="","",IFERROR(IF(INDEX(tt_Other,MATCH(D551,tt_Type,0))="",E551&amp;"",INDEX(tt_Other,MATCH(D551,tt_Type,0))),""))</f>
        <v/>
      </c>
      <c r="W551" s="68">
        <f>IF(OR(TaxOn&lt;&gt;"Yes",NOT(ISNUMBER(M551))),0,IF(IFERROR(INDEX(tt_Tax,MATCH(D551,tt_Type,0)),"No")="Yes",M551,0))</f>
        <v/>
      </c>
      <c r="X551" s="67">
        <f>IF(T551=1,"",IF(C551="","Missing transaction date",IF(NOT(ISNUMBER(C551)),"Invalid date",IF(OR(C551&lt;DATE(2000,1,1),C551&gt;DATE(2099,12,31)),"Invalid date",IF(D551="","Select a type",IF(U551="","Unknown type: "&amp;D551,IF(V551="","Select an account (Category)",IF(ISNA(MATCH(V551,coa_Name,0)),"Unknown account: "&amp;V551,IF(K551="","Select Paid From / Deposited To",IF(ISNA(MATCH(K551,coa_Name,0)),"Unknown account: "&amp;K551,IF(NOT(ISNUMBER(L551)),"Enter an amount",IF(L551=0,"Enter an amount",IF(ABS(W551)&gt;ABS(L551),"Tax is larger than the amount","")))))))))))))</f>
        <v/>
      </c>
      <c r="Y551" s="67">
        <f>IF(OR(T551=1,X551&lt;&gt;""),"",IF(AND(B551&lt;&gt;"",COUNTIF(tx_ID,B551)&gt;1),"Duplicate transaction ID",IF(AND(L551&lt;0,D551&lt;&gt;"Adjustment"),"Negative amount — check this entry",IF(AND(D551="Customer Payment",G551=""),"Add the customer",IF(AND(D551="Customer Payment",OR(J551="",COUNTIF(ar_No,J551&amp;"")=0)),"Invoice # in Reference not found on AR sheet",IF(AND(D551="Bill Payment",H551=""),"Add the vendor",IF(AND(D551="Bill Payment",OR(J551="",COUNTIFS(ap_No,J551&amp;"",ap_Party,H551&amp;"")=0)),"Bill # + vendor not found on AP sheet",IF(AND(ISNUMBER(M551),N(M551)&lt;&gt;0,W551=0),"Tax ignored (tax tracking off, or not allowed for this type)",IF(V551=K551&amp;"","Same account on both sides",IF(AND(ISNUMBER(StartDate),C551&lt;StartDate),"Date is before the accounting start date",IF(AND(D551&lt;&gt;"Adjustment",IFERROR(INDEX(coa_Pay,MATCH(K551&amp;"",coa_Name,0)),"")&lt;&gt;"Yes"),"Paid From / Deposited To is not a payment account","")))))))))))</f>
        <v/>
      </c>
      <c r="Z551" s="67">
        <f>IF(AND(T551=0,X551=""),1,0)</f>
        <v/>
      </c>
      <c r="AA551" s="68">
        <f>IF(Z551=1,IF(U551="In",L551,L551-W551),0)</f>
        <v/>
      </c>
      <c r="AB551" s="68">
        <f>IF(Z551=1,IF(U551="In",L551-W551,L551),0)</f>
        <v/>
      </c>
      <c r="AC551" s="68">
        <f>IF(AND(Z551=1,U551="Out"),W551,0)</f>
        <v/>
      </c>
      <c r="AD551" s="68">
        <f>IF(AND(Z551=1,U551="In"),W551,0)</f>
        <v/>
      </c>
    </row>
    <row r="552">
      <c r="B552" s="62" t="inlineStr">
        <is>
          <t>TX-0546</t>
        </is>
      </c>
      <c r="C552" s="63" t="n"/>
      <c r="D552" s="62" t="n"/>
      <c r="E552" s="62" t="n"/>
      <c r="F552" s="62" t="n"/>
      <c r="G552" s="62" t="n"/>
      <c r="H552" s="62" t="n"/>
      <c r="I552" s="62" t="n"/>
      <c r="J552" s="62" t="n"/>
      <c r="K552" s="62" t="n"/>
      <c r="L552" s="64" t="n"/>
      <c r="M552" s="64" t="n"/>
      <c r="N552" s="62" t="n"/>
      <c r="O552" s="65">
        <f>IF(Z552=1,L552-W552,"")</f>
        <v/>
      </c>
      <c r="P552" s="66">
        <f>IF(V552="","",IFERROR(INDEX(coa_Type,MATCH(V552,coa_Name,0)),""))</f>
        <v/>
      </c>
      <c r="Q552" s="66">
        <f>IF(Z552=1,IF(U552="In",K552&amp;"",V552),"")</f>
        <v/>
      </c>
      <c r="R552" s="66">
        <f>IF(Z552=1,IF(U552="In",V552,K552&amp;""),"")</f>
        <v/>
      </c>
      <c r="S552" s="66">
        <f>IF(X552&lt;&gt;"","⛔ "&amp;X552&amp;" — not posted",IF(Y552&lt;&gt;"","⚠ "&amp;Y552,IF(Z552=1,"✓ OK","")))</f>
        <v/>
      </c>
      <c r="T552" s="67">
        <f>IF(AND(C552="",D552="",E552="",L552="",K552=""),1,0)</f>
        <v/>
      </c>
      <c r="U552" s="67">
        <f>IFERROR(INDEX(tt_Dir,MATCH(D552,tt_Type,0)),"")</f>
        <v/>
      </c>
      <c r="V552" s="67">
        <f>IF(D552="","",IFERROR(IF(INDEX(tt_Other,MATCH(D552,tt_Type,0))="",E552&amp;"",INDEX(tt_Other,MATCH(D552,tt_Type,0))),""))</f>
        <v/>
      </c>
      <c r="W552" s="68">
        <f>IF(OR(TaxOn&lt;&gt;"Yes",NOT(ISNUMBER(M552))),0,IF(IFERROR(INDEX(tt_Tax,MATCH(D552,tt_Type,0)),"No")="Yes",M552,0))</f>
        <v/>
      </c>
      <c r="X552" s="67">
        <f>IF(T552=1,"",IF(C552="","Missing transaction date",IF(NOT(ISNUMBER(C552)),"Invalid date",IF(OR(C552&lt;DATE(2000,1,1),C552&gt;DATE(2099,12,31)),"Invalid date",IF(D552="","Select a type",IF(U552="","Unknown type: "&amp;D552,IF(V552="","Select an account (Category)",IF(ISNA(MATCH(V552,coa_Name,0)),"Unknown account: "&amp;V552,IF(K552="","Select Paid From / Deposited To",IF(ISNA(MATCH(K552,coa_Name,0)),"Unknown account: "&amp;K552,IF(NOT(ISNUMBER(L552)),"Enter an amount",IF(L552=0,"Enter an amount",IF(ABS(W552)&gt;ABS(L552),"Tax is larger than the amount","")))))))))))))</f>
        <v/>
      </c>
      <c r="Y552" s="67">
        <f>IF(OR(T552=1,X552&lt;&gt;""),"",IF(AND(B552&lt;&gt;"",COUNTIF(tx_ID,B552)&gt;1),"Duplicate transaction ID",IF(AND(L552&lt;0,D552&lt;&gt;"Adjustment"),"Negative amount — check this entry",IF(AND(D552="Customer Payment",G552=""),"Add the customer",IF(AND(D552="Customer Payment",OR(J552="",COUNTIF(ar_No,J552&amp;"")=0)),"Invoice # in Reference not found on AR sheet",IF(AND(D552="Bill Payment",H552=""),"Add the vendor",IF(AND(D552="Bill Payment",OR(J552="",COUNTIFS(ap_No,J552&amp;"",ap_Party,H552&amp;"")=0)),"Bill # + vendor not found on AP sheet",IF(AND(ISNUMBER(M552),N(M552)&lt;&gt;0,W552=0),"Tax ignored (tax tracking off, or not allowed for this type)",IF(V552=K552&amp;"","Same account on both sides",IF(AND(ISNUMBER(StartDate),C552&lt;StartDate),"Date is before the accounting start date",IF(AND(D552&lt;&gt;"Adjustment",IFERROR(INDEX(coa_Pay,MATCH(K552&amp;"",coa_Name,0)),"")&lt;&gt;"Yes"),"Paid From / Deposited To is not a payment account","")))))))))))</f>
        <v/>
      </c>
      <c r="Z552" s="67">
        <f>IF(AND(T552=0,X552=""),1,0)</f>
        <v/>
      </c>
      <c r="AA552" s="68">
        <f>IF(Z552=1,IF(U552="In",L552,L552-W552),0)</f>
        <v/>
      </c>
      <c r="AB552" s="68">
        <f>IF(Z552=1,IF(U552="In",L552-W552,L552),0)</f>
        <v/>
      </c>
      <c r="AC552" s="68">
        <f>IF(AND(Z552=1,U552="Out"),W552,0)</f>
        <v/>
      </c>
      <c r="AD552" s="68">
        <f>IF(AND(Z552=1,U552="In"),W552,0)</f>
        <v/>
      </c>
    </row>
    <row r="553">
      <c r="B553" s="62" t="inlineStr">
        <is>
          <t>TX-0547</t>
        </is>
      </c>
      <c r="C553" s="63" t="n"/>
      <c r="D553" s="62" t="n"/>
      <c r="E553" s="62" t="n"/>
      <c r="F553" s="62" t="n"/>
      <c r="G553" s="62" t="n"/>
      <c r="H553" s="62" t="n"/>
      <c r="I553" s="62" t="n"/>
      <c r="J553" s="62" t="n"/>
      <c r="K553" s="62" t="n"/>
      <c r="L553" s="64" t="n"/>
      <c r="M553" s="64" t="n"/>
      <c r="N553" s="62" t="n"/>
      <c r="O553" s="65">
        <f>IF(Z553=1,L553-W553,"")</f>
        <v/>
      </c>
      <c r="P553" s="66">
        <f>IF(V553="","",IFERROR(INDEX(coa_Type,MATCH(V553,coa_Name,0)),""))</f>
        <v/>
      </c>
      <c r="Q553" s="66">
        <f>IF(Z553=1,IF(U553="In",K553&amp;"",V553),"")</f>
        <v/>
      </c>
      <c r="R553" s="66">
        <f>IF(Z553=1,IF(U553="In",V553,K553&amp;""),"")</f>
        <v/>
      </c>
      <c r="S553" s="66">
        <f>IF(X553&lt;&gt;"","⛔ "&amp;X553&amp;" — not posted",IF(Y553&lt;&gt;"","⚠ "&amp;Y553,IF(Z553=1,"✓ OK","")))</f>
        <v/>
      </c>
      <c r="T553" s="67">
        <f>IF(AND(C553="",D553="",E553="",L553="",K553=""),1,0)</f>
        <v/>
      </c>
      <c r="U553" s="67">
        <f>IFERROR(INDEX(tt_Dir,MATCH(D553,tt_Type,0)),"")</f>
        <v/>
      </c>
      <c r="V553" s="67">
        <f>IF(D553="","",IFERROR(IF(INDEX(tt_Other,MATCH(D553,tt_Type,0))="",E553&amp;"",INDEX(tt_Other,MATCH(D553,tt_Type,0))),""))</f>
        <v/>
      </c>
      <c r="W553" s="68">
        <f>IF(OR(TaxOn&lt;&gt;"Yes",NOT(ISNUMBER(M553))),0,IF(IFERROR(INDEX(tt_Tax,MATCH(D553,tt_Type,0)),"No")="Yes",M553,0))</f>
        <v/>
      </c>
      <c r="X553" s="67">
        <f>IF(T553=1,"",IF(C553="","Missing transaction date",IF(NOT(ISNUMBER(C553)),"Invalid date",IF(OR(C553&lt;DATE(2000,1,1),C553&gt;DATE(2099,12,31)),"Invalid date",IF(D553="","Select a type",IF(U553="","Unknown type: "&amp;D553,IF(V553="","Select an account (Category)",IF(ISNA(MATCH(V553,coa_Name,0)),"Unknown account: "&amp;V553,IF(K553="","Select Paid From / Deposited To",IF(ISNA(MATCH(K553,coa_Name,0)),"Unknown account: "&amp;K553,IF(NOT(ISNUMBER(L553)),"Enter an amount",IF(L553=0,"Enter an amount",IF(ABS(W553)&gt;ABS(L553),"Tax is larger than the amount","")))))))))))))</f>
        <v/>
      </c>
      <c r="Y553" s="67">
        <f>IF(OR(T553=1,X553&lt;&gt;""),"",IF(AND(B553&lt;&gt;"",COUNTIF(tx_ID,B553)&gt;1),"Duplicate transaction ID",IF(AND(L553&lt;0,D553&lt;&gt;"Adjustment"),"Negative amount — check this entry",IF(AND(D553="Customer Payment",G553=""),"Add the customer",IF(AND(D553="Customer Payment",OR(J553="",COUNTIF(ar_No,J553&amp;"")=0)),"Invoice # in Reference not found on AR sheet",IF(AND(D553="Bill Payment",H553=""),"Add the vendor",IF(AND(D553="Bill Payment",OR(J553="",COUNTIFS(ap_No,J553&amp;"",ap_Party,H553&amp;"")=0)),"Bill # + vendor not found on AP sheet",IF(AND(ISNUMBER(M553),N(M553)&lt;&gt;0,W553=0),"Tax ignored (tax tracking off, or not allowed for this type)",IF(V553=K553&amp;"","Same account on both sides",IF(AND(ISNUMBER(StartDate),C553&lt;StartDate),"Date is before the accounting start date",IF(AND(D553&lt;&gt;"Adjustment",IFERROR(INDEX(coa_Pay,MATCH(K553&amp;"",coa_Name,0)),"")&lt;&gt;"Yes"),"Paid From / Deposited To is not a payment account","")))))))))))</f>
        <v/>
      </c>
      <c r="Z553" s="67">
        <f>IF(AND(T553=0,X553=""),1,0)</f>
        <v/>
      </c>
      <c r="AA553" s="68">
        <f>IF(Z553=1,IF(U553="In",L553,L553-W553),0)</f>
        <v/>
      </c>
      <c r="AB553" s="68">
        <f>IF(Z553=1,IF(U553="In",L553-W553,L553),0)</f>
        <v/>
      </c>
      <c r="AC553" s="68">
        <f>IF(AND(Z553=1,U553="Out"),W553,0)</f>
        <v/>
      </c>
      <c r="AD553" s="68">
        <f>IF(AND(Z553=1,U553="In"),W553,0)</f>
        <v/>
      </c>
    </row>
    <row r="554">
      <c r="B554" s="62" t="inlineStr">
        <is>
          <t>TX-0548</t>
        </is>
      </c>
      <c r="C554" s="63" t="n"/>
      <c r="D554" s="62" t="n"/>
      <c r="E554" s="62" t="n"/>
      <c r="F554" s="62" t="n"/>
      <c r="G554" s="62" t="n"/>
      <c r="H554" s="62" t="n"/>
      <c r="I554" s="62" t="n"/>
      <c r="J554" s="62" t="n"/>
      <c r="K554" s="62" t="n"/>
      <c r="L554" s="64" t="n"/>
      <c r="M554" s="64" t="n"/>
      <c r="N554" s="62" t="n"/>
      <c r="O554" s="65">
        <f>IF(Z554=1,L554-W554,"")</f>
        <v/>
      </c>
      <c r="P554" s="66">
        <f>IF(V554="","",IFERROR(INDEX(coa_Type,MATCH(V554,coa_Name,0)),""))</f>
        <v/>
      </c>
      <c r="Q554" s="66">
        <f>IF(Z554=1,IF(U554="In",K554&amp;"",V554),"")</f>
        <v/>
      </c>
      <c r="R554" s="66">
        <f>IF(Z554=1,IF(U554="In",V554,K554&amp;""),"")</f>
        <v/>
      </c>
      <c r="S554" s="66">
        <f>IF(X554&lt;&gt;"","⛔ "&amp;X554&amp;" — not posted",IF(Y554&lt;&gt;"","⚠ "&amp;Y554,IF(Z554=1,"✓ OK","")))</f>
        <v/>
      </c>
      <c r="T554" s="67">
        <f>IF(AND(C554="",D554="",E554="",L554="",K554=""),1,0)</f>
        <v/>
      </c>
      <c r="U554" s="67">
        <f>IFERROR(INDEX(tt_Dir,MATCH(D554,tt_Type,0)),"")</f>
        <v/>
      </c>
      <c r="V554" s="67">
        <f>IF(D554="","",IFERROR(IF(INDEX(tt_Other,MATCH(D554,tt_Type,0))="",E554&amp;"",INDEX(tt_Other,MATCH(D554,tt_Type,0))),""))</f>
        <v/>
      </c>
      <c r="W554" s="68">
        <f>IF(OR(TaxOn&lt;&gt;"Yes",NOT(ISNUMBER(M554))),0,IF(IFERROR(INDEX(tt_Tax,MATCH(D554,tt_Type,0)),"No")="Yes",M554,0))</f>
        <v/>
      </c>
      <c r="X554" s="67">
        <f>IF(T554=1,"",IF(C554="","Missing transaction date",IF(NOT(ISNUMBER(C554)),"Invalid date",IF(OR(C554&lt;DATE(2000,1,1),C554&gt;DATE(2099,12,31)),"Invalid date",IF(D554="","Select a type",IF(U554="","Unknown type: "&amp;D554,IF(V554="","Select an account (Category)",IF(ISNA(MATCH(V554,coa_Name,0)),"Unknown account: "&amp;V554,IF(K554="","Select Paid From / Deposited To",IF(ISNA(MATCH(K554,coa_Name,0)),"Unknown account: "&amp;K554,IF(NOT(ISNUMBER(L554)),"Enter an amount",IF(L554=0,"Enter an amount",IF(ABS(W554)&gt;ABS(L554),"Tax is larger than the amount","")))))))))))))</f>
        <v/>
      </c>
      <c r="Y554" s="67">
        <f>IF(OR(T554=1,X554&lt;&gt;""),"",IF(AND(B554&lt;&gt;"",COUNTIF(tx_ID,B554)&gt;1),"Duplicate transaction ID",IF(AND(L554&lt;0,D554&lt;&gt;"Adjustment"),"Negative amount — check this entry",IF(AND(D554="Customer Payment",G554=""),"Add the customer",IF(AND(D554="Customer Payment",OR(J554="",COUNTIF(ar_No,J554&amp;"")=0)),"Invoice # in Reference not found on AR sheet",IF(AND(D554="Bill Payment",H554=""),"Add the vendor",IF(AND(D554="Bill Payment",OR(J554="",COUNTIFS(ap_No,J554&amp;"",ap_Party,H554&amp;"")=0)),"Bill # + vendor not found on AP sheet",IF(AND(ISNUMBER(M554),N(M554)&lt;&gt;0,W554=0),"Tax ignored (tax tracking off, or not allowed for this type)",IF(V554=K554&amp;"","Same account on both sides",IF(AND(ISNUMBER(StartDate),C554&lt;StartDate),"Date is before the accounting start date",IF(AND(D554&lt;&gt;"Adjustment",IFERROR(INDEX(coa_Pay,MATCH(K554&amp;"",coa_Name,0)),"")&lt;&gt;"Yes"),"Paid From / Deposited To is not a payment account","")))))))))))</f>
        <v/>
      </c>
      <c r="Z554" s="67">
        <f>IF(AND(T554=0,X554=""),1,0)</f>
        <v/>
      </c>
      <c r="AA554" s="68">
        <f>IF(Z554=1,IF(U554="In",L554,L554-W554),0)</f>
        <v/>
      </c>
      <c r="AB554" s="68">
        <f>IF(Z554=1,IF(U554="In",L554-W554,L554),0)</f>
        <v/>
      </c>
      <c r="AC554" s="68">
        <f>IF(AND(Z554=1,U554="Out"),W554,0)</f>
        <v/>
      </c>
      <c r="AD554" s="68">
        <f>IF(AND(Z554=1,U554="In"),W554,0)</f>
        <v/>
      </c>
    </row>
    <row r="555">
      <c r="B555" s="62" t="inlineStr">
        <is>
          <t>TX-0549</t>
        </is>
      </c>
      <c r="C555" s="63" t="n"/>
      <c r="D555" s="62" t="n"/>
      <c r="E555" s="62" t="n"/>
      <c r="F555" s="62" t="n"/>
      <c r="G555" s="62" t="n"/>
      <c r="H555" s="62" t="n"/>
      <c r="I555" s="62" t="n"/>
      <c r="J555" s="62" t="n"/>
      <c r="K555" s="62" t="n"/>
      <c r="L555" s="64" t="n"/>
      <c r="M555" s="64" t="n"/>
      <c r="N555" s="62" t="n"/>
      <c r="O555" s="65">
        <f>IF(Z555=1,L555-W555,"")</f>
        <v/>
      </c>
      <c r="P555" s="66">
        <f>IF(V555="","",IFERROR(INDEX(coa_Type,MATCH(V555,coa_Name,0)),""))</f>
        <v/>
      </c>
      <c r="Q555" s="66">
        <f>IF(Z555=1,IF(U555="In",K555&amp;"",V555),"")</f>
        <v/>
      </c>
      <c r="R555" s="66">
        <f>IF(Z555=1,IF(U555="In",V555,K555&amp;""),"")</f>
        <v/>
      </c>
      <c r="S555" s="66">
        <f>IF(X555&lt;&gt;"","⛔ "&amp;X555&amp;" — not posted",IF(Y555&lt;&gt;"","⚠ "&amp;Y555,IF(Z555=1,"✓ OK","")))</f>
        <v/>
      </c>
      <c r="T555" s="67">
        <f>IF(AND(C555="",D555="",E555="",L555="",K555=""),1,0)</f>
        <v/>
      </c>
      <c r="U555" s="67">
        <f>IFERROR(INDEX(tt_Dir,MATCH(D555,tt_Type,0)),"")</f>
        <v/>
      </c>
      <c r="V555" s="67">
        <f>IF(D555="","",IFERROR(IF(INDEX(tt_Other,MATCH(D555,tt_Type,0))="",E555&amp;"",INDEX(tt_Other,MATCH(D555,tt_Type,0))),""))</f>
        <v/>
      </c>
      <c r="W555" s="68">
        <f>IF(OR(TaxOn&lt;&gt;"Yes",NOT(ISNUMBER(M555))),0,IF(IFERROR(INDEX(tt_Tax,MATCH(D555,tt_Type,0)),"No")="Yes",M555,0))</f>
        <v/>
      </c>
      <c r="X555" s="67">
        <f>IF(T555=1,"",IF(C555="","Missing transaction date",IF(NOT(ISNUMBER(C555)),"Invalid date",IF(OR(C555&lt;DATE(2000,1,1),C555&gt;DATE(2099,12,31)),"Invalid date",IF(D555="","Select a type",IF(U555="","Unknown type: "&amp;D555,IF(V555="","Select an account (Category)",IF(ISNA(MATCH(V555,coa_Name,0)),"Unknown account: "&amp;V555,IF(K555="","Select Paid From / Deposited To",IF(ISNA(MATCH(K555,coa_Name,0)),"Unknown account: "&amp;K555,IF(NOT(ISNUMBER(L555)),"Enter an amount",IF(L555=0,"Enter an amount",IF(ABS(W555)&gt;ABS(L555),"Tax is larger than the amount","")))))))))))))</f>
        <v/>
      </c>
      <c r="Y555" s="67">
        <f>IF(OR(T555=1,X555&lt;&gt;""),"",IF(AND(B555&lt;&gt;"",COUNTIF(tx_ID,B555)&gt;1),"Duplicate transaction ID",IF(AND(L555&lt;0,D555&lt;&gt;"Adjustment"),"Negative amount — check this entry",IF(AND(D555="Customer Payment",G555=""),"Add the customer",IF(AND(D555="Customer Payment",OR(J555="",COUNTIF(ar_No,J555&amp;"")=0)),"Invoice # in Reference not found on AR sheet",IF(AND(D555="Bill Payment",H555=""),"Add the vendor",IF(AND(D555="Bill Payment",OR(J555="",COUNTIFS(ap_No,J555&amp;"",ap_Party,H555&amp;"")=0)),"Bill # + vendor not found on AP sheet",IF(AND(ISNUMBER(M555),N(M555)&lt;&gt;0,W555=0),"Tax ignored (tax tracking off, or not allowed for this type)",IF(V555=K555&amp;"","Same account on both sides",IF(AND(ISNUMBER(StartDate),C555&lt;StartDate),"Date is before the accounting start date",IF(AND(D555&lt;&gt;"Adjustment",IFERROR(INDEX(coa_Pay,MATCH(K555&amp;"",coa_Name,0)),"")&lt;&gt;"Yes"),"Paid From / Deposited To is not a payment account","")))))))))))</f>
        <v/>
      </c>
      <c r="Z555" s="67">
        <f>IF(AND(T555=0,X555=""),1,0)</f>
        <v/>
      </c>
      <c r="AA555" s="68">
        <f>IF(Z555=1,IF(U555="In",L555,L555-W555),0)</f>
        <v/>
      </c>
      <c r="AB555" s="68">
        <f>IF(Z555=1,IF(U555="In",L555-W555,L555),0)</f>
        <v/>
      </c>
      <c r="AC555" s="68">
        <f>IF(AND(Z555=1,U555="Out"),W555,0)</f>
        <v/>
      </c>
      <c r="AD555" s="68">
        <f>IF(AND(Z555=1,U555="In"),W555,0)</f>
        <v/>
      </c>
    </row>
    <row r="556">
      <c r="B556" s="62" t="inlineStr">
        <is>
          <t>TX-0550</t>
        </is>
      </c>
      <c r="C556" s="63" t="n"/>
      <c r="D556" s="62" t="n"/>
      <c r="E556" s="62" t="n"/>
      <c r="F556" s="62" t="n"/>
      <c r="G556" s="62" t="n"/>
      <c r="H556" s="62" t="n"/>
      <c r="I556" s="62" t="n"/>
      <c r="J556" s="62" t="n"/>
      <c r="K556" s="62" t="n"/>
      <c r="L556" s="64" t="n"/>
      <c r="M556" s="64" t="n"/>
      <c r="N556" s="62" t="n"/>
      <c r="O556" s="65">
        <f>IF(Z556=1,L556-W556,"")</f>
        <v/>
      </c>
      <c r="P556" s="66">
        <f>IF(V556="","",IFERROR(INDEX(coa_Type,MATCH(V556,coa_Name,0)),""))</f>
        <v/>
      </c>
      <c r="Q556" s="66">
        <f>IF(Z556=1,IF(U556="In",K556&amp;"",V556),"")</f>
        <v/>
      </c>
      <c r="R556" s="66">
        <f>IF(Z556=1,IF(U556="In",V556,K556&amp;""),"")</f>
        <v/>
      </c>
      <c r="S556" s="66">
        <f>IF(X556&lt;&gt;"","⛔ "&amp;X556&amp;" — not posted",IF(Y556&lt;&gt;"","⚠ "&amp;Y556,IF(Z556=1,"✓ OK","")))</f>
        <v/>
      </c>
      <c r="T556" s="67">
        <f>IF(AND(C556="",D556="",E556="",L556="",K556=""),1,0)</f>
        <v/>
      </c>
      <c r="U556" s="67">
        <f>IFERROR(INDEX(tt_Dir,MATCH(D556,tt_Type,0)),"")</f>
        <v/>
      </c>
      <c r="V556" s="67">
        <f>IF(D556="","",IFERROR(IF(INDEX(tt_Other,MATCH(D556,tt_Type,0))="",E556&amp;"",INDEX(tt_Other,MATCH(D556,tt_Type,0))),""))</f>
        <v/>
      </c>
      <c r="W556" s="68">
        <f>IF(OR(TaxOn&lt;&gt;"Yes",NOT(ISNUMBER(M556))),0,IF(IFERROR(INDEX(tt_Tax,MATCH(D556,tt_Type,0)),"No")="Yes",M556,0))</f>
        <v/>
      </c>
      <c r="X556" s="67">
        <f>IF(T556=1,"",IF(C556="","Missing transaction date",IF(NOT(ISNUMBER(C556)),"Invalid date",IF(OR(C556&lt;DATE(2000,1,1),C556&gt;DATE(2099,12,31)),"Invalid date",IF(D556="","Select a type",IF(U556="","Unknown type: "&amp;D556,IF(V556="","Select an account (Category)",IF(ISNA(MATCH(V556,coa_Name,0)),"Unknown account: "&amp;V556,IF(K556="","Select Paid From / Deposited To",IF(ISNA(MATCH(K556,coa_Name,0)),"Unknown account: "&amp;K556,IF(NOT(ISNUMBER(L556)),"Enter an amount",IF(L556=0,"Enter an amount",IF(ABS(W556)&gt;ABS(L556),"Tax is larger than the amount","")))))))))))))</f>
        <v/>
      </c>
      <c r="Y556" s="67">
        <f>IF(OR(T556=1,X556&lt;&gt;""),"",IF(AND(B556&lt;&gt;"",COUNTIF(tx_ID,B556)&gt;1),"Duplicate transaction ID",IF(AND(L556&lt;0,D556&lt;&gt;"Adjustment"),"Negative amount — check this entry",IF(AND(D556="Customer Payment",G556=""),"Add the customer",IF(AND(D556="Customer Payment",OR(J556="",COUNTIF(ar_No,J556&amp;"")=0)),"Invoice # in Reference not found on AR sheet",IF(AND(D556="Bill Payment",H556=""),"Add the vendor",IF(AND(D556="Bill Payment",OR(J556="",COUNTIFS(ap_No,J556&amp;"",ap_Party,H556&amp;"")=0)),"Bill # + vendor not found on AP sheet",IF(AND(ISNUMBER(M556),N(M556)&lt;&gt;0,W556=0),"Tax ignored (tax tracking off, or not allowed for this type)",IF(V556=K556&amp;"","Same account on both sides",IF(AND(ISNUMBER(StartDate),C556&lt;StartDate),"Date is before the accounting start date",IF(AND(D556&lt;&gt;"Adjustment",IFERROR(INDEX(coa_Pay,MATCH(K556&amp;"",coa_Name,0)),"")&lt;&gt;"Yes"),"Paid From / Deposited To is not a payment account","")))))))))))</f>
        <v/>
      </c>
      <c r="Z556" s="67">
        <f>IF(AND(T556=0,X556=""),1,0)</f>
        <v/>
      </c>
      <c r="AA556" s="68">
        <f>IF(Z556=1,IF(U556="In",L556,L556-W556),0)</f>
        <v/>
      </c>
      <c r="AB556" s="68">
        <f>IF(Z556=1,IF(U556="In",L556-W556,L556),0)</f>
        <v/>
      </c>
      <c r="AC556" s="68">
        <f>IF(AND(Z556=1,U556="Out"),W556,0)</f>
        <v/>
      </c>
      <c r="AD556" s="68">
        <f>IF(AND(Z556=1,U556="In"),W556,0)</f>
        <v/>
      </c>
    </row>
    <row r="557">
      <c r="B557" s="62" t="inlineStr">
        <is>
          <t>TX-0551</t>
        </is>
      </c>
      <c r="C557" s="63" t="n"/>
      <c r="D557" s="62" t="n"/>
      <c r="E557" s="62" t="n"/>
      <c r="F557" s="62" t="n"/>
      <c r="G557" s="62" t="n"/>
      <c r="H557" s="62" t="n"/>
      <c r="I557" s="62" t="n"/>
      <c r="J557" s="62" t="n"/>
      <c r="K557" s="62" t="n"/>
      <c r="L557" s="64" t="n"/>
      <c r="M557" s="64" t="n"/>
      <c r="N557" s="62" t="n"/>
      <c r="O557" s="65">
        <f>IF(Z557=1,L557-W557,"")</f>
        <v/>
      </c>
      <c r="P557" s="66">
        <f>IF(V557="","",IFERROR(INDEX(coa_Type,MATCH(V557,coa_Name,0)),""))</f>
        <v/>
      </c>
      <c r="Q557" s="66">
        <f>IF(Z557=1,IF(U557="In",K557&amp;"",V557),"")</f>
        <v/>
      </c>
      <c r="R557" s="66">
        <f>IF(Z557=1,IF(U557="In",V557,K557&amp;""),"")</f>
        <v/>
      </c>
      <c r="S557" s="66">
        <f>IF(X557&lt;&gt;"","⛔ "&amp;X557&amp;" — not posted",IF(Y557&lt;&gt;"","⚠ "&amp;Y557,IF(Z557=1,"✓ OK","")))</f>
        <v/>
      </c>
      <c r="T557" s="67">
        <f>IF(AND(C557="",D557="",E557="",L557="",K557=""),1,0)</f>
        <v/>
      </c>
      <c r="U557" s="67">
        <f>IFERROR(INDEX(tt_Dir,MATCH(D557,tt_Type,0)),"")</f>
        <v/>
      </c>
      <c r="V557" s="67">
        <f>IF(D557="","",IFERROR(IF(INDEX(tt_Other,MATCH(D557,tt_Type,0))="",E557&amp;"",INDEX(tt_Other,MATCH(D557,tt_Type,0))),""))</f>
        <v/>
      </c>
      <c r="W557" s="68">
        <f>IF(OR(TaxOn&lt;&gt;"Yes",NOT(ISNUMBER(M557))),0,IF(IFERROR(INDEX(tt_Tax,MATCH(D557,tt_Type,0)),"No")="Yes",M557,0))</f>
        <v/>
      </c>
      <c r="X557" s="67">
        <f>IF(T557=1,"",IF(C557="","Missing transaction date",IF(NOT(ISNUMBER(C557)),"Invalid date",IF(OR(C557&lt;DATE(2000,1,1),C557&gt;DATE(2099,12,31)),"Invalid date",IF(D557="","Select a type",IF(U557="","Unknown type: "&amp;D557,IF(V557="","Select an account (Category)",IF(ISNA(MATCH(V557,coa_Name,0)),"Unknown account: "&amp;V557,IF(K557="","Select Paid From / Deposited To",IF(ISNA(MATCH(K557,coa_Name,0)),"Unknown account: "&amp;K557,IF(NOT(ISNUMBER(L557)),"Enter an amount",IF(L557=0,"Enter an amount",IF(ABS(W557)&gt;ABS(L557),"Tax is larger than the amount","")))))))))))))</f>
        <v/>
      </c>
      <c r="Y557" s="67">
        <f>IF(OR(T557=1,X557&lt;&gt;""),"",IF(AND(B557&lt;&gt;"",COUNTIF(tx_ID,B557)&gt;1),"Duplicate transaction ID",IF(AND(L557&lt;0,D557&lt;&gt;"Adjustment"),"Negative amount — check this entry",IF(AND(D557="Customer Payment",G557=""),"Add the customer",IF(AND(D557="Customer Payment",OR(J557="",COUNTIF(ar_No,J557&amp;"")=0)),"Invoice # in Reference not found on AR sheet",IF(AND(D557="Bill Payment",H557=""),"Add the vendor",IF(AND(D557="Bill Payment",OR(J557="",COUNTIFS(ap_No,J557&amp;"",ap_Party,H557&amp;"")=0)),"Bill # + vendor not found on AP sheet",IF(AND(ISNUMBER(M557),N(M557)&lt;&gt;0,W557=0),"Tax ignored (tax tracking off, or not allowed for this type)",IF(V557=K557&amp;"","Same account on both sides",IF(AND(ISNUMBER(StartDate),C557&lt;StartDate),"Date is before the accounting start date",IF(AND(D557&lt;&gt;"Adjustment",IFERROR(INDEX(coa_Pay,MATCH(K557&amp;"",coa_Name,0)),"")&lt;&gt;"Yes"),"Paid From / Deposited To is not a payment account","")))))))))))</f>
        <v/>
      </c>
      <c r="Z557" s="67">
        <f>IF(AND(T557=0,X557=""),1,0)</f>
        <v/>
      </c>
      <c r="AA557" s="68">
        <f>IF(Z557=1,IF(U557="In",L557,L557-W557),0)</f>
        <v/>
      </c>
      <c r="AB557" s="68">
        <f>IF(Z557=1,IF(U557="In",L557-W557,L557),0)</f>
        <v/>
      </c>
      <c r="AC557" s="68">
        <f>IF(AND(Z557=1,U557="Out"),W557,0)</f>
        <v/>
      </c>
      <c r="AD557" s="68">
        <f>IF(AND(Z557=1,U557="In"),W557,0)</f>
        <v/>
      </c>
    </row>
    <row r="558">
      <c r="B558" s="62" t="inlineStr">
        <is>
          <t>TX-0552</t>
        </is>
      </c>
      <c r="C558" s="63" t="n"/>
      <c r="D558" s="62" t="n"/>
      <c r="E558" s="62" t="n"/>
      <c r="F558" s="62" t="n"/>
      <c r="G558" s="62" t="n"/>
      <c r="H558" s="62" t="n"/>
      <c r="I558" s="62" t="n"/>
      <c r="J558" s="62" t="n"/>
      <c r="K558" s="62" t="n"/>
      <c r="L558" s="64" t="n"/>
      <c r="M558" s="64" t="n"/>
      <c r="N558" s="62" t="n"/>
      <c r="O558" s="65">
        <f>IF(Z558=1,L558-W558,"")</f>
        <v/>
      </c>
      <c r="P558" s="66">
        <f>IF(V558="","",IFERROR(INDEX(coa_Type,MATCH(V558,coa_Name,0)),""))</f>
        <v/>
      </c>
      <c r="Q558" s="66">
        <f>IF(Z558=1,IF(U558="In",K558&amp;"",V558),"")</f>
        <v/>
      </c>
      <c r="R558" s="66">
        <f>IF(Z558=1,IF(U558="In",V558,K558&amp;""),"")</f>
        <v/>
      </c>
      <c r="S558" s="66">
        <f>IF(X558&lt;&gt;"","⛔ "&amp;X558&amp;" — not posted",IF(Y558&lt;&gt;"","⚠ "&amp;Y558,IF(Z558=1,"✓ OK","")))</f>
        <v/>
      </c>
      <c r="T558" s="67">
        <f>IF(AND(C558="",D558="",E558="",L558="",K558=""),1,0)</f>
        <v/>
      </c>
      <c r="U558" s="67">
        <f>IFERROR(INDEX(tt_Dir,MATCH(D558,tt_Type,0)),"")</f>
        <v/>
      </c>
      <c r="V558" s="67">
        <f>IF(D558="","",IFERROR(IF(INDEX(tt_Other,MATCH(D558,tt_Type,0))="",E558&amp;"",INDEX(tt_Other,MATCH(D558,tt_Type,0))),""))</f>
        <v/>
      </c>
      <c r="W558" s="68">
        <f>IF(OR(TaxOn&lt;&gt;"Yes",NOT(ISNUMBER(M558))),0,IF(IFERROR(INDEX(tt_Tax,MATCH(D558,tt_Type,0)),"No")="Yes",M558,0))</f>
        <v/>
      </c>
      <c r="X558" s="67">
        <f>IF(T558=1,"",IF(C558="","Missing transaction date",IF(NOT(ISNUMBER(C558)),"Invalid date",IF(OR(C558&lt;DATE(2000,1,1),C558&gt;DATE(2099,12,31)),"Invalid date",IF(D558="","Select a type",IF(U558="","Unknown type: "&amp;D558,IF(V558="","Select an account (Category)",IF(ISNA(MATCH(V558,coa_Name,0)),"Unknown account: "&amp;V558,IF(K558="","Select Paid From / Deposited To",IF(ISNA(MATCH(K558,coa_Name,0)),"Unknown account: "&amp;K558,IF(NOT(ISNUMBER(L558)),"Enter an amount",IF(L558=0,"Enter an amount",IF(ABS(W558)&gt;ABS(L558),"Tax is larger than the amount","")))))))))))))</f>
        <v/>
      </c>
      <c r="Y558" s="67">
        <f>IF(OR(T558=1,X558&lt;&gt;""),"",IF(AND(B558&lt;&gt;"",COUNTIF(tx_ID,B558)&gt;1),"Duplicate transaction ID",IF(AND(L558&lt;0,D558&lt;&gt;"Adjustment"),"Negative amount — check this entry",IF(AND(D558="Customer Payment",G558=""),"Add the customer",IF(AND(D558="Customer Payment",OR(J558="",COUNTIF(ar_No,J558&amp;"")=0)),"Invoice # in Reference not found on AR sheet",IF(AND(D558="Bill Payment",H558=""),"Add the vendor",IF(AND(D558="Bill Payment",OR(J558="",COUNTIFS(ap_No,J558&amp;"",ap_Party,H558&amp;"")=0)),"Bill # + vendor not found on AP sheet",IF(AND(ISNUMBER(M558),N(M558)&lt;&gt;0,W558=0),"Tax ignored (tax tracking off, or not allowed for this type)",IF(V558=K558&amp;"","Same account on both sides",IF(AND(ISNUMBER(StartDate),C558&lt;StartDate),"Date is before the accounting start date",IF(AND(D558&lt;&gt;"Adjustment",IFERROR(INDEX(coa_Pay,MATCH(K558&amp;"",coa_Name,0)),"")&lt;&gt;"Yes"),"Paid From / Deposited To is not a payment account","")))))))))))</f>
        <v/>
      </c>
      <c r="Z558" s="67">
        <f>IF(AND(T558=0,X558=""),1,0)</f>
        <v/>
      </c>
      <c r="AA558" s="68">
        <f>IF(Z558=1,IF(U558="In",L558,L558-W558),0)</f>
        <v/>
      </c>
      <c r="AB558" s="68">
        <f>IF(Z558=1,IF(U558="In",L558-W558,L558),0)</f>
        <v/>
      </c>
      <c r="AC558" s="68">
        <f>IF(AND(Z558=1,U558="Out"),W558,0)</f>
        <v/>
      </c>
      <c r="AD558" s="68">
        <f>IF(AND(Z558=1,U558="In"),W558,0)</f>
        <v/>
      </c>
    </row>
    <row r="559">
      <c r="B559" s="62" t="inlineStr">
        <is>
          <t>TX-0553</t>
        </is>
      </c>
      <c r="C559" s="63" t="n"/>
      <c r="D559" s="62" t="n"/>
      <c r="E559" s="62" t="n"/>
      <c r="F559" s="62" t="n"/>
      <c r="G559" s="62" t="n"/>
      <c r="H559" s="62" t="n"/>
      <c r="I559" s="62" t="n"/>
      <c r="J559" s="62" t="n"/>
      <c r="K559" s="62" t="n"/>
      <c r="L559" s="64" t="n"/>
      <c r="M559" s="64" t="n"/>
      <c r="N559" s="62" t="n"/>
      <c r="O559" s="65">
        <f>IF(Z559=1,L559-W559,"")</f>
        <v/>
      </c>
      <c r="P559" s="66">
        <f>IF(V559="","",IFERROR(INDEX(coa_Type,MATCH(V559,coa_Name,0)),""))</f>
        <v/>
      </c>
      <c r="Q559" s="66">
        <f>IF(Z559=1,IF(U559="In",K559&amp;"",V559),"")</f>
        <v/>
      </c>
      <c r="R559" s="66">
        <f>IF(Z559=1,IF(U559="In",V559,K559&amp;""),"")</f>
        <v/>
      </c>
      <c r="S559" s="66">
        <f>IF(X559&lt;&gt;"","⛔ "&amp;X559&amp;" — not posted",IF(Y559&lt;&gt;"","⚠ "&amp;Y559,IF(Z559=1,"✓ OK","")))</f>
        <v/>
      </c>
      <c r="T559" s="67">
        <f>IF(AND(C559="",D559="",E559="",L559="",K559=""),1,0)</f>
        <v/>
      </c>
      <c r="U559" s="67">
        <f>IFERROR(INDEX(tt_Dir,MATCH(D559,tt_Type,0)),"")</f>
        <v/>
      </c>
      <c r="V559" s="67">
        <f>IF(D559="","",IFERROR(IF(INDEX(tt_Other,MATCH(D559,tt_Type,0))="",E559&amp;"",INDEX(tt_Other,MATCH(D559,tt_Type,0))),""))</f>
        <v/>
      </c>
      <c r="W559" s="68">
        <f>IF(OR(TaxOn&lt;&gt;"Yes",NOT(ISNUMBER(M559))),0,IF(IFERROR(INDEX(tt_Tax,MATCH(D559,tt_Type,0)),"No")="Yes",M559,0))</f>
        <v/>
      </c>
      <c r="X559" s="67">
        <f>IF(T559=1,"",IF(C559="","Missing transaction date",IF(NOT(ISNUMBER(C559)),"Invalid date",IF(OR(C559&lt;DATE(2000,1,1),C559&gt;DATE(2099,12,31)),"Invalid date",IF(D559="","Select a type",IF(U559="","Unknown type: "&amp;D559,IF(V559="","Select an account (Category)",IF(ISNA(MATCH(V559,coa_Name,0)),"Unknown account: "&amp;V559,IF(K559="","Select Paid From / Deposited To",IF(ISNA(MATCH(K559,coa_Name,0)),"Unknown account: "&amp;K559,IF(NOT(ISNUMBER(L559)),"Enter an amount",IF(L559=0,"Enter an amount",IF(ABS(W559)&gt;ABS(L559),"Tax is larger than the amount","")))))))))))))</f>
        <v/>
      </c>
      <c r="Y559" s="67">
        <f>IF(OR(T559=1,X559&lt;&gt;""),"",IF(AND(B559&lt;&gt;"",COUNTIF(tx_ID,B559)&gt;1),"Duplicate transaction ID",IF(AND(L559&lt;0,D559&lt;&gt;"Adjustment"),"Negative amount — check this entry",IF(AND(D559="Customer Payment",G559=""),"Add the customer",IF(AND(D559="Customer Payment",OR(J559="",COUNTIF(ar_No,J559&amp;"")=0)),"Invoice # in Reference not found on AR sheet",IF(AND(D559="Bill Payment",H559=""),"Add the vendor",IF(AND(D559="Bill Payment",OR(J559="",COUNTIFS(ap_No,J559&amp;"",ap_Party,H559&amp;"")=0)),"Bill # + vendor not found on AP sheet",IF(AND(ISNUMBER(M559),N(M559)&lt;&gt;0,W559=0),"Tax ignored (tax tracking off, or not allowed for this type)",IF(V559=K559&amp;"","Same account on both sides",IF(AND(ISNUMBER(StartDate),C559&lt;StartDate),"Date is before the accounting start date",IF(AND(D559&lt;&gt;"Adjustment",IFERROR(INDEX(coa_Pay,MATCH(K559&amp;"",coa_Name,0)),"")&lt;&gt;"Yes"),"Paid From / Deposited To is not a payment account","")))))))))))</f>
        <v/>
      </c>
      <c r="Z559" s="67">
        <f>IF(AND(T559=0,X559=""),1,0)</f>
        <v/>
      </c>
      <c r="AA559" s="68">
        <f>IF(Z559=1,IF(U559="In",L559,L559-W559),0)</f>
        <v/>
      </c>
      <c r="AB559" s="68">
        <f>IF(Z559=1,IF(U559="In",L559-W559,L559),0)</f>
        <v/>
      </c>
      <c r="AC559" s="68">
        <f>IF(AND(Z559=1,U559="Out"),W559,0)</f>
        <v/>
      </c>
      <c r="AD559" s="68">
        <f>IF(AND(Z559=1,U559="In"),W559,0)</f>
        <v/>
      </c>
    </row>
    <row r="560">
      <c r="B560" s="62" t="inlineStr">
        <is>
          <t>TX-0554</t>
        </is>
      </c>
      <c r="C560" s="63" t="n"/>
      <c r="D560" s="62" t="n"/>
      <c r="E560" s="62" t="n"/>
      <c r="F560" s="62" t="n"/>
      <c r="G560" s="62" t="n"/>
      <c r="H560" s="62" t="n"/>
      <c r="I560" s="62" t="n"/>
      <c r="J560" s="62" t="n"/>
      <c r="K560" s="62" t="n"/>
      <c r="L560" s="64" t="n"/>
      <c r="M560" s="64" t="n"/>
      <c r="N560" s="62" t="n"/>
      <c r="O560" s="65">
        <f>IF(Z560=1,L560-W560,"")</f>
        <v/>
      </c>
      <c r="P560" s="66">
        <f>IF(V560="","",IFERROR(INDEX(coa_Type,MATCH(V560,coa_Name,0)),""))</f>
        <v/>
      </c>
      <c r="Q560" s="66">
        <f>IF(Z560=1,IF(U560="In",K560&amp;"",V560),"")</f>
        <v/>
      </c>
      <c r="R560" s="66">
        <f>IF(Z560=1,IF(U560="In",V560,K560&amp;""),"")</f>
        <v/>
      </c>
      <c r="S560" s="66">
        <f>IF(X560&lt;&gt;"","⛔ "&amp;X560&amp;" — not posted",IF(Y560&lt;&gt;"","⚠ "&amp;Y560,IF(Z560=1,"✓ OK","")))</f>
        <v/>
      </c>
      <c r="T560" s="67">
        <f>IF(AND(C560="",D560="",E560="",L560="",K560=""),1,0)</f>
        <v/>
      </c>
      <c r="U560" s="67">
        <f>IFERROR(INDEX(tt_Dir,MATCH(D560,tt_Type,0)),"")</f>
        <v/>
      </c>
      <c r="V560" s="67">
        <f>IF(D560="","",IFERROR(IF(INDEX(tt_Other,MATCH(D560,tt_Type,0))="",E560&amp;"",INDEX(tt_Other,MATCH(D560,tt_Type,0))),""))</f>
        <v/>
      </c>
      <c r="W560" s="68">
        <f>IF(OR(TaxOn&lt;&gt;"Yes",NOT(ISNUMBER(M560))),0,IF(IFERROR(INDEX(tt_Tax,MATCH(D560,tt_Type,0)),"No")="Yes",M560,0))</f>
        <v/>
      </c>
      <c r="X560" s="67">
        <f>IF(T560=1,"",IF(C560="","Missing transaction date",IF(NOT(ISNUMBER(C560)),"Invalid date",IF(OR(C560&lt;DATE(2000,1,1),C560&gt;DATE(2099,12,31)),"Invalid date",IF(D560="","Select a type",IF(U560="","Unknown type: "&amp;D560,IF(V560="","Select an account (Category)",IF(ISNA(MATCH(V560,coa_Name,0)),"Unknown account: "&amp;V560,IF(K560="","Select Paid From / Deposited To",IF(ISNA(MATCH(K560,coa_Name,0)),"Unknown account: "&amp;K560,IF(NOT(ISNUMBER(L560)),"Enter an amount",IF(L560=0,"Enter an amount",IF(ABS(W560)&gt;ABS(L560),"Tax is larger than the amount","")))))))))))))</f>
        <v/>
      </c>
      <c r="Y560" s="67">
        <f>IF(OR(T560=1,X560&lt;&gt;""),"",IF(AND(B560&lt;&gt;"",COUNTIF(tx_ID,B560)&gt;1),"Duplicate transaction ID",IF(AND(L560&lt;0,D560&lt;&gt;"Adjustment"),"Negative amount — check this entry",IF(AND(D560="Customer Payment",G560=""),"Add the customer",IF(AND(D560="Customer Payment",OR(J560="",COUNTIF(ar_No,J560&amp;"")=0)),"Invoice # in Reference not found on AR sheet",IF(AND(D560="Bill Payment",H560=""),"Add the vendor",IF(AND(D560="Bill Payment",OR(J560="",COUNTIFS(ap_No,J560&amp;"",ap_Party,H560&amp;"")=0)),"Bill # + vendor not found on AP sheet",IF(AND(ISNUMBER(M560),N(M560)&lt;&gt;0,W560=0),"Tax ignored (tax tracking off, or not allowed for this type)",IF(V560=K560&amp;"","Same account on both sides",IF(AND(ISNUMBER(StartDate),C560&lt;StartDate),"Date is before the accounting start date",IF(AND(D560&lt;&gt;"Adjustment",IFERROR(INDEX(coa_Pay,MATCH(K560&amp;"",coa_Name,0)),"")&lt;&gt;"Yes"),"Paid From / Deposited To is not a payment account","")))))))))))</f>
        <v/>
      </c>
      <c r="Z560" s="67">
        <f>IF(AND(T560=0,X560=""),1,0)</f>
        <v/>
      </c>
      <c r="AA560" s="68">
        <f>IF(Z560=1,IF(U560="In",L560,L560-W560),0)</f>
        <v/>
      </c>
      <c r="AB560" s="68">
        <f>IF(Z560=1,IF(U560="In",L560-W560,L560),0)</f>
        <v/>
      </c>
      <c r="AC560" s="68">
        <f>IF(AND(Z560=1,U560="Out"),W560,0)</f>
        <v/>
      </c>
      <c r="AD560" s="68">
        <f>IF(AND(Z560=1,U560="In"),W560,0)</f>
        <v/>
      </c>
    </row>
    <row r="561">
      <c r="B561" s="62" t="inlineStr">
        <is>
          <t>TX-0555</t>
        </is>
      </c>
      <c r="C561" s="63" t="n"/>
      <c r="D561" s="62" t="n"/>
      <c r="E561" s="62" t="n"/>
      <c r="F561" s="62" t="n"/>
      <c r="G561" s="62" t="n"/>
      <c r="H561" s="62" t="n"/>
      <c r="I561" s="62" t="n"/>
      <c r="J561" s="62" t="n"/>
      <c r="K561" s="62" t="n"/>
      <c r="L561" s="64" t="n"/>
      <c r="M561" s="64" t="n"/>
      <c r="N561" s="62" t="n"/>
      <c r="O561" s="65">
        <f>IF(Z561=1,L561-W561,"")</f>
        <v/>
      </c>
      <c r="P561" s="66">
        <f>IF(V561="","",IFERROR(INDEX(coa_Type,MATCH(V561,coa_Name,0)),""))</f>
        <v/>
      </c>
      <c r="Q561" s="66">
        <f>IF(Z561=1,IF(U561="In",K561&amp;"",V561),"")</f>
        <v/>
      </c>
      <c r="R561" s="66">
        <f>IF(Z561=1,IF(U561="In",V561,K561&amp;""),"")</f>
        <v/>
      </c>
      <c r="S561" s="66">
        <f>IF(X561&lt;&gt;"","⛔ "&amp;X561&amp;" — not posted",IF(Y561&lt;&gt;"","⚠ "&amp;Y561,IF(Z561=1,"✓ OK","")))</f>
        <v/>
      </c>
      <c r="T561" s="67">
        <f>IF(AND(C561="",D561="",E561="",L561="",K561=""),1,0)</f>
        <v/>
      </c>
      <c r="U561" s="67">
        <f>IFERROR(INDEX(tt_Dir,MATCH(D561,tt_Type,0)),"")</f>
        <v/>
      </c>
      <c r="V561" s="67">
        <f>IF(D561="","",IFERROR(IF(INDEX(tt_Other,MATCH(D561,tt_Type,0))="",E561&amp;"",INDEX(tt_Other,MATCH(D561,tt_Type,0))),""))</f>
        <v/>
      </c>
      <c r="W561" s="68">
        <f>IF(OR(TaxOn&lt;&gt;"Yes",NOT(ISNUMBER(M561))),0,IF(IFERROR(INDEX(tt_Tax,MATCH(D561,tt_Type,0)),"No")="Yes",M561,0))</f>
        <v/>
      </c>
      <c r="X561" s="67">
        <f>IF(T561=1,"",IF(C561="","Missing transaction date",IF(NOT(ISNUMBER(C561)),"Invalid date",IF(OR(C561&lt;DATE(2000,1,1),C561&gt;DATE(2099,12,31)),"Invalid date",IF(D561="","Select a type",IF(U561="","Unknown type: "&amp;D561,IF(V561="","Select an account (Category)",IF(ISNA(MATCH(V561,coa_Name,0)),"Unknown account: "&amp;V561,IF(K561="","Select Paid From / Deposited To",IF(ISNA(MATCH(K561,coa_Name,0)),"Unknown account: "&amp;K561,IF(NOT(ISNUMBER(L561)),"Enter an amount",IF(L561=0,"Enter an amount",IF(ABS(W561)&gt;ABS(L561),"Tax is larger than the amount","")))))))))))))</f>
        <v/>
      </c>
      <c r="Y561" s="67">
        <f>IF(OR(T561=1,X561&lt;&gt;""),"",IF(AND(B561&lt;&gt;"",COUNTIF(tx_ID,B561)&gt;1),"Duplicate transaction ID",IF(AND(L561&lt;0,D561&lt;&gt;"Adjustment"),"Negative amount — check this entry",IF(AND(D561="Customer Payment",G561=""),"Add the customer",IF(AND(D561="Customer Payment",OR(J561="",COUNTIF(ar_No,J561&amp;"")=0)),"Invoice # in Reference not found on AR sheet",IF(AND(D561="Bill Payment",H561=""),"Add the vendor",IF(AND(D561="Bill Payment",OR(J561="",COUNTIFS(ap_No,J561&amp;"",ap_Party,H561&amp;"")=0)),"Bill # + vendor not found on AP sheet",IF(AND(ISNUMBER(M561),N(M561)&lt;&gt;0,W561=0),"Tax ignored (tax tracking off, or not allowed for this type)",IF(V561=K561&amp;"","Same account on both sides",IF(AND(ISNUMBER(StartDate),C561&lt;StartDate),"Date is before the accounting start date",IF(AND(D561&lt;&gt;"Adjustment",IFERROR(INDEX(coa_Pay,MATCH(K561&amp;"",coa_Name,0)),"")&lt;&gt;"Yes"),"Paid From / Deposited To is not a payment account","")))))))))))</f>
        <v/>
      </c>
      <c r="Z561" s="67">
        <f>IF(AND(T561=0,X561=""),1,0)</f>
        <v/>
      </c>
      <c r="AA561" s="68">
        <f>IF(Z561=1,IF(U561="In",L561,L561-W561),0)</f>
        <v/>
      </c>
      <c r="AB561" s="68">
        <f>IF(Z561=1,IF(U561="In",L561-W561,L561),0)</f>
        <v/>
      </c>
      <c r="AC561" s="68">
        <f>IF(AND(Z561=1,U561="Out"),W561,0)</f>
        <v/>
      </c>
      <c r="AD561" s="68">
        <f>IF(AND(Z561=1,U561="In"),W561,0)</f>
        <v/>
      </c>
    </row>
    <row r="562">
      <c r="B562" s="62" t="inlineStr">
        <is>
          <t>TX-0556</t>
        </is>
      </c>
      <c r="C562" s="63" t="n"/>
      <c r="D562" s="62" t="n"/>
      <c r="E562" s="62" t="n"/>
      <c r="F562" s="62" t="n"/>
      <c r="G562" s="62" t="n"/>
      <c r="H562" s="62" t="n"/>
      <c r="I562" s="62" t="n"/>
      <c r="J562" s="62" t="n"/>
      <c r="K562" s="62" t="n"/>
      <c r="L562" s="64" t="n"/>
      <c r="M562" s="64" t="n"/>
      <c r="N562" s="62" t="n"/>
      <c r="O562" s="65">
        <f>IF(Z562=1,L562-W562,"")</f>
        <v/>
      </c>
      <c r="P562" s="66">
        <f>IF(V562="","",IFERROR(INDEX(coa_Type,MATCH(V562,coa_Name,0)),""))</f>
        <v/>
      </c>
      <c r="Q562" s="66">
        <f>IF(Z562=1,IF(U562="In",K562&amp;"",V562),"")</f>
        <v/>
      </c>
      <c r="R562" s="66">
        <f>IF(Z562=1,IF(U562="In",V562,K562&amp;""),"")</f>
        <v/>
      </c>
      <c r="S562" s="66">
        <f>IF(X562&lt;&gt;"","⛔ "&amp;X562&amp;" — not posted",IF(Y562&lt;&gt;"","⚠ "&amp;Y562,IF(Z562=1,"✓ OK","")))</f>
        <v/>
      </c>
      <c r="T562" s="67">
        <f>IF(AND(C562="",D562="",E562="",L562="",K562=""),1,0)</f>
        <v/>
      </c>
      <c r="U562" s="67">
        <f>IFERROR(INDEX(tt_Dir,MATCH(D562,tt_Type,0)),"")</f>
        <v/>
      </c>
      <c r="V562" s="67">
        <f>IF(D562="","",IFERROR(IF(INDEX(tt_Other,MATCH(D562,tt_Type,0))="",E562&amp;"",INDEX(tt_Other,MATCH(D562,tt_Type,0))),""))</f>
        <v/>
      </c>
      <c r="W562" s="68">
        <f>IF(OR(TaxOn&lt;&gt;"Yes",NOT(ISNUMBER(M562))),0,IF(IFERROR(INDEX(tt_Tax,MATCH(D562,tt_Type,0)),"No")="Yes",M562,0))</f>
        <v/>
      </c>
      <c r="X562" s="67">
        <f>IF(T562=1,"",IF(C562="","Missing transaction date",IF(NOT(ISNUMBER(C562)),"Invalid date",IF(OR(C562&lt;DATE(2000,1,1),C562&gt;DATE(2099,12,31)),"Invalid date",IF(D562="","Select a type",IF(U562="","Unknown type: "&amp;D562,IF(V562="","Select an account (Category)",IF(ISNA(MATCH(V562,coa_Name,0)),"Unknown account: "&amp;V562,IF(K562="","Select Paid From / Deposited To",IF(ISNA(MATCH(K562,coa_Name,0)),"Unknown account: "&amp;K562,IF(NOT(ISNUMBER(L562)),"Enter an amount",IF(L562=0,"Enter an amount",IF(ABS(W562)&gt;ABS(L562),"Tax is larger than the amount","")))))))))))))</f>
        <v/>
      </c>
      <c r="Y562" s="67">
        <f>IF(OR(T562=1,X562&lt;&gt;""),"",IF(AND(B562&lt;&gt;"",COUNTIF(tx_ID,B562)&gt;1),"Duplicate transaction ID",IF(AND(L562&lt;0,D562&lt;&gt;"Adjustment"),"Negative amount — check this entry",IF(AND(D562="Customer Payment",G562=""),"Add the customer",IF(AND(D562="Customer Payment",OR(J562="",COUNTIF(ar_No,J562&amp;"")=0)),"Invoice # in Reference not found on AR sheet",IF(AND(D562="Bill Payment",H562=""),"Add the vendor",IF(AND(D562="Bill Payment",OR(J562="",COUNTIFS(ap_No,J562&amp;"",ap_Party,H562&amp;"")=0)),"Bill # + vendor not found on AP sheet",IF(AND(ISNUMBER(M562),N(M562)&lt;&gt;0,W562=0),"Tax ignored (tax tracking off, or not allowed for this type)",IF(V562=K562&amp;"","Same account on both sides",IF(AND(ISNUMBER(StartDate),C562&lt;StartDate),"Date is before the accounting start date",IF(AND(D562&lt;&gt;"Adjustment",IFERROR(INDEX(coa_Pay,MATCH(K562&amp;"",coa_Name,0)),"")&lt;&gt;"Yes"),"Paid From / Deposited To is not a payment account","")))))))))))</f>
        <v/>
      </c>
      <c r="Z562" s="67">
        <f>IF(AND(T562=0,X562=""),1,0)</f>
        <v/>
      </c>
      <c r="AA562" s="68">
        <f>IF(Z562=1,IF(U562="In",L562,L562-W562),0)</f>
        <v/>
      </c>
      <c r="AB562" s="68">
        <f>IF(Z562=1,IF(U562="In",L562-W562,L562),0)</f>
        <v/>
      </c>
      <c r="AC562" s="68">
        <f>IF(AND(Z562=1,U562="Out"),W562,0)</f>
        <v/>
      </c>
      <c r="AD562" s="68">
        <f>IF(AND(Z562=1,U562="In"),W562,0)</f>
        <v/>
      </c>
    </row>
    <row r="563">
      <c r="B563" s="62" t="inlineStr">
        <is>
          <t>TX-0557</t>
        </is>
      </c>
      <c r="C563" s="63" t="n"/>
      <c r="D563" s="62" t="n"/>
      <c r="E563" s="62" t="n"/>
      <c r="F563" s="62" t="n"/>
      <c r="G563" s="62" t="n"/>
      <c r="H563" s="62" t="n"/>
      <c r="I563" s="62" t="n"/>
      <c r="J563" s="62" t="n"/>
      <c r="K563" s="62" t="n"/>
      <c r="L563" s="64" t="n"/>
      <c r="M563" s="64" t="n"/>
      <c r="N563" s="62" t="n"/>
      <c r="O563" s="65">
        <f>IF(Z563=1,L563-W563,"")</f>
        <v/>
      </c>
      <c r="P563" s="66">
        <f>IF(V563="","",IFERROR(INDEX(coa_Type,MATCH(V563,coa_Name,0)),""))</f>
        <v/>
      </c>
      <c r="Q563" s="66">
        <f>IF(Z563=1,IF(U563="In",K563&amp;"",V563),"")</f>
        <v/>
      </c>
      <c r="R563" s="66">
        <f>IF(Z563=1,IF(U563="In",V563,K563&amp;""),"")</f>
        <v/>
      </c>
      <c r="S563" s="66">
        <f>IF(X563&lt;&gt;"","⛔ "&amp;X563&amp;" — not posted",IF(Y563&lt;&gt;"","⚠ "&amp;Y563,IF(Z563=1,"✓ OK","")))</f>
        <v/>
      </c>
      <c r="T563" s="67">
        <f>IF(AND(C563="",D563="",E563="",L563="",K563=""),1,0)</f>
        <v/>
      </c>
      <c r="U563" s="67">
        <f>IFERROR(INDEX(tt_Dir,MATCH(D563,tt_Type,0)),"")</f>
        <v/>
      </c>
      <c r="V563" s="67">
        <f>IF(D563="","",IFERROR(IF(INDEX(tt_Other,MATCH(D563,tt_Type,0))="",E563&amp;"",INDEX(tt_Other,MATCH(D563,tt_Type,0))),""))</f>
        <v/>
      </c>
      <c r="W563" s="68">
        <f>IF(OR(TaxOn&lt;&gt;"Yes",NOT(ISNUMBER(M563))),0,IF(IFERROR(INDEX(tt_Tax,MATCH(D563,tt_Type,0)),"No")="Yes",M563,0))</f>
        <v/>
      </c>
      <c r="X563" s="67">
        <f>IF(T563=1,"",IF(C563="","Missing transaction date",IF(NOT(ISNUMBER(C563)),"Invalid date",IF(OR(C563&lt;DATE(2000,1,1),C563&gt;DATE(2099,12,31)),"Invalid date",IF(D563="","Select a type",IF(U563="","Unknown type: "&amp;D563,IF(V563="","Select an account (Category)",IF(ISNA(MATCH(V563,coa_Name,0)),"Unknown account: "&amp;V563,IF(K563="","Select Paid From / Deposited To",IF(ISNA(MATCH(K563,coa_Name,0)),"Unknown account: "&amp;K563,IF(NOT(ISNUMBER(L563)),"Enter an amount",IF(L563=0,"Enter an amount",IF(ABS(W563)&gt;ABS(L563),"Tax is larger than the amount","")))))))))))))</f>
        <v/>
      </c>
      <c r="Y563" s="67">
        <f>IF(OR(T563=1,X563&lt;&gt;""),"",IF(AND(B563&lt;&gt;"",COUNTIF(tx_ID,B563)&gt;1),"Duplicate transaction ID",IF(AND(L563&lt;0,D563&lt;&gt;"Adjustment"),"Negative amount — check this entry",IF(AND(D563="Customer Payment",G563=""),"Add the customer",IF(AND(D563="Customer Payment",OR(J563="",COUNTIF(ar_No,J563&amp;"")=0)),"Invoice # in Reference not found on AR sheet",IF(AND(D563="Bill Payment",H563=""),"Add the vendor",IF(AND(D563="Bill Payment",OR(J563="",COUNTIFS(ap_No,J563&amp;"",ap_Party,H563&amp;"")=0)),"Bill # + vendor not found on AP sheet",IF(AND(ISNUMBER(M563),N(M563)&lt;&gt;0,W563=0),"Tax ignored (tax tracking off, or not allowed for this type)",IF(V563=K563&amp;"","Same account on both sides",IF(AND(ISNUMBER(StartDate),C563&lt;StartDate),"Date is before the accounting start date",IF(AND(D563&lt;&gt;"Adjustment",IFERROR(INDEX(coa_Pay,MATCH(K563&amp;"",coa_Name,0)),"")&lt;&gt;"Yes"),"Paid From / Deposited To is not a payment account","")))))))))))</f>
        <v/>
      </c>
      <c r="Z563" s="67">
        <f>IF(AND(T563=0,X563=""),1,0)</f>
        <v/>
      </c>
      <c r="AA563" s="68">
        <f>IF(Z563=1,IF(U563="In",L563,L563-W563),0)</f>
        <v/>
      </c>
      <c r="AB563" s="68">
        <f>IF(Z563=1,IF(U563="In",L563-W563,L563),0)</f>
        <v/>
      </c>
      <c r="AC563" s="68">
        <f>IF(AND(Z563=1,U563="Out"),W563,0)</f>
        <v/>
      </c>
      <c r="AD563" s="68">
        <f>IF(AND(Z563=1,U563="In"),W563,0)</f>
        <v/>
      </c>
    </row>
    <row r="564">
      <c r="B564" s="62" t="inlineStr">
        <is>
          <t>TX-0558</t>
        </is>
      </c>
      <c r="C564" s="63" t="n"/>
      <c r="D564" s="62" t="n"/>
      <c r="E564" s="62" t="n"/>
      <c r="F564" s="62" t="n"/>
      <c r="G564" s="62" t="n"/>
      <c r="H564" s="62" t="n"/>
      <c r="I564" s="62" t="n"/>
      <c r="J564" s="62" t="n"/>
      <c r="K564" s="62" t="n"/>
      <c r="L564" s="64" t="n"/>
      <c r="M564" s="64" t="n"/>
      <c r="N564" s="62" t="n"/>
      <c r="O564" s="65">
        <f>IF(Z564=1,L564-W564,"")</f>
        <v/>
      </c>
      <c r="P564" s="66">
        <f>IF(V564="","",IFERROR(INDEX(coa_Type,MATCH(V564,coa_Name,0)),""))</f>
        <v/>
      </c>
      <c r="Q564" s="66">
        <f>IF(Z564=1,IF(U564="In",K564&amp;"",V564),"")</f>
        <v/>
      </c>
      <c r="R564" s="66">
        <f>IF(Z564=1,IF(U564="In",V564,K564&amp;""),"")</f>
        <v/>
      </c>
      <c r="S564" s="66">
        <f>IF(X564&lt;&gt;"","⛔ "&amp;X564&amp;" — not posted",IF(Y564&lt;&gt;"","⚠ "&amp;Y564,IF(Z564=1,"✓ OK","")))</f>
        <v/>
      </c>
      <c r="T564" s="67">
        <f>IF(AND(C564="",D564="",E564="",L564="",K564=""),1,0)</f>
        <v/>
      </c>
      <c r="U564" s="67">
        <f>IFERROR(INDEX(tt_Dir,MATCH(D564,tt_Type,0)),"")</f>
        <v/>
      </c>
      <c r="V564" s="67">
        <f>IF(D564="","",IFERROR(IF(INDEX(tt_Other,MATCH(D564,tt_Type,0))="",E564&amp;"",INDEX(tt_Other,MATCH(D564,tt_Type,0))),""))</f>
        <v/>
      </c>
      <c r="W564" s="68">
        <f>IF(OR(TaxOn&lt;&gt;"Yes",NOT(ISNUMBER(M564))),0,IF(IFERROR(INDEX(tt_Tax,MATCH(D564,tt_Type,0)),"No")="Yes",M564,0))</f>
        <v/>
      </c>
      <c r="X564" s="67">
        <f>IF(T564=1,"",IF(C564="","Missing transaction date",IF(NOT(ISNUMBER(C564)),"Invalid date",IF(OR(C564&lt;DATE(2000,1,1),C564&gt;DATE(2099,12,31)),"Invalid date",IF(D564="","Select a type",IF(U564="","Unknown type: "&amp;D564,IF(V564="","Select an account (Category)",IF(ISNA(MATCH(V564,coa_Name,0)),"Unknown account: "&amp;V564,IF(K564="","Select Paid From / Deposited To",IF(ISNA(MATCH(K564,coa_Name,0)),"Unknown account: "&amp;K564,IF(NOT(ISNUMBER(L564)),"Enter an amount",IF(L564=0,"Enter an amount",IF(ABS(W564)&gt;ABS(L564),"Tax is larger than the amount","")))))))))))))</f>
        <v/>
      </c>
      <c r="Y564" s="67">
        <f>IF(OR(T564=1,X564&lt;&gt;""),"",IF(AND(B564&lt;&gt;"",COUNTIF(tx_ID,B564)&gt;1),"Duplicate transaction ID",IF(AND(L564&lt;0,D564&lt;&gt;"Adjustment"),"Negative amount — check this entry",IF(AND(D564="Customer Payment",G564=""),"Add the customer",IF(AND(D564="Customer Payment",OR(J564="",COUNTIF(ar_No,J564&amp;"")=0)),"Invoice # in Reference not found on AR sheet",IF(AND(D564="Bill Payment",H564=""),"Add the vendor",IF(AND(D564="Bill Payment",OR(J564="",COUNTIFS(ap_No,J564&amp;"",ap_Party,H564&amp;"")=0)),"Bill # + vendor not found on AP sheet",IF(AND(ISNUMBER(M564),N(M564)&lt;&gt;0,W564=0),"Tax ignored (tax tracking off, or not allowed for this type)",IF(V564=K564&amp;"","Same account on both sides",IF(AND(ISNUMBER(StartDate),C564&lt;StartDate),"Date is before the accounting start date",IF(AND(D564&lt;&gt;"Adjustment",IFERROR(INDEX(coa_Pay,MATCH(K564&amp;"",coa_Name,0)),"")&lt;&gt;"Yes"),"Paid From / Deposited To is not a payment account","")))))))))))</f>
        <v/>
      </c>
      <c r="Z564" s="67">
        <f>IF(AND(T564=0,X564=""),1,0)</f>
        <v/>
      </c>
      <c r="AA564" s="68">
        <f>IF(Z564=1,IF(U564="In",L564,L564-W564),0)</f>
        <v/>
      </c>
      <c r="AB564" s="68">
        <f>IF(Z564=1,IF(U564="In",L564-W564,L564),0)</f>
        <v/>
      </c>
      <c r="AC564" s="68">
        <f>IF(AND(Z564=1,U564="Out"),W564,0)</f>
        <v/>
      </c>
      <c r="AD564" s="68">
        <f>IF(AND(Z564=1,U564="In"),W564,0)</f>
        <v/>
      </c>
    </row>
    <row r="565">
      <c r="B565" s="62" t="inlineStr">
        <is>
          <t>TX-0559</t>
        </is>
      </c>
      <c r="C565" s="63" t="n"/>
      <c r="D565" s="62" t="n"/>
      <c r="E565" s="62" t="n"/>
      <c r="F565" s="62" t="n"/>
      <c r="G565" s="62" t="n"/>
      <c r="H565" s="62" t="n"/>
      <c r="I565" s="62" t="n"/>
      <c r="J565" s="62" t="n"/>
      <c r="K565" s="62" t="n"/>
      <c r="L565" s="64" t="n"/>
      <c r="M565" s="64" t="n"/>
      <c r="N565" s="62" t="n"/>
      <c r="O565" s="65">
        <f>IF(Z565=1,L565-W565,"")</f>
        <v/>
      </c>
      <c r="P565" s="66">
        <f>IF(V565="","",IFERROR(INDEX(coa_Type,MATCH(V565,coa_Name,0)),""))</f>
        <v/>
      </c>
      <c r="Q565" s="66">
        <f>IF(Z565=1,IF(U565="In",K565&amp;"",V565),"")</f>
        <v/>
      </c>
      <c r="R565" s="66">
        <f>IF(Z565=1,IF(U565="In",V565,K565&amp;""),"")</f>
        <v/>
      </c>
      <c r="S565" s="66">
        <f>IF(X565&lt;&gt;"","⛔ "&amp;X565&amp;" — not posted",IF(Y565&lt;&gt;"","⚠ "&amp;Y565,IF(Z565=1,"✓ OK","")))</f>
        <v/>
      </c>
      <c r="T565" s="67">
        <f>IF(AND(C565="",D565="",E565="",L565="",K565=""),1,0)</f>
        <v/>
      </c>
      <c r="U565" s="67">
        <f>IFERROR(INDEX(tt_Dir,MATCH(D565,tt_Type,0)),"")</f>
        <v/>
      </c>
      <c r="V565" s="67">
        <f>IF(D565="","",IFERROR(IF(INDEX(tt_Other,MATCH(D565,tt_Type,0))="",E565&amp;"",INDEX(tt_Other,MATCH(D565,tt_Type,0))),""))</f>
        <v/>
      </c>
      <c r="W565" s="68">
        <f>IF(OR(TaxOn&lt;&gt;"Yes",NOT(ISNUMBER(M565))),0,IF(IFERROR(INDEX(tt_Tax,MATCH(D565,tt_Type,0)),"No")="Yes",M565,0))</f>
        <v/>
      </c>
      <c r="X565" s="67">
        <f>IF(T565=1,"",IF(C565="","Missing transaction date",IF(NOT(ISNUMBER(C565)),"Invalid date",IF(OR(C565&lt;DATE(2000,1,1),C565&gt;DATE(2099,12,31)),"Invalid date",IF(D565="","Select a type",IF(U565="","Unknown type: "&amp;D565,IF(V565="","Select an account (Category)",IF(ISNA(MATCH(V565,coa_Name,0)),"Unknown account: "&amp;V565,IF(K565="","Select Paid From / Deposited To",IF(ISNA(MATCH(K565,coa_Name,0)),"Unknown account: "&amp;K565,IF(NOT(ISNUMBER(L565)),"Enter an amount",IF(L565=0,"Enter an amount",IF(ABS(W565)&gt;ABS(L565),"Tax is larger than the amount","")))))))))))))</f>
        <v/>
      </c>
      <c r="Y565" s="67">
        <f>IF(OR(T565=1,X565&lt;&gt;""),"",IF(AND(B565&lt;&gt;"",COUNTIF(tx_ID,B565)&gt;1),"Duplicate transaction ID",IF(AND(L565&lt;0,D565&lt;&gt;"Adjustment"),"Negative amount — check this entry",IF(AND(D565="Customer Payment",G565=""),"Add the customer",IF(AND(D565="Customer Payment",OR(J565="",COUNTIF(ar_No,J565&amp;"")=0)),"Invoice # in Reference not found on AR sheet",IF(AND(D565="Bill Payment",H565=""),"Add the vendor",IF(AND(D565="Bill Payment",OR(J565="",COUNTIFS(ap_No,J565&amp;"",ap_Party,H565&amp;"")=0)),"Bill # + vendor not found on AP sheet",IF(AND(ISNUMBER(M565),N(M565)&lt;&gt;0,W565=0),"Tax ignored (tax tracking off, or not allowed for this type)",IF(V565=K565&amp;"","Same account on both sides",IF(AND(ISNUMBER(StartDate),C565&lt;StartDate),"Date is before the accounting start date",IF(AND(D565&lt;&gt;"Adjustment",IFERROR(INDEX(coa_Pay,MATCH(K565&amp;"",coa_Name,0)),"")&lt;&gt;"Yes"),"Paid From / Deposited To is not a payment account","")))))))))))</f>
        <v/>
      </c>
      <c r="Z565" s="67">
        <f>IF(AND(T565=0,X565=""),1,0)</f>
        <v/>
      </c>
      <c r="AA565" s="68">
        <f>IF(Z565=1,IF(U565="In",L565,L565-W565),0)</f>
        <v/>
      </c>
      <c r="AB565" s="68">
        <f>IF(Z565=1,IF(U565="In",L565-W565,L565),0)</f>
        <v/>
      </c>
      <c r="AC565" s="68">
        <f>IF(AND(Z565=1,U565="Out"),W565,0)</f>
        <v/>
      </c>
      <c r="AD565" s="68">
        <f>IF(AND(Z565=1,U565="In"),W565,0)</f>
        <v/>
      </c>
    </row>
    <row r="566">
      <c r="B566" s="62" t="inlineStr">
        <is>
          <t>TX-0560</t>
        </is>
      </c>
      <c r="C566" s="63" t="n"/>
      <c r="D566" s="62" t="n"/>
      <c r="E566" s="62" t="n"/>
      <c r="F566" s="62" t="n"/>
      <c r="G566" s="62" t="n"/>
      <c r="H566" s="62" t="n"/>
      <c r="I566" s="62" t="n"/>
      <c r="J566" s="62" t="n"/>
      <c r="K566" s="62" t="n"/>
      <c r="L566" s="64" t="n"/>
      <c r="M566" s="64" t="n"/>
      <c r="N566" s="62" t="n"/>
      <c r="O566" s="65">
        <f>IF(Z566=1,L566-W566,"")</f>
        <v/>
      </c>
      <c r="P566" s="66">
        <f>IF(V566="","",IFERROR(INDEX(coa_Type,MATCH(V566,coa_Name,0)),""))</f>
        <v/>
      </c>
      <c r="Q566" s="66">
        <f>IF(Z566=1,IF(U566="In",K566&amp;"",V566),"")</f>
        <v/>
      </c>
      <c r="R566" s="66">
        <f>IF(Z566=1,IF(U566="In",V566,K566&amp;""),"")</f>
        <v/>
      </c>
      <c r="S566" s="66">
        <f>IF(X566&lt;&gt;"","⛔ "&amp;X566&amp;" — not posted",IF(Y566&lt;&gt;"","⚠ "&amp;Y566,IF(Z566=1,"✓ OK","")))</f>
        <v/>
      </c>
      <c r="T566" s="67">
        <f>IF(AND(C566="",D566="",E566="",L566="",K566=""),1,0)</f>
        <v/>
      </c>
      <c r="U566" s="67">
        <f>IFERROR(INDEX(tt_Dir,MATCH(D566,tt_Type,0)),"")</f>
        <v/>
      </c>
      <c r="V566" s="67">
        <f>IF(D566="","",IFERROR(IF(INDEX(tt_Other,MATCH(D566,tt_Type,0))="",E566&amp;"",INDEX(tt_Other,MATCH(D566,tt_Type,0))),""))</f>
        <v/>
      </c>
      <c r="W566" s="68">
        <f>IF(OR(TaxOn&lt;&gt;"Yes",NOT(ISNUMBER(M566))),0,IF(IFERROR(INDEX(tt_Tax,MATCH(D566,tt_Type,0)),"No")="Yes",M566,0))</f>
        <v/>
      </c>
      <c r="X566" s="67">
        <f>IF(T566=1,"",IF(C566="","Missing transaction date",IF(NOT(ISNUMBER(C566)),"Invalid date",IF(OR(C566&lt;DATE(2000,1,1),C566&gt;DATE(2099,12,31)),"Invalid date",IF(D566="","Select a type",IF(U566="","Unknown type: "&amp;D566,IF(V566="","Select an account (Category)",IF(ISNA(MATCH(V566,coa_Name,0)),"Unknown account: "&amp;V566,IF(K566="","Select Paid From / Deposited To",IF(ISNA(MATCH(K566,coa_Name,0)),"Unknown account: "&amp;K566,IF(NOT(ISNUMBER(L566)),"Enter an amount",IF(L566=0,"Enter an amount",IF(ABS(W566)&gt;ABS(L566),"Tax is larger than the amount","")))))))))))))</f>
        <v/>
      </c>
      <c r="Y566" s="67">
        <f>IF(OR(T566=1,X566&lt;&gt;""),"",IF(AND(B566&lt;&gt;"",COUNTIF(tx_ID,B566)&gt;1),"Duplicate transaction ID",IF(AND(L566&lt;0,D566&lt;&gt;"Adjustment"),"Negative amount — check this entry",IF(AND(D566="Customer Payment",G566=""),"Add the customer",IF(AND(D566="Customer Payment",OR(J566="",COUNTIF(ar_No,J566&amp;"")=0)),"Invoice # in Reference not found on AR sheet",IF(AND(D566="Bill Payment",H566=""),"Add the vendor",IF(AND(D566="Bill Payment",OR(J566="",COUNTIFS(ap_No,J566&amp;"",ap_Party,H566&amp;"")=0)),"Bill # + vendor not found on AP sheet",IF(AND(ISNUMBER(M566),N(M566)&lt;&gt;0,W566=0),"Tax ignored (tax tracking off, or not allowed for this type)",IF(V566=K566&amp;"","Same account on both sides",IF(AND(ISNUMBER(StartDate),C566&lt;StartDate),"Date is before the accounting start date",IF(AND(D566&lt;&gt;"Adjustment",IFERROR(INDEX(coa_Pay,MATCH(K566&amp;"",coa_Name,0)),"")&lt;&gt;"Yes"),"Paid From / Deposited To is not a payment account","")))))))))))</f>
        <v/>
      </c>
      <c r="Z566" s="67">
        <f>IF(AND(T566=0,X566=""),1,0)</f>
        <v/>
      </c>
      <c r="AA566" s="68">
        <f>IF(Z566=1,IF(U566="In",L566,L566-W566),0)</f>
        <v/>
      </c>
      <c r="AB566" s="68">
        <f>IF(Z566=1,IF(U566="In",L566-W566,L566),0)</f>
        <v/>
      </c>
      <c r="AC566" s="68">
        <f>IF(AND(Z566=1,U566="Out"),W566,0)</f>
        <v/>
      </c>
      <c r="AD566" s="68">
        <f>IF(AND(Z566=1,U566="In"),W566,0)</f>
        <v/>
      </c>
    </row>
    <row r="567">
      <c r="B567" s="62" t="inlineStr">
        <is>
          <t>TX-0561</t>
        </is>
      </c>
      <c r="C567" s="63" t="n"/>
      <c r="D567" s="62" t="n"/>
      <c r="E567" s="62" t="n"/>
      <c r="F567" s="62" t="n"/>
      <c r="G567" s="62" t="n"/>
      <c r="H567" s="62" t="n"/>
      <c r="I567" s="62" t="n"/>
      <c r="J567" s="62" t="n"/>
      <c r="K567" s="62" t="n"/>
      <c r="L567" s="64" t="n"/>
      <c r="M567" s="64" t="n"/>
      <c r="N567" s="62" t="n"/>
      <c r="O567" s="65">
        <f>IF(Z567=1,L567-W567,"")</f>
        <v/>
      </c>
      <c r="P567" s="66">
        <f>IF(V567="","",IFERROR(INDEX(coa_Type,MATCH(V567,coa_Name,0)),""))</f>
        <v/>
      </c>
      <c r="Q567" s="66">
        <f>IF(Z567=1,IF(U567="In",K567&amp;"",V567),"")</f>
        <v/>
      </c>
      <c r="R567" s="66">
        <f>IF(Z567=1,IF(U567="In",V567,K567&amp;""),"")</f>
        <v/>
      </c>
      <c r="S567" s="66">
        <f>IF(X567&lt;&gt;"","⛔ "&amp;X567&amp;" — not posted",IF(Y567&lt;&gt;"","⚠ "&amp;Y567,IF(Z567=1,"✓ OK","")))</f>
        <v/>
      </c>
      <c r="T567" s="67">
        <f>IF(AND(C567="",D567="",E567="",L567="",K567=""),1,0)</f>
        <v/>
      </c>
      <c r="U567" s="67">
        <f>IFERROR(INDEX(tt_Dir,MATCH(D567,tt_Type,0)),"")</f>
        <v/>
      </c>
      <c r="V567" s="67">
        <f>IF(D567="","",IFERROR(IF(INDEX(tt_Other,MATCH(D567,tt_Type,0))="",E567&amp;"",INDEX(tt_Other,MATCH(D567,tt_Type,0))),""))</f>
        <v/>
      </c>
      <c r="W567" s="68">
        <f>IF(OR(TaxOn&lt;&gt;"Yes",NOT(ISNUMBER(M567))),0,IF(IFERROR(INDEX(tt_Tax,MATCH(D567,tt_Type,0)),"No")="Yes",M567,0))</f>
        <v/>
      </c>
      <c r="X567" s="67">
        <f>IF(T567=1,"",IF(C567="","Missing transaction date",IF(NOT(ISNUMBER(C567)),"Invalid date",IF(OR(C567&lt;DATE(2000,1,1),C567&gt;DATE(2099,12,31)),"Invalid date",IF(D567="","Select a type",IF(U567="","Unknown type: "&amp;D567,IF(V567="","Select an account (Category)",IF(ISNA(MATCH(V567,coa_Name,0)),"Unknown account: "&amp;V567,IF(K567="","Select Paid From / Deposited To",IF(ISNA(MATCH(K567,coa_Name,0)),"Unknown account: "&amp;K567,IF(NOT(ISNUMBER(L567)),"Enter an amount",IF(L567=0,"Enter an amount",IF(ABS(W567)&gt;ABS(L567),"Tax is larger than the amount","")))))))))))))</f>
        <v/>
      </c>
      <c r="Y567" s="67">
        <f>IF(OR(T567=1,X567&lt;&gt;""),"",IF(AND(B567&lt;&gt;"",COUNTIF(tx_ID,B567)&gt;1),"Duplicate transaction ID",IF(AND(L567&lt;0,D567&lt;&gt;"Adjustment"),"Negative amount — check this entry",IF(AND(D567="Customer Payment",G567=""),"Add the customer",IF(AND(D567="Customer Payment",OR(J567="",COUNTIF(ar_No,J567&amp;"")=0)),"Invoice # in Reference not found on AR sheet",IF(AND(D567="Bill Payment",H567=""),"Add the vendor",IF(AND(D567="Bill Payment",OR(J567="",COUNTIFS(ap_No,J567&amp;"",ap_Party,H567&amp;"")=0)),"Bill # + vendor not found on AP sheet",IF(AND(ISNUMBER(M567),N(M567)&lt;&gt;0,W567=0),"Tax ignored (tax tracking off, or not allowed for this type)",IF(V567=K567&amp;"","Same account on both sides",IF(AND(ISNUMBER(StartDate),C567&lt;StartDate),"Date is before the accounting start date",IF(AND(D567&lt;&gt;"Adjustment",IFERROR(INDEX(coa_Pay,MATCH(K567&amp;"",coa_Name,0)),"")&lt;&gt;"Yes"),"Paid From / Deposited To is not a payment account","")))))))))))</f>
        <v/>
      </c>
      <c r="Z567" s="67">
        <f>IF(AND(T567=0,X567=""),1,0)</f>
        <v/>
      </c>
      <c r="AA567" s="68">
        <f>IF(Z567=1,IF(U567="In",L567,L567-W567),0)</f>
        <v/>
      </c>
      <c r="AB567" s="68">
        <f>IF(Z567=1,IF(U567="In",L567-W567,L567),0)</f>
        <v/>
      </c>
      <c r="AC567" s="68">
        <f>IF(AND(Z567=1,U567="Out"),W567,0)</f>
        <v/>
      </c>
      <c r="AD567" s="68">
        <f>IF(AND(Z567=1,U567="In"),W567,0)</f>
        <v/>
      </c>
    </row>
    <row r="568">
      <c r="B568" s="62" t="inlineStr">
        <is>
          <t>TX-0562</t>
        </is>
      </c>
      <c r="C568" s="63" t="n"/>
      <c r="D568" s="62" t="n"/>
      <c r="E568" s="62" t="n"/>
      <c r="F568" s="62" t="n"/>
      <c r="G568" s="62" t="n"/>
      <c r="H568" s="62" t="n"/>
      <c r="I568" s="62" t="n"/>
      <c r="J568" s="62" t="n"/>
      <c r="K568" s="62" t="n"/>
      <c r="L568" s="64" t="n"/>
      <c r="M568" s="64" t="n"/>
      <c r="N568" s="62" t="n"/>
      <c r="O568" s="65">
        <f>IF(Z568=1,L568-W568,"")</f>
        <v/>
      </c>
      <c r="P568" s="66">
        <f>IF(V568="","",IFERROR(INDEX(coa_Type,MATCH(V568,coa_Name,0)),""))</f>
        <v/>
      </c>
      <c r="Q568" s="66">
        <f>IF(Z568=1,IF(U568="In",K568&amp;"",V568),"")</f>
        <v/>
      </c>
      <c r="R568" s="66">
        <f>IF(Z568=1,IF(U568="In",V568,K568&amp;""),"")</f>
        <v/>
      </c>
      <c r="S568" s="66">
        <f>IF(X568&lt;&gt;"","⛔ "&amp;X568&amp;" — not posted",IF(Y568&lt;&gt;"","⚠ "&amp;Y568,IF(Z568=1,"✓ OK","")))</f>
        <v/>
      </c>
      <c r="T568" s="67">
        <f>IF(AND(C568="",D568="",E568="",L568="",K568=""),1,0)</f>
        <v/>
      </c>
      <c r="U568" s="67">
        <f>IFERROR(INDEX(tt_Dir,MATCH(D568,tt_Type,0)),"")</f>
        <v/>
      </c>
      <c r="V568" s="67">
        <f>IF(D568="","",IFERROR(IF(INDEX(tt_Other,MATCH(D568,tt_Type,0))="",E568&amp;"",INDEX(tt_Other,MATCH(D568,tt_Type,0))),""))</f>
        <v/>
      </c>
      <c r="W568" s="68">
        <f>IF(OR(TaxOn&lt;&gt;"Yes",NOT(ISNUMBER(M568))),0,IF(IFERROR(INDEX(tt_Tax,MATCH(D568,tt_Type,0)),"No")="Yes",M568,0))</f>
        <v/>
      </c>
      <c r="X568" s="67">
        <f>IF(T568=1,"",IF(C568="","Missing transaction date",IF(NOT(ISNUMBER(C568)),"Invalid date",IF(OR(C568&lt;DATE(2000,1,1),C568&gt;DATE(2099,12,31)),"Invalid date",IF(D568="","Select a type",IF(U568="","Unknown type: "&amp;D568,IF(V568="","Select an account (Category)",IF(ISNA(MATCH(V568,coa_Name,0)),"Unknown account: "&amp;V568,IF(K568="","Select Paid From / Deposited To",IF(ISNA(MATCH(K568,coa_Name,0)),"Unknown account: "&amp;K568,IF(NOT(ISNUMBER(L568)),"Enter an amount",IF(L568=0,"Enter an amount",IF(ABS(W568)&gt;ABS(L568),"Tax is larger than the amount","")))))))))))))</f>
        <v/>
      </c>
      <c r="Y568" s="67">
        <f>IF(OR(T568=1,X568&lt;&gt;""),"",IF(AND(B568&lt;&gt;"",COUNTIF(tx_ID,B568)&gt;1),"Duplicate transaction ID",IF(AND(L568&lt;0,D568&lt;&gt;"Adjustment"),"Negative amount — check this entry",IF(AND(D568="Customer Payment",G568=""),"Add the customer",IF(AND(D568="Customer Payment",OR(J568="",COUNTIF(ar_No,J568&amp;"")=0)),"Invoice # in Reference not found on AR sheet",IF(AND(D568="Bill Payment",H568=""),"Add the vendor",IF(AND(D568="Bill Payment",OR(J568="",COUNTIFS(ap_No,J568&amp;"",ap_Party,H568&amp;"")=0)),"Bill # + vendor not found on AP sheet",IF(AND(ISNUMBER(M568),N(M568)&lt;&gt;0,W568=0),"Tax ignored (tax tracking off, or not allowed for this type)",IF(V568=K568&amp;"","Same account on both sides",IF(AND(ISNUMBER(StartDate),C568&lt;StartDate),"Date is before the accounting start date",IF(AND(D568&lt;&gt;"Adjustment",IFERROR(INDEX(coa_Pay,MATCH(K568&amp;"",coa_Name,0)),"")&lt;&gt;"Yes"),"Paid From / Deposited To is not a payment account","")))))))))))</f>
        <v/>
      </c>
      <c r="Z568" s="67">
        <f>IF(AND(T568=0,X568=""),1,0)</f>
        <v/>
      </c>
      <c r="AA568" s="68">
        <f>IF(Z568=1,IF(U568="In",L568,L568-W568),0)</f>
        <v/>
      </c>
      <c r="AB568" s="68">
        <f>IF(Z568=1,IF(U568="In",L568-W568,L568),0)</f>
        <v/>
      </c>
      <c r="AC568" s="68">
        <f>IF(AND(Z568=1,U568="Out"),W568,0)</f>
        <v/>
      </c>
      <c r="AD568" s="68">
        <f>IF(AND(Z568=1,U568="In"),W568,0)</f>
        <v/>
      </c>
    </row>
    <row r="569">
      <c r="B569" s="62" t="inlineStr">
        <is>
          <t>TX-0563</t>
        </is>
      </c>
      <c r="C569" s="63" t="n"/>
      <c r="D569" s="62" t="n"/>
      <c r="E569" s="62" t="n"/>
      <c r="F569" s="62" t="n"/>
      <c r="G569" s="62" t="n"/>
      <c r="H569" s="62" t="n"/>
      <c r="I569" s="62" t="n"/>
      <c r="J569" s="62" t="n"/>
      <c r="K569" s="62" t="n"/>
      <c r="L569" s="64" t="n"/>
      <c r="M569" s="64" t="n"/>
      <c r="N569" s="62" t="n"/>
      <c r="O569" s="65">
        <f>IF(Z569=1,L569-W569,"")</f>
        <v/>
      </c>
      <c r="P569" s="66">
        <f>IF(V569="","",IFERROR(INDEX(coa_Type,MATCH(V569,coa_Name,0)),""))</f>
        <v/>
      </c>
      <c r="Q569" s="66">
        <f>IF(Z569=1,IF(U569="In",K569&amp;"",V569),"")</f>
        <v/>
      </c>
      <c r="R569" s="66">
        <f>IF(Z569=1,IF(U569="In",V569,K569&amp;""),"")</f>
        <v/>
      </c>
      <c r="S569" s="66">
        <f>IF(X569&lt;&gt;"","⛔ "&amp;X569&amp;" — not posted",IF(Y569&lt;&gt;"","⚠ "&amp;Y569,IF(Z569=1,"✓ OK","")))</f>
        <v/>
      </c>
      <c r="T569" s="67">
        <f>IF(AND(C569="",D569="",E569="",L569="",K569=""),1,0)</f>
        <v/>
      </c>
      <c r="U569" s="67">
        <f>IFERROR(INDEX(tt_Dir,MATCH(D569,tt_Type,0)),"")</f>
        <v/>
      </c>
      <c r="V569" s="67">
        <f>IF(D569="","",IFERROR(IF(INDEX(tt_Other,MATCH(D569,tt_Type,0))="",E569&amp;"",INDEX(tt_Other,MATCH(D569,tt_Type,0))),""))</f>
        <v/>
      </c>
      <c r="W569" s="68">
        <f>IF(OR(TaxOn&lt;&gt;"Yes",NOT(ISNUMBER(M569))),0,IF(IFERROR(INDEX(tt_Tax,MATCH(D569,tt_Type,0)),"No")="Yes",M569,0))</f>
        <v/>
      </c>
      <c r="X569" s="67">
        <f>IF(T569=1,"",IF(C569="","Missing transaction date",IF(NOT(ISNUMBER(C569)),"Invalid date",IF(OR(C569&lt;DATE(2000,1,1),C569&gt;DATE(2099,12,31)),"Invalid date",IF(D569="","Select a type",IF(U569="","Unknown type: "&amp;D569,IF(V569="","Select an account (Category)",IF(ISNA(MATCH(V569,coa_Name,0)),"Unknown account: "&amp;V569,IF(K569="","Select Paid From / Deposited To",IF(ISNA(MATCH(K569,coa_Name,0)),"Unknown account: "&amp;K569,IF(NOT(ISNUMBER(L569)),"Enter an amount",IF(L569=0,"Enter an amount",IF(ABS(W569)&gt;ABS(L569),"Tax is larger than the amount","")))))))))))))</f>
        <v/>
      </c>
      <c r="Y569" s="67">
        <f>IF(OR(T569=1,X569&lt;&gt;""),"",IF(AND(B569&lt;&gt;"",COUNTIF(tx_ID,B569)&gt;1),"Duplicate transaction ID",IF(AND(L569&lt;0,D569&lt;&gt;"Adjustment"),"Negative amount — check this entry",IF(AND(D569="Customer Payment",G569=""),"Add the customer",IF(AND(D569="Customer Payment",OR(J569="",COUNTIF(ar_No,J569&amp;"")=0)),"Invoice # in Reference not found on AR sheet",IF(AND(D569="Bill Payment",H569=""),"Add the vendor",IF(AND(D569="Bill Payment",OR(J569="",COUNTIFS(ap_No,J569&amp;"",ap_Party,H569&amp;"")=0)),"Bill # + vendor not found on AP sheet",IF(AND(ISNUMBER(M569),N(M569)&lt;&gt;0,W569=0),"Tax ignored (tax tracking off, or not allowed for this type)",IF(V569=K569&amp;"","Same account on both sides",IF(AND(ISNUMBER(StartDate),C569&lt;StartDate),"Date is before the accounting start date",IF(AND(D569&lt;&gt;"Adjustment",IFERROR(INDEX(coa_Pay,MATCH(K569&amp;"",coa_Name,0)),"")&lt;&gt;"Yes"),"Paid From / Deposited To is not a payment account","")))))))))))</f>
        <v/>
      </c>
      <c r="Z569" s="67">
        <f>IF(AND(T569=0,X569=""),1,0)</f>
        <v/>
      </c>
      <c r="AA569" s="68">
        <f>IF(Z569=1,IF(U569="In",L569,L569-W569),0)</f>
        <v/>
      </c>
      <c r="AB569" s="68">
        <f>IF(Z569=1,IF(U569="In",L569-W569,L569),0)</f>
        <v/>
      </c>
      <c r="AC569" s="68">
        <f>IF(AND(Z569=1,U569="Out"),W569,0)</f>
        <v/>
      </c>
      <c r="AD569" s="68">
        <f>IF(AND(Z569=1,U569="In"),W569,0)</f>
        <v/>
      </c>
    </row>
    <row r="570">
      <c r="B570" s="62" t="inlineStr">
        <is>
          <t>TX-0564</t>
        </is>
      </c>
      <c r="C570" s="63" t="n"/>
      <c r="D570" s="62" t="n"/>
      <c r="E570" s="62" t="n"/>
      <c r="F570" s="62" t="n"/>
      <c r="G570" s="62" t="n"/>
      <c r="H570" s="62" t="n"/>
      <c r="I570" s="62" t="n"/>
      <c r="J570" s="62" t="n"/>
      <c r="K570" s="62" t="n"/>
      <c r="L570" s="64" t="n"/>
      <c r="M570" s="64" t="n"/>
      <c r="N570" s="62" t="n"/>
      <c r="O570" s="65">
        <f>IF(Z570=1,L570-W570,"")</f>
        <v/>
      </c>
      <c r="P570" s="66">
        <f>IF(V570="","",IFERROR(INDEX(coa_Type,MATCH(V570,coa_Name,0)),""))</f>
        <v/>
      </c>
      <c r="Q570" s="66">
        <f>IF(Z570=1,IF(U570="In",K570&amp;"",V570),"")</f>
        <v/>
      </c>
      <c r="R570" s="66">
        <f>IF(Z570=1,IF(U570="In",V570,K570&amp;""),"")</f>
        <v/>
      </c>
      <c r="S570" s="66">
        <f>IF(X570&lt;&gt;"","⛔ "&amp;X570&amp;" — not posted",IF(Y570&lt;&gt;"","⚠ "&amp;Y570,IF(Z570=1,"✓ OK","")))</f>
        <v/>
      </c>
      <c r="T570" s="67">
        <f>IF(AND(C570="",D570="",E570="",L570="",K570=""),1,0)</f>
        <v/>
      </c>
      <c r="U570" s="67">
        <f>IFERROR(INDEX(tt_Dir,MATCH(D570,tt_Type,0)),"")</f>
        <v/>
      </c>
      <c r="V570" s="67">
        <f>IF(D570="","",IFERROR(IF(INDEX(tt_Other,MATCH(D570,tt_Type,0))="",E570&amp;"",INDEX(tt_Other,MATCH(D570,tt_Type,0))),""))</f>
        <v/>
      </c>
      <c r="W570" s="68">
        <f>IF(OR(TaxOn&lt;&gt;"Yes",NOT(ISNUMBER(M570))),0,IF(IFERROR(INDEX(tt_Tax,MATCH(D570,tt_Type,0)),"No")="Yes",M570,0))</f>
        <v/>
      </c>
      <c r="X570" s="67">
        <f>IF(T570=1,"",IF(C570="","Missing transaction date",IF(NOT(ISNUMBER(C570)),"Invalid date",IF(OR(C570&lt;DATE(2000,1,1),C570&gt;DATE(2099,12,31)),"Invalid date",IF(D570="","Select a type",IF(U570="","Unknown type: "&amp;D570,IF(V570="","Select an account (Category)",IF(ISNA(MATCH(V570,coa_Name,0)),"Unknown account: "&amp;V570,IF(K570="","Select Paid From / Deposited To",IF(ISNA(MATCH(K570,coa_Name,0)),"Unknown account: "&amp;K570,IF(NOT(ISNUMBER(L570)),"Enter an amount",IF(L570=0,"Enter an amount",IF(ABS(W570)&gt;ABS(L570),"Tax is larger than the amount","")))))))))))))</f>
        <v/>
      </c>
      <c r="Y570" s="67">
        <f>IF(OR(T570=1,X570&lt;&gt;""),"",IF(AND(B570&lt;&gt;"",COUNTIF(tx_ID,B570)&gt;1),"Duplicate transaction ID",IF(AND(L570&lt;0,D570&lt;&gt;"Adjustment"),"Negative amount — check this entry",IF(AND(D570="Customer Payment",G570=""),"Add the customer",IF(AND(D570="Customer Payment",OR(J570="",COUNTIF(ar_No,J570&amp;"")=0)),"Invoice # in Reference not found on AR sheet",IF(AND(D570="Bill Payment",H570=""),"Add the vendor",IF(AND(D570="Bill Payment",OR(J570="",COUNTIFS(ap_No,J570&amp;"",ap_Party,H570&amp;"")=0)),"Bill # + vendor not found on AP sheet",IF(AND(ISNUMBER(M570),N(M570)&lt;&gt;0,W570=0),"Tax ignored (tax tracking off, or not allowed for this type)",IF(V570=K570&amp;"","Same account on both sides",IF(AND(ISNUMBER(StartDate),C570&lt;StartDate),"Date is before the accounting start date",IF(AND(D570&lt;&gt;"Adjustment",IFERROR(INDEX(coa_Pay,MATCH(K570&amp;"",coa_Name,0)),"")&lt;&gt;"Yes"),"Paid From / Deposited To is not a payment account","")))))))))))</f>
        <v/>
      </c>
      <c r="Z570" s="67">
        <f>IF(AND(T570=0,X570=""),1,0)</f>
        <v/>
      </c>
      <c r="AA570" s="68">
        <f>IF(Z570=1,IF(U570="In",L570,L570-W570),0)</f>
        <v/>
      </c>
      <c r="AB570" s="68">
        <f>IF(Z570=1,IF(U570="In",L570-W570,L570),0)</f>
        <v/>
      </c>
      <c r="AC570" s="68">
        <f>IF(AND(Z570=1,U570="Out"),W570,0)</f>
        <v/>
      </c>
      <c r="AD570" s="68">
        <f>IF(AND(Z570=1,U570="In"),W570,0)</f>
        <v/>
      </c>
    </row>
    <row r="571">
      <c r="B571" s="62" t="inlineStr">
        <is>
          <t>TX-0565</t>
        </is>
      </c>
      <c r="C571" s="63" t="n"/>
      <c r="D571" s="62" t="n"/>
      <c r="E571" s="62" t="n"/>
      <c r="F571" s="62" t="n"/>
      <c r="G571" s="62" t="n"/>
      <c r="H571" s="62" t="n"/>
      <c r="I571" s="62" t="n"/>
      <c r="J571" s="62" t="n"/>
      <c r="K571" s="62" t="n"/>
      <c r="L571" s="64" t="n"/>
      <c r="M571" s="64" t="n"/>
      <c r="N571" s="62" t="n"/>
      <c r="O571" s="65">
        <f>IF(Z571=1,L571-W571,"")</f>
        <v/>
      </c>
      <c r="P571" s="66">
        <f>IF(V571="","",IFERROR(INDEX(coa_Type,MATCH(V571,coa_Name,0)),""))</f>
        <v/>
      </c>
      <c r="Q571" s="66">
        <f>IF(Z571=1,IF(U571="In",K571&amp;"",V571),"")</f>
        <v/>
      </c>
      <c r="R571" s="66">
        <f>IF(Z571=1,IF(U571="In",V571,K571&amp;""),"")</f>
        <v/>
      </c>
      <c r="S571" s="66">
        <f>IF(X571&lt;&gt;"","⛔ "&amp;X571&amp;" — not posted",IF(Y571&lt;&gt;"","⚠ "&amp;Y571,IF(Z571=1,"✓ OK","")))</f>
        <v/>
      </c>
      <c r="T571" s="67">
        <f>IF(AND(C571="",D571="",E571="",L571="",K571=""),1,0)</f>
        <v/>
      </c>
      <c r="U571" s="67">
        <f>IFERROR(INDEX(tt_Dir,MATCH(D571,tt_Type,0)),"")</f>
        <v/>
      </c>
      <c r="V571" s="67">
        <f>IF(D571="","",IFERROR(IF(INDEX(tt_Other,MATCH(D571,tt_Type,0))="",E571&amp;"",INDEX(tt_Other,MATCH(D571,tt_Type,0))),""))</f>
        <v/>
      </c>
      <c r="W571" s="68">
        <f>IF(OR(TaxOn&lt;&gt;"Yes",NOT(ISNUMBER(M571))),0,IF(IFERROR(INDEX(tt_Tax,MATCH(D571,tt_Type,0)),"No")="Yes",M571,0))</f>
        <v/>
      </c>
      <c r="X571" s="67">
        <f>IF(T571=1,"",IF(C571="","Missing transaction date",IF(NOT(ISNUMBER(C571)),"Invalid date",IF(OR(C571&lt;DATE(2000,1,1),C571&gt;DATE(2099,12,31)),"Invalid date",IF(D571="","Select a type",IF(U571="","Unknown type: "&amp;D571,IF(V571="","Select an account (Category)",IF(ISNA(MATCH(V571,coa_Name,0)),"Unknown account: "&amp;V571,IF(K571="","Select Paid From / Deposited To",IF(ISNA(MATCH(K571,coa_Name,0)),"Unknown account: "&amp;K571,IF(NOT(ISNUMBER(L571)),"Enter an amount",IF(L571=0,"Enter an amount",IF(ABS(W571)&gt;ABS(L571),"Tax is larger than the amount","")))))))))))))</f>
        <v/>
      </c>
      <c r="Y571" s="67">
        <f>IF(OR(T571=1,X571&lt;&gt;""),"",IF(AND(B571&lt;&gt;"",COUNTIF(tx_ID,B571)&gt;1),"Duplicate transaction ID",IF(AND(L571&lt;0,D571&lt;&gt;"Adjustment"),"Negative amount — check this entry",IF(AND(D571="Customer Payment",G571=""),"Add the customer",IF(AND(D571="Customer Payment",OR(J571="",COUNTIF(ar_No,J571&amp;"")=0)),"Invoice # in Reference not found on AR sheet",IF(AND(D571="Bill Payment",H571=""),"Add the vendor",IF(AND(D571="Bill Payment",OR(J571="",COUNTIFS(ap_No,J571&amp;"",ap_Party,H571&amp;"")=0)),"Bill # + vendor not found on AP sheet",IF(AND(ISNUMBER(M571),N(M571)&lt;&gt;0,W571=0),"Tax ignored (tax tracking off, or not allowed for this type)",IF(V571=K571&amp;"","Same account on both sides",IF(AND(ISNUMBER(StartDate),C571&lt;StartDate),"Date is before the accounting start date",IF(AND(D571&lt;&gt;"Adjustment",IFERROR(INDEX(coa_Pay,MATCH(K571&amp;"",coa_Name,0)),"")&lt;&gt;"Yes"),"Paid From / Deposited To is not a payment account","")))))))))))</f>
        <v/>
      </c>
      <c r="Z571" s="67">
        <f>IF(AND(T571=0,X571=""),1,0)</f>
        <v/>
      </c>
      <c r="AA571" s="68">
        <f>IF(Z571=1,IF(U571="In",L571,L571-W571),0)</f>
        <v/>
      </c>
      <c r="AB571" s="68">
        <f>IF(Z571=1,IF(U571="In",L571-W571,L571),0)</f>
        <v/>
      </c>
      <c r="AC571" s="68">
        <f>IF(AND(Z571=1,U571="Out"),W571,0)</f>
        <v/>
      </c>
      <c r="AD571" s="68">
        <f>IF(AND(Z571=1,U571="In"),W571,0)</f>
        <v/>
      </c>
    </row>
    <row r="572">
      <c r="B572" s="62" t="inlineStr">
        <is>
          <t>TX-0566</t>
        </is>
      </c>
      <c r="C572" s="63" t="n"/>
      <c r="D572" s="62" t="n"/>
      <c r="E572" s="62" t="n"/>
      <c r="F572" s="62" t="n"/>
      <c r="G572" s="62" t="n"/>
      <c r="H572" s="62" t="n"/>
      <c r="I572" s="62" t="n"/>
      <c r="J572" s="62" t="n"/>
      <c r="K572" s="62" t="n"/>
      <c r="L572" s="64" t="n"/>
      <c r="M572" s="64" t="n"/>
      <c r="N572" s="62" t="n"/>
      <c r="O572" s="65">
        <f>IF(Z572=1,L572-W572,"")</f>
        <v/>
      </c>
      <c r="P572" s="66">
        <f>IF(V572="","",IFERROR(INDEX(coa_Type,MATCH(V572,coa_Name,0)),""))</f>
        <v/>
      </c>
      <c r="Q572" s="66">
        <f>IF(Z572=1,IF(U572="In",K572&amp;"",V572),"")</f>
        <v/>
      </c>
      <c r="R572" s="66">
        <f>IF(Z572=1,IF(U572="In",V572,K572&amp;""),"")</f>
        <v/>
      </c>
      <c r="S572" s="66">
        <f>IF(X572&lt;&gt;"","⛔ "&amp;X572&amp;" — not posted",IF(Y572&lt;&gt;"","⚠ "&amp;Y572,IF(Z572=1,"✓ OK","")))</f>
        <v/>
      </c>
      <c r="T572" s="67">
        <f>IF(AND(C572="",D572="",E572="",L572="",K572=""),1,0)</f>
        <v/>
      </c>
      <c r="U572" s="67">
        <f>IFERROR(INDEX(tt_Dir,MATCH(D572,tt_Type,0)),"")</f>
        <v/>
      </c>
      <c r="V572" s="67">
        <f>IF(D572="","",IFERROR(IF(INDEX(tt_Other,MATCH(D572,tt_Type,0))="",E572&amp;"",INDEX(tt_Other,MATCH(D572,tt_Type,0))),""))</f>
        <v/>
      </c>
      <c r="W572" s="68">
        <f>IF(OR(TaxOn&lt;&gt;"Yes",NOT(ISNUMBER(M572))),0,IF(IFERROR(INDEX(tt_Tax,MATCH(D572,tt_Type,0)),"No")="Yes",M572,0))</f>
        <v/>
      </c>
      <c r="X572" s="67">
        <f>IF(T572=1,"",IF(C572="","Missing transaction date",IF(NOT(ISNUMBER(C572)),"Invalid date",IF(OR(C572&lt;DATE(2000,1,1),C572&gt;DATE(2099,12,31)),"Invalid date",IF(D572="","Select a type",IF(U572="","Unknown type: "&amp;D572,IF(V572="","Select an account (Category)",IF(ISNA(MATCH(V572,coa_Name,0)),"Unknown account: "&amp;V572,IF(K572="","Select Paid From / Deposited To",IF(ISNA(MATCH(K572,coa_Name,0)),"Unknown account: "&amp;K572,IF(NOT(ISNUMBER(L572)),"Enter an amount",IF(L572=0,"Enter an amount",IF(ABS(W572)&gt;ABS(L572),"Tax is larger than the amount","")))))))))))))</f>
        <v/>
      </c>
      <c r="Y572" s="67">
        <f>IF(OR(T572=1,X572&lt;&gt;""),"",IF(AND(B572&lt;&gt;"",COUNTIF(tx_ID,B572)&gt;1),"Duplicate transaction ID",IF(AND(L572&lt;0,D572&lt;&gt;"Adjustment"),"Negative amount — check this entry",IF(AND(D572="Customer Payment",G572=""),"Add the customer",IF(AND(D572="Customer Payment",OR(J572="",COUNTIF(ar_No,J572&amp;"")=0)),"Invoice # in Reference not found on AR sheet",IF(AND(D572="Bill Payment",H572=""),"Add the vendor",IF(AND(D572="Bill Payment",OR(J572="",COUNTIFS(ap_No,J572&amp;"",ap_Party,H572&amp;"")=0)),"Bill # + vendor not found on AP sheet",IF(AND(ISNUMBER(M572),N(M572)&lt;&gt;0,W572=0),"Tax ignored (tax tracking off, or not allowed for this type)",IF(V572=K572&amp;"","Same account on both sides",IF(AND(ISNUMBER(StartDate),C572&lt;StartDate),"Date is before the accounting start date",IF(AND(D572&lt;&gt;"Adjustment",IFERROR(INDEX(coa_Pay,MATCH(K572&amp;"",coa_Name,0)),"")&lt;&gt;"Yes"),"Paid From / Deposited To is not a payment account","")))))))))))</f>
        <v/>
      </c>
      <c r="Z572" s="67">
        <f>IF(AND(T572=0,X572=""),1,0)</f>
        <v/>
      </c>
      <c r="AA572" s="68">
        <f>IF(Z572=1,IF(U572="In",L572,L572-W572),0)</f>
        <v/>
      </c>
      <c r="AB572" s="68">
        <f>IF(Z572=1,IF(U572="In",L572-W572,L572),0)</f>
        <v/>
      </c>
      <c r="AC572" s="68">
        <f>IF(AND(Z572=1,U572="Out"),W572,0)</f>
        <v/>
      </c>
      <c r="AD572" s="68">
        <f>IF(AND(Z572=1,U572="In"),W572,0)</f>
        <v/>
      </c>
    </row>
    <row r="573">
      <c r="B573" s="62" t="inlineStr">
        <is>
          <t>TX-0567</t>
        </is>
      </c>
      <c r="C573" s="63" t="n"/>
      <c r="D573" s="62" t="n"/>
      <c r="E573" s="62" t="n"/>
      <c r="F573" s="62" t="n"/>
      <c r="G573" s="62" t="n"/>
      <c r="H573" s="62" t="n"/>
      <c r="I573" s="62" t="n"/>
      <c r="J573" s="62" t="n"/>
      <c r="K573" s="62" t="n"/>
      <c r="L573" s="64" t="n"/>
      <c r="M573" s="64" t="n"/>
      <c r="N573" s="62" t="n"/>
      <c r="O573" s="65">
        <f>IF(Z573=1,L573-W573,"")</f>
        <v/>
      </c>
      <c r="P573" s="66">
        <f>IF(V573="","",IFERROR(INDEX(coa_Type,MATCH(V573,coa_Name,0)),""))</f>
        <v/>
      </c>
      <c r="Q573" s="66">
        <f>IF(Z573=1,IF(U573="In",K573&amp;"",V573),"")</f>
        <v/>
      </c>
      <c r="R573" s="66">
        <f>IF(Z573=1,IF(U573="In",V573,K573&amp;""),"")</f>
        <v/>
      </c>
      <c r="S573" s="66">
        <f>IF(X573&lt;&gt;"","⛔ "&amp;X573&amp;" — not posted",IF(Y573&lt;&gt;"","⚠ "&amp;Y573,IF(Z573=1,"✓ OK","")))</f>
        <v/>
      </c>
      <c r="T573" s="67">
        <f>IF(AND(C573="",D573="",E573="",L573="",K573=""),1,0)</f>
        <v/>
      </c>
      <c r="U573" s="67">
        <f>IFERROR(INDEX(tt_Dir,MATCH(D573,tt_Type,0)),"")</f>
        <v/>
      </c>
      <c r="V573" s="67">
        <f>IF(D573="","",IFERROR(IF(INDEX(tt_Other,MATCH(D573,tt_Type,0))="",E573&amp;"",INDEX(tt_Other,MATCH(D573,tt_Type,0))),""))</f>
        <v/>
      </c>
      <c r="W573" s="68">
        <f>IF(OR(TaxOn&lt;&gt;"Yes",NOT(ISNUMBER(M573))),0,IF(IFERROR(INDEX(tt_Tax,MATCH(D573,tt_Type,0)),"No")="Yes",M573,0))</f>
        <v/>
      </c>
      <c r="X573" s="67">
        <f>IF(T573=1,"",IF(C573="","Missing transaction date",IF(NOT(ISNUMBER(C573)),"Invalid date",IF(OR(C573&lt;DATE(2000,1,1),C573&gt;DATE(2099,12,31)),"Invalid date",IF(D573="","Select a type",IF(U573="","Unknown type: "&amp;D573,IF(V573="","Select an account (Category)",IF(ISNA(MATCH(V573,coa_Name,0)),"Unknown account: "&amp;V573,IF(K573="","Select Paid From / Deposited To",IF(ISNA(MATCH(K573,coa_Name,0)),"Unknown account: "&amp;K573,IF(NOT(ISNUMBER(L573)),"Enter an amount",IF(L573=0,"Enter an amount",IF(ABS(W573)&gt;ABS(L573),"Tax is larger than the amount","")))))))))))))</f>
        <v/>
      </c>
      <c r="Y573" s="67">
        <f>IF(OR(T573=1,X573&lt;&gt;""),"",IF(AND(B573&lt;&gt;"",COUNTIF(tx_ID,B573)&gt;1),"Duplicate transaction ID",IF(AND(L573&lt;0,D573&lt;&gt;"Adjustment"),"Negative amount — check this entry",IF(AND(D573="Customer Payment",G573=""),"Add the customer",IF(AND(D573="Customer Payment",OR(J573="",COUNTIF(ar_No,J573&amp;"")=0)),"Invoice # in Reference not found on AR sheet",IF(AND(D573="Bill Payment",H573=""),"Add the vendor",IF(AND(D573="Bill Payment",OR(J573="",COUNTIFS(ap_No,J573&amp;"",ap_Party,H573&amp;"")=0)),"Bill # + vendor not found on AP sheet",IF(AND(ISNUMBER(M573),N(M573)&lt;&gt;0,W573=0),"Tax ignored (tax tracking off, or not allowed for this type)",IF(V573=K573&amp;"","Same account on both sides",IF(AND(ISNUMBER(StartDate),C573&lt;StartDate),"Date is before the accounting start date",IF(AND(D573&lt;&gt;"Adjustment",IFERROR(INDEX(coa_Pay,MATCH(K573&amp;"",coa_Name,0)),"")&lt;&gt;"Yes"),"Paid From / Deposited To is not a payment account","")))))))))))</f>
        <v/>
      </c>
      <c r="Z573" s="67">
        <f>IF(AND(T573=0,X573=""),1,0)</f>
        <v/>
      </c>
      <c r="AA573" s="68">
        <f>IF(Z573=1,IF(U573="In",L573,L573-W573),0)</f>
        <v/>
      </c>
      <c r="AB573" s="68">
        <f>IF(Z573=1,IF(U573="In",L573-W573,L573),0)</f>
        <v/>
      </c>
      <c r="AC573" s="68">
        <f>IF(AND(Z573=1,U573="Out"),W573,0)</f>
        <v/>
      </c>
      <c r="AD573" s="68">
        <f>IF(AND(Z573=1,U573="In"),W573,0)</f>
        <v/>
      </c>
    </row>
    <row r="574">
      <c r="B574" s="62" t="inlineStr">
        <is>
          <t>TX-0568</t>
        </is>
      </c>
      <c r="C574" s="63" t="n"/>
      <c r="D574" s="62" t="n"/>
      <c r="E574" s="62" t="n"/>
      <c r="F574" s="62" t="n"/>
      <c r="G574" s="62" t="n"/>
      <c r="H574" s="62" t="n"/>
      <c r="I574" s="62" t="n"/>
      <c r="J574" s="62" t="n"/>
      <c r="K574" s="62" t="n"/>
      <c r="L574" s="64" t="n"/>
      <c r="M574" s="64" t="n"/>
      <c r="N574" s="62" t="n"/>
      <c r="O574" s="65">
        <f>IF(Z574=1,L574-W574,"")</f>
        <v/>
      </c>
      <c r="P574" s="66">
        <f>IF(V574="","",IFERROR(INDEX(coa_Type,MATCH(V574,coa_Name,0)),""))</f>
        <v/>
      </c>
      <c r="Q574" s="66">
        <f>IF(Z574=1,IF(U574="In",K574&amp;"",V574),"")</f>
        <v/>
      </c>
      <c r="R574" s="66">
        <f>IF(Z574=1,IF(U574="In",V574,K574&amp;""),"")</f>
        <v/>
      </c>
      <c r="S574" s="66">
        <f>IF(X574&lt;&gt;"","⛔ "&amp;X574&amp;" — not posted",IF(Y574&lt;&gt;"","⚠ "&amp;Y574,IF(Z574=1,"✓ OK","")))</f>
        <v/>
      </c>
      <c r="T574" s="67">
        <f>IF(AND(C574="",D574="",E574="",L574="",K574=""),1,0)</f>
        <v/>
      </c>
      <c r="U574" s="67">
        <f>IFERROR(INDEX(tt_Dir,MATCH(D574,tt_Type,0)),"")</f>
        <v/>
      </c>
      <c r="V574" s="67">
        <f>IF(D574="","",IFERROR(IF(INDEX(tt_Other,MATCH(D574,tt_Type,0))="",E574&amp;"",INDEX(tt_Other,MATCH(D574,tt_Type,0))),""))</f>
        <v/>
      </c>
      <c r="W574" s="68">
        <f>IF(OR(TaxOn&lt;&gt;"Yes",NOT(ISNUMBER(M574))),0,IF(IFERROR(INDEX(tt_Tax,MATCH(D574,tt_Type,0)),"No")="Yes",M574,0))</f>
        <v/>
      </c>
      <c r="X574" s="67">
        <f>IF(T574=1,"",IF(C574="","Missing transaction date",IF(NOT(ISNUMBER(C574)),"Invalid date",IF(OR(C574&lt;DATE(2000,1,1),C574&gt;DATE(2099,12,31)),"Invalid date",IF(D574="","Select a type",IF(U574="","Unknown type: "&amp;D574,IF(V574="","Select an account (Category)",IF(ISNA(MATCH(V574,coa_Name,0)),"Unknown account: "&amp;V574,IF(K574="","Select Paid From / Deposited To",IF(ISNA(MATCH(K574,coa_Name,0)),"Unknown account: "&amp;K574,IF(NOT(ISNUMBER(L574)),"Enter an amount",IF(L574=0,"Enter an amount",IF(ABS(W574)&gt;ABS(L574),"Tax is larger than the amount","")))))))))))))</f>
        <v/>
      </c>
      <c r="Y574" s="67">
        <f>IF(OR(T574=1,X574&lt;&gt;""),"",IF(AND(B574&lt;&gt;"",COUNTIF(tx_ID,B574)&gt;1),"Duplicate transaction ID",IF(AND(L574&lt;0,D574&lt;&gt;"Adjustment"),"Negative amount — check this entry",IF(AND(D574="Customer Payment",G574=""),"Add the customer",IF(AND(D574="Customer Payment",OR(J574="",COUNTIF(ar_No,J574&amp;"")=0)),"Invoice # in Reference not found on AR sheet",IF(AND(D574="Bill Payment",H574=""),"Add the vendor",IF(AND(D574="Bill Payment",OR(J574="",COUNTIFS(ap_No,J574&amp;"",ap_Party,H574&amp;"")=0)),"Bill # + vendor not found on AP sheet",IF(AND(ISNUMBER(M574),N(M574)&lt;&gt;0,W574=0),"Tax ignored (tax tracking off, or not allowed for this type)",IF(V574=K574&amp;"","Same account on both sides",IF(AND(ISNUMBER(StartDate),C574&lt;StartDate),"Date is before the accounting start date",IF(AND(D574&lt;&gt;"Adjustment",IFERROR(INDEX(coa_Pay,MATCH(K574&amp;"",coa_Name,0)),"")&lt;&gt;"Yes"),"Paid From / Deposited To is not a payment account","")))))))))))</f>
        <v/>
      </c>
      <c r="Z574" s="67">
        <f>IF(AND(T574=0,X574=""),1,0)</f>
        <v/>
      </c>
      <c r="AA574" s="68">
        <f>IF(Z574=1,IF(U574="In",L574,L574-W574),0)</f>
        <v/>
      </c>
      <c r="AB574" s="68">
        <f>IF(Z574=1,IF(U574="In",L574-W574,L574),0)</f>
        <v/>
      </c>
      <c r="AC574" s="68">
        <f>IF(AND(Z574=1,U574="Out"),W574,0)</f>
        <v/>
      </c>
      <c r="AD574" s="68">
        <f>IF(AND(Z574=1,U574="In"),W574,0)</f>
        <v/>
      </c>
    </row>
    <row r="575">
      <c r="B575" s="62" t="inlineStr">
        <is>
          <t>TX-0569</t>
        </is>
      </c>
      <c r="C575" s="63" t="n"/>
      <c r="D575" s="62" t="n"/>
      <c r="E575" s="62" t="n"/>
      <c r="F575" s="62" t="n"/>
      <c r="G575" s="62" t="n"/>
      <c r="H575" s="62" t="n"/>
      <c r="I575" s="62" t="n"/>
      <c r="J575" s="62" t="n"/>
      <c r="K575" s="62" t="n"/>
      <c r="L575" s="64" t="n"/>
      <c r="M575" s="64" t="n"/>
      <c r="N575" s="62" t="n"/>
      <c r="O575" s="65">
        <f>IF(Z575=1,L575-W575,"")</f>
        <v/>
      </c>
      <c r="P575" s="66">
        <f>IF(V575="","",IFERROR(INDEX(coa_Type,MATCH(V575,coa_Name,0)),""))</f>
        <v/>
      </c>
      <c r="Q575" s="66">
        <f>IF(Z575=1,IF(U575="In",K575&amp;"",V575),"")</f>
        <v/>
      </c>
      <c r="R575" s="66">
        <f>IF(Z575=1,IF(U575="In",V575,K575&amp;""),"")</f>
        <v/>
      </c>
      <c r="S575" s="66">
        <f>IF(X575&lt;&gt;"","⛔ "&amp;X575&amp;" — not posted",IF(Y575&lt;&gt;"","⚠ "&amp;Y575,IF(Z575=1,"✓ OK","")))</f>
        <v/>
      </c>
      <c r="T575" s="67">
        <f>IF(AND(C575="",D575="",E575="",L575="",K575=""),1,0)</f>
        <v/>
      </c>
      <c r="U575" s="67">
        <f>IFERROR(INDEX(tt_Dir,MATCH(D575,tt_Type,0)),"")</f>
        <v/>
      </c>
      <c r="V575" s="67">
        <f>IF(D575="","",IFERROR(IF(INDEX(tt_Other,MATCH(D575,tt_Type,0))="",E575&amp;"",INDEX(tt_Other,MATCH(D575,tt_Type,0))),""))</f>
        <v/>
      </c>
      <c r="W575" s="68">
        <f>IF(OR(TaxOn&lt;&gt;"Yes",NOT(ISNUMBER(M575))),0,IF(IFERROR(INDEX(tt_Tax,MATCH(D575,tt_Type,0)),"No")="Yes",M575,0))</f>
        <v/>
      </c>
      <c r="X575" s="67">
        <f>IF(T575=1,"",IF(C575="","Missing transaction date",IF(NOT(ISNUMBER(C575)),"Invalid date",IF(OR(C575&lt;DATE(2000,1,1),C575&gt;DATE(2099,12,31)),"Invalid date",IF(D575="","Select a type",IF(U575="","Unknown type: "&amp;D575,IF(V575="","Select an account (Category)",IF(ISNA(MATCH(V575,coa_Name,0)),"Unknown account: "&amp;V575,IF(K575="","Select Paid From / Deposited To",IF(ISNA(MATCH(K575,coa_Name,0)),"Unknown account: "&amp;K575,IF(NOT(ISNUMBER(L575)),"Enter an amount",IF(L575=0,"Enter an amount",IF(ABS(W575)&gt;ABS(L575),"Tax is larger than the amount","")))))))))))))</f>
        <v/>
      </c>
      <c r="Y575" s="67">
        <f>IF(OR(T575=1,X575&lt;&gt;""),"",IF(AND(B575&lt;&gt;"",COUNTIF(tx_ID,B575)&gt;1),"Duplicate transaction ID",IF(AND(L575&lt;0,D575&lt;&gt;"Adjustment"),"Negative amount — check this entry",IF(AND(D575="Customer Payment",G575=""),"Add the customer",IF(AND(D575="Customer Payment",OR(J575="",COUNTIF(ar_No,J575&amp;"")=0)),"Invoice # in Reference not found on AR sheet",IF(AND(D575="Bill Payment",H575=""),"Add the vendor",IF(AND(D575="Bill Payment",OR(J575="",COUNTIFS(ap_No,J575&amp;"",ap_Party,H575&amp;"")=0)),"Bill # + vendor not found on AP sheet",IF(AND(ISNUMBER(M575),N(M575)&lt;&gt;0,W575=0),"Tax ignored (tax tracking off, or not allowed for this type)",IF(V575=K575&amp;"","Same account on both sides",IF(AND(ISNUMBER(StartDate),C575&lt;StartDate),"Date is before the accounting start date",IF(AND(D575&lt;&gt;"Adjustment",IFERROR(INDEX(coa_Pay,MATCH(K575&amp;"",coa_Name,0)),"")&lt;&gt;"Yes"),"Paid From / Deposited To is not a payment account","")))))))))))</f>
        <v/>
      </c>
      <c r="Z575" s="67">
        <f>IF(AND(T575=0,X575=""),1,0)</f>
        <v/>
      </c>
      <c r="AA575" s="68">
        <f>IF(Z575=1,IF(U575="In",L575,L575-W575),0)</f>
        <v/>
      </c>
      <c r="AB575" s="68">
        <f>IF(Z575=1,IF(U575="In",L575-W575,L575),0)</f>
        <v/>
      </c>
      <c r="AC575" s="68">
        <f>IF(AND(Z575=1,U575="Out"),W575,0)</f>
        <v/>
      </c>
      <c r="AD575" s="68">
        <f>IF(AND(Z575=1,U575="In"),W575,0)</f>
        <v/>
      </c>
    </row>
    <row r="576">
      <c r="B576" s="62" t="inlineStr">
        <is>
          <t>TX-0570</t>
        </is>
      </c>
      <c r="C576" s="63" t="n"/>
      <c r="D576" s="62" t="n"/>
      <c r="E576" s="62" t="n"/>
      <c r="F576" s="62" t="n"/>
      <c r="G576" s="62" t="n"/>
      <c r="H576" s="62" t="n"/>
      <c r="I576" s="62" t="n"/>
      <c r="J576" s="62" t="n"/>
      <c r="K576" s="62" t="n"/>
      <c r="L576" s="64" t="n"/>
      <c r="M576" s="64" t="n"/>
      <c r="N576" s="62" t="n"/>
      <c r="O576" s="65">
        <f>IF(Z576=1,L576-W576,"")</f>
        <v/>
      </c>
      <c r="P576" s="66">
        <f>IF(V576="","",IFERROR(INDEX(coa_Type,MATCH(V576,coa_Name,0)),""))</f>
        <v/>
      </c>
      <c r="Q576" s="66">
        <f>IF(Z576=1,IF(U576="In",K576&amp;"",V576),"")</f>
        <v/>
      </c>
      <c r="R576" s="66">
        <f>IF(Z576=1,IF(U576="In",V576,K576&amp;""),"")</f>
        <v/>
      </c>
      <c r="S576" s="66">
        <f>IF(X576&lt;&gt;"","⛔ "&amp;X576&amp;" — not posted",IF(Y576&lt;&gt;"","⚠ "&amp;Y576,IF(Z576=1,"✓ OK","")))</f>
        <v/>
      </c>
      <c r="T576" s="67">
        <f>IF(AND(C576="",D576="",E576="",L576="",K576=""),1,0)</f>
        <v/>
      </c>
      <c r="U576" s="67">
        <f>IFERROR(INDEX(tt_Dir,MATCH(D576,tt_Type,0)),"")</f>
        <v/>
      </c>
      <c r="V576" s="67">
        <f>IF(D576="","",IFERROR(IF(INDEX(tt_Other,MATCH(D576,tt_Type,0))="",E576&amp;"",INDEX(tt_Other,MATCH(D576,tt_Type,0))),""))</f>
        <v/>
      </c>
      <c r="W576" s="68">
        <f>IF(OR(TaxOn&lt;&gt;"Yes",NOT(ISNUMBER(M576))),0,IF(IFERROR(INDEX(tt_Tax,MATCH(D576,tt_Type,0)),"No")="Yes",M576,0))</f>
        <v/>
      </c>
      <c r="X576" s="67">
        <f>IF(T576=1,"",IF(C576="","Missing transaction date",IF(NOT(ISNUMBER(C576)),"Invalid date",IF(OR(C576&lt;DATE(2000,1,1),C576&gt;DATE(2099,12,31)),"Invalid date",IF(D576="","Select a type",IF(U576="","Unknown type: "&amp;D576,IF(V576="","Select an account (Category)",IF(ISNA(MATCH(V576,coa_Name,0)),"Unknown account: "&amp;V576,IF(K576="","Select Paid From / Deposited To",IF(ISNA(MATCH(K576,coa_Name,0)),"Unknown account: "&amp;K576,IF(NOT(ISNUMBER(L576)),"Enter an amount",IF(L576=0,"Enter an amount",IF(ABS(W576)&gt;ABS(L576),"Tax is larger than the amount","")))))))))))))</f>
        <v/>
      </c>
      <c r="Y576" s="67">
        <f>IF(OR(T576=1,X576&lt;&gt;""),"",IF(AND(B576&lt;&gt;"",COUNTIF(tx_ID,B576)&gt;1),"Duplicate transaction ID",IF(AND(L576&lt;0,D576&lt;&gt;"Adjustment"),"Negative amount — check this entry",IF(AND(D576="Customer Payment",G576=""),"Add the customer",IF(AND(D576="Customer Payment",OR(J576="",COUNTIF(ar_No,J576&amp;"")=0)),"Invoice # in Reference not found on AR sheet",IF(AND(D576="Bill Payment",H576=""),"Add the vendor",IF(AND(D576="Bill Payment",OR(J576="",COUNTIFS(ap_No,J576&amp;"",ap_Party,H576&amp;"")=0)),"Bill # + vendor not found on AP sheet",IF(AND(ISNUMBER(M576),N(M576)&lt;&gt;0,W576=0),"Tax ignored (tax tracking off, or not allowed for this type)",IF(V576=K576&amp;"","Same account on both sides",IF(AND(ISNUMBER(StartDate),C576&lt;StartDate),"Date is before the accounting start date",IF(AND(D576&lt;&gt;"Adjustment",IFERROR(INDEX(coa_Pay,MATCH(K576&amp;"",coa_Name,0)),"")&lt;&gt;"Yes"),"Paid From / Deposited To is not a payment account","")))))))))))</f>
        <v/>
      </c>
      <c r="Z576" s="67">
        <f>IF(AND(T576=0,X576=""),1,0)</f>
        <v/>
      </c>
      <c r="AA576" s="68">
        <f>IF(Z576=1,IF(U576="In",L576,L576-W576),0)</f>
        <v/>
      </c>
      <c r="AB576" s="68">
        <f>IF(Z576=1,IF(U576="In",L576-W576,L576),0)</f>
        <v/>
      </c>
      <c r="AC576" s="68">
        <f>IF(AND(Z576=1,U576="Out"),W576,0)</f>
        <v/>
      </c>
      <c r="AD576" s="68">
        <f>IF(AND(Z576=1,U576="In"),W576,0)</f>
        <v/>
      </c>
    </row>
    <row r="577">
      <c r="B577" s="62" t="inlineStr">
        <is>
          <t>TX-0571</t>
        </is>
      </c>
      <c r="C577" s="63" t="n"/>
      <c r="D577" s="62" t="n"/>
      <c r="E577" s="62" t="n"/>
      <c r="F577" s="62" t="n"/>
      <c r="G577" s="62" t="n"/>
      <c r="H577" s="62" t="n"/>
      <c r="I577" s="62" t="n"/>
      <c r="J577" s="62" t="n"/>
      <c r="K577" s="62" t="n"/>
      <c r="L577" s="64" t="n"/>
      <c r="M577" s="64" t="n"/>
      <c r="N577" s="62" t="n"/>
      <c r="O577" s="65">
        <f>IF(Z577=1,L577-W577,"")</f>
        <v/>
      </c>
      <c r="P577" s="66">
        <f>IF(V577="","",IFERROR(INDEX(coa_Type,MATCH(V577,coa_Name,0)),""))</f>
        <v/>
      </c>
      <c r="Q577" s="66">
        <f>IF(Z577=1,IF(U577="In",K577&amp;"",V577),"")</f>
        <v/>
      </c>
      <c r="R577" s="66">
        <f>IF(Z577=1,IF(U577="In",V577,K577&amp;""),"")</f>
        <v/>
      </c>
      <c r="S577" s="66">
        <f>IF(X577&lt;&gt;"","⛔ "&amp;X577&amp;" — not posted",IF(Y577&lt;&gt;"","⚠ "&amp;Y577,IF(Z577=1,"✓ OK","")))</f>
        <v/>
      </c>
      <c r="T577" s="67">
        <f>IF(AND(C577="",D577="",E577="",L577="",K577=""),1,0)</f>
        <v/>
      </c>
      <c r="U577" s="67">
        <f>IFERROR(INDEX(tt_Dir,MATCH(D577,tt_Type,0)),"")</f>
        <v/>
      </c>
      <c r="V577" s="67">
        <f>IF(D577="","",IFERROR(IF(INDEX(tt_Other,MATCH(D577,tt_Type,0))="",E577&amp;"",INDEX(tt_Other,MATCH(D577,tt_Type,0))),""))</f>
        <v/>
      </c>
      <c r="W577" s="68">
        <f>IF(OR(TaxOn&lt;&gt;"Yes",NOT(ISNUMBER(M577))),0,IF(IFERROR(INDEX(tt_Tax,MATCH(D577,tt_Type,0)),"No")="Yes",M577,0))</f>
        <v/>
      </c>
      <c r="X577" s="67">
        <f>IF(T577=1,"",IF(C577="","Missing transaction date",IF(NOT(ISNUMBER(C577)),"Invalid date",IF(OR(C577&lt;DATE(2000,1,1),C577&gt;DATE(2099,12,31)),"Invalid date",IF(D577="","Select a type",IF(U577="","Unknown type: "&amp;D577,IF(V577="","Select an account (Category)",IF(ISNA(MATCH(V577,coa_Name,0)),"Unknown account: "&amp;V577,IF(K577="","Select Paid From / Deposited To",IF(ISNA(MATCH(K577,coa_Name,0)),"Unknown account: "&amp;K577,IF(NOT(ISNUMBER(L577)),"Enter an amount",IF(L577=0,"Enter an amount",IF(ABS(W577)&gt;ABS(L577),"Tax is larger than the amount","")))))))))))))</f>
        <v/>
      </c>
      <c r="Y577" s="67">
        <f>IF(OR(T577=1,X577&lt;&gt;""),"",IF(AND(B577&lt;&gt;"",COUNTIF(tx_ID,B577)&gt;1),"Duplicate transaction ID",IF(AND(L577&lt;0,D577&lt;&gt;"Adjustment"),"Negative amount — check this entry",IF(AND(D577="Customer Payment",G577=""),"Add the customer",IF(AND(D577="Customer Payment",OR(J577="",COUNTIF(ar_No,J577&amp;"")=0)),"Invoice # in Reference not found on AR sheet",IF(AND(D577="Bill Payment",H577=""),"Add the vendor",IF(AND(D577="Bill Payment",OR(J577="",COUNTIFS(ap_No,J577&amp;"",ap_Party,H577&amp;"")=0)),"Bill # + vendor not found on AP sheet",IF(AND(ISNUMBER(M577),N(M577)&lt;&gt;0,W577=0),"Tax ignored (tax tracking off, or not allowed for this type)",IF(V577=K577&amp;"","Same account on both sides",IF(AND(ISNUMBER(StartDate),C577&lt;StartDate),"Date is before the accounting start date",IF(AND(D577&lt;&gt;"Adjustment",IFERROR(INDEX(coa_Pay,MATCH(K577&amp;"",coa_Name,0)),"")&lt;&gt;"Yes"),"Paid From / Deposited To is not a payment account","")))))))))))</f>
        <v/>
      </c>
      <c r="Z577" s="67">
        <f>IF(AND(T577=0,X577=""),1,0)</f>
        <v/>
      </c>
      <c r="AA577" s="68">
        <f>IF(Z577=1,IF(U577="In",L577,L577-W577),0)</f>
        <v/>
      </c>
      <c r="AB577" s="68">
        <f>IF(Z577=1,IF(U577="In",L577-W577,L577),0)</f>
        <v/>
      </c>
      <c r="AC577" s="68">
        <f>IF(AND(Z577=1,U577="Out"),W577,0)</f>
        <v/>
      </c>
      <c r="AD577" s="68">
        <f>IF(AND(Z577=1,U577="In"),W577,0)</f>
        <v/>
      </c>
    </row>
    <row r="578">
      <c r="B578" s="62" t="inlineStr">
        <is>
          <t>TX-0572</t>
        </is>
      </c>
      <c r="C578" s="63" t="n"/>
      <c r="D578" s="62" t="n"/>
      <c r="E578" s="62" t="n"/>
      <c r="F578" s="62" t="n"/>
      <c r="G578" s="62" t="n"/>
      <c r="H578" s="62" t="n"/>
      <c r="I578" s="62" t="n"/>
      <c r="J578" s="62" t="n"/>
      <c r="K578" s="62" t="n"/>
      <c r="L578" s="64" t="n"/>
      <c r="M578" s="64" t="n"/>
      <c r="N578" s="62" t="n"/>
      <c r="O578" s="65">
        <f>IF(Z578=1,L578-W578,"")</f>
        <v/>
      </c>
      <c r="P578" s="66">
        <f>IF(V578="","",IFERROR(INDEX(coa_Type,MATCH(V578,coa_Name,0)),""))</f>
        <v/>
      </c>
      <c r="Q578" s="66">
        <f>IF(Z578=1,IF(U578="In",K578&amp;"",V578),"")</f>
        <v/>
      </c>
      <c r="R578" s="66">
        <f>IF(Z578=1,IF(U578="In",V578,K578&amp;""),"")</f>
        <v/>
      </c>
      <c r="S578" s="66">
        <f>IF(X578&lt;&gt;"","⛔ "&amp;X578&amp;" — not posted",IF(Y578&lt;&gt;"","⚠ "&amp;Y578,IF(Z578=1,"✓ OK","")))</f>
        <v/>
      </c>
      <c r="T578" s="67">
        <f>IF(AND(C578="",D578="",E578="",L578="",K578=""),1,0)</f>
        <v/>
      </c>
      <c r="U578" s="67">
        <f>IFERROR(INDEX(tt_Dir,MATCH(D578,tt_Type,0)),"")</f>
        <v/>
      </c>
      <c r="V578" s="67">
        <f>IF(D578="","",IFERROR(IF(INDEX(tt_Other,MATCH(D578,tt_Type,0))="",E578&amp;"",INDEX(tt_Other,MATCH(D578,tt_Type,0))),""))</f>
        <v/>
      </c>
      <c r="W578" s="68">
        <f>IF(OR(TaxOn&lt;&gt;"Yes",NOT(ISNUMBER(M578))),0,IF(IFERROR(INDEX(tt_Tax,MATCH(D578,tt_Type,0)),"No")="Yes",M578,0))</f>
        <v/>
      </c>
      <c r="X578" s="67">
        <f>IF(T578=1,"",IF(C578="","Missing transaction date",IF(NOT(ISNUMBER(C578)),"Invalid date",IF(OR(C578&lt;DATE(2000,1,1),C578&gt;DATE(2099,12,31)),"Invalid date",IF(D578="","Select a type",IF(U578="","Unknown type: "&amp;D578,IF(V578="","Select an account (Category)",IF(ISNA(MATCH(V578,coa_Name,0)),"Unknown account: "&amp;V578,IF(K578="","Select Paid From / Deposited To",IF(ISNA(MATCH(K578,coa_Name,0)),"Unknown account: "&amp;K578,IF(NOT(ISNUMBER(L578)),"Enter an amount",IF(L578=0,"Enter an amount",IF(ABS(W578)&gt;ABS(L578),"Tax is larger than the amount","")))))))))))))</f>
        <v/>
      </c>
      <c r="Y578" s="67">
        <f>IF(OR(T578=1,X578&lt;&gt;""),"",IF(AND(B578&lt;&gt;"",COUNTIF(tx_ID,B578)&gt;1),"Duplicate transaction ID",IF(AND(L578&lt;0,D578&lt;&gt;"Adjustment"),"Negative amount — check this entry",IF(AND(D578="Customer Payment",G578=""),"Add the customer",IF(AND(D578="Customer Payment",OR(J578="",COUNTIF(ar_No,J578&amp;"")=0)),"Invoice # in Reference not found on AR sheet",IF(AND(D578="Bill Payment",H578=""),"Add the vendor",IF(AND(D578="Bill Payment",OR(J578="",COUNTIFS(ap_No,J578&amp;"",ap_Party,H578&amp;"")=0)),"Bill # + vendor not found on AP sheet",IF(AND(ISNUMBER(M578),N(M578)&lt;&gt;0,W578=0),"Tax ignored (tax tracking off, or not allowed for this type)",IF(V578=K578&amp;"","Same account on both sides",IF(AND(ISNUMBER(StartDate),C578&lt;StartDate),"Date is before the accounting start date",IF(AND(D578&lt;&gt;"Adjustment",IFERROR(INDEX(coa_Pay,MATCH(K578&amp;"",coa_Name,0)),"")&lt;&gt;"Yes"),"Paid From / Deposited To is not a payment account","")))))))))))</f>
        <v/>
      </c>
      <c r="Z578" s="67">
        <f>IF(AND(T578=0,X578=""),1,0)</f>
        <v/>
      </c>
      <c r="AA578" s="68">
        <f>IF(Z578=1,IF(U578="In",L578,L578-W578),0)</f>
        <v/>
      </c>
      <c r="AB578" s="68">
        <f>IF(Z578=1,IF(U578="In",L578-W578,L578),0)</f>
        <v/>
      </c>
      <c r="AC578" s="68">
        <f>IF(AND(Z578=1,U578="Out"),W578,0)</f>
        <v/>
      </c>
      <c r="AD578" s="68">
        <f>IF(AND(Z578=1,U578="In"),W578,0)</f>
        <v/>
      </c>
    </row>
    <row r="579">
      <c r="B579" s="62" t="inlineStr">
        <is>
          <t>TX-0573</t>
        </is>
      </c>
      <c r="C579" s="63" t="n"/>
      <c r="D579" s="62" t="n"/>
      <c r="E579" s="62" t="n"/>
      <c r="F579" s="62" t="n"/>
      <c r="G579" s="62" t="n"/>
      <c r="H579" s="62" t="n"/>
      <c r="I579" s="62" t="n"/>
      <c r="J579" s="62" t="n"/>
      <c r="K579" s="62" t="n"/>
      <c r="L579" s="64" t="n"/>
      <c r="M579" s="64" t="n"/>
      <c r="N579" s="62" t="n"/>
      <c r="O579" s="65">
        <f>IF(Z579=1,L579-W579,"")</f>
        <v/>
      </c>
      <c r="P579" s="66">
        <f>IF(V579="","",IFERROR(INDEX(coa_Type,MATCH(V579,coa_Name,0)),""))</f>
        <v/>
      </c>
      <c r="Q579" s="66">
        <f>IF(Z579=1,IF(U579="In",K579&amp;"",V579),"")</f>
        <v/>
      </c>
      <c r="R579" s="66">
        <f>IF(Z579=1,IF(U579="In",V579,K579&amp;""),"")</f>
        <v/>
      </c>
      <c r="S579" s="66">
        <f>IF(X579&lt;&gt;"","⛔ "&amp;X579&amp;" — not posted",IF(Y579&lt;&gt;"","⚠ "&amp;Y579,IF(Z579=1,"✓ OK","")))</f>
        <v/>
      </c>
      <c r="T579" s="67">
        <f>IF(AND(C579="",D579="",E579="",L579="",K579=""),1,0)</f>
        <v/>
      </c>
      <c r="U579" s="67">
        <f>IFERROR(INDEX(tt_Dir,MATCH(D579,tt_Type,0)),"")</f>
        <v/>
      </c>
      <c r="V579" s="67">
        <f>IF(D579="","",IFERROR(IF(INDEX(tt_Other,MATCH(D579,tt_Type,0))="",E579&amp;"",INDEX(tt_Other,MATCH(D579,tt_Type,0))),""))</f>
        <v/>
      </c>
      <c r="W579" s="68">
        <f>IF(OR(TaxOn&lt;&gt;"Yes",NOT(ISNUMBER(M579))),0,IF(IFERROR(INDEX(tt_Tax,MATCH(D579,tt_Type,0)),"No")="Yes",M579,0))</f>
        <v/>
      </c>
      <c r="X579" s="67">
        <f>IF(T579=1,"",IF(C579="","Missing transaction date",IF(NOT(ISNUMBER(C579)),"Invalid date",IF(OR(C579&lt;DATE(2000,1,1),C579&gt;DATE(2099,12,31)),"Invalid date",IF(D579="","Select a type",IF(U579="","Unknown type: "&amp;D579,IF(V579="","Select an account (Category)",IF(ISNA(MATCH(V579,coa_Name,0)),"Unknown account: "&amp;V579,IF(K579="","Select Paid From / Deposited To",IF(ISNA(MATCH(K579,coa_Name,0)),"Unknown account: "&amp;K579,IF(NOT(ISNUMBER(L579)),"Enter an amount",IF(L579=0,"Enter an amount",IF(ABS(W579)&gt;ABS(L579),"Tax is larger than the amount","")))))))))))))</f>
        <v/>
      </c>
      <c r="Y579" s="67">
        <f>IF(OR(T579=1,X579&lt;&gt;""),"",IF(AND(B579&lt;&gt;"",COUNTIF(tx_ID,B579)&gt;1),"Duplicate transaction ID",IF(AND(L579&lt;0,D579&lt;&gt;"Adjustment"),"Negative amount — check this entry",IF(AND(D579="Customer Payment",G579=""),"Add the customer",IF(AND(D579="Customer Payment",OR(J579="",COUNTIF(ar_No,J579&amp;"")=0)),"Invoice # in Reference not found on AR sheet",IF(AND(D579="Bill Payment",H579=""),"Add the vendor",IF(AND(D579="Bill Payment",OR(J579="",COUNTIFS(ap_No,J579&amp;"",ap_Party,H579&amp;"")=0)),"Bill # + vendor not found on AP sheet",IF(AND(ISNUMBER(M579),N(M579)&lt;&gt;0,W579=0),"Tax ignored (tax tracking off, or not allowed for this type)",IF(V579=K579&amp;"","Same account on both sides",IF(AND(ISNUMBER(StartDate),C579&lt;StartDate),"Date is before the accounting start date",IF(AND(D579&lt;&gt;"Adjustment",IFERROR(INDEX(coa_Pay,MATCH(K579&amp;"",coa_Name,0)),"")&lt;&gt;"Yes"),"Paid From / Deposited To is not a payment account","")))))))))))</f>
        <v/>
      </c>
      <c r="Z579" s="67">
        <f>IF(AND(T579=0,X579=""),1,0)</f>
        <v/>
      </c>
      <c r="AA579" s="68">
        <f>IF(Z579=1,IF(U579="In",L579,L579-W579),0)</f>
        <v/>
      </c>
      <c r="AB579" s="68">
        <f>IF(Z579=1,IF(U579="In",L579-W579,L579),0)</f>
        <v/>
      </c>
      <c r="AC579" s="68">
        <f>IF(AND(Z579=1,U579="Out"),W579,0)</f>
        <v/>
      </c>
      <c r="AD579" s="68">
        <f>IF(AND(Z579=1,U579="In"),W579,0)</f>
        <v/>
      </c>
    </row>
    <row r="580">
      <c r="B580" s="62" t="inlineStr">
        <is>
          <t>TX-0574</t>
        </is>
      </c>
      <c r="C580" s="63" t="n"/>
      <c r="D580" s="62" t="n"/>
      <c r="E580" s="62" t="n"/>
      <c r="F580" s="62" t="n"/>
      <c r="G580" s="62" t="n"/>
      <c r="H580" s="62" t="n"/>
      <c r="I580" s="62" t="n"/>
      <c r="J580" s="62" t="n"/>
      <c r="K580" s="62" t="n"/>
      <c r="L580" s="64" t="n"/>
      <c r="M580" s="64" t="n"/>
      <c r="N580" s="62" t="n"/>
      <c r="O580" s="65">
        <f>IF(Z580=1,L580-W580,"")</f>
        <v/>
      </c>
      <c r="P580" s="66">
        <f>IF(V580="","",IFERROR(INDEX(coa_Type,MATCH(V580,coa_Name,0)),""))</f>
        <v/>
      </c>
      <c r="Q580" s="66">
        <f>IF(Z580=1,IF(U580="In",K580&amp;"",V580),"")</f>
        <v/>
      </c>
      <c r="R580" s="66">
        <f>IF(Z580=1,IF(U580="In",V580,K580&amp;""),"")</f>
        <v/>
      </c>
      <c r="S580" s="66">
        <f>IF(X580&lt;&gt;"","⛔ "&amp;X580&amp;" — not posted",IF(Y580&lt;&gt;"","⚠ "&amp;Y580,IF(Z580=1,"✓ OK","")))</f>
        <v/>
      </c>
      <c r="T580" s="67">
        <f>IF(AND(C580="",D580="",E580="",L580="",K580=""),1,0)</f>
        <v/>
      </c>
      <c r="U580" s="67">
        <f>IFERROR(INDEX(tt_Dir,MATCH(D580,tt_Type,0)),"")</f>
        <v/>
      </c>
      <c r="V580" s="67">
        <f>IF(D580="","",IFERROR(IF(INDEX(tt_Other,MATCH(D580,tt_Type,0))="",E580&amp;"",INDEX(tt_Other,MATCH(D580,tt_Type,0))),""))</f>
        <v/>
      </c>
      <c r="W580" s="68">
        <f>IF(OR(TaxOn&lt;&gt;"Yes",NOT(ISNUMBER(M580))),0,IF(IFERROR(INDEX(tt_Tax,MATCH(D580,tt_Type,0)),"No")="Yes",M580,0))</f>
        <v/>
      </c>
      <c r="X580" s="67">
        <f>IF(T580=1,"",IF(C580="","Missing transaction date",IF(NOT(ISNUMBER(C580)),"Invalid date",IF(OR(C580&lt;DATE(2000,1,1),C580&gt;DATE(2099,12,31)),"Invalid date",IF(D580="","Select a type",IF(U580="","Unknown type: "&amp;D580,IF(V580="","Select an account (Category)",IF(ISNA(MATCH(V580,coa_Name,0)),"Unknown account: "&amp;V580,IF(K580="","Select Paid From / Deposited To",IF(ISNA(MATCH(K580,coa_Name,0)),"Unknown account: "&amp;K580,IF(NOT(ISNUMBER(L580)),"Enter an amount",IF(L580=0,"Enter an amount",IF(ABS(W580)&gt;ABS(L580),"Tax is larger than the amount","")))))))))))))</f>
        <v/>
      </c>
      <c r="Y580" s="67">
        <f>IF(OR(T580=1,X580&lt;&gt;""),"",IF(AND(B580&lt;&gt;"",COUNTIF(tx_ID,B580)&gt;1),"Duplicate transaction ID",IF(AND(L580&lt;0,D580&lt;&gt;"Adjustment"),"Negative amount — check this entry",IF(AND(D580="Customer Payment",G580=""),"Add the customer",IF(AND(D580="Customer Payment",OR(J580="",COUNTIF(ar_No,J580&amp;"")=0)),"Invoice # in Reference not found on AR sheet",IF(AND(D580="Bill Payment",H580=""),"Add the vendor",IF(AND(D580="Bill Payment",OR(J580="",COUNTIFS(ap_No,J580&amp;"",ap_Party,H580&amp;"")=0)),"Bill # + vendor not found on AP sheet",IF(AND(ISNUMBER(M580),N(M580)&lt;&gt;0,W580=0),"Tax ignored (tax tracking off, or not allowed for this type)",IF(V580=K580&amp;"","Same account on both sides",IF(AND(ISNUMBER(StartDate),C580&lt;StartDate),"Date is before the accounting start date",IF(AND(D580&lt;&gt;"Adjustment",IFERROR(INDEX(coa_Pay,MATCH(K580&amp;"",coa_Name,0)),"")&lt;&gt;"Yes"),"Paid From / Deposited To is not a payment account","")))))))))))</f>
        <v/>
      </c>
      <c r="Z580" s="67">
        <f>IF(AND(T580=0,X580=""),1,0)</f>
        <v/>
      </c>
      <c r="AA580" s="68">
        <f>IF(Z580=1,IF(U580="In",L580,L580-W580),0)</f>
        <v/>
      </c>
      <c r="AB580" s="68">
        <f>IF(Z580=1,IF(U580="In",L580-W580,L580),0)</f>
        <v/>
      </c>
      <c r="AC580" s="68">
        <f>IF(AND(Z580=1,U580="Out"),W580,0)</f>
        <v/>
      </c>
      <c r="AD580" s="68">
        <f>IF(AND(Z580=1,U580="In"),W580,0)</f>
        <v/>
      </c>
    </row>
    <row r="581">
      <c r="B581" s="62" t="inlineStr">
        <is>
          <t>TX-0575</t>
        </is>
      </c>
      <c r="C581" s="63" t="n"/>
      <c r="D581" s="62" t="n"/>
      <c r="E581" s="62" t="n"/>
      <c r="F581" s="62" t="n"/>
      <c r="G581" s="62" t="n"/>
      <c r="H581" s="62" t="n"/>
      <c r="I581" s="62" t="n"/>
      <c r="J581" s="62" t="n"/>
      <c r="K581" s="62" t="n"/>
      <c r="L581" s="64" t="n"/>
      <c r="M581" s="64" t="n"/>
      <c r="N581" s="62" t="n"/>
      <c r="O581" s="65">
        <f>IF(Z581=1,L581-W581,"")</f>
        <v/>
      </c>
      <c r="P581" s="66">
        <f>IF(V581="","",IFERROR(INDEX(coa_Type,MATCH(V581,coa_Name,0)),""))</f>
        <v/>
      </c>
      <c r="Q581" s="66">
        <f>IF(Z581=1,IF(U581="In",K581&amp;"",V581),"")</f>
        <v/>
      </c>
      <c r="R581" s="66">
        <f>IF(Z581=1,IF(U581="In",V581,K581&amp;""),"")</f>
        <v/>
      </c>
      <c r="S581" s="66">
        <f>IF(X581&lt;&gt;"","⛔ "&amp;X581&amp;" — not posted",IF(Y581&lt;&gt;"","⚠ "&amp;Y581,IF(Z581=1,"✓ OK","")))</f>
        <v/>
      </c>
      <c r="T581" s="67">
        <f>IF(AND(C581="",D581="",E581="",L581="",K581=""),1,0)</f>
        <v/>
      </c>
      <c r="U581" s="67">
        <f>IFERROR(INDEX(tt_Dir,MATCH(D581,tt_Type,0)),"")</f>
        <v/>
      </c>
      <c r="V581" s="67">
        <f>IF(D581="","",IFERROR(IF(INDEX(tt_Other,MATCH(D581,tt_Type,0))="",E581&amp;"",INDEX(tt_Other,MATCH(D581,tt_Type,0))),""))</f>
        <v/>
      </c>
      <c r="W581" s="68">
        <f>IF(OR(TaxOn&lt;&gt;"Yes",NOT(ISNUMBER(M581))),0,IF(IFERROR(INDEX(tt_Tax,MATCH(D581,tt_Type,0)),"No")="Yes",M581,0))</f>
        <v/>
      </c>
      <c r="X581" s="67">
        <f>IF(T581=1,"",IF(C581="","Missing transaction date",IF(NOT(ISNUMBER(C581)),"Invalid date",IF(OR(C581&lt;DATE(2000,1,1),C581&gt;DATE(2099,12,31)),"Invalid date",IF(D581="","Select a type",IF(U581="","Unknown type: "&amp;D581,IF(V581="","Select an account (Category)",IF(ISNA(MATCH(V581,coa_Name,0)),"Unknown account: "&amp;V581,IF(K581="","Select Paid From / Deposited To",IF(ISNA(MATCH(K581,coa_Name,0)),"Unknown account: "&amp;K581,IF(NOT(ISNUMBER(L581)),"Enter an amount",IF(L581=0,"Enter an amount",IF(ABS(W581)&gt;ABS(L581),"Tax is larger than the amount","")))))))))))))</f>
        <v/>
      </c>
      <c r="Y581" s="67">
        <f>IF(OR(T581=1,X581&lt;&gt;""),"",IF(AND(B581&lt;&gt;"",COUNTIF(tx_ID,B581)&gt;1),"Duplicate transaction ID",IF(AND(L581&lt;0,D581&lt;&gt;"Adjustment"),"Negative amount — check this entry",IF(AND(D581="Customer Payment",G581=""),"Add the customer",IF(AND(D581="Customer Payment",OR(J581="",COUNTIF(ar_No,J581&amp;"")=0)),"Invoice # in Reference not found on AR sheet",IF(AND(D581="Bill Payment",H581=""),"Add the vendor",IF(AND(D581="Bill Payment",OR(J581="",COUNTIFS(ap_No,J581&amp;"",ap_Party,H581&amp;"")=0)),"Bill # + vendor not found on AP sheet",IF(AND(ISNUMBER(M581),N(M581)&lt;&gt;0,W581=0),"Tax ignored (tax tracking off, or not allowed for this type)",IF(V581=K581&amp;"","Same account on both sides",IF(AND(ISNUMBER(StartDate),C581&lt;StartDate),"Date is before the accounting start date",IF(AND(D581&lt;&gt;"Adjustment",IFERROR(INDEX(coa_Pay,MATCH(K581&amp;"",coa_Name,0)),"")&lt;&gt;"Yes"),"Paid From / Deposited To is not a payment account","")))))))))))</f>
        <v/>
      </c>
      <c r="Z581" s="67">
        <f>IF(AND(T581=0,X581=""),1,0)</f>
        <v/>
      </c>
      <c r="AA581" s="68">
        <f>IF(Z581=1,IF(U581="In",L581,L581-W581),0)</f>
        <v/>
      </c>
      <c r="AB581" s="68">
        <f>IF(Z581=1,IF(U581="In",L581-W581,L581),0)</f>
        <v/>
      </c>
      <c r="AC581" s="68">
        <f>IF(AND(Z581=1,U581="Out"),W581,0)</f>
        <v/>
      </c>
      <c r="AD581" s="68">
        <f>IF(AND(Z581=1,U581="In"),W581,0)</f>
        <v/>
      </c>
    </row>
    <row r="582">
      <c r="B582" s="62" t="inlineStr">
        <is>
          <t>TX-0576</t>
        </is>
      </c>
      <c r="C582" s="63" t="n"/>
      <c r="D582" s="62" t="n"/>
      <c r="E582" s="62" t="n"/>
      <c r="F582" s="62" t="n"/>
      <c r="G582" s="62" t="n"/>
      <c r="H582" s="62" t="n"/>
      <c r="I582" s="62" t="n"/>
      <c r="J582" s="62" t="n"/>
      <c r="K582" s="62" t="n"/>
      <c r="L582" s="64" t="n"/>
      <c r="M582" s="64" t="n"/>
      <c r="N582" s="62" t="n"/>
      <c r="O582" s="65">
        <f>IF(Z582=1,L582-W582,"")</f>
        <v/>
      </c>
      <c r="P582" s="66">
        <f>IF(V582="","",IFERROR(INDEX(coa_Type,MATCH(V582,coa_Name,0)),""))</f>
        <v/>
      </c>
      <c r="Q582" s="66">
        <f>IF(Z582=1,IF(U582="In",K582&amp;"",V582),"")</f>
        <v/>
      </c>
      <c r="R582" s="66">
        <f>IF(Z582=1,IF(U582="In",V582,K582&amp;""),"")</f>
        <v/>
      </c>
      <c r="S582" s="66">
        <f>IF(X582&lt;&gt;"","⛔ "&amp;X582&amp;" — not posted",IF(Y582&lt;&gt;"","⚠ "&amp;Y582,IF(Z582=1,"✓ OK","")))</f>
        <v/>
      </c>
      <c r="T582" s="67">
        <f>IF(AND(C582="",D582="",E582="",L582="",K582=""),1,0)</f>
        <v/>
      </c>
      <c r="U582" s="67">
        <f>IFERROR(INDEX(tt_Dir,MATCH(D582,tt_Type,0)),"")</f>
        <v/>
      </c>
      <c r="V582" s="67">
        <f>IF(D582="","",IFERROR(IF(INDEX(tt_Other,MATCH(D582,tt_Type,0))="",E582&amp;"",INDEX(tt_Other,MATCH(D582,tt_Type,0))),""))</f>
        <v/>
      </c>
      <c r="W582" s="68">
        <f>IF(OR(TaxOn&lt;&gt;"Yes",NOT(ISNUMBER(M582))),0,IF(IFERROR(INDEX(tt_Tax,MATCH(D582,tt_Type,0)),"No")="Yes",M582,0))</f>
        <v/>
      </c>
      <c r="X582" s="67">
        <f>IF(T582=1,"",IF(C582="","Missing transaction date",IF(NOT(ISNUMBER(C582)),"Invalid date",IF(OR(C582&lt;DATE(2000,1,1),C582&gt;DATE(2099,12,31)),"Invalid date",IF(D582="","Select a type",IF(U582="","Unknown type: "&amp;D582,IF(V582="","Select an account (Category)",IF(ISNA(MATCH(V582,coa_Name,0)),"Unknown account: "&amp;V582,IF(K582="","Select Paid From / Deposited To",IF(ISNA(MATCH(K582,coa_Name,0)),"Unknown account: "&amp;K582,IF(NOT(ISNUMBER(L582)),"Enter an amount",IF(L582=0,"Enter an amount",IF(ABS(W582)&gt;ABS(L582),"Tax is larger than the amount","")))))))))))))</f>
        <v/>
      </c>
      <c r="Y582" s="67">
        <f>IF(OR(T582=1,X582&lt;&gt;""),"",IF(AND(B582&lt;&gt;"",COUNTIF(tx_ID,B582)&gt;1),"Duplicate transaction ID",IF(AND(L582&lt;0,D582&lt;&gt;"Adjustment"),"Negative amount — check this entry",IF(AND(D582="Customer Payment",G582=""),"Add the customer",IF(AND(D582="Customer Payment",OR(J582="",COUNTIF(ar_No,J582&amp;"")=0)),"Invoice # in Reference not found on AR sheet",IF(AND(D582="Bill Payment",H582=""),"Add the vendor",IF(AND(D582="Bill Payment",OR(J582="",COUNTIFS(ap_No,J582&amp;"",ap_Party,H582&amp;"")=0)),"Bill # + vendor not found on AP sheet",IF(AND(ISNUMBER(M582),N(M582)&lt;&gt;0,W582=0),"Tax ignored (tax tracking off, or not allowed for this type)",IF(V582=K582&amp;"","Same account on both sides",IF(AND(ISNUMBER(StartDate),C582&lt;StartDate),"Date is before the accounting start date",IF(AND(D582&lt;&gt;"Adjustment",IFERROR(INDEX(coa_Pay,MATCH(K582&amp;"",coa_Name,0)),"")&lt;&gt;"Yes"),"Paid From / Deposited To is not a payment account","")))))))))))</f>
        <v/>
      </c>
      <c r="Z582" s="67">
        <f>IF(AND(T582=0,X582=""),1,0)</f>
        <v/>
      </c>
      <c r="AA582" s="68">
        <f>IF(Z582=1,IF(U582="In",L582,L582-W582),0)</f>
        <v/>
      </c>
      <c r="AB582" s="68">
        <f>IF(Z582=1,IF(U582="In",L582-W582,L582),0)</f>
        <v/>
      </c>
      <c r="AC582" s="68">
        <f>IF(AND(Z582=1,U582="Out"),W582,0)</f>
        <v/>
      </c>
      <c r="AD582" s="68">
        <f>IF(AND(Z582=1,U582="In"),W582,0)</f>
        <v/>
      </c>
    </row>
    <row r="583">
      <c r="B583" s="62" t="inlineStr">
        <is>
          <t>TX-0577</t>
        </is>
      </c>
      <c r="C583" s="63" t="n"/>
      <c r="D583" s="62" t="n"/>
      <c r="E583" s="62" t="n"/>
      <c r="F583" s="62" t="n"/>
      <c r="G583" s="62" t="n"/>
      <c r="H583" s="62" t="n"/>
      <c r="I583" s="62" t="n"/>
      <c r="J583" s="62" t="n"/>
      <c r="K583" s="62" t="n"/>
      <c r="L583" s="64" t="n"/>
      <c r="M583" s="64" t="n"/>
      <c r="N583" s="62" t="n"/>
      <c r="O583" s="65">
        <f>IF(Z583=1,L583-W583,"")</f>
        <v/>
      </c>
      <c r="P583" s="66">
        <f>IF(V583="","",IFERROR(INDEX(coa_Type,MATCH(V583,coa_Name,0)),""))</f>
        <v/>
      </c>
      <c r="Q583" s="66">
        <f>IF(Z583=1,IF(U583="In",K583&amp;"",V583),"")</f>
        <v/>
      </c>
      <c r="R583" s="66">
        <f>IF(Z583=1,IF(U583="In",V583,K583&amp;""),"")</f>
        <v/>
      </c>
      <c r="S583" s="66">
        <f>IF(X583&lt;&gt;"","⛔ "&amp;X583&amp;" — not posted",IF(Y583&lt;&gt;"","⚠ "&amp;Y583,IF(Z583=1,"✓ OK","")))</f>
        <v/>
      </c>
      <c r="T583" s="67">
        <f>IF(AND(C583="",D583="",E583="",L583="",K583=""),1,0)</f>
        <v/>
      </c>
      <c r="U583" s="67">
        <f>IFERROR(INDEX(tt_Dir,MATCH(D583,tt_Type,0)),"")</f>
        <v/>
      </c>
      <c r="V583" s="67">
        <f>IF(D583="","",IFERROR(IF(INDEX(tt_Other,MATCH(D583,tt_Type,0))="",E583&amp;"",INDEX(tt_Other,MATCH(D583,tt_Type,0))),""))</f>
        <v/>
      </c>
      <c r="W583" s="68">
        <f>IF(OR(TaxOn&lt;&gt;"Yes",NOT(ISNUMBER(M583))),0,IF(IFERROR(INDEX(tt_Tax,MATCH(D583,tt_Type,0)),"No")="Yes",M583,0))</f>
        <v/>
      </c>
      <c r="X583" s="67">
        <f>IF(T583=1,"",IF(C583="","Missing transaction date",IF(NOT(ISNUMBER(C583)),"Invalid date",IF(OR(C583&lt;DATE(2000,1,1),C583&gt;DATE(2099,12,31)),"Invalid date",IF(D583="","Select a type",IF(U583="","Unknown type: "&amp;D583,IF(V583="","Select an account (Category)",IF(ISNA(MATCH(V583,coa_Name,0)),"Unknown account: "&amp;V583,IF(K583="","Select Paid From / Deposited To",IF(ISNA(MATCH(K583,coa_Name,0)),"Unknown account: "&amp;K583,IF(NOT(ISNUMBER(L583)),"Enter an amount",IF(L583=0,"Enter an amount",IF(ABS(W583)&gt;ABS(L583),"Tax is larger than the amount","")))))))))))))</f>
        <v/>
      </c>
      <c r="Y583" s="67">
        <f>IF(OR(T583=1,X583&lt;&gt;""),"",IF(AND(B583&lt;&gt;"",COUNTIF(tx_ID,B583)&gt;1),"Duplicate transaction ID",IF(AND(L583&lt;0,D583&lt;&gt;"Adjustment"),"Negative amount — check this entry",IF(AND(D583="Customer Payment",G583=""),"Add the customer",IF(AND(D583="Customer Payment",OR(J583="",COUNTIF(ar_No,J583&amp;"")=0)),"Invoice # in Reference not found on AR sheet",IF(AND(D583="Bill Payment",H583=""),"Add the vendor",IF(AND(D583="Bill Payment",OR(J583="",COUNTIFS(ap_No,J583&amp;"",ap_Party,H583&amp;"")=0)),"Bill # + vendor not found on AP sheet",IF(AND(ISNUMBER(M583),N(M583)&lt;&gt;0,W583=0),"Tax ignored (tax tracking off, or not allowed for this type)",IF(V583=K583&amp;"","Same account on both sides",IF(AND(ISNUMBER(StartDate),C583&lt;StartDate),"Date is before the accounting start date",IF(AND(D583&lt;&gt;"Adjustment",IFERROR(INDEX(coa_Pay,MATCH(K583&amp;"",coa_Name,0)),"")&lt;&gt;"Yes"),"Paid From / Deposited To is not a payment account","")))))))))))</f>
        <v/>
      </c>
      <c r="Z583" s="67">
        <f>IF(AND(T583=0,X583=""),1,0)</f>
        <v/>
      </c>
      <c r="AA583" s="68">
        <f>IF(Z583=1,IF(U583="In",L583,L583-W583),0)</f>
        <v/>
      </c>
      <c r="AB583" s="68">
        <f>IF(Z583=1,IF(U583="In",L583-W583,L583),0)</f>
        <v/>
      </c>
      <c r="AC583" s="68">
        <f>IF(AND(Z583=1,U583="Out"),W583,0)</f>
        <v/>
      </c>
      <c r="AD583" s="68">
        <f>IF(AND(Z583=1,U583="In"),W583,0)</f>
        <v/>
      </c>
    </row>
    <row r="584">
      <c r="B584" s="62" t="inlineStr">
        <is>
          <t>TX-0578</t>
        </is>
      </c>
      <c r="C584" s="63" t="n"/>
      <c r="D584" s="62" t="n"/>
      <c r="E584" s="62" t="n"/>
      <c r="F584" s="62" t="n"/>
      <c r="G584" s="62" t="n"/>
      <c r="H584" s="62" t="n"/>
      <c r="I584" s="62" t="n"/>
      <c r="J584" s="62" t="n"/>
      <c r="K584" s="62" t="n"/>
      <c r="L584" s="64" t="n"/>
      <c r="M584" s="64" t="n"/>
      <c r="N584" s="62" t="n"/>
      <c r="O584" s="65">
        <f>IF(Z584=1,L584-W584,"")</f>
        <v/>
      </c>
      <c r="P584" s="66">
        <f>IF(V584="","",IFERROR(INDEX(coa_Type,MATCH(V584,coa_Name,0)),""))</f>
        <v/>
      </c>
      <c r="Q584" s="66">
        <f>IF(Z584=1,IF(U584="In",K584&amp;"",V584),"")</f>
        <v/>
      </c>
      <c r="R584" s="66">
        <f>IF(Z584=1,IF(U584="In",V584,K584&amp;""),"")</f>
        <v/>
      </c>
      <c r="S584" s="66">
        <f>IF(X584&lt;&gt;"","⛔ "&amp;X584&amp;" — not posted",IF(Y584&lt;&gt;"","⚠ "&amp;Y584,IF(Z584=1,"✓ OK","")))</f>
        <v/>
      </c>
      <c r="T584" s="67">
        <f>IF(AND(C584="",D584="",E584="",L584="",K584=""),1,0)</f>
        <v/>
      </c>
      <c r="U584" s="67">
        <f>IFERROR(INDEX(tt_Dir,MATCH(D584,tt_Type,0)),"")</f>
        <v/>
      </c>
      <c r="V584" s="67">
        <f>IF(D584="","",IFERROR(IF(INDEX(tt_Other,MATCH(D584,tt_Type,0))="",E584&amp;"",INDEX(tt_Other,MATCH(D584,tt_Type,0))),""))</f>
        <v/>
      </c>
      <c r="W584" s="68">
        <f>IF(OR(TaxOn&lt;&gt;"Yes",NOT(ISNUMBER(M584))),0,IF(IFERROR(INDEX(tt_Tax,MATCH(D584,tt_Type,0)),"No")="Yes",M584,0))</f>
        <v/>
      </c>
      <c r="X584" s="67">
        <f>IF(T584=1,"",IF(C584="","Missing transaction date",IF(NOT(ISNUMBER(C584)),"Invalid date",IF(OR(C584&lt;DATE(2000,1,1),C584&gt;DATE(2099,12,31)),"Invalid date",IF(D584="","Select a type",IF(U584="","Unknown type: "&amp;D584,IF(V584="","Select an account (Category)",IF(ISNA(MATCH(V584,coa_Name,0)),"Unknown account: "&amp;V584,IF(K584="","Select Paid From / Deposited To",IF(ISNA(MATCH(K584,coa_Name,0)),"Unknown account: "&amp;K584,IF(NOT(ISNUMBER(L584)),"Enter an amount",IF(L584=0,"Enter an amount",IF(ABS(W584)&gt;ABS(L584),"Tax is larger than the amount","")))))))))))))</f>
        <v/>
      </c>
      <c r="Y584" s="67">
        <f>IF(OR(T584=1,X584&lt;&gt;""),"",IF(AND(B584&lt;&gt;"",COUNTIF(tx_ID,B584)&gt;1),"Duplicate transaction ID",IF(AND(L584&lt;0,D584&lt;&gt;"Adjustment"),"Negative amount — check this entry",IF(AND(D584="Customer Payment",G584=""),"Add the customer",IF(AND(D584="Customer Payment",OR(J584="",COUNTIF(ar_No,J584&amp;"")=0)),"Invoice # in Reference not found on AR sheet",IF(AND(D584="Bill Payment",H584=""),"Add the vendor",IF(AND(D584="Bill Payment",OR(J584="",COUNTIFS(ap_No,J584&amp;"",ap_Party,H584&amp;"")=0)),"Bill # + vendor not found on AP sheet",IF(AND(ISNUMBER(M584),N(M584)&lt;&gt;0,W584=0),"Tax ignored (tax tracking off, or not allowed for this type)",IF(V584=K584&amp;"","Same account on both sides",IF(AND(ISNUMBER(StartDate),C584&lt;StartDate),"Date is before the accounting start date",IF(AND(D584&lt;&gt;"Adjustment",IFERROR(INDEX(coa_Pay,MATCH(K584&amp;"",coa_Name,0)),"")&lt;&gt;"Yes"),"Paid From / Deposited To is not a payment account","")))))))))))</f>
        <v/>
      </c>
      <c r="Z584" s="67">
        <f>IF(AND(T584=0,X584=""),1,0)</f>
        <v/>
      </c>
      <c r="AA584" s="68">
        <f>IF(Z584=1,IF(U584="In",L584,L584-W584),0)</f>
        <v/>
      </c>
      <c r="AB584" s="68">
        <f>IF(Z584=1,IF(U584="In",L584-W584,L584),0)</f>
        <v/>
      </c>
      <c r="AC584" s="68">
        <f>IF(AND(Z584=1,U584="Out"),W584,0)</f>
        <v/>
      </c>
      <c r="AD584" s="68">
        <f>IF(AND(Z584=1,U584="In"),W584,0)</f>
        <v/>
      </c>
    </row>
    <row r="585">
      <c r="B585" s="62" t="inlineStr">
        <is>
          <t>TX-0579</t>
        </is>
      </c>
      <c r="C585" s="63" t="n"/>
      <c r="D585" s="62" t="n"/>
      <c r="E585" s="62" t="n"/>
      <c r="F585" s="62" t="n"/>
      <c r="G585" s="62" t="n"/>
      <c r="H585" s="62" t="n"/>
      <c r="I585" s="62" t="n"/>
      <c r="J585" s="62" t="n"/>
      <c r="K585" s="62" t="n"/>
      <c r="L585" s="64" t="n"/>
      <c r="M585" s="64" t="n"/>
      <c r="N585" s="62" t="n"/>
      <c r="O585" s="65">
        <f>IF(Z585=1,L585-W585,"")</f>
        <v/>
      </c>
      <c r="P585" s="66">
        <f>IF(V585="","",IFERROR(INDEX(coa_Type,MATCH(V585,coa_Name,0)),""))</f>
        <v/>
      </c>
      <c r="Q585" s="66">
        <f>IF(Z585=1,IF(U585="In",K585&amp;"",V585),"")</f>
        <v/>
      </c>
      <c r="R585" s="66">
        <f>IF(Z585=1,IF(U585="In",V585,K585&amp;""),"")</f>
        <v/>
      </c>
      <c r="S585" s="66">
        <f>IF(X585&lt;&gt;"","⛔ "&amp;X585&amp;" — not posted",IF(Y585&lt;&gt;"","⚠ "&amp;Y585,IF(Z585=1,"✓ OK","")))</f>
        <v/>
      </c>
      <c r="T585" s="67">
        <f>IF(AND(C585="",D585="",E585="",L585="",K585=""),1,0)</f>
        <v/>
      </c>
      <c r="U585" s="67">
        <f>IFERROR(INDEX(tt_Dir,MATCH(D585,tt_Type,0)),"")</f>
        <v/>
      </c>
      <c r="V585" s="67">
        <f>IF(D585="","",IFERROR(IF(INDEX(tt_Other,MATCH(D585,tt_Type,0))="",E585&amp;"",INDEX(tt_Other,MATCH(D585,tt_Type,0))),""))</f>
        <v/>
      </c>
      <c r="W585" s="68">
        <f>IF(OR(TaxOn&lt;&gt;"Yes",NOT(ISNUMBER(M585))),0,IF(IFERROR(INDEX(tt_Tax,MATCH(D585,tt_Type,0)),"No")="Yes",M585,0))</f>
        <v/>
      </c>
      <c r="X585" s="67">
        <f>IF(T585=1,"",IF(C585="","Missing transaction date",IF(NOT(ISNUMBER(C585)),"Invalid date",IF(OR(C585&lt;DATE(2000,1,1),C585&gt;DATE(2099,12,31)),"Invalid date",IF(D585="","Select a type",IF(U585="","Unknown type: "&amp;D585,IF(V585="","Select an account (Category)",IF(ISNA(MATCH(V585,coa_Name,0)),"Unknown account: "&amp;V585,IF(K585="","Select Paid From / Deposited To",IF(ISNA(MATCH(K585,coa_Name,0)),"Unknown account: "&amp;K585,IF(NOT(ISNUMBER(L585)),"Enter an amount",IF(L585=0,"Enter an amount",IF(ABS(W585)&gt;ABS(L585),"Tax is larger than the amount","")))))))))))))</f>
        <v/>
      </c>
      <c r="Y585" s="67">
        <f>IF(OR(T585=1,X585&lt;&gt;""),"",IF(AND(B585&lt;&gt;"",COUNTIF(tx_ID,B585)&gt;1),"Duplicate transaction ID",IF(AND(L585&lt;0,D585&lt;&gt;"Adjustment"),"Negative amount — check this entry",IF(AND(D585="Customer Payment",G585=""),"Add the customer",IF(AND(D585="Customer Payment",OR(J585="",COUNTIF(ar_No,J585&amp;"")=0)),"Invoice # in Reference not found on AR sheet",IF(AND(D585="Bill Payment",H585=""),"Add the vendor",IF(AND(D585="Bill Payment",OR(J585="",COUNTIFS(ap_No,J585&amp;"",ap_Party,H585&amp;"")=0)),"Bill # + vendor not found on AP sheet",IF(AND(ISNUMBER(M585),N(M585)&lt;&gt;0,W585=0),"Tax ignored (tax tracking off, or not allowed for this type)",IF(V585=K585&amp;"","Same account on both sides",IF(AND(ISNUMBER(StartDate),C585&lt;StartDate),"Date is before the accounting start date",IF(AND(D585&lt;&gt;"Adjustment",IFERROR(INDEX(coa_Pay,MATCH(K585&amp;"",coa_Name,0)),"")&lt;&gt;"Yes"),"Paid From / Deposited To is not a payment account","")))))))))))</f>
        <v/>
      </c>
      <c r="Z585" s="67">
        <f>IF(AND(T585=0,X585=""),1,0)</f>
        <v/>
      </c>
      <c r="AA585" s="68">
        <f>IF(Z585=1,IF(U585="In",L585,L585-W585),0)</f>
        <v/>
      </c>
      <c r="AB585" s="68">
        <f>IF(Z585=1,IF(U585="In",L585-W585,L585),0)</f>
        <v/>
      </c>
      <c r="AC585" s="68">
        <f>IF(AND(Z585=1,U585="Out"),W585,0)</f>
        <v/>
      </c>
      <c r="AD585" s="68">
        <f>IF(AND(Z585=1,U585="In"),W585,0)</f>
        <v/>
      </c>
    </row>
    <row r="586">
      <c r="B586" s="62" t="inlineStr">
        <is>
          <t>TX-0580</t>
        </is>
      </c>
      <c r="C586" s="63" t="n"/>
      <c r="D586" s="62" t="n"/>
      <c r="E586" s="62" t="n"/>
      <c r="F586" s="62" t="n"/>
      <c r="G586" s="62" t="n"/>
      <c r="H586" s="62" t="n"/>
      <c r="I586" s="62" t="n"/>
      <c r="J586" s="62" t="n"/>
      <c r="K586" s="62" t="n"/>
      <c r="L586" s="64" t="n"/>
      <c r="M586" s="64" t="n"/>
      <c r="N586" s="62" t="n"/>
      <c r="O586" s="65">
        <f>IF(Z586=1,L586-W586,"")</f>
        <v/>
      </c>
      <c r="P586" s="66">
        <f>IF(V586="","",IFERROR(INDEX(coa_Type,MATCH(V586,coa_Name,0)),""))</f>
        <v/>
      </c>
      <c r="Q586" s="66">
        <f>IF(Z586=1,IF(U586="In",K586&amp;"",V586),"")</f>
        <v/>
      </c>
      <c r="R586" s="66">
        <f>IF(Z586=1,IF(U586="In",V586,K586&amp;""),"")</f>
        <v/>
      </c>
      <c r="S586" s="66">
        <f>IF(X586&lt;&gt;"","⛔ "&amp;X586&amp;" — not posted",IF(Y586&lt;&gt;"","⚠ "&amp;Y586,IF(Z586=1,"✓ OK","")))</f>
        <v/>
      </c>
      <c r="T586" s="67">
        <f>IF(AND(C586="",D586="",E586="",L586="",K586=""),1,0)</f>
        <v/>
      </c>
      <c r="U586" s="67">
        <f>IFERROR(INDEX(tt_Dir,MATCH(D586,tt_Type,0)),"")</f>
        <v/>
      </c>
      <c r="V586" s="67">
        <f>IF(D586="","",IFERROR(IF(INDEX(tt_Other,MATCH(D586,tt_Type,0))="",E586&amp;"",INDEX(tt_Other,MATCH(D586,tt_Type,0))),""))</f>
        <v/>
      </c>
      <c r="W586" s="68">
        <f>IF(OR(TaxOn&lt;&gt;"Yes",NOT(ISNUMBER(M586))),0,IF(IFERROR(INDEX(tt_Tax,MATCH(D586,tt_Type,0)),"No")="Yes",M586,0))</f>
        <v/>
      </c>
      <c r="X586" s="67">
        <f>IF(T586=1,"",IF(C586="","Missing transaction date",IF(NOT(ISNUMBER(C586)),"Invalid date",IF(OR(C586&lt;DATE(2000,1,1),C586&gt;DATE(2099,12,31)),"Invalid date",IF(D586="","Select a type",IF(U586="","Unknown type: "&amp;D586,IF(V586="","Select an account (Category)",IF(ISNA(MATCH(V586,coa_Name,0)),"Unknown account: "&amp;V586,IF(K586="","Select Paid From / Deposited To",IF(ISNA(MATCH(K586,coa_Name,0)),"Unknown account: "&amp;K586,IF(NOT(ISNUMBER(L586)),"Enter an amount",IF(L586=0,"Enter an amount",IF(ABS(W586)&gt;ABS(L586),"Tax is larger than the amount","")))))))))))))</f>
        <v/>
      </c>
      <c r="Y586" s="67">
        <f>IF(OR(T586=1,X586&lt;&gt;""),"",IF(AND(B586&lt;&gt;"",COUNTIF(tx_ID,B586)&gt;1),"Duplicate transaction ID",IF(AND(L586&lt;0,D586&lt;&gt;"Adjustment"),"Negative amount — check this entry",IF(AND(D586="Customer Payment",G586=""),"Add the customer",IF(AND(D586="Customer Payment",OR(J586="",COUNTIF(ar_No,J586&amp;"")=0)),"Invoice # in Reference not found on AR sheet",IF(AND(D586="Bill Payment",H586=""),"Add the vendor",IF(AND(D586="Bill Payment",OR(J586="",COUNTIFS(ap_No,J586&amp;"",ap_Party,H586&amp;"")=0)),"Bill # + vendor not found on AP sheet",IF(AND(ISNUMBER(M586),N(M586)&lt;&gt;0,W586=0),"Tax ignored (tax tracking off, or not allowed for this type)",IF(V586=K586&amp;"","Same account on both sides",IF(AND(ISNUMBER(StartDate),C586&lt;StartDate),"Date is before the accounting start date",IF(AND(D586&lt;&gt;"Adjustment",IFERROR(INDEX(coa_Pay,MATCH(K586&amp;"",coa_Name,0)),"")&lt;&gt;"Yes"),"Paid From / Deposited To is not a payment account","")))))))))))</f>
        <v/>
      </c>
      <c r="Z586" s="67">
        <f>IF(AND(T586=0,X586=""),1,0)</f>
        <v/>
      </c>
      <c r="AA586" s="68">
        <f>IF(Z586=1,IF(U586="In",L586,L586-W586),0)</f>
        <v/>
      </c>
      <c r="AB586" s="68">
        <f>IF(Z586=1,IF(U586="In",L586-W586,L586),0)</f>
        <v/>
      </c>
      <c r="AC586" s="68">
        <f>IF(AND(Z586=1,U586="Out"),W586,0)</f>
        <v/>
      </c>
      <c r="AD586" s="68">
        <f>IF(AND(Z586=1,U586="In"),W586,0)</f>
        <v/>
      </c>
    </row>
    <row r="587">
      <c r="B587" s="62" t="inlineStr">
        <is>
          <t>TX-0581</t>
        </is>
      </c>
      <c r="C587" s="63" t="n"/>
      <c r="D587" s="62" t="n"/>
      <c r="E587" s="62" t="n"/>
      <c r="F587" s="62" t="n"/>
      <c r="G587" s="62" t="n"/>
      <c r="H587" s="62" t="n"/>
      <c r="I587" s="62" t="n"/>
      <c r="J587" s="62" t="n"/>
      <c r="K587" s="62" t="n"/>
      <c r="L587" s="64" t="n"/>
      <c r="M587" s="64" t="n"/>
      <c r="N587" s="62" t="n"/>
      <c r="O587" s="65">
        <f>IF(Z587=1,L587-W587,"")</f>
        <v/>
      </c>
      <c r="P587" s="66">
        <f>IF(V587="","",IFERROR(INDEX(coa_Type,MATCH(V587,coa_Name,0)),""))</f>
        <v/>
      </c>
      <c r="Q587" s="66">
        <f>IF(Z587=1,IF(U587="In",K587&amp;"",V587),"")</f>
        <v/>
      </c>
      <c r="R587" s="66">
        <f>IF(Z587=1,IF(U587="In",V587,K587&amp;""),"")</f>
        <v/>
      </c>
      <c r="S587" s="66">
        <f>IF(X587&lt;&gt;"","⛔ "&amp;X587&amp;" — not posted",IF(Y587&lt;&gt;"","⚠ "&amp;Y587,IF(Z587=1,"✓ OK","")))</f>
        <v/>
      </c>
      <c r="T587" s="67">
        <f>IF(AND(C587="",D587="",E587="",L587="",K587=""),1,0)</f>
        <v/>
      </c>
      <c r="U587" s="67">
        <f>IFERROR(INDEX(tt_Dir,MATCH(D587,tt_Type,0)),"")</f>
        <v/>
      </c>
      <c r="V587" s="67">
        <f>IF(D587="","",IFERROR(IF(INDEX(tt_Other,MATCH(D587,tt_Type,0))="",E587&amp;"",INDEX(tt_Other,MATCH(D587,tt_Type,0))),""))</f>
        <v/>
      </c>
      <c r="W587" s="68">
        <f>IF(OR(TaxOn&lt;&gt;"Yes",NOT(ISNUMBER(M587))),0,IF(IFERROR(INDEX(tt_Tax,MATCH(D587,tt_Type,0)),"No")="Yes",M587,0))</f>
        <v/>
      </c>
      <c r="X587" s="67">
        <f>IF(T587=1,"",IF(C587="","Missing transaction date",IF(NOT(ISNUMBER(C587)),"Invalid date",IF(OR(C587&lt;DATE(2000,1,1),C587&gt;DATE(2099,12,31)),"Invalid date",IF(D587="","Select a type",IF(U587="","Unknown type: "&amp;D587,IF(V587="","Select an account (Category)",IF(ISNA(MATCH(V587,coa_Name,0)),"Unknown account: "&amp;V587,IF(K587="","Select Paid From / Deposited To",IF(ISNA(MATCH(K587,coa_Name,0)),"Unknown account: "&amp;K587,IF(NOT(ISNUMBER(L587)),"Enter an amount",IF(L587=0,"Enter an amount",IF(ABS(W587)&gt;ABS(L587),"Tax is larger than the amount","")))))))))))))</f>
        <v/>
      </c>
      <c r="Y587" s="67">
        <f>IF(OR(T587=1,X587&lt;&gt;""),"",IF(AND(B587&lt;&gt;"",COUNTIF(tx_ID,B587)&gt;1),"Duplicate transaction ID",IF(AND(L587&lt;0,D587&lt;&gt;"Adjustment"),"Negative amount — check this entry",IF(AND(D587="Customer Payment",G587=""),"Add the customer",IF(AND(D587="Customer Payment",OR(J587="",COUNTIF(ar_No,J587&amp;"")=0)),"Invoice # in Reference not found on AR sheet",IF(AND(D587="Bill Payment",H587=""),"Add the vendor",IF(AND(D587="Bill Payment",OR(J587="",COUNTIFS(ap_No,J587&amp;"",ap_Party,H587&amp;"")=0)),"Bill # + vendor not found on AP sheet",IF(AND(ISNUMBER(M587),N(M587)&lt;&gt;0,W587=0),"Tax ignored (tax tracking off, or not allowed for this type)",IF(V587=K587&amp;"","Same account on both sides",IF(AND(ISNUMBER(StartDate),C587&lt;StartDate),"Date is before the accounting start date",IF(AND(D587&lt;&gt;"Adjustment",IFERROR(INDEX(coa_Pay,MATCH(K587&amp;"",coa_Name,0)),"")&lt;&gt;"Yes"),"Paid From / Deposited To is not a payment account","")))))))))))</f>
        <v/>
      </c>
      <c r="Z587" s="67">
        <f>IF(AND(T587=0,X587=""),1,0)</f>
        <v/>
      </c>
      <c r="AA587" s="68">
        <f>IF(Z587=1,IF(U587="In",L587,L587-W587),0)</f>
        <v/>
      </c>
      <c r="AB587" s="68">
        <f>IF(Z587=1,IF(U587="In",L587-W587,L587),0)</f>
        <v/>
      </c>
      <c r="AC587" s="68">
        <f>IF(AND(Z587=1,U587="Out"),W587,0)</f>
        <v/>
      </c>
      <c r="AD587" s="68">
        <f>IF(AND(Z587=1,U587="In"),W587,0)</f>
        <v/>
      </c>
    </row>
    <row r="588">
      <c r="B588" s="62" t="inlineStr">
        <is>
          <t>TX-0582</t>
        </is>
      </c>
      <c r="C588" s="63" t="n"/>
      <c r="D588" s="62" t="n"/>
      <c r="E588" s="62" t="n"/>
      <c r="F588" s="62" t="n"/>
      <c r="G588" s="62" t="n"/>
      <c r="H588" s="62" t="n"/>
      <c r="I588" s="62" t="n"/>
      <c r="J588" s="62" t="n"/>
      <c r="K588" s="62" t="n"/>
      <c r="L588" s="64" t="n"/>
      <c r="M588" s="64" t="n"/>
      <c r="N588" s="62" t="n"/>
      <c r="O588" s="65">
        <f>IF(Z588=1,L588-W588,"")</f>
        <v/>
      </c>
      <c r="P588" s="66">
        <f>IF(V588="","",IFERROR(INDEX(coa_Type,MATCH(V588,coa_Name,0)),""))</f>
        <v/>
      </c>
      <c r="Q588" s="66">
        <f>IF(Z588=1,IF(U588="In",K588&amp;"",V588),"")</f>
        <v/>
      </c>
      <c r="R588" s="66">
        <f>IF(Z588=1,IF(U588="In",V588,K588&amp;""),"")</f>
        <v/>
      </c>
      <c r="S588" s="66">
        <f>IF(X588&lt;&gt;"","⛔ "&amp;X588&amp;" — not posted",IF(Y588&lt;&gt;"","⚠ "&amp;Y588,IF(Z588=1,"✓ OK","")))</f>
        <v/>
      </c>
      <c r="T588" s="67">
        <f>IF(AND(C588="",D588="",E588="",L588="",K588=""),1,0)</f>
        <v/>
      </c>
      <c r="U588" s="67">
        <f>IFERROR(INDEX(tt_Dir,MATCH(D588,tt_Type,0)),"")</f>
        <v/>
      </c>
      <c r="V588" s="67">
        <f>IF(D588="","",IFERROR(IF(INDEX(tt_Other,MATCH(D588,tt_Type,0))="",E588&amp;"",INDEX(tt_Other,MATCH(D588,tt_Type,0))),""))</f>
        <v/>
      </c>
      <c r="W588" s="68">
        <f>IF(OR(TaxOn&lt;&gt;"Yes",NOT(ISNUMBER(M588))),0,IF(IFERROR(INDEX(tt_Tax,MATCH(D588,tt_Type,0)),"No")="Yes",M588,0))</f>
        <v/>
      </c>
      <c r="X588" s="67">
        <f>IF(T588=1,"",IF(C588="","Missing transaction date",IF(NOT(ISNUMBER(C588)),"Invalid date",IF(OR(C588&lt;DATE(2000,1,1),C588&gt;DATE(2099,12,31)),"Invalid date",IF(D588="","Select a type",IF(U588="","Unknown type: "&amp;D588,IF(V588="","Select an account (Category)",IF(ISNA(MATCH(V588,coa_Name,0)),"Unknown account: "&amp;V588,IF(K588="","Select Paid From / Deposited To",IF(ISNA(MATCH(K588,coa_Name,0)),"Unknown account: "&amp;K588,IF(NOT(ISNUMBER(L588)),"Enter an amount",IF(L588=0,"Enter an amount",IF(ABS(W588)&gt;ABS(L588),"Tax is larger than the amount","")))))))))))))</f>
        <v/>
      </c>
      <c r="Y588" s="67">
        <f>IF(OR(T588=1,X588&lt;&gt;""),"",IF(AND(B588&lt;&gt;"",COUNTIF(tx_ID,B588)&gt;1),"Duplicate transaction ID",IF(AND(L588&lt;0,D588&lt;&gt;"Adjustment"),"Negative amount — check this entry",IF(AND(D588="Customer Payment",G588=""),"Add the customer",IF(AND(D588="Customer Payment",OR(J588="",COUNTIF(ar_No,J588&amp;"")=0)),"Invoice # in Reference not found on AR sheet",IF(AND(D588="Bill Payment",H588=""),"Add the vendor",IF(AND(D588="Bill Payment",OR(J588="",COUNTIFS(ap_No,J588&amp;"",ap_Party,H588&amp;"")=0)),"Bill # + vendor not found on AP sheet",IF(AND(ISNUMBER(M588),N(M588)&lt;&gt;0,W588=0),"Tax ignored (tax tracking off, or not allowed for this type)",IF(V588=K588&amp;"","Same account on both sides",IF(AND(ISNUMBER(StartDate),C588&lt;StartDate),"Date is before the accounting start date",IF(AND(D588&lt;&gt;"Adjustment",IFERROR(INDEX(coa_Pay,MATCH(K588&amp;"",coa_Name,0)),"")&lt;&gt;"Yes"),"Paid From / Deposited To is not a payment account","")))))))))))</f>
        <v/>
      </c>
      <c r="Z588" s="67">
        <f>IF(AND(T588=0,X588=""),1,0)</f>
        <v/>
      </c>
      <c r="AA588" s="68">
        <f>IF(Z588=1,IF(U588="In",L588,L588-W588),0)</f>
        <v/>
      </c>
      <c r="AB588" s="68">
        <f>IF(Z588=1,IF(U588="In",L588-W588,L588),0)</f>
        <v/>
      </c>
      <c r="AC588" s="68">
        <f>IF(AND(Z588=1,U588="Out"),W588,0)</f>
        <v/>
      </c>
      <c r="AD588" s="68">
        <f>IF(AND(Z588=1,U588="In"),W588,0)</f>
        <v/>
      </c>
    </row>
    <row r="589">
      <c r="B589" s="62" t="inlineStr">
        <is>
          <t>TX-0583</t>
        </is>
      </c>
      <c r="C589" s="63" t="n"/>
      <c r="D589" s="62" t="n"/>
      <c r="E589" s="62" t="n"/>
      <c r="F589" s="62" t="n"/>
      <c r="G589" s="62" t="n"/>
      <c r="H589" s="62" t="n"/>
      <c r="I589" s="62" t="n"/>
      <c r="J589" s="62" t="n"/>
      <c r="K589" s="62" t="n"/>
      <c r="L589" s="64" t="n"/>
      <c r="M589" s="64" t="n"/>
      <c r="N589" s="62" t="n"/>
      <c r="O589" s="65">
        <f>IF(Z589=1,L589-W589,"")</f>
        <v/>
      </c>
      <c r="P589" s="66">
        <f>IF(V589="","",IFERROR(INDEX(coa_Type,MATCH(V589,coa_Name,0)),""))</f>
        <v/>
      </c>
      <c r="Q589" s="66">
        <f>IF(Z589=1,IF(U589="In",K589&amp;"",V589),"")</f>
        <v/>
      </c>
      <c r="R589" s="66">
        <f>IF(Z589=1,IF(U589="In",V589,K589&amp;""),"")</f>
        <v/>
      </c>
      <c r="S589" s="66">
        <f>IF(X589&lt;&gt;"","⛔ "&amp;X589&amp;" — not posted",IF(Y589&lt;&gt;"","⚠ "&amp;Y589,IF(Z589=1,"✓ OK","")))</f>
        <v/>
      </c>
      <c r="T589" s="67">
        <f>IF(AND(C589="",D589="",E589="",L589="",K589=""),1,0)</f>
        <v/>
      </c>
      <c r="U589" s="67">
        <f>IFERROR(INDEX(tt_Dir,MATCH(D589,tt_Type,0)),"")</f>
        <v/>
      </c>
      <c r="V589" s="67">
        <f>IF(D589="","",IFERROR(IF(INDEX(tt_Other,MATCH(D589,tt_Type,0))="",E589&amp;"",INDEX(tt_Other,MATCH(D589,tt_Type,0))),""))</f>
        <v/>
      </c>
      <c r="W589" s="68">
        <f>IF(OR(TaxOn&lt;&gt;"Yes",NOT(ISNUMBER(M589))),0,IF(IFERROR(INDEX(tt_Tax,MATCH(D589,tt_Type,0)),"No")="Yes",M589,0))</f>
        <v/>
      </c>
      <c r="X589" s="67">
        <f>IF(T589=1,"",IF(C589="","Missing transaction date",IF(NOT(ISNUMBER(C589)),"Invalid date",IF(OR(C589&lt;DATE(2000,1,1),C589&gt;DATE(2099,12,31)),"Invalid date",IF(D589="","Select a type",IF(U589="","Unknown type: "&amp;D589,IF(V589="","Select an account (Category)",IF(ISNA(MATCH(V589,coa_Name,0)),"Unknown account: "&amp;V589,IF(K589="","Select Paid From / Deposited To",IF(ISNA(MATCH(K589,coa_Name,0)),"Unknown account: "&amp;K589,IF(NOT(ISNUMBER(L589)),"Enter an amount",IF(L589=0,"Enter an amount",IF(ABS(W589)&gt;ABS(L589),"Tax is larger than the amount","")))))))))))))</f>
        <v/>
      </c>
      <c r="Y589" s="67">
        <f>IF(OR(T589=1,X589&lt;&gt;""),"",IF(AND(B589&lt;&gt;"",COUNTIF(tx_ID,B589)&gt;1),"Duplicate transaction ID",IF(AND(L589&lt;0,D589&lt;&gt;"Adjustment"),"Negative amount — check this entry",IF(AND(D589="Customer Payment",G589=""),"Add the customer",IF(AND(D589="Customer Payment",OR(J589="",COUNTIF(ar_No,J589&amp;"")=0)),"Invoice # in Reference not found on AR sheet",IF(AND(D589="Bill Payment",H589=""),"Add the vendor",IF(AND(D589="Bill Payment",OR(J589="",COUNTIFS(ap_No,J589&amp;"",ap_Party,H589&amp;"")=0)),"Bill # + vendor not found on AP sheet",IF(AND(ISNUMBER(M589),N(M589)&lt;&gt;0,W589=0),"Tax ignored (tax tracking off, or not allowed for this type)",IF(V589=K589&amp;"","Same account on both sides",IF(AND(ISNUMBER(StartDate),C589&lt;StartDate),"Date is before the accounting start date",IF(AND(D589&lt;&gt;"Adjustment",IFERROR(INDEX(coa_Pay,MATCH(K589&amp;"",coa_Name,0)),"")&lt;&gt;"Yes"),"Paid From / Deposited To is not a payment account","")))))))))))</f>
        <v/>
      </c>
      <c r="Z589" s="67">
        <f>IF(AND(T589=0,X589=""),1,0)</f>
        <v/>
      </c>
      <c r="AA589" s="68">
        <f>IF(Z589=1,IF(U589="In",L589,L589-W589),0)</f>
        <v/>
      </c>
      <c r="AB589" s="68">
        <f>IF(Z589=1,IF(U589="In",L589-W589,L589),0)</f>
        <v/>
      </c>
      <c r="AC589" s="68">
        <f>IF(AND(Z589=1,U589="Out"),W589,0)</f>
        <v/>
      </c>
      <c r="AD589" s="68">
        <f>IF(AND(Z589=1,U589="In"),W589,0)</f>
        <v/>
      </c>
    </row>
    <row r="590">
      <c r="B590" s="62" t="inlineStr">
        <is>
          <t>TX-0584</t>
        </is>
      </c>
      <c r="C590" s="63" t="n"/>
      <c r="D590" s="62" t="n"/>
      <c r="E590" s="62" t="n"/>
      <c r="F590" s="62" t="n"/>
      <c r="G590" s="62" t="n"/>
      <c r="H590" s="62" t="n"/>
      <c r="I590" s="62" t="n"/>
      <c r="J590" s="62" t="n"/>
      <c r="K590" s="62" t="n"/>
      <c r="L590" s="64" t="n"/>
      <c r="M590" s="64" t="n"/>
      <c r="N590" s="62" t="n"/>
      <c r="O590" s="65">
        <f>IF(Z590=1,L590-W590,"")</f>
        <v/>
      </c>
      <c r="P590" s="66">
        <f>IF(V590="","",IFERROR(INDEX(coa_Type,MATCH(V590,coa_Name,0)),""))</f>
        <v/>
      </c>
      <c r="Q590" s="66">
        <f>IF(Z590=1,IF(U590="In",K590&amp;"",V590),"")</f>
        <v/>
      </c>
      <c r="R590" s="66">
        <f>IF(Z590=1,IF(U590="In",V590,K590&amp;""),"")</f>
        <v/>
      </c>
      <c r="S590" s="66">
        <f>IF(X590&lt;&gt;"","⛔ "&amp;X590&amp;" — not posted",IF(Y590&lt;&gt;"","⚠ "&amp;Y590,IF(Z590=1,"✓ OK","")))</f>
        <v/>
      </c>
      <c r="T590" s="67">
        <f>IF(AND(C590="",D590="",E590="",L590="",K590=""),1,0)</f>
        <v/>
      </c>
      <c r="U590" s="67">
        <f>IFERROR(INDEX(tt_Dir,MATCH(D590,tt_Type,0)),"")</f>
        <v/>
      </c>
      <c r="V590" s="67">
        <f>IF(D590="","",IFERROR(IF(INDEX(tt_Other,MATCH(D590,tt_Type,0))="",E590&amp;"",INDEX(tt_Other,MATCH(D590,tt_Type,0))),""))</f>
        <v/>
      </c>
      <c r="W590" s="68">
        <f>IF(OR(TaxOn&lt;&gt;"Yes",NOT(ISNUMBER(M590))),0,IF(IFERROR(INDEX(tt_Tax,MATCH(D590,tt_Type,0)),"No")="Yes",M590,0))</f>
        <v/>
      </c>
      <c r="X590" s="67">
        <f>IF(T590=1,"",IF(C590="","Missing transaction date",IF(NOT(ISNUMBER(C590)),"Invalid date",IF(OR(C590&lt;DATE(2000,1,1),C590&gt;DATE(2099,12,31)),"Invalid date",IF(D590="","Select a type",IF(U590="","Unknown type: "&amp;D590,IF(V590="","Select an account (Category)",IF(ISNA(MATCH(V590,coa_Name,0)),"Unknown account: "&amp;V590,IF(K590="","Select Paid From / Deposited To",IF(ISNA(MATCH(K590,coa_Name,0)),"Unknown account: "&amp;K590,IF(NOT(ISNUMBER(L590)),"Enter an amount",IF(L590=0,"Enter an amount",IF(ABS(W590)&gt;ABS(L590),"Tax is larger than the amount","")))))))))))))</f>
        <v/>
      </c>
      <c r="Y590" s="67">
        <f>IF(OR(T590=1,X590&lt;&gt;""),"",IF(AND(B590&lt;&gt;"",COUNTIF(tx_ID,B590)&gt;1),"Duplicate transaction ID",IF(AND(L590&lt;0,D590&lt;&gt;"Adjustment"),"Negative amount — check this entry",IF(AND(D590="Customer Payment",G590=""),"Add the customer",IF(AND(D590="Customer Payment",OR(J590="",COUNTIF(ar_No,J590&amp;"")=0)),"Invoice # in Reference not found on AR sheet",IF(AND(D590="Bill Payment",H590=""),"Add the vendor",IF(AND(D590="Bill Payment",OR(J590="",COUNTIFS(ap_No,J590&amp;"",ap_Party,H590&amp;"")=0)),"Bill # + vendor not found on AP sheet",IF(AND(ISNUMBER(M590),N(M590)&lt;&gt;0,W590=0),"Tax ignored (tax tracking off, or not allowed for this type)",IF(V590=K590&amp;"","Same account on both sides",IF(AND(ISNUMBER(StartDate),C590&lt;StartDate),"Date is before the accounting start date",IF(AND(D590&lt;&gt;"Adjustment",IFERROR(INDEX(coa_Pay,MATCH(K590&amp;"",coa_Name,0)),"")&lt;&gt;"Yes"),"Paid From / Deposited To is not a payment account","")))))))))))</f>
        <v/>
      </c>
      <c r="Z590" s="67">
        <f>IF(AND(T590=0,X590=""),1,0)</f>
        <v/>
      </c>
      <c r="AA590" s="68">
        <f>IF(Z590=1,IF(U590="In",L590,L590-W590),0)</f>
        <v/>
      </c>
      <c r="AB590" s="68">
        <f>IF(Z590=1,IF(U590="In",L590-W590,L590),0)</f>
        <v/>
      </c>
      <c r="AC590" s="68">
        <f>IF(AND(Z590=1,U590="Out"),W590,0)</f>
        <v/>
      </c>
      <c r="AD590" s="68">
        <f>IF(AND(Z590=1,U590="In"),W590,0)</f>
        <v/>
      </c>
    </row>
    <row r="591">
      <c r="B591" s="62" t="inlineStr">
        <is>
          <t>TX-0585</t>
        </is>
      </c>
      <c r="C591" s="63" t="n"/>
      <c r="D591" s="62" t="n"/>
      <c r="E591" s="62" t="n"/>
      <c r="F591" s="62" t="n"/>
      <c r="G591" s="62" t="n"/>
      <c r="H591" s="62" t="n"/>
      <c r="I591" s="62" t="n"/>
      <c r="J591" s="62" t="n"/>
      <c r="K591" s="62" t="n"/>
      <c r="L591" s="64" t="n"/>
      <c r="M591" s="64" t="n"/>
      <c r="N591" s="62" t="n"/>
      <c r="O591" s="65">
        <f>IF(Z591=1,L591-W591,"")</f>
        <v/>
      </c>
      <c r="P591" s="66">
        <f>IF(V591="","",IFERROR(INDEX(coa_Type,MATCH(V591,coa_Name,0)),""))</f>
        <v/>
      </c>
      <c r="Q591" s="66">
        <f>IF(Z591=1,IF(U591="In",K591&amp;"",V591),"")</f>
        <v/>
      </c>
      <c r="R591" s="66">
        <f>IF(Z591=1,IF(U591="In",V591,K591&amp;""),"")</f>
        <v/>
      </c>
      <c r="S591" s="66">
        <f>IF(X591&lt;&gt;"","⛔ "&amp;X591&amp;" — not posted",IF(Y591&lt;&gt;"","⚠ "&amp;Y591,IF(Z591=1,"✓ OK","")))</f>
        <v/>
      </c>
      <c r="T591" s="67">
        <f>IF(AND(C591="",D591="",E591="",L591="",K591=""),1,0)</f>
        <v/>
      </c>
      <c r="U591" s="67">
        <f>IFERROR(INDEX(tt_Dir,MATCH(D591,tt_Type,0)),"")</f>
        <v/>
      </c>
      <c r="V591" s="67">
        <f>IF(D591="","",IFERROR(IF(INDEX(tt_Other,MATCH(D591,tt_Type,0))="",E591&amp;"",INDEX(tt_Other,MATCH(D591,tt_Type,0))),""))</f>
        <v/>
      </c>
      <c r="W591" s="68">
        <f>IF(OR(TaxOn&lt;&gt;"Yes",NOT(ISNUMBER(M591))),0,IF(IFERROR(INDEX(tt_Tax,MATCH(D591,tt_Type,0)),"No")="Yes",M591,0))</f>
        <v/>
      </c>
      <c r="X591" s="67">
        <f>IF(T591=1,"",IF(C591="","Missing transaction date",IF(NOT(ISNUMBER(C591)),"Invalid date",IF(OR(C591&lt;DATE(2000,1,1),C591&gt;DATE(2099,12,31)),"Invalid date",IF(D591="","Select a type",IF(U591="","Unknown type: "&amp;D591,IF(V591="","Select an account (Category)",IF(ISNA(MATCH(V591,coa_Name,0)),"Unknown account: "&amp;V591,IF(K591="","Select Paid From / Deposited To",IF(ISNA(MATCH(K591,coa_Name,0)),"Unknown account: "&amp;K591,IF(NOT(ISNUMBER(L591)),"Enter an amount",IF(L591=0,"Enter an amount",IF(ABS(W591)&gt;ABS(L591),"Tax is larger than the amount","")))))))))))))</f>
        <v/>
      </c>
      <c r="Y591" s="67">
        <f>IF(OR(T591=1,X591&lt;&gt;""),"",IF(AND(B591&lt;&gt;"",COUNTIF(tx_ID,B591)&gt;1),"Duplicate transaction ID",IF(AND(L591&lt;0,D591&lt;&gt;"Adjustment"),"Negative amount — check this entry",IF(AND(D591="Customer Payment",G591=""),"Add the customer",IF(AND(D591="Customer Payment",OR(J591="",COUNTIF(ar_No,J591&amp;"")=0)),"Invoice # in Reference not found on AR sheet",IF(AND(D591="Bill Payment",H591=""),"Add the vendor",IF(AND(D591="Bill Payment",OR(J591="",COUNTIFS(ap_No,J591&amp;"",ap_Party,H591&amp;"")=0)),"Bill # + vendor not found on AP sheet",IF(AND(ISNUMBER(M591),N(M591)&lt;&gt;0,W591=0),"Tax ignored (tax tracking off, or not allowed for this type)",IF(V591=K591&amp;"","Same account on both sides",IF(AND(ISNUMBER(StartDate),C591&lt;StartDate),"Date is before the accounting start date",IF(AND(D591&lt;&gt;"Adjustment",IFERROR(INDEX(coa_Pay,MATCH(K591&amp;"",coa_Name,0)),"")&lt;&gt;"Yes"),"Paid From / Deposited To is not a payment account","")))))))))))</f>
        <v/>
      </c>
      <c r="Z591" s="67">
        <f>IF(AND(T591=0,X591=""),1,0)</f>
        <v/>
      </c>
      <c r="AA591" s="68">
        <f>IF(Z591=1,IF(U591="In",L591,L591-W591),0)</f>
        <v/>
      </c>
      <c r="AB591" s="68">
        <f>IF(Z591=1,IF(U591="In",L591-W591,L591),0)</f>
        <v/>
      </c>
      <c r="AC591" s="68">
        <f>IF(AND(Z591=1,U591="Out"),W591,0)</f>
        <v/>
      </c>
      <c r="AD591" s="68">
        <f>IF(AND(Z591=1,U591="In"),W591,0)</f>
        <v/>
      </c>
    </row>
    <row r="592">
      <c r="B592" s="62" t="inlineStr">
        <is>
          <t>TX-0586</t>
        </is>
      </c>
      <c r="C592" s="63" t="n"/>
      <c r="D592" s="62" t="n"/>
      <c r="E592" s="62" t="n"/>
      <c r="F592" s="62" t="n"/>
      <c r="G592" s="62" t="n"/>
      <c r="H592" s="62" t="n"/>
      <c r="I592" s="62" t="n"/>
      <c r="J592" s="62" t="n"/>
      <c r="K592" s="62" t="n"/>
      <c r="L592" s="64" t="n"/>
      <c r="M592" s="64" t="n"/>
      <c r="N592" s="62" t="n"/>
      <c r="O592" s="65">
        <f>IF(Z592=1,L592-W592,"")</f>
        <v/>
      </c>
      <c r="P592" s="66">
        <f>IF(V592="","",IFERROR(INDEX(coa_Type,MATCH(V592,coa_Name,0)),""))</f>
        <v/>
      </c>
      <c r="Q592" s="66">
        <f>IF(Z592=1,IF(U592="In",K592&amp;"",V592),"")</f>
        <v/>
      </c>
      <c r="R592" s="66">
        <f>IF(Z592=1,IF(U592="In",V592,K592&amp;""),"")</f>
        <v/>
      </c>
      <c r="S592" s="66">
        <f>IF(X592&lt;&gt;"","⛔ "&amp;X592&amp;" — not posted",IF(Y592&lt;&gt;"","⚠ "&amp;Y592,IF(Z592=1,"✓ OK","")))</f>
        <v/>
      </c>
      <c r="T592" s="67">
        <f>IF(AND(C592="",D592="",E592="",L592="",K592=""),1,0)</f>
        <v/>
      </c>
      <c r="U592" s="67">
        <f>IFERROR(INDEX(tt_Dir,MATCH(D592,tt_Type,0)),"")</f>
        <v/>
      </c>
      <c r="V592" s="67">
        <f>IF(D592="","",IFERROR(IF(INDEX(tt_Other,MATCH(D592,tt_Type,0))="",E592&amp;"",INDEX(tt_Other,MATCH(D592,tt_Type,0))),""))</f>
        <v/>
      </c>
      <c r="W592" s="68">
        <f>IF(OR(TaxOn&lt;&gt;"Yes",NOT(ISNUMBER(M592))),0,IF(IFERROR(INDEX(tt_Tax,MATCH(D592,tt_Type,0)),"No")="Yes",M592,0))</f>
        <v/>
      </c>
      <c r="X592" s="67">
        <f>IF(T592=1,"",IF(C592="","Missing transaction date",IF(NOT(ISNUMBER(C592)),"Invalid date",IF(OR(C592&lt;DATE(2000,1,1),C592&gt;DATE(2099,12,31)),"Invalid date",IF(D592="","Select a type",IF(U592="","Unknown type: "&amp;D592,IF(V592="","Select an account (Category)",IF(ISNA(MATCH(V592,coa_Name,0)),"Unknown account: "&amp;V592,IF(K592="","Select Paid From / Deposited To",IF(ISNA(MATCH(K592,coa_Name,0)),"Unknown account: "&amp;K592,IF(NOT(ISNUMBER(L592)),"Enter an amount",IF(L592=0,"Enter an amount",IF(ABS(W592)&gt;ABS(L592),"Tax is larger than the amount","")))))))))))))</f>
        <v/>
      </c>
      <c r="Y592" s="67">
        <f>IF(OR(T592=1,X592&lt;&gt;""),"",IF(AND(B592&lt;&gt;"",COUNTIF(tx_ID,B592)&gt;1),"Duplicate transaction ID",IF(AND(L592&lt;0,D592&lt;&gt;"Adjustment"),"Negative amount — check this entry",IF(AND(D592="Customer Payment",G592=""),"Add the customer",IF(AND(D592="Customer Payment",OR(J592="",COUNTIF(ar_No,J592&amp;"")=0)),"Invoice # in Reference not found on AR sheet",IF(AND(D592="Bill Payment",H592=""),"Add the vendor",IF(AND(D592="Bill Payment",OR(J592="",COUNTIFS(ap_No,J592&amp;"",ap_Party,H592&amp;"")=0)),"Bill # + vendor not found on AP sheet",IF(AND(ISNUMBER(M592),N(M592)&lt;&gt;0,W592=0),"Tax ignored (tax tracking off, or not allowed for this type)",IF(V592=K592&amp;"","Same account on both sides",IF(AND(ISNUMBER(StartDate),C592&lt;StartDate),"Date is before the accounting start date",IF(AND(D592&lt;&gt;"Adjustment",IFERROR(INDEX(coa_Pay,MATCH(K592&amp;"",coa_Name,0)),"")&lt;&gt;"Yes"),"Paid From / Deposited To is not a payment account","")))))))))))</f>
        <v/>
      </c>
      <c r="Z592" s="67">
        <f>IF(AND(T592=0,X592=""),1,0)</f>
        <v/>
      </c>
      <c r="AA592" s="68">
        <f>IF(Z592=1,IF(U592="In",L592,L592-W592),0)</f>
        <v/>
      </c>
      <c r="AB592" s="68">
        <f>IF(Z592=1,IF(U592="In",L592-W592,L592),0)</f>
        <v/>
      </c>
      <c r="AC592" s="68">
        <f>IF(AND(Z592=1,U592="Out"),W592,0)</f>
        <v/>
      </c>
      <c r="AD592" s="68">
        <f>IF(AND(Z592=1,U592="In"),W592,0)</f>
        <v/>
      </c>
    </row>
    <row r="593">
      <c r="B593" s="62" t="inlineStr">
        <is>
          <t>TX-0587</t>
        </is>
      </c>
      <c r="C593" s="63" t="n"/>
      <c r="D593" s="62" t="n"/>
      <c r="E593" s="62" t="n"/>
      <c r="F593" s="62" t="n"/>
      <c r="G593" s="62" t="n"/>
      <c r="H593" s="62" t="n"/>
      <c r="I593" s="62" t="n"/>
      <c r="J593" s="62" t="n"/>
      <c r="K593" s="62" t="n"/>
      <c r="L593" s="64" t="n"/>
      <c r="M593" s="64" t="n"/>
      <c r="N593" s="62" t="n"/>
      <c r="O593" s="65">
        <f>IF(Z593=1,L593-W593,"")</f>
        <v/>
      </c>
      <c r="P593" s="66">
        <f>IF(V593="","",IFERROR(INDEX(coa_Type,MATCH(V593,coa_Name,0)),""))</f>
        <v/>
      </c>
      <c r="Q593" s="66">
        <f>IF(Z593=1,IF(U593="In",K593&amp;"",V593),"")</f>
        <v/>
      </c>
      <c r="R593" s="66">
        <f>IF(Z593=1,IF(U593="In",V593,K593&amp;""),"")</f>
        <v/>
      </c>
      <c r="S593" s="66">
        <f>IF(X593&lt;&gt;"","⛔ "&amp;X593&amp;" — not posted",IF(Y593&lt;&gt;"","⚠ "&amp;Y593,IF(Z593=1,"✓ OK","")))</f>
        <v/>
      </c>
      <c r="T593" s="67">
        <f>IF(AND(C593="",D593="",E593="",L593="",K593=""),1,0)</f>
        <v/>
      </c>
      <c r="U593" s="67">
        <f>IFERROR(INDEX(tt_Dir,MATCH(D593,tt_Type,0)),"")</f>
        <v/>
      </c>
      <c r="V593" s="67">
        <f>IF(D593="","",IFERROR(IF(INDEX(tt_Other,MATCH(D593,tt_Type,0))="",E593&amp;"",INDEX(tt_Other,MATCH(D593,tt_Type,0))),""))</f>
        <v/>
      </c>
      <c r="W593" s="68">
        <f>IF(OR(TaxOn&lt;&gt;"Yes",NOT(ISNUMBER(M593))),0,IF(IFERROR(INDEX(tt_Tax,MATCH(D593,tt_Type,0)),"No")="Yes",M593,0))</f>
        <v/>
      </c>
      <c r="X593" s="67">
        <f>IF(T593=1,"",IF(C593="","Missing transaction date",IF(NOT(ISNUMBER(C593)),"Invalid date",IF(OR(C593&lt;DATE(2000,1,1),C593&gt;DATE(2099,12,31)),"Invalid date",IF(D593="","Select a type",IF(U593="","Unknown type: "&amp;D593,IF(V593="","Select an account (Category)",IF(ISNA(MATCH(V593,coa_Name,0)),"Unknown account: "&amp;V593,IF(K593="","Select Paid From / Deposited To",IF(ISNA(MATCH(K593,coa_Name,0)),"Unknown account: "&amp;K593,IF(NOT(ISNUMBER(L593)),"Enter an amount",IF(L593=0,"Enter an amount",IF(ABS(W593)&gt;ABS(L593),"Tax is larger than the amount","")))))))))))))</f>
        <v/>
      </c>
      <c r="Y593" s="67">
        <f>IF(OR(T593=1,X593&lt;&gt;""),"",IF(AND(B593&lt;&gt;"",COUNTIF(tx_ID,B593)&gt;1),"Duplicate transaction ID",IF(AND(L593&lt;0,D593&lt;&gt;"Adjustment"),"Negative amount — check this entry",IF(AND(D593="Customer Payment",G593=""),"Add the customer",IF(AND(D593="Customer Payment",OR(J593="",COUNTIF(ar_No,J593&amp;"")=0)),"Invoice # in Reference not found on AR sheet",IF(AND(D593="Bill Payment",H593=""),"Add the vendor",IF(AND(D593="Bill Payment",OR(J593="",COUNTIFS(ap_No,J593&amp;"",ap_Party,H593&amp;"")=0)),"Bill # + vendor not found on AP sheet",IF(AND(ISNUMBER(M593),N(M593)&lt;&gt;0,W593=0),"Tax ignored (tax tracking off, or not allowed for this type)",IF(V593=K593&amp;"","Same account on both sides",IF(AND(ISNUMBER(StartDate),C593&lt;StartDate),"Date is before the accounting start date",IF(AND(D593&lt;&gt;"Adjustment",IFERROR(INDEX(coa_Pay,MATCH(K593&amp;"",coa_Name,0)),"")&lt;&gt;"Yes"),"Paid From / Deposited To is not a payment account","")))))))))))</f>
        <v/>
      </c>
      <c r="Z593" s="67">
        <f>IF(AND(T593=0,X593=""),1,0)</f>
        <v/>
      </c>
      <c r="AA593" s="68">
        <f>IF(Z593=1,IF(U593="In",L593,L593-W593),0)</f>
        <v/>
      </c>
      <c r="AB593" s="68">
        <f>IF(Z593=1,IF(U593="In",L593-W593,L593),0)</f>
        <v/>
      </c>
      <c r="AC593" s="68">
        <f>IF(AND(Z593=1,U593="Out"),W593,0)</f>
        <v/>
      </c>
      <c r="AD593" s="68">
        <f>IF(AND(Z593=1,U593="In"),W593,0)</f>
        <v/>
      </c>
    </row>
    <row r="594">
      <c r="B594" s="62" t="inlineStr">
        <is>
          <t>TX-0588</t>
        </is>
      </c>
      <c r="C594" s="63" t="n"/>
      <c r="D594" s="62" t="n"/>
      <c r="E594" s="62" t="n"/>
      <c r="F594" s="62" t="n"/>
      <c r="G594" s="62" t="n"/>
      <c r="H594" s="62" t="n"/>
      <c r="I594" s="62" t="n"/>
      <c r="J594" s="62" t="n"/>
      <c r="K594" s="62" t="n"/>
      <c r="L594" s="64" t="n"/>
      <c r="M594" s="64" t="n"/>
      <c r="N594" s="62" t="n"/>
      <c r="O594" s="65">
        <f>IF(Z594=1,L594-W594,"")</f>
        <v/>
      </c>
      <c r="P594" s="66">
        <f>IF(V594="","",IFERROR(INDEX(coa_Type,MATCH(V594,coa_Name,0)),""))</f>
        <v/>
      </c>
      <c r="Q594" s="66">
        <f>IF(Z594=1,IF(U594="In",K594&amp;"",V594),"")</f>
        <v/>
      </c>
      <c r="R594" s="66">
        <f>IF(Z594=1,IF(U594="In",V594,K594&amp;""),"")</f>
        <v/>
      </c>
      <c r="S594" s="66">
        <f>IF(X594&lt;&gt;"","⛔ "&amp;X594&amp;" — not posted",IF(Y594&lt;&gt;"","⚠ "&amp;Y594,IF(Z594=1,"✓ OK","")))</f>
        <v/>
      </c>
      <c r="T594" s="67">
        <f>IF(AND(C594="",D594="",E594="",L594="",K594=""),1,0)</f>
        <v/>
      </c>
      <c r="U594" s="67">
        <f>IFERROR(INDEX(tt_Dir,MATCH(D594,tt_Type,0)),"")</f>
        <v/>
      </c>
      <c r="V594" s="67">
        <f>IF(D594="","",IFERROR(IF(INDEX(tt_Other,MATCH(D594,tt_Type,0))="",E594&amp;"",INDEX(tt_Other,MATCH(D594,tt_Type,0))),""))</f>
        <v/>
      </c>
      <c r="W594" s="68">
        <f>IF(OR(TaxOn&lt;&gt;"Yes",NOT(ISNUMBER(M594))),0,IF(IFERROR(INDEX(tt_Tax,MATCH(D594,tt_Type,0)),"No")="Yes",M594,0))</f>
        <v/>
      </c>
      <c r="X594" s="67">
        <f>IF(T594=1,"",IF(C594="","Missing transaction date",IF(NOT(ISNUMBER(C594)),"Invalid date",IF(OR(C594&lt;DATE(2000,1,1),C594&gt;DATE(2099,12,31)),"Invalid date",IF(D594="","Select a type",IF(U594="","Unknown type: "&amp;D594,IF(V594="","Select an account (Category)",IF(ISNA(MATCH(V594,coa_Name,0)),"Unknown account: "&amp;V594,IF(K594="","Select Paid From / Deposited To",IF(ISNA(MATCH(K594,coa_Name,0)),"Unknown account: "&amp;K594,IF(NOT(ISNUMBER(L594)),"Enter an amount",IF(L594=0,"Enter an amount",IF(ABS(W594)&gt;ABS(L594),"Tax is larger than the amount","")))))))))))))</f>
        <v/>
      </c>
      <c r="Y594" s="67">
        <f>IF(OR(T594=1,X594&lt;&gt;""),"",IF(AND(B594&lt;&gt;"",COUNTIF(tx_ID,B594)&gt;1),"Duplicate transaction ID",IF(AND(L594&lt;0,D594&lt;&gt;"Adjustment"),"Negative amount — check this entry",IF(AND(D594="Customer Payment",G594=""),"Add the customer",IF(AND(D594="Customer Payment",OR(J594="",COUNTIF(ar_No,J594&amp;"")=0)),"Invoice # in Reference not found on AR sheet",IF(AND(D594="Bill Payment",H594=""),"Add the vendor",IF(AND(D594="Bill Payment",OR(J594="",COUNTIFS(ap_No,J594&amp;"",ap_Party,H594&amp;"")=0)),"Bill # + vendor not found on AP sheet",IF(AND(ISNUMBER(M594),N(M594)&lt;&gt;0,W594=0),"Tax ignored (tax tracking off, or not allowed for this type)",IF(V594=K594&amp;"","Same account on both sides",IF(AND(ISNUMBER(StartDate),C594&lt;StartDate),"Date is before the accounting start date",IF(AND(D594&lt;&gt;"Adjustment",IFERROR(INDEX(coa_Pay,MATCH(K594&amp;"",coa_Name,0)),"")&lt;&gt;"Yes"),"Paid From / Deposited To is not a payment account","")))))))))))</f>
        <v/>
      </c>
      <c r="Z594" s="67">
        <f>IF(AND(T594=0,X594=""),1,0)</f>
        <v/>
      </c>
      <c r="AA594" s="68">
        <f>IF(Z594=1,IF(U594="In",L594,L594-W594),0)</f>
        <v/>
      </c>
      <c r="AB594" s="68">
        <f>IF(Z594=1,IF(U594="In",L594-W594,L594),0)</f>
        <v/>
      </c>
      <c r="AC594" s="68">
        <f>IF(AND(Z594=1,U594="Out"),W594,0)</f>
        <v/>
      </c>
      <c r="AD594" s="68">
        <f>IF(AND(Z594=1,U594="In"),W594,0)</f>
        <v/>
      </c>
    </row>
    <row r="595">
      <c r="B595" s="62" t="inlineStr">
        <is>
          <t>TX-0589</t>
        </is>
      </c>
      <c r="C595" s="63" t="n"/>
      <c r="D595" s="62" t="n"/>
      <c r="E595" s="62" t="n"/>
      <c r="F595" s="62" t="n"/>
      <c r="G595" s="62" t="n"/>
      <c r="H595" s="62" t="n"/>
      <c r="I595" s="62" t="n"/>
      <c r="J595" s="62" t="n"/>
      <c r="K595" s="62" t="n"/>
      <c r="L595" s="64" t="n"/>
      <c r="M595" s="64" t="n"/>
      <c r="N595" s="62" t="n"/>
      <c r="O595" s="65">
        <f>IF(Z595=1,L595-W595,"")</f>
        <v/>
      </c>
      <c r="P595" s="66">
        <f>IF(V595="","",IFERROR(INDEX(coa_Type,MATCH(V595,coa_Name,0)),""))</f>
        <v/>
      </c>
      <c r="Q595" s="66">
        <f>IF(Z595=1,IF(U595="In",K595&amp;"",V595),"")</f>
        <v/>
      </c>
      <c r="R595" s="66">
        <f>IF(Z595=1,IF(U595="In",V595,K595&amp;""),"")</f>
        <v/>
      </c>
      <c r="S595" s="66">
        <f>IF(X595&lt;&gt;"","⛔ "&amp;X595&amp;" — not posted",IF(Y595&lt;&gt;"","⚠ "&amp;Y595,IF(Z595=1,"✓ OK","")))</f>
        <v/>
      </c>
      <c r="T595" s="67">
        <f>IF(AND(C595="",D595="",E595="",L595="",K595=""),1,0)</f>
        <v/>
      </c>
      <c r="U595" s="67">
        <f>IFERROR(INDEX(tt_Dir,MATCH(D595,tt_Type,0)),"")</f>
        <v/>
      </c>
      <c r="V595" s="67">
        <f>IF(D595="","",IFERROR(IF(INDEX(tt_Other,MATCH(D595,tt_Type,0))="",E595&amp;"",INDEX(tt_Other,MATCH(D595,tt_Type,0))),""))</f>
        <v/>
      </c>
      <c r="W595" s="68">
        <f>IF(OR(TaxOn&lt;&gt;"Yes",NOT(ISNUMBER(M595))),0,IF(IFERROR(INDEX(tt_Tax,MATCH(D595,tt_Type,0)),"No")="Yes",M595,0))</f>
        <v/>
      </c>
      <c r="X595" s="67">
        <f>IF(T595=1,"",IF(C595="","Missing transaction date",IF(NOT(ISNUMBER(C595)),"Invalid date",IF(OR(C595&lt;DATE(2000,1,1),C595&gt;DATE(2099,12,31)),"Invalid date",IF(D595="","Select a type",IF(U595="","Unknown type: "&amp;D595,IF(V595="","Select an account (Category)",IF(ISNA(MATCH(V595,coa_Name,0)),"Unknown account: "&amp;V595,IF(K595="","Select Paid From / Deposited To",IF(ISNA(MATCH(K595,coa_Name,0)),"Unknown account: "&amp;K595,IF(NOT(ISNUMBER(L595)),"Enter an amount",IF(L595=0,"Enter an amount",IF(ABS(W595)&gt;ABS(L595),"Tax is larger than the amount","")))))))))))))</f>
        <v/>
      </c>
      <c r="Y595" s="67">
        <f>IF(OR(T595=1,X595&lt;&gt;""),"",IF(AND(B595&lt;&gt;"",COUNTIF(tx_ID,B595)&gt;1),"Duplicate transaction ID",IF(AND(L595&lt;0,D595&lt;&gt;"Adjustment"),"Negative amount — check this entry",IF(AND(D595="Customer Payment",G595=""),"Add the customer",IF(AND(D595="Customer Payment",OR(J595="",COUNTIF(ar_No,J595&amp;"")=0)),"Invoice # in Reference not found on AR sheet",IF(AND(D595="Bill Payment",H595=""),"Add the vendor",IF(AND(D595="Bill Payment",OR(J595="",COUNTIFS(ap_No,J595&amp;"",ap_Party,H595&amp;"")=0)),"Bill # + vendor not found on AP sheet",IF(AND(ISNUMBER(M595),N(M595)&lt;&gt;0,W595=0),"Tax ignored (tax tracking off, or not allowed for this type)",IF(V595=K595&amp;"","Same account on both sides",IF(AND(ISNUMBER(StartDate),C595&lt;StartDate),"Date is before the accounting start date",IF(AND(D595&lt;&gt;"Adjustment",IFERROR(INDEX(coa_Pay,MATCH(K595&amp;"",coa_Name,0)),"")&lt;&gt;"Yes"),"Paid From / Deposited To is not a payment account","")))))))))))</f>
        <v/>
      </c>
      <c r="Z595" s="67">
        <f>IF(AND(T595=0,X595=""),1,0)</f>
        <v/>
      </c>
      <c r="AA595" s="68">
        <f>IF(Z595=1,IF(U595="In",L595,L595-W595),0)</f>
        <v/>
      </c>
      <c r="AB595" s="68">
        <f>IF(Z595=1,IF(U595="In",L595-W595,L595),0)</f>
        <v/>
      </c>
      <c r="AC595" s="68">
        <f>IF(AND(Z595=1,U595="Out"),W595,0)</f>
        <v/>
      </c>
      <c r="AD595" s="68">
        <f>IF(AND(Z595=1,U595="In"),W595,0)</f>
        <v/>
      </c>
    </row>
    <row r="596">
      <c r="B596" s="62" t="inlineStr">
        <is>
          <t>TX-0590</t>
        </is>
      </c>
      <c r="C596" s="63" t="n"/>
      <c r="D596" s="62" t="n"/>
      <c r="E596" s="62" t="n"/>
      <c r="F596" s="62" t="n"/>
      <c r="G596" s="62" t="n"/>
      <c r="H596" s="62" t="n"/>
      <c r="I596" s="62" t="n"/>
      <c r="J596" s="62" t="n"/>
      <c r="K596" s="62" t="n"/>
      <c r="L596" s="64" t="n"/>
      <c r="M596" s="64" t="n"/>
      <c r="N596" s="62" t="n"/>
      <c r="O596" s="65">
        <f>IF(Z596=1,L596-W596,"")</f>
        <v/>
      </c>
      <c r="P596" s="66">
        <f>IF(V596="","",IFERROR(INDEX(coa_Type,MATCH(V596,coa_Name,0)),""))</f>
        <v/>
      </c>
      <c r="Q596" s="66">
        <f>IF(Z596=1,IF(U596="In",K596&amp;"",V596),"")</f>
        <v/>
      </c>
      <c r="R596" s="66">
        <f>IF(Z596=1,IF(U596="In",V596,K596&amp;""),"")</f>
        <v/>
      </c>
      <c r="S596" s="66">
        <f>IF(X596&lt;&gt;"","⛔ "&amp;X596&amp;" — not posted",IF(Y596&lt;&gt;"","⚠ "&amp;Y596,IF(Z596=1,"✓ OK","")))</f>
        <v/>
      </c>
      <c r="T596" s="67">
        <f>IF(AND(C596="",D596="",E596="",L596="",K596=""),1,0)</f>
        <v/>
      </c>
      <c r="U596" s="67">
        <f>IFERROR(INDEX(tt_Dir,MATCH(D596,tt_Type,0)),"")</f>
        <v/>
      </c>
      <c r="V596" s="67">
        <f>IF(D596="","",IFERROR(IF(INDEX(tt_Other,MATCH(D596,tt_Type,0))="",E596&amp;"",INDEX(tt_Other,MATCH(D596,tt_Type,0))),""))</f>
        <v/>
      </c>
      <c r="W596" s="68">
        <f>IF(OR(TaxOn&lt;&gt;"Yes",NOT(ISNUMBER(M596))),0,IF(IFERROR(INDEX(tt_Tax,MATCH(D596,tt_Type,0)),"No")="Yes",M596,0))</f>
        <v/>
      </c>
      <c r="X596" s="67">
        <f>IF(T596=1,"",IF(C596="","Missing transaction date",IF(NOT(ISNUMBER(C596)),"Invalid date",IF(OR(C596&lt;DATE(2000,1,1),C596&gt;DATE(2099,12,31)),"Invalid date",IF(D596="","Select a type",IF(U596="","Unknown type: "&amp;D596,IF(V596="","Select an account (Category)",IF(ISNA(MATCH(V596,coa_Name,0)),"Unknown account: "&amp;V596,IF(K596="","Select Paid From / Deposited To",IF(ISNA(MATCH(K596,coa_Name,0)),"Unknown account: "&amp;K596,IF(NOT(ISNUMBER(L596)),"Enter an amount",IF(L596=0,"Enter an amount",IF(ABS(W596)&gt;ABS(L596),"Tax is larger than the amount","")))))))))))))</f>
        <v/>
      </c>
      <c r="Y596" s="67">
        <f>IF(OR(T596=1,X596&lt;&gt;""),"",IF(AND(B596&lt;&gt;"",COUNTIF(tx_ID,B596)&gt;1),"Duplicate transaction ID",IF(AND(L596&lt;0,D596&lt;&gt;"Adjustment"),"Negative amount — check this entry",IF(AND(D596="Customer Payment",G596=""),"Add the customer",IF(AND(D596="Customer Payment",OR(J596="",COUNTIF(ar_No,J596&amp;"")=0)),"Invoice # in Reference not found on AR sheet",IF(AND(D596="Bill Payment",H596=""),"Add the vendor",IF(AND(D596="Bill Payment",OR(J596="",COUNTIFS(ap_No,J596&amp;"",ap_Party,H596&amp;"")=0)),"Bill # + vendor not found on AP sheet",IF(AND(ISNUMBER(M596),N(M596)&lt;&gt;0,W596=0),"Tax ignored (tax tracking off, or not allowed for this type)",IF(V596=K596&amp;"","Same account on both sides",IF(AND(ISNUMBER(StartDate),C596&lt;StartDate),"Date is before the accounting start date",IF(AND(D596&lt;&gt;"Adjustment",IFERROR(INDEX(coa_Pay,MATCH(K596&amp;"",coa_Name,0)),"")&lt;&gt;"Yes"),"Paid From / Deposited To is not a payment account","")))))))))))</f>
        <v/>
      </c>
      <c r="Z596" s="67">
        <f>IF(AND(T596=0,X596=""),1,0)</f>
        <v/>
      </c>
      <c r="AA596" s="68">
        <f>IF(Z596=1,IF(U596="In",L596,L596-W596),0)</f>
        <v/>
      </c>
      <c r="AB596" s="68">
        <f>IF(Z596=1,IF(U596="In",L596-W596,L596),0)</f>
        <v/>
      </c>
      <c r="AC596" s="68">
        <f>IF(AND(Z596=1,U596="Out"),W596,0)</f>
        <v/>
      </c>
      <c r="AD596" s="68">
        <f>IF(AND(Z596=1,U596="In"),W596,0)</f>
        <v/>
      </c>
    </row>
    <row r="597">
      <c r="B597" s="62" t="inlineStr">
        <is>
          <t>TX-0591</t>
        </is>
      </c>
      <c r="C597" s="63" t="n"/>
      <c r="D597" s="62" t="n"/>
      <c r="E597" s="62" t="n"/>
      <c r="F597" s="62" t="n"/>
      <c r="G597" s="62" t="n"/>
      <c r="H597" s="62" t="n"/>
      <c r="I597" s="62" t="n"/>
      <c r="J597" s="62" t="n"/>
      <c r="K597" s="62" t="n"/>
      <c r="L597" s="64" t="n"/>
      <c r="M597" s="64" t="n"/>
      <c r="N597" s="62" t="n"/>
      <c r="O597" s="65">
        <f>IF(Z597=1,L597-W597,"")</f>
        <v/>
      </c>
      <c r="P597" s="66">
        <f>IF(V597="","",IFERROR(INDEX(coa_Type,MATCH(V597,coa_Name,0)),""))</f>
        <v/>
      </c>
      <c r="Q597" s="66">
        <f>IF(Z597=1,IF(U597="In",K597&amp;"",V597),"")</f>
        <v/>
      </c>
      <c r="R597" s="66">
        <f>IF(Z597=1,IF(U597="In",V597,K597&amp;""),"")</f>
        <v/>
      </c>
      <c r="S597" s="66">
        <f>IF(X597&lt;&gt;"","⛔ "&amp;X597&amp;" — not posted",IF(Y597&lt;&gt;"","⚠ "&amp;Y597,IF(Z597=1,"✓ OK","")))</f>
        <v/>
      </c>
      <c r="T597" s="67">
        <f>IF(AND(C597="",D597="",E597="",L597="",K597=""),1,0)</f>
        <v/>
      </c>
      <c r="U597" s="67">
        <f>IFERROR(INDEX(tt_Dir,MATCH(D597,tt_Type,0)),"")</f>
        <v/>
      </c>
      <c r="V597" s="67">
        <f>IF(D597="","",IFERROR(IF(INDEX(tt_Other,MATCH(D597,tt_Type,0))="",E597&amp;"",INDEX(tt_Other,MATCH(D597,tt_Type,0))),""))</f>
        <v/>
      </c>
      <c r="W597" s="68">
        <f>IF(OR(TaxOn&lt;&gt;"Yes",NOT(ISNUMBER(M597))),0,IF(IFERROR(INDEX(tt_Tax,MATCH(D597,tt_Type,0)),"No")="Yes",M597,0))</f>
        <v/>
      </c>
      <c r="X597" s="67">
        <f>IF(T597=1,"",IF(C597="","Missing transaction date",IF(NOT(ISNUMBER(C597)),"Invalid date",IF(OR(C597&lt;DATE(2000,1,1),C597&gt;DATE(2099,12,31)),"Invalid date",IF(D597="","Select a type",IF(U597="","Unknown type: "&amp;D597,IF(V597="","Select an account (Category)",IF(ISNA(MATCH(V597,coa_Name,0)),"Unknown account: "&amp;V597,IF(K597="","Select Paid From / Deposited To",IF(ISNA(MATCH(K597,coa_Name,0)),"Unknown account: "&amp;K597,IF(NOT(ISNUMBER(L597)),"Enter an amount",IF(L597=0,"Enter an amount",IF(ABS(W597)&gt;ABS(L597),"Tax is larger than the amount","")))))))))))))</f>
        <v/>
      </c>
      <c r="Y597" s="67">
        <f>IF(OR(T597=1,X597&lt;&gt;""),"",IF(AND(B597&lt;&gt;"",COUNTIF(tx_ID,B597)&gt;1),"Duplicate transaction ID",IF(AND(L597&lt;0,D597&lt;&gt;"Adjustment"),"Negative amount — check this entry",IF(AND(D597="Customer Payment",G597=""),"Add the customer",IF(AND(D597="Customer Payment",OR(J597="",COUNTIF(ar_No,J597&amp;"")=0)),"Invoice # in Reference not found on AR sheet",IF(AND(D597="Bill Payment",H597=""),"Add the vendor",IF(AND(D597="Bill Payment",OR(J597="",COUNTIFS(ap_No,J597&amp;"",ap_Party,H597&amp;"")=0)),"Bill # + vendor not found on AP sheet",IF(AND(ISNUMBER(M597),N(M597)&lt;&gt;0,W597=0),"Tax ignored (tax tracking off, or not allowed for this type)",IF(V597=K597&amp;"","Same account on both sides",IF(AND(ISNUMBER(StartDate),C597&lt;StartDate),"Date is before the accounting start date",IF(AND(D597&lt;&gt;"Adjustment",IFERROR(INDEX(coa_Pay,MATCH(K597&amp;"",coa_Name,0)),"")&lt;&gt;"Yes"),"Paid From / Deposited To is not a payment account","")))))))))))</f>
        <v/>
      </c>
      <c r="Z597" s="67">
        <f>IF(AND(T597=0,X597=""),1,0)</f>
        <v/>
      </c>
      <c r="AA597" s="68">
        <f>IF(Z597=1,IF(U597="In",L597,L597-W597),0)</f>
        <v/>
      </c>
      <c r="AB597" s="68">
        <f>IF(Z597=1,IF(U597="In",L597-W597,L597),0)</f>
        <v/>
      </c>
      <c r="AC597" s="68">
        <f>IF(AND(Z597=1,U597="Out"),W597,0)</f>
        <v/>
      </c>
      <c r="AD597" s="68">
        <f>IF(AND(Z597=1,U597="In"),W597,0)</f>
        <v/>
      </c>
    </row>
    <row r="598">
      <c r="B598" s="62" t="inlineStr">
        <is>
          <t>TX-0592</t>
        </is>
      </c>
      <c r="C598" s="63" t="n"/>
      <c r="D598" s="62" t="n"/>
      <c r="E598" s="62" t="n"/>
      <c r="F598" s="62" t="n"/>
      <c r="G598" s="62" t="n"/>
      <c r="H598" s="62" t="n"/>
      <c r="I598" s="62" t="n"/>
      <c r="J598" s="62" t="n"/>
      <c r="K598" s="62" t="n"/>
      <c r="L598" s="64" t="n"/>
      <c r="M598" s="64" t="n"/>
      <c r="N598" s="62" t="n"/>
      <c r="O598" s="65">
        <f>IF(Z598=1,L598-W598,"")</f>
        <v/>
      </c>
      <c r="P598" s="66">
        <f>IF(V598="","",IFERROR(INDEX(coa_Type,MATCH(V598,coa_Name,0)),""))</f>
        <v/>
      </c>
      <c r="Q598" s="66">
        <f>IF(Z598=1,IF(U598="In",K598&amp;"",V598),"")</f>
        <v/>
      </c>
      <c r="R598" s="66">
        <f>IF(Z598=1,IF(U598="In",V598,K598&amp;""),"")</f>
        <v/>
      </c>
      <c r="S598" s="66">
        <f>IF(X598&lt;&gt;"","⛔ "&amp;X598&amp;" — not posted",IF(Y598&lt;&gt;"","⚠ "&amp;Y598,IF(Z598=1,"✓ OK","")))</f>
        <v/>
      </c>
      <c r="T598" s="67">
        <f>IF(AND(C598="",D598="",E598="",L598="",K598=""),1,0)</f>
        <v/>
      </c>
      <c r="U598" s="67">
        <f>IFERROR(INDEX(tt_Dir,MATCH(D598,tt_Type,0)),"")</f>
        <v/>
      </c>
      <c r="V598" s="67">
        <f>IF(D598="","",IFERROR(IF(INDEX(tt_Other,MATCH(D598,tt_Type,0))="",E598&amp;"",INDEX(tt_Other,MATCH(D598,tt_Type,0))),""))</f>
        <v/>
      </c>
      <c r="W598" s="68">
        <f>IF(OR(TaxOn&lt;&gt;"Yes",NOT(ISNUMBER(M598))),0,IF(IFERROR(INDEX(tt_Tax,MATCH(D598,tt_Type,0)),"No")="Yes",M598,0))</f>
        <v/>
      </c>
      <c r="X598" s="67">
        <f>IF(T598=1,"",IF(C598="","Missing transaction date",IF(NOT(ISNUMBER(C598)),"Invalid date",IF(OR(C598&lt;DATE(2000,1,1),C598&gt;DATE(2099,12,31)),"Invalid date",IF(D598="","Select a type",IF(U598="","Unknown type: "&amp;D598,IF(V598="","Select an account (Category)",IF(ISNA(MATCH(V598,coa_Name,0)),"Unknown account: "&amp;V598,IF(K598="","Select Paid From / Deposited To",IF(ISNA(MATCH(K598,coa_Name,0)),"Unknown account: "&amp;K598,IF(NOT(ISNUMBER(L598)),"Enter an amount",IF(L598=0,"Enter an amount",IF(ABS(W598)&gt;ABS(L598),"Tax is larger than the amount","")))))))))))))</f>
        <v/>
      </c>
      <c r="Y598" s="67">
        <f>IF(OR(T598=1,X598&lt;&gt;""),"",IF(AND(B598&lt;&gt;"",COUNTIF(tx_ID,B598)&gt;1),"Duplicate transaction ID",IF(AND(L598&lt;0,D598&lt;&gt;"Adjustment"),"Negative amount — check this entry",IF(AND(D598="Customer Payment",G598=""),"Add the customer",IF(AND(D598="Customer Payment",OR(J598="",COUNTIF(ar_No,J598&amp;"")=0)),"Invoice # in Reference not found on AR sheet",IF(AND(D598="Bill Payment",H598=""),"Add the vendor",IF(AND(D598="Bill Payment",OR(J598="",COUNTIFS(ap_No,J598&amp;"",ap_Party,H598&amp;"")=0)),"Bill # + vendor not found on AP sheet",IF(AND(ISNUMBER(M598),N(M598)&lt;&gt;0,W598=0),"Tax ignored (tax tracking off, or not allowed for this type)",IF(V598=K598&amp;"","Same account on both sides",IF(AND(ISNUMBER(StartDate),C598&lt;StartDate),"Date is before the accounting start date",IF(AND(D598&lt;&gt;"Adjustment",IFERROR(INDEX(coa_Pay,MATCH(K598&amp;"",coa_Name,0)),"")&lt;&gt;"Yes"),"Paid From / Deposited To is not a payment account","")))))))))))</f>
        <v/>
      </c>
      <c r="Z598" s="67">
        <f>IF(AND(T598=0,X598=""),1,0)</f>
        <v/>
      </c>
      <c r="AA598" s="68">
        <f>IF(Z598=1,IF(U598="In",L598,L598-W598),0)</f>
        <v/>
      </c>
      <c r="AB598" s="68">
        <f>IF(Z598=1,IF(U598="In",L598-W598,L598),0)</f>
        <v/>
      </c>
      <c r="AC598" s="68">
        <f>IF(AND(Z598=1,U598="Out"),W598,0)</f>
        <v/>
      </c>
      <c r="AD598" s="68">
        <f>IF(AND(Z598=1,U598="In"),W598,0)</f>
        <v/>
      </c>
    </row>
    <row r="599">
      <c r="B599" s="62" t="inlineStr">
        <is>
          <t>TX-0593</t>
        </is>
      </c>
      <c r="C599" s="63" t="n"/>
      <c r="D599" s="62" t="n"/>
      <c r="E599" s="62" t="n"/>
      <c r="F599" s="62" t="n"/>
      <c r="G599" s="62" t="n"/>
      <c r="H599" s="62" t="n"/>
      <c r="I599" s="62" t="n"/>
      <c r="J599" s="62" t="n"/>
      <c r="K599" s="62" t="n"/>
      <c r="L599" s="64" t="n"/>
      <c r="M599" s="64" t="n"/>
      <c r="N599" s="62" t="n"/>
      <c r="O599" s="65">
        <f>IF(Z599=1,L599-W599,"")</f>
        <v/>
      </c>
      <c r="P599" s="66">
        <f>IF(V599="","",IFERROR(INDEX(coa_Type,MATCH(V599,coa_Name,0)),""))</f>
        <v/>
      </c>
      <c r="Q599" s="66">
        <f>IF(Z599=1,IF(U599="In",K599&amp;"",V599),"")</f>
        <v/>
      </c>
      <c r="R599" s="66">
        <f>IF(Z599=1,IF(U599="In",V599,K599&amp;""),"")</f>
        <v/>
      </c>
      <c r="S599" s="66">
        <f>IF(X599&lt;&gt;"","⛔ "&amp;X599&amp;" — not posted",IF(Y599&lt;&gt;"","⚠ "&amp;Y599,IF(Z599=1,"✓ OK","")))</f>
        <v/>
      </c>
      <c r="T599" s="67">
        <f>IF(AND(C599="",D599="",E599="",L599="",K599=""),1,0)</f>
        <v/>
      </c>
      <c r="U599" s="67">
        <f>IFERROR(INDEX(tt_Dir,MATCH(D599,tt_Type,0)),"")</f>
        <v/>
      </c>
      <c r="V599" s="67">
        <f>IF(D599="","",IFERROR(IF(INDEX(tt_Other,MATCH(D599,tt_Type,0))="",E599&amp;"",INDEX(tt_Other,MATCH(D599,tt_Type,0))),""))</f>
        <v/>
      </c>
      <c r="W599" s="68">
        <f>IF(OR(TaxOn&lt;&gt;"Yes",NOT(ISNUMBER(M599))),0,IF(IFERROR(INDEX(tt_Tax,MATCH(D599,tt_Type,0)),"No")="Yes",M599,0))</f>
        <v/>
      </c>
      <c r="X599" s="67">
        <f>IF(T599=1,"",IF(C599="","Missing transaction date",IF(NOT(ISNUMBER(C599)),"Invalid date",IF(OR(C599&lt;DATE(2000,1,1),C599&gt;DATE(2099,12,31)),"Invalid date",IF(D599="","Select a type",IF(U599="","Unknown type: "&amp;D599,IF(V599="","Select an account (Category)",IF(ISNA(MATCH(V599,coa_Name,0)),"Unknown account: "&amp;V599,IF(K599="","Select Paid From / Deposited To",IF(ISNA(MATCH(K599,coa_Name,0)),"Unknown account: "&amp;K599,IF(NOT(ISNUMBER(L599)),"Enter an amount",IF(L599=0,"Enter an amount",IF(ABS(W599)&gt;ABS(L599),"Tax is larger than the amount","")))))))))))))</f>
        <v/>
      </c>
      <c r="Y599" s="67">
        <f>IF(OR(T599=1,X599&lt;&gt;""),"",IF(AND(B599&lt;&gt;"",COUNTIF(tx_ID,B599)&gt;1),"Duplicate transaction ID",IF(AND(L599&lt;0,D599&lt;&gt;"Adjustment"),"Negative amount — check this entry",IF(AND(D599="Customer Payment",G599=""),"Add the customer",IF(AND(D599="Customer Payment",OR(J599="",COUNTIF(ar_No,J599&amp;"")=0)),"Invoice # in Reference not found on AR sheet",IF(AND(D599="Bill Payment",H599=""),"Add the vendor",IF(AND(D599="Bill Payment",OR(J599="",COUNTIFS(ap_No,J599&amp;"",ap_Party,H599&amp;"")=0)),"Bill # + vendor not found on AP sheet",IF(AND(ISNUMBER(M599),N(M599)&lt;&gt;0,W599=0),"Tax ignored (tax tracking off, or not allowed for this type)",IF(V599=K599&amp;"","Same account on both sides",IF(AND(ISNUMBER(StartDate),C599&lt;StartDate),"Date is before the accounting start date",IF(AND(D599&lt;&gt;"Adjustment",IFERROR(INDEX(coa_Pay,MATCH(K599&amp;"",coa_Name,0)),"")&lt;&gt;"Yes"),"Paid From / Deposited To is not a payment account","")))))))))))</f>
        <v/>
      </c>
      <c r="Z599" s="67">
        <f>IF(AND(T599=0,X599=""),1,0)</f>
        <v/>
      </c>
      <c r="AA599" s="68">
        <f>IF(Z599=1,IF(U599="In",L599,L599-W599),0)</f>
        <v/>
      </c>
      <c r="AB599" s="68">
        <f>IF(Z599=1,IF(U599="In",L599-W599,L599),0)</f>
        <v/>
      </c>
      <c r="AC599" s="68">
        <f>IF(AND(Z599=1,U599="Out"),W599,0)</f>
        <v/>
      </c>
      <c r="AD599" s="68">
        <f>IF(AND(Z599=1,U599="In"),W599,0)</f>
        <v/>
      </c>
    </row>
    <row r="600">
      <c r="B600" s="62" t="inlineStr">
        <is>
          <t>TX-0594</t>
        </is>
      </c>
      <c r="C600" s="63" t="n"/>
      <c r="D600" s="62" t="n"/>
      <c r="E600" s="62" t="n"/>
      <c r="F600" s="62" t="n"/>
      <c r="G600" s="62" t="n"/>
      <c r="H600" s="62" t="n"/>
      <c r="I600" s="62" t="n"/>
      <c r="J600" s="62" t="n"/>
      <c r="K600" s="62" t="n"/>
      <c r="L600" s="64" t="n"/>
      <c r="M600" s="64" t="n"/>
      <c r="N600" s="62" t="n"/>
      <c r="O600" s="65">
        <f>IF(Z600=1,L600-W600,"")</f>
        <v/>
      </c>
      <c r="P600" s="66">
        <f>IF(V600="","",IFERROR(INDEX(coa_Type,MATCH(V600,coa_Name,0)),""))</f>
        <v/>
      </c>
      <c r="Q600" s="66">
        <f>IF(Z600=1,IF(U600="In",K600&amp;"",V600),"")</f>
        <v/>
      </c>
      <c r="R600" s="66">
        <f>IF(Z600=1,IF(U600="In",V600,K600&amp;""),"")</f>
        <v/>
      </c>
      <c r="S600" s="66">
        <f>IF(X600&lt;&gt;"","⛔ "&amp;X600&amp;" — not posted",IF(Y600&lt;&gt;"","⚠ "&amp;Y600,IF(Z600=1,"✓ OK","")))</f>
        <v/>
      </c>
      <c r="T600" s="67">
        <f>IF(AND(C600="",D600="",E600="",L600="",K600=""),1,0)</f>
        <v/>
      </c>
      <c r="U600" s="67">
        <f>IFERROR(INDEX(tt_Dir,MATCH(D600,tt_Type,0)),"")</f>
        <v/>
      </c>
      <c r="V600" s="67">
        <f>IF(D600="","",IFERROR(IF(INDEX(tt_Other,MATCH(D600,tt_Type,0))="",E600&amp;"",INDEX(tt_Other,MATCH(D600,tt_Type,0))),""))</f>
        <v/>
      </c>
      <c r="W600" s="68">
        <f>IF(OR(TaxOn&lt;&gt;"Yes",NOT(ISNUMBER(M600))),0,IF(IFERROR(INDEX(tt_Tax,MATCH(D600,tt_Type,0)),"No")="Yes",M600,0))</f>
        <v/>
      </c>
      <c r="X600" s="67">
        <f>IF(T600=1,"",IF(C600="","Missing transaction date",IF(NOT(ISNUMBER(C600)),"Invalid date",IF(OR(C600&lt;DATE(2000,1,1),C600&gt;DATE(2099,12,31)),"Invalid date",IF(D600="","Select a type",IF(U600="","Unknown type: "&amp;D600,IF(V600="","Select an account (Category)",IF(ISNA(MATCH(V600,coa_Name,0)),"Unknown account: "&amp;V600,IF(K600="","Select Paid From / Deposited To",IF(ISNA(MATCH(K600,coa_Name,0)),"Unknown account: "&amp;K600,IF(NOT(ISNUMBER(L600)),"Enter an amount",IF(L600=0,"Enter an amount",IF(ABS(W600)&gt;ABS(L600),"Tax is larger than the amount","")))))))))))))</f>
        <v/>
      </c>
      <c r="Y600" s="67">
        <f>IF(OR(T600=1,X600&lt;&gt;""),"",IF(AND(B600&lt;&gt;"",COUNTIF(tx_ID,B600)&gt;1),"Duplicate transaction ID",IF(AND(L600&lt;0,D600&lt;&gt;"Adjustment"),"Negative amount — check this entry",IF(AND(D600="Customer Payment",G600=""),"Add the customer",IF(AND(D600="Customer Payment",OR(J600="",COUNTIF(ar_No,J600&amp;"")=0)),"Invoice # in Reference not found on AR sheet",IF(AND(D600="Bill Payment",H600=""),"Add the vendor",IF(AND(D600="Bill Payment",OR(J600="",COUNTIFS(ap_No,J600&amp;"",ap_Party,H600&amp;"")=0)),"Bill # + vendor not found on AP sheet",IF(AND(ISNUMBER(M600),N(M600)&lt;&gt;0,W600=0),"Tax ignored (tax tracking off, or not allowed for this type)",IF(V600=K600&amp;"","Same account on both sides",IF(AND(ISNUMBER(StartDate),C600&lt;StartDate),"Date is before the accounting start date",IF(AND(D600&lt;&gt;"Adjustment",IFERROR(INDEX(coa_Pay,MATCH(K600&amp;"",coa_Name,0)),"")&lt;&gt;"Yes"),"Paid From / Deposited To is not a payment account","")))))))))))</f>
        <v/>
      </c>
      <c r="Z600" s="67">
        <f>IF(AND(T600=0,X600=""),1,0)</f>
        <v/>
      </c>
      <c r="AA600" s="68">
        <f>IF(Z600=1,IF(U600="In",L600,L600-W600),0)</f>
        <v/>
      </c>
      <c r="AB600" s="68">
        <f>IF(Z600=1,IF(U600="In",L600-W600,L600),0)</f>
        <v/>
      </c>
      <c r="AC600" s="68">
        <f>IF(AND(Z600=1,U600="Out"),W600,0)</f>
        <v/>
      </c>
      <c r="AD600" s="68">
        <f>IF(AND(Z600=1,U600="In"),W600,0)</f>
        <v/>
      </c>
    </row>
    <row r="601">
      <c r="B601" s="62" t="inlineStr">
        <is>
          <t>TX-0595</t>
        </is>
      </c>
      <c r="C601" s="63" t="n"/>
      <c r="D601" s="62" t="n"/>
      <c r="E601" s="62" t="n"/>
      <c r="F601" s="62" t="n"/>
      <c r="G601" s="62" t="n"/>
      <c r="H601" s="62" t="n"/>
      <c r="I601" s="62" t="n"/>
      <c r="J601" s="62" t="n"/>
      <c r="K601" s="62" t="n"/>
      <c r="L601" s="64" t="n"/>
      <c r="M601" s="64" t="n"/>
      <c r="N601" s="62" t="n"/>
      <c r="O601" s="65">
        <f>IF(Z601=1,L601-W601,"")</f>
        <v/>
      </c>
      <c r="P601" s="66">
        <f>IF(V601="","",IFERROR(INDEX(coa_Type,MATCH(V601,coa_Name,0)),""))</f>
        <v/>
      </c>
      <c r="Q601" s="66">
        <f>IF(Z601=1,IF(U601="In",K601&amp;"",V601),"")</f>
        <v/>
      </c>
      <c r="R601" s="66">
        <f>IF(Z601=1,IF(U601="In",V601,K601&amp;""),"")</f>
        <v/>
      </c>
      <c r="S601" s="66">
        <f>IF(X601&lt;&gt;"","⛔ "&amp;X601&amp;" — not posted",IF(Y601&lt;&gt;"","⚠ "&amp;Y601,IF(Z601=1,"✓ OK","")))</f>
        <v/>
      </c>
      <c r="T601" s="67">
        <f>IF(AND(C601="",D601="",E601="",L601="",K601=""),1,0)</f>
        <v/>
      </c>
      <c r="U601" s="67">
        <f>IFERROR(INDEX(tt_Dir,MATCH(D601,tt_Type,0)),"")</f>
        <v/>
      </c>
      <c r="V601" s="67">
        <f>IF(D601="","",IFERROR(IF(INDEX(tt_Other,MATCH(D601,tt_Type,0))="",E601&amp;"",INDEX(tt_Other,MATCH(D601,tt_Type,0))),""))</f>
        <v/>
      </c>
      <c r="W601" s="68">
        <f>IF(OR(TaxOn&lt;&gt;"Yes",NOT(ISNUMBER(M601))),0,IF(IFERROR(INDEX(tt_Tax,MATCH(D601,tt_Type,0)),"No")="Yes",M601,0))</f>
        <v/>
      </c>
      <c r="X601" s="67">
        <f>IF(T601=1,"",IF(C601="","Missing transaction date",IF(NOT(ISNUMBER(C601)),"Invalid date",IF(OR(C601&lt;DATE(2000,1,1),C601&gt;DATE(2099,12,31)),"Invalid date",IF(D601="","Select a type",IF(U601="","Unknown type: "&amp;D601,IF(V601="","Select an account (Category)",IF(ISNA(MATCH(V601,coa_Name,0)),"Unknown account: "&amp;V601,IF(K601="","Select Paid From / Deposited To",IF(ISNA(MATCH(K601,coa_Name,0)),"Unknown account: "&amp;K601,IF(NOT(ISNUMBER(L601)),"Enter an amount",IF(L601=0,"Enter an amount",IF(ABS(W601)&gt;ABS(L601),"Tax is larger than the amount","")))))))))))))</f>
        <v/>
      </c>
      <c r="Y601" s="67">
        <f>IF(OR(T601=1,X601&lt;&gt;""),"",IF(AND(B601&lt;&gt;"",COUNTIF(tx_ID,B601)&gt;1),"Duplicate transaction ID",IF(AND(L601&lt;0,D601&lt;&gt;"Adjustment"),"Negative amount — check this entry",IF(AND(D601="Customer Payment",G601=""),"Add the customer",IF(AND(D601="Customer Payment",OR(J601="",COUNTIF(ar_No,J601&amp;"")=0)),"Invoice # in Reference not found on AR sheet",IF(AND(D601="Bill Payment",H601=""),"Add the vendor",IF(AND(D601="Bill Payment",OR(J601="",COUNTIFS(ap_No,J601&amp;"",ap_Party,H601&amp;"")=0)),"Bill # + vendor not found on AP sheet",IF(AND(ISNUMBER(M601),N(M601)&lt;&gt;0,W601=0),"Tax ignored (tax tracking off, or not allowed for this type)",IF(V601=K601&amp;"","Same account on both sides",IF(AND(ISNUMBER(StartDate),C601&lt;StartDate),"Date is before the accounting start date",IF(AND(D601&lt;&gt;"Adjustment",IFERROR(INDEX(coa_Pay,MATCH(K601&amp;"",coa_Name,0)),"")&lt;&gt;"Yes"),"Paid From / Deposited To is not a payment account","")))))))))))</f>
        <v/>
      </c>
      <c r="Z601" s="67">
        <f>IF(AND(T601=0,X601=""),1,0)</f>
        <v/>
      </c>
      <c r="AA601" s="68">
        <f>IF(Z601=1,IF(U601="In",L601,L601-W601),0)</f>
        <v/>
      </c>
      <c r="AB601" s="68">
        <f>IF(Z601=1,IF(U601="In",L601-W601,L601),0)</f>
        <v/>
      </c>
      <c r="AC601" s="68">
        <f>IF(AND(Z601=1,U601="Out"),W601,0)</f>
        <v/>
      </c>
      <c r="AD601" s="68">
        <f>IF(AND(Z601=1,U601="In"),W601,0)</f>
        <v/>
      </c>
    </row>
    <row r="602">
      <c r="B602" s="62" t="inlineStr">
        <is>
          <t>TX-0596</t>
        </is>
      </c>
      <c r="C602" s="63" t="n"/>
      <c r="D602" s="62" t="n"/>
      <c r="E602" s="62" t="n"/>
      <c r="F602" s="62" t="n"/>
      <c r="G602" s="62" t="n"/>
      <c r="H602" s="62" t="n"/>
      <c r="I602" s="62" t="n"/>
      <c r="J602" s="62" t="n"/>
      <c r="K602" s="62" t="n"/>
      <c r="L602" s="64" t="n"/>
      <c r="M602" s="64" t="n"/>
      <c r="N602" s="62" t="n"/>
      <c r="O602" s="65">
        <f>IF(Z602=1,L602-W602,"")</f>
        <v/>
      </c>
      <c r="P602" s="66">
        <f>IF(V602="","",IFERROR(INDEX(coa_Type,MATCH(V602,coa_Name,0)),""))</f>
        <v/>
      </c>
      <c r="Q602" s="66">
        <f>IF(Z602=1,IF(U602="In",K602&amp;"",V602),"")</f>
        <v/>
      </c>
      <c r="R602" s="66">
        <f>IF(Z602=1,IF(U602="In",V602,K602&amp;""),"")</f>
        <v/>
      </c>
      <c r="S602" s="66">
        <f>IF(X602&lt;&gt;"","⛔ "&amp;X602&amp;" — not posted",IF(Y602&lt;&gt;"","⚠ "&amp;Y602,IF(Z602=1,"✓ OK","")))</f>
        <v/>
      </c>
      <c r="T602" s="67">
        <f>IF(AND(C602="",D602="",E602="",L602="",K602=""),1,0)</f>
        <v/>
      </c>
      <c r="U602" s="67">
        <f>IFERROR(INDEX(tt_Dir,MATCH(D602,tt_Type,0)),"")</f>
        <v/>
      </c>
      <c r="V602" s="67">
        <f>IF(D602="","",IFERROR(IF(INDEX(tt_Other,MATCH(D602,tt_Type,0))="",E602&amp;"",INDEX(tt_Other,MATCH(D602,tt_Type,0))),""))</f>
        <v/>
      </c>
      <c r="W602" s="68">
        <f>IF(OR(TaxOn&lt;&gt;"Yes",NOT(ISNUMBER(M602))),0,IF(IFERROR(INDEX(tt_Tax,MATCH(D602,tt_Type,0)),"No")="Yes",M602,0))</f>
        <v/>
      </c>
      <c r="X602" s="67">
        <f>IF(T602=1,"",IF(C602="","Missing transaction date",IF(NOT(ISNUMBER(C602)),"Invalid date",IF(OR(C602&lt;DATE(2000,1,1),C602&gt;DATE(2099,12,31)),"Invalid date",IF(D602="","Select a type",IF(U602="","Unknown type: "&amp;D602,IF(V602="","Select an account (Category)",IF(ISNA(MATCH(V602,coa_Name,0)),"Unknown account: "&amp;V602,IF(K602="","Select Paid From / Deposited To",IF(ISNA(MATCH(K602,coa_Name,0)),"Unknown account: "&amp;K602,IF(NOT(ISNUMBER(L602)),"Enter an amount",IF(L602=0,"Enter an amount",IF(ABS(W602)&gt;ABS(L602),"Tax is larger than the amount","")))))))))))))</f>
        <v/>
      </c>
      <c r="Y602" s="67">
        <f>IF(OR(T602=1,X602&lt;&gt;""),"",IF(AND(B602&lt;&gt;"",COUNTIF(tx_ID,B602)&gt;1),"Duplicate transaction ID",IF(AND(L602&lt;0,D602&lt;&gt;"Adjustment"),"Negative amount — check this entry",IF(AND(D602="Customer Payment",G602=""),"Add the customer",IF(AND(D602="Customer Payment",OR(J602="",COUNTIF(ar_No,J602&amp;"")=0)),"Invoice # in Reference not found on AR sheet",IF(AND(D602="Bill Payment",H602=""),"Add the vendor",IF(AND(D602="Bill Payment",OR(J602="",COUNTIFS(ap_No,J602&amp;"",ap_Party,H602&amp;"")=0)),"Bill # + vendor not found on AP sheet",IF(AND(ISNUMBER(M602),N(M602)&lt;&gt;0,W602=0),"Tax ignored (tax tracking off, or not allowed for this type)",IF(V602=K602&amp;"","Same account on both sides",IF(AND(ISNUMBER(StartDate),C602&lt;StartDate),"Date is before the accounting start date",IF(AND(D602&lt;&gt;"Adjustment",IFERROR(INDEX(coa_Pay,MATCH(K602&amp;"",coa_Name,0)),"")&lt;&gt;"Yes"),"Paid From / Deposited To is not a payment account","")))))))))))</f>
        <v/>
      </c>
      <c r="Z602" s="67">
        <f>IF(AND(T602=0,X602=""),1,0)</f>
        <v/>
      </c>
      <c r="AA602" s="68">
        <f>IF(Z602=1,IF(U602="In",L602,L602-W602),0)</f>
        <v/>
      </c>
      <c r="AB602" s="68">
        <f>IF(Z602=1,IF(U602="In",L602-W602,L602),0)</f>
        <v/>
      </c>
      <c r="AC602" s="68">
        <f>IF(AND(Z602=1,U602="Out"),W602,0)</f>
        <v/>
      </c>
      <c r="AD602" s="68">
        <f>IF(AND(Z602=1,U602="In"),W602,0)</f>
        <v/>
      </c>
    </row>
    <row r="603">
      <c r="B603" s="62" t="inlineStr">
        <is>
          <t>TX-0597</t>
        </is>
      </c>
      <c r="C603" s="63" t="n"/>
      <c r="D603" s="62" t="n"/>
      <c r="E603" s="62" t="n"/>
      <c r="F603" s="62" t="n"/>
      <c r="G603" s="62" t="n"/>
      <c r="H603" s="62" t="n"/>
      <c r="I603" s="62" t="n"/>
      <c r="J603" s="62" t="n"/>
      <c r="K603" s="62" t="n"/>
      <c r="L603" s="64" t="n"/>
      <c r="M603" s="64" t="n"/>
      <c r="N603" s="62" t="n"/>
      <c r="O603" s="65">
        <f>IF(Z603=1,L603-W603,"")</f>
        <v/>
      </c>
      <c r="P603" s="66">
        <f>IF(V603="","",IFERROR(INDEX(coa_Type,MATCH(V603,coa_Name,0)),""))</f>
        <v/>
      </c>
      <c r="Q603" s="66">
        <f>IF(Z603=1,IF(U603="In",K603&amp;"",V603),"")</f>
        <v/>
      </c>
      <c r="R603" s="66">
        <f>IF(Z603=1,IF(U603="In",V603,K603&amp;""),"")</f>
        <v/>
      </c>
      <c r="S603" s="66">
        <f>IF(X603&lt;&gt;"","⛔ "&amp;X603&amp;" — not posted",IF(Y603&lt;&gt;"","⚠ "&amp;Y603,IF(Z603=1,"✓ OK","")))</f>
        <v/>
      </c>
      <c r="T603" s="67">
        <f>IF(AND(C603="",D603="",E603="",L603="",K603=""),1,0)</f>
        <v/>
      </c>
      <c r="U603" s="67">
        <f>IFERROR(INDEX(tt_Dir,MATCH(D603,tt_Type,0)),"")</f>
        <v/>
      </c>
      <c r="V603" s="67">
        <f>IF(D603="","",IFERROR(IF(INDEX(tt_Other,MATCH(D603,tt_Type,0))="",E603&amp;"",INDEX(tt_Other,MATCH(D603,tt_Type,0))),""))</f>
        <v/>
      </c>
      <c r="W603" s="68">
        <f>IF(OR(TaxOn&lt;&gt;"Yes",NOT(ISNUMBER(M603))),0,IF(IFERROR(INDEX(tt_Tax,MATCH(D603,tt_Type,0)),"No")="Yes",M603,0))</f>
        <v/>
      </c>
      <c r="X603" s="67">
        <f>IF(T603=1,"",IF(C603="","Missing transaction date",IF(NOT(ISNUMBER(C603)),"Invalid date",IF(OR(C603&lt;DATE(2000,1,1),C603&gt;DATE(2099,12,31)),"Invalid date",IF(D603="","Select a type",IF(U603="","Unknown type: "&amp;D603,IF(V603="","Select an account (Category)",IF(ISNA(MATCH(V603,coa_Name,0)),"Unknown account: "&amp;V603,IF(K603="","Select Paid From / Deposited To",IF(ISNA(MATCH(K603,coa_Name,0)),"Unknown account: "&amp;K603,IF(NOT(ISNUMBER(L603)),"Enter an amount",IF(L603=0,"Enter an amount",IF(ABS(W603)&gt;ABS(L603),"Tax is larger than the amount","")))))))))))))</f>
        <v/>
      </c>
      <c r="Y603" s="67">
        <f>IF(OR(T603=1,X603&lt;&gt;""),"",IF(AND(B603&lt;&gt;"",COUNTIF(tx_ID,B603)&gt;1),"Duplicate transaction ID",IF(AND(L603&lt;0,D603&lt;&gt;"Adjustment"),"Negative amount — check this entry",IF(AND(D603="Customer Payment",G603=""),"Add the customer",IF(AND(D603="Customer Payment",OR(J603="",COUNTIF(ar_No,J603&amp;"")=0)),"Invoice # in Reference not found on AR sheet",IF(AND(D603="Bill Payment",H603=""),"Add the vendor",IF(AND(D603="Bill Payment",OR(J603="",COUNTIFS(ap_No,J603&amp;"",ap_Party,H603&amp;"")=0)),"Bill # + vendor not found on AP sheet",IF(AND(ISNUMBER(M603),N(M603)&lt;&gt;0,W603=0),"Tax ignored (tax tracking off, or not allowed for this type)",IF(V603=K603&amp;"","Same account on both sides",IF(AND(ISNUMBER(StartDate),C603&lt;StartDate),"Date is before the accounting start date",IF(AND(D603&lt;&gt;"Adjustment",IFERROR(INDEX(coa_Pay,MATCH(K603&amp;"",coa_Name,0)),"")&lt;&gt;"Yes"),"Paid From / Deposited To is not a payment account","")))))))))))</f>
        <v/>
      </c>
      <c r="Z603" s="67">
        <f>IF(AND(T603=0,X603=""),1,0)</f>
        <v/>
      </c>
      <c r="AA603" s="68">
        <f>IF(Z603=1,IF(U603="In",L603,L603-W603),0)</f>
        <v/>
      </c>
      <c r="AB603" s="68">
        <f>IF(Z603=1,IF(U603="In",L603-W603,L603),0)</f>
        <v/>
      </c>
      <c r="AC603" s="68">
        <f>IF(AND(Z603=1,U603="Out"),W603,0)</f>
        <v/>
      </c>
      <c r="AD603" s="68">
        <f>IF(AND(Z603=1,U603="In"),W603,0)</f>
        <v/>
      </c>
    </row>
    <row r="604">
      <c r="B604" s="62" t="inlineStr">
        <is>
          <t>TX-0598</t>
        </is>
      </c>
      <c r="C604" s="63" t="n"/>
      <c r="D604" s="62" t="n"/>
      <c r="E604" s="62" t="n"/>
      <c r="F604" s="62" t="n"/>
      <c r="G604" s="62" t="n"/>
      <c r="H604" s="62" t="n"/>
      <c r="I604" s="62" t="n"/>
      <c r="J604" s="62" t="n"/>
      <c r="K604" s="62" t="n"/>
      <c r="L604" s="64" t="n"/>
      <c r="M604" s="64" t="n"/>
      <c r="N604" s="62" t="n"/>
      <c r="O604" s="65">
        <f>IF(Z604=1,L604-W604,"")</f>
        <v/>
      </c>
      <c r="P604" s="66">
        <f>IF(V604="","",IFERROR(INDEX(coa_Type,MATCH(V604,coa_Name,0)),""))</f>
        <v/>
      </c>
      <c r="Q604" s="66">
        <f>IF(Z604=1,IF(U604="In",K604&amp;"",V604),"")</f>
        <v/>
      </c>
      <c r="R604" s="66">
        <f>IF(Z604=1,IF(U604="In",V604,K604&amp;""),"")</f>
        <v/>
      </c>
      <c r="S604" s="66">
        <f>IF(X604&lt;&gt;"","⛔ "&amp;X604&amp;" — not posted",IF(Y604&lt;&gt;"","⚠ "&amp;Y604,IF(Z604=1,"✓ OK","")))</f>
        <v/>
      </c>
      <c r="T604" s="67">
        <f>IF(AND(C604="",D604="",E604="",L604="",K604=""),1,0)</f>
        <v/>
      </c>
      <c r="U604" s="67">
        <f>IFERROR(INDEX(tt_Dir,MATCH(D604,tt_Type,0)),"")</f>
        <v/>
      </c>
      <c r="V604" s="67">
        <f>IF(D604="","",IFERROR(IF(INDEX(tt_Other,MATCH(D604,tt_Type,0))="",E604&amp;"",INDEX(tt_Other,MATCH(D604,tt_Type,0))),""))</f>
        <v/>
      </c>
      <c r="W604" s="68">
        <f>IF(OR(TaxOn&lt;&gt;"Yes",NOT(ISNUMBER(M604))),0,IF(IFERROR(INDEX(tt_Tax,MATCH(D604,tt_Type,0)),"No")="Yes",M604,0))</f>
        <v/>
      </c>
      <c r="X604" s="67">
        <f>IF(T604=1,"",IF(C604="","Missing transaction date",IF(NOT(ISNUMBER(C604)),"Invalid date",IF(OR(C604&lt;DATE(2000,1,1),C604&gt;DATE(2099,12,31)),"Invalid date",IF(D604="","Select a type",IF(U604="","Unknown type: "&amp;D604,IF(V604="","Select an account (Category)",IF(ISNA(MATCH(V604,coa_Name,0)),"Unknown account: "&amp;V604,IF(K604="","Select Paid From / Deposited To",IF(ISNA(MATCH(K604,coa_Name,0)),"Unknown account: "&amp;K604,IF(NOT(ISNUMBER(L604)),"Enter an amount",IF(L604=0,"Enter an amount",IF(ABS(W604)&gt;ABS(L604),"Tax is larger than the amount","")))))))))))))</f>
        <v/>
      </c>
      <c r="Y604" s="67">
        <f>IF(OR(T604=1,X604&lt;&gt;""),"",IF(AND(B604&lt;&gt;"",COUNTIF(tx_ID,B604)&gt;1),"Duplicate transaction ID",IF(AND(L604&lt;0,D604&lt;&gt;"Adjustment"),"Negative amount — check this entry",IF(AND(D604="Customer Payment",G604=""),"Add the customer",IF(AND(D604="Customer Payment",OR(J604="",COUNTIF(ar_No,J604&amp;"")=0)),"Invoice # in Reference not found on AR sheet",IF(AND(D604="Bill Payment",H604=""),"Add the vendor",IF(AND(D604="Bill Payment",OR(J604="",COUNTIFS(ap_No,J604&amp;"",ap_Party,H604&amp;"")=0)),"Bill # + vendor not found on AP sheet",IF(AND(ISNUMBER(M604),N(M604)&lt;&gt;0,W604=0),"Tax ignored (tax tracking off, or not allowed for this type)",IF(V604=K604&amp;"","Same account on both sides",IF(AND(ISNUMBER(StartDate),C604&lt;StartDate),"Date is before the accounting start date",IF(AND(D604&lt;&gt;"Adjustment",IFERROR(INDEX(coa_Pay,MATCH(K604&amp;"",coa_Name,0)),"")&lt;&gt;"Yes"),"Paid From / Deposited To is not a payment account","")))))))))))</f>
        <v/>
      </c>
      <c r="Z604" s="67">
        <f>IF(AND(T604=0,X604=""),1,0)</f>
        <v/>
      </c>
      <c r="AA604" s="68">
        <f>IF(Z604=1,IF(U604="In",L604,L604-W604),0)</f>
        <v/>
      </c>
      <c r="AB604" s="68">
        <f>IF(Z604=1,IF(U604="In",L604-W604,L604),0)</f>
        <v/>
      </c>
      <c r="AC604" s="68">
        <f>IF(AND(Z604=1,U604="Out"),W604,0)</f>
        <v/>
      </c>
      <c r="AD604" s="68">
        <f>IF(AND(Z604=1,U604="In"),W604,0)</f>
        <v/>
      </c>
    </row>
    <row r="605">
      <c r="B605" s="62" t="inlineStr">
        <is>
          <t>TX-0599</t>
        </is>
      </c>
      <c r="C605" s="63" t="n"/>
      <c r="D605" s="62" t="n"/>
      <c r="E605" s="62" t="n"/>
      <c r="F605" s="62" t="n"/>
      <c r="G605" s="62" t="n"/>
      <c r="H605" s="62" t="n"/>
      <c r="I605" s="62" t="n"/>
      <c r="J605" s="62" t="n"/>
      <c r="K605" s="62" t="n"/>
      <c r="L605" s="64" t="n"/>
      <c r="M605" s="64" t="n"/>
      <c r="N605" s="62" t="n"/>
      <c r="O605" s="65">
        <f>IF(Z605=1,L605-W605,"")</f>
        <v/>
      </c>
      <c r="P605" s="66">
        <f>IF(V605="","",IFERROR(INDEX(coa_Type,MATCH(V605,coa_Name,0)),""))</f>
        <v/>
      </c>
      <c r="Q605" s="66">
        <f>IF(Z605=1,IF(U605="In",K605&amp;"",V605),"")</f>
        <v/>
      </c>
      <c r="R605" s="66">
        <f>IF(Z605=1,IF(U605="In",V605,K605&amp;""),"")</f>
        <v/>
      </c>
      <c r="S605" s="66">
        <f>IF(X605&lt;&gt;"","⛔ "&amp;X605&amp;" — not posted",IF(Y605&lt;&gt;"","⚠ "&amp;Y605,IF(Z605=1,"✓ OK","")))</f>
        <v/>
      </c>
      <c r="T605" s="67">
        <f>IF(AND(C605="",D605="",E605="",L605="",K605=""),1,0)</f>
        <v/>
      </c>
      <c r="U605" s="67">
        <f>IFERROR(INDEX(tt_Dir,MATCH(D605,tt_Type,0)),"")</f>
        <v/>
      </c>
      <c r="V605" s="67">
        <f>IF(D605="","",IFERROR(IF(INDEX(tt_Other,MATCH(D605,tt_Type,0))="",E605&amp;"",INDEX(tt_Other,MATCH(D605,tt_Type,0))),""))</f>
        <v/>
      </c>
      <c r="W605" s="68">
        <f>IF(OR(TaxOn&lt;&gt;"Yes",NOT(ISNUMBER(M605))),0,IF(IFERROR(INDEX(tt_Tax,MATCH(D605,tt_Type,0)),"No")="Yes",M605,0))</f>
        <v/>
      </c>
      <c r="X605" s="67">
        <f>IF(T605=1,"",IF(C605="","Missing transaction date",IF(NOT(ISNUMBER(C605)),"Invalid date",IF(OR(C605&lt;DATE(2000,1,1),C605&gt;DATE(2099,12,31)),"Invalid date",IF(D605="","Select a type",IF(U605="","Unknown type: "&amp;D605,IF(V605="","Select an account (Category)",IF(ISNA(MATCH(V605,coa_Name,0)),"Unknown account: "&amp;V605,IF(K605="","Select Paid From / Deposited To",IF(ISNA(MATCH(K605,coa_Name,0)),"Unknown account: "&amp;K605,IF(NOT(ISNUMBER(L605)),"Enter an amount",IF(L605=0,"Enter an amount",IF(ABS(W605)&gt;ABS(L605),"Tax is larger than the amount","")))))))))))))</f>
        <v/>
      </c>
      <c r="Y605" s="67">
        <f>IF(OR(T605=1,X605&lt;&gt;""),"",IF(AND(B605&lt;&gt;"",COUNTIF(tx_ID,B605)&gt;1),"Duplicate transaction ID",IF(AND(L605&lt;0,D605&lt;&gt;"Adjustment"),"Negative amount — check this entry",IF(AND(D605="Customer Payment",G605=""),"Add the customer",IF(AND(D605="Customer Payment",OR(J605="",COUNTIF(ar_No,J605&amp;"")=0)),"Invoice # in Reference not found on AR sheet",IF(AND(D605="Bill Payment",H605=""),"Add the vendor",IF(AND(D605="Bill Payment",OR(J605="",COUNTIFS(ap_No,J605&amp;"",ap_Party,H605&amp;"")=0)),"Bill # + vendor not found on AP sheet",IF(AND(ISNUMBER(M605),N(M605)&lt;&gt;0,W605=0),"Tax ignored (tax tracking off, or not allowed for this type)",IF(V605=K605&amp;"","Same account on both sides",IF(AND(ISNUMBER(StartDate),C605&lt;StartDate),"Date is before the accounting start date",IF(AND(D605&lt;&gt;"Adjustment",IFERROR(INDEX(coa_Pay,MATCH(K605&amp;"",coa_Name,0)),"")&lt;&gt;"Yes"),"Paid From / Deposited To is not a payment account","")))))))))))</f>
        <v/>
      </c>
      <c r="Z605" s="67">
        <f>IF(AND(T605=0,X605=""),1,0)</f>
        <v/>
      </c>
      <c r="AA605" s="68">
        <f>IF(Z605=1,IF(U605="In",L605,L605-W605),0)</f>
        <v/>
      </c>
      <c r="AB605" s="68">
        <f>IF(Z605=1,IF(U605="In",L605-W605,L605),0)</f>
        <v/>
      </c>
      <c r="AC605" s="68">
        <f>IF(AND(Z605=1,U605="Out"),W605,0)</f>
        <v/>
      </c>
      <c r="AD605" s="68">
        <f>IF(AND(Z605=1,U605="In"),W605,0)</f>
        <v/>
      </c>
    </row>
    <row r="606">
      <c r="B606" s="62" t="inlineStr">
        <is>
          <t>TX-0600</t>
        </is>
      </c>
      <c r="C606" s="63" t="n"/>
      <c r="D606" s="62" t="n"/>
      <c r="E606" s="62" t="n"/>
      <c r="F606" s="62" t="n"/>
      <c r="G606" s="62" t="n"/>
      <c r="H606" s="62" t="n"/>
      <c r="I606" s="62" t="n"/>
      <c r="J606" s="62" t="n"/>
      <c r="K606" s="62" t="n"/>
      <c r="L606" s="64" t="n"/>
      <c r="M606" s="64" t="n"/>
      <c r="N606" s="62" t="n"/>
      <c r="O606" s="65">
        <f>IF(Z606=1,L606-W606,"")</f>
        <v/>
      </c>
      <c r="P606" s="66">
        <f>IF(V606="","",IFERROR(INDEX(coa_Type,MATCH(V606,coa_Name,0)),""))</f>
        <v/>
      </c>
      <c r="Q606" s="66">
        <f>IF(Z606=1,IF(U606="In",K606&amp;"",V606),"")</f>
        <v/>
      </c>
      <c r="R606" s="66">
        <f>IF(Z606=1,IF(U606="In",V606,K606&amp;""),"")</f>
        <v/>
      </c>
      <c r="S606" s="66">
        <f>IF(X606&lt;&gt;"","⛔ "&amp;X606&amp;" — not posted",IF(Y606&lt;&gt;"","⚠ "&amp;Y606,IF(Z606=1,"✓ OK","")))</f>
        <v/>
      </c>
      <c r="T606" s="67">
        <f>IF(AND(C606="",D606="",E606="",L606="",K606=""),1,0)</f>
        <v/>
      </c>
      <c r="U606" s="67">
        <f>IFERROR(INDEX(tt_Dir,MATCH(D606,tt_Type,0)),"")</f>
        <v/>
      </c>
      <c r="V606" s="67">
        <f>IF(D606="","",IFERROR(IF(INDEX(tt_Other,MATCH(D606,tt_Type,0))="",E606&amp;"",INDEX(tt_Other,MATCH(D606,tt_Type,0))),""))</f>
        <v/>
      </c>
      <c r="W606" s="68">
        <f>IF(OR(TaxOn&lt;&gt;"Yes",NOT(ISNUMBER(M606))),0,IF(IFERROR(INDEX(tt_Tax,MATCH(D606,tt_Type,0)),"No")="Yes",M606,0))</f>
        <v/>
      </c>
      <c r="X606" s="67">
        <f>IF(T606=1,"",IF(C606="","Missing transaction date",IF(NOT(ISNUMBER(C606)),"Invalid date",IF(OR(C606&lt;DATE(2000,1,1),C606&gt;DATE(2099,12,31)),"Invalid date",IF(D606="","Select a type",IF(U606="","Unknown type: "&amp;D606,IF(V606="","Select an account (Category)",IF(ISNA(MATCH(V606,coa_Name,0)),"Unknown account: "&amp;V606,IF(K606="","Select Paid From / Deposited To",IF(ISNA(MATCH(K606,coa_Name,0)),"Unknown account: "&amp;K606,IF(NOT(ISNUMBER(L606)),"Enter an amount",IF(L606=0,"Enter an amount",IF(ABS(W606)&gt;ABS(L606),"Tax is larger than the amount","")))))))))))))</f>
        <v/>
      </c>
      <c r="Y606" s="67">
        <f>IF(OR(T606=1,X606&lt;&gt;""),"",IF(AND(B606&lt;&gt;"",COUNTIF(tx_ID,B606)&gt;1),"Duplicate transaction ID",IF(AND(L606&lt;0,D606&lt;&gt;"Adjustment"),"Negative amount — check this entry",IF(AND(D606="Customer Payment",G606=""),"Add the customer",IF(AND(D606="Customer Payment",OR(J606="",COUNTIF(ar_No,J606&amp;"")=0)),"Invoice # in Reference not found on AR sheet",IF(AND(D606="Bill Payment",H606=""),"Add the vendor",IF(AND(D606="Bill Payment",OR(J606="",COUNTIFS(ap_No,J606&amp;"",ap_Party,H606&amp;"")=0)),"Bill # + vendor not found on AP sheet",IF(AND(ISNUMBER(M606),N(M606)&lt;&gt;0,W606=0),"Tax ignored (tax tracking off, or not allowed for this type)",IF(V606=K606&amp;"","Same account on both sides",IF(AND(ISNUMBER(StartDate),C606&lt;StartDate),"Date is before the accounting start date",IF(AND(D606&lt;&gt;"Adjustment",IFERROR(INDEX(coa_Pay,MATCH(K606&amp;"",coa_Name,0)),"")&lt;&gt;"Yes"),"Paid From / Deposited To is not a payment account","")))))))))))</f>
        <v/>
      </c>
      <c r="Z606" s="67">
        <f>IF(AND(T606=0,X606=""),1,0)</f>
        <v/>
      </c>
      <c r="AA606" s="68">
        <f>IF(Z606=1,IF(U606="In",L606,L606-W606),0)</f>
        <v/>
      </c>
      <c r="AB606" s="68">
        <f>IF(Z606=1,IF(U606="In",L606-W606,L606),0)</f>
        <v/>
      </c>
      <c r="AC606" s="68">
        <f>IF(AND(Z606=1,U606="Out"),W606,0)</f>
        <v/>
      </c>
      <c r="AD606" s="68">
        <f>IF(AND(Z606=1,U606="In"),W606,0)</f>
        <v/>
      </c>
    </row>
    <row r="607">
      <c r="B607" s="62" t="inlineStr">
        <is>
          <t>TX-0601</t>
        </is>
      </c>
      <c r="C607" s="63" t="n"/>
      <c r="D607" s="62" t="n"/>
      <c r="E607" s="62" t="n"/>
      <c r="F607" s="62" t="n"/>
      <c r="G607" s="62" t="n"/>
      <c r="H607" s="62" t="n"/>
      <c r="I607" s="62" t="n"/>
      <c r="J607" s="62" t="n"/>
      <c r="K607" s="62" t="n"/>
      <c r="L607" s="64" t="n"/>
      <c r="M607" s="64" t="n"/>
      <c r="N607" s="62" t="n"/>
      <c r="O607" s="65">
        <f>IF(Z607=1,L607-W607,"")</f>
        <v/>
      </c>
      <c r="P607" s="66">
        <f>IF(V607="","",IFERROR(INDEX(coa_Type,MATCH(V607,coa_Name,0)),""))</f>
        <v/>
      </c>
      <c r="Q607" s="66">
        <f>IF(Z607=1,IF(U607="In",K607&amp;"",V607),"")</f>
        <v/>
      </c>
      <c r="R607" s="66">
        <f>IF(Z607=1,IF(U607="In",V607,K607&amp;""),"")</f>
        <v/>
      </c>
      <c r="S607" s="66">
        <f>IF(X607&lt;&gt;"","⛔ "&amp;X607&amp;" — not posted",IF(Y607&lt;&gt;"","⚠ "&amp;Y607,IF(Z607=1,"✓ OK","")))</f>
        <v/>
      </c>
      <c r="T607" s="67">
        <f>IF(AND(C607="",D607="",E607="",L607="",K607=""),1,0)</f>
        <v/>
      </c>
      <c r="U607" s="67">
        <f>IFERROR(INDEX(tt_Dir,MATCH(D607,tt_Type,0)),"")</f>
        <v/>
      </c>
      <c r="V607" s="67">
        <f>IF(D607="","",IFERROR(IF(INDEX(tt_Other,MATCH(D607,tt_Type,0))="",E607&amp;"",INDEX(tt_Other,MATCH(D607,tt_Type,0))),""))</f>
        <v/>
      </c>
      <c r="W607" s="68">
        <f>IF(OR(TaxOn&lt;&gt;"Yes",NOT(ISNUMBER(M607))),0,IF(IFERROR(INDEX(tt_Tax,MATCH(D607,tt_Type,0)),"No")="Yes",M607,0))</f>
        <v/>
      </c>
      <c r="X607" s="67">
        <f>IF(T607=1,"",IF(C607="","Missing transaction date",IF(NOT(ISNUMBER(C607)),"Invalid date",IF(OR(C607&lt;DATE(2000,1,1),C607&gt;DATE(2099,12,31)),"Invalid date",IF(D607="","Select a type",IF(U607="","Unknown type: "&amp;D607,IF(V607="","Select an account (Category)",IF(ISNA(MATCH(V607,coa_Name,0)),"Unknown account: "&amp;V607,IF(K607="","Select Paid From / Deposited To",IF(ISNA(MATCH(K607,coa_Name,0)),"Unknown account: "&amp;K607,IF(NOT(ISNUMBER(L607)),"Enter an amount",IF(L607=0,"Enter an amount",IF(ABS(W607)&gt;ABS(L607),"Tax is larger than the amount","")))))))))))))</f>
        <v/>
      </c>
      <c r="Y607" s="67">
        <f>IF(OR(T607=1,X607&lt;&gt;""),"",IF(AND(B607&lt;&gt;"",COUNTIF(tx_ID,B607)&gt;1),"Duplicate transaction ID",IF(AND(L607&lt;0,D607&lt;&gt;"Adjustment"),"Negative amount — check this entry",IF(AND(D607="Customer Payment",G607=""),"Add the customer",IF(AND(D607="Customer Payment",OR(J607="",COUNTIF(ar_No,J607&amp;"")=0)),"Invoice # in Reference not found on AR sheet",IF(AND(D607="Bill Payment",H607=""),"Add the vendor",IF(AND(D607="Bill Payment",OR(J607="",COUNTIFS(ap_No,J607&amp;"",ap_Party,H607&amp;"")=0)),"Bill # + vendor not found on AP sheet",IF(AND(ISNUMBER(M607),N(M607)&lt;&gt;0,W607=0),"Tax ignored (tax tracking off, or not allowed for this type)",IF(V607=K607&amp;"","Same account on both sides",IF(AND(ISNUMBER(StartDate),C607&lt;StartDate),"Date is before the accounting start date",IF(AND(D607&lt;&gt;"Adjustment",IFERROR(INDEX(coa_Pay,MATCH(K607&amp;"",coa_Name,0)),"")&lt;&gt;"Yes"),"Paid From / Deposited To is not a payment account","")))))))))))</f>
        <v/>
      </c>
      <c r="Z607" s="67">
        <f>IF(AND(T607=0,X607=""),1,0)</f>
        <v/>
      </c>
      <c r="AA607" s="68">
        <f>IF(Z607=1,IF(U607="In",L607,L607-W607),0)</f>
        <v/>
      </c>
      <c r="AB607" s="68">
        <f>IF(Z607=1,IF(U607="In",L607-W607,L607),0)</f>
        <v/>
      </c>
      <c r="AC607" s="68">
        <f>IF(AND(Z607=1,U607="Out"),W607,0)</f>
        <v/>
      </c>
      <c r="AD607" s="68">
        <f>IF(AND(Z607=1,U607="In"),W607,0)</f>
        <v/>
      </c>
    </row>
    <row r="608">
      <c r="B608" s="62" t="inlineStr">
        <is>
          <t>TX-0602</t>
        </is>
      </c>
      <c r="C608" s="63" t="n"/>
      <c r="D608" s="62" t="n"/>
      <c r="E608" s="62" t="n"/>
      <c r="F608" s="62" t="n"/>
      <c r="G608" s="62" t="n"/>
      <c r="H608" s="62" t="n"/>
      <c r="I608" s="62" t="n"/>
      <c r="J608" s="62" t="n"/>
      <c r="K608" s="62" t="n"/>
      <c r="L608" s="64" t="n"/>
      <c r="M608" s="64" t="n"/>
      <c r="N608" s="62" t="n"/>
      <c r="O608" s="65">
        <f>IF(Z608=1,L608-W608,"")</f>
        <v/>
      </c>
      <c r="P608" s="66">
        <f>IF(V608="","",IFERROR(INDEX(coa_Type,MATCH(V608,coa_Name,0)),""))</f>
        <v/>
      </c>
      <c r="Q608" s="66">
        <f>IF(Z608=1,IF(U608="In",K608&amp;"",V608),"")</f>
        <v/>
      </c>
      <c r="R608" s="66">
        <f>IF(Z608=1,IF(U608="In",V608,K608&amp;""),"")</f>
        <v/>
      </c>
      <c r="S608" s="66">
        <f>IF(X608&lt;&gt;"","⛔ "&amp;X608&amp;" — not posted",IF(Y608&lt;&gt;"","⚠ "&amp;Y608,IF(Z608=1,"✓ OK","")))</f>
        <v/>
      </c>
      <c r="T608" s="67">
        <f>IF(AND(C608="",D608="",E608="",L608="",K608=""),1,0)</f>
        <v/>
      </c>
      <c r="U608" s="67">
        <f>IFERROR(INDEX(tt_Dir,MATCH(D608,tt_Type,0)),"")</f>
        <v/>
      </c>
      <c r="V608" s="67">
        <f>IF(D608="","",IFERROR(IF(INDEX(tt_Other,MATCH(D608,tt_Type,0))="",E608&amp;"",INDEX(tt_Other,MATCH(D608,tt_Type,0))),""))</f>
        <v/>
      </c>
      <c r="W608" s="68">
        <f>IF(OR(TaxOn&lt;&gt;"Yes",NOT(ISNUMBER(M608))),0,IF(IFERROR(INDEX(tt_Tax,MATCH(D608,tt_Type,0)),"No")="Yes",M608,0))</f>
        <v/>
      </c>
      <c r="X608" s="67">
        <f>IF(T608=1,"",IF(C608="","Missing transaction date",IF(NOT(ISNUMBER(C608)),"Invalid date",IF(OR(C608&lt;DATE(2000,1,1),C608&gt;DATE(2099,12,31)),"Invalid date",IF(D608="","Select a type",IF(U608="","Unknown type: "&amp;D608,IF(V608="","Select an account (Category)",IF(ISNA(MATCH(V608,coa_Name,0)),"Unknown account: "&amp;V608,IF(K608="","Select Paid From / Deposited To",IF(ISNA(MATCH(K608,coa_Name,0)),"Unknown account: "&amp;K608,IF(NOT(ISNUMBER(L608)),"Enter an amount",IF(L608=0,"Enter an amount",IF(ABS(W608)&gt;ABS(L608),"Tax is larger than the amount","")))))))))))))</f>
        <v/>
      </c>
      <c r="Y608" s="67">
        <f>IF(OR(T608=1,X608&lt;&gt;""),"",IF(AND(B608&lt;&gt;"",COUNTIF(tx_ID,B608)&gt;1),"Duplicate transaction ID",IF(AND(L608&lt;0,D608&lt;&gt;"Adjustment"),"Negative amount — check this entry",IF(AND(D608="Customer Payment",G608=""),"Add the customer",IF(AND(D608="Customer Payment",OR(J608="",COUNTIF(ar_No,J608&amp;"")=0)),"Invoice # in Reference not found on AR sheet",IF(AND(D608="Bill Payment",H608=""),"Add the vendor",IF(AND(D608="Bill Payment",OR(J608="",COUNTIFS(ap_No,J608&amp;"",ap_Party,H608&amp;"")=0)),"Bill # + vendor not found on AP sheet",IF(AND(ISNUMBER(M608),N(M608)&lt;&gt;0,W608=0),"Tax ignored (tax tracking off, or not allowed for this type)",IF(V608=K608&amp;"","Same account on both sides",IF(AND(ISNUMBER(StartDate),C608&lt;StartDate),"Date is before the accounting start date",IF(AND(D608&lt;&gt;"Adjustment",IFERROR(INDEX(coa_Pay,MATCH(K608&amp;"",coa_Name,0)),"")&lt;&gt;"Yes"),"Paid From / Deposited To is not a payment account","")))))))))))</f>
        <v/>
      </c>
      <c r="Z608" s="67">
        <f>IF(AND(T608=0,X608=""),1,0)</f>
        <v/>
      </c>
      <c r="AA608" s="68">
        <f>IF(Z608=1,IF(U608="In",L608,L608-W608),0)</f>
        <v/>
      </c>
      <c r="AB608" s="68">
        <f>IF(Z608=1,IF(U608="In",L608-W608,L608),0)</f>
        <v/>
      </c>
      <c r="AC608" s="68">
        <f>IF(AND(Z608=1,U608="Out"),W608,0)</f>
        <v/>
      </c>
      <c r="AD608" s="68">
        <f>IF(AND(Z608=1,U608="In"),W608,0)</f>
        <v/>
      </c>
    </row>
    <row r="609">
      <c r="B609" s="62" t="inlineStr">
        <is>
          <t>TX-0603</t>
        </is>
      </c>
      <c r="C609" s="63" t="n"/>
      <c r="D609" s="62" t="n"/>
      <c r="E609" s="62" t="n"/>
      <c r="F609" s="62" t="n"/>
      <c r="G609" s="62" t="n"/>
      <c r="H609" s="62" t="n"/>
      <c r="I609" s="62" t="n"/>
      <c r="J609" s="62" t="n"/>
      <c r="K609" s="62" t="n"/>
      <c r="L609" s="64" t="n"/>
      <c r="M609" s="64" t="n"/>
      <c r="N609" s="62" t="n"/>
      <c r="O609" s="65">
        <f>IF(Z609=1,L609-W609,"")</f>
        <v/>
      </c>
      <c r="P609" s="66">
        <f>IF(V609="","",IFERROR(INDEX(coa_Type,MATCH(V609,coa_Name,0)),""))</f>
        <v/>
      </c>
      <c r="Q609" s="66">
        <f>IF(Z609=1,IF(U609="In",K609&amp;"",V609),"")</f>
        <v/>
      </c>
      <c r="R609" s="66">
        <f>IF(Z609=1,IF(U609="In",V609,K609&amp;""),"")</f>
        <v/>
      </c>
      <c r="S609" s="66">
        <f>IF(X609&lt;&gt;"","⛔ "&amp;X609&amp;" — not posted",IF(Y609&lt;&gt;"","⚠ "&amp;Y609,IF(Z609=1,"✓ OK","")))</f>
        <v/>
      </c>
      <c r="T609" s="67">
        <f>IF(AND(C609="",D609="",E609="",L609="",K609=""),1,0)</f>
        <v/>
      </c>
      <c r="U609" s="67">
        <f>IFERROR(INDEX(tt_Dir,MATCH(D609,tt_Type,0)),"")</f>
        <v/>
      </c>
      <c r="V609" s="67">
        <f>IF(D609="","",IFERROR(IF(INDEX(tt_Other,MATCH(D609,tt_Type,0))="",E609&amp;"",INDEX(tt_Other,MATCH(D609,tt_Type,0))),""))</f>
        <v/>
      </c>
      <c r="W609" s="68">
        <f>IF(OR(TaxOn&lt;&gt;"Yes",NOT(ISNUMBER(M609))),0,IF(IFERROR(INDEX(tt_Tax,MATCH(D609,tt_Type,0)),"No")="Yes",M609,0))</f>
        <v/>
      </c>
      <c r="X609" s="67">
        <f>IF(T609=1,"",IF(C609="","Missing transaction date",IF(NOT(ISNUMBER(C609)),"Invalid date",IF(OR(C609&lt;DATE(2000,1,1),C609&gt;DATE(2099,12,31)),"Invalid date",IF(D609="","Select a type",IF(U609="","Unknown type: "&amp;D609,IF(V609="","Select an account (Category)",IF(ISNA(MATCH(V609,coa_Name,0)),"Unknown account: "&amp;V609,IF(K609="","Select Paid From / Deposited To",IF(ISNA(MATCH(K609,coa_Name,0)),"Unknown account: "&amp;K609,IF(NOT(ISNUMBER(L609)),"Enter an amount",IF(L609=0,"Enter an amount",IF(ABS(W609)&gt;ABS(L609),"Tax is larger than the amount","")))))))))))))</f>
        <v/>
      </c>
      <c r="Y609" s="67">
        <f>IF(OR(T609=1,X609&lt;&gt;""),"",IF(AND(B609&lt;&gt;"",COUNTIF(tx_ID,B609)&gt;1),"Duplicate transaction ID",IF(AND(L609&lt;0,D609&lt;&gt;"Adjustment"),"Negative amount — check this entry",IF(AND(D609="Customer Payment",G609=""),"Add the customer",IF(AND(D609="Customer Payment",OR(J609="",COUNTIF(ar_No,J609&amp;"")=0)),"Invoice # in Reference not found on AR sheet",IF(AND(D609="Bill Payment",H609=""),"Add the vendor",IF(AND(D609="Bill Payment",OR(J609="",COUNTIFS(ap_No,J609&amp;"",ap_Party,H609&amp;"")=0)),"Bill # + vendor not found on AP sheet",IF(AND(ISNUMBER(M609),N(M609)&lt;&gt;0,W609=0),"Tax ignored (tax tracking off, or not allowed for this type)",IF(V609=K609&amp;"","Same account on both sides",IF(AND(ISNUMBER(StartDate),C609&lt;StartDate),"Date is before the accounting start date",IF(AND(D609&lt;&gt;"Adjustment",IFERROR(INDEX(coa_Pay,MATCH(K609&amp;"",coa_Name,0)),"")&lt;&gt;"Yes"),"Paid From / Deposited To is not a payment account","")))))))))))</f>
        <v/>
      </c>
      <c r="Z609" s="67">
        <f>IF(AND(T609=0,X609=""),1,0)</f>
        <v/>
      </c>
      <c r="AA609" s="68">
        <f>IF(Z609=1,IF(U609="In",L609,L609-W609),0)</f>
        <v/>
      </c>
      <c r="AB609" s="68">
        <f>IF(Z609=1,IF(U609="In",L609-W609,L609),0)</f>
        <v/>
      </c>
      <c r="AC609" s="68">
        <f>IF(AND(Z609=1,U609="Out"),W609,0)</f>
        <v/>
      </c>
      <c r="AD609" s="68">
        <f>IF(AND(Z609=1,U609="In"),W609,0)</f>
        <v/>
      </c>
    </row>
    <row r="610">
      <c r="B610" s="62" t="inlineStr">
        <is>
          <t>TX-0604</t>
        </is>
      </c>
      <c r="C610" s="63" t="n"/>
      <c r="D610" s="62" t="n"/>
      <c r="E610" s="62" t="n"/>
      <c r="F610" s="62" t="n"/>
      <c r="G610" s="62" t="n"/>
      <c r="H610" s="62" t="n"/>
      <c r="I610" s="62" t="n"/>
      <c r="J610" s="62" t="n"/>
      <c r="K610" s="62" t="n"/>
      <c r="L610" s="64" t="n"/>
      <c r="M610" s="64" t="n"/>
      <c r="N610" s="62" t="n"/>
      <c r="O610" s="65">
        <f>IF(Z610=1,L610-W610,"")</f>
        <v/>
      </c>
      <c r="P610" s="66">
        <f>IF(V610="","",IFERROR(INDEX(coa_Type,MATCH(V610,coa_Name,0)),""))</f>
        <v/>
      </c>
      <c r="Q610" s="66">
        <f>IF(Z610=1,IF(U610="In",K610&amp;"",V610),"")</f>
        <v/>
      </c>
      <c r="R610" s="66">
        <f>IF(Z610=1,IF(U610="In",V610,K610&amp;""),"")</f>
        <v/>
      </c>
      <c r="S610" s="66">
        <f>IF(X610&lt;&gt;"","⛔ "&amp;X610&amp;" — not posted",IF(Y610&lt;&gt;"","⚠ "&amp;Y610,IF(Z610=1,"✓ OK","")))</f>
        <v/>
      </c>
      <c r="T610" s="67">
        <f>IF(AND(C610="",D610="",E610="",L610="",K610=""),1,0)</f>
        <v/>
      </c>
      <c r="U610" s="67">
        <f>IFERROR(INDEX(tt_Dir,MATCH(D610,tt_Type,0)),"")</f>
        <v/>
      </c>
      <c r="V610" s="67">
        <f>IF(D610="","",IFERROR(IF(INDEX(tt_Other,MATCH(D610,tt_Type,0))="",E610&amp;"",INDEX(tt_Other,MATCH(D610,tt_Type,0))),""))</f>
        <v/>
      </c>
      <c r="W610" s="68">
        <f>IF(OR(TaxOn&lt;&gt;"Yes",NOT(ISNUMBER(M610))),0,IF(IFERROR(INDEX(tt_Tax,MATCH(D610,tt_Type,0)),"No")="Yes",M610,0))</f>
        <v/>
      </c>
      <c r="X610" s="67">
        <f>IF(T610=1,"",IF(C610="","Missing transaction date",IF(NOT(ISNUMBER(C610)),"Invalid date",IF(OR(C610&lt;DATE(2000,1,1),C610&gt;DATE(2099,12,31)),"Invalid date",IF(D610="","Select a type",IF(U610="","Unknown type: "&amp;D610,IF(V610="","Select an account (Category)",IF(ISNA(MATCH(V610,coa_Name,0)),"Unknown account: "&amp;V610,IF(K610="","Select Paid From / Deposited To",IF(ISNA(MATCH(K610,coa_Name,0)),"Unknown account: "&amp;K610,IF(NOT(ISNUMBER(L610)),"Enter an amount",IF(L610=0,"Enter an amount",IF(ABS(W610)&gt;ABS(L610),"Tax is larger than the amount","")))))))))))))</f>
        <v/>
      </c>
      <c r="Y610" s="67">
        <f>IF(OR(T610=1,X610&lt;&gt;""),"",IF(AND(B610&lt;&gt;"",COUNTIF(tx_ID,B610)&gt;1),"Duplicate transaction ID",IF(AND(L610&lt;0,D610&lt;&gt;"Adjustment"),"Negative amount — check this entry",IF(AND(D610="Customer Payment",G610=""),"Add the customer",IF(AND(D610="Customer Payment",OR(J610="",COUNTIF(ar_No,J610&amp;"")=0)),"Invoice # in Reference not found on AR sheet",IF(AND(D610="Bill Payment",H610=""),"Add the vendor",IF(AND(D610="Bill Payment",OR(J610="",COUNTIFS(ap_No,J610&amp;"",ap_Party,H610&amp;"")=0)),"Bill # + vendor not found on AP sheet",IF(AND(ISNUMBER(M610),N(M610)&lt;&gt;0,W610=0),"Tax ignored (tax tracking off, or not allowed for this type)",IF(V610=K610&amp;"","Same account on both sides",IF(AND(ISNUMBER(StartDate),C610&lt;StartDate),"Date is before the accounting start date",IF(AND(D610&lt;&gt;"Adjustment",IFERROR(INDEX(coa_Pay,MATCH(K610&amp;"",coa_Name,0)),"")&lt;&gt;"Yes"),"Paid From / Deposited To is not a payment account","")))))))))))</f>
        <v/>
      </c>
      <c r="Z610" s="67">
        <f>IF(AND(T610=0,X610=""),1,0)</f>
        <v/>
      </c>
      <c r="AA610" s="68">
        <f>IF(Z610=1,IF(U610="In",L610,L610-W610),0)</f>
        <v/>
      </c>
      <c r="AB610" s="68">
        <f>IF(Z610=1,IF(U610="In",L610-W610,L610),0)</f>
        <v/>
      </c>
      <c r="AC610" s="68">
        <f>IF(AND(Z610=1,U610="Out"),W610,0)</f>
        <v/>
      </c>
      <c r="AD610" s="68">
        <f>IF(AND(Z610=1,U610="In"),W610,0)</f>
        <v/>
      </c>
    </row>
    <row r="611">
      <c r="B611" s="62" t="inlineStr">
        <is>
          <t>TX-0605</t>
        </is>
      </c>
      <c r="C611" s="63" t="n"/>
      <c r="D611" s="62" t="n"/>
      <c r="E611" s="62" t="n"/>
      <c r="F611" s="62" t="n"/>
      <c r="G611" s="62" t="n"/>
      <c r="H611" s="62" t="n"/>
      <c r="I611" s="62" t="n"/>
      <c r="J611" s="62" t="n"/>
      <c r="K611" s="62" t="n"/>
      <c r="L611" s="64" t="n"/>
      <c r="M611" s="64" t="n"/>
      <c r="N611" s="62" t="n"/>
      <c r="O611" s="65">
        <f>IF(Z611=1,L611-W611,"")</f>
        <v/>
      </c>
      <c r="P611" s="66">
        <f>IF(V611="","",IFERROR(INDEX(coa_Type,MATCH(V611,coa_Name,0)),""))</f>
        <v/>
      </c>
      <c r="Q611" s="66">
        <f>IF(Z611=1,IF(U611="In",K611&amp;"",V611),"")</f>
        <v/>
      </c>
      <c r="R611" s="66">
        <f>IF(Z611=1,IF(U611="In",V611,K611&amp;""),"")</f>
        <v/>
      </c>
      <c r="S611" s="66">
        <f>IF(X611&lt;&gt;"","⛔ "&amp;X611&amp;" — not posted",IF(Y611&lt;&gt;"","⚠ "&amp;Y611,IF(Z611=1,"✓ OK","")))</f>
        <v/>
      </c>
      <c r="T611" s="67">
        <f>IF(AND(C611="",D611="",E611="",L611="",K611=""),1,0)</f>
        <v/>
      </c>
      <c r="U611" s="67">
        <f>IFERROR(INDEX(tt_Dir,MATCH(D611,tt_Type,0)),"")</f>
        <v/>
      </c>
      <c r="V611" s="67">
        <f>IF(D611="","",IFERROR(IF(INDEX(tt_Other,MATCH(D611,tt_Type,0))="",E611&amp;"",INDEX(tt_Other,MATCH(D611,tt_Type,0))),""))</f>
        <v/>
      </c>
      <c r="W611" s="68">
        <f>IF(OR(TaxOn&lt;&gt;"Yes",NOT(ISNUMBER(M611))),0,IF(IFERROR(INDEX(tt_Tax,MATCH(D611,tt_Type,0)),"No")="Yes",M611,0))</f>
        <v/>
      </c>
      <c r="X611" s="67">
        <f>IF(T611=1,"",IF(C611="","Missing transaction date",IF(NOT(ISNUMBER(C611)),"Invalid date",IF(OR(C611&lt;DATE(2000,1,1),C611&gt;DATE(2099,12,31)),"Invalid date",IF(D611="","Select a type",IF(U611="","Unknown type: "&amp;D611,IF(V611="","Select an account (Category)",IF(ISNA(MATCH(V611,coa_Name,0)),"Unknown account: "&amp;V611,IF(K611="","Select Paid From / Deposited To",IF(ISNA(MATCH(K611,coa_Name,0)),"Unknown account: "&amp;K611,IF(NOT(ISNUMBER(L611)),"Enter an amount",IF(L611=0,"Enter an amount",IF(ABS(W611)&gt;ABS(L611),"Tax is larger than the amount","")))))))))))))</f>
        <v/>
      </c>
      <c r="Y611" s="67">
        <f>IF(OR(T611=1,X611&lt;&gt;""),"",IF(AND(B611&lt;&gt;"",COUNTIF(tx_ID,B611)&gt;1),"Duplicate transaction ID",IF(AND(L611&lt;0,D611&lt;&gt;"Adjustment"),"Negative amount — check this entry",IF(AND(D611="Customer Payment",G611=""),"Add the customer",IF(AND(D611="Customer Payment",OR(J611="",COUNTIF(ar_No,J611&amp;"")=0)),"Invoice # in Reference not found on AR sheet",IF(AND(D611="Bill Payment",H611=""),"Add the vendor",IF(AND(D611="Bill Payment",OR(J611="",COUNTIFS(ap_No,J611&amp;"",ap_Party,H611&amp;"")=0)),"Bill # + vendor not found on AP sheet",IF(AND(ISNUMBER(M611),N(M611)&lt;&gt;0,W611=0),"Tax ignored (tax tracking off, or not allowed for this type)",IF(V611=K611&amp;"","Same account on both sides",IF(AND(ISNUMBER(StartDate),C611&lt;StartDate),"Date is before the accounting start date",IF(AND(D611&lt;&gt;"Adjustment",IFERROR(INDEX(coa_Pay,MATCH(K611&amp;"",coa_Name,0)),"")&lt;&gt;"Yes"),"Paid From / Deposited To is not a payment account","")))))))))))</f>
        <v/>
      </c>
      <c r="Z611" s="67">
        <f>IF(AND(T611=0,X611=""),1,0)</f>
        <v/>
      </c>
      <c r="AA611" s="68">
        <f>IF(Z611=1,IF(U611="In",L611,L611-W611),0)</f>
        <v/>
      </c>
      <c r="AB611" s="68">
        <f>IF(Z611=1,IF(U611="In",L611-W611,L611),0)</f>
        <v/>
      </c>
      <c r="AC611" s="68">
        <f>IF(AND(Z611=1,U611="Out"),W611,0)</f>
        <v/>
      </c>
      <c r="AD611" s="68">
        <f>IF(AND(Z611=1,U611="In"),W611,0)</f>
        <v/>
      </c>
    </row>
    <row r="612">
      <c r="B612" s="62" t="inlineStr">
        <is>
          <t>TX-0606</t>
        </is>
      </c>
      <c r="C612" s="63" t="n"/>
      <c r="D612" s="62" t="n"/>
      <c r="E612" s="62" t="n"/>
      <c r="F612" s="62" t="n"/>
      <c r="G612" s="62" t="n"/>
      <c r="H612" s="62" t="n"/>
      <c r="I612" s="62" t="n"/>
      <c r="J612" s="62" t="n"/>
      <c r="K612" s="62" t="n"/>
      <c r="L612" s="64" t="n"/>
      <c r="M612" s="64" t="n"/>
      <c r="N612" s="62" t="n"/>
      <c r="O612" s="65">
        <f>IF(Z612=1,L612-W612,"")</f>
        <v/>
      </c>
      <c r="P612" s="66">
        <f>IF(V612="","",IFERROR(INDEX(coa_Type,MATCH(V612,coa_Name,0)),""))</f>
        <v/>
      </c>
      <c r="Q612" s="66">
        <f>IF(Z612=1,IF(U612="In",K612&amp;"",V612),"")</f>
        <v/>
      </c>
      <c r="R612" s="66">
        <f>IF(Z612=1,IF(U612="In",V612,K612&amp;""),"")</f>
        <v/>
      </c>
      <c r="S612" s="66">
        <f>IF(X612&lt;&gt;"","⛔ "&amp;X612&amp;" — not posted",IF(Y612&lt;&gt;"","⚠ "&amp;Y612,IF(Z612=1,"✓ OK","")))</f>
        <v/>
      </c>
      <c r="T612" s="67">
        <f>IF(AND(C612="",D612="",E612="",L612="",K612=""),1,0)</f>
        <v/>
      </c>
      <c r="U612" s="67">
        <f>IFERROR(INDEX(tt_Dir,MATCH(D612,tt_Type,0)),"")</f>
        <v/>
      </c>
      <c r="V612" s="67">
        <f>IF(D612="","",IFERROR(IF(INDEX(tt_Other,MATCH(D612,tt_Type,0))="",E612&amp;"",INDEX(tt_Other,MATCH(D612,tt_Type,0))),""))</f>
        <v/>
      </c>
      <c r="W612" s="68">
        <f>IF(OR(TaxOn&lt;&gt;"Yes",NOT(ISNUMBER(M612))),0,IF(IFERROR(INDEX(tt_Tax,MATCH(D612,tt_Type,0)),"No")="Yes",M612,0))</f>
        <v/>
      </c>
      <c r="X612" s="67">
        <f>IF(T612=1,"",IF(C612="","Missing transaction date",IF(NOT(ISNUMBER(C612)),"Invalid date",IF(OR(C612&lt;DATE(2000,1,1),C612&gt;DATE(2099,12,31)),"Invalid date",IF(D612="","Select a type",IF(U612="","Unknown type: "&amp;D612,IF(V612="","Select an account (Category)",IF(ISNA(MATCH(V612,coa_Name,0)),"Unknown account: "&amp;V612,IF(K612="","Select Paid From / Deposited To",IF(ISNA(MATCH(K612,coa_Name,0)),"Unknown account: "&amp;K612,IF(NOT(ISNUMBER(L612)),"Enter an amount",IF(L612=0,"Enter an amount",IF(ABS(W612)&gt;ABS(L612),"Tax is larger than the amount","")))))))))))))</f>
        <v/>
      </c>
      <c r="Y612" s="67">
        <f>IF(OR(T612=1,X612&lt;&gt;""),"",IF(AND(B612&lt;&gt;"",COUNTIF(tx_ID,B612)&gt;1),"Duplicate transaction ID",IF(AND(L612&lt;0,D612&lt;&gt;"Adjustment"),"Negative amount — check this entry",IF(AND(D612="Customer Payment",G612=""),"Add the customer",IF(AND(D612="Customer Payment",OR(J612="",COUNTIF(ar_No,J612&amp;"")=0)),"Invoice # in Reference not found on AR sheet",IF(AND(D612="Bill Payment",H612=""),"Add the vendor",IF(AND(D612="Bill Payment",OR(J612="",COUNTIFS(ap_No,J612&amp;"",ap_Party,H612&amp;"")=0)),"Bill # + vendor not found on AP sheet",IF(AND(ISNUMBER(M612),N(M612)&lt;&gt;0,W612=0),"Tax ignored (tax tracking off, or not allowed for this type)",IF(V612=K612&amp;"","Same account on both sides",IF(AND(ISNUMBER(StartDate),C612&lt;StartDate),"Date is before the accounting start date",IF(AND(D612&lt;&gt;"Adjustment",IFERROR(INDEX(coa_Pay,MATCH(K612&amp;"",coa_Name,0)),"")&lt;&gt;"Yes"),"Paid From / Deposited To is not a payment account","")))))))))))</f>
        <v/>
      </c>
      <c r="Z612" s="67">
        <f>IF(AND(T612=0,X612=""),1,0)</f>
        <v/>
      </c>
      <c r="AA612" s="68">
        <f>IF(Z612=1,IF(U612="In",L612,L612-W612),0)</f>
        <v/>
      </c>
      <c r="AB612" s="68">
        <f>IF(Z612=1,IF(U612="In",L612-W612,L612),0)</f>
        <v/>
      </c>
      <c r="AC612" s="68">
        <f>IF(AND(Z612=1,U612="Out"),W612,0)</f>
        <v/>
      </c>
      <c r="AD612" s="68">
        <f>IF(AND(Z612=1,U612="In"),W612,0)</f>
        <v/>
      </c>
    </row>
    <row r="613">
      <c r="B613" s="62" t="inlineStr">
        <is>
          <t>TX-0607</t>
        </is>
      </c>
      <c r="C613" s="63" t="n"/>
      <c r="D613" s="62" t="n"/>
      <c r="E613" s="62" t="n"/>
      <c r="F613" s="62" t="n"/>
      <c r="G613" s="62" t="n"/>
      <c r="H613" s="62" t="n"/>
      <c r="I613" s="62" t="n"/>
      <c r="J613" s="62" t="n"/>
      <c r="K613" s="62" t="n"/>
      <c r="L613" s="64" t="n"/>
      <c r="M613" s="64" t="n"/>
      <c r="N613" s="62" t="n"/>
      <c r="O613" s="65">
        <f>IF(Z613=1,L613-W613,"")</f>
        <v/>
      </c>
      <c r="P613" s="66">
        <f>IF(V613="","",IFERROR(INDEX(coa_Type,MATCH(V613,coa_Name,0)),""))</f>
        <v/>
      </c>
      <c r="Q613" s="66">
        <f>IF(Z613=1,IF(U613="In",K613&amp;"",V613),"")</f>
        <v/>
      </c>
      <c r="R613" s="66">
        <f>IF(Z613=1,IF(U613="In",V613,K613&amp;""),"")</f>
        <v/>
      </c>
      <c r="S613" s="66">
        <f>IF(X613&lt;&gt;"","⛔ "&amp;X613&amp;" — not posted",IF(Y613&lt;&gt;"","⚠ "&amp;Y613,IF(Z613=1,"✓ OK","")))</f>
        <v/>
      </c>
      <c r="T613" s="67">
        <f>IF(AND(C613="",D613="",E613="",L613="",K613=""),1,0)</f>
        <v/>
      </c>
      <c r="U613" s="67">
        <f>IFERROR(INDEX(tt_Dir,MATCH(D613,tt_Type,0)),"")</f>
        <v/>
      </c>
      <c r="V613" s="67">
        <f>IF(D613="","",IFERROR(IF(INDEX(tt_Other,MATCH(D613,tt_Type,0))="",E613&amp;"",INDEX(tt_Other,MATCH(D613,tt_Type,0))),""))</f>
        <v/>
      </c>
      <c r="W613" s="68">
        <f>IF(OR(TaxOn&lt;&gt;"Yes",NOT(ISNUMBER(M613))),0,IF(IFERROR(INDEX(tt_Tax,MATCH(D613,tt_Type,0)),"No")="Yes",M613,0))</f>
        <v/>
      </c>
      <c r="X613" s="67">
        <f>IF(T613=1,"",IF(C613="","Missing transaction date",IF(NOT(ISNUMBER(C613)),"Invalid date",IF(OR(C613&lt;DATE(2000,1,1),C613&gt;DATE(2099,12,31)),"Invalid date",IF(D613="","Select a type",IF(U613="","Unknown type: "&amp;D613,IF(V613="","Select an account (Category)",IF(ISNA(MATCH(V613,coa_Name,0)),"Unknown account: "&amp;V613,IF(K613="","Select Paid From / Deposited To",IF(ISNA(MATCH(K613,coa_Name,0)),"Unknown account: "&amp;K613,IF(NOT(ISNUMBER(L613)),"Enter an amount",IF(L613=0,"Enter an amount",IF(ABS(W613)&gt;ABS(L613),"Tax is larger than the amount","")))))))))))))</f>
        <v/>
      </c>
      <c r="Y613" s="67">
        <f>IF(OR(T613=1,X613&lt;&gt;""),"",IF(AND(B613&lt;&gt;"",COUNTIF(tx_ID,B613)&gt;1),"Duplicate transaction ID",IF(AND(L613&lt;0,D613&lt;&gt;"Adjustment"),"Negative amount — check this entry",IF(AND(D613="Customer Payment",G613=""),"Add the customer",IF(AND(D613="Customer Payment",OR(J613="",COUNTIF(ar_No,J613&amp;"")=0)),"Invoice # in Reference not found on AR sheet",IF(AND(D613="Bill Payment",H613=""),"Add the vendor",IF(AND(D613="Bill Payment",OR(J613="",COUNTIFS(ap_No,J613&amp;"",ap_Party,H613&amp;"")=0)),"Bill # + vendor not found on AP sheet",IF(AND(ISNUMBER(M613),N(M613)&lt;&gt;0,W613=0),"Tax ignored (tax tracking off, or not allowed for this type)",IF(V613=K613&amp;"","Same account on both sides",IF(AND(ISNUMBER(StartDate),C613&lt;StartDate),"Date is before the accounting start date",IF(AND(D613&lt;&gt;"Adjustment",IFERROR(INDEX(coa_Pay,MATCH(K613&amp;"",coa_Name,0)),"")&lt;&gt;"Yes"),"Paid From / Deposited To is not a payment account","")))))))))))</f>
        <v/>
      </c>
      <c r="Z613" s="67">
        <f>IF(AND(T613=0,X613=""),1,0)</f>
        <v/>
      </c>
      <c r="AA613" s="68">
        <f>IF(Z613=1,IF(U613="In",L613,L613-W613),0)</f>
        <v/>
      </c>
      <c r="AB613" s="68">
        <f>IF(Z613=1,IF(U613="In",L613-W613,L613),0)</f>
        <v/>
      </c>
      <c r="AC613" s="68">
        <f>IF(AND(Z613=1,U613="Out"),W613,0)</f>
        <v/>
      </c>
      <c r="AD613" s="68">
        <f>IF(AND(Z613=1,U613="In"),W613,0)</f>
        <v/>
      </c>
    </row>
    <row r="614">
      <c r="B614" s="62" t="inlineStr">
        <is>
          <t>TX-0608</t>
        </is>
      </c>
      <c r="C614" s="63" t="n"/>
      <c r="D614" s="62" t="n"/>
      <c r="E614" s="62" t="n"/>
      <c r="F614" s="62" t="n"/>
      <c r="G614" s="62" t="n"/>
      <c r="H614" s="62" t="n"/>
      <c r="I614" s="62" t="n"/>
      <c r="J614" s="62" t="n"/>
      <c r="K614" s="62" t="n"/>
      <c r="L614" s="64" t="n"/>
      <c r="M614" s="64" t="n"/>
      <c r="N614" s="62" t="n"/>
      <c r="O614" s="65">
        <f>IF(Z614=1,L614-W614,"")</f>
        <v/>
      </c>
      <c r="P614" s="66">
        <f>IF(V614="","",IFERROR(INDEX(coa_Type,MATCH(V614,coa_Name,0)),""))</f>
        <v/>
      </c>
      <c r="Q614" s="66">
        <f>IF(Z614=1,IF(U614="In",K614&amp;"",V614),"")</f>
        <v/>
      </c>
      <c r="R614" s="66">
        <f>IF(Z614=1,IF(U614="In",V614,K614&amp;""),"")</f>
        <v/>
      </c>
      <c r="S614" s="66">
        <f>IF(X614&lt;&gt;"","⛔ "&amp;X614&amp;" — not posted",IF(Y614&lt;&gt;"","⚠ "&amp;Y614,IF(Z614=1,"✓ OK","")))</f>
        <v/>
      </c>
      <c r="T614" s="67">
        <f>IF(AND(C614="",D614="",E614="",L614="",K614=""),1,0)</f>
        <v/>
      </c>
      <c r="U614" s="67">
        <f>IFERROR(INDEX(tt_Dir,MATCH(D614,tt_Type,0)),"")</f>
        <v/>
      </c>
      <c r="V614" s="67">
        <f>IF(D614="","",IFERROR(IF(INDEX(tt_Other,MATCH(D614,tt_Type,0))="",E614&amp;"",INDEX(tt_Other,MATCH(D614,tt_Type,0))),""))</f>
        <v/>
      </c>
      <c r="W614" s="68">
        <f>IF(OR(TaxOn&lt;&gt;"Yes",NOT(ISNUMBER(M614))),0,IF(IFERROR(INDEX(tt_Tax,MATCH(D614,tt_Type,0)),"No")="Yes",M614,0))</f>
        <v/>
      </c>
      <c r="X614" s="67">
        <f>IF(T614=1,"",IF(C614="","Missing transaction date",IF(NOT(ISNUMBER(C614)),"Invalid date",IF(OR(C614&lt;DATE(2000,1,1),C614&gt;DATE(2099,12,31)),"Invalid date",IF(D614="","Select a type",IF(U614="","Unknown type: "&amp;D614,IF(V614="","Select an account (Category)",IF(ISNA(MATCH(V614,coa_Name,0)),"Unknown account: "&amp;V614,IF(K614="","Select Paid From / Deposited To",IF(ISNA(MATCH(K614,coa_Name,0)),"Unknown account: "&amp;K614,IF(NOT(ISNUMBER(L614)),"Enter an amount",IF(L614=0,"Enter an amount",IF(ABS(W614)&gt;ABS(L614),"Tax is larger than the amount","")))))))))))))</f>
        <v/>
      </c>
      <c r="Y614" s="67">
        <f>IF(OR(T614=1,X614&lt;&gt;""),"",IF(AND(B614&lt;&gt;"",COUNTIF(tx_ID,B614)&gt;1),"Duplicate transaction ID",IF(AND(L614&lt;0,D614&lt;&gt;"Adjustment"),"Negative amount — check this entry",IF(AND(D614="Customer Payment",G614=""),"Add the customer",IF(AND(D614="Customer Payment",OR(J614="",COUNTIF(ar_No,J614&amp;"")=0)),"Invoice # in Reference not found on AR sheet",IF(AND(D614="Bill Payment",H614=""),"Add the vendor",IF(AND(D614="Bill Payment",OR(J614="",COUNTIFS(ap_No,J614&amp;"",ap_Party,H614&amp;"")=0)),"Bill # + vendor not found on AP sheet",IF(AND(ISNUMBER(M614),N(M614)&lt;&gt;0,W614=0),"Tax ignored (tax tracking off, or not allowed for this type)",IF(V614=K614&amp;"","Same account on both sides",IF(AND(ISNUMBER(StartDate),C614&lt;StartDate),"Date is before the accounting start date",IF(AND(D614&lt;&gt;"Adjustment",IFERROR(INDEX(coa_Pay,MATCH(K614&amp;"",coa_Name,0)),"")&lt;&gt;"Yes"),"Paid From / Deposited To is not a payment account","")))))))))))</f>
        <v/>
      </c>
      <c r="Z614" s="67">
        <f>IF(AND(T614=0,X614=""),1,0)</f>
        <v/>
      </c>
      <c r="AA614" s="68">
        <f>IF(Z614=1,IF(U614="In",L614,L614-W614),0)</f>
        <v/>
      </c>
      <c r="AB614" s="68">
        <f>IF(Z614=1,IF(U614="In",L614-W614,L614),0)</f>
        <v/>
      </c>
      <c r="AC614" s="68">
        <f>IF(AND(Z614=1,U614="Out"),W614,0)</f>
        <v/>
      </c>
      <c r="AD614" s="68">
        <f>IF(AND(Z614=1,U614="In"),W614,0)</f>
        <v/>
      </c>
    </row>
    <row r="615">
      <c r="B615" s="62" t="inlineStr">
        <is>
          <t>TX-0609</t>
        </is>
      </c>
      <c r="C615" s="63" t="n"/>
      <c r="D615" s="62" t="n"/>
      <c r="E615" s="62" t="n"/>
      <c r="F615" s="62" t="n"/>
      <c r="G615" s="62" t="n"/>
      <c r="H615" s="62" t="n"/>
      <c r="I615" s="62" t="n"/>
      <c r="J615" s="62" t="n"/>
      <c r="K615" s="62" t="n"/>
      <c r="L615" s="64" t="n"/>
      <c r="M615" s="64" t="n"/>
      <c r="N615" s="62" t="n"/>
      <c r="O615" s="65">
        <f>IF(Z615=1,L615-W615,"")</f>
        <v/>
      </c>
      <c r="P615" s="66">
        <f>IF(V615="","",IFERROR(INDEX(coa_Type,MATCH(V615,coa_Name,0)),""))</f>
        <v/>
      </c>
      <c r="Q615" s="66">
        <f>IF(Z615=1,IF(U615="In",K615&amp;"",V615),"")</f>
        <v/>
      </c>
      <c r="R615" s="66">
        <f>IF(Z615=1,IF(U615="In",V615,K615&amp;""),"")</f>
        <v/>
      </c>
      <c r="S615" s="66">
        <f>IF(X615&lt;&gt;"","⛔ "&amp;X615&amp;" — not posted",IF(Y615&lt;&gt;"","⚠ "&amp;Y615,IF(Z615=1,"✓ OK","")))</f>
        <v/>
      </c>
      <c r="T615" s="67">
        <f>IF(AND(C615="",D615="",E615="",L615="",K615=""),1,0)</f>
        <v/>
      </c>
      <c r="U615" s="67">
        <f>IFERROR(INDEX(tt_Dir,MATCH(D615,tt_Type,0)),"")</f>
        <v/>
      </c>
      <c r="V615" s="67">
        <f>IF(D615="","",IFERROR(IF(INDEX(tt_Other,MATCH(D615,tt_Type,0))="",E615&amp;"",INDEX(tt_Other,MATCH(D615,tt_Type,0))),""))</f>
        <v/>
      </c>
      <c r="W615" s="68">
        <f>IF(OR(TaxOn&lt;&gt;"Yes",NOT(ISNUMBER(M615))),0,IF(IFERROR(INDEX(tt_Tax,MATCH(D615,tt_Type,0)),"No")="Yes",M615,0))</f>
        <v/>
      </c>
      <c r="X615" s="67">
        <f>IF(T615=1,"",IF(C615="","Missing transaction date",IF(NOT(ISNUMBER(C615)),"Invalid date",IF(OR(C615&lt;DATE(2000,1,1),C615&gt;DATE(2099,12,31)),"Invalid date",IF(D615="","Select a type",IF(U615="","Unknown type: "&amp;D615,IF(V615="","Select an account (Category)",IF(ISNA(MATCH(V615,coa_Name,0)),"Unknown account: "&amp;V615,IF(K615="","Select Paid From / Deposited To",IF(ISNA(MATCH(K615,coa_Name,0)),"Unknown account: "&amp;K615,IF(NOT(ISNUMBER(L615)),"Enter an amount",IF(L615=0,"Enter an amount",IF(ABS(W615)&gt;ABS(L615),"Tax is larger than the amount","")))))))))))))</f>
        <v/>
      </c>
      <c r="Y615" s="67">
        <f>IF(OR(T615=1,X615&lt;&gt;""),"",IF(AND(B615&lt;&gt;"",COUNTIF(tx_ID,B615)&gt;1),"Duplicate transaction ID",IF(AND(L615&lt;0,D615&lt;&gt;"Adjustment"),"Negative amount — check this entry",IF(AND(D615="Customer Payment",G615=""),"Add the customer",IF(AND(D615="Customer Payment",OR(J615="",COUNTIF(ar_No,J615&amp;"")=0)),"Invoice # in Reference not found on AR sheet",IF(AND(D615="Bill Payment",H615=""),"Add the vendor",IF(AND(D615="Bill Payment",OR(J615="",COUNTIFS(ap_No,J615&amp;"",ap_Party,H615&amp;"")=0)),"Bill # + vendor not found on AP sheet",IF(AND(ISNUMBER(M615),N(M615)&lt;&gt;0,W615=0),"Tax ignored (tax tracking off, or not allowed for this type)",IF(V615=K615&amp;"","Same account on both sides",IF(AND(ISNUMBER(StartDate),C615&lt;StartDate),"Date is before the accounting start date",IF(AND(D615&lt;&gt;"Adjustment",IFERROR(INDEX(coa_Pay,MATCH(K615&amp;"",coa_Name,0)),"")&lt;&gt;"Yes"),"Paid From / Deposited To is not a payment account","")))))))))))</f>
        <v/>
      </c>
      <c r="Z615" s="67">
        <f>IF(AND(T615=0,X615=""),1,0)</f>
        <v/>
      </c>
      <c r="AA615" s="68">
        <f>IF(Z615=1,IF(U615="In",L615,L615-W615),0)</f>
        <v/>
      </c>
      <c r="AB615" s="68">
        <f>IF(Z615=1,IF(U615="In",L615-W615,L615),0)</f>
        <v/>
      </c>
      <c r="AC615" s="68">
        <f>IF(AND(Z615=1,U615="Out"),W615,0)</f>
        <v/>
      </c>
      <c r="AD615" s="68">
        <f>IF(AND(Z615=1,U615="In"),W615,0)</f>
        <v/>
      </c>
    </row>
    <row r="616">
      <c r="B616" s="62" t="inlineStr">
        <is>
          <t>TX-0610</t>
        </is>
      </c>
      <c r="C616" s="63" t="n"/>
      <c r="D616" s="62" t="n"/>
      <c r="E616" s="62" t="n"/>
      <c r="F616" s="62" t="n"/>
      <c r="G616" s="62" t="n"/>
      <c r="H616" s="62" t="n"/>
      <c r="I616" s="62" t="n"/>
      <c r="J616" s="62" t="n"/>
      <c r="K616" s="62" t="n"/>
      <c r="L616" s="64" t="n"/>
      <c r="M616" s="64" t="n"/>
      <c r="N616" s="62" t="n"/>
      <c r="O616" s="65">
        <f>IF(Z616=1,L616-W616,"")</f>
        <v/>
      </c>
      <c r="P616" s="66">
        <f>IF(V616="","",IFERROR(INDEX(coa_Type,MATCH(V616,coa_Name,0)),""))</f>
        <v/>
      </c>
      <c r="Q616" s="66">
        <f>IF(Z616=1,IF(U616="In",K616&amp;"",V616),"")</f>
        <v/>
      </c>
      <c r="R616" s="66">
        <f>IF(Z616=1,IF(U616="In",V616,K616&amp;""),"")</f>
        <v/>
      </c>
      <c r="S616" s="66">
        <f>IF(X616&lt;&gt;"","⛔ "&amp;X616&amp;" — not posted",IF(Y616&lt;&gt;"","⚠ "&amp;Y616,IF(Z616=1,"✓ OK","")))</f>
        <v/>
      </c>
      <c r="T616" s="67">
        <f>IF(AND(C616="",D616="",E616="",L616="",K616=""),1,0)</f>
        <v/>
      </c>
      <c r="U616" s="67">
        <f>IFERROR(INDEX(tt_Dir,MATCH(D616,tt_Type,0)),"")</f>
        <v/>
      </c>
      <c r="V616" s="67">
        <f>IF(D616="","",IFERROR(IF(INDEX(tt_Other,MATCH(D616,tt_Type,0))="",E616&amp;"",INDEX(tt_Other,MATCH(D616,tt_Type,0))),""))</f>
        <v/>
      </c>
      <c r="W616" s="68">
        <f>IF(OR(TaxOn&lt;&gt;"Yes",NOT(ISNUMBER(M616))),0,IF(IFERROR(INDEX(tt_Tax,MATCH(D616,tt_Type,0)),"No")="Yes",M616,0))</f>
        <v/>
      </c>
      <c r="X616" s="67">
        <f>IF(T616=1,"",IF(C616="","Missing transaction date",IF(NOT(ISNUMBER(C616)),"Invalid date",IF(OR(C616&lt;DATE(2000,1,1),C616&gt;DATE(2099,12,31)),"Invalid date",IF(D616="","Select a type",IF(U616="","Unknown type: "&amp;D616,IF(V616="","Select an account (Category)",IF(ISNA(MATCH(V616,coa_Name,0)),"Unknown account: "&amp;V616,IF(K616="","Select Paid From / Deposited To",IF(ISNA(MATCH(K616,coa_Name,0)),"Unknown account: "&amp;K616,IF(NOT(ISNUMBER(L616)),"Enter an amount",IF(L616=0,"Enter an amount",IF(ABS(W616)&gt;ABS(L616),"Tax is larger than the amount","")))))))))))))</f>
        <v/>
      </c>
      <c r="Y616" s="67">
        <f>IF(OR(T616=1,X616&lt;&gt;""),"",IF(AND(B616&lt;&gt;"",COUNTIF(tx_ID,B616)&gt;1),"Duplicate transaction ID",IF(AND(L616&lt;0,D616&lt;&gt;"Adjustment"),"Negative amount — check this entry",IF(AND(D616="Customer Payment",G616=""),"Add the customer",IF(AND(D616="Customer Payment",OR(J616="",COUNTIF(ar_No,J616&amp;"")=0)),"Invoice # in Reference not found on AR sheet",IF(AND(D616="Bill Payment",H616=""),"Add the vendor",IF(AND(D616="Bill Payment",OR(J616="",COUNTIFS(ap_No,J616&amp;"",ap_Party,H616&amp;"")=0)),"Bill # + vendor not found on AP sheet",IF(AND(ISNUMBER(M616),N(M616)&lt;&gt;0,W616=0),"Tax ignored (tax tracking off, or not allowed for this type)",IF(V616=K616&amp;"","Same account on both sides",IF(AND(ISNUMBER(StartDate),C616&lt;StartDate),"Date is before the accounting start date",IF(AND(D616&lt;&gt;"Adjustment",IFERROR(INDEX(coa_Pay,MATCH(K616&amp;"",coa_Name,0)),"")&lt;&gt;"Yes"),"Paid From / Deposited To is not a payment account","")))))))))))</f>
        <v/>
      </c>
      <c r="Z616" s="67">
        <f>IF(AND(T616=0,X616=""),1,0)</f>
        <v/>
      </c>
      <c r="AA616" s="68">
        <f>IF(Z616=1,IF(U616="In",L616,L616-W616),0)</f>
        <v/>
      </c>
      <c r="AB616" s="68">
        <f>IF(Z616=1,IF(U616="In",L616-W616,L616),0)</f>
        <v/>
      </c>
      <c r="AC616" s="68">
        <f>IF(AND(Z616=1,U616="Out"),W616,0)</f>
        <v/>
      </c>
      <c r="AD616" s="68">
        <f>IF(AND(Z616=1,U616="In"),W616,0)</f>
        <v/>
      </c>
    </row>
    <row r="617">
      <c r="B617" s="62" t="inlineStr">
        <is>
          <t>TX-0611</t>
        </is>
      </c>
      <c r="C617" s="63" t="n"/>
      <c r="D617" s="62" t="n"/>
      <c r="E617" s="62" t="n"/>
      <c r="F617" s="62" t="n"/>
      <c r="G617" s="62" t="n"/>
      <c r="H617" s="62" t="n"/>
      <c r="I617" s="62" t="n"/>
      <c r="J617" s="62" t="n"/>
      <c r="K617" s="62" t="n"/>
      <c r="L617" s="64" t="n"/>
      <c r="M617" s="64" t="n"/>
      <c r="N617" s="62" t="n"/>
      <c r="O617" s="65">
        <f>IF(Z617=1,L617-W617,"")</f>
        <v/>
      </c>
      <c r="P617" s="66">
        <f>IF(V617="","",IFERROR(INDEX(coa_Type,MATCH(V617,coa_Name,0)),""))</f>
        <v/>
      </c>
      <c r="Q617" s="66">
        <f>IF(Z617=1,IF(U617="In",K617&amp;"",V617),"")</f>
        <v/>
      </c>
      <c r="R617" s="66">
        <f>IF(Z617=1,IF(U617="In",V617,K617&amp;""),"")</f>
        <v/>
      </c>
      <c r="S617" s="66">
        <f>IF(X617&lt;&gt;"","⛔ "&amp;X617&amp;" — not posted",IF(Y617&lt;&gt;"","⚠ "&amp;Y617,IF(Z617=1,"✓ OK","")))</f>
        <v/>
      </c>
      <c r="T617" s="67">
        <f>IF(AND(C617="",D617="",E617="",L617="",K617=""),1,0)</f>
        <v/>
      </c>
      <c r="U617" s="67">
        <f>IFERROR(INDEX(tt_Dir,MATCH(D617,tt_Type,0)),"")</f>
        <v/>
      </c>
      <c r="V617" s="67">
        <f>IF(D617="","",IFERROR(IF(INDEX(tt_Other,MATCH(D617,tt_Type,0))="",E617&amp;"",INDEX(tt_Other,MATCH(D617,tt_Type,0))),""))</f>
        <v/>
      </c>
      <c r="W617" s="68">
        <f>IF(OR(TaxOn&lt;&gt;"Yes",NOT(ISNUMBER(M617))),0,IF(IFERROR(INDEX(tt_Tax,MATCH(D617,tt_Type,0)),"No")="Yes",M617,0))</f>
        <v/>
      </c>
      <c r="X617" s="67">
        <f>IF(T617=1,"",IF(C617="","Missing transaction date",IF(NOT(ISNUMBER(C617)),"Invalid date",IF(OR(C617&lt;DATE(2000,1,1),C617&gt;DATE(2099,12,31)),"Invalid date",IF(D617="","Select a type",IF(U617="","Unknown type: "&amp;D617,IF(V617="","Select an account (Category)",IF(ISNA(MATCH(V617,coa_Name,0)),"Unknown account: "&amp;V617,IF(K617="","Select Paid From / Deposited To",IF(ISNA(MATCH(K617,coa_Name,0)),"Unknown account: "&amp;K617,IF(NOT(ISNUMBER(L617)),"Enter an amount",IF(L617=0,"Enter an amount",IF(ABS(W617)&gt;ABS(L617),"Tax is larger than the amount","")))))))))))))</f>
        <v/>
      </c>
      <c r="Y617" s="67">
        <f>IF(OR(T617=1,X617&lt;&gt;""),"",IF(AND(B617&lt;&gt;"",COUNTIF(tx_ID,B617)&gt;1),"Duplicate transaction ID",IF(AND(L617&lt;0,D617&lt;&gt;"Adjustment"),"Negative amount — check this entry",IF(AND(D617="Customer Payment",G617=""),"Add the customer",IF(AND(D617="Customer Payment",OR(J617="",COUNTIF(ar_No,J617&amp;"")=0)),"Invoice # in Reference not found on AR sheet",IF(AND(D617="Bill Payment",H617=""),"Add the vendor",IF(AND(D617="Bill Payment",OR(J617="",COUNTIFS(ap_No,J617&amp;"",ap_Party,H617&amp;"")=0)),"Bill # + vendor not found on AP sheet",IF(AND(ISNUMBER(M617),N(M617)&lt;&gt;0,W617=0),"Tax ignored (tax tracking off, or not allowed for this type)",IF(V617=K617&amp;"","Same account on both sides",IF(AND(ISNUMBER(StartDate),C617&lt;StartDate),"Date is before the accounting start date",IF(AND(D617&lt;&gt;"Adjustment",IFERROR(INDEX(coa_Pay,MATCH(K617&amp;"",coa_Name,0)),"")&lt;&gt;"Yes"),"Paid From / Deposited To is not a payment account","")))))))))))</f>
        <v/>
      </c>
      <c r="Z617" s="67">
        <f>IF(AND(T617=0,X617=""),1,0)</f>
        <v/>
      </c>
      <c r="AA617" s="68">
        <f>IF(Z617=1,IF(U617="In",L617,L617-W617),0)</f>
        <v/>
      </c>
      <c r="AB617" s="68">
        <f>IF(Z617=1,IF(U617="In",L617-W617,L617),0)</f>
        <v/>
      </c>
      <c r="AC617" s="68">
        <f>IF(AND(Z617=1,U617="Out"),W617,0)</f>
        <v/>
      </c>
      <c r="AD617" s="68">
        <f>IF(AND(Z617=1,U617="In"),W617,0)</f>
        <v/>
      </c>
    </row>
    <row r="618">
      <c r="B618" s="62" t="inlineStr">
        <is>
          <t>TX-0612</t>
        </is>
      </c>
      <c r="C618" s="63" t="n"/>
      <c r="D618" s="62" t="n"/>
      <c r="E618" s="62" t="n"/>
      <c r="F618" s="62" t="n"/>
      <c r="G618" s="62" t="n"/>
      <c r="H618" s="62" t="n"/>
      <c r="I618" s="62" t="n"/>
      <c r="J618" s="62" t="n"/>
      <c r="K618" s="62" t="n"/>
      <c r="L618" s="64" t="n"/>
      <c r="M618" s="64" t="n"/>
      <c r="N618" s="62" t="n"/>
      <c r="O618" s="65">
        <f>IF(Z618=1,L618-W618,"")</f>
        <v/>
      </c>
      <c r="P618" s="66">
        <f>IF(V618="","",IFERROR(INDEX(coa_Type,MATCH(V618,coa_Name,0)),""))</f>
        <v/>
      </c>
      <c r="Q618" s="66">
        <f>IF(Z618=1,IF(U618="In",K618&amp;"",V618),"")</f>
        <v/>
      </c>
      <c r="R618" s="66">
        <f>IF(Z618=1,IF(U618="In",V618,K618&amp;""),"")</f>
        <v/>
      </c>
      <c r="S618" s="66">
        <f>IF(X618&lt;&gt;"","⛔ "&amp;X618&amp;" — not posted",IF(Y618&lt;&gt;"","⚠ "&amp;Y618,IF(Z618=1,"✓ OK","")))</f>
        <v/>
      </c>
      <c r="T618" s="67">
        <f>IF(AND(C618="",D618="",E618="",L618="",K618=""),1,0)</f>
        <v/>
      </c>
      <c r="U618" s="67">
        <f>IFERROR(INDEX(tt_Dir,MATCH(D618,tt_Type,0)),"")</f>
        <v/>
      </c>
      <c r="V618" s="67">
        <f>IF(D618="","",IFERROR(IF(INDEX(tt_Other,MATCH(D618,tt_Type,0))="",E618&amp;"",INDEX(tt_Other,MATCH(D618,tt_Type,0))),""))</f>
        <v/>
      </c>
      <c r="W618" s="68">
        <f>IF(OR(TaxOn&lt;&gt;"Yes",NOT(ISNUMBER(M618))),0,IF(IFERROR(INDEX(tt_Tax,MATCH(D618,tt_Type,0)),"No")="Yes",M618,0))</f>
        <v/>
      </c>
      <c r="X618" s="67">
        <f>IF(T618=1,"",IF(C618="","Missing transaction date",IF(NOT(ISNUMBER(C618)),"Invalid date",IF(OR(C618&lt;DATE(2000,1,1),C618&gt;DATE(2099,12,31)),"Invalid date",IF(D618="","Select a type",IF(U618="","Unknown type: "&amp;D618,IF(V618="","Select an account (Category)",IF(ISNA(MATCH(V618,coa_Name,0)),"Unknown account: "&amp;V618,IF(K618="","Select Paid From / Deposited To",IF(ISNA(MATCH(K618,coa_Name,0)),"Unknown account: "&amp;K618,IF(NOT(ISNUMBER(L618)),"Enter an amount",IF(L618=0,"Enter an amount",IF(ABS(W618)&gt;ABS(L618),"Tax is larger than the amount","")))))))))))))</f>
        <v/>
      </c>
      <c r="Y618" s="67">
        <f>IF(OR(T618=1,X618&lt;&gt;""),"",IF(AND(B618&lt;&gt;"",COUNTIF(tx_ID,B618)&gt;1),"Duplicate transaction ID",IF(AND(L618&lt;0,D618&lt;&gt;"Adjustment"),"Negative amount — check this entry",IF(AND(D618="Customer Payment",G618=""),"Add the customer",IF(AND(D618="Customer Payment",OR(J618="",COUNTIF(ar_No,J618&amp;"")=0)),"Invoice # in Reference not found on AR sheet",IF(AND(D618="Bill Payment",H618=""),"Add the vendor",IF(AND(D618="Bill Payment",OR(J618="",COUNTIFS(ap_No,J618&amp;"",ap_Party,H618&amp;"")=0)),"Bill # + vendor not found on AP sheet",IF(AND(ISNUMBER(M618),N(M618)&lt;&gt;0,W618=0),"Tax ignored (tax tracking off, or not allowed for this type)",IF(V618=K618&amp;"","Same account on both sides",IF(AND(ISNUMBER(StartDate),C618&lt;StartDate),"Date is before the accounting start date",IF(AND(D618&lt;&gt;"Adjustment",IFERROR(INDEX(coa_Pay,MATCH(K618&amp;"",coa_Name,0)),"")&lt;&gt;"Yes"),"Paid From / Deposited To is not a payment account","")))))))))))</f>
        <v/>
      </c>
      <c r="Z618" s="67">
        <f>IF(AND(T618=0,X618=""),1,0)</f>
        <v/>
      </c>
      <c r="AA618" s="68">
        <f>IF(Z618=1,IF(U618="In",L618,L618-W618),0)</f>
        <v/>
      </c>
      <c r="AB618" s="68">
        <f>IF(Z618=1,IF(U618="In",L618-W618,L618),0)</f>
        <v/>
      </c>
      <c r="AC618" s="68">
        <f>IF(AND(Z618=1,U618="Out"),W618,0)</f>
        <v/>
      </c>
      <c r="AD618" s="68">
        <f>IF(AND(Z618=1,U618="In"),W618,0)</f>
        <v/>
      </c>
    </row>
    <row r="619">
      <c r="B619" s="62" t="inlineStr">
        <is>
          <t>TX-0613</t>
        </is>
      </c>
      <c r="C619" s="63" t="n"/>
      <c r="D619" s="62" t="n"/>
      <c r="E619" s="62" t="n"/>
      <c r="F619" s="62" t="n"/>
      <c r="G619" s="62" t="n"/>
      <c r="H619" s="62" t="n"/>
      <c r="I619" s="62" t="n"/>
      <c r="J619" s="62" t="n"/>
      <c r="K619" s="62" t="n"/>
      <c r="L619" s="64" t="n"/>
      <c r="M619" s="64" t="n"/>
      <c r="N619" s="62" t="n"/>
      <c r="O619" s="65">
        <f>IF(Z619=1,L619-W619,"")</f>
        <v/>
      </c>
      <c r="P619" s="66">
        <f>IF(V619="","",IFERROR(INDEX(coa_Type,MATCH(V619,coa_Name,0)),""))</f>
        <v/>
      </c>
      <c r="Q619" s="66">
        <f>IF(Z619=1,IF(U619="In",K619&amp;"",V619),"")</f>
        <v/>
      </c>
      <c r="R619" s="66">
        <f>IF(Z619=1,IF(U619="In",V619,K619&amp;""),"")</f>
        <v/>
      </c>
      <c r="S619" s="66">
        <f>IF(X619&lt;&gt;"","⛔ "&amp;X619&amp;" — not posted",IF(Y619&lt;&gt;"","⚠ "&amp;Y619,IF(Z619=1,"✓ OK","")))</f>
        <v/>
      </c>
      <c r="T619" s="67">
        <f>IF(AND(C619="",D619="",E619="",L619="",K619=""),1,0)</f>
        <v/>
      </c>
      <c r="U619" s="67">
        <f>IFERROR(INDEX(tt_Dir,MATCH(D619,tt_Type,0)),"")</f>
        <v/>
      </c>
      <c r="V619" s="67">
        <f>IF(D619="","",IFERROR(IF(INDEX(tt_Other,MATCH(D619,tt_Type,0))="",E619&amp;"",INDEX(tt_Other,MATCH(D619,tt_Type,0))),""))</f>
        <v/>
      </c>
      <c r="W619" s="68">
        <f>IF(OR(TaxOn&lt;&gt;"Yes",NOT(ISNUMBER(M619))),0,IF(IFERROR(INDEX(tt_Tax,MATCH(D619,tt_Type,0)),"No")="Yes",M619,0))</f>
        <v/>
      </c>
      <c r="X619" s="67">
        <f>IF(T619=1,"",IF(C619="","Missing transaction date",IF(NOT(ISNUMBER(C619)),"Invalid date",IF(OR(C619&lt;DATE(2000,1,1),C619&gt;DATE(2099,12,31)),"Invalid date",IF(D619="","Select a type",IF(U619="","Unknown type: "&amp;D619,IF(V619="","Select an account (Category)",IF(ISNA(MATCH(V619,coa_Name,0)),"Unknown account: "&amp;V619,IF(K619="","Select Paid From / Deposited To",IF(ISNA(MATCH(K619,coa_Name,0)),"Unknown account: "&amp;K619,IF(NOT(ISNUMBER(L619)),"Enter an amount",IF(L619=0,"Enter an amount",IF(ABS(W619)&gt;ABS(L619),"Tax is larger than the amount","")))))))))))))</f>
        <v/>
      </c>
      <c r="Y619" s="67">
        <f>IF(OR(T619=1,X619&lt;&gt;""),"",IF(AND(B619&lt;&gt;"",COUNTIF(tx_ID,B619)&gt;1),"Duplicate transaction ID",IF(AND(L619&lt;0,D619&lt;&gt;"Adjustment"),"Negative amount — check this entry",IF(AND(D619="Customer Payment",G619=""),"Add the customer",IF(AND(D619="Customer Payment",OR(J619="",COUNTIF(ar_No,J619&amp;"")=0)),"Invoice # in Reference not found on AR sheet",IF(AND(D619="Bill Payment",H619=""),"Add the vendor",IF(AND(D619="Bill Payment",OR(J619="",COUNTIFS(ap_No,J619&amp;"",ap_Party,H619&amp;"")=0)),"Bill # + vendor not found on AP sheet",IF(AND(ISNUMBER(M619),N(M619)&lt;&gt;0,W619=0),"Tax ignored (tax tracking off, or not allowed for this type)",IF(V619=K619&amp;"","Same account on both sides",IF(AND(ISNUMBER(StartDate),C619&lt;StartDate),"Date is before the accounting start date",IF(AND(D619&lt;&gt;"Adjustment",IFERROR(INDEX(coa_Pay,MATCH(K619&amp;"",coa_Name,0)),"")&lt;&gt;"Yes"),"Paid From / Deposited To is not a payment account","")))))))))))</f>
        <v/>
      </c>
      <c r="Z619" s="67">
        <f>IF(AND(T619=0,X619=""),1,0)</f>
        <v/>
      </c>
      <c r="AA619" s="68">
        <f>IF(Z619=1,IF(U619="In",L619,L619-W619),0)</f>
        <v/>
      </c>
      <c r="AB619" s="68">
        <f>IF(Z619=1,IF(U619="In",L619-W619,L619),0)</f>
        <v/>
      </c>
      <c r="AC619" s="68">
        <f>IF(AND(Z619=1,U619="Out"),W619,0)</f>
        <v/>
      </c>
      <c r="AD619" s="68">
        <f>IF(AND(Z619=1,U619="In"),W619,0)</f>
        <v/>
      </c>
    </row>
    <row r="620">
      <c r="B620" s="62" t="inlineStr">
        <is>
          <t>TX-0614</t>
        </is>
      </c>
      <c r="C620" s="63" t="n"/>
      <c r="D620" s="62" t="n"/>
      <c r="E620" s="62" t="n"/>
      <c r="F620" s="62" t="n"/>
      <c r="G620" s="62" t="n"/>
      <c r="H620" s="62" t="n"/>
      <c r="I620" s="62" t="n"/>
      <c r="J620" s="62" t="n"/>
      <c r="K620" s="62" t="n"/>
      <c r="L620" s="64" t="n"/>
      <c r="M620" s="64" t="n"/>
      <c r="N620" s="62" t="n"/>
      <c r="O620" s="65">
        <f>IF(Z620=1,L620-W620,"")</f>
        <v/>
      </c>
      <c r="P620" s="66">
        <f>IF(V620="","",IFERROR(INDEX(coa_Type,MATCH(V620,coa_Name,0)),""))</f>
        <v/>
      </c>
      <c r="Q620" s="66">
        <f>IF(Z620=1,IF(U620="In",K620&amp;"",V620),"")</f>
        <v/>
      </c>
      <c r="R620" s="66">
        <f>IF(Z620=1,IF(U620="In",V620,K620&amp;""),"")</f>
        <v/>
      </c>
      <c r="S620" s="66">
        <f>IF(X620&lt;&gt;"","⛔ "&amp;X620&amp;" — not posted",IF(Y620&lt;&gt;"","⚠ "&amp;Y620,IF(Z620=1,"✓ OK","")))</f>
        <v/>
      </c>
      <c r="T620" s="67">
        <f>IF(AND(C620="",D620="",E620="",L620="",K620=""),1,0)</f>
        <v/>
      </c>
      <c r="U620" s="67">
        <f>IFERROR(INDEX(tt_Dir,MATCH(D620,tt_Type,0)),"")</f>
        <v/>
      </c>
      <c r="V620" s="67">
        <f>IF(D620="","",IFERROR(IF(INDEX(tt_Other,MATCH(D620,tt_Type,0))="",E620&amp;"",INDEX(tt_Other,MATCH(D620,tt_Type,0))),""))</f>
        <v/>
      </c>
      <c r="W620" s="68">
        <f>IF(OR(TaxOn&lt;&gt;"Yes",NOT(ISNUMBER(M620))),0,IF(IFERROR(INDEX(tt_Tax,MATCH(D620,tt_Type,0)),"No")="Yes",M620,0))</f>
        <v/>
      </c>
      <c r="X620" s="67">
        <f>IF(T620=1,"",IF(C620="","Missing transaction date",IF(NOT(ISNUMBER(C620)),"Invalid date",IF(OR(C620&lt;DATE(2000,1,1),C620&gt;DATE(2099,12,31)),"Invalid date",IF(D620="","Select a type",IF(U620="","Unknown type: "&amp;D620,IF(V620="","Select an account (Category)",IF(ISNA(MATCH(V620,coa_Name,0)),"Unknown account: "&amp;V620,IF(K620="","Select Paid From / Deposited To",IF(ISNA(MATCH(K620,coa_Name,0)),"Unknown account: "&amp;K620,IF(NOT(ISNUMBER(L620)),"Enter an amount",IF(L620=0,"Enter an amount",IF(ABS(W620)&gt;ABS(L620),"Tax is larger than the amount","")))))))))))))</f>
        <v/>
      </c>
      <c r="Y620" s="67">
        <f>IF(OR(T620=1,X620&lt;&gt;""),"",IF(AND(B620&lt;&gt;"",COUNTIF(tx_ID,B620)&gt;1),"Duplicate transaction ID",IF(AND(L620&lt;0,D620&lt;&gt;"Adjustment"),"Negative amount — check this entry",IF(AND(D620="Customer Payment",G620=""),"Add the customer",IF(AND(D620="Customer Payment",OR(J620="",COUNTIF(ar_No,J620&amp;"")=0)),"Invoice # in Reference not found on AR sheet",IF(AND(D620="Bill Payment",H620=""),"Add the vendor",IF(AND(D620="Bill Payment",OR(J620="",COUNTIFS(ap_No,J620&amp;"",ap_Party,H620&amp;"")=0)),"Bill # + vendor not found on AP sheet",IF(AND(ISNUMBER(M620),N(M620)&lt;&gt;0,W620=0),"Tax ignored (tax tracking off, or not allowed for this type)",IF(V620=K620&amp;"","Same account on both sides",IF(AND(ISNUMBER(StartDate),C620&lt;StartDate),"Date is before the accounting start date",IF(AND(D620&lt;&gt;"Adjustment",IFERROR(INDEX(coa_Pay,MATCH(K620&amp;"",coa_Name,0)),"")&lt;&gt;"Yes"),"Paid From / Deposited To is not a payment account","")))))))))))</f>
        <v/>
      </c>
      <c r="Z620" s="67">
        <f>IF(AND(T620=0,X620=""),1,0)</f>
        <v/>
      </c>
      <c r="AA620" s="68">
        <f>IF(Z620=1,IF(U620="In",L620,L620-W620),0)</f>
        <v/>
      </c>
      <c r="AB620" s="68">
        <f>IF(Z620=1,IF(U620="In",L620-W620,L620),0)</f>
        <v/>
      </c>
      <c r="AC620" s="68">
        <f>IF(AND(Z620=1,U620="Out"),W620,0)</f>
        <v/>
      </c>
      <c r="AD620" s="68">
        <f>IF(AND(Z620=1,U620="In"),W620,0)</f>
        <v/>
      </c>
    </row>
    <row r="621">
      <c r="B621" s="62" t="inlineStr">
        <is>
          <t>TX-0615</t>
        </is>
      </c>
      <c r="C621" s="63" t="n"/>
      <c r="D621" s="62" t="n"/>
      <c r="E621" s="62" t="n"/>
      <c r="F621" s="62" t="n"/>
      <c r="G621" s="62" t="n"/>
      <c r="H621" s="62" t="n"/>
      <c r="I621" s="62" t="n"/>
      <c r="J621" s="62" t="n"/>
      <c r="K621" s="62" t="n"/>
      <c r="L621" s="64" t="n"/>
      <c r="M621" s="64" t="n"/>
      <c r="N621" s="62" t="n"/>
      <c r="O621" s="65">
        <f>IF(Z621=1,L621-W621,"")</f>
        <v/>
      </c>
      <c r="P621" s="66">
        <f>IF(V621="","",IFERROR(INDEX(coa_Type,MATCH(V621,coa_Name,0)),""))</f>
        <v/>
      </c>
      <c r="Q621" s="66">
        <f>IF(Z621=1,IF(U621="In",K621&amp;"",V621),"")</f>
        <v/>
      </c>
      <c r="R621" s="66">
        <f>IF(Z621=1,IF(U621="In",V621,K621&amp;""),"")</f>
        <v/>
      </c>
      <c r="S621" s="66">
        <f>IF(X621&lt;&gt;"","⛔ "&amp;X621&amp;" — not posted",IF(Y621&lt;&gt;"","⚠ "&amp;Y621,IF(Z621=1,"✓ OK","")))</f>
        <v/>
      </c>
      <c r="T621" s="67">
        <f>IF(AND(C621="",D621="",E621="",L621="",K621=""),1,0)</f>
        <v/>
      </c>
      <c r="U621" s="67">
        <f>IFERROR(INDEX(tt_Dir,MATCH(D621,tt_Type,0)),"")</f>
        <v/>
      </c>
      <c r="V621" s="67">
        <f>IF(D621="","",IFERROR(IF(INDEX(tt_Other,MATCH(D621,tt_Type,0))="",E621&amp;"",INDEX(tt_Other,MATCH(D621,tt_Type,0))),""))</f>
        <v/>
      </c>
      <c r="W621" s="68">
        <f>IF(OR(TaxOn&lt;&gt;"Yes",NOT(ISNUMBER(M621))),0,IF(IFERROR(INDEX(tt_Tax,MATCH(D621,tt_Type,0)),"No")="Yes",M621,0))</f>
        <v/>
      </c>
      <c r="X621" s="67">
        <f>IF(T621=1,"",IF(C621="","Missing transaction date",IF(NOT(ISNUMBER(C621)),"Invalid date",IF(OR(C621&lt;DATE(2000,1,1),C621&gt;DATE(2099,12,31)),"Invalid date",IF(D621="","Select a type",IF(U621="","Unknown type: "&amp;D621,IF(V621="","Select an account (Category)",IF(ISNA(MATCH(V621,coa_Name,0)),"Unknown account: "&amp;V621,IF(K621="","Select Paid From / Deposited To",IF(ISNA(MATCH(K621,coa_Name,0)),"Unknown account: "&amp;K621,IF(NOT(ISNUMBER(L621)),"Enter an amount",IF(L621=0,"Enter an amount",IF(ABS(W621)&gt;ABS(L621),"Tax is larger than the amount","")))))))))))))</f>
        <v/>
      </c>
      <c r="Y621" s="67">
        <f>IF(OR(T621=1,X621&lt;&gt;""),"",IF(AND(B621&lt;&gt;"",COUNTIF(tx_ID,B621)&gt;1),"Duplicate transaction ID",IF(AND(L621&lt;0,D621&lt;&gt;"Adjustment"),"Negative amount — check this entry",IF(AND(D621="Customer Payment",G621=""),"Add the customer",IF(AND(D621="Customer Payment",OR(J621="",COUNTIF(ar_No,J621&amp;"")=0)),"Invoice # in Reference not found on AR sheet",IF(AND(D621="Bill Payment",H621=""),"Add the vendor",IF(AND(D621="Bill Payment",OR(J621="",COUNTIFS(ap_No,J621&amp;"",ap_Party,H621&amp;"")=0)),"Bill # + vendor not found on AP sheet",IF(AND(ISNUMBER(M621),N(M621)&lt;&gt;0,W621=0),"Tax ignored (tax tracking off, or not allowed for this type)",IF(V621=K621&amp;"","Same account on both sides",IF(AND(ISNUMBER(StartDate),C621&lt;StartDate),"Date is before the accounting start date",IF(AND(D621&lt;&gt;"Adjustment",IFERROR(INDEX(coa_Pay,MATCH(K621&amp;"",coa_Name,0)),"")&lt;&gt;"Yes"),"Paid From / Deposited To is not a payment account","")))))))))))</f>
        <v/>
      </c>
      <c r="Z621" s="67">
        <f>IF(AND(T621=0,X621=""),1,0)</f>
        <v/>
      </c>
      <c r="AA621" s="68">
        <f>IF(Z621=1,IF(U621="In",L621,L621-W621),0)</f>
        <v/>
      </c>
      <c r="AB621" s="68">
        <f>IF(Z621=1,IF(U621="In",L621-W621,L621),0)</f>
        <v/>
      </c>
      <c r="AC621" s="68">
        <f>IF(AND(Z621=1,U621="Out"),W621,0)</f>
        <v/>
      </c>
      <c r="AD621" s="68">
        <f>IF(AND(Z621=1,U621="In"),W621,0)</f>
        <v/>
      </c>
    </row>
    <row r="622">
      <c r="B622" s="62" t="inlineStr">
        <is>
          <t>TX-0616</t>
        </is>
      </c>
      <c r="C622" s="63" t="n"/>
      <c r="D622" s="62" t="n"/>
      <c r="E622" s="62" t="n"/>
      <c r="F622" s="62" t="n"/>
      <c r="G622" s="62" t="n"/>
      <c r="H622" s="62" t="n"/>
      <c r="I622" s="62" t="n"/>
      <c r="J622" s="62" t="n"/>
      <c r="K622" s="62" t="n"/>
      <c r="L622" s="64" t="n"/>
      <c r="M622" s="64" t="n"/>
      <c r="N622" s="62" t="n"/>
      <c r="O622" s="65">
        <f>IF(Z622=1,L622-W622,"")</f>
        <v/>
      </c>
      <c r="P622" s="66">
        <f>IF(V622="","",IFERROR(INDEX(coa_Type,MATCH(V622,coa_Name,0)),""))</f>
        <v/>
      </c>
      <c r="Q622" s="66">
        <f>IF(Z622=1,IF(U622="In",K622&amp;"",V622),"")</f>
        <v/>
      </c>
      <c r="R622" s="66">
        <f>IF(Z622=1,IF(U622="In",V622,K622&amp;""),"")</f>
        <v/>
      </c>
      <c r="S622" s="66">
        <f>IF(X622&lt;&gt;"","⛔ "&amp;X622&amp;" — not posted",IF(Y622&lt;&gt;"","⚠ "&amp;Y622,IF(Z622=1,"✓ OK","")))</f>
        <v/>
      </c>
      <c r="T622" s="67">
        <f>IF(AND(C622="",D622="",E622="",L622="",K622=""),1,0)</f>
        <v/>
      </c>
      <c r="U622" s="67">
        <f>IFERROR(INDEX(tt_Dir,MATCH(D622,tt_Type,0)),"")</f>
        <v/>
      </c>
      <c r="V622" s="67">
        <f>IF(D622="","",IFERROR(IF(INDEX(tt_Other,MATCH(D622,tt_Type,0))="",E622&amp;"",INDEX(tt_Other,MATCH(D622,tt_Type,0))),""))</f>
        <v/>
      </c>
      <c r="W622" s="68">
        <f>IF(OR(TaxOn&lt;&gt;"Yes",NOT(ISNUMBER(M622))),0,IF(IFERROR(INDEX(tt_Tax,MATCH(D622,tt_Type,0)),"No")="Yes",M622,0))</f>
        <v/>
      </c>
      <c r="X622" s="67">
        <f>IF(T622=1,"",IF(C622="","Missing transaction date",IF(NOT(ISNUMBER(C622)),"Invalid date",IF(OR(C622&lt;DATE(2000,1,1),C622&gt;DATE(2099,12,31)),"Invalid date",IF(D622="","Select a type",IF(U622="","Unknown type: "&amp;D622,IF(V622="","Select an account (Category)",IF(ISNA(MATCH(V622,coa_Name,0)),"Unknown account: "&amp;V622,IF(K622="","Select Paid From / Deposited To",IF(ISNA(MATCH(K622,coa_Name,0)),"Unknown account: "&amp;K622,IF(NOT(ISNUMBER(L622)),"Enter an amount",IF(L622=0,"Enter an amount",IF(ABS(W622)&gt;ABS(L622),"Tax is larger than the amount","")))))))))))))</f>
        <v/>
      </c>
      <c r="Y622" s="67">
        <f>IF(OR(T622=1,X622&lt;&gt;""),"",IF(AND(B622&lt;&gt;"",COUNTIF(tx_ID,B622)&gt;1),"Duplicate transaction ID",IF(AND(L622&lt;0,D622&lt;&gt;"Adjustment"),"Negative amount — check this entry",IF(AND(D622="Customer Payment",G622=""),"Add the customer",IF(AND(D622="Customer Payment",OR(J622="",COUNTIF(ar_No,J622&amp;"")=0)),"Invoice # in Reference not found on AR sheet",IF(AND(D622="Bill Payment",H622=""),"Add the vendor",IF(AND(D622="Bill Payment",OR(J622="",COUNTIFS(ap_No,J622&amp;"",ap_Party,H622&amp;"")=0)),"Bill # + vendor not found on AP sheet",IF(AND(ISNUMBER(M622),N(M622)&lt;&gt;0,W622=0),"Tax ignored (tax tracking off, or not allowed for this type)",IF(V622=K622&amp;"","Same account on both sides",IF(AND(ISNUMBER(StartDate),C622&lt;StartDate),"Date is before the accounting start date",IF(AND(D622&lt;&gt;"Adjustment",IFERROR(INDEX(coa_Pay,MATCH(K622&amp;"",coa_Name,0)),"")&lt;&gt;"Yes"),"Paid From / Deposited To is not a payment account","")))))))))))</f>
        <v/>
      </c>
      <c r="Z622" s="67">
        <f>IF(AND(T622=0,X622=""),1,0)</f>
        <v/>
      </c>
      <c r="AA622" s="68">
        <f>IF(Z622=1,IF(U622="In",L622,L622-W622),0)</f>
        <v/>
      </c>
      <c r="AB622" s="68">
        <f>IF(Z622=1,IF(U622="In",L622-W622,L622),0)</f>
        <v/>
      </c>
      <c r="AC622" s="68">
        <f>IF(AND(Z622=1,U622="Out"),W622,0)</f>
        <v/>
      </c>
      <c r="AD622" s="68">
        <f>IF(AND(Z622=1,U622="In"),W622,0)</f>
        <v/>
      </c>
    </row>
    <row r="623">
      <c r="B623" s="62" t="inlineStr">
        <is>
          <t>TX-0617</t>
        </is>
      </c>
      <c r="C623" s="63" t="n"/>
      <c r="D623" s="62" t="n"/>
      <c r="E623" s="62" t="n"/>
      <c r="F623" s="62" t="n"/>
      <c r="G623" s="62" t="n"/>
      <c r="H623" s="62" t="n"/>
      <c r="I623" s="62" t="n"/>
      <c r="J623" s="62" t="n"/>
      <c r="K623" s="62" t="n"/>
      <c r="L623" s="64" t="n"/>
      <c r="M623" s="64" t="n"/>
      <c r="N623" s="62" t="n"/>
      <c r="O623" s="65">
        <f>IF(Z623=1,L623-W623,"")</f>
        <v/>
      </c>
      <c r="P623" s="66">
        <f>IF(V623="","",IFERROR(INDEX(coa_Type,MATCH(V623,coa_Name,0)),""))</f>
        <v/>
      </c>
      <c r="Q623" s="66">
        <f>IF(Z623=1,IF(U623="In",K623&amp;"",V623),"")</f>
        <v/>
      </c>
      <c r="R623" s="66">
        <f>IF(Z623=1,IF(U623="In",V623,K623&amp;""),"")</f>
        <v/>
      </c>
      <c r="S623" s="66">
        <f>IF(X623&lt;&gt;"","⛔ "&amp;X623&amp;" — not posted",IF(Y623&lt;&gt;"","⚠ "&amp;Y623,IF(Z623=1,"✓ OK","")))</f>
        <v/>
      </c>
      <c r="T623" s="67">
        <f>IF(AND(C623="",D623="",E623="",L623="",K623=""),1,0)</f>
        <v/>
      </c>
      <c r="U623" s="67">
        <f>IFERROR(INDEX(tt_Dir,MATCH(D623,tt_Type,0)),"")</f>
        <v/>
      </c>
      <c r="V623" s="67">
        <f>IF(D623="","",IFERROR(IF(INDEX(tt_Other,MATCH(D623,tt_Type,0))="",E623&amp;"",INDEX(tt_Other,MATCH(D623,tt_Type,0))),""))</f>
        <v/>
      </c>
      <c r="W623" s="68">
        <f>IF(OR(TaxOn&lt;&gt;"Yes",NOT(ISNUMBER(M623))),0,IF(IFERROR(INDEX(tt_Tax,MATCH(D623,tt_Type,0)),"No")="Yes",M623,0))</f>
        <v/>
      </c>
      <c r="X623" s="67">
        <f>IF(T623=1,"",IF(C623="","Missing transaction date",IF(NOT(ISNUMBER(C623)),"Invalid date",IF(OR(C623&lt;DATE(2000,1,1),C623&gt;DATE(2099,12,31)),"Invalid date",IF(D623="","Select a type",IF(U623="","Unknown type: "&amp;D623,IF(V623="","Select an account (Category)",IF(ISNA(MATCH(V623,coa_Name,0)),"Unknown account: "&amp;V623,IF(K623="","Select Paid From / Deposited To",IF(ISNA(MATCH(K623,coa_Name,0)),"Unknown account: "&amp;K623,IF(NOT(ISNUMBER(L623)),"Enter an amount",IF(L623=0,"Enter an amount",IF(ABS(W623)&gt;ABS(L623),"Tax is larger than the amount","")))))))))))))</f>
        <v/>
      </c>
      <c r="Y623" s="67">
        <f>IF(OR(T623=1,X623&lt;&gt;""),"",IF(AND(B623&lt;&gt;"",COUNTIF(tx_ID,B623)&gt;1),"Duplicate transaction ID",IF(AND(L623&lt;0,D623&lt;&gt;"Adjustment"),"Negative amount — check this entry",IF(AND(D623="Customer Payment",G623=""),"Add the customer",IF(AND(D623="Customer Payment",OR(J623="",COUNTIF(ar_No,J623&amp;"")=0)),"Invoice # in Reference not found on AR sheet",IF(AND(D623="Bill Payment",H623=""),"Add the vendor",IF(AND(D623="Bill Payment",OR(J623="",COUNTIFS(ap_No,J623&amp;"",ap_Party,H623&amp;"")=0)),"Bill # + vendor not found on AP sheet",IF(AND(ISNUMBER(M623),N(M623)&lt;&gt;0,W623=0),"Tax ignored (tax tracking off, or not allowed for this type)",IF(V623=K623&amp;"","Same account on both sides",IF(AND(ISNUMBER(StartDate),C623&lt;StartDate),"Date is before the accounting start date",IF(AND(D623&lt;&gt;"Adjustment",IFERROR(INDEX(coa_Pay,MATCH(K623&amp;"",coa_Name,0)),"")&lt;&gt;"Yes"),"Paid From / Deposited To is not a payment account","")))))))))))</f>
        <v/>
      </c>
      <c r="Z623" s="67">
        <f>IF(AND(T623=0,X623=""),1,0)</f>
        <v/>
      </c>
      <c r="AA623" s="68">
        <f>IF(Z623=1,IF(U623="In",L623,L623-W623),0)</f>
        <v/>
      </c>
      <c r="AB623" s="68">
        <f>IF(Z623=1,IF(U623="In",L623-W623,L623),0)</f>
        <v/>
      </c>
      <c r="AC623" s="68">
        <f>IF(AND(Z623=1,U623="Out"),W623,0)</f>
        <v/>
      </c>
      <c r="AD623" s="68">
        <f>IF(AND(Z623=1,U623="In"),W623,0)</f>
        <v/>
      </c>
    </row>
    <row r="624">
      <c r="B624" s="62" t="inlineStr">
        <is>
          <t>TX-0618</t>
        </is>
      </c>
      <c r="C624" s="63" t="n"/>
      <c r="D624" s="62" t="n"/>
      <c r="E624" s="62" t="n"/>
      <c r="F624" s="62" t="n"/>
      <c r="G624" s="62" t="n"/>
      <c r="H624" s="62" t="n"/>
      <c r="I624" s="62" t="n"/>
      <c r="J624" s="62" t="n"/>
      <c r="K624" s="62" t="n"/>
      <c r="L624" s="64" t="n"/>
      <c r="M624" s="64" t="n"/>
      <c r="N624" s="62" t="n"/>
      <c r="O624" s="65">
        <f>IF(Z624=1,L624-W624,"")</f>
        <v/>
      </c>
      <c r="P624" s="66">
        <f>IF(V624="","",IFERROR(INDEX(coa_Type,MATCH(V624,coa_Name,0)),""))</f>
        <v/>
      </c>
      <c r="Q624" s="66">
        <f>IF(Z624=1,IF(U624="In",K624&amp;"",V624),"")</f>
        <v/>
      </c>
      <c r="R624" s="66">
        <f>IF(Z624=1,IF(U624="In",V624,K624&amp;""),"")</f>
        <v/>
      </c>
      <c r="S624" s="66">
        <f>IF(X624&lt;&gt;"","⛔ "&amp;X624&amp;" — not posted",IF(Y624&lt;&gt;"","⚠ "&amp;Y624,IF(Z624=1,"✓ OK","")))</f>
        <v/>
      </c>
      <c r="T624" s="67">
        <f>IF(AND(C624="",D624="",E624="",L624="",K624=""),1,0)</f>
        <v/>
      </c>
      <c r="U624" s="67">
        <f>IFERROR(INDEX(tt_Dir,MATCH(D624,tt_Type,0)),"")</f>
        <v/>
      </c>
      <c r="V624" s="67">
        <f>IF(D624="","",IFERROR(IF(INDEX(tt_Other,MATCH(D624,tt_Type,0))="",E624&amp;"",INDEX(tt_Other,MATCH(D624,tt_Type,0))),""))</f>
        <v/>
      </c>
      <c r="W624" s="68">
        <f>IF(OR(TaxOn&lt;&gt;"Yes",NOT(ISNUMBER(M624))),0,IF(IFERROR(INDEX(tt_Tax,MATCH(D624,tt_Type,0)),"No")="Yes",M624,0))</f>
        <v/>
      </c>
      <c r="X624" s="67">
        <f>IF(T624=1,"",IF(C624="","Missing transaction date",IF(NOT(ISNUMBER(C624)),"Invalid date",IF(OR(C624&lt;DATE(2000,1,1),C624&gt;DATE(2099,12,31)),"Invalid date",IF(D624="","Select a type",IF(U624="","Unknown type: "&amp;D624,IF(V624="","Select an account (Category)",IF(ISNA(MATCH(V624,coa_Name,0)),"Unknown account: "&amp;V624,IF(K624="","Select Paid From / Deposited To",IF(ISNA(MATCH(K624,coa_Name,0)),"Unknown account: "&amp;K624,IF(NOT(ISNUMBER(L624)),"Enter an amount",IF(L624=0,"Enter an amount",IF(ABS(W624)&gt;ABS(L624),"Tax is larger than the amount","")))))))))))))</f>
        <v/>
      </c>
      <c r="Y624" s="67">
        <f>IF(OR(T624=1,X624&lt;&gt;""),"",IF(AND(B624&lt;&gt;"",COUNTIF(tx_ID,B624)&gt;1),"Duplicate transaction ID",IF(AND(L624&lt;0,D624&lt;&gt;"Adjustment"),"Negative amount — check this entry",IF(AND(D624="Customer Payment",G624=""),"Add the customer",IF(AND(D624="Customer Payment",OR(J624="",COUNTIF(ar_No,J624&amp;"")=0)),"Invoice # in Reference not found on AR sheet",IF(AND(D624="Bill Payment",H624=""),"Add the vendor",IF(AND(D624="Bill Payment",OR(J624="",COUNTIFS(ap_No,J624&amp;"",ap_Party,H624&amp;"")=0)),"Bill # + vendor not found on AP sheet",IF(AND(ISNUMBER(M624),N(M624)&lt;&gt;0,W624=0),"Tax ignored (tax tracking off, or not allowed for this type)",IF(V624=K624&amp;"","Same account on both sides",IF(AND(ISNUMBER(StartDate),C624&lt;StartDate),"Date is before the accounting start date",IF(AND(D624&lt;&gt;"Adjustment",IFERROR(INDEX(coa_Pay,MATCH(K624&amp;"",coa_Name,0)),"")&lt;&gt;"Yes"),"Paid From / Deposited To is not a payment account","")))))))))))</f>
        <v/>
      </c>
      <c r="Z624" s="67">
        <f>IF(AND(T624=0,X624=""),1,0)</f>
        <v/>
      </c>
      <c r="AA624" s="68">
        <f>IF(Z624=1,IF(U624="In",L624,L624-W624),0)</f>
        <v/>
      </c>
      <c r="AB624" s="68">
        <f>IF(Z624=1,IF(U624="In",L624-W624,L624),0)</f>
        <v/>
      </c>
      <c r="AC624" s="68">
        <f>IF(AND(Z624=1,U624="Out"),W624,0)</f>
        <v/>
      </c>
      <c r="AD624" s="68">
        <f>IF(AND(Z624=1,U624="In"),W624,0)</f>
        <v/>
      </c>
    </row>
    <row r="625">
      <c r="B625" s="62" t="inlineStr">
        <is>
          <t>TX-0619</t>
        </is>
      </c>
      <c r="C625" s="63" t="n"/>
      <c r="D625" s="62" t="n"/>
      <c r="E625" s="62" t="n"/>
      <c r="F625" s="62" t="n"/>
      <c r="G625" s="62" t="n"/>
      <c r="H625" s="62" t="n"/>
      <c r="I625" s="62" t="n"/>
      <c r="J625" s="62" t="n"/>
      <c r="K625" s="62" t="n"/>
      <c r="L625" s="64" t="n"/>
      <c r="M625" s="64" t="n"/>
      <c r="N625" s="62" t="n"/>
      <c r="O625" s="65">
        <f>IF(Z625=1,L625-W625,"")</f>
        <v/>
      </c>
      <c r="P625" s="66">
        <f>IF(V625="","",IFERROR(INDEX(coa_Type,MATCH(V625,coa_Name,0)),""))</f>
        <v/>
      </c>
      <c r="Q625" s="66">
        <f>IF(Z625=1,IF(U625="In",K625&amp;"",V625),"")</f>
        <v/>
      </c>
      <c r="R625" s="66">
        <f>IF(Z625=1,IF(U625="In",V625,K625&amp;""),"")</f>
        <v/>
      </c>
      <c r="S625" s="66">
        <f>IF(X625&lt;&gt;"","⛔ "&amp;X625&amp;" — not posted",IF(Y625&lt;&gt;"","⚠ "&amp;Y625,IF(Z625=1,"✓ OK","")))</f>
        <v/>
      </c>
      <c r="T625" s="67">
        <f>IF(AND(C625="",D625="",E625="",L625="",K625=""),1,0)</f>
        <v/>
      </c>
      <c r="U625" s="67">
        <f>IFERROR(INDEX(tt_Dir,MATCH(D625,tt_Type,0)),"")</f>
        <v/>
      </c>
      <c r="V625" s="67">
        <f>IF(D625="","",IFERROR(IF(INDEX(tt_Other,MATCH(D625,tt_Type,0))="",E625&amp;"",INDEX(tt_Other,MATCH(D625,tt_Type,0))),""))</f>
        <v/>
      </c>
      <c r="W625" s="68">
        <f>IF(OR(TaxOn&lt;&gt;"Yes",NOT(ISNUMBER(M625))),0,IF(IFERROR(INDEX(tt_Tax,MATCH(D625,tt_Type,0)),"No")="Yes",M625,0))</f>
        <v/>
      </c>
      <c r="X625" s="67">
        <f>IF(T625=1,"",IF(C625="","Missing transaction date",IF(NOT(ISNUMBER(C625)),"Invalid date",IF(OR(C625&lt;DATE(2000,1,1),C625&gt;DATE(2099,12,31)),"Invalid date",IF(D625="","Select a type",IF(U625="","Unknown type: "&amp;D625,IF(V625="","Select an account (Category)",IF(ISNA(MATCH(V625,coa_Name,0)),"Unknown account: "&amp;V625,IF(K625="","Select Paid From / Deposited To",IF(ISNA(MATCH(K625,coa_Name,0)),"Unknown account: "&amp;K625,IF(NOT(ISNUMBER(L625)),"Enter an amount",IF(L625=0,"Enter an amount",IF(ABS(W625)&gt;ABS(L625),"Tax is larger than the amount","")))))))))))))</f>
        <v/>
      </c>
      <c r="Y625" s="67">
        <f>IF(OR(T625=1,X625&lt;&gt;""),"",IF(AND(B625&lt;&gt;"",COUNTIF(tx_ID,B625)&gt;1),"Duplicate transaction ID",IF(AND(L625&lt;0,D625&lt;&gt;"Adjustment"),"Negative amount — check this entry",IF(AND(D625="Customer Payment",G625=""),"Add the customer",IF(AND(D625="Customer Payment",OR(J625="",COUNTIF(ar_No,J625&amp;"")=0)),"Invoice # in Reference not found on AR sheet",IF(AND(D625="Bill Payment",H625=""),"Add the vendor",IF(AND(D625="Bill Payment",OR(J625="",COUNTIFS(ap_No,J625&amp;"",ap_Party,H625&amp;"")=0)),"Bill # + vendor not found on AP sheet",IF(AND(ISNUMBER(M625),N(M625)&lt;&gt;0,W625=0),"Tax ignored (tax tracking off, or not allowed for this type)",IF(V625=K625&amp;"","Same account on both sides",IF(AND(ISNUMBER(StartDate),C625&lt;StartDate),"Date is before the accounting start date",IF(AND(D625&lt;&gt;"Adjustment",IFERROR(INDEX(coa_Pay,MATCH(K625&amp;"",coa_Name,0)),"")&lt;&gt;"Yes"),"Paid From / Deposited To is not a payment account","")))))))))))</f>
        <v/>
      </c>
      <c r="Z625" s="67">
        <f>IF(AND(T625=0,X625=""),1,0)</f>
        <v/>
      </c>
      <c r="AA625" s="68">
        <f>IF(Z625=1,IF(U625="In",L625,L625-W625),0)</f>
        <v/>
      </c>
      <c r="AB625" s="68">
        <f>IF(Z625=1,IF(U625="In",L625-W625,L625),0)</f>
        <v/>
      </c>
      <c r="AC625" s="68">
        <f>IF(AND(Z625=1,U625="Out"),W625,0)</f>
        <v/>
      </c>
      <c r="AD625" s="68">
        <f>IF(AND(Z625=1,U625="In"),W625,0)</f>
        <v/>
      </c>
    </row>
    <row r="626">
      <c r="B626" s="62" t="inlineStr">
        <is>
          <t>TX-0620</t>
        </is>
      </c>
      <c r="C626" s="63" t="n"/>
      <c r="D626" s="62" t="n"/>
      <c r="E626" s="62" t="n"/>
      <c r="F626" s="62" t="n"/>
      <c r="G626" s="62" t="n"/>
      <c r="H626" s="62" t="n"/>
      <c r="I626" s="62" t="n"/>
      <c r="J626" s="62" t="n"/>
      <c r="K626" s="62" t="n"/>
      <c r="L626" s="64" t="n"/>
      <c r="M626" s="64" t="n"/>
      <c r="N626" s="62" t="n"/>
      <c r="O626" s="65">
        <f>IF(Z626=1,L626-W626,"")</f>
        <v/>
      </c>
      <c r="P626" s="66">
        <f>IF(V626="","",IFERROR(INDEX(coa_Type,MATCH(V626,coa_Name,0)),""))</f>
        <v/>
      </c>
      <c r="Q626" s="66">
        <f>IF(Z626=1,IF(U626="In",K626&amp;"",V626),"")</f>
        <v/>
      </c>
      <c r="R626" s="66">
        <f>IF(Z626=1,IF(U626="In",V626,K626&amp;""),"")</f>
        <v/>
      </c>
      <c r="S626" s="66">
        <f>IF(X626&lt;&gt;"","⛔ "&amp;X626&amp;" — not posted",IF(Y626&lt;&gt;"","⚠ "&amp;Y626,IF(Z626=1,"✓ OK","")))</f>
        <v/>
      </c>
      <c r="T626" s="67">
        <f>IF(AND(C626="",D626="",E626="",L626="",K626=""),1,0)</f>
        <v/>
      </c>
      <c r="U626" s="67">
        <f>IFERROR(INDEX(tt_Dir,MATCH(D626,tt_Type,0)),"")</f>
        <v/>
      </c>
      <c r="V626" s="67">
        <f>IF(D626="","",IFERROR(IF(INDEX(tt_Other,MATCH(D626,tt_Type,0))="",E626&amp;"",INDEX(tt_Other,MATCH(D626,tt_Type,0))),""))</f>
        <v/>
      </c>
      <c r="W626" s="68">
        <f>IF(OR(TaxOn&lt;&gt;"Yes",NOT(ISNUMBER(M626))),0,IF(IFERROR(INDEX(tt_Tax,MATCH(D626,tt_Type,0)),"No")="Yes",M626,0))</f>
        <v/>
      </c>
      <c r="X626" s="67">
        <f>IF(T626=1,"",IF(C626="","Missing transaction date",IF(NOT(ISNUMBER(C626)),"Invalid date",IF(OR(C626&lt;DATE(2000,1,1),C626&gt;DATE(2099,12,31)),"Invalid date",IF(D626="","Select a type",IF(U626="","Unknown type: "&amp;D626,IF(V626="","Select an account (Category)",IF(ISNA(MATCH(V626,coa_Name,0)),"Unknown account: "&amp;V626,IF(K626="","Select Paid From / Deposited To",IF(ISNA(MATCH(K626,coa_Name,0)),"Unknown account: "&amp;K626,IF(NOT(ISNUMBER(L626)),"Enter an amount",IF(L626=0,"Enter an amount",IF(ABS(W626)&gt;ABS(L626),"Tax is larger than the amount","")))))))))))))</f>
        <v/>
      </c>
      <c r="Y626" s="67">
        <f>IF(OR(T626=1,X626&lt;&gt;""),"",IF(AND(B626&lt;&gt;"",COUNTIF(tx_ID,B626)&gt;1),"Duplicate transaction ID",IF(AND(L626&lt;0,D626&lt;&gt;"Adjustment"),"Negative amount — check this entry",IF(AND(D626="Customer Payment",G626=""),"Add the customer",IF(AND(D626="Customer Payment",OR(J626="",COUNTIF(ar_No,J626&amp;"")=0)),"Invoice # in Reference not found on AR sheet",IF(AND(D626="Bill Payment",H626=""),"Add the vendor",IF(AND(D626="Bill Payment",OR(J626="",COUNTIFS(ap_No,J626&amp;"",ap_Party,H626&amp;"")=0)),"Bill # + vendor not found on AP sheet",IF(AND(ISNUMBER(M626),N(M626)&lt;&gt;0,W626=0),"Tax ignored (tax tracking off, or not allowed for this type)",IF(V626=K626&amp;"","Same account on both sides",IF(AND(ISNUMBER(StartDate),C626&lt;StartDate),"Date is before the accounting start date",IF(AND(D626&lt;&gt;"Adjustment",IFERROR(INDEX(coa_Pay,MATCH(K626&amp;"",coa_Name,0)),"")&lt;&gt;"Yes"),"Paid From / Deposited To is not a payment account","")))))))))))</f>
        <v/>
      </c>
      <c r="Z626" s="67">
        <f>IF(AND(T626=0,X626=""),1,0)</f>
        <v/>
      </c>
      <c r="AA626" s="68">
        <f>IF(Z626=1,IF(U626="In",L626,L626-W626),0)</f>
        <v/>
      </c>
      <c r="AB626" s="68">
        <f>IF(Z626=1,IF(U626="In",L626-W626,L626),0)</f>
        <v/>
      </c>
      <c r="AC626" s="68">
        <f>IF(AND(Z626=1,U626="Out"),W626,0)</f>
        <v/>
      </c>
      <c r="AD626" s="68">
        <f>IF(AND(Z626=1,U626="In"),W626,0)</f>
        <v/>
      </c>
    </row>
    <row r="627">
      <c r="B627" s="62" t="inlineStr">
        <is>
          <t>TX-0621</t>
        </is>
      </c>
      <c r="C627" s="63" t="n"/>
      <c r="D627" s="62" t="n"/>
      <c r="E627" s="62" t="n"/>
      <c r="F627" s="62" t="n"/>
      <c r="G627" s="62" t="n"/>
      <c r="H627" s="62" t="n"/>
      <c r="I627" s="62" t="n"/>
      <c r="J627" s="62" t="n"/>
      <c r="K627" s="62" t="n"/>
      <c r="L627" s="64" t="n"/>
      <c r="M627" s="64" t="n"/>
      <c r="N627" s="62" t="n"/>
      <c r="O627" s="65">
        <f>IF(Z627=1,L627-W627,"")</f>
        <v/>
      </c>
      <c r="P627" s="66">
        <f>IF(V627="","",IFERROR(INDEX(coa_Type,MATCH(V627,coa_Name,0)),""))</f>
        <v/>
      </c>
      <c r="Q627" s="66">
        <f>IF(Z627=1,IF(U627="In",K627&amp;"",V627),"")</f>
        <v/>
      </c>
      <c r="R627" s="66">
        <f>IF(Z627=1,IF(U627="In",V627,K627&amp;""),"")</f>
        <v/>
      </c>
      <c r="S627" s="66">
        <f>IF(X627&lt;&gt;"","⛔ "&amp;X627&amp;" — not posted",IF(Y627&lt;&gt;"","⚠ "&amp;Y627,IF(Z627=1,"✓ OK","")))</f>
        <v/>
      </c>
      <c r="T627" s="67">
        <f>IF(AND(C627="",D627="",E627="",L627="",K627=""),1,0)</f>
        <v/>
      </c>
      <c r="U627" s="67">
        <f>IFERROR(INDEX(tt_Dir,MATCH(D627,tt_Type,0)),"")</f>
        <v/>
      </c>
      <c r="V627" s="67">
        <f>IF(D627="","",IFERROR(IF(INDEX(tt_Other,MATCH(D627,tt_Type,0))="",E627&amp;"",INDEX(tt_Other,MATCH(D627,tt_Type,0))),""))</f>
        <v/>
      </c>
      <c r="W627" s="68">
        <f>IF(OR(TaxOn&lt;&gt;"Yes",NOT(ISNUMBER(M627))),0,IF(IFERROR(INDEX(tt_Tax,MATCH(D627,tt_Type,0)),"No")="Yes",M627,0))</f>
        <v/>
      </c>
      <c r="X627" s="67">
        <f>IF(T627=1,"",IF(C627="","Missing transaction date",IF(NOT(ISNUMBER(C627)),"Invalid date",IF(OR(C627&lt;DATE(2000,1,1),C627&gt;DATE(2099,12,31)),"Invalid date",IF(D627="","Select a type",IF(U627="","Unknown type: "&amp;D627,IF(V627="","Select an account (Category)",IF(ISNA(MATCH(V627,coa_Name,0)),"Unknown account: "&amp;V627,IF(K627="","Select Paid From / Deposited To",IF(ISNA(MATCH(K627,coa_Name,0)),"Unknown account: "&amp;K627,IF(NOT(ISNUMBER(L627)),"Enter an amount",IF(L627=0,"Enter an amount",IF(ABS(W627)&gt;ABS(L627),"Tax is larger than the amount","")))))))))))))</f>
        <v/>
      </c>
      <c r="Y627" s="67">
        <f>IF(OR(T627=1,X627&lt;&gt;""),"",IF(AND(B627&lt;&gt;"",COUNTIF(tx_ID,B627)&gt;1),"Duplicate transaction ID",IF(AND(L627&lt;0,D627&lt;&gt;"Adjustment"),"Negative amount — check this entry",IF(AND(D627="Customer Payment",G627=""),"Add the customer",IF(AND(D627="Customer Payment",OR(J627="",COUNTIF(ar_No,J627&amp;"")=0)),"Invoice # in Reference not found on AR sheet",IF(AND(D627="Bill Payment",H627=""),"Add the vendor",IF(AND(D627="Bill Payment",OR(J627="",COUNTIFS(ap_No,J627&amp;"",ap_Party,H627&amp;"")=0)),"Bill # + vendor not found on AP sheet",IF(AND(ISNUMBER(M627),N(M627)&lt;&gt;0,W627=0),"Tax ignored (tax tracking off, or not allowed for this type)",IF(V627=K627&amp;"","Same account on both sides",IF(AND(ISNUMBER(StartDate),C627&lt;StartDate),"Date is before the accounting start date",IF(AND(D627&lt;&gt;"Adjustment",IFERROR(INDEX(coa_Pay,MATCH(K627&amp;"",coa_Name,0)),"")&lt;&gt;"Yes"),"Paid From / Deposited To is not a payment account","")))))))))))</f>
        <v/>
      </c>
      <c r="Z627" s="67">
        <f>IF(AND(T627=0,X627=""),1,0)</f>
        <v/>
      </c>
      <c r="AA627" s="68">
        <f>IF(Z627=1,IF(U627="In",L627,L627-W627),0)</f>
        <v/>
      </c>
      <c r="AB627" s="68">
        <f>IF(Z627=1,IF(U627="In",L627-W627,L627),0)</f>
        <v/>
      </c>
      <c r="AC627" s="68">
        <f>IF(AND(Z627=1,U627="Out"),W627,0)</f>
        <v/>
      </c>
      <c r="AD627" s="68">
        <f>IF(AND(Z627=1,U627="In"),W627,0)</f>
        <v/>
      </c>
    </row>
    <row r="628">
      <c r="B628" s="62" t="inlineStr">
        <is>
          <t>TX-0622</t>
        </is>
      </c>
      <c r="C628" s="63" t="n"/>
      <c r="D628" s="62" t="n"/>
      <c r="E628" s="62" t="n"/>
      <c r="F628" s="62" t="n"/>
      <c r="G628" s="62" t="n"/>
      <c r="H628" s="62" t="n"/>
      <c r="I628" s="62" t="n"/>
      <c r="J628" s="62" t="n"/>
      <c r="K628" s="62" t="n"/>
      <c r="L628" s="64" t="n"/>
      <c r="M628" s="64" t="n"/>
      <c r="N628" s="62" t="n"/>
      <c r="O628" s="65">
        <f>IF(Z628=1,L628-W628,"")</f>
        <v/>
      </c>
      <c r="P628" s="66">
        <f>IF(V628="","",IFERROR(INDEX(coa_Type,MATCH(V628,coa_Name,0)),""))</f>
        <v/>
      </c>
      <c r="Q628" s="66">
        <f>IF(Z628=1,IF(U628="In",K628&amp;"",V628),"")</f>
        <v/>
      </c>
      <c r="R628" s="66">
        <f>IF(Z628=1,IF(U628="In",V628,K628&amp;""),"")</f>
        <v/>
      </c>
      <c r="S628" s="66">
        <f>IF(X628&lt;&gt;"","⛔ "&amp;X628&amp;" — not posted",IF(Y628&lt;&gt;"","⚠ "&amp;Y628,IF(Z628=1,"✓ OK","")))</f>
        <v/>
      </c>
      <c r="T628" s="67">
        <f>IF(AND(C628="",D628="",E628="",L628="",K628=""),1,0)</f>
        <v/>
      </c>
      <c r="U628" s="67">
        <f>IFERROR(INDEX(tt_Dir,MATCH(D628,tt_Type,0)),"")</f>
        <v/>
      </c>
      <c r="V628" s="67">
        <f>IF(D628="","",IFERROR(IF(INDEX(tt_Other,MATCH(D628,tt_Type,0))="",E628&amp;"",INDEX(tt_Other,MATCH(D628,tt_Type,0))),""))</f>
        <v/>
      </c>
      <c r="W628" s="68">
        <f>IF(OR(TaxOn&lt;&gt;"Yes",NOT(ISNUMBER(M628))),0,IF(IFERROR(INDEX(tt_Tax,MATCH(D628,tt_Type,0)),"No")="Yes",M628,0))</f>
        <v/>
      </c>
      <c r="X628" s="67">
        <f>IF(T628=1,"",IF(C628="","Missing transaction date",IF(NOT(ISNUMBER(C628)),"Invalid date",IF(OR(C628&lt;DATE(2000,1,1),C628&gt;DATE(2099,12,31)),"Invalid date",IF(D628="","Select a type",IF(U628="","Unknown type: "&amp;D628,IF(V628="","Select an account (Category)",IF(ISNA(MATCH(V628,coa_Name,0)),"Unknown account: "&amp;V628,IF(K628="","Select Paid From / Deposited To",IF(ISNA(MATCH(K628,coa_Name,0)),"Unknown account: "&amp;K628,IF(NOT(ISNUMBER(L628)),"Enter an amount",IF(L628=0,"Enter an amount",IF(ABS(W628)&gt;ABS(L628),"Tax is larger than the amount","")))))))))))))</f>
        <v/>
      </c>
      <c r="Y628" s="67">
        <f>IF(OR(T628=1,X628&lt;&gt;""),"",IF(AND(B628&lt;&gt;"",COUNTIF(tx_ID,B628)&gt;1),"Duplicate transaction ID",IF(AND(L628&lt;0,D628&lt;&gt;"Adjustment"),"Negative amount — check this entry",IF(AND(D628="Customer Payment",G628=""),"Add the customer",IF(AND(D628="Customer Payment",OR(J628="",COUNTIF(ar_No,J628&amp;"")=0)),"Invoice # in Reference not found on AR sheet",IF(AND(D628="Bill Payment",H628=""),"Add the vendor",IF(AND(D628="Bill Payment",OR(J628="",COUNTIFS(ap_No,J628&amp;"",ap_Party,H628&amp;"")=0)),"Bill # + vendor not found on AP sheet",IF(AND(ISNUMBER(M628),N(M628)&lt;&gt;0,W628=0),"Tax ignored (tax tracking off, or not allowed for this type)",IF(V628=K628&amp;"","Same account on both sides",IF(AND(ISNUMBER(StartDate),C628&lt;StartDate),"Date is before the accounting start date",IF(AND(D628&lt;&gt;"Adjustment",IFERROR(INDEX(coa_Pay,MATCH(K628&amp;"",coa_Name,0)),"")&lt;&gt;"Yes"),"Paid From / Deposited To is not a payment account","")))))))))))</f>
        <v/>
      </c>
      <c r="Z628" s="67">
        <f>IF(AND(T628=0,X628=""),1,0)</f>
        <v/>
      </c>
      <c r="AA628" s="68">
        <f>IF(Z628=1,IF(U628="In",L628,L628-W628),0)</f>
        <v/>
      </c>
      <c r="AB628" s="68">
        <f>IF(Z628=1,IF(U628="In",L628-W628,L628),0)</f>
        <v/>
      </c>
      <c r="AC628" s="68">
        <f>IF(AND(Z628=1,U628="Out"),W628,0)</f>
        <v/>
      </c>
      <c r="AD628" s="68">
        <f>IF(AND(Z628=1,U628="In"),W628,0)</f>
        <v/>
      </c>
    </row>
    <row r="629">
      <c r="B629" s="62" t="inlineStr">
        <is>
          <t>TX-0623</t>
        </is>
      </c>
      <c r="C629" s="63" t="n"/>
      <c r="D629" s="62" t="n"/>
      <c r="E629" s="62" t="n"/>
      <c r="F629" s="62" t="n"/>
      <c r="G629" s="62" t="n"/>
      <c r="H629" s="62" t="n"/>
      <c r="I629" s="62" t="n"/>
      <c r="J629" s="62" t="n"/>
      <c r="K629" s="62" t="n"/>
      <c r="L629" s="64" t="n"/>
      <c r="M629" s="64" t="n"/>
      <c r="N629" s="62" t="n"/>
      <c r="O629" s="65">
        <f>IF(Z629=1,L629-W629,"")</f>
        <v/>
      </c>
      <c r="P629" s="66">
        <f>IF(V629="","",IFERROR(INDEX(coa_Type,MATCH(V629,coa_Name,0)),""))</f>
        <v/>
      </c>
      <c r="Q629" s="66">
        <f>IF(Z629=1,IF(U629="In",K629&amp;"",V629),"")</f>
        <v/>
      </c>
      <c r="R629" s="66">
        <f>IF(Z629=1,IF(U629="In",V629,K629&amp;""),"")</f>
        <v/>
      </c>
      <c r="S629" s="66">
        <f>IF(X629&lt;&gt;"","⛔ "&amp;X629&amp;" — not posted",IF(Y629&lt;&gt;"","⚠ "&amp;Y629,IF(Z629=1,"✓ OK","")))</f>
        <v/>
      </c>
      <c r="T629" s="67">
        <f>IF(AND(C629="",D629="",E629="",L629="",K629=""),1,0)</f>
        <v/>
      </c>
      <c r="U629" s="67">
        <f>IFERROR(INDEX(tt_Dir,MATCH(D629,tt_Type,0)),"")</f>
        <v/>
      </c>
      <c r="V629" s="67">
        <f>IF(D629="","",IFERROR(IF(INDEX(tt_Other,MATCH(D629,tt_Type,0))="",E629&amp;"",INDEX(tt_Other,MATCH(D629,tt_Type,0))),""))</f>
        <v/>
      </c>
      <c r="W629" s="68">
        <f>IF(OR(TaxOn&lt;&gt;"Yes",NOT(ISNUMBER(M629))),0,IF(IFERROR(INDEX(tt_Tax,MATCH(D629,tt_Type,0)),"No")="Yes",M629,0))</f>
        <v/>
      </c>
      <c r="X629" s="67">
        <f>IF(T629=1,"",IF(C629="","Missing transaction date",IF(NOT(ISNUMBER(C629)),"Invalid date",IF(OR(C629&lt;DATE(2000,1,1),C629&gt;DATE(2099,12,31)),"Invalid date",IF(D629="","Select a type",IF(U629="","Unknown type: "&amp;D629,IF(V629="","Select an account (Category)",IF(ISNA(MATCH(V629,coa_Name,0)),"Unknown account: "&amp;V629,IF(K629="","Select Paid From / Deposited To",IF(ISNA(MATCH(K629,coa_Name,0)),"Unknown account: "&amp;K629,IF(NOT(ISNUMBER(L629)),"Enter an amount",IF(L629=0,"Enter an amount",IF(ABS(W629)&gt;ABS(L629),"Tax is larger than the amount","")))))))))))))</f>
        <v/>
      </c>
      <c r="Y629" s="67">
        <f>IF(OR(T629=1,X629&lt;&gt;""),"",IF(AND(B629&lt;&gt;"",COUNTIF(tx_ID,B629)&gt;1),"Duplicate transaction ID",IF(AND(L629&lt;0,D629&lt;&gt;"Adjustment"),"Negative amount — check this entry",IF(AND(D629="Customer Payment",G629=""),"Add the customer",IF(AND(D629="Customer Payment",OR(J629="",COUNTIF(ar_No,J629&amp;"")=0)),"Invoice # in Reference not found on AR sheet",IF(AND(D629="Bill Payment",H629=""),"Add the vendor",IF(AND(D629="Bill Payment",OR(J629="",COUNTIFS(ap_No,J629&amp;"",ap_Party,H629&amp;"")=0)),"Bill # + vendor not found on AP sheet",IF(AND(ISNUMBER(M629),N(M629)&lt;&gt;0,W629=0),"Tax ignored (tax tracking off, or not allowed for this type)",IF(V629=K629&amp;"","Same account on both sides",IF(AND(ISNUMBER(StartDate),C629&lt;StartDate),"Date is before the accounting start date",IF(AND(D629&lt;&gt;"Adjustment",IFERROR(INDEX(coa_Pay,MATCH(K629&amp;"",coa_Name,0)),"")&lt;&gt;"Yes"),"Paid From / Deposited To is not a payment account","")))))))))))</f>
        <v/>
      </c>
      <c r="Z629" s="67">
        <f>IF(AND(T629=0,X629=""),1,0)</f>
        <v/>
      </c>
      <c r="AA629" s="68">
        <f>IF(Z629=1,IF(U629="In",L629,L629-W629),0)</f>
        <v/>
      </c>
      <c r="AB629" s="68">
        <f>IF(Z629=1,IF(U629="In",L629-W629,L629),0)</f>
        <v/>
      </c>
      <c r="AC629" s="68">
        <f>IF(AND(Z629=1,U629="Out"),W629,0)</f>
        <v/>
      </c>
      <c r="AD629" s="68">
        <f>IF(AND(Z629=1,U629="In"),W629,0)</f>
        <v/>
      </c>
    </row>
    <row r="630">
      <c r="B630" s="62" t="inlineStr">
        <is>
          <t>TX-0624</t>
        </is>
      </c>
      <c r="C630" s="63" t="n"/>
      <c r="D630" s="62" t="n"/>
      <c r="E630" s="62" t="n"/>
      <c r="F630" s="62" t="n"/>
      <c r="G630" s="62" t="n"/>
      <c r="H630" s="62" t="n"/>
      <c r="I630" s="62" t="n"/>
      <c r="J630" s="62" t="n"/>
      <c r="K630" s="62" t="n"/>
      <c r="L630" s="64" t="n"/>
      <c r="M630" s="64" t="n"/>
      <c r="N630" s="62" t="n"/>
      <c r="O630" s="65">
        <f>IF(Z630=1,L630-W630,"")</f>
        <v/>
      </c>
      <c r="P630" s="66">
        <f>IF(V630="","",IFERROR(INDEX(coa_Type,MATCH(V630,coa_Name,0)),""))</f>
        <v/>
      </c>
      <c r="Q630" s="66">
        <f>IF(Z630=1,IF(U630="In",K630&amp;"",V630),"")</f>
        <v/>
      </c>
      <c r="R630" s="66">
        <f>IF(Z630=1,IF(U630="In",V630,K630&amp;""),"")</f>
        <v/>
      </c>
      <c r="S630" s="66">
        <f>IF(X630&lt;&gt;"","⛔ "&amp;X630&amp;" — not posted",IF(Y630&lt;&gt;"","⚠ "&amp;Y630,IF(Z630=1,"✓ OK","")))</f>
        <v/>
      </c>
      <c r="T630" s="67">
        <f>IF(AND(C630="",D630="",E630="",L630="",K630=""),1,0)</f>
        <v/>
      </c>
      <c r="U630" s="67">
        <f>IFERROR(INDEX(tt_Dir,MATCH(D630,tt_Type,0)),"")</f>
        <v/>
      </c>
      <c r="V630" s="67">
        <f>IF(D630="","",IFERROR(IF(INDEX(tt_Other,MATCH(D630,tt_Type,0))="",E630&amp;"",INDEX(tt_Other,MATCH(D630,tt_Type,0))),""))</f>
        <v/>
      </c>
      <c r="W630" s="68">
        <f>IF(OR(TaxOn&lt;&gt;"Yes",NOT(ISNUMBER(M630))),0,IF(IFERROR(INDEX(tt_Tax,MATCH(D630,tt_Type,0)),"No")="Yes",M630,0))</f>
        <v/>
      </c>
      <c r="X630" s="67">
        <f>IF(T630=1,"",IF(C630="","Missing transaction date",IF(NOT(ISNUMBER(C630)),"Invalid date",IF(OR(C630&lt;DATE(2000,1,1),C630&gt;DATE(2099,12,31)),"Invalid date",IF(D630="","Select a type",IF(U630="","Unknown type: "&amp;D630,IF(V630="","Select an account (Category)",IF(ISNA(MATCH(V630,coa_Name,0)),"Unknown account: "&amp;V630,IF(K630="","Select Paid From / Deposited To",IF(ISNA(MATCH(K630,coa_Name,0)),"Unknown account: "&amp;K630,IF(NOT(ISNUMBER(L630)),"Enter an amount",IF(L630=0,"Enter an amount",IF(ABS(W630)&gt;ABS(L630),"Tax is larger than the amount","")))))))))))))</f>
        <v/>
      </c>
      <c r="Y630" s="67">
        <f>IF(OR(T630=1,X630&lt;&gt;""),"",IF(AND(B630&lt;&gt;"",COUNTIF(tx_ID,B630)&gt;1),"Duplicate transaction ID",IF(AND(L630&lt;0,D630&lt;&gt;"Adjustment"),"Negative amount — check this entry",IF(AND(D630="Customer Payment",G630=""),"Add the customer",IF(AND(D630="Customer Payment",OR(J630="",COUNTIF(ar_No,J630&amp;"")=0)),"Invoice # in Reference not found on AR sheet",IF(AND(D630="Bill Payment",H630=""),"Add the vendor",IF(AND(D630="Bill Payment",OR(J630="",COUNTIFS(ap_No,J630&amp;"",ap_Party,H630&amp;"")=0)),"Bill # + vendor not found on AP sheet",IF(AND(ISNUMBER(M630),N(M630)&lt;&gt;0,W630=0),"Tax ignored (tax tracking off, or not allowed for this type)",IF(V630=K630&amp;"","Same account on both sides",IF(AND(ISNUMBER(StartDate),C630&lt;StartDate),"Date is before the accounting start date",IF(AND(D630&lt;&gt;"Adjustment",IFERROR(INDEX(coa_Pay,MATCH(K630&amp;"",coa_Name,0)),"")&lt;&gt;"Yes"),"Paid From / Deposited To is not a payment account","")))))))))))</f>
        <v/>
      </c>
      <c r="Z630" s="67">
        <f>IF(AND(T630=0,X630=""),1,0)</f>
        <v/>
      </c>
      <c r="AA630" s="68">
        <f>IF(Z630=1,IF(U630="In",L630,L630-W630),0)</f>
        <v/>
      </c>
      <c r="AB630" s="68">
        <f>IF(Z630=1,IF(U630="In",L630-W630,L630),0)</f>
        <v/>
      </c>
      <c r="AC630" s="68">
        <f>IF(AND(Z630=1,U630="Out"),W630,0)</f>
        <v/>
      </c>
      <c r="AD630" s="68">
        <f>IF(AND(Z630=1,U630="In"),W630,0)</f>
        <v/>
      </c>
    </row>
    <row r="631">
      <c r="B631" s="62" t="inlineStr">
        <is>
          <t>TX-0625</t>
        </is>
      </c>
      <c r="C631" s="63" t="n"/>
      <c r="D631" s="62" t="n"/>
      <c r="E631" s="62" t="n"/>
      <c r="F631" s="62" t="n"/>
      <c r="G631" s="62" t="n"/>
      <c r="H631" s="62" t="n"/>
      <c r="I631" s="62" t="n"/>
      <c r="J631" s="62" t="n"/>
      <c r="K631" s="62" t="n"/>
      <c r="L631" s="64" t="n"/>
      <c r="M631" s="64" t="n"/>
      <c r="N631" s="62" t="n"/>
      <c r="O631" s="65">
        <f>IF(Z631=1,L631-W631,"")</f>
        <v/>
      </c>
      <c r="P631" s="66">
        <f>IF(V631="","",IFERROR(INDEX(coa_Type,MATCH(V631,coa_Name,0)),""))</f>
        <v/>
      </c>
      <c r="Q631" s="66">
        <f>IF(Z631=1,IF(U631="In",K631&amp;"",V631),"")</f>
        <v/>
      </c>
      <c r="R631" s="66">
        <f>IF(Z631=1,IF(U631="In",V631,K631&amp;""),"")</f>
        <v/>
      </c>
      <c r="S631" s="66">
        <f>IF(X631&lt;&gt;"","⛔ "&amp;X631&amp;" — not posted",IF(Y631&lt;&gt;"","⚠ "&amp;Y631,IF(Z631=1,"✓ OK","")))</f>
        <v/>
      </c>
      <c r="T631" s="67">
        <f>IF(AND(C631="",D631="",E631="",L631="",K631=""),1,0)</f>
        <v/>
      </c>
      <c r="U631" s="67">
        <f>IFERROR(INDEX(tt_Dir,MATCH(D631,tt_Type,0)),"")</f>
        <v/>
      </c>
      <c r="V631" s="67">
        <f>IF(D631="","",IFERROR(IF(INDEX(tt_Other,MATCH(D631,tt_Type,0))="",E631&amp;"",INDEX(tt_Other,MATCH(D631,tt_Type,0))),""))</f>
        <v/>
      </c>
      <c r="W631" s="68">
        <f>IF(OR(TaxOn&lt;&gt;"Yes",NOT(ISNUMBER(M631))),0,IF(IFERROR(INDEX(tt_Tax,MATCH(D631,tt_Type,0)),"No")="Yes",M631,0))</f>
        <v/>
      </c>
      <c r="X631" s="67">
        <f>IF(T631=1,"",IF(C631="","Missing transaction date",IF(NOT(ISNUMBER(C631)),"Invalid date",IF(OR(C631&lt;DATE(2000,1,1),C631&gt;DATE(2099,12,31)),"Invalid date",IF(D631="","Select a type",IF(U631="","Unknown type: "&amp;D631,IF(V631="","Select an account (Category)",IF(ISNA(MATCH(V631,coa_Name,0)),"Unknown account: "&amp;V631,IF(K631="","Select Paid From / Deposited To",IF(ISNA(MATCH(K631,coa_Name,0)),"Unknown account: "&amp;K631,IF(NOT(ISNUMBER(L631)),"Enter an amount",IF(L631=0,"Enter an amount",IF(ABS(W631)&gt;ABS(L631),"Tax is larger than the amount","")))))))))))))</f>
        <v/>
      </c>
      <c r="Y631" s="67">
        <f>IF(OR(T631=1,X631&lt;&gt;""),"",IF(AND(B631&lt;&gt;"",COUNTIF(tx_ID,B631)&gt;1),"Duplicate transaction ID",IF(AND(L631&lt;0,D631&lt;&gt;"Adjustment"),"Negative amount — check this entry",IF(AND(D631="Customer Payment",G631=""),"Add the customer",IF(AND(D631="Customer Payment",OR(J631="",COUNTIF(ar_No,J631&amp;"")=0)),"Invoice # in Reference not found on AR sheet",IF(AND(D631="Bill Payment",H631=""),"Add the vendor",IF(AND(D631="Bill Payment",OR(J631="",COUNTIFS(ap_No,J631&amp;"",ap_Party,H631&amp;"")=0)),"Bill # + vendor not found on AP sheet",IF(AND(ISNUMBER(M631),N(M631)&lt;&gt;0,W631=0),"Tax ignored (tax tracking off, or not allowed for this type)",IF(V631=K631&amp;"","Same account on both sides",IF(AND(ISNUMBER(StartDate),C631&lt;StartDate),"Date is before the accounting start date",IF(AND(D631&lt;&gt;"Adjustment",IFERROR(INDEX(coa_Pay,MATCH(K631&amp;"",coa_Name,0)),"")&lt;&gt;"Yes"),"Paid From / Deposited To is not a payment account","")))))))))))</f>
        <v/>
      </c>
      <c r="Z631" s="67">
        <f>IF(AND(T631=0,X631=""),1,0)</f>
        <v/>
      </c>
      <c r="AA631" s="68">
        <f>IF(Z631=1,IF(U631="In",L631,L631-W631),0)</f>
        <v/>
      </c>
      <c r="AB631" s="68">
        <f>IF(Z631=1,IF(U631="In",L631-W631,L631),0)</f>
        <v/>
      </c>
      <c r="AC631" s="68">
        <f>IF(AND(Z631=1,U631="Out"),W631,0)</f>
        <v/>
      </c>
      <c r="AD631" s="68">
        <f>IF(AND(Z631=1,U631="In"),W631,0)</f>
        <v/>
      </c>
    </row>
    <row r="632">
      <c r="B632" s="62" t="inlineStr">
        <is>
          <t>TX-0626</t>
        </is>
      </c>
      <c r="C632" s="63" t="n"/>
      <c r="D632" s="62" t="n"/>
      <c r="E632" s="62" t="n"/>
      <c r="F632" s="62" t="n"/>
      <c r="G632" s="62" t="n"/>
      <c r="H632" s="62" t="n"/>
      <c r="I632" s="62" t="n"/>
      <c r="J632" s="62" t="n"/>
      <c r="K632" s="62" t="n"/>
      <c r="L632" s="64" t="n"/>
      <c r="M632" s="64" t="n"/>
      <c r="N632" s="62" t="n"/>
      <c r="O632" s="65">
        <f>IF(Z632=1,L632-W632,"")</f>
        <v/>
      </c>
      <c r="P632" s="66">
        <f>IF(V632="","",IFERROR(INDEX(coa_Type,MATCH(V632,coa_Name,0)),""))</f>
        <v/>
      </c>
      <c r="Q632" s="66">
        <f>IF(Z632=1,IF(U632="In",K632&amp;"",V632),"")</f>
        <v/>
      </c>
      <c r="R632" s="66">
        <f>IF(Z632=1,IF(U632="In",V632,K632&amp;""),"")</f>
        <v/>
      </c>
      <c r="S632" s="66">
        <f>IF(X632&lt;&gt;"","⛔ "&amp;X632&amp;" — not posted",IF(Y632&lt;&gt;"","⚠ "&amp;Y632,IF(Z632=1,"✓ OK","")))</f>
        <v/>
      </c>
      <c r="T632" s="67">
        <f>IF(AND(C632="",D632="",E632="",L632="",K632=""),1,0)</f>
        <v/>
      </c>
      <c r="U632" s="67">
        <f>IFERROR(INDEX(tt_Dir,MATCH(D632,tt_Type,0)),"")</f>
        <v/>
      </c>
      <c r="V632" s="67">
        <f>IF(D632="","",IFERROR(IF(INDEX(tt_Other,MATCH(D632,tt_Type,0))="",E632&amp;"",INDEX(tt_Other,MATCH(D632,tt_Type,0))),""))</f>
        <v/>
      </c>
      <c r="W632" s="68">
        <f>IF(OR(TaxOn&lt;&gt;"Yes",NOT(ISNUMBER(M632))),0,IF(IFERROR(INDEX(tt_Tax,MATCH(D632,tt_Type,0)),"No")="Yes",M632,0))</f>
        <v/>
      </c>
      <c r="X632" s="67">
        <f>IF(T632=1,"",IF(C632="","Missing transaction date",IF(NOT(ISNUMBER(C632)),"Invalid date",IF(OR(C632&lt;DATE(2000,1,1),C632&gt;DATE(2099,12,31)),"Invalid date",IF(D632="","Select a type",IF(U632="","Unknown type: "&amp;D632,IF(V632="","Select an account (Category)",IF(ISNA(MATCH(V632,coa_Name,0)),"Unknown account: "&amp;V632,IF(K632="","Select Paid From / Deposited To",IF(ISNA(MATCH(K632,coa_Name,0)),"Unknown account: "&amp;K632,IF(NOT(ISNUMBER(L632)),"Enter an amount",IF(L632=0,"Enter an amount",IF(ABS(W632)&gt;ABS(L632),"Tax is larger than the amount","")))))))))))))</f>
        <v/>
      </c>
      <c r="Y632" s="67">
        <f>IF(OR(T632=1,X632&lt;&gt;""),"",IF(AND(B632&lt;&gt;"",COUNTIF(tx_ID,B632)&gt;1),"Duplicate transaction ID",IF(AND(L632&lt;0,D632&lt;&gt;"Adjustment"),"Negative amount — check this entry",IF(AND(D632="Customer Payment",G632=""),"Add the customer",IF(AND(D632="Customer Payment",OR(J632="",COUNTIF(ar_No,J632&amp;"")=0)),"Invoice # in Reference not found on AR sheet",IF(AND(D632="Bill Payment",H632=""),"Add the vendor",IF(AND(D632="Bill Payment",OR(J632="",COUNTIFS(ap_No,J632&amp;"",ap_Party,H632&amp;"")=0)),"Bill # + vendor not found on AP sheet",IF(AND(ISNUMBER(M632),N(M632)&lt;&gt;0,W632=0),"Tax ignored (tax tracking off, or not allowed for this type)",IF(V632=K632&amp;"","Same account on both sides",IF(AND(ISNUMBER(StartDate),C632&lt;StartDate),"Date is before the accounting start date",IF(AND(D632&lt;&gt;"Adjustment",IFERROR(INDEX(coa_Pay,MATCH(K632&amp;"",coa_Name,0)),"")&lt;&gt;"Yes"),"Paid From / Deposited To is not a payment account","")))))))))))</f>
        <v/>
      </c>
      <c r="Z632" s="67">
        <f>IF(AND(T632=0,X632=""),1,0)</f>
        <v/>
      </c>
      <c r="AA632" s="68">
        <f>IF(Z632=1,IF(U632="In",L632,L632-W632),0)</f>
        <v/>
      </c>
      <c r="AB632" s="68">
        <f>IF(Z632=1,IF(U632="In",L632-W632,L632),0)</f>
        <v/>
      </c>
      <c r="AC632" s="68">
        <f>IF(AND(Z632=1,U632="Out"),W632,0)</f>
        <v/>
      </c>
      <c r="AD632" s="68">
        <f>IF(AND(Z632=1,U632="In"),W632,0)</f>
        <v/>
      </c>
    </row>
    <row r="633">
      <c r="B633" s="62" t="inlineStr">
        <is>
          <t>TX-0627</t>
        </is>
      </c>
      <c r="C633" s="63" t="n"/>
      <c r="D633" s="62" t="n"/>
      <c r="E633" s="62" t="n"/>
      <c r="F633" s="62" t="n"/>
      <c r="G633" s="62" t="n"/>
      <c r="H633" s="62" t="n"/>
      <c r="I633" s="62" t="n"/>
      <c r="J633" s="62" t="n"/>
      <c r="K633" s="62" t="n"/>
      <c r="L633" s="64" t="n"/>
      <c r="M633" s="64" t="n"/>
      <c r="N633" s="62" t="n"/>
      <c r="O633" s="65">
        <f>IF(Z633=1,L633-W633,"")</f>
        <v/>
      </c>
      <c r="P633" s="66">
        <f>IF(V633="","",IFERROR(INDEX(coa_Type,MATCH(V633,coa_Name,0)),""))</f>
        <v/>
      </c>
      <c r="Q633" s="66">
        <f>IF(Z633=1,IF(U633="In",K633&amp;"",V633),"")</f>
        <v/>
      </c>
      <c r="R633" s="66">
        <f>IF(Z633=1,IF(U633="In",V633,K633&amp;""),"")</f>
        <v/>
      </c>
      <c r="S633" s="66">
        <f>IF(X633&lt;&gt;"","⛔ "&amp;X633&amp;" — not posted",IF(Y633&lt;&gt;"","⚠ "&amp;Y633,IF(Z633=1,"✓ OK","")))</f>
        <v/>
      </c>
      <c r="T633" s="67">
        <f>IF(AND(C633="",D633="",E633="",L633="",K633=""),1,0)</f>
        <v/>
      </c>
      <c r="U633" s="67">
        <f>IFERROR(INDEX(tt_Dir,MATCH(D633,tt_Type,0)),"")</f>
        <v/>
      </c>
      <c r="V633" s="67">
        <f>IF(D633="","",IFERROR(IF(INDEX(tt_Other,MATCH(D633,tt_Type,0))="",E633&amp;"",INDEX(tt_Other,MATCH(D633,tt_Type,0))),""))</f>
        <v/>
      </c>
      <c r="W633" s="68">
        <f>IF(OR(TaxOn&lt;&gt;"Yes",NOT(ISNUMBER(M633))),0,IF(IFERROR(INDEX(tt_Tax,MATCH(D633,tt_Type,0)),"No")="Yes",M633,0))</f>
        <v/>
      </c>
      <c r="X633" s="67">
        <f>IF(T633=1,"",IF(C633="","Missing transaction date",IF(NOT(ISNUMBER(C633)),"Invalid date",IF(OR(C633&lt;DATE(2000,1,1),C633&gt;DATE(2099,12,31)),"Invalid date",IF(D633="","Select a type",IF(U633="","Unknown type: "&amp;D633,IF(V633="","Select an account (Category)",IF(ISNA(MATCH(V633,coa_Name,0)),"Unknown account: "&amp;V633,IF(K633="","Select Paid From / Deposited To",IF(ISNA(MATCH(K633,coa_Name,0)),"Unknown account: "&amp;K633,IF(NOT(ISNUMBER(L633)),"Enter an amount",IF(L633=0,"Enter an amount",IF(ABS(W633)&gt;ABS(L633),"Tax is larger than the amount","")))))))))))))</f>
        <v/>
      </c>
      <c r="Y633" s="67">
        <f>IF(OR(T633=1,X633&lt;&gt;""),"",IF(AND(B633&lt;&gt;"",COUNTIF(tx_ID,B633)&gt;1),"Duplicate transaction ID",IF(AND(L633&lt;0,D633&lt;&gt;"Adjustment"),"Negative amount — check this entry",IF(AND(D633="Customer Payment",G633=""),"Add the customer",IF(AND(D633="Customer Payment",OR(J633="",COUNTIF(ar_No,J633&amp;"")=0)),"Invoice # in Reference not found on AR sheet",IF(AND(D633="Bill Payment",H633=""),"Add the vendor",IF(AND(D633="Bill Payment",OR(J633="",COUNTIFS(ap_No,J633&amp;"",ap_Party,H633&amp;"")=0)),"Bill # + vendor not found on AP sheet",IF(AND(ISNUMBER(M633),N(M633)&lt;&gt;0,W633=0),"Tax ignored (tax tracking off, or not allowed for this type)",IF(V633=K633&amp;"","Same account on both sides",IF(AND(ISNUMBER(StartDate),C633&lt;StartDate),"Date is before the accounting start date",IF(AND(D633&lt;&gt;"Adjustment",IFERROR(INDEX(coa_Pay,MATCH(K633&amp;"",coa_Name,0)),"")&lt;&gt;"Yes"),"Paid From / Deposited To is not a payment account","")))))))))))</f>
        <v/>
      </c>
      <c r="Z633" s="67">
        <f>IF(AND(T633=0,X633=""),1,0)</f>
        <v/>
      </c>
      <c r="AA633" s="68">
        <f>IF(Z633=1,IF(U633="In",L633,L633-W633),0)</f>
        <v/>
      </c>
      <c r="AB633" s="68">
        <f>IF(Z633=1,IF(U633="In",L633-W633,L633),0)</f>
        <v/>
      </c>
      <c r="AC633" s="68">
        <f>IF(AND(Z633=1,U633="Out"),W633,0)</f>
        <v/>
      </c>
      <c r="AD633" s="68">
        <f>IF(AND(Z633=1,U633="In"),W633,0)</f>
        <v/>
      </c>
    </row>
    <row r="634">
      <c r="B634" s="62" t="inlineStr">
        <is>
          <t>TX-0628</t>
        </is>
      </c>
      <c r="C634" s="63" t="n"/>
      <c r="D634" s="62" t="n"/>
      <c r="E634" s="62" t="n"/>
      <c r="F634" s="62" t="n"/>
      <c r="G634" s="62" t="n"/>
      <c r="H634" s="62" t="n"/>
      <c r="I634" s="62" t="n"/>
      <c r="J634" s="62" t="n"/>
      <c r="K634" s="62" t="n"/>
      <c r="L634" s="64" t="n"/>
      <c r="M634" s="64" t="n"/>
      <c r="N634" s="62" t="n"/>
      <c r="O634" s="65">
        <f>IF(Z634=1,L634-W634,"")</f>
        <v/>
      </c>
      <c r="P634" s="66">
        <f>IF(V634="","",IFERROR(INDEX(coa_Type,MATCH(V634,coa_Name,0)),""))</f>
        <v/>
      </c>
      <c r="Q634" s="66">
        <f>IF(Z634=1,IF(U634="In",K634&amp;"",V634),"")</f>
        <v/>
      </c>
      <c r="R634" s="66">
        <f>IF(Z634=1,IF(U634="In",V634,K634&amp;""),"")</f>
        <v/>
      </c>
      <c r="S634" s="66">
        <f>IF(X634&lt;&gt;"","⛔ "&amp;X634&amp;" — not posted",IF(Y634&lt;&gt;"","⚠ "&amp;Y634,IF(Z634=1,"✓ OK","")))</f>
        <v/>
      </c>
      <c r="T634" s="67">
        <f>IF(AND(C634="",D634="",E634="",L634="",K634=""),1,0)</f>
        <v/>
      </c>
      <c r="U634" s="67">
        <f>IFERROR(INDEX(tt_Dir,MATCH(D634,tt_Type,0)),"")</f>
        <v/>
      </c>
      <c r="V634" s="67">
        <f>IF(D634="","",IFERROR(IF(INDEX(tt_Other,MATCH(D634,tt_Type,0))="",E634&amp;"",INDEX(tt_Other,MATCH(D634,tt_Type,0))),""))</f>
        <v/>
      </c>
      <c r="W634" s="68">
        <f>IF(OR(TaxOn&lt;&gt;"Yes",NOT(ISNUMBER(M634))),0,IF(IFERROR(INDEX(tt_Tax,MATCH(D634,tt_Type,0)),"No")="Yes",M634,0))</f>
        <v/>
      </c>
      <c r="X634" s="67">
        <f>IF(T634=1,"",IF(C634="","Missing transaction date",IF(NOT(ISNUMBER(C634)),"Invalid date",IF(OR(C634&lt;DATE(2000,1,1),C634&gt;DATE(2099,12,31)),"Invalid date",IF(D634="","Select a type",IF(U634="","Unknown type: "&amp;D634,IF(V634="","Select an account (Category)",IF(ISNA(MATCH(V634,coa_Name,0)),"Unknown account: "&amp;V634,IF(K634="","Select Paid From / Deposited To",IF(ISNA(MATCH(K634,coa_Name,0)),"Unknown account: "&amp;K634,IF(NOT(ISNUMBER(L634)),"Enter an amount",IF(L634=0,"Enter an amount",IF(ABS(W634)&gt;ABS(L634),"Tax is larger than the amount","")))))))))))))</f>
        <v/>
      </c>
      <c r="Y634" s="67">
        <f>IF(OR(T634=1,X634&lt;&gt;""),"",IF(AND(B634&lt;&gt;"",COUNTIF(tx_ID,B634)&gt;1),"Duplicate transaction ID",IF(AND(L634&lt;0,D634&lt;&gt;"Adjustment"),"Negative amount — check this entry",IF(AND(D634="Customer Payment",G634=""),"Add the customer",IF(AND(D634="Customer Payment",OR(J634="",COUNTIF(ar_No,J634&amp;"")=0)),"Invoice # in Reference not found on AR sheet",IF(AND(D634="Bill Payment",H634=""),"Add the vendor",IF(AND(D634="Bill Payment",OR(J634="",COUNTIFS(ap_No,J634&amp;"",ap_Party,H634&amp;"")=0)),"Bill # + vendor not found on AP sheet",IF(AND(ISNUMBER(M634),N(M634)&lt;&gt;0,W634=0),"Tax ignored (tax tracking off, or not allowed for this type)",IF(V634=K634&amp;"","Same account on both sides",IF(AND(ISNUMBER(StartDate),C634&lt;StartDate),"Date is before the accounting start date",IF(AND(D634&lt;&gt;"Adjustment",IFERROR(INDEX(coa_Pay,MATCH(K634&amp;"",coa_Name,0)),"")&lt;&gt;"Yes"),"Paid From / Deposited To is not a payment account","")))))))))))</f>
        <v/>
      </c>
      <c r="Z634" s="67">
        <f>IF(AND(T634=0,X634=""),1,0)</f>
        <v/>
      </c>
      <c r="AA634" s="68">
        <f>IF(Z634=1,IF(U634="In",L634,L634-W634),0)</f>
        <v/>
      </c>
      <c r="AB634" s="68">
        <f>IF(Z634=1,IF(U634="In",L634-W634,L634),0)</f>
        <v/>
      </c>
      <c r="AC634" s="68">
        <f>IF(AND(Z634=1,U634="Out"),W634,0)</f>
        <v/>
      </c>
      <c r="AD634" s="68">
        <f>IF(AND(Z634=1,U634="In"),W634,0)</f>
        <v/>
      </c>
    </row>
    <row r="635">
      <c r="B635" s="62" t="inlineStr">
        <is>
          <t>TX-0629</t>
        </is>
      </c>
      <c r="C635" s="63" t="n"/>
      <c r="D635" s="62" t="n"/>
      <c r="E635" s="62" t="n"/>
      <c r="F635" s="62" t="n"/>
      <c r="G635" s="62" t="n"/>
      <c r="H635" s="62" t="n"/>
      <c r="I635" s="62" t="n"/>
      <c r="J635" s="62" t="n"/>
      <c r="K635" s="62" t="n"/>
      <c r="L635" s="64" t="n"/>
      <c r="M635" s="64" t="n"/>
      <c r="N635" s="62" t="n"/>
      <c r="O635" s="65">
        <f>IF(Z635=1,L635-W635,"")</f>
        <v/>
      </c>
      <c r="P635" s="66">
        <f>IF(V635="","",IFERROR(INDEX(coa_Type,MATCH(V635,coa_Name,0)),""))</f>
        <v/>
      </c>
      <c r="Q635" s="66">
        <f>IF(Z635=1,IF(U635="In",K635&amp;"",V635),"")</f>
        <v/>
      </c>
      <c r="R635" s="66">
        <f>IF(Z635=1,IF(U635="In",V635,K635&amp;""),"")</f>
        <v/>
      </c>
      <c r="S635" s="66">
        <f>IF(X635&lt;&gt;"","⛔ "&amp;X635&amp;" — not posted",IF(Y635&lt;&gt;"","⚠ "&amp;Y635,IF(Z635=1,"✓ OK","")))</f>
        <v/>
      </c>
      <c r="T635" s="67">
        <f>IF(AND(C635="",D635="",E635="",L635="",K635=""),1,0)</f>
        <v/>
      </c>
      <c r="U635" s="67">
        <f>IFERROR(INDEX(tt_Dir,MATCH(D635,tt_Type,0)),"")</f>
        <v/>
      </c>
      <c r="V635" s="67">
        <f>IF(D635="","",IFERROR(IF(INDEX(tt_Other,MATCH(D635,tt_Type,0))="",E635&amp;"",INDEX(tt_Other,MATCH(D635,tt_Type,0))),""))</f>
        <v/>
      </c>
      <c r="W635" s="68">
        <f>IF(OR(TaxOn&lt;&gt;"Yes",NOT(ISNUMBER(M635))),0,IF(IFERROR(INDEX(tt_Tax,MATCH(D635,tt_Type,0)),"No")="Yes",M635,0))</f>
        <v/>
      </c>
      <c r="X635" s="67">
        <f>IF(T635=1,"",IF(C635="","Missing transaction date",IF(NOT(ISNUMBER(C635)),"Invalid date",IF(OR(C635&lt;DATE(2000,1,1),C635&gt;DATE(2099,12,31)),"Invalid date",IF(D635="","Select a type",IF(U635="","Unknown type: "&amp;D635,IF(V635="","Select an account (Category)",IF(ISNA(MATCH(V635,coa_Name,0)),"Unknown account: "&amp;V635,IF(K635="","Select Paid From / Deposited To",IF(ISNA(MATCH(K635,coa_Name,0)),"Unknown account: "&amp;K635,IF(NOT(ISNUMBER(L635)),"Enter an amount",IF(L635=0,"Enter an amount",IF(ABS(W635)&gt;ABS(L635),"Tax is larger than the amount","")))))))))))))</f>
        <v/>
      </c>
      <c r="Y635" s="67">
        <f>IF(OR(T635=1,X635&lt;&gt;""),"",IF(AND(B635&lt;&gt;"",COUNTIF(tx_ID,B635)&gt;1),"Duplicate transaction ID",IF(AND(L635&lt;0,D635&lt;&gt;"Adjustment"),"Negative amount — check this entry",IF(AND(D635="Customer Payment",G635=""),"Add the customer",IF(AND(D635="Customer Payment",OR(J635="",COUNTIF(ar_No,J635&amp;"")=0)),"Invoice # in Reference not found on AR sheet",IF(AND(D635="Bill Payment",H635=""),"Add the vendor",IF(AND(D635="Bill Payment",OR(J635="",COUNTIFS(ap_No,J635&amp;"",ap_Party,H635&amp;"")=0)),"Bill # + vendor not found on AP sheet",IF(AND(ISNUMBER(M635),N(M635)&lt;&gt;0,W635=0),"Tax ignored (tax tracking off, or not allowed for this type)",IF(V635=K635&amp;"","Same account on both sides",IF(AND(ISNUMBER(StartDate),C635&lt;StartDate),"Date is before the accounting start date",IF(AND(D635&lt;&gt;"Adjustment",IFERROR(INDEX(coa_Pay,MATCH(K635&amp;"",coa_Name,0)),"")&lt;&gt;"Yes"),"Paid From / Deposited To is not a payment account","")))))))))))</f>
        <v/>
      </c>
      <c r="Z635" s="67">
        <f>IF(AND(T635=0,X635=""),1,0)</f>
        <v/>
      </c>
      <c r="AA635" s="68">
        <f>IF(Z635=1,IF(U635="In",L635,L635-W635),0)</f>
        <v/>
      </c>
      <c r="AB635" s="68">
        <f>IF(Z635=1,IF(U635="In",L635-W635,L635),0)</f>
        <v/>
      </c>
      <c r="AC635" s="68">
        <f>IF(AND(Z635=1,U635="Out"),W635,0)</f>
        <v/>
      </c>
      <c r="AD635" s="68">
        <f>IF(AND(Z635=1,U635="In"),W635,0)</f>
        <v/>
      </c>
    </row>
    <row r="636">
      <c r="B636" s="62" t="inlineStr">
        <is>
          <t>TX-0630</t>
        </is>
      </c>
      <c r="C636" s="63" t="n"/>
      <c r="D636" s="62" t="n"/>
      <c r="E636" s="62" t="n"/>
      <c r="F636" s="62" t="n"/>
      <c r="G636" s="62" t="n"/>
      <c r="H636" s="62" t="n"/>
      <c r="I636" s="62" t="n"/>
      <c r="J636" s="62" t="n"/>
      <c r="K636" s="62" t="n"/>
      <c r="L636" s="64" t="n"/>
      <c r="M636" s="64" t="n"/>
      <c r="N636" s="62" t="n"/>
      <c r="O636" s="65">
        <f>IF(Z636=1,L636-W636,"")</f>
        <v/>
      </c>
      <c r="P636" s="66">
        <f>IF(V636="","",IFERROR(INDEX(coa_Type,MATCH(V636,coa_Name,0)),""))</f>
        <v/>
      </c>
      <c r="Q636" s="66">
        <f>IF(Z636=1,IF(U636="In",K636&amp;"",V636),"")</f>
        <v/>
      </c>
      <c r="R636" s="66">
        <f>IF(Z636=1,IF(U636="In",V636,K636&amp;""),"")</f>
        <v/>
      </c>
      <c r="S636" s="66">
        <f>IF(X636&lt;&gt;"","⛔ "&amp;X636&amp;" — not posted",IF(Y636&lt;&gt;"","⚠ "&amp;Y636,IF(Z636=1,"✓ OK","")))</f>
        <v/>
      </c>
      <c r="T636" s="67">
        <f>IF(AND(C636="",D636="",E636="",L636="",K636=""),1,0)</f>
        <v/>
      </c>
      <c r="U636" s="67">
        <f>IFERROR(INDEX(tt_Dir,MATCH(D636,tt_Type,0)),"")</f>
        <v/>
      </c>
      <c r="V636" s="67">
        <f>IF(D636="","",IFERROR(IF(INDEX(tt_Other,MATCH(D636,tt_Type,0))="",E636&amp;"",INDEX(tt_Other,MATCH(D636,tt_Type,0))),""))</f>
        <v/>
      </c>
      <c r="W636" s="68">
        <f>IF(OR(TaxOn&lt;&gt;"Yes",NOT(ISNUMBER(M636))),0,IF(IFERROR(INDEX(tt_Tax,MATCH(D636,tt_Type,0)),"No")="Yes",M636,0))</f>
        <v/>
      </c>
      <c r="X636" s="67">
        <f>IF(T636=1,"",IF(C636="","Missing transaction date",IF(NOT(ISNUMBER(C636)),"Invalid date",IF(OR(C636&lt;DATE(2000,1,1),C636&gt;DATE(2099,12,31)),"Invalid date",IF(D636="","Select a type",IF(U636="","Unknown type: "&amp;D636,IF(V636="","Select an account (Category)",IF(ISNA(MATCH(V636,coa_Name,0)),"Unknown account: "&amp;V636,IF(K636="","Select Paid From / Deposited To",IF(ISNA(MATCH(K636,coa_Name,0)),"Unknown account: "&amp;K636,IF(NOT(ISNUMBER(L636)),"Enter an amount",IF(L636=0,"Enter an amount",IF(ABS(W636)&gt;ABS(L636),"Tax is larger than the amount","")))))))))))))</f>
        <v/>
      </c>
      <c r="Y636" s="67">
        <f>IF(OR(T636=1,X636&lt;&gt;""),"",IF(AND(B636&lt;&gt;"",COUNTIF(tx_ID,B636)&gt;1),"Duplicate transaction ID",IF(AND(L636&lt;0,D636&lt;&gt;"Adjustment"),"Negative amount — check this entry",IF(AND(D636="Customer Payment",G636=""),"Add the customer",IF(AND(D636="Customer Payment",OR(J636="",COUNTIF(ar_No,J636&amp;"")=0)),"Invoice # in Reference not found on AR sheet",IF(AND(D636="Bill Payment",H636=""),"Add the vendor",IF(AND(D636="Bill Payment",OR(J636="",COUNTIFS(ap_No,J636&amp;"",ap_Party,H636&amp;"")=0)),"Bill # + vendor not found on AP sheet",IF(AND(ISNUMBER(M636),N(M636)&lt;&gt;0,W636=0),"Tax ignored (tax tracking off, or not allowed for this type)",IF(V636=K636&amp;"","Same account on both sides",IF(AND(ISNUMBER(StartDate),C636&lt;StartDate),"Date is before the accounting start date",IF(AND(D636&lt;&gt;"Adjustment",IFERROR(INDEX(coa_Pay,MATCH(K636&amp;"",coa_Name,0)),"")&lt;&gt;"Yes"),"Paid From / Deposited To is not a payment account","")))))))))))</f>
        <v/>
      </c>
      <c r="Z636" s="67">
        <f>IF(AND(T636=0,X636=""),1,0)</f>
        <v/>
      </c>
      <c r="AA636" s="68">
        <f>IF(Z636=1,IF(U636="In",L636,L636-W636),0)</f>
        <v/>
      </c>
      <c r="AB636" s="68">
        <f>IF(Z636=1,IF(U636="In",L636-W636,L636),0)</f>
        <v/>
      </c>
      <c r="AC636" s="68">
        <f>IF(AND(Z636=1,U636="Out"),W636,0)</f>
        <v/>
      </c>
      <c r="AD636" s="68">
        <f>IF(AND(Z636=1,U636="In"),W636,0)</f>
        <v/>
      </c>
    </row>
    <row r="637">
      <c r="B637" s="62" t="inlineStr">
        <is>
          <t>TX-0631</t>
        </is>
      </c>
      <c r="C637" s="63" t="n"/>
      <c r="D637" s="62" t="n"/>
      <c r="E637" s="62" t="n"/>
      <c r="F637" s="62" t="n"/>
      <c r="G637" s="62" t="n"/>
      <c r="H637" s="62" t="n"/>
      <c r="I637" s="62" t="n"/>
      <c r="J637" s="62" t="n"/>
      <c r="K637" s="62" t="n"/>
      <c r="L637" s="64" t="n"/>
      <c r="M637" s="64" t="n"/>
      <c r="N637" s="62" t="n"/>
      <c r="O637" s="65">
        <f>IF(Z637=1,L637-W637,"")</f>
        <v/>
      </c>
      <c r="P637" s="66">
        <f>IF(V637="","",IFERROR(INDEX(coa_Type,MATCH(V637,coa_Name,0)),""))</f>
        <v/>
      </c>
      <c r="Q637" s="66">
        <f>IF(Z637=1,IF(U637="In",K637&amp;"",V637),"")</f>
        <v/>
      </c>
      <c r="R637" s="66">
        <f>IF(Z637=1,IF(U637="In",V637,K637&amp;""),"")</f>
        <v/>
      </c>
      <c r="S637" s="66">
        <f>IF(X637&lt;&gt;"","⛔ "&amp;X637&amp;" — not posted",IF(Y637&lt;&gt;"","⚠ "&amp;Y637,IF(Z637=1,"✓ OK","")))</f>
        <v/>
      </c>
      <c r="T637" s="67">
        <f>IF(AND(C637="",D637="",E637="",L637="",K637=""),1,0)</f>
        <v/>
      </c>
      <c r="U637" s="67">
        <f>IFERROR(INDEX(tt_Dir,MATCH(D637,tt_Type,0)),"")</f>
        <v/>
      </c>
      <c r="V637" s="67">
        <f>IF(D637="","",IFERROR(IF(INDEX(tt_Other,MATCH(D637,tt_Type,0))="",E637&amp;"",INDEX(tt_Other,MATCH(D637,tt_Type,0))),""))</f>
        <v/>
      </c>
      <c r="W637" s="68">
        <f>IF(OR(TaxOn&lt;&gt;"Yes",NOT(ISNUMBER(M637))),0,IF(IFERROR(INDEX(tt_Tax,MATCH(D637,tt_Type,0)),"No")="Yes",M637,0))</f>
        <v/>
      </c>
      <c r="X637" s="67">
        <f>IF(T637=1,"",IF(C637="","Missing transaction date",IF(NOT(ISNUMBER(C637)),"Invalid date",IF(OR(C637&lt;DATE(2000,1,1),C637&gt;DATE(2099,12,31)),"Invalid date",IF(D637="","Select a type",IF(U637="","Unknown type: "&amp;D637,IF(V637="","Select an account (Category)",IF(ISNA(MATCH(V637,coa_Name,0)),"Unknown account: "&amp;V637,IF(K637="","Select Paid From / Deposited To",IF(ISNA(MATCH(K637,coa_Name,0)),"Unknown account: "&amp;K637,IF(NOT(ISNUMBER(L637)),"Enter an amount",IF(L637=0,"Enter an amount",IF(ABS(W637)&gt;ABS(L637),"Tax is larger than the amount","")))))))))))))</f>
        <v/>
      </c>
      <c r="Y637" s="67">
        <f>IF(OR(T637=1,X637&lt;&gt;""),"",IF(AND(B637&lt;&gt;"",COUNTIF(tx_ID,B637)&gt;1),"Duplicate transaction ID",IF(AND(L637&lt;0,D637&lt;&gt;"Adjustment"),"Negative amount — check this entry",IF(AND(D637="Customer Payment",G637=""),"Add the customer",IF(AND(D637="Customer Payment",OR(J637="",COUNTIF(ar_No,J637&amp;"")=0)),"Invoice # in Reference not found on AR sheet",IF(AND(D637="Bill Payment",H637=""),"Add the vendor",IF(AND(D637="Bill Payment",OR(J637="",COUNTIFS(ap_No,J637&amp;"",ap_Party,H637&amp;"")=0)),"Bill # + vendor not found on AP sheet",IF(AND(ISNUMBER(M637),N(M637)&lt;&gt;0,W637=0),"Tax ignored (tax tracking off, or not allowed for this type)",IF(V637=K637&amp;"","Same account on both sides",IF(AND(ISNUMBER(StartDate),C637&lt;StartDate),"Date is before the accounting start date",IF(AND(D637&lt;&gt;"Adjustment",IFERROR(INDEX(coa_Pay,MATCH(K637&amp;"",coa_Name,0)),"")&lt;&gt;"Yes"),"Paid From / Deposited To is not a payment account","")))))))))))</f>
        <v/>
      </c>
      <c r="Z637" s="67">
        <f>IF(AND(T637=0,X637=""),1,0)</f>
        <v/>
      </c>
      <c r="AA637" s="68">
        <f>IF(Z637=1,IF(U637="In",L637,L637-W637),0)</f>
        <v/>
      </c>
      <c r="AB637" s="68">
        <f>IF(Z637=1,IF(U637="In",L637-W637,L637),0)</f>
        <v/>
      </c>
      <c r="AC637" s="68">
        <f>IF(AND(Z637=1,U637="Out"),W637,0)</f>
        <v/>
      </c>
      <c r="AD637" s="68">
        <f>IF(AND(Z637=1,U637="In"),W637,0)</f>
        <v/>
      </c>
    </row>
    <row r="638">
      <c r="B638" s="62" t="inlineStr">
        <is>
          <t>TX-0632</t>
        </is>
      </c>
      <c r="C638" s="63" t="n"/>
      <c r="D638" s="62" t="n"/>
      <c r="E638" s="62" t="n"/>
      <c r="F638" s="62" t="n"/>
      <c r="G638" s="62" t="n"/>
      <c r="H638" s="62" t="n"/>
      <c r="I638" s="62" t="n"/>
      <c r="J638" s="62" t="n"/>
      <c r="K638" s="62" t="n"/>
      <c r="L638" s="64" t="n"/>
      <c r="M638" s="64" t="n"/>
      <c r="N638" s="62" t="n"/>
      <c r="O638" s="65">
        <f>IF(Z638=1,L638-W638,"")</f>
        <v/>
      </c>
      <c r="P638" s="66">
        <f>IF(V638="","",IFERROR(INDEX(coa_Type,MATCH(V638,coa_Name,0)),""))</f>
        <v/>
      </c>
      <c r="Q638" s="66">
        <f>IF(Z638=1,IF(U638="In",K638&amp;"",V638),"")</f>
        <v/>
      </c>
      <c r="R638" s="66">
        <f>IF(Z638=1,IF(U638="In",V638,K638&amp;""),"")</f>
        <v/>
      </c>
      <c r="S638" s="66">
        <f>IF(X638&lt;&gt;"","⛔ "&amp;X638&amp;" — not posted",IF(Y638&lt;&gt;"","⚠ "&amp;Y638,IF(Z638=1,"✓ OK","")))</f>
        <v/>
      </c>
      <c r="T638" s="67">
        <f>IF(AND(C638="",D638="",E638="",L638="",K638=""),1,0)</f>
        <v/>
      </c>
      <c r="U638" s="67">
        <f>IFERROR(INDEX(tt_Dir,MATCH(D638,tt_Type,0)),"")</f>
        <v/>
      </c>
      <c r="V638" s="67">
        <f>IF(D638="","",IFERROR(IF(INDEX(tt_Other,MATCH(D638,tt_Type,0))="",E638&amp;"",INDEX(tt_Other,MATCH(D638,tt_Type,0))),""))</f>
        <v/>
      </c>
      <c r="W638" s="68">
        <f>IF(OR(TaxOn&lt;&gt;"Yes",NOT(ISNUMBER(M638))),0,IF(IFERROR(INDEX(tt_Tax,MATCH(D638,tt_Type,0)),"No")="Yes",M638,0))</f>
        <v/>
      </c>
      <c r="X638" s="67">
        <f>IF(T638=1,"",IF(C638="","Missing transaction date",IF(NOT(ISNUMBER(C638)),"Invalid date",IF(OR(C638&lt;DATE(2000,1,1),C638&gt;DATE(2099,12,31)),"Invalid date",IF(D638="","Select a type",IF(U638="","Unknown type: "&amp;D638,IF(V638="","Select an account (Category)",IF(ISNA(MATCH(V638,coa_Name,0)),"Unknown account: "&amp;V638,IF(K638="","Select Paid From / Deposited To",IF(ISNA(MATCH(K638,coa_Name,0)),"Unknown account: "&amp;K638,IF(NOT(ISNUMBER(L638)),"Enter an amount",IF(L638=0,"Enter an amount",IF(ABS(W638)&gt;ABS(L638),"Tax is larger than the amount","")))))))))))))</f>
        <v/>
      </c>
      <c r="Y638" s="67">
        <f>IF(OR(T638=1,X638&lt;&gt;""),"",IF(AND(B638&lt;&gt;"",COUNTIF(tx_ID,B638)&gt;1),"Duplicate transaction ID",IF(AND(L638&lt;0,D638&lt;&gt;"Adjustment"),"Negative amount — check this entry",IF(AND(D638="Customer Payment",G638=""),"Add the customer",IF(AND(D638="Customer Payment",OR(J638="",COUNTIF(ar_No,J638&amp;"")=0)),"Invoice # in Reference not found on AR sheet",IF(AND(D638="Bill Payment",H638=""),"Add the vendor",IF(AND(D638="Bill Payment",OR(J638="",COUNTIFS(ap_No,J638&amp;"",ap_Party,H638&amp;"")=0)),"Bill # + vendor not found on AP sheet",IF(AND(ISNUMBER(M638),N(M638)&lt;&gt;0,W638=0),"Tax ignored (tax tracking off, or not allowed for this type)",IF(V638=K638&amp;"","Same account on both sides",IF(AND(ISNUMBER(StartDate),C638&lt;StartDate),"Date is before the accounting start date",IF(AND(D638&lt;&gt;"Adjustment",IFERROR(INDEX(coa_Pay,MATCH(K638&amp;"",coa_Name,0)),"")&lt;&gt;"Yes"),"Paid From / Deposited To is not a payment account","")))))))))))</f>
        <v/>
      </c>
      <c r="Z638" s="67">
        <f>IF(AND(T638=0,X638=""),1,0)</f>
        <v/>
      </c>
      <c r="AA638" s="68">
        <f>IF(Z638=1,IF(U638="In",L638,L638-W638),0)</f>
        <v/>
      </c>
      <c r="AB638" s="68">
        <f>IF(Z638=1,IF(U638="In",L638-W638,L638),0)</f>
        <v/>
      </c>
      <c r="AC638" s="68">
        <f>IF(AND(Z638=1,U638="Out"),W638,0)</f>
        <v/>
      </c>
      <c r="AD638" s="68">
        <f>IF(AND(Z638=1,U638="In"),W638,0)</f>
        <v/>
      </c>
    </row>
    <row r="639">
      <c r="B639" s="62" t="inlineStr">
        <is>
          <t>TX-0633</t>
        </is>
      </c>
      <c r="C639" s="63" t="n"/>
      <c r="D639" s="62" t="n"/>
      <c r="E639" s="62" t="n"/>
      <c r="F639" s="62" t="n"/>
      <c r="G639" s="62" t="n"/>
      <c r="H639" s="62" t="n"/>
      <c r="I639" s="62" t="n"/>
      <c r="J639" s="62" t="n"/>
      <c r="K639" s="62" t="n"/>
      <c r="L639" s="64" t="n"/>
      <c r="M639" s="64" t="n"/>
      <c r="N639" s="62" t="n"/>
      <c r="O639" s="65">
        <f>IF(Z639=1,L639-W639,"")</f>
        <v/>
      </c>
      <c r="P639" s="66">
        <f>IF(V639="","",IFERROR(INDEX(coa_Type,MATCH(V639,coa_Name,0)),""))</f>
        <v/>
      </c>
      <c r="Q639" s="66">
        <f>IF(Z639=1,IF(U639="In",K639&amp;"",V639),"")</f>
        <v/>
      </c>
      <c r="R639" s="66">
        <f>IF(Z639=1,IF(U639="In",V639,K639&amp;""),"")</f>
        <v/>
      </c>
      <c r="S639" s="66">
        <f>IF(X639&lt;&gt;"","⛔ "&amp;X639&amp;" — not posted",IF(Y639&lt;&gt;"","⚠ "&amp;Y639,IF(Z639=1,"✓ OK","")))</f>
        <v/>
      </c>
      <c r="T639" s="67">
        <f>IF(AND(C639="",D639="",E639="",L639="",K639=""),1,0)</f>
        <v/>
      </c>
      <c r="U639" s="67">
        <f>IFERROR(INDEX(tt_Dir,MATCH(D639,tt_Type,0)),"")</f>
        <v/>
      </c>
      <c r="V639" s="67">
        <f>IF(D639="","",IFERROR(IF(INDEX(tt_Other,MATCH(D639,tt_Type,0))="",E639&amp;"",INDEX(tt_Other,MATCH(D639,tt_Type,0))),""))</f>
        <v/>
      </c>
      <c r="W639" s="68">
        <f>IF(OR(TaxOn&lt;&gt;"Yes",NOT(ISNUMBER(M639))),0,IF(IFERROR(INDEX(tt_Tax,MATCH(D639,tt_Type,0)),"No")="Yes",M639,0))</f>
        <v/>
      </c>
      <c r="X639" s="67">
        <f>IF(T639=1,"",IF(C639="","Missing transaction date",IF(NOT(ISNUMBER(C639)),"Invalid date",IF(OR(C639&lt;DATE(2000,1,1),C639&gt;DATE(2099,12,31)),"Invalid date",IF(D639="","Select a type",IF(U639="","Unknown type: "&amp;D639,IF(V639="","Select an account (Category)",IF(ISNA(MATCH(V639,coa_Name,0)),"Unknown account: "&amp;V639,IF(K639="","Select Paid From / Deposited To",IF(ISNA(MATCH(K639,coa_Name,0)),"Unknown account: "&amp;K639,IF(NOT(ISNUMBER(L639)),"Enter an amount",IF(L639=0,"Enter an amount",IF(ABS(W639)&gt;ABS(L639),"Tax is larger than the amount","")))))))))))))</f>
        <v/>
      </c>
      <c r="Y639" s="67">
        <f>IF(OR(T639=1,X639&lt;&gt;""),"",IF(AND(B639&lt;&gt;"",COUNTIF(tx_ID,B639)&gt;1),"Duplicate transaction ID",IF(AND(L639&lt;0,D639&lt;&gt;"Adjustment"),"Negative amount — check this entry",IF(AND(D639="Customer Payment",G639=""),"Add the customer",IF(AND(D639="Customer Payment",OR(J639="",COUNTIF(ar_No,J639&amp;"")=0)),"Invoice # in Reference not found on AR sheet",IF(AND(D639="Bill Payment",H639=""),"Add the vendor",IF(AND(D639="Bill Payment",OR(J639="",COUNTIFS(ap_No,J639&amp;"",ap_Party,H639&amp;"")=0)),"Bill # + vendor not found on AP sheet",IF(AND(ISNUMBER(M639),N(M639)&lt;&gt;0,W639=0),"Tax ignored (tax tracking off, or not allowed for this type)",IF(V639=K639&amp;"","Same account on both sides",IF(AND(ISNUMBER(StartDate),C639&lt;StartDate),"Date is before the accounting start date",IF(AND(D639&lt;&gt;"Adjustment",IFERROR(INDEX(coa_Pay,MATCH(K639&amp;"",coa_Name,0)),"")&lt;&gt;"Yes"),"Paid From / Deposited To is not a payment account","")))))))))))</f>
        <v/>
      </c>
      <c r="Z639" s="67">
        <f>IF(AND(T639=0,X639=""),1,0)</f>
        <v/>
      </c>
      <c r="AA639" s="68">
        <f>IF(Z639=1,IF(U639="In",L639,L639-W639),0)</f>
        <v/>
      </c>
      <c r="AB639" s="68">
        <f>IF(Z639=1,IF(U639="In",L639-W639,L639),0)</f>
        <v/>
      </c>
      <c r="AC639" s="68">
        <f>IF(AND(Z639=1,U639="Out"),W639,0)</f>
        <v/>
      </c>
      <c r="AD639" s="68">
        <f>IF(AND(Z639=1,U639="In"),W639,0)</f>
        <v/>
      </c>
    </row>
    <row r="640">
      <c r="B640" s="62" t="inlineStr">
        <is>
          <t>TX-0634</t>
        </is>
      </c>
      <c r="C640" s="63" t="n"/>
      <c r="D640" s="62" t="n"/>
      <c r="E640" s="62" t="n"/>
      <c r="F640" s="62" t="n"/>
      <c r="G640" s="62" t="n"/>
      <c r="H640" s="62" t="n"/>
      <c r="I640" s="62" t="n"/>
      <c r="J640" s="62" t="n"/>
      <c r="K640" s="62" t="n"/>
      <c r="L640" s="64" t="n"/>
      <c r="M640" s="64" t="n"/>
      <c r="N640" s="62" t="n"/>
      <c r="O640" s="65">
        <f>IF(Z640=1,L640-W640,"")</f>
        <v/>
      </c>
      <c r="P640" s="66">
        <f>IF(V640="","",IFERROR(INDEX(coa_Type,MATCH(V640,coa_Name,0)),""))</f>
        <v/>
      </c>
      <c r="Q640" s="66">
        <f>IF(Z640=1,IF(U640="In",K640&amp;"",V640),"")</f>
        <v/>
      </c>
      <c r="R640" s="66">
        <f>IF(Z640=1,IF(U640="In",V640,K640&amp;""),"")</f>
        <v/>
      </c>
      <c r="S640" s="66">
        <f>IF(X640&lt;&gt;"","⛔ "&amp;X640&amp;" — not posted",IF(Y640&lt;&gt;"","⚠ "&amp;Y640,IF(Z640=1,"✓ OK","")))</f>
        <v/>
      </c>
      <c r="T640" s="67">
        <f>IF(AND(C640="",D640="",E640="",L640="",K640=""),1,0)</f>
        <v/>
      </c>
      <c r="U640" s="67">
        <f>IFERROR(INDEX(tt_Dir,MATCH(D640,tt_Type,0)),"")</f>
        <v/>
      </c>
      <c r="V640" s="67">
        <f>IF(D640="","",IFERROR(IF(INDEX(tt_Other,MATCH(D640,tt_Type,0))="",E640&amp;"",INDEX(tt_Other,MATCH(D640,tt_Type,0))),""))</f>
        <v/>
      </c>
      <c r="W640" s="68">
        <f>IF(OR(TaxOn&lt;&gt;"Yes",NOT(ISNUMBER(M640))),0,IF(IFERROR(INDEX(tt_Tax,MATCH(D640,tt_Type,0)),"No")="Yes",M640,0))</f>
        <v/>
      </c>
      <c r="X640" s="67">
        <f>IF(T640=1,"",IF(C640="","Missing transaction date",IF(NOT(ISNUMBER(C640)),"Invalid date",IF(OR(C640&lt;DATE(2000,1,1),C640&gt;DATE(2099,12,31)),"Invalid date",IF(D640="","Select a type",IF(U640="","Unknown type: "&amp;D640,IF(V640="","Select an account (Category)",IF(ISNA(MATCH(V640,coa_Name,0)),"Unknown account: "&amp;V640,IF(K640="","Select Paid From / Deposited To",IF(ISNA(MATCH(K640,coa_Name,0)),"Unknown account: "&amp;K640,IF(NOT(ISNUMBER(L640)),"Enter an amount",IF(L640=0,"Enter an amount",IF(ABS(W640)&gt;ABS(L640),"Tax is larger than the amount","")))))))))))))</f>
        <v/>
      </c>
      <c r="Y640" s="67">
        <f>IF(OR(T640=1,X640&lt;&gt;""),"",IF(AND(B640&lt;&gt;"",COUNTIF(tx_ID,B640)&gt;1),"Duplicate transaction ID",IF(AND(L640&lt;0,D640&lt;&gt;"Adjustment"),"Negative amount — check this entry",IF(AND(D640="Customer Payment",G640=""),"Add the customer",IF(AND(D640="Customer Payment",OR(J640="",COUNTIF(ar_No,J640&amp;"")=0)),"Invoice # in Reference not found on AR sheet",IF(AND(D640="Bill Payment",H640=""),"Add the vendor",IF(AND(D640="Bill Payment",OR(J640="",COUNTIFS(ap_No,J640&amp;"",ap_Party,H640&amp;"")=0)),"Bill # + vendor not found on AP sheet",IF(AND(ISNUMBER(M640),N(M640)&lt;&gt;0,W640=0),"Tax ignored (tax tracking off, or not allowed for this type)",IF(V640=K640&amp;"","Same account on both sides",IF(AND(ISNUMBER(StartDate),C640&lt;StartDate),"Date is before the accounting start date",IF(AND(D640&lt;&gt;"Adjustment",IFERROR(INDEX(coa_Pay,MATCH(K640&amp;"",coa_Name,0)),"")&lt;&gt;"Yes"),"Paid From / Deposited To is not a payment account","")))))))))))</f>
        <v/>
      </c>
      <c r="Z640" s="67">
        <f>IF(AND(T640=0,X640=""),1,0)</f>
        <v/>
      </c>
      <c r="AA640" s="68">
        <f>IF(Z640=1,IF(U640="In",L640,L640-W640),0)</f>
        <v/>
      </c>
      <c r="AB640" s="68">
        <f>IF(Z640=1,IF(U640="In",L640-W640,L640),0)</f>
        <v/>
      </c>
      <c r="AC640" s="68">
        <f>IF(AND(Z640=1,U640="Out"),W640,0)</f>
        <v/>
      </c>
      <c r="AD640" s="68">
        <f>IF(AND(Z640=1,U640="In"),W640,0)</f>
        <v/>
      </c>
    </row>
    <row r="641">
      <c r="B641" s="62" t="inlineStr">
        <is>
          <t>TX-0635</t>
        </is>
      </c>
      <c r="C641" s="63" t="n"/>
      <c r="D641" s="62" t="n"/>
      <c r="E641" s="62" t="n"/>
      <c r="F641" s="62" t="n"/>
      <c r="G641" s="62" t="n"/>
      <c r="H641" s="62" t="n"/>
      <c r="I641" s="62" t="n"/>
      <c r="J641" s="62" t="n"/>
      <c r="K641" s="62" t="n"/>
      <c r="L641" s="64" t="n"/>
      <c r="M641" s="64" t="n"/>
      <c r="N641" s="62" t="n"/>
      <c r="O641" s="65">
        <f>IF(Z641=1,L641-W641,"")</f>
        <v/>
      </c>
      <c r="P641" s="66">
        <f>IF(V641="","",IFERROR(INDEX(coa_Type,MATCH(V641,coa_Name,0)),""))</f>
        <v/>
      </c>
      <c r="Q641" s="66">
        <f>IF(Z641=1,IF(U641="In",K641&amp;"",V641),"")</f>
        <v/>
      </c>
      <c r="R641" s="66">
        <f>IF(Z641=1,IF(U641="In",V641,K641&amp;""),"")</f>
        <v/>
      </c>
      <c r="S641" s="66">
        <f>IF(X641&lt;&gt;"","⛔ "&amp;X641&amp;" — not posted",IF(Y641&lt;&gt;"","⚠ "&amp;Y641,IF(Z641=1,"✓ OK","")))</f>
        <v/>
      </c>
      <c r="T641" s="67">
        <f>IF(AND(C641="",D641="",E641="",L641="",K641=""),1,0)</f>
        <v/>
      </c>
      <c r="U641" s="67">
        <f>IFERROR(INDEX(tt_Dir,MATCH(D641,tt_Type,0)),"")</f>
        <v/>
      </c>
      <c r="V641" s="67">
        <f>IF(D641="","",IFERROR(IF(INDEX(tt_Other,MATCH(D641,tt_Type,0))="",E641&amp;"",INDEX(tt_Other,MATCH(D641,tt_Type,0))),""))</f>
        <v/>
      </c>
      <c r="W641" s="68">
        <f>IF(OR(TaxOn&lt;&gt;"Yes",NOT(ISNUMBER(M641))),0,IF(IFERROR(INDEX(tt_Tax,MATCH(D641,tt_Type,0)),"No")="Yes",M641,0))</f>
        <v/>
      </c>
      <c r="X641" s="67">
        <f>IF(T641=1,"",IF(C641="","Missing transaction date",IF(NOT(ISNUMBER(C641)),"Invalid date",IF(OR(C641&lt;DATE(2000,1,1),C641&gt;DATE(2099,12,31)),"Invalid date",IF(D641="","Select a type",IF(U641="","Unknown type: "&amp;D641,IF(V641="","Select an account (Category)",IF(ISNA(MATCH(V641,coa_Name,0)),"Unknown account: "&amp;V641,IF(K641="","Select Paid From / Deposited To",IF(ISNA(MATCH(K641,coa_Name,0)),"Unknown account: "&amp;K641,IF(NOT(ISNUMBER(L641)),"Enter an amount",IF(L641=0,"Enter an amount",IF(ABS(W641)&gt;ABS(L641),"Tax is larger than the amount","")))))))))))))</f>
        <v/>
      </c>
      <c r="Y641" s="67">
        <f>IF(OR(T641=1,X641&lt;&gt;""),"",IF(AND(B641&lt;&gt;"",COUNTIF(tx_ID,B641)&gt;1),"Duplicate transaction ID",IF(AND(L641&lt;0,D641&lt;&gt;"Adjustment"),"Negative amount — check this entry",IF(AND(D641="Customer Payment",G641=""),"Add the customer",IF(AND(D641="Customer Payment",OR(J641="",COUNTIF(ar_No,J641&amp;"")=0)),"Invoice # in Reference not found on AR sheet",IF(AND(D641="Bill Payment",H641=""),"Add the vendor",IF(AND(D641="Bill Payment",OR(J641="",COUNTIFS(ap_No,J641&amp;"",ap_Party,H641&amp;"")=0)),"Bill # + vendor not found on AP sheet",IF(AND(ISNUMBER(M641),N(M641)&lt;&gt;0,W641=0),"Tax ignored (tax tracking off, or not allowed for this type)",IF(V641=K641&amp;"","Same account on both sides",IF(AND(ISNUMBER(StartDate),C641&lt;StartDate),"Date is before the accounting start date",IF(AND(D641&lt;&gt;"Adjustment",IFERROR(INDEX(coa_Pay,MATCH(K641&amp;"",coa_Name,0)),"")&lt;&gt;"Yes"),"Paid From / Deposited To is not a payment account","")))))))))))</f>
        <v/>
      </c>
      <c r="Z641" s="67">
        <f>IF(AND(T641=0,X641=""),1,0)</f>
        <v/>
      </c>
      <c r="AA641" s="68">
        <f>IF(Z641=1,IF(U641="In",L641,L641-W641),0)</f>
        <v/>
      </c>
      <c r="AB641" s="68">
        <f>IF(Z641=1,IF(U641="In",L641-W641,L641),0)</f>
        <v/>
      </c>
      <c r="AC641" s="68">
        <f>IF(AND(Z641=1,U641="Out"),W641,0)</f>
        <v/>
      </c>
      <c r="AD641" s="68">
        <f>IF(AND(Z641=1,U641="In"),W641,0)</f>
        <v/>
      </c>
    </row>
    <row r="642">
      <c r="B642" s="62" t="inlineStr">
        <is>
          <t>TX-0636</t>
        </is>
      </c>
      <c r="C642" s="63" t="n"/>
      <c r="D642" s="62" t="n"/>
      <c r="E642" s="62" t="n"/>
      <c r="F642" s="62" t="n"/>
      <c r="G642" s="62" t="n"/>
      <c r="H642" s="62" t="n"/>
      <c r="I642" s="62" t="n"/>
      <c r="J642" s="62" t="n"/>
      <c r="K642" s="62" t="n"/>
      <c r="L642" s="64" t="n"/>
      <c r="M642" s="64" t="n"/>
      <c r="N642" s="62" t="n"/>
      <c r="O642" s="65">
        <f>IF(Z642=1,L642-W642,"")</f>
        <v/>
      </c>
      <c r="P642" s="66">
        <f>IF(V642="","",IFERROR(INDEX(coa_Type,MATCH(V642,coa_Name,0)),""))</f>
        <v/>
      </c>
      <c r="Q642" s="66">
        <f>IF(Z642=1,IF(U642="In",K642&amp;"",V642),"")</f>
        <v/>
      </c>
      <c r="R642" s="66">
        <f>IF(Z642=1,IF(U642="In",V642,K642&amp;""),"")</f>
        <v/>
      </c>
      <c r="S642" s="66">
        <f>IF(X642&lt;&gt;"","⛔ "&amp;X642&amp;" — not posted",IF(Y642&lt;&gt;"","⚠ "&amp;Y642,IF(Z642=1,"✓ OK","")))</f>
        <v/>
      </c>
      <c r="T642" s="67">
        <f>IF(AND(C642="",D642="",E642="",L642="",K642=""),1,0)</f>
        <v/>
      </c>
      <c r="U642" s="67">
        <f>IFERROR(INDEX(tt_Dir,MATCH(D642,tt_Type,0)),"")</f>
        <v/>
      </c>
      <c r="V642" s="67">
        <f>IF(D642="","",IFERROR(IF(INDEX(tt_Other,MATCH(D642,tt_Type,0))="",E642&amp;"",INDEX(tt_Other,MATCH(D642,tt_Type,0))),""))</f>
        <v/>
      </c>
      <c r="W642" s="68">
        <f>IF(OR(TaxOn&lt;&gt;"Yes",NOT(ISNUMBER(M642))),0,IF(IFERROR(INDEX(tt_Tax,MATCH(D642,tt_Type,0)),"No")="Yes",M642,0))</f>
        <v/>
      </c>
      <c r="X642" s="67">
        <f>IF(T642=1,"",IF(C642="","Missing transaction date",IF(NOT(ISNUMBER(C642)),"Invalid date",IF(OR(C642&lt;DATE(2000,1,1),C642&gt;DATE(2099,12,31)),"Invalid date",IF(D642="","Select a type",IF(U642="","Unknown type: "&amp;D642,IF(V642="","Select an account (Category)",IF(ISNA(MATCH(V642,coa_Name,0)),"Unknown account: "&amp;V642,IF(K642="","Select Paid From / Deposited To",IF(ISNA(MATCH(K642,coa_Name,0)),"Unknown account: "&amp;K642,IF(NOT(ISNUMBER(L642)),"Enter an amount",IF(L642=0,"Enter an amount",IF(ABS(W642)&gt;ABS(L642),"Tax is larger than the amount","")))))))))))))</f>
        <v/>
      </c>
      <c r="Y642" s="67">
        <f>IF(OR(T642=1,X642&lt;&gt;""),"",IF(AND(B642&lt;&gt;"",COUNTIF(tx_ID,B642)&gt;1),"Duplicate transaction ID",IF(AND(L642&lt;0,D642&lt;&gt;"Adjustment"),"Negative amount — check this entry",IF(AND(D642="Customer Payment",G642=""),"Add the customer",IF(AND(D642="Customer Payment",OR(J642="",COUNTIF(ar_No,J642&amp;"")=0)),"Invoice # in Reference not found on AR sheet",IF(AND(D642="Bill Payment",H642=""),"Add the vendor",IF(AND(D642="Bill Payment",OR(J642="",COUNTIFS(ap_No,J642&amp;"",ap_Party,H642&amp;"")=0)),"Bill # + vendor not found on AP sheet",IF(AND(ISNUMBER(M642),N(M642)&lt;&gt;0,W642=0),"Tax ignored (tax tracking off, or not allowed for this type)",IF(V642=K642&amp;"","Same account on both sides",IF(AND(ISNUMBER(StartDate),C642&lt;StartDate),"Date is before the accounting start date",IF(AND(D642&lt;&gt;"Adjustment",IFERROR(INDEX(coa_Pay,MATCH(K642&amp;"",coa_Name,0)),"")&lt;&gt;"Yes"),"Paid From / Deposited To is not a payment account","")))))))))))</f>
        <v/>
      </c>
      <c r="Z642" s="67">
        <f>IF(AND(T642=0,X642=""),1,0)</f>
        <v/>
      </c>
      <c r="AA642" s="68">
        <f>IF(Z642=1,IF(U642="In",L642,L642-W642),0)</f>
        <v/>
      </c>
      <c r="AB642" s="68">
        <f>IF(Z642=1,IF(U642="In",L642-W642,L642),0)</f>
        <v/>
      </c>
      <c r="AC642" s="68">
        <f>IF(AND(Z642=1,U642="Out"),W642,0)</f>
        <v/>
      </c>
      <c r="AD642" s="68">
        <f>IF(AND(Z642=1,U642="In"),W642,0)</f>
        <v/>
      </c>
    </row>
    <row r="643">
      <c r="B643" s="62" t="inlineStr">
        <is>
          <t>TX-0637</t>
        </is>
      </c>
      <c r="C643" s="63" t="n"/>
      <c r="D643" s="62" t="n"/>
      <c r="E643" s="62" t="n"/>
      <c r="F643" s="62" t="n"/>
      <c r="G643" s="62" t="n"/>
      <c r="H643" s="62" t="n"/>
      <c r="I643" s="62" t="n"/>
      <c r="J643" s="62" t="n"/>
      <c r="K643" s="62" t="n"/>
      <c r="L643" s="64" t="n"/>
      <c r="M643" s="64" t="n"/>
      <c r="N643" s="62" t="n"/>
      <c r="O643" s="65">
        <f>IF(Z643=1,L643-W643,"")</f>
        <v/>
      </c>
      <c r="P643" s="66">
        <f>IF(V643="","",IFERROR(INDEX(coa_Type,MATCH(V643,coa_Name,0)),""))</f>
        <v/>
      </c>
      <c r="Q643" s="66">
        <f>IF(Z643=1,IF(U643="In",K643&amp;"",V643),"")</f>
        <v/>
      </c>
      <c r="R643" s="66">
        <f>IF(Z643=1,IF(U643="In",V643,K643&amp;""),"")</f>
        <v/>
      </c>
      <c r="S643" s="66">
        <f>IF(X643&lt;&gt;"","⛔ "&amp;X643&amp;" — not posted",IF(Y643&lt;&gt;"","⚠ "&amp;Y643,IF(Z643=1,"✓ OK","")))</f>
        <v/>
      </c>
      <c r="T643" s="67">
        <f>IF(AND(C643="",D643="",E643="",L643="",K643=""),1,0)</f>
        <v/>
      </c>
      <c r="U643" s="67">
        <f>IFERROR(INDEX(tt_Dir,MATCH(D643,tt_Type,0)),"")</f>
        <v/>
      </c>
      <c r="V643" s="67">
        <f>IF(D643="","",IFERROR(IF(INDEX(tt_Other,MATCH(D643,tt_Type,0))="",E643&amp;"",INDEX(tt_Other,MATCH(D643,tt_Type,0))),""))</f>
        <v/>
      </c>
      <c r="W643" s="68">
        <f>IF(OR(TaxOn&lt;&gt;"Yes",NOT(ISNUMBER(M643))),0,IF(IFERROR(INDEX(tt_Tax,MATCH(D643,tt_Type,0)),"No")="Yes",M643,0))</f>
        <v/>
      </c>
      <c r="X643" s="67">
        <f>IF(T643=1,"",IF(C643="","Missing transaction date",IF(NOT(ISNUMBER(C643)),"Invalid date",IF(OR(C643&lt;DATE(2000,1,1),C643&gt;DATE(2099,12,31)),"Invalid date",IF(D643="","Select a type",IF(U643="","Unknown type: "&amp;D643,IF(V643="","Select an account (Category)",IF(ISNA(MATCH(V643,coa_Name,0)),"Unknown account: "&amp;V643,IF(K643="","Select Paid From / Deposited To",IF(ISNA(MATCH(K643,coa_Name,0)),"Unknown account: "&amp;K643,IF(NOT(ISNUMBER(L643)),"Enter an amount",IF(L643=0,"Enter an amount",IF(ABS(W643)&gt;ABS(L643),"Tax is larger than the amount","")))))))))))))</f>
        <v/>
      </c>
      <c r="Y643" s="67">
        <f>IF(OR(T643=1,X643&lt;&gt;""),"",IF(AND(B643&lt;&gt;"",COUNTIF(tx_ID,B643)&gt;1),"Duplicate transaction ID",IF(AND(L643&lt;0,D643&lt;&gt;"Adjustment"),"Negative amount — check this entry",IF(AND(D643="Customer Payment",G643=""),"Add the customer",IF(AND(D643="Customer Payment",OR(J643="",COUNTIF(ar_No,J643&amp;"")=0)),"Invoice # in Reference not found on AR sheet",IF(AND(D643="Bill Payment",H643=""),"Add the vendor",IF(AND(D643="Bill Payment",OR(J643="",COUNTIFS(ap_No,J643&amp;"",ap_Party,H643&amp;"")=0)),"Bill # + vendor not found on AP sheet",IF(AND(ISNUMBER(M643),N(M643)&lt;&gt;0,W643=0),"Tax ignored (tax tracking off, or not allowed for this type)",IF(V643=K643&amp;"","Same account on both sides",IF(AND(ISNUMBER(StartDate),C643&lt;StartDate),"Date is before the accounting start date",IF(AND(D643&lt;&gt;"Adjustment",IFERROR(INDEX(coa_Pay,MATCH(K643&amp;"",coa_Name,0)),"")&lt;&gt;"Yes"),"Paid From / Deposited To is not a payment account","")))))))))))</f>
        <v/>
      </c>
      <c r="Z643" s="67">
        <f>IF(AND(T643=0,X643=""),1,0)</f>
        <v/>
      </c>
      <c r="AA643" s="68">
        <f>IF(Z643=1,IF(U643="In",L643,L643-W643),0)</f>
        <v/>
      </c>
      <c r="AB643" s="68">
        <f>IF(Z643=1,IF(U643="In",L643-W643,L643),0)</f>
        <v/>
      </c>
      <c r="AC643" s="68">
        <f>IF(AND(Z643=1,U643="Out"),W643,0)</f>
        <v/>
      </c>
      <c r="AD643" s="68">
        <f>IF(AND(Z643=1,U643="In"),W643,0)</f>
        <v/>
      </c>
    </row>
    <row r="644">
      <c r="B644" s="62" t="inlineStr">
        <is>
          <t>TX-0638</t>
        </is>
      </c>
      <c r="C644" s="63" t="n"/>
      <c r="D644" s="62" t="n"/>
      <c r="E644" s="62" t="n"/>
      <c r="F644" s="62" t="n"/>
      <c r="G644" s="62" t="n"/>
      <c r="H644" s="62" t="n"/>
      <c r="I644" s="62" t="n"/>
      <c r="J644" s="62" t="n"/>
      <c r="K644" s="62" t="n"/>
      <c r="L644" s="64" t="n"/>
      <c r="M644" s="64" t="n"/>
      <c r="N644" s="62" t="n"/>
      <c r="O644" s="65">
        <f>IF(Z644=1,L644-W644,"")</f>
        <v/>
      </c>
      <c r="P644" s="66">
        <f>IF(V644="","",IFERROR(INDEX(coa_Type,MATCH(V644,coa_Name,0)),""))</f>
        <v/>
      </c>
      <c r="Q644" s="66">
        <f>IF(Z644=1,IF(U644="In",K644&amp;"",V644),"")</f>
        <v/>
      </c>
      <c r="R644" s="66">
        <f>IF(Z644=1,IF(U644="In",V644,K644&amp;""),"")</f>
        <v/>
      </c>
      <c r="S644" s="66">
        <f>IF(X644&lt;&gt;"","⛔ "&amp;X644&amp;" — not posted",IF(Y644&lt;&gt;"","⚠ "&amp;Y644,IF(Z644=1,"✓ OK","")))</f>
        <v/>
      </c>
      <c r="T644" s="67">
        <f>IF(AND(C644="",D644="",E644="",L644="",K644=""),1,0)</f>
        <v/>
      </c>
      <c r="U644" s="67">
        <f>IFERROR(INDEX(tt_Dir,MATCH(D644,tt_Type,0)),"")</f>
        <v/>
      </c>
      <c r="V644" s="67">
        <f>IF(D644="","",IFERROR(IF(INDEX(tt_Other,MATCH(D644,tt_Type,0))="",E644&amp;"",INDEX(tt_Other,MATCH(D644,tt_Type,0))),""))</f>
        <v/>
      </c>
      <c r="W644" s="68">
        <f>IF(OR(TaxOn&lt;&gt;"Yes",NOT(ISNUMBER(M644))),0,IF(IFERROR(INDEX(tt_Tax,MATCH(D644,tt_Type,0)),"No")="Yes",M644,0))</f>
        <v/>
      </c>
      <c r="X644" s="67">
        <f>IF(T644=1,"",IF(C644="","Missing transaction date",IF(NOT(ISNUMBER(C644)),"Invalid date",IF(OR(C644&lt;DATE(2000,1,1),C644&gt;DATE(2099,12,31)),"Invalid date",IF(D644="","Select a type",IF(U644="","Unknown type: "&amp;D644,IF(V644="","Select an account (Category)",IF(ISNA(MATCH(V644,coa_Name,0)),"Unknown account: "&amp;V644,IF(K644="","Select Paid From / Deposited To",IF(ISNA(MATCH(K644,coa_Name,0)),"Unknown account: "&amp;K644,IF(NOT(ISNUMBER(L644)),"Enter an amount",IF(L644=0,"Enter an amount",IF(ABS(W644)&gt;ABS(L644),"Tax is larger than the amount","")))))))))))))</f>
        <v/>
      </c>
      <c r="Y644" s="67">
        <f>IF(OR(T644=1,X644&lt;&gt;""),"",IF(AND(B644&lt;&gt;"",COUNTIF(tx_ID,B644)&gt;1),"Duplicate transaction ID",IF(AND(L644&lt;0,D644&lt;&gt;"Adjustment"),"Negative amount — check this entry",IF(AND(D644="Customer Payment",G644=""),"Add the customer",IF(AND(D644="Customer Payment",OR(J644="",COUNTIF(ar_No,J644&amp;"")=0)),"Invoice # in Reference not found on AR sheet",IF(AND(D644="Bill Payment",H644=""),"Add the vendor",IF(AND(D644="Bill Payment",OR(J644="",COUNTIFS(ap_No,J644&amp;"",ap_Party,H644&amp;"")=0)),"Bill # + vendor not found on AP sheet",IF(AND(ISNUMBER(M644),N(M644)&lt;&gt;0,W644=0),"Tax ignored (tax tracking off, or not allowed for this type)",IF(V644=K644&amp;"","Same account on both sides",IF(AND(ISNUMBER(StartDate),C644&lt;StartDate),"Date is before the accounting start date",IF(AND(D644&lt;&gt;"Adjustment",IFERROR(INDEX(coa_Pay,MATCH(K644&amp;"",coa_Name,0)),"")&lt;&gt;"Yes"),"Paid From / Deposited To is not a payment account","")))))))))))</f>
        <v/>
      </c>
      <c r="Z644" s="67">
        <f>IF(AND(T644=0,X644=""),1,0)</f>
        <v/>
      </c>
      <c r="AA644" s="68">
        <f>IF(Z644=1,IF(U644="In",L644,L644-W644),0)</f>
        <v/>
      </c>
      <c r="AB644" s="68">
        <f>IF(Z644=1,IF(U644="In",L644-W644,L644),0)</f>
        <v/>
      </c>
      <c r="AC644" s="68">
        <f>IF(AND(Z644=1,U644="Out"),W644,0)</f>
        <v/>
      </c>
      <c r="AD644" s="68">
        <f>IF(AND(Z644=1,U644="In"),W644,0)</f>
        <v/>
      </c>
    </row>
    <row r="645">
      <c r="B645" s="62" t="inlineStr">
        <is>
          <t>TX-0639</t>
        </is>
      </c>
      <c r="C645" s="63" t="n"/>
      <c r="D645" s="62" t="n"/>
      <c r="E645" s="62" t="n"/>
      <c r="F645" s="62" t="n"/>
      <c r="G645" s="62" t="n"/>
      <c r="H645" s="62" t="n"/>
      <c r="I645" s="62" t="n"/>
      <c r="J645" s="62" t="n"/>
      <c r="K645" s="62" t="n"/>
      <c r="L645" s="64" t="n"/>
      <c r="M645" s="64" t="n"/>
      <c r="N645" s="62" t="n"/>
      <c r="O645" s="65">
        <f>IF(Z645=1,L645-W645,"")</f>
        <v/>
      </c>
      <c r="P645" s="66">
        <f>IF(V645="","",IFERROR(INDEX(coa_Type,MATCH(V645,coa_Name,0)),""))</f>
        <v/>
      </c>
      <c r="Q645" s="66">
        <f>IF(Z645=1,IF(U645="In",K645&amp;"",V645),"")</f>
        <v/>
      </c>
      <c r="R645" s="66">
        <f>IF(Z645=1,IF(U645="In",V645,K645&amp;""),"")</f>
        <v/>
      </c>
      <c r="S645" s="66">
        <f>IF(X645&lt;&gt;"","⛔ "&amp;X645&amp;" — not posted",IF(Y645&lt;&gt;"","⚠ "&amp;Y645,IF(Z645=1,"✓ OK","")))</f>
        <v/>
      </c>
      <c r="T645" s="67">
        <f>IF(AND(C645="",D645="",E645="",L645="",K645=""),1,0)</f>
        <v/>
      </c>
      <c r="U645" s="67">
        <f>IFERROR(INDEX(tt_Dir,MATCH(D645,tt_Type,0)),"")</f>
        <v/>
      </c>
      <c r="V645" s="67">
        <f>IF(D645="","",IFERROR(IF(INDEX(tt_Other,MATCH(D645,tt_Type,0))="",E645&amp;"",INDEX(tt_Other,MATCH(D645,tt_Type,0))),""))</f>
        <v/>
      </c>
      <c r="W645" s="68">
        <f>IF(OR(TaxOn&lt;&gt;"Yes",NOT(ISNUMBER(M645))),0,IF(IFERROR(INDEX(tt_Tax,MATCH(D645,tt_Type,0)),"No")="Yes",M645,0))</f>
        <v/>
      </c>
      <c r="X645" s="67">
        <f>IF(T645=1,"",IF(C645="","Missing transaction date",IF(NOT(ISNUMBER(C645)),"Invalid date",IF(OR(C645&lt;DATE(2000,1,1),C645&gt;DATE(2099,12,31)),"Invalid date",IF(D645="","Select a type",IF(U645="","Unknown type: "&amp;D645,IF(V645="","Select an account (Category)",IF(ISNA(MATCH(V645,coa_Name,0)),"Unknown account: "&amp;V645,IF(K645="","Select Paid From / Deposited To",IF(ISNA(MATCH(K645,coa_Name,0)),"Unknown account: "&amp;K645,IF(NOT(ISNUMBER(L645)),"Enter an amount",IF(L645=0,"Enter an amount",IF(ABS(W645)&gt;ABS(L645),"Tax is larger than the amount","")))))))))))))</f>
        <v/>
      </c>
      <c r="Y645" s="67">
        <f>IF(OR(T645=1,X645&lt;&gt;""),"",IF(AND(B645&lt;&gt;"",COUNTIF(tx_ID,B645)&gt;1),"Duplicate transaction ID",IF(AND(L645&lt;0,D645&lt;&gt;"Adjustment"),"Negative amount — check this entry",IF(AND(D645="Customer Payment",G645=""),"Add the customer",IF(AND(D645="Customer Payment",OR(J645="",COUNTIF(ar_No,J645&amp;"")=0)),"Invoice # in Reference not found on AR sheet",IF(AND(D645="Bill Payment",H645=""),"Add the vendor",IF(AND(D645="Bill Payment",OR(J645="",COUNTIFS(ap_No,J645&amp;"",ap_Party,H645&amp;"")=0)),"Bill # + vendor not found on AP sheet",IF(AND(ISNUMBER(M645),N(M645)&lt;&gt;0,W645=0),"Tax ignored (tax tracking off, or not allowed for this type)",IF(V645=K645&amp;"","Same account on both sides",IF(AND(ISNUMBER(StartDate),C645&lt;StartDate),"Date is before the accounting start date",IF(AND(D645&lt;&gt;"Adjustment",IFERROR(INDEX(coa_Pay,MATCH(K645&amp;"",coa_Name,0)),"")&lt;&gt;"Yes"),"Paid From / Deposited To is not a payment account","")))))))))))</f>
        <v/>
      </c>
      <c r="Z645" s="67">
        <f>IF(AND(T645=0,X645=""),1,0)</f>
        <v/>
      </c>
      <c r="AA645" s="68">
        <f>IF(Z645=1,IF(U645="In",L645,L645-W645),0)</f>
        <v/>
      </c>
      <c r="AB645" s="68">
        <f>IF(Z645=1,IF(U645="In",L645-W645,L645),0)</f>
        <v/>
      </c>
      <c r="AC645" s="68">
        <f>IF(AND(Z645=1,U645="Out"),W645,0)</f>
        <v/>
      </c>
      <c r="AD645" s="68">
        <f>IF(AND(Z645=1,U645="In"),W645,0)</f>
        <v/>
      </c>
    </row>
    <row r="646">
      <c r="B646" s="62" t="inlineStr">
        <is>
          <t>TX-0640</t>
        </is>
      </c>
      <c r="C646" s="63" t="n"/>
      <c r="D646" s="62" t="n"/>
      <c r="E646" s="62" t="n"/>
      <c r="F646" s="62" t="n"/>
      <c r="G646" s="62" t="n"/>
      <c r="H646" s="62" t="n"/>
      <c r="I646" s="62" t="n"/>
      <c r="J646" s="62" t="n"/>
      <c r="K646" s="62" t="n"/>
      <c r="L646" s="64" t="n"/>
      <c r="M646" s="64" t="n"/>
      <c r="N646" s="62" t="n"/>
      <c r="O646" s="65">
        <f>IF(Z646=1,L646-W646,"")</f>
        <v/>
      </c>
      <c r="P646" s="66">
        <f>IF(V646="","",IFERROR(INDEX(coa_Type,MATCH(V646,coa_Name,0)),""))</f>
        <v/>
      </c>
      <c r="Q646" s="66">
        <f>IF(Z646=1,IF(U646="In",K646&amp;"",V646),"")</f>
        <v/>
      </c>
      <c r="R646" s="66">
        <f>IF(Z646=1,IF(U646="In",V646,K646&amp;""),"")</f>
        <v/>
      </c>
      <c r="S646" s="66">
        <f>IF(X646&lt;&gt;"","⛔ "&amp;X646&amp;" — not posted",IF(Y646&lt;&gt;"","⚠ "&amp;Y646,IF(Z646=1,"✓ OK","")))</f>
        <v/>
      </c>
      <c r="T646" s="67">
        <f>IF(AND(C646="",D646="",E646="",L646="",K646=""),1,0)</f>
        <v/>
      </c>
      <c r="U646" s="67">
        <f>IFERROR(INDEX(tt_Dir,MATCH(D646,tt_Type,0)),"")</f>
        <v/>
      </c>
      <c r="V646" s="67">
        <f>IF(D646="","",IFERROR(IF(INDEX(tt_Other,MATCH(D646,tt_Type,0))="",E646&amp;"",INDEX(tt_Other,MATCH(D646,tt_Type,0))),""))</f>
        <v/>
      </c>
      <c r="W646" s="68">
        <f>IF(OR(TaxOn&lt;&gt;"Yes",NOT(ISNUMBER(M646))),0,IF(IFERROR(INDEX(tt_Tax,MATCH(D646,tt_Type,0)),"No")="Yes",M646,0))</f>
        <v/>
      </c>
      <c r="X646" s="67">
        <f>IF(T646=1,"",IF(C646="","Missing transaction date",IF(NOT(ISNUMBER(C646)),"Invalid date",IF(OR(C646&lt;DATE(2000,1,1),C646&gt;DATE(2099,12,31)),"Invalid date",IF(D646="","Select a type",IF(U646="","Unknown type: "&amp;D646,IF(V646="","Select an account (Category)",IF(ISNA(MATCH(V646,coa_Name,0)),"Unknown account: "&amp;V646,IF(K646="","Select Paid From / Deposited To",IF(ISNA(MATCH(K646,coa_Name,0)),"Unknown account: "&amp;K646,IF(NOT(ISNUMBER(L646)),"Enter an amount",IF(L646=0,"Enter an amount",IF(ABS(W646)&gt;ABS(L646),"Tax is larger than the amount","")))))))))))))</f>
        <v/>
      </c>
      <c r="Y646" s="67">
        <f>IF(OR(T646=1,X646&lt;&gt;""),"",IF(AND(B646&lt;&gt;"",COUNTIF(tx_ID,B646)&gt;1),"Duplicate transaction ID",IF(AND(L646&lt;0,D646&lt;&gt;"Adjustment"),"Negative amount — check this entry",IF(AND(D646="Customer Payment",G646=""),"Add the customer",IF(AND(D646="Customer Payment",OR(J646="",COUNTIF(ar_No,J646&amp;"")=0)),"Invoice # in Reference not found on AR sheet",IF(AND(D646="Bill Payment",H646=""),"Add the vendor",IF(AND(D646="Bill Payment",OR(J646="",COUNTIFS(ap_No,J646&amp;"",ap_Party,H646&amp;"")=0)),"Bill # + vendor not found on AP sheet",IF(AND(ISNUMBER(M646),N(M646)&lt;&gt;0,W646=0),"Tax ignored (tax tracking off, or not allowed for this type)",IF(V646=K646&amp;"","Same account on both sides",IF(AND(ISNUMBER(StartDate),C646&lt;StartDate),"Date is before the accounting start date",IF(AND(D646&lt;&gt;"Adjustment",IFERROR(INDEX(coa_Pay,MATCH(K646&amp;"",coa_Name,0)),"")&lt;&gt;"Yes"),"Paid From / Deposited To is not a payment account","")))))))))))</f>
        <v/>
      </c>
      <c r="Z646" s="67">
        <f>IF(AND(T646=0,X646=""),1,0)</f>
        <v/>
      </c>
      <c r="AA646" s="68">
        <f>IF(Z646=1,IF(U646="In",L646,L646-W646),0)</f>
        <v/>
      </c>
      <c r="AB646" s="68">
        <f>IF(Z646=1,IF(U646="In",L646-W646,L646),0)</f>
        <v/>
      </c>
      <c r="AC646" s="68">
        <f>IF(AND(Z646=1,U646="Out"),W646,0)</f>
        <v/>
      </c>
      <c r="AD646" s="68">
        <f>IF(AND(Z646=1,U646="In"),W646,0)</f>
        <v/>
      </c>
    </row>
    <row r="647">
      <c r="B647" s="62" t="inlineStr">
        <is>
          <t>TX-0641</t>
        </is>
      </c>
      <c r="C647" s="63" t="n"/>
      <c r="D647" s="62" t="n"/>
      <c r="E647" s="62" t="n"/>
      <c r="F647" s="62" t="n"/>
      <c r="G647" s="62" t="n"/>
      <c r="H647" s="62" t="n"/>
      <c r="I647" s="62" t="n"/>
      <c r="J647" s="62" t="n"/>
      <c r="K647" s="62" t="n"/>
      <c r="L647" s="64" t="n"/>
      <c r="M647" s="64" t="n"/>
      <c r="N647" s="62" t="n"/>
      <c r="O647" s="65">
        <f>IF(Z647=1,L647-W647,"")</f>
        <v/>
      </c>
      <c r="P647" s="66">
        <f>IF(V647="","",IFERROR(INDEX(coa_Type,MATCH(V647,coa_Name,0)),""))</f>
        <v/>
      </c>
      <c r="Q647" s="66">
        <f>IF(Z647=1,IF(U647="In",K647&amp;"",V647),"")</f>
        <v/>
      </c>
      <c r="R647" s="66">
        <f>IF(Z647=1,IF(U647="In",V647,K647&amp;""),"")</f>
        <v/>
      </c>
      <c r="S647" s="66">
        <f>IF(X647&lt;&gt;"","⛔ "&amp;X647&amp;" — not posted",IF(Y647&lt;&gt;"","⚠ "&amp;Y647,IF(Z647=1,"✓ OK","")))</f>
        <v/>
      </c>
      <c r="T647" s="67">
        <f>IF(AND(C647="",D647="",E647="",L647="",K647=""),1,0)</f>
        <v/>
      </c>
      <c r="U647" s="67">
        <f>IFERROR(INDEX(tt_Dir,MATCH(D647,tt_Type,0)),"")</f>
        <v/>
      </c>
      <c r="V647" s="67">
        <f>IF(D647="","",IFERROR(IF(INDEX(tt_Other,MATCH(D647,tt_Type,0))="",E647&amp;"",INDEX(tt_Other,MATCH(D647,tt_Type,0))),""))</f>
        <v/>
      </c>
      <c r="W647" s="68">
        <f>IF(OR(TaxOn&lt;&gt;"Yes",NOT(ISNUMBER(M647))),0,IF(IFERROR(INDEX(tt_Tax,MATCH(D647,tt_Type,0)),"No")="Yes",M647,0))</f>
        <v/>
      </c>
      <c r="X647" s="67">
        <f>IF(T647=1,"",IF(C647="","Missing transaction date",IF(NOT(ISNUMBER(C647)),"Invalid date",IF(OR(C647&lt;DATE(2000,1,1),C647&gt;DATE(2099,12,31)),"Invalid date",IF(D647="","Select a type",IF(U647="","Unknown type: "&amp;D647,IF(V647="","Select an account (Category)",IF(ISNA(MATCH(V647,coa_Name,0)),"Unknown account: "&amp;V647,IF(K647="","Select Paid From / Deposited To",IF(ISNA(MATCH(K647,coa_Name,0)),"Unknown account: "&amp;K647,IF(NOT(ISNUMBER(L647)),"Enter an amount",IF(L647=0,"Enter an amount",IF(ABS(W647)&gt;ABS(L647),"Tax is larger than the amount","")))))))))))))</f>
        <v/>
      </c>
      <c r="Y647" s="67">
        <f>IF(OR(T647=1,X647&lt;&gt;""),"",IF(AND(B647&lt;&gt;"",COUNTIF(tx_ID,B647)&gt;1),"Duplicate transaction ID",IF(AND(L647&lt;0,D647&lt;&gt;"Adjustment"),"Negative amount — check this entry",IF(AND(D647="Customer Payment",G647=""),"Add the customer",IF(AND(D647="Customer Payment",OR(J647="",COUNTIF(ar_No,J647&amp;"")=0)),"Invoice # in Reference not found on AR sheet",IF(AND(D647="Bill Payment",H647=""),"Add the vendor",IF(AND(D647="Bill Payment",OR(J647="",COUNTIFS(ap_No,J647&amp;"",ap_Party,H647&amp;"")=0)),"Bill # + vendor not found on AP sheet",IF(AND(ISNUMBER(M647),N(M647)&lt;&gt;0,W647=0),"Tax ignored (tax tracking off, or not allowed for this type)",IF(V647=K647&amp;"","Same account on both sides",IF(AND(ISNUMBER(StartDate),C647&lt;StartDate),"Date is before the accounting start date",IF(AND(D647&lt;&gt;"Adjustment",IFERROR(INDEX(coa_Pay,MATCH(K647&amp;"",coa_Name,0)),"")&lt;&gt;"Yes"),"Paid From / Deposited To is not a payment account","")))))))))))</f>
        <v/>
      </c>
      <c r="Z647" s="67">
        <f>IF(AND(T647=0,X647=""),1,0)</f>
        <v/>
      </c>
      <c r="AA647" s="68">
        <f>IF(Z647=1,IF(U647="In",L647,L647-W647),0)</f>
        <v/>
      </c>
      <c r="AB647" s="68">
        <f>IF(Z647=1,IF(U647="In",L647-W647,L647),0)</f>
        <v/>
      </c>
      <c r="AC647" s="68">
        <f>IF(AND(Z647=1,U647="Out"),W647,0)</f>
        <v/>
      </c>
      <c r="AD647" s="68">
        <f>IF(AND(Z647=1,U647="In"),W647,0)</f>
        <v/>
      </c>
    </row>
    <row r="648">
      <c r="B648" s="62" t="inlineStr">
        <is>
          <t>TX-0642</t>
        </is>
      </c>
      <c r="C648" s="63" t="n"/>
      <c r="D648" s="62" t="n"/>
      <c r="E648" s="62" t="n"/>
      <c r="F648" s="62" t="n"/>
      <c r="G648" s="62" t="n"/>
      <c r="H648" s="62" t="n"/>
      <c r="I648" s="62" t="n"/>
      <c r="J648" s="62" t="n"/>
      <c r="K648" s="62" t="n"/>
      <c r="L648" s="64" t="n"/>
      <c r="M648" s="64" t="n"/>
      <c r="N648" s="62" t="n"/>
      <c r="O648" s="65">
        <f>IF(Z648=1,L648-W648,"")</f>
        <v/>
      </c>
      <c r="P648" s="66">
        <f>IF(V648="","",IFERROR(INDEX(coa_Type,MATCH(V648,coa_Name,0)),""))</f>
        <v/>
      </c>
      <c r="Q648" s="66">
        <f>IF(Z648=1,IF(U648="In",K648&amp;"",V648),"")</f>
        <v/>
      </c>
      <c r="R648" s="66">
        <f>IF(Z648=1,IF(U648="In",V648,K648&amp;""),"")</f>
        <v/>
      </c>
      <c r="S648" s="66">
        <f>IF(X648&lt;&gt;"","⛔ "&amp;X648&amp;" — not posted",IF(Y648&lt;&gt;"","⚠ "&amp;Y648,IF(Z648=1,"✓ OK","")))</f>
        <v/>
      </c>
      <c r="T648" s="67">
        <f>IF(AND(C648="",D648="",E648="",L648="",K648=""),1,0)</f>
        <v/>
      </c>
      <c r="U648" s="67">
        <f>IFERROR(INDEX(tt_Dir,MATCH(D648,tt_Type,0)),"")</f>
        <v/>
      </c>
      <c r="V648" s="67">
        <f>IF(D648="","",IFERROR(IF(INDEX(tt_Other,MATCH(D648,tt_Type,0))="",E648&amp;"",INDEX(tt_Other,MATCH(D648,tt_Type,0))),""))</f>
        <v/>
      </c>
      <c r="W648" s="68">
        <f>IF(OR(TaxOn&lt;&gt;"Yes",NOT(ISNUMBER(M648))),0,IF(IFERROR(INDEX(tt_Tax,MATCH(D648,tt_Type,0)),"No")="Yes",M648,0))</f>
        <v/>
      </c>
      <c r="X648" s="67">
        <f>IF(T648=1,"",IF(C648="","Missing transaction date",IF(NOT(ISNUMBER(C648)),"Invalid date",IF(OR(C648&lt;DATE(2000,1,1),C648&gt;DATE(2099,12,31)),"Invalid date",IF(D648="","Select a type",IF(U648="","Unknown type: "&amp;D648,IF(V648="","Select an account (Category)",IF(ISNA(MATCH(V648,coa_Name,0)),"Unknown account: "&amp;V648,IF(K648="","Select Paid From / Deposited To",IF(ISNA(MATCH(K648,coa_Name,0)),"Unknown account: "&amp;K648,IF(NOT(ISNUMBER(L648)),"Enter an amount",IF(L648=0,"Enter an amount",IF(ABS(W648)&gt;ABS(L648),"Tax is larger than the amount","")))))))))))))</f>
        <v/>
      </c>
      <c r="Y648" s="67">
        <f>IF(OR(T648=1,X648&lt;&gt;""),"",IF(AND(B648&lt;&gt;"",COUNTIF(tx_ID,B648)&gt;1),"Duplicate transaction ID",IF(AND(L648&lt;0,D648&lt;&gt;"Adjustment"),"Negative amount — check this entry",IF(AND(D648="Customer Payment",G648=""),"Add the customer",IF(AND(D648="Customer Payment",OR(J648="",COUNTIF(ar_No,J648&amp;"")=0)),"Invoice # in Reference not found on AR sheet",IF(AND(D648="Bill Payment",H648=""),"Add the vendor",IF(AND(D648="Bill Payment",OR(J648="",COUNTIFS(ap_No,J648&amp;"",ap_Party,H648&amp;"")=0)),"Bill # + vendor not found on AP sheet",IF(AND(ISNUMBER(M648),N(M648)&lt;&gt;0,W648=0),"Tax ignored (tax tracking off, or not allowed for this type)",IF(V648=K648&amp;"","Same account on both sides",IF(AND(ISNUMBER(StartDate),C648&lt;StartDate),"Date is before the accounting start date",IF(AND(D648&lt;&gt;"Adjustment",IFERROR(INDEX(coa_Pay,MATCH(K648&amp;"",coa_Name,0)),"")&lt;&gt;"Yes"),"Paid From / Deposited To is not a payment account","")))))))))))</f>
        <v/>
      </c>
      <c r="Z648" s="67">
        <f>IF(AND(T648=0,X648=""),1,0)</f>
        <v/>
      </c>
      <c r="AA648" s="68">
        <f>IF(Z648=1,IF(U648="In",L648,L648-W648),0)</f>
        <v/>
      </c>
      <c r="AB648" s="68">
        <f>IF(Z648=1,IF(U648="In",L648-W648,L648),0)</f>
        <v/>
      </c>
      <c r="AC648" s="68">
        <f>IF(AND(Z648=1,U648="Out"),W648,0)</f>
        <v/>
      </c>
      <c r="AD648" s="68">
        <f>IF(AND(Z648=1,U648="In"),W648,0)</f>
        <v/>
      </c>
    </row>
    <row r="649">
      <c r="B649" s="62" t="inlineStr">
        <is>
          <t>TX-0643</t>
        </is>
      </c>
      <c r="C649" s="63" t="n"/>
      <c r="D649" s="62" t="n"/>
      <c r="E649" s="62" t="n"/>
      <c r="F649" s="62" t="n"/>
      <c r="G649" s="62" t="n"/>
      <c r="H649" s="62" t="n"/>
      <c r="I649" s="62" t="n"/>
      <c r="J649" s="62" t="n"/>
      <c r="K649" s="62" t="n"/>
      <c r="L649" s="64" t="n"/>
      <c r="M649" s="64" t="n"/>
      <c r="N649" s="62" t="n"/>
      <c r="O649" s="65">
        <f>IF(Z649=1,L649-W649,"")</f>
        <v/>
      </c>
      <c r="P649" s="66">
        <f>IF(V649="","",IFERROR(INDEX(coa_Type,MATCH(V649,coa_Name,0)),""))</f>
        <v/>
      </c>
      <c r="Q649" s="66">
        <f>IF(Z649=1,IF(U649="In",K649&amp;"",V649),"")</f>
        <v/>
      </c>
      <c r="R649" s="66">
        <f>IF(Z649=1,IF(U649="In",V649,K649&amp;""),"")</f>
        <v/>
      </c>
      <c r="S649" s="66">
        <f>IF(X649&lt;&gt;"","⛔ "&amp;X649&amp;" — not posted",IF(Y649&lt;&gt;"","⚠ "&amp;Y649,IF(Z649=1,"✓ OK","")))</f>
        <v/>
      </c>
      <c r="T649" s="67">
        <f>IF(AND(C649="",D649="",E649="",L649="",K649=""),1,0)</f>
        <v/>
      </c>
      <c r="U649" s="67">
        <f>IFERROR(INDEX(tt_Dir,MATCH(D649,tt_Type,0)),"")</f>
        <v/>
      </c>
      <c r="V649" s="67">
        <f>IF(D649="","",IFERROR(IF(INDEX(tt_Other,MATCH(D649,tt_Type,0))="",E649&amp;"",INDEX(tt_Other,MATCH(D649,tt_Type,0))),""))</f>
        <v/>
      </c>
      <c r="W649" s="68">
        <f>IF(OR(TaxOn&lt;&gt;"Yes",NOT(ISNUMBER(M649))),0,IF(IFERROR(INDEX(tt_Tax,MATCH(D649,tt_Type,0)),"No")="Yes",M649,0))</f>
        <v/>
      </c>
      <c r="X649" s="67">
        <f>IF(T649=1,"",IF(C649="","Missing transaction date",IF(NOT(ISNUMBER(C649)),"Invalid date",IF(OR(C649&lt;DATE(2000,1,1),C649&gt;DATE(2099,12,31)),"Invalid date",IF(D649="","Select a type",IF(U649="","Unknown type: "&amp;D649,IF(V649="","Select an account (Category)",IF(ISNA(MATCH(V649,coa_Name,0)),"Unknown account: "&amp;V649,IF(K649="","Select Paid From / Deposited To",IF(ISNA(MATCH(K649,coa_Name,0)),"Unknown account: "&amp;K649,IF(NOT(ISNUMBER(L649)),"Enter an amount",IF(L649=0,"Enter an amount",IF(ABS(W649)&gt;ABS(L649),"Tax is larger than the amount","")))))))))))))</f>
        <v/>
      </c>
      <c r="Y649" s="67">
        <f>IF(OR(T649=1,X649&lt;&gt;""),"",IF(AND(B649&lt;&gt;"",COUNTIF(tx_ID,B649)&gt;1),"Duplicate transaction ID",IF(AND(L649&lt;0,D649&lt;&gt;"Adjustment"),"Negative amount — check this entry",IF(AND(D649="Customer Payment",G649=""),"Add the customer",IF(AND(D649="Customer Payment",OR(J649="",COUNTIF(ar_No,J649&amp;"")=0)),"Invoice # in Reference not found on AR sheet",IF(AND(D649="Bill Payment",H649=""),"Add the vendor",IF(AND(D649="Bill Payment",OR(J649="",COUNTIFS(ap_No,J649&amp;"",ap_Party,H649&amp;"")=0)),"Bill # + vendor not found on AP sheet",IF(AND(ISNUMBER(M649),N(M649)&lt;&gt;0,W649=0),"Tax ignored (tax tracking off, or not allowed for this type)",IF(V649=K649&amp;"","Same account on both sides",IF(AND(ISNUMBER(StartDate),C649&lt;StartDate),"Date is before the accounting start date",IF(AND(D649&lt;&gt;"Adjustment",IFERROR(INDEX(coa_Pay,MATCH(K649&amp;"",coa_Name,0)),"")&lt;&gt;"Yes"),"Paid From / Deposited To is not a payment account","")))))))))))</f>
        <v/>
      </c>
      <c r="Z649" s="67">
        <f>IF(AND(T649=0,X649=""),1,0)</f>
        <v/>
      </c>
      <c r="AA649" s="68">
        <f>IF(Z649=1,IF(U649="In",L649,L649-W649),0)</f>
        <v/>
      </c>
      <c r="AB649" s="68">
        <f>IF(Z649=1,IF(U649="In",L649-W649,L649),0)</f>
        <v/>
      </c>
      <c r="AC649" s="68">
        <f>IF(AND(Z649=1,U649="Out"),W649,0)</f>
        <v/>
      </c>
      <c r="AD649" s="68">
        <f>IF(AND(Z649=1,U649="In"),W649,0)</f>
        <v/>
      </c>
    </row>
    <row r="650">
      <c r="B650" s="62" t="inlineStr">
        <is>
          <t>TX-0644</t>
        </is>
      </c>
      <c r="C650" s="63" t="n"/>
      <c r="D650" s="62" t="n"/>
      <c r="E650" s="62" t="n"/>
      <c r="F650" s="62" t="n"/>
      <c r="G650" s="62" t="n"/>
      <c r="H650" s="62" t="n"/>
      <c r="I650" s="62" t="n"/>
      <c r="J650" s="62" t="n"/>
      <c r="K650" s="62" t="n"/>
      <c r="L650" s="64" t="n"/>
      <c r="M650" s="64" t="n"/>
      <c r="N650" s="62" t="n"/>
      <c r="O650" s="65">
        <f>IF(Z650=1,L650-W650,"")</f>
        <v/>
      </c>
      <c r="P650" s="66">
        <f>IF(V650="","",IFERROR(INDEX(coa_Type,MATCH(V650,coa_Name,0)),""))</f>
        <v/>
      </c>
      <c r="Q650" s="66">
        <f>IF(Z650=1,IF(U650="In",K650&amp;"",V650),"")</f>
        <v/>
      </c>
      <c r="R650" s="66">
        <f>IF(Z650=1,IF(U650="In",V650,K650&amp;""),"")</f>
        <v/>
      </c>
      <c r="S650" s="66">
        <f>IF(X650&lt;&gt;"","⛔ "&amp;X650&amp;" — not posted",IF(Y650&lt;&gt;"","⚠ "&amp;Y650,IF(Z650=1,"✓ OK","")))</f>
        <v/>
      </c>
      <c r="T650" s="67">
        <f>IF(AND(C650="",D650="",E650="",L650="",K650=""),1,0)</f>
        <v/>
      </c>
      <c r="U650" s="67">
        <f>IFERROR(INDEX(tt_Dir,MATCH(D650,tt_Type,0)),"")</f>
        <v/>
      </c>
      <c r="V650" s="67">
        <f>IF(D650="","",IFERROR(IF(INDEX(tt_Other,MATCH(D650,tt_Type,0))="",E650&amp;"",INDEX(tt_Other,MATCH(D650,tt_Type,0))),""))</f>
        <v/>
      </c>
      <c r="W650" s="68">
        <f>IF(OR(TaxOn&lt;&gt;"Yes",NOT(ISNUMBER(M650))),0,IF(IFERROR(INDEX(tt_Tax,MATCH(D650,tt_Type,0)),"No")="Yes",M650,0))</f>
        <v/>
      </c>
      <c r="X650" s="67">
        <f>IF(T650=1,"",IF(C650="","Missing transaction date",IF(NOT(ISNUMBER(C650)),"Invalid date",IF(OR(C650&lt;DATE(2000,1,1),C650&gt;DATE(2099,12,31)),"Invalid date",IF(D650="","Select a type",IF(U650="","Unknown type: "&amp;D650,IF(V650="","Select an account (Category)",IF(ISNA(MATCH(V650,coa_Name,0)),"Unknown account: "&amp;V650,IF(K650="","Select Paid From / Deposited To",IF(ISNA(MATCH(K650,coa_Name,0)),"Unknown account: "&amp;K650,IF(NOT(ISNUMBER(L650)),"Enter an amount",IF(L650=0,"Enter an amount",IF(ABS(W650)&gt;ABS(L650),"Tax is larger than the amount","")))))))))))))</f>
        <v/>
      </c>
      <c r="Y650" s="67">
        <f>IF(OR(T650=1,X650&lt;&gt;""),"",IF(AND(B650&lt;&gt;"",COUNTIF(tx_ID,B650)&gt;1),"Duplicate transaction ID",IF(AND(L650&lt;0,D650&lt;&gt;"Adjustment"),"Negative amount — check this entry",IF(AND(D650="Customer Payment",G650=""),"Add the customer",IF(AND(D650="Customer Payment",OR(J650="",COUNTIF(ar_No,J650&amp;"")=0)),"Invoice # in Reference not found on AR sheet",IF(AND(D650="Bill Payment",H650=""),"Add the vendor",IF(AND(D650="Bill Payment",OR(J650="",COUNTIFS(ap_No,J650&amp;"",ap_Party,H650&amp;"")=0)),"Bill # + vendor not found on AP sheet",IF(AND(ISNUMBER(M650),N(M650)&lt;&gt;0,W650=0),"Tax ignored (tax tracking off, or not allowed for this type)",IF(V650=K650&amp;"","Same account on both sides",IF(AND(ISNUMBER(StartDate),C650&lt;StartDate),"Date is before the accounting start date",IF(AND(D650&lt;&gt;"Adjustment",IFERROR(INDEX(coa_Pay,MATCH(K650&amp;"",coa_Name,0)),"")&lt;&gt;"Yes"),"Paid From / Deposited To is not a payment account","")))))))))))</f>
        <v/>
      </c>
      <c r="Z650" s="67">
        <f>IF(AND(T650=0,X650=""),1,0)</f>
        <v/>
      </c>
      <c r="AA650" s="68">
        <f>IF(Z650=1,IF(U650="In",L650,L650-W650),0)</f>
        <v/>
      </c>
      <c r="AB650" s="68">
        <f>IF(Z650=1,IF(U650="In",L650-W650,L650),0)</f>
        <v/>
      </c>
      <c r="AC650" s="68">
        <f>IF(AND(Z650=1,U650="Out"),W650,0)</f>
        <v/>
      </c>
      <c r="AD650" s="68">
        <f>IF(AND(Z650=1,U650="In"),W650,0)</f>
        <v/>
      </c>
    </row>
    <row r="651">
      <c r="B651" s="62" t="inlineStr">
        <is>
          <t>TX-0645</t>
        </is>
      </c>
      <c r="C651" s="63" t="n"/>
      <c r="D651" s="62" t="n"/>
      <c r="E651" s="62" t="n"/>
      <c r="F651" s="62" t="n"/>
      <c r="G651" s="62" t="n"/>
      <c r="H651" s="62" t="n"/>
      <c r="I651" s="62" t="n"/>
      <c r="J651" s="62" t="n"/>
      <c r="K651" s="62" t="n"/>
      <c r="L651" s="64" t="n"/>
      <c r="M651" s="64" t="n"/>
      <c r="N651" s="62" t="n"/>
      <c r="O651" s="65">
        <f>IF(Z651=1,L651-W651,"")</f>
        <v/>
      </c>
      <c r="P651" s="66">
        <f>IF(V651="","",IFERROR(INDEX(coa_Type,MATCH(V651,coa_Name,0)),""))</f>
        <v/>
      </c>
      <c r="Q651" s="66">
        <f>IF(Z651=1,IF(U651="In",K651&amp;"",V651),"")</f>
        <v/>
      </c>
      <c r="R651" s="66">
        <f>IF(Z651=1,IF(U651="In",V651,K651&amp;""),"")</f>
        <v/>
      </c>
      <c r="S651" s="66">
        <f>IF(X651&lt;&gt;"","⛔ "&amp;X651&amp;" — not posted",IF(Y651&lt;&gt;"","⚠ "&amp;Y651,IF(Z651=1,"✓ OK","")))</f>
        <v/>
      </c>
      <c r="T651" s="67">
        <f>IF(AND(C651="",D651="",E651="",L651="",K651=""),1,0)</f>
        <v/>
      </c>
      <c r="U651" s="67">
        <f>IFERROR(INDEX(tt_Dir,MATCH(D651,tt_Type,0)),"")</f>
        <v/>
      </c>
      <c r="V651" s="67">
        <f>IF(D651="","",IFERROR(IF(INDEX(tt_Other,MATCH(D651,tt_Type,0))="",E651&amp;"",INDEX(tt_Other,MATCH(D651,tt_Type,0))),""))</f>
        <v/>
      </c>
      <c r="W651" s="68">
        <f>IF(OR(TaxOn&lt;&gt;"Yes",NOT(ISNUMBER(M651))),0,IF(IFERROR(INDEX(tt_Tax,MATCH(D651,tt_Type,0)),"No")="Yes",M651,0))</f>
        <v/>
      </c>
      <c r="X651" s="67">
        <f>IF(T651=1,"",IF(C651="","Missing transaction date",IF(NOT(ISNUMBER(C651)),"Invalid date",IF(OR(C651&lt;DATE(2000,1,1),C651&gt;DATE(2099,12,31)),"Invalid date",IF(D651="","Select a type",IF(U651="","Unknown type: "&amp;D651,IF(V651="","Select an account (Category)",IF(ISNA(MATCH(V651,coa_Name,0)),"Unknown account: "&amp;V651,IF(K651="","Select Paid From / Deposited To",IF(ISNA(MATCH(K651,coa_Name,0)),"Unknown account: "&amp;K651,IF(NOT(ISNUMBER(L651)),"Enter an amount",IF(L651=0,"Enter an amount",IF(ABS(W651)&gt;ABS(L651),"Tax is larger than the amount","")))))))))))))</f>
        <v/>
      </c>
      <c r="Y651" s="67">
        <f>IF(OR(T651=1,X651&lt;&gt;""),"",IF(AND(B651&lt;&gt;"",COUNTIF(tx_ID,B651)&gt;1),"Duplicate transaction ID",IF(AND(L651&lt;0,D651&lt;&gt;"Adjustment"),"Negative amount — check this entry",IF(AND(D651="Customer Payment",G651=""),"Add the customer",IF(AND(D651="Customer Payment",OR(J651="",COUNTIF(ar_No,J651&amp;"")=0)),"Invoice # in Reference not found on AR sheet",IF(AND(D651="Bill Payment",H651=""),"Add the vendor",IF(AND(D651="Bill Payment",OR(J651="",COUNTIFS(ap_No,J651&amp;"",ap_Party,H651&amp;"")=0)),"Bill # + vendor not found on AP sheet",IF(AND(ISNUMBER(M651),N(M651)&lt;&gt;0,W651=0),"Tax ignored (tax tracking off, or not allowed for this type)",IF(V651=K651&amp;"","Same account on both sides",IF(AND(ISNUMBER(StartDate),C651&lt;StartDate),"Date is before the accounting start date",IF(AND(D651&lt;&gt;"Adjustment",IFERROR(INDEX(coa_Pay,MATCH(K651&amp;"",coa_Name,0)),"")&lt;&gt;"Yes"),"Paid From / Deposited To is not a payment account","")))))))))))</f>
        <v/>
      </c>
      <c r="Z651" s="67">
        <f>IF(AND(T651=0,X651=""),1,0)</f>
        <v/>
      </c>
      <c r="AA651" s="68">
        <f>IF(Z651=1,IF(U651="In",L651,L651-W651),0)</f>
        <v/>
      </c>
      <c r="AB651" s="68">
        <f>IF(Z651=1,IF(U651="In",L651-W651,L651),0)</f>
        <v/>
      </c>
      <c r="AC651" s="68">
        <f>IF(AND(Z651=1,U651="Out"),W651,0)</f>
        <v/>
      </c>
      <c r="AD651" s="68">
        <f>IF(AND(Z651=1,U651="In"),W651,0)</f>
        <v/>
      </c>
    </row>
    <row r="652">
      <c r="B652" s="62" t="inlineStr">
        <is>
          <t>TX-0646</t>
        </is>
      </c>
      <c r="C652" s="63" t="n"/>
      <c r="D652" s="62" t="n"/>
      <c r="E652" s="62" t="n"/>
      <c r="F652" s="62" t="n"/>
      <c r="G652" s="62" t="n"/>
      <c r="H652" s="62" t="n"/>
      <c r="I652" s="62" t="n"/>
      <c r="J652" s="62" t="n"/>
      <c r="K652" s="62" t="n"/>
      <c r="L652" s="64" t="n"/>
      <c r="M652" s="64" t="n"/>
      <c r="N652" s="62" t="n"/>
      <c r="O652" s="65">
        <f>IF(Z652=1,L652-W652,"")</f>
        <v/>
      </c>
      <c r="P652" s="66">
        <f>IF(V652="","",IFERROR(INDEX(coa_Type,MATCH(V652,coa_Name,0)),""))</f>
        <v/>
      </c>
      <c r="Q652" s="66">
        <f>IF(Z652=1,IF(U652="In",K652&amp;"",V652),"")</f>
        <v/>
      </c>
      <c r="R652" s="66">
        <f>IF(Z652=1,IF(U652="In",V652,K652&amp;""),"")</f>
        <v/>
      </c>
      <c r="S652" s="66">
        <f>IF(X652&lt;&gt;"","⛔ "&amp;X652&amp;" — not posted",IF(Y652&lt;&gt;"","⚠ "&amp;Y652,IF(Z652=1,"✓ OK","")))</f>
        <v/>
      </c>
      <c r="T652" s="67">
        <f>IF(AND(C652="",D652="",E652="",L652="",K652=""),1,0)</f>
        <v/>
      </c>
      <c r="U652" s="67">
        <f>IFERROR(INDEX(tt_Dir,MATCH(D652,tt_Type,0)),"")</f>
        <v/>
      </c>
      <c r="V652" s="67">
        <f>IF(D652="","",IFERROR(IF(INDEX(tt_Other,MATCH(D652,tt_Type,0))="",E652&amp;"",INDEX(tt_Other,MATCH(D652,tt_Type,0))),""))</f>
        <v/>
      </c>
      <c r="W652" s="68">
        <f>IF(OR(TaxOn&lt;&gt;"Yes",NOT(ISNUMBER(M652))),0,IF(IFERROR(INDEX(tt_Tax,MATCH(D652,tt_Type,0)),"No")="Yes",M652,0))</f>
        <v/>
      </c>
      <c r="X652" s="67">
        <f>IF(T652=1,"",IF(C652="","Missing transaction date",IF(NOT(ISNUMBER(C652)),"Invalid date",IF(OR(C652&lt;DATE(2000,1,1),C652&gt;DATE(2099,12,31)),"Invalid date",IF(D652="","Select a type",IF(U652="","Unknown type: "&amp;D652,IF(V652="","Select an account (Category)",IF(ISNA(MATCH(V652,coa_Name,0)),"Unknown account: "&amp;V652,IF(K652="","Select Paid From / Deposited To",IF(ISNA(MATCH(K652,coa_Name,0)),"Unknown account: "&amp;K652,IF(NOT(ISNUMBER(L652)),"Enter an amount",IF(L652=0,"Enter an amount",IF(ABS(W652)&gt;ABS(L652),"Tax is larger than the amount","")))))))))))))</f>
        <v/>
      </c>
      <c r="Y652" s="67">
        <f>IF(OR(T652=1,X652&lt;&gt;""),"",IF(AND(B652&lt;&gt;"",COUNTIF(tx_ID,B652)&gt;1),"Duplicate transaction ID",IF(AND(L652&lt;0,D652&lt;&gt;"Adjustment"),"Negative amount — check this entry",IF(AND(D652="Customer Payment",G652=""),"Add the customer",IF(AND(D652="Customer Payment",OR(J652="",COUNTIF(ar_No,J652&amp;"")=0)),"Invoice # in Reference not found on AR sheet",IF(AND(D652="Bill Payment",H652=""),"Add the vendor",IF(AND(D652="Bill Payment",OR(J652="",COUNTIFS(ap_No,J652&amp;"",ap_Party,H652&amp;"")=0)),"Bill # + vendor not found on AP sheet",IF(AND(ISNUMBER(M652),N(M652)&lt;&gt;0,W652=0),"Tax ignored (tax tracking off, or not allowed for this type)",IF(V652=K652&amp;"","Same account on both sides",IF(AND(ISNUMBER(StartDate),C652&lt;StartDate),"Date is before the accounting start date",IF(AND(D652&lt;&gt;"Adjustment",IFERROR(INDEX(coa_Pay,MATCH(K652&amp;"",coa_Name,0)),"")&lt;&gt;"Yes"),"Paid From / Deposited To is not a payment account","")))))))))))</f>
        <v/>
      </c>
      <c r="Z652" s="67">
        <f>IF(AND(T652=0,X652=""),1,0)</f>
        <v/>
      </c>
      <c r="AA652" s="68">
        <f>IF(Z652=1,IF(U652="In",L652,L652-W652),0)</f>
        <v/>
      </c>
      <c r="AB652" s="68">
        <f>IF(Z652=1,IF(U652="In",L652-W652,L652),0)</f>
        <v/>
      </c>
      <c r="AC652" s="68">
        <f>IF(AND(Z652=1,U652="Out"),W652,0)</f>
        <v/>
      </c>
      <c r="AD652" s="68">
        <f>IF(AND(Z652=1,U652="In"),W652,0)</f>
        <v/>
      </c>
    </row>
    <row r="653">
      <c r="B653" s="62" t="inlineStr">
        <is>
          <t>TX-0647</t>
        </is>
      </c>
      <c r="C653" s="63" t="n"/>
      <c r="D653" s="62" t="n"/>
      <c r="E653" s="62" t="n"/>
      <c r="F653" s="62" t="n"/>
      <c r="G653" s="62" t="n"/>
      <c r="H653" s="62" t="n"/>
      <c r="I653" s="62" t="n"/>
      <c r="J653" s="62" t="n"/>
      <c r="K653" s="62" t="n"/>
      <c r="L653" s="64" t="n"/>
      <c r="M653" s="64" t="n"/>
      <c r="N653" s="62" t="n"/>
      <c r="O653" s="65">
        <f>IF(Z653=1,L653-W653,"")</f>
        <v/>
      </c>
      <c r="P653" s="66">
        <f>IF(V653="","",IFERROR(INDEX(coa_Type,MATCH(V653,coa_Name,0)),""))</f>
        <v/>
      </c>
      <c r="Q653" s="66">
        <f>IF(Z653=1,IF(U653="In",K653&amp;"",V653),"")</f>
        <v/>
      </c>
      <c r="R653" s="66">
        <f>IF(Z653=1,IF(U653="In",V653,K653&amp;""),"")</f>
        <v/>
      </c>
      <c r="S653" s="66">
        <f>IF(X653&lt;&gt;"","⛔ "&amp;X653&amp;" — not posted",IF(Y653&lt;&gt;"","⚠ "&amp;Y653,IF(Z653=1,"✓ OK","")))</f>
        <v/>
      </c>
      <c r="T653" s="67">
        <f>IF(AND(C653="",D653="",E653="",L653="",K653=""),1,0)</f>
        <v/>
      </c>
      <c r="U653" s="67">
        <f>IFERROR(INDEX(tt_Dir,MATCH(D653,tt_Type,0)),"")</f>
        <v/>
      </c>
      <c r="V653" s="67">
        <f>IF(D653="","",IFERROR(IF(INDEX(tt_Other,MATCH(D653,tt_Type,0))="",E653&amp;"",INDEX(tt_Other,MATCH(D653,tt_Type,0))),""))</f>
        <v/>
      </c>
      <c r="W653" s="68">
        <f>IF(OR(TaxOn&lt;&gt;"Yes",NOT(ISNUMBER(M653))),0,IF(IFERROR(INDEX(tt_Tax,MATCH(D653,tt_Type,0)),"No")="Yes",M653,0))</f>
        <v/>
      </c>
      <c r="X653" s="67">
        <f>IF(T653=1,"",IF(C653="","Missing transaction date",IF(NOT(ISNUMBER(C653)),"Invalid date",IF(OR(C653&lt;DATE(2000,1,1),C653&gt;DATE(2099,12,31)),"Invalid date",IF(D653="","Select a type",IF(U653="","Unknown type: "&amp;D653,IF(V653="","Select an account (Category)",IF(ISNA(MATCH(V653,coa_Name,0)),"Unknown account: "&amp;V653,IF(K653="","Select Paid From / Deposited To",IF(ISNA(MATCH(K653,coa_Name,0)),"Unknown account: "&amp;K653,IF(NOT(ISNUMBER(L653)),"Enter an amount",IF(L653=0,"Enter an amount",IF(ABS(W653)&gt;ABS(L653),"Tax is larger than the amount","")))))))))))))</f>
        <v/>
      </c>
      <c r="Y653" s="67">
        <f>IF(OR(T653=1,X653&lt;&gt;""),"",IF(AND(B653&lt;&gt;"",COUNTIF(tx_ID,B653)&gt;1),"Duplicate transaction ID",IF(AND(L653&lt;0,D653&lt;&gt;"Adjustment"),"Negative amount — check this entry",IF(AND(D653="Customer Payment",G653=""),"Add the customer",IF(AND(D653="Customer Payment",OR(J653="",COUNTIF(ar_No,J653&amp;"")=0)),"Invoice # in Reference not found on AR sheet",IF(AND(D653="Bill Payment",H653=""),"Add the vendor",IF(AND(D653="Bill Payment",OR(J653="",COUNTIFS(ap_No,J653&amp;"",ap_Party,H653&amp;"")=0)),"Bill # + vendor not found on AP sheet",IF(AND(ISNUMBER(M653),N(M653)&lt;&gt;0,W653=0),"Tax ignored (tax tracking off, or not allowed for this type)",IF(V653=K653&amp;"","Same account on both sides",IF(AND(ISNUMBER(StartDate),C653&lt;StartDate),"Date is before the accounting start date",IF(AND(D653&lt;&gt;"Adjustment",IFERROR(INDEX(coa_Pay,MATCH(K653&amp;"",coa_Name,0)),"")&lt;&gt;"Yes"),"Paid From / Deposited To is not a payment account","")))))))))))</f>
        <v/>
      </c>
      <c r="Z653" s="67">
        <f>IF(AND(T653=0,X653=""),1,0)</f>
        <v/>
      </c>
      <c r="AA653" s="68">
        <f>IF(Z653=1,IF(U653="In",L653,L653-W653),0)</f>
        <v/>
      </c>
      <c r="AB653" s="68">
        <f>IF(Z653=1,IF(U653="In",L653-W653,L653),0)</f>
        <v/>
      </c>
      <c r="AC653" s="68">
        <f>IF(AND(Z653=1,U653="Out"),W653,0)</f>
        <v/>
      </c>
      <c r="AD653" s="68">
        <f>IF(AND(Z653=1,U653="In"),W653,0)</f>
        <v/>
      </c>
    </row>
    <row r="654">
      <c r="B654" s="62" t="inlineStr">
        <is>
          <t>TX-0648</t>
        </is>
      </c>
      <c r="C654" s="63" t="n"/>
      <c r="D654" s="62" t="n"/>
      <c r="E654" s="62" t="n"/>
      <c r="F654" s="62" t="n"/>
      <c r="G654" s="62" t="n"/>
      <c r="H654" s="62" t="n"/>
      <c r="I654" s="62" t="n"/>
      <c r="J654" s="62" t="n"/>
      <c r="K654" s="62" t="n"/>
      <c r="L654" s="64" t="n"/>
      <c r="M654" s="64" t="n"/>
      <c r="N654" s="62" t="n"/>
      <c r="O654" s="65">
        <f>IF(Z654=1,L654-W654,"")</f>
        <v/>
      </c>
      <c r="P654" s="66">
        <f>IF(V654="","",IFERROR(INDEX(coa_Type,MATCH(V654,coa_Name,0)),""))</f>
        <v/>
      </c>
      <c r="Q654" s="66">
        <f>IF(Z654=1,IF(U654="In",K654&amp;"",V654),"")</f>
        <v/>
      </c>
      <c r="R654" s="66">
        <f>IF(Z654=1,IF(U654="In",V654,K654&amp;""),"")</f>
        <v/>
      </c>
      <c r="S654" s="66">
        <f>IF(X654&lt;&gt;"","⛔ "&amp;X654&amp;" — not posted",IF(Y654&lt;&gt;"","⚠ "&amp;Y654,IF(Z654=1,"✓ OK","")))</f>
        <v/>
      </c>
      <c r="T654" s="67">
        <f>IF(AND(C654="",D654="",E654="",L654="",K654=""),1,0)</f>
        <v/>
      </c>
      <c r="U654" s="67">
        <f>IFERROR(INDEX(tt_Dir,MATCH(D654,tt_Type,0)),"")</f>
        <v/>
      </c>
      <c r="V654" s="67">
        <f>IF(D654="","",IFERROR(IF(INDEX(tt_Other,MATCH(D654,tt_Type,0))="",E654&amp;"",INDEX(tt_Other,MATCH(D654,tt_Type,0))),""))</f>
        <v/>
      </c>
      <c r="W654" s="68">
        <f>IF(OR(TaxOn&lt;&gt;"Yes",NOT(ISNUMBER(M654))),0,IF(IFERROR(INDEX(tt_Tax,MATCH(D654,tt_Type,0)),"No")="Yes",M654,0))</f>
        <v/>
      </c>
      <c r="X654" s="67">
        <f>IF(T654=1,"",IF(C654="","Missing transaction date",IF(NOT(ISNUMBER(C654)),"Invalid date",IF(OR(C654&lt;DATE(2000,1,1),C654&gt;DATE(2099,12,31)),"Invalid date",IF(D654="","Select a type",IF(U654="","Unknown type: "&amp;D654,IF(V654="","Select an account (Category)",IF(ISNA(MATCH(V654,coa_Name,0)),"Unknown account: "&amp;V654,IF(K654="","Select Paid From / Deposited To",IF(ISNA(MATCH(K654,coa_Name,0)),"Unknown account: "&amp;K654,IF(NOT(ISNUMBER(L654)),"Enter an amount",IF(L654=0,"Enter an amount",IF(ABS(W654)&gt;ABS(L654),"Tax is larger than the amount","")))))))))))))</f>
        <v/>
      </c>
      <c r="Y654" s="67">
        <f>IF(OR(T654=1,X654&lt;&gt;""),"",IF(AND(B654&lt;&gt;"",COUNTIF(tx_ID,B654)&gt;1),"Duplicate transaction ID",IF(AND(L654&lt;0,D654&lt;&gt;"Adjustment"),"Negative amount — check this entry",IF(AND(D654="Customer Payment",G654=""),"Add the customer",IF(AND(D654="Customer Payment",OR(J654="",COUNTIF(ar_No,J654&amp;"")=0)),"Invoice # in Reference not found on AR sheet",IF(AND(D654="Bill Payment",H654=""),"Add the vendor",IF(AND(D654="Bill Payment",OR(J654="",COUNTIFS(ap_No,J654&amp;"",ap_Party,H654&amp;"")=0)),"Bill # + vendor not found on AP sheet",IF(AND(ISNUMBER(M654),N(M654)&lt;&gt;0,W654=0),"Tax ignored (tax tracking off, or not allowed for this type)",IF(V654=K654&amp;"","Same account on both sides",IF(AND(ISNUMBER(StartDate),C654&lt;StartDate),"Date is before the accounting start date",IF(AND(D654&lt;&gt;"Adjustment",IFERROR(INDEX(coa_Pay,MATCH(K654&amp;"",coa_Name,0)),"")&lt;&gt;"Yes"),"Paid From / Deposited To is not a payment account","")))))))))))</f>
        <v/>
      </c>
      <c r="Z654" s="67">
        <f>IF(AND(T654=0,X654=""),1,0)</f>
        <v/>
      </c>
      <c r="AA654" s="68">
        <f>IF(Z654=1,IF(U654="In",L654,L654-W654),0)</f>
        <v/>
      </c>
      <c r="AB654" s="68">
        <f>IF(Z654=1,IF(U654="In",L654-W654,L654),0)</f>
        <v/>
      </c>
      <c r="AC654" s="68">
        <f>IF(AND(Z654=1,U654="Out"),W654,0)</f>
        <v/>
      </c>
      <c r="AD654" s="68">
        <f>IF(AND(Z654=1,U654="In"),W654,0)</f>
        <v/>
      </c>
    </row>
    <row r="655">
      <c r="B655" s="62" t="inlineStr">
        <is>
          <t>TX-0649</t>
        </is>
      </c>
      <c r="C655" s="63" t="n"/>
      <c r="D655" s="62" t="n"/>
      <c r="E655" s="62" t="n"/>
      <c r="F655" s="62" t="n"/>
      <c r="G655" s="62" t="n"/>
      <c r="H655" s="62" t="n"/>
      <c r="I655" s="62" t="n"/>
      <c r="J655" s="62" t="n"/>
      <c r="K655" s="62" t="n"/>
      <c r="L655" s="64" t="n"/>
      <c r="M655" s="64" t="n"/>
      <c r="N655" s="62" t="n"/>
      <c r="O655" s="65">
        <f>IF(Z655=1,L655-W655,"")</f>
        <v/>
      </c>
      <c r="P655" s="66">
        <f>IF(V655="","",IFERROR(INDEX(coa_Type,MATCH(V655,coa_Name,0)),""))</f>
        <v/>
      </c>
      <c r="Q655" s="66">
        <f>IF(Z655=1,IF(U655="In",K655&amp;"",V655),"")</f>
        <v/>
      </c>
      <c r="R655" s="66">
        <f>IF(Z655=1,IF(U655="In",V655,K655&amp;""),"")</f>
        <v/>
      </c>
      <c r="S655" s="66">
        <f>IF(X655&lt;&gt;"","⛔ "&amp;X655&amp;" — not posted",IF(Y655&lt;&gt;"","⚠ "&amp;Y655,IF(Z655=1,"✓ OK","")))</f>
        <v/>
      </c>
      <c r="T655" s="67">
        <f>IF(AND(C655="",D655="",E655="",L655="",K655=""),1,0)</f>
        <v/>
      </c>
      <c r="U655" s="67">
        <f>IFERROR(INDEX(tt_Dir,MATCH(D655,tt_Type,0)),"")</f>
        <v/>
      </c>
      <c r="V655" s="67">
        <f>IF(D655="","",IFERROR(IF(INDEX(tt_Other,MATCH(D655,tt_Type,0))="",E655&amp;"",INDEX(tt_Other,MATCH(D655,tt_Type,0))),""))</f>
        <v/>
      </c>
      <c r="W655" s="68">
        <f>IF(OR(TaxOn&lt;&gt;"Yes",NOT(ISNUMBER(M655))),0,IF(IFERROR(INDEX(tt_Tax,MATCH(D655,tt_Type,0)),"No")="Yes",M655,0))</f>
        <v/>
      </c>
      <c r="X655" s="67">
        <f>IF(T655=1,"",IF(C655="","Missing transaction date",IF(NOT(ISNUMBER(C655)),"Invalid date",IF(OR(C655&lt;DATE(2000,1,1),C655&gt;DATE(2099,12,31)),"Invalid date",IF(D655="","Select a type",IF(U655="","Unknown type: "&amp;D655,IF(V655="","Select an account (Category)",IF(ISNA(MATCH(V655,coa_Name,0)),"Unknown account: "&amp;V655,IF(K655="","Select Paid From / Deposited To",IF(ISNA(MATCH(K655,coa_Name,0)),"Unknown account: "&amp;K655,IF(NOT(ISNUMBER(L655)),"Enter an amount",IF(L655=0,"Enter an amount",IF(ABS(W655)&gt;ABS(L655),"Tax is larger than the amount","")))))))))))))</f>
        <v/>
      </c>
      <c r="Y655" s="67">
        <f>IF(OR(T655=1,X655&lt;&gt;""),"",IF(AND(B655&lt;&gt;"",COUNTIF(tx_ID,B655)&gt;1),"Duplicate transaction ID",IF(AND(L655&lt;0,D655&lt;&gt;"Adjustment"),"Negative amount — check this entry",IF(AND(D655="Customer Payment",G655=""),"Add the customer",IF(AND(D655="Customer Payment",OR(J655="",COUNTIF(ar_No,J655&amp;"")=0)),"Invoice # in Reference not found on AR sheet",IF(AND(D655="Bill Payment",H655=""),"Add the vendor",IF(AND(D655="Bill Payment",OR(J655="",COUNTIFS(ap_No,J655&amp;"",ap_Party,H655&amp;"")=0)),"Bill # + vendor not found on AP sheet",IF(AND(ISNUMBER(M655),N(M655)&lt;&gt;0,W655=0),"Tax ignored (tax tracking off, or not allowed for this type)",IF(V655=K655&amp;"","Same account on both sides",IF(AND(ISNUMBER(StartDate),C655&lt;StartDate),"Date is before the accounting start date",IF(AND(D655&lt;&gt;"Adjustment",IFERROR(INDEX(coa_Pay,MATCH(K655&amp;"",coa_Name,0)),"")&lt;&gt;"Yes"),"Paid From / Deposited To is not a payment account","")))))))))))</f>
        <v/>
      </c>
      <c r="Z655" s="67">
        <f>IF(AND(T655=0,X655=""),1,0)</f>
        <v/>
      </c>
      <c r="AA655" s="68">
        <f>IF(Z655=1,IF(U655="In",L655,L655-W655),0)</f>
        <v/>
      </c>
      <c r="AB655" s="68">
        <f>IF(Z655=1,IF(U655="In",L655-W655,L655),0)</f>
        <v/>
      </c>
      <c r="AC655" s="68">
        <f>IF(AND(Z655=1,U655="Out"),W655,0)</f>
        <v/>
      </c>
      <c r="AD655" s="68">
        <f>IF(AND(Z655=1,U655="In"),W655,0)</f>
        <v/>
      </c>
    </row>
    <row r="656">
      <c r="B656" s="62" t="inlineStr">
        <is>
          <t>TX-0650</t>
        </is>
      </c>
      <c r="C656" s="63" t="n"/>
      <c r="D656" s="62" t="n"/>
      <c r="E656" s="62" t="n"/>
      <c r="F656" s="62" t="n"/>
      <c r="G656" s="62" t="n"/>
      <c r="H656" s="62" t="n"/>
      <c r="I656" s="62" t="n"/>
      <c r="J656" s="62" t="n"/>
      <c r="K656" s="62" t="n"/>
      <c r="L656" s="64" t="n"/>
      <c r="M656" s="64" t="n"/>
      <c r="N656" s="62" t="n"/>
      <c r="O656" s="65">
        <f>IF(Z656=1,L656-W656,"")</f>
        <v/>
      </c>
      <c r="P656" s="66">
        <f>IF(V656="","",IFERROR(INDEX(coa_Type,MATCH(V656,coa_Name,0)),""))</f>
        <v/>
      </c>
      <c r="Q656" s="66">
        <f>IF(Z656=1,IF(U656="In",K656&amp;"",V656),"")</f>
        <v/>
      </c>
      <c r="R656" s="66">
        <f>IF(Z656=1,IF(U656="In",V656,K656&amp;""),"")</f>
        <v/>
      </c>
      <c r="S656" s="66">
        <f>IF(X656&lt;&gt;"","⛔ "&amp;X656&amp;" — not posted",IF(Y656&lt;&gt;"","⚠ "&amp;Y656,IF(Z656=1,"✓ OK","")))</f>
        <v/>
      </c>
      <c r="T656" s="67">
        <f>IF(AND(C656="",D656="",E656="",L656="",K656=""),1,0)</f>
        <v/>
      </c>
      <c r="U656" s="67">
        <f>IFERROR(INDEX(tt_Dir,MATCH(D656,tt_Type,0)),"")</f>
        <v/>
      </c>
      <c r="V656" s="67">
        <f>IF(D656="","",IFERROR(IF(INDEX(tt_Other,MATCH(D656,tt_Type,0))="",E656&amp;"",INDEX(tt_Other,MATCH(D656,tt_Type,0))),""))</f>
        <v/>
      </c>
      <c r="W656" s="68">
        <f>IF(OR(TaxOn&lt;&gt;"Yes",NOT(ISNUMBER(M656))),0,IF(IFERROR(INDEX(tt_Tax,MATCH(D656,tt_Type,0)),"No")="Yes",M656,0))</f>
        <v/>
      </c>
      <c r="X656" s="67">
        <f>IF(T656=1,"",IF(C656="","Missing transaction date",IF(NOT(ISNUMBER(C656)),"Invalid date",IF(OR(C656&lt;DATE(2000,1,1),C656&gt;DATE(2099,12,31)),"Invalid date",IF(D656="","Select a type",IF(U656="","Unknown type: "&amp;D656,IF(V656="","Select an account (Category)",IF(ISNA(MATCH(V656,coa_Name,0)),"Unknown account: "&amp;V656,IF(K656="","Select Paid From / Deposited To",IF(ISNA(MATCH(K656,coa_Name,0)),"Unknown account: "&amp;K656,IF(NOT(ISNUMBER(L656)),"Enter an amount",IF(L656=0,"Enter an amount",IF(ABS(W656)&gt;ABS(L656),"Tax is larger than the amount","")))))))))))))</f>
        <v/>
      </c>
      <c r="Y656" s="67">
        <f>IF(OR(T656=1,X656&lt;&gt;""),"",IF(AND(B656&lt;&gt;"",COUNTIF(tx_ID,B656)&gt;1),"Duplicate transaction ID",IF(AND(L656&lt;0,D656&lt;&gt;"Adjustment"),"Negative amount — check this entry",IF(AND(D656="Customer Payment",G656=""),"Add the customer",IF(AND(D656="Customer Payment",OR(J656="",COUNTIF(ar_No,J656&amp;"")=0)),"Invoice # in Reference not found on AR sheet",IF(AND(D656="Bill Payment",H656=""),"Add the vendor",IF(AND(D656="Bill Payment",OR(J656="",COUNTIFS(ap_No,J656&amp;"",ap_Party,H656&amp;"")=0)),"Bill # + vendor not found on AP sheet",IF(AND(ISNUMBER(M656),N(M656)&lt;&gt;0,W656=0),"Tax ignored (tax tracking off, or not allowed for this type)",IF(V656=K656&amp;"","Same account on both sides",IF(AND(ISNUMBER(StartDate),C656&lt;StartDate),"Date is before the accounting start date",IF(AND(D656&lt;&gt;"Adjustment",IFERROR(INDEX(coa_Pay,MATCH(K656&amp;"",coa_Name,0)),"")&lt;&gt;"Yes"),"Paid From / Deposited To is not a payment account","")))))))))))</f>
        <v/>
      </c>
      <c r="Z656" s="67">
        <f>IF(AND(T656=0,X656=""),1,0)</f>
        <v/>
      </c>
      <c r="AA656" s="68">
        <f>IF(Z656=1,IF(U656="In",L656,L656-W656),0)</f>
        <v/>
      </c>
      <c r="AB656" s="68">
        <f>IF(Z656=1,IF(U656="In",L656-W656,L656),0)</f>
        <v/>
      </c>
      <c r="AC656" s="68">
        <f>IF(AND(Z656=1,U656="Out"),W656,0)</f>
        <v/>
      </c>
      <c r="AD656" s="68">
        <f>IF(AND(Z656=1,U656="In"),W656,0)</f>
        <v/>
      </c>
    </row>
    <row r="657">
      <c r="B657" s="62" t="inlineStr">
        <is>
          <t>TX-0651</t>
        </is>
      </c>
      <c r="C657" s="63" t="n"/>
      <c r="D657" s="62" t="n"/>
      <c r="E657" s="62" t="n"/>
      <c r="F657" s="62" t="n"/>
      <c r="G657" s="62" t="n"/>
      <c r="H657" s="62" t="n"/>
      <c r="I657" s="62" t="n"/>
      <c r="J657" s="62" t="n"/>
      <c r="K657" s="62" t="n"/>
      <c r="L657" s="64" t="n"/>
      <c r="M657" s="64" t="n"/>
      <c r="N657" s="62" t="n"/>
      <c r="O657" s="65">
        <f>IF(Z657=1,L657-W657,"")</f>
        <v/>
      </c>
      <c r="P657" s="66">
        <f>IF(V657="","",IFERROR(INDEX(coa_Type,MATCH(V657,coa_Name,0)),""))</f>
        <v/>
      </c>
      <c r="Q657" s="66">
        <f>IF(Z657=1,IF(U657="In",K657&amp;"",V657),"")</f>
        <v/>
      </c>
      <c r="R657" s="66">
        <f>IF(Z657=1,IF(U657="In",V657,K657&amp;""),"")</f>
        <v/>
      </c>
      <c r="S657" s="66">
        <f>IF(X657&lt;&gt;"","⛔ "&amp;X657&amp;" — not posted",IF(Y657&lt;&gt;"","⚠ "&amp;Y657,IF(Z657=1,"✓ OK","")))</f>
        <v/>
      </c>
      <c r="T657" s="67">
        <f>IF(AND(C657="",D657="",E657="",L657="",K657=""),1,0)</f>
        <v/>
      </c>
      <c r="U657" s="67">
        <f>IFERROR(INDEX(tt_Dir,MATCH(D657,tt_Type,0)),"")</f>
        <v/>
      </c>
      <c r="V657" s="67">
        <f>IF(D657="","",IFERROR(IF(INDEX(tt_Other,MATCH(D657,tt_Type,0))="",E657&amp;"",INDEX(tt_Other,MATCH(D657,tt_Type,0))),""))</f>
        <v/>
      </c>
      <c r="W657" s="68">
        <f>IF(OR(TaxOn&lt;&gt;"Yes",NOT(ISNUMBER(M657))),0,IF(IFERROR(INDEX(tt_Tax,MATCH(D657,tt_Type,0)),"No")="Yes",M657,0))</f>
        <v/>
      </c>
      <c r="X657" s="67">
        <f>IF(T657=1,"",IF(C657="","Missing transaction date",IF(NOT(ISNUMBER(C657)),"Invalid date",IF(OR(C657&lt;DATE(2000,1,1),C657&gt;DATE(2099,12,31)),"Invalid date",IF(D657="","Select a type",IF(U657="","Unknown type: "&amp;D657,IF(V657="","Select an account (Category)",IF(ISNA(MATCH(V657,coa_Name,0)),"Unknown account: "&amp;V657,IF(K657="","Select Paid From / Deposited To",IF(ISNA(MATCH(K657,coa_Name,0)),"Unknown account: "&amp;K657,IF(NOT(ISNUMBER(L657)),"Enter an amount",IF(L657=0,"Enter an amount",IF(ABS(W657)&gt;ABS(L657),"Tax is larger than the amount","")))))))))))))</f>
        <v/>
      </c>
      <c r="Y657" s="67">
        <f>IF(OR(T657=1,X657&lt;&gt;""),"",IF(AND(B657&lt;&gt;"",COUNTIF(tx_ID,B657)&gt;1),"Duplicate transaction ID",IF(AND(L657&lt;0,D657&lt;&gt;"Adjustment"),"Negative amount — check this entry",IF(AND(D657="Customer Payment",G657=""),"Add the customer",IF(AND(D657="Customer Payment",OR(J657="",COUNTIF(ar_No,J657&amp;"")=0)),"Invoice # in Reference not found on AR sheet",IF(AND(D657="Bill Payment",H657=""),"Add the vendor",IF(AND(D657="Bill Payment",OR(J657="",COUNTIFS(ap_No,J657&amp;"",ap_Party,H657&amp;"")=0)),"Bill # + vendor not found on AP sheet",IF(AND(ISNUMBER(M657),N(M657)&lt;&gt;0,W657=0),"Tax ignored (tax tracking off, or not allowed for this type)",IF(V657=K657&amp;"","Same account on both sides",IF(AND(ISNUMBER(StartDate),C657&lt;StartDate),"Date is before the accounting start date",IF(AND(D657&lt;&gt;"Adjustment",IFERROR(INDEX(coa_Pay,MATCH(K657&amp;"",coa_Name,0)),"")&lt;&gt;"Yes"),"Paid From / Deposited To is not a payment account","")))))))))))</f>
        <v/>
      </c>
      <c r="Z657" s="67">
        <f>IF(AND(T657=0,X657=""),1,0)</f>
        <v/>
      </c>
      <c r="AA657" s="68">
        <f>IF(Z657=1,IF(U657="In",L657,L657-W657),0)</f>
        <v/>
      </c>
      <c r="AB657" s="68">
        <f>IF(Z657=1,IF(U657="In",L657-W657,L657),0)</f>
        <v/>
      </c>
      <c r="AC657" s="68">
        <f>IF(AND(Z657=1,U657="Out"),W657,0)</f>
        <v/>
      </c>
      <c r="AD657" s="68">
        <f>IF(AND(Z657=1,U657="In"),W657,0)</f>
        <v/>
      </c>
    </row>
    <row r="658">
      <c r="B658" s="62" t="inlineStr">
        <is>
          <t>TX-0652</t>
        </is>
      </c>
      <c r="C658" s="63" t="n"/>
      <c r="D658" s="62" t="n"/>
      <c r="E658" s="62" t="n"/>
      <c r="F658" s="62" t="n"/>
      <c r="G658" s="62" t="n"/>
      <c r="H658" s="62" t="n"/>
      <c r="I658" s="62" t="n"/>
      <c r="J658" s="62" t="n"/>
      <c r="K658" s="62" t="n"/>
      <c r="L658" s="64" t="n"/>
      <c r="M658" s="64" t="n"/>
      <c r="N658" s="62" t="n"/>
      <c r="O658" s="65">
        <f>IF(Z658=1,L658-W658,"")</f>
        <v/>
      </c>
      <c r="P658" s="66">
        <f>IF(V658="","",IFERROR(INDEX(coa_Type,MATCH(V658,coa_Name,0)),""))</f>
        <v/>
      </c>
      <c r="Q658" s="66">
        <f>IF(Z658=1,IF(U658="In",K658&amp;"",V658),"")</f>
        <v/>
      </c>
      <c r="R658" s="66">
        <f>IF(Z658=1,IF(U658="In",V658,K658&amp;""),"")</f>
        <v/>
      </c>
      <c r="S658" s="66">
        <f>IF(X658&lt;&gt;"","⛔ "&amp;X658&amp;" — not posted",IF(Y658&lt;&gt;"","⚠ "&amp;Y658,IF(Z658=1,"✓ OK","")))</f>
        <v/>
      </c>
      <c r="T658" s="67">
        <f>IF(AND(C658="",D658="",E658="",L658="",K658=""),1,0)</f>
        <v/>
      </c>
      <c r="U658" s="67">
        <f>IFERROR(INDEX(tt_Dir,MATCH(D658,tt_Type,0)),"")</f>
        <v/>
      </c>
      <c r="V658" s="67">
        <f>IF(D658="","",IFERROR(IF(INDEX(tt_Other,MATCH(D658,tt_Type,0))="",E658&amp;"",INDEX(tt_Other,MATCH(D658,tt_Type,0))),""))</f>
        <v/>
      </c>
      <c r="W658" s="68">
        <f>IF(OR(TaxOn&lt;&gt;"Yes",NOT(ISNUMBER(M658))),0,IF(IFERROR(INDEX(tt_Tax,MATCH(D658,tt_Type,0)),"No")="Yes",M658,0))</f>
        <v/>
      </c>
      <c r="X658" s="67">
        <f>IF(T658=1,"",IF(C658="","Missing transaction date",IF(NOT(ISNUMBER(C658)),"Invalid date",IF(OR(C658&lt;DATE(2000,1,1),C658&gt;DATE(2099,12,31)),"Invalid date",IF(D658="","Select a type",IF(U658="","Unknown type: "&amp;D658,IF(V658="","Select an account (Category)",IF(ISNA(MATCH(V658,coa_Name,0)),"Unknown account: "&amp;V658,IF(K658="","Select Paid From / Deposited To",IF(ISNA(MATCH(K658,coa_Name,0)),"Unknown account: "&amp;K658,IF(NOT(ISNUMBER(L658)),"Enter an amount",IF(L658=0,"Enter an amount",IF(ABS(W658)&gt;ABS(L658),"Tax is larger than the amount","")))))))))))))</f>
        <v/>
      </c>
      <c r="Y658" s="67">
        <f>IF(OR(T658=1,X658&lt;&gt;""),"",IF(AND(B658&lt;&gt;"",COUNTIF(tx_ID,B658)&gt;1),"Duplicate transaction ID",IF(AND(L658&lt;0,D658&lt;&gt;"Adjustment"),"Negative amount — check this entry",IF(AND(D658="Customer Payment",G658=""),"Add the customer",IF(AND(D658="Customer Payment",OR(J658="",COUNTIF(ar_No,J658&amp;"")=0)),"Invoice # in Reference not found on AR sheet",IF(AND(D658="Bill Payment",H658=""),"Add the vendor",IF(AND(D658="Bill Payment",OR(J658="",COUNTIFS(ap_No,J658&amp;"",ap_Party,H658&amp;"")=0)),"Bill # + vendor not found on AP sheet",IF(AND(ISNUMBER(M658),N(M658)&lt;&gt;0,W658=0),"Tax ignored (tax tracking off, or not allowed for this type)",IF(V658=K658&amp;"","Same account on both sides",IF(AND(ISNUMBER(StartDate),C658&lt;StartDate),"Date is before the accounting start date",IF(AND(D658&lt;&gt;"Adjustment",IFERROR(INDEX(coa_Pay,MATCH(K658&amp;"",coa_Name,0)),"")&lt;&gt;"Yes"),"Paid From / Deposited To is not a payment account","")))))))))))</f>
        <v/>
      </c>
      <c r="Z658" s="67">
        <f>IF(AND(T658=0,X658=""),1,0)</f>
        <v/>
      </c>
      <c r="AA658" s="68">
        <f>IF(Z658=1,IF(U658="In",L658,L658-W658),0)</f>
        <v/>
      </c>
      <c r="AB658" s="68">
        <f>IF(Z658=1,IF(U658="In",L658-W658,L658),0)</f>
        <v/>
      </c>
      <c r="AC658" s="68">
        <f>IF(AND(Z658=1,U658="Out"),W658,0)</f>
        <v/>
      </c>
      <c r="AD658" s="68">
        <f>IF(AND(Z658=1,U658="In"),W658,0)</f>
        <v/>
      </c>
    </row>
    <row r="659">
      <c r="B659" s="62" t="inlineStr">
        <is>
          <t>TX-0653</t>
        </is>
      </c>
      <c r="C659" s="63" t="n"/>
      <c r="D659" s="62" t="n"/>
      <c r="E659" s="62" t="n"/>
      <c r="F659" s="62" t="n"/>
      <c r="G659" s="62" t="n"/>
      <c r="H659" s="62" t="n"/>
      <c r="I659" s="62" t="n"/>
      <c r="J659" s="62" t="n"/>
      <c r="K659" s="62" t="n"/>
      <c r="L659" s="64" t="n"/>
      <c r="M659" s="64" t="n"/>
      <c r="N659" s="62" t="n"/>
      <c r="O659" s="65">
        <f>IF(Z659=1,L659-W659,"")</f>
        <v/>
      </c>
      <c r="P659" s="66">
        <f>IF(V659="","",IFERROR(INDEX(coa_Type,MATCH(V659,coa_Name,0)),""))</f>
        <v/>
      </c>
      <c r="Q659" s="66">
        <f>IF(Z659=1,IF(U659="In",K659&amp;"",V659),"")</f>
        <v/>
      </c>
      <c r="R659" s="66">
        <f>IF(Z659=1,IF(U659="In",V659,K659&amp;""),"")</f>
        <v/>
      </c>
      <c r="S659" s="66">
        <f>IF(X659&lt;&gt;"","⛔ "&amp;X659&amp;" — not posted",IF(Y659&lt;&gt;"","⚠ "&amp;Y659,IF(Z659=1,"✓ OK","")))</f>
        <v/>
      </c>
      <c r="T659" s="67">
        <f>IF(AND(C659="",D659="",E659="",L659="",K659=""),1,0)</f>
        <v/>
      </c>
      <c r="U659" s="67">
        <f>IFERROR(INDEX(tt_Dir,MATCH(D659,tt_Type,0)),"")</f>
        <v/>
      </c>
      <c r="V659" s="67">
        <f>IF(D659="","",IFERROR(IF(INDEX(tt_Other,MATCH(D659,tt_Type,0))="",E659&amp;"",INDEX(tt_Other,MATCH(D659,tt_Type,0))),""))</f>
        <v/>
      </c>
      <c r="W659" s="68">
        <f>IF(OR(TaxOn&lt;&gt;"Yes",NOT(ISNUMBER(M659))),0,IF(IFERROR(INDEX(tt_Tax,MATCH(D659,tt_Type,0)),"No")="Yes",M659,0))</f>
        <v/>
      </c>
      <c r="X659" s="67">
        <f>IF(T659=1,"",IF(C659="","Missing transaction date",IF(NOT(ISNUMBER(C659)),"Invalid date",IF(OR(C659&lt;DATE(2000,1,1),C659&gt;DATE(2099,12,31)),"Invalid date",IF(D659="","Select a type",IF(U659="","Unknown type: "&amp;D659,IF(V659="","Select an account (Category)",IF(ISNA(MATCH(V659,coa_Name,0)),"Unknown account: "&amp;V659,IF(K659="","Select Paid From / Deposited To",IF(ISNA(MATCH(K659,coa_Name,0)),"Unknown account: "&amp;K659,IF(NOT(ISNUMBER(L659)),"Enter an amount",IF(L659=0,"Enter an amount",IF(ABS(W659)&gt;ABS(L659),"Tax is larger than the amount","")))))))))))))</f>
        <v/>
      </c>
      <c r="Y659" s="67">
        <f>IF(OR(T659=1,X659&lt;&gt;""),"",IF(AND(B659&lt;&gt;"",COUNTIF(tx_ID,B659)&gt;1),"Duplicate transaction ID",IF(AND(L659&lt;0,D659&lt;&gt;"Adjustment"),"Negative amount — check this entry",IF(AND(D659="Customer Payment",G659=""),"Add the customer",IF(AND(D659="Customer Payment",OR(J659="",COUNTIF(ar_No,J659&amp;"")=0)),"Invoice # in Reference not found on AR sheet",IF(AND(D659="Bill Payment",H659=""),"Add the vendor",IF(AND(D659="Bill Payment",OR(J659="",COUNTIFS(ap_No,J659&amp;"",ap_Party,H659&amp;"")=0)),"Bill # + vendor not found on AP sheet",IF(AND(ISNUMBER(M659),N(M659)&lt;&gt;0,W659=0),"Tax ignored (tax tracking off, or not allowed for this type)",IF(V659=K659&amp;"","Same account on both sides",IF(AND(ISNUMBER(StartDate),C659&lt;StartDate),"Date is before the accounting start date",IF(AND(D659&lt;&gt;"Adjustment",IFERROR(INDEX(coa_Pay,MATCH(K659&amp;"",coa_Name,0)),"")&lt;&gt;"Yes"),"Paid From / Deposited To is not a payment account","")))))))))))</f>
        <v/>
      </c>
      <c r="Z659" s="67">
        <f>IF(AND(T659=0,X659=""),1,0)</f>
        <v/>
      </c>
      <c r="AA659" s="68">
        <f>IF(Z659=1,IF(U659="In",L659,L659-W659),0)</f>
        <v/>
      </c>
      <c r="AB659" s="68">
        <f>IF(Z659=1,IF(U659="In",L659-W659,L659),0)</f>
        <v/>
      </c>
      <c r="AC659" s="68">
        <f>IF(AND(Z659=1,U659="Out"),W659,0)</f>
        <v/>
      </c>
      <c r="AD659" s="68">
        <f>IF(AND(Z659=1,U659="In"),W659,0)</f>
        <v/>
      </c>
    </row>
    <row r="660">
      <c r="B660" s="62" t="inlineStr">
        <is>
          <t>TX-0654</t>
        </is>
      </c>
      <c r="C660" s="63" t="n"/>
      <c r="D660" s="62" t="n"/>
      <c r="E660" s="62" t="n"/>
      <c r="F660" s="62" t="n"/>
      <c r="G660" s="62" t="n"/>
      <c r="H660" s="62" t="n"/>
      <c r="I660" s="62" t="n"/>
      <c r="J660" s="62" t="n"/>
      <c r="K660" s="62" t="n"/>
      <c r="L660" s="64" t="n"/>
      <c r="M660" s="64" t="n"/>
      <c r="N660" s="62" t="n"/>
      <c r="O660" s="65">
        <f>IF(Z660=1,L660-W660,"")</f>
        <v/>
      </c>
      <c r="P660" s="66">
        <f>IF(V660="","",IFERROR(INDEX(coa_Type,MATCH(V660,coa_Name,0)),""))</f>
        <v/>
      </c>
      <c r="Q660" s="66">
        <f>IF(Z660=1,IF(U660="In",K660&amp;"",V660),"")</f>
        <v/>
      </c>
      <c r="R660" s="66">
        <f>IF(Z660=1,IF(U660="In",V660,K660&amp;""),"")</f>
        <v/>
      </c>
      <c r="S660" s="66">
        <f>IF(X660&lt;&gt;"","⛔ "&amp;X660&amp;" — not posted",IF(Y660&lt;&gt;"","⚠ "&amp;Y660,IF(Z660=1,"✓ OK","")))</f>
        <v/>
      </c>
      <c r="T660" s="67">
        <f>IF(AND(C660="",D660="",E660="",L660="",K660=""),1,0)</f>
        <v/>
      </c>
      <c r="U660" s="67">
        <f>IFERROR(INDEX(tt_Dir,MATCH(D660,tt_Type,0)),"")</f>
        <v/>
      </c>
      <c r="V660" s="67">
        <f>IF(D660="","",IFERROR(IF(INDEX(tt_Other,MATCH(D660,tt_Type,0))="",E660&amp;"",INDEX(tt_Other,MATCH(D660,tt_Type,0))),""))</f>
        <v/>
      </c>
      <c r="W660" s="68">
        <f>IF(OR(TaxOn&lt;&gt;"Yes",NOT(ISNUMBER(M660))),0,IF(IFERROR(INDEX(tt_Tax,MATCH(D660,tt_Type,0)),"No")="Yes",M660,0))</f>
        <v/>
      </c>
      <c r="X660" s="67">
        <f>IF(T660=1,"",IF(C660="","Missing transaction date",IF(NOT(ISNUMBER(C660)),"Invalid date",IF(OR(C660&lt;DATE(2000,1,1),C660&gt;DATE(2099,12,31)),"Invalid date",IF(D660="","Select a type",IF(U660="","Unknown type: "&amp;D660,IF(V660="","Select an account (Category)",IF(ISNA(MATCH(V660,coa_Name,0)),"Unknown account: "&amp;V660,IF(K660="","Select Paid From / Deposited To",IF(ISNA(MATCH(K660,coa_Name,0)),"Unknown account: "&amp;K660,IF(NOT(ISNUMBER(L660)),"Enter an amount",IF(L660=0,"Enter an amount",IF(ABS(W660)&gt;ABS(L660),"Tax is larger than the amount","")))))))))))))</f>
        <v/>
      </c>
      <c r="Y660" s="67">
        <f>IF(OR(T660=1,X660&lt;&gt;""),"",IF(AND(B660&lt;&gt;"",COUNTIF(tx_ID,B660)&gt;1),"Duplicate transaction ID",IF(AND(L660&lt;0,D660&lt;&gt;"Adjustment"),"Negative amount — check this entry",IF(AND(D660="Customer Payment",G660=""),"Add the customer",IF(AND(D660="Customer Payment",OR(J660="",COUNTIF(ar_No,J660&amp;"")=0)),"Invoice # in Reference not found on AR sheet",IF(AND(D660="Bill Payment",H660=""),"Add the vendor",IF(AND(D660="Bill Payment",OR(J660="",COUNTIFS(ap_No,J660&amp;"",ap_Party,H660&amp;"")=0)),"Bill # + vendor not found on AP sheet",IF(AND(ISNUMBER(M660),N(M660)&lt;&gt;0,W660=0),"Tax ignored (tax tracking off, or not allowed for this type)",IF(V660=K660&amp;"","Same account on both sides",IF(AND(ISNUMBER(StartDate),C660&lt;StartDate),"Date is before the accounting start date",IF(AND(D660&lt;&gt;"Adjustment",IFERROR(INDEX(coa_Pay,MATCH(K660&amp;"",coa_Name,0)),"")&lt;&gt;"Yes"),"Paid From / Deposited To is not a payment account","")))))))))))</f>
        <v/>
      </c>
      <c r="Z660" s="67">
        <f>IF(AND(T660=0,X660=""),1,0)</f>
        <v/>
      </c>
      <c r="AA660" s="68">
        <f>IF(Z660=1,IF(U660="In",L660,L660-W660),0)</f>
        <v/>
      </c>
      <c r="AB660" s="68">
        <f>IF(Z660=1,IF(U660="In",L660-W660,L660),0)</f>
        <v/>
      </c>
      <c r="AC660" s="68">
        <f>IF(AND(Z660=1,U660="Out"),W660,0)</f>
        <v/>
      </c>
      <c r="AD660" s="68">
        <f>IF(AND(Z660=1,U660="In"),W660,0)</f>
        <v/>
      </c>
    </row>
    <row r="661">
      <c r="B661" s="62" t="inlineStr">
        <is>
          <t>TX-0655</t>
        </is>
      </c>
      <c r="C661" s="63" t="n"/>
      <c r="D661" s="62" t="n"/>
      <c r="E661" s="62" t="n"/>
      <c r="F661" s="62" t="n"/>
      <c r="G661" s="62" t="n"/>
      <c r="H661" s="62" t="n"/>
      <c r="I661" s="62" t="n"/>
      <c r="J661" s="62" t="n"/>
      <c r="K661" s="62" t="n"/>
      <c r="L661" s="64" t="n"/>
      <c r="M661" s="64" t="n"/>
      <c r="N661" s="62" t="n"/>
      <c r="O661" s="65">
        <f>IF(Z661=1,L661-W661,"")</f>
        <v/>
      </c>
      <c r="P661" s="66">
        <f>IF(V661="","",IFERROR(INDEX(coa_Type,MATCH(V661,coa_Name,0)),""))</f>
        <v/>
      </c>
      <c r="Q661" s="66">
        <f>IF(Z661=1,IF(U661="In",K661&amp;"",V661),"")</f>
        <v/>
      </c>
      <c r="R661" s="66">
        <f>IF(Z661=1,IF(U661="In",V661,K661&amp;""),"")</f>
        <v/>
      </c>
      <c r="S661" s="66">
        <f>IF(X661&lt;&gt;"","⛔ "&amp;X661&amp;" — not posted",IF(Y661&lt;&gt;"","⚠ "&amp;Y661,IF(Z661=1,"✓ OK","")))</f>
        <v/>
      </c>
      <c r="T661" s="67">
        <f>IF(AND(C661="",D661="",E661="",L661="",K661=""),1,0)</f>
        <v/>
      </c>
      <c r="U661" s="67">
        <f>IFERROR(INDEX(tt_Dir,MATCH(D661,tt_Type,0)),"")</f>
        <v/>
      </c>
      <c r="V661" s="67">
        <f>IF(D661="","",IFERROR(IF(INDEX(tt_Other,MATCH(D661,tt_Type,0))="",E661&amp;"",INDEX(tt_Other,MATCH(D661,tt_Type,0))),""))</f>
        <v/>
      </c>
      <c r="W661" s="68">
        <f>IF(OR(TaxOn&lt;&gt;"Yes",NOT(ISNUMBER(M661))),0,IF(IFERROR(INDEX(tt_Tax,MATCH(D661,tt_Type,0)),"No")="Yes",M661,0))</f>
        <v/>
      </c>
      <c r="X661" s="67">
        <f>IF(T661=1,"",IF(C661="","Missing transaction date",IF(NOT(ISNUMBER(C661)),"Invalid date",IF(OR(C661&lt;DATE(2000,1,1),C661&gt;DATE(2099,12,31)),"Invalid date",IF(D661="","Select a type",IF(U661="","Unknown type: "&amp;D661,IF(V661="","Select an account (Category)",IF(ISNA(MATCH(V661,coa_Name,0)),"Unknown account: "&amp;V661,IF(K661="","Select Paid From / Deposited To",IF(ISNA(MATCH(K661,coa_Name,0)),"Unknown account: "&amp;K661,IF(NOT(ISNUMBER(L661)),"Enter an amount",IF(L661=0,"Enter an amount",IF(ABS(W661)&gt;ABS(L661),"Tax is larger than the amount","")))))))))))))</f>
        <v/>
      </c>
      <c r="Y661" s="67">
        <f>IF(OR(T661=1,X661&lt;&gt;""),"",IF(AND(B661&lt;&gt;"",COUNTIF(tx_ID,B661)&gt;1),"Duplicate transaction ID",IF(AND(L661&lt;0,D661&lt;&gt;"Adjustment"),"Negative amount — check this entry",IF(AND(D661="Customer Payment",G661=""),"Add the customer",IF(AND(D661="Customer Payment",OR(J661="",COUNTIF(ar_No,J661&amp;"")=0)),"Invoice # in Reference not found on AR sheet",IF(AND(D661="Bill Payment",H661=""),"Add the vendor",IF(AND(D661="Bill Payment",OR(J661="",COUNTIFS(ap_No,J661&amp;"",ap_Party,H661&amp;"")=0)),"Bill # + vendor not found on AP sheet",IF(AND(ISNUMBER(M661),N(M661)&lt;&gt;0,W661=0),"Tax ignored (tax tracking off, or not allowed for this type)",IF(V661=K661&amp;"","Same account on both sides",IF(AND(ISNUMBER(StartDate),C661&lt;StartDate),"Date is before the accounting start date",IF(AND(D661&lt;&gt;"Adjustment",IFERROR(INDEX(coa_Pay,MATCH(K661&amp;"",coa_Name,0)),"")&lt;&gt;"Yes"),"Paid From / Deposited To is not a payment account","")))))))))))</f>
        <v/>
      </c>
      <c r="Z661" s="67">
        <f>IF(AND(T661=0,X661=""),1,0)</f>
        <v/>
      </c>
      <c r="AA661" s="68">
        <f>IF(Z661=1,IF(U661="In",L661,L661-W661),0)</f>
        <v/>
      </c>
      <c r="AB661" s="68">
        <f>IF(Z661=1,IF(U661="In",L661-W661,L661),0)</f>
        <v/>
      </c>
      <c r="AC661" s="68">
        <f>IF(AND(Z661=1,U661="Out"),W661,0)</f>
        <v/>
      </c>
      <c r="AD661" s="68">
        <f>IF(AND(Z661=1,U661="In"),W661,0)</f>
        <v/>
      </c>
    </row>
    <row r="662">
      <c r="B662" s="62" t="inlineStr">
        <is>
          <t>TX-0656</t>
        </is>
      </c>
      <c r="C662" s="63" t="n"/>
      <c r="D662" s="62" t="n"/>
      <c r="E662" s="62" t="n"/>
      <c r="F662" s="62" t="n"/>
      <c r="G662" s="62" t="n"/>
      <c r="H662" s="62" t="n"/>
      <c r="I662" s="62" t="n"/>
      <c r="J662" s="62" t="n"/>
      <c r="K662" s="62" t="n"/>
      <c r="L662" s="64" t="n"/>
      <c r="M662" s="64" t="n"/>
      <c r="N662" s="62" t="n"/>
      <c r="O662" s="65">
        <f>IF(Z662=1,L662-W662,"")</f>
        <v/>
      </c>
      <c r="P662" s="66">
        <f>IF(V662="","",IFERROR(INDEX(coa_Type,MATCH(V662,coa_Name,0)),""))</f>
        <v/>
      </c>
      <c r="Q662" s="66">
        <f>IF(Z662=1,IF(U662="In",K662&amp;"",V662),"")</f>
        <v/>
      </c>
      <c r="R662" s="66">
        <f>IF(Z662=1,IF(U662="In",V662,K662&amp;""),"")</f>
        <v/>
      </c>
      <c r="S662" s="66">
        <f>IF(X662&lt;&gt;"","⛔ "&amp;X662&amp;" — not posted",IF(Y662&lt;&gt;"","⚠ "&amp;Y662,IF(Z662=1,"✓ OK","")))</f>
        <v/>
      </c>
      <c r="T662" s="67">
        <f>IF(AND(C662="",D662="",E662="",L662="",K662=""),1,0)</f>
        <v/>
      </c>
      <c r="U662" s="67">
        <f>IFERROR(INDEX(tt_Dir,MATCH(D662,tt_Type,0)),"")</f>
        <v/>
      </c>
      <c r="V662" s="67">
        <f>IF(D662="","",IFERROR(IF(INDEX(tt_Other,MATCH(D662,tt_Type,0))="",E662&amp;"",INDEX(tt_Other,MATCH(D662,tt_Type,0))),""))</f>
        <v/>
      </c>
      <c r="W662" s="68">
        <f>IF(OR(TaxOn&lt;&gt;"Yes",NOT(ISNUMBER(M662))),0,IF(IFERROR(INDEX(tt_Tax,MATCH(D662,tt_Type,0)),"No")="Yes",M662,0))</f>
        <v/>
      </c>
      <c r="X662" s="67">
        <f>IF(T662=1,"",IF(C662="","Missing transaction date",IF(NOT(ISNUMBER(C662)),"Invalid date",IF(OR(C662&lt;DATE(2000,1,1),C662&gt;DATE(2099,12,31)),"Invalid date",IF(D662="","Select a type",IF(U662="","Unknown type: "&amp;D662,IF(V662="","Select an account (Category)",IF(ISNA(MATCH(V662,coa_Name,0)),"Unknown account: "&amp;V662,IF(K662="","Select Paid From / Deposited To",IF(ISNA(MATCH(K662,coa_Name,0)),"Unknown account: "&amp;K662,IF(NOT(ISNUMBER(L662)),"Enter an amount",IF(L662=0,"Enter an amount",IF(ABS(W662)&gt;ABS(L662),"Tax is larger than the amount","")))))))))))))</f>
        <v/>
      </c>
      <c r="Y662" s="67">
        <f>IF(OR(T662=1,X662&lt;&gt;""),"",IF(AND(B662&lt;&gt;"",COUNTIF(tx_ID,B662)&gt;1),"Duplicate transaction ID",IF(AND(L662&lt;0,D662&lt;&gt;"Adjustment"),"Negative amount — check this entry",IF(AND(D662="Customer Payment",G662=""),"Add the customer",IF(AND(D662="Customer Payment",OR(J662="",COUNTIF(ar_No,J662&amp;"")=0)),"Invoice # in Reference not found on AR sheet",IF(AND(D662="Bill Payment",H662=""),"Add the vendor",IF(AND(D662="Bill Payment",OR(J662="",COUNTIFS(ap_No,J662&amp;"",ap_Party,H662&amp;"")=0)),"Bill # + vendor not found on AP sheet",IF(AND(ISNUMBER(M662),N(M662)&lt;&gt;0,W662=0),"Tax ignored (tax tracking off, or not allowed for this type)",IF(V662=K662&amp;"","Same account on both sides",IF(AND(ISNUMBER(StartDate),C662&lt;StartDate),"Date is before the accounting start date",IF(AND(D662&lt;&gt;"Adjustment",IFERROR(INDEX(coa_Pay,MATCH(K662&amp;"",coa_Name,0)),"")&lt;&gt;"Yes"),"Paid From / Deposited To is not a payment account","")))))))))))</f>
        <v/>
      </c>
      <c r="Z662" s="67">
        <f>IF(AND(T662=0,X662=""),1,0)</f>
        <v/>
      </c>
      <c r="AA662" s="68">
        <f>IF(Z662=1,IF(U662="In",L662,L662-W662),0)</f>
        <v/>
      </c>
      <c r="AB662" s="68">
        <f>IF(Z662=1,IF(U662="In",L662-W662,L662),0)</f>
        <v/>
      </c>
      <c r="AC662" s="68">
        <f>IF(AND(Z662=1,U662="Out"),W662,0)</f>
        <v/>
      </c>
      <c r="AD662" s="68">
        <f>IF(AND(Z662=1,U662="In"),W662,0)</f>
        <v/>
      </c>
    </row>
    <row r="663">
      <c r="B663" s="62" t="inlineStr">
        <is>
          <t>TX-0657</t>
        </is>
      </c>
      <c r="C663" s="63" t="n"/>
      <c r="D663" s="62" t="n"/>
      <c r="E663" s="62" t="n"/>
      <c r="F663" s="62" t="n"/>
      <c r="G663" s="62" t="n"/>
      <c r="H663" s="62" t="n"/>
      <c r="I663" s="62" t="n"/>
      <c r="J663" s="62" t="n"/>
      <c r="K663" s="62" t="n"/>
      <c r="L663" s="64" t="n"/>
      <c r="M663" s="64" t="n"/>
      <c r="N663" s="62" t="n"/>
      <c r="O663" s="65">
        <f>IF(Z663=1,L663-W663,"")</f>
        <v/>
      </c>
      <c r="P663" s="66">
        <f>IF(V663="","",IFERROR(INDEX(coa_Type,MATCH(V663,coa_Name,0)),""))</f>
        <v/>
      </c>
      <c r="Q663" s="66">
        <f>IF(Z663=1,IF(U663="In",K663&amp;"",V663),"")</f>
        <v/>
      </c>
      <c r="R663" s="66">
        <f>IF(Z663=1,IF(U663="In",V663,K663&amp;""),"")</f>
        <v/>
      </c>
      <c r="S663" s="66">
        <f>IF(X663&lt;&gt;"","⛔ "&amp;X663&amp;" — not posted",IF(Y663&lt;&gt;"","⚠ "&amp;Y663,IF(Z663=1,"✓ OK","")))</f>
        <v/>
      </c>
      <c r="T663" s="67">
        <f>IF(AND(C663="",D663="",E663="",L663="",K663=""),1,0)</f>
        <v/>
      </c>
      <c r="U663" s="67">
        <f>IFERROR(INDEX(tt_Dir,MATCH(D663,tt_Type,0)),"")</f>
        <v/>
      </c>
      <c r="V663" s="67">
        <f>IF(D663="","",IFERROR(IF(INDEX(tt_Other,MATCH(D663,tt_Type,0))="",E663&amp;"",INDEX(tt_Other,MATCH(D663,tt_Type,0))),""))</f>
        <v/>
      </c>
      <c r="W663" s="68">
        <f>IF(OR(TaxOn&lt;&gt;"Yes",NOT(ISNUMBER(M663))),0,IF(IFERROR(INDEX(tt_Tax,MATCH(D663,tt_Type,0)),"No")="Yes",M663,0))</f>
        <v/>
      </c>
      <c r="X663" s="67">
        <f>IF(T663=1,"",IF(C663="","Missing transaction date",IF(NOT(ISNUMBER(C663)),"Invalid date",IF(OR(C663&lt;DATE(2000,1,1),C663&gt;DATE(2099,12,31)),"Invalid date",IF(D663="","Select a type",IF(U663="","Unknown type: "&amp;D663,IF(V663="","Select an account (Category)",IF(ISNA(MATCH(V663,coa_Name,0)),"Unknown account: "&amp;V663,IF(K663="","Select Paid From / Deposited To",IF(ISNA(MATCH(K663,coa_Name,0)),"Unknown account: "&amp;K663,IF(NOT(ISNUMBER(L663)),"Enter an amount",IF(L663=0,"Enter an amount",IF(ABS(W663)&gt;ABS(L663),"Tax is larger than the amount","")))))))))))))</f>
        <v/>
      </c>
      <c r="Y663" s="67">
        <f>IF(OR(T663=1,X663&lt;&gt;""),"",IF(AND(B663&lt;&gt;"",COUNTIF(tx_ID,B663)&gt;1),"Duplicate transaction ID",IF(AND(L663&lt;0,D663&lt;&gt;"Adjustment"),"Negative amount — check this entry",IF(AND(D663="Customer Payment",G663=""),"Add the customer",IF(AND(D663="Customer Payment",OR(J663="",COUNTIF(ar_No,J663&amp;"")=0)),"Invoice # in Reference not found on AR sheet",IF(AND(D663="Bill Payment",H663=""),"Add the vendor",IF(AND(D663="Bill Payment",OR(J663="",COUNTIFS(ap_No,J663&amp;"",ap_Party,H663&amp;"")=0)),"Bill # + vendor not found on AP sheet",IF(AND(ISNUMBER(M663),N(M663)&lt;&gt;0,W663=0),"Tax ignored (tax tracking off, or not allowed for this type)",IF(V663=K663&amp;"","Same account on both sides",IF(AND(ISNUMBER(StartDate),C663&lt;StartDate),"Date is before the accounting start date",IF(AND(D663&lt;&gt;"Adjustment",IFERROR(INDEX(coa_Pay,MATCH(K663&amp;"",coa_Name,0)),"")&lt;&gt;"Yes"),"Paid From / Deposited To is not a payment account","")))))))))))</f>
        <v/>
      </c>
      <c r="Z663" s="67">
        <f>IF(AND(T663=0,X663=""),1,0)</f>
        <v/>
      </c>
      <c r="AA663" s="68">
        <f>IF(Z663=1,IF(U663="In",L663,L663-W663),0)</f>
        <v/>
      </c>
      <c r="AB663" s="68">
        <f>IF(Z663=1,IF(U663="In",L663-W663,L663),0)</f>
        <v/>
      </c>
      <c r="AC663" s="68">
        <f>IF(AND(Z663=1,U663="Out"),W663,0)</f>
        <v/>
      </c>
      <c r="AD663" s="68">
        <f>IF(AND(Z663=1,U663="In"),W663,0)</f>
        <v/>
      </c>
    </row>
    <row r="664">
      <c r="B664" s="62" t="inlineStr">
        <is>
          <t>TX-0658</t>
        </is>
      </c>
      <c r="C664" s="63" t="n"/>
      <c r="D664" s="62" t="n"/>
      <c r="E664" s="62" t="n"/>
      <c r="F664" s="62" t="n"/>
      <c r="G664" s="62" t="n"/>
      <c r="H664" s="62" t="n"/>
      <c r="I664" s="62" t="n"/>
      <c r="J664" s="62" t="n"/>
      <c r="K664" s="62" t="n"/>
      <c r="L664" s="64" t="n"/>
      <c r="M664" s="64" t="n"/>
      <c r="N664" s="62" t="n"/>
      <c r="O664" s="65">
        <f>IF(Z664=1,L664-W664,"")</f>
        <v/>
      </c>
      <c r="P664" s="66">
        <f>IF(V664="","",IFERROR(INDEX(coa_Type,MATCH(V664,coa_Name,0)),""))</f>
        <v/>
      </c>
      <c r="Q664" s="66">
        <f>IF(Z664=1,IF(U664="In",K664&amp;"",V664),"")</f>
        <v/>
      </c>
      <c r="R664" s="66">
        <f>IF(Z664=1,IF(U664="In",V664,K664&amp;""),"")</f>
        <v/>
      </c>
      <c r="S664" s="66">
        <f>IF(X664&lt;&gt;"","⛔ "&amp;X664&amp;" — not posted",IF(Y664&lt;&gt;"","⚠ "&amp;Y664,IF(Z664=1,"✓ OK","")))</f>
        <v/>
      </c>
      <c r="T664" s="67">
        <f>IF(AND(C664="",D664="",E664="",L664="",K664=""),1,0)</f>
        <v/>
      </c>
      <c r="U664" s="67">
        <f>IFERROR(INDEX(tt_Dir,MATCH(D664,tt_Type,0)),"")</f>
        <v/>
      </c>
      <c r="V664" s="67">
        <f>IF(D664="","",IFERROR(IF(INDEX(tt_Other,MATCH(D664,tt_Type,0))="",E664&amp;"",INDEX(tt_Other,MATCH(D664,tt_Type,0))),""))</f>
        <v/>
      </c>
      <c r="W664" s="68">
        <f>IF(OR(TaxOn&lt;&gt;"Yes",NOT(ISNUMBER(M664))),0,IF(IFERROR(INDEX(tt_Tax,MATCH(D664,tt_Type,0)),"No")="Yes",M664,0))</f>
        <v/>
      </c>
      <c r="X664" s="67">
        <f>IF(T664=1,"",IF(C664="","Missing transaction date",IF(NOT(ISNUMBER(C664)),"Invalid date",IF(OR(C664&lt;DATE(2000,1,1),C664&gt;DATE(2099,12,31)),"Invalid date",IF(D664="","Select a type",IF(U664="","Unknown type: "&amp;D664,IF(V664="","Select an account (Category)",IF(ISNA(MATCH(V664,coa_Name,0)),"Unknown account: "&amp;V664,IF(K664="","Select Paid From / Deposited To",IF(ISNA(MATCH(K664,coa_Name,0)),"Unknown account: "&amp;K664,IF(NOT(ISNUMBER(L664)),"Enter an amount",IF(L664=0,"Enter an amount",IF(ABS(W664)&gt;ABS(L664),"Tax is larger than the amount","")))))))))))))</f>
        <v/>
      </c>
      <c r="Y664" s="67">
        <f>IF(OR(T664=1,X664&lt;&gt;""),"",IF(AND(B664&lt;&gt;"",COUNTIF(tx_ID,B664)&gt;1),"Duplicate transaction ID",IF(AND(L664&lt;0,D664&lt;&gt;"Adjustment"),"Negative amount — check this entry",IF(AND(D664="Customer Payment",G664=""),"Add the customer",IF(AND(D664="Customer Payment",OR(J664="",COUNTIF(ar_No,J664&amp;"")=0)),"Invoice # in Reference not found on AR sheet",IF(AND(D664="Bill Payment",H664=""),"Add the vendor",IF(AND(D664="Bill Payment",OR(J664="",COUNTIFS(ap_No,J664&amp;"",ap_Party,H664&amp;"")=0)),"Bill # + vendor not found on AP sheet",IF(AND(ISNUMBER(M664),N(M664)&lt;&gt;0,W664=0),"Tax ignored (tax tracking off, or not allowed for this type)",IF(V664=K664&amp;"","Same account on both sides",IF(AND(ISNUMBER(StartDate),C664&lt;StartDate),"Date is before the accounting start date",IF(AND(D664&lt;&gt;"Adjustment",IFERROR(INDEX(coa_Pay,MATCH(K664&amp;"",coa_Name,0)),"")&lt;&gt;"Yes"),"Paid From / Deposited To is not a payment account","")))))))))))</f>
        <v/>
      </c>
      <c r="Z664" s="67">
        <f>IF(AND(T664=0,X664=""),1,0)</f>
        <v/>
      </c>
      <c r="AA664" s="68">
        <f>IF(Z664=1,IF(U664="In",L664,L664-W664),0)</f>
        <v/>
      </c>
      <c r="AB664" s="68">
        <f>IF(Z664=1,IF(U664="In",L664-W664,L664),0)</f>
        <v/>
      </c>
      <c r="AC664" s="68">
        <f>IF(AND(Z664=1,U664="Out"),W664,0)</f>
        <v/>
      </c>
      <c r="AD664" s="68">
        <f>IF(AND(Z664=1,U664="In"),W664,0)</f>
        <v/>
      </c>
    </row>
    <row r="665">
      <c r="B665" s="62" t="inlineStr">
        <is>
          <t>TX-0659</t>
        </is>
      </c>
      <c r="C665" s="63" t="n"/>
      <c r="D665" s="62" t="n"/>
      <c r="E665" s="62" t="n"/>
      <c r="F665" s="62" t="n"/>
      <c r="G665" s="62" t="n"/>
      <c r="H665" s="62" t="n"/>
      <c r="I665" s="62" t="n"/>
      <c r="J665" s="62" t="n"/>
      <c r="K665" s="62" t="n"/>
      <c r="L665" s="64" t="n"/>
      <c r="M665" s="64" t="n"/>
      <c r="N665" s="62" t="n"/>
      <c r="O665" s="65">
        <f>IF(Z665=1,L665-W665,"")</f>
        <v/>
      </c>
      <c r="P665" s="66">
        <f>IF(V665="","",IFERROR(INDEX(coa_Type,MATCH(V665,coa_Name,0)),""))</f>
        <v/>
      </c>
      <c r="Q665" s="66">
        <f>IF(Z665=1,IF(U665="In",K665&amp;"",V665),"")</f>
        <v/>
      </c>
      <c r="R665" s="66">
        <f>IF(Z665=1,IF(U665="In",V665,K665&amp;""),"")</f>
        <v/>
      </c>
      <c r="S665" s="66">
        <f>IF(X665&lt;&gt;"","⛔ "&amp;X665&amp;" — not posted",IF(Y665&lt;&gt;"","⚠ "&amp;Y665,IF(Z665=1,"✓ OK","")))</f>
        <v/>
      </c>
      <c r="T665" s="67">
        <f>IF(AND(C665="",D665="",E665="",L665="",K665=""),1,0)</f>
        <v/>
      </c>
      <c r="U665" s="67">
        <f>IFERROR(INDEX(tt_Dir,MATCH(D665,tt_Type,0)),"")</f>
        <v/>
      </c>
      <c r="V665" s="67">
        <f>IF(D665="","",IFERROR(IF(INDEX(tt_Other,MATCH(D665,tt_Type,0))="",E665&amp;"",INDEX(tt_Other,MATCH(D665,tt_Type,0))),""))</f>
        <v/>
      </c>
      <c r="W665" s="68">
        <f>IF(OR(TaxOn&lt;&gt;"Yes",NOT(ISNUMBER(M665))),0,IF(IFERROR(INDEX(tt_Tax,MATCH(D665,tt_Type,0)),"No")="Yes",M665,0))</f>
        <v/>
      </c>
      <c r="X665" s="67">
        <f>IF(T665=1,"",IF(C665="","Missing transaction date",IF(NOT(ISNUMBER(C665)),"Invalid date",IF(OR(C665&lt;DATE(2000,1,1),C665&gt;DATE(2099,12,31)),"Invalid date",IF(D665="","Select a type",IF(U665="","Unknown type: "&amp;D665,IF(V665="","Select an account (Category)",IF(ISNA(MATCH(V665,coa_Name,0)),"Unknown account: "&amp;V665,IF(K665="","Select Paid From / Deposited To",IF(ISNA(MATCH(K665,coa_Name,0)),"Unknown account: "&amp;K665,IF(NOT(ISNUMBER(L665)),"Enter an amount",IF(L665=0,"Enter an amount",IF(ABS(W665)&gt;ABS(L665),"Tax is larger than the amount","")))))))))))))</f>
        <v/>
      </c>
      <c r="Y665" s="67">
        <f>IF(OR(T665=1,X665&lt;&gt;""),"",IF(AND(B665&lt;&gt;"",COUNTIF(tx_ID,B665)&gt;1),"Duplicate transaction ID",IF(AND(L665&lt;0,D665&lt;&gt;"Adjustment"),"Negative amount — check this entry",IF(AND(D665="Customer Payment",G665=""),"Add the customer",IF(AND(D665="Customer Payment",OR(J665="",COUNTIF(ar_No,J665&amp;"")=0)),"Invoice # in Reference not found on AR sheet",IF(AND(D665="Bill Payment",H665=""),"Add the vendor",IF(AND(D665="Bill Payment",OR(J665="",COUNTIFS(ap_No,J665&amp;"",ap_Party,H665&amp;"")=0)),"Bill # + vendor not found on AP sheet",IF(AND(ISNUMBER(M665),N(M665)&lt;&gt;0,W665=0),"Tax ignored (tax tracking off, or not allowed for this type)",IF(V665=K665&amp;"","Same account on both sides",IF(AND(ISNUMBER(StartDate),C665&lt;StartDate),"Date is before the accounting start date",IF(AND(D665&lt;&gt;"Adjustment",IFERROR(INDEX(coa_Pay,MATCH(K665&amp;"",coa_Name,0)),"")&lt;&gt;"Yes"),"Paid From / Deposited To is not a payment account","")))))))))))</f>
        <v/>
      </c>
      <c r="Z665" s="67">
        <f>IF(AND(T665=0,X665=""),1,0)</f>
        <v/>
      </c>
      <c r="AA665" s="68">
        <f>IF(Z665=1,IF(U665="In",L665,L665-W665),0)</f>
        <v/>
      </c>
      <c r="AB665" s="68">
        <f>IF(Z665=1,IF(U665="In",L665-W665,L665),0)</f>
        <v/>
      </c>
      <c r="AC665" s="68">
        <f>IF(AND(Z665=1,U665="Out"),W665,0)</f>
        <v/>
      </c>
      <c r="AD665" s="68">
        <f>IF(AND(Z665=1,U665="In"),W665,0)</f>
        <v/>
      </c>
    </row>
    <row r="666">
      <c r="B666" s="62" t="inlineStr">
        <is>
          <t>TX-0660</t>
        </is>
      </c>
      <c r="C666" s="63" t="n"/>
      <c r="D666" s="62" t="n"/>
      <c r="E666" s="62" t="n"/>
      <c r="F666" s="62" t="n"/>
      <c r="G666" s="62" t="n"/>
      <c r="H666" s="62" t="n"/>
      <c r="I666" s="62" t="n"/>
      <c r="J666" s="62" t="n"/>
      <c r="K666" s="62" t="n"/>
      <c r="L666" s="64" t="n"/>
      <c r="M666" s="64" t="n"/>
      <c r="N666" s="62" t="n"/>
      <c r="O666" s="65">
        <f>IF(Z666=1,L666-W666,"")</f>
        <v/>
      </c>
      <c r="P666" s="66">
        <f>IF(V666="","",IFERROR(INDEX(coa_Type,MATCH(V666,coa_Name,0)),""))</f>
        <v/>
      </c>
      <c r="Q666" s="66">
        <f>IF(Z666=1,IF(U666="In",K666&amp;"",V666),"")</f>
        <v/>
      </c>
      <c r="R666" s="66">
        <f>IF(Z666=1,IF(U666="In",V666,K666&amp;""),"")</f>
        <v/>
      </c>
      <c r="S666" s="66">
        <f>IF(X666&lt;&gt;"","⛔ "&amp;X666&amp;" — not posted",IF(Y666&lt;&gt;"","⚠ "&amp;Y666,IF(Z666=1,"✓ OK","")))</f>
        <v/>
      </c>
      <c r="T666" s="67">
        <f>IF(AND(C666="",D666="",E666="",L666="",K666=""),1,0)</f>
        <v/>
      </c>
      <c r="U666" s="67">
        <f>IFERROR(INDEX(tt_Dir,MATCH(D666,tt_Type,0)),"")</f>
        <v/>
      </c>
      <c r="V666" s="67">
        <f>IF(D666="","",IFERROR(IF(INDEX(tt_Other,MATCH(D666,tt_Type,0))="",E666&amp;"",INDEX(tt_Other,MATCH(D666,tt_Type,0))),""))</f>
        <v/>
      </c>
      <c r="W666" s="68">
        <f>IF(OR(TaxOn&lt;&gt;"Yes",NOT(ISNUMBER(M666))),0,IF(IFERROR(INDEX(tt_Tax,MATCH(D666,tt_Type,0)),"No")="Yes",M666,0))</f>
        <v/>
      </c>
      <c r="X666" s="67">
        <f>IF(T666=1,"",IF(C666="","Missing transaction date",IF(NOT(ISNUMBER(C666)),"Invalid date",IF(OR(C666&lt;DATE(2000,1,1),C666&gt;DATE(2099,12,31)),"Invalid date",IF(D666="","Select a type",IF(U666="","Unknown type: "&amp;D666,IF(V666="","Select an account (Category)",IF(ISNA(MATCH(V666,coa_Name,0)),"Unknown account: "&amp;V666,IF(K666="","Select Paid From / Deposited To",IF(ISNA(MATCH(K666,coa_Name,0)),"Unknown account: "&amp;K666,IF(NOT(ISNUMBER(L666)),"Enter an amount",IF(L666=0,"Enter an amount",IF(ABS(W666)&gt;ABS(L666),"Tax is larger than the amount","")))))))))))))</f>
        <v/>
      </c>
      <c r="Y666" s="67">
        <f>IF(OR(T666=1,X666&lt;&gt;""),"",IF(AND(B666&lt;&gt;"",COUNTIF(tx_ID,B666)&gt;1),"Duplicate transaction ID",IF(AND(L666&lt;0,D666&lt;&gt;"Adjustment"),"Negative amount — check this entry",IF(AND(D666="Customer Payment",G666=""),"Add the customer",IF(AND(D666="Customer Payment",OR(J666="",COUNTIF(ar_No,J666&amp;"")=0)),"Invoice # in Reference not found on AR sheet",IF(AND(D666="Bill Payment",H666=""),"Add the vendor",IF(AND(D666="Bill Payment",OR(J666="",COUNTIFS(ap_No,J666&amp;"",ap_Party,H666&amp;"")=0)),"Bill # + vendor not found on AP sheet",IF(AND(ISNUMBER(M666),N(M666)&lt;&gt;0,W666=0),"Tax ignored (tax tracking off, or not allowed for this type)",IF(V666=K666&amp;"","Same account on both sides",IF(AND(ISNUMBER(StartDate),C666&lt;StartDate),"Date is before the accounting start date",IF(AND(D666&lt;&gt;"Adjustment",IFERROR(INDEX(coa_Pay,MATCH(K666&amp;"",coa_Name,0)),"")&lt;&gt;"Yes"),"Paid From / Deposited To is not a payment account","")))))))))))</f>
        <v/>
      </c>
      <c r="Z666" s="67">
        <f>IF(AND(T666=0,X666=""),1,0)</f>
        <v/>
      </c>
      <c r="AA666" s="68">
        <f>IF(Z666=1,IF(U666="In",L666,L666-W666),0)</f>
        <v/>
      </c>
      <c r="AB666" s="68">
        <f>IF(Z666=1,IF(U666="In",L666-W666,L666),0)</f>
        <v/>
      </c>
      <c r="AC666" s="68">
        <f>IF(AND(Z666=1,U666="Out"),W666,0)</f>
        <v/>
      </c>
      <c r="AD666" s="68">
        <f>IF(AND(Z666=1,U666="In"),W666,0)</f>
        <v/>
      </c>
    </row>
    <row r="667">
      <c r="B667" s="62" t="inlineStr">
        <is>
          <t>TX-0661</t>
        </is>
      </c>
      <c r="C667" s="63" t="n"/>
      <c r="D667" s="62" t="n"/>
      <c r="E667" s="62" t="n"/>
      <c r="F667" s="62" t="n"/>
      <c r="G667" s="62" t="n"/>
      <c r="H667" s="62" t="n"/>
      <c r="I667" s="62" t="n"/>
      <c r="J667" s="62" t="n"/>
      <c r="K667" s="62" t="n"/>
      <c r="L667" s="64" t="n"/>
      <c r="M667" s="64" t="n"/>
      <c r="N667" s="62" t="n"/>
      <c r="O667" s="65">
        <f>IF(Z667=1,L667-W667,"")</f>
        <v/>
      </c>
      <c r="P667" s="66">
        <f>IF(V667="","",IFERROR(INDEX(coa_Type,MATCH(V667,coa_Name,0)),""))</f>
        <v/>
      </c>
      <c r="Q667" s="66">
        <f>IF(Z667=1,IF(U667="In",K667&amp;"",V667),"")</f>
        <v/>
      </c>
      <c r="R667" s="66">
        <f>IF(Z667=1,IF(U667="In",V667,K667&amp;""),"")</f>
        <v/>
      </c>
      <c r="S667" s="66">
        <f>IF(X667&lt;&gt;"","⛔ "&amp;X667&amp;" — not posted",IF(Y667&lt;&gt;"","⚠ "&amp;Y667,IF(Z667=1,"✓ OK","")))</f>
        <v/>
      </c>
      <c r="T667" s="67">
        <f>IF(AND(C667="",D667="",E667="",L667="",K667=""),1,0)</f>
        <v/>
      </c>
      <c r="U667" s="67">
        <f>IFERROR(INDEX(tt_Dir,MATCH(D667,tt_Type,0)),"")</f>
        <v/>
      </c>
      <c r="V667" s="67">
        <f>IF(D667="","",IFERROR(IF(INDEX(tt_Other,MATCH(D667,tt_Type,0))="",E667&amp;"",INDEX(tt_Other,MATCH(D667,tt_Type,0))),""))</f>
        <v/>
      </c>
      <c r="W667" s="68">
        <f>IF(OR(TaxOn&lt;&gt;"Yes",NOT(ISNUMBER(M667))),0,IF(IFERROR(INDEX(tt_Tax,MATCH(D667,tt_Type,0)),"No")="Yes",M667,0))</f>
        <v/>
      </c>
      <c r="X667" s="67">
        <f>IF(T667=1,"",IF(C667="","Missing transaction date",IF(NOT(ISNUMBER(C667)),"Invalid date",IF(OR(C667&lt;DATE(2000,1,1),C667&gt;DATE(2099,12,31)),"Invalid date",IF(D667="","Select a type",IF(U667="","Unknown type: "&amp;D667,IF(V667="","Select an account (Category)",IF(ISNA(MATCH(V667,coa_Name,0)),"Unknown account: "&amp;V667,IF(K667="","Select Paid From / Deposited To",IF(ISNA(MATCH(K667,coa_Name,0)),"Unknown account: "&amp;K667,IF(NOT(ISNUMBER(L667)),"Enter an amount",IF(L667=0,"Enter an amount",IF(ABS(W667)&gt;ABS(L667),"Tax is larger than the amount","")))))))))))))</f>
        <v/>
      </c>
      <c r="Y667" s="67">
        <f>IF(OR(T667=1,X667&lt;&gt;""),"",IF(AND(B667&lt;&gt;"",COUNTIF(tx_ID,B667)&gt;1),"Duplicate transaction ID",IF(AND(L667&lt;0,D667&lt;&gt;"Adjustment"),"Negative amount — check this entry",IF(AND(D667="Customer Payment",G667=""),"Add the customer",IF(AND(D667="Customer Payment",OR(J667="",COUNTIF(ar_No,J667&amp;"")=0)),"Invoice # in Reference not found on AR sheet",IF(AND(D667="Bill Payment",H667=""),"Add the vendor",IF(AND(D667="Bill Payment",OR(J667="",COUNTIFS(ap_No,J667&amp;"",ap_Party,H667&amp;"")=0)),"Bill # + vendor not found on AP sheet",IF(AND(ISNUMBER(M667),N(M667)&lt;&gt;0,W667=0),"Tax ignored (tax tracking off, or not allowed for this type)",IF(V667=K667&amp;"","Same account on both sides",IF(AND(ISNUMBER(StartDate),C667&lt;StartDate),"Date is before the accounting start date",IF(AND(D667&lt;&gt;"Adjustment",IFERROR(INDEX(coa_Pay,MATCH(K667&amp;"",coa_Name,0)),"")&lt;&gt;"Yes"),"Paid From / Deposited To is not a payment account","")))))))))))</f>
        <v/>
      </c>
      <c r="Z667" s="67">
        <f>IF(AND(T667=0,X667=""),1,0)</f>
        <v/>
      </c>
      <c r="AA667" s="68">
        <f>IF(Z667=1,IF(U667="In",L667,L667-W667),0)</f>
        <v/>
      </c>
      <c r="AB667" s="68">
        <f>IF(Z667=1,IF(U667="In",L667-W667,L667),0)</f>
        <v/>
      </c>
      <c r="AC667" s="68">
        <f>IF(AND(Z667=1,U667="Out"),W667,0)</f>
        <v/>
      </c>
      <c r="AD667" s="68">
        <f>IF(AND(Z667=1,U667="In"),W667,0)</f>
        <v/>
      </c>
    </row>
    <row r="668">
      <c r="B668" s="62" t="inlineStr">
        <is>
          <t>TX-0662</t>
        </is>
      </c>
      <c r="C668" s="63" t="n"/>
      <c r="D668" s="62" t="n"/>
      <c r="E668" s="62" t="n"/>
      <c r="F668" s="62" t="n"/>
      <c r="G668" s="62" t="n"/>
      <c r="H668" s="62" t="n"/>
      <c r="I668" s="62" t="n"/>
      <c r="J668" s="62" t="n"/>
      <c r="K668" s="62" t="n"/>
      <c r="L668" s="64" t="n"/>
      <c r="M668" s="64" t="n"/>
      <c r="N668" s="62" t="n"/>
      <c r="O668" s="65">
        <f>IF(Z668=1,L668-W668,"")</f>
        <v/>
      </c>
      <c r="P668" s="66">
        <f>IF(V668="","",IFERROR(INDEX(coa_Type,MATCH(V668,coa_Name,0)),""))</f>
        <v/>
      </c>
      <c r="Q668" s="66">
        <f>IF(Z668=1,IF(U668="In",K668&amp;"",V668),"")</f>
        <v/>
      </c>
      <c r="R668" s="66">
        <f>IF(Z668=1,IF(U668="In",V668,K668&amp;""),"")</f>
        <v/>
      </c>
      <c r="S668" s="66">
        <f>IF(X668&lt;&gt;"","⛔ "&amp;X668&amp;" — not posted",IF(Y668&lt;&gt;"","⚠ "&amp;Y668,IF(Z668=1,"✓ OK","")))</f>
        <v/>
      </c>
      <c r="T668" s="67">
        <f>IF(AND(C668="",D668="",E668="",L668="",K668=""),1,0)</f>
        <v/>
      </c>
      <c r="U668" s="67">
        <f>IFERROR(INDEX(tt_Dir,MATCH(D668,tt_Type,0)),"")</f>
        <v/>
      </c>
      <c r="V668" s="67">
        <f>IF(D668="","",IFERROR(IF(INDEX(tt_Other,MATCH(D668,tt_Type,0))="",E668&amp;"",INDEX(tt_Other,MATCH(D668,tt_Type,0))),""))</f>
        <v/>
      </c>
      <c r="W668" s="68">
        <f>IF(OR(TaxOn&lt;&gt;"Yes",NOT(ISNUMBER(M668))),0,IF(IFERROR(INDEX(tt_Tax,MATCH(D668,tt_Type,0)),"No")="Yes",M668,0))</f>
        <v/>
      </c>
      <c r="X668" s="67">
        <f>IF(T668=1,"",IF(C668="","Missing transaction date",IF(NOT(ISNUMBER(C668)),"Invalid date",IF(OR(C668&lt;DATE(2000,1,1),C668&gt;DATE(2099,12,31)),"Invalid date",IF(D668="","Select a type",IF(U668="","Unknown type: "&amp;D668,IF(V668="","Select an account (Category)",IF(ISNA(MATCH(V668,coa_Name,0)),"Unknown account: "&amp;V668,IF(K668="","Select Paid From / Deposited To",IF(ISNA(MATCH(K668,coa_Name,0)),"Unknown account: "&amp;K668,IF(NOT(ISNUMBER(L668)),"Enter an amount",IF(L668=0,"Enter an amount",IF(ABS(W668)&gt;ABS(L668),"Tax is larger than the amount","")))))))))))))</f>
        <v/>
      </c>
      <c r="Y668" s="67">
        <f>IF(OR(T668=1,X668&lt;&gt;""),"",IF(AND(B668&lt;&gt;"",COUNTIF(tx_ID,B668)&gt;1),"Duplicate transaction ID",IF(AND(L668&lt;0,D668&lt;&gt;"Adjustment"),"Negative amount — check this entry",IF(AND(D668="Customer Payment",G668=""),"Add the customer",IF(AND(D668="Customer Payment",OR(J668="",COUNTIF(ar_No,J668&amp;"")=0)),"Invoice # in Reference not found on AR sheet",IF(AND(D668="Bill Payment",H668=""),"Add the vendor",IF(AND(D668="Bill Payment",OR(J668="",COUNTIFS(ap_No,J668&amp;"",ap_Party,H668&amp;"")=0)),"Bill # + vendor not found on AP sheet",IF(AND(ISNUMBER(M668),N(M668)&lt;&gt;0,W668=0),"Tax ignored (tax tracking off, or not allowed for this type)",IF(V668=K668&amp;"","Same account on both sides",IF(AND(ISNUMBER(StartDate),C668&lt;StartDate),"Date is before the accounting start date",IF(AND(D668&lt;&gt;"Adjustment",IFERROR(INDEX(coa_Pay,MATCH(K668&amp;"",coa_Name,0)),"")&lt;&gt;"Yes"),"Paid From / Deposited To is not a payment account","")))))))))))</f>
        <v/>
      </c>
      <c r="Z668" s="67">
        <f>IF(AND(T668=0,X668=""),1,0)</f>
        <v/>
      </c>
      <c r="AA668" s="68">
        <f>IF(Z668=1,IF(U668="In",L668,L668-W668),0)</f>
        <v/>
      </c>
      <c r="AB668" s="68">
        <f>IF(Z668=1,IF(U668="In",L668-W668,L668),0)</f>
        <v/>
      </c>
      <c r="AC668" s="68">
        <f>IF(AND(Z668=1,U668="Out"),W668,0)</f>
        <v/>
      </c>
      <c r="AD668" s="68">
        <f>IF(AND(Z668=1,U668="In"),W668,0)</f>
        <v/>
      </c>
    </row>
    <row r="669">
      <c r="B669" s="62" t="inlineStr">
        <is>
          <t>TX-0663</t>
        </is>
      </c>
      <c r="C669" s="63" t="n"/>
      <c r="D669" s="62" t="n"/>
      <c r="E669" s="62" t="n"/>
      <c r="F669" s="62" t="n"/>
      <c r="G669" s="62" t="n"/>
      <c r="H669" s="62" t="n"/>
      <c r="I669" s="62" t="n"/>
      <c r="J669" s="62" t="n"/>
      <c r="K669" s="62" t="n"/>
      <c r="L669" s="64" t="n"/>
      <c r="M669" s="64" t="n"/>
      <c r="N669" s="62" t="n"/>
      <c r="O669" s="65">
        <f>IF(Z669=1,L669-W669,"")</f>
        <v/>
      </c>
      <c r="P669" s="66">
        <f>IF(V669="","",IFERROR(INDEX(coa_Type,MATCH(V669,coa_Name,0)),""))</f>
        <v/>
      </c>
      <c r="Q669" s="66">
        <f>IF(Z669=1,IF(U669="In",K669&amp;"",V669),"")</f>
        <v/>
      </c>
      <c r="R669" s="66">
        <f>IF(Z669=1,IF(U669="In",V669,K669&amp;""),"")</f>
        <v/>
      </c>
      <c r="S669" s="66">
        <f>IF(X669&lt;&gt;"","⛔ "&amp;X669&amp;" — not posted",IF(Y669&lt;&gt;"","⚠ "&amp;Y669,IF(Z669=1,"✓ OK","")))</f>
        <v/>
      </c>
      <c r="T669" s="67">
        <f>IF(AND(C669="",D669="",E669="",L669="",K669=""),1,0)</f>
        <v/>
      </c>
      <c r="U669" s="67">
        <f>IFERROR(INDEX(tt_Dir,MATCH(D669,tt_Type,0)),"")</f>
        <v/>
      </c>
      <c r="V669" s="67">
        <f>IF(D669="","",IFERROR(IF(INDEX(tt_Other,MATCH(D669,tt_Type,0))="",E669&amp;"",INDEX(tt_Other,MATCH(D669,tt_Type,0))),""))</f>
        <v/>
      </c>
      <c r="W669" s="68">
        <f>IF(OR(TaxOn&lt;&gt;"Yes",NOT(ISNUMBER(M669))),0,IF(IFERROR(INDEX(tt_Tax,MATCH(D669,tt_Type,0)),"No")="Yes",M669,0))</f>
        <v/>
      </c>
      <c r="X669" s="67">
        <f>IF(T669=1,"",IF(C669="","Missing transaction date",IF(NOT(ISNUMBER(C669)),"Invalid date",IF(OR(C669&lt;DATE(2000,1,1),C669&gt;DATE(2099,12,31)),"Invalid date",IF(D669="","Select a type",IF(U669="","Unknown type: "&amp;D669,IF(V669="","Select an account (Category)",IF(ISNA(MATCH(V669,coa_Name,0)),"Unknown account: "&amp;V669,IF(K669="","Select Paid From / Deposited To",IF(ISNA(MATCH(K669,coa_Name,0)),"Unknown account: "&amp;K669,IF(NOT(ISNUMBER(L669)),"Enter an amount",IF(L669=0,"Enter an amount",IF(ABS(W669)&gt;ABS(L669),"Tax is larger than the amount","")))))))))))))</f>
        <v/>
      </c>
      <c r="Y669" s="67">
        <f>IF(OR(T669=1,X669&lt;&gt;""),"",IF(AND(B669&lt;&gt;"",COUNTIF(tx_ID,B669)&gt;1),"Duplicate transaction ID",IF(AND(L669&lt;0,D669&lt;&gt;"Adjustment"),"Negative amount — check this entry",IF(AND(D669="Customer Payment",G669=""),"Add the customer",IF(AND(D669="Customer Payment",OR(J669="",COUNTIF(ar_No,J669&amp;"")=0)),"Invoice # in Reference not found on AR sheet",IF(AND(D669="Bill Payment",H669=""),"Add the vendor",IF(AND(D669="Bill Payment",OR(J669="",COUNTIFS(ap_No,J669&amp;"",ap_Party,H669&amp;"")=0)),"Bill # + vendor not found on AP sheet",IF(AND(ISNUMBER(M669),N(M669)&lt;&gt;0,W669=0),"Tax ignored (tax tracking off, or not allowed for this type)",IF(V669=K669&amp;"","Same account on both sides",IF(AND(ISNUMBER(StartDate),C669&lt;StartDate),"Date is before the accounting start date",IF(AND(D669&lt;&gt;"Adjustment",IFERROR(INDEX(coa_Pay,MATCH(K669&amp;"",coa_Name,0)),"")&lt;&gt;"Yes"),"Paid From / Deposited To is not a payment account","")))))))))))</f>
        <v/>
      </c>
      <c r="Z669" s="67">
        <f>IF(AND(T669=0,X669=""),1,0)</f>
        <v/>
      </c>
      <c r="AA669" s="68">
        <f>IF(Z669=1,IF(U669="In",L669,L669-W669),0)</f>
        <v/>
      </c>
      <c r="AB669" s="68">
        <f>IF(Z669=1,IF(U669="In",L669-W669,L669),0)</f>
        <v/>
      </c>
      <c r="AC669" s="68">
        <f>IF(AND(Z669=1,U669="Out"),W669,0)</f>
        <v/>
      </c>
      <c r="AD669" s="68">
        <f>IF(AND(Z669=1,U669="In"),W669,0)</f>
        <v/>
      </c>
    </row>
    <row r="670">
      <c r="B670" s="62" t="inlineStr">
        <is>
          <t>TX-0664</t>
        </is>
      </c>
      <c r="C670" s="63" t="n"/>
      <c r="D670" s="62" t="n"/>
      <c r="E670" s="62" t="n"/>
      <c r="F670" s="62" t="n"/>
      <c r="G670" s="62" t="n"/>
      <c r="H670" s="62" t="n"/>
      <c r="I670" s="62" t="n"/>
      <c r="J670" s="62" t="n"/>
      <c r="K670" s="62" t="n"/>
      <c r="L670" s="64" t="n"/>
      <c r="M670" s="64" t="n"/>
      <c r="N670" s="62" t="n"/>
      <c r="O670" s="65">
        <f>IF(Z670=1,L670-W670,"")</f>
        <v/>
      </c>
      <c r="P670" s="66">
        <f>IF(V670="","",IFERROR(INDEX(coa_Type,MATCH(V670,coa_Name,0)),""))</f>
        <v/>
      </c>
      <c r="Q670" s="66">
        <f>IF(Z670=1,IF(U670="In",K670&amp;"",V670),"")</f>
        <v/>
      </c>
      <c r="R670" s="66">
        <f>IF(Z670=1,IF(U670="In",V670,K670&amp;""),"")</f>
        <v/>
      </c>
      <c r="S670" s="66">
        <f>IF(X670&lt;&gt;"","⛔ "&amp;X670&amp;" — not posted",IF(Y670&lt;&gt;"","⚠ "&amp;Y670,IF(Z670=1,"✓ OK","")))</f>
        <v/>
      </c>
      <c r="T670" s="67">
        <f>IF(AND(C670="",D670="",E670="",L670="",K670=""),1,0)</f>
        <v/>
      </c>
      <c r="U670" s="67">
        <f>IFERROR(INDEX(tt_Dir,MATCH(D670,tt_Type,0)),"")</f>
        <v/>
      </c>
      <c r="V670" s="67">
        <f>IF(D670="","",IFERROR(IF(INDEX(tt_Other,MATCH(D670,tt_Type,0))="",E670&amp;"",INDEX(tt_Other,MATCH(D670,tt_Type,0))),""))</f>
        <v/>
      </c>
      <c r="W670" s="68">
        <f>IF(OR(TaxOn&lt;&gt;"Yes",NOT(ISNUMBER(M670))),0,IF(IFERROR(INDEX(tt_Tax,MATCH(D670,tt_Type,0)),"No")="Yes",M670,0))</f>
        <v/>
      </c>
      <c r="X670" s="67">
        <f>IF(T670=1,"",IF(C670="","Missing transaction date",IF(NOT(ISNUMBER(C670)),"Invalid date",IF(OR(C670&lt;DATE(2000,1,1),C670&gt;DATE(2099,12,31)),"Invalid date",IF(D670="","Select a type",IF(U670="","Unknown type: "&amp;D670,IF(V670="","Select an account (Category)",IF(ISNA(MATCH(V670,coa_Name,0)),"Unknown account: "&amp;V670,IF(K670="","Select Paid From / Deposited To",IF(ISNA(MATCH(K670,coa_Name,0)),"Unknown account: "&amp;K670,IF(NOT(ISNUMBER(L670)),"Enter an amount",IF(L670=0,"Enter an amount",IF(ABS(W670)&gt;ABS(L670),"Tax is larger than the amount","")))))))))))))</f>
        <v/>
      </c>
      <c r="Y670" s="67">
        <f>IF(OR(T670=1,X670&lt;&gt;""),"",IF(AND(B670&lt;&gt;"",COUNTIF(tx_ID,B670)&gt;1),"Duplicate transaction ID",IF(AND(L670&lt;0,D670&lt;&gt;"Adjustment"),"Negative amount — check this entry",IF(AND(D670="Customer Payment",G670=""),"Add the customer",IF(AND(D670="Customer Payment",OR(J670="",COUNTIF(ar_No,J670&amp;"")=0)),"Invoice # in Reference not found on AR sheet",IF(AND(D670="Bill Payment",H670=""),"Add the vendor",IF(AND(D670="Bill Payment",OR(J670="",COUNTIFS(ap_No,J670&amp;"",ap_Party,H670&amp;"")=0)),"Bill # + vendor not found on AP sheet",IF(AND(ISNUMBER(M670),N(M670)&lt;&gt;0,W670=0),"Tax ignored (tax tracking off, or not allowed for this type)",IF(V670=K670&amp;"","Same account on both sides",IF(AND(ISNUMBER(StartDate),C670&lt;StartDate),"Date is before the accounting start date",IF(AND(D670&lt;&gt;"Adjustment",IFERROR(INDEX(coa_Pay,MATCH(K670&amp;"",coa_Name,0)),"")&lt;&gt;"Yes"),"Paid From / Deposited To is not a payment account","")))))))))))</f>
        <v/>
      </c>
      <c r="Z670" s="67">
        <f>IF(AND(T670=0,X670=""),1,0)</f>
        <v/>
      </c>
      <c r="AA670" s="68">
        <f>IF(Z670=1,IF(U670="In",L670,L670-W670),0)</f>
        <v/>
      </c>
      <c r="AB670" s="68">
        <f>IF(Z670=1,IF(U670="In",L670-W670,L670),0)</f>
        <v/>
      </c>
      <c r="AC670" s="68">
        <f>IF(AND(Z670=1,U670="Out"),W670,0)</f>
        <v/>
      </c>
      <c r="AD670" s="68">
        <f>IF(AND(Z670=1,U670="In"),W670,0)</f>
        <v/>
      </c>
    </row>
    <row r="671">
      <c r="B671" s="62" t="inlineStr">
        <is>
          <t>TX-0665</t>
        </is>
      </c>
      <c r="C671" s="63" t="n"/>
      <c r="D671" s="62" t="n"/>
      <c r="E671" s="62" t="n"/>
      <c r="F671" s="62" t="n"/>
      <c r="G671" s="62" t="n"/>
      <c r="H671" s="62" t="n"/>
      <c r="I671" s="62" t="n"/>
      <c r="J671" s="62" t="n"/>
      <c r="K671" s="62" t="n"/>
      <c r="L671" s="64" t="n"/>
      <c r="M671" s="64" t="n"/>
      <c r="N671" s="62" t="n"/>
      <c r="O671" s="65">
        <f>IF(Z671=1,L671-W671,"")</f>
        <v/>
      </c>
      <c r="P671" s="66">
        <f>IF(V671="","",IFERROR(INDEX(coa_Type,MATCH(V671,coa_Name,0)),""))</f>
        <v/>
      </c>
      <c r="Q671" s="66">
        <f>IF(Z671=1,IF(U671="In",K671&amp;"",V671),"")</f>
        <v/>
      </c>
      <c r="R671" s="66">
        <f>IF(Z671=1,IF(U671="In",V671,K671&amp;""),"")</f>
        <v/>
      </c>
      <c r="S671" s="66">
        <f>IF(X671&lt;&gt;"","⛔ "&amp;X671&amp;" — not posted",IF(Y671&lt;&gt;"","⚠ "&amp;Y671,IF(Z671=1,"✓ OK","")))</f>
        <v/>
      </c>
      <c r="T671" s="67">
        <f>IF(AND(C671="",D671="",E671="",L671="",K671=""),1,0)</f>
        <v/>
      </c>
      <c r="U671" s="67">
        <f>IFERROR(INDEX(tt_Dir,MATCH(D671,tt_Type,0)),"")</f>
        <v/>
      </c>
      <c r="V671" s="67">
        <f>IF(D671="","",IFERROR(IF(INDEX(tt_Other,MATCH(D671,tt_Type,0))="",E671&amp;"",INDEX(tt_Other,MATCH(D671,tt_Type,0))),""))</f>
        <v/>
      </c>
      <c r="W671" s="68">
        <f>IF(OR(TaxOn&lt;&gt;"Yes",NOT(ISNUMBER(M671))),0,IF(IFERROR(INDEX(tt_Tax,MATCH(D671,tt_Type,0)),"No")="Yes",M671,0))</f>
        <v/>
      </c>
      <c r="X671" s="67">
        <f>IF(T671=1,"",IF(C671="","Missing transaction date",IF(NOT(ISNUMBER(C671)),"Invalid date",IF(OR(C671&lt;DATE(2000,1,1),C671&gt;DATE(2099,12,31)),"Invalid date",IF(D671="","Select a type",IF(U671="","Unknown type: "&amp;D671,IF(V671="","Select an account (Category)",IF(ISNA(MATCH(V671,coa_Name,0)),"Unknown account: "&amp;V671,IF(K671="","Select Paid From / Deposited To",IF(ISNA(MATCH(K671,coa_Name,0)),"Unknown account: "&amp;K671,IF(NOT(ISNUMBER(L671)),"Enter an amount",IF(L671=0,"Enter an amount",IF(ABS(W671)&gt;ABS(L671),"Tax is larger than the amount","")))))))))))))</f>
        <v/>
      </c>
      <c r="Y671" s="67">
        <f>IF(OR(T671=1,X671&lt;&gt;""),"",IF(AND(B671&lt;&gt;"",COUNTIF(tx_ID,B671)&gt;1),"Duplicate transaction ID",IF(AND(L671&lt;0,D671&lt;&gt;"Adjustment"),"Negative amount — check this entry",IF(AND(D671="Customer Payment",G671=""),"Add the customer",IF(AND(D671="Customer Payment",OR(J671="",COUNTIF(ar_No,J671&amp;"")=0)),"Invoice # in Reference not found on AR sheet",IF(AND(D671="Bill Payment",H671=""),"Add the vendor",IF(AND(D671="Bill Payment",OR(J671="",COUNTIFS(ap_No,J671&amp;"",ap_Party,H671&amp;"")=0)),"Bill # + vendor not found on AP sheet",IF(AND(ISNUMBER(M671),N(M671)&lt;&gt;0,W671=0),"Tax ignored (tax tracking off, or not allowed for this type)",IF(V671=K671&amp;"","Same account on both sides",IF(AND(ISNUMBER(StartDate),C671&lt;StartDate),"Date is before the accounting start date",IF(AND(D671&lt;&gt;"Adjustment",IFERROR(INDEX(coa_Pay,MATCH(K671&amp;"",coa_Name,0)),"")&lt;&gt;"Yes"),"Paid From / Deposited To is not a payment account","")))))))))))</f>
        <v/>
      </c>
      <c r="Z671" s="67">
        <f>IF(AND(T671=0,X671=""),1,0)</f>
        <v/>
      </c>
      <c r="AA671" s="68">
        <f>IF(Z671=1,IF(U671="In",L671,L671-W671),0)</f>
        <v/>
      </c>
      <c r="AB671" s="68">
        <f>IF(Z671=1,IF(U671="In",L671-W671,L671),0)</f>
        <v/>
      </c>
      <c r="AC671" s="68">
        <f>IF(AND(Z671=1,U671="Out"),W671,0)</f>
        <v/>
      </c>
      <c r="AD671" s="68">
        <f>IF(AND(Z671=1,U671="In"),W671,0)</f>
        <v/>
      </c>
    </row>
    <row r="672">
      <c r="B672" s="62" t="inlineStr">
        <is>
          <t>TX-0666</t>
        </is>
      </c>
      <c r="C672" s="63" t="n"/>
      <c r="D672" s="62" t="n"/>
      <c r="E672" s="62" t="n"/>
      <c r="F672" s="62" t="n"/>
      <c r="G672" s="62" t="n"/>
      <c r="H672" s="62" t="n"/>
      <c r="I672" s="62" t="n"/>
      <c r="J672" s="62" t="n"/>
      <c r="K672" s="62" t="n"/>
      <c r="L672" s="64" t="n"/>
      <c r="M672" s="64" t="n"/>
      <c r="N672" s="62" t="n"/>
      <c r="O672" s="65">
        <f>IF(Z672=1,L672-W672,"")</f>
        <v/>
      </c>
      <c r="P672" s="66">
        <f>IF(V672="","",IFERROR(INDEX(coa_Type,MATCH(V672,coa_Name,0)),""))</f>
        <v/>
      </c>
      <c r="Q672" s="66">
        <f>IF(Z672=1,IF(U672="In",K672&amp;"",V672),"")</f>
        <v/>
      </c>
      <c r="R672" s="66">
        <f>IF(Z672=1,IF(U672="In",V672,K672&amp;""),"")</f>
        <v/>
      </c>
      <c r="S672" s="66">
        <f>IF(X672&lt;&gt;"","⛔ "&amp;X672&amp;" — not posted",IF(Y672&lt;&gt;"","⚠ "&amp;Y672,IF(Z672=1,"✓ OK","")))</f>
        <v/>
      </c>
      <c r="T672" s="67">
        <f>IF(AND(C672="",D672="",E672="",L672="",K672=""),1,0)</f>
        <v/>
      </c>
      <c r="U672" s="67">
        <f>IFERROR(INDEX(tt_Dir,MATCH(D672,tt_Type,0)),"")</f>
        <v/>
      </c>
      <c r="V672" s="67">
        <f>IF(D672="","",IFERROR(IF(INDEX(tt_Other,MATCH(D672,tt_Type,0))="",E672&amp;"",INDEX(tt_Other,MATCH(D672,tt_Type,0))),""))</f>
        <v/>
      </c>
      <c r="W672" s="68">
        <f>IF(OR(TaxOn&lt;&gt;"Yes",NOT(ISNUMBER(M672))),0,IF(IFERROR(INDEX(tt_Tax,MATCH(D672,tt_Type,0)),"No")="Yes",M672,0))</f>
        <v/>
      </c>
      <c r="X672" s="67">
        <f>IF(T672=1,"",IF(C672="","Missing transaction date",IF(NOT(ISNUMBER(C672)),"Invalid date",IF(OR(C672&lt;DATE(2000,1,1),C672&gt;DATE(2099,12,31)),"Invalid date",IF(D672="","Select a type",IF(U672="","Unknown type: "&amp;D672,IF(V672="","Select an account (Category)",IF(ISNA(MATCH(V672,coa_Name,0)),"Unknown account: "&amp;V672,IF(K672="","Select Paid From / Deposited To",IF(ISNA(MATCH(K672,coa_Name,0)),"Unknown account: "&amp;K672,IF(NOT(ISNUMBER(L672)),"Enter an amount",IF(L672=0,"Enter an amount",IF(ABS(W672)&gt;ABS(L672),"Tax is larger than the amount","")))))))))))))</f>
        <v/>
      </c>
      <c r="Y672" s="67">
        <f>IF(OR(T672=1,X672&lt;&gt;""),"",IF(AND(B672&lt;&gt;"",COUNTIF(tx_ID,B672)&gt;1),"Duplicate transaction ID",IF(AND(L672&lt;0,D672&lt;&gt;"Adjustment"),"Negative amount — check this entry",IF(AND(D672="Customer Payment",G672=""),"Add the customer",IF(AND(D672="Customer Payment",OR(J672="",COUNTIF(ar_No,J672&amp;"")=0)),"Invoice # in Reference not found on AR sheet",IF(AND(D672="Bill Payment",H672=""),"Add the vendor",IF(AND(D672="Bill Payment",OR(J672="",COUNTIFS(ap_No,J672&amp;"",ap_Party,H672&amp;"")=0)),"Bill # + vendor not found on AP sheet",IF(AND(ISNUMBER(M672),N(M672)&lt;&gt;0,W672=0),"Tax ignored (tax tracking off, or not allowed for this type)",IF(V672=K672&amp;"","Same account on both sides",IF(AND(ISNUMBER(StartDate),C672&lt;StartDate),"Date is before the accounting start date",IF(AND(D672&lt;&gt;"Adjustment",IFERROR(INDEX(coa_Pay,MATCH(K672&amp;"",coa_Name,0)),"")&lt;&gt;"Yes"),"Paid From / Deposited To is not a payment account","")))))))))))</f>
        <v/>
      </c>
      <c r="Z672" s="67">
        <f>IF(AND(T672=0,X672=""),1,0)</f>
        <v/>
      </c>
      <c r="AA672" s="68">
        <f>IF(Z672=1,IF(U672="In",L672,L672-W672),0)</f>
        <v/>
      </c>
      <c r="AB672" s="68">
        <f>IF(Z672=1,IF(U672="In",L672-W672,L672),0)</f>
        <v/>
      </c>
      <c r="AC672" s="68">
        <f>IF(AND(Z672=1,U672="Out"),W672,0)</f>
        <v/>
      </c>
      <c r="AD672" s="68">
        <f>IF(AND(Z672=1,U672="In"),W672,0)</f>
        <v/>
      </c>
    </row>
    <row r="673">
      <c r="B673" s="62" t="inlineStr">
        <is>
          <t>TX-0667</t>
        </is>
      </c>
      <c r="C673" s="63" t="n"/>
      <c r="D673" s="62" t="n"/>
      <c r="E673" s="62" t="n"/>
      <c r="F673" s="62" t="n"/>
      <c r="G673" s="62" t="n"/>
      <c r="H673" s="62" t="n"/>
      <c r="I673" s="62" t="n"/>
      <c r="J673" s="62" t="n"/>
      <c r="K673" s="62" t="n"/>
      <c r="L673" s="64" t="n"/>
      <c r="M673" s="64" t="n"/>
      <c r="N673" s="62" t="n"/>
      <c r="O673" s="65">
        <f>IF(Z673=1,L673-W673,"")</f>
        <v/>
      </c>
      <c r="P673" s="66">
        <f>IF(V673="","",IFERROR(INDEX(coa_Type,MATCH(V673,coa_Name,0)),""))</f>
        <v/>
      </c>
      <c r="Q673" s="66">
        <f>IF(Z673=1,IF(U673="In",K673&amp;"",V673),"")</f>
        <v/>
      </c>
      <c r="R673" s="66">
        <f>IF(Z673=1,IF(U673="In",V673,K673&amp;""),"")</f>
        <v/>
      </c>
      <c r="S673" s="66">
        <f>IF(X673&lt;&gt;"","⛔ "&amp;X673&amp;" — not posted",IF(Y673&lt;&gt;"","⚠ "&amp;Y673,IF(Z673=1,"✓ OK","")))</f>
        <v/>
      </c>
      <c r="T673" s="67">
        <f>IF(AND(C673="",D673="",E673="",L673="",K673=""),1,0)</f>
        <v/>
      </c>
      <c r="U673" s="67">
        <f>IFERROR(INDEX(tt_Dir,MATCH(D673,tt_Type,0)),"")</f>
        <v/>
      </c>
      <c r="V673" s="67">
        <f>IF(D673="","",IFERROR(IF(INDEX(tt_Other,MATCH(D673,tt_Type,0))="",E673&amp;"",INDEX(tt_Other,MATCH(D673,tt_Type,0))),""))</f>
        <v/>
      </c>
      <c r="W673" s="68">
        <f>IF(OR(TaxOn&lt;&gt;"Yes",NOT(ISNUMBER(M673))),0,IF(IFERROR(INDEX(tt_Tax,MATCH(D673,tt_Type,0)),"No")="Yes",M673,0))</f>
        <v/>
      </c>
      <c r="X673" s="67">
        <f>IF(T673=1,"",IF(C673="","Missing transaction date",IF(NOT(ISNUMBER(C673)),"Invalid date",IF(OR(C673&lt;DATE(2000,1,1),C673&gt;DATE(2099,12,31)),"Invalid date",IF(D673="","Select a type",IF(U673="","Unknown type: "&amp;D673,IF(V673="","Select an account (Category)",IF(ISNA(MATCH(V673,coa_Name,0)),"Unknown account: "&amp;V673,IF(K673="","Select Paid From / Deposited To",IF(ISNA(MATCH(K673,coa_Name,0)),"Unknown account: "&amp;K673,IF(NOT(ISNUMBER(L673)),"Enter an amount",IF(L673=0,"Enter an amount",IF(ABS(W673)&gt;ABS(L673),"Tax is larger than the amount","")))))))))))))</f>
        <v/>
      </c>
      <c r="Y673" s="67">
        <f>IF(OR(T673=1,X673&lt;&gt;""),"",IF(AND(B673&lt;&gt;"",COUNTIF(tx_ID,B673)&gt;1),"Duplicate transaction ID",IF(AND(L673&lt;0,D673&lt;&gt;"Adjustment"),"Negative amount — check this entry",IF(AND(D673="Customer Payment",G673=""),"Add the customer",IF(AND(D673="Customer Payment",OR(J673="",COUNTIF(ar_No,J673&amp;"")=0)),"Invoice # in Reference not found on AR sheet",IF(AND(D673="Bill Payment",H673=""),"Add the vendor",IF(AND(D673="Bill Payment",OR(J673="",COUNTIFS(ap_No,J673&amp;"",ap_Party,H673&amp;"")=0)),"Bill # + vendor not found on AP sheet",IF(AND(ISNUMBER(M673),N(M673)&lt;&gt;0,W673=0),"Tax ignored (tax tracking off, or not allowed for this type)",IF(V673=K673&amp;"","Same account on both sides",IF(AND(ISNUMBER(StartDate),C673&lt;StartDate),"Date is before the accounting start date",IF(AND(D673&lt;&gt;"Adjustment",IFERROR(INDEX(coa_Pay,MATCH(K673&amp;"",coa_Name,0)),"")&lt;&gt;"Yes"),"Paid From / Deposited To is not a payment account","")))))))))))</f>
        <v/>
      </c>
      <c r="Z673" s="67">
        <f>IF(AND(T673=0,X673=""),1,0)</f>
        <v/>
      </c>
      <c r="AA673" s="68">
        <f>IF(Z673=1,IF(U673="In",L673,L673-W673),0)</f>
        <v/>
      </c>
      <c r="AB673" s="68">
        <f>IF(Z673=1,IF(U673="In",L673-W673,L673),0)</f>
        <v/>
      </c>
      <c r="AC673" s="68">
        <f>IF(AND(Z673=1,U673="Out"),W673,0)</f>
        <v/>
      </c>
      <c r="AD673" s="68">
        <f>IF(AND(Z673=1,U673="In"),W673,0)</f>
        <v/>
      </c>
    </row>
    <row r="674">
      <c r="B674" s="62" t="inlineStr">
        <is>
          <t>TX-0668</t>
        </is>
      </c>
      <c r="C674" s="63" t="n"/>
      <c r="D674" s="62" t="n"/>
      <c r="E674" s="62" t="n"/>
      <c r="F674" s="62" t="n"/>
      <c r="G674" s="62" t="n"/>
      <c r="H674" s="62" t="n"/>
      <c r="I674" s="62" t="n"/>
      <c r="J674" s="62" t="n"/>
      <c r="K674" s="62" t="n"/>
      <c r="L674" s="64" t="n"/>
      <c r="M674" s="64" t="n"/>
      <c r="N674" s="62" t="n"/>
      <c r="O674" s="65">
        <f>IF(Z674=1,L674-W674,"")</f>
        <v/>
      </c>
      <c r="P674" s="66">
        <f>IF(V674="","",IFERROR(INDEX(coa_Type,MATCH(V674,coa_Name,0)),""))</f>
        <v/>
      </c>
      <c r="Q674" s="66">
        <f>IF(Z674=1,IF(U674="In",K674&amp;"",V674),"")</f>
        <v/>
      </c>
      <c r="R674" s="66">
        <f>IF(Z674=1,IF(U674="In",V674,K674&amp;""),"")</f>
        <v/>
      </c>
      <c r="S674" s="66">
        <f>IF(X674&lt;&gt;"","⛔ "&amp;X674&amp;" — not posted",IF(Y674&lt;&gt;"","⚠ "&amp;Y674,IF(Z674=1,"✓ OK","")))</f>
        <v/>
      </c>
      <c r="T674" s="67">
        <f>IF(AND(C674="",D674="",E674="",L674="",K674=""),1,0)</f>
        <v/>
      </c>
      <c r="U674" s="67">
        <f>IFERROR(INDEX(tt_Dir,MATCH(D674,tt_Type,0)),"")</f>
        <v/>
      </c>
      <c r="V674" s="67">
        <f>IF(D674="","",IFERROR(IF(INDEX(tt_Other,MATCH(D674,tt_Type,0))="",E674&amp;"",INDEX(tt_Other,MATCH(D674,tt_Type,0))),""))</f>
        <v/>
      </c>
      <c r="W674" s="68">
        <f>IF(OR(TaxOn&lt;&gt;"Yes",NOT(ISNUMBER(M674))),0,IF(IFERROR(INDEX(tt_Tax,MATCH(D674,tt_Type,0)),"No")="Yes",M674,0))</f>
        <v/>
      </c>
      <c r="X674" s="67">
        <f>IF(T674=1,"",IF(C674="","Missing transaction date",IF(NOT(ISNUMBER(C674)),"Invalid date",IF(OR(C674&lt;DATE(2000,1,1),C674&gt;DATE(2099,12,31)),"Invalid date",IF(D674="","Select a type",IF(U674="","Unknown type: "&amp;D674,IF(V674="","Select an account (Category)",IF(ISNA(MATCH(V674,coa_Name,0)),"Unknown account: "&amp;V674,IF(K674="","Select Paid From / Deposited To",IF(ISNA(MATCH(K674,coa_Name,0)),"Unknown account: "&amp;K674,IF(NOT(ISNUMBER(L674)),"Enter an amount",IF(L674=0,"Enter an amount",IF(ABS(W674)&gt;ABS(L674),"Tax is larger than the amount","")))))))))))))</f>
        <v/>
      </c>
      <c r="Y674" s="67">
        <f>IF(OR(T674=1,X674&lt;&gt;""),"",IF(AND(B674&lt;&gt;"",COUNTIF(tx_ID,B674)&gt;1),"Duplicate transaction ID",IF(AND(L674&lt;0,D674&lt;&gt;"Adjustment"),"Negative amount — check this entry",IF(AND(D674="Customer Payment",G674=""),"Add the customer",IF(AND(D674="Customer Payment",OR(J674="",COUNTIF(ar_No,J674&amp;"")=0)),"Invoice # in Reference not found on AR sheet",IF(AND(D674="Bill Payment",H674=""),"Add the vendor",IF(AND(D674="Bill Payment",OR(J674="",COUNTIFS(ap_No,J674&amp;"",ap_Party,H674&amp;"")=0)),"Bill # + vendor not found on AP sheet",IF(AND(ISNUMBER(M674),N(M674)&lt;&gt;0,W674=0),"Tax ignored (tax tracking off, or not allowed for this type)",IF(V674=K674&amp;"","Same account on both sides",IF(AND(ISNUMBER(StartDate),C674&lt;StartDate),"Date is before the accounting start date",IF(AND(D674&lt;&gt;"Adjustment",IFERROR(INDEX(coa_Pay,MATCH(K674&amp;"",coa_Name,0)),"")&lt;&gt;"Yes"),"Paid From / Deposited To is not a payment account","")))))))))))</f>
        <v/>
      </c>
      <c r="Z674" s="67">
        <f>IF(AND(T674=0,X674=""),1,0)</f>
        <v/>
      </c>
      <c r="AA674" s="68">
        <f>IF(Z674=1,IF(U674="In",L674,L674-W674),0)</f>
        <v/>
      </c>
      <c r="AB674" s="68">
        <f>IF(Z674=1,IF(U674="In",L674-W674,L674),0)</f>
        <v/>
      </c>
      <c r="AC674" s="68">
        <f>IF(AND(Z674=1,U674="Out"),W674,0)</f>
        <v/>
      </c>
      <c r="AD674" s="68">
        <f>IF(AND(Z674=1,U674="In"),W674,0)</f>
        <v/>
      </c>
    </row>
    <row r="675">
      <c r="B675" s="62" t="inlineStr">
        <is>
          <t>TX-0669</t>
        </is>
      </c>
      <c r="C675" s="63" t="n"/>
      <c r="D675" s="62" t="n"/>
      <c r="E675" s="62" t="n"/>
      <c r="F675" s="62" t="n"/>
      <c r="G675" s="62" t="n"/>
      <c r="H675" s="62" t="n"/>
      <c r="I675" s="62" t="n"/>
      <c r="J675" s="62" t="n"/>
      <c r="K675" s="62" t="n"/>
      <c r="L675" s="64" t="n"/>
      <c r="M675" s="64" t="n"/>
      <c r="N675" s="62" t="n"/>
      <c r="O675" s="65">
        <f>IF(Z675=1,L675-W675,"")</f>
        <v/>
      </c>
      <c r="P675" s="66">
        <f>IF(V675="","",IFERROR(INDEX(coa_Type,MATCH(V675,coa_Name,0)),""))</f>
        <v/>
      </c>
      <c r="Q675" s="66">
        <f>IF(Z675=1,IF(U675="In",K675&amp;"",V675),"")</f>
        <v/>
      </c>
      <c r="R675" s="66">
        <f>IF(Z675=1,IF(U675="In",V675,K675&amp;""),"")</f>
        <v/>
      </c>
      <c r="S675" s="66">
        <f>IF(X675&lt;&gt;"","⛔ "&amp;X675&amp;" — not posted",IF(Y675&lt;&gt;"","⚠ "&amp;Y675,IF(Z675=1,"✓ OK","")))</f>
        <v/>
      </c>
      <c r="T675" s="67">
        <f>IF(AND(C675="",D675="",E675="",L675="",K675=""),1,0)</f>
        <v/>
      </c>
      <c r="U675" s="67">
        <f>IFERROR(INDEX(tt_Dir,MATCH(D675,tt_Type,0)),"")</f>
        <v/>
      </c>
      <c r="V675" s="67">
        <f>IF(D675="","",IFERROR(IF(INDEX(tt_Other,MATCH(D675,tt_Type,0))="",E675&amp;"",INDEX(tt_Other,MATCH(D675,tt_Type,0))),""))</f>
        <v/>
      </c>
      <c r="W675" s="68">
        <f>IF(OR(TaxOn&lt;&gt;"Yes",NOT(ISNUMBER(M675))),0,IF(IFERROR(INDEX(tt_Tax,MATCH(D675,tt_Type,0)),"No")="Yes",M675,0))</f>
        <v/>
      </c>
      <c r="X675" s="67">
        <f>IF(T675=1,"",IF(C675="","Missing transaction date",IF(NOT(ISNUMBER(C675)),"Invalid date",IF(OR(C675&lt;DATE(2000,1,1),C675&gt;DATE(2099,12,31)),"Invalid date",IF(D675="","Select a type",IF(U675="","Unknown type: "&amp;D675,IF(V675="","Select an account (Category)",IF(ISNA(MATCH(V675,coa_Name,0)),"Unknown account: "&amp;V675,IF(K675="","Select Paid From / Deposited To",IF(ISNA(MATCH(K675,coa_Name,0)),"Unknown account: "&amp;K675,IF(NOT(ISNUMBER(L675)),"Enter an amount",IF(L675=0,"Enter an amount",IF(ABS(W675)&gt;ABS(L675),"Tax is larger than the amount","")))))))))))))</f>
        <v/>
      </c>
      <c r="Y675" s="67">
        <f>IF(OR(T675=1,X675&lt;&gt;""),"",IF(AND(B675&lt;&gt;"",COUNTIF(tx_ID,B675)&gt;1),"Duplicate transaction ID",IF(AND(L675&lt;0,D675&lt;&gt;"Adjustment"),"Negative amount — check this entry",IF(AND(D675="Customer Payment",G675=""),"Add the customer",IF(AND(D675="Customer Payment",OR(J675="",COUNTIF(ar_No,J675&amp;"")=0)),"Invoice # in Reference not found on AR sheet",IF(AND(D675="Bill Payment",H675=""),"Add the vendor",IF(AND(D675="Bill Payment",OR(J675="",COUNTIFS(ap_No,J675&amp;"",ap_Party,H675&amp;"")=0)),"Bill # + vendor not found on AP sheet",IF(AND(ISNUMBER(M675),N(M675)&lt;&gt;0,W675=0),"Tax ignored (tax tracking off, or not allowed for this type)",IF(V675=K675&amp;"","Same account on both sides",IF(AND(ISNUMBER(StartDate),C675&lt;StartDate),"Date is before the accounting start date",IF(AND(D675&lt;&gt;"Adjustment",IFERROR(INDEX(coa_Pay,MATCH(K675&amp;"",coa_Name,0)),"")&lt;&gt;"Yes"),"Paid From / Deposited To is not a payment account","")))))))))))</f>
        <v/>
      </c>
      <c r="Z675" s="67">
        <f>IF(AND(T675=0,X675=""),1,0)</f>
        <v/>
      </c>
      <c r="AA675" s="68">
        <f>IF(Z675=1,IF(U675="In",L675,L675-W675),0)</f>
        <v/>
      </c>
      <c r="AB675" s="68">
        <f>IF(Z675=1,IF(U675="In",L675-W675,L675),0)</f>
        <v/>
      </c>
      <c r="AC675" s="68">
        <f>IF(AND(Z675=1,U675="Out"),W675,0)</f>
        <v/>
      </c>
      <c r="AD675" s="68">
        <f>IF(AND(Z675=1,U675="In"),W675,0)</f>
        <v/>
      </c>
    </row>
    <row r="676">
      <c r="B676" s="62" t="inlineStr">
        <is>
          <t>TX-0670</t>
        </is>
      </c>
      <c r="C676" s="63" t="n"/>
      <c r="D676" s="62" t="n"/>
      <c r="E676" s="62" t="n"/>
      <c r="F676" s="62" t="n"/>
      <c r="G676" s="62" t="n"/>
      <c r="H676" s="62" t="n"/>
      <c r="I676" s="62" t="n"/>
      <c r="J676" s="62" t="n"/>
      <c r="K676" s="62" t="n"/>
      <c r="L676" s="64" t="n"/>
      <c r="M676" s="64" t="n"/>
      <c r="N676" s="62" t="n"/>
      <c r="O676" s="65">
        <f>IF(Z676=1,L676-W676,"")</f>
        <v/>
      </c>
      <c r="P676" s="66">
        <f>IF(V676="","",IFERROR(INDEX(coa_Type,MATCH(V676,coa_Name,0)),""))</f>
        <v/>
      </c>
      <c r="Q676" s="66">
        <f>IF(Z676=1,IF(U676="In",K676&amp;"",V676),"")</f>
        <v/>
      </c>
      <c r="R676" s="66">
        <f>IF(Z676=1,IF(U676="In",V676,K676&amp;""),"")</f>
        <v/>
      </c>
      <c r="S676" s="66">
        <f>IF(X676&lt;&gt;"","⛔ "&amp;X676&amp;" — not posted",IF(Y676&lt;&gt;"","⚠ "&amp;Y676,IF(Z676=1,"✓ OK","")))</f>
        <v/>
      </c>
      <c r="T676" s="67">
        <f>IF(AND(C676="",D676="",E676="",L676="",K676=""),1,0)</f>
        <v/>
      </c>
      <c r="U676" s="67">
        <f>IFERROR(INDEX(tt_Dir,MATCH(D676,tt_Type,0)),"")</f>
        <v/>
      </c>
      <c r="V676" s="67">
        <f>IF(D676="","",IFERROR(IF(INDEX(tt_Other,MATCH(D676,tt_Type,0))="",E676&amp;"",INDEX(tt_Other,MATCH(D676,tt_Type,0))),""))</f>
        <v/>
      </c>
      <c r="W676" s="68">
        <f>IF(OR(TaxOn&lt;&gt;"Yes",NOT(ISNUMBER(M676))),0,IF(IFERROR(INDEX(tt_Tax,MATCH(D676,tt_Type,0)),"No")="Yes",M676,0))</f>
        <v/>
      </c>
      <c r="X676" s="67">
        <f>IF(T676=1,"",IF(C676="","Missing transaction date",IF(NOT(ISNUMBER(C676)),"Invalid date",IF(OR(C676&lt;DATE(2000,1,1),C676&gt;DATE(2099,12,31)),"Invalid date",IF(D676="","Select a type",IF(U676="","Unknown type: "&amp;D676,IF(V676="","Select an account (Category)",IF(ISNA(MATCH(V676,coa_Name,0)),"Unknown account: "&amp;V676,IF(K676="","Select Paid From / Deposited To",IF(ISNA(MATCH(K676,coa_Name,0)),"Unknown account: "&amp;K676,IF(NOT(ISNUMBER(L676)),"Enter an amount",IF(L676=0,"Enter an amount",IF(ABS(W676)&gt;ABS(L676),"Tax is larger than the amount","")))))))))))))</f>
        <v/>
      </c>
      <c r="Y676" s="67">
        <f>IF(OR(T676=1,X676&lt;&gt;""),"",IF(AND(B676&lt;&gt;"",COUNTIF(tx_ID,B676)&gt;1),"Duplicate transaction ID",IF(AND(L676&lt;0,D676&lt;&gt;"Adjustment"),"Negative amount — check this entry",IF(AND(D676="Customer Payment",G676=""),"Add the customer",IF(AND(D676="Customer Payment",OR(J676="",COUNTIF(ar_No,J676&amp;"")=0)),"Invoice # in Reference not found on AR sheet",IF(AND(D676="Bill Payment",H676=""),"Add the vendor",IF(AND(D676="Bill Payment",OR(J676="",COUNTIFS(ap_No,J676&amp;"",ap_Party,H676&amp;"")=0)),"Bill # + vendor not found on AP sheet",IF(AND(ISNUMBER(M676),N(M676)&lt;&gt;0,W676=0),"Tax ignored (tax tracking off, or not allowed for this type)",IF(V676=K676&amp;"","Same account on both sides",IF(AND(ISNUMBER(StartDate),C676&lt;StartDate),"Date is before the accounting start date",IF(AND(D676&lt;&gt;"Adjustment",IFERROR(INDEX(coa_Pay,MATCH(K676&amp;"",coa_Name,0)),"")&lt;&gt;"Yes"),"Paid From / Deposited To is not a payment account","")))))))))))</f>
        <v/>
      </c>
      <c r="Z676" s="67">
        <f>IF(AND(T676=0,X676=""),1,0)</f>
        <v/>
      </c>
      <c r="AA676" s="68">
        <f>IF(Z676=1,IF(U676="In",L676,L676-W676),0)</f>
        <v/>
      </c>
      <c r="AB676" s="68">
        <f>IF(Z676=1,IF(U676="In",L676-W676,L676),0)</f>
        <v/>
      </c>
      <c r="AC676" s="68">
        <f>IF(AND(Z676=1,U676="Out"),W676,0)</f>
        <v/>
      </c>
      <c r="AD676" s="68">
        <f>IF(AND(Z676=1,U676="In"),W676,0)</f>
        <v/>
      </c>
    </row>
    <row r="677">
      <c r="B677" s="62" t="inlineStr">
        <is>
          <t>TX-0671</t>
        </is>
      </c>
      <c r="C677" s="63" t="n"/>
      <c r="D677" s="62" t="n"/>
      <c r="E677" s="62" t="n"/>
      <c r="F677" s="62" t="n"/>
      <c r="G677" s="62" t="n"/>
      <c r="H677" s="62" t="n"/>
      <c r="I677" s="62" t="n"/>
      <c r="J677" s="62" t="n"/>
      <c r="K677" s="62" t="n"/>
      <c r="L677" s="64" t="n"/>
      <c r="M677" s="64" t="n"/>
      <c r="N677" s="62" t="n"/>
      <c r="O677" s="65">
        <f>IF(Z677=1,L677-W677,"")</f>
        <v/>
      </c>
      <c r="P677" s="66">
        <f>IF(V677="","",IFERROR(INDEX(coa_Type,MATCH(V677,coa_Name,0)),""))</f>
        <v/>
      </c>
      <c r="Q677" s="66">
        <f>IF(Z677=1,IF(U677="In",K677&amp;"",V677),"")</f>
        <v/>
      </c>
      <c r="R677" s="66">
        <f>IF(Z677=1,IF(U677="In",V677,K677&amp;""),"")</f>
        <v/>
      </c>
      <c r="S677" s="66">
        <f>IF(X677&lt;&gt;"","⛔ "&amp;X677&amp;" — not posted",IF(Y677&lt;&gt;"","⚠ "&amp;Y677,IF(Z677=1,"✓ OK","")))</f>
        <v/>
      </c>
      <c r="T677" s="67">
        <f>IF(AND(C677="",D677="",E677="",L677="",K677=""),1,0)</f>
        <v/>
      </c>
      <c r="U677" s="67">
        <f>IFERROR(INDEX(tt_Dir,MATCH(D677,tt_Type,0)),"")</f>
        <v/>
      </c>
      <c r="V677" s="67">
        <f>IF(D677="","",IFERROR(IF(INDEX(tt_Other,MATCH(D677,tt_Type,0))="",E677&amp;"",INDEX(tt_Other,MATCH(D677,tt_Type,0))),""))</f>
        <v/>
      </c>
      <c r="W677" s="68">
        <f>IF(OR(TaxOn&lt;&gt;"Yes",NOT(ISNUMBER(M677))),0,IF(IFERROR(INDEX(tt_Tax,MATCH(D677,tt_Type,0)),"No")="Yes",M677,0))</f>
        <v/>
      </c>
      <c r="X677" s="67">
        <f>IF(T677=1,"",IF(C677="","Missing transaction date",IF(NOT(ISNUMBER(C677)),"Invalid date",IF(OR(C677&lt;DATE(2000,1,1),C677&gt;DATE(2099,12,31)),"Invalid date",IF(D677="","Select a type",IF(U677="","Unknown type: "&amp;D677,IF(V677="","Select an account (Category)",IF(ISNA(MATCH(V677,coa_Name,0)),"Unknown account: "&amp;V677,IF(K677="","Select Paid From / Deposited To",IF(ISNA(MATCH(K677,coa_Name,0)),"Unknown account: "&amp;K677,IF(NOT(ISNUMBER(L677)),"Enter an amount",IF(L677=0,"Enter an amount",IF(ABS(W677)&gt;ABS(L677),"Tax is larger than the amount","")))))))))))))</f>
        <v/>
      </c>
      <c r="Y677" s="67">
        <f>IF(OR(T677=1,X677&lt;&gt;""),"",IF(AND(B677&lt;&gt;"",COUNTIF(tx_ID,B677)&gt;1),"Duplicate transaction ID",IF(AND(L677&lt;0,D677&lt;&gt;"Adjustment"),"Negative amount — check this entry",IF(AND(D677="Customer Payment",G677=""),"Add the customer",IF(AND(D677="Customer Payment",OR(J677="",COUNTIF(ar_No,J677&amp;"")=0)),"Invoice # in Reference not found on AR sheet",IF(AND(D677="Bill Payment",H677=""),"Add the vendor",IF(AND(D677="Bill Payment",OR(J677="",COUNTIFS(ap_No,J677&amp;"",ap_Party,H677&amp;"")=0)),"Bill # + vendor not found on AP sheet",IF(AND(ISNUMBER(M677),N(M677)&lt;&gt;0,W677=0),"Tax ignored (tax tracking off, or not allowed for this type)",IF(V677=K677&amp;"","Same account on both sides",IF(AND(ISNUMBER(StartDate),C677&lt;StartDate),"Date is before the accounting start date",IF(AND(D677&lt;&gt;"Adjustment",IFERROR(INDEX(coa_Pay,MATCH(K677&amp;"",coa_Name,0)),"")&lt;&gt;"Yes"),"Paid From / Deposited To is not a payment account","")))))))))))</f>
        <v/>
      </c>
      <c r="Z677" s="67">
        <f>IF(AND(T677=0,X677=""),1,0)</f>
        <v/>
      </c>
      <c r="AA677" s="68">
        <f>IF(Z677=1,IF(U677="In",L677,L677-W677),0)</f>
        <v/>
      </c>
      <c r="AB677" s="68">
        <f>IF(Z677=1,IF(U677="In",L677-W677,L677),0)</f>
        <v/>
      </c>
      <c r="AC677" s="68">
        <f>IF(AND(Z677=1,U677="Out"),W677,0)</f>
        <v/>
      </c>
      <c r="AD677" s="68">
        <f>IF(AND(Z677=1,U677="In"),W677,0)</f>
        <v/>
      </c>
    </row>
    <row r="678">
      <c r="B678" s="62" t="inlineStr">
        <is>
          <t>TX-0672</t>
        </is>
      </c>
      <c r="C678" s="63" t="n"/>
      <c r="D678" s="62" t="n"/>
      <c r="E678" s="62" t="n"/>
      <c r="F678" s="62" t="n"/>
      <c r="G678" s="62" t="n"/>
      <c r="H678" s="62" t="n"/>
      <c r="I678" s="62" t="n"/>
      <c r="J678" s="62" t="n"/>
      <c r="K678" s="62" t="n"/>
      <c r="L678" s="64" t="n"/>
      <c r="M678" s="64" t="n"/>
      <c r="N678" s="62" t="n"/>
      <c r="O678" s="65">
        <f>IF(Z678=1,L678-W678,"")</f>
        <v/>
      </c>
      <c r="P678" s="66">
        <f>IF(V678="","",IFERROR(INDEX(coa_Type,MATCH(V678,coa_Name,0)),""))</f>
        <v/>
      </c>
      <c r="Q678" s="66">
        <f>IF(Z678=1,IF(U678="In",K678&amp;"",V678),"")</f>
        <v/>
      </c>
      <c r="R678" s="66">
        <f>IF(Z678=1,IF(U678="In",V678,K678&amp;""),"")</f>
        <v/>
      </c>
      <c r="S678" s="66">
        <f>IF(X678&lt;&gt;"","⛔ "&amp;X678&amp;" — not posted",IF(Y678&lt;&gt;"","⚠ "&amp;Y678,IF(Z678=1,"✓ OK","")))</f>
        <v/>
      </c>
      <c r="T678" s="67">
        <f>IF(AND(C678="",D678="",E678="",L678="",K678=""),1,0)</f>
        <v/>
      </c>
      <c r="U678" s="67">
        <f>IFERROR(INDEX(tt_Dir,MATCH(D678,tt_Type,0)),"")</f>
        <v/>
      </c>
      <c r="V678" s="67">
        <f>IF(D678="","",IFERROR(IF(INDEX(tt_Other,MATCH(D678,tt_Type,0))="",E678&amp;"",INDEX(tt_Other,MATCH(D678,tt_Type,0))),""))</f>
        <v/>
      </c>
      <c r="W678" s="68">
        <f>IF(OR(TaxOn&lt;&gt;"Yes",NOT(ISNUMBER(M678))),0,IF(IFERROR(INDEX(tt_Tax,MATCH(D678,tt_Type,0)),"No")="Yes",M678,0))</f>
        <v/>
      </c>
      <c r="X678" s="67">
        <f>IF(T678=1,"",IF(C678="","Missing transaction date",IF(NOT(ISNUMBER(C678)),"Invalid date",IF(OR(C678&lt;DATE(2000,1,1),C678&gt;DATE(2099,12,31)),"Invalid date",IF(D678="","Select a type",IF(U678="","Unknown type: "&amp;D678,IF(V678="","Select an account (Category)",IF(ISNA(MATCH(V678,coa_Name,0)),"Unknown account: "&amp;V678,IF(K678="","Select Paid From / Deposited To",IF(ISNA(MATCH(K678,coa_Name,0)),"Unknown account: "&amp;K678,IF(NOT(ISNUMBER(L678)),"Enter an amount",IF(L678=0,"Enter an amount",IF(ABS(W678)&gt;ABS(L678),"Tax is larger than the amount","")))))))))))))</f>
        <v/>
      </c>
      <c r="Y678" s="67">
        <f>IF(OR(T678=1,X678&lt;&gt;""),"",IF(AND(B678&lt;&gt;"",COUNTIF(tx_ID,B678)&gt;1),"Duplicate transaction ID",IF(AND(L678&lt;0,D678&lt;&gt;"Adjustment"),"Negative amount — check this entry",IF(AND(D678="Customer Payment",G678=""),"Add the customer",IF(AND(D678="Customer Payment",OR(J678="",COUNTIF(ar_No,J678&amp;"")=0)),"Invoice # in Reference not found on AR sheet",IF(AND(D678="Bill Payment",H678=""),"Add the vendor",IF(AND(D678="Bill Payment",OR(J678="",COUNTIFS(ap_No,J678&amp;"",ap_Party,H678&amp;"")=0)),"Bill # + vendor not found on AP sheet",IF(AND(ISNUMBER(M678),N(M678)&lt;&gt;0,W678=0),"Tax ignored (tax tracking off, or not allowed for this type)",IF(V678=K678&amp;"","Same account on both sides",IF(AND(ISNUMBER(StartDate),C678&lt;StartDate),"Date is before the accounting start date",IF(AND(D678&lt;&gt;"Adjustment",IFERROR(INDEX(coa_Pay,MATCH(K678&amp;"",coa_Name,0)),"")&lt;&gt;"Yes"),"Paid From / Deposited To is not a payment account","")))))))))))</f>
        <v/>
      </c>
      <c r="Z678" s="67">
        <f>IF(AND(T678=0,X678=""),1,0)</f>
        <v/>
      </c>
      <c r="AA678" s="68">
        <f>IF(Z678=1,IF(U678="In",L678,L678-W678),0)</f>
        <v/>
      </c>
      <c r="AB678" s="68">
        <f>IF(Z678=1,IF(U678="In",L678-W678,L678),0)</f>
        <v/>
      </c>
      <c r="AC678" s="68">
        <f>IF(AND(Z678=1,U678="Out"),W678,0)</f>
        <v/>
      </c>
      <c r="AD678" s="68">
        <f>IF(AND(Z678=1,U678="In"),W678,0)</f>
        <v/>
      </c>
    </row>
    <row r="679">
      <c r="B679" s="62" t="inlineStr">
        <is>
          <t>TX-0673</t>
        </is>
      </c>
      <c r="C679" s="63" t="n"/>
      <c r="D679" s="62" t="n"/>
      <c r="E679" s="62" t="n"/>
      <c r="F679" s="62" t="n"/>
      <c r="G679" s="62" t="n"/>
      <c r="H679" s="62" t="n"/>
      <c r="I679" s="62" t="n"/>
      <c r="J679" s="62" t="n"/>
      <c r="K679" s="62" t="n"/>
      <c r="L679" s="64" t="n"/>
      <c r="M679" s="64" t="n"/>
      <c r="N679" s="62" t="n"/>
      <c r="O679" s="65">
        <f>IF(Z679=1,L679-W679,"")</f>
        <v/>
      </c>
      <c r="P679" s="66">
        <f>IF(V679="","",IFERROR(INDEX(coa_Type,MATCH(V679,coa_Name,0)),""))</f>
        <v/>
      </c>
      <c r="Q679" s="66">
        <f>IF(Z679=1,IF(U679="In",K679&amp;"",V679),"")</f>
        <v/>
      </c>
      <c r="R679" s="66">
        <f>IF(Z679=1,IF(U679="In",V679,K679&amp;""),"")</f>
        <v/>
      </c>
      <c r="S679" s="66">
        <f>IF(X679&lt;&gt;"","⛔ "&amp;X679&amp;" — not posted",IF(Y679&lt;&gt;"","⚠ "&amp;Y679,IF(Z679=1,"✓ OK","")))</f>
        <v/>
      </c>
      <c r="T679" s="67">
        <f>IF(AND(C679="",D679="",E679="",L679="",K679=""),1,0)</f>
        <v/>
      </c>
      <c r="U679" s="67">
        <f>IFERROR(INDEX(tt_Dir,MATCH(D679,tt_Type,0)),"")</f>
        <v/>
      </c>
      <c r="V679" s="67">
        <f>IF(D679="","",IFERROR(IF(INDEX(tt_Other,MATCH(D679,tt_Type,0))="",E679&amp;"",INDEX(tt_Other,MATCH(D679,tt_Type,0))),""))</f>
        <v/>
      </c>
      <c r="W679" s="68">
        <f>IF(OR(TaxOn&lt;&gt;"Yes",NOT(ISNUMBER(M679))),0,IF(IFERROR(INDEX(tt_Tax,MATCH(D679,tt_Type,0)),"No")="Yes",M679,0))</f>
        <v/>
      </c>
      <c r="X679" s="67">
        <f>IF(T679=1,"",IF(C679="","Missing transaction date",IF(NOT(ISNUMBER(C679)),"Invalid date",IF(OR(C679&lt;DATE(2000,1,1),C679&gt;DATE(2099,12,31)),"Invalid date",IF(D679="","Select a type",IF(U679="","Unknown type: "&amp;D679,IF(V679="","Select an account (Category)",IF(ISNA(MATCH(V679,coa_Name,0)),"Unknown account: "&amp;V679,IF(K679="","Select Paid From / Deposited To",IF(ISNA(MATCH(K679,coa_Name,0)),"Unknown account: "&amp;K679,IF(NOT(ISNUMBER(L679)),"Enter an amount",IF(L679=0,"Enter an amount",IF(ABS(W679)&gt;ABS(L679),"Tax is larger than the amount","")))))))))))))</f>
        <v/>
      </c>
      <c r="Y679" s="67">
        <f>IF(OR(T679=1,X679&lt;&gt;""),"",IF(AND(B679&lt;&gt;"",COUNTIF(tx_ID,B679)&gt;1),"Duplicate transaction ID",IF(AND(L679&lt;0,D679&lt;&gt;"Adjustment"),"Negative amount — check this entry",IF(AND(D679="Customer Payment",G679=""),"Add the customer",IF(AND(D679="Customer Payment",OR(J679="",COUNTIF(ar_No,J679&amp;"")=0)),"Invoice # in Reference not found on AR sheet",IF(AND(D679="Bill Payment",H679=""),"Add the vendor",IF(AND(D679="Bill Payment",OR(J679="",COUNTIFS(ap_No,J679&amp;"",ap_Party,H679&amp;"")=0)),"Bill # + vendor not found on AP sheet",IF(AND(ISNUMBER(M679),N(M679)&lt;&gt;0,W679=0),"Tax ignored (tax tracking off, or not allowed for this type)",IF(V679=K679&amp;"","Same account on both sides",IF(AND(ISNUMBER(StartDate),C679&lt;StartDate),"Date is before the accounting start date",IF(AND(D679&lt;&gt;"Adjustment",IFERROR(INDEX(coa_Pay,MATCH(K679&amp;"",coa_Name,0)),"")&lt;&gt;"Yes"),"Paid From / Deposited To is not a payment account","")))))))))))</f>
        <v/>
      </c>
      <c r="Z679" s="67">
        <f>IF(AND(T679=0,X679=""),1,0)</f>
        <v/>
      </c>
      <c r="AA679" s="68">
        <f>IF(Z679=1,IF(U679="In",L679,L679-W679),0)</f>
        <v/>
      </c>
      <c r="AB679" s="68">
        <f>IF(Z679=1,IF(U679="In",L679-W679,L679),0)</f>
        <v/>
      </c>
      <c r="AC679" s="68">
        <f>IF(AND(Z679=1,U679="Out"),W679,0)</f>
        <v/>
      </c>
      <c r="AD679" s="68">
        <f>IF(AND(Z679=1,U679="In"),W679,0)</f>
        <v/>
      </c>
    </row>
    <row r="680">
      <c r="B680" s="62" t="inlineStr">
        <is>
          <t>TX-0674</t>
        </is>
      </c>
      <c r="C680" s="63" t="n"/>
      <c r="D680" s="62" t="n"/>
      <c r="E680" s="62" t="n"/>
      <c r="F680" s="62" t="n"/>
      <c r="G680" s="62" t="n"/>
      <c r="H680" s="62" t="n"/>
      <c r="I680" s="62" t="n"/>
      <c r="J680" s="62" t="n"/>
      <c r="K680" s="62" t="n"/>
      <c r="L680" s="64" t="n"/>
      <c r="M680" s="64" t="n"/>
      <c r="N680" s="62" t="n"/>
      <c r="O680" s="65">
        <f>IF(Z680=1,L680-W680,"")</f>
        <v/>
      </c>
      <c r="P680" s="66">
        <f>IF(V680="","",IFERROR(INDEX(coa_Type,MATCH(V680,coa_Name,0)),""))</f>
        <v/>
      </c>
      <c r="Q680" s="66">
        <f>IF(Z680=1,IF(U680="In",K680&amp;"",V680),"")</f>
        <v/>
      </c>
      <c r="R680" s="66">
        <f>IF(Z680=1,IF(U680="In",V680,K680&amp;""),"")</f>
        <v/>
      </c>
      <c r="S680" s="66">
        <f>IF(X680&lt;&gt;"","⛔ "&amp;X680&amp;" — not posted",IF(Y680&lt;&gt;"","⚠ "&amp;Y680,IF(Z680=1,"✓ OK","")))</f>
        <v/>
      </c>
      <c r="T680" s="67">
        <f>IF(AND(C680="",D680="",E680="",L680="",K680=""),1,0)</f>
        <v/>
      </c>
      <c r="U680" s="67">
        <f>IFERROR(INDEX(tt_Dir,MATCH(D680,tt_Type,0)),"")</f>
        <v/>
      </c>
      <c r="V680" s="67">
        <f>IF(D680="","",IFERROR(IF(INDEX(tt_Other,MATCH(D680,tt_Type,0))="",E680&amp;"",INDEX(tt_Other,MATCH(D680,tt_Type,0))),""))</f>
        <v/>
      </c>
      <c r="W680" s="68">
        <f>IF(OR(TaxOn&lt;&gt;"Yes",NOT(ISNUMBER(M680))),0,IF(IFERROR(INDEX(tt_Tax,MATCH(D680,tt_Type,0)),"No")="Yes",M680,0))</f>
        <v/>
      </c>
      <c r="X680" s="67">
        <f>IF(T680=1,"",IF(C680="","Missing transaction date",IF(NOT(ISNUMBER(C680)),"Invalid date",IF(OR(C680&lt;DATE(2000,1,1),C680&gt;DATE(2099,12,31)),"Invalid date",IF(D680="","Select a type",IF(U680="","Unknown type: "&amp;D680,IF(V680="","Select an account (Category)",IF(ISNA(MATCH(V680,coa_Name,0)),"Unknown account: "&amp;V680,IF(K680="","Select Paid From / Deposited To",IF(ISNA(MATCH(K680,coa_Name,0)),"Unknown account: "&amp;K680,IF(NOT(ISNUMBER(L680)),"Enter an amount",IF(L680=0,"Enter an amount",IF(ABS(W680)&gt;ABS(L680),"Tax is larger than the amount","")))))))))))))</f>
        <v/>
      </c>
      <c r="Y680" s="67">
        <f>IF(OR(T680=1,X680&lt;&gt;""),"",IF(AND(B680&lt;&gt;"",COUNTIF(tx_ID,B680)&gt;1),"Duplicate transaction ID",IF(AND(L680&lt;0,D680&lt;&gt;"Adjustment"),"Negative amount — check this entry",IF(AND(D680="Customer Payment",G680=""),"Add the customer",IF(AND(D680="Customer Payment",OR(J680="",COUNTIF(ar_No,J680&amp;"")=0)),"Invoice # in Reference not found on AR sheet",IF(AND(D680="Bill Payment",H680=""),"Add the vendor",IF(AND(D680="Bill Payment",OR(J680="",COUNTIFS(ap_No,J680&amp;"",ap_Party,H680&amp;"")=0)),"Bill # + vendor not found on AP sheet",IF(AND(ISNUMBER(M680),N(M680)&lt;&gt;0,W680=0),"Tax ignored (tax tracking off, or not allowed for this type)",IF(V680=K680&amp;"","Same account on both sides",IF(AND(ISNUMBER(StartDate),C680&lt;StartDate),"Date is before the accounting start date",IF(AND(D680&lt;&gt;"Adjustment",IFERROR(INDEX(coa_Pay,MATCH(K680&amp;"",coa_Name,0)),"")&lt;&gt;"Yes"),"Paid From / Deposited To is not a payment account","")))))))))))</f>
        <v/>
      </c>
      <c r="Z680" s="67">
        <f>IF(AND(T680=0,X680=""),1,0)</f>
        <v/>
      </c>
      <c r="AA680" s="68">
        <f>IF(Z680=1,IF(U680="In",L680,L680-W680),0)</f>
        <v/>
      </c>
      <c r="AB680" s="68">
        <f>IF(Z680=1,IF(U680="In",L680-W680,L680),0)</f>
        <v/>
      </c>
      <c r="AC680" s="68">
        <f>IF(AND(Z680=1,U680="Out"),W680,0)</f>
        <v/>
      </c>
      <c r="AD680" s="68">
        <f>IF(AND(Z680=1,U680="In"),W680,0)</f>
        <v/>
      </c>
    </row>
    <row r="681">
      <c r="B681" s="62" t="inlineStr">
        <is>
          <t>TX-0675</t>
        </is>
      </c>
      <c r="C681" s="63" t="n"/>
      <c r="D681" s="62" t="n"/>
      <c r="E681" s="62" t="n"/>
      <c r="F681" s="62" t="n"/>
      <c r="G681" s="62" t="n"/>
      <c r="H681" s="62" t="n"/>
      <c r="I681" s="62" t="n"/>
      <c r="J681" s="62" t="n"/>
      <c r="K681" s="62" t="n"/>
      <c r="L681" s="64" t="n"/>
      <c r="M681" s="64" t="n"/>
      <c r="N681" s="62" t="n"/>
      <c r="O681" s="65">
        <f>IF(Z681=1,L681-W681,"")</f>
        <v/>
      </c>
      <c r="P681" s="66">
        <f>IF(V681="","",IFERROR(INDEX(coa_Type,MATCH(V681,coa_Name,0)),""))</f>
        <v/>
      </c>
      <c r="Q681" s="66">
        <f>IF(Z681=1,IF(U681="In",K681&amp;"",V681),"")</f>
        <v/>
      </c>
      <c r="R681" s="66">
        <f>IF(Z681=1,IF(U681="In",V681,K681&amp;""),"")</f>
        <v/>
      </c>
      <c r="S681" s="66">
        <f>IF(X681&lt;&gt;"","⛔ "&amp;X681&amp;" — not posted",IF(Y681&lt;&gt;"","⚠ "&amp;Y681,IF(Z681=1,"✓ OK","")))</f>
        <v/>
      </c>
      <c r="T681" s="67">
        <f>IF(AND(C681="",D681="",E681="",L681="",K681=""),1,0)</f>
        <v/>
      </c>
      <c r="U681" s="67">
        <f>IFERROR(INDEX(tt_Dir,MATCH(D681,tt_Type,0)),"")</f>
        <v/>
      </c>
      <c r="V681" s="67">
        <f>IF(D681="","",IFERROR(IF(INDEX(tt_Other,MATCH(D681,tt_Type,0))="",E681&amp;"",INDEX(tt_Other,MATCH(D681,tt_Type,0))),""))</f>
        <v/>
      </c>
      <c r="W681" s="68">
        <f>IF(OR(TaxOn&lt;&gt;"Yes",NOT(ISNUMBER(M681))),0,IF(IFERROR(INDEX(tt_Tax,MATCH(D681,tt_Type,0)),"No")="Yes",M681,0))</f>
        <v/>
      </c>
      <c r="X681" s="67">
        <f>IF(T681=1,"",IF(C681="","Missing transaction date",IF(NOT(ISNUMBER(C681)),"Invalid date",IF(OR(C681&lt;DATE(2000,1,1),C681&gt;DATE(2099,12,31)),"Invalid date",IF(D681="","Select a type",IF(U681="","Unknown type: "&amp;D681,IF(V681="","Select an account (Category)",IF(ISNA(MATCH(V681,coa_Name,0)),"Unknown account: "&amp;V681,IF(K681="","Select Paid From / Deposited To",IF(ISNA(MATCH(K681,coa_Name,0)),"Unknown account: "&amp;K681,IF(NOT(ISNUMBER(L681)),"Enter an amount",IF(L681=0,"Enter an amount",IF(ABS(W681)&gt;ABS(L681),"Tax is larger than the amount","")))))))))))))</f>
        <v/>
      </c>
      <c r="Y681" s="67">
        <f>IF(OR(T681=1,X681&lt;&gt;""),"",IF(AND(B681&lt;&gt;"",COUNTIF(tx_ID,B681)&gt;1),"Duplicate transaction ID",IF(AND(L681&lt;0,D681&lt;&gt;"Adjustment"),"Negative amount — check this entry",IF(AND(D681="Customer Payment",G681=""),"Add the customer",IF(AND(D681="Customer Payment",OR(J681="",COUNTIF(ar_No,J681&amp;"")=0)),"Invoice # in Reference not found on AR sheet",IF(AND(D681="Bill Payment",H681=""),"Add the vendor",IF(AND(D681="Bill Payment",OR(J681="",COUNTIFS(ap_No,J681&amp;"",ap_Party,H681&amp;"")=0)),"Bill # + vendor not found on AP sheet",IF(AND(ISNUMBER(M681),N(M681)&lt;&gt;0,W681=0),"Tax ignored (tax tracking off, or not allowed for this type)",IF(V681=K681&amp;"","Same account on both sides",IF(AND(ISNUMBER(StartDate),C681&lt;StartDate),"Date is before the accounting start date",IF(AND(D681&lt;&gt;"Adjustment",IFERROR(INDEX(coa_Pay,MATCH(K681&amp;"",coa_Name,0)),"")&lt;&gt;"Yes"),"Paid From / Deposited To is not a payment account","")))))))))))</f>
        <v/>
      </c>
      <c r="Z681" s="67">
        <f>IF(AND(T681=0,X681=""),1,0)</f>
        <v/>
      </c>
      <c r="AA681" s="68">
        <f>IF(Z681=1,IF(U681="In",L681,L681-W681),0)</f>
        <v/>
      </c>
      <c r="AB681" s="68">
        <f>IF(Z681=1,IF(U681="In",L681-W681,L681),0)</f>
        <v/>
      </c>
      <c r="AC681" s="68">
        <f>IF(AND(Z681=1,U681="Out"),W681,0)</f>
        <v/>
      </c>
      <c r="AD681" s="68">
        <f>IF(AND(Z681=1,U681="In"),W681,0)</f>
        <v/>
      </c>
    </row>
    <row r="682">
      <c r="B682" s="62" t="inlineStr">
        <is>
          <t>TX-0676</t>
        </is>
      </c>
      <c r="C682" s="63" t="n"/>
      <c r="D682" s="62" t="n"/>
      <c r="E682" s="62" t="n"/>
      <c r="F682" s="62" t="n"/>
      <c r="G682" s="62" t="n"/>
      <c r="H682" s="62" t="n"/>
      <c r="I682" s="62" t="n"/>
      <c r="J682" s="62" t="n"/>
      <c r="K682" s="62" t="n"/>
      <c r="L682" s="64" t="n"/>
      <c r="M682" s="64" t="n"/>
      <c r="N682" s="62" t="n"/>
      <c r="O682" s="65">
        <f>IF(Z682=1,L682-W682,"")</f>
        <v/>
      </c>
      <c r="P682" s="66">
        <f>IF(V682="","",IFERROR(INDEX(coa_Type,MATCH(V682,coa_Name,0)),""))</f>
        <v/>
      </c>
      <c r="Q682" s="66">
        <f>IF(Z682=1,IF(U682="In",K682&amp;"",V682),"")</f>
        <v/>
      </c>
      <c r="R682" s="66">
        <f>IF(Z682=1,IF(U682="In",V682,K682&amp;""),"")</f>
        <v/>
      </c>
      <c r="S682" s="66">
        <f>IF(X682&lt;&gt;"","⛔ "&amp;X682&amp;" — not posted",IF(Y682&lt;&gt;"","⚠ "&amp;Y682,IF(Z682=1,"✓ OK","")))</f>
        <v/>
      </c>
      <c r="T682" s="67">
        <f>IF(AND(C682="",D682="",E682="",L682="",K682=""),1,0)</f>
        <v/>
      </c>
      <c r="U682" s="67">
        <f>IFERROR(INDEX(tt_Dir,MATCH(D682,tt_Type,0)),"")</f>
        <v/>
      </c>
      <c r="V682" s="67">
        <f>IF(D682="","",IFERROR(IF(INDEX(tt_Other,MATCH(D682,tt_Type,0))="",E682&amp;"",INDEX(tt_Other,MATCH(D682,tt_Type,0))),""))</f>
        <v/>
      </c>
      <c r="W682" s="68">
        <f>IF(OR(TaxOn&lt;&gt;"Yes",NOT(ISNUMBER(M682))),0,IF(IFERROR(INDEX(tt_Tax,MATCH(D682,tt_Type,0)),"No")="Yes",M682,0))</f>
        <v/>
      </c>
      <c r="X682" s="67">
        <f>IF(T682=1,"",IF(C682="","Missing transaction date",IF(NOT(ISNUMBER(C682)),"Invalid date",IF(OR(C682&lt;DATE(2000,1,1),C682&gt;DATE(2099,12,31)),"Invalid date",IF(D682="","Select a type",IF(U682="","Unknown type: "&amp;D682,IF(V682="","Select an account (Category)",IF(ISNA(MATCH(V682,coa_Name,0)),"Unknown account: "&amp;V682,IF(K682="","Select Paid From / Deposited To",IF(ISNA(MATCH(K682,coa_Name,0)),"Unknown account: "&amp;K682,IF(NOT(ISNUMBER(L682)),"Enter an amount",IF(L682=0,"Enter an amount",IF(ABS(W682)&gt;ABS(L682),"Tax is larger than the amount","")))))))))))))</f>
        <v/>
      </c>
      <c r="Y682" s="67">
        <f>IF(OR(T682=1,X682&lt;&gt;""),"",IF(AND(B682&lt;&gt;"",COUNTIF(tx_ID,B682)&gt;1),"Duplicate transaction ID",IF(AND(L682&lt;0,D682&lt;&gt;"Adjustment"),"Negative amount — check this entry",IF(AND(D682="Customer Payment",G682=""),"Add the customer",IF(AND(D682="Customer Payment",OR(J682="",COUNTIF(ar_No,J682&amp;"")=0)),"Invoice # in Reference not found on AR sheet",IF(AND(D682="Bill Payment",H682=""),"Add the vendor",IF(AND(D682="Bill Payment",OR(J682="",COUNTIFS(ap_No,J682&amp;"",ap_Party,H682&amp;"")=0)),"Bill # + vendor not found on AP sheet",IF(AND(ISNUMBER(M682),N(M682)&lt;&gt;0,W682=0),"Tax ignored (tax tracking off, or not allowed for this type)",IF(V682=K682&amp;"","Same account on both sides",IF(AND(ISNUMBER(StartDate),C682&lt;StartDate),"Date is before the accounting start date",IF(AND(D682&lt;&gt;"Adjustment",IFERROR(INDEX(coa_Pay,MATCH(K682&amp;"",coa_Name,0)),"")&lt;&gt;"Yes"),"Paid From / Deposited To is not a payment account","")))))))))))</f>
        <v/>
      </c>
      <c r="Z682" s="67">
        <f>IF(AND(T682=0,X682=""),1,0)</f>
        <v/>
      </c>
      <c r="AA682" s="68">
        <f>IF(Z682=1,IF(U682="In",L682,L682-W682),0)</f>
        <v/>
      </c>
      <c r="AB682" s="68">
        <f>IF(Z682=1,IF(U682="In",L682-W682,L682),0)</f>
        <v/>
      </c>
      <c r="AC682" s="68">
        <f>IF(AND(Z682=1,U682="Out"),W682,0)</f>
        <v/>
      </c>
      <c r="AD682" s="68">
        <f>IF(AND(Z682=1,U682="In"),W682,0)</f>
        <v/>
      </c>
    </row>
    <row r="683">
      <c r="B683" s="62" t="inlineStr">
        <is>
          <t>TX-0677</t>
        </is>
      </c>
      <c r="C683" s="63" t="n"/>
      <c r="D683" s="62" t="n"/>
      <c r="E683" s="62" t="n"/>
      <c r="F683" s="62" t="n"/>
      <c r="G683" s="62" t="n"/>
      <c r="H683" s="62" t="n"/>
      <c r="I683" s="62" t="n"/>
      <c r="J683" s="62" t="n"/>
      <c r="K683" s="62" t="n"/>
      <c r="L683" s="64" t="n"/>
      <c r="M683" s="64" t="n"/>
      <c r="N683" s="62" t="n"/>
      <c r="O683" s="65">
        <f>IF(Z683=1,L683-W683,"")</f>
        <v/>
      </c>
      <c r="P683" s="66">
        <f>IF(V683="","",IFERROR(INDEX(coa_Type,MATCH(V683,coa_Name,0)),""))</f>
        <v/>
      </c>
      <c r="Q683" s="66">
        <f>IF(Z683=1,IF(U683="In",K683&amp;"",V683),"")</f>
        <v/>
      </c>
      <c r="R683" s="66">
        <f>IF(Z683=1,IF(U683="In",V683,K683&amp;""),"")</f>
        <v/>
      </c>
      <c r="S683" s="66">
        <f>IF(X683&lt;&gt;"","⛔ "&amp;X683&amp;" — not posted",IF(Y683&lt;&gt;"","⚠ "&amp;Y683,IF(Z683=1,"✓ OK","")))</f>
        <v/>
      </c>
      <c r="T683" s="67">
        <f>IF(AND(C683="",D683="",E683="",L683="",K683=""),1,0)</f>
        <v/>
      </c>
      <c r="U683" s="67">
        <f>IFERROR(INDEX(tt_Dir,MATCH(D683,tt_Type,0)),"")</f>
        <v/>
      </c>
      <c r="V683" s="67">
        <f>IF(D683="","",IFERROR(IF(INDEX(tt_Other,MATCH(D683,tt_Type,0))="",E683&amp;"",INDEX(tt_Other,MATCH(D683,tt_Type,0))),""))</f>
        <v/>
      </c>
      <c r="W683" s="68">
        <f>IF(OR(TaxOn&lt;&gt;"Yes",NOT(ISNUMBER(M683))),0,IF(IFERROR(INDEX(tt_Tax,MATCH(D683,tt_Type,0)),"No")="Yes",M683,0))</f>
        <v/>
      </c>
      <c r="X683" s="67">
        <f>IF(T683=1,"",IF(C683="","Missing transaction date",IF(NOT(ISNUMBER(C683)),"Invalid date",IF(OR(C683&lt;DATE(2000,1,1),C683&gt;DATE(2099,12,31)),"Invalid date",IF(D683="","Select a type",IF(U683="","Unknown type: "&amp;D683,IF(V683="","Select an account (Category)",IF(ISNA(MATCH(V683,coa_Name,0)),"Unknown account: "&amp;V683,IF(K683="","Select Paid From / Deposited To",IF(ISNA(MATCH(K683,coa_Name,0)),"Unknown account: "&amp;K683,IF(NOT(ISNUMBER(L683)),"Enter an amount",IF(L683=0,"Enter an amount",IF(ABS(W683)&gt;ABS(L683),"Tax is larger than the amount","")))))))))))))</f>
        <v/>
      </c>
      <c r="Y683" s="67">
        <f>IF(OR(T683=1,X683&lt;&gt;""),"",IF(AND(B683&lt;&gt;"",COUNTIF(tx_ID,B683)&gt;1),"Duplicate transaction ID",IF(AND(L683&lt;0,D683&lt;&gt;"Adjustment"),"Negative amount — check this entry",IF(AND(D683="Customer Payment",G683=""),"Add the customer",IF(AND(D683="Customer Payment",OR(J683="",COUNTIF(ar_No,J683&amp;"")=0)),"Invoice # in Reference not found on AR sheet",IF(AND(D683="Bill Payment",H683=""),"Add the vendor",IF(AND(D683="Bill Payment",OR(J683="",COUNTIFS(ap_No,J683&amp;"",ap_Party,H683&amp;"")=0)),"Bill # + vendor not found on AP sheet",IF(AND(ISNUMBER(M683),N(M683)&lt;&gt;0,W683=0),"Tax ignored (tax tracking off, or not allowed for this type)",IF(V683=K683&amp;"","Same account on both sides",IF(AND(ISNUMBER(StartDate),C683&lt;StartDate),"Date is before the accounting start date",IF(AND(D683&lt;&gt;"Adjustment",IFERROR(INDEX(coa_Pay,MATCH(K683&amp;"",coa_Name,0)),"")&lt;&gt;"Yes"),"Paid From / Deposited To is not a payment account","")))))))))))</f>
        <v/>
      </c>
      <c r="Z683" s="67">
        <f>IF(AND(T683=0,X683=""),1,0)</f>
        <v/>
      </c>
      <c r="AA683" s="68">
        <f>IF(Z683=1,IF(U683="In",L683,L683-W683),0)</f>
        <v/>
      </c>
      <c r="AB683" s="68">
        <f>IF(Z683=1,IF(U683="In",L683-W683,L683),0)</f>
        <v/>
      </c>
      <c r="AC683" s="68">
        <f>IF(AND(Z683=1,U683="Out"),W683,0)</f>
        <v/>
      </c>
      <c r="AD683" s="68">
        <f>IF(AND(Z683=1,U683="In"),W683,0)</f>
        <v/>
      </c>
    </row>
    <row r="684">
      <c r="B684" s="62" t="inlineStr">
        <is>
          <t>TX-0678</t>
        </is>
      </c>
      <c r="C684" s="63" t="n"/>
      <c r="D684" s="62" t="n"/>
      <c r="E684" s="62" t="n"/>
      <c r="F684" s="62" t="n"/>
      <c r="G684" s="62" t="n"/>
      <c r="H684" s="62" t="n"/>
      <c r="I684" s="62" t="n"/>
      <c r="J684" s="62" t="n"/>
      <c r="K684" s="62" t="n"/>
      <c r="L684" s="64" t="n"/>
      <c r="M684" s="64" t="n"/>
      <c r="N684" s="62" t="n"/>
      <c r="O684" s="65">
        <f>IF(Z684=1,L684-W684,"")</f>
        <v/>
      </c>
      <c r="P684" s="66">
        <f>IF(V684="","",IFERROR(INDEX(coa_Type,MATCH(V684,coa_Name,0)),""))</f>
        <v/>
      </c>
      <c r="Q684" s="66">
        <f>IF(Z684=1,IF(U684="In",K684&amp;"",V684),"")</f>
        <v/>
      </c>
      <c r="R684" s="66">
        <f>IF(Z684=1,IF(U684="In",V684,K684&amp;""),"")</f>
        <v/>
      </c>
      <c r="S684" s="66">
        <f>IF(X684&lt;&gt;"","⛔ "&amp;X684&amp;" — not posted",IF(Y684&lt;&gt;"","⚠ "&amp;Y684,IF(Z684=1,"✓ OK","")))</f>
        <v/>
      </c>
      <c r="T684" s="67">
        <f>IF(AND(C684="",D684="",E684="",L684="",K684=""),1,0)</f>
        <v/>
      </c>
      <c r="U684" s="67">
        <f>IFERROR(INDEX(tt_Dir,MATCH(D684,tt_Type,0)),"")</f>
        <v/>
      </c>
      <c r="V684" s="67">
        <f>IF(D684="","",IFERROR(IF(INDEX(tt_Other,MATCH(D684,tt_Type,0))="",E684&amp;"",INDEX(tt_Other,MATCH(D684,tt_Type,0))),""))</f>
        <v/>
      </c>
      <c r="W684" s="68">
        <f>IF(OR(TaxOn&lt;&gt;"Yes",NOT(ISNUMBER(M684))),0,IF(IFERROR(INDEX(tt_Tax,MATCH(D684,tt_Type,0)),"No")="Yes",M684,0))</f>
        <v/>
      </c>
      <c r="X684" s="67">
        <f>IF(T684=1,"",IF(C684="","Missing transaction date",IF(NOT(ISNUMBER(C684)),"Invalid date",IF(OR(C684&lt;DATE(2000,1,1),C684&gt;DATE(2099,12,31)),"Invalid date",IF(D684="","Select a type",IF(U684="","Unknown type: "&amp;D684,IF(V684="","Select an account (Category)",IF(ISNA(MATCH(V684,coa_Name,0)),"Unknown account: "&amp;V684,IF(K684="","Select Paid From / Deposited To",IF(ISNA(MATCH(K684,coa_Name,0)),"Unknown account: "&amp;K684,IF(NOT(ISNUMBER(L684)),"Enter an amount",IF(L684=0,"Enter an amount",IF(ABS(W684)&gt;ABS(L684),"Tax is larger than the amount","")))))))))))))</f>
        <v/>
      </c>
      <c r="Y684" s="67">
        <f>IF(OR(T684=1,X684&lt;&gt;""),"",IF(AND(B684&lt;&gt;"",COUNTIF(tx_ID,B684)&gt;1),"Duplicate transaction ID",IF(AND(L684&lt;0,D684&lt;&gt;"Adjustment"),"Negative amount — check this entry",IF(AND(D684="Customer Payment",G684=""),"Add the customer",IF(AND(D684="Customer Payment",OR(J684="",COUNTIF(ar_No,J684&amp;"")=0)),"Invoice # in Reference not found on AR sheet",IF(AND(D684="Bill Payment",H684=""),"Add the vendor",IF(AND(D684="Bill Payment",OR(J684="",COUNTIFS(ap_No,J684&amp;"",ap_Party,H684&amp;"")=0)),"Bill # + vendor not found on AP sheet",IF(AND(ISNUMBER(M684),N(M684)&lt;&gt;0,W684=0),"Tax ignored (tax tracking off, or not allowed for this type)",IF(V684=K684&amp;"","Same account on both sides",IF(AND(ISNUMBER(StartDate),C684&lt;StartDate),"Date is before the accounting start date",IF(AND(D684&lt;&gt;"Adjustment",IFERROR(INDEX(coa_Pay,MATCH(K684&amp;"",coa_Name,0)),"")&lt;&gt;"Yes"),"Paid From / Deposited To is not a payment account","")))))))))))</f>
        <v/>
      </c>
      <c r="Z684" s="67">
        <f>IF(AND(T684=0,X684=""),1,0)</f>
        <v/>
      </c>
      <c r="AA684" s="68">
        <f>IF(Z684=1,IF(U684="In",L684,L684-W684),0)</f>
        <v/>
      </c>
      <c r="AB684" s="68">
        <f>IF(Z684=1,IF(U684="In",L684-W684,L684),0)</f>
        <v/>
      </c>
      <c r="AC684" s="68">
        <f>IF(AND(Z684=1,U684="Out"),W684,0)</f>
        <v/>
      </c>
      <c r="AD684" s="68">
        <f>IF(AND(Z684=1,U684="In"),W684,0)</f>
        <v/>
      </c>
    </row>
    <row r="685">
      <c r="B685" s="62" t="inlineStr">
        <is>
          <t>TX-0679</t>
        </is>
      </c>
      <c r="C685" s="63" t="n"/>
      <c r="D685" s="62" t="n"/>
      <c r="E685" s="62" t="n"/>
      <c r="F685" s="62" t="n"/>
      <c r="G685" s="62" t="n"/>
      <c r="H685" s="62" t="n"/>
      <c r="I685" s="62" t="n"/>
      <c r="J685" s="62" t="n"/>
      <c r="K685" s="62" t="n"/>
      <c r="L685" s="64" t="n"/>
      <c r="M685" s="64" t="n"/>
      <c r="N685" s="62" t="n"/>
      <c r="O685" s="65">
        <f>IF(Z685=1,L685-W685,"")</f>
        <v/>
      </c>
      <c r="P685" s="66">
        <f>IF(V685="","",IFERROR(INDEX(coa_Type,MATCH(V685,coa_Name,0)),""))</f>
        <v/>
      </c>
      <c r="Q685" s="66">
        <f>IF(Z685=1,IF(U685="In",K685&amp;"",V685),"")</f>
        <v/>
      </c>
      <c r="R685" s="66">
        <f>IF(Z685=1,IF(U685="In",V685,K685&amp;""),"")</f>
        <v/>
      </c>
      <c r="S685" s="66">
        <f>IF(X685&lt;&gt;"","⛔ "&amp;X685&amp;" — not posted",IF(Y685&lt;&gt;"","⚠ "&amp;Y685,IF(Z685=1,"✓ OK","")))</f>
        <v/>
      </c>
      <c r="T685" s="67">
        <f>IF(AND(C685="",D685="",E685="",L685="",K685=""),1,0)</f>
        <v/>
      </c>
      <c r="U685" s="67">
        <f>IFERROR(INDEX(tt_Dir,MATCH(D685,tt_Type,0)),"")</f>
        <v/>
      </c>
      <c r="V685" s="67">
        <f>IF(D685="","",IFERROR(IF(INDEX(tt_Other,MATCH(D685,tt_Type,0))="",E685&amp;"",INDEX(tt_Other,MATCH(D685,tt_Type,0))),""))</f>
        <v/>
      </c>
      <c r="W685" s="68">
        <f>IF(OR(TaxOn&lt;&gt;"Yes",NOT(ISNUMBER(M685))),0,IF(IFERROR(INDEX(tt_Tax,MATCH(D685,tt_Type,0)),"No")="Yes",M685,0))</f>
        <v/>
      </c>
      <c r="X685" s="67">
        <f>IF(T685=1,"",IF(C685="","Missing transaction date",IF(NOT(ISNUMBER(C685)),"Invalid date",IF(OR(C685&lt;DATE(2000,1,1),C685&gt;DATE(2099,12,31)),"Invalid date",IF(D685="","Select a type",IF(U685="","Unknown type: "&amp;D685,IF(V685="","Select an account (Category)",IF(ISNA(MATCH(V685,coa_Name,0)),"Unknown account: "&amp;V685,IF(K685="","Select Paid From / Deposited To",IF(ISNA(MATCH(K685,coa_Name,0)),"Unknown account: "&amp;K685,IF(NOT(ISNUMBER(L685)),"Enter an amount",IF(L685=0,"Enter an amount",IF(ABS(W685)&gt;ABS(L685),"Tax is larger than the amount","")))))))))))))</f>
        <v/>
      </c>
      <c r="Y685" s="67">
        <f>IF(OR(T685=1,X685&lt;&gt;""),"",IF(AND(B685&lt;&gt;"",COUNTIF(tx_ID,B685)&gt;1),"Duplicate transaction ID",IF(AND(L685&lt;0,D685&lt;&gt;"Adjustment"),"Negative amount — check this entry",IF(AND(D685="Customer Payment",G685=""),"Add the customer",IF(AND(D685="Customer Payment",OR(J685="",COUNTIF(ar_No,J685&amp;"")=0)),"Invoice # in Reference not found on AR sheet",IF(AND(D685="Bill Payment",H685=""),"Add the vendor",IF(AND(D685="Bill Payment",OR(J685="",COUNTIFS(ap_No,J685&amp;"",ap_Party,H685&amp;"")=0)),"Bill # + vendor not found on AP sheet",IF(AND(ISNUMBER(M685),N(M685)&lt;&gt;0,W685=0),"Tax ignored (tax tracking off, or not allowed for this type)",IF(V685=K685&amp;"","Same account on both sides",IF(AND(ISNUMBER(StartDate),C685&lt;StartDate),"Date is before the accounting start date",IF(AND(D685&lt;&gt;"Adjustment",IFERROR(INDEX(coa_Pay,MATCH(K685&amp;"",coa_Name,0)),"")&lt;&gt;"Yes"),"Paid From / Deposited To is not a payment account","")))))))))))</f>
        <v/>
      </c>
      <c r="Z685" s="67">
        <f>IF(AND(T685=0,X685=""),1,0)</f>
        <v/>
      </c>
      <c r="AA685" s="68">
        <f>IF(Z685=1,IF(U685="In",L685,L685-W685),0)</f>
        <v/>
      </c>
      <c r="AB685" s="68">
        <f>IF(Z685=1,IF(U685="In",L685-W685,L685),0)</f>
        <v/>
      </c>
      <c r="AC685" s="68">
        <f>IF(AND(Z685=1,U685="Out"),W685,0)</f>
        <v/>
      </c>
      <c r="AD685" s="68">
        <f>IF(AND(Z685=1,U685="In"),W685,0)</f>
        <v/>
      </c>
    </row>
    <row r="686">
      <c r="B686" s="62" t="inlineStr">
        <is>
          <t>TX-0680</t>
        </is>
      </c>
      <c r="C686" s="63" t="n"/>
      <c r="D686" s="62" t="n"/>
      <c r="E686" s="62" t="n"/>
      <c r="F686" s="62" t="n"/>
      <c r="G686" s="62" t="n"/>
      <c r="H686" s="62" t="n"/>
      <c r="I686" s="62" t="n"/>
      <c r="J686" s="62" t="n"/>
      <c r="K686" s="62" t="n"/>
      <c r="L686" s="64" t="n"/>
      <c r="M686" s="64" t="n"/>
      <c r="N686" s="62" t="n"/>
      <c r="O686" s="65">
        <f>IF(Z686=1,L686-W686,"")</f>
        <v/>
      </c>
      <c r="P686" s="66">
        <f>IF(V686="","",IFERROR(INDEX(coa_Type,MATCH(V686,coa_Name,0)),""))</f>
        <v/>
      </c>
      <c r="Q686" s="66">
        <f>IF(Z686=1,IF(U686="In",K686&amp;"",V686),"")</f>
        <v/>
      </c>
      <c r="R686" s="66">
        <f>IF(Z686=1,IF(U686="In",V686,K686&amp;""),"")</f>
        <v/>
      </c>
      <c r="S686" s="66">
        <f>IF(X686&lt;&gt;"","⛔ "&amp;X686&amp;" — not posted",IF(Y686&lt;&gt;"","⚠ "&amp;Y686,IF(Z686=1,"✓ OK","")))</f>
        <v/>
      </c>
      <c r="T686" s="67">
        <f>IF(AND(C686="",D686="",E686="",L686="",K686=""),1,0)</f>
        <v/>
      </c>
      <c r="U686" s="67">
        <f>IFERROR(INDEX(tt_Dir,MATCH(D686,tt_Type,0)),"")</f>
        <v/>
      </c>
      <c r="V686" s="67">
        <f>IF(D686="","",IFERROR(IF(INDEX(tt_Other,MATCH(D686,tt_Type,0))="",E686&amp;"",INDEX(tt_Other,MATCH(D686,tt_Type,0))),""))</f>
        <v/>
      </c>
      <c r="W686" s="68">
        <f>IF(OR(TaxOn&lt;&gt;"Yes",NOT(ISNUMBER(M686))),0,IF(IFERROR(INDEX(tt_Tax,MATCH(D686,tt_Type,0)),"No")="Yes",M686,0))</f>
        <v/>
      </c>
      <c r="X686" s="67">
        <f>IF(T686=1,"",IF(C686="","Missing transaction date",IF(NOT(ISNUMBER(C686)),"Invalid date",IF(OR(C686&lt;DATE(2000,1,1),C686&gt;DATE(2099,12,31)),"Invalid date",IF(D686="","Select a type",IF(U686="","Unknown type: "&amp;D686,IF(V686="","Select an account (Category)",IF(ISNA(MATCH(V686,coa_Name,0)),"Unknown account: "&amp;V686,IF(K686="","Select Paid From / Deposited To",IF(ISNA(MATCH(K686,coa_Name,0)),"Unknown account: "&amp;K686,IF(NOT(ISNUMBER(L686)),"Enter an amount",IF(L686=0,"Enter an amount",IF(ABS(W686)&gt;ABS(L686),"Tax is larger than the amount","")))))))))))))</f>
        <v/>
      </c>
      <c r="Y686" s="67">
        <f>IF(OR(T686=1,X686&lt;&gt;""),"",IF(AND(B686&lt;&gt;"",COUNTIF(tx_ID,B686)&gt;1),"Duplicate transaction ID",IF(AND(L686&lt;0,D686&lt;&gt;"Adjustment"),"Negative amount — check this entry",IF(AND(D686="Customer Payment",G686=""),"Add the customer",IF(AND(D686="Customer Payment",OR(J686="",COUNTIF(ar_No,J686&amp;"")=0)),"Invoice # in Reference not found on AR sheet",IF(AND(D686="Bill Payment",H686=""),"Add the vendor",IF(AND(D686="Bill Payment",OR(J686="",COUNTIFS(ap_No,J686&amp;"",ap_Party,H686&amp;"")=0)),"Bill # + vendor not found on AP sheet",IF(AND(ISNUMBER(M686),N(M686)&lt;&gt;0,W686=0),"Tax ignored (tax tracking off, or not allowed for this type)",IF(V686=K686&amp;"","Same account on both sides",IF(AND(ISNUMBER(StartDate),C686&lt;StartDate),"Date is before the accounting start date",IF(AND(D686&lt;&gt;"Adjustment",IFERROR(INDEX(coa_Pay,MATCH(K686&amp;"",coa_Name,0)),"")&lt;&gt;"Yes"),"Paid From / Deposited To is not a payment account","")))))))))))</f>
        <v/>
      </c>
      <c r="Z686" s="67">
        <f>IF(AND(T686=0,X686=""),1,0)</f>
        <v/>
      </c>
      <c r="AA686" s="68">
        <f>IF(Z686=1,IF(U686="In",L686,L686-W686),0)</f>
        <v/>
      </c>
      <c r="AB686" s="68">
        <f>IF(Z686=1,IF(U686="In",L686-W686,L686),0)</f>
        <v/>
      </c>
      <c r="AC686" s="68">
        <f>IF(AND(Z686=1,U686="Out"),W686,0)</f>
        <v/>
      </c>
      <c r="AD686" s="68">
        <f>IF(AND(Z686=1,U686="In"),W686,0)</f>
        <v/>
      </c>
    </row>
    <row r="687">
      <c r="B687" s="62" t="inlineStr">
        <is>
          <t>TX-0681</t>
        </is>
      </c>
      <c r="C687" s="63" t="n"/>
      <c r="D687" s="62" t="n"/>
      <c r="E687" s="62" t="n"/>
      <c r="F687" s="62" t="n"/>
      <c r="G687" s="62" t="n"/>
      <c r="H687" s="62" t="n"/>
      <c r="I687" s="62" t="n"/>
      <c r="J687" s="62" t="n"/>
      <c r="K687" s="62" t="n"/>
      <c r="L687" s="64" t="n"/>
      <c r="M687" s="64" t="n"/>
      <c r="N687" s="62" t="n"/>
      <c r="O687" s="65">
        <f>IF(Z687=1,L687-W687,"")</f>
        <v/>
      </c>
      <c r="P687" s="66">
        <f>IF(V687="","",IFERROR(INDEX(coa_Type,MATCH(V687,coa_Name,0)),""))</f>
        <v/>
      </c>
      <c r="Q687" s="66">
        <f>IF(Z687=1,IF(U687="In",K687&amp;"",V687),"")</f>
        <v/>
      </c>
      <c r="R687" s="66">
        <f>IF(Z687=1,IF(U687="In",V687,K687&amp;""),"")</f>
        <v/>
      </c>
      <c r="S687" s="66">
        <f>IF(X687&lt;&gt;"","⛔ "&amp;X687&amp;" — not posted",IF(Y687&lt;&gt;"","⚠ "&amp;Y687,IF(Z687=1,"✓ OK","")))</f>
        <v/>
      </c>
      <c r="T687" s="67">
        <f>IF(AND(C687="",D687="",E687="",L687="",K687=""),1,0)</f>
        <v/>
      </c>
      <c r="U687" s="67">
        <f>IFERROR(INDEX(tt_Dir,MATCH(D687,tt_Type,0)),"")</f>
        <v/>
      </c>
      <c r="V687" s="67">
        <f>IF(D687="","",IFERROR(IF(INDEX(tt_Other,MATCH(D687,tt_Type,0))="",E687&amp;"",INDEX(tt_Other,MATCH(D687,tt_Type,0))),""))</f>
        <v/>
      </c>
      <c r="W687" s="68">
        <f>IF(OR(TaxOn&lt;&gt;"Yes",NOT(ISNUMBER(M687))),0,IF(IFERROR(INDEX(tt_Tax,MATCH(D687,tt_Type,0)),"No")="Yes",M687,0))</f>
        <v/>
      </c>
      <c r="X687" s="67">
        <f>IF(T687=1,"",IF(C687="","Missing transaction date",IF(NOT(ISNUMBER(C687)),"Invalid date",IF(OR(C687&lt;DATE(2000,1,1),C687&gt;DATE(2099,12,31)),"Invalid date",IF(D687="","Select a type",IF(U687="","Unknown type: "&amp;D687,IF(V687="","Select an account (Category)",IF(ISNA(MATCH(V687,coa_Name,0)),"Unknown account: "&amp;V687,IF(K687="","Select Paid From / Deposited To",IF(ISNA(MATCH(K687,coa_Name,0)),"Unknown account: "&amp;K687,IF(NOT(ISNUMBER(L687)),"Enter an amount",IF(L687=0,"Enter an amount",IF(ABS(W687)&gt;ABS(L687),"Tax is larger than the amount","")))))))))))))</f>
        <v/>
      </c>
      <c r="Y687" s="67">
        <f>IF(OR(T687=1,X687&lt;&gt;""),"",IF(AND(B687&lt;&gt;"",COUNTIF(tx_ID,B687)&gt;1),"Duplicate transaction ID",IF(AND(L687&lt;0,D687&lt;&gt;"Adjustment"),"Negative amount — check this entry",IF(AND(D687="Customer Payment",G687=""),"Add the customer",IF(AND(D687="Customer Payment",OR(J687="",COUNTIF(ar_No,J687&amp;"")=0)),"Invoice # in Reference not found on AR sheet",IF(AND(D687="Bill Payment",H687=""),"Add the vendor",IF(AND(D687="Bill Payment",OR(J687="",COUNTIFS(ap_No,J687&amp;"",ap_Party,H687&amp;"")=0)),"Bill # + vendor not found on AP sheet",IF(AND(ISNUMBER(M687),N(M687)&lt;&gt;0,W687=0),"Tax ignored (tax tracking off, or not allowed for this type)",IF(V687=K687&amp;"","Same account on both sides",IF(AND(ISNUMBER(StartDate),C687&lt;StartDate),"Date is before the accounting start date",IF(AND(D687&lt;&gt;"Adjustment",IFERROR(INDEX(coa_Pay,MATCH(K687&amp;"",coa_Name,0)),"")&lt;&gt;"Yes"),"Paid From / Deposited To is not a payment account","")))))))))))</f>
        <v/>
      </c>
      <c r="Z687" s="67">
        <f>IF(AND(T687=0,X687=""),1,0)</f>
        <v/>
      </c>
      <c r="AA687" s="68">
        <f>IF(Z687=1,IF(U687="In",L687,L687-W687),0)</f>
        <v/>
      </c>
      <c r="AB687" s="68">
        <f>IF(Z687=1,IF(U687="In",L687-W687,L687),0)</f>
        <v/>
      </c>
      <c r="AC687" s="68">
        <f>IF(AND(Z687=1,U687="Out"),W687,0)</f>
        <v/>
      </c>
      <c r="AD687" s="68">
        <f>IF(AND(Z687=1,U687="In"),W687,0)</f>
        <v/>
      </c>
    </row>
    <row r="688">
      <c r="B688" s="62" t="inlineStr">
        <is>
          <t>TX-0682</t>
        </is>
      </c>
      <c r="C688" s="63" t="n"/>
      <c r="D688" s="62" t="n"/>
      <c r="E688" s="62" t="n"/>
      <c r="F688" s="62" t="n"/>
      <c r="G688" s="62" t="n"/>
      <c r="H688" s="62" t="n"/>
      <c r="I688" s="62" t="n"/>
      <c r="J688" s="62" t="n"/>
      <c r="K688" s="62" t="n"/>
      <c r="L688" s="64" t="n"/>
      <c r="M688" s="64" t="n"/>
      <c r="N688" s="62" t="n"/>
      <c r="O688" s="65">
        <f>IF(Z688=1,L688-W688,"")</f>
        <v/>
      </c>
      <c r="P688" s="66">
        <f>IF(V688="","",IFERROR(INDEX(coa_Type,MATCH(V688,coa_Name,0)),""))</f>
        <v/>
      </c>
      <c r="Q688" s="66">
        <f>IF(Z688=1,IF(U688="In",K688&amp;"",V688),"")</f>
        <v/>
      </c>
      <c r="R688" s="66">
        <f>IF(Z688=1,IF(U688="In",V688,K688&amp;""),"")</f>
        <v/>
      </c>
      <c r="S688" s="66">
        <f>IF(X688&lt;&gt;"","⛔ "&amp;X688&amp;" — not posted",IF(Y688&lt;&gt;"","⚠ "&amp;Y688,IF(Z688=1,"✓ OK","")))</f>
        <v/>
      </c>
      <c r="T688" s="67">
        <f>IF(AND(C688="",D688="",E688="",L688="",K688=""),1,0)</f>
        <v/>
      </c>
      <c r="U688" s="67">
        <f>IFERROR(INDEX(tt_Dir,MATCH(D688,tt_Type,0)),"")</f>
        <v/>
      </c>
      <c r="V688" s="67">
        <f>IF(D688="","",IFERROR(IF(INDEX(tt_Other,MATCH(D688,tt_Type,0))="",E688&amp;"",INDEX(tt_Other,MATCH(D688,tt_Type,0))),""))</f>
        <v/>
      </c>
      <c r="W688" s="68">
        <f>IF(OR(TaxOn&lt;&gt;"Yes",NOT(ISNUMBER(M688))),0,IF(IFERROR(INDEX(tt_Tax,MATCH(D688,tt_Type,0)),"No")="Yes",M688,0))</f>
        <v/>
      </c>
      <c r="X688" s="67">
        <f>IF(T688=1,"",IF(C688="","Missing transaction date",IF(NOT(ISNUMBER(C688)),"Invalid date",IF(OR(C688&lt;DATE(2000,1,1),C688&gt;DATE(2099,12,31)),"Invalid date",IF(D688="","Select a type",IF(U688="","Unknown type: "&amp;D688,IF(V688="","Select an account (Category)",IF(ISNA(MATCH(V688,coa_Name,0)),"Unknown account: "&amp;V688,IF(K688="","Select Paid From / Deposited To",IF(ISNA(MATCH(K688,coa_Name,0)),"Unknown account: "&amp;K688,IF(NOT(ISNUMBER(L688)),"Enter an amount",IF(L688=0,"Enter an amount",IF(ABS(W688)&gt;ABS(L688),"Tax is larger than the amount","")))))))))))))</f>
        <v/>
      </c>
      <c r="Y688" s="67">
        <f>IF(OR(T688=1,X688&lt;&gt;""),"",IF(AND(B688&lt;&gt;"",COUNTIF(tx_ID,B688)&gt;1),"Duplicate transaction ID",IF(AND(L688&lt;0,D688&lt;&gt;"Adjustment"),"Negative amount — check this entry",IF(AND(D688="Customer Payment",G688=""),"Add the customer",IF(AND(D688="Customer Payment",OR(J688="",COUNTIF(ar_No,J688&amp;"")=0)),"Invoice # in Reference not found on AR sheet",IF(AND(D688="Bill Payment",H688=""),"Add the vendor",IF(AND(D688="Bill Payment",OR(J688="",COUNTIFS(ap_No,J688&amp;"",ap_Party,H688&amp;"")=0)),"Bill # + vendor not found on AP sheet",IF(AND(ISNUMBER(M688),N(M688)&lt;&gt;0,W688=0),"Tax ignored (tax tracking off, or not allowed for this type)",IF(V688=K688&amp;"","Same account on both sides",IF(AND(ISNUMBER(StartDate),C688&lt;StartDate),"Date is before the accounting start date",IF(AND(D688&lt;&gt;"Adjustment",IFERROR(INDEX(coa_Pay,MATCH(K688&amp;"",coa_Name,0)),"")&lt;&gt;"Yes"),"Paid From / Deposited To is not a payment account","")))))))))))</f>
        <v/>
      </c>
      <c r="Z688" s="67">
        <f>IF(AND(T688=0,X688=""),1,0)</f>
        <v/>
      </c>
      <c r="AA688" s="68">
        <f>IF(Z688=1,IF(U688="In",L688,L688-W688),0)</f>
        <v/>
      </c>
      <c r="AB688" s="68">
        <f>IF(Z688=1,IF(U688="In",L688-W688,L688),0)</f>
        <v/>
      </c>
      <c r="AC688" s="68">
        <f>IF(AND(Z688=1,U688="Out"),W688,0)</f>
        <v/>
      </c>
      <c r="AD688" s="68">
        <f>IF(AND(Z688=1,U688="In"),W688,0)</f>
        <v/>
      </c>
    </row>
    <row r="689">
      <c r="B689" s="62" t="inlineStr">
        <is>
          <t>TX-0683</t>
        </is>
      </c>
      <c r="C689" s="63" t="n"/>
      <c r="D689" s="62" t="n"/>
      <c r="E689" s="62" t="n"/>
      <c r="F689" s="62" t="n"/>
      <c r="G689" s="62" t="n"/>
      <c r="H689" s="62" t="n"/>
      <c r="I689" s="62" t="n"/>
      <c r="J689" s="62" t="n"/>
      <c r="K689" s="62" t="n"/>
      <c r="L689" s="64" t="n"/>
      <c r="M689" s="64" t="n"/>
      <c r="N689" s="62" t="n"/>
      <c r="O689" s="65">
        <f>IF(Z689=1,L689-W689,"")</f>
        <v/>
      </c>
      <c r="P689" s="66">
        <f>IF(V689="","",IFERROR(INDEX(coa_Type,MATCH(V689,coa_Name,0)),""))</f>
        <v/>
      </c>
      <c r="Q689" s="66">
        <f>IF(Z689=1,IF(U689="In",K689&amp;"",V689),"")</f>
        <v/>
      </c>
      <c r="R689" s="66">
        <f>IF(Z689=1,IF(U689="In",V689,K689&amp;""),"")</f>
        <v/>
      </c>
      <c r="S689" s="66">
        <f>IF(X689&lt;&gt;"","⛔ "&amp;X689&amp;" — not posted",IF(Y689&lt;&gt;"","⚠ "&amp;Y689,IF(Z689=1,"✓ OK","")))</f>
        <v/>
      </c>
      <c r="T689" s="67">
        <f>IF(AND(C689="",D689="",E689="",L689="",K689=""),1,0)</f>
        <v/>
      </c>
      <c r="U689" s="67">
        <f>IFERROR(INDEX(tt_Dir,MATCH(D689,tt_Type,0)),"")</f>
        <v/>
      </c>
      <c r="V689" s="67">
        <f>IF(D689="","",IFERROR(IF(INDEX(tt_Other,MATCH(D689,tt_Type,0))="",E689&amp;"",INDEX(tt_Other,MATCH(D689,tt_Type,0))),""))</f>
        <v/>
      </c>
      <c r="W689" s="68">
        <f>IF(OR(TaxOn&lt;&gt;"Yes",NOT(ISNUMBER(M689))),0,IF(IFERROR(INDEX(tt_Tax,MATCH(D689,tt_Type,0)),"No")="Yes",M689,0))</f>
        <v/>
      </c>
      <c r="X689" s="67">
        <f>IF(T689=1,"",IF(C689="","Missing transaction date",IF(NOT(ISNUMBER(C689)),"Invalid date",IF(OR(C689&lt;DATE(2000,1,1),C689&gt;DATE(2099,12,31)),"Invalid date",IF(D689="","Select a type",IF(U689="","Unknown type: "&amp;D689,IF(V689="","Select an account (Category)",IF(ISNA(MATCH(V689,coa_Name,0)),"Unknown account: "&amp;V689,IF(K689="","Select Paid From / Deposited To",IF(ISNA(MATCH(K689,coa_Name,0)),"Unknown account: "&amp;K689,IF(NOT(ISNUMBER(L689)),"Enter an amount",IF(L689=0,"Enter an amount",IF(ABS(W689)&gt;ABS(L689),"Tax is larger than the amount","")))))))))))))</f>
        <v/>
      </c>
      <c r="Y689" s="67">
        <f>IF(OR(T689=1,X689&lt;&gt;""),"",IF(AND(B689&lt;&gt;"",COUNTIF(tx_ID,B689)&gt;1),"Duplicate transaction ID",IF(AND(L689&lt;0,D689&lt;&gt;"Adjustment"),"Negative amount — check this entry",IF(AND(D689="Customer Payment",G689=""),"Add the customer",IF(AND(D689="Customer Payment",OR(J689="",COUNTIF(ar_No,J689&amp;"")=0)),"Invoice # in Reference not found on AR sheet",IF(AND(D689="Bill Payment",H689=""),"Add the vendor",IF(AND(D689="Bill Payment",OR(J689="",COUNTIFS(ap_No,J689&amp;"",ap_Party,H689&amp;"")=0)),"Bill # + vendor not found on AP sheet",IF(AND(ISNUMBER(M689),N(M689)&lt;&gt;0,W689=0),"Tax ignored (tax tracking off, or not allowed for this type)",IF(V689=K689&amp;"","Same account on both sides",IF(AND(ISNUMBER(StartDate),C689&lt;StartDate),"Date is before the accounting start date",IF(AND(D689&lt;&gt;"Adjustment",IFERROR(INDEX(coa_Pay,MATCH(K689&amp;"",coa_Name,0)),"")&lt;&gt;"Yes"),"Paid From / Deposited To is not a payment account","")))))))))))</f>
        <v/>
      </c>
      <c r="Z689" s="67">
        <f>IF(AND(T689=0,X689=""),1,0)</f>
        <v/>
      </c>
      <c r="AA689" s="68">
        <f>IF(Z689=1,IF(U689="In",L689,L689-W689),0)</f>
        <v/>
      </c>
      <c r="AB689" s="68">
        <f>IF(Z689=1,IF(U689="In",L689-W689,L689),0)</f>
        <v/>
      </c>
      <c r="AC689" s="68">
        <f>IF(AND(Z689=1,U689="Out"),W689,0)</f>
        <v/>
      </c>
      <c r="AD689" s="68">
        <f>IF(AND(Z689=1,U689="In"),W689,0)</f>
        <v/>
      </c>
    </row>
    <row r="690">
      <c r="B690" s="62" t="inlineStr">
        <is>
          <t>TX-0684</t>
        </is>
      </c>
      <c r="C690" s="63" t="n"/>
      <c r="D690" s="62" t="n"/>
      <c r="E690" s="62" t="n"/>
      <c r="F690" s="62" t="n"/>
      <c r="G690" s="62" t="n"/>
      <c r="H690" s="62" t="n"/>
      <c r="I690" s="62" t="n"/>
      <c r="J690" s="62" t="n"/>
      <c r="K690" s="62" t="n"/>
      <c r="L690" s="64" t="n"/>
      <c r="M690" s="64" t="n"/>
      <c r="N690" s="62" t="n"/>
      <c r="O690" s="65">
        <f>IF(Z690=1,L690-W690,"")</f>
        <v/>
      </c>
      <c r="P690" s="66">
        <f>IF(V690="","",IFERROR(INDEX(coa_Type,MATCH(V690,coa_Name,0)),""))</f>
        <v/>
      </c>
      <c r="Q690" s="66">
        <f>IF(Z690=1,IF(U690="In",K690&amp;"",V690),"")</f>
        <v/>
      </c>
      <c r="R690" s="66">
        <f>IF(Z690=1,IF(U690="In",V690,K690&amp;""),"")</f>
        <v/>
      </c>
      <c r="S690" s="66">
        <f>IF(X690&lt;&gt;"","⛔ "&amp;X690&amp;" — not posted",IF(Y690&lt;&gt;"","⚠ "&amp;Y690,IF(Z690=1,"✓ OK","")))</f>
        <v/>
      </c>
      <c r="T690" s="67">
        <f>IF(AND(C690="",D690="",E690="",L690="",K690=""),1,0)</f>
        <v/>
      </c>
      <c r="U690" s="67">
        <f>IFERROR(INDEX(tt_Dir,MATCH(D690,tt_Type,0)),"")</f>
        <v/>
      </c>
      <c r="V690" s="67">
        <f>IF(D690="","",IFERROR(IF(INDEX(tt_Other,MATCH(D690,tt_Type,0))="",E690&amp;"",INDEX(tt_Other,MATCH(D690,tt_Type,0))),""))</f>
        <v/>
      </c>
      <c r="W690" s="68">
        <f>IF(OR(TaxOn&lt;&gt;"Yes",NOT(ISNUMBER(M690))),0,IF(IFERROR(INDEX(tt_Tax,MATCH(D690,tt_Type,0)),"No")="Yes",M690,0))</f>
        <v/>
      </c>
      <c r="X690" s="67">
        <f>IF(T690=1,"",IF(C690="","Missing transaction date",IF(NOT(ISNUMBER(C690)),"Invalid date",IF(OR(C690&lt;DATE(2000,1,1),C690&gt;DATE(2099,12,31)),"Invalid date",IF(D690="","Select a type",IF(U690="","Unknown type: "&amp;D690,IF(V690="","Select an account (Category)",IF(ISNA(MATCH(V690,coa_Name,0)),"Unknown account: "&amp;V690,IF(K690="","Select Paid From / Deposited To",IF(ISNA(MATCH(K690,coa_Name,0)),"Unknown account: "&amp;K690,IF(NOT(ISNUMBER(L690)),"Enter an amount",IF(L690=0,"Enter an amount",IF(ABS(W690)&gt;ABS(L690),"Tax is larger than the amount","")))))))))))))</f>
        <v/>
      </c>
      <c r="Y690" s="67">
        <f>IF(OR(T690=1,X690&lt;&gt;""),"",IF(AND(B690&lt;&gt;"",COUNTIF(tx_ID,B690)&gt;1),"Duplicate transaction ID",IF(AND(L690&lt;0,D690&lt;&gt;"Adjustment"),"Negative amount — check this entry",IF(AND(D690="Customer Payment",G690=""),"Add the customer",IF(AND(D690="Customer Payment",OR(J690="",COUNTIF(ar_No,J690&amp;"")=0)),"Invoice # in Reference not found on AR sheet",IF(AND(D690="Bill Payment",H690=""),"Add the vendor",IF(AND(D690="Bill Payment",OR(J690="",COUNTIFS(ap_No,J690&amp;"",ap_Party,H690&amp;"")=0)),"Bill # + vendor not found on AP sheet",IF(AND(ISNUMBER(M690),N(M690)&lt;&gt;0,W690=0),"Tax ignored (tax tracking off, or not allowed for this type)",IF(V690=K690&amp;"","Same account on both sides",IF(AND(ISNUMBER(StartDate),C690&lt;StartDate),"Date is before the accounting start date",IF(AND(D690&lt;&gt;"Adjustment",IFERROR(INDEX(coa_Pay,MATCH(K690&amp;"",coa_Name,0)),"")&lt;&gt;"Yes"),"Paid From / Deposited To is not a payment account","")))))))))))</f>
        <v/>
      </c>
      <c r="Z690" s="67">
        <f>IF(AND(T690=0,X690=""),1,0)</f>
        <v/>
      </c>
      <c r="AA690" s="68">
        <f>IF(Z690=1,IF(U690="In",L690,L690-W690),0)</f>
        <v/>
      </c>
      <c r="AB690" s="68">
        <f>IF(Z690=1,IF(U690="In",L690-W690,L690),0)</f>
        <v/>
      </c>
      <c r="AC690" s="68">
        <f>IF(AND(Z690=1,U690="Out"),W690,0)</f>
        <v/>
      </c>
      <c r="AD690" s="68">
        <f>IF(AND(Z690=1,U690="In"),W690,0)</f>
        <v/>
      </c>
    </row>
    <row r="691">
      <c r="B691" s="62" t="inlineStr">
        <is>
          <t>TX-0685</t>
        </is>
      </c>
      <c r="C691" s="63" t="n"/>
      <c r="D691" s="62" t="n"/>
      <c r="E691" s="62" t="n"/>
      <c r="F691" s="62" t="n"/>
      <c r="G691" s="62" t="n"/>
      <c r="H691" s="62" t="n"/>
      <c r="I691" s="62" t="n"/>
      <c r="J691" s="62" t="n"/>
      <c r="K691" s="62" t="n"/>
      <c r="L691" s="64" t="n"/>
      <c r="M691" s="64" t="n"/>
      <c r="N691" s="62" t="n"/>
      <c r="O691" s="65">
        <f>IF(Z691=1,L691-W691,"")</f>
        <v/>
      </c>
      <c r="P691" s="66">
        <f>IF(V691="","",IFERROR(INDEX(coa_Type,MATCH(V691,coa_Name,0)),""))</f>
        <v/>
      </c>
      <c r="Q691" s="66">
        <f>IF(Z691=1,IF(U691="In",K691&amp;"",V691),"")</f>
        <v/>
      </c>
      <c r="R691" s="66">
        <f>IF(Z691=1,IF(U691="In",V691,K691&amp;""),"")</f>
        <v/>
      </c>
      <c r="S691" s="66">
        <f>IF(X691&lt;&gt;"","⛔ "&amp;X691&amp;" — not posted",IF(Y691&lt;&gt;"","⚠ "&amp;Y691,IF(Z691=1,"✓ OK","")))</f>
        <v/>
      </c>
      <c r="T691" s="67">
        <f>IF(AND(C691="",D691="",E691="",L691="",K691=""),1,0)</f>
        <v/>
      </c>
      <c r="U691" s="67">
        <f>IFERROR(INDEX(tt_Dir,MATCH(D691,tt_Type,0)),"")</f>
        <v/>
      </c>
      <c r="V691" s="67">
        <f>IF(D691="","",IFERROR(IF(INDEX(tt_Other,MATCH(D691,tt_Type,0))="",E691&amp;"",INDEX(tt_Other,MATCH(D691,tt_Type,0))),""))</f>
        <v/>
      </c>
      <c r="W691" s="68">
        <f>IF(OR(TaxOn&lt;&gt;"Yes",NOT(ISNUMBER(M691))),0,IF(IFERROR(INDEX(tt_Tax,MATCH(D691,tt_Type,0)),"No")="Yes",M691,0))</f>
        <v/>
      </c>
      <c r="X691" s="67">
        <f>IF(T691=1,"",IF(C691="","Missing transaction date",IF(NOT(ISNUMBER(C691)),"Invalid date",IF(OR(C691&lt;DATE(2000,1,1),C691&gt;DATE(2099,12,31)),"Invalid date",IF(D691="","Select a type",IF(U691="","Unknown type: "&amp;D691,IF(V691="","Select an account (Category)",IF(ISNA(MATCH(V691,coa_Name,0)),"Unknown account: "&amp;V691,IF(K691="","Select Paid From / Deposited To",IF(ISNA(MATCH(K691,coa_Name,0)),"Unknown account: "&amp;K691,IF(NOT(ISNUMBER(L691)),"Enter an amount",IF(L691=0,"Enter an amount",IF(ABS(W691)&gt;ABS(L691),"Tax is larger than the amount","")))))))))))))</f>
        <v/>
      </c>
      <c r="Y691" s="67">
        <f>IF(OR(T691=1,X691&lt;&gt;""),"",IF(AND(B691&lt;&gt;"",COUNTIF(tx_ID,B691)&gt;1),"Duplicate transaction ID",IF(AND(L691&lt;0,D691&lt;&gt;"Adjustment"),"Negative amount — check this entry",IF(AND(D691="Customer Payment",G691=""),"Add the customer",IF(AND(D691="Customer Payment",OR(J691="",COUNTIF(ar_No,J691&amp;"")=0)),"Invoice # in Reference not found on AR sheet",IF(AND(D691="Bill Payment",H691=""),"Add the vendor",IF(AND(D691="Bill Payment",OR(J691="",COUNTIFS(ap_No,J691&amp;"",ap_Party,H691&amp;"")=0)),"Bill # + vendor not found on AP sheet",IF(AND(ISNUMBER(M691),N(M691)&lt;&gt;0,W691=0),"Tax ignored (tax tracking off, or not allowed for this type)",IF(V691=K691&amp;"","Same account on both sides",IF(AND(ISNUMBER(StartDate),C691&lt;StartDate),"Date is before the accounting start date",IF(AND(D691&lt;&gt;"Adjustment",IFERROR(INDEX(coa_Pay,MATCH(K691&amp;"",coa_Name,0)),"")&lt;&gt;"Yes"),"Paid From / Deposited To is not a payment account","")))))))))))</f>
        <v/>
      </c>
      <c r="Z691" s="67">
        <f>IF(AND(T691=0,X691=""),1,0)</f>
        <v/>
      </c>
      <c r="AA691" s="68">
        <f>IF(Z691=1,IF(U691="In",L691,L691-W691),0)</f>
        <v/>
      </c>
      <c r="AB691" s="68">
        <f>IF(Z691=1,IF(U691="In",L691-W691,L691),0)</f>
        <v/>
      </c>
      <c r="AC691" s="68">
        <f>IF(AND(Z691=1,U691="Out"),W691,0)</f>
        <v/>
      </c>
      <c r="AD691" s="68">
        <f>IF(AND(Z691=1,U691="In"),W691,0)</f>
        <v/>
      </c>
    </row>
    <row r="692">
      <c r="B692" s="62" t="inlineStr">
        <is>
          <t>TX-0686</t>
        </is>
      </c>
      <c r="C692" s="63" t="n"/>
      <c r="D692" s="62" t="n"/>
      <c r="E692" s="62" t="n"/>
      <c r="F692" s="62" t="n"/>
      <c r="G692" s="62" t="n"/>
      <c r="H692" s="62" t="n"/>
      <c r="I692" s="62" t="n"/>
      <c r="J692" s="62" t="n"/>
      <c r="K692" s="62" t="n"/>
      <c r="L692" s="64" t="n"/>
      <c r="M692" s="64" t="n"/>
      <c r="N692" s="62" t="n"/>
      <c r="O692" s="65">
        <f>IF(Z692=1,L692-W692,"")</f>
        <v/>
      </c>
      <c r="P692" s="66">
        <f>IF(V692="","",IFERROR(INDEX(coa_Type,MATCH(V692,coa_Name,0)),""))</f>
        <v/>
      </c>
      <c r="Q692" s="66">
        <f>IF(Z692=1,IF(U692="In",K692&amp;"",V692),"")</f>
        <v/>
      </c>
      <c r="R692" s="66">
        <f>IF(Z692=1,IF(U692="In",V692,K692&amp;""),"")</f>
        <v/>
      </c>
      <c r="S692" s="66">
        <f>IF(X692&lt;&gt;"","⛔ "&amp;X692&amp;" — not posted",IF(Y692&lt;&gt;"","⚠ "&amp;Y692,IF(Z692=1,"✓ OK","")))</f>
        <v/>
      </c>
      <c r="T692" s="67">
        <f>IF(AND(C692="",D692="",E692="",L692="",K692=""),1,0)</f>
        <v/>
      </c>
      <c r="U692" s="67">
        <f>IFERROR(INDEX(tt_Dir,MATCH(D692,tt_Type,0)),"")</f>
        <v/>
      </c>
      <c r="V692" s="67">
        <f>IF(D692="","",IFERROR(IF(INDEX(tt_Other,MATCH(D692,tt_Type,0))="",E692&amp;"",INDEX(tt_Other,MATCH(D692,tt_Type,0))),""))</f>
        <v/>
      </c>
      <c r="W692" s="68">
        <f>IF(OR(TaxOn&lt;&gt;"Yes",NOT(ISNUMBER(M692))),0,IF(IFERROR(INDEX(tt_Tax,MATCH(D692,tt_Type,0)),"No")="Yes",M692,0))</f>
        <v/>
      </c>
      <c r="X692" s="67">
        <f>IF(T692=1,"",IF(C692="","Missing transaction date",IF(NOT(ISNUMBER(C692)),"Invalid date",IF(OR(C692&lt;DATE(2000,1,1),C692&gt;DATE(2099,12,31)),"Invalid date",IF(D692="","Select a type",IF(U692="","Unknown type: "&amp;D692,IF(V692="","Select an account (Category)",IF(ISNA(MATCH(V692,coa_Name,0)),"Unknown account: "&amp;V692,IF(K692="","Select Paid From / Deposited To",IF(ISNA(MATCH(K692,coa_Name,0)),"Unknown account: "&amp;K692,IF(NOT(ISNUMBER(L692)),"Enter an amount",IF(L692=0,"Enter an amount",IF(ABS(W692)&gt;ABS(L692),"Tax is larger than the amount","")))))))))))))</f>
        <v/>
      </c>
      <c r="Y692" s="67">
        <f>IF(OR(T692=1,X692&lt;&gt;""),"",IF(AND(B692&lt;&gt;"",COUNTIF(tx_ID,B692)&gt;1),"Duplicate transaction ID",IF(AND(L692&lt;0,D692&lt;&gt;"Adjustment"),"Negative amount — check this entry",IF(AND(D692="Customer Payment",G692=""),"Add the customer",IF(AND(D692="Customer Payment",OR(J692="",COUNTIF(ar_No,J692&amp;"")=0)),"Invoice # in Reference not found on AR sheet",IF(AND(D692="Bill Payment",H692=""),"Add the vendor",IF(AND(D692="Bill Payment",OR(J692="",COUNTIFS(ap_No,J692&amp;"",ap_Party,H692&amp;"")=0)),"Bill # + vendor not found on AP sheet",IF(AND(ISNUMBER(M692),N(M692)&lt;&gt;0,W692=0),"Tax ignored (tax tracking off, or not allowed for this type)",IF(V692=K692&amp;"","Same account on both sides",IF(AND(ISNUMBER(StartDate),C692&lt;StartDate),"Date is before the accounting start date",IF(AND(D692&lt;&gt;"Adjustment",IFERROR(INDEX(coa_Pay,MATCH(K692&amp;"",coa_Name,0)),"")&lt;&gt;"Yes"),"Paid From / Deposited To is not a payment account","")))))))))))</f>
        <v/>
      </c>
      <c r="Z692" s="67">
        <f>IF(AND(T692=0,X692=""),1,0)</f>
        <v/>
      </c>
      <c r="AA692" s="68">
        <f>IF(Z692=1,IF(U692="In",L692,L692-W692),0)</f>
        <v/>
      </c>
      <c r="AB692" s="68">
        <f>IF(Z692=1,IF(U692="In",L692-W692,L692),0)</f>
        <v/>
      </c>
      <c r="AC692" s="68">
        <f>IF(AND(Z692=1,U692="Out"),W692,0)</f>
        <v/>
      </c>
      <c r="AD692" s="68">
        <f>IF(AND(Z692=1,U692="In"),W692,0)</f>
        <v/>
      </c>
    </row>
    <row r="693">
      <c r="B693" s="62" t="inlineStr">
        <is>
          <t>TX-0687</t>
        </is>
      </c>
      <c r="C693" s="63" t="n"/>
      <c r="D693" s="62" t="n"/>
      <c r="E693" s="62" t="n"/>
      <c r="F693" s="62" t="n"/>
      <c r="G693" s="62" t="n"/>
      <c r="H693" s="62" t="n"/>
      <c r="I693" s="62" t="n"/>
      <c r="J693" s="62" t="n"/>
      <c r="K693" s="62" t="n"/>
      <c r="L693" s="64" t="n"/>
      <c r="M693" s="64" t="n"/>
      <c r="N693" s="62" t="n"/>
      <c r="O693" s="65">
        <f>IF(Z693=1,L693-W693,"")</f>
        <v/>
      </c>
      <c r="P693" s="66">
        <f>IF(V693="","",IFERROR(INDEX(coa_Type,MATCH(V693,coa_Name,0)),""))</f>
        <v/>
      </c>
      <c r="Q693" s="66">
        <f>IF(Z693=1,IF(U693="In",K693&amp;"",V693),"")</f>
        <v/>
      </c>
      <c r="R693" s="66">
        <f>IF(Z693=1,IF(U693="In",V693,K693&amp;""),"")</f>
        <v/>
      </c>
      <c r="S693" s="66">
        <f>IF(X693&lt;&gt;"","⛔ "&amp;X693&amp;" — not posted",IF(Y693&lt;&gt;"","⚠ "&amp;Y693,IF(Z693=1,"✓ OK","")))</f>
        <v/>
      </c>
      <c r="T693" s="67">
        <f>IF(AND(C693="",D693="",E693="",L693="",K693=""),1,0)</f>
        <v/>
      </c>
      <c r="U693" s="67">
        <f>IFERROR(INDEX(tt_Dir,MATCH(D693,tt_Type,0)),"")</f>
        <v/>
      </c>
      <c r="V693" s="67">
        <f>IF(D693="","",IFERROR(IF(INDEX(tt_Other,MATCH(D693,tt_Type,0))="",E693&amp;"",INDEX(tt_Other,MATCH(D693,tt_Type,0))),""))</f>
        <v/>
      </c>
      <c r="W693" s="68">
        <f>IF(OR(TaxOn&lt;&gt;"Yes",NOT(ISNUMBER(M693))),0,IF(IFERROR(INDEX(tt_Tax,MATCH(D693,tt_Type,0)),"No")="Yes",M693,0))</f>
        <v/>
      </c>
      <c r="X693" s="67">
        <f>IF(T693=1,"",IF(C693="","Missing transaction date",IF(NOT(ISNUMBER(C693)),"Invalid date",IF(OR(C693&lt;DATE(2000,1,1),C693&gt;DATE(2099,12,31)),"Invalid date",IF(D693="","Select a type",IF(U693="","Unknown type: "&amp;D693,IF(V693="","Select an account (Category)",IF(ISNA(MATCH(V693,coa_Name,0)),"Unknown account: "&amp;V693,IF(K693="","Select Paid From / Deposited To",IF(ISNA(MATCH(K693,coa_Name,0)),"Unknown account: "&amp;K693,IF(NOT(ISNUMBER(L693)),"Enter an amount",IF(L693=0,"Enter an amount",IF(ABS(W693)&gt;ABS(L693),"Tax is larger than the amount","")))))))))))))</f>
        <v/>
      </c>
      <c r="Y693" s="67">
        <f>IF(OR(T693=1,X693&lt;&gt;""),"",IF(AND(B693&lt;&gt;"",COUNTIF(tx_ID,B693)&gt;1),"Duplicate transaction ID",IF(AND(L693&lt;0,D693&lt;&gt;"Adjustment"),"Negative amount — check this entry",IF(AND(D693="Customer Payment",G693=""),"Add the customer",IF(AND(D693="Customer Payment",OR(J693="",COUNTIF(ar_No,J693&amp;"")=0)),"Invoice # in Reference not found on AR sheet",IF(AND(D693="Bill Payment",H693=""),"Add the vendor",IF(AND(D693="Bill Payment",OR(J693="",COUNTIFS(ap_No,J693&amp;"",ap_Party,H693&amp;"")=0)),"Bill # + vendor not found on AP sheet",IF(AND(ISNUMBER(M693),N(M693)&lt;&gt;0,W693=0),"Tax ignored (tax tracking off, or not allowed for this type)",IF(V693=K693&amp;"","Same account on both sides",IF(AND(ISNUMBER(StartDate),C693&lt;StartDate),"Date is before the accounting start date",IF(AND(D693&lt;&gt;"Adjustment",IFERROR(INDEX(coa_Pay,MATCH(K693&amp;"",coa_Name,0)),"")&lt;&gt;"Yes"),"Paid From / Deposited To is not a payment account","")))))))))))</f>
        <v/>
      </c>
      <c r="Z693" s="67">
        <f>IF(AND(T693=0,X693=""),1,0)</f>
        <v/>
      </c>
      <c r="AA693" s="68">
        <f>IF(Z693=1,IF(U693="In",L693,L693-W693),0)</f>
        <v/>
      </c>
      <c r="AB693" s="68">
        <f>IF(Z693=1,IF(U693="In",L693-W693,L693),0)</f>
        <v/>
      </c>
      <c r="AC693" s="68">
        <f>IF(AND(Z693=1,U693="Out"),W693,0)</f>
        <v/>
      </c>
      <c r="AD693" s="68">
        <f>IF(AND(Z693=1,U693="In"),W693,0)</f>
        <v/>
      </c>
    </row>
    <row r="694">
      <c r="B694" s="62" t="inlineStr">
        <is>
          <t>TX-0688</t>
        </is>
      </c>
      <c r="C694" s="63" t="n"/>
      <c r="D694" s="62" t="n"/>
      <c r="E694" s="62" t="n"/>
      <c r="F694" s="62" t="n"/>
      <c r="G694" s="62" t="n"/>
      <c r="H694" s="62" t="n"/>
      <c r="I694" s="62" t="n"/>
      <c r="J694" s="62" t="n"/>
      <c r="K694" s="62" t="n"/>
      <c r="L694" s="64" t="n"/>
      <c r="M694" s="64" t="n"/>
      <c r="N694" s="62" t="n"/>
      <c r="O694" s="65">
        <f>IF(Z694=1,L694-W694,"")</f>
        <v/>
      </c>
      <c r="P694" s="66">
        <f>IF(V694="","",IFERROR(INDEX(coa_Type,MATCH(V694,coa_Name,0)),""))</f>
        <v/>
      </c>
      <c r="Q694" s="66">
        <f>IF(Z694=1,IF(U694="In",K694&amp;"",V694),"")</f>
        <v/>
      </c>
      <c r="R694" s="66">
        <f>IF(Z694=1,IF(U694="In",V694,K694&amp;""),"")</f>
        <v/>
      </c>
      <c r="S694" s="66">
        <f>IF(X694&lt;&gt;"","⛔ "&amp;X694&amp;" — not posted",IF(Y694&lt;&gt;"","⚠ "&amp;Y694,IF(Z694=1,"✓ OK","")))</f>
        <v/>
      </c>
      <c r="T694" s="67">
        <f>IF(AND(C694="",D694="",E694="",L694="",K694=""),1,0)</f>
        <v/>
      </c>
      <c r="U694" s="67">
        <f>IFERROR(INDEX(tt_Dir,MATCH(D694,tt_Type,0)),"")</f>
        <v/>
      </c>
      <c r="V694" s="67">
        <f>IF(D694="","",IFERROR(IF(INDEX(tt_Other,MATCH(D694,tt_Type,0))="",E694&amp;"",INDEX(tt_Other,MATCH(D694,tt_Type,0))),""))</f>
        <v/>
      </c>
      <c r="W694" s="68">
        <f>IF(OR(TaxOn&lt;&gt;"Yes",NOT(ISNUMBER(M694))),0,IF(IFERROR(INDEX(tt_Tax,MATCH(D694,tt_Type,0)),"No")="Yes",M694,0))</f>
        <v/>
      </c>
      <c r="X694" s="67">
        <f>IF(T694=1,"",IF(C694="","Missing transaction date",IF(NOT(ISNUMBER(C694)),"Invalid date",IF(OR(C694&lt;DATE(2000,1,1),C694&gt;DATE(2099,12,31)),"Invalid date",IF(D694="","Select a type",IF(U694="","Unknown type: "&amp;D694,IF(V694="","Select an account (Category)",IF(ISNA(MATCH(V694,coa_Name,0)),"Unknown account: "&amp;V694,IF(K694="","Select Paid From / Deposited To",IF(ISNA(MATCH(K694,coa_Name,0)),"Unknown account: "&amp;K694,IF(NOT(ISNUMBER(L694)),"Enter an amount",IF(L694=0,"Enter an amount",IF(ABS(W694)&gt;ABS(L694),"Tax is larger than the amount","")))))))))))))</f>
        <v/>
      </c>
      <c r="Y694" s="67">
        <f>IF(OR(T694=1,X694&lt;&gt;""),"",IF(AND(B694&lt;&gt;"",COUNTIF(tx_ID,B694)&gt;1),"Duplicate transaction ID",IF(AND(L694&lt;0,D694&lt;&gt;"Adjustment"),"Negative amount — check this entry",IF(AND(D694="Customer Payment",G694=""),"Add the customer",IF(AND(D694="Customer Payment",OR(J694="",COUNTIF(ar_No,J694&amp;"")=0)),"Invoice # in Reference not found on AR sheet",IF(AND(D694="Bill Payment",H694=""),"Add the vendor",IF(AND(D694="Bill Payment",OR(J694="",COUNTIFS(ap_No,J694&amp;"",ap_Party,H694&amp;"")=0)),"Bill # + vendor not found on AP sheet",IF(AND(ISNUMBER(M694),N(M694)&lt;&gt;0,W694=0),"Tax ignored (tax tracking off, or not allowed for this type)",IF(V694=K694&amp;"","Same account on both sides",IF(AND(ISNUMBER(StartDate),C694&lt;StartDate),"Date is before the accounting start date",IF(AND(D694&lt;&gt;"Adjustment",IFERROR(INDEX(coa_Pay,MATCH(K694&amp;"",coa_Name,0)),"")&lt;&gt;"Yes"),"Paid From / Deposited To is not a payment account","")))))))))))</f>
        <v/>
      </c>
      <c r="Z694" s="67">
        <f>IF(AND(T694=0,X694=""),1,0)</f>
        <v/>
      </c>
      <c r="AA694" s="68">
        <f>IF(Z694=1,IF(U694="In",L694,L694-W694),0)</f>
        <v/>
      </c>
      <c r="AB694" s="68">
        <f>IF(Z694=1,IF(U694="In",L694-W694,L694),0)</f>
        <v/>
      </c>
      <c r="AC694" s="68">
        <f>IF(AND(Z694=1,U694="Out"),W694,0)</f>
        <v/>
      </c>
      <c r="AD694" s="68">
        <f>IF(AND(Z694=1,U694="In"),W694,0)</f>
        <v/>
      </c>
    </row>
    <row r="695">
      <c r="B695" s="62" t="inlineStr">
        <is>
          <t>TX-0689</t>
        </is>
      </c>
      <c r="C695" s="63" t="n"/>
      <c r="D695" s="62" t="n"/>
      <c r="E695" s="62" t="n"/>
      <c r="F695" s="62" t="n"/>
      <c r="G695" s="62" t="n"/>
      <c r="H695" s="62" t="n"/>
      <c r="I695" s="62" t="n"/>
      <c r="J695" s="62" t="n"/>
      <c r="K695" s="62" t="n"/>
      <c r="L695" s="64" t="n"/>
      <c r="M695" s="64" t="n"/>
      <c r="N695" s="62" t="n"/>
      <c r="O695" s="65">
        <f>IF(Z695=1,L695-W695,"")</f>
        <v/>
      </c>
      <c r="P695" s="66">
        <f>IF(V695="","",IFERROR(INDEX(coa_Type,MATCH(V695,coa_Name,0)),""))</f>
        <v/>
      </c>
      <c r="Q695" s="66">
        <f>IF(Z695=1,IF(U695="In",K695&amp;"",V695),"")</f>
        <v/>
      </c>
      <c r="R695" s="66">
        <f>IF(Z695=1,IF(U695="In",V695,K695&amp;""),"")</f>
        <v/>
      </c>
      <c r="S695" s="66">
        <f>IF(X695&lt;&gt;"","⛔ "&amp;X695&amp;" — not posted",IF(Y695&lt;&gt;"","⚠ "&amp;Y695,IF(Z695=1,"✓ OK","")))</f>
        <v/>
      </c>
      <c r="T695" s="67">
        <f>IF(AND(C695="",D695="",E695="",L695="",K695=""),1,0)</f>
        <v/>
      </c>
      <c r="U695" s="67">
        <f>IFERROR(INDEX(tt_Dir,MATCH(D695,tt_Type,0)),"")</f>
        <v/>
      </c>
      <c r="V695" s="67">
        <f>IF(D695="","",IFERROR(IF(INDEX(tt_Other,MATCH(D695,tt_Type,0))="",E695&amp;"",INDEX(tt_Other,MATCH(D695,tt_Type,0))),""))</f>
        <v/>
      </c>
      <c r="W695" s="68">
        <f>IF(OR(TaxOn&lt;&gt;"Yes",NOT(ISNUMBER(M695))),0,IF(IFERROR(INDEX(tt_Tax,MATCH(D695,tt_Type,0)),"No")="Yes",M695,0))</f>
        <v/>
      </c>
      <c r="X695" s="67">
        <f>IF(T695=1,"",IF(C695="","Missing transaction date",IF(NOT(ISNUMBER(C695)),"Invalid date",IF(OR(C695&lt;DATE(2000,1,1),C695&gt;DATE(2099,12,31)),"Invalid date",IF(D695="","Select a type",IF(U695="","Unknown type: "&amp;D695,IF(V695="","Select an account (Category)",IF(ISNA(MATCH(V695,coa_Name,0)),"Unknown account: "&amp;V695,IF(K695="","Select Paid From / Deposited To",IF(ISNA(MATCH(K695,coa_Name,0)),"Unknown account: "&amp;K695,IF(NOT(ISNUMBER(L695)),"Enter an amount",IF(L695=0,"Enter an amount",IF(ABS(W695)&gt;ABS(L695),"Tax is larger than the amount","")))))))))))))</f>
        <v/>
      </c>
      <c r="Y695" s="67">
        <f>IF(OR(T695=1,X695&lt;&gt;""),"",IF(AND(B695&lt;&gt;"",COUNTIF(tx_ID,B695)&gt;1),"Duplicate transaction ID",IF(AND(L695&lt;0,D695&lt;&gt;"Adjustment"),"Negative amount — check this entry",IF(AND(D695="Customer Payment",G695=""),"Add the customer",IF(AND(D695="Customer Payment",OR(J695="",COUNTIF(ar_No,J695&amp;"")=0)),"Invoice # in Reference not found on AR sheet",IF(AND(D695="Bill Payment",H695=""),"Add the vendor",IF(AND(D695="Bill Payment",OR(J695="",COUNTIFS(ap_No,J695&amp;"",ap_Party,H695&amp;"")=0)),"Bill # + vendor not found on AP sheet",IF(AND(ISNUMBER(M695),N(M695)&lt;&gt;0,W695=0),"Tax ignored (tax tracking off, or not allowed for this type)",IF(V695=K695&amp;"","Same account on both sides",IF(AND(ISNUMBER(StartDate),C695&lt;StartDate),"Date is before the accounting start date",IF(AND(D695&lt;&gt;"Adjustment",IFERROR(INDEX(coa_Pay,MATCH(K695&amp;"",coa_Name,0)),"")&lt;&gt;"Yes"),"Paid From / Deposited To is not a payment account","")))))))))))</f>
        <v/>
      </c>
      <c r="Z695" s="67">
        <f>IF(AND(T695=0,X695=""),1,0)</f>
        <v/>
      </c>
      <c r="AA695" s="68">
        <f>IF(Z695=1,IF(U695="In",L695,L695-W695),0)</f>
        <v/>
      </c>
      <c r="AB695" s="68">
        <f>IF(Z695=1,IF(U695="In",L695-W695,L695),0)</f>
        <v/>
      </c>
      <c r="AC695" s="68">
        <f>IF(AND(Z695=1,U695="Out"),W695,0)</f>
        <v/>
      </c>
      <c r="AD695" s="68">
        <f>IF(AND(Z695=1,U695="In"),W695,0)</f>
        <v/>
      </c>
    </row>
    <row r="696">
      <c r="B696" s="62" t="inlineStr">
        <is>
          <t>TX-0690</t>
        </is>
      </c>
      <c r="C696" s="63" t="n"/>
      <c r="D696" s="62" t="n"/>
      <c r="E696" s="62" t="n"/>
      <c r="F696" s="62" t="n"/>
      <c r="G696" s="62" t="n"/>
      <c r="H696" s="62" t="n"/>
      <c r="I696" s="62" t="n"/>
      <c r="J696" s="62" t="n"/>
      <c r="K696" s="62" t="n"/>
      <c r="L696" s="64" t="n"/>
      <c r="M696" s="64" t="n"/>
      <c r="N696" s="62" t="n"/>
      <c r="O696" s="65">
        <f>IF(Z696=1,L696-W696,"")</f>
        <v/>
      </c>
      <c r="P696" s="66">
        <f>IF(V696="","",IFERROR(INDEX(coa_Type,MATCH(V696,coa_Name,0)),""))</f>
        <v/>
      </c>
      <c r="Q696" s="66">
        <f>IF(Z696=1,IF(U696="In",K696&amp;"",V696),"")</f>
        <v/>
      </c>
      <c r="R696" s="66">
        <f>IF(Z696=1,IF(U696="In",V696,K696&amp;""),"")</f>
        <v/>
      </c>
      <c r="S696" s="66">
        <f>IF(X696&lt;&gt;"","⛔ "&amp;X696&amp;" — not posted",IF(Y696&lt;&gt;"","⚠ "&amp;Y696,IF(Z696=1,"✓ OK","")))</f>
        <v/>
      </c>
      <c r="T696" s="67">
        <f>IF(AND(C696="",D696="",E696="",L696="",K696=""),1,0)</f>
        <v/>
      </c>
      <c r="U696" s="67">
        <f>IFERROR(INDEX(tt_Dir,MATCH(D696,tt_Type,0)),"")</f>
        <v/>
      </c>
      <c r="V696" s="67">
        <f>IF(D696="","",IFERROR(IF(INDEX(tt_Other,MATCH(D696,tt_Type,0))="",E696&amp;"",INDEX(tt_Other,MATCH(D696,tt_Type,0))),""))</f>
        <v/>
      </c>
      <c r="W696" s="68">
        <f>IF(OR(TaxOn&lt;&gt;"Yes",NOT(ISNUMBER(M696))),0,IF(IFERROR(INDEX(tt_Tax,MATCH(D696,tt_Type,0)),"No")="Yes",M696,0))</f>
        <v/>
      </c>
      <c r="X696" s="67">
        <f>IF(T696=1,"",IF(C696="","Missing transaction date",IF(NOT(ISNUMBER(C696)),"Invalid date",IF(OR(C696&lt;DATE(2000,1,1),C696&gt;DATE(2099,12,31)),"Invalid date",IF(D696="","Select a type",IF(U696="","Unknown type: "&amp;D696,IF(V696="","Select an account (Category)",IF(ISNA(MATCH(V696,coa_Name,0)),"Unknown account: "&amp;V696,IF(K696="","Select Paid From / Deposited To",IF(ISNA(MATCH(K696,coa_Name,0)),"Unknown account: "&amp;K696,IF(NOT(ISNUMBER(L696)),"Enter an amount",IF(L696=0,"Enter an amount",IF(ABS(W696)&gt;ABS(L696),"Tax is larger than the amount","")))))))))))))</f>
        <v/>
      </c>
      <c r="Y696" s="67">
        <f>IF(OR(T696=1,X696&lt;&gt;""),"",IF(AND(B696&lt;&gt;"",COUNTIF(tx_ID,B696)&gt;1),"Duplicate transaction ID",IF(AND(L696&lt;0,D696&lt;&gt;"Adjustment"),"Negative amount — check this entry",IF(AND(D696="Customer Payment",G696=""),"Add the customer",IF(AND(D696="Customer Payment",OR(J696="",COUNTIF(ar_No,J696&amp;"")=0)),"Invoice # in Reference not found on AR sheet",IF(AND(D696="Bill Payment",H696=""),"Add the vendor",IF(AND(D696="Bill Payment",OR(J696="",COUNTIFS(ap_No,J696&amp;"",ap_Party,H696&amp;"")=0)),"Bill # + vendor not found on AP sheet",IF(AND(ISNUMBER(M696),N(M696)&lt;&gt;0,W696=0),"Tax ignored (tax tracking off, or not allowed for this type)",IF(V696=K696&amp;"","Same account on both sides",IF(AND(ISNUMBER(StartDate),C696&lt;StartDate),"Date is before the accounting start date",IF(AND(D696&lt;&gt;"Adjustment",IFERROR(INDEX(coa_Pay,MATCH(K696&amp;"",coa_Name,0)),"")&lt;&gt;"Yes"),"Paid From / Deposited To is not a payment account","")))))))))))</f>
        <v/>
      </c>
      <c r="Z696" s="67">
        <f>IF(AND(T696=0,X696=""),1,0)</f>
        <v/>
      </c>
      <c r="AA696" s="68">
        <f>IF(Z696=1,IF(U696="In",L696,L696-W696),0)</f>
        <v/>
      </c>
      <c r="AB696" s="68">
        <f>IF(Z696=1,IF(U696="In",L696-W696,L696),0)</f>
        <v/>
      </c>
      <c r="AC696" s="68">
        <f>IF(AND(Z696=1,U696="Out"),W696,0)</f>
        <v/>
      </c>
      <c r="AD696" s="68">
        <f>IF(AND(Z696=1,U696="In"),W696,0)</f>
        <v/>
      </c>
    </row>
    <row r="697">
      <c r="B697" s="62" t="inlineStr">
        <is>
          <t>TX-0691</t>
        </is>
      </c>
      <c r="C697" s="63" t="n"/>
      <c r="D697" s="62" t="n"/>
      <c r="E697" s="62" t="n"/>
      <c r="F697" s="62" t="n"/>
      <c r="G697" s="62" t="n"/>
      <c r="H697" s="62" t="n"/>
      <c r="I697" s="62" t="n"/>
      <c r="J697" s="62" t="n"/>
      <c r="K697" s="62" t="n"/>
      <c r="L697" s="64" t="n"/>
      <c r="M697" s="64" t="n"/>
      <c r="N697" s="62" t="n"/>
      <c r="O697" s="65">
        <f>IF(Z697=1,L697-W697,"")</f>
        <v/>
      </c>
      <c r="P697" s="66">
        <f>IF(V697="","",IFERROR(INDEX(coa_Type,MATCH(V697,coa_Name,0)),""))</f>
        <v/>
      </c>
      <c r="Q697" s="66">
        <f>IF(Z697=1,IF(U697="In",K697&amp;"",V697),"")</f>
        <v/>
      </c>
      <c r="R697" s="66">
        <f>IF(Z697=1,IF(U697="In",V697,K697&amp;""),"")</f>
        <v/>
      </c>
      <c r="S697" s="66">
        <f>IF(X697&lt;&gt;"","⛔ "&amp;X697&amp;" — not posted",IF(Y697&lt;&gt;"","⚠ "&amp;Y697,IF(Z697=1,"✓ OK","")))</f>
        <v/>
      </c>
      <c r="T697" s="67">
        <f>IF(AND(C697="",D697="",E697="",L697="",K697=""),1,0)</f>
        <v/>
      </c>
      <c r="U697" s="67">
        <f>IFERROR(INDEX(tt_Dir,MATCH(D697,tt_Type,0)),"")</f>
        <v/>
      </c>
      <c r="V697" s="67">
        <f>IF(D697="","",IFERROR(IF(INDEX(tt_Other,MATCH(D697,tt_Type,0))="",E697&amp;"",INDEX(tt_Other,MATCH(D697,tt_Type,0))),""))</f>
        <v/>
      </c>
      <c r="W697" s="68">
        <f>IF(OR(TaxOn&lt;&gt;"Yes",NOT(ISNUMBER(M697))),0,IF(IFERROR(INDEX(tt_Tax,MATCH(D697,tt_Type,0)),"No")="Yes",M697,0))</f>
        <v/>
      </c>
      <c r="X697" s="67">
        <f>IF(T697=1,"",IF(C697="","Missing transaction date",IF(NOT(ISNUMBER(C697)),"Invalid date",IF(OR(C697&lt;DATE(2000,1,1),C697&gt;DATE(2099,12,31)),"Invalid date",IF(D697="","Select a type",IF(U697="","Unknown type: "&amp;D697,IF(V697="","Select an account (Category)",IF(ISNA(MATCH(V697,coa_Name,0)),"Unknown account: "&amp;V697,IF(K697="","Select Paid From / Deposited To",IF(ISNA(MATCH(K697,coa_Name,0)),"Unknown account: "&amp;K697,IF(NOT(ISNUMBER(L697)),"Enter an amount",IF(L697=0,"Enter an amount",IF(ABS(W697)&gt;ABS(L697),"Tax is larger than the amount","")))))))))))))</f>
        <v/>
      </c>
      <c r="Y697" s="67">
        <f>IF(OR(T697=1,X697&lt;&gt;""),"",IF(AND(B697&lt;&gt;"",COUNTIF(tx_ID,B697)&gt;1),"Duplicate transaction ID",IF(AND(L697&lt;0,D697&lt;&gt;"Adjustment"),"Negative amount — check this entry",IF(AND(D697="Customer Payment",G697=""),"Add the customer",IF(AND(D697="Customer Payment",OR(J697="",COUNTIF(ar_No,J697&amp;"")=0)),"Invoice # in Reference not found on AR sheet",IF(AND(D697="Bill Payment",H697=""),"Add the vendor",IF(AND(D697="Bill Payment",OR(J697="",COUNTIFS(ap_No,J697&amp;"",ap_Party,H697&amp;"")=0)),"Bill # + vendor not found on AP sheet",IF(AND(ISNUMBER(M697),N(M697)&lt;&gt;0,W697=0),"Tax ignored (tax tracking off, or not allowed for this type)",IF(V697=K697&amp;"","Same account on both sides",IF(AND(ISNUMBER(StartDate),C697&lt;StartDate),"Date is before the accounting start date",IF(AND(D697&lt;&gt;"Adjustment",IFERROR(INDEX(coa_Pay,MATCH(K697&amp;"",coa_Name,0)),"")&lt;&gt;"Yes"),"Paid From / Deposited To is not a payment account","")))))))))))</f>
        <v/>
      </c>
      <c r="Z697" s="67">
        <f>IF(AND(T697=0,X697=""),1,0)</f>
        <v/>
      </c>
      <c r="AA697" s="68">
        <f>IF(Z697=1,IF(U697="In",L697,L697-W697),0)</f>
        <v/>
      </c>
      <c r="AB697" s="68">
        <f>IF(Z697=1,IF(U697="In",L697-W697,L697),0)</f>
        <v/>
      </c>
      <c r="AC697" s="68">
        <f>IF(AND(Z697=1,U697="Out"),W697,0)</f>
        <v/>
      </c>
      <c r="AD697" s="68">
        <f>IF(AND(Z697=1,U697="In"),W697,0)</f>
        <v/>
      </c>
    </row>
    <row r="698">
      <c r="B698" s="62" t="inlineStr">
        <is>
          <t>TX-0692</t>
        </is>
      </c>
      <c r="C698" s="63" t="n"/>
      <c r="D698" s="62" t="n"/>
      <c r="E698" s="62" t="n"/>
      <c r="F698" s="62" t="n"/>
      <c r="G698" s="62" t="n"/>
      <c r="H698" s="62" t="n"/>
      <c r="I698" s="62" t="n"/>
      <c r="J698" s="62" t="n"/>
      <c r="K698" s="62" t="n"/>
      <c r="L698" s="64" t="n"/>
      <c r="M698" s="64" t="n"/>
      <c r="N698" s="62" t="n"/>
      <c r="O698" s="65">
        <f>IF(Z698=1,L698-W698,"")</f>
        <v/>
      </c>
      <c r="P698" s="66">
        <f>IF(V698="","",IFERROR(INDEX(coa_Type,MATCH(V698,coa_Name,0)),""))</f>
        <v/>
      </c>
      <c r="Q698" s="66">
        <f>IF(Z698=1,IF(U698="In",K698&amp;"",V698),"")</f>
        <v/>
      </c>
      <c r="R698" s="66">
        <f>IF(Z698=1,IF(U698="In",V698,K698&amp;""),"")</f>
        <v/>
      </c>
      <c r="S698" s="66">
        <f>IF(X698&lt;&gt;"","⛔ "&amp;X698&amp;" — not posted",IF(Y698&lt;&gt;"","⚠ "&amp;Y698,IF(Z698=1,"✓ OK","")))</f>
        <v/>
      </c>
      <c r="T698" s="67">
        <f>IF(AND(C698="",D698="",E698="",L698="",K698=""),1,0)</f>
        <v/>
      </c>
      <c r="U698" s="67">
        <f>IFERROR(INDEX(tt_Dir,MATCH(D698,tt_Type,0)),"")</f>
        <v/>
      </c>
      <c r="V698" s="67">
        <f>IF(D698="","",IFERROR(IF(INDEX(tt_Other,MATCH(D698,tt_Type,0))="",E698&amp;"",INDEX(tt_Other,MATCH(D698,tt_Type,0))),""))</f>
        <v/>
      </c>
      <c r="W698" s="68">
        <f>IF(OR(TaxOn&lt;&gt;"Yes",NOT(ISNUMBER(M698))),0,IF(IFERROR(INDEX(tt_Tax,MATCH(D698,tt_Type,0)),"No")="Yes",M698,0))</f>
        <v/>
      </c>
      <c r="X698" s="67">
        <f>IF(T698=1,"",IF(C698="","Missing transaction date",IF(NOT(ISNUMBER(C698)),"Invalid date",IF(OR(C698&lt;DATE(2000,1,1),C698&gt;DATE(2099,12,31)),"Invalid date",IF(D698="","Select a type",IF(U698="","Unknown type: "&amp;D698,IF(V698="","Select an account (Category)",IF(ISNA(MATCH(V698,coa_Name,0)),"Unknown account: "&amp;V698,IF(K698="","Select Paid From / Deposited To",IF(ISNA(MATCH(K698,coa_Name,0)),"Unknown account: "&amp;K698,IF(NOT(ISNUMBER(L698)),"Enter an amount",IF(L698=0,"Enter an amount",IF(ABS(W698)&gt;ABS(L698),"Tax is larger than the amount","")))))))))))))</f>
        <v/>
      </c>
      <c r="Y698" s="67">
        <f>IF(OR(T698=1,X698&lt;&gt;""),"",IF(AND(B698&lt;&gt;"",COUNTIF(tx_ID,B698)&gt;1),"Duplicate transaction ID",IF(AND(L698&lt;0,D698&lt;&gt;"Adjustment"),"Negative amount — check this entry",IF(AND(D698="Customer Payment",G698=""),"Add the customer",IF(AND(D698="Customer Payment",OR(J698="",COUNTIF(ar_No,J698&amp;"")=0)),"Invoice # in Reference not found on AR sheet",IF(AND(D698="Bill Payment",H698=""),"Add the vendor",IF(AND(D698="Bill Payment",OR(J698="",COUNTIFS(ap_No,J698&amp;"",ap_Party,H698&amp;"")=0)),"Bill # + vendor not found on AP sheet",IF(AND(ISNUMBER(M698),N(M698)&lt;&gt;0,W698=0),"Tax ignored (tax tracking off, or not allowed for this type)",IF(V698=K698&amp;"","Same account on both sides",IF(AND(ISNUMBER(StartDate),C698&lt;StartDate),"Date is before the accounting start date",IF(AND(D698&lt;&gt;"Adjustment",IFERROR(INDEX(coa_Pay,MATCH(K698&amp;"",coa_Name,0)),"")&lt;&gt;"Yes"),"Paid From / Deposited To is not a payment account","")))))))))))</f>
        <v/>
      </c>
      <c r="Z698" s="67">
        <f>IF(AND(T698=0,X698=""),1,0)</f>
        <v/>
      </c>
      <c r="AA698" s="68">
        <f>IF(Z698=1,IF(U698="In",L698,L698-W698),0)</f>
        <v/>
      </c>
      <c r="AB698" s="68">
        <f>IF(Z698=1,IF(U698="In",L698-W698,L698),0)</f>
        <v/>
      </c>
      <c r="AC698" s="68">
        <f>IF(AND(Z698=1,U698="Out"),W698,0)</f>
        <v/>
      </c>
      <c r="AD698" s="68">
        <f>IF(AND(Z698=1,U698="In"),W698,0)</f>
        <v/>
      </c>
    </row>
    <row r="699">
      <c r="B699" s="62" t="inlineStr">
        <is>
          <t>TX-0693</t>
        </is>
      </c>
      <c r="C699" s="63" t="n"/>
      <c r="D699" s="62" t="n"/>
      <c r="E699" s="62" t="n"/>
      <c r="F699" s="62" t="n"/>
      <c r="G699" s="62" t="n"/>
      <c r="H699" s="62" t="n"/>
      <c r="I699" s="62" t="n"/>
      <c r="J699" s="62" t="n"/>
      <c r="K699" s="62" t="n"/>
      <c r="L699" s="64" t="n"/>
      <c r="M699" s="64" t="n"/>
      <c r="N699" s="62" t="n"/>
      <c r="O699" s="65">
        <f>IF(Z699=1,L699-W699,"")</f>
        <v/>
      </c>
      <c r="P699" s="66">
        <f>IF(V699="","",IFERROR(INDEX(coa_Type,MATCH(V699,coa_Name,0)),""))</f>
        <v/>
      </c>
      <c r="Q699" s="66">
        <f>IF(Z699=1,IF(U699="In",K699&amp;"",V699),"")</f>
        <v/>
      </c>
      <c r="R699" s="66">
        <f>IF(Z699=1,IF(U699="In",V699,K699&amp;""),"")</f>
        <v/>
      </c>
      <c r="S699" s="66">
        <f>IF(X699&lt;&gt;"","⛔ "&amp;X699&amp;" — not posted",IF(Y699&lt;&gt;"","⚠ "&amp;Y699,IF(Z699=1,"✓ OK","")))</f>
        <v/>
      </c>
      <c r="T699" s="67">
        <f>IF(AND(C699="",D699="",E699="",L699="",K699=""),1,0)</f>
        <v/>
      </c>
      <c r="U699" s="67">
        <f>IFERROR(INDEX(tt_Dir,MATCH(D699,tt_Type,0)),"")</f>
        <v/>
      </c>
      <c r="V699" s="67">
        <f>IF(D699="","",IFERROR(IF(INDEX(tt_Other,MATCH(D699,tt_Type,0))="",E699&amp;"",INDEX(tt_Other,MATCH(D699,tt_Type,0))),""))</f>
        <v/>
      </c>
      <c r="W699" s="68">
        <f>IF(OR(TaxOn&lt;&gt;"Yes",NOT(ISNUMBER(M699))),0,IF(IFERROR(INDEX(tt_Tax,MATCH(D699,tt_Type,0)),"No")="Yes",M699,0))</f>
        <v/>
      </c>
      <c r="X699" s="67">
        <f>IF(T699=1,"",IF(C699="","Missing transaction date",IF(NOT(ISNUMBER(C699)),"Invalid date",IF(OR(C699&lt;DATE(2000,1,1),C699&gt;DATE(2099,12,31)),"Invalid date",IF(D699="","Select a type",IF(U699="","Unknown type: "&amp;D699,IF(V699="","Select an account (Category)",IF(ISNA(MATCH(V699,coa_Name,0)),"Unknown account: "&amp;V699,IF(K699="","Select Paid From / Deposited To",IF(ISNA(MATCH(K699,coa_Name,0)),"Unknown account: "&amp;K699,IF(NOT(ISNUMBER(L699)),"Enter an amount",IF(L699=0,"Enter an amount",IF(ABS(W699)&gt;ABS(L699),"Tax is larger than the amount","")))))))))))))</f>
        <v/>
      </c>
      <c r="Y699" s="67">
        <f>IF(OR(T699=1,X699&lt;&gt;""),"",IF(AND(B699&lt;&gt;"",COUNTIF(tx_ID,B699)&gt;1),"Duplicate transaction ID",IF(AND(L699&lt;0,D699&lt;&gt;"Adjustment"),"Negative amount — check this entry",IF(AND(D699="Customer Payment",G699=""),"Add the customer",IF(AND(D699="Customer Payment",OR(J699="",COUNTIF(ar_No,J699&amp;"")=0)),"Invoice # in Reference not found on AR sheet",IF(AND(D699="Bill Payment",H699=""),"Add the vendor",IF(AND(D699="Bill Payment",OR(J699="",COUNTIFS(ap_No,J699&amp;"",ap_Party,H699&amp;"")=0)),"Bill # + vendor not found on AP sheet",IF(AND(ISNUMBER(M699),N(M699)&lt;&gt;0,W699=0),"Tax ignored (tax tracking off, or not allowed for this type)",IF(V699=K699&amp;"","Same account on both sides",IF(AND(ISNUMBER(StartDate),C699&lt;StartDate),"Date is before the accounting start date",IF(AND(D699&lt;&gt;"Adjustment",IFERROR(INDEX(coa_Pay,MATCH(K699&amp;"",coa_Name,0)),"")&lt;&gt;"Yes"),"Paid From / Deposited To is not a payment account","")))))))))))</f>
        <v/>
      </c>
      <c r="Z699" s="67">
        <f>IF(AND(T699=0,X699=""),1,0)</f>
        <v/>
      </c>
      <c r="AA699" s="68">
        <f>IF(Z699=1,IF(U699="In",L699,L699-W699),0)</f>
        <v/>
      </c>
      <c r="AB699" s="68">
        <f>IF(Z699=1,IF(U699="In",L699-W699,L699),0)</f>
        <v/>
      </c>
      <c r="AC699" s="68">
        <f>IF(AND(Z699=1,U699="Out"),W699,0)</f>
        <v/>
      </c>
      <c r="AD699" s="68">
        <f>IF(AND(Z699=1,U699="In"),W699,0)</f>
        <v/>
      </c>
    </row>
    <row r="700">
      <c r="B700" s="62" t="inlineStr">
        <is>
          <t>TX-0694</t>
        </is>
      </c>
      <c r="C700" s="63" t="n"/>
      <c r="D700" s="62" t="n"/>
      <c r="E700" s="62" t="n"/>
      <c r="F700" s="62" t="n"/>
      <c r="G700" s="62" t="n"/>
      <c r="H700" s="62" t="n"/>
      <c r="I700" s="62" t="n"/>
      <c r="J700" s="62" t="n"/>
      <c r="K700" s="62" t="n"/>
      <c r="L700" s="64" t="n"/>
      <c r="M700" s="64" t="n"/>
      <c r="N700" s="62" t="n"/>
      <c r="O700" s="65">
        <f>IF(Z700=1,L700-W700,"")</f>
        <v/>
      </c>
      <c r="P700" s="66">
        <f>IF(V700="","",IFERROR(INDEX(coa_Type,MATCH(V700,coa_Name,0)),""))</f>
        <v/>
      </c>
      <c r="Q700" s="66">
        <f>IF(Z700=1,IF(U700="In",K700&amp;"",V700),"")</f>
        <v/>
      </c>
      <c r="R700" s="66">
        <f>IF(Z700=1,IF(U700="In",V700,K700&amp;""),"")</f>
        <v/>
      </c>
      <c r="S700" s="66">
        <f>IF(X700&lt;&gt;"","⛔ "&amp;X700&amp;" — not posted",IF(Y700&lt;&gt;"","⚠ "&amp;Y700,IF(Z700=1,"✓ OK","")))</f>
        <v/>
      </c>
      <c r="T700" s="67">
        <f>IF(AND(C700="",D700="",E700="",L700="",K700=""),1,0)</f>
        <v/>
      </c>
      <c r="U700" s="67">
        <f>IFERROR(INDEX(tt_Dir,MATCH(D700,tt_Type,0)),"")</f>
        <v/>
      </c>
      <c r="V700" s="67">
        <f>IF(D700="","",IFERROR(IF(INDEX(tt_Other,MATCH(D700,tt_Type,0))="",E700&amp;"",INDEX(tt_Other,MATCH(D700,tt_Type,0))),""))</f>
        <v/>
      </c>
      <c r="W700" s="68">
        <f>IF(OR(TaxOn&lt;&gt;"Yes",NOT(ISNUMBER(M700))),0,IF(IFERROR(INDEX(tt_Tax,MATCH(D700,tt_Type,0)),"No")="Yes",M700,0))</f>
        <v/>
      </c>
      <c r="X700" s="67">
        <f>IF(T700=1,"",IF(C700="","Missing transaction date",IF(NOT(ISNUMBER(C700)),"Invalid date",IF(OR(C700&lt;DATE(2000,1,1),C700&gt;DATE(2099,12,31)),"Invalid date",IF(D700="","Select a type",IF(U700="","Unknown type: "&amp;D700,IF(V700="","Select an account (Category)",IF(ISNA(MATCH(V700,coa_Name,0)),"Unknown account: "&amp;V700,IF(K700="","Select Paid From / Deposited To",IF(ISNA(MATCH(K700,coa_Name,0)),"Unknown account: "&amp;K700,IF(NOT(ISNUMBER(L700)),"Enter an amount",IF(L700=0,"Enter an amount",IF(ABS(W700)&gt;ABS(L700),"Tax is larger than the amount","")))))))))))))</f>
        <v/>
      </c>
      <c r="Y700" s="67">
        <f>IF(OR(T700=1,X700&lt;&gt;""),"",IF(AND(B700&lt;&gt;"",COUNTIF(tx_ID,B700)&gt;1),"Duplicate transaction ID",IF(AND(L700&lt;0,D700&lt;&gt;"Adjustment"),"Negative amount — check this entry",IF(AND(D700="Customer Payment",G700=""),"Add the customer",IF(AND(D700="Customer Payment",OR(J700="",COUNTIF(ar_No,J700&amp;"")=0)),"Invoice # in Reference not found on AR sheet",IF(AND(D700="Bill Payment",H700=""),"Add the vendor",IF(AND(D700="Bill Payment",OR(J700="",COUNTIFS(ap_No,J700&amp;"",ap_Party,H700&amp;"")=0)),"Bill # + vendor not found on AP sheet",IF(AND(ISNUMBER(M700),N(M700)&lt;&gt;0,W700=0),"Tax ignored (tax tracking off, or not allowed for this type)",IF(V700=K700&amp;"","Same account on both sides",IF(AND(ISNUMBER(StartDate),C700&lt;StartDate),"Date is before the accounting start date",IF(AND(D700&lt;&gt;"Adjustment",IFERROR(INDEX(coa_Pay,MATCH(K700&amp;"",coa_Name,0)),"")&lt;&gt;"Yes"),"Paid From / Deposited To is not a payment account","")))))))))))</f>
        <v/>
      </c>
      <c r="Z700" s="67">
        <f>IF(AND(T700=0,X700=""),1,0)</f>
        <v/>
      </c>
      <c r="AA700" s="68">
        <f>IF(Z700=1,IF(U700="In",L700,L700-W700),0)</f>
        <v/>
      </c>
      <c r="AB700" s="68">
        <f>IF(Z700=1,IF(U700="In",L700-W700,L700),0)</f>
        <v/>
      </c>
      <c r="AC700" s="68">
        <f>IF(AND(Z700=1,U700="Out"),W700,0)</f>
        <v/>
      </c>
      <c r="AD700" s="68">
        <f>IF(AND(Z700=1,U700="In"),W700,0)</f>
        <v/>
      </c>
    </row>
    <row r="701">
      <c r="B701" s="62" t="inlineStr">
        <is>
          <t>TX-0695</t>
        </is>
      </c>
      <c r="C701" s="63" t="n"/>
      <c r="D701" s="62" t="n"/>
      <c r="E701" s="62" t="n"/>
      <c r="F701" s="62" t="n"/>
      <c r="G701" s="62" t="n"/>
      <c r="H701" s="62" t="n"/>
      <c r="I701" s="62" t="n"/>
      <c r="J701" s="62" t="n"/>
      <c r="K701" s="62" t="n"/>
      <c r="L701" s="64" t="n"/>
      <c r="M701" s="64" t="n"/>
      <c r="N701" s="62" t="n"/>
      <c r="O701" s="65">
        <f>IF(Z701=1,L701-W701,"")</f>
        <v/>
      </c>
      <c r="P701" s="66">
        <f>IF(V701="","",IFERROR(INDEX(coa_Type,MATCH(V701,coa_Name,0)),""))</f>
        <v/>
      </c>
      <c r="Q701" s="66">
        <f>IF(Z701=1,IF(U701="In",K701&amp;"",V701),"")</f>
        <v/>
      </c>
      <c r="R701" s="66">
        <f>IF(Z701=1,IF(U701="In",V701,K701&amp;""),"")</f>
        <v/>
      </c>
      <c r="S701" s="66">
        <f>IF(X701&lt;&gt;"","⛔ "&amp;X701&amp;" — not posted",IF(Y701&lt;&gt;"","⚠ "&amp;Y701,IF(Z701=1,"✓ OK","")))</f>
        <v/>
      </c>
      <c r="T701" s="67">
        <f>IF(AND(C701="",D701="",E701="",L701="",K701=""),1,0)</f>
        <v/>
      </c>
      <c r="U701" s="67">
        <f>IFERROR(INDEX(tt_Dir,MATCH(D701,tt_Type,0)),"")</f>
        <v/>
      </c>
      <c r="V701" s="67">
        <f>IF(D701="","",IFERROR(IF(INDEX(tt_Other,MATCH(D701,tt_Type,0))="",E701&amp;"",INDEX(tt_Other,MATCH(D701,tt_Type,0))),""))</f>
        <v/>
      </c>
      <c r="W701" s="68">
        <f>IF(OR(TaxOn&lt;&gt;"Yes",NOT(ISNUMBER(M701))),0,IF(IFERROR(INDEX(tt_Tax,MATCH(D701,tt_Type,0)),"No")="Yes",M701,0))</f>
        <v/>
      </c>
      <c r="X701" s="67">
        <f>IF(T701=1,"",IF(C701="","Missing transaction date",IF(NOT(ISNUMBER(C701)),"Invalid date",IF(OR(C701&lt;DATE(2000,1,1),C701&gt;DATE(2099,12,31)),"Invalid date",IF(D701="","Select a type",IF(U701="","Unknown type: "&amp;D701,IF(V701="","Select an account (Category)",IF(ISNA(MATCH(V701,coa_Name,0)),"Unknown account: "&amp;V701,IF(K701="","Select Paid From / Deposited To",IF(ISNA(MATCH(K701,coa_Name,0)),"Unknown account: "&amp;K701,IF(NOT(ISNUMBER(L701)),"Enter an amount",IF(L701=0,"Enter an amount",IF(ABS(W701)&gt;ABS(L701),"Tax is larger than the amount","")))))))))))))</f>
        <v/>
      </c>
      <c r="Y701" s="67">
        <f>IF(OR(T701=1,X701&lt;&gt;""),"",IF(AND(B701&lt;&gt;"",COUNTIF(tx_ID,B701)&gt;1),"Duplicate transaction ID",IF(AND(L701&lt;0,D701&lt;&gt;"Adjustment"),"Negative amount — check this entry",IF(AND(D701="Customer Payment",G701=""),"Add the customer",IF(AND(D701="Customer Payment",OR(J701="",COUNTIF(ar_No,J701&amp;"")=0)),"Invoice # in Reference not found on AR sheet",IF(AND(D701="Bill Payment",H701=""),"Add the vendor",IF(AND(D701="Bill Payment",OR(J701="",COUNTIFS(ap_No,J701&amp;"",ap_Party,H701&amp;"")=0)),"Bill # + vendor not found on AP sheet",IF(AND(ISNUMBER(M701),N(M701)&lt;&gt;0,W701=0),"Tax ignored (tax tracking off, or not allowed for this type)",IF(V701=K701&amp;"","Same account on both sides",IF(AND(ISNUMBER(StartDate),C701&lt;StartDate),"Date is before the accounting start date",IF(AND(D701&lt;&gt;"Adjustment",IFERROR(INDEX(coa_Pay,MATCH(K701&amp;"",coa_Name,0)),"")&lt;&gt;"Yes"),"Paid From / Deposited To is not a payment account","")))))))))))</f>
        <v/>
      </c>
      <c r="Z701" s="67">
        <f>IF(AND(T701=0,X701=""),1,0)</f>
        <v/>
      </c>
      <c r="AA701" s="68">
        <f>IF(Z701=1,IF(U701="In",L701,L701-W701),0)</f>
        <v/>
      </c>
      <c r="AB701" s="68">
        <f>IF(Z701=1,IF(U701="In",L701-W701,L701),0)</f>
        <v/>
      </c>
      <c r="AC701" s="68">
        <f>IF(AND(Z701=1,U701="Out"),W701,0)</f>
        <v/>
      </c>
      <c r="AD701" s="68">
        <f>IF(AND(Z701=1,U701="In"),W701,0)</f>
        <v/>
      </c>
    </row>
    <row r="702">
      <c r="B702" s="62" t="inlineStr">
        <is>
          <t>TX-0696</t>
        </is>
      </c>
      <c r="C702" s="63" t="n"/>
      <c r="D702" s="62" t="n"/>
      <c r="E702" s="62" t="n"/>
      <c r="F702" s="62" t="n"/>
      <c r="G702" s="62" t="n"/>
      <c r="H702" s="62" t="n"/>
      <c r="I702" s="62" t="n"/>
      <c r="J702" s="62" t="n"/>
      <c r="K702" s="62" t="n"/>
      <c r="L702" s="64" t="n"/>
      <c r="M702" s="64" t="n"/>
      <c r="N702" s="62" t="n"/>
      <c r="O702" s="65">
        <f>IF(Z702=1,L702-W702,"")</f>
        <v/>
      </c>
      <c r="P702" s="66">
        <f>IF(V702="","",IFERROR(INDEX(coa_Type,MATCH(V702,coa_Name,0)),""))</f>
        <v/>
      </c>
      <c r="Q702" s="66">
        <f>IF(Z702=1,IF(U702="In",K702&amp;"",V702),"")</f>
        <v/>
      </c>
      <c r="R702" s="66">
        <f>IF(Z702=1,IF(U702="In",V702,K702&amp;""),"")</f>
        <v/>
      </c>
      <c r="S702" s="66">
        <f>IF(X702&lt;&gt;"","⛔ "&amp;X702&amp;" — not posted",IF(Y702&lt;&gt;"","⚠ "&amp;Y702,IF(Z702=1,"✓ OK","")))</f>
        <v/>
      </c>
      <c r="T702" s="67">
        <f>IF(AND(C702="",D702="",E702="",L702="",K702=""),1,0)</f>
        <v/>
      </c>
      <c r="U702" s="67">
        <f>IFERROR(INDEX(tt_Dir,MATCH(D702,tt_Type,0)),"")</f>
        <v/>
      </c>
      <c r="V702" s="67">
        <f>IF(D702="","",IFERROR(IF(INDEX(tt_Other,MATCH(D702,tt_Type,0))="",E702&amp;"",INDEX(tt_Other,MATCH(D702,tt_Type,0))),""))</f>
        <v/>
      </c>
      <c r="W702" s="68">
        <f>IF(OR(TaxOn&lt;&gt;"Yes",NOT(ISNUMBER(M702))),0,IF(IFERROR(INDEX(tt_Tax,MATCH(D702,tt_Type,0)),"No")="Yes",M702,0))</f>
        <v/>
      </c>
      <c r="X702" s="67">
        <f>IF(T702=1,"",IF(C702="","Missing transaction date",IF(NOT(ISNUMBER(C702)),"Invalid date",IF(OR(C702&lt;DATE(2000,1,1),C702&gt;DATE(2099,12,31)),"Invalid date",IF(D702="","Select a type",IF(U702="","Unknown type: "&amp;D702,IF(V702="","Select an account (Category)",IF(ISNA(MATCH(V702,coa_Name,0)),"Unknown account: "&amp;V702,IF(K702="","Select Paid From / Deposited To",IF(ISNA(MATCH(K702,coa_Name,0)),"Unknown account: "&amp;K702,IF(NOT(ISNUMBER(L702)),"Enter an amount",IF(L702=0,"Enter an amount",IF(ABS(W702)&gt;ABS(L702),"Tax is larger than the amount","")))))))))))))</f>
        <v/>
      </c>
      <c r="Y702" s="67">
        <f>IF(OR(T702=1,X702&lt;&gt;""),"",IF(AND(B702&lt;&gt;"",COUNTIF(tx_ID,B702)&gt;1),"Duplicate transaction ID",IF(AND(L702&lt;0,D702&lt;&gt;"Adjustment"),"Negative amount — check this entry",IF(AND(D702="Customer Payment",G702=""),"Add the customer",IF(AND(D702="Customer Payment",OR(J702="",COUNTIF(ar_No,J702&amp;"")=0)),"Invoice # in Reference not found on AR sheet",IF(AND(D702="Bill Payment",H702=""),"Add the vendor",IF(AND(D702="Bill Payment",OR(J702="",COUNTIFS(ap_No,J702&amp;"",ap_Party,H702&amp;"")=0)),"Bill # + vendor not found on AP sheet",IF(AND(ISNUMBER(M702),N(M702)&lt;&gt;0,W702=0),"Tax ignored (tax tracking off, or not allowed for this type)",IF(V702=K702&amp;"","Same account on both sides",IF(AND(ISNUMBER(StartDate),C702&lt;StartDate),"Date is before the accounting start date",IF(AND(D702&lt;&gt;"Adjustment",IFERROR(INDEX(coa_Pay,MATCH(K702&amp;"",coa_Name,0)),"")&lt;&gt;"Yes"),"Paid From / Deposited To is not a payment account","")))))))))))</f>
        <v/>
      </c>
      <c r="Z702" s="67">
        <f>IF(AND(T702=0,X702=""),1,0)</f>
        <v/>
      </c>
      <c r="AA702" s="68">
        <f>IF(Z702=1,IF(U702="In",L702,L702-W702),0)</f>
        <v/>
      </c>
      <c r="AB702" s="68">
        <f>IF(Z702=1,IF(U702="In",L702-W702,L702),0)</f>
        <v/>
      </c>
      <c r="AC702" s="68">
        <f>IF(AND(Z702=1,U702="Out"),W702,0)</f>
        <v/>
      </c>
      <c r="AD702" s="68">
        <f>IF(AND(Z702=1,U702="In"),W702,0)</f>
        <v/>
      </c>
    </row>
    <row r="703">
      <c r="B703" s="62" t="inlineStr">
        <is>
          <t>TX-0697</t>
        </is>
      </c>
      <c r="C703" s="63" t="n"/>
      <c r="D703" s="62" t="n"/>
      <c r="E703" s="62" t="n"/>
      <c r="F703" s="62" t="n"/>
      <c r="G703" s="62" t="n"/>
      <c r="H703" s="62" t="n"/>
      <c r="I703" s="62" t="n"/>
      <c r="J703" s="62" t="n"/>
      <c r="K703" s="62" t="n"/>
      <c r="L703" s="64" t="n"/>
      <c r="M703" s="64" t="n"/>
      <c r="N703" s="62" t="n"/>
      <c r="O703" s="65">
        <f>IF(Z703=1,L703-W703,"")</f>
        <v/>
      </c>
      <c r="P703" s="66">
        <f>IF(V703="","",IFERROR(INDEX(coa_Type,MATCH(V703,coa_Name,0)),""))</f>
        <v/>
      </c>
      <c r="Q703" s="66">
        <f>IF(Z703=1,IF(U703="In",K703&amp;"",V703),"")</f>
        <v/>
      </c>
      <c r="R703" s="66">
        <f>IF(Z703=1,IF(U703="In",V703,K703&amp;""),"")</f>
        <v/>
      </c>
      <c r="S703" s="66">
        <f>IF(X703&lt;&gt;"","⛔ "&amp;X703&amp;" — not posted",IF(Y703&lt;&gt;"","⚠ "&amp;Y703,IF(Z703=1,"✓ OK","")))</f>
        <v/>
      </c>
      <c r="T703" s="67">
        <f>IF(AND(C703="",D703="",E703="",L703="",K703=""),1,0)</f>
        <v/>
      </c>
      <c r="U703" s="67">
        <f>IFERROR(INDEX(tt_Dir,MATCH(D703,tt_Type,0)),"")</f>
        <v/>
      </c>
      <c r="V703" s="67">
        <f>IF(D703="","",IFERROR(IF(INDEX(tt_Other,MATCH(D703,tt_Type,0))="",E703&amp;"",INDEX(tt_Other,MATCH(D703,tt_Type,0))),""))</f>
        <v/>
      </c>
      <c r="W703" s="68">
        <f>IF(OR(TaxOn&lt;&gt;"Yes",NOT(ISNUMBER(M703))),0,IF(IFERROR(INDEX(tt_Tax,MATCH(D703,tt_Type,0)),"No")="Yes",M703,0))</f>
        <v/>
      </c>
      <c r="X703" s="67">
        <f>IF(T703=1,"",IF(C703="","Missing transaction date",IF(NOT(ISNUMBER(C703)),"Invalid date",IF(OR(C703&lt;DATE(2000,1,1),C703&gt;DATE(2099,12,31)),"Invalid date",IF(D703="","Select a type",IF(U703="","Unknown type: "&amp;D703,IF(V703="","Select an account (Category)",IF(ISNA(MATCH(V703,coa_Name,0)),"Unknown account: "&amp;V703,IF(K703="","Select Paid From / Deposited To",IF(ISNA(MATCH(K703,coa_Name,0)),"Unknown account: "&amp;K703,IF(NOT(ISNUMBER(L703)),"Enter an amount",IF(L703=0,"Enter an amount",IF(ABS(W703)&gt;ABS(L703),"Tax is larger than the amount","")))))))))))))</f>
        <v/>
      </c>
      <c r="Y703" s="67">
        <f>IF(OR(T703=1,X703&lt;&gt;""),"",IF(AND(B703&lt;&gt;"",COUNTIF(tx_ID,B703)&gt;1),"Duplicate transaction ID",IF(AND(L703&lt;0,D703&lt;&gt;"Adjustment"),"Negative amount — check this entry",IF(AND(D703="Customer Payment",G703=""),"Add the customer",IF(AND(D703="Customer Payment",OR(J703="",COUNTIF(ar_No,J703&amp;"")=0)),"Invoice # in Reference not found on AR sheet",IF(AND(D703="Bill Payment",H703=""),"Add the vendor",IF(AND(D703="Bill Payment",OR(J703="",COUNTIFS(ap_No,J703&amp;"",ap_Party,H703&amp;"")=0)),"Bill # + vendor not found on AP sheet",IF(AND(ISNUMBER(M703),N(M703)&lt;&gt;0,W703=0),"Tax ignored (tax tracking off, or not allowed for this type)",IF(V703=K703&amp;"","Same account on both sides",IF(AND(ISNUMBER(StartDate),C703&lt;StartDate),"Date is before the accounting start date",IF(AND(D703&lt;&gt;"Adjustment",IFERROR(INDEX(coa_Pay,MATCH(K703&amp;"",coa_Name,0)),"")&lt;&gt;"Yes"),"Paid From / Deposited To is not a payment account","")))))))))))</f>
        <v/>
      </c>
      <c r="Z703" s="67">
        <f>IF(AND(T703=0,X703=""),1,0)</f>
        <v/>
      </c>
      <c r="AA703" s="68">
        <f>IF(Z703=1,IF(U703="In",L703,L703-W703),0)</f>
        <v/>
      </c>
      <c r="AB703" s="68">
        <f>IF(Z703=1,IF(U703="In",L703-W703,L703),0)</f>
        <v/>
      </c>
      <c r="AC703" s="68">
        <f>IF(AND(Z703=1,U703="Out"),W703,0)</f>
        <v/>
      </c>
      <c r="AD703" s="68">
        <f>IF(AND(Z703=1,U703="In"),W703,0)</f>
        <v/>
      </c>
    </row>
    <row r="704">
      <c r="B704" s="62" t="inlineStr">
        <is>
          <t>TX-0698</t>
        </is>
      </c>
      <c r="C704" s="63" t="n"/>
      <c r="D704" s="62" t="n"/>
      <c r="E704" s="62" t="n"/>
      <c r="F704" s="62" t="n"/>
      <c r="G704" s="62" t="n"/>
      <c r="H704" s="62" t="n"/>
      <c r="I704" s="62" t="n"/>
      <c r="J704" s="62" t="n"/>
      <c r="K704" s="62" t="n"/>
      <c r="L704" s="64" t="n"/>
      <c r="M704" s="64" t="n"/>
      <c r="N704" s="62" t="n"/>
      <c r="O704" s="65">
        <f>IF(Z704=1,L704-W704,"")</f>
        <v/>
      </c>
      <c r="P704" s="66">
        <f>IF(V704="","",IFERROR(INDEX(coa_Type,MATCH(V704,coa_Name,0)),""))</f>
        <v/>
      </c>
      <c r="Q704" s="66">
        <f>IF(Z704=1,IF(U704="In",K704&amp;"",V704),"")</f>
        <v/>
      </c>
      <c r="R704" s="66">
        <f>IF(Z704=1,IF(U704="In",V704,K704&amp;""),"")</f>
        <v/>
      </c>
      <c r="S704" s="66">
        <f>IF(X704&lt;&gt;"","⛔ "&amp;X704&amp;" — not posted",IF(Y704&lt;&gt;"","⚠ "&amp;Y704,IF(Z704=1,"✓ OK","")))</f>
        <v/>
      </c>
      <c r="T704" s="67">
        <f>IF(AND(C704="",D704="",E704="",L704="",K704=""),1,0)</f>
        <v/>
      </c>
      <c r="U704" s="67">
        <f>IFERROR(INDEX(tt_Dir,MATCH(D704,tt_Type,0)),"")</f>
        <v/>
      </c>
      <c r="V704" s="67">
        <f>IF(D704="","",IFERROR(IF(INDEX(tt_Other,MATCH(D704,tt_Type,0))="",E704&amp;"",INDEX(tt_Other,MATCH(D704,tt_Type,0))),""))</f>
        <v/>
      </c>
      <c r="W704" s="68">
        <f>IF(OR(TaxOn&lt;&gt;"Yes",NOT(ISNUMBER(M704))),0,IF(IFERROR(INDEX(tt_Tax,MATCH(D704,tt_Type,0)),"No")="Yes",M704,0))</f>
        <v/>
      </c>
      <c r="X704" s="67">
        <f>IF(T704=1,"",IF(C704="","Missing transaction date",IF(NOT(ISNUMBER(C704)),"Invalid date",IF(OR(C704&lt;DATE(2000,1,1),C704&gt;DATE(2099,12,31)),"Invalid date",IF(D704="","Select a type",IF(U704="","Unknown type: "&amp;D704,IF(V704="","Select an account (Category)",IF(ISNA(MATCH(V704,coa_Name,0)),"Unknown account: "&amp;V704,IF(K704="","Select Paid From / Deposited To",IF(ISNA(MATCH(K704,coa_Name,0)),"Unknown account: "&amp;K704,IF(NOT(ISNUMBER(L704)),"Enter an amount",IF(L704=0,"Enter an amount",IF(ABS(W704)&gt;ABS(L704),"Tax is larger than the amount","")))))))))))))</f>
        <v/>
      </c>
      <c r="Y704" s="67">
        <f>IF(OR(T704=1,X704&lt;&gt;""),"",IF(AND(B704&lt;&gt;"",COUNTIF(tx_ID,B704)&gt;1),"Duplicate transaction ID",IF(AND(L704&lt;0,D704&lt;&gt;"Adjustment"),"Negative amount — check this entry",IF(AND(D704="Customer Payment",G704=""),"Add the customer",IF(AND(D704="Customer Payment",OR(J704="",COUNTIF(ar_No,J704&amp;"")=0)),"Invoice # in Reference not found on AR sheet",IF(AND(D704="Bill Payment",H704=""),"Add the vendor",IF(AND(D704="Bill Payment",OR(J704="",COUNTIFS(ap_No,J704&amp;"",ap_Party,H704&amp;"")=0)),"Bill # + vendor not found on AP sheet",IF(AND(ISNUMBER(M704),N(M704)&lt;&gt;0,W704=0),"Tax ignored (tax tracking off, or not allowed for this type)",IF(V704=K704&amp;"","Same account on both sides",IF(AND(ISNUMBER(StartDate),C704&lt;StartDate),"Date is before the accounting start date",IF(AND(D704&lt;&gt;"Adjustment",IFERROR(INDEX(coa_Pay,MATCH(K704&amp;"",coa_Name,0)),"")&lt;&gt;"Yes"),"Paid From / Deposited To is not a payment account","")))))))))))</f>
        <v/>
      </c>
      <c r="Z704" s="67">
        <f>IF(AND(T704=0,X704=""),1,0)</f>
        <v/>
      </c>
      <c r="AA704" s="68">
        <f>IF(Z704=1,IF(U704="In",L704,L704-W704),0)</f>
        <v/>
      </c>
      <c r="AB704" s="68">
        <f>IF(Z704=1,IF(U704="In",L704-W704,L704),0)</f>
        <v/>
      </c>
      <c r="AC704" s="68">
        <f>IF(AND(Z704=1,U704="Out"),W704,0)</f>
        <v/>
      </c>
      <c r="AD704" s="68">
        <f>IF(AND(Z704=1,U704="In"),W704,0)</f>
        <v/>
      </c>
    </row>
    <row r="705">
      <c r="B705" s="62" t="inlineStr">
        <is>
          <t>TX-0699</t>
        </is>
      </c>
      <c r="C705" s="63" t="n"/>
      <c r="D705" s="62" t="n"/>
      <c r="E705" s="62" t="n"/>
      <c r="F705" s="62" t="n"/>
      <c r="G705" s="62" t="n"/>
      <c r="H705" s="62" t="n"/>
      <c r="I705" s="62" t="n"/>
      <c r="J705" s="62" t="n"/>
      <c r="K705" s="62" t="n"/>
      <c r="L705" s="64" t="n"/>
      <c r="M705" s="64" t="n"/>
      <c r="N705" s="62" t="n"/>
      <c r="O705" s="65">
        <f>IF(Z705=1,L705-W705,"")</f>
        <v/>
      </c>
      <c r="P705" s="66">
        <f>IF(V705="","",IFERROR(INDEX(coa_Type,MATCH(V705,coa_Name,0)),""))</f>
        <v/>
      </c>
      <c r="Q705" s="66">
        <f>IF(Z705=1,IF(U705="In",K705&amp;"",V705),"")</f>
        <v/>
      </c>
      <c r="R705" s="66">
        <f>IF(Z705=1,IF(U705="In",V705,K705&amp;""),"")</f>
        <v/>
      </c>
      <c r="S705" s="66">
        <f>IF(X705&lt;&gt;"","⛔ "&amp;X705&amp;" — not posted",IF(Y705&lt;&gt;"","⚠ "&amp;Y705,IF(Z705=1,"✓ OK","")))</f>
        <v/>
      </c>
      <c r="T705" s="67">
        <f>IF(AND(C705="",D705="",E705="",L705="",K705=""),1,0)</f>
        <v/>
      </c>
      <c r="U705" s="67">
        <f>IFERROR(INDEX(tt_Dir,MATCH(D705,tt_Type,0)),"")</f>
        <v/>
      </c>
      <c r="V705" s="67">
        <f>IF(D705="","",IFERROR(IF(INDEX(tt_Other,MATCH(D705,tt_Type,0))="",E705&amp;"",INDEX(tt_Other,MATCH(D705,tt_Type,0))),""))</f>
        <v/>
      </c>
      <c r="W705" s="68">
        <f>IF(OR(TaxOn&lt;&gt;"Yes",NOT(ISNUMBER(M705))),0,IF(IFERROR(INDEX(tt_Tax,MATCH(D705,tt_Type,0)),"No")="Yes",M705,0))</f>
        <v/>
      </c>
      <c r="X705" s="67">
        <f>IF(T705=1,"",IF(C705="","Missing transaction date",IF(NOT(ISNUMBER(C705)),"Invalid date",IF(OR(C705&lt;DATE(2000,1,1),C705&gt;DATE(2099,12,31)),"Invalid date",IF(D705="","Select a type",IF(U705="","Unknown type: "&amp;D705,IF(V705="","Select an account (Category)",IF(ISNA(MATCH(V705,coa_Name,0)),"Unknown account: "&amp;V705,IF(K705="","Select Paid From / Deposited To",IF(ISNA(MATCH(K705,coa_Name,0)),"Unknown account: "&amp;K705,IF(NOT(ISNUMBER(L705)),"Enter an amount",IF(L705=0,"Enter an amount",IF(ABS(W705)&gt;ABS(L705),"Tax is larger than the amount","")))))))))))))</f>
        <v/>
      </c>
      <c r="Y705" s="67">
        <f>IF(OR(T705=1,X705&lt;&gt;""),"",IF(AND(B705&lt;&gt;"",COUNTIF(tx_ID,B705)&gt;1),"Duplicate transaction ID",IF(AND(L705&lt;0,D705&lt;&gt;"Adjustment"),"Negative amount — check this entry",IF(AND(D705="Customer Payment",G705=""),"Add the customer",IF(AND(D705="Customer Payment",OR(J705="",COUNTIF(ar_No,J705&amp;"")=0)),"Invoice # in Reference not found on AR sheet",IF(AND(D705="Bill Payment",H705=""),"Add the vendor",IF(AND(D705="Bill Payment",OR(J705="",COUNTIFS(ap_No,J705&amp;"",ap_Party,H705&amp;"")=0)),"Bill # + vendor not found on AP sheet",IF(AND(ISNUMBER(M705),N(M705)&lt;&gt;0,W705=0),"Tax ignored (tax tracking off, or not allowed for this type)",IF(V705=K705&amp;"","Same account on both sides",IF(AND(ISNUMBER(StartDate),C705&lt;StartDate),"Date is before the accounting start date",IF(AND(D705&lt;&gt;"Adjustment",IFERROR(INDEX(coa_Pay,MATCH(K705&amp;"",coa_Name,0)),"")&lt;&gt;"Yes"),"Paid From / Deposited To is not a payment account","")))))))))))</f>
        <v/>
      </c>
      <c r="Z705" s="67">
        <f>IF(AND(T705=0,X705=""),1,0)</f>
        <v/>
      </c>
      <c r="AA705" s="68">
        <f>IF(Z705=1,IF(U705="In",L705,L705-W705),0)</f>
        <v/>
      </c>
      <c r="AB705" s="68">
        <f>IF(Z705=1,IF(U705="In",L705-W705,L705),0)</f>
        <v/>
      </c>
      <c r="AC705" s="68">
        <f>IF(AND(Z705=1,U705="Out"),W705,0)</f>
        <v/>
      </c>
      <c r="AD705" s="68">
        <f>IF(AND(Z705=1,U705="In"),W705,0)</f>
        <v/>
      </c>
    </row>
    <row r="706">
      <c r="B706" s="62" t="inlineStr">
        <is>
          <t>TX-0700</t>
        </is>
      </c>
      <c r="C706" s="63" t="n"/>
      <c r="D706" s="62" t="n"/>
      <c r="E706" s="62" t="n"/>
      <c r="F706" s="62" t="n"/>
      <c r="G706" s="62" t="n"/>
      <c r="H706" s="62" t="n"/>
      <c r="I706" s="62" t="n"/>
      <c r="J706" s="62" t="n"/>
      <c r="K706" s="62" t="n"/>
      <c r="L706" s="64" t="n"/>
      <c r="M706" s="64" t="n"/>
      <c r="N706" s="62" t="n"/>
      <c r="O706" s="65">
        <f>IF(Z706=1,L706-W706,"")</f>
        <v/>
      </c>
      <c r="P706" s="66">
        <f>IF(V706="","",IFERROR(INDEX(coa_Type,MATCH(V706,coa_Name,0)),""))</f>
        <v/>
      </c>
      <c r="Q706" s="66">
        <f>IF(Z706=1,IF(U706="In",K706&amp;"",V706),"")</f>
        <v/>
      </c>
      <c r="R706" s="66">
        <f>IF(Z706=1,IF(U706="In",V706,K706&amp;""),"")</f>
        <v/>
      </c>
      <c r="S706" s="66">
        <f>IF(X706&lt;&gt;"","⛔ "&amp;X706&amp;" — not posted",IF(Y706&lt;&gt;"","⚠ "&amp;Y706,IF(Z706=1,"✓ OK","")))</f>
        <v/>
      </c>
      <c r="T706" s="67">
        <f>IF(AND(C706="",D706="",E706="",L706="",K706=""),1,0)</f>
        <v/>
      </c>
      <c r="U706" s="67">
        <f>IFERROR(INDEX(tt_Dir,MATCH(D706,tt_Type,0)),"")</f>
        <v/>
      </c>
      <c r="V706" s="67">
        <f>IF(D706="","",IFERROR(IF(INDEX(tt_Other,MATCH(D706,tt_Type,0))="",E706&amp;"",INDEX(tt_Other,MATCH(D706,tt_Type,0))),""))</f>
        <v/>
      </c>
      <c r="W706" s="68">
        <f>IF(OR(TaxOn&lt;&gt;"Yes",NOT(ISNUMBER(M706))),0,IF(IFERROR(INDEX(tt_Tax,MATCH(D706,tt_Type,0)),"No")="Yes",M706,0))</f>
        <v/>
      </c>
      <c r="X706" s="67">
        <f>IF(T706=1,"",IF(C706="","Missing transaction date",IF(NOT(ISNUMBER(C706)),"Invalid date",IF(OR(C706&lt;DATE(2000,1,1),C706&gt;DATE(2099,12,31)),"Invalid date",IF(D706="","Select a type",IF(U706="","Unknown type: "&amp;D706,IF(V706="","Select an account (Category)",IF(ISNA(MATCH(V706,coa_Name,0)),"Unknown account: "&amp;V706,IF(K706="","Select Paid From / Deposited To",IF(ISNA(MATCH(K706,coa_Name,0)),"Unknown account: "&amp;K706,IF(NOT(ISNUMBER(L706)),"Enter an amount",IF(L706=0,"Enter an amount",IF(ABS(W706)&gt;ABS(L706),"Tax is larger than the amount","")))))))))))))</f>
        <v/>
      </c>
      <c r="Y706" s="67">
        <f>IF(OR(T706=1,X706&lt;&gt;""),"",IF(AND(B706&lt;&gt;"",COUNTIF(tx_ID,B706)&gt;1),"Duplicate transaction ID",IF(AND(L706&lt;0,D706&lt;&gt;"Adjustment"),"Negative amount — check this entry",IF(AND(D706="Customer Payment",G706=""),"Add the customer",IF(AND(D706="Customer Payment",OR(J706="",COUNTIF(ar_No,J706&amp;"")=0)),"Invoice # in Reference not found on AR sheet",IF(AND(D706="Bill Payment",H706=""),"Add the vendor",IF(AND(D706="Bill Payment",OR(J706="",COUNTIFS(ap_No,J706&amp;"",ap_Party,H706&amp;"")=0)),"Bill # + vendor not found on AP sheet",IF(AND(ISNUMBER(M706),N(M706)&lt;&gt;0,W706=0),"Tax ignored (tax tracking off, or not allowed for this type)",IF(V706=K706&amp;"","Same account on both sides",IF(AND(ISNUMBER(StartDate),C706&lt;StartDate),"Date is before the accounting start date",IF(AND(D706&lt;&gt;"Adjustment",IFERROR(INDEX(coa_Pay,MATCH(K706&amp;"",coa_Name,0)),"")&lt;&gt;"Yes"),"Paid From / Deposited To is not a payment account","")))))))))))</f>
        <v/>
      </c>
      <c r="Z706" s="67">
        <f>IF(AND(T706=0,X706=""),1,0)</f>
        <v/>
      </c>
      <c r="AA706" s="68">
        <f>IF(Z706=1,IF(U706="In",L706,L706-W706),0)</f>
        <v/>
      </c>
      <c r="AB706" s="68">
        <f>IF(Z706=1,IF(U706="In",L706-W706,L706),0)</f>
        <v/>
      </c>
      <c r="AC706" s="68">
        <f>IF(AND(Z706=1,U706="Out"),W706,0)</f>
        <v/>
      </c>
      <c r="AD706" s="68">
        <f>IF(AND(Z706=1,U706="In"),W706,0)</f>
        <v/>
      </c>
    </row>
    <row r="707">
      <c r="B707" s="62" t="inlineStr">
        <is>
          <t>TX-0701</t>
        </is>
      </c>
      <c r="C707" s="63" t="n"/>
      <c r="D707" s="62" t="n"/>
      <c r="E707" s="62" t="n"/>
      <c r="F707" s="62" t="n"/>
      <c r="G707" s="62" t="n"/>
      <c r="H707" s="62" t="n"/>
      <c r="I707" s="62" t="n"/>
      <c r="J707" s="62" t="n"/>
      <c r="K707" s="62" t="n"/>
      <c r="L707" s="64" t="n"/>
      <c r="M707" s="64" t="n"/>
      <c r="N707" s="62" t="n"/>
      <c r="O707" s="65">
        <f>IF(Z707=1,L707-W707,"")</f>
        <v/>
      </c>
      <c r="P707" s="66">
        <f>IF(V707="","",IFERROR(INDEX(coa_Type,MATCH(V707,coa_Name,0)),""))</f>
        <v/>
      </c>
      <c r="Q707" s="66">
        <f>IF(Z707=1,IF(U707="In",K707&amp;"",V707),"")</f>
        <v/>
      </c>
      <c r="R707" s="66">
        <f>IF(Z707=1,IF(U707="In",V707,K707&amp;""),"")</f>
        <v/>
      </c>
      <c r="S707" s="66">
        <f>IF(X707&lt;&gt;"","⛔ "&amp;X707&amp;" — not posted",IF(Y707&lt;&gt;"","⚠ "&amp;Y707,IF(Z707=1,"✓ OK","")))</f>
        <v/>
      </c>
      <c r="T707" s="67">
        <f>IF(AND(C707="",D707="",E707="",L707="",K707=""),1,0)</f>
        <v/>
      </c>
      <c r="U707" s="67">
        <f>IFERROR(INDEX(tt_Dir,MATCH(D707,tt_Type,0)),"")</f>
        <v/>
      </c>
      <c r="V707" s="67">
        <f>IF(D707="","",IFERROR(IF(INDEX(tt_Other,MATCH(D707,tt_Type,0))="",E707&amp;"",INDEX(tt_Other,MATCH(D707,tt_Type,0))),""))</f>
        <v/>
      </c>
      <c r="W707" s="68">
        <f>IF(OR(TaxOn&lt;&gt;"Yes",NOT(ISNUMBER(M707))),0,IF(IFERROR(INDEX(tt_Tax,MATCH(D707,tt_Type,0)),"No")="Yes",M707,0))</f>
        <v/>
      </c>
      <c r="X707" s="67">
        <f>IF(T707=1,"",IF(C707="","Missing transaction date",IF(NOT(ISNUMBER(C707)),"Invalid date",IF(OR(C707&lt;DATE(2000,1,1),C707&gt;DATE(2099,12,31)),"Invalid date",IF(D707="","Select a type",IF(U707="","Unknown type: "&amp;D707,IF(V707="","Select an account (Category)",IF(ISNA(MATCH(V707,coa_Name,0)),"Unknown account: "&amp;V707,IF(K707="","Select Paid From / Deposited To",IF(ISNA(MATCH(K707,coa_Name,0)),"Unknown account: "&amp;K707,IF(NOT(ISNUMBER(L707)),"Enter an amount",IF(L707=0,"Enter an amount",IF(ABS(W707)&gt;ABS(L707),"Tax is larger than the amount","")))))))))))))</f>
        <v/>
      </c>
      <c r="Y707" s="67">
        <f>IF(OR(T707=1,X707&lt;&gt;""),"",IF(AND(B707&lt;&gt;"",COUNTIF(tx_ID,B707)&gt;1),"Duplicate transaction ID",IF(AND(L707&lt;0,D707&lt;&gt;"Adjustment"),"Negative amount — check this entry",IF(AND(D707="Customer Payment",G707=""),"Add the customer",IF(AND(D707="Customer Payment",OR(J707="",COUNTIF(ar_No,J707&amp;"")=0)),"Invoice # in Reference not found on AR sheet",IF(AND(D707="Bill Payment",H707=""),"Add the vendor",IF(AND(D707="Bill Payment",OR(J707="",COUNTIFS(ap_No,J707&amp;"",ap_Party,H707&amp;"")=0)),"Bill # + vendor not found on AP sheet",IF(AND(ISNUMBER(M707),N(M707)&lt;&gt;0,W707=0),"Tax ignored (tax tracking off, or not allowed for this type)",IF(V707=K707&amp;"","Same account on both sides",IF(AND(ISNUMBER(StartDate),C707&lt;StartDate),"Date is before the accounting start date",IF(AND(D707&lt;&gt;"Adjustment",IFERROR(INDEX(coa_Pay,MATCH(K707&amp;"",coa_Name,0)),"")&lt;&gt;"Yes"),"Paid From / Deposited To is not a payment account","")))))))))))</f>
        <v/>
      </c>
      <c r="Z707" s="67">
        <f>IF(AND(T707=0,X707=""),1,0)</f>
        <v/>
      </c>
      <c r="AA707" s="68">
        <f>IF(Z707=1,IF(U707="In",L707,L707-W707),0)</f>
        <v/>
      </c>
      <c r="AB707" s="68">
        <f>IF(Z707=1,IF(U707="In",L707-W707,L707),0)</f>
        <v/>
      </c>
      <c r="AC707" s="68">
        <f>IF(AND(Z707=1,U707="Out"),W707,0)</f>
        <v/>
      </c>
      <c r="AD707" s="68">
        <f>IF(AND(Z707=1,U707="In"),W707,0)</f>
        <v/>
      </c>
    </row>
    <row r="708">
      <c r="B708" s="62" t="inlineStr">
        <is>
          <t>TX-0702</t>
        </is>
      </c>
      <c r="C708" s="63" t="n"/>
      <c r="D708" s="62" t="n"/>
      <c r="E708" s="62" t="n"/>
      <c r="F708" s="62" t="n"/>
      <c r="G708" s="62" t="n"/>
      <c r="H708" s="62" t="n"/>
      <c r="I708" s="62" t="n"/>
      <c r="J708" s="62" t="n"/>
      <c r="K708" s="62" t="n"/>
      <c r="L708" s="64" t="n"/>
      <c r="M708" s="64" t="n"/>
      <c r="N708" s="62" t="n"/>
      <c r="O708" s="65">
        <f>IF(Z708=1,L708-W708,"")</f>
        <v/>
      </c>
      <c r="P708" s="66">
        <f>IF(V708="","",IFERROR(INDEX(coa_Type,MATCH(V708,coa_Name,0)),""))</f>
        <v/>
      </c>
      <c r="Q708" s="66">
        <f>IF(Z708=1,IF(U708="In",K708&amp;"",V708),"")</f>
        <v/>
      </c>
      <c r="R708" s="66">
        <f>IF(Z708=1,IF(U708="In",V708,K708&amp;""),"")</f>
        <v/>
      </c>
      <c r="S708" s="66">
        <f>IF(X708&lt;&gt;"","⛔ "&amp;X708&amp;" — not posted",IF(Y708&lt;&gt;"","⚠ "&amp;Y708,IF(Z708=1,"✓ OK","")))</f>
        <v/>
      </c>
      <c r="T708" s="67">
        <f>IF(AND(C708="",D708="",E708="",L708="",K708=""),1,0)</f>
        <v/>
      </c>
      <c r="U708" s="67">
        <f>IFERROR(INDEX(tt_Dir,MATCH(D708,tt_Type,0)),"")</f>
        <v/>
      </c>
      <c r="V708" s="67">
        <f>IF(D708="","",IFERROR(IF(INDEX(tt_Other,MATCH(D708,tt_Type,0))="",E708&amp;"",INDEX(tt_Other,MATCH(D708,tt_Type,0))),""))</f>
        <v/>
      </c>
      <c r="W708" s="68">
        <f>IF(OR(TaxOn&lt;&gt;"Yes",NOT(ISNUMBER(M708))),0,IF(IFERROR(INDEX(tt_Tax,MATCH(D708,tt_Type,0)),"No")="Yes",M708,0))</f>
        <v/>
      </c>
      <c r="X708" s="67">
        <f>IF(T708=1,"",IF(C708="","Missing transaction date",IF(NOT(ISNUMBER(C708)),"Invalid date",IF(OR(C708&lt;DATE(2000,1,1),C708&gt;DATE(2099,12,31)),"Invalid date",IF(D708="","Select a type",IF(U708="","Unknown type: "&amp;D708,IF(V708="","Select an account (Category)",IF(ISNA(MATCH(V708,coa_Name,0)),"Unknown account: "&amp;V708,IF(K708="","Select Paid From / Deposited To",IF(ISNA(MATCH(K708,coa_Name,0)),"Unknown account: "&amp;K708,IF(NOT(ISNUMBER(L708)),"Enter an amount",IF(L708=0,"Enter an amount",IF(ABS(W708)&gt;ABS(L708),"Tax is larger than the amount","")))))))))))))</f>
        <v/>
      </c>
      <c r="Y708" s="67">
        <f>IF(OR(T708=1,X708&lt;&gt;""),"",IF(AND(B708&lt;&gt;"",COUNTIF(tx_ID,B708)&gt;1),"Duplicate transaction ID",IF(AND(L708&lt;0,D708&lt;&gt;"Adjustment"),"Negative amount — check this entry",IF(AND(D708="Customer Payment",G708=""),"Add the customer",IF(AND(D708="Customer Payment",OR(J708="",COUNTIF(ar_No,J708&amp;"")=0)),"Invoice # in Reference not found on AR sheet",IF(AND(D708="Bill Payment",H708=""),"Add the vendor",IF(AND(D708="Bill Payment",OR(J708="",COUNTIFS(ap_No,J708&amp;"",ap_Party,H708&amp;"")=0)),"Bill # + vendor not found on AP sheet",IF(AND(ISNUMBER(M708),N(M708)&lt;&gt;0,W708=0),"Tax ignored (tax tracking off, or not allowed for this type)",IF(V708=K708&amp;"","Same account on both sides",IF(AND(ISNUMBER(StartDate),C708&lt;StartDate),"Date is before the accounting start date",IF(AND(D708&lt;&gt;"Adjustment",IFERROR(INDEX(coa_Pay,MATCH(K708&amp;"",coa_Name,0)),"")&lt;&gt;"Yes"),"Paid From / Deposited To is not a payment account","")))))))))))</f>
        <v/>
      </c>
      <c r="Z708" s="67">
        <f>IF(AND(T708=0,X708=""),1,0)</f>
        <v/>
      </c>
      <c r="AA708" s="68">
        <f>IF(Z708=1,IF(U708="In",L708,L708-W708),0)</f>
        <v/>
      </c>
      <c r="AB708" s="68">
        <f>IF(Z708=1,IF(U708="In",L708-W708,L708),0)</f>
        <v/>
      </c>
      <c r="AC708" s="68">
        <f>IF(AND(Z708=1,U708="Out"),W708,0)</f>
        <v/>
      </c>
      <c r="AD708" s="68">
        <f>IF(AND(Z708=1,U708="In"),W708,0)</f>
        <v/>
      </c>
    </row>
    <row r="709">
      <c r="B709" s="62" t="inlineStr">
        <is>
          <t>TX-0703</t>
        </is>
      </c>
      <c r="C709" s="63" t="n"/>
      <c r="D709" s="62" t="n"/>
      <c r="E709" s="62" t="n"/>
      <c r="F709" s="62" t="n"/>
      <c r="G709" s="62" t="n"/>
      <c r="H709" s="62" t="n"/>
      <c r="I709" s="62" t="n"/>
      <c r="J709" s="62" t="n"/>
      <c r="K709" s="62" t="n"/>
      <c r="L709" s="64" t="n"/>
      <c r="M709" s="64" t="n"/>
      <c r="N709" s="62" t="n"/>
      <c r="O709" s="65">
        <f>IF(Z709=1,L709-W709,"")</f>
        <v/>
      </c>
      <c r="P709" s="66">
        <f>IF(V709="","",IFERROR(INDEX(coa_Type,MATCH(V709,coa_Name,0)),""))</f>
        <v/>
      </c>
      <c r="Q709" s="66">
        <f>IF(Z709=1,IF(U709="In",K709&amp;"",V709),"")</f>
        <v/>
      </c>
      <c r="R709" s="66">
        <f>IF(Z709=1,IF(U709="In",V709,K709&amp;""),"")</f>
        <v/>
      </c>
      <c r="S709" s="66">
        <f>IF(X709&lt;&gt;"","⛔ "&amp;X709&amp;" — not posted",IF(Y709&lt;&gt;"","⚠ "&amp;Y709,IF(Z709=1,"✓ OK","")))</f>
        <v/>
      </c>
      <c r="T709" s="67">
        <f>IF(AND(C709="",D709="",E709="",L709="",K709=""),1,0)</f>
        <v/>
      </c>
      <c r="U709" s="67">
        <f>IFERROR(INDEX(tt_Dir,MATCH(D709,tt_Type,0)),"")</f>
        <v/>
      </c>
      <c r="V709" s="67">
        <f>IF(D709="","",IFERROR(IF(INDEX(tt_Other,MATCH(D709,tt_Type,0))="",E709&amp;"",INDEX(tt_Other,MATCH(D709,tt_Type,0))),""))</f>
        <v/>
      </c>
      <c r="W709" s="68">
        <f>IF(OR(TaxOn&lt;&gt;"Yes",NOT(ISNUMBER(M709))),0,IF(IFERROR(INDEX(tt_Tax,MATCH(D709,tt_Type,0)),"No")="Yes",M709,0))</f>
        <v/>
      </c>
      <c r="X709" s="67">
        <f>IF(T709=1,"",IF(C709="","Missing transaction date",IF(NOT(ISNUMBER(C709)),"Invalid date",IF(OR(C709&lt;DATE(2000,1,1),C709&gt;DATE(2099,12,31)),"Invalid date",IF(D709="","Select a type",IF(U709="","Unknown type: "&amp;D709,IF(V709="","Select an account (Category)",IF(ISNA(MATCH(V709,coa_Name,0)),"Unknown account: "&amp;V709,IF(K709="","Select Paid From / Deposited To",IF(ISNA(MATCH(K709,coa_Name,0)),"Unknown account: "&amp;K709,IF(NOT(ISNUMBER(L709)),"Enter an amount",IF(L709=0,"Enter an amount",IF(ABS(W709)&gt;ABS(L709),"Tax is larger than the amount","")))))))))))))</f>
        <v/>
      </c>
      <c r="Y709" s="67">
        <f>IF(OR(T709=1,X709&lt;&gt;""),"",IF(AND(B709&lt;&gt;"",COUNTIF(tx_ID,B709)&gt;1),"Duplicate transaction ID",IF(AND(L709&lt;0,D709&lt;&gt;"Adjustment"),"Negative amount — check this entry",IF(AND(D709="Customer Payment",G709=""),"Add the customer",IF(AND(D709="Customer Payment",OR(J709="",COUNTIF(ar_No,J709&amp;"")=0)),"Invoice # in Reference not found on AR sheet",IF(AND(D709="Bill Payment",H709=""),"Add the vendor",IF(AND(D709="Bill Payment",OR(J709="",COUNTIFS(ap_No,J709&amp;"",ap_Party,H709&amp;"")=0)),"Bill # + vendor not found on AP sheet",IF(AND(ISNUMBER(M709),N(M709)&lt;&gt;0,W709=0),"Tax ignored (tax tracking off, or not allowed for this type)",IF(V709=K709&amp;"","Same account on both sides",IF(AND(ISNUMBER(StartDate),C709&lt;StartDate),"Date is before the accounting start date",IF(AND(D709&lt;&gt;"Adjustment",IFERROR(INDEX(coa_Pay,MATCH(K709&amp;"",coa_Name,0)),"")&lt;&gt;"Yes"),"Paid From / Deposited To is not a payment account","")))))))))))</f>
        <v/>
      </c>
      <c r="Z709" s="67">
        <f>IF(AND(T709=0,X709=""),1,0)</f>
        <v/>
      </c>
      <c r="AA709" s="68">
        <f>IF(Z709=1,IF(U709="In",L709,L709-W709),0)</f>
        <v/>
      </c>
      <c r="AB709" s="68">
        <f>IF(Z709=1,IF(U709="In",L709-W709,L709),0)</f>
        <v/>
      </c>
      <c r="AC709" s="68">
        <f>IF(AND(Z709=1,U709="Out"),W709,0)</f>
        <v/>
      </c>
      <c r="AD709" s="68">
        <f>IF(AND(Z709=1,U709="In"),W709,0)</f>
        <v/>
      </c>
    </row>
    <row r="710">
      <c r="B710" s="62" t="inlineStr">
        <is>
          <t>TX-0704</t>
        </is>
      </c>
      <c r="C710" s="63" t="n"/>
      <c r="D710" s="62" t="n"/>
      <c r="E710" s="62" t="n"/>
      <c r="F710" s="62" t="n"/>
      <c r="G710" s="62" t="n"/>
      <c r="H710" s="62" t="n"/>
      <c r="I710" s="62" t="n"/>
      <c r="J710" s="62" t="n"/>
      <c r="K710" s="62" t="n"/>
      <c r="L710" s="64" t="n"/>
      <c r="M710" s="64" t="n"/>
      <c r="N710" s="62" t="n"/>
      <c r="O710" s="65">
        <f>IF(Z710=1,L710-W710,"")</f>
        <v/>
      </c>
      <c r="P710" s="66">
        <f>IF(V710="","",IFERROR(INDEX(coa_Type,MATCH(V710,coa_Name,0)),""))</f>
        <v/>
      </c>
      <c r="Q710" s="66">
        <f>IF(Z710=1,IF(U710="In",K710&amp;"",V710),"")</f>
        <v/>
      </c>
      <c r="R710" s="66">
        <f>IF(Z710=1,IF(U710="In",V710,K710&amp;""),"")</f>
        <v/>
      </c>
      <c r="S710" s="66">
        <f>IF(X710&lt;&gt;"","⛔ "&amp;X710&amp;" — not posted",IF(Y710&lt;&gt;"","⚠ "&amp;Y710,IF(Z710=1,"✓ OK","")))</f>
        <v/>
      </c>
      <c r="T710" s="67">
        <f>IF(AND(C710="",D710="",E710="",L710="",K710=""),1,0)</f>
        <v/>
      </c>
      <c r="U710" s="67">
        <f>IFERROR(INDEX(tt_Dir,MATCH(D710,tt_Type,0)),"")</f>
        <v/>
      </c>
      <c r="V710" s="67">
        <f>IF(D710="","",IFERROR(IF(INDEX(tt_Other,MATCH(D710,tt_Type,0))="",E710&amp;"",INDEX(tt_Other,MATCH(D710,tt_Type,0))),""))</f>
        <v/>
      </c>
      <c r="W710" s="68">
        <f>IF(OR(TaxOn&lt;&gt;"Yes",NOT(ISNUMBER(M710))),0,IF(IFERROR(INDEX(tt_Tax,MATCH(D710,tt_Type,0)),"No")="Yes",M710,0))</f>
        <v/>
      </c>
      <c r="X710" s="67">
        <f>IF(T710=1,"",IF(C710="","Missing transaction date",IF(NOT(ISNUMBER(C710)),"Invalid date",IF(OR(C710&lt;DATE(2000,1,1),C710&gt;DATE(2099,12,31)),"Invalid date",IF(D710="","Select a type",IF(U710="","Unknown type: "&amp;D710,IF(V710="","Select an account (Category)",IF(ISNA(MATCH(V710,coa_Name,0)),"Unknown account: "&amp;V710,IF(K710="","Select Paid From / Deposited To",IF(ISNA(MATCH(K710,coa_Name,0)),"Unknown account: "&amp;K710,IF(NOT(ISNUMBER(L710)),"Enter an amount",IF(L710=0,"Enter an amount",IF(ABS(W710)&gt;ABS(L710),"Tax is larger than the amount","")))))))))))))</f>
        <v/>
      </c>
      <c r="Y710" s="67">
        <f>IF(OR(T710=1,X710&lt;&gt;""),"",IF(AND(B710&lt;&gt;"",COUNTIF(tx_ID,B710)&gt;1),"Duplicate transaction ID",IF(AND(L710&lt;0,D710&lt;&gt;"Adjustment"),"Negative amount — check this entry",IF(AND(D710="Customer Payment",G710=""),"Add the customer",IF(AND(D710="Customer Payment",OR(J710="",COUNTIF(ar_No,J710&amp;"")=0)),"Invoice # in Reference not found on AR sheet",IF(AND(D710="Bill Payment",H710=""),"Add the vendor",IF(AND(D710="Bill Payment",OR(J710="",COUNTIFS(ap_No,J710&amp;"",ap_Party,H710&amp;"")=0)),"Bill # + vendor not found on AP sheet",IF(AND(ISNUMBER(M710),N(M710)&lt;&gt;0,W710=0),"Tax ignored (tax tracking off, or not allowed for this type)",IF(V710=K710&amp;"","Same account on both sides",IF(AND(ISNUMBER(StartDate),C710&lt;StartDate),"Date is before the accounting start date",IF(AND(D710&lt;&gt;"Adjustment",IFERROR(INDEX(coa_Pay,MATCH(K710&amp;"",coa_Name,0)),"")&lt;&gt;"Yes"),"Paid From / Deposited To is not a payment account","")))))))))))</f>
        <v/>
      </c>
      <c r="Z710" s="67">
        <f>IF(AND(T710=0,X710=""),1,0)</f>
        <v/>
      </c>
      <c r="AA710" s="68">
        <f>IF(Z710=1,IF(U710="In",L710,L710-W710),0)</f>
        <v/>
      </c>
      <c r="AB710" s="68">
        <f>IF(Z710=1,IF(U710="In",L710-W710,L710),0)</f>
        <v/>
      </c>
      <c r="AC710" s="68">
        <f>IF(AND(Z710=1,U710="Out"),W710,0)</f>
        <v/>
      </c>
      <c r="AD710" s="68">
        <f>IF(AND(Z710=1,U710="In"),W710,0)</f>
        <v/>
      </c>
    </row>
    <row r="711">
      <c r="B711" s="62" t="inlineStr">
        <is>
          <t>TX-0705</t>
        </is>
      </c>
      <c r="C711" s="63" t="n"/>
      <c r="D711" s="62" t="n"/>
      <c r="E711" s="62" t="n"/>
      <c r="F711" s="62" t="n"/>
      <c r="G711" s="62" t="n"/>
      <c r="H711" s="62" t="n"/>
      <c r="I711" s="62" t="n"/>
      <c r="J711" s="62" t="n"/>
      <c r="K711" s="62" t="n"/>
      <c r="L711" s="64" t="n"/>
      <c r="M711" s="64" t="n"/>
      <c r="N711" s="62" t="n"/>
      <c r="O711" s="65">
        <f>IF(Z711=1,L711-W711,"")</f>
        <v/>
      </c>
      <c r="P711" s="66">
        <f>IF(V711="","",IFERROR(INDEX(coa_Type,MATCH(V711,coa_Name,0)),""))</f>
        <v/>
      </c>
      <c r="Q711" s="66">
        <f>IF(Z711=1,IF(U711="In",K711&amp;"",V711),"")</f>
        <v/>
      </c>
      <c r="R711" s="66">
        <f>IF(Z711=1,IF(U711="In",V711,K711&amp;""),"")</f>
        <v/>
      </c>
      <c r="S711" s="66">
        <f>IF(X711&lt;&gt;"","⛔ "&amp;X711&amp;" — not posted",IF(Y711&lt;&gt;"","⚠ "&amp;Y711,IF(Z711=1,"✓ OK","")))</f>
        <v/>
      </c>
      <c r="T711" s="67">
        <f>IF(AND(C711="",D711="",E711="",L711="",K711=""),1,0)</f>
        <v/>
      </c>
      <c r="U711" s="67">
        <f>IFERROR(INDEX(tt_Dir,MATCH(D711,tt_Type,0)),"")</f>
        <v/>
      </c>
      <c r="V711" s="67">
        <f>IF(D711="","",IFERROR(IF(INDEX(tt_Other,MATCH(D711,tt_Type,0))="",E711&amp;"",INDEX(tt_Other,MATCH(D711,tt_Type,0))),""))</f>
        <v/>
      </c>
      <c r="W711" s="68">
        <f>IF(OR(TaxOn&lt;&gt;"Yes",NOT(ISNUMBER(M711))),0,IF(IFERROR(INDEX(tt_Tax,MATCH(D711,tt_Type,0)),"No")="Yes",M711,0))</f>
        <v/>
      </c>
      <c r="X711" s="67">
        <f>IF(T711=1,"",IF(C711="","Missing transaction date",IF(NOT(ISNUMBER(C711)),"Invalid date",IF(OR(C711&lt;DATE(2000,1,1),C711&gt;DATE(2099,12,31)),"Invalid date",IF(D711="","Select a type",IF(U711="","Unknown type: "&amp;D711,IF(V711="","Select an account (Category)",IF(ISNA(MATCH(V711,coa_Name,0)),"Unknown account: "&amp;V711,IF(K711="","Select Paid From / Deposited To",IF(ISNA(MATCH(K711,coa_Name,0)),"Unknown account: "&amp;K711,IF(NOT(ISNUMBER(L711)),"Enter an amount",IF(L711=0,"Enter an amount",IF(ABS(W711)&gt;ABS(L711),"Tax is larger than the amount","")))))))))))))</f>
        <v/>
      </c>
      <c r="Y711" s="67">
        <f>IF(OR(T711=1,X711&lt;&gt;""),"",IF(AND(B711&lt;&gt;"",COUNTIF(tx_ID,B711)&gt;1),"Duplicate transaction ID",IF(AND(L711&lt;0,D711&lt;&gt;"Adjustment"),"Negative amount — check this entry",IF(AND(D711="Customer Payment",G711=""),"Add the customer",IF(AND(D711="Customer Payment",OR(J711="",COUNTIF(ar_No,J711&amp;"")=0)),"Invoice # in Reference not found on AR sheet",IF(AND(D711="Bill Payment",H711=""),"Add the vendor",IF(AND(D711="Bill Payment",OR(J711="",COUNTIFS(ap_No,J711&amp;"",ap_Party,H711&amp;"")=0)),"Bill # + vendor not found on AP sheet",IF(AND(ISNUMBER(M711),N(M711)&lt;&gt;0,W711=0),"Tax ignored (tax tracking off, or not allowed for this type)",IF(V711=K711&amp;"","Same account on both sides",IF(AND(ISNUMBER(StartDate),C711&lt;StartDate),"Date is before the accounting start date",IF(AND(D711&lt;&gt;"Adjustment",IFERROR(INDEX(coa_Pay,MATCH(K711&amp;"",coa_Name,0)),"")&lt;&gt;"Yes"),"Paid From / Deposited To is not a payment account","")))))))))))</f>
        <v/>
      </c>
      <c r="Z711" s="67">
        <f>IF(AND(T711=0,X711=""),1,0)</f>
        <v/>
      </c>
      <c r="AA711" s="68">
        <f>IF(Z711=1,IF(U711="In",L711,L711-W711),0)</f>
        <v/>
      </c>
      <c r="AB711" s="68">
        <f>IF(Z711=1,IF(U711="In",L711-W711,L711),0)</f>
        <v/>
      </c>
      <c r="AC711" s="68">
        <f>IF(AND(Z711=1,U711="Out"),W711,0)</f>
        <v/>
      </c>
      <c r="AD711" s="68">
        <f>IF(AND(Z711=1,U711="In"),W711,0)</f>
        <v/>
      </c>
    </row>
    <row r="712">
      <c r="B712" s="62" t="inlineStr">
        <is>
          <t>TX-0706</t>
        </is>
      </c>
      <c r="C712" s="63" t="n"/>
      <c r="D712" s="62" t="n"/>
      <c r="E712" s="62" t="n"/>
      <c r="F712" s="62" t="n"/>
      <c r="G712" s="62" t="n"/>
      <c r="H712" s="62" t="n"/>
      <c r="I712" s="62" t="n"/>
      <c r="J712" s="62" t="n"/>
      <c r="K712" s="62" t="n"/>
      <c r="L712" s="64" t="n"/>
      <c r="M712" s="64" t="n"/>
      <c r="N712" s="62" t="n"/>
      <c r="O712" s="65">
        <f>IF(Z712=1,L712-W712,"")</f>
        <v/>
      </c>
      <c r="P712" s="66">
        <f>IF(V712="","",IFERROR(INDEX(coa_Type,MATCH(V712,coa_Name,0)),""))</f>
        <v/>
      </c>
      <c r="Q712" s="66">
        <f>IF(Z712=1,IF(U712="In",K712&amp;"",V712),"")</f>
        <v/>
      </c>
      <c r="R712" s="66">
        <f>IF(Z712=1,IF(U712="In",V712,K712&amp;""),"")</f>
        <v/>
      </c>
      <c r="S712" s="66">
        <f>IF(X712&lt;&gt;"","⛔ "&amp;X712&amp;" — not posted",IF(Y712&lt;&gt;"","⚠ "&amp;Y712,IF(Z712=1,"✓ OK","")))</f>
        <v/>
      </c>
      <c r="T712" s="67">
        <f>IF(AND(C712="",D712="",E712="",L712="",K712=""),1,0)</f>
        <v/>
      </c>
      <c r="U712" s="67">
        <f>IFERROR(INDEX(tt_Dir,MATCH(D712,tt_Type,0)),"")</f>
        <v/>
      </c>
      <c r="V712" s="67">
        <f>IF(D712="","",IFERROR(IF(INDEX(tt_Other,MATCH(D712,tt_Type,0))="",E712&amp;"",INDEX(tt_Other,MATCH(D712,tt_Type,0))),""))</f>
        <v/>
      </c>
      <c r="W712" s="68">
        <f>IF(OR(TaxOn&lt;&gt;"Yes",NOT(ISNUMBER(M712))),0,IF(IFERROR(INDEX(tt_Tax,MATCH(D712,tt_Type,0)),"No")="Yes",M712,0))</f>
        <v/>
      </c>
      <c r="X712" s="67">
        <f>IF(T712=1,"",IF(C712="","Missing transaction date",IF(NOT(ISNUMBER(C712)),"Invalid date",IF(OR(C712&lt;DATE(2000,1,1),C712&gt;DATE(2099,12,31)),"Invalid date",IF(D712="","Select a type",IF(U712="","Unknown type: "&amp;D712,IF(V712="","Select an account (Category)",IF(ISNA(MATCH(V712,coa_Name,0)),"Unknown account: "&amp;V712,IF(K712="","Select Paid From / Deposited To",IF(ISNA(MATCH(K712,coa_Name,0)),"Unknown account: "&amp;K712,IF(NOT(ISNUMBER(L712)),"Enter an amount",IF(L712=0,"Enter an amount",IF(ABS(W712)&gt;ABS(L712),"Tax is larger than the amount","")))))))))))))</f>
        <v/>
      </c>
      <c r="Y712" s="67">
        <f>IF(OR(T712=1,X712&lt;&gt;""),"",IF(AND(B712&lt;&gt;"",COUNTIF(tx_ID,B712)&gt;1),"Duplicate transaction ID",IF(AND(L712&lt;0,D712&lt;&gt;"Adjustment"),"Negative amount — check this entry",IF(AND(D712="Customer Payment",G712=""),"Add the customer",IF(AND(D712="Customer Payment",OR(J712="",COUNTIF(ar_No,J712&amp;"")=0)),"Invoice # in Reference not found on AR sheet",IF(AND(D712="Bill Payment",H712=""),"Add the vendor",IF(AND(D712="Bill Payment",OR(J712="",COUNTIFS(ap_No,J712&amp;"",ap_Party,H712&amp;"")=0)),"Bill # + vendor not found on AP sheet",IF(AND(ISNUMBER(M712),N(M712)&lt;&gt;0,W712=0),"Tax ignored (tax tracking off, or not allowed for this type)",IF(V712=K712&amp;"","Same account on both sides",IF(AND(ISNUMBER(StartDate),C712&lt;StartDate),"Date is before the accounting start date",IF(AND(D712&lt;&gt;"Adjustment",IFERROR(INDEX(coa_Pay,MATCH(K712&amp;"",coa_Name,0)),"")&lt;&gt;"Yes"),"Paid From / Deposited To is not a payment account","")))))))))))</f>
        <v/>
      </c>
      <c r="Z712" s="67">
        <f>IF(AND(T712=0,X712=""),1,0)</f>
        <v/>
      </c>
      <c r="AA712" s="68">
        <f>IF(Z712=1,IF(U712="In",L712,L712-W712),0)</f>
        <v/>
      </c>
      <c r="AB712" s="68">
        <f>IF(Z712=1,IF(U712="In",L712-W712,L712),0)</f>
        <v/>
      </c>
      <c r="AC712" s="68">
        <f>IF(AND(Z712=1,U712="Out"),W712,0)</f>
        <v/>
      </c>
      <c r="AD712" s="68">
        <f>IF(AND(Z712=1,U712="In"),W712,0)</f>
        <v/>
      </c>
    </row>
    <row r="713">
      <c r="B713" s="62" t="inlineStr">
        <is>
          <t>TX-0707</t>
        </is>
      </c>
      <c r="C713" s="63" t="n"/>
      <c r="D713" s="62" t="n"/>
      <c r="E713" s="62" t="n"/>
      <c r="F713" s="62" t="n"/>
      <c r="G713" s="62" t="n"/>
      <c r="H713" s="62" t="n"/>
      <c r="I713" s="62" t="n"/>
      <c r="J713" s="62" t="n"/>
      <c r="K713" s="62" t="n"/>
      <c r="L713" s="64" t="n"/>
      <c r="M713" s="64" t="n"/>
      <c r="N713" s="62" t="n"/>
      <c r="O713" s="65">
        <f>IF(Z713=1,L713-W713,"")</f>
        <v/>
      </c>
      <c r="P713" s="66">
        <f>IF(V713="","",IFERROR(INDEX(coa_Type,MATCH(V713,coa_Name,0)),""))</f>
        <v/>
      </c>
      <c r="Q713" s="66">
        <f>IF(Z713=1,IF(U713="In",K713&amp;"",V713),"")</f>
        <v/>
      </c>
      <c r="R713" s="66">
        <f>IF(Z713=1,IF(U713="In",V713,K713&amp;""),"")</f>
        <v/>
      </c>
      <c r="S713" s="66">
        <f>IF(X713&lt;&gt;"","⛔ "&amp;X713&amp;" — not posted",IF(Y713&lt;&gt;"","⚠ "&amp;Y713,IF(Z713=1,"✓ OK","")))</f>
        <v/>
      </c>
      <c r="T713" s="67">
        <f>IF(AND(C713="",D713="",E713="",L713="",K713=""),1,0)</f>
        <v/>
      </c>
      <c r="U713" s="67">
        <f>IFERROR(INDEX(tt_Dir,MATCH(D713,tt_Type,0)),"")</f>
        <v/>
      </c>
      <c r="V713" s="67">
        <f>IF(D713="","",IFERROR(IF(INDEX(tt_Other,MATCH(D713,tt_Type,0))="",E713&amp;"",INDEX(tt_Other,MATCH(D713,tt_Type,0))),""))</f>
        <v/>
      </c>
      <c r="W713" s="68">
        <f>IF(OR(TaxOn&lt;&gt;"Yes",NOT(ISNUMBER(M713))),0,IF(IFERROR(INDEX(tt_Tax,MATCH(D713,tt_Type,0)),"No")="Yes",M713,0))</f>
        <v/>
      </c>
      <c r="X713" s="67">
        <f>IF(T713=1,"",IF(C713="","Missing transaction date",IF(NOT(ISNUMBER(C713)),"Invalid date",IF(OR(C713&lt;DATE(2000,1,1),C713&gt;DATE(2099,12,31)),"Invalid date",IF(D713="","Select a type",IF(U713="","Unknown type: "&amp;D713,IF(V713="","Select an account (Category)",IF(ISNA(MATCH(V713,coa_Name,0)),"Unknown account: "&amp;V713,IF(K713="","Select Paid From / Deposited To",IF(ISNA(MATCH(K713,coa_Name,0)),"Unknown account: "&amp;K713,IF(NOT(ISNUMBER(L713)),"Enter an amount",IF(L713=0,"Enter an amount",IF(ABS(W713)&gt;ABS(L713),"Tax is larger than the amount","")))))))))))))</f>
        <v/>
      </c>
      <c r="Y713" s="67">
        <f>IF(OR(T713=1,X713&lt;&gt;""),"",IF(AND(B713&lt;&gt;"",COUNTIF(tx_ID,B713)&gt;1),"Duplicate transaction ID",IF(AND(L713&lt;0,D713&lt;&gt;"Adjustment"),"Negative amount — check this entry",IF(AND(D713="Customer Payment",G713=""),"Add the customer",IF(AND(D713="Customer Payment",OR(J713="",COUNTIF(ar_No,J713&amp;"")=0)),"Invoice # in Reference not found on AR sheet",IF(AND(D713="Bill Payment",H713=""),"Add the vendor",IF(AND(D713="Bill Payment",OR(J713="",COUNTIFS(ap_No,J713&amp;"",ap_Party,H713&amp;"")=0)),"Bill # + vendor not found on AP sheet",IF(AND(ISNUMBER(M713),N(M713)&lt;&gt;0,W713=0),"Tax ignored (tax tracking off, or not allowed for this type)",IF(V713=K713&amp;"","Same account on both sides",IF(AND(ISNUMBER(StartDate),C713&lt;StartDate),"Date is before the accounting start date",IF(AND(D713&lt;&gt;"Adjustment",IFERROR(INDEX(coa_Pay,MATCH(K713&amp;"",coa_Name,0)),"")&lt;&gt;"Yes"),"Paid From / Deposited To is not a payment account","")))))))))))</f>
        <v/>
      </c>
      <c r="Z713" s="67">
        <f>IF(AND(T713=0,X713=""),1,0)</f>
        <v/>
      </c>
      <c r="AA713" s="68">
        <f>IF(Z713=1,IF(U713="In",L713,L713-W713),0)</f>
        <v/>
      </c>
      <c r="AB713" s="68">
        <f>IF(Z713=1,IF(U713="In",L713-W713,L713),0)</f>
        <v/>
      </c>
      <c r="AC713" s="68">
        <f>IF(AND(Z713=1,U713="Out"),W713,0)</f>
        <v/>
      </c>
      <c r="AD713" s="68">
        <f>IF(AND(Z713=1,U713="In"),W713,0)</f>
        <v/>
      </c>
    </row>
    <row r="714">
      <c r="B714" s="62" t="inlineStr">
        <is>
          <t>TX-0708</t>
        </is>
      </c>
      <c r="C714" s="63" t="n"/>
      <c r="D714" s="62" t="n"/>
      <c r="E714" s="62" t="n"/>
      <c r="F714" s="62" t="n"/>
      <c r="G714" s="62" t="n"/>
      <c r="H714" s="62" t="n"/>
      <c r="I714" s="62" t="n"/>
      <c r="J714" s="62" t="n"/>
      <c r="K714" s="62" t="n"/>
      <c r="L714" s="64" t="n"/>
      <c r="M714" s="64" t="n"/>
      <c r="N714" s="62" t="n"/>
      <c r="O714" s="65">
        <f>IF(Z714=1,L714-W714,"")</f>
        <v/>
      </c>
      <c r="P714" s="66">
        <f>IF(V714="","",IFERROR(INDEX(coa_Type,MATCH(V714,coa_Name,0)),""))</f>
        <v/>
      </c>
      <c r="Q714" s="66">
        <f>IF(Z714=1,IF(U714="In",K714&amp;"",V714),"")</f>
        <v/>
      </c>
      <c r="R714" s="66">
        <f>IF(Z714=1,IF(U714="In",V714,K714&amp;""),"")</f>
        <v/>
      </c>
      <c r="S714" s="66">
        <f>IF(X714&lt;&gt;"","⛔ "&amp;X714&amp;" — not posted",IF(Y714&lt;&gt;"","⚠ "&amp;Y714,IF(Z714=1,"✓ OK","")))</f>
        <v/>
      </c>
      <c r="T714" s="67">
        <f>IF(AND(C714="",D714="",E714="",L714="",K714=""),1,0)</f>
        <v/>
      </c>
      <c r="U714" s="67">
        <f>IFERROR(INDEX(tt_Dir,MATCH(D714,tt_Type,0)),"")</f>
        <v/>
      </c>
      <c r="V714" s="67">
        <f>IF(D714="","",IFERROR(IF(INDEX(tt_Other,MATCH(D714,tt_Type,0))="",E714&amp;"",INDEX(tt_Other,MATCH(D714,tt_Type,0))),""))</f>
        <v/>
      </c>
      <c r="W714" s="68">
        <f>IF(OR(TaxOn&lt;&gt;"Yes",NOT(ISNUMBER(M714))),0,IF(IFERROR(INDEX(tt_Tax,MATCH(D714,tt_Type,0)),"No")="Yes",M714,0))</f>
        <v/>
      </c>
      <c r="X714" s="67">
        <f>IF(T714=1,"",IF(C714="","Missing transaction date",IF(NOT(ISNUMBER(C714)),"Invalid date",IF(OR(C714&lt;DATE(2000,1,1),C714&gt;DATE(2099,12,31)),"Invalid date",IF(D714="","Select a type",IF(U714="","Unknown type: "&amp;D714,IF(V714="","Select an account (Category)",IF(ISNA(MATCH(V714,coa_Name,0)),"Unknown account: "&amp;V714,IF(K714="","Select Paid From / Deposited To",IF(ISNA(MATCH(K714,coa_Name,0)),"Unknown account: "&amp;K714,IF(NOT(ISNUMBER(L714)),"Enter an amount",IF(L714=0,"Enter an amount",IF(ABS(W714)&gt;ABS(L714),"Tax is larger than the amount","")))))))))))))</f>
        <v/>
      </c>
      <c r="Y714" s="67">
        <f>IF(OR(T714=1,X714&lt;&gt;""),"",IF(AND(B714&lt;&gt;"",COUNTIF(tx_ID,B714)&gt;1),"Duplicate transaction ID",IF(AND(L714&lt;0,D714&lt;&gt;"Adjustment"),"Negative amount — check this entry",IF(AND(D714="Customer Payment",G714=""),"Add the customer",IF(AND(D714="Customer Payment",OR(J714="",COUNTIF(ar_No,J714&amp;"")=0)),"Invoice # in Reference not found on AR sheet",IF(AND(D714="Bill Payment",H714=""),"Add the vendor",IF(AND(D714="Bill Payment",OR(J714="",COUNTIFS(ap_No,J714&amp;"",ap_Party,H714&amp;"")=0)),"Bill # + vendor not found on AP sheet",IF(AND(ISNUMBER(M714),N(M714)&lt;&gt;0,W714=0),"Tax ignored (tax tracking off, or not allowed for this type)",IF(V714=K714&amp;"","Same account on both sides",IF(AND(ISNUMBER(StartDate),C714&lt;StartDate),"Date is before the accounting start date",IF(AND(D714&lt;&gt;"Adjustment",IFERROR(INDEX(coa_Pay,MATCH(K714&amp;"",coa_Name,0)),"")&lt;&gt;"Yes"),"Paid From / Deposited To is not a payment account","")))))))))))</f>
        <v/>
      </c>
      <c r="Z714" s="67">
        <f>IF(AND(T714=0,X714=""),1,0)</f>
        <v/>
      </c>
      <c r="AA714" s="68">
        <f>IF(Z714=1,IF(U714="In",L714,L714-W714),0)</f>
        <v/>
      </c>
      <c r="AB714" s="68">
        <f>IF(Z714=1,IF(U714="In",L714-W714,L714),0)</f>
        <v/>
      </c>
      <c r="AC714" s="68">
        <f>IF(AND(Z714=1,U714="Out"),W714,0)</f>
        <v/>
      </c>
      <c r="AD714" s="68">
        <f>IF(AND(Z714=1,U714="In"),W714,0)</f>
        <v/>
      </c>
    </row>
    <row r="715">
      <c r="B715" s="62" t="inlineStr">
        <is>
          <t>TX-0709</t>
        </is>
      </c>
      <c r="C715" s="63" t="n"/>
      <c r="D715" s="62" t="n"/>
      <c r="E715" s="62" t="n"/>
      <c r="F715" s="62" t="n"/>
      <c r="G715" s="62" t="n"/>
      <c r="H715" s="62" t="n"/>
      <c r="I715" s="62" t="n"/>
      <c r="J715" s="62" t="n"/>
      <c r="K715" s="62" t="n"/>
      <c r="L715" s="64" t="n"/>
      <c r="M715" s="64" t="n"/>
      <c r="N715" s="62" t="n"/>
      <c r="O715" s="65">
        <f>IF(Z715=1,L715-W715,"")</f>
        <v/>
      </c>
      <c r="P715" s="66">
        <f>IF(V715="","",IFERROR(INDEX(coa_Type,MATCH(V715,coa_Name,0)),""))</f>
        <v/>
      </c>
      <c r="Q715" s="66">
        <f>IF(Z715=1,IF(U715="In",K715&amp;"",V715),"")</f>
        <v/>
      </c>
      <c r="R715" s="66">
        <f>IF(Z715=1,IF(U715="In",V715,K715&amp;""),"")</f>
        <v/>
      </c>
      <c r="S715" s="66">
        <f>IF(X715&lt;&gt;"","⛔ "&amp;X715&amp;" — not posted",IF(Y715&lt;&gt;"","⚠ "&amp;Y715,IF(Z715=1,"✓ OK","")))</f>
        <v/>
      </c>
      <c r="T715" s="67">
        <f>IF(AND(C715="",D715="",E715="",L715="",K715=""),1,0)</f>
        <v/>
      </c>
      <c r="U715" s="67">
        <f>IFERROR(INDEX(tt_Dir,MATCH(D715,tt_Type,0)),"")</f>
        <v/>
      </c>
      <c r="V715" s="67">
        <f>IF(D715="","",IFERROR(IF(INDEX(tt_Other,MATCH(D715,tt_Type,0))="",E715&amp;"",INDEX(tt_Other,MATCH(D715,tt_Type,0))),""))</f>
        <v/>
      </c>
      <c r="W715" s="68">
        <f>IF(OR(TaxOn&lt;&gt;"Yes",NOT(ISNUMBER(M715))),0,IF(IFERROR(INDEX(tt_Tax,MATCH(D715,tt_Type,0)),"No")="Yes",M715,0))</f>
        <v/>
      </c>
      <c r="X715" s="67">
        <f>IF(T715=1,"",IF(C715="","Missing transaction date",IF(NOT(ISNUMBER(C715)),"Invalid date",IF(OR(C715&lt;DATE(2000,1,1),C715&gt;DATE(2099,12,31)),"Invalid date",IF(D715="","Select a type",IF(U715="","Unknown type: "&amp;D715,IF(V715="","Select an account (Category)",IF(ISNA(MATCH(V715,coa_Name,0)),"Unknown account: "&amp;V715,IF(K715="","Select Paid From / Deposited To",IF(ISNA(MATCH(K715,coa_Name,0)),"Unknown account: "&amp;K715,IF(NOT(ISNUMBER(L715)),"Enter an amount",IF(L715=0,"Enter an amount",IF(ABS(W715)&gt;ABS(L715),"Tax is larger than the amount","")))))))))))))</f>
        <v/>
      </c>
      <c r="Y715" s="67">
        <f>IF(OR(T715=1,X715&lt;&gt;""),"",IF(AND(B715&lt;&gt;"",COUNTIF(tx_ID,B715)&gt;1),"Duplicate transaction ID",IF(AND(L715&lt;0,D715&lt;&gt;"Adjustment"),"Negative amount — check this entry",IF(AND(D715="Customer Payment",G715=""),"Add the customer",IF(AND(D715="Customer Payment",OR(J715="",COUNTIF(ar_No,J715&amp;"")=0)),"Invoice # in Reference not found on AR sheet",IF(AND(D715="Bill Payment",H715=""),"Add the vendor",IF(AND(D715="Bill Payment",OR(J715="",COUNTIFS(ap_No,J715&amp;"",ap_Party,H715&amp;"")=0)),"Bill # + vendor not found on AP sheet",IF(AND(ISNUMBER(M715),N(M715)&lt;&gt;0,W715=0),"Tax ignored (tax tracking off, or not allowed for this type)",IF(V715=K715&amp;"","Same account on both sides",IF(AND(ISNUMBER(StartDate),C715&lt;StartDate),"Date is before the accounting start date",IF(AND(D715&lt;&gt;"Adjustment",IFERROR(INDEX(coa_Pay,MATCH(K715&amp;"",coa_Name,0)),"")&lt;&gt;"Yes"),"Paid From / Deposited To is not a payment account","")))))))))))</f>
        <v/>
      </c>
      <c r="Z715" s="67">
        <f>IF(AND(T715=0,X715=""),1,0)</f>
        <v/>
      </c>
      <c r="AA715" s="68">
        <f>IF(Z715=1,IF(U715="In",L715,L715-W715),0)</f>
        <v/>
      </c>
      <c r="AB715" s="68">
        <f>IF(Z715=1,IF(U715="In",L715-W715,L715),0)</f>
        <v/>
      </c>
      <c r="AC715" s="68">
        <f>IF(AND(Z715=1,U715="Out"),W715,0)</f>
        <v/>
      </c>
      <c r="AD715" s="68">
        <f>IF(AND(Z715=1,U715="In"),W715,0)</f>
        <v/>
      </c>
    </row>
    <row r="716">
      <c r="B716" s="62" t="inlineStr">
        <is>
          <t>TX-0710</t>
        </is>
      </c>
      <c r="C716" s="63" t="n"/>
      <c r="D716" s="62" t="n"/>
      <c r="E716" s="62" t="n"/>
      <c r="F716" s="62" t="n"/>
      <c r="G716" s="62" t="n"/>
      <c r="H716" s="62" t="n"/>
      <c r="I716" s="62" t="n"/>
      <c r="J716" s="62" t="n"/>
      <c r="K716" s="62" t="n"/>
      <c r="L716" s="64" t="n"/>
      <c r="M716" s="64" t="n"/>
      <c r="N716" s="62" t="n"/>
      <c r="O716" s="65">
        <f>IF(Z716=1,L716-W716,"")</f>
        <v/>
      </c>
      <c r="P716" s="66">
        <f>IF(V716="","",IFERROR(INDEX(coa_Type,MATCH(V716,coa_Name,0)),""))</f>
        <v/>
      </c>
      <c r="Q716" s="66">
        <f>IF(Z716=1,IF(U716="In",K716&amp;"",V716),"")</f>
        <v/>
      </c>
      <c r="R716" s="66">
        <f>IF(Z716=1,IF(U716="In",V716,K716&amp;""),"")</f>
        <v/>
      </c>
      <c r="S716" s="66">
        <f>IF(X716&lt;&gt;"","⛔ "&amp;X716&amp;" — not posted",IF(Y716&lt;&gt;"","⚠ "&amp;Y716,IF(Z716=1,"✓ OK","")))</f>
        <v/>
      </c>
      <c r="T716" s="67">
        <f>IF(AND(C716="",D716="",E716="",L716="",K716=""),1,0)</f>
        <v/>
      </c>
      <c r="U716" s="67">
        <f>IFERROR(INDEX(tt_Dir,MATCH(D716,tt_Type,0)),"")</f>
        <v/>
      </c>
      <c r="V716" s="67">
        <f>IF(D716="","",IFERROR(IF(INDEX(tt_Other,MATCH(D716,tt_Type,0))="",E716&amp;"",INDEX(tt_Other,MATCH(D716,tt_Type,0))),""))</f>
        <v/>
      </c>
      <c r="W716" s="68">
        <f>IF(OR(TaxOn&lt;&gt;"Yes",NOT(ISNUMBER(M716))),0,IF(IFERROR(INDEX(tt_Tax,MATCH(D716,tt_Type,0)),"No")="Yes",M716,0))</f>
        <v/>
      </c>
      <c r="X716" s="67">
        <f>IF(T716=1,"",IF(C716="","Missing transaction date",IF(NOT(ISNUMBER(C716)),"Invalid date",IF(OR(C716&lt;DATE(2000,1,1),C716&gt;DATE(2099,12,31)),"Invalid date",IF(D716="","Select a type",IF(U716="","Unknown type: "&amp;D716,IF(V716="","Select an account (Category)",IF(ISNA(MATCH(V716,coa_Name,0)),"Unknown account: "&amp;V716,IF(K716="","Select Paid From / Deposited To",IF(ISNA(MATCH(K716,coa_Name,0)),"Unknown account: "&amp;K716,IF(NOT(ISNUMBER(L716)),"Enter an amount",IF(L716=0,"Enter an amount",IF(ABS(W716)&gt;ABS(L716),"Tax is larger than the amount","")))))))))))))</f>
        <v/>
      </c>
      <c r="Y716" s="67">
        <f>IF(OR(T716=1,X716&lt;&gt;""),"",IF(AND(B716&lt;&gt;"",COUNTIF(tx_ID,B716)&gt;1),"Duplicate transaction ID",IF(AND(L716&lt;0,D716&lt;&gt;"Adjustment"),"Negative amount — check this entry",IF(AND(D716="Customer Payment",G716=""),"Add the customer",IF(AND(D716="Customer Payment",OR(J716="",COUNTIF(ar_No,J716&amp;"")=0)),"Invoice # in Reference not found on AR sheet",IF(AND(D716="Bill Payment",H716=""),"Add the vendor",IF(AND(D716="Bill Payment",OR(J716="",COUNTIFS(ap_No,J716&amp;"",ap_Party,H716&amp;"")=0)),"Bill # + vendor not found on AP sheet",IF(AND(ISNUMBER(M716),N(M716)&lt;&gt;0,W716=0),"Tax ignored (tax tracking off, or not allowed for this type)",IF(V716=K716&amp;"","Same account on both sides",IF(AND(ISNUMBER(StartDate),C716&lt;StartDate),"Date is before the accounting start date",IF(AND(D716&lt;&gt;"Adjustment",IFERROR(INDEX(coa_Pay,MATCH(K716&amp;"",coa_Name,0)),"")&lt;&gt;"Yes"),"Paid From / Deposited To is not a payment account","")))))))))))</f>
        <v/>
      </c>
      <c r="Z716" s="67">
        <f>IF(AND(T716=0,X716=""),1,0)</f>
        <v/>
      </c>
      <c r="AA716" s="68">
        <f>IF(Z716=1,IF(U716="In",L716,L716-W716),0)</f>
        <v/>
      </c>
      <c r="AB716" s="68">
        <f>IF(Z716=1,IF(U716="In",L716-W716,L716),0)</f>
        <v/>
      </c>
      <c r="AC716" s="68">
        <f>IF(AND(Z716=1,U716="Out"),W716,0)</f>
        <v/>
      </c>
      <c r="AD716" s="68">
        <f>IF(AND(Z716=1,U716="In"),W716,0)</f>
        <v/>
      </c>
    </row>
    <row r="717">
      <c r="B717" s="62" t="inlineStr">
        <is>
          <t>TX-0711</t>
        </is>
      </c>
      <c r="C717" s="63" t="n"/>
      <c r="D717" s="62" t="n"/>
      <c r="E717" s="62" t="n"/>
      <c r="F717" s="62" t="n"/>
      <c r="G717" s="62" t="n"/>
      <c r="H717" s="62" t="n"/>
      <c r="I717" s="62" t="n"/>
      <c r="J717" s="62" t="n"/>
      <c r="K717" s="62" t="n"/>
      <c r="L717" s="64" t="n"/>
      <c r="M717" s="64" t="n"/>
      <c r="N717" s="62" t="n"/>
      <c r="O717" s="65">
        <f>IF(Z717=1,L717-W717,"")</f>
        <v/>
      </c>
      <c r="P717" s="66">
        <f>IF(V717="","",IFERROR(INDEX(coa_Type,MATCH(V717,coa_Name,0)),""))</f>
        <v/>
      </c>
      <c r="Q717" s="66">
        <f>IF(Z717=1,IF(U717="In",K717&amp;"",V717),"")</f>
        <v/>
      </c>
      <c r="R717" s="66">
        <f>IF(Z717=1,IF(U717="In",V717,K717&amp;""),"")</f>
        <v/>
      </c>
      <c r="S717" s="66">
        <f>IF(X717&lt;&gt;"","⛔ "&amp;X717&amp;" — not posted",IF(Y717&lt;&gt;"","⚠ "&amp;Y717,IF(Z717=1,"✓ OK","")))</f>
        <v/>
      </c>
      <c r="T717" s="67">
        <f>IF(AND(C717="",D717="",E717="",L717="",K717=""),1,0)</f>
        <v/>
      </c>
      <c r="U717" s="67">
        <f>IFERROR(INDEX(tt_Dir,MATCH(D717,tt_Type,0)),"")</f>
        <v/>
      </c>
      <c r="V717" s="67">
        <f>IF(D717="","",IFERROR(IF(INDEX(tt_Other,MATCH(D717,tt_Type,0))="",E717&amp;"",INDEX(tt_Other,MATCH(D717,tt_Type,0))),""))</f>
        <v/>
      </c>
      <c r="W717" s="68">
        <f>IF(OR(TaxOn&lt;&gt;"Yes",NOT(ISNUMBER(M717))),0,IF(IFERROR(INDEX(tt_Tax,MATCH(D717,tt_Type,0)),"No")="Yes",M717,0))</f>
        <v/>
      </c>
      <c r="X717" s="67">
        <f>IF(T717=1,"",IF(C717="","Missing transaction date",IF(NOT(ISNUMBER(C717)),"Invalid date",IF(OR(C717&lt;DATE(2000,1,1),C717&gt;DATE(2099,12,31)),"Invalid date",IF(D717="","Select a type",IF(U717="","Unknown type: "&amp;D717,IF(V717="","Select an account (Category)",IF(ISNA(MATCH(V717,coa_Name,0)),"Unknown account: "&amp;V717,IF(K717="","Select Paid From / Deposited To",IF(ISNA(MATCH(K717,coa_Name,0)),"Unknown account: "&amp;K717,IF(NOT(ISNUMBER(L717)),"Enter an amount",IF(L717=0,"Enter an amount",IF(ABS(W717)&gt;ABS(L717),"Tax is larger than the amount","")))))))))))))</f>
        <v/>
      </c>
      <c r="Y717" s="67">
        <f>IF(OR(T717=1,X717&lt;&gt;""),"",IF(AND(B717&lt;&gt;"",COUNTIF(tx_ID,B717)&gt;1),"Duplicate transaction ID",IF(AND(L717&lt;0,D717&lt;&gt;"Adjustment"),"Negative amount — check this entry",IF(AND(D717="Customer Payment",G717=""),"Add the customer",IF(AND(D717="Customer Payment",OR(J717="",COUNTIF(ar_No,J717&amp;"")=0)),"Invoice # in Reference not found on AR sheet",IF(AND(D717="Bill Payment",H717=""),"Add the vendor",IF(AND(D717="Bill Payment",OR(J717="",COUNTIFS(ap_No,J717&amp;"",ap_Party,H717&amp;"")=0)),"Bill # + vendor not found on AP sheet",IF(AND(ISNUMBER(M717),N(M717)&lt;&gt;0,W717=0),"Tax ignored (tax tracking off, or not allowed for this type)",IF(V717=K717&amp;"","Same account on both sides",IF(AND(ISNUMBER(StartDate),C717&lt;StartDate),"Date is before the accounting start date",IF(AND(D717&lt;&gt;"Adjustment",IFERROR(INDEX(coa_Pay,MATCH(K717&amp;"",coa_Name,0)),"")&lt;&gt;"Yes"),"Paid From / Deposited To is not a payment account","")))))))))))</f>
        <v/>
      </c>
      <c r="Z717" s="67">
        <f>IF(AND(T717=0,X717=""),1,0)</f>
        <v/>
      </c>
      <c r="AA717" s="68">
        <f>IF(Z717=1,IF(U717="In",L717,L717-W717),0)</f>
        <v/>
      </c>
      <c r="AB717" s="68">
        <f>IF(Z717=1,IF(U717="In",L717-W717,L717),0)</f>
        <v/>
      </c>
      <c r="AC717" s="68">
        <f>IF(AND(Z717=1,U717="Out"),W717,0)</f>
        <v/>
      </c>
      <c r="AD717" s="68">
        <f>IF(AND(Z717=1,U717="In"),W717,0)</f>
        <v/>
      </c>
    </row>
    <row r="718">
      <c r="B718" s="62" t="inlineStr">
        <is>
          <t>TX-0712</t>
        </is>
      </c>
      <c r="C718" s="63" t="n"/>
      <c r="D718" s="62" t="n"/>
      <c r="E718" s="62" t="n"/>
      <c r="F718" s="62" t="n"/>
      <c r="G718" s="62" t="n"/>
      <c r="H718" s="62" t="n"/>
      <c r="I718" s="62" t="n"/>
      <c r="J718" s="62" t="n"/>
      <c r="K718" s="62" t="n"/>
      <c r="L718" s="64" t="n"/>
      <c r="M718" s="64" t="n"/>
      <c r="N718" s="62" t="n"/>
      <c r="O718" s="65">
        <f>IF(Z718=1,L718-W718,"")</f>
        <v/>
      </c>
      <c r="P718" s="66">
        <f>IF(V718="","",IFERROR(INDEX(coa_Type,MATCH(V718,coa_Name,0)),""))</f>
        <v/>
      </c>
      <c r="Q718" s="66">
        <f>IF(Z718=1,IF(U718="In",K718&amp;"",V718),"")</f>
        <v/>
      </c>
      <c r="R718" s="66">
        <f>IF(Z718=1,IF(U718="In",V718,K718&amp;""),"")</f>
        <v/>
      </c>
      <c r="S718" s="66">
        <f>IF(X718&lt;&gt;"","⛔ "&amp;X718&amp;" — not posted",IF(Y718&lt;&gt;"","⚠ "&amp;Y718,IF(Z718=1,"✓ OK","")))</f>
        <v/>
      </c>
      <c r="T718" s="67">
        <f>IF(AND(C718="",D718="",E718="",L718="",K718=""),1,0)</f>
        <v/>
      </c>
      <c r="U718" s="67">
        <f>IFERROR(INDEX(tt_Dir,MATCH(D718,tt_Type,0)),"")</f>
        <v/>
      </c>
      <c r="V718" s="67">
        <f>IF(D718="","",IFERROR(IF(INDEX(tt_Other,MATCH(D718,tt_Type,0))="",E718&amp;"",INDEX(tt_Other,MATCH(D718,tt_Type,0))),""))</f>
        <v/>
      </c>
      <c r="W718" s="68">
        <f>IF(OR(TaxOn&lt;&gt;"Yes",NOT(ISNUMBER(M718))),0,IF(IFERROR(INDEX(tt_Tax,MATCH(D718,tt_Type,0)),"No")="Yes",M718,0))</f>
        <v/>
      </c>
      <c r="X718" s="67">
        <f>IF(T718=1,"",IF(C718="","Missing transaction date",IF(NOT(ISNUMBER(C718)),"Invalid date",IF(OR(C718&lt;DATE(2000,1,1),C718&gt;DATE(2099,12,31)),"Invalid date",IF(D718="","Select a type",IF(U718="","Unknown type: "&amp;D718,IF(V718="","Select an account (Category)",IF(ISNA(MATCH(V718,coa_Name,0)),"Unknown account: "&amp;V718,IF(K718="","Select Paid From / Deposited To",IF(ISNA(MATCH(K718,coa_Name,0)),"Unknown account: "&amp;K718,IF(NOT(ISNUMBER(L718)),"Enter an amount",IF(L718=0,"Enter an amount",IF(ABS(W718)&gt;ABS(L718),"Tax is larger than the amount","")))))))))))))</f>
        <v/>
      </c>
      <c r="Y718" s="67">
        <f>IF(OR(T718=1,X718&lt;&gt;""),"",IF(AND(B718&lt;&gt;"",COUNTIF(tx_ID,B718)&gt;1),"Duplicate transaction ID",IF(AND(L718&lt;0,D718&lt;&gt;"Adjustment"),"Negative amount — check this entry",IF(AND(D718="Customer Payment",G718=""),"Add the customer",IF(AND(D718="Customer Payment",OR(J718="",COUNTIF(ar_No,J718&amp;"")=0)),"Invoice # in Reference not found on AR sheet",IF(AND(D718="Bill Payment",H718=""),"Add the vendor",IF(AND(D718="Bill Payment",OR(J718="",COUNTIFS(ap_No,J718&amp;"",ap_Party,H718&amp;"")=0)),"Bill # + vendor not found on AP sheet",IF(AND(ISNUMBER(M718),N(M718)&lt;&gt;0,W718=0),"Tax ignored (tax tracking off, or not allowed for this type)",IF(V718=K718&amp;"","Same account on both sides",IF(AND(ISNUMBER(StartDate),C718&lt;StartDate),"Date is before the accounting start date",IF(AND(D718&lt;&gt;"Adjustment",IFERROR(INDEX(coa_Pay,MATCH(K718&amp;"",coa_Name,0)),"")&lt;&gt;"Yes"),"Paid From / Deposited To is not a payment account","")))))))))))</f>
        <v/>
      </c>
      <c r="Z718" s="67">
        <f>IF(AND(T718=0,X718=""),1,0)</f>
        <v/>
      </c>
      <c r="AA718" s="68">
        <f>IF(Z718=1,IF(U718="In",L718,L718-W718),0)</f>
        <v/>
      </c>
      <c r="AB718" s="68">
        <f>IF(Z718=1,IF(U718="In",L718-W718,L718),0)</f>
        <v/>
      </c>
      <c r="AC718" s="68">
        <f>IF(AND(Z718=1,U718="Out"),W718,0)</f>
        <v/>
      </c>
      <c r="AD718" s="68">
        <f>IF(AND(Z718=1,U718="In"),W718,0)</f>
        <v/>
      </c>
    </row>
    <row r="719">
      <c r="B719" s="62" t="inlineStr">
        <is>
          <t>TX-0713</t>
        </is>
      </c>
      <c r="C719" s="63" t="n"/>
      <c r="D719" s="62" t="n"/>
      <c r="E719" s="62" t="n"/>
      <c r="F719" s="62" t="n"/>
      <c r="G719" s="62" t="n"/>
      <c r="H719" s="62" t="n"/>
      <c r="I719" s="62" t="n"/>
      <c r="J719" s="62" t="n"/>
      <c r="K719" s="62" t="n"/>
      <c r="L719" s="64" t="n"/>
      <c r="M719" s="64" t="n"/>
      <c r="N719" s="62" t="n"/>
      <c r="O719" s="65">
        <f>IF(Z719=1,L719-W719,"")</f>
        <v/>
      </c>
      <c r="P719" s="66">
        <f>IF(V719="","",IFERROR(INDEX(coa_Type,MATCH(V719,coa_Name,0)),""))</f>
        <v/>
      </c>
      <c r="Q719" s="66">
        <f>IF(Z719=1,IF(U719="In",K719&amp;"",V719),"")</f>
        <v/>
      </c>
      <c r="R719" s="66">
        <f>IF(Z719=1,IF(U719="In",V719,K719&amp;""),"")</f>
        <v/>
      </c>
      <c r="S719" s="66">
        <f>IF(X719&lt;&gt;"","⛔ "&amp;X719&amp;" — not posted",IF(Y719&lt;&gt;"","⚠ "&amp;Y719,IF(Z719=1,"✓ OK","")))</f>
        <v/>
      </c>
      <c r="T719" s="67">
        <f>IF(AND(C719="",D719="",E719="",L719="",K719=""),1,0)</f>
        <v/>
      </c>
      <c r="U719" s="67">
        <f>IFERROR(INDEX(tt_Dir,MATCH(D719,tt_Type,0)),"")</f>
        <v/>
      </c>
      <c r="V719" s="67">
        <f>IF(D719="","",IFERROR(IF(INDEX(tt_Other,MATCH(D719,tt_Type,0))="",E719&amp;"",INDEX(tt_Other,MATCH(D719,tt_Type,0))),""))</f>
        <v/>
      </c>
      <c r="W719" s="68">
        <f>IF(OR(TaxOn&lt;&gt;"Yes",NOT(ISNUMBER(M719))),0,IF(IFERROR(INDEX(tt_Tax,MATCH(D719,tt_Type,0)),"No")="Yes",M719,0))</f>
        <v/>
      </c>
      <c r="X719" s="67">
        <f>IF(T719=1,"",IF(C719="","Missing transaction date",IF(NOT(ISNUMBER(C719)),"Invalid date",IF(OR(C719&lt;DATE(2000,1,1),C719&gt;DATE(2099,12,31)),"Invalid date",IF(D719="","Select a type",IF(U719="","Unknown type: "&amp;D719,IF(V719="","Select an account (Category)",IF(ISNA(MATCH(V719,coa_Name,0)),"Unknown account: "&amp;V719,IF(K719="","Select Paid From / Deposited To",IF(ISNA(MATCH(K719,coa_Name,0)),"Unknown account: "&amp;K719,IF(NOT(ISNUMBER(L719)),"Enter an amount",IF(L719=0,"Enter an amount",IF(ABS(W719)&gt;ABS(L719),"Tax is larger than the amount","")))))))))))))</f>
        <v/>
      </c>
      <c r="Y719" s="67">
        <f>IF(OR(T719=1,X719&lt;&gt;""),"",IF(AND(B719&lt;&gt;"",COUNTIF(tx_ID,B719)&gt;1),"Duplicate transaction ID",IF(AND(L719&lt;0,D719&lt;&gt;"Adjustment"),"Negative amount — check this entry",IF(AND(D719="Customer Payment",G719=""),"Add the customer",IF(AND(D719="Customer Payment",OR(J719="",COUNTIF(ar_No,J719&amp;"")=0)),"Invoice # in Reference not found on AR sheet",IF(AND(D719="Bill Payment",H719=""),"Add the vendor",IF(AND(D719="Bill Payment",OR(J719="",COUNTIFS(ap_No,J719&amp;"",ap_Party,H719&amp;"")=0)),"Bill # + vendor not found on AP sheet",IF(AND(ISNUMBER(M719),N(M719)&lt;&gt;0,W719=0),"Tax ignored (tax tracking off, or not allowed for this type)",IF(V719=K719&amp;"","Same account on both sides",IF(AND(ISNUMBER(StartDate),C719&lt;StartDate),"Date is before the accounting start date",IF(AND(D719&lt;&gt;"Adjustment",IFERROR(INDEX(coa_Pay,MATCH(K719&amp;"",coa_Name,0)),"")&lt;&gt;"Yes"),"Paid From / Deposited To is not a payment account","")))))))))))</f>
        <v/>
      </c>
      <c r="Z719" s="67">
        <f>IF(AND(T719=0,X719=""),1,0)</f>
        <v/>
      </c>
      <c r="AA719" s="68">
        <f>IF(Z719=1,IF(U719="In",L719,L719-W719),0)</f>
        <v/>
      </c>
      <c r="AB719" s="68">
        <f>IF(Z719=1,IF(U719="In",L719-W719,L719),0)</f>
        <v/>
      </c>
      <c r="AC719" s="68">
        <f>IF(AND(Z719=1,U719="Out"),W719,0)</f>
        <v/>
      </c>
      <c r="AD719" s="68">
        <f>IF(AND(Z719=1,U719="In"),W719,0)</f>
        <v/>
      </c>
    </row>
    <row r="720">
      <c r="B720" s="62" t="inlineStr">
        <is>
          <t>TX-0714</t>
        </is>
      </c>
      <c r="C720" s="63" t="n"/>
      <c r="D720" s="62" t="n"/>
      <c r="E720" s="62" t="n"/>
      <c r="F720" s="62" t="n"/>
      <c r="G720" s="62" t="n"/>
      <c r="H720" s="62" t="n"/>
      <c r="I720" s="62" t="n"/>
      <c r="J720" s="62" t="n"/>
      <c r="K720" s="62" t="n"/>
      <c r="L720" s="64" t="n"/>
      <c r="M720" s="64" t="n"/>
      <c r="N720" s="62" t="n"/>
      <c r="O720" s="65">
        <f>IF(Z720=1,L720-W720,"")</f>
        <v/>
      </c>
      <c r="P720" s="66">
        <f>IF(V720="","",IFERROR(INDEX(coa_Type,MATCH(V720,coa_Name,0)),""))</f>
        <v/>
      </c>
      <c r="Q720" s="66">
        <f>IF(Z720=1,IF(U720="In",K720&amp;"",V720),"")</f>
        <v/>
      </c>
      <c r="R720" s="66">
        <f>IF(Z720=1,IF(U720="In",V720,K720&amp;""),"")</f>
        <v/>
      </c>
      <c r="S720" s="66">
        <f>IF(X720&lt;&gt;"","⛔ "&amp;X720&amp;" — not posted",IF(Y720&lt;&gt;"","⚠ "&amp;Y720,IF(Z720=1,"✓ OK","")))</f>
        <v/>
      </c>
      <c r="T720" s="67">
        <f>IF(AND(C720="",D720="",E720="",L720="",K720=""),1,0)</f>
        <v/>
      </c>
      <c r="U720" s="67">
        <f>IFERROR(INDEX(tt_Dir,MATCH(D720,tt_Type,0)),"")</f>
        <v/>
      </c>
      <c r="V720" s="67">
        <f>IF(D720="","",IFERROR(IF(INDEX(tt_Other,MATCH(D720,tt_Type,0))="",E720&amp;"",INDEX(tt_Other,MATCH(D720,tt_Type,0))),""))</f>
        <v/>
      </c>
      <c r="W720" s="68">
        <f>IF(OR(TaxOn&lt;&gt;"Yes",NOT(ISNUMBER(M720))),0,IF(IFERROR(INDEX(tt_Tax,MATCH(D720,tt_Type,0)),"No")="Yes",M720,0))</f>
        <v/>
      </c>
      <c r="X720" s="67">
        <f>IF(T720=1,"",IF(C720="","Missing transaction date",IF(NOT(ISNUMBER(C720)),"Invalid date",IF(OR(C720&lt;DATE(2000,1,1),C720&gt;DATE(2099,12,31)),"Invalid date",IF(D720="","Select a type",IF(U720="","Unknown type: "&amp;D720,IF(V720="","Select an account (Category)",IF(ISNA(MATCH(V720,coa_Name,0)),"Unknown account: "&amp;V720,IF(K720="","Select Paid From / Deposited To",IF(ISNA(MATCH(K720,coa_Name,0)),"Unknown account: "&amp;K720,IF(NOT(ISNUMBER(L720)),"Enter an amount",IF(L720=0,"Enter an amount",IF(ABS(W720)&gt;ABS(L720),"Tax is larger than the amount","")))))))))))))</f>
        <v/>
      </c>
      <c r="Y720" s="67">
        <f>IF(OR(T720=1,X720&lt;&gt;""),"",IF(AND(B720&lt;&gt;"",COUNTIF(tx_ID,B720)&gt;1),"Duplicate transaction ID",IF(AND(L720&lt;0,D720&lt;&gt;"Adjustment"),"Negative amount — check this entry",IF(AND(D720="Customer Payment",G720=""),"Add the customer",IF(AND(D720="Customer Payment",OR(J720="",COUNTIF(ar_No,J720&amp;"")=0)),"Invoice # in Reference not found on AR sheet",IF(AND(D720="Bill Payment",H720=""),"Add the vendor",IF(AND(D720="Bill Payment",OR(J720="",COUNTIFS(ap_No,J720&amp;"",ap_Party,H720&amp;"")=0)),"Bill # + vendor not found on AP sheet",IF(AND(ISNUMBER(M720),N(M720)&lt;&gt;0,W720=0),"Tax ignored (tax tracking off, or not allowed for this type)",IF(V720=K720&amp;"","Same account on both sides",IF(AND(ISNUMBER(StartDate),C720&lt;StartDate),"Date is before the accounting start date",IF(AND(D720&lt;&gt;"Adjustment",IFERROR(INDEX(coa_Pay,MATCH(K720&amp;"",coa_Name,0)),"")&lt;&gt;"Yes"),"Paid From / Deposited To is not a payment account","")))))))))))</f>
        <v/>
      </c>
      <c r="Z720" s="67">
        <f>IF(AND(T720=0,X720=""),1,0)</f>
        <v/>
      </c>
      <c r="AA720" s="68">
        <f>IF(Z720=1,IF(U720="In",L720,L720-W720),0)</f>
        <v/>
      </c>
      <c r="AB720" s="68">
        <f>IF(Z720=1,IF(U720="In",L720-W720,L720),0)</f>
        <v/>
      </c>
      <c r="AC720" s="68">
        <f>IF(AND(Z720=1,U720="Out"),W720,0)</f>
        <v/>
      </c>
      <c r="AD720" s="68">
        <f>IF(AND(Z720=1,U720="In"),W720,0)</f>
        <v/>
      </c>
    </row>
    <row r="721">
      <c r="B721" s="62" t="inlineStr">
        <is>
          <t>TX-0715</t>
        </is>
      </c>
      <c r="C721" s="63" t="n"/>
      <c r="D721" s="62" t="n"/>
      <c r="E721" s="62" t="n"/>
      <c r="F721" s="62" t="n"/>
      <c r="G721" s="62" t="n"/>
      <c r="H721" s="62" t="n"/>
      <c r="I721" s="62" t="n"/>
      <c r="J721" s="62" t="n"/>
      <c r="K721" s="62" t="n"/>
      <c r="L721" s="64" t="n"/>
      <c r="M721" s="64" t="n"/>
      <c r="N721" s="62" t="n"/>
      <c r="O721" s="65">
        <f>IF(Z721=1,L721-W721,"")</f>
        <v/>
      </c>
      <c r="P721" s="66">
        <f>IF(V721="","",IFERROR(INDEX(coa_Type,MATCH(V721,coa_Name,0)),""))</f>
        <v/>
      </c>
      <c r="Q721" s="66">
        <f>IF(Z721=1,IF(U721="In",K721&amp;"",V721),"")</f>
        <v/>
      </c>
      <c r="R721" s="66">
        <f>IF(Z721=1,IF(U721="In",V721,K721&amp;""),"")</f>
        <v/>
      </c>
      <c r="S721" s="66">
        <f>IF(X721&lt;&gt;"","⛔ "&amp;X721&amp;" — not posted",IF(Y721&lt;&gt;"","⚠ "&amp;Y721,IF(Z721=1,"✓ OK","")))</f>
        <v/>
      </c>
      <c r="T721" s="67">
        <f>IF(AND(C721="",D721="",E721="",L721="",K721=""),1,0)</f>
        <v/>
      </c>
      <c r="U721" s="67">
        <f>IFERROR(INDEX(tt_Dir,MATCH(D721,tt_Type,0)),"")</f>
        <v/>
      </c>
      <c r="V721" s="67">
        <f>IF(D721="","",IFERROR(IF(INDEX(tt_Other,MATCH(D721,tt_Type,0))="",E721&amp;"",INDEX(tt_Other,MATCH(D721,tt_Type,0))),""))</f>
        <v/>
      </c>
      <c r="W721" s="68">
        <f>IF(OR(TaxOn&lt;&gt;"Yes",NOT(ISNUMBER(M721))),0,IF(IFERROR(INDEX(tt_Tax,MATCH(D721,tt_Type,0)),"No")="Yes",M721,0))</f>
        <v/>
      </c>
      <c r="X721" s="67">
        <f>IF(T721=1,"",IF(C721="","Missing transaction date",IF(NOT(ISNUMBER(C721)),"Invalid date",IF(OR(C721&lt;DATE(2000,1,1),C721&gt;DATE(2099,12,31)),"Invalid date",IF(D721="","Select a type",IF(U721="","Unknown type: "&amp;D721,IF(V721="","Select an account (Category)",IF(ISNA(MATCH(V721,coa_Name,0)),"Unknown account: "&amp;V721,IF(K721="","Select Paid From / Deposited To",IF(ISNA(MATCH(K721,coa_Name,0)),"Unknown account: "&amp;K721,IF(NOT(ISNUMBER(L721)),"Enter an amount",IF(L721=0,"Enter an amount",IF(ABS(W721)&gt;ABS(L721),"Tax is larger than the amount","")))))))))))))</f>
        <v/>
      </c>
      <c r="Y721" s="67">
        <f>IF(OR(T721=1,X721&lt;&gt;""),"",IF(AND(B721&lt;&gt;"",COUNTIF(tx_ID,B721)&gt;1),"Duplicate transaction ID",IF(AND(L721&lt;0,D721&lt;&gt;"Adjustment"),"Negative amount — check this entry",IF(AND(D721="Customer Payment",G721=""),"Add the customer",IF(AND(D721="Customer Payment",OR(J721="",COUNTIF(ar_No,J721&amp;"")=0)),"Invoice # in Reference not found on AR sheet",IF(AND(D721="Bill Payment",H721=""),"Add the vendor",IF(AND(D721="Bill Payment",OR(J721="",COUNTIFS(ap_No,J721&amp;"",ap_Party,H721&amp;"")=0)),"Bill # + vendor not found on AP sheet",IF(AND(ISNUMBER(M721),N(M721)&lt;&gt;0,W721=0),"Tax ignored (tax tracking off, or not allowed for this type)",IF(V721=K721&amp;"","Same account on both sides",IF(AND(ISNUMBER(StartDate),C721&lt;StartDate),"Date is before the accounting start date",IF(AND(D721&lt;&gt;"Adjustment",IFERROR(INDEX(coa_Pay,MATCH(K721&amp;"",coa_Name,0)),"")&lt;&gt;"Yes"),"Paid From / Deposited To is not a payment account","")))))))))))</f>
        <v/>
      </c>
      <c r="Z721" s="67">
        <f>IF(AND(T721=0,X721=""),1,0)</f>
        <v/>
      </c>
      <c r="AA721" s="68">
        <f>IF(Z721=1,IF(U721="In",L721,L721-W721),0)</f>
        <v/>
      </c>
      <c r="AB721" s="68">
        <f>IF(Z721=1,IF(U721="In",L721-W721,L721),0)</f>
        <v/>
      </c>
      <c r="AC721" s="68">
        <f>IF(AND(Z721=1,U721="Out"),W721,0)</f>
        <v/>
      </c>
      <c r="AD721" s="68">
        <f>IF(AND(Z721=1,U721="In"),W721,0)</f>
        <v/>
      </c>
    </row>
    <row r="722">
      <c r="B722" s="62" t="inlineStr">
        <is>
          <t>TX-0716</t>
        </is>
      </c>
      <c r="C722" s="63" t="n"/>
      <c r="D722" s="62" t="n"/>
      <c r="E722" s="62" t="n"/>
      <c r="F722" s="62" t="n"/>
      <c r="G722" s="62" t="n"/>
      <c r="H722" s="62" t="n"/>
      <c r="I722" s="62" t="n"/>
      <c r="J722" s="62" t="n"/>
      <c r="K722" s="62" t="n"/>
      <c r="L722" s="64" t="n"/>
      <c r="M722" s="64" t="n"/>
      <c r="N722" s="62" t="n"/>
      <c r="O722" s="65">
        <f>IF(Z722=1,L722-W722,"")</f>
        <v/>
      </c>
      <c r="P722" s="66">
        <f>IF(V722="","",IFERROR(INDEX(coa_Type,MATCH(V722,coa_Name,0)),""))</f>
        <v/>
      </c>
      <c r="Q722" s="66">
        <f>IF(Z722=1,IF(U722="In",K722&amp;"",V722),"")</f>
        <v/>
      </c>
      <c r="R722" s="66">
        <f>IF(Z722=1,IF(U722="In",V722,K722&amp;""),"")</f>
        <v/>
      </c>
      <c r="S722" s="66">
        <f>IF(X722&lt;&gt;"","⛔ "&amp;X722&amp;" — not posted",IF(Y722&lt;&gt;"","⚠ "&amp;Y722,IF(Z722=1,"✓ OK","")))</f>
        <v/>
      </c>
      <c r="T722" s="67">
        <f>IF(AND(C722="",D722="",E722="",L722="",K722=""),1,0)</f>
        <v/>
      </c>
      <c r="U722" s="67">
        <f>IFERROR(INDEX(tt_Dir,MATCH(D722,tt_Type,0)),"")</f>
        <v/>
      </c>
      <c r="V722" s="67">
        <f>IF(D722="","",IFERROR(IF(INDEX(tt_Other,MATCH(D722,tt_Type,0))="",E722&amp;"",INDEX(tt_Other,MATCH(D722,tt_Type,0))),""))</f>
        <v/>
      </c>
      <c r="W722" s="68">
        <f>IF(OR(TaxOn&lt;&gt;"Yes",NOT(ISNUMBER(M722))),0,IF(IFERROR(INDEX(tt_Tax,MATCH(D722,tt_Type,0)),"No")="Yes",M722,0))</f>
        <v/>
      </c>
      <c r="X722" s="67">
        <f>IF(T722=1,"",IF(C722="","Missing transaction date",IF(NOT(ISNUMBER(C722)),"Invalid date",IF(OR(C722&lt;DATE(2000,1,1),C722&gt;DATE(2099,12,31)),"Invalid date",IF(D722="","Select a type",IF(U722="","Unknown type: "&amp;D722,IF(V722="","Select an account (Category)",IF(ISNA(MATCH(V722,coa_Name,0)),"Unknown account: "&amp;V722,IF(K722="","Select Paid From / Deposited To",IF(ISNA(MATCH(K722,coa_Name,0)),"Unknown account: "&amp;K722,IF(NOT(ISNUMBER(L722)),"Enter an amount",IF(L722=0,"Enter an amount",IF(ABS(W722)&gt;ABS(L722),"Tax is larger than the amount","")))))))))))))</f>
        <v/>
      </c>
      <c r="Y722" s="67">
        <f>IF(OR(T722=1,X722&lt;&gt;""),"",IF(AND(B722&lt;&gt;"",COUNTIF(tx_ID,B722)&gt;1),"Duplicate transaction ID",IF(AND(L722&lt;0,D722&lt;&gt;"Adjustment"),"Negative amount — check this entry",IF(AND(D722="Customer Payment",G722=""),"Add the customer",IF(AND(D722="Customer Payment",OR(J722="",COUNTIF(ar_No,J722&amp;"")=0)),"Invoice # in Reference not found on AR sheet",IF(AND(D722="Bill Payment",H722=""),"Add the vendor",IF(AND(D722="Bill Payment",OR(J722="",COUNTIFS(ap_No,J722&amp;"",ap_Party,H722&amp;"")=0)),"Bill # + vendor not found on AP sheet",IF(AND(ISNUMBER(M722),N(M722)&lt;&gt;0,W722=0),"Tax ignored (tax tracking off, or not allowed for this type)",IF(V722=K722&amp;"","Same account on both sides",IF(AND(ISNUMBER(StartDate),C722&lt;StartDate),"Date is before the accounting start date",IF(AND(D722&lt;&gt;"Adjustment",IFERROR(INDEX(coa_Pay,MATCH(K722&amp;"",coa_Name,0)),"")&lt;&gt;"Yes"),"Paid From / Deposited To is not a payment account","")))))))))))</f>
        <v/>
      </c>
      <c r="Z722" s="67">
        <f>IF(AND(T722=0,X722=""),1,0)</f>
        <v/>
      </c>
      <c r="AA722" s="68">
        <f>IF(Z722=1,IF(U722="In",L722,L722-W722),0)</f>
        <v/>
      </c>
      <c r="AB722" s="68">
        <f>IF(Z722=1,IF(U722="In",L722-W722,L722),0)</f>
        <v/>
      </c>
      <c r="AC722" s="68">
        <f>IF(AND(Z722=1,U722="Out"),W722,0)</f>
        <v/>
      </c>
      <c r="AD722" s="68">
        <f>IF(AND(Z722=1,U722="In"),W722,0)</f>
        <v/>
      </c>
    </row>
    <row r="723">
      <c r="B723" s="62" t="inlineStr">
        <is>
          <t>TX-0717</t>
        </is>
      </c>
      <c r="C723" s="63" t="n"/>
      <c r="D723" s="62" t="n"/>
      <c r="E723" s="62" t="n"/>
      <c r="F723" s="62" t="n"/>
      <c r="G723" s="62" t="n"/>
      <c r="H723" s="62" t="n"/>
      <c r="I723" s="62" t="n"/>
      <c r="J723" s="62" t="n"/>
      <c r="K723" s="62" t="n"/>
      <c r="L723" s="64" t="n"/>
      <c r="M723" s="64" t="n"/>
      <c r="N723" s="62" t="n"/>
      <c r="O723" s="65">
        <f>IF(Z723=1,L723-W723,"")</f>
        <v/>
      </c>
      <c r="P723" s="66">
        <f>IF(V723="","",IFERROR(INDEX(coa_Type,MATCH(V723,coa_Name,0)),""))</f>
        <v/>
      </c>
      <c r="Q723" s="66">
        <f>IF(Z723=1,IF(U723="In",K723&amp;"",V723),"")</f>
        <v/>
      </c>
      <c r="R723" s="66">
        <f>IF(Z723=1,IF(U723="In",V723,K723&amp;""),"")</f>
        <v/>
      </c>
      <c r="S723" s="66">
        <f>IF(X723&lt;&gt;"","⛔ "&amp;X723&amp;" — not posted",IF(Y723&lt;&gt;"","⚠ "&amp;Y723,IF(Z723=1,"✓ OK","")))</f>
        <v/>
      </c>
      <c r="T723" s="67">
        <f>IF(AND(C723="",D723="",E723="",L723="",K723=""),1,0)</f>
        <v/>
      </c>
      <c r="U723" s="67">
        <f>IFERROR(INDEX(tt_Dir,MATCH(D723,tt_Type,0)),"")</f>
        <v/>
      </c>
      <c r="V723" s="67">
        <f>IF(D723="","",IFERROR(IF(INDEX(tt_Other,MATCH(D723,tt_Type,0))="",E723&amp;"",INDEX(tt_Other,MATCH(D723,tt_Type,0))),""))</f>
        <v/>
      </c>
      <c r="W723" s="68">
        <f>IF(OR(TaxOn&lt;&gt;"Yes",NOT(ISNUMBER(M723))),0,IF(IFERROR(INDEX(tt_Tax,MATCH(D723,tt_Type,0)),"No")="Yes",M723,0))</f>
        <v/>
      </c>
      <c r="X723" s="67">
        <f>IF(T723=1,"",IF(C723="","Missing transaction date",IF(NOT(ISNUMBER(C723)),"Invalid date",IF(OR(C723&lt;DATE(2000,1,1),C723&gt;DATE(2099,12,31)),"Invalid date",IF(D723="","Select a type",IF(U723="","Unknown type: "&amp;D723,IF(V723="","Select an account (Category)",IF(ISNA(MATCH(V723,coa_Name,0)),"Unknown account: "&amp;V723,IF(K723="","Select Paid From / Deposited To",IF(ISNA(MATCH(K723,coa_Name,0)),"Unknown account: "&amp;K723,IF(NOT(ISNUMBER(L723)),"Enter an amount",IF(L723=0,"Enter an amount",IF(ABS(W723)&gt;ABS(L723),"Tax is larger than the amount","")))))))))))))</f>
        <v/>
      </c>
      <c r="Y723" s="67">
        <f>IF(OR(T723=1,X723&lt;&gt;""),"",IF(AND(B723&lt;&gt;"",COUNTIF(tx_ID,B723)&gt;1),"Duplicate transaction ID",IF(AND(L723&lt;0,D723&lt;&gt;"Adjustment"),"Negative amount — check this entry",IF(AND(D723="Customer Payment",G723=""),"Add the customer",IF(AND(D723="Customer Payment",OR(J723="",COUNTIF(ar_No,J723&amp;"")=0)),"Invoice # in Reference not found on AR sheet",IF(AND(D723="Bill Payment",H723=""),"Add the vendor",IF(AND(D723="Bill Payment",OR(J723="",COUNTIFS(ap_No,J723&amp;"",ap_Party,H723&amp;"")=0)),"Bill # + vendor not found on AP sheet",IF(AND(ISNUMBER(M723),N(M723)&lt;&gt;0,W723=0),"Tax ignored (tax tracking off, or not allowed for this type)",IF(V723=K723&amp;"","Same account on both sides",IF(AND(ISNUMBER(StartDate),C723&lt;StartDate),"Date is before the accounting start date",IF(AND(D723&lt;&gt;"Adjustment",IFERROR(INDEX(coa_Pay,MATCH(K723&amp;"",coa_Name,0)),"")&lt;&gt;"Yes"),"Paid From / Deposited To is not a payment account","")))))))))))</f>
        <v/>
      </c>
      <c r="Z723" s="67">
        <f>IF(AND(T723=0,X723=""),1,0)</f>
        <v/>
      </c>
      <c r="AA723" s="68">
        <f>IF(Z723=1,IF(U723="In",L723,L723-W723),0)</f>
        <v/>
      </c>
      <c r="AB723" s="68">
        <f>IF(Z723=1,IF(U723="In",L723-W723,L723),0)</f>
        <v/>
      </c>
      <c r="AC723" s="68">
        <f>IF(AND(Z723=1,U723="Out"),W723,0)</f>
        <v/>
      </c>
      <c r="AD723" s="68">
        <f>IF(AND(Z723=1,U723="In"),W723,0)</f>
        <v/>
      </c>
    </row>
    <row r="724">
      <c r="B724" s="62" t="inlineStr">
        <is>
          <t>TX-0718</t>
        </is>
      </c>
      <c r="C724" s="63" t="n"/>
      <c r="D724" s="62" t="n"/>
      <c r="E724" s="62" t="n"/>
      <c r="F724" s="62" t="n"/>
      <c r="G724" s="62" t="n"/>
      <c r="H724" s="62" t="n"/>
      <c r="I724" s="62" t="n"/>
      <c r="J724" s="62" t="n"/>
      <c r="K724" s="62" t="n"/>
      <c r="L724" s="64" t="n"/>
      <c r="M724" s="64" t="n"/>
      <c r="N724" s="62" t="n"/>
      <c r="O724" s="65">
        <f>IF(Z724=1,L724-W724,"")</f>
        <v/>
      </c>
      <c r="P724" s="66">
        <f>IF(V724="","",IFERROR(INDEX(coa_Type,MATCH(V724,coa_Name,0)),""))</f>
        <v/>
      </c>
      <c r="Q724" s="66">
        <f>IF(Z724=1,IF(U724="In",K724&amp;"",V724),"")</f>
        <v/>
      </c>
      <c r="R724" s="66">
        <f>IF(Z724=1,IF(U724="In",V724,K724&amp;""),"")</f>
        <v/>
      </c>
      <c r="S724" s="66">
        <f>IF(X724&lt;&gt;"","⛔ "&amp;X724&amp;" — not posted",IF(Y724&lt;&gt;"","⚠ "&amp;Y724,IF(Z724=1,"✓ OK","")))</f>
        <v/>
      </c>
      <c r="T724" s="67">
        <f>IF(AND(C724="",D724="",E724="",L724="",K724=""),1,0)</f>
        <v/>
      </c>
      <c r="U724" s="67">
        <f>IFERROR(INDEX(tt_Dir,MATCH(D724,tt_Type,0)),"")</f>
        <v/>
      </c>
      <c r="V724" s="67">
        <f>IF(D724="","",IFERROR(IF(INDEX(tt_Other,MATCH(D724,tt_Type,0))="",E724&amp;"",INDEX(tt_Other,MATCH(D724,tt_Type,0))),""))</f>
        <v/>
      </c>
      <c r="W724" s="68">
        <f>IF(OR(TaxOn&lt;&gt;"Yes",NOT(ISNUMBER(M724))),0,IF(IFERROR(INDEX(tt_Tax,MATCH(D724,tt_Type,0)),"No")="Yes",M724,0))</f>
        <v/>
      </c>
      <c r="X724" s="67">
        <f>IF(T724=1,"",IF(C724="","Missing transaction date",IF(NOT(ISNUMBER(C724)),"Invalid date",IF(OR(C724&lt;DATE(2000,1,1),C724&gt;DATE(2099,12,31)),"Invalid date",IF(D724="","Select a type",IF(U724="","Unknown type: "&amp;D724,IF(V724="","Select an account (Category)",IF(ISNA(MATCH(V724,coa_Name,0)),"Unknown account: "&amp;V724,IF(K724="","Select Paid From / Deposited To",IF(ISNA(MATCH(K724,coa_Name,0)),"Unknown account: "&amp;K724,IF(NOT(ISNUMBER(L724)),"Enter an amount",IF(L724=0,"Enter an amount",IF(ABS(W724)&gt;ABS(L724),"Tax is larger than the amount","")))))))))))))</f>
        <v/>
      </c>
      <c r="Y724" s="67">
        <f>IF(OR(T724=1,X724&lt;&gt;""),"",IF(AND(B724&lt;&gt;"",COUNTIF(tx_ID,B724)&gt;1),"Duplicate transaction ID",IF(AND(L724&lt;0,D724&lt;&gt;"Adjustment"),"Negative amount — check this entry",IF(AND(D724="Customer Payment",G724=""),"Add the customer",IF(AND(D724="Customer Payment",OR(J724="",COUNTIF(ar_No,J724&amp;"")=0)),"Invoice # in Reference not found on AR sheet",IF(AND(D724="Bill Payment",H724=""),"Add the vendor",IF(AND(D724="Bill Payment",OR(J724="",COUNTIFS(ap_No,J724&amp;"",ap_Party,H724&amp;"")=0)),"Bill # + vendor not found on AP sheet",IF(AND(ISNUMBER(M724),N(M724)&lt;&gt;0,W724=0),"Tax ignored (tax tracking off, or not allowed for this type)",IF(V724=K724&amp;"","Same account on both sides",IF(AND(ISNUMBER(StartDate),C724&lt;StartDate),"Date is before the accounting start date",IF(AND(D724&lt;&gt;"Adjustment",IFERROR(INDEX(coa_Pay,MATCH(K724&amp;"",coa_Name,0)),"")&lt;&gt;"Yes"),"Paid From / Deposited To is not a payment account","")))))))))))</f>
        <v/>
      </c>
      <c r="Z724" s="67">
        <f>IF(AND(T724=0,X724=""),1,0)</f>
        <v/>
      </c>
      <c r="AA724" s="68">
        <f>IF(Z724=1,IF(U724="In",L724,L724-W724),0)</f>
        <v/>
      </c>
      <c r="AB724" s="68">
        <f>IF(Z724=1,IF(U724="In",L724-W724,L724),0)</f>
        <v/>
      </c>
      <c r="AC724" s="68">
        <f>IF(AND(Z724=1,U724="Out"),W724,0)</f>
        <v/>
      </c>
      <c r="AD724" s="68">
        <f>IF(AND(Z724=1,U724="In"),W724,0)</f>
        <v/>
      </c>
    </row>
    <row r="725">
      <c r="B725" s="62" t="inlineStr">
        <is>
          <t>TX-0719</t>
        </is>
      </c>
      <c r="C725" s="63" t="n"/>
      <c r="D725" s="62" t="n"/>
      <c r="E725" s="62" t="n"/>
      <c r="F725" s="62" t="n"/>
      <c r="G725" s="62" t="n"/>
      <c r="H725" s="62" t="n"/>
      <c r="I725" s="62" t="n"/>
      <c r="J725" s="62" t="n"/>
      <c r="K725" s="62" t="n"/>
      <c r="L725" s="64" t="n"/>
      <c r="M725" s="64" t="n"/>
      <c r="N725" s="62" t="n"/>
      <c r="O725" s="65">
        <f>IF(Z725=1,L725-W725,"")</f>
        <v/>
      </c>
      <c r="P725" s="66">
        <f>IF(V725="","",IFERROR(INDEX(coa_Type,MATCH(V725,coa_Name,0)),""))</f>
        <v/>
      </c>
      <c r="Q725" s="66">
        <f>IF(Z725=1,IF(U725="In",K725&amp;"",V725),"")</f>
        <v/>
      </c>
      <c r="R725" s="66">
        <f>IF(Z725=1,IF(U725="In",V725,K725&amp;""),"")</f>
        <v/>
      </c>
      <c r="S725" s="66">
        <f>IF(X725&lt;&gt;"","⛔ "&amp;X725&amp;" — not posted",IF(Y725&lt;&gt;"","⚠ "&amp;Y725,IF(Z725=1,"✓ OK","")))</f>
        <v/>
      </c>
      <c r="T725" s="67">
        <f>IF(AND(C725="",D725="",E725="",L725="",K725=""),1,0)</f>
        <v/>
      </c>
      <c r="U725" s="67">
        <f>IFERROR(INDEX(tt_Dir,MATCH(D725,tt_Type,0)),"")</f>
        <v/>
      </c>
      <c r="V725" s="67">
        <f>IF(D725="","",IFERROR(IF(INDEX(tt_Other,MATCH(D725,tt_Type,0))="",E725&amp;"",INDEX(tt_Other,MATCH(D725,tt_Type,0))),""))</f>
        <v/>
      </c>
      <c r="W725" s="68">
        <f>IF(OR(TaxOn&lt;&gt;"Yes",NOT(ISNUMBER(M725))),0,IF(IFERROR(INDEX(tt_Tax,MATCH(D725,tt_Type,0)),"No")="Yes",M725,0))</f>
        <v/>
      </c>
      <c r="X725" s="67">
        <f>IF(T725=1,"",IF(C725="","Missing transaction date",IF(NOT(ISNUMBER(C725)),"Invalid date",IF(OR(C725&lt;DATE(2000,1,1),C725&gt;DATE(2099,12,31)),"Invalid date",IF(D725="","Select a type",IF(U725="","Unknown type: "&amp;D725,IF(V725="","Select an account (Category)",IF(ISNA(MATCH(V725,coa_Name,0)),"Unknown account: "&amp;V725,IF(K725="","Select Paid From / Deposited To",IF(ISNA(MATCH(K725,coa_Name,0)),"Unknown account: "&amp;K725,IF(NOT(ISNUMBER(L725)),"Enter an amount",IF(L725=0,"Enter an amount",IF(ABS(W725)&gt;ABS(L725),"Tax is larger than the amount","")))))))))))))</f>
        <v/>
      </c>
      <c r="Y725" s="67">
        <f>IF(OR(T725=1,X725&lt;&gt;""),"",IF(AND(B725&lt;&gt;"",COUNTIF(tx_ID,B725)&gt;1),"Duplicate transaction ID",IF(AND(L725&lt;0,D725&lt;&gt;"Adjustment"),"Negative amount — check this entry",IF(AND(D725="Customer Payment",G725=""),"Add the customer",IF(AND(D725="Customer Payment",OR(J725="",COUNTIF(ar_No,J725&amp;"")=0)),"Invoice # in Reference not found on AR sheet",IF(AND(D725="Bill Payment",H725=""),"Add the vendor",IF(AND(D725="Bill Payment",OR(J725="",COUNTIFS(ap_No,J725&amp;"",ap_Party,H725&amp;"")=0)),"Bill # + vendor not found on AP sheet",IF(AND(ISNUMBER(M725),N(M725)&lt;&gt;0,W725=0),"Tax ignored (tax tracking off, or not allowed for this type)",IF(V725=K725&amp;"","Same account on both sides",IF(AND(ISNUMBER(StartDate),C725&lt;StartDate),"Date is before the accounting start date",IF(AND(D725&lt;&gt;"Adjustment",IFERROR(INDEX(coa_Pay,MATCH(K725&amp;"",coa_Name,0)),"")&lt;&gt;"Yes"),"Paid From / Deposited To is not a payment account","")))))))))))</f>
        <v/>
      </c>
      <c r="Z725" s="67">
        <f>IF(AND(T725=0,X725=""),1,0)</f>
        <v/>
      </c>
      <c r="AA725" s="68">
        <f>IF(Z725=1,IF(U725="In",L725,L725-W725),0)</f>
        <v/>
      </c>
      <c r="AB725" s="68">
        <f>IF(Z725=1,IF(U725="In",L725-W725,L725),0)</f>
        <v/>
      </c>
      <c r="AC725" s="68">
        <f>IF(AND(Z725=1,U725="Out"),W725,0)</f>
        <v/>
      </c>
      <c r="AD725" s="68">
        <f>IF(AND(Z725=1,U725="In"),W725,0)</f>
        <v/>
      </c>
    </row>
    <row r="726">
      <c r="B726" s="62" t="inlineStr">
        <is>
          <t>TX-0720</t>
        </is>
      </c>
      <c r="C726" s="63" t="n"/>
      <c r="D726" s="62" t="n"/>
      <c r="E726" s="62" t="n"/>
      <c r="F726" s="62" t="n"/>
      <c r="G726" s="62" t="n"/>
      <c r="H726" s="62" t="n"/>
      <c r="I726" s="62" t="n"/>
      <c r="J726" s="62" t="n"/>
      <c r="K726" s="62" t="n"/>
      <c r="L726" s="64" t="n"/>
      <c r="M726" s="64" t="n"/>
      <c r="N726" s="62" t="n"/>
      <c r="O726" s="65">
        <f>IF(Z726=1,L726-W726,"")</f>
        <v/>
      </c>
      <c r="P726" s="66">
        <f>IF(V726="","",IFERROR(INDEX(coa_Type,MATCH(V726,coa_Name,0)),""))</f>
        <v/>
      </c>
      <c r="Q726" s="66">
        <f>IF(Z726=1,IF(U726="In",K726&amp;"",V726),"")</f>
        <v/>
      </c>
      <c r="R726" s="66">
        <f>IF(Z726=1,IF(U726="In",V726,K726&amp;""),"")</f>
        <v/>
      </c>
      <c r="S726" s="66">
        <f>IF(X726&lt;&gt;"","⛔ "&amp;X726&amp;" — not posted",IF(Y726&lt;&gt;"","⚠ "&amp;Y726,IF(Z726=1,"✓ OK","")))</f>
        <v/>
      </c>
      <c r="T726" s="67">
        <f>IF(AND(C726="",D726="",E726="",L726="",K726=""),1,0)</f>
        <v/>
      </c>
      <c r="U726" s="67">
        <f>IFERROR(INDEX(tt_Dir,MATCH(D726,tt_Type,0)),"")</f>
        <v/>
      </c>
      <c r="V726" s="67">
        <f>IF(D726="","",IFERROR(IF(INDEX(tt_Other,MATCH(D726,tt_Type,0))="",E726&amp;"",INDEX(tt_Other,MATCH(D726,tt_Type,0))),""))</f>
        <v/>
      </c>
      <c r="W726" s="68">
        <f>IF(OR(TaxOn&lt;&gt;"Yes",NOT(ISNUMBER(M726))),0,IF(IFERROR(INDEX(tt_Tax,MATCH(D726,tt_Type,0)),"No")="Yes",M726,0))</f>
        <v/>
      </c>
      <c r="X726" s="67">
        <f>IF(T726=1,"",IF(C726="","Missing transaction date",IF(NOT(ISNUMBER(C726)),"Invalid date",IF(OR(C726&lt;DATE(2000,1,1),C726&gt;DATE(2099,12,31)),"Invalid date",IF(D726="","Select a type",IF(U726="","Unknown type: "&amp;D726,IF(V726="","Select an account (Category)",IF(ISNA(MATCH(V726,coa_Name,0)),"Unknown account: "&amp;V726,IF(K726="","Select Paid From / Deposited To",IF(ISNA(MATCH(K726,coa_Name,0)),"Unknown account: "&amp;K726,IF(NOT(ISNUMBER(L726)),"Enter an amount",IF(L726=0,"Enter an amount",IF(ABS(W726)&gt;ABS(L726),"Tax is larger than the amount","")))))))))))))</f>
        <v/>
      </c>
      <c r="Y726" s="67">
        <f>IF(OR(T726=1,X726&lt;&gt;""),"",IF(AND(B726&lt;&gt;"",COUNTIF(tx_ID,B726)&gt;1),"Duplicate transaction ID",IF(AND(L726&lt;0,D726&lt;&gt;"Adjustment"),"Negative amount — check this entry",IF(AND(D726="Customer Payment",G726=""),"Add the customer",IF(AND(D726="Customer Payment",OR(J726="",COUNTIF(ar_No,J726&amp;"")=0)),"Invoice # in Reference not found on AR sheet",IF(AND(D726="Bill Payment",H726=""),"Add the vendor",IF(AND(D726="Bill Payment",OR(J726="",COUNTIFS(ap_No,J726&amp;"",ap_Party,H726&amp;"")=0)),"Bill # + vendor not found on AP sheet",IF(AND(ISNUMBER(M726),N(M726)&lt;&gt;0,W726=0),"Tax ignored (tax tracking off, or not allowed for this type)",IF(V726=K726&amp;"","Same account on both sides",IF(AND(ISNUMBER(StartDate),C726&lt;StartDate),"Date is before the accounting start date",IF(AND(D726&lt;&gt;"Adjustment",IFERROR(INDEX(coa_Pay,MATCH(K726&amp;"",coa_Name,0)),"")&lt;&gt;"Yes"),"Paid From / Deposited To is not a payment account","")))))))))))</f>
        <v/>
      </c>
      <c r="Z726" s="67">
        <f>IF(AND(T726=0,X726=""),1,0)</f>
        <v/>
      </c>
      <c r="AA726" s="68">
        <f>IF(Z726=1,IF(U726="In",L726,L726-W726),0)</f>
        <v/>
      </c>
      <c r="AB726" s="68">
        <f>IF(Z726=1,IF(U726="In",L726-W726,L726),0)</f>
        <v/>
      </c>
      <c r="AC726" s="68">
        <f>IF(AND(Z726=1,U726="Out"),W726,0)</f>
        <v/>
      </c>
      <c r="AD726" s="68">
        <f>IF(AND(Z726=1,U726="In"),W726,0)</f>
        <v/>
      </c>
    </row>
    <row r="727">
      <c r="B727" s="62" t="inlineStr">
        <is>
          <t>TX-0721</t>
        </is>
      </c>
      <c r="C727" s="63" t="n"/>
      <c r="D727" s="62" t="n"/>
      <c r="E727" s="62" t="n"/>
      <c r="F727" s="62" t="n"/>
      <c r="G727" s="62" t="n"/>
      <c r="H727" s="62" t="n"/>
      <c r="I727" s="62" t="n"/>
      <c r="J727" s="62" t="n"/>
      <c r="K727" s="62" t="n"/>
      <c r="L727" s="64" t="n"/>
      <c r="M727" s="64" t="n"/>
      <c r="N727" s="62" t="n"/>
      <c r="O727" s="65">
        <f>IF(Z727=1,L727-W727,"")</f>
        <v/>
      </c>
      <c r="P727" s="66">
        <f>IF(V727="","",IFERROR(INDEX(coa_Type,MATCH(V727,coa_Name,0)),""))</f>
        <v/>
      </c>
      <c r="Q727" s="66">
        <f>IF(Z727=1,IF(U727="In",K727&amp;"",V727),"")</f>
        <v/>
      </c>
      <c r="R727" s="66">
        <f>IF(Z727=1,IF(U727="In",V727,K727&amp;""),"")</f>
        <v/>
      </c>
      <c r="S727" s="66">
        <f>IF(X727&lt;&gt;"","⛔ "&amp;X727&amp;" — not posted",IF(Y727&lt;&gt;"","⚠ "&amp;Y727,IF(Z727=1,"✓ OK","")))</f>
        <v/>
      </c>
      <c r="T727" s="67">
        <f>IF(AND(C727="",D727="",E727="",L727="",K727=""),1,0)</f>
        <v/>
      </c>
      <c r="U727" s="67">
        <f>IFERROR(INDEX(tt_Dir,MATCH(D727,tt_Type,0)),"")</f>
        <v/>
      </c>
      <c r="V727" s="67">
        <f>IF(D727="","",IFERROR(IF(INDEX(tt_Other,MATCH(D727,tt_Type,0))="",E727&amp;"",INDEX(tt_Other,MATCH(D727,tt_Type,0))),""))</f>
        <v/>
      </c>
      <c r="W727" s="68">
        <f>IF(OR(TaxOn&lt;&gt;"Yes",NOT(ISNUMBER(M727))),0,IF(IFERROR(INDEX(tt_Tax,MATCH(D727,tt_Type,0)),"No")="Yes",M727,0))</f>
        <v/>
      </c>
      <c r="X727" s="67">
        <f>IF(T727=1,"",IF(C727="","Missing transaction date",IF(NOT(ISNUMBER(C727)),"Invalid date",IF(OR(C727&lt;DATE(2000,1,1),C727&gt;DATE(2099,12,31)),"Invalid date",IF(D727="","Select a type",IF(U727="","Unknown type: "&amp;D727,IF(V727="","Select an account (Category)",IF(ISNA(MATCH(V727,coa_Name,0)),"Unknown account: "&amp;V727,IF(K727="","Select Paid From / Deposited To",IF(ISNA(MATCH(K727,coa_Name,0)),"Unknown account: "&amp;K727,IF(NOT(ISNUMBER(L727)),"Enter an amount",IF(L727=0,"Enter an amount",IF(ABS(W727)&gt;ABS(L727),"Tax is larger than the amount","")))))))))))))</f>
        <v/>
      </c>
      <c r="Y727" s="67">
        <f>IF(OR(T727=1,X727&lt;&gt;""),"",IF(AND(B727&lt;&gt;"",COUNTIF(tx_ID,B727)&gt;1),"Duplicate transaction ID",IF(AND(L727&lt;0,D727&lt;&gt;"Adjustment"),"Negative amount — check this entry",IF(AND(D727="Customer Payment",G727=""),"Add the customer",IF(AND(D727="Customer Payment",OR(J727="",COUNTIF(ar_No,J727&amp;"")=0)),"Invoice # in Reference not found on AR sheet",IF(AND(D727="Bill Payment",H727=""),"Add the vendor",IF(AND(D727="Bill Payment",OR(J727="",COUNTIFS(ap_No,J727&amp;"",ap_Party,H727&amp;"")=0)),"Bill # + vendor not found on AP sheet",IF(AND(ISNUMBER(M727),N(M727)&lt;&gt;0,W727=0),"Tax ignored (tax tracking off, or not allowed for this type)",IF(V727=K727&amp;"","Same account on both sides",IF(AND(ISNUMBER(StartDate),C727&lt;StartDate),"Date is before the accounting start date",IF(AND(D727&lt;&gt;"Adjustment",IFERROR(INDEX(coa_Pay,MATCH(K727&amp;"",coa_Name,0)),"")&lt;&gt;"Yes"),"Paid From / Deposited To is not a payment account","")))))))))))</f>
        <v/>
      </c>
      <c r="Z727" s="67">
        <f>IF(AND(T727=0,X727=""),1,0)</f>
        <v/>
      </c>
      <c r="AA727" s="68">
        <f>IF(Z727=1,IF(U727="In",L727,L727-W727),0)</f>
        <v/>
      </c>
      <c r="AB727" s="68">
        <f>IF(Z727=1,IF(U727="In",L727-W727,L727),0)</f>
        <v/>
      </c>
      <c r="AC727" s="68">
        <f>IF(AND(Z727=1,U727="Out"),W727,0)</f>
        <v/>
      </c>
      <c r="AD727" s="68">
        <f>IF(AND(Z727=1,U727="In"),W727,0)</f>
        <v/>
      </c>
    </row>
    <row r="728">
      <c r="B728" s="62" t="inlineStr">
        <is>
          <t>TX-0722</t>
        </is>
      </c>
      <c r="C728" s="63" t="n"/>
      <c r="D728" s="62" t="n"/>
      <c r="E728" s="62" t="n"/>
      <c r="F728" s="62" t="n"/>
      <c r="G728" s="62" t="n"/>
      <c r="H728" s="62" t="n"/>
      <c r="I728" s="62" t="n"/>
      <c r="J728" s="62" t="n"/>
      <c r="K728" s="62" t="n"/>
      <c r="L728" s="64" t="n"/>
      <c r="M728" s="64" t="n"/>
      <c r="N728" s="62" t="n"/>
      <c r="O728" s="65">
        <f>IF(Z728=1,L728-W728,"")</f>
        <v/>
      </c>
      <c r="P728" s="66">
        <f>IF(V728="","",IFERROR(INDEX(coa_Type,MATCH(V728,coa_Name,0)),""))</f>
        <v/>
      </c>
      <c r="Q728" s="66">
        <f>IF(Z728=1,IF(U728="In",K728&amp;"",V728),"")</f>
        <v/>
      </c>
      <c r="R728" s="66">
        <f>IF(Z728=1,IF(U728="In",V728,K728&amp;""),"")</f>
        <v/>
      </c>
      <c r="S728" s="66">
        <f>IF(X728&lt;&gt;"","⛔ "&amp;X728&amp;" — not posted",IF(Y728&lt;&gt;"","⚠ "&amp;Y728,IF(Z728=1,"✓ OK","")))</f>
        <v/>
      </c>
      <c r="T728" s="67">
        <f>IF(AND(C728="",D728="",E728="",L728="",K728=""),1,0)</f>
        <v/>
      </c>
      <c r="U728" s="67">
        <f>IFERROR(INDEX(tt_Dir,MATCH(D728,tt_Type,0)),"")</f>
        <v/>
      </c>
      <c r="V728" s="67">
        <f>IF(D728="","",IFERROR(IF(INDEX(tt_Other,MATCH(D728,tt_Type,0))="",E728&amp;"",INDEX(tt_Other,MATCH(D728,tt_Type,0))),""))</f>
        <v/>
      </c>
      <c r="W728" s="68">
        <f>IF(OR(TaxOn&lt;&gt;"Yes",NOT(ISNUMBER(M728))),0,IF(IFERROR(INDEX(tt_Tax,MATCH(D728,tt_Type,0)),"No")="Yes",M728,0))</f>
        <v/>
      </c>
      <c r="X728" s="67">
        <f>IF(T728=1,"",IF(C728="","Missing transaction date",IF(NOT(ISNUMBER(C728)),"Invalid date",IF(OR(C728&lt;DATE(2000,1,1),C728&gt;DATE(2099,12,31)),"Invalid date",IF(D728="","Select a type",IF(U728="","Unknown type: "&amp;D728,IF(V728="","Select an account (Category)",IF(ISNA(MATCH(V728,coa_Name,0)),"Unknown account: "&amp;V728,IF(K728="","Select Paid From / Deposited To",IF(ISNA(MATCH(K728,coa_Name,0)),"Unknown account: "&amp;K728,IF(NOT(ISNUMBER(L728)),"Enter an amount",IF(L728=0,"Enter an amount",IF(ABS(W728)&gt;ABS(L728),"Tax is larger than the amount","")))))))))))))</f>
        <v/>
      </c>
      <c r="Y728" s="67">
        <f>IF(OR(T728=1,X728&lt;&gt;""),"",IF(AND(B728&lt;&gt;"",COUNTIF(tx_ID,B728)&gt;1),"Duplicate transaction ID",IF(AND(L728&lt;0,D728&lt;&gt;"Adjustment"),"Negative amount — check this entry",IF(AND(D728="Customer Payment",G728=""),"Add the customer",IF(AND(D728="Customer Payment",OR(J728="",COUNTIF(ar_No,J728&amp;"")=0)),"Invoice # in Reference not found on AR sheet",IF(AND(D728="Bill Payment",H728=""),"Add the vendor",IF(AND(D728="Bill Payment",OR(J728="",COUNTIFS(ap_No,J728&amp;"",ap_Party,H728&amp;"")=0)),"Bill # + vendor not found on AP sheet",IF(AND(ISNUMBER(M728),N(M728)&lt;&gt;0,W728=0),"Tax ignored (tax tracking off, or not allowed for this type)",IF(V728=K728&amp;"","Same account on both sides",IF(AND(ISNUMBER(StartDate),C728&lt;StartDate),"Date is before the accounting start date",IF(AND(D728&lt;&gt;"Adjustment",IFERROR(INDEX(coa_Pay,MATCH(K728&amp;"",coa_Name,0)),"")&lt;&gt;"Yes"),"Paid From / Deposited To is not a payment account","")))))))))))</f>
        <v/>
      </c>
      <c r="Z728" s="67">
        <f>IF(AND(T728=0,X728=""),1,0)</f>
        <v/>
      </c>
      <c r="AA728" s="68">
        <f>IF(Z728=1,IF(U728="In",L728,L728-W728),0)</f>
        <v/>
      </c>
      <c r="AB728" s="68">
        <f>IF(Z728=1,IF(U728="In",L728-W728,L728),0)</f>
        <v/>
      </c>
      <c r="AC728" s="68">
        <f>IF(AND(Z728=1,U728="Out"),W728,0)</f>
        <v/>
      </c>
      <c r="AD728" s="68">
        <f>IF(AND(Z728=1,U728="In"),W728,0)</f>
        <v/>
      </c>
    </row>
    <row r="729">
      <c r="B729" s="62" t="inlineStr">
        <is>
          <t>TX-0723</t>
        </is>
      </c>
      <c r="C729" s="63" t="n"/>
      <c r="D729" s="62" t="n"/>
      <c r="E729" s="62" t="n"/>
      <c r="F729" s="62" t="n"/>
      <c r="G729" s="62" t="n"/>
      <c r="H729" s="62" t="n"/>
      <c r="I729" s="62" t="n"/>
      <c r="J729" s="62" t="n"/>
      <c r="K729" s="62" t="n"/>
      <c r="L729" s="64" t="n"/>
      <c r="M729" s="64" t="n"/>
      <c r="N729" s="62" t="n"/>
      <c r="O729" s="65">
        <f>IF(Z729=1,L729-W729,"")</f>
        <v/>
      </c>
      <c r="P729" s="66">
        <f>IF(V729="","",IFERROR(INDEX(coa_Type,MATCH(V729,coa_Name,0)),""))</f>
        <v/>
      </c>
      <c r="Q729" s="66">
        <f>IF(Z729=1,IF(U729="In",K729&amp;"",V729),"")</f>
        <v/>
      </c>
      <c r="R729" s="66">
        <f>IF(Z729=1,IF(U729="In",V729,K729&amp;""),"")</f>
        <v/>
      </c>
      <c r="S729" s="66">
        <f>IF(X729&lt;&gt;"","⛔ "&amp;X729&amp;" — not posted",IF(Y729&lt;&gt;"","⚠ "&amp;Y729,IF(Z729=1,"✓ OK","")))</f>
        <v/>
      </c>
      <c r="T729" s="67">
        <f>IF(AND(C729="",D729="",E729="",L729="",K729=""),1,0)</f>
        <v/>
      </c>
      <c r="U729" s="67">
        <f>IFERROR(INDEX(tt_Dir,MATCH(D729,tt_Type,0)),"")</f>
        <v/>
      </c>
      <c r="V729" s="67">
        <f>IF(D729="","",IFERROR(IF(INDEX(tt_Other,MATCH(D729,tt_Type,0))="",E729&amp;"",INDEX(tt_Other,MATCH(D729,tt_Type,0))),""))</f>
        <v/>
      </c>
      <c r="W729" s="68">
        <f>IF(OR(TaxOn&lt;&gt;"Yes",NOT(ISNUMBER(M729))),0,IF(IFERROR(INDEX(tt_Tax,MATCH(D729,tt_Type,0)),"No")="Yes",M729,0))</f>
        <v/>
      </c>
      <c r="X729" s="67">
        <f>IF(T729=1,"",IF(C729="","Missing transaction date",IF(NOT(ISNUMBER(C729)),"Invalid date",IF(OR(C729&lt;DATE(2000,1,1),C729&gt;DATE(2099,12,31)),"Invalid date",IF(D729="","Select a type",IF(U729="","Unknown type: "&amp;D729,IF(V729="","Select an account (Category)",IF(ISNA(MATCH(V729,coa_Name,0)),"Unknown account: "&amp;V729,IF(K729="","Select Paid From / Deposited To",IF(ISNA(MATCH(K729,coa_Name,0)),"Unknown account: "&amp;K729,IF(NOT(ISNUMBER(L729)),"Enter an amount",IF(L729=0,"Enter an amount",IF(ABS(W729)&gt;ABS(L729),"Tax is larger than the amount","")))))))))))))</f>
        <v/>
      </c>
      <c r="Y729" s="67">
        <f>IF(OR(T729=1,X729&lt;&gt;""),"",IF(AND(B729&lt;&gt;"",COUNTIF(tx_ID,B729)&gt;1),"Duplicate transaction ID",IF(AND(L729&lt;0,D729&lt;&gt;"Adjustment"),"Negative amount — check this entry",IF(AND(D729="Customer Payment",G729=""),"Add the customer",IF(AND(D729="Customer Payment",OR(J729="",COUNTIF(ar_No,J729&amp;"")=0)),"Invoice # in Reference not found on AR sheet",IF(AND(D729="Bill Payment",H729=""),"Add the vendor",IF(AND(D729="Bill Payment",OR(J729="",COUNTIFS(ap_No,J729&amp;"",ap_Party,H729&amp;"")=0)),"Bill # + vendor not found on AP sheet",IF(AND(ISNUMBER(M729),N(M729)&lt;&gt;0,W729=0),"Tax ignored (tax tracking off, or not allowed for this type)",IF(V729=K729&amp;"","Same account on both sides",IF(AND(ISNUMBER(StartDate),C729&lt;StartDate),"Date is before the accounting start date",IF(AND(D729&lt;&gt;"Adjustment",IFERROR(INDEX(coa_Pay,MATCH(K729&amp;"",coa_Name,0)),"")&lt;&gt;"Yes"),"Paid From / Deposited To is not a payment account","")))))))))))</f>
        <v/>
      </c>
      <c r="Z729" s="67">
        <f>IF(AND(T729=0,X729=""),1,0)</f>
        <v/>
      </c>
      <c r="AA729" s="68">
        <f>IF(Z729=1,IF(U729="In",L729,L729-W729),0)</f>
        <v/>
      </c>
      <c r="AB729" s="68">
        <f>IF(Z729=1,IF(U729="In",L729-W729,L729),0)</f>
        <v/>
      </c>
      <c r="AC729" s="68">
        <f>IF(AND(Z729=1,U729="Out"),W729,0)</f>
        <v/>
      </c>
      <c r="AD729" s="68">
        <f>IF(AND(Z729=1,U729="In"),W729,0)</f>
        <v/>
      </c>
    </row>
    <row r="730">
      <c r="B730" s="62" t="inlineStr">
        <is>
          <t>TX-0724</t>
        </is>
      </c>
      <c r="C730" s="63" t="n"/>
      <c r="D730" s="62" t="n"/>
      <c r="E730" s="62" t="n"/>
      <c r="F730" s="62" t="n"/>
      <c r="G730" s="62" t="n"/>
      <c r="H730" s="62" t="n"/>
      <c r="I730" s="62" t="n"/>
      <c r="J730" s="62" t="n"/>
      <c r="K730" s="62" t="n"/>
      <c r="L730" s="64" t="n"/>
      <c r="M730" s="64" t="n"/>
      <c r="N730" s="62" t="n"/>
      <c r="O730" s="65">
        <f>IF(Z730=1,L730-W730,"")</f>
        <v/>
      </c>
      <c r="P730" s="66">
        <f>IF(V730="","",IFERROR(INDEX(coa_Type,MATCH(V730,coa_Name,0)),""))</f>
        <v/>
      </c>
      <c r="Q730" s="66">
        <f>IF(Z730=1,IF(U730="In",K730&amp;"",V730),"")</f>
        <v/>
      </c>
      <c r="R730" s="66">
        <f>IF(Z730=1,IF(U730="In",V730,K730&amp;""),"")</f>
        <v/>
      </c>
      <c r="S730" s="66">
        <f>IF(X730&lt;&gt;"","⛔ "&amp;X730&amp;" — not posted",IF(Y730&lt;&gt;"","⚠ "&amp;Y730,IF(Z730=1,"✓ OK","")))</f>
        <v/>
      </c>
      <c r="T730" s="67">
        <f>IF(AND(C730="",D730="",E730="",L730="",K730=""),1,0)</f>
        <v/>
      </c>
      <c r="U730" s="67">
        <f>IFERROR(INDEX(tt_Dir,MATCH(D730,tt_Type,0)),"")</f>
        <v/>
      </c>
      <c r="V730" s="67">
        <f>IF(D730="","",IFERROR(IF(INDEX(tt_Other,MATCH(D730,tt_Type,0))="",E730&amp;"",INDEX(tt_Other,MATCH(D730,tt_Type,0))),""))</f>
        <v/>
      </c>
      <c r="W730" s="68">
        <f>IF(OR(TaxOn&lt;&gt;"Yes",NOT(ISNUMBER(M730))),0,IF(IFERROR(INDEX(tt_Tax,MATCH(D730,tt_Type,0)),"No")="Yes",M730,0))</f>
        <v/>
      </c>
      <c r="X730" s="67">
        <f>IF(T730=1,"",IF(C730="","Missing transaction date",IF(NOT(ISNUMBER(C730)),"Invalid date",IF(OR(C730&lt;DATE(2000,1,1),C730&gt;DATE(2099,12,31)),"Invalid date",IF(D730="","Select a type",IF(U730="","Unknown type: "&amp;D730,IF(V730="","Select an account (Category)",IF(ISNA(MATCH(V730,coa_Name,0)),"Unknown account: "&amp;V730,IF(K730="","Select Paid From / Deposited To",IF(ISNA(MATCH(K730,coa_Name,0)),"Unknown account: "&amp;K730,IF(NOT(ISNUMBER(L730)),"Enter an amount",IF(L730=0,"Enter an amount",IF(ABS(W730)&gt;ABS(L730),"Tax is larger than the amount","")))))))))))))</f>
        <v/>
      </c>
      <c r="Y730" s="67">
        <f>IF(OR(T730=1,X730&lt;&gt;""),"",IF(AND(B730&lt;&gt;"",COUNTIF(tx_ID,B730)&gt;1),"Duplicate transaction ID",IF(AND(L730&lt;0,D730&lt;&gt;"Adjustment"),"Negative amount — check this entry",IF(AND(D730="Customer Payment",G730=""),"Add the customer",IF(AND(D730="Customer Payment",OR(J730="",COUNTIF(ar_No,J730&amp;"")=0)),"Invoice # in Reference not found on AR sheet",IF(AND(D730="Bill Payment",H730=""),"Add the vendor",IF(AND(D730="Bill Payment",OR(J730="",COUNTIFS(ap_No,J730&amp;"",ap_Party,H730&amp;"")=0)),"Bill # + vendor not found on AP sheet",IF(AND(ISNUMBER(M730),N(M730)&lt;&gt;0,W730=0),"Tax ignored (tax tracking off, or not allowed for this type)",IF(V730=K730&amp;"","Same account on both sides",IF(AND(ISNUMBER(StartDate),C730&lt;StartDate),"Date is before the accounting start date",IF(AND(D730&lt;&gt;"Adjustment",IFERROR(INDEX(coa_Pay,MATCH(K730&amp;"",coa_Name,0)),"")&lt;&gt;"Yes"),"Paid From / Deposited To is not a payment account","")))))))))))</f>
        <v/>
      </c>
      <c r="Z730" s="67">
        <f>IF(AND(T730=0,X730=""),1,0)</f>
        <v/>
      </c>
      <c r="AA730" s="68">
        <f>IF(Z730=1,IF(U730="In",L730,L730-W730),0)</f>
        <v/>
      </c>
      <c r="AB730" s="68">
        <f>IF(Z730=1,IF(U730="In",L730-W730,L730),0)</f>
        <v/>
      </c>
      <c r="AC730" s="68">
        <f>IF(AND(Z730=1,U730="Out"),W730,0)</f>
        <v/>
      </c>
      <c r="AD730" s="68">
        <f>IF(AND(Z730=1,U730="In"),W730,0)</f>
        <v/>
      </c>
    </row>
    <row r="731">
      <c r="B731" s="62" t="inlineStr">
        <is>
          <t>TX-0725</t>
        </is>
      </c>
      <c r="C731" s="63" t="n"/>
      <c r="D731" s="62" t="n"/>
      <c r="E731" s="62" t="n"/>
      <c r="F731" s="62" t="n"/>
      <c r="G731" s="62" t="n"/>
      <c r="H731" s="62" t="n"/>
      <c r="I731" s="62" t="n"/>
      <c r="J731" s="62" t="n"/>
      <c r="K731" s="62" t="n"/>
      <c r="L731" s="64" t="n"/>
      <c r="M731" s="64" t="n"/>
      <c r="N731" s="62" t="n"/>
      <c r="O731" s="65">
        <f>IF(Z731=1,L731-W731,"")</f>
        <v/>
      </c>
      <c r="P731" s="66">
        <f>IF(V731="","",IFERROR(INDEX(coa_Type,MATCH(V731,coa_Name,0)),""))</f>
        <v/>
      </c>
      <c r="Q731" s="66">
        <f>IF(Z731=1,IF(U731="In",K731&amp;"",V731),"")</f>
        <v/>
      </c>
      <c r="R731" s="66">
        <f>IF(Z731=1,IF(U731="In",V731,K731&amp;""),"")</f>
        <v/>
      </c>
      <c r="S731" s="66">
        <f>IF(X731&lt;&gt;"","⛔ "&amp;X731&amp;" — not posted",IF(Y731&lt;&gt;"","⚠ "&amp;Y731,IF(Z731=1,"✓ OK","")))</f>
        <v/>
      </c>
      <c r="T731" s="67">
        <f>IF(AND(C731="",D731="",E731="",L731="",K731=""),1,0)</f>
        <v/>
      </c>
      <c r="U731" s="67">
        <f>IFERROR(INDEX(tt_Dir,MATCH(D731,tt_Type,0)),"")</f>
        <v/>
      </c>
      <c r="V731" s="67">
        <f>IF(D731="","",IFERROR(IF(INDEX(tt_Other,MATCH(D731,tt_Type,0))="",E731&amp;"",INDEX(tt_Other,MATCH(D731,tt_Type,0))),""))</f>
        <v/>
      </c>
      <c r="W731" s="68">
        <f>IF(OR(TaxOn&lt;&gt;"Yes",NOT(ISNUMBER(M731))),0,IF(IFERROR(INDEX(tt_Tax,MATCH(D731,tt_Type,0)),"No")="Yes",M731,0))</f>
        <v/>
      </c>
      <c r="X731" s="67">
        <f>IF(T731=1,"",IF(C731="","Missing transaction date",IF(NOT(ISNUMBER(C731)),"Invalid date",IF(OR(C731&lt;DATE(2000,1,1),C731&gt;DATE(2099,12,31)),"Invalid date",IF(D731="","Select a type",IF(U731="","Unknown type: "&amp;D731,IF(V731="","Select an account (Category)",IF(ISNA(MATCH(V731,coa_Name,0)),"Unknown account: "&amp;V731,IF(K731="","Select Paid From / Deposited To",IF(ISNA(MATCH(K731,coa_Name,0)),"Unknown account: "&amp;K731,IF(NOT(ISNUMBER(L731)),"Enter an amount",IF(L731=0,"Enter an amount",IF(ABS(W731)&gt;ABS(L731),"Tax is larger than the amount","")))))))))))))</f>
        <v/>
      </c>
      <c r="Y731" s="67">
        <f>IF(OR(T731=1,X731&lt;&gt;""),"",IF(AND(B731&lt;&gt;"",COUNTIF(tx_ID,B731)&gt;1),"Duplicate transaction ID",IF(AND(L731&lt;0,D731&lt;&gt;"Adjustment"),"Negative amount — check this entry",IF(AND(D731="Customer Payment",G731=""),"Add the customer",IF(AND(D731="Customer Payment",OR(J731="",COUNTIF(ar_No,J731&amp;"")=0)),"Invoice # in Reference not found on AR sheet",IF(AND(D731="Bill Payment",H731=""),"Add the vendor",IF(AND(D731="Bill Payment",OR(J731="",COUNTIFS(ap_No,J731&amp;"",ap_Party,H731&amp;"")=0)),"Bill # + vendor not found on AP sheet",IF(AND(ISNUMBER(M731),N(M731)&lt;&gt;0,W731=0),"Tax ignored (tax tracking off, or not allowed for this type)",IF(V731=K731&amp;"","Same account on both sides",IF(AND(ISNUMBER(StartDate),C731&lt;StartDate),"Date is before the accounting start date",IF(AND(D731&lt;&gt;"Adjustment",IFERROR(INDEX(coa_Pay,MATCH(K731&amp;"",coa_Name,0)),"")&lt;&gt;"Yes"),"Paid From / Deposited To is not a payment account","")))))))))))</f>
        <v/>
      </c>
      <c r="Z731" s="67">
        <f>IF(AND(T731=0,X731=""),1,0)</f>
        <v/>
      </c>
      <c r="AA731" s="68">
        <f>IF(Z731=1,IF(U731="In",L731,L731-W731),0)</f>
        <v/>
      </c>
      <c r="AB731" s="68">
        <f>IF(Z731=1,IF(U731="In",L731-W731,L731),0)</f>
        <v/>
      </c>
      <c r="AC731" s="68">
        <f>IF(AND(Z731=1,U731="Out"),W731,0)</f>
        <v/>
      </c>
      <c r="AD731" s="68">
        <f>IF(AND(Z731=1,U731="In"),W731,0)</f>
        <v/>
      </c>
    </row>
    <row r="732">
      <c r="B732" s="62" t="inlineStr">
        <is>
          <t>TX-0726</t>
        </is>
      </c>
      <c r="C732" s="63" t="n"/>
      <c r="D732" s="62" t="n"/>
      <c r="E732" s="62" t="n"/>
      <c r="F732" s="62" t="n"/>
      <c r="G732" s="62" t="n"/>
      <c r="H732" s="62" t="n"/>
      <c r="I732" s="62" t="n"/>
      <c r="J732" s="62" t="n"/>
      <c r="K732" s="62" t="n"/>
      <c r="L732" s="64" t="n"/>
      <c r="M732" s="64" t="n"/>
      <c r="N732" s="62" t="n"/>
      <c r="O732" s="65">
        <f>IF(Z732=1,L732-W732,"")</f>
        <v/>
      </c>
      <c r="P732" s="66">
        <f>IF(V732="","",IFERROR(INDEX(coa_Type,MATCH(V732,coa_Name,0)),""))</f>
        <v/>
      </c>
      <c r="Q732" s="66">
        <f>IF(Z732=1,IF(U732="In",K732&amp;"",V732),"")</f>
        <v/>
      </c>
      <c r="R732" s="66">
        <f>IF(Z732=1,IF(U732="In",V732,K732&amp;""),"")</f>
        <v/>
      </c>
      <c r="S732" s="66">
        <f>IF(X732&lt;&gt;"","⛔ "&amp;X732&amp;" — not posted",IF(Y732&lt;&gt;"","⚠ "&amp;Y732,IF(Z732=1,"✓ OK","")))</f>
        <v/>
      </c>
      <c r="T732" s="67">
        <f>IF(AND(C732="",D732="",E732="",L732="",K732=""),1,0)</f>
        <v/>
      </c>
      <c r="U732" s="67">
        <f>IFERROR(INDEX(tt_Dir,MATCH(D732,tt_Type,0)),"")</f>
        <v/>
      </c>
      <c r="V732" s="67">
        <f>IF(D732="","",IFERROR(IF(INDEX(tt_Other,MATCH(D732,tt_Type,0))="",E732&amp;"",INDEX(tt_Other,MATCH(D732,tt_Type,0))),""))</f>
        <v/>
      </c>
      <c r="W732" s="68">
        <f>IF(OR(TaxOn&lt;&gt;"Yes",NOT(ISNUMBER(M732))),0,IF(IFERROR(INDEX(tt_Tax,MATCH(D732,tt_Type,0)),"No")="Yes",M732,0))</f>
        <v/>
      </c>
      <c r="X732" s="67">
        <f>IF(T732=1,"",IF(C732="","Missing transaction date",IF(NOT(ISNUMBER(C732)),"Invalid date",IF(OR(C732&lt;DATE(2000,1,1),C732&gt;DATE(2099,12,31)),"Invalid date",IF(D732="","Select a type",IF(U732="","Unknown type: "&amp;D732,IF(V732="","Select an account (Category)",IF(ISNA(MATCH(V732,coa_Name,0)),"Unknown account: "&amp;V732,IF(K732="","Select Paid From / Deposited To",IF(ISNA(MATCH(K732,coa_Name,0)),"Unknown account: "&amp;K732,IF(NOT(ISNUMBER(L732)),"Enter an amount",IF(L732=0,"Enter an amount",IF(ABS(W732)&gt;ABS(L732),"Tax is larger than the amount","")))))))))))))</f>
        <v/>
      </c>
      <c r="Y732" s="67">
        <f>IF(OR(T732=1,X732&lt;&gt;""),"",IF(AND(B732&lt;&gt;"",COUNTIF(tx_ID,B732)&gt;1),"Duplicate transaction ID",IF(AND(L732&lt;0,D732&lt;&gt;"Adjustment"),"Negative amount — check this entry",IF(AND(D732="Customer Payment",G732=""),"Add the customer",IF(AND(D732="Customer Payment",OR(J732="",COUNTIF(ar_No,J732&amp;"")=0)),"Invoice # in Reference not found on AR sheet",IF(AND(D732="Bill Payment",H732=""),"Add the vendor",IF(AND(D732="Bill Payment",OR(J732="",COUNTIFS(ap_No,J732&amp;"",ap_Party,H732&amp;"")=0)),"Bill # + vendor not found on AP sheet",IF(AND(ISNUMBER(M732),N(M732)&lt;&gt;0,W732=0),"Tax ignored (tax tracking off, or not allowed for this type)",IF(V732=K732&amp;"","Same account on both sides",IF(AND(ISNUMBER(StartDate),C732&lt;StartDate),"Date is before the accounting start date",IF(AND(D732&lt;&gt;"Adjustment",IFERROR(INDEX(coa_Pay,MATCH(K732&amp;"",coa_Name,0)),"")&lt;&gt;"Yes"),"Paid From / Deposited To is not a payment account","")))))))))))</f>
        <v/>
      </c>
      <c r="Z732" s="67">
        <f>IF(AND(T732=0,X732=""),1,0)</f>
        <v/>
      </c>
      <c r="AA732" s="68">
        <f>IF(Z732=1,IF(U732="In",L732,L732-W732),0)</f>
        <v/>
      </c>
      <c r="AB732" s="68">
        <f>IF(Z732=1,IF(U732="In",L732-W732,L732),0)</f>
        <v/>
      </c>
      <c r="AC732" s="68">
        <f>IF(AND(Z732=1,U732="Out"),W732,0)</f>
        <v/>
      </c>
      <c r="AD732" s="68">
        <f>IF(AND(Z732=1,U732="In"),W732,0)</f>
        <v/>
      </c>
    </row>
    <row r="733">
      <c r="B733" s="62" t="inlineStr">
        <is>
          <t>TX-0727</t>
        </is>
      </c>
      <c r="C733" s="63" t="n"/>
      <c r="D733" s="62" t="n"/>
      <c r="E733" s="62" t="n"/>
      <c r="F733" s="62" t="n"/>
      <c r="G733" s="62" t="n"/>
      <c r="H733" s="62" t="n"/>
      <c r="I733" s="62" t="n"/>
      <c r="J733" s="62" t="n"/>
      <c r="K733" s="62" t="n"/>
      <c r="L733" s="64" t="n"/>
      <c r="M733" s="64" t="n"/>
      <c r="N733" s="62" t="n"/>
      <c r="O733" s="65">
        <f>IF(Z733=1,L733-W733,"")</f>
        <v/>
      </c>
      <c r="P733" s="66">
        <f>IF(V733="","",IFERROR(INDEX(coa_Type,MATCH(V733,coa_Name,0)),""))</f>
        <v/>
      </c>
      <c r="Q733" s="66">
        <f>IF(Z733=1,IF(U733="In",K733&amp;"",V733),"")</f>
        <v/>
      </c>
      <c r="R733" s="66">
        <f>IF(Z733=1,IF(U733="In",V733,K733&amp;""),"")</f>
        <v/>
      </c>
      <c r="S733" s="66">
        <f>IF(X733&lt;&gt;"","⛔ "&amp;X733&amp;" — not posted",IF(Y733&lt;&gt;"","⚠ "&amp;Y733,IF(Z733=1,"✓ OK","")))</f>
        <v/>
      </c>
      <c r="T733" s="67">
        <f>IF(AND(C733="",D733="",E733="",L733="",K733=""),1,0)</f>
        <v/>
      </c>
      <c r="U733" s="67">
        <f>IFERROR(INDEX(tt_Dir,MATCH(D733,tt_Type,0)),"")</f>
        <v/>
      </c>
      <c r="V733" s="67">
        <f>IF(D733="","",IFERROR(IF(INDEX(tt_Other,MATCH(D733,tt_Type,0))="",E733&amp;"",INDEX(tt_Other,MATCH(D733,tt_Type,0))),""))</f>
        <v/>
      </c>
      <c r="W733" s="68">
        <f>IF(OR(TaxOn&lt;&gt;"Yes",NOT(ISNUMBER(M733))),0,IF(IFERROR(INDEX(tt_Tax,MATCH(D733,tt_Type,0)),"No")="Yes",M733,0))</f>
        <v/>
      </c>
      <c r="X733" s="67">
        <f>IF(T733=1,"",IF(C733="","Missing transaction date",IF(NOT(ISNUMBER(C733)),"Invalid date",IF(OR(C733&lt;DATE(2000,1,1),C733&gt;DATE(2099,12,31)),"Invalid date",IF(D733="","Select a type",IF(U733="","Unknown type: "&amp;D733,IF(V733="","Select an account (Category)",IF(ISNA(MATCH(V733,coa_Name,0)),"Unknown account: "&amp;V733,IF(K733="","Select Paid From / Deposited To",IF(ISNA(MATCH(K733,coa_Name,0)),"Unknown account: "&amp;K733,IF(NOT(ISNUMBER(L733)),"Enter an amount",IF(L733=0,"Enter an amount",IF(ABS(W733)&gt;ABS(L733),"Tax is larger than the amount","")))))))))))))</f>
        <v/>
      </c>
      <c r="Y733" s="67">
        <f>IF(OR(T733=1,X733&lt;&gt;""),"",IF(AND(B733&lt;&gt;"",COUNTIF(tx_ID,B733)&gt;1),"Duplicate transaction ID",IF(AND(L733&lt;0,D733&lt;&gt;"Adjustment"),"Negative amount — check this entry",IF(AND(D733="Customer Payment",G733=""),"Add the customer",IF(AND(D733="Customer Payment",OR(J733="",COUNTIF(ar_No,J733&amp;"")=0)),"Invoice # in Reference not found on AR sheet",IF(AND(D733="Bill Payment",H733=""),"Add the vendor",IF(AND(D733="Bill Payment",OR(J733="",COUNTIFS(ap_No,J733&amp;"",ap_Party,H733&amp;"")=0)),"Bill # + vendor not found on AP sheet",IF(AND(ISNUMBER(M733),N(M733)&lt;&gt;0,W733=0),"Tax ignored (tax tracking off, or not allowed for this type)",IF(V733=K733&amp;"","Same account on both sides",IF(AND(ISNUMBER(StartDate),C733&lt;StartDate),"Date is before the accounting start date",IF(AND(D733&lt;&gt;"Adjustment",IFERROR(INDEX(coa_Pay,MATCH(K733&amp;"",coa_Name,0)),"")&lt;&gt;"Yes"),"Paid From / Deposited To is not a payment account","")))))))))))</f>
        <v/>
      </c>
      <c r="Z733" s="67">
        <f>IF(AND(T733=0,X733=""),1,0)</f>
        <v/>
      </c>
      <c r="AA733" s="68">
        <f>IF(Z733=1,IF(U733="In",L733,L733-W733),0)</f>
        <v/>
      </c>
      <c r="AB733" s="68">
        <f>IF(Z733=1,IF(U733="In",L733-W733,L733),0)</f>
        <v/>
      </c>
      <c r="AC733" s="68">
        <f>IF(AND(Z733=1,U733="Out"),W733,0)</f>
        <v/>
      </c>
      <c r="AD733" s="68">
        <f>IF(AND(Z733=1,U733="In"),W733,0)</f>
        <v/>
      </c>
    </row>
    <row r="734">
      <c r="B734" s="62" t="inlineStr">
        <is>
          <t>TX-0728</t>
        </is>
      </c>
      <c r="C734" s="63" t="n"/>
      <c r="D734" s="62" t="n"/>
      <c r="E734" s="62" t="n"/>
      <c r="F734" s="62" t="n"/>
      <c r="G734" s="62" t="n"/>
      <c r="H734" s="62" t="n"/>
      <c r="I734" s="62" t="n"/>
      <c r="J734" s="62" t="n"/>
      <c r="K734" s="62" t="n"/>
      <c r="L734" s="64" t="n"/>
      <c r="M734" s="64" t="n"/>
      <c r="N734" s="62" t="n"/>
      <c r="O734" s="65">
        <f>IF(Z734=1,L734-W734,"")</f>
        <v/>
      </c>
      <c r="P734" s="66">
        <f>IF(V734="","",IFERROR(INDEX(coa_Type,MATCH(V734,coa_Name,0)),""))</f>
        <v/>
      </c>
      <c r="Q734" s="66">
        <f>IF(Z734=1,IF(U734="In",K734&amp;"",V734),"")</f>
        <v/>
      </c>
      <c r="R734" s="66">
        <f>IF(Z734=1,IF(U734="In",V734,K734&amp;""),"")</f>
        <v/>
      </c>
      <c r="S734" s="66">
        <f>IF(X734&lt;&gt;"","⛔ "&amp;X734&amp;" — not posted",IF(Y734&lt;&gt;"","⚠ "&amp;Y734,IF(Z734=1,"✓ OK","")))</f>
        <v/>
      </c>
      <c r="T734" s="67">
        <f>IF(AND(C734="",D734="",E734="",L734="",K734=""),1,0)</f>
        <v/>
      </c>
      <c r="U734" s="67">
        <f>IFERROR(INDEX(tt_Dir,MATCH(D734,tt_Type,0)),"")</f>
        <v/>
      </c>
      <c r="V734" s="67">
        <f>IF(D734="","",IFERROR(IF(INDEX(tt_Other,MATCH(D734,tt_Type,0))="",E734&amp;"",INDEX(tt_Other,MATCH(D734,tt_Type,0))),""))</f>
        <v/>
      </c>
      <c r="W734" s="68">
        <f>IF(OR(TaxOn&lt;&gt;"Yes",NOT(ISNUMBER(M734))),0,IF(IFERROR(INDEX(tt_Tax,MATCH(D734,tt_Type,0)),"No")="Yes",M734,0))</f>
        <v/>
      </c>
      <c r="X734" s="67">
        <f>IF(T734=1,"",IF(C734="","Missing transaction date",IF(NOT(ISNUMBER(C734)),"Invalid date",IF(OR(C734&lt;DATE(2000,1,1),C734&gt;DATE(2099,12,31)),"Invalid date",IF(D734="","Select a type",IF(U734="","Unknown type: "&amp;D734,IF(V734="","Select an account (Category)",IF(ISNA(MATCH(V734,coa_Name,0)),"Unknown account: "&amp;V734,IF(K734="","Select Paid From / Deposited To",IF(ISNA(MATCH(K734,coa_Name,0)),"Unknown account: "&amp;K734,IF(NOT(ISNUMBER(L734)),"Enter an amount",IF(L734=0,"Enter an amount",IF(ABS(W734)&gt;ABS(L734),"Tax is larger than the amount","")))))))))))))</f>
        <v/>
      </c>
      <c r="Y734" s="67">
        <f>IF(OR(T734=1,X734&lt;&gt;""),"",IF(AND(B734&lt;&gt;"",COUNTIF(tx_ID,B734)&gt;1),"Duplicate transaction ID",IF(AND(L734&lt;0,D734&lt;&gt;"Adjustment"),"Negative amount — check this entry",IF(AND(D734="Customer Payment",G734=""),"Add the customer",IF(AND(D734="Customer Payment",OR(J734="",COUNTIF(ar_No,J734&amp;"")=0)),"Invoice # in Reference not found on AR sheet",IF(AND(D734="Bill Payment",H734=""),"Add the vendor",IF(AND(D734="Bill Payment",OR(J734="",COUNTIFS(ap_No,J734&amp;"",ap_Party,H734&amp;"")=0)),"Bill # + vendor not found on AP sheet",IF(AND(ISNUMBER(M734),N(M734)&lt;&gt;0,W734=0),"Tax ignored (tax tracking off, or not allowed for this type)",IF(V734=K734&amp;"","Same account on both sides",IF(AND(ISNUMBER(StartDate),C734&lt;StartDate),"Date is before the accounting start date",IF(AND(D734&lt;&gt;"Adjustment",IFERROR(INDEX(coa_Pay,MATCH(K734&amp;"",coa_Name,0)),"")&lt;&gt;"Yes"),"Paid From / Deposited To is not a payment account","")))))))))))</f>
        <v/>
      </c>
      <c r="Z734" s="67">
        <f>IF(AND(T734=0,X734=""),1,0)</f>
        <v/>
      </c>
      <c r="AA734" s="68">
        <f>IF(Z734=1,IF(U734="In",L734,L734-W734),0)</f>
        <v/>
      </c>
      <c r="AB734" s="68">
        <f>IF(Z734=1,IF(U734="In",L734-W734,L734),0)</f>
        <v/>
      </c>
      <c r="AC734" s="68">
        <f>IF(AND(Z734=1,U734="Out"),W734,0)</f>
        <v/>
      </c>
      <c r="AD734" s="68">
        <f>IF(AND(Z734=1,U734="In"),W734,0)</f>
        <v/>
      </c>
    </row>
    <row r="735">
      <c r="B735" s="62" t="inlineStr">
        <is>
          <t>TX-0729</t>
        </is>
      </c>
      <c r="C735" s="63" t="n"/>
      <c r="D735" s="62" t="n"/>
      <c r="E735" s="62" t="n"/>
      <c r="F735" s="62" t="n"/>
      <c r="G735" s="62" t="n"/>
      <c r="H735" s="62" t="n"/>
      <c r="I735" s="62" t="n"/>
      <c r="J735" s="62" t="n"/>
      <c r="K735" s="62" t="n"/>
      <c r="L735" s="64" t="n"/>
      <c r="M735" s="64" t="n"/>
      <c r="N735" s="62" t="n"/>
      <c r="O735" s="65">
        <f>IF(Z735=1,L735-W735,"")</f>
        <v/>
      </c>
      <c r="P735" s="66">
        <f>IF(V735="","",IFERROR(INDEX(coa_Type,MATCH(V735,coa_Name,0)),""))</f>
        <v/>
      </c>
      <c r="Q735" s="66">
        <f>IF(Z735=1,IF(U735="In",K735&amp;"",V735),"")</f>
        <v/>
      </c>
      <c r="R735" s="66">
        <f>IF(Z735=1,IF(U735="In",V735,K735&amp;""),"")</f>
        <v/>
      </c>
      <c r="S735" s="66">
        <f>IF(X735&lt;&gt;"","⛔ "&amp;X735&amp;" — not posted",IF(Y735&lt;&gt;"","⚠ "&amp;Y735,IF(Z735=1,"✓ OK","")))</f>
        <v/>
      </c>
      <c r="T735" s="67">
        <f>IF(AND(C735="",D735="",E735="",L735="",K735=""),1,0)</f>
        <v/>
      </c>
      <c r="U735" s="67">
        <f>IFERROR(INDEX(tt_Dir,MATCH(D735,tt_Type,0)),"")</f>
        <v/>
      </c>
      <c r="V735" s="67">
        <f>IF(D735="","",IFERROR(IF(INDEX(tt_Other,MATCH(D735,tt_Type,0))="",E735&amp;"",INDEX(tt_Other,MATCH(D735,tt_Type,0))),""))</f>
        <v/>
      </c>
      <c r="W735" s="68">
        <f>IF(OR(TaxOn&lt;&gt;"Yes",NOT(ISNUMBER(M735))),0,IF(IFERROR(INDEX(tt_Tax,MATCH(D735,tt_Type,0)),"No")="Yes",M735,0))</f>
        <v/>
      </c>
      <c r="X735" s="67">
        <f>IF(T735=1,"",IF(C735="","Missing transaction date",IF(NOT(ISNUMBER(C735)),"Invalid date",IF(OR(C735&lt;DATE(2000,1,1),C735&gt;DATE(2099,12,31)),"Invalid date",IF(D735="","Select a type",IF(U735="","Unknown type: "&amp;D735,IF(V735="","Select an account (Category)",IF(ISNA(MATCH(V735,coa_Name,0)),"Unknown account: "&amp;V735,IF(K735="","Select Paid From / Deposited To",IF(ISNA(MATCH(K735,coa_Name,0)),"Unknown account: "&amp;K735,IF(NOT(ISNUMBER(L735)),"Enter an amount",IF(L735=0,"Enter an amount",IF(ABS(W735)&gt;ABS(L735),"Tax is larger than the amount","")))))))))))))</f>
        <v/>
      </c>
      <c r="Y735" s="67">
        <f>IF(OR(T735=1,X735&lt;&gt;""),"",IF(AND(B735&lt;&gt;"",COUNTIF(tx_ID,B735)&gt;1),"Duplicate transaction ID",IF(AND(L735&lt;0,D735&lt;&gt;"Adjustment"),"Negative amount — check this entry",IF(AND(D735="Customer Payment",G735=""),"Add the customer",IF(AND(D735="Customer Payment",OR(J735="",COUNTIF(ar_No,J735&amp;"")=0)),"Invoice # in Reference not found on AR sheet",IF(AND(D735="Bill Payment",H735=""),"Add the vendor",IF(AND(D735="Bill Payment",OR(J735="",COUNTIFS(ap_No,J735&amp;"",ap_Party,H735&amp;"")=0)),"Bill # + vendor not found on AP sheet",IF(AND(ISNUMBER(M735),N(M735)&lt;&gt;0,W735=0),"Tax ignored (tax tracking off, or not allowed for this type)",IF(V735=K735&amp;"","Same account on both sides",IF(AND(ISNUMBER(StartDate),C735&lt;StartDate),"Date is before the accounting start date",IF(AND(D735&lt;&gt;"Adjustment",IFERROR(INDEX(coa_Pay,MATCH(K735&amp;"",coa_Name,0)),"")&lt;&gt;"Yes"),"Paid From / Deposited To is not a payment account","")))))))))))</f>
        <v/>
      </c>
      <c r="Z735" s="67">
        <f>IF(AND(T735=0,X735=""),1,0)</f>
        <v/>
      </c>
      <c r="AA735" s="68">
        <f>IF(Z735=1,IF(U735="In",L735,L735-W735),0)</f>
        <v/>
      </c>
      <c r="AB735" s="68">
        <f>IF(Z735=1,IF(U735="In",L735-W735,L735),0)</f>
        <v/>
      </c>
      <c r="AC735" s="68">
        <f>IF(AND(Z735=1,U735="Out"),W735,0)</f>
        <v/>
      </c>
      <c r="AD735" s="68">
        <f>IF(AND(Z735=1,U735="In"),W735,0)</f>
        <v/>
      </c>
    </row>
    <row r="736">
      <c r="B736" s="62" t="inlineStr">
        <is>
          <t>TX-0730</t>
        </is>
      </c>
      <c r="C736" s="63" t="n"/>
      <c r="D736" s="62" t="n"/>
      <c r="E736" s="62" t="n"/>
      <c r="F736" s="62" t="n"/>
      <c r="G736" s="62" t="n"/>
      <c r="H736" s="62" t="n"/>
      <c r="I736" s="62" t="n"/>
      <c r="J736" s="62" t="n"/>
      <c r="K736" s="62" t="n"/>
      <c r="L736" s="64" t="n"/>
      <c r="M736" s="64" t="n"/>
      <c r="N736" s="62" t="n"/>
      <c r="O736" s="65">
        <f>IF(Z736=1,L736-W736,"")</f>
        <v/>
      </c>
      <c r="P736" s="66">
        <f>IF(V736="","",IFERROR(INDEX(coa_Type,MATCH(V736,coa_Name,0)),""))</f>
        <v/>
      </c>
      <c r="Q736" s="66">
        <f>IF(Z736=1,IF(U736="In",K736&amp;"",V736),"")</f>
        <v/>
      </c>
      <c r="R736" s="66">
        <f>IF(Z736=1,IF(U736="In",V736,K736&amp;""),"")</f>
        <v/>
      </c>
      <c r="S736" s="66">
        <f>IF(X736&lt;&gt;"","⛔ "&amp;X736&amp;" — not posted",IF(Y736&lt;&gt;"","⚠ "&amp;Y736,IF(Z736=1,"✓ OK","")))</f>
        <v/>
      </c>
      <c r="T736" s="67">
        <f>IF(AND(C736="",D736="",E736="",L736="",K736=""),1,0)</f>
        <v/>
      </c>
      <c r="U736" s="67">
        <f>IFERROR(INDEX(tt_Dir,MATCH(D736,tt_Type,0)),"")</f>
        <v/>
      </c>
      <c r="V736" s="67">
        <f>IF(D736="","",IFERROR(IF(INDEX(tt_Other,MATCH(D736,tt_Type,0))="",E736&amp;"",INDEX(tt_Other,MATCH(D736,tt_Type,0))),""))</f>
        <v/>
      </c>
      <c r="W736" s="68">
        <f>IF(OR(TaxOn&lt;&gt;"Yes",NOT(ISNUMBER(M736))),0,IF(IFERROR(INDEX(tt_Tax,MATCH(D736,tt_Type,0)),"No")="Yes",M736,0))</f>
        <v/>
      </c>
      <c r="X736" s="67">
        <f>IF(T736=1,"",IF(C736="","Missing transaction date",IF(NOT(ISNUMBER(C736)),"Invalid date",IF(OR(C736&lt;DATE(2000,1,1),C736&gt;DATE(2099,12,31)),"Invalid date",IF(D736="","Select a type",IF(U736="","Unknown type: "&amp;D736,IF(V736="","Select an account (Category)",IF(ISNA(MATCH(V736,coa_Name,0)),"Unknown account: "&amp;V736,IF(K736="","Select Paid From / Deposited To",IF(ISNA(MATCH(K736,coa_Name,0)),"Unknown account: "&amp;K736,IF(NOT(ISNUMBER(L736)),"Enter an amount",IF(L736=0,"Enter an amount",IF(ABS(W736)&gt;ABS(L736),"Tax is larger than the amount","")))))))))))))</f>
        <v/>
      </c>
      <c r="Y736" s="67">
        <f>IF(OR(T736=1,X736&lt;&gt;""),"",IF(AND(B736&lt;&gt;"",COUNTIF(tx_ID,B736)&gt;1),"Duplicate transaction ID",IF(AND(L736&lt;0,D736&lt;&gt;"Adjustment"),"Negative amount — check this entry",IF(AND(D736="Customer Payment",G736=""),"Add the customer",IF(AND(D736="Customer Payment",OR(J736="",COUNTIF(ar_No,J736&amp;"")=0)),"Invoice # in Reference not found on AR sheet",IF(AND(D736="Bill Payment",H736=""),"Add the vendor",IF(AND(D736="Bill Payment",OR(J736="",COUNTIFS(ap_No,J736&amp;"",ap_Party,H736&amp;"")=0)),"Bill # + vendor not found on AP sheet",IF(AND(ISNUMBER(M736),N(M736)&lt;&gt;0,W736=0),"Tax ignored (tax tracking off, or not allowed for this type)",IF(V736=K736&amp;"","Same account on both sides",IF(AND(ISNUMBER(StartDate),C736&lt;StartDate),"Date is before the accounting start date",IF(AND(D736&lt;&gt;"Adjustment",IFERROR(INDEX(coa_Pay,MATCH(K736&amp;"",coa_Name,0)),"")&lt;&gt;"Yes"),"Paid From / Deposited To is not a payment account","")))))))))))</f>
        <v/>
      </c>
      <c r="Z736" s="67">
        <f>IF(AND(T736=0,X736=""),1,0)</f>
        <v/>
      </c>
      <c r="AA736" s="68">
        <f>IF(Z736=1,IF(U736="In",L736,L736-W736),0)</f>
        <v/>
      </c>
      <c r="AB736" s="68">
        <f>IF(Z736=1,IF(U736="In",L736-W736,L736),0)</f>
        <v/>
      </c>
      <c r="AC736" s="68">
        <f>IF(AND(Z736=1,U736="Out"),W736,0)</f>
        <v/>
      </c>
      <c r="AD736" s="68">
        <f>IF(AND(Z736=1,U736="In"),W736,0)</f>
        <v/>
      </c>
    </row>
    <row r="737">
      <c r="B737" s="62" t="inlineStr">
        <is>
          <t>TX-0731</t>
        </is>
      </c>
      <c r="C737" s="63" t="n"/>
      <c r="D737" s="62" t="n"/>
      <c r="E737" s="62" t="n"/>
      <c r="F737" s="62" t="n"/>
      <c r="G737" s="62" t="n"/>
      <c r="H737" s="62" t="n"/>
      <c r="I737" s="62" t="n"/>
      <c r="J737" s="62" t="n"/>
      <c r="K737" s="62" t="n"/>
      <c r="L737" s="64" t="n"/>
      <c r="M737" s="64" t="n"/>
      <c r="N737" s="62" t="n"/>
      <c r="O737" s="65">
        <f>IF(Z737=1,L737-W737,"")</f>
        <v/>
      </c>
      <c r="P737" s="66">
        <f>IF(V737="","",IFERROR(INDEX(coa_Type,MATCH(V737,coa_Name,0)),""))</f>
        <v/>
      </c>
      <c r="Q737" s="66">
        <f>IF(Z737=1,IF(U737="In",K737&amp;"",V737),"")</f>
        <v/>
      </c>
      <c r="R737" s="66">
        <f>IF(Z737=1,IF(U737="In",V737,K737&amp;""),"")</f>
        <v/>
      </c>
      <c r="S737" s="66">
        <f>IF(X737&lt;&gt;"","⛔ "&amp;X737&amp;" — not posted",IF(Y737&lt;&gt;"","⚠ "&amp;Y737,IF(Z737=1,"✓ OK","")))</f>
        <v/>
      </c>
      <c r="T737" s="67">
        <f>IF(AND(C737="",D737="",E737="",L737="",K737=""),1,0)</f>
        <v/>
      </c>
      <c r="U737" s="67">
        <f>IFERROR(INDEX(tt_Dir,MATCH(D737,tt_Type,0)),"")</f>
        <v/>
      </c>
      <c r="V737" s="67">
        <f>IF(D737="","",IFERROR(IF(INDEX(tt_Other,MATCH(D737,tt_Type,0))="",E737&amp;"",INDEX(tt_Other,MATCH(D737,tt_Type,0))),""))</f>
        <v/>
      </c>
      <c r="W737" s="68">
        <f>IF(OR(TaxOn&lt;&gt;"Yes",NOT(ISNUMBER(M737))),0,IF(IFERROR(INDEX(tt_Tax,MATCH(D737,tt_Type,0)),"No")="Yes",M737,0))</f>
        <v/>
      </c>
      <c r="X737" s="67">
        <f>IF(T737=1,"",IF(C737="","Missing transaction date",IF(NOT(ISNUMBER(C737)),"Invalid date",IF(OR(C737&lt;DATE(2000,1,1),C737&gt;DATE(2099,12,31)),"Invalid date",IF(D737="","Select a type",IF(U737="","Unknown type: "&amp;D737,IF(V737="","Select an account (Category)",IF(ISNA(MATCH(V737,coa_Name,0)),"Unknown account: "&amp;V737,IF(K737="","Select Paid From / Deposited To",IF(ISNA(MATCH(K737,coa_Name,0)),"Unknown account: "&amp;K737,IF(NOT(ISNUMBER(L737)),"Enter an amount",IF(L737=0,"Enter an amount",IF(ABS(W737)&gt;ABS(L737),"Tax is larger than the amount","")))))))))))))</f>
        <v/>
      </c>
      <c r="Y737" s="67">
        <f>IF(OR(T737=1,X737&lt;&gt;""),"",IF(AND(B737&lt;&gt;"",COUNTIF(tx_ID,B737)&gt;1),"Duplicate transaction ID",IF(AND(L737&lt;0,D737&lt;&gt;"Adjustment"),"Negative amount — check this entry",IF(AND(D737="Customer Payment",G737=""),"Add the customer",IF(AND(D737="Customer Payment",OR(J737="",COUNTIF(ar_No,J737&amp;"")=0)),"Invoice # in Reference not found on AR sheet",IF(AND(D737="Bill Payment",H737=""),"Add the vendor",IF(AND(D737="Bill Payment",OR(J737="",COUNTIFS(ap_No,J737&amp;"",ap_Party,H737&amp;"")=0)),"Bill # + vendor not found on AP sheet",IF(AND(ISNUMBER(M737),N(M737)&lt;&gt;0,W737=0),"Tax ignored (tax tracking off, or not allowed for this type)",IF(V737=K737&amp;"","Same account on both sides",IF(AND(ISNUMBER(StartDate),C737&lt;StartDate),"Date is before the accounting start date",IF(AND(D737&lt;&gt;"Adjustment",IFERROR(INDEX(coa_Pay,MATCH(K737&amp;"",coa_Name,0)),"")&lt;&gt;"Yes"),"Paid From / Deposited To is not a payment account","")))))))))))</f>
        <v/>
      </c>
      <c r="Z737" s="67">
        <f>IF(AND(T737=0,X737=""),1,0)</f>
        <v/>
      </c>
      <c r="AA737" s="68">
        <f>IF(Z737=1,IF(U737="In",L737,L737-W737),0)</f>
        <v/>
      </c>
      <c r="AB737" s="68">
        <f>IF(Z737=1,IF(U737="In",L737-W737,L737),0)</f>
        <v/>
      </c>
      <c r="AC737" s="68">
        <f>IF(AND(Z737=1,U737="Out"),W737,0)</f>
        <v/>
      </c>
      <c r="AD737" s="68">
        <f>IF(AND(Z737=1,U737="In"),W737,0)</f>
        <v/>
      </c>
    </row>
    <row r="738">
      <c r="B738" s="62" t="inlineStr">
        <is>
          <t>TX-0732</t>
        </is>
      </c>
      <c r="C738" s="63" t="n"/>
      <c r="D738" s="62" t="n"/>
      <c r="E738" s="62" t="n"/>
      <c r="F738" s="62" t="n"/>
      <c r="G738" s="62" t="n"/>
      <c r="H738" s="62" t="n"/>
      <c r="I738" s="62" t="n"/>
      <c r="J738" s="62" t="n"/>
      <c r="K738" s="62" t="n"/>
      <c r="L738" s="64" t="n"/>
      <c r="M738" s="64" t="n"/>
      <c r="N738" s="62" t="n"/>
      <c r="O738" s="65">
        <f>IF(Z738=1,L738-W738,"")</f>
        <v/>
      </c>
      <c r="P738" s="66">
        <f>IF(V738="","",IFERROR(INDEX(coa_Type,MATCH(V738,coa_Name,0)),""))</f>
        <v/>
      </c>
      <c r="Q738" s="66">
        <f>IF(Z738=1,IF(U738="In",K738&amp;"",V738),"")</f>
        <v/>
      </c>
      <c r="R738" s="66">
        <f>IF(Z738=1,IF(U738="In",V738,K738&amp;""),"")</f>
        <v/>
      </c>
      <c r="S738" s="66">
        <f>IF(X738&lt;&gt;"","⛔ "&amp;X738&amp;" — not posted",IF(Y738&lt;&gt;"","⚠ "&amp;Y738,IF(Z738=1,"✓ OK","")))</f>
        <v/>
      </c>
      <c r="T738" s="67">
        <f>IF(AND(C738="",D738="",E738="",L738="",K738=""),1,0)</f>
        <v/>
      </c>
      <c r="U738" s="67">
        <f>IFERROR(INDEX(tt_Dir,MATCH(D738,tt_Type,0)),"")</f>
        <v/>
      </c>
      <c r="V738" s="67">
        <f>IF(D738="","",IFERROR(IF(INDEX(tt_Other,MATCH(D738,tt_Type,0))="",E738&amp;"",INDEX(tt_Other,MATCH(D738,tt_Type,0))),""))</f>
        <v/>
      </c>
      <c r="W738" s="68">
        <f>IF(OR(TaxOn&lt;&gt;"Yes",NOT(ISNUMBER(M738))),0,IF(IFERROR(INDEX(tt_Tax,MATCH(D738,tt_Type,0)),"No")="Yes",M738,0))</f>
        <v/>
      </c>
      <c r="X738" s="67">
        <f>IF(T738=1,"",IF(C738="","Missing transaction date",IF(NOT(ISNUMBER(C738)),"Invalid date",IF(OR(C738&lt;DATE(2000,1,1),C738&gt;DATE(2099,12,31)),"Invalid date",IF(D738="","Select a type",IF(U738="","Unknown type: "&amp;D738,IF(V738="","Select an account (Category)",IF(ISNA(MATCH(V738,coa_Name,0)),"Unknown account: "&amp;V738,IF(K738="","Select Paid From / Deposited To",IF(ISNA(MATCH(K738,coa_Name,0)),"Unknown account: "&amp;K738,IF(NOT(ISNUMBER(L738)),"Enter an amount",IF(L738=0,"Enter an amount",IF(ABS(W738)&gt;ABS(L738),"Tax is larger than the amount","")))))))))))))</f>
        <v/>
      </c>
      <c r="Y738" s="67">
        <f>IF(OR(T738=1,X738&lt;&gt;""),"",IF(AND(B738&lt;&gt;"",COUNTIF(tx_ID,B738)&gt;1),"Duplicate transaction ID",IF(AND(L738&lt;0,D738&lt;&gt;"Adjustment"),"Negative amount — check this entry",IF(AND(D738="Customer Payment",G738=""),"Add the customer",IF(AND(D738="Customer Payment",OR(J738="",COUNTIF(ar_No,J738&amp;"")=0)),"Invoice # in Reference not found on AR sheet",IF(AND(D738="Bill Payment",H738=""),"Add the vendor",IF(AND(D738="Bill Payment",OR(J738="",COUNTIFS(ap_No,J738&amp;"",ap_Party,H738&amp;"")=0)),"Bill # + vendor not found on AP sheet",IF(AND(ISNUMBER(M738),N(M738)&lt;&gt;0,W738=0),"Tax ignored (tax tracking off, or not allowed for this type)",IF(V738=K738&amp;"","Same account on both sides",IF(AND(ISNUMBER(StartDate),C738&lt;StartDate),"Date is before the accounting start date",IF(AND(D738&lt;&gt;"Adjustment",IFERROR(INDEX(coa_Pay,MATCH(K738&amp;"",coa_Name,0)),"")&lt;&gt;"Yes"),"Paid From / Deposited To is not a payment account","")))))))))))</f>
        <v/>
      </c>
      <c r="Z738" s="67">
        <f>IF(AND(T738=0,X738=""),1,0)</f>
        <v/>
      </c>
      <c r="AA738" s="68">
        <f>IF(Z738=1,IF(U738="In",L738,L738-W738),0)</f>
        <v/>
      </c>
      <c r="AB738" s="68">
        <f>IF(Z738=1,IF(U738="In",L738-W738,L738),0)</f>
        <v/>
      </c>
      <c r="AC738" s="68">
        <f>IF(AND(Z738=1,U738="Out"),W738,0)</f>
        <v/>
      </c>
      <c r="AD738" s="68">
        <f>IF(AND(Z738=1,U738="In"),W738,0)</f>
        <v/>
      </c>
    </row>
    <row r="739">
      <c r="B739" s="62" t="inlineStr">
        <is>
          <t>TX-0733</t>
        </is>
      </c>
      <c r="C739" s="63" t="n"/>
      <c r="D739" s="62" t="n"/>
      <c r="E739" s="62" t="n"/>
      <c r="F739" s="62" t="n"/>
      <c r="G739" s="62" t="n"/>
      <c r="H739" s="62" t="n"/>
      <c r="I739" s="62" t="n"/>
      <c r="J739" s="62" t="n"/>
      <c r="K739" s="62" t="n"/>
      <c r="L739" s="64" t="n"/>
      <c r="M739" s="64" t="n"/>
      <c r="N739" s="62" t="n"/>
      <c r="O739" s="65">
        <f>IF(Z739=1,L739-W739,"")</f>
        <v/>
      </c>
      <c r="P739" s="66">
        <f>IF(V739="","",IFERROR(INDEX(coa_Type,MATCH(V739,coa_Name,0)),""))</f>
        <v/>
      </c>
      <c r="Q739" s="66">
        <f>IF(Z739=1,IF(U739="In",K739&amp;"",V739),"")</f>
        <v/>
      </c>
      <c r="R739" s="66">
        <f>IF(Z739=1,IF(U739="In",V739,K739&amp;""),"")</f>
        <v/>
      </c>
      <c r="S739" s="66">
        <f>IF(X739&lt;&gt;"","⛔ "&amp;X739&amp;" — not posted",IF(Y739&lt;&gt;"","⚠ "&amp;Y739,IF(Z739=1,"✓ OK","")))</f>
        <v/>
      </c>
      <c r="T739" s="67">
        <f>IF(AND(C739="",D739="",E739="",L739="",K739=""),1,0)</f>
        <v/>
      </c>
      <c r="U739" s="67">
        <f>IFERROR(INDEX(tt_Dir,MATCH(D739,tt_Type,0)),"")</f>
        <v/>
      </c>
      <c r="V739" s="67">
        <f>IF(D739="","",IFERROR(IF(INDEX(tt_Other,MATCH(D739,tt_Type,0))="",E739&amp;"",INDEX(tt_Other,MATCH(D739,tt_Type,0))),""))</f>
        <v/>
      </c>
      <c r="W739" s="68">
        <f>IF(OR(TaxOn&lt;&gt;"Yes",NOT(ISNUMBER(M739))),0,IF(IFERROR(INDEX(tt_Tax,MATCH(D739,tt_Type,0)),"No")="Yes",M739,0))</f>
        <v/>
      </c>
      <c r="X739" s="67">
        <f>IF(T739=1,"",IF(C739="","Missing transaction date",IF(NOT(ISNUMBER(C739)),"Invalid date",IF(OR(C739&lt;DATE(2000,1,1),C739&gt;DATE(2099,12,31)),"Invalid date",IF(D739="","Select a type",IF(U739="","Unknown type: "&amp;D739,IF(V739="","Select an account (Category)",IF(ISNA(MATCH(V739,coa_Name,0)),"Unknown account: "&amp;V739,IF(K739="","Select Paid From / Deposited To",IF(ISNA(MATCH(K739,coa_Name,0)),"Unknown account: "&amp;K739,IF(NOT(ISNUMBER(L739)),"Enter an amount",IF(L739=0,"Enter an amount",IF(ABS(W739)&gt;ABS(L739),"Tax is larger than the amount","")))))))))))))</f>
        <v/>
      </c>
      <c r="Y739" s="67">
        <f>IF(OR(T739=1,X739&lt;&gt;""),"",IF(AND(B739&lt;&gt;"",COUNTIF(tx_ID,B739)&gt;1),"Duplicate transaction ID",IF(AND(L739&lt;0,D739&lt;&gt;"Adjustment"),"Negative amount — check this entry",IF(AND(D739="Customer Payment",G739=""),"Add the customer",IF(AND(D739="Customer Payment",OR(J739="",COUNTIF(ar_No,J739&amp;"")=0)),"Invoice # in Reference not found on AR sheet",IF(AND(D739="Bill Payment",H739=""),"Add the vendor",IF(AND(D739="Bill Payment",OR(J739="",COUNTIFS(ap_No,J739&amp;"",ap_Party,H739&amp;"")=0)),"Bill # + vendor not found on AP sheet",IF(AND(ISNUMBER(M739),N(M739)&lt;&gt;0,W739=0),"Tax ignored (tax tracking off, or not allowed for this type)",IF(V739=K739&amp;"","Same account on both sides",IF(AND(ISNUMBER(StartDate),C739&lt;StartDate),"Date is before the accounting start date",IF(AND(D739&lt;&gt;"Adjustment",IFERROR(INDEX(coa_Pay,MATCH(K739&amp;"",coa_Name,0)),"")&lt;&gt;"Yes"),"Paid From / Deposited To is not a payment account","")))))))))))</f>
        <v/>
      </c>
      <c r="Z739" s="67">
        <f>IF(AND(T739=0,X739=""),1,0)</f>
        <v/>
      </c>
      <c r="AA739" s="68">
        <f>IF(Z739=1,IF(U739="In",L739,L739-W739),0)</f>
        <v/>
      </c>
      <c r="AB739" s="68">
        <f>IF(Z739=1,IF(U739="In",L739-W739,L739),0)</f>
        <v/>
      </c>
      <c r="AC739" s="68">
        <f>IF(AND(Z739=1,U739="Out"),W739,0)</f>
        <v/>
      </c>
      <c r="AD739" s="68">
        <f>IF(AND(Z739=1,U739="In"),W739,0)</f>
        <v/>
      </c>
    </row>
    <row r="740">
      <c r="B740" s="62" t="inlineStr">
        <is>
          <t>TX-0734</t>
        </is>
      </c>
      <c r="C740" s="63" t="n"/>
      <c r="D740" s="62" t="n"/>
      <c r="E740" s="62" t="n"/>
      <c r="F740" s="62" t="n"/>
      <c r="G740" s="62" t="n"/>
      <c r="H740" s="62" t="n"/>
      <c r="I740" s="62" t="n"/>
      <c r="J740" s="62" t="n"/>
      <c r="K740" s="62" t="n"/>
      <c r="L740" s="64" t="n"/>
      <c r="M740" s="64" t="n"/>
      <c r="N740" s="62" t="n"/>
      <c r="O740" s="65">
        <f>IF(Z740=1,L740-W740,"")</f>
        <v/>
      </c>
      <c r="P740" s="66">
        <f>IF(V740="","",IFERROR(INDEX(coa_Type,MATCH(V740,coa_Name,0)),""))</f>
        <v/>
      </c>
      <c r="Q740" s="66">
        <f>IF(Z740=1,IF(U740="In",K740&amp;"",V740),"")</f>
        <v/>
      </c>
      <c r="R740" s="66">
        <f>IF(Z740=1,IF(U740="In",V740,K740&amp;""),"")</f>
        <v/>
      </c>
      <c r="S740" s="66">
        <f>IF(X740&lt;&gt;"","⛔ "&amp;X740&amp;" — not posted",IF(Y740&lt;&gt;"","⚠ "&amp;Y740,IF(Z740=1,"✓ OK","")))</f>
        <v/>
      </c>
      <c r="T740" s="67">
        <f>IF(AND(C740="",D740="",E740="",L740="",K740=""),1,0)</f>
        <v/>
      </c>
      <c r="U740" s="67">
        <f>IFERROR(INDEX(tt_Dir,MATCH(D740,tt_Type,0)),"")</f>
        <v/>
      </c>
      <c r="V740" s="67">
        <f>IF(D740="","",IFERROR(IF(INDEX(tt_Other,MATCH(D740,tt_Type,0))="",E740&amp;"",INDEX(tt_Other,MATCH(D740,tt_Type,0))),""))</f>
        <v/>
      </c>
      <c r="W740" s="68">
        <f>IF(OR(TaxOn&lt;&gt;"Yes",NOT(ISNUMBER(M740))),0,IF(IFERROR(INDEX(tt_Tax,MATCH(D740,tt_Type,0)),"No")="Yes",M740,0))</f>
        <v/>
      </c>
      <c r="X740" s="67">
        <f>IF(T740=1,"",IF(C740="","Missing transaction date",IF(NOT(ISNUMBER(C740)),"Invalid date",IF(OR(C740&lt;DATE(2000,1,1),C740&gt;DATE(2099,12,31)),"Invalid date",IF(D740="","Select a type",IF(U740="","Unknown type: "&amp;D740,IF(V740="","Select an account (Category)",IF(ISNA(MATCH(V740,coa_Name,0)),"Unknown account: "&amp;V740,IF(K740="","Select Paid From / Deposited To",IF(ISNA(MATCH(K740,coa_Name,0)),"Unknown account: "&amp;K740,IF(NOT(ISNUMBER(L740)),"Enter an amount",IF(L740=0,"Enter an amount",IF(ABS(W740)&gt;ABS(L740),"Tax is larger than the amount","")))))))))))))</f>
        <v/>
      </c>
      <c r="Y740" s="67">
        <f>IF(OR(T740=1,X740&lt;&gt;""),"",IF(AND(B740&lt;&gt;"",COUNTIF(tx_ID,B740)&gt;1),"Duplicate transaction ID",IF(AND(L740&lt;0,D740&lt;&gt;"Adjustment"),"Negative amount — check this entry",IF(AND(D740="Customer Payment",G740=""),"Add the customer",IF(AND(D740="Customer Payment",OR(J740="",COUNTIF(ar_No,J740&amp;"")=0)),"Invoice # in Reference not found on AR sheet",IF(AND(D740="Bill Payment",H740=""),"Add the vendor",IF(AND(D740="Bill Payment",OR(J740="",COUNTIFS(ap_No,J740&amp;"",ap_Party,H740&amp;"")=0)),"Bill # + vendor not found on AP sheet",IF(AND(ISNUMBER(M740),N(M740)&lt;&gt;0,W740=0),"Tax ignored (tax tracking off, or not allowed for this type)",IF(V740=K740&amp;"","Same account on both sides",IF(AND(ISNUMBER(StartDate),C740&lt;StartDate),"Date is before the accounting start date",IF(AND(D740&lt;&gt;"Adjustment",IFERROR(INDEX(coa_Pay,MATCH(K740&amp;"",coa_Name,0)),"")&lt;&gt;"Yes"),"Paid From / Deposited To is not a payment account","")))))))))))</f>
        <v/>
      </c>
      <c r="Z740" s="67">
        <f>IF(AND(T740=0,X740=""),1,0)</f>
        <v/>
      </c>
      <c r="AA740" s="68">
        <f>IF(Z740=1,IF(U740="In",L740,L740-W740),0)</f>
        <v/>
      </c>
      <c r="AB740" s="68">
        <f>IF(Z740=1,IF(U740="In",L740-W740,L740),0)</f>
        <v/>
      </c>
      <c r="AC740" s="68">
        <f>IF(AND(Z740=1,U740="Out"),W740,0)</f>
        <v/>
      </c>
      <c r="AD740" s="68">
        <f>IF(AND(Z740=1,U740="In"),W740,0)</f>
        <v/>
      </c>
    </row>
    <row r="741">
      <c r="B741" s="62" t="inlineStr">
        <is>
          <t>TX-0735</t>
        </is>
      </c>
      <c r="C741" s="63" t="n"/>
      <c r="D741" s="62" t="n"/>
      <c r="E741" s="62" t="n"/>
      <c r="F741" s="62" t="n"/>
      <c r="G741" s="62" t="n"/>
      <c r="H741" s="62" t="n"/>
      <c r="I741" s="62" t="n"/>
      <c r="J741" s="62" t="n"/>
      <c r="K741" s="62" t="n"/>
      <c r="L741" s="64" t="n"/>
      <c r="M741" s="64" t="n"/>
      <c r="N741" s="62" t="n"/>
      <c r="O741" s="65">
        <f>IF(Z741=1,L741-W741,"")</f>
        <v/>
      </c>
      <c r="P741" s="66">
        <f>IF(V741="","",IFERROR(INDEX(coa_Type,MATCH(V741,coa_Name,0)),""))</f>
        <v/>
      </c>
      <c r="Q741" s="66">
        <f>IF(Z741=1,IF(U741="In",K741&amp;"",V741),"")</f>
        <v/>
      </c>
      <c r="R741" s="66">
        <f>IF(Z741=1,IF(U741="In",V741,K741&amp;""),"")</f>
        <v/>
      </c>
      <c r="S741" s="66">
        <f>IF(X741&lt;&gt;"","⛔ "&amp;X741&amp;" — not posted",IF(Y741&lt;&gt;"","⚠ "&amp;Y741,IF(Z741=1,"✓ OK","")))</f>
        <v/>
      </c>
      <c r="T741" s="67">
        <f>IF(AND(C741="",D741="",E741="",L741="",K741=""),1,0)</f>
        <v/>
      </c>
      <c r="U741" s="67">
        <f>IFERROR(INDEX(tt_Dir,MATCH(D741,tt_Type,0)),"")</f>
        <v/>
      </c>
      <c r="V741" s="67">
        <f>IF(D741="","",IFERROR(IF(INDEX(tt_Other,MATCH(D741,tt_Type,0))="",E741&amp;"",INDEX(tt_Other,MATCH(D741,tt_Type,0))),""))</f>
        <v/>
      </c>
      <c r="W741" s="68">
        <f>IF(OR(TaxOn&lt;&gt;"Yes",NOT(ISNUMBER(M741))),0,IF(IFERROR(INDEX(tt_Tax,MATCH(D741,tt_Type,0)),"No")="Yes",M741,0))</f>
        <v/>
      </c>
      <c r="X741" s="67">
        <f>IF(T741=1,"",IF(C741="","Missing transaction date",IF(NOT(ISNUMBER(C741)),"Invalid date",IF(OR(C741&lt;DATE(2000,1,1),C741&gt;DATE(2099,12,31)),"Invalid date",IF(D741="","Select a type",IF(U741="","Unknown type: "&amp;D741,IF(V741="","Select an account (Category)",IF(ISNA(MATCH(V741,coa_Name,0)),"Unknown account: "&amp;V741,IF(K741="","Select Paid From / Deposited To",IF(ISNA(MATCH(K741,coa_Name,0)),"Unknown account: "&amp;K741,IF(NOT(ISNUMBER(L741)),"Enter an amount",IF(L741=0,"Enter an amount",IF(ABS(W741)&gt;ABS(L741),"Tax is larger than the amount","")))))))))))))</f>
        <v/>
      </c>
      <c r="Y741" s="67">
        <f>IF(OR(T741=1,X741&lt;&gt;""),"",IF(AND(B741&lt;&gt;"",COUNTIF(tx_ID,B741)&gt;1),"Duplicate transaction ID",IF(AND(L741&lt;0,D741&lt;&gt;"Adjustment"),"Negative amount — check this entry",IF(AND(D741="Customer Payment",G741=""),"Add the customer",IF(AND(D741="Customer Payment",OR(J741="",COUNTIF(ar_No,J741&amp;"")=0)),"Invoice # in Reference not found on AR sheet",IF(AND(D741="Bill Payment",H741=""),"Add the vendor",IF(AND(D741="Bill Payment",OR(J741="",COUNTIFS(ap_No,J741&amp;"",ap_Party,H741&amp;"")=0)),"Bill # + vendor not found on AP sheet",IF(AND(ISNUMBER(M741),N(M741)&lt;&gt;0,W741=0),"Tax ignored (tax tracking off, or not allowed for this type)",IF(V741=K741&amp;"","Same account on both sides",IF(AND(ISNUMBER(StartDate),C741&lt;StartDate),"Date is before the accounting start date",IF(AND(D741&lt;&gt;"Adjustment",IFERROR(INDEX(coa_Pay,MATCH(K741&amp;"",coa_Name,0)),"")&lt;&gt;"Yes"),"Paid From / Deposited To is not a payment account","")))))))))))</f>
        <v/>
      </c>
      <c r="Z741" s="67">
        <f>IF(AND(T741=0,X741=""),1,0)</f>
        <v/>
      </c>
      <c r="AA741" s="68">
        <f>IF(Z741=1,IF(U741="In",L741,L741-W741),0)</f>
        <v/>
      </c>
      <c r="AB741" s="68">
        <f>IF(Z741=1,IF(U741="In",L741-W741,L741),0)</f>
        <v/>
      </c>
      <c r="AC741" s="68">
        <f>IF(AND(Z741=1,U741="Out"),W741,0)</f>
        <v/>
      </c>
      <c r="AD741" s="68">
        <f>IF(AND(Z741=1,U741="In"),W741,0)</f>
        <v/>
      </c>
    </row>
    <row r="742">
      <c r="B742" s="62" t="inlineStr">
        <is>
          <t>TX-0736</t>
        </is>
      </c>
      <c r="C742" s="63" t="n"/>
      <c r="D742" s="62" t="n"/>
      <c r="E742" s="62" t="n"/>
      <c r="F742" s="62" t="n"/>
      <c r="G742" s="62" t="n"/>
      <c r="H742" s="62" t="n"/>
      <c r="I742" s="62" t="n"/>
      <c r="J742" s="62" t="n"/>
      <c r="K742" s="62" t="n"/>
      <c r="L742" s="64" t="n"/>
      <c r="M742" s="64" t="n"/>
      <c r="N742" s="62" t="n"/>
      <c r="O742" s="65">
        <f>IF(Z742=1,L742-W742,"")</f>
        <v/>
      </c>
      <c r="P742" s="66">
        <f>IF(V742="","",IFERROR(INDEX(coa_Type,MATCH(V742,coa_Name,0)),""))</f>
        <v/>
      </c>
      <c r="Q742" s="66">
        <f>IF(Z742=1,IF(U742="In",K742&amp;"",V742),"")</f>
        <v/>
      </c>
      <c r="R742" s="66">
        <f>IF(Z742=1,IF(U742="In",V742,K742&amp;""),"")</f>
        <v/>
      </c>
      <c r="S742" s="66">
        <f>IF(X742&lt;&gt;"","⛔ "&amp;X742&amp;" — not posted",IF(Y742&lt;&gt;"","⚠ "&amp;Y742,IF(Z742=1,"✓ OK","")))</f>
        <v/>
      </c>
      <c r="T742" s="67">
        <f>IF(AND(C742="",D742="",E742="",L742="",K742=""),1,0)</f>
        <v/>
      </c>
      <c r="U742" s="67">
        <f>IFERROR(INDEX(tt_Dir,MATCH(D742,tt_Type,0)),"")</f>
        <v/>
      </c>
      <c r="V742" s="67">
        <f>IF(D742="","",IFERROR(IF(INDEX(tt_Other,MATCH(D742,tt_Type,0))="",E742&amp;"",INDEX(tt_Other,MATCH(D742,tt_Type,0))),""))</f>
        <v/>
      </c>
      <c r="W742" s="68">
        <f>IF(OR(TaxOn&lt;&gt;"Yes",NOT(ISNUMBER(M742))),0,IF(IFERROR(INDEX(tt_Tax,MATCH(D742,tt_Type,0)),"No")="Yes",M742,0))</f>
        <v/>
      </c>
      <c r="X742" s="67">
        <f>IF(T742=1,"",IF(C742="","Missing transaction date",IF(NOT(ISNUMBER(C742)),"Invalid date",IF(OR(C742&lt;DATE(2000,1,1),C742&gt;DATE(2099,12,31)),"Invalid date",IF(D742="","Select a type",IF(U742="","Unknown type: "&amp;D742,IF(V742="","Select an account (Category)",IF(ISNA(MATCH(V742,coa_Name,0)),"Unknown account: "&amp;V742,IF(K742="","Select Paid From / Deposited To",IF(ISNA(MATCH(K742,coa_Name,0)),"Unknown account: "&amp;K742,IF(NOT(ISNUMBER(L742)),"Enter an amount",IF(L742=0,"Enter an amount",IF(ABS(W742)&gt;ABS(L742),"Tax is larger than the amount","")))))))))))))</f>
        <v/>
      </c>
      <c r="Y742" s="67">
        <f>IF(OR(T742=1,X742&lt;&gt;""),"",IF(AND(B742&lt;&gt;"",COUNTIF(tx_ID,B742)&gt;1),"Duplicate transaction ID",IF(AND(L742&lt;0,D742&lt;&gt;"Adjustment"),"Negative amount — check this entry",IF(AND(D742="Customer Payment",G742=""),"Add the customer",IF(AND(D742="Customer Payment",OR(J742="",COUNTIF(ar_No,J742&amp;"")=0)),"Invoice # in Reference not found on AR sheet",IF(AND(D742="Bill Payment",H742=""),"Add the vendor",IF(AND(D742="Bill Payment",OR(J742="",COUNTIFS(ap_No,J742&amp;"",ap_Party,H742&amp;"")=0)),"Bill # + vendor not found on AP sheet",IF(AND(ISNUMBER(M742),N(M742)&lt;&gt;0,W742=0),"Tax ignored (tax tracking off, or not allowed for this type)",IF(V742=K742&amp;"","Same account on both sides",IF(AND(ISNUMBER(StartDate),C742&lt;StartDate),"Date is before the accounting start date",IF(AND(D742&lt;&gt;"Adjustment",IFERROR(INDEX(coa_Pay,MATCH(K742&amp;"",coa_Name,0)),"")&lt;&gt;"Yes"),"Paid From / Deposited To is not a payment account","")))))))))))</f>
        <v/>
      </c>
      <c r="Z742" s="67">
        <f>IF(AND(T742=0,X742=""),1,0)</f>
        <v/>
      </c>
      <c r="AA742" s="68">
        <f>IF(Z742=1,IF(U742="In",L742,L742-W742),0)</f>
        <v/>
      </c>
      <c r="AB742" s="68">
        <f>IF(Z742=1,IF(U742="In",L742-W742,L742),0)</f>
        <v/>
      </c>
      <c r="AC742" s="68">
        <f>IF(AND(Z742=1,U742="Out"),W742,0)</f>
        <v/>
      </c>
      <c r="AD742" s="68">
        <f>IF(AND(Z742=1,U742="In"),W742,0)</f>
        <v/>
      </c>
    </row>
    <row r="743">
      <c r="B743" s="62" t="inlineStr">
        <is>
          <t>TX-0737</t>
        </is>
      </c>
      <c r="C743" s="63" t="n"/>
      <c r="D743" s="62" t="n"/>
      <c r="E743" s="62" t="n"/>
      <c r="F743" s="62" t="n"/>
      <c r="G743" s="62" t="n"/>
      <c r="H743" s="62" t="n"/>
      <c r="I743" s="62" t="n"/>
      <c r="J743" s="62" t="n"/>
      <c r="K743" s="62" t="n"/>
      <c r="L743" s="64" t="n"/>
      <c r="M743" s="64" t="n"/>
      <c r="N743" s="62" t="n"/>
      <c r="O743" s="65">
        <f>IF(Z743=1,L743-W743,"")</f>
        <v/>
      </c>
      <c r="P743" s="66">
        <f>IF(V743="","",IFERROR(INDEX(coa_Type,MATCH(V743,coa_Name,0)),""))</f>
        <v/>
      </c>
      <c r="Q743" s="66">
        <f>IF(Z743=1,IF(U743="In",K743&amp;"",V743),"")</f>
        <v/>
      </c>
      <c r="R743" s="66">
        <f>IF(Z743=1,IF(U743="In",V743,K743&amp;""),"")</f>
        <v/>
      </c>
      <c r="S743" s="66">
        <f>IF(X743&lt;&gt;"","⛔ "&amp;X743&amp;" — not posted",IF(Y743&lt;&gt;"","⚠ "&amp;Y743,IF(Z743=1,"✓ OK","")))</f>
        <v/>
      </c>
      <c r="T743" s="67">
        <f>IF(AND(C743="",D743="",E743="",L743="",K743=""),1,0)</f>
        <v/>
      </c>
      <c r="U743" s="67">
        <f>IFERROR(INDEX(tt_Dir,MATCH(D743,tt_Type,0)),"")</f>
        <v/>
      </c>
      <c r="V743" s="67">
        <f>IF(D743="","",IFERROR(IF(INDEX(tt_Other,MATCH(D743,tt_Type,0))="",E743&amp;"",INDEX(tt_Other,MATCH(D743,tt_Type,0))),""))</f>
        <v/>
      </c>
      <c r="W743" s="68">
        <f>IF(OR(TaxOn&lt;&gt;"Yes",NOT(ISNUMBER(M743))),0,IF(IFERROR(INDEX(tt_Tax,MATCH(D743,tt_Type,0)),"No")="Yes",M743,0))</f>
        <v/>
      </c>
      <c r="X743" s="67">
        <f>IF(T743=1,"",IF(C743="","Missing transaction date",IF(NOT(ISNUMBER(C743)),"Invalid date",IF(OR(C743&lt;DATE(2000,1,1),C743&gt;DATE(2099,12,31)),"Invalid date",IF(D743="","Select a type",IF(U743="","Unknown type: "&amp;D743,IF(V743="","Select an account (Category)",IF(ISNA(MATCH(V743,coa_Name,0)),"Unknown account: "&amp;V743,IF(K743="","Select Paid From / Deposited To",IF(ISNA(MATCH(K743,coa_Name,0)),"Unknown account: "&amp;K743,IF(NOT(ISNUMBER(L743)),"Enter an amount",IF(L743=0,"Enter an amount",IF(ABS(W743)&gt;ABS(L743),"Tax is larger than the amount","")))))))))))))</f>
        <v/>
      </c>
      <c r="Y743" s="67">
        <f>IF(OR(T743=1,X743&lt;&gt;""),"",IF(AND(B743&lt;&gt;"",COUNTIF(tx_ID,B743)&gt;1),"Duplicate transaction ID",IF(AND(L743&lt;0,D743&lt;&gt;"Adjustment"),"Negative amount — check this entry",IF(AND(D743="Customer Payment",G743=""),"Add the customer",IF(AND(D743="Customer Payment",OR(J743="",COUNTIF(ar_No,J743&amp;"")=0)),"Invoice # in Reference not found on AR sheet",IF(AND(D743="Bill Payment",H743=""),"Add the vendor",IF(AND(D743="Bill Payment",OR(J743="",COUNTIFS(ap_No,J743&amp;"",ap_Party,H743&amp;"")=0)),"Bill # + vendor not found on AP sheet",IF(AND(ISNUMBER(M743),N(M743)&lt;&gt;0,W743=0),"Tax ignored (tax tracking off, or not allowed for this type)",IF(V743=K743&amp;"","Same account on both sides",IF(AND(ISNUMBER(StartDate),C743&lt;StartDate),"Date is before the accounting start date",IF(AND(D743&lt;&gt;"Adjustment",IFERROR(INDEX(coa_Pay,MATCH(K743&amp;"",coa_Name,0)),"")&lt;&gt;"Yes"),"Paid From / Deposited To is not a payment account","")))))))))))</f>
        <v/>
      </c>
      <c r="Z743" s="67">
        <f>IF(AND(T743=0,X743=""),1,0)</f>
        <v/>
      </c>
      <c r="AA743" s="68">
        <f>IF(Z743=1,IF(U743="In",L743,L743-W743),0)</f>
        <v/>
      </c>
      <c r="AB743" s="68">
        <f>IF(Z743=1,IF(U743="In",L743-W743,L743),0)</f>
        <v/>
      </c>
      <c r="AC743" s="68">
        <f>IF(AND(Z743=1,U743="Out"),W743,0)</f>
        <v/>
      </c>
      <c r="AD743" s="68">
        <f>IF(AND(Z743=1,U743="In"),W743,0)</f>
        <v/>
      </c>
    </row>
    <row r="744">
      <c r="B744" s="62" t="inlineStr">
        <is>
          <t>TX-0738</t>
        </is>
      </c>
      <c r="C744" s="63" t="n"/>
      <c r="D744" s="62" t="n"/>
      <c r="E744" s="62" t="n"/>
      <c r="F744" s="62" t="n"/>
      <c r="G744" s="62" t="n"/>
      <c r="H744" s="62" t="n"/>
      <c r="I744" s="62" t="n"/>
      <c r="J744" s="62" t="n"/>
      <c r="K744" s="62" t="n"/>
      <c r="L744" s="64" t="n"/>
      <c r="M744" s="64" t="n"/>
      <c r="N744" s="62" t="n"/>
      <c r="O744" s="65">
        <f>IF(Z744=1,L744-W744,"")</f>
        <v/>
      </c>
      <c r="P744" s="66">
        <f>IF(V744="","",IFERROR(INDEX(coa_Type,MATCH(V744,coa_Name,0)),""))</f>
        <v/>
      </c>
      <c r="Q744" s="66">
        <f>IF(Z744=1,IF(U744="In",K744&amp;"",V744),"")</f>
        <v/>
      </c>
      <c r="R744" s="66">
        <f>IF(Z744=1,IF(U744="In",V744,K744&amp;""),"")</f>
        <v/>
      </c>
      <c r="S744" s="66">
        <f>IF(X744&lt;&gt;"","⛔ "&amp;X744&amp;" — not posted",IF(Y744&lt;&gt;"","⚠ "&amp;Y744,IF(Z744=1,"✓ OK","")))</f>
        <v/>
      </c>
      <c r="T744" s="67">
        <f>IF(AND(C744="",D744="",E744="",L744="",K744=""),1,0)</f>
        <v/>
      </c>
      <c r="U744" s="67">
        <f>IFERROR(INDEX(tt_Dir,MATCH(D744,tt_Type,0)),"")</f>
        <v/>
      </c>
      <c r="V744" s="67">
        <f>IF(D744="","",IFERROR(IF(INDEX(tt_Other,MATCH(D744,tt_Type,0))="",E744&amp;"",INDEX(tt_Other,MATCH(D744,tt_Type,0))),""))</f>
        <v/>
      </c>
      <c r="W744" s="68">
        <f>IF(OR(TaxOn&lt;&gt;"Yes",NOT(ISNUMBER(M744))),0,IF(IFERROR(INDEX(tt_Tax,MATCH(D744,tt_Type,0)),"No")="Yes",M744,0))</f>
        <v/>
      </c>
      <c r="X744" s="67">
        <f>IF(T744=1,"",IF(C744="","Missing transaction date",IF(NOT(ISNUMBER(C744)),"Invalid date",IF(OR(C744&lt;DATE(2000,1,1),C744&gt;DATE(2099,12,31)),"Invalid date",IF(D744="","Select a type",IF(U744="","Unknown type: "&amp;D744,IF(V744="","Select an account (Category)",IF(ISNA(MATCH(V744,coa_Name,0)),"Unknown account: "&amp;V744,IF(K744="","Select Paid From / Deposited To",IF(ISNA(MATCH(K744,coa_Name,0)),"Unknown account: "&amp;K744,IF(NOT(ISNUMBER(L744)),"Enter an amount",IF(L744=0,"Enter an amount",IF(ABS(W744)&gt;ABS(L744),"Tax is larger than the amount","")))))))))))))</f>
        <v/>
      </c>
      <c r="Y744" s="67">
        <f>IF(OR(T744=1,X744&lt;&gt;""),"",IF(AND(B744&lt;&gt;"",COUNTIF(tx_ID,B744)&gt;1),"Duplicate transaction ID",IF(AND(L744&lt;0,D744&lt;&gt;"Adjustment"),"Negative amount — check this entry",IF(AND(D744="Customer Payment",G744=""),"Add the customer",IF(AND(D744="Customer Payment",OR(J744="",COUNTIF(ar_No,J744&amp;"")=0)),"Invoice # in Reference not found on AR sheet",IF(AND(D744="Bill Payment",H744=""),"Add the vendor",IF(AND(D744="Bill Payment",OR(J744="",COUNTIFS(ap_No,J744&amp;"",ap_Party,H744&amp;"")=0)),"Bill # + vendor not found on AP sheet",IF(AND(ISNUMBER(M744),N(M744)&lt;&gt;0,W744=0),"Tax ignored (tax tracking off, or not allowed for this type)",IF(V744=K744&amp;"","Same account on both sides",IF(AND(ISNUMBER(StartDate),C744&lt;StartDate),"Date is before the accounting start date",IF(AND(D744&lt;&gt;"Adjustment",IFERROR(INDEX(coa_Pay,MATCH(K744&amp;"",coa_Name,0)),"")&lt;&gt;"Yes"),"Paid From / Deposited To is not a payment account","")))))))))))</f>
        <v/>
      </c>
      <c r="Z744" s="67">
        <f>IF(AND(T744=0,X744=""),1,0)</f>
        <v/>
      </c>
      <c r="AA744" s="68">
        <f>IF(Z744=1,IF(U744="In",L744,L744-W744),0)</f>
        <v/>
      </c>
      <c r="AB744" s="68">
        <f>IF(Z744=1,IF(U744="In",L744-W744,L744),0)</f>
        <v/>
      </c>
      <c r="AC744" s="68">
        <f>IF(AND(Z744=1,U744="Out"),W744,0)</f>
        <v/>
      </c>
      <c r="AD744" s="68">
        <f>IF(AND(Z744=1,U744="In"),W744,0)</f>
        <v/>
      </c>
    </row>
    <row r="745">
      <c r="B745" s="62" t="inlineStr">
        <is>
          <t>TX-0739</t>
        </is>
      </c>
      <c r="C745" s="63" t="n"/>
      <c r="D745" s="62" t="n"/>
      <c r="E745" s="62" t="n"/>
      <c r="F745" s="62" t="n"/>
      <c r="G745" s="62" t="n"/>
      <c r="H745" s="62" t="n"/>
      <c r="I745" s="62" t="n"/>
      <c r="J745" s="62" t="n"/>
      <c r="K745" s="62" t="n"/>
      <c r="L745" s="64" t="n"/>
      <c r="M745" s="64" t="n"/>
      <c r="N745" s="62" t="n"/>
      <c r="O745" s="65">
        <f>IF(Z745=1,L745-W745,"")</f>
        <v/>
      </c>
      <c r="P745" s="66">
        <f>IF(V745="","",IFERROR(INDEX(coa_Type,MATCH(V745,coa_Name,0)),""))</f>
        <v/>
      </c>
      <c r="Q745" s="66">
        <f>IF(Z745=1,IF(U745="In",K745&amp;"",V745),"")</f>
        <v/>
      </c>
      <c r="R745" s="66">
        <f>IF(Z745=1,IF(U745="In",V745,K745&amp;""),"")</f>
        <v/>
      </c>
      <c r="S745" s="66">
        <f>IF(X745&lt;&gt;"","⛔ "&amp;X745&amp;" — not posted",IF(Y745&lt;&gt;"","⚠ "&amp;Y745,IF(Z745=1,"✓ OK","")))</f>
        <v/>
      </c>
      <c r="T745" s="67">
        <f>IF(AND(C745="",D745="",E745="",L745="",K745=""),1,0)</f>
        <v/>
      </c>
      <c r="U745" s="67">
        <f>IFERROR(INDEX(tt_Dir,MATCH(D745,tt_Type,0)),"")</f>
        <v/>
      </c>
      <c r="V745" s="67">
        <f>IF(D745="","",IFERROR(IF(INDEX(tt_Other,MATCH(D745,tt_Type,0))="",E745&amp;"",INDEX(tt_Other,MATCH(D745,tt_Type,0))),""))</f>
        <v/>
      </c>
      <c r="W745" s="68">
        <f>IF(OR(TaxOn&lt;&gt;"Yes",NOT(ISNUMBER(M745))),0,IF(IFERROR(INDEX(tt_Tax,MATCH(D745,tt_Type,0)),"No")="Yes",M745,0))</f>
        <v/>
      </c>
      <c r="X745" s="67">
        <f>IF(T745=1,"",IF(C745="","Missing transaction date",IF(NOT(ISNUMBER(C745)),"Invalid date",IF(OR(C745&lt;DATE(2000,1,1),C745&gt;DATE(2099,12,31)),"Invalid date",IF(D745="","Select a type",IF(U745="","Unknown type: "&amp;D745,IF(V745="","Select an account (Category)",IF(ISNA(MATCH(V745,coa_Name,0)),"Unknown account: "&amp;V745,IF(K745="","Select Paid From / Deposited To",IF(ISNA(MATCH(K745,coa_Name,0)),"Unknown account: "&amp;K745,IF(NOT(ISNUMBER(L745)),"Enter an amount",IF(L745=0,"Enter an amount",IF(ABS(W745)&gt;ABS(L745),"Tax is larger than the amount","")))))))))))))</f>
        <v/>
      </c>
      <c r="Y745" s="67">
        <f>IF(OR(T745=1,X745&lt;&gt;""),"",IF(AND(B745&lt;&gt;"",COUNTIF(tx_ID,B745)&gt;1),"Duplicate transaction ID",IF(AND(L745&lt;0,D745&lt;&gt;"Adjustment"),"Negative amount — check this entry",IF(AND(D745="Customer Payment",G745=""),"Add the customer",IF(AND(D745="Customer Payment",OR(J745="",COUNTIF(ar_No,J745&amp;"")=0)),"Invoice # in Reference not found on AR sheet",IF(AND(D745="Bill Payment",H745=""),"Add the vendor",IF(AND(D745="Bill Payment",OR(J745="",COUNTIFS(ap_No,J745&amp;"",ap_Party,H745&amp;"")=0)),"Bill # + vendor not found on AP sheet",IF(AND(ISNUMBER(M745),N(M745)&lt;&gt;0,W745=0),"Tax ignored (tax tracking off, or not allowed for this type)",IF(V745=K745&amp;"","Same account on both sides",IF(AND(ISNUMBER(StartDate),C745&lt;StartDate),"Date is before the accounting start date",IF(AND(D745&lt;&gt;"Adjustment",IFERROR(INDEX(coa_Pay,MATCH(K745&amp;"",coa_Name,0)),"")&lt;&gt;"Yes"),"Paid From / Deposited To is not a payment account","")))))))))))</f>
        <v/>
      </c>
      <c r="Z745" s="67">
        <f>IF(AND(T745=0,X745=""),1,0)</f>
        <v/>
      </c>
      <c r="AA745" s="68">
        <f>IF(Z745=1,IF(U745="In",L745,L745-W745),0)</f>
        <v/>
      </c>
      <c r="AB745" s="68">
        <f>IF(Z745=1,IF(U745="In",L745-W745,L745),0)</f>
        <v/>
      </c>
      <c r="AC745" s="68">
        <f>IF(AND(Z745=1,U745="Out"),W745,0)</f>
        <v/>
      </c>
      <c r="AD745" s="68">
        <f>IF(AND(Z745=1,U745="In"),W745,0)</f>
        <v/>
      </c>
    </row>
    <row r="746">
      <c r="B746" s="62" t="inlineStr">
        <is>
          <t>TX-0740</t>
        </is>
      </c>
      <c r="C746" s="63" t="n"/>
      <c r="D746" s="62" t="n"/>
      <c r="E746" s="62" t="n"/>
      <c r="F746" s="62" t="n"/>
      <c r="G746" s="62" t="n"/>
      <c r="H746" s="62" t="n"/>
      <c r="I746" s="62" t="n"/>
      <c r="J746" s="62" t="n"/>
      <c r="K746" s="62" t="n"/>
      <c r="L746" s="64" t="n"/>
      <c r="M746" s="64" t="n"/>
      <c r="N746" s="62" t="n"/>
      <c r="O746" s="65">
        <f>IF(Z746=1,L746-W746,"")</f>
        <v/>
      </c>
      <c r="P746" s="66">
        <f>IF(V746="","",IFERROR(INDEX(coa_Type,MATCH(V746,coa_Name,0)),""))</f>
        <v/>
      </c>
      <c r="Q746" s="66">
        <f>IF(Z746=1,IF(U746="In",K746&amp;"",V746),"")</f>
        <v/>
      </c>
      <c r="R746" s="66">
        <f>IF(Z746=1,IF(U746="In",V746,K746&amp;""),"")</f>
        <v/>
      </c>
      <c r="S746" s="66">
        <f>IF(X746&lt;&gt;"","⛔ "&amp;X746&amp;" — not posted",IF(Y746&lt;&gt;"","⚠ "&amp;Y746,IF(Z746=1,"✓ OK","")))</f>
        <v/>
      </c>
      <c r="T746" s="67">
        <f>IF(AND(C746="",D746="",E746="",L746="",K746=""),1,0)</f>
        <v/>
      </c>
      <c r="U746" s="67">
        <f>IFERROR(INDEX(tt_Dir,MATCH(D746,tt_Type,0)),"")</f>
        <v/>
      </c>
      <c r="V746" s="67">
        <f>IF(D746="","",IFERROR(IF(INDEX(tt_Other,MATCH(D746,tt_Type,0))="",E746&amp;"",INDEX(tt_Other,MATCH(D746,tt_Type,0))),""))</f>
        <v/>
      </c>
      <c r="W746" s="68">
        <f>IF(OR(TaxOn&lt;&gt;"Yes",NOT(ISNUMBER(M746))),0,IF(IFERROR(INDEX(tt_Tax,MATCH(D746,tt_Type,0)),"No")="Yes",M746,0))</f>
        <v/>
      </c>
      <c r="X746" s="67">
        <f>IF(T746=1,"",IF(C746="","Missing transaction date",IF(NOT(ISNUMBER(C746)),"Invalid date",IF(OR(C746&lt;DATE(2000,1,1),C746&gt;DATE(2099,12,31)),"Invalid date",IF(D746="","Select a type",IF(U746="","Unknown type: "&amp;D746,IF(V746="","Select an account (Category)",IF(ISNA(MATCH(V746,coa_Name,0)),"Unknown account: "&amp;V746,IF(K746="","Select Paid From / Deposited To",IF(ISNA(MATCH(K746,coa_Name,0)),"Unknown account: "&amp;K746,IF(NOT(ISNUMBER(L746)),"Enter an amount",IF(L746=0,"Enter an amount",IF(ABS(W746)&gt;ABS(L746),"Tax is larger than the amount","")))))))))))))</f>
        <v/>
      </c>
      <c r="Y746" s="67">
        <f>IF(OR(T746=1,X746&lt;&gt;""),"",IF(AND(B746&lt;&gt;"",COUNTIF(tx_ID,B746)&gt;1),"Duplicate transaction ID",IF(AND(L746&lt;0,D746&lt;&gt;"Adjustment"),"Negative amount — check this entry",IF(AND(D746="Customer Payment",G746=""),"Add the customer",IF(AND(D746="Customer Payment",OR(J746="",COUNTIF(ar_No,J746&amp;"")=0)),"Invoice # in Reference not found on AR sheet",IF(AND(D746="Bill Payment",H746=""),"Add the vendor",IF(AND(D746="Bill Payment",OR(J746="",COUNTIFS(ap_No,J746&amp;"",ap_Party,H746&amp;"")=0)),"Bill # + vendor not found on AP sheet",IF(AND(ISNUMBER(M746),N(M746)&lt;&gt;0,W746=0),"Tax ignored (tax tracking off, or not allowed for this type)",IF(V746=K746&amp;"","Same account on both sides",IF(AND(ISNUMBER(StartDate),C746&lt;StartDate),"Date is before the accounting start date",IF(AND(D746&lt;&gt;"Adjustment",IFERROR(INDEX(coa_Pay,MATCH(K746&amp;"",coa_Name,0)),"")&lt;&gt;"Yes"),"Paid From / Deposited To is not a payment account","")))))))))))</f>
        <v/>
      </c>
      <c r="Z746" s="67">
        <f>IF(AND(T746=0,X746=""),1,0)</f>
        <v/>
      </c>
      <c r="AA746" s="68">
        <f>IF(Z746=1,IF(U746="In",L746,L746-W746),0)</f>
        <v/>
      </c>
      <c r="AB746" s="68">
        <f>IF(Z746=1,IF(U746="In",L746-W746,L746),0)</f>
        <v/>
      </c>
      <c r="AC746" s="68">
        <f>IF(AND(Z746=1,U746="Out"),W746,0)</f>
        <v/>
      </c>
      <c r="AD746" s="68">
        <f>IF(AND(Z746=1,U746="In"),W746,0)</f>
        <v/>
      </c>
    </row>
    <row r="747">
      <c r="B747" s="62" t="inlineStr">
        <is>
          <t>TX-0741</t>
        </is>
      </c>
      <c r="C747" s="63" t="n"/>
      <c r="D747" s="62" t="n"/>
      <c r="E747" s="62" t="n"/>
      <c r="F747" s="62" t="n"/>
      <c r="G747" s="62" t="n"/>
      <c r="H747" s="62" t="n"/>
      <c r="I747" s="62" t="n"/>
      <c r="J747" s="62" t="n"/>
      <c r="K747" s="62" t="n"/>
      <c r="L747" s="64" t="n"/>
      <c r="M747" s="64" t="n"/>
      <c r="N747" s="62" t="n"/>
      <c r="O747" s="65">
        <f>IF(Z747=1,L747-W747,"")</f>
        <v/>
      </c>
      <c r="P747" s="66">
        <f>IF(V747="","",IFERROR(INDEX(coa_Type,MATCH(V747,coa_Name,0)),""))</f>
        <v/>
      </c>
      <c r="Q747" s="66">
        <f>IF(Z747=1,IF(U747="In",K747&amp;"",V747),"")</f>
        <v/>
      </c>
      <c r="R747" s="66">
        <f>IF(Z747=1,IF(U747="In",V747,K747&amp;""),"")</f>
        <v/>
      </c>
      <c r="S747" s="66">
        <f>IF(X747&lt;&gt;"","⛔ "&amp;X747&amp;" — not posted",IF(Y747&lt;&gt;"","⚠ "&amp;Y747,IF(Z747=1,"✓ OK","")))</f>
        <v/>
      </c>
      <c r="T747" s="67">
        <f>IF(AND(C747="",D747="",E747="",L747="",K747=""),1,0)</f>
        <v/>
      </c>
      <c r="U747" s="67">
        <f>IFERROR(INDEX(tt_Dir,MATCH(D747,tt_Type,0)),"")</f>
        <v/>
      </c>
      <c r="V747" s="67">
        <f>IF(D747="","",IFERROR(IF(INDEX(tt_Other,MATCH(D747,tt_Type,0))="",E747&amp;"",INDEX(tt_Other,MATCH(D747,tt_Type,0))),""))</f>
        <v/>
      </c>
      <c r="W747" s="68">
        <f>IF(OR(TaxOn&lt;&gt;"Yes",NOT(ISNUMBER(M747))),0,IF(IFERROR(INDEX(tt_Tax,MATCH(D747,tt_Type,0)),"No")="Yes",M747,0))</f>
        <v/>
      </c>
      <c r="X747" s="67">
        <f>IF(T747=1,"",IF(C747="","Missing transaction date",IF(NOT(ISNUMBER(C747)),"Invalid date",IF(OR(C747&lt;DATE(2000,1,1),C747&gt;DATE(2099,12,31)),"Invalid date",IF(D747="","Select a type",IF(U747="","Unknown type: "&amp;D747,IF(V747="","Select an account (Category)",IF(ISNA(MATCH(V747,coa_Name,0)),"Unknown account: "&amp;V747,IF(K747="","Select Paid From / Deposited To",IF(ISNA(MATCH(K747,coa_Name,0)),"Unknown account: "&amp;K747,IF(NOT(ISNUMBER(L747)),"Enter an amount",IF(L747=0,"Enter an amount",IF(ABS(W747)&gt;ABS(L747),"Tax is larger than the amount","")))))))))))))</f>
        <v/>
      </c>
      <c r="Y747" s="67">
        <f>IF(OR(T747=1,X747&lt;&gt;""),"",IF(AND(B747&lt;&gt;"",COUNTIF(tx_ID,B747)&gt;1),"Duplicate transaction ID",IF(AND(L747&lt;0,D747&lt;&gt;"Adjustment"),"Negative amount — check this entry",IF(AND(D747="Customer Payment",G747=""),"Add the customer",IF(AND(D747="Customer Payment",OR(J747="",COUNTIF(ar_No,J747&amp;"")=0)),"Invoice # in Reference not found on AR sheet",IF(AND(D747="Bill Payment",H747=""),"Add the vendor",IF(AND(D747="Bill Payment",OR(J747="",COUNTIFS(ap_No,J747&amp;"",ap_Party,H747&amp;"")=0)),"Bill # + vendor not found on AP sheet",IF(AND(ISNUMBER(M747),N(M747)&lt;&gt;0,W747=0),"Tax ignored (tax tracking off, or not allowed for this type)",IF(V747=K747&amp;"","Same account on both sides",IF(AND(ISNUMBER(StartDate),C747&lt;StartDate),"Date is before the accounting start date",IF(AND(D747&lt;&gt;"Adjustment",IFERROR(INDEX(coa_Pay,MATCH(K747&amp;"",coa_Name,0)),"")&lt;&gt;"Yes"),"Paid From / Deposited To is not a payment account","")))))))))))</f>
        <v/>
      </c>
      <c r="Z747" s="67">
        <f>IF(AND(T747=0,X747=""),1,0)</f>
        <v/>
      </c>
      <c r="AA747" s="68">
        <f>IF(Z747=1,IF(U747="In",L747,L747-W747),0)</f>
        <v/>
      </c>
      <c r="AB747" s="68">
        <f>IF(Z747=1,IF(U747="In",L747-W747,L747),0)</f>
        <v/>
      </c>
      <c r="AC747" s="68">
        <f>IF(AND(Z747=1,U747="Out"),W747,0)</f>
        <v/>
      </c>
      <c r="AD747" s="68">
        <f>IF(AND(Z747=1,U747="In"),W747,0)</f>
        <v/>
      </c>
    </row>
    <row r="748">
      <c r="B748" s="62" t="inlineStr">
        <is>
          <t>TX-0742</t>
        </is>
      </c>
      <c r="C748" s="63" t="n"/>
      <c r="D748" s="62" t="n"/>
      <c r="E748" s="62" t="n"/>
      <c r="F748" s="62" t="n"/>
      <c r="G748" s="62" t="n"/>
      <c r="H748" s="62" t="n"/>
      <c r="I748" s="62" t="n"/>
      <c r="J748" s="62" t="n"/>
      <c r="K748" s="62" t="n"/>
      <c r="L748" s="64" t="n"/>
      <c r="M748" s="64" t="n"/>
      <c r="N748" s="62" t="n"/>
      <c r="O748" s="65">
        <f>IF(Z748=1,L748-W748,"")</f>
        <v/>
      </c>
      <c r="P748" s="66">
        <f>IF(V748="","",IFERROR(INDEX(coa_Type,MATCH(V748,coa_Name,0)),""))</f>
        <v/>
      </c>
      <c r="Q748" s="66">
        <f>IF(Z748=1,IF(U748="In",K748&amp;"",V748),"")</f>
        <v/>
      </c>
      <c r="R748" s="66">
        <f>IF(Z748=1,IF(U748="In",V748,K748&amp;""),"")</f>
        <v/>
      </c>
      <c r="S748" s="66">
        <f>IF(X748&lt;&gt;"","⛔ "&amp;X748&amp;" — not posted",IF(Y748&lt;&gt;"","⚠ "&amp;Y748,IF(Z748=1,"✓ OK","")))</f>
        <v/>
      </c>
      <c r="T748" s="67">
        <f>IF(AND(C748="",D748="",E748="",L748="",K748=""),1,0)</f>
        <v/>
      </c>
      <c r="U748" s="67">
        <f>IFERROR(INDEX(tt_Dir,MATCH(D748,tt_Type,0)),"")</f>
        <v/>
      </c>
      <c r="V748" s="67">
        <f>IF(D748="","",IFERROR(IF(INDEX(tt_Other,MATCH(D748,tt_Type,0))="",E748&amp;"",INDEX(tt_Other,MATCH(D748,tt_Type,0))),""))</f>
        <v/>
      </c>
      <c r="W748" s="68">
        <f>IF(OR(TaxOn&lt;&gt;"Yes",NOT(ISNUMBER(M748))),0,IF(IFERROR(INDEX(tt_Tax,MATCH(D748,tt_Type,0)),"No")="Yes",M748,0))</f>
        <v/>
      </c>
      <c r="X748" s="67">
        <f>IF(T748=1,"",IF(C748="","Missing transaction date",IF(NOT(ISNUMBER(C748)),"Invalid date",IF(OR(C748&lt;DATE(2000,1,1),C748&gt;DATE(2099,12,31)),"Invalid date",IF(D748="","Select a type",IF(U748="","Unknown type: "&amp;D748,IF(V748="","Select an account (Category)",IF(ISNA(MATCH(V748,coa_Name,0)),"Unknown account: "&amp;V748,IF(K748="","Select Paid From / Deposited To",IF(ISNA(MATCH(K748,coa_Name,0)),"Unknown account: "&amp;K748,IF(NOT(ISNUMBER(L748)),"Enter an amount",IF(L748=0,"Enter an amount",IF(ABS(W748)&gt;ABS(L748),"Tax is larger than the amount","")))))))))))))</f>
        <v/>
      </c>
      <c r="Y748" s="67">
        <f>IF(OR(T748=1,X748&lt;&gt;""),"",IF(AND(B748&lt;&gt;"",COUNTIF(tx_ID,B748)&gt;1),"Duplicate transaction ID",IF(AND(L748&lt;0,D748&lt;&gt;"Adjustment"),"Negative amount — check this entry",IF(AND(D748="Customer Payment",G748=""),"Add the customer",IF(AND(D748="Customer Payment",OR(J748="",COUNTIF(ar_No,J748&amp;"")=0)),"Invoice # in Reference not found on AR sheet",IF(AND(D748="Bill Payment",H748=""),"Add the vendor",IF(AND(D748="Bill Payment",OR(J748="",COUNTIFS(ap_No,J748&amp;"",ap_Party,H748&amp;"")=0)),"Bill # + vendor not found on AP sheet",IF(AND(ISNUMBER(M748),N(M748)&lt;&gt;0,W748=0),"Tax ignored (tax tracking off, or not allowed for this type)",IF(V748=K748&amp;"","Same account on both sides",IF(AND(ISNUMBER(StartDate),C748&lt;StartDate),"Date is before the accounting start date",IF(AND(D748&lt;&gt;"Adjustment",IFERROR(INDEX(coa_Pay,MATCH(K748&amp;"",coa_Name,0)),"")&lt;&gt;"Yes"),"Paid From / Deposited To is not a payment account","")))))))))))</f>
        <v/>
      </c>
      <c r="Z748" s="67">
        <f>IF(AND(T748=0,X748=""),1,0)</f>
        <v/>
      </c>
      <c r="AA748" s="68">
        <f>IF(Z748=1,IF(U748="In",L748,L748-W748),0)</f>
        <v/>
      </c>
      <c r="AB748" s="68">
        <f>IF(Z748=1,IF(U748="In",L748-W748,L748),0)</f>
        <v/>
      </c>
      <c r="AC748" s="68">
        <f>IF(AND(Z748=1,U748="Out"),W748,0)</f>
        <v/>
      </c>
      <c r="AD748" s="68">
        <f>IF(AND(Z748=1,U748="In"),W748,0)</f>
        <v/>
      </c>
    </row>
    <row r="749">
      <c r="B749" s="62" t="inlineStr">
        <is>
          <t>TX-0743</t>
        </is>
      </c>
      <c r="C749" s="63" t="n"/>
      <c r="D749" s="62" t="n"/>
      <c r="E749" s="62" t="n"/>
      <c r="F749" s="62" t="n"/>
      <c r="G749" s="62" t="n"/>
      <c r="H749" s="62" t="n"/>
      <c r="I749" s="62" t="n"/>
      <c r="J749" s="62" t="n"/>
      <c r="K749" s="62" t="n"/>
      <c r="L749" s="64" t="n"/>
      <c r="M749" s="64" t="n"/>
      <c r="N749" s="62" t="n"/>
      <c r="O749" s="65">
        <f>IF(Z749=1,L749-W749,"")</f>
        <v/>
      </c>
      <c r="P749" s="66">
        <f>IF(V749="","",IFERROR(INDEX(coa_Type,MATCH(V749,coa_Name,0)),""))</f>
        <v/>
      </c>
      <c r="Q749" s="66">
        <f>IF(Z749=1,IF(U749="In",K749&amp;"",V749),"")</f>
        <v/>
      </c>
      <c r="R749" s="66">
        <f>IF(Z749=1,IF(U749="In",V749,K749&amp;""),"")</f>
        <v/>
      </c>
      <c r="S749" s="66">
        <f>IF(X749&lt;&gt;"","⛔ "&amp;X749&amp;" — not posted",IF(Y749&lt;&gt;"","⚠ "&amp;Y749,IF(Z749=1,"✓ OK","")))</f>
        <v/>
      </c>
      <c r="T749" s="67">
        <f>IF(AND(C749="",D749="",E749="",L749="",K749=""),1,0)</f>
        <v/>
      </c>
      <c r="U749" s="67">
        <f>IFERROR(INDEX(tt_Dir,MATCH(D749,tt_Type,0)),"")</f>
        <v/>
      </c>
      <c r="V749" s="67">
        <f>IF(D749="","",IFERROR(IF(INDEX(tt_Other,MATCH(D749,tt_Type,0))="",E749&amp;"",INDEX(tt_Other,MATCH(D749,tt_Type,0))),""))</f>
        <v/>
      </c>
      <c r="W749" s="68">
        <f>IF(OR(TaxOn&lt;&gt;"Yes",NOT(ISNUMBER(M749))),0,IF(IFERROR(INDEX(tt_Tax,MATCH(D749,tt_Type,0)),"No")="Yes",M749,0))</f>
        <v/>
      </c>
      <c r="X749" s="67">
        <f>IF(T749=1,"",IF(C749="","Missing transaction date",IF(NOT(ISNUMBER(C749)),"Invalid date",IF(OR(C749&lt;DATE(2000,1,1),C749&gt;DATE(2099,12,31)),"Invalid date",IF(D749="","Select a type",IF(U749="","Unknown type: "&amp;D749,IF(V749="","Select an account (Category)",IF(ISNA(MATCH(V749,coa_Name,0)),"Unknown account: "&amp;V749,IF(K749="","Select Paid From / Deposited To",IF(ISNA(MATCH(K749,coa_Name,0)),"Unknown account: "&amp;K749,IF(NOT(ISNUMBER(L749)),"Enter an amount",IF(L749=0,"Enter an amount",IF(ABS(W749)&gt;ABS(L749),"Tax is larger than the amount","")))))))))))))</f>
        <v/>
      </c>
      <c r="Y749" s="67">
        <f>IF(OR(T749=1,X749&lt;&gt;""),"",IF(AND(B749&lt;&gt;"",COUNTIF(tx_ID,B749)&gt;1),"Duplicate transaction ID",IF(AND(L749&lt;0,D749&lt;&gt;"Adjustment"),"Negative amount — check this entry",IF(AND(D749="Customer Payment",G749=""),"Add the customer",IF(AND(D749="Customer Payment",OR(J749="",COUNTIF(ar_No,J749&amp;"")=0)),"Invoice # in Reference not found on AR sheet",IF(AND(D749="Bill Payment",H749=""),"Add the vendor",IF(AND(D749="Bill Payment",OR(J749="",COUNTIFS(ap_No,J749&amp;"",ap_Party,H749&amp;"")=0)),"Bill # + vendor not found on AP sheet",IF(AND(ISNUMBER(M749),N(M749)&lt;&gt;0,W749=0),"Tax ignored (tax tracking off, or not allowed for this type)",IF(V749=K749&amp;"","Same account on both sides",IF(AND(ISNUMBER(StartDate),C749&lt;StartDate),"Date is before the accounting start date",IF(AND(D749&lt;&gt;"Adjustment",IFERROR(INDEX(coa_Pay,MATCH(K749&amp;"",coa_Name,0)),"")&lt;&gt;"Yes"),"Paid From / Deposited To is not a payment account","")))))))))))</f>
        <v/>
      </c>
      <c r="Z749" s="67">
        <f>IF(AND(T749=0,X749=""),1,0)</f>
        <v/>
      </c>
      <c r="AA749" s="68">
        <f>IF(Z749=1,IF(U749="In",L749,L749-W749),0)</f>
        <v/>
      </c>
      <c r="AB749" s="68">
        <f>IF(Z749=1,IF(U749="In",L749-W749,L749),0)</f>
        <v/>
      </c>
      <c r="AC749" s="68">
        <f>IF(AND(Z749=1,U749="Out"),W749,0)</f>
        <v/>
      </c>
      <c r="AD749" s="68">
        <f>IF(AND(Z749=1,U749="In"),W749,0)</f>
        <v/>
      </c>
    </row>
    <row r="750">
      <c r="B750" s="62" t="inlineStr">
        <is>
          <t>TX-0744</t>
        </is>
      </c>
      <c r="C750" s="63" t="n"/>
      <c r="D750" s="62" t="n"/>
      <c r="E750" s="62" t="n"/>
      <c r="F750" s="62" t="n"/>
      <c r="G750" s="62" t="n"/>
      <c r="H750" s="62" t="n"/>
      <c r="I750" s="62" t="n"/>
      <c r="J750" s="62" t="n"/>
      <c r="K750" s="62" t="n"/>
      <c r="L750" s="64" t="n"/>
      <c r="M750" s="64" t="n"/>
      <c r="N750" s="62" t="n"/>
      <c r="O750" s="65">
        <f>IF(Z750=1,L750-W750,"")</f>
        <v/>
      </c>
      <c r="P750" s="66">
        <f>IF(V750="","",IFERROR(INDEX(coa_Type,MATCH(V750,coa_Name,0)),""))</f>
        <v/>
      </c>
      <c r="Q750" s="66">
        <f>IF(Z750=1,IF(U750="In",K750&amp;"",V750),"")</f>
        <v/>
      </c>
      <c r="R750" s="66">
        <f>IF(Z750=1,IF(U750="In",V750,K750&amp;""),"")</f>
        <v/>
      </c>
      <c r="S750" s="66">
        <f>IF(X750&lt;&gt;"","⛔ "&amp;X750&amp;" — not posted",IF(Y750&lt;&gt;"","⚠ "&amp;Y750,IF(Z750=1,"✓ OK","")))</f>
        <v/>
      </c>
      <c r="T750" s="67">
        <f>IF(AND(C750="",D750="",E750="",L750="",K750=""),1,0)</f>
        <v/>
      </c>
      <c r="U750" s="67">
        <f>IFERROR(INDEX(tt_Dir,MATCH(D750,tt_Type,0)),"")</f>
        <v/>
      </c>
      <c r="V750" s="67">
        <f>IF(D750="","",IFERROR(IF(INDEX(tt_Other,MATCH(D750,tt_Type,0))="",E750&amp;"",INDEX(tt_Other,MATCH(D750,tt_Type,0))),""))</f>
        <v/>
      </c>
      <c r="W750" s="68">
        <f>IF(OR(TaxOn&lt;&gt;"Yes",NOT(ISNUMBER(M750))),0,IF(IFERROR(INDEX(tt_Tax,MATCH(D750,tt_Type,0)),"No")="Yes",M750,0))</f>
        <v/>
      </c>
      <c r="X750" s="67">
        <f>IF(T750=1,"",IF(C750="","Missing transaction date",IF(NOT(ISNUMBER(C750)),"Invalid date",IF(OR(C750&lt;DATE(2000,1,1),C750&gt;DATE(2099,12,31)),"Invalid date",IF(D750="","Select a type",IF(U750="","Unknown type: "&amp;D750,IF(V750="","Select an account (Category)",IF(ISNA(MATCH(V750,coa_Name,0)),"Unknown account: "&amp;V750,IF(K750="","Select Paid From / Deposited To",IF(ISNA(MATCH(K750,coa_Name,0)),"Unknown account: "&amp;K750,IF(NOT(ISNUMBER(L750)),"Enter an amount",IF(L750=0,"Enter an amount",IF(ABS(W750)&gt;ABS(L750),"Tax is larger than the amount","")))))))))))))</f>
        <v/>
      </c>
      <c r="Y750" s="67">
        <f>IF(OR(T750=1,X750&lt;&gt;""),"",IF(AND(B750&lt;&gt;"",COUNTIF(tx_ID,B750)&gt;1),"Duplicate transaction ID",IF(AND(L750&lt;0,D750&lt;&gt;"Adjustment"),"Negative amount — check this entry",IF(AND(D750="Customer Payment",G750=""),"Add the customer",IF(AND(D750="Customer Payment",OR(J750="",COUNTIF(ar_No,J750&amp;"")=0)),"Invoice # in Reference not found on AR sheet",IF(AND(D750="Bill Payment",H750=""),"Add the vendor",IF(AND(D750="Bill Payment",OR(J750="",COUNTIFS(ap_No,J750&amp;"",ap_Party,H750&amp;"")=0)),"Bill # + vendor not found on AP sheet",IF(AND(ISNUMBER(M750),N(M750)&lt;&gt;0,W750=0),"Tax ignored (tax tracking off, or not allowed for this type)",IF(V750=K750&amp;"","Same account on both sides",IF(AND(ISNUMBER(StartDate),C750&lt;StartDate),"Date is before the accounting start date",IF(AND(D750&lt;&gt;"Adjustment",IFERROR(INDEX(coa_Pay,MATCH(K750&amp;"",coa_Name,0)),"")&lt;&gt;"Yes"),"Paid From / Deposited To is not a payment account","")))))))))))</f>
        <v/>
      </c>
      <c r="Z750" s="67">
        <f>IF(AND(T750=0,X750=""),1,0)</f>
        <v/>
      </c>
      <c r="AA750" s="68">
        <f>IF(Z750=1,IF(U750="In",L750,L750-W750),0)</f>
        <v/>
      </c>
      <c r="AB750" s="68">
        <f>IF(Z750=1,IF(U750="In",L750-W750,L750),0)</f>
        <v/>
      </c>
      <c r="AC750" s="68">
        <f>IF(AND(Z750=1,U750="Out"),W750,0)</f>
        <v/>
      </c>
      <c r="AD750" s="68">
        <f>IF(AND(Z750=1,U750="In"),W750,0)</f>
        <v/>
      </c>
    </row>
    <row r="751">
      <c r="B751" s="62" t="inlineStr">
        <is>
          <t>TX-0745</t>
        </is>
      </c>
      <c r="C751" s="63" t="n"/>
      <c r="D751" s="62" t="n"/>
      <c r="E751" s="62" t="n"/>
      <c r="F751" s="62" t="n"/>
      <c r="G751" s="62" t="n"/>
      <c r="H751" s="62" t="n"/>
      <c r="I751" s="62" t="n"/>
      <c r="J751" s="62" t="n"/>
      <c r="K751" s="62" t="n"/>
      <c r="L751" s="64" t="n"/>
      <c r="M751" s="64" t="n"/>
      <c r="N751" s="62" t="n"/>
      <c r="O751" s="65">
        <f>IF(Z751=1,L751-W751,"")</f>
        <v/>
      </c>
      <c r="P751" s="66">
        <f>IF(V751="","",IFERROR(INDEX(coa_Type,MATCH(V751,coa_Name,0)),""))</f>
        <v/>
      </c>
      <c r="Q751" s="66">
        <f>IF(Z751=1,IF(U751="In",K751&amp;"",V751),"")</f>
        <v/>
      </c>
      <c r="R751" s="66">
        <f>IF(Z751=1,IF(U751="In",V751,K751&amp;""),"")</f>
        <v/>
      </c>
      <c r="S751" s="66">
        <f>IF(X751&lt;&gt;"","⛔ "&amp;X751&amp;" — not posted",IF(Y751&lt;&gt;"","⚠ "&amp;Y751,IF(Z751=1,"✓ OK","")))</f>
        <v/>
      </c>
      <c r="T751" s="67">
        <f>IF(AND(C751="",D751="",E751="",L751="",K751=""),1,0)</f>
        <v/>
      </c>
      <c r="U751" s="67">
        <f>IFERROR(INDEX(tt_Dir,MATCH(D751,tt_Type,0)),"")</f>
        <v/>
      </c>
      <c r="V751" s="67">
        <f>IF(D751="","",IFERROR(IF(INDEX(tt_Other,MATCH(D751,tt_Type,0))="",E751&amp;"",INDEX(tt_Other,MATCH(D751,tt_Type,0))),""))</f>
        <v/>
      </c>
      <c r="W751" s="68">
        <f>IF(OR(TaxOn&lt;&gt;"Yes",NOT(ISNUMBER(M751))),0,IF(IFERROR(INDEX(tt_Tax,MATCH(D751,tt_Type,0)),"No")="Yes",M751,0))</f>
        <v/>
      </c>
      <c r="X751" s="67">
        <f>IF(T751=1,"",IF(C751="","Missing transaction date",IF(NOT(ISNUMBER(C751)),"Invalid date",IF(OR(C751&lt;DATE(2000,1,1),C751&gt;DATE(2099,12,31)),"Invalid date",IF(D751="","Select a type",IF(U751="","Unknown type: "&amp;D751,IF(V751="","Select an account (Category)",IF(ISNA(MATCH(V751,coa_Name,0)),"Unknown account: "&amp;V751,IF(K751="","Select Paid From / Deposited To",IF(ISNA(MATCH(K751,coa_Name,0)),"Unknown account: "&amp;K751,IF(NOT(ISNUMBER(L751)),"Enter an amount",IF(L751=0,"Enter an amount",IF(ABS(W751)&gt;ABS(L751),"Tax is larger than the amount","")))))))))))))</f>
        <v/>
      </c>
      <c r="Y751" s="67">
        <f>IF(OR(T751=1,X751&lt;&gt;""),"",IF(AND(B751&lt;&gt;"",COUNTIF(tx_ID,B751)&gt;1),"Duplicate transaction ID",IF(AND(L751&lt;0,D751&lt;&gt;"Adjustment"),"Negative amount — check this entry",IF(AND(D751="Customer Payment",G751=""),"Add the customer",IF(AND(D751="Customer Payment",OR(J751="",COUNTIF(ar_No,J751&amp;"")=0)),"Invoice # in Reference not found on AR sheet",IF(AND(D751="Bill Payment",H751=""),"Add the vendor",IF(AND(D751="Bill Payment",OR(J751="",COUNTIFS(ap_No,J751&amp;"",ap_Party,H751&amp;"")=0)),"Bill # + vendor not found on AP sheet",IF(AND(ISNUMBER(M751),N(M751)&lt;&gt;0,W751=0),"Tax ignored (tax tracking off, or not allowed for this type)",IF(V751=K751&amp;"","Same account on both sides",IF(AND(ISNUMBER(StartDate),C751&lt;StartDate),"Date is before the accounting start date",IF(AND(D751&lt;&gt;"Adjustment",IFERROR(INDEX(coa_Pay,MATCH(K751&amp;"",coa_Name,0)),"")&lt;&gt;"Yes"),"Paid From / Deposited To is not a payment account","")))))))))))</f>
        <v/>
      </c>
      <c r="Z751" s="67">
        <f>IF(AND(T751=0,X751=""),1,0)</f>
        <v/>
      </c>
      <c r="AA751" s="68">
        <f>IF(Z751=1,IF(U751="In",L751,L751-W751),0)</f>
        <v/>
      </c>
      <c r="AB751" s="68">
        <f>IF(Z751=1,IF(U751="In",L751-W751,L751),0)</f>
        <v/>
      </c>
      <c r="AC751" s="68">
        <f>IF(AND(Z751=1,U751="Out"),W751,0)</f>
        <v/>
      </c>
      <c r="AD751" s="68">
        <f>IF(AND(Z751=1,U751="In"),W751,0)</f>
        <v/>
      </c>
    </row>
    <row r="752">
      <c r="B752" s="62" t="inlineStr">
        <is>
          <t>TX-0746</t>
        </is>
      </c>
      <c r="C752" s="63" t="n"/>
      <c r="D752" s="62" t="n"/>
      <c r="E752" s="62" t="n"/>
      <c r="F752" s="62" t="n"/>
      <c r="G752" s="62" t="n"/>
      <c r="H752" s="62" t="n"/>
      <c r="I752" s="62" t="n"/>
      <c r="J752" s="62" t="n"/>
      <c r="K752" s="62" t="n"/>
      <c r="L752" s="64" t="n"/>
      <c r="M752" s="64" t="n"/>
      <c r="N752" s="62" t="n"/>
      <c r="O752" s="65">
        <f>IF(Z752=1,L752-W752,"")</f>
        <v/>
      </c>
      <c r="P752" s="66">
        <f>IF(V752="","",IFERROR(INDEX(coa_Type,MATCH(V752,coa_Name,0)),""))</f>
        <v/>
      </c>
      <c r="Q752" s="66">
        <f>IF(Z752=1,IF(U752="In",K752&amp;"",V752),"")</f>
        <v/>
      </c>
      <c r="R752" s="66">
        <f>IF(Z752=1,IF(U752="In",V752,K752&amp;""),"")</f>
        <v/>
      </c>
      <c r="S752" s="66">
        <f>IF(X752&lt;&gt;"","⛔ "&amp;X752&amp;" — not posted",IF(Y752&lt;&gt;"","⚠ "&amp;Y752,IF(Z752=1,"✓ OK","")))</f>
        <v/>
      </c>
      <c r="T752" s="67">
        <f>IF(AND(C752="",D752="",E752="",L752="",K752=""),1,0)</f>
        <v/>
      </c>
      <c r="U752" s="67">
        <f>IFERROR(INDEX(tt_Dir,MATCH(D752,tt_Type,0)),"")</f>
        <v/>
      </c>
      <c r="V752" s="67">
        <f>IF(D752="","",IFERROR(IF(INDEX(tt_Other,MATCH(D752,tt_Type,0))="",E752&amp;"",INDEX(tt_Other,MATCH(D752,tt_Type,0))),""))</f>
        <v/>
      </c>
      <c r="W752" s="68">
        <f>IF(OR(TaxOn&lt;&gt;"Yes",NOT(ISNUMBER(M752))),0,IF(IFERROR(INDEX(tt_Tax,MATCH(D752,tt_Type,0)),"No")="Yes",M752,0))</f>
        <v/>
      </c>
      <c r="X752" s="67">
        <f>IF(T752=1,"",IF(C752="","Missing transaction date",IF(NOT(ISNUMBER(C752)),"Invalid date",IF(OR(C752&lt;DATE(2000,1,1),C752&gt;DATE(2099,12,31)),"Invalid date",IF(D752="","Select a type",IF(U752="","Unknown type: "&amp;D752,IF(V752="","Select an account (Category)",IF(ISNA(MATCH(V752,coa_Name,0)),"Unknown account: "&amp;V752,IF(K752="","Select Paid From / Deposited To",IF(ISNA(MATCH(K752,coa_Name,0)),"Unknown account: "&amp;K752,IF(NOT(ISNUMBER(L752)),"Enter an amount",IF(L752=0,"Enter an amount",IF(ABS(W752)&gt;ABS(L752),"Tax is larger than the amount","")))))))))))))</f>
        <v/>
      </c>
      <c r="Y752" s="67">
        <f>IF(OR(T752=1,X752&lt;&gt;""),"",IF(AND(B752&lt;&gt;"",COUNTIF(tx_ID,B752)&gt;1),"Duplicate transaction ID",IF(AND(L752&lt;0,D752&lt;&gt;"Adjustment"),"Negative amount — check this entry",IF(AND(D752="Customer Payment",G752=""),"Add the customer",IF(AND(D752="Customer Payment",OR(J752="",COUNTIF(ar_No,J752&amp;"")=0)),"Invoice # in Reference not found on AR sheet",IF(AND(D752="Bill Payment",H752=""),"Add the vendor",IF(AND(D752="Bill Payment",OR(J752="",COUNTIFS(ap_No,J752&amp;"",ap_Party,H752&amp;"")=0)),"Bill # + vendor not found on AP sheet",IF(AND(ISNUMBER(M752),N(M752)&lt;&gt;0,W752=0),"Tax ignored (tax tracking off, or not allowed for this type)",IF(V752=K752&amp;"","Same account on both sides",IF(AND(ISNUMBER(StartDate),C752&lt;StartDate),"Date is before the accounting start date",IF(AND(D752&lt;&gt;"Adjustment",IFERROR(INDEX(coa_Pay,MATCH(K752&amp;"",coa_Name,0)),"")&lt;&gt;"Yes"),"Paid From / Deposited To is not a payment account","")))))))))))</f>
        <v/>
      </c>
      <c r="Z752" s="67">
        <f>IF(AND(T752=0,X752=""),1,0)</f>
        <v/>
      </c>
      <c r="AA752" s="68">
        <f>IF(Z752=1,IF(U752="In",L752,L752-W752),0)</f>
        <v/>
      </c>
      <c r="AB752" s="68">
        <f>IF(Z752=1,IF(U752="In",L752-W752,L752),0)</f>
        <v/>
      </c>
      <c r="AC752" s="68">
        <f>IF(AND(Z752=1,U752="Out"),W752,0)</f>
        <v/>
      </c>
      <c r="AD752" s="68">
        <f>IF(AND(Z752=1,U752="In"),W752,0)</f>
        <v/>
      </c>
    </row>
    <row r="753">
      <c r="B753" s="62" t="inlineStr">
        <is>
          <t>TX-0747</t>
        </is>
      </c>
      <c r="C753" s="63" t="n"/>
      <c r="D753" s="62" t="n"/>
      <c r="E753" s="62" t="n"/>
      <c r="F753" s="62" t="n"/>
      <c r="G753" s="62" t="n"/>
      <c r="H753" s="62" t="n"/>
      <c r="I753" s="62" t="n"/>
      <c r="J753" s="62" t="n"/>
      <c r="K753" s="62" t="n"/>
      <c r="L753" s="64" t="n"/>
      <c r="M753" s="64" t="n"/>
      <c r="N753" s="62" t="n"/>
      <c r="O753" s="65">
        <f>IF(Z753=1,L753-W753,"")</f>
        <v/>
      </c>
      <c r="P753" s="66">
        <f>IF(V753="","",IFERROR(INDEX(coa_Type,MATCH(V753,coa_Name,0)),""))</f>
        <v/>
      </c>
      <c r="Q753" s="66">
        <f>IF(Z753=1,IF(U753="In",K753&amp;"",V753),"")</f>
        <v/>
      </c>
      <c r="R753" s="66">
        <f>IF(Z753=1,IF(U753="In",V753,K753&amp;""),"")</f>
        <v/>
      </c>
      <c r="S753" s="66">
        <f>IF(X753&lt;&gt;"","⛔ "&amp;X753&amp;" — not posted",IF(Y753&lt;&gt;"","⚠ "&amp;Y753,IF(Z753=1,"✓ OK","")))</f>
        <v/>
      </c>
      <c r="T753" s="67">
        <f>IF(AND(C753="",D753="",E753="",L753="",K753=""),1,0)</f>
        <v/>
      </c>
      <c r="U753" s="67">
        <f>IFERROR(INDEX(tt_Dir,MATCH(D753,tt_Type,0)),"")</f>
        <v/>
      </c>
      <c r="V753" s="67">
        <f>IF(D753="","",IFERROR(IF(INDEX(tt_Other,MATCH(D753,tt_Type,0))="",E753&amp;"",INDEX(tt_Other,MATCH(D753,tt_Type,0))),""))</f>
        <v/>
      </c>
      <c r="W753" s="68">
        <f>IF(OR(TaxOn&lt;&gt;"Yes",NOT(ISNUMBER(M753))),0,IF(IFERROR(INDEX(tt_Tax,MATCH(D753,tt_Type,0)),"No")="Yes",M753,0))</f>
        <v/>
      </c>
      <c r="X753" s="67">
        <f>IF(T753=1,"",IF(C753="","Missing transaction date",IF(NOT(ISNUMBER(C753)),"Invalid date",IF(OR(C753&lt;DATE(2000,1,1),C753&gt;DATE(2099,12,31)),"Invalid date",IF(D753="","Select a type",IF(U753="","Unknown type: "&amp;D753,IF(V753="","Select an account (Category)",IF(ISNA(MATCH(V753,coa_Name,0)),"Unknown account: "&amp;V753,IF(K753="","Select Paid From / Deposited To",IF(ISNA(MATCH(K753,coa_Name,0)),"Unknown account: "&amp;K753,IF(NOT(ISNUMBER(L753)),"Enter an amount",IF(L753=0,"Enter an amount",IF(ABS(W753)&gt;ABS(L753),"Tax is larger than the amount","")))))))))))))</f>
        <v/>
      </c>
      <c r="Y753" s="67">
        <f>IF(OR(T753=1,X753&lt;&gt;""),"",IF(AND(B753&lt;&gt;"",COUNTIF(tx_ID,B753)&gt;1),"Duplicate transaction ID",IF(AND(L753&lt;0,D753&lt;&gt;"Adjustment"),"Negative amount — check this entry",IF(AND(D753="Customer Payment",G753=""),"Add the customer",IF(AND(D753="Customer Payment",OR(J753="",COUNTIF(ar_No,J753&amp;"")=0)),"Invoice # in Reference not found on AR sheet",IF(AND(D753="Bill Payment",H753=""),"Add the vendor",IF(AND(D753="Bill Payment",OR(J753="",COUNTIFS(ap_No,J753&amp;"",ap_Party,H753&amp;"")=0)),"Bill # + vendor not found on AP sheet",IF(AND(ISNUMBER(M753),N(M753)&lt;&gt;0,W753=0),"Tax ignored (tax tracking off, or not allowed for this type)",IF(V753=K753&amp;"","Same account on both sides",IF(AND(ISNUMBER(StartDate),C753&lt;StartDate),"Date is before the accounting start date",IF(AND(D753&lt;&gt;"Adjustment",IFERROR(INDEX(coa_Pay,MATCH(K753&amp;"",coa_Name,0)),"")&lt;&gt;"Yes"),"Paid From / Deposited To is not a payment account","")))))))))))</f>
        <v/>
      </c>
      <c r="Z753" s="67">
        <f>IF(AND(T753=0,X753=""),1,0)</f>
        <v/>
      </c>
      <c r="AA753" s="68">
        <f>IF(Z753=1,IF(U753="In",L753,L753-W753),0)</f>
        <v/>
      </c>
      <c r="AB753" s="68">
        <f>IF(Z753=1,IF(U753="In",L753-W753,L753),0)</f>
        <v/>
      </c>
      <c r="AC753" s="68">
        <f>IF(AND(Z753=1,U753="Out"),W753,0)</f>
        <v/>
      </c>
      <c r="AD753" s="68">
        <f>IF(AND(Z753=1,U753="In"),W753,0)</f>
        <v/>
      </c>
    </row>
    <row r="754">
      <c r="B754" s="62" t="inlineStr">
        <is>
          <t>TX-0748</t>
        </is>
      </c>
      <c r="C754" s="63" t="n"/>
      <c r="D754" s="62" t="n"/>
      <c r="E754" s="62" t="n"/>
      <c r="F754" s="62" t="n"/>
      <c r="G754" s="62" t="n"/>
      <c r="H754" s="62" t="n"/>
      <c r="I754" s="62" t="n"/>
      <c r="J754" s="62" t="n"/>
      <c r="K754" s="62" t="n"/>
      <c r="L754" s="64" t="n"/>
      <c r="M754" s="64" t="n"/>
      <c r="N754" s="62" t="n"/>
      <c r="O754" s="65">
        <f>IF(Z754=1,L754-W754,"")</f>
        <v/>
      </c>
      <c r="P754" s="66">
        <f>IF(V754="","",IFERROR(INDEX(coa_Type,MATCH(V754,coa_Name,0)),""))</f>
        <v/>
      </c>
      <c r="Q754" s="66">
        <f>IF(Z754=1,IF(U754="In",K754&amp;"",V754),"")</f>
        <v/>
      </c>
      <c r="R754" s="66">
        <f>IF(Z754=1,IF(U754="In",V754,K754&amp;""),"")</f>
        <v/>
      </c>
      <c r="S754" s="66">
        <f>IF(X754&lt;&gt;"","⛔ "&amp;X754&amp;" — not posted",IF(Y754&lt;&gt;"","⚠ "&amp;Y754,IF(Z754=1,"✓ OK","")))</f>
        <v/>
      </c>
      <c r="T754" s="67">
        <f>IF(AND(C754="",D754="",E754="",L754="",K754=""),1,0)</f>
        <v/>
      </c>
      <c r="U754" s="67">
        <f>IFERROR(INDEX(tt_Dir,MATCH(D754,tt_Type,0)),"")</f>
        <v/>
      </c>
      <c r="V754" s="67">
        <f>IF(D754="","",IFERROR(IF(INDEX(tt_Other,MATCH(D754,tt_Type,0))="",E754&amp;"",INDEX(tt_Other,MATCH(D754,tt_Type,0))),""))</f>
        <v/>
      </c>
      <c r="W754" s="68">
        <f>IF(OR(TaxOn&lt;&gt;"Yes",NOT(ISNUMBER(M754))),0,IF(IFERROR(INDEX(tt_Tax,MATCH(D754,tt_Type,0)),"No")="Yes",M754,0))</f>
        <v/>
      </c>
      <c r="X754" s="67">
        <f>IF(T754=1,"",IF(C754="","Missing transaction date",IF(NOT(ISNUMBER(C754)),"Invalid date",IF(OR(C754&lt;DATE(2000,1,1),C754&gt;DATE(2099,12,31)),"Invalid date",IF(D754="","Select a type",IF(U754="","Unknown type: "&amp;D754,IF(V754="","Select an account (Category)",IF(ISNA(MATCH(V754,coa_Name,0)),"Unknown account: "&amp;V754,IF(K754="","Select Paid From / Deposited To",IF(ISNA(MATCH(K754,coa_Name,0)),"Unknown account: "&amp;K754,IF(NOT(ISNUMBER(L754)),"Enter an amount",IF(L754=0,"Enter an amount",IF(ABS(W754)&gt;ABS(L754),"Tax is larger than the amount","")))))))))))))</f>
        <v/>
      </c>
      <c r="Y754" s="67">
        <f>IF(OR(T754=1,X754&lt;&gt;""),"",IF(AND(B754&lt;&gt;"",COUNTIF(tx_ID,B754)&gt;1),"Duplicate transaction ID",IF(AND(L754&lt;0,D754&lt;&gt;"Adjustment"),"Negative amount — check this entry",IF(AND(D754="Customer Payment",G754=""),"Add the customer",IF(AND(D754="Customer Payment",OR(J754="",COUNTIF(ar_No,J754&amp;"")=0)),"Invoice # in Reference not found on AR sheet",IF(AND(D754="Bill Payment",H754=""),"Add the vendor",IF(AND(D754="Bill Payment",OR(J754="",COUNTIFS(ap_No,J754&amp;"",ap_Party,H754&amp;"")=0)),"Bill # + vendor not found on AP sheet",IF(AND(ISNUMBER(M754),N(M754)&lt;&gt;0,W754=0),"Tax ignored (tax tracking off, or not allowed for this type)",IF(V754=K754&amp;"","Same account on both sides",IF(AND(ISNUMBER(StartDate),C754&lt;StartDate),"Date is before the accounting start date",IF(AND(D754&lt;&gt;"Adjustment",IFERROR(INDEX(coa_Pay,MATCH(K754&amp;"",coa_Name,0)),"")&lt;&gt;"Yes"),"Paid From / Deposited To is not a payment account","")))))))))))</f>
        <v/>
      </c>
      <c r="Z754" s="67">
        <f>IF(AND(T754=0,X754=""),1,0)</f>
        <v/>
      </c>
      <c r="AA754" s="68">
        <f>IF(Z754=1,IF(U754="In",L754,L754-W754),0)</f>
        <v/>
      </c>
      <c r="AB754" s="68">
        <f>IF(Z754=1,IF(U754="In",L754-W754,L754),0)</f>
        <v/>
      </c>
      <c r="AC754" s="68">
        <f>IF(AND(Z754=1,U754="Out"),W754,0)</f>
        <v/>
      </c>
      <c r="AD754" s="68">
        <f>IF(AND(Z754=1,U754="In"),W754,0)</f>
        <v/>
      </c>
    </row>
    <row r="755">
      <c r="B755" s="62" t="inlineStr">
        <is>
          <t>TX-0749</t>
        </is>
      </c>
      <c r="C755" s="63" t="n"/>
      <c r="D755" s="62" t="n"/>
      <c r="E755" s="62" t="n"/>
      <c r="F755" s="62" t="n"/>
      <c r="G755" s="62" t="n"/>
      <c r="H755" s="62" t="n"/>
      <c r="I755" s="62" t="n"/>
      <c r="J755" s="62" t="n"/>
      <c r="K755" s="62" t="n"/>
      <c r="L755" s="64" t="n"/>
      <c r="M755" s="64" t="n"/>
      <c r="N755" s="62" t="n"/>
      <c r="O755" s="65">
        <f>IF(Z755=1,L755-W755,"")</f>
        <v/>
      </c>
      <c r="P755" s="66">
        <f>IF(V755="","",IFERROR(INDEX(coa_Type,MATCH(V755,coa_Name,0)),""))</f>
        <v/>
      </c>
      <c r="Q755" s="66">
        <f>IF(Z755=1,IF(U755="In",K755&amp;"",V755),"")</f>
        <v/>
      </c>
      <c r="R755" s="66">
        <f>IF(Z755=1,IF(U755="In",V755,K755&amp;""),"")</f>
        <v/>
      </c>
      <c r="S755" s="66">
        <f>IF(X755&lt;&gt;"","⛔ "&amp;X755&amp;" — not posted",IF(Y755&lt;&gt;"","⚠ "&amp;Y755,IF(Z755=1,"✓ OK","")))</f>
        <v/>
      </c>
      <c r="T755" s="67">
        <f>IF(AND(C755="",D755="",E755="",L755="",K755=""),1,0)</f>
        <v/>
      </c>
      <c r="U755" s="67">
        <f>IFERROR(INDEX(tt_Dir,MATCH(D755,tt_Type,0)),"")</f>
        <v/>
      </c>
      <c r="V755" s="67">
        <f>IF(D755="","",IFERROR(IF(INDEX(tt_Other,MATCH(D755,tt_Type,0))="",E755&amp;"",INDEX(tt_Other,MATCH(D755,tt_Type,0))),""))</f>
        <v/>
      </c>
      <c r="W755" s="68">
        <f>IF(OR(TaxOn&lt;&gt;"Yes",NOT(ISNUMBER(M755))),0,IF(IFERROR(INDEX(tt_Tax,MATCH(D755,tt_Type,0)),"No")="Yes",M755,0))</f>
        <v/>
      </c>
      <c r="X755" s="67">
        <f>IF(T755=1,"",IF(C755="","Missing transaction date",IF(NOT(ISNUMBER(C755)),"Invalid date",IF(OR(C755&lt;DATE(2000,1,1),C755&gt;DATE(2099,12,31)),"Invalid date",IF(D755="","Select a type",IF(U755="","Unknown type: "&amp;D755,IF(V755="","Select an account (Category)",IF(ISNA(MATCH(V755,coa_Name,0)),"Unknown account: "&amp;V755,IF(K755="","Select Paid From / Deposited To",IF(ISNA(MATCH(K755,coa_Name,0)),"Unknown account: "&amp;K755,IF(NOT(ISNUMBER(L755)),"Enter an amount",IF(L755=0,"Enter an amount",IF(ABS(W755)&gt;ABS(L755),"Tax is larger than the amount","")))))))))))))</f>
        <v/>
      </c>
      <c r="Y755" s="67">
        <f>IF(OR(T755=1,X755&lt;&gt;""),"",IF(AND(B755&lt;&gt;"",COUNTIF(tx_ID,B755)&gt;1),"Duplicate transaction ID",IF(AND(L755&lt;0,D755&lt;&gt;"Adjustment"),"Negative amount — check this entry",IF(AND(D755="Customer Payment",G755=""),"Add the customer",IF(AND(D755="Customer Payment",OR(J755="",COUNTIF(ar_No,J755&amp;"")=0)),"Invoice # in Reference not found on AR sheet",IF(AND(D755="Bill Payment",H755=""),"Add the vendor",IF(AND(D755="Bill Payment",OR(J755="",COUNTIFS(ap_No,J755&amp;"",ap_Party,H755&amp;"")=0)),"Bill # + vendor not found on AP sheet",IF(AND(ISNUMBER(M755),N(M755)&lt;&gt;0,W755=0),"Tax ignored (tax tracking off, or not allowed for this type)",IF(V755=K755&amp;"","Same account on both sides",IF(AND(ISNUMBER(StartDate),C755&lt;StartDate),"Date is before the accounting start date",IF(AND(D755&lt;&gt;"Adjustment",IFERROR(INDEX(coa_Pay,MATCH(K755&amp;"",coa_Name,0)),"")&lt;&gt;"Yes"),"Paid From / Deposited To is not a payment account","")))))))))))</f>
        <v/>
      </c>
      <c r="Z755" s="67">
        <f>IF(AND(T755=0,X755=""),1,0)</f>
        <v/>
      </c>
      <c r="AA755" s="68">
        <f>IF(Z755=1,IF(U755="In",L755,L755-W755),0)</f>
        <v/>
      </c>
      <c r="AB755" s="68">
        <f>IF(Z755=1,IF(U755="In",L755-W755,L755),0)</f>
        <v/>
      </c>
      <c r="AC755" s="68">
        <f>IF(AND(Z755=1,U755="Out"),W755,0)</f>
        <v/>
      </c>
      <c r="AD755" s="68">
        <f>IF(AND(Z755=1,U755="In"),W755,0)</f>
        <v/>
      </c>
    </row>
    <row r="756">
      <c r="B756" s="62" t="inlineStr">
        <is>
          <t>TX-0750</t>
        </is>
      </c>
      <c r="C756" s="63" t="n"/>
      <c r="D756" s="62" t="n"/>
      <c r="E756" s="62" t="n"/>
      <c r="F756" s="62" t="n"/>
      <c r="G756" s="62" t="n"/>
      <c r="H756" s="62" t="n"/>
      <c r="I756" s="62" t="n"/>
      <c r="J756" s="62" t="n"/>
      <c r="K756" s="62" t="n"/>
      <c r="L756" s="64" t="n"/>
      <c r="M756" s="64" t="n"/>
      <c r="N756" s="62" t="n"/>
      <c r="O756" s="65">
        <f>IF(Z756=1,L756-W756,"")</f>
        <v/>
      </c>
      <c r="P756" s="66">
        <f>IF(V756="","",IFERROR(INDEX(coa_Type,MATCH(V756,coa_Name,0)),""))</f>
        <v/>
      </c>
      <c r="Q756" s="66">
        <f>IF(Z756=1,IF(U756="In",K756&amp;"",V756),"")</f>
        <v/>
      </c>
      <c r="R756" s="66">
        <f>IF(Z756=1,IF(U756="In",V756,K756&amp;""),"")</f>
        <v/>
      </c>
      <c r="S756" s="66">
        <f>IF(X756&lt;&gt;"","⛔ "&amp;X756&amp;" — not posted",IF(Y756&lt;&gt;"","⚠ "&amp;Y756,IF(Z756=1,"✓ OK","")))</f>
        <v/>
      </c>
      <c r="T756" s="67">
        <f>IF(AND(C756="",D756="",E756="",L756="",K756=""),1,0)</f>
        <v/>
      </c>
      <c r="U756" s="67">
        <f>IFERROR(INDEX(tt_Dir,MATCH(D756,tt_Type,0)),"")</f>
        <v/>
      </c>
      <c r="V756" s="67">
        <f>IF(D756="","",IFERROR(IF(INDEX(tt_Other,MATCH(D756,tt_Type,0))="",E756&amp;"",INDEX(tt_Other,MATCH(D756,tt_Type,0))),""))</f>
        <v/>
      </c>
      <c r="W756" s="68">
        <f>IF(OR(TaxOn&lt;&gt;"Yes",NOT(ISNUMBER(M756))),0,IF(IFERROR(INDEX(tt_Tax,MATCH(D756,tt_Type,0)),"No")="Yes",M756,0))</f>
        <v/>
      </c>
      <c r="X756" s="67">
        <f>IF(T756=1,"",IF(C756="","Missing transaction date",IF(NOT(ISNUMBER(C756)),"Invalid date",IF(OR(C756&lt;DATE(2000,1,1),C756&gt;DATE(2099,12,31)),"Invalid date",IF(D756="","Select a type",IF(U756="","Unknown type: "&amp;D756,IF(V756="","Select an account (Category)",IF(ISNA(MATCH(V756,coa_Name,0)),"Unknown account: "&amp;V756,IF(K756="","Select Paid From / Deposited To",IF(ISNA(MATCH(K756,coa_Name,0)),"Unknown account: "&amp;K756,IF(NOT(ISNUMBER(L756)),"Enter an amount",IF(L756=0,"Enter an amount",IF(ABS(W756)&gt;ABS(L756),"Tax is larger than the amount","")))))))))))))</f>
        <v/>
      </c>
      <c r="Y756" s="67">
        <f>IF(OR(T756=1,X756&lt;&gt;""),"",IF(AND(B756&lt;&gt;"",COUNTIF(tx_ID,B756)&gt;1),"Duplicate transaction ID",IF(AND(L756&lt;0,D756&lt;&gt;"Adjustment"),"Negative amount — check this entry",IF(AND(D756="Customer Payment",G756=""),"Add the customer",IF(AND(D756="Customer Payment",OR(J756="",COUNTIF(ar_No,J756&amp;"")=0)),"Invoice # in Reference not found on AR sheet",IF(AND(D756="Bill Payment",H756=""),"Add the vendor",IF(AND(D756="Bill Payment",OR(J756="",COUNTIFS(ap_No,J756&amp;"",ap_Party,H756&amp;"")=0)),"Bill # + vendor not found on AP sheet",IF(AND(ISNUMBER(M756),N(M756)&lt;&gt;0,W756=0),"Tax ignored (tax tracking off, or not allowed for this type)",IF(V756=K756&amp;"","Same account on both sides",IF(AND(ISNUMBER(StartDate),C756&lt;StartDate),"Date is before the accounting start date",IF(AND(D756&lt;&gt;"Adjustment",IFERROR(INDEX(coa_Pay,MATCH(K756&amp;"",coa_Name,0)),"")&lt;&gt;"Yes"),"Paid From / Deposited To is not a payment account","")))))))))))</f>
        <v/>
      </c>
      <c r="Z756" s="67">
        <f>IF(AND(T756=0,X756=""),1,0)</f>
        <v/>
      </c>
      <c r="AA756" s="68">
        <f>IF(Z756=1,IF(U756="In",L756,L756-W756),0)</f>
        <v/>
      </c>
      <c r="AB756" s="68">
        <f>IF(Z756=1,IF(U756="In",L756-W756,L756),0)</f>
        <v/>
      </c>
      <c r="AC756" s="68">
        <f>IF(AND(Z756=1,U756="Out"),W756,0)</f>
        <v/>
      </c>
      <c r="AD756" s="68">
        <f>IF(AND(Z756=1,U756="In"),W756,0)</f>
        <v/>
      </c>
    </row>
    <row r="757">
      <c r="B757" s="62" t="inlineStr">
        <is>
          <t>TX-0751</t>
        </is>
      </c>
      <c r="C757" s="63" t="n"/>
      <c r="D757" s="62" t="n"/>
      <c r="E757" s="62" t="n"/>
      <c r="F757" s="62" t="n"/>
      <c r="G757" s="62" t="n"/>
      <c r="H757" s="62" t="n"/>
      <c r="I757" s="62" t="n"/>
      <c r="J757" s="62" t="n"/>
      <c r="K757" s="62" t="n"/>
      <c r="L757" s="64" t="n"/>
      <c r="M757" s="64" t="n"/>
      <c r="N757" s="62" t="n"/>
      <c r="O757" s="65">
        <f>IF(Z757=1,L757-W757,"")</f>
        <v/>
      </c>
      <c r="P757" s="66">
        <f>IF(V757="","",IFERROR(INDEX(coa_Type,MATCH(V757,coa_Name,0)),""))</f>
        <v/>
      </c>
      <c r="Q757" s="66">
        <f>IF(Z757=1,IF(U757="In",K757&amp;"",V757),"")</f>
        <v/>
      </c>
      <c r="R757" s="66">
        <f>IF(Z757=1,IF(U757="In",V757,K757&amp;""),"")</f>
        <v/>
      </c>
      <c r="S757" s="66">
        <f>IF(X757&lt;&gt;"","⛔ "&amp;X757&amp;" — not posted",IF(Y757&lt;&gt;"","⚠ "&amp;Y757,IF(Z757=1,"✓ OK","")))</f>
        <v/>
      </c>
      <c r="T757" s="67">
        <f>IF(AND(C757="",D757="",E757="",L757="",K757=""),1,0)</f>
        <v/>
      </c>
      <c r="U757" s="67">
        <f>IFERROR(INDEX(tt_Dir,MATCH(D757,tt_Type,0)),"")</f>
        <v/>
      </c>
      <c r="V757" s="67">
        <f>IF(D757="","",IFERROR(IF(INDEX(tt_Other,MATCH(D757,tt_Type,0))="",E757&amp;"",INDEX(tt_Other,MATCH(D757,tt_Type,0))),""))</f>
        <v/>
      </c>
      <c r="W757" s="68">
        <f>IF(OR(TaxOn&lt;&gt;"Yes",NOT(ISNUMBER(M757))),0,IF(IFERROR(INDEX(tt_Tax,MATCH(D757,tt_Type,0)),"No")="Yes",M757,0))</f>
        <v/>
      </c>
      <c r="X757" s="67">
        <f>IF(T757=1,"",IF(C757="","Missing transaction date",IF(NOT(ISNUMBER(C757)),"Invalid date",IF(OR(C757&lt;DATE(2000,1,1),C757&gt;DATE(2099,12,31)),"Invalid date",IF(D757="","Select a type",IF(U757="","Unknown type: "&amp;D757,IF(V757="","Select an account (Category)",IF(ISNA(MATCH(V757,coa_Name,0)),"Unknown account: "&amp;V757,IF(K757="","Select Paid From / Deposited To",IF(ISNA(MATCH(K757,coa_Name,0)),"Unknown account: "&amp;K757,IF(NOT(ISNUMBER(L757)),"Enter an amount",IF(L757=0,"Enter an amount",IF(ABS(W757)&gt;ABS(L757),"Tax is larger than the amount","")))))))))))))</f>
        <v/>
      </c>
      <c r="Y757" s="67">
        <f>IF(OR(T757=1,X757&lt;&gt;""),"",IF(AND(B757&lt;&gt;"",COUNTIF(tx_ID,B757)&gt;1),"Duplicate transaction ID",IF(AND(L757&lt;0,D757&lt;&gt;"Adjustment"),"Negative amount — check this entry",IF(AND(D757="Customer Payment",G757=""),"Add the customer",IF(AND(D757="Customer Payment",OR(J757="",COUNTIF(ar_No,J757&amp;"")=0)),"Invoice # in Reference not found on AR sheet",IF(AND(D757="Bill Payment",H757=""),"Add the vendor",IF(AND(D757="Bill Payment",OR(J757="",COUNTIFS(ap_No,J757&amp;"",ap_Party,H757&amp;"")=0)),"Bill # + vendor not found on AP sheet",IF(AND(ISNUMBER(M757),N(M757)&lt;&gt;0,W757=0),"Tax ignored (tax tracking off, or not allowed for this type)",IF(V757=K757&amp;"","Same account on both sides",IF(AND(ISNUMBER(StartDate),C757&lt;StartDate),"Date is before the accounting start date",IF(AND(D757&lt;&gt;"Adjustment",IFERROR(INDEX(coa_Pay,MATCH(K757&amp;"",coa_Name,0)),"")&lt;&gt;"Yes"),"Paid From / Deposited To is not a payment account","")))))))))))</f>
        <v/>
      </c>
      <c r="Z757" s="67">
        <f>IF(AND(T757=0,X757=""),1,0)</f>
        <v/>
      </c>
      <c r="AA757" s="68">
        <f>IF(Z757=1,IF(U757="In",L757,L757-W757),0)</f>
        <v/>
      </c>
      <c r="AB757" s="68">
        <f>IF(Z757=1,IF(U757="In",L757-W757,L757),0)</f>
        <v/>
      </c>
      <c r="AC757" s="68">
        <f>IF(AND(Z757=1,U757="Out"),W757,0)</f>
        <v/>
      </c>
      <c r="AD757" s="68">
        <f>IF(AND(Z757=1,U757="In"),W757,0)</f>
        <v/>
      </c>
    </row>
    <row r="758">
      <c r="B758" s="62" t="inlineStr">
        <is>
          <t>TX-0752</t>
        </is>
      </c>
      <c r="C758" s="63" t="n"/>
      <c r="D758" s="62" t="n"/>
      <c r="E758" s="62" t="n"/>
      <c r="F758" s="62" t="n"/>
      <c r="G758" s="62" t="n"/>
      <c r="H758" s="62" t="n"/>
      <c r="I758" s="62" t="n"/>
      <c r="J758" s="62" t="n"/>
      <c r="K758" s="62" t="n"/>
      <c r="L758" s="64" t="n"/>
      <c r="M758" s="64" t="n"/>
      <c r="N758" s="62" t="n"/>
      <c r="O758" s="65">
        <f>IF(Z758=1,L758-W758,"")</f>
        <v/>
      </c>
      <c r="P758" s="66">
        <f>IF(V758="","",IFERROR(INDEX(coa_Type,MATCH(V758,coa_Name,0)),""))</f>
        <v/>
      </c>
      <c r="Q758" s="66">
        <f>IF(Z758=1,IF(U758="In",K758&amp;"",V758),"")</f>
        <v/>
      </c>
      <c r="R758" s="66">
        <f>IF(Z758=1,IF(U758="In",V758,K758&amp;""),"")</f>
        <v/>
      </c>
      <c r="S758" s="66">
        <f>IF(X758&lt;&gt;"","⛔ "&amp;X758&amp;" — not posted",IF(Y758&lt;&gt;"","⚠ "&amp;Y758,IF(Z758=1,"✓ OK","")))</f>
        <v/>
      </c>
      <c r="T758" s="67">
        <f>IF(AND(C758="",D758="",E758="",L758="",K758=""),1,0)</f>
        <v/>
      </c>
      <c r="U758" s="67">
        <f>IFERROR(INDEX(tt_Dir,MATCH(D758,tt_Type,0)),"")</f>
        <v/>
      </c>
      <c r="V758" s="67">
        <f>IF(D758="","",IFERROR(IF(INDEX(tt_Other,MATCH(D758,tt_Type,0))="",E758&amp;"",INDEX(tt_Other,MATCH(D758,tt_Type,0))),""))</f>
        <v/>
      </c>
      <c r="W758" s="68">
        <f>IF(OR(TaxOn&lt;&gt;"Yes",NOT(ISNUMBER(M758))),0,IF(IFERROR(INDEX(tt_Tax,MATCH(D758,tt_Type,0)),"No")="Yes",M758,0))</f>
        <v/>
      </c>
      <c r="X758" s="67">
        <f>IF(T758=1,"",IF(C758="","Missing transaction date",IF(NOT(ISNUMBER(C758)),"Invalid date",IF(OR(C758&lt;DATE(2000,1,1),C758&gt;DATE(2099,12,31)),"Invalid date",IF(D758="","Select a type",IF(U758="","Unknown type: "&amp;D758,IF(V758="","Select an account (Category)",IF(ISNA(MATCH(V758,coa_Name,0)),"Unknown account: "&amp;V758,IF(K758="","Select Paid From / Deposited To",IF(ISNA(MATCH(K758,coa_Name,0)),"Unknown account: "&amp;K758,IF(NOT(ISNUMBER(L758)),"Enter an amount",IF(L758=0,"Enter an amount",IF(ABS(W758)&gt;ABS(L758),"Tax is larger than the amount","")))))))))))))</f>
        <v/>
      </c>
      <c r="Y758" s="67">
        <f>IF(OR(T758=1,X758&lt;&gt;""),"",IF(AND(B758&lt;&gt;"",COUNTIF(tx_ID,B758)&gt;1),"Duplicate transaction ID",IF(AND(L758&lt;0,D758&lt;&gt;"Adjustment"),"Negative amount — check this entry",IF(AND(D758="Customer Payment",G758=""),"Add the customer",IF(AND(D758="Customer Payment",OR(J758="",COUNTIF(ar_No,J758&amp;"")=0)),"Invoice # in Reference not found on AR sheet",IF(AND(D758="Bill Payment",H758=""),"Add the vendor",IF(AND(D758="Bill Payment",OR(J758="",COUNTIFS(ap_No,J758&amp;"",ap_Party,H758&amp;"")=0)),"Bill # + vendor not found on AP sheet",IF(AND(ISNUMBER(M758),N(M758)&lt;&gt;0,W758=0),"Tax ignored (tax tracking off, or not allowed for this type)",IF(V758=K758&amp;"","Same account on both sides",IF(AND(ISNUMBER(StartDate),C758&lt;StartDate),"Date is before the accounting start date",IF(AND(D758&lt;&gt;"Adjustment",IFERROR(INDEX(coa_Pay,MATCH(K758&amp;"",coa_Name,0)),"")&lt;&gt;"Yes"),"Paid From / Deposited To is not a payment account","")))))))))))</f>
        <v/>
      </c>
      <c r="Z758" s="67">
        <f>IF(AND(T758=0,X758=""),1,0)</f>
        <v/>
      </c>
      <c r="AA758" s="68">
        <f>IF(Z758=1,IF(U758="In",L758,L758-W758),0)</f>
        <v/>
      </c>
      <c r="AB758" s="68">
        <f>IF(Z758=1,IF(U758="In",L758-W758,L758),0)</f>
        <v/>
      </c>
      <c r="AC758" s="68">
        <f>IF(AND(Z758=1,U758="Out"),W758,0)</f>
        <v/>
      </c>
      <c r="AD758" s="68">
        <f>IF(AND(Z758=1,U758="In"),W758,0)</f>
        <v/>
      </c>
    </row>
    <row r="759">
      <c r="B759" s="62" t="inlineStr">
        <is>
          <t>TX-0753</t>
        </is>
      </c>
      <c r="C759" s="63" t="n"/>
      <c r="D759" s="62" t="n"/>
      <c r="E759" s="62" t="n"/>
      <c r="F759" s="62" t="n"/>
      <c r="G759" s="62" t="n"/>
      <c r="H759" s="62" t="n"/>
      <c r="I759" s="62" t="n"/>
      <c r="J759" s="62" t="n"/>
      <c r="K759" s="62" t="n"/>
      <c r="L759" s="64" t="n"/>
      <c r="M759" s="64" t="n"/>
      <c r="N759" s="62" t="n"/>
      <c r="O759" s="65">
        <f>IF(Z759=1,L759-W759,"")</f>
        <v/>
      </c>
      <c r="P759" s="66">
        <f>IF(V759="","",IFERROR(INDEX(coa_Type,MATCH(V759,coa_Name,0)),""))</f>
        <v/>
      </c>
      <c r="Q759" s="66">
        <f>IF(Z759=1,IF(U759="In",K759&amp;"",V759),"")</f>
        <v/>
      </c>
      <c r="R759" s="66">
        <f>IF(Z759=1,IF(U759="In",V759,K759&amp;""),"")</f>
        <v/>
      </c>
      <c r="S759" s="66">
        <f>IF(X759&lt;&gt;"","⛔ "&amp;X759&amp;" — not posted",IF(Y759&lt;&gt;"","⚠ "&amp;Y759,IF(Z759=1,"✓ OK","")))</f>
        <v/>
      </c>
      <c r="T759" s="67">
        <f>IF(AND(C759="",D759="",E759="",L759="",K759=""),1,0)</f>
        <v/>
      </c>
      <c r="U759" s="67">
        <f>IFERROR(INDEX(tt_Dir,MATCH(D759,tt_Type,0)),"")</f>
        <v/>
      </c>
      <c r="V759" s="67">
        <f>IF(D759="","",IFERROR(IF(INDEX(tt_Other,MATCH(D759,tt_Type,0))="",E759&amp;"",INDEX(tt_Other,MATCH(D759,tt_Type,0))),""))</f>
        <v/>
      </c>
      <c r="W759" s="68">
        <f>IF(OR(TaxOn&lt;&gt;"Yes",NOT(ISNUMBER(M759))),0,IF(IFERROR(INDEX(tt_Tax,MATCH(D759,tt_Type,0)),"No")="Yes",M759,0))</f>
        <v/>
      </c>
      <c r="X759" s="67">
        <f>IF(T759=1,"",IF(C759="","Missing transaction date",IF(NOT(ISNUMBER(C759)),"Invalid date",IF(OR(C759&lt;DATE(2000,1,1),C759&gt;DATE(2099,12,31)),"Invalid date",IF(D759="","Select a type",IF(U759="","Unknown type: "&amp;D759,IF(V759="","Select an account (Category)",IF(ISNA(MATCH(V759,coa_Name,0)),"Unknown account: "&amp;V759,IF(K759="","Select Paid From / Deposited To",IF(ISNA(MATCH(K759,coa_Name,0)),"Unknown account: "&amp;K759,IF(NOT(ISNUMBER(L759)),"Enter an amount",IF(L759=0,"Enter an amount",IF(ABS(W759)&gt;ABS(L759),"Tax is larger than the amount","")))))))))))))</f>
        <v/>
      </c>
      <c r="Y759" s="67">
        <f>IF(OR(T759=1,X759&lt;&gt;""),"",IF(AND(B759&lt;&gt;"",COUNTIF(tx_ID,B759)&gt;1),"Duplicate transaction ID",IF(AND(L759&lt;0,D759&lt;&gt;"Adjustment"),"Negative amount — check this entry",IF(AND(D759="Customer Payment",G759=""),"Add the customer",IF(AND(D759="Customer Payment",OR(J759="",COUNTIF(ar_No,J759&amp;"")=0)),"Invoice # in Reference not found on AR sheet",IF(AND(D759="Bill Payment",H759=""),"Add the vendor",IF(AND(D759="Bill Payment",OR(J759="",COUNTIFS(ap_No,J759&amp;"",ap_Party,H759&amp;"")=0)),"Bill # + vendor not found on AP sheet",IF(AND(ISNUMBER(M759),N(M759)&lt;&gt;0,W759=0),"Tax ignored (tax tracking off, or not allowed for this type)",IF(V759=K759&amp;"","Same account on both sides",IF(AND(ISNUMBER(StartDate),C759&lt;StartDate),"Date is before the accounting start date",IF(AND(D759&lt;&gt;"Adjustment",IFERROR(INDEX(coa_Pay,MATCH(K759&amp;"",coa_Name,0)),"")&lt;&gt;"Yes"),"Paid From / Deposited To is not a payment account","")))))))))))</f>
        <v/>
      </c>
      <c r="Z759" s="67">
        <f>IF(AND(T759=0,X759=""),1,0)</f>
        <v/>
      </c>
      <c r="AA759" s="68">
        <f>IF(Z759=1,IF(U759="In",L759,L759-W759),0)</f>
        <v/>
      </c>
      <c r="AB759" s="68">
        <f>IF(Z759=1,IF(U759="In",L759-W759,L759),0)</f>
        <v/>
      </c>
      <c r="AC759" s="68">
        <f>IF(AND(Z759=1,U759="Out"),W759,0)</f>
        <v/>
      </c>
      <c r="AD759" s="68">
        <f>IF(AND(Z759=1,U759="In"),W759,0)</f>
        <v/>
      </c>
    </row>
    <row r="760">
      <c r="B760" s="62" t="inlineStr">
        <is>
          <t>TX-0754</t>
        </is>
      </c>
      <c r="C760" s="63" t="n"/>
      <c r="D760" s="62" t="n"/>
      <c r="E760" s="62" t="n"/>
      <c r="F760" s="62" t="n"/>
      <c r="G760" s="62" t="n"/>
      <c r="H760" s="62" t="n"/>
      <c r="I760" s="62" t="n"/>
      <c r="J760" s="62" t="n"/>
      <c r="K760" s="62" t="n"/>
      <c r="L760" s="64" t="n"/>
      <c r="M760" s="64" t="n"/>
      <c r="N760" s="62" t="n"/>
      <c r="O760" s="65">
        <f>IF(Z760=1,L760-W760,"")</f>
        <v/>
      </c>
      <c r="P760" s="66">
        <f>IF(V760="","",IFERROR(INDEX(coa_Type,MATCH(V760,coa_Name,0)),""))</f>
        <v/>
      </c>
      <c r="Q760" s="66">
        <f>IF(Z760=1,IF(U760="In",K760&amp;"",V760),"")</f>
        <v/>
      </c>
      <c r="R760" s="66">
        <f>IF(Z760=1,IF(U760="In",V760,K760&amp;""),"")</f>
        <v/>
      </c>
      <c r="S760" s="66">
        <f>IF(X760&lt;&gt;"","⛔ "&amp;X760&amp;" — not posted",IF(Y760&lt;&gt;"","⚠ "&amp;Y760,IF(Z760=1,"✓ OK","")))</f>
        <v/>
      </c>
      <c r="T760" s="67">
        <f>IF(AND(C760="",D760="",E760="",L760="",K760=""),1,0)</f>
        <v/>
      </c>
      <c r="U760" s="67">
        <f>IFERROR(INDEX(tt_Dir,MATCH(D760,tt_Type,0)),"")</f>
        <v/>
      </c>
      <c r="V760" s="67">
        <f>IF(D760="","",IFERROR(IF(INDEX(tt_Other,MATCH(D760,tt_Type,0))="",E760&amp;"",INDEX(tt_Other,MATCH(D760,tt_Type,0))),""))</f>
        <v/>
      </c>
      <c r="W760" s="68">
        <f>IF(OR(TaxOn&lt;&gt;"Yes",NOT(ISNUMBER(M760))),0,IF(IFERROR(INDEX(tt_Tax,MATCH(D760,tt_Type,0)),"No")="Yes",M760,0))</f>
        <v/>
      </c>
      <c r="X760" s="67">
        <f>IF(T760=1,"",IF(C760="","Missing transaction date",IF(NOT(ISNUMBER(C760)),"Invalid date",IF(OR(C760&lt;DATE(2000,1,1),C760&gt;DATE(2099,12,31)),"Invalid date",IF(D760="","Select a type",IF(U760="","Unknown type: "&amp;D760,IF(V760="","Select an account (Category)",IF(ISNA(MATCH(V760,coa_Name,0)),"Unknown account: "&amp;V760,IF(K760="","Select Paid From / Deposited To",IF(ISNA(MATCH(K760,coa_Name,0)),"Unknown account: "&amp;K760,IF(NOT(ISNUMBER(L760)),"Enter an amount",IF(L760=0,"Enter an amount",IF(ABS(W760)&gt;ABS(L760),"Tax is larger than the amount","")))))))))))))</f>
        <v/>
      </c>
      <c r="Y760" s="67">
        <f>IF(OR(T760=1,X760&lt;&gt;""),"",IF(AND(B760&lt;&gt;"",COUNTIF(tx_ID,B760)&gt;1),"Duplicate transaction ID",IF(AND(L760&lt;0,D760&lt;&gt;"Adjustment"),"Negative amount — check this entry",IF(AND(D760="Customer Payment",G760=""),"Add the customer",IF(AND(D760="Customer Payment",OR(J760="",COUNTIF(ar_No,J760&amp;"")=0)),"Invoice # in Reference not found on AR sheet",IF(AND(D760="Bill Payment",H760=""),"Add the vendor",IF(AND(D760="Bill Payment",OR(J760="",COUNTIFS(ap_No,J760&amp;"",ap_Party,H760&amp;"")=0)),"Bill # + vendor not found on AP sheet",IF(AND(ISNUMBER(M760),N(M760)&lt;&gt;0,W760=0),"Tax ignored (tax tracking off, or not allowed for this type)",IF(V760=K760&amp;"","Same account on both sides",IF(AND(ISNUMBER(StartDate),C760&lt;StartDate),"Date is before the accounting start date",IF(AND(D760&lt;&gt;"Adjustment",IFERROR(INDEX(coa_Pay,MATCH(K760&amp;"",coa_Name,0)),"")&lt;&gt;"Yes"),"Paid From / Deposited To is not a payment account","")))))))))))</f>
        <v/>
      </c>
      <c r="Z760" s="67">
        <f>IF(AND(T760=0,X760=""),1,0)</f>
        <v/>
      </c>
      <c r="AA760" s="68">
        <f>IF(Z760=1,IF(U760="In",L760,L760-W760),0)</f>
        <v/>
      </c>
      <c r="AB760" s="68">
        <f>IF(Z760=1,IF(U760="In",L760-W760,L760),0)</f>
        <v/>
      </c>
      <c r="AC760" s="68">
        <f>IF(AND(Z760=1,U760="Out"),W760,0)</f>
        <v/>
      </c>
      <c r="AD760" s="68">
        <f>IF(AND(Z760=1,U760="In"),W760,0)</f>
        <v/>
      </c>
    </row>
    <row r="761">
      <c r="B761" s="62" t="inlineStr">
        <is>
          <t>TX-0755</t>
        </is>
      </c>
      <c r="C761" s="63" t="n"/>
      <c r="D761" s="62" t="n"/>
      <c r="E761" s="62" t="n"/>
      <c r="F761" s="62" t="n"/>
      <c r="G761" s="62" t="n"/>
      <c r="H761" s="62" t="n"/>
      <c r="I761" s="62" t="n"/>
      <c r="J761" s="62" t="n"/>
      <c r="K761" s="62" t="n"/>
      <c r="L761" s="64" t="n"/>
      <c r="M761" s="64" t="n"/>
      <c r="N761" s="62" t="n"/>
      <c r="O761" s="65">
        <f>IF(Z761=1,L761-W761,"")</f>
        <v/>
      </c>
      <c r="P761" s="66">
        <f>IF(V761="","",IFERROR(INDEX(coa_Type,MATCH(V761,coa_Name,0)),""))</f>
        <v/>
      </c>
      <c r="Q761" s="66">
        <f>IF(Z761=1,IF(U761="In",K761&amp;"",V761),"")</f>
        <v/>
      </c>
      <c r="R761" s="66">
        <f>IF(Z761=1,IF(U761="In",V761,K761&amp;""),"")</f>
        <v/>
      </c>
      <c r="S761" s="66">
        <f>IF(X761&lt;&gt;"","⛔ "&amp;X761&amp;" — not posted",IF(Y761&lt;&gt;"","⚠ "&amp;Y761,IF(Z761=1,"✓ OK","")))</f>
        <v/>
      </c>
      <c r="T761" s="67">
        <f>IF(AND(C761="",D761="",E761="",L761="",K761=""),1,0)</f>
        <v/>
      </c>
      <c r="U761" s="67">
        <f>IFERROR(INDEX(tt_Dir,MATCH(D761,tt_Type,0)),"")</f>
        <v/>
      </c>
      <c r="V761" s="67">
        <f>IF(D761="","",IFERROR(IF(INDEX(tt_Other,MATCH(D761,tt_Type,0))="",E761&amp;"",INDEX(tt_Other,MATCH(D761,tt_Type,0))),""))</f>
        <v/>
      </c>
      <c r="W761" s="68">
        <f>IF(OR(TaxOn&lt;&gt;"Yes",NOT(ISNUMBER(M761))),0,IF(IFERROR(INDEX(tt_Tax,MATCH(D761,tt_Type,0)),"No")="Yes",M761,0))</f>
        <v/>
      </c>
      <c r="X761" s="67">
        <f>IF(T761=1,"",IF(C761="","Missing transaction date",IF(NOT(ISNUMBER(C761)),"Invalid date",IF(OR(C761&lt;DATE(2000,1,1),C761&gt;DATE(2099,12,31)),"Invalid date",IF(D761="","Select a type",IF(U761="","Unknown type: "&amp;D761,IF(V761="","Select an account (Category)",IF(ISNA(MATCH(V761,coa_Name,0)),"Unknown account: "&amp;V761,IF(K761="","Select Paid From / Deposited To",IF(ISNA(MATCH(K761,coa_Name,0)),"Unknown account: "&amp;K761,IF(NOT(ISNUMBER(L761)),"Enter an amount",IF(L761=0,"Enter an amount",IF(ABS(W761)&gt;ABS(L761),"Tax is larger than the amount","")))))))))))))</f>
        <v/>
      </c>
      <c r="Y761" s="67">
        <f>IF(OR(T761=1,X761&lt;&gt;""),"",IF(AND(B761&lt;&gt;"",COUNTIF(tx_ID,B761)&gt;1),"Duplicate transaction ID",IF(AND(L761&lt;0,D761&lt;&gt;"Adjustment"),"Negative amount — check this entry",IF(AND(D761="Customer Payment",G761=""),"Add the customer",IF(AND(D761="Customer Payment",OR(J761="",COUNTIF(ar_No,J761&amp;"")=0)),"Invoice # in Reference not found on AR sheet",IF(AND(D761="Bill Payment",H761=""),"Add the vendor",IF(AND(D761="Bill Payment",OR(J761="",COUNTIFS(ap_No,J761&amp;"",ap_Party,H761&amp;"")=0)),"Bill # + vendor not found on AP sheet",IF(AND(ISNUMBER(M761),N(M761)&lt;&gt;0,W761=0),"Tax ignored (tax tracking off, or not allowed for this type)",IF(V761=K761&amp;"","Same account on both sides",IF(AND(ISNUMBER(StartDate),C761&lt;StartDate),"Date is before the accounting start date",IF(AND(D761&lt;&gt;"Adjustment",IFERROR(INDEX(coa_Pay,MATCH(K761&amp;"",coa_Name,0)),"")&lt;&gt;"Yes"),"Paid From / Deposited To is not a payment account","")))))))))))</f>
        <v/>
      </c>
      <c r="Z761" s="67">
        <f>IF(AND(T761=0,X761=""),1,0)</f>
        <v/>
      </c>
      <c r="AA761" s="68">
        <f>IF(Z761=1,IF(U761="In",L761,L761-W761),0)</f>
        <v/>
      </c>
      <c r="AB761" s="68">
        <f>IF(Z761=1,IF(U761="In",L761-W761,L761),0)</f>
        <v/>
      </c>
      <c r="AC761" s="68">
        <f>IF(AND(Z761=1,U761="Out"),W761,0)</f>
        <v/>
      </c>
      <c r="AD761" s="68">
        <f>IF(AND(Z761=1,U761="In"),W761,0)</f>
        <v/>
      </c>
    </row>
    <row r="762">
      <c r="B762" s="62" t="inlineStr">
        <is>
          <t>TX-0756</t>
        </is>
      </c>
      <c r="C762" s="63" t="n"/>
      <c r="D762" s="62" t="n"/>
      <c r="E762" s="62" t="n"/>
      <c r="F762" s="62" t="n"/>
      <c r="G762" s="62" t="n"/>
      <c r="H762" s="62" t="n"/>
      <c r="I762" s="62" t="n"/>
      <c r="J762" s="62" t="n"/>
      <c r="K762" s="62" t="n"/>
      <c r="L762" s="64" t="n"/>
      <c r="M762" s="64" t="n"/>
      <c r="N762" s="62" t="n"/>
      <c r="O762" s="65">
        <f>IF(Z762=1,L762-W762,"")</f>
        <v/>
      </c>
      <c r="P762" s="66">
        <f>IF(V762="","",IFERROR(INDEX(coa_Type,MATCH(V762,coa_Name,0)),""))</f>
        <v/>
      </c>
      <c r="Q762" s="66">
        <f>IF(Z762=1,IF(U762="In",K762&amp;"",V762),"")</f>
        <v/>
      </c>
      <c r="R762" s="66">
        <f>IF(Z762=1,IF(U762="In",V762,K762&amp;""),"")</f>
        <v/>
      </c>
      <c r="S762" s="66">
        <f>IF(X762&lt;&gt;"","⛔ "&amp;X762&amp;" — not posted",IF(Y762&lt;&gt;"","⚠ "&amp;Y762,IF(Z762=1,"✓ OK","")))</f>
        <v/>
      </c>
      <c r="T762" s="67">
        <f>IF(AND(C762="",D762="",E762="",L762="",K762=""),1,0)</f>
        <v/>
      </c>
      <c r="U762" s="67">
        <f>IFERROR(INDEX(tt_Dir,MATCH(D762,tt_Type,0)),"")</f>
        <v/>
      </c>
      <c r="V762" s="67">
        <f>IF(D762="","",IFERROR(IF(INDEX(tt_Other,MATCH(D762,tt_Type,0))="",E762&amp;"",INDEX(tt_Other,MATCH(D762,tt_Type,0))),""))</f>
        <v/>
      </c>
      <c r="W762" s="68">
        <f>IF(OR(TaxOn&lt;&gt;"Yes",NOT(ISNUMBER(M762))),0,IF(IFERROR(INDEX(tt_Tax,MATCH(D762,tt_Type,0)),"No")="Yes",M762,0))</f>
        <v/>
      </c>
      <c r="X762" s="67">
        <f>IF(T762=1,"",IF(C762="","Missing transaction date",IF(NOT(ISNUMBER(C762)),"Invalid date",IF(OR(C762&lt;DATE(2000,1,1),C762&gt;DATE(2099,12,31)),"Invalid date",IF(D762="","Select a type",IF(U762="","Unknown type: "&amp;D762,IF(V762="","Select an account (Category)",IF(ISNA(MATCH(V762,coa_Name,0)),"Unknown account: "&amp;V762,IF(K762="","Select Paid From / Deposited To",IF(ISNA(MATCH(K762,coa_Name,0)),"Unknown account: "&amp;K762,IF(NOT(ISNUMBER(L762)),"Enter an amount",IF(L762=0,"Enter an amount",IF(ABS(W762)&gt;ABS(L762),"Tax is larger than the amount","")))))))))))))</f>
        <v/>
      </c>
      <c r="Y762" s="67">
        <f>IF(OR(T762=1,X762&lt;&gt;""),"",IF(AND(B762&lt;&gt;"",COUNTIF(tx_ID,B762)&gt;1),"Duplicate transaction ID",IF(AND(L762&lt;0,D762&lt;&gt;"Adjustment"),"Negative amount — check this entry",IF(AND(D762="Customer Payment",G762=""),"Add the customer",IF(AND(D762="Customer Payment",OR(J762="",COUNTIF(ar_No,J762&amp;"")=0)),"Invoice # in Reference not found on AR sheet",IF(AND(D762="Bill Payment",H762=""),"Add the vendor",IF(AND(D762="Bill Payment",OR(J762="",COUNTIFS(ap_No,J762&amp;"",ap_Party,H762&amp;"")=0)),"Bill # + vendor not found on AP sheet",IF(AND(ISNUMBER(M762),N(M762)&lt;&gt;0,W762=0),"Tax ignored (tax tracking off, or not allowed for this type)",IF(V762=K762&amp;"","Same account on both sides",IF(AND(ISNUMBER(StartDate),C762&lt;StartDate),"Date is before the accounting start date",IF(AND(D762&lt;&gt;"Adjustment",IFERROR(INDEX(coa_Pay,MATCH(K762&amp;"",coa_Name,0)),"")&lt;&gt;"Yes"),"Paid From / Deposited To is not a payment account","")))))))))))</f>
        <v/>
      </c>
      <c r="Z762" s="67">
        <f>IF(AND(T762=0,X762=""),1,0)</f>
        <v/>
      </c>
      <c r="AA762" s="68">
        <f>IF(Z762=1,IF(U762="In",L762,L762-W762),0)</f>
        <v/>
      </c>
      <c r="AB762" s="68">
        <f>IF(Z762=1,IF(U762="In",L762-W762,L762),0)</f>
        <v/>
      </c>
      <c r="AC762" s="68">
        <f>IF(AND(Z762=1,U762="Out"),W762,0)</f>
        <v/>
      </c>
      <c r="AD762" s="68">
        <f>IF(AND(Z762=1,U762="In"),W762,0)</f>
        <v/>
      </c>
    </row>
    <row r="763">
      <c r="B763" s="62" t="inlineStr">
        <is>
          <t>TX-0757</t>
        </is>
      </c>
      <c r="C763" s="63" t="n"/>
      <c r="D763" s="62" t="n"/>
      <c r="E763" s="62" t="n"/>
      <c r="F763" s="62" t="n"/>
      <c r="G763" s="62" t="n"/>
      <c r="H763" s="62" t="n"/>
      <c r="I763" s="62" t="n"/>
      <c r="J763" s="62" t="n"/>
      <c r="K763" s="62" t="n"/>
      <c r="L763" s="64" t="n"/>
      <c r="M763" s="64" t="n"/>
      <c r="N763" s="62" t="n"/>
      <c r="O763" s="65">
        <f>IF(Z763=1,L763-W763,"")</f>
        <v/>
      </c>
      <c r="P763" s="66">
        <f>IF(V763="","",IFERROR(INDEX(coa_Type,MATCH(V763,coa_Name,0)),""))</f>
        <v/>
      </c>
      <c r="Q763" s="66">
        <f>IF(Z763=1,IF(U763="In",K763&amp;"",V763),"")</f>
        <v/>
      </c>
      <c r="R763" s="66">
        <f>IF(Z763=1,IF(U763="In",V763,K763&amp;""),"")</f>
        <v/>
      </c>
      <c r="S763" s="66">
        <f>IF(X763&lt;&gt;"","⛔ "&amp;X763&amp;" — not posted",IF(Y763&lt;&gt;"","⚠ "&amp;Y763,IF(Z763=1,"✓ OK","")))</f>
        <v/>
      </c>
      <c r="T763" s="67">
        <f>IF(AND(C763="",D763="",E763="",L763="",K763=""),1,0)</f>
        <v/>
      </c>
      <c r="U763" s="67">
        <f>IFERROR(INDEX(tt_Dir,MATCH(D763,tt_Type,0)),"")</f>
        <v/>
      </c>
      <c r="V763" s="67">
        <f>IF(D763="","",IFERROR(IF(INDEX(tt_Other,MATCH(D763,tt_Type,0))="",E763&amp;"",INDEX(tt_Other,MATCH(D763,tt_Type,0))),""))</f>
        <v/>
      </c>
      <c r="W763" s="68">
        <f>IF(OR(TaxOn&lt;&gt;"Yes",NOT(ISNUMBER(M763))),0,IF(IFERROR(INDEX(tt_Tax,MATCH(D763,tt_Type,0)),"No")="Yes",M763,0))</f>
        <v/>
      </c>
      <c r="X763" s="67">
        <f>IF(T763=1,"",IF(C763="","Missing transaction date",IF(NOT(ISNUMBER(C763)),"Invalid date",IF(OR(C763&lt;DATE(2000,1,1),C763&gt;DATE(2099,12,31)),"Invalid date",IF(D763="","Select a type",IF(U763="","Unknown type: "&amp;D763,IF(V763="","Select an account (Category)",IF(ISNA(MATCH(V763,coa_Name,0)),"Unknown account: "&amp;V763,IF(K763="","Select Paid From / Deposited To",IF(ISNA(MATCH(K763,coa_Name,0)),"Unknown account: "&amp;K763,IF(NOT(ISNUMBER(L763)),"Enter an amount",IF(L763=0,"Enter an amount",IF(ABS(W763)&gt;ABS(L763),"Tax is larger than the amount","")))))))))))))</f>
        <v/>
      </c>
      <c r="Y763" s="67">
        <f>IF(OR(T763=1,X763&lt;&gt;""),"",IF(AND(B763&lt;&gt;"",COUNTIF(tx_ID,B763)&gt;1),"Duplicate transaction ID",IF(AND(L763&lt;0,D763&lt;&gt;"Adjustment"),"Negative amount — check this entry",IF(AND(D763="Customer Payment",G763=""),"Add the customer",IF(AND(D763="Customer Payment",OR(J763="",COUNTIF(ar_No,J763&amp;"")=0)),"Invoice # in Reference not found on AR sheet",IF(AND(D763="Bill Payment",H763=""),"Add the vendor",IF(AND(D763="Bill Payment",OR(J763="",COUNTIFS(ap_No,J763&amp;"",ap_Party,H763&amp;"")=0)),"Bill # + vendor not found on AP sheet",IF(AND(ISNUMBER(M763),N(M763)&lt;&gt;0,W763=0),"Tax ignored (tax tracking off, or not allowed for this type)",IF(V763=K763&amp;"","Same account on both sides",IF(AND(ISNUMBER(StartDate),C763&lt;StartDate),"Date is before the accounting start date",IF(AND(D763&lt;&gt;"Adjustment",IFERROR(INDEX(coa_Pay,MATCH(K763&amp;"",coa_Name,0)),"")&lt;&gt;"Yes"),"Paid From / Deposited To is not a payment account","")))))))))))</f>
        <v/>
      </c>
      <c r="Z763" s="67">
        <f>IF(AND(T763=0,X763=""),1,0)</f>
        <v/>
      </c>
      <c r="AA763" s="68">
        <f>IF(Z763=1,IF(U763="In",L763,L763-W763),0)</f>
        <v/>
      </c>
      <c r="AB763" s="68">
        <f>IF(Z763=1,IF(U763="In",L763-W763,L763),0)</f>
        <v/>
      </c>
      <c r="AC763" s="68">
        <f>IF(AND(Z763=1,U763="Out"),W763,0)</f>
        <v/>
      </c>
      <c r="AD763" s="68">
        <f>IF(AND(Z763=1,U763="In"),W763,0)</f>
        <v/>
      </c>
    </row>
    <row r="764">
      <c r="B764" s="62" t="inlineStr">
        <is>
          <t>TX-0758</t>
        </is>
      </c>
      <c r="C764" s="63" t="n"/>
      <c r="D764" s="62" t="n"/>
      <c r="E764" s="62" t="n"/>
      <c r="F764" s="62" t="n"/>
      <c r="G764" s="62" t="n"/>
      <c r="H764" s="62" t="n"/>
      <c r="I764" s="62" t="n"/>
      <c r="J764" s="62" t="n"/>
      <c r="K764" s="62" t="n"/>
      <c r="L764" s="64" t="n"/>
      <c r="M764" s="64" t="n"/>
      <c r="N764" s="62" t="n"/>
      <c r="O764" s="65">
        <f>IF(Z764=1,L764-W764,"")</f>
        <v/>
      </c>
      <c r="P764" s="66">
        <f>IF(V764="","",IFERROR(INDEX(coa_Type,MATCH(V764,coa_Name,0)),""))</f>
        <v/>
      </c>
      <c r="Q764" s="66">
        <f>IF(Z764=1,IF(U764="In",K764&amp;"",V764),"")</f>
        <v/>
      </c>
      <c r="R764" s="66">
        <f>IF(Z764=1,IF(U764="In",V764,K764&amp;""),"")</f>
        <v/>
      </c>
      <c r="S764" s="66">
        <f>IF(X764&lt;&gt;"","⛔ "&amp;X764&amp;" — not posted",IF(Y764&lt;&gt;"","⚠ "&amp;Y764,IF(Z764=1,"✓ OK","")))</f>
        <v/>
      </c>
      <c r="T764" s="67">
        <f>IF(AND(C764="",D764="",E764="",L764="",K764=""),1,0)</f>
        <v/>
      </c>
      <c r="U764" s="67">
        <f>IFERROR(INDEX(tt_Dir,MATCH(D764,tt_Type,0)),"")</f>
        <v/>
      </c>
      <c r="V764" s="67">
        <f>IF(D764="","",IFERROR(IF(INDEX(tt_Other,MATCH(D764,tt_Type,0))="",E764&amp;"",INDEX(tt_Other,MATCH(D764,tt_Type,0))),""))</f>
        <v/>
      </c>
      <c r="W764" s="68">
        <f>IF(OR(TaxOn&lt;&gt;"Yes",NOT(ISNUMBER(M764))),0,IF(IFERROR(INDEX(tt_Tax,MATCH(D764,tt_Type,0)),"No")="Yes",M764,0))</f>
        <v/>
      </c>
      <c r="X764" s="67">
        <f>IF(T764=1,"",IF(C764="","Missing transaction date",IF(NOT(ISNUMBER(C764)),"Invalid date",IF(OR(C764&lt;DATE(2000,1,1),C764&gt;DATE(2099,12,31)),"Invalid date",IF(D764="","Select a type",IF(U764="","Unknown type: "&amp;D764,IF(V764="","Select an account (Category)",IF(ISNA(MATCH(V764,coa_Name,0)),"Unknown account: "&amp;V764,IF(K764="","Select Paid From / Deposited To",IF(ISNA(MATCH(K764,coa_Name,0)),"Unknown account: "&amp;K764,IF(NOT(ISNUMBER(L764)),"Enter an amount",IF(L764=0,"Enter an amount",IF(ABS(W764)&gt;ABS(L764),"Tax is larger than the amount","")))))))))))))</f>
        <v/>
      </c>
      <c r="Y764" s="67">
        <f>IF(OR(T764=1,X764&lt;&gt;""),"",IF(AND(B764&lt;&gt;"",COUNTIF(tx_ID,B764)&gt;1),"Duplicate transaction ID",IF(AND(L764&lt;0,D764&lt;&gt;"Adjustment"),"Negative amount — check this entry",IF(AND(D764="Customer Payment",G764=""),"Add the customer",IF(AND(D764="Customer Payment",OR(J764="",COUNTIF(ar_No,J764&amp;"")=0)),"Invoice # in Reference not found on AR sheet",IF(AND(D764="Bill Payment",H764=""),"Add the vendor",IF(AND(D764="Bill Payment",OR(J764="",COUNTIFS(ap_No,J764&amp;"",ap_Party,H764&amp;"")=0)),"Bill # + vendor not found on AP sheet",IF(AND(ISNUMBER(M764),N(M764)&lt;&gt;0,W764=0),"Tax ignored (tax tracking off, or not allowed for this type)",IF(V764=K764&amp;"","Same account on both sides",IF(AND(ISNUMBER(StartDate),C764&lt;StartDate),"Date is before the accounting start date",IF(AND(D764&lt;&gt;"Adjustment",IFERROR(INDEX(coa_Pay,MATCH(K764&amp;"",coa_Name,0)),"")&lt;&gt;"Yes"),"Paid From / Deposited To is not a payment account","")))))))))))</f>
        <v/>
      </c>
      <c r="Z764" s="67">
        <f>IF(AND(T764=0,X764=""),1,0)</f>
        <v/>
      </c>
      <c r="AA764" s="68">
        <f>IF(Z764=1,IF(U764="In",L764,L764-W764),0)</f>
        <v/>
      </c>
      <c r="AB764" s="68">
        <f>IF(Z764=1,IF(U764="In",L764-W764,L764),0)</f>
        <v/>
      </c>
      <c r="AC764" s="68">
        <f>IF(AND(Z764=1,U764="Out"),W764,0)</f>
        <v/>
      </c>
      <c r="AD764" s="68">
        <f>IF(AND(Z764=1,U764="In"),W764,0)</f>
        <v/>
      </c>
    </row>
    <row r="765">
      <c r="B765" s="62" t="inlineStr">
        <is>
          <t>TX-0759</t>
        </is>
      </c>
      <c r="C765" s="63" t="n"/>
      <c r="D765" s="62" t="n"/>
      <c r="E765" s="62" t="n"/>
      <c r="F765" s="62" t="n"/>
      <c r="G765" s="62" t="n"/>
      <c r="H765" s="62" t="n"/>
      <c r="I765" s="62" t="n"/>
      <c r="J765" s="62" t="n"/>
      <c r="K765" s="62" t="n"/>
      <c r="L765" s="64" t="n"/>
      <c r="M765" s="64" t="n"/>
      <c r="N765" s="62" t="n"/>
      <c r="O765" s="65">
        <f>IF(Z765=1,L765-W765,"")</f>
        <v/>
      </c>
      <c r="P765" s="66">
        <f>IF(V765="","",IFERROR(INDEX(coa_Type,MATCH(V765,coa_Name,0)),""))</f>
        <v/>
      </c>
      <c r="Q765" s="66">
        <f>IF(Z765=1,IF(U765="In",K765&amp;"",V765),"")</f>
        <v/>
      </c>
      <c r="R765" s="66">
        <f>IF(Z765=1,IF(U765="In",V765,K765&amp;""),"")</f>
        <v/>
      </c>
      <c r="S765" s="66">
        <f>IF(X765&lt;&gt;"","⛔ "&amp;X765&amp;" — not posted",IF(Y765&lt;&gt;"","⚠ "&amp;Y765,IF(Z765=1,"✓ OK","")))</f>
        <v/>
      </c>
      <c r="T765" s="67">
        <f>IF(AND(C765="",D765="",E765="",L765="",K765=""),1,0)</f>
        <v/>
      </c>
      <c r="U765" s="67">
        <f>IFERROR(INDEX(tt_Dir,MATCH(D765,tt_Type,0)),"")</f>
        <v/>
      </c>
      <c r="V765" s="67">
        <f>IF(D765="","",IFERROR(IF(INDEX(tt_Other,MATCH(D765,tt_Type,0))="",E765&amp;"",INDEX(tt_Other,MATCH(D765,tt_Type,0))),""))</f>
        <v/>
      </c>
      <c r="W765" s="68">
        <f>IF(OR(TaxOn&lt;&gt;"Yes",NOT(ISNUMBER(M765))),0,IF(IFERROR(INDEX(tt_Tax,MATCH(D765,tt_Type,0)),"No")="Yes",M765,0))</f>
        <v/>
      </c>
      <c r="X765" s="67">
        <f>IF(T765=1,"",IF(C765="","Missing transaction date",IF(NOT(ISNUMBER(C765)),"Invalid date",IF(OR(C765&lt;DATE(2000,1,1),C765&gt;DATE(2099,12,31)),"Invalid date",IF(D765="","Select a type",IF(U765="","Unknown type: "&amp;D765,IF(V765="","Select an account (Category)",IF(ISNA(MATCH(V765,coa_Name,0)),"Unknown account: "&amp;V765,IF(K765="","Select Paid From / Deposited To",IF(ISNA(MATCH(K765,coa_Name,0)),"Unknown account: "&amp;K765,IF(NOT(ISNUMBER(L765)),"Enter an amount",IF(L765=0,"Enter an amount",IF(ABS(W765)&gt;ABS(L765),"Tax is larger than the amount","")))))))))))))</f>
        <v/>
      </c>
      <c r="Y765" s="67">
        <f>IF(OR(T765=1,X765&lt;&gt;""),"",IF(AND(B765&lt;&gt;"",COUNTIF(tx_ID,B765)&gt;1),"Duplicate transaction ID",IF(AND(L765&lt;0,D765&lt;&gt;"Adjustment"),"Negative amount — check this entry",IF(AND(D765="Customer Payment",G765=""),"Add the customer",IF(AND(D765="Customer Payment",OR(J765="",COUNTIF(ar_No,J765&amp;"")=0)),"Invoice # in Reference not found on AR sheet",IF(AND(D765="Bill Payment",H765=""),"Add the vendor",IF(AND(D765="Bill Payment",OR(J765="",COUNTIFS(ap_No,J765&amp;"",ap_Party,H765&amp;"")=0)),"Bill # + vendor not found on AP sheet",IF(AND(ISNUMBER(M765),N(M765)&lt;&gt;0,W765=0),"Tax ignored (tax tracking off, or not allowed for this type)",IF(V765=K765&amp;"","Same account on both sides",IF(AND(ISNUMBER(StartDate),C765&lt;StartDate),"Date is before the accounting start date",IF(AND(D765&lt;&gt;"Adjustment",IFERROR(INDEX(coa_Pay,MATCH(K765&amp;"",coa_Name,0)),"")&lt;&gt;"Yes"),"Paid From / Deposited To is not a payment account","")))))))))))</f>
        <v/>
      </c>
      <c r="Z765" s="67">
        <f>IF(AND(T765=0,X765=""),1,0)</f>
        <v/>
      </c>
      <c r="AA765" s="68">
        <f>IF(Z765=1,IF(U765="In",L765,L765-W765),0)</f>
        <v/>
      </c>
      <c r="AB765" s="68">
        <f>IF(Z765=1,IF(U765="In",L765-W765,L765),0)</f>
        <v/>
      </c>
      <c r="AC765" s="68">
        <f>IF(AND(Z765=1,U765="Out"),W765,0)</f>
        <v/>
      </c>
      <c r="AD765" s="68">
        <f>IF(AND(Z765=1,U765="In"),W765,0)</f>
        <v/>
      </c>
    </row>
    <row r="766">
      <c r="B766" s="62" t="inlineStr">
        <is>
          <t>TX-0760</t>
        </is>
      </c>
      <c r="C766" s="63" t="n"/>
      <c r="D766" s="62" t="n"/>
      <c r="E766" s="62" t="n"/>
      <c r="F766" s="62" t="n"/>
      <c r="G766" s="62" t="n"/>
      <c r="H766" s="62" t="n"/>
      <c r="I766" s="62" t="n"/>
      <c r="J766" s="62" t="n"/>
      <c r="K766" s="62" t="n"/>
      <c r="L766" s="64" t="n"/>
      <c r="M766" s="64" t="n"/>
      <c r="N766" s="62" t="n"/>
      <c r="O766" s="65">
        <f>IF(Z766=1,L766-W766,"")</f>
        <v/>
      </c>
      <c r="P766" s="66">
        <f>IF(V766="","",IFERROR(INDEX(coa_Type,MATCH(V766,coa_Name,0)),""))</f>
        <v/>
      </c>
      <c r="Q766" s="66">
        <f>IF(Z766=1,IF(U766="In",K766&amp;"",V766),"")</f>
        <v/>
      </c>
      <c r="R766" s="66">
        <f>IF(Z766=1,IF(U766="In",V766,K766&amp;""),"")</f>
        <v/>
      </c>
      <c r="S766" s="66">
        <f>IF(X766&lt;&gt;"","⛔ "&amp;X766&amp;" — not posted",IF(Y766&lt;&gt;"","⚠ "&amp;Y766,IF(Z766=1,"✓ OK","")))</f>
        <v/>
      </c>
      <c r="T766" s="67">
        <f>IF(AND(C766="",D766="",E766="",L766="",K766=""),1,0)</f>
        <v/>
      </c>
      <c r="U766" s="67">
        <f>IFERROR(INDEX(tt_Dir,MATCH(D766,tt_Type,0)),"")</f>
        <v/>
      </c>
      <c r="V766" s="67">
        <f>IF(D766="","",IFERROR(IF(INDEX(tt_Other,MATCH(D766,tt_Type,0))="",E766&amp;"",INDEX(tt_Other,MATCH(D766,tt_Type,0))),""))</f>
        <v/>
      </c>
      <c r="W766" s="68">
        <f>IF(OR(TaxOn&lt;&gt;"Yes",NOT(ISNUMBER(M766))),0,IF(IFERROR(INDEX(tt_Tax,MATCH(D766,tt_Type,0)),"No")="Yes",M766,0))</f>
        <v/>
      </c>
      <c r="X766" s="67">
        <f>IF(T766=1,"",IF(C766="","Missing transaction date",IF(NOT(ISNUMBER(C766)),"Invalid date",IF(OR(C766&lt;DATE(2000,1,1),C766&gt;DATE(2099,12,31)),"Invalid date",IF(D766="","Select a type",IF(U766="","Unknown type: "&amp;D766,IF(V766="","Select an account (Category)",IF(ISNA(MATCH(V766,coa_Name,0)),"Unknown account: "&amp;V766,IF(K766="","Select Paid From / Deposited To",IF(ISNA(MATCH(K766,coa_Name,0)),"Unknown account: "&amp;K766,IF(NOT(ISNUMBER(L766)),"Enter an amount",IF(L766=0,"Enter an amount",IF(ABS(W766)&gt;ABS(L766),"Tax is larger than the amount","")))))))))))))</f>
        <v/>
      </c>
      <c r="Y766" s="67">
        <f>IF(OR(T766=1,X766&lt;&gt;""),"",IF(AND(B766&lt;&gt;"",COUNTIF(tx_ID,B766)&gt;1),"Duplicate transaction ID",IF(AND(L766&lt;0,D766&lt;&gt;"Adjustment"),"Negative amount — check this entry",IF(AND(D766="Customer Payment",G766=""),"Add the customer",IF(AND(D766="Customer Payment",OR(J766="",COUNTIF(ar_No,J766&amp;"")=0)),"Invoice # in Reference not found on AR sheet",IF(AND(D766="Bill Payment",H766=""),"Add the vendor",IF(AND(D766="Bill Payment",OR(J766="",COUNTIFS(ap_No,J766&amp;"",ap_Party,H766&amp;"")=0)),"Bill # + vendor not found on AP sheet",IF(AND(ISNUMBER(M766),N(M766)&lt;&gt;0,W766=0),"Tax ignored (tax tracking off, or not allowed for this type)",IF(V766=K766&amp;"","Same account on both sides",IF(AND(ISNUMBER(StartDate),C766&lt;StartDate),"Date is before the accounting start date",IF(AND(D766&lt;&gt;"Adjustment",IFERROR(INDEX(coa_Pay,MATCH(K766&amp;"",coa_Name,0)),"")&lt;&gt;"Yes"),"Paid From / Deposited To is not a payment account","")))))))))))</f>
        <v/>
      </c>
      <c r="Z766" s="67">
        <f>IF(AND(T766=0,X766=""),1,0)</f>
        <v/>
      </c>
      <c r="AA766" s="68">
        <f>IF(Z766=1,IF(U766="In",L766,L766-W766),0)</f>
        <v/>
      </c>
      <c r="AB766" s="68">
        <f>IF(Z766=1,IF(U766="In",L766-W766,L766),0)</f>
        <v/>
      </c>
      <c r="AC766" s="68">
        <f>IF(AND(Z766=1,U766="Out"),W766,0)</f>
        <v/>
      </c>
      <c r="AD766" s="68">
        <f>IF(AND(Z766=1,U766="In"),W766,0)</f>
        <v/>
      </c>
    </row>
    <row r="767">
      <c r="B767" s="62" t="inlineStr">
        <is>
          <t>TX-0761</t>
        </is>
      </c>
      <c r="C767" s="63" t="n"/>
      <c r="D767" s="62" t="n"/>
      <c r="E767" s="62" t="n"/>
      <c r="F767" s="62" t="n"/>
      <c r="G767" s="62" t="n"/>
      <c r="H767" s="62" t="n"/>
      <c r="I767" s="62" t="n"/>
      <c r="J767" s="62" t="n"/>
      <c r="K767" s="62" t="n"/>
      <c r="L767" s="64" t="n"/>
      <c r="M767" s="64" t="n"/>
      <c r="N767" s="62" t="n"/>
      <c r="O767" s="65">
        <f>IF(Z767=1,L767-W767,"")</f>
        <v/>
      </c>
      <c r="P767" s="66">
        <f>IF(V767="","",IFERROR(INDEX(coa_Type,MATCH(V767,coa_Name,0)),""))</f>
        <v/>
      </c>
      <c r="Q767" s="66">
        <f>IF(Z767=1,IF(U767="In",K767&amp;"",V767),"")</f>
        <v/>
      </c>
      <c r="R767" s="66">
        <f>IF(Z767=1,IF(U767="In",V767,K767&amp;""),"")</f>
        <v/>
      </c>
      <c r="S767" s="66">
        <f>IF(X767&lt;&gt;"","⛔ "&amp;X767&amp;" — not posted",IF(Y767&lt;&gt;"","⚠ "&amp;Y767,IF(Z767=1,"✓ OK","")))</f>
        <v/>
      </c>
      <c r="T767" s="67">
        <f>IF(AND(C767="",D767="",E767="",L767="",K767=""),1,0)</f>
        <v/>
      </c>
      <c r="U767" s="67">
        <f>IFERROR(INDEX(tt_Dir,MATCH(D767,tt_Type,0)),"")</f>
        <v/>
      </c>
      <c r="V767" s="67">
        <f>IF(D767="","",IFERROR(IF(INDEX(tt_Other,MATCH(D767,tt_Type,0))="",E767&amp;"",INDEX(tt_Other,MATCH(D767,tt_Type,0))),""))</f>
        <v/>
      </c>
      <c r="W767" s="68">
        <f>IF(OR(TaxOn&lt;&gt;"Yes",NOT(ISNUMBER(M767))),0,IF(IFERROR(INDEX(tt_Tax,MATCH(D767,tt_Type,0)),"No")="Yes",M767,0))</f>
        <v/>
      </c>
      <c r="X767" s="67">
        <f>IF(T767=1,"",IF(C767="","Missing transaction date",IF(NOT(ISNUMBER(C767)),"Invalid date",IF(OR(C767&lt;DATE(2000,1,1),C767&gt;DATE(2099,12,31)),"Invalid date",IF(D767="","Select a type",IF(U767="","Unknown type: "&amp;D767,IF(V767="","Select an account (Category)",IF(ISNA(MATCH(V767,coa_Name,0)),"Unknown account: "&amp;V767,IF(K767="","Select Paid From / Deposited To",IF(ISNA(MATCH(K767,coa_Name,0)),"Unknown account: "&amp;K767,IF(NOT(ISNUMBER(L767)),"Enter an amount",IF(L767=0,"Enter an amount",IF(ABS(W767)&gt;ABS(L767),"Tax is larger than the amount","")))))))))))))</f>
        <v/>
      </c>
      <c r="Y767" s="67">
        <f>IF(OR(T767=1,X767&lt;&gt;""),"",IF(AND(B767&lt;&gt;"",COUNTIF(tx_ID,B767)&gt;1),"Duplicate transaction ID",IF(AND(L767&lt;0,D767&lt;&gt;"Adjustment"),"Negative amount — check this entry",IF(AND(D767="Customer Payment",G767=""),"Add the customer",IF(AND(D767="Customer Payment",OR(J767="",COUNTIF(ar_No,J767&amp;"")=0)),"Invoice # in Reference not found on AR sheet",IF(AND(D767="Bill Payment",H767=""),"Add the vendor",IF(AND(D767="Bill Payment",OR(J767="",COUNTIFS(ap_No,J767&amp;"",ap_Party,H767&amp;"")=0)),"Bill # + vendor not found on AP sheet",IF(AND(ISNUMBER(M767),N(M767)&lt;&gt;0,W767=0),"Tax ignored (tax tracking off, or not allowed for this type)",IF(V767=K767&amp;"","Same account on both sides",IF(AND(ISNUMBER(StartDate),C767&lt;StartDate),"Date is before the accounting start date",IF(AND(D767&lt;&gt;"Adjustment",IFERROR(INDEX(coa_Pay,MATCH(K767&amp;"",coa_Name,0)),"")&lt;&gt;"Yes"),"Paid From / Deposited To is not a payment account","")))))))))))</f>
        <v/>
      </c>
      <c r="Z767" s="67">
        <f>IF(AND(T767=0,X767=""),1,0)</f>
        <v/>
      </c>
      <c r="AA767" s="68">
        <f>IF(Z767=1,IF(U767="In",L767,L767-W767),0)</f>
        <v/>
      </c>
      <c r="AB767" s="68">
        <f>IF(Z767=1,IF(U767="In",L767-W767,L767),0)</f>
        <v/>
      </c>
      <c r="AC767" s="68">
        <f>IF(AND(Z767=1,U767="Out"),W767,0)</f>
        <v/>
      </c>
      <c r="AD767" s="68">
        <f>IF(AND(Z767=1,U767="In"),W767,0)</f>
        <v/>
      </c>
    </row>
    <row r="768">
      <c r="B768" s="62" t="inlineStr">
        <is>
          <t>TX-0762</t>
        </is>
      </c>
      <c r="C768" s="63" t="n"/>
      <c r="D768" s="62" t="n"/>
      <c r="E768" s="62" t="n"/>
      <c r="F768" s="62" t="n"/>
      <c r="G768" s="62" t="n"/>
      <c r="H768" s="62" t="n"/>
      <c r="I768" s="62" t="n"/>
      <c r="J768" s="62" t="n"/>
      <c r="K768" s="62" t="n"/>
      <c r="L768" s="64" t="n"/>
      <c r="M768" s="64" t="n"/>
      <c r="N768" s="62" t="n"/>
      <c r="O768" s="65">
        <f>IF(Z768=1,L768-W768,"")</f>
        <v/>
      </c>
      <c r="P768" s="66">
        <f>IF(V768="","",IFERROR(INDEX(coa_Type,MATCH(V768,coa_Name,0)),""))</f>
        <v/>
      </c>
      <c r="Q768" s="66">
        <f>IF(Z768=1,IF(U768="In",K768&amp;"",V768),"")</f>
        <v/>
      </c>
      <c r="R768" s="66">
        <f>IF(Z768=1,IF(U768="In",V768,K768&amp;""),"")</f>
        <v/>
      </c>
      <c r="S768" s="66">
        <f>IF(X768&lt;&gt;"","⛔ "&amp;X768&amp;" — not posted",IF(Y768&lt;&gt;"","⚠ "&amp;Y768,IF(Z768=1,"✓ OK","")))</f>
        <v/>
      </c>
      <c r="T768" s="67">
        <f>IF(AND(C768="",D768="",E768="",L768="",K768=""),1,0)</f>
        <v/>
      </c>
      <c r="U768" s="67">
        <f>IFERROR(INDEX(tt_Dir,MATCH(D768,tt_Type,0)),"")</f>
        <v/>
      </c>
      <c r="V768" s="67">
        <f>IF(D768="","",IFERROR(IF(INDEX(tt_Other,MATCH(D768,tt_Type,0))="",E768&amp;"",INDEX(tt_Other,MATCH(D768,tt_Type,0))),""))</f>
        <v/>
      </c>
      <c r="W768" s="68">
        <f>IF(OR(TaxOn&lt;&gt;"Yes",NOT(ISNUMBER(M768))),0,IF(IFERROR(INDEX(tt_Tax,MATCH(D768,tt_Type,0)),"No")="Yes",M768,0))</f>
        <v/>
      </c>
      <c r="X768" s="67">
        <f>IF(T768=1,"",IF(C768="","Missing transaction date",IF(NOT(ISNUMBER(C768)),"Invalid date",IF(OR(C768&lt;DATE(2000,1,1),C768&gt;DATE(2099,12,31)),"Invalid date",IF(D768="","Select a type",IF(U768="","Unknown type: "&amp;D768,IF(V768="","Select an account (Category)",IF(ISNA(MATCH(V768,coa_Name,0)),"Unknown account: "&amp;V768,IF(K768="","Select Paid From / Deposited To",IF(ISNA(MATCH(K768,coa_Name,0)),"Unknown account: "&amp;K768,IF(NOT(ISNUMBER(L768)),"Enter an amount",IF(L768=0,"Enter an amount",IF(ABS(W768)&gt;ABS(L768),"Tax is larger than the amount","")))))))))))))</f>
        <v/>
      </c>
      <c r="Y768" s="67">
        <f>IF(OR(T768=1,X768&lt;&gt;""),"",IF(AND(B768&lt;&gt;"",COUNTIF(tx_ID,B768)&gt;1),"Duplicate transaction ID",IF(AND(L768&lt;0,D768&lt;&gt;"Adjustment"),"Negative amount — check this entry",IF(AND(D768="Customer Payment",G768=""),"Add the customer",IF(AND(D768="Customer Payment",OR(J768="",COUNTIF(ar_No,J768&amp;"")=0)),"Invoice # in Reference not found on AR sheet",IF(AND(D768="Bill Payment",H768=""),"Add the vendor",IF(AND(D768="Bill Payment",OR(J768="",COUNTIFS(ap_No,J768&amp;"",ap_Party,H768&amp;"")=0)),"Bill # + vendor not found on AP sheet",IF(AND(ISNUMBER(M768),N(M768)&lt;&gt;0,W768=0),"Tax ignored (tax tracking off, or not allowed for this type)",IF(V768=K768&amp;"","Same account on both sides",IF(AND(ISNUMBER(StartDate),C768&lt;StartDate),"Date is before the accounting start date",IF(AND(D768&lt;&gt;"Adjustment",IFERROR(INDEX(coa_Pay,MATCH(K768&amp;"",coa_Name,0)),"")&lt;&gt;"Yes"),"Paid From / Deposited To is not a payment account","")))))))))))</f>
        <v/>
      </c>
      <c r="Z768" s="67">
        <f>IF(AND(T768=0,X768=""),1,0)</f>
        <v/>
      </c>
      <c r="AA768" s="68">
        <f>IF(Z768=1,IF(U768="In",L768,L768-W768),0)</f>
        <v/>
      </c>
      <c r="AB768" s="68">
        <f>IF(Z768=1,IF(U768="In",L768-W768,L768),0)</f>
        <v/>
      </c>
      <c r="AC768" s="68">
        <f>IF(AND(Z768=1,U768="Out"),W768,0)</f>
        <v/>
      </c>
      <c r="AD768" s="68">
        <f>IF(AND(Z768=1,U768="In"),W768,0)</f>
        <v/>
      </c>
    </row>
    <row r="769">
      <c r="B769" s="62" t="inlineStr">
        <is>
          <t>TX-0763</t>
        </is>
      </c>
      <c r="C769" s="63" t="n"/>
      <c r="D769" s="62" t="n"/>
      <c r="E769" s="62" t="n"/>
      <c r="F769" s="62" t="n"/>
      <c r="G769" s="62" t="n"/>
      <c r="H769" s="62" t="n"/>
      <c r="I769" s="62" t="n"/>
      <c r="J769" s="62" t="n"/>
      <c r="K769" s="62" t="n"/>
      <c r="L769" s="64" t="n"/>
      <c r="M769" s="64" t="n"/>
      <c r="N769" s="62" t="n"/>
      <c r="O769" s="65">
        <f>IF(Z769=1,L769-W769,"")</f>
        <v/>
      </c>
      <c r="P769" s="66">
        <f>IF(V769="","",IFERROR(INDEX(coa_Type,MATCH(V769,coa_Name,0)),""))</f>
        <v/>
      </c>
      <c r="Q769" s="66">
        <f>IF(Z769=1,IF(U769="In",K769&amp;"",V769),"")</f>
        <v/>
      </c>
      <c r="R769" s="66">
        <f>IF(Z769=1,IF(U769="In",V769,K769&amp;""),"")</f>
        <v/>
      </c>
      <c r="S769" s="66">
        <f>IF(X769&lt;&gt;"","⛔ "&amp;X769&amp;" — not posted",IF(Y769&lt;&gt;"","⚠ "&amp;Y769,IF(Z769=1,"✓ OK","")))</f>
        <v/>
      </c>
      <c r="T769" s="67">
        <f>IF(AND(C769="",D769="",E769="",L769="",K769=""),1,0)</f>
        <v/>
      </c>
      <c r="U769" s="67">
        <f>IFERROR(INDEX(tt_Dir,MATCH(D769,tt_Type,0)),"")</f>
        <v/>
      </c>
      <c r="V769" s="67">
        <f>IF(D769="","",IFERROR(IF(INDEX(tt_Other,MATCH(D769,tt_Type,0))="",E769&amp;"",INDEX(tt_Other,MATCH(D769,tt_Type,0))),""))</f>
        <v/>
      </c>
      <c r="W769" s="68">
        <f>IF(OR(TaxOn&lt;&gt;"Yes",NOT(ISNUMBER(M769))),0,IF(IFERROR(INDEX(tt_Tax,MATCH(D769,tt_Type,0)),"No")="Yes",M769,0))</f>
        <v/>
      </c>
      <c r="X769" s="67">
        <f>IF(T769=1,"",IF(C769="","Missing transaction date",IF(NOT(ISNUMBER(C769)),"Invalid date",IF(OR(C769&lt;DATE(2000,1,1),C769&gt;DATE(2099,12,31)),"Invalid date",IF(D769="","Select a type",IF(U769="","Unknown type: "&amp;D769,IF(V769="","Select an account (Category)",IF(ISNA(MATCH(V769,coa_Name,0)),"Unknown account: "&amp;V769,IF(K769="","Select Paid From / Deposited To",IF(ISNA(MATCH(K769,coa_Name,0)),"Unknown account: "&amp;K769,IF(NOT(ISNUMBER(L769)),"Enter an amount",IF(L769=0,"Enter an amount",IF(ABS(W769)&gt;ABS(L769),"Tax is larger than the amount","")))))))))))))</f>
        <v/>
      </c>
      <c r="Y769" s="67">
        <f>IF(OR(T769=1,X769&lt;&gt;""),"",IF(AND(B769&lt;&gt;"",COUNTIF(tx_ID,B769)&gt;1),"Duplicate transaction ID",IF(AND(L769&lt;0,D769&lt;&gt;"Adjustment"),"Negative amount — check this entry",IF(AND(D769="Customer Payment",G769=""),"Add the customer",IF(AND(D769="Customer Payment",OR(J769="",COUNTIF(ar_No,J769&amp;"")=0)),"Invoice # in Reference not found on AR sheet",IF(AND(D769="Bill Payment",H769=""),"Add the vendor",IF(AND(D769="Bill Payment",OR(J769="",COUNTIFS(ap_No,J769&amp;"",ap_Party,H769&amp;"")=0)),"Bill # + vendor not found on AP sheet",IF(AND(ISNUMBER(M769),N(M769)&lt;&gt;0,W769=0),"Tax ignored (tax tracking off, or not allowed for this type)",IF(V769=K769&amp;"","Same account on both sides",IF(AND(ISNUMBER(StartDate),C769&lt;StartDate),"Date is before the accounting start date",IF(AND(D769&lt;&gt;"Adjustment",IFERROR(INDEX(coa_Pay,MATCH(K769&amp;"",coa_Name,0)),"")&lt;&gt;"Yes"),"Paid From / Deposited To is not a payment account","")))))))))))</f>
        <v/>
      </c>
      <c r="Z769" s="67">
        <f>IF(AND(T769=0,X769=""),1,0)</f>
        <v/>
      </c>
      <c r="AA769" s="68">
        <f>IF(Z769=1,IF(U769="In",L769,L769-W769),0)</f>
        <v/>
      </c>
      <c r="AB769" s="68">
        <f>IF(Z769=1,IF(U769="In",L769-W769,L769),0)</f>
        <v/>
      </c>
      <c r="AC769" s="68">
        <f>IF(AND(Z769=1,U769="Out"),W769,0)</f>
        <v/>
      </c>
      <c r="AD769" s="68">
        <f>IF(AND(Z769=1,U769="In"),W769,0)</f>
        <v/>
      </c>
    </row>
    <row r="770">
      <c r="B770" s="62" t="inlineStr">
        <is>
          <t>TX-0764</t>
        </is>
      </c>
      <c r="C770" s="63" t="n"/>
      <c r="D770" s="62" t="n"/>
      <c r="E770" s="62" t="n"/>
      <c r="F770" s="62" t="n"/>
      <c r="G770" s="62" t="n"/>
      <c r="H770" s="62" t="n"/>
      <c r="I770" s="62" t="n"/>
      <c r="J770" s="62" t="n"/>
      <c r="K770" s="62" t="n"/>
      <c r="L770" s="64" t="n"/>
      <c r="M770" s="64" t="n"/>
      <c r="N770" s="62" t="n"/>
      <c r="O770" s="65">
        <f>IF(Z770=1,L770-W770,"")</f>
        <v/>
      </c>
      <c r="P770" s="66">
        <f>IF(V770="","",IFERROR(INDEX(coa_Type,MATCH(V770,coa_Name,0)),""))</f>
        <v/>
      </c>
      <c r="Q770" s="66">
        <f>IF(Z770=1,IF(U770="In",K770&amp;"",V770),"")</f>
        <v/>
      </c>
      <c r="R770" s="66">
        <f>IF(Z770=1,IF(U770="In",V770,K770&amp;""),"")</f>
        <v/>
      </c>
      <c r="S770" s="66">
        <f>IF(X770&lt;&gt;"","⛔ "&amp;X770&amp;" — not posted",IF(Y770&lt;&gt;"","⚠ "&amp;Y770,IF(Z770=1,"✓ OK","")))</f>
        <v/>
      </c>
      <c r="T770" s="67">
        <f>IF(AND(C770="",D770="",E770="",L770="",K770=""),1,0)</f>
        <v/>
      </c>
      <c r="U770" s="67">
        <f>IFERROR(INDEX(tt_Dir,MATCH(D770,tt_Type,0)),"")</f>
        <v/>
      </c>
      <c r="V770" s="67">
        <f>IF(D770="","",IFERROR(IF(INDEX(tt_Other,MATCH(D770,tt_Type,0))="",E770&amp;"",INDEX(tt_Other,MATCH(D770,tt_Type,0))),""))</f>
        <v/>
      </c>
      <c r="W770" s="68">
        <f>IF(OR(TaxOn&lt;&gt;"Yes",NOT(ISNUMBER(M770))),0,IF(IFERROR(INDEX(tt_Tax,MATCH(D770,tt_Type,0)),"No")="Yes",M770,0))</f>
        <v/>
      </c>
      <c r="X770" s="67">
        <f>IF(T770=1,"",IF(C770="","Missing transaction date",IF(NOT(ISNUMBER(C770)),"Invalid date",IF(OR(C770&lt;DATE(2000,1,1),C770&gt;DATE(2099,12,31)),"Invalid date",IF(D770="","Select a type",IF(U770="","Unknown type: "&amp;D770,IF(V770="","Select an account (Category)",IF(ISNA(MATCH(V770,coa_Name,0)),"Unknown account: "&amp;V770,IF(K770="","Select Paid From / Deposited To",IF(ISNA(MATCH(K770,coa_Name,0)),"Unknown account: "&amp;K770,IF(NOT(ISNUMBER(L770)),"Enter an amount",IF(L770=0,"Enter an amount",IF(ABS(W770)&gt;ABS(L770),"Tax is larger than the amount","")))))))))))))</f>
        <v/>
      </c>
      <c r="Y770" s="67">
        <f>IF(OR(T770=1,X770&lt;&gt;""),"",IF(AND(B770&lt;&gt;"",COUNTIF(tx_ID,B770)&gt;1),"Duplicate transaction ID",IF(AND(L770&lt;0,D770&lt;&gt;"Adjustment"),"Negative amount — check this entry",IF(AND(D770="Customer Payment",G770=""),"Add the customer",IF(AND(D770="Customer Payment",OR(J770="",COUNTIF(ar_No,J770&amp;"")=0)),"Invoice # in Reference not found on AR sheet",IF(AND(D770="Bill Payment",H770=""),"Add the vendor",IF(AND(D770="Bill Payment",OR(J770="",COUNTIFS(ap_No,J770&amp;"",ap_Party,H770&amp;"")=0)),"Bill # + vendor not found on AP sheet",IF(AND(ISNUMBER(M770),N(M770)&lt;&gt;0,W770=0),"Tax ignored (tax tracking off, or not allowed for this type)",IF(V770=K770&amp;"","Same account on both sides",IF(AND(ISNUMBER(StartDate),C770&lt;StartDate),"Date is before the accounting start date",IF(AND(D770&lt;&gt;"Adjustment",IFERROR(INDEX(coa_Pay,MATCH(K770&amp;"",coa_Name,0)),"")&lt;&gt;"Yes"),"Paid From / Deposited To is not a payment account","")))))))))))</f>
        <v/>
      </c>
      <c r="Z770" s="67">
        <f>IF(AND(T770=0,X770=""),1,0)</f>
        <v/>
      </c>
      <c r="AA770" s="68">
        <f>IF(Z770=1,IF(U770="In",L770,L770-W770),0)</f>
        <v/>
      </c>
      <c r="AB770" s="68">
        <f>IF(Z770=1,IF(U770="In",L770-W770,L770),0)</f>
        <v/>
      </c>
      <c r="AC770" s="68">
        <f>IF(AND(Z770=1,U770="Out"),W770,0)</f>
        <v/>
      </c>
      <c r="AD770" s="68">
        <f>IF(AND(Z770=1,U770="In"),W770,0)</f>
        <v/>
      </c>
    </row>
    <row r="771">
      <c r="B771" s="62" t="inlineStr">
        <is>
          <t>TX-0765</t>
        </is>
      </c>
      <c r="C771" s="63" t="n"/>
      <c r="D771" s="62" t="n"/>
      <c r="E771" s="62" t="n"/>
      <c r="F771" s="62" t="n"/>
      <c r="G771" s="62" t="n"/>
      <c r="H771" s="62" t="n"/>
      <c r="I771" s="62" t="n"/>
      <c r="J771" s="62" t="n"/>
      <c r="K771" s="62" t="n"/>
      <c r="L771" s="64" t="n"/>
      <c r="M771" s="64" t="n"/>
      <c r="N771" s="62" t="n"/>
      <c r="O771" s="65">
        <f>IF(Z771=1,L771-W771,"")</f>
        <v/>
      </c>
      <c r="P771" s="66">
        <f>IF(V771="","",IFERROR(INDEX(coa_Type,MATCH(V771,coa_Name,0)),""))</f>
        <v/>
      </c>
      <c r="Q771" s="66">
        <f>IF(Z771=1,IF(U771="In",K771&amp;"",V771),"")</f>
        <v/>
      </c>
      <c r="R771" s="66">
        <f>IF(Z771=1,IF(U771="In",V771,K771&amp;""),"")</f>
        <v/>
      </c>
      <c r="S771" s="66">
        <f>IF(X771&lt;&gt;"","⛔ "&amp;X771&amp;" — not posted",IF(Y771&lt;&gt;"","⚠ "&amp;Y771,IF(Z771=1,"✓ OK","")))</f>
        <v/>
      </c>
      <c r="T771" s="67">
        <f>IF(AND(C771="",D771="",E771="",L771="",K771=""),1,0)</f>
        <v/>
      </c>
      <c r="U771" s="67">
        <f>IFERROR(INDEX(tt_Dir,MATCH(D771,tt_Type,0)),"")</f>
        <v/>
      </c>
      <c r="V771" s="67">
        <f>IF(D771="","",IFERROR(IF(INDEX(tt_Other,MATCH(D771,tt_Type,0))="",E771&amp;"",INDEX(tt_Other,MATCH(D771,tt_Type,0))),""))</f>
        <v/>
      </c>
      <c r="W771" s="68">
        <f>IF(OR(TaxOn&lt;&gt;"Yes",NOT(ISNUMBER(M771))),0,IF(IFERROR(INDEX(tt_Tax,MATCH(D771,tt_Type,0)),"No")="Yes",M771,0))</f>
        <v/>
      </c>
      <c r="X771" s="67">
        <f>IF(T771=1,"",IF(C771="","Missing transaction date",IF(NOT(ISNUMBER(C771)),"Invalid date",IF(OR(C771&lt;DATE(2000,1,1),C771&gt;DATE(2099,12,31)),"Invalid date",IF(D771="","Select a type",IF(U771="","Unknown type: "&amp;D771,IF(V771="","Select an account (Category)",IF(ISNA(MATCH(V771,coa_Name,0)),"Unknown account: "&amp;V771,IF(K771="","Select Paid From / Deposited To",IF(ISNA(MATCH(K771,coa_Name,0)),"Unknown account: "&amp;K771,IF(NOT(ISNUMBER(L771)),"Enter an amount",IF(L771=0,"Enter an amount",IF(ABS(W771)&gt;ABS(L771),"Tax is larger than the amount","")))))))))))))</f>
        <v/>
      </c>
      <c r="Y771" s="67">
        <f>IF(OR(T771=1,X771&lt;&gt;""),"",IF(AND(B771&lt;&gt;"",COUNTIF(tx_ID,B771)&gt;1),"Duplicate transaction ID",IF(AND(L771&lt;0,D771&lt;&gt;"Adjustment"),"Negative amount — check this entry",IF(AND(D771="Customer Payment",G771=""),"Add the customer",IF(AND(D771="Customer Payment",OR(J771="",COUNTIF(ar_No,J771&amp;"")=0)),"Invoice # in Reference not found on AR sheet",IF(AND(D771="Bill Payment",H771=""),"Add the vendor",IF(AND(D771="Bill Payment",OR(J771="",COUNTIFS(ap_No,J771&amp;"",ap_Party,H771&amp;"")=0)),"Bill # + vendor not found on AP sheet",IF(AND(ISNUMBER(M771),N(M771)&lt;&gt;0,W771=0),"Tax ignored (tax tracking off, or not allowed for this type)",IF(V771=K771&amp;"","Same account on both sides",IF(AND(ISNUMBER(StartDate),C771&lt;StartDate),"Date is before the accounting start date",IF(AND(D771&lt;&gt;"Adjustment",IFERROR(INDEX(coa_Pay,MATCH(K771&amp;"",coa_Name,0)),"")&lt;&gt;"Yes"),"Paid From / Deposited To is not a payment account","")))))))))))</f>
        <v/>
      </c>
      <c r="Z771" s="67">
        <f>IF(AND(T771=0,X771=""),1,0)</f>
        <v/>
      </c>
      <c r="AA771" s="68">
        <f>IF(Z771=1,IF(U771="In",L771,L771-W771),0)</f>
        <v/>
      </c>
      <c r="AB771" s="68">
        <f>IF(Z771=1,IF(U771="In",L771-W771,L771),0)</f>
        <v/>
      </c>
      <c r="AC771" s="68">
        <f>IF(AND(Z771=1,U771="Out"),W771,0)</f>
        <v/>
      </c>
      <c r="AD771" s="68">
        <f>IF(AND(Z771=1,U771="In"),W771,0)</f>
        <v/>
      </c>
    </row>
    <row r="772">
      <c r="B772" s="62" t="inlineStr">
        <is>
          <t>TX-0766</t>
        </is>
      </c>
      <c r="C772" s="63" t="n"/>
      <c r="D772" s="62" t="n"/>
      <c r="E772" s="62" t="n"/>
      <c r="F772" s="62" t="n"/>
      <c r="G772" s="62" t="n"/>
      <c r="H772" s="62" t="n"/>
      <c r="I772" s="62" t="n"/>
      <c r="J772" s="62" t="n"/>
      <c r="K772" s="62" t="n"/>
      <c r="L772" s="64" t="n"/>
      <c r="M772" s="64" t="n"/>
      <c r="N772" s="62" t="n"/>
      <c r="O772" s="65">
        <f>IF(Z772=1,L772-W772,"")</f>
        <v/>
      </c>
      <c r="P772" s="66">
        <f>IF(V772="","",IFERROR(INDEX(coa_Type,MATCH(V772,coa_Name,0)),""))</f>
        <v/>
      </c>
      <c r="Q772" s="66">
        <f>IF(Z772=1,IF(U772="In",K772&amp;"",V772),"")</f>
        <v/>
      </c>
      <c r="R772" s="66">
        <f>IF(Z772=1,IF(U772="In",V772,K772&amp;""),"")</f>
        <v/>
      </c>
      <c r="S772" s="66">
        <f>IF(X772&lt;&gt;"","⛔ "&amp;X772&amp;" — not posted",IF(Y772&lt;&gt;"","⚠ "&amp;Y772,IF(Z772=1,"✓ OK","")))</f>
        <v/>
      </c>
      <c r="T772" s="67">
        <f>IF(AND(C772="",D772="",E772="",L772="",K772=""),1,0)</f>
        <v/>
      </c>
      <c r="U772" s="67">
        <f>IFERROR(INDEX(tt_Dir,MATCH(D772,tt_Type,0)),"")</f>
        <v/>
      </c>
      <c r="V772" s="67">
        <f>IF(D772="","",IFERROR(IF(INDEX(tt_Other,MATCH(D772,tt_Type,0))="",E772&amp;"",INDEX(tt_Other,MATCH(D772,tt_Type,0))),""))</f>
        <v/>
      </c>
      <c r="W772" s="68">
        <f>IF(OR(TaxOn&lt;&gt;"Yes",NOT(ISNUMBER(M772))),0,IF(IFERROR(INDEX(tt_Tax,MATCH(D772,tt_Type,0)),"No")="Yes",M772,0))</f>
        <v/>
      </c>
      <c r="X772" s="67">
        <f>IF(T772=1,"",IF(C772="","Missing transaction date",IF(NOT(ISNUMBER(C772)),"Invalid date",IF(OR(C772&lt;DATE(2000,1,1),C772&gt;DATE(2099,12,31)),"Invalid date",IF(D772="","Select a type",IF(U772="","Unknown type: "&amp;D772,IF(V772="","Select an account (Category)",IF(ISNA(MATCH(V772,coa_Name,0)),"Unknown account: "&amp;V772,IF(K772="","Select Paid From / Deposited To",IF(ISNA(MATCH(K772,coa_Name,0)),"Unknown account: "&amp;K772,IF(NOT(ISNUMBER(L772)),"Enter an amount",IF(L772=0,"Enter an amount",IF(ABS(W772)&gt;ABS(L772),"Tax is larger than the amount","")))))))))))))</f>
        <v/>
      </c>
      <c r="Y772" s="67">
        <f>IF(OR(T772=1,X772&lt;&gt;""),"",IF(AND(B772&lt;&gt;"",COUNTIF(tx_ID,B772)&gt;1),"Duplicate transaction ID",IF(AND(L772&lt;0,D772&lt;&gt;"Adjustment"),"Negative amount — check this entry",IF(AND(D772="Customer Payment",G772=""),"Add the customer",IF(AND(D772="Customer Payment",OR(J772="",COUNTIF(ar_No,J772&amp;"")=0)),"Invoice # in Reference not found on AR sheet",IF(AND(D772="Bill Payment",H772=""),"Add the vendor",IF(AND(D772="Bill Payment",OR(J772="",COUNTIFS(ap_No,J772&amp;"",ap_Party,H772&amp;"")=0)),"Bill # + vendor not found on AP sheet",IF(AND(ISNUMBER(M772),N(M772)&lt;&gt;0,W772=0),"Tax ignored (tax tracking off, or not allowed for this type)",IF(V772=K772&amp;"","Same account on both sides",IF(AND(ISNUMBER(StartDate),C772&lt;StartDate),"Date is before the accounting start date",IF(AND(D772&lt;&gt;"Adjustment",IFERROR(INDEX(coa_Pay,MATCH(K772&amp;"",coa_Name,0)),"")&lt;&gt;"Yes"),"Paid From / Deposited To is not a payment account","")))))))))))</f>
        <v/>
      </c>
      <c r="Z772" s="67">
        <f>IF(AND(T772=0,X772=""),1,0)</f>
        <v/>
      </c>
      <c r="AA772" s="68">
        <f>IF(Z772=1,IF(U772="In",L772,L772-W772),0)</f>
        <v/>
      </c>
      <c r="AB772" s="68">
        <f>IF(Z772=1,IF(U772="In",L772-W772,L772),0)</f>
        <v/>
      </c>
      <c r="AC772" s="68">
        <f>IF(AND(Z772=1,U772="Out"),W772,0)</f>
        <v/>
      </c>
      <c r="AD772" s="68">
        <f>IF(AND(Z772=1,U772="In"),W772,0)</f>
        <v/>
      </c>
    </row>
    <row r="773">
      <c r="B773" s="62" t="inlineStr">
        <is>
          <t>TX-0767</t>
        </is>
      </c>
      <c r="C773" s="63" t="n"/>
      <c r="D773" s="62" t="n"/>
      <c r="E773" s="62" t="n"/>
      <c r="F773" s="62" t="n"/>
      <c r="G773" s="62" t="n"/>
      <c r="H773" s="62" t="n"/>
      <c r="I773" s="62" t="n"/>
      <c r="J773" s="62" t="n"/>
      <c r="K773" s="62" t="n"/>
      <c r="L773" s="64" t="n"/>
      <c r="M773" s="64" t="n"/>
      <c r="N773" s="62" t="n"/>
      <c r="O773" s="65">
        <f>IF(Z773=1,L773-W773,"")</f>
        <v/>
      </c>
      <c r="P773" s="66">
        <f>IF(V773="","",IFERROR(INDEX(coa_Type,MATCH(V773,coa_Name,0)),""))</f>
        <v/>
      </c>
      <c r="Q773" s="66">
        <f>IF(Z773=1,IF(U773="In",K773&amp;"",V773),"")</f>
        <v/>
      </c>
      <c r="R773" s="66">
        <f>IF(Z773=1,IF(U773="In",V773,K773&amp;""),"")</f>
        <v/>
      </c>
      <c r="S773" s="66">
        <f>IF(X773&lt;&gt;"","⛔ "&amp;X773&amp;" — not posted",IF(Y773&lt;&gt;"","⚠ "&amp;Y773,IF(Z773=1,"✓ OK","")))</f>
        <v/>
      </c>
      <c r="T773" s="67">
        <f>IF(AND(C773="",D773="",E773="",L773="",K773=""),1,0)</f>
        <v/>
      </c>
      <c r="U773" s="67">
        <f>IFERROR(INDEX(tt_Dir,MATCH(D773,tt_Type,0)),"")</f>
        <v/>
      </c>
      <c r="V773" s="67">
        <f>IF(D773="","",IFERROR(IF(INDEX(tt_Other,MATCH(D773,tt_Type,0))="",E773&amp;"",INDEX(tt_Other,MATCH(D773,tt_Type,0))),""))</f>
        <v/>
      </c>
      <c r="W773" s="68">
        <f>IF(OR(TaxOn&lt;&gt;"Yes",NOT(ISNUMBER(M773))),0,IF(IFERROR(INDEX(tt_Tax,MATCH(D773,tt_Type,0)),"No")="Yes",M773,0))</f>
        <v/>
      </c>
      <c r="X773" s="67">
        <f>IF(T773=1,"",IF(C773="","Missing transaction date",IF(NOT(ISNUMBER(C773)),"Invalid date",IF(OR(C773&lt;DATE(2000,1,1),C773&gt;DATE(2099,12,31)),"Invalid date",IF(D773="","Select a type",IF(U773="","Unknown type: "&amp;D773,IF(V773="","Select an account (Category)",IF(ISNA(MATCH(V773,coa_Name,0)),"Unknown account: "&amp;V773,IF(K773="","Select Paid From / Deposited To",IF(ISNA(MATCH(K773,coa_Name,0)),"Unknown account: "&amp;K773,IF(NOT(ISNUMBER(L773)),"Enter an amount",IF(L773=0,"Enter an amount",IF(ABS(W773)&gt;ABS(L773),"Tax is larger than the amount","")))))))))))))</f>
        <v/>
      </c>
      <c r="Y773" s="67">
        <f>IF(OR(T773=1,X773&lt;&gt;""),"",IF(AND(B773&lt;&gt;"",COUNTIF(tx_ID,B773)&gt;1),"Duplicate transaction ID",IF(AND(L773&lt;0,D773&lt;&gt;"Adjustment"),"Negative amount — check this entry",IF(AND(D773="Customer Payment",G773=""),"Add the customer",IF(AND(D773="Customer Payment",OR(J773="",COUNTIF(ar_No,J773&amp;"")=0)),"Invoice # in Reference not found on AR sheet",IF(AND(D773="Bill Payment",H773=""),"Add the vendor",IF(AND(D773="Bill Payment",OR(J773="",COUNTIFS(ap_No,J773&amp;"",ap_Party,H773&amp;"")=0)),"Bill # + vendor not found on AP sheet",IF(AND(ISNUMBER(M773),N(M773)&lt;&gt;0,W773=0),"Tax ignored (tax tracking off, or not allowed for this type)",IF(V773=K773&amp;"","Same account on both sides",IF(AND(ISNUMBER(StartDate),C773&lt;StartDate),"Date is before the accounting start date",IF(AND(D773&lt;&gt;"Adjustment",IFERROR(INDEX(coa_Pay,MATCH(K773&amp;"",coa_Name,0)),"")&lt;&gt;"Yes"),"Paid From / Deposited To is not a payment account","")))))))))))</f>
        <v/>
      </c>
      <c r="Z773" s="67">
        <f>IF(AND(T773=0,X773=""),1,0)</f>
        <v/>
      </c>
      <c r="AA773" s="68">
        <f>IF(Z773=1,IF(U773="In",L773,L773-W773),0)</f>
        <v/>
      </c>
      <c r="AB773" s="68">
        <f>IF(Z773=1,IF(U773="In",L773-W773,L773),0)</f>
        <v/>
      </c>
      <c r="AC773" s="68">
        <f>IF(AND(Z773=1,U773="Out"),W773,0)</f>
        <v/>
      </c>
      <c r="AD773" s="68">
        <f>IF(AND(Z773=1,U773="In"),W773,0)</f>
        <v/>
      </c>
    </row>
    <row r="774">
      <c r="B774" s="62" t="inlineStr">
        <is>
          <t>TX-0768</t>
        </is>
      </c>
      <c r="C774" s="63" t="n"/>
      <c r="D774" s="62" t="n"/>
      <c r="E774" s="62" t="n"/>
      <c r="F774" s="62" t="n"/>
      <c r="G774" s="62" t="n"/>
      <c r="H774" s="62" t="n"/>
      <c r="I774" s="62" t="n"/>
      <c r="J774" s="62" t="n"/>
      <c r="K774" s="62" t="n"/>
      <c r="L774" s="64" t="n"/>
      <c r="M774" s="64" t="n"/>
      <c r="N774" s="62" t="n"/>
      <c r="O774" s="65">
        <f>IF(Z774=1,L774-W774,"")</f>
        <v/>
      </c>
      <c r="P774" s="66">
        <f>IF(V774="","",IFERROR(INDEX(coa_Type,MATCH(V774,coa_Name,0)),""))</f>
        <v/>
      </c>
      <c r="Q774" s="66">
        <f>IF(Z774=1,IF(U774="In",K774&amp;"",V774),"")</f>
        <v/>
      </c>
      <c r="R774" s="66">
        <f>IF(Z774=1,IF(U774="In",V774,K774&amp;""),"")</f>
        <v/>
      </c>
      <c r="S774" s="66">
        <f>IF(X774&lt;&gt;"","⛔ "&amp;X774&amp;" — not posted",IF(Y774&lt;&gt;"","⚠ "&amp;Y774,IF(Z774=1,"✓ OK","")))</f>
        <v/>
      </c>
      <c r="T774" s="67">
        <f>IF(AND(C774="",D774="",E774="",L774="",K774=""),1,0)</f>
        <v/>
      </c>
      <c r="U774" s="67">
        <f>IFERROR(INDEX(tt_Dir,MATCH(D774,tt_Type,0)),"")</f>
        <v/>
      </c>
      <c r="V774" s="67">
        <f>IF(D774="","",IFERROR(IF(INDEX(tt_Other,MATCH(D774,tt_Type,0))="",E774&amp;"",INDEX(tt_Other,MATCH(D774,tt_Type,0))),""))</f>
        <v/>
      </c>
      <c r="W774" s="68">
        <f>IF(OR(TaxOn&lt;&gt;"Yes",NOT(ISNUMBER(M774))),0,IF(IFERROR(INDEX(tt_Tax,MATCH(D774,tt_Type,0)),"No")="Yes",M774,0))</f>
        <v/>
      </c>
      <c r="X774" s="67">
        <f>IF(T774=1,"",IF(C774="","Missing transaction date",IF(NOT(ISNUMBER(C774)),"Invalid date",IF(OR(C774&lt;DATE(2000,1,1),C774&gt;DATE(2099,12,31)),"Invalid date",IF(D774="","Select a type",IF(U774="","Unknown type: "&amp;D774,IF(V774="","Select an account (Category)",IF(ISNA(MATCH(V774,coa_Name,0)),"Unknown account: "&amp;V774,IF(K774="","Select Paid From / Deposited To",IF(ISNA(MATCH(K774,coa_Name,0)),"Unknown account: "&amp;K774,IF(NOT(ISNUMBER(L774)),"Enter an amount",IF(L774=0,"Enter an amount",IF(ABS(W774)&gt;ABS(L774),"Tax is larger than the amount","")))))))))))))</f>
        <v/>
      </c>
      <c r="Y774" s="67">
        <f>IF(OR(T774=1,X774&lt;&gt;""),"",IF(AND(B774&lt;&gt;"",COUNTIF(tx_ID,B774)&gt;1),"Duplicate transaction ID",IF(AND(L774&lt;0,D774&lt;&gt;"Adjustment"),"Negative amount — check this entry",IF(AND(D774="Customer Payment",G774=""),"Add the customer",IF(AND(D774="Customer Payment",OR(J774="",COUNTIF(ar_No,J774&amp;"")=0)),"Invoice # in Reference not found on AR sheet",IF(AND(D774="Bill Payment",H774=""),"Add the vendor",IF(AND(D774="Bill Payment",OR(J774="",COUNTIFS(ap_No,J774&amp;"",ap_Party,H774&amp;"")=0)),"Bill # + vendor not found on AP sheet",IF(AND(ISNUMBER(M774),N(M774)&lt;&gt;0,W774=0),"Tax ignored (tax tracking off, or not allowed for this type)",IF(V774=K774&amp;"","Same account on both sides",IF(AND(ISNUMBER(StartDate),C774&lt;StartDate),"Date is before the accounting start date",IF(AND(D774&lt;&gt;"Adjustment",IFERROR(INDEX(coa_Pay,MATCH(K774&amp;"",coa_Name,0)),"")&lt;&gt;"Yes"),"Paid From / Deposited To is not a payment account","")))))))))))</f>
        <v/>
      </c>
      <c r="Z774" s="67">
        <f>IF(AND(T774=0,X774=""),1,0)</f>
        <v/>
      </c>
      <c r="AA774" s="68">
        <f>IF(Z774=1,IF(U774="In",L774,L774-W774),0)</f>
        <v/>
      </c>
      <c r="AB774" s="68">
        <f>IF(Z774=1,IF(U774="In",L774-W774,L774),0)</f>
        <v/>
      </c>
      <c r="AC774" s="68">
        <f>IF(AND(Z774=1,U774="Out"),W774,0)</f>
        <v/>
      </c>
      <c r="AD774" s="68">
        <f>IF(AND(Z774=1,U774="In"),W774,0)</f>
        <v/>
      </c>
    </row>
    <row r="775">
      <c r="B775" s="62" t="inlineStr">
        <is>
          <t>TX-0769</t>
        </is>
      </c>
      <c r="C775" s="63" t="n"/>
      <c r="D775" s="62" t="n"/>
      <c r="E775" s="62" t="n"/>
      <c r="F775" s="62" t="n"/>
      <c r="G775" s="62" t="n"/>
      <c r="H775" s="62" t="n"/>
      <c r="I775" s="62" t="n"/>
      <c r="J775" s="62" t="n"/>
      <c r="K775" s="62" t="n"/>
      <c r="L775" s="64" t="n"/>
      <c r="M775" s="64" t="n"/>
      <c r="N775" s="62" t="n"/>
      <c r="O775" s="65">
        <f>IF(Z775=1,L775-W775,"")</f>
        <v/>
      </c>
      <c r="P775" s="66">
        <f>IF(V775="","",IFERROR(INDEX(coa_Type,MATCH(V775,coa_Name,0)),""))</f>
        <v/>
      </c>
      <c r="Q775" s="66">
        <f>IF(Z775=1,IF(U775="In",K775&amp;"",V775),"")</f>
        <v/>
      </c>
      <c r="R775" s="66">
        <f>IF(Z775=1,IF(U775="In",V775,K775&amp;""),"")</f>
        <v/>
      </c>
      <c r="S775" s="66">
        <f>IF(X775&lt;&gt;"","⛔ "&amp;X775&amp;" — not posted",IF(Y775&lt;&gt;"","⚠ "&amp;Y775,IF(Z775=1,"✓ OK","")))</f>
        <v/>
      </c>
      <c r="T775" s="67">
        <f>IF(AND(C775="",D775="",E775="",L775="",K775=""),1,0)</f>
        <v/>
      </c>
      <c r="U775" s="67">
        <f>IFERROR(INDEX(tt_Dir,MATCH(D775,tt_Type,0)),"")</f>
        <v/>
      </c>
      <c r="V775" s="67">
        <f>IF(D775="","",IFERROR(IF(INDEX(tt_Other,MATCH(D775,tt_Type,0))="",E775&amp;"",INDEX(tt_Other,MATCH(D775,tt_Type,0))),""))</f>
        <v/>
      </c>
      <c r="W775" s="68">
        <f>IF(OR(TaxOn&lt;&gt;"Yes",NOT(ISNUMBER(M775))),0,IF(IFERROR(INDEX(tt_Tax,MATCH(D775,tt_Type,0)),"No")="Yes",M775,0))</f>
        <v/>
      </c>
      <c r="X775" s="67">
        <f>IF(T775=1,"",IF(C775="","Missing transaction date",IF(NOT(ISNUMBER(C775)),"Invalid date",IF(OR(C775&lt;DATE(2000,1,1),C775&gt;DATE(2099,12,31)),"Invalid date",IF(D775="","Select a type",IF(U775="","Unknown type: "&amp;D775,IF(V775="","Select an account (Category)",IF(ISNA(MATCH(V775,coa_Name,0)),"Unknown account: "&amp;V775,IF(K775="","Select Paid From / Deposited To",IF(ISNA(MATCH(K775,coa_Name,0)),"Unknown account: "&amp;K775,IF(NOT(ISNUMBER(L775)),"Enter an amount",IF(L775=0,"Enter an amount",IF(ABS(W775)&gt;ABS(L775),"Tax is larger than the amount","")))))))))))))</f>
        <v/>
      </c>
      <c r="Y775" s="67">
        <f>IF(OR(T775=1,X775&lt;&gt;""),"",IF(AND(B775&lt;&gt;"",COUNTIF(tx_ID,B775)&gt;1),"Duplicate transaction ID",IF(AND(L775&lt;0,D775&lt;&gt;"Adjustment"),"Negative amount — check this entry",IF(AND(D775="Customer Payment",G775=""),"Add the customer",IF(AND(D775="Customer Payment",OR(J775="",COUNTIF(ar_No,J775&amp;"")=0)),"Invoice # in Reference not found on AR sheet",IF(AND(D775="Bill Payment",H775=""),"Add the vendor",IF(AND(D775="Bill Payment",OR(J775="",COUNTIFS(ap_No,J775&amp;"",ap_Party,H775&amp;"")=0)),"Bill # + vendor not found on AP sheet",IF(AND(ISNUMBER(M775),N(M775)&lt;&gt;0,W775=0),"Tax ignored (tax tracking off, or not allowed for this type)",IF(V775=K775&amp;"","Same account on both sides",IF(AND(ISNUMBER(StartDate),C775&lt;StartDate),"Date is before the accounting start date",IF(AND(D775&lt;&gt;"Adjustment",IFERROR(INDEX(coa_Pay,MATCH(K775&amp;"",coa_Name,0)),"")&lt;&gt;"Yes"),"Paid From / Deposited To is not a payment account","")))))))))))</f>
        <v/>
      </c>
      <c r="Z775" s="67">
        <f>IF(AND(T775=0,X775=""),1,0)</f>
        <v/>
      </c>
      <c r="AA775" s="68">
        <f>IF(Z775=1,IF(U775="In",L775,L775-W775),0)</f>
        <v/>
      </c>
      <c r="AB775" s="68">
        <f>IF(Z775=1,IF(U775="In",L775-W775,L775),0)</f>
        <v/>
      </c>
      <c r="AC775" s="68">
        <f>IF(AND(Z775=1,U775="Out"),W775,0)</f>
        <v/>
      </c>
      <c r="AD775" s="68">
        <f>IF(AND(Z775=1,U775="In"),W775,0)</f>
        <v/>
      </c>
    </row>
    <row r="776">
      <c r="B776" s="62" t="inlineStr">
        <is>
          <t>TX-0770</t>
        </is>
      </c>
      <c r="C776" s="63" t="n"/>
      <c r="D776" s="62" t="n"/>
      <c r="E776" s="62" t="n"/>
      <c r="F776" s="62" t="n"/>
      <c r="G776" s="62" t="n"/>
      <c r="H776" s="62" t="n"/>
      <c r="I776" s="62" t="n"/>
      <c r="J776" s="62" t="n"/>
      <c r="K776" s="62" t="n"/>
      <c r="L776" s="64" t="n"/>
      <c r="M776" s="64" t="n"/>
      <c r="N776" s="62" t="n"/>
      <c r="O776" s="65">
        <f>IF(Z776=1,L776-W776,"")</f>
        <v/>
      </c>
      <c r="P776" s="66">
        <f>IF(V776="","",IFERROR(INDEX(coa_Type,MATCH(V776,coa_Name,0)),""))</f>
        <v/>
      </c>
      <c r="Q776" s="66">
        <f>IF(Z776=1,IF(U776="In",K776&amp;"",V776),"")</f>
        <v/>
      </c>
      <c r="R776" s="66">
        <f>IF(Z776=1,IF(U776="In",V776,K776&amp;""),"")</f>
        <v/>
      </c>
      <c r="S776" s="66">
        <f>IF(X776&lt;&gt;"","⛔ "&amp;X776&amp;" — not posted",IF(Y776&lt;&gt;"","⚠ "&amp;Y776,IF(Z776=1,"✓ OK","")))</f>
        <v/>
      </c>
      <c r="T776" s="67">
        <f>IF(AND(C776="",D776="",E776="",L776="",K776=""),1,0)</f>
        <v/>
      </c>
      <c r="U776" s="67">
        <f>IFERROR(INDEX(tt_Dir,MATCH(D776,tt_Type,0)),"")</f>
        <v/>
      </c>
      <c r="V776" s="67">
        <f>IF(D776="","",IFERROR(IF(INDEX(tt_Other,MATCH(D776,tt_Type,0))="",E776&amp;"",INDEX(tt_Other,MATCH(D776,tt_Type,0))),""))</f>
        <v/>
      </c>
      <c r="W776" s="68">
        <f>IF(OR(TaxOn&lt;&gt;"Yes",NOT(ISNUMBER(M776))),0,IF(IFERROR(INDEX(tt_Tax,MATCH(D776,tt_Type,0)),"No")="Yes",M776,0))</f>
        <v/>
      </c>
      <c r="X776" s="67">
        <f>IF(T776=1,"",IF(C776="","Missing transaction date",IF(NOT(ISNUMBER(C776)),"Invalid date",IF(OR(C776&lt;DATE(2000,1,1),C776&gt;DATE(2099,12,31)),"Invalid date",IF(D776="","Select a type",IF(U776="","Unknown type: "&amp;D776,IF(V776="","Select an account (Category)",IF(ISNA(MATCH(V776,coa_Name,0)),"Unknown account: "&amp;V776,IF(K776="","Select Paid From / Deposited To",IF(ISNA(MATCH(K776,coa_Name,0)),"Unknown account: "&amp;K776,IF(NOT(ISNUMBER(L776)),"Enter an amount",IF(L776=0,"Enter an amount",IF(ABS(W776)&gt;ABS(L776),"Tax is larger than the amount","")))))))))))))</f>
        <v/>
      </c>
      <c r="Y776" s="67">
        <f>IF(OR(T776=1,X776&lt;&gt;""),"",IF(AND(B776&lt;&gt;"",COUNTIF(tx_ID,B776)&gt;1),"Duplicate transaction ID",IF(AND(L776&lt;0,D776&lt;&gt;"Adjustment"),"Negative amount — check this entry",IF(AND(D776="Customer Payment",G776=""),"Add the customer",IF(AND(D776="Customer Payment",OR(J776="",COUNTIF(ar_No,J776&amp;"")=0)),"Invoice # in Reference not found on AR sheet",IF(AND(D776="Bill Payment",H776=""),"Add the vendor",IF(AND(D776="Bill Payment",OR(J776="",COUNTIFS(ap_No,J776&amp;"",ap_Party,H776&amp;"")=0)),"Bill # + vendor not found on AP sheet",IF(AND(ISNUMBER(M776),N(M776)&lt;&gt;0,W776=0),"Tax ignored (tax tracking off, or not allowed for this type)",IF(V776=K776&amp;"","Same account on both sides",IF(AND(ISNUMBER(StartDate),C776&lt;StartDate),"Date is before the accounting start date",IF(AND(D776&lt;&gt;"Adjustment",IFERROR(INDEX(coa_Pay,MATCH(K776&amp;"",coa_Name,0)),"")&lt;&gt;"Yes"),"Paid From / Deposited To is not a payment account","")))))))))))</f>
        <v/>
      </c>
      <c r="Z776" s="67">
        <f>IF(AND(T776=0,X776=""),1,0)</f>
        <v/>
      </c>
      <c r="AA776" s="68">
        <f>IF(Z776=1,IF(U776="In",L776,L776-W776),0)</f>
        <v/>
      </c>
      <c r="AB776" s="68">
        <f>IF(Z776=1,IF(U776="In",L776-W776,L776),0)</f>
        <v/>
      </c>
      <c r="AC776" s="68">
        <f>IF(AND(Z776=1,U776="Out"),W776,0)</f>
        <v/>
      </c>
      <c r="AD776" s="68">
        <f>IF(AND(Z776=1,U776="In"),W776,0)</f>
        <v/>
      </c>
    </row>
    <row r="777">
      <c r="B777" s="62" t="inlineStr">
        <is>
          <t>TX-0771</t>
        </is>
      </c>
      <c r="C777" s="63" t="n"/>
      <c r="D777" s="62" t="n"/>
      <c r="E777" s="62" t="n"/>
      <c r="F777" s="62" t="n"/>
      <c r="G777" s="62" t="n"/>
      <c r="H777" s="62" t="n"/>
      <c r="I777" s="62" t="n"/>
      <c r="J777" s="62" t="n"/>
      <c r="K777" s="62" t="n"/>
      <c r="L777" s="64" t="n"/>
      <c r="M777" s="64" t="n"/>
      <c r="N777" s="62" t="n"/>
      <c r="O777" s="65">
        <f>IF(Z777=1,L777-W777,"")</f>
        <v/>
      </c>
      <c r="P777" s="66">
        <f>IF(V777="","",IFERROR(INDEX(coa_Type,MATCH(V777,coa_Name,0)),""))</f>
        <v/>
      </c>
      <c r="Q777" s="66">
        <f>IF(Z777=1,IF(U777="In",K777&amp;"",V777),"")</f>
        <v/>
      </c>
      <c r="R777" s="66">
        <f>IF(Z777=1,IF(U777="In",V777,K777&amp;""),"")</f>
        <v/>
      </c>
      <c r="S777" s="66">
        <f>IF(X777&lt;&gt;"","⛔ "&amp;X777&amp;" — not posted",IF(Y777&lt;&gt;"","⚠ "&amp;Y777,IF(Z777=1,"✓ OK","")))</f>
        <v/>
      </c>
      <c r="T777" s="67">
        <f>IF(AND(C777="",D777="",E777="",L777="",K777=""),1,0)</f>
        <v/>
      </c>
      <c r="U777" s="67">
        <f>IFERROR(INDEX(tt_Dir,MATCH(D777,tt_Type,0)),"")</f>
        <v/>
      </c>
      <c r="V777" s="67">
        <f>IF(D777="","",IFERROR(IF(INDEX(tt_Other,MATCH(D777,tt_Type,0))="",E777&amp;"",INDEX(tt_Other,MATCH(D777,tt_Type,0))),""))</f>
        <v/>
      </c>
      <c r="W777" s="68">
        <f>IF(OR(TaxOn&lt;&gt;"Yes",NOT(ISNUMBER(M777))),0,IF(IFERROR(INDEX(tt_Tax,MATCH(D777,tt_Type,0)),"No")="Yes",M777,0))</f>
        <v/>
      </c>
      <c r="X777" s="67">
        <f>IF(T777=1,"",IF(C777="","Missing transaction date",IF(NOT(ISNUMBER(C777)),"Invalid date",IF(OR(C777&lt;DATE(2000,1,1),C777&gt;DATE(2099,12,31)),"Invalid date",IF(D777="","Select a type",IF(U777="","Unknown type: "&amp;D777,IF(V777="","Select an account (Category)",IF(ISNA(MATCH(V777,coa_Name,0)),"Unknown account: "&amp;V777,IF(K777="","Select Paid From / Deposited To",IF(ISNA(MATCH(K777,coa_Name,0)),"Unknown account: "&amp;K777,IF(NOT(ISNUMBER(L777)),"Enter an amount",IF(L777=0,"Enter an amount",IF(ABS(W777)&gt;ABS(L777),"Tax is larger than the amount","")))))))))))))</f>
        <v/>
      </c>
      <c r="Y777" s="67">
        <f>IF(OR(T777=1,X777&lt;&gt;""),"",IF(AND(B777&lt;&gt;"",COUNTIF(tx_ID,B777)&gt;1),"Duplicate transaction ID",IF(AND(L777&lt;0,D777&lt;&gt;"Adjustment"),"Negative amount — check this entry",IF(AND(D777="Customer Payment",G777=""),"Add the customer",IF(AND(D777="Customer Payment",OR(J777="",COUNTIF(ar_No,J777&amp;"")=0)),"Invoice # in Reference not found on AR sheet",IF(AND(D777="Bill Payment",H777=""),"Add the vendor",IF(AND(D777="Bill Payment",OR(J777="",COUNTIFS(ap_No,J777&amp;"",ap_Party,H777&amp;"")=0)),"Bill # + vendor not found on AP sheet",IF(AND(ISNUMBER(M777),N(M777)&lt;&gt;0,W777=0),"Tax ignored (tax tracking off, or not allowed for this type)",IF(V777=K777&amp;"","Same account on both sides",IF(AND(ISNUMBER(StartDate),C777&lt;StartDate),"Date is before the accounting start date",IF(AND(D777&lt;&gt;"Adjustment",IFERROR(INDEX(coa_Pay,MATCH(K777&amp;"",coa_Name,0)),"")&lt;&gt;"Yes"),"Paid From / Deposited To is not a payment account","")))))))))))</f>
        <v/>
      </c>
      <c r="Z777" s="67">
        <f>IF(AND(T777=0,X777=""),1,0)</f>
        <v/>
      </c>
      <c r="AA777" s="68">
        <f>IF(Z777=1,IF(U777="In",L777,L777-W777),0)</f>
        <v/>
      </c>
      <c r="AB777" s="68">
        <f>IF(Z777=1,IF(U777="In",L777-W777,L777),0)</f>
        <v/>
      </c>
      <c r="AC777" s="68">
        <f>IF(AND(Z777=1,U777="Out"),W777,0)</f>
        <v/>
      </c>
      <c r="AD777" s="68">
        <f>IF(AND(Z777=1,U777="In"),W777,0)</f>
        <v/>
      </c>
    </row>
    <row r="778">
      <c r="B778" s="62" t="inlineStr">
        <is>
          <t>TX-0772</t>
        </is>
      </c>
      <c r="C778" s="63" t="n"/>
      <c r="D778" s="62" t="n"/>
      <c r="E778" s="62" t="n"/>
      <c r="F778" s="62" t="n"/>
      <c r="G778" s="62" t="n"/>
      <c r="H778" s="62" t="n"/>
      <c r="I778" s="62" t="n"/>
      <c r="J778" s="62" t="n"/>
      <c r="K778" s="62" t="n"/>
      <c r="L778" s="64" t="n"/>
      <c r="M778" s="64" t="n"/>
      <c r="N778" s="62" t="n"/>
      <c r="O778" s="65">
        <f>IF(Z778=1,L778-W778,"")</f>
        <v/>
      </c>
      <c r="P778" s="66">
        <f>IF(V778="","",IFERROR(INDEX(coa_Type,MATCH(V778,coa_Name,0)),""))</f>
        <v/>
      </c>
      <c r="Q778" s="66">
        <f>IF(Z778=1,IF(U778="In",K778&amp;"",V778),"")</f>
        <v/>
      </c>
      <c r="R778" s="66">
        <f>IF(Z778=1,IF(U778="In",V778,K778&amp;""),"")</f>
        <v/>
      </c>
      <c r="S778" s="66">
        <f>IF(X778&lt;&gt;"","⛔ "&amp;X778&amp;" — not posted",IF(Y778&lt;&gt;"","⚠ "&amp;Y778,IF(Z778=1,"✓ OK","")))</f>
        <v/>
      </c>
      <c r="T778" s="67">
        <f>IF(AND(C778="",D778="",E778="",L778="",K778=""),1,0)</f>
        <v/>
      </c>
      <c r="U778" s="67">
        <f>IFERROR(INDEX(tt_Dir,MATCH(D778,tt_Type,0)),"")</f>
        <v/>
      </c>
      <c r="V778" s="67">
        <f>IF(D778="","",IFERROR(IF(INDEX(tt_Other,MATCH(D778,tt_Type,0))="",E778&amp;"",INDEX(tt_Other,MATCH(D778,tt_Type,0))),""))</f>
        <v/>
      </c>
      <c r="W778" s="68">
        <f>IF(OR(TaxOn&lt;&gt;"Yes",NOT(ISNUMBER(M778))),0,IF(IFERROR(INDEX(tt_Tax,MATCH(D778,tt_Type,0)),"No")="Yes",M778,0))</f>
        <v/>
      </c>
      <c r="X778" s="67">
        <f>IF(T778=1,"",IF(C778="","Missing transaction date",IF(NOT(ISNUMBER(C778)),"Invalid date",IF(OR(C778&lt;DATE(2000,1,1),C778&gt;DATE(2099,12,31)),"Invalid date",IF(D778="","Select a type",IF(U778="","Unknown type: "&amp;D778,IF(V778="","Select an account (Category)",IF(ISNA(MATCH(V778,coa_Name,0)),"Unknown account: "&amp;V778,IF(K778="","Select Paid From / Deposited To",IF(ISNA(MATCH(K778,coa_Name,0)),"Unknown account: "&amp;K778,IF(NOT(ISNUMBER(L778)),"Enter an amount",IF(L778=0,"Enter an amount",IF(ABS(W778)&gt;ABS(L778),"Tax is larger than the amount","")))))))))))))</f>
        <v/>
      </c>
      <c r="Y778" s="67">
        <f>IF(OR(T778=1,X778&lt;&gt;""),"",IF(AND(B778&lt;&gt;"",COUNTIF(tx_ID,B778)&gt;1),"Duplicate transaction ID",IF(AND(L778&lt;0,D778&lt;&gt;"Adjustment"),"Negative amount — check this entry",IF(AND(D778="Customer Payment",G778=""),"Add the customer",IF(AND(D778="Customer Payment",OR(J778="",COUNTIF(ar_No,J778&amp;"")=0)),"Invoice # in Reference not found on AR sheet",IF(AND(D778="Bill Payment",H778=""),"Add the vendor",IF(AND(D778="Bill Payment",OR(J778="",COUNTIFS(ap_No,J778&amp;"",ap_Party,H778&amp;"")=0)),"Bill # + vendor not found on AP sheet",IF(AND(ISNUMBER(M778),N(M778)&lt;&gt;0,W778=0),"Tax ignored (tax tracking off, or not allowed for this type)",IF(V778=K778&amp;"","Same account on both sides",IF(AND(ISNUMBER(StartDate),C778&lt;StartDate),"Date is before the accounting start date",IF(AND(D778&lt;&gt;"Adjustment",IFERROR(INDEX(coa_Pay,MATCH(K778&amp;"",coa_Name,0)),"")&lt;&gt;"Yes"),"Paid From / Deposited To is not a payment account","")))))))))))</f>
        <v/>
      </c>
      <c r="Z778" s="67">
        <f>IF(AND(T778=0,X778=""),1,0)</f>
        <v/>
      </c>
      <c r="AA778" s="68">
        <f>IF(Z778=1,IF(U778="In",L778,L778-W778),0)</f>
        <v/>
      </c>
      <c r="AB778" s="68">
        <f>IF(Z778=1,IF(U778="In",L778-W778,L778),0)</f>
        <v/>
      </c>
      <c r="AC778" s="68">
        <f>IF(AND(Z778=1,U778="Out"),W778,0)</f>
        <v/>
      </c>
      <c r="AD778" s="68">
        <f>IF(AND(Z778=1,U778="In"),W778,0)</f>
        <v/>
      </c>
    </row>
    <row r="779">
      <c r="B779" s="62" t="inlineStr">
        <is>
          <t>TX-0773</t>
        </is>
      </c>
      <c r="C779" s="63" t="n"/>
      <c r="D779" s="62" t="n"/>
      <c r="E779" s="62" t="n"/>
      <c r="F779" s="62" t="n"/>
      <c r="G779" s="62" t="n"/>
      <c r="H779" s="62" t="n"/>
      <c r="I779" s="62" t="n"/>
      <c r="J779" s="62" t="n"/>
      <c r="K779" s="62" t="n"/>
      <c r="L779" s="64" t="n"/>
      <c r="M779" s="64" t="n"/>
      <c r="N779" s="62" t="n"/>
      <c r="O779" s="65">
        <f>IF(Z779=1,L779-W779,"")</f>
        <v/>
      </c>
      <c r="P779" s="66">
        <f>IF(V779="","",IFERROR(INDEX(coa_Type,MATCH(V779,coa_Name,0)),""))</f>
        <v/>
      </c>
      <c r="Q779" s="66">
        <f>IF(Z779=1,IF(U779="In",K779&amp;"",V779),"")</f>
        <v/>
      </c>
      <c r="R779" s="66">
        <f>IF(Z779=1,IF(U779="In",V779,K779&amp;""),"")</f>
        <v/>
      </c>
      <c r="S779" s="66">
        <f>IF(X779&lt;&gt;"","⛔ "&amp;X779&amp;" — not posted",IF(Y779&lt;&gt;"","⚠ "&amp;Y779,IF(Z779=1,"✓ OK","")))</f>
        <v/>
      </c>
      <c r="T779" s="67">
        <f>IF(AND(C779="",D779="",E779="",L779="",K779=""),1,0)</f>
        <v/>
      </c>
      <c r="U779" s="67">
        <f>IFERROR(INDEX(tt_Dir,MATCH(D779,tt_Type,0)),"")</f>
        <v/>
      </c>
      <c r="V779" s="67">
        <f>IF(D779="","",IFERROR(IF(INDEX(tt_Other,MATCH(D779,tt_Type,0))="",E779&amp;"",INDEX(tt_Other,MATCH(D779,tt_Type,0))),""))</f>
        <v/>
      </c>
      <c r="W779" s="68">
        <f>IF(OR(TaxOn&lt;&gt;"Yes",NOT(ISNUMBER(M779))),0,IF(IFERROR(INDEX(tt_Tax,MATCH(D779,tt_Type,0)),"No")="Yes",M779,0))</f>
        <v/>
      </c>
      <c r="X779" s="67">
        <f>IF(T779=1,"",IF(C779="","Missing transaction date",IF(NOT(ISNUMBER(C779)),"Invalid date",IF(OR(C779&lt;DATE(2000,1,1),C779&gt;DATE(2099,12,31)),"Invalid date",IF(D779="","Select a type",IF(U779="","Unknown type: "&amp;D779,IF(V779="","Select an account (Category)",IF(ISNA(MATCH(V779,coa_Name,0)),"Unknown account: "&amp;V779,IF(K779="","Select Paid From / Deposited To",IF(ISNA(MATCH(K779,coa_Name,0)),"Unknown account: "&amp;K779,IF(NOT(ISNUMBER(L779)),"Enter an amount",IF(L779=0,"Enter an amount",IF(ABS(W779)&gt;ABS(L779),"Tax is larger than the amount","")))))))))))))</f>
        <v/>
      </c>
      <c r="Y779" s="67">
        <f>IF(OR(T779=1,X779&lt;&gt;""),"",IF(AND(B779&lt;&gt;"",COUNTIF(tx_ID,B779)&gt;1),"Duplicate transaction ID",IF(AND(L779&lt;0,D779&lt;&gt;"Adjustment"),"Negative amount — check this entry",IF(AND(D779="Customer Payment",G779=""),"Add the customer",IF(AND(D779="Customer Payment",OR(J779="",COUNTIF(ar_No,J779&amp;"")=0)),"Invoice # in Reference not found on AR sheet",IF(AND(D779="Bill Payment",H779=""),"Add the vendor",IF(AND(D779="Bill Payment",OR(J779="",COUNTIFS(ap_No,J779&amp;"",ap_Party,H779&amp;"")=0)),"Bill # + vendor not found on AP sheet",IF(AND(ISNUMBER(M779),N(M779)&lt;&gt;0,W779=0),"Tax ignored (tax tracking off, or not allowed for this type)",IF(V779=K779&amp;"","Same account on both sides",IF(AND(ISNUMBER(StartDate),C779&lt;StartDate),"Date is before the accounting start date",IF(AND(D779&lt;&gt;"Adjustment",IFERROR(INDEX(coa_Pay,MATCH(K779&amp;"",coa_Name,0)),"")&lt;&gt;"Yes"),"Paid From / Deposited To is not a payment account","")))))))))))</f>
        <v/>
      </c>
      <c r="Z779" s="67">
        <f>IF(AND(T779=0,X779=""),1,0)</f>
        <v/>
      </c>
      <c r="AA779" s="68">
        <f>IF(Z779=1,IF(U779="In",L779,L779-W779),0)</f>
        <v/>
      </c>
      <c r="AB779" s="68">
        <f>IF(Z779=1,IF(U779="In",L779-W779,L779),0)</f>
        <v/>
      </c>
      <c r="AC779" s="68">
        <f>IF(AND(Z779=1,U779="Out"),W779,0)</f>
        <v/>
      </c>
      <c r="AD779" s="68">
        <f>IF(AND(Z779=1,U779="In"),W779,0)</f>
        <v/>
      </c>
    </row>
    <row r="780">
      <c r="B780" s="62" t="inlineStr">
        <is>
          <t>TX-0774</t>
        </is>
      </c>
      <c r="C780" s="63" t="n"/>
      <c r="D780" s="62" t="n"/>
      <c r="E780" s="62" t="n"/>
      <c r="F780" s="62" t="n"/>
      <c r="G780" s="62" t="n"/>
      <c r="H780" s="62" t="n"/>
      <c r="I780" s="62" t="n"/>
      <c r="J780" s="62" t="n"/>
      <c r="K780" s="62" t="n"/>
      <c r="L780" s="64" t="n"/>
      <c r="M780" s="64" t="n"/>
      <c r="N780" s="62" t="n"/>
      <c r="O780" s="65">
        <f>IF(Z780=1,L780-W780,"")</f>
        <v/>
      </c>
      <c r="P780" s="66">
        <f>IF(V780="","",IFERROR(INDEX(coa_Type,MATCH(V780,coa_Name,0)),""))</f>
        <v/>
      </c>
      <c r="Q780" s="66">
        <f>IF(Z780=1,IF(U780="In",K780&amp;"",V780),"")</f>
        <v/>
      </c>
      <c r="R780" s="66">
        <f>IF(Z780=1,IF(U780="In",V780,K780&amp;""),"")</f>
        <v/>
      </c>
      <c r="S780" s="66">
        <f>IF(X780&lt;&gt;"","⛔ "&amp;X780&amp;" — not posted",IF(Y780&lt;&gt;"","⚠ "&amp;Y780,IF(Z780=1,"✓ OK","")))</f>
        <v/>
      </c>
      <c r="T780" s="67">
        <f>IF(AND(C780="",D780="",E780="",L780="",K780=""),1,0)</f>
        <v/>
      </c>
      <c r="U780" s="67">
        <f>IFERROR(INDEX(tt_Dir,MATCH(D780,tt_Type,0)),"")</f>
        <v/>
      </c>
      <c r="V780" s="67">
        <f>IF(D780="","",IFERROR(IF(INDEX(tt_Other,MATCH(D780,tt_Type,0))="",E780&amp;"",INDEX(tt_Other,MATCH(D780,tt_Type,0))),""))</f>
        <v/>
      </c>
      <c r="W780" s="68">
        <f>IF(OR(TaxOn&lt;&gt;"Yes",NOT(ISNUMBER(M780))),0,IF(IFERROR(INDEX(tt_Tax,MATCH(D780,tt_Type,0)),"No")="Yes",M780,0))</f>
        <v/>
      </c>
      <c r="X780" s="67">
        <f>IF(T780=1,"",IF(C780="","Missing transaction date",IF(NOT(ISNUMBER(C780)),"Invalid date",IF(OR(C780&lt;DATE(2000,1,1),C780&gt;DATE(2099,12,31)),"Invalid date",IF(D780="","Select a type",IF(U780="","Unknown type: "&amp;D780,IF(V780="","Select an account (Category)",IF(ISNA(MATCH(V780,coa_Name,0)),"Unknown account: "&amp;V780,IF(K780="","Select Paid From / Deposited To",IF(ISNA(MATCH(K780,coa_Name,0)),"Unknown account: "&amp;K780,IF(NOT(ISNUMBER(L780)),"Enter an amount",IF(L780=0,"Enter an amount",IF(ABS(W780)&gt;ABS(L780),"Tax is larger than the amount","")))))))))))))</f>
        <v/>
      </c>
      <c r="Y780" s="67">
        <f>IF(OR(T780=1,X780&lt;&gt;""),"",IF(AND(B780&lt;&gt;"",COUNTIF(tx_ID,B780)&gt;1),"Duplicate transaction ID",IF(AND(L780&lt;0,D780&lt;&gt;"Adjustment"),"Negative amount — check this entry",IF(AND(D780="Customer Payment",G780=""),"Add the customer",IF(AND(D780="Customer Payment",OR(J780="",COUNTIF(ar_No,J780&amp;"")=0)),"Invoice # in Reference not found on AR sheet",IF(AND(D780="Bill Payment",H780=""),"Add the vendor",IF(AND(D780="Bill Payment",OR(J780="",COUNTIFS(ap_No,J780&amp;"",ap_Party,H780&amp;"")=0)),"Bill # + vendor not found on AP sheet",IF(AND(ISNUMBER(M780),N(M780)&lt;&gt;0,W780=0),"Tax ignored (tax tracking off, or not allowed for this type)",IF(V780=K780&amp;"","Same account on both sides",IF(AND(ISNUMBER(StartDate),C780&lt;StartDate),"Date is before the accounting start date",IF(AND(D780&lt;&gt;"Adjustment",IFERROR(INDEX(coa_Pay,MATCH(K780&amp;"",coa_Name,0)),"")&lt;&gt;"Yes"),"Paid From / Deposited To is not a payment account","")))))))))))</f>
        <v/>
      </c>
      <c r="Z780" s="67">
        <f>IF(AND(T780=0,X780=""),1,0)</f>
        <v/>
      </c>
      <c r="AA780" s="68">
        <f>IF(Z780=1,IF(U780="In",L780,L780-W780),0)</f>
        <v/>
      </c>
      <c r="AB780" s="68">
        <f>IF(Z780=1,IF(U780="In",L780-W780,L780),0)</f>
        <v/>
      </c>
      <c r="AC780" s="68">
        <f>IF(AND(Z780=1,U780="Out"),W780,0)</f>
        <v/>
      </c>
      <c r="AD780" s="68">
        <f>IF(AND(Z780=1,U780="In"),W780,0)</f>
        <v/>
      </c>
    </row>
    <row r="781">
      <c r="B781" s="62" t="inlineStr">
        <is>
          <t>TX-0775</t>
        </is>
      </c>
      <c r="C781" s="63" t="n"/>
      <c r="D781" s="62" t="n"/>
      <c r="E781" s="62" t="n"/>
      <c r="F781" s="62" t="n"/>
      <c r="G781" s="62" t="n"/>
      <c r="H781" s="62" t="n"/>
      <c r="I781" s="62" t="n"/>
      <c r="J781" s="62" t="n"/>
      <c r="K781" s="62" t="n"/>
      <c r="L781" s="64" t="n"/>
      <c r="M781" s="64" t="n"/>
      <c r="N781" s="62" t="n"/>
      <c r="O781" s="65">
        <f>IF(Z781=1,L781-W781,"")</f>
        <v/>
      </c>
      <c r="P781" s="66">
        <f>IF(V781="","",IFERROR(INDEX(coa_Type,MATCH(V781,coa_Name,0)),""))</f>
        <v/>
      </c>
      <c r="Q781" s="66">
        <f>IF(Z781=1,IF(U781="In",K781&amp;"",V781),"")</f>
        <v/>
      </c>
      <c r="R781" s="66">
        <f>IF(Z781=1,IF(U781="In",V781,K781&amp;""),"")</f>
        <v/>
      </c>
      <c r="S781" s="66">
        <f>IF(X781&lt;&gt;"","⛔ "&amp;X781&amp;" — not posted",IF(Y781&lt;&gt;"","⚠ "&amp;Y781,IF(Z781=1,"✓ OK","")))</f>
        <v/>
      </c>
      <c r="T781" s="67">
        <f>IF(AND(C781="",D781="",E781="",L781="",K781=""),1,0)</f>
        <v/>
      </c>
      <c r="U781" s="67">
        <f>IFERROR(INDEX(tt_Dir,MATCH(D781,tt_Type,0)),"")</f>
        <v/>
      </c>
      <c r="V781" s="67">
        <f>IF(D781="","",IFERROR(IF(INDEX(tt_Other,MATCH(D781,tt_Type,0))="",E781&amp;"",INDEX(tt_Other,MATCH(D781,tt_Type,0))),""))</f>
        <v/>
      </c>
      <c r="W781" s="68">
        <f>IF(OR(TaxOn&lt;&gt;"Yes",NOT(ISNUMBER(M781))),0,IF(IFERROR(INDEX(tt_Tax,MATCH(D781,tt_Type,0)),"No")="Yes",M781,0))</f>
        <v/>
      </c>
      <c r="X781" s="67">
        <f>IF(T781=1,"",IF(C781="","Missing transaction date",IF(NOT(ISNUMBER(C781)),"Invalid date",IF(OR(C781&lt;DATE(2000,1,1),C781&gt;DATE(2099,12,31)),"Invalid date",IF(D781="","Select a type",IF(U781="","Unknown type: "&amp;D781,IF(V781="","Select an account (Category)",IF(ISNA(MATCH(V781,coa_Name,0)),"Unknown account: "&amp;V781,IF(K781="","Select Paid From / Deposited To",IF(ISNA(MATCH(K781,coa_Name,0)),"Unknown account: "&amp;K781,IF(NOT(ISNUMBER(L781)),"Enter an amount",IF(L781=0,"Enter an amount",IF(ABS(W781)&gt;ABS(L781),"Tax is larger than the amount","")))))))))))))</f>
        <v/>
      </c>
      <c r="Y781" s="67">
        <f>IF(OR(T781=1,X781&lt;&gt;""),"",IF(AND(B781&lt;&gt;"",COUNTIF(tx_ID,B781)&gt;1),"Duplicate transaction ID",IF(AND(L781&lt;0,D781&lt;&gt;"Adjustment"),"Negative amount — check this entry",IF(AND(D781="Customer Payment",G781=""),"Add the customer",IF(AND(D781="Customer Payment",OR(J781="",COUNTIF(ar_No,J781&amp;"")=0)),"Invoice # in Reference not found on AR sheet",IF(AND(D781="Bill Payment",H781=""),"Add the vendor",IF(AND(D781="Bill Payment",OR(J781="",COUNTIFS(ap_No,J781&amp;"",ap_Party,H781&amp;"")=0)),"Bill # + vendor not found on AP sheet",IF(AND(ISNUMBER(M781),N(M781)&lt;&gt;0,W781=0),"Tax ignored (tax tracking off, or not allowed for this type)",IF(V781=K781&amp;"","Same account on both sides",IF(AND(ISNUMBER(StartDate),C781&lt;StartDate),"Date is before the accounting start date",IF(AND(D781&lt;&gt;"Adjustment",IFERROR(INDEX(coa_Pay,MATCH(K781&amp;"",coa_Name,0)),"")&lt;&gt;"Yes"),"Paid From / Deposited To is not a payment account","")))))))))))</f>
        <v/>
      </c>
      <c r="Z781" s="67">
        <f>IF(AND(T781=0,X781=""),1,0)</f>
        <v/>
      </c>
      <c r="AA781" s="68">
        <f>IF(Z781=1,IF(U781="In",L781,L781-W781),0)</f>
        <v/>
      </c>
      <c r="AB781" s="68">
        <f>IF(Z781=1,IF(U781="In",L781-W781,L781),0)</f>
        <v/>
      </c>
      <c r="AC781" s="68">
        <f>IF(AND(Z781=1,U781="Out"),W781,0)</f>
        <v/>
      </c>
      <c r="AD781" s="68">
        <f>IF(AND(Z781=1,U781="In"),W781,0)</f>
        <v/>
      </c>
    </row>
    <row r="782">
      <c r="B782" s="62" t="inlineStr">
        <is>
          <t>TX-0776</t>
        </is>
      </c>
      <c r="C782" s="63" t="n"/>
      <c r="D782" s="62" t="n"/>
      <c r="E782" s="62" t="n"/>
      <c r="F782" s="62" t="n"/>
      <c r="G782" s="62" t="n"/>
      <c r="H782" s="62" t="n"/>
      <c r="I782" s="62" t="n"/>
      <c r="J782" s="62" t="n"/>
      <c r="K782" s="62" t="n"/>
      <c r="L782" s="64" t="n"/>
      <c r="M782" s="64" t="n"/>
      <c r="N782" s="62" t="n"/>
      <c r="O782" s="65">
        <f>IF(Z782=1,L782-W782,"")</f>
        <v/>
      </c>
      <c r="P782" s="66">
        <f>IF(V782="","",IFERROR(INDEX(coa_Type,MATCH(V782,coa_Name,0)),""))</f>
        <v/>
      </c>
      <c r="Q782" s="66">
        <f>IF(Z782=1,IF(U782="In",K782&amp;"",V782),"")</f>
        <v/>
      </c>
      <c r="R782" s="66">
        <f>IF(Z782=1,IF(U782="In",V782,K782&amp;""),"")</f>
        <v/>
      </c>
      <c r="S782" s="66">
        <f>IF(X782&lt;&gt;"","⛔ "&amp;X782&amp;" — not posted",IF(Y782&lt;&gt;"","⚠ "&amp;Y782,IF(Z782=1,"✓ OK","")))</f>
        <v/>
      </c>
      <c r="T782" s="67">
        <f>IF(AND(C782="",D782="",E782="",L782="",K782=""),1,0)</f>
        <v/>
      </c>
      <c r="U782" s="67">
        <f>IFERROR(INDEX(tt_Dir,MATCH(D782,tt_Type,0)),"")</f>
        <v/>
      </c>
      <c r="V782" s="67">
        <f>IF(D782="","",IFERROR(IF(INDEX(tt_Other,MATCH(D782,tt_Type,0))="",E782&amp;"",INDEX(tt_Other,MATCH(D782,tt_Type,0))),""))</f>
        <v/>
      </c>
      <c r="W782" s="68">
        <f>IF(OR(TaxOn&lt;&gt;"Yes",NOT(ISNUMBER(M782))),0,IF(IFERROR(INDEX(tt_Tax,MATCH(D782,tt_Type,0)),"No")="Yes",M782,0))</f>
        <v/>
      </c>
      <c r="X782" s="67">
        <f>IF(T782=1,"",IF(C782="","Missing transaction date",IF(NOT(ISNUMBER(C782)),"Invalid date",IF(OR(C782&lt;DATE(2000,1,1),C782&gt;DATE(2099,12,31)),"Invalid date",IF(D782="","Select a type",IF(U782="","Unknown type: "&amp;D782,IF(V782="","Select an account (Category)",IF(ISNA(MATCH(V782,coa_Name,0)),"Unknown account: "&amp;V782,IF(K782="","Select Paid From / Deposited To",IF(ISNA(MATCH(K782,coa_Name,0)),"Unknown account: "&amp;K782,IF(NOT(ISNUMBER(L782)),"Enter an amount",IF(L782=0,"Enter an amount",IF(ABS(W782)&gt;ABS(L782),"Tax is larger than the amount","")))))))))))))</f>
        <v/>
      </c>
      <c r="Y782" s="67">
        <f>IF(OR(T782=1,X782&lt;&gt;""),"",IF(AND(B782&lt;&gt;"",COUNTIF(tx_ID,B782)&gt;1),"Duplicate transaction ID",IF(AND(L782&lt;0,D782&lt;&gt;"Adjustment"),"Negative amount — check this entry",IF(AND(D782="Customer Payment",G782=""),"Add the customer",IF(AND(D782="Customer Payment",OR(J782="",COUNTIF(ar_No,J782&amp;"")=0)),"Invoice # in Reference not found on AR sheet",IF(AND(D782="Bill Payment",H782=""),"Add the vendor",IF(AND(D782="Bill Payment",OR(J782="",COUNTIFS(ap_No,J782&amp;"",ap_Party,H782&amp;"")=0)),"Bill # + vendor not found on AP sheet",IF(AND(ISNUMBER(M782),N(M782)&lt;&gt;0,W782=0),"Tax ignored (tax tracking off, or not allowed for this type)",IF(V782=K782&amp;"","Same account on both sides",IF(AND(ISNUMBER(StartDate),C782&lt;StartDate),"Date is before the accounting start date",IF(AND(D782&lt;&gt;"Adjustment",IFERROR(INDEX(coa_Pay,MATCH(K782&amp;"",coa_Name,0)),"")&lt;&gt;"Yes"),"Paid From / Deposited To is not a payment account","")))))))))))</f>
        <v/>
      </c>
      <c r="Z782" s="67">
        <f>IF(AND(T782=0,X782=""),1,0)</f>
        <v/>
      </c>
      <c r="AA782" s="68">
        <f>IF(Z782=1,IF(U782="In",L782,L782-W782),0)</f>
        <v/>
      </c>
      <c r="AB782" s="68">
        <f>IF(Z782=1,IF(U782="In",L782-W782,L782),0)</f>
        <v/>
      </c>
      <c r="AC782" s="68">
        <f>IF(AND(Z782=1,U782="Out"),W782,0)</f>
        <v/>
      </c>
      <c r="AD782" s="68">
        <f>IF(AND(Z782=1,U782="In"),W782,0)</f>
        <v/>
      </c>
    </row>
    <row r="783">
      <c r="B783" s="62" t="inlineStr">
        <is>
          <t>TX-0777</t>
        </is>
      </c>
      <c r="C783" s="63" t="n"/>
      <c r="D783" s="62" t="n"/>
      <c r="E783" s="62" t="n"/>
      <c r="F783" s="62" t="n"/>
      <c r="G783" s="62" t="n"/>
      <c r="H783" s="62" t="n"/>
      <c r="I783" s="62" t="n"/>
      <c r="J783" s="62" t="n"/>
      <c r="K783" s="62" t="n"/>
      <c r="L783" s="64" t="n"/>
      <c r="M783" s="64" t="n"/>
      <c r="N783" s="62" t="n"/>
      <c r="O783" s="65">
        <f>IF(Z783=1,L783-W783,"")</f>
        <v/>
      </c>
      <c r="P783" s="66">
        <f>IF(V783="","",IFERROR(INDEX(coa_Type,MATCH(V783,coa_Name,0)),""))</f>
        <v/>
      </c>
      <c r="Q783" s="66">
        <f>IF(Z783=1,IF(U783="In",K783&amp;"",V783),"")</f>
        <v/>
      </c>
      <c r="R783" s="66">
        <f>IF(Z783=1,IF(U783="In",V783,K783&amp;""),"")</f>
        <v/>
      </c>
      <c r="S783" s="66">
        <f>IF(X783&lt;&gt;"","⛔ "&amp;X783&amp;" — not posted",IF(Y783&lt;&gt;"","⚠ "&amp;Y783,IF(Z783=1,"✓ OK","")))</f>
        <v/>
      </c>
      <c r="T783" s="67">
        <f>IF(AND(C783="",D783="",E783="",L783="",K783=""),1,0)</f>
        <v/>
      </c>
      <c r="U783" s="67">
        <f>IFERROR(INDEX(tt_Dir,MATCH(D783,tt_Type,0)),"")</f>
        <v/>
      </c>
      <c r="V783" s="67">
        <f>IF(D783="","",IFERROR(IF(INDEX(tt_Other,MATCH(D783,tt_Type,0))="",E783&amp;"",INDEX(tt_Other,MATCH(D783,tt_Type,0))),""))</f>
        <v/>
      </c>
      <c r="W783" s="68">
        <f>IF(OR(TaxOn&lt;&gt;"Yes",NOT(ISNUMBER(M783))),0,IF(IFERROR(INDEX(tt_Tax,MATCH(D783,tt_Type,0)),"No")="Yes",M783,0))</f>
        <v/>
      </c>
      <c r="X783" s="67">
        <f>IF(T783=1,"",IF(C783="","Missing transaction date",IF(NOT(ISNUMBER(C783)),"Invalid date",IF(OR(C783&lt;DATE(2000,1,1),C783&gt;DATE(2099,12,31)),"Invalid date",IF(D783="","Select a type",IF(U783="","Unknown type: "&amp;D783,IF(V783="","Select an account (Category)",IF(ISNA(MATCH(V783,coa_Name,0)),"Unknown account: "&amp;V783,IF(K783="","Select Paid From / Deposited To",IF(ISNA(MATCH(K783,coa_Name,0)),"Unknown account: "&amp;K783,IF(NOT(ISNUMBER(L783)),"Enter an amount",IF(L783=0,"Enter an amount",IF(ABS(W783)&gt;ABS(L783),"Tax is larger than the amount","")))))))))))))</f>
        <v/>
      </c>
      <c r="Y783" s="67">
        <f>IF(OR(T783=1,X783&lt;&gt;""),"",IF(AND(B783&lt;&gt;"",COUNTIF(tx_ID,B783)&gt;1),"Duplicate transaction ID",IF(AND(L783&lt;0,D783&lt;&gt;"Adjustment"),"Negative amount — check this entry",IF(AND(D783="Customer Payment",G783=""),"Add the customer",IF(AND(D783="Customer Payment",OR(J783="",COUNTIF(ar_No,J783&amp;"")=0)),"Invoice # in Reference not found on AR sheet",IF(AND(D783="Bill Payment",H783=""),"Add the vendor",IF(AND(D783="Bill Payment",OR(J783="",COUNTIFS(ap_No,J783&amp;"",ap_Party,H783&amp;"")=0)),"Bill # + vendor not found on AP sheet",IF(AND(ISNUMBER(M783),N(M783)&lt;&gt;0,W783=0),"Tax ignored (tax tracking off, or not allowed for this type)",IF(V783=K783&amp;"","Same account on both sides",IF(AND(ISNUMBER(StartDate),C783&lt;StartDate),"Date is before the accounting start date",IF(AND(D783&lt;&gt;"Adjustment",IFERROR(INDEX(coa_Pay,MATCH(K783&amp;"",coa_Name,0)),"")&lt;&gt;"Yes"),"Paid From / Deposited To is not a payment account","")))))))))))</f>
        <v/>
      </c>
      <c r="Z783" s="67">
        <f>IF(AND(T783=0,X783=""),1,0)</f>
        <v/>
      </c>
      <c r="AA783" s="68">
        <f>IF(Z783=1,IF(U783="In",L783,L783-W783),0)</f>
        <v/>
      </c>
      <c r="AB783" s="68">
        <f>IF(Z783=1,IF(U783="In",L783-W783,L783),0)</f>
        <v/>
      </c>
      <c r="AC783" s="68">
        <f>IF(AND(Z783=1,U783="Out"),W783,0)</f>
        <v/>
      </c>
      <c r="AD783" s="68">
        <f>IF(AND(Z783=1,U783="In"),W783,0)</f>
        <v/>
      </c>
    </row>
    <row r="784">
      <c r="B784" s="62" t="inlineStr">
        <is>
          <t>TX-0778</t>
        </is>
      </c>
      <c r="C784" s="63" t="n"/>
      <c r="D784" s="62" t="n"/>
      <c r="E784" s="62" t="n"/>
      <c r="F784" s="62" t="n"/>
      <c r="G784" s="62" t="n"/>
      <c r="H784" s="62" t="n"/>
      <c r="I784" s="62" t="n"/>
      <c r="J784" s="62" t="n"/>
      <c r="K784" s="62" t="n"/>
      <c r="L784" s="64" t="n"/>
      <c r="M784" s="64" t="n"/>
      <c r="N784" s="62" t="n"/>
      <c r="O784" s="65">
        <f>IF(Z784=1,L784-W784,"")</f>
        <v/>
      </c>
      <c r="P784" s="66">
        <f>IF(V784="","",IFERROR(INDEX(coa_Type,MATCH(V784,coa_Name,0)),""))</f>
        <v/>
      </c>
      <c r="Q784" s="66">
        <f>IF(Z784=1,IF(U784="In",K784&amp;"",V784),"")</f>
        <v/>
      </c>
      <c r="R784" s="66">
        <f>IF(Z784=1,IF(U784="In",V784,K784&amp;""),"")</f>
        <v/>
      </c>
      <c r="S784" s="66">
        <f>IF(X784&lt;&gt;"","⛔ "&amp;X784&amp;" — not posted",IF(Y784&lt;&gt;"","⚠ "&amp;Y784,IF(Z784=1,"✓ OK","")))</f>
        <v/>
      </c>
      <c r="T784" s="67">
        <f>IF(AND(C784="",D784="",E784="",L784="",K784=""),1,0)</f>
        <v/>
      </c>
      <c r="U784" s="67">
        <f>IFERROR(INDEX(tt_Dir,MATCH(D784,tt_Type,0)),"")</f>
        <v/>
      </c>
      <c r="V784" s="67">
        <f>IF(D784="","",IFERROR(IF(INDEX(tt_Other,MATCH(D784,tt_Type,0))="",E784&amp;"",INDEX(tt_Other,MATCH(D784,tt_Type,0))),""))</f>
        <v/>
      </c>
      <c r="W784" s="68">
        <f>IF(OR(TaxOn&lt;&gt;"Yes",NOT(ISNUMBER(M784))),0,IF(IFERROR(INDEX(tt_Tax,MATCH(D784,tt_Type,0)),"No")="Yes",M784,0))</f>
        <v/>
      </c>
      <c r="X784" s="67">
        <f>IF(T784=1,"",IF(C784="","Missing transaction date",IF(NOT(ISNUMBER(C784)),"Invalid date",IF(OR(C784&lt;DATE(2000,1,1),C784&gt;DATE(2099,12,31)),"Invalid date",IF(D784="","Select a type",IF(U784="","Unknown type: "&amp;D784,IF(V784="","Select an account (Category)",IF(ISNA(MATCH(V784,coa_Name,0)),"Unknown account: "&amp;V784,IF(K784="","Select Paid From / Deposited To",IF(ISNA(MATCH(K784,coa_Name,0)),"Unknown account: "&amp;K784,IF(NOT(ISNUMBER(L784)),"Enter an amount",IF(L784=0,"Enter an amount",IF(ABS(W784)&gt;ABS(L784),"Tax is larger than the amount","")))))))))))))</f>
        <v/>
      </c>
      <c r="Y784" s="67">
        <f>IF(OR(T784=1,X784&lt;&gt;""),"",IF(AND(B784&lt;&gt;"",COUNTIF(tx_ID,B784)&gt;1),"Duplicate transaction ID",IF(AND(L784&lt;0,D784&lt;&gt;"Adjustment"),"Negative amount — check this entry",IF(AND(D784="Customer Payment",G784=""),"Add the customer",IF(AND(D784="Customer Payment",OR(J784="",COUNTIF(ar_No,J784&amp;"")=0)),"Invoice # in Reference not found on AR sheet",IF(AND(D784="Bill Payment",H784=""),"Add the vendor",IF(AND(D784="Bill Payment",OR(J784="",COUNTIFS(ap_No,J784&amp;"",ap_Party,H784&amp;"")=0)),"Bill # + vendor not found on AP sheet",IF(AND(ISNUMBER(M784),N(M784)&lt;&gt;0,W784=0),"Tax ignored (tax tracking off, or not allowed for this type)",IF(V784=K784&amp;"","Same account on both sides",IF(AND(ISNUMBER(StartDate),C784&lt;StartDate),"Date is before the accounting start date",IF(AND(D784&lt;&gt;"Adjustment",IFERROR(INDEX(coa_Pay,MATCH(K784&amp;"",coa_Name,0)),"")&lt;&gt;"Yes"),"Paid From / Deposited To is not a payment account","")))))))))))</f>
        <v/>
      </c>
      <c r="Z784" s="67">
        <f>IF(AND(T784=0,X784=""),1,0)</f>
        <v/>
      </c>
      <c r="AA784" s="68">
        <f>IF(Z784=1,IF(U784="In",L784,L784-W784),0)</f>
        <v/>
      </c>
      <c r="AB784" s="68">
        <f>IF(Z784=1,IF(U784="In",L784-W784,L784),0)</f>
        <v/>
      </c>
      <c r="AC784" s="68">
        <f>IF(AND(Z784=1,U784="Out"),W784,0)</f>
        <v/>
      </c>
      <c r="AD784" s="68">
        <f>IF(AND(Z784=1,U784="In"),W784,0)</f>
        <v/>
      </c>
    </row>
    <row r="785">
      <c r="B785" s="62" t="inlineStr">
        <is>
          <t>TX-0779</t>
        </is>
      </c>
      <c r="C785" s="63" t="n"/>
      <c r="D785" s="62" t="n"/>
      <c r="E785" s="62" t="n"/>
      <c r="F785" s="62" t="n"/>
      <c r="G785" s="62" t="n"/>
      <c r="H785" s="62" t="n"/>
      <c r="I785" s="62" t="n"/>
      <c r="J785" s="62" t="n"/>
      <c r="K785" s="62" t="n"/>
      <c r="L785" s="64" t="n"/>
      <c r="M785" s="64" t="n"/>
      <c r="N785" s="62" t="n"/>
      <c r="O785" s="65">
        <f>IF(Z785=1,L785-W785,"")</f>
        <v/>
      </c>
      <c r="P785" s="66">
        <f>IF(V785="","",IFERROR(INDEX(coa_Type,MATCH(V785,coa_Name,0)),""))</f>
        <v/>
      </c>
      <c r="Q785" s="66">
        <f>IF(Z785=1,IF(U785="In",K785&amp;"",V785),"")</f>
        <v/>
      </c>
      <c r="R785" s="66">
        <f>IF(Z785=1,IF(U785="In",V785,K785&amp;""),"")</f>
        <v/>
      </c>
      <c r="S785" s="66">
        <f>IF(X785&lt;&gt;"","⛔ "&amp;X785&amp;" — not posted",IF(Y785&lt;&gt;"","⚠ "&amp;Y785,IF(Z785=1,"✓ OK","")))</f>
        <v/>
      </c>
      <c r="T785" s="67">
        <f>IF(AND(C785="",D785="",E785="",L785="",K785=""),1,0)</f>
        <v/>
      </c>
      <c r="U785" s="67">
        <f>IFERROR(INDEX(tt_Dir,MATCH(D785,tt_Type,0)),"")</f>
        <v/>
      </c>
      <c r="V785" s="67">
        <f>IF(D785="","",IFERROR(IF(INDEX(tt_Other,MATCH(D785,tt_Type,0))="",E785&amp;"",INDEX(tt_Other,MATCH(D785,tt_Type,0))),""))</f>
        <v/>
      </c>
      <c r="W785" s="68">
        <f>IF(OR(TaxOn&lt;&gt;"Yes",NOT(ISNUMBER(M785))),0,IF(IFERROR(INDEX(tt_Tax,MATCH(D785,tt_Type,0)),"No")="Yes",M785,0))</f>
        <v/>
      </c>
      <c r="X785" s="67">
        <f>IF(T785=1,"",IF(C785="","Missing transaction date",IF(NOT(ISNUMBER(C785)),"Invalid date",IF(OR(C785&lt;DATE(2000,1,1),C785&gt;DATE(2099,12,31)),"Invalid date",IF(D785="","Select a type",IF(U785="","Unknown type: "&amp;D785,IF(V785="","Select an account (Category)",IF(ISNA(MATCH(V785,coa_Name,0)),"Unknown account: "&amp;V785,IF(K785="","Select Paid From / Deposited To",IF(ISNA(MATCH(K785,coa_Name,0)),"Unknown account: "&amp;K785,IF(NOT(ISNUMBER(L785)),"Enter an amount",IF(L785=0,"Enter an amount",IF(ABS(W785)&gt;ABS(L785),"Tax is larger than the amount","")))))))))))))</f>
        <v/>
      </c>
      <c r="Y785" s="67">
        <f>IF(OR(T785=1,X785&lt;&gt;""),"",IF(AND(B785&lt;&gt;"",COUNTIF(tx_ID,B785)&gt;1),"Duplicate transaction ID",IF(AND(L785&lt;0,D785&lt;&gt;"Adjustment"),"Negative amount — check this entry",IF(AND(D785="Customer Payment",G785=""),"Add the customer",IF(AND(D785="Customer Payment",OR(J785="",COUNTIF(ar_No,J785&amp;"")=0)),"Invoice # in Reference not found on AR sheet",IF(AND(D785="Bill Payment",H785=""),"Add the vendor",IF(AND(D785="Bill Payment",OR(J785="",COUNTIFS(ap_No,J785&amp;"",ap_Party,H785&amp;"")=0)),"Bill # + vendor not found on AP sheet",IF(AND(ISNUMBER(M785),N(M785)&lt;&gt;0,W785=0),"Tax ignored (tax tracking off, or not allowed for this type)",IF(V785=K785&amp;"","Same account on both sides",IF(AND(ISNUMBER(StartDate),C785&lt;StartDate),"Date is before the accounting start date",IF(AND(D785&lt;&gt;"Adjustment",IFERROR(INDEX(coa_Pay,MATCH(K785&amp;"",coa_Name,0)),"")&lt;&gt;"Yes"),"Paid From / Deposited To is not a payment account","")))))))))))</f>
        <v/>
      </c>
      <c r="Z785" s="67">
        <f>IF(AND(T785=0,X785=""),1,0)</f>
        <v/>
      </c>
      <c r="AA785" s="68">
        <f>IF(Z785=1,IF(U785="In",L785,L785-W785),0)</f>
        <v/>
      </c>
      <c r="AB785" s="68">
        <f>IF(Z785=1,IF(U785="In",L785-W785,L785),0)</f>
        <v/>
      </c>
      <c r="AC785" s="68">
        <f>IF(AND(Z785=1,U785="Out"),W785,0)</f>
        <v/>
      </c>
      <c r="AD785" s="68">
        <f>IF(AND(Z785=1,U785="In"),W785,0)</f>
        <v/>
      </c>
    </row>
    <row r="786">
      <c r="B786" s="62" t="inlineStr">
        <is>
          <t>TX-0780</t>
        </is>
      </c>
      <c r="C786" s="63" t="n"/>
      <c r="D786" s="62" t="n"/>
      <c r="E786" s="62" t="n"/>
      <c r="F786" s="62" t="n"/>
      <c r="G786" s="62" t="n"/>
      <c r="H786" s="62" t="n"/>
      <c r="I786" s="62" t="n"/>
      <c r="J786" s="62" t="n"/>
      <c r="K786" s="62" t="n"/>
      <c r="L786" s="64" t="n"/>
      <c r="M786" s="64" t="n"/>
      <c r="N786" s="62" t="n"/>
      <c r="O786" s="65">
        <f>IF(Z786=1,L786-W786,"")</f>
        <v/>
      </c>
      <c r="P786" s="66">
        <f>IF(V786="","",IFERROR(INDEX(coa_Type,MATCH(V786,coa_Name,0)),""))</f>
        <v/>
      </c>
      <c r="Q786" s="66">
        <f>IF(Z786=1,IF(U786="In",K786&amp;"",V786),"")</f>
        <v/>
      </c>
      <c r="R786" s="66">
        <f>IF(Z786=1,IF(U786="In",V786,K786&amp;""),"")</f>
        <v/>
      </c>
      <c r="S786" s="66">
        <f>IF(X786&lt;&gt;"","⛔ "&amp;X786&amp;" — not posted",IF(Y786&lt;&gt;"","⚠ "&amp;Y786,IF(Z786=1,"✓ OK","")))</f>
        <v/>
      </c>
      <c r="T786" s="67">
        <f>IF(AND(C786="",D786="",E786="",L786="",K786=""),1,0)</f>
        <v/>
      </c>
      <c r="U786" s="67">
        <f>IFERROR(INDEX(tt_Dir,MATCH(D786,tt_Type,0)),"")</f>
        <v/>
      </c>
      <c r="V786" s="67">
        <f>IF(D786="","",IFERROR(IF(INDEX(tt_Other,MATCH(D786,tt_Type,0))="",E786&amp;"",INDEX(tt_Other,MATCH(D786,tt_Type,0))),""))</f>
        <v/>
      </c>
      <c r="W786" s="68">
        <f>IF(OR(TaxOn&lt;&gt;"Yes",NOT(ISNUMBER(M786))),0,IF(IFERROR(INDEX(tt_Tax,MATCH(D786,tt_Type,0)),"No")="Yes",M786,0))</f>
        <v/>
      </c>
      <c r="X786" s="67">
        <f>IF(T786=1,"",IF(C786="","Missing transaction date",IF(NOT(ISNUMBER(C786)),"Invalid date",IF(OR(C786&lt;DATE(2000,1,1),C786&gt;DATE(2099,12,31)),"Invalid date",IF(D786="","Select a type",IF(U786="","Unknown type: "&amp;D786,IF(V786="","Select an account (Category)",IF(ISNA(MATCH(V786,coa_Name,0)),"Unknown account: "&amp;V786,IF(K786="","Select Paid From / Deposited To",IF(ISNA(MATCH(K786,coa_Name,0)),"Unknown account: "&amp;K786,IF(NOT(ISNUMBER(L786)),"Enter an amount",IF(L786=0,"Enter an amount",IF(ABS(W786)&gt;ABS(L786),"Tax is larger than the amount","")))))))))))))</f>
        <v/>
      </c>
      <c r="Y786" s="67">
        <f>IF(OR(T786=1,X786&lt;&gt;""),"",IF(AND(B786&lt;&gt;"",COUNTIF(tx_ID,B786)&gt;1),"Duplicate transaction ID",IF(AND(L786&lt;0,D786&lt;&gt;"Adjustment"),"Negative amount — check this entry",IF(AND(D786="Customer Payment",G786=""),"Add the customer",IF(AND(D786="Customer Payment",OR(J786="",COUNTIF(ar_No,J786&amp;"")=0)),"Invoice # in Reference not found on AR sheet",IF(AND(D786="Bill Payment",H786=""),"Add the vendor",IF(AND(D786="Bill Payment",OR(J786="",COUNTIFS(ap_No,J786&amp;"",ap_Party,H786&amp;"")=0)),"Bill # + vendor not found on AP sheet",IF(AND(ISNUMBER(M786),N(M786)&lt;&gt;0,W786=0),"Tax ignored (tax tracking off, or not allowed for this type)",IF(V786=K786&amp;"","Same account on both sides",IF(AND(ISNUMBER(StartDate),C786&lt;StartDate),"Date is before the accounting start date",IF(AND(D786&lt;&gt;"Adjustment",IFERROR(INDEX(coa_Pay,MATCH(K786&amp;"",coa_Name,0)),"")&lt;&gt;"Yes"),"Paid From / Deposited To is not a payment account","")))))))))))</f>
        <v/>
      </c>
      <c r="Z786" s="67">
        <f>IF(AND(T786=0,X786=""),1,0)</f>
        <v/>
      </c>
      <c r="AA786" s="68">
        <f>IF(Z786=1,IF(U786="In",L786,L786-W786),0)</f>
        <v/>
      </c>
      <c r="AB786" s="68">
        <f>IF(Z786=1,IF(U786="In",L786-W786,L786),0)</f>
        <v/>
      </c>
      <c r="AC786" s="68">
        <f>IF(AND(Z786=1,U786="Out"),W786,0)</f>
        <v/>
      </c>
      <c r="AD786" s="68">
        <f>IF(AND(Z786=1,U786="In"),W786,0)</f>
        <v/>
      </c>
    </row>
    <row r="787">
      <c r="B787" s="62" t="inlineStr">
        <is>
          <t>TX-0781</t>
        </is>
      </c>
      <c r="C787" s="63" t="n"/>
      <c r="D787" s="62" t="n"/>
      <c r="E787" s="62" t="n"/>
      <c r="F787" s="62" t="n"/>
      <c r="G787" s="62" t="n"/>
      <c r="H787" s="62" t="n"/>
      <c r="I787" s="62" t="n"/>
      <c r="J787" s="62" t="n"/>
      <c r="K787" s="62" t="n"/>
      <c r="L787" s="64" t="n"/>
      <c r="M787" s="64" t="n"/>
      <c r="N787" s="62" t="n"/>
      <c r="O787" s="65">
        <f>IF(Z787=1,L787-W787,"")</f>
        <v/>
      </c>
      <c r="P787" s="66">
        <f>IF(V787="","",IFERROR(INDEX(coa_Type,MATCH(V787,coa_Name,0)),""))</f>
        <v/>
      </c>
      <c r="Q787" s="66">
        <f>IF(Z787=1,IF(U787="In",K787&amp;"",V787),"")</f>
        <v/>
      </c>
      <c r="R787" s="66">
        <f>IF(Z787=1,IF(U787="In",V787,K787&amp;""),"")</f>
        <v/>
      </c>
      <c r="S787" s="66">
        <f>IF(X787&lt;&gt;"","⛔ "&amp;X787&amp;" — not posted",IF(Y787&lt;&gt;"","⚠ "&amp;Y787,IF(Z787=1,"✓ OK","")))</f>
        <v/>
      </c>
      <c r="T787" s="67">
        <f>IF(AND(C787="",D787="",E787="",L787="",K787=""),1,0)</f>
        <v/>
      </c>
      <c r="U787" s="67">
        <f>IFERROR(INDEX(tt_Dir,MATCH(D787,tt_Type,0)),"")</f>
        <v/>
      </c>
      <c r="V787" s="67">
        <f>IF(D787="","",IFERROR(IF(INDEX(tt_Other,MATCH(D787,tt_Type,0))="",E787&amp;"",INDEX(tt_Other,MATCH(D787,tt_Type,0))),""))</f>
        <v/>
      </c>
      <c r="W787" s="68">
        <f>IF(OR(TaxOn&lt;&gt;"Yes",NOT(ISNUMBER(M787))),0,IF(IFERROR(INDEX(tt_Tax,MATCH(D787,tt_Type,0)),"No")="Yes",M787,0))</f>
        <v/>
      </c>
      <c r="X787" s="67">
        <f>IF(T787=1,"",IF(C787="","Missing transaction date",IF(NOT(ISNUMBER(C787)),"Invalid date",IF(OR(C787&lt;DATE(2000,1,1),C787&gt;DATE(2099,12,31)),"Invalid date",IF(D787="","Select a type",IF(U787="","Unknown type: "&amp;D787,IF(V787="","Select an account (Category)",IF(ISNA(MATCH(V787,coa_Name,0)),"Unknown account: "&amp;V787,IF(K787="","Select Paid From / Deposited To",IF(ISNA(MATCH(K787,coa_Name,0)),"Unknown account: "&amp;K787,IF(NOT(ISNUMBER(L787)),"Enter an amount",IF(L787=0,"Enter an amount",IF(ABS(W787)&gt;ABS(L787),"Tax is larger than the amount","")))))))))))))</f>
        <v/>
      </c>
      <c r="Y787" s="67">
        <f>IF(OR(T787=1,X787&lt;&gt;""),"",IF(AND(B787&lt;&gt;"",COUNTIF(tx_ID,B787)&gt;1),"Duplicate transaction ID",IF(AND(L787&lt;0,D787&lt;&gt;"Adjustment"),"Negative amount — check this entry",IF(AND(D787="Customer Payment",G787=""),"Add the customer",IF(AND(D787="Customer Payment",OR(J787="",COUNTIF(ar_No,J787&amp;"")=0)),"Invoice # in Reference not found on AR sheet",IF(AND(D787="Bill Payment",H787=""),"Add the vendor",IF(AND(D787="Bill Payment",OR(J787="",COUNTIFS(ap_No,J787&amp;"",ap_Party,H787&amp;"")=0)),"Bill # + vendor not found on AP sheet",IF(AND(ISNUMBER(M787),N(M787)&lt;&gt;0,W787=0),"Tax ignored (tax tracking off, or not allowed for this type)",IF(V787=K787&amp;"","Same account on both sides",IF(AND(ISNUMBER(StartDate),C787&lt;StartDate),"Date is before the accounting start date",IF(AND(D787&lt;&gt;"Adjustment",IFERROR(INDEX(coa_Pay,MATCH(K787&amp;"",coa_Name,0)),"")&lt;&gt;"Yes"),"Paid From / Deposited To is not a payment account","")))))))))))</f>
        <v/>
      </c>
      <c r="Z787" s="67">
        <f>IF(AND(T787=0,X787=""),1,0)</f>
        <v/>
      </c>
      <c r="AA787" s="68">
        <f>IF(Z787=1,IF(U787="In",L787,L787-W787),0)</f>
        <v/>
      </c>
      <c r="AB787" s="68">
        <f>IF(Z787=1,IF(U787="In",L787-W787,L787),0)</f>
        <v/>
      </c>
      <c r="AC787" s="68">
        <f>IF(AND(Z787=1,U787="Out"),W787,0)</f>
        <v/>
      </c>
      <c r="AD787" s="68">
        <f>IF(AND(Z787=1,U787="In"),W787,0)</f>
        <v/>
      </c>
    </row>
    <row r="788">
      <c r="B788" s="62" t="inlineStr">
        <is>
          <t>TX-0782</t>
        </is>
      </c>
      <c r="C788" s="63" t="n"/>
      <c r="D788" s="62" t="n"/>
      <c r="E788" s="62" t="n"/>
      <c r="F788" s="62" t="n"/>
      <c r="G788" s="62" t="n"/>
      <c r="H788" s="62" t="n"/>
      <c r="I788" s="62" t="n"/>
      <c r="J788" s="62" t="n"/>
      <c r="K788" s="62" t="n"/>
      <c r="L788" s="64" t="n"/>
      <c r="M788" s="64" t="n"/>
      <c r="N788" s="62" t="n"/>
      <c r="O788" s="65">
        <f>IF(Z788=1,L788-W788,"")</f>
        <v/>
      </c>
      <c r="P788" s="66">
        <f>IF(V788="","",IFERROR(INDEX(coa_Type,MATCH(V788,coa_Name,0)),""))</f>
        <v/>
      </c>
      <c r="Q788" s="66">
        <f>IF(Z788=1,IF(U788="In",K788&amp;"",V788),"")</f>
        <v/>
      </c>
      <c r="R788" s="66">
        <f>IF(Z788=1,IF(U788="In",V788,K788&amp;""),"")</f>
        <v/>
      </c>
      <c r="S788" s="66">
        <f>IF(X788&lt;&gt;"","⛔ "&amp;X788&amp;" — not posted",IF(Y788&lt;&gt;"","⚠ "&amp;Y788,IF(Z788=1,"✓ OK","")))</f>
        <v/>
      </c>
      <c r="T788" s="67">
        <f>IF(AND(C788="",D788="",E788="",L788="",K788=""),1,0)</f>
        <v/>
      </c>
      <c r="U788" s="67">
        <f>IFERROR(INDEX(tt_Dir,MATCH(D788,tt_Type,0)),"")</f>
        <v/>
      </c>
      <c r="V788" s="67">
        <f>IF(D788="","",IFERROR(IF(INDEX(tt_Other,MATCH(D788,tt_Type,0))="",E788&amp;"",INDEX(tt_Other,MATCH(D788,tt_Type,0))),""))</f>
        <v/>
      </c>
      <c r="W788" s="68">
        <f>IF(OR(TaxOn&lt;&gt;"Yes",NOT(ISNUMBER(M788))),0,IF(IFERROR(INDEX(tt_Tax,MATCH(D788,tt_Type,0)),"No")="Yes",M788,0))</f>
        <v/>
      </c>
      <c r="X788" s="67">
        <f>IF(T788=1,"",IF(C788="","Missing transaction date",IF(NOT(ISNUMBER(C788)),"Invalid date",IF(OR(C788&lt;DATE(2000,1,1),C788&gt;DATE(2099,12,31)),"Invalid date",IF(D788="","Select a type",IF(U788="","Unknown type: "&amp;D788,IF(V788="","Select an account (Category)",IF(ISNA(MATCH(V788,coa_Name,0)),"Unknown account: "&amp;V788,IF(K788="","Select Paid From / Deposited To",IF(ISNA(MATCH(K788,coa_Name,0)),"Unknown account: "&amp;K788,IF(NOT(ISNUMBER(L788)),"Enter an amount",IF(L788=0,"Enter an amount",IF(ABS(W788)&gt;ABS(L788),"Tax is larger than the amount","")))))))))))))</f>
        <v/>
      </c>
      <c r="Y788" s="67">
        <f>IF(OR(T788=1,X788&lt;&gt;""),"",IF(AND(B788&lt;&gt;"",COUNTIF(tx_ID,B788)&gt;1),"Duplicate transaction ID",IF(AND(L788&lt;0,D788&lt;&gt;"Adjustment"),"Negative amount — check this entry",IF(AND(D788="Customer Payment",G788=""),"Add the customer",IF(AND(D788="Customer Payment",OR(J788="",COUNTIF(ar_No,J788&amp;"")=0)),"Invoice # in Reference not found on AR sheet",IF(AND(D788="Bill Payment",H788=""),"Add the vendor",IF(AND(D788="Bill Payment",OR(J788="",COUNTIFS(ap_No,J788&amp;"",ap_Party,H788&amp;"")=0)),"Bill # + vendor not found on AP sheet",IF(AND(ISNUMBER(M788),N(M788)&lt;&gt;0,W788=0),"Tax ignored (tax tracking off, or not allowed for this type)",IF(V788=K788&amp;"","Same account on both sides",IF(AND(ISNUMBER(StartDate),C788&lt;StartDate),"Date is before the accounting start date",IF(AND(D788&lt;&gt;"Adjustment",IFERROR(INDEX(coa_Pay,MATCH(K788&amp;"",coa_Name,0)),"")&lt;&gt;"Yes"),"Paid From / Deposited To is not a payment account","")))))))))))</f>
        <v/>
      </c>
      <c r="Z788" s="67">
        <f>IF(AND(T788=0,X788=""),1,0)</f>
        <v/>
      </c>
      <c r="AA788" s="68">
        <f>IF(Z788=1,IF(U788="In",L788,L788-W788),0)</f>
        <v/>
      </c>
      <c r="AB788" s="68">
        <f>IF(Z788=1,IF(U788="In",L788-W788,L788),0)</f>
        <v/>
      </c>
      <c r="AC788" s="68">
        <f>IF(AND(Z788=1,U788="Out"),W788,0)</f>
        <v/>
      </c>
      <c r="AD788" s="68">
        <f>IF(AND(Z788=1,U788="In"),W788,0)</f>
        <v/>
      </c>
    </row>
    <row r="789">
      <c r="B789" s="62" t="inlineStr">
        <is>
          <t>TX-0783</t>
        </is>
      </c>
      <c r="C789" s="63" t="n"/>
      <c r="D789" s="62" t="n"/>
      <c r="E789" s="62" t="n"/>
      <c r="F789" s="62" t="n"/>
      <c r="G789" s="62" t="n"/>
      <c r="H789" s="62" t="n"/>
      <c r="I789" s="62" t="n"/>
      <c r="J789" s="62" t="n"/>
      <c r="K789" s="62" t="n"/>
      <c r="L789" s="64" t="n"/>
      <c r="M789" s="64" t="n"/>
      <c r="N789" s="62" t="n"/>
      <c r="O789" s="65">
        <f>IF(Z789=1,L789-W789,"")</f>
        <v/>
      </c>
      <c r="P789" s="66">
        <f>IF(V789="","",IFERROR(INDEX(coa_Type,MATCH(V789,coa_Name,0)),""))</f>
        <v/>
      </c>
      <c r="Q789" s="66">
        <f>IF(Z789=1,IF(U789="In",K789&amp;"",V789),"")</f>
        <v/>
      </c>
      <c r="R789" s="66">
        <f>IF(Z789=1,IF(U789="In",V789,K789&amp;""),"")</f>
        <v/>
      </c>
      <c r="S789" s="66">
        <f>IF(X789&lt;&gt;"","⛔ "&amp;X789&amp;" — not posted",IF(Y789&lt;&gt;"","⚠ "&amp;Y789,IF(Z789=1,"✓ OK","")))</f>
        <v/>
      </c>
      <c r="T789" s="67">
        <f>IF(AND(C789="",D789="",E789="",L789="",K789=""),1,0)</f>
        <v/>
      </c>
      <c r="U789" s="67">
        <f>IFERROR(INDEX(tt_Dir,MATCH(D789,tt_Type,0)),"")</f>
        <v/>
      </c>
      <c r="V789" s="67">
        <f>IF(D789="","",IFERROR(IF(INDEX(tt_Other,MATCH(D789,tt_Type,0))="",E789&amp;"",INDEX(tt_Other,MATCH(D789,tt_Type,0))),""))</f>
        <v/>
      </c>
      <c r="W789" s="68">
        <f>IF(OR(TaxOn&lt;&gt;"Yes",NOT(ISNUMBER(M789))),0,IF(IFERROR(INDEX(tt_Tax,MATCH(D789,tt_Type,0)),"No")="Yes",M789,0))</f>
        <v/>
      </c>
      <c r="X789" s="67">
        <f>IF(T789=1,"",IF(C789="","Missing transaction date",IF(NOT(ISNUMBER(C789)),"Invalid date",IF(OR(C789&lt;DATE(2000,1,1),C789&gt;DATE(2099,12,31)),"Invalid date",IF(D789="","Select a type",IF(U789="","Unknown type: "&amp;D789,IF(V789="","Select an account (Category)",IF(ISNA(MATCH(V789,coa_Name,0)),"Unknown account: "&amp;V789,IF(K789="","Select Paid From / Deposited To",IF(ISNA(MATCH(K789,coa_Name,0)),"Unknown account: "&amp;K789,IF(NOT(ISNUMBER(L789)),"Enter an amount",IF(L789=0,"Enter an amount",IF(ABS(W789)&gt;ABS(L789),"Tax is larger than the amount","")))))))))))))</f>
        <v/>
      </c>
      <c r="Y789" s="67">
        <f>IF(OR(T789=1,X789&lt;&gt;""),"",IF(AND(B789&lt;&gt;"",COUNTIF(tx_ID,B789)&gt;1),"Duplicate transaction ID",IF(AND(L789&lt;0,D789&lt;&gt;"Adjustment"),"Negative amount — check this entry",IF(AND(D789="Customer Payment",G789=""),"Add the customer",IF(AND(D789="Customer Payment",OR(J789="",COUNTIF(ar_No,J789&amp;"")=0)),"Invoice # in Reference not found on AR sheet",IF(AND(D789="Bill Payment",H789=""),"Add the vendor",IF(AND(D789="Bill Payment",OR(J789="",COUNTIFS(ap_No,J789&amp;"",ap_Party,H789&amp;"")=0)),"Bill # + vendor not found on AP sheet",IF(AND(ISNUMBER(M789),N(M789)&lt;&gt;0,W789=0),"Tax ignored (tax tracking off, or not allowed for this type)",IF(V789=K789&amp;"","Same account on both sides",IF(AND(ISNUMBER(StartDate),C789&lt;StartDate),"Date is before the accounting start date",IF(AND(D789&lt;&gt;"Adjustment",IFERROR(INDEX(coa_Pay,MATCH(K789&amp;"",coa_Name,0)),"")&lt;&gt;"Yes"),"Paid From / Deposited To is not a payment account","")))))))))))</f>
        <v/>
      </c>
      <c r="Z789" s="67">
        <f>IF(AND(T789=0,X789=""),1,0)</f>
        <v/>
      </c>
      <c r="AA789" s="68">
        <f>IF(Z789=1,IF(U789="In",L789,L789-W789),0)</f>
        <v/>
      </c>
      <c r="AB789" s="68">
        <f>IF(Z789=1,IF(U789="In",L789-W789,L789),0)</f>
        <v/>
      </c>
      <c r="AC789" s="68">
        <f>IF(AND(Z789=1,U789="Out"),W789,0)</f>
        <v/>
      </c>
      <c r="AD789" s="68">
        <f>IF(AND(Z789=1,U789="In"),W789,0)</f>
        <v/>
      </c>
    </row>
    <row r="790">
      <c r="B790" s="62" t="inlineStr">
        <is>
          <t>TX-0784</t>
        </is>
      </c>
      <c r="C790" s="63" t="n"/>
      <c r="D790" s="62" t="n"/>
      <c r="E790" s="62" t="n"/>
      <c r="F790" s="62" t="n"/>
      <c r="G790" s="62" t="n"/>
      <c r="H790" s="62" t="n"/>
      <c r="I790" s="62" t="n"/>
      <c r="J790" s="62" t="n"/>
      <c r="K790" s="62" t="n"/>
      <c r="L790" s="64" t="n"/>
      <c r="M790" s="64" t="n"/>
      <c r="N790" s="62" t="n"/>
      <c r="O790" s="65">
        <f>IF(Z790=1,L790-W790,"")</f>
        <v/>
      </c>
      <c r="P790" s="66">
        <f>IF(V790="","",IFERROR(INDEX(coa_Type,MATCH(V790,coa_Name,0)),""))</f>
        <v/>
      </c>
      <c r="Q790" s="66">
        <f>IF(Z790=1,IF(U790="In",K790&amp;"",V790),"")</f>
        <v/>
      </c>
      <c r="R790" s="66">
        <f>IF(Z790=1,IF(U790="In",V790,K790&amp;""),"")</f>
        <v/>
      </c>
      <c r="S790" s="66">
        <f>IF(X790&lt;&gt;"","⛔ "&amp;X790&amp;" — not posted",IF(Y790&lt;&gt;"","⚠ "&amp;Y790,IF(Z790=1,"✓ OK","")))</f>
        <v/>
      </c>
      <c r="T790" s="67">
        <f>IF(AND(C790="",D790="",E790="",L790="",K790=""),1,0)</f>
        <v/>
      </c>
      <c r="U790" s="67">
        <f>IFERROR(INDEX(tt_Dir,MATCH(D790,tt_Type,0)),"")</f>
        <v/>
      </c>
      <c r="V790" s="67">
        <f>IF(D790="","",IFERROR(IF(INDEX(tt_Other,MATCH(D790,tt_Type,0))="",E790&amp;"",INDEX(tt_Other,MATCH(D790,tt_Type,0))),""))</f>
        <v/>
      </c>
      <c r="W790" s="68">
        <f>IF(OR(TaxOn&lt;&gt;"Yes",NOT(ISNUMBER(M790))),0,IF(IFERROR(INDEX(tt_Tax,MATCH(D790,tt_Type,0)),"No")="Yes",M790,0))</f>
        <v/>
      </c>
      <c r="X790" s="67">
        <f>IF(T790=1,"",IF(C790="","Missing transaction date",IF(NOT(ISNUMBER(C790)),"Invalid date",IF(OR(C790&lt;DATE(2000,1,1),C790&gt;DATE(2099,12,31)),"Invalid date",IF(D790="","Select a type",IF(U790="","Unknown type: "&amp;D790,IF(V790="","Select an account (Category)",IF(ISNA(MATCH(V790,coa_Name,0)),"Unknown account: "&amp;V790,IF(K790="","Select Paid From / Deposited To",IF(ISNA(MATCH(K790,coa_Name,0)),"Unknown account: "&amp;K790,IF(NOT(ISNUMBER(L790)),"Enter an amount",IF(L790=0,"Enter an amount",IF(ABS(W790)&gt;ABS(L790),"Tax is larger than the amount","")))))))))))))</f>
        <v/>
      </c>
      <c r="Y790" s="67">
        <f>IF(OR(T790=1,X790&lt;&gt;""),"",IF(AND(B790&lt;&gt;"",COUNTIF(tx_ID,B790)&gt;1),"Duplicate transaction ID",IF(AND(L790&lt;0,D790&lt;&gt;"Adjustment"),"Negative amount — check this entry",IF(AND(D790="Customer Payment",G790=""),"Add the customer",IF(AND(D790="Customer Payment",OR(J790="",COUNTIF(ar_No,J790&amp;"")=0)),"Invoice # in Reference not found on AR sheet",IF(AND(D790="Bill Payment",H790=""),"Add the vendor",IF(AND(D790="Bill Payment",OR(J790="",COUNTIFS(ap_No,J790&amp;"",ap_Party,H790&amp;"")=0)),"Bill # + vendor not found on AP sheet",IF(AND(ISNUMBER(M790),N(M790)&lt;&gt;0,W790=0),"Tax ignored (tax tracking off, or not allowed for this type)",IF(V790=K790&amp;"","Same account on both sides",IF(AND(ISNUMBER(StartDate),C790&lt;StartDate),"Date is before the accounting start date",IF(AND(D790&lt;&gt;"Adjustment",IFERROR(INDEX(coa_Pay,MATCH(K790&amp;"",coa_Name,0)),"")&lt;&gt;"Yes"),"Paid From / Deposited To is not a payment account","")))))))))))</f>
        <v/>
      </c>
      <c r="Z790" s="67">
        <f>IF(AND(T790=0,X790=""),1,0)</f>
        <v/>
      </c>
      <c r="AA790" s="68">
        <f>IF(Z790=1,IF(U790="In",L790,L790-W790),0)</f>
        <v/>
      </c>
      <c r="AB790" s="68">
        <f>IF(Z790=1,IF(U790="In",L790-W790,L790),0)</f>
        <v/>
      </c>
      <c r="AC790" s="68">
        <f>IF(AND(Z790=1,U790="Out"),W790,0)</f>
        <v/>
      </c>
      <c r="AD790" s="68">
        <f>IF(AND(Z790=1,U790="In"),W790,0)</f>
        <v/>
      </c>
    </row>
    <row r="791">
      <c r="B791" s="62" t="inlineStr">
        <is>
          <t>TX-0785</t>
        </is>
      </c>
      <c r="C791" s="63" t="n"/>
      <c r="D791" s="62" t="n"/>
      <c r="E791" s="62" t="n"/>
      <c r="F791" s="62" t="n"/>
      <c r="G791" s="62" t="n"/>
      <c r="H791" s="62" t="n"/>
      <c r="I791" s="62" t="n"/>
      <c r="J791" s="62" t="n"/>
      <c r="K791" s="62" t="n"/>
      <c r="L791" s="64" t="n"/>
      <c r="M791" s="64" t="n"/>
      <c r="N791" s="62" t="n"/>
      <c r="O791" s="65">
        <f>IF(Z791=1,L791-W791,"")</f>
        <v/>
      </c>
      <c r="P791" s="66">
        <f>IF(V791="","",IFERROR(INDEX(coa_Type,MATCH(V791,coa_Name,0)),""))</f>
        <v/>
      </c>
      <c r="Q791" s="66">
        <f>IF(Z791=1,IF(U791="In",K791&amp;"",V791),"")</f>
        <v/>
      </c>
      <c r="R791" s="66">
        <f>IF(Z791=1,IF(U791="In",V791,K791&amp;""),"")</f>
        <v/>
      </c>
      <c r="S791" s="66">
        <f>IF(X791&lt;&gt;"","⛔ "&amp;X791&amp;" — not posted",IF(Y791&lt;&gt;"","⚠ "&amp;Y791,IF(Z791=1,"✓ OK","")))</f>
        <v/>
      </c>
      <c r="T791" s="67">
        <f>IF(AND(C791="",D791="",E791="",L791="",K791=""),1,0)</f>
        <v/>
      </c>
      <c r="U791" s="67">
        <f>IFERROR(INDEX(tt_Dir,MATCH(D791,tt_Type,0)),"")</f>
        <v/>
      </c>
      <c r="V791" s="67">
        <f>IF(D791="","",IFERROR(IF(INDEX(tt_Other,MATCH(D791,tt_Type,0))="",E791&amp;"",INDEX(tt_Other,MATCH(D791,tt_Type,0))),""))</f>
        <v/>
      </c>
      <c r="W791" s="68">
        <f>IF(OR(TaxOn&lt;&gt;"Yes",NOT(ISNUMBER(M791))),0,IF(IFERROR(INDEX(tt_Tax,MATCH(D791,tt_Type,0)),"No")="Yes",M791,0))</f>
        <v/>
      </c>
      <c r="X791" s="67">
        <f>IF(T791=1,"",IF(C791="","Missing transaction date",IF(NOT(ISNUMBER(C791)),"Invalid date",IF(OR(C791&lt;DATE(2000,1,1),C791&gt;DATE(2099,12,31)),"Invalid date",IF(D791="","Select a type",IF(U791="","Unknown type: "&amp;D791,IF(V791="","Select an account (Category)",IF(ISNA(MATCH(V791,coa_Name,0)),"Unknown account: "&amp;V791,IF(K791="","Select Paid From / Deposited To",IF(ISNA(MATCH(K791,coa_Name,0)),"Unknown account: "&amp;K791,IF(NOT(ISNUMBER(L791)),"Enter an amount",IF(L791=0,"Enter an amount",IF(ABS(W791)&gt;ABS(L791),"Tax is larger than the amount","")))))))))))))</f>
        <v/>
      </c>
      <c r="Y791" s="67">
        <f>IF(OR(T791=1,X791&lt;&gt;""),"",IF(AND(B791&lt;&gt;"",COUNTIF(tx_ID,B791)&gt;1),"Duplicate transaction ID",IF(AND(L791&lt;0,D791&lt;&gt;"Adjustment"),"Negative amount — check this entry",IF(AND(D791="Customer Payment",G791=""),"Add the customer",IF(AND(D791="Customer Payment",OR(J791="",COUNTIF(ar_No,J791&amp;"")=0)),"Invoice # in Reference not found on AR sheet",IF(AND(D791="Bill Payment",H791=""),"Add the vendor",IF(AND(D791="Bill Payment",OR(J791="",COUNTIFS(ap_No,J791&amp;"",ap_Party,H791&amp;"")=0)),"Bill # + vendor not found on AP sheet",IF(AND(ISNUMBER(M791),N(M791)&lt;&gt;0,W791=0),"Tax ignored (tax tracking off, or not allowed for this type)",IF(V791=K791&amp;"","Same account on both sides",IF(AND(ISNUMBER(StartDate),C791&lt;StartDate),"Date is before the accounting start date",IF(AND(D791&lt;&gt;"Adjustment",IFERROR(INDEX(coa_Pay,MATCH(K791&amp;"",coa_Name,0)),"")&lt;&gt;"Yes"),"Paid From / Deposited To is not a payment account","")))))))))))</f>
        <v/>
      </c>
      <c r="Z791" s="67">
        <f>IF(AND(T791=0,X791=""),1,0)</f>
        <v/>
      </c>
      <c r="AA791" s="68">
        <f>IF(Z791=1,IF(U791="In",L791,L791-W791),0)</f>
        <v/>
      </c>
      <c r="AB791" s="68">
        <f>IF(Z791=1,IF(U791="In",L791-W791,L791),0)</f>
        <v/>
      </c>
      <c r="AC791" s="68">
        <f>IF(AND(Z791=1,U791="Out"),W791,0)</f>
        <v/>
      </c>
      <c r="AD791" s="68">
        <f>IF(AND(Z791=1,U791="In"),W791,0)</f>
        <v/>
      </c>
    </row>
    <row r="792">
      <c r="B792" s="62" t="inlineStr">
        <is>
          <t>TX-0786</t>
        </is>
      </c>
      <c r="C792" s="63" t="n"/>
      <c r="D792" s="62" t="n"/>
      <c r="E792" s="62" t="n"/>
      <c r="F792" s="62" t="n"/>
      <c r="G792" s="62" t="n"/>
      <c r="H792" s="62" t="n"/>
      <c r="I792" s="62" t="n"/>
      <c r="J792" s="62" t="n"/>
      <c r="K792" s="62" t="n"/>
      <c r="L792" s="64" t="n"/>
      <c r="M792" s="64" t="n"/>
      <c r="N792" s="62" t="n"/>
      <c r="O792" s="65">
        <f>IF(Z792=1,L792-W792,"")</f>
        <v/>
      </c>
      <c r="P792" s="66">
        <f>IF(V792="","",IFERROR(INDEX(coa_Type,MATCH(V792,coa_Name,0)),""))</f>
        <v/>
      </c>
      <c r="Q792" s="66">
        <f>IF(Z792=1,IF(U792="In",K792&amp;"",V792),"")</f>
        <v/>
      </c>
      <c r="R792" s="66">
        <f>IF(Z792=1,IF(U792="In",V792,K792&amp;""),"")</f>
        <v/>
      </c>
      <c r="S792" s="66">
        <f>IF(X792&lt;&gt;"","⛔ "&amp;X792&amp;" — not posted",IF(Y792&lt;&gt;"","⚠ "&amp;Y792,IF(Z792=1,"✓ OK","")))</f>
        <v/>
      </c>
      <c r="T792" s="67">
        <f>IF(AND(C792="",D792="",E792="",L792="",K792=""),1,0)</f>
        <v/>
      </c>
      <c r="U792" s="67">
        <f>IFERROR(INDEX(tt_Dir,MATCH(D792,tt_Type,0)),"")</f>
        <v/>
      </c>
      <c r="V792" s="67">
        <f>IF(D792="","",IFERROR(IF(INDEX(tt_Other,MATCH(D792,tt_Type,0))="",E792&amp;"",INDEX(tt_Other,MATCH(D792,tt_Type,0))),""))</f>
        <v/>
      </c>
      <c r="W792" s="68">
        <f>IF(OR(TaxOn&lt;&gt;"Yes",NOT(ISNUMBER(M792))),0,IF(IFERROR(INDEX(tt_Tax,MATCH(D792,tt_Type,0)),"No")="Yes",M792,0))</f>
        <v/>
      </c>
      <c r="X792" s="67">
        <f>IF(T792=1,"",IF(C792="","Missing transaction date",IF(NOT(ISNUMBER(C792)),"Invalid date",IF(OR(C792&lt;DATE(2000,1,1),C792&gt;DATE(2099,12,31)),"Invalid date",IF(D792="","Select a type",IF(U792="","Unknown type: "&amp;D792,IF(V792="","Select an account (Category)",IF(ISNA(MATCH(V792,coa_Name,0)),"Unknown account: "&amp;V792,IF(K792="","Select Paid From / Deposited To",IF(ISNA(MATCH(K792,coa_Name,0)),"Unknown account: "&amp;K792,IF(NOT(ISNUMBER(L792)),"Enter an amount",IF(L792=0,"Enter an amount",IF(ABS(W792)&gt;ABS(L792),"Tax is larger than the amount","")))))))))))))</f>
        <v/>
      </c>
      <c r="Y792" s="67">
        <f>IF(OR(T792=1,X792&lt;&gt;""),"",IF(AND(B792&lt;&gt;"",COUNTIF(tx_ID,B792)&gt;1),"Duplicate transaction ID",IF(AND(L792&lt;0,D792&lt;&gt;"Adjustment"),"Negative amount — check this entry",IF(AND(D792="Customer Payment",G792=""),"Add the customer",IF(AND(D792="Customer Payment",OR(J792="",COUNTIF(ar_No,J792&amp;"")=0)),"Invoice # in Reference not found on AR sheet",IF(AND(D792="Bill Payment",H792=""),"Add the vendor",IF(AND(D792="Bill Payment",OR(J792="",COUNTIFS(ap_No,J792&amp;"",ap_Party,H792&amp;"")=0)),"Bill # + vendor not found on AP sheet",IF(AND(ISNUMBER(M792),N(M792)&lt;&gt;0,W792=0),"Tax ignored (tax tracking off, or not allowed for this type)",IF(V792=K792&amp;"","Same account on both sides",IF(AND(ISNUMBER(StartDate),C792&lt;StartDate),"Date is before the accounting start date",IF(AND(D792&lt;&gt;"Adjustment",IFERROR(INDEX(coa_Pay,MATCH(K792&amp;"",coa_Name,0)),"")&lt;&gt;"Yes"),"Paid From / Deposited To is not a payment account","")))))))))))</f>
        <v/>
      </c>
      <c r="Z792" s="67">
        <f>IF(AND(T792=0,X792=""),1,0)</f>
        <v/>
      </c>
      <c r="AA792" s="68">
        <f>IF(Z792=1,IF(U792="In",L792,L792-W792),0)</f>
        <v/>
      </c>
      <c r="AB792" s="68">
        <f>IF(Z792=1,IF(U792="In",L792-W792,L792),0)</f>
        <v/>
      </c>
      <c r="AC792" s="68">
        <f>IF(AND(Z792=1,U792="Out"),W792,0)</f>
        <v/>
      </c>
      <c r="AD792" s="68">
        <f>IF(AND(Z792=1,U792="In"),W792,0)</f>
        <v/>
      </c>
    </row>
    <row r="793">
      <c r="B793" s="62" t="inlineStr">
        <is>
          <t>TX-0787</t>
        </is>
      </c>
      <c r="C793" s="63" t="n"/>
      <c r="D793" s="62" t="n"/>
      <c r="E793" s="62" t="n"/>
      <c r="F793" s="62" t="n"/>
      <c r="G793" s="62" t="n"/>
      <c r="H793" s="62" t="n"/>
      <c r="I793" s="62" t="n"/>
      <c r="J793" s="62" t="n"/>
      <c r="K793" s="62" t="n"/>
      <c r="L793" s="64" t="n"/>
      <c r="M793" s="64" t="n"/>
      <c r="N793" s="62" t="n"/>
      <c r="O793" s="65">
        <f>IF(Z793=1,L793-W793,"")</f>
        <v/>
      </c>
      <c r="P793" s="66">
        <f>IF(V793="","",IFERROR(INDEX(coa_Type,MATCH(V793,coa_Name,0)),""))</f>
        <v/>
      </c>
      <c r="Q793" s="66">
        <f>IF(Z793=1,IF(U793="In",K793&amp;"",V793),"")</f>
        <v/>
      </c>
      <c r="R793" s="66">
        <f>IF(Z793=1,IF(U793="In",V793,K793&amp;""),"")</f>
        <v/>
      </c>
      <c r="S793" s="66">
        <f>IF(X793&lt;&gt;"","⛔ "&amp;X793&amp;" — not posted",IF(Y793&lt;&gt;"","⚠ "&amp;Y793,IF(Z793=1,"✓ OK","")))</f>
        <v/>
      </c>
      <c r="T793" s="67">
        <f>IF(AND(C793="",D793="",E793="",L793="",K793=""),1,0)</f>
        <v/>
      </c>
      <c r="U793" s="67">
        <f>IFERROR(INDEX(tt_Dir,MATCH(D793,tt_Type,0)),"")</f>
        <v/>
      </c>
      <c r="V793" s="67">
        <f>IF(D793="","",IFERROR(IF(INDEX(tt_Other,MATCH(D793,tt_Type,0))="",E793&amp;"",INDEX(tt_Other,MATCH(D793,tt_Type,0))),""))</f>
        <v/>
      </c>
      <c r="W793" s="68">
        <f>IF(OR(TaxOn&lt;&gt;"Yes",NOT(ISNUMBER(M793))),0,IF(IFERROR(INDEX(tt_Tax,MATCH(D793,tt_Type,0)),"No")="Yes",M793,0))</f>
        <v/>
      </c>
      <c r="X793" s="67">
        <f>IF(T793=1,"",IF(C793="","Missing transaction date",IF(NOT(ISNUMBER(C793)),"Invalid date",IF(OR(C793&lt;DATE(2000,1,1),C793&gt;DATE(2099,12,31)),"Invalid date",IF(D793="","Select a type",IF(U793="","Unknown type: "&amp;D793,IF(V793="","Select an account (Category)",IF(ISNA(MATCH(V793,coa_Name,0)),"Unknown account: "&amp;V793,IF(K793="","Select Paid From / Deposited To",IF(ISNA(MATCH(K793,coa_Name,0)),"Unknown account: "&amp;K793,IF(NOT(ISNUMBER(L793)),"Enter an amount",IF(L793=0,"Enter an amount",IF(ABS(W793)&gt;ABS(L793),"Tax is larger than the amount","")))))))))))))</f>
        <v/>
      </c>
      <c r="Y793" s="67">
        <f>IF(OR(T793=1,X793&lt;&gt;""),"",IF(AND(B793&lt;&gt;"",COUNTIF(tx_ID,B793)&gt;1),"Duplicate transaction ID",IF(AND(L793&lt;0,D793&lt;&gt;"Adjustment"),"Negative amount — check this entry",IF(AND(D793="Customer Payment",G793=""),"Add the customer",IF(AND(D793="Customer Payment",OR(J793="",COUNTIF(ar_No,J793&amp;"")=0)),"Invoice # in Reference not found on AR sheet",IF(AND(D793="Bill Payment",H793=""),"Add the vendor",IF(AND(D793="Bill Payment",OR(J793="",COUNTIFS(ap_No,J793&amp;"",ap_Party,H793&amp;"")=0)),"Bill # + vendor not found on AP sheet",IF(AND(ISNUMBER(M793),N(M793)&lt;&gt;0,W793=0),"Tax ignored (tax tracking off, or not allowed for this type)",IF(V793=K793&amp;"","Same account on both sides",IF(AND(ISNUMBER(StartDate),C793&lt;StartDate),"Date is before the accounting start date",IF(AND(D793&lt;&gt;"Adjustment",IFERROR(INDEX(coa_Pay,MATCH(K793&amp;"",coa_Name,0)),"")&lt;&gt;"Yes"),"Paid From / Deposited To is not a payment account","")))))))))))</f>
        <v/>
      </c>
      <c r="Z793" s="67">
        <f>IF(AND(T793=0,X793=""),1,0)</f>
        <v/>
      </c>
      <c r="AA793" s="68">
        <f>IF(Z793=1,IF(U793="In",L793,L793-W793),0)</f>
        <v/>
      </c>
      <c r="AB793" s="68">
        <f>IF(Z793=1,IF(U793="In",L793-W793,L793),0)</f>
        <v/>
      </c>
      <c r="AC793" s="68">
        <f>IF(AND(Z793=1,U793="Out"),W793,0)</f>
        <v/>
      </c>
      <c r="AD793" s="68">
        <f>IF(AND(Z793=1,U793="In"),W793,0)</f>
        <v/>
      </c>
    </row>
    <row r="794">
      <c r="B794" s="62" t="inlineStr">
        <is>
          <t>TX-0788</t>
        </is>
      </c>
      <c r="C794" s="63" t="n"/>
      <c r="D794" s="62" t="n"/>
      <c r="E794" s="62" t="n"/>
      <c r="F794" s="62" t="n"/>
      <c r="G794" s="62" t="n"/>
      <c r="H794" s="62" t="n"/>
      <c r="I794" s="62" t="n"/>
      <c r="J794" s="62" t="n"/>
      <c r="K794" s="62" t="n"/>
      <c r="L794" s="64" t="n"/>
      <c r="M794" s="64" t="n"/>
      <c r="N794" s="62" t="n"/>
      <c r="O794" s="65">
        <f>IF(Z794=1,L794-W794,"")</f>
        <v/>
      </c>
      <c r="P794" s="66">
        <f>IF(V794="","",IFERROR(INDEX(coa_Type,MATCH(V794,coa_Name,0)),""))</f>
        <v/>
      </c>
      <c r="Q794" s="66">
        <f>IF(Z794=1,IF(U794="In",K794&amp;"",V794),"")</f>
        <v/>
      </c>
      <c r="R794" s="66">
        <f>IF(Z794=1,IF(U794="In",V794,K794&amp;""),"")</f>
        <v/>
      </c>
      <c r="S794" s="66">
        <f>IF(X794&lt;&gt;"","⛔ "&amp;X794&amp;" — not posted",IF(Y794&lt;&gt;"","⚠ "&amp;Y794,IF(Z794=1,"✓ OK","")))</f>
        <v/>
      </c>
      <c r="T794" s="67">
        <f>IF(AND(C794="",D794="",E794="",L794="",K794=""),1,0)</f>
        <v/>
      </c>
      <c r="U794" s="67">
        <f>IFERROR(INDEX(tt_Dir,MATCH(D794,tt_Type,0)),"")</f>
        <v/>
      </c>
      <c r="V794" s="67">
        <f>IF(D794="","",IFERROR(IF(INDEX(tt_Other,MATCH(D794,tt_Type,0))="",E794&amp;"",INDEX(tt_Other,MATCH(D794,tt_Type,0))),""))</f>
        <v/>
      </c>
      <c r="W794" s="68">
        <f>IF(OR(TaxOn&lt;&gt;"Yes",NOT(ISNUMBER(M794))),0,IF(IFERROR(INDEX(tt_Tax,MATCH(D794,tt_Type,0)),"No")="Yes",M794,0))</f>
        <v/>
      </c>
      <c r="X794" s="67">
        <f>IF(T794=1,"",IF(C794="","Missing transaction date",IF(NOT(ISNUMBER(C794)),"Invalid date",IF(OR(C794&lt;DATE(2000,1,1),C794&gt;DATE(2099,12,31)),"Invalid date",IF(D794="","Select a type",IF(U794="","Unknown type: "&amp;D794,IF(V794="","Select an account (Category)",IF(ISNA(MATCH(V794,coa_Name,0)),"Unknown account: "&amp;V794,IF(K794="","Select Paid From / Deposited To",IF(ISNA(MATCH(K794,coa_Name,0)),"Unknown account: "&amp;K794,IF(NOT(ISNUMBER(L794)),"Enter an amount",IF(L794=0,"Enter an amount",IF(ABS(W794)&gt;ABS(L794),"Tax is larger than the amount","")))))))))))))</f>
        <v/>
      </c>
      <c r="Y794" s="67">
        <f>IF(OR(T794=1,X794&lt;&gt;""),"",IF(AND(B794&lt;&gt;"",COUNTIF(tx_ID,B794)&gt;1),"Duplicate transaction ID",IF(AND(L794&lt;0,D794&lt;&gt;"Adjustment"),"Negative amount — check this entry",IF(AND(D794="Customer Payment",G794=""),"Add the customer",IF(AND(D794="Customer Payment",OR(J794="",COUNTIF(ar_No,J794&amp;"")=0)),"Invoice # in Reference not found on AR sheet",IF(AND(D794="Bill Payment",H794=""),"Add the vendor",IF(AND(D794="Bill Payment",OR(J794="",COUNTIFS(ap_No,J794&amp;"",ap_Party,H794&amp;"")=0)),"Bill # + vendor not found on AP sheet",IF(AND(ISNUMBER(M794),N(M794)&lt;&gt;0,W794=0),"Tax ignored (tax tracking off, or not allowed for this type)",IF(V794=K794&amp;"","Same account on both sides",IF(AND(ISNUMBER(StartDate),C794&lt;StartDate),"Date is before the accounting start date",IF(AND(D794&lt;&gt;"Adjustment",IFERROR(INDEX(coa_Pay,MATCH(K794&amp;"",coa_Name,0)),"")&lt;&gt;"Yes"),"Paid From / Deposited To is not a payment account","")))))))))))</f>
        <v/>
      </c>
      <c r="Z794" s="67">
        <f>IF(AND(T794=0,X794=""),1,0)</f>
        <v/>
      </c>
      <c r="AA794" s="68">
        <f>IF(Z794=1,IF(U794="In",L794,L794-W794),0)</f>
        <v/>
      </c>
      <c r="AB794" s="68">
        <f>IF(Z794=1,IF(U794="In",L794-W794,L794),0)</f>
        <v/>
      </c>
      <c r="AC794" s="68">
        <f>IF(AND(Z794=1,U794="Out"),W794,0)</f>
        <v/>
      </c>
      <c r="AD794" s="68">
        <f>IF(AND(Z794=1,U794="In"),W794,0)</f>
        <v/>
      </c>
    </row>
    <row r="795">
      <c r="B795" s="62" t="inlineStr">
        <is>
          <t>TX-0789</t>
        </is>
      </c>
      <c r="C795" s="63" t="n"/>
      <c r="D795" s="62" t="n"/>
      <c r="E795" s="62" t="n"/>
      <c r="F795" s="62" t="n"/>
      <c r="G795" s="62" t="n"/>
      <c r="H795" s="62" t="n"/>
      <c r="I795" s="62" t="n"/>
      <c r="J795" s="62" t="n"/>
      <c r="K795" s="62" t="n"/>
      <c r="L795" s="64" t="n"/>
      <c r="M795" s="64" t="n"/>
      <c r="N795" s="62" t="n"/>
      <c r="O795" s="65">
        <f>IF(Z795=1,L795-W795,"")</f>
        <v/>
      </c>
      <c r="P795" s="66">
        <f>IF(V795="","",IFERROR(INDEX(coa_Type,MATCH(V795,coa_Name,0)),""))</f>
        <v/>
      </c>
      <c r="Q795" s="66">
        <f>IF(Z795=1,IF(U795="In",K795&amp;"",V795),"")</f>
        <v/>
      </c>
      <c r="R795" s="66">
        <f>IF(Z795=1,IF(U795="In",V795,K795&amp;""),"")</f>
        <v/>
      </c>
      <c r="S795" s="66">
        <f>IF(X795&lt;&gt;"","⛔ "&amp;X795&amp;" — not posted",IF(Y795&lt;&gt;"","⚠ "&amp;Y795,IF(Z795=1,"✓ OK","")))</f>
        <v/>
      </c>
      <c r="T795" s="67">
        <f>IF(AND(C795="",D795="",E795="",L795="",K795=""),1,0)</f>
        <v/>
      </c>
      <c r="U795" s="67">
        <f>IFERROR(INDEX(tt_Dir,MATCH(D795,tt_Type,0)),"")</f>
        <v/>
      </c>
      <c r="V795" s="67">
        <f>IF(D795="","",IFERROR(IF(INDEX(tt_Other,MATCH(D795,tt_Type,0))="",E795&amp;"",INDEX(tt_Other,MATCH(D795,tt_Type,0))),""))</f>
        <v/>
      </c>
      <c r="W795" s="68">
        <f>IF(OR(TaxOn&lt;&gt;"Yes",NOT(ISNUMBER(M795))),0,IF(IFERROR(INDEX(tt_Tax,MATCH(D795,tt_Type,0)),"No")="Yes",M795,0))</f>
        <v/>
      </c>
      <c r="X795" s="67">
        <f>IF(T795=1,"",IF(C795="","Missing transaction date",IF(NOT(ISNUMBER(C795)),"Invalid date",IF(OR(C795&lt;DATE(2000,1,1),C795&gt;DATE(2099,12,31)),"Invalid date",IF(D795="","Select a type",IF(U795="","Unknown type: "&amp;D795,IF(V795="","Select an account (Category)",IF(ISNA(MATCH(V795,coa_Name,0)),"Unknown account: "&amp;V795,IF(K795="","Select Paid From / Deposited To",IF(ISNA(MATCH(K795,coa_Name,0)),"Unknown account: "&amp;K795,IF(NOT(ISNUMBER(L795)),"Enter an amount",IF(L795=0,"Enter an amount",IF(ABS(W795)&gt;ABS(L795),"Tax is larger than the amount","")))))))))))))</f>
        <v/>
      </c>
      <c r="Y795" s="67">
        <f>IF(OR(T795=1,X795&lt;&gt;""),"",IF(AND(B795&lt;&gt;"",COUNTIF(tx_ID,B795)&gt;1),"Duplicate transaction ID",IF(AND(L795&lt;0,D795&lt;&gt;"Adjustment"),"Negative amount — check this entry",IF(AND(D795="Customer Payment",G795=""),"Add the customer",IF(AND(D795="Customer Payment",OR(J795="",COUNTIF(ar_No,J795&amp;"")=0)),"Invoice # in Reference not found on AR sheet",IF(AND(D795="Bill Payment",H795=""),"Add the vendor",IF(AND(D795="Bill Payment",OR(J795="",COUNTIFS(ap_No,J795&amp;"",ap_Party,H795&amp;"")=0)),"Bill # + vendor not found on AP sheet",IF(AND(ISNUMBER(M795),N(M795)&lt;&gt;0,W795=0),"Tax ignored (tax tracking off, or not allowed for this type)",IF(V795=K795&amp;"","Same account on both sides",IF(AND(ISNUMBER(StartDate),C795&lt;StartDate),"Date is before the accounting start date",IF(AND(D795&lt;&gt;"Adjustment",IFERROR(INDEX(coa_Pay,MATCH(K795&amp;"",coa_Name,0)),"")&lt;&gt;"Yes"),"Paid From / Deposited To is not a payment account","")))))))))))</f>
        <v/>
      </c>
      <c r="Z795" s="67">
        <f>IF(AND(T795=0,X795=""),1,0)</f>
        <v/>
      </c>
      <c r="AA795" s="68">
        <f>IF(Z795=1,IF(U795="In",L795,L795-W795),0)</f>
        <v/>
      </c>
      <c r="AB795" s="68">
        <f>IF(Z795=1,IF(U795="In",L795-W795,L795),0)</f>
        <v/>
      </c>
      <c r="AC795" s="68">
        <f>IF(AND(Z795=1,U795="Out"),W795,0)</f>
        <v/>
      </c>
      <c r="AD795" s="68">
        <f>IF(AND(Z795=1,U795="In"),W795,0)</f>
        <v/>
      </c>
    </row>
    <row r="796">
      <c r="B796" s="62" t="inlineStr">
        <is>
          <t>TX-0790</t>
        </is>
      </c>
      <c r="C796" s="63" t="n"/>
      <c r="D796" s="62" t="n"/>
      <c r="E796" s="62" t="n"/>
      <c r="F796" s="62" t="n"/>
      <c r="G796" s="62" t="n"/>
      <c r="H796" s="62" t="n"/>
      <c r="I796" s="62" t="n"/>
      <c r="J796" s="62" t="n"/>
      <c r="K796" s="62" t="n"/>
      <c r="L796" s="64" t="n"/>
      <c r="M796" s="64" t="n"/>
      <c r="N796" s="62" t="n"/>
      <c r="O796" s="65">
        <f>IF(Z796=1,L796-W796,"")</f>
        <v/>
      </c>
      <c r="P796" s="66">
        <f>IF(V796="","",IFERROR(INDEX(coa_Type,MATCH(V796,coa_Name,0)),""))</f>
        <v/>
      </c>
      <c r="Q796" s="66">
        <f>IF(Z796=1,IF(U796="In",K796&amp;"",V796),"")</f>
        <v/>
      </c>
      <c r="R796" s="66">
        <f>IF(Z796=1,IF(U796="In",V796,K796&amp;""),"")</f>
        <v/>
      </c>
      <c r="S796" s="66">
        <f>IF(X796&lt;&gt;"","⛔ "&amp;X796&amp;" — not posted",IF(Y796&lt;&gt;"","⚠ "&amp;Y796,IF(Z796=1,"✓ OK","")))</f>
        <v/>
      </c>
      <c r="T796" s="67">
        <f>IF(AND(C796="",D796="",E796="",L796="",K796=""),1,0)</f>
        <v/>
      </c>
      <c r="U796" s="67">
        <f>IFERROR(INDEX(tt_Dir,MATCH(D796,tt_Type,0)),"")</f>
        <v/>
      </c>
      <c r="V796" s="67">
        <f>IF(D796="","",IFERROR(IF(INDEX(tt_Other,MATCH(D796,tt_Type,0))="",E796&amp;"",INDEX(tt_Other,MATCH(D796,tt_Type,0))),""))</f>
        <v/>
      </c>
      <c r="W796" s="68">
        <f>IF(OR(TaxOn&lt;&gt;"Yes",NOT(ISNUMBER(M796))),0,IF(IFERROR(INDEX(tt_Tax,MATCH(D796,tt_Type,0)),"No")="Yes",M796,0))</f>
        <v/>
      </c>
      <c r="X796" s="67">
        <f>IF(T796=1,"",IF(C796="","Missing transaction date",IF(NOT(ISNUMBER(C796)),"Invalid date",IF(OR(C796&lt;DATE(2000,1,1),C796&gt;DATE(2099,12,31)),"Invalid date",IF(D796="","Select a type",IF(U796="","Unknown type: "&amp;D796,IF(V796="","Select an account (Category)",IF(ISNA(MATCH(V796,coa_Name,0)),"Unknown account: "&amp;V796,IF(K796="","Select Paid From / Deposited To",IF(ISNA(MATCH(K796,coa_Name,0)),"Unknown account: "&amp;K796,IF(NOT(ISNUMBER(L796)),"Enter an amount",IF(L796=0,"Enter an amount",IF(ABS(W796)&gt;ABS(L796),"Tax is larger than the amount","")))))))))))))</f>
        <v/>
      </c>
      <c r="Y796" s="67">
        <f>IF(OR(T796=1,X796&lt;&gt;""),"",IF(AND(B796&lt;&gt;"",COUNTIF(tx_ID,B796)&gt;1),"Duplicate transaction ID",IF(AND(L796&lt;0,D796&lt;&gt;"Adjustment"),"Negative amount — check this entry",IF(AND(D796="Customer Payment",G796=""),"Add the customer",IF(AND(D796="Customer Payment",OR(J796="",COUNTIF(ar_No,J796&amp;"")=0)),"Invoice # in Reference not found on AR sheet",IF(AND(D796="Bill Payment",H796=""),"Add the vendor",IF(AND(D796="Bill Payment",OR(J796="",COUNTIFS(ap_No,J796&amp;"",ap_Party,H796&amp;"")=0)),"Bill # + vendor not found on AP sheet",IF(AND(ISNUMBER(M796),N(M796)&lt;&gt;0,W796=0),"Tax ignored (tax tracking off, or not allowed for this type)",IF(V796=K796&amp;"","Same account on both sides",IF(AND(ISNUMBER(StartDate),C796&lt;StartDate),"Date is before the accounting start date",IF(AND(D796&lt;&gt;"Adjustment",IFERROR(INDEX(coa_Pay,MATCH(K796&amp;"",coa_Name,0)),"")&lt;&gt;"Yes"),"Paid From / Deposited To is not a payment account","")))))))))))</f>
        <v/>
      </c>
      <c r="Z796" s="67">
        <f>IF(AND(T796=0,X796=""),1,0)</f>
        <v/>
      </c>
      <c r="AA796" s="68">
        <f>IF(Z796=1,IF(U796="In",L796,L796-W796),0)</f>
        <v/>
      </c>
      <c r="AB796" s="68">
        <f>IF(Z796=1,IF(U796="In",L796-W796,L796),0)</f>
        <v/>
      </c>
      <c r="AC796" s="68">
        <f>IF(AND(Z796=1,U796="Out"),W796,0)</f>
        <v/>
      </c>
      <c r="AD796" s="68">
        <f>IF(AND(Z796=1,U796="In"),W796,0)</f>
        <v/>
      </c>
    </row>
    <row r="797">
      <c r="B797" s="62" t="inlineStr">
        <is>
          <t>TX-0791</t>
        </is>
      </c>
      <c r="C797" s="63" t="n"/>
      <c r="D797" s="62" t="n"/>
      <c r="E797" s="62" t="n"/>
      <c r="F797" s="62" t="n"/>
      <c r="G797" s="62" t="n"/>
      <c r="H797" s="62" t="n"/>
      <c r="I797" s="62" t="n"/>
      <c r="J797" s="62" t="n"/>
      <c r="K797" s="62" t="n"/>
      <c r="L797" s="64" t="n"/>
      <c r="M797" s="64" t="n"/>
      <c r="N797" s="62" t="n"/>
      <c r="O797" s="65">
        <f>IF(Z797=1,L797-W797,"")</f>
        <v/>
      </c>
      <c r="P797" s="66">
        <f>IF(V797="","",IFERROR(INDEX(coa_Type,MATCH(V797,coa_Name,0)),""))</f>
        <v/>
      </c>
      <c r="Q797" s="66">
        <f>IF(Z797=1,IF(U797="In",K797&amp;"",V797),"")</f>
        <v/>
      </c>
      <c r="R797" s="66">
        <f>IF(Z797=1,IF(U797="In",V797,K797&amp;""),"")</f>
        <v/>
      </c>
      <c r="S797" s="66">
        <f>IF(X797&lt;&gt;"","⛔ "&amp;X797&amp;" — not posted",IF(Y797&lt;&gt;"","⚠ "&amp;Y797,IF(Z797=1,"✓ OK","")))</f>
        <v/>
      </c>
      <c r="T797" s="67">
        <f>IF(AND(C797="",D797="",E797="",L797="",K797=""),1,0)</f>
        <v/>
      </c>
      <c r="U797" s="67">
        <f>IFERROR(INDEX(tt_Dir,MATCH(D797,tt_Type,0)),"")</f>
        <v/>
      </c>
      <c r="V797" s="67">
        <f>IF(D797="","",IFERROR(IF(INDEX(tt_Other,MATCH(D797,tt_Type,0))="",E797&amp;"",INDEX(tt_Other,MATCH(D797,tt_Type,0))),""))</f>
        <v/>
      </c>
      <c r="W797" s="68">
        <f>IF(OR(TaxOn&lt;&gt;"Yes",NOT(ISNUMBER(M797))),0,IF(IFERROR(INDEX(tt_Tax,MATCH(D797,tt_Type,0)),"No")="Yes",M797,0))</f>
        <v/>
      </c>
      <c r="X797" s="67">
        <f>IF(T797=1,"",IF(C797="","Missing transaction date",IF(NOT(ISNUMBER(C797)),"Invalid date",IF(OR(C797&lt;DATE(2000,1,1),C797&gt;DATE(2099,12,31)),"Invalid date",IF(D797="","Select a type",IF(U797="","Unknown type: "&amp;D797,IF(V797="","Select an account (Category)",IF(ISNA(MATCH(V797,coa_Name,0)),"Unknown account: "&amp;V797,IF(K797="","Select Paid From / Deposited To",IF(ISNA(MATCH(K797,coa_Name,0)),"Unknown account: "&amp;K797,IF(NOT(ISNUMBER(L797)),"Enter an amount",IF(L797=0,"Enter an amount",IF(ABS(W797)&gt;ABS(L797),"Tax is larger than the amount","")))))))))))))</f>
        <v/>
      </c>
      <c r="Y797" s="67">
        <f>IF(OR(T797=1,X797&lt;&gt;""),"",IF(AND(B797&lt;&gt;"",COUNTIF(tx_ID,B797)&gt;1),"Duplicate transaction ID",IF(AND(L797&lt;0,D797&lt;&gt;"Adjustment"),"Negative amount — check this entry",IF(AND(D797="Customer Payment",G797=""),"Add the customer",IF(AND(D797="Customer Payment",OR(J797="",COUNTIF(ar_No,J797&amp;"")=0)),"Invoice # in Reference not found on AR sheet",IF(AND(D797="Bill Payment",H797=""),"Add the vendor",IF(AND(D797="Bill Payment",OR(J797="",COUNTIFS(ap_No,J797&amp;"",ap_Party,H797&amp;"")=0)),"Bill # + vendor not found on AP sheet",IF(AND(ISNUMBER(M797),N(M797)&lt;&gt;0,W797=0),"Tax ignored (tax tracking off, or not allowed for this type)",IF(V797=K797&amp;"","Same account on both sides",IF(AND(ISNUMBER(StartDate),C797&lt;StartDate),"Date is before the accounting start date",IF(AND(D797&lt;&gt;"Adjustment",IFERROR(INDEX(coa_Pay,MATCH(K797&amp;"",coa_Name,0)),"")&lt;&gt;"Yes"),"Paid From / Deposited To is not a payment account","")))))))))))</f>
        <v/>
      </c>
      <c r="Z797" s="67">
        <f>IF(AND(T797=0,X797=""),1,0)</f>
        <v/>
      </c>
      <c r="AA797" s="68">
        <f>IF(Z797=1,IF(U797="In",L797,L797-W797),0)</f>
        <v/>
      </c>
      <c r="AB797" s="68">
        <f>IF(Z797=1,IF(U797="In",L797-W797,L797),0)</f>
        <v/>
      </c>
      <c r="AC797" s="68">
        <f>IF(AND(Z797=1,U797="Out"),W797,0)</f>
        <v/>
      </c>
      <c r="AD797" s="68">
        <f>IF(AND(Z797=1,U797="In"),W797,0)</f>
        <v/>
      </c>
    </row>
    <row r="798">
      <c r="B798" s="62" t="inlineStr">
        <is>
          <t>TX-0792</t>
        </is>
      </c>
      <c r="C798" s="63" t="n"/>
      <c r="D798" s="62" t="n"/>
      <c r="E798" s="62" t="n"/>
      <c r="F798" s="62" t="n"/>
      <c r="G798" s="62" t="n"/>
      <c r="H798" s="62" t="n"/>
      <c r="I798" s="62" t="n"/>
      <c r="J798" s="62" t="n"/>
      <c r="K798" s="62" t="n"/>
      <c r="L798" s="64" t="n"/>
      <c r="M798" s="64" t="n"/>
      <c r="N798" s="62" t="n"/>
      <c r="O798" s="65">
        <f>IF(Z798=1,L798-W798,"")</f>
        <v/>
      </c>
      <c r="P798" s="66">
        <f>IF(V798="","",IFERROR(INDEX(coa_Type,MATCH(V798,coa_Name,0)),""))</f>
        <v/>
      </c>
      <c r="Q798" s="66">
        <f>IF(Z798=1,IF(U798="In",K798&amp;"",V798),"")</f>
        <v/>
      </c>
      <c r="R798" s="66">
        <f>IF(Z798=1,IF(U798="In",V798,K798&amp;""),"")</f>
        <v/>
      </c>
      <c r="S798" s="66">
        <f>IF(X798&lt;&gt;"","⛔ "&amp;X798&amp;" — not posted",IF(Y798&lt;&gt;"","⚠ "&amp;Y798,IF(Z798=1,"✓ OK","")))</f>
        <v/>
      </c>
      <c r="T798" s="67">
        <f>IF(AND(C798="",D798="",E798="",L798="",K798=""),1,0)</f>
        <v/>
      </c>
      <c r="U798" s="67">
        <f>IFERROR(INDEX(tt_Dir,MATCH(D798,tt_Type,0)),"")</f>
        <v/>
      </c>
      <c r="V798" s="67">
        <f>IF(D798="","",IFERROR(IF(INDEX(tt_Other,MATCH(D798,tt_Type,0))="",E798&amp;"",INDEX(tt_Other,MATCH(D798,tt_Type,0))),""))</f>
        <v/>
      </c>
      <c r="W798" s="68">
        <f>IF(OR(TaxOn&lt;&gt;"Yes",NOT(ISNUMBER(M798))),0,IF(IFERROR(INDEX(tt_Tax,MATCH(D798,tt_Type,0)),"No")="Yes",M798,0))</f>
        <v/>
      </c>
      <c r="X798" s="67">
        <f>IF(T798=1,"",IF(C798="","Missing transaction date",IF(NOT(ISNUMBER(C798)),"Invalid date",IF(OR(C798&lt;DATE(2000,1,1),C798&gt;DATE(2099,12,31)),"Invalid date",IF(D798="","Select a type",IF(U798="","Unknown type: "&amp;D798,IF(V798="","Select an account (Category)",IF(ISNA(MATCH(V798,coa_Name,0)),"Unknown account: "&amp;V798,IF(K798="","Select Paid From / Deposited To",IF(ISNA(MATCH(K798,coa_Name,0)),"Unknown account: "&amp;K798,IF(NOT(ISNUMBER(L798)),"Enter an amount",IF(L798=0,"Enter an amount",IF(ABS(W798)&gt;ABS(L798),"Tax is larger than the amount","")))))))))))))</f>
        <v/>
      </c>
      <c r="Y798" s="67">
        <f>IF(OR(T798=1,X798&lt;&gt;""),"",IF(AND(B798&lt;&gt;"",COUNTIF(tx_ID,B798)&gt;1),"Duplicate transaction ID",IF(AND(L798&lt;0,D798&lt;&gt;"Adjustment"),"Negative amount — check this entry",IF(AND(D798="Customer Payment",G798=""),"Add the customer",IF(AND(D798="Customer Payment",OR(J798="",COUNTIF(ar_No,J798&amp;"")=0)),"Invoice # in Reference not found on AR sheet",IF(AND(D798="Bill Payment",H798=""),"Add the vendor",IF(AND(D798="Bill Payment",OR(J798="",COUNTIFS(ap_No,J798&amp;"",ap_Party,H798&amp;"")=0)),"Bill # + vendor not found on AP sheet",IF(AND(ISNUMBER(M798),N(M798)&lt;&gt;0,W798=0),"Tax ignored (tax tracking off, or not allowed for this type)",IF(V798=K798&amp;"","Same account on both sides",IF(AND(ISNUMBER(StartDate),C798&lt;StartDate),"Date is before the accounting start date",IF(AND(D798&lt;&gt;"Adjustment",IFERROR(INDEX(coa_Pay,MATCH(K798&amp;"",coa_Name,0)),"")&lt;&gt;"Yes"),"Paid From / Deposited To is not a payment account","")))))))))))</f>
        <v/>
      </c>
      <c r="Z798" s="67">
        <f>IF(AND(T798=0,X798=""),1,0)</f>
        <v/>
      </c>
      <c r="AA798" s="68">
        <f>IF(Z798=1,IF(U798="In",L798,L798-W798),0)</f>
        <v/>
      </c>
      <c r="AB798" s="68">
        <f>IF(Z798=1,IF(U798="In",L798-W798,L798),0)</f>
        <v/>
      </c>
      <c r="AC798" s="68">
        <f>IF(AND(Z798=1,U798="Out"),W798,0)</f>
        <v/>
      </c>
      <c r="AD798" s="68">
        <f>IF(AND(Z798=1,U798="In"),W798,0)</f>
        <v/>
      </c>
    </row>
    <row r="799">
      <c r="B799" s="62" t="inlineStr">
        <is>
          <t>TX-0793</t>
        </is>
      </c>
      <c r="C799" s="63" t="n"/>
      <c r="D799" s="62" t="n"/>
      <c r="E799" s="62" t="n"/>
      <c r="F799" s="62" t="n"/>
      <c r="G799" s="62" t="n"/>
      <c r="H799" s="62" t="n"/>
      <c r="I799" s="62" t="n"/>
      <c r="J799" s="62" t="n"/>
      <c r="K799" s="62" t="n"/>
      <c r="L799" s="64" t="n"/>
      <c r="M799" s="64" t="n"/>
      <c r="N799" s="62" t="n"/>
      <c r="O799" s="65">
        <f>IF(Z799=1,L799-W799,"")</f>
        <v/>
      </c>
      <c r="P799" s="66">
        <f>IF(V799="","",IFERROR(INDEX(coa_Type,MATCH(V799,coa_Name,0)),""))</f>
        <v/>
      </c>
      <c r="Q799" s="66">
        <f>IF(Z799=1,IF(U799="In",K799&amp;"",V799),"")</f>
        <v/>
      </c>
      <c r="R799" s="66">
        <f>IF(Z799=1,IF(U799="In",V799,K799&amp;""),"")</f>
        <v/>
      </c>
      <c r="S799" s="66">
        <f>IF(X799&lt;&gt;"","⛔ "&amp;X799&amp;" — not posted",IF(Y799&lt;&gt;"","⚠ "&amp;Y799,IF(Z799=1,"✓ OK","")))</f>
        <v/>
      </c>
      <c r="T799" s="67">
        <f>IF(AND(C799="",D799="",E799="",L799="",K799=""),1,0)</f>
        <v/>
      </c>
      <c r="U799" s="67">
        <f>IFERROR(INDEX(tt_Dir,MATCH(D799,tt_Type,0)),"")</f>
        <v/>
      </c>
      <c r="V799" s="67">
        <f>IF(D799="","",IFERROR(IF(INDEX(tt_Other,MATCH(D799,tt_Type,0))="",E799&amp;"",INDEX(tt_Other,MATCH(D799,tt_Type,0))),""))</f>
        <v/>
      </c>
      <c r="W799" s="68">
        <f>IF(OR(TaxOn&lt;&gt;"Yes",NOT(ISNUMBER(M799))),0,IF(IFERROR(INDEX(tt_Tax,MATCH(D799,tt_Type,0)),"No")="Yes",M799,0))</f>
        <v/>
      </c>
      <c r="X799" s="67">
        <f>IF(T799=1,"",IF(C799="","Missing transaction date",IF(NOT(ISNUMBER(C799)),"Invalid date",IF(OR(C799&lt;DATE(2000,1,1),C799&gt;DATE(2099,12,31)),"Invalid date",IF(D799="","Select a type",IF(U799="","Unknown type: "&amp;D799,IF(V799="","Select an account (Category)",IF(ISNA(MATCH(V799,coa_Name,0)),"Unknown account: "&amp;V799,IF(K799="","Select Paid From / Deposited To",IF(ISNA(MATCH(K799,coa_Name,0)),"Unknown account: "&amp;K799,IF(NOT(ISNUMBER(L799)),"Enter an amount",IF(L799=0,"Enter an amount",IF(ABS(W799)&gt;ABS(L799),"Tax is larger than the amount","")))))))))))))</f>
        <v/>
      </c>
      <c r="Y799" s="67">
        <f>IF(OR(T799=1,X799&lt;&gt;""),"",IF(AND(B799&lt;&gt;"",COUNTIF(tx_ID,B799)&gt;1),"Duplicate transaction ID",IF(AND(L799&lt;0,D799&lt;&gt;"Adjustment"),"Negative amount — check this entry",IF(AND(D799="Customer Payment",G799=""),"Add the customer",IF(AND(D799="Customer Payment",OR(J799="",COUNTIF(ar_No,J799&amp;"")=0)),"Invoice # in Reference not found on AR sheet",IF(AND(D799="Bill Payment",H799=""),"Add the vendor",IF(AND(D799="Bill Payment",OR(J799="",COUNTIFS(ap_No,J799&amp;"",ap_Party,H799&amp;"")=0)),"Bill # + vendor not found on AP sheet",IF(AND(ISNUMBER(M799),N(M799)&lt;&gt;0,W799=0),"Tax ignored (tax tracking off, or not allowed for this type)",IF(V799=K799&amp;"","Same account on both sides",IF(AND(ISNUMBER(StartDate),C799&lt;StartDate),"Date is before the accounting start date",IF(AND(D799&lt;&gt;"Adjustment",IFERROR(INDEX(coa_Pay,MATCH(K799&amp;"",coa_Name,0)),"")&lt;&gt;"Yes"),"Paid From / Deposited To is not a payment account","")))))))))))</f>
        <v/>
      </c>
      <c r="Z799" s="67">
        <f>IF(AND(T799=0,X799=""),1,0)</f>
        <v/>
      </c>
      <c r="AA799" s="68">
        <f>IF(Z799=1,IF(U799="In",L799,L799-W799),0)</f>
        <v/>
      </c>
      <c r="AB799" s="68">
        <f>IF(Z799=1,IF(U799="In",L799-W799,L799),0)</f>
        <v/>
      </c>
      <c r="AC799" s="68">
        <f>IF(AND(Z799=1,U799="Out"),W799,0)</f>
        <v/>
      </c>
      <c r="AD799" s="68">
        <f>IF(AND(Z799=1,U799="In"),W799,0)</f>
        <v/>
      </c>
    </row>
    <row r="800">
      <c r="B800" s="62" t="inlineStr">
        <is>
          <t>TX-0794</t>
        </is>
      </c>
      <c r="C800" s="63" t="n"/>
      <c r="D800" s="62" t="n"/>
      <c r="E800" s="62" t="n"/>
      <c r="F800" s="62" t="n"/>
      <c r="G800" s="62" t="n"/>
      <c r="H800" s="62" t="n"/>
      <c r="I800" s="62" t="n"/>
      <c r="J800" s="62" t="n"/>
      <c r="K800" s="62" t="n"/>
      <c r="L800" s="64" t="n"/>
      <c r="M800" s="64" t="n"/>
      <c r="N800" s="62" t="n"/>
      <c r="O800" s="65">
        <f>IF(Z800=1,L800-W800,"")</f>
        <v/>
      </c>
      <c r="P800" s="66">
        <f>IF(V800="","",IFERROR(INDEX(coa_Type,MATCH(V800,coa_Name,0)),""))</f>
        <v/>
      </c>
      <c r="Q800" s="66">
        <f>IF(Z800=1,IF(U800="In",K800&amp;"",V800),"")</f>
        <v/>
      </c>
      <c r="R800" s="66">
        <f>IF(Z800=1,IF(U800="In",V800,K800&amp;""),"")</f>
        <v/>
      </c>
      <c r="S800" s="66">
        <f>IF(X800&lt;&gt;"","⛔ "&amp;X800&amp;" — not posted",IF(Y800&lt;&gt;"","⚠ "&amp;Y800,IF(Z800=1,"✓ OK","")))</f>
        <v/>
      </c>
      <c r="T800" s="67">
        <f>IF(AND(C800="",D800="",E800="",L800="",K800=""),1,0)</f>
        <v/>
      </c>
      <c r="U800" s="67">
        <f>IFERROR(INDEX(tt_Dir,MATCH(D800,tt_Type,0)),"")</f>
        <v/>
      </c>
      <c r="V800" s="67">
        <f>IF(D800="","",IFERROR(IF(INDEX(tt_Other,MATCH(D800,tt_Type,0))="",E800&amp;"",INDEX(tt_Other,MATCH(D800,tt_Type,0))),""))</f>
        <v/>
      </c>
      <c r="W800" s="68">
        <f>IF(OR(TaxOn&lt;&gt;"Yes",NOT(ISNUMBER(M800))),0,IF(IFERROR(INDEX(tt_Tax,MATCH(D800,tt_Type,0)),"No")="Yes",M800,0))</f>
        <v/>
      </c>
      <c r="X800" s="67">
        <f>IF(T800=1,"",IF(C800="","Missing transaction date",IF(NOT(ISNUMBER(C800)),"Invalid date",IF(OR(C800&lt;DATE(2000,1,1),C800&gt;DATE(2099,12,31)),"Invalid date",IF(D800="","Select a type",IF(U800="","Unknown type: "&amp;D800,IF(V800="","Select an account (Category)",IF(ISNA(MATCH(V800,coa_Name,0)),"Unknown account: "&amp;V800,IF(K800="","Select Paid From / Deposited To",IF(ISNA(MATCH(K800,coa_Name,0)),"Unknown account: "&amp;K800,IF(NOT(ISNUMBER(L800)),"Enter an amount",IF(L800=0,"Enter an amount",IF(ABS(W800)&gt;ABS(L800),"Tax is larger than the amount","")))))))))))))</f>
        <v/>
      </c>
      <c r="Y800" s="67">
        <f>IF(OR(T800=1,X800&lt;&gt;""),"",IF(AND(B800&lt;&gt;"",COUNTIF(tx_ID,B800)&gt;1),"Duplicate transaction ID",IF(AND(L800&lt;0,D800&lt;&gt;"Adjustment"),"Negative amount — check this entry",IF(AND(D800="Customer Payment",G800=""),"Add the customer",IF(AND(D800="Customer Payment",OR(J800="",COUNTIF(ar_No,J800&amp;"")=0)),"Invoice # in Reference not found on AR sheet",IF(AND(D800="Bill Payment",H800=""),"Add the vendor",IF(AND(D800="Bill Payment",OR(J800="",COUNTIFS(ap_No,J800&amp;"",ap_Party,H800&amp;"")=0)),"Bill # + vendor not found on AP sheet",IF(AND(ISNUMBER(M800),N(M800)&lt;&gt;0,W800=0),"Tax ignored (tax tracking off, or not allowed for this type)",IF(V800=K800&amp;"","Same account on both sides",IF(AND(ISNUMBER(StartDate),C800&lt;StartDate),"Date is before the accounting start date",IF(AND(D800&lt;&gt;"Adjustment",IFERROR(INDEX(coa_Pay,MATCH(K800&amp;"",coa_Name,0)),"")&lt;&gt;"Yes"),"Paid From / Deposited To is not a payment account","")))))))))))</f>
        <v/>
      </c>
      <c r="Z800" s="67">
        <f>IF(AND(T800=0,X800=""),1,0)</f>
        <v/>
      </c>
      <c r="AA800" s="68">
        <f>IF(Z800=1,IF(U800="In",L800,L800-W800),0)</f>
        <v/>
      </c>
      <c r="AB800" s="68">
        <f>IF(Z800=1,IF(U800="In",L800-W800,L800),0)</f>
        <v/>
      </c>
      <c r="AC800" s="68">
        <f>IF(AND(Z800=1,U800="Out"),W800,0)</f>
        <v/>
      </c>
      <c r="AD800" s="68">
        <f>IF(AND(Z800=1,U800="In"),W800,0)</f>
        <v/>
      </c>
    </row>
    <row r="801">
      <c r="B801" s="62" t="inlineStr">
        <is>
          <t>TX-0795</t>
        </is>
      </c>
      <c r="C801" s="63" t="n"/>
      <c r="D801" s="62" t="n"/>
      <c r="E801" s="62" t="n"/>
      <c r="F801" s="62" t="n"/>
      <c r="G801" s="62" t="n"/>
      <c r="H801" s="62" t="n"/>
      <c r="I801" s="62" t="n"/>
      <c r="J801" s="62" t="n"/>
      <c r="K801" s="62" t="n"/>
      <c r="L801" s="64" t="n"/>
      <c r="M801" s="64" t="n"/>
      <c r="N801" s="62" t="n"/>
      <c r="O801" s="65">
        <f>IF(Z801=1,L801-W801,"")</f>
        <v/>
      </c>
      <c r="P801" s="66">
        <f>IF(V801="","",IFERROR(INDEX(coa_Type,MATCH(V801,coa_Name,0)),""))</f>
        <v/>
      </c>
      <c r="Q801" s="66">
        <f>IF(Z801=1,IF(U801="In",K801&amp;"",V801),"")</f>
        <v/>
      </c>
      <c r="R801" s="66">
        <f>IF(Z801=1,IF(U801="In",V801,K801&amp;""),"")</f>
        <v/>
      </c>
      <c r="S801" s="66">
        <f>IF(X801&lt;&gt;"","⛔ "&amp;X801&amp;" — not posted",IF(Y801&lt;&gt;"","⚠ "&amp;Y801,IF(Z801=1,"✓ OK","")))</f>
        <v/>
      </c>
      <c r="T801" s="67">
        <f>IF(AND(C801="",D801="",E801="",L801="",K801=""),1,0)</f>
        <v/>
      </c>
      <c r="U801" s="67">
        <f>IFERROR(INDEX(tt_Dir,MATCH(D801,tt_Type,0)),"")</f>
        <v/>
      </c>
      <c r="V801" s="67">
        <f>IF(D801="","",IFERROR(IF(INDEX(tt_Other,MATCH(D801,tt_Type,0))="",E801&amp;"",INDEX(tt_Other,MATCH(D801,tt_Type,0))),""))</f>
        <v/>
      </c>
      <c r="W801" s="68">
        <f>IF(OR(TaxOn&lt;&gt;"Yes",NOT(ISNUMBER(M801))),0,IF(IFERROR(INDEX(tt_Tax,MATCH(D801,tt_Type,0)),"No")="Yes",M801,0))</f>
        <v/>
      </c>
      <c r="X801" s="67">
        <f>IF(T801=1,"",IF(C801="","Missing transaction date",IF(NOT(ISNUMBER(C801)),"Invalid date",IF(OR(C801&lt;DATE(2000,1,1),C801&gt;DATE(2099,12,31)),"Invalid date",IF(D801="","Select a type",IF(U801="","Unknown type: "&amp;D801,IF(V801="","Select an account (Category)",IF(ISNA(MATCH(V801,coa_Name,0)),"Unknown account: "&amp;V801,IF(K801="","Select Paid From / Deposited To",IF(ISNA(MATCH(K801,coa_Name,0)),"Unknown account: "&amp;K801,IF(NOT(ISNUMBER(L801)),"Enter an amount",IF(L801=0,"Enter an amount",IF(ABS(W801)&gt;ABS(L801),"Tax is larger than the amount","")))))))))))))</f>
        <v/>
      </c>
      <c r="Y801" s="67">
        <f>IF(OR(T801=1,X801&lt;&gt;""),"",IF(AND(B801&lt;&gt;"",COUNTIF(tx_ID,B801)&gt;1),"Duplicate transaction ID",IF(AND(L801&lt;0,D801&lt;&gt;"Adjustment"),"Negative amount — check this entry",IF(AND(D801="Customer Payment",G801=""),"Add the customer",IF(AND(D801="Customer Payment",OR(J801="",COUNTIF(ar_No,J801&amp;"")=0)),"Invoice # in Reference not found on AR sheet",IF(AND(D801="Bill Payment",H801=""),"Add the vendor",IF(AND(D801="Bill Payment",OR(J801="",COUNTIFS(ap_No,J801&amp;"",ap_Party,H801&amp;"")=0)),"Bill # + vendor not found on AP sheet",IF(AND(ISNUMBER(M801),N(M801)&lt;&gt;0,W801=0),"Tax ignored (tax tracking off, or not allowed for this type)",IF(V801=K801&amp;"","Same account on both sides",IF(AND(ISNUMBER(StartDate),C801&lt;StartDate),"Date is before the accounting start date",IF(AND(D801&lt;&gt;"Adjustment",IFERROR(INDEX(coa_Pay,MATCH(K801&amp;"",coa_Name,0)),"")&lt;&gt;"Yes"),"Paid From / Deposited To is not a payment account","")))))))))))</f>
        <v/>
      </c>
      <c r="Z801" s="67">
        <f>IF(AND(T801=0,X801=""),1,0)</f>
        <v/>
      </c>
      <c r="AA801" s="68">
        <f>IF(Z801=1,IF(U801="In",L801,L801-W801),0)</f>
        <v/>
      </c>
      <c r="AB801" s="68">
        <f>IF(Z801=1,IF(U801="In",L801-W801,L801),0)</f>
        <v/>
      </c>
      <c r="AC801" s="68">
        <f>IF(AND(Z801=1,U801="Out"),W801,0)</f>
        <v/>
      </c>
      <c r="AD801" s="68">
        <f>IF(AND(Z801=1,U801="In"),W801,0)</f>
        <v/>
      </c>
    </row>
    <row r="802">
      <c r="B802" s="62" t="inlineStr">
        <is>
          <t>TX-0796</t>
        </is>
      </c>
      <c r="C802" s="63" t="n"/>
      <c r="D802" s="62" t="n"/>
      <c r="E802" s="62" t="n"/>
      <c r="F802" s="62" t="n"/>
      <c r="G802" s="62" t="n"/>
      <c r="H802" s="62" t="n"/>
      <c r="I802" s="62" t="n"/>
      <c r="J802" s="62" t="n"/>
      <c r="K802" s="62" t="n"/>
      <c r="L802" s="64" t="n"/>
      <c r="M802" s="64" t="n"/>
      <c r="N802" s="62" t="n"/>
      <c r="O802" s="65">
        <f>IF(Z802=1,L802-W802,"")</f>
        <v/>
      </c>
      <c r="P802" s="66">
        <f>IF(V802="","",IFERROR(INDEX(coa_Type,MATCH(V802,coa_Name,0)),""))</f>
        <v/>
      </c>
      <c r="Q802" s="66">
        <f>IF(Z802=1,IF(U802="In",K802&amp;"",V802),"")</f>
        <v/>
      </c>
      <c r="R802" s="66">
        <f>IF(Z802=1,IF(U802="In",V802,K802&amp;""),"")</f>
        <v/>
      </c>
      <c r="S802" s="66">
        <f>IF(X802&lt;&gt;"","⛔ "&amp;X802&amp;" — not posted",IF(Y802&lt;&gt;"","⚠ "&amp;Y802,IF(Z802=1,"✓ OK","")))</f>
        <v/>
      </c>
      <c r="T802" s="67">
        <f>IF(AND(C802="",D802="",E802="",L802="",K802=""),1,0)</f>
        <v/>
      </c>
      <c r="U802" s="67">
        <f>IFERROR(INDEX(tt_Dir,MATCH(D802,tt_Type,0)),"")</f>
        <v/>
      </c>
      <c r="V802" s="67">
        <f>IF(D802="","",IFERROR(IF(INDEX(tt_Other,MATCH(D802,tt_Type,0))="",E802&amp;"",INDEX(tt_Other,MATCH(D802,tt_Type,0))),""))</f>
        <v/>
      </c>
      <c r="W802" s="68">
        <f>IF(OR(TaxOn&lt;&gt;"Yes",NOT(ISNUMBER(M802))),0,IF(IFERROR(INDEX(tt_Tax,MATCH(D802,tt_Type,0)),"No")="Yes",M802,0))</f>
        <v/>
      </c>
      <c r="X802" s="67">
        <f>IF(T802=1,"",IF(C802="","Missing transaction date",IF(NOT(ISNUMBER(C802)),"Invalid date",IF(OR(C802&lt;DATE(2000,1,1),C802&gt;DATE(2099,12,31)),"Invalid date",IF(D802="","Select a type",IF(U802="","Unknown type: "&amp;D802,IF(V802="","Select an account (Category)",IF(ISNA(MATCH(V802,coa_Name,0)),"Unknown account: "&amp;V802,IF(K802="","Select Paid From / Deposited To",IF(ISNA(MATCH(K802,coa_Name,0)),"Unknown account: "&amp;K802,IF(NOT(ISNUMBER(L802)),"Enter an amount",IF(L802=0,"Enter an amount",IF(ABS(W802)&gt;ABS(L802),"Tax is larger than the amount","")))))))))))))</f>
        <v/>
      </c>
      <c r="Y802" s="67">
        <f>IF(OR(T802=1,X802&lt;&gt;""),"",IF(AND(B802&lt;&gt;"",COUNTIF(tx_ID,B802)&gt;1),"Duplicate transaction ID",IF(AND(L802&lt;0,D802&lt;&gt;"Adjustment"),"Negative amount — check this entry",IF(AND(D802="Customer Payment",G802=""),"Add the customer",IF(AND(D802="Customer Payment",OR(J802="",COUNTIF(ar_No,J802&amp;"")=0)),"Invoice # in Reference not found on AR sheet",IF(AND(D802="Bill Payment",H802=""),"Add the vendor",IF(AND(D802="Bill Payment",OR(J802="",COUNTIFS(ap_No,J802&amp;"",ap_Party,H802&amp;"")=0)),"Bill # + vendor not found on AP sheet",IF(AND(ISNUMBER(M802),N(M802)&lt;&gt;0,W802=0),"Tax ignored (tax tracking off, or not allowed for this type)",IF(V802=K802&amp;"","Same account on both sides",IF(AND(ISNUMBER(StartDate),C802&lt;StartDate),"Date is before the accounting start date",IF(AND(D802&lt;&gt;"Adjustment",IFERROR(INDEX(coa_Pay,MATCH(K802&amp;"",coa_Name,0)),"")&lt;&gt;"Yes"),"Paid From / Deposited To is not a payment account","")))))))))))</f>
        <v/>
      </c>
      <c r="Z802" s="67">
        <f>IF(AND(T802=0,X802=""),1,0)</f>
        <v/>
      </c>
      <c r="AA802" s="68">
        <f>IF(Z802=1,IF(U802="In",L802,L802-W802),0)</f>
        <v/>
      </c>
      <c r="AB802" s="68">
        <f>IF(Z802=1,IF(U802="In",L802-W802,L802),0)</f>
        <v/>
      </c>
      <c r="AC802" s="68">
        <f>IF(AND(Z802=1,U802="Out"),W802,0)</f>
        <v/>
      </c>
      <c r="AD802" s="68">
        <f>IF(AND(Z802=1,U802="In"),W802,0)</f>
        <v/>
      </c>
    </row>
    <row r="803">
      <c r="B803" s="62" t="inlineStr">
        <is>
          <t>TX-0797</t>
        </is>
      </c>
      <c r="C803" s="63" t="n"/>
      <c r="D803" s="62" t="n"/>
      <c r="E803" s="62" t="n"/>
      <c r="F803" s="62" t="n"/>
      <c r="G803" s="62" t="n"/>
      <c r="H803" s="62" t="n"/>
      <c r="I803" s="62" t="n"/>
      <c r="J803" s="62" t="n"/>
      <c r="K803" s="62" t="n"/>
      <c r="L803" s="64" t="n"/>
      <c r="M803" s="64" t="n"/>
      <c r="N803" s="62" t="n"/>
      <c r="O803" s="65">
        <f>IF(Z803=1,L803-W803,"")</f>
        <v/>
      </c>
      <c r="P803" s="66">
        <f>IF(V803="","",IFERROR(INDEX(coa_Type,MATCH(V803,coa_Name,0)),""))</f>
        <v/>
      </c>
      <c r="Q803" s="66">
        <f>IF(Z803=1,IF(U803="In",K803&amp;"",V803),"")</f>
        <v/>
      </c>
      <c r="R803" s="66">
        <f>IF(Z803=1,IF(U803="In",V803,K803&amp;""),"")</f>
        <v/>
      </c>
      <c r="S803" s="66">
        <f>IF(X803&lt;&gt;"","⛔ "&amp;X803&amp;" — not posted",IF(Y803&lt;&gt;"","⚠ "&amp;Y803,IF(Z803=1,"✓ OK","")))</f>
        <v/>
      </c>
      <c r="T803" s="67">
        <f>IF(AND(C803="",D803="",E803="",L803="",K803=""),1,0)</f>
        <v/>
      </c>
      <c r="U803" s="67">
        <f>IFERROR(INDEX(tt_Dir,MATCH(D803,tt_Type,0)),"")</f>
        <v/>
      </c>
      <c r="V803" s="67">
        <f>IF(D803="","",IFERROR(IF(INDEX(tt_Other,MATCH(D803,tt_Type,0))="",E803&amp;"",INDEX(tt_Other,MATCH(D803,tt_Type,0))),""))</f>
        <v/>
      </c>
      <c r="W803" s="68">
        <f>IF(OR(TaxOn&lt;&gt;"Yes",NOT(ISNUMBER(M803))),0,IF(IFERROR(INDEX(tt_Tax,MATCH(D803,tt_Type,0)),"No")="Yes",M803,0))</f>
        <v/>
      </c>
      <c r="X803" s="67">
        <f>IF(T803=1,"",IF(C803="","Missing transaction date",IF(NOT(ISNUMBER(C803)),"Invalid date",IF(OR(C803&lt;DATE(2000,1,1),C803&gt;DATE(2099,12,31)),"Invalid date",IF(D803="","Select a type",IF(U803="","Unknown type: "&amp;D803,IF(V803="","Select an account (Category)",IF(ISNA(MATCH(V803,coa_Name,0)),"Unknown account: "&amp;V803,IF(K803="","Select Paid From / Deposited To",IF(ISNA(MATCH(K803,coa_Name,0)),"Unknown account: "&amp;K803,IF(NOT(ISNUMBER(L803)),"Enter an amount",IF(L803=0,"Enter an amount",IF(ABS(W803)&gt;ABS(L803),"Tax is larger than the amount","")))))))))))))</f>
        <v/>
      </c>
      <c r="Y803" s="67">
        <f>IF(OR(T803=1,X803&lt;&gt;""),"",IF(AND(B803&lt;&gt;"",COUNTIF(tx_ID,B803)&gt;1),"Duplicate transaction ID",IF(AND(L803&lt;0,D803&lt;&gt;"Adjustment"),"Negative amount — check this entry",IF(AND(D803="Customer Payment",G803=""),"Add the customer",IF(AND(D803="Customer Payment",OR(J803="",COUNTIF(ar_No,J803&amp;"")=0)),"Invoice # in Reference not found on AR sheet",IF(AND(D803="Bill Payment",H803=""),"Add the vendor",IF(AND(D803="Bill Payment",OR(J803="",COUNTIFS(ap_No,J803&amp;"",ap_Party,H803&amp;"")=0)),"Bill # + vendor not found on AP sheet",IF(AND(ISNUMBER(M803),N(M803)&lt;&gt;0,W803=0),"Tax ignored (tax tracking off, or not allowed for this type)",IF(V803=K803&amp;"","Same account on both sides",IF(AND(ISNUMBER(StartDate),C803&lt;StartDate),"Date is before the accounting start date",IF(AND(D803&lt;&gt;"Adjustment",IFERROR(INDEX(coa_Pay,MATCH(K803&amp;"",coa_Name,0)),"")&lt;&gt;"Yes"),"Paid From / Deposited To is not a payment account","")))))))))))</f>
        <v/>
      </c>
      <c r="Z803" s="67">
        <f>IF(AND(T803=0,X803=""),1,0)</f>
        <v/>
      </c>
      <c r="AA803" s="68">
        <f>IF(Z803=1,IF(U803="In",L803,L803-W803),0)</f>
        <v/>
      </c>
      <c r="AB803" s="68">
        <f>IF(Z803=1,IF(U803="In",L803-W803,L803),0)</f>
        <v/>
      </c>
      <c r="AC803" s="68">
        <f>IF(AND(Z803=1,U803="Out"),W803,0)</f>
        <v/>
      </c>
      <c r="AD803" s="68">
        <f>IF(AND(Z803=1,U803="In"),W803,0)</f>
        <v/>
      </c>
    </row>
    <row r="804">
      <c r="B804" s="62" t="inlineStr">
        <is>
          <t>TX-0798</t>
        </is>
      </c>
      <c r="C804" s="63" t="n"/>
      <c r="D804" s="62" t="n"/>
      <c r="E804" s="62" t="n"/>
      <c r="F804" s="62" t="n"/>
      <c r="G804" s="62" t="n"/>
      <c r="H804" s="62" t="n"/>
      <c r="I804" s="62" t="n"/>
      <c r="J804" s="62" t="n"/>
      <c r="K804" s="62" t="n"/>
      <c r="L804" s="64" t="n"/>
      <c r="M804" s="64" t="n"/>
      <c r="N804" s="62" t="n"/>
      <c r="O804" s="65">
        <f>IF(Z804=1,L804-W804,"")</f>
        <v/>
      </c>
      <c r="P804" s="66">
        <f>IF(V804="","",IFERROR(INDEX(coa_Type,MATCH(V804,coa_Name,0)),""))</f>
        <v/>
      </c>
      <c r="Q804" s="66">
        <f>IF(Z804=1,IF(U804="In",K804&amp;"",V804),"")</f>
        <v/>
      </c>
      <c r="R804" s="66">
        <f>IF(Z804=1,IF(U804="In",V804,K804&amp;""),"")</f>
        <v/>
      </c>
      <c r="S804" s="66">
        <f>IF(X804&lt;&gt;"","⛔ "&amp;X804&amp;" — not posted",IF(Y804&lt;&gt;"","⚠ "&amp;Y804,IF(Z804=1,"✓ OK","")))</f>
        <v/>
      </c>
      <c r="T804" s="67">
        <f>IF(AND(C804="",D804="",E804="",L804="",K804=""),1,0)</f>
        <v/>
      </c>
      <c r="U804" s="67">
        <f>IFERROR(INDEX(tt_Dir,MATCH(D804,tt_Type,0)),"")</f>
        <v/>
      </c>
      <c r="V804" s="67">
        <f>IF(D804="","",IFERROR(IF(INDEX(tt_Other,MATCH(D804,tt_Type,0))="",E804&amp;"",INDEX(tt_Other,MATCH(D804,tt_Type,0))),""))</f>
        <v/>
      </c>
      <c r="W804" s="68">
        <f>IF(OR(TaxOn&lt;&gt;"Yes",NOT(ISNUMBER(M804))),0,IF(IFERROR(INDEX(tt_Tax,MATCH(D804,tt_Type,0)),"No")="Yes",M804,0))</f>
        <v/>
      </c>
      <c r="X804" s="67">
        <f>IF(T804=1,"",IF(C804="","Missing transaction date",IF(NOT(ISNUMBER(C804)),"Invalid date",IF(OR(C804&lt;DATE(2000,1,1),C804&gt;DATE(2099,12,31)),"Invalid date",IF(D804="","Select a type",IF(U804="","Unknown type: "&amp;D804,IF(V804="","Select an account (Category)",IF(ISNA(MATCH(V804,coa_Name,0)),"Unknown account: "&amp;V804,IF(K804="","Select Paid From / Deposited To",IF(ISNA(MATCH(K804,coa_Name,0)),"Unknown account: "&amp;K804,IF(NOT(ISNUMBER(L804)),"Enter an amount",IF(L804=0,"Enter an amount",IF(ABS(W804)&gt;ABS(L804),"Tax is larger than the amount","")))))))))))))</f>
        <v/>
      </c>
      <c r="Y804" s="67">
        <f>IF(OR(T804=1,X804&lt;&gt;""),"",IF(AND(B804&lt;&gt;"",COUNTIF(tx_ID,B804)&gt;1),"Duplicate transaction ID",IF(AND(L804&lt;0,D804&lt;&gt;"Adjustment"),"Negative amount — check this entry",IF(AND(D804="Customer Payment",G804=""),"Add the customer",IF(AND(D804="Customer Payment",OR(J804="",COUNTIF(ar_No,J804&amp;"")=0)),"Invoice # in Reference not found on AR sheet",IF(AND(D804="Bill Payment",H804=""),"Add the vendor",IF(AND(D804="Bill Payment",OR(J804="",COUNTIFS(ap_No,J804&amp;"",ap_Party,H804&amp;"")=0)),"Bill # + vendor not found on AP sheet",IF(AND(ISNUMBER(M804),N(M804)&lt;&gt;0,W804=0),"Tax ignored (tax tracking off, or not allowed for this type)",IF(V804=K804&amp;"","Same account on both sides",IF(AND(ISNUMBER(StartDate),C804&lt;StartDate),"Date is before the accounting start date",IF(AND(D804&lt;&gt;"Adjustment",IFERROR(INDEX(coa_Pay,MATCH(K804&amp;"",coa_Name,0)),"")&lt;&gt;"Yes"),"Paid From / Deposited To is not a payment account","")))))))))))</f>
        <v/>
      </c>
      <c r="Z804" s="67">
        <f>IF(AND(T804=0,X804=""),1,0)</f>
        <v/>
      </c>
      <c r="AA804" s="68">
        <f>IF(Z804=1,IF(U804="In",L804,L804-W804),0)</f>
        <v/>
      </c>
      <c r="AB804" s="68">
        <f>IF(Z804=1,IF(U804="In",L804-W804,L804),0)</f>
        <v/>
      </c>
      <c r="AC804" s="68">
        <f>IF(AND(Z804=1,U804="Out"),W804,0)</f>
        <v/>
      </c>
      <c r="AD804" s="68">
        <f>IF(AND(Z804=1,U804="In"),W804,0)</f>
        <v/>
      </c>
    </row>
    <row r="805">
      <c r="B805" s="62" t="inlineStr">
        <is>
          <t>TX-0799</t>
        </is>
      </c>
      <c r="C805" s="63" t="n"/>
      <c r="D805" s="62" t="n"/>
      <c r="E805" s="62" t="n"/>
      <c r="F805" s="62" t="n"/>
      <c r="G805" s="62" t="n"/>
      <c r="H805" s="62" t="n"/>
      <c r="I805" s="62" t="n"/>
      <c r="J805" s="62" t="n"/>
      <c r="K805" s="62" t="n"/>
      <c r="L805" s="64" t="n"/>
      <c r="M805" s="64" t="n"/>
      <c r="N805" s="62" t="n"/>
      <c r="O805" s="65">
        <f>IF(Z805=1,L805-W805,"")</f>
        <v/>
      </c>
      <c r="P805" s="66">
        <f>IF(V805="","",IFERROR(INDEX(coa_Type,MATCH(V805,coa_Name,0)),""))</f>
        <v/>
      </c>
      <c r="Q805" s="66">
        <f>IF(Z805=1,IF(U805="In",K805&amp;"",V805),"")</f>
        <v/>
      </c>
      <c r="R805" s="66">
        <f>IF(Z805=1,IF(U805="In",V805,K805&amp;""),"")</f>
        <v/>
      </c>
      <c r="S805" s="66">
        <f>IF(X805&lt;&gt;"","⛔ "&amp;X805&amp;" — not posted",IF(Y805&lt;&gt;"","⚠ "&amp;Y805,IF(Z805=1,"✓ OK","")))</f>
        <v/>
      </c>
      <c r="T805" s="67">
        <f>IF(AND(C805="",D805="",E805="",L805="",K805=""),1,0)</f>
        <v/>
      </c>
      <c r="U805" s="67">
        <f>IFERROR(INDEX(tt_Dir,MATCH(D805,tt_Type,0)),"")</f>
        <v/>
      </c>
      <c r="V805" s="67">
        <f>IF(D805="","",IFERROR(IF(INDEX(tt_Other,MATCH(D805,tt_Type,0))="",E805&amp;"",INDEX(tt_Other,MATCH(D805,tt_Type,0))),""))</f>
        <v/>
      </c>
      <c r="W805" s="68">
        <f>IF(OR(TaxOn&lt;&gt;"Yes",NOT(ISNUMBER(M805))),0,IF(IFERROR(INDEX(tt_Tax,MATCH(D805,tt_Type,0)),"No")="Yes",M805,0))</f>
        <v/>
      </c>
      <c r="X805" s="67">
        <f>IF(T805=1,"",IF(C805="","Missing transaction date",IF(NOT(ISNUMBER(C805)),"Invalid date",IF(OR(C805&lt;DATE(2000,1,1),C805&gt;DATE(2099,12,31)),"Invalid date",IF(D805="","Select a type",IF(U805="","Unknown type: "&amp;D805,IF(V805="","Select an account (Category)",IF(ISNA(MATCH(V805,coa_Name,0)),"Unknown account: "&amp;V805,IF(K805="","Select Paid From / Deposited To",IF(ISNA(MATCH(K805,coa_Name,0)),"Unknown account: "&amp;K805,IF(NOT(ISNUMBER(L805)),"Enter an amount",IF(L805=0,"Enter an amount",IF(ABS(W805)&gt;ABS(L805),"Tax is larger than the amount","")))))))))))))</f>
        <v/>
      </c>
      <c r="Y805" s="67">
        <f>IF(OR(T805=1,X805&lt;&gt;""),"",IF(AND(B805&lt;&gt;"",COUNTIF(tx_ID,B805)&gt;1),"Duplicate transaction ID",IF(AND(L805&lt;0,D805&lt;&gt;"Adjustment"),"Negative amount — check this entry",IF(AND(D805="Customer Payment",G805=""),"Add the customer",IF(AND(D805="Customer Payment",OR(J805="",COUNTIF(ar_No,J805&amp;"")=0)),"Invoice # in Reference not found on AR sheet",IF(AND(D805="Bill Payment",H805=""),"Add the vendor",IF(AND(D805="Bill Payment",OR(J805="",COUNTIFS(ap_No,J805&amp;"",ap_Party,H805&amp;"")=0)),"Bill # + vendor not found on AP sheet",IF(AND(ISNUMBER(M805),N(M805)&lt;&gt;0,W805=0),"Tax ignored (tax tracking off, or not allowed for this type)",IF(V805=K805&amp;"","Same account on both sides",IF(AND(ISNUMBER(StartDate),C805&lt;StartDate),"Date is before the accounting start date",IF(AND(D805&lt;&gt;"Adjustment",IFERROR(INDEX(coa_Pay,MATCH(K805&amp;"",coa_Name,0)),"")&lt;&gt;"Yes"),"Paid From / Deposited To is not a payment account","")))))))))))</f>
        <v/>
      </c>
      <c r="Z805" s="67">
        <f>IF(AND(T805=0,X805=""),1,0)</f>
        <v/>
      </c>
      <c r="AA805" s="68">
        <f>IF(Z805=1,IF(U805="In",L805,L805-W805),0)</f>
        <v/>
      </c>
      <c r="AB805" s="68">
        <f>IF(Z805=1,IF(U805="In",L805-W805,L805),0)</f>
        <v/>
      </c>
      <c r="AC805" s="68">
        <f>IF(AND(Z805=1,U805="Out"),W805,0)</f>
        <v/>
      </c>
      <c r="AD805" s="68">
        <f>IF(AND(Z805=1,U805="In"),W805,0)</f>
        <v/>
      </c>
    </row>
    <row r="806">
      <c r="B806" s="62" t="inlineStr">
        <is>
          <t>TX-0800</t>
        </is>
      </c>
      <c r="C806" s="63" t="n"/>
      <c r="D806" s="62" t="n"/>
      <c r="E806" s="62" t="n"/>
      <c r="F806" s="62" t="n"/>
      <c r="G806" s="62" t="n"/>
      <c r="H806" s="62" t="n"/>
      <c r="I806" s="62" t="n"/>
      <c r="J806" s="62" t="n"/>
      <c r="K806" s="62" t="n"/>
      <c r="L806" s="64" t="n"/>
      <c r="M806" s="64" t="n"/>
      <c r="N806" s="62" t="n"/>
      <c r="O806" s="65">
        <f>IF(Z806=1,L806-W806,"")</f>
        <v/>
      </c>
      <c r="P806" s="66">
        <f>IF(V806="","",IFERROR(INDEX(coa_Type,MATCH(V806,coa_Name,0)),""))</f>
        <v/>
      </c>
      <c r="Q806" s="66">
        <f>IF(Z806=1,IF(U806="In",K806&amp;"",V806),"")</f>
        <v/>
      </c>
      <c r="R806" s="66">
        <f>IF(Z806=1,IF(U806="In",V806,K806&amp;""),"")</f>
        <v/>
      </c>
      <c r="S806" s="66">
        <f>IF(X806&lt;&gt;"","⛔ "&amp;X806&amp;" — not posted",IF(Y806&lt;&gt;"","⚠ "&amp;Y806,IF(Z806=1,"✓ OK","")))</f>
        <v/>
      </c>
      <c r="T806" s="67">
        <f>IF(AND(C806="",D806="",E806="",L806="",K806=""),1,0)</f>
        <v/>
      </c>
      <c r="U806" s="67">
        <f>IFERROR(INDEX(tt_Dir,MATCH(D806,tt_Type,0)),"")</f>
        <v/>
      </c>
      <c r="V806" s="67">
        <f>IF(D806="","",IFERROR(IF(INDEX(tt_Other,MATCH(D806,tt_Type,0))="",E806&amp;"",INDEX(tt_Other,MATCH(D806,tt_Type,0))),""))</f>
        <v/>
      </c>
      <c r="W806" s="68">
        <f>IF(OR(TaxOn&lt;&gt;"Yes",NOT(ISNUMBER(M806))),0,IF(IFERROR(INDEX(tt_Tax,MATCH(D806,tt_Type,0)),"No")="Yes",M806,0))</f>
        <v/>
      </c>
      <c r="X806" s="67">
        <f>IF(T806=1,"",IF(C806="","Missing transaction date",IF(NOT(ISNUMBER(C806)),"Invalid date",IF(OR(C806&lt;DATE(2000,1,1),C806&gt;DATE(2099,12,31)),"Invalid date",IF(D806="","Select a type",IF(U806="","Unknown type: "&amp;D806,IF(V806="","Select an account (Category)",IF(ISNA(MATCH(V806,coa_Name,0)),"Unknown account: "&amp;V806,IF(K806="","Select Paid From / Deposited To",IF(ISNA(MATCH(K806,coa_Name,0)),"Unknown account: "&amp;K806,IF(NOT(ISNUMBER(L806)),"Enter an amount",IF(L806=0,"Enter an amount",IF(ABS(W806)&gt;ABS(L806),"Tax is larger than the amount","")))))))))))))</f>
        <v/>
      </c>
      <c r="Y806" s="67">
        <f>IF(OR(T806=1,X806&lt;&gt;""),"",IF(AND(B806&lt;&gt;"",COUNTIF(tx_ID,B806)&gt;1),"Duplicate transaction ID",IF(AND(L806&lt;0,D806&lt;&gt;"Adjustment"),"Negative amount — check this entry",IF(AND(D806="Customer Payment",G806=""),"Add the customer",IF(AND(D806="Customer Payment",OR(J806="",COUNTIF(ar_No,J806&amp;"")=0)),"Invoice # in Reference not found on AR sheet",IF(AND(D806="Bill Payment",H806=""),"Add the vendor",IF(AND(D806="Bill Payment",OR(J806="",COUNTIFS(ap_No,J806&amp;"",ap_Party,H806&amp;"")=0)),"Bill # + vendor not found on AP sheet",IF(AND(ISNUMBER(M806),N(M806)&lt;&gt;0,W806=0),"Tax ignored (tax tracking off, or not allowed for this type)",IF(V806=K806&amp;"","Same account on both sides",IF(AND(ISNUMBER(StartDate),C806&lt;StartDate),"Date is before the accounting start date",IF(AND(D806&lt;&gt;"Adjustment",IFERROR(INDEX(coa_Pay,MATCH(K806&amp;"",coa_Name,0)),"")&lt;&gt;"Yes"),"Paid From / Deposited To is not a payment account","")))))))))))</f>
        <v/>
      </c>
      <c r="Z806" s="67">
        <f>IF(AND(T806=0,X806=""),1,0)</f>
        <v/>
      </c>
      <c r="AA806" s="68">
        <f>IF(Z806=1,IF(U806="In",L806,L806-W806),0)</f>
        <v/>
      </c>
      <c r="AB806" s="68">
        <f>IF(Z806=1,IF(U806="In",L806-W806,L806),0)</f>
        <v/>
      </c>
      <c r="AC806" s="68">
        <f>IF(AND(Z806=1,U806="Out"),W806,0)</f>
        <v/>
      </c>
      <c r="AD806" s="68">
        <f>IF(AND(Z806=1,U806="In"),W806,0)</f>
        <v/>
      </c>
    </row>
    <row r="807">
      <c r="B807" s="62" t="inlineStr">
        <is>
          <t>TX-0801</t>
        </is>
      </c>
      <c r="C807" s="63" t="n"/>
      <c r="D807" s="62" t="n"/>
      <c r="E807" s="62" t="n"/>
      <c r="F807" s="62" t="n"/>
      <c r="G807" s="62" t="n"/>
      <c r="H807" s="62" t="n"/>
      <c r="I807" s="62" t="n"/>
      <c r="J807" s="62" t="n"/>
      <c r="K807" s="62" t="n"/>
      <c r="L807" s="64" t="n"/>
      <c r="M807" s="64" t="n"/>
      <c r="N807" s="62" t="n"/>
      <c r="O807" s="65">
        <f>IF(Z807=1,L807-W807,"")</f>
        <v/>
      </c>
      <c r="P807" s="66">
        <f>IF(V807="","",IFERROR(INDEX(coa_Type,MATCH(V807,coa_Name,0)),""))</f>
        <v/>
      </c>
      <c r="Q807" s="66">
        <f>IF(Z807=1,IF(U807="In",K807&amp;"",V807),"")</f>
        <v/>
      </c>
      <c r="R807" s="66">
        <f>IF(Z807=1,IF(U807="In",V807,K807&amp;""),"")</f>
        <v/>
      </c>
      <c r="S807" s="66">
        <f>IF(X807&lt;&gt;"","⛔ "&amp;X807&amp;" — not posted",IF(Y807&lt;&gt;"","⚠ "&amp;Y807,IF(Z807=1,"✓ OK","")))</f>
        <v/>
      </c>
      <c r="T807" s="67">
        <f>IF(AND(C807="",D807="",E807="",L807="",K807=""),1,0)</f>
        <v/>
      </c>
      <c r="U807" s="67">
        <f>IFERROR(INDEX(tt_Dir,MATCH(D807,tt_Type,0)),"")</f>
        <v/>
      </c>
      <c r="V807" s="67">
        <f>IF(D807="","",IFERROR(IF(INDEX(tt_Other,MATCH(D807,tt_Type,0))="",E807&amp;"",INDEX(tt_Other,MATCH(D807,tt_Type,0))),""))</f>
        <v/>
      </c>
      <c r="W807" s="68">
        <f>IF(OR(TaxOn&lt;&gt;"Yes",NOT(ISNUMBER(M807))),0,IF(IFERROR(INDEX(tt_Tax,MATCH(D807,tt_Type,0)),"No")="Yes",M807,0))</f>
        <v/>
      </c>
      <c r="X807" s="67">
        <f>IF(T807=1,"",IF(C807="","Missing transaction date",IF(NOT(ISNUMBER(C807)),"Invalid date",IF(OR(C807&lt;DATE(2000,1,1),C807&gt;DATE(2099,12,31)),"Invalid date",IF(D807="","Select a type",IF(U807="","Unknown type: "&amp;D807,IF(V807="","Select an account (Category)",IF(ISNA(MATCH(V807,coa_Name,0)),"Unknown account: "&amp;V807,IF(K807="","Select Paid From / Deposited To",IF(ISNA(MATCH(K807,coa_Name,0)),"Unknown account: "&amp;K807,IF(NOT(ISNUMBER(L807)),"Enter an amount",IF(L807=0,"Enter an amount",IF(ABS(W807)&gt;ABS(L807),"Tax is larger than the amount","")))))))))))))</f>
        <v/>
      </c>
      <c r="Y807" s="67">
        <f>IF(OR(T807=1,X807&lt;&gt;""),"",IF(AND(B807&lt;&gt;"",COUNTIF(tx_ID,B807)&gt;1),"Duplicate transaction ID",IF(AND(L807&lt;0,D807&lt;&gt;"Adjustment"),"Negative amount — check this entry",IF(AND(D807="Customer Payment",G807=""),"Add the customer",IF(AND(D807="Customer Payment",OR(J807="",COUNTIF(ar_No,J807&amp;"")=0)),"Invoice # in Reference not found on AR sheet",IF(AND(D807="Bill Payment",H807=""),"Add the vendor",IF(AND(D807="Bill Payment",OR(J807="",COUNTIFS(ap_No,J807&amp;"",ap_Party,H807&amp;"")=0)),"Bill # + vendor not found on AP sheet",IF(AND(ISNUMBER(M807),N(M807)&lt;&gt;0,W807=0),"Tax ignored (tax tracking off, or not allowed for this type)",IF(V807=K807&amp;"","Same account on both sides",IF(AND(ISNUMBER(StartDate),C807&lt;StartDate),"Date is before the accounting start date",IF(AND(D807&lt;&gt;"Adjustment",IFERROR(INDEX(coa_Pay,MATCH(K807&amp;"",coa_Name,0)),"")&lt;&gt;"Yes"),"Paid From / Deposited To is not a payment account","")))))))))))</f>
        <v/>
      </c>
      <c r="Z807" s="67">
        <f>IF(AND(T807=0,X807=""),1,0)</f>
        <v/>
      </c>
      <c r="AA807" s="68">
        <f>IF(Z807=1,IF(U807="In",L807,L807-W807),0)</f>
        <v/>
      </c>
      <c r="AB807" s="68">
        <f>IF(Z807=1,IF(U807="In",L807-W807,L807),0)</f>
        <v/>
      </c>
      <c r="AC807" s="68">
        <f>IF(AND(Z807=1,U807="Out"),W807,0)</f>
        <v/>
      </c>
      <c r="AD807" s="68">
        <f>IF(AND(Z807=1,U807="In"),W807,0)</f>
        <v/>
      </c>
    </row>
    <row r="808">
      <c r="B808" s="62" t="inlineStr">
        <is>
          <t>TX-0802</t>
        </is>
      </c>
      <c r="C808" s="63" t="n"/>
      <c r="D808" s="62" t="n"/>
      <c r="E808" s="62" t="n"/>
      <c r="F808" s="62" t="n"/>
      <c r="G808" s="62" t="n"/>
      <c r="H808" s="62" t="n"/>
      <c r="I808" s="62" t="n"/>
      <c r="J808" s="62" t="n"/>
      <c r="K808" s="62" t="n"/>
      <c r="L808" s="64" t="n"/>
      <c r="M808" s="64" t="n"/>
      <c r="N808" s="62" t="n"/>
      <c r="O808" s="65">
        <f>IF(Z808=1,L808-W808,"")</f>
        <v/>
      </c>
      <c r="P808" s="66">
        <f>IF(V808="","",IFERROR(INDEX(coa_Type,MATCH(V808,coa_Name,0)),""))</f>
        <v/>
      </c>
      <c r="Q808" s="66">
        <f>IF(Z808=1,IF(U808="In",K808&amp;"",V808),"")</f>
        <v/>
      </c>
      <c r="R808" s="66">
        <f>IF(Z808=1,IF(U808="In",V808,K808&amp;""),"")</f>
        <v/>
      </c>
      <c r="S808" s="66">
        <f>IF(X808&lt;&gt;"","⛔ "&amp;X808&amp;" — not posted",IF(Y808&lt;&gt;"","⚠ "&amp;Y808,IF(Z808=1,"✓ OK","")))</f>
        <v/>
      </c>
      <c r="T808" s="67">
        <f>IF(AND(C808="",D808="",E808="",L808="",K808=""),1,0)</f>
        <v/>
      </c>
      <c r="U808" s="67">
        <f>IFERROR(INDEX(tt_Dir,MATCH(D808,tt_Type,0)),"")</f>
        <v/>
      </c>
      <c r="V808" s="67">
        <f>IF(D808="","",IFERROR(IF(INDEX(tt_Other,MATCH(D808,tt_Type,0))="",E808&amp;"",INDEX(tt_Other,MATCH(D808,tt_Type,0))),""))</f>
        <v/>
      </c>
      <c r="W808" s="68">
        <f>IF(OR(TaxOn&lt;&gt;"Yes",NOT(ISNUMBER(M808))),0,IF(IFERROR(INDEX(tt_Tax,MATCH(D808,tt_Type,0)),"No")="Yes",M808,0))</f>
        <v/>
      </c>
      <c r="X808" s="67">
        <f>IF(T808=1,"",IF(C808="","Missing transaction date",IF(NOT(ISNUMBER(C808)),"Invalid date",IF(OR(C808&lt;DATE(2000,1,1),C808&gt;DATE(2099,12,31)),"Invalid date",IF(D808="","Select a type",IF(U808="","Unknown type: "&amp;D808,IF(V808="","Select an account (Category)",IF(ISNA(MATCH(V808,coa_Name,0)),"Unknown account: "&amp;V808,IF(K808="","Select Paid From / Deposited To",IF(ISNA(MATCH(K808,coa_Name,0)),"Unknown account: "&amp;K808,IF(NOT(ISNUMBER(L808)),"Enter an amount",IF(L808=0,"Enter an amount",IF(ABS(W808)&gt;ABS(L808),"Tax is larger than the amount","")))))))))))))</f>
        <v/>
      </c>
      <c r="Y808" s="67">
        <f>IF(OR(T808=1,X808&lt;&gt;""),"",IF(AND(B808&lt;&gt;"",COUNTIF(tx_ID,B808)&gt;1),"Duplicate transaction ID",IF(AND(L808&lt;0,D808&lt;&gt;"Adjustment"),"Negative amount — check this entry",IF(AND(D808="Customer Payment",G808=""),"Add the customer",IF(AND(D808="Customer Payment",OR(J808="",COUNTIF(ar_No,J808&amp;"")=0)),"Invoice # in Reference not found on AR sheet",IF(AND(D808="Bill Payment",H808=""),"Add the vendor",IF(AND(D808="Bill Payment",OR(J808="",COUNTIFS(ap_No,J808&amp;"",ap_Party,H808&amp;"")=0)),"Bill # + vendor not found on AP sheet",IF(AND(ISNUMBER(M808),N(M808)&lt;&gt;0,W808=0),"Tax ignored (tax tracking off, or not allowed for this type)",IF(V808=K808&amp;"","Same account on both sides",IF(AND(ISNUMBER(StartDate),C808&lt;StartDate),"Date is before the accounting start date",IF(AND(D808&lt;&gt;"Adjustment",IFERROR(INDEX(coa_Pay,MATCH(K808&amp;"",coa_Name,0)),"")&lt;&gt;"Yes"),"Paid From / Deposited To is not a payment account","")))))))))))</f>
        <v/>
      </c>
      <c r="Z808" s="67">
        <f>IF(AND(T808=0,X808=""),1,0)</f>
        <v/>
      </c>
      <c r="AA808" s="68">
        <f>IF(Z808=1,IF(U808="In",L808,L808-W808),0)</f>
        <v/>
      </c>
      <c r="AB808" s="68">
        <f>IF(Z808=1,IF(U808="In",L808-W808,L808),0)</f>
        <v/>
      </c>
      <c r="AC808" s="68">
        <f>IF(AND(Z808=1,U808="Out"),W808,0)</f>
        <v/>
      </c>
      <c r="AD808" s="68">
        <f>IF(AND(Z808=1,U808="In"),W808,0)</f>
        <v/>
      </c>
    </row>
    <row r="809">
      <c r="B809" s="62" t="inlineStr">
        <is>
          <t>TX-0803</t>
        </is>
      </c>
      <c r="C809" s="63" t="n"/>
      <c r="D809" s="62" t="n"/>
      <c r="E809" s="62" t="n"/>
      <c r="F809" s="62" t="n"/>
      <c r="G809" s="62" t="n"/>
      <c r="H809" s="62" t="n"/>
      <c r="I809" s="62" t="n"/>
      <c r="J809" s="62" t="n"/>
      <c r="K809" s="62" t="n"/>
      <c r="L809" s="64" t="n"/>
      <c r="M809" s="64" t="n"/>
      <c r="N809" s="62" t="n"/>
      <c r="O809" s="65">
        <f>IF(Z809=1,L809-W809,"")</f>
        <v/>
      </c>
      <c r="P809" s="66">
        <f>IF(V809="","",IFERROR(INDEX(coa_Type,MATCH(V809,coa_Name,0)),""))</f>
        <v/>
      </c>
      <c r="Q809" s="66">
        <f>IF(Z809=1,IF(U809="In",K809&amp;"",V809),"")</f>
        <v/>
      </c>
      <c r="R809" s="66">
        <f>IF(Z809=1,IF(U809="In",V809,K809&amp;""),"")</f>
        <v/>
      </c>
      <c r="S809" s="66">
        <f>IF(X809&lt;&gt;"","⛔ "&amp;X809&amp;" — not posted",IF(Y809&lt;&gt;"","⚠ "&amp;Y809,IF(Z809=1,"✓ OK","")))</f>
        <v/>
      </c>
      <c r="T809" s="67">
        <f>IF(AND(C809="",D809="",E809="",L809="",K809=""),1,0)</f>
        <v/>
      </c>
      <c r="U809" s="67">
        <f>IFERROR(INDEX(tt_Dir,MATCH(D809,tt_Type,0)),"")</f>
        <v/>
      </c>
      <c r="V809" s="67">
        <f>IF(D809="","",IFERROR(IF(INDEX(tt_Other,MATCH(D809,tt_Type,0))="",E809&amp;"",INDEX(tt_Other,MATCH(D809,tt_Type,0))),""))</f>
        <v/>
      </c>
      <c r="W809" s="68">
        <f>IF(OR(TaxOn&lt;&gt;"Yes",NOT(ISNUMBER(M809))),0,IF(IFERROR(INDEX(tt_Tax,MATCH(D809,tt_Type,0)),"No")="Yes",M809,0))</f>
        <v/>
      </c>
      <c r="X809" s="67">
        <f>IF(T809=1,"",IF(C809="","Missing transaction date",IF(NOT(ISNUMBER(C809)),"Invalid date",IF(OR(C809&lt;DATE(2000,1,1),C809&gt;DATE(2099,12,31)),"Invalid date",IF(D809="","Select a type",IF(U809="","Unknown type: "&amp;D809,IF(V809="","Select an account (Category)",IF(ISNA(MATCH(V809,coa_Name,0)),"Unknown account: "&amp;V809,IF(K809="","Select Paid From / Deposited To",IF(ISNA(MATCH(K809,coa_Name,0)),"Unknown account: "&amp;K809,IF(NOT(ISNUMBER(L809)),"Enter an amount",IF(L809=0,"Enter an amount",IF(ABS(W809)&gt;ABS(L809),"Tax is larger than the amount","")))))))))))))</f>
        <v/>
      </c>
      <c r="Y809" s="67">
        <f>IF(OR(T809=1,X809&lt;&gt;""),"",IF(AND(B809&lt;&gt;"",COUNTIF(tx_ID,B809)&gt;1),"Duplicate transaction ID",IF(AND(L809&lt;0,D809&lt;&gt;"Adjustment"),"Negative amount — check this entry",IF(AND(D809="Customer Payment",G809=""),"Add the customer",IF(AND(D809="Customer Payment",OR(J809="",COUNTIF(ar_No,J809&amp;"")=0)),"Invoice # in Reference not found on AR sheet",IF(AND(D809="Bill Payment",H809=""),"Add the vendor",IF(AND(D809="Bill Payment",OR(J809="",COUNTIFS(ap_No,J809&amp;"",ap_Party,H809&amp;"")=0)),"Bill # + vendor not found on AP sheet",IF(AND(ISNUMBER(M809),N(M809)&lt;&gt;0,W809=0),"Tax ignored (tax tracking off, or not allowed for this type)",IF(V809=K809&amp;"","Same account on both sides",IF(AND(ISNUMBER(StartDate),C809&lt;StartDate),"Date is before the accounting start date",IF(AND(D809&lt;&gt;"Adjustment",IFERROR(INDEX(coa_Pay,MATCH(K809&amp;"",coa_Name,0)),"")&lt;&gt;"Yes"),"Paid From / Deposited To is not a payment account","")))))))))))</f>
        <v/>
      </c>
      <c r="Z809" s="67">
        <f>IF(AND(T809=0,X809=""),1,0)</f>
        <v/>
      </c>
      <c r="AA809" s="68">
        <f>IF(Z809=1,IF(U809="In",L809,L809-W809),0)</f>
        <v/>
      </c>
      <c r="AB809" s="68">
        <f>IF(Z809=1,IF(U809="In",L809-W809,L809),0)</f>
        <v/>
      </c>
      <c r="AC809" s="68">
        <f>IF(AND(Z809=1,U809="Out"),W809,0)</f>
        <v/>
      </c>
      <c r="AD809" s="68">
        <f>IF(AND(Z809=1,U809="In"),W809,0)</f>
        <v/>
      </c>
    </row>
    <row r="810">
      <c r="B810" s="62" t="inlineStr">
        <is>
          <t>TX-0804</t>
        </is>
      </c>
      <c r="C810" s="63" t="n"/>
      <c r="D810" s="62" t="n"/>
      <c r="E810" s="62" t="n"/>
      <c r="F810" s="62" t="n"/>
      <c r="G810" s="62" t="n"/>
      <c r="H810" s="62" t="n"/>
      <c r="I810" s="62" t="n"/>
      <c r="J810" s="62" t="n"/>
      <c r="K810" s="62" t="n"/>
      <c r="L810" s="64" t="n"/>
      <c r="M810" s="64" t="n"/>
      <c r="N810" s="62" t="n"/>
      <c r="O810" s="65">
        <f>IF(Z810=1,L810-W810,"")</f>
        <v/>
      </c>
      <c r="P810" s="66">
        <f>IF(V810="","",IFERROR(INDEX(coa_Type,MATCH(V810,coa_Name,0)),""))</f>
        <v/>
      </c>
      <c r="Q810" s="66">
        <f>IF(Z810=1,IF(U810="In",K810&amp;"",V810),"")</f>
        <v/>
      </c>
      <c r="R810" s="66">
        <f>IF(Z810=1,IF(U810="In",V810,K810&amp;""),"")</f>
        <v/>
      </c>
      <c r="S810" s="66">
        <f>IF(X810&lt;&gt;"","⛔ "&amp;X810&amp;" — not posted",IF(Y810&lt;&gt;"","⚠ "&amp;Y810,IF(Z810=1,"✓ OK","")))</f>
        <v/>
      </c>
      <c r="T810" s="67">
        <f>IF(AND(C810="",D810="",E810="",L810="",K810=""),1,0)</f>
        <v/>
      </c>
      <c r="U810" s="67">
        <f>IFERROR(INDEX(tt_Dir,MATCH(D810,tt_Type,0)),"")</f>
        <v/>
      </c>
      <c r="V810" s="67">
        <f>IF(D810="","",IFERROR(IF(INDEX(tt_Other,MATCH(D810,tt_Type,0))="",E810&amp;"",INDEX(tt_Other,MATCH(D810,tt_Type,0))),""))</f>
        <v/>
      </c>
      <c r="W810" s="68">
        <f>IF(OR(TaxOn&lt;&gt;"Yes",NOT(ISNUMBER(M810))),0,IF(IFERROR(INDEX(tt_Tax,MATCH(D810,tt_Type,0)),"No")="Yes",M810,0))</f>
        <v/>
      </c>
      <c r="X810" s="67">
        <f>IF(T810=1,"",IF(C810="","Missing transaction date",IF(NOT(ISNUMBER(C810)),"Invalid date",IF(OR(C810&lt;DATE(2000,1,1),C810&gt;DATE(2099,12,31)),"Invalid date",IF(D810="","Select a type",IF(U810="","Unknown type: "&amp;D810,IF(V810="","Select an account (Category)",IF(ISNA(MATCH(V810,coa_Name,0)),"Unknown account: "&amp;V810,IF(K810="","Select Paid From / Deposited To",IF(ISNA(MATCH(K810,coa_Name,0)),"Unknown account: "&amp;K810,IF(NOT(ISNUMBER(L810)),"Enter an amount",IF(L810=0,"Enter an amount",IF(ABS(W810)&gt;ABS(L810),"Tax is larger than the amount","")))))))))))))</f>
        <v/>
      </c>
      <c r="Y810" s="67">
        <f>IF(OR(T810=1,X810&lt;&gt;""),"",IF(AND(B810&lt;&gt;"",COUNTIF(tx_ID,B810)&gt;1),"Duplicate transaction ID",IF(AND(L810&lt;0,D810&lt;&gt;"Adjustment"),"Negative amount — check this entry",IF(AND(D810="Customer Payment",G810=""),"Add the customer",IF(AND(D810="Customer Payment",OR(J810="",COUNTIF(ar_No,J810&amp;"")=0)),"Invoice # in Reference not found on AR sheet",IF(AND(D810="Bill Payment",H810=""),"Add the vendor",IF(AND(D810="Bill Payment",OR(J810="",COUNTIFS(ap_No,J810&amp;"",ap_Party,H810&amp;"")=0)),"Bill # + vendor not found on AP sheet",IF(AND(ISNUMBER(M810),N(M810)&lt;&gt;0,W810=0),"Tax ignored (tax tracking off, or not allowed for this type)",IF(V810=K810&amp;"","Same account on both sides",IF(AND(ISNUMBER(StartDate),C810&lt;StartDate),"Date is before the accounting start date",IF(AND(D810&lt;&gt;"Adjustment",IFERROR(INDEX(coa_Pay,MATCH(K810&amp;"",coa_Name,0)),"")&lt;&gt;"Yes"),"Paid From / Deposited To is not a payment account","")))))))))))</f>
        <v/>
      </c>
      <c r="Z810" s="67">
        <f>IF(AND(T810=0,X810=""),1,0)</f>
        <v/>
      </c>
      <c r="AA810" s="68">
        <f>IF(Z810=1,IF(U810="In",L810,L810-W810),0)</f>
        <v/>
      </c>
      <c r="AB810" s="68">
        <f>IF(Z810=1,IF(U810="In",L810-W810,L810),0)</f>
        <v/>
      </c>
      <c r="AC810" s="68">
        <f>IF(AND(Z810=1,U810="Out"),W810,0)</f>
        <v/>
      </c>
      <c r="AD810" s="68">
        <f>IF(AND(Z810=1,U810="In"),W810,0)</f>
        <v/>
      </c>
    </row>
    <row r="811">
      <c r="B811" s="62" t="inlineStr">
        <is>
          <t>TX-0805</t>
        </is>
      </c>
      <c r="C811" s="63" t="n"/>
      <c r="D811" s="62" t="n"/>
      <c r="E811" s="62" t="n"/>
      <c r="F811" s="62" t="n"/>
      <c r="G811" s="62" t="n"/>
      <c r="H811" s="62" t="n"/>
      <c r="I811" s="62" t="n"/>
      <c r="J811" s="62" t="n"/>
      <c r="K811" s="62" t="n"/>
      <c r="L811" s="64" t="n"/>
      <c r="M811" s="64" t="n"/>
      <c r="N811" s="62" t="n"/>
      <c r="O811" s="65">
        <f>IF(Z811=1,L811-W811,"")</f>
        <v/>
      </c>
      <c r="P811" s="66">
        <f>IF(V811="","",IFERROR(INDEX(coa_Type,MATCH(V811,coa_Name,0)),""))</f>
        <v/>
      </c>
      <c r="Q811" s="66">
        <f>IF(Z811=1,IF(U811="In",K811&amp;"",V811),"")</f>
        <v/>
      </c>
      <c r="R811" s="66">
        <f>IF(Z811=1,IF(U811="In",V811,K811&amp;""),"")</f>
        <v/>
      </c>
      <c r="S811" s="66">
        <f>IF(X811&lt;&gt;"","⛔ "&amp;X811&amp;" — not posted",IF(Y811&lt;&gt;"","⚠ "&amp;Y811,IF(Z811=1,"✓ OK","")))</f>
        <v/>
      </c>
      <c r="T811" s="67">
        <f>IF(AND(C811="",D811="",E811="",L811="",K811=""),1,0)</f>
        <v/>
      </c>
      <c r="U811" s="67">
        <f>IFERROR(INDEX(tt_Dir,MATCH(D811,tt_Type,0)),"")</f>
        <v/>
      </c>
      <c r="V811" s="67">
        <f>IF(D811="","",IFERROR(IF(INDEX(tt_Other,MATCH(D811,tt_Type,0))="",E811&amp;"",INDEX(tt_Other,MATCH(D811,tt_Type,0))),""))</f>
        <v/>
      </c>
      <c r="W811" s="68">
        <f>IF(OR(TaxOn&lt;&gt;"Yes",NOT(ISNUMBER(M811))),0,IF(IFERROR(INDEX(tt_Tax,MATCH(D811,tt_Type,0)),"No")="Yes",M811,0))</f>
        <v/>
      </c>
      <c r="X811" s="67">
        <f>IF(T811=1,"",IF(C811="","Missing transaction date",IF(NOT(ISNUMBER(C811)),"Invalid date",IF(OR(C811&lt;DATE(2000,1,1),C811&gt;DATE(2099,12,31)),"Invalid date",IF(D811="","Select a type",IF(U811="","Unknown type: "&amp;D811,IF(V811="","Select an account (Category)",IF(ISNA(MATCH(V811,coa_Name,0)),"Unknown account: "&amp;V811,IF(K811="","Select Paid From / Deposited To",IF(ISNA(MATCH(K811,coa_Name,0)),"Unknown account: "&amp;K811,IF(NOT(ISNUMBER(L811)),"Enter an amount",IF(L811=0,"Enter an amount",IF(ABS(W811)&gt;ABS(L811),"Tax is larger than the amount","")))))))))))))</f>
        <v/>
      </c>
      <c r="Y811" s="67">
        <f>IF(OR(T811=1,X811&lt;&gt;""),"",IF(AND(B811&lt;&gt;"",COUNTIF(tx_ID,B811)&gt;1),"Duplicate transaction ID",IF(AND(L811&lt;0,D811&lt;&gt;"Adjustment"),"Negative amount — check this entry",IF(AND(D811="Customer Payment",G811=""),"Add the customer",IF(AND(D811="Customer Payment",OR(J811="",COUNTIF(ar_No,J811&amp;"")=0)),"Invoice # in Reference not found on AR sheet",IF(AND(D811="Bill Payment",H811=""),"Add the vendor",IF(AND(D811="Bill Payment",OR(J811="",COUNTIFS(ap_No,J811&amp;"",ap_Party,H811&amp;"")=0)),"Bill # + vendor not found on AP sheet",IF(AND(ISNUMBER(M811),N(M811)&lt;&gt;0,W811=0),"Tax ignored (tax tracking off, or not allowed for this type)",IF(V811=K811&amp;"","Same account on both sides",IF(AND(ISNUMBER(StartDate),C811&lt;StartDate),"Date is before the accounting start date",IF(AND(D811&lt;&gt;"Adjustment",IFERROR(INDEX(coa_Pay,MATCH(K811&amp;"",coa_Name,0)),"")&lt;&gt;"Yes"),"Paid From / Deposited To is not a payment account","")))))))))))</f>
        <v/>
      </c>
      <c r="Z811" s="67">
        <f>IF(AND(T811=0,X811=""),1,0)</f>
        <v/>
      </c>
      <c r="AA811" s="68">
        <f>IF(Z811=1,IF(U811="In",L811,L811-W811),0)</f>
        <v/>
      </c>
      <c r="AB811" s="68">
        <f>IF(Z811=1,IF(U811="In",L811-W811,L811),0)</f>
        <v/>
      </c>
      <c r="AC811" s="68">
        <f>IF(AND(Z811=1,U811="Out"),W811,0)</f>
        <v/>
      </c>
      <c r="AD811" s="68">
        <f>IF(AND(Z811=1,U811="In"),W811,0)</f>
        <v/>
      </c>
    </row>
    <row r="812">
      <c r="B812" s="62" t="inlineStr">
        <is>
          <t>TX-0806</t>
        </is>
      </c>
      <c r="C812" s="63" t="n"/>
      <c r="D812" s="62" t="n"/>
      <c r="E812" s="62" t="n"/>
      <c r="F812" s="62" t="n"/>
      <c r="G812" s="62" t="n"/>
      <c r="H812" s="62" t="n"/>
      <c r="I812" s="62" t="n"/>
      <c r="J812" s="62" t="n"/>
      <c r="K812" s="62" t="n"/>
      <c r="L812" s="64" t="n"/>
      <c r="M812" s="64" t="n"/>
      <c r="N812" s="62" t="n"/>
      <c r="O812" s="65">
        <f>IF(Z812=1,L812-W812,"")</f>
        <v/>
      </c>
      <c r="P812" s="66">
        <f>IF(V812="","",IFERROR(INDEX(coa_Type,MATCH(V812,coa_Name,0)),""))</f>
        <v/>
      </c>
      <c r="Q812" s="66">
        <f>IF(Z812=1,IF(U812="In",K812&amp;"",V812),"")</f>
        <v/>
      </c>
      <c r="R812" s="66">
        <f>IF(Z812=1,IF(U812="In",V812,K812&amp;""),"")</f>
        <v/>
      </c>
      <c r="S812" s="66">
        <f>IF(X812&lt;&gt;"","⛔ "&amp;X812&amp;" — not posted",IF(Y812&lt;&gt;"","⚠ "&amp;Y812,IF(Z812=1,"✓ OK","")))</f>
        <v/>
      </c>
      <c r="T812" s="67">
        <f>IF(AND(C812="",D812="",E812="",L812="",K812=""),1,0)</f>
        <v/>
      </c>
      <c r="U812" s="67">
        <f>IFERROR(INDEX(tt_Dir,MATCH(D812,tt_Type,0)),"")</f>
        <v/>
      </c>
      <c r="V812" s="67">
        <f>IF(D812="","",IFERROR(IF(INDEX(tt_Other,MATCH(D812,tt_Type,0))="",E812&amp;"",INDEX(tt_Other,MATCH(D812,tt_Type,0))),""))</f>
        <v/>
      </c>
      <c r="W812" s="68">
        <f>IF(OR(TaxOn&lt;&gt;"Yes",NOT(ISNUMBER(M812))),0,IF(IFERROR(INDEX(tt_Tax,MATCH(D812,tt_Type,0)),"No")="Yes",M812,0))</f>
        <v/>
      </c>
      <c r="X812" s="67">
        <f>IF(T812=1,"",IF(C812="","Missing transaction date",IF(NOT(ISNUMBER(C812)),"Invalid date",IF(OR(C812&lt;DATE(2000,1,1),C812&gt;DATE(2099,12,31)),"Invalid date",IF(D812="","Select a type",IF(U812="","Unknown type: "&amp;D812,IF(V812="","Select an account (Category)",IF(ISNA(MATCH(V812,coa_Name,0)),"Unknown account: "&amp;V812,IF(K812="","Select Paid From / Deposited To",IF(ISNA(MATCH(K812,coa_Name,0)),"Unknown account: "&amp;K812,IF(NOT(ISNUMBER(L812)),"Enter an amount",IF(L812=0,"Enter an amount",IF(ABS(W812)&gt;ABS(L812),"Tax is larger than the amount","")))))))))))))</f>
        <v/>
      </c>
      <c r="Y812" s="67">
        <f>IF(OR(T812=1,X812&lt;&gt;""),"",IF(AND(B812&lt;&gt;"",COUNTIF(tx_ID,B812)&gt;1),"Duplicate transaction ID",IF(AND(L812&lt;0,D812&lt;&gt;"Adjustment"),"Negative amount — check this entry",IF(AND(D812="Customer Payment",G812=""),"Add the customer",IF(AND(D812="Customer Payment",OR(J812="",COUNTIF(ar_No,J812&amp;"")=0)),"Invoice # in Reference not found on AR sheet",IF(AND(D812="Bill Payment",H812=""),"Add the vendor",IF(AND(D812="Bill Payment",OR(J812="",COUNTIFS(ap_No,J812&amp;"",ap_Party,H812&amp;"")=0)),"Bill # + vendor not found on AP sheet",IF(AND(ISNUMBER(M812),N(M812)&lt;&gt;0,W812=0),"Tax ignored (tax tracking off, or not allowed for this type)",IF(V812=K812&amp;"","Same account on both sides",IF(AND(ISNUMBER(StartDate),C812&lt;StartDate),"Date is before the accounting start date",IF(AND(D812&lt;&gt;"Adjustment",IFERROR(INDEX(coa_Pay,MATCH(K812&amp;"",coa_Name,0)),"")&lt;&gt;"Yes"),"Paid From / Deposited To is not a payment account","")))))))))))</f>
        <v/>
      </c>
      <c r="Z812" s="67">
        <f>IF(AND(T812=0,X812=""),1,0)</f>
        <v/>
      </c>
      <c r="AA812" s="68">
        <f>IF(Z812=1,IF(U812="In",L812,L812-W812),0)</f>
        <v/>
      </c>
      <c r="AB812" s="68">
        <f>IF(Z812=1,IF(U812="In",L812-W812,L812),0)</f>
        <v/>
      </c>
      <c r="AC812" s="68">
        <f>IF(AND(Z812=1,U812="Out"),W812,0)</f>
        <v/>
      </c>
      <c r="AD812" s="68">
        <f>IF(AND(Z812=1,U812="In"),W812,0)</f>
        <v/>
      </c>
    </row>
    <row r="813">
      <c r="B813" s="62" t="inlineStr">
        <is>
          <t>TX-0807</t>
        </is>
      </c>
      <c r="C813" s="63" t="n"/>
      <c r="D813" s="62" t="n"/>
      <c r="E813" s="62" t="n"/>
      <c r="F813" s="62" t="n"/>
      <c r="G813" s="62" t="n"/>
      <c r="H813" s="62" t="n"/>
      <c r="I813" s="62" t="n"/>
      <c r="J813" s="62" t="n"/>
      <c r="K813" s="62" t="n"/>
      <c r="L813" s="64" t="n"/>
      <c r="M813" s="64" t="n"/>
      <c r="N813" s="62" t="n"/>
      <c r="O813" s="65">
        <f>IF(Z813=1,L813-W813,"")</f>
        <v/>
      </c>
      <c r="P813" s="66">
        <f>IF(V813="","",IFERROR(INDEX(coa_Type,MATCH(V813,coa_Name,0)),""))</f>
        <v/>
      </c>
      <c r="Q813" s="66">
        <f>IF(Z813=1,IF(U813="In",K813&amp;"",V813),"")</f>
        <v/>
      </c>
      <c r="R813" s="66">
        <f>IF(Z813=1,IF(U813="In",V813,K813&amp;""),"")</f>
        <v/>
      </c>
      <c r="S813" s="66">
        <f>IF(X813&lt;&gt;"","⛔ "&amp;X813&amp;" — not posted",IF(Y813&lt;&gt;"","⚠ "&amp;Y813,IF(Z813=1,"✓ OK","")))</f>
        <v/>
      </c>
      <c r="T813" s="67">
        <f>IF(AND(C813="",D813="",E813="",L813="",K813=""),1,0)</f>
        <v/>
      </c>
      <c r="U813" s="67">
        <f>IFERROR(INDEX(tt_Dir,MATCH(D813,tt_Type,0)),"")</f>
        <v/>
      </c>
      <c r="V813" s="67">
        <f>IF(D813="","",IFERROR(IF(INDEX(tt_Other,MATCH(D813,tt_Type,0))="",E813&amp;"",INDEX(tt_Other,MATCH(D813,tt_Type,0))),""))</f>
        <v/>
      </c>
      <c r="W813" s="68">
        <f>IF(OR(TaxOn&lt;&gt;"Yes",NOT(ISNUMBER(M813))),0,IF(IFERROR(INDEX(tt_Tax,MATCH(D813,tt_Type,0)),"No")="Yes",M813,0))</f>
        <v/>
      </c>
      <c r="X813" s="67">
        <f>IF(T813=1,"",IF(C813="","Missing transaction date",IF(NOT(ISNUMBER(C813)),"Invalid date",IF(OR(C813&lt;DATE(2000,1,1),C813&gt;DATE(2099,12,31)),"Invalid date",IF(D813="","Select a type",IF(U813="","Unknown type: "&amp;D813,IF(V813="","Select an account (Category)",IF(ISNA(MATCH(V813,coa_Name,0)),"Unknown account: "&amp;V813,IF(K813="","Select Paid From / Deposited To",IF(ISNA(MATCH(K813,coa_Name,0)),"Unknown account: "&amp;K813,IF(NOT(ISNUMBER(L813)),"Enter an amount",IF(L813=0,"Enter an amount",IF(ABS(W813)&gt;ABS(L813),"Tax is larger than the amount","")))))))))))))</f>
        <v/>
      </c>
      <c r="Y813" s="67">
        <f>IF(OR(T813=1,X813&lt;&gt;""),"",IF(AND(B813&lt;&gt;"",COUNTIF(tx_ID,B813)&gt;1),"Duplicate transaction ID",IF(AND(L813&lt;0,D813&lt;&gt;"Adjustment"),"Negative amount — check this entry",IF(AND(D813="Customer Payment",G813=""),"Add the customer",IF(AND(D813="Customer Payment",OR(J813="",COUNTIF(ar_No,J813&amp;"")=0)),"Invoice # in Reference not found on AR sheet",IF(AND(D813="Bill Payment",H813=""),"Add the vendor",IF(AND(D813="Bill Payment",OR(J813="",COUNTIFS(ap_No,J813&amp;"",ap_Party,H813&amp;"")=0)),"Bill # + vendor not found on AP sheet",IF(AND(ISNUMBER(M813),N(M813)&lt;&gt;0,W813=0),"Tax ignored (tax tracking off, or not allowed for this type)",IF(V813=K813&amp;"","Same account on both sides",IF(AND(ISNUMBER(StartDate),C813&lt;StartDate),"Date is before the accounting start date",IF(AND(D813&lt;&gt;"Adjustment",IFERROR(INDEX(coa_Pay,MATCH(K813&amp;"",coa_Name,0)),"")&lt;&gt;"Yes"),"Paid From / Deposited To is not a payment account","")))))))))))</f>
        <v/>
      </c>
      <c r="Z813" s="67">
        <f>IF(AND(T813=0,X813=""),1,0)</f>
        <v/>
      </c>
      <c r="AA813" s="68">
        <f>IF(Z813=1,IF(U813="In",L813,L813-W813),0)</f>
        <v/>
      </c>
      <c r="AB813" s="68">
        <f>IF(Z813=1,IF(U813="In",L813-W813,L813),0)</f>
        <v/>
      </c>
      <c r="AC813" s="68">
        <f>IF(AND(Z813=1,U813="Out"),W813,0)</f>
        <v/>
      </c>
      <c r="AD813" s="68">
        <f>IF(AND(Z813=1,U813="In"),W813,0)</f>
        <v/>
      </c>
    </row>
    <row r="814">
      <c r="B814" s="62" t="inlineStr">
        <is>
          <t>TX-0808</t>
        </is>
      </c>
      <c r="C814" s="63" t="n"/>
      <c r="D814" s="62" t="n"/>
      <c r="E814" s="62" t="n"/>
      <c r="F814" s="62" t="n"/>
      <c r="G814" s="62" t="n"/>
      <c r="H814" s="62" t="n"/>
      <c r="I814" s="62" t="n"/>
      <c r="J814" s="62" t="n"/>
      <c r="K814" s="62" t="n"/>
      <c r="L814" s="64" t="n"/>
      <c r="M814" s="64" t="n"/>
      <c r="N814" s="62" t="n"/>
      <c r="O814" s="65">
        <f>IF(Z814=1,L814-W814,"")</f>
        <v/>
      </c>
      <c r="P814" s="66">
        <f>IF(V814="","",IFERROR(INDEX(coa_Type,MATCH(V814,coa_Name,0)),""))</f>
        <v/>
      </c>
      <c r="Q814" s="66">
        <f>IF(Z814=1,IF(U814="In",K814&amp;"",V814),"")</f>
        <v/>
      </c>
      <c r="R814" s="66">
        <f>IF(Z814=1,IF(U814="In",V814,K814&amp;""),"")</f>
        <v/>
      </c>
      <c r="S814" s="66">
        <f>IF(X814&lt;&gt;"","⛔ "&amp;X814&amp;" — not posted",IF(Y814&lt;&gt;"","⚠ "&amp;Y814,IF(Z814=1,"✓ OK","")))</f>
        <v/>
      </c>
      <c r="T814" s="67">
        <f>IF(AND(C814="",D814="",E814="",L814="",K814=""),1,0)</f>
        <v/>
      </c>
      <c r="U814" s="67">
        <f>IFERROR(INDEX(tt_Dir,MATCH(D814,tt_Type,0)),"")</f>
        <v/>
      </c>
      <c r="V814" s="67">
        <f>IF(D814="","",IFERROR(IF(INDEX(tt_Other,MATCH(D814,tt_Type,0))="",E814&amp;"",INDEX(tt_Other,MATCH(D814,tt_Type,0))),""))</f>
        <v/>
      </c>
      <c r="W814" s="68">
        <f>IF(OR(TaxOn&lt;&gt;"Yes",NOT(ISNUMBER(M814))),0,IF(IFERROR(INDEX(tt_Tax,MATCH(D814,tt_Type,0)),"No")="Yes",M814,0))</f>
        <v/>
      </c>
      <c r="X814" s="67">
        <f>IF(T814=1,"",IF(C814="","Missing transaction date",IF(NOT(ISNUMBER(C814)),"Invalid date",IF(OR(C814&lt;DATE(2000,1,1),C814&gt;DATE(2099,12,31)),"Invalid date",IF(D814="","Select a type",IF(U814="","Unknown type: "&amp;D814,IF(V814="","Select an account (Category)",IF(ISNA(MATCH(V814,coa_Name,0)),"Unknown account: "&amp;V814,IF(K814="","Select Paid From / Deposited To",IF(ISNA(MATCH(K814,coa_Name,0)),"Unknown account: "&amp;K814,IF(NOT(ISNUMBER(L814)),"Enter an amount",IF(L814=0,"Enter an amount",IF(ABS(W814)&gt;ABS(L814),"Tax is larger than the amount","")))))))))))))</f>
        <v/>
      </c>
      <c r="Y814" s="67">
        <f>IF(OR(T814=1,X814&lt;&gt;""),"",IF(AND(B814&lt;&gt;"",COUNTIF(tx_ID,B814)&gt;1),"Duplicate transaction ID",IF(AND(L814&lt;0,D814&lt;&gt;"Adjustment"),"Negative amount — check this entry",IF(AND(D814="Customer Payment",G814=""),"Add the customer",IF(AND(D814="Customer Payment",OR(J814="",COUNTIF(ar_No,J814&amp;"")=0)),"Invoice # in Reference not found on AR sheet",IF(AND(D814="Bill Payment",H814=""),"Add the vendor",IF(AND(D814="Bill Payment",OR(J814="",COUNTIFS(ap_No,J814&amp;"",ap_Party,H814&amp;"")=0)),"Bill # + vendor not found on AP sheet",IF(AND(ISNUMBER(M814),N(M814)&lt;&gt;0,W814=0),"Tax ignored (tax tracking off, or not allowed for this type)",IF(V814=K814&amp;"","Same account on both sides",IF(AND(ISNUMBER(StartDate),C814&lt;StartDate),"Date is before the accounting start date",IF(AND(D814&lt;&gt;"Adjustment",IFERROR(INDEX(coa_Pay,MATCH(K814&amp;"",coa_Name,0)),"")&lt;&gt;"Yes"),"Paid From / Deposited To is not a payment account","")))))))))))</f>
        <v/>
      </c>
      <c r="Z814" s="67">
        <f>IF(AND(T814=0,X814=""),1,0)</f>
        <v/>
      </c>
      <c r="AA814" s="68">
        <f>IF(Z814=1,IF(U814="In",L814,L814-W814),0)</f>
        <v/>
      </c>
      <c r="AB814" s="68">
        <f>IF(Z814=1,IF(U814="In",L814-W814,L814),0)</f>
        <v/>
      </c>
      <c r="AC814" s="68">
        <f>IF(AND(Z814=1,U814="Out"),W814,0)</f>
        <v/>
      </c>
      <c r="AD814" s="68">
        <f>IF(AND(Z814=1,U814="In"),W814,0)</f>
        <v/>
      </c>
    </row>
    <row r="815">
      <c r="B815" s="62" t="inlineStr">
        <is>
          <t>TX-0809</t>
        </is>
      </c>
      <c r="C815" s="63" t="n"/>
      <c r="D815" s="62" t="n"/>
      <c r="E815" s="62" t="n"/>
      <c r="F815" s="62" t="n"/>
      <c r="G815" s="62" t="n"/>
      <c r="H815" s="62" t="n"/>
      <c r="I815" s="62" t="n"/>
      <c r="J815" s="62" t="n"/>
      <c r="K815" s="62" t="n"/>
      <c r="L815" s="64" t="n"/>
      <c r="M815" s="64" t="n"/>
      <c r="N815" s="62" t="n"/>
      <c r="O815" s="65">
        <f>IF(Z815=1,L815-W815,"")</f>
        <v/>
      </c>
      <c r="P815" s="66">
        <f>IF(V815="","",IFERROR(INDEX(coa_Type,MATCH(V815,coa_Name,0)),""))</f>
        <v/>
      </c>
      <c r="Q815" s="66">
        <f>IF(Z815=1,IF(U815="In",K815&amp;"",V815),"")</f>
        <v/>
      </c>
      <c r="R815" s="66">
        <f>IF(Z815=1,IF(U815="In",V815,K815&amp;""),"")</f>
        <v/>
      </c>
      <c r="S815" s="66">
        <f>IF(X815&lt;&gt;"","⛔ "&amp;X815&amp;" — not posted",IF(Y815&lt;&gt;"","⚠ "&amp;Y815,IF(Z815=1,"✓ OK","")))</f>
        <v/>
      </c>
      <c r="T815" s="67">
        <f>IF(AND(C815="",D815="",E815="",L815="",K815=""),1,0)</f>
        <v/>
      </c>
      <c r="U815" s="67">
        <f>IFERROR(INDEX(tt_Dir,MATCH(D815,tt_Type,0)),"")</f>
        <v/>
      </c>
      <c r="V815" s="67">
        <f>IF(D815="","",IFERROR(IF(INDEX(tt_Other,MATCH(D815,tt_Type,0))="",E815&amp;"",INDEX(tt_Other,MATCH(D815,tt_Type,0))),""))</f>
        <v/>
      </c>
      <c r="W815" s="68">
        <f>IF(OR(TaxOn&lt;&gt;"Yes",NOT(ISNUMBER(M815))),0,IF(IFERROR(INDEX(tt_Tax,MATCH(D815,tt_Type,0)),"No")="Yes",M815,0))</f>
        <v/>
      </c>
      <c r="X815" s="67">
        <f>IF(T815=1,"",IF(C815="","Missing transaction date",IF(NOT(ISNUMBER(C815)),"Invalid date",IF(OR(C815&lt;DATE(2000,1,1),C815&gt;DATE(2099,12,31)),"Invalid date",IF(D815="","Select a type",IF(U815="","Unknown type: "&amp;D815,IF(V815="","Select an account (Category)",IF(ISNA(MATCH(V815,coa_Name,0)),"Unknown account: "&amp;V815,IF(K815="","Select Paid From / Deposited To",IF(ISNA(MATCH(K815,coa_Name,0)),"Unknown account: "&amp;K815,IF(NOT(ISNUMBER(L815)),"Enter an amount",IF(L815=0,"Enter an amount",IF(ABS(W815)&gt;ABS(L815),"Tax is larger than the amount","")))))))))))))</f>
        <v/>
      </c>
      <c r="Y815" s="67">
        <f>IF(OR(T815=1,X815&lt;&gt;""),"",IF(AND(B815&lt;&gt;"",COUNTIF(tx_ID,B815)&gt;1),"Duplicate transaction ID",IF(AND(L815&lt;0,D815&lt;&gt;"Adjustment"),"Negative amount — check this entry",IF(AND(D815="Customer Payment",G815=""),"Add the customer",IF(AND(D815="Customer Payment",OR(J815="",COUNTIF(ar_No,J815&amp;"")=0)),"Invoice # in Reference not found on AR sheet",IF(AND(D815="Bill Payment",H815=""),"Add the vendor",IF(AND(D815="Bill Payment",OR(J815="",COUNTIFS(ap_No,J815&amp;"",ap_Party,H815&amp;"")=0)),"Bill # + vendor not found on AP sheet",IF(AND(ISNUMBER(M815),N(M815)&lt;&gt;0,W815=0),"Tax ignored (tax tracking off, or not allowed for this type)",IF(V815=K815&amp;"","Same account on both sides",IF(AND(ISNUMBER(StartDate),C815&lt;StartDate),"Date is before the accounting start date",IF(AND(D815&lt;&gt;"Adjustment",IFERROR(INDEX(coa_Pay,MATCH(K815&amp;"",coa_Name,0)),"")&lt;&gt;"Yes"),"Paid From / Deposited To is not a payment account","")))))))))))</f>
        <v/>
      </c>
      <c r="Z815" s="67">
        <f>IF(AND(T815=0,X815=""),1,0)</f>
        <v/>
      </c>
      <c r="AA815" s="68">
        <f>IF(Z815=1,IF(U815="In",L815,L815-W815),0)</f>
        <v/>
      </c>
      <c r="AB815" s="68">
        <f>IF(Z815=1,IF(U815="In",L815-W815,L815),0)</f>
        <v/>
      </c>
      <c r="AC815" s="68">
        <f>IF(AND(Z815=1,U815="Out"),W815,0)</f>
        <v/>
      </c>
      <c r="AD815" s="68">
        <f>IF(AND(Z815=1,U815="In"),W815,0)</f>
        <v/>
      </c>
    </row>
    <row r="816">
      <c r="B816" s="62" t="inlineStr">
        <is>
          <t>TX-0810</t>
        </is>
      </c>
      <c r="C816" s="63" t="n"/>
      <c r="D816" s="62" t="n"/>
      <c r="E816" s="62" t="n"/>
      <c r="F816" s="62" t="n"/>
      <c r="G816" s="62" t="n"/>
      <c r="H816" s="62" t="n"/>
      <c r="I816" s="62" t="n"/>
      <c r="J816" s="62" t="n"/>
      <c r="K816" s="62" t="n"/>
      <c r="L816" s="64" t="n"/>
      <c r="M816" s="64" t="n"/>
      <c r="N816" s="62" t="n"/>
      <c r="O816" s="65">
        <f>IF(Z816=1,L816-W816,"")</f>
        <v/>
      </c>
      <c r="P816" s="66">
        <f>IF(V816="","",IFERROR(INDEX(coa_Type,MATCH(V816,coa_Name,0)),""))</f>
        <v/>
      </c>
      <c r="Q816" s="66">
        <f>IF(Z816=1,IF(U816="In",K816&amp;"",V816),"")</f>
        <v/>
      </c>
      <c r="R816" s="66">
        <f>IF(Z816=1,IF(U816="In",V816,K816&amp;""),"")</f>
        <v/>
      </c>
      <c r="S816" s="66">
        <f>IF(X816&lt;&gt;"","⛔ "&amp;X816&amp;" — not posted",IF(Y816&lt;&gt;"","⚠ "&amp;Y816,IF(Z816=1,"✓ OK","")))</f>
        <v/>
      </c>
      <c r="T816" s="67">
        <f>IF(AND(C816="",D816="",E816="",L816="",K816=""),1,0)</f>
        <v/>
      </c>
      <c r="U816" s="67">
        <f>IFERROR(INDEX(tt_Dir,MATCH(D816,tt_Type,0)),"")</f>
        <v/>
      </c>
      <c r="V816" s="67">
        <f>IF(D816="","",IFERROR(IF(INDEX(tt_Other,MATCH(D816,tt_Type,0))="",E816&amp;"",INDEX(tt_Other,MATCH(D816,tt_Type,0))),""))</f>
        <v/>
      </c>
      <c r="W816" s="68">
        <f>IF(OR(TaxOn&lt;&gt;"Yes",NOT(ISNUMBER(M816))),0,IF(IFERROR(INDEX(tt_Tax,MATCH(D816,tt_Type,0)),"No")="Yes",M816,0))</f>
        <v/>
      </c>
      <c r="X816" s="67">
        <f>IF(T816=1,"",IF(C816="","Missing transaction date",IF(NOT(ISNUMBER(C816)),"Invalid date",IF(OR(C816&lt;DATE(2000,1,1),C816&gt;DATE(2099,12,31)),"Invalid date",IF(D816="","Select a type",IF(U816="","Unknown type: "&amp;D816,IF(V816="","Select an account (Category)",IF(ISNA(MATCH(V816,coa_Name,0)),"Unknown account: "&amp;V816,IF(K816="","Select Paid From / Deposited To",IF(ISNA(MATCH(K816,coa_Name,0)),"Unknown account: "&amp;K816,IF(NOT(ISNUMBER(L816)),"Enter an amount",IF(L816=0,"Enter an amount",IF(ABS(W816)&gt;ABS(L816),"Tax is larger than the amount","")))))))))))))</f>
        <v/>
      </c>
      <c r="Y816" s="67">
        <f>IF(OR(T816=1,X816&lt;&gt;""),"",IF(AND(B816&lt;&gt;"",COUNTIF(tx_ID,B816)&gt;1),"Duplicate transaction ID",IF(AND(L816&lt;0,D816&lt;&gt;"Adjustment"),"Negative amount — check this entry",IF(AND(D816="Customer Payment",G816=""),"Add the customer",IF(AND(D816="Customer Payment",OR(J816="",COUNTIF(ar_No,J816&amp;"")=0)),"Invoice # in Reference not found on AR sheet",IF(AND(D816="Bill Payment",H816=""),"Add the vendor",IF(AND(D816="Bill Payment",OR(J816="",COUNTIFS(ap_No,J816&amp;"",ap_Party,H816&amp;"")=0)),"Bill # + vendor not found on AP sheet",IF(AND(ISNUMBER(M816),N(M816)&lt;&gt;0,W816=0),"Tax ignored (tax tracking off, or not allowed for this type)",IF(V816=K816&amp;"","Same account on both sides",IF(AND(ISNUMBER(StartDate),C816&lt;StartDate),"Date is before the accounting start date",IF(AND(D816&lt;&gt;"Adjustment",IFERROR(INDEX(coa_Pay,MATCH(K816&amp;"",coa_Name,0)),"")&lt;&gt;"Yes"),"Paid From / Deposited To is not a payment account","")))))))))))</f>
        <v/>
      </c>
      <c r="Z816" s="67">
        <f>IF(AND(T816=0,X816=""),1,0)</f>
        <v/>
      </c>
      <c r="AA816" s="68">
        <f>IF(Z816=1,IF(U816="In",L816,L816-W816),0)</f>
        <v/>
      </c>
      <c r="AB816" s="68">
        <f>IF(Z816=1,IF(U816="In",L816-W816,L816),0)</f>
        <v/>
      </c>
      <c r="AC816" s="68">
        <f>IF(AND(Z816=1,U816="Out"),W816,0)</f>
        <v/>
      </c>
      <c r="AD816" s="68">
        <f>IF(AND(Z816=1,U816="In"),W816,0)</f>
        <v/>
      </c>
    </row>
    <row r="817">
      <c r="B817" s="62" t="inlineStr">
        <is>
          <t>TX-0811</t>
        </is>
      </c>
      <c r="C817" s="63" t="n"/>
      <c r="D817" s="62" t="n"/>
      <c r="E817" s="62" t="n"/>
      <c r="F817" s="62" t="n"/>
      <c r="G817" s="62" t="n"/>
      <c r="H817" s="62" t="n"/>
      <c r="I817" s="62" t="n"/>
      <c r="J817" s="62" t="n"/>
      <c r="K817" s="62" t="n"/>
      <c r="L817" s="64" t="n"/>
      <c r="M817" s="64" t="n"/>
      <c r="N817" s="62" t="n"/>
      <c r="O817" s="65">
        <f>IF(Z817=1,L817-W817,"")</f>
        <v/>
      </c>
      <c r="P817" s="66">
        <f>IF(V817="","",IFERROR(INDEX(coa_Type,MATCH(V817,coa_Name,0)),""))</f>
        <v/>
      </c>
      <c r="Q817" s="66">
        <f>IF(Z817=1,IF(U817="In",K817&amp;"",V817),"")</f>
        <v/>
      </c>
      <c r="R817" s="66">
        <f>IF(Z817=1,IF(U817="In",V817,K817&amp;""),"")</f>
        <v/>
      </c>
      <c r="S817" s="66">
        <f>IF(X817&lt;&gt;"","⛔ "&amp;X817&amp;" — not posted",IF(Y817&lt;&gt;"","⚠ "&amp;Y817,IF(Z817=1,"✓ OK","")))</f>
        <v/>
      </c>
      <c r="T817" s="67">
        <f>IF(AND(C817="",D817="",E817="",L817="",K817=""),1,0)</f>
        <v/>
      </c>
      <c r="U817" s="67">
        <f>IFERROR(INDEX(tt_Dir,MATCH(D817,tt_Type,0)),"")</f>
        <v/>
      </c>
      <c r="V817" s="67">
        <f>IF(D817="","",IFERROR(IF(INDEX(tt_Other,MATCH(D817,tt_Type,0))="",E817&amp;"",INDEX(tt_Other,MATCH(D817,tt_Type,0))),""))</f>
        <v/>
      </c>
      <c r="W817" s="68">
        <f>IF(OR(TaxOn&lt;&gt;"Yes",NOT(ISNUMBER(M817))),0,IF(IFERROR(INDEX(tt_Tax,MATCH(D817,tt_Type,0)),"No")="Yes",M817,0))</f>
        <v/>
      </c>
      <c r="X817" s="67">
        <f>IF(T817=1,"",IF(C817="","Missing transaction date",IF(NOT(ISNUMBER(C817)),"Invalid date",IF(OR(C817&lt;DATE(2000,1,1),C817&gt;DATE(2099,12,31)),"Invalid date",IF(D817="","Select a type",IF(U817="","Unknown type: "&amp;D817,IF(V817="","Select an account (Category)",IF(ISNA(MATCH(V817,coa_Name,0)),"Unknown account: "&amp;V817,IF(K817="","Select Paid From / Deposited To",IF(ISNA(MATCH(K817,coa_Name,0)),"Unknown account: "&amp;K817,IF(NOT(ISNUMBER(L817)),"Enter an amount",IF(L817=0,"Enter an amount",IF(ABS(W817)&gt;ABS(L817),"Tax is larger than the amount","")))))))))))))</f>
        <v/>
      </c>
      <c r="Y817" s="67">
        <f>IF(OR(T817=1,X817&lt;&gt;""),"",IF(AND(B817&lt;&gt;"",COUNTIF(tx_ID,B817)&gt;1),"Duplicate transaction ID",IF(AND(L817&lt;0,D817&lt;&gt;"Adjustment"),"Negative amount — check this entry",IF(AND(D817="Customer Payment",G817=""),"Add the customer",IF(AND(D817="Customer Payment",OR(J817="",COUNTIF(ar_No,J817&amp;"")=0)),"Invoice # in Reference not found on AR sheet",IF(AND(D817="Bill Payment",H817=""),"Add the vendor",IF(AND(D817="Bill Payment",OR(J817="",COUNTIFS(ap_No,J817&amp;"",ap_Party,H817&amp;"")=0)),"Bill # + vendor not found on AP sheet",IF(AND(ISNUMBER(M817),N(M817)&lt;&gt;0,W817=0),"Tax ignored (tax tracking off, or not allowed for this type)",IF(V817=K817&amp;"","Same account on both sides",IF(AND(ISNUMBER(StartDate),C817&lt;StartDate),"Date is before the accounting start date",IF(AND(D817&lt;&gt;"Adjustment",IFERROR(INDEX(coa_Pay,MATCH(K817&amp;"",coa_Name,0)),"")&lt;&gt;"Yes"),"Paid From / Deposited To is not a payment account","")))))))))))</f>
        <v/>
      </c>
      <c r="Z817" s="67">
        <f>IF(AND(T817=0,X817=""),1,0)</f>
        <v/>
      </c>
      <c r="AA817" s="68">
        <f>IF(Z817=1,IF(U817="In",L817,L817-W817),0)</f>
        <v/>
      </c>
      <c r="AB817" s="68">
        <f>IF(Z817=1,IF(U817="In",L817-W817,L817),0)</f>
        <v/>
      </c>
      <c r="AC817" s="68">
        <f>IF(AND(Z817=1,U817="Out"),W817,0)</f>
        <v/>
      </c>
      <c r="AD817" s="68">
        <f>IF(AND(Z817=1,U817="In"),W817,0)</f>
        <v/>
      </c>
    </row>
    <row r="818">
      <c r="B818" s="62" t="inlineStr">
        <is>
          <t>TX-0812</t>
        </is>
      </c>
      <c r="C818" s="63" t="n"/>
      <c r="D818" s="62" t="n"/>
      <c r="E818" s="62" t="n"/>
      <c r="F818" s="62" t="n"/>
      <c r="G818" s="62" t="n"/>
      <c r="H818" s="62" t="n"/>
      <c r="I818" s="62" t="n"/>
      <c r="J818" s="62" t="n"/>
      <c r="K818" s="62" t="n"/>
      <c r="L818" s="64" t="n"/>
      <c r="M818" s="64" t="n"/>
      <c r="N818" s="62" t="n"/>
      <c r="O818" s="65">
        <f>IF(Z818=1,L818-W818,"")</f>
        <v/>
      </c>
      <c r="P818" s="66">
        <f>IF(V818="","",IFERROR(INDEX(coa_Type,MATCH(V818,coa_Name,0)),""))</f>
        <v/>
      </c>
      <c r="Q818" s="66">
        <f>IF(Z818=1,IF(U818="In",K818&amp;"",V818),"")</f>
        <v/>
      </c>
      <c r="R818" s="66">
        <f>IF(Z818=1,IF(U818="In",V818,K818&amp;""),"")</f>
        <v/>
      </c>
      <c r="S818" s="66">
        <f>IF(X818&lt;&gt;"","⛔ "&amp;X818&amp;" — not posted",IF(Y818&lt;&gt;"","⚠ "&amp;Y818,IF(Z818=1,"✓ OK","")))</f>
        <v/>
      </c>
      <c r="T818" s="67">
        <f>IF(AND(C818="",D818="",E818="",L818="",K818=""),1,0)</f>
        <v/>
      </c>
      <c r="U818" s="67">
        <f>IFERROR(INDEX(tt_Dir,MATCH(D818,tt_Type,0)),"")</f>
        <v/>
      </c>
      <c r="V818" s="67">
        <f>IF(D818="","",IFERROR(IF(INDEX(tt_Other,MATCH(D818,tt_Type,0))="",E818&amp;"",INDEX(tt_Other,MATCH(D818,tt_Type,0))),""))</f>
        <v/>
      </c>
      <c r="W818" s="68">
        <f>IF(OR(TaxOn&lt;&gt;"Yes",NOT(ISNUMBER(M818))),0,IF(IFERROR(INDEX(tt_Tax,MATCH(D818,tt_Type,0)),"No")="Yes",M818,0))</f>
        <v/>
      </c>
      <c r="X818" s="67">
        <f>IF(T818=1,"",IF(C818="","Missing transaction date",IF(NOT(ISNUMBER(C818)),"Invalid date",IF(OR(C818&lt;DATE(2000,1,1),C818&gt;DATE(2099,12,31)),"Invalid date",IF(D818="","Select a type",IF(U818="","Unknown type: "&amp;D818,IF(V818="","Select an account (Category)",IF(ISNA(MATCH(V818,coa_Name,0)),"Unknown account: "&amp;V818,IF(K818="","Select Paid From / Deposited To",IF(ISNA(MATCH(K818,coa_Name,0)),"Unknown account: "&amp;K818,IF(NOT(ISNUMBER(L818)),"Enter an amount",IF(L818=0,"Enter an amount",IF(ABS(W818)&gt;ABS(L818),"Tax is larger than the amount","")))))))))))))</f>
        <v/>
      </c>
      <c r="Y818" s="67">
        <f>IF(OR(T818=1,X818&lt;&gt;""),"",IF(AND(B818&lt;&gt;"",COUNTIF(tx_ID,B818)&gt;1),"Duplicate transaction ID",IF(AND(L818&lt;0,D818&lt;&gt;"Adjustment"),"Negative amount — check this entry",IF(AND(D818="Customer Payment",G818=""),"Add the customer",IF(AND(D818="Customer Payment",OR(J818="",COUNTIF(ar_No,J818&amp;"")=0)),"Invoice # in Reference not found on AR sheet",IF(AND(D818="Bill Payment",H818=""),"Add the vendor",IF(AND(D818="Bill Payment",OR(J818="",COUNTIFS(ap_No,J818&amp;"",ap_Party,H818&amp;"")=0)),"Bill # + vendor not found on AP sheet",IF(AND(ISNUMBER(M818),N(M818)&lt;&gt;0,W818=0),"Tax ignored (tax tracking off, or not allowed for this type)",IF(V818=K818&amp;"","Same account on both sides",IF(AND(ISNUMBER(StartDate),C818&lt;StartDate),"Date is before the accounting start date",IF(AND(D818&lt;&gt;"Adjustment",IFERROR(INDEX(coa_Pay,MATCH(K818&amp;"",coa_Name,0)),"")&lt;&gt;"Yes"),"Paid From / Deposited To is not a payment account","")))))))))))</f>
        <v/>
      </c>
      <c r="Z818" s="67">
        <f>IF(AND(T818=0,X818=""),1,0)</f>
        <v/>
      </c>
      <c r="AA818" s="68">
        <f>IF(Z818=1,IF(U818="In",L818,L818-W818),0)</f>
        <v/>
      </c>
      <c r="AB818" s="68">
        <f>IF(Z818=1,IF(U818="In",L818-W818,L818),0)</f>
        <v/>
      </c>
      <c r="AC818" s="68">
        <f>IF(AND(Z818=1,U818="Out"),W818,0)</f>
        <v/>
      </c>
      <c r="AD818" s="68">
        <f>IF(AND(Z818=1,U818="In"),W818,0)</f>
        <v/>
      </c>
    </row>
    <row r="819">
      <c r="B819" s="62" t="inlineStr">
        <is>
          <t>TX-0813</t>
        </is>
      </c>
      <c r="C819" s="63" t="n"/>
      <c r="D819" s="62" t="n"/>
      <c r="E819" s="62" t="n"/>
      <c r="F819" s="62" t="n"/>
      <c r="G819" s="62" t="n"/>
      <c r="H819" s="62" t="n"/>
      <c r="I819" s="62" t="n"/>
      <c r="J819" s="62" t="n"/>
      <c r="K819" s="62" t="n"/>
      <c r="L819" s="64" t="n"/>
      <c r="M819" s="64" t="n"/>
      <c r="N819" s="62" t="n"/>
      <c r="O819" s="65">
        <f>IF(Z819=1,L819-W819,"")</f>
        <v/>
      </c>
      <c r="P819" s="66">
        <f>IF(V819="","",IFERROR(INDEX(coa_Type,MATCH(V819,coa_Name,0)),""))</f>
        <v/>
      </c>
      <c r="Q819" s="66">
        <f>IF(Z819=1,IF(U819="In",K819&amp;"",V819),"")</f>
        <v/>
      </c>
      <c r="R819" s="66">
        <f>IF(Z819=1,IF(U819="In",V819,K819&amp;""),"")</f>
        <v/>
      </c>
      <c r="S819" s="66">
        <f>IF(X819&lt;&gt;"","⛔ "&amp;X819&amp;" — not posted",IF(Y819&lt;&gt;"","⚠ "&amp;Y819,IF(Z819=1,"✓ OK","")))</f>
        <v/>
      </c>
      <c r="T819" s="67">
        <f>IF(AND(C819="",D819="",E819="",L819="",K819=""),1,0)</f>
        <v/>
      </c>
      <c r="U819" s="67">
        <f>IFERROR(INDEX(tt_Dir,MATCH(D819,tt_Type,0)),"")</f>
        <v/>
      </c>
      <c r="V819" s="67">
        <f>IF(D819="","",IFERROR(IF(INDEX(tt_Other,MATCH(D819,tt_Type,0))="",E819&amp;"",INDEX(tt_Other,MATCH(D819,tt_Type,0))),""))</f>
        <v/>
      </c>
      <c r="W819" s="68">
        <f>IF(OR(TaxOn&lt;&gt;"Yes",NOT(ISNUMBER(M819))),0,IF(IFERROR(INDEX(tt_Tax,MATCH(D819,tt_Type,0)),"No")="Yes",M819,0))</f>
        <v/>
      </c>
      <c r="X819" s="67">
        <f>IF(T819=1,"",IF(C819="","Missing transaction date",IF(NOT(ISNUMBER(C819)),"Invalid date",IF(OR(C819&lt;DATE(2000,1,1),C819&gt;DATE(2099,12,31)),"Invalid date",IF(D819="","Select a type",IF(U819="","Unknown type: "&amp;D819,IF(V819="","Select an account (Category)",IF(ISNA(MATCH(V819,coa_Name,0)),"Unknown account: "&amp;V819,IF(K819="","Select Paid From / Deposited To",IF(ISNA(MATCH(K819,coa_Name,0)),"Unknown account: "&amp;K819,IF(NOT(ISNUMBER(L819)),"Enter an amount",IF(L819=0,"Enter an amount",IF(ABS(W819)&gt;ABS(L819),"Tax is larger than the amount","")))))))))))))</f>
        <v/>
      </c>
      <c r="Y819" s="67">
        <f>IF(OR(T819=1,X819&lt;&gt;""),"",IF(AND(B819&lt;&gt;"",COUNTIF(tx_ID,B819)&gt;1),"Duplicate transaction ID",IF(AND(L819&lt;0,D819&lt;&gt;"Adjustment"),"Negative amount — check this entry",IF(AND(D819="Customer Payment",G819=""),"Add the customer",IF(AND(D819="Customer Payment",OR(J819="",COUNTIF(ar_No,J819&amp;"")=0)),"Invoice # in Reference not found on AR sheet",IF(AND(D819="Bill Payment",H819=""),"Add the vendor",IF(AND(D819="Bill Payment",OR(J819="",COUNTIFS(ap_No,J819&amp;"",ap_Party,H819&amp;"")=0)),"Bill # + vendor not found on AP sheet",IF(AND(ISNUMBER(M819),N(M819)&lt;&gt;0,W819=0),"Tax ignored (tax tracking off, or not allowed for this type)",IF(V819=K819&amp;"","Same account on both sides",IF(AND(ISNUMBER(StartDate),C819&lt;StartDate),"Date is before the accounting start date",IF(AND(D819&lt;&gt;"Adjustment",IFERROR(INDEX(coa_Pay,MATCH(K819&amp;"",coa_Name,0)),"")&lt;&gt;"Yes"),"Paid From / Deposited To is not a payment account","")))))))))))</f>
        <v/>
      </c>
      <c r="Z819" s="67">
        <f>IF(AND(T819=0,X819=""),1,0)</f>
        <v/>
      </c>
      <c r="AA819" s="68">
        <f>IF(Z819=1,IF(U819="In",L819,L819-W819),0)</f>
        <v/>
      </c>
      <c r="AB819" s="68">
        <f>IF(Z819=1,IF(U819="In",L819-W819,L819),0)</f>
        <v/>
      </c>
      <c r="AC819" s="68">
        <f>IF(AND(Z819=1,U819="Out"),W819,0)</f>
        <v/>
      </c>
      <c r="AD819" s="68">
        <f>IF(AND(Z819=1,U819="In"),W819,0)</f>
        <v/>
      </c>
    </row>
    <row r="820">
      <c r="B820" s="62" t="inlineStr">
        <is>
          <t>TX-0814</t>
        </is>
      </c>
      <c r="C820" s="63" t="n"/>
      <c r="D820" s="62" t="n"/>
      <c r="E820" s="62" t="n"/>
      <c r="F820" s="62" t="n"/>
      <c r="G820" s="62" t="n"/>
      <c r="H820" s="62" t="n"/>
      <c r="I820" s="62" t="n"/>
      <c r="J820" s="62" t="n"/>
      <c r="K820" s="62" t="n"/>
      <c r="L820" s="64" t="n"/>
      <c r="M820" s="64" t="n"/>
      <c r="N820" s="62" t="n"/>
      <c r="O820" s="65">
        <f>IF(Z820=1,L820-W820,"")</f>
        <v/>
      </c>
      <c r="P820" s="66">
        <f>IF(V820="","",IFERROR(INDEX(coa_Type,MATCH(V820,coa_Name,0)),""))</f>
        <v/>
      </c>
      <c r="Q820" s="66">
        <f>IF(Z820=1,IF(U820="In",K820&amp;"",V820),"")</f>
        <v/>
      </c>
      <c r="R820" s="66">
        <f>IF(Z820=1,IF(U820="In",V820,K820&amp;""),"")</f>
        <v/>
      </c>
      <c r="S820" s="66">
        <f>IF(X820&lt;&gt;"","⛔ "&amp;X820&amp;" — not posted",IF(Y820&lt;&gt;"","⚠ "&amp;Y820,IF(Z820=1,"✓ OK","")))</f>
        <v/>
      </c>
      <c r="T820" s="67">
        <f>IF(AND(C820="",D820="",E820="",L820="",K820=""),1,0)</f>
        <v/>
      </c>
      <c r="U820" s="67">
        <f>IFERROR(INDEX(tt_Dir,MATCH(D820,tt_Type,0)),"")</f>
        <v/>
      </c>
      <c r="V820" s="67">
        <f>IF(D820="","",IFERROR(IF(INDEX(tt_Other,MATCH(D820,tt_Type,0))="",E820&amp;"",INDEX(tt_Other,MATCH(D820,tt_Type,0))),""))</f>
        <v/>
      </c>
      <c r="W820" s="68">
        <f>IF(OR(TaxOn&lt;&gt;"Yes",NOT(ISNUMBER(M820))),0,IF(IFERROR(INDEX(tt_Tax,MATCH(D820,tt_Type,0)),"No")="Yes",M820,0))</f>
        <v/>
      </c>
      <c r="X820" s="67">
        <f>IF(T820=1,"",IF(C820="","Missing transaction date",IF(NOT(ISNUMBER(C820)),"Invalid date",IF(OR(C820&lt;DATE(2000,1,1),C820&gt;DATE(2099,12,31)),"Invalid date",IF(D820="","Select a type",IF(U820="","Unknown type: "&amp;D820,IF(V820="","Select an account (Category)",IF(ISNA(MATCH(V820,coa_Name,0)),"Unknown account: "&amp;V820,IF(K820="","Select Paid From / Deposited To",IF(ISNA(MATCH(K820,coa_Name,0)),"Unknown account: "&amp;K820,IF(NOT(ISNUMBER(L820)),"Enter an amount",IF(L820=0,"Enter an amount",IF(ABS(W820)&gt;ABS(L820),"Tax is larger than the amount","")))))))))))))</f>
        <v/>
      </c>
      <c r="Y820" s="67">
        <f>IF(OR(T820=1,X820&lt;&gt;""),"",IF(AND(B820&lt;&gt;"",COUNTIF(tx_ID,B820)&gt;1),"Duplicate transaction ID",IF(AND(L820&lt;0,D820&lt;&gt;"Adjustment"),"Negative amount — check this entry",IF(AND(D820="Customer Payment",G820=""),"Add the customer",IF(AND(D820="Customer Payment",OR(J820="",COUNTIF(ar_No,J820&amp;"")=0)),"Invoice # in Reference not found on AR sheet",IF(AND(D820="Bill Payment",H820=""),"Add the vendor",IF(AND(D820="Bill Payment",OR(J820="",COUNTIFS(ap_No,J820&amp;"",ap_Party,H820&amp;"")=0)),"Bill # + vendor not found on AP sheet",IF(AND(ISNUMBER(M820),N(M820)&lt;&gt;0,W820=0),"Tax ignored (tax tracking off, or not allowed for this type)",IF(V820=K820&amp;"","Same account on both sides",IF(AND(ISNUMBER(StartDate),C820&lt;StartDate),"Date is before the accounting start date",IF(AND(D820&lt;&gt;"Adjustment",IFERROR(INDEX(coa_Pay,MATCH(K820&amp;"",coa_Name,0)),"")&lt;&gt;"Yes"),"Paid From / Deposited To is not a payment account","")))))))))))</f>
        <v/>
      </c>
      <c r="Z820" s="67">
        <f>IF(AND(T820=0,X820=""),1,0)</f>
        <v/>
      </c>
      <c r="AA820" s="68">
        <f>IF(Z820=1,IF(U820="In",L820,L820-W820),0)</f>
        <v/>
      </c>
      <c r="AB820" s="68">
        <f>IF(Z820=1,IF(U820="In",L820-W820,L820),0)</f>
        <v/>
      </c>
      <c r="AC820" s="68">
        <f>IF(AND(Z820=1,U820="Out"),W820,0)</f>
        <v/>
      </c>
      <c r="AD820" s="68">
        <f>IF(AND(Z820=1,U820="In"),W820,0)</f>
        <v/>
      </c>
    </row>
    <row r="821">
      <c r="B821" s="62" t="inlineStr">
        <is>
          <t>TX-0815</t>
        </is>
      </c>
      <c r="C821" s="63" t="n"/>
      <c r="D821" s="62" t="n"/>
      <c r="E821" s="62" t="n"/>
      <c r="F821" s="62" t="n"/>
      <c r="G821" s="62" t="n"/>
      <c r="H821" s="62" t="n"/>
      <c r="I821" s="62" t="n"/>
      <c r="J821" s="62" t="n"/>
      <c r="K821" s="62" t="n"/>
      <c r="L821" s="64" t="n"/>
      <c r="M821" s="64" t="n"/>
      <c r="N821" s="62" t="n"/>
      <c r="O821" s="65">
        <f>IF(Z821=1,L821-W821,"")</f>
        <v/>
      </c>
      <c r="P821" s="66">
        <f>IF(V821="","",IFERROR(INDEX(coa_Type,MATCH(V821,coa_Name,0)),""))</f>
        <v/>
      </c>
      <c r="Q821" s="66">
        <f>IF(Z821=1,IF(U821="In",K821&amp;"",V821),"")</f>
        <v/>
      </c>
      <c r="R821" s="66">
        <f>IF(Z821=1,IF(U821="In",V821,K821&amp;""),"")</f>
        <v/>
      </c>
      <c r="S821" s="66">
        <f>IF(X821&lt;&gt;"","⛔ "&amp;X821&amp;" — not posted",IF(Y821&lt;&gt;"","⚠ "&amp;Y821,IF(Z821=1,"✓ OK","")))</f>
        <v/>
      </c>
      <c r="T821" s="67">
        <f>IF(AND(C821="",D821="",E821="",L821="",K821=""),1,0)</f>
        <v/>
      </c>
      <c r="U821" s="67">
        <f>IFERROR(INDEX(tt_Dir,MATCH(D821,tt_Type,0)),"")</f>
        <v/>
      </c>
      <c r="V821" s="67">
        <f>IF(D821="","",IFERROR(IF(INDEX(tt_Other,MATCH(D821,tt_Type,0))="",E821&amp;"",INDEX(tt_Other,MATCH(D821,tt_Type,0))),""))</f>
        <v/>
      </c>
      <c r="W821" s="68">
        <f>IF(OR(TaxOn&lt;&gt;"Yes",NOT(ISNUMBER(M821))),0,IF(IFERROR(INDEX(tt_Tax,MATCH(D821,tt_Type,0)),"No")="Yes",M821,0))</f>
        <v/>
      </c>
      <c r="X821" s="67">
        <f>IF(T821=1,"",IF(C821="","Missing transaction date",IF(NOT(ISNUMBER(C821)),"Invalid date",IF(OR(C821&lt;DATE(2000,1,1),C821&gt;DATE(2099,12,31)),"Invalid date",IF(D821="","Select a type",IF(U821="","Unknown type: "&amp;D821,IF(V821="","Select an account (Category)",IF(ISNA(MATCH(V821,coa_Name,0)),"Unknown account: "&amp;V821,IF(K821="","Select Paid From / Deposited To",IF(ISNA(MATCH(K821,coa_Name,0)),"Unknown account: "&amp;K821,IF(NOT(ISNUMBER(L821)),"Enter an amount",IF(L821=0,"Enter an amount",IF(ABS(W821)&gt;ABS(L821),"Tax is larger than the amount","")))))))))))))</f>
        <v/>
      </c>
      <c r="Y821" s="67">
        <f>IF(OR(T821=1,X821&lt;&gt;""),"",IF(AND(B821&lt;&gt;"",COUNTIF(tx_ID,B821)&gt;1),"Duplicate transaction ID",IF(AND(L821&lt;0,D821&lt;&gt;"Adjustment"),"Negative amount — check this entry",IF(AND(D821="Customer Payment",G821=""),"Add the customer",IF(AND(D821="Customer Payment",OR(J821="",COUNTIF(ar_No,J821&amp;"")=0)),"Invoice # in Reference not found on AR sheet",IF(AND(D821="Bill Payment",H821=""),"Add the vendor",IF(AND(D821="Bill Payment",OR(J821="",COUNTIFS(ap_No,J821&amp;"",ap_Party,H821&amp;"")=0)),"Bill # + vendor not found on AP sheet",IF(AND(ISNUMBER(M821),N(M821)&lt;&gt;0,W821=0),"Tax ignored (tax tracking off, or not allowed for this type)",IF(V821=K821&amp;"","Same account on both sides",IF(AND(ISNUMBER(StartDate),C821&lt;StartDate),"Date is before the accounting start date",IF(AND(D821&lt;&gt;"Adjustment",IFERROR(INDEX(coa_Pay,MATCH(K821&amp;"",coa_Name,0)),"")&lt;&gt;"Yes"),"Paid From / Deposited To is not a payment account","")))))))))))</f>
        <v/>
      </c>
      <c r="Z821" s="67">
        <f>IF(AND(T821=0,X821=""),1,0)</f>
        <v/>
      </c>
      <c r="AA821" s="68">
        <f>IF(Z821=1,IF(U821="In",L821,L821-W821),0)</f>
        <v/>
      </c>
      <c r="AB821" s="68">
        <f>IF(Z821=1,IF(U821="In",L821-W821,L821),0)</f>
        <v/>
      </c>
      <c r="AC821" s="68">
        <f>IF(AND(Z821=1,U821="Out"),W821,0)</f>
        <v/>
      </c>
      <c r="AD821" s="68">
        <f>IF(AND(Z821=1,U821="In"),W821,0)</f>
        <v/>
      </c>
    </row>
    <row r="822">
      <c r="B822" s="62" t="inlineStr">
        <is>
          <t>TX-0816</t>
        </is>
      </c>
      <c r="C822" s="63" t="n"/>
      <c r="D822" s="62" t="n"/>
      <c r="E822" s="62" t="n"/>
      <c r="F822" s="62" t="n"/>
      <c r="G822" s="62" t="n"/>
      <c r="H822" s="62" t="n"/>
      <c r="I822" s="62" t="n"/>
      <c r="J822" s="62" t="n"/>
      <c r="K822" s="62" t="n"/>
      <c r="L822" s="64" t="n"/>
      <c r="M822" s="64" t="n"/>
      <c r="N822" s="62" t="n"/>
      <c r="O822" s="65">
        <f>IF(Z822=1,L822-W822,"")</f>
        <v/>
      </c>
      <c r="P822" s="66">
        <f>IF(V822="","",IFERROR(INDEX(coa_Type,MATCH(V822,coa_Name,0)),""))</f>
        <v/>
      </c>
      <c r="Q822" s="66">
        <f>IF(Z822=1,IF(U822="In",K822&amp;"",V822),"")</f>
        <v/>
      </c>
      <c r="R822" s="66">
        <f>IF(Z822=1,IF(U822="In",V822,K822&amp;""),"")</f>
        <v/>
      </c>
      <c r="S822" s="66">
        <f>IF(X822&lt;&gt;"","⛔ "&amp;X822&amp;" — not posted",IF(Y822&lt;&gt;"","⚠ "&amp;Y822,IF(Z822=1,"✓ OK","")))</f>
        <v/>
      </c>
      <c r="T822" s="67">
        <f>IF(AND(C822="",D822="",E822="",L822="",K822=""),1,0)</f>
        <v/>
      </c>
      <c r="U822" s="67">
        <f>IFERROR(INDEX(tt_Dir,MATCH(D822,tt_Type,0)),"")</f>
        <v/>
      </c>
      <c r="V822" s="67">
        <f>IF(D822="","",IFERROR(IF(INDEX(tt_Other,MATCH(D822,tt_Type,0))="",E822&amp;"",INDEX(tt_Other,MATCH(D822,tt_Type,0))),""))</f>
        <v/>
      </c>
      <c r="W822" s="68">
        <f>IF(OR(TaxOn&lt;&gt;"Yes",NOT(ISNUMBER(M822))),0,IF(IFERROR(INDEX(tt_Tax,MATCH(D822,tt_Type,0)),"No")="Yes",M822,0))</f>
        <v/>
      </c>
      <c r="X822" s="67">
        <f>IF(T822=1,"",IF(C822="","Missing transaction date",IF(NOT(ISNUMBER(C822)),"Invalid date",IF(OR(C822&lt;DATE(2000,1,1),C822&gt;DATE(2099,12,31)),"Invalid date",IF(D822="","Select a type",IF(U822="","Unknown type: "&amp;D822,IF(V822="","Select an account (Category)",IF(ISNA(MATCH(V822,coa_Name,0)),"Unknown account: "&amp;V822,IF(K822="","Select Paid From / Deposited To",IF(ISNA(MATCH(K822,coa_Name,0)),"Unknown account: "&amp;K822,IF(NOT(ISNUMBER(L822)),"Enter an amount",IF(L822=0,"Enter an amount",IF(ABS(W822)&gt;ABS(L822),"Tax is larger than the amount","")))))))))))))</f>
        <v/>
      </c>
      <c r="Y822" s="67">
        <f>IF(OR(T822=1,X822&lt;&gt;""),"",IF(AND(B822&lt;&gt;"",COUNTIF(tx_ID,B822)&gt;1),"Duplicate transaction ID",IF(AND(L822&lt;0,D822&lt;&gt;"Adjustment"),"Negative amount — check this entry",IF(AND(D822="Customer Payment",G822=""),"Add the customer",IF(AND(D822="Customer Payment",OR(J822="",COUNTIF(ar_No,J822&amp;"")=0)),"Invoice # in Reference not found on AR sheet",IF(AND(D822="Bill Payment",H822=""),"Add the vendor",IF(AND(D822="Bill Payment",OR(J822="",COUNTIFS(ap_No,J822&amp;"",ap_Party,H822&amp;"")=0)),"Bill # + vendor not found on AP sheet",IF(AND(ISNUMBER(M822),N(M822)&lt;&gt;0,W822=0),"Tax ignored (tax tracking off, or not allowed for this type)",IF(V822=K822&amp;"","Same account on both sides",IF(AND(ISNUMBER(StartDate),C822&lt;StartDate),"Date is before the accounting start date",IF(AND(D822&lt;&gt;"Adjustment",IFERROR(INDEX(coa_Pay,MATCH(K822&amp;"",coa_Name,0)),"")&lt;&gt;"Yes"),"Paid From / Deposited To is not a payment account","")))))))))))</f>
        <v/>
      </c>
      <c r="Z822" s="67">
        <f>IF(AND(T822=0,X822=""),1,0)</f>
        <v/>
      </c>
      <c r="AA822" s="68">
        <f>IF(Z822=1,IF(U822="In",L822,L822-W822),0)</f>
        <v/>
      </c>
      <c r="AB822" s="68">
        <f>IF(Z822=1,IF(U822="In",L822-W822,L822),0)</f>
        <v/>
      </c>
      <c r="AC822" s="68">
        <f>IF(AND(Z822=1,U822="Out"),W822,0)</f>
        <v/>
      </c>
      <c r="AD822" s="68">
        <f>IF(AND(Z822=1,U822="In"),W822,0)</f>
        <v/>
      </c>
    </row>
    <row r="823">
      <c r="B823" s="62" t="inlineStr">
        <is>
          <t>TX-0817</t>
        </is>
      </c>
      <c r="C823" s="63" t="n"/>
      <c r="D823" s="62" t="n"/>
      <c r="E823" s="62" t="n"/>
      <c r="F823" s="62" t="n"/>
      <c r="G823" s="62" t="n"/>
      <c r="H823" s="62" t="n"/>
      <c r="I823" s="62" t="n"/>
      <c r="J823" s="62" t="n"/>
      <c r="K823" s="62" t="n"/>
      <c r="L823" s="64" t="n"/>
      <c r="M823" s="64" t="n"/>
      <c r="N823" s="62" t="n"/>
      <c r="O823" s="65">
        <f>IF(Z823=1,L823-W823,"")</f>
        <v/>
      </c>
      <c r="P823" s="66">
        <f>IF(V823="","",IFERROR(INDEX(coa_Type,MATCH(V823,coa_Name,0)),""))</f>
        <v/>
      </c>
      <c r="Q823" s="66">
        <f>IF(Z823=1,IF(U823="In",K823&amp;"",V823),"")</f>
        <v/>
      </c>
      <c r="R823" s="66">
        <f>IF(Z823=1,IF(U823="In",V823,K823&amp;""),"")</f>
        <v/>
      </c>
      <c r="S823" s="66">
        <f>IF(X823&lt;&gt;"","⛔ "&amp;X823&amp;" — not posted",IF(Y823&lt;&gt;"","⚠ "&amp;Y823,IF(Z823=1,"✓ OK","")))</f>
        <v/>
      </c>
      <c r="T823" s="67">
        <f>IF(AND(C823="",D823="",E823="",L823="",K823=""),1,0)</f>
        <v/>
      </c>
      <c r="U823" s="67">
        <f>IFERROR(INDEX(tt_Dir,MATCH(D823,tt_Type,0)),"")</f>
        <v/>
      </c>
      <c r="V823" s="67">
        <f>IF(D823="","",IFERROR(IF(INDEX(tt_Other,MATCH(D823,tt_Type,0))="",E823&amp;"",INDEX(tt_Other,MATCH(D823,tt_Type,0))),""))</f>
        <v/>
      </c>
      <c r="W823" s="68">
        <f>IF(OR(TaxOn&lt;&gt;"Yes",NOT(ISNUMBER(M823))),0,IF(IFERROR(INDEX(tt_Tax,MATCH(D823,tt_Type,0)),"No")="Yes",M823,0))</f>
        <v/>
      </c>
      <c r="X823" s="67">
        <f>IF(T823=1,"",IF(C823="","Missing transaction date",IF(NOT(ISNUMBER(C823)),"Invalid date",IF(OR(C823&lt;DATE(2000,1,1),C823&gt;DATE(2099,12,31)),"Invalid date",IF(D823="","Select a type",IF(U823="","Unknown type: "&amp;D823,IF(V823="","Select an account (Category)",IF(ISNA(MATCH(V823,coa_Name,0)),"Unknown account: "&amp;V823,IF(K823="","Select Paid From / Deposited To",IF(ISNA(MATCH(K823,coa_Name,0)),"Unknown account: "&amp;K823,IF(NOT(ISNUMBER(L823)),"Enter an amount",IF(L823=0,"Enter an amount",IF(ABS(W823)&gt;ABS(L823),"Tax is larger than the amount","")))))))))))))</f>
        <v/>
      </c>
      <c r="Y823" s="67">
        <f>IF(OR(T823=1,X823&lt;&gt;""),"",IF(AND(B823&lt;&gt;"",COUNTIF(tx_ID,B823)&gt;1),"Duplicate transaction ID",IF(AND(L823&lt;0,D823&lt;&gt;"Adjustment"),"Negative amount — check this entry",IF(AND(D823="Customer Payment",G823=""),"Add the customer",IF(AND(D823="Customer Payment",OR(J823="",COUNTIF(ar_No,J823&amp;"")=0)),"Invoice # in Reference not found on AR sheet",IF(AND(D823="Bill Payment",H823=""),"Add the vendor",IF(AND(D823="Bill Payment",OR(J823="",COUNTIFS(ap_No,J823&amp;"",ap_Party,H823&amp;"")=0)),"Bill # + vendor not found on AP sheet",IF(AND(ISNUMBER(M823),N(M823)&lt;&gt;0,W823=0),"Tax ignored (tax tracking off, or not allowed for this type)",IF(V823=K823&amp;"","Same account on both sides",IF(AND(ISNUMBER(StartDate),C823&lt;StartDate),"Date is before the accounting start date",IF(AND(D823&lt;&gt;"Adjustment",IFERROR(INDEX(coa_Pay,MATCH(K823&amp;"",coa_Name,0)),"")&lt;&gt;"Yes"),"Paid From / Deposited To is not a payment account","")))))))))))</f>
        <v/>
      </c>
      <c r="Z823" s="67">
        <f>IF(AND(T823=0,X823=""),1,0)</f>
        <v/>
      </c>
      <c r="AA823" s="68">
        <f>IF(Z823=1,IF(U823="In",L823,L823-W823),0)</f>
        <v/>
      </c>
      <c r="AB823" s="68">
        <f>IF(Z823=1,IF(U823="In",L823-W823,L823),0)</f>
        <v/>
      </c>
      <c r="AC823" s="68">
        <f>IF(AND(Z823=1,U823="Out"),W823,0)</f>
        <v/>
      </c>
      <c r="AD823" s="68">
        <f>IF(AND(Z823=1,U823="In"),W823,0)</f>
        <v/>
      </c>
    </row>
    <row r="824">
      <c r="B824" s="62" t="inlineStr">
        <is>
          <t>TX-0818</t>
        </is>
      </c>
      <c r="C824" s="63" t="n"/>
      <c r="D824" s="62" t="n"/>
      <c r="E824" s="62" t="n"/>
      <c r="F824" s="62" t="n"/>
      <c r="G824" s="62" t="n"/>
      <c r="H824" s="62" t="n"/>
      <c r="I824" s="62" t="n"/>
      <c r="J824" s="62" t="n"/>
      <c r="K824" s="62" t="n"/>
      <c r="L824" s="64" t="n"/>
      <c r="M824" s="64" t="n"/>
      <c r="N824" s="62" t="n"/>
      <c r="O824" s="65">
        <f>IF(Z824=1,L824-W824,"")</f>
        <v/>
      </c>
      <c r="P824" s="66">
        <f>IF(V824="","",IFERROR(INDEX(coa_Type,MATCH(V824,coa_Name,0)),""))</f>
        <v/>
      </c>
      <c r="Q824" s="66">
        <f>IF(Z824=1,IF(U824="In",K824&amp;"",V824),"")</f>
        <v/>
      </c>
      <c r="R824" s="66">
        <f>IF(Z824=1,IF(U824="In",V824,K824&amp;""),"")</f>
        <v/>
      </c>
      <c r="S824" s="66">
        <f>IF(X824&lt;&gt;"","⛔ "&amp;X824&amp;" — not posted",IF(Y824&lt;&gt;"","⚠ "&amp;Y824,IF(Z824=1,"✓ OK","")))</f>
        <v/>
      </c>
      <c r="T824" s="67">
        <f>IF(AND(C824="",D824="",E824="",L824="",K824=""),1,0)</f>
        <v/>
      </c>
      <c r="U824" s="67">
        <f>IFERROR(INDEX(tt_Dir,MATCH(D824,tt_Type,0)),"")</f>
        <v/>
      </c>
      <c r="V824" s="67">
        <f>IF(D824="","",IFERROR(IF(INDEX(tt_Other,MATCH(D824,tt_Type,0))="",E824&amp;"",INDEX(tt_Other,MATCH(D824,tt_Type,0))),""))</f>
        <v/>
      </c>
      <c r="W824" s="68">
        <f>IF(OR(TaxOn&lt;&gt;"Yes",NOT(ISNUMBER(M824))),0,IF(IFERROR(INDEX(tt_Tax,MATCH(D824,tt_Type,0)),"No")="Yes",M824,0))</f>
        <v/>
      </c>
      <c r="X824" s="67">
        <f>IF(T824=1,"",IF(C824="","Missing transaction date",IF(NOT(ISNUMBER(C824)),"Invalid date",IF(OR(C824&lt;DATE(2000,1,1),C824&gt;DATE(2099,12,31)),"Invalid date",IF(D824="","Select a type",IF(U824="","Unknown type: "&amp;D824,IF(V824="","Select an account (Category)",IF(ISNA(MATCH(V824,coa_Name,0)),"Unknown account: "&amp;V824,IF(K824="","Select Paid From / Deposited To",IF(ISNA(MATCH(K824,coa_Name,0)),"Unknown account: "&amp;K824,IF(NOT(ISNUMBER(L824)),"Enter an amount",IF(L824=0,"Enter an amount",IF(ABS(W824)&gt;ABS(L824),"Tax is larger than the amount","")))))))))))))</f>
        <v/>
      </c>
      <c r="Y824" s="67">
        <f>IF(OR(T824=1,X824&lt;&gt;""),"",IF(AND(B824&lt;&gt;"",COUNTIF(tx_ID,B824)&gt;1),"Duplicate transaction ID",IF(AND(L824&lt;0,D824&lt;&gt;"Adjustment"),"Negative amount — check this entry",IF(AND(D824="Customer Payment",G824=""),"Add the customer",IF(AND(D824="Customer Payment",OR(J824="",COUNTIF(ar_No,J824&amp;"")=0)),"Invoice # in Reference not found on AR sheet",IF(AND(D824="Bill Payment",H824=""),"Add the vendor",IF(AND(D824="Bill Payment",OR(J824="",COUNTIFS(ap_No,J824&amp;"",ap_Party,H824&amp;"")=0)),"Bill # + vendor not found on AP sheet",IF(AND(ISNUMBER(M824),N(M824)&lt;&gt;0,W824=0),"Tax ignored (tax tracking off, or not allowed for this type)",IF(V824=K824&amp;"","Same account on both sides",IF(AND(ISNUMBER(StartDate),C824&lt;StartDate),"Date is before the accounting start date",IF(AND(D824&lt;&gt;"Adjustment",IFERROR(INDEX(coa_Pay,MATCH(K824&amp;"",coa_Name,0)),"")&lt;&gt;"Yes"),"Paid From / Deposited To is not a payment account","")))))))))))</f>
        <v/>
      </c>
      <c r="Z824" s="67">
        <f>IF(AND(T824=0,X824=""),1,0)</f>
        <v/>
      </c>
      <c r="AA824" s="68">
        <f>IF(Z824=1,IF(U824="In",L824,L824-W824),0)</f>
        <v/>
      </c>
      <c r="AB824" s="68">
        <f>IF(Z824=1,IF(U824="In",L824-W824,L824),0)</f>
        <v/>
      </c>
      <c r="AC824" s="68">
        <f>IF(AND(Z824=1,U824="Out"),W824,0)</f>
        <v/>
      </c>
      <c r="AD824" s="68">
        <f>IF(AND(Z824=1,U824="In"),W824,0)</f>
        <v/>
      </c>
    </row>
    <row r="825">
      <c r="B825" s="62" t="inlineStr">
        <is>
          <t>TX-0819</t>
        </is>
      </c>
      <c r="C825" s="63" t="n"/>
      <c r="D825" s="62" t="n"/>
      <c r="E825" s="62" t="n"/>
      <c r="F825" s="62" t="n"/>
      <c r="G825" s="62" t="n"/>
      <c r="H825" s="62" t="n"/>
      <c r="I825" s="62" t="n"/>
      <c r="J825" s="62" t="n"/>
      <c r="K825" s="62" t="n"/>
      <c r="L825" s="64" t="n"/>
      <c r="M825" s="64" t="n"/>
      <c r="N825" s="62" t="n"/>
      <c r="O825" s="65">
        <f>IF(Z825=1,L825-W825,"")</f>
        <v/>
      </c>
      <c r="P825" s="66">
        <f>IF(V825="","",IFERROR(INDEX(coa_Type,MATCH(V825,coa_Name,0)),""))</f>
        <v/>
      </c>
      <c r="Q825" s="66">
        <f>IF(Z825=1,IF(U825="In",K825&amp;"",V825),"")</f>
        <v/>
      </c>
      <c r="R825" s="66">
        <f>IF(Z825=1,IF(U825="In",V825,K825&amp;""),"")</f>
        <v/>
      </c>
      <c r="S825" s="66">
        <f>IF(X825&lt;&gt;"","⛔ "&amp;X825&amp;" — not posted",IF(Y825&lt;&gt;"","⚠ "&amp;Y825,IF(Z825=1,"✓ OK","")))</f>
        <v/>
      </c>
      <c r="T825" s="67">
        <f>IF(AND(C825="",D825="",E825="",L825="",K825=""),1,0)</f>
        <v/>
      </c>
      <c r="U825" s="67">
        <f>IFERROR(INDEX(tt_Dir,MATCH(D825,tt_Type,0)),"")</f>
        <v/>
      </c>
      <c r="V825" s="67">
        <f>IF(D825="","",IFERROR(IF(INDEX(tt_Other,MATCH(D825,tt_Type,0))="",E825&amp;"",INDEX(tt_Other,MATCH(D825,tt_Type,0))),""))</f>
        <v/>
      </c>
      <c r="W825" s="68">
        <f>IF(OR(TaxOn&lt;&gt;"Yes",NOT(ISNUMBER(M825))),0,IF(IFERROR(INDEX(tt_Tax,MATCH(D825,tt_Type,0)),"No")="Yes",M825,0))</f>
        <v/>
      </c>
      <c r="X825" s="67">
        <f>IF(T825=1,"",IF(C825="","Missing transaction date",IF(NOT(ISNUMBER(C825)),"Invalid date",IF(OR(C825&lt;DATE(2000,1,1),C825&gt;DATE(2099,12,31)),"Invalid date",IF(D825="","Select a type",IF(U825="","Unknown type: "&amp;D825,IF(V825="","Select an account (Category)",IF(ISNA(MATCH(V825,coa_Name,0)),"Unknown account: "&amp;V825,IF(K825="","Select Paid From / Deposited To",IF(ISNA(MATCH(K825,coa_Name,0)),"Unknown account: "&amp;K825,IF(NOT(ISNUMBER(L825)),"Enter an amount",IF(L825=0,"Enter an amount",IF(ABS(W825)&gt;ABS(L825),"Tax is larger than the amount","")))))))))))))</f>
        <v/>
      </c>
      <c r="Y825" s="67">
        <f>IF(OR(T825=1,X825&lt;&gt;""),"",IF(AND(B825&lt;&gt;"",COUNTIF(tx_ID,B825)&gt;1),"Duplicate transaction ID",IF(AND(L825&lt;0,D825&lt;&gt;"Adjustment"),"Negative amount — check this entry",IF(AND(D825="Customer Payment",G825=""),"Add the customer",IF(AND(D825="Customer Payment",OR(J825="",COUNTIF(ar_No,J825&amp;"")=0)),"Invoice # in Reference not found on AR sheet",IF(AND(D825="Bill Payment",H825=""),"Add the vendor",IF(AND(D825="Bill Payment",OR(J825="",COUNTIFS(ap_No,J825&amp;"",ap_Party,H825&amp;"")=0)),"Bill # + vendor not found on AP sheet",IF(AND(ISNUMBER(M825),N(M825)&lt;&gt;0,W825=0),"Tax ignored (tax tracking off, or not allowed for this type)",IF(V825=K825&amp;"","Same account on both sides",IF(AND(ISNUMBER(StartDate),C825&lt;StartDate),"Date is before the accounting start date",IF(AND(D825&lt;&gt;"Adjustment",IFERROR(INDEX(coa_Pay,MATCH(K825&amp;"",coa_Name,0)),"")&lt;&gt;"Yes"),"Paid From / Deposited To is not a payment account","")))))))))))</f>
        <v/>
      </c>
      <c r="Z825" s="67">
        <f>IF(AND(T825=0,X825=""),1,0)</f>
        <v/>
      </c>
      <c r="AA825" s="68">
        <f>IF(Z825=1,IF(U825="In",L825,L825-W825),0)</f>
        <v/>
      </c>
      <c r="AB825" s="68">
        <f>IF(Z825=1,IF(U825="In",L825-W825,L825),0)</f>
        <v/>
      </c>
      <c r="AC825" s="68">
        <f>IF(AND(Z825=1,U825="Out"),W825,0)</f>
        <v/>
      </c>
      <c r="AD825" s="68">
        <f>IF(AND(Z825=1,U825="In"),W825,0)</f>
        <v/>
      </c>
    </row>
    <row r="826">
      <c r="B826" s="62" t="inlineStr">
        <is>
          <t>TX-0820</t>
        </is>
      </c>
      <c r="C826" s="63" t="n"/>
      <c r="D826" s="62" t="n"/>
      <c r="E826" s="62" t="n"/>
      <c r="F826" s="62" t="n"/>
      <c r="G826" s="62" t="n"/>
      <c r="H826" s="62" t="n"/>
      <c r="I826" s="62" t="n"/>
      <c r="J826" s="62" t="n"/>
      <c r="K826" s="62" t="n"/>
      <c r="L826" s="64" t="n"/>
      <c r="M826" s="64" t="n"/>
      <c r="N826" s="62" t="n"/>
      <c r="O826" s="65">
        <f>IF(Z826=1,L826-W826,"")</f>
        <v/>
      </c>
      <c r="P826" s="66">
        <f>IF(V826="","",IFERROR(INDEX(coa_Type,MATCH(V826,coa_Name,0)),""))</f>
        <v/>
      </c>
      <c r="Q826" s="66">
        <f>IF(Z826=1,IF(U826="In",K826&amp;"",V826),"")</f>
        <v/>
      </c>
      <c r="R826" s="66">
        <f>IF(Z826=1,IF(U826="In",V826,K826&amp;""),"")</f>
        <v/>
      </c>
      <c r="S826" s="66">
        <f>IF(X826&lt;&gt;"","⛔ "&amp;X826&amp;" — not posted",IF(Y826&lt;&gt;"","⚠ "&amp;Y826,IF(Z826=1,"✓ OK","")))</f>
        <v/>
      </c>
      <c r="T826" s="67">
        <f>IF(AND(C826="",D826="",E826="",L826="",K826=""),1,0)</f>
        <v/>
      </c>
      <c r="U826" s="67">
        <f>IFERROR(INDEX(tt_Dir,MATCH(D826,tt_Type,0)),"")</f>
        <v/>
      </c>
      <c r="V826" s="67">
        <f>IF(D826="","",IFERROR(IF(INDEX(tt_Other,MATCH(D826,tt_Type,0))="",E826&amp;"",INDEX(tt_Other,MATCH(D826,tt_Type,0))),""))</f>
        <v/>
      </c>
      <c r="W826" s="68">
        <f>IF(OR(TaxOn&lt;&gt;"Yes",NOT(ISNUMBER(M826))),0,IF(IFERROR(INDEX(tt_Tax,MATCH(D826,tt_Type,0)),"No")="Yes",M826,0))</f>
        <v/>
      </c>
      <c r="X826" s="67">
        <f>IF(T826=1,"",IF(C826="","Missing transaction date",IF(NOT(ISNUMBER(C826)),"Invalid date",IF(OR(C826&lt;DATE(2000,1,1),C826&gt;DATE(2099,12,31)),"Invalid date",IF(D826="","Select a type",IF(U826="","Unknown type: "&amp;D826,IF(V826="","Select an account (Category)",IF(ISNA(MATCH(V826,coa_Name,0)),"Unknown account: "&amp;V826,IF(K826="","Select Paid From / Deposited To",IF(ISNA(MATCH(K826,coa_Name,0)),"Unknown account: "&amp;K826,IF(NOT(ISNUMBER(L826)),"Enter an amount",IF(L826=0,"Enter an amount",IF(ABS(W826)&gt;ABS(L826),"Tax is larger than the amount","")))))))))))))</f>
        <v/>
      </c>
      <c r="Y826" s="67">
        <f>IF(OR(T826=1,X826&lt;&gt;""),"",IF(AND(B826&lt;&gt;"",COUNTIF(tx_ID,B826)&gt;1),"Duplicate transaction ID",IF(AND(L826&lt;0,D826&lt;&gt;"Adjustment"),"Negative amount — check this entry",IF(AND(D826="Customer Payment",G826=""),"Add the customer",IF(AND(D826="Customer Payment",OR(J826="",COUNTIF(ar_No,J826&amp;"")=0)),"Invoice # in Reference not found on AR sheet",IF(AND(D826="Bill Payment",H826=""),"Add the vendor",IF(AND(D826="Bill Payment",OR(J826="",COUNTIFS(ap_No,J826&amp;"",ap_Party,H826&amp;"")=0)),"Bill # + vendor not found on AP sheet",IF(AND(ISNUMBER(M826),N(M826)&lt;&gt;0,W826=0),"Tax ignored (tax tracking off, or not allowed for this type)",IF(V826=K826&amp;"","Same account on both sides",IF(AND(ISNUMBER(StartDate),C826&lt;StartDate),"Date is before the accounting start date",IF(AND(D826&lt;&gt;"Adjustment",IFERROR(INDEX(coa_Pay,MATCH(K826&amp;"",coa_Name,0)),"")&lt;&gt;"Yes"),"Paid From / Deposited To is not a payment account","")))))))))))</f>
        <v/>
      </c>
      <c r="Z826" s="67">
        <f>IF(AND(T826=0,X826=""),1,0)</f>
        <v/>
      </c>
      <c r="AA826" s="68">
        <f>IF(Z826=1,IF(U826="In",L826,L826-W826),0)</f>
        <v/>
      </c>
      <c r="AB826" s="68">
        <f>IF(Z826=1,IF(U826="In",L826-W826,L826),0)</f>
        <v/>
      </c>
      <c r="AC826" s="68">
        <f>IF(AND(Z826=1,U826="Out"),W826,0)</f>
        <v/>
      </c>
      <c r="AD826" s="68">
        <f>IF(AND(Z826=1,U826="In"),W826,0)</f>
        <v/>
      </c>
    </row>
    <row r="827">
      <c r="B827" s="62" t="inlineStr">
        <is>
          <t>TX-0821</t>
        </is>
      </c>
      <c r="C827" s="63" t="n"/>
      <c r="D827" s="62" t="n"/>
      <c r="E827" s="62" t="n"/>
      <c r="F827" s="62" t="n"/>
      <c r="G827" s="62" t="n"/>
      <c r="H827" s="62" t="n"/>
      <c r="I827" s="62" t="n"/>
      <c r="J827" s="62" t="n"/>
      <c r="K827" s="62" t="n"/>
      <c r="L827" s="64" t="n"/>
      <c r="M827" s="64" t="n"/>
      <c r="N827" s="62" t="n"/>
      <c r="O827" s="65">
        <f>IF(Z827=1,L827-W827,"")</f>
        <v/>
      </c>
      <c r="P827" s="66">
        <f>IF(V827="","",IFERROR(INDEX(coa_Type,MATCH(V827,coa_Name,0)),""))</f>
        <v/>
      </c>
      <c r="Q827" s="66">
        <f>IF(Z827=1,IF(U827="In",K827&amp;"",V827),"")</f>
        <v/>
      </c>
      <c r="R827" s="66">
        <f>IF(Z827=1,IF(U827="In",V827,K827&amp;""),"")</f>
        <v/>
      </c>
      <c r="S827" s="66">
        <f>IF(X827&lt;&gt;"","⛔ "&amp;X827&amp;" — not posted",IF(Y827&lt;&gt;"","⚠ "&amp;Y827,IF(Z827=1,"✓ OK","")))</f>
        <v/>
      </c>
      <c r="T827" s="67">
        <f>IF(AND(C827="",D827="",E827="",L827="",K827=""),1,0)</f>
        <v/>
      </c>
      <c r="U827" s="67">
        <f>IFERROR(INDEX(tt_Dir,MATCH(D827,tt_Type,0)),"")</f>
        <v/>
      </c>
      <c r="V827" s="67">
        <f>IF(D827="","",IFERROR(IF(INDEX(tt_Other,MATCH(D827,tt_Type,0))="",E827&amp;"",INDEX(tt_Other,MATCH(D827,tt_Type,0))),""))</f>
        <v/>
      </c>
      <c r="W827" s="68">
        <f>IF(OR(TaxOn&lt;&gt;"Yes",NOT(ISNUMBER(M827))),0,IF(IFERROR(INDEX(tt_Tax,MATCH(D827,tt_Type,0)),"No")="Yes",M827,0))</f>
        <v/>
      </c>
      <c r="X827" s="67">
        <f>IF(T827=1,"",IF(C827="","Missing transaction date",IF(NOT(ISNUMBER(C827)),"Invalid date",IF(OR(C827&lt;DATE(2000,1,1),C827&gt;DATE(2099,12,31)),"Invalid date",IF(D827="","Select a type",IF(U827="","Unknown type: "&amp;D827,IF(V827="","Select an account (Category)",IF(ISNA(MATCH(V827,coa_Name,0)),"Unknown account: "&amp;V827,IF(K827="","Select Paid From / Deposited To",IF(ISNA(MATCH(K827,coa_Name,0)),"Unknown account: "&amp;K827,IF(NOT(ISNUMBER(L827)),"Enter an amount",IF(L827=0,"Enter an amount",IF(ABS(W827)&gt;ABS(L827),"Tax is larger than the amount","")))))))))))))</f>
        <v/>
      </c>
      <c r="Y827" s="67">
        <f>IF(OR(T827=1,X827&lt;&gt;""),"",IF(AND(B827&lt;&gt;"",COUNTIF(tx_ID,B827)&gt;1),"Duplicate transaction ID",IF(AND(L827&lt;0,D827&lt;&gt;"Adjustment"),"Negative amount — check this entry",IF(AND(D827="Customer Payment",G827=""),"Add the customer",IF(AND(D827="Customer Payment",OR(J827="",COUNTIF(ar_No,J827&amp;"")=0)),"Invoice # in Reference not found on AR sheet",IF(AND(D827="Bill Payment",H827=""),"Add the vendor",IF(AND(D827="Bill Payment",OR(J827="",COUNTIFS(ap_No,J827&amp;"",ap_Party,H827&amp;"")=0)),"Bill # + vendor not found on AP sheet",IF(AND(ISNUMBER(M827),N(M827)&lt;&gt;0,W827=0),"Tax ignored (tax tracking off, or not allowed for this type)",IF(V827=K827&amp;"","Same account on both sides",IF(AND(ISNUMBER(StartDate),C827&lt;StartDate),"Date is before the accounting start date",IF(AND(D827&lt;&gt;"Adjustment",IFERROR(INDEX(coa_Pay,MATCH(K827&amp;"",coa_Name,0)),"")&lt;&gt;"Yes"),"Paid From / Deposited To is not a payment account","")))))))))))</f>
        <v/>
      </c>
      <c r="Z827" s="67">
        <f>IF(AND(T827=0,X827=""),1,0)</f>
        <v/>
      </c>
      <c r="AA827" s="68">
        <f>IF(Z827=1,IF(U827="In",L827,L827-W827),0)</f>
        <v/>
      </c>
      <c r="AB827" s="68">
        <f>IF(Z827=1,IF(U827="In",L827-W827,L827),0)</f>
        <v/>
      </c>
      <c r="AC827" s="68">
        <f>IF(AND(Z827=1,U827="Out"),W827,0)</f>
        <v/>
      </c>
      <c r="AD827" s="68">
        <f>IF(AND(Z827=1,U827="In"),W827,0)</f>
        <v/>
      </c>
    </row>
    <row r="828">
      <c r="B828" s="62" t="inlineStr">
        <is>
          <t>TX-0822</t>
        </is>
      </c>
      <c r="C828" s="63" t="n"/>
      <c r="D828" s="62" t="n"/>
      <c r="E828" s="62" t="n"/>
      <c r="F828" s="62" t="n"/>
      <c r="G828" s="62" t="n"/>
      <c r="H828" s="62" t="n"/>
      <c r="I828" s="62" t="n"/>
      <c r="J828" s="62" t="n"/>
      <c r="K828" s="62" t="n"/>
      <c r="L828" s="64" t="n"/>
      <c r="M828" s="64" t="n"/>
      <c r="N828" s="62" t="n"/>
      <c r="O828" s="65">
        <f>IF(Z828=1,L828-W828,"")</f>
        <v/>
      </c>
      <c r="P828" s="66">
        <f>IF(V828="","",IFERROR(INDEX(coa_Type,MATCH(V828,coa_Name,0)),""))</f>
        <v/>
      </c>
      <c r="Q828" s="66">
        <f>IF(Z828=1,IF(U828="In",K828&amp;"",V828),"")</f>
        <v/>
      </c>
      <c r="R828" s="66">
        <f>IF(Z828=1,IF(U828="In",V828,K828&amp;""),"")</f>
        <v/>
      </c>
      <c r="S828" s="66">
        <f>IF(X828&lt;&gt;"","⛔ "&amp;X828&amp;" — not posted",IF(Y828&lt;&gt;"","⚠ "&amp;Y828,IF(Z828=1,"✓ OK","")))</f>
        <v/>
      </c>
      <c r="T828" s="67">
        <f>IF(AND(C828="",D828="",E828="",L828="",K828=""),1,0)</f>
        <v/>
      </c>
      <c r="U828" s="67">
        <f>IFERROR(INDEX(tt_Dir,MATCH(D828,tt_Type,0)),"")</f>
        <v/>
      </c>
      <c r="V828" s="67">
        <f>IF(D828="","",IFERROR(IF(INDEX(tt_Other,MATCH(D828,tt_Type,0))="",E828&amp;"",INDEX(tt_Other,MATCH(D828,tt_Type,0))),""))</f>
        <v/>
      </c>
      <c r="W828" s="68">
        <f>IF(OR(TaxOn&lt;&gt;"Yes",NOT(ISNUMBER(M828))),0,IF(IFERROR(INDEX(tt_Tax,MATCH(D828,tt_Type,0)),"No")="Yes",M828,0))</f>
        <v/>
      </c>
      <c r="X828" s="67">
        <f>IF(T828=1,"",IF(C828="","Missing transaction date",IF(NOT(ISNUMBER(C828)),"Invalid date",IF(OR(C828&lt;DATE(2000,1,1),C828&gt;DATE(2099,12,31)),"Invalid date",IF(D828="","Select a type",IF(U828="","Unknown type: "&amp;D828,IF(V828="","Select an account (Category)",IF(ISNA(MATCH(V828,coa_Name,0)),"Unknown account: "&amp;V828,IF(K828="","Select Paid From / Deposited To",IF(ISNA(MATCH(K828,coa_Name,0)),"Unknown account: "&amp;K828,IF(NOT(ISNUMBER(L828)),"Enter an amount",IF(L828=0,"Enter an amount",IF(ABS(W828)&gt;ABS(L828),"Tax is larger than the amount","")))))))))))))</f>
        <v/>
      </c>
      <c r="Y828" s="67">
        <f>IF(OR(T828=1,X828&lt;&gt;""),"",IF(AND(B828&lt;&gt;"",COUNTIF(tx_ID,B828)&gt;1),"Duplicate transaction ID",IF(AND(L828&lt;0,D828&lt;&gt;"Adjustment"),"Negative amount — check this entry",IF(AND(D828="Customer Payment",G828=""),"Add the customer",IF(AND(D828="Customer Payment",OR(J828="",COUNTIF(ar_No,J828&amp;"")=0)),"Invoice # in Reference not found on AR sheet",IF(AND(D828="Bill Payment",H828=""),"Add the vendor",IF(AND(D828="Bill Payment",OR(J828="",COUNTIFS(ap_No,J828&amp;"",ap_Party,H828&amp;"")=0)),"Bill # + vendor not found on AP sheet",IF(AND(ISNUMBER(M828),N(M828)&lt;&gt;0,W828=0),"Tax ignored (tax tracking off, or not allowed for this type)",IF(V828=K828&amp;"","Same account on both sides",IF(AND(ISNUMBER(StartDate),C828&lt;StartDate),"Date is before the accounting start date",IF(AND(D828&lt;&gt;"Adjustment",IFERROR(INDEX(coa_Pay,MATCH(K828&amp;"",coa_Name,0)),"")&lt;&gt;"Yes"),"Paid From / Deposited To is not a payment account","")))))))))))</f>
        <v/>
      </c>
      <c r="Z828" s="67">
        <f>IF(AND(T828=0,X828=""),1,0)</f>
        <v/>
      </c>
      <c r="AA828" s="68">
        <f>IF(Z828=1,IF(U828="In",L828,L828-W828),0)</f>
        <v/>
      </c>
      <c r="AB828" s="68">
        <f>IF(Z828=1,IF(U828="In",L828-W828,L828),0)</f>
        <v/>
      </c>
      <c r="AC828" s="68">
        <f>IF(AND(Z828=1,U828="Out"),W828,0)</f>
        <v/>
      </c>
      <c r="AD828" s="68">
        <f>IF(AND(Z828=1,U828="In"),W828,0)</f>
        <v/>
      </c>
    </row>
    <row r="829">
      <c r="B829" s="62" t="inlineStr">
        <is>
          <t>TX-0823</t>
        </is>
      </c>
      <c r="C829" s="63" t="n"/>
      <c r="D829" s="62" t="n"/>
      <c r="E829" s="62" t="n"/>
      <c r="F829" s="62" t="n"/>
      <c r="G829" s="62" t="n"/>
      <c r="H829" s="62" t="n"/>
      <c r="I829" s="62" t="n"/>
      <c r="J829" s="62" t="n"/>
      <c r="K829" s="62" t="n"/>
      <c r="L829" s="64" t="n"/>
      <c r="M829" s="64" t="n"/>
      <c r="N829" s="62" t="n"/>
      <c r="O829" s="65">
        <f>IF(Z829=1,L829-W829,"")</f>
        <v/>
      </c>
      <c r="P829" s="66">
        <f>IF(V829="","",IFERROR(INDEX(coa_Type,MATCH(V829,coa_Name,0)),""))</f>
        <v/>
      </c>
      <c r="Q829" s="66">
        <f>IF(Z829=1,IF(U829="In",K829&amp;"",V829),"")</f>
        <v/>
      </c>
      <c r="R829" s="66">
        <f>IF(Z829=1,IF(U829="In",V829,K829&amp;""),"")</f>
        <v/>
      </c>
      <c r="S829" s="66">
        <f>IF(X829&lt;&gt;"","⛔ "&amp;X829&amp;" — not posted",IF(Y829&lt;&gt;"","⚠ "&amp;Y829,IF(Z829=1,"✓ OK","")))</f>
        <v/>
      </c>
      <c r="T829" s="67">
        <f>IF(AND(C829="",D829="",E829="",L829="",K829=""),1,0)</f>
        <v/>
      </c>
      <c r="U829" s="67">
        <f>IFERROR(INDEX(tt_Dir,MATCH(D829,tt_Type,0)),"")</f>
        <v/>
      </c>
      <c r="V829" s="67">
        <f>IF(D829="","",IFERROR(IF(INDEX(tt_Other,MATCH(D829,tt_Type,0))="",E829&amp;"",INDEX(tt_Other,MATCH(D829,tt_Type,0))),""))</f>
        <v/>
      </c>
      <c r="W829" s="68">
        <f>IF(OR(TaxOn&lt;&gt;"Yes",NOT(ISNUMBER(M829))),0,IF(IFERROR(INDEX(tt_Tax,MATCH(D829,tt_Type,0)),"No")="Yes",M829,0))</f>
        <v/>
      </c>
      <c r="X829" s="67">
        <f>IF(T829=1,"",IF(C829="","Missing transaction date",IF(NOT(ISNUMBER(C829)),"Invalid date",IF(OR(C829&lt;DATE(2000,1,1),C829&gt;DATE(2099,12,31)),"Invalid date",IF(D829="","Select a type",IF(U829="","Unknown type: "&amp;D829,IF(V829="","Select an account (Category)",IF(ISNA(MATCH(V829,coa_Name,0)),"Unknown account: "&amp;V829,IF(K829="","Select Paid From / Deposited To",IF(ISNA(MATCH(K829,coa_Name,0)),"Unknown account: "&amp;K829,IF(NOT(ISNUMBER(L829)),"Enter an amount",IF(L829=0,"Enter an amount",IF(ABS(W829)&gt;ABS(L829),"Tax is larger than the amount","")))))))))))))</f>
        <v/>
      </c>
      <c r="Y829" s="67">
        <f>IF(OR(T829=1,X829&lt;&gt;""),"",IF(AND(B829&lt;&gt;"",COUNTIF(tx_ID,B829)&gt;1),"Duplicate transaction ID",IF(AND(L829&lt;0,D829&lt;&gt;"Adjustment"),"Negative amount — check this entry",IF(AND(D829="Customer Payment",G829=""),"Add the customer",IF(AND(D829="Customer Payment",OR(J829="",COUNTIF(ar_No,J829&amp;"")=0)),"Invoice # in Reference not found on AR sheet",IF(AND(D829="Bill Payment",H829=""),"Add the vendor",IF(AND(D829="Bill Payment",OR(J829="",COUNTIFS(ap_No,J829&amp;"",ap_Party,H829&amp;"")=0)),"Bill # + vendor not found on AP sheet",IF(AND(ISNUMBER(M829),N(M829)&lt;&gt;0,W829=0),"Tax ignored (tax tracking off, or not allowed for this type)",IF(V829=K829&amp;"","Same account on both sides",IF(AND(ISNUMBER(StartDate),C829&lt;StartDate),"Date is before the accounting start date",IF(AND(D829&lt;&gt;"Adjustment",IFERROR(INDEX(coa_Pay,MATCH(K829&amp;"",coa_Name,0)),"")&lt;&gt;"Yes"),"Paid From / Deposited To is not a payment account","")))))))))))</f>
        <v/>
      </c>
      <c r="Z829" s="67">
        <f>IF(AND(T829=0,X829=""),1,0)</f>
        <v/>
      </c>
      <c r="AA829" s="68">
        <f>IF(Z829=1,IF(U829="In",L829,L829-W829),0)</f>
        <v/>
      </c>
      <c r="AB829" s="68">
        <f>IF(Z829=1,IF(U829="In",L829-W829,L829),0)</f>
        <v/>
      </c>
      <c r="AC829" s="68">
        <f>IF(AND(Z829=1,U829="Out"),W829,0)</f>
        <v/>
      </c>
      <c r="AD829" s="68">
        <f>IF(AND(Z829=1,U829="In"),W829,0)</f>
        <v/>
      </c>
    </row>
    <row r="830">
      <c r="B830" s="62" t="inlineStr">
        <is>
          <t>TX-0824</t>
        </is>
      </c>
      <c r="C830" s="63" t="n"/>
      <c r="D830" s="62" t="n"/>
      <c r="E830" s="62" t="n"/>
      <c r="F830" s="62" t="n"/>
      <c r="G830" s="62" t="n"/>
      <c r="H830" s="62" t="n"/>
      <c r="I830" s="62" t="n"/>
      <c r="J830" s="62" t="n"/>
      <c r="K830" s="62" t="n"/>
      <c r="L830" s="64" t="n"/>
      <c r="M830" s="64" t="n"/>
      <c r="N830" s="62" t="n"/>
      <c r="O830" s="65">
        <f>IF(Z830=1,L830-W830,"")</f>
        <v/>
      </c>
      <c r="P830" s="66">
        <f>IF(V830="","",IFERROR(INDEX(coa_Type,MATCH(V830,coa_Name,0)),""))</f>
        <v/>
      </c>
      <c r="Q830" s="66">
        <f>IF(Z830=1,IF(U830="In",K830&amp;"",V830),"")</f>
        <v/>
      </c>
      <c r="R830" s="66">
        <f>IF(Z830=1,IF(U830="In",V830,K830&amp;""),"")</f>
        <v/>
      </c>
      <c r="S830" s="66">
        <f>IF(X830&lt;&gt;"","⛔ "&amp;X830&amp;" — not posted",IF(Y830&lt;&gt;"","⚠ "&amp;Y830,IF(Z830=1,"✓ OK","")))</f>
        <v/>
      </c>
      <c r="T830" s="67">
        <f>IF(AND(C830="",D830="",E830="",L830="",K830=""),1,0)</f>
        <v/>
      </c>
      <c r="U830" s="67">
        <f>IFERROR(INDEX(tt_Dir,MATCH(D830,tt_Type,0)),"")</f>
        <v/>
      </c>
      <c r="V830" s="67">
        <f>IF(D830="","",IFERROR(IF(INDEX(tt_Other,MATCH(D830,tt_Type,0))="",E830&amp;"",INDEX(tt_Other,MATCH(D830,tt_Type,0))),""))</f>
        <v/>
      </c>
      <c r="W830" s="68">
        <f>IF(OR(TaxOn&lt;&gt;"Yes",NOT(ISNUMBER(M830))),0,IF(IFERROR(INDEX(tt_Tax,MATCH(D830,tt_Type,0)),"No")="Yes",M830,0))</f>
        <v/>
      </c>
      <c r="X830" s="67">
        <f>IF(T830=1,"",IF(C830="","Missing transaction date",IF(NOT(ISNUMBER(C830)),"Invalid date",IF(OR(C830&lt;DATE(2000,1,1),C830&gt;DATE(2099,12,31)),"Invalid date",IF(D830="","Select a type",IF(U830="","Unknown type: "&amp;D830,IF(V830="","Select an account (Category)",IF(ISNA(MATCH(V830,coa_Name,0)),"Unknown account: "&amp;V830,IF(K830="","Select Paid From / Deposited To",IF(ISNA(MATCH(K830,coa_Name,0)),"Unknown account: "&amp;K830,IF(NOT(ISNUMBER(L830)),"Enter an amount",IF(L830=0,"Enter an amount",IF(ABS(W830)&gt;ABS(L830),"Tax is larger than the amount","")))))))))))))</f>
        <v/>
      </c>
      <c r="Y830" s="67">
        <f>IF(OR(T830=1,X830&lt;&gt;""),"",IF(AND(B830&lt;&gt;"",COUNTIF(tx_ID,B830)&gt;1),"Duplicate transaction ID",IF(AND(L830&lt;0,D830&lt;&gt;"Adjustment"),"Negative amount — check this entry",IF(AND(D830="Customer Payment",G830=""),"Add the customer",IF(AND(D830="Customer Payment",OR(J830="",COUNTIF(ar_No,J830&amp;"")=0)),"Invoice # in Reference not found on AR sheet",IF(AND(D830="Bill Payment",H830=""),"Add the vendor",IF(AND(D830="Bill Payment",OR(J830="",COUNTIFS(ap_No,J830&amp;"",ap_Party,H830&amp;"")=0)),"Bill # + vendor not found on AP sheet",IF(AND(ISNUMBER(M830),N(M830)&lt;&gt;0,W830=0),"Tax ignored (tax tracking off, or not allowed for this type)",IF(V830=K830&amp;"","Same account on both sides",IF(AND(ISNUMBER(StartDate),C830&lt;StartDate),"Date is before the accounting start date",IF(AND(D830&lt;&gt;"Adjustment",IFERROR(INDEX(coa_Pay,MATCH(K830&amp;"",coa_Name,0)),"")&lt;&gt;"Yes"),"Paid From / Deposited To is not a payment account","")))))))))))</f>
        <v/>
      </c>
      <c r="Z830" s="67">
        <f>IF(AND(T830=0,X830=""),1,0)</f>
        <v/>
      </c>
      <c r="AA830" s="68">
        <f>IF(Z830=1,IF(U830="In",L830,L830-W830),0)</f>
        <v/>
      </c>
      <c r="AB830" s="68">
        <f>IF(Z830=1,IF(U830="In",L830-W830,L830),0)</f>
        <v/>
      </c>
      <c r="AC830" s="68">
        <f>IF(AND(Z830=1,U830="Out"),W830,0)</f>
        <v/>
      </c>
      <c r="AD830" s="68">
        <f>IF(AND(Z830=1,U830="In"),W830,0)</f>
        <v/>
      </c>
    </row>
    <row r="831">
      <c r="B831" s="62" t="inlineStr">
        <is>
          <t>TX-0825</t>
        </is>
      </c>
      <c r="C831" s="63" t="n"/>
      <c r="D831" s="62" t="n"/>
      <c r="E831" s="62" t="n"/>
      <c r="F831" s="62" t="n"/>
      <c r="G831" s="62" t="n"/>
      <c r="H831" s="62" t="n"/>
      <c r="I831" s="62" t="n"/>
      <c r="J831" s="62" t="n"/>
      <c r="K831" s="62" t="n"/>
      <c r="L831" s="64" t="n"/>
      <c r="M831" s="64" t="n"/>
      <c r="N831" s="62" t="n"/>
      <c r="O831" s="65">
        <f>IF(Z831=1,L831-W831,"")</f>
        <v/>
      </c>
      <c r="P831" s="66">
        <f>IF(V831="","",IFERROR(INDEX(coa_Type,MATCH(V831,coa_Name,0)),""))</f>
        <v/>
      </c>
      <c r="Q831" s="66">
        <f>IF(Z831=1,IF(U831="In",K831&amp;"",V831),"")</f>
        <v/>
      </c>
      <c r="R831" s="66">
        <f>IF(Z831=1,IF(U831="In",V831,K831&amp;""),"")</f>
        <v/>
      </c>
      <c r="S831" s="66">
        <f>IF(X831&lt;&gt;"","⛔ "&amp;X831&amp;" — not posted",IF(Y831&lt;&gt;"","⚠ "&amp;Y831,IF(Z831=1,"✓ OK","")))</f>
        <v/>
      </c>
      <c r="T831" s="67">
        <f>IF(AND(C831="",D831="",E831="",L831="",K831=""),1,0)</f>
        <v/>
      </c>
      <c r="U831" s="67">
        <f>IFERROR(INDEX(tt_Dir,MATCH(D831,tt_Type,0)),"")</f>
        <v/>
      </c>
      <c r="V831" s="67">
        <f>IF(D831="","",IFERROR(IF(INDEX(tt_Other,MATCH(D831,tt_Type,0))="",E831&amp;"",INDEX(tt_Other,MATCH(D831,tt_Type,0))),""))</f>
        <v/>
      </c>
      <c r="W831" s="68">
        <f>IF(OR(TaxOn&lt;&gt;"Yes",NOT(ISNUMBER(M831))),0,IF(IFERROR(INDEX(tt_Tax,MATCH(D831,tt_Type,0)),"No")="Yes",M831,0))</f>
        <v/>
      </c>
      <c r="X831" s="67">
        <f>IF(T831=1,"",IF(C831="","Missing transaction date",IF(NOT(ISNUMBER(C831)),"Invalid date",IF(OR(C831&lt;DATE(2000,1,1),C831&gt;DATE(2099,12,31)),"Invalid date",IF(D831="","Select a type",IF(U831="","Unknown type: "&amp;D831,IF(V831="","Select an account (Category)",IF(ISNA(MATCH(V831,coa_Name,0)),"Unknown account: "&amp;V831,IF(K831="","Select Paid From / Deposited To",IF(ISNA(MATCH(K831,coa_Name,0)),"Unknown account: "&amp;K831,IF(NOT(ISNUMBER(L831)),"Enter an amount",IF(L831=0,"Enter an amount",IF(ABS(W831)&gt;ABS(L831),"Tax is larger than the amount","")))))))))))))</f>
        <v/>
      </c>
      <c r="Y831" s="67">
        <f>IF(OR(T831=1,X831&lt;&gt;""),"",IF(AND(B831&lt;&gt;"",COUNTIF(tx_ID,B831)&gt;1),"Duplicate transaction ID",IF(AND(L831&lt;0,D831&lt;&gt;"Adjustment"),"Negative amount — check this entry",IF(AND(D831="Customer Payment",G831=""),"Add the customer",IF(AND(D831="Customer Payment",OR(J831="",COUNTIF(ar_No,J831&amp;"")=0)),"Invoice # in Reference not found on AR sheet",IF(AND(D831="Bill Payment",H831=""),"Add the vendor",IF(AND(D831="Bill Payment",OR(J831="",COUNTIFS(ap_No,J831&amp;"",ap_Party,H831&amp;"")=0)),"Bill # + vendor not found on AP sheet",IF(AND(ISNUMBER(M831),N(M831)&lt;&gt;0,W831=0),"Tax ignored (tax tracking off, or not allowed for this type)",IF(V831=K831&amp;"","Same account on both sides",IF(AND(ISNUMBER(StartDate),C831&lt;StartDate),"Date is before the accounting start date",IF(AND(D831&lt;&gt;"Adjustment",IFERROR(INDEX(coa_Pay,MATCH(K831&amp;"",coa_Name,0)),"")&lt;&gt;"Yes"),"Paid From / Deposited To is not a payment account","")))))))))))</f>
        <v/>
      </c>
      <c r="Z831" s="67">
        <f>IF(AND(T831=0,X831=""),1,0)</f>
        <v/>
      </c>
      <c r="AA831" s="68">
        <f>IF(Z831=1,IF(U831="In",L831,L831-W831),0)</f>
        <v/>
      </c>
      <c r="AB831" s="68">
        <f>IF(Z831=1,IF(U831="In",L831-W831,L831),0)</f>
        <v/>
      </c>
      <c r="AC831" s="68">
        <f>IF(AND(Z831=1,U831="Out"),W831,0)</f>
        <v/>
      </c>
      <c r="AD831" s="68">
        <f>IF(AND(Z831=1,U831="In"),W831,0)</f>
        <v/>
      </c>
    </row>
    <row r="832">
      <c r="B832" s="62" t="inlineStr">
        <is>
          <t>TX-0826</t>
        </is>
      </c>
      <c r="C832" s="63" t="n"/>
      <c r="D832" s="62" t="n"/>
      <c r="E832" s="62" t="n"/>
      <c r="F832" s="62" t="n"/>
      <c r="G832" s="62" t="n"/>
      <c r="H832" s="62" t="n"/>
      <c r="I832" s="62" t="n"/>
      <c r="J832" s="62" t="n"/>
      <c r="K832" s="62" t="n"/>
      <c r="L832" s="64" t="n"/>
      <c r="M832" s="64" t="n"/>
      <c r="N832" s="62" t="n"/>
      <c r="O832" s="65">
        <f>IF(Z832=1,L832-W832,"")</f>
        <v/>
      </c>
      <c r="P832" s="66">
        <f>IF(V832="","",IFERROR(INDEX(coa_Type,MATCH(V832,coa_Name,0)),""))</f>
        <v/>
      </c>
      <c r="Q832" s="66">
        <f>IF(Z832=1,IF(U832="In",K832&amp;"",V832),"")</f>
        <v/>
      </c>
      <c r="R832" s="66">
        <f>IF(Z832=1,IF(U832="In",V832,K832&amp;""),"")</f>
        <v/>
      </c>
      <c r="S832" s="66">
        <f>IF(X832&lt;&gt;"","⛔ "&amp;X832&amp;" — not posted",IF(Y832&lt;&gt;"","⚠ "&amp;Y832,IF(Z832=1,"✓ OK","")))</f>
        <v/>
      </c>
      <c r="T832" s="67">
        <f>IF(AND(C832="",D832="",E832="",L832="",K832=""),1,0)</f>
        <v/>
      </c>
      <c r="U832" s="67">
        <f>IFERROR(INDEX(tt_Dir,MATCH(D832,tt_Type,0)),"")</f>
        <v/>
      </c>
      <c r="V832" s="67">
        <f>IF(D832="","",IFERROR(IF(INDEX(tt_Other,MATCH(D832,tt_Type,0))="",E832&amp;"",INDEX(tt_Other,MATCH(D832,tt_Type,0))),""))</f>
        <v/>
      </c>
      <c r="W832" s="68">
        <f>IF(OR(TaxOn&lt;&gt;"Yes",NOT(ISNUMBER(M832))),0,IF(IFERROR(INDEX(tt_Tax,MATCH(D832,tt_Type,0)),"No")="Yes",M832,0))</f>
        <v/>
      </c>
      <c r="X832" s="67">
        <f>IF(T832=1,"",IF(C832="","Missing transaction date",IF(NOT(ISNUMBER(C832)),"Invalid date",IF(OR(C832&lt;DATE(2000,1,1),C832&gt;DATE(2099,12,31)),"Invalid date",IF(D832="","Select a type",IF(U832="","Unknown type: "&amp;D832,IF(V832="","Select an account (Category)",IF(ISNA(MATCH(V832,coa_Name,0)),"Unknown account: "&amp;V832,IF(K832="","Select Paid From / Deposited To",IF(ISNA(MATCH(K832,coa_Name,0)),"Unknown account: "&amp;K832,IF(NOT(ISNUMBER(L832)),"Enter an amount",IF(L832=0,"Enter an amount",IF(ABS(W832)&gt;ABS(L832),"Tax is larger than the amount","")))))))))))))</f>
        <v/>
      </c>
      <c r="Y832" s="67">
        <f>IF(OR(T832=1,X832&lt;&gt;""),"",IF(AND(B832&lt;&gt;"",COUNTIF(tx_ID,B832)&gt;1),"Duplicate transaction ID",IF(AND(L832&lt;0,D832&lt;&gt;"Adjustment"),"Negative amount — check this entry",IF(AND(D832="Customer Payment",G832=""),"Add the customer",IF(AND(D832="Customer Payment",OR(J832="",COUNTIF(ar_No,J832&amp;"")=0)),"Invoice # in Reference not found on AR sheet",IF(AND(D832="Bill Payment",H832=""),"Add the vendor",IF(AND(D832="Bill Payment",OR(J832="",COUNTIFS(ap_No,J832&amp;"",ap_Party,H832&amp;"")=0)),"Bill # + vendor not found on AP sheet",IF(AND(ISNUMBER(M832),N(M832)&lt;&gt;0,W832=0),"Tax ignored (tax tracking off, or not allowed for this type)",IF(V832=K832&amp;"","Same account on both sides",IF(AND(ISNUMBER(StartDate),C832&lt;StartDate),"Date is before the accounting start date",IF(AND(D832&lt;&gt;"Adjustment",IFERROR(INDEX(coa_Pay,MATCH(K832&amp;"",coa_Name,0)),"")&lt;&gt;"Yes"),"Paid From / Deposited To is not a payment account","")))))))))))</f>
        <v/>
      </c>
      <c r="Z832" s="67">
        <f>IF(AND(T832=0,X832=""),1,0)</f>
        <v/>
      </c>
      <c r="AA832" s="68">
        <f>IF(Z832=1,IF(U832="In",L832,L832-W832),0)</f>
        <v/>
      </c>
      <c r="AB832" s="68">
        <f>IF(Z832=1,IF(U832="In",L832-W832,L832),0)</f>
        <v/>
      </c>
      <c r="AC832" s="68">
        <f>IF(AND(Z832=1,U832="Out"),W832,0)</f>
        <v/>
      </c>
      <c r="AD832" s="68">
        <f>IF(AND(Z832=1,U832="In"),W832,0)</f>
        <v/>
      </c>
    </row>
    <row r="833">
      <c r="B833" s="62" t="inlineStr">
        <is>
          <t>TX-0827</t>
        </is>
      </c>
      <c r="C833" s="63" t="n"/>
      <c r="D833" s="62" t="n"/>
      <c r="E833" s="62" t="n"/>
      <c r="F833" s="62" t="n"/>
      <c r="G833" s="62" t="n"/>
      <c r="H833" s="62" t="n"/>
      <c r="I833" s="62" t="n"/>
      <c r="J833" s="62" t="n"/>
      <c r="K833" s="62" t="n"/>
      <c r="L833" s="64" t="n"/>
      <c r="M833" s="64" t="n"/>
      <c r="N833" s="62" t="n"/>
      <c r="O833" s="65">
        <f>IF(Z833=1,L833-W833,"")</f>
        <v/>
      </c>
      <c r="P833" s="66">
        <f>IF(V833="","",IFERROR(INDEX(coa_Type,MATCH(V833,coa_Name,0)),""))</f>
        <v/>
      </c>
      <c r="Q833" s="66">
        <f>IF(Z833=1,IF(U833="In",K833&amp;"",V833),"")</f>
        <v/>
      </c>
      <c r="R833" s="66">
        <f>IF(Z833=1,IF(U833="In",V833,K833&amp;""),"")</f>
        <v/>
      </c>
      <c r="S833" s="66">
        <f>IF(X833&lt;&gt;"","⛔ "&amp;X833&amp;" — not posted",IF(Y833&lt;&gt;"","⚠ "&amp;Y833,IF(Z833=1,"✓ OK","")))</f>
        <v/>
      </c>
      <c r="T833" s="67">
        <f>IF(AND(C833="",D833="",E833="",L833="",K833=""),1,0)</f>
        <v/>
      </c>
      <c r="U833" s="67">
        <f>IFERROR(INDEX(tt_Dir,MATCH(D833,tt_Type,0)),"")</f>
        <v/>
      </c>
      <c r="V833" s="67">
        <f>IF(D833="","",IFERROR(IF(INDEX(tt_Other,MATCH(D833,tt_Type,0))="",E833&amp;"",INDEX(tt_Other,MATCH(D833,tt_Type,0))),""))</f>
        <v/>
      </c>
      <c r="W833" s="68">
        <f>IF(OR(TaxOn&lt;&gt;"Yes",NOT(ISNUMBER(M833))),0,IF(IFERROR(INDEX(tt_Tax,MATCH(D833,tt_Type,0)),"No")="Yes",M833,0))</f>
        <v/>
      </c>
      <c r="X833" s="67">
        <f>IF(T833=1,"",IF(C833="","Missing transaction date",IF(NOT(ISNUMBER(C833)),"Invalid date",IF(OR(C833&lt;DATE(2000,1,1),C833&gt;DATE(2099,12,31)),"Invalid date",IF(D833="","Select a type",IF(U833="","Unknown type: "&amp;D833,IF(V833="","Select an account (Category)",IF(ISNA(MATCH(V833,coa_Name,0)),"Unknown account: "&amp;V833,IF(K833="","Select Paid From / Deposited To",IF(ISNA(MATCH(K833,coa_Name,0)),"Unknown account: "&amp;K833,IF(NOT(ISNUMBER(L833)),"Enter an amount",IF(L833=0,"Enter an amount",IF(ABS(W833)&gt;ABS(L833),"Tax is larger than the amount","")))))))))))))</f>
        <v/>
      </c>
      <c r="Y833" s="67">
        <f>IF(OR(T833=1,X833&lt;&gt;""),"",IF(AND(B833&lt;&gt;"",COUNTIF(tx_ID,B833)&gt;1),"Duplicate transaction ID",IF(AND(L833&lt;0,D833&lt;&gt;"Adjustment"),"Negative amount — check this entry",IF(AND(D833="Customer Payment",G833=""),"Add the customer",IF(AND(D833="Customer Payment",OR(J833="",COUNTIF(ar_No,J833&amp;"")=0)),"Invoice # in Reference not found on AR sheet",IF(AND(D833="Bill Payment",H833=""),"Add the vendor",IF(AND(D833="Bill Payment",OR(J833="",COUNTIFS(ap_No,J833&amp;"",ap_Party,H833&amp;"")=0)),"Bill # + vendor not found on AP sheet",IF(AND(ISNUMBER(M833),N(M833)&lt;&gt;0,W833=0),"Tax ignored (tax tracking off, or not allowed for this type)",IF(V833=K833&amp;"","Same account on both sides",IF(AND(ISNUMBER(StartDate),C833&lt;StartDate),"Date is before the accounting start date",IF(AND(D833&lt;&gt;"Adjustment",IFERROR(INDEX(coa_Pay,MATCH(K833&amp;"",coa_Name,0)),"")&lt;&gt;"Yes"),"Paid From / Deposited To is not a payment account","")))))))))))</f>
        <v/>
      </c>
      <c r="Z833" s="67">
        <f>IF(AND(T833=0,X833=""),1,0)</f>
        <v/>
      </c>
      <c r="AA833" s="68">
        <f>IF(Z833=1,IF(U833="In",L833,L833-W833),0)</f>
        <v/>
      </c>
      <c r="AB833" s="68">
        <f>IF(Z833=1,IF(U833="In",L833-W833,L833),0)</f>
        <v/>
      </c>
      <c r="AC833" s="68">
        <f>IF(AND(Z833=1,U833="Out"),W833,0)</f>
        <v/>
      </c>
      <c r="AD833" s="68">
        <f>IF(AND(Z833=1,U833="In"),W833,0)</f>
        <v/>
      </c>
    </row>
    <row r="834">
      <c r="B834" s="62" t="inlineStr">
        <is>
          <t>TX-0828</t>
        </is>
      </c>
      <c r="C834" s="63" t="n"/>
      <c r="D834" s="62" t="n"/>
      <c r="E834" s="62" t="n"/>
      <c r="F834" s="62" t="n"/>
      <c r="G834" s="62" t="n"/>
      <c r="H834" s="62" t="n"/>
      <c r="I834" s="62" t="n"/>
      <c r="J834" s="62" t="n"/>
      <c r="K834" s="62" t="n"/>
      <c r="L834" s="64" t="n"/>
      <c r="M834" s="64" t="n"/>
      <c r="N834" s="62" t="n"/>
      <c r="O834" s="65">
        <f>IF(Z834=1,L834-W834,"")</f>
        <v/>
      </c>
      <c r="P834" s="66">
        <f>IF(V834="","",IFERROR(INDEX(coa_Type,MATCH(V834,coa_Name,0)),""))</f>
        <v/>
      </c>
      <c r="Q834" s="66">
        <f>IF(Z834=1,IF(U834="In",K834&amp;"",V834),"")</f>
        <v/>
      </c>
      <c r="R834" s="66">
        <f>IF(Z834=1,IF(U834="In",V834,K834&amp;""),"")</f>
        <v/>
      </c>
      <c r="S834" s="66">
        <f>IF(X834&lt;&gt;"","⛔ "&amp;X834&amp;" — not posted",IF(Y834&lt;&gt;"","⚠ "&amp;Y834,IF(Z834=1,"✓ OK","")))</f>
        <v/>
      </c>
      <c r="T834" s="67">
        <f>IF(AND(C834="",D834="",E834="",L834="",K834=""),1,0)</f>
        <v/>
      </c>
      <c r="U834" s="67">
        <f>IFERROR(INDEX(tt_Dir,MATCH(D834,tt_Type,0)),"")</f>
        <v/>
      </c>
      <c r="V834" s="67">
        <f>IF(D834="","",IFERROR(IF(INDEX(tt_Other,MATCH(D834,tt_Type,0))="",E834&amp;"",INDEX(tt_Other,MATCH(D834,tt_Type,0))),""))</f>
        <v/>
      </c>
      <c r="W834" s="68">
        <f>IF(OR(TaxOn&lt;&gt;"Yes",NOT(ISNUMBER(M834))),0,IF(IFERROR(INDEX(tt_Tax,MATCH(D834,tt_Type,0)),"No")="Yes",M834,0))</f>
        <v/>
      </c>
      <c r="X834" s="67">
        <f>IF(T834=1,"",IF(C834="","Missing transaction date",IF(NOT(ISNUMBER(C834)),"Invalid date",IF(OR(C834&lt;DATE(2000,1,1),C834&gt;DATE(2099,12,31)),"Invalid date",IF(D834="","Select a type",IF(U834="","Unknown type: "&amp;D834,IF(V834="","Select an account (Category)",IF(ISNA(MATCH(V834,coa_Name,0)),"Unknown account: "&amp;V834,IF(K834="","Select Paid From / Deposited To",IF(ISNA(MATCH(K834,coa_Name,0)),"Unknown account: "&amp;K834,IF(NOT(ISNUMBER(L834)),"Enter an amount",IF(L834=0,"Enter an amount",IF(ABS(W834)&gt;ABS(L834),"Tax is larger than the amount","")))))))))))))</f>
        <v/>
      </c>
      <c r="Y834" s="67">
        <f>IF(OR(T834=1,X834&lt;&gt;""),"",IF(AND(B834&lt;&gt;"",COUNTIF(tx_ID,B834)&gt;1),"Duplicate transaction ID",IF(AND(L834&lt;0,D834&lt;&gt;"Adjustment"),"Negative amount — check this entry",IF(AND(D834="Customer Payment",G834=""),"Add the customer",IF(AND(D834="Customer Payment",OR(J834="",COUNTIF(ar_No,J834&amp;"")=0)),"Invoice # in Reference not found on AR sheet",IF(AND(D834="Bill Payment",H834=""),"Add the vendor",IF(AND(D834="Bill Payment",OR(J834="",COUNTIFS(ap_No,J834&amp;"",ap_Party,H834&amp;"")=0)),"Bill # + vendor not found on AP sheet",IF(AND(ISNUMBER(M834),N(M834)&lt;&gt;0,W834=0),"Tax ignored (tax tracking off, or not allowed for this type)",IF(V834=K834&amp;"","Same account on both sides",IF(AND(ISNUMBER(StartDate),C834&lt;StartDate),"Date is before the accounting start date",IF(AND(D834&lt;&gt;"Adjustment",IFERROR(INDEX(coa_Pay,MATCH(K834&amp;"",coa_Name,0)),"")&lt;&gt;"Yes"),"Paid From / Deposited To is not a payment account","")))))))))))</f>
        <v/>
      </c>
      <c r="Z834" s="67">
        <f>IF(AND(T834=0,X834=""),1,0)</f>
        <v/>
      </c>
      <c r="AA834" s="68">
        <f>IF(Z834=1,IF(U834="In",L834,L834-W834),0)</f>
        <v/>
      </c>
      <c r="AB834" s="68">
        <f>IF(Z834=1,IF(U834="In",L834-W834,L834),0)</f>
        <v/>
      </c>
      <c r="AC834" s="68">
        <f>IF(AND(Z834=1,U834="Out"),W834,0)</f>
        <v/>
      </c>
      <c r="AD834" s="68">
        <f>IF(AND(Z834=1,U834="In"),W834,0)</f>
        <v/>
      </c>
    </row>
    <row r="835">
      <c r="B835" s="62" t="inlineStr">
        <is>
          <t>TX-0829</t>
        </is>
      </c>
      <c r="C835" s="63" t="n"/>
      <c r="D835" s="62" t="n"/>
      <c r="E835" s="62" t="n"/>
      <c r="F835" s="62" t="n"/>
      <c r="G835" s="62" t="n"/>
      <c r="H835" s="62" t="n"/>
      <c r="I835" s="62" t="n"/>
      <c r="J835" s="62" t="n"/>
      <c r="K835" s="62" t="n"/>
      <c r="L835" s="64" t="n"/>
      <c r="M835" s="64" t="n"/>
      <c r="N835" s="62" t="n"/>
      <c r="O835" s="65">
        <f>IF(Z835=1,L835-W835,"")</f>
        <v/>
      </c>
      <c r="P835" s="66">
        <f>IF(V835="","",IFERROR(INDEX(coa_Type,MATCH(V835,coa_Name,0)),""))</f>
        <v/>
      </c>
      <c r="Q835" s="66">
        <f>IF(Z835=1,IF(U835="In",K835&amp;"",V835),"")</f>
        <v/>
      </c>
      <c r="R835" s="66">
        <f>IF(Z835=1,IF(U835="In",V835,K835&amp;""),"")</f>
        <v/>
      </c>
      <c r="S835" s="66">
        <f>IF(X835&lt;&gt;"","⛔ "&amp;X835&amp;" — not posted",IF(Y835&lt;&gt;"","⚠ "&amp;Y835,IF(Z835=1,"✓ OK","")))</f>
        <v/>
      </c>
      <c r="T835" s="67">
        <f>IF(AND(C835="",D835="",E835="",L835="",K835=""),1,0)</f>
        <v/>
      </c>
      <c r="U835" s="67">
        <f>IFERROR(INDEX(tt_Dir,MATCH(D835,tt_Type,0)),"")</f>
        <v/>
      </c>
      <c r="V835" s="67">
        <f>IF(D835="","",IFERROR(IF(INDEX(tt_Other,MATCH(D835,tt_Type,0))="",E835&amp;"",INDEX(tt_Other,MATCH(D835,tt_Type,0))),""))</f>
        <v/>
      </c>
      <c r="W835" s="68">
        <f>IF(OR(TaxOn&lt;&gt;"Yes",NOT(ISNUMBER(M835))),0,IF(IFERROR(INDEX(tt_Tax,MATCH(D835,tt_Type,0)),"No")="Yes",M835,0))</f>
        <v/>
      </c>
      <c r="X835" s="67">
        <f>IF(T835=1,"",IF(C835="","Missing transaction date",IF(NOT(ISNUMBER(C835)),"Invalid date",IF(OR(C835&lt;DATE(2000,1,1),C835&gt;DATE(2099,12,31)),"Invalid date",IF(D835="","Select a type",IF(U835="","Unknown type: "&amp;D835,IF(V835="","Select an account (Category)",IF(ISNA(MATCH(V835,coa_Name,0)),"Unknown account: "&amp;V835,IF(K835="","Select Paid From / Deposited To",IF(ISNA(MATCH(K835,coa_Name,0)),"Unknown account: "&amp;K835,IF(NOT(ISNUMBER(L835)),"Enter an amount",IF(L835=0,"Enter an amount",IF(ABS(W835)&gt;ABS(L835),"Tax is larger than the amount","")))))))))))))</f>
        <v/>
      </c>
      <c r="Y835" s="67">
        <f>IF(OR(T835=1,X835&lt;&gt;""),"",IF(AND(B835&lt;&gt;"",COUNTIF(tx_ID,B835)&gt;1),"Duplicate transaction ID",IF(AND(L835&lt;0,D835&lt;&gt;"Adjustment"),"Negative amount — check this entry",IF(AND(D835="Customer Payment",G835=""),"Add the customer",IF(AND(D835="Customer Payment",OR(J835="",COUNTIF(ar_No,J835&amp;"")=0)),"Invoice # in Reference not found on AR sheet",IF(AND(D835="Bill Payment",H835=""),"Add the vendor",IF(AND(D835="Bill Payment",OR(J835="",COUNTIFS(ap_No,J835&amp;"",ap_Party,H835&amp;"")=0)),"Bill # + vendor not found on AP sheet",IF(AND(ISNUMBER(M835),N(M835)&lt;&gt;0,W835=0),"Tax ignored (tax tracking off, or not allowed for this type)",IF(V835=K835&amp;"","Same account on both sides",IF(AND(ISNUMBER(StartDate),C835&lt;StartDate),"Date is before the accounting start date",IF(AND(D835&lt;&gt;"Adjustment",IFERROR(INDEX(coa_Pay,MATCH(K835&amp;"",coa_Name,0)),"")&lt;&gt;"Yes"),"Paid From / Deposited To is not a payment account","")))))))))))</f>
        <v/>
      </c>
      <c r="Z835" s="67">
        <f>IF(AND(T835=0,X835=""),1,0)</f>
        <v/>
      </c>
      <c r="AA835" s="68">
        <f>IF(Z835=1,IF(U835="In",L835,L835-W835),0)</f>
        <v/>
      </c>
      <c r="AB835" s="68">
        <f>IF(Z835=1,IF(U835="In",L835-W835,L835),0)</f>
        <v/>
      </c>
      <c r="AC835" s="68">
        <f>IF(AND(Z835=1,U835="Out"),W835,0)</f>
        <v/>
      </c>
      <c r="AD835" s="68">
        <f>IF(AND(Z835=1,U835="In"),W835,0)</f>
        <v/>
      </c>
    </row>
    <row r="836">
      <c r="B836" s="62" t="inlineStr">
        <is>
          <t>TX-0830</t>
        </is>
      </c>
      <c r="C836" s="63" t="n"/>
      <c r="D836" s="62" t="n"/>
      <c r="E836" s="62" t="n"/>
      <c r="F836" s="62" t="n"/>
      <c r="G836" s="62" t="n"/>
      <c r="H836" s="62" t="n"/>
      <c r="I836" s="62" t="n"/>
      <c r="J836" s="62" t="n"/>
      <c r="K836" s="62" t="n"/>
      <c r="L836" s="64" t="n"/>
      <c r="M836" s="64" t="n"/>
      <c r="N836" s="62" t="n"/>
      <c r="O836" s="65">
        <f>IF(Z836=1,L836-W836,"")</f>
        <v/>
      </c>
      <c r="P836" s="66">
        <f>IF(V836="","",IFERROR(INDEX(coa_Type,MATCH(V836,coa_Name,0)),""))</f>
        <v/>
      </c>
      <c r="Q836" s="66">
        <f>IF(Z836=1,IF(U836="In",K836&amp;"",V836),"")</f>
        <v/>
      </c>
      <c r="R836" s="66">
        <f>IF(Z836=1,IF(U836="In",V836,K836&amp;""),"")</f>
        <v/>
      </c>
      <c r="S836" s="66">
        <f>IF(X836&lt;&gt;"","⛔ "&amp;X836&amp;" — not posted",IF(Y836&lt;&gt;"","⚠ "&amp;Y836,IF(Z836=1,"✓ OK","")))</f>
        <v/>
      </c>
      <c r="T836" s="67">
        <f>IF(AND(C836="",D836="",E836="",L836="",K836=""),1,0)</f>
        <v/>
      </c>
      <c r="U836" s="67">
        <f>IFERROR(INDEX(tt_Dir,MATCH(D836,tt_Type,0)),"")</f>
        <v/>
      </c>
      <c r="V836" s="67">
        <f>IF(D836="","",IFERROR(IF(INDEX(tt_Other,MATCH(D836,tt_Type,0))="",E836&amp;"",INDEX(tt_Other,MATCH(D836,tt_Type,0))),""))</f>
        <v/>
      </c>
      <c r="W836" s="68">
        <f>IF(OR(TaxOn&lt;&gt;"Yes",NOT(ISNUMBER(M836))),0,IF(IFERROR(INDEX(tt_Tax,MATCH(D836,tt_Type,0)),"No")="Yes",M836,0))</f>
        <v/>
      </c>
      <c r="X836" s="67">
        <f>IF(T836=1,"",IF(C836="","Missing transaction date",IF(NOT(ISNUMBER(C836)),"Invalid date",IF(OR(C836&lt;DATE(2000,1,1),C836&gt;DATE(2099,12,31)),"Invalid date",IF(D836="","Select a type",IF(U836="","Unknown type: "&amp;D836,IF(V836="","Select an account (Category)",IF(ISNA(MATCH(V836,coa_Name,0)),"Unknown account: "&amp;V836,IF(K836="","Select Paid From / Deposited To",IF(ISNA(MATCH(K836,coa_Name,0)),"Unknown account: "&amp;K836,IF(NOT(ISNUMBER(L836)),"Enter an amount",IF(L836=0,"Enter an amount",IF(ABS(W836)&gt;ABS(L836),"Tax is larger than the amount","")))))))))))))</f>
        <v/>
      </c>
      <c r="Y836" s="67">
        <f>IF(OR(T836=1,X836&lt;&gt;""),"",IF(AND(B836&lt;&gt;"",COUNTIF(tx_ID,B836)&gt;1),"Duplicate transaction ID",IF(AND(L836&lt;0,D836&lt;&gt;"Adjustment"),"Negative amount — check this entry",IF(AND(D836="Customer Payment",G836=""),"Add the customer",IF(AND(D836="Customer Payment",OR(J836="",COUNTIF(ar_No,J836&amp;"")=0)),"Invoice # in Reference not found on AR sheet",IF(AND(D836="Bill Payment",H836=""),"Add the vendor",IF(AND(D836="Bill Payment",OR(J836="",COUNTIFS(ap_No,J836&amp;"",ap_Party,H836&amp;"")=0)),"Bill # + vendor not found on AP sheet",IF(AND(ISNUMBER(M836),N(M836)&lt;&gt;0,W836=0),"Tax ignored (tax tracking off, or not allowed for this type)",IF(V836=K836&amp;"","Same account on both sides",IF(AND(ISNUMBER(StartDate),C836&lt;StartDate),"Date is before the accounting start date",IF(AND(D836&lt;&gt;"Adjustment",IFERROR(INDEX(coa_Pay,MATCH(K836&amp;"",coa_Name,0)),"")&lt;&gt;"Yes"),"Paid From / Deposited To is not a payment account","")))))))))))</f>
        <v/>
      </c>
      <c r="Z836" s="67">
        <f>IF(AND(T836=0,X836=""),1,0)</f>
        <v/>
      </c>
      <c r="AA836" s="68">
        <f>IF(Z836=1,IF(U836="In",L836,L836-W836),0)</f>
        <v/>
      </c>
      <c r="AB836" s="68">
        <f>IF(Z836=1,IF(U836="In",L836-W836,L836),0)</f>
        <v/>
      </c>
      <c r="AC836" s="68">
        <f>IF(AND(Z836=1,U836="Out"),W836,0)</f>
        <v/>
      </c>
      <c r="AD836" s="68">
        <f>IF(AND(Z836=1,U836="In"),W836,0)</f>
        <v/>
      </c>
    </row>
    <row r="837">
      <c r="B837" s="62" t="inlineStr">
        <is>
          <t>TX-0831</t>
        </is>
      </c>
      <c r="C837" s="63" t="n"/>
      <c r="D837" s="62" t="n"/>
      <c r="E837" s="62" t="n"/>
      <c r="F837" s="62" t="n"/>
      <c r="G837" s="62" t="n"/>
      <c r="H837" s="62" t="n"/>
      <c r="I837" s="62" t="n"/>
      <c r="J837" s="62" t="n"/>
      <c r="K837" s="62" t="n"/>
      <c r="L837" s="64" t="n"/>
      <c r="M837" s="64" t="n"/>
      <c r="N837" s="62" t="n"/>
      <c r="O837" s="65">
        <f>IF(Z837=1,L837-W837,"")</f>
        <v/>
      </c>
      <c r="P837" s="66">
        <f>IF(V837="","",IFERROR(INDEX(coa_Type,MATCH(V837,coa_Name,0)),""))</f>
        <v/>
      </c>
      <c r="Q837" s="66">
        <f>IF(Z837=1,IF(U837="In",K837&amp;"",V837),"")</f>
        <v/>
      </c>
      <c r="R837" s="66">
        <f>IF(Z837=1,IF(U837="In",V837,K837&amp;""),"")</f>
        <v/>
      </c>
      <c r="S837" s="66">
        <f>IF(X837&lt;&gt;"","⛔ "&amp;X837&amp;" — not posted",IF(Y837&lt;&gt;"","⚠ "&amp;Y837,IF(Z837=1,"✓ OK","")))</f>
        <v/>
      </c>
      <c r="T837" s="67">
        <f>IF(AND(C837="",D837="",E837="",L837="",K837=""),1,0)</f>
        <v/>
      </c>
      <c r="U837" s="67">
        <f>IFERROR(INDEX(tt_Dir,MATCH(D837,tt_Type,0)),"")</f>
        <v/>
      </c>
      <c r="V837" s="67">
        <f>IF(D837="","",IFERROR(IF(INDEX(tt_Other,MATCH(D837,tt_Type,0))="",E837&amp;"",INDEX(tt_Other,MATCH(D837,tt_Type,0))),""))</f>
        <v/>
      </c>
      <c r="W837" s="68">
        <f>IF(OR(TaxOn&lt;&gt;"Yes",NOT(ISNUMBER(M837))),0,IF(IFERROR(INDEX(tt_Tax,MATCH(D837,tt_Type,0)),"No")="Yes",M837,0))</f>
        <v/>
      </c>
      <c r="X837" s="67">
        <f>IF(T837=1,"",IF(C837="","Missing transaction date",IF(NOT(ISNUMBER(C837)),"Invalid date",IF(OR(C837&lt;DATE(2000,1,1),C837&gt;DATE(2099,12,31)),"Invalid date",IF(D837="","Select a type",IF(U837="","Unknown type: "&amp;D837,IF(V837="","Select an account (Category)",IF(ISNA(MATCH(V837,coa_Name,0)),"Unknown account: "&amp;V837,IF(K837="","Select Paid From / Deposited To",IF(ISNA(MATCH(K837,coa_Name,0)),"Unknown account: "&amp;K837,IF(NOT(ISNUMBER(L837)),"Enter an amount",IF(L837=0,"Enter an amount",IF(ABS(W837)&gt;ABS(L837),"Tax is larger than the amount","")))))))))))))</f>
        <v/>
      </c>
      <c r="Y837" s="67">
        <f>IF(OR(T837=1,X837&lt;&gt;""),"",IF(AND(B837&lt;&gt;"",COUNTIF(tx_ID,B837)&gt;1),"Duplicate transaction ID",IF(AND(L837&lt;0,D837&lt;&gt;"Adjustment"),"Negative amount — check this entry",IF(AND(D837="Customer Payment",G837=""),"Add the customer",IF(AND(D837="Customer Payment",OR(J837="",COUNTIF(ar_No,J837&amp;"")=0)),"Invoice # in Reference not found on AR sheet",IF(AND(D837="Bill Payment",H837=""),"Add the vendor",IF(AND(D837="Bill Payment",OR(J837="",COUNTIFS(ap_No,J837&amp;"",ap_Party,H837&amp;"")=0)),"Bill # + vendor not found on AP sheet",IF(AND(ISNUMBER(M837),N(M837)&lt;&gt;0,W837=0),"Tax ignored (tax tracking off, or not allowed for this type)",IF(V837=K837&amp;"","Same account on both sides",IF(AND(ISNUMBER(StartDate),C837&lt;StartDate),"Date is before the accounting start date",IF(AND(D837&lt;&gt;"Adjustment",IFERROR(INDEX(coa_Pay,MATCH(K837&amp;"",coa_Name,0)),"")&lt;&gt;"Yes"),"Paid From / Deposited To is not a payment account","")))))))))))</f>
        <v/>
      </c>
      <c r="Z837" s="67">
        <f>IF(AND(T837=0,X837=""),1,0)</f>
        <v/>
      </c>
      <c r="AA837" s="68">
        <f>IF(Z837=1,IF(U837="In",L837,L837-W837),0)</f>
        <v/>
      </c>
      <c r="AB837" s="68">
        <f>IF(Z837=1,IF(U837="In",L837-W837,L837),0)</f>
        <v/>
      </c>
      <c r="AC837" s="68">
        <f>IF(AND(Z837=1,U837="Out"),W837,0)</f>
        <v/>
      </c>
      <c r="AD837" s="68">
        <f>IF(AND(Z837=1,U837="In"),W837,0)</f>
        <v/>
      </c>
    </row>
    <row r="838">
      <c r="B838" s="62" t="inlineStr">
        <is>
          <t>TX-0832</t>
        </is>
      </c>
      <c r="C838" s="63" t="n"/>
      <c r="D838" s="62" t="n"/>
      <c r="E838" s="62" t="n"/>
      <c r="F838" s="62" t="n"/>
      <c r="G838" s="62" t="n"/>
      <c r="H838" s="62" t="n"/>
      <c r="I838" s="62" t="n"/>
      <c r="J838" s="62" t="n"/>
      <c r="K838" s="62" t="n"/>
      <c r="L838" s="64" t="n"/>
      <c r="M838" s="64" t="n"/>
      <c r="N838" s="62" t="n"/>
      <c r="O838" s="65">
        <f>IF(Z838=1,L838-W838,"")</f>
        <v/>
      </c>
      <c r="P838" s="66">
        <f>IF(V838="","",IFERROR(INDEX(coa_Type,MATCH(V838,coa_Name,0)),""))</f>
        <v/>
      </c>
      <c r="Q838" s="66">
        <f>IF(Z838=1,IF(U838="In",K838&amp;"",V838),"")</f>
        <v/>
      </c>
      <c r="R838" s="66">
        <f>IF(Z838=1,IF(U838="In",V838,K838&amp;""),"")</f>
        <v/>
      </c>
      <c r="S838" s="66">
        <f>IF(X838&lt;&gt;"","⛔ "&amp;X838&amp;" — not posted",IF(Y838&lt;&gt;"","⚠ "&amp;Y838,IF(Z838=1,"✓ OK","")))</f>
        <v/>
      </c>
      <c r="T838" s="67">
        <f>IF(AND(C838="",D838="",E838="",L838="",K838=""),1,0)</f>
        <v/>
      </c>
      <c r="U838" s="67">
        <f>IFERROR(INDEX(tt_Dir,MATCH(D838,tt_Type,0)),"")</f>
        <v/>
      </c>
      <c r="V838" s="67">
        <f>IF(D838="","",IFERROR(IF(INDEX(tt_Other,MATCH(D838,tt_Type,0))="",E838&amp;"",INDEX(tt_Other,MATCH(D838,tt_Type,0))),""))</f>
        <v/>
      </c>
      <c r="W838" s="68">
        <f>IF(OR(TaxOn&lt;&gt;"Yes",NOT(ISNUMBER(M838))),0,IF(IFERROR(INDEX(tt_Tax,MATCH(D838,tt_Type,0)),"No")="Yes",M838,0))</f>
        <v/>
      </c>
      <c r="X838" s="67">
        <f>IF(T838=1,"",IF(C838="","Missing transaction date",IF(NOT(ISNUMBER(C838)),"Invalid date",IF(OR(C838&lt;DATE(2000,1,1),C838&gt;DATE(2099,12,31)),"Invalid date",IF(D838="","Select a type",IF(U838="","Unknown type: "&amp;D838,IF(V838="","Select an account (Category)",IF(ISNA(MATCH(V838,coa_Name,0)),"Unknown account: "&amp;V838,IF(K838="","Select Paid From / Deposited To",IF(ISNA(MATCH(K838,coa_Name,0)),"Unknown account: "&amp;K838,IF(NOT(ISNUMBER(L838)),"Enter an amount",IF(L838=0,"Enter an amount",IF(ABS(W838)&gt;ABS(L838),"Tax is larger than the amount","")))))))))))))</f>
        <v/>
      </c>
      <c r="Y838" s="67">
        <f>IF(OR(T838=1,X838&lt;&gt;""),"",IF(AND(B838&lt;&gt;"",COUNTIF(tx_ID,B838)&gt;1),"Duplicate transaction ID",IF(AND(L838&lt;0,D838&lt;&gt;"Adjustment"),"Negative amount — check this entry",IF(AND(D838="Customer Payment",G838=""),"Add the customer",IF(AND(D838="Customer Payment",OR(J838="",COUNTIF(ar_No,J838&amp;"")=0)),"Invoice # in Reference not found on AR sheet",IF(AND(D838="Bill Payment",H838=""),"Add the vendor",IF(AND(D838="Bill Payment",OR(J838="",COUNTIFS(ap_No,J838&amp;"",ap_Party,H838&amp;"")=0)),"Bill # + vendor not found on AP sheet",IF(AND(ISNUMBER(M838),N(M838)&lt;&gt;0,W838=0),"Tax ignored (tax tracking off, or not allowed for this type)",IF(V838=K838&amp;"","Same account on both sides",IF(AND(ISNUMBER(StartDate),C838&lt;StartDate),"Date is before the accounting start date",IF(AND(D838&lt;&gt;"Adjustment",IFERROR(INDEX(coa_Pay,MATCH(K838&amp;"",coa_Name,0)),"")&lt;&gt;"Yes"),"Paid From / Deposited To is not a payment account","")))))))))))</f>
        <v/>
      </c>
      <c r="Z838" s="67">
        <f>IF(AND(T838=0,X838=""),1,0)</f>
        <v/>
      </c>
      <c r="AA838" s="68">
        <f>IF(Z838=1,IF(U838="In",L838,L838-W838),0)</f>
        <v/>
      </c>
      <c r="AB838" s="68">
        <f>IF(Z838=1,IF(U838="In",L838-W838,L838),0)</f>
        <v/>
      </c>
      <c r="AC838" s="68">
        <f>IF(AND(Z838=1,U838="Out"),W838,0)</f>
        <v/>
      </c>
      <c r="AD838" s="68">
        <f>IF(AND(Z838=1,U838="In"),W838,0)</f>
        <v/>
      </c>
    </row>
    <row r="839">
      <c r="B839" s="62" t="inlineStr">
        <is>
          <t>TX-0833</t>
        </is>
      </c>
      <c r="C839" s="63" t="n"/>
      <c r="D839" s="62" t="n"/>
      <c r="E839" s="62" t="n"/>
      <c r="F839" s="62" t="n"/>
      <c r="G839" s="62" t="n"/>
      <c r="H839" s="62" t="n"/>
      <c r="I839" s="62" t="n"/>
      <c r="J839" s="62" t="n"/>
      <c r="K839" s="62" t="n"/>
      <c r="L839" s="64" t="n"/>
      <c r="M839" s="64" t="n"/>
      <c r="N839" s="62" t="n"/>
      <c r="O839" s="65">
        <f>IF(Z839=1,L839-W839,"")</f>
        <v/>
      </c>
      <c r="P839" s="66">
        <f>IF(V839="","",IFERROR(INDEX(coa_Type,MATCH(V839,coa_Name,0)),""))</f>
        <v/>
      </c>
      <c r="Q839" s="66">
        <f>IF(Z839=1,IF(U839="In",K839&amp;"",V839),"")</f>
        <v/>
      </c>
      <c r="R839" s="66">
        <f>IF(Z839=1,IF(U839="In",V839,K839&amp;""),"")</f>
        <v/>
      </c>
      <c r="S839" s="66">
        <f>IF(X839&lt;&gt;"","⛔ "&amp;X839&amp;" — not posted",IF(Y839&lt;&gt;"","⚠ "&amp;Y839,IF(Z839=1,"✓ OK","")))</f>
        <v/>
      </c>
      <c r="T839" s="67">
        <f>IF(AND(C839="",D839="",E839="",L839="",K839=""),1,0)</f>
        <v/>
      </c>
      <c r="U839" s="67">
        <f>IFERROR(INDEX(tt_Dir,MATCH(D839,tt_Type,0)),"")</f>
        <v/>
      </c>
      <c r="V839" s="67">
        <f>IF(D839="","",IFERROR(IF(INDEX(tt_Other,MATCH(D839,tt_Type,0))="",E839&amp;"",INDEX(tt_Other,MATCH(D839,tt_Type,0))),""))</f>
        <v/>
      </c>
      <c r="W839" s="68">
        <f>IF(OR(TaxOn&lt;&gt;"Yes",NOT(ISNUMBER(M839))),0,IF(IFERROR(INDEX(tt_Tax,MATCH(D839,tt_Type,0)),"No")="Yes",M839,0))</f>
        <v/>
      </c>
      <c r="X839" s="67">
        <f>IF(T839=1,"",IF(C839="","Missing transaction date",IF(NOT(ISNUMBER(C839)),"Invalid date",IF(OR(C839&lt;DATE(2000,1,1),C839&gt;DATE(2099,12,31)),"Invalid date",IF(D839="","Select a type",IF(U839="","Unknown type: "&amp;D839,IF(V839="","Select an account (Category)",IF(ISNA(MATCH(V839,coa_Name,0)),"Unknown account: "&amp;V839,IF(K839="","Select Paid From / Deposited To",IF(ISNA(MATCH(K839,coa_Name,0)),"Unknown account: "&amp;K839,IF(NOT(ISNUMBER(L839)),"Enter an amount",IF(L839=0,"Enter an amount",IF(ABS(W839)&gt;ABS(L839),"Tax is larger than the amount","")))))))))))))</f>
        <v/>
      </c>
      <c r="Y839" s="67">
        <f>IF(OR(T839=1,X839&lt;&gt;""),"",IF(AND(B839&lt;&gt;"",COUNTIF(tx_ID,B839)&gt;1),"Duplicate transaction ID",IF(AND(L839&lt;0,D839&lt;&gt;"Adjustment"),"Negative amount — check this entry",IF(AND(D839="Customer Payment",G839=""),"Add the customer",IF(AND(D839="Customer Payment",OR(J839="",COUNTIF(ar_No,J839&amp;"")=0)),"Invoice # in Reference not found on AR sheet",IF(AND(D839="Bill Payment",H839=""),"Add the vendor",IF(AND(D839="Bill Payment",OR(J839="",COUNTIFS(ap_No,J839&amp;"",ap_Party,H839&amp;"")=0)),"Bill # + vendor not found on AP sheet",IF(AND(ISNUMBER(M839),N(M839)&lt;&gt;0,W839=0),"Tax ignored (tax tracking off, or not allowed for this type)",IF(V839=K839&amp;"","Same account on both sides",IF(AND(ISNUMBER(StartDate),C839&lt;StartDate),"Date is before the accounting start date",IF(AND(D839&lt;&gt;"Adjustment",IFERROR(INDEX(coa_Pay,MATCH(K839&amp;"",coa_Name,0)),"")&lt;&gt;"Yes"),"Paid From / Deposited To is not a payment account","")))))))))))</f>
        <v/>
      </c>
      <c r="Z839" s="67">
        <f>IF(AND(T839=0,X839=""),1,0)</f>
        <v/>
      </c>
      <c r="AA839" s="68">
        <f>IF(Z839=1,IF(U839="In",L839,L839-W839),0)</f>
        <v/>
      </c>
      <c r="AB839" s="68">
        <f>IF(Z839=1,IF(U839="In",L839-W839,L839),0)</f>
        <v/>
      </c>
      <c r="AC839" s="68">
        <f>IF(AND(Z839=1,U839="Out"),W839,0)</f>
        <v/>
      </c>
      <c r="AD839" s="68">
        <f>IF(AND(Z839=1,U839="In"),W839,0)</f>
        <v/>
      </c>
    </row>
    <row r="840">
      <c r="B840" s="62" t="inlineStr">
        <is>
          <t>TX-0834</t>
        </is>
      </c>
      <c r="C840" s="63" t="n"/>
      <c r="D840" s="62" t="n"/>
      <c r="E840" s="62" t="n"/>
      <c r="F840" s="62" t="n"/>
      <c r="G840" s="62" t="n"/>
      <c r="H840" s="62" t="n"/>
      <c r="I840" s="62" t="n"/>
      <c r="J840" s="62" t="n"/>
      <c r="K840" s="62" t="n"/>
      <c r="L840" s="64" t="n"/>
      <c r="M840" s="64" t="n"/>
      <c r="N840" s="62" t="n"/>
      <c r="O840" s="65">
        <f>IF(Z840=1,L840-W840,"")</f>
        <v/>
      </c>
      <c r="P840" s="66">
        <f>IF(V840="","",IFERROR(INDEX(coa_Type,MATCH(V840,coa_Name,0)),""))</f>
        <v/>
      </c>
      <c r="Q840" s="66">
        <f>IF(Z840=1,IF(U840="In",K840&amp;"",V840),"")</f>
        <v/>
      </c>
      <c r="R840" s="66">
        <f>IF(Z840=1,IF(U840="In",V840,K840&amp;""),"")</f>
        <v/>
      </c>
      <c r="S840" s="66">
        <f>IF(X840&lt;&gt;"","⛔ "&amp;X840&amp;" — not posted",IF(Y840&lt;&gt;"","⚠ "&amp;Y840,IF(Z840=1,"✓ OK","")))</f>
        <v/>
      </c>
      <c r="T840" s="67">
        <f>IF(AND(C840="",D840="",E840="",L840="",K840=""),1,0)</f>
        <v/>
      </c>
      <c r="U840" s="67">
        <f>IFERROR(INDEX(tt_Dir,MATCH(D840,tt_Type,0)),"")</f>
        <v/>
      </c>
      <c r="V840" s="67">
        <f>IF(D840="","",IFERROR(IF(INDEX(tt_Other,MATCH(D840,tt_Type,0))="",E840&amp;"",INDEX(tt_Other,MATCH(D840,tt_Type,0))),""))</f>
        <v/>
      </c>
      <c r="W840" s="68">
        <f>IF(OR(TaxOn&lt;&gt;"Yes",NOT(ISNUMBER(M840))),0,IF(IFERROR(INDEX(tt_Tax,MATCH(D840,tt_Type,0)),"No")="Yes",M840,0))</f>
        <v/>
      </c>
      <c r="X840" s="67">
        <f>IF(T840=1,"",IF(C840="","Missing transaction date",IF(NOT(ISNUMBER(C840)),"Invalid date",IF(OR(C840&lt;DATE(2000,1,1),C840&gt;DATE(2099,12,31)),"Invalid date",IF(D840="","Select a type",IF(U840="","Unknown type: "&amp;D840,IF(V840="","Select an account (Category)",IF(ISNA(MATCH(V840,coa_Name,0)),"Unknown account: "&amp;V840,IF(K840="","Select Paid From / Deposited To",IF(ISNA(MATCH(K840,coa_Name,0)),"Unknown account: "&amp;K840,IF(NOT(ISNUMBER(L840)),"Enter an amount",IF(L840=0,"Enter an amount",IF(ABS(W840)&gt;ABS(L840),"Tax is larger than the amount","")))))))))))))</f>
        <v/>
      </c>
      <c r="Y840" s="67">
        <f>IF(OR(T840=1,X840&lt;&gt;""),"",IF(AND(B840&lt;&gt;"",COUNTIF(tx_ID,B840)&gt;1),"Duplicate transaction ID",IF(AND(L840&lt;0,D840&lt;&gt;"Adjustment"),"Negative amount — check this entry",IF(AND(D840="Customer Payment",G840=""),"Add the customer",IF(AND(D840="Customer Payment",OR(J840="",COUNTIF(ar_No,J840&amp;"")=0)),"Invoice # in Reference not found on AR sheet",IF(AND(D840="Bill Payment",H840=""),"Add the vendor",IF(AND(D840="Bill Payment",OR(J840="",COUNTIFS(ap_No,J840&amp;"",ap_Party,H840&amp;"")=0)),"Bill # + vendor not found on AP sheet",IF(AND(ISNUMBER(M840),N(M840)&lt;&gt;0,W840=0),"Tax ignored (tax tracking off, or not allowed for this type)",IF(V840=K840&amp;"","Same account on both sides",IF(AND(ISNUMBER(StartDate),C840&lt;StartDate),"Date is before the accounting start date",IF(AND(D840&lt;&gt;"Adjustment",IFERROR(INDEX(coa_Pay,MATCH(K840&amp;"",coa_Name,0)),"")&lt;&gt;"Yes"),"Paid From / Deposited To is not a payment account","")))))))))))</f>
        <v/>
      </c>
      <c r="Z840" s="67">
        <f>IF(AND(T840=0,X840=""),1,0)</f>
        <v/>
      </c>
      <c r="AA840" s="68">
        <f>IF(Z840=1,IF(U840="In",L840,L840-W840),0)</f>
        <v/>
      </c>
      <c r="AB840" s="68">
        <f>IF(Z840=1,IF(U840="In",L840-W840,L840),0)</f>
        <v/>
      </c>
      <c r="AC840" s="68">
        <f>IF(AND(Z840=1,U840="Out"),W840,0)</f>
        <v/>
      </c>
      <c r="AD840" s="68">
        <f>IF(AND(Z840=1,U840="In"),W840,0)</f>
        <v/>
      </c>
    </row>
    <row r="841">
      <c r="B841" s="62" t="inlineStr">
        <is>
          <t>TX-0835</t>
        </is>
      </c>
      <c r="C841" s="63" t="n"/>
      <c r="D841" s="62" t="n"/>
      <c r="E841" s="62" t="n"/>
      <c r="F841" s="62" t="n"/>
      <c r="G841" s="62" t="n"/>
      <c r="H841" s="62" t="n"/>
      <c r="I841" s="62" t="n"/>
      <c r="J841" s="62" t="n"/>
      <c r="K841" s="62" t="n"/>
      <c r="L841" s="64" t="n"/>
      <c r="M841" s="64" t="n"/>
      <c r="N841" s="62" t="n"/>
      <c r="O841" s="65">
        <f>IF(Z841=1,L841-W841,"")</f>
        <v/>
      </c>
      <c r="P841" s="66">
        <f>IF(V841="","",IFERROR(INDEX(coa_Type,MATCH(V841,coa_Name,0)),""))</f>
        <v/>
      </c>
      <c r="Q841" s="66">
        <f>IF(Z841=1,IF(U841="In",K841&amp;"",V841),"")</f>
        <v/>
      </c>
      <c r="R841" s="66">
        <f>IF(Z841=1,IF(U841="In",V841,K841&amp;""),"")</f>
        <v/>
      </c>
      <c r="S841" s="66">
        <f>IF(X841&lt;&gt;"","⛔ "&amp;X841&amp;" — not posted",IF(Y841&lt;&gt;"","⚠ "&amp;Y841,IF(Z841=1,"✓ OK","")))</f>
        <v/>
      </c>
      <c r="T841" s="67">
        <f>IF(AND(C841="",D841="",E841="",L841="",K841=""),1,0)</f>
        <v/>
      </c>
      <c r="U841" s="67">
        <f>IFERROR(INDEX(tt_Dir,MATCH(D841,tt_Type,0)),"")</f>
        <v/>
      </c>
      <c r="V841" s="67">
        <f>IF(D841="","",IFERROR(IF(INDEX(tt_Other,MATCH(D841,tt_Type,0))="",E841&amp;"",INDEX(tt_Other,MATCH(D841,tt_Type,0))),""))</f>
        <v/>
      </c>
      <c r="W841" s="68">
        <f>IF(OR(TaxOn&lt;&gt;"Yes",NOT(ISNUMBER(M841))),0,IF(IFERROR(INDEX(tt_Tax,MATCH(D841,tt_Type,0)),"No")="Yes",M841,0))</f>
        <v/>
      </c>
      <c r="X841" s="67">
        <f>IF(T841=1,"",IF(C841="","Missing transaction date",IF(NOT(ISNUMBER(C841)),"Invalid date",IF(OR(C841&lt;DATE(2000,1,1),C841&gt;DATE(2099,12,31)),"Invalid date",IF(D841="","Select a type",IF(U841="","Unknown type: "&amp;D841,IF(V841="","Select an account (Category)",IF(ISNA(MATCH(V841,coa_Name,0)),"Unknown account: "&amp;V841,IF(K841="","Select Paid From / Deposited To",IF(ISNA(MATCH(K841,coa_Name,0)),"Unknown account: "&amp;K841,IF(NOT(ISNUMBER(L841)),"Enter an amount",IF(L841=0,"Enter an amount",IF(ABS(W841)&gt;ABS(L841),"Tax is larger than the amount","")))))))))))))</f>
        <v/>
      </c>
      <c r="Y841" s="67">
        <f>IF(OR(T841=1,X841&lt;&gt;""),"",IF(AND(B841&lt;&gt;"",COUNTIF(tx_ID,B841)&gt;1),"Duplicate transaction ID",IF(AND(L841&lt;0,D841&lt;&gt;"Adjustment"),"Negative amount — check this entry",IF(AND(D841="Customer Payment",G841=""),"Add the customer",IF(AND(D841="Customer Payment",OR(J841="",COUNTIF(ar_No,J841&amp;"")=0)),"Invoice # in Reference not found on AR sheet",IF(AND(D841="Bill Payment",H841=""),"Add the vendor",IF(AND(D841="Bill Payment",OR(J841="",COUNTIFS(ap_No,J841&amp;"",ap_Party,H841&amp;"")=0)),"Bill # + vendor not found on AP sheet",IF(AND(ISNUMBER(M841),N(M841)&lt;&gt;0,W841=0),"Tax ignored (tax tracking off, or not allowed for this type)",IF(V841=K841&amp;"","Same account on both sides",IF(AND(ISNUMBER(StartDate),C841&lt;StartDate),"Date is before the accounting start date",IF(AND(D841&lt;&gt;"Adjustment",IFERROR(INDEX(coa_Pay,MATCH(K841&amp;"",coa_Name,0)),"")&lt;&gt;"Yes"),"Paid From / Deposited To is not a payment account","")))))))))))</f>
        <v/>
      </c>
      <c r="Z841" s="67">
        <f>IF(AND(T841=0,X841=""),1,0)</f>
        <v/>
      </c>
      <c r="AA841" s="68">
        <f>IF(Z841=1,IF(U841="In",L841,L841-W841),0)</f>
        <v/>
      </c>
      <c r="AB841" s="68">
        <f>IF(Z841=1,IF(U841="In",L841-W841,L841),0)</f>
        <v/>
      </c>
      <c r="AC841" s="68">
        <f>IF(AND(Z841=1,U841="Out"),W841,0)</f>
        <v/>
      </c>
      <c r="AD841" s="68">
        <f>IF(AND(Z841=1,U841="In"),W841,0)</f>
        <v/>
      </c>
    </row>
    <row r="842">
      <c r="B842" s="62" t="inlineStr">
        <is>
          <t>TX-0836</t>
        </is>
      </c>
      <c r="C842" s="63" t="n"/>
      <c r="D842" s="62" t="n"/>
      <c r="E842" s="62" t="n"/>
      <c r="F842" s="62" t="n"/>
      <c r="G842" s="62" t="n"/>
      <c r="H842" s="62" t="n"/>
      <c r="I842" s="62" t="n"/>
      <c r="J842" s="62" t="n"/>
      <c r="K842" s="62" t="n"/>
      <c r="L842" s="64" t="n"/>
      <c r="M842" s="64" t="n"/>
      <c r="N842" s="62" t="n"/>
      <c r="O842" s="65">
        <f>IF(Z842=1,L842-W842,"")</f>
        <v/>
      </c>
      <c r="P842" s="66">
        <f>IF(V842="","",IFERROR(INDEX(coa_Type,MATCH(V842,coa_Name,0)),""))</f>
        <v/>
      </c>
      <c r="Q842" s="66">
        <f>IF(Z842=1,IF(U842="In",K842&amp;"",V842),"")</f>
        <v/>
      </c>
      <c r="R842" s="66">
        <f>IF(Z842=1,IF(U842="In",V842,K842&amp;""),"")</f>
        <v/>
      </c>
      <c r="S842" s="66">
        <f>IF(X842&lt;&gt;"","⛔ "&amp;X842&amp;" — not posted",IF(Y842&lt;&gt;"","⚠ "&amp;Y842,IF(Z842=1,"✓ OK","")))</f>
        <v/>
      </c>
      <c r="T842" s="67">
        <f>IF(AND(C842="",D842="",E842="",L842="",K842=""),1,0)</f>
        <v/>
      </c>
      <c r="U842" s="67">
        <f>IFERROR(INDEX(tt_Dir,MATCH(D842,tt_Type,0)),"")</f>
        <v/>
      </c>
      <c r="V842" s="67">
        <f>IF(D842="","",IFERROR(IF(INDEX(tt_Other,MATCH(D842,tt_Type,0))="",E842&amp;"",INDEX(tt_Other,MATCH(D842,tt_Type,0))),""))</f>
        <v/>
      </c>
      <c r="W842" s="68">
        <f>IF(OR(TaxOn&lt;&gt;"Yes",NOT(ISNUMBER(M842))),0,IF(IFERROR(INDEX(tt_Tax,MATCH(D842,tt_Type,0)),"No")="Yes",M842,0))</f>
        <v/>
      </c>
      <c r="X842" s="67">
        <f>IF(T842=1,"",IF(C842="","Missing transaction date",IF(NOT(ISNUMBER(C842)),"Invalid date",IF(OR(C842&lt;DATE(2000,1,1),C842&gt;DATE(2099,12,31)),"Invalid date",IF(D842="","Select a type",IF(U842="","Unknown type: "&amp;D842,IF(V842="","Select an account (Category)",IF(ISNA(MATCH(V842,coa_Name,0)),"Unknown account: "&amp;V842,IF(K842="","Select Paid From / Deposited To",IF(ISNA(MATCH(K842,coa_Name,0)),"Unknown account: "&amp;K842,IF(NOT(ISNUMBER(L842)),"Enter an amount",IF(L842=0,"Enter an amount",IF(ABS(W842)&gt;ABS(L842),"Tax is larger than the amount","")))))))))))))</f>
        <v/>
      </c>
      <c r="Y842" s="67">
        <f>IF(OR(T842=1,X842&lt;&gt;""),"",IF(AND(B842&lt;&gt;"",COUNTIF(tx_ID,B842)&gt;1),"Duplicate transaction ID",IF(AND(L842&lt;0,D842&lt;&gt;"Adjustment"),"Negative amount — check this entry",IF(AND(D842="Customer Payment",G842=""),"Add the customer",IF(AND(D842="Customer Payment",OR(J842="",COUNTIF(ar_No,J842&amp;"")=0)),"Invoice # in Reference not found on AR sheet",IF(AND(D842="Bill Payment",H842=""),"Add the vendor",IF(AND(D842="Bill Payment",OR(J842="",COUNTIFS(ap_No,J842&amp;"",ap_Party,H842&amp;"")=0)),"Bill # + vendor not found on AP sheet",IF(AND(ISNUMBER(M842),N(M842)&lt;&gt;0,W842=0),"Tax ignored (tax tracking off, or not allowed for this type)",IF(V842=K842&amp;"","Same account on both sides",IF(AND(ISNUMBER(StartDate),C842&lt;StartDate),"Date is before the accounting start date",IF(AND(D842&lt;&gt;"Adjustment",IFERROR(INDEX(coa_Pay,MATCH(K842&amp;"",coa_Name,0)),"")&lt;&gt;"Yes"),"Paid From / Deposited To is not a payment account","")))))))))))</f>
        <v/>
      </c>
      <c r="Z842" s="67">
        <f>IF(AND(T842=0,X842=""),1,0)</f>
        <v/>
      </c>
      <c r="AA842" s="68">
        <f>IF(Z842=1,IF(U842="In",L842,L842-W842),0)</f>
        <v/>
      </c>
      <c r="AB842" s="68">
        <f>IF(Z842=1,IF(U842="In",L842-W842,L842),0)</f>
        <v/>
      </c>
      <c r="AC842" s="68">
        <f>IF(AND(Z842=1,U842="Out"),W842,0)</f>
        <v/>
      </c>
      <c r="AD842" s="68">
        <f>IF(AND(Z842=1,U842="In"),W842,0)</f>
        <v/>
      </c>
    </row>
    <row r="843">
      <c r="B843" s="62" t="inlineStr">
        <is>
          <t>TX-0837</t>
        </is>
      </c>
      <c r="C843" s="63" t="n"/>
      <c r="D843" s="62" t="n"/>
      <c r="E843" s="62" t="n"/>
      <c r="F843" s="62" t="n"/>
      <c r="G843" s="62" t="n"/>
      <c r="H843" s="62" t="n"/>
      <c r="I843" s="62" t="n"/>
      <c r="J843" s="62" t="n"/>
      <c r="K843" s="62" t="n"/>
      <c r="L843" s="64" t="n"/>
      <c r="M843" s="64" t="n"/>
      <c r="N843" s="62" t="n"/>
      <c r="O843" s="65">
        <f>IF(Z843=1,L843-W843,"")</f>
        <v/>
      </c>
      <c r="P843" s="66">
        <f>IF(V843="","",IFERROR(INDEX(coa_Type,MATCH(V843,coa_Name,0)),""))</f>
        <v/>
      </c>
      <c r="Q843" s="66">
        <f>IF(Z843=1,IF(U843="In",K843&amp;"",V843),"")</f>
        <v/>
      </c>
      <c r="R843" s="66">
        <f>IF(Z843=1,IF(U843="In",V843,K843&amp;""),"")</f>
        <v/>
      </c>
      <c r="S843" s="66">
        <f>IF(X843&lt;&gt;"","⛔ "&amp;X843&amp;" — not posted",IF(Y843&lt;&gt;"","⚠ "&amp;Y843,IF(Z843=1,"✓ OK","")))</f>
        <v/>
      </c>
      <c r="T843" s="67">
        <f>IF(AND(C843="",D843="",E843="",L843="",K843=""),1,0)</f>
        <v/>
      </c>
      <c r="U843" s="67">
        <f>IFERROR(INDEX(tt_Dir,MATCH(D843,tt_Type,0)),"")</f>
        <v/>
      </c>
      <c r="V843" s="67">
        <f>IF(D843="","",IFERROR(IF(INDEX(tt_Other,MATCH(D843,tt_Type,0))="",E843&amp;"",INDEX(tt_Other,MATCH(D843,tt_Type,0))),""))</f>
        <v/>
      </c>
      <c r="W843" s="68">
        <f>IF(OR(TaxOn&lt;&gt;"Yes",NOT(ISNUMBER(M843))),0,IF(IFERROR(INDEX(tt_Tax,MATCH(D843,tt_Type,0)),"No")="Yes",M843,0))</f>
        <v/>
      </c>
      <c r="X843" s="67">
        <f>IF(T843=1,"",IF(C843="","Missing transaction date",IF(NOT(ISNUMBER(C843)),"Invalid date",IF(OR(C843&lt;DATE(2000,1,1),C843&gt;DATE(2099,12,31)),"Invalid date",IF(D843="","Select a type",IF(U843="","Unknown type: "&amp;D843,IF(V843="","Select an account (Category)",IF(ISNA(MATCH(V843,coa_Name,0)),"Unknown account: "&amp;V843,IF(K843="","Select Paid From / Deposited To",IF(ISNA(MATCH(K843,coa_Name,0)),"Unknown account: "&amp;K843,IF(NOT(ISNUMBER(L843)),"Enter an amount",IF(L843=0,"Enter an amount",IF(ABS(W843)&gt;ABS(L843),"Tax is larger than the amount","")))))))))))))</f>
        <v/>
      </c>
      <c r="Y843" s="67">
        <f>IF(OR(T843=1,X843&lt;&gt;""),"",IF(AND(B843&lt;&gt;"",COUNTIF(tx_ID,B843)&gt;1),"Duplicate transaction ID",IF(AND(L843&lt;0,D843&lt;&gt;"Adjustment"),"Negative amount — check this entry",IF(AND(D843="Customer Payment",G843=""),"Add the customer",IF(AND(D843="Customer Payment",OR(J843="",COUNTIF(ar_No,J843&amp;"")=0)),"Invoice # in Reference not found on AR sheet",IF(AND(D843="Bill Payment",H843=""),"Add the vendor",IF(AND(D843="Bill Payment",OR(J843="",COUNTIFS(ap_No,J843&amp;"",ap_Party,H843&amp;"")=0)),"Bill # + vendor not found on AP sheet",IF(AND(ISNUMBER(M843),N(M843)&lt;&gt;0,W843=0),"Tax ignored (tax tracking off, or not allowed for this type)",IF(V843=K843&amp;"","Same account on both sides",IF(AND(ISNUMBER(StartDate),C843&lt;StartDate),"Date is before the accounting start date",IF(AND(D843&lt;&gt;"Adjustment",IFERROR(INDEX(coa_Pay,MATCH(K843&amp;"",coa_Name,0)),"")&lt;&gt;"Yes"),"Paid From / Deposited To is not a payment account","")))))))))))</f>
        <v/>
      </c>
      <c r="Z843" s="67">
        <f>IF(AND(T843=0,X843=""),1,0)</f>
        <v/>
      </c>
      <c r="AA843" s="68">
        <f>IF(Z843=1,IF(U843="In",L843,L843-W843),0)</f>
        <v/>
      </c>
      <c r="AB843" s="68">
        <f>IF(Z843=1,IF(U843="In",L843-W843,L843),0)</f>
        <v/>
      </c>
      <c r="AC843" s="68">
        <f>IF(AND(Z843=1,U843="Out"),W843,0)</f>
        <v/>
      </c>
      <c r="AD843" s="68">
        <f>IF(AND(Z843=1,U843="In"),W843,0)</f>
        <v/>
      </c>
    </row>
    <row r="844">
      <c r="B844" s="62" t="inlineStr">
        <is>
          <t>TX-0838</t>
        </is>
      </c>
      <c r="C844" s="63" t="n"/>
      <c r="D844" s="62" t="n"/>
      <c r="E844" s="62" t="n"/>
      <c r="F844" s="62" t="n"/>
      <c r="G844" s="62" t="n"/>
      <c r="H844" s="62" t="n"/>
      <c r="I844" s="62" t="n"/>
      <c r="J844" s="62" t="n"/>
      <c r="K844" s="62" t="n"/>
      <c r="L844" s="64" t="n"/>
      <c r="M844" s="64" t="n"/>
      <c r="N844" s="62" t="n"/>
      <c r="O844" s="65">
        <f>IF(Z844=1,L844-W844,"")</f>
        <v/>
      </c>
      <c r="P844" s="66">
        <f>IF(V844="","",IFERROR(INDEX(coa_Type,MATCH(V844,coa_Name,0)),""))</f>
        <v/>
      </c>
      <c r="Q844" s="66">
        <f>IF(Z844=1,IF(U844="In",K844&amp;"",V844),"")</f>
        <v/>
      </c>
      <c r="R844" s="66">
        <f>IF(Z844=1,IF(U844="In",V844,K844&amp;""),"")</f>
        <v/>
      </c>
      <c r="S844" s="66">
        <f>IF(X844&lt;&gt;"","⛔ "&amp;X844&amp;" — not posted",IF(Y844&lt;&gt;"","⚠ "&amp;Y844,IF(Z844=1,"✓ OK","")))</f>
        <v/>
      </c>
      <c r="T844" s="67">
        <f>IF(AND(C844="",D844="",E844="",L844="",K844=""),1,0)</f>
        <v/>
      </c>
      <c r="U844" s="67">
        <f>IFERROR(INDEX(tt_Dir,MATCH(D844,tt_Type,0)),"")</f>
        <v/>
      </c>
      <c r="V844" s="67">
        <f>IF(D844="","",IFERROR(IF(INDEX(tt_Other,MATCH(D844,tt_Type,0))="",E844&amp;"",INDEX(tt_Other,MATCH(D844,tt_Type,0))),""))</f>
        <v/>
      </c>
      <c r="W844" s="68">
        <f>IF(OR(TaxOn&lt;&gt;"Yes",NOT(ISNUMBER(M844))),0,IF(IFERROR(INDEX(tt_Tax,MATCH(D844,tt_Type,0)),"No")="Yes",M844,0))</f>
        <v/>
      </c>
      <c r="X844" s="67">
        <f>IF(T844=1,"",IF(C844="","Missing transaction date",IF(NOT(ISNUMBER(C844)),"Invalid date",IF(OR(C844&lt;DATE(2000,1,1),C844&gt;DATE(2099,12,31)),"Invalid date",IF(D844="","Select a type",IF(U844="","Unknown type: "&amp;D844,IF(V844="","Select an account (Category)",IF(ISNA(MATCH(V844,coa_Name,0)),"Unknown account: "&amp;V844,IF(K844="","Select Paid From / Deposited To",IF(ISNA(MATCH(K844,coa_Name,0)),"Unknown account: "&amp;K844,IF(NOT(ISNUMBER(L844)),"Enter an amount",IF(L844=0,"Enter an amount",IF(ABS(W844)&gt;ABS(L844),"Tax is larger than the amount","")))))))))))))</f>
        <v/>
      </c>
      <c r="Y844" s="67">
        <f>IF(OR(T844=1,X844&lt;&gt;""),"",IF(AND(B844&lt;&gt;"",COUNTIF(tx_ID,B844)&gt;1),"Duplicate transaction ID",IF(AND(L844&lt;0,D844&lt;&gt;"Adjustment"),"Negative amount — check this entry",IF(AND(D844="Customer Payment",G844=""),"Add the customer",IF(AND(D844="Customer Payment",OR(J844="",COUNTIF(ar_No,J844&amp;"")=0)),"Invoice # in Reference not found on AR sheet",IF(AND(D844="Bill Payment",H844=""),"Add the vendor",IF(AND(D844="Bill Payment",OR(J844="",COUNTIFS(ap_No,J844&amp;"",ap_Party,H844&amp;"")=0)),"Bill # + vendor not found on AP sheet",IF(AND(ISNUMBER(M844),N(M844)&lt;&gt;0,W844=0),"Tax ignored (tax tracking off, or not allowed for this type)",IF(V844=K844&amp;"","Same account on both sides",IF(AND(ISNUMBER(StartDate),C844&lt;StartDate),"Date is before the accounting start date",IF(AND(D844&lt;&gt;"Adjustment",IFERROR(INDEX(coa_Pay,MATCH(K844&amp;"",coa_Name,0)),"")&lt;&gt;"Yes"),"Paid From / Deposited To is not a payment account","")))))))))))</f>
        <v/>
      </c>
      <c r="Z844" s="67">
        <f>IF(AND(T844=0,X844=""),1,0)</f>
        <v/>
      </c>
      <c r="AA844" s="68">
        <f>IF(Z844=1,IF(U844="In",L844,L844-W844),0)</f>
        <v/>
      </c>
      <c r="AB844" s="68">
        <f>IF(Z844=1,IF(U844="In",L844-W844,L844),0)</f>
        <v/>
      </c>
      <c r="AC844" s="68">
        <f>IF(AND(Z844=1,U844="Out"),W844,0)</f>
        <v/>
      </c>
      <c r="AD844" s="68">
        <f>IF(AND(Z844=1,U844="In"),W844,0)</f>
        <v/>
      </c>
    </row>
    <row r="845">
      <c r="B845" s="62" t="inlineStr">
        <is>
          <t>TX-0839</t>
        </is>
      </c>
      <c r="C845" s="63" t="n"/>
      <c r="D845" s="62" t="n"/>
      <c r="E845" s="62" t="n"/>
      <c r="F845" s="62" t="n"/>
      <c r="G845" s="62" t="n"/>
      <c r="H845" s="62" t="n"/>
      <c r="I845" s="62" t="n"/>
      <c r="J845" s="62" t="n"/>
      <c r="K845" s="62" t="n"/>
      <c r="L845" s="64" t="n"/>
      <c r="M845" s="64" t="n"/>
      <c r="N845" s="62" t="n"/>
      <c r="O845" s="65">
        <f>IF(Z845=1,L845-W845,"")</f>
        <v/>
      </c>
      <c r="P845" s="66">
        <f>IF(V845="","",IFERROR(INDEX(coa_Type,MATCH(V845,coa_Name,0)),""))</f>
        <v/>
      </c>
      <c r="Q845" s="66">
        <f>IF(Z845=1,IF(U845="In",K845&amp;"",V845),"")</f>
        <v/>
      </c>
      <c r="R845" s="66">
        <f>IF(Z845=1,IF(U845="In",V845,K845&amp;""),"")</f>
        <v/>
      </c>
      <c r="S845" s="66">
        <f>IF(X845&lt;&gt;"","⛔ "&amp;X845&amp;" — not posted",IF(Y845&lt;&gt;"","⚠ "&amp;Y845,IF(Z845=1,"✓ OK","")))</f>
        <v/>
      </c>
      <c r="T845" s="67">
        <f>IF(AND(C845="",D845="",E845="",L845="",K845=""),1,0)</f>
        <v/>
      </c>
      <c r="U845" s="67">
        <f>IFERROR(INDEX(tt_Dir,MATCH(D845,tt_Type,0)),"")</f>
        <v/>
      </c>
      <c r="V845" s="67">
        <f>IF(D845="","",IFERROR(IF(INDEX(tt_Other,MATCH(D845,tt_Type,0))="",E845&amp;"",INDEX(tt_Other,MATCH(D845,tt_Type,0))),""))</f>
        <v/>
      </c>
      <c r="W845" s="68">
        <f>IF(OR(TaxOn&lt;&gt;"Yes",NOT(ISNUMBER(M845))),0,IF(IFERROR(INDEX(tt_Tax,MATCH(D845,tt_Type,0)),"No")="Yes",M845,0))</f>
        <v/>
      </c>
      <c r="X845" s="67">
        <f>IF(T845=1,"",IF(C845="","Missing transaction date",IF(NOT(ISNUMBER(C845)),"Invalid date",IF(OR(C845&lt;DATE(2000,1,1),C845&gt;DATE(2099,12,31)),"Invalid date",IF(D845="","Select a type",IF(U845="","Unknown type: "&amp;D845,IF(V845="","Select an account (Category)",IF(ISNA(MATCH(V845,coa_Name,0)),"Unknown account: "&amp;V845,IF(K845="","Select Paid From / Deposited To",IF(ISNA(MATCH(K845,coa_Name,0)),"Unknown account: "&amp;K845,IF(NOT(ISNUMBER(L845)),"Enter an amount",IF(L845=0,"Enter an amount",IF(ABS(W845)&gt;ABS(L845),"Tax is larger than the amount","")))))))))))))</f>
        <v/>
      </c>
      <c r="Y845" s="67">
        <f>IF(OR(T845=1,X845&lt;&gt;""),"",IF(AND(B845&lt;&gt;"",COUNTIF(tx_ID,B845)&gt;1),"Duplicate transaction ID",IF(AND(L845&lt;0,D845&lt;&gt;"Adjustment"),"Negative amount — check this entry",IF(AND(D845="Customer Payment",G845=""),"Add the customer",IF(AND(D845="Customer Payment",OR(J845="",COUNTIF(ar_No,J845&amp;"")=0)),"Invoice # in Reference not found on AR sheet",IF(AND(D845="Bill Payment",H845=""),"Add the vendor",IF(AND(D845="Bill Payment",OR(J845="",COUNTIFS(ap_No,J845&amp;"",ap_Party,H845&amp;"")=0)),"Bill # + vendor not found on AP sheet",IF(AND(ISNUMBER(M845),N(M845)&lt;&gt;0,W845=0),"Tax ignored (tax tracking off, or not allowed for this type)",IF(V845=K845&amp;"","Same account on both sides",IF(AND(ISNUMBER(StartDate),C845&lt;StartDate),"Date is before the accounting start date",IF(AND(D845&lt;&gt;"Adjustment",IFERROR(INDEX(coa_Pay,MATCH(K845&amp;"",coa_Name,0)),"")&lt;&gt;"Yes"),"Paid From / Deposited To is not a payment account","")))))))))))</f>
        <v/>
      </c>
      <c r="Z845" s="67">
        <f>IF(AND(T845=0,X845=""),1,0)</f>
        <v/>
      </c>
      <c r="AA845" s="68">
        <f>IF(Z845=1,IF(U845="In",L845,L845-W845),0)</f>
        <v/>
      </c>
      <c r="AB845" s="68">
        <f>IF(Z845=1,IF(U845="In",L845-W845,L845),0)</f>
        <v/>
      </c>
      <c r="AC845" s="68">
        <f>IF(AND(Z845=1,U845="Out"),W845,0)</f>
        <v/>
      </c>
      <c r="AD845" s="68">
        <f>IF(AND(Z845=1,U845="In"),W845,0)</f>
        <v/>
      </c>
    </row>
    <row r="846">
      <c r="B846" s="62" t="inlineStr">
        <is>
          <t>TX-0840</t>
        </is>
      </c>
      <c r="C846" s="63" t="n"/>
      <c r="D846" s="62" t="n"/>
      <c r="E846" s="62" t="n"/>
      <c r="F846" s="62" t="n"/>
      <c r="G846" s="62" t="n"/>
      <c r="H846" s="62" t="n"/>
      <c r="I846" s="62" t="n"/>
      <c r="J846" s="62" t="n"/>
      <c r="K846" s="62" t="n"/>
      <c r="L846" s="64" t="n"/>
      <c r="M846" s="64" t="n"/>
      <c r="N846" s="62" t="n"/>
      <c r="O846" s="65">
        <f>IF(Z846=1,L846-W846,"")</f>
        <v/>
      </c>
      <c r="P846" s="66">
        <f>IF(V846="","",IFERROR(INDEX(coa_Type,MATCH(V846,coa_Name,0)),""))</f>
        <v/>
      </c>
      <c r="Q846" s="66">
        <f>IF(Z846=1,IF(U846="In",K846&amp;"",V846),"")</f>
        <v/>
      </c>
      <c r="R846" s="66">
        <f>IF(Z846=1,IF(U846="In",V846,K846&amp;""),"")</f>
        <v/>
      </c>
      <c r="S846" s="66">
        <f>IF(X846&lt;&gt;"","⛔ "&amp;X846&amp;" — not posted",IF(Y846&lt;&gt;"","⚠ "&amp;Y846,IF(Z846=1,"✓ OK","")))</f>
        <v/>
      </c>
      <c r="T846" s="67">
        <f>IF(AND(C846="",D846="",E846="",L846="",K846=""),1,0)</f>
        <v/>
      </c>
      <c r="U846" s="67">
        <f>IFERROR(INDEX(tt_Dir,MATCH(D846,tt_Type,0)),"")</f>
        <v/>
      </c>
      <c r="V846" s="67">
        <f>IF(D846="","",IFERROR(IF(INDEX(tt_Other,MATCH(D846,tt_Type,0))="",E846&amp;"",INDEX(tt_Other,MATCH(D846,tt_Type,0))),""))</f>
        <v/>
      </c>
      <c r="W846" s="68">
        <f>IF(OR(TaxOn&lt;&gt;"Yes",NOT(ISNUMBER(M846))),0,IF(IFERROR(INDEX(tt_Tax,MATCH(D846,tt_Type,0)),"No")="Yes",M846,0))</f>
        <v/>
      </c>
      <c r="X846" s="67">
        <f>IF(T846=1,"",IF(C846="","Missing transaction date",IF(NOT(ISNUMBER(C846)),"Invalid date",IF(OR(C846&lt;DATE(2000,1,1),C846&gt;DATE(2099,12,31)),"Invalid date",IF(D846="","Select a type",IF(U846="","Unknown type: "&amp;D846,IF(V846="","Select an account (Category)",IF(ISNA(MATCH(V846,coa_Name,0)),"Unknown account: "&amp;V846,IF(K846="","Select Paid From / Deposited To",IF(ISNA(MATCH(K846,coa_Name,0)),"Unknown account: "&amp;K846,IF(NOT(ISNUMBER(L846)),"Enter an amount",IF(L846=0,"Enter an amount",IF(ABS(W846)&gt;ABS(L846),"Tax is larger than the amount","")))))))))))))</f>
        <v/>
      </c>
      <c r="Y846" s="67">
        <f>IF(OR(T846=1,X846&lt;&gt;""),"",IF(AND(B846&lt;&gt;"",COUNTIF(tx_ID,B846)&gt;1),"Duplicate transaction ID",IF(AND(L846&lt;0,D846&lt;&gt;"Adjustment"),"Negative amount — check this entry",IF(AND(D846="Customer Payment",G846=""),"Add the customer",IF(AND(D846="Customer Payment",OR(J846="",COUNTIF(ar_No,J846&amp;"")=0)),"Invoice # in Reference not found on AR sheet",IF(AND(D846="Bill Payment",H846=""),"Add the vendor",IF(AND(D846="Bill Payment",OR(J846="",COUNTIFS(ap_No,J846&amp;"",ap_Party,H846&amp;"")=0)),"Bill # + vendor not found on AP sheet",IF(AND(ISNUMBER(M846),N(M846)&lt;&gt;0,W846=0),"Tax ignored (tax tracking off, or not allowed for this type)",IF(V846=K846&amp;"","Same account on both sides",IF(AND(ISNUMBER(StartDate),C846&lt;StartDate),"Date is before the accounting start date",IF(AND(D846&lt;&gt;"Adjustment",IFERROR(INDEX(coa_Pay,MATCH(K846&amp;"",coa_Name,0)),"")&lt;&gt;"Yes"),"Paid From / Deposited To is not a payment account","")))))))))))</f>
        <v/>
      </c>
      <c r="Z846" s="67">
        <f>IF(AND(T846=0,X846=""),1,0)</f>
        <v/>
      </c>
      <c r="AA846" s="68">
        <f>IF(Z846=1,IF(U846="In",L846,L846-W846),0)</f>
        <v/>
      </c>
      <c r="AB846" s="68">
        <f>IF(Z846=1,IF(U846="In",L846-W846,L846),0)</f>
        <v/>
      </c>
      <c r="AC846" s="68">
        <f>IF(AND(Z846=1,U846="Out"),W846,0)</f>
        <v/>
      </c>
      <c r="AD846" s="68">
        <f>IF(AND(Z846=1,U846="In"),W846,0)</f>
        <v/>
      </c>
    </row>
    <row r="847">
      <c r="B847" s="62" t="inlineStr">
        <is>
          <t>TX-0841</t>
        </is>
      </c>
      <c r="C847" s="63" t="n"/>
      <c r="D847" s="62" t="n"/>
      <c r="E847" s="62" t="n"/>
      <c r="F847" s="62" t="n"/>
      <c r="G847" s="62" t="n"/>
      <c r="H847" s="62" t="n"/>
      <c r="I847" s="62" t="n"/>
      <c r="J847" s="62" t="n"/>
      <c r="K847" s="62" t="n"/>
      <c r="L847" s="64" t="n"/>
      <c r="M847" s="64" t="n"/>
      <c r="N847" s="62" t="n"/>
      <c r="O847" s="65">
        <f>IF(Z847=1,L847-W847,"")</f>
        <v/>
      </c>
      <c r="P847" s="66">
        <f>IF(V847="","",IFERROR(INDEX(coa_Type,MATCH(V847,coa_Name,0)),""))</f>
        <v/>
      </c>
      <c r="Q847" s="66">
        <f>IF(Z847=1,IF(U847="In",K847&amp;"",V847),"")</f>
        <v/>
      </c>
      <c r="R847" s="66">
        <f>IF(Z847=1,IF(U847="In",V847,K847&amp;""),"")</f>
        <v/>
      </c>
      <c r="S847" s="66">
        <f>IF(X847&lt;&gt;"","⛔ "&amp;X847&amp;" — not posted",IF(Y847&lt;&gt;"","⚠ "&amp;Y847,IF(Z847=1,"✓ OK","")))</f>
        <v/>
      </c>
      <c r="T847" s="67">
        <f>IF(AND(C847="",D847="",E847="",L847="",K847=""),1,0)</f>
        <v/>
      </c>
      <c r="U847" s="67">
        <f>IFERROR(INDEX(tt_Dir,MATCH(D847,tt_Type,0)),"")</f>
        <v/>
      </c>
      <c r="V847" s="67">
        <f>IF(D847="","",IFERROR(IF(INDEX(tt_Other,MATCH(D847,tt_Type,0))="",E847&amp;"",INDEX(tt_Other,MATCH(D847,tt_Type,0))),""))</f>
        <v/>
      </c>
      <c r="W847" s="68">
        <f>IF(OR(TaxOn&lt;&gt;"Yes",NOT(ISNUMBER(M847))),0,IF(IFERROR(INDEX(tt_Tax,MATCH(D847,tt_Type,0)),"No")="Yes",M847,0))</f>
        <v/>
      </c>
      <c r="X847" s="67">
        <f>IF(T847=1,"",IF(C847="","Missing transaction date",IF(NOT(ISNUMBER(C847)),"Invalid date",IF(OR(C847&lt;DATE(2000,1,1),C847&gt;DATE(2099,12,31)),"Invalid date",IF(D847="","Select a type",IF(U847="","Unknown type: "&amp;D847,IF(V847="","Select an account (Category)",IF(ISNA(MATCH(V847,coa_Name,0)),"Unknown account: "&amp;V847,IF(K847="","Select Paid From / Deposited To",IF(ISNA(MATCH(K847,coa_Name,0)),"Unknown account: "&amp;K847,IF(NOT(ISNUMBER(L847)),"Enter an amount",IF(L847=0,"Enter an amount",IF(ABS(W847)&gt;ABS(L847),"Tax is larger than the amount","")))))))))))))</f>
        <v/>
      </c>
      <c r="Y847" s="67">
        <f>IF(OR(T847=1,X847&lt;&gt;""),"",IF(AND(B847&lt;&gt;"",COUNTIF(tx_ID,B847)&gt;1),"Duplicate transaction ID",IF(AND(L847&lt;0,D847&lt;&gt;"Adjustment"),"Negative amount — check this entry",IF(AND(D847="Customer Payment",G847=""),"Add the customer",IF(AND(D847="Customer Payment",OR(J847="",COUNTIF(ar_No,J847&amp;"")=0)),"Invoice # in Reference not found on AR sheet",IF(AND(D847="Bill Payment",H847=""),"Add the vendor",IF(AND(D847="Bill Payment",OR(J847="",COUNTIFS(ap_No,J847&amp;"",ap_Party,H847&amp;"")=0)),"Bill # + vendor not found on AP sheet",IF(AND(ISNUMBER(M847),N(M847)&lt;&gt;0,W847=0),"Tax ignored (tax tracking off, or not allowed for this type)",IF(V847=K847&amp;"","Same account on both sides",IF(AND(ISNUMBER(StartDate),C847&lt;StartDate),"Date is before the accounting start date",IF(AND(D847&lt;&gt;"Adjustment",IFERROR(INDEX(coa_Pay,MATCH(K847&amp;"",coa_Name,0)),"")&lt;&gt;"Yes"),"Paid From / Deposited To is not a payment account","")))))))))))</f>
        <v/>
      </c>
      <c r="Z847" s="67">
        <f>IF(AND(T847=0,X847=""),1,0)</f>
        <v/>
      </c>
      <c r="AA847" s="68">
        <f>IF(Z847=1,IF(U847="In",L847,L847-W847),0)</f>
        <v/>
      </c>
      <c r="AB847" s="68">
        <f>IF(Z847=1,IF(U847="In",L847-W847,L847),0)</f>
        <v/>
      </c>
      <c r="AC847" s="68">
        <f>IF(AND(Z847=1,U847="Out"),W847,0)</f>
        <v/>
      </c>
      <c r="AD847" s="68">
        <f>IF(AND(Z847=1,U847="In"),W847,0)</f>
        <v/>
      </c>
    </row>
    <row r="848">
      <c r="B848" s="62" t="inlineStr">
        <is>
          <t>TX-0842</t>
        </is>
      </c>
      <c r="C848" s="63" t="n"/>
      <c r="D848" s="62" t="n"/>
      <c r="E848" s="62" t="n"/>
      <c r="F848" s="62" t="n"/>
      <c r="G848" s="62" t="n"/>
      <c r="H848" s="62" t="n"/>
      <c r="I848" s="62" t="n"/>
      <c r="J848" s="62" t="n"/>
      <c r="K848" s="62" t="n"/>
      <c r="L848" s="64" t="n"/>
      <c r="M848" s="64" t="n"/>
      <c r="N848" s="62" t="n"/>
      <c r="O848" s="65">
        <f>IF(Z848=1,L848-W848,"")</f>
        <v/>
      </c>
      <c r="P848" s="66">
        <f>IF(V848="","",IFERROR(INDEX(coa_Type,MATCH(V848,coa_Name,0)),""))</f>
        <v/>
      </c>
      <c r="Q848" s="66">
        <f>IF(Z848=1,IF(U848="In",K848&amp;"",V848),"")</f>
        <v/>
      </c>
      <c r="R848" s="66">
        <f>IF(Z848=1,IF(U848="In",V848,K848&amp;""),"")</f>
        <v/>
      </c>
      <c r="S848" s="66">
        <f>IF(X848&lt;&gt;"","⛔ "&amp;X848&amp;" — not posted",IF(Y848&lt;&gt;"","⚠ "&amp;Y848,IF(Z848=1,"✓ OK","")))</f>
        <v/>
      </c>
      <c r="T848" s="67">
        <f>IF(AND(C848="",D848="",E848="",L848="",K848=""),1,0)</f>
        <v/>
      </c>
      <c r="U848" s="67">
        <f>IFERROR(INDEX(tt_Dir,MATCH(D848,tt_Type,0)),"")</f>
        <v/>
      </c>
      <c r="V848" s="67">
        <f>IF(D848="","",IFERROR(IF(INDEX(tt_Other,MATCH(D848,tt_Type,0))="",E848&amp;"",INDEX(tt_Other,MATCH(D848,tt_Type,0))),""))</f>
        <v/>
      </c>
      <c r="W848" s="68">
        <f>IF(OR(TaxOn&lt;&gt;"Yes",NOT(ISNUMBER(M848))),0,IF(IFERROR(INDEX(tt_Tax,MATCH(D848,tt_Type,0)),"No")="Yes",M848,0))</f>
        <v/>
      </c>
      <c r="X848" s="67">
        <f>IF(T848=1,"",IF(C848="","Missing transaction date",IF(NOT(ISNUMBER(C848)),"Invalid date",IF(OR(C848&lt;DATE(2000,1,1),C848&gt;DATE(2099,12,31)),"Invalid date",IF(D848="","Select a type",IF(U848="","Unknown type: "&amp;D848,IF(V848="","Select an account (Category)",IF(ISNA(MATCH(V848,coa_Name,0)),"Unknown account: "&amp;V848,IF(K848="","Select Paid From / Deposited To",IF(ISNA(MATCH(K848,coa_Name,0)),"Unknown account: "&amp;K848,IF(NOT(ISNUMBER(L848)),"Enter an amount",IF(L848=0,"Enter an amount",IF(ABS(W848)&gt;ABS(L848),"Tax is larger than the amount","")))))))))))))</f>
        <v/>
      </c>
      <c r="Y848" s="67">
        <f>IF(OR(T848=1,X848&lt;&gt;""),"",IF(AND(B848&lt;&gt;"",COUNTIF(tx_ID,B848)&gt;1),"Duplicate transaction ID",IF(AND(L848&lt;0,D848&lt;&gt;"Adjustment"),"Negative amount — check this entry",IF(AND(D848="Customer Payment",G848=""),"Add the customer",IF(AND(D848="Customer Payment",OR(J848="",COUNTIF(ar_No,J848&amp;"")=0)),"Invoice # in Reference not found on AR sheet",IF(AND(D848="Bill Payment",H848=""),"Add the vendor",IF(AND(D848="Bill Payment",OR(J848="",COUNTIFS(ap_No,J848&amp;"",ap_Party,H848&amp;"")=0)),"Bill # + vendor not found on AP sheet",IF(AND(ISNUMBER(M848),N(M848)&lt;&gt;0,W848=0),"Tax ignored (tax tracking off, or not allowed for this type)",IF(V848=K848&amp;"","Same account on both sides",IF(AND(ISNUMBER(StartDate),C848&lt;StartDate),"Date is before the accounting start date",IF(AND(D848&lt;&gt;"Adjustment",IFERROR(INDEX(coa_Pay,MATCH(K848&amp;"",coa_Name,0)),"")&lt;&gt;"Yes"),"Paid From / Deposited To is not a payment account","")))))))))))</f>
        <v/>
      </c>
      <c r="Z848" s="67">
        <f>IF(AND(T848=0,X848=""),1,0)</f>
        <v/>
      </c>
      <c r="AA848" s="68">
        <f>IF(Z848=1,IF(U848="In",L848,L848-W848),0)</f>
        <v/>
      </c>
      <c r="AB848" s="68">
        <f>IF(Z848=1,IF(U848="In",L848-W848,L848),0)</f>
        <v/>
      </c>
      <c r="AC848" s="68">
        <f>IF(AND(Z848=1,U848="Out"),W848,0)</f>
        <v/>
      </c>
      <c r="AD848" s="68">
        <f>IF(AND(Z848=1,U848="In"),W848,0)</f>
        <v/>
      </c>
    </row>
    <row r="849">
      <c r="B849" s="62" t="inlineStr">
        <is>
          <t>TX-0843</t>
        </is>
      </c>
      <c r="C849" s="63" t="n"/>
      <c r="D849" s="62" t="n"/>
      <c r="E849" s="62" t="n"/>
      <c r="F849" s="62" t="n"/>
      <c r="G849" s="62" t="n"/>
      <c r="H849" s="62" t="n"/>
      <c r="I849" s="62" t="n"/>
      <c r="J849" s="62" t="n"/>
      <c r="K849" s="62" t="n"/>
      <c r="L849" s="64" t="n"/>
      <c r="M849" s="64" t="n"/>
      <c r="N849" s="62" t="n"/>
      <c r="O849" s="65">
        <f>IF(Z849=1,L849-W849,"")</f>
        <v/>
      </c>
      <c r="P849" s="66">
        <f>IF(V849="","",IFERROR(INDEX(coa_Type,MATCH(V849,coa_Name,0)),""))</f>
        <v/>
      </c>
      <c r="Q849" s="66">
        <f>IF(Z849=1,IF(U849="In",K849&amp;"",V849),"")</f>
        <v/>
      </c>
      <c r="R849" s="66">
        <f>IF(Z849=1,IF(U849="In",V849,K849&amp;""),"")</f>
        <v/>
      </c>
      <c r="S849" s="66">
        <f>IF(X849&lt;&gt;"","⛔ "&amp;X849&amp;" — not posted",IF(Y849&lt;&gt;"","⚠ "&amp;Y849,IF(Z849=1,"✓ OK","")))</f>
        <v/>
      </c>
      <c r="T849" s="67">
        <f>IF(AND(C849="",D849="",E849="",L849="",K849=""),1,0)</f>
        <v/>
      </c>
      <c r="U849" s="67">
        <f>IFERROR(INDEX(tt_Dir,MATCH(D849,tt_Type,0)),"")</f>
        <v/>
      </c>
      <c r="V849" s="67">
        <f>IF(D849="","",IFERROR(IF(INDEX(tt_Other,MATCH(D849,tt_Type,0))="",E849&amp;"",INDEX(tt_Other,MATCH(D849,tt_Type,0))),""))</f>
        <v/>
      </c>
      <c r="W849" s="68">
        <f>IF(OR(TaxOn&lt;&gt;"Yes",NOT(ISNUMBER(M849))),0,IF(IFERROR(INDEX(tt_Tax,MATCH(D849,tt_Type,0)),"No")="Yes",M849,0))</f>
        <v/>
      </c>
      <c r="X849" s="67">
        <f>IF(T849=1,"",IF(C849="","Missing transaction date",IF(NOT(ISNUMBER(C849)),"Invalid date",IF(OR(C849&lt;DATE(2000,1,1),C849&gt;DATE(2099,12,31)),"Invalid date",IF(D849="","Select a type",IF(U849="","Unknown type: "&amp;D849,IF(V849="","Select an account (Category)",IF(ISNA(MATCH(V849,coa_Name,0)),"Unknown account: "&amp;V849,IF(K849="","Select Paid From / Deposited To",IF(ISNA(MATCH(K849,coa_Name,0)),"Unknown account: "&amp;K849,IF(NOT(ISNUMBER(L849)),"Enter an amount",IF(L849=0,"Enter an amount",IF(ABS(W849)&gt;ABS(L849),"Tax is larger than the amount","")))))))))))))</f>
        <v/>
      </c>
      <c r="Y849" s="67">
        <f>IF(OR(T849=1,X849&lt;&gt;""),"",IF(AND(B849&lt;&gt;"",COUNTIF(tx_ID,B849)&gt;1),"Duplicate transaction ID",IF(AND(L849&lt;0,D849&lt;&gt;"Adjustment"),"Negative amount — check this entry",IF(AND(D849="Customer Payment",G849=""),"Add the customer",IF(AND(D849="Customer Payment",OR(J849="",COUNTIF(ar_No,J849&amp;"")=0)),"Invoice # in Reference not found on AR sheet",IF(AND(D849="Bill Payment",H849=""),"Add the vendor",IF(AND(D849="Bill Payment",OR(J849="",COUNTIFS(ap_No,J849&amp;"",ap_Party,H849&amp;"")=0)),"Bill # + vendor not found on AP sheet",IF(AND(ISNUMBER(M849),N(M849)&lt;&gt;0,W849=0),"Tax ignored (tax tracking off, or not allowed for this type)",IF(V849=K849&amp;"","Same account on both sides",IF(AND(ISNUMBER(StartDate),C849&lt;StartDate),"Date is before the accounting start date",IF(AND(D849&lt;&gt;"Adjustment",IFERROR(INDEX(coa_Pay,MATCH(K849&amp;"",coa_Name,0)),"")&lt;&gt;"Yes"),"Paid From / Deposited To is not a payment account","")))))))))))</f>
        <v/>
      </c>
      <c r="Z849" s="67">
        <f>IF(AND(T849=0,X849=""),1,0)</f>
        <v/>
      </c>
      <c r="AA849" s="68">
        <f>IF(Z849=1,IF(U849="In",L849,L849-W849),0)</f>
        <v/>
      </c>
      <c r="AB849" s="68">
        <f>IF(Z849=1,IF(U849="In",L849-W849,L849),0)</f>
        <v/>
      </c>
      <c r="AC849" s="68">
        <f>IF(AND(Z849=1,U849="Out"),W849,0)</f>
        <v/>
      </c>
      <c r="AD849" s="68">
        <f>IF(AND(Z849=1,U849="In"),W849,0)</f>
        <v/>
      </c>
    </row>
    <row r="850">
      <c r="B850" s="62" t="inlineStr">
        <is>
          <t>TX-0844</t>
        </is>
      </c>
      <c r="C850" s="63" t="n"/>
      <c r="D850" s="62" t="n"/>
      <c r="E850" s="62" t="n"/>
      <c r="F850" s="62" t="n"/>
      <c r="G850" s="62" t="n"/>
      <c r="H850" s="62" t="n"/>
      <c r="I850" s="62" t="n"/>
      <c r="J850" s="62" t="n"/>
      <c r="K850" s="62" t="n"/>
      <c r="L850" s="64" t="n"/>
      <c r="M850" s="64" t="n"/>
      <c r="N850" s="62" t="n"/>
      <c r="O850" s="65">
        <f>IF(Z850=1,L850-W850,"")</f>
        <v/>
      </c>
      <c r="P850" s="66">
        <f>IF(V850="","",IFERROR(INDEX(coa_Type,MATCH(V850,coa_Name,0)),""))</f>
        <v/>
      </c>
      <c r="Q850" s="66">
        <f>IF(Z850=1,IF(U850="In",K850&amp;"",V850),"")</f>
        <v/>
      </c>
      <c r="R850" s="66">
        <f>IF(Z850=1,IF(U850="In",V850,K850&amp;""),"")</f>
        <v/>
      </c>
      <c r="S850" s="66">
        <f>IF(X850&lt;&gt;"","⛔ "&amp;X850&amp;" — not posted",IF(Y850&lt;&gt;"","⚠ "&amp;Y850,IF(Z850=1,"✓ OK","")))</f>
        <v/>
      </c>
      <c r="T850" s="67">
        <f>IF(AND(C850="",D850="",E850="",L850="",K850=""),1,0)</f>
        <v/>
      </c>
      <c r="U850" s="67">
        <f>IFERROR(INDEX(tt_Dir,MATCH(D850,tt_Type,0)),"")</f>
        <v/>
      </c>
      <c r="V850" s="67">
        <f>IF(D850="","",IFERROR(IF(INDEX(tt_Other,MATCH(D850,tt_Type,0))="",E850&amp;"",INDEX(tt_Other,MATCH(D850,tt_Type,0))),""))</f>
        <v/>
      </c>
      <c r="W850" s="68">
        <f>IF(OR(TaxOn&lt;&gt;"Yes",NOT(ISNUMBER(M850))),0,IF(IFERROR(INDEX(tt_Tax,MATCH(D850,tt_Type,0)),"No")="Yes",M850,0))</f>
        <v/>
      </c>
      <c r="X850" s="67">
        <f>IF(T850=1,"",IF(C850="","Missing transaction date",IF(NOT(ISNUMBER(C850)),"Invalid date",IF(OR(C850&lt;DATE(2000,1,1),C850&gt;DATE(2099,12,31)),"Invalid date",IF(D850="","Select a type",IF(U850="","Unknown type: "&amp;D850,IF(V850="","Select an account (Category)",IF(ISNA(MATCH(V850,coa_Name,0)),"Unknown account: "&amp;V850,IF(K850="","Select Paid From / Deposited To",IF(ISNA(MATCH(K850,coa_Name,0)),"Unknown account: "&amp;K850,IF(NOT(ISNUMBER(L850)),"Enter an amount",IF(L850=0,"Enter an amount",IF(ABS(W850)&gt;ABS(L850),"Tax is larger than the amount","")))))))))))))</f>
        <v/>
      </c>
      <c r="Y850" s="67">
        <f>IF(OR(T850=1,X850&lt;&gt;""),"",IF(AND(B850&lt;&gt;"",COUNTIF(tx_ID,B850)&gt;1),"Duplicate transaction ID",IF(AND(L850&lt;0,D850&lt;&gt;"Adjustment"),"Negative amount — check this entry",IF(AND(D850="Customer Payment",G850=""),"Add the customer",IF(AND(D850="Customer Payment",OR(J850="",COUNTIF(ar_No,J850&amp;"")=0)),"Invoice # in Reference not found on AR sheet",IF(AND(D850="Bill Payment",H850=""),"Add the vendor",IF(AND(D850="Bill Payment",OR(J850="",COUNTIFS(ap_No,J850&amp;"",ap_Party,H850&amp;"")=0)),"Bill # + vendor not found on AP sheet",IF(AND(ISNUMBER(M850),N(M850)&lt;&gt;0,W850=0),"Tax ignored (tax tracking off, or not allowed for this type)",IF(V850=K850&amp;"","Same account on both sides",IF(AND(ISNUMBER(StartDate),C850&lt;StartDate),"Date is before the accounting start date",IF(AND(D850&lt;&gt;"Adjustment",IFERROR(INDEX(coa_Pay,MATCH(K850&amp;"",coa_Name,0)),"")&lt;&gt;"Yes"),"Paid From / Deposited To is not a payment account","")))))))))))</f>
        <v/>
      </c>
      <c r="Z850" s="67">
        <f>IF(AND(T850=0,X850=""),1,0)</f>
        <v/>
      </c>
      <c r="AA850" s="68">
        <f>IF(Z850=1,IF(U850="In",L850,L850-W850),0)</f>
        <v/>
      </c>
      <c r="AB850" s="68">
        <f>IF(Z850=1,IF(U850="In",L850-W850,L850),0)</f>
        <v/>
      </c>
      <c r="AC850" s="68">
        <f>IF(AND(Z850=1,U850="Out"),W850,0)</f>
        <v/>
      </c>
      <c r="AD850" s="68">
        <f>IF(AND(Z850=1,U850="In"),W850,0)</f>
        <v/>
      </c>
    </row>
    <row r="851">
      <c r="B851" s="62" t="inlineStr">
        <is>
          <t>TX-0845</t>
        </is>
      </c>
      <c r="C851" s="63" t="n"/>
      <c r="D851" s="62" t="n"/>
      <c r="E851" s="62" t="n"/>
      <c r="F851" s="62" t="n"/>
      <c r="G851" s="62" t="n"/>
      <c r="H851" s="62" t="n"/>
      <c r="I851" s="62" t="n"/>
      <c r="J851" s="62" t="n"/>
      <c r="K851" s="62" t="n"/>
      <c r="L851" s="64" t="n"/>
      <c r="M851" s="64" t="n"/>
      <c r="N851" s="62" t="n"/>
      <c r="O851" s="65">
        <f>IF(Z851=1,L851-W851,"")</f>
        <v/>
      </c>
      <c r="P851" s="66">
        <f>IF(V851="","",IFERROR(INDEX(coa_Type,MATCH(V851,coa_Name,0)),""))</f>
        <v/>
      </c>
      <c r="Q851" s="66">
        <f>IF(Z851=1,IF(U851="In",K851&amp;"",V851),"")</f>
        <v/>
      </c>
      <c r="R851" s="66">
        <f>IF(Z851=1,IF(U851="In",V851,K851&amp;""),"")</f>
        <v/>
      </c>
      <c r="S851" s="66">
        <f>IF(X851&lt;&gt;"","⛔ "&amp;X851&amp;" — not posted",IF(Y851&lt;&gt;"","⚠ "&amp;Y851,IF(Z851=1,"✓ OK","")))</f>
        <v/>
      </c>
      <c r="T851" s="67">
        <f>IF(AND(C851="",D851="",E851="",L851="",K851=""),1,0)</f>
        <v/>
      </c>
      <c r="U851" s="67">
        <f>IFERROR(INDEX(tt_Dir,MATCH(D851,tt_Type,0)),"")</f>
        <v/>
      </c>
      <c r="V851" s="67">
        <f>IF(D851="","",IFERROR(IF(INDEX(tt_Other,MATCH(D851,tt_Type,0))="",E851&amp;"",INDEX(tt_Other,MATCH(D851,tt_Type,0))),""))</f>
        <v/>
      </c>
      <c r="W851" s="68">
        <f>IF(OR(TaxOn&lt;&gt;"Yes",NOT(ISNUMBER(M851))),0,IF(IFERROR(INDEX(tt_Tax,MATCH(D851,tt_Type,0)),"No")="Yes",M851,0))</f>
        <v/>
      </c>
      <c r="X851" s="67">
        <f>IF(T851=1,"",IF(C851="","Missing transaction date",IF(NOT(ISNUMBER(C851)),"Invalid date",IF(OR(C851&lt;DATE(2000,1,1),C851&gt;DATE(2099,12,31)),"Invalid date",IF(D851="","Select a type",IF(U851="","Unknown type: "&amp;D851,IF(V851="","Select an account (Category)",IF(ISNA(MATCH(V851,coa_Name,0)),"Unknown account: "&amp;V851,IF(K851="","Select Paid From / Deposited To",IF(ISNA(MATCH(K851,coa_Name,0)),"Unknown account: "&amp;K851,IF(NOT(ISNUMBER(L851)),"Enter an amount",IF(L851=0,"Enter an amount",IF(ABS(W851)&gt;ABS(L851),"Tax is larger than the amount","")))))))))))))</f>
        <v/>
      </c>
      <c r="Y851" s="67">
        <f>IF(OR(T851=1,X851&lt;&gt;""),"",IF(AND(B851&lt;&gt;"",COUNTIF(tx_ID,B851)&gt;1),"Duplicate transaction ID",IF(AND(L851&lt;0,D851&lt;&gt;"Adjustment"),"Negative amount — check this entry",IF(AND(D851="Customer Payment",G851=""),"Add the customer",IF(AND(D851="Customer Payment",OR(J851="",COUNTIF(ar_No,J851&amp;"")=0)),"Invoice # in Reference not found on AR sheet",IF(AND(D851="Bill Payment",H851=""),"Add the vendor",IF(AND(D851="Bill Payment",OR(J851="",COUNTIFS(ap_No,J851&amp;"",ap_Party,H851&amp;"")=0)),"Bill # + vendor not found on AP sheet",IF(AND(ISNUMBER(M851),N(M851)&lt;&gt;0,W851=0),"Tax ignored (tax tracking off, or not allowed for this type)",IF(V851=K851&amp;"","Same account on both sides",IF(AND(ISNUMBER(StartDate),C851&lt;StartDate),"Date is before the accounting start date",IF(AND(D851&lt;&gt;"Adjustment",IFERROR(INDEX(coa_Pay,MATCH(K851&amp;"",coa_Name,0)),"")&lt;&gt;"Yes"),"Paid From / Deposited To is not a payment account","")))))))))))</f>
        <v/>
      </c>
      <c r="Z851" s="67">
        <f>IF(AND(T851=0,X851=""),1,0)</f>
        <v/>
      </c>
      <c r="AA851" s="68">
        <f>IF(Z851=1,IF(U851="In",L851,L851-W851),0)</f>
        <v/>
      </c>
      <c r="AB851" s="68">
        <f>IF(Z851=1,IF(U851="In",L851-W851,L851),0)</f>
        <v/>
      </c>
      <c r="AC851" s="68">
        <f>IF(AND(Z851=1,U851="Out"),W851,0)</f>
        <v/>
      </c>
      <c r="AD851" s="68">
        <f>IF(AND(Z851=1,U851="In"),W851,0)</f>
        <v/>
      </c>
    </row>
    <row r="852">
      <c r="B852" s="62" t="inlineStr">
        <is>
          <t>TX-0846</t>
        </is>
      </c>
      <c r="C852" s="63" t="n"/>
      <c r="D852" s="62" t="n"/>
      <c r="E852" s="62" t="n"/>
      <c r="F852" s="62" t="n"/>
      <c r="G852" s="62" t="n"/>
      <c r="H852" s="62" t="n"/>
      <c r="I852" s="62" t="n"/>
      <c r="J852" s="62" t="n"/>
      <c r="K852" s="62" t="n"/>
      <c r="L852" s="64" t="n"/>
      <c r="M852" s="64" t="n"/>
      <c r="N852" s="62" t="n"/>
      <c r="O852" s="65">
        <f>IF(Z852=1,L852-W852,"")</f>
        <v/>
      </c>
      <c r="P852" s="66">
        <f>IF(V852="","",IFERROR(INDEX(coa_Type,MATCH(V852,coa_Name,0)),""))</f>
        <v/>
      </c>
      <c r="Q852" s="66">
        <f>IF(Z852=1,IF(U852="In",K852&amp;"",V852),"")</f>
        <v/>
      </c>
      <c r="R852" s="66">
        <f>IF(Z852=1,IF(U852="In",V852,K852&amp;""),"")</f>
        <v/>
      </c>
      <c r="S852" s="66">
        <f>IF(X852&lt;&gt;"","⛔ "&amp;X852&amp;" — not posted",IF(Y852&lt;&gt;"","⚠ "&amp;Y852,IF(Z852=1,"✓ OK","")))</f>
        <v/>
      </c>
      <c r="T852" s="67">
        <f>IF(AND(C852="",D852="",E852="",L852="",K852=""),1,0)</f>
        <v/>
      </c>
      <c r="U852" s="67">
        <f>IFERROR(INDEX(tt_Dir,MATCH(D852,tt_Type,0)),"")</f>
        <v/>
      </c>
      <c r="V852" s="67">
        <f>IF(D852="","",IFERROR(IF(INDEX(tt_Other,MATCH(D852,tt_Type,0))="",E852&amp;"",INDEX(tt_Other,MATCH(D852,tt_Type,0))),""))</f>
        <v/>
      </c>
      <c r="W852" s="68">
        <f>IF(OR(TaxOn&lt;&gt;"Yes",NOT(ISNUMBER(M852))),0,IF(IFERROR(INDEX(tt_Tax,MATCH(D852,tt_Type,0)),"No")="Yes",M852,0))</f>
        <v/>
      </c>
      <c r="X852" s="67">
        <f>IF(T852=1,"",IF(C852="","Missing transaction date",IF(NOT(ISNUMBER(C852)),"Invalid date",IF(OR(C852&lt;DATE(2000,1,1),C852&gt;DATE(2099,12,31)),"Invalid date",IF(D852="","Select a type",IF(U852="","Unknown type: "&amp;D852,IF(V852="","Select an account (Category)",IF(ISNA(MATCH(V852,coa_Name,0)),"Unknown account: "&amp;V852,IF(K852="","Select Paid From / Deposited To",IF(ISNA(MATCH(K852,coa_Name,0)),"Unknown account: "&amp;K852,IF(NOT(ISNUMBER(L852)),"Enter an amount",IF(L852=0,"Enter an amount",IF(ABS(W852)&gt;ABS(L852),"Tax is larger than the amount","")))))))))))))</f>
        <v/>
      </c>
      <c r="Y852" s="67">
        <f>IF(OR(T852=1,X852&lt;&gt;""),"",IF(AND(B852&lt;&gt;"",COUNTIF(tx_ID,B852)&gt;1),"Duplicate transaction ID",IF(AND(L852&lt;0,D852&lt;&gt;"Adjustment"),"Negative amount — check this entry",IF(AND(D852="Customer Payment",G852=""),"Add the customer",IF(AND(D852="Customer Payment",OR(J852="",COUNTIF(ar_No,J852&amp;"")=0)),"Invoice # in Reference not found on AR sheet",IF(AND(D852="Bill Payment",H852=""),"Add the vendor",IF(AND(D852="Bill Payment",OR(J852="",COUNTIFS(ap_No,J852&amp;"",ap_Party,H852&amp;"")=0)),"Bill # + vendor not found on AP sheet",IF(AND(ISNUMBER(M852),N(M852)&lt;&gt;0,W852=0),"Tax ignored (tax tracking off, or not allowed for this type)",IF(V852=K852&amp;"","Same account on both sides",IF(AND(ISNUMBER(StartDate),C852&lt;StartDate),"Date is before the accounting start date",IF(AND(D852&lt;&gt;"Adjustment",IFERROR(INDEX(coa_Pay,MATCH(K852&amp;"",coa_Name,0)),"")&lt;&gt;"Yes"),"Paid From / Deposited To is not a payment account","")))))))))))</f>
        <v/>
      </c>
      <c r="Z852" s="67">
        <f>IF(AND(T852=0,X852=""),1,0)</f>
        <v/>
      </c>
      <c r="AA852" s="68">
        <f>IF(Z852=1,IF(U852="In",L852,L852-W852),0)</f>
        <v/>
      </c>
      <c r="AB852" s="68">
        <f>IF(Z852=1,IF(U852="In",L852-W852,L852),0)</f>
        <v/>
      </c>
      <c r="AC852" s="68">
        <f>IF(AND(Z852=1,U852="Out"),W852,0)</f>
        <v/>
      </c>
      <c r="AD852" s="68">
        <f>IF(AND(Z852=1,U852="In"),W852,0)</f>
        <v/>
      </c>
    </row>
    <row r="853">
      <c r="B853" s="62" t="inlineStr">
        <is>
          <t>TX-0847</t>
        </is>
      </c>
      <c r="C853" s="63" t="n"/>
      <c r="D853" s="62" t="n"/>
      <c r="E853" s="62" t="n"/>
      <c r="F853" s="62" t="n"/>
      <c r="G853" s="62" t="n"/>
      <c r="H853" s="62" t="n"/>
      <c r="I853" s="62" t="n"/>
      <c r="J853" s="62" t="n"/>
      <c r="K853" s="62" t="n"/>
      <c r="L853" s="64" t="n"/>
      <c r="M853" s="64" t="n"/>
      <c r="N853" s="62" t="n"/>
      <c r="O853" s="65">
        <f>IF(Z853=1,L853-W853,"")</f>
        <v/>
      </c>
      <c r="P853" s="66">
        <f>IF(V853="","",IFERROR(INDEX(coa_Type,MATCH(V853,coa_Name,0)),""))</f>
        <v/>
      </c>
      <c r="Q853" s="66">
        <f>IF(Z853=1,IF(U853="In",K853&amp;"",V853),"")</f>
        <v/>
      </c>
      <c r="R853" s="66">
        <f>IF(Z853=1,IF(U853="In",V853,K853&amp;""),"")</f>
        <v/>
      </c>
      <c r="S853" s="66">
        <f>IF(X853&lt;&gt;"","⛔ "&amp;X853&amp;" — not posted",IF(Y853&lt;&gt;"","⚠ "&amp;Y853,IF(Z853=1,"✓ OK","")))</f>
        <v/>
      </c>
      <c r="T853" s="67">
        <f>IF(AND(C853="",D853="",E853="",L853="",K853=""),1,0)</f>
        <v/>
      </c>
      <c r="U853" s="67">
        <f>IFERROR(INDEX(tt_Dir,MATCH(D853,tt_Type,0)),"")</f>
        <v/>
      </c>
      <c r="V853" s="67">
        <f>IF(D853="","",IFERROR(IF(INDEX(tt_Other,MATCH(D853,tt_Type,0))="",E853&amp;"",INDEX(tt_Other,MATCH(D853,tt_Type,0))),""))</f>
        <v/>
      </c>
      <c r="W853" s="68">
        <f>IF(OR(TaxOn&lt;&gt;"Yes",NOT(ISNUMBER(M853))),0,IF(IFERROR(INDEX(tt_Tax,MATCH(D853,tt_Type,0)),"No")="Yes",M853,0))</f>
        <v/>
      </c>
      <c r="X853" s="67">
        <f>IF(T853=1,"",IF(C853="","Missing transaction date",IF(NOT(ISNUMBER(C853)),"Invalid date",IF(OR(C853&lt;DATE(2000,1,1),C853&gt;DATE(2099,12,31)),"Invalid date",IF(D853="","Select a type",IF(U853="","Unknown type: "&amp;D853,IF(V853="","Select an account (Category)",IF(ISNA(MATCH(V853,coa_Name,0)),"Unknown account: "&amp;V853,IF(K853="","Select Paid From / Deposited To",IF(ISNA(MATCH(K853,coa_Name,0)),"Unknown account: "&amp;K853,IF(NOT(ISNUMBER(L853)),"Enter an amount",IF(L853=0,"Enter an amount",IF(ABS(W853)&gt;ABS(L853),"Tax is larger than the amount","")))))))))))))</f>
        <v/>
      </c>
      <c r="Y853" s="67">
        <f>IF(OR(T853=1,X853&lt;&gt;""),"",IF(AND(B853&lt;&gt;"",COUNTIF(tx_ID,B853)&gt;1),"Duplicate transaction ID",IF(AND(L853&lt;0,D853&lt;&gt;"Adjustment"),"Negative amount — check this entry",IF(AND(D853="Customer Payment",G853=""),"Add the customer",IF(AND(D853="Customer Payment",OR(J853="",COUNTIF(ar_No,J853&amp;"")=0)),"Invoice # in Reference not found on AR sheet",IF(AND(D853="Bill Payment",H853=""),"Add the vendor",IF(AND(D853="Bill Payment",OR(J853="",COUNTIFS(ap_No,J853&amp;"",ap_Party,H853&amp;"")=0)),"Bill # + vendor not found on AP sheet",IF(AND(ISNUMBER(M853),N(M853)&lt;&gt;0,W853=0),"Tax ignored (tax tracking off, or not allowed for this type)",IF(V853=K853&amp;"","Same account on both sides",IF(AND(ISNUMBER(StartDate),C853&lt;StartDate),"Date is before the accounting start date",IF(AND(D853&lt;&gt;"Adjustment",IFERROR(INDEX(coa_Pay,MATCH(K853&amp;"",coa_Name,0)),"")&lt;&gt;"Yes"),"Paid From / Deposited To is not a payment account","")))))))))))</f>
        <v/>
      </c>
      <c r="Z853" s="67">
        <f>IF(AND(T853=0,X853=""),1,0)</f>
        <v/>
      </c>
      <c r="AA853" s="68">
        <f>IF(Z853=1,IF(U853="In",L853,L853-W853),0)</f>
        <v/>
      </c>
      <c r="AB853" s="68">
        <f>IF(Z853=1,IF(U853="In",L853-W853,L853),0)</f>
        <v/>
      </c>
      <c r="AC853" s="68">
        <f>IF(AND(Z853=1,U853="Out"),W853,0)</f>
        <v/>
      </c>
      <c r="AD853" s="68">
        <f>IF(AND(Z853=1,U853="In"),W853,0)</f>
        <v/>
      </c>
    </row>
    <row r="854">
      <c r="B854" s="62" t="inlineStr">
        <is>
          <t>TX-0848</t>
        </is>
      </c>
      <c r="C854" s="63" t="n"/>
      <c r="D854" s="62" t="n"/>
      <c r="E854" s="62" t="n"/>
      <c r="F854" s="62" t="n"/>
      <c r="G854" s="62" t="n"/>
      <c r="H854" s="62" t="n"/>
      <c r="I854" s="62" t="n"/>
      <c r="J854" s="62" t="n"/>
      <c r="K854" s="62" t="n"/>
      <c r="L854" s="64" t="n"/>
      <c r="M854" s="64" t="n"/>
      <c r="N854" s="62" t="n"/>
      <c r="O854" s="65">
        <f>IF(Z854=1,L854-W854,"")</f>
        <v/>
      </c>
      <c r="P854" s="66">
        <f>IF(V854="","",IFERROR(INDEX(coa_Type,MATCH(V854,coa_Name,0)),""))</f>
        <v/>
      </c>
      <c r="Q854" s="66">
        <f>IF(Z854=1,IF(U854="In",K854&amp;"",V854),"")</f>
        <v/>
      </c>
      <c r="R854" s="66">
        <f>IF(Z854=1,IF(U854="In",V854,K854&amp;""),"")</f>
        <v/>
      </c>
      <c r="S854" s="66">
        <f>IF(X854&lt;&gt;"","⛔ "&amp;X854&amp;" — not posted",IF(Y854&lt;&gt;"","⚠ "&amp;Y854,IF(Z854=1,"✓ OK","")))</f>
        <v/>
      </c>
      <c r="T854" s="67">
        <f>IF(AND(C854="",D854="",E854="",L854="",K854=""),1,0)</f>
        <v/>
      </c>
      <c r="U854" s="67">
        <f>IFERROR(INDEX(tt_Dir,MATCH(D854,tt_Type,0)),"")</f>
        <v/>
      </c>
      <c r="V854" s="67">
        <f>IF(D854="","",IFERROR(IF(INDEX(tt_Other,MATCH(D854,tt_Type,0))="",E854&amp;"",INDEX(tt_Other,MATCH(D854,tt_Type,0))),""))</f>
        <v/>
      </c>
      <c r="W854" s="68">
        <f>IF(OR(TaxOn&lt;&gt;"Yes",NOT(ISNUMBER(M854))),0,IF(IFERROR(INDEX(tt_Tax,MATCH(D854,tt_Type,0)),"No")="Yes",M854,0))</f>
        <v/>
      </c>
      <c r="X854" s="67">
        <f>IF(T854=1,"",IF(C854="","Missing transaction date",IF(NOT(ISNUMBER(C854)),"Invalid date",IF(OR(C854&lt;DATE(2000,1,1),C854&gt;DATE(2099,12,31)),"Invalid date",IF(D854="","Select a type",IF(U854="","Unknown type: "&amp;D854,IF(V854="","Select an account (Category)",IF(ISNA(MATCH(V854,coa_Name,0)),"Unknown account: "&amp;V854,IF(K854="","Select Paid From / Deposited To",IF(ISNA(MATCH(K854,coa_Name,0)),"Unknown account: "&amp;K854,IF(NOT(ISNUMBER(L854)),"Enter an amount",IF(L854=0,"Enter an amount",IF(ABS(W854)&gt;ABS(L854),"Tax is larger than the amount","")))))))))))))</f>
        <v/>
      </c>
      <c r="Y854" s="67">
        <f>IF(OR(T854=1,X854&lt;&gt;""),"",IF(AND(B854&lt;&gt;"",COUNTIF(tx_ID,B854)&gt;1),"Duplicate transaction ID",IF(AND(L854&lt;0,D854&lt;&gt;"Adjustment"),"Negative amount — check this entry",IF(AND(D854="Customer Payment",G854=""),"Add the customer",IF(AND(D854="Customer Payment",OR(J854="",COUNTIF(ar_No,J854&amp;"")=0)),"Invoice # in Reference not found on AR sheet",IF(AND(D854="Bill Payment",H854=""),"Add the vendor",IF(AND(D854="Bill Payment",OR(J854="",COUNTIFS(ap_No,J854&amp;"",ap_Party,H854&amp;"")=0)),"Bill # + vendor not found on AP sheet",IF(AND(ISNUMBER(M854),N(M854)&lt;&gt;0,W854=0),"Tax ignored (tax tracking off, or not allowed for this type)",IF(V854=K854&amp;"","Same account on both sides",IF(AND(ISNUMBER(StartDate),C854&lt;StartDate),"Date is before the accounting start date",IF(AND(D854&lt;&gt;"Adjustment",IFERROR(INDEX(coa_Pay,MATCH(K854&amp;"",coa_Name,0)),"")&lt;&gt;"Yes"),"Paid From / Deposited To is not a payment account","")))))))))))</f>
        <v/>
      </c>
      <c r="Z854" s="67">
        <f>IF(AND(T854=0,X854=""),1,0)</f>
        <v/>
      </c>
      <c r="AA854" s="68">
        <f>IF(Z854=1,IF(U854="In",L854,L854-W854),0)</f>
        <v/>
      </c>
      <c r="AB854" s="68">
        <f>IF(Z854=1,IF(U854="In",L854-W854,L854),0)</f>
        <v/>
      </c>
      <c r="AC854" s="68">
        <f>IF(AND(Z854=1,U854="Out"),W854,0)</f>
        <v/>
      </c>
      <c r="AD854" s="68">
        <f>IF(AND(Z854=1,U854="In"),W854,0)</f>
        <v/>
      </c>
    </row>
    <row r="855">
      <c r="B855" s="62" t="inlineStr">
        <is>
          <t>TX-0849</t>
        </is>
      </c>
      <c r="C855" s="63" t="n"/>
      <c r="D855" s="62" t="n"/>
      <c r="E855" s="62" t="n"/>
      <c r="F855" s="62" t="n"/>
      <c r="G855" s="62" t="n"/>
      <c r="H855" s="62" t="n"/>
      <c r="I855" s="62" t="n"/>
      <c r="J855" s="62" t="n"/>
      <c r="K855" s="62" t="n"/>
      <c r="L855" s="64" t="n"/>
      <c r="M855" s="64" t="n"/>
      <c r="N855" s="62" t="n"/>
      <c r="O855" s="65">
        <f>IF(Z855=1,L855-W855,"")</f>
        <v/>
      </c>
      <c r="P855" s="66">
        <f>IF(V855="","",IFERROR(INDEX(coa_Type,MATCH(V855,coa_Name,0)),""))</f>
        <v/>
      </c>
      <c r="Q855" s="66">
        <f>IF(Z855=1,IF(U855="In",K855&amp;"",V855),"")</f>
        <v/>
      </c>
      <c r="R855" s="66">
        <f>IF(Z855=1,IF(U855="In",V855,K855&amp;""),"")</f>
        <v/>
      </c>
      <c r="S855" s="66">
        <f>IF(X855&lt;&gt;"","⛔ "&amp;X855&amp;" — not posted",IF(Y855&lt;&gt;"","⚠ "&amp;Y855,IF(Z855=1,"✓ OK","")))</f>
        <v/>
      </c>
      <c r="T855" s="67">
        <f>IF(AND(C855="",D855="",E855="",L855="",K855=""),1,0)</f>
        <v/>
      </c>
      <c r="U855" s="67">
        <f>IFERROR(INDEX(tt_Dir,MATCH(D855,tt_Type,0)),"")</f>
        <v/>
      </c>
      <c r="V855" s="67">
        <f>IF(D855="","",IFERROR(IF(INDEX(tt_Other,MATCH(D855,tt_Type,0))="",E855&amp;"",INDEX(tt_Other,MATCH(D855,tt_Type,0))),""))</f>
        <v/>
      </c>
      <c r="W855" s="68">
        <f>IF(OR(TaxOn&lt;&gt;"Yes",NOT(ISNUMBER(M855))),0,IF(IFERROR(INDEX(tt_Tax,MATCH(D855,tt_Type,0)),"No")="Yes",M855,0))</f>
        <v/>
      </c>
      <c r="X855" s="67">
        <f>IF(T855=1,"",IF(C855="","Missing transaction date",IF(NOT(ISNUMBER(C855)),"Invalid date",IF(OR(C855&lt;DATE(2000,1,1),C855&gt;DATE(2099,12,31)),"Invalid date",IF(D855="","Select a type",IF(U855="","Unknown type: "&amp;D855,IF(V855="","Select an account (Category)",IF(ISNA(MATCH(V855,coa_Name,0)),"Unknown account: "&amp;V855,IF(K855="","Select Paid From / Deposited To",IF(ISNA(MATCH(K855,coa_Name,0)),"Unknown account: "&amp;K855,IF(NOT(ISNUMBER(L855)),"Enter an amount",IF(L855=0,"Enter an amount",IF(ABS(W855)&gt;ABS(L855),"Tax is larger than the amount","")))))))))))))</f>
        <v/>
      </c>
      <c r="Y855" s="67">
        <f>IF(OR(T855=1,X855&lt;&gt;""),"",IF(AND(B855&lt;&gt;"",COUNTIF(tx_ID,B855)&gt;1),"Duplicate transaction ID",IF(AND(L855&lt;0,D855&lt;&gt;"Adjustment"),"Negative amount — check this entry",IF(AND(D855="Customer Payment",G855=""),"Add the customer",IF(AND(D855="Customer Payment",OR(J855="",COUNTIF(ar_No,J855&amp;"")=0)),"Invoice # in Reference not found on AR sheet",IF(AND(D855="Bill Payment",H855=""),"Add the vendor",IF(AND(D855="Bill Payment",OR(J855="",COUNTIFS(ap_No,J855&amp;"",ap_Party,H855&amp;"")=0)),"Bill # + vendor not found on AP sheet",IF(AND(ISNUMBER(M855),N(M855)&lt;&gt;0,W855=0),"Tax ignored (tax tracking off, or not allowed for this type)",IF(V855=K855&amp;"","Same account on both sides",IF(AND(ISNUMBER(StartDate),C855&lt;StartDate),"Date is before the accounting start date",IF(AND(D855&lt;&gt;"Adjustment",IFERROR(INDEX(coa_Pay,MATCH(K855&amp;"",coa_Name,0)),"")&lt;&gt;"Yes"),"Paid From / Deposited To is not a payment account","")))))))))))</f>
        <v/>
      </c>
      <c r="Z855" s="67">
        <f>IF(AND(T855=0,X855=""),1,0)</f>
        <v/>
      </c>
      <c r="AA855" s="68">
        <f>IF(Z855=1,IF(U855="In",L855,L855-W855),0)</f>
        <v/>
      </c>
      <c r="AB855" s="68">
        <f>IF(Z855=1,IF(U855="In",L855-W855,L855),0)</f>
        <v/>
      </c>
      <c r="AC855" s="68">
        <f>IF(AND(Z855=1,U855="Out"),W855,0)</f>
        <v/>
      </c>
      <c r="AD855" s="68">
        <f>IF(AND(Z855=1,U855="In"),W855,0)</f>
        <v/>
      </c>
    </row>
    <row r="856">
      <c r="B856" s="62" t="inlineStr">
        <is>
          <t>TX-0850</t>
        </is>
      </c>
      <c r="C856" s="63" t="n"/>
      <c r="D856" s="62" t="n"/>
      <c r="E856" s="62" t="n"/>
      <c r="F856" s="62" t="n"/>
      <c r="G856" s="62" t="n"/>
      <c r="H856" s="62" t="n"/>
      <c r="I856" s="62" t="n"/>
      <c r="J856" s="62" t="n"/>
      <c r="K856" s="62" t="n"/>
      <c r="L856" s="64" t="n"/>
      <c r="M856" s="64" t="n"/>
      <c r="N856" s="62" t="n"/>
      <c r="O856" s="65">
        <f>IF(Z856=1,L856-W856,"")</f>
        <v/>
      </c>
      <c r="P856" s="66">
        <f>IF(V856="","",IFERROR(INDEX(coa_Type,MATCH(V856,coa_Name,0)),""))</f>
        <v/>
      </c>
      <c r="Q856" s="66">
        <f>IF(Z856=1,IF(U856="In",K856&amp;"",V856),"")</f>
        <v/>
      </c>
      <c r="R856" s="66">
        <f>IF(Z856=1,IF(U856="In",V856,K856&amp;""),"")</f>
        <v/>
      </c>
      <c r="S856" s="66">
        <f>IF(X856&lt;&gt;"","⛔ "&amp;X856&amp;" — not posted",IF(Y856&lt;&gt;"","⚠ "&amp;Y856,IF(Z856=1,"✓ OK","")))</f>
        <v/>
      </c>
      <c r="T856" s="67">
        <f>IF(AND(C856="",D856="",E856="",L856="",K856=""),1,0)</f>
        <v/>
      </c>
      <c r="U856" s="67">
        <f>IFERROR(INDEX(tt_Dir,MATCH(D856,tt_Type,0)),"")</f>
        <v/>
      </c>
      <c r="V856" s="67">
        <f>IF(D856="","",IFERROR(IF(INDEX(tt_Other,MATCH(D856,tt_Type,0))="",E856&amp;"",INDEX(tt_Other,MATCH(D856,tt_Type,0))),""))</f>
        <v/>
      </c>
      <c r="W856" s="68">
        <f>IF(OR(TaxOn&lt;&gt;"Yes",NOT(ISNUMBER(M856))),0,IF(IFERROR(INDEX(tt_Tax,MATCH(D856,tt_Type,0)),"No")="Yes",M856,0))</f>
        <v/>
      </c>
      <c r="X856" s="67">
        <f>IF(T856=1,"",IF(C856="","Missing transaction date",IF(NOT(ISNUMBER(C856)),"Invalid date",IF(OR(C856&lt;DATE(2000,1,1),C856&gt;DATE(2099,12,31)),"Invalid date",IF(D856="","Select a type",IF(U856="","Unknown type: "&amp;D856,IF(V856="","Select an account (Category)",IF(ISNA(MATCH(V856,coa_Name,0)),"Unknown account: "&amp;V856,IF(K856="","Select Paid From / Deposited To",IF(ISNA(MATCH(K856,coa_Name,0)),"Unknown account: "&amp;K856,IF(NOT(ISNUMBER(L856)),"Enter an amount",IF(L856=0,"Enter an amount",IF(ABS(W856)&gt;ABS(L856),"Tax is larger than the amount","")))))))))))))</f>
        <v/>
      </c>
      <c r="Y856" s="67">
        <f>IF(OR(T856=1,X856&lt;&gt;""),"",IF(AND(B856&lt;&gt;"",COUNTIF(tx_ID,B856)&gt;1),"Duplicate transaction ID",IF(AND(L856&lt;0,D856&lt;&gt;"Adjustment"),"Negative amount — check this entry",IF(AND(D856="Customer Payment",G856=""),"Add the customer",IF(AND(D856="Customer Payment",OR(J856="",COUNTIF(ar_No,J856&amp;"")=0)),"Invoice # in Reference not found on AR sheet",IF(AND(D856="Bill Payment",H856=""),"Add the vendor",IF(AND(D856="Bill Payment",OR(J856="",COUNTIFS(ap_No,J856&amp;"",ap_Party,H856&amp;"")=0)),"Bill # + vendor not found on AP sheet",IF(AND(ISNUMBER(M856),N(M856)&lt;&gt;0,W856=0),"Tax ignored (tax tracking off, or not allowed for this type)",IF(V856=K856&amp;"","Same account on both sides",IF(AND(ISNUMBER(StartDate),C856&lt;StartDate),"Date is before the accounting start date",IF(AND(D856&lt;&gt;"Adjustment",IFERROR(INDEX(coa_Pay,MATCH(K856&amp;"",coa_Name,0)),"")&lt;&gt;"Yes"),"Paid From / Deposited To is not a payment account","")))))))))))</f>
        <v/>
      </c>
      <c r="Z856" s="67">
        <f>IF(AND(T856=0,X856=""),1,0)</f>
        <v/>
      </c>
      <c r="AA856" s="68">
        <f>IF(Z856=1,IF(U856="In",L856,L856-W856),0)</f>
        <v/>
      </c>
      <c r="AB856" s="68">
        <f>IF(Z856=1,IF(U856="In",L856-W856,L856),0)</f>
        <v/>
      </c>
      <c r="AC856" s="68">
        <f>IF(AND(Z856=1,U856="Out"),W856,0)</f>
        <v/>
      </c>
      <c r="AD856" s="68">
        <f>IF(AND(Z856=1,U856="In"),W856,0)</f>
        <v/>
      </c>
    </row>
    <row r="857">
      <c r="B857" s="62" t="inlineStr">
        <is>
          <t>TX-0851</t>
        </is>
      </c>
      <c r="C857" s="63" t="n"/>
      <c r="D857" s="62" t="n"/>
      <c r="E857" s="62" t="n"/>
      <c r="F857" s="62" t="n"/>
      <c r="G857" s="62" t="n"/>
      <c r="H857" s="62" t="n"/>
      <c r="I857" s="62" t="n"/>
      <c r="J857" s="62" t="n"/>
      <c r="K857" s="62" t="n"/>
      <c r="L857" s="64" t="n"/>
      <c r="M857" s="64" t="n"/>
      <c r="N857" s="62" t="n"/>
      <c r="O857" s="65">
        <f>IF(Z857=1,L857-W857,"")</f>
        <v/>
      </c>
      <c r="P857" s="66">
        <f>IF(V857="","",IFERROR(INDEX(coa_Type,MATCH(V857,coa_Name,0)),""))</f>
        <v/>
      </c>
      <c r="Q857" s="66">
        <f>IF(Z857=1,IF(U857="In",K857&amp;"",V857),"")</f>
        <v/>
      </c>
      <c r="R857" s="66">
        <f>IF(Z857=1,IF(U857="In",V857,K857&amp;""),"")</f>
        <v/>
      </c>
      <c r="S857" s="66">
        <f>IF(X857&lt;&gt;"","⛔ "&amp;X857&amp;" — not posted",IF(Y857&lt;&gt;"","⚠ "&amp;Y857,IF(Z857=1,"✓ OK","")))</f>
        <v/>
      </c>
      <c r="T857" s="67">
        <f>IF(AND(C857="",D857="",E857="",L857="",K857=""),1,0)</f>
        <v/>
      </c>
      <c r="U857" s="67">
        <f>IFERROR(INDEX(tt_Dir,MATCH(D857,tt_Type,0)),"")</f>
        <v/>
      </c>
      <c r="V857" s="67">
        <f>IF(D857="","",IFERROR(IF(INDEX(tt_Other,MATCH(D857,tt_Type,0))="",E857&amp;"",INDEX(tt_Other,MATCH(D857,tt_Type,0))),""))</f>
        <v/>
      </c>
      <c r="W857" s="68">
        <f>IF(OR(TaxOn&lt;&gt;"Yes",NOT(ISNUMBER(M857))),0,IF(IFERROR(INDEX(tt_Tax,MATCH(D857,tt_Type,0)),"No")="Yes",M857,0))</f>
        <v/>
      </c>
      <c r="X857" s="67">
        <f>IF(T857=1,"",IF(C857="","Missing transaction date",IF(NOT(ISNUMBER(C857)),"Invalid date",IF(OR(C857&lt;DATE(2000,1,1),C857&gt;DATE(2099,12,31)),"Invalid date",IF(D857="","Select a type",IF(U857="","Unknown type: "&amp;D857,IF(V857="","Select an account (Category)",IF(ISNA(MATCH(V857,coa_Name,0)),"Unknown account: "&amp;V857,IF(K857="","Select Paid From / Deposited To",IF(ISNA(MATCH(K857,coa_Name,0)),"Unknown account: "&amp;K857,IF(NOT(ISNUMBER(L857)),"Enter an amount",IF(L857=0,"Enter an amount",IF(ABS(W857)&gt;ABS(L857),"Tax is larger than the amount","")))))))))))))</f>
        <v/>
      </c>
      <c r="Y857" s="67">
        <f>IF(OR(T857=1,X857&lt;&gt;""),"",IF(AND(B857&lt;&gt;"",COUNTIF(tx_ID,B857)&gt;1),"Duplicate transaction ID",IF(AND(L857&lt;0,D857&lt;&gt;"Adjustment"),"Negative amount — check this entry",IF(AND(D857="Customer Payment",G857=""),"Add the customer",IF(AND(D857="Customer Payment",OR(J857="",COUNTIF(ar_No,J857&amp;"")=0)),"Invoice # in Reference not found on AR sheet",IF(AND(D857="Bill Payment",H857=""),"Add the vendor",IF(AND(D857="Bill Payment",OR(J857="",COUNTIFS(ap_No,J857&amp;"",ap_Party,H857&amp;"")=0)),"Bill # + vendor not found on AP sheet",IF(AND(ISNUMBER(M857),N(M857)&lt;&gt;0,W857=0),"Tax ignored (tax tracking off, or not allowed for this type)",IF(V857=K857&amp;"","Same account on both sides",IF(AND(ISNUMBER(StartDate),C857&lt;StartDate),"Date is before the accounting start date",IF(AND(D857&lt;&gt;"Adjustment",IFERROR(INDEX(coa_Pay,MATCH(K857&amp;"",coa_Name,0)),"")&lt;&gt;"Yes"),"Paid From / Deposited To is not a payment account","")))))))))))</f>
        <v/>
      </c>
      <c r="Z857" s="67">
        <f>IF(AND(T857=0,X857=""),1,0)</f>
        <v/>
      </c>
      <c r="AA857" s="68">
        <f>IF(Z857=1,IF(U857="In",L857,L857-W857),0)</f>
        <v/>
      </c>
      <c r="AB857" s="68">
        <f>IF(Z857=1,IF(U857="In",L857-W857,L857),0)</f>
        <v/>
      </c>
      <c r="AC857" s="68">
        <f>IF(AND(Z857=1,U857="Out"),W857,0)</f>
        <v/>
      </c>
      <c r="AD857" s="68">
        <f>IF(AND(Z857=1,U857="In"),W857,0)</f>
        <v/>
      </c>
    </row>
    <row r="858">
      <c r="B858" s="62" t="inlineStr">
        <is>
          <t>TX-0852</t>
        </is>
      </c>
      <c r="C858" s="63" t="n"/>
      <c r="D858" s="62" t="n"/>
      <c r="E858" s="62" t="n"/>
      <c r="F858" s="62" t="n"/>
      <c r="G858" s="62" t="n"/>
      <c r="H858" s="62" t="n"/>
      <c r="I858" s="62" t="n"/>
      <c r="J858" s="62" t="n"/>
      <c r="K858" s="62" t="n"/>
      <c r="L858" s="64" t="n"/>
      <c r="M858" s="64" t="n"/>
      <c r="N858" s="62" t="n"/>
      <c r="O858" s="65">
        <f>IF(Z858=1,L858-W858,"")</f>
        <v/>
      </c>
      <c r="P858" s="66">
        <f>IF(V858="","",IFERROR(INDEX(coa_Type,MATCH(V858,coa_Name,0)),""))</f>
        <v/>
      </c>
      <c r="Q858" s="66">
        <f>IF(Z858=1,IF(U858="In",K858&amp;"",V858),"")</f>
        <v/>
      </c>
      <c r="R858" s="66">
        <f>IF(Z858=1,IF(U858="In",V858,K858&amp;""),"")</f>
        <v/>
      </c>
      <c r="S858" s="66">
        <f>IF(X858&lt;&gt;"","⛔ "&amp;X858&amp;" — not posted",IF(Y858&lt;&gt;"","⚠ "&amp;Y858,IF(Z858=1,"✓ OK","")))</f>
        <v/>
      </c>
      <c r="T858" s="67">
        <f>IF(AND(C858="",D858="",E858="",L858="",K858=""),1,0)</f>
        <v/>
      </c>
      <c r="U858" s="67">
        <f>IFERROR(INDEX(tt_Dir,MATCH(D858,tt_Type,0)),"")</f>
        <v/>
      </c>
      <c r="V858" s="67">
        <f>IF(D858="","",IFERROR(IF(INDEX(tt_Other,MATCH(D858,tt_Type,0))="",E858&amp;"",INDEX(tt_Other,MATCH(D858,tt_Type,0))),""))</f>
        <v/>
      </c>
      <c r="W858" s="68">
        <f>IF(OR(TaxOn&lt;&gt;"Yes",NOT(ISNUMBER(M858))),0,IF(IFERROR(INDEX(tt_Tax,MATCH(D858,tt_Type,0)),"No")="Yes",M858,0))</f>
        <v/>
      </c>
      <c r="X858" s="67">
        <f>IF(T858=1,"",IF(C858="","Missing transaction date",IF(NOT(ISNUMBER(C858)),"Invalid date",IF(OR(C858&lt;DATE(2000,1,1),C858&gt;DATE(2099,12,31)),"Invalid date",IF(D858="","Select a type",IF(U858="","Unknown type: "&amp;D858,IF(V858="","Select an account (Category)",IF(ISNA(MATCH(V858,coa_Name,0)),"Unknown account: "&amp;V858,IF(K858="","Select Paid From / Deposited To",IF(ISNA(MATCH(K858,coa_Name,0)),"Unknown account: "&amp;K858,IF(NOT(ISNUMBER(L858)),"Enter an amount",IF(L858=0,"Enter an amount",IF(ABS(W858)&gt;ABS(L858),"Tax is larger than the amount","")))))))))))))</f>
        <v/>
      </c>
      <c r="Y858" s="67">
        <f>IF(OR(T858=1,X858&lt;&gt;""),"",IF(AND(B858&lt;&gt;"",COUNTIF(tx_ID,B858)&gt;1),"Duplicate transaction ID",IF(AND(L858&lt;0,D858&lt;&gt;"Adjustment"),"Negative amount — check this entry",IF(AND(D858="Customer Payment",G858=""),"Add the customer",IF(AND(D858="Customer Payment",OR(J858="",COUNTIF(ar_No,J858&amp;"")=0)),"Invoice # in Reference not found on AR sheet",IF(AND(D858="Bill Payment",H858=""),"Add the vendor",IF(AND(D858="Bill Payment",OR(J858="",COUNTIFS(ap_No,J858&amp;"",ap_Party,H858&amp;"")=0)),"Bill # + vendor not found on AP sheet",IF(AND(ISNUMBER(M858),N(M858)&lt;&gt;0,W858=0),"Tax ignored (tax tracking off, or not allowed for this type)",IF(V858=K858&amp;"","Same account on both sides",IF(AND(ISNUMBER(StartDate),C858&lt;StartDate),"Date is before the accounting start date",IF(AND(D858&lt;&gt;"Adjustment",IFERROR(INDEX(coa_Pay,MATCH(K858&amp;"",coa_Name,0)),"")&lt;&gt;"Yes"),"Paid From / Deposited To is not a payment account","")))))))))))</f>
        <v/>
      </c>
      <c r="Z858" s="67">
        <f>IF(AND(T858=0,X858=""),1,0)</f>
        <v/>
      </c>
      <c r="AA858" s="68">
        <f>IF(Z858=1,IF(U858="In",L858,L858-W858),0)</f>
        <v/>
      </c>
      <c r="AB858" s="68">
        <f>IF(Z858=1,IF(U858="In",L858-W858,L858),0)</f>
        <v/>
      </c>
      <c r="AC858" s="68">
        <f>IF(AND(Z858=1,U858="Out"),W858,0)</f>
        <v/>
      </c>
      <c r="AD858" s="68">
        <f>IF(AND(Z858=1,U858="In"),W858,0)</f>
        <v/>
      </c>
    </row>
    <row r="859">
      <c r="B859" s="62" t="inlineStr">
        <is>
          <t>TX-0853</t>
        </is>
      </c>
      <c r="C859" s="63" t="n"/>
      <c r="D859" s="62" t="n"/>
      <c r="E859" s="62" t="n"/>
      <c r="F859" s="62" t="n"/>
      <c r="G859" s="62" t="n"/>
      <c r="H859" s="62" t="n"/>
      <c r="I859" s="62" t="n"/>
      <c r="J859" s="62" t="n"/>
      <c r="K859" s="62" t="n"/>
      <c r="L859" s="64" t="n"/>
      <c r="M859" s="64" t="n"/>
      <c r="N859" s="62" t="n"/>
      <c r="O859" s="65">
        <f>IF(Z859=1,L859-W859,"")</f>
        <v/>
      </c>
      <c r="P859" s="66">
        <f>IF(V859="","",IFERROR(INDEX(coa_Type,MATCH(V859,coa_Name,0)),""))</f>
        <v/>
      </c>
      <c r="Q859" s="66">
        <f>IF(Z859=1,IF(U859="In",K859&amp;"",V859),"")</f>
        <v/>
      </c>
      <c r="R859" s="66">
        <f>IF(Z859=1,IF(U859="In",V859,K859&amp;""),"")</f>
        <v/>
      </c>
      <c r="S859" s="66">
        <f>IF(X859&lt;&gt;"","⛔ "&amp;X859&amp;" — not posted",IF(Y859&lt;&gt;"","⚠ "&amp;Y859,IF(Z859=1,"✓ OK","")))</f>
        <v/>
      </c>
      <c r="T859" s="67">
        <f>IF(AND(C859="",D859="",E859="",L859="",K859=""),1,0)</f>
        <v/>
      </c>
      <c r="U859" s="67">
        <f>IFERROR(INDEX(tt_Dir,MATCH(D859,tt_Type,0)),"")</f>
        <v/>
      </c>
      <c r="V859" s="67">
        <f>IF(D859="","",IFERROR(IF(INDEX(tt_Other,MATCH(D859,tt_Type,0))="",E859&amp;"",INDEX(tt_Other,MATCH(D859,tt_Type,0))),""))</f>
        <v/>
      </c>
      <c r="W859" s="68">
        <f>IF(OR(TaxOn&lt;&gt;"Yes",NOT(ISNUMBER(M859))),0,IF(IFERROR(INDEX(tt_Tax,MATCH(D859,tt_Type,0)),"No")="Yes",M859,0))</f>
        <v/>
      </c>
      <c r="X859" s="67">
        <f>IF(T859=1,"",IF(C859="","Missing transaction date",IF(NOT(ISNUMBER(C859)),"Invalid date",IF(OR(C859&lt;DATE(2000,1,1),C859&gt;DATE(2099,12,31)),"Invalid date",IF(D859="","Select a type",IF(U859="","Unknown type: "&amp;D859,IF(V859="","Select an account (Category)",IF(ISNA(MATCH(V859,coa_Name,0)),"Unknown account: "&amp;V859,IF(K859="","Select Paid From / Deposited To",IF(ISNA(MATCH(K859,coa_Name,0)),"Unknown account: "&amp;K859,IF(NOT(ISNUMBER(L859)),"Enter an amount",IF(L859=0,"Enter an amount",IF(ABS(W859)&gt;ABS(L859),"Tax is larger than the amount","")))))))))))))</f>
        <v/>
      </c>
      <c r="Y859" s="67">
        <f>IF(OR(T859=1,X859&lt;&gt;""),"",IF(AND(B859&lt;&gt;"",COUNTIF(tx_ID,B859)&gt;1),"Duplicate transaction ID",IF(AND(L859&lt;0,D859&lt;&gt;"Adjustment"),"Negative amount — check this entry",IF(AND(D859="Customer Payment",G859=""),"Add the customer",IF(AND(D859="Customer Payment",OR(J859="",COUNTIF(ar_No,J859&amp;"")=0)),"Invoice # in Reference not found on AR sheet",IF(AND(D859="Bill Payment",H859=""),"Add the vendor",IF(AND(D859="Bill Payment",OR(J859="",COUNTIFS(ap_No,J859&amp;"",ap_Party,H859&amp;"")=0)),"Bill # + vendor not found on AP sheet",IF(AND(ISNUMBER(M859),N(M859)&lt;&gt;0,W859=0),"Tax ignored (tax tracking off, or not allowed for this type)",IF(V859=K859&amp;"","Same account on both sides",IF(AND(ISNUMBER(StartDate),C859&lt;StartDate),"Date is before the accounting start date",IF(AND(D859&lt;&gt;"Adjustment",IFERROR(INDEX(coa_Pay,MATCH(K859&amp;"",coa_Name,0)),"")&lt;&gt;"Yes"),"Paid From / Deposited To is not a payment account","")))))))))))</f>
        <v/>
      </c>
      <c r="Z859" s="67">
        <f>IF(AND(T859=0,X859=""),1,0)</f>
        <v/>
      </c>
      <c r="AA859" s="68">
        <f>IF(Z859=1,IF(U859="In",L859,L859-W859),0)</f>
        <v/>
      </c>
      <c r="AB859" s="68">
        <f>IF(Z859=1,IF(U859="In",L859-W859,L859),0)</f>
        <v/>
      </c>
      <c r="AC859" s="68">
        <f>IF(AND(Z859=1,U859="Out"),W859,0)</f>
        <v/>
      </c>
      <c r="AD859" s="68">
        <f>IF(AND(Z859=1,U859="In"),W859,0)</f>
        <v/>
      </c>
    </row>
    <row r="860">
      <c r="B860" s="62" t="inlineStr">
        <is>
          <t>TX-0854</t>
        </is>
      </c>
      <c r="C860" s="63" t="n"/>
      <c r="D860" s="62" t="n"/>
      <c r="E860" s="62" t="n"/>
      <c r="F860" s="62" t="n"/>
      <c r="G860" s="62" t="n"/>
      <c r="H860" s="62" t="n"/>
      <c r="I860" s="62" t="n"/>
      <c r="J860" s="62" t="n"/>
      <c r="K860" s="62" t="n"/>
      <c r="L860" s="64" t="n"/>
      <c r="M860" s="64" t="n"/>
      <c r="N860" s="62" t="n"/>
      <c r="O860" s="65">
        <f>IF(Z860=1,L860-W860,"")</f>
        <v/>
      </c>
      <c r="P860" s="66">
        <f>IF(V860="","",IFERROR(INDEX(coa_Type,MATCH(V860,coa_Name,0)),""))</f>
        <v/>
      </c>
      <c r="Q860" s="66">
        <f>IF(Z860=1,IF(U860="In",K860&amp;"",V860),"")</f>
        <v/>
      </c>
      <c r="R860" s="66">
        <f>IF(Z860=1,IF(U860="In",V860,K860&amp;""),"")</f>
        <v/>
      </c>
      <c r="S860" s="66">
        <f>IF(X860&lt;&gt;"","⛔ "&amp;X860&amp;" — not posted",IF(Y860&lt;&gt;"","⚠ "&amp;Y860,IF(Z860=1,"✓ OK","")))</f>
        <v/>
      </c>
      <c r="T860" s="67">
        <f>IF(AND(C860="",D860="",E860="",L860="",K860=""),1,0)</f>
        <v/>
      </c>
      <c r="U860" s="67">
        <f>IFERROR(INDEX(tt_Dir,MATCH(D860,tt_Type,0)),"")</f>
        <v/>
      </c>
      <c r="V860" s="67">
        <f>IF(D860="","",IFERROR(IF(INDEX(tt_Other,MATCH(D860,tt_Type,0))="",E860&amp;"",INDEX(tt_Other,MATCH(D860,tt_Type,0))),""))</f>
        <v/>
      </c>
      <c r="W860" s="68">
        <f>IF(OR(TaxOn&lt;&gt;"Yes",NOT(ISNUMBER(M860))),0,IF(IFERROR(INDEX(tt_Tax,MATCH(D860,tt_Type,0)),"No")="Yes",M860,0))</f>
        <v/>
      </c>
      <c r="X860" s="67">
        <f>IF(T860=1,"",IF(C860="","Missing transaction date",IF(NOT(ISNUMBER(C860)),"Invalid date",IF(OR(C860&lt;DATE(2000,1,1),C860&gt;DATE(2099,12,31)),"Invalid date",IF(D860="","Select a type",IF(U860="","Unknown type: "&amp;D860,IF(V860="","Select an account (Category)",IF(ISNA(MATCH(V860,coa_Name,0)),"Unknown account: "&amp;V860,IF(K860="","Select Paid From / Deposited To",IF(ISNA(MATCH(K860,coa_Name,0)),"Unknown account: "&amp;K860,IF(NOT(ISNUMBER(L860)),"Enter an amount",IF(L860=0,"Enter an amount",IF(ABS(W860)&gt;ABS(L860),"Tax is larger than the amount","")))))))))))))</f>
        <v/>
      </c>
      <c r="Y860" s="67">
        <f>IF(OR(T860=1,X860&lt;&gt;""),"",IF(AND(B860&lt;&gt;"",COUNTIF(tx_ID,B860)&gt;1),"Duplicate transaction ID",IF(AND(L860&lt;0,D860&lt;&gt;"Adjustment"),"Negative amount — check this entry",IF(AND(D860="Customer Payment",G860=""),"Add the customer",IF(AND(D860="Customer Payment",OR(J860="",COUNTIF(ar_No,J860&amp;"")=0)),"Invoice # in Reference not found on AR sheet",IF(AND(D860="Bill Payment",H860=""),"Add the vendor",IF(AND(D860="Bill Payment",OR(J860="",COUNTIFS(ap_No,J860&amp;"",ap_Party,H860&amp;"")=0)),"Bill # + vendor not found on AP sheet",IF(AND(ISNUMBER(M860),N(M860)&lt;&gt;0,W860=0),"Tax ignored (tax tracking off, or not allowed for this type)",IF(V860=K860&amp;"","Same account on both sides",IF(AND(ISNUMBER(StartDate),C860&lt;StartDate),"Date is before the accounting start date",IF(AND(D860&lt;&gt;"Adjustment",IFERROR(INDEX(coa_Pay,MATCH(K860&amp;"",coa_Name,0)),"")&lt;&gt;"Yes"),"Paid From / Deposited To is not a payment account","")))))))))))</f>
        <v/>
      </c>
      <c r="Z860" s="67">
        <f>IF(AND(T860=0,X860=""),1,0)</f>
        <v/>
      </c>
      <c r="AA860" s="68">
        <f>IF(Z860=1,IF(U860="In",L860,L860-W860),0)</f>
        <v/>
      </c>
      <c r="AB860" s="68">
        <f>IF(Z860=1,IF(U860="In",L860-W860,L860),0)</f>
        <v/>
      </c>
      <c r="AC860" s="68">
        <f>IF(AND(Z860=1,U860="Out"),W860,0)</f>
        <v/>
      </c>
      <c r="AD860" s="68">
        <f>IF(AND(Z860=1,U860="In"),W860,0)</f>
        <v/>
      </c>
    </row>
    <row r="861">
      <c r="B861" s="62" t="inlineStr">
        <is>
          <t>TX-0855</t>
        </is>
      </c>
      <c r="C861" s="63" t="n"/>
      <c r="D861" s="62" t="n"/>
      <c r="E861" s="62" t="n"/>
      <c r="F861" s="62" t="n"/>
      <c r="G861" s="62" t="n"/>
      <c r="H861" s="62" t="n"/>
      <c r="I861" s="62" t="n"/>
      <c r="J861" s="62" t="n"/>
      <c r="K861" s="62" t="n"/>
      <c r="L861" s="64" t="n"/>
      <c r="M861" s="64" t="n"/>
      <c r="N861" s="62" t="n"/>
      <c r="O861" s="65">
        <f>IF(Z861=1,L861-W861,"")</f>
        <v/>
      </c>
      <c r="P861" s="66">
        <f>IF(V861="","",IFERROR(INDEX(coa_Type,MATCH(V861,coa_Name,0)),""))</f>
        <v/>
      </c>
      <c r="Q861" s="66">
        <f>IF(Z861=1,IF(U861="In",K861&amp;"",V861),"")</f>
        <v/>
      </c>
      <c r="R861" s="66">
        <f>IF(Z861=1,IF(U861="In",V861,K861&amp;""),"")</f>
        <v/>
      </c>
      <c r="S861" s="66">
        <f>IF(X861&lt;&gt;"","⛔ "&amp;X861&amp;" — not posted",IF(Y861&lt;&gt;"","⚠ "&amp;Y861,IF(Z861=1,"✓ OK","")))</f>
        <v/>
      </c>
      <c r="T861" s="67">
        <f>IF(AND(C861="",D861="",E861="",L861="",K861=""),1,0)</f>
        <v/>
      </c>
      <c r="U861" s="67">
        <f>IFERROR(INDEX(tt_Dir,MATCH(D861,tt_Type,0)),"")</f>
        <v/>
      </c>
      <c r="V861" s="67">
        <f>IF(D861="","",IFERROR(IF(INDEX(tt_Other,MATCH(D861,tt_Type,0))="",E861&amp;"",INDEX(tt_Other,MATCH(D861,tt_Type,0))),""))</f>
        <v/>
      </c>
      <c r="W861" s="68">
        <f>IF(OR(TaxOn&lt;&gt;"Yes",NOT(ISNUMBER(M861))),0,IF(IFERROR(INDEX(tt_Tax,MATCH(D861,tt_Type,0)),"No")="Yes",M861,0))</f>
        <v/>
      </c>
      <c r="X861" s="67">
        <f>IF(T861=1,"",IF(C861="","Missing transaction date",IF(NOT(ISNUMBER(C861)),"Invalid date",IF(OR(C861&lt;DATE(2000,1,1),C861&gt;DATE(2099,12,31)),"Invalid date",IF(D861="","Select a type",IF(U861="","Unknown type: "&amp;D861,IF(V861="","Select an account (Category)",IF(ISNA(MATCH(V861,coa_Name,0)),"Unknown account: "&amp;V861,IF(K861="","Select Paid From / Deposited To",IF(ISNA(MATCH(K861,coa_Name,0)),"Unknown account: "&amp;K861,IF(NOT(ISNUMBER(L861)),"Enter an amount",IF(L861=0,"Enter an amount",IF(ABS(W861)&gt;ABS(L861),"Tax is larger than the amount","")))))))))))))</f>
        <v/>
      </c>
      <c r="Y861" s="67">
        <f>IF(OR(T861=1,X861&lt;&gt;""),"",IF(AND(B861&lt;&gt;"",COUNTIF(tx_ID,B861)&gt;1),"Duplicate transaction ID",IF(AND(L861&lt;0,D861&lt;&gt;"Adjustment"),"Negative amount — check this entry",IF(AND(D861="Customer Payment",G861=""),"Add the customer",IF(AND(D861="Customer Payment",OR(J861="",COUNTIF(ar_No,J861&amp;"")=0)),"Invoice # in Reference not found on AR sheet",IF(AND(D861="Bill Payment",H861=""),"Add the vendor",IF(AND(D861="Bill Payment",OR(J861="",COUNTIFS(ap_No,J861&amp;"",ap_Party,H861&amp;"")=0)),"Bill # + vendor not found on AP sheet",IF(AND(ISNUMBER(M861),N(M861)&lt;&gt;0,W861=0),"Tax ignored (tax tracking off, or not allowed for this type)",IF(V861=K861&amp;"","Same account on both sides",IF(AND(ISNUMBER(StartDate),C861&lt;StartDate),"Date is before the accounting start date",IF(AND(D861&lt;&gt;"Adjustment",IFERROR(INDEX(coa_Pay,MATCH(K861&amp;"",coa_Name,0)),"")&lt;&gt;"Yes"),"Paid From / Deposited To is not a payment account","")))))))))))</f>
        <v/>
      </c>
      <c r="Z861" s="67">
        <f>IF(AND(T861=0,X861=""),1,0)</f>
        <v/>
      </c>
      <c r="AA861" s="68">
        <f>IF(Z861=1,IF(U861="In",L861,L861-W861),0)</f>
        <v/>
      </c>
      <c r="AB861" s="68">
        <f>IF(Z861=1,IF(U861="In",L861-W861,L861),0)</f>
        <v/>
      </c>
      <c r="AC861" s="68">
        <f>IF(AND(Z861=1,U861="Out"),W861,0)</f>
        <v/>
      </c>
      <c r="AD861" s="68">
        <f>IF(AND(Z861=1,U861="In"),W861,0)</f>
        <v/>
      </c>
    </row>
    <row r="862">
      <c r="B862" s="62" t="inlineStr">
        <is>
          <t>TX-0856</t>
        </is>
      </c>
      <c r="C862" s="63" t="n"/>
      <c r="D862" s="62" t="n"/>
      <c r="E862" s="62" t="n"/>
      <c r="F862" s="62" t="n"/>
      <c r="G862" s="62" t="n"/>
      <c r="H862" s="62" t="n"/>
      <c r="I862" s="62" t="n"/>
      <c r="J862" s="62" t="n"/>
      <c r="K862" s="62" t="n"/>
      <c r="L862" s="64" t="n"/>
      <c r="M862" s="64" t="n"/>
      <c r="N862" s="62" t="n"/>
      <c r="O862" s="65">
        <f>IF(Z862=1,L862-W862,"")</f>
        <v/>
      </c>
      <c r="P862" s="66">
        <f>IF(V862="","",IFERROR(INDEX(coa_Type,MATCH(V862,coa_Name,0)),""))</f>
        <v/>
      </c>
      <c r="Q862" s="66">
        <f>IF(Z862=1,IF(U862="In",K862&amp;"",V862),"")</f>
        <v/>
      </c>
      <c r="R862" s="66">
        <f>IF(Z862=1,IF(U862="In",V862,K862&amp;""),"")</f>
        <v/>
      </c>
      <c r="S862" s="66">
        <f>IF(X862&lt;&gt;"","⛔ "&amp;X862&amp;" — not posted",IF(Y862&lt;&gt;"","⚠ "&amp;Y862,IF(Z862=1,"✓ OK","")))</f>
        <v/>
      </c>
      <c r="T862" s="67">
        <f>IF(AND(C862="",D862="",E862="",L862="",K862=""),1,0)</f>
        <v/>
      </c>
      <c r="U862" s="67">
        <f>IFERROR(INDEX(tt_Dir,MATCH(D862,tt_Type,0)),"")</f>
        <v/>
      </c>
      <c r="V862" s="67">
        <f>IF(D862="","",IFERROR(IF(INDEX(tt_Other,MATCH(D862,tt_Type,0))="",E862&amp;"",INDEX(tt_Other,MATCH(D862,tt_Type,0))),""))</f>
        <v/>
      </c>
      <c r="W862" s="68">
        <f>IF(OR(TaxOn&lt;&gt;"Yes",NOT(ISNUMBER(M862))),0,IF(IFERROR(INDEX(tt_Tax,MATCH(D862,tt_Type,0)),"No")="Yes",M862,0))</f>
        <v/>
      </c>
      <c r="X862" s="67">
        <f>IF(T862=1,"",IF(C862="","Missing transaction date",IF(NOT(ISNUMBER(C862)),"Invalid date",IF(OR(C862&lt;DATE(2000,1,1),C862&gt;DATE(2099,12,31)),"Invalid date",IF(D862="","Select a type",IF(U862="","Unknown type: "&amp;D862,IF(V862="","Select an account (Category)",IF(ISNA(MATCH(V862,coa_Name,0)),"Unknown account: "&amp;V862,IF(K862="","Select Paid From / Deposited To",IF(ISNA(MATCH(K862,coa_Name,0)),"Unknown account: "&amp;K862,IF(NOT(ISNUMBER(L862)),"Enter an amount",IF(L862=0,"Enter an amount",IF(ABS(W862)&gt;ABS(L862),"Tax is larger than the amount","")))))))))))))</f>
        <v/>
      </c>
      <c r="Y862" s="67">
        <f>IF(OR(T862=1,X862&lt;&gt;""),"",IF(AND(B862&lt;&gt;"",COUNTIF(tx_ID,B862)&gt;1),"Duplicate transaction ID",IF(AND(L862&lt;0,D862&lt;&gt;"Adjustment"),"Negative amount — check this entry",IF(AND(D862="Customer Payment",G862=""),"Add the customer",IF(AND(D862="Customer Payment",OR(J862="",COUNTIF(ar_No,J862&amp;"")=0)),"Invoice # in Reference not found on AR sheet",IF(AND(D862="Bill Payment",H862=""),"Add the vendor",IF(AND(D862="Bill Payment",OR(J862="",COUNTIFS(ap_No,J862&amp;"",ap_Party,H862&amp;"")=0)),"Bill # + vendor not found on AP sheet",IF(AND(ISNUMBER(M862),N(M862)&lt;&gt;0,W862=0),"Tax ignored (tax tracking off, or not allowed for this type)",IF(V862=K862&amp;"","Same account on both sides",IF(AND(ISNUMBER(StartDate),C862&lt;StartDate),"Date is before the accounting start date",IF(AND(D862&lt;&gt;"Adjustment",IFERROR(INDEX(coa_Pay,MATCH(K862&amp;"",coa_Name,0)),"")&lt;&gt;"Yes"),"Paid From / Deposited To is not a payment account","")))))))))))</f>
        <v/>
      </c>
      <c r="Z862" s="67">
        <f>IF(AND(T862=0,X862=""),1,0)</f>
        <v/>
      </c>
      <c r="AA862" s="68">
        <f>IF(Z862=1,IF(U862="In",L862,L862-W862),0)</f>
        <v/>
      </c>
      <c r="AB862" s="68">
        <f>IF(Z862=1,IF(U862="In",L862-W862,L862),0)</f>
        <v/>
      </c>
      <c r="AC862" s="68">
        <f>IF(AND(Z862=1,U862="Out"),W862,0)</f>
        <v/>
      </c>
      <c r="AD862" s="68">
        <f>IF(AND(Z862=1,U862="In"),W862,0)</f>
        <v/>
      </c>
    </row>
    <row r="863">
      <c r="B863" s="62" t="inlineStr">
        <is>
          <t>TX-0857</t>
        </is>
      </c>
      <c r="C863" s="63" t="n"/>
      <c r="D863" s="62" t="n"/>
      <c r="E863" s="62" t="n"/>
      <c r="F863" s="62" t="n"/>
      <c r="G863" s="62" t="n"/>
      <c r="H863" s="62" t="n"/>
      <c r="I863" s="62" t="n"/>
      <c r="J863" s="62" t="n"/>
      <c r="K863" s="62" t="n"/>
      <c r="L863" s="64" t="n"/>
      <c r="M863" s="64" t="n"/>
      <c r="N863" s="62" t="n"/>
      <c r="O863" s="65">
        <f>IF(Z863=1,L863-W863,"")</f>
        <v/>
      </c>
      <c r="P863" s="66">
        <f>IF(V863="","",IFERROR(INDEX(coa_Type,MATCH(V863,coa_Name,0)),""))</f>
        <v/>
      </c>
      <c r="Q863" s="66">
        <f>IF(Z863=1,IF(U863="In",K863&amp;"",V863),"")</f>
        <v/>
      </c>
      <c r="R863" s="66">
        <f>IF(Z863=1,IF(U863="In",V863,K863&amp;""),"")</f>
        <v/>
      </c>
      <c r="S863" s="66">
        <f>IF(X863&lt;&gt;"","⛔ "&amp;X863&amp;" — not posted",IF(Y863&lt;&gt;"","⚠ "&amp;Y863,IF(Z863=1,"✓ OK","")))</f>
        <v/>
      </c>
      <c r="T863" s="67">
        <f>IF(AND(C863="",D863="",E863="",L863="",K863=""),1,0)</f>
        <v/>
      </c>
      <c r="U863" s="67">
        <f>IFERROR(INDEX(tt_Dir,MATCH(D863,tt_Type,0)),"")</f>
        <v/>
      </c>
      <c r="V863" s="67">
        <f>IF(D863="","",IFERROR(IF(INDEX(tt_Other,MATCH(D863,tt_Type,0))="",E863&amp;"",INDEX(tt_Other,MATCH(D863,tt_Type,0))),""))</f>
        <v/>
      </c>
      <c r="W863" s="68">
        <f>IF(OR(TaxOn&lt;&gt;"Yes",NOT(ISNUMBER(M863))),0,IF(IFERROR(INDEX(tt_Tax,MATCH(D863,tt_Type,0)),"No")="Yes",M863,0))</f>
        <v/>
      </c>
      <c r="X863" s="67">
        <f>IF(T863=1,"",IF(C863="","Missing transaction date",IF(NOT(ISNUMBER(C863)),"Invalid date",IF(OR(C863&lt;DATE(2000,1,1),C863&gt;DATE(2099,12,31)),"Invalid date",IF(D863="","Select a type",IF(U863="","Unknown type: "&amp;D863,IF(V863="","Select an account (Category)",IF(ISNA(MATCH(V863,coa_Name,0)),"Unknown account: "&amp;V863,IF(K863="","Select Paid From / Deposited To",IF(ISNA(MATCH(K863,coa_Name,0)),"Unknown account: "&amp;K863,IF(NOT(ISNUMBER(L863)),"Enter an amount",IF(L863=0,"Enter an amount",IF(ABS(W863)&gt;ABS(L863),"Tax is larger than the amount","")))))))))))))</f>
        <v/>
      </c>
      <c r="Y863" s="67">
        <f>IF(OR(T863=1,X863&lt;&gt;""),"",IF(AND(B863&lt;&gt;"",COUNTIF(tx_ID,B863)&gt;1),"Duplicate transaction ID",IF(AND(L863&lt;0,D863&lt;&gt;"Adjustment"),"Negative amount — check this entry",IF(AND(D863="Customer Payment",G863=""),"Add the customer",IF(AND(D863="Customer Payment",OR(J863="",COUNTIF(ar_No,J863&amp;"")=0)),"Invoice # in Reference not found on AR sheet",IF(AND(D863="Bill Payment",H863=""),"Add the vendor",IF(AND(D863="Bill Payment",OR(J863="",COUNTIFS(ap_No,J863&amp;"",ap_Party,H863&amp;"")=0)),"Bill # + vendor not found on AP sheet",IF(AND(ISNUMBER(M863),N(M863)&lt;&gt;0,W863=0),"Tax ignored (tax tracking off, or not allowed for this type)",IF(V863=K863&amp;"","Same account on both sides",IF(AND(ISNUMBER(StartDate),C863&lt;StartDate),"Date is before the accounting start date",IF(AND(D863&lt;&gt;"Adjustment",IFERROR(INDEX(coa_Pay,MATCH(K863&amp;"",coa_Name,0)),"")&lt;&gt;"Yes"),"Paid From / Deposited To is not a payment account","")))))))))))</f>
        <v/>
      </c>
      <c r="Z863" s="67">
        <f>IF(AND(T863=0,X863=""),1,0)</f>
        <v/>
      </c>
      <c r="AA863" s="68">
        <f>IF(Z863=1,IF(U863="In",L863,L863-W863),0)</f>
        <v/>
      </c>
      <c r="AB863" s="68">
        <f>IF(Z863=1,IF(U863="In",L863-W863,L863),0)</f>
        <v/>
      </c>
      <c r="AC863" s="68">
        <f>IF(AND(Z863=1,U863="Out"),W863,0)</f>
        <v/>
      </c>
      <c r="AD863" s="68">
        <f>IF(AND(Z863=1,U863="In"),W863,0)</f>
        <v/>
      </c>
    </row>
    <row r="864">
      <c r="B864" s="62" t="inlineStr">
        <is>
          <t>TX-0858</t>
        </is>
      </c>
      <c r="C864" s="63" t="n"/>
      <c r="D864" s="62" t="n"/>
      <c r="E864" s="62" t="n"/>
      <c r="F864" s="62" t="n"/>
      <c r="G864" s="62" t="n"/>
      <c r="H864" s="62" t="n"/>
      <c r="I864" s="62" t="n"/>
      <c r="J864" s="62" t="n"/>
      <c r="K864" s="62" t="n"/>
      <c r="L864" s="64" t="n"/>
      <c r="M864" s="64" t="n"/>
      <c r="N864" s="62" t="n"/>
      <c r="O864" s="65">
        <f>IF(Z864=1,L864-W864,"")</f>
        <v/>
      </c>
      <c r="P864" s="66">
        <f>IF(V864="","",IFERROR(INDEX(coa_Type,MATCH(V864,coa_Name,0)),""))</f>
        <v/>
      </c>
      <c r="Q864" s="66">
        <f>IF(Z864=1,IF(U864="In",K864&amp;"",V864),"")</f>
        <v/>
      </c>
      <c r="R864" s="66">
        <f>IF(Z864=1,IF(U864="In",V864,K864&amp;""),"")</f>
        <v/>
      </c>
      <c r="S864" s="66">
        <f>IF(X864&lt;&gt;"","⛔ "&amp;X864&amp;" — not posted",IF(Y864&lt;&gt;"","⚠ "&amp;Y864,IF(Z864=1,"✓ OK","")))</f>
        <v/>
      </c>
      <c r="T864" s="67">
        <f>IF(AND(C864="",D864="",E864="",L864="",K864=""),1,0)</f>
        <v/>
      </c>
      <c r="U864" s="67">
        <f>IFERROR(INDEX(tt_Dir,MATCH(D864,tt_Type,0)),"")</f>
        <v/>
      </c>
      <c r="V864" s="67">
        <f>IF(D864="","",IFERROR(IF(INDEX(tt_Other,MATCH(D864,tt_Type,0))="",E864&amp;"",INDEX(tt_Other,MATCH(D864,tt_Type,0))),""))</f>
        <v/>
      </c>
      <c r="W864" s="68">
        <f>IF(OR(TaxOn&lt;&gt;"Yes",NOT(ISNUMBER(M864))),0,IF(IFERROR(INDEX(tt_Tax,MATCH(D864,tt_Type,0)),"No")="Yes",M864,0))</f>
        <v/>
      </c>
      <c r="X864" s="67">
        <f>IF(T864=1,"",IF(C864="","Missing transaction date",IF(NOT(ISNUMBER(C864)),"Invalid date",IF(OR(C864&lt;DATE(2000,1,1),C864&gt;DATE(2099,12,31)),"Invalid date",IF(D864="","Select a type",IF(U864="","Unknown type: "&amp;D864,IF(V864="","Select an account (Category)",IF(ISNA(MATCH(V864,coa_Name,0)),"Unknown account: "&amp;V864,IF(K864="","Select Paid From / Deposited To",IF(ISNA(MATCH(K864,coa_Name,0)),"Unknown account: "&amp;K864,IF(NOT(ISNUMBER(L864)),"Enter an amount",IF(L864=0,"Enter an amount",IF(ABS(W864)&gt;ABS(L864),"Tax is larger than the amount","")))))))))))))</f>
        <v/>
      </c>
      <c r="Y864" s="67">
        <f>IF(OR(T864=1,X864&lt;&gt;""),"",IF(AND(B864&lt;&gt;"",COUNTIF(tx_ID,B864)&gt;1),"Duplicate transaction ID",IF(AND(L864&lt;0,D864&lt;&gt;"Adjustment"),"Negative amount — check this entry",IF(AND(D864="Customer Payment",G864=""),"Add the customer",IF(AND(D864="Customer Payment",OR(J864="",COUNTIF(ar_No,J864&amp;"")=0)),"Invoice # in Reference not found on AR sheet",IF(AND(D864="Bill Payment",H864=""),"Add the vendor",IF(AND(D864="Bill Payment",OR(J864="",COUNTIFS(ap_No,J864&amp;"",ap_Party,H864&amp;"")=0)),"Bill # + vendor not found on AP sheet",IF(AND(ISNUMBER(M864),N(M864)&lt;&gt;0,W864=0),"Tax ignored (tax tracking off, or not allowed for this type)",IF(V864=K864&amp;"","Same account on both sides",IF(AND(ISNUMBER(StartDate),C864&lt;StartDate),"Date is before the accounting start date",IF(AND(D864&lt;&gt;"Adjustment",IFERROR(INDEX(coa_Pay,MATCH(K864&amp;"",coa_Name,0)),"")&lt;&gt;"Yes"),"Paid From / Deposited To is not a payment account","")))))))))))</f>
        <v/>
      </c>
      <c r="Z864" s="67">
        <f>IF(AND(T864=0,X864=""),1,0)</f>
        <v/>
      </c>
      <c r="AA864" s="68">
        <f>IF(Z864=1,IF(U864="In",L864,L864-W864),0)</f>
        <v/>
      </c>
      <c r="AB864" s="68">
        <f>IF(Z864=1,IF(U864="In",L864-W864,L864),0)</f>
        <v/>
      </c>
      <c r="AC864" s="68">
        <f>IF(AND(Z864=1,U864="Out"),W864,0)</f>
        <v/>
      </c>
      <c r="AD864" s="68">
        <f>IF(AND(Z864=1,U864="In"),W864,0)</f>
        <v/>
      </c>
    </row>
    <row r="865">
      <c r="B865" s="62" t="inlineStr">
        <is>
          <t>TX-0859</t>
        </is>
      </c>
      <c r="C865" s="63" t="n"/>
      <c r="D865" s="62" t="n"/>
      <c r="E865" s="62" t="n"/>
      <c r="F865" s="62" t="n"/>
      <c r="G865" s="62" t="n"/>
      <c r="H865" s="62" t="n"/>
      <c r="I865" s="62" t="n"/>
      <c r="J865" s="62" t="n"/>
      <c r="K865" s="62" t="n"/>
      <c r="L865" s="64" t="n"/>
      <c r="M865" s="64" t="n"/>
      <c r="N865" s="62" t="n"/>
      <c r="O865" s="65">
        <f>IF(Z865=1,L865-W865,"")</f>
        <v/>
      </c>
      <c r="P865" s="66">
        <f>IF(V865="","",IFERROR(INDEX(coa_Type,MATCH(V865,coa_Name,0)),""))</f>
        <v/>
      </c>
      <c r="Q865" s="66">
        <f>IF(Z865=1,IF(U865="In",K865&amp;"",V865),"")</f>
        <v/>
      </c>
      <c r="R865" s="66">
        <f>IF(Z865=1,IF(U865="In",V865,K865&amp;""),"")</f>
        <v/>
      </c>
      <c r="S865" s="66">
        <f>IF(X865&lt;&gt;"","⛔ "&amp;X865&amp;" — not posted",IF(Y865&lt;&gt;"","⚠ "&amp;Y865,IF(Z865=1,"✓ OK","")))</f>
        <v/>
      </c>
      <c r="T865" s="67">
        <f>IF(AND(C865="",D865="",E865="",L865="",K865=""),1,0)</f>
        <v/>
      </c>
      <c r="U865" s="67">
        <f>IFERROR(INDEX(tt_Dir,MATCH(D865,tt_Type,0)),"")</f>
        <v/>
      </c>
      <c r="V865" s="67">
        <f>IF(D865="","",IFERROR(IF(INDEX(tt_Other,MATCH(D865,tt_Type,0))="",E865&amp;"",INDEX(tt_Other,MATCH(D865,tt_Type,0))),""))</f>
        <v/>
      </c>
      <c r="W865" s="68">
        <f>IF(OR(TaxOn&lt;&gt;"Yes",NOT(ISNUMBER(M865))),0,IF(IFERROR(INDEX(tt_Tax,MATCH(D865,tt_Type,0)),"No")="Yes",M865,0))</f>
        <v/>
      </c>
      <c r="X865" s="67">
        <f>IF(T865=1,"",IF(C865="","Missing transaction date",IF(NOT(ISNUMBER(C865)),"Invalid date",IF(OR(C865&lt;DATE(2000,1,1),C865&gt;DATE(2099,12,31)),"Invalid date",IF(D865="","Select a type",IF(U865="","Unknown type: "&amp;D865,IF(V865="","Select an account (Category)",IF(ISNA(MATCH(V865,coa_Name,0)),"Unknown account: "&amp;V865,IF(K865="","Select Paid From / Deposited To",IF(ISNA(MATCH(K865,coa_Name,0)),"Unknown account: "&amp;K865,IF(NOT(ISNUMBER(L865)),"Enter an amount",IF(L865=0,"Enter an amount",IF(ABS(W865)&gt;ABS(L865),"Tax is larger than the amount","")))))))))))))</f>
        <v/>
      </c>
      <c r="Y865" s="67">
        <f>IF(OR(T865=1,X865&lt;&gt;""),"",IF(AND(B865&lt;&gt;"",COUNTIF(tx_ID,B865)&gt;1),"Duplicate transaction ID",IF(AND(L865&lt;0,D865&lt;&gt;"Adjustment"),"Negative amount — check this entry",IF(AND(D865="Customer Payment",G865=""),"Add the customer",IF(AND(D865="Customer Payment",OR(J865="",COUNTIF(ar_No,J865&amp;"")=0)),"Invoice # in Reference not found on AR sheet",IF(AND(D865="Bill Payment",H865=""),"Add the vendor",IF(AND(D865="Bill Payment",OR(J865="",COUNTIFS(ap_No,J865&amp;"",ap_Party,H865&amp;"")=0)),"Bill # + vendor not found on AP sheet",IF(AND(ISNUMBER(M865),N(M865)&lt;&gt;0,W865=0),"Tax ignored (tax tracking off, or not allowed for this type)",IF(V865=K865&amp;"","Same account on both sides",IF(AND(ISNUMBER(StartDate),C865&lt;StartDate),"Date is before the accounting start date",IF(AND(D865&lt;&gt;"Adjustment",IFERROR(INDEX(coa_Pay,MATCH(K865&amp;"",coa_Name,0)),"")&lt;&gt;"Yes"),"Paid From / Deposited To is not a payment account","")))))))))))</f>
        <v/>
      </c>
      <c r="Z865" s="67">
        <f>IF(AND(T865=0,X865=""),1,0)</f>
        <v/>
      </c>
      <c r="AA865" s="68">
        <f>IF(Z865=1,IF(U865="In",L865,L865-W865),0)</f>
        <v/>
      </c>
      <c r="AB865" s="68">
        <f>IF(Z865=1,IF(U865="In",L865-W865,L865),0)</f>
        <v/>
      </c>
      <c r="AC865" s="68">
        <f>IF(AND(Z865=1,U865="Out"),W865,0)</f>
        <v/>
      </c>
      <c r="AD865" s="68">
        <f>IF(AND(Z865=1,U865="In"),W865,0)</f>
        <v/>
      </c>
    </row>
    <row r="866">
      <c r="B866" s="62" t="inlineStr">
        <is>
          <t>TX-0860</t>
        </is>
      </c>
      <c r="C866" s="63" t="n"/>
      <c r="D866" s="62" t="n"/>
      <c r="E866" s="62" t="n"/>
      <c r="F866" s="62" t="n"/>
      <c r="G866" s="62" t="n"/>
      <c r="H866" s="62" t="n"/>
      <c r="I866" s="62" t="n"/>
      <c r="J866" s="62" t="n"/>
      <c r="K866" s="62" t="n"/>
      <c r="L866" s="64" t="n"/>
      <c r="M866" s="64" t="n"/>
      <c r="N866" s="62" t="n"/>
      <c r="O866" s="65">
        <f>IF(Z866=1,L866-W866,"")</f>
        <v/>
      </c>
      <c r="P866" s="66">
        <f>IF(V866="","",IFERROR(INDEX(coa_Type,MATCH(V866,coa_Name,0)),""))</f>
        <v/>
      </c>
      <c r="Q866" s="66">
        <f>IF(Z866=1,IF(U866="In",K866&amp;"",V866),"")</f>
        <v/>
      </c>
      <c r="R866" s="66">
        <f>IF(Z866=1,IF(U866="In",V866,K866&amp;""),"")</f>
        <v/>
      </c>
      <c r="S866" s="66">
        <f>IF(X866&lt;&gt;"","⛔ "&amp;X866&amp;" — not posted",IF(Y866&lt;&gt;"","⚠ "&amp;Y866,IF(Z866=1,"✓ OK","")))</f>
        <v/>
      </c>
      <c r="T866" s="67">
        <f>IF(AND(C866="",D866="",E866="",L866="",K866=""),1,0)</f>
        <v/>
      </c>
      <c r="U866" s="67">
        <f>IFERROR(INDEX(tt_Dir,MATCH(D866,tt_Type,0)),"")</f>
        <v/>
      </c>
      <c r="V866" s="67">
        <f>IF(D866="","",IFERROR(IF(INDEX(tt_Other,MATCH(D866,tt_Type,0))="",E866&amp;"",INDEX(tt_Other,MATCH(D866,tt_Type,0))),""))</f>
        <v/>
      </c>
      <c r="W866" s="68">
        <f>IF(OR(TaxOn&lt;&gt;"Yes",NOT(ISNUMBER(M866))),0,IF(IFERROR(INDEX(tt_Tax,MATCH(D866,tt_Type,0)),"No")="Yes",M866,0))</f>
        <v/>
      </c>
      <c r="X866" s="67">
        <f>IF(T866=1,"",IF(C866="","Missing transaction date",IF(NOT(ISNUMBER(C866)),"Invalid date",IF(OR(C866&lt;DATE(2000,1,1),C866&gt;DATE(2099,12,31)),"Invalid date",IF(D866="","Select a type",IF(U866="","Unknown type: "&amp;D866,IF(V866="","Select an account (Category)",IF(ISNA(MATCH(V866,coa_Name,0)),"Unknown account: "&amp;V866,IF(K866="","Select Paid From / Deposited To",IF(ISNA(MATCH(K866,coa_Name,0)),"Unknown account: "&amp;K866,IF(NOT(ISNUMBER(L866)),"Enter an amount",IF(L866=0,"Enter an amount",IF(ABS(W866)&gt;ABS(L866),"Tax is larger than the amount","")))))))))))))</f>
        <v/>
      </c>
      <c r="Y866" s="67">
        <f>IF(OR(T866=1,X866&lt;&gt;""),"",IF(AND(B866&lt;&gt;"",COUNTIF(tx_ID,B866)&gt;1),"Duplicate transaction ID",IF(AND(L866&lt;0,D866&lt;&gt;"Adjustment"),"Negative amount — check this entry",IF(AND(D866="Customer Payment",G866=""),"Add the customer",IF(AND(D866="Customer Payment",OR(J866="",COUNTIF(ar_No,J866&amp;"")=0)),"Invoice # in Reference not found on AR sheet",IF(AND(D866="Bill Payment",H866=""),"Add the vendor",IF(AND(D866="Bill Payment",OR(J866="",COUNTIFS(ap_No,J866&amp;"",ap_Party,H866&amp;"")=0)),"Bill # + vendor not found on AP sheet",IF(AND(ISNUMBER(M866),N(M866)&lt;&gt;0,W866=0),"Tax ignored (tax tracking off, or not allowed for this type)",IF(V866=K866&amp;"","Same account on both sides",IF(AND(ISNUMBER(StartDate),C866&lt;StartDate),"Date is before the accounting start date",IF(AND(D866&lt;&gt;"Adjustment",IFERROR(INDEX(coa_Pay,MATCH(K866&amp;"",coa_Name,0)),"")&lt;&gt;"Yes"),"Paid From / Deposited To is not a payment account","")))))))))))</f>
        <v/>
      </c>
      <c r="Z866" s="67">
        <f>IF(AND(T866=0,X866=""),1,0)</f>
        <v/>
      </c>
      <c r="AA866" s="68">
        <f>IF(Z866=1,IF(U866="In",L866,L866-W866),0)</f>
        <v/>
      </c>
      <c r="AB866" s="68">
        <f>IF(Z866=1,IF(U866="In",L866-W866,L866),0)</f>
        <v/>
      </c>
      <c r="AC866" s="68">
        <f>IF(AND(Z866=1,U866="Out"),W866,0)</f>
        <v/>
      </c>
      <c r="AD866" s="68">
        <f>IF(AND(Z866=1,U866="In"),W866,0)</f>
        <v/>
      </c>
    </row>
    <row r="867">
      <c r="B867" s="62" t="inlineStr">
        <is>
          <t>TX-0861</t>
        </is>
      </c>
      <c r="C867" s="63" t="n"/>
      <c r="D867" s="62" t="n"/>
      <c r="E867" s="62" t="n"/>
      <c r="F867" s="62" t="n"/>
      <c r="G867" s="62" t="n"/>
      <c r="H867" s="62" t="n"/>
      <c r="I867" s="62" t="n"/>
      <c r="J867" s="62" t="n"/>
      <c r="K867" s="62" t="n"/>
      <c r="L867" s="64" t="n"/>
      <c r="M867" s="64" t="n"/>
      <c r="N867" s="62" t="n"/>
      <c r="O867" s="65">
        <f>IF(Z867=1,L867-W867,"")</f>
        <v/>
      </c>
      <c r="P867" s="66">
        <f>IF(V867="","",IFERROR(INDEX(coa_Type,MATCH(V867,coa_Name,0)),""))</f>
        <v/>
      </c>
      <c r="Q867" s="66">
        <f>IF(Z867=1,IF(U867="In",K867&amp;"",V867),"")</f>
        <v/>
      </c>
      <c r="R867" s="66">
        <f>IF(Z867=1,IF(U867="In",V867,K867&amp;""),"")</f>
        <v/>
      </c>
      <c r="S867" s="66">
        <f>IF(X867&lt;&gt;"","⛔ "&amp;X867&amp;" — not posted",IF(Y867&lt;&gt;"","⚠ "&amp;Y867,IF(Z867=1,"✓ OK","")))</f>
        <v/>
      </c>
      <c r="T867" s="67">
        <f>IF(AND(C867="",D867="",E867="",L867="",K867=""),1,0)</f>
        <v/>
      </c>
      <c r="U867" s="67">
        <f>IFERROR(INDEX(tt_Dir,MATCH(D867,tt_Type,0)),"")</f>
        <v/>
      </c>
      <c r="V867" s="67">
        <f>IF(D867="","",IFERROR(IF(INDEX(tt_Other,MATCH(D867,tt_Type,0))="",E867&amp;"",INDEX(tt_Other,MATCH(D867,tt_Type,0))),""))</f>
        <v/>
      </c>
      <c r="W867" s="68">
        <f>IF(OR(TaxOn&lt;&gt;"Yes",NOT(ISNUMBER(M867))),0,IF(IFERROR(INDEX(tt_Tax,MATCH(D867,tt_Type,0)),"No")="Yes",M867,0))</f>
        <v/>
      </c>
      <c r="X867" s="67">
        <f>IF(T867=1,"",IF(C867="","Missing transaction date",IF(NOT(ISNUMBER(C867)),"Invalid date",IF(OR(C867&lt;DATE(2000,1,1),C867&gt;DATE(2099,12,31)),"Invalid date",IF(D867="","Select a type",IF(U867="","Unknown type: "&amp;D867,IF(V867="","Select an account (Category)",IF(ISNA(MATCH(V867,coa_Name,0)),"Unknown account: "&amp;V867,IF(K867="","Select Paid From / Deposited To",IF(ISNA(MATCH(K867,coa_Name,0)),"Unknown account: "&amp;K867,IF(NOT(ISNUMBER(L867)),"Enter an amount",IF(L867=0,"Enter an amount",IF(ABS(W867)&gt;ABS(L867),"Tax is larger than the amount","")))))))))))))</f>
        <v/>
      </c>
      <c r="Y867" s="67">
        <f>IF(OR(T867=1,X867&lt;&gt;""),"",IF(AND(B867&lt;&gt;"",COUNTIF(tx_ID,B867)&gt;1),"Duplicate transaction ID",IF(AND(L867&lt;0,D867&lt;&gt;"Adjustment"),"Negative amount — check this entry",IF(AND(D867="Customer Payment",G867=""),"Add the customer",IF(AND(D867="Customer Payment",OR(J867="",COUNTIF(ar_No,J867&amp;"")=0)),"Invoice # in Reference not found on AR sheet",IF(AND(D867="Bill Payment",H867=""),"Add the vendor",IF(AND(D867="Bill Payment",OR(J867="",COUNTIFS(ap_No,J867&amp;"",ap_Party,H867&amp;"")=0)),"Bill # + vendor not found on AP sheet",IF(AND(ISNUMBER(M867),N(M867)&lt;&gt;0,W867=0),"Tax ignored (tax tracking off, or not allowed for this type)",IF(V867=K867&amp;"","Same account on both sides",IF(AND(ISNUMBER(StartDate),C867&lt;StartDate),"Date is before the accounting start date",IF(AND(D867&lt;&gt;"Adjustment",IFERROR(INDEX(coa_Pay,MATCH(K867&amp;"",coa_Name,0)),"")&lt;&gt;"Yes"),"Paid From / Deposited To is not a payment account","")))))))))))</f>
        <v/>
      </c>
      <c r="Z867" s="67">
        <f>IF(AND(T867=0,X867=""),1,0)</f>
        <v/>
      </c>
      <c r="AA867" s="68">
        <f>IF(Z867=1,IF(U867="In",L867,L867-W867),0)</f>
        <v/>
      </c>
      <c r="AB867" s="68">
        <f>IF(Z867=1,IF(U867="In",L867-W867,L867),0)</f>
        <v/>
      </c>
      <c r="AC867" s="68">
        <f>IF(AND(Z867=1,U867="Out"),W867,0)</f>
        <v/>
      </c>
      <c r="AD867" s="68">
        <f>IF(AND(Z867=1,U867="In"),W867,0)</f>
        <v/>
      </c>
    </row>
    <row r="868">
      <c r="B868" s="62" t="inlineStr">
        <is>
          <t>TX-0862</t>
        </is>
      </c>
      <c r="C868" s="63" t="n"/>
      <c r="D868" s="62" t="n"/>
      <c r="E868" s="62" t="n"/>
      <c r="F868" s="62" t="n"/>
      <c r="G868" s="62" t="n"/>
      <c r="H868" s="62" t="n"/>
      <c r="I868" s="62" t="n"/>
      <c r="J868" s="62" t="n"/>
      <c r="K868" s="62" t="n"/>
      <c r="L868" s="64" t="n"/>
      <c r="M868" s="64" t="n"/>
      <c r="N868" s="62" t="n"/>
      <c r="O868" s="65">
        <f>IF(Z868=1,L868-W868,"")</f>
        <v/>
      </c>
      <c r="P868" s="66">
        <f>IF(V868="","",IFERROR(INDEX(coa_Type,MATCH(V868,coa_Name,0)),""))</f>
        <v/>
      </c>
      <c r="Q868" s="66">
        <f>IF(Z868=1,IF(U868="In",K868&amp;"",V868),"")</f>
        <v/>
      </c>
      <c r="R868" s="66">
        <f>IF(Z868=1,IF(U868="In",V868,K868&amp;""),"")</f>
        <v/>
      </c>
      <c r="S868" s="66">
        <f>IF(X868&lt;&gt;"","⛔ "&amp;X868&amp;" — not posted",IF(Y868&lt;&gt;"","⚠ "&amp;Y868,IF(Z868=1,"✓ OK","")))</f>
        <v/>
      </c>
      <c r="T868" s="67">
        <f>IF(AND(C868="",D868="",E868="",L868="",K868=""),1,0)</f>
        <v/>
      </c>
      <c r="U868" s="67">
        <f>IFERROR(INDEX(tt_Dir,MATCH(D868,tt_Type,0)),"")</f>
        <v/>
      </c>
      <c r="V868" s="67">
        <f>IF(D868="","",IFERROR(IF(INDEX(tt_Other,MATCH(D868,tt_Type,0))="",E868&amp;"",INDEX(tt_Other,MATCH(D868,tt_Type,0))),""))</f>
        <v/>
      </c>
      <c r="W868" s="68">
        <f>IF(OR(TaxOn&lt;&gt;"Yes",NOT(ISNUMBER(M868))),0,IF(IFERROR(INDEX(tt_Tax,MATCH(D868,tt_Type,0)),"No")="Yes",M868,0))</f>
        <v/>
      </c>
      <c r="X868" s="67">
        <f>IF(T868=1,"",IF(C868="","Missing transaction date",IF(NOT(ISNUMBER(C868)),"Invalid date",IF(OR(C868&lt;DATE(2000,1,1),C868&gt;DATE(2099,12,31)),"Invalid date",IF(D868="","Select a type",IF(U868="","Unknown type: "&amp;D868,IF(V868="","Select an account (Category)",IF(ISNA(MATCH(V868,coa_Name,0)),"Unknown account: "&amp;V868,IF(K868="","Select Paid From / Deposited To",IF(ISNA(MATCH(K868,coa_Name,0)),"Unknown account: "&amp;K868,IF(NOT(ISNUMBER(L868)),"Enter an amount",IF(L868=0,"Enter an amount",IF(ABS(W868)&gt;ABS(L868),"Tax is larger than the amount","")))))))))))))</f>
        <v/>
      </c>
      <c r="Y868" s="67">
        <f>IF(OR(T868=1,X868&lt;&gt;""),"",IF(AND(B868&lt;&gt;"",COUNTIF(tx_ID,B868)&gt;1),"Duplicate transaction ID",IF(AND(L868&lt;0,D868&lt;&gt;"Adjustment"),"Negative amount — check this entry",IF(AND(D868="Customer Payment",G868=""),"Add the customer",IF(AND(D868="Customer Payment",OR(J868="",COUNTIF(ar_No,J868&amp;"")=0)),"Invoice # in Reference not found on AR sheet",IF(AND(D868="Bill Payment",H868=""),"Add the vendor",IF(AND(D868="Bill Payment",OR(J868="",COUNTIFS(ap_No,J868&amp;"",ap_Party,H868&amp;"")=0)),"Bill # + vendor not found on AP sheet",IF(AND(ISNUMBER(M868),N(M868)&lt;&gt;0,W868=0),"Tax ignored (tax tracking off, or not allowed for this type)",IF(V868=K868&amp;"","Same account on both sides",IF(AND(ISNUMBER(StartDate),C868&lt;StartDate),"Date is before the accounting start date",IF(AND(D868&lt;&gt;"Adjustment",IFERROR(INDEX(coa_Pay,MATCH(K868&amp;"",coa_Name,0)),"")&lt;&gt;"Yes"),"Paid From / Deposited To is not a payment account","")))))))))))</f>
        <v/>
      </c>
      <c r="Z868" s="67">
        <f>IF(AND(T868=0,X868=""),1,0)</f>
        <v/>
      </c>
      <c r="AA868" s="68">
        <f>IF(Z868=1,IF(U868="In",L868,L868-W868),0)</f>
        <v/>
      </c>
      <c r="AB868" s="68">
        <f>IF(Z868=1,IF(U868="In",L868-W868,L868),0)</f>
        <v/>
      </c>
      <c r="AC868" s="68">
        <f>IF(AND(Z868=1,U868="Out"),W868,0)</f>
        <v/>
      </c>
      <c r="AD868" s="68">
        <f>IF(AND(Z868=1,U868="In"),W868,0)</f>
        <v/>
      </c>
    </row>
    <row r="869">
      <c r="B869" s="62" t="inlineStr">
        <is>
          <t>TX-0863</t>
        </is>
      </c>
      <c r="C869" s="63" t="n"/>
      <c r="D869" s="62" t="n"/>
      <c r="E869" s="62" t="n"/>
      <c r="F869" s="62" t="n"/>
      <c r="G869" s="62" t="n"/>
      <c r="H869" s="62" t="n"/>
      <c r="I869" s="62" t="n"/>
      <c r="J869" s="62" t="n"/>
      <c r="K869" s="62" t="n"/>
      <c r="L869" s="64" t="n"/>
      <c r="M869" s="64" t="n"/>
      <c r="N869" s="62" t="n"/>
      <c r="O869" s="65">
        <f>IF(Z869=1,L869-W869,"")</f>
        <v/>
      </c>
      <c r="P869" s="66">
        <f>IF(V869="","",IFERROR(INDEX(coa_Type,MATCH(V869,coa_Name,0)),""))</f>
        <v/>
      </c>
      <c r="Q869" s="66">
        <f>IF(Z869=1,IF(U869="In",K869&amp;"",V869),"")</f>
        <v/>
      </c>
      <c r="R869" s="66">
        <f>IF(Z869=1,IF(U869="In",V869,K869&amp;""),"")</f>
        <v/>
      </c>
      <c r="S869" s="66">
        <f>IF(X869&lt;&gt;"","⛔ "&amp;X869&amp;" — not posted",IF(Y869&lt;&gt;"","⚠ "&amp;Y869,IF(Z869=1,"✓ OK","")))</f>
        <v/>
      </c>
      <c r="T869" s="67">
        <f>IF(AND(C869="",D869="",E869="",L869="",K869=""),1,0)</f>
        <v/>
      </c>
      <c r="U869" s="67">
        <f>IFERROR(INDEX(tt_Dir,MATCH(D869,tt_Type,0)),"")</f>
        <v/>
      </c>
      <c r="V869" s="67">
        <f>IF(D869="","",IFERROR(IF(INDEX(tt_Other,MATCH(D869,tt_Type,0))="",E869&amp;"",INDEX(tt_Other,MATCH(D869,tt_Type,0))),""))</f>
        <v/>
      </c>
      <c r="W869" s="68">
        <f>IF(OR(TaxOn&lt;&gt;"Yes",NOT(ISNUMBER(M869))),0,IF(IFERROR(INDEX(tt_Tax,MATCH(D869,tt_Type,0)),"No")="Yes",M869,0))</f>
        <v/>
      </c>
      <c r="X869" s="67">
        <f>IF(T869=1,"",IF(C869="","Missing transaction date",IF(NOT(ISNUMBER(C869)),"Invalid date",IF(OR(C869&lt;DATE(2000,1,1),C869&gt;DATE(2099,12,31)),"Invalid date",IF(D869="","Select a type",IF(U869="","Unknown type: "&amp;D869,IF(V869="","Select an account (Category)",IF(ISNA(MATCH(V869,coa_Name,0)),"Unknown account: "&amp;V869,IF(K869="","Select Paid From / Deposited To",IF(ISNA(MATCH(K869,coa_Name,0)),"Unknown account: "&amp;K869,IF(NOT(ISNUMBER(L869)),"Enter an amount",IF(L869=0,"Enter an amount",IF(ABS(W869)&gt;ABS(L869),"Tax is larger than the amount","")))))))))))))</f>
        <v/>
      </c>
      <c r="Y869" s="67">
        <f>IF(OR(T869=1,X869&lt;&gt;""),"",IF(AND(B869&lt;&gt;"",COUNTIF(tx_ID,B869)&gt;1),"Duplicate transaction ID",IF(AND(L869&lt;0,D869&lt;&gt;"Adjustment"),"Negative amount — check this entry",IF(AND(D869="Customer Payment",G869=""),"Add the customer",IF(AND(D869="Customer Payment",OR(J869="",COUNTIF(ar_No,J869&amp;"")=0)),"Invoice # in Reference not found on AR sheet",IF(AND(D869="Bill Payment",H869=""),"Add the vendor",IF(AND(D869="Bill Payment",OR(J869="",COUNTIFS(ap_No,J869&amp;"",ap_Party,H869&amp;"")=0)),"Bill # + vendor not found on AP sheet",IF(AND(ISNUMBER(M869),N(M869)&lt;&gt;0,W869=0),"Tax ignored (tax tracking off, or not allowed for this type)",IF(V869=K869&amp;"","Same account on both sides",IF(AND(ISNUMBER(StartDate),C869&lt;StartDate),"Date is before the accounting start date",IF(AND(D869&lt;&gt;"Adjustment",IFERROR(INDEX(coa_Pay,MATCH(K869&amp;"",coa_Name,0)),"")&lt;&gt;"Yes"),"Paid From / Deposited To is not a payment account","")))))))))))</f>
        <v/>
      </c>
      <c r="Z869" s="67">
        <f>IF(AND(T869=0,X869=""),1,0)</f>
        <v/>
      </c>
      <c r="AA869" s="68">
        <f>IF(Z869=1,IF(U869="In",L869,L869-W869),0)</f>
        <v/>
      </c>
      <c r="AB869" s="68">
        <f>IF(Z869=1,IF(U869="In",L869-W869,L869),0)</f>
        <v/>
      </c>
      <c r="AC869" s="68">
        <f>IF(AND(Z869=1,U869="Out"),W869,0)</f>
        <v/>
      </c>
      <c r="AD869" s="68">
        <f>IF(AND(Z869=1,U869="In"),W869,0)</f>
        <v/>
      </c>
    </row>
    <row r="870">
      <c r="B870" s="62" t="inlineStr">
        <is>
          <t>TX-0864</t>
        </is>
      </c>
      <c r="C870" s="63" t="n"/>
      <c r="D870" s="62" t="n"/>
      <c r="E870" s="62" t="n"/>
      <c r="F870" s="62" t="n"/>
      <c r="G870" s="62" t="n"/>
      <c r="H870" s="62" t="n"/>
      <c r="I870" s="62" t="n"/>
      <c r="J870" s="62" t="n"/>
      <c r="K870" s="62" t="n"/>
      <c r="L870" s="64" t="n"/>
      <c r="M870" s="64" t="n"/>
      <c r="N870" s="62" t="n"/>
      <c r="O870" s="65">
        <f>IF(Z870=1,L870-W870,"")</f>
        <v/>
      </c>
      <c r="P870" s="66">
        <f>IF(V870="","",IFERROR(INDEX(coa_Type,MATCH(V870,coa_Name,0)),""))</f>
        <v/>
      </c>
      <c r="Q870" s="66">
        <f>IF(Z870=1,IF(U870="In",K870&amp;"",V870),"")</f>
        <v/>
      </c>
      <c r="R870" s="66">
        <f>IF(Z870=1,IF(U870="In",V870,K870&amp;""),"")</f>
        <v/>
      </c>
      <c r="S870" s="66">
        <f>IF(X870&lt;&gt;"","⛔ "&amp;X870&amp;" — not posted",IF(Y870&lt;&gt;"","⚠ "&amp;Y870,IF(Z870=1,"✓ OK","")))</f>
        <v/>
      </c>
      <c r="T870" s="67">
        <f>IF(AND(C870="",D870="",E870="",L870="",K870=""),1,0)</f>
        <v/>
      </c>
      <c r="U870" s="67">
        <f>IFERROR(INDEX(tt_Dir,MATCH(D870,tt_Type,0)),"")</f>
        <v/>
      </c>
      <c r="V870" s="67">
        <f>IF(D870="","",IFERROR(IF(INDEX(tt_Other,MATCH(D870,tt_Type,0))="",E870&amp;"",INDEX(tt_Other,MATCH(D870,tt_Type,0))),""))</f>
        <v/>
      </c>
      <c r="W870" s="68">
        <f>IF(OR(TaxOn&lt;&gt;"Yes",NOT(ISNUMBER(M870))),0,IF(IFERROR(INDEX(tt_Tax,MATCH(D870,tt_Type,0)),"No")="Yes",M870,0))</f>
        <v/>
      </c>
      <c r="X870" s="67">
        <f>IF(T870=1,"",IF(C870="","Missing transaction date",IF(NOT(ISNUMBER(C870)),"Invalid date",IF(OR(C870&lt;DATE(2000,1,1),C870&gt;DATE(2099,12,31)),"Invalid date",IF(D870="","Select a type",IF(U870="","Unknown type: "&amp;D870,IF(V870="","Select an account (Category)",IF(ISNA(MATCH(V870,coa_Name,0)),"Unknown account: "&amp;V870,IF(K870="","Select Paid From / Deposited To",IF(ISNA(MATCH(K870,coa_Name,0)),"Unknown account: "&amp;K870,IF(NOT(ISNUMBER(L870)),"Enter an amount",IF(L870=0,"Enter an amount",IF(ABS(W870)&gt;ABS(L870),"Tax is larger than the amount","")))))))))))))</f>
        <v/>
      </c>
      <c r="Y870" s="67">
        <f>IF(OR(T870=1,X870&lt;&gt;""),"",IF(AND(B870&lt;&gt;"",COUNTIF(tx_ID,B870)&gt;1),"Duplicate transaction ID",IF(AND(L870&lt;0,D870&lt;&gt;"Adjustment"),"Negative amount — check this entry",IF(AND(D870="Customer Payment",G870=""),"Add the customer",IF(AND(D870="Customer Payment",OR(J870="",COUNTIF(ar_No,J870&amp;"")=0)),"Invoice # in Reference not found on AR sheet",IF(AND(D870="Bill Payment",H870=""),"Add the vendor",IF(AND(D870="Bill Payment",OR(J870="",COUNTIFS(ap_No,J870&amp;"",ap_Party,H870&amp;"")=0)),"Bill # + vendor not found on AP sheet",IF(AND(ISNUMBER(M870),N(M870)&lt;&gt;0,W870=0),"Tax ignored (tax tracking off, or not allowed for this type)",IF(V870=K870&amp;"","Same account on both sides",IF(AND(ISNUMBER(StartDate),C870&lt;StartDate),"Date is before the accounting start date",IF(AND(D870&lt;&gt;"Adjustment",IFERROR(INDEX(coa_Pay,MATCH(K870&amp;"",coa_Name,0)),"")&lt;&gt;"Yes"),"Paid From / Deposited To is not a payment account","")))))))))))</f>
        <v/>
      </c>
      <c r="Z870" s="67">
        <f>IF(AND(T870=0,X870=""),1,0)</f>
        <v/>
      </c>
      <c r="AA870" s="68">
        <f>IF(Z870=1,IF(U870="In",L870,L870-W870),0)</f>
        <v/>
      </c>
      <c r="AB870" s="68">
        <f>IF(Z870=1,IF(U870="In",L870-W870,L870),0)</f>
        <v/>
      </c>
      <c r="AC870" s="68">
        <f>IF(AND(Z870=1,U870="Out"),W870,0)</f>
        <v/>
      </c>
      <c r="AD870" s="68">
        <f>IF(AND(Z870=1,U870="In"),W870,0)</f>
        <v/>
      </c>
    </row>
    <row r="871">
      <c r="B871" s="62" t="inlineStr">
        <is>
          <t>TX-0865</t>
        </is>
      </c>
      <c r="C871" s="63" t="n"/>
      <c r="D871" s="62" t="n"/>
      <c r="E871" s="62" t="n"/>
      <c r="F871" s="62" t="n"/>
      <c r="G871" s="62" t="n"/>
      <c r="H871" s="62" t="n"/>
      <c r="I871" s="62" t="n"/>
      <c r="J871" s="62" t="n"/>
      <c r="K871" s="62" t="n"/>
      <c r="L871" s="64" t="n"/>
      <c r="M871" s="64" t="n"/>
      <c r="N871" s="62" t="n"/>
      <c r="O871" s="65">
        <f>IF(Z871=1,L871-W871,"")</f>
        <v/>
      </c>
      <c r="P871" s="66">
        <f>IF(V871="","",IFERROR(INDEX(coa_Type,MATCH(V871,coa_Name,0)),""))</f>
        <v/>
      </c>
      <c r="Q871" s="66">
        <f>IF(Z871=1,IF(U871="In",K871&amp;"",V871),"")</f>
        <v/>
      </c>
      <c r="R871" s="66">
        <f>IF(Z871=1,IF(U871="In",V871,K871&amp;""),"")</f>
        <v/>
      </c>
      <c r="S871" s="66">
        <f>IF(X871&lt;&gt;"","⛔ "&amp;X871&amp;" — not posted",IF(Y871&lt;&gt;"","⚠ "&amp;Y871,IF(Z871=1,"✓ OK","")))</f>
        <v/>
      </c>
      <c r="T871" s="67">
        <f>IF(AND(C871="",D871="",E871="",L871="",K871=""),1,0)</f>
        <v/>
      </c>
      <c r="U871" s="67">
        <f>IFERROR(INDEX(tt_Dir,MATCH(D871,tt_Type,0)),"")</f>
        <v/>
      </c>
      <c r="V871" s="67">
        <f>IF(D871="","",IFERROR(IF(INDEX(tt_Other,MATCH(D871,tt_Type,0))="",E871&amp;"",INDEX(tt_Other,MATCH(D871,tt_Type,0))),""))</f>
        <v/>
      </c>
      <c r="W871" s="68">
        <f>IF(OR(TaxOn&lt;&gt;"Yes",NOT(ISNUMBER(M871))),0,IF(IFERROR(INDEX(tt_Tax,MATCH(D871,tt_Type,0)),"No")="Yes",M871,0))</f>
        <v/>
      </c>
      <c r="X871" s="67">
        <f>IF(T871=1,"",IF(C871="","Missing transaction date",IF(NOT(ISNUMBER(C871)),"Invalid date",IF(OR(C871&lt;DATE(2000,1,1),C871&gt;DATE(2099,12,31)),"Invalid date",IF(D871="","Select a type",IF(U871="","Unknown type: "&amp;D871,IF(V871="","Select an account (Category)",IF(ISNA(MATCH(V871,coa_Name,0)),"Unknown account: "&amp;V871,IF(K871="","Select Paid From / Deposited To",IF(ISNA(MATCH(K871,coa_Name,0)),"Unknown account: "&amp;K871,IF(NOT(ISNUMBER(L871)),"Enter an amount",IF(L871=0,"Enter an amount",IF(ABS(W871)&gt;ABS(L871),"Tax is larger than the amount","")))))))))))))</f>
        <v/>
      </c>
      <c r="Y871" s="67">
        <f>IF(OR(T871=1,X871&lt;&gt;""),"",IF(AND(B871&lt;&gt;"",COUNTIF(tx_ID,B871)&gt;1),"Duplicate transaction ID",IF(AND(L871&lt;0,D871&lt;&gt;"Adjustment"),"Negative amount — check this entry",IF(AND(D871="Customer Payment",G871=""),"Add the customer",IF(AND(D871="Customer Payment",OR(J871="",COUNTIF(ar_No,J871&amp;"")=0)),"Invoice # in Reference not found on AR sheet",IF(AND(D871="Bill Payment",H871=""),"Add the vendor",IF(AND(D871="Bill Payment",OR(J871="",COUNTIFS(ap_No,J871&amp;"",ap_Party,H871&amp;"")=0)),"Bill # + vendor not found on AP sheet",IF(AND(ISNUMBER(M871),N(M871)&lt;&gt;0,W871=0),"Tax ignored (tax tracking off, or not allowed for this type)",IF(V871=K871&amp;"","Same account on both sides",IF(AND(ISNUMBER(StartDate),C871&lt;StartDate),"Date is before the accounting start date",IF(AND(D871&lt;&gt;"Adjustment",IFERROR(INDEX(coa_Pay,MATCH(K871&amp;"",coa_Name,0)),"")&lt;&gt;"Yes"),"Paid From / Deposited To is not a payment account","")))))))))))</f>
        <v/>
      </c>
      <c r="Z871" s="67">
        <f>IF(AND(T871=0,X871=""),1,0)</f>
        <v/>
      </c>
      <c r="AA871" s="68">
        <f>IF(Z871=1,IF(U871="In",L871,L871-W871),0)</f>
        <v/>
      </c>
      <c r="AB871" s="68">
        <f>IF(Z871=1,IF(U871="In",L871-W871,L871),0)</f>
        <v/>
      </c>
      <c r="AC871" s="68">
        <f>IF(AND(Z871=1,U871="Out"),W871,0)</f>
        <v/>
      </c>
      <c r="AD871" s="68">
        <f>IF(AND(Z871=1,U871="In"),W871,0)</f>
        <v/>
      </c>
    </row>
    <row r="872">
      <c r="B872" s="62" t="inlineStr">
        <is>
          <t>TX-0866</t>
        </is>
      </c>
      <c r="C872" s="63" t="n"/>
      <c r="D872" s="62" t="n"/>
      <c r="E872" s="62" t="n"/>
      <c r="F872" s="62" t="n"/>
      <c r="G872" s="62" t="n"/>
      <c r="H872" s="62" t="n"/>
      <c r="I872" s="62" t="n"/>
      <c r="J872" s="62" t="n"/>
      <c r="K872" s="62" t="n"/>
      <c r="L872" s="64" t="n"/>
      <c r="M872" s="64" t="n"/>
      <c r="N872" s="62" t="n"/>
      <c r="O872" s="65">
        <f>IF(Z872=1,L872-W872,"")</f>
        <v/>
      </c>
      <c r="P872" s="66">
        <f>IF(V872="","",IFERROR(INDEX(coa_Type,MATCH(V872,coa_Name,0)),""))</f>
        <v/>
      </c>
      <c r="Q872" s="66">
        <f>IF(Z872=1,IF(U872="In",K872&amp;"",V872),"")</f>
        <v/>
      </c>
      <c r="R872" s="66">
        <f>IF(Z872=1,IF(U872="In",V872,K872&amp;""),"")</f>
        <v/>
      </c>
      <c r="S872" s="66">
        <f>IF(X872&lt;&gt;"","⛔ "&amp;X872&amp;" — not posted",IF(Y872&lt;&gt;"","⚠ "&amp;Y872,IF(Z872=1,"✓ OK","")))</f>
        <v/>
      </c>
      <c r="T872" s="67">
        <f>IF(AND(C872="",D872="",E872="",L872="",K872=""),1,0)</f>
        <v/>
      </c>
      <c r="U872" s="67">
        <f>IFERROR(INDEX(tt_Dir,MATCH(D872,tt_Type,0)),"")</f>
        <v/>
      </c>
      <c r="V872" s="67">
        <f>IF(D872="","",IFERROR(IF(INDEX(tt_Other,MATCH(D872,tt_Type,0))="",E872&amp;"",INDEX(tt_Other,MATCH(D872,tt_Type,0))),""))</f>
        <v/>
      </c>
      <c r="W872" s="68">
        <f>IF(OR(TaxOn&lt;&gt;"Yes",NOT(ISNUMBER(M872))),0,IF(IFERROR(INDEX(tt_Tax,MATCH(D872,tt_Type,0)),"No")="Yes",M872,0))</f>
        <v/>
      </c>
      <c r="X872" s="67">
        <f>IF(T872=1,"",IF(C872="","Missing transaction date",IF(NOT(ISNUMBER(C872)),"Invalid date",IF(OR(C872&lt;DATE(2000,1,1),C872&gt;DATE(2099,12,31)),"Invalid date",IF(D872="","Select a type",IF(U872="","Unknown type: "&amp;D872,IF(V872="","Select an account (Category)",IF(ISNA(MATCH(V872,coa_Name,0)),"Unknown account: "&amp;V872,IF(K872="","Select Paid From / Deposited To",IF(ISNA(MATCH(K872,coa_Name,0)),"Unknown account: "&amp;K872,IF(NOT(ISNUMBER(L872)),"Enter an amount",IF(L872=0,"Enter an amount",IF(ABS(W872)&gt;ABS(L872),"Tax is larger than the amount","")))))))))))))</f>
        <v/>
      </c>
      <c r="Y872" s="67">
        <f>IF(OR(T872=1,X872&lt;&gt;""),"",IF(AND(B872&lt;&gt;"",COUNTIF(tx_ID,B872)&gt;1),"Duplicate transaction ID",IF(AND(L872&lt;0,D872&lt;&gt;"Adjustment"),"Negative amount — check this entry",IF(AND(D872="Customer Payment",G872=""),"Add the customer",IF(AND(D872="Customer Payment",OR(J872="",COUNTIF(ar_No,J872&amp;"")=0)),"Invoice # in Reference not found on AR sheet",IF(AND(D872="Bill Payment",H872=""),"Add the vendor",IF(AND(D872="Bill Payment",OR(J872="",COUNTIFS(ap_No,J872&amp;"",ap_Party,H872&amp;"")=0)),"Bill # + vendor not found on AP sheet",IF(AND(ISNUMBER(M872),N(M872)&lt;&gt;0,W872=0),"Tax ignored (tax tracking off, or not allowed for this type)",IF(V872=K872&amp;"","Same account on both sides",IF(AND(ISNUMBER(StartDate),C872&lt;StartDate),"Date is before the accounting start date",IF(AND(D872&lt;&gt;"Adjustment",IFERROR(INDEX(coa_Pay,MATCH(K872&amp;"",coa_Name,0)),"")&lt;&gt;"Yes"),"Paid From / Deposited To is not a payment account","")))))))))))</f>
        <v/>
      </c>
      <c r="Z872" s="67">
        <f>IF(AND(T872=0,X872=""),1,0)</f>
        <v/>
      </c>
      <c r="AA872" s="68">
        <f>IF(Z872=1,IF(U872="In",L872,L872-W872),0)</f>
        <v/>
      </c>
      <c r="AB872" s="68">
        <f>IF(Z872=1,IF(U872="In",L872-W872,L872),0)</f>
        <v/>
      </c>
      <c r="AC872" s="68">
        <f>IF(AND(Z872=1,U872="Out"),W872,0)</f>
        <v/>
      </c>
      <c r="AD872" s="68">
        <f>IF(AND(Z872=1,U872="In"),W872,0)</f>
        <v/>
      </c>
    </row>
    <row r="873">
      <c r="B873" s="62" t="inlineStr">
        <is>
          <t>TX-0867</t>
        </is>
      </c>
      <c r="C873" s="63" t="n"/>
      <c r="D873" s="62" t="n"/>
      <c r="E873" s="62" t="n"/>
      <c r="F873" s="62" t="n"/>
      <c r="G873" s="62" t="n"/>
      <c r="H873" s="62" t="n"/>
      <c r="I873" s="62" t="n"/>
      <c r="J873" s="62" t="n"/>
      <c r="K873" s="62" t="n"/>
      <c r="L873" s="64" t="n"/>
      <c r="M873" s="64" t="n"/>
      <c r="N873" s="62" t="n"/>
      <c r="O873" s="65">
        <f>IF(Z873=1,L873-W873,"")</f>
        <v/>
      </c>
      <c r="P873" s="66">
        <f>IF(V873="","",IFERROR(INDEX(coa_Type,MATCH(V873,coa_Name,0)),""))</f>
        <v/>
      </c>
      <c r="Q873" s="66">
        <f>IF(Z873=1,IF(U873="In",K873&amp;"",V873),"")</f>
        <v/>
      </c>
      <c r="R873" s="66">
        <f>IF(Z873=1,IF(U873="In",V873,K873&amp;""),"")</f>
        <v/>
      </c>
      <c r="S873" s="66">
        <f>IF(X873&lt;&gt;"","⛔ "&amp;X873&amp;" — not posted",IF(Y873&lt;&gt;"","⚠ "&amp;Y873,IF(Z873=1,"✓ OK","")))</f>
        <v/>
      </c>
      <c r="T873" s="67">
        <f>IF(AND(C873="",D873="",E873="",L873="",K873=""),1,0)</f>
        <v/>
      </c>
      <c r="U873" s="67">
        <f>IFERROR(INDEX(tt_Dir,MATCH(D873,tt_Type,0)),"")</f>
        <v/>
      </c>
      <c r="V873" s="67">
        <f>IF(D873="","",IFERROR(IF(INDEX(tt_Other,MATCH(D873,tt_Type,0))="",E873&amp;"",INDEX(tt_Other,MATCH(D873,tt_Type,0))),""))</f>
        <v/>
      </c>
      <c r="W873" s="68">
        <f>IF(OR(TaxOn&lt;&gt;"Yes",NOT(ISNUMBER(M873))),0,IF(IFERROR(INDEX(tt_Tax,MATCH(D873,tt_Type,0)),"No")="Yes",M873,0))</f>
        <v/>
      </c>
      <c r="X873" s="67">
        <f>IF(T873=1,"",IF(C873="","Missing transaction date",IF(NOT(ISNUMBER(C873)),"Invalid date",IF(OR(C873&lt;DATE(2000,1,1),C873&gt;DATE(2099,12,31)),"Invalid date",IF(D873="","Select a type",IF(U873="","Unknown type: "&amp;D873,IF(V873="","Select an account (Category)",IF(ISNA(MATCH(V873,coa_Name,0)),"Unknown account: "&amp;V873,IF(K873="","Select Paid From / Deposited To",IF(ISNA(MATCH(K873,coa_Name,0)),"Unknown account: "&amp;K873,IF(NOT(ISNUMBER(L873)),"Enter an amount",IF(L873=0,"Enter an amount",IF(ABS(W873)&gt;ABS(L873),"Tax is larger than the amount","")))))))))))))</f>
        <v/>
      </c>
      <c r="Y873" s="67">
        <f>IF(OR(T873=1,X873&lt;&gt;""),"",IF(AND(B873&lt;&gt;"",COUNTIF(tx_ID,B873)&gt;1),"Duplicate transaction ID",IF(AND(L873&lt;0,D873&lt;&gt;"Adjustment"),"Negative amount — check this entry",IF(AND(D873="Customer Payment",G873=""),"Add the customer",IF(AND(D873="Customer Payment",OR(J873="",COUNTIF(ar_No,J873&amp;"")=0)),"Invoice # in Reference not found on AR sheet",IF(AND(D873="Bill Payment",H873=""),"Add the vendor",IF(AND(D873="Bill Payment",OR(J873="",COUNTIFS(ap_No,J873&amp;"",ap_Party,H873&amp;"")=0)),"Bill # + vendor not found on AP sheet",IF(AND(ISNUMBER(M873),N(M873)&lt;&gt;0,W873=0),"Tax ignored (tax tracking off, or not allowed for this type)",IF(V873=K873&amp;"","Same account on both sides",IF(AND(ISNUMBER(StartDate),C873&lt;StartDate),"Date is before the accounting start date",IF(AND(D873&lt;&gt;"Adjustment",IFERROR(INDEX(coa_Pay,MATCH(K873&amp;"",coa_Name,0)),"")&lt;&gt;"Yes"),"Paid From / Deposited To is not a payment account","")))))))))))</f>
        <v/>
      </c>
      <c r="Z873" s="67">
        <f>IF(AND(T873=0,X873=""),1,0)</f>
        <v/>
      </c>
      <c r="AA873" s="68">
        <f>IF(Z873=1,IF(U873="In",L873,L873-W873),0)</f>
        <v/>
      </c>
      <c r="AB873" s="68">
        <f>IF(Z873=1,IF(U873="In",L873-W873,L873),0)</f>
        <v/>
      </c>
      <c r="AC873" s="68">
        <f>IF(AND(Z873=1,U873="Out"),W873,0)</f>
        <v/>
      </c>
      <c r="AD873" s="68">
        <f>IF(AND(Z873=1,U873="In"),W873,0)</f>
        <v/>
      </c>
    </row>
    <row r="874">
      <c r="B874" s="62" t="inlineStr">
        <is>
          <t>TX-0868</t>
        </is>
      </c>
      <c r="C874" s="63" t="n"/>
      <c r="D874" s="62" t="n"/>
      <c r="E874" s="62" t="n"/>
      <c r="F874" s="62" t="n"/>
      <c r="G874" s="62" t="n"/>
      <c r="H874" s="62" t="n"/>
      <c r="I874" s="62" t="n"/>
      <c r="J874" s="62" t="n"/>
      <c r="K874" s="62" t="n"/>
      <c r="L874" s="64" t="n"/>
      <c r="M874" s="64" t="n"/>
      <c r="N874" s="62" t="n"/>
      <c r="O874" s="65">
        <f>IF(Z874=1,L874-W874,"")</f>
        <v/>
      </c>
      <c r="P874" s="66">
        <f>IF(V874="","",IFERROR(INDEX(coa_Type,MATCH(V874,coa_Name,0)),""))</f>
        <v/>
      </c>
      <c r="Q874" s="66">
        <f>IF(Z874=1,IF(U874="In",K874&amp;"",V874),"")</f>
        <v/>
      </c>
      <c r="R874" s="66">
        <f>IF(Z874=1,IF(U874="In",V874,K874&amp;""),"")</f>
        <v/>
      </c>
      <c r="S874" s="66">
        <f>IF(X874&lt;&gt;"","⛔ "&amp;X874&amp;" — not posted",IF(Y874&lt;&gt;"","⚠ "&amp;Y874,IF(Z874=1,"✓ OK","")))</f>
        <v/>
      </c>
      <c r="T874" s="67">
        <f>IF(AND(C874="",D874="",E874="",L874="",K874=""),1,0)</f>
        <v/>
      </c>
      <c r="U874" s="67">
        <f>IFERROR(INDEX(tt_Dir,MATCH(D874,tt_Type,0)),"")</f>
        <v/>
      </c>
      <c r="V874" s="67">
        <f>IF(D874="","",IFERROR(IF(INDEX(tt_Other,MATCH(D874,tt_Type,0))="",E874&amp;"",INDEX(tt_Other,MATCH(D874,tt_Type,0))),""))</f>
        <v/>
      </c>
      <c r="W874" s="68">
        <f>IF(OR(TaxOn&lt;&gt;"Yes",NOT(ISNUMBER(M874))),0,IF(IFERROR(INDEX(tt_Tax,MATCH(D874,tt_Type,0)),"No")="Yes",M874,0))</f>
        <v/>
      </c>
      <c r="X874" s="67">
        <f>IF(T874=1,"",IF(C874="","Missing transaction date",IF(NOT(ISNUMBER(C874)),"Invalid date",IF(OR(C874&lt;DATE(2000,1,1),C874&gt;DATE(2099,12,31)),"Invalid date",IF(D874="","Select a type",IF(U874="","Unknown type: "&amp;D874,IF(V874="","Select an account (Category)",IF(ISNA(MATCH(V874,coa_Name,0)),"Unknown account: "&amp;V874,IF(K874="","Select Paid From / Deposited To",IF(ISNA(MATCH(K874,coa_Name,0)),"Unknown account: "&amp;K874,IF(NOT(ISNUMBER(L874)),"Enter an amount",IF(L874=0,"Enter an amount",IF(ABS(W874)&gt;ABS(L874),"Tax is larger than the amount","")))))))))))))</f>
        <v/>
      </c>
      <c r="Y874" s="67">
        <f>IF(OR(T874=1,X874&lt;&gt;""),"",IF(AND(B874&lt;&gt;"",COUNTIF(tx_ID,B874)&gt;1),"Duplicate transaction ID",IF(AND(L874&lt;0,D874&lt;&gt;"Adjustment"),"Negative amount — check this entry",IF(AND(D874="Customer Payment",G874=""),"Add the customer",IF(AND(D874="Customer Payment",OR(J874="",COUNTIF(ar_No,J874&amp;"")=0)),"Invoice # in Reference not found on AR sheet",IF(AND(D874="Bill Payment",H874=""),"Add the vendor",IF(AND(D874="Bill Payment",OR(J874="",COUNTIFS(ap_No,J874&amp;"",ap_Party,H874&amp;"")=0)),"Bill # + vendor not found on AP sheet",IF(AND(ISNUMBER(M874),N(M874)&lt;&gt;0,W874=0),"Tax ignored (tax tracking off, or not allowed for this type)",IF(V874=K874&amp;"","Same account on both sides",IF(AND(ISNUMBER(StartDate),C874&lt;StartDate),"Date is before the accounting start date",IF(AND(D874&lt;&gt;"Adjustment",IFERROR(INDEX(coa_Pay,MATCH(K874&amp;"",coa_Name,0)),"")&lt;&gt;"Yes"),"Paid From / Deposited To is not a payment account","")))))))))))</f>
        <v/>
      </c>
      <c r="Z874" s="67">
        <f>IF(AND(T874=0,X874=""),1,0)</f>
        <v/>
      </c>
      <c r="AA874" s="68">
        <f>IF(Z874=1,IF(U874="In",L874,L874-W874),0)</f>
        <v/>
      </c>
      <c r="AB874" s="68">
        <f>IF(Z874=1,IF(U874="In",L874-W874,L874),0)</f>
        <v/>
      </c>
      <c r="AC874" s="68">
        <f>IF(AND(Z874=1,U874="Out"),W874,0)</f>
        <v/>
      </c>
      <c r="AD874" s="68">
        <f>IF(AND(Z874=1,U874="In"),W874,0)</f>
        <v/>
      </c>
    </row>
    <row r="875">
      <c r="B875" s="62" t="inlineStr">
        <is>
          <t>TX-0869</t>
        </is>
      </c>
      <c r="C875" s="63" t="n"/>
      <c r="D875" s="62" t="n"/>
      <c r="E875" s="62" t="n"/>
      <c r="F875" s="62" t="n"/>
      <c r="G875" s="62" t="n"/>
      <c r="H875" s="62" t="n"/>
      <c r="I875" s="62" t="n"/>
      <c r="J875" s="62" t="n"/>
      <c r="K875" s="62" t="n"/>
      <c r="L875" s="64" t="n"/>
      <c r="M875" s="64" t="n"/>
      <c r="N875" s="62" t="n"/>
      <c r="O875" s="65">
        <f>IF(Z875=1,L875-W875,"")</f>
        <v/>
      </c>
      <c r="P875" s="66">
        <f>IF(V875="","",IFERROR(INDEX(coa_Type,MATCH(V875,coa_Name,0)),""))</f>
        <v/>
      </c>
      <c r="Q875" s="66">
        <f>IF(Z875=1,IF(U875="In",K875&amp;"",V875),"")</f>
        <v/>
      </c>
      <c r="R875" s="66">
        <f>IF(Z875=1,IF(U875="In",V875,K875&amp;""),"")</f>
        <v/>
      </c>
      <c r="S875" s="66">
        <f>IF(X875&lt;&gt;"","⛔ "&amp;X875&amp;" — not posted",IF(Y875&lt;&gt;"","⚠ "&amp;Y875,IF(Z875=1,"✓ OK","")))</f>
        <v/>
      </c>
      <c r="T875" s="67">
        <f>IF(AND(C875="",D875="",E875="",L875="",K875=""),1,0)</f>
        <v/>
      </c>
      <c r="U875" s="67">
        <f>IFERROR(INDEX(tt_Dir,MATCH(D875,tt_Type,0)),"")</f>
        <v/>
      </c>
      <c r="V875" s="67">
        <f>IF(D875="","",IFERROR(IF(INDEX(tt_Other,MATCH(D875,tt_Type,0))="",E875&amp;"",INDEX(tt_Other,MATCH(D875,tt_Type,0))),""))</f>
        <v/>
      </c>
      <c r="W875" s="68">
        <f>IF(OR(TaxOn&lt;&gt;"Yes",NOT(ISNUMBER(M875))),0,IF(IFERROR(INDEX(tt_Tax,MATCH(D875,tt_Type,0)),"No")="Yes",M875,0))</f>
        <v/>
      </c>
      <c r="X875" s="67">
        <f>IF(T875=1,"",IF(C875="","Missing transaction date",IF(NOT(ISNUMBER(C875)),"Invalid date",IF(OR(C875&lt;DATE(2000,1,1),C875&gt;DATE(2099,12,31)),"Invalid date",IF(D875="","Select a type",IF(U875="","Unknown type: "&amp;D875,IF(V875="","Select an account (Category)",IF(ISNA(MATCH(V875,coa_Name,0)),"Unknown account: "&amp;V875,IF(K875="","Select Paid From / Deposited To",IF(ISNA(MATCH(K875,coa_Name,0)),"Unknown account: "&amp;K875,IF(NOT(ISNUMBER(L875)),"Enter an amount",IF(L875=0,"Enter an amount",IF(ABS(W875)&gt;ABS(L875),"Tax is larger than the amount","")))))))))))))</f>
        <v/>
      </c>
      <c r="Y875" s="67">
        <f>IF(OR(T875=1,X875&lt;&gt;""),"",IF(AND(B875&lt;&gt;"",COUNTIF(tx_ID,B875)&gt;1),"Duplicate transaction ID",IF(AND(L875&lt;0,D875&lt;&gt;"Adjustment"),"Negative amount — check this entry",IF(AND(D875="Customer Payment",G875=""),"Add the customer",IF(AND(D875="Customer Payment",OR(J875="",COUNTIF(ar_No,J875&amp;"")=0)),"Invoice # in Reference not found on AR sheet",IF(AND(D875="Bill Payment",H875=""),"Add the vendor",IF(AND(D875="Bill Payment",OR(J875="",COUNTIFS(ap_No,J875&amp;"",ap_Party,H875&amp;"")=0)),"Bill # + vendor not found on AP sheet",IF(AND(ISNUMBER(M875),N(M875)&lt;&gt;0,W875=0),"Tax ignored (tax tracking off, or not allowed for this type)",IF(V875=K875&amp;"","Same account on both sides",IF(AND(ISNUMBER(StartDate),C875&lt;StartDate),"Date is before the accounting start date",IF(AND(D875&lt;&gt;"Adjustment",IFERROR(INDEX(coa_Pay,MATCH(K875&amp;"",coa_Name,0)),"")&lt;&gt;"Yes"),"Paid From / Deposited To is not a payment account","")))))))))))</f>
        <v/>
      </c>
      <c r="Z875" s="67">
        <f>IF(AND(T875=0,X875=""),1,0)</f>
        <v/>
      </c>
      <c r="AA875" s="68">
        <f>IF(Z875=1,IF(U875="In",L875,L875-W875),0)</f>
        <v/>
      </c>
      <c r="AB875" s="68">
        <f>IF(Z875=1,IF(U875="In",L875-W875,L875),0)</f>
        <v/>
      </c>
      <c r="AC875" s="68">
        <f>IF(AND(Z875=1,U875="Out"),W875,0)</f>
        <v/>
      </c>
      <c r="AD875" s="68">
        <f>IF(AND(Z875=1,U875="In"),W875,0)</f>
        <v/>
      </c>
    </row>
    <row r="876">
      <c r="B876" s="62" t="inlineStr">
        <is>
          <t>TX-0870</t>
        </is>
      </c>
      <c r="C876" s="63" t="n"/>
      <c r="D876" s="62" t="n"/>
      <c r="E876" s="62" t="n"/>
      <c r="F876" s="62" t="n"/>
      <c r="G876" s="62" t="n"/>
      <c r="H876" s="62" t="n"/>
      <c r="I876" s="62" t="n"/>
      <c r="J876" s="62" t="n"/>
      <c r="K876" s="62" t="n"/>
      <c r="L876" s="64" t="n"/>
      <c r="M876" s="64" t="n"/>
      <c r="N876" s="62" t="n"/>
      <c r="O876" s="65">
        <f>IF(Z876=1,L876-W876,"")</f>
        <v/>
      </c>
      <c r="P876" s="66">
        <f>IF(V876="","",IFERROR(INDEX(coa_Type,MATCH(V876,coa_Name,0)),""))</f>
        <v/>
      </c>
      <c r="Q876" s="66">
        <f>IF(Z876=1,IF(U876="In",K876&amp;"",V876),"")</f>
        <v/>
      </c>
      <c r="R876" s="66">
        <f>IF(Z876=1,IF(U876="In",V876,K876&amp;""),"")</f>
        <v/>
      </c>
      <c r="S876" s="66">
        <f>IF(X876&lt;&gt;"","⛔ "&amp;X876&amp;" — not posted",IF(Y876&lt;&gt;"","⚠ "&amp;Y876,IF(Z876=1,"✓ OK","")))</f>
        <v/>
      </c>
      <c r="T876" s="67">
        <f>IF(AND(C876="",D876="",E876="",L876="",K876=""),1,0)</f>
        <v/>
      </c>
      <c r="U876" s="67">
        <f>IFERROR(INDEX(tt_Dir,MATCH(D876,tt_Type,0)),"")</f>
        <v/>
      </c>
      <c r="V876" s="67">
        <f>IF(D876="","",IFERROR(IF(INDEX(tt_Other,MATCH(D876,tt_Type,0))="",E876&amp;"",INDEX(tt_Other,MATCH(D876,tt_Type,0))),""))</f>
        <v/>
      </c>
      <c r="W876" s="68">
        <f>IF(OR(TaxOn&lt;&gt;"Yes",NOT(ISNUMBER(M876))),0,IF(IFERROR(INDEX(tt_Tax,MATCH(D876,tt_Type,0)),"No")="Yes",M876,0))</f>
        <v/>
      </c>
      <c r="X876" s="67">
        <f>IF(T876=1,"",IF(C876="","Missing transaction date",IF(NOT(ISNUMBER(C876)),"Invalid date",IF(OR(C876&lt;DATE(2000,1,1),C876&gt;DATE(2099,12,31)),"Invalid date",IF(D876="","Select a type",IF(U876="","Unknown type: "&amp;D876,IF(V876="","Select an account (Category)",IF(ISNA(MATCH(V876,coa_Name,0)),"Unknown account: "&amp;V876,IF(K876="","Select Paid From / Deposited To",IF(ISNA(MATCH(K876,coa_Name,0)),"Unknown account: "&amp;K876,IF(NOT(ISNUMBER(L876)),"Enter an amount",IF(L876=0,"Enter an amount",IF(ABS(W876)&gt;ABS(L876),"Tax is larger than the amount","")))))))))))))</f>
        <v/>
      </c>
      <c r="Y876" s="67">
        <f>IF(OR(T876=1,X876&lt;&gt;""),"",IF(AND(B876&lt;&gt;"",COUNTIF(tx_ID,B876)&gt;1),"Duplicate transaction ID",IF(AND(L876&lt;0,D876&lt;&gt;"Adjustment"),"Negative amount — check this entry",IF(AND(D876="Customer Payment",G876=""),"Add the customer",IF(AND(D876="Customer Payment",OR(J876="",COUNTIF(ar_No,J876&amp;"")=0)),"Invoice # in Reference not found on AR sheet",IF(AND(D876="Bill Payment",H876=""),"Add the vendor",IF(AND(D876="Bill Payment",OR(J876="",COUNTIFS(ap_No,J876&amp;"",ap_Party,H876&amp;"")=0)),"Bill # + vendor not found on AP sheet",IF(AND(ISNUMBER(M876),N(M876)&lt;&gt;0,W876=0),"Tax ignored (tax tracking off, or not allowed for this type)",IF(V876=K876&amp;"","Same account on both sides",IF(AND(ISNUMBER(StartDate),C876&lt;StartDate),"Date is before the accounting start date",IF(AND(D876&lt;&gt;"Adjustment",IFERROR(INDEX(coa_Pay,MATCH(K876&amp;"",coa_Name,0)),"")&lt;&gt;"Yes"),"Paid From / Deposited To is not a payment account","")))))))))))</f>
        <v/>
      </c>
      <c r="Z876" s="67">
        <f>IF(AND(T876=0,X876=""),1,0)</f>
        <v/>
      </c>
      <c r="AA876" s="68">
        <f>IF(Z876=1,IF(U876="In",L876,L876-W876),0)</f>
        <v/>
      </c>
      <c r="AB876" s="68">
        <f>IF(Z876=1,IF(U876="In",L876-W876,L876),0)</f>
        <v/>
      </c>
      <c r="AC876" s="68">
        <f>IF(AND(Z876=1,U876="Out"),W876,0)</f>
        <v/>
      </c>
      <c r="AD876" s="68">
        <f>IF(AND(Z876=1,U876="In"),W876,0)</f>
        <v/>
      </c>
    </row>
    <row r="877">
      <c r="B877" s="62" t="inlineStr">
        <is>
          <t>TX-0871</t>
        </is>
      </c>
      <c r="C877" s="63" t="n"/>
      <c r="D877" s="62" t="n"/>
      <c r="E877" s="62" t="n"/>
      <c r="F877" s="62" t="n"/>
      <c r="G877" s="62" t="n"/>
      <c r="H877" s="62" t="n"/>
      <c r="I877" s="62" t="n"/>
      <c r="J877" s="62" t="n"/>
      <c r="K877" s="62" t="n"/>
      <c r="L877" s="64" t="n"/>
      <c r="M877" s="64" t="n"/>
      <c r="N877" s="62" t="n"/>
      <c r="O877" s="65">
        <f>IF(Z877=1,L877-W877,"")</f>
        <v/>
      </c>
      <c r="P877" s="66">
        <f>IF(V877="","",IFERROR(INDEX(coa_Type,MATCH(V877,coa_Name,0)),""))</f>
        <v/>
      </c>
      <c r="Q877" s="66">
        <f>IF(Z877=1,IF(U877="In",K877&amp;"",V877),"")</f>
        <v/>
      </c>
      <c r="R877" s="66">
        <f>IF(Z877=1,IF(U877="In",V877,K877&amp;""),"")</f>
        <v/>
      </c>
      <c r="S877" s="66">
        <f>IF(X877&lt;&gt;"","⛔ "&amp;X877&amp;" — not posted",IF(Y877&lt;&gt;"","⚠ "&amp;Y877,IF(Z877=1,"✓ OK","")))</f>
        <v/>
      </c>
      <c r="T877" s="67">
        <f>IF(AND(C877="",D877="",E877="",L877="",K877=""),1,0)</f>
        <v/>
      </c>
      <c r="U877" s="67">
        <f>IFERROR(INDEX(tt_Dir,MATCH(D877,tt_Type,0)),"")</f>
        <v/>
      </c>
      <c r="V877" s="67">
        <f>IF(D877="","",IFERROR(IF(INDEX(tt_Other,MATCH(D877,tt_Type,0))="",E877&amp;"",INDEX(tt_Other,MATCH(D877,tt_Type,0))),""))</f>
        <v/>
      </c>
      <c r="W877" s="68">
        <f>IF(OR(TaxOn&lt;&gt;"Yes",NOT(ISNUMBER(M877))),0,IF(IFERROR(INDEX(tt_Tax,MATCH(D877,tt_Type,0)),"No")="Yes",M877,0))</f>
        <v/>
      </c>
      <c r="X877" s="67">
        <f>IF(T877=1,"",IF(C877="","Missing transaction date",IF(NOT(ISNUMBER(C877)),"Invalid date",IF(OR(C877&lt;DATE(2000,1,1),C877&gt;DATE(2099,12,31)),"Invalid date",IF(D877="","Select a type",IF(U877="","Unknown type: "&amp;D877,IF(V877="","Select an account (Category)",IF(ISNA(MATCH(V877,coa_Name,0)),"Unknown account: "&amp;V877,IF(K877="","Select Paid From / Deposited To",IF(ISNA(MATCH(K877,coa_Name,0)),"Unknown account: "&amp;K877,IF(NOT(ISNUMBER(L877)),"Enter an amount",IF(L877=0,"Enter an amount",IF(ABS(W877)&gt;ABS(L877),"Tax is larger than the amount","")))))))))))))</f>
        <v/>
      </c>
      <c r="Y877" s="67">
        <f>IF(OR(T877=1,X877&lt;&gt;""),"",IF(AND(B877&lt;&gt;"",COUNTIF(tx_ID,B877)&gt;1),"Duplicate transaction ID",IF(AND(L877&lt;0,D877&lt;&gt;"Adjustment"),"Negative amount — check this entry",IF(AND(D877="Customer Payment",G877=""),"Add the customer",IF(AND(D877="Customer Payment",OR(J877="",COUNTIF(ar_No,J877&amp;"")=0)),"Invoice # in Reference not found on AR sheet",IF(AND(D877="Bill Payment",H877=""),"Add the vendor",IF(AND(D877="Bill Payment",OR(J877="",COUNTIFS(ap_No,J877&amp;"",ap_Party,H877&amp;"")=0)),"Bill # + vendor not found on AP sheet",IF(AND(ISNUMBER(M877),N(M877)&lt;&gt;0,W877=0),"Tax ignored (tax tracking off, or not allowed for this type)",IF(V877=K877&amp;"","Same account on both sides",IF(AND(ISNUMBER(StartDate),C877&lt;StartDate),"Date is before the accounting start date",IF(AND(D877&lt;&gt;"Adjustment",IFERROR(INDEX(coa_Pay,MATCH(K877&amp;"",coa_Name,0)),"")&lt;&gt;"Yes"),"Paid From / Deposited To is not a payment account","")))))))))))</f>
        <v/>
      </c>
      <c r="Z877" s="67">
        <f>IF(AND(T877=0,X877=""),1,0)</f>
        <v/>
      </c>
      <c r="AA877" s="68">
        <f>IF(Z877=1,IF(U877="In",L877,L877-W877),0)</f>
        <v/>
      </c>
      <c r="AB877" s="68">
        <f>IF(Z877=1,IF(U877="In",L877-W877,L877),0)</f>
        <v/>
      </c>
      <c r="AC877" s="68">
        <f>IF(AND(Z877=1,U877="Out"),W877,0)</f>
        <v/>
      </c>
      <c r="AD877" s="68">
        <f>IF(AND(Z877=1,U877="In"),W877,0)</f>
        <v/>
      </c>
    </row>
    <row r="878">
      <c r="B878" s="62" t="inlineStr">
        <is>
          <t>TX-0872</t>
        </is>
      </c>
      <c r="C878" s="63" t="n"/>
      <c r="D878" s="62" t="n"/>
      <c r="E878" s="62" t="n"/>
      <c r="F878" s="62" t="n"/>
      <c r="G878" s="62" t="n"/>
      <c r="H878" s="62" t="n"/>
      <c r="I878" s="62" t="n"/>
      <c r="J878" s="62" t="n"/>
      <c r="K878" s="62" t="n"/>
      <c r="L878" s="64" t="n"/>
      <c r="M878" s="64" t="n"/>
      <c r="N878" s="62" t="n"/>
      <c r="O878" s="65">
        <f>IF(Z878=1,L878-W878,"")</f>
        <v/>
      </c>
      <c r="P878" s="66">
        <f>IF(V878="","",IFERROR(INDEX(coa_Type,MATCH(V878,coa_Name,0)),""))</f>
        <v/>
      </c>
      <c r="Q878" s="66">
        <f>IF(Z878=1,IF(U878="In",K878&amp;"",V878),"")</f>
        <v/>
      </c>
      <c r="R878" s="66">
        <f>IF(Z878=1,IF(U878="In",V878,K878&amp;""),"")</f>
        <v/>
      </c>
      <c r="S878" s="66">
        <f>IF(X878&lt;&gt;"","⛔ "&amp;X878&amp;" — not posted",IF(Y878&lt;&gt;"","⚠ "&amp;Y878,IF(Z878=1,"✓ OK","")))</f>
        <v/>
      </c>
      <c r="T878" s="67">
        <f>IF(AND(C878="",D878="",E878="",L878="",K878=""),1,0)</f>
        <v/>
      </c>
      <c r="U878" s="67">
        <f>IFERROR(INDEX(tt_Dir,MATCH(D878,tt_Type,0)),"")</f>
        <v/>
      </c>
      <c r="V878" s="67">
        <f>IF(D878="","",IFERROR(IF(INDEX(tt_Other,MATCH(D878,tt_Type,0))="",E878&amp;"",INDEX(tt_Other,MATCH(D878,tt_Type,0))),""))</f>
        <v/>
      </c>
      <c r="W878" s="68">
        <f>IF(OR(TaxOn&lt;&gt;"Yes",NOT(ISNUMBER(M878))),0,IF(IFERROR(INDEX(tt_Tax,MATCH(D878,tt_Type,0)),"No")="Yes",M878,0))</f>
        <v/>
      </c>
      <c r="X878" s="67">
        <f>IF(T878=1,"",IF(C878="","Missing transaction date",IF(NOT(ISNUMBER(C878)),"Invalid date",IF(OR(C878&lt;DATE(2000,1,1),C878&gt;DATE(2099,12,31)),"Invalid date",IF(D878="","Select a type",IF(U878="","Unknown type: "&amp;D878,IF(V878="","Select an account (Category)",IF(ISNA(MATCH(V878,coa_Name,0)),"Unknown account: "&amp;V878,IF(K878="","Select Paid From / Deposited To",IF(ISNA(MATCH(K878,coa_Name,0)),"Unknown account: "&amp;K878,IF(NOT(ISNUMBER(L878)),"Enter an amount",IF(L878=0,"Enter an amount",IF(ABS(W878)&gt;ABS(L878),"Tax is larger than the amount","")))))))))))))</f>
        <v/>
      </c>
      <c r="Y878" s="67">
        <f>IF(OR(T878=1,X878&lt;&gt;""),"",IF(AND(B878&lt;&gt;"",COUNTIF(tx_ID,B878)&gt;1),"Duplicate transaction ID",IF(AND(L878&lt;0,D878&lt;&gt;"Adjustment"),"Negative amount — check this entry",IF(AND(D878="Customer Payment",G878=""),"Add the customer",IF(AND(D878="Customer Payment",OR(J878="",COUNTIF(ar_No,J878&amp;"")=0)),"Invoice # in Reference not found on AR sheet",IF(AND(D878="Bill Payment",H878=""),"Add the vendor",IF(AND(D878="Bill Payment",OR(J878="",COUNTIFS(ap_No,J878&amp;"",ap_Party,H878&amp;"")=0)),"Bill # + vendor not found on AP sheet",IF(AND(ISNUMBER(M878),N(M878)&lt;&gt;0,W878=0),"Tax ignored (tax tracking off, or not allowed for this type)",IF(V878=K878&amp;"","Same account on both sides",IF(AND(ISNUMBER(StartDate),C878&lt;StartDate),"Date is before the accounting start date",IF(AND(D878&lt;&gt;"Adjustment",IFERROR(INDEX(coa_Pay,MATCH(K878&amp;"",coa_Name,0)),"")&lt;&gt;"Yes"),"Paid From / Deposited To is not a payment account","")))))))))))</f>
        <v/>
      </c>
      <c r="Z878" s="67">
        <f>IF(AND(T878=0,X878=""),1,0)</f>
        <v/>
      </c>
      <c r="AA878" s="68">
        <f>IF(Z878=1,IF(U878="In",L878,L878-W878),0)</f>
        <v/>
      </c>
      <c r="AB878" s="68">
        <f>IF(Z878=1,IF(U878="In",L878-W878,L878),0)</f>
        <v/>
      </c>
      <c r="AC878" s="68">
        <f>IF(AND(Z878=1,U878="Out"),W878,0)</f>
        <v/>
      </c>
      <c r="AD878" s="68">
        <f>IF(AND(Z878=1,U878="In"),W878,0)</f>
        <v/>
      </c>
    </row>
    <row r="879">
      <c r="B879" s="62" t="inlineStr">
        <is>
          <t>TX-0873</t>
        </is>
      </c>
      <c r="C879" s="63" t="n"/>
      <c r="D879" s="62" t="n"/>
      <c r="E879" s="62" t="n"/>
      <c r="F879" s="62" t="n"/>
      <c r="G879" s="62" t="n"/>
      <c r="H879" s="62" t="n"/>
      <c r="I879" s="62" t="n"/>
      <c r="J879" s="62" t="n"/>
      <c r="K879" s="62" t="n"/>
      <c r="L879" s="64" t="n"/>
      <c r="M879" s="64" t="n"/>
      <c r="N879" s="62" t="n"/>
      <c r="O879" s="65">
        <f>IF(Z879=1,L879-W879,"")</f>
        <v/>
      </c>
      <c r="P879" s="66">
        <f>IF(V879="","",IFERROR(INDEX(coa_Type,MATCH(V879,coa_Name,0)),""))</f>
        <v/>
      </c>
      <c r="Q879" s="66">
        <f>IF(Z879=1,IF(U879="In",K879&amp;"",V879),"")</f>
        <v/>
      </c>
      <c r="R879" s="66">
        <f>IF(Z879=1,IF(U879="In",V879,K879&amp;""),"")</f>
        <v/>
      </c>
      <c r="S879" s="66">
        <f>IF(X879&lt;&gt;"","⛔ "&amp;X879&amp;" — not posted",IF(Y879&lt;&gt;"","⚠ "&amp;Y879,IF(Z879=1,"✓ OK","")))</f>
        <v/>
      </c>
      <c r="T879" s="67">
        <f>IF(AND(C879="",D879="",E879="",L879="",K879=""),1,0)</f>
        <v/>
      </c>
      <c r="U879" s="67">
        <f>IFERROR(INDEX(tt_Dir,MATCH(D879,tt_Type,0)),"")</f>
        <v/>
      </c>
      <c r="V879" s="67">
        <f>IF(D879="","",IFERROR(IF(INDEX(tt_Other,MATCH(D879,tt_Type,0))="",E879&amp;"",INDEX(tt_Other,MATCH(D879,tt_Type,0))),""))</f>
        <v/>
      </c>
      <c r="W879" s="68">
        <f>IF(OR(TaxOn&lt;&gt;"Yes",NOT(ISNUMBER(M879))),0,IF(IFERROR(INDEX(tt_Tax,MATCH(D879,tt_Type,0)),"No")="Yes",M879,0))</f>
        <v/>
      </c>
      <c r="X879" s="67">
        <f>IF(T879=1,"",IF(C879="","Missing transaction date",IF(NOT(ISNUMBER(C879)),"Invalid date",IF(OR(C879&lt;DATE(2000,1,1),C879&gt;DATE(2099,12,31)),"Invalid date",IF(D879="","Select a type",IF(U879="","Unknown type: "&amp;D879,IF(V879="","Select an account (Category)",IF(ISNA(MATCH(V879,coa_Name,0)),"Unknown account: "&amp;V879,IF(K879="","Select Paid From / Deposited To",IF(ISNA(MATCH(K879,coa_Name,0)),"Unknown account: "&amp;K879,IF(NOT(ISNUMBER(L879)),"Enter an amount",IF(L879=0,"Enter an amount",IF(ABS(W879)&gt;ABS(L879),"Tax is larger than the amount","")))))))))))))</f>
        <v/>
      </c>
      <c r="Y879" s="67">
        <f>IF(OR(T879=1,X879&lt;&gt;""),"",IF(AND(B879&lt;&gt;"",COUNTIF(tx_ID,B879)&gt;1),"Duplicate transaction ID",IF(AND(L879&lt;0,D879&lt;&gt;"Adjustment"),"Negative amount — check this entry",IF(AND(D879="Customer Payment",G879=""),"Add the customer",IF(AND(D879="Customer Payment",OR(J879="",COUNTIF(ar_No,J879&amp;"")=0)),"Invoice # in Reference not found on AR sheet",IF(AND(D879="Bill Payment",H879=""),"Add the vendor",IF(AND(D879="Bill Payment",OR(J879="",COUNTIFS(ap_No,J879&amp;"",ap_Party,H879&amp;"")=0)),"Bill # + vendor not found on AP sheet",IF(AND(ISNUMBER(M879),N(M879)&lt;&gt;0,W879=0),"Tax ignored (tax tracking off, or not allowed for this type)",IF(V879=K879&amp;"","Same account on both sides",IF(AND(ISNUMBER(StartDate),C879&lt;StartDate),"Date is before the accounting start date",IF(AND(D879&lt;&gt;"Adjustment",IFERROR(INDEX(coa_Pay,MATCH(K879&amp;"",coa_Name,0)),"")&lt;&gt;"Yes"),"Paid From / Deposited To is not a payment account","")))))))))))</f>
        <v/>
      </c>
      <c r="Z879" s="67">
        <f>IF(AND(T879=0,X879=""),1,0)</f>
        <v/>
      </c>
      <c r="AA879" s="68">
        <f>IF(Z879=1,IF(U879="In",L879,L879-W879),0)</f>
        <v/>
      </c>
      <c r="AB879" s="68">
        <f>IF(Z879=1,IF(U879="In",L879-W879,L879),0)</f>
        <v/>
      </c>
      <c r="AC879" s="68">
        <f>IF(AND(Z879=1,U879="Out"),W879,0)</f>
        <v/>
      </c>
      <c r="AD879" s="68">
        <f>IF(AND(Z879=1,U879="In"),W879,0)</f>
        <v/>
      </c>
    </row>
    <row r="880">
      <c r="B880" s="62" t="inlineStr">
        <is>
          <t>TX-0874</t>
        </is>
      </c>
      <c r="C880" s="63" t="n"/>
      <c r="D880" s="62" t="n"/>
      <c r="E880" s="62" t="n"/>
      <c r="F880" s="62" t="n"/>
      <c r="G880" s="62" t="n"/>
      <c r="H880" s="62" t="n"/>
      <c r="I880" s="62" t="n"/>
      <c r="J880" s="62" t="n"/>
      <c r="K880" s="62" t="n"/>
      <c r="L880" s="64" t="n"/>
      <c r="M880" s="64" t="n"/>
      <c r="N880" s="62" t="n"/>
      <c r="O880" s="65">
        <f>IF(Z880=1,L880-W880,"")</f>
        <v/>
      </c>
      <c r="P880" s="66">
        <f>IF(V880="","",IFERROR(INDEX(coa_Type,MATCH(V880,coa_Name,0)),""))</f>
        <v/>
      </c>
      <c r="Q880" s="66">
        <f>IF(Z880=1,IF(U880="In",K880&amp;"",V880),"")</f>
        <v/>
      </c>
      <c r="R880" s="66">
        <f>IF(Z880=1,IF(U880="In",V880,K880&amp;""),"")</f>
        <v/>
      </c>
      <c r="S880" s="66">
        <f>IF(X880&lt;&gt;"","⛔ "&amp;X880&amp;" — not posted",IF(Y880&lt;&gt;"","⚠ "&amp;Y880,IF(Z880=1,"✓ OK","")))</f>
        <v/>
      </c>
      <c r="T880" s="67">
        <f>IF(AND(C880="",D880="",E880="",L880="",K880=""),1,0)</f>
        <v/>
      </c>
      <c r="U880" s="67">
        <f>IFERROR(INDEX(tt_Dir,MATCH(D880,tt_Type,0)),"")</f>
        <v/>
      </c>
      <c r="V880" s="67">
        <f>IF(D880="","",IFERROR(IF(INDEX(tt_Other,MATCH(D880,tt_Type,0))="",E880&amp;"",INDEX(tt_Other,MATCH(D880,tt_Type,0))),""))</f>
        <v/>
      </c>
      <c r="W880" s="68">
        <f>IF(OR(TaxOn&lt;&gt;"Yes",NOT(ISNUMBER(M880))),0,IF(IFERROR(INDEX(tt_Tax,MATCH(D880,tt_Type,0)),"No")="Yes",M880,0))</f>
        <v/>
      </c>
      <c r="X880" s="67">
        <f>IF(T880=1,"",IF(C880="","Missing transaction date",IF(NOT(ISNUMBER(C880)),"Invalid date",IF(OR(C880&lt;DATE(2000,1,1),C880&gt;DATE(2099,12,31)),"Invalid date",IF(D880="","Select a type",IF(U880="","Unknown type: "&amp;D880,IF(V880="","Select an account (Category)",IF(ISNA(MATCH(V880,coa_Name,0)),"Unknown account: "&amp;V880,IF(K880="","Select Paid From / Deposited To",IF(ISNA(MATCH(K880,coa_Name,0)),"Unknown account: "&amp;K880,IF(NOT(ISNUMBER(L880)),"Enter an amount",IF(L880=0,"Enter an amount",IF(ABS(W880)&gt;ABS(L880),"Tax is larger than the amount","")))))))))))))</f>
        <v/>
      </c>
      <c r="Y880" s="67">
        <f>IF(OR(T880=1,X880&lt;&gt;""),"",IF(AND(B880&lt;&gt;"",COUNTIF(tx_ID,B880)&gt;1),"Duplicate transaction ID",IF(AND(L880&lt;0,D880&lt;&gt;"Adjustment"),"Negative amount — check this entry",IF(AND(D880="Customer Payment",G880=""),"Add the customer",IF(AND(D880="Customer Payment",OR(J880="",COUNTIF(ar_No,J880&amp;"")=0)),"Invoice # in Reference not found on AR sheet",IF(AND(D880="Bill Payment",H880=""),"Add the vendor",IF(AND(D880="Bill Payment",OR(J880="",COUNTIFS(ap_No,J880&amp;"",ap_Party,H880&amp;"")=0)),"Bill # + vendor not found on AP sheet",IF(AND(ISNUMBER(M880),N(M880)&lt;&gt;0,W880=0),"Tax ignored (tax tracking off, or not allowed for this type)",IF(V880=K880&amp;"","Same account on both sides",IF(AND(ISNUMBER(StartDate),C880&lt;StartDate),"Date is before the accounting start date",IF(AND(D880&lt;&gt;"Adjustment",IFERROR(INDEX(coa_Pay,MATCH(K880&amp;"",coa_Name,0)),"")&lt;&gt;"Yes"),"Paid From / Deposited To is not a payment account","")))))))))))</f>
        <v/>
      </c>
      <c r="Z880" s="67">
        <f>IF(AND(T880=0,X880=""),1,0)</f>
        <v/>
      </c>
      <c r="AA880" s="68">
        <f>IF(Z880=1,IF(U880="In",L880,L880-W880),0)</f>
        <v/>
      </c>
      <c r="AB880" s="68">
        <f>IF(Z880=1,IF(U880="In",L880-W880,L880),0)</f>
        <v/>
      </c>
      <c r="AC880" s="68">
        <f>IF(AND(Z880=1,U880="Out"),W880,0)</f>
        <v/>
      </c>
      <c r="AD880" s="68">
        <f>IF(AND(Z880=1,U880="In"),W880,0)</f>
        <v/>
      </c>
    </row>
    <row r="881">
      <c r="B881" s="62" t="inlineStr">
        <is>
          <t>TX-0875</t>
        </is>
      </c>
      <c r="C881" s="63" t="n"/>
      <c r="D881" s="62" t="n"/>
      <c r="E881" s="62" t="n"/>
      <c r="F881" s="62" t="n"/>
      <c r="G881" s="62" t="n"/>
      <c r="H881" s="62" t="n"/>
      <c r="I881" s="62" t="n"/>
      <c r="J881" s="62" t="n"/>
      <c r="K881" s="62" t="n"/>
      <c r="L881" s="64" t="n"/>
      <c r="M881" s="64" t="n"/>
      <c r="N881" s="62" t="n"/>
      <c r="O881" s="65">
        <f>IF(Z881=1,L881-W881,"")</f>
        <v/>
      </c>
      <c r="P881" s="66">
        <f>IF(V881="","",IFERROR(INDEX(coa_Type,MATCH(V881,coa_Name,0)),""))</f>
        <v/>
      </c>
      <c r="Q881" s="66">
        <f>IF(Z881=1,IF(U881="In",K881&amp;"",V881),"")</f>
        <v/>
      </c>
      <c r="R881" s="66">
        <f>IF(Z881=1,IF(U881="In",V881,K881&amp;""),"")</f>
        <v/>
      </c>
      <c r="S881" s="66">
        <f>IF(X881&lt;&gt;"","⛔ "&amp;X881&amp;" — not posted",IF(Y881&lt;&gt;"","⚠ "&amp;Y881,IF(Z881=1,"✓ OK","")))</f>
        <v/>
      </c>
      <c r="T881" s="67">
        <f>IF(AND(C881="",D881="",E881="",L881="",K881=""),1,0)</f>
        <v/>
      </c>
      <c r="U881" s="67">
        <f>IFERROR(INDEX(tt_Dir,MATCH(D881,tt_Type,0)),"")</f>
        <v/>
      </c>
      <c r="V881" s="67">
        <f>IF(D881="","",IFERROR(IF(INDEX(tt_Other,MATCH(D881,tt_Type,0))="",E881&amp;"",INDEX(tt_Other,MATCH(D881,tt_Type,0))),""))</f>
        <v/>
      </c>
      <c r="W881" s="68">
        <f>IF(OR(TaxOn&lt;&gt;"Yes",NOT(ISNUMBER(M881))),0,IF(IFERROR(INDEX(tt_Tax,MATCH(D881,tt_Type,0)),"No")="Yes",M881,0))</f>
        <v/>
      </c>
      <c r="X881" s="67">
        <f>IF(T881=1,"",IF(C881="","Missing transaction date",IF(NOT(ISNUMBER(C881)),"Invalid date",IF(OR(C881&lt;DATE(2000,1,1),C881&gt;DATE(2099,12,31)),"Invalid date",IF(D881="","Select a type",IF(U881="","Unknown type: "&amp;D881,IF(V881="","Select an account (Category)",IF(ISNA(MATCH(V881,coa_Name,0)),"Unknown account: "&amp;V881,IF(K881="","Select Paid From / Deposited To",IF(ISNA(MATCH(K881,coa_Name,0)),"Unknown account: "&amp;K881,IF(NOT(ISNUMBER(L881)),"Enter an amount",IF(L881=0,"Enter an amount",IF(ABS(W881)&gt;ABS(L881),"Tax is larger than the amount","")))))))))))))</f>
        <v/>
      </c>
      <c r="Y881" s="67">
        <f>IF(OR(T881=1,X881&lt;&gt;""),"",IF(AND(B881&lt;&gt;"",COUNTIF(tx_ID,B881)&gt;1),"Duplicate transaction ID",IF(AND(L881&lt;0,D881&lt;&gt;"Adjustment"),"Negative amount — check this entry",IF(AND(D881="Customer Payment",G881=""),"Add the customer",IF(AND(D881="Customer Payment",OR(J881="",COUNTIF(ar_No,J881&amp;"")=0)),"Invoice # in Reference not found on AR sheet",IF(AND(D881="Bill Payment",H881=""),"Add the vendor",IF(AND(D881="Bill Payment",OR(J881="",COUNTIFS(ap_No,J881&amp;"",ap_Party,H881&amp;"")=0)),"Bill # + vendor not found on AP sheet",IF(AND(ISNUMBER(M881),N(M881)&lt;&gt;0,W881=0),"Tax ignored (tax tracking off, or not allowed for this type)",IF(V881=K881&amp;"","Same account on both sides",IF(AND(ISNUMBER(StartDate),C881&lt;StartDate),"Date is before the accounting start date",IF(AND(D881&lt;&gt;"Adjustment",IFERROR(INDEX(coa_Pay,MATCH(K881&amp;"",coa_Name,0)),"")&lt;&gt;"Yes"),"Paid From / Deposited To is not a payment account","")))))))))))</f>
        <v/>
      </c>
      <c r="Z881" s="67">
        <f>IF(AND(T881=0,X881=""),1,0)</f>
        <v/>
      </c>
      <c r="AA881" s="68">
        <f>IF(Z881=1,IF(U881="In",L881,L881-W881),0)</f>
        <v/>
      </c>
      <c r="AB881" s="68">
        <f>IF(Z881=1,IF(U881="In",L881-W881,L881),0)</f>
        <v/>
      </c>
      <c r="AC881" s="68">
        <f>IF(AND(Z881=1,U881="Out"),W881,0)</f>
        <v/>
      </c>
      <c r="AD881" s="68">
        <f>IF(AND(Z881=1,U881="In"),W881,0)</f>
        <v/>
      </c>
    </row>
    <row r="882">
      <c r="B882" s="62" t="inlineStr">
        <is>
          <t>TX-0876</t>
        </is>
      </c>
      <c r="C882" s="63" t="n"/>
      <c r="D882" s="62" t="n"/>
      <c r="E882" s="62" t="n"/>
      <c r="F882" s="62" t="n"/>
      <c r="G882" s="62" t="n"/>
      <c r="H882" s="62" t="n"/>
      <c r="I882" s="62" t="n"/>
      <c r="J882" s="62" t="n"/>
      <c r="K882" s="62" t="n"/>
      <c r="L882" s="64" t="n"/>
      <c r="M882" s="64" t="n"/>
      <c r="N882" s="62" t="n"/>
      <c r="O882" s="65">
        <f>IF(Z882=1,L882-W882,"")</f>
        <v/>
      </c>
      <c r="P882" s="66">
        <f>IF(V882="","",IFERROR(INDEX(coa_Type,MATCH(V882,coa_Name,0)),""))</f>
        <v/>
      </c>
      <c r="Q882" s="66">
        <f>IF(Z882=1,IF(U882="In",K882&amp;"",V882),"")</f>
        <v/>
      </c>
      <c r="R882" s="66">
        <f>IF(Z882=1,IF(U882="In",V882,K882&amp;""),"")</f>
        <v/>
      </c>
      <c r="S882" s="66">
        <f>IF(X882&lt;&gt;"","⛔ "&amp;X882&amp;" — not posted",IF(Y882&lt;&gt;"","⚠ "&amp;Y882,IF(Z882=1,"✓ OK","")))</f>
        <v/>
      </c>
      <c r="T882" s="67">
        <f>IF(AND(C882="",D882="",E882="",L882="",K882=""),1,0)</f>
        <v/>
      </c>
      <c r="U882" s="67">
        <f>IFERROR(INDEX(tt_Dir,MATCH(D882,tt_Type,0)),"")</f>
        <v/>
      </c>
      <c r="V882" s="67">
        <f>IF(D882="","",IFERROR(IF(INDEX(tt_Other,MATCH(D882,tt_Type,0))="",E882&amp;"",INDEX(tt_Other,MATCH(D882,tt_Type,0))),""))</f>
        <v/>
      </c>
      <c r="W882" s="68">
        <f>IF(OR(TaxOn&lt;&gt;"Yes",NOT(ISNUMBER(M882))),0,IF(IFERROR(INDEX(tt_Tax,MATCH(D882,tt_Type,0)),"No")="Yes",M882,0))</f>
        <v/>
      </c>
      <c r="X882" s="67">
        <f>IF(T882=1,"",IF(C882="","Missing transaction date",IF(NOT(ISNUMBER(C882)),"Invalid date",IF(OR(C882&lt;DATE(2000,1,1),C882&gt;DATE(2099,12,31)),"Invalid date",IF(D882="","Select a type",IF(U882="","Unknown type: "&amp;D882,IF(V882="","Select an account (Category)",IF(ISNA(MATCH(V882,coa_Name,0)),"Unknown account: "&amp;V882,IF(K882="","Select Paid From / Deposited To",IF(ISNA(MATCH(K882,coa_Name,0)),"Unknown account: "&amp;K882,IF(NOT(ISNUMBER(L882)),"Enter an amount",IF(L882=0,"Enter an amount",IF(ABS(W882)&gt;ABS(L882),"Tax is larger than the amount","")))))))))))))</f>
        <v/>
      </c>
      <c r="Y882" s="67">
        <f>IF(OR(T882=1,X882&lt;&gt;""),"",IF(AND(B882&lt;&gt;"",COUNTIF(tx_ID,B882)&gt;1),"Duplicate transaction ID",IF(AND(L882&lt;0,D882&lt;&gt;"Adjustment"),"Negative amount — check this entry",IF(AND(D882="Customer Payment",G882=""),"Add the customer",IF(AND(D882="Customer Payment",OR(J882="",COUNTIF(ar_No,J882&amp;"")=0)),"Invoice # in Reference not found on AR sheet",IF(AND(D882="Bill Payment",H882=""),"Add the vendor",IF(AND(D882="Bill Payment",OR(J882="",COUNTIFS(ap_No,J882&amp;"",ap_Party,H882&amp;"")=0)),"Bill # + vendor not found on AP sheet",IF(AND(ISNUMBER(M882),N(M882)&lt;&gt;0,W882=0),"Tax ignored (tax tracking off, or not allowed for this type)",IF(V882=K882&amp;"","Same account on both sides",IF(AND(ISNUMBER(StartDate),C882&lt;StartDate),"Date is before the accounting start date",IF(AND(D882&lt;&gt;"Adjustment",IFERROR(INDEX(coa_Pay,MATCH(K882&amp;"",coa_Name,0)),"")&lt;&gt;"Yes"),"Paid From / Deposited To is not a payment account","")))))))))))</f>
        <v/>
      </c>
      <c r="Z882" s="67">
        <f>IF(AND(T882=0,X882=""),1,0)</f>
        <v/>
      </c>
      <c r="AA882" s="68">
        <f>IF(Z882=1,IF(U882="In",L882,L882-W882),0)</f>
        <v/>
      </c>
      <c r="AB882" s="68">
        <f>IF(Z882=1,IF(U882="In",L882-W882,L882),0)</f>
        <v/>
      </c>
      <c r="AC882" s="68">
        <f>IF(AND(Z882=1,U882="Out"),W882,0)</f>
        <v/>
      </c>
      <c r="AD882" s="68">
        <f>IF(AND(Z882=1,U882="In"),W882,0)</f>
        <v/>
      </c>
    </row>
    <row r="883">
      <c r="B883" s="62" t="inlineStr">
        <is>
          <t>TX-0877</t>
        </is>
      </c>
      <c r="C883" s="63" t="n"/>
      <c r="D883" s="62" t="n"/>
      <c r="E883" s="62" t="n"/>
      <c r="F883" s="62" t="n"/>
      <c r="G883" s="62" t="n"/>
      <c r="H883" s="62" t="n"/>
      <c r="I883" s="62" t="n"/>
      <c r="J883" s="62" t="n"/>
      <c r="K883" s="62" t="n"/>
      <c r="L883" s="64" t="n"/>
      <c r="M883" s="64" t="n"/>
      <c r="N883" s="62" t="n"/>
      <c r="O883" s="65">
        <f>IF(Z883=1,L883-W883,"")</f>
        <v/>
      </c>
      <c r="P883" s="66">
        <f>IF(V883="","",IFERROR(INDEX(coa_Type,MATCH(V883,coa_Name,0)),""))</f>
        <v/>
      </c>
      <c r="Q883" s="66">
        <f>IF(Z883=1,IF(U883="In",K883&amp;"",V883),"")</f>
        <v/>
      </c>
      <c r="R883" s="66">
        <f>IF(Z883=1,IF(U883="In",V883,K883&amp;""),"")</f>
        <v/>
      </c>
      <c r="S883" s="66">
        <f>IF(X883&lt;&gt;"","⛔ "&amp;X883&amp;" — not posted",IF(Y883&lt;&gt;"","⚠ "&amp;Y883,IF(Z883=1,"✓ OK","")))</f>
        <v/>
      </c>
      <c r="T883" s="67">
        <f>IF(AND(C883="",D883="",E883="",L883="",K883=""),1,0)</f>
        <v/>
      </c>
      <c r="U883" s="67">
        <f>IFERROR(INDEX(tt_Dir,MATCH(D883,tt_Type,0)),"")</f>
        <v/>
      </c>
      <c r="V883" s="67">
        <f>IF(D883="","",IFERROR(IF(INDEX(tt_Other,MATCH(D883,tt_Type,0))="",E883&amp;"",INDEX(tt_Other,MATCH(D883,tt_Type,0))),""))</f>
        <v/>
      </c>
      <c r="W883" s="68">
        <f>IF(OR(TaxOn&lt;&gt;"Yes",NOT(ISNUMBER(M883))),0,IF(IFERROR(INDEX(tt_Tax,MATCH(D883,tt_Type,0)),"No")="Yes",M883,0))</f>
        <v/>
      </c>
      <c r="X883" s="67">
        <f>IF(T883=1,"",IF(C883="","Missing transaction date",IF(NOT(ISNUMBER(C883)),"Invalid date",IF(OR(C883&lt;DATE(2000,1,1),C883&gt;DATE(2099,12,31)),"Invalid date",IF(D883="","Select a type",IF(U883="","Unknown type: "&amp;D883,IF(V883="","Select an account (Category)",IF(ISNA(MATCH(V883,coa_Name,0)),"Unknown account: "&amp;V883,IF(K883="","Select Paid From / Deposited To",IF(ISNA(MATCH(K883,coa_Name,0)),"Unknown account: "&amp;K883,IF(NOT(ISNUMBER(L883)),"Enter an amount",IF(L883=0,"Enter an amount",IF(ABS(W883)&gt;ABS(L883),"Tax is larger than the amount","")))))))))))))</f>
        <v/>
      </c>
      <c r="Y883" s="67">
        <f>IF(OR(T883=1,X883&lt;&gt;""),"",IF(AND(B883&lt;&gt;"",COUNTIF(tx_ID,B883)&gt;1),"Duplicate transaction ID",IF(AND(L883&lt;0,D883&lt;&gt;"Adjustment"),"Negative amount — check this entry",IF(AND(D883="Customer Payment",G883=""),"Add the customer",IF(AND(D883="Customer Payment",OR(J883="",COUNTIF(ar_No,J883&amp;"")=0)),"Invoice # in Reference not found on AR sheet",IF(AND(D883="Bill Payment",H883=""),"Add the vendor",IF(AND(D883="Bill Payment",OR(J883="",COUNTIFS(ap_No,J883&amp;"",ap_Party,H883&amp;"")=0)),"Bill # + vendor not found on AP sheet",IF(AND(ISNUMBER(M883),N(M883)&lt;&gt;0,W883=0),"Tax ignored (tax tracking off, or not allowed for this type)",IF(V883=K883&amp;"","Same account on both sides",IF(AND(ISNUMBER(StartDate),C883&lt;StartDate),"Date is before the accounting start date",IF(AND(D883&lt;&gt;"Adjustment",IFERROR(INDEX(coa_Pay,MATCH(K883&amp;"",coa_Name,0)),"")&lt;&gt;"Yes"),"Paid From / Deposited To is not a payment account","")))))))))))</f>
        <v/>
      </c>
      <c r="Z883" s="67">
        <f>IF(AND(T883=0,X883=""),1,0)</f>
        <v/>
      </c>
      <c r="AA883" s="68">
        <f>IF(Z883=1,IF(U883="In",L883,L883-W883),0)</f>
        <v/>
      </c>
      <c r="AB883" s="68">
        <f>IF(Z883=1,IF(U883="In",L883-W883,L883),0)</f>
        <v/>
      </c>
      <c r="AC883" s="68">
        <f>IF(AND(Z883=1,U883="Out"),W883,0)</f>
        <v/>
      </c>
      <c r="AD883" s="68">
        <f>IF(AND(Z883=1,U883="In"),W883,0)</f>
        <v/>
      </c>
    </row>
    <row r="884">
      <c r="B884" s="62" t="inlineStr">
        <is>
          <t>TX-0878</t>
        </is>
      </c>
      <c r="C884" s="63" t="n"/>
      <c r="D884" s="62" t="n"/>
      <c r="E884" s="62" t="n"/>
      <c r="F884" s="62" t="n"/>
      <c r="G884" s="62" t="n"/>
      <c r="H884" s="62" t="n"/>
      <c r="I884" s="62" t="n"/>
      <c r="J884" s="62" t="n"/>
      <c r="K884" s="62" t="n"/>
      <c r="L884" s="64" t="n"/>
      <c r="M884" s="64" t="n"/>
      <c r="N884" s="62" t="n"/>
      <c r="O884" s="65">
        <f>IF(Z884=1,L884-W884,"")</f>
        <v/>
      </c>
      <c r="P884" s="66">
        <f>IF(V884="","",IFERROR(INDEX(coa_Type,MATCH(V884,coa_Name,0)),""))</f>
        <v/>
      </c>
      <c r="Q884" s="66">
        <f>IF(Z884=1,IF(U884="In",K884&amp;"",V884),"")</f>
        <v/>
      </c>
      <c r="R884" s="66">
        <f>IF(Z884=1,IF(U884="In",V884,K884&amp;""),"")</f>
        <v/>
      </c>
      <c r="S884" s="66">
        <f>IF(X884&lt;&gt;"","⛔ "&amp;X884&amp;" — not posted",IF(Y884&lt;&gt;"","⚠ "&amp;Y884,IF(Z884=1,"✓ OK","")))</f>
        <v/>
      </c>
      <c r="T884" s="67">
        <f>IF(AND(C884="",D884="",E884="",L884="",K884=""),1,0)</f>
        <v/>
      </c>
      <c r="U884" s="67">
        <f>IFERROR(INDEX(tt_Dir,MATCH(D884,tt_Type,0)),"")</f>
        <v/>
      </c>
      <c r="V884" s="67">
        <f>IF(D884="","",IFERROR(IF(INDEX(tt_Other,MATCH(D884,tt_Type,0))="",E884&amp;"",INDEX(tt_Other,MATCH(D884,tt_Type,0))),""))</f>
        <v/>
      </c>
      <c r="W884" s="68">
        <f>IF(OR(TaxOn&lt;&gt;"Yes",NOT(ISNUMBER(M884))),0,IF(IFERROR(INDEX(tt_Tax,MATCH(D884,tt_Type,0)),"No")="Yes",M884,0))</f>
        <v/>
      </c>
      <c r="X884" s="67">
        <f>IF(T884=1,"",IF(C884="","Missing transaction date",IF(NOT(ISNUMBER(C884)),"Invalid date",IF(OR(C884&lt;DATE(2000,1,1),C884&gt;DATE(2099,12,31)),"Invalid date",IF(D884="","Select a type",IF(U884="","Unknown type: "&amp;D884,IF(V884="","Select an account (Category)",IF(ISNA(MATCH(V884,coa_Name,0)),"Unknown account: "&amp;V884,IF(K884="","Select Paid From / Deposited To",IF(ISNA(MATCH(K884,coa_Name,0)),"Unknown account: "&amp;K884,IF(NOT(ISNUMBER(L884)),"Enter an amount",IF(L884=0,"Enter an amount",IF(ABS(W884)&gt;ABS(L884),"Tax is larger than the amount","")))))))))))))</f>
        <v/>
      </c>
      <c r="Y884" s="67">
        <f>IF(OR(T884=1,X884&lt;&gt;""),"",IF(AND(B884&lt;&gt;"",COUNTIF(tx_ID,B884)&gt;1),"Duplicate transaction ID",IF(AND(L884&lt;0,D884&lt;&gt;"Adjustment"),"Negative amount — check this entry",IF(AND(D884="Customer Payment",G884=""),"Add the customer",IF(AND(D884="Customer Payment",OR(J884="",COUNTIF(ar_No,J884&amp;"")=0)),"Invoice # in Reference not found on AR sheet",IF(AND(D884="Bill Payment",H884=""),"Add the vendor",IF(AND(D884="Bill Payment",OR(J884="",COUNTIFS(ap_No,J884&amp;"",ap_Party,H884&amp;"")=0)),"Bill # + vendor not found on AP sheet",IF(AND(ISNUMBER(M884),N(M884)&lt;&gt;0,W884=0),"Tax ignored (tax tracking off, or not allowed for this type)",IF(V884=K884&amp;"","Same account on both sides",IF(AND(ISNUMBER(StartDate),C884&lt;StartDate),"Date is before the accounting start date",IF(AND(D884&lt;&gt;"Adjustment",IFERROR(INDEX(coa_Pay,MATCH(K884&amp;"",coa_Name,0)),"")&lt;&gt;"Yes"),"Paid From / Deposited To is not a payment account","")))))))))))</f>
        <v/>
      </c>
      <c r="Z884" s="67">
        <f>IF(AND(T884=0,X884=""),1,0)</f>
        <v/>
      </c>
      <c r="AA884" s="68">
        <f>IF(Z884=1,IF(U884="In",L884,L884-W884),0)</f>
        <v/>
      </c>
      <c r="AB884" s="68">
        <f>IF(Z884=1,IF(U884="In",L884-W884,L884),0)</f>
        <v/>
      </c>
      <c r="AC884" s="68">
        <f>IF(AND(Z884=1,U884="Out"),W884,0)</f>
        <v/>
      </c>
      <c r="AD884" s="68">
        <f>IF(AND(Z884=1,U884="In"),W884,0)</f>
        <v/>
      </c>
    </row>
    <row r="885">
      <c r="B885" s="62" t="inlineStr">
        <is>
          <t>TX-0879</t>
        </is>
      </c>
      <c r="C885" s="63" t="n"/>
      <c r="D885" s="62" t="n"/>
      <c r="E885" s="62" t="n"/>
      <c r="F885" s="62" t="n"/>
      <c r="G885" s="62" t="n"/>
      <c r="H885" s="62" t="n"/>
      <c r="I885" s="62" t="n"/>
      <c r="J885" s="62" t="n"/>
      <c r="K885" s="62" t="n"/>
      <c r="L885" s="64" t="n"/>
      <c r="M885" s="64" t="n"/>
      <c r="N885" s="62" t="n"/>
      <c r="O885" s="65">
        <f>IF(Z885=1,L885-W885,"")</f>
        <v/>
      </c>
      <c r="P885" s="66">
        <f>IF(V885="","",IFERROR(INDEX(coa_Type,MATCH(V885,coa_Name,0)),""))</f>
        <v/>
      </c>
      <c r="Q885" s="66">
        <f>IF(Z885=1,IF(U885="In",K885&amp;"",V885),"")</f>
        <v/>
      </c>
      <c r="R885" s="66">
        <f>IF(Z885=1,IF(U885="In",V885,K885&amp;""),"")</f>
        <v/>
      </c>
      <c r="S885" s="66">
        <f>IF(X885&lt;&gt;"","⛔ "&amp;X885&amp;" — not posted",IF(Y885&lt;&gt;"","⚠ "&amp;Y885,IF(Z885=1,"✓ OK","")))</f>
        <v/>
      </c>
      <c r="T885" s="67">
        <f>IF(AND(C885="",D885="",E885="",L885="",K885=""),1,0)</f>
        <v/>
      </c>
      <c r="U885" s="67">
        <f>IFERROR(INDEX(tt_Dir,MATCH(D885,tt_Type,0)),"")</f>
        <v/>
      </c>
      <c r="V885" s="67">
        <f>IF(D885="","",IFERROR(IF(INDEX(tt_Other,MATCH(D885,tt_Type,0))="",E885&amp;"",INDEX(tt_Other,MATCH(D885,tt_Type,0))),""))</f>
        <v/>
      </c>
      <c r="W885" s="68">
        <f>IF(OR(TaxOn&lt;&gt;"Yes",NOT(ISNUMBER(M885))),0,IF(IFERROR(INDEX(tt_Tax,MATCH(D885,tt_Type,0)),"No")="Yes",M885,0))</f>
        <v/>
      </c>
      <c r="X885" s="67">
        <f>IF(T885=1,"",IF(C885="","Missing transaction date",IF(NOT(ISNUMBER(C885)),"Invalid date",IF(OR(C885&lt;DATE(2000,1,1),C885&gt;DATE(2099,12,31)),"Invalid date",IF(D885="","Select a type",IF(U885="","Unknown type: "&amp;D885,IF(V885="","Select an account (Category)",IF(ISNA(MATCH(V885,coa_Name,0)),"Unknown account: "&amp;V885,IF(K885="","Select Paid From / Deposited To",IF(ISNA(MATCH(K885,coa_Name,0)),"Unknown account: "&amp;K885,IF(NOT(ISNUMBER(L885)),"Enter an amount",IF(L885=0,"Enter an amount",IF(ABS(W885)&gt;ABS(L885),"Tax is larger than the amount","")))))))))))))</f>
        <v/>
      </c>
      <c r="Y885" s="67">
        <f>IF(OR(T885=1,X885&lt;&gt;""),"",IF(AND(B885&lt;&gt;"",COUNTIF(tx_ID,B885)&gt;1),"Duplicate transaction ID",IF(AND(L885&lt;0,D885&lt;&gt;"Adjustment"),"Negative amount — check this entry",IF(AND(D885="Customer Payment",G885=""),"Add the customer",IF(AND(D885="Customer Payment",OR(J885="",COUNTIF(ar_No,J885&amp;"")=0)),"Invoice # in Reference not found on AR sheet",IF(AND(D885="Bill Payment",H885=""),"Add the vendor",IF(AND(D885="Bill Payment",OR(J885="",COUNTIFS(ap_No,J885&amp;"",ap_Party,H885&amp;"")=0)),"Bill # + vendor not found on AP sheet",IF(AND(ISNUMBER(M885),N(M885)&lt;&gt;0,W885=0),"Tax ignored (tax tracking off, or not allowed for this type)",IF(V885=K885&amp;"","Same account on both sides",IF(AND(ISNUMBER(StartDate),C885&lt;StartDate),"Date is before the accounting start date",IF(AND(D885&lt;&gt;"Adjustment",IFERROR(INDEX(coa_Pay,MATCH(K885&amp;"",coa_Name,0)),"")&lt;&gt;"Yes"),"Paid From / Deposited To is not a payment account","")))))))))))</f>
        <v/>
      </c>
      <c r="Z885" s="67">
        <f>IF(AND(T885=0,X885=""),1,0)</f>
        <v/>
      </c>
      <c r="AA885" s="68">
        <f>IF(Z885=1,IF(U885="In",L885,L885-W885),0)</f>
        <v/>
      </c>
      <c r="AB885" s="68">
        <f>IF(Z885=1,IF(U885="In",L885-W885,L885),0)</f>
        <v/>
      </c>
      <c r="AC885" s="68">
        <f>IF(AND(Z885=1,U885="Out"),W885,0)</f>
        <v/>
      </c>
      <c r="AD885" s="68">
        <f>IF(AND(Z885=1,U885="In"),W885,0)</f>
        <v/>
      </c>
    </row>
    <row r="886">
      <c r="B886" s="62" t="inlineStr">
        <is>
          <t>TX-0880</t>
        </is>
      </c>
      <c r="C886" s="63" t="n"/>
      <c r="D886" s="62" t="n"/>
      <c r="E886" s="62" t="n"/>
      <c r="F886" s="62" t="n"/>
      <c r="G886" s="62" t="n"/>
      <c r="H886" s="62" t="n"/>
      <c r="I886" s="62" t="n"/>
      <c r="J886" s="62" t="n"/>
      <c r="K886" s="62" t="n"/>
      <c r="L886" s="64" t="n"/>
      <c r="M886" s="64" t="n"/>
      <c r="N886" s="62" t="n"/>
      <c r="O886" s="65">
        <f>IF(Z886=1,L886-W886,"")</f>
        <v/>
      </c>
      <c r="P886" s="66">
        <f>IF(V886="","",IFERROR(INDEX(coa_Type,MATCH(V886,coa_Name,0)),""))</f>
        <v/>
      </c>
      <c r="Q886" s="66">
        <f>IF(Z886=1,IF(U886="In",K886&amp;"",V886),"")</f>
        <v/>
      </c>
      <c r="R886" s="66">
        <f>IF(Z886=1,IF(U886="In",V886,K886&amp;""),"")</f>
        <v/>
      </c>
      <c r="S886" s="66">
        <f>IF(X886&lt;&gt;"","⛔ "&amp;X886&amp;" — not posted",IF(Y886&lt;&gt;"","⚠ "&amp;Y886,IF(Z886=1,"✓ OK","")))</f>
        <v/>
      </c>
      <c r="T886" s="67">
        <f>IF(AND(C886="",D886="",E886="",L886="",K886=""),1,0)</f>
        <v/>
      </c>
      <c r="U886" s="67">
        <f>IFERROR(INDEX(tt_Dir,MATCH(D886,tt_Type,0)),"")</f>
        <v/>
      </c>
      <c r="V886" s="67">
        <f>IF(D886="","",IFERROR(IF(INDEX(tt_Other,MATCH(D886,tt_Type,0))="",E886&amp;"",INDEX(tt_Other,MATCH(D886,tt_Type,0))),""))</f>
        <v/>
      </c>
      <c r="W886" s="68">
        <f>IF(OR(TaxOn&lt;&gt;"Yes",NOT(ISNUMBER(M886))),0,IF(IFERROR(INDEX(tt_Tax,MATCH(D886,tt_Type,0)),"No")="Yes",M886,0))</f>
        <v/>
      </c>
      <c r="X886" s="67">
        <f>IF(T886=1,"",IF(C886="","Missing transaction date",IF(NOT(ISNUMBER(C886)),"Invalid date",IF(OR(C886&lt;DATE(2000,1,1),C886&gt;DATE(2099,12,31)),"Invalid date",IF(D886="","Select a type",IF(U886="","Unknown type: "&amp;D886,IF(V886="","Select an account (Category)",IF(ISNA(MATCH(V886,coa_Name,0)),"Unknown account: "&amp;V886,IF(K886="","Select Paid From / Deposited To",IF(ISNA(MATCH(K886,coa_Name,0)),"Unknown account: "&amp;K886,IF(NOT(ISNUMBER(L886)),"Enter an amount",IF(L886=0,"Enter an amount",IF(ABS(W886)&gt;ABS(L886),"Tax is larger than the amount","")))))))))))))</f>
        <v/>
      </c>
      <c r="Y886" s="67">
        <f>IF(OR(T886=1,X886&lt;&gt;""),"",IF(AND(B886&lt;&gt;"",COUNTIF(tx_ID,B886)&gt;1),"Duplicate transaction ID",IF(AND(L886&lt;0,D886&lt;&gt;"Adjustment"),"Negative amount — check this entry",IF(AND(D886="Customer Payment",G886=""),"Add the customer",IF(AND(D886="Customer Payment",OR(J886="",COUNTIF(ar_No,J886&amp;"")=0)),"Invoice # in Reference not found on AR sheet",IF(AND(D886="Bill Payment",H886=""),"Add the vendor",IF(AND(D886="Bill Payment",OR(J886="",COUNTIFS(ap_No,J886&amp;"",ap_Party,H886&amp;"")=0)),"Bill # + vendor not found on AP sheet",IF(AND(ISNUMBER(M886),N(M886)&lt;&gt;0,W886=0),"Tax ignored (tax tracking off, or not allowed for this type)",IF(V886=K886&amp;"","Same account on both sides",IF(AND(ISNUMBER(StartDate),C886&lt;StartDate),"Date is before the accounting start date",IF(AND(D886&lt;&gt;"Adjustment",IFERROR(INDEX(coa_Pay,MATCH(K886&amp;"",coa_Name,0)),"")&lt;&gt;"Yes"),"Paid From / Deposited To is not a payment account","")))))))))))</f>
        <v/>
      </c>
      <c r="Z886" s="67">
        <f>IF(AND(T886=0,X886=""),1,0)</f>
        <v/>
      </c>
      <c r="AA886" s="68">
        <f>IF(Z886=1,IF(U886="In",L886,L886-W886),0)</f>
        <v/>
      </c>
      <c r="AB886" s="68">
        <f>IF(Z886=1,IF(U886="In",L886-W886,L886),0)</f>
        <v/>
      </c>
      <c r="AC886" s="68">
        <f>IF(AND(Z886=1,U886="Out"),W886,0)</f>
        <v/>
      </c>
      <c r="AD886" s="68">
        <f>IF(AND(Z886=1,U886="In"),W886,0)</f>
        <v/>
      </c>
    </row>
    <row r="887">
      <c r="B887" s="62" t="inlineStr">
        <is>
          <t>TX-0881</t>
        </is>
      </c>
      <c r="C887" s="63" t="n"/>
      <c r="D887" s="62" t="n"/>
      <c r="E887" s="62" t="n"/>
      <c r="F887" s="62" t="n"/>
      <c r="G887" s="62" t="n"/>
      <c r="H887" s="62" t="n"/>
      <c r="I887" s="62" t="n"/>
      <c r="J887" s="62" t="n"/>
      <c r="K887" s="62" t="n"/>
      <c r="L887" s="64" t="n"/>
      <c r="M887" s="64" t="n"/>
      <c r="N887" s="62" t="n"/>
      <c r="O887" s="65">
        <f>IF(Z887=1,L887-W887,"")</f>
        <v/>
      </c>
      <c r="P887" s="66">
        <f>IF(V887="","",IFERROR(INDEX(coa_Type,MATCH(V887,coa_Name,0)),""))</f>
        <v/>
      </c>
      <c r="Q887" s="66">
        <f>IF(Z887=1,IF(U887="In",K887&amp;"",V887),"")</f>
        <v/>
      </c>
      <c r="R887" s="66">
        <f>IF(Z887=1,IF(U887="In",V887,K887&amp;""),"")</f>
        <v/>
      </c>
      <c r="S887" s="66">
        <f>IF(X887&lt;&gt;"","⛔ "&amp;X887&amp;" — not posted",IF(Y887&lt;&gt;"","⚠ "&amp;Y887,IF(Z887=1,"✓ OK","")))</f>
        <v/>
      </c>
      <c r="T887" s="67">
        <f>IF(AND(C887="",D887="",E887="",L887="",K887=""),1,0)</f>
        <v/>
      </c>
      <c r="U887" s="67">
        <f>IFERROR(INDEX(tt_Dir,MATCH(D887,tt_Type,0)),"")</f>
        <v/>
      </c>
      <c r="V887" s="67">
        <f>IF(D887="","",IFERROR(IF(INDEX(tt_Other,MATCH(D887,tt_Type,0))="",E887&amp;"",INDEX(tt_Other,MATCH(D887,tt_Type,0))),""))</f>
        <v/>
      </c>
      <c r="W887" s="68">
        <f>IF(OR(TaxOn&lt;&gt;"Yes",NOT(ISNUMBER(M887))),0,IF(IFERROR(INDEX(tt_Tax,MATCH(D887,tt_Type,0)),"No")="Yes",M887,0))</f>
        <v/>
      </c>
      <c r="X887" s="67">
        <f>IF(T887=1,"",IF(C887="","Missing transaction date",IF(NOT(ISNUMBER(C887)),"Invalid date",IF(OR(C887&lt;DATE(2000,1,1),C887&gt;DATE(2099,12,31)),"Invalid date",IF(D887="","Select a type",IF(U887="","Unknown type: "&amp;D887,IF(V887="","Select an account (Category)",IF(ISNA(MATCH(V887,coa_Name,0)),"Unknown account: "&amp;V887,IF(K887="","Select Paid From / Deposited To",IF(ISNA(MATCH(K887,coa_Name,0)),"Unknown account: "&amp;K887,IF(NOT(ISNUMBER(L887)),"Enter an amount",IF(L887=0,"Enter an amount",IF(ABS(W887)&gt;ABS(L887),"Tax is larger than the amount","")))))))))))))</f>
        <v/>
      </c>
      <c r="Y887" s="67">
        <f>IF(OR(T887=1,X887&lt;&gt;""),"",IF(AND(B887&lt;&gt;"",COUNTIF(tx_ID,B887)&gt;1),"Duplicate transaction ID",IF(AND(L887&lt;0,D887&lt;&gt;"Adjustment"),"Negative amount — check this entry",IF(AND(D887="Customer Payment",G887=""),"Add the customer",IF(AND(D887="Customer Payment",OR(J887="",COUNTIF(ar_No,J887&amp;"")=0)),"Invoice # in Reference not found on AR sheet",IF(AND(D887="Bill Payment",H887=""),"Add the vendor",IF(AND(D887="Bill Payment",OR(J887="",COUNTIFS(ap_No,J887&amp;"",ap_Party,H887&amp;"")=0)),"Bill # + vendor not found on AP sheet",IF(AND(ISNUMBER(M887),N(M887)&lt;&gt;0,W887=0),"Tax ignored (tax tracking off, or not allowed for this type)",IF(V887=K887&amp;"","Same account on both sides",IF(AND(ISNUMBER(StartDate),C887&lt;StartDate),"Date is before the accounting start date",IF(AND(D887&lt;&gt;"Adjustment",IFERROR(INDEX(coa_Pay,MATCH(K887&amp;"",coa_Name,0)),"")&lt;&gt;"Yes"),"Paid From / Deposited To is not a payment account","")))))))))))</f>
        <v/>
      </c>
      <c r="Z887" s="67">
        <f>IF(AND(T887=0,X887=""),1,0)</f>
        <v/>
      </c>
      <c r="AA887" s="68">
        <f>IF(Z887=1,IF(U887="In",L887,L887-W887),0)</f>
        <v/>
      </c>
      <c r="AB887" s="68">
        <f>IF(Z887=1,IF(U887="In",L887-W887,L887),0)</f>
        <v/>
      </c>
      <c r="AC887" s="68">
        <f>IF(AND(Z887=1,U887="Out"),W887,0)</f>
        <v/>
      </c>
      <c r="AD887" s="68">
        <f>IF(AND(Z887=1,U887="In"),W887,0)</f>
        <v/>
      </c>
    </row>
    <row r="888">
      <c r="B888" s="62" t="inlineStr">
        <is>
          <t>TX-0882</t>
        </is>
      </c>
      <c r="C888" s="63" t="n"/>
      <c r="D888" s="62" t="n"/>
      <c r="E888" s="62" t="n"/>
      <c r="F888" s="62" t="n"/>
      <c r="G888" s="62" t="n"/>
      <c r="H888" s="62" t="n"/>
      <c r="I888" s="62" t="n"/>
      <c r="J888" s="62" t="n"/>
      <c r="K888" s="62" t="n"/>
      <c r="L888" s="64" t="n"/>
      <c r="M888" s="64" t="n"/>
      <c r="N888" s="62" t="n"/>
      <c r="O888" s="65">
        <f>IF(Z888=1,L888-W888,"")</f>
        <v/>
      </c>
      <c r="P888" s="66">
        <f>IF(V888="","",IFERROR(INDEX(coa_Type,MATCH(V888,coa_Name,0)),""))</f>
        <v/>
      </c>
      <c r="Q888" s="66">
        <f>IF(Z888=1,IF(U888="In",K888&amp;"",V888),"")</f>
        <v/>
      </c>
      <c r="R888" s="66">
        <f>IF(Z888=1,IF(U888="In",V888,K888&amp;""),"")</f>
        <v/>
      </c>
      <c r="S888" s="66">
        <f>IF(X888&lt;&gt;"","⛔ "&amp;X888&amp;" — not posted",IF(Y888&lt;&gt;"","⚠ "&amp;Y888,IF(Z888=1,"✓ OK","")))</f>
        <v/>
      </c>
      <c r="T888" s="67">
        <f>IF(AND(C888="",D888="",E888="",L888="",K888=""),1,0)</f>
        <v/>
      </c>
      <c r="U888" s="67">
        <f>IFERROR(INDEX(tt_Dir,MATCH(D888,tt_Type,0)),"")</f>
        <v/>
      </c>
      <c r="V888" s="67">
        <f>IF(D888="","",IFERROR(IF(INDEX(tt_Other,MATCH(D888,tt_Type,0))="",E888&amp;"",INDEX(tt_Other,MATCH(D888,tt_Type,0))),""))</f>
        <v/>
      </c>
      <c r="W888" s="68">
        <f>IF(OR(TaxOn&lt;&gt;"Yes",NOT(ISNUMBER(M888))),0,IF(IFERROR(INDEX(tt_Tax,MATCH(D888,tt_Type,0)),"No")="Yes",M888,0))</f>
        <v/>
      </c>
      <c r="X888" s="67">
        <f>IF(T888=1,"",IF(C888="","Missing transaction date",IF(NOT(ISNUMBER(C888)),"Invalid date",IF(OR(C888&lt;DATE(2000,1,1),C888&gt;DATE(2099,12,31)),"Invalid date",IF(D888="","Select a type",IF(U888="","Unknown type: "&amp;D888,IF(V888="","Select an account (Category)",IF(ISNA(MATCH(V888,coa_Name,0)),"Unknown account: "&amp;V888,IF(K888="","Select Paid From / Deposited To",IF(ISNA(MATCH(K888,coa_Name,0)),"Unknown account: "&amp;K888,IF(NOT(ISNUMBER(L888)),"Enter an amount",IF(L888=0,"Enter an amount",IF(ABS(W888)&gt;ABS(L888),"Tax is larger than the amount","")))))))))))))</f>
        <v/>
      </c>
      <c r="Y888" s="67">
        <f>IF(OR(T888=1,X888&lt;&gt;""),"",IF(AND(B888&lt;&gt;"",COUNTIF(tx_ID,B888)&gt;1),"Duplicate transaction ID",IF(AND(L888&lt;0,D888&lt;&gt;"Adjustment"),"Negative amount — check this entry",IF(AND(D888="Customer Payment",G888=""),"Add the customer",IF(AND(D888="Customer Payment",OR(J888="",COUNTIF(ar_No,J888&amp;"")=0)),"Invoice # in Reference not found on AR sheet",IF(AND(D888="Bill Payment",H888=""),"Add the vendor",IF(AND(D888="Bill Payment",OR(J888="",COUNTIFS(ap_No,J888&amp;"",ap_Party,H888&amp;"")=0)),"Bill # + vendor not found on AP sheet",IF(AND(ISNUMBER(M888),N(M888)&lt;&gt;0,W888=0),"Tax ignored (tax tracking off, or not allowed for this type)",IF(V888=K888&amp;"","Same account on both sides",IF(AND(ISNUMBER(StartDate),C888&lt;StartDate),"Date is before the accounting start date",IF(AND(D888&lt;&gt;"Adjustment",IFERROR(INDEX(coa_Pay,MATCH(K888&amp;"",coa_Name,0)),"")&lt;&gt;"Yes"),"Paid From / Deposited To is not a payment account","")))))))))))</f>
        <v/>
      </c>
      <c r="Z888" s="67">
        <f>IF(AND(T888=0,X888=""),1,0)</f>
        <v/>
      </c>
      <c r="AA888" s="68">
        <f>IF(Z888=1,IF(U888="In",L888,L888-W888),0)</f>
        <v/>
      </c>
      <c r="AB888" s="68">
        <f>IF(Z888=1,IF(U888="In",L888-W888,L888),0)</f>
        <v/>
      </c>
      <c r="AC888" s="68">
        <f>IF(AND(Z888=1,U888="Out"),W888,0)</f>
        <v/>
      </c>
      <c r="AD888" s="68">
        <f>IF(AND(Z888=1,U888="In"),W888,0)</f>
        <v/>
      </c>
    </row>
    <row r="889">
      <c r="B889" s="62" t="inlineStr">
        <is>
          <t>TX-0883</t>
        </is>
      </c>
      <c r="C889" s="63" t="n"/>
      <c r="D889" s="62" t="n"/>
      <c r="E889" s="62" t="n"/>
      <c r="F889" s="62" t="n"/>
      <c r="G889" s="62" t="n"/>
      <c r="H889" s="62" t="n"/>
      <c r="I889" s="62" t="n"/>
      <c r="J889" s="62" t="n"/>
      <c r="K889" s="62" t="n"/>
      <c r="L889" s="64" t="n"/>
      <c r="M889" s="64" t="n"/>
      <c r="N889" s="62" t="n"/>
      <c r="O889" s="65">
        <f>IF(Z889=1,L889-W889,"")</f>
        <v/>
      </c>
      <c r="P889" s="66">
        <f>IF(V889="","",IFERROR(INDEX(coa_Type,MATCH(V889,coa_Name,0)),""))</f>
        <v/>
      </c>
      <c r="Q889" s="66">
        <f>IF(Z889=1,IF(U889="In",K889&amp;"",V889),"")</f>
        <v/>
      </c>
      <c r="R889" s="66">
        <f>IF(Z889=1,IF(U889="In",V889,K889&amp;""),"")</f>
        <v/>
      </c>
      <c r="S889" s="66">
        <f>IF(X889&lt;&gt;"","⛔ "&amp;X889&amp;" — not posted",IF(Y889&lt;&gt;"","⚠ "&amp;Y889,IF(Z889=1,"✓ OK","")))</f>
        <v/>
      </c>
      <c r="T889" s="67">
        <f>IF(AND(C889="",D889="",E889="",L889="",K889=""),1,0)</f>
        <v/>
      </c>
      <c r="U889" s="67">
        <f>IFERROR(INDEX(tt_Dir,MATCH(D889,tt_Type,0)),"")</f>
        <v/>
      </c>
      <c r="V889" s="67">
        <f>IF(D889="","",IFERROR(IF(INDEX(tt_Other,MATCH(D889,tt_Type,0))="",E889&amp;"",INDEX(tt_Other,MATCH(D889,tt_Type,0))),""))</f>
        <v/>
      </c>
      <c r="W889" s="68">
        <f>IF(OR(TaxOn&lt;&gt;"Yes",NOT(ISNUMBER(M889))),0,IF(IFERROR(INDEX(tt_Tax,MATCH(D889,tt_Type,0)),"No")="Yes",M889,0))</f>
        <v/>
      </c>
      <c r="X889" s="67">
        <f>IF(T889=1,"",IF(C889="","Missing transaction date",IF(NOT(ISNUMBER(C889)),"Invalid date",IF(OR(C889&lt;DATE(2000,1,1),C889&gt;DATE(2099,12,31)),"Invalid date",IF(D889="","Select a type",IF(U889="","Unknown type: "&amp;D889,IF(V889="","Select an account (Category)",IF(ISNA(MATCH(V889,coa_Name,0)),"Unknown account: "&amp;V889,IF(K889="","Select Paid From / Deposited To",IF(ISNA(MATCH(K889,coa_Name,0)),"Unknown account: "&amp;K889,IF(NOT(ISNUMBER(L889)),"Enter an amount",IF(L889=0,"Enter an amount",IF(ABS(W889)&gt;ABS(L889),"Tax is larger than the amount","")))))))))))))</f>
        <v/>
      </c>
      <c r="Y889" s="67">
        <f>IF(OR(T889=1,X889&lt;&gt;""),"",IF(AND(B889&lt;&gt;"",COUNTIF(tx_ID,B889)&gt;1),"Duplicate transaction ID",IF(AND(L889&lt;0,D889&lt;&gt;"Adjustment"),"Negative amount — check this entry",IF(AND(D889="Customer Payment",G889=""),"Add the customer",IF(AND(D889="Customer Payment",OR(J889="",COUNTIF(ar_No,J889&amp;"")=0)),"Invoice # in Reference not found on AR sheet",IF(AND(D889="Bill Payment",H889=""),"Add the vendor",IF(AND(D889="Bill Payment",OR(J889="",COUNTIFS(ap_No,J889&amp;"",ap_Party,H889&amp;"")=0)),"Bill # + vendor not found on AP sheet",IF(AND(ISNUMBER(M889),N(M889)&lt;&gt;0,W889=0),"Tax ignored (tax tracking off, or not allowed for this type)",IF(V889=K889&amp;"","Same account on both sides",IF(AND(ISNUMBER(StartDate),C889&lt;StartDate),"Date is before the accounting start date",IF(AND(D889&lt;&gt;"Adjustment",IFERROR(INDEX(coa_Pay,MATCH(K889&amp;"",coa_Name,0)),"")&lt;&gt;"Yes"),"Paid From / Deposited To is not a payment account","")))))))))))</f>
        <v/>
      </c>
      <c r="Z889" s="67">
        <f>IF(AND(T889=0,X889=""),1,0)</f>
        <v/>
      </c>
      <c r="AA889" s="68">
        <f>IF(Z889=1,IF(U889="In",L889,L889-W889),0)</f>
        <v/>
      </c>
      <c r="AB889" s="68">
        <f>IF(Z889=1,IF(U889="In",L889-W889,L889),0)</f>
        <v/>
      </c>
      <c r="AC889" s="68">
        <f>IF(AND(Z889=1,U889="Out"),W889,0)</f>
        <v/>
      </c>
      <c r="AD889" s="68">
        <f>IF(AND(Z889=1,U889="In"),W889,0)</f>
        <v/>
      </c>
    </row>
    <row r="890">
      <c r="B890" s="62" t="inlineStr">
        <is>
          <t>TX-0884</t>
        </is>
      </c>
      <c r="C890" s="63" t="n"/>
      <c r="D890" s="62" t="n"/>
      <c r="E890" s="62" t="n"/>
      <c r="F890" s="62" t="n"/>
      <c r="G890" s="62" t="n"/>
      <c r="H890" s="62" t="n"/>
      <c r="I890" s="62" t="n"/>
      <c r="J890" s="62" t="n"/>
      <c r="K890" s="62" t="n"/>
      <c r="L890" s="64" t="n"/>
      <c r="M890" s="64" t="n"/>
      <c r="N890" s="62" t="n"/>
      <c r="O890" s="65">
        <f>IF(Z890=1,L890-W890,"")</f>
        <v/>
      </c>
      <c r="P890" s="66">
        <f>IF(V890="","",IFERROR(INDEX(coa_Type,MATCH(V890,coa_Name,0)),""))</f>
        <v/>
      </c>
      <c r="Q890" s="66">
        <f>IF(Z890=1,IF(U890="In",K890&amp;"",V890),"")</f>
        <v/>
      </c>
      <c r="R890" s="66">
        <f>IF(Z890=1,IF(U890="In",V890,K890&amp;""),"")</f>
        <v/>
      </c>
      <c r="S890" s="66">
        <f>IF(X890&lt;&gt;"","⛔ "&amp;X890&amp;" — not posted",IF(Y890&lt;&gt;"","⚠ "&amp;Y890,IF(Z890=1,"✓ OK","")))</f>
        <v/>
      </c>
      <c r="T890" s="67">
        <f>IF(AND(C890="",D890="",E890="",L890="",K890=""),1,0)</f>
        <v/>
      </c>
      <c r="U890" s="67">
        <f>IFERROR(INDEX(tt_Dir,MATCH(D890,tt_Type,0)),"")</f>
        <v/>
      </c>
      <c r="V890" s="67">
        <f>IF(D890="","",IFERROR(IF(INDEX(tt_Other,MATCH(D890,tt_Type,0))="",E890&amp;"",INDEX(tt_Other,MATCH(D890,tt_Type,0))),""))</f>
        <v/>
      </c>
      <c r="W890" s="68">
        <f>IF(OR(TaxOn&lt;&gt;"Yes",NOT(ISNUMBER(M890))),0,IF(IFERROR(INDEX(tt_Tax,MATCH(D890,tt_Type,0)),"No")="Yes",M890,0))</f>
        <v/>
      </c>
      <c r="X890" s="67">
        <f>IF(T890=1,"",IF(C890="","Missing transaction date",IF(NOT(ISNUMBER(C890)),"Invalid date",IF(OR(C890&lt;DATE(2000,1,1),C890&gt;DATE(2099,12,31)),"Invalid date",IF(D890="","Select a type",IF(U890="","Unknown type: "&amp;D890,IF(V890="","Select an account (Category)",IF(ISNA(MATCH(V890,coa_Name,0)),"Unknown account: "&amp;V890,IF(K890="","Select Paid From / Deposited To",IF(ISNA(MATCH(K890,coa_Name,0)),"Unknown account: "&amp;K890,IF(NOT(ISNUMBER(L890)),"Enter an amount",IF(L890=0,"Enter an amount",IF(ABS(W890)&gt;ABS(L890),"Tax is larger than the amount","")))))))))))))</f>
        <v/>
      </c>
      <c r="Y890" s="67">
        <f>IF(OR(T890=1,X890&lt;&gt;""),"",IF(AND(B890&lt;&gt;"",COUNTIF(tx_ID,B890)&gt;1),"Duplicate transaction ID",IF(AND(L890&lt;0,D890&lt;&gt;"Adjustment"),"Negative amount — check this entry",IF(AND(D890="Customer Payment",G890=""),"Add the customer",IF(AND(D890="Customer Payment",OR(J890="",COUNTIF(ar_No,J890&amp;"")=0)),"Invoice # in Reference not found on AR sheet",IF(AND(D890="Bill Payment",H890=""),"Add the vendor",IF(AND(D890="Bill Payment",OR(J890="",COUNTIFS(ap_No,J890&amp;"",ap_Party,H890&amp;"")=0)),"Bill # + vendor not found on AP sheet",IF(AND(ISNUMBER(M890),N(M890)&lt;&gt;0,W890=0),"Tax ignored (tax tracking off, or not allowed for this type)",IF(V890=K890&amp;"","Same account on both sides",IF(AND(ISNUMBER(StartDate),C890&lt;StartDate),"Date is before the accounting start date",IF(AND(D890&lt;&gt;"Adjustment",IFERROR(INDEX(coa_Pay,MATCH(K890&amp;"",coa_Name,0)),"")&lt;&gt;"Yes"),"Paid From / Deposited To is not a payment account","")))))))))))</f>
        <v/>
      </c>
      <c r="Z890" s="67">
        <f>IF(AND(T890=0,X890=""),1,0)</f>
        <v/>
      </c>
      <c r="AA890" s="68">
        <f>IF(Z890=1,IF(U890="In",L890,L890-W890),0)</f>
        <v/>
      </c>
      <c r="AB890" s="68">
        <f>IF(Z890=1,IF(U890="In",L890-W890,L890),0)</f>
        <v/>
      </c>
      <c r="AC890" s="68">
        <f>IF(AND(Z890=1,U890="Out"),W890,0)</f>
        <v/>
      </c>
      <c r="AD890" s="68">
        <f>IF(AND(Z890=1,U890="In"),W890,0)</f>
        <v/>
      </c>
    </row>
    <row r="891">
      <c r="B891" s="62" t="inlineStr">
        <is>
          <t>TX-0885</t>
        </is>
      </c>
      <c r="C891" s="63" t="n"/>
      <c r="D891" s="62" t="n"/>
      <c r="E891" s="62" t="n"/>
      <c r="F891" s="62" t="n"/>
      <c r="G891" s="62" t="n"/>
      <c r="H891" s="62" t="n"/>
      <c r="I891" s="62" t="n"/>
      <c r="J891" s="62" t="n"/>
      <c r="K891" s="62" t="n"/>
      <c r="L891" s="64" t="n"/>
      <c r="M891" s="64" t="n"/>
      <c r="N891" s="62" t="n"/>
      <c r="O891" s="65">
        <f>IF(Z891=1,L891-W891,"")</f>
        <v/>
      </c>
      <c r="P891" s="66">
        <f>IF(V891="","",IFERROR(INDEX(coa_Type,MATCH(V891,coa_Name,0)),""))</f>
        <v/>
      </c>
      <c r="Q891" s="66">
        <f>IF(Z891=1,IF(U891="In",K891&amp;"",V891),"")</f>
        <v/>
      </c>
      <c r="R891" s="66">
        <f>IF(Z891=1,IF(U891="In",V891,K891&amp;""),"")</f>
        <v/>
      </c>
      <c r="S891" s="66">
        <f>IF(X891&lt;&gt;"","⛔ "&amp;X891&amp;" — not posted",IF(Y891&lt;&gt;"","⚠ "&amp;Y891,IF(Z891=1,"✓ OK","")))</f>
        <v/>
      </c>
      <c r="T891" s="67">
        <f>IF(AND(C891="",D891="",E891="",L891="",K891=""),1,0)</f>
        <v/>
      </c>
      <c r="U891" s="67">
        <f>IFERROR(INDEX(tt_Dir,MATCH(D891,tt_Type,0)),"")</f>
        <v/>
      </c>
      <c r="V891" s="67">
        <f>IF(D891="","",IFERROR(IF(INDEX(tt_Other,MATCH(D891,tt_Type,0))="",E891&amp;"",INDEX(tt_Other,MATCH(D891,tt_Type,0))),""))</f>
        <v/>
      </c>
      <c r="W891" s="68">
        <f>IF(OR(TaxOn&lt;&gt;"Yes",NOT(ISNUMBER(M891))),0,IF(IFERROR(INDEX(tt_Tax,MATCH(D891,tt_Type,0)),"No")="Yes",M891,0))</f>
        <v/>
      </c>
      <c r="X891" s="67">
        <f>IF(T891=1,"",IF(C891="","Missing transaction date",IF(NOT(ISNUMBER(C891)),"Invalid date",IF(OR(C891&lt;DATE(2000,1,1),C891&gt;DATE(2099,12,31)),"Invalid date",IF(D891="","Select a type",IF(U891="","Unknown type: "&amp;D891,IF(V891="","Select an account (Category)",IF(ISNA(MATCH(V891,coa_Name,0)),"Unknown account: "&amp;V891,IF(K891="","Select Paid From / Deposited To",IF(ISNA(MATCH(K891,coa_Name,0)),"Unknown account: "&amp;K891,IF(NOT(ISNUMBER(L891)),"Enter an amount",IF(L891=0,"Enter an amount",IF(ABS(W891)&gt;ABS(L891),"Tax is larger than the amount","")))))))))))))</f>
        <v/>
      </c>
      <c r="Y891" s="67">
        <f>IF(OR(T891=1,X891&lt;&gt;""),"",IF(AND(B891&lt;&gt;"",COUNTIF(tx_ID,B891)&gt;1),"Duplicate transaction ID",IF(AND(L891&lt;0,D891&lt;&gt;"Adjustment"),"Negative amount — check this entry",IF(AND(D891="Customer Payment",G891=""),"Add the customer",IF(AND(D891="Customer Payment",OR(J891="",COUNTIF(ar_No,J891&amp;"")=0)),"Invoice # in Reference not found on AR sheet",IF(AND(D891="Bill Payment",H891=""),"Add the vendor",IF(AND(D891="Bill Payment",OR(J891="",COUNTIFS(ap_No,J891&amp;"",ap_Party,H891&amp;"")=0)),"Bill # + vendor not found on AP sheet",IF(AND(ISNUMBER(M891),N(M891)&lt;&gt;0,W891=0),"Tax ignored (tax tracking off, or not allowed for this type)",IF(V891=K891&amp;"","Same account on both sides",IF(AND(ISNUMBER(StartDate),C891&lt;StartDate),"Date is before the accounting start date",IF(AND(D891&lt;&gt;"Adjustment",IFERROR(INDEX(coa_Pay,MATCH(K891&amp;"",coa_Name,0)),"")&lt;&gt;"Yes"),"Paid From / Deposited To is not a payment account","")))))))))))</f>
        <v/>
      </c>
      <c r="Z891" s="67">
        <f>IF(AND(T891=0,X891=""),1,0)</f>
        <v/>
      </c>
      <c r="AA891" s="68">
        <f>IF(Z891=1,IF(U891="In",L891,L891-W891),0)</f>
        <v/>
      </c>
      <c r="AB891" s="68">
        <f>IF(Z891=1,IF(U891="In",L891-W891,L891),0)</f>
        <v/>
      </c>
      <c r="AC891" s="68">
        <f>IF(AND(Z891=1,U891="Out"),W891,0)</f>
        <v/>
      </c>
      <c r="AD891" s="68">
        <f>IF(AND(Z891=1,U891="In"),W891,0)</f>
        <v/>
      </c>
    </row>
    <row r="892">
      <c r="B892" s="62" t="inlineStr">
        <is>
          <t>TX-0886</t>
        </is>
      </c>
      <c r="C892" s="63" t="n"/>
      <c r="D892" s="62" t="n"/>
      <c r="E892" s="62" t="n"/>
      <c r="F892" s="62" t="n"/>
      <c r="G892" s="62" t="n"/>
      <c r="H892" s="62" t="n"/>
      <c r="I892" s="62" t="n"/>
      <c r="J892" s="62" t="n"/>
      <c r="K892" s="62" t="n"/>
      <c r="L892" s="64" t="n"/>
      <c r="M892" s="64" t="n"/>
      <c r="N892" s="62" t="n"/>
      <c r="O892" s="65">
        <f>IF(Z892=1,L892-W892,"")</f>
        <v/>
      </c>
      <c r="P892" s="66">
        <f>IF(V892="","",IFERROR(INDEX(coa_Type,MATCH(V892,coa_Name,0)),""))</f>
        <v/>
      </c>
      <c r="Q892" s="66">
        <f>IF(Z892=1,IF(U892="In",K892&amp;"",V892),"")</f>
        <v/>
      </c>
      <c r="R892" s="66">
        <f>IF(Z892=1,IF(U892="In",V892,K892&amp;""),"")</f>
        <v/>
      </c>
      <c r="S892" s="66">
        <f>IF(X892&lt;&gt;"","⛔ "&amp;X892&amp;" — not posted",IF(Y892&lt;&gt;"","⚠ "&amp;Y892,IF(Z892=1,"✓ OK","")))</f>
        <v/>
      </c>
      <c r="T892" s="67">
        <f>IF(AND(C892="",D892="",E892="",L892="",K892=""),1,0)</f>
        <v/>
      </c>
      <c r="U892" s="67">
        <f>IFERROR(INDEX(tt_Dir,MATCH(D892,tt_Type,0)),"")</f>
        <v/>
      </c>
      <c r="V892" s="67">
        <f>IF(D892="","",IFERROR(IF(INDEX(tt_Other,MATCH(D892,tt_Type,0))="",E892&amp;"",INDEX(tt_Other,MATCH(D892,tt_Type,0))),""))</f>
        <v/>
      </c>
      <c r="W892" s="68">
        <f>IF(OR(TaxOn&lt;&gt;"Yes",NOT(ISNUMBER(M892))),0,IF(IFERROR(INDEX(tt_Tax,MATCH(D892,tt_Type,0)),"No")="Yes",M892,0))</f>
        <v/>
      </c>
      <c r="X892" s="67">
        <f>IF(T892=1,"",IF(C892="","Missing transaction date",IF(NOT(ISNUMBER(C892)),"Invalid date",IF(OR(C892&lt;DATE(2000,1,1),C892&gt;DATE(2099,12,31)),"Invalid date",IF(D892="","Select a type",IF(U892="","Unknown type: "&amp;D892,IF(V892="","Select an account (Category)",IF(ISNA(MATCH(V892,coa_Name,0)),"Unknown account: "&amp;V892,IF(K892="","Select Paid From / Deposited To",IF(ISNA(MATCH(K892,coa_Name,0)),"Unknown account: "&amp;K892,IF(NOT(ISNUMBER(L892)),"Enter an amount",IF(L892=0,"Enter an amount",IF(ABS(W892)&gt;ABS(L892),"Tax is larger than the amount","")))))))))))))</f>
        <v/>
      </c>
      <c r="Y892" s="67">
        <f>IF(OR(T892=1,X892&lt;&gt;""),"",IF(AND(B892&lt;&gt;"",COUNTIF(tx_ID,B892)&gt;1),"Duplicate transaction ID",IF(AND(L892&lt;0,D892&lt;&gt;"Adjustment"),"Negative amount — check this entry",IF(AND(D892="Customer Payment",G892=""),"Add the customer",IF(AND(D892="Customer Payment",OR(J892="",COUNTIF(ar_No,J892&amp;"")=0)),"Invoice # in Reference not found on AR sheet",IF(AND(D892="Bill Payment",H892=""),"Add the vendor",IF(AND(D892="Bill Payment",OR(J892="",COUNTIFS(ap_No,J892&amp;"",ap_Party,H892&amp;"")=0)),"Bill # + vendor not found on AP sheet",IF(AND(ISNUMBER(M892),N(M892)&lt;&gt;0,W892=0),"Tax ignored (tax tracking off, or not allowed for this type)",IF(V892=K892&amp;"","Same account on both sides",IF(AND(ISNUMBER(StartDate),C892&lt;StartDate),"Date is before the accounting start date",IF(AND(D892&lt;&gt;"Adjustment",IFERROR(INDEX(coa_Pay,MATCH(K892&amp;"",coa_Name,0)),"")&lt;&gt;"Yes"),"Paid From / Deposited To is not a payment account","")))))))))))</f>
        <v/>
      </c>
      <c r="Z892" s="67">
        <f>IF(AND(T892=0,X892=""),1,0)</f>
        <v/>
      </c>
      <c r="AA892" s="68">
        <f>IF(Z892=1,IF(U892="In",L892,L892-W892),0)</f>
        <v/>
      </c>
      <c r="AB892" s="68">
        <f>IF(Z892=1,IF(U892="In",L892-W892,L892),0)</f>
        <v/>
      </c>
      <c r="AC892" s="68">
        <f>IF(AND(Z892=1,U892="Out"),W892,0)</f>
        <v/>
      </c>
      <c r="AD892" s="68">
        <f>IF(AND(Z892=1,U892="In"),W892,0)</f>
        <v/>
      </c>
    </row>
    <row r="893">
      <c r="B893" s="62" t="inlineStr">
        <is>
          <t>TX-0887</t>
        </is>
      </c>
      <c r="C893" s="63" t="n"/>
      <c r="D893" s="62" t="n"/>
      <c r="E893" s="62" t="n"/>
      <c r="F893" s="62" t="n"/>
      <c r="G893" s="62" t="n"/>
      <c r="H893" s="62" t="n"/>
      <c r="I893" s="62" t="n"/>
      <c r="J893" s="62" t="n"/>
      <c r="K893" s="62" t="n"/>
      <c r="L893" s="64" t="n"/>
      <c r="M893" s="64" t="n"/>
      <c r="N893" s="62" t="n"/>
      <c r="O893" s="65">
        <f>IF(Z893=1,L893-W893,"")</f>
        <v/>
      </c>
      <c r="P893" s="66">
        <f>IF(V893="","",IFERROR(INDEX(coa_Type,MATCH(V893,coa_Name,0)),""))</f>
        <v/>
      </c>
      <c r="Q893" s="66">
        <f>IF(Z893=1,IF(U893="In",K893&amp;"",V893),"")</f>
        <v/>
      </c>
      <c r="R893" s="66">
        <f>IF(Z893=1,IF(U893="In",V893,K893&amp;""),"")</f>
        <v/>
      </c>
      <c r="S893" s="66">
        <f>IF(X893&lt;&gt;"","⛔ "&amp;X893&amp;" — not posted",IF(Y893&lt;&gt;"","⚠ "&amp;Y893,IF(Z893=1,"✓ OK","")))</f>
        <v/>
      </c>
      <c r="T893" s="67">
        <f>IF(AND(C893="",D893="",E893="",L893="",K893=""),1,0)</f>
        <v/>
      </c>
      <c r="U893" s="67">
        <f>IFERROR(INDEX(tt_Dir,MATCH(D893,tt_Type,0)),"")</f>
        <v/>
      </c>
      <c r="V893" s="67">
        <f>IF(D893="","",IFERROR(IF(INDEX(tt_Other,MATCH(D893,tt_Type,0))="",E893&amp;"",INDEX(tt_Other,MATCH(D893,tt_Type,0))),""))</f>
        <v/>
      </c>
      <c r="W893" s="68">
        <f>IF(OR(TaxOn&lt;&gt;"Yes",NOT(ISNUMBER(M893))),0,IF(IFERROR(INDEX(tt_Tax,MATCH(D893,tt_Type,0)),"No")="Yes",M893,0))</f>
        <v/>
      </c>
      <c r="X893" s="67">
        <f>IF(T893=1,"",IF(C893="","Missing transaction date",IF(NOT(ISNUMBER(C893)),"Invalid date",IF(OR(C893&lt;DATE(2000,1,1),C893&gt;DATE(2099,12,31)),"Invalid date",IF(D893="","Select a type",IF(U893="","Unknown type: "&amp;D893,IF(V893="","Select an account (Category)",IF(ISNA(MATCH(V893,coa_Name,0)),"Unknown account: "&amp;V893,IF(K893="","Select Paid From / Deposited To",IF(ISNA(MATCH(K893,coa_Name,0)),"Unknown account: "&amp;K893,IF(NOT(ISNUMBER(L893)),"Enter an amount",IF(L893=0,"Enter an amount",IF(ABS(W893)&gt;ABS(L893),"Tax is larger than the amount","")))))))))))))</f>
        <v/>
      </c>
      <c r="Y893" s="67">
        <f>IF(OR(T893=1,X893&lt;&gt;""),"",IF(AND(B893&lt;&gt;"",COUNTIF(tx_ID,B893)&gt;1),"Duplicate transaction ID",IF(AND(L893&lt;0,D893&lt;&gt;"Adjustment"),"Negative amount — check this entry",IF(AND(D893="Customer Payment",G893=""),"Add the customer",IF(AND(D893="Customer Payment",OR(J893="",COUNTIF(ar_No,J893&amp;"")=0)),"Invoice # in Reference not found on AR sheet",IF(AND(D893="Bill Payment",H893=""),"Add the vendor",IF(AND(D893="Bill Payment",OR(J893="",COUNTIFS(ap_No,J893&amp;"",ap_Party,H893&amp;"")=0)),"Bill # + vendor not found on AP sheet",IF(AND(ISNUMBER(M893),N(M893)&lt;&gt;0,W893=0),"Tax ignored (tax tracking off, or not allowed for this type)",IF(V893=K893&amp;"","Same account on both sides",IF(AND(ISNUMBER(StartDate),C893&lt;StartDate),"Date is before the accounting start date",IF(AND(D893&lt;&gt;"Adjustment",IFERROR(INDEX(coa_Pay,MATCH(K893&amp;"",coa_Name,0)),"")&lt;&gt;"Yes"),"Paid From / Deposited To is not a payment account","")))))))))))</f>
        <v/>
      </c>
      <c r="Z893" s="67">
        <f>IF(AND(T893=0,X893=""),1,0)</f>
        <v/>
      </c>
      <c r="AA893" s="68">
        <f>IF(Z893=1,IF(U893="In",L893,L893-W893),0)</f>
        <v/>
      </c>
      <c r="AB893" s="68">
        <f>IF(Z893=1,IF(U893="In",L893-W893,L893),0)</f>
        <v/>
      </c>
      <c r="AC893" s="68">
        <f>IF(AND(Z893=1,U893="Out"),W893,0)</f>
        <v/>
      </c>
      <c r="AD893" s="68">
        <f>IF(AND(Z893=1,U893="In"),W893,0)</f>
        <v/>
      </c>
    </row>
    <row r="894">
      <c r="B894" s="62" t="inlineStr">
        <is>
          <t>TX-0888</t>
        </is>
      </c>
      <c r="C894" s="63" t="n"/>
      <c r="D894" s="62" t="n"/>
      <c r="E894" s="62" t="n"/>
      <c r="F894" s="62" t="n"/>
      <c r="G894" s="62" t="n"/>
      <c r="H894" s="62" t="n"/>
      <c r="I894" s="62" t="n"/>
      <c r="J894" s="62" t="n"/>
      <c r="K894" s="62" t="n"/>
      <c r="L894" s="64" t="n"/>
      <c r="M894" s="64" t="n"/>
      <c r="N894" s="62" t="n"/>
      <c r="O894" s="65">
        <f>IF(Z894=1,L894-W894,"")</f>
        <v/>
      </c>
      <c r="P894" s="66">
        <f>IF(V894="","",IFERROR(INDEX(coa_Type,MATCH(V894,coa_Name,0)),""))</f>
        <v/>
      </c>
      <c r="Q894" s="66">
        <f>IF(Z894=1,IF(U894="In",K894&amp;"",V894),"")</f>
        <v/>
      </c>
      <c r="R894" s="66">
        <f>IF(Z894=1,IF(U894="In",V894,K894&amp;""),"")</f>
        <v/>
      </c>
      <c r="S894" s="66">
        <f>IF(X894&lt;&gt;"","⛔ "&amp;X894&amp;" — not posted",IF(Y894&lt;&gt;"","⚠ "&amp;Y894,IF(Z894=1,"✓ OK","")))</f>
        <v/>
      </c>
      <c r="T894" s="67">
        <f>IF(AND(C894="",D894="",E894="",L894="",K894=""),1,0)</f>
        <v/>
      </c>
      <c r="U894" s="67">
        <f>IFERROR(INDEX(tt_Dir,MATCH(D894,tt_Type,0)),"")</f>
        <v/>
      </c>
      <c r="V894" s="67">
        <f>IF(D894="","",IFERROR(IF(INDEX(tt_Other,MATCH(D894,tt_Type,0))="",E894&amp;"",INDEX(tt_Other,MATCH(D894,tt_Type,0))),""))</f>
        <v/>
      </c>
      <c r="W894" s="68">
        <f>IF(OR(TaxOn&lt;&gt;"Yes",NOT(ISNUMBER(M894))),0,IF(IFERROR(INDEX(tt_Tax,MATCH(D894,tt_Type,0)),"No")="Yes",M894,0))</f>
        <v/>
      </c>
      <c r="X894" s="67">
        <f>IF(T894=1,"",IF(C894="","Missing transaction date",IF(NOT(ISNUMBER(C894)),"Invalid date",IF(OR(C894&lt;DATE(2000,1,1),C894&gt;DATE(2099,12,31)),"Invalid date",IF(D894="","Select a type",IF(U894="","Unknown type: "&amp;D894,IF(V894="","Select an account (Category)",IF(ISNA(MATCH(V894,coa_Name,0)),"Unknown account: "&amp;V894,IF(K894="","Select Paid From / Deposited To",IF(ISNA(MATCH(K894,coa_Name,0)),"Unknown account: "&amp;K894,IF(NOT(ISNUMBER(L894)),"Enter an amount",IF(L894=0,"Enter an amount",IF(ABS(W894)&gt;ABS(L894),"Tax is larger than the amount","")))))))))))))</f>
        <v/>
      </c>
      <c r="Y894" s="67">
        <f>IF(OR(T894=1,X894&lt;&gt;""),"",IF(AND(B894&lt;&gt;"",COUNTIF(tx_ID,B894)&gt;1),"Duplicate transaction ID",IF(AND(L894&lt;0,D894&lt;&gt;"Adjustment"),"Negative amount — check this entry",IF(AND(D894="Customer Payment",G894=""),"Add the customer",IF(AND(D894="Customer Payment",OR(J894="",COUNTIF(ar_No,J894&amp;"")=0)),"Invoice # in Reference not found on AR sheet",IF(AND(D894="Bill Payment",H894=""),"Add the vendor",IF(AND(D894="Bill Payment",OR(J894="",COUNTIFS(ap_No,J894&amp;"",ap_Party,H894&amp;"")=0)),"Bill # + vendor not found on AP sheet",IF(AND(ISNUMBER(M894),N(M894)&lt;&gt;0,W894=0),"Tax ignored (tax tracking off, or not allowed for this type)",IF(V894=K894&amp;"","Same account on both sides",IF(AND(ISNUMBER(StartDate),C894&lt;StartDate),"Date is before the accounting start date",IF(AND(D894&lt;&gt;"Adjustment",IFERROR(INDEX(coa_Pay,MATCH(K894&amp;"",coa_Name,0)),"")&lt;&gt;"Yes"),"Paid From / Deposited To is not a payment account","")))))))))))</f>
        <v/>
      </c>
      <c r="Z894" s="67">
        <f>IF(AND(T894=0,X894=""),1,0)</f>
        <v/>
      </c>
      <c r="AA894" s="68">
        <f>IF(Z894=1,IF(U894="In",L894,L894-W894),0)</f>
        <v/>
      </c>
      <c r="AB894" s="68">
        <f>IF(Z894=1,IF(U894="In",L894-W894,L894),0)</f>
        <v/>
      </c>
      <c r="AC894" s="68">
        <f>IF(AND(Z894=1,U894="Out"),W894,0)</f>
        <v/>
      </c>
      <c r="AD894" s="68">
        <f>IF(AND(Z894=1,U894="In"),W894,0)</f>
        <v/>
      </c>
    </row>
    <row r="895">
      <c r="B895" s="62" t="inlineStr">
        <is>
          <t>TX-0889</t>
        </is>
      </c>
      <c r="C895" s="63" t="n"/>
      <c r="D895" s="62" t="n"/>
      <c r="E895" s="62" t="n"/>
      <c r="F895" s="62" t="n"/>
      <c r="G895" s="62" t="n"/>
      <c r="H895" s="62" t="n"/>
      <c r="I895" s="62" t="n"/>
      <c r="J895" s="62" t="n"/>
      <c r="K895" s="62" t="n"/>
      <c r="L895" s="64" t="n"/>
      <c r="M895" s="64" t="n"/>
      <c r="N895" s="62" t="n"/>
      <c r="O895" s="65">
        <f>IF(Z895=1,L895-W895,"")</f>
        <v/>
      </c>
      <c r="P895" s="66">
        <f>IF(V895="","",IFERROR(INDEX(coa_Type,MATCH(V895,coa_Name,0)),""))</f>
        <v/>
      </c>
      <c r="Q895" s="66">
        <f>IF(Z895=1,IF(U895="In",K895&amp;"",V895),"")</f>
        <v/>
      </c>
      <c r="R895" s="66">
        <f>IF(Z895=1,IF(U895="In",V895,K895&amp;""),"")</f>
        <v/>
      </c>
      <c r="S895" s="66">
        <f>IF(X895&lt;&gt;"","⛔ "&amp;X895&amp;" — not posted",IF(Y895&lt;&gt;"","⚠ "&amp;Y895,IF(Z895=1,"✓ OK","")))</f>
        <v/>
      </c>
      <c r="T895" s="67">
        <f>IF(AND(C895="",D895="",E895="",L895="",K895=""),1,0)</f>
        <v/>
      </c>
      <c r="U895" s="67">
        <f>IFERROR(INDEX(tt_Dir,MATCH(D895,tt_Type,0)),"")</f>
        <v/>
      </c>
      <c r="V895" s="67">
        <f>IF(D895="","",IFERROR(IF(INDEX(tt_Other,MATCH(D895,tt_Type,0))="",E895&amp;"",INDEX(tt_Other,MATCH(D895,tt_Type,0))),""))</f>
        <v/>
      </c>
      <c r="W895" s="68">
        <f>IF(OR(TaxOn&lt;&gt;"Yes",NOT(ISNUMBER(M895))),0,IF(IFERROR(INDEX(tt_Tax,MATCH(D895,tt_Type,0)),"No")="Yes",M895,0))</f>
        <v/>
      </c>
      <c r="X895" s="67">
        <f>IF(T895=1,"",IF(C895="","Missing transaction date",IF(NOT(ISNUMBER(C895)),"Invalid date",IF(OR(C895&lt;DATE(2000,1,1),C895&gt;DATE(2099,12,31)),"Invalid date",IF(D895="","Select a type",IF(U895="","Unknown type: "&amp;D895,IF(V895="","Select an account (Category)",IF(ISNA(MATCH(V895,coa_Name,0)),"Unknown account: "&amp;V895,IF(K895="","Select Paid From / Deposited To",IF(ISNA(MATCH(K895,coa_Name,0)),"Unknown account: "&amp;K895,IF(NOT(ISNUMBER(L895)),"Enter an amount",IF(L895=0,"Enter an amount",IF(ABS(W895)&gt;ABS(L895),"Tax is larger than the amount","")))))))))))))</f>
        <v/>
      </c>
      <c r="Y895" s="67">
        <f>IF(OR(T895=1,X895&lt;&gt;""),"",IF(AND(B895&lt;&gt;"",COUNTIF(tx_ID,B895)&gt;1),"Duplicate transaction ID",IF(AND(L895&lt;0,D895&lt;&gt;"Adjustment"),"Negative amount — check this entry",IF(AND(D895="Customer Payment",G895=""),"Add the customer",IF(AND(D895="Customer Payment",OR(J895="",COUNTIF(ar_No,J895&amp;"")=0)),"Invoice # in Reference not found on AR sheet",IF(AND(D895="Bill Payment",H895=""),"Add the vendor",IF(AND(D895="Bill Payment",OR(J895="",COUNTIFS(ap_No,J895&amp;"",ap_Party,H895&amp;"")=0)),"Bill # + vendor not found on AP sheet",IF(AND(ISNUMBER(M895),N(M895)&lt;&gt;0,W895=0),"Tax ignored (tax tracking off, or not allowed for this type)",IF(V895=K895&amp;"","Same account on both sides",IF(AND(ISNUMBER(StartDate),C895&lt;StartDate),"Date is before the accounting start date",IF(AND(D895&lt;&gt;"Adjustment",IFERROR(INDEX(coa_Pay,MATCH(K895&amp;"",coa_Name,0)),"")&lt;&gt;"Yes"),"Paid From / Deposited To is not a payment account","")))))))))))</f>
        <v/>
      </c>
      <c r="Z895" s="67">
        <f>IF(AND(T895=0,X895=""),1,0)</f>
        <v/>
      </c>
      <c r="AA895" s="68">
        <f>IF(Z895=1,IF(U895="In",L895,L895-W895),0)</f>
        <v/>
      </c>
      <c r="AB895" s="68">
        <f>IF(Z895=1,IF(U895="In",L895-W895,L895),0)</f>
        <v/>
      </c>
      <c r="AC895" s="68">
        <f>IF(AND(Z895=1,U895="Out"),W895,0)</f>
        <v/>
      </c>
      <c r="AD895" s="68">
        <f>IF(AND(Z895=1,U895="In"),W895,0)</f>
        <v/>
      </c>
    </row>
    <row r="896">
      <c r="B896" s="62" t="inlineStr">
        <is>
          <t>TX-0890</t>
        </is>
      </c>
      <c r="C896" s="63" t="n"/>
      <c r="D896" s="62" t="n"/>
      <c r="E896" s="62" t="n"/>
      <c r="F896" s="62" t="n"/>
      <c r="G896" s="62" t="n"/>
      <c r="H896" s="62" t="n"/>
      <c r="I896" s="62" t="n"/>
      <c r="J896" s="62" t="n"/>
      <c r="K896" s="62" t="n"/>
      <c r="L896" s="64" t="n"/>
      <c r="M896" s="64" t="n"/>
      <c r="N896" s="62" t="n"/>
      <c r="O896" s="65">
        <f>IF(Z896=1,L896-W896,"")</f>
        <v/>
      </c>
      <c r="P896" s="66">
        <f>IF(V896="","",IFERROR(INDEX(coa_Type,MATCH(V896,coa_Name,0)),""))</f>
        <v/>
      </c>
      <c r="Q896" s="66">
        <f>IF(Z896=1,IF(U896="In",K896&amp;"",V896),"")</f>
        <v/>
      </c>
      <c r="R896" s="66">
        <f>IF(Z896=1,IF(U896="In",V896,K896&amp;""),"")</f>
        <v/>
      </c>
      <c r="S896" s="66">
        <f>IF(X896&lt;&gt;"","⛔ "&amp;X896&amp;" — not posted",IF(Y896&lt;&gt;"","⚠ "&amp;Y896,IF(Z896=1,"✓ OK","")))</f>
        <v/>
      </c>
      <c r="T896" s="67">
        <f>IF(AND(C896="",D896="",E896="",L896="",K896=""),1,0)</f>
        <v/>
      </c>
      <c r="U896" s="67">
        <f>IFERROR(INDEX(tt_Dir,MATCH(D896,tt_Type,0)),"")</f>
        <v/>
      </c>
      <c r="V896" s="67">
        <f>IF(D896="","",IFERROR(IF(INDEX(tt_Other,MATCH(D896,tt_Type,0))="",E896&amp;"",INDEX(tt_Other,MATCH(D896,tt_Type,0))),""))</f>
        <v/>
      </c>
      <c r="W896" s="68">
        <f>IF(OR(TaxOn&lt;&gt;"Yes",NOT(ISNUMBER(M896))),0,IF(IFERROR(INDEX(tt_Tax,MATCH(D896,tt_Type,0)),"No")="Yes",M896,0))</f>
        <v/>
      </c>
      <c r="X896" s="67">
        <f>IF(T896=1,"",IF(C896="","Missing transaction date",IF(NOT(ISNUMBER(C896)),"Invalid date",IF(OR(C896&lt;DATE(2000,1,1),C896&gt;DATE(2099,12,31)),"Invalid date",IF(D896="","Select a type",IF(U896="","Unknown type: "&amp;D896,IF(V896="","Select an account (Category)",IF(ISNA(MATCH(V896,coa_Name,0)),"Unknown account: "&amp;V896,IF(K896="","Select Paid From / Deposited To",IF(ISNA(MATCH(K896,coa_Name,0)),"Unknown account: "&amp;K896,IF(NOT(ISNUMBER(L896)),"Enter an amount",IF(L896=0,"Enter an amount",IF(ABS(W896)&gt;ABS(L896),"Tax is larger than the amount","")))))))))))))</f>
        <v/>
      </c>
      <c r="Y896" s="67">
        <f>IF(OR(T896=1,X896&lt;&gt;""),"",IF(AND(B896&lt;&gt;"",COUNTIF(tx_ID,B896)&gt;1),"Duplicate transaction ID",IF(AND(L896&lt;0,D896&lt;&gt;"Adjustment"),"Negative amount — check this entry",IF(AND(D896="Customer Payment",G896=""),"Add the customer",IF(AND(D896="Customer Payment",OR(J896="",COUNTIF(ar_No,J896&amp;"")=0)),"Invoice # in Reference not found on AR sheet",IF(AND(D896="Bill Payment",H896=""),"Add the vendor",IF(AND(D896="Bill Payment",OR(J896="",COUNTIFS(ap_No,J896&amp;"",ap_Party,H896&amp;"")=0)),"Bill # + vendor not found on AP sheet",IF(AND(ISNUMBER(M896),N(M896)&lt;&gt;0,W896=0),"Tax ignored (tax tracking off, or not allowed for this type)",IF(V896=K896&amp;"","Same account on both sides",IF(AND(ISNUMBER(StartDate),C896&lt;StartDate),"Date is before the accounting start date",IF(AND(D896&lt;&gt;"Adjustment",IFERROR(INDEX(coa_Pay,MATCH(K896&amp;"",coa_Name,0)),"")&lt;&gt;"Yes"),"Paid From / Deposited To is not a payment account","")))))))))))</f>
        <v/>
      </c>
      <c r="Z896" s="67">
        <f>IF(AND(T896=0,X896=""),1,0)</f>
        <v/>
      </c>
      <c r="AA896" s="68">
        <f>IF(Z896=1,IF(U896="In",L896,L896-W896),0)</f>
        <v/>
      </c>
      <c r="AB896" s="68">
        <f>IF(Z896=1,IF(U896="In",L896-W896,L896),0)</f>
        <v/>
      </c>
      <c r="AC896" s="68">
        <f>IF(AND(Z896=1,U896="Out"),W896,0)</f>
        <v/>
      </c>
      <c r="AD896" s="68">
        <f>IF(AND(Z896=1,U896="In"),W896,0)</f>
        <v/>
      </c>
    </row>
    <row r="897">
      <c r="B897" s="62" t="inlineStr">
        <is>
          <t>TX-0891</t>
        </is>
      </c>
      <c r="C897" s="63" t="n"/>
      <c r="D897" s="62" t="n"/>
      <c r="E897" s="62" t="n"/>
      <c r="F897" s="62" t="n"/>
      <c r="G897" s="62" t="n"/>
      <c r="H897" s="62" t="n"/>
      <c r="I897" s="62" t="n"/>
      <c r="J897" s="62" t="n"/>
      <c r="K897" s="62" t="n"/>
      <c r="L897" s="64" t="n"/>
      <c r="M897" s="64" t="n"/>
      <c r="N897" s="62" t="n"/>
      <c r="O897" s="65">
        <f>IF(Z897=1,L897-W897,"")</f>
        <v/>
      </c>
      <c r="P897" s="66">
        <f>IF(V897="","",IFERROR(INDEX(coa_Type,MATCH(V897,coa_Name,0)),""))</f>
        <v/>
      </c>
      <c r="Q897" s="66">
        <f>IF(Z897=1,IF(U897="In",K897&amp;"",V897),"")</f>
        <v/>
      </c>
      <c r="R897" s="66">
        <f>IF(Z897=1,IF(U897="In",V897,K897&amp;""),"")</f>
        <v/>
      </c>
      <c r="S897" s="66">
        <f>IF(X897&lt;&gt;"","⛔ "&amp;X897&amp;" — not posted",IF(Y897&lt;&gt;"","⚠ "&amp;Y897,IF(Z897=1,"✓ OK","")))</f>
        <v/>
      </c>
      <c r="T897" s="67">
        <f>IF(AND(C897="",D897="",E897="",L897="",K897=""),1,0)</f>
        <v/>
      </c>
      <c r="U897" s="67">
        <f>IFERROR(INDEX(tt_Dir,MATCH(D897,tt_Type,0)),"")</f>
        <v/>
      </c>
      <c r="V897" s="67">
        <f>IF(D897="","",IFERROR(IF(INDEX(tt_Other,MATCH(D897,tt_Type,0))="",E897&amp;"",INDEX(tt_Other,MATCH(D897,tt_Type,0))),""))</f>
        <v/>
      </c>
      <c r="W897" s="68">
        <f>IF(OR(TaxOn&lt;&gt;"Yes",NOT(ISNUMBER(M897))),0,IF(IFERROR(INDEX(tt_Tax,MATCH(D897,tt_Type,0)),"No")="Yes",M897,0))</f>
        <v/>
      </c>
      <c r="X897" s="67">
        <f>IF(T897=1,"",IF(C897="","Missing transaction date",IF(NOT(ISNUMBER(C897)),"Invalid date",IF(OR(C897&lt;DATE(2000,1,1),C897&gt;DATE(2099,12,31)),"Invalid date",IF(D897="","Select a type",IF(U897="","Unknown type: "&amp;D897,IF(V897="","Select an account (Category)",IF(ISNA(MATCH(V897,coa_Name,0)),"Unknown account: "&amp;V897,IF(K897="","Select Paid From / Deposited To",IF(ISNA(MATCH(K897,coa_Name,0)),"Unknown account: "&amp;K897,IF(NOT(ISNUMBER(L897)),"Enter an amount",IF(L897=0,"Enter an amount",IF(ABS(W897)&gt;ABS(L897),"Tax is larger than the amount","")))))))))))))</f>
        <v/>
      </c>
      <c r="Y897" s="67">
        <f>IF(OR(T897=1,X897&lt;&gt;""),"",IF(AND(B897&lt;&gt;"",COUNTIF(tx_ID,B897)&gt;1),"Duplicate transaction ID",IF(AND(L897&lt;0,D897&lt;&gt;"Adjustment"),"Negative amount — check this entry",IF(AND(D897="Customer Payment",G897=""),"Add the customer",IF(AND(D897="Customer Payment",OR(J897="",COUNTIF(ar_No,J897&amp;"")=0)),"Invoice # in Reference not found on AR sheet",IF(AND(D897="Bill Payment",H897=""),"Add the vendor",IF(AND(D897="Bill Payment",OR(J897="",COUNTIFS(ap_No,J897&amp;"",ap_Party,H897&amp;"")=0)),"Bill # + vendor not found on AP sheet",IF(AND(ISNUMBER(M897),N(M897)&lt;&gt;0,W897=0),"Tax ignored (tax tracking off, or not allowed for this type)",IF(V897=K897&amp;"","Same account on both sides",IF(AND(ISNUMBER(StartDate),C897&lt;StartDate),"Date is before the accounting start date",IF(AND(D897&lt;&gt;"Adjustment",IFERROR(INDEX(coa_Pay,MATCH(K897&amp;"",coa_Name,0)),"")&lt;&gt;"Yes"),"Paid From / Deposited To is not a payment account","")))))))))))</f>
        <v/>
      </c>
      <c r="Z897" s="67">
        <f>IF(AND(T897=0,X897=""),1,0)</f>
        <v/>
      </c>
      <c r="AA897" s="68">
        <f>IF(Z897=1,IF(U897="In",L897,L897-W897),0)</f>
        <v/>
      </c>
      <c r="AB897" s="68">
        <f>IF(Z897=1,IF(U897="In",L897-W897,L897),0)</f>
        <v/>
      </c>
      <c r="AC897" s="68">
        <f>IF(AND(Z897=1,U897="Out"),W897,0)</f>
        <v/>
      </c>
      <c r="AD897" s="68">
        <f>IF(AND(Z897=1,U897="In"),W897,0)</f>
        <v/>
      </c>
    </row>
    <row r="898">
      <c r="B898" s="62" t="inlineStr">
        <is>
          <t>TX-0892</t>
        </is>
      </c>
      <c r="C898" s="63" t="n"/>
      <c r="D898" s="62" t="n"/>
      <c r="E898" s="62" t="n"/>
      <c r="F898" s="62" t="n"/>
      <c r="G898" s="62" t="n"/>
      <c r="H898" s="62" t="n"/>
      <c r="I898" s="62" t="n"/>
      <c r="J898" s="62" t="n"/>
      <c r="K898" s="62" t="n"/>
      <c r="L898" s="64" t="n"/>
      <c r="M898" s="64" t="n"/>
      <c r="N898" s="62" t="n"/>
      <c r="O898" s="65">
        <f>IF(Z898=1,L898-W898,"")</f>
        <v/>
      </c>
      <c r="P898" s="66">
        <f>IF(V898="","",IFERROR(INDEX(coa_Type,MATCH(V898,coa_Name,0)),""))</f>
        <v/>
      </c>
      <c r="Q898" s="66">
        <f>IF(Z898=1,IF(U898="In",K898&amp;"",V898),"")</f>
        <v/>
      </c>
      <c r="R898" s="66">
        <f>IF(Z898=1,IF(U898="In",V898,K898&amp;""),"")</f>
        <v/>
      </c>
      <c r="S898" s="66">
        <f>IF(X898&lt;&gt;"","⛔ "&amp;X898&amp;" — not posted",IF(Y898&lt;&gt;"","⚠ "&amp;Y898,IF(Z898=1,"✓ OK","")))</f>
        <v/>
      </c>
      <c r="T898" s="67">
        <f>IF(AND(C898="",D898="",E898="",L898="",K898=""),1,0)</f>
        <v/>
      </c>
      <c r="U898" s="67">
        <f>IFERROR(INDEX(tt_Dir,MATCH(D898,tt_Type,0)),"")</f>
        <v/>
      </c>
      <c r="V898" s="67">
        <f>IF(D898="","",IFERROR(IF(INDEX(tt_Other,MATCH(D898,tt_Type,0))="",E898&amp;"",INDEX(tt_Other,MATCH(D898,tt_Type,0))),""))</f>
        <v/>
      </c>
      <c r="W898" s="68">
        <f>IF(OR(TaxOn&lt;&gt;"Yes",NOT(ISNUMBER(M898))),0,IF(IFERROR(INDEX(tt_Tax,MATCH(D898,tt_Type,0)),"No")="Yes",M898,0))</f>
        <v/>
      </c>
      <c r="X898" s="67">
        <f>IF(T898=1,"",IF(C898="","Missing transaction date",IF(NOT(ISNUMBER(C898)),"Invalid date",IF(OR(C898&lt;DATE(2000,1,1),C898&gt;DATE(2099,12,31)),"Invalid date",IF(D898="","Select a type",IF(U898="","Unknown type: "&amp;D898,IF(V898="","Select an account (Category)",IF(ISNA(MATCH(V898,coa_Name,0)),"Unknown account: "&amp;V898,IF(K898="","Select Paid From / Deposited To",IF(ISNA(MATCH(K898,coa_Name,0)),"Unknown account: "&amp;K898,IF(NOT(ISNUMBER(L898)),"Enter an amount",IF(L898=0,"Enter an amount",IF(ABS(W898)&gt;ABS(L898),"Tax is larger than the amount","")))))))))))))</f>
        <v/>
      </c>
      <c r="Y898" s="67">
        <f>IF(OR(T898=1,X898&lt;&gt;""),"",IF(AND(B898&lt;&gt;"",COUNTIF(tx_ID,B898)&gt;1),"Duplicate transaction ID",IF(AND(L898&lt;0,D898&lt;&gt;"Adjustment"),"Negative amount — check this entry",IF(AND(D898="Customer Payment",G898=""),"Add the customer",IF(AND(D898="Customer Payment",OR(J898="",COUNTIF(ar_No,J898&amp;"")=0)),"Invoice # in Reference not found on AR sheet",IF(AND(D898="Bill Payment",H898=""),"Add the vendor",IF(AND(D898="Bill Payment",OR(J898="",COUNTIFS(ap_No,J898&amp;"",ap_Party,H898&amp;"")=0)),"Bill # + vendor not found on AP sheet",IF(AND(ISNUMBER(M898),N(M898)&lt;&gt;0,W898=0),"Tax ignored (tax tracking off, or not allowed for this type)",IF(V898=K898&amp;"","Same account on both sides",IF(AND(ISNUMBER(StartDate),C898&lt;StartDate),"Date is before the accounting start date",IF(AND(D898&lt;&gt;"Adjustment",IFERROR(INDEX(coa_Pay,MATCH(K898&amp;"",coa_Name,0)),"")&lt;&gt;"Yes"),"Paid From / Deposited To is not a payment account","")))))))))))</f>
        <v/>
      </c>
      <c r="Z898" s="67">
        <f>IF(AND(T898=0,X898=""),1,0)</f>
        <v/>
      </c>
      <c r="AA898" s="68">
        <f>IF(Z898=1,IF(U898="In",L898,L898-W898),0)</f>
        <v/>
      </c>
      <c r="AB898" s="68">
        <f>IF(Z898=1,IF(U898="In",L898-W898,L898),0)</f>
        <v/>
      </c>
      <c r="AC898" s="68">
        <f>IF(AND(Z898=1,U898="Out"),W898,0)</f>
        <v/>
      </c>
      <c r="AD898" s="68">
        <f>IF(AND(Z898=1,U898="In"),W898,0)</f>
        <v/>
      </c>
    </row>
    <row r="899">
      <c r="B899" s="62" t="inlineStr">
        <is>
          <t>TX-0893</t>
        </is>
      </c>
      <c r="C899" s="63" t="n"/>
      <c r="D899" s="62" t="n"/>
      <c r="E899" s="62" t="n"/>
      <c r="F899" s="62" t="n"/>
      <c r="G899" s="62" t="n"/>
      <c r="H899" s="62" t="n"/>
      <c r="I899" s="62" t="n"/>
      <c r="J899" s="62" t="n"/>
      <c r="K899" s="62" t="n"/>
      <c r="L899" s="64" t="n"/>
      <c r="M899" s="64" t="n"/>
      <c r="N899" s="62" t="n"/>
      <c r="O899" s="65">
        <f>IF(Z899=1,L899-W899,"")</f>
        <v/>
      </c>
      <c r="P899" s="66">
        <f>IF(V899="","",IFERROR(INDEX(coa_Type,MATCH(V899,coa_Name,0)),""))</f>
        <v/>
      </c>
      <c r="Q899" s="66">
        <f>IF(Z899=1,IF(U899="In",K899&amp;"",V899),"")</f>
        <v/>
      </c>
      <c r="R899" s="66">
        <f>IF(Z899=1,IF(U899="In",V899,K899&amp;""),"")</f>
        <v/>
      </c>
      <c r="S899" s="66">
        <f>IF(X899&lt;&gt;"","⛔ "&amp;X899&amp;" — not posted",IF(Y899&lt;&gt;"","⚠ "&amp;Y899,IF(Z899=1,"✓ OK","")))</f>
        <v/>
      </c>
      <c r="T899" s="67">
        <f>IF(AND(C899="",D899="",E899="",L899="",K899=""),1,0)</f>
        <v/>
      </c>
      <c r="U899" s="67">
        <f>IFERROR(INDEX(tt_Dir,MATCH(D899,tt_Type,0)),"")</f>
        <v/>
      </c>
      <c r="V899" s="67">
        <f>IF(D899="","",IFERROR(IF(INDEX(tt_Other,MATCH(D899,tt_Type,0))="",E899&amp;"",INDEX(tt_Other,MATCH(D899,tt_Type,0))),""))</f>
        <v/>
      </c>
      <c r="W899" s="68">
        <f>IF(OR(TaxOn&lt;&gt;"Yes",NOT(ISNUMBER(M899))),0,IF(IFERROR(INDEX(tt_Tax,MATCH(D899,tt_Type,0)),"No")="Yes",M899,0))</f>
        <v/>
      </c>
      <c r="X899" s="67">
        <f>IF(T899=1,"",IF(C899="","Missing transaction date",IF(NOT(ISNUMBER(C899)),"Invalid date",IF(OR(C899&lt;DATE(2000,1,1),C899&gt;DATE(2099,12,31)),"Invalid date",IF(D899="","Select a type",IF(U899="","Unknown type: "&amp;D899,IF(V899="","Select an account (Category)",IF(ISNA(MATCH(V899,coa_Name,0)),"Unknown account: "&amp;V899,IF(K899="","Select Paid From / Deposited To",IF(ISNA(MATCH(K899,coa_Name,0)),"Unknown account: "&amp;K899,IF(NOT(ISNUMBER(L899)),"Enter an amount",IF(L899=0,"Enter an amount",IF(ABS(W899)&gt;ABS(L899),"Tax is larger than the amount","")))))))))))))</f>
        <v/>
      </c>
      <c r="Y899" s="67">
        <f>IF(OR(T899=1,X899&lt;&gt;""),"",IF(AND(B899&lt;&gt;"",COUNTIF(tx_ID,B899)&gt;1),"Duplicate transaction ID",IF(AND(L899&lt;0,D899&lt;&gt;"Adjustment"),"Negative amount — check this entry",IF(AND(D899="Customer Payment",G899=""),"Add the customer",IF(AND(D899="Customer Payment",OR(J899="",COUNTIF(ar_No,J899&amp;"")=0)),"Invoice # in Reference not found on AR sheet",IF(AND(D899="Bill Payment",H899=""),"Add the vendor",IF(AND(D899="Bill Payment",OR(J899="",COUNTIFS(ap_No,J899&amp;"",ap_Party,H899&amp;"")=0)),"Bill # + vendor not found on AP sheet",IF(AND(ISNUMBER(M899),N(M899)&lt;&gt;0,W899=0),"Tax ignored (tax tracking off, or not allowed for this type)",IF(V899=K899&amp;"","Same account on both sides",IF(AND(ISNUMBER(StartDate),C899&lt;StartDate),"Date is before the accounting start date",IF(AND(D899&lt;&gt;"Adjustment",IFERROR(INDEX(coa_Pay,MATCH(K899&amp;"",coa_Name,0)),"")&lt;&gt;"Yes"),"Paid From / Deposited To is not a payment account","")))))))))))</f>
        <v/>
      </c>
      <c r="Z899" s="67">
        <f>IF(AND(T899=0,X899=""),1,0)</f>
        <v/>
      </c>
      <c r="AA899" s="68">
        <f>IF(Z899=1,IF(U899="In",L899,L899-W899),0)</f>
        <v/>
      </c>
      <c r="AB899" s="68">
        <f>IF(Z899=1,IF(U899="In",L899-W899,L899),0)</f>
        <v/>
      </c>
      <c r="AC899" s="68">
        <f>IF(AND(Z899=1,U899="Out"),W899,0)</f>
        <v/>
      </c>
      <c r="AD899" s="68">
        <f>IF(AND(Z899=1,U899="In"),W899,0)</f>
        <v/>
      </c>
    </row>
    <row r="900">
      <c r="B900" s="62" t="inlineStr">
        <is>
          <t>TX-0894</t>
        </is>
      </c>
      <c r="C900" s="63" t="n"/>
      <c r="D900" s="62" t="n"/>
      <c r="E900" s="62" t="n"/>
      <c r="F900" s="62" t="n"/>
      <c r="G900" s="62" t="n"/>
      <c r="H900" s="62" t="n"/>
      <c r="I900" s="62" t="n"/>
      <c r="J900" s="62" t="n"/>
      <c r="K900" s="62" t="n"/>
      <c r="L900" s="64" t="n"/>
      <c r="M900" s="64" t="n"/>
      <c r="N900" s="62" t="n"/>
      <c r="O900" s="65">
        <f>IF(Z900=1,L900-W900,"")</f>
        <v/>
      </c>
      <c r="P900" s="66">
        <f>IF(V900="","",IFERROR(INDEX(coa_Type,MATCH(V900,coa_Name,0)),""))</f>
        <v/>
      </c>
      <c r="Q900" s="66">
        <f>IF(Z900=1,IF(U900="In",K900&amp;"",V900),"")</f>
        <v/>
      </c>
      <c r="R900" s="66">
        <f>IF(Z900=1,IF(U900="In",V900,K900&amp;""),"")</f>
        <v/>
      </c>
      <c r="S900" s="66">
        <f>IF(X900&lt;&gt;"","⛔ "&amp;X900&amp;" — not posted",IF(Y900&lt;&gt;"","⚠ "&amp;Y900,IF(Z900=1,"✓ OK","")))</f>
        <v/>
      </c>
      <c r="T900" s="67">
        <f>IF(AND(C900="",D900="",E900="",L900="",K900=""),1,0)</f>
        <v/>
      </c>
      <c r="U900" s="67">
        <f>IFERROR(INDEX(tt_Dir,MATCH(D900,tt_Type,0)),"")</f>
        <v/>
      </c>
      <c r="V900" s="67">
        <f>IF(D900="","",IFERROR(IF(INDEX(tt_Other,MATCH(D900,tt_Type,0))="",E900&amp;"",INDEX(tt_Other,MATCH(D900,tt_Type,0))),""))</f>
        <v/>
      </c>
      <c r="W900" s="68">
        <f>IF(OR(TaxOn&lt;&gt;"Yes",NOT(ISNUMBER(M900))),0,IF(IFERROR(INDEX(tt_Tax,MATCH(D900,tt_Type,0)),"No")="Yes",M900,0))</f>
        <v/>
      </c>
      <c r="X900" s="67">
        <f>IF(T900=1,"",IF(C900="","Missing transaction date",IF(NOT(ISNUMBER(C900)),"Invalid date",IF(OR(C900&lt;DATE(2000,1,1),C900&gt;DATE(2099,12,31)),"Invalid date",IF(D900="","Select a type",IF(U900="","Unknown type: "&amp;D900,IF(V900="","Select an account (Category)",IF(ISNA(MATCH(V900,coa_Name,0)),"Unknown account: "&amp;V900,IF(K900="","Select Paid From / Deposited To",IF(ISNA(MATCH(K900,coa_Name,0)),"Unknown account: "&amp;K900,IF(NOT(ISNUMBER(L900)),"Enter an amount",IF(L900=0,"Enter an amount",IF(ABS(W900)&gt;ABS(L900),"Tax is larger than the amount","")))))))))))))</f>
        <v/>
      </c>
      <c r="Y900" s="67">
        <f>IF(OR(T900=1,X900&lt;&gt;""),"",IF(AND(B900&lt;&gt;"",COUNTIF(tx_ID,B900)&gt;1),"Duplicate transaction ID",IF(AND(L900&lt;0,D900&lt;&gt;"Adjustment"),"Negative amount — check this entry",IF(AND(D900="Customer Payment",G900=""),"Add the customer",IF(AND(D900="Customer Payment",OR(J900="",COUNTIF(ar_No,J900&amp;"")=0)),"Invoice # in Reference not found on AR sheet",IF(AND(D900="Bill Payment",H900=""),"Add the vendor",IF(AND(D900="Bill Payment",OR(J900="",COUNTIFS(ap_No,J900&amp;"",ap_Party,H900&amp;"")=0)),"Bill # + vendor not found on AP sheet",IF(AND(ISNUMBER(M900),N(M900)&lt;&gt;0,W900=0),"Tax ignored (tax tracking off, or not allowed for this type)",IF(V900=K900&amp;"","Same account on both sides",IF(AND(ISNUMBER(StartDate),C900&lt;StartDate),"Date is before the accounting start date",IF(AND(D900&lt;&gt;"Adjustment",IFERROR(INDEX(coa_Pay,MATCH(K900&amp;"",coa_Name,0)),"")&lt;&gt;"Yes"),"Paid From / Deposited To is not a payment account","")))))))))))</f>
        <v/>
      </c>
      <c r="Z900" s="67">
        <f>IF(AND(T900=0,X900=""),1,0)</f>
        <v/>
      </c>
      <c r="AA900" s="68">
        <f>IF(Z900=1,IF(U900="In",L900,L900-W900),0)</f>
        <v/>
      </c>
      <c r="AB900" s="68">
        <f>IF(Z900=1,IF(U900="In",L900-W900,L900),0)</f>
        <v/>
      </c>
      <c r="AC900" s="68">
        <f>IF(AND(Z900=1,U900="Out"),W900,0)</f>
        <v/>
      </c>
      <c r="AD900" s="68">
        <f>IF(AND(Z900=1,U900="In"),W900,0)</f>
        <v/>
      </c>
    </row>
    <row r="901">
      <c r="B901" s="62" t="inlineStr">
        <is>
          <t>TX-0895</t>
        </is>
      </c>
      <c r="C901" s="63" t="n"/>
      <c r="D901" s="62" t="n"/>
      <c r="E901" s="62" t="n"/>
      <c r="F901" s="62" t="n"/>
      <c r="G901" s="62" t="n"/>
      <c r="H901" s="62" t="n"/>
      <c r="I901" s="62" t="n"/>
      <c r="J901" s="62" t="n"/>
      <c r="K901" s="62" t="n"/>
      <c r="L901" s="64" t="n"/>
      <c r="M901" s="64" t="n"/>
      <c r="N901" s="62" t="n"/>
      <c r="O901" s="65">
        <f>IF(Z901=1,L901-W901,"")</f>
        <v/>
      </c>
      <c r="P901" s="66">
        <f>IF(V901="","",IFERROR(INDEX(coa_Type,MATCH(V901,coa_Name,0)),""))</f>
        <v/>
      </c>
      <c r="Q901" s="66">
        <f>IF(Z901=1,IF(U901="In",K901&amp;"",V901),"")</f>
        <v/>
      </c>
      <c r="R901" s="66">
        <f>IF(Z901=1,IF(U901="In",V901,K901&amp;""),"")</f>
        <v/>
      </c>
      <c r="S901" s="66">
        <f>IF(X901&lt;&gt;"","⛔ "&amp;X901&amp;" — not posted",IF(Y901&lt;&gt;"","⚠ "&amp;Y901,IF(Z901=1,"✓ OK","")))</f>
        <v/>
      </c>
      <c r="T901" s="67">
        <f>IF(AND(C901="",D901="",E901="",L901="",K901=""),1,0)</f>
        <v/>
      </c>
      <c r="U901" s="67">
        <f>IFERROR(INDEX(tt_Dir,MATCH(D901,tt_Type,0)),"")</f>
        <v/>
      </c>
      <c r="V901" s="67">
        <f>IF(D901="","",IFERROR(IF(INDEX(tt_Other,MATCH(D901,tt_Type,0))="",E901&amp;"",INDEX(tt_Other,MATCH(D901,tt_Type,0))),""))</f>
        <v/>
      </c>
      <c r="W901" s="68">
        <f>IF(OR(TaxOn&lt;&gt;"Yes",NOT(ISNUMBER(M901))),0,IF(IFERROR(INDEX(tt_Tax,MATCH(D901,tt_Type,0)),"No")="Yes",M901,0))</f>
        <v/>
      </c>
      <c r="X901" s="67">
        <f>IF(T901=1,"",IF(C901="","Missing transaction date",IF(NOT(ISNUMBER(C901)),"Invalid date",IF(OR(C901&lt;DATE(2000,1,1),C901&gt;DATE(2099,12,31)),"Invalid date",IF(D901="","Select a type",IF(U901="","Unknown type: "&amp;D901,IF(V901="","Select an account (Category)",IF(ISNA(MATCH(V901,coa_Name,0)),"Unknown account: "&amp;V901,IF(K901="","Select Paid From / Deposited To",IF(ISNA(MATCH(K901,coa_Name,0)),"Unknown account: "&amp;K901,IF(NOT(ISNUMBER(L901)),"Enter an amount",IF(L901=0,"Enter an amount",IF(ABS(W901)&gt;ABS(L901),"Tax is larger than the amount","")))))))))))))</f>
        <v/>
      </c>
      <c r="Y901" s="67">
        <f>IF(OR(T901=1,X901&lt;&gt;""),"",IF(AND(B901&lt;&gt;"",COUNTIF(tx_ID,B901)&gt;1),"Duplicate transaction ID",IF(AND(L901&lt;0,D901&lt;&gt;"Adjustment"),"Negative amount — check this entry",IF(AND(D901="Customer Payment",G901=""),"Add the customer",IF(AND(D901="Customer Payment",OR(J901="",COUNTIF(ar_No,J901&amp;"")=0)),"Invoice # in Reference not found on AR sheet",IF(AND(D901="Bill Payment",H901=""),"Add the vendor",IF(AND(D901="Bill Payment",OR(J901="",COUNTIFS(ap_No,J901&amp;"",ap_Party,H901&amp;"")=0)),"Bill # + vendor not found on AP sheet",IF(AND(ISNUMBER(M901),N(M901)&lt;&gt;0,W901=0),"Tax ignored (tax tracking off, or not allowed for this type)",IF(V901=K901&amp;"","Same account on both sides",IF(AND(ISNUMBER(StartDate),C901&lt;StartDate),"Date is before the accounting start date",IF(AND(D901&lt;&gt;"Adjustment",IFERROR(INDEX(coa_Pay,MATCH(K901&amp;"",coa_Name,0)),"")&lt;&gt;"Yes"),"Paid From / Deposited To is not a payment account","")))))))))))</f>
        <v/>
      </c>
      <c r="Z901" s="67">
        <f>IF(AND(T901=0,X901=""),1,0)</f>
        <v/>
      </c>
      <c r="AA901" s="68">
        <f>IF(Z901=1,IF(U901="In",L901,L901-W901),0)</f>
        <v/>
      </c>
      <c r="AB901" s="68">
        <f>IF(Z901=1,IF(U901="In",L901-W901,L901),0)</f>
        <v/>
      </c>
      <c r="AC901" s="68">
        <f>IF(AND(Z901=1,U901="Out"),W901,0)</f>
        <v/>
      </c>
      <c r="AD901" s="68">
        <f>IF(AND(Z901=1,U901="In"),W901,0)</f>
        <v/>
      </c>
    </row>
    <row r="902">
      <c r="B902" s="62" t="inlineStr">
        <is>
          <t>TX-0896</t>
        </is>
      </c>
      <c r="C902" s="63" t="n"/>
      <c r="D902" s="62" t="n"/>
      <c r="E902" s="62" t="n"/>
      <c r="F902" s="62" t="n"/>
      <c r="G902" s="62" t="n"/>
      <c r="H902" s="62" t="n"/>
      <c r="I902" s="62" t="n"/>
      <c r="J902" s="62" t="n"/>
      <c r="K902" s="62" t="n"/>
      <c r="L902" s="64" t="n"/>
      <c r="M902" s="64" t="n"/>
      <c r="N902" s="62" t="n"/>
      <c r="O902" s="65">
        <f>IF(Z902=1,L902-W902,"")</f>
        <v/>
      </c>
      <c r="P902" s="66">
        <f>IF(V902="","",IFERROR(INDEX(coa_Type,MATCH(V902,coa_Name,0)),""))</f>
        <v/>
      </c>
      <c r="Q902" s="66">
        <f>IF(Z902=1,IF(U902="In",K902&amp;"",V902),"")</f>
        <v/>
      </c>
      <c r="R902" s="66">
        <f>IF(Z902=1,IF(U902="In",V902,K902&amp;""),"")</f>
        <v/>
      </c>
      <c r="S902" s="66">
        <f>IF(X902&lt;&gt;"","⛔ "&amp;X902&amp;" — not posted",IF(Y902&lt;&gt;"","⚠ "&amp;Y902,IF(Z902=1,"✓ OK","")))</f>
        <v/>
      </c>
      <c r="T902" s="67">
        <f>IF(AND(C902="",D902="",E902="",L902="",K902=""),1,0)</f>
        <v/>
      </c>
      <c r="U902" s="67">
        <f>IFERROR(INDEX(tt_Dir,MATCH(D902,tt_Type,0)),"")</f>
        <v/>
      </c>
      <c r="V902" s="67">
        <f>IF(D902="","",IFERROR(IF(INDEX(tt_Other,MATCH(D902,tt_Type,0))="",E902&amp;"",INDEX(tt_Other,MATCH(D902,tt_Type,0))),""))</f>
        <v/>
      </c>
      <c r="W902" s="68">
        <f>IF(OR(TaxOn&lt;&gt;"Yes",NOT(ISNUMBER(M902))),0,IF(IFERROR(INDEX(tt_Tax,MATCH(D902,tt_Type,0)),"No")="Yes",M902,0))</f>
        <v/>
      </c>
      <c r="X902" s="67">
        <f>IF(T902=1,"",IF(C902="","Missing transaction date",IF(NOT(ISNUMBER(C902)),"Invalid date",IF(OR(C902&lt;DATE(2000,1,1),C902&gt;DATE(2099,12,31)),"Invalid date",IF(D902="","Select a type",IF(U902="","Unknown type: "&amp;D902,IF(V902="","Select an account (Category)",IF(ISNA(MATCH(V902,coa_Name,0)),"Unknown account: "&amp;V902,IF(K902="","Select Paid From / Deposited To",IF(ISNA(MATCH(K902,coa_Name,0)),"Unknown account: "&amp;K902,IF(NOT(ISNUMBER(L902)),"Enter an amount",IF(L902=0,"Enter an amount",IF(ABS(W902)&gt;ABS(L902),"Tax is larger than the amount","")))))))))))))</f>
        <v/>
      </c>
      <c r="Y902" s="67">
        <f>IF(OR(T902=1,X902&lt;&gt;""),"",IF(AND(B902&lt;&gt;"",COUNTIF(tx_ID,B902)&gt;1),"Duplicate transaction ID",IF(AND(L902&lt;0,D902&lt;&gt;"Adjustment"),"Negative amount — check this entry",IF(AND(D902="Customer Payment",G902=""),"Add the customer",IF(AND(D902="Customer Payment",OR(J902="",COUNTIF(ar_No,J902&amp;"")=0)),"Invoice # in Reference not found on AR sheet",IF(AND(D902="Bill Payment",H902=""),"Add the vendor",IF(AND(D902="Bill Payment",OR(J902="",COUNTIFS(ap_No,J902&amp;"",ap_Party,H902&amp;"")=0)),"Bill # + vendor not found on AP sheet",IF(AND(ISNUMBER(M902),N(M902)&lt;&gt;0,W902=0),"Tax ignored (tax tracking off, or not allowed for this type)",IF(V902=K902&amp;"","Same account on both sides",IF(AND(ISNUMBER(StartDate),C902&lt;StartDate),"Date is before the accounting start date",IF(AND(D902&lt;&gt;"Adjustment",IFERROR(INDEX(coa_Pay,MATCH(K902&amp;"",coa_Name,0)),"")&lt;&gt;"Yes"),"Paid From / Deposited To is not a payment account","")))))))))))</f>
        <v/>
      </c>
      <c r="Z902" s="67">
        <f>IF(AND(T902=0,X902=""),1,0)</f>
        <v/>
      </c>
      <c r="AA902" s="68">
        <f>IF(Z902=1,IF(U902="In",L902,L902-W902),0)</f>
        <v/>
      </c>
      <c r="AB902" s="68">
        <f>IF(Z902=1,IF(U902="In",L902-W902,L902),0)</f>
        <v/>
      </c>
      <c r="AC902" s="68">
        <f>IF(AND(Z902=1,U902="Out"),W902,0)</f>
        <v/>
      </c>
      <c r="AD902" s="68">
        <f>IF(AND(Z902=1,U902="In"),W902,0)</f>
        <v/>
      </c>
    </row>
    <row r="903">
      <c r="B903" s="62" t="inlineStr">
        <is>
          <t>TX-0897</t>
        </is>
      </c>
      <c r="C903" s="63" t="n"/>
      <c r="D903" s="62" t="n"/>
      <c r="E903" s="62" t="n"/>
      <c r="F903" s="62" t="n"/>
      <c r="G903" s="62" t="n"/>
      <c r="H903" s="62" t="n"/>
      <c r="I903" s="62" t="n"/>
      <c r="J903" s="62" t="n"/>
      <c r="K903" s="62" t="n"/>
      <c r="L903" s="64" t="n"/>
      <c r="M903" s="64" t="n"/>
      <c r="N903" s="62" t="n"/>
      <c r="O903" s="65">
        <f>IF(Z903=1,L903-W903,"")</f>
        <v/>
      </c>
      <c r="P903" s="66">
        <f>IF(V903="","",IFERROR(INDEX(coa_Type,MATCH(V903,coa_Name,0)),""))</f>
        <v/>
      </c>
      <c r="Q903" s="66">
        <f>IF(Z903=1,IF(U903="In",K903&amp;"",V903),"")</f>
        <v/>
      </c>
      <c r="R903" s="66">
        <f>IF(Z903=1,IF(U903="In",V903,K903&amp;""),"")</f>
        <v/>
      </c>
      <c r="S903" s="66">
        <f>IF(X903&lt;&gt;"","⛔ "&amp;X903&amp;" — not posted",IF(Y903&lt;&gt;"","⚠ "&amp;Y903,IF(Z903=1,"✓ OK","")))</f>
        <v/>
      </c>
      <c r="T903" s="67">
        <f>IF(AND(C903="",D903="",E903="",L903="",K903=""),1,0)</f>
        <v/>
      </c>
      <c r="U903" s="67">
        <f>IFERROR(INDEX(tt_Dir,MATCH(D903,tt_Type,0)),"")</f>
        <v/>
      </c>
      <c r="V903" s="67">
        <f>IF(D903="","",IFERROR(IF(INDEX(tt_Other,MATCH(D903,tt_Type,0))="",E903&amp;"",INDEX(tt_Other,MATCH(D903,tt_Type,0))),""))</f>
        <v/>
      </c>
      <c r="W903" s="68">
        <f>IF(OR(TaxOn&lt;&gt;"Yes",NOT(ISNUMBER(M903))),0,IF(IFERROR(INDEX(tt_Tax,MATCH(D903,tt_Type,0)),"No")="Yes",M903,0))</f>
        <v/>
      </c>
      <c r="X903" s="67">
        <f>IF(T903=1,"",IF(C903="","Missing transaction date",IF(NOT(ISNUMBER(C903)),"Invalid date",IF(OR(C903&lt;DATE(2000,1,1),C903&gt;DATE(2099,12,31)),"Invalid date",IF(D903="","Select a type",IF(U903="","Unknown type: "&amp;D903,IF(V903="","Select an account (Category)",IF(ISNA(MATCH(V903,coa_Name,0)),"Unknown account: "&amp;V903,IF(K903="","Select Paid From / Deposited To",IF(ISNA(MATCH(K903,coa_Name,0)),"Unknown account: "&amp;K903,IF(NOT(ISNUMBER(L903)),"Enter an amount",IF(L903=0,"Enter an amount",IF(ABS(W903)&gt;ABS(L903),"Tax is larger than the amount","")))))))))))))</f>
        <v/>
      </c>
      <c r="Y903" s="67">
        <f>IF(OR(T903=1,X903&lt;&gt;""),"",IF(AND(B903&lt;&gt;"",COUNTIF(tx_ID,B903)&gt;1),"Duplicate transaction ID",IF(AND(L903&lt;0,D903&lt;&gt;"Adjustment"),"Negative amount — check this entry",IF(AND(D903="Customer Payment",G903=""),"Add the customer",IF(AND(D903="Customer Payment",OR(J903="",COUNTIF(ar_No,J903&amp;"")=0)),"Invoice # in Reference not found on AR sheet",IF(AND(D903="Bill Payment",H903=""),"Add the vendor",IF(AND(D903="Bill Payment",OR(J903="",COUNTIFS(ap_No,J903&amp;"",ap_Party,H903&amp;"")=0)),"Bill # + vendor not found on AP sheet",IF(AND(ISNUMBER(M903),N(M903)&lt;&gt;0,W903=0),"Tax ignored (tax tracking off, or not allowed for this type)",IF(V903=K903&amp;"","Same account on both sides",IF(AND(ISNUMBER(StartDate),C903&lt;StartDate),"Date is before the accounting start date",IF(AND(D903&lt;&gt;"Adjustment",IFERROR(INDEX(coa_Pay,MATCH(K903&amp;"",coa_Name,0)),"")&lt;&gt;"Yes"),"Paid From / Deposited To is not a payment account","")))))))))))</f>
        <v/>
      </c>
      <c r="Z903" s="67">
        <f>IF(AND(T903=0,X903=""),1,0)</f>
        <v/>
      </c>
      <c r="AA903" s="68">
        <f>IF(Z903=1,IF(U903="In",L903,L903-W903),0)</f>
        <v/>
      </c>
      <c r="AB903" s="68">
        <f>IF(Z903=1,IF(U903="In",L903-W903,L903),0)</f>
        <v/>
      </c>
      <c r="AC903" s="68">
        <f>IF(AND(Z903=1,U903="Out"),W903,0)</f>
        <v/>
      </c>
      <c r="AD903" s="68">
        <f>IF(AND(Z903=1,U903="In"),W903,0)</f>
        <v/>
      </c>
    </row>
    <row r="904">
      <c r="B904" s="62" t="inlineStr">
        <is>
          <t>TX-0898</t>
        </is>
      </c>
      <c r="C904" s="63" t="n"/>
      <c r="D904" s="62" t="n"/>
      <c r="E904" s="62" t="n"/>
      <c r="F904" s="62" t="n"/>
      <c r="G904" s="62" t="n"/>
      <c r="H904" s="62" t="n"/>
      <c r="I904" s="62" t="n"/>
      <c r="J904" s="62" t="n"/>
      <c r="K904" s="62" t="n"/>
      <c r="L904" s="64" t="n"/>
      <c r="M904" s="64" t="n"/>
      <c r="N904" s="62" t="n"/>
      <c r="O904" s="65">
        <f>IF(Z904=1,L904-W904,"")</f>
        <v/>
      </c>
      <c r="P904" s="66">
        <f>IF(V904="","",IFERROR(INDEX(coa_Type,MATCH(V904,coa_Name,0)),""))</f>
        <v/>
      </c>
      <c r="Q904" s="66">
        <f>IF(Z904=1,IF(U904="In",K904&amp;"",V904),"")</f>
        <v/>
      </c>
      <c r="R904" s="66">
        <f>IF(Z904=1,IF(U904="In",V904,K904&amp;""),"")</f>
        <v/>
      </c>
      <c r="S904" s="66">
        <f>IF(X904&lt;&gt;"","⛔ "&amp;X904&amp;" — not posted",IF(Y904&lt;&gt;"","⚠ "&amp;Y904,IF(Z904=1,"✓ OK","")))</f>
        <v/>
      </c>
      <c r="T904" s="67">
        <f>IF(AND(C904="",D904="",E904="",L904="",K904=""),1,0)</f>
        <v/>
      </c>
      <c r="U904" s="67">
        <f>IFERROR(INDEX(tt_Dir,MATCH(D904,tt_Type,0)),"")</f>
        <v/>
      </c>
      <c r="V904" s="67">
        <f>IF(D904="","",IFERROR(IF(INDEX(tt_Other,MATCH(D904,tt_Type,0))="",E904&amp;"",INDEX(tt_Other,MATCH(D904,tt_Type,0))),""))</f>
        <v/>
      </c>
      <c r="W904" s="68">
        <f>IF(OR(TaxOn&lt;&gt;"Yes",NOT(ISNUMBER(M904))),0,IF(IFERROR(INDEX(tt_Tax,MATCH(D904,tt_Type,0)),"No")="Yes",M904,0))</f>
        <v/>
      </c>
      <c r="X904" s="67">
        <f>IF(T904=1,"",IF(C904="","Missing transaction date",IF(NOT(ISNUMBER(C904)),"Invalid date",IF(OR(C904&lt;DATE(2000,1,1),C904&gt;DATE(2099,12,31)),"Invalid date",IF(D904="","Select a type",IF(U904="","Unknown type: "&amp;D904,IF(V904="","Select an account (Category)",IF(ISNA(MATCH(V904,coa_Name,0)),"Unknown account: "&amp;V904,IF(K904="","Select Paid From / Deposited To",IF(ISNA(MATCH(K904,coa_Name,0)),"Unknown account: "&amp;K904,IF(NOT(ISNUMBER(L904)),"Enter an amount",IF(L904=0,"Enter an amount",IF(ABS(W904)&gt;ABS(L904),"Tax is larger than the amount","")))))))))))))</f>
        <v/>
      </c>
      <c r="Y904" s="67">
        <f>IF(OR(T904=1,X904&lt;&gt;""),"",IF(AND(B904&lt;&gt;"",COUNTIF(tx_ID,B904)&gt;1),"Duplicate transaction ID",IF(AND(L904&lt;0,D904&lt;&gt;"Adjustment"),"Negative amount — check this entry",IF(AND(D904="Customer Payment",G904=""),"Add the customer",IF(AND(D904="Customer Payment",OR(J904="",COUNTIF(ar_No,J904&amp;"")=0)),"Invoice # in Reference not found on AR sheet",IF(AND(D904="Bill Payment",H904=""),"Add the vendor",IF(AND(D904="Bill Payment",OR(J904="",COUNTIFS(ap_No,J904&amp;"",ap_Party,H904&amp;"")=0)),"Bill # + vendor not found on AP sheet",IF(AND(ISNUMBER(M904),N(M904)&lt;&gt;0,W904=0),"Tax ignored (tax tracking off, or not allowed for this type)",IF(V904=K904&amp;"","Same account on both sides",IF(AND(ISNUMBER(StartDate),C904&lt;StartDate),"Date is before the accounting start date",IF(AND(D904&lt;&gt;"Adjustment",IFERROR(INDEX(coa_Pay,MATCH(K904&amp;"",coa_Name,0)),"")&lt;&gt;"Yes"),"Paid From / Deposited To is not a payment account","")))))))))))</f>
        <v/>
      </c>
      <c r="Z904" s="67">
        <f>IF(AND(T904=0,X904=""),1,0)</f>
        <v/>
      </c>
      <c r="AA904" s="68">
        <f>IF(Z904=1,IF(U904="In",L904,L904-W904),0)</f>
        <v/>
      </c>
      <c r="AB904" s="68">
        <f>IF(Z904=1,IF(U904="In",L904-W904,L904),0)</f>
        <v/>
      </c>
      <c r="AC904" s="68">
        <f>IF(AND(Z904=1,U904="Out"),W904,0)</f>
        <v/>
      </c>
      <c r="AD904" s="68">
        <f>IF(AND(Z904=1,U904="In"),W904,0)</f>
        <v/>
      </c>
    </row>
    <row r="905">
      <c r="B905" s="62" t="inlineStr">
        <is>
          <t>TX-0899</t>
        </is>
      </c>
      <c r="C905" s="63" t="n"/>
      <c r="D905" s="62" t="n"/>
      <c r="E905" s="62" t="n"/>
      <c r="F905" s="62" t="n"/>
      <c r="G905" s="62" t="n"/>
      <c r="H905" s="62" t="n"/>
      <c r="I905" s="62" t="n"/>
      <c r="J905" s="62" t="n"/>
      <c r="K905" s="62" t="n"/>
      <c r="L905" s="64" t="n"/>
      <c r="M905" s="64" t="n"/>
      <c r="N905" s="62" t="n"/>
      <c r="O905" s="65">
        <f>IF(Z905=1,L905-W905,"")</f>
        <v/>
      </c>
      <c r="P905" s="66">
        <f>IF(V905="","",IFERROR(INDEX(coa_Type,MATCH(V905,coa_Name,0)),""))</f>
        <v/>
      </c>
      <c r="Q905" s="66">
        <f>IF(Z905=1,IF(U905="In",K905&amp;"",V905),"")</f>
        <v/>
      </c>
      <c r="R905" s="66">
        <f>IF(Z905=1,IF(U905="In",V905,K905&amp;""),"")</f>
        <v/>
      </c>
      <c r="S905" s="66">
        <f>IF(X905&lt;&gt;"","⛔ "&amp;X905&amp;" — not posted",IF(Y905&lt;&gt;"","⚠ "&amp;Y905,IF(Z905=1,"✓ OK","")))</f>
        <v/>
      </c>
      <c r="T905" s="67">
        <f>IF(AND(C905="",D905="",E905="",L905="",K905=""),1,0)</f>
        <v/>
      </c>
      <c r="U905" s="67">
        <f>IFERROR(INDEX(tt_Dir,MATCH(D905,tt_Type,0)),"")</f>
        <v/>
      </c>
      <c r="V905" s="67">
        <f>IF(D905="","",IFERROR(IF(INDEX(tt_Other,MATCH(D905,tt_Type,0))="",E905&amp;"",INDEX(tt_Other,MATCH(D905,tt_Type,0))),""))</f>
        <v/>
      </c>
      <c r="W905" s="68">
        <f>IF(OR(TaxOn&lt;&gt;"Yes",NOT(ISNUMBER(M905))),0,IF(IFERROR(INDEX(tt_Tax,MATCH(D905,tt_Type,0)),"No")="Yes",M905,0))</f>
        <v/>
      </c>
      <c r="X905" s="67">
        <f>IF(T905=1,"",IF(C905="","Missing transaction date",IF(NOT(ISNUMBER(C905)),"Invalid date",IF(OR(C905&lt;DATE(2000,1,1),C905&gt;DATE(2099,12,31)),"Invalid date",IF(D905="","Select a type",IF(U905="","Unknown type: "&amp;D905,IF(V905="","Select an account (Category)",IF(ISNA(MATCH(V905,coa_Name,0)),"Unknown account: "&amp;V905,IF(K905="","Select Paid From / Deposited To",IF(ISNA(MATCH(K905,coa_Name,0)),"Unknown account: "&amp;K905,IF(NOT(ISNUMBER(L905)),"Enter an amount",IF(L905=0,"Enter an amount",IF(ABS(W905)&gt;ABS(L905),"Tax is larger than the amount","")))))))))))))</f>
        <v/>
      </c>
      <c r="Y905" s="67">
        <f>IF(OR(T905=1,X905&lt;&gt;""),"",IF(AND(B905&lt;&gt;"",COUNTIF(tx_ID,B905)&gt;1),"Duplicate transaction ID",IF(AND(L905&lt;0,D905&lt;&gt;"Adjustment"),"Negative amount — check this entry",IF(AND(D905="Customer Payment",G905=""),"Add the customer",IF(AND(D905="Customer Payment",OR(J905="",COUNTIF(ar_No,J905&amp;"")=0)),"Invoice # in Reference not found on AR sheet",IF(AND(D905="Bill Payment",H905=""),"Add the vendor",IF(AND(D905="Bill Payment",OR(J905="",COUNTIFS(ap_No,J905&amp;"",ap_Party,H905&amp;"")=0)),"Bill # + vendor not found on AP sheet",IF(AND(ISNUMBER(M905),N(M905)&lt;&gt;0,W905=0),"Tax ignored (tax tracking off, or not allowed for this type)",IF(V905=K905&amp;"","Same account on both sides",IF(AND(ISNUMBER(StartDate),C905&lt;StartDate),"Date is before the accounting start date",IF(AND(D905&lt;&gt;"Adjustment",IFERROR(INDEX(coa_Pay,MATCH(K905&amp;"",coa_Name,0)),"")&lt;&gt;"Yes"),"Paid From / Deposited To is not a payment account","")))))))))))</f>
        <v/>
      </c>
      <c r="Z905" s="67">
        <f>IF(AND(T905=0,X905=""),1,0)</f>
        <v/>
      </c>
      <c r="AA905" s="68">
        <f>IF(Z905=1,IF(U905="In",L905,L905-W905),0)</f>
        <v/>
      </c>
      <c r="AB905" s="68">
        <f>IF(Z905=1,IF(U905="In",L905-W905,L905),0)</f>
        <v/>
      </c>
      <c r="AC905" s="68">
        <f>IF(AND(Z905=1,U905="Out"),W905,0)</f>
        <v/>
      </c>
      <c r="AD905" s="68">
        <f>IF(AND(Z905=1,U905="In"),W905,0)</f>
        <v/>
      </c>
    </row>
    <row r="906">
      <c r="B906" s="62" t="inlineStr">
        <is>
          <t>TX-0900</t>
        </is>
      </c>
      <c r="C906" s="63" t="n"/>
      <c r="D906" s="62" t="n"/>
      <c r="E906" s="62" t="n"/>
      <c r="F906" s="62" t="n"/>
      <c r="G906" s="62" t="n"/>
      <c r="H906" s="62" t="n"/>
      <c r="I906" s="62" t="n"/>
      <c r="J906" s="62" t="n"/>
      <c r="K906" s="62" t="n"/>
      <c r="L906" s="64" t="n"/>
      <c r="M906" s="64" t="n"/>
      <c r="N906" s="62" t="n"/>
      <c r="O906" s="65">
        <f>IF(Z906=1,L906-W906,"")</f>
        <v/>
      </c>
      <c r="P906" s="66">
        <f>IF(V906="","",IFERROR(INDEX(coa_Type,MATCH(V906,coa_Name,0)),""))</f>
        <v/>
      </c>
      <c r="Q906" s="66">
        <f>IF(Z906=1,IF(U906="In",K906&amp;"",V906),"")</f>
        <v/>
      </c>
      <c r="R906" s="66">
        <f>IF(Z906=1,IF(U906="In",V906,K906&amp;""),"")</f>
        <v/>
      </c>
      <c r="S906" s="66">
        <f>IF(X906&lt;&gt;"","⛔ "&amp;X906&amp;" — not posted",IF(Y906&lt;&gt;"","⚠ "&amp;Y906,IF(Z906=1,"✓ OK","")))</f>
        <v/>
      </c>
      <c r="T906" s="67">
        <f>IF(AND(C906="",D906="",E906="",L906="",K906=""),1,0)</f>
        <v/>
      </c>
      <c r="U906" s="67">
        <f>IFERROR(INDEX(tt_Dir,MATCH(D906,tt_Type,0)),"")</f>
        <v/>
      </c>
      <c r="V906" s="67">
        <f>IF(D906="","",IFERROR(IF(INDEX(tt_Other,MATCH(D906,tt_Type,0))="",E906&amp;"",INDEX(tt_Other,MATCH(D906,tt_Type,0))),""))</f>
        <v/>
      </c>
      <c r="W906" s="68">
        <f>IF(OR(TaxOn&lt;&gt;"Yes",NOT(ISNUMBER(M906))),0,IF(IFERROR(INDEX(tt_Tax,MATCH(D906,tt_Type,0)),"No")="Yes",M906,0))</f>
        <v/>
      </c>
      <c r="X906" s="67">
        <f>IF(T906=1,"",IF(C906="","Missing transaction date",IF(NOT(ISNUMBER(C906)),"Invalid date",IF(OR(C906&lt;DATE(2000,1,1),C906&gt;DATE(2099,12,31)),"Invalid date",IF(D906="","Select a type",IF(U906="","Unknown type: "&amp;D906,IF(V906="","Select an account (Category)",IF(ISNA(MATCH(V906,coa_Name,0)),"Unknown account: "&amp;V906,IF(K906="","Select Paid From / Deposited To",IF(ISNA(MATCH(K906,coa_Name,0)),"Unknown account: "&amp;K906,IF(NOT(ISNUMBER(L906)),"Enter an amount",IF(L906=0,"Enter an amount",IF(ABS(W906)&gt;ABS(L906),"Tax is larger than the amount","")))))))))))))</f>
        <v/>
      </c>
      <c r="Y906" s="67">
        <f>IF(OR(T906=1,X906&lt;&gt;""),"",IF(AND(B906&lt;&gt;"",COUNTIF(tx_ID,B906)&gt;1),"Duplicate transaction ID",IF(AND(L906&lt;0,D906&lt;&gt;"Adjustment"),"Negative amount — check this entry",IF(AND(D906="Customer Payment",G906=""),"Add the customer",IF(AND(D906="Customer Payment",OR(J906="",COUNTIF(ar_No,J906&amp;"")=0)),"Invoice # in Reference not found on AR sheet",IF(AND(D906="Bill Payment",H906=""),"Add the vendor",IF(AND(D906="Bill Payment",OR(J906="",COUNTIFS(ap_No,J906&amp;"",ap_Party,H906&amp;"")=0)),"Bill # + vendor not found on AP sheet",IF(AND(ISNUMBER(M906),N(M906)&lt;&gt;0,W906=0),"Tax ignored (tax tracking off, or not allowed for this type)",IF(V906=K906&amp;"","Same account on both sides",IF(AND(ISNUMBER(StartDate),C906&lt;StartDate),"Date is before the accounting start date",IF(AND(D906&lt;&gt;"Adjustment",IFERROR(INDEX(coa_Pay,MATCH(K906&amp;"",coa_Name,0)),"")&lt;&gt;"Yes"),"Paid From / Deposited To is not a payment account","")))))))))))</f>
        <v/>
      </c>
      <c r="Z906" s="67">
        <f>IF(AND(T906=0,X906=""),1,0)</f>
        <v/>
      </c>
      <c r="AA906" s="68">
        <f>IF(Z906=1,IF(U906="In",L906,L906-W906),0)</f>
        <v/>
      </c>
      <c r="AB906" s="68">
        <f>IF(Z906=1,IF(U906="In",L906-W906,L906),0)</f>
        <v/>
      </c>
      <c r="AC906" s="68">
        <f>IF(AND(Z906=1,U906="Out"),W906,0)</f>
        <v/>
      </c>
      <c r="AD906" s="68">
        <f>IF(AND(Z906=1,U906="In"),W906,0)</f>
        <v/>
      </c>
    </row>
    <row r="907">
      <c r="B907" s="62" t="inlineStr">
        <is>
          <t>TX-0901</t>
        </is>
      </c>
      <c r="C907" s="63" t="n"/>
      <c r="D907" s="62" t="n"/>
      <c r="E907" s="62" t="n"/>
      <c r="F907" s="62" t="n"/>
      <c r="G907" s="62" t="n"/>
      <c r="H907" s="62" t="n"/>
      <c r="I907" s="62" t="n"/>
      <c r="J907" s="62" t="n"/>
      <c r="K907" s="62" t="n"/>
      <c r="L907" s="64" t="n"/>
      <c r="M907" s="64" t="n"/>
      <c r="N907" s="62" t="n"/>
      <c r="O907" s="65">
        <f>IF(Z907=1,L907-W907,"")</f>
        <v/>
      </c>
      <c r="P907" s="66">
        <f>IF(V907="","",IFERROR(INDEX(coa_Type,MATCH(V907,coa_Name,0)),""))</f>
        <v/>
      </c>
      <c r="Q907" s="66">
        <f>IF(Z907=1,IF(U907="In",K907&amp;"",V907),"")</f>
        <v/>
      </c>
      <c r="R907" s="66">
        <f>IF(Z907=1,IF(U907="In",V907,K907&amp;""),"")</f>
        <v/>
      </c>
      <c r="S907" s="66">
        <f>IF(X907&lt;&gt;"","⛔ "&amp;X907&amp;" — not posted",IF(Y907&lt;&gt;"","⚠ "&amp;Y907,IF(Z907=1,"✓ OK","")))</f>
        <v/>
      </c>
      <c r="T907" s="67">
        <f>IF(AND(C907="",D907="",E907="",L907="",K907=""),1,0)</f>
        <v/>
      </c>
      <c r="U907" s="67">
        <f>IFERROR(INDEX(tt_Dir,MATCH(D907,tt_Type,0)),"")</f>
        <v/>
      </c>
      <c r="V907" s="67">
        <f>IF(D907="","",IFERROR(IF(INDEX(tt_Other,MATCH(D907,tt_Type,0))="",E907&amp;"",INDEX(tt_Other,MATCH(D907,tt_Type,0))),""))</f>
        <v/>
      </c>
      <c r="W907" s="68">
        <f>IF(OR(TaxOn&lt;&gt;"Yes",NOT(ISNUMBER(M907))),0,IF(IFERROR(INDEX(tt_Tax,MATCH(D907,tt_Type,0)),"No")="Yes",M907,0))</f>
        <v/>
      </c>
      <c r="X907" s="67">
        <f>IF(T907=1,"",IF(C907="","Missing transaction date",IF(NOT(ISNUMBER(C907)),"Invalid date",IF(OR(C907&lt;DATE(2000,1,1),C907&gt;DATE(2099,12,31)),"Invalid date",IF(D907="","Select a type",IF(U907="","Unknown type: "&amp;D907,IF(V907="","Select an account (Category)",IF(ISNA(MATCH(V907,coa_Name,0)),"Unknown account: "&amp;V907,IF(K907="","Select Paid From / Deposited To",IF(ISNA(MATCH(K907,coa_Name,0)),"Unknown account: "&amp;K907,IF(NOT(ISNUMBER(L907)),"Enter an amount",IF(L907=0,"Enter an amount",IF(ABS(W907)&gt;ABS(L907),"Tax is larger than the amount","")))))))))))))</f>
        <v/>
      </c>
      <c r="Y907" s="67">
        <f>IF(OR(T907=1,X907&lt;&gt;""),"",IF(AND(B907&lt;&gt;"",COUNTIF(tx_ID,B907)&gt;1),"Duplicate transaction ID",IF(AND(L907&lt;0,D907&lt;&gt;"Adjustment"),"Negative amount — check this entry",IF(AND(D907="Customer Payment",G907=""),"Add the customer",IF(AND(D907="Customer Payment",OR(J907="",COUNTIF(ar_No,J907&amp;"")=0)),"Invoice # in Reference not found on AR sheet",IF(AND(D907="Bill Payment",H907=""),"Add the vendor",IF(AND(D907="Bill Payment",OR(J907="",COUNTIFS(ap_No,J907&amp;"",ap_Party,H907&amp;"")=0)),"Bill # + vendor not found on AP sheet",IF(AND(ISNUMBER(M907),N(M907)&lt;&gt;0,W907=0),"Tax ignored (tax tracking off, or not allowed for this type)",IF(V907=K907&amp;"","Same account on both sides",IF(AND(ISNUMBER(StartDate),C907&lt;StartDate),"Date is before the accounting start date",IF(AND(D907&lt;&gt;"Adjustment",IFERROR(INDEX(coa_Pay,MATCH(K907&amp;"",coa_Name,0)),"")&lt;&gt;"Yes"),"Paid From / Deposited To is not a payment account","")))))))))))</f>
        <v/>
      </c>
      <c r="Z907" s="67">
        <f>IF(AND(T907=0,X907=""),1,0)</f>
        <v/>
      </c>
      <c r="AA907" s="68">
        <f>IF(Z907=1,IF(U907="In",L907,L907-W907),0)</f>
        <v/>
      </c>
      <c r="AB907" s="68">
        <f>IF(Z907=1,IF(U907="In",L907-W907,L907),0)</f>
        <v/>
      </c>
      <c r="AC907" s="68">
        <f>IF(AND(Z907=1,U907="Out"),W907,0)</f>
        <v/>
      </c>
      <c r="AD907" s="68">
        <f>IF(AND(Z907=1,U907="In"),W907,0)</f>
        <v/>
      </c>
    </row>
    <row r="908">
      <c r="B908" s="62" t="inlineStr">
        <is>
          <t>TX-0902</t>
        </is>
      </c>
      <c r="C908" s="63" t="n"/>
      <c r="D908" s="62" t="n"/>
      <c r="E908" s="62" t="n"/>
      <c r="F908" s="62" t="n"/>
      <c r="G908" s="62" t="n"/>
      <c r="H908" s="62" t="n"/>
      <c r="I908" s="62" t="n"/>
      <c r="J908" s="62" t="n"/>
      <c r="K908" s="62" t="n"/>
      <c r="L908" s="64" t="n"/>
      <c r="M908" s="64" t="n"/>
      <c r="N908" s="62" t="n"/>
      <c r="O908" s="65">
        <f>IF(Z908=1,L908-W908,"")</f>
        <v/>
      </c>
      <c r="P908" s="66">
        <f>IF(V908="","",IFERROR(INDEX(coa_Type,MATCH(V908,coa_Name,0)),""))</f>
        <v/>
      </c>
      <c r="Q908" s="66">
        <f>IF(Z908=1,IF(U908="In",K908&amp;"",V908),"")</f>
        <v/>
      </c>
      <c r="R908" s="66">
        <f>IF(Z908=1,IF(U908="In",V908,K908&amp;""),"")</f>
        <v/>
      </c>
      <c r="S908" s="66">
        <f>IF(X908&lt;&gt;"","⛔ "&amp;X908&amp;" — not posted",IF(Y908&lt;&gt;"","⚠ "&amp;Y908,IF(Z908=1,"✓ OK","")))</f>
        <v/>
      </c>
      <c r="T908" s="67">
        <f>IF(AND(C908="",D908="",E908="",L908="",K908=""),1,0)</f>
        <v/>
      </c>
      <c r="U908" s="67">
        <f>IFERROR(INDEX(tt_Dir,MATCH(D908,tt_Type,0)),"")</f>
        <v/>
      </c>
      <c r="V908" s="67">
        <f>IF(D908="","",IFERROR(IF(INDEX(tt_Other,MATCH(D908,tt_Type,0))="",E908&amp;"",INDEX(tt_Other,MATCH(D908,tt_Type,0))),""))</f>
        <v/>
      </c>
      <c r="W908" s="68">
        <f>IF(OR(TaxOn&lt;&gt;"Yes",NOT(ISNUMBER(M908))),0,IF(IFERROR(INDEX(tt_Tax,MATCH(D908,tt_Type,0)),"No")="Yes",M908,0))</f>
        <v/>
      </c>
      <c r="X908" s="67">
        <f>IF(T908=1,"",IF(C908="","Missing transaction date",IF(NOT(ISNUMBER(C908)),"Invalid date",IF(OR(C908&lt;DATE(2000,1,1),C908&gt;DATE(2099,12,31)),"Invalid date",IF(D908="","Select a type",IF(U908="","Unknown type: "&amp;D908,IF(V908="","Select an account (Category)",IF(ISNA(MATCH(V908,coa_Name,0)),"Unknown account: "&amp;V908,IF(K908="","Select Paid From / Deposited To",IF(ISNA(MATCH(K908,coa_Name,0)),"Unknown account: "&amp;K908,IF(NOT(ISNUMBER(L908)),"Enter an amount",IF(L908=0,"Enter an amount",IF(ABS(W908)&gt;ABS(L908),"Tax is larger than the amount","")))))))))))))</f>
        <v/>
      </c>
      <c r="Y908" s="67">
        <f>IF(OR(T908=1,X908&lt;&gt;""),"",IF(AND(B908&lt;&gt;"",COUNTIF(tx_ID,B908)&gt;1),"Duplicate transaction ID",IF(AND(L908&lt;0,D908&lt;&gt;"Adjustment"),"Negative amount — check this entry",IF(AND(D908="Customer Payment",G908=""),"Add the customer",IF(AND(D908="Customer Payment",OR(J908="",COUNTIF(ar_No,J908&amp;"")=0)),"Invoice # in Reference not found on AR sheet",IF(AND(D908="Bill Payment",H908=""),"Add the vendor",IF(AND(D908="Bill Payment",OR(J908="",COUNTIFS(ap_No,J908&amp;"",ap_Party,H908&amp;"")=0)),"Bill # + vendor not found on AP sheet",IF(AND(ISNUMBER(M908),N(M908)&lt;&gt;0,W908=0),"Tax ignored (tax tracking off, or not allowed for this type)",IF(V908=K908&amp;"","Same account on both sides",IF(AND(ISNUMBER(StartDate),C908&lt;StartDate),"Date is before the accounting start date",IF(AND(D908&lt;&gt;"Adjustment",IFERROR(INDEX(coa_Pay,MATCH(K908&amp;"",coa_Name,0)),"")&lt;&gt;"Yes"),"Paid From / Deposited To is not a payment account","")))))))))))</f>
        <v/>
      </c>
      <c r="Z908" s="67">
        <f>IF(AND(T908=0,X908=""),1,0)</f>
        <v/>
      </c>
      <c r="AA908" s="68">
        <f>IF(Z908=1,IF(U908="In",L908,L908-W908),0)</f>
        <v/>
      </c>
      <c r="AB908" s="68">
        <f>IF(Z908=1,IF(U908="In",L908-W908,L908),0)</f>
        <v/>
      </c>
      <c r="AC908" s="68">
        <f>IF(AND(Z908=1,U908="Out"),W908,0)</f>
        <v/>
      </c>
      <c r="AD908" s="68">
        <f>IF(AND(Z908=1,U908="In"),W908,0)</f>
        <v/>
      </c>
    </row>
    <row r="909">
      <c r="B909" s="62" t="inlineStr">
        <is>
          <t>TX-0903</t>
        </is>
      </c>
      <c r="C909" s="63" t="n"/>
      <c r="D909" s="62" t="n"/>
      <c r="E909" s="62" t="n"/>
      <c r="F909" s="62" t="n"/>
      <c r="G909" s="62" t="n"/>
      <c r="H909" s="62" t="n"/>
      <c r="I909" s="62" t="n"/>
      <c r="J909" s="62" t="n"/>
      <c r="K909" s="62" t="n"/>
      <c r="L909" s="64" t="n"/>
      <c r="M909" s="64" t="n"/>
      <c r="N909" s="62" t="n"/>
      <c r="O909" s="65">
        <f>IF(Z909=1,L909-W909,"")</f>
        <v/>
      </c>
      <c r="P909" s="66">
        <f>IF(V909="","",IFERROR(INDEX(coa_Type,MATCH(V909,coa_Name,0)),""))</f>
        <v/>
      </c>
      <c r="Q909" s="66">
        <f>IF(Z909=1,IF(U909="In",K909&amp;"",V909),"")</f>
        <v/>
      </c>
      <c r="R909" s="66">
        <f>IF(Z909=1,IF(U909="In",V909,K909&amp;""),"")</f>
        <v/>
      </c>
      <c r="S909" s="66">
        <f>IF(X909&lt;&gt;"","⛔ "&amp;X909&amp;" — not posted",IF(Y909&lt;&gt;"","⚠ "&amp;Y909,IF(Z909=1,"✓ OK","")))</f>
        <v/>
      </c>
      <c r="T909" s="67">
        <f>IF(AND(C909="",D909="",E909="",L909="",K909=""),1,0)</f>
        <v/>
      </c>
      <c r="U909" s="67">
        <f>IFERROR(INDEX(tt_Dir,MATCH(D909,tt_Type,0)),"")</f>
        <v/>
      </c>
      <c r="V909" s="67">
        <f>IF(D909="","",IFERROR(IF(INDEX(tt_Other,MATCH(D909,tt_Type,0))="",E909&amp;"",INDEX(tt_Other,MATCH(D909,tt_Type,0))),""))</f>
        <v/>
      </c>
      <c r="W909" s="68">
        <f>IF(OR(TaxOn&lt;&gt;"Yes",NOT(ISNUMBER(M909))),0,IF(IFERROR(INDEX(tt_Tax,MATCH(D909,tt_Type,0)),"No")="Yes",M909,0))</f>
        <v/>
      </c>
      <c r="X909" s="67">
        <f>IF(T909=1,"",IF(C909="","Missing transaction date",IF(NOT(ISNUMBER(C909)),"Invalid date",IF(OR(C909&lt;DATE(2000,1,1),C909&gt;DATE(2099,12,31)),"Invalid date",IF(D909="","Select a type",IF(U909="","Unknown type: "&amp;D909,IF(V909="","Select an account (Category)",IF(ISNA(MATCH(V909,coa_Name,0)),"Unknown account: "&amp;V909,IF(K909="","Select Paid From / Deposited To",IF(ISNA(MATCH(K909,coa_Name,0)),"Unknown account: "&amp;K909,IF(NOT(ISNUMBER(L909)),"Enter an amount",IF(L909=0,"Enter an amount",IF(ABS(W909)&gt;ABS(L909),"Tax is larger than the amount","")))))))))))))</f>
        <v/>
      </c>
      <c r="Y909" s="67">
        <f>IF(OR(T909=1,X909&lt;&gt;""),"",IF(AND(B909&lt;&gt;"",COUNTIF(tx_ID,B909)&gt;1),"Duplicate transaction ID",IF(AND(L909&lt;0,D909&lt;&gt;"Adjustment"),"Negative amount — check this entry",IF(AND(D909="Customer Payment",G909=""),"Add the customer",IF(AND(D909="Customer Payment",OR(J909="",COUNTIF(ar_No,J909&amp;"")=0)),"Invoice # in Reference not found on AR sheet",IF(AND(D909="Bill Payment",H909=""),"Add the vendor",IF(AND(D909="Bill Payment",OR(J909="",COUNTIFS(ap_No,J909&amp;"",ap_Party,H909&amp;"")=0)),"Bill # + vendor not found on AP sheet",IF(AND(ISNUMBER(M909),N(M909)&lt;&gt;0,W909=0),"Tax ignored (tax tracking off, or not allowed for this type)",IF(V909=K909&amp;"","Same account on both sides",IF(AND(ISNUMBER(StartDate),C909&lt;StartDate),"Date is before the accounting start date",IF(AND(D909&lt;&gt;"Adjustment",IFERROR(INDEX(coa_Pay,MATCH(K909&amp;"",coa_Name,0)),"")&lt;&gt;"Yes"),"Paid From / Deposited To is not a payment account","")))))))))))</f>
        <v/>
      </c>
      <c r="Z909" s="67">
        <f>IF(AND(T909=0,X909=""),1,0)</f>
        <v/>
      </c>
      <c r="AA909" s="68">
        <f>IF(Z909=1,IF(U909="In",L909,L909-W909),0)</f>
        <v/>
      </c>
      <c r="AB909" s="68">
        <f>IF(Z909=1,IF(U909="In",L909-W909,L909),0)</f>
        <v/>
      </c>
      <c r="AC909" s="68">
        <f>IF(AND(Z909=1,U909="Out"),W909,0)</f>
        <v/>
      </c>
      <c r="AD909" s="68">
        <f>IF(AND(Z909=1,U909="In"),W909,0)</f>
        <v/>
      </c>
    </row>
    <row r="910">
      <c r="B910" s="62" t="inlineStr">
        <is>
          <t>TX-0904</t>
        </is>
      </c>
      <c r="C910" s="63" t="n"/>
      <c r="D910" s="62" t="n"/>
      <c r="E910" s="62" t="n"/>
      <c r="F910" s="62" t="n"/>
      <c r="G910" s="62" t="n"/>
      <c r="H910" s="62" t="n"/>
      <c r="I910" s="62" t="n"/>
      <c r="J910" s="62" t="n"/>
      <c r="K910" s="62" t="n"/>
      <c r="L910" s="64" t="n"/>
      <c r="M910" s="64" t="n"/>
      <c r="N910" s="62" t="n"/>
      <c r="O910" s="65">
        <f>IF(Z910=1,L910-W910,"")</f>
        <v/>
      </c>
      <c r="P910" s="66">
        <f>IF(V910="","",IFERROR(INDEX(coa_Type,MATCH(V910,coa_Name,0)),""))</f>
        <v/>
      </c>
      <c r="Q910" s="66">
        <f>IF(Z910=1,IF(U910="In",K910&amp;"",V910),"")</f>
        <v/>
      </c>
      <c r="R910" s="66">
        <f>IF(Z910=1,IF(U910="In",V910,K910&amp;""),"")</f>
        <v/>
      </c>
      <c r="S910" s="66">
        <f>IF(X910&lt;&gt;"","⛔ "&amp;X910&amp;" — not posted",IF(Y910&lt;&gt;"","⚠ "&amp;Y910,IF(Z910=1,"✓ OK","")))</f>
        <v/>
      </c>
      <c r="T910" s="67">
        <f>IF(AND(C910="",D910="",E910="",L910="",K910=""),1,0)</f>
        <v/>
      </c>
      <c r="U910" s="67">
        <f>IFERROR(INDEX(tt_Dir,MATCH(D910,tt_Type,0)),"")</f>
        <v/>
      </c>
      <c r="V910" s="67">
        <f>IF(D910="","",IFERROR(IF(INDEX(tt_Other,MATCH(D910,tt_Type,0))="",E910&amp;"",INDEX(tt_Other,MATCH(D910,tt_Type,0))),""))</f>
        <v/>
      </c>
      <c r="W910" s="68">
        <f>IF(OR(TaxOn&lt;&gt;"Yes",NOT(ISNUMBER(M910))),0,IF(IFERROR(INDEX(tt_Tax,MATCH(D910,tt_Type,0)),"No")="Yes",M910,0))</f>
        <v/>
      </c>
      <c r="X910" s="67">
        <f>IF(T910=1,"",IF(C910="","Missing transaction date",IF(NOT(ISNUMBER(C910)),"Invalid date",IF(OR(C910&lt;DATE(2000,1,1),C910&gt;DATE(2099,12,31)),"Invalid date",IF(D910="","Select a type",IF(U910="","Unknown type: "&amp;D910,IF(V910="","Select an account (Category)",IF(ISNA(MATCH(V910,coa_Name,0)),"Unknown account: "&amp;V910,IF(K910="","Select Paid From / Deposited To",IF(ISNA(MATCH(K910,coa_Name,0)),"Unknown account: "&amp;K910,IF(NOT(ISNUMBER(L910)),"Enter an amount",IF(L910=0,"Enter an amount",IF(ABS(W910)&gt;ABS(L910),"Tax is larger than the amount","")))))))))))))</f>
        <v/>
      </c>
      <c r="Y910" s="67">
        <f>IF(OR(T910=1,X910&lt;&gt;""),"",IF(AND(B910&lt;&gt;"",COUNTIF(tx_ID,B910)&gt;1),"Duplicate transaction ID",IF(AND(L910&lt;0,D910&lt;&gt;"Adjustment"),"Negative amount — check this entry",IF(AND(D910="Customer Payment",G910=""),"Add the customer",IF(AND(D910="Customer Payment",OR(J910="",COUNTIF(ar_No,J910&amp;"")=0)),"Invoice # in Reference not found on AR sheet",IF(AND(D910="Bill Payment",H910=""),"Add the vendor",IF(AND(D910="Bill Payment",OR(J910="",COUNTIFS(ap_No,J910&amp;"",ap_Party,H910&amp;"")=0)),"Bill # + vendor not found on AP sheet",IF(AND(ISNUMBER(M910),N(M910)&lt;&gt;0,W910=0),"Tax ignored (tax tracking off, or not allowed for this type)",IF(V910=K910&amp;"","Same account on both sides",IF(AND(ISNUMBER(StartDate),C910&lt;StartDate),"Date is before the accounting start date",IF(AND(D910&lt;&gt;"Adjustment",IFERROR(INDEX(coa_Pay,MATCH(K910&amp;"",coa_Name,0)),"")&lt;&gt;"Yes"),"Paid From / Deposited To is not a payment account","")))))))))))</f>
        <v/>
      </c>
      <c r="Z910" s="67">
        <f>IF(AND(T910=0,X910=""),1,0)</f>
        <v/>
      </c>
      <c r="AA910" s="68">
        <f>IF(Z910=1,IF(U910="In",L910,L910-W910),0)</f>
        <v/>
      </c>
      <c r="AB910" s="68">
        <f>IF(Z910=1,IF(U910="In",L910-W910,L910),0)</f>
        <v/>
      </c>
      <c r="AC910" s="68">
        <f>IF(AND(Z910=1,U910="Out"),W910,0)</f>
        <v/>
      </c>
      <c r="AD910" s="68">
        <f>IF(AND(Z910=1,U910="In"),W910,0)</f>
        <v/>
      </c>
    </row>
    <row r="911">
      <c r="B911" s="62" t="inlineStr">
        <is>
          <t>TX-0905</t>
        </is>
      </c>
      <c r="C911" s="63" t="n"/>
      <c r="D911" s="62" t="n"/>
      <c r="E911" s="62" t="n"/>
      <c r="F911" s="62" t="n"/>
      <c r="G911" s="62" t="n"/>
      <c r="H911" s="62" t="n"/>
      <c r="I911" s="62" t="n"/>
      <c r="J911" s="62" t="n"/>
      <c r="K911" s="62" t="n"/>
      <c r="L911" s="64" t="n"/>
      <c r="M911" s="64" t="n"/>
      <c r="N911" s="62" t="n"/>
      <c r="O911" s="65">
        <f>IF(Z911=1,L911-W911,"")</f>
        <v/>
      </c>
      <c r="P911" s="66">
        <f>IF(V911="","",IFERROR(INDEX(coa_Type,MATCH(V911,coa_Name,0)),""))</f>
        <v/>
      </c>
      <c r="Q911" s="66">
        <f>IF(Z911=1,IF(U911="In",K911&amp;"",V911),"")</f>
        <v/>
      </c>
      <c r="R911" s="66">
        <f>IF(Z911=1,IF(U911="In",V911,K911&amp;""),"")</f>
        <v/>
      </c>
      <c r="S911" s="66">
        <f>IF(X911&lt;&gt;"","⛔ "&amp;X911&amp;" — not posted",IF(Y911&lt;&gt;"","⚠ "&amp;Y911,IF(Z911=1,"✓ OK","")))</f>
        <v/>
      </c>
      <c r="T911" s="67">
        <f>IF(AND(C911="",D911="",E911="",L911="",K911=""),1,0)</f>
        <v/>
      </c>
      <c r="U911" s="67">
        <f>IFERROR(INDEX(tt_Dir,MATCH(D911,tt_Type,0)),"")</f>
        <v/>
      </c>
      <c r="V911" s="67">
        <f>IF(D911="","",IFERROR(IF(INDEX(tt_Other,MATCH(D911,tt_Type,0))="",E911&amp;"",INDEX(tt_Other,MATCH(D911,tt_Type,0))),""))</f>
        <v/>
      </c>
      <c r="W911" s="68">
        <f>IF(OR(TaxOn&lt;&gt;"Yes",NOT(ISNUMBER(M911))),0,IF(IFERROR(INDEX(tt_Tax,MATCH(D911,tt_Type,0)),"No")="Yes",M911,0))</f>
        <v/>
      </c>
      <c r="X911" s="67">
        <f>IF(T911=1,"",IF(C911="","Missing transaction date",IF(NOT(ISNUMBER(C911)),"Invalid date",IF(OR(C911&lt;DATE(2000,1,1),C911&gt;DATE(2099,12,31)),"Invalid date",IF(D911="","Select a type",IF(U911="","Unknown type: "&amp;D911,IF(V911="","Select an account (Category)",IF(ISNA(MATCH(V911,coa_Name,0)),"Unknown account: "&amp;V911,IF(K911="","Select Paid From / Deposited To",IF(ISNA(MATCH(K911,coa_Name,0)),"Unknown account: "&amp;K911,IF(NOT(ISNUMBER(L911)),"Enter an amount",IF(L911=0,"Enter an amount",IF(ABS(W911)&gt;ABS(L911),"Tax is larger than the amount","")))))))))))))</f>
        <v/>
      </c>
      <c r="Y911" s="67">
        <f>IF(OR(T911=1,X911&lt;&gt;""),"",IF(AND(B911&lt;&gt;"",COUNTIF(tx_ID,B911)&gt;1),"Duplicate transaction ID",IF(AND(L911&lt;0,D911&lt;&gt;"Adjustment"),"Negative amount — check this entry",IF(AND(D911="Customer Payment",G911=""),"Add the customer",IF(AND(D911="Customer Payment",OR(J911="",COUNTIF(ar_No,J911&amp;"")=0)),"Invoice # in Reference not found on AR sheet",IF(AND(D911="Bill Payment",H911=""),"Add the vendor",IF(AND(D911="Bill Payment",OR(J911="",COUNTIFS(ap_No,J911&amp;"",ap_Party,H911&amp;"")=0)),"Bill # + vendor not found on AP sheet",IF(AND(ISNUMBER(M911),N(M911)&lt;&gt;0,W911=0),"Tax ignored (tax tracking off, or not allowed for this type)",IF(V911=K911&amp;"","Same account on both sides",IF(AND(ISNUMBER(StartDate),C911&lt;StartDate),"Date is before the accounting start date",IF(AND(D911&lt;&gt;"Adjustment",IFERROR(INDEX(coa_Pay,MATCH(K911&amp;"",coa_Name,0)),"")&lt;&gt;"Yes"),"Paid From / Deposited To is not a payment account","")))))))))))</f>
        <v/>
      </c>
      <c r="Z911" s="67">
        <f>IF(AND(T911=0,X911=""),1,0)</f>
        <v/>
      </c>
      <c r="AA911" s="68">
        <f>IF(Z911=1,IF(U911="In",L911,L911-W911),0)</f>
        <v/>
      </c>
      <c r="AB911" s="68">
        <f>IF(Z911=1,IF(U911="In",L911-W911,L911),0)</f>
        <v/>
      </c>
      <c r="AC911" s="68">
        <f>IF(AND(Z911=1,U911="Out"),W911,0)</f>
        <v/>
      </c>
      <c r="AD911" s="68">
        <f>IF(AND(Z911=1,U911="In"),W911,0)</f>
        <v/>
      </c>
    </row>
    <row r="912">
      <c r="B912" s="62" t="inlineStr">
        <is>
          <t>TX-0906</t>
        </is>
      </c>
      <c r="C912" s="63" t="n"/>
      <c r="D912" s="62" t="n"/>
      <c r="E912" s="62" t="n"/>
      <c r="F912" s="62" t="n"/>
      <c r="G912" s="62" t="n"/>
      <c r="H912" s="62" t="n"/>
      <c r="I912" s="62" t="n"/>
      <c r="J912" s="62" t="n"/>
      <c r="K912" s="62" t="n"/>
      <c r="L912" s="64" t="n"/>
      <c r="M912" s="64" t="n"/>
      <c r="N912" s="62" t="n"/>
      <c r="O912" s="65">
        <f>IF(Z912=1,L912-W912,"")</f>
        <v/>
      </c>
      <c r="P912" s="66">
        <f>IF(V912="","",IFERROR(INDEX(coa_Type,MATCH(V912,coa_Name,0)),""))</f>
        <v/>
      </c>
      <c r="Q912" s="66">
        <f>IF(Z912=1,IF(U912="In",K912&amp;"",V912),"")</f>
        <v/>
      </c>
      <c r="R912" s="66">
        <f>IF(Z912=1,IF(U912="In",V912,K912&amp;""),"")</f>
        <v/>
      </c>
      <c r="S912" s="66">
        <f>IF(X912&lt;&gt;"","⛔ "&amp;X912&amp;" — not posted",IF(Y912&lt;&gt;"","⚠ "&amp;Y912,IF(Z912=1,"✓ OK","")))</f>
        <v/>
      </c>
      <c r="T912" s="67">
        <f>IF(AND(C912="",D912="",E912="",L912="",K912=""),1,0)</f>
        <v/>
      </c>
      <c r="U912" s="67">
        <f>IFERROR(INDEX(tt_Dir,MATCH(D912,tt_Type,0)),"")</f>
        <v/>
      </c>
      <c r="V912" s="67">
        <f>IF(D912="","",IFERROR(IF(INDEX(tt_Other,MATCH(D912,tt_Type,0))="",E912&amp;"",INDEX(tt_Other,MATCH(D912,tt_Type,0))),""))</f>
        <v/>
      </c>
      <c r="W912" s="68">
        <f>IF(OR(TaxOn&lt;&gt;"Yes",NOT(ISNUMBER(M912))),0,IF(IFERROR(INDEX(tt_Tax,MATCH(D912,tt_Type,0)),"No")="Yes",M912,0))</f>
        <v/>
      </c>
      <c r="X912" s="67">
        <f>IF(T912=1,"",IF(C912="","Missing transaction date",IF(NOT(ISNUMBER(C912)),"Invalid date",IF(OR(C912&lt;DATE(2000,1,1),C912&gt;DATE(2099,12,31)),"Invalid date",IF(D912="","Select a type",IF(U912="","Unknown type: "&amp;D912,IF(V912="","Select an account (Category)",IF(ISNA(MATCH(V912,coa_Name,0)),"Unknown account: "&amp;V912,IF(K912="","Select Paid From / Deposited To",IF(ISNA(MATCH(K912,coa_Name,0)),"Unknown account: "&amp;K912,IF(NOT(ISNUMBER(L912)),"Enter an amount",IF(L912=0,"Enter an amount",IF(ABS(W912)&gt;ABS(L912),"Tax is larger than the amount","")))))))))))))</f>
        <v/>
      </c>
      <c r="Y912" s="67">
        <f>IF(OR(T912=1,X912&lt;&gt;""),"",IF(AND(B912&lt;&gt;"",COUNTIF(tx_ID,B912)&gt;1),"Duplicate transaction ID",IF(AND(L912&lt;0,D912&lt;&gt;"Adjustment"),"Negative amount — check this entry",IF(AND(D912="Customer Payment",G912=""),"Add the customer",IF(AND(D912="Customer Payment",OR(J912="",COUNTIF(ar_No,J912&amp;"")=0)),"Invoice # in Reference not found on AR sheet",IF(AND(D912="Bill Payment",H912=""),"Add the vendor",IF(AND(D912="Bill Payment",OR(J912="",COUNTIFS(ap_No,J912&amp;"",ap_Party,H912&amp;"")=0)),"Bill # + vendor not found on AP sheet",IF(AND(ISNUMBER(M912),N(M912)&lt;&gt;0,W912=0),"Tax ignored (tax tracking off, or not allowed for this type)",IF(V912=K912&amp;"","Same account on both sides",IF(AND(ISNUMBER(StartDate),C912&lt;StartDate),"Date is before the accounting start date",IF(AND(D912&lt;&gt;"Adjustment",IFERROR(INDEX(coa_Pay,MATCH(K912&amp;"",coa_Name,0)),"")&lt;&gt;"Yes"),"Paid From / Deposited To is not a payment account","")))))))))))</f>
        <v/>
      </c>
      <c r="Z912" s="67">
        <f>IF(AND(T912=0,X912=""),1,0)</f>
        <v/>
      </c>
      <c r="AA912" s="68">
        <f>IF(Z912=1,IF(U912="In",L912,L912-W912),0)</f>
        <v/>
      </c>
      <c r="AB912" s="68">
        <f>IF(Z912=1,IF(U912="In",L912-W912,L912),0)</f>
        <v/>
      </c>
      <c r="AC912" s="68">
        <f>IF(AND(Z912=1,U912="Out"),W912,0)</f>
        <v/>
      </c>
      <c r="AD912" s="68">
        <f>IF(AND(Z912=1,U912="In"),W912,0)</f>
        <v/>
      </c>
    </row>
    <row r="913">
      <c r="B913" s="62" t="inlineStr">
        <is>
          <t>TX-0907</t>
        </is>
      </c>
      <c r="C913" s="63" t="n"/>
      <c r="D913" s="62" t="n"/>
      <c r="E913" s="62" t="n"/>
      <c r="F913" s="62" t="n"/>
      <c r="G913" s="62" t="n"/>
      <c r="H913" s="62" t="n"/>
      <c r="I913" s="62" t="n"/>
      <c r="J913" s="62" t="n"/>
      <c r="K913" s="62" t="n"/>
      <c r="L913" s="64" t="n"/>
      <c r="M913" s="64" t="n"/>
      <c r="N913" s="62" t="n"/>
      <c r="O913" s="65">
        <f>IF(Z913=1,L913-W913,"")</f>
        <v/>
      </c>
      <c r="P913" s="66">
        <f>IF(V913="","",IFERROR(INDEX(coa_Type,MATCH(V913,coa_Name,0)),""))</f>
        <v/>
      </c>
      <c r="Q913" s="66">
        <f>IF(Z913=1,IF(U913="In",K913&amp;"",V913),"")</f>
        <v/>
      </c>
      <c r="R913" s="66">
        <f>IF(Z913=1,IF(U913="In",V913,K913&amp;""),"")</f>
        <v/>
      </c>
      <c r="S913" s="66">
        <f>IF(X913&lt;&gt;"","⛔ "&amp;X913&amp;" — not posted",IF(Y913&lt;&gt;"","⚠ "&amp;Y913,IF(Z913=1,"✓ OK","")))</f>
        <v/>
      </c>
      <c r="T913" s="67">
        <f>IF(AND(C913="",D913="",E913="",L913="",K913=""),1,0)</f>
        <v/>
      </c>
      <c r="U913" s="67">
        <f>IFERROR(INDEX(tt_Dir,MATCH(D913,tt_Type,0)),"")</f>
        <v/>
      </c>
      <c r="V913" s="67">
        <f>IF(D913="","",IFERROR(IF(INDEX(tt_Other,MATCH(D913,tt_Type,0))="",E913&amp;"",INDEX(tt_Other,MATCH(D913,tt_Type,0))),""))</f>
        <v/>
      </c>
      <c r="W913" s="68">
        <f>IF(OR(TaxOn&lt;&gt;"Yes",NOT(ISNUMBER(M913))),0,IF(IFERROR(INDEX(tt_Tax,MATCH(D913,tt_Type,0)),"No")="Yes",M913,0))</f>
        <v/>
      </c>
      <c r="X913" s="67">
        <f>IF(T913=1,"",IF(C913="","Missing transaction date",IF(NOT(ISNUMBER(C913)),"Invalid date",IF(OR(C913&lt;DATE(2000,1,1),C913&gt;DATE(2099,12,31)),"Invalid date",IF(D913="","Select a type",IF(U913="","Unknown type: "&amp;D913,IF(V913="","Select an account (Category)",IF(ISNA(MATCH(V913,coa_Name,0)),"Unknown account: "&amp;V913,IF(K913="","Select Paid From / Deposited To",IF(ISNA(MATCH(K913,coa_Name,0)),"Unknown account: "&amp;K913,IF(NOT(ISNUMBER(L913)),"Enter an amount",IF(L913=0,"Enter an amount",IF(ABS(W913)&gt;ABS(L913),"Tax is larger than the amount","")))))))))))))</f>
        <v/>
      </c>
      <c r="Y913" s="67">
        <f>IF(OR(T913=1,X913&lt;&gt;""),"",IF(AND(B913&lt;&gt;"",COUNTIF(tx_ID,B913)&gt;1),"Duplicate transaction ID",IF(AND(L913&lt;0,D913&lt;&gt;"Adjustment"),"Negative amount — check this entry",IF(AND(D913="Customer Payment",G913=""),"Add the customer",IF(AND(D913="Customer Payment",OR(J913="",COUNTIF(ar_No,J913&amp;"")=0)),"Invoice # in Reference not found on AR sheet",IF(AND(D913="Bill Payment",H913=""),"Add the vendor",IF(AND(D913="Bill Payment",OR(J913="",COUNTIFS(ap_No,J913&amp;"",ap_Party,H913&amp;"")=0)),"Bill # + vendor not found on AP sheet",IF(AND(ISNUMBER(M913),N(M913)&lt;&gt;0,W913=0),"Tax ignored (tax tracking off, or not allowed for this type)",IF(V913=K913&amp;"","Same account on both sides",IF(AND(ISNUMBER(StartDate),C913&lt;StartDate),"Date is before the accounting start date",IF(AND(D913&lt;&gt;"Adjustment",IFERROR(INDEX(coa_Pay,MATCH(K913&amp;"",coa_Name,0)),"")&lt;&gt;"Yes"),"Paid From / Deposited To is not a payment account","")))))))))))</f>
        <v/>
      </c>
      <c r="Z913" s="67">
        <f>IF(AND(T913=0,X913=""),1,0)</f>
        <v/>
      </c>
      <c r="AA913" s="68">
        <f>IF(Z913=1,IF(U913="In",L913,L913-W913),0)</f>
        <v/>
      </c>
      <c r="AB913" s="68">
        <f>IF(Z913=1,IF(U913="In",L913-W913,L913),0)</f>
        <v/>
      </c>
      <c r="AC913" s="68">
        <f>IF(AND(Z913=1,U913="Out"),W913,0)</f>
        <v/>
      </c>
      <c r="AD913" s="68">
        <f>IF(AND(Z913=1,U913="In"),W913,0)</f>
        <v/>
      </c>
    </row>
    <row r="914">
      <c r="B914" s="62" t="inlineStr">
        <is>
          <t>TX-0908</t>
        </is>
      </c>
      <c r="C914" s="63" t="n"/>
      <c r="D914" s="62" t="n"/>
      <c r="E914" s="62" t="n"/>
      <c r="F914" s="62" t="n"/>
      <c r="G914" s="62" t="n"/>
      <c r="H914" s="62" t="n"/>
      <c r="I914" s="62" t="n"/>
      <c r="J914" s="62" t="n"/>
      <c r="K914" s="62" t="n"/>
      <c r="L914" s="64" t="n"/>
      <c r="M914" s="64" t="n"/>
      <c r="N914" s="62" t="n"/>
      <c r="O914" s="65">
        <f>IF(Z914=1,L914-W914,"")</f>
        <v/>
      </c>
      <c r="P914" s="66">
        <f>IF(V914="","",IFERROR(INDEX(coa_Type,MATCH(V914,coa_Name,0)),""))</f>
        <v/>
      </c>
      <c r="Q914" s="66">
        <f>IF(Z914=1,IF(U914="In",K914&amp;"",V914),"")</f>
        <v/>
      </c>
      <c r="R914" s="66">
        <f>IF(Z914=1,IF(U914="In",V914,K914&amp;""),"")</f>
        <v/>
      </c>
      <c r="S914" s="66">
        <f>IF(X914&lt;&gt;"","⛔ "&amp;X914&amp;" — not posted",IF(Y914&lt;&gt;"","⚠ "&amp;Y914,IF(Z914=1,"✓ OK","")))</f>
        <v/>
      </c>
      <c r="T914" s="67">
        <f>IF(AND(C914="",D914="",E914="",L914="",K914=""),1,0)</f>
        <v/>
      </c>
      <c r="U914" s="67">
        <f>IFERROR(INDEX(tt_Dir,MATCH(D914,tt_Type,0)),"")</f>
        <v/>
      </c>
      <c r="V914" s="67">
        <f>IF(D914="","",IFERROR(IF(INDEX(tt_Other,MATCH(D914,tt_Type,0))="",E914&amp;"",INDEX(tt_Other,MATCH(D914,tt_Type,0))),""))</f>
        <v/>
      </c>
      <c r="W914" s="68">
        <f>IF(OR(TaxOn&lt;&gt;"Yes",NOT(ISNUMBER(M914))),0,IF(IFERROR(INDEX(tt_Tax,MATCH(D914,tt_Type,0)),"No")="Yes",M914,0))</f>
        <v/>
      </c>
      <c r="X914" s="67">
        <f>IF(T914=1,"",IF(C914="","Missing transaction date",IF(NOT(ISNUMBER(C914)),"Invalid date",IF(OR(C914&lt;DATE(2000,1,1),C914&gt;DATE(2099,12,31)),"Invalid date",IF(D914="","Select a type",IF(U914="","Unknown type: "&amp;D914,IF(V914="","Select an account (Category)",IF(ISNA(MATCH(V914,coa_Name,0)),"Unknown account: "&amp;V914,IF(K914="","Select Paid From / Deposited To",IF(ISNA(MATCH(K914,coa_Name,0)),"Unknown account: "&amp;K914,IF(NOT(ISNUMBER(L914)),"Enter an amount",IF(L914=0,"Enter an amount",IF(ABS(W914)&gt;ABS(L914),"Tax is larger than the amount","")))))))))))))</f>
        <v/>
      </c>
      <c r="Y914" s="67">
        <f>IF(OR(T914=1,X914&lt;&gt;""),"",IF(AND(B914&lt;&gt;"",COUNTIF(tx_ID,B914)&gt;1),"Duplicate transaction ID",IF(AND(L914&lt;0,D914&lt;&gt;"Adjustment"),"Negative amount — check this entry",IF(AND(D914="Customer Payment",G914=""),"Add the customer",IF(AND(D914="Customer Payment",OR(J914="",COUNTIF(ar_No,J914&amp;"")=0)),"Invoice # in Reference not found on AR sheet",IF(AND(D914="Bill Payment",H914=""),"Add the vendor",IF(AND(D914="Bill Payment",OR(J914="",COUNTIFS(ap_No,J914&amp;"",ap_Party,H914&amp;"")=0)),"Bill # + vendor not found on AP sheet",IF(AND(ISNUMBER(M914),N(M914)&lt;&gt;0,W914=0),"Tax ignored (tax tracking off, or not allowed for this type)",IF(V914=K914&amp;"","Same account on both sides",IF(AND(ISNUMBER(StartDate),C914&lt;StartDate),"Date is before the accounting start date",IF(AND(D914&lt;&gt;"Adjustment",IFERROR(INDEX(coa_Pay,MATCH(K914&amp;"",coa_Name,0)),"")&lt;&gt;"Yes"),"Paid From / Deposited To is not a payment account","")))))))))))</f>
        <v/>
      </c>
      <c r="Z914" s="67">
        <f>IF(AND(T914=0,X914=""),1,0)</f>
        <v/>
      </c>
      <c r="AA914" s="68">
        <f>IF(Z914=1,IF(U914="In",L914,L914-W914),0)</f>
        <v/>
      </c>
      <c r="AB914" s="68">
        <f>IF(Z914=1,IF(U914="In",L914-W914,L914),0)</f>
        <v/>
      </c>
      <c r="AC914" s="68">
        <f>IF(AND(Z914=1,U914="Out"),W914,0)</f>
        <v/>
      </c>
      <c r="AD914" s="68">
        <f>IF(AND(Z914=1,U914="In"),W914,0)</f>
        <v/>
      </c>
    </row>
    <row r="915">
      <c r="B915" s="62" t="inlineStr">
        <is>
          <t>TX-0909</t>
        </is>
      </c>
      <c r="C915" s="63" t="n"/>
      <c r="D915" s="62" t="n"/>
      <c r="E915" s="62" t="n"/>
      <c r="F915" s="62" t="n"/>
      <c r="G915" s="62" t="n"/>
      <c r="H915" s="62" t="n"/>
      <c r="I915" s="62" t="n"/>
      <c r="J915" s="62" t="n"/>
      <c r="K915" s="62" t="n"/>
      <c r="L915" s="64" t="n"/>
      <c r="M915" s="64" t="n"/>
      <c r="N915" s="62" t="n"/>
      <c r="O915" s="65">
        <f>IF(Z915=1,L915-W915,"")</f>
        <v/>
      </c>
      <c r="P915" s="66">
        <f>IF(V915="","",IFERROR(INDEX(coa_Type,MATCH(V915,coa_Name,0)),""))</f>
        <v/>
      </c>
      <c r="Q915" s="66">
        <f>IF(Z915=1,IF(U915="In",K915&amp;"",V915),"")</f>
        <v/>
      </c>
      <c r="R915" s="66">
        <f>IF(Z915=1,IF(U915="In",V915,K915&amp;""),"")</f>
        <v/>
      </c>
      <c r="S915" s="66">
        <f>IF(X915&lt;&gt;"","⛔ "&amp;X915&amp;" — not posted",IF(Y915&lt;&gt;"","⚠ "&amp;Y915,IF(Z915=1,"✓ OK","")))</f>
        <v/>
      </c>
      <c r="T915" s="67">
        <f>IF(AND(C915="",D915="",E915="",L915="",K915=""),1,0)</f>
        <v/>
      </c>
      <c r="U915" s="67">
        <f>IFERROR(INDEX(tt_Dir,MATCH(D915,tt_Type,0)),"")</f>
        <v/>
      </c>
      <c r="V915" s="67">
        <f>IF(D915="","",IFERROR(IF(INDEX(tt_Other,MATCH(D915,tt_Type,0))="",E915&amp;"",INDEX(tt_Other,MATCH(D915,tt_Type,0))),""))</f>
        <v/>
      </c>
      <c r="W915" s="68">
        <f>IF(OR(TaxOn&lt;&gt;"Yes",NOT(ISNUMBER(M915))),0,IF(IFERROR(INDEX(tt_Tax,MATCH(D915,tt_Type,0)),"No")="Yes",M915,0))</f>
        <v/>
      </c>
      <c r="X915" s="67">
        <f>IF(T915=1,"",IF(C915="","Missing transaction date",IF(NOT(ISNUMBER(C915)),"Invalid date",IF(OR(C915&lt;DATE(2000,1,1),C915&gt;DATE(2099,12,31)),"Invalid date",IF(D915="","Select a type",IF(U915="","Unknown type: "&amp;D915,IF(V915="","Select an account (Category)",IF(ISNA(MATCH(V915,coa_Name,0)),"Unknown account: "&amp;V915,IF(K915="","Select Paid From / Deposited To",IF(ISNA(MATCH(K915,coa_Name,0)),"Unknown account: "&amp;K915,IF(NOT(ISNUMBER(L915)),"Enter an amount",IF(L915=0,"Enter an amount",IF(ABS(W915)&gt;ABS(L915),"Tax is larger than the amount","")))))))))))))</f>
        <v/>
      </c>
      <c r="Y915" s="67">
        <f>IF(OR(T915=1,X915&lt;&gt;""),"",IF(AND(B915&lt;&gt;"",COUNTIF(tx_ID,B915)&gt;1),"Duplicate transaction ID",IF(AND(L915&lt;0,D915&lt;&gt;"Adjustment"),"Negative amount — check this entry",IF(AND(D915="Customer Payment",G915=""),"Add the customer",IF(AND(D915="Customer Payment",OR(J915="",COUNTIF(ar_No,J915&amp;"")=0)),"Invoice # in Reference not found on AR sheet",IF(AND(D915="Bill Payment",H915=""),"Add the vendor",IF(AND(D915="Bill Payment",OR(J915="",COUNTIFS(ap_No,J915&amp;"",ap_Party,H915&amp;"")=0)),"Bill # + vendor not found on AP sheet",IF(AND(ISNUMBER(M915),N(M915)&lt;&gt;0,W915=0),"Tax ignored (tax tracking off, or not allowed for this type)",IF(V915=K915&amp;"","Same account on both sides",IF(AND(ISNUMBER(StartDate),C915&lt;StartDate),"Date is before the accounting start date",IF(AND(D915&lt;&gt;"Adjustment",IFERROR(INDEX(coa_Pay,MATCH(K915&amp;"",coa_Name,0)),"")&lt;&gt;"Yes"),"Paid From / Deposited To is not a payment account","")))))))))))</f>
        <v/>
      </c>
      <c r="Z915" s="67">
        <f>IF(AND(T915=0,X915=""),1,0)</f>
        <v/>
      </c>
      <c r="AA915" s="68">
        <f>IF(Z915=1,IF(U915="In",L915,L915-W915),0)</f>
        <v/>
      </c>
      <c r="AB915" s="68">
        <f>IF(Z915=1,IF(U915="In",L915-W915,L915),0)</f>
        <v/>
      </c>
      <c r="AC915" s="68">
        <f>IF(AND(Z915=1,U915="Out"),W915,0)</f>
        <v/>
      </c>
      <c r="AD915" s="68">
        <f>IF(AND(Z915=1,U915="In"),W915,0)</f>
        <v/>
      </c>
    </row>
    <row r="916">
      <c r="B916" s="62" t="inlineStr">
        <is>
          <t>TX-0910</t>
        </is>
      </c>
      <c r="C916" s="63" t="n"/>
      <c r="D916" s="62" t="n"/>
      <c r="E916" s="62" t="n"/>
      <c r="F916" s="62" t="n"/>
      <c r="G916" s="62" t="n"/>
      <c r="H916" s="62" t="n"/>
      <c r="I916" s="62" t="n"/>
      <c r="J916" s="62" t="n"/>
      <c r="K916" s="62" t="n"/>
      <c r="L916" s="64" t="n"/>
      <c r="M916" s="64" t="n"/>
      <c r="N916" s="62" t="n"/>
      <c r="O916" s="65">
        <f>IF(Z916=1,L916-W916,"")</f>
        <v/>
      </c>
      <c r="P916" s="66">
        <f>IF(V916="","",IFERROR(INDEX(coa_Type,MATCH(V916,coa_Name,0)),""))</f>
        <v/>
      </c>
      <c r="Q916" s="66">
        <f>IF(Z916=1,IF(U916="In",K916&amp;"",V916),"")</f>
        <v/>
      </c>
      <c r="R916" s="66">
        <f>IF(Z916=1,IF(U916="In",V916,K916&amp;""),"")</f>
        <v/>
      </c>
      <c r="S916" s="66">
        <f>IF(X916&lt;&gt;"","⛔ "&amp;X916&amp;" — not posted",IF(Y916&lt;&gt;"","⚠ "&amp;Y916,IF(Z916=1,"✓ OK","")))</f>
        <v/>
      </c>
      <c r="T916" s="67">
        <f>IF(AND(C916="",D916="",E916="",L916="",K916=""),1,0)</f>
        <v/>
      </c>
      <c r="U916" s="67">
        <f>IFERROR(INDEX(tt_Dir,MATCH(D916,tt_Type,0)),"")</f>
        <v/>
      </c>
      <c r="V916" s="67">
        <f>IF(D916="","",IFERROR(IF(INDEX(tt_Other,MATCH(D916,tt_Type,0))="",E916&amp;"",INDEX(tt_Other,MATCH(D916,tt_Type,0))),""))</f>
        <v/>
      </c>
      <c r="W916" s="68">
        <f>IF(OR(TaxOn&lt;&gt;"Yes",NOT(ISNUMBER(M916))),0,IF(IFERROR(INDEX(tt_Tax,MATCH(D916,tt_Type,0)),"No")="Yes",M916,0))</f>
        <v/>
      </c>
      <c r="X916" s="67">
        <f>IF(T916=1,"",IF(C916="","Missing transaction date",IF(NOT(ISNUMBER(C916)),"Invalid date",IF(OR(C916&lt;DATE(2000,1,1),C916&gt;DATE(2099,12,31)),"Invalid date",IF(D916="","Select a type",IF(U916="","Unknown type: "&amp;D916,IF(V916="","Select an account (Category)",IF(ISNA(MATCH(V916,coa_Name,0)),"Unknown account: "&amp;V916,IF(K916="","Select Paid From / Deposited To",IF(ISNA(MATCH(K916,coa_Name,0)),"Unknown account: "&amp;K916,IF(NOT(ISNUMBER(L916)),"Enter an amount",IF(L916=0,"Enter an amount",IF(ABS(W916)&gt;ABS(L916),"Tax is larger than the amount","")))))))))))))</f>
        <v/>
      </c>
      <c r="Y916" s="67">
        <f>IF(OR(T916=1,X916&lt;&gt;""),"",IF(AND(B916&lt;&gt;"",COUNTIF(tx_ID,B916)&gt;1),"Duplicate transaction ID",IF(AND(L916&lt;0,D916&lt;&gt;"Adjustment"),"Negative amount — check this entry",IF(AND(D916="Customer Payment",G916=""),"Add the customer",IF(AND(D916="Customer Payment",OR(J916="",COUNTIF(ar_No,J916&amp;"")=0)),"Invoice # in Reference not found on AR sheet",IF(AND(D916="Bill Payment",H916=""),"Add the vendor",IF(AND(D916="Bill Payment",OR(J916="",COUNTIFS(ap_No,J916&amp;"",ap_Party,H916&amp;"")=0)),"Bill # + vendor not found on AP sheet",IF(AND(ISNUMBER(M916),N(M916)&lt;&gt;0,W916=0),"Tax ignored (tax tracking off, or not allowed for this type)",IF(V916=K916&amp;"","Same account on both sides",IF(AND(ISNUMBER(StartDate),C916&lt;StartDate),"Date is before the accounting start date",IF(AND(D916&lt;&gt;"Adjustment",IFERROR(INDEX(coa_Pay,MATCH(K916&amp;"",coa_Name,0)),"")&lt;&gt;"Yes"),"Paid From / Deposited To is not a payment account","")))))))))))</f>
        <v/>
      </c>
      <c r="Z916" s="67">
        <f>IF(AND(T916=0,X916=""),1,0)</f>
        <v/>
      </c>
      <c r="AA916" s="68">
        <f>IF(Z916=1,IF(U916="In",L916,L916-W916),0)</f>
        <v/>
      </c>
      <c r="AB916" s="68">
        <f>IF(Z916=1,IF(U916="In",L916-W916,L916),0)</f>
        <v/>
      </c>
      <c r="AC916" s="68">
        <f>IF(AND(Z916=1,U916="Out"),W916,0)</f>
        <v/>
      </c>
      <c r="AD916" s="68">
        <f>IF(AND(Z916=1,U916="In"),W916,0)</f>
        <v/>
      </c>
    </row>
    <row r="917">
      <c r="B917" s="62" t="inlineStr">
        <is>
          <t>TX-0911</t>
        </is>
      </c>
      <c r="C917" s="63" t="n"/>
      <c r="D917" s="62" t="n"/>
      <c r="E917" s="62" t="n"/>
      <c r="F917" s="62" t="n"/>
      <c r="G917" s="62" t="n"/>
      <c r="H917" s="62" t="n"/>
      <c r="I917" s="62" t="n"/>
      <c r="J917" s="62" t="n"/>
      <c r="K917" s="62" t="n"/>
      <c r="L917" s="64" t="n"/>
      <c r="M917" s="64" t="n"/>
      <c r="N917" s="62" t="n"/>
      <c r="O917" s="65">
        <f>IF(Z917=1,L917-W917,"")</f>
        <v/>
      </c>
      <c r="P917" s="66">
        <f>IF(V917="","",IFERROR(INDEX(coa_Type,MATCH(V917,coa_Name,0)),""))</f>
        <v/>
      </c>
      <c r="Q917" s="66">
        <f>IF(Z917=1,IF(U917="In",K917&amp;"",V917),"")</f>
        <v/>
      </c>
      <c r="R917" s="66">
        <f>IF(Z917=1,IF(U917="In",V917,K917&amp;""),"")</f>
        <v/>
      </c>
      <c r="S917" s="66">
        <f>IF(X917&lt;&gt;"","⛔ "&amp;X917&amp;" — not posted",IF(Y917&lt;&gt;"","⚠ "&amp;Y917,IF(Z917=1,"✓ OK","")))</f>
        <v/>
      </c>
      <c r="T917" s="67">
        <f>IF(AND(C917="",D917="",E917="",L917="",K917=""),1,0)</f>
        <v/>
      </c>
      <c r="U917" s="67">
        <f>IFERROR(INDEX(tt_Dir,MATCH(D917,tt_Type,0)),"")</f>
        <v/>
      </c>
      <c r="V917" s="67">
        <f>IF(D917="","",IFERROR(IF(INDEX(tt_Other,MATCH(D917,tt_Type,0))="",E917&amp;"",INDEX(tt_Other,MATCH(D917,tt_Type,0))),""))</f>
        <v/>
      </c>
      <c r="W917" s="68">
        <f>IF(OR(TaxOn&lt;&gt;"Yes",NOT(ISNUMBER(M917))),0,IF(IFERROR(INDEX(tt_Tax,MATCH(D917,tt_Type,0)),"No")="Yes",M917,0))</f>
        <v/>
      </c>
      <c r="X917" s="67">
        <f>IF(T917=1,"",IF(C917="","Missing transaction date",IF(NOT(ISNUMBER(C917)),"Invalid date",IF(OR(C917&lt;DATE(2000,1,1),C917&gt;DATE(2099,12,31)),"Invalid date",IF(D917="","Select a type",IF(U917="","Unknown type: "&amp;D917,IF(V917="","Select an account (Category)",IF(ISNA(MATCH(V917,coa_Name,0)),"Unknown account: "&amp;V917,IF(K917="","Select Paid From / Deposited To",IF(ISNA(MATCH(K917,coa_Name,0)),"Unknown account: "&amp;K917,IF(NOT(ISNUMBER(L917)),"Enter an amount",IF(L917=0,"Enter an amount",IF(ABS(W917)&gt;ABS(L917),"Tax is larger than the amount","")))))))))))))</f>
        <v/>
      </c>
      <c r="Y917" s="67">
        <f>IF(OR(T917=1,X917&lt;&gt;""),"",IF(AND(B917&lt;&gt;"",COUNTIF(tx_ID,B917)&gt;1),"Duplicate transaction ID",IF(AND(L917&lt;0,D917&lt;&gt;"Adjustment"),"Negative amount — check this entry",IF(AND(D917="Customer Payment",G917=""),"Add the customer",IF(AND(D917="Customer Payment",OR(J917="",COUNTIF(ar_No,J917&amp;"")=0)),"Invoice # in Reference not found on AR sheet",IF(AND(D917="Bill Payment",H917=""),"Add the vendor",IF(AND(D917="Bill Payment",OR(J917="",COUNTIFS(ap_No,J917&amp;"",ap_Party,H917&amp;"")=0)),"Bill # + vendor not found on AP sheet",IF(AND(ISNUMBER(M917),N(M917)&lt;&gt;0,W917=0),"Tax ignored (tax tracking off, or not allowed for this type)",IF(V917=K917&amp;"","Same account on both sides",IF(AND(ISNUMBER(StartDate),C917&lt;StartDate),"Date is before the accounting start date",IF(AND(D917&lt;&gt;"Adjustment",IFERROR(INDEX(coa_Pay,MATCH(K917&amp;"",coa_Name,0)),"")&lt;&gt;"Yes"),"Paid From / Deposited To is not a payment account","")))))))))))</f>
        <v/>
      </c>
      <c r="Z917" s="67">
        <f>IF(AND(T917=0,X917=""),1,0)</f>
        <v/>
      </c>
      <c r="AA917" s="68">
        <f>IF(Z917=1,IF(U917="In",L917,L917-W917),0)</f>
        <v/>
      </c>
      <c r="AB917" s="68">
        <f>IF(Z917=1,IF(U917="In",L917-W917,L917),0)</f>
        <v/>
      </c>
      <c r="AC917" s="68">
        <f>IF(AND(Z917=1,U917="Out"),W917,0)</f>
        <v/>
      </c>
      <c r="AD917" s="68">
        <f>IF(AND(Z917=1,U917="In"),W917,0)</f>
        <v/>
      </c>
    </row>
    <row r="918">
      <c r="B918" s="62" t="inlineStr">
        <is>
          <t>TX-0912</t>
        </is>
      </c>
      <c r="C918" s="63" t="n"/>
      <c r="D918" s="62" t="n"/>
      <c r="E918" s="62" t="n"/>
      <c r="F918" s="62" t="n"/>
      <c r="G918" s="62" t="n"/>
      <c r="H918" s="62" t="n"/>
      <c r="I918" s="62" t="n"/>
      <c r="J918" s="62" t="n"/>
      <c r="K918" s="62" t="n"/>
      <c r="L918" s="64" t="n"/>
      <c r="M918" s="64" t="n"/>
      <c r="N918" s="62" t="n"/>
      <c r="O918" s="65">
        <f>IF(Z918=1,L918-W918,"")</f>
        <v/>
      </c>
      <c r="P918" s="66">
        <f>IF(V918="","",IFERROR(INDEX(coa_Type,MATCH(V918,coa_Name,0)),""))</f>
        <v/>
      </c>
      <c r="Q918" s="66">
        <f>IF(Z918=1,IF(U918="In",K918&amp;"",V918),"")</f>
        <v/>
      </c>
      <c r="R918" s="66">
        <f>IF(Z918=1,IF(U918="In",V918,K918&amp;""),"")</f>
        <v/>
      </c>
      <c r="S918" s="66">
        <f>IF(X918&lt;&gt;"","⛔ "&amp;X918&amp;" — not posted",IF(Y918&lt;&gt;"","⚠ "&amp;Y918,IF(Z918=1,"✓ OK","")))</f>
        <v/>
      </c>
      <c r="T918" s="67">
        <f>IF(AND(C918="",D918="",E918="",L918="",K918=""),1,0)</f>
        <v/>
      </c>
      <c r="U918" s="67">
        <f>IFERROR(INDEX(tt_Dir,MATCH(D918,tt_Type,0)),"")</f>
        <v/>
      </c>
      <c r="V918" s="67">
        <f>IF(D918="","",IFERROR(IF(INDEX(tt_Other,MATCH(D918,tt_Type,0))="",E918&amp;"",INDEX(tt_Other,MATCH(D918,tt_Type,0))),""))</f>
        <v/>
      </c>
      <c r="W918" s="68">
        <f>IF(OR(TaxOn&lt;&gt;"Yes",NOT(ISNUMBER(M918))),0,IF(IFERROR(INDEX(tt_Tax,MATCH(D918,tt_Type,0)),"No")="Yes",M918,0))</f>
        <v/>
      </c>
      <c r="X918" s="67">
        <f>IF(T918=1,"",IF(C918="","Missing transaction date",IF(NOT(ISNUMBER(C918)),"Invalid date",IF(OR(C918&lt;DATE(2000,1,1),C918&gt;DATE(2099,12,31)),"Invalid date",IF(D918="","Select a type",IF(U918="","Unknown type: "&amp;D918,IF(V918="","Select an account (Category)",IF(ISNA(MATCH(V918,coa_Name,0)),"Unknown account: "&amp;V918,IF(K918="","Select Paid From / Deposited To",IF(ISNA(MATCH(K918,coa_Name,0)),"Unknown account: "&amp;K918,IF(NOT(ISNUMBER(L918)),"Enter an amount",IF(L918=0,"Enter an amount",IF(ABS(W918)&gt;ABS(L918),"Tax is larger than the amount","")))))))))))))</f>
        <v/>
      </c>
      <c r="Y918" s="67">
        <f>IF(OR(T918=1,X918&lt;&gt;""),"",IF(AND(B918&lt;&gt;"",COUNTIF(tx_ID,B918)&gt;1),"Duplicate transaction ID",IF(AND(L918&lt;0,D918&lt;&gt;"Adjustment"),"Negative amount — check this entry",IF(AND(D918="Customer Payment",G918=""),"Add the customer",IF(AND(D918="Customer Payment",OR(J918="",COUNTIF(ar_No,J918&amp;"")=0)),"Invoice # in Reference not found on AR sheet",IF(AND(D918="Bill Payment",H918=""),"Add the vendor",IF(AND(D918="Bill Payment",OR(J918="",COUNTIFS(ap_No,J918&amp;"",ap_Party,H918&amp;"")=0)),"Bill # + vendor not found on AP sheet",IF(AND(ISNUMBER(M918),N(M918)&lt;&gt;0,W918=0),"Tax ignored (tax tracking off, or not allowed for this type)",IF(V918=K918&amp;"","Same account on both sides",IF(AND(ISNUMBER(StartDate),C918&lt;StartDate),"Date is before the accounting start date",IF(AND(D918&lt;&gt;"Adjustment",IFERROR(INDEX(coa_Pay,MATCH(K918&amp;"",coa_Name,0)),"")&lt;&gt;"Yes"),"Paid From / Deposited To is not a payment account","")))))))))))</f>
        <v/>
      </c>
      <c r="Z918" s="67">
        <f>IF(AND(T918=0,X918=""),1,0)</f>
        <v/>
      </c>
      <c r="AA918" s="68">
        <f>IF(Z918=1,IF(U918="In",L918,L918-W918),0)</f>
        <v/>
      </c>
      <c r="AB918" s="68">
        <f>IF(Z918=1,IF(U918="In",L918-W918,L918),0)</f>
        <v/>
      </c>
      <c r="AC918" s="68">
        <f>IF(AND(Z918=1,U918="Out"),W918,0)</f>
        <v/>
      </c>
      <c r="AD918" s="68">
        <f>IF(AND(Z918=1,U918="In"),W918,0)</f>
        <v/>
      </c>
    </row>
    <row r="919">
      <c r="B919" s="62" t="inlineStr">
        <is>
          <t>TX-0913</t>
        </is>
      </c>
      <c r="C919" s="63" t="n"/>
      <c r="D919" s="62" t="n"/>
      <c r="E919" s="62" t="n"/>
      <c r="F919" s="62" t="n"/>
      <c r="G919" s="62" t="n"/>
      <c r="H919" s="62" t="n"/>
      <c r="I919" s="62" t="n"/>
      <c r="J919" s="62" t="n"/>
      <c r="K919" s="62" t="n"/>
      <c r="L919" s="64" t="n"/>
      <c r="M919" s="64" t="n"/>
      <c r="N919" s="62" t="n"/>
      <c r="O919" s="65">
        <f>IF(Z919=1,L919-W919,"")</f>
        <v/>
      </c>
      <c r="P919" s="66">
        <f>IF(V919="","",IFERROR(INDEX(coa_Type,MATCH(V919,coa_Name,0)),""))</f>
        <v/>
      </c>
      <c r="Q919" s="66">
        <f>IF(Z919=1,IF(U919="In",K919&amp;"",V919),"")</f>
        <v/>
      </c>
      <c r="R919" s="66">
        <f>IF(Z919=1,IF(U919="In",V919,K919&amp;""),"")</f>
        <v/>
      </c>
      <c r="S919" s="66">
        <f>IF(X919&lt;&gt;"","⛔ "&amp;X919&amp;" — not posted",IF(Y919&lt;&gt;"","⚠ "&amp;Y919,IF(Z919=1,"✓ OK","")))</f>
        <v/>
      </c>
      <c r="T919" s="67">
        <f>IF(AND(C919="",D919="",E919="",L919="",K919=""),1,0)</f>
        <v/>
      </c>
      <c r="U919" s="67">
        <f>IFERROR(INDEX(tt_Dir,MATCH(D919,tt_Type,0)),"")</f>
        <v/>
      </c>
      <c r="V919" s="67">
        <f>IF(D919="","",IFERROR(IF(INDEX(tt_Other,MATCH(D919,tt_Type,0))="",E919&amp;"",INDEX(tt_Other,MATCH(D919,tt_Type,0))),""))</f>
        <v/>
      </c>
      <c r="W919" s="68">
        <f>IF(OR(TaxOn&lt;&gt;"Yes",NOT(ISNUMBER(M919))),0,IF(IFERROR(INDEX(tt_Tax,MATCH(D919,tt_Type,0)),"No")="Yes",M919,0))</f>
        <v/>
      </c>
      <c r="X919" s="67">
        <f>IF(T919=1,"",IF(C919="","Missing transaction date",IF(NOT(ISNUMBER(C919)),"Invalid date",IF(OR(C919&lt;DATE(2000,1,1),C919&gt;DATE(2099,12,31)),"Invalid date",IF(D919="","Select a type",IF(U919="","Unknown type: "&amp;D919,IF(V919="","Select an account (Category)",IF(ISNA(MATCH(V919,coa_Name,0)),"Unknown account: "&amp;V919,IF(K919="","Select Paid From / Deposited To",IF(ISNA(MATCH(K919,coa_Name,0)),"Unknown account: "&amp;K919,IF(NOT(ISNUMBER(L919)),"Enter an amount",IF(L919=0,"Enter an amount",IF(ABS(W919)&gt;ABS(L919),"Tax is larger than the amount","")))))))))))))</f>
        <v/>
      </c>
      <c r="Y919" s="67">
        <f>IF(OR(T919=1,X919&lt;&gt;""),"",IF(AND(B919&lt;&gt;"",COUNTIF(tx_ID,B919)&gt;1),"Duplicate transaction ID",IF(AND(L919&lt;0,D919&lt;&gt;"Adjustment"),"Negative amount — check this entry",IF(AND(D919="Customer Payment",G919=""),"Add the customer",IF(AND(D919="Customer Payment",OR(J919="",COUNTIF(ar_No,J919&amp;"")=0)),"Invoice # in Reference not found on AR sheet",IF(AND(D919="Bill Payment",H919=""),"Add the vendor",IF(AND(D919="Bill Payment",OR(J919="",COUNTIFS(ap_No,J919&amp;"",ap_Party,H919&amp;"")=0)),"Bill # + vendor not found on AP sheet",IF(AND(ISNUMBER(M919),N(M919)&lt;&gt;0,W919=0),"Tax ignored (tax tracking off, or not allowed for this type)",IF(V919=K919&amp;"","Same account on both sides",IF(AND(ISNUMBER(StartDate),C919&lt;StartDate),"Date is before the accounting start date",IF(AND(D919&lt;&gt;"Adjustment",IFERROR(INDEX(coa_Pay,MATCH(K919&amp;"",coa_Name,0)),"")&lt;&gt;"Yes"),"Paid From / Deposited To is not a payment account","")))))))))))</f>
        <v/>
      </c>
      <c r="Z919" s="67">
        <f>IF(AND(T919=0,X919=""),1,0)</f>
        <v/>
      </c>
      <c r="AA919" s="68">
        <f>IF(Z919=1,IF(U919="In",L919,L919-W919),0)</f>
        <v/>
      </c>
      <c r="AB919" s="68">
        <f>IF(Z919=1,IF(U919="In",L919-W919,L919),0)</f>
        <v/>
      </c>
      <c r="AC919" s="68">
        <f>IF(AND(Z919=1,U919="Out"),W919,0)</f>
        <v/>
      </c>
      <c r="AD919" s="68">
        <f>IF(AND(Z919=1,U919="In"),W919,0)</f>
        <v/>
      </c>
    </row>
    <row r="920">
      <c r="B920" s="62" t="inlineStr">
        <is>
          <t>TX-0914</t>
        </is>
      </c>
      <c r="C920" s="63" t="n"/>
      <c r="D920" s="62" t="n"/>
      <c r="E920" s="62" t="n"/>
      <c r="F920" s="62" t="n"/>
      <c r="G920" s="62" t="n"/>
      <c r="H920" s="62" t="n"/>
      <c r="I920" s="62" t="n"/>
      <c r="J920" s="62" t="n"/>
      <c r="K920" s="62" t="n"/>
      <c r="L920" s="64" t="n"/>
      <c r="M920" s="64" t="n"/>
      <c r="N920" s="62" t="n"/>
      <c r="O920" s="65">
        <f>IF(Z920=1,L920-W920,"")</f>
        <v/>
      </c>
      <c r="P920" s="66">
        <f>IF(V920="","",IFERROR(INDEX(coa_Type,MATCH(V920,coa_Name,0)),""))</f>
        <v/>
      </c>
      <c r="Q920" s="66">
        <f>IF(Z920=1,IF(U920="In",K920&amp;"",V920),"")</f>
        <v/>
      </c>
      <c r="R920" s="66">
        <f>IF(Z920=1,IF(U920="In",V920,K920&amp;""),"")</f>
        <v/>
      </c>
      <c r="S920" s="66">
        <f>IF(X920&lt;&gt;"","⛔ "&amp;X920&amp;" — not posted",IF(Y920&lt;&gt;"","⚠ "&amp;Y920,IF(Z920=1,"✓ OK","")))</f>
        <v/>
      </c>
      <c r="T920" s="67">
        <f>IF(AND(C920="",D920="",E920="",L920="",K920=""),1,0)</f>
        <v/>
      </c>
      <c r="U920" s="67">
        <f>IFERROR(INDEX(tt_Dir,MATCH(D920,tt_Type,0)),"")</f>
        <v/>
      </c>
      <c r="V920" s="67">
        <f>IF(D920="","",IFERROR(IF(INDEX(tt_Other,MATCH(D920,tt_Type,0))="",E920&amp;"",INDEX(tt_Other,MATCH(D920,tt_Type,0))),""))</f>
        <v/>
      </c>
      <c r="W920" s="68">
        <f>IF(OR(TaxOn&lt;&gt;"Yes",NOT(ISNUMBER(M920))),0,IF(IFERROR(INDEX(tt_Tax,MATCH(D920,tt_Type,0)),"No")="Yes",M920,0))</f>
        <v/>
      </c>
      <c r="X920" s="67">
        <f>IF(T920=1,"",IF(C920="","Missing transaction date",IF(NOT(ISNUMBER(C920)),"Invalid date",IF(OR(C920&lt;DATE(2000,1,1),C920&gt;DATE(2099,12,31)),"Invalid date",IF(D920="","Select a type",IF(U920="","Unknown type: "&amp;D920,IF(V920="","Select an account (Category)",IF(ISNA(MATCH(V920,coa_Name,0)),"Unknown account: "&amp;V920,IF(K920="","Select Paid From / Deposited To",IF(ISNA(MATCH(K920,coa_Name,0)),"Unknown account: "&amp;K920,IF(NOT(ISNUMBER(L920)),"Enter an amount",IF(L920=0,"Enter an amount",IF(ABS(W920)&gt;ABS(L920),"Tax is larger than the amount","")))))))))))))</f>
        <v/>
      </c>
      <c r="Y920" s="67">
        <f>IF(OR(T920=1,X920&lt;&gt;""),"",IF(AND(B920&lt;&gt;"",COUNTIF(tx_ID,B920)&gt;1),"Duplicate transaction ID",IF(AND(L920&lt;0,D920&lt;&gt;"Adjustment"),"Negative amount — check this entry",IF(AND(D920="Customer Payment",G920=""),"Add the customer",IF(AND(D920="Customer Payment",OR(J920="",COUNTIF(ar_No,J920&amp;"")=0)),"Invoice # in Reference not found on AR sheet",IF(AND(D920="Bill Payment",H920=""),"Add the vendor",IF(AND(D920="Bill Payment",OR(J920="",COUNTIFS(ap_No,J920&amp;"",ap_Party,H920&amp;"")=0)),"Bill # + vendor not found on AP sheet",IF(AND(ISNUMBER(M920),N(M920)&lt;&gt;0,W920=0),"Tax ignored (tax tracking off, or not allowed for this type)",IF(V920=K920&amp;"","Same account on both sides",IF(AND(ISNUMBER(StartDate),C920&lt;StartDate),"Date is before the accounting start date",IF(AND(D920&lt;&gt;"Adjustment",IFERROR(INDEX(coa_Pay,MATCH(K920&amp;"",coa_Name,0)),"")&lt;&gt;"Yes"),"Paid From / Deposited To is not a payment account","")))))))))))</f>
        <v/>
      </c>
      <c r="Z920" s="67">
        <f>IF(AND(T920=0,X920=""),1,0)</f>
        <v/>
      </c>
      <c r="AA920" s="68">
        <f>IF(Z920=1,IF(U920="In",L920,L920-W920),0)</f>
        <v/>
      </c>
      <c r="AB920" s="68">
        <f>IF(Z920=1,IF(U920="In",L920-W920,L920),0)</f>
        <v/>
      </c>
      <c r="AC920" s="68">
        <f>IF(AND(Z920=1,U920="Out"),W920,0)</f>
        <v/>
      </c>
      <c r="AD920" s="68">
        <f>IF(AND(Z920=1,U920="In"),W920,0)</f>
        <v/>
      </c>
    </row>
    <row r="921">
      <c r="B921" s="62" t="inlineStr">
        <is>
          <t>TX-0915</t>
        </is>
      </c>
      <c r="C921" s="63" t="n"/>
      <c r="D921" s="62" t="n"/>
      <c r="E921" s="62" t="n"/>
      <c r="F921" s="62" t="n"/>
      <c r="G921" s="62" t="n"/>
      <c r="H921" s="62" t="n"/>
      <c r="I921" s="62" t="n"/>
      <c r="J921" s="62" t="n"/>
      <c r="K921" s="62" t="n"/>
      <c r="L921" s="64" t="n"/>
      <c r="M921" s="64" t="n"/>
      <c r="N921" s="62" t="n"/>
      <c r="O921" s="65">
        <f>IF(Z921=1,L921-W921,"")</f>
        <v/>
      </c>
      <c r="P921" s="66">
        <f>IF(V921="","",IFERROR(INDEX(coa_Type,MATCH(V921,coa_Name,0)),""))</f>
        <v/>
      </c>
      <c r="Q921" s="66">
        <f>IF(Z921=1,IF(U921="In",K921&amp;"",V921),"")</f>
        <v/>
      </c>
      <c r="R921" s="66">
        <f>IF(Z921=1,IF(U921="In",V921,K921&amp;""),"")</f>
        <v/>
      </c>
      <c r="S921" s="66">
        <f>IF(X921&lt;&gt;"","⛔ "&amp;X921&amp;" — not posted",IF(Y921&lt;&gt;"","⚠ "&amp;Y921,IF(Z921=1,"✓ OK","")))</f>
        <v/>
      </c>
      <c r="T921" s="67">
        <f>IF(AND(C921="",D921="",E921="",L921="",K921=""),1,0)</f>
        <v/>
      </c>
      <c r="U921" s="67">
        <f>IFERROR(INDEX(tt_Dir,MATCH(D921,tt_Type,0)),"")</f>
        <v/>
      </c>
      <c r="V921" s="67">
        <f>IF(D921="","",IFERROR(IF(INDEX(tt_Other,MATCH(D921,tt_Type,0))="",E921&amp;"",INDEX(tt_Other,MATCH(D921,tt_Type,0))),""))</f>
        <v/>
      </c>
      <c r="W921" s="68">
        <f>IF(OR(TaxOn&lt;&gt;"Yes",NOT(ISNUMBER(M921))),0,IF(IFERROR(INDEX(tt_Tax,MATCH(D921,tt_Type,0)),"No")="Yes",M921,0))</f>
        <v/>
      </c>
      <c r="X921" s="67">
        <f>IF(T921=1,"",IF(C921="","Missing transaction date",IF(NOT(ISNUMBER(C921)),"Invalid date",IF(OR(C921&lt;DATE(2000,1,1),C921&gt;DATE(2099,12,31)),"Invalid date",IF(D921="","Select a type",IF(U921="","Unknown type: "&amp;D921,IF(V921="","Select an account (Category)",IF(ISNA(MATCH(V921,coa_Name,0)),"Unknown account: "&amp;V921,IF(K921="","Select Paid From / Deposited To",IF(ISNA(MATCH(K921,coa_Name,0)),"Unknown account: "&amp;K921,IF(NOT(ISNUMBER(L921)),"Enter an amount",IF(L921=0,"Enter an amount",IF(ABS(W921)&gt;ABS(L921),"Tax is larger than the amount","")))))))))))))</f>
        <v/>
      </c>
      <c r="Y921" s="67">
        <f>IF(OR(T921=1,X921&lt;&gt;""),"",IF(AND(B921&lt;&gt;"",COUNTIF(tx_ID,B921)&gt;1),"Duplicate transaction ID",IF(AND(L921&lt;0,D921&lt;&gt;"Adjustment"),"Negative amount — check this entry",IF(AND(D921="Customer Payment",G921=""),"Add the customer",IF(AND(D921="Customer Payment",OR(J921="",COUNTIF(ar_No,J921&amp;"")=0)),"Invoice # in Reference not found on AR sheet",IF(AND(D921="Bill Payment",H921=""),"Add the vendor",IF(AND(D921="Bill Payment",OR(J921="",COUNTIFS(ap_No,J921&amp;"",ap_Party,H921&amp;"")=0)),"Bill # + vendor not found on AP sheet",IF(AND(ISNUMBER(M921),N(M921)&lt;&gt;0,W921=0),"Tax ignored (tax tracking off, or not allowed for this type)",IF(V921=K921&amp;"","Same account on both sides",IF(AND(ISNUMBER(StartDate),C921&lt;StartDate),"Date is before the accounting start date",IF(AND(D921&lt;&gt;"Adjustment",IFERROR(INDEX(coa_Pay,MATCH(K921&amp;"",coa_Name,0)),"")&lt;&gt;"Yes"),"Paid From / Deposited To is not a payment account","")))))))))))</f>
        <v/>
      </c>
      <c r="Z921" s="67">
        <f>IF(AND(T921=0,X921=""),1,0)</f>
        <v/>
      </c>
      <c r="AA921" s="68">
        <f>IF(Z921=1,IF(U921="In",L921,L921-W921),0)</f>
        <v/>
      </c>
      <c r="AB921" s="68">
        <f>IF(Z921=1,IF(U921="In",L921-W921,L921),0)</f>
        <v/>
      </c>
      <c r="AC921" s="68">
        <f>IF(AND(Z921=1,U921="Out"),W921,0)</f>
        <v/>
      </c>
      <c r="AD921" s="68">
        <f>IF(AND(Z921=1,U921="In"),W921,0)</f>
        <v/>
      </c>
    </row>
    <row r="922">
      <c r="B922" s="62" t="inlineStr">
        <is>
          <t>TX-0916</t>
        </is>
      </c>
      <c r="C922" s="63" t="n"/>
      <c r="D922" s="62" t="n"/>
      <c r="E922" s="62" t="n"/>
      <c r="F922" s="62" t="n"/>
      <c r="G922" s="62" t="n"/>
      <c r="H922" s="62" t="n"/>
      <c r="I922" s="62" t="n"/>
      <c r="J922" s="62" t="n"/>
      <c r="K922" s="62" t="n"/>
      <c r="L922" s="64" t="n"/>
      <c r="M922" s="64" t="n"/>
      <c r="N922" s="62" t="n"/>
      <c r="O922" s="65">
        <f>IF(Z922=1,L922-W922,"")</f>
        <v/>
      </c>
      <c r="P922" s="66">
        <f>IF(V922="","",IFERROR(INDEX(coa_Type,MATCH(V922,coa_Name,0)),""))</f>
        <v/>
      </c>
      <c r="Q922" s="66">
        <f>IF(Z922=1,IF(U922="In",K922&amp;"",V922),"")</f>
        <v/>
      </c>
      <c r="R922" s="66">
        <f>IF(Z922=1,IF(U922="In",V922,K922&amp;""),"")</f>
        <v/>
      </c>
      <c r="S922" s="66">
        <f>IF(X922&lt;&gt;"","⛔ "&amp;X922&amp;" — not posted",IF(Y922&lt;&gt;"","⚠ "&amp;Y922,IF(Z922=1,"✓ OK","")))</f>
        <v/>
      </c>
      <c r="T922" s="67">
        <f>IF(AND(C922="",D922="",E922="",L922="",K922=""),1,0)</f>
        <v/>
      </c>
      <c r="U922" s="67">
        <f>IFERROR(INDEX(tt_Dir,MATCH(D922,tt_Type,0)),"")</f>
        <v/>
      </c>
      <c r="V922" s="67">
        <f>IF(D922="","",IFERROR(IF(INDEX(tt_Other,MATCH(D922,tt_Type,0))="",E922&amp;"",INDEX(tt_Other,MATCH(D922,tt_Type,0))),""))</f>
        <v/>
      </c>
      <c r="W922" s="68">
        <f>IF(OR(TaxOn&lt;&gt;"Yes",NOT(ISNUMBER(M922))),0,IF(IFERROR(INDEX(tt_Tax,MATCH(D922,tt_Type,0)),"No")="Yes",M922,0))</f>
        <v/>
      </c>
      <c r="X922" s="67">
        <f>IF(T922=1,"",IF(C922="","Missing transaction date",IF(NOT(ISNUMBER(C922)),"Invalid date",IF(OR(C922&lt;DATE(2000,1,1),C922&gt;DATE(2099,12,31)),"Invalid date",IF(D922="","Select a type",IF(U922="","Unknown type: "&amp;D922,IF(V922="","Select an account (Category)",IF(ISNA(MATCH(V922,coa_Name,0)),"Unknown account: "&amp;V922,IF(K922="","Select Paid From / Deposited To",IF(ISNA(MATCH(K922,coa_Name,0)),"Unknown account: "&amp;K922,IF(NOT(ISNUMBER(L922)),"Enter an amount",IF(L922=0,"Enter an amount",IF(ABS(W922)&gt;ABS(L922),"Tax is larger than the amount","")))))))))))))</f>
        <v/>
      </c>
      <c r="Y922" s="67">
        <f>IF(OR(T922=1,X922&lt;&gt;""),"",IF(AND(B922&lt;&gt;"",COUNTIF(tx_ID,B922)&gt;1),"Duplicate transaction ID",IF(AND(L922&lt;0,D922&lt;&gt;"Adjustment"),"Negative amount — check this entry",IF(AND(D922="Customer Payment",G922=""),"Add the customer",IF(AND(D922="Customer Payment",OR(J922="",COUNTIF(ar_No,J922&amp;"")=0)),"Invoice # in Reference not found on AR sheet",IF(AND(D922="Bill Payment",H922=""),"Add the vendor",IF(AND(D922="Bill Payment",OR(J922="",COUNTIFS(ap_No,J922&amp;"",ap_Party,H922&amp;"")=0)),"Bill # + vendor not found on AP sheet",IF(AND(ISNUMBER(M922),N(M922)&lt;&gt;0,W922=0),"Tax ignored (tax tracking off, or not allowed for this type)",IF(V922=K922&amp;"","Same account on both sides",IF(AND(ISNUMBER(StartDate),C922&lt;StartDate),"Date is before the accounting start date",IF(AND(D922&lt;&gt;"Adjustment",IFERROR(INDEX(coa_Pay,MATCH(K922&amp;"",coa_Name,0)),"")&lt;&gt;"Yes"),"Paid From / Deposited To is not a payment account","")))))))))))</f>
        <v/>
      </c>
      <c r="Z922" s="67">
        <f>IF(AND(T922=0,X922=""),1,0)</f>
        <v/>
      </c>
      <c r="AA922" s="68">
        <f>IF(Z922=1,IF(U922="In",L922,L922-W922),0)</f>
        <v/>
      </c>
      <c r="AB922" s="68">
        <f>IF(Z922=1,IF(U922="In",L922-W922,L922),0)</f>
        <v/>
      </c>
      <c r="AC922" s="68">
        <f>IF(AND(Z922=1,U922="Out"),W922,0)</f>
        <v/>
      </c>
      <c r="AD922" s="68">
        <f>IF(AND(Z922=1,U922="In"),W922,0)</f>
        <v/>
      </c>
    </row>
    <row r="923">
      <c r="B923" s="62" t="inlineStr">
        <is>
          <t>TX-0917</t>
        </is>
      </c>
      <c r="C923" s="63" t="n"/>
      <c r="D923" s="62" t="n"/>
      <c r="E923" s="62" t="n"/>
      <c r="F923" s="62" t="n"/>
      <c r="G923" s="62" t="n"/>
      <c r="H923" s="62" t="n"/>
      <c r="I923" s="62" t="n"/>
      <c r="J923" s="62" t="n"/>
      <c r="K923" s="62" t="n"/>
      <c r="L923" s="64" t="n"/>
      <c r="M923" s="64" t="n"/>
      <c r="N923" s="62" t="n"/>
      <c r="O923" s="65">
        <f>IF(Z923=1,L923-W923,"")</f>
        <v/>
      </c>
      <c r="P923" s="66">
        <f>IF(V923="","",IFERROR(INDEX(coa_Type,MATCH(V923,coa_Name,0)),""))</f>
        <v/>
      </c>
      <c r="Q923" s="66">
        <f>IF(Z923=1,IF(U923="In",K923&amp;"",V923),"")</f>
        <v/>
      </c>
      <c r="R923" s="66">
        <f>IF(Z923=1,IF(U923="In",V923,K923&amp;""),"")</f>
        <v/>
      </c>
      <c r="S923" s="66">
        <f>IF(X923&lt;&gt;"","⛔ "&amp;X923&amp;" — not posted",IF(Y923&lt;&gt;"","⚠ "&amp;Y923,IF(Z923=1,"✓ OK","")))</f>
        <v/>
      </c>
      <c r="T923" s="67">
        <f>IF(AND(C923="",D923="",E923="",L923="",K923=""),1,0)</f>
        <v/>
      </c>
      <c r="U923" s="67">
        <f>IFERROR(INDEX(tt_Dir,MATCH(D923,tt_Type,0)),"")</f>
        <v/>
      </c>
      <c r="V923" s="67">
        <f>IF(D923="","",IFERROR(IF(INDEX(tt_Other,MATCH(D923,tt_Type,0))="",E923&amp;"",INDEX(tt_Other,MATCH(D923,tt_Type,0))),""))</f>
        <v/>
      </c>
      <c r="W923" s="68">
        <f>IF(OR(TaxOn&lt;&gt;"Yes",NOT(ISNUMBER(M923))),0,IF(IFERROR(INDEX(tt_Tax,MATCH(D923,tt_Type,0)),"No")="Yes",M923,0))</f>
        <v/>
      </c>
      <c r="X923" s="67">
        <f>IF(T923=1,"",IF(C923="","Missing transaction date",IF(NOT(ISNUMBER(C923)),"Invalid date",IF(OR(C923&lt;DATE(2000,1,1),C923&gt;DATE(2099,12,31)),"Invalid date",IF(D923="","Select a type",IF(U923="","Unknown type: "&amp;D923,IF(V923="","Select an account (Category)",IF(ISNA(MATCH(V923,coa_Name,0)),"Unknown account: "&amp;V923,IF(K923="","Select Paid From / Deposited To",IF(ISNA(MATCH(K923,coa_Name,0)),"Unknown account: "&amp;K923,IF(NOT(ISNUMBER(L923)),"Enter an amount",IF(L923=0,"Enter an amount",IF(ABS(W923)&gt;ABS(L923),"Tax is larger than the amount","")))))))))))))</f>
        <v/>
      </c>
      <c r="Y923" s="67">
        <f>IF(OR(T923=1,X923&lt;&gt;""),"",IF(AND(B923&lt;&gt;"",COUNTIF(tx_ID,B923)&gt;1),"Duplicate transaction ID",IF(AND(L923&lt;0,D923&lt;&gt;"Adjustment"),"Negative amount — check this entry",IF(AND(D923="Customer Payment",G923=""),"Add the customer",IF(AND(D923="Customer Payment",OR(J923="",COUNTIF(ar_No,J923&amp;"")=0)),"Invoice # in Reference not found on AR sheet",IF(AND(D923="Bill Payment",H923=""),"Add the vendor",IF(AND(D923="Bill Payment",OR(J923="",COUNTIFS(ap_No,J923&amp;"",ap_Party,H923&amp;"")=0)),"Bill # + vendor not found on AP sheet",IF(AND(ISNUMBER(M923),N(M923)&lt;&gt;0,W923=0),"Tax ignored (tax tracking off, or not allowed for this type)",IF(V923=K923&amp;"","Same account on both sides",IF(AND(ISNUMBER(StartDate),C923&lt;StartDate),"Date is before the accounting start date",IF(AND(D923&lt;&gt;"Adjustment",IFERROR(INDEX(coa_Pay,MATCH(K923&amp;"",coa_Name,0)),"")&lt;&gt;"Yes"),"Paid From / Deposited To is not a payment account","")))))))))))</f>
        <v/>
      </c>
      <c r="Z923" s="67">
        <f>IF(AND(T923=0,X923=""),1,0)</f>
        <v/>
      </c>
      <c r="AA923" s="68">
        <f>IF(Z923=1,IF(U923="In",L923,L923-W923),0)</f>
        <v/>
      </c>
      <c r="AB923" s="68">
        <f>IF(Z923=1,IF(U923="In",L923-W923,L923),0)</f>
        <v/>
      </c>
      <c r="AC923" s="68">
        <f>IF(AND(Z923=1,U923="Out"),W923,0)</f>
        <v/>
      </c>
      <c r="AD923" s="68">
        <f>IF(AND(Z923=1,U923="In"),W923,0)</f>
        <v/>
      </c>
    </row>
    <row r="924">
      <c r="B924" s="62" t="inlineStr">
        <is>
          <t>TX-0918</t>
        </is>
      </c>
      <c r="C924" s="63" t="n"/>
      <c r="D924" s="62" t="n"/>
      <c r="E924" s="62" t="n"/>
      <c r="F924" s="62" t="n"/>
      <c r="G924" s="62" t="n"/>
      <c r="H924" s="62" t="n"/>
      <c r="I924" s="62" t="n"/>
      <c r="J924" s="62" t="n"/>
      <c r="K924" s="62" t="n"/>
      <c r="L924" s="64" t="n"/>
      <c r="M924" s="64" t="n"/>
      <c r="N924" s="62" t="n"/>
      <c r="O924" s="65">
        <f>IF(Z924=1,L924-W924,"")</f>
        <v/>
      </c>
      <c r="P924" s="66">
        <f>IF(V924="","",IFERROR(INDEX(coa_Type,MATCH(V924,coa_Name,0)),""))</f>
        <v/>
      </c>
      <c r="Q924" s="66">
        <f>IF(Z924=1,IF(U924="In",K924&amp;"",V924),"")</f>
        <v/>
      </c>
      <c r="R924" s="66">
        <f>IF(Z924=1,IF(U924="In",V924,K924&amp;""),"")</f>
        <v/>
      </c>
      <c r="S924" s="66">
        <f>IF(X924&lt;&gt;"","⛔ "&amp;X924&amp;" — not posted",IF(Y924&lt;&gt;"","⚠ "&amp;Y924,IF(Z924=1,"✓ OK","")))</f>
        <v/>
      </c>
      <c r="T924" s="67">
        <f>IF(AND(C924="",D924="",E924="",L924="",K924=""),1,0)</f>
        <v/>
      </c>
      <c r="U924" s="67">
        <f>IFERROR(INDEX(tt_Dir,MATCH(D924,tt_Type,0)),"")</f>
        <v/>
      </c>
      <c r="V924" s="67">
        <f>IF(D924="","",IFERROR(IF(INDEX(tt_Other,MATCH(D924,tt_Type,0))="",E924&amp;"",INDEX(tt_Other,MATCH(D924,tt_Type,0))),""))</f>
        <v/>
      </c>
      <c r="W924" s="68">
        <f>IF(OR(TaxOn&lt;&gt;"Yes",NOT(ISNUMBER(M924))),0,IF(IFERROR(INDEX(tt_Tax,MATCH(D924,tt_Type,0)),"No")="Yes",M924,0))</f>
        <v/>
      </c>
      <c r="X924" s="67">
        <f>IF(T924=1,"",IF(C924="","Missing transaction date",IF(NOT(ISNUMBER(C924)),"Invalid date",IF(OR(C924&lt;DATE(2000,1,1),C924&gt;DATE(2099,12,31)),"Invalid date",IF(D924="","Select a type",IF(U924="","Unknown type: "&amp;D924,IF(V924="","Select an account (Category)",IF(ISNA(MATCH(V924,coa_Name,0)),"Unknown account: "&amp;V924,IF(K924="","Select Paid From / Deposited To",IF(ISNA(MATCH(K924,coa_Name,0)),"Unknown account: "&amp;K924,IF(NOT(ISNUMBER(L924)),"Enter an amount",IF(L924=0,"Enter an amount",IF(ABS(W924)&gt;ABS(L924),"Tax is larger than the amount","")))))))))))))</f>
        <v/>
      </c>
      <c r="Y924" s="67">
        <f>IF(OR(T924=1,X924&lt;&gt;""),"",IF(AND(B924&lt;&gt;"",COUNTIF(tx_ID,B924)&gt;1),"Duplicate transaction ID",IF(AND(L924&lt;0,D924&lt;&gt;"Adjustment"),"Negative amount — check this entry",IF(AND(D924="Customer Payment",G924=""),"Add the customer",IF(AND(D924="Customer Payment",OR(J924="",COUNTIF(ar_No,J924&amp;"")=0)),"Invoice # in Reference not found on AR sheet",IF(AND(D924="Bill Payment",H924=""),"Add the vendor",IF(AND(D924="Bill Payment",OR(J924="",COUNTIFS(ap_No,J924&amp;"",ap_Party,H924&amp;"")=0)),"Bill # + vendor not found on AP sheet",IF(AND(ISNUMBER(M924),N(M924)&lt;&gt;0,W924=0),"Tax ignored (tax tracking off, or not allowed for this type)",IF(V924=K924&amp;"","Same account on both sides",IF(AND(ISNUMBER(StartDate),C924&lt;StartDate),"Date is before the accounting start date",IF(AND(D924&lt;&gt;"Adjustment",IFERROR(INDEX(coa_Pay,MATCH(K924&amp;"",coa_Name,0)),"")&lt;&gt;"Yes"),"Paid From / Deposited To is not a payment account","")))))))))))</f>
        <v/>
      </c>
      <c r="Z924" s="67">
        <f>IF(AND(T924=0,X924=""),1,0)</f>
        <v/>
      </c>
      <c r="AA924" s="68">
        <f>IF(Z924=1,IF(U924="In",L924,L924-W924),0)</f>
        <v/>
      </c>
      <c r="AB924" s="68">
        <f>IF(Z924=1,IF(U924="In",L924-W924,L924),0)</f>
        <v/>
      </c>
      <c r="AC924" s="68">
        <f>IF(AND(Z924=1,U924="Out"),W924,0)</f>
        <v/>
      </c>
      <c r="AD924" s="68">
        <f>IF(AND(Z924=1,U924="In"),W924,0)</f>
        <v/>
      </c>
    </row>
    <row r="925">
      <c r="B925" s="62" t="inlineStr">
        <is>
          <t>TX-0919</t>
        </is>
      </c>
      <c r="C925" s="63" t="n"/>
      <c r="D925" s="62" t="n"/>
      <c r="E925" s="62" t="n"/>
      <c r="F925" s="62" t="n"/>
      <c r="G925" s="62" t="n"/>
      <c r="H925" s="62" t="n"/>
      <c r="I925" s="62" t="n"/>
      <c r="J925" s="62" t="n"/>
      <c r="K925" s="62" t="n"/>
      <c r="L925" s="64" t="n"/>
      <c r="M925" s="64" t="n"/>
      <c r="N925" s="62" t="n"/>
      <c r="O925" s="65">
        <f>IF(Z925=1,L925-W925,"")</f>
        <v/>
      </c>
      <c r="P925" s="66">
        <f>IF(V925="","",IFERROR(INDEX(coa_Type,MATCH(V925,coa_Name,0)),""))</f>
        <v/>
      </c>
      <c r="Q925" s="66">
        <f>IF(Z925=1,IF(U925="In",K925&amp;"",V925),"")</f>
        <v/>
      </c>
      <c r="R925" s="66">
        <f>IF(Z925=1,IF(U925="In",V925,K925&amp;""),"")</f>
        <v/>
      </c>
      <c r="S925" s="66">
        <f>IF(X925&lt;&gt;"","⛔ "&amp;X925&amp;" — not posted",IF(Y925&lt;&gt;"","⚠ "&amp;Y925,IF(Z925=1,"✓ OK","")))</f>
        <v/>
      </c>
      <c r="T925" s="67">
        <f>IF(AND(C925="",D925="",E925="",L925="",K925=""),1,0)</f>
        <v/>
      </c>
      <c r="U925" s="67">
        <f>IFERROR(INDEX(tt_Dir,MATCH(D925,tt_Type,0)),"")</f>
        <v/>
      </c>
      <c r="V925" s="67">
        <f>IF(D925="","",IFERROR(IF(INDEX(tt_Other,MATCH(D925,tt_Type,0))="",E925&amp;"",INDEX(tt_Other,MATCH(D925,tt_Type,0))),""))</f>
        <v/>
      </c>
      <c r="W925" s="68">
        <f>IF(OR(TaxOn&lt;&gt;"Yes",NOT(ISNUMBER(M925))),0,IF(IFERROR(INDEX(tt_Tax,MATCH(D925,tt_Type,0)),"No")="Yes",M925,0))</f>
        <v/>
      </c>
      <c r="X925" s="67">
        <f>IF(T925=1,"",IF(C925="","Missing transaction date",IF(NOT(ISNUMBER(C925)),"Invalid date",IF(OR(C925&lt;DATE(2000,1,1),C925&gt;DATE(2099,12,31)),"Invalid date",IF(D925="","Select a type",IF(U925="","Unknown type: "&amp;D925,IF(V925="","Select an account (Category)",IF(ISNA(MATCH(V925,coa_Name,0)),"Unknown account: "&amp;V925,IF(K925="","Select Paid From / Deposited To",IF(ISNA(MATCH(K925,coa_Name,0)),"Unknown account: "&amp;K925,IF(NOT(ISNUMBER(L925)),"Enter an amount",IF(L925=0,"Enter an amount",IF(ABS(W925)&gt;ABS(L925),"Tax is larger than the amount","")))))))))))))</f>
        <v/>
      </c>
      <c r="Y925" s="67">
        <f>IF(OR(T925=1,X925&lt;&gt;""),"",IF(AND(B925&lt;&gt;"",COUNTIF(tx_ID,B925)&gt;1),"Duplicate transaction ID",IF(AND(L925&lt;0,D925&lt;&gt;"Adjustment"),"Negative amount — check this entry",IF(AND(D925="Customer Payment",G925=""),"Add the customer",IF(AND(D925="Customer Payment",OR(J925="",COUNTIF(ar_No,J925&amp;"")=0)),"Invoice # in Reference not found on AR sheet",IF(AND(D925="Bill Payment",H925=""),"Add the vendor",IF(AND(D925="Bill Payment",OR(J925="",COUNTIFS(ap_No,J925&amp;"",ap_Party,H925&amp;"")=0)),"Bill # + vendor not found on AP sheet",IF(AND(ISNUMBER(M925),N(M925)&lt;&gt;0,W925=0),"Tax ignored (tax tracking off, or not allowed for this type)",IF(V925=K925&amp;"","Same account on both sides",IF(AND(ISNUMBER(StartDate),C925&lt;StartDate),"Date is before the accounting start date",IF(AND(D925&lt;&gt;"Adjustment",IFERROR(INDEX(coa_Pay,MATCH(K925&amp;"",coa_Name,0)),"")&lt;&gt;"Yes"),"Paid From / Deposited To is not a payment account","")))))))))))</f>
        <v/>
      </c>
      <c r="Z925" s="67">
        <f>IF(AND(T925=0,X925=""),1,0)</f>
        <v/>
      </c>
      <c r="AA925" s="68">
        <f>IF(Z925=1,IF(U925="In",L925,L925-W925),0)</f>
        <v/>
      </c>
      <c r="AB925" s="68">
        <f>IF(Z925=1,IF(U925="In",L925-W925,L925),0)</f>
        <v/>
      </c>
      <c r="AC925" s="68">
        <f>IF(AND(Z925=1,U925="Out"),W925,0)</f>
        <v/>
      </c>
      <c r="AD925" s="68">
        <f>IF(AND(Z925=1,U925="In"),W925,0)</f>
        <v/>
      </c>
    </row>
    <row r="926">
      <c r="B926" s="62" t="inlineStr">
        <is>
          <t>TX-0920</t>
        </is>
      </c>
      <c r="C926" s="63" t="n"/>
      <c r="D926" s="62" t="n"/>
      <c r="E926" s="62" t="n"/>
      <c r="F926" s="62" t="n"/>
      <c r="G926" s="62" t="n"/>
      <c r="H926" s="62" t="n"/>
      <c r="I926" s="62" t="n"/>
      <c r="J926" s="62" t="n"/>
      <c r="K926" s="62" t="n"/>
      <c r="L926" s="64" t="n"/>
      <c r="M926" s="64" t="n"/>
      <c r="N926" s="62" t="n"/>
      <c r="O926" s="65">
        <f>IF(Z926=1,L926-W926,"")</f>
        <v/>
      </c>
      <c r="P926" s="66">
        <f>IF(V926="","",IFERROR(INDEX(coa_Type,MATCH(V926,coa_Name,0)),""))</f>
        <v/>
      </c>
      <c r="Q926" s="66">
        <f>IF(Z926=1,IF(U926="In",K926&amp;"",V926),"")</f>
        <v/>
      </c>
      <c r="R926" s="66">
        <f>IF(Z926=1,IF(U926="In",V926,K926&amp;""),"")</f>
        <v/>
      </c>
      <c r="S926" s="66">
        <f>IF(X926&lt;&gt;"","⛔ "&amp;X926&amp;" — not posted",IF(Y926&lt;&gt;"","⚠ "&amp;Y926,IF(Z926=1,"✓ OK","")))</f>
        <v/>
      </c>
      <c r="T926" s="67">
        <f>IF(AND(C926="",D926="",E926="",L926="",K926=""),1,0)</f>
        <v/>
      </c>
      <c r="U926" s="67">
        <f>IFERROR(INDEX(tt_Dir,MATCH(D926,tt_Type,0)),"")</f>
        <v/>
      </c>
      <c r="V926" s="67">
        <f>IF(D926="","",IFERROR(IF(INDEX(tt_Other,MATCH(D926,tt_Type,0))="",E926&amp;"",INDEX(tt_Other,MATCH(D926,tt_Type,0))),""))</f>
        <v/>
      </c>
      <c r="W926" s="68">
        <f>IF(OR(TaxOn&lt;&gt;"Yes",NOT(ISNUMBER(M926))),0,IF(IFERROR(INDEX(tt_Tax,MATCH(D926,tt_Type,0)),"No")="Yes",M926,0))</f>
        <v/>
      </c>
      <c r="X926" s="67">
        <f>IF(T926=1,"",IF(C926="","Missing transaction date",IF(NOT(ISNUMBER(C926)),"Invalid date",IF(OR(C926&lt;DATE(2000,1,1),C926&gt;DATE(2099,12,31)),"Invalid date",IF(D926="","Select a type",IF(U926="","Unknown type: "&amp;D926,IF(V926="","Select an account (Category)",IF(ISNA(MATCH(V926,coa_Name,0)),"Unknown account: "&amp;V926,IF(K926="","Select Paid From / Deposited To",IF(ISNA(MATCH(K926,coa_Name,0)),"Unknown account: "&amp;K926,IF(NOT(ISNUMBER(L926)),"Enter an amount",IF(L926=0,"Enter an amount",IF(ABS(W926)&gt;ABS(L926),"Tax is larger than the amount","")))))))))))))</f>
        <v/>
      </c>
      <c r="Y926" s="67">
        <f>IF(OR(T926=1,X926&lt;&gt;""),"",IF(AND(B926&lt;&gt;"",COUNTIF(tx_ID,B926)&gt;1),"Duplicate transaction ID",IF(AND(L926&lt;0,D926&lt;&gt;"Adjustment"),"Negative amount — check this entry",IF(AND(D926="Customer Payment",G926=""),"Add the customer",IF(AND(D926="Customer Payment",OR(J926="",COUNTIF(ar_No,J926&amp;"")=0)),"Invoice # in Reference not found on AR sheet",IF(AND(D926="Bill Payment",H926=""),"Add the vendor",IF(AND(D926="Bill Payment",OR(J926="",COUNTIFS(ap_No,J926&amp;"",ap_Party,H926&amp;"")=0)),"Bill # + vendor not found on AP sheet",IF(AND(ISNUMBER(M926),N(M926)&lt;&gt;0,W926=0),"Tax ignored (tax tracking off, or not allowed for this type)",IF(V926=K926&amp;"","Same account on both sides",IF(AND(ISNUMBER(StartDate),C926&lt;StartDate),"Date is before the accounting start date",IF(AND(D926&lt;&gt;"Adjustment",IFERROR(INDEX(coa_Pay,MATCH(K926&amp;"",coa_Name,0)),"")&lt;&gt;"Yes"),"Paid From / Deposited To is not a payment account","")))))))))))</f>
        <v/>
      </c>
      <c r="Z926" s="67">
        <f>IF(AND(T926=0,X926=""),1,0)</f>
        <v/>
      </c>
      <c r="AA926" s="68">
        <f>IF(Z926=1,IF(U926="In",L926,L926-W926),0)</f>
        <v/>
      </c>
      <c r="AB926" s="68">
        <f>IF(Z926=1,IF(U926="In",L926-W926,L926),0)</f>
        <v/>
      </c>
      <c r="AC926" s="68">
        <f>IF(AND(Z926=1,U926="Out"),W926,0)</f>
        <v/>
      </c>
      <c r="AD926" s="68">
        <f>IF(AND(Z926=1,U926="In"),W926,0)</f>
        <v/>
      </c>
    </row>
    <row r="927">
      <c r="B927" s="62" t="inlineStr">
        <is>
          <t>TX-0921</t>
        </is>
      </c>
      <c r="C927" s="63" t="n"/>
      <c r="D927" s="62" t="n"/>
      <c r="E927" s="62" t="n"/>
      <c r="F927" s="62" t="n"/>
      <c r="G927" s="62" t="n"/>
      <c r="H927" s="62" t="n"/>
      <c r="I927" s="62" t="n"/>
      <c r="J927" s="62" t="n"/>
      <c r="K927" s="62" t="n"/>
      <c r="L927" s="64" t="n"/>
      <c r="M927" s="64" t="n"/>
      <c r="N927" s="62" t="n"/>
      <c r="O927" s="65">
        <f>IF(Z927=1,L927-W927,"")</f>
        <v/>
      </c>
      <c r="P927" s="66">
        <f>IF(V927="","",IFERROR(INDEX(coa_Type,MATCH(V927,coa_Name,0)),""))</f>
        <v/>
      </c>
      <c r="Q927" s="66">
        <f>IF(Z927=1,IF(U927="In",K927&amp;"",V927),"")</f>
        <v/>
      </c>
      <c r="R927" s="66">
        <f>IF(Z927=1,IF(U927="In",V927,K927&amp;""),"")</f>
        <v/>
      </c>
      <c r="S927" s="66">
        <f>IF(X927&lt;&gt;"","⛔ "&amp;X927&amp;" — not posted",IF(Y927&lt;&gt;"","⚠ "&amp;Y927,IF(Z927=1,"✓ OK","")))</f>
        <v/>
      </c>
      <c r="T927" s="67">
        <f>IF(AND(C927="",D927="",E927="",L927="",K927=""),1,0)</f>
        <v/>
      </c>
      <c r="U927" s="67">
        <f>IFERROR(INDEX(tt_Dir,MATCH(D927,tt_Type,0)),"")</f>
        <v/>
      </c>
      <c r="V927" s="67">
        <f>IF(D927="","",IFERROR(IF(INDEX(tt_Other,MATCH(D927,tt_Type,0))="",E927&amp;"",INDEX(tt_Other,MATCH(D927,tt_Type,0))),""))</f>
        <v/>
      </c>
      <c r="W927" s="68">
        <f>IF(OR(TaxOn&lt;&gt;"Yes",NOT(ISNUMBER(M927))),0,IF(IFERROR(INDEX(tt_Tax,MATCH(D927,tt_Type,0)),"No")="Yes",M927,0))</f>
        <v/>
      </c>
      <c r="X927" s="67">
        <f>IF(T927=1,"",IF(C927="","Missing transaction date",IF(NOT(ISNUMBER(C927)),"Invalid date",IF(OR(C927&lt;DATE(2000,1,1),C927&gt;DATE(2099,12,31)),"Invalid date",IF(D927="","Select a type",IF(U927="","Unknown type: "&amp;D927,IF(V927="","Select an account (Category)",IF(ISNA(MATCH(V927,coa_Name,0)),"Unknown account: "&amp;V927,IF(K927="","Select Paid From / Deposited To",IF(ISNA(MATCH(K927,coa_Name,0)),"Unknown account: "&amp;K927,IF(NOT(ISNUMBER(L927)),"Enter an amount",IF(L927=0,"Enter an amount",IF(ABS(W927)&gt;ABS(L927),"Tax is larger than the amount","")))))))))))))</f>
        <v/>
      </c>
      <c r="Y927" s="67">
        <f>IF(OR(T927=1,X927&lt;&gt;""),"",IF(AND(B927&lt;&gt;"",COUNTIF(tx_ID,B927)&gt;1),"Duplicate transaction ID",IF(AND(L927&lt;0,D927&lt;&gt;"Adjustment"),"Negative amount — check this entry",IF(AND(D927="Customer Payment",G927=""),"Add the customer",IF(AND(D927="Customer Payment",OR(J927="",COUNTIF(ar_No,J927&amp;"")=0)),"Invoice # in Reference not found on AR sheet",IF(AND(D927="Bill Payment",H927=""),"Add the vendor",IF(AND(D927="Bill Payment",OR(J927="",COUNTIFS(ap_No,J927&amp;"",ap_Party,H927&amp;"")=0)),"Bill # + vendor not found on AP sheet",IF(AND(ISNUMBER(M927),N(M927)&lt;&gt;0,W927=0),"Tax ignored (tax tracking off, or not allowed for this type)",IF(V927=K927&amp;"","Same account on both sides",IF(AND(ISNUMBER(StartDate),C927&lt;StartDate),"Date is before the accounting start date",IF(AND(D927&lt;&gt;"Adjustment",IFERROR(INDEX(coa_Pay,MATCH(K927&amp;"",coa_Name,0)),"")&lt;&gt;"Yes"),"Paid From / Deposited To is not a payment account","")))))))))))</f>
        <v/>
      </c>
      <c r="Z927" s="67">
        <f>IF(AND(T927=0,X927=""),1,0)</f>
        <v/>
      </c>
      <c r="AA927" s="68">
        <f>IF(Z927=1,IF(U927="In",L927,L927-W927),0)</f>
        <v/>
      </c>
      <c r="AB927" s="68">
        <f>IF(Z927=1,IF(U927="In",L927-W927,L927),0)</f>
        <v/>
      </c>
      <c r="AC927" s="68">
        <f>IF(AND(Z927=1,U927="Out"),W927,0)</f>
        <v/>
      </c>
      <c r="AD927" s="68">
        <f>IF(AND(Z927=1,U927="In"),W927,0)</f>
        <v/>
      </c>
    </row>
    <row r="928">
      <c r="B928" s="62" t="inlineStr">
        <is>
          <t>TX-0922</t>
        </is>
      </c>
      <c r="C928" s="63" t="n"/>
      <c r="D928" s="62" t="n"/>
      <c r="E928" s="62" t="n"/>
      <c r="F928" s="62" t="n"/>
      <c r="G928" s="62" t="n"/>
      <c r="H928" s="62" t="n"/>
      <c r="I928" s="62" t="n"/>
      <c r="J928" s="62" t="n"/>
      <c r="K928" s="62" t="n"/>
      <c r="L928" s="64" t="n"/>
      <c r="M928" s="64" t="n"/>
      <c r="N928" s="62" t="n"/>
      <c r="O928" s="65">
        <f>IF(Z928=1,L928-W928,"")</f>
        <v/>
      </c>
      <c r="P928" s="66">
        <f>IF(V928="","",IFERROR(INDEX(coa_Type,MATCH(V928,coa_Name,0)),""))</f>
        <v/>
      </c>
      <c r="Q928" s="66">
        <f>IF(Z928=1,IF(U928="In",K928&amp;"",V928),"")</f>
        <v/>
      </c>
      <c r="R928" s="66">
        <f>IF(Z928=1,IF(U928="In",V928,K928&amp;""),"")</f>
        <v/>
      </c>
      <c r="S928" s="66">
        <f>IF(X928&lt;&gt;"","⛔ "&amp;X928&amp;" — not posted",IF(Y928&lt;&gt;"","⚠ "&amp;Y928,IF(Z928=1,"✓ OK","")))</f>
        <v/>
      </c>
      <c r="T928" s="67">
        <f>IF(AND(C928="",D928="",E928="",L928="",K928=""),1,0)</f>
        <v/>
      </c>
      <c r="U928" s="67">
        <f>IFERROR(INDEX(tt_Dir,MATCH(D928,tt_Type,0)),"")</f>
        <v/>
      </c>
      <c r="V928" s="67">
        <f>IF(D928="","",IFERROR(IF(INDEX(tt_Other,MATCH(D928,tt_Type,0))="",E928&amp;"",INDEX(tt_Other,MATCH(D928,tt_Type,0))),""))</f>
        <v/>
      </c>
      <c r="W928" s="68">
        <f>IF(OR(TaxOn&lt;&gt;"Yes",NOT(ISNUMBER(M928))),0,IF(IFERROR(INDEX(tt_Tax,MATCH(D928,tt_Type,0)),"No")="Yes",M928,0))</f>
        <v/>
      </c>
      <c r="X928" s="67">
        <f>IF(T928=1,"",IF(C928="","Missing transaction date",IF(NOT(ISNUMBER(C928)),"Invalid date",IF(OR(C928&lt;DATE(2000,1,1),C928&gt;DATE(2099,12,31)),"Invalid date",IF(D928="","Select a type",IF(U928="","Unknown type: "&amp;D928,IF(V928="","Select an account (Category)",IF(ISNA(MATCH(V928,coa_Name,0)),"Unknown account: "&amp;V928,IF(K928="","Select Paid From / Deposited To",IF(ISNA(MATCH(K928,coa_Name,0)),"Unknown account: "&amp;K928,IF(NOT(ISNUMBER(L928)),"Enter an amount",IF(L928=0,"Enter an amount",IF(ABS(W928)&gt;ABS(L928),"Tax is larger than the amount","")))))))))))))</f>
        <v/>
      </c>
      <c r="Y928" s="67">
        <f>IF(OR(T928=1,X928&lt;&gt;""),"",IF(AND(B928&lt;&gt;"",COUNTIF(tx_ID,B928)&gt;1),"Duplicate transaction ID",IF(AND(L928&lt;0,D928&lt;&gt;"Adjustment"),"Negative amount — check this entry",IF(AND(D928="Customer Payment",G928=""),"Add the customer",IF(AND(D928="Customer Payment",OR(J928="",COUNTIF(ar_No,J928&amp;"")=0)),"Invoice # in Reference not found on AR sheet",IF(AND(D928="Bill Payment",H928=""),"Add the vendor",IF(AND(D928="Bill Payment",OR(J928="",COUNTIFS(ap_No,J928&amp;"",ap_Party,H928&amp;"")=0)),"Bill # + vendor not found on AP sheet",IF(AND(ISNUMBER(M928),N(M928)&lt;&gt;0,W928=0),"Tax ignored (tax tracking off, or not allowed for this type)",IF(V928=K928&amp;"","Same account on both sides",IF(AND(ISNUMBER(StartDate),C928&lt;StartDate),"Date is before the accounting start date",IF(AND(D928&lt;&gt;"Adjustment",IFERROR(INDEX(coa_Pay,MATCH(K928&amp;"",coa_Name,0)),"")&lt;&gt;"Yes"),"Paid From / Deposited To is not a payment account","")))))))))))</f>
        <v/>
      </c>
      <c r="Z928" s="67">
        <f>IF(AND(T928=0,X928=""),1,0)</f>
        <v/>
      </c>
      <c r="AA928" s="68">
        <f>IF(Z928=1,IF(U928="In",L928,L928-W928),0)</f>
        <v/>
      </c>
      <c r="AB928" s="68">
        <f>IF(Z928=1,IF(U928="In",L928-W928,L928),0)</f>
        <v/>
      </c>
      <c r="AC928" s="68">
        <f>IF(AND(Z928=1,U928="Out"),W928,0)</f>
        <v/>
      </c>
      <c r="AD928" s="68">
        <f>IF(AND(Z928=1,U928="In"),W928,0)</f>
        <v/>
      </c>
    </row>
    <row r="929">
      <c r="B929" s="62" t="inlineStr">
        <is>
          <t>TX-0923</t>
        </is>
      </c>
      <c r="C929" s="63" t="n"/>
      <c r="D929" s="62" t="n"/>
      <c r="E929" s="62" t="n"/>
      <c r="F929" s="62" t="n"/>
      <c r="G929" s="62" t="n"/>
      <c r="H929" s="62" t="n"/>
      <c r="I929" s="62" t="n"/>
      <c r="J929" s="62" t="n"/>
      <c r="K929" s="62" t="n"/>
      <c r="L929" s="64" t="n"/>
      <c r="M929" s="64" t="n"/>
      <c r="N929" s="62" t="n"/>
      <c r="O929" s="65">
        <f>IF(Z929=1,L929-W929,"")</f>
        <v/>
      </c>
      <c r="P929" s="66">
        <f>IF(V929="","",IFERROR(INDEX(coa_Type,MATCH(V929,coa_Name,0)),""))</f>
        <v/>
      </c>
      <c r="Q929" s="66">
        <f>IF(Z929=1,IF(U929="In",K929&amp;"",V929),"")</f>
        <v/>
      </c>
      <c r="R929" s="66">
        <f>IF(Z929=1,IF(U929="In",V929,K929&amp;""),"")</f>
        <v/>
      </c>
      <c r="S929" s="66">
        <f>IF(X929&lt;&gt;"","⛔ "&amp;X929&amp;" — not posted",IF(Y929&lt;&gt;"","⚠ "&amp;Y929,IF(Z929=1,"✓ OK","")))</f>
        <v/>
      </c>
      <c r="T929" s="67">
        <f>IF(AND(C929="",D929="",E929="",L929="",K929=""),1,0)</f>
        <v/>
      </c>
      <c r="U929" s="67">
        <f>IFERROR(INDEX(tt_Dir,MATCH(D929,tt_Type,0)),"")</f>
        <v/>
      </c>
      <c r="V929" s="67">
        <f>IF(D929="","",IFERROR(IF(INDEX(tt_Other,MATCH(D929,tt_Type,0))="",E929&amp;"",INDEX(tt_Other,MATCH(D929,tt_Type,0))),""))</f>
        <v/>
      </c>
      <c r="W929" s="68">
        <f>IF(OR(TaxOn&lt;&gt;"Yes",NOT(ISNUMBER(M929))),0,IF(IFERROR(INDEX(tt_Tax,MATCH(D929,tt_Type,0)),"No")="Yes",M929,0))</f>
        <v/>
      </c>
      <c r="X929" s="67">
        <f>IF(T929=1,"",IF(C929="","Missing transaction date",IF(NOT(ISNUMBER(C929)),"Invalid date",IF(OR(C929&lt;DATE(2000,1,1),C929&gt;DATE(2099,12,31)),"Invalid date",IF(D929="","Select a type",IF(U929="","Unknown type: "&amp;D929,IF(V929="","Select an account (Category)",IF(ISNA(MATCH(V929,coa_Name,0)),"Unknown account: "&amp;V929,IF(K929="","Select Paid From / Deposited To",IF(ISNA(MATCH(K929,coa_Name,0)),"Unknown account: "&amp;K929,IF(NOT(ISNUMBER(L929)),"Enter an amount",IF(L929=0,"Enter an amount",IF(ABS(W929)&gt;ABS(L929),"Tax is larger than the amount","")))))))))))))</f>
        <v/>
      </c>
      <c r="Y929" s="67">
        <f>IF(OR(T929=1,X929&lt;&gt;""),"",IF(AND(B929&lt;&gt;"",COUNTIF(tx_ID,B929)&gt;1),"Duplicate transaction ID",IF(AND(L929&lt;0,D929&lt;&gt;"Adjustment"),"Negative amount — check this entry",IF(AND(D929="Customer Payment",G929=""),"Add the customer",IF(AND(D929="Customer Payment",OR(J929="",COUNTIF(ar_No,J929&amp;"")=0)),"Invoice # in Reference not found on AR sheet",IF(AND(D929="Bill Payment",H929=""),"Add the vendor",IF(AND(D929="Bill Payment",OR(J929="",COUNTIFS(ap_No,J929&amp;"",ap_Party,H929&amp;"")=0)),"Bill # + vendor not found on AP sheet",IF(AND(ISNUMBER(M929),N(M929)&lt;&gt;0,W929=0),"Tax ignored (tax tracking off, or not allowed for this type)",IF(V929=K929&amp;"","Same account on both sides",IF(AND(ISNUMBER(StartDate),C929&lt;StartDate),"Date is before the accounting start date",IF(AND(D929&lt;&gt;"Adjustment",IFERROR(INDEX(coa_Pay,MATCH(K929&amp;"",coa_Name,0)),"")&lt;&gt;"Yes"),"Paid From / Deposited To is not a payment account","")))))))))))</f>
        <v/>
      </c>
      <c r="Z929" s="67">
        <f>IF(AND(T929=0,X929=""),1,0)</f>
        <v/>
      </c>
      <c r="AA929" s="68">
        <f>IF(Z929=1,IF(U929="In",L929,L929-W929),0)</f>
        <v/>
      </c>
      <c r="AB929" s="68">
        <f>IF(Z929=1,IF(U929="In",L929-W929,L929),0)</f>
        <v/>
      </c>
      <c r="AC929" s="68">
        <f>IF(AND(Z929=1,U929="Out"),W929,0)</f>
        <v/>
      </c>
      <c r="AD929" s="68">
        <f>IF(AND(Z929=1,U929="In"),W929,0)</f>
        <v/>
      </c>
    </row>
    <row r="930">
      <c r="B930" s="62" t="inlineStr">
        <is>
          <t>TX-0924</t>
        </is>
      </c>
      <c r="C930" s="63" t="n"/>
      <c r="D930" s="62" t="n"/>
      <c r="E930" s="62" t="n"/>
      <c r="F930" s="62" t="n"/>
      <c r="G930" s="62" t="n"/>
      <c r="H930" s="62" t="n"/>
      <c r="I930" s="62" t="n"/>
      <c r="J930" s="62" t="n"/>
      <c r="K930" s="62" t="n"/>
      <c r="L930" s="64" t="n"/>
      <c r="M930" s="64" t="n"/>
      <c r="N930" s="62" t="n"/>
      <c r="O930" s="65">
        <f>IF(Z930=1,L930-W930,"")</f>
        <v/>
      </c>
      <c r="P930" s="66">
        <f>IF(V930="","",IFERROR(INDEX(coa_Type,MATCH(V930,coa_Name,0)),""))</f>
        <v/>
      </c>
      <c r="Q930" s="66">
        <f>IF(Z930=1,IF(U930="In",K930&amp;"",V930),"")</f>
        <v/>
      </c>
      <c r="R930" s="66">
        <f>IF(Z930=1,IF(U930="In",V930,K930&amp;""),"")</f>
        <v/>
      </c>
      <c r="S930" s="66">
        <f>IF(X930&lt;&gt;"","⛔ "&amp;X930&amp;" — not posted",IF(Y930&lt;&gt;"","⚠ "&amp;Y930,IF(Z930=1,"✓ OK","")))</f>
        <v/>
      </c>
      <c r="T930" s="67">
        <f>IF(AND(C930="",D930="",E930="",L930="",K930=""),1,0)</f>
        <v/>
      </c>
      <c r="U930" s="67">
        <f>IFERROR(INDEX(tt_Dir,MATCH(D930,tt_Type,0)),"")</f>
        <v/>
      </c>
      <c r="V930" s="67">
        <f>IF(D930="","",IFERROR(IF(INDEX(tt_Other,MATCH(D930,tt_Type,0))="",E930&amp;"",INDEX(tt_Other,MATCH(D930,tt_Type,0))),""))</f>
        <v/>
      </c>
      <c r="W930" s="68">
        <f>IF(OR(TaxOn&lt;&gt;"Yes",NOT(ISNUMBER(M930))),0,IF(IFERROR(INDEX(tt_Tax,MATCH(D930,tt_Type,0)),"No")="Yes",M930,0))</f>
        <v/>
      </c>
      <c r="X930" s="67">
        <f>IF(T930=1,"",IF(C930="","Missing transaction date",IF(NOT(ISNUMBER(C930)),"Invalid date",IF(OR(C930&lt;DATE(2000,1,1),C930&gt;DATE(2099,12,31)),"Invalid date",IF(D930="","Select a type",IF(U930="","Unknown type: "&amp;D930,IF(V930="","Select an account (Category)",IF(ISNA(MATCH(V930,coa_Name,0)),"Unknown account: "&amp;V930,IF(K930="","Select Paid From / Deposited To",IF(ISNA(MATCH(K930,coa_Name,0)),"Unknown account: "&amp;K930,IF(NOT(ISNUMBER(L930)),"Enter an amount",IF(L930=0,"Enter an amount",IF(ABS(W930)&gt;ABS(L930),"Tax is larger than the amount","")))))))))))))</f>
        <v/>
      </c>
      <c r="Y930" s="67">
        <f>IF(OR(T930=1,X930&lt;&gt;""),"",IF(AND(B930&lt;&gt;"",COUNTIF(tx_ID,B930)&gt;1),"Duplicate transaction ID",IF(AND(L930&lt;0,D930&lt;&gt;"Adjustment"),"Negative amount — check this entry",IF(AND(D930="Customer Payment",G930=""),"Add the customer",IF(AND(D930="Customer Payment",OR(J930="",COUNTIF(ar_No,J930&amp;"")=0)),"Invoice # in Reference not found on AR sheet",IF(AND(D930="Bill Payment",H930=""),"Add the vendor",IF(AND(D930="Bill Payment",OR(J930="",COUNTIFS(ap_No,J930&amp;"",ap_Party,H930&amp;"")=0)),"Bill # + vendor not found on AP sheet",IF(AND(ISNUMBER(M930),N(M930)&lt;&gt;0,W930=0),"Tax ignored (tax tracking off, or not allowed for this type)",IF(V930=K930&amp;"","Same account on both sides",IF(AND(ISNUMBER(StartDate),C930&lt;StartDate),"Date is before the accounting start date",IF(AND(D930&lt;&gt;"Adjustment",IFERROR(INDEX(coa_Pay,MATCH(K930&amp;"",coa_Name,0)),"")&lt;&gt;"Yes"),"Paid From / Deposited To is not a payment account","")))))))))))</f>
        <v/>
      </c>
      <c r="Z930" s="67">
        <f>IF(AND(T930=0,X930=""),1,0)</f>
        <v/>
      </c>
      <c r="AA930" s="68">
        <f>IF(Z930=1,IF(U930="In",L930,L930-W930),0)</f>
        <v/>
      </c>
      <c r="AB930" s="68">
        <f>IF(Z930=1,IF(U930="In",L930-W930,L930),0)</f>
        <v/>
      </c>
      <c r="AC930" s="68">
        <f>IF(AND(Z930=1,U930="Out"),W930,0)</f>
        <v/>
      </c>
      <c r="AD930" s="68">
        <f>IF(AND(Z930=1,U930="In"),W930,0)</f>
        <v/>
      </c>
    </row>
    <row r="931">
      <c r="B931" s="62" t="inlineStr">
        <is>
          <t>TX-0925</t>
        </is>
      </c>
      <c r="C931" s="63" t="n"/>
      <c r="D931" s="62" t="n"/>
      <c r="E931" s="62" t="n"/>
      <c r="F931" s="62" t="n"/>
      <c r="G931" s="62" t="n"/>
      <c r="H931" s="62" t="n"/>
      <c r="I931" s="62" t="n"/>
      <c r="J931" s="62" t="n"/>
      <c r="K931" s="62" t="n"/>
      <c r="L931" s="64" t="n"/>
      <c r="M931" s="64" t="n"/>
      <c r="N931" s="62" t="n"/>
      <c r="O931" s="65">
        <f>IF(Z931=1,L931-W931,"")</f>
        <v/>
      </c>
      <c r="P931" s="66">
        <f>IF(V931="","",IFERROR(INDEX(coa_Type,MATCH(V931,coa_Name,0)),""))</f>
        <v/>
      </c>
      <c r="Q931" s="66">
        <f>IF(Z931=1,IF(U931="In",K931&amp;"",V931),"")</f>
        <v/>
      </c>
      <c r="R931" s="66">
        <f>IF(Z931=1,IF(U931="In",V931,K931&amp;""),"")</f>
        <v/>
      </c>
      <c r="S931" s="66">
        <f>IF(X931&lt;&gt;"","⛔ "&amp;X931&amp;" — not posted",IF(Y931&lt;&gt;"","⚠ "&amp;Y931,IF(Z931=1,"✓ OK","")))</f>
        <v/>
      </c>
      <c r="T931" s="67">
        <f>IF(AND(C931="",D931="",E931="",L931="",K931=""),1,0)</f>
        <v/>
      </c>
      <c r="U931" s="67">
        <f>IFERROR(INDEX(tt_Dir,MATCH(D931,tt_Type,0)),"")</f>
        <v/>
      </c>
      <c r="V931" s="67">
        <f>IF(D931="","",IFERROR(IF(INDEX(tt_Other,MATCH(D931,tt_Type,0))="",E931&amp;"",INDEX(tt_Other,MATCH(D931,tt_Type,0))),""))</f>
        <v/>
      </c>
      <c r="W931" s="68">
        <f>IF(OR(TaxOn&lt;&gt;"Yes",NOT(ISNUMBER(M931))),0,IF(IFERROR(INDEX(tt_Tax,MATCH(D931,tt_Type,0)),"No")="Yes",M931,0))</f>
        <v/>
      </c>
      <c r="X931" s="67">
        <f>IF(T931=1,"",IF(C931="","Missing transaction date",IF(NOT(ISNUMBER(C931)),"Invalid date",IF(OR(C931&lt;DATE(2000,1,1),C931&gt;DATE(2099,12,31)),"Invalid date",IF(D931="","Select a type",IF(U931="","Unknown type: "&amp;D931,IF(V931="","Select an account (Category)",IF(ISNA(MATCH(V931,coa_Name,0)),"Unknown account: "&amp;V931,IF(K931="","Select Paid From / Deposited To",IF(ISNA(MATCH(K931,coa_Name,0)),"Unknown account: "&amp;K931,IF(NOT(ISNUMBER(L931)),"Enter an amount",IF(L931=0,"Enter an amount",IF(ABS(W931)&gt;ABS(L931),"Tax is larger than the amount","")))))))))))))</f>
        <v/>
      </c>
      <c r="Y931" s="67">
        <f>IF(OR(T931=1,X931&lt;&gt;""),"",IF(AND(B931&lt;&gt;"",COUNTIF(tx_ID,B931)&gt;1),"Duplicate transaction ID",IF(AND(L931&lt;0,D931&lt;&gt;"Adjustment"),"Negative amount — check this entry",IF(AND(D931="Customer Payment",G931=""),"Add the customer",IF(AND(D931="Customer Payment",OR(J931="",COUNTIF(ar_No,J931&amp;"")=0)),"Invoice # in Reference not found on AR sheet",IF(AND(D931="Bill Payment",H931=""),"Add the vendor",IF(AND(D931="Bill Payment",OR(J931="",COUNTIFS(ap_No,J931&amp;"",ap_Party,H931&amp;"")=0)),"Bill # + vendor not found on AP sheet",IF(AND(ISNUMBER(M931),N(M931)&lt;&gt;0,W931=0),"Tax ignored (tax tracking off, or not allowed for this type)",IF(V931=K931&amp;"","Same account on both sides",IF(AND(ISNUMBER(StartDate),C931&lt;StartDate),"Date is before the accounting start date",IF(AND(D931&lt;&gt;"Adjustment",IFERROR(INDEX(coa_Pay,MATCH(K931&amp;"",coa_Name,0)),"")&lt;&gt;"Yes"),"Paid From / Deposited To is not a payment account","")))))))))))</f>
        <v/>
      </c>
      <c r="Z931" s="67">
        <f>IF(AND(T931=0,X931=""),1,0)</f>
        <v/>
      </c>
      <c r="AA931" s="68">
        <f>IF(Z931=1,IF(U931="In",L931,L931-W931),0)</f>
        <v/>
      </c>
      <c r="AB931" s="68">
        <f>IF(Z931=1,IF(U931="In",L931-W931,L931),0)</f>
        <v/>
      </c>
      <c r="AC931" s="68">
        <f>IF(AND(Z931=1,U931="Out"),W931,0)</f>
        <v/>
      </c>
      <c r="AD931" s="68">
        <f>IF(AND(Z931=1,U931="In"),W931,0)</f>
        <v/>
      </c>
    </row>
    <row r="932">
      <c r="B932" s="62" t="inlineStr">
        <is>
          <t>TX-0926</t>
        </is>
      </c>
      <c r="C932" s="63" t="n"/>
      <c r="D932" s="62" t="n"/>
      <c r="E932" s="62" t="n"/>
      <c r="F932" s="62" t="n"/>
      <c r="G932" s="62" t="n"/>
      <c r="H932" s="62" t="n"/>
      <c r="I932" s="62" t="n"/>
      <c r="J932" s="62" t="n"/>
      <c r="K932" s="62" t="n"/>
      <c r="L932" s="64" t="n"/>
      <c r="M932" s="64" t="n"/>
      <c r="N932" s="62" t="n"/>
      <c r="O932" s="65">
        <f>IF(Z932=1,L932-W932,"")</f>
        <v/>
      </c>
      <c r="P932" s="66">
        <f>IF(V932="","",IFERROR(INDEX(coa_Type,MATCH(V932,coa_Name,0)),""))</f>
        <v/>
      </c>
      <c r="Q932" s="66">
        <f>IF(Z932=1,IF(U932="In",K932&amp;"",V932),"")</f>
        <v/>
      </c>
      <c r="R932" s="66">
        <f>IF(Z932=1,IF(U932="In",V932,K932&amp;""),"")</f>
        <v/>
      </c>
      <c r="S932" s="66">
        <f>IF(X932&lt;&gt;"","⛔ "&amp;X932&amp;" — not posted",IF(Y932&lt;&gt;"","⚠ "&amp;Y932,IF(Z932=1,"✓ OK","")))</f>
        <v/>
      </c>
      <c r="T932" s="67">
        <f>IF(AND(C932="",D932="",E932="",L932="",K932=""),1,0)</f>
        <v/>
      </c>
      <c r="U932" s="67">
        <f>IFERROR(INDEX(tt_Dir,MATCH(D932,tt_Type,0)),"")</f>
        <v/>
      </c>
      <c r="V932" s="67">
        <f>IF(D932="","",IFERROR(IF(INDEX(tt_Other,MATCH(D932,tt_Type,0))="",E932&amp;"",INDEX(tt_Other,MATCH(D932,tt_Type,0))),""))</f>
        <v/>
      </c>
      <c r="W932" s="68">
        <f>IF(OR(TaxOn&lt;&gt;"Yes",NOT(ISNUMBER(M932))),0,IF(IFERROR(INDEX(tt_Tax,MATCH(D932,tt_Type,0)),"No")="Yes",M932,0))</f>
        <v/>
      </c>
      <c r="X932" s="67">
        <f>IF(T932=1,"",IF(C932="","Missing transaction date",IF(NOT(ISNUMBER(C932)),"Invalid date",IF(OR(C932&lt;DATE(2000,1,1),C932&gt;DATE(2099,12,31)),"Invalid date",IF(D932="","Select a type",IF(U932="","Unknown type: "&amp;D932,IF(V932="","Select an account (Category)",IF(ISNA(MATCH(V932,coa_Name,0)),"Unknown account: "&amp;V932,IF(K932="","Select Paid From / Deposited To",IF(ISNA(MATCH(K932,coa_Name,0)),"Unknown account: "&amp;K932,IF(NOT(ISNUMBER(L932)),"Enter an amount",IF(L932=0,"Enter an amount",IF(ABS(W932)&gt;ABS(L932),"Tax is larger than the amount","")))))))))))))</f>
        <v/>
      </c>
      <c r="Y932" s="67">
        <f>IF(OR(T932=1,X932&lt;&gt;""),"",IF(AND(B932&lt;&gt;"",COUNTIF(tx_ID,B932)&gt;1),"Duplicate transaction ID",IF(AND(L932&lt;0,D932&lt;&gt;"Adjustment"),"Negative amount — check this entry",IF(AND(D932="Customer Payment",G932=""),"Add the customer",IF(AND(D932="Customer Payment",OR(J932="",COUNTIF(ar_No,J932&amp;"")=0)),"Invoice # in Reference not found on AR sheet",IF(AND(D932="Bill Payment",H932=""),"Add the vendor",IF(AND(D932="Bill Payment",OR(J932="",COUNTIFS(ap_No,J932&amp;"",ap_Party,H932&amp;"")=0)),"Bill # + vendor not found on AP sheet",IF(AND(ISNUMBER(M932),N(M932)&lt;&gt;0,W932=0),"Tax ignored (tax tracking off, or not allowed for this type)",IF(V932=K932&amp;"","Same account on both sides",IF(AND(ISNUMBER(StartDate),C932&lt;StartDate),"Date is before the accounting start date",IF(AND(D932&lt;&gt;"Adjustment",IFERROR(INDEX(coa_Pay,MATCH(K932&amp;"",coa_Name,0)),"")&lt;&gt;"Yes"),"Paid From / Deposited To is not a payment account","")))))))))))</f>
        <v/>
      </c>
      <c r="Z932" s="67">
        <f>IF(AND(T932=0,X932=""),1,0)</f>
        <v/>
      </c>
      <c r="AA932" s="68">
        <f>IF(Z932=1,IF(U932="In",L932,L932-W932),0)</f>
        <v/>
      </c>
      <c r="AB932" s="68">
        <f>IF(Z932=1,IF(U932="In",L932-W932,L932),0)</f>
        <v/>
      </c>
      <c r="AC932" s="68">
        <f>IF(AND(Z932=1,U932="Out"),W932,0)</f>
        <v/>
      </c>
      <c r="AD932" s="68">
        <f>IF(AND(Z932=1,U932="In"),W932,0)</f>
        <v/>
      </c>
    </row>
    <row r="933">
      <c r="B933" s="62" t="inlineStr">
        <is>
          <t>TX-0927</t>
        </is>
      </c>
      <c r="C933" s="63" t="n"/>
      <c r="D933" s="62" t="n"/>
      <c r="E933" s="62" t="n"/>
      <c r="F933" s="62" t="n"/>
      <c r="G933" s="62" t="n"/>
      <c r="H933" s="62" t="n"/>
      <c r="I933" s="62" t="n"/>
      <c r="J933" s="62" t="n"/>
      <c r="K933" s="62" t="n"/>
      <c r="L933" s="64" t="n"/>
      <c r="M933" s="64" t="n"/>
      <c r="N933" s="62" t="n"/>
      <c r="O933" s="65">
        <f>IF(Z933=1,L933-W933,"")</f>
        <v/>
      </c>
      <c r="P933" s="66">
        <f>IF(V933="","",IFERROR(INDEX(coa_Type,MATCH(V933,coa_Name,0)),""))</f>
        <v/>
      </c>
      <c r="Q933" s="66">
        <f>IF(Z933=1,IF(U933="In",K933&amp;"",V933),"")</f>
        <v/>
      </c>
      <c r="R933" s="66">
        <f>IF(Z933=1,IF(U933="In",V933,K933&amp;""),"")</f>
        <v/>
      </c>
      <c r="S933" s="66">
        <f>IF(X933&lt;&gt;"","⛔ "&amp;X933&amp;" — not posted",IF(Y933&lt;&gt;"","⚠ "&amp;Y933,IF(Z933=1,"✓ OK","")))</f>
        <v/>
      </c>
      <c r="T933" s="67">
        <f>IF(AND(C933="",D933="",E933="",L933="",K933=""),1,0)</f>
        <v/>
      </c>
      <c r="U933" s="67">
        <f>IFERROR(INDEX(tt_Dir,MATCH(D933,tt_Type,0)),"")</f>
        <v/>
      </c>
      <c r="V933" s="67">
        <f>IF(D933="","",IFERROR(IF(INDEX(tt_Other,MATCH(D933,tt_Type,0))="",E933&amp;"",INDEX(tt_Other,MATCH(D933,tt_Type,0))),""))</f>
        <v/>
      </c>
      <c r="W933" s="68">
        <f>IF(OR(TaxOn&lt;&gt;"Yes",NOT(ISNUMBER(M933))),0,IF(IFERROR(INDEX(tt_Tax,MATCH(D933,tt_Type,0)),"No")="Yes",M933,0))</f>
        <v/>
      </c>
      <c r="X933" s="67">
        <f>IF(T933=1,"",IF(C933="","Missing transaction date",IF(NOT(ISNUMBER(C933)),"Invalid date",IF(OR(C933&lt;DATE(2000,1,1),C933&gt;DATE(2099,12,31)),"Invalid date",IF(D933="","Select a type",IF(U933="","Unknown type: "&amp;D933,IF(V933="","Select an account (Category)",IF(ISNA(MATCH(V933,coa_Name,0)),"Unknown account: "&amp;V933,IF(K933="","Select Paid From / Deposited To",IF(ISNA(MATCH(K933,coa_Name,0)),"Unknown account: "&amp;K933,IF(NOT(ISNUMBER(L933)),"Enter an amount",IF(L933=0,"Enter an amount",IF(ABS(W933)&gt;ABS(L933),"Tax is larger than the amount","")))))))))))))</f>
        <v/>
      </c>
      <c r="Y933" s="67">
        <f>IF(OR(T933=1,X933&lt;&gt;""),"",IF(AND(B933&lt;&gt;"",COUNTIF(tx_ID,B933)&gt;1),"Duplicate transaction ID",IF(AND(L933&lt;0,D933&lt;&gt;"Adjustment"),"Negative amount — check this entry",IF(AND(D933="Customer Payment",G933=""),"Add the customer",IF(AND(D933="Customer Payment",OR(J933="",COUNTIF(ar_No,J933&amp;"")=0)),"Invoice # in Reference not found on AR sheet",IF(AND(D933="Bill Payment",H933=""),"Add the vendor",IF(AND(D933="Bill Payment",OR(J933="",COUNTIFS(ap_No,J933&amp;"",ap_Party,H933&amp;"")=0)),"Bill # + vendor not found on AP sheet",IF(AND(ISNUMBER(M933),N(M933)&lt;&gt;0,W933=0),"Tax ignored (tax tracking off, or not allowed for this type)",IF(V933=K933&amp;"","Same account on both sides",IF(AND(ISNUMBER(StartDate),C933&lt;StartDate),"Date is before the accounting start date",IF(AND(D933&lt;&gt;"Adjustment",IFERROR(INDEX(coa_Pay,MATCH(K933&amp;"",coa_Name,0)),"")&lt;&gt;"Yes"),"Paid From / Deposited To is not a payment account","")))))))))))</f>
        <v/>
      </c>
      <c r="Z933" s="67">
        <f>IF(AND(T933=0,X933=""),1,0)</f>
        <v/>
      </c>
      <c r="AA933" s="68">
        <f>IF(Z933=1,IF(U933="In",L933,L933-W933),0)</f>
        <v/>
      </c>
      <c r="AB933" s="68">
        <f>IF(Z933=1,IF(U933="In",L933-W933,L933),0)</f>
        <v/>
      </c>
      <c r="AC933" s="68">
        <f>IF(AND(Z933=1,U933="Out"),W933,0)</f>
        <v/>
      </c>
      <c r="AD933" s="68">
        <f>IF(AND(Z933=1,U933="In"),W933,0)</f>
        <v/>
      </c>
    </row>
    <row r="934">
      <c r="B934" s="62" t="inlineStr">
        <is>
          <t>TX-0928</t>
        </is>
      </c>
      <c r="C934" s="63" t="n"/>
      <c r="D934" s="62" t="n"/>
      <c r="E934" s="62" t="n"/>
      <c r="F934" s="62" t="n"/>
      <c r="G934" s="62" t="n"/>
      <c r="H934" s="62" t="n"/>
      <c r="I934" s="62" t="n"/>
      <c r="J934" s="62" t="n"/>
      <c r="K934" s="62" t="n"/>
      <c r="L934" s="64" t="n"/>
      <c r="M934" s="64" t="n"/>
      <c r="N934" s="62" t="n"/>
      <c r="O934" s="65">
        <f>IF(Z934=1,L934-W934,"")</f>
        <v/>
      </c>
      <c r="P934" s="66">
        <f>IF(V934="","",IFERROR(INDEX(coa_Type,MATCH(V934,coa_Name,0)),""))</f>
        <v/>
      </c>
      <c r="Q934" s="66">
        <f>IF(Z934=1,IF(U934="In",K934&amp;"",V934),"")</f>
        <v/>
      </c>
      <c r="R934" s="66">
        <f>IF(Z934=1,IF(U934="In",V934,K934&amp;""),"")</f>
        <v/>
      </c>
      <c r="S934" s="66">
        <f>IF(X934&lt;&gt;"","⛔ "&amp;X934&amp;" — not posted",IF(Y934&lt;&gt;"","⚠ "&amp;Y934,IF(Z934=1,"✓ OK","")))</f>
        <v/>
      </c>
      <c r="T934" s="67">
        <f>IF(AND(C934="",D934="",E934="",L934="",K934=""),1,0)</f>
        <v/>
      </c>
      <c r="U934" s="67">
        <f>IFERROR(INDEX(tt_Dir,MATCH(D934,tt_Type,0)),"")</f>
        <v/>
      </c>
      <c r="V934" s="67">
        <f>IF(D934="","",IFERROR(IF(INDEX(tt_Other,MATCH(D934,tt_Type,0))="",E934&amp;"",INDEX(tt_Other,MATCH(D934,tt_Type,0))),""))</f>
        <v/>
      </c>
      <c r="W934" s="68">
        <f>IF(OR(TaxOn&lt;&gt;"Yes",NOT(ISNUMBER(M934))),0,IF(IFERROR(INDEX(tt_Tax,MATCH(D934,tt_Type,0)),"No")="Yes",M934,0))</f>
        <v/>
      </c>
      <c r="X934" s="67">
        <f>IF(T934=1,"",IF(C934="","Missing transaction date",IF(NOT(ISNUMBER(C934)),"Invalid date",IF(OR(C934&lt;DATE(2000,1,1),C934&gt;DATE(2099,12,31)),"Invalid date",IF(D934="","Select a type",IF(U934="","Unknown type: "&amp;D934,IF(V934="","Select an account (Category)",IF(ISNA(MATCH(V934,coa_Name,0)),"Unknown account: "&amp;V934,IF(K934="","Select Paid From / Deposited To",IF(ISNA(MATCH(K934,coa_Name,0)),"Unknown account: "&amp;K934,IF(NOT(ISNUMBER(L934)),"Enter an amount",IF(L934=0,"Enter an amount",IF(ABS(W934)&gt;ABS(L934),"Tax is larger than the amount","")))))))))))))</f>
        <v/>
      </c>
      <c r="Y934" s="67">
        <f>IF(OR(T934=1,X934&lt;&gt;""),"",IF(AND(B934&lt;&gt;"",COUNTIF(tx_ID,B934)&gt;1),"Duplicate transaction ID",IF(AND(L934&lt;0,D934&lt;&gt;"Adjustment"),"Negative amount — check this entry",IF(AND(D934="Customer Payment",G934=""),"Add the customer",IF(AND(D934="Customer Payment",OR(J934="",COUNTIF(ar_No,J934&amp;"")=0)),"Invoice # in Reference not found on AR sheet",IF(AND(D934="Bill Payment",H934=""),"Add the vendor",IF(AND(D934="Bill Payment",OR(J934="",COUNTIFS(ap_No,J934&amp;"",ap_Party,H934&amp;"")=0)),"Bill # + vendor not found on AP sheet",IF(AND(ISNUMBER(M934),N(M934)&lt;&gt;0,W934=0),"Tax ignored (tax tracking off, or not allowed for this type)",IF(V934=K934&amp;"","Same account on both sides",IF(AND(ISNUMBER(StartDate),C934&lt;StartDate),"Date is before the accounting start date",IF(AND(D934&lt;&gt;"Adjustment",IFERROR(INDEX(coa_Pay,MATCH(K934&amp;"",coa_Name,0)),"")&lt;&gt;"Yes"),"Paid From / Deposited To is not a payment account","")))))))))))</f>
        <v/>
      </c>
      <c r="Z934" s="67">
        <f>IF(AND(T934=0,X934=""),1,0)</f>
        <v/>
      </c>
      <c r="AA934" s="68">
        <f>IF(Z934=1,IF(U934="In",L934,L934-W934),0)</f>
        <v/>
      </c>
      <c r="AB934" s="68">
        <f>IF(Z934=1,IF(U934="In",L934-W934,L934),0)</f>
        <v/>
      </c>
      <c r="AC934" s="68">
        <f>IF(AND(Z934=1,U934="Out"),W934,0)</f>
        <v/>
      </c>
      <c r="AD934" s="68">
        <f>IF(AND(Z934=1,U934="In"),W934,0)</f>
        <v/>
      </c>
    </row>
    <row r="935">
      <c r="B935" s="62" t="inlineStr">
        <is>
          <t>TX-0929</t>
        </is>
      </c>
      <c r="C935" s="63" t="n"/>
      <c r="D935" s="62" t="n"/>
      <c r="E935" s="62" t="n"/>
      <c r="F935" s="62" t="n"/>
      <c r="G935" s="62" t="n"/>
      <c r="H935" s="62" t="n"/>
      <c r="I935" s="62" t="n"/>
      <c r="J935" s="62" t="n"/>
      <c r="K935" s="62" t="n"/>
      <c r="L935" s="64" t="n"/>
      <c r="M935" s="64" t="n"/>
      <c r="N935" s="62" t="n"/>
      <c r="O935" s="65">
        <f>IF(Z935=1,L935-W935,"")</f>
        <v/>
      </c>
      <c r="P935" s="66">
        <f>IF(V935="","",IFERROR(INDEX(coa_Type,MATCH(V935,coa_Name,0)),""))</f>
        <v/>
      </c>
      <c r="Q935" s="66">
        <f>IF(Z935=1,IF(U935="In",K935&amp;"",V935),"")</f>
        <v/>
      </c>
      <c r="R935" s="66">
        <f>IF(Z935=1,IF(U935="In",V935,K935&amp;""),"")</f>
        <v/>
      </c>
      <c r="S935" s="66">
        <f>IF(X935&lt;&gt;"","⛔ "&amp;X935&amp;" — not posted",IF(Y935&lt;&gt;"","⚠ "&amp;Y935,IF(Z935=1,"✓ OK","")))</f>
        <v/>
      </c>
      <c r="T935" s="67">
        <f>IF(AND(C935="",D935="",E935="",L935="",K935=""),1,0)</f>
        <v/>
      </c>
      <c r="U935" s="67">
        <f>IFERROR(INDEX(tt_Dir,MATCH(D935,tt_Type,0)),"")</f>
        <v/>
      </c>
      <c r="V935" s="67">
        <f>IF(D935="","",IFERROR(IF(INDEX(tt_Other,MATCH(D935,tt_Type,0))="",E935&amp;"",INDEX(tt_Other,MATCH(D935,tt_Type,0))),""))</f>
        <v/>
      </c>
      <c r="W935" s="68">
        <f>IF(OR(TaxOn&lt;&gt;"Yes",NOT(ISNUMBER(M935))),0,IF(IFERROR(INDEX(tt_Tax,MATCH(D935,tt_Type,0)),"No")="Yes",M935,0))</f>
        <v/>
      </c>
      <c r="X935" s="67">
        <f>IF(T935=1,"",IF(C935="","Missing transaction date",IF(NOT(ISNUMBER(C935)),"Invalid date",IF(OR(C935&lt;DATE(2000,1,1),C935&gt;DATE(2099,12,31)),"Invalid date",IF(D935="","Select a type",IF(U935="","Unknown type: "&amp;D935,IF(V935="","Select an account (Category)",IF(ISNA(MATCH(V935,coa_Name,0)),"Unknown account: "&amp;V935,IF(K935="","Select Paid From / Deposited To",IF(ISNA(MATCH(K935,coa_Name,0)),"Unknown account: "&amp;K935,IF(NOT(ISNUMBER(L935)),"Enter an amount",IF(L935=0,"Enter an amount",IF(ABS(W935)&gt;ABS(L935),"Tax is larger than the amount","")))))))))))))</f>
        <v/>
      </c>
      <c r="Y935" s="67">
        <f>IF(OR(T935=1,X935&lt;&gt;""),"",IF(AND(B935&lt;&gt;"",COUNTIF(tx_ID,B935)&gt;1),"Duplicate transaction ID",IF(AND(L935&lt;0,D935&lt;&gt;"Adjustment"),"Negative amount — check this entry",IF(AND(D935="Customer Payment",G935=""),"Add the customer",IF(AND(D935="Customer Payment",OR(J935="",COUNTIF(ar_No,J935&amp;"")=0)),"Invoice # in Reference not found on AR sheet",IF(AND(D935="Bill Payment",H935=""),"Add the vendor",IF(AND(D935="Bill Payment",OR(J935="",COUNTIFS(ap_No,J935&amp;"",ap_Party,H935&amp;"")=0)),"Bill # + vendor not found on AP sheet",IF(AND(ISNUMBER(M935),N(M935)&lt;&gt;0,W935=0),"Tax ignored (tax tracking off, or not allowed for this type)",IF(V935=K935&amp;"","Same account on both sides",IF(AND(ISNUMBER(StartDate),C935&lt;StartDate),"Date is before the accounting start date",IF(AND(D935&lt;&gt;"Adjustment",IFERROR(INDEX(coa_Pay,MATCH(K935&amp;"",coa_Name,0)),"")&lt;&gt;"Yes"),"Paid From / Deposited To is not a payment account","")))))))))))</f>
        <v/>
      </c>
      <c r="Z935" s="67">
        <f>IF(AND(T935=0,X935=""),1,0)</f>
        <v/>
      </c>
      <c r="AA935" s="68">
        <f>IF(Z935=1,IF(U935="In",L935,L935-W935),0)</f>
        <v/>
      </c>
      <c r="AB935" s="68">
        <f>IF(Z935=1,IF(U935="In",L935-W935,L935),0)</f>
        <v/>
      </c>
      <c r="AC935" s="68">
        <f>IF(AND(Z935=1,U935="Out"),W935,0)</f>
        <v/>
      </c>
      <c r="AD935" s="68">
        <f>IF(AND(Z935=1,U935="In"),W935,0)</f>
        <v/>
      </c>
    </row>
    <row r="936">
      <c r="B936" s="62" t="inlineStr">
        <is>
          <t>TX-0930</t>
        </is>
      </c>
      <c r="C936" s="63" t="n"/>
      <c r="D936" s="62" t="n"/>
      <c r="E936" s="62" t="n"/>
      <c r="F936" s="62" t="n"/>
      <c r="G936" s="62" t="n"/>
      <c r="H936" s="62" t="n"/>
      <c r="I936" s="62" t="n"/>
      <c r="J936" s="62" t="n"/>
      <c r="K936" s="62" t="n"/>
      <c r="L936" s="64" t="n"/>
      <c r="M936" s="64" t="n"/>
      <c r="N936" s="62" t="n"/>
      <c r="O936" s="65">
        <f>IF(Z936=1,L936-W936,"")</f>
        <v/>
      </c>
      <c r="P936" s="66">
        <f>IF(V936="","",IFERROR(INDEX(coa_Type,MATCH(V936,coa_Name,0)),""))</f>
        <v/>
      </c>
      <c r="Q936" s="66">
        <f>IF(Z936=1,IF(U936="In",K936&amp;"",V936),"")</f>
        <v/>
      </c>
      <c r="R936" s="66">
        <f>IF(Z936=1,IF(U936="In",V936,K936&amp;""),"")</f>
        <v/>
      </c>
      <c r="S936" s="66">
        <f>IF(X936&lt;&gt;"","⛔ "&amp;X936&amp;" — not posted",IF(Y936&lt;&gt;"","⚠ "&amp;Y936,IF(Z936=1,"✓ OK","")))</f>
        <v/>
      </c>
      <c r="T936" s="67">
        <f>IF(AND(C936="",D936="",E936="",L936="",K936=""),1,0)</f>
        <v/>
      </c>
      <c r="U936" s="67">
        <f>IFERROR(INDEX(tt_Dir,MATCH(D936,tt_Type,0)),"")</f>
        <v/>
      </c>
      <c r="V936" s="67">
        <f>IF(D936="","",IFERROR(IF(INDEX(tt_Other,MATCH(D936,tt_Type,0))="",E936&amp;"",INDEX(tt_Other,MATCH(D936,tt_Type,0))),""))</f>
        <v/>
      </c>
      <c r="W936" s="68">
        <f>IF(OR(TaxOn&lt;&gt;"Yes",NOT(ISNUMBER(M936))),0,IF(IFERROR(INDEX(tt_Tax,MATCH(D936,tt_Type,0)),"No")="Yes",M936,0))</f>
        <v/>
      </c>
      <c r="X936" s="67">
        <f>IF(T936=1,"",IF(C936="","Missing transaction date",IF(NOT(ISNUMBER(C936)),"Invalid date",IF(OR(C936&lt;DATE(2000,1,1),C936&gt;DATE(2099,12,31)),"Invalid date",IF(D936="","Select a type",IF(U936="","Unknown type: "&amp;D936,IF(V936="","Select an account (Category)",IF(ISNA(MATCH(V936,coa_Name,0)),"Unknown account: "&amp;V936,IF(K936="","Select Paid From / Deposited To",IF(ISNA(MATCH(K936,coa_Name,0)),"Unknown account: "&amp;K936,IF(NOT(ISNUMBER(L936)),"Enter an amount",IF(L936=0,"Enter an amount",IF(ABS(W936)&gt;ABS(L936),"Tax is larger than the amount","")))))))))))))</f>
        <v/>
      </c>
      <c r="Y936" s="67">
        <f>IF(OR(T936=1,X936&lt;&gt;""),"",IF(AND(B936&lt;&gt;"",COUNTIF(tx_ID,B936)&gt;1),"Duplicate transaction ID",IF(AND(L936&lt;0,D936&lt;&gt;"Adjustment"),"Negative amount — check this entry",IF(AND(D936="Customer Payment",G936=""),"Add the customer",IF(AND(D936="Customer Payment",OR(J936="",COUNTIF(ar_No,J936&amp;"")=0)),"Invoice # in Reference not found on AR sheet",IF(AND(D936="Bill Payment",H936=""),"Add the vendor",IF(AND(D936="Bill Payment",OR(J936="",COUNTIFS(ap_No,J936&amp;"",ap_Party,H936&amp;"")=0)),"Bill # + vendor not found on AP sheet",IF(AND(ISNUMBER(M936),N(M936)&lt;&gt;0,W936=0),"Tax ignored (tax tracking off, or not allowed for this type)",IF(V936=K936&amp;"","Same account on both sides",IF(AND(ISNUMBER(StartDate),C936&lt;StartDate),"Date is before the accounting start date",IF(AND(D936&lt;&gt;"Adjustment",IFERROR(INDEX(coa_Pay,MATCH(K936&amp;"",coa_Name,0)),"")&lt;&gt;"Yes"),"Paid From / Deposited To is not a payment account","")))))))))))</f>
        <v/>
      </c>
      <c r="Z936" s="67">
        <f>IF(AND(T936=0,X936=""),1,0)</f>
        <v/>
      </c>
      <c r="AA936" s="68">
        <f>IF(Z936=1,IF(U936="In",L936,L936-W936),0)</f>
        <v/>
      </c>
      <c r="AB936" s="68">
        <f>IF(Z936=1,IF(U936="In",L936-W936,L936),0)</f>
        <v/>
      </c>
      <c r="AC936" s="68">
        <f>IF(AND(Z936=1,U936="Out"),W936,0)</f>
        <v/>
      </c>
      <c r="AD936" s="68">
        <f>IF(AND(Z936=1,U936="In"),W936,0)</f>
        <v/>
      </c>
    </row>
    <row r="937">
      <c r="B937" s="62" t="inlineStr">
        <is>
          <t>TX-0931</t>
        </is>
      </c>
      <c r="C937" s="63" t="n"/>
      <c r="D937" s="62" t="n"/>
      <c r="E937" s="62" t="n"/>
      <c r="F937" s="62" t="n"/>
      <c r="G937" s="62" t="n"/>
      <c r="H937" s="62" t="n"/>
      <c r="I937" s="62" t="n"/>
      <c r="J937" s="62" t="n"/>
      <c r="K937" s="62" t="n"/>
      <c r="L937" s="64" t="n"/>
      <c r="M937" s="64" t="n"/>
      <c r="N937" s="62" t="n"/>
      <c r="O937" s="65">
        <f>IF(Z937=1,L937-W937,"")</f>
        <v/>
      </c>
      <c r="P937" s="66">
        <f>IF(V937="","",IFERROR(INDEX(coa_Type,MATCH(V937,coa_Name,0)),""))</f>
        <v/>
      </c>
      <c r="Q937" s="66">
        <f>IF(Z937=1,IF(U937="In",K937&amp;"",V937),"")</f>
        <v/>
      </c>
      <c r="R937" s="66">
        <f>IF(Z937=1,IF(U937="In",V937,K937&amp;""),"")</f>
        <v/>
      </c>
      <c r="S937" s="66">
        <f>IF(X937&lt;&gt;"","⛔ "&amp;X937&amp;" — not posted",IF(Y937&lt;&gt;"","⚠ "&amp;Y937,IF(Z937=1,"✓ OK","")))</f>
        <v/>
      </c>
      <c r="T937" s="67">
        <f>IF(AND(C937="",D937="",E937="",L937="",K937=""),1,0)</f>
        <v/>
      </c>
      <c r="U937" s="67">
        <f>IFERROR(INDEX(tt_Dir,MATCH(D937,tt_Type,0)),"")</f>
        <v/>
      </c>
      <c r="V937" s="67">
        <f>IF(D937="","",IFERROR(IF(INDEX(tt_Other,MATCH(D937,tt_Type,0))="",E937&amp;"",INDEX(tt_Other,MATCH(D937,tt_Type,0))),""))</f>
        <v/>
      </c>
      <c r="W937" s="68">
        <f>IF(OR(TaxOn&lt;&gt;"Yes",NOT(ISNUMBER(M937))),0,IF(IFERROR(INDEX(tt_Tax,MATCH(D937,tt_Type,0)),"No")="Yes",M937,0))</f>
        <v/>
      </c>
      <c r="X937" s="67">
        <f>IF(T937=1,"",IF(C937="","Missing transaction date",IF(NOT(ISNUMBER(C937)),"Invalid date",IF(OR(C937&lt;DATE(2000,1,1),C937&gt;DATE(2099,12,31)),"Invalid date",IF(D937="","Select a type",IF(U937="","Unknown type: "&amp;D937,IF(V937="","Select an account (Category)",IF(ISNA(MATCH(V937,coa_Name,0)),"Unknown account: "&amp;V937,IF(K937="","Select Paid From / Deposited To",IF(ISNA(MATCH(K937,coa_Name,0)),"Unknown account: "&amp;K937,IF(NOT(ISNUMBER(L937)),"Enter an amount",IF(L937=0,"Enter an amount",IF(ABS(W937)&gt;ABS(L937),"Tax is larger than the amount","")))))))))))))</f>
        <v/>
      </c>
      <c r="Y937" s="67">
        <f>IF(OR(T937=1,X937&lt;&gt;""),"",IF(AND(B937&lt;&gt;"",COUNTIF(tx_ID,B937)&gt;1),"Duplicate transaction ID",IF(AND(L937&lt;0,D937&lt;&gt;"Adjustment"),"Negative amount — check this entry",IF(AND(D937="Customer Payment",G937=""),"Add the customer",IF(AND(D937="Customer Payment",OR(J937="",COUNTIF(ar_No,J937&amp;"")=0)),"Invoice # in Reference not found on AR sheet",IF(AND(D937="Bill Payment",H937=""),"Add the vendor",IF(AND(D937="Bill Payment",OR(J937="",COUNTIFS(ap_No,J937&amp;"",ap_Party,H937&amp;"")=0)),"Bill # + vendor not found on AP sheet",IF(AND(ISNUMBER(M937),N(M937)&lt;&gt;0,W937=0),"Tax ignored (tax tracking off, or not allowed for this type)",IF(V937=K937&amp;"","Same account on both sides",IF(AND(ISNUMBER(StartDate),C937&lt;StartDate),"Date is before the accounting start date",IF(AND(D937&lt;&gt;"Adjustment",IFERROR(INDEX(coa_Pay,MATCH(K937&amp;"",coa_Name,0)),"")&lt;&gt;"Yes"),"Paid From / Deposited To is not a payment account","")))))))))))</f>
        <v/>
      </c>
      <c r="Z937" s="67">
        <f>IF(AND(T937=0,X937=""),1,0)</f>
        <v/>
      </c>
      <c r="AA937" s="68">
        <f>IF(Z937=1,IF(U937="In",L937,L937-W937),0)</f>
        <v/>
      </c>
      <c r="AB937" s="68">
        <f>IF(Z937=1,IF(U937="In",L937-W937,L937),0)</f>
        <v/>
      </c>
      <c r="AC937" s="68">
        <f>IF(AND(Z937=1,U937="Out"),W937,0)</f>
        <v/>
      </c>
      <c r="AD937" s="68">
        <f>IF(AND(Z937=1,U937="In"),W937,0)</f>
        <v/>
      </c>
    </row>
    <row r="938">
      <c r="B938" s="62" t="inlineStr">
        <is>
          <t>TX-0932</t>
        </is>
      </c>
      <c r="C938" s="63" t="n"/>
      <c r="D938" s="62" t="n"/>
      <c r="E938" s="62" t="n"/>
      <c r="F938" s="62" t="n"/>
      <c r="G938" s="62" t="n"/>
      <c r="H938" s="62" t="n"/>
      <c r="I938" s="62" t="n"/>
      <c r="J938" s="62" t="n"/>
      <c r="K938" s="62" t="n"/>
      <c r="L938" s="64" t="n"/>
      <c r="M938" s="64" t="n"/>
      <c r="N938" s="62" t="n"/>
      <c r="O938" s="65">
        <f>IF(Z938=1,L938-W938,"")</f>
        <v/>
      </c>
      <c r="P938" s="66">
        <f>IF(V938="","",IFERROR(INDEX(coa_Type,MATCH(V938,coa_Name,0)),""))</f>
        <v/>
      </c>
      <c r="Q938" s="66">
        <f>IF(Z938=1,IF(U938="In",K938&amp;"",V938),"")</f>
        <v/>
      </c>
      <c r="R938" s="66">
        <f>IF(Z938=1,IF(U938="In",V938,K938&amp;""),"")</f>
        <v/>
      </c>
      <c r="S938" s="66">
        <f>IF(X938&lt;&gt;"","⛔ "&amp;X938&amp;" — not posted",IF(Y938&lt;&gt;"","⚠ "&amp;Y938,IF(Z938=1,"✓ OK","")))</f>
        <v/>
      </c>
      <c r="T938" s="67">
        <f>IF(AND(C938="",D938="",E938="",L938="",K938=""),1,0)</f>
        <v/>
      </c>
      <c r="U938" s="67">
        <f>IFERROR(INDEX(tt_Dir,MATCH(D938,tt_Type,0)),"")</f>
        <v/>
      </c>
      <c r="V938" s="67">
        <f>IF(D938="","",IFERROR(IF(INDEX(tt_Other,MATCH(D938,tt_Type,0))="",E938&amp;"",INDEX(tt_Other,MATCH(D938,tt_Type,0))),""))</f>
        <v/>
      </c>
      <c r="W938" s="68">
        <f>IF(OR(TaxOn&lt;&gt;"Yes",NOT(ISNUMBER(M938))),0,IF(IFERROR(INDEX(tt_Tax,MATCH(D938,tt_Type,0)),"No")="Yes",M938,0))</f>
        <v/>
      </c>
      <c r="X938" s="67">
        <f>IF(T938=1,"",IF(C938="","Missing transaction date",IF(NOT(ISNUMBER(C938)),"Invalid date",IF(OR(C938&lt;DATE(2000,1,1),C938&gt;DATE(2099,12,31)),"Invalid date",IF(D938="","Select a type",IF(U938="","Unknown type: "&amp;D938,IF(V938="","Select an account (Category)",IF(ISNA(MATCH(V938,coa_Name,0)),"Unknown account: "&amp;V938,IF(K938="","Select Paid From / Deposited To",IF(ISNA(MATCH(K938,coa_Name,0)),"Unknown account: "&amp;K938,IF(NOT(ISNUMBER(L938)),"Enter an amount",IF(L938=0,"Enter an amount",IF(ABS(W938)&gt;ABS(L938),"Tax is larger than the amount","")))))))))))))</f>
        <v/>
      </c>
      <c r="Y938" s="67">
        <f>IF(OR(T938=1,X938&lt;&gt;""),"",IF(AND(B938&lt;&gt;"",COUNTIF(tx_ID,B938)&gt;1),"Duplicate transaction ID",IF(AND(L938&lt;0,D938&lt;&gt;"Adjustment"),"Negative amount — check this entry",IF(AND(D938="Customer Payment",G938=""),"Add the customer",IF(AND(D938="Customer Payment",OR(J938="",COUNTIF(ar_No,J938&amp;"")=0)),"Invoice # in Reference not found on AR sheet",IF(AND(D938="Bill Payment",H938=""),"Add the vendor",IF(AND(D938="Bill Payment",OR(J938="",COUNTIFS(ap_No,J938&amp;"",ap_Party,H938&amp;"")=0)),"Bill # + vendor not found on AP sheet",IF(AND(ISNUMBER(M938),N(M938)&lt;&gt;0,W938=0),"Tax ignored (tax tracking off, or not allowed for this type)",IF(V938=K938&amp;"","Same account on both sides",IF(AND(ISNUMBER(StartDate),C938&lt;StartDate),"Date is before the accounting start date",IF(AND(D938&lt;&gt;"Adjustment",IFERROR(INDEX(coa_Pay,MATCH(K938&amp;"",coa_Name,0)),"")&lt;&gt;"Yes"),"Paid From / Deposited To is not a payment account","")))))))))))</f>
        <v/>
      </c>
      <c r="Z938" s="67">
        <f>IF(AND(T938=0,X938=""),1,0)</f>
        <v/>
      </c>
      <c r="AA938" s="68">
        <f>IF(Z938=1,IF(U938="In",L938,L938-W938),0)</f>
        <v/>
      </c>
      <c r="AB938" s="68">
        <f>IF(Z938=1,IF(U938="In",L938-W938,L938),0)</f>
        <v/>
      </c>
      <c r="AC938" s="68">
        <f>IF(AND(Z938=1,U938="Out"),W938,0)</f>
        <v/>
      </c>
      <c r="AD938" s="68">
        <f>IF(AND(Z938=1,U938="In"),W938,0)</f>
        <v/>
      </c>
    </row>
    <row r="939">
      <c r="B939" s="62" t="inlineStr">
        <is>
          <t>TX-0933</t>
        </is>
      </c>
      <c r="C939" s="63" t="n"/>
      <c r="D939" s="62" t="n"/>
      <c r="E939" s="62" t="n"/>
      <c r="F939" s="62" t="n"/>
      <c r="G939" s="62" t="n"/>
      <c r="H939" s="62" t="n"/>
      <c r="I939" s="62" t="n"/>
      <c r="J939" s="62" t="n"/>
      <c r="K939" s="62" t="n"/>
      <c r="L939" s="64" t="n"/>
      <c r="M939" s="64" t="n"/>
      <c r="N939" s="62" t="n"/>
      <c r="O939" s="65">
        <f>IF(Z939=1,L939-W939,"")</f>
        <v/>
      </c>
      <c r="P939" s="66">
        <f>IF(V939="","",IFERROR(INDEX(coa_Type,MATCH(V939,coa_Name,0)),""))</f>
        <v/>
      </c>
      <c r="Q939" s="66">
        <f>IF(Z939=1,IF(U939="In",K939&amp;"",V939),"")</f>
        <v/>
      </c>
      <c r="R939" s="66">
        <f>IF(Z939=1,IF(U939="In",V939,K939&amp;""),"")</f>
        <v/>
      </c>
      <c r="S939" s="66">
        <f>IF(X939&lt;&gt;"","⛔ "&amp;X939&amp;" — not posted",IF(Y939&lt;&gt;"","⚠ "&amp;Y939,IF(Z939=1,"✓ OK","")))</f>
        <v/>
      </c>
      <c r="T939" s="67">
        <f>IF(AND(C939="",D939="",E939="",L939="",K939=""),1,0)</f>
        <v/>
      </c>
      <c r="U939" s="67">
        <f>IFERROR(INDEX(tt_Dir,MATCH(D939,tt_Type,0)),"")</f>
        <v/>
      </c>
      <c r="V939" s="67">
        <f>IF(D939="","",IFERROR(IF(INDEX(tt_Other,MATCH(D939,tt_Type,0))="",E939&amp;"",INDEX(tt_Other,MATCH(D939,tt_Type,0))),""))</f>
        <v/>
      </c>
      <c r="W939" s="68">
        <f>IF(OR(TaxOn&lt;&gt;"Yes",NOT(ISNUMBER(M939))),0,IF(IFERROR(INDEX(tt_Tax,MATCH(D939,tt_Type,0)),"No")="Yes",M939,0))</f>
        <v/>
      </c>
      <c r="X939" s="67">
        <f>IF(T939=1,"",IF(C939="","Missing transaction date",IF(NOT(ISNUMBER(C939)),"Invalid date",IF(OR(C939&lt;DATE(2000,1,1),C939&gt;DATE(2099,12,31)),"Invalid date",IF(D939="","Select a type",IF(U939="","Unknown type: "&amp;D939,IF(V939="","Select an account (Category)",IF(ISNA(MATCH(V939,coa_Name,0)),"Unknown account: "&amp;V939,IF(K939="","Select Paid From / Deposited To",IF(ISNA(MATCH(K939,coa_Name,0)),"Unknown account: "&amp;K939,IF(NOT(ISNUMBER(L939)),"Enter an amount",IF(L939=0,"Enter an amount",IF(ABS(W939)&gt;ABS(L939),"Tax is larger than the amount","")))))))))))))</f>
        <v/>
      </c>
      <c r="Y939" s="67">
        <f>IF(OR(T939=1,X939&lt;&gt;""),"",IF(AND(B939&lt;&gt;"",COUNTIF(tx_ID,B939)&gt;1),"Duplicate transaction ID",IF(AND(L939&lt;0,D939&lt;&gt;"Adjustment"),"Negative amount — check this entry",IF(AND(D939="Customer Payment",G939=""),"Add the customer",IF(AND(D939="Customer Payment",OR(J939="",COUNTIF(ar_No,J939&amp;"")=0)),"Invoice # in Reference not found on AR sheet",IF(AND(D939="Bill Payment",H939=""),"Add the vendor",IF(AND(D939="Bill Payment",OR(J939="",COUNTIFS(ap_No,J939&amp;"",ap_Party,H939&amp;"")=0)),"Bill # + vendor not found on AP sheet",IF(AND(ISNUMBER(M939),N(M939)&lt;&gt;0,W939=0),"Tax ignored (tax tracking off, or not allowed for this type)",IF(V939=K939&amp;"","Same account on both sides",IF(AND(ISNUMBER(StartDate),C939&lt;StartDate),"Date is before the accounting start date",IF(AND(D939&lt;&gt;"Adjustment",IFERROR(INDEX(coa_Pay,MATCH(K939&amp;"",coa_Name,0)),"")&lt;&gt;"Yes"),"Paid From / Deposited To is not a payment account","")))))))))))</f>
        <v/>
      </c>
      <c r="Z939" s="67">
        <f>IF(AND(T939=0,X939=""),1,0)</f>
        <v/>
      </c>
      <c r="AA939" s="68">
        <f>IF(Z939=1,IF(U939="In",L939,L939-W939),0)</f>
        <v/>
      </c>
      <c r="AB939" s="68">
        <f>IF(Z939=1,IF(U939="In",L939-W939,L939),0)</f>
        <v/>
      </c>
      <c r="AC939" s="68">
        <f>IF(AND(Z939=1,U939="Out"),W939,0)</f>
        <v/>
      </c>
      <c r="AD939" s="68">
        <f>IF(AND(Z939=1,U939="In"),W939,0)</f>
        <v/>
      </c>
    </row>
    <row r="940">
      <c r="B940" s="62" t="inlineStr">
        <is>
          <t>TX-0934</t>
        </is>
      </c>
      <c r="C940" s="63" t="n"/>
      <c r="D940" s="62" t="n"/>
      <c r="E940" s="62" t="n"/>
      <c r="F940" s="62" t="n"/>
      <c r="G940" s="62" t="n"/>
      <c r="H940" s="62" t="n"/>
      <c r="I940" s="62" t="n"/>
      <c r="J940" s="62" t="n"/>
      <c r="K940" s="62" t="n"/>
      <c r="L940" s="64" t="n"/>
      <c r="M940" s="64" t="n"/>
      <c r="N940" s="62" t="n"/>
      <c r="O940" s="65">
        <f>IF(Z940=1,L940-W940,"")</f>
        <v/>
      </c>
      <c r="P940" s="66">
        <f>IF(V940="","",IFERROR(INDEX(coa_Type,MATCH(V940,coa_Name,0)),""))</f>
        <v/>
      </c>
      <c r="Q940" s="66">
        <f>IF(Z940=1,IF(U940="In",K940&amp;"",V940),"")</f>
        <v/>
      </c>
      <c r="R940" s="66">
        <f>IF(Z940=1,IF(U940="In",V940,K940&amp;""),"")</f>
        <v/>
      </c>
      <c r="S940" s="66">
        <f>IF(X940&lt;&gt;"","⛔ "&amp;X940&amp;" — not posted",IF(Y940&lt;&gt;"","⚠ "&amp;Y940,IF(Z940=1,"✓ OK","")))</f>
        <v/>
      </c>
      <c r="T940" s="67">
        <f>IF(AND(C940="",D940="",E940="",L940="",K940=""),1,0)</f>
        <v/>
      </c>
      <c r="U940" s="67">
        <f>IFERROR(INDEX(tt_Dir,MATCH(D940,tt_Type,0)),"")</f>
        <v/>
      </c>
      <c r="V940" s="67">
        <f>IF(D940="","",IFERROR(IF(INDEX(tt_Other,MATCH(D940,tt_Type,0))="",E940&amp;"",INDEX(tt_Other,MATCH(D940,tt_Type,0))),""))</f>
        <v/>
      </c>
      <c r="W940" s="68">
        <f>IF(OR(TaxOn&lt;&gt;"Yes",NOT(ISNUMBER(M940))),0,IF(IFERROR(INDEX(tt_Tax,MATCH(D940,tt_Type,0)),"No")="Yes",M940,0))</f>
        <v/>
      </c>
      <c r="X940" s="67">
        <f>IF(T940=1,"",IF(C940="","Missing transaction date",IF(NOT(ISNUMBER(C940)),"Invalid date",IF(OR(C940&lt;DATE(2000,1,1),C940&gt;DATE(2099,12,31)),"Invalid date",IF(D940="","Select a type",IF(U940="","Unknown type: "&amp;D940,IF(V940="","Select an account (Category)",IF(ISNA(MATCH(V940,coa_Name,0)),"Unknown account: "&amp;V940,IF(K940="","Select Paid From / Deposited To",IF(ISNA(MATCH(K940,coa_Name,0)),"Unknown account: "&amp;K940,IF(NOT(ISNUMBER(L940)),"Enter an amount",IF(L940=0,"Enter an amount",IF(ABS(W940)&gt;ABS(L940),"Tax is larger than the amount","")))))))))))))</f>
        <v/>
      </c>
      <c r="Y940" s="67">
        <f>IF(OR(T940=1,X940&lt;&gt;""),"",IF(AND(B940&lt;&gt;"",COUNTIF(tx_ID,B940)&gt;1),"Duplicate transaction ID",IF(AND(L940&lt;0,D940&lt;&gt;"Adjustment"),"Negative amount — check this entry",IF(AND(D940="Customer Payment",G940=""),"Add the customer",IF(AND(D940="Customer Payment",OR(J940="",COUNTIF(ar_No,J940&amp;"")=0)),"Invoice # in Reference not found on AR sheet",IF(AND(D940="Bill Payment",H940=""),"Add the vendor",IF(AND(D940="Bill Payment",OR(J940="",COUNTIFS(ap_No,J940&amp;"",ap_Party,H940&amp;"")=0)),"Bill # + vendor not found on AP sheet",IF(AND(ISNUMBER(M940),N(M940)&lt;&gt;0,W940=0),"Tax ignored (tax tracking off, or not allowed for this type)",IF(V940=K940&amp;"","Same account on both sides",IF(AND(ISNUMBER(StartDate),C940&lt;StartDate),"Date is before the accounting start date",IF(AND(D940&lt;&gt;"Adjustment",IFERROR(INDEX(coa_Pay,MATCH(K940&amp;"",coa_Name,0)),"")&lt;&gt;"Yes"),"Paid From / Deposited To is not a payment account","")))))))))))</f>
        <v/>
      </c>
      <c r="Z940" s="67">
        <f>IF(AND(T940=0,X940=""),1,0)</f>
        <v/>
      </c>
      <c r="AA940" s="68">
        <f>IF(Z940=1,IF(U940="In",L940,L940-W940),0)</f>
        <v/>
      </c>
      <c r="AB940" s="68">
        <f>IF(Z940=1,IF(U940="In",L940-W940,L940),0)</f>
        <v/>
      </c>
      <c r="AC940" s="68">
        <f>IF(AND(Z940=1,U940="Out"),W940,0)</f>
        <v/>
      </c>
      <c r="AD940" s="68">
        <f>IF(AND(Z940=1,U940="In"),W940,0)</f>
        <v/>
      </c>
    </row>
    <row r="941">
      <c r="B941" s="62" t="inlineStr">
        <is>
          <t>TX-0935</t>
        </is>
      </c>
      <c r="C941" s="63" t="n"/>
      <c r="D941" s="62" t="n"/>
      <c r="E941" s="62" t="n"/>
      <c r="F941" s="62" t="n"/>
      <c r="G941" s="62" t="n"/>
      <c r="H941" s="62" t="n"/>
      <c r="I941" s="62" t="n"/>
      <c r="J941" s="62" t="n"/>
      <c r="K941" s="62" t="n"/>
      <c r="L941" s="64" t="n"/>
      <c r="M941" s="64" t="n"/>
      <c r="N941" s="62" t="n"/>
      <c r="O941" s="65">
        <f>IF(Z941=1,L941-W941,"")</f>
        <v/>
      </c>
      <c r="P941" s="66">
        <f>IF(V941="","",IFERROR(INDEX(coa_Type,MATCH(V941,coa_Name,0)),""))</f>
        <v/>
      </c>
      <c r="Q941" s="66">
        <f>IF(Z941=1,IF(U941="In",K941&amp;"",V941),"")</f>
        <v/>
      </c>
      <c r="R941" s="66">
        <f>IF(Z941=1,IF(U941="In",V941,K941&amp;""),"")</f>
        <v/>
      </c>
      <c r="S941" s="66">
        <f>IF(X941&lt;&gt;"","⛔ "&amp;X941&amp;" — not posted",IF(Y941&lt;&gt;"","⚠ "&amp;Y941,IF(Z941=1,"✓ OK","")))</f>
        <v/>
      </c>
      <c r="T941" s="67">
        <f>IF(AND(C941="",D941="",E941="",L941="",K941=""),1,0)</f>
        <v/>
      </c>
      <c r="U941" s="67">
        <f>IFERROR(INDEX(tt_Dir,MATCH(D941,tt_Type,0)),"")</f>
        <v/>
      </c>
      <c r="V941" s="67">
        <f>IF(D941="","",IFERROR(IF(INDEX(tt_Other,MATCH(D941,tt_Type,0))="",E941&amp;"",INDEX(tt_Other,MATCH(D941,tt_Type,0))),""))</f>
        <v/>
      </c>
      <c r="W941" s="68">
        <f>IF(OR(TaxOn&lt;&gt;"Yes",NOT(ISNUMBER(M941))),0,IF(IFERROR(INDEX(tt_Tax,MATCH(D941,tt_Type,0)),"No")="Yes",M941,0))</f>
        <v/>
      </c>
      <c r="X941" s="67">
        <f>IF(T941=1,"",IF(C941="","Missing transaction date",IF(NOT(ISNUMBER(C941)),"Invalid date",IF(OR(C941&lt;DATE(2000,1,1),C941&gt;DATE(2099,12,31)),"Invalid date",IF(D941="","Select a type",IF(U941="","Unknown type: "&amp;D941,IF(V941="","Select an account (Category)",IF(ISNA(MATCH(V941,coa_Name,0)),"Unknown account: "&amp;V941,IF(K941="","Select Paid From / Deposited To",IF(ISNA(MATCH(K941,coa_Name,0)),"Unknown account: "&amp;K941,IF(NOT(ISNUMBER(L941)),"Enter an amount",IF(L941=0,"Enter an amount",IF(ABS(W941)&gt;ABS(L941),"Tax is larger than the amount","")))))))))))))</f>
        <v/>
      </c>
      <c r="Y941" s="67">
        <f>IF(OR(T941=1,X941&lt;&gt;""),"",IF(AND(B941&lt;&gt;"",COUNTIF(tx_ID,B941)&gt;1),"Duplicate transaction ID",IF(AND(L941&lt;0,D941&lt;&gt;"Adjustment"),"Negative amount — check this entry",IF(AND(D941="Customer Payment",G941=""),"Add the customer",IF(AND(D941="Customer Payment",OR(J941="",COUNTIF(ar_No,J941&amp;"")=0)),"Invoice # in Reference not found on AR sheet",IF(AND(D941="Bill Payment",H941=""),"Add the vendor",IF(AND(D941="Bill Payment",OR(J941="",COUNTIFS(ap_No,J941&amp;"",ap_Party,H941&amp;"")=0)),"Bill # + vendor not found on AP sheet",IF(AND(ISNUMBER(M941),N(M941)&lt;&gt;0,W941=0),"Tax ignored (tax tracking off, or not allowed for this type)",IF(V941=K941&amp;"","Same account on both sides",IF(AND(ISNUMBER(StartDate),C941&lt;StartDate),"Date is before the accounting start date",IF(AND(D941&lt;&gt;"Adjustment",IFERROR(INDEX(coa_Pay,MATCH(K941&amp;"",coa_Name,0)),"")&lt;&gt;"Yes"),"Paid From / Deposited To is not a payment account","")))))))))))</f>
        <v/>
      </c>
      <c r="Z941" s="67">
        <f>IF(AND(T941=0,X941=""),1,0)</f>
        <v/>
      </c>
      <c r="AA941" s="68">
        <f>IF(Z941=1,IF(U941="In",L941,L941-W941),0)</f>
        <v/>
      </c>
      <c r="AB941" s="68">
        <f>IF(Z941=1,IF(U941="In",L941-W941,L941),0)</f>
        <v/>
      </c>
      <c r="AC941" s="68">
        <f>IF(AND(Z941=1,U941="Out"),W941,0)</f>
        <v/>
      </c>
      <c r="AD941" s="68">
        <f>IF(AND(Z941=1,U941="In"),W941,0)</f>
        <v/>
      </c>
    </row>
    <row r="942">
      <c r="B942" s="62" t="inlineStr">
        <is>
          <t>TX-0936</t>
        </is>
      </c>
      <c r="C942" s="63" t="n"/>
      <c r="D942" s="62" t="n"/>
      <c r="E942" s="62" t="n"/>
      <c r="F942" s="62" t="n"/>
      <c r="G942" s="62" t="n"/>
      <c r="H942" s="62" t="n"/>
      <c r="I942" s="62" t="n"/>
      <c r="J942" s="62" t="n"/>
      <c r="K942" s="62" t="n"/>
      <c r="L942" s="64" t="n"/>
      <c r="M942" s="64" t="n"/>
      <c r="N942" s="62" t="n"/>
      <c r="O942" s="65">
        <f>IF(Z942=1,L942-W942,"")</f>
        <v/>
      </c>
      <c r="P942" s="66">
        <f>IF(V942="","",IFERROR(INDEX(coa_Type,MATCH(V942,coa_Name,0)),""))</f>
        <v/>
      </c>
      <c r="Q942" s="66">
        <f>IF(Z942=1,IF(U942="In",K942&amp;"",V942),"")</f>
        <v/>
      </c>
      <c r="R942" s="66">
        <f>IF(Z942=1,IF(U942="In",V942,K942&amp;""),"")</f>
        <v/>
      </c>
      <c r="S942" s="66">
        <f>IF(X942&lt;&gt;"","⛔ "&amp;X942&amp;" — not posted",IF(Y942&lt;&gt;"","⚠ "&amp;Y942,IF(Z942=1,"✓ OK","")))</f>
        <v/>
      </c>
      <c r="T942" s="67">
        <f>IF(AND(C942="",D942="",E942="",L942="",K942=""),1,0)</f>
        <v/>
      </c>
      <c r="U942" s="67">
        <f>IFERROR(INDEX(tt_Dir,MATCH(D942,tt_Type,0)),"")</f>
        <v/>
      </c>
      <c r="V942" s="67">
        <f>IF(D942="","",IFERROR(IF(INDEX(tt_Other,MATCH(D942,tt_Type,0))="",E942&amp;"",INDEX(tt_Other,MATCH(D942,tt_Type,0))),""))</f>
        <v/>
      </c>
      <c r="W942" s="68">
        <f>IF(OR(TaxOn&lt;&gt;"Yes",NOT(ISNUMBER(M942))),0,IF(IFERROR(INDEX(tt_Tax,MATCH(D942,tt_Type,0)),"No")="Yes",M942,0))</f>
        <v/>
      </c>
      <c r="X942" s="67">
        <f>IF(T942=1,"",IF(C942="","Missing transaction date",IF(NOT(ISNUMBER(C942)),"Invalid date",IF(OR(C942&lt;DATE(2000,1,1),C942&gt;DATE(2099,12,31)),"Invalid date",IF(D942="","Select a type",IF(U942="","Unknown type: "&amp;D942,IF(V942="","Select an account (Category)",IF(ISNA(MATCH(V942,coa_Name,0)),"Unknown account: "&amp;V942,IF(K942="","Select Paid From / Deposited To",IF(ISNA(MATCH(K942,coa_Name,0)),"Unknown account: "&amp;K942,IF(NOT(ISNUMBER(L942)),"Enter an amount",IF(L942=0,"Enter an amount",IF(ABS(W942)&gt;ABS(L942),"Tax is larger than the amount","")))))))))))))</f>
        <v/>
      </c>
      <c r="Y942" s="67">
        <f>IF(OR(T942=1,X942&lt;&gt;""),"",IF(AND(B942&lt;&gt;"",COUNTIF(tx_ID,B942)&gt;1),"Duplicate transaction ID",IF(AND(L942&lt;0,D942&lt;&gt;"Adjustment"),"Negative amount — check this entry",IF(AND(D942="Customer Payment",G942=""),"Add the customer",IF(AND(D942="Customer Payment",OR(J942="",COUNTIF(ar_No,J942&amp;"")=0)),"Invoice # in Reference not found on AR sheet",IF(AND(D942="Bill Payment",H942=""),"Add the vendor",IF(AND(D942="Bill Payment",OR(J942="",COUNTIFS(ap_No,J942&amp;"",ap_Party,H942&amp;"")=0)),"Bill # + vendor not found on AP sheet",IF(AND(ISNUMBER(M942),N(M942)&lt;&gt;0,W942=0),"Tax ignored (tax tracking off, or not allowed for this type)",IF(V942=K942&amp;"","Same account on both sides",IF(AND(ISNUMBER(StartDate),C942&lt;StartDate),"Date is before the accounting start date",IF(AND(D942&lt;&gt;"Adjustment",IFERROR(INDEX(coa_Pay,MATCH(K942&amp;"",coa_Name,0)),"")&lt;&gt;"Yes"),"Paid From / Deposited To is not a payment account","")))))))))))</f>
        <v/>
      </c>
      <c r="Z942" s="67">
        <f>IF(AND(T942=0,X942=""),1,0)</f>
        <v/>
      </c>
      <c r="AA942" s="68">
        <f>IF(Z942=1,IF(U942="In",L942,L942-W942),0)</f>
        <v/>
      </c>
      <c r="AB942" s="68">
        <f>IF(Z942=1,IF(U942="In",L942-W942,L942),0)</f>
        <v/>
      </c>
      <c r="AC942" s="68">
        <f>IF(AND(Z942=1,U942="Out"),W942,0)</f>
        <v/>
      </c>
      <c r="AD942" s="68">
        <f>IF(AND(Z942=1,U942="In"),W942,0)</f>
        <v/>
      </c>
    </row>
    <row r="943">
      <c r="B943" s="62" t="inlineStr">
        <is>
          <t>TX-0937</t>
        </is>
      </c>
      <c r="C943" s="63" t="n"/>
      <c r="D943" s="62" t="n"/>
      <c r="E943" s="62" t="n"/>
      <c r="F943" s="62" t="n"/>
      <c r="G943" s="62" t="n"/>
      <c r="H943" s="62" t="n"/>
      <c r="I943" s="62" t="n"/>
      <c r="J943" s="62" t="n"/>
      <c r="K943" s="62" t="n"/>
      <c r="L943" s="64" t="n"/>
      <c r="M943" s="64" t="n"/>
      <c r="N943" s="62" t="n"/>
      <c r="O943" s="65">
        <f>IF(Z943=1,L943-W943,"")</f>
        <v/>
      </c>
      <c r="P943" s="66">
        <f>IF(V943="","",IFERROR(INDEX(coa_Type,MATCH(V943,coa_Name,0)),""))</f>
        <v/>
      </c>
      <c r="Q943" s="66">
        <f>IF(Z943=1,IF(U943="In",K943&amp;"",V943),"")</f>
        <v/>
      </c>
      <c r="R943" s="66">
        <f>IF(Z943=1,IF(U943="In",V943,K943&amp;""),"")</f>
        <v/>
      </c>
      <c r="S943" s="66">
        <f>IF(X943&lt;&gt;"","⛔ "&amp;X943&amp;" — not posted",IF(Y943&lt;&gt;"","⚠ "&amp;Y943,IF(Z943=1,"✓ OK","")))</f>
        <v/>
      </c>
      <c r="T943" s="67">
        <f>IF(AND(C943="",D943="",E943="",L943="",K943=""),1,0)</f>
        <v/>
      </c>
      <c r="U943" s="67">
        <f>IFERROR(INDEX(tt_Dir,MATCH(D943,tt_Type,0)),"")</f>
        <v/>
      </c>
      <c r="V943" s="67">
        <f>IF(D943="","",IFERROR(IF(INDEX(tt_Other,MATCH(D943,tt_Type,0))="",E943&amp;"",INDEX(tt_Other,MATCH(D943,tt_Type,0))),""))</f>
        <v/>
      </c>
      <c r="W943" s="68">
        <f>IF(OR(TaxOn&lt;&gt;"Yes",NOT(ISNUMBER(M943))),0,IF(IFERROR(INDEX(tt_Tax,MATCH(D943,tt_Type,0)),"No")="Yes",M943,0))</f>
        <v/>
      </c>
      <c r="X943" s="67">
        <f>IF(T943=1,"",IF(C943="","Missing transaction date",IF(NOT(ISNUMBER(C943)),"Invalid date",IF(OR(C943&lt;DATE(2000,1,1),C943&gt;DATE(2099,12,31)),"Invalid date",IF(D943="","Select a type",IF(U943="","Unknown type: "&amp;D943,IF(V943="","Select an account (Category)",IF(ISNA(MATCH(V943,coa_Name,0)),"Unknown account: "&amp;V943,IF(K943="","Select Paid From / Deposited To",IF(ISNA(MATCH(K943,coa_Name,0)),"Unknown account: "&amp;K943,IF(NOT(ISNUMBER(L943)),"Enter an amount",IF(L943=0,"Enter an amount",IF(ABS(W943)&gt;ABS(L943),"Tax is larger than the amount","")))))))))))))</f>
        <v/>
      </c>
      <c r="Y943" s="67">
        <f>IF(OR(T943=1,X943&lt;&gt;""),"",IF(AND(B943&lt;&gt;"",COUNTIF(tx_ID,B943)&gt;1),"Duplicate transaction ID",IF(AND(L943&lt;0,D943&lt;&gt;"Adjustment"),"Negative amount — check this entry",IF(AND(D943="Customer Payment",G943=""),"Add the customer",IF(AND(D943="Customer Payment",OR(J943="",COUNTIF(ar_No,J943&amp;"")=0)),"Invoice # in Reference not found on AR sheet",IF(AND(D943="Bill Payment",H943=""),"Add the vendor",IF(AND(D943="Bill Payment",OR(J943="",COUNTIFS(ap_No,J943&amp;"",ap_Party,H943&amp;"")=0)),"Bill # + vendor not found on AP sheet",IF(AND(ISNUMBER(M943),N(M943)&lt;&gt;0,W943=0),"Tax ignored (tax tracking off, or not allowed for this type)",IF(V943=K943&amp;"","Same account on both sides",IF(AND(ISNUMBER(StartDate),C943&lt;StartDate),"Date is before the accounting start date",IF(AND(D943&lt;&gt;"Adjustment",IFERROR(INDEX(coa_Pay,MATCH(K943&amp;"",coa_Name,0)),"")&lt;&gt;"Yes"),"Paid From / Deposited To is not a payment account","")))))))))))</f>
        <v/>
      </c>
      <c r="Z943" s="67">
        <f>IF(AND(T943=0,X943=""),1,0)</f>
        <v/>
      </c>
      <c r="AA943" s="68">
        <f>IF(Z943=1,IF(U943="In",L943,L943-W943),0)</f>
        <v/>
      </c>
      <c r="AB943" s="68">
        <f>IF(Z943=1,IF(U943="In",L943-W943,L943),0)</f>
        <v/>
      </c>
      <c r="AC943" s="68">
        <f>IF(AND(Z943=1,U943="Out"),W943,0)</f>
        <v/>
      </c>
      <c r="AD943" s="68">
        <f>IF(AND(Z943=1,U943="In"),W943,0)</f>
        <v/>
      </c>
    </row>
    <row r="944">
      <c r="B944" s="62" t="inlineStr">
        <is>
          <t>TX-0938</t>
        </is>
      </c>
      <c r="C944" s="63" t="n"/>
      <c r="D944" s="62" t="n"/>
      <c r="E944" s="62" t="n"/>
      <c r="F944" s="62" t="n"/>
      <c r="G944" s="62" t="n"/>
      <c r="H944" s="62" t="n"/>
      <c r="I944" s="62" t="n"/>
      <c r="J944" s="62" t="n"/>
      <c r="K944" s="62" t="n"/>
      <c r="L944" s="64" t="n"/>
      <c r="M944" s="64" t="n"/>
      <c r="N944" s="62" t="n"/>
      <c r="O944" s="65">
        <f>IF(Z944=1,L944-W944,"")</f>
        <v/>
      </c>
      <c r="P944" s="66">
        <f>IF(V944="","",IFERROR(INDEX(coa_Type,MATCH(V944,coa_Name,0)),""))</f>
        <v/>
      </c>
      <c r="Q944" s="66">
        <f>IF(Z944=1,IF(U944="In",K944&amp;"",V944),"")</f>
        <v/>
      </c>
      <c r="R944" s="66">
        <f>IF(Z944=1,IF(U944="In",V944,K944&amp;""),"")</f>
        <v/>
      </c>
      <c r="S944" s="66">
        <f>IF(X944&lt;&gt;"","⛔ "&amp;X944&amp;" — not posted",IF(Y944&lt;&gt;"","⚠ "&amp;Y944,IF(Z944=1,"✓ OK","")))</f>
        <v/>
      </c>
      <c r="T944" s="67">
        <f>IF(AND(C944="",D944="",E944="",L944="",K944=""),1,0)</f>
        <v/>
      </c>
      <c r="U944" s="67">
        <f>IFERROR(INDEX(tt_Dir,MATCH(D944,tt_Type,0)),"")</f>
        <v/>
      </c>
      <c r="V944" s="67">
        <f>IF(D944="","",IFERROR(IF(INDEX(tt_Other,MATCH(D944,tt_Type,0))="",E944&amp;"",INDEX(tt_Other,MATCH(D944,tt_Type,0))),""))</f>
        <v/>
      </c>
      <c r="W944" s="68">
        <f>IF(OR(TaxOn&lt;&gt;"Yes",NOT(ISNUMBER(M944))),0,IF(IFERROR(INDEX(tt_Tax,MATCH(D944,tt_Type,0)),"No")="Yes",M944,0))</f>
        <v/>
      </c>
      <c r="X944" s="67">
        <f>IF(T944=1,"",IF(C944="","Missing transaction date",IF(NOT(ISNUMBER(C944)),"Invalid date",IF(OR(C944&lt;DATE(2000,1,1),C944&gt;DATE(2099,12,31)),"Invalid date",IF(D944="","Select a type",IF(U944="","Unknown type: "&amp;D944,IF(V944="","Select an account (Category)",IF(ISNA(MATCH(V944,coa_Name,0)),"Unknown account: "&amp;V944,IF(K944="","Select Paid From / Deposited To",IF(ISNA(MATCH(K944,coa_Name,0)),"Unknown account: "&amp;K944,IF(NOT(ISNUMBER(L944)),"Enter an amount",IF(L944=0,"Enter an amount",IF(ABS(W944)&gt;ABS(L944),"Tax is larger than the amount","")))))))))))))</f>
        <v/>
      </c>
      <c r="Y944" s="67">
        <f>IF(OR(T944=1,X944&lt;&gt;""),"",IF(AND(B944&lt;&gt;"",COUNTIF(tx_ID,B944)&gt;1),"Duplicate transaction ID",IF(AND(L944&lt;0,D944&lt;&gt;"Adjustment"),"Negative amount — check this entry",IF(AND(D944="Customer Payment",G944=""),"Add the customer",IF(AND(D944="Customer Payment",OR(J944="",COUNTIF(ar_No,J944&amp;"")=0)),"Invoice # in Reference not found on AR sheet",IF(AND(D944="Bill Payment",H944=""),"Add the vendor",IF(AND(D944="Bill Payment",OR(J944="",COUNTIFS(ap_No,J944&amp;"",ap_Party,H944&amp;"")=0)),"Bill # + vendor not found on AP sheet",IF(AND(ISNUMBER(M944),N(M944)&lt;&gt;0,W944=0),"Tax ignored (tax tracking off, or not allowed for this type)",IF(V944=K944&amp;"","Same account on both sides",IF(AND(ISNUMBER(StartDate),C944&lt;StartDate),"Date is before the accounting start date",IF(AND(D944&lt;&gt;"Adjustment",IFERROR(INDEX(coa_Pay,MATCH(K944&amp;"",coa_Name,0)),"")&lt;&gt;"Yes"),"Paid From / Deposited To is not a payment account","")))))))))))</f>
        <v/>
      </c>
      <c r="Z944" s="67">
        <f>IF(AND(T944=0,X944=""),1,0)</f>
        <v/>
      </c>
      <c r="AA944" s="68">
        <f>IF(Z944=1,IF(U944="In",L944,L944-W944),0)</f>
        <v/>
      </c>
      <c r="AB944" s="68">
        <f>IF(Z944=1,IF(U944="In",L944-W944,L944),0)</f>
        <v/>
      </c>
      <c r="AC944" s="68">
        <f>IF(AND(Z944=1,U944="Out"),W944,0)</f>
        <v/>
      </c>
      <c r="AD944" s="68">
        <f>IF(AND(Z944=1,U944="In"),W944,0)</f>
        <v/>
      </c>
    </row>
    <row r="945">
      <c r="B945" s="62" t="inlineStr">
        <is>
          <t>TX-0939</t>
        </is>
      </c>
      <c r="C945" s="63" t="n"/>
      <c r="D945" s="62" t="n"/>
      <c r="E945" s="62" t="n"/>
      <c r="F945" s="62" t="n"/>
      <c r="G945" s="62" t="n"/>
      <c r="H945" s="62" t="n"/>
      <c r="I945" s="62" t="n"/>
      <c r="J945" s="62" t="n"/>
      <c r="K945" s="62" t="n"/>
      <c r="L945" s="64" t="n"/>
      <c r="M945" s="64" t="n"/>
      <c r="N945" s="62" t="n"/>
      <c r="O945" s="65">
        <f>IF(Z945=1,L945-W945,"")</f>
        <v/>
      </c>
      <c r="P945" s="66">
        <f>IF(V945="","",IFERROR(INDEX(coa_Type,MATCH(V945,coa_Name,0)),""))</f>
        <v/>
      </c>
      <c r="Q945" s="66">
        <f>IF(Z945=1,IF(U945="In",K945&amp;"",V945),"")</f>
        <v/>
      </c>
      <c r="R945" s="66">
        <f>IF(Z945=1,IF(U945="In",V945,K945&amp;""),"")</f>
        <v/>
      </c>
      <c r="S945" s="66">
        <f>IF(X945&lt;&gt;"","⛔ "&amp;X945&amp;" — not posted",IF(Y945&lt;&gt;"","⚠ "&amp;Y945,IF(Z945=1,"✓ OK","")))</f>
        <v/>
      </c>
      <c r="T945" s="67">
        <f>IF(AND(C945="",D945="",E945="",L945="",K945=""),1,0)</f>
        <v/>
      </c>
      <c r="U945" s="67">
        <f>IFERROR(INDEX(tt_Dir,MATCH(D945,tt_Type,0)),"")</f>
        <v/>
      </c>
      <c r="V945" s="67">
        <f>IF(D945="","",IFERROR(IF(INDEX(tt_Other,MATCH(D945,tt_Type,0))="",E945&amp;"",INDEX(tt_Other,MATCH(D945,tt_Type,0))),""))</f>
        <v/>
      </c>
      <c r="W945" s="68">
        <f>IF(OR(TaxOn&lt;&gt;"Yes",NOT(ISNUMBER(M945))),0,IF(IFERROR(INDEX(tt_Tax,MATCH(D945,tt_Type,0)),"No")="Yes",M945,0))</f>
        <v/>
      </c>
      <c r="X945" s="67">
        <f>IF(T945=1,"",IF(C945="","Missing transaction date",IF(NOT(ISNUMBER(C945)),"Invalid date",IF(OR(C945&lt;DATE(2000,1,1),C945&gt;DATE(2099,12,31)),"Invalid date",IF(D945="","Select a type",IF(U945="","Unknown type: "&amp;D945,IF(V945="","Select an account (Category)",IF(ISNA(MATCH(V945,coa_Name,0)),"Unknown account: "&amp;V945,IF(K945="","Select Paid From / Deposited To",IF(ISNA(MATCH(K945,coa_Name,0)),"Unknown account: "&amp;K945,IF(NOT(ISNUMBER(L945)),"Enter an amount",IF(L945=0,"Enter an amount",IF(ABS(W945)&gt;ABS(L945),"Tax is larger than the amount","")))))))))))))</f>
        <v/>
      </c>
      <c r="Y945" s="67">
        <f>IF(OR(T945=1,X945&lt;&gt;""),"",IF(AND(B945&lt;&gt;"",COUNTIF(tx_ID,B945)&gt;1),"Duplicate transaction ID",IF(AND(L945&lt;0,D945&lt;&gt;"Adjustment"),"Negative amount — check this entry",IF(AND(D945="Customer Payment",G945=""),"Add the customer",IF(AND(D945="Customer Payment",OR(J945="",COUNTIF(ar_No,J945&amp;"")=0)),"Invoice # in Reference not found on AR sheet",IF(AND(D945="Bill Payment",H945=""),"Add the vendor",IF(AND(D945="Bill Payment",OR(J945="",COUNTIFS(ap_No,J945&amp;"",ap_Party,H945&amp;"")=0)),"Bill # + vendor not found on AP sheet",IF(AND(ISNUMBER(M945),N(M945)&lt;&gt;0,W945=0),"Tax ignored (tax tracking off, or not allowed for this type)",IF(V945=K945&amp;"","Same account on both sides",IF(AND(ISNUMBER(StartDate),C945&lt;StartDate),"Date is before the accounting start date",IF(AND(D945&lt;&gt;"Adjustment",IFERROR(INDEX(coa_Pay,MATCH(K945&amp;"",coa_Name,0)),"")&lt;&gt;"Yes"),"Paid From / Deposited To is not a payment account","")))))))))))</f>
        <v/>
      </c>
      <c r="Z945" s="67">
        <f>IF(AND(T945=0,X945=""),1,0)</f>
        <v/>
      </c>
      <c r="AA945" s="68">
        <f>IF(Z945=1,IF(U945="In",L945,L945-W945),0)</f>
        <v/>
      </c>
      <c r="AB945" s="68">
        <f>IF(Z945=1,IF(U945="In",L945-W945,L945),0)</f>
        <v/>
      </c>
      <c r="AC945" s="68">
        <f>IF(AND(Z945=1,U945="Out"),W945,0)</f>
        <v/>
      </c>
      <c r="AD945" s="68">
        <f>IF(AND(Z945=1,U945="In"),W945,0)</f>
        <v/>
      </c>
    </row>
    <row r="946">
      <c r="B946" s="62" t="inlineStr">
        <is>
          <t>TX-0940</t>
        </is>
      </c>
      <c r="C946" s="63" t="n"/>
      <c r="D946" s="62" t="n"/>
      <c r="E946" s="62" t="n"/>
      <c r="F946" s="62" t="n"/>
      <c r="G946" s="62" t="n"/>
      <c r="H946" s="62" t="n"/>
      <c r="I946" s="62" t="n"/>
      <c r="J946" s="62" t="n"/>
      <c r="K946" s="62" t="n"/>
      <c r="L946" s="64" t="n"/>
      <c r="M946" s="64" t="n"/>
      <c r="N946" s="62" t="n"/>
      <c r="O946" s="65">
        <f>IF(Z946=1,L946-W946,"")</f>
        <v/>
      </c>
      <c r="P946" s="66">
        <f>IF(V946="","",IFERROR(INDEX(coa_Type,MATCH(V946,coa_Name,0)),""))</f>
        <v/>
      </c>
      <c r="Q946" s="66">
        <f>IF(Z946=1,IF(U946="In",K946&amp;"",V946),"")</f>
        <v/>
      </c>
      <c r="R946" s="66">
        <f>IF(Z946=1,IF(U946="In",V946,K946&amp;""),"")</f>
        <v/>
      </c>
      <c r="S946" s="66">
        <f>IF(X946&lt;&gt;"","⛔ "&amp;X946&amp;" — not posted",IF(Y946&lt;&gt;"","⚠ "&amp;Y946,IF(Z946=1,"✓ OK","")))</f>
        <v/>
      </c>
      <c r="T946" s="67">
        <f>IF(AND(C946="",D946="",E946="",L946="",K946=""),1,0)</f>
        <v/>
      </c>
      <c r="U946" s="67">
        <f>IFERROR(INDEX(tt_Dir,MATCH(D946,tt_Type,0)),"")</f>
        <v/>
      </c>
      <c r="V946" s="67">
        <f>IF(D946="","",IFERROR(IF(INDEX(tt_Other,MATCH(D946,tt_Type,0))="",E946&amp;"",INDEX(tt_Other,MATCH(D946,tt_Type,0))),""))</f>
        <v/>
      </c>
      <c r="W946" s="68">
        <f>IF(OR(TaxOn&lt;&gt;"Yes",NOT(ISNUMBER(M946))),0,IF(IFERROR(INDEX(tt_Tax,MATCH(D946,tt_Type,0)),"No")="Yes",M946,0))</f>
        <v/>
      </c>
      <c r="X946" s="67">
        <f>IF(T946=1,"",IF(C946="","Missing transaction date",IF(NOT(ISNUMBER(C946)),"Invalid date",IF(OR(C946&lt;DATE(2000,1,1),C946&gt;DATE(2099,12,31)),"Invalid date",IF(D946="","Select a type",IF(U946="","Unknown type: "&amp;D946,IF(V946="","Select an account (Category)",IF(ISNA(MATCH(V946,coa_Name,0)),"Unknown account: "&amp;V946,IF(K946="","Select Paid From / Deposited To",IF(ISNA(MATCH(K946,coa_Name,0)),"Unknown account: "&amp;K946,IF(NOT(ISNUMBER(L946)),"Enter an amount",IF(L946=0,"Enter an amount",IF(ABS(W946)&gt;ABS(L946),"Tax is larger than the amount","")))))))))))))</f>
        <v/>
      </c>
      <c r="Y946" s="67">
        <f>IF(OR(T946=1,X946&lt;&gt;""),"",IF(AND(B946&lt;&gt;"",COUNTIF(tx_ID,B946)&gt;1),"Duplicate transaction ID",IF(AND(L946&lt;0,D946&lt;&gt;"Adjustment"),"Negative amount — check this entry",IF(AND(D946="Customer Payment",G946=""),"Add the customer",IF(AND(D946="Customer Payment",OR(J946="",COUNTIF(ar_No,J946&amp;"")=0)),"Invoice # in Reference not found on AR sheet",IF(AND(D946="Bill Payment",H946=""),"Add the vendor",IF(AND(D946="Bill Payment",OR(J946="",COUNTIFS(ap_No,J946&amp;"",ap_Party,H946&amp;"")=0)),"Bill # + vendor not found on AP sheet",IF(AND(ISNUMBER(M946),N(M946)&lt;&gt;0,W946=0),"Tax ignored (tax tracking off, or not allowed for this type)",IF(V946=K946&amp;"","Same account on both sides",IF(AND(ISNUMBER(StartDate),C946&lt;StartDate),"Date is before the accounting start date",IF(AND(D946&lt;&gt;"Adjustment",IFERROR(INDEX(coa_Pay,MATCH(K946&amp;"",coa_Name,0)),"")&lt;&gt;"Yes"),"Paid From / Deposited To is not a payment account","")))))))))))</f>
        <v/>
      </c>
      <c r="Z946" s="67">
        <f>IF(AND(T946=0,X946=""),1,0)</f>
        <v/>
      </c>
      <c r="AA946" s="68">
        <f>IF(Z946=1,IF(U946="In",L946,L946-W946),0)</f>
        <v/>
      </c>
      <c r="AB946" s="68">
        <f>IF(Z946=1,IF(U946="In",L946-W946,L946),0)</f>
        <v/>
      </c>
      <c r="AC946" s="68">
        <f>IF(AND(Z946=1,U946="Out"),W946,0)</f>
        <v/>
      </c>
      <c r="AD946" s="68">
        <f>IF(AND(Z946=1,U946="In"),W946,0)</f>
        <v/>
      </c>
    </row>
    <row r="947">
      <c r="B947" s="62" t="inlineStr">
        <is>
          <t>TX-0941</t>
        </is>
      </c>
      <c r="C947" s="63" t="n"/>
      <c r="D947" s="62" t="n"/>
      <c r="E947" s="62" t="n"/>
      <c r="F947" s="62" t="n"/>
      <c r="G947" s="62" t="n"/>
      <c r="H947" s="62" t="n"/>
      <c r="I947" s="62" t="n"/>
      <c r="J947" s="62" t="n"/>
      <c r="K947" s="62" t="n"/>
      <c r="L947" s="64" t="n"/>
      <c r="M947" s="64" t="n"/>
      <c r="N947" s="62" t="n"/>
      <c r="O947" s="65">
        <f>IF(Z947=1,L947-W947,"")</f>
        <v/>
      </c>
      <c r="P947" s="66">
        <f>IF(V947="","",IFERROR(INDEX(coa_Type,MATCH(V947,coa_Name,0)),""))</f>
        <v/>
      </c>
      <c r="Q947" s="66">
        <f>IF(Z947=1,IF(U947="In",K947&amp;"",V947),"")</f>
        <v/>
      </c>
      <c r="R947" s="66">
        <f>IF(Z947=1,IF(U947="In",V947,K947&amp;""),"")</f>
        <v/>
      </c>
      <c r="S947" s="66">
        <f>IF(X947&lt;&gt;"","⛔ "&amp;X947&amp;" — not posted",IF(Y947&lt;&gt;"","⚠ "&amp;Y947,IF(Z947=1,"✓ OK","")))</f>
        <v/>
      </c>
      <c r="T947" s="67">
        <f>IF(AND(C947="",D947="",E947="",L947="",K947=""),1,0)</f>
        <v/>
      </c>
      <c r="U947" s="67">
        <f>IFERROR(INDEX(tt_Dir,MATCH(D947,tt_Type,0)),"")</f>
        <v/>
      </c>
      <c r="V947" s="67">
        <f>IF(D947="","",IFERROR(IF(INDEX(tt_Other,MATCH(D947,tt_Type,0))="",E947&amp;"",INDEX(tt_Other,MATCH(D947,tt_Type,0))),""))</f>
        <v/>
      </c>
      <c r="W947" s="68">
        <f>IF(OR(TaxOn&lt;&gt;"Yes",NOT(ISNUMBER(M947))),0,IF(IFERROR(INDEX(tt_Tax,MATCH(D947,tt_Type,0)),"No")="Yes",M947,0))</f>
        <v/>
      </c>
      <c r="X947" s="67">
        <f>IF(T947=1,"",IF(C947="","Missing transaction date",IF(NOT(ISNUMBER(C947)),"Invalid date",IF(OR(C947&lt;DATE(2000,1,1),C947&gt;DATE(2099,12,31)),"Invalid date",IF(D947="","Select a type",IF(U947="","Unknown type: "&amp;D947,IF(V947="","Select an account (Category)",IF(ISNA(MATCH(V947,coa_Name,0)),"Unknown account: "&amp;V947,IF(K947="","Select Paid From / Deposited To",IF(ISNA(MATCH(K947,coa_Name,0)),"Unknown account: "&amp;K947,IF(NOT(ISNUMBER(L947)),"Enter an amount",IF(L947=0,"Enter an amount",IF(ABS(W947)&gt;ABS(L947),"Tax is larger than the amount","")))))))))))))</f>
        <v/>
      </c>
      <c r="Y947" s="67">
        <f>IF(OR(T947=1,X947&lt;&gt;""),"",IF(AND(B947&lt;&gt;"",COUNTIF(tx_ID,B947)&gt;1),"Duplicate transaction ID",IF(AND(L947&lt;0,D947&lt;&gt;"Adjustment"),"Negative amount — check this entry",IF(AND(D947="Customer Payment",G947=""),"Add the customer",IF(AND(D947="Customer Payment",OR(J947="",COUNTIF(ar_No,J947&amp;"")=0)),"Invoice # in Reference not found on AR sheet",IF(AND(D947="Bill Payment",H947=""),"Add the vendor",IF(AND(D947="Bill Payment",OR(J947="",COUNTIFS(ap_No,J947&amp;"",ap_Party,H947&amp;"")=0)),"Bill # + vendor not found on AP sheet",IF(AND(ISNUMBER(M947),N(M947)&lt;&gt;0,W947=0),"Tax ignored (tax tracking off, or not allowed for this type)",IF(V947=K947&amp;"","Same account on both sides",IF(AND(ISNUMBER(StartDate),C947&lt;StartDate),"Date is before the accounting start date",IF(AND(D947&lt;&gt;"Adjustment",IFERROR(INDEX(coa_Pay,MATCH(K947&amp;"",coa_Name,0)),"")&lt;&gt;"Yes"),"Paid From / Deposited To is not a payment account","")))))))))))</f>
        <v/>
      </c>
      <c r="Z947" s="67">
        <f>IF(AND(T947=0,X947=""),1,0)</f>
        <v/>
      </c>
      <c r="AA947" s="68">
        <f>IF(Z947=1,IF(U947="In",L947,L947-W947),0)</f>
        <v/>
      </c>
      <c r="AB947" s="68">
        <f>IF(Z947=1,IF(U947="In",L947-W947,L947),0)</f>
        <v/>
      </c>
      <c r="AC947" s="68">
        <f>IF(AND(Z947=1,U947="Out"),W947,0)</f>
        <v/>
      </c>
      <c r="AD947" s="68">
        <f>IF(AND(Z947=1,U947="In"),W947,0)</f>
        <v/>
      </c>
    </row>
    <row r="948">
      <c r="B948" s="62" t="inlineStr">
        <is>
          <t>TX-0942</t>
        </is>
      </c>
      <c r="C948" s="63" t="n"/>
      <c r="D948" s="62" t="n"/>
      <c r="E948" s="62" t="n"/>
      <c r="F948" s="62" t="n"/>
      <c r="G948" s="62" t="n"/>
      <c r="H948" s="62" t="n"/>
      <c r="I948" s="62" t="n"/>
      <c r="J948" s="62" t="n"/>
      <c r="K948" s="62" t="n"/>
      <c r="L948" s="64" t="n"/>
      <c r="M948" s="64" t="n"/>
      <c r="N948" s="62" t="n"/>
      <c r="O948" s="65">
        <f>IF(Z948=1,L948-W948,"")</f>
        <v/>
      </c>
      <c r="P948" s="66">
        <f>IF(V948="","",IFERROR(INDEX(coa_Type,MATCH(V948,coa_Name,0)),""))</f>
        <v/>
      </c>
      <c r="Q948" s="66">
        <f>IF(Z948=1,IF(U948="In",K948&amp;"",V948),"")</f>
        <v/>
      </c>
      <c r="R948" s="66">
        <f>IF(Z948=1,IF(U948="In",V948,K948&amp;""),"")</f>
        <v/>
      </c>
      <c r="S948" s="66">
        <f>IF(X948&lt;&gt;"","⛔ "&amp;X948&amp;" — not posted",IF(Y948&lt;&gt;"","⚠ "&amp;Y948,IF(Z948=1,"✓ OK","")))</f>
        <v/>
      </c>
      <c r="T948" s="67">
        <f>IF(AND(C948="",D948="",E948="",L948="",K948=""),1,0)</f>
        <v/>
      </c>
      <c r="U948" s="67">
        <f>IFERROR(INDEX(tt_Dir,MATCH(D948,tt_Type,0)),"")</f>
        <v/>
      </c>
      <c r="V948" s="67">
        <f>IF(D948="","",IFERROR(IF(INDEX(tt_Other,MATCH(D948,tt_Type,0))="",E948&amp;"",INDEX(tt_Other,MATCH(D948,tt_Type,0))),""))</f>
        <v/>
      </c>
      <c r="W948" s="68">
        <f>IF(OR(TaxOn&lt;&gt;"Yes",NOT(ISNUMBER(M948))),0,IF(IFERROR(INDEX(tt_Tax,MATCH(D948,tt_Type,0)),"No")="Yes",M948,0))</f>
        <v/>
      </c>
      <c r="X948" s="67">
        <f>IF(T948=1,"",IF(C948="","Missing transaction date",IF(NOT(ISNUMBER(C948)),"Invalid date",IF(OR(C948&lt;DATE(2000,1,1),C948&gt;DATE(2099,12,31)),"Invalid date",IF(D948="","Select a type",IF(U948="","Unknown type: "&amp;D948,IF(V948="","Select an account (Category)",IF(ISNA(MATCH(V948,coa_Name,0)),"Unknown account: "&amp;V948,IF(K948="","Select Paid From / Deposited To",IF(ISNA(MATCH(K948,coa_Name,0)),"Unknown account: "&amp;K948,IF(NOT(ISNUMBER(L948)),"Enter an amount",IF(L948=0,"Enter an amount",IF(ABS(W948)&gt;ABS(L948),"Tax is larger than the amount","")))))))))))))</f>
        <v/>
      </c>
      <c r="Y948" s="67">
        <f>IF(OR(T948=1,X948&lt;&gt;""),"",IF(AND(B948&lt;&gt;"",COUNTIF(tx_ID,B948)&gt;1),"Duplicate transaction ID",IF(AND(L948&lt;0,D948&lt;&gt;"Adjustment"),"Negative amount — check this entry",IF(AND(D948="Customer Payment",G948=""),"Add the customer",IF(AND(D948="Customer Payment",OR(J948="",COUNTIF(ar_No,J948&amp;"")=0)),"Invoice # in Reference not found on AR sheet",IF(AND(D948="Bill Payment",H948=""),"Add the vendor",IF(AND(D948="Bill Payment",OR(J948="",COUNTIFS(ap_No,J948&amp;"",ap_Party,H948&amp;"")=0)),"Bill # + vendor not found on AP sheet",IF(AND(ISNUMBER(M948),N(M948)&lt;&gt;0,W948=0),"Tax ignored (tax tracking off, or not allowed for this type)",IF(V948=K948&amp;"","Same account on both sides",IF(AND(ISNUMBER(StartDate),C948&lt;StartDate),"Date is before the accounting start date",IF(AND(D948&lt;&gt;"Adjustment",IFERROR(INDEX(coa_Pay,MATCH(K948&amp;"",coa_Name,0)),"")&lt;&gt;"Yes"),"Paid From / Deposited To is not a payment account","")))))))))))</f>
        <v/>
      </c>
      <c r="Z948" s="67">
        <f>IF(AND(T948=0,X948=""),1,0)</f>
        <v/>
      </c>
      <c r="AA948" s="68">
        <f>IF(Z948=1,IF(U948="In",L948,L948-W948),0)</f>
        <v/>
      </c>
      <c r="AB948" s="68">
        <f>IF(Z948=1,IF(U948="In",L948-W948,L948),0)</f>
        <v/>
      </c>
      <c r="AC948" s="68">
        <f>IF(AND(Z948=1,U948="Out"),W948,0)</f>
        <v/>
      </c>
      <c r="AD948" s="68">
        <f>IF(AND(Z948=1,U948="In"),W948,0)</f>
        <v/>
      </c>
    </row>
    <row r="949">
      <c r="B949" s="62" t="inlineStr">
        <is>
          <t>TX-0943</t>
        </is>
      </c>
      <c r="C949" s="63" t="n"/>
      <c r="D949" s="62" t="n"/>
      <c r="E949" s="62" t="n"/>
      <c r="F949" s="62" t="n"/>
      <c r="G949" s="62" t="n"/>
      <c r="H949" s="62" t="n"/>
      <c r="I949" s="62" t="n"/>
      <c r="J949" s="62" t="n"/>
      <c r="K949" s="62" t="n"/>
      <c r="L949" s="64" t="n"/>
      <c r="M949" s="64" t="n"/>
      <c r="N949" s="62" t="n"/>
      <c r="O949" s="65">
        <f>IF(Z949=1,L949-W949,"")</f>
        <v/>
      </c>
      <c r="P949" s="66">
        <f>IF(V949="","",IFERROR(INDEX(coa_Type,MATCH(V949,coa_Name,0)),""))</f>
        <v/>
      </c>
      <c r="Q949" s="66">
        <f>IF(Z949=1,IF(U949="In",K949&amp;"",V949),"")</f>
        <v/>
      </c>
      <c r="R949" s="66">
        <f>IF(Z949=1,IF(U949="In",V949,K949&amp;""),"")</f>
        <v/>
      </c>
      <c r="S949" s="66">
        <f>IF(X949&lt;&gt;"","⛔ "&amp;X949&amp;" — not posted",IF(Y949&lt;&gt;"","⚠ "&amp;Y949,IF(Z949=1,"✓ OK","")))</f>
        <v/>
      </c>
      <c r="T949" s="67">
        <f>IF(AND(C949="",D949="",E949="",L949="",K949=""),1,0)</f>
        <v/>
      </c>
      <c r="U949" s="67">
        <f>IFERROR(INDEX(tt_Dir,MATCH(D949,tt_Type,0)),"")</f>
        <v/>
      </c>
      <c r="V949" s="67">
        <f>IF(D949="","",IFERROR(IF(INDEX(tt_Other,MATCH(D949,tt_Type,0))="",E949&amp;"",INDEX(tt_Other,MATCH(D949,tt_Type,0))),""))</f>
        <v/>
      </c>
      <c r="W949" s="68">
        <f>IF(OR(TaxOn&lt;&gt;"Yes",NOT(ISNUMBER(M949))),0,IF(IFERROR(INDEX(tt_Tax,MATCH(D949,tt_Type,0)),"No")="Yes",M949,0))</f>
        <v/>
      </c>
      <c r="X949" s="67">
        <f>IF(T949=1,"",IF(C949="","Missing transaction date",IF(NOT(ISNUMBER(C949)),"Invalid date",IF(OR(C949&lt;DATE(2000,1,1),C949&gt;DATE(2099,12,31)),"Invalid date",IF(D949="","Select a type",IF(U949="","Unknown type: "&amp;D949,IF(V949="","Select an account (Category)",IF(ISNA(MATCH(V949,coa_Name,0)),"Unknown account: "&amp;V949,IF(K949="","Select Paid From / Deposited To",IF(ISNA(MATCH(K949,coa_Name,0)),"Unknown account: "&amp;K949,IF(NOT(ISNUMBER(L949)),"Enter an amount",IF(L949=0,"Enter an amount",IF(ABS(W949)&gt;ABS(L949),"Tax is larger than the amount","")))))))))))))</f>
        <v/>
      </c>
      <c r="Y949" s="67">
        <f>IF(OR(T949=1,X949&lt;&gt;""),"",IF(AND(B949&lt;&gt;"",COUNTIF(tx_ID,B949)&gt;1),"Duplicate transaction ID",IF(AND(L949&lt;0,D949&lt;&gt;"Adjustment"),"Negative amount — check this entry",IF(AND(D949="Customer Payment",G949=""),"Add the customer",IF(AND(D949="Customer Payment",OR(J949="",COUNTIF(ar_No,J949&amp;"")=0)),"Invoice # in Reference not found on AR sheet",IF(AND(D949="Bill Payment",H949=""),"Add the vendor",IF(AND(D949="Bill Payment",OR(J949="",COUNTIFS(ap_No,J949&amp;"",ap_Party,H949&amp;"")=0)),"Bill # + vendor not found on AP sheet",IF(AND(ISNUMBER(M949),N(M949)&lt;&gt;0,W949=0),"Tax ignored (tax tracking off, or not allowed for this type)",IF(V949=K949&amp;"","Same account on both sides",IF(AND(ISNUMBER(StartDate),C949&lt;StartDate),"Date is before the accounting start date",IF(AND(D949&lt;&gt;"Adjustment",IFERROR(INDEX(coa_Pay,MATCH(K949&amp;"",coa_Name,0)),"")&lt;&gt;"Yes"),"Paid From / Deposited To is not a payment account","")))))))))))</f>
        <v/>
      </c>
      <c r="Z949" s="67">
        <f>IF(AND(T949=0,X949=""),1,0)</f>
        <v/>
      </c>
      <c r="AA949" s="68">
        <f>IF(Z949=1,IF(U949="In",L949,L949-W949),0)</f>
        <v/>
      </c>
      <c r="AB949" s="68">
        <f>IF(Z949=1,IF(U949="In",L949-W949,L949),0)</f>
        <v/>
      </c>
      <c r="AC949" s="68">
        <f>IF(AND(Z949=1,U949="Out"),W949,0)</f>
        <v/>
      </c>
      <c r="AD949" s="68">
        <f>IF(AND(Z949=1,U949="In"),W949,0)</f>
        <v/>
      </c>
    </row>
    <row r="950">
      <c r="B950" s="62" t="inlineStr">
        <is>
          <t>TX-0944</t>
        </is>
      </c>
      <c r="C950" s="63" t="n"/>
      <c r="D950" s="62" t="n"/>
      <c r="E950" s="62" t="n"/>
      <c r="F950" s="62" t="n"/>
      <c r="G950" s="62" t="n"/>
      <c r="H950" s="62" t="n"/>
      <c r="I950" s="62" t="n"/>
      <c r="J950" s="62" t="n"/>
      <c r="K950" s="62" t="n"/>
      <c r="L950" s="64" t="n"/>
      <c r="M950" s="64" t="n"/>
      <c r="N950" s="62" t="n"/>
      <c r="O950" s="65">
        <f>IF(Z950=1,L950-W950,"")</f>
        <v/>
      </c>
      <c r="P950" s="66">
        <f>IF(V950="","",IFERROR(INDEX(coa_Type,MATCH(V950,coa_Name,0)),""))</f>
        <v/>
      </c>
      <c r="Q950" s="66">
        <f>IF(Z950=1,IF(U950="In",K950&amp;"",V950),"")</f>
        <v/>
      </c>
      <c r="R950" s="66">
        <f>IF(Z950=1,IF(U950="In",V950,K950&amp;""),"")</f>
        <v/>
      </c>
      <c r="S950" s="66">
        <f>IF(X950&lt;&gt;"","⛔ "&amp;X950&amp;" — not posted",IF(Y950&lt;&gt;"","⚠ "&amp;Y950,IF(Z950=1,"✓ OK","")))</f>
        <v/>
      </c>
      <c r="T950" s="67">
        <f>IF(AND(C950="",D950="",E950="",L950="",K950=""),1,0)</f>
        <v/>
      </c>
      <c r="U950" s="67">
        <f>IFERROR(INDEX(tt_Dir,MATCH(D950,tt_Type,0)),"")</f>
        <v/>
      </c>
      <c r="V950" s="67">
        <f>IF(D950="","",IFERROR(IF(INDEX(tt_Other,MATCH(D950,tt_Type,0))="",E950&amp;"",INDEX(tt_Other,MATCH(D950,tt_Type,0))),""))</f>
        <v/>
      </c>
      <c r="W950" s="68">
        <f>IF(OR(TaxOn&lt;&gt;"Yes",NOT(ISNUMBER(M950))),0,IF(IFERROR(INDEX(tt_Tax,MATCH(D950,tt_Type,0)),"No")="Yes",M950,0))</f>
        <v/>
      </c>
      <c r="X950" s="67">
        <f>IF(T950=1,"",IF(C950="","Missing transaction date",IF(NOT(ISNUMBER(C950)),"Invalid date",IF(OR(C950&lt;DATE(2000,1,1),C950&gt;DATE(2099,12,31)),"Invalid date",IF(D950="","Select a type",IF(U950="","Unknown type: "&amp;D950,IF(V950="","Select an account (Category)",IF(ISNA(MATCH(V950,coa_Name,0)),"Unknown account: "&amp;V950,IF(K950="","Select Paid From / Deposited To",IF(ISNA(MATCH(K950,coa_Name,0)),"Unknown account: "&amp;K950,IF(NOT(ISNUMBER(L950)),"Enter an amount",IF(L950=0,"Enter an amount",IF(ABS(W950)&gt;ABS(L950),"Tax is larger than the amount","")))))))))))))</f>
        <v/>
      </c>
      <c r="Y950" s="67">
        <f>IF(OR(T950=1,X950&lt;&gt;""),"",IF(AND(B950&lt;&gt;"",COUNTIF(tx_ID,B950)&gt;1),"Duplicate transaction ID",IF(AND(L950&lt;0,D950&lt;&gt;"Adjustment"),"Negative amount — check this entry",IF(AND(D950="Customer Payment",G950=""),"Add the customer",IF(AND(D950="Customer Payment",OR(J950="",COUNTIF(ar_No,J950&amp;"")=0)),"Invoice # in Reference not found on AR sheet",IF(AND(D950="Bill Payment",H950=""),"Add the vendor",IF(AND(D950="Bill Payment",OR(J950="",COUNTIFS(ap_No,J950&amp;"",ap_Party,H950&amp;"")=0)),"Bill # + vendor not found on AP sheet",IF(AND(ISNUMBER(M950),N(M950)&lt;&gt;0,W950=0),"Tax ignored (tax tracking off, or not allowed for this type)",IF(V950=K950&amp;"","Same account on both sides",IF(AND(ISNUMBER(StartDate),C950&lt;StartDate),"Date is before the accounting start date",IF(AND(D950&lt;&gt;"Adjustment",IFERROR(INDEX(coa_Pay,MATCH(K950&amp;"",coa_Name,0)),"")&lt;&gt;"Yes"),"Paid From / Deposited To is not a payment account","")))))))))))</f>
        <v/>
      </c>
      <c r="Z950" s="67">
        <f>IF(AND(T950=0,X950=""),1,0)</f>
        <v/>
      </c>
      <c r="AA950" s="68">
        <f>IF(Z950=1,IF(U950="In",L950,L950-W950),0)</f>
        <v/>
      </c>
      <c r="AB950" s="68">
        <f>IF(Z950=1,IF(U950="In",L950-W950,L950),0)</f>
        <v/>
      </c>
      <c r="AC950" s="68">
        <f>IF(AND(Z950=1,U950="Out"),W950,0)</f>
        <v/>
      </c>
      <c r="AD950" s="68">
        <f>IF(AND(Z950=1,U950="In"),W950,0)</f>
        <v/>
      </c>
    </row>
    <row r="951">
      <c r="B951" s="62" t="inlineStr">
        <is>
          <t>TX-0945</t>
        </is>
      </c>
      <c r="C951" s="63" t="n"/>
      <c r="D951" s="62" t="n"/>
      <c r="E951" s="62" t="n"/>
      <c r="F951" s="62" t="n"/>
      <c r="G951" s="62" t="n"/>
      <c r="H951" s="62" t="n"/>
      <c r="I951" s="62" t="n"/>
      <c r="J951" s="62" t="n"/>
      <c r="K951" s="62" t="n"/>
      <c r="L951" s="64" t="n"/>
      <c r="M951" s="64" t="n"/>
      <c r="N951" s="62" t="n"/>
      <c r="O951" s="65">
        <f>IF(Z951=1,L951-W951,"")</f>
        <v/>
      </c>
      <c r="P951" s="66">
        <f>IF(V951="","",IFERROR(INDEX(coa_Type,MATCH(V951,coa_Name,0)),""))</f>
        <v/>
      </c>
      <c r="Q951" s="66">
        <f>IF(Z951=1,IF(U951="In",K951&amp;"",V951),"")</f>
        <v/>
      </c>
      <c r="R951" s="66">
        <f>IF(Z951=1,IF(U951="In",V951,K951&amp;""),"")</f>
        <v/>
      </c>
      <c r="S951" s="66">
        <f>IF(X951&lt;&gt;"","⛔ "&amp;X951&amp;" — not posted",IF(Y951&lt;&gt;"","⚠ "&amp;Y951,IF(Z951=1,"✓ OK","")))</f>
        <v/>
      </c>
      <c r="T951" s="67">
        <f>IF(AND(C951="",D951="",E951="",L951="",K951=""),1,0)</f>
        <v/>
      </c>
      <c r="U951" s="67">
        <f>IFERROR(INDEX(tt_Dir,MATCH(D951,tt_Type,0)),"")</f>
        <v/>
      </c>
      <c r="V951" s="67">
        <f>IF(D951="","",IFERROR(IF(INDEX(tt_Other,MATCH(D951,tt_Type,0))="",E951&amp;"",INDEX(tt_Other,MATCH(D951,tt_Type,0))),""))</f>
        <v/>
      </c>
      <c r="W951" s="68">
        <f>IF(OR(TaxOn&lt;&gt;"Yes",NOT(ISNUMBER(M951))),0,IF(IFERROR(INDEX(tt_Tax,MATCH(D951,tt_Type,0)),"No")="Yes",M951,0))</f>
        <v/>
      </c>
      <c r="X951" s="67">
        <f>IF(T951=1,"",IF(C951="","Missing transaction date",IF(NOT(ISNUMBER(C951)),"Invalid date",IF(OR(C951&lt;DATE(2000,1,1),C951&gt;DATE(2099,12,31)),"Invalid date",IF(D951="","Select a type",IF(U951="","Unknown type: "&amp;D951,IF(V951="","Select an account (Category)",IF(ISNA(MATCH(V951,coa_Name,0)),"Unknown account: "&amp;V951,IF(K951="","Select Paid From / Deposited To",IF(ISNA(MATCH(K951,coa_Name,0)),"Unknown account: "&amp;K951,IF(NOT(ISNUMBER(L951)),"Enter an amount",IF(L951=0,"Enter an amount",IF(ABS(W951)&gt;ABS(L951),"Tax is larger than the amount","")))))))))))))</f>
        <v/>
      </c>
      <c r="Y951" s="67">
        <f>IF(OR(T951=1,X951&lt;&gt;""),"",IF(AND(B951&lt;&gt;"",COUNTIF(tx_ID,B951)&gt;1),"Duplicate transaction ID",IF(AND(L951&lt;0,D951&lt;&gt;"Adjustment"),"Negative amount — check this entry",IF(AND(D951="Customer Payment",G951=""),"Add the customer",IF(AND(D951="Customer Payment",OR(J951="",COUNTIF(ar_No,J951&amp;"")=0)),"Invoice # in Reference not found on AR sheet",IF(AND(D951="Bill Payment",H951=""),"Add the vendor",IF(AND(D951="Bill Payment",OR(J951="",COUNTIFS(ap_No,J951&amp;"",ap_Party,H951&amp;"")=0)),"Bill # + vendor not found on AP sheet",IF(AND(ISNUMBER(M951),N(M951)&lt;&gt;0,W951=0),"Tax ignored (tax tracking off, or not allowed for this type)",IF(V951=K951&amp;"","Same account on both sides",IF(AND(ISNUMBER(StartDate),C951&lt;StartDate),"Date is before the accounting start date",IF(AND(D951&lt;&gt;"Adjustment",IFERROR(INDEX(coa_Pay,MATCH(K951&amp;"",coa_Name,0)),"")&lt;&gt;"Yes"),"Paid From / Deposited To is not a payment account","")))))))))))</f>
        <v/>
      </c>
      <c r="Z951" s="67">
        <f>IF(AND(T951=0,X951=""),1,0)</f>
        <v/>
      </c>
      <c r="AA951" s="68">
        <f>IF(Z951=1,IF(U951="In",L951,L951-W951),0)</f>
        <v/>
      </c>
      <c r="AB951" s="68">
        <f>IF(Z951=1,IF(U951="In",L951-W951,L951),0)</f>
        <v/>
      </c>
      <c r="AC951" s="68">
        <f>IF(AND(Z951=1,U951="Out"),W951,0)</f>
        <v/>
      </c>
      <c r="AD951" s="68">
        <f>IF(AND(Z951=1,U951="In"),W951,0)</f>
        <v/>
      </c>
    </row>
    <row r="952">
      <c r="B952" s="62" t="inlineStr">
        <is>
          <t>TX-0946</t>
        </is>
      </c>
      <c r="C952" s="63" t="n"/>
      <c r="D952" s="62" t="n"/>
      <c r="E952" s="62" t="n"/>
      <c r="F952" s="62" t="n"/>
      <c r="G952" s="62" t="n"/>
      <c r="H952" s="62" t="n"/>
      <c r="I952" s="62" t="n"/>
      <c r="J952" s="62" t="n"/>
      <c r="K952" s="62" t="n"/>
      <c r="L952" s="64" t="n"/>
      <c r="M952" s="64" t="n"/>
      <c r="N952" s="62" t="n"/>
      <c r="O952" s="65">
        <f>IF(Z952=1,L952-W952,"")</f>
        <v/>
      </c>
      <c r="P952" s="66">
        <f>IF(V952="","",IFERROR(INDEX(coa_Type,MATCH(V952,coa_Name,0)),""))</f>
        <v/>
      </c>
      <c r="Q952" s="66">
        <f>IF(Z952=1,IF(U952="In",K952&amp;"",V952),"")</f>
        <v/>
      </c>
      <c r="R952" s="66">
        <f>IF(Z952=1,IF(U952="In",V952,K952&amp;""),"")</f>
        <v/>
      </c>
      <c r="S952" s="66">
        <f>IF(X952&lt;&gt;"","⛔ "&amp;X952&amp;" — not posted",IF(Y952&lt;&gt;"","⚠ "&amp;Y952,IF(Z952=1,"✓ OK","")))</f>
        <v/>
      </c>
      <c r="T952" s="67">
        <f>IF(AND(C952="",D952="",E952="",L952="",K952=""),1,0)</f>
        <v/>
      </c>
      <c r="U952" s="67">
        <f>IFERROR(INDEX(tt_Dir,MATCH(D952,tt_Type,0)),"")</f>
        <v/>
      </c>
      <c r="V952" s="67">
        <f>IF(D952="","",IFERROR(IF(INDEX(tt_Other,MATCH(D952,tt_Type,0))="",E952&amp;"",INDEX(tt_Other,MATCH(D952,tt_Type,0))),""))</f>
        <v/>
      </c>
      <c r="W952" s="68">
        <f>IF(OR(TaxOn&lt;&gt;"Yes",NOT(ISNUMBER(M952))),0,IF(IFERROR(INDEX(tt_Tax,MATCH(D952,tt_Type,0)),"No")="Yes",M952,0))</f>
        <v/>
      </c>
      <c r="X952" s="67">
        <f>IF(T952=1,"",IF(C952="","Missing transaction date",IF(NOT(ISNUMBER(C952)),"Invalid date",IF(OR(C952&lt;DATE(2000,1,1),C952&gt;DATE(2099,12,31)),"Invalid date",IF(D952="","Select a type",IF(U952="","Unknown type: "&amp;D952,IF(V952="","Select an account (Category)",IF(ISNA(MATCH(V952,coa_Name,0)),"Unknown account: "&amp;V952,IF(K952="","Select Paid From / Deposited To",IF(ISNA(MATCH(K952,coa_Name,0)),"Unknown account: "&amp;K952,IF(NOT(ISNUMBER(L952)),"Enter an amount",IF(L952=0,"Enter an amount",IF(ABS(W952)&gt;ABS(L952),"Tax is larger than the amount","")))))))))))))</f>
        <v/>
      </c>
      <c r="Y952" s="67">
        <f>IF(OR(T952=1,X952&lt;&gt;""),"",IF(AND(B952&lt;&gt;"",COUNTIF(tx_ID,B952)&gt;1),"Duplicate transaction ID",IF(AND(L952&lt;0,D952&lt;&gt;"Adjustment"),"Negative amount — check this entry",IF(AND(D952="Customer Payment",G952=""),"Add the customer",IF(AND(D952="Customer Payment",OR(J952="",COUNTIF(ar_No,J952&amp;"")=0)),"Invoice # in Reference not found on AR sheet",IF(AND(D952="Bill Payment",H952=""),"Add the vendor",IF(AND(D952="Bill Payment",OR(J952="",COUNTIFS(ap_No,J952&amp;"",ap_Party,H952&amp;"")=0)),"Bill # + vendor not found on AP sheet",IF(AND(ISNUMBER(M952),N(M952)&lt;&gt;0,W952=0),"Tax ignored (tax tracking off, or not allowed for this type)",IF(V952=K952&amp;"","Same account on both sides",IF(AND(ISNUMBER(StartDate),C952&lt;StartDate),"Date is before the accounting start date",IF(AND(D952&lt;&gt;"Adjustment",IFERROR(INDEX(coa_Pay,MATCH(K952&amp;"",coa_Name,0)),"")&lt;&gt;"Yes"),"Paid From / Deposited To is not a payment account","")))))))))))</f>
        <v/>
      </c>
      <c r="Z952" s="67">
        <f>IF(AND(T952=0,X952=""),1,0)</f>
        <v/>
      </c>
      <c r="AA952" s="68">
        <f>IF(Z952=1,IF(U952="In",L952,L952-W952),0)</f>
        <v/>
      </c>
      <c r="AB952" s="68">
        <f>IF(Z952=1,IF(U952="In",L952-W952,L952),0)</f>
        <v/>
      </c>
      <c r="AC952" s="68">
        <f>IF(AND(Z952=1,U952="Out"),W952,0)</f>
        <v/>
      </c>
      <c r="AD952" s="68">
        <f>IF(AND(Z952=1,U952="In"),W952,0)</f>
        <v/>
      </c>
    </row>
    <row r="953">
      <c r="B953" s="62" t="inlineStr">
        <is>
          <t>TX-0947</t>
        </is>
      </c>
      <c r="C953" s="63" t="n"/>
      <c r="D953" s="62" t="n"/>
      <c r="E953" s="62" t="n"/>
      <c r="F953" s="62" t="n"/>
      <c r="G953" s="62" t="n"/>
      <c r="H953" s="62" t="n"/>
      <c r="I953" s="62" t="n"/>
      <c r="J953" s="62" t="n"/>
      <c r="K953" s="62" t="n"/>
      <c r="L953" s="64" t="n"/>
      <c r="M953" s="64" t="n"/>
      <c r="N953" s="62" t="n"/>
      <c r="O953" s="65">
        <f>IF(Z953=1,L953-W953,"")</f>
        <v/>
      </c>
      <c r="P953" s="66">
        <f>IF(V953="","",IFERROR(INDEX(coa_Type,MATCH(V953,coa_Name,0)),""))</f>
        <v/>
      </c>
      <c r="Q953" s="66">
        <f>IF(Z953=1,IF(U953="In",K953&amp;"",V953),"")</f>
        <v/>
      </c>
      <c r="R953" s="66">
        <f>IF(Z953=1,IF(U953="In",V953,K953&amp;""),"")</f>
        <v/>
      </c>
      <c r="S953" s="66">
        <f>IF(X953&lt;&gt;"","⛔ "&amp;X953&amp;" — not posted",IF(Y953&lt;&gt;"","⚠ "&amp;Y953,IF(Z953=1,"✓ OK","")))</f>
        <v/>
      </c>
      <c r="T953" s="67">
        <f>IF(AND(C953="",D953="",E953="",L953="",K953=""),1,0)</f>
        <v/>
      </c>
      <c r="U953" s="67">
        <f>IFERROR(INDEX(tt_Dir,MATCH(D953,tt_Type,0)),"")</f>
        <v/>
      </c>
      <c r="V953" s="67">
        <f>IF(D953="","",IFERROR(IF(INDEX(tt_Other,MATCH(D953,tt_Type,0))="",E953&amp;"",INDEX(tt_Other,MATCH(D953,tt_Type,0))),""))</f>
        <v/>
      </c>
      <c r="W953" s="68">
        <f>IF(OR(TaxOn&lt;&gt;"Yes",NOT(ISNUMBER(M953))),0,IF(IFERROR(INDEX(tt_Tax,MATCH(D953,tt_Type,0)),"No")="Yes",M953,0))</f>
        <v/>
      </c>
      <c r="X953" s="67">
        <f>IF(T953=1,"",IF(C953="","Missing transaction date",IF(NOT(ISNUMBER(C953)),"Invalid date",IF(OR(C953&lt;DATE(2000,1,1),C953&gt;DATE(2099,12,31)),"Invalid date",IF(D953="","Select a type",IF(U953="","Unknown type: "&amp;D953,IF(V953="","Select an account (Category)",IF(ISNA(MATCH(V953,coa_Name,0)),"Unknown account: "&amp;V953,IF(K953="","Select Paid From / Deposited To",IF(ISNA(MATCH(K953,coa_Name,0)),"Unknown account: "&amp;K953,IF(NOT(ISNUMBER(L953)),"Enter an amount",IF(L953=0,"Enter an amount",IF(ABS(W953)&gt;ABS(L953),"Tax is larger than the amount","")))))))))))))</f>
        <v/>
      </c>
      <c r="Y953" s="67">
        <f>IF(OR(T953=1,X953&lt;&gt;""),"",IF(AND(B953&lt;&gt;"",COUNTIF(tx_ID,B953)&gt;1),"Duplicate transaction ID",IF(AND(L953&lt;0,D953&lt;&gt;"Adjustment"),"Negative amount — check this entry",IF(AND(D953="Customer Payment",G953=""),"Add the customer",IF(AND(D953="Customer Payment",OR(J953="",COUNTIF(ar_No,J953&amp;"")=0)),"Invoice # in Reference not found on AR sheet",IF(AND(D953="Bill Payment",H953=""),"Add the vendor",IF(AND(D953="Bill Payment",OR(J953="",COUNTIFS(ap_No,J953&amp;"",ap_Party,H953&amp;"")=0)),"Bill # + vendor not found on AP sheet",IF(AND(ISNUMBER(M953),N(M953)&lt;&gt;0,W953=0),"Tax ignored (tax tracking off, or not allowed for this type)",IF(V953=K953&amp;"","Same account on both sides",IF(AND(ISNUMBER(StartDate),C953&lt;StartDate),"Date is before the accounting start date",IF(AND(D953&lt;&gt;"Adjustment",IFERROR(INDEX(coa_Pay,MATCH(K953&amp;"",coa_Name,0)),"")&lt;&gt;"Yes"),"Paid From / Deposited To is not a payment account","")))))))))))</f>
        <v/>
      </c>
      <c r="Z953" s="67">
        <f>IF(AND(T953=0,X953=""),1,0)</f>
        <v/>
      </c>
      <c r="AA953" s="68">
        <f>IF(Z953=1,IF(U953="In",L953,L953-W953),0)</f>
        <v/>
      </c>
      <c r="AB953" s="68">
        <f>IF(Z953=1,IF(U953="In",L953-W953,L953),0)</f>
        <v/>
      </c>
      <c r="AC953" s="68">
        <f>IF(AND(Z953=1,U953="Out"),W953,0)</f>
        <v/>
      </c>
      <c r="AD953" s="68">
        <f>IF(AND(Z953=1,U953="In"),W953,0)</f>
        <v/>
      </c>
    </row>
    <row r="954">
      <c r="B954" s="62" t="inlineStr">
        <is>
          <t>TX-0948</t>
        </is>
      </c>
      <c r="C954" s="63" t="n"/>
      <c r="D954" s="62" t="n"/>
      <c r="E954" s="62" t="n"/>
      <c r="F954" s="62" t="n"/>
      <c r="G954" s="62" t="n"/>
      <c r="H954" s="62" t="n"/>
      <c r="I954" s="62" t="n"/>
      <c r="J954" s="62" t="n"/>
      <c r="K954" s="62" t="n"/>
      <c r="L954" s="64" t="n"/>
      <c r="M954" s="64" t="n"/>
      <c r="N954" s="62" t="n"/>
      <c r="O954" s="65">
        <f>IF(Z954=1,L954-W954,"")</f>
        <v/>
      </c>
      <c r="P954" s="66">
        <f>IF(V954="","",IFERROR(INDEX(coa_Type,MATCH(V954,coa_Name,0)),""))</f>
        <v/>
      </c>
      <c r="Q954" s="66">
        <f>IF(Z954=1,IF(U954="In",K954&amp;"",V954),"")</f>
        <v/>
      </c>
      <c r="R954" s="66">
        <f>IF(Z954=1,IF(U954="In",V954,K954&amp;""),"")</f>
        <v/>
      </c>
      <c r="S954" s="66">
        <f>IF(X954&lt;&gt;"","⛔ "&amp;X954&amp;" — not posted",IF(Y954&lt;&gt;"","⚠ "&amp;Y954,IF(Z954=1,"✓ OK","")))</f>
        <v/>
      </c>
      <c r="T954" s="67">
        <f>IF(AND(C954="",D954="",E954="",L954="",K954=""),1,0)</f>
        <v/>
      </c>
      <c r="U954" s="67">
        <f>IFERROR(INDEX(tt_Dir,MATCH(D954,tt_Type,0)),"")</f>
        <v/>
      </c>
      <c r="V954" s="67">
        <f>IF(D954="","",IFERROR(IF(INDEX(tt_Other,MATCH(D954,tt_Type,0))="",E954&amp;"",INDEX(tt_Other,MATCH(D954,tt_Type,0))),""))</f>
        <v/>
      </c>
      <c r="W954" s="68">
        <f>IF(OR(TaxOn&lt;&gt;"Yes",NOT(ISNUMBER(M954))),0,IF(IFERROR(INDEX(tt_Tax,MATCH(D954,tt_Type,0)),"No")="Yes",M954,0))</f>
        <v/>
      </c>
      <c r="X954" s="67">
        <f>IF(T954=1,"",IF(C954="","Missing transaction date",IF(NOT(ISNUMBER(C954)),"Invalid date",IF(OR(C954&lt;DATE(2000,1,1),C954&gt;DATE(2099,12,31)),"Invalid date",IF(D954="","Select a type",IF(U954="","Unknown type: "&amp;D954,IF(V954="","Select an account (Category)",IF(ISNA(MATCH(V954,coa_Name,0)),"Unknown account: "&amp;V954,IF(K954="","Select Paid From / Deposited To",IF(ISNA(MATCH(K954,coa_Name,0)),"Unknown account: "&amp;K954,IF(NOT(ISNUMBER(L954)),"Enter an amount",IF(L954=0,"Enter an amount",IF(ABS(W954)&gt;ABS(L954),"Tax is larger than the amount","")))))))))))))</f>
        <v/>
      </c>
      <c r="Y954" s="67">
        <f>IF(OR(T954=1,X954&lt;&gt;""),"",IF(AND(B954&lt;&gt;"",COUNTIF(tx_ID,B954)&gt;1),"Duplicate transaction ID",IF(AND(L954&lt;0,D954&lt;&gt;"Adjustment"),"Negative amount — check this entry",IF(AND(D954="Customer Payment",G954=""),"Add the customer",IF(AND(D954="Customer Payment",OR(J954="",COUNTIF(ar_No,J954&amp;"")=0)),"Invoice # in Reference not found on AR sheet",IF(AND(D954="Bill Payment",H954=""),"Add the vendor",IF(AND(D954="Bill Payment",OR(J954="",COUNTIFS(ap_No,J954&amp;"",ap_Party,H954&amp;"")=0)),"Bill # + vendor not found on AP sheet",IF(AND(ISNUMBER(M954),N(M954)&lt;&gt;0,W954=0),"Tax ignored (tax tracking off, or not allowed for this type)",IF(V954=K954&amp;"","Same account on both sides",IF(AND(ISNUMBER(StartDate),C954&lt;StartDate),"Date is before the accounting start date",IF(AND(D954&lt;&gt;"Adjustment",IFERROR(INDEX(coa_Pay,MATCH(K954&amp;"",coa_Name,0)),"")&lt;&gt;"Yes"),"Paid From / Deposited To is not a payment account","")))))))))))</f>
        <v/>
      </c>
      <c r="Z954" s="67">
        <f>IF(AND(T954=0,X954=""),1,0)</f>
        <v/>
      </c>
      <c r="AA954" s="68">
        <f>IF(Z954=1,IF(U954="In",L954,L954-W954),0)</f>
        <v/>
      </c>
      <c r="AB954" s="68">
        <f>IF(Z954=1,IF(U954="In",L954-W954,L954),0)</f>
        <v/>
      </c>
      <c r="AC954" s="68">
        <f>IF(AND(Z954=1,U954="Out"),W954,0)</f>
        <v/>
      </c>
      <c r="AD954" s="68">
        <f>IF(AND(Z954=1,U954="In"),W954,0)</f>
        <v/>
      </c>
    </row>
    <row r="955">
      <c r="B955" s="62" t="inlineStr">
        <is>
          <t>TX-0949</t>
        </is>
      </c>
      <c r="C955" s="63" t="n"/>
      <c r="D955" s="62" t="n"/>
      <c r="E955" s="62" t="n"/>
      <c r="F955" s="62" t="n"/>
      <c r="G955" s="62" t="n"/>
      <c r="H955" s="62" t="n"/>
      <c r="I955" s="62" t="n"/>
      <c r="J955" s="62" t="n"/>
      <c r="K955" s="62" t="n"/>
      <c r="L955" s="64" t="n"/>
      <c r="M955" s="64" t="n"/>
      <c r="N955" s="62" t="n"/>
      <c r="O955" s="65">
        <f>IF(Z955=1,L955-W955,"")</f>
        <v/>
      </c>
      <c r="P955" s="66">
        <f>IF(V955="","",IFERROR(INDEX(coa_Type,MATCH(V955,coa_Name,0)),""))</f>
        <v/>
      </c>
      <c r="Q955" s="66">
        <f>IF(Z955=1,IF(U955="In",K955&amp;"",V955),"")</f>
        <v/>
      </c>
      <c r="R955" s="66">
        <f>IF(Z955=1,IF(U955="In",V955,K955&amp;""),"")</f>
        <v/>
      </c>
      <c r="S955" s="66">
        <f>IF(X955&lt;&gt;"","⛔ "&amp;X955&amp;" — not posted",IF(Y955&lt;&gt;"","⚠ "&amp;Y955,IF(Z955=1,"✓ OK","")))</f>
        <v/>
      </c>
      <c r="T955" s="67">
        <f>IF(AND(C955="",D955="",E955="",L955="",K955=""),1,0)</f>
        <v/>
      </c>
      <c r="U955" s="67">
        <f>IFERROR(INDEX(tt_Dir,MATCH(D955,tt_Type,0)),"")</f>
        <v/>
      </c>
      <c r="V955" s="67">
        <f>IF(D955="","",IFERROR(IF(INDEX(tt_Other,MATCH(D955,tt_Type,0))="",E955&amp;"",INDEX(tt_Other,MATCH(D955,tt_Type,0))),""))</f>
        <v/>
      </c>
      <c r="W955" s="68">
        <f>IF(OR(TaxOn&lt;&gt;"Yes",NOT(ISNUMBER(M955))),0,IF(IFERROR(INDEX(tt_Tax,MATCH(D955,tt_Type,0)),"No")="Yes",M955,0))</f>
        <v/>
      </c>
      <c r="X955" s="67">
        <f>IF(T955=1,"",IF(C955="","Missing transaction date",IF(NOT(ISNUMBER(C955)),"Invalid date",IF(OR(C955&lt;DATE(2000,1,1),C955&gt;DATE(2099,12,31)),"Invalid date",IF(D955="","Select a type",IF(U955="","Unknown type: "&amp;D955,IF(V955="","Select an account (Category)",IF(ISNA(MATCH(V955,coa_Name,0)),"Unknown account: "&amp;V955,IF(K955="","Select Paid From / Deposited To",IF(ISNA(MATCH(K955,coa_Name,0)),"Unknown account: "&amp;K955,IF(NOT(ISNUMBER(L955)),"Enter an amount",IF(L955=0,"Enter an amount",IF(ABS(W955)&gt;ABS(L955),"Tax is larger than the amount","")))))))))))))</f>
        <v/>
      </c>
      <c r="Y955" s="67">
        <f>IF(OR(T955=1,X955&lt;&gt;""),"",IF(AND(B955&lt;&gt;"",COUNTIF(tx_ID,B955)&gt;1),"Duplicate transaction ID",IF(AND(L955&lt;0,D955&lt;&gt;"Adjustment"),"Negative amount — check this entry",IF(AND(D955="Customer Payment",G955=""),"Add the customer",IF(AND(D955="Customer Payment",OR(J955="",COUNTIF(ar_No,J955&amp;"")=0)),"Invoice # in Reference not found on AR sheet",IF(AND(D955="Bill Payment",H955=""),"Add the vendor",IF(AND(D955="Bill Payment",OR(J955="",COUNTIFS(ap_No,J955&amp;"",ap_Party,H955&amp;"")=0)),"Bill # + vendor not found on AP sheet",IF(AND(ISNUMBER(M955),N(M955)&lt;&gt;0,W955=0),"Tax ignored (tax tracking off, or not allowed for this type)",IF(V955=K955&amp;"","Same account on both sides",IF(AND(ISNUMBER(StartDate),C955&lt;StartDate),"Date is before the accounting start date",IF(AND(D955&lt;&gt;"Adjustment",IFERROR(INDEX(coa_Pay,MATCH(K955&amp;"",coa_Name,0)),"")&lt;&gt;"Yes"),"Paid From / Deposited To is not a payment account","")))))))))))</f>
        <v/>
      </c>
      <c r="Z955" s="67">
        <f>IF(AND(T955=0,X955=""),1,0)</f>
        <v/>
      </c>
      <c r="AA955" s="68">
        <f>IF(Z955=1,IF(U955="In",L955,L955-W955),0)</f>
        <v/>
      </c>
      <c r="AB955" s="68">
        <f>IF(Z955=1,IF(U955="In",L955-W955,L955),0)</f>
        <v/>
      </c>
      <c r="AC955" s="68">
        <f>IF(AND(Z955=1,U955="Out"),W955,0)</f>
        <v/>
      </c>
      <c r="AD955" s="68">
        <f>IF(AND(Z955=1,U955="In"),W955,0)</f>
        <v/>
      </c>
    </row>
    <row r="956">
      <c r="B956" s="62" t="inlineStr">
        <is>
          <t>TX-0950</t>
        </is>
      </c>
      <c r="C956" s="63" t="n"/>
      <c r="D956" s="62" t="n"/>
      <c r="E956" s="62" t="n"/>
      <c r="F956" s="62" t="n"/>
      <c r="G956" s="62" t="n"/>
      <c r="H956" s="62" t="n"/>
      <c r="I956" s="62" t="n"/>
      <c r="J956" s="62" t="n"/>
      <c r="K956" s="62" t="n"/>
      <c r="L956" s="64" t="n"/>
      <c r="M956" s="64" t="n"/>
      <c r="N956" s="62" t="n"/>
      <c r="O956" s="65">
        <f>IF(Z956=1,L956-W956,"")</f>
        <v/>
      </c>
      <c r="P956" s="66">
        <f>IF(V956="","",IFERROR(INDEX(coa_Type,MATCH(V956,coa_Name,0)),""))</f>
        <v/>
      </c>
      <c r="Q956" s="66">
        <f>IF(Z956=1,IF(U956="In",K956&amp;"",V956),"")</f>
        <v/>
      </c>
      <c r="R956" s="66">
        <f>IF(Z956=1,IF(U956="In",V956,K956&amp;""),"")</f>
        <v/>
      </c>
      <c r="S956" s="66">
        <f>IF(X956&lt;&gt;"","⛔ "&amp;X956&amp;" — not posted",IF(Y956&lt;&gt;"","⚠ "&amp;Y956,IF(Z956=1,"✓ OK","")))</f>
        <v/>
      </c>
      <c r="T956" s="67">
        <f>IF(AND(C956="",D956="",E956="",L956="",K956=""),1,0)</f>
        <v/>
      </c>
      <c r="U956" s="67">
        <f>IFERROR(INDEX(tt_Dir,MATCH(D956,tt_Type,0)),"")</f>
        <v/>
      </c>
      <c r="V956" s="67">
        <f>IF(D956="","",IFERROR(IF(INDEX(tt_Other,MATCH(D956,tt_Type,0))="",E956&amp;"",INDEX(tt_Other,MATCH(D956,tt_Type,0))),""))</f>
        <v/>
      </c>
      <c r="W956" s="68">
        <f>IF(OR(TaxOn&lt;&gt;"Yes",NOT(ISNUMBER(M956))),0,IF(IFERROR(INDEX(tt_Tax,MATCH(D956,tt_Type,0)),"No")="Yes",M956,0))</f>
        <v/>
      </c>
      <c r="X956" s="67">
        <f>IF(T956=1,"",IF(C956="","Missing transaction date",IF(NOT(ISNUMBER(C956)),"Invalid date",IF(OR(C956&lt;DATE(2000,1,1),C956&gt;DATE(2099,12,31)),"Invalid date",IF(D956="","Select a type",IF(U956="","Unknown type: "&amp;D956,IF(V956="","Select an account (Category)",IF(ISNA(MATCH(V956,coa_Name,0)),"Unknown account: "&amp;V956,IF(K956="","Select Paid From / Deposited To",IF(ISNA(MATCH(K956,coa_Name,0)),"Unknown account: "&amp;K956,IF(NOT(ISNUMBER(L956)),"Enter an amount",IF(L956=0,"Enter an amount",IF(ABS(W956)&gt;ABS(L956),"Tax is larger than the amount","")))))))))))))</f>
        <v/>
      </c>
      <c r="Y956" s="67">
        <f>IF(OR(T956=1,X956&lt;&gt;""),"",IF(AND(B956&lt;&gt;"",COUNTIF(tx_ID,B956)&gt;1),"Duplicate transaction ID",IF(AND(L956&lt;0,D956&lt;&gt;"Adjustment"),"Negative amount — check this entry",IF(AND(D956="Customer Payment",G956=""),"Add the customer",IF(AND(D956="Customer Payment",OR(J956="",COUNTIF(ar_No,J956&amp;"")=0)),"Invoice # in Reference not found on AR sheet",IF(AND(D956="Bill Payment",H956=""),"Add the vendor",IF(AND(D956="Bill Payment",OR(J956="",COUNTIFS(ap_No,J956&amp;"",ap_Party,H956&amp;"")=0)),"Bill # + vendor not found on AP sheet",IF(AND(ISNUMBER(M956),N(M956)&lt;&gt;0,W956=0),"Tax ignored (tax tracking off, or not allowed for this type)",IF(V956=K956&amp;"","Same account on both sides",IF(AND(ISNUMBER(StartDate),C956&lt;StartDate),"Date is before the accounting start date",IF(AND(D956&lt;&gt;"Adjustment",IFERROR(INDEX(coa_Pay,MATCH(K956&amp;"",coa_Name,0)),"")&lt;&gt;"Yes"),"Paid From / Deposited To is not a payment account","")))))))))))</f>
        <v/>
      </c>
      <c r="Z956" s="67">
        <f>IF(AND(T956=0,X956=""),1,0)</f>
        <v/>
      </c>
      <c r="AA956" s="68">
        <f>IF(Z956=1,IF(U956="In",L956,L956-W956),0)</f>
        <v/>
      </c>
      <c r="AB956" s="68">
        <f>IF(Z956=1,IF(U956="In",L956-W956,L956),0)</f>
        <v/>
      </c>
      <c r="AC956" s="68">
        <f>IF(AND(Z956=1,U956="Out"),W956,0)</f>
        <v/>
      </c>
      <c r="AD956" s="68">
        <f>IF(AND(Z956=1,U956="In"),W956,0)</f>
        <v/>
      </c>
    </row>
    <row r="957">
      <c r="B957" s="62" t="inlineStr">
        <is>
          <t>TX-0951</t>
        </is>
      </c>
      <c r="C957" s="63" t="n"/>
      <c r="D957" s="62" t="n"/>
      <c r="E957" s="62" t="n"/>
      <c r="F957" s="62" t="n"/>
      <c r="G957" s="62" t="n"/>
      <c r="H957" s="62" t="n"/>
      <c r="I957" s="62" t="n"/>
      <c r="J957" s="62" t="n"/>
      <c r="K957" s="62" t="n"/>
      <c r="L957" s="64" t="n"/>
      <c r="M957" s="64" t="n"/>
      <c r="N957" s="62" t="n"/>
      <c r="O957" s="65">
        <f>IF(Z957=1,L957-W957,"")</f>
        <v/>
      </c>
      <c r="P957" s="66">
        <f>IF(V957="","",IFERROR(INDEX(coa_Type,MATCH(V957,coa_Name,0)),""))</f>
        <v/>
      </c>
      <c r="Q957" s="66">
        <f>IF(Z957=1,IF(U957="In",K957&amp;"",V957),"")</f>
        <v/>
      </c>
      <c r="R957" s="66">
        <f>IF(Z957=1,IF(U957="In",V957,K957&amp;""),"")</f>
        <v/>
      </c>
      <c r="S957" s="66">
        <f>IF(X957&lt;&gt;"","⛔ "&amp;X957&amp;" — not posted",IF(Y957&lt;&gt;"","⚠ "&amp;Y957,IF(Z957=1,"✓ OK","")))</f>
        <v/>
      </c>
      <c r="T957" s="67">
        <f>IF(AND(C957="",D957="",E957="",L957="",K957=""),1,0)</f>
        <v/>
      </c>
      <c r="U957" s="67">
        <f>IFERROR(INDEX(tt_Dir,MATCH(D957,tt_Type,0)),"")</f>
        <v/>
      </c>
      <c r="V957" s="67">
        <f>IF(D957="","",IFERROR(IF(INDEX(tt_Other,MATCH(D957,tt_Type,0))="",E957&amp;"",INDEX(tt_Other,MATCH(D957,tt_Type,0))),""))</f>
        <v/>
      </c>
      <c r="W957" s="68">
        <f>IF(OR(TaxOn&lt;&gt;"Yes",NOT(ISNUMBER(M957))),0,IF(IFERROR(INDEX(tt_Tax,MATCH(D957,tt_Type,0)),"No")="Yes",M957,0))</f>
        <v/>
      </c>
      <c r="X957" s="67">
        <f>IF(T957=1,"",IF(C957="","Missing transaction date",IF(NOT(ISNUMBER(C957)),"Invalid date",IF(OR(C957&lt;DATE(2000,1,1),C957&gt;DATE(2099,12,31)),"Invalid date",IF(D957="","Select a type",IF(U957="","Unknown type: "&amp;D957,IF(V957="","Select an account (Category)",IF(ISNA(MATCH(V957,coa_Name,0)),"Unknown account: "&amp;V957,IF(K957="","Select Paid From / Deposited To",IF(ISNA(MATCH(K957,coa_Name,0)),"Unknown account: "&amp;K957,IF(NOT(ISNUMBER(L957)),"Enter an amount",IF(L957=0,"Enter an amount",IF(ABS(W957)&gt;ABS(L957),"Tax is larger than the amount","")))))))))))))</f>
        <v/>
      </c>
      <c r="Y957" s="67">
        <f>IF(OR(T957=1,X957&lt;&gt;""),"",IF(AND(B957&lt;&gt;"",COUNTIF(tx_ID,B957)&gt;1),"Duplicate transaction ID",IF(AND(L957&lt;0,D957&lt;&gt;"Adjustment"),"Negative amount — check this entry",IF(AND(D957="Customer Payment",G957=""),"Add the customer",IF(AND(D957="Customer Payment",OR(J957="",COUNTIF(ar_No,J957&amp;"")=0)),"Invoice # in Reference not found on AR sheet",IF(AND(D957="Bill Payment",H957=""),"Add the vendor",IF(AND(D957="Bill Payment",OR(J957="",COUNTIFS(ap_No,J957&amp;"",ap_Party,H957&amp;"")=0)),"Bill # + vendor not found on AP sheet",IF(AND(ISNUMBER(M957),N(M957)&lt;&gt;0,W957=0),"Tax ignored (tax tracking off, or not allowed for this type)",IF(V957=K957&amp;"","Same account on both sides",IF(AND(ISNUMBER(StartDate),C957&lt;StartDate),"Date is before the accounting start date",IF(AND(D957&lt;&gt;"Adjustment",IFERROR(INDEX(coa_Pay,MATCH(K957&amp;"",coa_Name,0)),"")&lt;&gt;"Yes"),"Paid From / Deposited To is not a payment account","")))))))))))</f>
        <v/>
      </c>
      <c r="Z957" s="67">
        <f>IF(AND(T957=0,X957=""),1,0)</f>
        <v/>
      </c>
      <c r="AA957" s="68">
        <f>IF(Z957=1,IF(U957="In",L957,L957-W957),0)</f>
        <v/>
      </c>
      <c r="AB957" s="68">
        <f>IF(Z957=1,IF(U957="In",L957-W957,L957),0)</f>
        <v/>
      </c>
      <c r="AC957" s="68">
        <f>IF(AND(Z957=1,U957="Out"),W957,0)</f>
        <v/>
      </c>
      <c r="AD957" s="68">
        <f>IF(AND(Z957=1,U957="In"),W957,0)</f>
        <v/>
      </c>
    </row>
    <row r="958">
      <c r="B958" s="62" t="inlineStr">
        <is>
          <t>TX-0952</t>
        </is>
      </c>
      <c r="C958" s="63" t="n"/>
      <c r="D958" s="62" t="n"/>
      <c r="E958" s="62" t="n"/>
      <c r="F958" s="62" t="n"/>
      <c r="G958" s="62" t="n"/>
      <c r="H958" s="62" t="n"/>
      <c r="I958" s="62" t="n"/>
      <c r="J958" s="62" t="n"/>
      <c r="K958" s="62" t="n"/>
      <c r="L958" s="64" t="n"/>
      <c r="M958" s="64" t="n"/>
      <c r="N958" s="62" t="n"/>
      <c r="O958" s="65">
        <f>IF(Z958=1,L958-W958,"")</f>
        <v/>
      </c>
      <c r="P958" s="66">
        <f>IF(V958="","",IFERROR(INDEX(coa_Type,MATCH(V958,coa_Name,0)),""))</f>
        <v/>
      </c>
      <c r="Q958" s="66">
        <f>IF(Z958=1,IF(U958="In",K958&amp;"",V958),"")</f>
        <v/>
      </c>
      <c r="R958" s="66">
        <f>IF(Z958=1,IF(U958="In",V958,K958&amp;""),"")</f>
        <v/>
      </c>
      <c r="S958" s="66">
        <f>IF(X958&lt;&gt;"","⛔ "&amp;X958&amp;" — not posted",IF(Y958&lt;&gt;"","⚠ "&amp;Y958,IF(Z958=1,"✓ OK","")))</f>
        <v/>
      </c>
      <c r="T958" s="67">
        <f>IF(AND(C958="",D958="",E958="",L958="",K958=""),1,0)</f>
        <v/>
      </c>
      <c r="U958" s="67">
        <f>IFERROR(INDEX(tt_Dir,MATCH(D958,tt_Type,0)),"")</f>
        <v/>
      </c>
      <c r="V958" s="67">
        <f>IF(D958="","",IFERROR(IF(INDEX(tt_Other,MATCH(D958,tt_Type,0))="",E958&amp;"",INDEX(tt_Other,MATCH(D958,tt_Type,0))),""))</f>
        <v/>
      </c>
      <c r="W958" s="68">
        <f>IF(OR(TaxOn&lt;&gt;"Yes",NOT(ISNUMBER(M958))),0,IF(IFERROR(INDEX(tt_Tax,MATCH(D958,tt_Type,0)),"No")="Yes",M958,0))</f>
        <v/>
      </c>
      <c r="X958" s="67">
        <f>IF(T958=1,"",IF(C958="","Missing transaction date",IF(NOT(ISNUMBER(C958)),"Invalid date",IF(OR(C958&lt;DATE(2000,1,1),C958&gt;DATE(2099,12,31)),"Invalid date",IF(D958="","Select a type",IF(U958="","Unknown type: "&amp;D958,IF(V958="","Select an account (Category)",IF(ISNA(MATCH(V958,coa_Name,0)),"Unknown account: "&amp;V958,IF(K958="","Select Paid From / Deposited To",IF(ISNA(MATCH(K958,coa_Name,0)),"Unknown account: "&amp;K958,IF(NOT(ISNUMBER(L958)),"Enter an amount",IF(L958=0,"Enter an amount",IF(ABS(W958)&gt;ABS(L958),"Tax is larger than the amount","")))))))))))))</f>
        <v/>
      </c>
      <c r="Y958" s="67">
        <f>IF(OR(T958=1,X958&lt;&gt;""),"",IF(AND(B958&lt;&gt;"",COUNTIF(tx_ID,B958)&gt;1),"Duplicate transaction ID",IF(AND(L958&lt;0,D958&lt;&gt;"Adjustment"),"Negative amount — check this entry",IF(AND(D958="Customer Payment",G958=""),"Add the customer",IF(AND(D958="Customer Payment",OR(J958="",COUNTIF(ar_No,J958&amp;"")=0)),"Invoice # in Reference not found on AR sheet",IF(AND(D958="Bill Payment",H958=""),"Add the vendor",IF(AND(D958="Bill Payment",OR(J958="",COUNTIFS(ap_No,J958&amp;"",ap_Party,H958&amp;"")=0)),"Bill # + vendor not found on AP sheet",IF(AND(ISNUMBER(M958),N(M958)&lt;&gt;0,W958=0),"Tax ignored (tax tracking off, or not allowed for this type)",IF(V958=K958&amp;"","Same account on both sides",IF(AND(ISNUMBER(StartDate),C958&lt;StartDate),"Date is before the accounting start date",IF(AND(D958&lt;&gt;"Adjustment",IFERROR(INDEX(coa_Pay,MATCH(K958&amp;"",coa_Name,0)),"")&lt;&gt;"Yes"),"Paid From / Deposited To is not a payment account","")))))))))))</f>
        <v/>
      </c>
      <c r="Z958" s="67">
        <f>IF(AND(T958=0,X958=""),1,0)</f>
        <v/>
      </c>
      <c r="AA958" s="68">
        <f>IF(Z958=1,IF(U958="In",L958,L958-W958),0)</f>
        <v/>
      </c>
      <c r="AB958" s="68">
        <f>IF(Z958=1,IF(U958="In",L958-W958,L958),0)</f>
        <v/>
      </c>
      <c r="AC958" s="68">
        <f>IF(AND(Z958=1,U958="Out"),W958,0)</f>
        <v/>
      </c>
      <c r="AD958" s="68">
        <f>IF(AND(Z958=1,U958="In"),W958,0)</f>
        <v/>
      </c>
    </row>
    <row r="959">
      <c r="B959" s="62" t="inlineStr">
        <is>
          <t>TX-0953</t>
        </is>
      </c>
      <c r="C959" s="63" t="n"/>
      <c r="D959" s="62" t="n"/>
      <c r="E959" s="62" t="n"/>
      <c r="F959" s="62" t="n"/>
      <c r="G959" s="62" t="n"/>
      <c r="H959" s="62" t="n"/>
      <c r="I959" s="62" t="n"/>
      <c r="J959" s="62" t="n"/>
      <c r="K959" s="62" t="n"/>
      <c r="L959" s="64" t="n"/>
      <c r="M959" s="64" t="n"/>
      <c r="N959" s="62" t="n"/>
      <c r="O959" s="65">
        <f>IF(Z959=1,L959-W959,"")</f>
        <v/>
      </c>
      <c r="P959" s="66">
        <f>IF(V959="","",IFERROR(INDEX(coa_Type,MATCH(V959,coa_Name,0)),""))</f>
        <v/>
      </c>
      <c r="Q959" s="66">
        <f>IF(Z959=1,IF(U959="In",K959&amp;"",V959),"")</f>
        <v/>
      </c>
      <c r="R959" s="66">
        <f>IF(Z959=1,IF(U959="In",V959,K959&amp;""),"")</f>
        <v/>
      </c>
      <c r="S959" s="66">
        <f>IF(X959&lt;&gt;"","⛔ "&amp;X959&amp;" — not posted",IF(Y959&lt;&gt;"","⚠ "&amp;Y959,IF(Z959=1,"✓ OK","")))</f>
        <v/>
      </c>
      <c r="T959" s="67">
        <f>IF(AND(C959="",D959="",E959="",L959="",K959=""),1,0)</f>
        <v/>
      </c>
      <c r="U959" s="67">
        <f>IFERROR(INDEX(tt_Dir,MATCH(D959,tt_Type,0)),"")</f>
        <v/>
      </c>
      <c r="V959" s="67">
        <f>IF(D959="","",IFERROR(IF(INDEX(tt_Other,MATCH(D959,tt_Type,0))="",E959&amp;"",INDEX(tt_Other,MATCH(D959,tt_Type,0))),""))</f>
        <v/>
      </c>
      <c r="W959" s="68">
        <f>IF(OR(TaxOn&lt;&gt;"Yes",NOT(ISNUMBER(M959))),0,IF(IFERROR(INDEX(tt_Tax,MATCH(D959,tt_Type,0)),"No")="Yes",M959,0))</f>
        <v/>
      </c>
      <c r="X959" s="67">
        <f>IF(T959=1,"",IF(C959="","Missing transaction date",IF(NOT(ISNUMBER(C959)),"Invalid date",IF(OR(C959&lt;DATE(2000,1,1),C959&gt;DATE(2099,12,31)),"Invalid date",IF(D959="","Select a type",IF(U959="","Unknown type: "&amp;D959,IF(V959="","Select an account (Category)",IF(ISNA(MATCH(V959,coa_Name,0)),"Unknown account: "&amp;V959,IF(K959="","Select Paid From / Deposited To",IF(ISNA(MATCH(K959,coa_Name,0)),"Unknown account: "&amp;K959,IF(NOT(ISNUMBER(L959)),"Enter an amount",IF(L959=0,"Enter an amount",IF(ABS(W959)&gt;ABS(L959),"Tax is larger than the amount","")))))))))))))</f>
        <v/>
      </c>
      <c r="Y959" s="67">
        <f>IF(OR(T959=1,X959&lt;&gt;""),"",IF(AND(B959&lt;&gt;"",COUNTIF(tx_ID,B959)&gt;1),"Duplicate transaction ID",IF(AND(L959&lt;0,D959&lt;&gt;"Adjustment"),"Negative amount — check this entry",IF(AND(D959="Customer Payment",G959=""),"Add the customer",IF(AND(D959="Customer Payment",OR(J959="",COUNTIF(ar_No,J959&amp;"")=0)),"Invoice # in Reference not found on AR sheet",IF(AND(D959="Bill Payment",H959=""),"Add the vendor",IF(AND(D959="Bill Payment",OR(J959="",COUNTIFS(ap_No,J959&amp;"",ap_Party,H959&amp;"")=0)),"Bill # + vendor not found on AP sheet",IF(AND(ISNUMBER(M959),N(M959)&lt;&gt;0,W959=0),"Tax ignored (tax tracking off, or not allowed for this type)",IF(V959=K959&amp;"","Same account on both sides",IF(AND(ISNUMBER(StartDate),C959&lt;StartDate),"Date is before the accounting start date",IF(AND(D959&lt;&gt;"Adjustment",IFERROR(INDEX(coa_Pay,MATCH(K959&amp;"",coa_Name,0)),"")&lt;&gt;"Yes"),"Paid From / Deposited To is not a payment account","")))))))))))</f>
        <v/>
      </c>
      <c r="Z959" s="67">
        <f>IF(AND(T959=0,X959=""),1,0)</f>
        <v/>
      </c>
      <c r="AA959" s="68">
        <f>IF(Z959=1,IF(U959="In",L959,L959-W959),0)</f>
        <v/>
      </c>
      <c r="AB959" s="68">
        <f>IF(Z959=1,IF(U959="In",L959-W959,L959),0)</f>
        <v/>
      </c>
      <c r="AC959" s="68">
        <f>IF(AND(Z959=1,U959="Out"),W959,0)</f>
        <v/>
      </c>
      <c r="AD959" s="68">
        <f>IF(AND(Z959=1,U959="In"),W959,0)</f>
        <v/>
      </c>
    </row>
    <row r="960">
      <c r="B960" s="62" t="inlineStr">
        <is>
          <t>TX-0954</t>
        </is>
      </c>
      <c r="C960" s="63" t="n"/>
      <c r="D960" s="62" t="n"/>
      <c r="E960" s="62" t="n"/>
      <c r="F960" s="62" t="n"/>
      <c r="G960" s="62" t="n"/>
      <c r="H960" s="62" t="n"/>
      <c r="I960" s="62" t="n"/>
      <c r="J960" s="62" t="n"/>
      <c r="K960" s="62" t="n"/>
      <c r="L960" s="64" t="n"/>
      <c r="M960" s="64" t="n"/>
      <c r="N960" s="62" t="n"/>
      <c r="O960" s="65">
        <f>IF(Z960=1,L960-W960,"")</f>
        <v/>
      </c>
      <c r="P960" s="66">
        <f>IF(V960="","",IFERROR(INDEX(coa_Type,MATCH(V960,coa_Name,0)),""))</f>
        <v/>
      </c>
      <c r="Q960" s="66">
        <f>IF(Z960=1,IF(U960="In",K960&amp;"",V960),"")</f>
        <v/>
      </c>
      <c r="R960" s="66">
        <f>IF(Z960=1,IF(U960="In",V960,K960&amp;""),"")</f>
        <v/>
      </c>
      <c r="S960" s="66">
        <f>IF(X960&lt;&gt;"","⛔ "&amp;X960&amp;" — not posted",IF(Y960&lt;&gt;"","⚠ "&amp;Y960,IF(Z960=1,"✓ OK","")))</f>
        <v/>
      </c>
      <c r="T960" s="67">
        <f>IF(AND(C960="",D960="",E960="",L960="",K960=""),1,0)</f>
        <v/>
      </c>
      <c r="U960" s="67">
        <f>IFERROR(INDEX(tt_Dir,MATCH(D960,tt_Type,0)),"")</f>
        <v/>
      </c>
      <c r="V960" s="67">
        <f>IF(D960="","",IFERROR(IF(INDEX(tt_Other,MATCH(D960,tt_Type,0))="",E960&amp;"",INDEX(tt_Other,MATCH(D960,tt_Type,0))),""))</f>
        <v/>
      </c>
      <c r="W960" s="68">
        <f>IF(OR(TaxOn&lt;&gt;"Yes",NOT(ISNUMBER(M960))),0,IF(IFERROR(INDEX(tt_Tax,MATCH(D960,tt_Type,0)),"No")="Yes",M960,0))</f>
        <v/>
      </c>
      <c r="X960" s="67">
        <f>IF(T960=1,"",IF(C960="","Missing transaction date",IF(NOT(ISNUMBER(C960)),"Invalid date",IF(OR(C960&lt;DATE(2000,1,1),C960&gt;DATE(2099,12,31)),"Invalid date",IF(D960="","Select a type",IF(U960="","Unknown type: "&amp;D960,IF(V960="","Select an account (Category)",IF(ISNA(MATCH(V960,coa_Name,0)),"Unknown account: "&amp;V960,IF(K960="","Select Paid From / Deposited To",IF(ISNA(MATCH(K960,coa_Name,0)),"Unknown account: "&amp;K960,IF(NOT(ISNUMBER(L960)),"Enter an amount",IF(L960=0,"Enter an amount",IF(ABS(W960)&gt;ABS(L960),"Tax is larger than the amount","")))))))))))))</f>
        <v/>
      </c>
      <c r="Y960" s="67">
        <f>IF(OR(T960=1,X960&lt;&gt;""),"",IF(AND(B960&lt;&gt;"",COUNTIF(tx_ID,B960)&gt;1),"Duplicate transaction ID",IF(AND(L960&lt;0,D960&lt;&gt;"Adjustment"),"Negative amount — check this entry",IF(AND(D960="Customer Payment",G960=""),"Add the customer",IF(AND(D960="Customer Payment",OR(J960="",COUNTIF(ar_No,J960&amp;"")=0)),"Invoice # in Reference not found on AR sheet",IF(AND(D960="Bill Payment",H960=""),"Add the vendor",IF(AND(D960="Bill Payment",OR(J960="",COUNTIFS(ap_No,J960&amp;"",ap_Party,H960&amp;"")=0)),"Bill # + vendor not found on AP sheet",IF(AND(ISNUMBER(M960),N(M960)&lt;&gt;0,W960=0),"Tax ignored (tax tracking off, or not allowed for this type)",IF(V960=K960&amp;"","Same account on both sides",IF(AND(ISNUMBER(StartDate),C960&lt;StartDate),"Date is before the accounting start date",IF(AND(D960&lt;&gt;"Adjustment",IFERROR(INDEX(coa_Pay,MATCH(K960&amp;"",coa_Name,0)),"")&lt;&gt;"Yes"),"Paid From / Deposited To is not a payment account","")))))))))))</f>
        <v/>
      </c>
      <c r="Z960" s="67">
        <f>IF(AND(T960=0,X960=""),1,0)</f>
        <v/>
      </c>
      <c r="AA960" s="68">
        <f>IF(Z960=1,IF(U960="In",L960,L960-W960),0)</f>
        <v/>
      </c>
      <c r="AB960" s="68">
        <f>IF(Z960=1,IF(U960="In",L960-W960,L960),0)</f>
        <v/>
      </c>
      <c r="AC960" s="68">
        <f>IF(AND(Z960=1,U960="Out"),W960,0)</f>
        <v/>
      </c>
      <c r="AD960" s="68">
        <f>IF(AND(Z960=1,U960="In"),W960,0)</f>
        <v/>
      </c>
    </row>
    <row r="961">
      <c r="B961" s="62" t="inlineStr">
        <is>
          <t>TX-0955</t>
        </is>
      </c>
      <c r="C961" s="63" t="n"/>
      <c r="D961" s="62" t="n"/>
      <c r="E961" s="62" t="n"/>
      <c r="F961" s="62" t="n"/>
      <c r="G961" s="62" t="n"/>
      <c r="H961" s="62" t="n"/>
      <c r="I961" s="62" t="n"/>
      <c r="J961" s="62" t="n"/>
      <c r="K961" s="62" t="n"/>
      <c r="L961" s="64" t="n"/>
      <c r="M961" s="64" t="n"/>
      <c r="N961" s="62" t="n"/>
      <c r="O961" s="65">
        <f>IF(Z961=1,L961-W961,"")</f>
        <v/>
      </c>
      <c r="P961" s="66">
        <f>IF(V961="","",IFERROR(INDEX(coa_Type,MATCH(V961,coa_Name,0)),""))</f>
        <v/>
      </c>
      <c r="Q961" s="66">
        <f>IF(Z961=1,IF(U961="In",K961&amp;"",V961),"")</f>
        <v/>
      </c>
      <c r="R961" s="66">
        <f>IF(Z961=1,IF(U961="In",V961,K961&amp;""),"")</f>
        <v/>
      </c>
      <c r="S961" s="66">
        <f>IF(X961&lt;&gt;"","⛔ "&amp;X961&amp;" — not posted",IF(Y961&lt;&gt;"","⚠ "&amp;Y961,IF(Z961=1,"✓ OK","")))</f>
        <v/>
      </c>
      <c r="T961" s="67">
        <f>IF(AND(C961="",D961="",E961="",L961="",K961=""),1,0)</f>
        <v/>
      </c>
      <c r="U961" s="67">
        <f>IFERROR(INDEX(tt_Dir,MATCH(D961,tt_Type,0)),"")</f>
        <v/>
      </c>
      <c r="V961" s="67">
        <f>IF(D961="","",IFERROR(IF(INDEX(tt_Other,MATCH(D961,tt_Type,0))="",E961&amp;"",INDEX(tt_Other,MATCH(D961,tt_Type,0))),""))</f>
        <v/>
      </c>
      <c r="W961" s="68">
        <f>IF(OR(TaxOn&lt;&gt;"Yes",NOT(ISNUMBER(M961))),0,IF(IFERROR(INDEX(tt_Tax,MATCH(D961,tt_Type,0)),"No")="Yes",M961,0))</f>
        <v/>
      </c>
      <c r="X961" s="67">
        <f>IF(T961=1,"",IF(C961="","Missing transaction date",IF(NOT(ISNUMBER(C961)),"Invalid date",IF(OR(C961&lt;DATE(2000,1,1),C961&gt;DATE(2099,12,31)),"Invalid date",IF(D961="","Select a type",IF(U961="","Unknown type: "&amp;D961,IF(V961="","Select an account (Category)",IF(ISNA(MATCH(V961,coa_Name,0)),"Unknown account: "&amp;V961,IF(K961="","Select Paid From / Deposited To",IF(ISNA(MATCH(K961,coa_Name,0)),"Unknown account: "&amp;K961,IF(NOT(ISNUMBER(L961)),"Enter an amount",IF(L961=0,"Enter an amount",IF(ABS(W961)&gt;ABS(L961),"Tax is larger than the amount","")))))))))))))</f>
        <v/>
      </c>
      <c r="Y961" s="67">
        <f>IF(OR(T961=1,X961&lt;&gt;""),"",IF(AND(B961&lt;&gt;"",COUNTIF(tx_ID,B961)&gt;1),"Duplicate transaction ID",IF(AND(L961&lt;0,D961&lt;&gt;"Adjustment"),"Negative amount — check this entry",IF(AND(D961="Customer Payment",G961=""),"Add the customer",IF(AND(D961="Customer Payment",OR(J961="",COUNTIF(ar_No,J961&amp;"")=0)),"Invoice # in Reference not found on AR sheet",IF(AND(D961="Bill Payment",H961=""),"Add the vendor",IF(AND(D961="Bill Payment",OR(J961="",COUNTIFS(ap_No,J961&amp;"",ap_Party,H961&amp;"")=0)),"Bill # + vendor not found on AP sheet",IF(AND(ISNUMBER(M961),N(M961)&lt;&gt;0,W961=0),"Tax ignored (tax tracking off, or not allowed for this type)",IF(V961=K961&amp;"","Same account on both sides",IF(AND(ISNUMBER(StartDate),C961&lt;StartDate),"Date is before the accounting start date",IF(AND(D961&lt;&gt;"Adjustment",IFERROR(INDEX(coa_Pay,MATCH(K961&amp;"",coa_Name,0)),"")&lt;&gt;"Yes"),"Paid From / Deposited To is not a payment account","")))))))))))</f>
        <v/>
      </c>
      <c r="Z961" s="67">
        <f>IF(AND(T961=0,X961=""),1,0)</f>
        <v/>
      </c>
      <c r="AA961" s="68">
        <f>IF(Z961=1,IF(U961="In",L961,L961-W961),0)</f>
        <v/>
      </c>
      <c r="AB961" s="68">
        <f>IF(Z961=1,IF(U961="In",L961-W961,L961),0)</f>
        <v/>
      </c>
      <c r="AC961" s="68">
        <f>IF(AND(Z961=1,U961="Out"),W961,0)</f>
        <v/>
      </c>
      <c r="AD961" s="68">
        <f>IF(AND(Z961=1,U961="In"),W961,0)</f>
        <v/>
      </c>
    </row>
    <row r="962">
      <c r="B962" s="62" t="inlineStr">
        <is>
          <t>TX-0956</t>
        </is>
      </c>
      <c r="C962" s="63" t="n"/>
      <c r="D962" s="62" t="n"/>
      <c r="E962" s="62" t="n"/>
      <c r="F962" s="62" t="n"/>
      <c r="G962" s="62" t="n"/>
      <c r="H962" s="62" t="n"/>
      <c r="I962" s="62" t="n"/>
      <c r="J962" s="62" t="n"/>
      <c r="K962" s="62" t="n"/>
      <c r="L962" s="64" t="n"/>
      <c r="M962" s="64" t="n"/>
      <c r="N962" s="62" t="n"/>
      <c r="O962" s="65">
        <f>IF(Z962=1,L962-W962,"")</f>
        <v/>
      </c>
      <c r="P962" s="66">
        <f>IF(V962="","",IFERROR(INDEX(coa_Type,MATCH(V962,coa_Name,0)),""))</f>
        <v/>
      </c>
      <c r="Q962" s="66">
        <f>IF(Z962=1,IF(U962="In",K962&amp;"",V962),"")</f>
        <v/>
      </c>
      <c r="R962" s="66">
        <f>IF(Z962=1,IF(U962="In",V962,K962&amp;""),"")</f>
        <v/>
      </c>
      <c r="S962" s="66">
        <f>IF(X962&lt;&gt;"","⛔ "&amp;X962&amp;" — not posted",IF(Y962&lt;&gt;"","⚠ "&amp;Y962,IF(Z962=1,"✓ OK","")))</f>
        <v/>
      </c>
      <c r="T962" s="67">
        <f>IF(AND(C962="",D962="",E962="",L962="",K962=""),1,0)</f>
        <v/>
      </c>
      <c r="U962" s="67">
        <f>IFERROR(INDEX(tt_Dir,MATCH(D962,tt_Type,0)),"")</f>
        <v/>
      </c>
      <c r="V962" s="67">
        <f>IF(D962="","",IFERROR(IF(INDEX(tt_Other,MATCH(D962,tt_Type,0))="",E962&amp;"",INDEX(tt_Other,MATCH(D962,tt_Type,0))),""))</f>
        <v/>
      </c>
      <c r="W962" s="68">
        <f>IF(OR(TaxOn&lt;&gt;"Yes",NOT(ISNUMBER(M962))),0,IF(IFERROR(INDEX(tt_Tax,MATCH(D962,tt_Type,0)),"No")="Yes",M962,0))</f>
        <v/>
      </c>
      <c r="X962" s="67">
        <f>IF(T962=1,"",IF(C962="","Missing transaction date",IF(NOT(ISNUMBER(C962)),"Invalid date",IF(OR(C962&lt;DATE(2000,1,1),C962&gt;DATE(2099,12,31)),"Invalid date",IF(D962="","Select a type",IF(U962="","Unknown type: "&amp;D962,IF(V962="","Select an account (Category)",IF(ISNA(MATCH(V962,coa_Name,0)),"Unknown account: "&amp;V962,IF(K962="","Select Paid From / Deposited To",IF(ISNA(MATCH(K962,coa_Name,0)),"Unknown account: "&amp;K962,IF(NOT(ISNUMBER(L962)),"Enter an amount",IF(L962=0,"Enter an amount",IF(ABS(W962)&gt;ABS(L962),"Tax is larger than the amount","")))))))))))))</f>
        <v/>
      </c>
      <c r="Y962" s="67">
        <f>IF(OR(T962=1,X962&lt;&gt;""),"",IF(AND(B962&lt;&gt;"",COUNTIF(tx_ID,B962)&gt;1),"Duplicate transaction ID",IF(AND(L962&lt;0,D962&lt;&gt;"Adjustment"),"Negative amount — check this entry",IF(AND(D962="Customer Payment",G962=""),"Add the customer",IF(AND(D962="Customer Payment",OR(J962="",COUNTIF(ar_No,J962&amp;"")=0)),"Invoice # in Reference not found on AR sheet",IF(AND(D962="Bill Payment",H962=""),"Add the vendor",IF(AND(D962="Bill Payment",OR(J962="",COUNTIFS(ap_No,J962&amp;"",ap_Party,H962&amp;"")=0)),"Bill # + vendor not found on AP sheet",IF(AND(ISNUMBER(M962),N(M962)&lt;&gt;0,W962=0),"Tax ignored (tax tracking off, or not allowed for this type)",IF(V962=K962&amp;"","Same account on both sides",IF(AND(ISNUMBER(StartDate),C962&lt;StartDate),"Date is before the accounting start date",IF(AND(D962&lt;&gt;"Adjustment",IFERROR(INDEX(coa_Pay,MATCH(K962&amp;"",coa_Name,0)),"")&lt;&gt;"Yes"),"Paid From / Deposited To is not a payment account","")))))))))))</f>
        <v/>
      </c>
      <c r="Z962" s="67">
        <f>IF(AND(T962=0,X962=""),1,0)</f>
        <v/>
      </c>
      <c r="AA962" s="68">
        <f>IF(Z962=1,IF(U962="In",L962,L962-W962),0)</f>
        <v/>
      </c>
      <c r="AB962" s="68">
        <f>IF(Z962=1,IF(U962="In",L962-W962,L962),0)</f>
        <v/>
      </c>
      <c r="AC962" s="68">
        <f>IF(AND(Z962=1,U962="Out"),W962,0)</f>
        <v/>
      </c>
      <c r="AD962" s="68">
        <f>IF(AND(Z962=1,U962="In"),W962,0)</f>
        <v/>
      </c>
    </row>
    <row r="963">
      <c r="B963" s="62" t="inlineStr">
        <is>
          <t>TX-0957</t>
        </is>
      </c>
      <c r="C963" s="63" t="n"/>
      <c r="D963" s="62" t="n"/>
      <c r="E963" s="62" t="n"/>
      <c r="F963" s="62" t="n"/>
      <c r="G963" s="62" t="n"/>
      <c r="H963" s="62" t="n"/>
      <c r="I963" s="62" t="n"/>
      <c r="J963" s="62" t="n"/>
      <c r="K963" s="62" t="n"/>
      <c r="L963" s="64" t="n"/>
      <c r="M963" s="64" t="n"/>
      <c r="N963" s="62" t="n"/>
      <c r="O963" s="65">
        <f>IF(Z963=1,L963-W963,"")</f>
        <v/>
      </c>
      <c r="P963" s="66">
        <f>IF(V963="","",IFERROR(INDEX(coa_Type,MATCH(V963,coa_Name,0)),""))</f>
        <v/>
      </c>
      <c r="Q963" s="66">
        <f>IF(Z963=1,IF(U963="In",K963&amp;"",V963),"")</f>
        <v/>
      </c>
      <c r="R963" s="66">
        <f>IF(Z963=1,IF(U963="In",V963,K963&amp;""),"")</f>
        <v/>
      </c>
      <c r="S963" s="66">
        <f>IF(X963&lt;&gt;"","⛔ "&amp;X963&amp;" — not posted",IF(Y963&lt;&gt;"","⚠ "&amp;Y963,IF(Z963=1,"✓ OK","")))</f>
        <v/>
      </c>
      <c r="T963" s="67">
        <f>IF(AND(C963="",D963="",E963="",L963="",K963=""),1,0)</f>
        <v/>
      </c>
      <c r="U963" s="67">
        <f>IFERROR(INDEX(tt_Dir,MATCH(D963,tt_Type,0)),"")</f>
        <v/>
      </c>
      <c r="V963" s="67">
        <f>IF(D963="","",IFERROR(IF(INDEX(tt_Other,MATCH(D963,tt_Type,0))="",E963&amp;"",INDEX(tt_Other,MATCH(D963,tt_Type,0))),""))</f>
        <v/>
      </c>
      <c r="W963" s="68">
        <f>IF(OR(TaxOn&lt;&gt;"Yes",NOT(ISNUMBER(M963))),0,IF(IFERROR(INDEX(tt_Tax,MATCH(D963,tt_Type,0)),"No")="Yes",M963,0))</f>
        <v/>
      </c>
      <c r="X963" s="67">
        <f>IF(T963=1,"",IF(C963="","Missing transaction date",IF(NOT(ISNUMBER(C963)),"Invalid date",IF(OR(C963&lt;DATE(2000,1,1),C963&gt;DATE(2099,12,31)),"Invalid date",IF(D963="","Select a type",IF(U963="","Unknown type: "&amp;D963,IF(V963="","Select an account (Category)",IF(ISNA(MATCH(V963,coa_Name,0)),"Unknown account: "&amp;V963,IF(K963="","Select Paid From / Deposited To",IF(ISNA(MATCH(K963,coa_Name,0)),"Unknown account: "&amp;K963,IF(NOT(ISNUMBER(L963)),"Enter an amount",IF(L963=0,"Enter an amount",IF(ABS(W963)&gt;ABS(L963),"Tax is larger than the amount","")))))))))))))</f>
        <v/>
      </c>
      <c r="Y963" s="67">
        <f>IF(OR(T963=1,X963&lt;&gt;""),"",IF(AND(B963&lt;&gt;"",COUNTIF(tx_ID,B963)&gt;1),"Duplicate transaction ID",IF(AND(L963&lt;0,D963&lt;&gt;"Adjustment"),"Negative amount — check this entry",IF(AND(D963="Customer Payment",G963=""),"Add the customer",IF(AND(D963="Customer Payment",OR(J963="",COUNTIF(ar_No,J963&amp;"")=0)),"Invoice # in Reference not found on AR sheet",IF(AND(D963="Bill Payment",H963=""),"Add the vendor",IF(AND(D963="Bill Payment",OR(J963="",COUNTIFS(ap_No,J963&amp;"",ap_Party,H963&amp;"")=0)),"Bill # + vendor not found on AP sheet",IF(AND(ISNUMBER(M963),N(M963)&lt;&gt;0,W963=0),"Tax ignored (tax tracking off, or not allowed for this type)",IF(V963=K963&amp;"","Same account on both sides",IF(AND(ISNUMBER(StartDate),C963&lt;StartDate),"Date is before the accounting start date",IF(AND(D963&lt;&gt;"Adjustment",IFERROR(INDEX(coa_Pay,MATCH(K963&amp;"",coa_Name,0)),"")&lt;&gt;"Yes"),"Paid From / Deposited To is not a payment account","")))))))))))</f>
        <v/>
      </c>
      <c r="Z963" s="67">
        <f>IF(AND(T963=0,X963=""),1,0)</f>
        <v/>
      </c>
      <c r="AA963" s="68">
        <f>IF(Z963=1,IF(U963="In",L963,L963-W963),0)</f>
        <v/>
      </c>
      <c r="AB963" s="68">
        <f>IF(Z963=1,IF(U963="In",L963-W963,L963),0)</f>
        <v/>
      </c>
      <c r="AC963" s="68">
        <f>IF(AND(Z963=1,U963="Out"),W963,0)</f>
        <v/>
      </c>
      <c r="AD963" s="68">
        <f>IF(AND(Z963=1,U963="In"),W963,0)</f>
        <v/>
      </c>
    </row>
    <row r="964">
      <c r="B964" s="62" t="inlineStr">
        <is>
          <t>TX-0958</t>
        </is>
      </c>
      <c r="C964" s="63" t="n"/>
      <c r="D964" s="62" t="n"/>
      <c r="E964" s="62" t="n"/>
      <c r="F964" s="62" t="n"/>
      <c r="G964" s="62" t="n"/>
      <c r="H964" s="62" t="n"/>
      <c r="I964" s="62" t="n"/>
      <c r="J964" s="62" t="n"/>
      <c r="K964" s="62" t="n"/>
      <c r="L964" s="64" t="n"/>
      <c r="M964" s="64" t="n"/>
      <c r="N964" s="62" t="n"/>
      <c r="O964" s="65">
        <f>IF(Z964=1,L964-W964,"")</f>
        <v/>
      </c>
      <c r="P964" s="66">
        <f>IF(V964="","",IFERROR(INDEX(coa_Type,MATCH(V964,coa_Name,0)),""))</f>
        <v/>
      </c>
      <c r="Q964" s="66">
        <f>IF(Z964=1,IF(U964="In",K964&amp;"",V964),"")</f>
        <v/>
      </c>
      <c r="R964" s="66">
        <f>IF(Z964=1,IF(U964="In",V964,K964&amp;""),"")</f>
        <v/>
      </c>
      <c r="S964" s="66">
        <f>IF(X964&lt;&gt;"","⛔ "&amp;X964&amp;" — not posted",IF(Y964&lt;&gt;"","⚠ "&amp;Y964,IF(Z964=1,"✓ OK","")))</f>
        <v/>
      </c>
      <c r="T964" s="67">
        <f>IF(AND(C964="",D964="",E964="",L964="",K964=""),1,0)</f>
        <v/>
      </c>
      <c r="U964" s="67">
        <f>IFERROR(INDEX(tt_Dir,MATCH(D964,tt_Type,0)),"")</f>
        <v/>
      </c>
      <c r="V964" s="67">
        <f>IF(D964="","",IFERROR(IF(INDEX(tt_Other,MATCH(D964,tt_Type,0))="",E964&amp;"",INDEX(tt_Other,MATCH(D964,tt_Type,0))),""))</f>
        <v/>
      </c>
      <c r="W964" s="68">
        <f>IF(OR(TaxOn&lt;&gt;"Yes",NOT(ISNUMBER(M964))),0,IF(IFERROR(INDEX(tt_Tax,MATCH(D964,tt_Type,0)),"No")="Yes",M964,0))</f>
        <v/>
      </c>
      <c r="X964" s="67">
        <f>IF(T964=1,"",IF(C964="","Missing transaction date",IF(NOT(ISNUMBER(C964)),"Invalid date",IF(OR(C964&lt;DATE(2000,1,1),C964&gt;DATE(2099,12,31)),"Invalid date",IF(D964="","Select a type",IF(U964="","Unknown type: "&amp;D964,IF(V964="","Select an account (Category)",IF(ISNA(MATCH(V964,coa_Name,0)),"Unknown account: "&amp;V964,IF(K964="","Select Paid From / Deposited To",IF(ISNA(MATCH(K964,coa_Name,0)),"Unknown account: "&amp;K964,IF(NOT(ISNUMBER(L964)),"Enter an amount",IF(L964=0,"Enter an amount",IF(ABS(W964)&gt;ABS(L964),"Tax is larger than the amount","")))))))))))))</f>
        <v/>
      </c>
      <c r="Y964" s="67">
        <f>IF(OR(T964=1,X964&lt;&gt;""),"",IF(AND(B964&lt;&gt;"",COUNTIF(tx_ID,B964)&gt;1),"Duplicate transaction ID",IF(AND(L964&lt;0,D964&lt;&gt;"Adjustment"),"Negative amount — check this entry",IF(AND(D964="Customer Payment",G964=""),"Add the customer",IF(AND(D964="Customer Payment",OR(J964="",COUNTIF(ar_No,J964&amp;"")=0)),"Invoice # in Reference not found on AR sheet",IF(AND(D964="Bill Payment",H964=""),"Add the vendor",IF(AND(D964="Bill Payment",OR(J964="",COUNTIFS(ap_No,J964&amp;"",ap_Party,H964&amp;"")=0)),"Bill # + vendor not found on AP sheet",IF(AND(ISNUMBER(M964),N(M964)&lt;&gt;0,W964=0),"Tax ignored (tax tracking off, or not allowed for this type)",IF(V964=K964&amp;"","Same account on both sides",IF(AND(ISNUMBER(StartDate),C964&lt;StartDate),"Date is before the accounting start date",IF(AND(D964&lt;&gt;"Adjustment",IFERROR(INDEX(coa_Pay,MATCH(K964&amp;"",coa_Name,0)),"")&lt;&gt;"Yes"),"Paid From / Deposited To is not a payment account","")))))))))))</f>
        <v/>
      </c>
      <c r="Z964" s="67">
        <f>IF(AND(T964=0,X964=""),1,0)</f>
        <v/>
      </c>
      <c r="AA964" s="68">
        <f>IF(Z964=1,IF(U964="In",L964,L964-W964),0)</f>
        <v/>
      </c>
      <c r="AB964" s="68">
        <f>IF(Z964=1,IF(U964="In",L964-W964,L964),0)</f>
        <v/>
      </c>
      <c r="AC964" s="68">
        <f>IF(AND(Z964=1,U964="Out"),W964,0)</f>
        <v/>
      </c>
      <c r="AD964" s="68">
        <f>IF(AND(Z964=1,U964="In"),W964,0)</f>
        <v/>
      </c>
    </row>
    <row r="965">
      <c r="B965" s="62" t="inlineStr">
        <is>
          <t>TX-0959</t>
        </is>
      </c>
      <c r="C965" s="63" t="n"/>
      <c r="D965" s="62" t="n"/>
      <c r="E965" s="62" t="n"/>
      <c r="F965" s="62" t="n"/>
      <c r="G965" s="62" t="n"/>
      <c r="H965" s="62" t="n"/>
      <c r="I965" s="62" t="n"/>
      <c r="J965" s="62" t="n"/>
      <c r="K965" s="62" t="n"/>
      <c r="L965" s="64" t="n"/>
      <c r="M965" s="64" t="n"/>
      <c r="N965" s="62" t="n"/>
      <c r="O965" s="65">
        <f>IF(Z965=1,L965-W965,"")</f>
        <v/>
      </c>
      <c r="P965" s="66">
        <f>IF(V965="","",IFERROR(INDEX(coa_Type,MATCH(V965,coa_Name,0)),""))</f>
        <v/>
      </c>
      <c r="Q965" s="66">
        <f>IF(Z965=1,IF(U965="In",K965&amp;"",V965),"")</f>
        <v/>
      </c>
      <c r="R965" s="66">
        <f>IF(Z965=1,IF(U965="In",V965,K965&amp;""),"")</f>
        <v/>
      </c>
      <c r="S965" s="66">
        <f>IF(X965&lt;&gt;"","⛔ "&amp;X965&amp;" — not posted",IF(Y965&lt;&gt;"","⚠ "&amp;Y965,IF(Z965=1,"✓ OK","")))</f>
        <v/>
      </c>
      <c r="T965" s="67">
        <f>IF(AND(C965="",D965="",E965="",L965="",K965=""),1,0)</f>
        <v/>
      </c>
      <c r="U965" s="67">
        <f>IFERROR(INDEX(tt_Dir,MATCH(D965,tt_Type,0)),"")</f>
        <v/>
      </c>
      <c r="V965" s="67">
        <f>IF(D965="","",IFERROR(IF(INDEX(tt_Other,MATCH(D965,tt_Type,0))="",E965&amp;"",INDEX(tt_Other,MATCH(D965,tt_Type,0))),""))</f>
        <v/>
      </c>
      <c r="W965" s="68">
        <f>IF(OR(TaxOn&lt;&gt;"Yes",NOT(ISNUMBER(M965))),0,IF(IFERROR(INDEX(tt_Tax,MATCH(D965,tt_Type,0)),"No")="Yes",M965,0))</f>
        <v/>
      </c>
      <c r="X965" s="67">
        <f>IF(T965=1,"",IF(C965="","Missing transaction date",IF(NOT(ISNUMBER(C965)),"Invalid date",IF(OR(C965&lt;DATE(2000,1,1),C965&gt;DATE(2099,12,31)),"Invalid date",IF(D965="","Select a type",IF(U965="","Unknown type: "&amp;D965,IF(V965="","Select an account (Category)",IF(ISNA(MATCH(V965,coa_Name,0)),"Unknown account: "&amp;V965,IF(K965="","Select Paid From / Deposited To",IF(ISNA(MATCH(K965,coa_Name,0)),"Unknown account: "&amp;K965,IF(NOT(ISNUMBER(L965)),"Enter an amount",IF(L965=0,"Enter an amount",IF(ABS(W965)&gt;ABS(L965),"Tax is larger than the amount","")))))))))))))</f>
        <v/>
      </c>
      <c r="Y965" s="67">
        <f>IF(OR(T965=1,X965&lt;&gt;""),"",IF(AND(B965&lt;&gt;"",COUNTIF(tx_ID,B965)&gt;1),"Duplicate transaction ID",IF(AND(L965&lt;0,D965&lt;&gt;"Adjustment"),"Negative amount — check this entry",IF(AND(D965="Customer Payment",G965=""),"Add the customer",IF(AND(D965="Customer Payment",OR(J965="",COUNTIF(ar_No,J965&amp;"")=0)),"Invoice # in Reference not found on AR sheet",IF(AND(D965="Bill Payment",H965=""),"Add the vendor",IF(AND(D965="Bill Payment",OR(J965="",COUNTIFS(ap_No,J965&amp;"",ap_Party,H965&amp;"")=0)),"Bill # + vendor not found on AP sheet",IF(AND(ISNUMBER(M965),N(M965)&lt;&gt;0,W965=0),"Tax ignored (tax tracking off, or not allowed for this type)",IF(V965=K965&amp;"","Same account on both sides",IF(AND(ISNUMBER(StartDate),C965&lt;StartDate),"Date is before the accounting start date",IF(AND(D965&lt;&gt;"Adjustment",IFERROR(INDEX(coa_Pay,MATCH(K965&amp;"",coa_Name,0)),"")&lt;&gt;"Yes"),"Paid From / Deposited To is not a payment account","")))))))))))</f>
        <v/>
      </c>
      <c r="Z965" s="67">
        <f>IF(AND(T965=0,X965=""),1,0)</f>
        <v/>
      </c>
      <c r="AA965" s="68">
        <f>IF(Z965=1,IF(U965="In",L965,L965-W965),0)</f>
        <v/>
      </c>
      <c r="AB965" s="68">
        <f>IF(Z965=1,IF(U965="In",L965-W965,L965),0)</f>
        <v/>
      </c>
      <c r="AC965" s="68">
        <f>IF(AND(Z965=1,U965="Out"),W965,0)</f>
        <v/>
      </c>
      <c r="AD965" s="68">
        <f>IF(AND(Z965=1,U965="In"),W965,0)</f>
        <v/>
      </c>
    </row>
    <row r="966">
      <c r="B966" s="62" t="inlineStr">
        <is>
          <t>TX-0960</t>
        </is>
      </c>
      <c r="C966" s="63" t="n"/>
      <c r="D966" s="62" t="n"/>
      <c r="E966" s="62" t="n"/>
      <c r="F966" s="62" t="n"/>
      <c r="G966" s="62" t="n"/>
      <c r="H966" s="62" t="n"/>
      <c r="I966" s="62" t="n"/>
      <c r="J966" s="62" t="n"/>
      <c r="K966" s="62" t="n"/>
      <c r="L966" s="64" t="n"/>
      <c r="M966" s="64" t="n"/>
      <c r="N966" s="62" t="n"/>
      <c r="O966" s="65">
        <f>IF(Z966=1,L966-W966,"")</f>
        <v/>
      </c>
      <c r="P966" s="66">
        <f>IF(V966="","",IFERROR(INDEX(coa_Type,MATCH(V966,coa_Name,0)),""))</f>
        <v/>
      </c>
      <c r="Q966" s="66">
        <f>IF(Z966=1,IF(U966="In",K966&amp;"",V966),"")</f>
        <v/>
      </c>
      <c r="R966" s="66">
        <f>IF(Z966=1,IF(U966="In",V966,K966&amp;""),"")</f>
        <v/>
      </c>
      <c r="S966" s="66">
        <f>IF(X966&lt;&gt;"","⛔ "&amp;X966&amp;" — not posted",IF(Y966&lt;&gt;"","⚠ "&amp;Y966,IF(Z966=1,"✓ OK","")))</f>
        <v/>
      </c>
      <c r="T966" s="67">
        <f>IF(AND(C966="",D966="",E966="",L966="",K966=""),1,0)</f>
        <v/>
      </c>
      <c r="U966" s="67">
        <f>IFERROR(INDEX(tt_Dir,MATCH(D966,tt_Type,0)),"")</f>
        <v/>
      </c>
      <c r="V966" s="67">
        <f>IF(D966="","",IFERROR(IF(INDEX(tt_Other,MATCH(D966,tt_Type,0))="",E966&amp;"",INDEX(tt_Other,MATCH(D966,tt_Type,0))),""))</f>
        <v/>
      </c>
      <c r="W966" s="68">
        <f>IF(OR(TaxOn&lt;&gt;"Yes",NOT(ISNUMBER(M966))),0,IF(IFERROR(INDEX(tt_Tax,MATCH(D966,tt_Type,0)),"No")="Yes",M966,0))</f>
        <v/>
      </c>
      <c r="X966" s="67">
        <f>IF(T966=1,"",IF(C966="","Missing transaction date",IF(NOT(ISNUMBER(C966)),"Invalid date",IF(OR(C966&lt;DATE(2000,1,1),C966&gt;DATE(2099,12,31)),"Invalid date",IF(D966="","Select a type",IF(U966="","Unknown type: "&amp;D966,IF(V966="","Select an account (Category)",IF(ISNA(MATCH(V966,coa_Name,0)),"Unknown account: "&amp;V966,IF(K966="","Select Paid From / Deposited To",IF(ISNA(MATCH(K966,coa_Name,0)),"Unknown account: "&amp;K966,IF(NOT(ISNUMBER(L966)),"Enter an amount",IF(L966=0,"Enter an amount",IF(ABS(W966)&gt;ABS(L966),"Tax is larger than the amount","")))))))))))))</f>
        <v/>
      </c>
      <c r="Y966" s="67">
        <f>IF(OR(T966=1,X966&lt;&gt;""),"",IF(AND(B966&lt;&gt;"",COUNTIF(tx_ID,B966)&gt;1),"Duplicate transaction ID",IF(AND(L966&lt;0,D966&lt;&gt;"Adjustment"),"Negative amount — check this entry",IF(AND(D966="Customer Payment",G966=""),"Add the customer",IF(AND(D966="Customer Payment",OR(J966="",COUNTIF(ar_No,J966&amp;"")=0)),"Invoice # in Reference not found on AR sheet",IF(AND(D966="Bill Payment",H966=""),"Add the vendor",IF(AND(D966="Bill Payment",OR(J966="",COUNTIFS(ap_No,J966&amp;"",ap_Party,H966&amp;"")=0)),"Bill # + vendor not found on AP sheet",IF(AND(ISNUMBER(M966),N(M966)&lt;&gt;0,W966=0),"Tax ignored (tax tracking off, or not allowed for this type)",IF(V966=K966&amp;"","Same account on both sides",IF(AND(ISNUMBER(StartDate),C966&lt;StartDate),"Date is before the accounting start date",IF(AND(D966&lt;&gt;"Adjustment",IFERROR(INDEX(coa_Pay,MATCH(K966&amp;"",coa_Name,0)),"")&lt;&gt;"Yes"),"Paid From / Deposited To is not a payment account","")))))))))))</f>
        <v/>
      </c>
      <c r="Z966" s="67">
        <f>IF(AND(T966=0,X966=""),1,0)</f>
        <v/>
      </c>
      <c r="AA966" s="68">
        <f>IF(Z966=1,IF(U966="In",L966,L966-W966),0)</f>
        <v/>
      </c>
      <c r="AB966" s="68">
        <f>IF(Z966=1,IF(U966="In",L966-W966,L966),0)</f>
        <v/>
      </c>
      <c r="AC966" s="68">
        <f>IF(AND(Z966=1,U966="Out"),W966,0)</f>
        <v/>
      </c>
      <c r="AD966" s="68">
        <f>IF(AND(Z966=1,U966="In"),W966,0)</f>
        <v/>
      </c>
    </row>
    <row r="967">
      <c r="B967" s="62" t="inlineStr">
        <is>
          <t>TX-0961</t>
        </is>
      </c>
      <c r="C967" s="63" t="n"/>
      <c r="D967" s="62" t="n"/>
      <c r="E967" s="62" t="n"/>
      <c r="F967" s="62" t="n"/>
      <c r="G967" s="62" t="n"/>
      <c r="H967" s="62" t="n"/>
      <c r="I967" s="62" t="n"/>
      <c r="J967" s="62" t="n"/>
      <c r="K967" s="62" t="n"/>
      <c r="L967" s="64" t="n"/>
      <c r="M967" s="64" t="n"/>
      <c r="N967" s="62" t="n"/>
      <c r="O967" s="65">
        <f>IF(Z967=1,L967-W967,"")</f>
        <v/>
      </c>
      <c r="P967" s="66">
        <f>IF(V967="","",IFERROR(INDEX(coa_Type,MATCH(V967,coa_Name,0)),""))</f>
        <v/>
      </c>
      <c r="Q967" s="66">
        <f>IF(Z967=1,IF(U967="In",K967&amp;"",V967),"")</f>
        <v/>
      </c>
      <c r="R967" s="66">
        <f>IF(Z967=1,IF(U967="In",V967,K967&amp;""),"")</f>
        <v/>
      </c>
      <c r="S967" s="66">
        <f>IF(X967&lt;&gt;"","⛔ "&amp;X967&amp;" — not posted",IF(Y967&lt;&gt;"","⚠ "&amp;Y967,IF(Z967=1,"✓ OK","")))</f>
        <v/>
      </c>
      <c r="T967" s="67">
        <f>IF(AND(C967="",D967="",E967="",L967="",K967=""),1,0)</f>
        <v/>
      </c>
      <c r="U967" s="67">
        <f>IFERROR(INDEX(tt_Dir,MATCH(D967,tt_Type,0)),"")</f>
        <v/>
      </c>
      <c r="V967" s="67">
        <f>IF(D967="","",IFERROR(IF(INDEX(tt_Other,MATCH(D967,tt_Type,0))="",E967&amp;"",INDEX(tt_Other,MATCH(D967,tt_Type,0))),""))</f>
        <v/>
      </c>
      <c r="W967" s="68">
        <f>IF(OR(TaxOn&lt;&gt;"Yes",NOT(ISNUMBER(M967))),0,IF(IFERROR(INDEX(tt_Tax,MATCH(D967,tt_Type,0)),"No")="Yes",M967,0))</f>
        <v/>
      </c>
      <c r="X967" s="67">
        <f>IF(T967=1,"",IF(C967="","Missing transaction date",IF(NOT(ISNUMBER(C967)),"Invalid date",IF(OR(C967&lt;DATE(2000,1,1),C967&gt;DATE(2099,12,31)),"Invalid date",IF(D967="","Select a type",IF(U967="","Unknown type: "&amp;D967,IF(V967="","Select an account (Category)",IF(ISNA(MATCH(V967,coa_Name,0)),"Unknown account: "&amp;V967,IF(K967="","Select Paid From / Deposited To",IF(ISNA(MATCH(K967,coa_Name,0)),"Unknown account: "&amp;K967,IF(NOT(ISNUMBER(L967)),"Enter an amount",IF(L967=0,"Enter an amount",IF(ABS(W967)&gt;ABS(L967),"Tax is larger than the amount","")))))))))))))</f>
        <v/>
      </c>
      <c r="Y967" s="67">
        <f>IF(OR(T967=1,X967&lt;&gt;""),"",IF(AND(B967&lt;&gt;"",COUNTIF(tx_ID,B967)&gt;1),"Duplicate transaction ID",IF(AND(L967&lt;0,D967&lt;&gt;"Adjustment"),"Negative amount — check this entry",IF(AND(D967="Customer Payment",G967=""),"Add the customer",IF(AND(D967="Customer Payment",OR(J967="",COUNTIF(ar_No,J967&amp;"")=0)),"Invoice # in Reference not found on AR sheet",IF(AND(D967="Bill Payment",H967=""),"Add the vendor",IF(AND(D967="Bill Payment",OR(J967="",COUNTIFS(ap_No,J967&amp;"",ap_Party,H967&amp;"")=0)),"Bill # + vendor not found on AP sheet",IF(AND(ISNUMBER(M967),N(M967)&lt;&gt;0,W967=0),"Tax ignored (tax tracking off, or not allowed for this type)",IF(V967=K967&amp;"","Same account on both sides",IF(AND(ISNUMBER(StartDate),C967&lt;StartDate),"Date is before the accounting start date",IF(AND(D967&lt;&gt;"Adjustment",IFERROR(INDEX(coa_Pay,MATCH(K967&amp;"",coa_Name,0)),"")&lt;&gt;"Yes"),"Paid From / Deposited To is not a payment account","")))))))))))</f>
        <v/>
      </c>
      <c r="Z967" s="67">
        <f>IF(AND(T967=0,X967=""),1,0)</f>
        <v/>
      </c>
      <c r="AA967" s="68">
        <f>IF(Z967=1,IF(U967="In",L967,L967-W967),0)</f>
        <v/>
      </c>
      <c r="AB967" s="68">
        <f>IF(Z967=1,IF(U967="In",L967-W967,L967),0)</f>
        <v/>
      </c>
      <c r="AC967" s="68">
        <f>IF(AND(Z967=1,U967="Out"),W967,0)</f>
        <v/>
      </c>
      <c r="AD967" s="68">
        <f>IF(AND(Z967=1,U967="In"),W967,0)</f>
        <v/>
      </c>
    </row>
    <row r="968">
      <c r="B968" s="62" t="inlineStr">
        <is>
          <t>TX-0962</t>
        </is>
      </c>
      <c r="C968" s="63" t="n"/>
      <c r="D968" s="62" t="n"/>
      <c r="E968" s="62" t="n"/>
      <c r="F968" s="62" t="n"/>
      <c r="G968" s="62" t="n"/>
      <c r="H968" s="62" t="n"/>
      <c r="I968" s="62" t="n"/>
      <c r="J968" s="62" t="n"/>
      <c r="K968" s="62" t="n"/>
      <c r="L968" s="64" t="n"/>
      <c r="M968" s="64" t="n"/>
      <c r="N968" s="62" t="n"/>
      <c r="O968" s="65">
        <f>IF(Z968=1,L968-W968,"")</f>
        <v/>
      </c>
      <c r="P968" s="66">
        <f>IF(V968="","",IFERROR(INDEX(coa_Type,MATCH(V968,coa_Name,0)),""))</f>
        <v/>
      </c>
      <c r="Q968" s="66">
        <f>IF(Z968=1,IF(U968="In",K968&amp;"",V968),"")</f>
        <v/>
      </c>
      <c r="R968" s="66">
        <f>IF(Z968=1,IF(U968="In",V968,K968&amp;""),"")</f>
        <v/>
      </c>
      <c r="S968" s="66">
        <f>IF(X968&lt;&gt;"","⛔ "&amp;X968&amp;" — not posted",IF(Y968&lt;&gt;"","⚠ "&amp;Y968,IF(Z968=1,"✓ OK","")))</f>
        <v/>
      </c>
      <c r="T968" s="67">
        <f>IF(AND(C968="",D968="",E968="",L968="",K968=""),1,0)</f>
        <v/>
      </c>
      <c r="U968" s="67">
        <f>IFERROR(INDEX(tt_Dir,MATCH(D968,tt_Type,0)),"")</f>
        <v/>
      </c>
      <c r="V968" s="67">
        <f>IF(D968="","",IFERROR(IF(INDEX(tt_Other,MATCH(D968,tt_Type,0))="",E968&amp;"",INDEX(tt_Other,MATCH(D968,tt_Type,0))),""))</f>
        <v/>
      </c>
      <c r="W968" s="68">
        <f>IF(OR(TaxOn&lt;&gt;"Yes",NOT(ISNUMBER(M968))),0,IF(IFERROR(INDEX(tt_Tax,MATCH(D968,tt_Type,0)),"No")="Yes",M968,0))</f>
        <v/>
      </c>
      <c r="X968" s="67">
        <f>IF(T968=1,"",IF(C968="","Missing transaction date",IF(NOT(ISNUMBER(C968)),"Invalid date",IF(OR(C968&lt;DATE(2000,1,1),C968&gt;DATE(2099,12,31)),"Invalid date",IF(D968="","Select a type",IF(U968="","Unknown type: "&amp;D968,IF(V968="","Select an account (Category)",IF(ISNA(MATCH(V968,coa_Name,0)),"Unknown account: "&amp;V968,IF(K968="","Select Paid From / Deposited To",IF(ISNA(MATCH(K968,coa_Name,0)),"Unknown account: "&amp;K968,IF(NOT(ISNUMBER(L968)),"Enter an amount",IF(L968=0,"Enter an amount",IF(ABS(W968)&gt;ABS(L968),"Tax is larger than the amount","")))))))))))))</f>
        <v/>
      </c>
      <c r="Y968" s="67">
        <f>IF(OR(T968=1,X968&lt;&gt;""),"",IF(AND(B968&lt;&gt;"",COUNTIF(tx_ID,B968)&gt;1),"Duplicate transaction ID",IF(AND(L968&lt;0,D968&lt;&gt;"Adjustment"),"Negative amount — check this entry",IF(AND(D968="Customer Payment",G968=""),"Add the customer",IF(AND(D968="Customer Payment",OR(J968="",COUNTIF(ar_No,J968&amp;"")=0)),"Invoice # in Reference not found on AR sheet",IF(AND(D968="Bill Payment",H968=""),"Add the vendor",IF(AND(D968="Bill Payment",OR(J968="",COUNTIFS(ap_No,J968&amp;"",ap_Party,H968&amp;"")=0)),"Bill # + vendor not found on AP sheet",IF(AND(ISNUMBER(M968),N(M968)&lt;&gt;0,W968=0),"Tax ignored (tax tracking off, or not allowed for this type)",IF(V968=K968&amp;"","Same account on both sides",IF(AND(ISNUMBER(StartDate),C968&lt;StartDate),"Date is before the accounting start date",IF(AND(D968&lt;&gt;"Adjustment",IFERROR(INDEX(coa_Pay,MATCH(K968&amp;"",coa_Name,0)),"")&lt;&gt;"Yes"),"Paid From / Deposited To is not a payment account","")))))))))))</f>
        <v/>
      </c>
      <c r="Z968" s="67">
        <f>IF(AND(T968=0,X968=""),1,0)</f>
        <v/>
      </c>
      <c r="AA968" s="68">
        <f>IF(Z968=1,IF(U968="In",L968,L968-W968),0)</f>
        <v/>
      </c>
      <c r="AB968" s="68">
        <f>IF(Z968=1,IF(U968="In",L968-W968,L968),0)</f>
        <v/>
      </c>
      <c r="AC968" s="68">
        <f>IF(AND(Z968=1,U968="Out"),W968,0)</f>
        <v/>
      </c>
      <c r="AD968" s="68">
        <f>IF(AND(Z968=1,U968="In"),W968,0)</f>
        <v/>
      </c>
    </row>
    <row r="969">
      <c r="B969" s="62" t="inlineStr">
        <is>
          <t>TX-0963</t>
        </is>
      </c>
      <c r="C969" s="63" t="n"/>
      <c r="D969" s="62" t="n"/>
      <c r="E969" s="62" t="n"/>
      <c r="F969" s="62" t="n"/>
      <c r="G969" s="62" t="n"/>
      <c r="H969" s="62" t="n"/>
      <c r="I969" s="62" t="n"/>
      <c r="J969" s="62" t="n"/>
      <c r="K969" s="62" t="n"/>
      <c r="L969" s="64" t="n"/>
      <c r="M969" s="64" t="n"/>
      <c r="N969" s="62" t="n"/>
      <c r="O969" s="65">
        <f>IF(Z969=1,L969-W969,"")</f>
        <v/>
      </c>
      <c r="P969" s="66">
        <f>IF(V969="","",IFERROR(INDEX(coa_Type,MATCH(V969,coa_Name,0)),""))</f>
        <v/>
      </c>
      <c r="Q969" s="66">
        <f>IF(Z969=1,IF(U969="In",K969&amp;"",V969),"")</f>
        <v/>
      </c>
      <c r="R969" s="66">
        <f>IF(Z969=1,IF(U969="In",V969,K969&amp;""),"")</f>
        <v/>
      </c>
      <c r="S969" s="66">
        <f>IF(X969&lt;&gt;"","⛔ "&amp;X969&amp;" — not posted",IF(Y969&lt;&gt;"","⚠ "&amp;Y969,IF(Z969=1,"✓ OK","")))</f>
        <v/>
      </c>
      <c r="T969" s="67">
        <f>IF(AND(C969="",D969="",E969="",L969="",K969=""),1,0)</f>
        <v/>
      </c>
      <c r="U969" s="67">
        <f>IFERROR(INDEX(tt_Dir,MATCH(D969,tt_Type,0)),"")</f>
        <v/>
      </c>
      <c r="V969" s="67">
        <f>IF(D969="","",IFERROR(IF(INDEX(tt_Other,MATCH(D969,tt_Type,0))="",E969&amp;"",INDEX(tt_Other,MATCH(D969,tt_Type,0))),""))</f>
        <v/>
      </c>
      <c r="W969" s="68">
        <f>IF(OR(TaxOn&lt;&gt;"Yes",NOT(ISNUMBER(M969))),0,IF(IFERROR(INDEX(tt_Tax,MATCH(D969,tt_Type,0)),"No")="Yes",M969,0))</f>
        <v/>
      </c>
      <c r="X969" s="67">
        <f>IF(T969=1,"",IF(C969="","Missing transaction date",IF(NOT(ISNUMBER(C969)),"Invalid date",IF(OR(C969&lt;DATE(2000,1,1),C969&gt;DATE(2099,12,31)),"Invalid date",IF(D969="","Select a type",IF(U969="","Unknown type: "&amp;D969,IF(V969="","Select an account (Category)",IF(ISNA(MATCH(V969,coa_Name,0)),"Unknown account: "&amp;V969,IF(K969="","Select Paid From / Deposited To",IF(ISNA(MATCH(K969,coa_Name,0)),"Unknown account: "&amp;K969,IF(NOT(ISNUMBER(L969)),"Enter an amount",IF(L969=0,"Enter an amount",IF(ABS(W969)&gt;ABS(L969),"Tax is larger than the amount","")))))))))))))</f>
        <v/>
      </c>
      <c r="Y969" s="67">
        <f>IF(OR(T969=1,X969&lt;&gt;""),"",IF(AND(B969&lt;&gt;"",COUNTIF(tx_ID,B969)&gt;1),"Duplicate transaction ID",IF(AND(L969&lt;0,D969&lt;&gt;"Adjustment"),"Negative amount — check this entry",IF(AND(D969="Customer Payment",G969=""),"Add the customer",IF(AND(D969="Customer Payment",OR(J969="",COUNTIF(ar_No,J969&amp;"")=0)),"Invoice # in Reference not found on AR sheet",IF(AND(D969="Bill Payment",H969=""),"Add the vendor",IF(AND(D969="Bill Payment",OR(J969="",COUNTIFS(ap_No,J969&amp;"",ap_Party,H969&amp;"")=0)),"Bill # + vendor not found on AP sheet",IF(AND(ISNUMBER(M969),N(M969)&lt;&gt;0,W969=0),"Tax ignored (tax tracking off, or not allowed for this type)",IF(V969=K969&amp;"","Same account on both sides",IF(AND(ISNUMBER(StartDate),C969&lt;StartDate),"Date is before the accounting start date",IF(AND(D969&lt;&gt;"Adjustment",IFERROR(INDEX(coa_Pay,MATCH(K969&amp;"",coa_Name,0)),"")&lt;&gt;"Yes"),"Paid From / Deposited To is not a payment account","")))))))))))</f>
        <v/>
      </c>
      <c r="Z969" s="67">
        <f>IF(AND(T969=0,X969=""),1,0)</f>
        <v/>
      </c>
      <c r="AA969" s="68">
        <f>IF(Z969=1,IF(U969="In",L969,L969-W969),0)</f>
        <v/>
      </c>
      <c r="AB969" s="68">
        <f>IF(Z969=1,IF(U969="In",L969-W969,L969),0)</f>
        <v/>
      </c>
      <c r="AC969" s="68">
        <f>IF(AND(Z969=1,U969="Out"),W969,0)</f>
        <v/>
      </c>
      <c r="AD969" s="68">
        <f>IF(AND(Z969=1,U969="In"),W969,0)</f>
        <v/>
      </c>
    </row>
    <row r="970">
      <c r="B970" s="62" t="inlineStr">
        <is>
          <t>TX-0964</t>
        </is>
      </c>
      <c r="C970" s="63" t="n"/>
      <c r="D970" s="62" t="n"/>
      <c r="E970" s="62" t="n"/>
      <c r="F970" s="62" t="n"/>
      <c r="G970" s="62" t="n"/>
      <c r="H970" s="62" t="n"/>
      <c r="I970" s="62" t="n"/>
      <c r="J970" s="62" t="n"/>
      <c r="K970" s="62" t="n"/>
      <c r="L970" s="64" t="n"/>
      <c r="M970" s="64" t="n"/>
      <c r="N970" s="62" t="n"/>
      <c r="O970" s="65">
        <f>IF(Z970=1,L970-W970,"")</f>
        <v/>
      </c>
      <c r="P970" s="66">
        <f>IF(V970="","",IFERROR(INDEX(coa_Type,MATCH(V970,coa_Name,0)),""))</f>
        <v/>
      </c>
      <c r="Q970" s="66">
        <f>IF(Z970=1,IF(U970="In",K970&amp;"",V970),"")</f>
        <v/>
      </c>
      <c r="R970" s="66">
        <f>IF(Z970=1,IF(U970="In",V970,K970&amp;""),"")</f>
        <v/>
      </c>
      <c r="S970" s="66">
        <f>IF(X970&lt;&gt;"","⛔ "&amp;X970&amp;" — not posted",IF(Y970&lt;&gt;"","⚠ "&amp;Y970,IF(Z970=1,"✓ OK","")))</f>
        <v/>
      </c>
      <c r="T970" s="67">
        <f>IF(AND(C970="",D970="",E970="",L970="",K970=""),1,0)</f>
        <v/>
      </c>
      <c r="U970" s="67">
        <f>IFERROR(INDEX(tt_Dir,MATCH(D970,tt_Type,0)),"")</f>
        <v/>
      </c>
      <c r="V970" s="67">
        <f>IF(D970="","",IFERROR(IF(INDEX(tt_Other,MATCH(D970,tt_Type,0))="",E970&amp;"",INDEX(tt_Other,MATCH(D970,tt_Type,0))),""))</f>
        <v/>
      </c>
      <c r="W970" s="68">
        <f>IF(OR(TaxOn&lt;&gt;"Yes",NOT(ISNUMBER(M970))),0,IF(IFERROR(INDEX(tt_Tax,MATCH(D970,tt_Type,0)),"No")="Yes",M970,0))</f>
        <v/>
      </c>
      <c r="X970" s="67">
        <f>IF(T970=1,"",IF(C970="","Missing transaction date",IF(NOT(ISNUMBER(C970)),"Invalid date",IF(OR(C970&lt;DATE(2000,1,1),C970&gt;DATE(2099,12,31)),"Invalid date",IF(D970="","Select a type",IF(U970="","Unknown type: "&amp;D970,IF(V970="","Select an account (Category)",IF(ISNA(MATCH(V970,coa_Name,0)),"Unknown account: "&amp;V970,IF(K970="","Select Paid From / Deposited To",IF(ISNA(MATCH(K970,coa_Name,0)),"Unknown account: "&amp;K970,IF(NOT(ISNUMBER(L970)),"Enter an amount",IF(L970=0,"Enter an amount",IF(ABS(W970)&gt;ABS(L970),"Tax is larger than the amount","")))))))))))))</f>
        <v/>
      </c>
      <c r="Y970" s="67">
        <f>IF(OR(T970=1,X970&lt;&gt;""),"",IF(AND(B970&lt;&gt;"",COUNTIF(tx_ID,B970)&gt;1),"Duplicate transaction ID",IF(AND(L970&lt;0,D970&lt;&gt;"Adjustment"),"Negative amount — check this entry",IF(AND(D970="Customer Payment",G970=""),"Add the customer",IF(AND(D970="Customer Payment",OR(J970="",COUNTIF(ar_No,J970&amp;"")=0)),"Invoice # in Reference not found on AR sheet",IF(AND(D970="Bill Payment",H970=""),"Add the vendor",IF(AND(D970="Bill Payment",OR(J970="",COUNTIFS(ap_No,J970&amp;"",ap_Party,H970&amp;"")=0)),"Bill # + vendor not found on AP sheet",IF(AND(ISNUMBER(M970),N(M970)&lt;&gt;0,W970=0),"Tax ignored (tax tracking off, or not allowed for this type)",IF(V970=K970&amp;"","Same account on both sides",IF(AND(ISNUMBER(StartDate),C970&lt;StartDate),"Date is before the accounting start date",IF(AND(D970&lt;&gt;"Adjustment",IFERROR(INDEX(coa_Pay,MATCH(K970&amp;"",coa_Name,0)),"")&lt;&gt;"Yes"),"Paid From / Deposited To is not a payment account","")))))))))))</f>
        <v/>
      </c>
      <c r="Z970" s="67">
        <f>IF(AND(T970=0,X970=""),1,0)</f>
        <v/>
      </c>
      <c r="AA970" s="68">
        <f>IF(Z970=1,IF(U970="In",L970,L970-W970),0)</f>
        <v/>
      </c>
      <c r="AB970" s="68">
        <f>IF(Z970=1,IF(U970="In",L970-W970,L970),0)</f>
        <v/>
      </c>
      <c r="AC970" s="68">
        <f>IF(AND(Z970=1,U970="Out"),W970,0)</f>
        <v/>
      </c>
      <c r="AD970" s="68">
        <f>IF(AND(Z970=1,U970="In"),W970,0)</f>
        <v/>
      </c>
    </row>
    <row r="971">
      <c r="B971" s="62" t="inlineStr">
        <is>
          <t>TX-0965</t>
        </is>
      </c>
      <c r="C971" s="63" t="n"/>
      <c r="D971" s="62" t="n"/>
      <c r="E971" s="62" t="n"/>
      <c r="F971" s="62" t="n"/>
      <c r="G971" s="62" t="n"/>
      <c r="H971" s="62" t="n"/>
      <c r="I971" s="62" t="n"/>
      <c r="J971" s="62" t="n"/>
      <c r="K971" s="62" t="n"/>
      <c r="L971" s="64" t="n"/>
      <c r="M971" s="64" t="n"/>
      <c r="N971" s="62" t="n"/>
      <c r="O971" s="65">
        <f>IF(Z971=1,L971-W971,"")</f>
        <v/>
      </c>
      <c r="P971" s="66">
        <f>IF(V971="","",IFERROR(INDEX(coa_Type,MATCH(V971,coa_Name,0)),""))</f>
        <v/>
      </c>
      <c r="Q971" s="66">
        <f>IF(Z971=1,IF(U971="In",K971&amp;"",V971),"")</f>
        <v/>
      </c>
      <c r="R971" s="66">
        <f>IF(Z971=1,IF(U971="In",V971,K971&amp;""),"")</f>
        <v/>
      </c>
      <c r="S971" s="66">
        <f>IF(X971&lt;&gt;"","⛔ "&amp;X971&amp;" — not posted",IF(Y971&lt;&gt;"","⚠ "&amp;Y971,IF(Z971=1,"✓ OK","")))</f>
        <v/>
      </c>
      <c r="T971" s="67">
        <f>IF(AND(C971="",D971="",E971="",L971="",K971=""),1,0)</f>
        <v/>
      </c>
      <c r="U971" s="67">
        <f>IFERROR(INDEX(tt_Dir,MATCH(D971,tt_Type,0)),"")</f>
        <v/>
      </c>
      <c r="V971" s="67">
        <f>IF(D971="","",IFERROR(IF(INDEX(tt_Other,MATCH(D971,tt_Type,0))="",E971&amp;"",INDEX(tt_Other,MATCH(D971,tt_Type,0))),""))</f>
        <v/>
      </c>
      <c r="W971" s="68">
        <f>IF(OR(TaxOn&lt;&gt;"Yes",NOT(ISNUMBER(M971))),0,IF(IFERROR(INDEX(tt_Tax,MATCH(D971,tt_Type,0)),"No")="Yes",M971,0))</f>
        <v/>
      </c>
      <c r="X971" s="67">
        <f>IF(T971=1,"",IF(C971="","Missing transaction date",IF(NOT(ISNUMBER(C971)),"Invalid date",IF(OR(C971&lt;DATE(2000,1,1),C971&gt;DATE(2099,12,31)),"Invalid date",IF(D971="","Select a type",IF(U971="","Unknown type: "&amp;D971,IF(V971="","Select an account (Category)",IF(ISNA(MATCH(V971,coa_Name,0)),"Unknown account: "&amp;V971,IF(K971="","Select Paid From / Deposited To",IF(ISNA(MATCH(K971,coa_Name,0)),"Unknown account: "&amp;K971,IF(NOT(ISNUMBER(L971)),"Enter an amount",IF(L971=0,"Enter an amount",IF(ABS(W971)&gt;ABS(L971),"Tax is larger than the amount","")))))))))))))</f>
        <v/>
      </c>
      <c r="Y971" s="67">
        <f>IF(OR(T971=1,X971&lt;&gt;""),"",IF(AND(B971&lt;&gt;"",COUNTIF(tx_ID,B971)&gt;1),"Duplicate transaction ID",IF(AND(L971&lt;0,D971&lt;&gt;"Adjustment"),"Negative amount — check this entry",IF(AND(D971="Customer Payment",G971=""),"Add the customer",IF(AND(D971="Customer Payment",OR(J971="",COUNTIF(ar_No,J971&amp;"")=0)),"Invoice # in Reference not found on AR sheet",IF(AND(D971="Bill Payment",H971=""),"Add the vendor",IF(AND(D971="Bill Payment",OR(J971="",COUNTIFS(ap_No,J971&amp;"",ap_Party,H971&amp;"")=0)),"Bill # + vendor not found on AP sheet",IF(AND(ISNUMBER(M971),N(M971)&lt;&gt;0,W971=0),"Tax ignored (tax tracking off, or not allowed for this type)",IF(V971=K971&amp;"","Same account on both sides",IF(AND(ISNUMBER(StartDate),C971&lt;StartDate),"Date is before the accounting start date",IF(AND(D971&lt;&gt;"Adjustment",IFERROR(INDEX(coa_Pay,MATCH(K971&amp;"",coa_Name,0)),"")&lt;&gt;"Yes"),"Paid From / Deposited To is not a payment account","")))))))))))</f>
        <v/>
      </c>
      <c r="Z971" s="67">
        <f>IF(AND(T971=0,X971=""),1,0)</f>
        <v/>
      </c>
      <c r="AA971" s="68">
        <f>IF(Z971=1,IF(U971="In",L971,L971-W971),0)</f>
        <v/>
      </c>
      <c r="AB971" s="68">
        <f>IF(Z971=1,IF(U971="In",L971-W971,L971),0)</f>
        <v/>
      </c>
      <c r="AC971" s="68">
        <f>IF(AND(Z971=1,U971="Out"),W971,0)</f>
        <v/>
      </c>
      <c r="AD971" s="68">
        <f>IF(AND(Z971=1,U971="In"),W971,0)</f>
        <v/>
      </c>
    </row>
    <row r="972">
      <c r="B972" s="62" t="inlineStr">
        <is>
          <t>TX-0966</t>
        </is>
      </c>
      <c r="C972" s="63" t="n"/>
      <c r="D972" s="62" t="n"/>
      <c r="E972" s="62" t="n"/>
      <c r="F972" s="62" t="n"/>
      <c r="G972" s="62" t="n"/>
      <c r="H972" s="62" t="n"/>
      <c r="I972" s="62" t="n"/>
      <c r="J972" s="62" t="n"/>
      <c r="K972" s="62" t="n"/>
      <c r="L972" s="64" t="n"/>
      <c r="M972" s="64" t="n"/>
      <c r="N972" s="62" t="n"/>
      <c r="O972" s="65">
        <f>IF(Z972=1,L972-W972,"")</f>
        <v/>
      </c>
      <c r="P972" s="66">
        <f>IF(V972="","",IFERROR(INDEX(coa_Type,MATCH(V972,coa_Name,0)),""))</f>
        <v/>
      </c>
      <c r="Q972" s="66">
        <f>IF(Z972=1,IF(U972="In",K972&amp;"",V972),"")</f>
        <v/>
      </c>
      <c r="R972" s="66">
        <f>IF(Z972=1,IF(U972="In",V972,K972&amp;""),"")</f>
        <v/>
      </c>
      <c r="S972" s="66">
        <f>IF(X972&lt;&gt;"","⛔ "&amp;X972&amp;" — not posted",IF(Y972&lt;&gt;"","⚠ "&amp;Y972,IF(Z972=1,"✓ OK","")))</f>
        <v/>
      </c>
      <c r="T972" s="67">
        <f>IF(AND(C972="",D972="",E972="",L972="",K972=""),1,0)</f>
        <v/>
      </c>
      <c r="U972" s="67">
        <f>IFERROR(INDEX(tt_Dir,MATCH(D972,tt_Type,0)),"")</f>
        <v/>
      </c>
      <c r="V972" s="67">
        <f>IF(D972="","",IFERROR(IF(INDEX(tt_Other,MATCH(D972,tt_Type,0))="",E972&amp;"",INDEX(tt_Other,MATCH(D972,tt_Type,0))),""))</f>
        <v/>
      </c>
      <c r="W972" s="68">
        <f>IF(OR(TaxOn&lt;&gt;"Yes",NOT(ISNUMBER(M972))),0,IF(IFERROR(INDEX(tt_Tax,MATCH(D972,tt_Type,0)),"No")="Yes",M972,0))</f>
        <v/>
      </c>
      <c r="X972" s="67">
        <f>IF(T972=1,"",IF(C972="","Missing transaction date",IF(NOT(ISNUMBER(C972)),"Invalid date",IF(OR(C972&lt;DATE(2000,1,1),C972&gt;DATE(2099,12,31)),"Invalid date",IF(D972="","Select a type",IF(U972="","Unknown type: "&amp;D972,IF(V972="","Select an account (Category)",IF(ISNA(MATCH(V972,coa_Name,0)),"Unknown account: "&amp;V972,IF(K972="","Select Paid From / Deposited To",IF(ISNA(MATCH(K972,coa_Name,0)),"Unknown account: "&amp;K972,IF(NOT(ISNUMBER(L972)),"Enter an amount",IF(L972=0,"Enter an amount",IF(ABS(W972)&gt;ABS(L972),"Tax is larger than the amount","")))))))))))))</f>
        <v/>
      </c>
      <c r="Y972" s="67">
        <f>IF(OR(T972=1,X972&lt;&gt;""),"",IF(AND(B972&lt;&gt;"",COUNTIF(tx_ID,B972)&gt;1),"Duplicate transaction ID",IF(AND(L972&lt;0,D972&lt;&gt;"Adjustment"),"Negative amount — check this entry",IF(AND(D972="Customer Payment",G972=""),"Add the customer",IF(AND(D972="Customer Payment",OR(J972="",COUNTIF(ar_No,J972&amp;"")=0)),"Invoice # in Reference not found on AR sheet",IF(AND(D972="Bill Payment",H972=""),"Add the vendor",IF(AND(D972="Bill Payment",OR(J972="",COUNTIFS(ap_No,J972&amp;"",ap_Party,H972&amp;"")=0)),"Bill # + vendor not found on AP sheet",IF(AND(ISNUMBER(M972),N(M972)&lt;&gt;0,W972=0),"Tax ignored (tax tracking off, or not allowed for this type)",IF(V972=K972&amp;"","Same account on both sides",IF(AND(ISNUMBER(StartDate),C972&lt;StartDate),"Date is before the accounting start date",IF(AND(D972&lt;&gt;"Adjustment",IFERROR(INDEX(coa_Pay,MATCH(K972&amp;"",coa_Name,0)),"")&lt;&gt;"Yes"),"Paid From / Deposited To is not a payment account","")))))))))))</f>
        <v/>
      </c>
      <c r="Z972" s="67">
        <f>IF(AND(T972=0,X972=""),1,0)</f>
        <v/>
      </c>
      <c r="AA972" s="68">
        <f>IF(Z972=1,IF(U972="In",L972,L972-W972),0)</f>
        <v/>
      </c>
      <c r="AB972" s="68">
        <f>IF(Z972=1,IF(U972="In",L972-W972,L972),0)</f>
        <v/>
      </c>
      <c r="AC972" s="68">
        <f>IF(AND(Z972=1,U972="Out"),W972,0)</f>
        <v/>
      </c>
      <c r="AD972" s="68">
        <f>IF(AND(Z972=1,U972="In"),W972,0)</f>
        <v/>
      </c>
    </row>
    <row r="973">
      <c r="B973" s="62" t="inlineStr">
        <is>
          <t>TX-0967</t>
        </is>
      </c>
      <c r="C973" s="63" t="n"/>
      <c r="D973" s="62" t="n"/>
      <c r="E973" s="62" t="n"/>
      <c r="F973" s="62" t="n"/>
      <c r="G973" s="62" t="n"/>
      <c r="H973" s="62" t="n"/>
      <c r="I973" s="62" t="n"/>
      <c r="J973" s="62" t="n"/>
      <c r="K973" s="62" t="n"/>
      <c r="L973" s="64" t="n"/>
      <c r="M973" s="64" t="n"/>
      <c r="N973" s="62" t="n"/>
      <c r="O973" s="65">
        <f>IF(Z973=1,L973-W973,"")</f>
        <v/>
      </c>
      <c r="P973" s="66">
        <f>IF(V973="","",IFERROR(INDEX(coa_Type,MATCH(V973,coa_Name,0)),""))</f>
        <v/>
      </c>
      <c r="Q973" s="66">
        <f>IF(Z973=1,IF(U973="In",K973&amp;"",V973),"")</f>
        <v/>
      </c>
      <c r="R973" s="66">
        <f>IF(Z973=1,IF(U973="In",V973,K973&amp;""),"")</f>
        <v/>
      </c>
      <c r="S973" s="66">
        <f>IF(X973&lt;&gt;"","⛔ "&amp;X973&amp;" — not posted",IF(Y973&lt;&gt;"","⚠ "&amp;Y973,IF(Z973=1,"✓ OK","")))</f>
        <v/>
      </c>
      <c r="T973" s="67">
        <f>IF(AND(C973="",D973="",E973="",L973="",K973=""),1,0)</f>
        <v/>
      </c>
      <c r="U973" s="67">
        <f>IFERROR(INDEX(tt_Dir,MATCH(D973,tt_Type,0)),"")</f>
        <v/>
      </c>
      <c r="V973" s="67">
        <f>IF(D973="","",IFERROR(IF(INDEX(tt_Other,MATCH(D973,tt_Type,0))="",E973&amp;"",INDEX(tt_Other,MATCH(D973,tt_Type,0))),""))</f>
        <v/>
      </c>
      <c r="W973" s="68">
        <f>IF(OR(TaxOn&lt;&gt;"Yes",NOT(ISNUMBER(M973))),0,IF(IFERROR(INDEX(tt_Tax,MATCH(D973,tt_Type,0)),"No")="Yes",M973,0))</f>
        <v/>
      </c>
      <c r="X973" s="67">
        <f>IF(T973=1,"",IF(C973="","Missing transaction date",IF(NOT(ISNUMBER(C973)),"Invalid date",IF(OR(C973&lt;DATE(2000,1,1),C973&gt;DATE(2099,12,31)),"Invalid date",IF(D973="","Select a type",IF(U973="","Unknown type: "&amp;D973,IF(V973="","Select an account (Category)",IF(ISNA(MATCH(V973,coa_Name,0)),"Unknown account: "&amp;V973,IF(K973="","Select Paid From / Deposited To",IF(ISNA(MATCH(K973,coa_Name,0)),"Unknown account: "&amp;K973,IF(NOT(ISNUMBER(L973)),"Enter an amount",IF(L973=0,"Enter an amount",IF(ABS(W973)&gt;ABS(L973),"Tax is larger than the amount","")))))))))))))</f>
        <v/>
      </c>
      <c r="Y973" s="67">
        <f>IF(OR(T973=1,X973&lt;&gt;""),"",IF(AND(B973&lt;&gt;"",COUNTIF(tx_ID,B973)&gt;1),"Duplicate transaction ID",IF(AND(L973&lt;0,D973&lt;&gt;"Adjustment"),"Negative amount — check this entry",IF(AND(D973="Customer Payment",G973=""),"Add the customer",IF(AND(D973="Customer Payment",OR(J973="",COUNTIF(ar_No,J973&amp;"")=0)),"Invoice # in Reference not found on AR sheet",IF(AND(D973="Bill Payment",H973=""),"Add the vendor",IF(AND(D973="Bill Payment",OR(J973="",COUNTIFS(ap_No,J973&amp;"",ap_Party,H973&amp;"")=0)),"Bill # + vendor not found on AP sheet",IF(AND(ISNUMBER(M973),N(M973)&lt;&gt;0,W973=0),"Tax ignored (tax tracking off, or not allowed for this type)",IF(V973=K973&amp;"","Same account on both sides",IF(AND(ISNUMBER(StartDate),C973&lt;StartDate),"Date is before the accounting start date",IF(AND(D973&lt;&gt;"Adjustment",IFERROR(INDEX(coa_Pay,MATCH(K973&amp;"",coa_Name,0)),"")&lt;&gt;"Yes"),"Paid From / Deposited To is not a payment account","")))))))))))</f>
        <v/>
      </c>
      <c r="Z973" s="67">
        <f>IF(AND(T973=0,X973=""),1,0)</f>
        <v/>
      </c>
      <c r="AA973" s="68">
        <f>IF(Z973=1,IF(U973="In",L973,L973-W973),0)</f>
        <v/>
      </c>
      <c r="AB973" s="68">
        <f>IF(Z973=1,IF(U973="In",L973-W973,L973),0)</f>
        <v/>
      </c>
      <c r="AC973" s="68">
        <f>IF(AND(Z973=1,U973="Out"),W973,0)</f>
        <v/>
      </c>
      <c r="AD973" s="68">
        <f>IF(AND(Z973=1,U973="In"),W973,0)</f>
        <v/>
      </c>
    </row>
    <row r="974">
      <c r="B974" s="62" t="inlineStr">
        <is>
          <t>TX-0968</t>
        </is>
      </c>
      <c r="C974" s="63" t="n"/>
      <c r="D974" s="62" t="n"/>
      <c r="E974" s="62" t="n"/>
      <c r="F974" s="62" t="n"/>
      <c r="G974" s="62" t="n"/>
      <c r="H974" s="62" t="n"/>
      <c r="I974" s="62" t="n"/>
      <c r="J974" s="62" t="n"/>
      <c r="K974" s="62" t="n"/>
      <c r="L974" s="64" t="n"/>
      <c r="M974" s="64" t="n"/>
      <c r="N974" s="62" t="n"/>
      <c r="O974" s="65">
        <f>IF(Z974=1,L974-W974,"")</f>
        <v/>
      </c>
      <c r="P974" s="66">
        <f>IF(V974="","",IFERROR(INDEX(coa_Type,MATCH(V974,coa_Name,0)),""))</f>
        <v/>
      </c>
      <c r="Q974" s="66">
        <f>IF(Z974=1,IF(U974="In",K974&amp;"",V974),"")</f>
        <v/>
      </c>
      <c r="R974" s="66">
        <f>IF(Z974=1,IF(U974="In",V974,K974&amp;""),"")</f>
        <v/>
      </c>
      <c r="S974" s="66">
        <f>IF(X974&lt;&gt;"","⛔ "&amp;X974&amp;" — not posted",IF(Y974&lt;&gt;"","⚠ "&amp;Y974,IF(Z974=1,"✓ OK","")))</f>
        <v/>
      </c>
      <c r="T974" s="67">
        <f>IF(AND(C974="",D974="",E974="",L974="",K974=""),1,0)</f>
        <v/>
      </c>
      <c r="U974" s="67">
        <f>IFERROR(INDEX(tt_Dir,MATCH(D974,tt_Type,0)),"")</f>
        <v/>
      </c>
      <c r="V974" s="67">
        <f>IF(D974="","",IFERROR(IF(INDEX(tt_Other,MATCH(D974,tt_Type,0))="",E974&amp;"",INDEX(tt_Other,MATCH(D974,tt_Type,0))),""))</f>
        <v/>
      </c>
      <c r="W974" s="68">
        <f>IF(OR(TaxOn&lt;&gt;"Yes",NOT(ISNUMBER(M974))),0,IF(IFERROR(INDEX(tt_Tax,MATCH(D974,tt_Type,0)),"No")="Yes",M974,0))</f>
        <v/>
      </c>
      <c r="X974" s="67">
        <f>IF(T974=1,"",IF(C974="","Missing transaction date",IF(NOT(ISNUMBER(C974)),"Invalid date",IF(OR(C974&lt;DATE(2000,1,1),C974&gt;DATE(2099,12,31)),"Invalid date",IF(D974="","Select a type",IF(U974="","Unknown type: "&amp;D974,IF(V974="","Select an account (Category)",IF(ISNA(MATCH(V974,coa_Name,0)),"Unknown account: "&amp;V974,IF(K974="","Select Paid From / Deposited To",IF(ISNA(MATCH(K974,coa_Name,0)),"Unknown account: "&amp;K974,IF(NOT(ISNUMBER(L974)),"Enter an amount",IF(L974=0,"Enter an amount",IF(ABS(W974)&gt;ABS(L974),"Tax is larger than the amount","")))))))))))))</f>
        <v/>
      </c>
      <c r="Y974" s="67">
        <f>IF(OR(T974=1,X974&lt;&gt;""),"",IF(AND(B974&lt;&gt;"",COUNTIF(tx_ID,B974)&gt;1),"Duplicate transaction ID",IF(AND(L974&lt;0,D974&lt;&gt;"Adjustment"),"Negative amount — check this entry",IF(AND(D974="Customer Payment",G974=""),"Add the customer",IF(AND(D974="Customer Payment",OR(J974="",COUNTIF(ar_No,J974&amp;"")=0)),"Invoice # in Reference not found on AR sheet",IF(AND(D974="Bill Payment",H974=""),"Add the vendor",IF(AND(D974="Bill Payment",OR(J974="",COUNTIFS(ap_No,J974&amp;"",ap_Party,H974&amp;"")=0)),"Bill # + vendor not found on AP sheet",IF(AND(ISNUMBER(M974),N(M974)&lt;&gt;0,W974=0),"Tax ignored (tax tracking off, or not allowed for this type)",IF(V974=K974&amp;"","Same account on both sides",IF(AND(ISNUMBER(StartDate),C974&lt;StartDate),"Date is before the accounting start date",IF(AND(D974&lt;&gt;"Adjustment",IFERROR(INDEX(coa_Pay,MATCH(K974&amp;"",coa_Name,0)),"")&lt;&gt;"Yes"),"Paid From / Deposited To is not a payment account","")))))))))))</f>
        <v/>
      </c>
      <c r="Z974" s="67">
        <f>IF(AND(T974=0,X974=""),1,0)</f>
        <v/>
      </c>
      <c r="AA974" s="68">
        <f>IF(Z974=1,IF(U974="In",L974,L974-W974),0)</f>
        <v/>
      </c>
      <c r="AB974" s="68">
        <f>IF(Z974=1,IF(U974="In",L974-W974,L974),0)</f>
        <v/>
      </c>
      <c r="AC974" s="68">
        <f>IF(AND(Z974=1,U974="Out"),W974,0)</f>
        <v/>
      </c>
      <c r="AD974" s="68">
        <f>IF(AND(Z974=1,U974="In"),W974,0)</f>
        <v/>
      </c>
    </row>
    <row r="975">
      <c r="B975" s="62" t="inlineStr">
        <is>
          <t>TX-0969</t>
        </is>
      </c>
      <c r="C975" s="63" t="n"/>
      <c r="D975" s="62" t="n"/>
      <c r="E975" s="62" t="n"/>
      <c r="F975" s="62" t="n"/>
      <c r="G975" s="62" t="n"/>
      <c r="H975" s="62" t="n"/>
      <c r="I975" s="62" t="n"/>
      <c r="J975" s="62" t="n"/>
      <c r="K975" s="62" t="n"/>
      <c r="L975" s="64" t="n"/>
      <c r="M975" s="64" t="n"/>
      <c r="N975" s="62" t="n"/>
      <c r="O975" s="65">
        <f>IF(Z975=1,L975-W975,"")</f>
        <v/>
      </c>
      <c r="P975" s="66">
        <f>IF(V975="","",IFERROR(INDEX(coa_Type,MATCH(V975,coa_Name,0)),""))</f>
        <v/>
      </c>
      <c r="Q975" s="66">
        <f>IF(Z975=1,IF(U975="In",K975&amp;"",V975),"")</f>
        <v/>
      </c>
      <c r="R975" s="66">
        <f>IF(Z975=1,IF(U975="In",V975,K975&amp;""),"")</f>
        <v/>
      </c>
      <c r="S975" s="66">
        <f>IF(X975&lt;&gt;"","⛔ "&amp;X975&amp;" — not posted",IF(Y975&lt;&gt;"","⚠ "&amp;Y975,IF(Z975=1,"✓ OK","")))</f>
        <v/>
      </c>
      <c r="T975" s="67">
        <f>IF(AND(C975="",D975="",E975="",L975="",K975=""),1,0)</f>
        <v/>
      </c>
      <c r="U975" s="67">
        <f>IFERROR(INDEX(tt_Dir,MATCH(D975,tt_Type,0)),"")</f>
        <v/>
      </c>
      <c r="V975" s="67">
        <f>IF(D975="","",IFERROR(IF(INDEX(tt_Other,MATCH(D975,tt_Type,0))="",E975&amp;"",INDEX(tt_Other,MATCH(D975,tt_Type,0))),""))</f>
        <v/>
      </c>
      <c r="W975" s="68">
        <f>IF(OR(TaxOn&lt;&gt;"Yes",NOT(ISNUMBER(M975))),0,IF(IFERROR(INDEX(tt_Tax,MATCH(D975,tt_Type,0)),"No")="Yes",M975,0))</f>
        <v/>
      </c>
      <c r="X975" s="67">
        <f>IF(T975=1,"",IF(C975="","Missing transaction date",IF(NOT(ISNUMBER(C975)),"Invalid date",IF(OR(C975&lt;DATE(2000,1,1),C975&gt;DATE(2099,12,31)),"Invalid date",IF(D975="","Select a type",IF(U975="","Unknown type: "&amp;D975,IF(V975="","Select an account (Category)",IF(ISNA(MATCH(V975,coa_Name,0)),"Unknown account: "&amp;V975,IF(K975="","Select Paid From / Deposited To",IF(ISNA(MATCH(K975,coa_Name,0)),"Unknown account: "&amp;K975,IF(NOT(ISNUMBER(L975)),"Enter an amount",IF(L975=0,"Enter an amount",IF(ABS(W975)&gt;ABS(L975),"Tax is larger than the amount","")))))))))))))</f>
        <v/>
      </c>
      <c r="Y975" s="67">
        <f>IF(OR(T975=1,X975&lt;&gt;""),"",IF(AND(B975&lt;&gt;"",COUNTIF(tx_ID,B975)&gt;1),"Duplicate transaction ID",IF(AND(L975&lt;0,D975&lt;&gt;"Adjustment"),"Negative amount — check this entry",IF(AND(D975="Customer Payment",G975=""),"Add the customer",IF(AND(D975="Customer Payment",OR(J975="",COUNTIF(ar_No,J975&amp;"")=0)),"Invoice # in Reference not found on AR sheet",IF(AND(D975="Bill Payment",H975=""),"Add the vendor",IF(AND(D975="Bill Payment",OR(J975="",COUNTIFS(ap_No,J975&amp;"",ap_Party,H975&amp;"")=0)),"Bill # + vendor not found on AP sheet",IF(AND(ISNUMBER(M975),N(M975)&lt;&gt;0,W975=0),"Tax ignored (tax tracking off, or not allowed for this type)",IF(V975=K975&amp;"","Same account on both sides",IF(AND(ISNUMBER(StartDate),C975&lt;StartDate),"Date is before the accounting start date",IF(AND(D975&lt;&gt;"Adjustment",IFERROR(INDEX(coa_Pay,MATCH(K975&amp;"",coa_Name,0)),"")&lt;&gt;"Yes"),"Paid From / Deposited To is not a payment account","")))))))))))</f>
        <v/>
      </c>
      <c r="Z975" s="67">
        <f>IF(AND(T975=0,X975=""),1,0)</f>
        <v/>
      </c>
      <c r="AA975" s="68">
        <f>IF(Z975=1,IF(U975="In",L975,L975-W975),0)</f>
        <v/>
      </c>
      <c r="AB975" s="68">
        <f>IF(Z975=1,IF(U975="In",L975-W975,L975),0)</f>
        <v/>
      </c>
      <c r="AC975" s="68">
        <f>IF(AND(Z975=1,U975="Out"),W975,0)</f>
        <v/>
      </c>
      <c r="AD975" s="68">
        <f>IF(AND(Z975=1,U975="In"),W975,0)</f>
        <v/>
      </c>
    </row>
    <row r="976">
      <c r="B976" s="62" t="inlineStr">
        <is>
          <t>TX-0970</t>
        </is>
      </c>
      <c r="C976" s="63" t="n"/>
      <c r="D976" s="62" t="n"/>
      <c r="E976" s="62" t="n"/>
      <c r="F976" s="62" t="n"/>
      <c r="G976" s="62" t="n"/>
      <c r="H976" s="62" t="n"/>
      <c r="I976" s="62" t="n"/>
      <c r="J976" s="62" t="n"/>
      <c r="K976" s="62" t="n"/>
      <c r="L976" s="64" t="n"/>
      <c r="M976" s="64" t="n"/>
      <c r="N976" s="62" t="n"/>
      <c r="O976" s="65">
        <f>IF(Z976=1,L976-W976,"")</f>
        <v/>
      </c>
      <c r="P976" s="66">
        <f>IF(V976="","",IFERROR(INDEX(coa_Type,MATCH(V976,coa_Name,0)),""))</f>
        <v/>
      </c>
      <c r="Q976" s="66">
        <f>IF(Z976=1,IF(U976="In",K976&amp;"",V976),"")</f>
        <v/>
      </c>
      <c r="R976" s="66">
        <f>IF(Z976=1,IF(U976="In",V976,K976&amp;""),"")</f>
        <v/>
      </c>
      <c r="S976" s="66">
        <f>IF(X976&lt;&gt;"","⛔ "&amp;X976&amp;" — not posted",IF(Y976&lt;&gt;"","⚠ "&amp;Y976,IF(Z976=1,"✓ OK","")))</f>
        <v/>
      </c>
      <c r="T976" s="67">
        <f>IF(AND(C976="",D976="",E976="",L976="",K976=""),1,0)</f>
        <v/>
      </c>
      <c r="U976" s="67">
        <f>IFERROR(INDEX(tt_Dir,MATCH(D976,tt_Type,0)),"")</f>
        <v/>
      </c>
      <c r="V976" s="67">
        <f>IF(D976="","",IFERROR(IF(INDEX(tt_Other,MATCH(D976,tt_Type,0))="",E976&amp;"",INDEX(tt_Other,MATCH(D976,tt_Type,0))),""))</f>
        <v/>
      </c>
      <c r="W976" s="68">
        <f>IF(OR(TaxOn&lt;&gt;"Yes",NOT(ISNUMBER(M976))),0,IF(IFERROR(INDEX(tt_Tax,MATCH(D976,tt_Type,0)),"No")="Yes",M976,0))</f>
        <v/>
      </c>
      <c r="X976" s="67">
        <f>IF(T976=1,"",IF(C976="","Missing transaction date",IF(NOT(ISNUMBER(C976)),"Invalid date",IF(OR(C976&lt;DATE(2000,1,1),C976&gt;DATE(2099,12,31)),"Invalid date",IF(D976="","Select a type",IF(U976="","Unknown type: "&amp;D976,IF(V976="","Select an account (Category)",IF(ISNA(MATCH(V976,coa_Name,0)),"Unknown account: "&amp;V976,IF(K976="","Select Paid From / Deposited To",IF(ISNA(MATCH(K976,coa_Name,0)),"Unknown account: "&amp;K976,IF(NOT(ISNUMBER(L976)),"Enter an amount",IF(L976=0,"Enter an amount",IF(ABS(W976)&gt;ABS(L976),"Tax is larger than the amount","")))))))))))))</f>
        <v/>
      </c>
      <c r="Y976" s="67">
        <f>IF(OR(T976=1,X976&lt;&gt;""),"",IF(AND(B976&lt;&gt;"",COUNTIF(tx_ID,B976)&gt;1),"Duplicate transaction ID",IF(AND(L976&lt;0,D976&lt;&gt;"Adjustment"),"Negative amount — check this entry",IF(AND(D976="Customer Payment",G976=""),"Add the customer",IF(AND(D976="Customer Payment",OR(J976="",COUNTIF(ar_No,J976&amp;"")=0)),"Invoice # in Reference not found on AR sheet",IF(AND(D976="Bill Payment",H976=""),"Add the vendor",IF(AND(D976="Bill Payment",OR(J976="",COUNTIFS(ap_No,J976&amp;"",ap_Party,H976&amp;"")=0)),"Bill # + vendor not found on AP sheet",IF(AND(ISNUMBER(M976),N(M976)&lt;&gt;0,W976=0),"Tax ignored (tax tracking off, or not allowed for this type)",IF(V976=K976&amp;"","Same account on both sides",IF(AND(ISNUMBER(StartDate),C976&lt;StartDate),"Date is before the accounting start date",IF(AND(D976&lt;&gt;"Adjustment",IFERROR(INDEX(coa_Pay,MATCH(K976&amp;"",coa_Name,0)),"")&lt;&gt;"Yes"),"Paid From / Deposited To is not a payment account","")))))))))))</f>
        <v/>
      </c>
      <c r="Z976" s="67">
        <f>IF(AND(T976=0,X976=""),1,0)</f>
        <v/>
      </c>
      <c r="AA976" s="68">
        <f>IF(Z976=1,IF(U976="In",L976,L976-W976),0)</f>
        <v/>
      </c>
      <c r="AB976" s="68">
        <f>IF(Z976=1,IF(U976="In",L976-W976,L976),0)</f>
        <v/>
      </c>
      <c r="AC976" s="68">
        <f>IF(AND(Z976=1,U976="Out"),W976,0)</f>
        <v/>
      </c>
      <c r="AD976" s="68">
        <f>IF(AND(Z976=1,U976="In"),W976,0)</f>
        <v/>
      </c>
    </row>
    <row r="977">
      <c r="B977" s="62" t="inlineStr">
        <is>
          <t>TX-0971</t>
        </is>
      </c>
      <c r="C977" s="63" t="n"/>
      <c r="D977" s="62" t="n"/>
      <c r="E977" s="62" t="n"/>
      <c r="F977" s="62" t="n"/>
      <c r="G977" s="62" t="n"/>
      <c r="H977" s="62" t="n"/>
      <c r="I977" s="62" t="n"/>
      <c r="J977" s="62" t="n"/>
      <c r="K977" s="62" t="n"/>
      <c r="L977" s="64" t="n"/>
      <c r="M977" s="64" t="n"/>
      <c r="N977" s="62" t="n"/>
      <c r="O977" s="65">
        <f>IF(Z977=1,L977-W977,"")</f>
        <v/>
      </c>
      <c r="P977" s="66">
        <f>IF(V977="","",IFERROR(INDEX(coa_Type,MATCH(V977,coa_Name,0)),""))</f>
        <v/>
      </c>
      <c r="Q977" s="66">
        <f>IF(Z977=1,IF(U977="In",K977&amp;"",V977),"")</f>
        <v/>
      </c>
      <c r="R977" s="66">
        <f>IF(Z977=1,IF(U977="In",V977,K977&amp;""),"")</f>
        <v/>
      </c>
      <c r="S977" s="66">
        <f>IF(X977&lt;&gt;"","⛔ "&amp;X977&amp;" — not posted",IF(Y977&lt;&gt;"","⚠ "&amp;Y977,IF(Z977=1,"✓ OK","")))</f>
        <v/>
      </c>
      <c r="T977" s="67">
        <f>IF(AND(C977="",D977="",E977="",L977="",K977=""),1,0)</f>
        <v/>
      </c>
      <c r="U977" s="67">
        <f>IFERROR(INDEX(tt_Dir,MATCH(D977,tt_Type,0)),"")</f>
        <v/>
      </c>
      <c r="V977" s="67">
        <f>IF(D977="","",IFERROR(IF(INDEX(tt_Other,MATCH(D977,tt_Type,0))="",E977&amp;"",INDEX(tt_Other,MATCH(D977,tt_Type,0))),""))</f>
        <v/>
      </c>
      <c r="W977" s="68">
        <f>IF(OR(TaxOn&lt;&gt;"Yes",NOT(ISNUMBER(M977))),0,IF(IFERROR(INDEX(tt_Tax,MATCH(D977,tt_Type,0)),"No")="Yes",M977,0))</f>
        <v/>
      </c>
      <c r="X977" s="67">
        <f>IF(T977=1,"",IF(C977="","Missing transaction date",IF(NOT(ISNUMBER(C977)),"Invalid date",IF(OR(C977&lt;DATE(2000,1,1),C977&gt;DATE(2099,12,31)),"Invalid date",IF(D977="","Select a type",IF(U977="","Unknown type: "&amp;D977,IF(V977="","Select an account (Category)",IF(ISNA(MATCH(V977,coa_Name,0)),"Unknown account: "&amp;V977,IF(K977="","Select Paid From / Deposited To",IF(ISNA(MATCH(K977,coa_Name,0)),"Unknown account: "&amp;K977,IF(NOT(ISNUMBER(L977)),"Enter an amount",IF(L977=0,"Enter an amount",IF(ABS(W977)&gt;ABS(L977),"Tax is larger than the amount","")))))))))))))</f>
        <v/>
      </c>
      <c r="Y977" s="67">
        <f>IF(OR(T977=1,X977&lt;&gt;""),"",IF(AND(B977&lt;&gt;"",COUNTIF(tx_ID,B977)&gt;1),"Duplicate transaction ID",IF(AND(L977&lt;0,D977&lt;&gt;"Adjustment"),"Negative amount — check this entry",IF(AND(D977="Customer Payment",G977=""),"Add the customer",IF(AND(D977="Customer Payment",OR(J977="",COUNTIF(ar_No,J977&amp;"")=0)),"Invoice # in Reference not found on AR sheet",IF(AND(D977="Bill Payment",H977=""),"Add the vendor",IF(AND(D977="Bill Payment",OR(J977="",COUNTIFS(ap_No,J977&amp;"",ap_Party,H977&amp;"")=0)),"Bill # + vendor not found on AP sheet",IF(AND(ISNUMBER(M977),N(M977)&lt;&gt;0,W977=0),"Tax ignored (tax tracking off, or not allowed for this type)",IF(V977=K977&amp;"","Same account on both sides",IF(AND(ISNUMBER(StartDate),C977&lt;StartDate),"Date is before the accounting start date",IF(AND(D977&lt;&gt;"Adjustment",IFERROR(INDEX(coa_Pay,MATCH(K977&amp;"",coa_Name,0)),"")&lt;&gt;"Yes"),"Paid From / Deposited To is not a payment account","")))))))))))</f>
        <v/>
      </c>
      <c r="Z977" s="67">
        <f>IF(AND(T977=0,X977=""),1,0)</f>
        <v/>
      </c>
      <c r="AA977" s="68">
        <f>IF(Z977=1,IF(U977="In",L977,L977-W977),0)</f>
        <v/>
      </c>
      <c r="AB977" s="68">
        <f>IF(Z977=1,IF(U977="In",L977-W977,L977),0)</f>
        <v/>
      </c>
      <c r="AC977" s="68">
        <f>IF(AND(Z977=1,U977="Out"),W977,0)</f>
        <v/>
      </c>
      <c r="AD977" s="68">
        <f>IF(AND(Z977=1,U977="In"),W977,0)</f>
        <v/>
      </c>
    </row>
    <row r="978">
      <c r="B978" s="62" t="inlineStr">
        <is>
          <t>TX-0972</t>
        </is>
      </c>
      <c r="C978" s="63" t="n"/>
      <c r="D978" s="62" t="n"/>
      <c r="E978" s="62" t="n"/>
      <c r="F978" s="62" t="n"/>
      <c r="G978" s="62" t="n"/>
      <c r="H978" s="62" t="n"/>
      <c r="I978" s="62" t="n"/>
      <c r="J978" s="62" t="n"/>
      <c r="K978" s="62" t="n"/>
      <c r="L978" s="64" t="n"/>
      <c r="M978" s="64" t="n"/>
      <c r="N978" s="62" t="n"/>
      <c r="O978" s="65">
        <f>IF(Z978=1,L978-W978,"")</f>
        <v/>
      </c>
      <c r="P978" s="66">
        <f>IF(V978="","",IFERROR(INDEX(coa_Type,MATCH(V978,coa_Name,0)),""))</f>
        <v/>
      </c>
      <c r="Q978" s="66">
        <f>IF(Z978=1,IF(U978="In",K978&amp;"",V978),"")</f>
        <v/>
      </c>
      <c r="R978" s="66">
        <f>IF(Z978=1,IF(U978="In",V978,K978&amp;""),"")</f>
        <v/>
      </c>
      <c r="S978" s="66">
        <f>IF(X978&lt;&gt;"","⛔ "&amp;X978&amp;" — not posted",IF(Y978&lt;&gt;"","⚠ "&amp;Y978,IF(Z978=1,"✓ OK","")))</f>
        <v/>
      </c>
      <c r="T978" s="67">
        <f>IF(AND(C978="",D978="",E978="",L978="",K978=""),1,0)</f>
        <v/>
      </c>
      <c r="U978" s="67">
        <f>IFERROR(INDEX(tt_Dir,MATCH(D978,tt_Type,0)),"")</f>
        <v/>
      </c>
      <c r="V978" s="67">
        <f>IF(D978="","",IFERROR(IF(INDEX(tt_Other,MATCH(D978,tt_Type,0))="",E978&amp;"",INDEX(tt_Other,MATCH(D978,tt_Type,0))),""))</f>
        <v/>
      </c>
      <c r="W978" s="68">
        <f>IF(OR(TaxOn&lt;&gt;"Yes",NOT(ISNUMBER(M978))),0,IF(IFERROR(INDEX(tt_Tax,MATCH(D978,tt_Type,0)),"No")="Yes",M978,0))</f>
        <v/>
      </c>
      <c r="X978" s="67">
        <f>IF(T978=1,"",IF(C978="","Missing transaction date",IF(NOT(ISNUMBER(C978)),"Invalid date",IF(OR(C978&lt;DATE(2000,1,1),C978&gt;DATE(2099,12,31)),"Invalid date",IF(D978="","Select a type",IF(U978="","Unknown type: "&amp;D978,IF(V978="","Select an account (Category)",IF(ISNA(MATCH(V978,coa_Name,0)),"Unknown account: "&amp;V978,IF(K978="","Select Paid From / Deposited To",IF(ISNA(MATCH(K978,coa_Name,0)),"Unknown account: "&amp;K978,IF(NOT(ISNUMBER(L978)),"Enter an amount",IF(L978=0,"Enter an amount",IF(ABS(W978)&gt;ABS(L978),"Tax is larger than the amount","")))))))))))))</f>
        <v/>
      </c>
      <c r="Y978" s="67">
        <f>IF(OR(T978=1,X978&lt;&gt;""),"",IF(AND(B978&lt;&gt;"",COUNTIF(tx_ID,B978)&gt;1),"Duplicate transaction ID",IF(AND(L978&lt;0,D978&lt;&gt;"Adjustment"),"Negative amount — check this entry",IF(AND(D978="Customer Payment",G978=""),"Add the customer",IF(AND(D978="Customer Payment",OR(J978="",COUNTIF(ar_No,J978&amp;"")=0)),"Invoice # in Reference not found on AR sheet",IF(AND(D978="Bill Payment",H978=""),"Add the vendor",IF(AND(D978="Bill Payment",OR(J978="",COUNTIFS(ap_No,J978&amp;"",ap_Party,H978&amp;"")=0)),"Bill # + vendor not found on AP sheet",IF(AND(ISNUMBER(M978),N(M978)&lt;&gt;0,W978=0),"Tax ignored (tax tracking off, or not allowed for this type)",IF(V978=K978&amp;"","Same account on both sides",IF(AND(ISNUMBER(StartDate),C978&lt;StartDate),"Date is before the accounting start date",IF(AND(D978&lt;&gt;"Adjustment",IFERROR(INDEX(coa_Pay,MATCH(K978&amp;"",coa_Name,0)),"")&lt;&gt;"Yes"),"Paid From / Deposited To is not a payment account","")))))))))))</f>
        <v/>
      </c>
      <c r="Z978" s="67">
        <f>IF(AND(T978=0,X978=""),1,0)</f>
        <v/>
      </c>
      <c r="AA978" s="68">
        <f>IF(Z978=1,IF(U978="In",L978,L978-W978),0)</f>
        <v/>
      </c>
      <c r="AB978" s="68">
        <f>IF(Z978=1,IF(U978="In",L978-W978,L978),0)</f>
        <v/>
      </c>
      <c r="AC978" s="68">
        <f>IF(AND(Z978=1,U978="Out"),W978,0)</f>
        <v/>
      </c>
      <c r="AD978" s="68">
        <f>IF(AND(Z978=1,U978="In"),W978,0)</f>
        <v/>
      </c>
    </row>
    <row r="979">
      <c r="B979" s="62" t="inlineStr">
        <is>
          <t>TX-0973</t>
        </is>
      </c>
      <c r="C979" s="63" t="n"/>
      <c r="D979" s="62" t="n"/>
      <c r="E979" s="62" t="n"/>
      <c r="F979" s="62" t="n"/>
      <c r="G979" s="62" t="n"/>
      <c r="H979" s="62" t="n"/>
      <c r="I979" s="62" t="n"/>
      <c r="J979" s="62" t="n"/>
      <c r="K979" s="62" t="n"/>
      <c r="L979" s="64" t="n"/>
      <c r="M979" s="64" t="n"/>
      <c r="N979" s="62" t="n"/>
      <c r="O979" s="65">
        <f>IF(Z979=1,L979-W979,"")</f>
        <v/>
      </c>
      <c r="P979" s="66">
        <f>IF(V979="","",IFERROR(INDEX(coa_Type,MATCH(V979,coa_Name,0)),""))</f>
        <v/>
      </c>
      <c r="Q979" s="66">
        <f>IF(Z979=1,IF(U979="In",K979&amp;"",V979),"")</f>
        <v/>
      </c>
      <c r="R979" s="66">
        <f>IF(Z979=1,IF(U979="In",V979,K979&amp;""),"")</f>
        <v/>
      </c>
      <c r="S979" s="66">
        <f>IF(X979&lt;&gt;"","⛔ "&amp;X979&amp;" — not posted",IF(Y979&lt;&gt;"","⚠ "&amp;Y979,IF(Z979=1,"✓ OK","")))</f>
        <v/>
      </c>
      <c r="T979" s="67">
        <f>IF(AND(C979="",D979="",E979="",L979="",K979=""),1,0)</f>
        <v/>
      </c>
      <c r="U979" s="67">
        <f>IFERROR(INDEX(tt_Dir,MATCH(D979,tt_Type,0)),"")</f>
        <v/>
      </c>
      <c r="V979" s="67">
        <f>IF(D979="","",IFERROR(IF(INDEX(tt_Other,MATCH(D979,tt_Type,0))="",E979&amp;"",INDEX(tt_Other,MATCH(D979,tt_Type,0))),""))</f>
        <v/>
      </c>
      <c r="W979" s="68">
        <f>IF(OR(TaxOn&lt;&gt;"Yes",NOT(ISNUMBER(M979))),0,IF(IFERROR(INDEX(tt_Tax,MATCH(D979,tt_Type,0)),"No")="Yes",M979,0))</f>
        <v/>
      </c>
      <c r="X979" s="67">
        <f>IF(T979=1,"",IF(C979="","Missing transaction date",IF(NOT(ISNUMBER(C979)),"Invalid date",IF(OR(C979&lt;DATE(2000,1,1),C979&gt;DATE(2099,12,31)),"Invalid date",IF(D979="","Select a type",IF(U979="","Unknown type: "&amp;D979,IF(V979="","Select an account (Category)",IF(ISNA(MATCH(V979,coa_Name,0)),"Unknown account: "&amp;V979,IF(K979="","Select Paid From / Deposited To",IF(ISNA(MATCH(K979,coa_Name,0)),"Unknown account: "&amp;K979,IF(NOT(ISNUMBER(L979)),"Enter an amount",IF(L979=0,"Enter an amount",IF(ABS(W979)&gt;ABS(L979),"Tax is larger than the amount","")))))))))))))</f>
        <v/>
      </c>
      <c r="Y979" s="67">
        <f>IF(OR(T979=1,X979&lt;&gt;""),"",IF(AND(B979&lt;&gt;"",COUNTIF(tx_ID,B979)&gt;1),"Duplicate transaction ID",IF(AND(L979&lt;0,D979&lt;&gt;"Adjustment"),"Negative amount — check this entry",IF(AND(D979="Customer Payment",G979=""),"Add the customer",IF(AND(D979="Customer Payment",OR(J979="",COUNTIF(ar_No,J979&amp;"")=0)),"Invoice # in Reference not found on AR sheet",IF(AND(D979="Bill Payment",H979=""),"Add the vendor",IF(AND(D979="Bill Payment",OR(J979="",COUNTIFS(ap_No,J979&amp;"",ap_Party,H979&amp;"")=0)),"Bill # + vendor not found on AP sheet",IF(AND(ISNUMBER(M979),N(M979)&lt;&gt;0,W979=0),"Tax ignored (tax tracking off, or not allowed for this type)",IF(V979=K979&amp;"","Same account on both sides",IF(AND(ISNUMBER(StartDate),C979&lt;StartDate),"Date is before the accounting start date",IF(AND(D979&lt;&gt;"Adjustment",IFERROR(INDEX(coa_Pay,MATCH(K979&amp;"",coa_Name,0)),"")&lt;&gt;"Yes"),"Paid From / Deposited To is not a payment account","")))))))))))</f>
        <v/>
      </c>
      <c r="Z979" s="67">
        <f>IF(AND(T979=0,X979=""),1,0)</f>
        <v/>
      </c>
      <c r="AA979" s="68">
        <f>IF(Z979=1,IF(U979="In",L979,L979-W979),0)</f>
        <v/>
      </c>
      <c r="AB979" s="68">
        <f>IF(Z979=1,IF(U979="In",L979-W979,L979),0)</f>
        <v/>
      </c>
      <c r="AC979" s="68">
        <f>IF(AND(Z979=1,U979="Out"),W979,0)</f>
        <v/>
      </c>
      <c r="AD979" s="68">
        <f>IF(AND(Z979=1,U979="In"),W979,0)</f>
        <v/>
      </c>
    </row>
    <row r="980">
      <c r="B980" s="62" t="inlineStr">
        <is>
          <t>TX-0974</t>
        </is>
      </c>
      <c r="C980" s="63" t="n"/>
      <c r="D980" s="62" t="n"/>
      <c r="E980" s="62" t="n"/>
      <c r="F980" s="62" t="n"/>
      <c r="G980" s="62" t="n"/>
      <c r="H980" s="62" t="n"/>
      <c r="I980" s="62" t="n"/>
      <c r="J980" s="62" t="n"/>
      <c r="K980" s="62" t="n"/>
      <c r="L980" s="64" t="n"/>
      <c r="M980" s="64" t="n"/>
      <c r="N980" s="62" t="n"/>
      <c r="O980" s="65">
        <f>IF(Z980=1,L980-W980,"")</f>
        <v/>
      </c>
      <c r="P980" s="66">
        <f>IF(V980="","",IFERROR(INDEX(coa_Type,MATCH(V980,coa_Name,0)),""))</f>
        <v/>
      </c>
      <c r="Q980" s="66">
        <f>IF(Z980=1,IF(U980="In",K980&amp;"",V980),"")</f>
        <v/>
      </c>
      <c r="R980" s="66">
        <f>IF(Z980=1,IF(U980="In",V980,K980&amp;""),"")</f>
        <v/>
      </c>
      <c r="S980" s="66">
        <f>IF(X980&lt;&gt;"","⛔ "&amp;X980&amp;" — not posted",IF(Y980&lt;&gt;"","⚠ "&amp;Y980,IF(Z980=1,"✓ OK","")))</f>
        <v/>
      </c>
      <c r="T980" s="67">
        <f>IF(AND(C980="",D980="",E980="",L980="",K980=""),1,0)</f>
        <v/>
      </c>
      <c r="U980" s="67">
        <f>IFERROR(INDEX(tt_Dir,MATCH(D980,tt_Type,0)),"")</f>
        <v/>
      </c>
      <c r="V980" s="67">
        <f>IF(D980="","",IFERROR(IF(INDEX(tt_Other,MATCH(D980,tt_Type,0))="",E980&amp;"",INDEX(tt_Other,MATCH(D980,tt_Type,0))),""))</f>
        <v/>
      </c>
      <c r="W980" s="68">
        <f>IF(OR(TaxOn&lt;&gt;"Yes",NOT(ISNUMBER(M980))),0,IF(IFERROR(INDEX(tt_Tax,MATCH(D980,tt_Type,0)),"No")="Yes",M980,0))</f>
        <v/>
      </c>
      <c r="X980" s="67">
        <f>IF(T980=1,"",IF(C980="","Missing transaction date",IF(NOT(ISNUMBER(C980)),"Invalid date",IF(OR(C980&lt;DATE(2000,1,1),C980&gt;DATE(2099,12,31)),"Invalid date",IF(D980="","Select a type",IF(U980="","Unknown type: "&amp;D980,IF(V980="","Select an account (Category)",IF(ISNA(MATCH(V980,coa_Name,0)),"Unknown account: "&amp;V980,IF(K980="","Select Paid From / Deposited To",IF(ISNA(MATCH(K980,coa_Name,0)),"Unknown account: "&amp;K980,IF(NOT(ISNUMBER(L980)),"Enter an amount",IF(L980=0,"Enter an amount",IF(ABS(W980)&gt;ABS(L980),"Tax is larger than the amount","")))))))))))))</f>
        <v/>
      </c>
      <c r="Y980" s="67">
        <f>IF(OR(T980=1,X980&lt;&gt;""),"",IF(AND(B980&lt;&gt;"",COUNTIF(tx_ID,B980)&gt;1),"Duplicate transaction ID",IF(AND(L980&lt;0,D980&lt;&gt;"Adjustment"),"Negative amount — check this entry",IF(AND(D980="Customer Payment",G980=""),"Add the customer",IF(AND(D980="Customer Payment",OR(J980="",COUNTIF(ar_No,J980&amp;"")=0)),"Invoice # in Reference not found on AR sheet",IF(AND(D980="Bill Payment",H980=""),"Add the vendor",IF(AND(D980="Bill Payment",OR(J980="",COUNTIFS(ap_No,J980&amp;"",ap_Party,H980&amp;"")=0)),"Bill # + vendor not found on AP sheet",IF(AND(ISNUMBER(M980),N(M980)&lt;&gt;0,W980=0),"Tax ignored (tax tracking off, or not allowed for this type)",IF(V980=K980&amp;"","Same account on both sides",IF(AND(ISNUMBER(StartDate),C980&lt;StartDate),"Date is before the accounting start date",IF(AND(D980&lt;&gt;"Adjustment",IFERROR(INDEX(coa_Pay,MATCH(K980&amp;"",coa_Name,0)),"")&lt;&gt;"Yes"),"Paid From / Deposited To is not a payment account","")))))))))))</f>
        <v/>
      </c>
      <c r="Z980" s="67">
        <f>IF(AND(T980=0,X980=""),1,0)</f>
        <v/>
      </c>
      <c r="AA980" s="68">
        <f>IF(Z980=1,IF(U980="In",L980,L980-W980),0)</f>
        <v/>
      </c>
      <c r="AB980" s="68">
        <f>IF(Z980=1,IF(U980="In",L980-W980,L980),0)</f>
        <v/>
      </c>
      <c r="AC980" s="68">
        <f>IF(AND(Z980=1,U980="Out"),W980,0)</f>
        <v/>
      </c>
      <c r="AD980" s="68">
        <f>IF(AND(Z980=1,U980="In"),W980,0)</f>
        <v/>
      </c>
    </row>
    <row r="981">
      <c r="B981" s="62" t="inlineStr">
        <is>
          <t>TX-0975</t>
        </is>
      </c>
      <c r="C981" s="63" t="n"/>
      <c r="D981" s="62" t="n"/>
      <c r="E981" s="62" t="n"/>
      <c r="F981" s="62" t="n"/>
      <c r="G981" s="62" t="n"/>
      <c r="H981" s="62" t="n"/>
      <c r="I981" s="62" t="n"/>
      <c r="J981" s="62" t="n"/>
      <c r="K981" s="62" t="n"/>
      <c r="L981" s="64" t="n"/>
      <c r="M981" s="64" t="n"/>
      <c r="N981" s="62" t="n"/>
      <c r="O981" s="65">
        <f>IF(Z981=1,L981-W981,"")</f>
        <v/>
      </c>
      <c r="P981" s="66">
        <f>IF(V981="","",IFERROR(INDEX(coa_Type,MATCH(V981,coa_Name,0)),""))</f>
        <v/>
      </c>
      <c r="Q981" s="66">
        <f>IF(Z981=1,IF(U981="In",K981&amp;"",V981),"")</f>
        <v/>
      </c>
      <c r="R981" s="66">
        <f>IF(Z981=1,IF(U981="In",V981,K981&amp;""),"")</f>
        <v/>
      </c>
      <c r="S981" s="66">
        <f>IF(X981&lt;&gt;"","⛔ "&amp;X981&amp;" — not posted",IF(Y981&lt;&gt;"","⚠ "&amp;Y981,IF(Z981=1,"✓ OK","")))</f>
        <v/>
      </c>
      <c r="T981" s="67">
        <f>IF(AND(C981="",D981="",E981="",L981="",K981=""),1,0)</f>
        <v/>
      </c>
      <c r="U981" s="67">
        <f>IFERROR(INDEX(tt_Dir,MATCH(D981,tt_Type,0)),"")</f>
        <v/>
      </c>
      <c r="V981" s="67">
        <f>IF(D981="","",IFERROR(IF(INDEX(tt_Other,MATCH(D981,tt_Type,0))="",E981&amp;"",INDEX(tt_Other,MATCH(D981,tt_Type,0))),""))</f>
        <v/>
      </c>
      <c r="W981" s="68">
        <f>IF(OR(TaxOn&lt;&gt;"Yes",NOT(ISNUMBER(M981))),0,IF(IFERROR(INDEX(tt_Tax,MATCH(D981,tt_Type,0)),"No")="Yes",M981,0))</f>
        <v/>
      </c>
      <c r="X981" s="67">
        <f>IF(T981=1,"",IF(C981="","Missing transaction date",IF(NOT(ISNUMBER(C981)),"Invalid date",IF(OR(C981&lt;DATE(2000,1,1),C981&gt;DATE(2099,12,31)),"Invalid date",IF(D981="","Select a type",IF(U981="","Unknown type: "&amp;D981,IF(V981="","Select an account (Category)",IF(ISNA(MATCH(V981,coa_Name,0)),"Unknown account: "&amp;V981,IF(K981="","Select Paid From / Deposited To",IF(ISNA(MATCH(K981,coa_Name,0)),"Unknown account: "&amp;K981,IF(NOT(ISNUMBER(L981)),"Enter an amount",IF(L981=0,"Enter an amount",IF(ABS(W981)&gt;ABS(L981),"Tax is larger than the amount","")))))))))))))</f>
        <v/>
      </c>
      <c r="Y981" s="67">
        <f>IF(OR(T981=1,X981&lt;&gt;""),"",IF(AND(B981&lt;&gt;"",COUNTIF(tx_ID,B981)&gt;1),"Duplicate transaction ID",IF(AND(L981&lt;0,D981&lt;&gt;"Adjustment"),"Negative amount — check this entry",IF(AND(D981="Customer Payment",G981=""),"Add the customer",IF(AND(D981="Customer Payment",OR(J981="",COUNTIF(ar_No,J981&amp;"")=0)),"Invoice # in Reference not found on AR sheet",IF(AND(D981="Bill Payment",H981=""),"Add the vendor",IF(AND(D981="Bill Payment",OR(J981="",COUNTIFS(ap_No,J981&amp;"",ap_Party,H981&amp;"")=0)),"Bill # + vendor not found on AP sheet",IF(AND(ISNUMBER(M981),N(M981)&lt;&gt;0,W981=0),"Tax ignored (tax tracking off, or not allowed for this type)",IF(V981=K981&amp;"","Same account on both sides",IF(AND(ISNUMBER(StartDate),C981&lt;StartDate),"Date is before the accounting start date",IF(AND(D981&lt;&gt;"Adjustment",IFERROR(INDEX(coa_Pay,MATCH(K981&amp;"",coa_Name,0)),"")&lt;&gt;"Yes"),"Paid From / Deposited To is not a payment account","")))))))))))</f>
        <v/>
      </c>
      <c r="Z981" s="67">
        <f>IF(AND(T981=0,X981=""),1,0)</f>
        <v/>
      </c>
      <c r="AA981" s="68">
        <f>IF(Z981=1,IF(U981="In",L981,L981-W981),0)</f>
        <v/>
      </c>
      <c r="AB981" s="68">
        <f>IF(Z981=1,IF(U981="In",L981-W981,L981),0)</f>
        <v/>
      </c>
      <c r="AC981" s="68">
        <f>IF(AND(Z981=1,U981="Out"),W981,0)</f>
        <v/>
      </c>
      <c r="AD981" s="68">
        <f>IF(AND(Z981=1,U981="In"),W981,0)</f>
        <v/>
      </c>
    </row>
    <row r="982">
      <c r="B982" s="62" t="inlineStr">
        <is>
          <t>TX-0976</t>
        </is>
      </c>
      <c r="C982" s="63" t="n"/>
      <c r="D982" s="62" t="n"/>
      <c r="E982" s="62" t="n"/>
      <c r="F982" s="62" t="n"/>
      <c r="G982" s="62" t="n"/>
      <c r="H982" s="62" t="n"/>
      <c r="I982" s="62" t="n"/>
      <c r="J982" s="62" t="n"/>
      <c r="K982" s="62" t="n"/>
      <c r="L982" s="64" t="n"/>
      <c r="M982" s="64" t="n"/>
      <c r="N982" s="62" t="n"/>
      <c r="O982" s="65">
        <f>IF(Z982=1,L982-W982,"")</f>
        <v/>
      </c>
      <c r="P982" s="66">
        <f>IF(V982="","",IFERROR(INDEX(coa_Type,MATCH(V982,coa_Name,0)),""))</f>
        <v/>
      </c>
      <c r="Q982" s="66">
        <f>IF(Z982=1,IF(U982="In",K982&amp;"",V982),"")</f>
        <v/>
      </c>
      <c r="R982" s="66">
        <f>IF(Z982=1,IF(U982="In",V982,K982&amp;""),"")</f>
        <v/>
      </c>
      <c r="S982" s="66">
        <f>IF(X982&lt;&gt;"","⛔ "&amp;X982&amp;" — not posted",IF(Y982&lt;&gt;"","⚠ "&amp;Y982,IF(Z982=1,"✓ OK","")))</f>
        <v/>
      </c>
      <c r="T982" s="67">
        <f>IF(AND(C982="",D982="",E982="",L982="",K982=""),1,0)</f>
        <v/>
      </c>
      <c r="U982" s="67">
        <f>IFERROR(INDEX(tt_Dir,MATCH(D982,tt_Type,0)),"")</f>
        <v/>
      </c>
      <c r="V982" s="67">
        <f>IF(D982="","",IFERROR(IF(INDEX(tt_Other,MATCH(D982,tt_Type,0))="",E982&amp;"",INDEX(tt_Other,MATCH(D982,tt_Type,0))),""))</f>
        <v/>
      </c>
      <c r="W982" s="68">
        <f>IF(OR(TaxOn&lt;&gt;"Yes",NOT(ISNUMBER(M982))),0,IF(IFERROR(INDEX(tt_Tax,MATCH(D982,tt_Type,0)),"No")="Yes",M982,0))</f>
        <v/>
      </c>
      <c r="X982" s="67">
        <f>IF(T982=1,"",IF(C982="","Missing transaction date",IF(NOT(ISNUMBER(C982)),"Invalid date",IF(OR(C982&lt;DATE(2000,1,1),C982&gt;DATE(2099,12,31)),"Invalid date",IF(D982="","Select a type",IF(U982="","Unknown type: "&amp;D982,IF(V982="","Select an account (Category)",IF(ISNA(MATCH(V982,coa_Name,0)),"Unknown account: "&amp;V982,IF(K982="","Select Paid From / Deposited To",IF(ISNA(MATCH(K982,coa_Name,0)),"Unknown account: "&amp;K982,IF(NOT(ISNUMBER(L982)),"Enter an amount",IF(L982=0,"Enter an amount",IF(ABS(W982)&gt;ABS(L982),"Tax is larger than the amount","")))))))))))))</f>
        <v/>
      </c>
      <c r="Y982" s="67">
        <f>IF(OR(T982=1,X982&lt;&gt;""),"",IF(AND(B982&lt;&gt;"",COUNTIF(tx_ID,B982)&gt;1),"Duplicate transaction ID",IF(AND(L982&lt;0,D982&lt;&gt;"Adjustment"),"Negative amount — check this entry",IF(AND(D982="Customer Payment",G982=""),"Add the customer",IF(AND(D982="Customer Payment",OR(J982="",COUNTIF(ar_No,J982&amp;"")=0)),"Invoice # in Reference not found on AR sheet",IF(AND(D982="Bill Payment",H982=""),"Add the vendor",IF(AND(D982="Bill Payment",OR(J982="",COUNTIFS(ap_No,J982&amp;"",ap_Party,H982&amp;"")=0)),"Bill # + vendor not found on AP sheet",IF(AND(ISNUMBER(M982),N(M982)&lt;&gt;0,W982=0),"Tax ignored (tax tracking off, or not allowed for this type)",IF(V982=K982&amp;"","Same account on both sides",IF(AND(ISNUMBER(StartDate),C982&lt;StartDate),"Date is before the accounting start date",IF(AND(D982&lt;&gt;"Adjustment",IFERROR(INDEX(coa_Pay,MATCH(K982&amp;"",coa_Name,0)),"")&lt;&gt;"Yes"),"Paid From / Deposited To is not a payment account","")))))))))))</f>
        <v/>
      </c>
      <c r="Z982" s="67">
        <f>IF(AND(T982=0,X982=""),1,0)</f>
        <v/>
      </c>
      <c r="AA982" s="68">
        <f>IF(Z982=1,IF(U982="In",L982,L982-W982),0)</f>
        <v/>
      </c>
      <c r="AB982" s="68">
        <f>IF(Z982=1,IF(U982="In",L982-W982,L982),0)</f>
        <v/>
      </c>
      <c r="AC982" s="68">
        <f>IF(AND(Z982=1,U982="Out"),W982,0)</f>
        <v/>
      </c>
      <c r="AD982" s="68">
        <f>IF(AND(Z982=1,U982="In"),W982,0)</f>
        <v/>
      </c>
    </row>
    <row r="983">
      <c r="B983" s="62" t="inlineStr">
        <is>
          <t>TX-0977</t>
        </is>
      </c>
      <c r="C983" s="63" t="n"/>
      <c r="D983" s="62" t="n"/>
      <c r="E983" s="62" t="n"/>
      <c r="F983" s="62" t="n"/>
      <c r="G983" s="62" t="n"/>
      <c r="H983" s="62" t="n"/>
      <c r="I983" s="62" t="n"/>
      <c r="J983" s="62" t="n"/>
      <c r="K983" s="62" t="n"/>
      <c r="L983" s="64" t="n"/>
      <c r="M983" s="64" t="n"/>
      <c r="N983" s="62" t="n"/>
      <c r="O983" s="65">
        <f>IF(Z983=1,L983-W983,"")</f>
        <v/>
      </c>
      <c r="P983" s="66">
        <f>IF(V983="","",IFERROR(INDEX(coa_Type,MATCH(V983,coa_Name,0)),""))</f>
        <v/>
      </c>
      <c r="Q983" s="66">
        <f>IF(Z983=1,IF(U983="In",K983&amp;"",V983),"")</f>
        <v/>
      </c>
      <c r="R983" s="66">
        <f>IF(Z983=1,IF(U983="In",V983,K983&amp;""),"")</f>
        <v/>
      </c>
      <c r="S983" s="66">
        <f>IF(X983&lt;&gt;"","⛔ "&amp;X983&amp;" — not posted",IF(Y983&lt;&gt;"","⚠ "&amp;Y983,IF(Z983=1,"✓ OK","")))</f>
        <v/>
      </c>
      <c r="T983" s="67">
        <f>IF(AND(C983="",D983="",E983="",L983="",K983=""),1,0)</f>
        <v/>
      </c>
      <c r="U983" s="67">
        <f>IFERROR(INDEX(tt_Dir,MATCH(D983,tt_Type,0)),"")</f>
        <v/>
      </c>
      <c r="V983" s="67">
        <f>IF(D983="","",IFERROR(IF(INDEX(tt_Other,MATCH(D983,tt_Type,0))="",E983&amp;"",INDEX(tt_Other,MATCH(D983,tt_Type,0))),""))</f>
        <v/>
      </c>
      <c r="W983" s="68">
        <f>IF(OR(TaxOn&lt;&gt;"Yes",NOT(ISNUMBER(M983))),0,IF(IFERROR(INDEX(tt_Tax,MATCH(D983,tt_Type,0)),"No")="Yes",M983,0))</f>
        <v/>
      </c>
      <c r="X983" s="67">
        <f>IF(T983=1,"",IF(C983="","Missing transaction date",IF(NOT(ISNUMBER(C983)),"Invalid date",IF(OR(C983&lt;DATE(2000,1,1),C983&gt;DATE(2099,12,31)),"Invalid date",IF(D983="","Select a type",IF(U983="","Unknown type: "&amp;D983,IF(V983="","Select an account (Category)",IF(ISNA(MATCH(V983,coa_Name,0)),"Unknown account: "&amp;V983,IF(K983="","Select Paid From / Deposited To",IF(ISNA(MATCH(K983,coa_Name,0)),"Unknown account: "&amp;K983,IF(NOT(ISNUMBER(L983)),"Enter an amount",IF(L983=0,"Enter an amount",IF(ABS(W983)&gt;ABS(L983),"Tax is larger than the amount","")))))))))))))</f>
        <v/>
      </c>
      <c r="Y983" s="67">
        <f>IF(OR(T983=1,X983&lt;&gt;""),"",IF(AND(B983&lt;&gt;"",COUNTIF(tx_ID,B983)&gt;1),"Duplicate transaction ID",IF(AND(L983&lt;0,D983&lt;&gt;"Adjustment"),"Negative amount — check this entry",IF(AND(D983="Customer Payment",G983=""),"Add the customer",IF(AND(D983="Customer Payment",OR(J983="",COUNTIF(ar_No,J983&amp;"")=0)),"Invoice # in Reference not found on AR sheet",IF(AND(D983="Bill Payment",H983=""),"Add the vendor",IF(AND(D983="Bill Payment",OR(J983="",COUNTIFS(ap_No,J983&amp;"",ap_Party,H983&amp;"")=0)),"Bill # + vendor not found on AP sheet",IF(AND(ISNUMBER(M983),N(M983)&lt;&gt;0,W983=0),"Tax ignored (tax tracking off, or not allowed for this type)",IF(V983=K983&amp;"","Same account on both sides",IF(AND(ISNUMBER(StartDate),C983&lt;StartDate),"Date is before the accounting start date",IF(AND(D983&lt;&gt;"Adjustment",IFERROR(INDEX(coa_Pay,MATCH(K983&amp;"",coa_Name,0)),"")&lt;&gt;"Yes"),"Paid From / Deposited To is not a payment account","")))))))))))</f>
        <v/>
      </c>
      <c r="Z983" s="67">
        <f>IF(AND(T983=0,X983=""),1,0)</f>
        <v/>
      </c>
      <c r="AA983" s="68">
        <f>IF(Z983=1,IF(U983="In",L983,L983-W983),0)</f>
        <v/>
      </c>
      <c r="AB983" s="68">
        <f>IF(Z983=1,IF(U983="In",L983-W983,L983),0)</f>
        <v/>
      </c>
      <c r="AC983" s="68">
        <f>IF(AND(Z983=1,U983="Out"),W983,0)</f>
        <v/>
      </c>
      <c r="AD983" s="68">
        <f>IF(AND(Z983=1,U983="In"),W983,0)</f>
        <v/>
      </c>
    </row>
    <row r="984">
      <c r="B984" s="62" t="inlineStr">
        <is>
          <t>TX-0978</t>
        </is>
      </c>
      <c r="C984" s="63" t="n"/>
      <c r="D984" s="62" t="n"/>
      <c r="E984" s="62" t="n"/>
      <c r="F984" s="62" t="n"/>
      <c r="G984" s="62" t="n"/>
      <c r="H984" s="62" t="n"/>
      <c r="I984" s="62" t="n"/>
      <c r="J984" s="62" t="n"/>
      <c r="K984" s="62" t="n"/>
      <c r="L984" s="64" t="n"/>
      <c r="M984" s="64" t="n"/>
      <c r="N984" s="62" t="n"/>
      <c r="O984" s="65">
        <f>IF(Z984=1,L984-W984,"")</f>
        <v/>
      </c>
      <c r="P984" s="66">
        <f>IF(V984="","",IFERROR(INDEX(coa_Type,MATCH(V984,coa_Name,0)),""))</f>
        <v/>
      </c>
      <c r="Q984" s="66">
        <f>IF(Z984=1,IF(U984="In",K984&amp;"",V984),"")</f>
        <v/>
      </c>
      <c r="R984" s="66">
        <f>IF(Z984=1,IF(U984="In",V984,K984&amp;""),"")</f>
        <v/>
      </c>
      <c r="S984" s="66">
        <f>IF(X984&lt;&gt;"","⛔ "&amp;X984&amp;" — not posted",IF(Y984&lt;&gt;"","⚠ "&amp;Y984,IF(Z984=1,"✓ OK","")))</f>
        <v/>
      </c>
      <c r="T984" s="67">
        <f>IF(AND(C984="",D984="",E984="",L984="",K984=""),1,0)</f>
        <v/>
      </c>
      <c r="U984" s="67">
        <f>IFERROR(INDEX(tt_Dir,MATCH(D984,tt_Type,0)),"")</f>
        <v/>
      </c>
      <c r="V984" s="67">
        <f>IF(D984="","",IFERROR(IF(INDEX(tt_Other,MATCH(D984,tt_Type,0))="",E984&amp;"",INDEX(tt_Other,MATCH(D984,tt_Type,0))),""))</f>
        <v/>
      </c>
      <c r="W984" s="68">
        <f>IF(OR(TaxOn&lt;&gt;"Yes",NOT(ISNUMBER(M984))),0,IF(IFERROR(INDEX(tt_Tax,MATCH(D984,tt_Type,0)),"No")="Yes",M984,0))</f>
        <v/>
      </c>
      <c r="X984" s="67">
        <f>IF(T984=1,"",IF(C984="","Missing transaction date",IF(NOT(ISNUMBER(C984)),"Invalid date",IF(OR(C984&lt;DATE(2000,1,1),C984&gt;DATE(2099,12,31)),"Invalid date",IF(D984="","Select a type",IF(U984="","Unknown type: "&amp;D984,IF(V984="","Select an account (Category)",IF(ISNA(MATCH(V984,coa_Name,0)),"Unknown account: "&amp;V984,IF(K984="","Select Paid From / Deposited To",IF(ISNA(MATCH(K984,coa_Name,0)),"Unknown account: "&amp;K984,IF(NOT(ISNUMBER(L984)),"Enter an amount",IF(L984=0,"Enter an amount",IF(ABS(W984)&gt;ABS(L984),"Tax is larger than the amount","")))))))))))))</f>
        <v/>
      </c>
      <c r="Y984" s="67">
        <f>IF(OR(T984=1,X984&lt;&gt;""),"",IF(AND(B984&lt;&gt;"",COUNTIF(tx_ID,B984)&gt;1),"Duplicate transaction ID",IF(AND(L984&lt;0,D984&lt;&gt;"Adjustment"),"Negative amount — check this entry",IF(AND(D984="Customer Payment",G984=""),"Add the customer",IF(AND(D984="Customer Payment",OR(J984="",COUNTIF(ar_No,J984&amp;"")=0)),"Invoice # in Reference not found on AR sheet",IF(AND(D984="Bill Payment",H984=""),"Add the vendor",IF(AND(D984="Bill Payment",OR(J984="",COUNTIFS(ap_No,J984&amp;"",ap_Party,H984&amp;"")=0)),"Bill # + vendor not found on AP sheet",IF(AND(ISNUMBER(M984),N(M984)&lt;&gt;0,W984=0),"Tax ignored (tax tracking off, or not allowed for this type)",IF(V984=K984&amp;"","Same account on both sides",IF(AND(ISNUMBER(StartDate),C984&lt;StartDate),"Date is before the accounting start date",IF(AND(D984&lt;&gt;"Adjustment",IFERROR(INDEX(coa_Pay,MATCH(K984&amp;"",coa_Name,0)),"")&lt;&gt;"Yes"),"Paid From / Deposited To is not a payment account","")))))))))))</f>
        <v/>
      </c>
      <c r="Z984" s="67">
        <f>IF(AND(T984=0,X984=""),1,0)</f>
        <v/>
      </c>
      <c r="AA984" s="68">
        <f>IF(Z984=1,IF(U984="In",L984,L984-W984),0)</f>
        <v/>
      </c>
      <c r="AB984" s="68">
        <f>IF(Z984=1,IF(U984="In",L984-W984,L984),0)</f>
        <v/>
      </c>
      <c r="AC984" s="68">
        <f>IF(AND(Z984=1,U984="Out"),W984,0)</f>
        <v/>
      </c>
      <c r="AD984" s="68">
        <f>IF(AND(Z984=1,U984="In"),W984,0)</f>
        <v/>
      </c>
    </row>
    <row r="985">
      <c r="B985" s="62" t="inlineStr">
        <is>
          <t>TX-0979</t>
        </is>
      </c>
      <c r="C985" s="63" t="n"/>
      <c r="D985" s="62" t="n"/>
      <c r="E985" s="62" t="n"/>
      <c r="F985" s="62" t="n"/>
      <c r="G985" s="62" t="n"/>
      <c r="H985" s="62" t="n"/>
      <c r="I985" s="62" t="n"/>
      <c r="J985" s="62" t="n"/>
      <c r="K985" s="62" t="n"/>
      <c r="L985" s="64" t="n"/>
      <c r="M985" s="64" t="n"/>
      <c r="N985" s="62" t="n"/>
      <c r="O985" s="65">
        <f>IF(Z985=1,L985-W985,"")</f>
        <v/>
      </c>
      <c r="P985" s="66">
        <f>IF(V985="","",IFERROR(INDEX(coa_Type,MATCH(V985,coa_Name,0)),""))</f>
        <v/>
      </c>
      <c r="Q985" s="66">
        <f>IF(Z985=1,IF(U985="In",K985&amp;"",V985),"")</f>
        <v/>
      </c>
      <c r="R985" s="66">
        <f>IF(Z985=1,IF(U985="In",V985,K985&amp;""),"")</f>
        <v/>
      </c>
      <c r="S985" s="66">
        <f>IF(X985&lt;&gt;"","⛔ "&amp;X985&amp;" — not posted",IF(Y985&lt;&gt;"","⚠ "&amp;Y985,IF(Z985=1,"✓ OK","")))</f>
        <v/>
      </c>
      <c r="T985" s="67">
        <f>IF(AND(C985="",D985="",E985="",L985="",K985=""),1,0)</f>
        <v/>
      </c>
      <c r="U985" s="67">
        <f>IFERROR(INDEX(tt_Dir,MATCH(D985,tt_Type,0)),"")</f>
        <v/>
      </c>
      <c r="V985" s="67">
        <f>IF(D985="","",IFERROR(IF(INDEX(tt_Other,MATCH(D985,tt_Type,0))="",E985&amp;"",INDEX(tt_Other,MATCH(D985,tt_Type,0))),""))</f>
        <v/>
      </c>
      <c r="W985" s="68">
        <f>IF(OR(TaxOn&lt;&gt;"Yes",NOT(ISNUMBER(M985))),0,IF(IFERROR(INDEX(tt_Tax,MATCH(D985,tt_Type,0)),"No")="Yes",M985,0))</f>
        <v/>
      </c>
      <c r="X985" s="67">
        <f>IF(T985=1,"",IF(C985="","Missing transaction date",IF(NOT(ISNUMBER(C985)),"Invalid date",IF(OR(C985&lt;DATE(2000,1,1),C985&gt;DATE(2099,12,31)),"Invalid date",IF(D985="","Select a type",IF(U985="","Unknown type: "&amp;D985,IF(V985="","Select an account (Category)",IF(ISNA(MATCH(V985,coa_Name,0)),"Unknown account: "&amp;V985,IF(K985="","Select Paid From / Deposited To",IF(ISNA(MATCH(K985,coa_Name,0)),"Unknown account: "&amp;K985,IF(NOT(ISNUMBER(L985)),"Enter an amount",IF(L985=0,"Enter an amount",IF(ABS(W985)&gt;ABS(L985),"Tax is larger than the amount","")))))))))))))</f>
        <v/>
      </c>
      <c r="Y985" s="67">
        <f>IF(OR(T985=1,X985&lt;&gt;""),"",IF(AND(B985&lt;&gt;"",COUNTIF(tx_ID,B985)&gt;1),"Duplicate transaction ID",IF(AND(L985&lt;0,D985&lt;&gt;"Adjustment"),"Negative amount — check this entry",IF(AND(D985="Customer Payment",G985=""),"Add the customer",IF(AND(D985="Customer Payment",OR(J985="",COUNTIF(ar_No,J985&amp;"")=0)),"Invoice # in Reference not found on AR sheet",IF(AND(D985="Bill Payment",H985=""),"Add the vendor",IF(AND(D985="Bill Payment",OR(J985="",COUNTIFS(ap_No,J985&amp;"",ap_Party,H985&amp;"")=0)),"Bill # + vendor not found on AP sheet",IF(AND(ISNUMBER(M985),N(M985)&lt;&gt;0,W985=0),"Tax ignored (tax tracking off, or not allowed for this type)",IF(V985=K985&amp;"","Same account on both sides",IF(AND(ISNUMBER(StartDate),C985&lt;StartDate),"Date is before the accounting start date",IF(AND(D985&lt;&gt;"Adjustment",IFERROR(INDEX(coa_Pay,MATCH(K985&amp;"",coa_Name,0)),"")&lt;&gt;"Yes"),"Paid From / Deposited To is not a payment account","")))))))))))</f>
        <v/>
      </c>
      <c r="Z985" s="67">
        <f>IF(AND(T985=0,X985=""),1,0)</f>
        <v/>
      </c>
      <c r="AA985" s="68">
        <f>IF(Z985=1,IF(U985="In",L985,L985-W985),0)</f>
        <v/>
      </c>
      <c r="AB985" s="68">
        <f>IF(Z985=1,IF(U985="In",L985-W985,L985),0)</f>
        <v/>
      </c>
      <c r="AC985" s="68">
        <f>IF(AND(Z985=1,U985="Out"),W985,0)</f>
        <v/>
      </c>
      <c r="AD985" s="68">
        <f>IF(AND(Z985=1,U985="In"),W985,0)</f>
        <v/>
      </c>
    </row>
    <row r="986">
      <c r="B986" s="62" t="inlineStr">
        <is>
          <t>TX-0980</t>
        </is>
      </c>
      <c r="C986" s="63" t="n"/>
      <c r="D986" s="62" t="n"/>
      <c r="E986" s="62" t="n"/>
      <c r="F986" s="62" t="n"/>
      <c r="G986" s="62" t="n"/>
      <c r="H986" s="62" t="n"/>
      <c r="I986" s="62" t="n"/>
      <c r="J986" s="62" t="n"/>
      <c r="K986" s="62" t="n"/>
      <c r="L986" s="64" t="n"/>
      <c r="M986" s="64" t="n"/>
      <c r="N986" s="62" t="n"/>
      <c r="O986" s="65">
        <f>IF(Z986=1,L986-W986,"")</f>
        <v/>
      </c>
      <c r="P986" s="66">
        <f>IF(V986="","",IFERROR(INDEX(coa_Type,MATCH(V986,coa_Name,0)),""))</f>
        <v/>
      </c>
      <c r="Q986" s="66">
        <f>IF(Z986=1,IF(U986="In",K986&amp;"",V986),"")</f>
        <v/>
      </c>
      <c r="R986" s="66">
        <f>IF(Z986=1,IF(U986="In",V986,K986&amp;""),"")</f>
        <v/>
      </c>
      <c r="S986" s="66">
        <f>IF(X986&lt;&gt;"","⛔ "&amp;X986&amp;" — not posted",IF(Y986&lt;&gt;"","⚠ "&amp;Y986,IF(Z986=1,"✓ OK","")))</f>
        <v/>
      </c>
      <c r="T986" s="67">
        <f>IF(AND(C986="",D986="",E986="",L986="",K986=""),1,0)</f>
        <v/>
      </c>
      <c r="U986" s="67">
        <f>IFERROR(INDEX(tt_Dir,MATCH(D986,tt_Type,0)),"")</f>
        <v/>
      </c>
      <c r="V986" s="67">
        <f>IF(D986="","",IFERROR(IF(INDEX(tt_Other,MATCH(D986,tt_Type,0))="",E986&amp;"",INDEX(tt_Other,MATCH(D986,tt_Type,0))),""))</f>
        <v/>
      </c>
      <c r="W986" s="68">
        <f>IF(OR(TaxOn&lt;&gt;"Yes",NOT(ISNUMBER(M986))),0,IF(IFERROR(INDEX(tt_Tax,MATCH(D986,tt_Type,0)),"No")="Yes",M986,0))</f>
        <v/>
      </c>
      <c r="X986" s="67">
        <f>IF(T986=1,"",IF(C986="","Missing transaction date",IF(NOT(ISNUMBER(C986)),"Invalid date",IF(OR(C986&lt;DATE(2000,1,1),C986&gt;DATE(2099,12,31)),"Invalid date",IF(D986="","Select a type",IF(U986="","Unknown type: "&amp;D986,IF(V986="","Select an account (Category)",IF(ISNA(MATCH(V986,coa_Name,0)),"Unknown account: "&amp;V986,IF(K986="","Select Paid From / Deposited To",IF(ISNA(MATCH(K986,coa_Name,0)),"Unknown account: "&amp;K986,IF(NOT(ISNUMBER(L986)),"Enter an amount",IF(L986=0,"Enter an amount",IF(ABS(W986)&gt;ABS(L986),"Tax is larger than the amount","")))))))))))))</f>
        <v/>
      </c>
      <c r="Y986" s="67">
        <f>IF(OR(T986=1,X986&lt;&gt;""),"",IF(AND(B986&lt;&gt;"",COUNTIF(tx_ID,B986)&gt;1),"Duplicate transaction ID",IF(AND(L986&lt;0,D986&lt;&gt;"Adjustment"),"Negative amount — check this entry",IF(AND(D986="Customer Payment",G986=""),"Add the customer",IF(AND(D986="Customer Payment",OR(J986="",COUNTIF(ar_No,J986&amp;"")=0)),"Invoice # in Reference not found on AR sheet",IF(AND(D986="Bill Payment",H986=""),"Add the vendor",IF(AND(D986="Bill Payment",OR(J986="",COUNTIFS(ap_No,J986&amp;"",ap_Party,H986&amp;"")=0)),"Bill # + vendor not found on AP sheet",IF(AND(ISNUMBER(M986),N(M986)&lt;&gt;0,W986=0),"Tax ignored (tax tracking off, or not allowed for this type)",IF(V986=K986&amp;"","Same account on both sides",IF(AND(ISNUMBER(StartDate),C986&lt;StartDate),"Date is before the accounting start date",IF(AND(D986&lt;&gt;"Adjustment",IFERROR(INDEX(coa_Pay,MATCH(K986&amp;"",coa_Name,0)),"")&lt;&gt;"Yes"),"Paid From / Deposited To is not a payment account","")))))))))))</f>
        <v/>
      </c>
      <c r="Z986" s="67">
        <f>IF(AND(T986=0,X986=""),1,0)</f>
        <v/>
      </c>
      <c r="AA986" s="68">
        <f>IF(Z986=1,IF(U986="In",L986,L986-W986),0)</f>
        <v/>
      </c>
      <c r="AB986" s="68">
        <f>IF(Z986=1,IF(U986="In",L986-W986,L986),0)</f>
        <v/>
      </c>
      <c r="AC986" s="68">
        <f>IF(AND(Z986=1,U986="Out"),W986,0)</f>
        <v/>
      </c>
      <c r="AD986" s="68">
        <f>IF(AND(Z986=1,U986="In"),W986,0)</f>
        <v/>
      </c>
    </row>
    <row r="987">
      <c r="B987" s="62" t="inlineStr">
        <is>
          <t>TX-0981</t>
        </is>
      </c>
      <c r="C987" s="63" t="n"/>
      <c r="D987" s="62" t="n"/>
      <c r="E987" s="62" t="n"/>
      <c r="F987" s="62" t="n"/>
      <c r="G987" s="62" t="n"/>
      <c r="H987" s="62" t="n"/>
      <c r="I987" s="62" t="n"/>
      <c r="J987" s="62" t="n"/>
      <c r="K987" s="62" t="n"/>
      <c r="L987" s="64" t="n"/>
      <c r="M987" s="64" t="n"/>
      <c r="N987" s="62" t="n"/>
      <c r="O987" s="65">
        <f>IF(Z987=1,L987-W987,"")</f>
        <v/>
      </c>
      <c r="P987" s="66">
        <f>IF(V987="","",IFERROR(INDEX(coa_Type,MATCH(V987,coa_Name,0)),""))</f>
        <v/>
      </c>
      <c r="Q987" s="66">
        <f>IF(Z987=1,IF(U987="In",K987&amp;"",V987),"")</f>
        <v/>
      </c>
      <c r="R987" s="66">
        <f>IF(Z987=1,IF(U987="In",V987,K987&amp;""),"")</f>
        <v/>
      </c>
      <c r="S987" s="66">
        <f>IF(X987&lt;&gt;"","⛔ "&amp;X987&amp;" — not posted",IF(Y987&lt;&gt;"","⚠ "&amp;Y987,IF(Z987=1,"✓ OK","")))</f>
        <v/>
      </c>
      <c r="T987" s="67">
        <f>IF(AND(C987="",D987="",E987="",L987="",K987=""),1,0)</f>
        <v/>
      </c>
      <c r="U987" s="67">
        <f>IFERROR(INDEX(tt_Dir,MATCH(D987,tt_Type,0)),"")</f>
        <v/>
      </c>
      <c r="V987" s="67">
        <f>IF(D987="","",IFERROR(IF(INDEX(tt_Other,MATCH(D987,tt_Type,0))="",E987&amp;"",INDEX(tt_Other,MATCH(D987,tt_Type,0))),""))</f>
        <v/>
      </c>
      <c r="W987" s="68">
        <f>IF(OR(TaxOn&lt;&gt;"Yes",NOT(ISNUMBER(M987))),0,IF(IFERROR(INDEX(tt_Tax,MATCH(D987,tt_Type,0)),"No")="Yes",M987,0))</f>
        <v/>
      </c>
      <c r="X987" s="67">
        <f>IF(T987=1,"",IF(C987="","Missing transaction date",IF(NOT(ISNUMBER(C987)),"Invalid date",IF(OR(C987&lt;DATE(2000,1,1),C987&gt;DATE(2099,12,31)),"Invalid date",IF(D987="","Select a type",IF(U987="","Unknown type: "&amp;D987,IF(V987="","Select an account (Category)",IF(ISNA(MATCH(V987,coa_Name,0)),"Unknown account: "&amp;V987,IF(K987="","Select Paid From / Deposited To",IF(ISNA(MATCH(K987,coa_Name,0)),"Unknown account: "&amp;K987,IF(NOT(ISNUMBER(L987)),"Enter an amount",IF(L987=0,"Enter an amount",IF(ABS(W987)&gt;ABS(L987),"Tax is larger than the amount","")))))))))))))</f>
        <v/>
      </c>
      <c r="Y987" s="67">
        <f>IF(OR(T987=1,X987&lt;&gt;""),"",IF(AND(B987&lt;&gt;"",COUNTIF(tx_ID,B987)&gt;1),"Duplicate transaction ID",IF(AND(L987&lt;0,D987&lt;&gt;"Adjustment"),"Negative amount — check this entry",IF(AND(D987="Customer Payment",G987=""),"Add the customer",IF(AND(D987="Customer Payment",OR(J987="",COUNTIF(ar_No,J987&amp;"")=0)),"Invoice # in Reference not found on AR sheet",IF(AND(D987="Bill Payment",H987=""),"Add the vendor",IF(AND(D987="Bill Payment",OR(J987="",COUNTIFS(ap_No,J987&amp;"",ap_Party,H987&amp;"")=0)),"Bill # + vendor not found on AP sheet",IF(AND(ISNUMBER(M987),N(M987)&lt;&gt;0,W987=0),"Tax ignored (tax tracking off, or not allowed for this type)",IF(V987=K987&amp;"","Same account on both sides",IF(AND(ISNUMBER(StartDate),C987&lt;StartDate),"Date is before the accounting start date",IF(AND(D987&lt;&gt;"Adjustment",IFERROR(INDEX(coa_Pay,MATCH(K987&amp;"",coa_Name,0)),"")&lt;&gt;"Yes"),"Paid From / Deposited To is not a payment account","")))))))))))</f>
        <v/>
      </c>
      <c r="Z987" s="67">
        <f>IF(AND(T987=0,X987=""),1,0)</f>
        <v/>
      </c>
      <c r="AA987" s="68">
        <f>IF(Z987=1,IF(U987="In",L987,L987-W987),0)</f>
        <v/>
      </c>
      <c r="AB987" s="68">
        <f>IF(Z987=1,IF(U987="In",L987-W987,L987),0)</f>
        <v/>
      </c>
      <c r="AC987" s="68">
        <f>IF(AND(Z987=1,U987="Out"),W987,0)</f>
        <v/>
      </c>
      <c r="AD987" s="68">
        <f>IF(AND(Z987=1,U987="In"),W987,0)</f>
        <v/>
      </c>
    </row>
    <row r="988">
      <c r="B988" s="62" t="inlineStr">
        <is>
          <t>TX-0982</t>
        </is>
      </c>
      <c r="C988" s="63" t="n"/>
      <c r="D988" s="62" t="n"/>
      <c r="E988" s="62" t="n"/>
      <c r="F988" s="62" t="n"/>
      <c r="G988" s="62" t="n"/>
      <c r="H988" s="62" t="n"/>
      <c r="I988" s="62" t="n"/>
      <c r="J988" s="62" t="n"/>
      <c r="K988" s="62" t="n"/>
      <c r="L988" s="64" t="n"/>
      <c r="M988" s="64" t="n"/>
      <c r="N988" s="62" t="n"/>
      <c r="O988" s="65">
        <f>IF(Z988=1,L988-W988,"")</f>
        <v/>
      </c>
      <c r="P988" s="66">
        <f>IF(V988="","",IFERROR(INDEX(coa_Type,MATCH(V988,coa_Name,0)),""))</f>
        <v/>
      </c>
      <c r="Q988" s="66">
        <f>IF(Z988=1,IF(U988="In",K988&amp;"",V988),"")</f>
        <v/>
      </c>
      <c r="R988" s="66">
        <f>IF(Z988=1,IF(U988="In",V988,K988&amp;""),"")</f>
        <v/>
      </c>
      <c r="S988" s="66">
        <f>IF(X988&lt;&gt;"","⛔ "&amp;X988&amp;" — not posted",IF(Y988&lt;&gt;"","⚠ "&amp;Y988,IF(Z988=1,"✓ OK","")))</f>
        <v/>
      </c>
      <c r="T988" s="67">
        <f>IF(AND(C988="",D988="",E988="",L988="",K988=""),1,0)</f>
        <v/>
      </c>
      <c r="U988" s="67">
        <f>IFERROR(INDEX(tt_Dir,MATCH(D988,tt_Type,0)),"")</f>
        <v/>
      </c>
      <c r="V988" s="67">
        <f>IF(D988="","",IFERROR(IF(INDEX(tt_Other,MATCH(D988,tt_Type,0))="",E988&amp;"",INDEX(tt_Other,MATCH(D988,tt_Type,0))),""))</f>
        <v/>
      </c>
      <c r="W988" s="68">
        <f>IF(OR(TaxOn&lt;&gt;"Yes",NOT(ISNUMBER(M988))),0,IF(IFERROR(INDEX(tt_Tax,MATCH(D988,tt_Type,0)),"No")="Yes",M988,0))</f>
        <v/>
      </c>
      <c r="X988" s="67">
        <f>IF(T988=1,"",IF(C988="","Missing transaction date",IF(NOT(ISNUMBER(C988)),"Invalid date",IF(OR(C988&lt;DATE(2000,1,1),C988&gt;DATE(2099,12,31)),"Invalid date",IF(D988="","Select a type",IF(U988="","Unknown type: "&amp;D988,IF(V988="","Select an account (Category)",IF(ISNA(MATCH(V988,coa_Name,0)),"Unknown account: "&amp;V988,IF(K988="","Select Paid From / Deposited To",IF(ISNA(MATCH(K988,coa_Name,0)),"Unknown account: "&amp;K988,IF(NOT(ISNUMBER(L988)),"Enter an amount",IF(L988=0,"Enter an amount",IF(ABS(W988)&gt;ABS(L988),"Tax is larger than the amount","")))))))))))))</f>
        <v/>
      </c>
      <c r="Y988" s="67">
        <f>IF(OR(T988=1,X988&lt;&gt;""),"",IF(AND(B988&lt;&gt;"",COUNTIF(tx_ID,B988)&gt;1),"Duplicate transaction ID",IF(AND(L988&lt;0,D988&lt;&gt;"Adjustment"),"Negative amount — check this entry",IF(AND(D988="Customer Payment",G988=""),"Add the customer",IF(AND(D988="Customer Payment",OR(J988="",COUNTIF(ar_No,J988&amp;"")=0)),"Invoice # in Reference not found on AR sheet",IF(AND(D988="Bill Payment",H988=""),"Add the vendor",IF(AND(D988="Bill Payment",OR(J988="",COUNTIFS(ap_No,J988&amp;"",ap_Party,H988&amp;"")=0)),"Bill # + vendor not found on AP sheet",IF(AND(ISNUMBER(M988),N(M988)&lt;&gt;0,W988=0),"Tax ignored (tax tracking off, or not allowed for this type)",IF(V988=K988&amp;"","Same account on both sides",IF(AND(ISNUMBER(StartDate),C988&lt;StartDate),"Date is before the accounting start date",IF(AND(D988&lt;&gt;"Adjustment",IFERROR(INDEX(coa_Pay,MATCH(K988&amp;"",coa_Name,0)),"")&lt;&gt;"Yes"),"Paid From / Deposited To is not a payment account","")))))))))))</f>
        <v/>
      </c>
      <c r="Z988" s="67">
        <f>IF(AND(T988=0,X988=""),1,0)</f>
        <v/>
      </c>
      <c r="AA988" s="68">
        <f>IF(Z988=1,IF(U988="In",L988,L988-W988),0)</f>
        <v/>
      </c>
      <c r="AB988" s="68">
        <f>IF(Z988=1,IF(U988="In",L988-W988,L988),0)</f>
        <v/>
      </c>
      <c r="AC988" s="68">
        <f>IF(AND(Z988=1,U988="Out"),W988,0)</f>
        <v/>
      </c>
      <c r="AD988" s="68">
        <f>IF(AND(Z988=1,U988="In"),W988,0)</f>
        <v/>
      </c>
    </row>
    <row r="989">
      <c r="B989" s="62" t="inlineStr">
        <is>
          <t>TX-0983</t>
        </is>
      </c>
      <c r="C989" s="63" t="n"/>
      <c r="D989" s="62" t="n"/>
      <c r="E989" s="62" t="n"/>
      <c r="F989" s="62" t="n"/>
      <c r="G989" s="62" t="n"/>
      <c r="H989" s="62" t="n"/>
      <c r="I989" s="62" t="n"/>
      <c r="J989" s="62" t="n"/>
      <c r="K989" s="62" t="n"/>
      <c r="L989" s="64" t="n"/>
      <c r="M989" s="64" t="n"/>
      <c r="N989" s="62" t="n"/>
      <c r="O989" s="65">
        <f>IF(Z989=1,L989-W989,"")</f>
        <v/>
      </c>
      <c r="P989" s="66">
        <f>IF(V989="","",IFERROR(INDEX(coa_Type,MATCH(V989,coa_Name,0)),""))</f>
        <v/>
      </c>
      <c r="Q989" s="66">
        <f>IF(Z989=1,IF(U989="In",K989&amp;"",V989),"")</f>
        <v/>
      </c>
      <c r="R989" s="66">
        <f>IF(Z989=1,IF(U989="In",V989,K989&amp;""),"")</f>
        <v/>
      </c>
      <c r="S989" s="66">
        <f>IF(X989&lt;&gt;"","⛔ "&amp;X989&amp;" — not posted",IF(Y989&lt;&gt;"","⚠ "&amp;Y989,IF(Z989=1,"✓ OK","")))</f>
        <v/>
      </c>
      <c r="T989" s="67">
        <f>IF(AND(C989="",D989="",E989="",L989="",K989=""),1,0)</f>
        <v/>
      </c>
      <c r="U989" s="67">
        <f>IFERROR(INDEX(tt_Dir,MATCH(D989,tt_Type,0)),"")</f>
        <v/>
      </c>
      <c r="V989" s="67">
        <f>IF(D989="","",IFERROR(IF(INDEX(tt_Other,MATCH(D989,tt_Type,0))="",E989&amp;"",INDEX(tt_Other,MATCH(D989,tt_Type,0))),""))</f>
        <v/>
      </c>
      <c r="W989" s="68">
        <f>IF(OR(TaxOn&lt;&gt;"Yes",NOT(ISNUMBER(M989))),0,IF(IFERROR(INDEX(tt_Tax,MATCH(D989,tt_Type,0)),"No")="Yes",M989,0))</f>
        <v/>
      </c>
      <c r="X989" s="67">
        <f>IF(T989=1,"",IF(C989="","Missing transaction date",IF(NOT(ISNUMBER(C989)),"Invalid date",IF(OR(C989&lt;DATE(2000,1,1),C989&gt;DATE(2099,12,31)),"Invalid date",IF(D989="","Select a type",IF(U989="","Unknown type: "&amp;D989,IF(V989="","Select an account (Category)",IF(ISNA(MATCH(V989,coa_Name,0)),"Unknown account: "&amp;V989,IF(K989="","Select Paid From / Deposited To",IF(ISNA(MATCH(K989,coa_Name,0)),"Unknown account: "&amp;K989,IF(NOT(ISNUMBER(L989)),"Enter an amount",IF(L989=0,"Enter an amount",IF(ABS(W989)&gt;ABS(L989),"Tax is larger than the amount","")))))))))))))</f>
        <v/>
      </c>
      <c r="Y989" s="67">
        <f>IF(OR(T989=1,X989&lt;&gt;""),"",IF(AND(B989&lt;&gt;"",COUNTIF(tx_ID,B989)&gt;1),"Duplicate transaction ID",IF(AND(L989&lt;0,D989&lt;&gt;"Adjustment"),"Negative amount — check this entry",IF(AND(D989="Customer Payment",G989=""),"Add the customer",IF(AND(D989="Customer Payment",OR(J989="",COUNTIF(ar_No,J989&amp;"")=0)),"Invoice # in Reference not found on AR sheet",IF(AND(D989="Bill Payment",H989=""),"Add the vendor",IF(AND(D989="Bill Payment",OR(J989="",COUNTIFS(ap_No,J989&amp;"",ap_Party,H989&amp;"")=0)),"Bill # + vendor not found on AP sheet",IF(AND(ISNUMBER(M989),N(M989)&lt;&gt;0,W989=0),"Tax ignored (tax tracking off, or not allowed for this type)",IF(V989=K989&amp;"","Same account on both sides",IF(AND(ISNUMBER(StartDate),C989&lt;StartDate),"Date is before the accounting start date",IF(AND(D989&lt;&gt;"Adjustment",IFERROR(INDEX(coa_Pay,MATCH(K989&amp;"",coa_Name,0)),"")&lt;&gt;"Yes"),"Paid From / Deposited To is not a payment account","")))))))))))</f>
        <v/>
      </c>
      <c r="Z989" s="67">
        <f>IF(AND(T989=0,X989=""),1,0)</f>
        <v/>
      </c>
      <c r="AA989" s="68">
        <f>IF(Z989=1,IF(U989="In",L989,L989-W989),0)</f>
        <v/>
      </c>
      <c r="AB989" s="68">
        <f>IF(Z989=1,IF(U989="In",L989-W989,L989),0)</f>
        <v/>
      </c>
      <c r="AC989" s="68">
        <f>IF(AND(Z989=1,U989="Out"),W989,0)</f>
        <v/>
      </c>
      <c r="AD989" s="68">
        <f>IF(AND(Z989=1,U989="In"),W989,0)</f>
        <v/>
      </c>
    </row>
    <row r="990">
      <c r="B990" s="62" t="inlineStr">
        <is>
          <t>TX-0984</t>
        </is>
      </c>
      <c r="C990" s="63" t="n"/>
      <c r="D990" s="62" t="n"/>
      <c r="E990" s="62" t="n"/>
      <c r="F990" s="62" t="n"/>
      <c r="G990" s="62" t="n"/>
      <c r="H990" s="62" t="n"/>
      <c r="I990" s="62" t="n"/>
      <c r="J990" s="62" t="n"/>
      <c r="K990" s="62" t="n"/>
      <c r="L990" s="64" t="n"/>
      <c r="M990" s="64" t="n"/>
      <c r="N990" s="62" t="n"/>
      <c r="O990" s="65">
        <f>IF(Z990=1,L990-W990,"")</f>
        <v/>
      </c>
      <c r="P990" s="66">
        <f>IF(V990="","",IFERROR(INDEX(coa_Type,MATCH(V990,coa_Name,0)),""))</f>
        <v/>
      </c>
      <c r="Q990" s="66">
        <f>IF(Z990=1,IF(U990="In",K990&amp;"",V990),"")</f>
        <v/>
      </c>
      <c r="R990" s="66">
        <f>IF(Z990=1,IF(U990="In",V990,K990&amp;""),"")</f>
        <v/>
      </c>
      <c r="S990" s="66">
        <f>IF(X990&lt;&gt;"","⛔ "&amp;X990&amp;" — not posted",IF(Y990&lt;&gt;"","⚠ "&amp;Y990,IF(Z990=1,"✓ OK","")))</f>
        <v/>
      </c>
      <c r="T990" s="67">
        <f>IF(AND(C990="",D990="",E990="",L990="",K990=""),1,0)</f>
        <v/>
      </c>
      <c r="U990" s="67">
        <f>IFERROR(INDEX(tt_Dir,MATCH(D990,tt_Type,0)),"")</f>
        <v/>
      </c>
      <c r="V990" s="67">
        <f>IF(D990="","",IFERROR(IF(INDEX(tt_Other,MATCH(D990,tt_Type,0))="",E990&amp;"",INDEX(tt_Other,MATCH(D990,tt_Type,0))),""))</f>
        <v/>
      </c>
      <c r="W990" s="68">
        <f>IF(OR(TaxOn&lt;&gt;"Yes",NOT(ISNUMBER(M990))),0,IF(IFERROR(INDEX(tt_Tax,MATCH(D990,tt_Type,0)),"No")="Yes",M990,0))</f>
        <v/>
      </c>
      <c r="X990" s="67">
        <f>IF(T990=1,"",IF(C990="","Missing transaction date",IF(NOT(ISNUMBER(C990)),"Invalid date",IF(OR(C990&lt;DATE(2000,1,1),C990&gt;DATE(2099,12,31)),"Invalid date",IF(D990="","Select a type",IF(U990="","Unknown type: "&amp;D990,IF(V990="","Select an account (Category)",IF(ISNA(MATCH(V990,coa_Name,0)),"Unknown account: "&amp;V990,IF(K990="","Select Paid From / Deposited To",IF(ISNA(MATCH(K990,coa_Name,0)),"Unknown account: "&amp;K990,IF(NOT(ISNUMBER(L990)),"Enter an amount",IF(L990=0,"Enter an amount",IF(ABS(W990)&gt;ABS(L990),"Tax is larger than the amount","")))))))))))))</f>
        <v/>
      </c>
      <c r="Y990" s="67">
        <f>IF(OR(T990=1,X990&lt;&gt;""),"",IF(AND(B990&lt;&gt;"",COUNTIF(tx_ID,B990)&gt;1),"Duplicate transaction ID",IF(AND(L990&lt;0,D990&lt;&gt;"Adjustment"),"Negative amount — check this entry",IF(AND(D990="Customer Payment",G990=""),"Add the customer",IF(AND(D990="Customer Payment",OR(J990="",COUNTIF(ar_No,J990&amp;"")=0)),"Invoice # in Reference not found on AR sheet",IF(AND(D990="Bill Payment",H990=""),"Add the vendor",IF(AND(D990="Bill Payment",OR(J990="",COUNTIFS(ap_No,J990&amp;"",ap_Party,H990&amp;"")=0)),"Bill # + vendor not found on AP sheet",IF(AND(ISNUMBER(M990),N(M990)&lt;&gt;0,W990=0),"Tax ignored (tax tracking off, or not allowed for this type)",IF(V990=K990&amp;"","Same account on both sides",IF(AND(ISNUMBER(StartDate),C990&lt;StartDate),"Date is before the accounting start date",IF(AND(D990&lt;&gt;"Adjustment",IFERROR(INDEX(coa_Pay,MATCH(K990&amp;"",coa_Name,0)),"")&lt;&gt;"Yes"),"Paid From / Deposited To is not a payment account","")))))))))))</f>
        <v/>
      </c>
      <c r="Z990" s="67">
        <f>IF(AND(T990=0,X990=""),1,0)</f>
        <v/>
      </c>
      <c r="AA990" s="68">
        <f>IF(Z990=1,IF(U990="In",L990,L990-W990),0)</f>
        <v/>
      </c>
      <c r="AB990" s="68">
        <f>IF(Z990=1,IF(U990="In",L990-W990,L990),0)</f>
        <v/>
      </c>
      <c r="AC990" s="68">
        <f>IF(AND(Z990=1,U990="Out"),W990,0)</f>
        <v/>
      </c>
      <c r="AD990" s="68">
        <f>IF(AND(Z990=1,U990="In"),W990,0)</f>
        <v/>
      </c>
    </row>
    <row r="991">
      <c r="B991" s="62" t="inlineStr">
        <is>
          <t>TX-0985</t>
        </is>
      </c>
      <c r="C991" s="63" t="n"/>
      <c r="D991" s="62" t="n"/>
      <c r="E991" s="62" t="n"/>
      <c r="F991" s="62" t="n"/>
      <c r="G991" s="62" t="n"/>
      <c r="H991" s="62" t="n"/>
      <c r="I991" s="62" t="n"/>
      <c r="J991" s="62" t="n"/>
      <c r="K991" s="62" t="n"/>
      <c r="L991" s="64" t="n"/>
      <c r="M991" s="64" t="n"/>
      <c r="N991" s="62" t="n"/>
      <c r="O991" s="65">
        <f>IF(Z991=1,L991-W991,"")</f>
        <v/>
      </c>
      <c r="P991" s="66">
        <f>IF(V991="","",IFERROR(INDEX(coa_Type,MATCH(V991,coa_Name,0)),""))</f>
        <v/>
      </c>
      <c r="Q991" s="66">
        <f>IF(Z991=1,IF(U991="In",K991&amp;"",V991),"")</f>
        <v/>
      </c>
      <c r="R991" s="66">
        <f>IF(Z991=1,IF(U991="In",V991,K991&amp;""),"")</f>
        <v/>
      </c>
      <c r="S991" s="66">
        <f>IF(X991&lt;&gt;"","⛔ "&amp;X991&amp;" — not posted",IF(Y991&lt;&gt;"","⚠ "&amp;Y991,IF(Z991=1,"✓ OK","")))</f>
        <v/>
      </c>
      <c r="T991" s="67">
        <f>IF(AND(C991="",D991="",E991="",L991="",K991=""),1,0)</f>
        <v/>
      </c>
      <c r="U991" s="67">
        <f>IFERROR(INDEX(tt_Dir,MATCH(D991,tt_Type,0)),"")</f>
        <v/>
      </c>
      <c r="V991" s="67">
        <f>IF(D991="","",IFERROR(IF(INDEX(tt_Other,MATCH(D991,tt_Type,0))="",E991&amp;"",INDEX(tt_Other,MATCH(D991,tt_Type,0))),""))</f>
        <v/>
      </c>
      <c r="W991" s="68">
        <f>IF(OR(TaxOn&lt;&gt;"Yes",NOT(ISNUMBER(M991))),0,IF(IFERROR(INDEX(tt_Tax,MATCH(D991,tt_Type,0)),"No")="Yes",M991,0))</f>
        <v/>
      </c>
      <c r="X991" s="67">
        <f>IF(T991=1,"",IF(C991="","Missing transaction date",IF(NOT(ISNUMBER(C991)),"Invalid date",IF(OR(C991&lt;DATE(2000,1,1),C991&gt;DATE(2099,12,31)),"Invalid date",IF(D991="","Select a type",IF(U991="","Unknown type: "&amp;D991,IF(V991="","Select an account (Category)",IF(ISNA(MATCH(V991,coa_Name,0)),"Unknown account: "&amp;V991,IF(K991="","Select Paid From / Deposited To",IF(ISNA(MATCH(K991,coa_Name,0)),"Unknown account: "&amp;K991,IF(NOT(ISNUMBER(L991)),"Enter an amount",IF(L991=0,"Enter an amount",IF(ABS(W991)&gt;ABS(L991),"Tax is larger than the amount","")))))))))))))</f>
        <v/>
      </c>
      <c r="Y991" s="67">
        <f>IF(OR(T991=1,X991&lt;&gt;""),"",IF(AND(B991&lt;&gt;"",COUNTIF(tx_ID,B991)&gt;1),"Duplicate transaction ID",IF(AND(L991&lt;0,D991&lt;&gt;"Adjustment"),"Negative amount — check this entry",IF(AND(D991="Customer Payment",G991=""),"Add the customer",IF(AND(D991="Customer Payment",OR(J991="",COUNTIF(ar_No,J991&amp;"")=0)),"Invoice # in Reference not found on AR sheet",IF(AND(D991="Bill Payment",H991=""),"Add the vendor",IF(AND(D991="Bill Payment",OR(J991="",COUNTIFS(ap_No,J991&amp;"",ap_Party,H991&amp;"")=0)),"Bill # + vendor not found on AP sheet",IF(AND(ISNUMBER(M991),N(M991)&lt;&gt;0,W991=0),"Tax ignored (tax tracking off, or not allowed for this type)",IF(V991=K991&amp;"","Same account on both sides",IF(AND(ISNUMBER(StartDate),C991&lt;StartDate),"Date is before the accounting start date",IF(AND(D991&lt;&gt;"Adjustment",IFERROR(INDEX(coa_Pay,MATCH(K991&amp;"",coa_Name,0)),"")&lt;&gt;"Yes"),"Paid From / Deposited To is not a payment account","")))))))))))</f>
        <v/>
      </c>
      <c r="Z991" s="67">
        <f>IF(AND(T991=0,X991=""),1,0)</f>
        <v/>
      </c>
      <c r="AA991" s="68">
        <f>IF(Z991=1,IF(U991="In",L991,L991-W991),0)</f>
        <v/>
      </c>
      <c r="AB991" s="68">
        <f>IF(Z991=1,IF(U991="In",L991-W991,L991),0)</f>
        <v/>
      </c>
      <c r="AC991" s="68">
        <f>IF(AND(Z991=1,U991="Out"),W991,0)</f>
        <v/>
      </c>
      <c r="AD991" s="68">
        <f>IF(AND(Z991=1,U991="In"),W991,0)</f>
        <v/>
      </c>
    </row>
    <row r="992">
      <c r="B992" s="62" t="inlineStr">
        <is>
          <t>TX-0986</t>
        </is>
      </c>
      <c r="C992" s="63" t="n"/>
      <c r="D992" s="62" t="n"/>
      <c r="E992" s="62" t="n"/>
      <c r="F992" s="62" t="n"/>
      <c r="G992" s="62" t="n"/>
      <c r="H992" s="62" t="n"/>
      <c r="I992" s="62" t="n"/>
      <c r="J992" s="62" t="n"/>
      <c r="K992" s="62" t="n"/>
      <c r="L992" s="64" t="n"/>
      <c r="M992" s="64" t="n"/>
      <c r="N992" s="62" t="n"/>
      <c r="O992" s="65">
        <f>IF(Z992=1,L992-W992,"")</f>
        <v/>
      </c>
      <c r="P992" s="66">
        <f>IF(V992="","",IFERROR(INDEX(coa_Type,MATCH(V992,coa_Name,0)),""))</f>
        <v/>
      </c>
      <c r="Q992" s="66">
        <f>IF(Z992=1,IF(U992="In",K992&amp;"",V992),"")</f>
        <v/>
      </c>
      <c r="R992" s="66">
        <f>IF(Z992=1,IF(U992="In",V992,K992&amp;""),"")</f>
        <v/>
      </c>
      <c r="S992" s="66">
        <f>IF(X992&lt;&gt;"","⛔ "&amp;X992&amp;" — not posted",IF(Y992&lt;&gt;"","⚠ "&amp;Y992,IF(Z992=1,"✓ OK","")))</f>
        <v/>
      </c>
      <c r="T992" s="67">
        <f>IF(AND(C992="",D992="",E992="",L992="",K992=""),1,0)</f>
        <v/>
      </c>
      <c r="U992" s="67">
        <f>IFERROR(INDEX(tt_Dir,MATCH(D992,tt_Type,0)),"")</f>
        <v/>
      </c>
      <c r="V992" s="67">
        <f>IF(D992="","",IFERROR(IF(INDEX(tt_Other,MATCH(D992,tt_Type,0))="",E992&amp;"",INDEX(tt_Other,MATCH(D992,tt_Type,0))),""))</f>
        <v/>
      </c>
      <c r="W992" s="68">
        <f>IF(OR(TaxOn&lt;&gt;"Yes",NOT(ISNUMBER(M992))),0,IF(IFERROR(INDEX(tt_Tax,MATCH(D992,tt_Type,0)),"No")="Yes",M992,0))</f>
        <v/>
      </c>
      <c r="X992" s="67">
        <f>IF(T992=1,"",IF(C992="","Missing transaction date",IF(NOT(ISNUMBER(C992)),"Invalid date",IF(OR(C992&lt;DATE(2000,1,1),C992&gt;DATE(2099,12,31)),"Invalid date",IF(D992="","Select a type",IF(U992="","Unknown type: "&amp;D992,IF(V992="","Select an account (Category)",IF(ISNA(MATCH(V992,coa_Name,0)),"Unknown account: "&amp;V992,IF(K992="","Select Paid From / Deposited To",IF(ISNA(MATCH(K992,coa_Name,0)),"Unknown account: "&amp;K992,IF(NOT(ISNUMBER(L992)),"Enter an amount",IF(L992=0,"Enter an amount",IF(ABS(W992)&gt;ABS(L992),"Tax is larger than the amount","")))))))))))))</f>
        <v/>
      </c>
      <c r="Y992" s="67">
        <f>IF(OR(T992=1,X992&lt;&gt;""),"",IF(AND(B992&lt;&gt;"",COUNTIF(tx_ID,B992)&gt;1),"Duplicate transaction ID",IF(AND(L992&lt;0,D992&lt;&gt;"Adjustment"),"Negative amount — check this entry",IF(AND(D992="Customer Payment",G992=""),"Add the customer",IF(AND(D992="Customer Payment",OR(J992="",COUNTIF(ar_No,J992&amp;"")=0)),"Invoice # in Reference not found on AR sheet",IF(AND(D992="Bill Payment",H992=""),"Add the vendor",IF(AND(D992="Bill Payment",OR(J992="",COUNTIFS(ap_No,J992&amp;"",ap_Party,H992&amp;"")=0)),"Bill # + vendor not found on AP sheet",IF(AND(ISNUMBER(M992),N(M992)&lt;&gt;0,W992=0),"Tax ignored (tax tracking off, or not allowed for this type)",IF(V992=K992&amp;"","Same account on both sides",IF(AND(ISNUMBER(StartDate),C992&lt;StartDate),"Date is before the accounting start date",IF(AND(D992&lt;&gt;"Adjustment",IFERROR(INDEX(coa_Pay,MATCH(K992&amp;"",coa_Name,0)),"")&lt;&gt;"Yes"),"Paid From / Deposited To is not a payment account","")))))))))))</f>
        <v/>
      </c>
      <c r="Z992" s="67">
        <f>IF(AND(T992=0,X992=""),1,0)</f>
        <v/>
      </c>
      <c r="AA992" s="68">
        <f>IF(Z992=1,IF(U992="In",L992,L992-W992),0)</f>
        <v/>
      </c>
      <c r="AB992" s="68">
        <f>IF(Z992=1,IF(U992="In",L992-W992,L992),0)</f>
        <v/>
      </c>
      <c r="AC992" s="68">
        <f>IF(AND(Z992=1,U992="Out"),W992,0)</f>
        <v/>
      </c>
      <c r="AD992" s="68">
        <f>IF(AND(Z992=1,U992="In"),W992,0)</f>
        <v/>
      </c>
    </row>
    <row r="993">
      <c r="B993" s="62" t="inlineStr">
        <is>
          <t>TX-0987</t>
        </is>
      </c>
      <c r="C993" s="63" t="n"/>
      <c r="D993" s="62" t="n"/>
      <c r="E993" s="62" t="n"/>
      <c r="F993" s="62" t="n"/>
      <c r="G993" s="62" t="n"/>
      <c r="H993" s="62" t="n"/>
      <c r="I993" s="62" t="n"/>
      <c r="J993" s="62" t="n"/>
      <c r="K993" s="62" t="n"/>
      <c r="L993" s="64" t="n"/>
      <c r="M993" s="64" t="n"/>
      <c r="N993" s="62" t="n"/>
      <c r="O993" s="65">
        <f>IF(Z993=1,L993-W993,"")</f>
        <v/>
      </c>
      <c r="P993" s="66">
        <f>IF(V993="","",IFERROR(INDEX(coa_Type,MATCH(V993,coa_Name,0)),""))</f>
        <v/>
      </c>
      <c r="Q993" s="66">
        <f>IF(Z993=1,IF(U993="In",K993&amp;"",V993),"")</f>
        <v/>
      </c>
      <c r="R993" s="66">
        <f>IF(Z993=1,IF(U993="In",V993,K993&amp;""),"")</f>
        <v/>
      </c>
      <c r="S993" s="66">
        <f>IF(X993&lt;&gt;"","⛔ "&amp;X993&amp;" — not posted",IF(Y993&lt;&gt;"","⚠ "&amp;Y993,IF(Z993=1,"✓ OK","")))</f>
        <v/>
      </c>
      <c r="T993" s="67">
        <f>IF(AND(C993="",D993="",E993="",L993="",K993=""),1,0)</f>
        <v/>
      </c>
      <c r="U993" s="67">
        <f>IFERROR(INDEX(tt_Dir,MATCH(D993,tt_Type,0)),"")</f>
        <v/>
      </c>
      <c r="V993" s="67">
        <f>IF(D993="","",IFERROR(IF(INDEX(tt_Other,MATCH(D993,tt_Type,0))="",E993&amp;"",INDEX(tt_Other,MATCH(D993,tt_Type,0))),""))</f>
        <v/>
      </c>
      <c r="W993" s="68">
        <f>IF(OR(TaxOn&lt;&gt;"Yes",NOT(ISNUMBER(M993))),0,IF(IFERROR(INDEX(tt_Tax,MATCH(D993,tt_Type,0)),"No")="Yes",M993,0))</f>
        <v/>
      </c>
      <c r="X993" s="67">
        <f>IF(T993=1,"",IF(C993="","Missing transaction date",IF(NOT(ISNUMBER(C993)),"Invalid date",IF(OR(C993&lt;DATE(2000,1,1),C993&gt;DATE(2099,12,31)),"Invalid date",IF(D993="","Select a type",IF(U993="","Unknown type: "&amp;D993,IF(V993="","Select an account (Category)",IF(ISNA(MATCH(V993,coa_Name,0)),"Unknown account: "&amp;V993,IF(K993="","Select Paid From / Deposited To",IF(ISNA(MATCH(K993,coa_Name,0)),"Unknown account: "&amp;K993,IF(NOT(ISNUMBER(L993)),"Enter an amount",IF(L993=0,"Enter an amount",IF(ABS(W993)&gt;ABS(L993),"Tax is larger than the amount","")))))))))))))</f>
        <v/>
      </c>
      <c r="Y993" s="67">
        <f>IF(OR(T993=1,X993&lt;&gt;""),"",IF(AND(B993&lt;&gt;"",COUNTIF(tx_ID,B993)&gt;1),"Duplicate transaction ID",IF(AND(L993&lt;0,D993&lt;&gt;"Adjustment"),"Negative amount — check this entry",IF(AND(D993="Customer Payment",G993=""),"Add the customer",IF(AND(D993="Customer Payment",OR(J993="",COUNTIF(ar_No,J993&amp;"")=0)),"Invoice # in Reference not found on AR sheet",IF(AND(D993="Bill Payment",H993=""),"Add the vendor",IF(AND(D993="Bill Payment",OR(J993="",COUNTIFS(ap_No,J993&amp;"",ap_Party,H993&amp;"")=0)),"Bill # + vendor not found on AP sheet",IF(AND(ISNUMBER(M993),N(M993)&lt;&gt;0,W993=0),"Tax ignored (tax tracking off, or not allowed for this type)",IF(V993=K993&amp;"","Same account on both sides",IF(AND(ISNUMBER(StartDate),C993&lt;StartDate),"Date is before the accounting start date",IF(AND(D993&lt;&gt;"Adjustment",IFERROR(INDEX(coa_Pay,MATCH(K993&amp;"",coa_Name,0)),"")&lt;&gt;"Yes"),"Paid From / Deposited To is not a payment account","")))))))))))</f>
        <v/>
      </c>
      <c r="Z993" s="67">
        <f>IF(AND(T993=0,X993=""),1,0)</f>
        <v/>
      </c>
      <c r="AA993" s="68">
        <f>IF(Z993=1,IF(U993="In",L993,L993-W993),0)</f>
        <v/>
      </c>
      <c r="AB993" s="68">
        <f>IF(Z993=1,IF(U993="In",L993-W993,L993),0)</f>
        <v/>
      </c>
      <c r="AC993" s="68">
        <f>IF(AND(Z993=1,U993="Out"),W993,0)</f>
        <v/>
      </c>
      <c r="AD993" s="68">
        <f>IF(AND(Z993=1,U993="In"),W993,0)</f>
        <v/>
      </c>
    </row>
    <row r="994">
      <c r="B994" s="62" t="inlineStr">
        <is>
          <t>TX-0988</t>
        </is>
      </c>
      <c r="C994" s="63" t="n"/>
      <c r="D994" s="62" t="n"/>
      <c r="E994" s="62" t="n"/>
      <c r="F994" s="62" t="n"/>
      <c r="G994" s="62" t="n"/>
      <c r="H994" s="62" t="n"/>
      <c r="I994" s="62" t="n"/>
      <c r="J994" s="62" t="n"/>
      <c r="K994" s="62" t="n"/>
      <c r="L994" s="64" t="n"/>
      <c r="M994" s="64" t="n"/>
      <c r="N994" s="62" t="n"/>
      <c r="O994" s="65">
        <f>IF(Z994=1,L994-W994,"")</f>
        <v/>
      </c>
      <c r="P994" s="66">
        <f>IF(V994="","",IFERROR(INDEX(coa_Type,MATCH(V994,coa_Name,0)),""))</f>
        <v/>
      </c>
      <c r="Q994" s="66">
        <f>IF(Z994=1,IF(U994="In",K994&amp;"",V994),"")</f>
        <v/>
      </c>
      <c r="R994" s="66">
        <f>IF(Z994=1,IF(U994="In",V994,K994&amp;""),"")</f>
        <v/>
      </c>
      <c r="S994" s="66">
        <f>IF(X994&lt;&gt;"","⛔ "&amp;X994&amp;" — not posted",IF(Y994&lt;&gt;"","⚠ "&amp;Y994,IF(Z994=1,"✓ OK","")))</f>
        <v/>
      </c>
      <c r="T994" s="67">
        <f>IF(AND(C994="",D994="",E994="",L994="",K994=""),1,0)</f>
        <v/>
      </c>
      <c r="U994" s="67">
        <f>IFERROR(INDEX(tt_Dir,MATCH(D994,tt_Type,0)),"")</f>
        <v/>
      </c>
      <c r="V994" s="67">
        <f>IF(D994="","",IFERROR(IF(INDEX(tt_Other,MATCH(D994,tt_Type,0))="",E994&amp;"",INDEX(tt_Other,MATCH(D994,tt_Type,0))),""))</f>
        <v/>
      </c>
      <c r="W994" s="68">
        <f>IF(OR(TaxOn&lt;&gt;"Yes",NOT(ISNUMBER(M994))),0,IF(IFERROR(INDEX(tt_Tax,MATCH(D994,tt_Type,0)),"No")="Yes",M994,0))</f>
        <v/>
      </c>
      <c r="X994" s="67">
        <f>IF(T994=1,"",IF(C994="","Missing transaction date",IF(NOT(ISNUMBER(C994)),"Invalid date",IF(OR(C994&lt;DATE(2000,1,1),C994&gt;DATE(2099,12,31)),"Invalid date",IF(D994="","Select a type",IF(U994="","Unknown type: "&amp;D994,IF(V994="","Select an account (Category)",IF(ISNA(MATCH(V994,coa_Name,0)),"Unknown account: "&amp;V994,IF(K994="","Select Paid From / Deposited To",IF(ISNA(MATCH(K994,coa_Name,0)),"Unknown account: "&amp;K994,IF(NOT(ISNUMBER(L994)),"Enter an amount",IF(L994=0,"Enter an amount",IF(ABS(W994)&gt;ABS(L994),"Tax is larger than the amount","")))))))))))))</f>
        <v/>
      </c>
      <c r="Y994" s="67">
        <f>IF(OR(T994=1,X994&lt;&gt;""),"",IF(AND(B994&lt;&gt;"",COUNTIF(tx_ID,B994)&gt;1),"Duplicate transaction ID",IF(AND(L994&lt;0,D994&lt;&gt;"Adjustment"),"Negative amount — check this entry",IF(AND(D994="Customer Payment",G994=""),"Add the customer",IF(AND(D994="Customer Payment",OR(J994="",COUNTIF(ar_No,J994&amp;"")=0)),"Invoice # in Reference not found on AR sheet",IF(AND(D994="Bill Payment",H994=""),"Add the vendor",IF(AND(D994="Bill Payment",OR(J994="",COUNTIFS(ap_No,J994&amp;"",ap_Party,H994&amp;"")=0)),"Bill # + vendor not found on AP sheet",IF(AND(ISNUMBER(M994),N(M994)&lt;&gt;0,W994=0),"Tax ignored (tax tracking off, or not allowed for this type)",IF(V994=K994&amp;"","Same account on both sides",IF(AND(ISNUMBER(StartDate),C994&lt;StartDate),"Date is before the accounting start date",IF(AND(D994&lt;&gt;"Adjustment",IFERROR(INDEX(coa_Pay,MATCH(K994&amp;"",coa_Name,0)),"")&lt;&gt;"Yes"),"Paid From / Deposited To is not a payment account","")))))))))))</f>
        <v/>
      </c>
      <c r="Z994" s="67">
        <f>IF(AND(T994=0,X994=""),1,0)</f>
        <v/>
      </c>
      <c r="AA994" s="68">
        <f>IF(Z994=1,IF(U994="In",L994,L994-W994),0)</f>
        <v/>
      </c>
      <c r="AB994" s="68">
        <f>IF(Z994=1,IF(U994="In",L994-W994,L994),0)</f>
        <v/>
      </c>
      <c r="AC994" s="68">
        <f>IF(AND(Z994=1,U994="Out"),W994,0)</f>
        <v/>
      </c>
      <c r="AD994" s="68">
        <f>IF(AND(Z994=1,U994="In"),W994,0)</f>
        <v/>
      </c>
    </row>
    <row r="995">
      <c r="B995" s="62" t="inlineStr">
        <is>
          <t>TX-0989</t>
        </is>
      </c>
      <c r="C995" s="63" t="n"/>
      <c r="D995" s="62" t="n"/>
      <c r="E995" s="62" t="n"/>
      <c r="F995" s="62" t="n"/>
      <c r="G995" s="62" t="n"/>
      <c r="H995" s="62" t="n"/>
      <c r="I995" s="62" t="n"/>
      <c r="J995" s="62" t="n"/>
      <c r="K995" s="62" t="n"/>
      <c r="L995" s="64" t="n"/>
      <c r="M995" s="64" t="n"/>
      <c r="N995" s="62" t="n"/>
      <c r="O995" s="65">
        <f>IF(Z995=1,L995-W995,"")</f>
        <v/>
      </c>
      <c r="P995" s="66">
        <f>IF(V995="","",IFERROR(INDEX(coa_Type,MATCH(V995,coa_Name,0)),""))</f>
        <v/>
      </c>
      <c r="Q995" s="66">
        <f>IF(Z995=1,IF(U995="In",K995&amp;"",V995),"")</f>
        <v/>
      </c>
      <c r="R995" s="66">
        <f>IF(Z995=1,IF(U995="In",V995,K995&amp;""),"")</f>
        <v/>
      </c>
      <c r="S995" s="66">
        <f>IF(X995&lt;&gt;"","⛔ "&amp;X995&amp;" — not posted",IF(Y995&lt;&gt;"","⚠ "&amp;Y995,IF(Z995=1,"✓ OK","")))</f>
        <v/>
      </c>
      <c r="T995" s="67">
        <f>IF(AND(C995="",D995="",E995="",L995="",K995=""),1,0)</f>
        <v/>
      </c>
      <c r="U995" s="67">
        <f>IFERROR(INDEX(tt_Dir,MATCH(D995,tt_Type,0)),"")</f>
        <v/>
      </c>
      <c r="V995" s="67">
        <f>IF(D995="","",IFERROR(IF(INDEX(tt_Other,MATCH(D995,tt_Type,0))="",E995&amp;"",INDEX(tt_Other,MATCH(D995,tt_Type,0))),""))</f>
        <v/>
      </c>
      <c r="W995" s="68">
        <f>IF(OR(TaxOn&lt;&gt;"Yes",NOT(ISNUMBER(M995))),0,IF(IFERROR(INDEX(tt_Tax,MATCH(D995,tt_Type,0)),"No")="Yes",M995,0))</f>
        <v/>
      </c>
      <c r="X995" s="67">
        <f>IF(T995=1,"",IF(C995="","Missing transaction date",IF(NOT(ISNUMBER(C995)),"Invalid date",IF(OR(C995&lt;DATE(2000,1,1),C995&gt;DATE(2099,12,31)),"Invalid date",IF(D995="","Select a type",IF(U995="","Unknown type: "&amp;D995,IF(V995="","Select an account (Category)",IF(ISNA(MATCH(V995,coa_Name,0)),"Unknown account: "&amp;V995,IF(K995="","Select Paid From / Deposited To",IF(ISNA(MATCH(K995,coa_Name,0)),"Unknown account: "&amp;K995,IF(NOT(ISNUMBER(L995)),"Enter an amount",IF(L995=0,"Enter an amount",IF(ABS(W995)&gt;ABS(L995),"Tax is larger than the amount","")))))))))))))</f>
        <v/>
      </c>
      <c r="Y995" s="67">
        <f>IF(OR(T995=1,X995&lt;&gt;""),"",IF(AND(B995&lt;&gt;"",COUNTIF(tx_ID,B995)&gt;1),"Duplicate transaction ID",IF(AND(L995&lt;0,D995&lt;&gt;"Adjustment"),"Negative amount — check this entry",IF(AND(D995="Customer Payment",G995=""),"Add the customer",IF(AND(D995="Customer Payment",OR(J995="",COUNTIF(ar_No,J995&amp;"")=0)),"Invoice # in Reference not found on AR sheet",IF(AND(D995="Bill Payment",H995=""),"Add the vendor",IF(AND(D995="Bill Payment",OR(J995="",COUNTIFS(ap_No,J995&amp;"",ap_Party,H995&amp;"")=0)),"Bill # + vendor not found on AP sheet",IF(AND(ISNUMBER(M995),N(M995)&lt;&gt;0,W995=0),"Tax ignored (tax tracking off, or not allowed for this type)",IF(V995=K995&amp;"","Same account on both sides",IF(AND(ISNUMBER(StartDate),C995&lt;StartDate),"Date is before the accounting start date",IF(AND(D995&lt;&gt;"Adjustment",IFERROR(INDEX(coa_Pay,MATCH(K995&amp;"",coa_Name,0)),"")&lt;&gt;"Yes"),"Paid From / Deposited To is not a payment account","")))))))))))</f>
        <v/>
      </c>
      <c r="Z995" s="67">
        <f>IF(AND(T995=0,X995=""),1,0)</f>
        <v/>
      </c>
      <c r="AA995" s="68">
        <f>IF(Z995=1,IF(U995="In",L995,L995-W995),0)</f>
        <v/>
      </c>
      <c r="AB995" s="68">
        <f>IF(Z995=1,IF(U995="In",L995-W995,L995),0)</f>
        <v/>
      </c>
      <c r="AC995" s="68">
        <f>IF(AND(Z995=1,U995="Out"),W995,0)</f>
        <v/>
      </c>
      <c r="AD995" s="68">
        <f>IF(AND(Z995=1,U995="In"),W995,0)</f>
        <v/>
      </c>
    </row>
    <row r="996">
      <c r="B996" s="62" t="inlineStr">
        <is>
          <t>TX-0990</t>
        </is>
      </c>
      <c r="C996" s="63" t="n"/>
      <c r="D996" s="62" t="n"/>
      <c r="E996" s="62" t="n"/>
      <c r="F996" s="62" t="n"/>
      <c r="G996" s="62" t="n"/>
      <c r="H996" s="62" t="n"/>
      <c r="I996" s="62" t="n"/>
      <c r="J996" s="62" t="n"/>
      <c r="K996" s="62" t="n"/>
      <c r="L996" s="64" t="n"/>
      <c r="M996" s="64" t="n"/>
      <c r="N996" s="62" t="n"/>
      <c r="O996" s="65">
        <f>IF(Z996=1,L996-W996,"")</f>
        <v/>
      </c>
      <c r="P996" s="66">
        <f>IF(V996="","",IFERROR(INDEX(coa_Type,MATCH(V996,coa_Name,0)),""))</f>
        <v/>
      </c>
      <c r="Q996" s="66">
        <f>IF(Z996=1,IF(U996="In",K996&amp;"",V996),"")</f>
        <v/>
      </c>
      <c r="R996" s="66">
        <f>IF(Z996=1,IF(U996="In",V996,K996&amp;""),"")</f>
        <v/>
      </c>
      <c r="S996" s="66">
        <f>IF(X996&lt;&gt;"","⛔ "&amp;X996&amp;" — not posted",IF(Y996&lt;&gt;"","⚠ "&amp;Y996,IF(Z996=1,"✓ OK","")))</f>
        <v/>
      </c>
      <c r="T996" s="67">
        <f>IF(AND(C996="",D996="",E996="",L996="",K996=""),1,0)</f>
        <v/>
      </c>
      <c r="U996" s="67">
        <f>IFERROR(INDEX(tt_Dir,MATCH(D996,tt_Type,0)),"")</f>
        <v/>
      </c>
      <c r="V996" s="67">
        <f>IF(D996="","",IFERROR(IF(INDEX(tt_Other,MATCH(D996,tt_Type,0))="",E996&amp;"",INDEX(tt_Other,MATCH(D996,tt_Type,0))),""))</f>
        <v/>
      </c>
      <c r="W996" s="68">
        <f>IF(OR(TaxOn&lt;&gt;"Yes",NOT(ISNUMBER(M996))),0,IF(IFERROR(INDEX(tt_Tax,MATCH(D996,tt_Type,0)),"No")="Yes",M996,0))</f>
        <v/>
      </c>
      <c r="X996" s="67">
        <f>IF(T996=1,"",IF(C996="","Missing transaction date",IF(NOT(ISNUMBER(C996)),"Invalid date",IF(OR(C996&lt;DATE(2000,1,1),C996&gt;DATE(2099,12,31)),"Invalid date",IF(D996="","Select a type",IF(U996="","Unknown type: "&amp;D996,IF(V996="","Select an account (Category)",IF(ISNA(MATCH(V996,coa_Name,0)),"Unknown account: "&amp;V996,IF(K996="","Select Paid From / Deposited To",IF(ISNA(MATCH(K996,coa_Name,0)),"Unknown account: "&amp;K996,IF(NOT(ISNUMBER(L996)),"Enter an amount",IF(L996=0,"Enter an amount",IF(ABS(W996)&gt;ABS(L996),"Tax is larger than the amount","")))))))))))))</f>
        <v/>
      </c>
      <c r="Y996" s="67">
        <f>IF(OR(T996=1,X996&lt;&gt;""),"",IF(AND(B996&lt;&gt;"",COUNTIF(tx_ID,B996)&gt;1),"Duplicate transaction ID",IF(AND(L996&lt;0,D996&lt;&gt;"Adjustment"),"Negative amount — check this entry",IF(AND(D996="Customer Payment",G996=""),"Add the customer",IF(AND(D996="Customer Payment",OR(J996="",COUNTIF(ar_No,J996&amp;"")=0)),"Invoice # in Reference not found on AR sheet",IF(AND(D996="Bill Payment",H996=""),"Add the vendor",IF(AND(D996="Bill Payment",OR(J996="",COUNTIFS(ap_No,J996&amp;"",ap_Party,H996&amp;"")=0)),"Bill # + vendor not found on AP sheet",IF(AND(ISNUMBER(M996),N(M996)&lt;&gt;0,W996=0),"Tax ignored (tax tracking off, or not allowed for this type)",IF(V996=K996&amp;"","Same account on both sides",IF(AND(ISNUMBER(StartDate),C996&lt;StartDate),"Date is before the accounting start date",IF(AND(D996&lt;&gt;"Adjustment",IFERROR(INDEX(coa_Pay,MATCH(K996&amp;"",coa_Name,0)),"")&lt;&gt;"Yes"),"Paid From / Deposited To is not a payment account","")))))))))))</f>
        <v/>
      </c>
      <c r="Z996" s="67">
        <f>IF(AND(T996=0,X996=""),1,0)</f>
        <v/>
      </c>
      <c r="AA996" s="68">
        <f>IF(Z996=1,IF(U996="In",L996,L996-W996),0)</f>
        <v/>
      </c>
      <c r="AB996" s="68">
        <f>IF(Z996=1,IF(U996="In",L996-W996,L996),0)</f>
        <v/>
      </c>
      <c r="AC996" s="68">
        <f>IF(AND(Z996=1,U996="Out"),W996,0)</f>
        <v/>
      </c>
      <c r="AD996" s="68">
        <f>IF(AND(Z996=1,U996="In"),W996,0)</f>
        <v/>
      </c>
    </row>
    <row r="997">
      <c r="B997" s="62" t="inlineStr">
        <is>
          <t>TX-0991</t>
        </is>
      </c>
      <c r="C997" s="63" t="n"/>
      <c r="D997" s="62" t="n"/>
      <c r="E997" s="62" t="n"/>
      <c r="F997" s="62" t="n"/>
      <c r="G997" s="62" t="n"/>
      <c r="H997" s="62" t="n"/>
      <c r="I997" s="62" t="n"/>
      <c r="J997" s="62" t="n"/>
      <c r="K997" s="62" t="n"/>
      <c r="L997" s="64" t="n"/>
      <c r="M997" s="64" t="n"/>
      <c r="N997" s="62" t="n"/>
      <c r="O997" s="65">
        <f>IF(Z997=1,L997-W997,"")</f>
        <v/>
      </c>
      <c r="P997" s="66">
        <f>IF(V997="","",IFERROR(INDEX(coa_Type,MATCH(V997,coa_Name,0)),""))</f>
        <v/>
      </c>
      <c r="Q997" s="66">
        <f>IF(Z997=1,IF(U997="In",K997&amp;"",V997),"")</f>
        <v/>
      </c>
      <c r="R997" s="66">
        <f>IF(Z997=1,IF(U997="In",V997,K997&amp;""),"")</f>
        <v/>
      </c>
      <c r="S997" s="66">
        <f>IF(X997&lt;&gt;"","⛔ "&amp;X997&amp;" — not posted",IF(Y997&lt;&gt;"","⚠ "&amp;Y997,IF(Z997=1,"✓ OK","")))</f>
        <v/>
      </c>
      <c r="T997" s="67">
        <f>IF(AND(C997="",D997="",E997="",L997="",K997=""),1,0)</f>
        <v/>
      </c>
      <c r="U997" s="67">
        <f>IFERROR(INDEX(tt_Dir,MATCH(D997,tt_Type,0)),"")</f>
        <v/>
      </c>
      <c r="V997" s="67">
        <f>IF(D997="","",IFERROR(IF(INDEX(tt_Other,MATCH(D997,tt_Type,0))="",E997&amp;"",INDEX(tt_Other,MATCH(D997,tt_Type,0))),""))</f>
        <v/>
      </c>
      <c r="W997" s="68">
        <f>IF(OR(TaxOn&lt;&gt;"Yes",NOT(ISNUMBER(M997))),0,IF(IFERROR(INDEX(tt_Tax,MATCH(D997,tt_Type,0)),"No")="Yes",M997,0))</f>
        <v/>
      </c>
      <c r="X997" s="67">
        <f>IF(T997=1,"",IF(C997="","Missing transaction date",IF(NOT(ISNUMBER(C997)),"Invalid date",IF(OR(C997&lt;DATE(2000,1,1),C997&gt;DATE(2099,12,31)),"Invalid date",IF(D997="","Select a type",IF(U997="","Unknown type: "&amp;D997,IF(V997="","Select an account (Category)",IF(ISNA(MATCH(V997,coa_Name,0)),"Unknown account: "&amp;V997,IF(K997="","Select Paid From / Deposited To",IF(ISNA(MATCH(K997,coa_Name,0)),"Unknown account: "&amp;K997,IF(NOT(ISNUMBER(L997)),"Enter an amount",IF(L997=0,"Enter an amount",IF(ABS(W997)&gt;ABS(L997),"Tax is larger than the amount","")))))))))))))</f>
        <v/>
      </c>
      <c r="Y997" s="67">
        <f>IF(OR(T997=1,X997&lt;&gt;""),"",IF(AND(B997&lt;&gt;"",COUNTIF(tx_ID,B997)&gt;1),"Duplicate transaction ID",IF(AND(L997&lt;0,D997&lt;&gt;"Adjustment"),"Negative amount — check this entry",IF(AND(D997="Customer Payment",G997=""),"Add the customer",IF(AND(D997="Customer Payment",OR(J997="",COUNTIF(ar_No,J997&amp;"")=0)),"Invoice # in Reference not found on AR sheet",IF(AND(D997="Bill Payment",H997=""),"Add the vendor",IF(AND(D997="Bill Payment",OR(J997="",COUNTIFS(ap_No,J997&amp;"",ap_Party,H997&amp;"")=0)),"Bill # + vendor not found on AP sheet",IF(AND(ISNUMBER(M997),N(M997)&lt;&gt;0,W997=0),"Tax ignored (tax tracking off, or not allowed for this type)",IF(V997=K997&amp;"","Same account on both sides",IF(AND(ISNUMBER(StartDate),C997&lt;StartDate),"Date is before the accounting start date",IF(AND(D997&lt;&gt;"Adjustment",IFERROR(INDEX(coa_Pay,MATCH(K997&amp;"",coa_Name,0)),"")&lt;&gt;"Yes"),"Paid From / Deposited To is not a payment account","")))))))))))</f>
        <v/>
      </c>
      <c r="Z997" s="67">
        <f>IF(AND(T997=0,X997=""),1,0)</f>
        <v/>
      </c>
      <c r="AA997" s="68">
        <f>IF(Z997=1,IF(U997="In",L997,L997-W997),0)</f>
        <v/>
      </c>
      <c r="AB997" s="68">
        <f>IF(Z997=1,IF(U997="In",L997-W997,L997),0)</f>
        <v/>
      </c>
      <c r="AC997" s="68">
        <f>IF(AND(Z997=1,U997="Out"),W997,0)</f>
        <v/>
      </c>
      <c r="AD997" s="68">
        <f>IF(AND(Z997=1,U997="In"),W997,0)</f>
        <v/>
      </c>
    </row>
    <row r="998">
      <c r="B998" s="62" t="inlineStr">
        <is>
          <t>TX-0992</t>
        </is>
      </c>
      <c r="C998" s="63" t="n"/>
      <c r="D998" s="62" t="n"/>
      <c r="E998" s="62" t="n"/>
      <c r="F998" s="62" t="n"/>
      <c r="G998" s="62" t="n"/>
      <c r="H998" s="62" t="n"/>
      <c r="I998" s="62" t="n"/>
      <c r="J998" s="62" t="n"/>
      <c r="K998" s="62" t="n"/>
      <c r="L998" s="64" t="n"/>
      <c r="M998" s="64" t="n"/>
      <c r="N998" s="62" t="n"/>
      <c r="O998" s="65">
        <f>IF(Z998=1,L998-W998,"")</f>
        <v/>
      </c>
      <c r="P998" s="66">
        <f>IF(V998="","",IFERROR(INDEX(coa_Type,MATCH(V998,coa_Name,0)),""))</f>
        <v/>
      </c>
      <c r="Q998" s="66">
        <f>IF(Z998=1,IF(U998="In",K998&amp;"",V998),"")</f>
        <v/>
      </c>
      <c r="R998" s="66">
        <f>IF(Z998=1,IF(U998="In",V998,K998&amp;""),"")</f>
        <v/>
      </c>
      <c r="S998" s="66">
        <f>IF(X998&lt;&gt;"","⛔ "&amp;X998&amp;" — not posted",IF(Y998&lt;&gt;"","⚠ "&amp;Y998,IF(Z998=1,"✓ OK","")))</f>
        <v/>
      </c>
      <c r="T998" s="67">
        <f>IF(AND(C998="",D998="",E998="",L998="",K998=""),1,0)</f>
        <v/>
      </c>
      <c r="U998" s="67">
        <f>IFERROR(INDEX(tt_Dir,MATCH(D998,tt_Type,0)),"")</f>
        <v/>
      </c>
      <c r="V998" s="67">
        <f>IF(D998="","",IFERROR(IF(INDEX(tt_Other,MATCH(D998,tt_Type,0))="",E998&amp;"",INDEX(tt_Other,MATCH(D998,tt_Type,0))),""))</f>
        <v/>
      </c>
      <c r="W998" s="68">
        <f>IF(OR(TaxOn&lt;&gt;"Yes",NOT(ISNUMBER(M998))),0,IF(IFERROR(INDEX(tt_Tax,MATCH(D998,tt_Type,0)),"No")="Yes",M998,0))</f>
        <v/>
      </c>
      <c r="X998" s="67">
        <f>IF(T998=1,"",IF(C998="","Missing transaction date",IF(NOT(ISNUMBER(C998)),"Invalid date",IF(OR(C998&lt;DATE(2000,1,1),C998&gt;DATE(2099,12,31)),"Invalid date",IF(D998="","Select a type",IF(U998="","Unknown type: "&amp;D998,IF(V998="","Select an account (Category)",IF(ISNA(MATCH(V998,coa_Name,0)),"Unknown account: "&amp;V998,IF(K998="","Select Paid From / Deposited To",IF(ISNA(MATCH(K998,coa_Name,0)),"Unknown account: "&amp;K998,IF(NOT(ISNUMBER(L998)),"Enter an amount",IF(L998=0,"Enter an amount",IF(ABS(W998)&gt;ABS(L998),"Tax is larger than the amount","")))))))))))))</f>
        <v/>
      </c>
      <c r="Y998" s="67">
        <f>IF(OR(T998=1,X998&lt;&gt;""),"",IF(AND(B998&lt;&gt;"",COUNTIF(tx_ID,B998)&gt;1),"Duplicate transaction ID",IF(AND(L998&lt;0,D998&lt;&gt;"Adjustment"),"Negative amount — check this entry",IF(AND(D998="Customer Payment",G998=""),"Add the customer",IF(AND(D998="Customer Payment",OR(J998="",COUNTIF(ar_No,J998&amp;"")=0)),"Invoice # in Reference not found on AR sheet",IF(AND(D998="Bill Payment",H998=""),"Add the vendor",IF(AND(D998="Bill Payment",OR(J998="",COUNTIFS(ap_No,J998&amp;"",ap_Party,H998&amp;"")=0)),"Bill # + vendor not found on AP sheet",IF(AND(ISNUMBER(M998),N(M998)&lt;&gt;0,W998=0),"Tax ignored (tax tracking off, or not allowed for this type)",IF(V998=K998&amp;"","Same account on both sides",IF(AND(ISNUMBER(StartDate),C998&lt;StartDate),"Date is before the accounting start date",IF(AND(D998&lt;&gt;"Adjustment",IFERROR(INDEX(coa_Pay,MATCH(K998&amp;"",coa_Name,0)),"")&lt;&gt;"Yes"),"Paid From / Deposited To is not a payment account","")))))))))))</f>
        <v/>
      </c>
      <c r="Z998" s="67">
        <f>IF(AND(T998=0,X998=""),1,0)</f>
        <v/>
      </c>
      <c r="AA998" s="68">
        <f>IF(Z998=1,IF(U998="In",L998,L998-W998),0)</f>
        <v/>
      </c>
      <c r="AB998" s="68">
        <f>IF(Z998=1,IF(U998="In",L998-W998,L998),0)</f>
        <v/>
      </c>
      <c r="AC998" s="68">
        <f>IF(AND(Z998=1,U998="Out"),W998,0)</f>
        <v/>
      </c>
      <c r="AD998" s="68">
        <f>IF(AND(Z998=1,U998="In"),W998,0)</f>
        <v/>
      </c>
    </row>
    <row r="999">
      <c r="B999" s="62" t="inlineStr">
        <is>
          <t>TX-0993</t>
        </is>
      </c>
      <c r="C999" s="63" t="n"/>
      <c r="D999" s="62" t="n"/>
      <c r="E999" s="62" t="n"/>
      <c r="F999" s="62" t="n"/>
      <c r="G999" s="62" t="n"/>
      <c r="H999" s="62" t="n"/>
      <c r="I999" s="62" t="n"/>
      <c r="J999" s="62" t="n"/>
      <c r="K999" s="62" t="n"/>
      <c r="L999" s="64" t="n"/>
      <c r="M999" s="64" t="n"/>
      <c r="N999" s="62" t="n"/>
      <c r="O999" s="65">
        <f>IF(Z999=1,L999-W999,"")</f>
        <v/>
      </c>
      <c r="P999" s="66">
        <f>IF(V999="","",IFERROR(INDEX(coa_Type,MATCH(V999,coa_Name,0)),""))</f>
        <v/>
      </c>
      <c r="Q999" s="66">
        <f>IF(Z999=1,IF(U999="In",K999&amp;"",V999),"")</f>
        <v/>
      </c>
      <c r="R999" s="66">
        <f>IF(Z999=1,IF(U999="In",V999,K999&amp;""),"")</f>
        <v/>
      </c>
      <c r="S999" s="66">
        <f>IF(X999&lt;&gt;"","⛔ "&amp;X999&amp;" — not posted",IF(Y999&lt;&gt;"","⚠ "&amp;Y999,IF(Z999=1,"✓ OK","")))</f>
        <v/>
      </c>
      <c r="T999" s="67">
        <f>IF(AND(C999="",D999="",E999="",L999="",K999=""),1,0)</f>
        <v/>
      </c>
      <c r="U999" s="67">
        <f>IFERROR(INDEX(tt_Dir,MATCH(D999,tt_Type,0)),"")</f>
        <v/>
      </c>
      <c r="V999" s="67">
        <f>IF(D999="","",IFERROR(IF(INDEX(tt_Other,MATCH(D999,tt_Type,0))="",E999&amp;"",INDEX(tt_Other,MATCH(D999,tt_Type,0))),""))</f>
        <v/>
      </c>
      <c r="W999" s="68">
        <f>IF(OR(TaxOn&lt;&gt;"Yes",NOT(ISNUMBER(M999))),0,IF(IFERROR(INDEX(tt_Tax,MATCH(D999,tt_Type,0)),"No")="Yes",M999,0))</f>
        <v/>
      </c>
      <c r="X999" s="67">
        <f>IF(T999=1,"",IF(C999="","Missing transaction date",IF(NOT(ISNUMBER(C999)),"Invalid date",IF(OR(C999&lt;DATE(2000,1,1),C999&gt;DATE(2099,12,31)),"Invalid date",IF(D999="","Select a type",IF(U999="","Unknown type: "&amp;D999,IF(V999="","Select an account (Category)",IF(ISNA(MATCH(V999,coa_Name,0)),"Unknown account: "&amp;V999,IF(K999="","Select Paid From / Deposited To",IF(ISNA(MATCH(K999,coa_Name,0)),"Unknown account: "&amp;K999,IF(NOT(ISNUMBER(L999)),"Enter an amount",IF(L999=0,"Enter an amount",IF(ABS(W999)&gt;ABS(L999),"Tax is larger than the amount","")))))))))))))</f>
        <v/>
      </c>
      <c r="Y999" s="67">
        <f>IF(OR(T999=1,X999&lt;&gt;""),"",IF(AND(B999&lt;&gt;"",COUNTIF(tx_ID,B999)&gt;1),"Duplicate transaction ID",IF(AND(L999&lt;0,D999&lt;&gt;"Adjustment"),"Negative amount — check this entry",IF(AND(D999="Customer Payment",G999=""),"Add the customer",IF(AND(D999="Customer Payment",OR(J999="",COUNTIF(ar_No,J999&amp;"")=0)),"Invoice # in Reference not found on AR sheet",IF(AND(D999="Bill Payment",H999=""),"Add the vendor",IF(AND(D999="Bill Payment",OR(J999="",COUNTIFS(ap_No,J999&amp;"",ap_Party,H999&amp;"")=0)),"Bill # + vendor not found on AP sheet",IF(AND(ISNUMBER(M999),N(M999)&lt;&gt;0,W999=0),"Tax ignored (tax tracking off, or not allowed for this type)",IF(V999=K999&amp;"","Same account on both sides",IF(AND(ISNUMBER(StartDate),C999&lt;StartDate),"Date is before the accounting start date",IF(AND(D999&lt;&gt;"Adjustment",IFERROR(INDEX(coa_Pay,MATCH(K999&amp;"",coa_Name,0)),"")&lt;&gt;"Yes"),"Paid From / Deposited To is not a payment account","")))))))))))</f>
        <v/>
      </c>
      <c r="Z999" s="67">
        <f>IF(AND(T999=0,X999=""),1,0)</f>
        <v/>
      </c>
      <c r="AA999" s="68">
        <f>IF(Z999=1,IF(U999="In",L999,L999-W999),0)</f>
        <v/>
      </c>
      <c r="AB999" s="68">
        <f>IF(Z999=1,IF(U999="In",L999-W999,L999),0)</f>
        <v/>
      </c>
      <c r="AC999" s="68">
        <f>IF(AND(Z999=1,U999="Out"),W999,0)</f>
        <v/>
      </c>
      <c r="AD999" s="68">
        <f>IF(AND(Z999=1,U999="In"),W999,0)</f>
        <v/>
      </c>
    </row>
    <row r="1000">
      <c r="B1000" s="62" t="inlineStr">
        <is>
          <t>TX-0994</t>
        </is>
      </c>
      <c r="C1000" s="63" t="n"/>
      <c r="D1000" s="62" t="n"/>
      <c r="E1000" s="62" t="n"/>
      <c r="F1000" s="62" t="n"/>
      <c r="G1000" s="62" t="n"/>
      <c r="H1000" s="62" t="n"/>
      <c r="I1000" s="62" t="n"/>
      <c r="J1000" s="62" t="n"/>
      <c r="K1000" s="62" t="n"/>
      <c r="L1000" s="64" t="n"/>
      <c r="M1000" s="64" t="n"/>
      <c r="N1000" s="62" t="n"/>
      <c r="O1000" s="65">
        <f>IF(Z1000=1,L1000-W1000,"")</f>
        <v/>
      </c>
      <c r="P1000" s="66">
        <f>IF(V1000="","",IFERROR(INDEX(coa_Type,MATCH(V1000,coa_Name,0)),""))</f>
        <v/>
      </c>
      <c r="Q1000" s="66">
        <f>IF(Z1000=1,IF(U1000="In",K1000&amp;"",V1000),"")</f>
        <v/>
      </c>
      <c r="R1000" s="66">
        <f>IF(Z1000=1,IF(U1000="In",V1000,K1000&amp;""),"")</f>
        <v/>
      </c>
      <c r="S1000" s="66">
        <f>IF(X1000&lt;&gt;"","⛔ "&amp;X1000&amp;" — not posted",IF(Y1000&lt;&gt;"","⚠ "&amp;Y1000,IF(Z1000=1,"✓ OK","")))</f>
        <v/>
      </c>
      <c r="T1000" s="67">
        <f>IF(AND(C1000="",D1000="",E1000="",L1000="",K1000=""),1,0)</f>
        <v/>
      </c>
      <c r="U1000" s="67">
        <f>IFERROR(INDEX(tt_Dir,MATCH(D1000,tt_Type,0)),"")</f>
        <v/>
      </c>
      <c r="V1000" s="67">
        <f>IF(D1000="","",IFERROR(IF(INDEX(tt_Other,MATCH(D1000,tt_Type,0))="",E1000&amp;"",INDEX(tt_Other,MATCH(D1000,tt_Type,0))),""))</f>
        <v/>
      </c>
      <c r="W1000" s="68">
        <f>IF(OR(TaxOn&lt;&gt;"Yes",NOT(ISNUMBER(M1000))),0,IF(IFERROR(INDEX(tt_Tax,MATCH(D1000,tt_Type,0)),"No")="Yes",M1000,0))</f>
        <v/>
      </c>
      <c r="X1000" s="67">
        <f>IF(T1000=1,"",IF(C1000="","Missing transaction date",IF(NOT(ISNUMBER(C1000)),"Invalid date",IF(OR(C1000&lt;DATE(2000,1,1),C1000&gt;DATE(2099,12,31)),"Invalid date",IF(D1000="","Select a type",IF(U1000="","Unknown type: "&amp;D1000,IF(V1000="","Select an account (Category)",IF(ISNA(MATCH(V1000,coa_Name,0)),"Unknown account: "&amp;V1000,IF(K1000="","Select Paid From / Deposited To",IF(ISNA(MATCH(K1000,coa_Name,0)),"Unknown account: "&amp;K1000,IF(NOT(ISNUMBER(L1000)),"Enter an amount",IF(L1000=0,"Enter an amount",IF(ABS(W1000)&gt;ABS(L1000),"Tax is larger than the amount","")))))))))))))</f>
        <v/>
      </c>
      <c r="Y1000" s="67">
        <f>IF(OR(T1000=1,X1000&lt;&gt;""),"",IF(AND(B1000&lt;&gt;"",COUNTIF(tx_ID,B1000)&gt;1),"Duplicate transaction ID",IF(AND(L1000&lt;0,D1000&lt;&gt;"Adjustment"),"Negative amount — check this entry",IF(AND(D1000="Customer Payment",G1000=""),"Add the customer",IF(AND(D1000="Customer Payment",OR(J1000="",COUNTIF(ar_No,J1000&amp;"")=0)),"Invoice # in Reference not found on AR sheet",IF(AND(D1000="Bill Payment",H1000=""),"Add the vendor",IF(AND(D1000="Bill Payment",OR(J1000="",COUNTIFS(ap_No,J1000&amp;"",ap_Party,H1000&amp;"")=0)),"Bill # + vendor not found on AP sheet",IF(AND(ISNUMBER(M1000),N(M1000)&lt;&gt;0,W1000=0),"Tax ignored (tax tracking off, or not allowed for this type)",IF(V1000=K1000&amp;"","Same account on both sides",IF(AND(ISNUMBER(StartDate),C1000&lt;StartDate),"Date is before the accounting start date",IF(AND(D1000&lt;&gt;"Adjustment",IFERROR(INDEX(coa_Pay,MATCH(K1000&amp;"",coa_Name,0)),"")&lt;&gt;"Yes"),"Paid From / Deposited To is not a payment account","")))))))))))</f>
        <v/>
      </c>
      <c r="Z1000" s="67">
        <f>IF(AND(T1000=0,X1000=""),1,0)</f>
        <v/>
      </c>
      <c r="AA1000" s="68">
        <f>IF(Z1000=1,IF(U1000="In",L1000,L1000-W1000),0)</f>
        <v/>
      </c>
      <c r="AB1000" s="68">
        <f>IF(Z1000=1,IF(U1000="In",L1000-W1000,L1000),0)</f>
        <v/>
      </c>
      <c r="AC1000" s="68">
        <f>IF(AND(Z1000=1,U1000="Out"),W1000,0)</f>
        <v/>
      </c>
      <c r="AD1000" s="68">
        <f>IF(AND(Z1000=1,U1000="In"),W1000,0)</f>
        <v/>
      </c>
    </row>
    <row r="1001">
      <c r="B1001" s="62" t="inlineStr">
        <is>
          <t>TX-0995</t>
        </is>
      </c>
      <c r="C1001" s="63" t="n"/>
      <c r="D1001" s="62" t="n"/>
      <c r="E1001" s="62" t="n"/>
      <c r="F1001" s="62" t="n"/>
      <c r="G1001" s="62" t="n"/>
      <c r="H1001" s="62" t="n"/>
      <c r="I1001" s="62" t="n"/>
      <c r="J1001" s="62" t="n"/>
      <c r="K1001" s="62" t="n"/>
      <c r="L1001" s="64" t="n"/>
      <c r="M1001" s="64" t="n"/>
      <c r="N1001" s="62" t="n"/>
      <c r="O1001" s="65">
        <f>IF(Z1001=1,L1001-W1001,"")</f>
        <v/>
      </c>
      <c r="P1001" s="66">
        <f>IF(V1001="","",IFERROR(INDEX(coa_Type,MATCH(V1001,coa_Name,0)),""))</f>
        <v/>
      </c>
      <c r="Q1001" s="66">
        <f>IF(Z1001=1,IF(U1001="In",K1001&amp;"",V1001),"")</f>
        <v/>
      </c>
      <c r="R1001" s="66">
        <f>IF(Z1001=1,IF(U1001="In",V1001,K1001&amp;""),"")</f>
        <v/>
      </c>
      <c r="S1001" s="66">
        <f>IF(X1001&lt;&gt;"","⛔ "&amp;X1001&amp;" — not posted",IF(Y1001&lt;&gt;"","⚠ "&amp;Y1001,IF(Z1001=1,"✓ OK","")))</f>
        <v/>
      </c>
      <c r="T1001" s="67">
        <f>IF(AND(C1001="",D1001="",E1001="",L1001="",K1001=""),1,0)</f>
        <v/>
      </c>
      <c r="U1001" s="67">
        <f>IFERROR(INDEX(tt_Dir,MATCH(D1001,tt_Type,0)),"")</f>
        <v/>
      </c>
      <c r="V1001" s="67">
        <f>IF(D1001="","",IFERROR(IF(INDEX(tt_Other,MATCH(D1001,tt_Type,0))="",E1001&amp;"",INDEX(tt_Other,MATCH(D1001,tt_Type,0))),""))</f>
        <v/>
      </c>
      <c r="W1001" s="68">
        <f>IF(OR(TaxOn&lt;&gt;"Yes",NOT(ISNUMBER(M1001))),0,IF(IFERROR(INDEX(tt_Tax,MATCH(D1001,tt_Type,0)),"No")="Yes",M1001,0))</f>
        <v/>
      </c>
      <c r="X1001" s="67">
        <f>IF(T1001=1,"",IF(C1001="","Missing transaction date",IF(NOT(ISNUMBER(C1001)),"Invalid date",IF(OR(C1001&lt;DATE(2000,1,1),C1001&gt;DATE(2099,12,31)),"Invalid date",IF(D1001="","Select a type",IF(U1001="","Unknown type: "&amp;D1001,IF(V1001="","Select an account (Category)",IF(ISNA(MATCH(V1001,coa_Name,0)),"Unknown account: "&amp;V1001,IF(K1001="","Select Paid From / Deposited To",IF(ISNA(MATCH(K1001,coa_Name,0)),"Unknown account: "&amp;K1001,IF(NOT(ISNUMBER(L1001)),"Enter an amount",IF(L1001=0,"Enter an amount",IF(ABS(W1001)&gt;ABS(L1001),"Tax is larger than the amount","")))))))))))))</f>
        <v/>
      </c>
      <c r="Y1001" s="67">
        <f>IF(OR(T1001=1,X1001&lt;&gt;""),"",IF(AND(B1001&lt;&gt;"",COUNTIF(tx_ID,B1001)&gt;1),"Duplicate transaction ID",IF(AND(L1001&lt;0,D1001&lt;&gt;"Adjustment"),"Negative amount — check this entry",IF(AND(D1001="Customer Payment",G1001=""),"Add the customer",IF(AND(D1001="Customer Payment",OR(J1001="",COUNTIF(ar_No,J1001&amp;"")=0)),"Invoice # in Reference not found on AR sheet",IF(AND(D1001="Bill Payment",H1001=""),"Add the vendor",IF(AND(D1001="Bill Payment",OR(J1001="",COUNTIFS(ap_No,J1001&amp;"",ap_Party,H1001&amp;"")=0)),"Bill # + vendor not found on AP sheet",IF(AND(ISNUMBER(M1001),N(M1001)&lt;&gt;0,W1001=0),"Tax ignored (tax tracking off, or not allowed for this type)",IF(V1001=K1001&amp;"","Same account on both sides",IF(AND(ISNUMBER(StartDate),C1001&lt;StartDate),"Date is before the accounting start date",IF(AND(D1001&lt;&gt;"Adjustment",IFERROR(INDEX(coa_Pay,MATCH(K1001&amp;"",coa_Name,0)),"")&lt;&gt;"Yes"),"Paid From / Deposited To is not a payment account","")))))))))))</f>
        <v/>
      </c>
      <c r="Z1001" s="67">
        <f>IF(AND(T1001=0,X1001=""),1,0)</f>
        <v/>
      </c>
      <c r="AA1001" s="68">
        <f>IF(Z1001=1,IF(U1001="In",L1001,L1001-W1001),0)</f>
        <v/>
      </c>
      <c r="AB1001" s="68">
        <f>IF(Z1001=1,IF(U1001="In",L1001-W1001,L1001),0)</f>
        <v/>
      </c>
      <c r="AC1001" s="68">
        <f>IF(AND(Z1001=1,U1001="Out"),W1001,0)</f>
        <v/>
      </c>
      <c r="AD1001" s="68">
        <f>IF(AND(Z1001=1,U1001="In"),W1001,0)</f>
        <v/>
      </c>
    </row>
    <row r="1002">
      <c r="B1002" s="62" t="inlineStr">
        <is>
          <t>TX-0996</t>
        </is>
      </c>
      <c r="C1002" s="63" t="n"/>
      <c r="D1002" s="62" t="n"/>
      <c r="E1002" s="62" t="n"/>
      <c r="F1002" s="62" t="n"/>
      <c r="G1002" s="62" t="n"/>
      <c r="H1002" s="62" t="n"/>
      <c r="I1002" s="62" t="n"/>
      <c r="J1002" s="62" t="n"/>
      <c r="K1002" s="62" t="n"/>
      <c r="L1002" s="64" t="n"/>
      <c r="M1002" s="64" t="n"/>
      <c r="N1002" s="62" t="n"/>
      <c r="O1002" s="65">
        <f>IF(Z1002=1,L1002-W1002,"")</f>
        <v/>
      </c>
      <c r="P1002" s="66">
        <f>IF(V1002="","",IFERROR(INDEX(coa_Type,MATCH(V1002,coa_Name,0)),""))</f>
        <v/>
      </c>
      <c r="Q1002" s="66">
        <f>IF(Z1002=1,IF(U1002="In",K1002&amp;"",V1002),"")</f>
        <v/>
      </c>
      <c r="R1002" s="66">
        <f>IF(Z1002=1,IF(U1002="In",V1002,K1002&amp;""),"")</f>
        <v/>
      </c>
      <c r="S1002" s="66">
        <f>IF(X1002&lt;&gt;"","⛔ "&amp;X1002&amp;" — not posted",IF(Y1002&lt;&gt;"","⚠ "&amp;Y1002,IF(Z1002=1,"✓ OK","")))</f>
        <v/>
      </c>
      <c r="T1002" s="67">
        <f>IF(AND(C1002="",D1002="",E1002="",L1002="",K1002=""),1,0)</f>
        <v/>
      </c>
      <c r="U1002" s="67">
        <f>IFERROR(INDEX(tt_Dir,MATCH(D1002,tt_Type,0)),"")</f>
        <v/>
      </c>
      <c r="V1002" s="67">
        <f>IF(D1002="","",IFERROR(IF(INDEX(tt_Other,MATCH(D1002,tt_Type,0))="",E1002&amp;"",INDEX(tt_Other,MATCH(D1002,tt_Type,0))),""))</f>
        <v/>
      </c>
      <c r="W1002" s="68">
        <f>IF(OR(TaxOn&lt;&gt;"Yes",NOT(ISNUMBER(M1002))),0,IF(IFERROR(INDEX(tt_Tax,MATCH(D1002,tt_Type,0)),"No")="Yes",M1002,0))</f>
        <v/>
      </c>
      <c r="X1002" s="67">
        <f>IF(T1002=1,"",IF(C1002="","Missing transaction date",IF(NOT(ISNUMBER(C1002)),"Invalid date",IF(OR(C1002&lt;DATE(2000,1,1),C1002&gt;DATE(2099,12,31)),"Invalid date",IF(D1002="","Select a type",IF(U1002="","Unknown type: "&amp;D1002,IF(V1002="","Select an account (Category)",IF(ISNA(MATCH(V1002,coa_Name,0)),"Unknown account: "&amp;V1002,IF(K1002="","Select Paid From / Deposited To",IF(ISNA(MATCH(K1002,coa_Name,0)),"Unknown account: "&amp;K1002,IF(NOT(ISNUMBER(L1002)),"Enter an amount",IF(L1002=0,"Enter an amount",IF(ABS(W1002)&gt;ABS(L1002),"Tax is larger than the amount","")))))))))))))</f>
        <v/>
      </c>
      <c r="Y1002" s="67">
        <f>IF(OR(T1002=1,X1002&lt;&gt;""),"",IF(AND(B1002&lt;&gt;"",COUNTIF(tx_ID,B1002)&gt;1),"Duplicate transaction ID",IF(AND(L1002&lt;0,D1002&lt;&gt;"Adjustment"),"Negative amount — check this entry",IF(AND(D1002="Customer Payment",G1002=""),"Add the customer",IF(AND(D1002="Customer Payment",OR(J1002="",COUNTIF(ar_No,J1002&amp;"")=0)),"Invoice # in Reference not found on AR sheet",IF(AND(D1002="Bill Payment",H1002=""),"Add the vendor",IF(AND(D1002="Bill Payment",OR(J1002="",COUNTIFS(ap_No,J1002&amp;"",ap_Party,H1002&amp;"")=0)),"Bill # + vendor not found on AP sheet",IF(AND(ISNUMBER(M1002),N(M1002)&lt;&gt;0,W1002=0),"Tax ignored (tax tracking off, or not allowed for this type)",IF(V1002=K1002&amp;"","Same account on both sides",IF(AND(ISNUMBER(StartDate),C1002&lt;StartDate),"Date is before the accounting start date",IF(AND(D1002&lt;&gt;"Adjustment",IFERROR(INDEX(coa_Pay,MATCH(K1002&amp;"",coa_Name,0)),"")&lt;&gt;"Yes"),"Paid From / Deposited To is not a payment account","")))))))))))</f>
        <v/>
      </c>
      <c r="Z1002" s="67">
        <f>IF(AND(T1002=0,X1002=""),1,0)</f>
        <v/>
      </c>
      <c r="AA1002" s="68">
        <f>IF(Z1002=1,IF(U1002="In",L1002,L1002-W1002),0)</f>
        <v/>
      </c>
      <c r="AB1002" s="68">
        <f>IF(Z1002=1,IF(U1002="In",L1002-W1002,L1002),0)</f>
        <v/>
      </c>
      <c r="AC1002" s="68">
        <f>IF(AND(Z1002=1,U1002="Out"),W1002,0)</f>
        <v/>
      </c>
      <c r="AD1002" s="68">
        <f>IF(AND(Z1002=1,U1002="In"),W1002,0)</f>
        <v/>
      </c>
    </row>
    <row r="1003">
      <c r="B1003" s="62" t="inlineStr">
        <is>
          <t>TX-0997</t>
        </is>
      </c>
      <c r="C1003" s="63" t="n"/>
      <c r="D1003" s="62" t="n"/>
      <c r="E1003" s="62" t="n"/>
      <c r="F1003" s="62" t="n"/>
      <c r="G1003" s="62" t="n"/>
      <c r="H1003" s="62" t="n"/>
      <c r="I1003" s="62" t="n"/>
      <c r="J1003" s="62" t="n"/>
      <c r="K1003" s="62" t="n"/>
      <c r="L1003" s="64" t="n"/>
      <c r="M1003" s="64" t="n"/>
      <c r="N1003" s="62" t="n"/>
      <c r="O1003" s="65">
        <f>IF(Z1003=1,L1003-W1003,"")</f>
        <v/>
      </c>
      <c r="P1003" s="66">
        <f>IF(V1003="","",IFERROR(INDEX(coa_Type,MATCH(V1003,coa_Name,0)),""))</f>
        <v/>
      </c>
      <c r="Q1003" s="66">
        <f>IF(Z1003=1,IF(U1003="In",K1003&amp;"",V1003),"")</f>
        <v/>
      </c>
      <c r="R1003" s="66">
        <f>IF(Z1003=1,IF(U1003="In",V1003,K1003&amp;""),"")</f>
        <v/>
      </c>
      <c r="S1003" s="66">
        <f>IF(X1003&lt;&gt;"","⛔ "&amp;X1003&amp;" — not posted",IF(Y1003&lt;&gt;"","⚠ "&amp;Y1003,IF(Z1003=1,"✓ OK","")))</f>
        <v/>
      </c>
      <c r="T1003" s="67">
        <f>IF(AND(C1003="",D1003="",E1003="",L1003="",K1003=""),1,0)</f>
        <v/>
      </c>
      <c r="U1003" s="67">
        <f>IFERROR(INDEX(tt_Dir,MATCH(D1003,tt_Type,0)),"")</f>
        <v/>
      </c>
      <c r="V1003" s="67">
        <f>IF(D1003="","",IFERROR(IF(INDEX(tt_Other,MATCH(D1003,tt_Type,0))="",E1003&amp;"",INDEX(tt_Other,MATCH(D1003,tt_Type,0))),""))</f>
        <v/>
      </c>
      <c r="W1003" s="68">
        <f>IF(OR(TaxOn&lt;&gt;"Yes",NOT(ISNUMBER(M1003))),0,IF(IFERROR(INDEX(tt_Tax,MATCH(D1003,tt_Type,0)),"No")="Yes",M1003,0))</f>
        <v/>
      </c>
      <c r="X1003" s="67">
        <f>IF(T1003=1,"",IF(C1003="","Missing transaction date",IF(NOT(ISNUMBER(C1003)),"Invalid date",IF(OR(C1003&lt;DATE(2000,1,1),C1003&gt;DATE(2099,12,31)),"Invalid date",IF(D1003="","Select a type",IF(U1003="","Unknown type: "&amp;D1003,IF(V1003="","Select an account (Category)",IF(ISNA(MATCH(V1003,coa_Name,0)),"Unknown account: "&amp;V1003,IF(K1003="","Select Paid From / Deposited To",IF(ISNA(MATCH(K1003,coa_Name,0)),"Unknown account: "&amp;K1003,IF(NOT(ISNUMBER(L1003)),"Enter an amount",IF(L1003=0,"Enter an amount",IF(ABS(W1003)&gt;ABS(L1003),"Tax is larger than the amount","")))))))))))))</f>
        <v/>
      </c>
      <c r="Y1003" s="67">
        <f>IF(OR(T1003=1,X1003&lt;&gt;""),"",IF(AND(B1003&lt;&gt;"",COUNTIF(tx_ID,B1003)&gt;1),"Duplicate transaction ID",IF(AND(L1003&lt;0,D1003&lt;&gt;"Adjustment"),"Negative amount — check this entry",IF(AND(D1003="Customer Payment",G1003=""),"Add the customer",IF(AND(D1003="Customer Payment",OR(J1003="",COUNTIF(ar_No,J1003&amp;"")=0)),"Invoice # in Reference not found on AR sheet",IF(AND(D1003="Bill Payment",H1003=""),"Add the vendor",IF(AND(D1003="Bill Payment",OR(J1003="",COUNTIFS(ap_No,J1003&amp;"",ap_Party,H1003&amp;"")=0)),"Bill # + vendor not found on AP sheet",IF(AND(ISNUMBER(M1003),N(M1003)&lt;&gt;0,W1003=0),"Tax ignored (tax tracking off, or not allowed for this type)",IF(V1003=K1003&amp;"","Same account on both sides",IF(AND(ISNUMBER(StartDate),C1003&lt;StartDate),"Date is before the accounting start date",IF(AND(D1003&lt;&gt;"Adjustment",IFERROR(INDEX(coa_Pay,MATCH(K1003&amp;"",coa_Name,0)),"")&lt;&gt;"Yes"),"Paid From / Deposited To is not a payment account","")))))))))))</f>
        <v/>
      </c>
      <c r="Z1003" s="67">
        <f>IF(AND(T1003=0,X1003=""),1,0)</f>
        <v/>
      </c>
      <c r="AA1003" s="68">
        <f>IF(Z1003=1,IF(U1003="In",L1003,L1003-W1003),0)</f>
        <v/>
      </c>
      <c r="AB1003" s="68">
        <f>IF(Z1003=1,IF(U1003="In",L1003-W1003,L1003),0)</f>
        <v/>
      </c>
      <c r="AC1003" s="68">
        <f>IF(AND(Z1003=1,U1003="Out"),W1003,0)</f>
        <v/>
      </c>
      <c r="AD1003" s="68">
        <f>IF(AND(Z1003=1,U1003="In"),W1003,0)</f>
        <v/>
      </c>
    </row>
    <row r="1004">
      <c r="B1004" s="62" t="inlineStr">
        <is>
          <t>TX-0998</t>
        </is>
      </c>
      <c r="C1004" s="63" t="n"/>
      <c r="D1004" s="62" t="n"/>
      <c r="E1004" s="62" t="n"/>
      <c r="F1004" s="62" t="n"/>
      <c r="G1004" s="62" t="n"/>
      <c r="H1004" s="62" t="n"/>
      <c r="I1004" s="62" t="n"/>
      <c r="J1004" s="62" t="n"/>
      <c r="K1004" s="62" t="n"/>
      <c r="L1004" s="64" t="n"/>
      <c r="M1004" s="64" t="n"/>
      <c r="N1004" s="62" t="n"/>
      <c r="O1004" s="65">
        <f>IF(Z1004=1,L1004-W1004,"")</f>
        <v/>
      </c>
      <c r="P1004" s="66">
        <f>IF(V1004="","",IFERROR(INDEX(coa_Type,MATCH(V1004,coa_Name,0)),""))</f>
        <v/>
      </c>
      <c r="Q1004" s="66">
        <f>IF(Z1004=1,IF(U1004="In",K1004&amp;"",V1004),"")</f>
        <v/>
      </c>
      <c r="R1004" s="66">
        <f>IF(Z1004=1,IF(U1004="In",V1004,K1004&amp;""),"")</f>
        <v/>
      </c>
      <c r="S1004" s="66">
        <f>IF(X1004&lt;&gt;"","⛔ "&amp;X1004&amp;" — not posted",IF(Y1004&lt;&gt;"","⚠ "&amp;Y1004,IF(Z1004=1,"✓ OK","")))</f>
        <v/>
      </c>
      <c r="T1004" s="67">
        <f>IF(AND(C1004="",D1004="",E1004="",L1004="",K1004=""),1,0)</f>
        <v/>
      </c>
      <c r="U1004" s="67">
        <f>IFERROR(INDEX(tt_Dir,MATCH(D1004,tt_Type,0)),"")</f>
        <v/>
      </c>
      <c r="V1004" s="67">
        <f>IF(D1004="","",IFERROR(IF(INDEX(tt_Other,MATCH(D1004,tt_Type,0))="",E1004&amp;"",INDEX(tt_Other,MATCH(D1004,tt_Type,0))),""))</f>
        <v/>
      </c>
      <c r="W1004" s="68">
        <f>IF(OR(TaxOn&lt;&gt;"Yes",NOT(ISNUMBER(M1004))),0,IF(IFERROR(INDEX(tt_Tax,MATCH(D1004,tt_Type,0)),"No")="Yes",M1004,0))</f>
        <v/>
      </c>
      <c r="X1004" s="67">
        <f>IF(T1004=1,"",IF(C1004="","Missing transaction date",IF(NOT(ISNUMBER(C1004)),"Invalid date",IF(OR(C1004&lt;DATE(2000,1,1),C1004&gt;DATE(2099,12,31)),"Invalid date",IF(D1004="","Select a type",IF(U1004="","Unknown type: "&amp;D1004,IF(V1004="","Select an account (Category)",IF(ISNA(MATCH(V1004,coa_Name,0)),"Unknown account: "&amp;V1004,IF(K1004="","Select Paid From / Deposited To",IF(ISNA(MATCH(K1004,coa_Name,0)),"Unknown account: "&amp;K1004,IF(NOT(ISNUMBER(L1004)),"Enter an amount",IF(L1004=0,"Enter an amount",IF(ABS(W1004)&gt;ABS(L1004),"Tax is larger than the amount","")))))))))))))</f>
        <v/>
      </c>
      <c r="Y1004" s="67">
        <f>IF(OR(T1004=1,X1004&lt;&gt;""),"",IF(AND(B1004&lt;&gt;"",COUNTIF(tx_ID,B1004)&gt;1),"Duplicate transaction ID",IF(AND(L1004&lt;0,D1004&lt;&gt;"Adjustment"),"Negative amount — check this entry",IF(AND(D1004="Customer Payment",G1004=""),"Add the customer",IF(AND(D1004="Customer Payment",OR(J1004="",COUNTIF(ar_No,J1004&amp;"")=0)),"Invoice # in Reference not found on AR sheet",IF(AND(D1004="Bill Payment",H1004=""),"Add the vendor",IF(AND(D1004="Bill Payment",OR(J1004="",COUNTIFS(ap_No,J1004&amp;"",ap_Party,H1004&amp;"")=0)),"Bill # + vendor not found on AP sheet",IF(AND(ISNUMBER(M1004),N(M1004)&lt;&gt;0,W1004=0),"Tax ignored (tax tracking off, or not allowed for this type)",IF(V1004=K1004&amp;"","Same account on both sides",IF(AND(ISNUMBER(StartDate),C1004&lt;StartDate),"Date is before the accounting start date",IF(AND(D1004&lt;&gt;"Adjustment",IFERROR(INDEX(coa_Pay,MATCH(K1004&amp;"",coa_Name,0)),"")&lt;&gt;"Yes"),"Paid From / Deposited To is not a payment account","")))))))))))</f>
        <v/>
      </c>
      <c r="Z1004" s="67">
        <f>IF(AND(T1004=0,X1004=""),1,0)</f>
        <v/>
      </c>
      <c r="AA1004" s="68">
        <f>IF(Z1004=1,IF(U1004="In",L1004,L1004-W1004),0)</f>
        <v/>
      </c>
      <c r="AB1004" s="68">
        <f>IF(Z1004=1,IF(U1004="In",L1004-W1004,L1004),0)</f>
        <v/>
      </c>
      <c r="AC1004" s="68">
        <f>IF(AND(Z1004=1,U1004="Out"),W1004,0)</f>
        <v/>
      </c>
      <c r="AD1004" s="68">
        <f>IF(AND(Z1004=1,U1004="In"),W1004,0)</f>
        <v/>
      </c>
    </row>
    <row r="1005">
      <c r="B1005" s="62" t="inlineStr">
        <is>
          <t>TX-0999</t>
        </is>
      </c>
      <c r="C1005" s="63" t="n"/>
      <c r="D1005" s="62" t="n"/>
      <c r="E1005" s="62" t="n"/>
      <c r="F1005" s="62" t="n"/>
      <c r="G1005" s="62" t="n"/>
      <c r="H1005" s="62" t="n"/>
      <c r="I1005" s="62" t="n"/>
      <c r="J1005" s="62" t="n"/>
      <c r="K1005" s="62" t="n"/>
      <c r="L1005" s="64" t="n"/>
      <c r="M1005" s="64" t="n"/>
      <c r="N1005" s="62" t="n"/>
      <c r="O1005" s="65">
        <f>IF(Z1005=1,L1005-W1005,"")</f>
        <v/>
      </c>
      <c r="P1005" s="66">
        <f>IF(V1005="","",IFERROR(INDEX(coa_Type,MATCH(V1005,coa_Name,0)),""))</f>
        <v/>
      </c>
      <c r="Q1005" s="66">
        <f>IF(Z1005=1,IF(U1005="In",K1005&amp;"",V1005),"")</f>
        <v/>
      </c>
      <c r="R1005" s="66">
        <f>IF(Z1005=1,IF(U1005="In",V1005,K1005&amp;""),"")</f>
        <v/>
      </c>
      <c r="S1005" s="66">
        <f>IF(X1005&lt;&gt;"","⛔ "&amp;X1005&amp;" — not posted",IF(Y1005&lt;&gt;"","⚠ "&amp;Y1005,IF(Z1005=1,"✓ OK","")))</f>
        <v/>
      </c>
      <c r="T1005" s="67">
        <f>IF(AND(C1005="",D1005="",E1005="",L1005="",K1005=""),1,0)</f>
        <v/>
      </c>
      <c r="U1005" s="67">
        <f>IFERROR(INDEX(tt_Dir,MATCH(D1005,tt_Type,0)),"")</f>
        <v/>
      </c>
      <c r="V1005" s="67">
        <f>IF(D1005="","",IFERROR(IF(INDEX(tt_Other,MATCH(D1005,tt_Type,0))="",E1005&amp;"",INDEX(tt_Other,MATCH(D1005,tt_Type,0))),""))</f>
        <v/>
      </c>
      <c r="W1005" s="68">
        <f>IF(OR(TaxOn&lt;&gt;"Yes",NOT(ISNUMBER(M1005))),0,IF(IFERROR(INDEX(tt_Tax,MATCH(D1005,tt_Type,0)),"No")="Yes",M1005,0))</f>
        <v/>
      </c>
      <c r="X1005" s="67">
        <f>IF(T1005=1,"",IF(C1005="","Missing transaction date",IF(NOT(ISNUMBER(C1005)),"Invalid date",IF(OR(C1005&lt;DATE(2000,1,1),C1005&gt;DATE(2099,12,31)),"Invalid date",IF(D1005="","Select a type",IF(U1005="","Unknown type: "&amp;D1005,IF(V1005="","Select an account (Category)",IF(ISNA(MATCH(V1005,coa_Name,0)),"Unknown account: "&amp;V1005,IF(K1005="","Select Paid From / Deposited To",IF(ISNA(MATCH(K1005,coa_Name,0)),"Unknown account: "&amp;K1005,IF(NOT(ISNUMBER(L1005)),"Enter an amount",IF(L1005=0,"Enter an amount",IF(ABS(W1005)&gt;ABS(L1005),"Tax is larger than the amount","")))))))))))))</f>
        <v/>
      </c>
      <c r="Y1005" s="67">
        <f>IF(OR(T1005=1,X1005&lt;&gt;""),"",IF(AND(B1005&lt;&gt;"",COUNTIF(tx_ID,B1005)&gt;1),"Duplicate transaction ID",IF(AND(L1005&lt;0,D1005&lt;&gt;"Adjustment"),"Negative amount — check this entry",IF(AND(D1005="Customer Payment",G1005=""),"Add the customer",IF(AND(D1005="Customer Payment",OR(J1005="",COUNTIF(ar_No,J1005&amp;"")=0)),"Invoice # in Reference not found on AR sheet",IF(AND(D1005="Bill Payment",H1005=""),"Add the vendor",IF(AND(D1005="Bill Payment",OR(J1005="",COUNTIFS(ap_No,J1005&amp;"",ap_Party,H1005&amp;"")=0)),"Bill # + vendor not found on AP sheet",IF(AND(ISNUMBER(M1005),N(M1005)&lt;&gt;0,W1005=0),"Tax ignored (tax tracking off, or not allowed for this type)",IF(V1005=K1005&amp;"","Same account on both sides",IF(AND(ISNUMBER(StartDate),C1005&lt;StartDate),"Date is before the accounting start date",IF(AND(D1005&lt;&gt;"Adjustment",IFERROR(INDEX(coa_Pay,MATCH(K1005&amp;"",coa_Name,0)),"")&lt;&gt;"Yes"),"Paid From / Deposited To is not a payment account","")))))))))))</f>
        <v/>
      </c>
      <c r="Z1005" s="67">
        <f>IF(AND(T1005=0,X1005=""),1,0)</f>
        <v/>
      </c>
      <c r="AA1005" s="68">
        <f>IF(Z1005=1,IF(U1005="In",L1005,L1005-W1005),0)</f>
        <v/>
      </c>
      <c r="AB1005" s="68">
        <f>IF(Z1005=1,IF(U1005="In",L1005-W1005,L1005),0)</f>
        <v/>
      </c>
      <c r="AC1005" s="68">
        <f>IF(AND(Z1005=1,U1005="Out"),W1005,0)</f>
        <v/>
      </c>
      <c r="AD1005" s="68">
        <f>IF(AND(Z1005=1,U1005="In"),W1005,0)</f>
        <v/>
      </c>
    </row>
    <row r="1006">
      <c r="B1006" s="62" t="inlineStr">
        <is>
          <t>TX-1000</t>
        </is>
      </c>
      <c r="C1006" s="63" t="n"/>
      <c r="D1006" s="62" t="n"/>
      <c r="E1006" s="62" t="n"/>
      <c r="F1006" s="62" t="n"/>
      <c r="G1006" s="62" t="n"/>
      <c r="H1006" s="62" t="n"/>
      <c r="I1006" s="62" t="n"/>
      <c r="J1006" s="62" t="n"/>
      <c r="K1006" s="62" t="n"/>
      <c r="L1006" s="64" t="n"/>
      <c r="M1006" s="64" t="n"/>
      <c r="N1006" s="62" t="n"/>
      <c r="O1006" s="65">
        <f>IF(Z1006=1,L1006-W1006,"")</f>
        <v/>
      </c>
      <c r="P1006" s="66">
        <f>IF(V1006="","",IFERROR(INDEX(coa_Type,MATCH(V1006,coa_Name,0)),""))</f>
        <v/>
      </c>
      <c r="Q1006" s="66">
        <f>IF(Z1006=1,IF(U1006="In",K1006&amp;"",V1006),"")</f>
        <v/>
      </c>
      <c r="R1006" s="66">
        <f>IF(Z1006=1,IF(U1006="In",V1006,K1006&amp;""),"")</f>
        <v/>
      </c>
      <c r="S1006" s="66">
        <f>IF(X1006&lt;&gt;"","⛔ "&amp;X1006&amp;" — not posted",IF(Y1006&lt;&gt;"","⚠ "&amp;Y1006,IF(Z1006=1,"✓ OK","")))</f>
        <v/>
      </c>
      <c r="T1006" s="67">
        <f>IF(AND(C1006="",D1006="",E1006="",L1006="",K1006=""),1,0)</f>
        <v/>
      </c>
      <c r="U1006" s="67">
        <f>IFERROR(INDEX(tt_Dir,MATCH(D1006,tt_Type,0)),"")</f>
        <v/>
      </c>
      <c r="V1006" s="67">
        <f>IF(D1006="","",IFERROR(IF(INDEX(tt_Other,MATCH(D1006,tt_Type,0))="",E1006&amp;"",INDEX(tt_Other,MATCH(D1006,tt_Type,0))),""))</f>
        <v/>
      </c>
      <c r="W1006" s="68">
        <f>IF(OR(TaxOn&lt;&gt;"Yes",NOT(ISNUMBER(M1006))),0,IF(IFERROR(INDEX(tt_Tax,MATCH(D1006,tt_Type,0)),"No")="Yes",M1006,0))</f>
        <v/>
      </c>
      <c r="X1006" s="67">
        <f>IF(T1006=1,"",IF(C1006="","Missing transaction date",IF(NOT(ISNUMBER(C1006)),"Invalid date",IF(OR(C1006&lt;DATE(2000,1,1),C1006&gt;DATE(2099,12,31)),"Invalid date",IF(D1006="","Select a type",IF(U1006="","Unknown type: "&amp;D1006,IF(V1006="","Select an account (Category)",IF(ISNA(MATCH(V1006,coa_Name,0)),"Unknown account: "&amp;V1006,IF(K1006="","Select Paid From / Deposited To",IF(ISNA(MATCH(K1006,coa_Name,0)),"Unknown account: "&amp;K1006,IF(NOT(ISNUMBER(L1006)),"Enter an amount",IF(L1006=0,"Enter an amount",IF(ABS(W1006)&gt;ABS(L1006),"Tax is larger than the amount","")))))))))))))</f>
        <v/>
      </c>
      <c r="Y1006" s="67">
        <f>IF(OR(T1006=1,X1006&lt;&gt;""),"",IF(AND(B1006&lt;&gt;"",COUNTIF(tx_ID,B1006)&gt;1),"Duplicate transaction ID",IF(AND(L1006&lt;0,D1006&lt;&gt;"Adjustment"),"Negative amount — check this entry",IF(AND(D1006="Customer Payment",G1006=""),"Add the customer",IF(AND(D1006="Customer Payment",OR(J1006="",COUNTIF(ar_No,J1006&amp;"")=0)),"Invoice # in Reference not found on AR sheet",IF(AND(D1006="Bill Payment",H1006=""),"Add the vendor",IF(AND(D1006="Bill Payment",OR(J1006="",COUNTIFS(ap_No,J1006&amp;"",ap_Party,H1006&amp;"")=0)),"Bill # + vendor not found on AP sheet",IF(AND(ISNUMBER(M1006),N(M1006)&lt;&gt;0,W1006=0),"Tax ignored (tax tracking off, or not allowed for this type)",IF(V1006=K1006&amp;"","Same account on both sides",IF(AND(ISNUMBER(StartDate),C1006&lt;StartDate),"Date is before the accounting start date",IF(AND(D1006&lt;&gt;"Adjustment",IFERROR(INDEX(coa_Pay,MATCH(K1006&amp;"",coa_Name,0)),"")&lt;&gt;"Yes"),"Paid From / Deposited To is not a payment account","")))))))))))</f>
        <v/>
      </c>
      <c r="Z1006" s="67">
        <f>IF(AND(T1006=0,X1006=""),1,0)</f>
        <v/>
      </c>
      <c r="AA1006" s="68">
        <f>IF(Z1006=1,IF(U1006="In",L1006,L1006-W1006),0)</f>
        <v/>
      </c>
      <c r="AB1006" s="68">
        <f>IF(Z1006=1,IF(U1006="In",L1006-W1006,L1006),0)</f>
        <v/>
      </c>
      <c r="AC1006" s="68">
        <f>IF(AND(Z1006=1,U1006="Out"),W1006,0)</f>
        <v/>
      </c>
      <c r="AD1006" s="68">
        <f>IF(AND(Z1006=1,U1006="In"),W1006,0)</f>
        <v/>
      </c>
    </row>
    <row r="1007">
      <c r="B1007" s="62" t="inlineStr">
        <is>
          <t>TX-1001</t>
        </is>
      </c>
      <c r="C1007" s="63" t="n"/>
      <c r="D1007" s="62" t="n"/>
      <c r="E1007" s="62" t="n"/>
      <c r="F1007" s="62" t="n"/>
      <c r="G1007" s="62" t="n"/>
      <c r="H1007" s="62" t="n"/>
      <c r="I1007" s="62" t="n"/>
      <c r="J1007" s="62" t="n"/>
      <c r="K1007" s="62" t="n"/>
      <c r="L1007" s="64" t="n"/>
      <c r="M1007" s="64" t="n"/>
      <c r="N1007" s="62" t="n"/>
      <c r="O1007" s="65">
        <f>IF(Z1007=1,L1007-W1007,"")</f>
        <v/>
      </c>
      <c r="P1007" s="66">
        <f>IF(V1007="","",IFERROR(INDEX(coa_Type,MATCH(V1007,coa_Name,0)),""))</f>
        <v/>
      </c>
      <c r="Q1007" s="66">
        <f>IF(Z1007=1,IF(U1007="In",K1007&amp;"",V1007),"")</f>
        <v/>
      </c>
      <c r="R1007" s="66">
        <f>IF(Z1007=1,IF(U1007="In",V1007,K1007&amp;""),"")</f>
        <v/>
      </c>
      <c r="S1007" s="66">
        <f>IF(X1007&lt;&gt;"","⛔ "&amp;X1007&amp;" — not posted",IF(Y1007&lt;&gt;"","⚠ "&amp;Y1007,IF(Z1007=1,"✓ OK","")))</f>
        <v/>
      </c>
      <c r="T1007" s="67">
        <f>IF(AND(C1007="",D1007="",E1007="",L1007="",K1007=""),1,0)</f>
        <v/>
      </c>
      <c r="U1007" s="67">
        <f>IFERROR(INDEX(tt_Dir,MATCH(D1007,tt_Type,0)),"")</f>
        <v/>
      </c>
      <c r="V1007" s="67">
        <f>IF(D1007="","",IFERROR(IF(INDEX(tt_Other,MATCH(D1007,tt_Type,0))="",E1007&amp;"",INDEX(tt_Other,MATCH(D1007,tt_Type,0))),""))</f>
        <v/>
      </c>
      <c r="W1007" s="68">
        <f>IF(OR(TaxOn&lt;&gt;"Yes",NOT(ISNUMBER(M1007))),0,IF(IFERROR(INDEX(tt_Tax,MATCH(D1007,tt_Type,0)),"No")="Yes",M1007,0))</f>
        <v/>
      </c>
      <c r="X1007" s="67">
        <f>IF(T1007=1,"",IF(C1007="","Missing transaction date",IF(NOT(ISNUMBER(C1007)),"Invalid date",IF(OR(C1007&lt;DATE(2000,1,1),C1007&gt;DATE(2099,12,31)),"Invalid date",IF(D1007="","Select a type",IF(U1007="","Unknown type: "&amp;D1007,IF(V1007="","Select an account (Category)",IF(ISNA(MATCH(V1007,coa_Name,0)),"Unknown account: "&amp;V1007,IF(K1007="","Select Paid From / Deposited To",IF(ISNA(MATCH(K1007,coa_Name,0)),"Unknown account: "&amp;K1007,IF(NOT(ISNUMBER(L1007)),"Enter an amount",IF(L1007=0,"Enter an amount",IF(ABS(W1007)&gt;ABS(L1007),"Tax is larger than the amount","")))))))))))))</f>
        <v/>
      </c>
      <c r="Y1007" s="67">
        <f>IF(OR(T1007=1,X1007&lt;&gt;""),"",IF(AND(B1007&lt;&gt;"",COUNTIF(tx_ID,B1007)&gt;1),"Duplicate transaction ID",IF(AND(L1007&lt;0,D1007&lt;&gt;"Adjustment"),"Negative amount — check this entry",IF(AND(D1007="Customer Payment",G1007=""),"Add the customer",IF(AND(D1007="Customer Payment",OR(J1007="",COUNTIF(ar_No,J1007&amp;"")=0)),"Invoice # in Reference not found on AR sheet",IF(AND(D1007="Bill Payment",H1007=""),"Add the vendor",IF(AND(D1007="Bill Payment",OR(J1007="",COUNTIFS(ap_No,J1007&amp;"",ap_Party,H1007&amp;"")=0)),"Bill # + vendor not found on AP sheet",IF(AND(ISNUMBER(M1007),N(M1007)&lt;&gt;0,W1007=0),"Tax ignored (tax tracking off, or not allowed for this type)",IF(V1007=K1007&amp;"","Same account on both sides",IF(AND(ISNUMBER(StartDate),C1007&lt;StartDate),"Date is before the accounting start date",IF(AND(D1007&lt;&gt;"Adjustment",IFERROR(INDEX(coa_Pay,MATCH(K1007&amp;"",coa_Name,0)),"")&lt;&gt;"Yes"),"Paid From / Deposited To is not a payment account","")))))))))))</f>
        <v/>
      </c>
      <c r="Z1007" s="67">
        <f>IF(AND(T1007=0,X1007=""),1,0)</f>
        <v/>
      </c>
      <c r="AA1007" s="68">
        <f>IF(Z1007=1,IF(U1007="In",L1007,L1007-W1007),0)</f>
        <v/>
      </c>
      <c r="AB1007" s="68">
        <f>IF(Z1007=1,IF(U1007="In",L1007-W1007,L1007),0)</f>
        <v/>
      </c>
      <c r="AC1007" s="68">
        <f>IF(AND(Z1007=1,U1007="Out"),W1007,0)</f>
        <v/>
      </c>
      <c r="AD1007" s="68">
        <f>IF(AND(Z1007=1,U1007="In"),W1007,0)</f>
        <v/>
      </c>
    </row>
    <row r="1008">
      <c r="B1008" s="62" t="inlineStr">
        <is>
          <t>TX-1002</t>
        </is>
      </c>
      <c r="C1008" s="63" t="n"/>
      <c r="D1008" s="62" t="n"/>
      <c r="E1008" s="62" t="n"/>
      <c r="F1008" s="62" t="n"/>
      <c r="G1008" s="62" t="n"/>
      <c r="H1008" s="62" t="n"/>
      <c r="I1008" s="62" t="n"/>
      <c r="J1008" s="62" t="n"/>
      <c r="K1008" s="62" t="n"/>
      <c r="L1008" s="64" t="n"/>
      <c r="M1008" s="64" t="n"/>
      <c r="N1008" s="62" t="n"/>
      <c r="O1008" s="65">
        <f>IF(Z1008=1,L1008-W1008,"")</f>
        <v/>
      </c>
      <c r="P1008" s="66">
        <f>IF(V1008="","",IFERROR(INDEX(coa_Type,MATCH(V1008,coa_Name,0)),""))</f>
        <v/>
      </c>
      <c r="Q1008" s="66">
        <f>IF(Z1008=1,IF(U1008="In",K1008&amp;"",V1008),"")</f>
        <v/>
      </c>
      <c r="R1008" s="66">
        <f>IF(Z1008=1,IF(U1008="In",V1008,K1008&amp;""),"")</f>
        <v/>
      </c>
      <c r="S1008" s="66">
        <f>IF(X1008&lt;&gt;"","⛔ "&amp;X1008&amp;" — not posted",IF(Y1008&lt;&gt;"","⚠ "&amp;Y1008,IF(Z1008=1,"✓ OK","")))</f>
        <v/>
      </c>
      <c r="T1008" s="67">
        <f>IF(AND(C1008="",D1008="",E1008="",L1008="",K1008=""),1,0)</f>
        <v/>
      </c>
      <c r="U1008" s="67">
        <f>IFERROR(INDEX(tt_Dir,MATCH(D1008,tt_Type,0)),"")</f>
        <v/>
      </c>
      <c r="V1008" s="67">
        <f>IF(D1008="","",IFERROR(IF(INDEX(tt_Other,MATCH(D1008,tt_Type,0))="",E1008&amp;"",INDEX(tt_Other,MATCH(D1008,tt_Type,0))),""))</f>
        <v/>
      </c>
      <c r="W1008" s="68">
        <f>IF(OR(TaxOn&lt;&gt;"Yes",NOT(ISNUMBER(M1008))),0,IF(IFERROR(INDEX(tt_Tax,MATCH(D1008,tt_Type,0)),"No")="Yes",M1008,0))</f>
        <v/>
      </c>
      <c r="X1008" s="67">
        <f>IF(T1008=1,"",IF(C1008="","Missing transaction date",IF(NOT(ISNUMBER(C1008)),"Invalid date",IF(OR(C1008&lt;DATE(2000,1,1),C1008&gt;DATE(2099,12,31)),"Invalid date",IF(D1008="","Select a type",IF(U1008="","Unknown type: "&amp;D1008,IF(V1008="","Select an account (Category)",IF(ISNA(MATCH(V1008,coa_Name,0)),"Unknown account: "&amp;V1008,IF(K1008="","Select Paid From / Deposited To",IF(ISNA(MATCH(K1008,coa_Name,0)),"Unknown account: "&amp;K1008,IF(NOT(ISNUMBER(L1008)),"Enter an amount",IF(L1008=0,"Enter an amount",IF(ABS(W1008)&gt;ABS(L1008),"Tax is larger than the amount","")))))))))))))</f>
        <v/>
      </c>
      <c r="Y1008" s="67">
        <f>IF(OR(T1008=1,X1008&lt;&gt;""),"",IF(AND(B1008&lt;&gt;"",COUNTIF(tx_ID,B1008)&gt;1),"Duplicate transaction ID",IF(AND(L1008&lt;0,D1008&lt;&gt;"Adjustment"),"Negative amount — check this entry",IF(AND(D1008="Customer Payment",G1008=""),"Add the customer",IF(AND(D1008="Customer Payment",OR(J1008="",COUNTIF(ar_No,J1008&amp;"")=0)),"Invoice # in Reference not found on AR sheet",IF(AND(D1008="Bill Payment",H1008=""),"Add the vendor",IF(AND(D1008="Bill Payment",OR(J1008="",COUNTIFS(ap_No,J1008&amp;"",ap_Party,H1008&amp;"")=0)),"Bill # + vendor not found on AP sheet",IF(AND(ISNUMBER(M1008),N(M1008)&lt;&gt;0,W1008=0),"Tax ignored (tax tracking off, or not allowed for this type)",IF(V1008=K1008&amp;"","Same account on both sides",IF(AND(ISNUMBER(StartDate),C1008&lt;StartDate),"Date is before the accounting start date",IF(AND(D1008&lt;&gt;"Adjustment",IFERROR(INDEX(coa_Pay,MATCH(K1008&amp;"",coa_Name,0)),"")&lt;&gt;"Yes"),"Paid From / Deposited To is not a payment account","")))))))))))</f>
        <v/>
      </c>
      <c r="Z1008" s="67">
        <f>IF(AND(T1008=0,X1008=""),1,0)</f>
        <v/>
      </c>
      <c r="AA1008" s="68">
        <f>IF(Z1008=1,IF(U1008="In",L1008,L1008-W1008),0)</f>
        <v/>
      </c>
      <c r="AB1008" s="68">
        <f>IF(Z1008=1,IF(U1008="In",L1008-W1008,L1008),0)</f>
        <v/>
      </c>
      <c r="AC1008" s="68">
        <f>IF(AND(Z1008=1,U1008="Out"),W1008,0)</f>
        <v/>
      </c>
      <c r="AD1008" s="68">
        <f>IF(AND(Z1008=1,U1008="In"),W1008,0)</f>
        <v/>
      </c>
    </row>
    <row r="1009">
      <c r="B1009" s="62" t="inlineStr">
        <is>
          <t>TX-1003</t>
        </is>
      </c>
      <c r="C1009" s="63" t="n"/>
      <c r="D1009" s="62" t="n"/>
      <c r="E1009" s="62" t="n"/>
      <c r="F1009" s="62" t="n"/>
      <c r="G1009" s="62" t="n"/>
      <c r="H1009" s="62" t="n"/>
      <c r="I1009" s="62" t="n"/>
      <c r="J1009" s="62" t="n"/>
      <c r="K1009" s="62" t="n"/>
      <c r="L1009" s="64" t="n"/>
      <c r="M1009" s="64" t="n"/>
      <c r="N1009" s="62" t="n"/>
      <c r="O1009" s="65">
        <f>IF(Z1009=1,L1009-W1009,"")</f>
        <v/>
      </c>
      <c r="P1009" s="66">
        <f>IF(V1009="","",IFERROR(INDEX(coa_Type,MATCH(V1009,coa_Name,0)),""))</f>
        <v/>
      </c>
      <c r="Q1009" s="66">
        <f>IF(Z1009=1,IF(U1009="In",K1009&amp;"",V1009),"")</f>
        <v/>
      </c>
      <c r="R1009" s="66">
        <f>IF(Z1009=1,IF(U1009="In",V1009,K1009&amp;""),"")</f>
        <v/>
      </c>
      <c r="S1009" s="66">
        <f>IF(X1009&lt;&gt;"","⛔ "&amp;X1009&amp;" — not posted",IF(Y1009&lt;&gt;"","⚠ "&amp;Y1009,IF(Z1009=1,"✓ OK","")))</f>
        <v/>
      </c>
      <c r="T1009" s="67">
        <f>IF(AND(C1009="",D1009="",E1009="",L1009="",K1009=""),1,0)</f>
        <v/>
      </c>
      <c r="U1009" s="67">
        <f>IFERROR(INDEX(tt_Dir,MATCH(D1009,tt_Type,0)),"")</f>
        <v/>
      </c>
      <c r="V1009" s="67">
        <f>IF(D1009="","",IFERROR(IF(INDEX(tt_Other,MATCH(D1009,tt_Type,0))="",E1009&amp;"",INDEX(tt_Other,MATCH(D1009,tt_Type,0))),""))</f>
        <v/>
      </c>
      <c r="W1009" s="68">
        <f>IF(OR(TaxOn&lt;&gt;"Yes",NOT(ISNUMBER(M1009))),0,IF(IFERROR(INDEX(tt_Tax,MATCH(D1009,tt_Type,0)),"No")="Yes",M1009,0))</f>
        <v/>
      </c>
      <c r="X1009" s="67">
        <f>IF(T1009=1,"",IF(C1009="","Missing transaction date",IF(NOT(ISNUMBER(C1009)),"Invalid date",IF(OR(C1009&lt;DATE(2000,1,1),C1009&gt;DATE(2099,12,31)),"Invalid date",IF(D1009="","Select a type",IF(U1009="","Unknown type: "&amp;D1009,IF(V1009="","Select an account (Category)",IF(ISNA(MATCH(V1009,coa_Name,0)),"Unknown account: "&amp;V1009,IF(K1009="","Select Paid From / Deposited To",IF(ISNA(MATCH(K1009,coa_Name,0)),"Unknown account: "&amp;K1009,IF(NOT(ISNUMBER(L1009)),"Enter an amount",IF(L1009=0,"Enter an amount",IF(ABS(W1009)&gt;ABS(L1009),"Tax is larger than the amount","")))))))))))))</f>
        <v/>
      </c>
      <c r="Y1009" s="67">
        <f>IF(OR(T1009=1,X1009&lt;&gt;""),"",IF(AND(B1009&lt;&gt;"",COUNTIF(tx_ID,B1009)&gt;1),"Duplicate transaction ID",IF(AND(L1009&lt;0,D1009&lt;&gt;"Adjustment"),"Negative amount — check this entry",IF(AND(D1009="Customer Payment",G1009=""),"Add the customer",IF(AND(D1009="Customer Payment",OR(J1009="",COUNTIF(ar_No,J1009&amp;"")=0)),"Invoice # in Reference not found on AR sheet",IF(AND(D1009="Bill Payment",H1009=""),"Add the vendor",IF(AND(D1009="Bill Payment",OR(J1009="",COUNTIFS(ap_No,J1009&amp;"",ap_Party,H1009&amp;"")=0)),"Bill # + vendor not found on AP sheet",IF(AND(ISNUMBER(M1009),N(M1009)&lt;&gt;0,W1009=0),"Tax ignored (tax tracking off, or not allowed for this type)",IF(V1009=K1009&amp;"","Same account on both sides",IF(AND(ISNUMBER(StartDate),C1009&lt;StartDate),"Date is before the accounting start date",IF(AND(D1009&lt;&gt;"Adjustment",IFERROR(INDEX(coa_Pay,MATCH(K1009&amp;"",coa_Name,0)),"")&lt;&gt;"Yes"),"Paid From / Deposited To is not a payment account","")))))))))))</f>
        <v/>
      </c>
      <c r="Z1009" s="67">
        <f>IF(AND(T1009=0,X1009=""),1,0)</f>
        <v/>
      </c>
      <c r="AA1009" s="68">
        <f>IF(Z1009=1,IF(U1009="In",L1009,L1009-W1009),0)</f>
        <v/>
      </c>
      <c r="AB1009" s="68">
        <f>IF(Z1009=1,IF(U1009="In",L1009-W1009,L1009),0)</f>
        <v/>
      </c>
      <c r="AC1009" s="68">
        <f>IF(AND(Z1009=1,U1009="Out"),W1009,0)</f>
        <v/>
      </c>
      <c r="AD1009" s="68">
        <f>IF(AND(Z1009=1,U1009="In"),W1009,0)</f>
        <v/>
      </c>
    </row>
    <row r="1010">
      <c r="B1010" s="62" t="inlineStr">
        <is>
          <t>TX-1004</t>
        </is>
      </c>
      <c r="C1010" s="63" t="n"/>
      <c r="D1010" s="62" t="n"/>
      <c r="E1010" s="62" t="n"/>
      <c r="F1010" s="62" t="n"/>
      <c r="G1010" s="62" t="n"/>
      <c r="H1010" s="62" t="n"/>
      <c r="I1010" s="62" t="n"/>
      <c r="J1010" s="62" t="n"/>
      <c r="K1010" s="62" t="n"/>
      <c r="L1010" s="64" t="n"/>
      <c r="M1010" s="64" t="n"/>
      <c r="N1010" s="62" t="n"/>
      <c r="O1010" s="65">
        <f>IF(Z1010=1,L1010-W1010,"")</f>
        <v/>
      </c>
      <c r="P1010" s="66">
        <f>IF(V1010="","",IFERROR(INDEX(coa_Type,MATCH(V1010,coa_Name,0)),""))</f>
        <v/>
      </c>
      <c r="Q1010" s="66">
        <f>IF(Z1010=1,IF(U1010="In",K1010&amp;"",V1010),"")</f>
        <v/>
      </c>
      <c r="R1010" s="66">
        <f>IF(Z1010=1,IF(U1010="In",V1010,K1010&amp;""),"")</f>
        <v/>
      </c>
      <c r="S1010" s="66">
        <f>IF(X1010&lt;&gt;"","⛔ "&amp;X1010&amp;" — not posted",IF(Y1010&lt;&gt;"","⚠ "&amp;Y1010,IF(Z1010=1,"✓ OK","")))</f>
        <v/>
      </c>
      <c r="T1010" s="67">
        <f>IF(AND(C1010="",D1010="",E1010="",L1010="",K1010=""),1,0)</f>
        <v/>
      </c>
      <c r="U1010" s="67">
        <f>IFERROR(INDEX(tt_Dir,MATCH(D1010,tt_Type,0)),"")</f>
        <v/>
      </c>
      <c r="V1010" s="67">
        <f>IF(D1010="","",IFERROR(IF(INDEX(tt_Other,MATCH(D1010,tt_Type,0))="",E1010&amp;"",INDEX(tt_Other,MATCH(D1010,tt_Type,0))),""))</f>
        <v/>
      </c>
      <c r="W1010" s="68">
        <f>IF(OR(TaxOn&lt;&gt;"Yes",NOT(ISNUMBER(M1010))),0,IF(IFERROR(INDEX(tt_Tax,MATCH(D1010,tt_Type,0)),"No")="Yes",M1010,0))</f>
        <v/>
      </c>
      <c r="X1010" s="67">
        <f>IF(T1010=1,"",IF(C1010="","Missing transaction date",IF(NOT(ISNUMBER(C1010)),"Invalid date",IF(OR(C1010&lt;DATE(2000,1,1),C1010&gt;DATE(2099,12,31)),"Invalid date",IF(D1010="","Select a type",IF(U1010="","Unknown type: "&amp;D1010,IF(V1010="","Select an account (Category)",IF(ISNA(MATCH(V1010,coa_Name,0)),"Unknown account: "&amp;V1010,IF(K1010="","Select Paid From / Deposited To",IF(ISNA(MATCH(K1010,coa_Name,0)),"Unknown account: "&amp;K1010,IF(NOT(ISNUMBER(L1010)),"Enter an amount",IF(L1010=0,"Enter an amount",IF(ABS(W1010)&gt;ABS(L1010),"Tax is larger than the amount","")))))))))))))</f>
        <v/>
      </c>
      <c r="Y1010" s="67">
        <f>IF(OR(T1010=1,X1010&lt;&gt;""),"",IF(AND(B1010&lt;&gt;"",COUNTIF(tx_ID,B1010)&gt;1),"Duplicate transaction ID",IF(AND(L1010&lt;0,D1010&lt;&gt;"Adjustment"),"Negative amount — check this entry",IF(AND(D1010="Customer Payment",G1010=""),"Add the customer",IF(AND(D1010="Customer Payment",OR(J1010="",COUNTIF(ar_No,J1010&amp;"")=0)),"Invoice # in Reference not found on AR sheet",IF(AND(D1010="Bill Payment",H1010=""),"Add the vendor",IF(AND(D1010="Bill Payment",OR(J1010="",COUNTIFS(ap_No,J1010&amp;"",ap_Party,H1010&amp;"")=0)),"Bill # + vendor not found on AP sheet",IF(AND(ISNUMBER(M1010),N(M1010)&lt;&gt;0,W1010=0),"Tax ignored (tax tracking off, or not allowed for this type)",IF(V1010=K1010&amp;"","Same account on both sides",IF(AND(ISNUMBER(StartDate),C1010&lt;StartDate),"Date is before the accounting start date",IF(AND(D1010&lt;&gt;"Adjustment",IFERROR(INDEX(coa_Pay,MATCH(K1010&amp;"",coa_Name,0)),"")&lt;&gt;"Yes"),"Paid From / Deposited To is not a payment account","")))))))))))</f>
        <v/>
      </c>
      <c r="Z1010" s="67">
        <f>IF(AND(T1010=0,X1010=""),1,0)</f>
        <v/>
      </c>
      <c r="AA1010" s="68">
        <f>IF(Z1010=1,IF(U1010="In",L1010,L1010-W1010),0)</f>
        <v/>
      </c>
      <c r="AB1010" s="68">
        <f>IF(Z1010=1,IF(U1010="In",L1010-W1010,L1010),0)</f>
        <v/>
      </c>
      <c r="AC1010" s="68">
        <f>IF(AND(Z1010=1,U1010="Out"),W1010,0)</f>
        <v/>
      </c>
      <c r="AD1010" s="68">
        <f>IF(AND(Z1010=1,U1010="In"),W1010,0)</f>
        <v/>
      </c>
    </row>
    <row r="1011">
      <c r="B1011" s="62" t="inlineStr">
        <is>
          <t>TX-1005</t>
        </is>
      </c>
      <c r="C1011" s="63" t="n"/>
      <c r="D1011" s="62" t="n"/>
      <c r="E1011" s="62" t="n"/>
      <c r="F1011" s="62" t="n"/>
      <c r="G1011" s="62" t="n"/>
      <c r="H1011" s="62" t="n"/>
      <c r="I1011" s="62" t="n"/>
      <c r="J1011" s="62" t="n"/>
      <c r="K1011" s="62" t="n"/>
      <c r="L1011" s="64" t="n"/>
      <c r="M1011" s="64" t="n"/>
      <c r="N1011" s="62" t="n"/>
      <c r="O1011" s="65">
        <f>IF(Z1011=1,L1011-W1011,"")</f>
        <v/>
      </c>
      <c r="P1011" s="66">
        <f>IF(V1011="","",IFERROR(INDEX(coa_Type,MATCH(V1011,coa_Name,0)),""))</f>
        <v/>
      </c>
      <c r="Q1011" s="66">
        <f>IF(Z1011=1,IF(U1011="In",K1011&amp;"",V1011),"")</f>
        <v/>
      </c>
      <c r="R1011" s="66">
        <f>IF(Z1011=1,IF(U1011="In",V1011,K1011&amp;""),"")</f>
        <v/>
      </c>
      <c r="S1011" s="66">
        <f>IF(X1011&lt;&gt;"","⛔ "&amp;X1011&amp;" — not posted",IF(Y1011&lt;&gt;"","⚠ "&amp;Y1011,IF(Z1011=1,"✓ OK","")))</f>
        <v/>
      </c>
      <c r="T1011" s="67">
        <f>IF(AND(C1011="",D1011="",E1011="",L1011="",K1011=""),1,0)</f>
        <v/>
      </c>
      <c r="U1011" s="67">
        <f>IFERROR(INDEX(tt_Dir,MATCH(D1011,tt_Type,0)),"")</f>
        <v/>
      </c>
      <c r="V1011" s="67">
        <f>IF(D1011="","",IFERROR(IF(INDEX(tt_Other,MATCH(D1011,tt_Type,0))="",E1011&amp;"",INDEX(tt_Other,MATCH(D1011,tt_Type,0))),""))</f>
        <v/>
      </c>
      <c r="W1011" s="68">
        <f>IF(OR(TaxOn&lt;&gt;"Yes",NOT(ISNUMBER(M1011))),0,IF(IFERROR(INDEX(tt_Tax,MATCH(D1011,tt_Type,0)),"No")="Yes",M1011,0))</f>
        <v/>
      </c>
      <c r="X1011" s="67">
        <f>IF(T1011=1,"",IF(C1011="","Missing transaction date",IF(NOT(ISNUMBER(C1011)),"Invalid date",IF(OR(C1011&lt;DATE(2000,1,1),C1011&gt;DATE(2099,12,31)),"Invalid date",IF(D1011="","Select a type",IF(U1011="","Unknown type: "&amp;D1011,IF(V1011="","Select an account (Category)",IF(ISNA(MATCH(V1011,coa_Name,0)),"Unknown account: "&amp;V1011,IF(K1011="","Select Paid From / Deposited To",IF(ISNA(MATCH(K1011,coa_Name,0)),"Unknown account: "&amp;K1011,IF(NOT(ISNUMBER(L1011)),"Enter an amount",IF(L1011=0,"Enter an amount",IF(ABS(W1011)&gt;ABS(L1011),"Tax is larger than the amount","")))))))))))))</f>
        <v/>
      </c>
      <c r="Y1011" s="67">
        <f>IF(OR(T1011=1,X1011&lt;&gt;""),"",IF(AND(B1011&lt;&gt;"",COUNTIF(tx_ID,B1011)&gt;1),"Duplicate transaction ID",IF(AND(L1011&lt;0,D1011&lt;&gt;"Adjustment"),"Negative amount — check this entry",IF(AND(D1011="Customer Payment",G1011=""),"Add the customer",IF(AND(D1011="Customer Payment",OR(J1011="",COUNTIF(ar_No,J1011&amp;"")=0)),"Invoice # in Reference not found on AR sheet",IF(AND(D1011="Bill Payment",H1011=""),"Add the vendor",IF(AND(D1011="Bill Payment",OR(J1011="",COUNTIFS(ap_No,J1011&amp;"",ap_Party,H1011&amp;"")=0)),"Bill # + vendor not found on AP sheet",IF(AND(ISNUMBER(M1011),N(M1011)&lt;&gt;0,W1011=0),"Tax ignored (tax tracking off, or not allowed for this type)",IF(V1011=K1011&amp;"","Same account on both sides",IF(AND(ISNUMBER(StartDate),C1011&lt;StartDate),"Date is before the accounting start date",IF(AND(D1011&lt;&gt;"Adjustment",IFERROR(INDEX(coa_Pay,MATCH(K1011&amp;"",coa_Name,0)),"")&lt;&gt;"Yes"),"Paid From / Deposited To is not a payment account","")))))))))))</f>
        <v/>
      </c>
      <c r="Z1011" s="67">
        <f>IF(AND(T1011=0,X1011=""),1,0)</f>
        <v/>
      </c>
      <c r="AA1011" s="68">
        <f>IF(Z1011=1,IF(U1011="In",L1011,L1011-W1011),0)</f>
        <v/>
      </c>
      <c r="AB1011" s="68">
        <f>IF(Z1011=1,IF(U1011="In",L1011-W1011,L1011),0)</f>
        <v/>
      </c>
      <c r="AC1011" s="68">
        <f>IF(AND(Z1011=1,U1011="Out"),W1011,0)</f>
        <v/>
      </c>
      <c r="AD1011" s="68">
        <f>IF(AND(Z1011=1,U1011="In"),W1011,0)</f>
        <v/>
      </c>
    </row>
    <row r="1012">
      <c r="B1012" s="62" t="inlineStr">
        <is>
          <t>TX-1006</t>
        </is>
      </c>
      <c r="C1012" s="63" t="n"/>
      <c r="D1012" s="62" t="n"/>
      <c r="E1012" s="62" t="n"/>
      <c r="F1012" s="62" t="n"/>
      <c r="G1012" s="62" t="n"/>
      <c r="H1012" s="62" t="n"/>
      <c r="I1012" s="62" t="n"/>
      <c r="J1012" s="62" t="n"/>
      <c r="K1012" s="62" t="n"/>
      <c r="L1012" s="64" t="n"/>
      <c r="M1012" s="64" t="n"/>
      <c r="N1012" s="62" t="n"/>
      <c r="O1012" s="65">
        <f>IF(Z1012=1,L1012-W1012,"")</f>
        <v/>
      </c>
      <c r="P1012" s="66">
        <f>IF(V1012="","",IFERROR(INDEX(coa_Type,MATCH(V1012,coa_Name,0)),""))</f>
        <v/>
      </c>
      <c r="Q1012" s="66">
        <f>IF(Z1012=1,IF(U1012="In",K1012&amp;"",V1012),"")</f>
        <v/>
      </c>
      <c r="R1012" s="66">
        <f>IF(Z1012=1,IF(U1012="In",V1012,K1012&amp;""),"")</f>
        <v/>
      </c>
      <c r="S1012" s="66">
        <f>IF(X1012&lt;&gt;"","⛔ "&amp;X1012&amp;" — not posted",IF(Y1012&lt;&gt;"","⚠ "&amp;Y1012,IF(Z1012=1,"✓ OK","")))</f>
        <v/>
      </c>
      <c r="T1012" s="67">
        <f>IF(AND(C1012="",D1012="",E1012="",L1012="",K1012=""),1,0)</f>
        <v/>
      </c>
      <c r="U1012" s="67">
        <f>IFERROR(INDEX(tt_Dir,MATCH(D1012,tt_Type,0)),"")</f>
        <v/>
      </c>
      <c r="V1012" s="67">
        <f>IF(D1012="","",IFERROR(IF(INDEX(tt_Other,MATCH(D1012,tt_Type,0))="",E1012&amp;"",INDEX(tt_Other,MATCH(D1012,tt_Type,0))),""))</f>
        <v/>
      </c>
      <c r="W1012" s="68">
        <f>IF(OR(TaxOn&lt;&gt;"Yes",NOT(ISNUMBER(M1012))),0,IF(IFERROR(INDEX(tt_Tax,MATCH(D1012,tt_Type,0)),"No")="Yes",M1012,0))</f>
        <v/>
      </c>
      <c r="X1012" s="67">
        <f>IF(T1012=1,"",IF(C1012="","Missing transaction date",IF(NOT(ISNUMBER(C1012)),"Invalid date",IF(OR(C1012&lt;DATE(2000,1,1),C1012&gt;DATE(2099,12,31)),"Invalid date",IF(D1012="","Select a type",IF(U1012="","Unknown type: "&amp;D1012,IF(V1012="","Select an account (Category)",IF(ISNA(MATCH(V1012,coa_Name,0)),"Unknown account: "&amp;V1012,IF(K1012="","Select Paid From / Deposited To",IF(ISNA(MATCH(K1012,coa_Name,0)),"Unknown account: "&amp;K1012,IF(NOT(ISNUMBER(L1012)),"Enter an amount",IF(L1012=0,"Enter an amount",IF(ABS(W1012)&gt;ABS(L1012),"Tax is larger than the amount","")))))))))))))</f>
        <v/>
      </c>
      <c r="Y1012" s="67">
        <f>IF(OR(T1012=1,X1012&lt;&gt;""),"",IF(AND(B1012&lt;&gt;"",COUNTIF(tx_ID,B1012)&gt;1),"Duplicate transaction ID",IF(AND(L1012&lt;0,D1012&lt;&gt;"Adjustment"),"Negative amount — check this entry",IF(AND(D1012="Customer Payment",G1012=""),"Add the customer",IF(AND(D1012="Customer Payment",OR(J1012="",COUNTIF(ar_No,J1012&amp;"")=0)),"Invoice # in Reference not found on AR sheet",IF(AND(D1012="Bill Payment",H1012=""),"Add the vendor",IF(AND(D1012="Bill Payment",OR(J1012="",COUNTIFS(ap_No,J1012&amp;"",ap_Party,H1012&amp;"")=0)),"Bill # + vendor not found on AP sheet",IF(AND(ISNUMBER(M1012),N(M1012)&lt;&gt;0,W1012=0),"Tax ignored (tax tracking off, or not allowed for this type)",IF(V1012=K1012&amp;"","Same account on both sides",IF(AND(ISNUMBER(StartDate),C1012&lt;StartDate),"Date is before the accounting start date",IF(AND(D1012&lt;&gt;"Adjustment",IFERROR(INDEX(coa_Pay,MATCH(K1012&amp;"",coa_Name,0)),"")&lt;&gt;"Yes"),"Paid From / Deposited To is not a payment account","")))))))))))</f>
        <v/>
      </c>
      <c r="Z1012" s="67">
        <f>IF(AND(T1012=0,X1012=""),1,0)</f>
        <v/>
      </c>
      <c r="AA1012" s="68">
        <f>IF(Z1012=1,IF(U1012="In",L1012,L1012-W1012),0)</f>
        <v/>
      </c>
      <c r="AB1012" s="68">
        <f>IF(Z1012=1,IF(U1012="In",L1012-W1012,L1012),0)</f>
        <v/>
      </c>
      <c r="AC1012" s="68">
        <f>IF(AND(Z1012=1,U1012="Out"),W1012,0)</f>
        <v/>
      </c>
      <c r="AD1012" s="68">
        <f>IF(AND(Z1012=1,U1012="In"),W1012,0)</f>
        <v/>
      </c>
    </row>
    <row r="1013">
      <c r="B1013" s="62" t="inlineStr">
        <is>
          <t>TX-1007</t>
        </is>
      </c>
      <c r="C1013" s="63" t="n"/>
      <c r="D1013" s="62" t="n"/>
      <c r="E1013" s="62" t="n"/>
      <c r="F1013" s="62" t="n"/>
      <c r="G1013" s="62" t="n"/>
      <c r="H1013" s="62" t="n"/>
      <c r="I1013" s="62" t="n"/>
      <c r="J1013" s="62" t="n"/>
      <c r="K1013" s="62" t="n"/>
      <c r="L1013" s="64" t="n"/>
      <c r="M1013" s="64" t="n"/>
      <c r="N1013" s="62" t="n"/>
      <c r="O1013" s="65">
        <f>IF(Z1013=1,L1013-W1013,"")</f>
        <v/>
      </c>
      <c r="P1013" s="66">
        <f>IF(V1013="","",IFERROR(INDEX(coa_Type,MATCH(V1013,coa_Name,0)),""))</f>
        <v/>
      </c>
      <c r="Q1013" s="66">
        <f>IF(Z1013=1,IF(U1013="In",K1013&amp;"",V1013),"")</f>
        <v/>
      </c>
      <c r="R1013" s="66">
        <f>IF(Z1013=1,IF(U1013="In",V1013,K1013&amp;""),"")</f>
        <v/>
      </c>
      <c r="S1013" s="66">
        <f>IF(X1013&lt;&gt;"","⛔ "&amp;X1013&amp;" — not posted",IF(Y1013&lt;&gt;"","⚠ "&amp;Y1013,IF(Z1013=1,"✓ OK","")))</f>
        <v/>
      </c>
      <c r="T1013" s="67">
        <f>IF(AND(C1013="",D1013="",E1013="",L1013="",K1013=""),1,0)</f>
        <v/>
      </c>
      <c r="U1013" s="67">
        <f>IFERROR(INDEX(tt_Dir,MATCH(D1013,tt_Type,0)),"")</f>
        <v/>
      </c>
      <c r="V1013" s="67">
        <f>IF(D1013="","",IFERROR(IF(INDEX(tt_Other,MATCH(D1013,tt_Type,0))="",E1013&amp;"",INDEX(tt_Other,MATCH(D1013,tt_Type,0))),""))</f>
        <v/>
      </c>
      <c r="W1013" s="68">
        <f>IF(OR(TaxOn&lt;&gt;"Yes",NOT(ISNUMBER(M1013))),0,IF(IFERROR(INDEX(tt_Tax,MATCH(D1013,tt_Type,0)),"No")="Yes",M1013,0))</f>
        <v/>
      </c>
      <c r="X1013" s="67">
        <f>IF(T1013=1,"",IF(C1013="","Missing transaction date",IF(NOT(ISNUMBER(C1013)),"Invalid date",IF(OR(C1013&lt;DATE(2000,1,1),C1013&gt;DATE(2099,12,31)),"Invalid date",IF(D1013="","Select a type",IF(U1013="","Unknown type: "&amp;D1013,IF(V1013="","Select an account (Category)",IF(ISNA(MATCH(V1013,coa_Name,0)),"Unknown account: "&amp;V1013,IF(K1013="","Select Paid From / Deposited To",IF(ISNA(MATCH(K1013,coa_Name,0)),"Unknown account: "&amp;K1013,IF(NOT(ISNUMBER(L1013)),"Enter an amount",IF(L1013=0,"Enter an amount",IF(ABS(W1013)&gt;ABS(L1013),"Tax is larger than the amount","")))))))))))))</f>
        <v/>
      </c>
      <c r="Y1013" s="67">
        <f>IF(OR(T1013=1,X1013&lt;&gt;""),"",IF(AND(B1013&lt;&gt;"",COUNTIF(tx_ID,B1013)&gt;1),"Duplicate transaction ID",IF(AND(L1013&lt;0,D1013&lt;&gt;"Adjustment"),"Negative amount — check this entry",IF(AND(D1013="Customer Payment",G1013=""),"Add the customer",IF(AND(D1013="Customer Payment",OR(J1013="",COUNTIF(ar_No,J1013&amp;"")=0)),"Invoice # in Reference not found on AR sheet",IF(AND(D1013="Bill Payment",H1013=""),"Add the vendor",IF(AND(D1013="Bill Payment",OR(J1013="",COUNTIFS(ap_No,J1013&amp;"",ap_Party,H1013&amp;"")=0)),"Bill # + vendor not found on AP sheet",IF(AND(ISNUMBER(M1013),N(M1013)&lt;&gt;0,W1013=0),"Tax ignored (tax tracking off, or not allowed for this type)",IF(V1013=K1013&amp;"","Same account on both sides",IF(AND(ISNUMBER(StartDate),C1013&lt;StartDate),"Date is before the accounting start date",IF(AND(D1013&lt;&gt;"Adjustment",IFERROR(INDEX(coa_Pay,MATCH(K1013&amp;"",coa_Name,0)),"")&lt;&gt;"Yes"),"Paid From / Deposited To is not a payment account","")))))))))))</f>
        <v/>
      </c>
      <c r="Z1013" s="67">
        <f>IF(AND(T1013=0,X1013=""),1,0)</f>
        <v/>
      </c>
      <c r="AA1013" s="68">
        <f>IF(Z1013=1,IF(U1013="In",L1013,L1013-W1013),0)</f>
        <v/>
      </c>
      <c r="AB1013" s="68">
        <f>IF(Z1013=1,IF(U1013="In",L1013-W1013,L1013),0)</f>
        <v/>
      </c>
      <c r="AC1013" s="68">
        <f>IF(AND(Z1013=1,U1013="Out"),W1013,0)</f>
        <v/>
      </c>
      <c r="AD1013" s="68">
        <f>IF(AND(Z1013=1,U1013="In"),W1013,0)</f>
        <v/>
      </c>
    </row>
    <row r="1014">
      <c r="B1014" s="62" t="inlineStr">
        <is>
          <t>TX-1008</t>
        </is>
      </c>
      <c r="C1014" s="63" t="n"/>
      <c r="D1014" s="62" t="n"/>
      <c r="E1014" s="62" t="n"/>
      <c r="F1014" s="62" t="n"/>
      <c r="G1014" s="62" t="n"/>
      <c r="H1014" s="62" t="n"/>
      <c r="I1014" s="62" t="n"/>
      <c r="J1014" s="62" t="n"/>
      <c r="K1014" s="62" t="n"/>
      <c r="L1014" s="64" t="n"/>
      <c r="M1014" s="64" t="n"/>
      <c r="N1014" s="62" t="n"/>
      <c r="O1014" s="65">
        <f>IF(Z1014=1,L1014-W1014,"")</f>
        <v/>
      </c>
      <c r="P1014" s="66">
        <f>IF(V1014="","",IFERROR(INDEX(coa_Type,MATCH(V1014,coa_Name,0)),""))</f>
        <v/>
      </c>
      <c r="Q1014" s="66">
        <f>IF(Z1014=1,IF(U1014="In",K1014&amp;"",V1014),"")</f>
        <v/>
      </c>
      <c r="R1014" s="66">
        <f>IF(Z1014=1,IF(U1014="In",V1014,K1014&amp;""),"")</f>
        <v/>
      </c>
      <c r="S1014" s="66">
        <f>IF(X1014&lt;&gt;"","⛔ "&amp;X1014&amp;" — not posted",IF(Y1014&lt;&gt;"","⚠ "&amp;Y1014,IF(Z1014=1,"✓ OK","")))</f>
        <v/>
      </c>
      <c r="T1014" s="67">
        <f>IF(AND(C1014="",D1014="",E1014="",L1014="",K1014=""),1,0)</f>
        <v/>
      </c>
      <c r="U1014" s="67">
        <f>IFERROR(INDEX(tt_Dir,MATCH(D1014,tt_Type,0)),"")</f>
        <v/>
      </c>
      <c r="V1014" s="67">
        <f>IF(D1014="","",IFERROR(IF(INDEX(tt_Other,MATCH(D1014,tt_Type,0))="",E1014&amp;"",INDEX(tt_Other,MATCH(D1014,tt_Type,0))),""))</f>
        <v/>
      </c>
      <c r="W1014" s="68">
        <f>IF(OR(TaxOn&lt;&gt;"Yes",NOT(ISNUMBER(M1014))),0,IF(IFERROR(INDEX(tt_Tax,MATCH(D1014,tt_Type,0)),"No")="Yes",M1014,0))</f>
        <v/>
      </c>
      <c r="X1014" s="67">
        <f>IF(T1014=1,"",IF(C1014="","Missing transaction date",IF(NOT(ISNUMBER(C1014)),"Invalid date",IF(OR(C1014&lt;DATE(2000,1,1),C1014&gt;DATE(2099,12,31)),"Invalid date",IF(D1014="","Select a type",IF(U1014="","Unknown type: "&amp;D1014,IF(V1014="","Select an account (Category)",IF(ISNA(MATCH(V1014,coa_Name,0)),"Unknown account: "&amp;V1014,IF(K1014="","Select Paid From / Deposited To",IF(ISNA(MATCH(K1014,coa_Name,0)),"Unknown account: "&amp;K1014,IF(NOT(ISNUMBER(L1014)),"Enter an amount",IF(L1014=0,"Enter an amount",IF(ABS(W1014)&gt;ABS(L1014),"Tax is larger than the amount","")))))))))))))</f>
        <v/>
      </c>
      <c r="Y1014" s="67">
        <f>IF(OR(T1014=1,X1014&lt;&gt;""),"",IF(AND(B1014&lt;&gt;"",COUNTIF(tx_ID,B1014)&gt;1),"Duplicate transaction ID",IF(AND(L1014&lt;0,D1014&lt;&gt;"Adjustment"),"Negative amount — check this entry",IF(AND(D1014="Customer Payment",G1014=""),"Add the customer",IF(AND(D1014="Customer Payment",OR(J1014="",COUNTIF(ar_No,J1014&amp;"")=0)),"Invoice # in Reference not found on AR sheet",IF(AND(D1014="Bill Payment",H1014=""),"Add the vendor",IF(AND(D1014="Bill Payment",OR(J1014="",COUNTIFS(ap_No,J1014&amp;"",ap_Party,H1014&amp;"")=0)),"Bill # + vendor not found on AP sheet",IF(AND(ISNUMBER(M1014),N(M1014)&lt;&gt;0,W1014=0),"Tax ignored (tax tracking off, or not allowed for this type)",IF(V1014=K1014&amp;"","Same account on both sides",IF(AND(ISNUMBER(StartDate),C1014&lt;StartDate),"Date is before the accounting start date",IF(AND(D1014&lt;&gt;"Adjustment",IFERROR(INDEX(coa_Pay,MATCH(K1014&amp;"",coa_Name,0)),"")&lt;&gt;"Yes"),"Paid From / Deposited To is not a payment account","")))))))))))</f>
        <v/>
      </c>
      <c r="Z1014" s="67">
        <f>IF(AND(T1014=0,X1014=""),1,0)</f>
        <v/>
      </c>
      <c r="AA1014" s="68">
        <f>IF(Z1014=1,IF(U1014="In",L1014,L1014-W1014),0)</f>
        <v/>
      </c>
      <c r="AB1014" s="68">
        <f>IF(Z1014=1,IF(U1014="In",L1014-W1014,L1014),0)</f>
        <v/>
      </c>
      <c r="AC1014" s="68">
        <f>IF(AND(Z1014=1,U1014="Out"),W1014,0)</f>
        <v/>
      </c>
      <c r="AD1014" s="68">
        <f>IF(AND(Z1014=1,U1014="In"),W1014,0)</f>
        <v/>
      </c>
    </row>
    <row r="1015">
      <c r="B1015" s="62" t="inlineStr">
        <is>
          <t>TX-1009</t>
        </is>
      </c>
      <c r="C1015" s="63" t="n"/>
      <c r="D1015" s="62" t="n"/>
      <c r="E1015" s="62" t="n"/>
      <c r="F1015" s="62" t="n"/>
      <c r="G1015" s="62" t="n"/>
      <c r="H1015" s="62" t="n"/>
      <c r="I1015" s="62" t="n"/>
      <c r="J1015" s="62" t="n"/>
      <c r="K1015" s="62" t="n"/>
      <c r="L1015" s="64" t="n"/>
      <c r="M1015" s="64" t="n"/>
      <c r="N1015" s="62" t="n"/>
      <c r="O1015" s="65">
        <f>IF(Z1015=1,L1015-W1015,"")</f>
        <v/>
      </c>
      <c r="P1015" s="66">
        <f>IF(V1015="","",IFERROR(INDEX(coa_Type,MATCH(V1015,coa_Name,0)),""))</f>
        <v/>
      </c>
      <c r="Q1015" s="66">
        <f>IF(Z1015=1,IF(U1015="In",K1015&amp;"",V1015),"")</f>
        <v/>
      </c>
      <c r="R1015" s="66">
        <f>IF(Z1015=1,IF(U1015="In",V1015,K1015&amp;""),"")</f>
        <v/>
      </c>
      <c r="S1015" s="66">
        <f>IF(X1015&lt;&gt;"","⛔ "&amp;X1015&amp;" — not posted",IF(Y1015&lt;&gt;"","⚠ "&amp;Y1015,IF(Z1015=1,"✓ OK","")))</f>
        <v/>
      </c>
      <c r="T1015" s="67">
        <f>IF(AND(C1015="",D1015="",E1015="",L1015="",K1015=""),1,0)</f>
        <v/>
      </c>
      <c r="U1015" s="67">
        <f>IFERROR(INDEX(tt_Dir,MATCH(D1015,tt_Type,0)),"")</f>
        <v/>
      </c>
      <c r="V1015" s="67">
        <f>IF(D1015="","",IFERROR(IF(INDEX(tt_Other,MATCH(D1015,tt_Type,0))="",E1015&amp;"",INDEX(tt_Other,MATCH(D1015,tt_Type,0))),""))</f>
        <v/>
      </c>
      <c r="W1015" s="68">
        <f>IF(OR(TaxOn&lt;&gt;"Yes",NOT(ISNUMBER(M1015))),0,IF(IFERROR(INDEX(tt_Tax,MATCH(D1015,tt_Type,0)),"No")="Yes",M1015,0))</f>
        <v/>
      </c>
      <c r="X1015" s="67">
        <f>IF(T1015=1,"",IF(C1015="","Missing transaction date",IF(NOT(ISNUMBER(C1015)),"Invalid date",IF(OR(C1015&lt;DATE(2000,1,1),C1015&gt;DATE(2099,12,31)),"Invalid date",IF(D1015="","Select a type",IF(U1015="","Unknown type: "&amp;D1015,IF(V1015="","Select an account (Category)",IF(ISNA(MATCH(V1015,coa_Name,0)),"Unknown account: "&amp;V1015,IF(K1015="","Select Paid From / Deposited To",IF(ISNA(MATCH(K1015,coa_Name,0)),"Unknown account: "&amp;K1015,IF(NOT(ISNUMBER(L1015)),"Enter an amount",IF(L1015=0,"Enter an amount",IF(ABS(W1015)&gt;ABS(L1015),"Tax is larger than the amount","")))))))))))))</f>
        <v/>
      </c>
      <c r="Y1015" s="67">
        <f>IF(OR(T1015=1,X1015&lt;&gt;""),"",IF(AND(B1015&lt;&gt;"",COUNTIF(tx_ID,B1015)&gt;1),"Duplicate transaction ID",IF(AND(L1015&lt;0,D1015&lt;&gt;"Adjustment"),"Negative amount — check this entry",IF(AND(D1015="Customer Payment",G1015=""),"Add the customer",IF(AND(D1015="Customer Payment",OR(J1015="",COUNTIF(ar_No,J1015&amp;"")=0)),"Invoice # in Reference not found on AR sheet",IF(AND(D1015="Bill Payment",H1015=""),"Add the vendor",IF(AND(D1015="Bill Payment",OR(J1015="",COUNTIFS(ap_No,J1015&amp;"",ap_Party,H1015&amp;"")=0)),"Bill # + vendor not found on AP sheet",IF(AND(ISNUMBER(M1015),N(M1015)&lt;&gt;0,W1015=0),"Tax ignored (tax tracking off, or not allowed for this type)",IF(V1015=K1015&amp;"","Same account on both sides",IF(AND(ISNUMBER(StartDate),C1015&lt;StartDate),"Date is before the accounting start date",IF(AND(D1015&lt;&gt;"Adjustment",IFERROR(INDEX(coa_Pay,MATCH(K1015&amp;"",coa_Name,0)),"")&lt;&gt;"Yes"),"Paid From / Deposited To is not a payment account","")))))))))))</f>
        <v/>
      </c>
      <c r="Z1015" s="67">
        <f>IF(AND(T1015=0,X1015=""),1,0)</f>
        <v/>
      </c>
      <c r="AA1015" s="68">
        <f>IF(Z1015=1,IF(U1015="In",L1015,L1015-W1015),0)</f>
        <v/>
      </c>
      <c r="AB1015" s="68">
        <f>IF(Z1015=1,IF(U1015="In",L1015-W1015,L1015),0)</f>
        <v/>
      </c>
      <c r="AC1015" s="68">
        <f>IF(AND(Z1015=1,U1015="Out"),W1015,0)</f>
        <v/>
      </c>
      <c r="AD1015" s="68">
        <f>IF(AND(Z1015=1,U1015="In"),W1015,0)</f>
        <v/>
      </c>
    </row>
    <row r="1016">
      <c r="B1016" s="62" t="inlineStr">
        <is>
          <t>TX-1010</t>
        </is>
      </c>
      <c r="C1016" s="63" t="n"/>
      <c r="D1016" s="62" t="n"/>
      <c r="E1016" s="62" t="n"/>
      <c r="F1016" s="62" t="n"/>
      <c r="G1016" s="62" t="n"/>
      <c r="H1016" s="62" t="n"/>
      <c r="I1016" s="62" t="n"/>
      <c r="J1016" s="62" t="n"/>
      <c r="K1016" s="62" t="n"/>
      <c r="L1016" s="64" t="n"/>
      <c r="M1016" s="64" t="n"/>
      <c r="N1016" s="62" t="n"/>
      <c r="O1016" s="65">
        <f>IF(Z1016=1,L1016-W1016,"")</f>
        <v/>
      </c>
      <c r="P1016" s="66">
        <f>IF(V1016="","",IFERROR(INDEX(coa_Type,MATCH(V1016,coa_Name,0)),""))</f>
        <v/>
      </c>
      <c r="Q1016" s="66">
        <f>IF(Z1016=1,IF(U1016="In",K1016&amp;"",V1016),"")</f>
        <v/>
      </c>
      <c r="R1016" s="66">
        <f>IF(Z1016=1,IF(U1016="In",V1016,K1016&amp;""),"")</f>
        <v/>
      </c>
      <c r="S1016" s="66">
        <f>IF(X1016&lt;&gt;"","⛔ "&amp;X1016&amp;" — not posted",IF(Y1016&lt;&gt;"","⚠ "&amp;Y1016,IF(Z1016=1,"✓ OK","")))</f>
        <v/>
      </c>
      <c r="T1016" s="67">
        <f>IF(AND(C1016="",D1016="",E1016="",L1016="",K1016=""),1,0)</f>
        <v/>
      </c>
      <c r="U1016" s="67">
        <f>IFERROR(INDEX(tt_Dir,MATCH(D1016,tt_Type,0)),"")</f>
        <v/>
      </c>
      <c r="V1016" s="67">
        <f>IF(D1016="","",IFERROR(IF(INDEX(tt_Other,MATCH(D1016,tt_Type,0))="",E1016&amp;"",INDEX(tt_Other,MATCH(D1016,tt_Type,0))),""))</f>
        <v/>
      </c>
      <c r="W1016" s="68">
        <f>IF(OR(TaxOn&lt;&gt;"Yes",NOT(ISNUMBER(M1016))),0,IF(IFERROR(INDEX(tt_Tax,MATCH(D1016,tt_Type,0)),"No")="Yes",M1016,0))</f>
        <v/>
      </c>
      <c r="X1016" s="67">
        <f>IF(T1016=1,"",IF(C1016="","Missing transaction date",IF(NOT(ISNUMBER(C1016)),"Invalid date",IF(OR(C1016&lt;DATE(2000,1,1),C1016&gt;DATE(2099,12,31)),"Invalid date",IF(D1016="","Select a type",IF(U1016="","Unknown type: "&amp;D1016,IF(V1016="","Select an account (Category)",IF(ISNA(MATCH(V1016,coa_Name,0)),"Unknown account: "&amp;V1016,IF(K1016="","Select Paid From / Deposited To",IF(ISNA(MATCH(K1016,coa_Name,0)),"Unknown account: "&amp;K1016,IF(NOT(ISNUMBER(L1016)),"Enter an amount",IF(L1016=0,"Enter an amount",IF(ABS(W1016)&gt;ABS(L1016),"Tax is larger than the amount","")))))))))))))</f>
        <v/>
      </c>
      <c r="Y1016" s="67">
        <f>IF(OR(T1016=1,X1016&lt;&gt;""),"",IF(AND(B1016&lt;&gt;"",COUNTIF(tx_ID,B1016)&gt;1),"Duplicate transaction ID",IF(AND(L1016&lt;0,D1016&lt;&gt;"Adjustment"),"Negative amount — check this entry",IF(AND(D1016="Customer Payment",G1016=""),"Add the customer",IF(AND(D1016="Customer Payment",OR(J1016="",COUNTIF(ar_No,J1016&amp;"")=0)),"Invoice # in Reference not found on AR sheet",IF(AND(D1016="Bill Payment",H1016=""),"Add the vendor",IF(AND(D1016="Bill Payment",OR(J1016="",COUNTIFS(ap_No,J1016&amp;"",ap_Party,H1016&amp;"")=0)),"Bill # + vendor not found on AP sheet",IF(AND(ISNUMBER(M1016),N(M1016)&lt;&gt;0,W1016=0),"Tax ignored (tax tracking off, or not allowed for this type)",IF(V1016=K1016&amp;"","Same account on both sides",IF(AND(ISNUMBER(StartDate),C1016&lt;StartDate),"Date is before the accounting start date",IF(AND(D1016&lt;&gt;"Adjustment",IFERROR(INDEX(coa_Pay,MATCH(K1016&amp;"",coa_Name,0)),"")&lt;&gt;"Yes"),"Paid From / Deposited To is not a payment account","")))))))))))</f>
        <v/>
      </c>
      <c r="Z1016" s="67">
        <f>IF(AND(T1016=0,X1016=""),1,0)</f>
        <v/>
      </c>
      <c r="AA1016" s="68">
        <f>IF(Z1016=1,IF(U1016="In",L1016,L1016-W1016),0)</f>
        <v/>
      </c>
      <c r="AB1016" s="68">
        <f>IF(Z1016=1,IF(U1016="In",L1016-W1016,L1016),0)</f>
        <v/>
      </c>
      <c r="AC1016" s="68">
        <f>IF(AND(Z1016=1,U1016="Out"),W1016,0)</f>
        <v/>
      </c>
      <c r="AD1016" s="68">
        <f>IF(AND(Z1016=1,U1016="In"),W1016,0)</f>
        <v/>
      </c>
    </row>
    <row r="1017">
      <c r="B1017" s="62" t="inlineStr">
        <is>
          <t>TX-1011</t>
        </is>
      </c>
      <c r="C1017" s="63" t="n"/>
      <c r="D1017" s="62" t="n"/>
      <c r="E1017" s="62" t="n"/>
      <c r="F1017" s="62" t="n"/>
      <c r="G1017" s="62" t="n"/>
      <c r="H1017" s="62" t="n"/>
      <c r="I1017" s="62" t="n"/>
      <c r="J1017" s="62" t="n"/>
      <c r="K1017" s="62" t="n"/>
      <c r="L1017" s="64" t="n"/>
      <c r="M1017" s="64" t="n"/>
      <c r="N1017" s="62" t="n"/>
      <c r="O1017" s="65">
        <f>IF(Z1017=1,L1017-W1017,"")</f>
        <v/>
      </c>
      <c r="P1017" s="66">
        <f>IF(V1017="","",IFERROR(INDEX(coa_Type,MATCH(V1017,coa_Name,0)),""))</f>
        <v/>
      </c>
      <c r="Q1017" s="66">
        <f>IF(Z1017=1,IF(U1017="In",K1017&amp;"",V1017),"")</f>
        <v/>
      </c>
      <c r="R1017" s="66">
        <f>IF(Z1017=1,IF(U1017="In",V1017,K1017&amp;""),"")</f>
        <v/>
      </c>
      <c r="S1017" s="66">
        <f>IF(X1017&lt;&gt;"","⛔ "&amp;X1017&amp;" — not posted",IF(Y1017&lt;&gt;"","⚠ "&amp;Y1017,IF(Z1017=1,"✓ OK","")))</f>
        <v/>
      </c>
      <c r="T1017" s="67">
        <f>IF(AND(C1017="",D1017="",E1017="",L1017="",K1017=""),1,0)</f>
        <v/>
      </c>
      <c r="U1017" s="67">
        <f>IFERROR(INDEX(tt_Dir,MATCH(D1017,tt_Type,0)),"")</f>
        <v/>
      </c>
      <c r="V1017" s="67">
        <f>IF(D1017="","",IFERROR(IF(INDEX(tt_Other,MATCH(D1017,tt_Type,0))="",E1017&amp;"",INDEX(tt_Other,MATCH(D1017,tt_Type,0))),""))</f>
        <v/>
      </c>
      <c r="W1017" s="68">
        <f>IF(OR(TaxOn&lt;&gt;"Yes",NOT(ISNUMBER(M1017))),0,IF(IFERROR(INDEX(tt_Tax,MATCH(D1017,tt_Type,0)),"No")="Yes",M1017,0))</f>
        <v/>
      </c>
      <c r="X1017" s="67">
        <f>IF(T1017=1,"",IF(C1017="","Missing transaction date",IF(NOT(ISNUMBER(C1017)),"Invalid date",IF(OR(C1017&lt;DATE(2000,1,1),C1017&gt;DATE(2099,12,31)),"Invalid date",IF(D1017="","Select a type",IF(U1017="","Unknown type: "&amp;D1017,IF(V1017="","Select an account (Category)",IF(ISNA(MATCH(V1017,coa_Name,0)),"Unknown account: "&amp;V1017,IF(K1017="","Select Paid From / Deposited To",IF(ISNA(MATCH(K1017,coa_Name,0)),"Unknown account: "&amp;K1017,IF(NOT(ISNUMBER(L1017)),"Enter an amount",IF(L1017=0,"Enter an amount",IF(ABS(W1017)&gt;ABS(L1017),"Tax is larger than the amount","")))))))))))))</f>
        <v/>
      </c>
      <c r="Y1017" s="67">
        <f>IF(OR(T1017=1,X1017&lt;&gt;""),"",IF(AND(B1017&lt;&gt;"",COUNTIF(tx_ID,B1017)&gt;1),"Duplicate transaction ID",IF(AND(L1017&lt;0,D1017&lt;&gt;"Adjustment"),"Negative amount — check this entry",IF(AND(D1017="Customer Payment",G1017=""),"Add the customer",IF(AND(D1017="Customer Payment",OR(J1017="",COUNTIF(ar_No,J1017&amp;"")=0)),"Invoice # in Reference not found on AR sheet",IF(AND(D1017="Bill Payment",H1017=""),"Add the vendor",IF(AND(D1017="Bill Payment",OR(J1017="",COUNTIFS(ap_No,J1017&amp;"",ap_Party,H1017&amp;"")=0)),"Bill # + vendor not found on AP sheet",IF(AND(ISNUMBER(M1017),N(M1017)&lt;&gt;0,W1017=0),"Tax ignored (tax tracking off, or not allowed for this type)",IF(V1017=K1017&amp;"","Same account on both sides",IF(AND(ISNUMBER(StartDate),C1017&lt;StartDate),"Date is before the accounting start date",IF(AND(D1017&lt;&gt;"Adjustment",IFERROR(INDEX(coa_Pay,MATCH(K1017&amp;"",coa_Name,0)),"")&lt;&gt;"Yes"),"Paid From / Deposited To is not a payment account","")))))))))))</f>
        <v/>
      </c>
      <c r="Z1017" s="67">
        <f>IF(AND(T1017=0,X1017=""),1,0)</f>
        <v/>
      </c>
      <c r="AA1017" s="68">
        <f>IF(Z1017=1,IF(U1017="In",L1017,L1017-W1017),0)</f>
        <v/>
      </c>
      <c r="AB1017" s="68">
        <f>IF(Z1017=1,IF(U1017="In",L1017-W1017,L1017),0)</f>
        <v/>
      </c>
      <c r="AC1017" s="68">
        <f>IF(AND(Z1017=1,U1017="Out"),W1017,0)</f>
        <v/>
      </c>
      <c r="AD1017" s="68">
        <f>IF(AND(Z1017=1,U1017="In"),W1017,0)</f>
        <v/>
      </c>
    </row>
    <row r="1018">
      <c r="B1018" s="62" t="inlineStr">
        <is>
          <t>TX-1012</t>
        </is>
      </c>
      <c r="C1018" s="63" t="n"/>
      <c r="D1018" s="62" t="n"/>
      <c r="E1018" s="62" t="n"/>
      <c r="F1018" s="62" t="n"/>
      <c r="G1018" s="62" t="n"/>
      <c r="H1018" s="62" t="n"/>
      <c r="I1018" s="62" t="n"/>
      <c r="J1018" s="62" t="n"/>
      <c r="K1018" s="62" t="n"/>
      <c r="L1018" s="64" t="n"/>
      <c r="M1018" s="64" t="n"/>
      <c r="N1018" s="62" t="n"/>
      <c r="O1018" s="65">
        <f>IF(Z1018=1,L1018-W1018,"")</f>
        <v/>
      </c>
      <c r="P1018" s="66">
        <f>IF(V1018="","",IFERROR(INDEX(coa_Type,MATCH(V1018,coa_Name,0)),""))</f>
        <v/>
      </c>
      <c r="Q1018" s="66">
        <f>IF(Z1018=1,IF(U1018="In",K1018&amp;"",V1018),"")</f>
        <v/>
      </c>
      <c r="R1018" s="66">
        <f>IF(Z1018=1,IF(U1018="In",V1018,K1018&amp;""),"")</f>
        <v/>
      </c>
      <c r="S1018" s="66">
        <f>IF(X1018&lt;&gt;"","⛔ "&amp;X1018&amp;" — not posted",IF(Y1018&lt;&gt;"","⚠ "&amp;Y1018,IF(Z1018=1,"✓ OK","")))</f>
        <v/>
      </c>
      <c r="T1018" s="67">
        <f>IF(AND(C1018="",D1018="",E1018="",L1018="",K1018=""),1,0)</f>
        <v/>
      </c>
      <c r="U1018" s="67">
        <f>IFERROR(INDEX(tt_Dir,MATCH(D1018,tt_Type,0)),"")</f>
        <v/>
      </c>
      <c r="V1018" s="67">
        <f>IF(D1018="","",IFERROR(IF(INDEX(tt_Other,MATCH(D1018,tt_Type,0))="",E1018&amp;"",INDEX(tt_Other,MATCH(D1018,tt_Type,0))),""))</f>
        <v/>
      </c>
      <c r="W1018" s="68">
        <f>IF(OR(TaxOn&lt;&gt;"Yes",NOT(ISNUMBER(M1018))),0,IF(IFERROR(INDEX(tt_Tax,MATCH(D1018,tt_Type,0)),"No")="Yes",M1018,0))</f>
        <v/>
      </c>
      <c r="X1018" s="67">
        <f>IF(T1018=1,"",IF(C1018="","Missing transaction date",IF(NOT(ISNUMBER(C1018)),"Invalid date",IF(OR(C1018&lt;DATE(2000,1,1),C1018&gt;DATE(2099,12,31)),"Invalid date",IF(D1018="","Select a type",IF(U1018="","Unknown type: "&amp;D1018,IF(V1018="","Select an account (Category)",IF(ISNA(MATCH(V1018,coa_Name,0)),"Unknown account: "&amp;V1018,IF(K1018="","Select Paid From / Deposited To",IF(ISNA(MATCH(K1018,coa_Name,0)),"Unknown account: "&amp;K1018,IF(NOT(ISNUMBER(L1018)),"Enter an amount",IF(L1018=0,"Enter an amount",IF(ABS(W1018)&gt;ABS(L1018),"Tax is larger than the amount","")))))))))))))</f>
        <v/>
      </c>
      <c r="Y1018" s="67">
        <f>IF(OR(T1018=1,X1018&lt;&gt;""),"",IF(AND(B1018&lt;&gt;"",COUNTIF(tx_ID,B1018)&gt;1),"Duplicate transaction ID",IF(AND(L1018&lt;0,D1018&lt;&gt;"Adjustment"),"Negative amount — check this entry",IF(AND(D1018="Customer Payment",G1018=""),"Add the customer",IF(AND(D1018="Customer Payment",OR(J1018="",COUNTIF(ar_No,J1018&amp;"")=0)),"Invoice # in Reference not found on AR sheet",IF(AND(D1018="Bill Payment",H1018=""),"Add the vendor",IF(AND(D1018="Bill Payment",OR(J1018="",COUNTIFS(ap_No,J1018&amp;"",ap_Party,H1018&amp;"")=0)),"Bill # + vendor not found on AP sheet",IF(AND(ISNUMBER(M1018),N(M1018)&lt;&gt;0,W1018=0),"Tax ignored (tax tracking off, or not allowed for this type)",IF(V1018=K1018&amp;"","Same account on both sides",IF(AND(ISNUMBER(StartDate),C1018&lt;StartDate),"Date is before the accounting start date",IF(AND(D1018&lt;&gt;"Adjustment",IFERROR(INDEX(coa_Pay,MATCH(K1018&amp;"",coa_Name,0)),"")&lt;&gt;"Yes"),"Paid From / Deposited To is not a payment account","")))))))))))</f>
        <v/>
      </c>
      <c r="Z1018" s="67">
        <f>IF(AND(T1018=0,X1018=""),1,0)</f>
        <v/>
      </c>
      <c r="AA1018" s="68">
        <f>IF(Z1018=1,IF(U1018="In",L1018,L1018-W1018),0)</f>
        <v/>
      </c>
      <c r="AB1018" s="68">
        <f>IF(Z1018=1,IF(U1018="In",L1018-W1018,L1018),0)</f>
        <v/>
      </c>
      <c r="AC1018" s="68">
        <f>IF(AND(Z1018=1,U1018="Out"),W1018,0)</f>
        <v/>
      </c>
      <c r="AD1018" s="68">
        <f>IF(AND(Z1018=1,U1018="In"),W1018,0)</f>
        <v/>
      </c>
    </row>
    <row r="1019">
      <c r="B1019" s="62" t="inlineStr">
        <is>
          <t>TX-1013</t>
        </is>
      </c>
      <c r="C1019" s="63" t="n"/>
      <c r="D1019" s="62" t="n"/>
      <c r="E1019" s="62" t="n"/>
      <c r="F1019" s="62" t="n"/>
      <c r="G1019" s="62" t="n"/>
      <c r="H1019" s="62" t="n"/>
      <c r="I1019" s="62" t="n"/>
      <c r="J1019" s="62" t="n"/>
      <c r="K1019" s="62" t="n"/>
      <c r="L1019" s="64" t="n"/>
      <c r="M1019" s="64" t="n"/>
      <c r="N1019" s="62" t="n"/>
      <c r="O1019" s="65">
        <f>IF(Z1019=1,L1019-W1019,"")</f>
        <v/>
      </c>
      <c r="P1019" s="66">
        <f>IF(V1019="","",IFERROR(INDEX(coa_Type,MATCH(V1019,coa_Name,0)),""))</f>
        <v/>
      </c>
      <c r="Q1019" s="66">
        <f>IF(Z1019=1,IF(U1019="In",K1019&amp;"",V1019),"")</f>
        <v/>
      </c>
      <c r="R1019" s="66">
        <f>IF(Z1019=1,IF(U1019="In",V1019,K1019&amp;""),"")</f>
        <v/>
      </c>
      <c r="S1019" s="66">
        <f>IF(X1019&lt;&gt;"","⛔ "&amp;X1019&amp;" — not posted",IF(Y1019&lt;&gt;"","⚠ "&amp;Y1019,IF(Z1019=1,"✓ OK","")))</f>
        <v/>
      </c>
      <c r="T1019" s="67">
        <f>IF(AND(C1019="",D1019="",E1019="",L1019="",K1019=""),1,0)</f>
        <v/>
      </c>
      <c r="U1019" s="67">
        <f>IFERROR(INDEX(tt_Dir,MATCH(D1019,tt_Type,0)),"")</f>
        <v/>
      </c>
      <c r="V1019" s="67">
        <f>IF(D1019="","",IFERROR(IF(INDEX(tt_Other,MATCH(D1019,tt_Type,0))="",E1019&amp;"",INDEX(tt_Other,MATCH(D1019,tt_Type,0))),""))</f>
        <v/>
      </c>
      <c r="W1019" s="68">
        <f>IF(OR(TaxOn&lt;&gt;"Yes",NOT(ISNUMBER(M1019))),0,IF(IFERROR(INDEX(tt_Tax,MATCH(D1019,tt_Type,0)),"No")="Yes",M1019,0))</f>
        <v/>
      </c>
      <c r="X1019" s="67">
        <f>IF(T1019=1,"",IF(C1019="","Missing transaction date",IF(NOT(ISNUMBER(C1019)),"Invalid date",IF(OR(C1019&lt;DATE(2000,1,1),C1019&gt;DATE(2099,12,31)),"Invalid date",IF(D1019="","Select a type",IF(U1019="","Unknown type: "&amp;D1019,IF(V1019="","Select an account (Category)",IF(ISNA(MATCH(V1019,coa_Name,0)),"Unknown account: "&amp;V1019,IF(K1019="","Select Paid From / Deposited To",IF(ISNA(MATCH(K1019,coa_Name,0)),"Unknown account: "&amp;K1019,IF(NOT(ISNUMBER(L1019)),"Enter an amount",IF(L1019=0,"Enter an amount",IF(ABS(W1019)&gt;ABS(L1019),"Tax is larger than the amount","")))))))))))))</f>
        <v/>
      </c>
      <c r="Y1019" s="67">
        <f>IF(OR(T1019=1,X1019&lt;&gt;""),"",IF(AND(B1019&lt;&gt;"",COUNTIF(tx_ID,B1019)&gt;1),"Duplicate transaction ID",IF(AND(L1019&lt;0,D1019&lt;&gt;"Adjustment"),"Negative amount — check this entry",IF(AND(D1019="Customer Payment",G1019=""),"Add the customer",IF(AND(D1019="Customer Payment",OR(J1019="",COUNTIF(ar_No,J1019&amp;"")=0)),"Invoice # in Reference not found on AR sheet",IF(AND(D1019="Bill Payment",H1019=""),"Add the vendor",IF(AND(D1019="Bill Payment",OR(J1019="",COUNTIFS(ap_No,J1019&amp;"",ap_Party,H1019&amp;"")=0)),"Bill # + vendor not found on AP sheet",IF(AND(ISNUMBER(M1019),N(M1019)&lt;&gt;0,W1019=0),"Tax ignored (tax tracking off, or not allowed for this type)",IF(V1019=K1019&amp;"","Same account on both sides",IF(AND(ISNUMBER(StartDate),C1019&lt;StartDate),"Date is before the accounting start date",IF(AND(D1019&lt;&gt;"Adjustment",IFERROR(INDEX(coa_Pay,MATCH(K1019&amp;"",coa_Name,0)),"")&lt;&gt;"Yes"),"Paid From / Deposited To is not a payment account","")))))))))))</f>
        <v/>
      </c>
      <c r="Z1019" s="67">
        <f>IF(AND(T1019=0,X1019=""),1,0)</f>
        <v/>
      </c>
      <c r="AA1019" s="68">
        <f>IF(Z1019=1,IF(U1019="In",L1019,L1019-W1019),0)</f>
        <v/>
      </c>
      <c r="AB1019" s="68">
        <f>IF(Z1019=1,IF(U1019="In",L1019-W1019,L1019),0)</f>
        <v/>
      </c>
      <c r="AC1019" s="68">
        <f>IF(AND(Z1019=1,U1019="Out"),W1019,0)</f>
        <v/>
      </c>
      <c r="AD1019" s="68">
        <f>IF(AND(Z1019=1,U1019="In"),W1019,0)</f>
        <v/>
      </c>
    </row>
    <row r="1020">
      <c r="B1020" s="62" t="inlineStr">
        <is>
          <t>TX-1014</t>
        </is>
      </c>
      <c r="C1020" s="63" t="n"/>
      <c r="D1020" s="62" t="n"/>
      <c r="E1020" s="62" t="n"/>
      <c r="F1020" s="62" t="n"/>
      <c r="G1020" s="62" t="n"/>
      <c r="H1020" s="62" t="n"/>
      <c r="I1020" s="62" t="n"/>
      <c r="J1020" s="62" t="n"/>
      <c r="K1020" s="62" t="n"/>
      <c r="L1020" s="64" t="n"/>
      <c r="M1020" s="64" t="n"/>
      <c r="N1020" s="62" t="n"/>
      <c r="O1020" s="65">
        <f>IF(Z1020=1,L1020-W1020,"")</f>
        <v/>
      </c>
      <c r="P1020" s="66">
        <f>IF(V1020="","",IFERROR(INDEX(coa_Type,MATCH(V1020,coa_Name,0)),""))</f>
        <v/>
      </c>
      <c r="Q1020" s="66">
        <f>IF(Z1020=1,IF(U1020="In",K1020&amp;"",V1020),"")</f>
        <v/>
      </c>
      <c r="R1020" s="66">
        <f>IF(Z1020=1,IF(U1020="In",V1020,K1020&amp;""),"")</f>
        <v/>
      </c>
      <c r="S1020" s="66">
        <f>IF(X1020&lt;&gt;"","⛔ "&amp;X1020&amp;" — not posted",IF(Y1020&lt;&gt;"","⚠ "&amp;Y1020,IF(Z1020=1,"✓ OK","")))</f>
        <v/>
      </c>
      <c r="T1020" s="67">
        <f>IF(AND(C1020="",D1020="",E1020="",L1020="",K1020=""),1,0)</f>
        <v/>
      </c>
      <c r="U1020" s="67">
        <f>IFERROR(INDEX(tt_Dir,MATCH(D1020,tt_Type,0)),"")</f>
        <v/>
      </c>
      <c r="V1020" s="67">
        <f>IF(D1020="","",IFERROR(IF(INDEX(tt_Other,MATCH(D1020,tt_Type,0))="",E1020&amp;"",INDEX(tt_Other,MATCH(D1020,tt_Type,0))),""))</f>
        <v/>
      </c>
      <c r="W1020" s="68">
        <f>IF(OR(TaxOn&lt;&gt;"Yes",NOT(ISNUMBER(M1020))),0,IF(IFERROR(INDEX(tt_Tax,MATCH(D1020,tt_Type,0)),"No")="Yes",M1020,0))</f>
        <v/>
      </c>
      <c r="X1020" s="67">
        <f>IF(T1020=1,"",IF(C1020="","Missing transaction date",IF(NOT(ISNUMBER(C1020)),"Invalid date",IF(OR(C1020&lt;DATE(2000,1,1),C1020&gt;DATE(2099,12,31)),"Invalid date",IF(D1020="","Select a type",IF(U1020="","Unknown type: "&amp;D1020,IF(V1020="","Select an account (Category)",IF(ISNA(MATCH(V1020,coa_Name,0)),"Unknown account: "&amp;V1020,IF(K1020="","Select Paid From / Deposited To",IF(ISNA(MATCH(K1020,coa_Name,0)),"Unknown account: "&amp;K1020,IF(NOT(ISNUMBER(L1020)),"Enter an amount",IF(L1020=0,"Enter an amount",IF(ABS(W1020)&gt;ABS(L1020),"Tax is larger than the amount","")))))))))))))</f>
        <v/>
      </c>
      <c r="Y1020" s="67">
        <f>IF(OR(T1020=1,X1020&lt;&gt;""),"",IF(AND(B1020&lt;&gt;"",COUNTIF(tx_ID,B1020)&gt;1),"Duplicate transaction ID",IF(AND(L1020&lt;0,D1020&lt;&gt;"Adjustment"),"Negative amount — check this entry",IF(AND(D1020="Customer Payment",G1020=""),"Add the customer",IF(AND(D1020="Customer Payment",OR(J1020="",COUNTIF(ar_No,J1020&amp;"")=0)),"Invoice # in Reference not found on AR sheet",IF(AND(D1020="Bill Payment",H1020=""),"Add the vendor",IF(AND(D1020="Bill Payment",OR(J1020="",COUNTIFS(ap_No,J1020&amp;"",ap_Party,H1020&amp;"")=0)),"Bill # + vendor not found on AP sheet",IF(AND(ISNUMBER(M1020),N(M1020)&lt;&gt;0,W1020=0),"Tax ignored (tax tracking off, or not allowed for this type)",IF(V1020=K1020&amp;"","Same account on both sides",IF(AND(ISNUMBER(StartDate),C1020&lt;StartDate),"Date is before the accounting start date",IF(AND(D1020&lt;&gt;"Adjustment",IFERROR(INDEX(coa_Pay,MATCH(K1020&amp;"",coa_Name,0)),"")&lt;&gt;"Yes"),"Paid From / Deposited To is not a payment account","")))))))))))</f>
        <v/>
      </c>
      <c r="Z1020" s="67">
        <f>IF(AND(T1020=0,X1020=""),1,0)</f>
        <v/>
      </c>
      <c r="AA1020" s="68">
        <f>IF(Z1020=1,IF(U1020="In",L1020,L1020-W1020),0)</f>
        <v/>
      </c>
      <c r="AB1020" s="68">
        <f>IF(Z1020=1,IF(U1020="In",L1020-W1020,L1020),0)</f>
        <v/>
      </c>
      <c r="AC1020" s="68">
        <f>IF(AND(Z1020=1,U1020="Out"),W1020,0)</f>
        <v/>
      </c>
      <c r="AD1020" s="68">
        <f>IF(AND(Z1020=1,U1020="In"),W1020,0)</f>
        <v/>
      </c>
    </row>
    <row r="1021">
      <c r="B1021" s="62" t="inlineStr">
        <is>
          <t>TX-1015</t>
        </is>
      </c>
      <c r="C1021" s="63" t="n"/>
      <c r="D1021" s="62" t="n"/>
      <c r="E1021" s="62" t="n"/>
      <c r="F1021" s="62" t="n"/>
      <c r="G1021" s="62" t="n"/>
      <c r="H1021" s="62" t="n"/>
      <c r="I1021" s="62" t="n"/>
      <c r="J1021" s="62" t="n"/>
      <c r="K1021" s="62" t="n"/>
      <c r="L1021" s="64" t="n"/>
      <c r="M1021" s="64" t="n"/>
      <c r="N1021" s="62" t="n"/>
      <c r="O1021" s="65">
        <f>IF(Z1021=1,L1021-W1021,"")</f>
        <v/>
      </c>
      <c r="P1021" s="66">
        <f>IF(V1021="","",IFERROR(INDEX(coa_Type,MATCH(V1021,coa_Name,0)),""))</f>
        <v/>
      </c>
      <c r="Q1021" s="66">
        <f>IF(Z1021=1,IF(U1021="In",K1021&amp;"",V1021),"")</f>
        <v/>
      </c>
      <c r="R1021" s="66">
        <f>IF(Z1021=1,IF(U1021="In",V1021,K1021&amp;""),"")</f>
        <v/>
      </c>
      <c r="S1021" s="66">
        <f>IF(X1021&lt;&gt;"","⛔ "&amp;X1021&amp;" — not posted",IF(Y1021&lt;&gt;"","⚠ "&amp;Y1021,IF(Z1021=1,"✓ OK","")))</f>
        <v/>
      </c>
      <c r="T1021" s="67">
        <f>IF(AND(C1021="",D1021="",E1021="",L1021="",K1021=""),1,0)</f>
        <v/>
      </c>
      <c r="U1021" s="67">
        <f>IFERROR(INDEX(tt_Dir,MATCH(D1021,tt_Type,0)),"")</f>
        <v/>
      </c>
      <c r="V1021" s="67">
        <f>IF(D1021="","",IFERROR(IF(INDEX(tt_Other,MATCH(D1021,tt_Type,0))="",E1021&amp;"",INDEX(tt_Other,MATCH(D1021,tt_Type,0))),""))</f>
        <v/>
      </c>
      <c r="W1021" s="68">
        <f>IF(OR(TaxOn&lt;&gt;"Yes",NOT(ISNUMBER(M1021))),0,IF(IFERROR(INDEX(tt_Tax,MATCH(D1021,tt_Type,0)),"No")="Yes",M1021,0))</f>
        <v/>
      </c>
      <c r="X1021" s="67">
        <f>IF(T1021=1,"",IF(C1021="","Missing transaction date",IF(NOT(ISNUMBER(C1021)),"Invalid date",IF(OR(C1021&lt;DATE(2000,1,1),C1021&gt;DATE(2099,12,31)),"Invalid date",IF(D1021="","Select a type",IF(U1021="","Unknown type: "&amp;D1021,IF(V1021="","Select an account (Category)",IF(ISNA(MATCH(V1021,coa_Name,0)),"Unknown account: "&amp;V1021,IF(K1021="","Select Paid From / Deposited To",IF(ISNA(MATCH(K1021,coa_Name,0)),"Unknown account: "&amp;K1021,IF(NOT(ISNUMBER(L1021)),"Enter an amount",IF(L1021=0,"Enter an amount",IF(ABS(W1021)&gt;ABS(L1021),"Tax is larger than the amount","")))))))))))))</f>
        <v/>
      </c>
      <c r="Y1021" s="67">
        <f>IF(OR(T1021=1,X1021&lt;&gt;""),"",IF(AND(B1021&lt;&gt;"",COUNTIF(tx_ID,B1021)&gt;1),"Duplicate transaction ID",IF(AND(L1021&lt;0,D1021&lt;&gt;"Adjustment"),"Negative amount — check this entry",IF(AND(D1021="Customer Payment",G1021=""),"Add the customer",IF(AND(D1021="Customer Payment",OR(J1021="",COUNTIF(ar_No,J1021&amp;"")=0)),"Invoice # in Reference not found on AR sheet",IF(AND(D1021="Bill Payment",H1021=""),"Add the vendor",IF(AND(D1021="Bill Payment",OR(J1021="",COUNTIFS(ap_No,J1021&amp;"",ap_Party,H1021&amp;"")=0)),"Bill # + vendor not found on AP sheet",IF(AND(ISNUMBER(M1021),N(M1021)&lt;&gt;0,W1021=0),"Tax ignored (tax tracking off, or not allowed for this type)",IF(V1021=K1021&amp;"","Same account on both sides",IF(AND(ISNUMBER(StartDate),C1021&lt;StartDate),"Date is before the accounting start date",IF(AND(D1021&lt;&gt;"Adjustment",IFERROR(INDEX(coa_Pay,MATCH(K1021&amp;"",coa_Name,0)),"")&lt;&gt;"Yes"),"Paid From / Deposited To is not a payment account","")))))))))))</f>
        <v/>
      </c>
      <c r="Z1021" s="67">
        <f>IF(AND(T1021=0,X1021=""),1,0)</f>
        <v/>
      </c>
      <c r="AA1021" s="68">
        <f>IF(Z1021=1,IF(U1021="In",L1021,L1021-W1021),0)</f>
        <v/>
      </c>
      <c r="AB1021" s="68">
        <f>IF(Z1021=1,IF(U1021="In",L1021-W1021,L1021),0)</f>
        <v/>
      </c>
      <c r="AC1021" s="68">
        <f>IF(AND(Z1021=1,U1021="Out"),W1021,0)</f>
        <v/>
      </c>
      <c r="AD1021" s="68">
        <f>IF(AND(Z1021=1,U1021="In"),W1021,0)</f>
        <v/>
      </c>
    </row>
    <row r="1022">
      <c r="B1022" s="62" t="inlineStr">
        <is>
          <t>TX-1016</t>
        </is>
      </c>
      <c r="C1022" s="63" t="n"/>
      <c r="D1022" s="62" t="n"/>
      <c r="E1022" s="62" t="n"/>
      <c r="F1022" s="62" t="n"/>
      <c r="G1022" s="62" t="n"/>
      <c r="H1022" s="62" t="n"/>
      <c r="I1022" s="62" t="n"/>
      <c r="J1022" s="62" t="n"/>
      <c r="K1022" s="62" t="n"/>
      <c r="L1022" s="64" t="n"/>
      <c r="M1022" s="64" t="n"/>
      <c r="N1022" s="62" t="n"/>
      <c r="O1022" s="65">
        <f>IF(Z1022=1,L1022-W1022,"")</f>
        <v/>
      </c>
      <c r="P1022" s="66">
        <f>IF(V1022="","",IFERROR(INDEX(coa_Type,MATCH(V1022,coa_Name,0)),""))</f>
        <v/>
      </c>
      <c r="Q1022" s="66">
        <f>IF(Z1022=1,IF(U1022="In",K1022&amp;"",V1022),"")</f>
        <v/>
      </c>
      <c r="R1022" s="66">
        <f>IF(Z1022=1,IF(U1022="In",V1022,K1022&amp;""),"")</f>
        <v/>
      </c>
      <c r="S1022" s="66">
        <f>IF(X1022&lt;&gt;"","⛔ "&amp;X1022&amp;" — not posted",IF(Y1022&lt;&gt;"","⚠ "&amp;Y1022,IF(Z1022=1,"✓ OK","")))</f>
        <v/>
      </c>
      <c r="T1022" s="67">
        <f>IF(AND(C1022="",D1022="",E1022="",L1022="",K1022=""),1,0)</f>
        <v/>
      </c>
      <c r="U1022" s="67">
        <f>IFERROR(INDEX(tt_Dir,MATCH(D1022,tt_Type,0)),"")</f>
        <v/>
      </c>
      <c r="V1022" s="67">
        <f>IF(D1022="","",IFERROR(IF(INDEX(tt_Other,MATCH(D1022,tt_Type,0))="",E1022&amp;"",INDEX(tt_Other,MATCH(D1022,tt_Type,0))),""))</f>
        <v/>
      </c>
      <c r="W1022" s="68">
        <f>IF(OR(TaxOn&lt;&gt;"Yes",NOT(ISNUMBER(M1022))),0,IF(IFERROR(INDEX(tt_Tax,MATCH(D1022,tt_Type,0)),"No")="Yes",M1022,0))</f>
        <v/>
      </c>
      <c r="X1022" s="67">
        <f>IF(T1022=1,"",IF(C1022="","Missing transaction date",IF(NOT(ISNUMBER(C1022)),"Invalid date",IF(OR(C1022&lt;DATE(2000,1,1),C1022&gt;DATE(2099,12,31)),"Invalid date",IF(D1022="","Select a type",IF(U1022="","Unknown type: "&amp;D1022,IF(V1022="","Select an account (Category)",IF(ISNA(MATCH(V1022,coa_Name,0)),"Unknown account: "&amp;V1022,IF(K1022="","Select Paid From / Deposited To",IF(ISNA(MATCH(K1022,coa_Name,0)),"Unknown account: "&amp;K1022,IF(NOT(ISNUMBER(L1022)),"Enter an amount",IF(L1022=0,"Enter an amount",IF(ABS(W1022)&gt;ABS(L1022),"Tax is larger than the amount","")))))))))))))</f>
        <v/>
      </c>
      <c r="Y1022" s="67">
        <f>IF(OR(T1022=1,X1022&lt;&gt;""),"",IF(AND(B1022&lt;&gt;"",COUNTIF(tx_ID,B1022)&gt;1),"Duplicate transaction ID",IF(AND(L1022&lt;0,D1022&lt;&gt;"Adjustment"),"Negative amount — check this entry",IF(AND(D1022="Customer Payment",G1022=""),"Add the customer",IF(AND(D1022="Customer Payment",OR(J1022="",COUNTIF(ar_No,J1022&amp;"")=0)),"Invoice # in Reference not found on AR sheet",IF(AND(D1022="Bill Payment",H1022=""),"Add the vendor",IF(AND(D1022="Bill Payment",OR(J1022="",COUNTIFS(ap_No,J1022&amp;"",ap_Party,H1022&amp;"")=0)),"Bill # + vendor not found on AP sheet",IF(AND(ISNUMBER(M1022),N(M1022)&lt;&gt;0,W1022=0),"Tax ignored (tax tracking off, or not allowed for this type)",IF(V1022=K1022&amp;"","Same account on both sides",IF(AND(ISNUMBER(StartDate),C1022&lt;StartDate),"Date is before the accounting start date",IF(AND(D1022&lt;&gt;"Adjustment",IFERROR(INDEX(coa_Pay,MATCH(K1022&amp;"",coa_Name,0)),"")&lt;&gt;"Yes"),"Paid From / Deposited To is not a payment account","")))))))))))</f>
        <v/>
      </c>
      <c r="Z1022" s="67">
        <f>IF(AND(T1022=0,X1022=""),1,0)</f>
        <v/>
      </c>
      <c r="AA1022" s="68">
        <f>IF(Z1022=1,IF(U1022="In",L1022,L1022-W1022),0)</f>
        <v/>
      </c>
      <c r="AB1022" s="68">
        <f>IF(Z1022=1,IF(U1022="In",L1022-W1022,L1022),0)</f>
        <v/>
      </c>
      <c r="AC1022" s="68">
        <f>IF(AND(Z1022=1,U1022="Out"),W1022,0)</f>
        <v/>
      </c>
      <c r="AD1022" s="68">
        <f>IF(AND(Z1022=1,U1022="In"),W1022,0)</f>
        <v/>
      </c>
    </row>
    <row r="1023">
      <c r="B1023" s="62" t="inlineStr">
        <is>
          <t>TX-1017</t>
        </is>
      </c>
      <c r="C1023" s="63" t="n"/>
      <c r="D1023" s="62" t="n"/>
      <c r="E1023" s="62" t="n"/>
      <c r="F1023" s="62" t="n"/>
      <c r="G1023" s="62" t="n"/>
      <c r="H1023" s="62" t="n"/>
      <c r="I1023" s="62" t="n"/>
      <c r="J1023" s="62" t="n"/>
      <c r="K1023" s="62" t="n"/>
      <c r="L1023" s="64" t="n"/>
      <c r="M1023" s="64" t="n"/>
      <c r="N1023" s="62" t="n"/>
      <c r="O1023" s="65">
        <f>IF(Z1023=1,L1023-W1023,"")</f>
        <v/>
      </c>
      <c r="P1023" s="66">
        <f>IF(V1023="","",IFERROR(INDEX(coa_Type,MATCH(V1023,coa_Name,0)),""))</f>
        <v/>
      </c>
      <c r="Q1023" s="66">
        <f>IF(Z1023=1,IF(U1023="In",K1023&amp;"",V1023),"")</f>
        <v/>
      </c>
      <c r="R1023" s="66">
        <f>IF(Z1023=1,IF(U1023="In",V1023,K1023&amp;""),"")</f>
        <v/>
      </c>
      <c r="S1023" s="66">
        <f>IF(X1023&lt;&gt;"","⛔ "&amp;X1023&amp;" — not posted",IF(Y1023&lt;&gt;"","⚠ "&amp;Y1023,IF(Z1023=1,"✓ OK","")))</f>
        <v/>
      </c>
      <c r="T1023" s="67">
        <f>IF(AND(C1023="",D1023="",E1023="",L1023="",K1023=""),1,0)</f>
        <v/>
      </c>
      <c r="U1023" s="67">
        <f>IFERROR(INDEX(tt_Dir,MATCH(D1023,tt_Type,0)),"")</f>
        <v/>
      </c>
      <c r="V1023" s="67">
        <f>IF(D1023="","",IFERROR(IF(INDEX(tt_Other,MATCH(D1023,tt_Type,0))="",E1023&amp;"",INDEX(tt_Other,MATCH(D1023,tt_Type,0))),""))</f>
        <v/>
      </c>
      <c r="W1023" s="68">
        <f>IF(OR(TaxOn&lt;&gt;"Yes",NOT(ISNUMBER(M1023))),0,IF(IFERROR(INDEX(tt_Tax,MATCH(D1023,tt_Type,0)),"No")="Yes",M1023,0))</f>
        <v/>
      </c>
      <c r="X1023" s="67">
        <f>IF(T1023=1,"",IF(C1023="","Missing transaction date",IF(NOT(ISNUMBER(C1023)),"Invalid date",IF(OR(C1023&lt;DATE(2000,1,1),C1023&gt;DATE(2099,12,31)),"Invalid date",IF(D1023="","Select a type",IF(U1023="","Unknown type: "&amp;D1023,IF(V1023="","Select an account (Category)",IF(ISNA(MATCH(V1023,coa_Name,0)),"Unknown account: "&amp;V1023,IF(K1023="","Select Paid From / Deposited To",IF(ISNA(MATCH(K1023,coa_Name,0)),"Unknown account: "&amp;K1023,IF(NOT(ISNUMBER(L1023)),"Enter an amount",IF(L1023=0,"Enter an amount",IF(ABS(W1023)&gt;ABS(L1023),"Tax is larger than the amount","")))))))))))))</f>
        <v/>
      </c>
      <c r="Y1023" s="67">
        <f>IF(OR(T1023=1,X1023&lt;&gt;""),"",IF(AND(B1023&lt;&gt;"",COUNTIF(tx_ID,B1023)&gt;1),"Duplicate transaction ID",IF(AND(L1023&lt;0,D1023&lt;&gt;"Adjustment"),"Negative amount — check this entry",IF(AND(D1023="Customer Payment",G1023=""),"Add the customer",IF(AND(D1023="Customer Payment",OR(J1023="",COUNTIF(ar_No,J1023&amp;"")=0)),"Invoice # in Reference not found on AR sheet",IF(AND(D1023="Bill Payment",H1023=""),"Add the vendor",IF(AND(D1023="Bill Payment",OR(J1023="",COUNTIFS(ap_No,J1023&amp;"",ap_Party,H1023&amp;"")=0)),"Bill # + vendor not found on AP sheet",IF(AND(ISNUMBER(M1023),N(M1023)&lt;&gt;0,W1023=0),"Tax ignored (tax tracking off, or not allowed for this type)",IF(V1023=K1023&amp;"","Same account on both sides",IF(AND(ISNUMBER(StartDate),C1023&lt;StartDate),"Date is before the accounting start date",IF(AND(D1023&lt;&gt;"Adjustment",IFERROR(INDEX(coa_Pay,MATCH(K1023&amp;"",coa_Name,0)),"")&lt;&gt;"Yes"),"Paid From / Deposited To is not a payment account","")))))))))))</f>
        <v/>
      </c>
      <c r="Z1023" s="67">
        <f>IF(AND(T1023=0,X1023=""),1,0)</f>
        <v/>
      </c>
      <c r="AA1023" s="68">
        <f>IF(Z1023=1,IF(U1023="In",L1023,L1023-W1023),0)</f>
        <v/>
      </c>
      <c r="AB1023" s="68">
        <f>IF(Z1023=1,IF(U1023="In",L1023-W1023,L1023),0)</f>
        <v/>
      </c>
      <c r="AC1023" s="68">
        <f>IF(AND(Z1023=1,U1023="Out"),W1023,0)</f>
        <v/>
      </c>
      <c r="AD1023" s="68">
        <f>IF(AND(Z1023=1,U1023="In"),W1023,0)</f>
        <v/>
      </c>
    </row>
    <row r="1024">
      <c r="B1024" s="62" t="inlineStr">
        <is>
          <t>TX-1018</t>
        </is>
      </c>
      <c r="C1024" s="63" t="n"/>
      <c r="D1024" s="62" t="n"/>
      <c r="E1024" s="62" t="n"/>
      <c r="F1024" s="62" t="n"/>
      <c r="G1024" s="62" t="n"/>
      <c r="H1024" s="62" t="n"/>
      <c r="I1024" s="62" t="n"/>
      <c r="J1024" s="62" t="n"/>
      <c r="K1024" s="62" t="n"/>
      <c r="L1024" s="64" t="n"/>
      <c r="M1024" s="64" t="n"/>
      <c r="N1024" s="62" t="n"/>
      <c r="O1024" s="65">
        <f>IF(Z1024=1,L1024-W1024,"")</f>
        <v/>
      </c>
      <c r="P1024" s="66">
        <f>IF(V1024="","",IFERROR(INDEX(coa_Type,MATCH(V1024,coa_Name,0)),""))</f>
        <v/>
      </c>
      <c r="Q1024" s="66">
        <f>IF(Z1024=1,IF(U1024="In",K1024&amp;"",V1024),"")</f>
        <v/>
      </c>
      <c r="R1024" s="66">
        <f>IF(Z1024=1,IF(U1024="In",V1024,K1024&amp;""),"")</f>
        <v/>
      </c>
      <c r="S1024" s="66">
        <f>IF(X1024&lt;&gt;"","⛔ "&amp;X1024&amp;" — not posted",IF(Y1024&lt;&gt;"","⚠ "&amp;Y1024,IF(Z1024=1,"✓ OK","")))</f>
        <v/>
      </c>
      <c r="T1024" s="67">
        <f>IF(AND(C1024="",D1024="",E1024="",L1024="",K1024=""),1,0)</f>
        <v/>
      </c>
      <c r="U1024" s="67">
        <f>IFERROR(INDEX(tt_Dir,MATCH(D1024,tt_Type,0)),"")</f>
        <v/>
      </c>
      <c r="V1024" s="67">
        <f>IF(D1024="","",IFERROR(IF(INDEX(tt_Other,MATCH(D1024,tt_Type,0))="",E1024&amp;"",INDEX(tt_Other,MATCH(D1024,tt_Type,0))),""))</f>
        <v/>
      </c>
      <c r="W1024" s="68">
        <f>IF(OR(TaxOn&lt;&gt;"Yes",NOT(ISNUMBER(M1024))),0,IF(IFERROR(INDEX(tt_Tax,MATCH(D1024,tt_Type,0)),"No")="Yes",M1024,0))</f>
        <v/>
      </c>
      <c r="X1024" s="67">
        <f>IF(T1024=1,"",IF(C1024="","Missing transaction date",IF(NOT(ISNUMBER(C1024)),"Invalid date",IF(OR(C1024&lt;DATE(2000,1,1),C1024&gt;DATE(2099,12,31)),"Invalid date",IF(D1024="","Select a type",IF(U1024="","Unknown type: "&amp;D1024,IF(V1024="","Select an account (Category)",IF(ISNA(MATCH(V1024,coa_Name,0)),"Unknown account: "&amp;V1024,IF(K1024="","Select Paid From / Deposited To",IF(ISNA(MATCH(K1024,coa_Name,0)),"Unknown account: "&amp;K1024,IF(NOT(ISNUMBER(L1024)),"Enter an amount",IF(L1024=0,"Enter an amount",IF(ABS(W1024)&gt;ABS(L1024),"Tax is larger than the amount","")))))))))))))</f>
        <v/>
      </c>
      <c r="Y1024" s="67">
        <f>IF(OR(T1024=1,X1024&lt;&gt;""),"",IF(AND(B1024&lt;&gt;"",COUNTIF(tx_ID,B1024)&gt;1),"Duplicate transaction ID",IF(AND(L1024&lt;0,D1024&lt;&gt;"Adjustment"),"Negative amount — check this entry",IF(AND(D1024="Customer Payment",G1024=""),"Add the customer",IF(AND(D1024="Customer Payment",OR(J1024="",COUNTIF(ar_No,J1024&amp;"")=0)),"Invoice # in Reference not found on AR sheet",IF(AND(D1024="Bill Payment",H1024=""),"Add the vendor",IF(AND(D1024="Bill Payment",OR(J1024="",COUNTIFS(ap_No,J1024&amp;"",ap_Party,H1024&amp;"")=0)),"Bill # + vendor not found on AP sheet",IF(AND(ISNUMBER(M1024),N(M1024)&lt;&gt;0,W1024=0),"Tax ignored (tax tracking off, or not allowed for this type)",IF(V1024=K1024&amp;"","Same account on both sides",IF(AND(ISNUMBER(StartDate),C1024&lt;StartDate),"Date is before the accounting start date",IF(AND(D1024&lt;&gt;"Adjustment",IFERROR(INDEX(coa_Pay,MATCH(K1024&amp;"",coa_Name,0)),"")&lt;&gt;"Yes"),"Paid From / Deposited To is not a payment account","")))))))))))</f>
        <v/>
      </c>
      <c r="Z1024" s="67">
        <f>IF(AND(T1024=0,X1024=""),1,0)</f>
        <v/>
      </c>
      <c r="AA1024" s="68">
        <f>IF(Z1024=1,IF(U1024="In",L1024,L1024-W1024),0)</f>
        <v/>
      </c>
      <c r="AB1024" s="68">
        <f>IF(Z1024=1,IF(U1024="In",L1024-W1024,L1024),0)</f>
        <v/>
      </c>
      <c r="AC1024" s="68">
        <f>IF(AND(Z1024=1,U1024="Out"),W1024,0)</f>
        <v/>
      </c>
      <c r="AD1024" s="68">
        <f>IF(AND(Z1024=1,U1024="In"),W1024,0)</f>
        <v/>
      </c>
    </row>
    <row r="1025">
      <c r="B1025" s="62" t="inlineStr">
        <is>
          <t>TX-1019</t>
        </is>
      </c>
      <c r="C1025" s="63" t="n"/>
      <c r="D1025" s="62" t="n"/>
      <c r="E1025" s="62" t="n"/>
      <c r="F1025" s="62" t="n"/>
      <c r="G1025" s="62" t="n"/>
      <c r="H1025" s="62" t="n"/>
      <c r="I1025" s="62" t="n"/>
      <c r="J1025" s="62" t="n"/>
      <c r="K1025" s="62" t="n"/>
      <c r="L1025" s="64" t="n"/>
      <c r="M1025" s="64" t="n"/>
      <c r="N1025" s="62" t="n"/>
      <c r="O1025" s="65">
        <f>IF(Z1025=1,L1025-W1025,"")</f>
        <v/>
      </c>
      <c r="P1025" s="66">
        <f>IF(V1025="","",IFERROR(INDEX(coa_Type,MATCH(V1025,coa_Name,0)),""))</f>
        <v/>
      </c>
      <c r="Q1025" s="66">
        <f>IF(Z1025=1,IF(U1025="In",K1025&amp;"",V1025),"")</f>
        <v/>
      </c>
      <c r="R1025" s="66">
        <f>IF(Z1025=1,IF(U1025="In",V1025,K1025&amp;""),"")</f>
        <v/>
      </c>
      <c r="S1025" s="66">
        <f>IF(X1025&lt;&gt;"","⛔ "&amp;X1025&amp;" — not posted",IF(Y1025&lt;&gt;"","⚠ "&amp;Y1025,IF(Z1025=1,"✓ OK","")))</f>
        <v/>
      </c>
      <c r="T1025" s="67">
        <f>IF(AND(C1025="",D1025="",E1025="",L1025="",K1025=""),1,0)</f>
        <v/>
      </c>
      <c r="U1025" s="67">
        <f>IFERROR(INDEX(tt_Dir,MATCH(D1025,tt_Type,0)),"")</f>
        <v/>
      </c>
      <c r="V1025" s="67">
        <f>IF(D1025="","",IFERROR(IF(INDEX(tt_Other,MATCH(D1025,tt_Type,0))="",E1025&amp;"",INDEX(tt_Other,MATCH(D1025,tt_Type,0))),""))</f>
        <v/>
      </c>
      <c r="W1025" s="68">
        <f>IF(OR(TaxOn&lt;&gt;"Yes",NOT(ISNUMBER(M1025))),0,IF(IFERROR(INDEX(tt_Tax,MATCH(D1025,tt_Type,0)),"No")="Yes",M1025,0))</f>
        <v/>
      </c>
      <c r="X1025" s="67">
        <f>IF(T1025=1,"",IF(C1025="","Missing transaction date",IF(NOT(ISNUMBER(C1025)),"Invalid date",IF(OR(C1025&lt;DATE(2000,1,1),C1025&gt;DATE(2099,12,31)),"Invalid date",IF(D1025="","Select a type",IF(U1025="","Unknown type: "&amp;D1025,IF(V1025="","Select an account (Category)",IF(ISNA(MATCH(V1025,coa_Name,0)),"Unknown account: "&amp;V1025,IF(K1025="","Select Paid From / Deposited To",IF(ISNA(MATCH(K1025,coa_Name,0)),"Unknown account: "&amp;K1025,IF(NOT(ISNUMBER(L1025)),"Enter an amount",IF(L1025=0,"Enter an amount",IF(ABS(W1025)&gt;ABS(L1025),"Tax is larger than the amount","")))))))))))))</f>
        <v/>
      </c>
      <c r="Y1025" s="67">
        <f>IF(OR(T1025=1,X1025&lt;&gt;""),"",IF(AND(B1025&lt;&gt;"",COUNTIF(tx_ID,B1025)&gt;1),"Duplicate transaction ID",IF(AND(L1025&lt;0,D1025&lt;&gt;"Adjustment"),"Negative amount — check this entry",IF(AND(D1025="Customer Payment",G1025=""),"Add the customer",IF(AND(D1025="Customer Payment",OR(J1025="",COUNTIF(ar_No,J1025&amp;"")=0)),"Invoice # in Reference not found on AR sheet",IF(AND(D1025="Bill Payment",H1025=""),"Add the vendor",IF(AND(D1025="Bill Payment",OR(J1025="",COUNTIFS(ap_No,J1025&amp;"",ap_Party,H1025&amp;"")=0)),"Bill # + vendor not found on AP sheet",IF(AND(ISNUMBER(M1025),N(M1025)&lt;&gt;0,W1025=0),"Tax ignored (tax tracking off, or not allowed for this type)",IF(V1025=K1025&amp;"","Same account on both sides",IF(AND(ISNUMBER(StartDate),C1025&lt;StartDate),"Date is before the accounting start date",IF(AND(D1025&lt;&gt;"Adjustment",IFERROR(INDEX(coa_Pay,MATCH(K1025&amp;"",coa_Name,0)),"")&lt;&gt;"Yes"),"Paid From / Deposited To is not a payment account","")))))))))))</f>
        <v/>
      </c>
      <c r="Z1025" s="67">
        <f>IF(AND(T1025=0,X1025=""),1,0)</f>
        <v/>
      </c>
      <c r="AA1025" s="68">
        <f>IF(Z1025=1,IF(U1025="In",L1025,L1025-W1025),0)</f>
        <v/>
      </c>
      <c r="AB1025" s="68">
        <f>IF(Z1025=1,IF(U1025="In",L1025-W1025,L1025),0)</f>
        <v/>
      </c>
      <c r="AC1025" s="68">
        <f>IF(AND(Z1025=1,U1025="Out"),W1025,0)</f>
        <v/>
      </c>
      <c r="AD1025" s="68">
        <f>IF(AND(Z1025=1,U1025="In"),W1025,0)</f>
        <v/>
      </c>
    </row>
    <row r="1026">
      <c r="B1026" s="62" t="inlineStr">
        <is>
          <t>TX-1020</t>
        </is>
      </c>
      <c r="C1026" s="63" t="n"/>
      <c r="D1026" s="62" t="n"/>
      <c r="E1026" s="62" t="n"/>
      <c r="F1026" s="62" t="n"/>
      <c r="G1026" s="62" t="n"/>
      <c r="H1026" s="62" t="n"/>
      <c r="I1026" s="62" t="n"/>
      <c r="J1026" s="62" t="n"/>
      <c r="K1026" s="62" t="n"/>
      <c r="L1026" s="64" t="n"/>
      <c r="M1026" s="64" t="n"/>
      <c r="N1026" s="62" t="n"/>
      <c r="O1026" s="65">
        <f>IF(Z1026=1,L1026-W1026,"")</f>
        <v/>
      </c>
      <c r="P1026" s="66">
        <f>IF(V1026="","",IFERROR(INDEX(coa_Type,MATCH(V1026,coa_Name,0)),""))</f>
        <v/>
      </c>
      <c r="Q1026" s="66">
        <f>IF(Z1026=1,IF(U1026="In",K1026&amp;"",V1026),"")</f>
        <v/>
      </c>
      <c r="R1026" s="66">
        <f>IF(Z1026=1,IF(U1026="In",V1026,K1026&amp;""),"")</f>
        <v/>
      </c>
      <c r="S1026" s="66">
        <f>IF(X1026&lt;&gt;"","⛔ "&amp;X1026&amp;" — not posted",IF(Y1026&lt;&gt;"","⚠ "&amp;Y1026,IF(Z1026=1,"✓ OK","")))</f>
        <v/>
      </c>
      <c r="T1026" s="67">
        <f>IF(AND(C1026="",D1026="",E1026="",L1026="",K1026=""),1,0)</f>
        <v/>
      </c>
      <c r="U1026" s="67">
        <f>IFERROR(INDEX(tt_Dir,MATCH(D1026,tt_Type,0)),"")</f>
        <v/>
      </c>
      <c r="V1026" s="67">
        <f>IF(D1026="","",IFERROR(IF(INDEX(tt_Other,MATCH(D1026,tt_Type,0))="",E1026&amp;"",INDEX(tt_Other,MATCH(D1026,tt_Type,0))),""))</f>
        <v/>
      </c>
      <c r="W1026" s="68">
        <f>IF(OR(TaxOn&lt;&gt;"Yes",NOT(ISNUMBER(M1026))),0,IF(IFERROR(INDEX(tt_Tax,MATCH(D1026,tt_Type,0)),"No")="Yes",M1026,0))</f>
        <v/>
      </c>
      <c r="X1026" s="67">
        <f>IF(T1026=1,"",IF(C1026="","Missing transaction date",IF(NOT(ISNUMBER(C1026)),"Invalid date",IF(OR(C1026&lt;DATE(2000,1,1),C1026&gt;DATE(2099,12,31)),"Invalid date",IF(D1026="","Select a type",IF(U1026="","Unknown type: "&amp;D1026,IF(V1026="","Select an account (Category)",IF(ISNA(MATCH(V1026,coa_Name,0)),"Unknown account: "&amp;V1026,IF(K1026="","Select Paid From / Deposited To",IF(ISNA(MATCH(K1026,coa_Name,0)),"Unknown account: "&amp;K1026,IF(NOT(ISNUMBER(L1026)),"Enter an amount",IF(L1026=0,"Enter an amount",IF(ABS(W1026)&gt;ABS(L1026),"Tax is larger than the amount","")))))))))))))</f>
        <v/>
      </c>
      <c r="Y1026" s="67">
        <f>IF(OR(T1026=1,X1026&lt;&gt;""),"",IF(AND(B1026&lt;&gt;"",COUNTIF(tx_ID,B1026)&gt;1),"Duplicate transaction ID",IF(AND(L1026&lt;0,D1026&lt;&gt;"Adjustment"),"Negative amount — check this entry",IF(AND(D1026="Customer Payment",G1026=""),"Add the customer",IF(AND(D1026="Customer Payment",OR(J1026="",COUNTIF(ar_No,J1026&amp;"")=0)),"Invoice # in Reference not found on AR sheet",IF(AND(D1026="Bill Payment",H1026=""),"Add the vendor",IF(AND(D1026="Bill Payment",OR(J1026="",COUNTIFS(ap_No,J1026&amp;"",ap_Party,H1026&amp;"")=0)),"Bill # + vendor not found on AP sheet",IF(AND(ISNUMBER(M1026),N(M1026)&lt;&gt;0,W1026=0),"Tax ignored (tax tracking off, or not allowed for this type)",IF(V1026=K1026&amp;"","Same account on both sides",IF(AND(ISNUMBER(StartDate),C1026&lt;StartDate),"Date is before the accounting start date",IF(AND(D1026&lt;&gt;"Adjustment",IFERROR(INDEX(coa_Pay,MATCH(K1026&amp;"",coa_Name,0)),"")&lt;&gt;"Yes"),"Paid From / Deposited To is not a payment account","")))))))))))</f>
        <v/>
      </c>
      <c r="Z1026" s="67">
        <f>IF(AND(T1026=0,X1026=""),1,0)</f>
        <v/>
      </c>
      <c r="AA1026" s="68">
        <f>IF(Z1026=1,IF(U1026="In",L1026,L1026-W1026),0)</f>
        <v/>
      </c>
      <c r="AB1026" s="68">
        <f>IF(Z1026=1,IF(U1026="In",L1026-W1026,L1026),0)</f>
        <v/>
      </c>
      <c r="AC1026" s="68">
        <f>IF(AND(Z1026=1,U1026="Out"),W1026,0)</f>
        <v/>
      </c>
      <c r="AD1026" s="68">
        <f>IF(AND(Z1026=1,U1026="In"),W1026,0)</f>
        <v/>
      </c>
    </row>
    <row r="1027">
      <c r="B1027" s="62" t="inlineStr">
        <is>
          <t>TX-1021</t>
        </is>
      </c>
      <c r="C1027" s="63" t="n"/>
      <c r="D1027" s="62" t="n"/>
      <c r="E1027" s="62" t="n"/>
      <c r="F1027" s="62" t="n"/>
      <c r="G1027" s="62" t="n"/>
      <c r="H1027" s="62" t="n"/>
      <c r="I1027" s="62" t="n"/>
      <c r="J1027" s="62" t="n"/>
      <c r="K1027" s="62" t="n"/>
      <c r="L1027" s="64" t="n"/>
      <c r="M1027" s="64" t="n"/>
      <c r="N1027" s="62" t="n"/>
      <c r="O1027" s="65">
        <f>IF(Z1027=1,L1027-W1027,"")</f>
        <v/>
      </c>
      <c r="P1027" s="66">
        <f>IF(V1027="","",IFERROR(INDEX(coa_Type,MATCH(V1027,coa_Name,0)),""))</f>
        <v/>
      </c>
      <c r="Q1027" s="66">
        <f>IF(Z1027=1,IF(U1027="In",K1027&amp;"",V1027),"")</f>
        <v/>
      </c>
      <c r="R1027" s="66">
        <f>IF(Z1027=1,IF(U1027="In",V1027,K1027&amp;""),"")</f>
        <v/>
      </c>
      <c r="S1027" s="66">
        <f>IF(X1027&lt;&gt;"","⛔ "&amp;X1027&amp;" — not posted",IF(Y1027&lt;&gt;"","⚠ "&amp;Y1027,IF(Z1027=1,"✓ OK","")))</f>
        <v/>
      </c>
      <c r="T1027" s="67">
        <f>IF(AND(C1027="",D1027="",E1027="",L1027="",K1027=""),1,0)</f>
        <v/>
      </c>
      <c r="U1027" s="67">
        <f>IFERROR(INDEX(tt_Dir,MATCH(D1027,tt_Type,0)),"")</f>
        <v/>
      </c>
      <c r="V1027" s="67">
        <f>IF(D1027="","",IFERROR(IF(INDEX(tt_Other,MATCH(D1027,tt_Type,0))="",E1027&amp;"",INDEX(tt_Other,MATCH(D1027,tt_Type,0))),""))</f>
        <v/>
      </c>
      <c r="W1027" s="68">
        <f>IF(OR(TaxOn&lt;&gt;"Yes",NOT(ISNUMBER(M1027))),0,IF(IFERROR(INDEX(tt_Tax,MATCH(D1027,tt_Type,0)),"No")="Yes",M1027,0))</f>
        <v/>
      </c>
      <c r="X1027" s="67">
        <f>IF(T1027=1,"",IF(C1027="","Missing transaction date",IF(NOT(ISNUMBER(C1027)),"Invalid date",IF(OR(C1027&lt;DATE(2000,1,1),C1027&gt;DATE(2099,12,31)),"Invalid date",IF(D1027="","Select a type",IF(U1027="","Unknown type: "&amp;D1027,IF(V1027="","Select an account (Category)",IF(ISNA(MATCH(V1027,coa_Name,0)),"Unknown account: "&amp;V1027,IF(K1027="","Select Paid From / Deposited To",IF(ISNA(MATCH(K1027,coa_Name,0)),"Unknown account: "&amp;K1027,IF(NOT(ISNUMBER(L1027)),"Enter an amount",IF(L1027=0,"Enter an amount",IF(ABS(W1027)&gt;ABS(L1027),"Tax is larger than the amount","")))))))))))))</f>
        <v/>
      </c>
      <c r="Y1027" s="67">
        <f>IF(OR(T1027=1,X1027&lt;&gt;""),"",IF(AND(B1027&lt;&gt;"",COUNTIF(tx_ID,B1027)&gt;1),"Duplicate transaction ID",IF(AND(L1027&lt;0,D1027&lt;&gt;"Adjustment"),"Negative amount — check this entry",IF(AND(D1027="Customer Payment",G1027=""),"Add the customer",IF(AND(D1027="Customer Payment",OR(J1027="",COUNTIF(ar_No,J1027&amp;"")=0)),"Invoice # in Reference not found on AR sheet",IF(AND(D1027="Bill Payment",H1027=""),"Add the vendor",IF(AND(D1027="Bill Payment",OR(J1027="",COUNTIFS(ap_No,J1027&amp;"",ap_Party,H1027&amp;"")=0)),"Bill # + vendor not found on AP sheet",IF(AND(ISNUMBER(M1027),N(M1027)&lt;&gt;0,W1027=0),"Tax ignored (tax tracking off, or not allowed for this type)",IF(V1027=K1027&amp;"","Same account on both sides",IF(AND(ISNUMBER(StartDate),C1027&lt;StartDate),"Date is before the accounting start date",IF(AND(D1027&lt;&gt;"Adjustment",IFERROR(INDEX(coa_Pay,MATCH(K1027&amp;"",coa_Name,0)),"")&lt;&gt;"Yes"),"Paid From / Deposited To is not a payment account","")))))))))))</f>
        <v/>
      </c>
      <c r="Z1027" s="67">
        <f>IF(AND(T1027=0,X1027=""),1,0)</f>
        <v/>
      </c>
      <c r="AA1027" s="68">
        <f>IF(Z1027=1,IF(U1027="In",L1027,L1027-W1027),0)</f>
        <v/>
      </c>
      <c r="AB1027" s="68">
        <f>IF(Z1027=1,IF(U1027="In",L1027-W1027,L1027),0)</f>
        <v/>
      </c>
      <c r="AC1027" s="68">
        <f>IF(AND(Z1027=1,U1027="Out"),W1027,0)</f>
        <v/>
      </c>
      <c r="AD1027" s="68">
        <f>IF(AND(Z1027=1,U1027="In"),W1027,0)</f>
        <v/>
      </c>
    </row>
    <row r="1028">
      <c r="B1028" s="62" t="inlineStr">
        <is>
          <t>TX-1022</t>
        </is>
      </c>
      <c r="C1028" s="63" t="n"/>
      <c r="D1028" s="62" t="n"/>
      <c r="E1028" s="62" t="n"/>
      <c r="F1028" s="62" t="n"/>
      <c r="G1028" s="62" t="n"/>
      <c r="H1028" s="62" t="n"/>
      <c r="I1028" s="62" t="n"/>
      <c r="J1028" s="62" t="n"/>
      <c r="K1028" s="62" t="n"/>
      <c r="L1028" s="64" t="n"/>
      <c r="M1028" s="64" t="n"/>
      <c r="N1028" s="62" t="n"/>
      <c r="O1028" s="65">
        <f>IF(Z1028=1,L1028-W1028,"")</f>
        <v/>
      </c>
      <c r="P1028" s="66">
        <f>IF(V1028="","",IFERROR(INDEX(coa_Type,MATCH(V1028,coa_Name,0)),""))</f>
        <v/>
      </c>
      <c r="Q1028" s="66">
        <f>IF(Z1028=1,IF(U1028="In",K1028&amp;"",V1028),"")</f>
        <v/>
      </c>
      <c r="R1028" s="66">
        <f>IF(Z1028=1,IF(U1028="In",V1028,K1028&amp;""),"")</f>
        <v/>
      </c>
      <c r="S1028" s="66">
        <f>IF(X1028&lt;&gt;"","⛔ "&amp;X1028&amp;" — not posted",IF(Y1028&lt;&gt;"","⚠ "&amp;Y1028,IF(Z1028=1,"✓ OK","")))</f>
        <v/>
      </c>
      <c r="T1028" s="67">
        <f>IF(AND(C1028="",D1028="",E1028="",L1028="",K1028=""),1,0)</f>
        <v/>
      </c>
      <c r="U1028" s="67">
        <f>IFERROR(INDEX(tt_Dir,MATCH(D1028,tt_Type,0)),"")</f>
        <v/>
      </c>
      <c r="V1028" s="67">
        <f>IF(D1028="","",IFERROR(IF(INDEX(tt_Other,MATCH(D1028,tt_Type,0))="",E1028&amp;"",INDEX(tt_Other,MATCH(D1028,tt_Type,0))),""))</f>
        <v/>
      </c>
      <c r="W1028" s="68">
        <f>IF(OR(TaxOn&lt;&gt;"Yes",NOT(ISNUMBER(M1028))),0,IF(IFERROR(INDEX(tt_Tax,MATCH(D1028,tt_Type,0)),"No")="Yes",M1028,0))</f>
        <v/>
      </c>
      <c r="X1028" s="67">
        <f>IF(T1028=1,"",IF(C1028="","Missing transaction date",IF(NOT(ISNUMBER(C1028)),"Invalid date",IF(OR(C1028&lt;DATE(2000,1,1),C1028&gt;DATE(2099,12,31)),"Invalid date",IF(D1028="","Select a type",IF(U1028="","Unknown type: "&amp;D1028,IF(V1028="","Select an account (Category)",IF(ISNA(MATCH(V1028,coa_Name,0)),"Unknown account: "&amp;V1028,IF(K1028="","Select Paid From / Deposited To",IF(ISNA(MATCH(K1028,coa_Name,0)),"Unknown account: "&amp;K1028,IF(NOT(ISNUMBER(L1028)),"Enter an amount",IF(L1028=0,"Enter an amount",IF(ABS(W1028)&gt;ABS(L1028),"Tax is larger than the amount","")))))))))))))</f>
        <v/>
      </c>
      <c r="Y1028" s="67">
        <f>IF(OR(T1028=1,X1028&lt;&gt;""),"",IF(AND(B1028&lt;&gt;"",COUNTIF(tx_ID,B1028)&gt;1),"Duplicate transaction ID",IF(AND(L1028&lt;0,D1028&lt;&gt;"Adjustment"),"Negative amount — check this entry",IF(AND(D1028="Customer Payment",G1028=""),"Add the customer",IF(AND(D1028="Customer Payment",OR(J1028="",COUNTIF(ar_No,J1028&amp;"")=0)),"Invoice # in Reference not found on AR sheet",IF(AND(D1028="Bill Payment",H1028=""),"Add the vendor",IF(AND(D1028="Bill Payment",OR(J1028="",COUNTIFS(ap_No,J1028&amp;"",ap_Party,H1028&amp;"")=0)),"Bill # + vendor not found on AP sheet",IF(AND(ISNUMBER(M1028),N(M1028)&lt;&gt;0,W1028=0),"Tax ignored (tax tracking off, or not allowed for this type)",IF(V1028=K1028&amp;"","Same account on both sides",IF(AND(ISNUMBER(StartDate),C1028&lt;StartDate),"Date is before the accounting start date",IF(AND(D1028&lt;&gt;"Adjustment",IFERROR(INDEX(coa_Pay,MATCH(K1028&amp;"",coa_Name,0)),"")&lt;&gt;"Yes"),"Paid From / Deposited To is not a payment account","")))))))))))</f>
        <v/>
      </c>
      <c r="Z1028" s="67">
        <f>IF(AND(T1028=0,X1028=""),1,0)</f>
        <v/>
      </c>
      <c r="AA1028" s="68">
        <f>IF(Z1028=1,IF(U1028="In",L1028,L1028-W1028),0)</f>
        <v/>
      </c>
      <c r="AB1028" s="68">
        <f>IF(Z1028=1,IF(U1028="In",L1028-W1028,L1028),0)</f>
        <v/>
      </c>
      <c r="AC1028" s="68">
        <f>IF(AND(Z1028=1,U1028="Out"),W1028,0)</f>
        <v/>
      </c>
      <c r="AD1028" s="68">
        <f>IF(AND(Z1028=1,U1028="In"),W1028,0)</f>
        <v/>
      </c>
    </row>
    <row r="1029">
      <c r="B1029" s="62" t="inlineStr">
        <is>
          <t>TX-1023</t>
        </is>
      </c>
      <c r="C1029" s="63" t="n"/>
      <c r="D1029" s="62" t="n"/>
      <c r="E1029" s="62" t="n"/>
      <c r="F1029" s="62" t="n"/>
      <c r="G1029" s="62" t="n"/>
      <c r="H1029" s="62" t="n"/>
      <c r="I1029" s="62" t="n"/>
      <c r="J1029" s="62" t="n"/>
      <c r="K1029" s="62" t="n"/>
      <c r="L1029" s="64" t="n"/>
      <c r="M1029" s="64" t="n"/>
      <c r="N1029" s="62" t="n"/>
      <c r="O1029" s="65">
        <f>IF(Z1029=1,L1029-W1029,"")</f>
        <v/>
      </c>
      <c r="P1029" s="66">
        <f>IF(V1029="","",IFERROR(INDEX(coa_Type,MATCH(V1029,coa_Name,0)),""))</f>
        <v/>
      </c>
      <c r="Q1029" s="66">
        <f>IF(Z1029=1,IF(U1029="In",K1029&amp;"",V1029),"")</f>
        <v/>
      </c>
      <c r="R1029" s="66">
        <f>IF(Z1029=1,IF(U1029="In",V1029,K1029&amp;""),"")</f>
        <v/>
      </c>
      <c r="S1029" s="66">
        <f>IF(X1029&lt;&gt;"","⛔ "&amp;X1029&amp;" — not posted",IF(Y1029&lt;&gt;"","⚠ "&amp;Y1029,IF(Z1029=1,"✓ OK","")))</f>
        <v/>
      </c>
      <c r="T1029" s="67">
        <f>IF(AND(C1029="",D1029="",E1029="",L1029="",K1029=""),1,0)</f>
        <v/>
      </c>
      <c r="U1029" s="67">
        <f>IFERROR(INDEX(tt_Dir,MATCH(D1029,tt_Type,0)),"")</f>
        <v/>
      </c>
      <c r="V1029" s="67">
        <f>IF(D1029="","",IFERROR(IF(INDEX(tt_Other,MATCH(D1029,tt_Type,0))="",E1029&amp;"",INDEX(tt_Other,MATCH(D1029,tt_Type,0))),""))</f>
        <v/>
      </c>
      <c r="W1029" s="68">
        <f>IF(OR(TaxOn&lt;&gt;"Yes",NOT(ISNUMBER(M1029))),0,IF(IFERROR(INDEX(tt_Tax,MATCH(D1029,tt_Type,0)),"No")="Yes",M1029,0))</f>
        <v/>
      </c>
      <c r="X1029" s="67">
        <f>IF(T1029=1,"",IF(C1029="","Missing transaction date",IF(NOT(ISNUMBER(C1029)),"Invalid date",IF(OR(C1029&lt;DATE(2000,1,1),C1029&gt;DATE(2099,12,31)),"Invalid date",IF(D1029="","Select a type",IF(U1029="","Unknown type: "&amp;D1029,IF(V1029="","Select an account (Category)",IF(ISNA(MATCH(V1029,coa_Name,0)),"Unknown account: "&amp;V1029,IF(K1029="","Select Paid From / Deposited To",IF(ISNA(MATCH(K1029,coa_Name,0)),"Unknown account: "&amp;K1029,IF(NOT(ISNUMBER(L1029)),"Enter an amount",IF(L1029=0,"Enter an amount",IF(ABS(W1029)&gt;ABS(L1029),"Tax is larger than the amount","")))))))))))))</f>
        <v/>
      </c>
      <c r="Y1029" s="67">
        <f>IF(OR(T1029=1,X1029&lt;&gt;""),"",IF(AND(B1029&lt;&gt;"",COUNTIF(tx_ID,B1029)&gt;1),"Duplicate transaction ID",IF(AND(L1029&lt;0,D1029&lt;&gt;"Adjustment"),"Negative amount — check this entry",IF(AND(D1029="Customer Payment",G1029=""),"Add the customer",IF(AND(D1029="Customer Payment",OR(J1029="",COUNTIF(ar_No,J1029&amp;"")=0)),"Invoice # in Reference not found on AR sheet",IF(AND(D1029="Bill Payment",H1029=""),"Add the vendor",IF(AND(D1029="Bill Payment",OR(J1029="",COUNTIFS(ap_No,J1029&amp;"",ap_Party,H1029&amp;"")=0)),"Bill # + vendor not found on AP sheet",IF(AND(ISNUMBER(M1029),N(M1029)&lt;&gt;0,W1029=0),"Tax ignored (tax tracking off, or not allowed for this type)",IF(V1029=K1029&amp;"","Same account on both sides",IF(AND(ISNUMBER(StartDate),C1029&lt;StartDate),"Date is before the accounting start date",IF(AND(D1029&lt;&gt;"Adjustment",IFERROR(INDEX(coa_Pay,MATCH(K1029&amp;"",coa_Name,0)),"")&lt;&gt;"Yes"),"Paid From / Deposited To is not a payment account","")))))))))))</f>
        <v/>
      </c>
      <c r="Z1029" s="67">
        <f>IF(AND(T1029=0,X1029=""),1,0)</f>
        <v/>
      </c>
      <c r="AA1029" s="68">
        <f>IF(Z1029=1,IF(U1029="In",L1029,L1029-W1029),0)</f>
        <v/>
      </c>
      <c r="AB1029" s="68">
        <f>IF(Z1029=1,IF(U1029="In",L1029-W1029,L1029),0)</f>
        <v/>
      </c>
      <c r="AC1029" s="68">
        <f>IF(AND(Z1029=1,U1029="Out"),W1029,0)</f>
        <v/>
      </c>
      <c r="AD1029" s="68">
        <f>IF(AND(Z1029=1,U1029="In"),W1029,0)</f>
        <v/>
      </c>
    </row>
    <row r="1030">
      <c r="B1030" s="62" t="inlineStr">
        <is>
          <t>TX-1024</t>
        </is>
      </c>
      <c r="C1030" s="63" t="n"/>
      <c r="D1030" s="62" t="n"/>
      <c r="E1030" s="62" t="n"/>
      <c r="F1030" s="62" t="n"/>
      <c r="G1030" s="62" t="n"/>
      <c r="H1030" s="62" t="n"/>
      <c r="I1030" s="62" t="n"/>
      <c r="J1030" s="62" t="n"/>
      <c r="K1030" s="62" t="n"/>
      <c r="L1030" s="64" t="n"/>
      <c r="M1030" s="64" t="n"/>
      <c r="N1030" s="62" t="n"/>
      <c r="O1030" s="65">
        <f>IF(Z1030=1,L1030-W1030,"")</f>
        <v/>
      </c>
      <c r="P1030" s="66">
        <f>IF(V1030="","",IFERROR(INDEX(coa_Type,MATCH(V1030,coa_Name,0)),""))</f>
        <v/>
      </c>
      <c r="Q1030" s="66">
        <f>IF(Z1030=1,IF(U1030="In",K1030&amp;"",V1030),"")</f>
        <v/>
      </c>
      <c r="R1030" s="66">
        <f>IF(Z1030=1,IF(U1030="In",V1030,K1030&amp;""),"")</f>
        <v/>
      </c>
      <c r="S1030" s="66">
        <f>IF(X1030&lt;&gt;"","⛔ "&amp;X1030&amp;" — not posted",IF(Y1030&lt;&gt;"","⚠ "&amp;Y1030,IF(Z1030=1,"✓ OK","")))</f>
        <v/>
      </c>
      <c r="T1030" s="67">
        <f>IF(AND(C1030="",D1030="",E1030="",L1030="",K1030=""),1,0)</f>
        <v/>
      </c>
      <c r="U1030" s="67">
        <f>IFERROR(INDEX(tt_Dir,MATCH(D1030,tt_Type,0)),"")</f>
        <v/>
      </c>
      <c r="V1030" s="67">
        <f>IF(D1030="","",IFERROR(IF(INDEX(tt_Other,MATCH(D1030,tt_Type,0))="",E1030&amp;"",INDEX(tt_Other,MATCH(D1030,tt_Type,0))),""))</f>
        <v/>
      </c>
      <c r="W1030" s="68">
        <f>IF(OR(TaxOn&lt;&gt;"Yes",NOT(ISNUMBER(M1030))),0,IF(IFERROR(INDEX(tt_Tax,MATCH(D1030,tt_Type,0)),"No")="Yes",M1030,0))</f>
        <v/>
      </c>
      <c r="X1030" s="67">
        <f>IF(T1030=1,"",IF(C1030="","Missing transaction date",IF(NOT(ISNUMBER(C1030)),"Invalid date",IF(OR(C1030&lt;DATE(2000,1,1),C1030&gt;DATE(2099,12,31)),"Invalid date",IF(D1030="","Select a type",IF(U1030="","Unknown type: "&amp;D1030,IF(V1030="","Select an account (Category)",IF(ISNA(MATCH(V1030,coa_Name,0)),"Unknown account: "&amp;V1030,IF(K1030="","Select Paid From / Deposited To",IF(ISNA(MATCH(K1030,coa_Name,0)),"Unknown account: "&amp;K1030,IF(NOT(ISNUMBER(L1030)),"Enter an amount",IF(L1030=0,"Enter an amount",IF(ABS(W1030)&gt;ABS(L1030),"Tax is larger than the amount","")))))))))))))</f>
        <v/>
      </c>
      <c r="Y1030" s="67">
        <f>IF(OR(T1030=1,X1030&lt;&gt;""),"",IF(AND(B1030&lt;&gt;"",COUNTIF(tx_ID,B1030)&gt;1),"Duplicate transaction ID",IF(AND(L1030&lt;0,D1030&lt;&gt;"Adjustment"),"Negative amount — check this entry",IF(AND(D1030="Customer Payment",G1030=""),"Add the customer",IF(AND(D1030="Customer Payment",OR(J1030="",COUNTIF(ar_No,J1030&amp;"")=0)),"Invoice # in Reference not found on AR sheet",IF(AND(D1030="Bill Payment",H1030=""),"Add the vendor",IF(AND(D1030="Bill Payment",OR(J1030="",COUNTIFS(ap_No,J1030&amp;"",ap_Party,H1030&amp;"")=0)),"Bill # + vendor not found on AP sheet",IF(AND(ISNUMBER(M1030),N(M1030)&lt;&gt;0,W1030=0),"Tax ignored (tax tracking off, or not allowed for this type)",IF(V1030=K1030&amp;"","Same account on both sides",IF(AND(ISNUMBER(StartDate),C1030&lt;StartDate),"Date is before the accounting start date",IF(AND(D1030&lt;&gt;"Adjustment",IFERROR(INDEX(coa_Pay,MATCH(K1030&amp;"",coa_Name,0)),"")&lt;&gt;"Yes"),"Paid From / Deposited To is not a payment account","")))))))))))</f>
        <v/>
      </c>
      <c r="Z1030" s="67">
        <f>IF(AND(T1030=0,X1030=""),1,0)</f>
        <v/>
      </c>
      <c r="AA1030" s="68">
        <f>IF(Z1030=1,IF(U1030="In",L1030,L1030-W1030),0)</f>
        <v/>
      </c>
      <c r="AB1030" s="68">
        <f>IF(Z1030=1,IF(U1030="In",L1030-W1030,L1030),0)</f>
        <v/>
      </c>
      <c r="AC1030" s="68">
        <f>IF(AND(Z1030=1,U1030="Out"),W1030,0)</f>
        <v/>
      </c>
      <c r="AD1030" s="68">
        <f>IF(AND(Z1030=1,U1030="In"),W1030,0)</f>
        <v/>
      </c>
    </row>
    <row r="1031">
      <c r="B1031" s="62" t="inlineStr">
        <is>
          <t>TX-1025</t>
        </is>
      </c>
      <c r="C1031" s="63" t="n"/>
      <c r="D1031" s="62" t="n"/>
      <c r="E1031" s="62" t="n"/>
      <c r="F1031" s="62" t="n"/>
      <c r="G1031" s="62" t="n"/>
      <c r="H1031" s="62" t="n"/>
      <c r="I1031" s="62" t="n"/>
      <c r="J1031" s="62" t="n"/>
      <c r="K1031" s="62" t="n"/>
      <c r="L1031" s="64" t="n"/>
      <c r="M1031" s="64" t="n"/>
      <c r="N1031" s="62" t="n"/>
      <c r="O1031" s="65">
        <f>IF(Z1031=1,L1031-W1031,"")</f>
        <v/>
      </c>
      <c r="P1031" s="66">
        <f>IF(V1031="","",IFERROR(INDEX(coa_Type,MATCH(V1031,coa_Name,0)),""))</f>
        <v/>
      </c>
      <c r="Q1031" s="66">
        <f>IF(Z1031=1,IF(U1031="In",K1031&amp;"",V1031),"")</f>
        <v/>
      </c>
      <c r="R1031" s="66">
        <f>IF(Z1031=1,IF(U1031="In",V1031,K1031&amp;""),"")</f>
        <v/>
      </c>
      <c r="S1031" s="66">
        <f>IF(X1031&lt;&gt;"","⛔ "&amp;X1031&amp;" — not posted",IF(Y1031&lt;&gt;"","⚠ "&amp;Y1031,IF(Z1031=1,"✓ OK","")))</f>
        <v/>
      </c>
      <c r="T1031" s="67">
        <f>IF(AND(C1031="",D1031="",E1031="",L1031="",K1031=""),1,0)</f>
        <v/>
      </c>
      <c r="U1031" s="67">
        <f>IFERROR(INDEX(tt_Dir,MATCH(D1031,tt_Type,0)),"")</f>
        <v/>
      </c>
      <c r="V1031" s="67">
        <f>IF(D1031="","",IFERROR(IF(INDEX(tt_Other,MATCH(D1031,tt_Type,0))="",E1031&amp;"",INDEX(tt_Other,MATCH(D1031,tt_Type,0))),""))</f>
        <v/>
      </c>
      <c r="W1031" s="68">
        <f>IF(OR(TaxOn&lt;&gt;"Yes",NOT(ISNUMBER(M1031))),0,IF(IFERROR(INDEX(tt_Tax,MATCH(D1031,tt_Type,0)),"No")="Yes",M1031,0))</f>
        <v/>
      </c>
      <c r="X1031" s="67">
        <f>IF(T1031=1,"",IF(C1031="","Missing transaction date",IF(NOT(ISNUMBER(C1031)),"Invalid date",IF(OR(C1031&lt;DATE(2000,1,1),C1031&gt;DATE(2099,12,31)),"Invalid date",IF(D1031="","Select a type",IF(U1031="","Unknown type: "&amp;D1031,IF(V1031="","Select an account (Category)",IF(ISNA(MATCH(V1031,coa_Name,0)),"Unknown account: "&amp;V1031,IF(K1031="","Select Paid From / Deposited To",IF(ISNA(MATCH(K1031,coa_Name,0)),"Unknown account: "&amp;K1031,IF(NOT(ISNUMBER(L1031)),"Enter an amount",IF(L1031=0,"Enter an amount",IF(ABS(W1031)&gt;ABS(L1031),"Tax is larger than the amount","")))))))))))))</f>
        <v/>
      </c>
      <c r="Y1031" s="67">
        <f>IF(OR(T1031=1,X1031&lt;&gt;""),"",IF(AND(B1031&lt;&gt;"",COUNTIF(tx_ID,B1031)&gt;1),"Duplicate transaction ID",IF(AND(L1031&lt;0,D1031&lt;&gt;"Adjustment"),"Negative amount — check this entry",IF(AND(D1031="Customer Payment",G1031=""),"Add the customer",IF(AND(D1031="Customer Payment",OR(J1031="",COUNTIF(ar_No,J1031&amp;"")=0)),"Invoice # in Reference not found on AR sheet",IF(AND(D1031="Bill Payment",H1031=""),"Add the vendor",IF(AND(D1031="Bill Payment",OR(J1031="",COUNTIFS(ap_No,J1031&amp;"",ap_Party,H1031&amp;"")=0)),"Bill # + vendor not found on AP sheet",IF(AND(ISNUMBER(M1031),N(M1031)&lt;&gt;0,W1031=0),"Tax ignored (tax tracking off, or not allowed for this type)",IF(V1031=K1031&amp;"","Same account on both sides",IF(AND(ISNUMBER(StartDate),C1031&lt;StartDate),"Date is before the accounting start date",IF(AND(D1031&lt;&gt;"Adjustment",IFERROR(INDEX(coa_Pay,MATCH(K1031&amp;"",coa_Name,0)),"")&lt;&gt;"Yes"),"Paid From / Deposited To is not a payment account","")))))))))))</f>
        <v/>
      </c>
      <c r="Z1031" s="67">
        <f>IF(AND(T1031=0,X1031=""),1,0)</f>
        <v/>
      </c>
      <c r="AA1031" s="68">
        <f>IF(Z1031=1,IF(U1031="In",L1031,L1031-W1031),0)</f>
        <v/>
      </c>
      <c r="AB1031" s="68">
        <f>IF(Z1031=1,IF(U1031="In",L1031-W1031,L1031),0)</f>
        <v/>
      </c>
      <c r="AC1031" s="68">
        <f>IF(AND(Z1031=1,U1031="Out"),W1031,0)</f>
        <v/>
      </c>
      <c r="AD1031" s="68">
        <f>IF(AND(Z1031=1,U1031="In"),W1031,0)</f>
        <v/>
      </c>
    </row>
    <row r="1032">
      <c r="B1032" s="62" t="inlineStr">
        <is>
          <t>TX-1026</t>
        </is>
      </c>
      <c r="C1032" s="63" t="n"/>
      <c r="D1032" s="62" t="n"/>
      <c r="E1032" s="62" t="n"/>
      <c r="F1032" s="62" t="n"/>
      <c r="G1032" s="62" t="n"/>
      <c r="H1032" s="62" t="n"/>
      <c r="I1032" s="62" t="n"/>
      <c r="J1032" s="62" t="n"/>
      <c r="K1032" s="62" t="n"/>
      <c r="L1032" s="64" t="n"/>
      <c r="M1032" s="64" t="n"/>
      <c r="N1032" s="62" t="n"/>
      <c r="O1032" s="65">
        <f>IF(Z1032=1,L1032-W1032,"")</f>
        <v/>
      </c>
      <c r="P1032" s="66">
        <f>IF(V1032="","",IFERROR(INDEX(coa_Type,MATCH(V1032,coa_Name,0)),""))</f>
        <v/>
      </c>
      <c r="Q1032" s="66">
        <f>IF(Z1032=1,IF(U1032="In",K1032&amp;"",V1032),"")</f>
        <v/>
      </c>
      <c r="R1032" s="66">
        <f>IF(Z1032=1,IF(U1032="In",V1032,K1032&amp;""),"")</f>
        <v/>
      </c>
      <c r="S1032" s="66">
        <f>IF(X1032&lt;&gt;"","⛔ "&amp;X1032&amp;" — not posted",IF(Y1032&lt;&gt;"","⚠ "&amp;Y1032,IF(Z1032=1,"✓ OK","")))</f>
        <v/>
      </c>
      <c r="T1032" s="67">
        <f>IF(AND(C1032="",D1032="",E1032="",L1032="",K1032=""),1,0)</f>
        <v/>
      </c>
      <c r="U1032" s="67">
        <f>IFERROR(INDEX(tt_Dir,MATCH(D1032,tt_Type,0)),"")</f>
        <v/>
      </c>
      <c r="V1032" s="67">
        <f>IF(D1032="","",IFERROR(IF(INDEX(tt_Other,MATCH(D1032,tt_Type,0))="",E1032&amp;"",INDEX(tt_Other,MATCH(D1032,tt_Type,0))),""))</f>
        <v/>
      </c>
      <c r="W1032" s="68">
        <f>IF(OR(TaxOn&lt;&gt;"Yes",NOT(ISNUMBER(M1032))),0,IF(IFERROR(INDEX(tt_Tax,MATCH(D1032,tt_Type,0)),"No")="Yes",M1032,0))</f>
        <v/>
      </c>
      <c r="X1032" s="67">
        <f>IF(T1032=1,"",IF(C1032="","Missing transaction date",IF(NOT(ISNUMBER(C1032)),"Invalid date",IF(OR(C1032&lt;DATE(2000,1,1),C1032&gt;DATE(2099,12,31)),"Invalid date",IF(D1032="","Select a type",IF(U1032="","Unknown type: "&amp;D1032,IF(V1032="","Select an account (Category)",IF(ISNA(MATCH(V1032,coa_Name,0)),"Unknown account: "&amp;V1032,IF(K1032="","Select Paid From / Deposited To",IF(ISNA(MATCH(K1032,coa_Name,0)),"Unknown account: "&amp;K1032,IF(NOT(ISNUMBER(L1032)),"Enter an amount",IF(L1032=0,"Enter an amount",IF(ABS(W1032)&gt;ABS(L1032),"Tax is larger than the amount","")))))))))))))</f>
        <v/>
      </c>
      <c r="Y1032" s="67">
        <f>IF(OR(T1032=1,X1032&lt;&gt;""),"",IF(AND(B1032&lt;&gt;"",COUNTIF(tx_ID,B1032)&gt;1),"Duplicate transaction ID",IF(AND(L1032&lt;0,D1032&lt;&gt;"Adjustment"),"Negative amount — check this entry",IF(AND(D1032="Customer Payment",G1032=""),"Add the customer",IF(AND(D1032="Customer Payment",OR(J1032="",COUNTIF(ar_No,J1032&amp;"")=0)),"Invoice # in Reference not found on AR sheet",IF(AND(D1032="Bill Payment",H1032=""),"Add the vendor",IF(AND(D1032="Bill Payment",OR(J1032="",COUNTIFS(ap_No,J1032&amp;"",ap_Party,H1032&amp;"")=0)),"Bill # + vendor not found on AP sheet",IF(AND(ISNUMBER(M1032),N(M1032)&lt;&gt;0,W1032=0),"Tax ignored (tax tracking off, or not allowed for this type)",IF(V1032=K1032&amp;"","Same account on both sides",IF(AND(ISNUMBER(StartDate),C1032&lt;StartDate),"Date is before the accounting start date",IF(AND(D1032&lt;&gt;"Adjustment",IFERROR(INDEX(coa_Pay,MATCH(K1032&amp;"",coa_Name,0)),"")&lt;&gt;"Yes"),"Paid From / Deposited To is not a payment account","")))))))))))</f>
        <v/>
      </c>
      <c r="Z1032" s="67">
        <f>IF(AND(T1032=0,X1032=""),1,0)</f>
        <v/>
      </c>
      <c r="AA1032" s="68">
        <f>IF(Z1032=1,IF(U1032="In",L1032,L1032-W1032),0)</f>
        <v/>
      </c>
      <c r="AB1032" s="68">
        <f>IF(Z1032=1,IF(U1032="In",L1032-W1032,L1032),0)</f>
        <v/>
      </c>
      <c r="AC1032" s="68">
        <f>IF(AND(Z1032=1,U1032="Out"),W1032,0)</f>
        <v/>
      </c>
      <c r="AD1032" s="68">
        <f>IF(AND(Z1032=1,U1032="In"),W1032,0)</f>
        <v/>
      </c>
    </row>
    <row r="1033">
      <c r="B1033" s="62" t="inlineStr">
        <is>
          <t>TX-1027</t>
        </is>
      </c>
      <c r="C1033" s="63" t="n"/>
      <c r="D1033" s="62" t="n"/>
      <c r="E1033" s="62" t="n"/>
      <c r="F1033" s="62" t="n"/>
      <c r="G1033" s="62" t="n"/>
      <c r="H1033" s="62" t="n"/>
      <c r="I1033" s="62" t="n"/>
      <c r="J1033" s="62" t="n"/>
      <c r="K1033" s="62" t="n"/>
      <c r="L1033" s="64" t="n"/>
      <c r="M1033" s="64" t="n"/>
      <c r="N1033" s="62" t="n"/>
      <c r="O1033" s="65">
        <f>IF(Z1033=1,L1033-W1033,"")</f>
        <v/>
      </c>
      <c r="P1033" s="66">
        <f>IF(V1033="","",IFERROR(INDEX(coa_Type,MATCH(V1033,coa_Name,0)),""))</f>
        <v/>
      </c>
      <c r="Q1033" s="66">
        <f>IF(Z1033=1,IF(U1033="In",K1033&amp;"",V1033),"")</f>
        <v/>
      </c>
      <c r="R1033" s="66">
        <f>IF(Z1033=1,IF(U1033="In",V1033,K1033&amp;""),"")</f>
        <v/>
      </c>
      <c r="S1033" s="66">
        <f>IF(X1033&lt;&gt;"","⛔ "&amp;X1033&amp;" — not posted",IF(Y1033&lt;&gt;"","⚠ "&amp;Y1033,IF(Z1033=1,"✓ OK","")))</f>
        <v/>
      </c>
      <c r="T1033" s="67">
        <f>IF(AND(C1033="",D1033="",E1033="",L1033="",K1033=""),1,0)</f>
        <v/>
      </c>
      <c r="U1033" s="67">
        <f>IFERROR(INDEX(tt_Dir,MATCH(D1033,tt_Type,0)),"")</f>
        <v/>
      </c>
      <c r="V1033" s="67">
        <f>IF(D1033="","",IFERROR(IF(INDEX(tt_Other,MATCH(D1033,tt_Type,0))="",E1033&amp;"",INDEX(tt_Other,MATCH(D1033,tt_Type,0))),""))</f>
        <v/>
      </c>
      <c r="W1033" s="68">
        <f>IF(OR(TaxOn&lt;&gt;"Yes",NOT(ISNUMBER(M1033))),0,IF(IFERROR(INDEX(tt_Tax,MATCH(D1033,tt_Type,0)),"No")="Yes",M1033,0))</f>
        <v/>
      </c>
      <c r="X1033" s="67">
        <f>IF(T1033=1,"",IF(C1033="","Missing transaction date",IF(NOT(ISNUMBER(C1033)),"Invalid date",IF(OR(C1033&lt;DATE(2000,1,1),C1033&gt;DATE(2099,12,31)),"Invalid date",IF(D1033="","Select a type",IF(U1033="","Unknown type: "&amp;D1033,IF(V1033="","Select an account (Category)",IF(ISNA(MATCH(V1033,coa_Name,0)),"Unknown account: "&amp;V1033,IF(K1033="","Select Paid From / Deposited To",IF(ISNA(MATCH(K1033,coa_Name,0)),"Unknown account: "&amp;K1033,IF(NOT(ISNUMBER(L1033)),"Enter an amount",IF(L1033=0,"Enter an amount",IF(ABS(W1033)&gt;ABS(L1033),"Tax is larger than the amount","")))))))))))))</f>
        <v/>
      </c>
      <c r="Y1033" s="67">
        <f>IF(OR(T1033=1,X1033&lt;&gt;""),"",IF(AND(B1033&lt;&gt;"",COUNTIF(tx_ID,B1033)&gt;1),"Duplicate transaction ID",IF(AND(L1033&lt;0,D1033&lt;&gt;"Adjustment"),"Negative amount — check this entry",IF(AND(D1033="Customer Payment",G1033=""),"Add the customer",IF(AND(D1033="Customer Payment",OR(J1033="",COUNTIF(ar_No,J1033&amp;"")=0)),"Invoice # in Reference not found on AR sheet",IF(AND(D1033="Bill Payment",H1033=""),"Add the vendor",IF(AND(D1033="Bill Payment",OR(J1033="",COUNTIFS(ap_No,J1033&amp;"",ap_Party,H1033&amp;"")=0)),"Bill # + vendor not found on AP sheet",IF(AND(ISNUMBER(M1033),N(M1033)&lt;&gt;0,W1033=0),"Tax ignored (tax tracking off, or not allowed for this type)",IF(V1033=K1033&amp;"","Same account on both sides",IF(AND(ISNUMBER(StartDate),C1033&lt;StartDate),"Date is before the accounting start date",IF(AND(D1033&lt;&gt;"Adjustment",IFERROR(INDEX(coa_Pay,MATCH(K1033&amp;"",coa_Name,0)),"")&lt;&gt;"Yes"),"Paid From / Deposited To is not a payment account","")))))))))))</f>
        <v/>
      </c>
      <c r="Z1033" s="67">
        <f>IF(AND(T1033=0,X1033=""),1,0)</f>
        <v/>
      </c>
      <c r="AA1033" s="68">
        <f>IF(Z1033=1,IF(U1033="In",L1033,L1033-W1033),0)</f>
        <v/>
      </c>
      <c r="AB1033" s="68">
        <f>IF(Z1033=1,IF(U1033="In",L1033-W1033,L1033),0)</f>
        <v/>
      </c>
      <c r="AC1033" s="68">
        <f>IF(AND(Z1033=1,U1033="Out"),W1033,0)</f>
        <v/>
      </c>
      <c r="AD1033" s="68">
        <f>IF(AND(Z1033=1,U1033="In"),W1033,0)</f>
        <v/>
      </c>
    </row>
    <row r="1034">
      <c r="B1034" s="62" t="inlineStr">
        <is>
          <t>TX-1028</t>
        </is>
      </c>
      <c r="C1034" s="63" t="n"/>
      <c r="D1034" s="62" t="n"/>
      <c r="E1034" s="62" t="n"/>
      <c r="F1034" s="62" t="n"/>
      <c r="G1034" s="62" t="n"/>
      <c r="H1034" s="62" t="n"/>
      <c r="I1034" s="62" t="n"/>
      <c r="J1034" s="62" t="n"/>
      <c r="K1034" s="62" t="n"/>
      <c r="L1034" s="64" t="n"/>
      <c r="M1034" s="64" t="n"/>
      <c r="N1034" s="62" t="n"/>
      <c r="O1034" s="65">
        <f>IF(Z1034=1,L1034-W1034,"")</f>
        <v/>
      </c>
      <c r="P1034" s="66">
        <f>IF(V1034="","",IFERROR(INDEX(coa_Type,MATCH(V1034,coa_Name,0)),""))</f>
        <v/>
      </c>
      <c r="Q1034" s="66">
        <f>IF(Z1034=1,IF(U1034="In",K1034&amp;"",V1034),"")</f>
        <v/>
      </c>
      <c r="R1034" s="66">
        <f>IF(Z1034=1,IF(U1034="In",V1034,K1034&amp;""),"")</f>
        <v/>
      </c>
      <c r="S1034" s="66">
        <f>IF(X1034&lt;&gt;"","⛔ "&amp;X1034&amp;" — not posted",IF(Y1034&lt;&gt;"","⚠ "&amp;Y1034,IF(Z1034=1,"✓ OK","")))</f>
        <v/>
      </c>
      <c r="T1034" s="67">
        <f>IF(AND(C1034="",D1034="",E1034="",L1034="",K1034=""),1,0)</f>
        <v/>
      </c>
      <c r="U1034" s="67">
        <f>IFERROR(INDEX(tt_Dir,MATCH(D1034,tt_Type,0)),"")</f>
        <v/>
      </c>
      <c r="V1034" s="67">
        <f>IF(D1034="","",IFERROR(IF(INDEX(tt_Other,MATCH(D1034,tt_Type,0))="",E1034&amp;"",INDEX(tt_Other,MATCH(D1034,tt_Type,0))),""))</f>
        <v/>
      </c>
      <c r="W1034" s="68">
        <f>IF(OR(TaxOn&lt;&gt;"Yes",NOT(ISNUMBER(M1034))),0,IF(IFERROR(INDEX(tt_Tax,MATCH(D1034,tt_Type,0)),"No")="Yes",M1034,0))</f>
        <v/>
      </c>
      <c r="X1034" s="67">
        <f>IF(T1034=1,"",IF(C1034="","Missing transaction date",IF(NOT(ISNUMBER(C1034)),"Invalid date",IF(OR(C1034&lt;DATE(2000,1,1),C1034&gt;DATE(2099,12,31)),"Invalid date",IF(D1034="","Select a type",IF(U1034="","Unknown type: "&amp;D1034,IF(V1034="","Select an account (Category)",IF(ISNA(MATCH(V1034,coa_Name,0)),"Unknown account: "&amp;V1034,IF(K1034="","Select Paid From / Deposited To",IF(ISNA(MATCH(K1034,coa_Name,0)),"Unknown account: "&amp;K1034,IF(NOT(ISNUMBER(L1034)),"Enter an amount",IF(L1034=0,"Enter an amount",IF(ABS(W1034)&gt;ABS(L1034),"Tax is larger than the amount","")))))))))))))</f>
        <v/>
      </c>
      <c r="Y1034" s="67">
        <f>IF(OR(T1034=1,X1034&lt;&gt;""),"",IF(AND(B1034&lt;&gt;"",COUNTIF(tx_ID,B1034)&gt;1),"Duplicate transaction ID",IF(AND(L1034&lt;0,D1034&lt;&gt;"Adjustment"),"Negative amount — check this entry",IF(AND(D1034="Customer Payment",G1034=""),"Add the customer",IF(AND(D1034="Customer Payment",OR(J1034="",COUNTIF(ar_No,J1034&amp;"")=0)),"Invoice # in Reference not found on AR sheet",IF(AND(D1034="Bill Payment",H1034=""),"Add the vendor",IF(AND(D1034="Bill Payment",OR(J1034="",COUNTIFS(ap_No,J1034&amp;"",ap_Party,H1034&amp;"")=0)),"Bill # + vendor not found on AP sheet",IF(AND(ISNUMBER(M1034),N(M1034)&lt;&gt;0,W1034=0),"Tax ignored (tax tracking off, or not allowed for this type)",IF(V1034=K1034&amp;"","Same account on both sides",IF(AND(ISNUMBER(StartDate),C1034&lt;StartDate),"Date is before the accounting start date",IF(AND(D1034&lt;&gt;"Adjustment",IFERROR(INDEX(coa_Pay,MATCH(K1034&amp;"",coa_Name,0)),"")&lt;&gt;"Yes"),"Paid From / Deposited To is not a payment account","")))))))))))</f>
        <v/>
      </c>
      <c r="Z1034" s="67">
        <f>IF(AND(T1034=0,X1034=""),1,0)</f>
        <v/>
      </c>
      <c r="AA1034" s="68">
        <f>IF(Z1034=1,IF(U1034="In",L1034,L1034-W1034),0)</f>
        <v/>
      </c>
      <c r="AB1034" s="68">
        <f>IF(Z1034=1,IF(U1034="In",L1034-W1034,L1034),0)</f>
        <v/>
      </c>
      <c r="AC1034" s="68">
        <f>IF(AND(Z1034=1,U1034="Out"),W1034,0)</f>
        <v/>
      </c>
      <c r="AD1034" s="68">
        <f>IF(AND(Z1034=1,U1034="In"),W1034,0)</f>
        <v/>
      </c>
    </row>
    <row r="1035">
      <c r="B1035" s="62" t="inlineStr">
        <is>
          <t>TX-1029</t>
        </is>
      </c>
      <c r="C1035" s="63" t="n"/>
      <c r="D1035" s="62" t="n"/>
      <c r="E1035" s="62" t="n"/>
      <c r="F1035" s="62" t="n"/>
      <c r="G1035" s="62" t="n"/>
      <c r="H1035" s="62" t="n"/>
      <c r="I1035" s="62" t="n"/>
      <c r="J1035" s="62" t="n"/>
      <c r="K1035" s="62" t="n"/>
      <c r="L1035" s="64" t="n"/>
      <c r="M1035" s="64" t="n"/>
      <c r="N1035" s="62" t="n"/>
      <c r="O1035" s="65">
        <f>IF(Z1035=1,L1035-W1035,"")</f>
        <v/>
      </c>
      <c r="P1035" s="66">
        <f>IF(V1035="","",IFERROR(INDEX(coa_Type,MATCH(V1035,coa_Name,0)),""))</f>
        <v/>
      </c>
      <c r="Q1035" s="66">
        <f>IF(Z1035=1,IF(U1035="In",K1035&amp;"",V1035),"")</f>
        <v/>
      </c>
      <c r="R1035" s="66">
        <f>IF(Z1035=1,IF(U1035="In",V1035,K1035&amp;""),"")</f>
        <v/>
      </c>
      <c r="S1035" s="66">
        <f>IF(X1035&lt;&gt;"","⛔ "&amp;X1035&amp;" — not posted",IF(Y1035&lt;&gt;"","⚠ "&amp;Y1035,IF(Z1035=1,"✓ OK","")))</f>
        <v/>
      </c>
      <c r="T1035" s="67">
        <f>IF(AND(C1035="",D1035="",E1035="",L1035="",K1035=""),1,0)</f>
        <v/>
      </c>
      <c r="U1035" s="67">
        <f>IFERROR(INDEX(tt_Dir,MATCH(D1035,tt_Type,0)),"")</f>
        <v/>
      </c>
      <c r="V1035" s="67">
        <f>IF(D1035="","",IFERROR(IF(INDEX(tt_Other,MATCH(D1035,tt_Type,0))="",E1035&amp;"",INDEX(tt_Other,MATCH(D1035,tt_Type,0))),""))</f>
        <v/>
      </c>
      <c r="W1035" s="68">
        <f>IF(OR(TaxOn&lt;&gt;"Yes",NOT(ISNUMBER(M1035))),0,IF(IFERROR(INDEX(tt_Tax,MATCH(D1035,tt_Type,0)),"No")="Yes",M1035,0))</f>
        <v/>
      </c>
      <c r="X1035" s="67">
        <f>IF(T1035=1,"",IF(C1035="","Missing transaction date",IF(NOT(ISNUMBER(C1035)),"Invalid date",IF(OR(C1035&lt;DATE(2000,1,1),C1035&gt;DATE(2099,12,31)),"Invalid date",IF(D1035="","Select a type",IF(U1035="","Unknown type: "&amp;D1035,IF(V1035="","Select an account (Category)",IF(ISNA(MATCH(V1035,coa_Name,0)),"Unknown account: "&amp;V1035,IF(K1035="","Select Paid From / Deposited To",IF(ISNA(MATCH(K1035,coa_Name,0)),"Unknown account: "&amp;K1035,IF(NOT(ISNUMBER(L1035)),"Enter an amount",IF(L1035=0,"Enter an amount",IF(ABS(W1035)&gt;ABS(L1035),"Tax is larger than the amount","")))))))))))))</f>
        <v/>
      </c>
      <c r="Y1035" s="67">
        <f>IF(OR(T1035=1,X1035&lt;&gt;""),"",IF(AND(B1035&lt;&gt;"",COUNTIF(tx_ID,B1035)&gt;1),"Duplicate transaction ID",IF(AND(L1035&lt;0,D1035&lt;&gt;"Adjustment"),"Negative amount — check this entry",IF(AND(D1035="Customer Payment",G1035=""),"Add the customer",IF(AND(D1035="Customer Payment",OR(J1035="",COUNTIF(ar_No,J1035&amp;"")=0)),"Invoice # in Reference not found on AR sheet",IF(AND(D1035="Bill Payment",H1035=""),"Add the vendor",IF(AND(D1035="Bill Payment",OR(J1035="",COUNTIFS(ap_No,J1035&amp;"",ap_Party,H1035&amp;"")=0)),"Bill # + vendor not found on AP sheet",IF(AND(ISNUMBER(M1035),N(M1035)&lt;&gt;0,W1035=0),"Tax ignored (tax tracking off, or not allowed for this type)",IF(V1035=K1035&amp;"","Same account on both sides",IF(AND(ISNUMBER(StartDate),C1035&lt;StartDate),"Date is before the accounting start date",IF(AND(D1035&lt;&gt;"Adjustment",IFERROR(INDEX(coa_Pay,MATCH(K1035&amp;"",coa_Name,0)),"")&lt;&gt;"Yes"),"Paid From / Deposited To is not a payment account","")))))))))))</f>
        <v/>
      </c>
      <c r="Z1035" s="67">
        <f>IF(AND(T1035=0,X1035=""),1,0)</f>
        <v/>
      </c>
      <c r="AA1035" s="68">
        <f>IF(Z1035=1,IF(U1035="In",L1035,L1035-W1035),0)</f>
        <v/>
      </c>
      <c r="AB1035" s="68">
        <f>IF(Z1035=1,IF(U1035="In",L1035-W1035,L1035),0)</f>
        <v/>
      </c>
      <c r="AC1035" s="68">
        <f>IF(AND(Z1035=1,U1035="Out"),W1035,0)</f>
        <v/>
      </c>
      <c r="AD1035" s="68">
        <f>IF(AND(Z1035=1,U1035="In"),W1035,0)</f>
        <v/>
      </c>
    </row>
    <row r="1036">
      <c r="B1036" s="62" t="inlineStr">
        <is>
          <t>TX-1030</t>
        </is>
      </c>
      <c r="C1036" s="63" t="n"/>
      <c r="D1036" s="62" t="n"/>
      <c r="E1036" s="62" t="n"/>
      <c r="F1036" s="62" t="n"/>
      <c r="G1036" s="62" t="n"/>
      <c r="H1036" s="62" t="n"/>
      <c r="I1036" s="62" t="n"/>
      <c r="J1036" s="62" t="n"/>
      <c r="K1036" s="62" t="n"/>
      <c r="L1036" s="64" t="n"/>
      <c r="M1036" s="64" t="n"/>
      <c r="N1036" s="62" t="n"/>
      <c r="O1036" s="65">
        <f>IF(Z1036=1,L1036-W1036,"")</f>
        <v/>
      </c>
      <c r="P1036" s="66">
        <f>IF(V1036="","",IFERROR(INDEX(coa_Type,MATCH(V1036,coa_Name,0)),""))</f>
        <v/>
      </c>
      <c r="Q1036" s="66">
        <f>IF(Z1036=1,IF(U1036="In",K1036&amp;"",V1036),"")</f>
        <v/>
      </c>
      <c r="R1036" s="66">
        <f>IF(Z1036=1,IF(U1036="In",V1036,K1036&amp;""),"")</f>
        <v/>
      </c>
      <c r="S1036" s="66">
        <f>IF(X1036&lt;&gt;"","⛔ "&amp;X1036&amp;" — not posted",IF(Y1036&lt;&gt;"","⚠ "&amp;Y1036,IF(Z1036=1,"✓ OK","")))</f>
        <v/>
      </c>
      <c r="T1036" s="67">
        <f>IF(AND(C1036="",D1036="",E1036="",L1036="",K1036=""),1,0)</f>
        <v/>
      </c>
      <c r="U1036" s="67">
        <f>IFERROR(INDEX(tt_Dir,MATCH(D1036,tt_Type,0)),"")</f>
        <v/>
      </c>
      <c r="V1036" s="67">
        <f>IF(D1036="","",IFERROR(IF(INDEX(tt_Other,MATCH(D1036,tt_Type,0))="",E1036&amp;"",INDEX(tt_Other,MATCH(D1036,tt_Type,0))),""))</f>
        <v/>
      </c>
      <c r="W1036" s="68">
        <f>IF(OR(TaxOn&lt;&gt;"Yes",NOT(ISNUMBER(M1036))),0,IF(IFERROR(INDEX(tt_Tax,MATCH(D1036,tt_Type,0)),"No")="Yes",M1036,0))</f>
        <v/>
      </c>
      <c r="X1036" s="67">
        <f>IF(T1036=1,"",IF(C1036="","Missing transaction date",IF(NOT(ISNUMBER(C1036)),"Invalid date",IF(OR(C1036&lt;DATE(2000,1,1),C1036&gt;DATE(2099,12,31)),"Invalid date",IF(D1036="","Select a type",IF(U1036="","Unknown type: "&amp;D1036,IF(V1036="","Select an account (Category)",IF(ISNA(MATCH(V1036,coa_Name,0)),"Unknown account: "&amp;V1036,IF(K1036="","Select Paid From / Deposited To",IF(ISNA(MATCH(K1036,coa_Name,0)),"Unknown account: "&amp;K1036,IF(NOT(ISNUMBER(L1036)),"Enter an amount",IF(L1036=0,"Enter an amount",IF(ABS(W1036)&gt;ABS(L1036),"Tax is larger than the amount","")))))))))))))</f>
        <v/>
      </c>
      <c r="Y1036" s="67">
        <f>IF(OR(T1036=1,X1036&lt;&gt;""),"",IF(AND(B1036&lt;&gt;"",COUNTIF(tx_ID,B1036)&gt;1),"Duplicate transaction ID",IF(AND(L1036&lt;0,D1036&lt;&gt;"Adjustment"),"Negative amount — check this entry",IF(AND(D1036="Customer Payment",G1036=""),"Add the customer",IF(AND(D1036="Customer Payment",OR(J1036="",COUNTIF(ar_No,J1036&amp;"")=0)),"Invoice # in Reference not found on AR sheet",IF(AND(D1036="Bill Payment",H1036=""),"Add the vendor",IF(AND(D1036="Bill Payment",OR(J1036="",COUNTIFS(ap_No,J1036&amp;"",ap_Party,H1036&amp;"")=0)),"Bill # + vendor not found on AP sheet",IF(AND(ISNUMBER(M1036),N(M1036)&lt;&gt;0,W1036=0),"Tax ignored (tax tracking off, or not allowed for this type)",IF(V1036=K1036&amp;"","Same account on both sides",IF(AND(ISNUMBER(StartDate),C1036&lt;StartDate),"Date is before the accounting start date",IF(AND(D1036&lt;&gt;"Adjustment",IFERROR(INDEX(coa_Pay,MATCH(K1036&amp;"",coa_Name,0)),"")&lt;&gt;"Yes"),"Paid From / Deposited To is not a payment account","")))))))))))</f>
        <v/>
      </c>
      <c r="Z1036" s="67">
        <f>IF(AND(T1036=0,X1036=""),1,0)</f>
        <v/>
      </c>
      <c r="AA1036" s="68">
        <f>IF(Z1036=1,IF(U1036="In",L1036,L1036-W1036),0)</f>
        <v/>
      </c>
      <c r="AB1036" s="68">
        <f>IF(Z1036=1,IF(U1036="In",L1036-W1036,L1036),0)</f>
        <v/>
      </c>
      <c r="AC1036" s="68">
        <f>IF(AND(Z1036=1,U1036="Out"),W1036,0)</f>
        <v/>
      </c>
      <c r="AD1036" s="68">
        <f>IF(AND(Z1036=1,U1036="In"),W1036,0)</f>
        <v/>
      </c>
    </row>
    <row r="1037">
      <c r="B1037" s="62" t="inlineStr">
        <is>
          <t>TX-1031</t>
        </is>
      </c>
      <c r="C1037" s="63" t="n"/>
      <c r="D1037" s="62" t="n"/>
      <c r="E1037" s="62" t="n"/>
      <c r="F1037" s="62" t="n"/>
      <c r="G1037" s="62" t="n"/>
      <c r="H1037" s="62" t="n"/>
      <c r="I1037" s="62" t="n"/>
      <c r="J1037" s="62" t="n"/>
      <c r="K1037" s="62" t="n"/>
      <c r="L1037" s="64" t="n"/>
      <c r="M1037" s="64" t="n"/>
      <c r="N1037" s="62" t="n"/>
      <c r="O1037" s="65">
        <f>IF(Z1037=1,L1037-W1037,"")</f>
        <v/>
      </c>
      <c r="P1037" s="66">
        <f>IF(V1037="","",IFERROR(INDEX(coa_Type,MATCH(V1037,coa_Name,0)),""))</f>
        <v/>
      </c>
      <c r="Q1037" s="66">
        <f>IF(Z1037=1,IF(U1037="In",K1037&amp;"",V1037),"")</f>
        <v/>
      </c>
      <c r="R1037" s="66">
        <f>IF(Z1037=1,IF(U1037="In",V1037,K1037&amp;""),"")</f>
        <v/>
      </c>
      <c r="S1037" s="66">
        <f>IF(X1037&lt;&gt;"","⛔ "&amp;X1037&amp;" — not posted",IF(Y1037&lt;&gt;"","⚠ "&amp;Y1037,IF(Z1037=1,"✓ OK","")))</f>
        <v/>
      </c>
      <c r="T1037" s="67">
        <f>IF(AND(C1037="",D1037="",E1037="",L1037="",K1037=""),1,0)</f>
        <v/>
      </c>
      <c r="U1037" s="67">
        <f>IFERROR(INDEX(tt_Dir,MATCH(D1037,tt_Type,0)),"")</f>
        <v/>
      </c>
      <c r="V1037" s="67">
        <f>IF(D1037="","",IFERROR(IF(INDEX(tt_Other,MATCH(D1037,tt_Type,0))="",E1037&amp;"",INDEX(tt_Other,MATCH(D1037,tt_Type,0))),""))</f>
        <v/>
      </c>
      <c r="W1037" s="68">
        <f>IF(OR(TaxOn&lt;&gt;"Yes",NOT(ISNUMBER(M1037))),0,IF(IFERROR(INDEX(tt_Tax,MATCH(D1037,tt_Type,0)),"No")="Yes",M1037,0))</f>
        <v/>
      </c>
      <c r="X1037" s="67">
        <f>IF(T1037=1,"",IF(C1037="","Missing transaction date",IF(NOT(ISNUMBER(C1037)),"Invalid date",IF(OR(C1037&lt;DATE(2000,1,1),C1037&gt;DATE(2099,12,31)),"Invalid date",IF(D1037="","Select a type",IF(U1037="","Unknown type: "&amp;D1037,IF(V1037="","Select an account (Category)",IF(ISNA(MATCH(V1037,coa_Name,0)),"Unknown account: "&amp;V1037,IF(K1037="","Select Paid From / Deposited To",IF(ISNA(MATCH(K1037,coa_Name,0)),"Unknown account: "&amp;K1037,IF(NOT(ISNUMBER(L1037)),"Enter an amount",IF(L1037=0,"Enter an amount",IF(ABS(W1037)&gt;ABS(L1037),"Tax is larger than the amount","")))))))))))))</f>
        <v/>
      </c>
      <c r="Y1037" s="67">
        <f>IF(OR(T1037=1,X1037&lt;&gt;""),"",IF(AND(B1037&lt;&gt;"",COUNTIF(tx_ID,B1037)&gt;1),"Duplicate transaction ID",IF(AND(L1037&lt;0,D1037&lt;&gt;"Adjustment"),"Negative amount — check this entry",IF(AND(D1037="Customer Payment",G1037=""),"Add the customer",IF(AND(D1037="Customer Payment",OR(J1037="",COUNTIF(ar_No,J1037&amp;"")=0)),"Invoice # in Reference not found on AR sheet",IF(AND(D1037="Bill Payment",H1037=""),"Add the vendor",IF(AND(D1037="Bill Payment",OR(J1037="",COUNTIFS(ap_No,J1037&amp;"",ap_Party,H1037&amp;"")=0)),"Bill # + vendor not found on AP sheet",IF(AND(ISNUMBER(M1037),N(M1037)&lt;&gt;0,W1037=0),"Tax ignored (tax tracking off, or not allowed for this type)",IF(V1037=K1037&amp;"","Same account on both sides",IF(AND(ISNUMBER(StartDate),C1037&lt;StartDate),"Date is before the accounting start date",IF(AND(D1037&lt;&gt;"Adjustment",IFERROR(INDEX(coa_Pay,MATCH(K1037&amp;"",coa_Name,0)),"")&lt;&gt;"Yes"),"Paid From / Deposited To is not a payment account","")))))))))))</f>
        <v/>
      </c>
      <c r="Z1037" s="67">
        <f>IF(AND(T1037=0,X1037=""),1,0)</f>
        <v/>
      </c>
      <c r="AA1037" s="68">
        <f>IF(Z1037=1,IF(U1037="In",L1037,L1037-W1037),0)</f>
        <v/>
      </c>
      <c r="AB1037" s="68">
        <f>IF(Z1037=1,IF(U1037="In",L1037-W1037,L1037),0)</f>
        <v/>
      </c>
      <c r="AC1037" s="68">
        <f>IF(AND(Z1037=1,U1037="Out"),W1037,0)</f>
        <v/>
      </c>
      <c r="AD1037" s="68">
        <f>IF(AND(Z1037=1,U1037="In"),W1037,0)</f>
        <v/>
      </c>
    </row>
    <row r="1038">
      <c r="B1038" s="62" t="inlineStr">
        <is>
          <t>TX-1032</t>
        </is>
      </c>
      <c r="C1038" s="63" t="n"/>
      <c r="D1038" s="62" t="n"/>
      <c r="E1038" s="62" t="n"/>
      <c r="F1038" s="62" t="n"/>
      <c r="G1038" s="62" t="n"/>
      <c r="H1038" s="62" t="n"/>
      <c r="I1038" s="62" t="n"/>
      <c r="J1038" s="62" t="n"/>
      <c r="K1038" s="62" t="n"/>
      <c r="L1038" s="64" t="n"/>
      <c r="M1038" s="64" t="n"/>
      <c r="N1038" s="62" t="n"/>
      <c r="O1038" s="65">
        <f>IF(Z1038=1,L1038-W1038,"")</f>
        <v/>
      </c>
      <c r="P1038" s="66">
        <f>IF(V1038="","",IFERROR(INDEX(coa_Type,MATCH(V1038,coa_Name,0)),""))</f>
        <v/>
      </c>
      <c r="Q1038" s="66">
        <f>IF(Z1038=1,IF(U1038="In",K1038&amp;"",V1038),"")</f>
        <v/>
      </c>
      <c r="R1038" s="66">
        <f>IF(Z1038=1,IF(U1038="In",V1038,K1038&amp;""),"")</f>
        <v/>
      </c>
      <c r="S1038" s="66">
        <f>IF(X1038&lt;&gt;"","⛔ "&amp;X1038&amp;" — not posted",IF(Y1038&lt;&gt;"","⚠ "&amp;Y1038,IF(Z1038=1,"✓ OK","")))</f>
        <v/>
      </c>
      <c r="T1038" s="67">
        <f>IF(AND(C1038="",D1038="",E1038="",L1038="",K1038=""),1,0)</f>
        <v/>
      </c>
      <c r="U1038" s="67">
        <f>IFERROR(INDEX(tt_Dir,MATCH(D1038,tt_Type,0)),"")</f>
        <v/>
      </c>
      <c r="V1038" s="67">
        <f>IF(D1038="","",IFERROR(IF(INDEX(tt_Other,MATCH(D1038,tt_Type,0))="",E1038&amp;"",INDEX(tt_Other,MATCH(D1038,tt_Type,0))),""))</f>
        <v/>
      </c>
      <c r="W1038" s="68">
        <f>IF(OR(TaxOn&lt;&gt;"Yes",NOT(ISNUMBER(M1038))),0,IF(IFERROR(INDEX(tt_Tax,MATCH(D1038,tt_Type,0)),"No")="Yes",M1038,0))</f>
        <v/>
      </c>
      <c r="X1038" s="67">
        <f>IF(T1038=1,"",IF(C1038="","Missing transaction date",IF(NOT(ISNUMBER(C1038)),"Invalid date",IF(OR(C1038&lt;DATE(2000,1,1),C1038&gt;DATE(2099,12,31)),"Invalid date",IF(D1038="","Select a type",IF(U1038="","Unknown type: "&amp;D1038,IF(V1038="","Select an account (Category)",IF(ISNA(MATCH(V1038,coa_Name,0)),"Unknown account: "&amp;V1038,IF(K1038="","Select Paid From / Deposited To",IF(ISNA(MATCH(K1038,coa_Name,0)),"Unknown account: "&amp;K1038,IF(NOT(ISNUMBER(L1038)),"Enter an amount",IF(L1038=0,"Enter an amount",IF(ABS(W1038)&gt;ABS(L1038),"Tax is larger than the amount","")))))))))))))</f>
        <v/>
      </c>
      <c r="Y1038" s="67">
        <f>IF(OR(T1038=1,X1038&lt;&gt;""),"",IF(AND(B1038&lt;&gt;"",COUNTIF(tx_ID,B1038)&gt;1),"Duplicate transaction ID",IF(AND(L1038&lt;0,D1038&lt;&gt;"Adjustment"),"Negative amount — check this entry",IF(AND(D1038="Customer Payment",G1038=""),"Add the customer",IF(AND(D1038="Customer Payment",OR(J1038="",COUNTIF(ar_No,J1038&amp;"")=0)),"Invoice # in Reference not found on AR sheet",IF(AND(D1038="Bill Payment",H1038=""),"Add the vendor",IF(AND(D1038="Bill Payment",OR(J1038="",COUNTIFS(ap_No,J1038&amp;"",ap_Party,H1038&amp;"")=0)),"Bill # + vendor not found on AP sheet",IF(AND(ISNUMBER(M1038),N(M1038)&lt;&gt;0,W1038=0),"Tax ignored (tax tracking off, or not allowed for this type)",IF(V1038=K1038&amp;"","Same account on both sides",IF(AND(ISNUMBER(StartDate),C1038&lt;StartDate),"Date is before the accounting start date",IF(AND(D1038&lt;&gt;"Adjustment",IFERROR(INDEX(coa_Pay,MATCH(K1038&amp;"",coa_Name,0)),"")&lt;&gt;"Yes"),"Paid From / Deposited To is not a payment account","")))))))))))</f>
        <v/>
      </c>
      <c r="Z1038" s="67">
        <f>IF(AND(T1038=0,X1038=""),1,0)</f>
        <v/>
      </c>
      <c r="AA1038" s="68">
        <f>IF(Z1038=1,IF(U1038="In",L1038,L1038-W1038),0)</f>
        <v/>
      </c>
      <c r="AB1038" s="68">
        <f>IF(Z1038=1,IF(U1038="In",L1038-W1038,L1038),0)</f>
        <v/>
      </c>
      <c r="AC1038" s="68">
        <f>IF(AND(Z1038=1,U1038="Out"),W1038,0)</f>
        <v/>
      </c>
      <c r="AD1038" s="68">
        <f>IF(AND(Z1038=1,U1038="In"),W1038,0)</f>
        <v/>
      </c>
    </row>
    <row r="1039">
      <c r="B1039" s="62" t="inlineStr">
        <is>
          <t>TX-1033</t>
        </is>
      </c>
      <c r="C1039" s="63" t="n"/>
      <c r="D1039" s="62" t="n"/>
      <c r="E1039" s="62" t="n"/>
      <c r="F1039" s="62" t="n"/>
      <c r="G1039" s="62" t="n"/>
      <c r="H1039" s="62" t="n"/>
      <c r="I1039" s="62" t="n"/>
      <c r="J1039" s="62" t="n"/>
      <c r="K1039" s="62" t="n"/>
      <c r="L1039" s="64" t="n"/>
      <c r="M1039" s="64" t="n"/>
      <c r="N1039" s="62" t="n"/>
      <c r="O1039" s="65">
        <f>IF(Z1039=1,L1039-W1039,"")</f>
        <v/>
      </c>
      <c r="P1039" s="66">
        <f>IF(V1039="","",IFERROR(INDEX(coa_Type,MATCH(V1039,coa_Name,0)),""))</f>
        <v/>
      </c>
      <c r="Q1039" s="66">
        <f>IF(Z1039=1,IF(U1039="In",K1039&amp;"",V1039),"")</f>
        <v/>
      </c>
      <c r="R1039" s="66">
        <f>IF(Z1039=1,IF(U1039="In",V1039,K1039&amp;""),"")</f>
        <v/>
      </c>
      <c r="S1039" s="66">
        <f>IF(X1039&lt;&gt;"","⛔ "&amp;X1039&amp;" — not posted",IF(Y1039&lt;&gt;"","⚠ "&amp;Y1039,IF(Z1039=1,"✓ OK","")))</f>
        <v/>
      </c>
      <c r="T1039" s="67">
        <f>IF(AND(C1039="",D1039="",E1039="",L1039="",K1039=""),1,0)</f>
        <v/>
      </c>
      <c r="U1039" s="67">
        <f>IFERROR(INDEX(tt_Dir,MATCH(D1039,tt_Type,0)),"")</f>
        <v/>
      </c>
      <c r="V1039" s="67">
        <f>IF(D1039="","",IFERROR(IF(INDEX(tt_Other,MATCH(D1039,tt_Type,0))="",E1039&amp;"",INDEX(tt_Other,MATCH(D1039,tt_Type,0))),""))</f>
        <v/>
      </c>
      <c r="W1039" s="68">
        <f>IF(OR(TaxOn&lt;&gt;"Yes",NOT(ISNUMBER(M1039))),0,IF(IFERROR(INDEX(tt_Tax,MATCH(D1039,tt_Type,0)),"No")="Yes",M1039,0))</f>
        <v/>
      </c>
      <c r="X1039" s="67">
        <f>IF(T1039=1,"",IF(C1039="","Missing transaction date",IF(NOT(ISNUMBER(C1039)),"Invalid date",IF(OR(C1039&lt;DATE(2000,1,1),C1039&gt;DATE(2099,12,31)),"Invalid date",IF(D1039="","Select a type",IF(U1039="","Unknown type: "&amp;D1039,IF(V1039="","Select an account (Category)",IF(ISNA(MATCH(V1039,coa_Name,0)),"Unknown account: "&amp;V1039,IF(K1039="","Select Paid From / Deposited To",IF(ISNA(MATCH(K1039,coa_Name,0)),"Unknown account: "&amp;K1039,IF(NOT(ISNUMBER(L1039)),"Enter an amount",IF(L1039=0,"Enter an amount",IF(ABS(W1039)&gt;ABS(L1039),"Tax is larger than the amount","")))))))))))))</f>
        <v/>
      </c>
      <c r="Y1039" s="67">
        <f>IF(OR(T1039=1,X1039&lt;&gt;""),"",IF(AND(B1039&lt;&gt;"",COUNTIF(tx_ID,B1039)&gt;1),"Duplicate transaction ID",IF(AND(L1039&lt;0,D1039&lt;&gt;"Adjustment"),"Negative amount — check this entry",IF(AND(D1039="Customer Payment",G1039=""),"Add the customer",IF(AND(D1039="Customer Payment",OR(J1039="",COUNTIF(ar_No,J1039&amp;"")=0)),"Invoice # in Reference not found on AR sheet",IF(AND(D1039="Bill Payment",H1039=""),"Add the vendor",IF(AND(D1039="Bill Payment",OR(J1039="",COUNTIFS(ap_No,J1039&amp;"",ap_Party,H1039&amp;"")=0)),"Bill # + vendor not found on AP sheet",IF(AND(ISNUMBER(M1039),N(M1039)&lt;&gt;0,W1039=0),"Tax ignored (tax tracking off, or not allowed for this type)",IF(V1039=K1039&amp;"","Same account on both sides",IF(AND(ISNUMBER(StartDate),C1039&lt;StartDate),"Date is before the accounting start date",IF(AND(D1039&lt;&gt;"Adjustment",IFERROR(INDEX(coa_Pay,MATCH(K1039&amp;"",coa_Name,0)),"")&lt;&gt;"Yes"),"Paid From / Deposited To is not a payment account","")))))))))))</f>
        <v/>
      </c>
      <c r="Z1039" s="67">
        <f>IF(AND(T1039=0,X1039=""),1,0)</f>
        <v/>
      </c>
      <c r="AA1039" s="68">
        <f>IF(Z1039=1,IF(U1039="In",L1039,L1039-W1039),0)</f>
        <v/>
      </c>
      <c r="AB1039" s="68">
        <f>IF(Z1039=1,IF(U1039="In",L1039-W1039,L1039),0)</f>
        <v/>
      </c>
      <c r="AC1039" s="68">
        <f>IF(AND(Z1039=1,U1039="Out"),W1039,0)</f>
        <v/>
      </c>
      <c r="AD1039" s="68">
        <f>IF(AND(Z1039=1,U1039="In"),W1039,0)</f>
        <v/>
      </c>
    </row>
    <row r="1040">
      <c r="B1040" s="62" t="inlineStr">
        <is>
          <t>TX-1034</t>
        </is>
      </c>
      <c r="C1040" s="63" t="n"/>
      <c r="D1040" s="62" t="n"/>
      <c r="E1040" s="62" t="n"/>
      <c r="F1040" s="62" t="n"/>
      <c r="G1040" s="62" t="n"/>
      <c r="H1040" s="62" t="n"/>
      <c r="I1040" s="62" t="n"/>
      <c r="J1040" s="62" t="n"/>
      <c r="K1040" s="62" t="n"/>
      <c r="L1040" s="64" t="n"/>
      <c r="M1040" s="64" t="n"/>
      <c r="N1040" s="62" t="n"/>
      <c r="O1040" s="65">
        <f>IF(Z1040=1,L1040-W1040,"")</f>
        <v/>
      </c>
      <c r="P1040" s="66">
        <f>IF(V1040="","",IFERROR(INDEX(coa_Type,MATCH(V1040,coa_Name,0)),""))</f>
        <v/>
      </c>
      <c r="Q1040" s="66">
        <f>IF(Z1040=1,IF(U1040="In",K1040&amp;"",V1040),"")</f>
        <v/>
      </c>
      <c r="R1040" s="66">
        <f>IF(Z1040=1,IF(U1040="In",V1040,K1040&amp;""),"")</f>
        <v/>
      </c>
      <c r="S1040" s="66">
        <f>IF(X1040&lt;&gt;"","⛔ "&amp;X1040&amp;" — not posted",IF(Y1040&lt;&gt;"","⚠ "&amp;Y1040,IF(Z1040=1,"✓ OK","")))</f>
        <v/>
      </c>
      <c r="T1040" s="67">
        <f>IF(AND(C1040="",D1040="",E1040="",L1040="",K1040=""),1,0)</f>
        <v/>
      </c>
      <c r="U1040" s="67">
        <f>IFERROR(INDEX(tt_Dir,MATCH(D1040,tt_Type,0)),"")</f>
        <v/>
      </c>
      <c r="V1040" s="67">
        <f>IF(D1040="","",IFERROR(IF(INDEX(tt_Other,MATCH(D1040,tt_Type,0))="",E1040&amp;"",INDEX(tt_Other,MATCH(D1040,tt_Type,0))),""))</f>
        <v/>
      </c>
      <c r="W1040" s="68">
        <f>IF(OR(TaxOn&lt;&gt;"Yes",NOT(ISNUMBER(M1040))),0,IF(IFERROR(INDEX(tt_Tax,MATCH(D1040,tt_Type,0)),"No")="Yes",M1040,0))</f>
        <v/>
      </c>
      <c r="X1040" s="67">
        <f>IF(T1040=1,"",IF(C1040="","Missing transaction date",IF(NOT(ISNUMBER(C1040)),"Invalid date",IF(OR(C1040&lt;DATE(2000,1,1),C1040&gt;DATE(2099,12,31)),"Invalid date",IF(D1040="","Select a type",IF(U1040="","Unknown type: "&amp;D1040,IF(V1040="","Select an account (Category)",IF(ISNA(MATCH(V1040,coa_Name,0)),"Unknown account: "&amp;V1040,IF(K1040="","Select Paid From / Deposited To",IF(ISNA(MATCH(K1040,coa_Name,0)),"Unknown account: "&amp;K1040,IF(NOT(ISNUMBER(L1040)),"Enter an amount",IF(L1040=0,"Enter an amount",IF(ABS(W1040)&gt;ABS(L1040),"Tax is larger than the amount","")))))))))))))</f>
        <v/>
      </c>
      <c r="Y1040" s="67">
        <f>IF(OR(T1040=1,X1040&lt;&gt;""),"",IF(AND(B1040&lt;&gt;"",COUNTIF(tx_ID,B1040)&gt;1),"Duplicate transaction ID",IF(AND(L1040&lt;0,D1040&lt;&gt;"Adjustment"),"Negative amount — check this entry",IF(AND(D1040="Customer Payment",G1040=""),"Add the customer",IF(AND(D1040="Customer Payment",OR(J1040="",COUNTIF(ar_No,J1040&amp;"")=0)),"Invoice # in Reference not found on AR sheet",IF(AND(D1040="Bill Payment",H1040=""),"Add the vendor",IF(AND(D1040="Bill Payment",OR(J1040="",COUNTIFS(ap_No,J1040&amp;"",ap_Party,H1040&amp;"")=0)),"Bill # + vendor not found on AP sheet",IF(AND(ISNUMBER(M1040),N(M1040)&lt;&gt;0,W1040=0),"Tax ignored (tax tracking off, or not allowed for this type)",IF(V1040=K1040&amp;"","Same account on both sides",IF(AND(ISNUMBER(StartDate),C1040&lt;StartDate),"Date is before the accounting start date",IF(AND(D1040&lt;&gt;"Adjustment",IFERROR(INDEX(coa_Pay,MATCH(K1040&amp;"",coa_Name,0)),"")&lt;&gt;"Yes"),"Paid From / Deposited To is not a payment account","")))))))))))</f>
        <v/>
      </c>
      <c r="Z1040" s="67">
        <f>IF(AND(T1040=0,X1040=""),1,0)</f>
        <v/>
      </c>
      <c r="AA1040" s="68">
        <f>IF(Z1040=1,IF(U1040="In",L1040,L1040-W1040),0)</f>
        <v/>
      </c>
      <c r="AB1040" s="68">
        <f>IF(Z1040=1,IF(U1040="In",L1040-W1040,L1040),0)</f>
        <v/>
      </c>
      <c r="AC1040" s="68">
        <f>IF(AND(Z1040=1,U1040="Out"),W1040,0)</f>
        <v/>
      </c>
      <c r="AD1040" s="68">
        <f>IF(AND(Z1040=1,U1040="In"),W1040,0)</f>
        <v/>
      </c>
    </row>
    <row r="1041">
      <c r="B1041" s="62" t="inlineStr">
        <is>
          <t>TX-1035</t>
        </is>
      </c>
      <c r="C1041" s="63" t="n"/>
      <c r="D1041" s="62" t="n"/>
      <c r="E1041" s="62" t="n"/>
      <c r="F1041" s="62" t="n"/>
      <c r="G1041" s="62" t="n"/>
      <c r="H1041" s="62" t="n"/>
      <c r="I1041" s="62" t="n"/>
      <c r="J1041" s="62" t="n"/>
      <c r="K1041" s="62" t="n"/>
      <c r="L1041" s="64" t="n"/>
      <c r="M1041" s="64" t="n"/>
      <c r="N1041" s="62" t="n"/>
      <c r="O1041" s="65">
        <f>IF(Z1041=1,L1041-W1041,"")</f>
        <v/>
      </c>
      <c r="P1041" s="66">
        <f>IF(V1041="","",IFERROR(INDEX(coa_Type,MATCH(V1041,coa_Name,0)),""))</f>
        <v/>
      </c>
      <c r="Q1041" s="66">
        <f>IF(Z1041=1,IF(U1041="In",K1041&amp;"",V1041),"")</f>
        <v/>
      </c>
      <c r="R1041" s="66">
        <f>IF(Z1041=1,IF(U1041="In",V1041,K1041&amp;""),"")</f>
        <v/>
      </c>
      <c r="S1041" s="66">
        <f>IF(X1041&lt;&gt;"","⛔ "&amp;X1041&amp;" — not posted",IF(Y1041&lt;&gt;"","⚠ "&amp;Y1041,IF(Z1041=1,"✓ OK","")))</f>
        <v/>
      </c>
      <c r="T1041" s="67">
        <f>IF(AND(C1041="",D1041="",E1041="",L1041="",K1041=""),1,0)</f>
        <v/>
      </c>
      <c r="U1041" s="67">
        <f>IFERROR(INDEX(tt_Dir,MATCH(D1041,tt_Type,0)),"")</f>
        <v/>
      </c>
      <c r="V1041" s="67">
        <f>IF(D1041="","",IFERROR(IF(INDEX(tt_Other,MATCH(D1041,tt_Type,0))="",E1041&amp;"",INDEX(tt_Other,MATCH(D1041,tt_Type,0))),""))</f>
        <v/>
      </c>
      <c r="W1041" s="68">
        <f>IF(OR(TaxOn&lt;&gt;"Yes",NOT(ISNUMBER(M1041))),0,IF(IFERROR(INDEX(tt_Tax,MATCH(D1041,tt_Type,0)),"No")="Yes",M1041,0))</f>
        <v/>
      </c>
      <c r="X1041" s="67">
        <f>IF(T1041=1,"",IF(C1041="","Missing transaction date",IF(NOT(ISNUMBER(C1041)),"Invalid date",IF(OR(C1041&lt;DATE(2000,1,1),C1041&gt;DATE(2099,12,31)),"Invalid date",IF(D1041="","Select a type",IF(U1041="","Unknown type: "&amp;D1041,IF(V1041="","Select an account (Category)",IF(ISNA(MATCH(V1041,coa_Name,0)),"Unknown account: "&amp;V1041,IF(K1041="","Select Paid From / Deposited To",IF(ISNA(MATCH(K1041,coa_Name,0)),"Unknown account: "&amp;K1041,IF(NOT(ISNUMBER(L1041)),"Enter an amount",IF(L1041=0,"Enter an amount",IF(ABS(W1041)&gt;ABS(L1041),"Tax is larger than the amount","")))))))))))))</f>
        <v/>
      </c>
      <c r="Y1041" s="67">
        <f>IF(OR(T1041=1,X1041&lt;&gt;""),"",IF(AND(B1041&lt;&gt;"",COUNTIF(tx_ID,B1041)&gt;1),"Duplicate transaction ID",IF(AND(L1041&lt;0,D1041&lt;&gt;"Adjustment"),"Negative amount — check this entry",IF(AND(D1041="Customer Payment",G1041=""),"Add the customer",IF(AND(D1041="Customer Payment",OR(J1041="",COUNTIF(ar_No,J1041&amp;"")=0)),"Invoice # in Reference not found on AR sheet",IF(AND(D1041="Bill Payment",H1041=""),"Add the vendor",IF(AND(D1041="Bill Payment",OR(J1041="",COUNTIFS(ap_No,J1041&amp;"",ap_Party,H1041&amp;"")=0)),"Bill # + vendor not found on AP sheet",IF(AND(ISNUMBER(M1041),N(M1041)&lt;&gt;0,W1041=0),"Tax ignored (tax tracking off, or not allowed for this type)",IF(V1041=K1041&amp;"","Same account on both sides",IF(AND(ISNUMBER(StartDate),C1041&lt;StartDate),"Date is before the accounting start date",IF(AND(D1041&lt;&gt;"Adjustment",IFERROR(INDEX(coa_Pay,MATCH(K1041&amp;"",coa_Name,0)),"")&lt;&gt;"Yes"),"Paid From / Deposited To is not a payment account","")))))))))))</f>
        <v/>
      </c>
      <c r="Z1041" s="67">
        <f>IF(AND(T1041=0,X1041=""),1,0)</f>
        <v/>
      </c>
      <c r="AA1041" s="68">
        <f>IF(Z1041=1,IF(U1041="In",L1041,L1041-W1041),0)</f>
        <v/>
      </c>
      <c r="AB1041" s="68">
        <f>IF(Z1041=1,IF(U1041="In",L1041-W1041,L1041),0)</f>
        <v/>
      </c>
      <c r="AC1041" s="68">
        <f>IF(AND(Z1041=1,U1041="Out"),W1041,0)</f>
        <v/>
      </c>
      <c r="AD1041" s="68">
        <f>IF(AND(Z1041=1,U1041="In"),W1041,0)</f>
        <v/>
      </c>
    </row>
    <row r="1042">
      <c r="B1042" s="62" t="inlineStr">
        <is>
          <t>TX-1036</t>
        </is>
      </c>
      <c r="C1042" s="63" t="n"/>
      <c r="D1042" s="62" t="n"/>
      <c r="E1042" s="62" t="n"/>
      <c r="F1042" s="62" t="n"/>
      <c r="G1042" s="62" t="n"/>
      <c r="H1042" s="62" t="n"/>
      <c r="I1042" s="62" t="n"/>
      <c r="J1042" s="62" t="n"/>
      <c r="K1042" s="62" t="n"/>
      <c r="L1042" s="64" t="n"/>
      <c r="M1042" s="64" t="n"/>
      <c r="N1042" s="62" t="n"/>
      <c r="O1042" s="65">
        <f>IF(Z1042=1,L1042-W1042,"")</f>
        <v/>
      </c>
      <c r="P1042" s="66">
        <f>IF(V1042="","",IFERROR(INDEX(coa_Type,MATCH(V1042,coa_Name,0)),""))</f>
        <v/>
      </c>
      <c r="Q1042" s="66">
        <f>IF(Z1042=1,IF(U1042="In",K1042&amp;"",V1042),"")</f>
        <v/>
      </c>
      <c r="R1042" s="66">
        <f>IF(Z1042=1,IF(U1042="In",V1042,K1042&amp;""),"")</f>
        <v/>
      </c>
      <c r="S1042" s="66">
        <f>IF(X1042&lt;&gt;"","⛔ "&amp;X1042&amp;" — not posted",IF(Y1042&lt;&gt;"","⚠ "&amp;Y1042,IF(Z1042=1,"✓ OK","")))</f>
        <v/>
      </c>
      <c r="T1042" s="67">
        <f>IF(AND(C1042="",D1042="",E1042="",L1042="",K1042=""),1,0)</f>
        <v/>
      </c>
      <c r="U1042" s="67">
        <f>IFERROR(INDEX(tt_Dir,MATCH(D1042,tt_Type,0)),"")</f>
        <v/>
      </c>
      <c r="V1042" s="67">
        <f>IF(D1042="","",IFERROR(IF(INDEX(tt_Other,MATCH(D1042,tt_Type,0))="",E1042&amp;"",INDEX(tt_Other,MATCH(D1042,tt_Type,0))),""))</f>
        <v/>
      </c>
      <c r="W1042" s="68">
        <f>IF(OR(TaxOn&lt;&gt;"Yes",NOT(ISNUMBER(M1042))),0,IF(IFERROR(INDEX(tt_Tax,MATCH(D1042,tt_Type,0)),"No")="Yes",M1042,0))</f>
        <v/>
      </c>
      <c r="X1042" s="67">
        <f>IF(T1042=1,"",IF(C1042="","Missing transaction date",IF(NOT(ISNUMBER(C1042)),"Invalid date",IF(OR(C1042&lt;DATE(2000,1,1),C1042&gt;DATE(2099,12,31)),"Invalid date",IF(D1042="","Select a type",IF(U1042="","Unknown type: "&amp;D1042,IF(V1042="","Select an account (Category)",IF(ISNA(MATCH(V1042,coa_Name,0)),"Unknown account: "&amp;V1042,IF(K1042="","Select Paid From / Deposited To",IF(ISNA(MATCH(K1042,coa_Name,0)),"Unknown account: "&amp;K1042,IF(NOT(ISNUMBER(L1042)),"Enter an amount",IF(L1042=0,"Enter an amount",IF(ABS(W1042)&gt;ABS(L1042),"Tax is larger than the amount","")))))))))))))</f>
        <v/>
      </c>
      <c r="Y1042" s="67">
        <f>IF(OR(T1042=1,X1042&lt;&gt;""),"",IF(AND(B1042&lt;&gt;"",COUNTIF(tx_ID,B1042)&gt;1),"Duplicate transaction ID",IF(AND(L1042&lt;0,D1042&lt;&gt;"Adjustment"),"Negative amount — check this entry",IF(AND(D1042="Customer Payment",G1042=""),"Add the customer",IF(AND(D1042="Customer Payment",OR(J1042="",COUNTIF(ar_No,J1042&amp;"")=0)),"Invoice # in Reference not found on AR sheet",IF(AND(D1042="Bill Payment",H1042=""),"Add the vendor",IF(AND(D1042="Bill Payment",OR(J1042="",COUNTIFS(ap_No,J1042&amp;"",ap_Party,H1042&amp;"")=0)),"Bill # + vendor not found on AP sheet",IF(AND(ISNUMBER(M1042),N(M1042)&lt;&gt;0,W1042=0),"Tax ignored (tax tracking off, or not allowed for this type)",IF(V1042=K1042&amp;"","Same account on both sides",IF(AND(ISNUMBER(StartDate),C1042&lt;StartDate),"Date is before the accounting start date",IF(AND(D1042&lt;&gt;"Adjustment",IFERROR(INDEX(coa_Pay,MATCH(K1042&amp;"",coa_Name,0)),"")&lt;&gt;"Yes"),"Paid From / Deposited To is not a payment account","")))))))))))</f>
        <v/>
      </c>
      <c r="Z1042" s="67">
        <f>IF(AND(T1042=0,X1042=""),1,0)</f>
        <v/>
      </c>
      <c r="AA1042" s="68">
        <f>IF(Z1042=1,IF(U1042="In",L1042,L1042-W1042),0)</f>
        <v/>
      </c>
      <c r="AB1042" s="68">
        <f>IF(Z1042=1,IF(U1042="In",L1042-W1042,L1042),0)</f>
        <v/>
      </c>
      <c r="AC1042" s="68">
        <f>IF(AND(Z1042=1,U1042="Out"),W1042,0)</f>
        <v/>
      </c>
      <c r="AD1042" s="68">
        <f>IF(AND(Z1042=1,U1042="In"),W1042,0)</f>
        <v/>
      </c>
    </row>
    <row r="1043">
      <c r="B1043" s="62" t="inlineStr">
        <is>
          <t>TX-1037</t>
        </is>
      </c>
      <c r="C1043" s="63" t="n"/>
      <c r="D1043" s="62" t="n"/>
      <c r="E1043" s="62" t="n"/>
      <c r="F1043" s="62" t="n"/>
      <c r="G1043" s="62" t="n"/>
      <c r="H1043" s="62" t="n"/>
      <c r="I1043" s="62" t="n"/>
      <c r="J1043" s="62" t="n"/>
      <c r="K1043" s="62" t="n"/>
      <c r="L1043" s="64" t="n"/>
      <c r="M1043" s="64" t="n"/>
      <c r="N1043" s="62" t="n"/>
      <c r="O1043" s="65">
        <f>IF(Z1043=1,L1043-W1043,"")</f>
        <v/>
      </c>
      <c r="P1043" s="66">
        <f>IF(V1043="","",IFERROR(INDEX(coa_Type,MATCH(V1043,coa_Name,0)),""))</f>
        <v/>
      </c>
      <c r="Q1043" s="66">
        <f>IF(Z1043=1,IF(U1043="In",K1043&amp;"",V1043),"")</f>
        <v/>
      </c>
      <c r="R1043" s="66">
        <f>IF(Z1043=1,IF(U1043="In",V1043,K1043&amp;""),"")</f>
        <v/>
      </c>
      <c r="S1043" s="66">
        <f>IF(X1043&lt;&gt;"","⛔ "&amp;X1043&amp;" — not posted",IF(Y1043&lt;&gt;"","⚠ "&amp;Y1043,IF(Z1043=1,"✓ OK","")))</f>
        <v/>
      </c>
      <c r="T1043" s="67">
        <f>IF(AND(C1043="",D1043="",E1043="",L1043="",K1043=""),1,0)</f>
        <v/>
      </c>
      <c r="U1043" s="67">
        <f>IFERROR(INDEX(tt_Dir,MATCH(D1043,tt_Type,0)),"")</f>
        <v/>
      </c>
      <c r="V1043" s="67">
        <f>IF(D1043="","",IFERROR(IF(INDEX(tt_Other,MATCH(D1043,tt_Type,0))="",E1043&amp;"",INDEX(tt_Other,MATCH(D1043,tt_Type,0))),""))</f>
        <v/>
      </c>
      <c r="W1043" s="68">
        <f>IF(OR(TaxOn&lt;&gt;"Yes",NOT(ISNUMBER(M1043))),0,IF(IFERROR(INDEX(tt_Tax,MATCH(D1043,tt_Type,0)),"No")="Yes",M1043,0))</f>
        <v/>
      </c>
      <c r="X1043" s="67">
        <f>IF(T1043=1,"",IF(C1043="","Missing transaction date",IF(NOT(ISNUMBER(C1043)),"Invalid date",IF(OR(C1043&lt;DATE(2000,1,1),C1043&gt;DATE(2099,12,31)),"Invalid date",IF(D1043="","Select a type",IF(U1043="","Unknown type: "&amp;D1043,IF(V1043="","Select an account (Category)",IF(ISNA(MATCH(V1043,coa_Name,0)),"Unknown account: "&amp;V1043,IF(K1043="","Select Paid From / Deposited To",IF(ISNA(MATCH(K1043,coa_Name,0)),"Unknown account: "&amp;K1043,IF(NOT(ISNUMBER(L1043)),"Enter an amount",IF(L1043=0,"Enter an amount",IF(ABS(W1043)&gt;ABS(L1043),"Tax is larger than the amount","")))))))))))))</f>
        <v/>
      </c>
      <c r="Y1043" s="67">
        <f>IF(OR(T1043=1,X1043&lt;&gt;""),"",IF(AND(B1043&lt;&gt;"",COUNTIF(tx_ID,B1043)&gt;1),"Duplicate transaction ID",IF(AND(L1043&lt;0,D1043&lt;&gt;"Adjustment"),"Negative amount — check this entry",IF(AND(D1043="Customer Payment",G1043=""),"Add the customer",IF(AND(D1043="Customer Payment",OR(J1043="",COUNTIF(ar_No,J1043&amp;"")=0)),"Invoice # in Reference not found on AR sheet",IF(AND(D1043="Bill Payment",H1043=""),"Add the vendor",IF(AND(D1043="Bill Payment",OR(J1043="",COUNTIFS(ap_No,J1043&amp;"",ap_Party,H1043&amp;"")=0)),"Bill # + vendor not found on AP sheet",IF(AND(ISNUMBER(M1043),N(M1043)&lt;&gt;0,W1043=0),"Tax ignored (tax tracking off, or not allowed for this type)",IF(V1043=K1043&amp;"","Same account on both sides",IF(AND(ISNUMBER(StartDate),C1043&lt;StartDate),"Date is before the accounting start date",IF(AND(D1043&lt;&gt;"Adjustment",IFERROR(INDEX(coa_Pay,MATCH(K1043&amp;"",coa_Name,0)),"")&lt;&gt;"Yes"),"Paid From / Deposited To is not a payment account","")))))))))))</f>
        <v/>
      </c>
      <c r="Z1043" s="67">
        <f>IF(AND(T1043=0,X1043=""),1,0)</f>
        <v/>
      </c>
      <c r="AA1043" s="68">
        <f>IF(Z1043=1,IF(U1043="In",L1043,L1043-W1043),0)</f>
        <v/>
      </c>
      <c r="AB1043" s="68">
        <f>IF(Z1043=1,IF(U1043="In",L1043-W1043,L1043),0)</f>
        <v/>
      </c>
      <c r="AC1043" s="68">
        <f>IF(AND(Z1043=1,U1043="Out"),W1043,0)</f>
        <v/>
      </c>
      <c r="AD1043" s="68">
        <f>IF(AND(Z1043=1,U1043="In"),W1043,0)</f>
        <v/>
      </c>
    </row>
    <row r="1044">
      <c r="B1044" s="62" t="inlineStr">
        <is>
          <t>TX-1038</t>
        </is>
      </c>
      <c r="C1044" s="63" t="n"/>
      <c r="D1044" s="62" t="n"/>
      <c r="E1044" s="62" t="n"/>
      <c r="F1044" s="62" t="n"/>
      <c r="G1044" s="62" t="n"/>
      <c r="H1044" s="62" t="n"/>
      <c r="I1044" s="62" t="n"/>
      <c r="J1044" s="62" t="n"/>
      <c r="K1044" s="62" t="n"/>
      <c r="L1044" s="64" t="n"/>
      <c r="M1044" s="64" t="n"/>
      <c r="N1044" s="62" t="n"/>
      <c r="O1044" s="65">
        <f>IF(Z1044=1,L1044-W1044,"")</f>
        <v/>
      </c>
      <c r="P1044" s="66">
        <f>IF(V1044="","",IFERROR(INDEX(coa_Type,MATCH(V1044,coa_Name,0)),""))</f>
        <v/>
      </c>
      <c r="Q1044" s="66">
        <f>IF(Z1044=1,IF(U1044="In",K1044&amp;"",V1044),"")</f>
        <v/>
      </c>
      <c r="R1044" s="66">
        <f>IF(Z1044=1,IF(U1044="In",V1044,K1044&amp;""),"")</f>
        <v/>
      </c>
      <c r="S1044" s="66">
        <f>IF(X1044&lt;&gt;"","⛔ "&amp;X1044&amp;" — not posted",IF(Y1044&lt;&gt;"","⚠ "&amp;Y1044,IF(Z1044=1,"✓ OK","")))</f>
        <v/>
      </c>
      <c r="T1044" s="67">
        <f>IF(AND(C1044="",D1044="",E1044="",L1044="",K1044=""),1,0)</f>
        <v/>
      </c>
      <c r="U1044" s="67">
        <f>IFERROR(INDEX(tt_Dir,MATCH(D1044,tt_Type,0)),"")</f>
        <v/>
      </c>
      <c r="V1044" s="67">
        <f>IF(D1044="","",IFERROR(IF(INDEX(tt_Other,MATCH(D1044,tt_Type,0))="",E1044&amp;"",INDEX(tt_Other,MATCH(D1044,tt_Type,0))),""))</f>
        <v/>
      </c>
      <c r="W1044" s="68">
        <f>IF(OR(TaxOn&lt;&gt;"Yes",NOT(ISNUMBER(M1044))),0,IF(IFERROR(INDEX(tt_Tax,MATCH(D1044,tt_Type,0)),"No")="Yes",M1044,0))</f>
        <v/>
      </c>
      <c r="X1044" s="67">
        <f>IF(T1044=1,"",IF(C1044="","Missing transaction date",IF(NOT(ISNUMBER(C1044)),"Invalid date",IF(OR(C1044&lt;DATE(2000,1,1),C1044&gt;DATE(2099,12,31)),"Invalid date",IF(D1044="","Select a type",IF(U1044="","Unknown type: "&amp;D1044,IF(V1044="","Select an account (Category)",IF(ISNA(MATCH(V1044,coa_Name,0)),"Unknown account: "&amp;V1044,IF(K1044="","Select Paid From / Deposited To",IF(ISNA(MATCH(K1044,coa_Name,0)),"Unknown account: "&amp;K1044,IF(NOT(ISNUMBER(L1044)),"Enter an amount",IF(L1044=0,"Enter an amount",IF(ABS(W1044)&gt;ABS(L1044),"Tax is larger than the amount","")))))))))))))</f>
        <v/>
      </c>
      <c r="Y1044" s="67">
        <f>IF(OR(T1044=1,X1044&lt;&gt;""),"",IF(AND(B1044&lt;&gt;"",COUNTIF(tx_ID,B1044)&gt;1),"Duplicate transaction ID",IF(AND(L1044&lt;0,D1044&lt;&gt;"Adjustment"),"Negative amount — check this entry",IF(AND(D1044="Customer Payment",G1044=""),"Add the customer",IF(AND(D1044="Customer Payment",OR(J1044="",COUNTIF(ar_No,J1044&amp;"")=0)),"Invoice # in Reference not found on AR sheet",IF(AND(D1044="Bill Payment",H1044=""),"Add the vendor",IF(AND(D1044="Bill Payment",OR(J1044="",COUNTIFS(ap_No,J1044&amp;"",ap_Party,H1044&amp;"")=0)),"Bill # + vendor not found on AP sheet",IF(AND(ISNUMBER(M1044),N(M1044)&lt;&gt;0,W1044=0),"Tax ignored (tax tracking off, or not allowed for this type)",IF(V1044=K1044&amp;"","Same account on both sides",IF(AND(ISNUMBER(StartDate),C1044&lt;StartDate),"Date is before the accounting start date",IF(AND(D1044&lt;&gt;"Adjustment",IFERROR(INDEX(coa_Pay,MATCH(K1044&amp;"",coa_Name,0)),"")&lt;&gt;"Yes"),"Paid From / Deposited To is not a payment account","")))))))))))</f>
        <v/>
      </c>
      <c r="Z1044" s="67">
        <f>IF(AND(T1044=0,X1044=""),1,0)</f>
        <v/>
      </c>
      <c r="AA1044" s="68">
        <f>IF(Z1044=1,IF(U1044="In",L1044,L1044-W1044),0)</f>
        <v/>
      </c>
      <c r="AB1044" s="68">
        <f>IF(Z1044=1,IF(U1044="In",L1044-W1044,L1044),0)</f>
        <v/>
      </c>
      <c r="AC1044" s="68">
        <f>IF(AND(Z1044=1,U1044="Out"),W1044,0)</f>
        <v/>
      </c>
      <c r="AD1044" s="68">
        <f>IF(AND(Z1044=1,U1044="In"),W1044,0)</f>
        <v/>
      </c>
    </row>
    <row r="1045">
      <c r="B1045" s="62" t="inlineStr">
        <is>
          <t>TX-1039</t>
        </is>
      </c>
      <c r="C1045" s="63" t="n"/>
      <c r="D1045" s="62" t="n"/>
      <c r="E1045" s="62" t="n"/>
      <c r="F1045" s="62" t="n"/>
      <c r="G1045" s="62" t="n"/>
      <c r="H1045" s="62" t="n"/>
      <c r="I1045" s="62" t="n"/>
      <c r="J1045" s="62" t="n"/>
      <c r="K1045" s="62" t="n"/>
      <c r="L1045" s="64" t="n"/>
      <c r="M1045" s="64" t="n"/>
      <c r="N1045" s="62" t="n"/>
      <c r="O1045" s="65">
        <f>IF(Z1045=1,L1045-W1045,"")</f>
        <v/>
      </c>
      <c r="P1045" s="66">
        <f>IF(V1045="","",IFERROR(INDEX(coa_Type,MATCH(V1045,coa_Name,0)),""))</f>
        <v/>
      </c>
      <c r="Q1045" s="66">
        <f>IF(Z1045=1,IF(U1045="In",K1045&amp;"",V1045),"")</f>
        <v/>
      </c>
      <c r="R1045" s="66">
        <f>IF(Z1045=1,IF(U1045="In",V1045,K1045&amp;""),"")</f>
        <v/>
      </c>
      <c r="S1045" s="66">
        <f>IF(X1045&lt;&gt;"","⛔ "&amp;X1045&amp;" — not posted",IF(Y1045&lt;&gt;"","⚠ "&amp;Y1045,IF(Z1045=1,"✓ OK","")))</f>
        <v/>
      </c>
      <c r="T1045" s="67">
        <f>IF(AND(C1045="",D1045="",E1045="",L1045="",K1045=""),1,0)</f>
        <v/>
      </c>
      <c r="U1045" s="67">
        <f>IFERROR(INDEX(tt_Dir,MATCH(D1045,tt_Type,0)),"")</f>
        <v/>
      </c>
      <c r="V1045" s="67">
        <f>IF(D1045="","",IFERROR(IF(INDEX(tt_Other,MATCH(D1045,tt_Type,0))="",E1045&amp;"",INDEX(tt_Other,MATCH(D1045,tt_Type,0))),""))</f>
        <v/>
      </c>
      <c r="W1045" s="68">
        <f>IF(OR(TaxOn&lt;&gt;"Yes",NOT(ISNUMBER(M1045))),0,IF(IFERROR(INDEX(tt_Tax,MATCH(D1045,tt_Type,0)),"No")="Yes",M1045,0))</f>
        <v/>
      </c>
      <c r="X1045" s="67">
        <f>IF(T1045=1,"",IF(C1045="","Missing transaction date",IF(NOT(ISNUMBER(C1045)),"Invalid date",IF(OR(C1045&lt;DATE(2000,1,1),C1045&gt;DATE(2099,12,31)),"Invalid date",IF(D1045="","Select a type",IF(U1045="","Unknown type: "&amp;D1045,IF(V1045="","Select an account (Category)",IF(ISNA(MATCH(V1045,coa_Name,0)),"Unknown account: "&amp;V1045,IF(K1045="","Select Paid From / Deposited To",IF(ISNA(MATCH(K1045,coa_Name,0)),"Unknown account: "&amp;K1045,IF(NOT(ISNUMBER(L1045)),"Enter an amount",IF(L1045=0,"Enter an amount",IF(ABS(W1045)&gt;ABS(L1045),"Tax is larger than the amount","")))))))))))))</f>
        <v/>
      </c>
      <c r="Y1045" s="67">
        <f>IF(OR(T1045=1,X1045&lt;&gt;""),"",IF(AND(B1045&lt;&gt;"",COUNTIF(tx_ID,B1045)&gt;1),"Duplicate transaction ID",IF(AND(L1045&lt;0,D1045&lt;&gt;"Adjustment"),"Negative amount — check this entry",IF(AND(D1045="Customer Payment",G1045=""),"Add the customer",IF(AND(D1045="Customer Payment",OR(J1045="",COUNTIF(ar_No,J1045&amp;"")=0)),"Invoice # in Reference not found on AR sheet",IF(AND(D1045="Bill Payment",H1045=""),"Add the vendor",IF(AND(D1045="Bill Payment",OR(J1045="",COUNTIFS(ap_No,J1045&amp;"",ap_Party,H1045&amp;"")=0)),"Bill # + vendor not found on AP sheet",IF(AND(ISNUMBER(M1045),N(M1045)&lt;&gt;0,W1045=0),"Tax ignored (tax tracking off, or not allowed for this type)",IF(V1045=K1045&amp;"","Same account on both sides",IF(AND(ISNUMBER(StartDate),C1045&lt;StartDate),"Date is before the accounting start date",IF(AND(D1045&lt;&gt;"Adjustment",IFERROR(INDEX(coa_Pay,MATCH(K1045&amp;"",coa_Name,0)),"")&lt;&gt;"Yes"),"Paid From / Deposited To is not a payment account","")))))))))))</f>
        <v/>
      </c>
      <c r="Z1045" s="67">
        <f>IF(AND(T1045=0,X1045=""),1,0)</f>
        <v/>
      </c>
      <c r="AA1045" s="68">
        <f>IF(Z1045=1,IF(U1045="In",L1045,L1045-W1045),0)</f>
        <v/>
      </c>
      <c r="AB1045" s="68">
        <f>IF(Z1045=1,IF(U1045="In",L1045-W1045,L1045),0)</f>
        <v/>
      </c>
      <c r="AC1045" s="68">
        <f>IF(AND(Z1045=1,U1045="Out"),W1045,0)</f>
        <v/>
      </c>
      <c r="AD1045" s="68">
        <f>IF(AND(Z1045=1,U1045="In"),W1045,0)</f>
        <v/>
      </c>
    </row>
    <row r="1046">
      <c r="B1046" s="62" t="inlineStr">
        <is>
          <t>TX-1040</t>
        </is>
      </c>
      <c r="C1046" s="63" t="n"/>
      <c r="D1046" s="62" t="n"/>
      <c r="E1046" s="62" t="n"/>
      <c r="F1046" s="62" t="n"/>
      <c r="G1046" s="62" t="n"/>
      <c r="H1046" s="62" t="n"/>
      <c r="I1046" s="62" t="n"/>
      <c r="J1046" s="62" t="n"/>
      <c r="K1046" s="62" t="n"/>
      <c r="L1046" s="64" t="n"/>
      <c r="M1046" s="64" t="n"/>
      <c r="N1046" s="62" t="n"/>
      <c r="O1046" s="65">
        <f>IF(Z1046=1,L1046-W1046,"")</f>
        <v/>
      </c>
      <c r="P1046" s="66">
        <f>IF(V1046="","",IFERROR(INDEX(coa_Type,MATCH(V1046,coa_Name,0)),""))</f>
        <v/>
      </c>
      <c r="Q1046" s="66">
        <f>IF(Z1046=1,IF(U1046="In",K1046&amp;"",V1046),"")</f>
        <v/>
      </c>
      <c r="R1046" s="66">
        <f>IF(Z1046=1,IF(U1046="In",V1046,K1046&amp;""),"")</f>
        <v/>
      </c>
      <c r="S1046" s="66">
        <f>IF(X1046&lt;&gt;"","⛔ "&amp;X1046&amp;" — not posted",IF(Y1046&lt;&gt;"","⚠ "&amp;Y1046,IF(Z1046=1,"✓ OK","")))</f>
        <v/>
      </c>
      <c r="T1046" s="67">
        <f>IF(AND(C1046="",D1046="",E1046="",L1046="",K1046=""),1,0)</f>
        <v/>
      </c>
      <c r="U1046" s="67">
        <f>IFERROR(INDEX(tt_Dir,MATCH(D1046,tt_Type,0)),"")</f>
        <v/>
      </c>
      <c r="V1046" s="67">
        <f>IF(D1046="","",IFERROR(IF(INDEX(tt_Other,MATCH(D1046,tt_Type,0))="",E1046&amp;"",INDEX(tt_Other,MATCH(D1046,tt_Type,0))),""))</f>
        <v/>
      </c>
      <c r="W1046" s="68">
        <f>IF(OR(TaxOn&lt;&gt;"Yes",NOT(ISNUMBER(M1046))),0,IF(IFERROR(INDEX(tt_Tax,MATCH(D1046,tt_Type,0)),"No")="Yes",M1046,0))</f>
        <v/>
      </c>
      <c r="X1046" s="67">
        <f>IF(T1046=1,"",IF(C1046="","Missing transaction date",IF(NOT(ISNUMBER(C1046)),"Invalid date",IF(OR(C1046&lt;DATE(2000,1,1),C1046&gt;DATE(2099,12,31)),"Invalid date",IF(D1046="","Select a type",IF(U1046="","Unknown type: "&amp;D1046,IF(V1046="","Select an account (Category)",IF(ISNA(MATCH(V1046,coa_Name,0)),"Unknown account: "&amp;V1046,IF(K1046="","Select Paid From / Deposited To",IF(ISNA(MATCH(K1046,coa_Name,0)),"Unknown account: "&amp;K1046,IF(NOT(ISNUMBER(L1046)),"Enter an amount",IF(L1046=0,"Enter an amount",IF(ABS(W1046)&gt;ABS(L1046),"Tax is larger than the amount","")))))))))))))</f>
        <v/>
      </c>
      <c r="Y1046" s="67">
        <f>IF(OR(T1046=1,X1046&lt;&gt;""),"",IF(AND(B1046&lt;&gt;"",COUNTIF(tx_ID,B1046)&gt;1),"Duplicate transaction ID",IF(AND(L1046&lt;0,D1046&lt;&gt;"Adjustment"),"Negative amount — check this entry",IF(AND(D1046="Customer Payment",G1046=""),"Add the customer",IF(AND(D1046="Customer Payment",OR(J1046="",COUNTIF(ar_No,J1046&amp;"")=0)),"Invoice # in Reference not found on AR sheet",IF(AND(D1046="Bill Payment",H1046=""),"Add the vendor",IF(AND(D1046="Bill Payment",OR(J1046="",COUNTIFS(ap_No,J1046&amp;"",ap_Party,H1046&amp;"")=0)),"Bill # + vendor not found on AP sheet",IF(AND(ISNUMBER(M1046),N(M1046)&lt;&gt;0,W1046=0),"Tax ignored (tax tracking off, or not allowed for this type)",IF(V1046=K1046&amp;"","Same account on both sides",IF(AND(ISNUMBER(StartDate),C1046&lt;StartDate),"Date is before the accounting start date",IF(AND(D1046&lt;&gt;"Adjustment",IFERROR(INDEX(coa_Pay,MATCH(K1046&amp;"",coa_Name,0)),"")&lt;&gt;"Yes"),"Paid From / Deposited To is not a payment account","")))))))))))</f>
        <v/>
      </c>
      <c r="Z1046" s="67">
        <f>IF(AND(T1046=0,X1046=""),1,0)</f>
        <v/>
      </c>
      <c r="AA1046" s="68">
        <f>IF(Z1046=1,IF(U1046="In",L1046,L1046-W1046),0)</f>
        <v/>
      </c>
      <c r="AB1046" s="68">
        <f>IF(Z1046=1,IF(U1046="In",L1046-W1046,L1046),0)</f>
        <v/>
      </c>
      <c r="AC1046" s="68">
        <f>IF(AND(Z1046=1,U1046="Out"),W1046,0)</f>
        <v/>
      </c>
      <c r="AD1046" s="68">
        <f>IF(AND(Z1046=1,U1046="In"),W1046,0)</f>
        <v/>
      </c>
    </row>
    <row r="1047">
      <c r="B1047" s="62" t="inlineStr">
        <is>
          <t>TX-1041</t>
        </is>
      </c>
      <c r="C1047" s="63" t="n"/>
      <c r="D1047" s="62" t="n"/>
      <c r="E1047" s="62" t="n"/>
      <c r="F1047" s="62" t="n"/>
      <c r="G1047" s="62" t="n"/>
      <c r="H1047" s="62" t="n"/>
      <c r="I1047" s="62" t="n"/>
      <c r="J1047" s="62" t="n"/>
      <c r="K1047" s="62" t="n"/>
      <c r="L1047" s="64" t="n"/>
      <c r="M1047" s="64" t="n"/>
      <c r="N1047" s="62" t="n"/>
      <c r="O1047" s="65">
        <f>IF(Z1047=1,L1047-W1047,"")</f>
        <v/>
      </c>
      <c r="P1047" s="66">
        <f>IF(V1047="","",IFERROR(INDEX(coa_Type,MATCH(V1047,coa_Name,0)),""))</f>
        <v/>
      </c>
      <c r="Q1047" s="66">
        <f>IF(Z1047=1,IF(U1047="In",K1047&amp;"",V1047),"")</f>
        <v/>
      </c>
      <c r="R1047" s="66">
        <f>IF(Z1047=1,IF(U1047="In",V1047,K1047&amp;""),"")</f>
        <v/>
      </c>
      <c r="S1047" s="66">
        <f>IF(X1047&lt;&gt;"","⛔ "&amp;X1047&amp;" — not posted",IF(Y1047&lt;&gt;"","⚠ "&amp;Y1047,IF(Z1047=1,"✓ OK","")))</f>
        <v/>
      </c>
      <c r="T1047" s="67">
        <f>IF(AND(C1047="",D1047="",E1047="",L1047="",K1047=""),1,0)</f>
        <v/>
      </c>
      <c r="U1047" s="67">
        <f>IFERROR(INDEX(tt_Dir,MATCH(D1047,tt_Type,0)),"")</f>
        <v/>
      </c>
      <c r="V1047" s="67">
        <f>IF(D1047="","",IFERROR(IF(INDEX(tt_Other,MATCH(D1047,tt_Type,0))="",E1047&amp;"",INDEX(tt_Other,MATCH(D1047,tt_Type,0))),""))</f>
        <v/>
      </c>
      <c r="W1047" s="68">
        <f>IF(OR(TaxOn&lt;&gt;"Yes",NOT(ISNUMBER(M1047))),0,IF(IFERROR(INDEX(tt_Tax,MATCH(D1047,tt_Type,0)),"No")="Yes",M1047,0))</f>
        <v/>
      </c>
      <c r="X1047" s="67">
        <f>IF(T1047=1,"",IF(C1047="","Missing transaction date",IF(NOT(ISNUMBER(C1047)),"Invalid date",IF(OR(C1047&lt;DATE(2000,1,1),C1047&gt;DATE(2099,12,31)),"Invalid date",IF(D1047="","Select a type",IF(U1047="","Unknown type: "&amp;D1047,IF(V1047="","Select an account (Category)",IF(ISNA(MATCH(V1047,coa_Name,0)),"Unknown account: "&amp;V1047,IF(K1047="","Select Paid From / Deposited To",IF(ISNA(MATCH(K1047,coa_Name,0)),"Unknown account: "&amp;K1047,IF(NOT(ISNUMBER(L1047)),"Enter an amount",IF(L1047=0,"Enter an amount",IF(ABS(W1047)&gt;ABS(L1047),"Tax is larger than the amount","")))))))))))))</f>
        <v/>
      </c>
      <c r="Y1047" s="67">
        <f>IF(OR(T1047=1,X1047&lt;&gt;""),"",IF(AND(B1047&lt;&gt;"",COUNTIF(tx_ID,B1047)&gt;1),"Duplicate transaction ID",IF(AND(L1047&lt;0,D1047&lt;&gt;"Adjustment"),"Negative amount — check this entry",IF(AND(D1047="Customer Payment",G1047=""),"Add the customer",IF(AND(D1047="Customer Payment",OR(J1047="",COUNTIF(ar_No,J1047&amp;"")=0)),"Invoice # in Reference not found on AR sheet",IF(AND(D1047="Bill Payment",H1047=""),"Add the vendor",IF(AND(D1047="Bill Payment",OR(J1047="",COUNTIFS(ap_No,J1047&amp;"",ap_Party,H1047&amp;"")=0)),"Bill # + vendor not found on AP sheet",IF(AND(ISNUMBER(M1047),N(M1047)&lt;&gt;0,W1047=0),"Tax ignored (tax tracking off, or not allowed for this type)",IF(V1047=K1047&amp;"","Same account on both sides",IF(AND(ISNUMBER(StartDate),C1047&lt;StartDate),"Date is before the accounting start date",IF(AND(D1047&lt;&gt;"Adjustment",IFERROR(INDEX(coa_Pay,MATCH(K1047&amp;"",coa_Name,0)),"")&lt;&gt;"Yes"),"Paid From / Deposited To is not a payment account","")))))))))))</f>
        <v/>
      </c>
      <c r="Z1047" s="67">
        <f>IF(AND(T1047=0,X1047=""),1,0)</f>
        <v/>
      </c>
      <c r="AA1047" s="68">
        <f>IF(Z1047=1,IF(U1047="In",L1047,L1047-W1047),0)</f>
        <v/>
      </c>
      <c r="AB1047" s="68">
        <f>IF(Z1047=1,IF(U1047="In",L1047-W1047,L1047),0)</f>
        <v/>
      </c>
      <c r="AC1047" s="68">
        <f>IF(AND(Z1047=1,U1047="Out"),W1047,0)</f>
        <v/>
      </c>
      <c r="AD1047" s="68">
        <f>IF(AND(Z1047=1,U1047="In"),W1047,0)</f>
        <v/>
      </c>
    </row>
    <row r="1048">
      <c r="B1048" s="62" t="inlineStr">
        <is>
          <t>TX-1042</t>
        </is>
      </c>
      <c r="C1048" s="63" t="n"/>
      <c r="D1048" s="62" t="n"/>
      <c r="E1048" s="62" t="n"/>
      <c r="F1048" s="62" t="n"/>
      <c r="G1048" s="62" t="n"/>
      <c r="H1048" s="62" t="n"/>
      <c r="I1048" s="62" t="n"/>
      <c r="J1048" s="62" t="n"/>
      <c r="K1048" s="62" t="n"/>
      <c r="L1048" s="64" t="n"/>
      <c r="M1048" s="64" t="n"/>
      <c r="N1048" s="62" t="n"/>
      <c r="O1048" s="65">
        <f>IF(Z1048=1,L1048-W1048,"")</f>
        <v/>
      </c>
      <c r="P1048" s="66">
        <f>IF(V1048="","",IFERROR(INDEX(coa_Type,MATCH(V1048,coa_Name,0)),""))</f>
        <v/>
      </c>
      <c r="Q1048" s="66">
        <f>IF(Z1048=1,IF(U1048="In",K1048&amp;"",V1048),"")</f>
        <v/>
      </c>
      <c r="R1048" s="66">
        <f>IF(Z1048=1,IF(U1048="In",V1048,K1048&amp;""),"")</f>
        <v/>
      </c>
      <c r="S1048" s="66">
        <f>IF(X1048&lt;&gt;"","⛔ "&amp;X1048&amp;" — not posted",IF(Y1048&lt;&gt;"","⚠ "&amp;Y1048,IF(Z1048=1,"✓ OK","")))</f>
        <v/>
      </c>
      <c r="T1048" s="67">
        <f>IF(AND(C1048="",D1048="",E1048="",L1048="",K1048=""),1,0)</f>
        <v/>
      </c>
      <c r="U1048" s="67">
        <f>IFERROR(INDEX(tt_Dir,MATCH(D1048,tt_Type,0)),"")</f>
        <v/>
      </c>
      <c r="V1048" s="67">
        <f>IF(D1048="","",IFERROR(IF(INDEX(tt_Other,MATCH(D1048,tt_Type,0))="",E1048&amp;"",INDEX(tt_Other,MATCH(D1048,tt_Type,0))),""))</f>
        <v/>
      </c>
      <c r="W1048" s="68">
        <f>IF(OR(TaxOn&lt;&gt;"Yes",NOT(ISNUMBER(M1048))),0,IF(IFERROR(INDEX(tt_Tax,MATCH(D1048,tt_Type,0)),"No")="Yes",M1048,0))</f>
        <v/>
      </c>
      <c r="X1048" s="67">
        <f>IF(T1048=1,"",IF(C1048="","Missing transaction date",IF(NOT(ISNUMBER(C1048)),"Invalid date",IF(OR(C1048&lt;DATE(2000,1,1),C1048&gt;DATE(2099,12,31)),"Invalid date",IF(D1048="","Select a type",IF(U1048="","Unknown type: "&amp;D1048,IF(V1048="","Select an account (Category)",IF(ISNA(MATCH(V1048,coa_Name,0)),"Unknown account: "&amp;V1048,IF(K1048="","Select Paid From / Deposited To",IF(ISNA(MATCH(K1048,coa_Name,0)),"Unknown account: "&amp;K1048,IF(NOT(ISNUMBER(L1048)),"Enter an amount",IF(L1048=0,"Enter an amount",IF(ABS(W1048)&gt;ABS(L1048),"Tax is larger than the amount","")))))))))))))</f>
        <v/>
      </c>
      <c r="Y1048" s="67">
        <f>IF(OR(T1048=1,X1048&lt;&gt;""),"",IF(AND(B1048&lt;&gt;"",COUNTIF(tx_ID,B1048)&gt;1),"Duplicate transaction ID",IF(AND(L1048&lt;0,D1048&lt;&gt;"Adjustment"),"Negative amount — check this entry",IF(AND(D1048="Customer Payment",G1048=""),"Add the customer",IF(AND(D1048="Customer Payment",OR(J1048="",COUNTIF(ar_No,J1048&amp;"")=0)),"Invoice # in Reference not found on AR sheet",IF(AND(D1048="Bill Payment",H1048=""),"Add the vendor",IF(AND(D1048="Bill Payment",OR(J1048="",COUNTIFS(ap_No,J1048&amp;"",ap_Party,H1048&amp;"")=0)),"Bill # + vendor not found on AP sheet",IF(AND(ISNUMBER(M1048),N(M1048)&lt;&gt;0,W1048=0),"Tax ignored (tax tracking off, or not allowed for this type)",IF(V1048=K1048&amp;"","Same account on both sides",IF(AND(ISNUMBER(StartDate),C1048&lt;StartDate),"Date is before the accounting start date",IF(AND(D1048&lt;&gt;"Adjustment",IFERROR(INDEX(coa_Pay,MATCH(K1048&amp;"",coa_Name,0)),"")&lt;&gt;"Yes"),"Paid From / Deposited To is not a payment account","")))))))))))</f>
        <v/>
      </c>
      <c r="Z1048" s="67">
        <f>IF(AND(T1048=0,X1048=""),1,0)</f>
        <v/>
      </c>
      <c r="AA1048" s="68">
        <f>IF(Z1048=1,IF(U1048="In",L1048,L1048-W1048),0)</f>
        <v/>
      </c>
      <c r="AB1048" s="68">
        <f>IF(Z1048=1,IF(U1048="In",L1048-W1048,L1048),0)</f>
        <v/>
      </c>
      <c r="AC1048" s="68">
        <f>IF(AND(Z1048=1,U1048="Out"),W1048,0)</f>
        <v/>
      </c>
      <c r="AD1048" s="68">
        <f>IF(AND(Z1048=1,U1048="In"),W1048,0)</f>
        <v/>
      </c>
    </row>
    <row r="1049">
      <c r="B1049" s="62" t="inlineStr">
        <is>
          <t>TX-1043</t>
        </is>
      </c>
      <c r="C1049" s="63" t="n"/>
      <c r="D1049" s="62" t="n"/>
      <c r="E1049" s="62" t="n"/>
      <c r="F1049" s="62" t="n"/>
      <c r="G1049" s="62" t="n"/>
      <c r="H1049" s="62" t="n"/>
      <c r="I1049" s="62" t="n"/>
      <c r="J1049" s="62" t="n"/>
      <c r="K1049" s="62" t="n"/>
      <c r="L1049" s="64" t="n"/>
      <c r="M1049" s="64" t="n"/>
      <c r="N1049" s="62" t="n"/>
      <c r="O1049" s="65">
        <f>IF(Z1049=1,L1049-W1049,"")</f>
        <v/>
      </c>
      <c r="P1049" s="66">
        <f>IF(V1049="","",IFERROR(INDEX(coa_Type,MATCH(V1049,coa_Name,0)),""))</f>
        <v/>
      </c>
      <c r="Q1049" s="66">
        <f>IF(Z1049=1,IF(U1049="In",K1049&amp;"",V1049),"")</f>
        <v/>
      </c>
      <c r="R1049" s="66">
        <f>IF(Z1049=1,IF(U1049="In",V1049,K1049&amp;""),"")</f>
        <v/>
      </c>
      <c r="S1049" s="66">
        <f>IF(X1049&lt;&gt;"","⛔ "&amp;X1049&amp;" — not posted",IF(Y1049&lt;&gt;"","⚠ "&amp;Y1049,IF(Z1049=1,"✓ OK","")))</f>
        <v/>
      </c>
      <c r="T1049" s="67">
        <f>IF(AND(C1049="",D1049="",E1049="",L1049="",K1049=""),1,0)</f>
        <v/>
      </c>
      <c r="U1049" s="67">
        <f>IFERROR(INDEX(tt_Dir,MATCH(D1049,tt_Type,0)),"")</f>
        <v/>
      </c>
      <c r="V1049" s="67">
        <f>IF(D1049="","",IFERROR(IF(INDEX(tt_Other,MATCH(D1049,tt_Type,0))="",E1049&amp;"",INDEX(tt_Other,MATCH(D1049,tt_Type,0))),""))</f>
        <v/>
      </c>
      <c r="W1049" s="68">
        <f>IF(OR(TaxOn&lt;&gt;"Yes",NOT(ISNUMBER(M1049))),0,IF(IFERROR(INDEX(tt_Tax,MATCH(D1049,tt_Type,0)),"No")="Yes",M1049,0))</f>
        <v/>
      </c>
      <c r="X1049" s="67">
        <f>IF(T1049=1,"",IF(C1049="","Missing transaction date",IF(NOT(ISNUMBER(C1049)),"Invalid date",IF(OR(C1049&lt;DATE(2000,1,1),C1049&gt;DATE(2099,12,31)),"Invalid date",IF(D1049="","Select a type",IF(U1049="","Unknown type: "&amp;D1049,IF(V1049="","Select an account (Category)",IF(ISNA(MATCH(V1049,coa_Name,0)),"Unknown account: "&amp;V1049,IF(K1049="","Select Paid From / Deposited To",IF(ISNA(MATCH(K1049,coa_Name,0)),"Unknown account: "&amp;K1049,IF(NOT(ISNUMBER(L1049)),"Enter an amount",IF(L1049=0,"Enter an amount",IF(ABS(W1049)&gt;ABS(L1049),"Tax is larger than the amount","")))))))))))))</f>
        <v/>
      </c>
      <c r="Y1049" s="67">
        <f>IF(OR(T1049=1,X1049&lt;&gt;""),"",IF(AND(B1049&lt;&gt;"",COUNTIF(tx_ID,B1049)&gt;1),"Duplicate transaction ID",IF(AND(L1049&lt;0,D1049&lt;&gt;"Adjustment"),"Negative amount — check this entry",IF(AND(D1049="Customer Payment",G1049=""),"Add the customer",IF(AND(D1049="Customer Payment",OR(J1049="",COUNTIF(ar_No,J1049&amp;"")=0)),"Invoice # in Reference not found on AR sheet",IF(AND(D1049="Bill Payment",H1049=""),"Add the vendor",IF(AND(D1049="Bill Payment",OR(J1049="",COUNTIFS(ap_No,J1049&amp;"",ap_Party,H1049&amp;"")=0)),"Bill # + vendor not found on AP sheet",IF(AND(ISNUMBER(M1049),N(M1049)&lt;&gt;0,W1049=0),"Tax ignored (tax tracking off, or not allowed for this type)",IF(V1049=K1049&amp;"","Same account on both sides",IF(AND(ISNUMBER(StartDate),C1049&lt;StartDate),"Date is before the accounting start date",IF(AND(D1049&lt;&gt;"Adjustment",IFERROR(INDEX(coa_Pay,MATCH(K1049&amp;"",coa_Name,0)),"")&lt;&gt;"Yes"),"Paid From / Deposited To is not a payment account","")))))))))))</f>
        <v/>
      </c>
      <c r="Z1049" s="67">
        <f>IF(AND(T1049=0,X1049=""),1,0)</f>
        <v/>
      </c>
      <c r="AA1049" s="68">
        <f>IF(Z1049=1,IF(U1049="In",L1049,L1049-W1049),0)</f>
        <v/>
      </c>
      <c r="AB1049" s="68">
        <f>IF(Z1049=1,IF(U1049="In",L1049-W1049,L1049),0)</f>
        <v/>
      </c>
      <c r="AC1049" s="68">
        <f>IF(AND(Z1049=1,U1049="Out"),W1049,0)</f>
        <v/>
      </c>
      <c r="AD1049" s="68">
        <f>IF(AND(Z1049=1,U1049="In"),W1049,0)</f>
        <v/>
      </c>
    </row>
    <row r="1050">
      <c r="B1050" s="62" t="inlineStr">
        <is>
          <t>TX-1044</t>
        </is>
      </c>
      <c r="C1050" s="63" t="n"/>
      <c r="D1050" s="62" t="n"/>
      <c r="E1050" s="62" t="n"/>
      <c r="F1050" s="62" t="n"/>
      <c r="G1050" s="62" t="n"/>
      <c r="H1050" s="62" t="n"/>
      <c r="I1050" s="62" t="n"/>
      <c r="J1050" s="62" t="n"/>
      <c r="K1050" s="62" t="n"/>
      <c r="L1050" s="64" t="n"/>
      <c r="M1050" s="64" t="n"/>
      <c r="N1050" s="62" t="n"/>
      <c r="O1050" s="65">
        <f>IF(Z1050=1,L1050-W1050,"")</f>
        <v/>
      </c>
      <c r="P1050" s="66">
        <f>IF(V1050="","",IFERROR(INDEX(coa_Type,MATCH(V1050,coa_Name,0)),""))</f>
        <v/>
      </c>
      <c r="Q1050" s="66">
        <f>IF(Z1050=1,IF(U1050="In",K1050&amp;"",V1050),"")</f>
        <v/>
      </c>
      <c r="R1050" s="66">
        <f>IF(Z1050=1,IF(U1050="In",V1050,K1050&amp;""),"")</f>
        <v/>
      </c>
      <c r="S1050" s="66">
        <f>IF(X1050&lt;&gt;"","⛔ "&amp;X1050&amp;" — not posted",IF(Y1050&lt;&gt;"","⚠ "&amp;Y1050,IF(Z1050=1,"✓ OK","")))</f>
        <v/>
      </c>
      <c r="T1050" s="67">
        <f>IF(AND(C1050="",D1050="",E1050="",L1050="",K1050=""),1,0)</f>
        <v/>
      </c>
      <c r="U1050" s="67">
        <f>IFERROR(INDEX(tt_Dir,MATCH(D1050,tt_Type,0)),"")</f>
        <v/>
      </c>
      <c r="V1050" s="67">
        <f>IF(D1050="","",IFERROR(IF(INDEX(tt_Other,MATCH(D1050,tt_Type,0))="",E1050&amp;"",INDEX(tt_Other,MATCH(D1050,tt_Type,0))),""))</f>
        <v/>
      </c>
      <c r="W1050" s="68">
        <f>IF(OR(TaxOn&lt;&gt;"Yes",NOT(ISNUMBER(M1050))),0,IF(IFERROR(INDEX(tt_Tax,MATCH(D1050,tt_Type,0)),"No")="Yes",M1050,0))</f>
        <v/>
      </c>
      <c r="X1050" s="67">
        <f>IF(T1050=1,"",IF(C1050="","Missing transaction date",IF(NOT(ISNUMBER(C1050)),"Invalid date",IF(OR(C1050&lt;DATE(2000,1,1),C1050&gt;DATE(2099,12,31)),"Invalid date",IF(D1050="","Select a type",IF(U1050="","Unknown type: "&amp;D1050,IF(V1050="","Select an account (Category)",IF(ISNA(MATCH(V1050,coa_Name,0)),"Unknown account: "&amp;V1050,IF(K1050="","Select Paid From / Deposited To",IF(ISNA(MATCH(K1050,coa_Name,0)),"Unknown account: "&amp;K1050,IF(NOT(ISNUMBER(L1050)),"Enter an amount",IF(L1050=0,"Enter an amount",IF(ABS(W1050)&gt;ABS(L1050),"Tax is larger than the amount","")))))))))))))</f>
        <v/>
      </c>
      <c r="Y1050" s="67">
        <f>IF(OR(T1050=1,X1050&lt;&gt;""),"",IF(AND(B1050&lt;&gt;"",COUNTIF(tx_ID,B1050)&gt;1),"Duplicate transaction ID",IF(AND(L1050&lt;0,D1050&lt;&gt;"Adjustment"),"Negative amount — check this entry",IF(AND(D1050="Customer Payment",G1050=""),"Add the customer",IF(AND(D1050="Customer Payment",OR(J1050="",COUNTIF(ar_No,J1050&amp;"")=0)),"Invoice # in Reference not found on AR sheet",IF(AND(D1050="Bill Payment",H1050=""),"Add the vendor",IF(AND(D1050="Bill Payment",OR(J1050="",COUNTIFS(ap_No,J1050&amp;"",ap_Party,H1050&amp;"")=0)),"Bill # + vendor not found on AP sheet",IF(AND(ISNUMBER(M1050),N(M1050)&lt;&gt;0,W1050=0),"Tax ignored (tax tracking off, or not allowed for this type)",IF(V1050=K1050&amp;"","Same account on both sides",IF(AND(ISNUMBER(StartDate),C1050&lt;StartDate),"Date is before the accounting start date",IF(AND(D1050&lt;&gt;"Adjustment",IFERROR(INDEX(coa_Pay,MATCH(K1050&amp;"",coa_Name,0)),"")&lt;&gt;"Yes"),"Paid From / Deposited To is not a payment account","")))))))))))</f>
        <v/>
      </c>
      <c r="Z1050" s="67">
        <f>IF(AND(T1050=0,X1050=""),1,0)</f>
        <v/>
      </c>
      <c r="AA1050" s="68">
        <f>IF(Z1050=1,IF(U1050="In",L1050,L1050-W1050),0)</f>
        <v/>
      </c>
      <c r="AB1050" s="68">
        <f>IF(Z1050=1,IF(U1050="In",L1050-W1050,L1050),0)</f>
        <v/>
      </c>
      <c r="AC1050" s="68">
        <f>IF(AND(Z1050=1,U1050="Out"),W1050,0)</f>
        <v/>
      </c>
      <c r="AD1050" s="68">
        <f>IF(AND(Z1050=1,U1050="In"),W1050,0)</f>
        <v/>
      </c>
    </row>
    <row r="1051">
      <c r="B1051" s="62" t="inlineStr">
        <is>
          <t>TX-1045</t>
        </is>
      </c>
      <c r="C1051" s="63" t="n"/>
      <c r="D1051" s="62" t="n"/>
      <c r="E1051" s="62" t="n"/>
      <c r="F1051" s="62" t="n"/>
      <c r="G1051" s="62" t="n"/>
      <c r="H1051" s="62" t="n"/>
      <c r="I1051" s="62" t="n"/>
      <c r="J1051" s="62" t="n"/>
      <c r="K1051" s="62" t="n"/>
      <c r="L1051" s="64" t="n"/>
      <c r="M1051" s="64" t="n"/>
      <c r="N1051" s="62" t="n"/>
      <c r="O1051" s="65">
        <f>IF(Z1051=1,L1051-W1051,"")</f>
        <v/>
      </c>
      <c r="P1051" s="66">
        <f>IF(V1051="","",IFERROR(INDEX(coa_Type,MATCH(V1051,coa_Name,0)),""))</f>
        <v/>
      </c>
      <c r="Q1051" s="66">
        <f>IF(Z1051=1,IF(U1051="In",K1051&amp;"",V1051),"")</f>
        <v/>
      </c>
      <c r="R1051" s="66">
        <f>IF(Z1051=1,IF(U1051="In",V1051,K1051&amp;""),"")</f>
        <v/>
      </c>
      <c r="S1051" s="66">
        <f>IF(X1051&lt;&gt;"","⛔ "&amp;X1051&amp;" — not posted",IF(Y1051&lt;&gt;"","⚠ "&amp;Y1051,IF(Z1051=1,"✓ OK","")))</f>
        <v/>
      </c>
      <c r="T1051" s="67">
        <f>IF(AND(C1051="",D1051="",E1051="",L1051="",K1051=""),1,0)</f>
        <v/>
      </c>
      <c r="U1051" s="67">
        <f>IFERROR(INDEX(tt_Dir,MATCH(D1051,tt_Type,0)),"")</f>
        <v/>
      </c>
      <c r="V1051" s="67">
        <f>IF(D1051="","",IFERROR(IF(INDEX(tt_Other,MATCH(D1051,tt_Type,0))="",E1051&amp;"",INDEX(tt_Other,MATCH(D1051,tt_Type,0))),""))</f>
        <v/>
      </c>
      <c r="W1051" s="68">
        <f>IF(OR(TaxOn&lt;&gt;"Yes",NOT(ISNUMBER(M1051))),0,IF(IFERROR(INDEX(tt_Tax,MATCH(D1051,tt_Type,0)),"No")="Yes",M1051,0))</f>
        <v/>
      </c>
      <c r="X1051" s="67">
        <f>IF(T1051=1,"",IF(C1051="","Missing transaction date",IF(NOT(ISNUMBER(C1051)),"Invalid date",IF(OR(C1051&lt;DATE(2000,1,1),C1051&gt;DATE(2099,12,31)),"Invalid date",IF(D1051="","Select a type",IF(U1051="","Unknown type: "&amp;D1051,IF(V1051="","Select an account (Category)",IF(ISNA(MATCH(V1051,coa_Name,0)),"Unknown account: "&amp;V1051,IF(K1051="","Select Paid From / Deposited To",IF(ISNA(MATCH(K1051,coa_Name,0)),"Unknown account: "&amp;K1051,IF(NOT(ISNUMBER(L1051)),"Enter an amount",IF(L1051=0,"Enter an amount",IF(ABS(W1051)&gt;ABS(L1051),"Tax is larger than the amount","")))))))))))))</f>
        <v/>
      </c>
      <c r="Y1051" s="67">
        <f>IF(OR(T1051=1,X1051&lt;&gt;""),"",IF(AND(B1051&lt;&gt;"",COUNTIF(tx_ID,B1051)&gt;1),"Duplicate transaction ID",IF(AND(L1051&lt;0,D1051&lt;&gt;"Adjustment"),"Negative amount — check this entry",IF(AND(D1051="Customer Payment",G1051=""),"Add the customer",IF(AND(D1051="Customer Payment",OR(J1051="",COUNTIF(ar_No,J1051&amp;"")=0)),"Invoice # in Reference not found on AR sheet",IF(AND(D1051="Bill Payment",H1051=""),"Add the vendor",IF(AND(D1051="Bill Payment",OR(J1051="",COUNTIFS(ap_No,J1051&amp;"",ap_Party,H1051&amp;"")=0)),"Bill # + vendor not found on AP sheet",IF(AND(ISNUMBER(M1051),N(M1051)&lt;&gt;0,W1051=0),"Tax ignored (tax tracking off, or not allowed for this type)",IF(V1051=K1051&amp;"","Same account on both sides",IF(AND(ISNUMBER(StartDate),C1051&lt;StartDate),"Date is before the accounting start date",IF(AND(D1051&lt;&gt;"Adjustment",IFERROR(INDEX(coa_Pay,MATCH(K1051&amp;"",coa_Name,0)),"")&lt;&gt;"Yes"),"Paid From / Deposited To is not a payment account","")))))))))))</f>
        <v/>
      </c>
      <c r="Z1051" s="67">
        <f>IF(AND(T1051=0,X1051=""),1,0)</f>
        <v/>
      </c>
      <c r="AA1051" s="68">
        <f>IF(Z1051=1,IF(U1051="In",L1051,L1051-W1051),0)</f>
        <v/>
      </c>
      <c r="AB1051" s="68">
        <f>IF(Z1051=1,IF(U1051="In",L1051-W1051,L1051),0)</f>
        <v/>
      </c>
      <c r="AC1051" s="68">
        <f>IF(AND(Z1051=1,U1051="Out"),W1051,0)</f>
        <v/>
      </c>
      <c r="AD1051" s="68">
        <f>IF(AND(Z1051=1,U1051="In"),W1051,0)</f>
        <v/>
      </c>
    </row>
    <row r="1052">
      <c r="B1052" s="62" t="inlineStr">
        <is>
          <t>TX-1046</t>
        </is>
      </c>
      <c r="C1052" s="63" t="n"/>
      <c r="D1052" s="62" t="n"/>
      <c r="E1052" s="62" t="n"/>
      <c r="F1052" s="62" t="n"/>
      <c r="G1052" s="62" t="n"/>
      <c r="H1052" s="62" t="n"/>
      <c r="I1052" s="62" t="n"/>
      <c r="J1052" s="62" t="n"/>
      <c r="K1052" s="62" t="n"/>
      <c r="L1052" s="64" t="n"/>
      <c r="M1052" s="64" t="n"/>
      <c r="N1052" s="62" t="n"/>
      <c r="O1052" s="65">
        <f>IF(Z1052=1,L1052-W1052,"")</f>
        <v/>
      </c>
      <c r="P1052" s="66">
        <f>IF(V1052="","",IFERROR(INDEX(coa_Type,MATCH(V1052,coa_Name,0)),""))</f>
        <v/>
      </c>
      <c r="Q1052" s="66">
        <f>IF(Z1052=1,IF(U1052="In",K1052&amp;"",V1052),"")</f>
        <v/>
      </c>
      <c r="R1052" s="66">
        <f>IF(Z1052=1,IF(U1052="In",V1052,K1052&amp;""),"")</f>
        <v/>
      </c>
      <c r="S1052" s="66">
        <f>IF(X1052&lt;&gt;"","⛔ "&amp;X1052&amp;" — not posted",IF(Y1052&lt;&gt;"","⚠ "&amp;Y1052,IF(Z1052=1,"✓ OK","")))</f>
        <v/>
      </c>
      <c r="T1052" s="67">
        <f>IF(AND(C1052="",D1052="",E1052="",L1052="",K1052=""),1,0)</f>
        <v/>
      </c>
      <c r="U1052" s="67">
        <f>IFERROR(INDEX(tt_Dir,MATCH(D1052,tt_Type,0)),"")</f>
        <v/>
      </c>
      <c r="V1052" s="67">
        <f>IF(D1052="","",IFERROR(IF(INDEX(tt_Other,MATCH(D1052,tt_Type,0))="",E1052&amp;"",INDEX(tt_Other,MATCH(D1052,tt_Type,0))),""))</f>
        <v/>
      </c>
      <c r="W1052" s="68">
        <f>IF(OR(TaxOn&lt;&gt;"Yes",NOT(ISNUMBER(M1052))),0,IF(IFERROR(INDEX(tt_Tax,MATCH(D1052,tt_Type,0)),"No")="Yes",M1052,0))</f>
        <v/>
      </c>
      <c r="X1052" s="67">
        <f>IF(T1052=1,"",IF(C1052="","Missing transaction date",IF(NOT(ISNUMBER(C1052)),"Invalid date",IF(OR(C1052&lt;DATE(2000,1,1),C1052&gt;DATE(2099,12,31)),"Invalid date",IF(D1052="","Select a type",IF(U1052="","Unknown type: "&amp;D1052,IF(V1052="","Select an account (Category)",IF(ISNA(MATCH(V1052,coa_Name,0)),"Unknown account: "&amp;V1052,IF(K1052="","Select Paid From / Deposited To",IF(ISNA(MATCH(K1052,coa_Name,0)),"Unknown account: "&amp;K1052,IF(NOT(ISNUMBER(L1052)),"Enter an amount",IF(L1052=0,"Enter an amount",IF(ABS(W1052)&gt;ABS(L1052),"Tax is larger than the amount","")))))))))))))</f>
        <v/>
      </c>
      <c r="Y1052" s="67">
        <f>IF(OR(T1052=1,X1052&lt;&gt;""),"",IF(AND(B1052&lt;&gt;"",COUNTIF(tx_ID,B1052)&gt;1),"Duplicate transaction ID",IF(AND(L1052&lt;0,D1052&lt;&gt;"Adjustment"),"Negative amount — check this entry",IF(AND(D1052="Customer Payment",G1052=""),"Add the customer",IF(AND(D1052="Customer Payment",OR(J1052="",COUNTIF(ar_No,J1052&amp;"")=0)),"Invoice # in Reference not found on AR sheet",IF(AND(D1052="Bill Payment",H1052=""),"Add the vendor",IF(AND(D1052="Bill Payment",OR(J1052="",COUNTIFS(ap_No,J1052&amp;"",ap_Party,H1052&amp;"")=0)),"Bill # + vendor not found on AP sheet",IF(AND(ISNUMBER(M1052),N(M1052)&lt;&gt;0,W1052=0),"Tax ignored (tax tracking off, or not allowed for this type)",IF(V1052=K1052&amp;"","Same account on both sides",IF(AND(ISNUMBER(StartDate),C1052&lt;StartDate),"Date is before the accounting start date",IF(AND(D1052&lt;&gt;"Adjustment",IFERROR(INDEX(coa_Pay,MATCH(K1052&amp;"",coa_Name,0)),"")&lt;&gt;"Yes"),"Paid From / Deposited To is not a payment account","")))))))))))</f>
        <v/>
      </c>
      <c r="Z1052" s="67">
        <f>IF(AND(T1052=0,X1052=""),1,0)</f>
        <v/>
      </c>
      <c r="AA1052" s="68">
        <f>IF(Z1052=1,IF(U1052="In",L1052,L1052-W1052),0)</f>
        <v/>
      </c>
      <c r="AB1052" s="68">
        <f>IF(Z1052=1,IF(U1052="In",L1052-W1052,L1052),0)</f>
        <v/>
      </c>
      <c r="AC1052" s="68">
        <f>IF(AND(Z1052=1,U1052="Out"),W1052,0)</f>
        <v/>
      </c>
      <c r="AD1052" s="68">
        <f>IF(AND(Z1052=1,U1052="In"),W1052,0)</f>
        <v/>
      </c>
    </row>
    <row r="1053">
      <c r="B1053" s="62" t="inlineStr">
        <is>
          <t>TX-1047</t>
        </is>
      </c>
      <c r="C1053" s="63" t="n"/>
      <c r="D1053" s="62" t="n"/>
      <c r="E1053" s="62" t="n"/>
      <c r="F1053" s="62" t="n"/>
      <c r="G1053" s="62" t="n"/>
      <c r="H1053" s="62" t="n"/>
      <c r="I1053" s="62" t="n"/>
      <c r="J1053" s="62" t="n"/>
      <c r="K1053" s="62" t="n"/>
      <c r="L1053" s="64" t="n"/>
      <c r="M1053" s="64" t="n"/>
      <c r="N1053" s="62" t="n"/>
      <c r="O1053" s="65">
        <f>IF(Z1053=1,L1053-W1053,"")</f>
        <v/>
      </c>
      <c r="P1053" s="66">
        <f>IF(V1053="","",IFERROR(INDEX(coa_Type,MATCH(V1053,coa_Name,0)),""))</f>
        <v/>
      </c>
      <c r="Q1053" s="66">
        <f>IF(Z1053=1,IF(U1053="In",K1053&amp;"",V1053),"")</f>
        <v/>
      </c>
      <c r="R1053" s="66">
        <f>IF(Z1053=1,IF(U1053="In",V1053,K1053&amp;""),"")</f>
        <v/>
      </c>
      <c r="S1053" s="66">
        <f>IF(X1053&lt;&gt;"","⛔ "&amp;X1053&amp;" — not posted",IF(Y1053&lt;&gt;"","⚠ "&amp;Y1053,IF(Z1053=1,"✓ OK","")))</f>
        <v/>
      </c>
      <c r="T1053" s="67">
        <f>IF(AND(C1053="",D1053="",E1053="",L1053="",K1053=""),1,0)</f>
        <v/>
      </c>
      <c r="U1053" s="67">
        <f>IFERROR(INDEX(tt_Dir,MATCH(D1053,tt_Type,0)),"")</f>
        <v/>
      </c>
      <c r="V1053" s="67">
        <f>IF(D1053="","",IFERROR(IF(INDEX(tt_Other,MATCH(D1053,tt_Type,0))="",E1053&amp;"",INDEX(tt_Other,MATCH(D1053,tt_Type,0))),""))</f>
        <v/>
      </c>
      <c r="W1053" s="68">
        <f>IF(OR(TaxOn&lt;&gt;"Yes",NOT(ISNUMBER(M1053))),0,IF(IFERROR(INDEX(tt_Tax,MATCH(D1053,tt_Type,0)),"No")="Yes",M1053,0))</f>
        <v/>
      </c>
      <c r="X1053" s="67">
        <f>IF(T1053=1,"",IF(C1053="","Missing transaction date",IF(NOT(ISNUMBER(C1053)),"Invalid date",IF(OR(C1053&lt;DATE(2000,1,1),C1053&gt;DATE(2099,12,31)),"Invalid date",IF(D1053="","Select a type",IF(U1053="","Unknown type: "&amp;D1053,IF(V1053="","Select an account (Category)",IF(ISNA(MATCH(V1053,coa_Name,0)),"Unknown account: "&amp;V1053,IF(K1053="","Select Paid From / Deposited To",IF(ISNA(MATCH(K1053,coa_Name,0)),"Unknown account: "&amp;K1053,IF(NOT(ISNUMBER(L1053)),"Enter an amount",IF(L1053=0,"Enter an amount",IF(ABS(W1053)&gt;ABS(L1053),"Tax is larger than the amount","")))))))))))))</f>
        <v/>
      </c>
      <c r="Y1053" s="67">
        <f>IF(OR(T1053=1,X1053&lt;&gt;""),"",IF(AND(B1053&lt;&gt;"",COUNTIF(tx_ID,B1053)&gt;1),"Duplicate transaction ID",IF(AND(L1053&lt;0,D1053&lt;&gt;"Adjustment"),"Negative amount — check this entry",IF(AND(D1053="Customer Payment",G1053=""),"Add the customer",IF(AND(D1053="Customer Payment",OR(J1053="",COUNTIF(ar_No,J1053&amp;"")=0)),"Invoice # in Reference not found on AR sheet",IF(AND(D1053="Bill Payment",H1053=""),"Add the vendor",IF(AND(D1053="Bill Payment",OR(J1053="",COUNTIFS(ap_No,J1053&amp;"",ap_Party,H1053&amp;"")=0)),"Bill # + vendor not found on AP sheet",IF(AND(ISNUMBER(M1053),N(M1053)&lt;&gt;0,W1053=0),"Tax ignored (tax tracking off, or not allowed for this type)",IF(V1053=K1053&amp;"","Same account on both sides",IF(AND(ISNUMBER(StartDate),C1053&lt;StartDate),"Date is before the accounting start date",IF(AND(D1053&lt;&gt;"Adjustment",IFERROR(INDEX(coa_Pay,MATCH(K1053&amp;"",coa_Name,0)),"")&lt;&gt;"Yes"),"Paid From / Deposited To is not a payment account","")))))))))))</f>
        <v/>
      </c>
      <c r="Z1053" s="67">
        <f>IF(AND(T1053=0,X1053=""),1,0)</f>
        <v/>
      </c>
      <c r="AA1053" s="68">
        <f>IF(Z1053=1,IF(U1053="In",L1053,L1053-W1053),0)</f>
        <v/>
      </c>
      <c r="AB1053" s="68">
        <f>IF(Z1053=1,IF(U1053="In",L1053-W1053,L1053),0)</f>
        <v/>
      </c>
      <c r="AC1053" s="68">
        <f>IF(AND(Z1053=1,U1053="Out"),W1053,0)</f>
        <v/>
      </c>
      <c r="AD1053" s="68">
        <f>IF(AND(Z1053=1,U1053="In"),W1053,0)</f>
        <v/>
      </c>
    </row>
    <row r="1054">
      <c r="B1054" s="62" t="inlineStr">
        <is>
          <t>TX-1048</t>
        </is>
      </c>
      <c r="C1054" s="63" t="n"/>
      <c r="D1054" s="62" t="n"/>
      <c r="E1054" s="62" t="n"/>
      <c r="F1054" s="62" t="n"/>
      <c r="G1054" s="62" t="n"/>
      <c r="H1054" s="62" t="n"/>
      <c r="I1054" s="62" t="n"/>
      <c r="J1054" s="62" t="n"/>
      <c r="K1054" s="62" t="n"/>
      <c r="L1054" s="64" t="n"/>
      <c r="M1054" s="64" t="n"/>
      <c r="N1054" s="62" t="n"/>
      <c r="O1054" s="65">
        <f>IF(Z1054=1,L1054-W1054,"")</f>
        <v/>
      </c>
      <c r="P1054" s="66">
        <f>IF(V1054="","",IFERROR(INDEX(coa_Type,MATCH(V1054,coa_Name,0)),""))</f>
        <v/>
      </c>
      <c r="Q1054" s="66">
        <f>IF(Z1054=1,IF(U1054="In",K1054&amp;"",V1054),"")</f>
        <v/>
      </c>
      <c r="R1054" s="66">
        <f>IF(Z1054=1,IF(U1054="In",V1054,K1054&amp;""),"")</f>
        <v/>
      </c>
      <c r="S1054" s="66">
        <f>IF(X1054&lt;&gt;"","⛔ "&amp;X1054&amp;" — not posted",IF(Y1054&lt;&gt;"","⚠ "&amp;Y1054,IF(Z1054=1,"✓ OK","")))</f>
        <v/>
      </c>
      <c r="T1054" s="67">
        <f>IF(AND(C1054="",D1054="",E1054="",L1054="",K1054=""),1,0)</f>
        <v/>
      </c>
      <c r="U1054" s="67">
        <f>IFERROR(INDEX(tt_Dir,MATCH(D1054,tt_Type,0)),"")</f>
        <v/>
      </c>
      <c r="V1054" s="67">
        <f>IF(D1054="","",IFERROR(IF(INDEX(tt_Other,MATCH(D1054,tt_Type,0))="",E1054&amp;"",INDEX(tt_Other,MATCH(D1054,tt_Type,0))),""))</f>
        <v/>
      </c>
      <c r="W1054" s="68">
        <f>IF(OR(TaxOn&lt;&gt;"Yes",NOT(ISNUMBER(M1054))),0,IF(IFERROR(INDEX(tt_Tax,MATCH(D1054,tt_Type,0)),"No")="Yes",M1054,0))</f>
        <v/>
      </c>
      <c r="X1054" s="67">
        <f>IF(T1054=1,"",IF(C1054="","Missing transaction date",IF(NOT(ISNUMBER(C1054)),"Invalid date",IF(OR(C1054&lt;DATE(2000,1,1),C1054&gt;DATE(2099,12,31)),"Invalid date",IF(D1054="","Select a type",IF(U1054="","Unknown type: "&amp;D1054,IF(V1054="","Select an account (Category)",IF(ISNA(MATCH(V1054,coa_Name,0)),"Unknown account: "&amp;V1054,IF(K1054="","Select Paid From / Deposited To",IF(ISNA(MATCH(K1054,coa_Name,0)),"Unknown account: "&amp;K1054,IF(NOT(ISNUMBER(L1054)),"Enter an amount",IF(L1054=0,"Enter an amount",IF(ABS(W1054)&gt;ABS(L1054),"Tax is larger than the amount","")))))))))))))</f>
        <v/>
      </c>
      <c r="Y1054" s="67">
        <f>IF(OR(T1054=1,X1054&lt;&gt;""),"",IF(AND(B1054&lt;&gt;"",COUNTIF(tx_ID,B1054)&gt;1),"Duplicate transaction ID",IF(AND(L1054&lt;0,D1054&lt;&gt;"Adjustment"),"Negative amount — check this entry",IF(AND(D1054="Customer Payment",G1054=""),"Add the customer",IF(AND(D1054="Customer Payment",OR(J1054="",COUNTIF(ar_No,J1054&amp;"")=0)),"Invoice # in Reference not found on AR sheet",IF(AND(D1054="Bill Payment",H1054=""),"Add the vendor",IF(AND(D1054="Bill Payment",OR(J1054="",COUNTIFS(ap_No,J1054&amp;"",ap_Party,H1054&amp;"")=0)),"Bill # + vendor not found on AP sheet",IF(AND(ISNUMBER(M1054),N(M1054)&lt;&gt;0,W1054=0),"Tax ignored (tax tracking off, or not allowed for this type)",IF(V1054=K1054&amp;"","Same account on both sides",IF(AND(ISNUMBER(StartDate),C1054&lt;StartDate),"Date is before the accounting start date",IF(AND(D1054&lt;&gt;"Adjustment",IFERROR(INDEX(coa_Pay,MATCH(K1054&amp;"",coa_Name,0)),"")&lt;&gt;"Yes"),"Paid From / Deposited To is not a payment account","")))))))))))</f>
        <v/>
      </c>
      <c r="Z1054" s="67">
        <f>IF(AND(T1054=0,X1054=""),1,0)</f>
        <v/>
      </c>
      <c r="AA1054" s="68">
        <f>IF(Z1054=1,IF(U1054="In",L1054,L1054-W1054),0)</f>
        <v/>
      </c>
      <c r="AB1054" s="68">
        <f>IF(Z1054=1,IF(U1054="In",L1054-W1054,L1054),0)</f>
        <v/>
      </c>
      <c r="AC1054" s="68">
        <f>IF(AND(Z1054=1,U1054="Out"),W1054,0)</f>
        <v/>
      </c>
      <c r="AD1054" s="68">
        <f>IF(AND(Z1054=1,U1054="In"),W1054,0)</f>
        <v/>
      </c>
    </row>
    <row r="1055">
      <c r="B1055" s="62" t="inlineStr">
        <is>
          <t>TX-1049</t>
        </is>
      </c>
      <c r="C1055" s="63" t="n"/>
      <c r="D1055" s="62" t="n"/>
      <c r="E1055" s="62" t="n"/>
      <c r="F1055" s="62" t="n"/>
      <c r="G1055" s="62" t="n"/>
      <c r="H1055" s="62" t="n"/>
      <c r="I1055" s="62" t="n"/>
      <c r="J1055" s="62" t="n"/>
      <c r="K1055" s="62" t="n"/>
      <c r="L1055" s="64" t="n"/>
      <c r="M1055" s="64" t="n"/>
      <c r="N1055" s="62" t="n"/>
      <c r="O1055" s="65">
        <f>IF(Z1055=1,L1055-W1055,"")</f>
        <v/>
      </c>
      <c r="P1055" s="66">
        <f>IF(V1055="","",IFERROR(INDEX(coa_Type,MATCH(V1055,coa_Name,0)),""))</f>
        <v/>
      </c>
      <c r="Q1055" s="66">
        <f>IF(Z1055=1,IF(U1055="In",K1055&amp;"",V1055),"")</f>
        <v/>
      </c>
      <c r="R1055" s="66">
        <f>IF(Z1055=1,IF(U1055="In",V1055,K1055&amp;""),"")</f>
        <v/>
      </c>
      <c r="S1055" s="66">
        <f>IF(X1055&lt;&gt;"","⛔ "&amp;X1055&amp;" — not posted",IF(Y1055&lt;&gt;"","⚠ "&amp;Y1055,IF(Z1055=1,"✓ OK","")))</f>
        <v/>
      </c>
      <c r="T1055" s="67">
        <f>IF(AND(C1055="",D1055="",E1055="",L1055="",K1055=""),1,0)</f>
        <v/>
      </c>
      <c r="U1055" s="67">
        <f>IFERROR(INDEX(tt_Dir,MATCH(D1055,tt_Type,0)),"")</f>
        <v/>
      </c>
      <c r="V1055" s="67">
        <f>IF(D1055="","",IFERROR(IF(INDEX(tt_Other,MATCH(D1055,tt_Type,0))="",E1055&amp;"",INDEX(tt_Other,MATCH(D1055,tt_Type,0))),""))</f>
        <v/>
      </c>
      <c r="W1055" s="68">
        <f>IF(OR(TaxOn&lt;&gt;"Yes",NOT(ISNUMBER(M1055))),0,IF(IFERROR(INDEX(tt_Tax,MATCH(D1055,tt_Type,0)),"No")="Yes",M1055,0))</f>
        <v/>
      </c>
      <c r="X1055" s="67">
        <f>IF(T1055=1,"",IF(C1055="","Missing transaction date",IF(NOT(ISNUMBER(C1055)),"Invalid date",IF(OR(C1055&lt;DATE(2000,1,1),C1055&gt;DATE(2099,12,31)),"Invalid date",IF(D1055="","Select a type",IF(U1055="","Unknown type: "&amp;D1055,IF(V1055="","Select an account (Category)",IF(ISNA(MATCH(V1055,coa_Name,0)),"Unknown account: "&amp;V1055,IF(K1055="","Select Paid From / Deposited To",IF(ISNA(MATCH(K1055,coa_Name,0)),"Unknown account: "&amp;K1055,IF(NOT(ISNUMBER(L1055)),"Enter an amount",IF(L1055=0,"Enter an amount",IF(ABS(W1055)&gt;ABS(L1055),"Tax is larger than the amount","")))))))))))))</f>
        <v/>
      </c>
      <c r="Y1055" s="67">
        <f>IF(OR(T1055=1,X1055&lt;&gt;""),"",IF(AND(B1055&lt;&gt;"",COUNTIF(tx_ID,B1055)&gt;1),"Duplicate transaction ID",IF(AND(L1055&lt;0,D1055&lt;&gt;"Adjustment"),"Negative amount — check this entry",IF(AND(D1055="Customer Payment",G1055=""),"Add the customer",IF(AND(D1055="Customer Payment",OR(J1055="",COUNTIF(ar_No,J1055&amp;"")=0)),"Invoice # in Reference not found on AR sheet",IF(AND(D1055="Bill Payment",H1055=""),"Add the vendor",IF(AND(D1055="Bill Payment",OR(J1055="",COUNTIFS(ap_No,J1055&amp;"",ap_Party,H1055&amp;"")=0)),"Bill # + vendor not found on AP sheet",IF(AND(ISNUMBER(M1055),N(M1055)&lt;&gt;0,W1055=0),"Tax ignored (tax tracking off, or not allowed for this type)",IF(V1055=K1055&amp;"","Same account on both sides",IF(AND(ISNUMBER(StartDate),C1055&lt;StartDate),"Date is before the accounting start date",IF(AND(D1055&lt;&gt;"Adjustment",IFERROR(INDEX(coa_Pay,MATCH(K1055&amp;"",coa_Name,0)),"")&lt;&gt;"Yes"),"Paid From / Deposited To is not a payment account","")))))))))))</f>
        <v/>
      </c>
      <c r="Z1055" s="67">
        <f>IF(AND(T1055=0,X1055=""),1,0)</f>
        <v/>
      </c>
      <c r="AA1055" s="68">
        <f>IF(Z1055=1,IF(U1055="In",L1055,L1055-W1055),0)</f>
        <v/>
      </c>
      <c r="AB1055" s="68">
        <f>IF(Z1055=1,IF(U1055="In",L1055-W1055,L1055),0)</f>
        <v/>
      </c>
      <c r="AC1055" s="68">
        <f>IF(AND(Z1055=1,U1055="Out"),W1055,0)</f>
        <v/>
      </c>
      <c r="AD1055" s="68">
        <f>IF(AND(Z1055=1,U1055="In"),W1055,0)</f>
        <v/>
      </c>
    </row>
    <row r="1056">
      <c r="B1056" s="62" t="inlineStr">
        <is>
          <t>TX-1050</t>
        </is>
      </c>
      <c r="C1056" s="63" t="n"/>
      <c r="D1056" s="62" t="n"/>
      <c r="E1056" s="62" t="n"/>
      <c r="F1056" s="62" t="n"/>
      <c r="G1056" s="62" t="n"/>
      <c r="H1056" s="62" t="n"/>
      <c r="I1056" s="62" t="n"/>
      <c r="J1056" s="62" t="n"/>
      <c r="K1056" s="62" t="n"/>
      <c r="L1056" s="64" t="n"/>
      <c r="M1056" s="64" t="n"/>
      <c r="N1056" s="62" t="n"/>
      <c r="O1056" s="65">
        <f>IF(Z1056=1,L1056-W1056,"")</f>
        <v/>
      </c>
      <c r="P1056" s="66">
        <f>IF(V1056="","",IFERROR(INDEX(coa_Type,MATCH(V1056,coa_Name,0)),""))</f>
        <v/>
      </c>
      <c r="Q1056" s="66">
        <f>IF(Z1056=1,IF(U1056="In",K1056&amp;"",V1056),"")</f>
        <v/>
      </c>
      <c r="R1056" s="66">
        <f>IF(Z1056=1,IF(U1056="In",V1056,K1056&amp;""),"")</f>
        <v/>
      </c>
      <c r="S1056" s="66">
        <f>IF(X1056&lt;&gt;"","⛔ "&amp;X1056&amp;" — not posted",IF(Y1056&lt;&gt;"","⚠ "&amp;Y1056,IF(Z1056=1,"✓ OK","")))</f>
        <v/>
      </c>
      <c r="T1056" s="67">
        <f>IF(AND(C1056="",D1056="",E1056="",L1056="",K1056=""),1,0)</f>
        <v/>
      </c>
      <c r="U1056" s="67">
        <f>IFERROR(INDEX(tt_Dir,MATCH(D1056,tt_Type,0)),"")</f>
        <v/>
      </c>
      <c r="V1056" s="67">
        <f>IF(D1056="","",IFERROR(IF(INDEX(tt_Other,MATCH(D1056,tt_Type,0))="",E1056&amp;"",INDEX(tt_Other,MATCH(D1056,tt_Type,0))),""))</f>
        <v/>
      </c>
      <c r="W1056" s="68">
        <f>IF(OR(TaxOn&lt;&gt;"Yes",NOT(ISNUMBER(M1056))),0,IF(IFERROR(INDEX(tt_Tax,MATCH(D1056,tt_Type,0)),"No")="Yes",M1056,0))</f>
        <v/>
      </c>
      <c r="X1056" s="67">
        <f>IF(T1056=1,"",IF(C1056="","Missing transaction date",IF(NOT(ISNUMBER(C1056)),"Invalid date",IF(OR(C1056&lt;DATE(2000,1,1),C1056&gt;DATE(2099,12,31)),"Invalid date",IF(D1056="","Select a type",IF(U1056="","Unknown type: "&amp;D1056,IF(V1056="","Select an account (Category)",IF(ISNA(MATCH(V1056,coa_Name,0)),"Unknown account: "&amp;V1056,IF(K1056="","Select Paid From / Deposited To",IF(ISNA(MATCH(K1056,coa_Name,0)),"Unknown account: "&amp;K1056,IF(NOT(ISNUMBER(L1056)),"Enter an amount",IF(L1056=0,"Enter an amount",IF(ABS(W1056)&gt;ABS(L1056),"Tax is larger than the amount","")))))))))))))</f>
        <v/>
      </c>
      <c r="Y1056" s="67">
        <f>IF(OR(T1056=1,X1056&lt;&gt;""),"",IF(AND(B1056&lt;&gt;"",COUNTIF(tx_ID,B1056)&gt;1),"Duplicate transaction ID",IF(AND(L1056&lt;0,D1056&lt;&gt;"Adjustment"),"Negative amount — check this entry",IF(AND(D1056="Customer Payment",G1056=""),"Add the customer",IF(AND(D1056="Customer Payment",OR(J1056="",COUNTIF(ar_No,J1056&amp;"")=0)),"Invoice # in Reference not found on AR sheet",IF(AND(D1056="Bill Payment",H1056=""),"Add the vendor",IF(AND(D1056="Bill Payment",OR(J1056="",COUNTIFS(ap_No,J1056&amp;"",ap_Party,H1056&amp;"")=0)),"Bill # + vendor not found on AP sheet",IF(AND(ISNUMBER(M1056),N(M1056)&lt;&gt;0,W1056=0),"Tax ignored (tax tracking off, or not allowed for this type)",IF(V1056=K1056&amp;"","Same account on both sides",IF(AND(ISNUMBER(StartDate),C1056&lt;StartDate),"Date is before the accounting start date",IF(AND(D1056&lt;&gt;"Adjustment",IFERROR(INDEX(coa_Pay,MATCH(K1056&amp;"",coa_Name,0)),"")&lt;&gt;"Yes"),"Paid From / Deposited To is not a payment account","")))))))))))</f>
        <v/>
      </c>
      <c r="Z1056" s="67">
        <f>IF(AND(T1056=0,X1056=""),1,0)</f>
        <v/>
      </c>
      <c r="AA1056" s="68">
        <f>IF(Z1056=1,IF(U1056="In",L1056,L1056-W1056),0)</f>
        <v/>
      </c>
      <c r="AB1056" s="68">
        <f>IF(Z1056=1,IF(U1056="In",L1056-W1056,L1056),0)</f>
        <v/>
      </c>
      <c r="AC1056" s="68">
        <f>IF(AND(Z1056=1,U1056="Out"),W1056,0)</f>
        <v/>
      </c>
      <c r="AD1056" s="68">
        <f>IF(AND(Z1056=1,U1056="In"),W1056,0)</f>
        <v/>
      </c>
    </row>
    <row r="1057">
      <c r="B1057" s="62" t="inlineStr">
        <is>
          <t>TX-1051</t>
        </is>
      </c>
      <c r="C1057" s="63" t="n"/>
      <c r="D1057" s="62" t="n"/>
      <c r="E1057" s="62" t="n"/>
      <c r="F1057" s="62" t="n"/>
      <c r="G1057" s="62" t="n"/>
      <c r="H1057" s="62" t="n"/>
      <c r="I1057" s="62" t="n"/>
      <c r="J1057" s="62" t="n"/>
      <c r="K1057" s="62" t="n"/>
      <c r="L1057" s="64" t="n"/>
      <c r="M1057" s="64" t="n"/>
      <c r="N1057" s="62" t="n"/>
      <c r="O1057" s="65">
        <f>IF(Z1057=1,L1057-W1057,"")</f>
        <v/>
      </c>
      <c r="P1057" s="66">
        <f>IF(V1057="","",IFERROR(INDEX(coa_Type,MATCH(V1057,coa_Name,0)),""))</f>
        <v/>
      </c>
      <c r="Q1057" s="66">
        <f>IF(Z1057=1,IF(U1057="In",K1057&amp;"",V1057),"")</f>
        <v/>
      </c>
      <c r="R1057" s="66">
        <f>IF(Z1057=1,IF(U1057="In",V1057,K1057&amp;""),"")</f>
        <v/>
      </c>
      <c r="S1057" s="66">
        <f>IF(X1057&lt;&gt;"","⛔ "&amp;X1057&amp;" — not posted",IF(Y1057&lt;&gt;"","⚠ "&amp;Y1057,IF(Z1057=1,"✓ OK","")))</f>
        <v/>
      </c>
      <c r="T1057" s="67">
        <f>IF(AND(C1057="",D1057="",E1057="",L1057="",K1057=""),1,0)</f>
        <v/>
      </c>
      <c r="U1057" s="67">
        <f>IFERROR(INDEX(tt_Dir,MATCH(D1057,tt_Type,0)),"")</f>
        <v/>
      </c>
      <c r="V1057" s="67">
        <f>IF(D1057="","",IFERROR(IF(INDEX(tt_Other,MATCH(D1057,tt_Type,0))="",E1057&amp;"",INDEX(tt_Other,MATCH(D1057,tt_Type,0))),""))</f>
        <v/>
      </c>
      <c r="W1057" s="68">
        <f>IF(OR(TaxOn&lt;&gt;"Yes",NOT(ISNUMBER(M1057))),0,IF(IFERROR(INDEX(tt_Tax,MATCH(D1057,tt_Type,0)),"No")="Yes",M1057,0))</f>
        <v/>
      </c>
      <c r="X1057" s="67">
        <f>IF(T1057=1,"",IF(C1057="","Missing transaction date",IF(NOT(ISNUMBER(C1057)),"Invalid date",IF(OR(C1057&lt;DATE(2000,1,1),C1057&gt;DATE(2099,12,31)),"Invalid date",IF(D1057="","Select a type",IF(U1057="","Unknown type: "&amp;D1057,IF(V1057="","Select an account (Category)",IF(ISNA(MATCH(V1057,coa_Name,0)),"Unknown account: "&amp;V1057,IF(K1057="","Select Paid From / Deposited To",IF(ISNA(MATCH(K1057,coa_Name,0)),"Unknown account: "&amp;K1057,IF(NOT(ISNUMBER(L1057)),"Enter an amount",IF(L1057=0,"Enter an amount",IF(ABS(W1057)&gt;ABS(L1057),"Tax is larger than the amount","")))))))))))))</f>
        <v/>
      </c>
      <c r="Y1057" s="67">
        <f>IF(OR(T1057=1,X1057&lt;&gt;""),"",IF(AND(B1057&lt;&gt;"",COUNTIF(tx_ID,B1057)&gt;1),"Duplicate transaction ID",IF(AND(L1057&lt;0,D1057&lt;&gt;"Adjustment"),"Negative amount — check this entry",IF(AND(D1057="Customer Payment",G1057=""),"Add the customer",IF(AND(D1057="Customer Payment",OR(J1057="",COUNTIF(ar_No,J1057&amp;"")=0)),"Invoice # in Reference not found on AR sheet",IF(AND(D1057="Bill Payment",H1057=""),"Add the vendor",IF(AND(D1057="Bill Payment",OR(J1057="",COUNTIFS(ap_No,J1057&amp;"",ap_Party,H1057&amp;"")=0)),"Bill # + vendor not found on AP sheet",IF(AND(ISNUMBER(M1057),N(M1057)&lt;&gt;0,W1057=0),"Tax ignored (tax tracking off, or not allowed for this type)",IF(V1057=K1057&amp;"","Same account on both sides",IF(AND(ISNUMBER(StartDate),C1057&lt;StartDate),"Date is before the accounting start date",IF(AND(D1057&lt;&gt;"Adjustment",IFERROR(INDEX(coa_Pay,MATCH(K1057&amp;"",coa_Name,0)),"")&lt;&gt;"Yes"),"Paid From / Deposited To is not a payment account","")))))))))))</f>
        <v/>
      </c>
      <c r="Z1057" s="67">
        <f>IF(AND(T1057=0,X1057=""),1,0)</f>
        <v/>
      </c>
      <c r="AA1057" s="68">
        <f>IF(Z1057=1,IF(U1057="In",L1057,L1057-W1057),0)</f>
        <v/>
      </c>
      <c r="AB1057" s="68">
        <f>IF(Z1057=1,IF(U1057="In",L1057-W1057,L1057),0)</f>
        <v/>
      </c>
      <c r="AC1057" s="68">
        <f>IF(AND(Z1057=1,U1057="Out"),W1057,0)</f>
        <v/>
      </c>
      <c r="AD1057" s="68">
        <f>IF(AND(Z1057=1,U1057="In"),W1057,0)</f>
        <v/>
      </c>
    </row>
    <row r="1058">
      <c r="B1058" s="62" t="inlineStr">
        <is>
          <t>TX-1052</t>
        </is>
      </c>
      <c r="C1058" s="63" t="n"/>
      <c r="D1058" s="62" t="n"/>
      <c r="E1058" s="62" t="n"/>
      <c r="F1058" s="62" t="n"/>
      <c r="G1058" s="62" t="n"/>
      <c r="H1058" s="62" t="n"/>
      <c r="I1058" s="62" t="n"/>
      <c r="J1058" s="62" t="n"/>
      <c r="K1058" s="62" t="n"/>
      <c r="L1058" s="64" t="n"/>
      <c r="M1058" s="64" t="n"/>
      <c r="N1058" s="62" t="n"/>
      <c r="O1058" s="65">
        <f>IF(Z1058=1,L1058-W1058,"")</f>
        <v/>
      </c>
      <c r="P1058" s="66">
        <f>IF(V1058="","",IFERROR(INDEX(coa_Type,MATCH(V1058,coa_Name,0)),""))</f>
        <v/>
      </c>
      <c r="Q1058" s="66">
        <f>IF(Z1058=1,IF(U1058="In",K1058&amp;"",V1058),"")</f>
        <v/>
      </c>
      <c r="R1058" s="66">
        <f>IF(Z1058=1,IF(U1058="In",V1058,K1058&amp;""),"")</f>
        <v/>
      </c>
      <c r="S1058" s="66">
        <f>IF(X1058&lt;&gt;"","⛔ "&amp;X1058&amp;" — not posted",IF(Y1058&lt;&gt;"","⚠ "&amp;Y1058,IF(Z1058=1,"✓ OK","")))</f>
        <v/>
      </c>
      <c r="T1058" s="67">
        <f>IF(AND(C1058="",D1058="",E1058="",L1058="",K1058=""),1,0)</f>
        <v/>
      </c>
      <c r="U1058" s="67">
        <f>IFERROR(INDEX(tt_Dir,MATCH(D1058,tt_Type,0)),"")</f>
        <v/>
      </c>
      <c r="V1058" s="67">
        <f>IF(D1058="","",IFERROR(IF(INDEX(tt_Other,MATCH(D1058,tt_Type,0))="",E1058&amp;"",INDEX(tt_Other,MATCH(D1058,tt_Type,0))),""))</f>
        <v/>
      </c>
      <c r="W1058" s="68">
        <f>IF(OR(TaxOn&lt;&gt;"Yes",NOT(ISNUMBER(M1058))),0,IF(IFERROR(INDEX(tt_Tax,MATCH(D1058,tt_Type,0)),"No")="Yes",M1058,0))</f>
        <v/>
      </c>
      <c r="X1058" s="67">
        <f>IF(T1058=1,"",IF(C1058="","Missing transaction date",IF(NOT(ISNUMBER(C1058)),"Invalid date",IF(OR(C1058&lt;DATE(2000,1,1),C1058&gt;DATE(2099,12,31)),"Invalid date",IF(D1058="","Select a type",IF(U1058="","Unknown type: "&amp;D1058,IF(V1058="","Select an account (Category)",IF(ISNA(MATCH(V1058,coa_Name,0)),"Unknown account: "&amp;V1058,IF(K1058="","Select Paid From / Deposited To",IF(ISNA(MATCH(K1058,coa_Name,0)),"Unknown account: "&amp;K1058,IF(NOT(ISNUMBER(L1058)),"Enter an amount",IF(L1058=0,"Enter an amount",IF(ABS(W1058)&gt;ABS(L1058),"Tax is larger than the amount","")))))))))))))</f>
        <v/>
      </c>
      <c r="Y1058" s="67">
        <f>IF(OR(T1058=1,X1058&lt;&gt;""),"",IF(AND(B1058&lt;&gt;"",COUNTIF(tx_ID,B1058)&gt;1),"Duplicate transaction ID",IF(AND(L1058&lt;0,D1058&lt;&gt;"Adjustment"),"Negative amount — check this entry",IF(AND(D1058="Customer Payment",G1058=""),"Add the customer",IF(AND(D1058="Customer Payment",OR(J1058="",COUNTIF(ar_No,J1058&amp;"")=0)),"Invoice # in Reference not found on AR sheet",IF(AND(D1058="Bill Payment",H1058=""),"Add the vendor",IF(AND(D1058="Bill Payment",OR(J1058="",COUNTIFS(ap_No,J1058&amp;"",ap_Party,H1058&amp;"")=0)),"Bill # + vendor not found on AP sheet",IF(AND(ISNUMBER(M1058),N(M1058)&lt;&gt;0,W1058=0),"Tax ignored (tax tracking off, or not allowed for this type)",IF(V1058=K1058&amp;"","Same account on both sides",IF(AND(ISNUMBER(StartDate),C1058&lt;StartDate),"Date is before the accounting start date",IF(AND(D1058&lt;&gt;"Adjustment",IFERROR(INDEX(coa_Pay,MATCH(K1058&amp;"",coa_Name,0)),"")&lt;&gt;"Yes"),"Paid From / Deposited To is not a payment account","")))))))))))</f>
        <v/>
      </c>
      <c r="Z1058" s="67">
        <f>IF(AND(T1058=0,X1058=""),1,0)</f>
        <v/>
      </c>
      <c r="AA1058" s="68">
        <f>IF(Z1058=1,IF(U1058="In",L1058,L1058-W1058),0)</f>
        <v/>
      </c>
      <c r="AB1058" s="68">
        <f>IF(Z1058=1,IF(U1058="In",L1058-W1058,L1058),0)</f>
        <v/>
      </c>
      <c r="AC1058" s="68">
        <f>IF(AND(Z1058=1,U1058="Out"),W1058,0)</f>
        <v/>
      </c>
      <c r="AD1058" s="68">
        <f>IF(AND(Z1058=1,U1058="In"),W1058,0)</f>
        <v/>
      </c>
    </row>
    <row r="1059">
      <c r="B1059" s="62" t="inlineStr">
        <is>
          <t>TX-1053</t>
        </is>
      </c>
      <c r="C1059" s="63" t="n"/>
      <c r="D1059" s="62" t="n"/>
      <c r="E1059" s="62" t="n"/>
      <c r="F1059" s="62" t="n"/>
      <c r="G1059" s="62" t="n"/>
      <c r="H1059" s="62" t="n"/>
      <c r="I1059" s="62" t="n"/>
      <c r="J1059" s="62" t="n"/>
      <c r="K1059" s="62" t="n"/>
      <c r="L1059" s="64" t="n"/>
      <c r="M1059" s="64" t="n"/>
      <c r="N1059" s="62" t="n"/>
      <c r="O1059" s="65">
        <f>IF(Z1059=1,L1059-W1059,"")</f>
        <v/>
      </c>
      <c r="P1059" s="66">
        <f>IF(V1059="","",IFERROR(INDEX(coa_Type,MATCH(V1059,coa_Name,0)),""))</f>
        <v/>
      </c>
      <c r="Q1059" s="66">
        <f>IF(Z1059=1,IF(U1059="In",K1059&amp;"",V1059),"")</f>
        <v/>
      </c>
      <c r="R1059" s="66">
        <f>IF(Z1059=1,IF(U1059="In",V1059,K1059&amp;""),"")</f>
        <v/>
      </c>
      <c r="S1059" s="66">
        <f>IF(X1059&lt;&gt;"","⛔ "&amp;X1059&amp;" — not posted",IF(Y1059&lt;&gt;"","⚠ "&amp;Y1059,IF(Z1059=1,"✓ OK","")))</f>
        <v/>
      </c>
      <c r="T1059" s="67">
        <f>IF(AND(C1059="",D1059="",E1059="",L1059="",K1059=""),1,0)</f>
        <v/>
      </c>
      <c r="U1059" s="67">
        <f>IFERROR(INDEX(tt_Dir,MATCH(D1059,tt_Type,0)),"")</f>
        <v/>
      </c>
      <c r="V1059" s="67">
        <f>IF(D1059="","",IFERROR(IF(INDEX(tt_Other,MATCH(D1059,tt_Type,0))="",E1059&amp;"",INDEX(tt_Other,MATCH(D1059,tt_Type,0))),""))</f>
        <v/>
      </c>
      <c r="W1059" s="68">
        <f>IF(OR(TaxOn&lt;&gt;"Yes",NOT(ISNUMBER(M1059))),0,IF(IFERROR(INDEX(tt_Tax,MATCH(D1059,tt_Type,0)),"No")="Yes",M1059,0))</f>
        <v/>
      </c>
      <c r="X1059" s="67">
        <f>IF(T1059=1,"",IF(C1059="","Missing transaction date",IF(NOT(ISNUMBER(C1059)),"Invalid date",IF(OR(C1059&lt;DATE(2000,1,1),C1059&gt;DATE(2099,12,31)),"Invalid date",IF(D1059="","Select a type",IF(U1059="","Unknown type: "&amp;D1059,IF(V1059="","Select an account (Category)",IF(ISNA(MATCH(V1059,coa_Name,0)),"Unknown account: "&amp;V1059,IF(K1059="","Select Paid From / Deposited To",IF(ISNA(MATCH(K1059,coa_Name,0)),"Unknown account: "&amp;K1059,IF(NOT(ISNUMBER(L1059)),"Enter an amount",IF(L1059=0,"Enter an amount",IF(ABS(W1059)&gt;ABS(L1059),"Tax is larger than the amount","")))))))))))))</f>
        <v/>
      </c>
      <c r="Y1059" s="67">
        <f>IF(OR(T1059=1,X1059&lt;&gt;""),"",IF(AND(B1059&lt;&gt;"",COUNTIF(tx_ID,B1059)&gt;1),"Duplicate transaction ID",IF(AND(L1059&lt;0,D1059&lt;&gt;"Adjustment"),"Negative amount — check this entry",IF(AND(D1059="Customer Payment",G1059=""),"Add the customer",IF(AND(D1059="Customer Payment",OR(J1059="",COUNTIF(ar_No,J1059&amp;"")=0)),"Invoice # in Reference not found on AR sheet",IF(AND(D1059="Bill Payment",H1059=""),"Add the vendor",IF(AND(D1059="Bill Payment",OR(J1059="",COUNTIFS(ap_No,J1059&amp;"",ap_Party,H1059&amp;"")=0)),"Bill # + vendor not found on AP sheet",IF(AND(ISNUMBER(M1059),N(M1059)&lt;&gt;0,W1059=0),"Tax ignored (tax tracking off, or not allowed for this type)",IF(V1059=K1059&amp;"","Same account on both sides",IF(AND(ISNUMBER(StartDate),C1059&lt;StartDate),"Date is before the accounting start date",IF(AND(D1059&lt;&gt;"Adjustment",IFERROR(INDEX(coa_Pay,MATCH(K1059&amp;"",coa_Name,0)),"")&lt;&gt;"Yes"),"Paid From / Deposited To is not a payment account","")))))))))))</f>
        <v/>
      </c>
      <c r="Z1059" s="67">
        <f>IF(AND(T1059=0,X1059=""),1,0)</f>
        <v/>
      </c>
      <c r="AA1059" s="68">
        <f>IF(Z1059=1,IF(U1059="In",L1059,L1059-W1059),0)</f>
        <v/>
      </c>
      <c r="AB1059" s="68">
        <f>IF(Z1059=1,IF(U1059="In",L1059-W1059,L1059),0)</f>
        <v/>
      </c>
      <c r="AC1059" s="68">
        <f>IF(AND(Z1059=1,U1059="Out"),W1059,0)</f>
        <v/>
      </c>
      <c r="AD1059" s="68">
        <f>IF(AND(Z1059=1,U1059="In"),W1059,0)</f>
        <v/>
      </c>
    </row>
    <row r="1060">
      <c r="B1060" s="62" t="inlineStr">
        <is>
          <t>TX-1054</t>
        </is>
      </c>
      <c r="C1060" s="63" t="n"/>
      <c r="D1060" s="62" t="n"/>
      <c r="E1060" s="62" t="n"/>
      <c r="F1060" s="62" t="n"/>
      <c r="G1060" s="62" t="n"/>
      <c r="H1060" s="62" t="n"/>
      <c r="I1060" s="62" t="n"/>
      <c r="J1060" s="62" t="n"/>
      <c r="K1060" s="62" t="n"/>
      <c r="L1060" s="64" t="n"/>
      <c r="M1060" s="64" t="n"/>
      <c r="N1060" s="62" t="n"/>
      <c r="O1060" s="65">
        <f>IF(Z1060=1,L1060-W1060,"")</f>
        <v/>
      </c>
      <c r="P1060" s="66">
        <f>IF(V1060="","",IFERROR(INDEX(coa_Type,MATCH(V1060,coa_Name,0)),""))</f>
        <v/>
      </c>
      <c r="Q1060" s="66">
        <f>IF(Z1060=1,IF(U1060="In",K1060&amp;"",V1060),"")</f>
        <v/>
      </c>
      <c r="R1060" s="66">
        <f>IF(Z1060=1,IF(U1060="In",V1060,K1060&amp;""),"")</f>
        <v/>
      </c>
      <c r="S1060" s="66">
        <f>IF(X1060&lt;&gt;"","⛔ "&amp;X1060&amp;" — not posted",IF(Y1060&lt;&gt;"","⚠ "&amp;Y1060,IF(Z1060=1,"✓ OK","")))</f>
        <v/>
      </c>
      <c r="T1060" s="67">
        <f>IF(AND(C1060="",D1060="",E1060="",L1060="",K1060=""),1,0)</f>
        <v/>
      </c>
      <c r="U1060" s="67">
        <f>IFERROR(INDEX(tt_Dir,MATCH(D1060,tt_Type,0)),"")</f>
        <v/>
      </c>
      <c r="V1060" s="67">
        <f>IF(D1060="","",IFERROR(IF(INDEX(tt_Other,MATCH(D1060,tt_Type,0))="",E1060&amp;"",INDEX(tt_Other,MATCH(D1060,tt_Type,0))),""))</f>
        <v/>
      </c>
      <c r="W1060" s="68">
        <f>IF(OR(TaxOn&lt;&gt;"Yes",NOT(ISNUMBER(M1060))),0,IF(IFERROR(INDEX(tt_Tax,MATCH(D1060,tt_Type,0)),"No")="Yes",M1060,0))</f>
        <v/>
      </c>
      <c r="X1060" s="67">
        <f>IF(T1060=1,"",IF(C1060="","Missing transaction date",IF(NOT(ISNUMBER(C1060)),"Invalid date",IF(OR(C1060&lt;DATE(2000,1,1),C1060&gt;DATE(2099,12,31)),"Invalid date",IF(D1060="","Select a type",IF(U1060="","Unknown type: "&amp;D1060,IF(V1060="","Select an account (Category)",IF(ISNA(MATCH(V1060,coa_Name,0)),"Unknown account: "&amp;V1060,IF(K1060="","Select Paid From / Deposited To",IF(ISNA(MATCH(K1060,coa_Name,0)),"Unknown account: "&amp;K1060,IF(NOT(ISNUMBER(L1060)),"Enter an amount",IF(L1060=0,"Enter an amount",IF(ABS(W1060)&gt;ABS(L1060),"Tax is larger than the amount","")))))))))))))</f>
        <v/>
      </c>
      <c r="Y1060" s="67">
        <f>IF(OR(T1060=1,X1060&lt;&gt;""),"",IF(AND(B1060&lt;&gt;"",COUNTIF(tx_ID,B1060)&gt;1),"Duplicate transaction ID",IF(AND(L1060&lt;0,D1060&lt;&gt;"Adjustment"),"Negative amount — check this entry",IF(AND(D1060="Customer Payment",G1060=""),"Add the customer",IF(AND(D1060="Customer Payment",OR(J1060="",COUNTIF(ar_No,J1060&amp;"")=0)),"Invoice # in Reference not found on AR sheet",IF(AND(D1060="Bill Payment",H1060=""),"Add the vendor",IF(AND(D1060="Bill Payment",OR(J1060="",COUNTIFS(ap_No,J1060&amp;"",ap_Party,H1060&amp;"")=0)),"Bill # + vendor not found on AP sheet",IF(AND(ISNUMBER(M1060),N(M1060)&lt;&gt;0,W1060=0),"Tax ignored (tax tracking off, or not allowed for this type)",IF(V1060=K1060&amp;"","Same account on both sides",IF(AND(ISNUMBER(StartDate),C1060&lt;StartDate),"Date is before the accounting start date",IF(AND(D1060&lt;&gt;"Adjustment",IFERROR(INDEX(coa_Pay,MATCH(K1060&amp;"",coa_Name,0)),"")&lt;&gt;"Yes"),"Paid From / Deposited To is not a payment account","")))))))))))</f>
        <v/>
      </c>
      <c r="Z1060" s="67">
        <f>IF(AND(T1060=0,X1060=""),1,0)</f>
        <v/>
      </c>
      <c r="AA1060" s="68">
        <f>IF(Z1060=1,IF(U1060="In",L1060,L1060-W1060),0)</f>
        <v/>
      </c>
      <c r="AB1060" s="68">
        <f>IF(Z1060=1,IF(U1060="In",L1060-W1060,L1060),0)</f>
        <v/>
      </c>
      <c r="AC1060" s="68">
        <f>IF(AND(Z1060=1,U1060="Out"),W1060,0)</f>
        <v/>
      </c>
      <c r="AD1060" s="68">
        <f>IF(AND(Z1060=1,U1060="In"),W1060,0)</f>
        <v/>
      </c>
    </row>
    <row r="1061">
      <c r="B1061" s="62" t="inlineStr">
        <is>
          <t>TX-1055</t>
        </is>
      </c>
      <c r="C1061" s="63" t="n"/>
      <c r="D1061" s="62" t="n"/>
      <c r="E1061" s="62" t="n"/>
      <c r="F1061" s="62" t="n"/>
      <c r="G1061" s="62" t="n"/>
      <c r="H1061" s="62" t="n"/>
      <c r="I1061" s="62" t="n"/>
      <c r="J1061" s="62" t="n"/>
      <c r="K1061" s="62" t="n"/>
      <c r="L1061" s="64" t="n"/>
      <c r="M1061" s="64" t="n"/>
      <c r="N1061" s="62" t="n"/>
      <c r="O1061" s="65">
        <f>IF(Z1061=1,L1061-W1061,"")</f>
        <v/>
      </c>
      <c r="P1061" s="66">
        <f>IF(V1061="","",IFERROR(INDEX(coa_Type,MATCH(V1061,coa_Name,0)),""))</f>
        <v/>
      </c>
      <c r="Q1061" s="66">
        <f>IF(Z1061=1,IF(U1061="In",K1061&amp;"",V1061),"")</f>
        <v/>
      </c>
      <c r="R1061" s="66">
        <f>IF(Z1061=1,IF(U1061="In",V1061,K1061&amp;""),"")</f>
        <v/>
      </c>
      <c r="S1061" s="66">
        <f>IF(X1061&lt;&gt;"","⛔ "&amp;X1061&amp;" — not posted",IF(Y1061&lt;&gt;"","⚠ "&amp;Y1061,IF(Z1061=1,"✓ OK","")))</f>
        <v/>
      </c>
      <c r="T1061" s="67">
        <f>IF(AND(C1061="",D1061="",E1061="",L1061="",K1061=""),1,0)</f>
        <v/>
      </c>
      <c r="U1061" s="67">
        <f>IFERROR(INDEX(tt_Dir,MATCH(D1061,tt_Type,0)),"")</f>
        <v/>
      </c>
      <c r="V1061" s="67">
        <f>IF(D1061="","",IFERROR(IF(INDEX(tt_Other,MATCH(D1061,tt_Type,0))="",E1061&amp;"",INDEX(tt_Other,MATCH(D1061,tt_Type,0))),""))</f>
        <v/>
      </c>
      <c r="W1061" s="68">
        <f>IF(OR(TaxOn&lt;&gt;"Yes",NOT(ISNUMBER(M1061))),0,IF(IFERROR(INDEX(tt_Tax,MATCH(D1061,tt_Type,0)),"No")="Yes",M1061,0))</f>
        <v/>
      </c>
      <c r="X1061" s="67">
        <f>IF(T1061=1,"",IF(C1061="","Missing transaction date",IF(NOT(ISNUMBER(C1061)),"Invalid date",IF(OR(C1061&lt;DATE(2000,1,1),C1061&gt;DATE(2099,12,31)),"Invalid date",IF(D1061="","Select a type",IF(U1061="","Unknown type: "&amp;D1061,IF(V1061="","Select an account (Category)",IF(ISNA(MATCH(V1061,coa_Name,0)),"Unknown account: "&amp;V1061,IF(K1061="","Select Paid From / Deposited To",IF(ISNA(MATCH(K1061,coa_Name,0)),"Unknown account: "&amp;K1061,IF(NOT(ISNUMBER(L1061)),"Enter an amount",IF(L1061=0,"Enter an amount",IF(ABS(W1061)&gt;ABS(L1061),"Tax is larger than the amount","")))))))))))))</f>
        <v/>
      </c>
      <c r="Y1061" s="67">
        <f>IF(OR(T1061=1,X1061&lt;&gt;""),"",IF(AND(B1061&lt;&gt;"",COUNTIF(tx_ID,B1061)&gt;1),"Duplicate transaction ID",IF(AND(L1061&lt;0,D1061&lt;&gt;"Adjustment"),"Negative amount — check this entry",IF(AND(D1061="Customer Payment",G1061=""),"Add the customer",IF(AND(D1061="Customer Payment",OR(J1061="",COUNTIF(ar_No,J1061&amp;"")=0)),"Invoice # in Reference not found on AR sheet",IF(AND(D1061="Bill Payment",H1061=""),"Add the vendor",IF(AND(D1061="Bill Payment",OR(J1061="",COUNTIFS(ap_No,J1061&amp;"",ap_Party,H1061&amp;"")=0)),"Bill # + vendor not found on AP sheet",IF(AND(ISNUMBER(M1061),N(M1061)&lt;&gt;0,W1061=0),"Tax ignored (tax tracking off, or not allowed for this type)",IF(V1061=K1061&amp;"","Same account on both sides",IF(AND(ISNUMBER(StartDate),C1061&lt;StartDate),"Date is before the accounting start date",IF(AND(D1061&lt;&gt;"Adjustment",IFERROR(INDEX(coa_Pay,MATCH(K1061&amp;"",coa_Name,0)),"")&lt;&gt;"Yes"),"Paid From / Deposited To is not a payment account","")))))))))))</f>
        <v/>
      </c>
      <c r="Z1061" s="67">
        <f>IF(AND(T1061=0,X1061=""),1,0)</f>
        <v/>
      </c>
      <c r="AA1061" s="68">
        <f>IF(Z1061=1,IF(U1061="In",L1061,L1061-W1061),0)</f>
        <v/>
      </c>
      <c r="AB1061" s="68">
        <f>IF(Z1061=1,IF(U1061="In",L1061-W1061,L1061),0)</f>
        <v/>
      </c>
      <c r="AC1061" s="68">
        <f>IF(AND(Z1061=1,U1061="Out"),W1061,0)</f>
        <v/>
      </c>
      <c r="AD1061" s="68">
        <f>IF(AND(Z1061=1,U1061="In"),W1061,0)</f>
        <v/>
      </c>
    </row>
    <row r="1062">
      <c r="B1062" s="62" t="inlineStr">
        <is>
          <t>TX-1056</t>
        </is>
      </c>
      <c r="C1062" s="63" t="n"/>
      <c r="D1062" s="62" t="n"/>
      <c r="E1062" s="62" t="n"/>
      <c r="F1062" s="62" t="n"/>
      <c r="G1062" s="62" t="n"/>
      <c r="H1062" s="62" t="n"/>
      <c r="I1062" s="62" t="n"/>
      <c r="J1062" s="62" t="n"/>
      <c r="K1062" s="62" t="n"/>
      <c r="L1062" s="64" t="n"/>
      <c r="M1062" s="64" t="n"/>
      <c r="N1062" s="62" t="n"/>
      <c r="O1062" s="65">
        <f>IF(Z1062=1,L1062-W1062,"")</f>
        <v/>
      </c>
      <c r="P1062" s="66">
        <f>IF(V1062="","",IFERROR(INDEX(coa_Type,MATCH(V1062,coa_Name,0)),""))</f>
        <v/>
      </c>
      <c r="Q1062" s="66">
        <f>IF(Z1062=1,IF(U1062="In",K1062&amp;"",V1062),"")</f>
        <v/>
      </c>
      <c r="R1062" s="66">
        <f>IF(Z1062=1,IF(U1062="In",V1062,K1062&amp;""),"")</f>
        <v/>
      </c>
      <c r="S1062" s="66">
        <f>IF(X1062&lt;&gt;"","⛔ "&amp;X1062&amp;" — not posted",IF(Y1062&lt;&gt;"","⚠ "&amp;Y1062,IF(Z1062=1,"✓ OK","")))</f>
        <v/>
      </c>
      <c r="T1062" s="67">
        <f>IF(AND(C1062="",D1062="",E1062="",L1062="",K1062=""),1,0)</f>
        <v/>
      </c>
      <c r="U1062" s="67">
        <f>IFERROR(INDEX(tt_Dir,MATCH(D1062,tt_Type,0)),"")</f>
        <v/>
      </c>
      <c r="V1062" s="67">
        <f>IF(D1062="","",IFERROR(IF(INDEX(tt_Other,MATCH(D1062,tt_Type,0))="",E1062&amp;"",INDEX(tt_Other,MATCH(D1062,tt_Type,0))),""))</f>
        <v/>
      </c>
      <c r="W1062" s="68">
        <f>IF(OR(TaxOn&lt;&gt;"Yes",NOT(ISNUMBER(M1062))),0,IF(IFERROR(INDEX(tt_Tax,MATCH(D1062,tt_Type,0)),"No")="Yes",M1062,0))</f>
        <v/>
      </c>
      <c r="X1062" s="67">
        <f>IF(T1062=1,"",IF(C1062="","Missing transaction date",IF(NOT(ISNUMBER(C1062)),"Invalid date",IF(OR(C1062&lt;DATE(2000,1,1),C1062&gt;DATE(2099,12,31)),"Invalid date",IF(D1062="","Select a type",IF(U1062="","Unknown type: "&amp;D1062,IF(V1062="","Select an account (Category)",IF(ISNA(MATCH(V1062,coa_Name,0)),"Unknown account: "&amp;V1062,IF(K1062="","Select Paid From / Deposited To",IF(ISNA(MATCH(K1062,coa_Name,0)),"Unknown account: "&amp;K1062,IF(NOT(ISNUMBER(L1062)),"Enter an amount",IF(L1062=0,"Enter an amount",IF(ABS(W1062)&gt;ABS(L1062),"Tax is larger than the amount","")))))))))))))</f>
        <v/>
      </c>
      <c r="Y1062" s="67">
        <f>IF(OR(T1062=1,X1062&lt;&gt;""),"",IF(AND(B1062&lt;&gt;"",COUNTIF(tx_ID,B1062)&gt;1),"Duplicate transaction ID",IF(AND(L1062&lt;0,D1062&lt;&gt;"Adjustment"),"Negative amount — check this entry",IF(AND(D1062="Customer Payment",G1062=""),"Add the customer",IF(AND(D1062="Customer Payment",OR(J1062="",COUNTIF(ar_No,J1062&amp;"")=0)),"Invoice # in Reference not found on AR sheet",IF(AND(D1062="Bill Payment",H1062=""),"Add the vendor",IF(AND(D1062="Bill Payment",OR(J1062="",COUNTIFS(ap_No,J1062&amp;"",ap_Party,H1062&amp;"")=0)),"Bill # + vendor not found on AP sheet",IF(AND(ISNUMBER(M1062),N(M1062)&lt;&gt;0,W1062=0),"Tax ignored (tax tracking off, or not allowed for this type)",IF(V1062=K1062&amp;"","Same account on both sides",IF(AND(ISNUMBER(StartDate),C1062&lt;StartDate),"Date is before the accounting start date",IF(AND(D1062&lt;&gt;"Adjustment",IFERROR(INDEX(coa_Pay,MATCH(K1062&amp;"",coa_Name,0)),"")&lt;&gt;"Yes"),"Paid From / Deposited To is not a payment account","")))))))))))</f>
        <v/>
      </c>
      <c r="Z1062" s="67">
        <f>IF(AND(T1062=0,X1062=""),1,0)</f>
        <v/>
      </c>
      <c r="AA1062" s="68">
        <f>IF(Z1062=1,IF(U1062="In",L1062,L1062-W1062),0)</f>
        <v/>
      </c>
      <c r="AB1062" s="68">
        <f>IF(Z1062=1,IF(U1062="In",L1062-W1062,L1062),0)</f>
        <v/>
      </c>
      <c r="AC1062" s="68">
        <f>IF(AND(Z1062=1,U1062="Out"),W1062,0)</f>
        <v/>
      </c>
      <c r="AD1062" s="68">
        <f>IF(AND(Z1062=1,U1062="In"),W1062,0)</f>
        <v/>
      </c>
    </row>
    <row r="1063">
      <c r="B1063" s="62" t="inlineStr">
        <is>
          <t>TX-1057</t>
        </is>
      </c>
      <c r="C1063" s="63" t="n"/>
      <c r="D1063" s="62" t="n"/>
      <c r="E1063" s="62" t="n"/>
      <c r="F1063" s="62" t="n"/>
      <c r="G1063" s="62" t="n"/>
      <c r="H1063" s="62" t="n"/>
      <c r="I1063" s="62" t="n"/>
      <c r="J1063" s="62" t="n"/>
      <c r="K1063" s="62" t="n"/>
      <c r="L1063" s="64" t="n"/>
      <c r="M1063" s="64" t="n"/>
      <c r="N1063" s="62" t="n"/>
      <c r="O1063" s="65">
        <f>IF(Z1063=1,L1063-W1063,"")</f>
        <v/>
      </c>
      <c r="P1063" s="66">
        <f>IF(V1063="","",IFERROR(INDEX(coa_Type,MATCH(V1063,coa_Name,0)),""))</f>
        <v/>
      </c>
      <c r="Q1063" s="66">
        <f>IF(Z1063=1,IF(U1063="In",K1063&amp;"",V1063),"")</f>
        <v/>
      </c>
      <c r="R1063" s="66">
        <f>IF(Z1063=1,IF(U1063="In",V1063,K1063&amp;""),"")</f>
        <v/>
      </c>
      <c r="S1063" s="66">
        <f>IF(X1063&lt;&gt;"","⛔ "&amp;X1063&amp;" — not posted",IF(Y1063&lt;&gt;"","⚠ "&amp;Y1063,IF(Z1063=1,"✓ OK","")))</f>
        <v/>
      </c>
      <c r="T1063" s="67">
        <f>IF(AND(C1063="",D1063="",E1063="",L1063="",K1063=""),1,0)</f>
        <v/>
      </c>
      <c r="U1063" s="67">
        <f>IFERROR(INDEX(tt_Dir,MATCH(D1063,tt_Type,0)),"")</f>
        <v/>
      </c>
      <c r="V1063" s="67">
        <f>IF(D1063="","",IFERROR(IF(INDEX(tt_Other,MATCH(D1063,tt_Type,0))="",E1063&amp;"",INDEX(tt_Other,MATCH(D1063,tt_Type,0))),""))</f>
        <v/>
      </c>
      <c r="W1063" s="68">
        <f>IF(OR(TaxOn&lt;&gt;"Yes",NOT(ISNUMBER(M1063))),0,IF(IFERROR(INDEX(tt_Tax,MATCH(D1063,tt_Type,0)),"No")="Yes",M1063,0))</f>
        <v/>
      </c>
      <c r="X1063" s="67">
        <f>IF(T1063=1,"",IF(C1063="","Missing transaction date",IF(NOT(ISNUMBER(C1063)),"Invalid date",IF(OR(C1063&lt;DATE(2000,1,1),C1063&gt;DATE(2099,12,31)),"Invalid date",IF(D1063="","Select a type",IF(U1063="","Unknown type: "&amp;D1063,IF(V1063="","Select an account (Category)",IF(ISNA(MATCH(V1063,coa_Name,0)),"Unknown account: "&amp;V1063,IF(K1063="","Select Paid From / Deposited To",IF(ISNA(MATCH(K1063,coa_Name,0)),"Unknown account: "&amp;K1063,IF(NOT(ISNUMBER(L1063)),"Enter an amount",IF(L1063=0,"Enter an amount",IF(ABS(W1063)&gt;ABS(L1063),"Tax is larger than the amount","")))))))))))))</f>
        <v/>
      </c>
      <c r="Y1063" s="67">
        <f>IF(OR(T1063=1,X1063&lt;&gt;""),"",IF(AND(B1063&lt;&gt;"",COUNTIF(tx_ID,B1063)&gt;1),"Duplicate transaction ID",IF(AND(L1063&lt;0,D1063&lt;&gt;"Adjustment"),"Negative amount — check this entry",IF(AND(D1063="Customer Payment",G1063=""),"Add the customer",IF(AND(D1063="Customer Payment",OR(J1063="",COUNTIF(ar_No,J1063&amp;"")=0)),"Invoice # in Reference not found on AR sheet",IF(AND(D1063="Bill Payment",H1063=""),"Add the vendor",IF(AND(D1063="Bill Payment",OR(J1063="",COUNTIFS(ap_No,J1063&amp;"",ap_Party,H1063&amp;"")=0)),"Bill # + vendor not found on AP sheet",IF(AND(ISNUMBER(M1063),N(M1063)&lt;&gt;0,W1063=0),"Tax ignored (tax tracking off, or not allowed for this type)",IF(V1063=K1063&amp;"","Same account on both sides",IF(AND(ISNUMBER(StartDate),C1063&lt;StartDate),"Date is before the accounting start date",IF(AND(D1063&lt;&gt;"Adjustment",IFERROR(INDEX(coa_Pay,MATCH(K1063&amp;"",coa_Name,0)),"")&lt;&gt;"Yes"),"Paid From / Deposited To is not a payment account","")))))))))))</f>
        <v/>
      </c>
      <c r="Z1063" s="67">
        <f>IF(AND(T1063=0,X1063=""),1,0)</f>
        <v/>
      </c>
      <c r="AA1063" s="68">
        <f>IF(Z1063=1,IF(U1063="In",L1063,L1063-W1063),0)</f>
        <v/>
      </c>
      <c r="AB1063" s="68">
        <f>IF(Z1063=1,IF(U1063="In",L1063-W1063,L1063),0)</f>
        <v/>
      </c>
      <c r="AC1063" s="68">
        <f>IF(AND(Z1063=1,U1063="Out"),W1063,0)</f>
        <v/>
      </c>
      <c r="AD1063" s="68">
        <f>IF(AND(Z1063=1,U1063="In"),W1063,0)</f>
        <v/>
      </c>
    </row>
    <row r="1064">
      <c r="B1064" s="62" t="inlineStr">
        <is>
          <t>TX-1058</t>
        </is>
      </c>
      <c r="C1064" s="63" t="n"/>
      <c r="D1064" s="62" t="n"/>
      <c r="E1064" s="62" t="n"/>
      <c r="F1064" s="62" t="n"/>
      <c r="G1064" s="62" t="n"/>
      <c r="H1064" s="62" t="n"/>
      <c r="I1064" s="62" t="n"/>
      <c r="J1064" s="62" t="n"/>
      <c r="K1064" s="62" t="n"/>
      <c r="L1064" s="64" t="n"/>
      <c r="M1064" s="64" t="n"/>
      <c r="N1064" s="62" t="n"/>
      <c r="O1064" s="65">
        <f>IF(Z1064=1,L1064-W1064,"")</f>
        <v/>
      </c>
      <c r="P1064" s="66">
        <f>IF(V1064="","",IFERROR(INDEX(coa_Type,MATCH(V1064,coa_Name,0)),""))</f>
        <v/>
      </c>
      <c r="Q1064" s="66">
        <f>IF(Z1064=1,IF(U1064="In",K1064&amp;"",V1064),"")</f>
        <v/>
      </c>
      <c r="R1064" s="66">
        <f>IF(Z1064=1,IF(U1064="In",V1064,K1064&amp;""),"")</f>
        <v/>
      </c>
      <c r="S1064" s="66">
        <f>IF(X1064&lt;&gt;"","⛔ "&amp;X1064&amp;" — not posted",IF(Y1064&lt;&gt;"","⚠ "&amp;Y1064,IF(Z1064=1,"✓ OK","")))</f>
        <v/>
      </c>
      <c r="T1064" s="67">
        <f>IF(AND(C1064="",D1064="",E1064="",L1064="",K1064=""),1,0)</f>
        <v/>
      </c>
      <c r="U1064" s="67">
        <f>IFERROR(INDEX(tt_Dir,MATCH(D1064,tt_Type,0)),"")</f>
        <v/>
      </c>
      <c r="V1064" s="67">
        <f>IF(D1064="","",IFERROR(IF(INDEX(tt_Other,MATCH(D1064,tt_Type,0))="",E1064&amp;"",INDEX(tt_Other,MATCH(D1064,tt_Type,0))),""))</f>
        <v/>
      </c>
      <c r="W1064" s="68">
        <f>IF(OR(TaxOn&lt;&gt;"Yes",NOT(ISNUMBER(M1064))),0,IF(IFERROR(INDEX(tt_Tax,MATCH(D1064,tt_Type,0)),"No")="Yes",M1064,0))</f>
        <v/>
      </c>
      <c r="X1064" s="67">
        <f>IF(T1064=1,"",IF(C1064="","Missing transaction date",IF(NOT(ISNUMBER(C1064)),"Invalid date",IF(OR(C1064&lt;DATE(2000,1,1),C1064&gt;DATE(2099,12,31)),"Invalid date",IF(D1064="","Select a type",IF(U1064="","Unknown type: "&amp;D1064,IF(V1064="","Select an account (Category)",IF(ISNA(MATCH(V1064,coa_Name,0)),"Unknown account: "&amp;V1064,IF(K1064="","Select Paid From / Deposited To",IF(ISNA(MATCH(K1064,coa_Name,0)),"Unknown account: "&amp;K1064,IF(NOT(ISNUMBER(L1064)),"Enter an amount",IF(L1064=0,"Enter an amount",IF(ABS(W1064)&gt;ABS(L1064),"Tax is larger than the amount","")))))))))))))</f>
        <v/>
      </c>
      <c r="Y1064" s="67">
        <f>IF(OR(T1064=1,X1064&lt;&gt;""),"",IF(AND(B1064&lt;&gt;"",COUNTIF(tx_ID,B1064)&gt;1),"Duplicate transaction ID",IF(AND(L1064&lt;0,D1064&lt;&gt;"Adjustment"),"Negative amount — check this entry",IF(AND(D1064="Customer Payment",G1064=""),"Add the customer",IF(AND(D1064="Customer Payment",OR(J1064="",COUNTIF(ar_No,J1064&amp;"")=0)),"Invoice # in Reference not found on AR sheet",IF(AND(D1064="Bill Payment",H1064=""),"Add the vendor",IF(AND(D1064="Bill Payment",OR(J1064="",COUNTIFS(ap_No,J1064&amp;"",ap_Party,H1064&amp;"")=0)),"Bill # + vendor not found on AP sheet",IF(AND(ISNUMBER(M1064),N(M1064)&lt;&gt;0,W1064=0),"Tax ignored (tax tracking off, or not allowed for this type)",IF(V1064=K1064&amp;"","Same account on both sides",IF(AND(ISNUMBER(StartDate),C1064&lt;StartDate),"Date is before the accounting start date",IF(AND(D1064&lt;&gt;"Adjustment",IFERROR(INDEX(coa_Pay,MATCH(K1064&amp;"",coa_Name,0)),"")&lt;&gt;"Yes"),"Paid From / Deposited To is not a payment account","")))))))))))</f>
        <v/>
      </c>
      <c r="Z1064" s="67">
        <f>IF(AND(T1064=0,X1064=""),1,0)</f>
        <v/>
      </c>
      <c r="AA1064" s="68">
        <f>IF(Z1064=1,IF(U1064="In",L1064,L1064-W1064),0)</f>
        <v/>
      </c>
      <c r="AB1064" s="68">
        <f>IF(Z1064=1,IF(U1064="In",L1064-W1064,L1064),0)</f>
        <v/>
      </c>
      <c r="AC1064" s="68">
        <f>IF(AND(Z1064=1,U1064="Out"),W1064,0)</f>
        <v/>
      </c>
      <c r="AD1064" s="68">
        <f>IF(AND(Z1064=1,U1064="In"),W1064,0)</f>
        <v/>
      </c>
    </row>
    <row r="1065">
      <c r="B1065" s="62" t="inlineStr">
        <is>
          <t>TX-1059</t>
        </is>
      </c>
      <c r="C1065" s="63" t="n"/>
      <c r="D1065" s="62" t="n"/>
      <c r="E1065" s="62" t="n"/>
      <c r="F1065" s="62" t="n"/>
      <c r="G1065" s="62" t="n"/>
      <c r="H1065" s="62" t="n"/>
      <c r="I1065" s="62" t="n"/>
      <c r="J1065" s="62" t="n"/>
      <c r="K1065" s="62" t="n"/>
      <c r="L1065" s="64" t="n"/>
      <c r="M1065" s="64" t="n"/>
      <c r="N1065" s="62" t="n"/>
      <c r="O1065" s="65">
        <f>IF(Z1065=1,L1065-W1065,"")</f>
        <v/>
      </c>
      <c r="P1065" s="66">
        <f>IF(V1065="","",IFERROR(INDEX(coa_Type,MATCH(V1065,coa_Name,0)),""))</f>
        <v/>
      </c>
      <c r="Q1065" s="66">
        <f>IF(Z1065=1,IF(U1065="In",K1065&amp;"",V1065),"")</f>
        <v/>
      </c>
      <c r="R1065" s="66">
        <f>IF(Z1065=1,IF(U1065="In",V1065,K1065&amp;""),"")</f>
        <v/>
      </c>
      <c r="S1065" s="66">
        <f>IF(X1065&lt;&gt;"","⛔ "&amp;X1065&amp;" — not posted",IF(Y1065&lt;&gt;"","⚠ "&amp;Y1065,IF(Z1065=1,"✓ OK","")))</f>
        <v/>
      </c>
      <c r="T1065" s="67">
        <f>IF(AND(C1065="",D1065="",E1065="",L1065="",K1065=""),1,0)</f>
        <v/>
      </c>
      <c r="U1065" s="67">
        <f>IFERROR(INDEX(tt_Dir,MATCH(D1065,tt_Type,0)),"")</f>
        <v/>
      </c>
      <c r="V1065" s="67">
        <f>IF(D1065="","",IFERROR(IF(INDEX(tt_Other,MATCH(D1065,tt_Type,0))="",E1065&amp;"",INDEX(tt_Other,MATCH(D1065,tt_Type,0))),""))</f>
        <v/>
      </c>
      <c r="W1065" s="68">
        <f>IF(OR(TaxOn&lt;&gt;"Yes",NOT(ISNUMBER(M1065))),0,IF(IFERROR(INDEX(tt_Tax,MATCH(D1065,tt_Type,0)),"No")="Yes",M1065,0))</f>
        <v/>
      </c>
      <c r="X1065" s="67">
        <f>IF(T1065=1,"",IF(C1065="","Missing transaction date",IF(NOT(ISNUMBER(C1065)),"Invalid date",IF(OR(C1065&lt;DATE(2000,1,1),C1065&gt;DATE(2099,12,31)),"Invalid date",IF(D1065="","Select a type",IF(U1065="","Unknown type: "&amp;D1065,IF(V1065="","Select an account (Category)",IF(ISNA(MATCH(V1065,coa_Name,0)),"Unknown account: "&amp;V1065,IF(K1065="","Select Paid From / Deposited To",IF(ISNA(MATCH(K1065,coa_Name,0)),"Unknown account: "&amp;K1065,IF(NOT(ISNUMBER(L1065)),"Enter an amount",IF(L1065=0,"Enter an amount",IF(ABS(W1065)&gt;ABS(L1065),"Tax is larger than the amount","")))))))))))))</f>
        <v/>
      </c>
      <c r="Y1065" s="67">
        <f>IF(OR(T1065=1,X1065&lt;&gt;""),"",IF(AND(B1065&lt;&gt;"",COUNTIF(tx_ID,B1065)&gt;1),"Duplicate transaction ID",IF(AND(L1065&lt;0,D1065&lt;&gt;"Adjustment"),"Negative amount — check this entry",IF(AND(D1065="Customer Payment",G1065=""),"Add the customer",IF(AND(D1065="Customer Payment",OR(J1065="",COUNTIF(ar_No,J1065&amp;"")=0)),"Invoice # in Reference not found on AR sheet",IF(AND(D1065="Bill Payment",H1065=""),"Add the vendor",IF(AND(D1065="Bill Payment",OR(J1065="",COUNTIFS(ap_No,J1065&amp;"",ap_Party,H1065&amp;"")=0)),"Bill # + vendor not found on AP sheet",IF(AND(ISNUMBER(M1065),N(M1065)&lt;&gt;0,W1065=0),"Tax ignored (tax tracking off, or not allowed for this type)",IF(V1065=K1065&amp;"","Same account on both sides",IF(AND(ISNUMBER(StartDate),C1065&lt;StartDate),"Date is before the accounting start date",IF(AND(D1065&lt;&gt;"Adjustment",IFERROR(INDEX(coa_Pay,MATCH(K1065&amp;"",coa_Name,0)),"")&lt;&gt;"Yes"),"Paid From / Deposited To is not a payment account","")))))))))))</f>
        <v/>
      </c>
      <c r="Z1065" s="67">
        <f>IF(AND(T1065=0,X1065=""),1,0)</f>
        <v/>
      </c>
      <c r="AA1065" s="68">
        <f>IF(Z1065=1,IF(U1065="In",L1065,L1065-W1065),0)</f>
        <v/>
      </c>
      <c r="AB1065" s="68">
        <f>IF(Z1065=1,IF(U1065="In",L1065-W1065,L1065),0)</f>
        <v/>
      </c>
      <c r="AC1065" s="68">
        <f>IF(AND(Z1065=1,U1065="Out"),W1065,0)</f>
        <v/>
      </c>
      <c r="AD1065" s="68">
        <f>IF(AND(Z1065=1,U1065="In"),W1065,0)</f>
        <v/>
      </c>
    </row>
    <row r="1066">
      <c r="B1066" s="62" t="inlineStr">
        <is>
          <t>TX-1060</t>
        </is>
      </c>
      <c r="C1066" s="63" t="n"/>
      <c r="D1066" s="62" t="n"/>
      <c r="E1066" s="62" t="n"/>
      <c r="F1066" s="62" t="n"/>
      <c r="G1066" s="62" t="n"/>
      <c r="H1066" s="62" t="n"/>
      <c r="I1066" s="62" t="n"/>
      <c r="J1066" s="62" t="n"/>
      <c r="K1066" s="62" t="n"/>
      <c r="L1066" s="64" t="n"/>
      <c r="M1066" s="64" t="n"/>
      <c r="N1066" s="62" t="n"/>
      <c r="O1066" s="65">
        <f>IF(Z1066=1,L1066-W1066,"")</f>
        <v/>
      </c>
      <c r="P1066" s="66">
        <f>IF(V1066="","",IFERROR(INDEX(coa_Type,MATCH(V1066,coa_Name,0)),""))</f>
        <v/>
      </c>
      <c r="Q1066" s="66">
        <f>IF(Z1066=1,IF(U1066="In",K1066&amp;"",V1066),"")</f>
        <v/>
      </c>
      <c r="R1066" s="66">
        <f>IF(Z1066=1,IF(U1066="In",V1066,K1066&amp;""),"")</f>
        <v/>
      </c>
      <c r="S1066" s="66">
        <f>IF(X1066&lt;&gt;"","⛔ "&amp;X1066&amp;" — not posted",IF(Y1066&lt;&gt;"","⚠ "&amp;Y1066,IF(Z1066=1,"✓ OK","")))</f>
        <v/>
      </c>
      <c r="T1066" s="67">
        <f>IF(AND(C1066="",D1066="",E1066="",L1066="",K1066=""),1,0)</f>
        <v/>
      </c>
      <c r="U1066" s="67">
        <f>IFERROR(INDEX(tt_Dir,MATCH(D1066,tt_Type,0)),"")</f>
        <v/>
      </c>
      <c r="V1066" s="67">
        <f>IF(D1066="","",IFERROR(IF(INDEX(tt_Other,MATCH(D1066,tt_Type,0))="",E1066&amp;"",INDEX(tt_Other,MATCH(D1066,tt_Type,0))),""))</f>
        <v/>
      </c>
      <c r="W1066" s="68">
        <f>IF(OR(TaxOn&lt;&gt;"Yes",NOT(ISNUMBER(M1066))),0,IF(IFERROR(INDEX(tt_Tax,MATCH(D1066,tt_Type,0)),"No")="Yes",M1066,0))</f>
        <v/>
      </c>
      <c r="X1066" s="67">
        <f>IF(T1066=1,"",IF(C1066="","Missing transaction date",IF(NOT(ISNUMBER(C1066)),"Invalid date",IF(OR(C1066&lt;DATE(2000,1,1),C1066&gt;DATE(2099,12,31)),"Invalid date",IF(D1066="","Select a type",IF(U1066="","Unknown type: "&amp;D1066,IF(V1066="","Select an account (Category)",IF(ISNA(MATCH(V1066,coa_Name,0)),"Unknown account: "&amp;V1066,IF(K1066="","Select Paid From / Deposited To",IF(ISNA(MATCH(K1066,coa_Name,0)),"Unknown account: "&amp;K1066,IF(NOT(ISNUMBER(L1066)),"Enter an amount",IF(L1066=0,"Enter an amount",IF(ABS(W1066)&gt;ABS(L1066),"Tax is larger than the amount","")))))))))))))</f>
        <v/>
      </c>
      <c r="Y1066" s="67">
        <f>IF(OR(T1066=1,X1066&lt;&gt;""),"",IF(AND(B1066&lt;&gt;"",COUNTIF(tx_ID,B1066)&gt;1),"Duplicate transaction ID",IF(AND(L1066&lt;0,D1066&lt;&gt;"Adjustment"),"Negative amount — check this entry",IF(AND(D1066="Customer Payment",G1066=""),"Add the customer",IF(AND(D1066="Customer Payment",OR(J1066="",COUNTIF(ar_No,J1066&amp;"")=0)),"Invoice # in Reference not found on AR sheet",IF(AND(D1066="Bill Payment",H1066=""),"Add the vendor",IF(AND(D1066="Bill Payment",OR(J1066="",COUNTIFS(ap_No,J1066&amp;"",ap_Party,H1066&amp;"")=0)),"Bill # + vendor not found on AP sheet",IF(AND(ISNUMBER(M1066),N(M1066)&lt;&gt;0,W1066=0),"Tax ignored (tax tracking off, or not allowed for this type)",IF(V1066=K1066&amp;"","Same account on both sides",IF(AND(ISNUMBER(StartDate),C1066&lt;StartDate),"Date is before the accounting start date",IF(AND(D1066&lt;&gt;"Adjustment",IFERROR(INDEX(coa_Pay,MATCH(K1066&amp;"",coa_Name,0)),"")&lt;&gt;"Yes"),"Paid From / Deposited To is not a payment account","")))))))))))</f>
        <v/>
      </c>
      <c r="Z1066" s="67">
        <f>IF(AND(T1066=0,X1066=""),1,0)</f>
        <v/>
      </c>
      <c r="AA1066" s="68">
        <f>IF(Z1066=1,IF(U1066="In",L1066,L1066-W1066),0)</f>
        <v/>
      </c>
      <c r="AB1066" s="68">
        <f>IF(Z1066=1,IF(U1066="In",L1066-W1066,L1066),0)</f>
        <v/>
      </c>
      <c r="AC1066" s="68">
        <f>IF(AND(Z1066=1,U1066="Out"),W1066,0)</f>
        <v/>
      </c>
      <c r="AD1066" s="68">
        <f>IF(AND(Z1066=1,U1066="In"),W1066,0)</f>
        <v/>
      </c>
    </row>
    <row r="1067">
      <c r="B1067" s="62" t="inlineStr">
        <is>
          <t>TX-1061</t>
        </is>
      </c>
      <c r="C1067" s="63" t="n"/>
      <c r="D1067" s="62" t="n"/>
      <c r="E1067" s="62" t="n"/>
      <c r="F1067" s="62" t="n"/>
      <c r="G1067" s="62" t="n"/>
      <c r="H1067" s="62" t="n"/>
      <c r="I1067" s="62" t="n"/>
      <c r="J1067" s="62" t="n"/>
      <c r="K1067" s="62" t="n"/>
      <c r="L1067" s="64" t="n"/>
      <c r="M1067" s="64" t="n"/>
      <c r="N1067" s="62" t="n"/>
      <c r="O1067" s="65">
        <f>IF(Z1067=1,L1067-W1067,"")</f>
        <v/>
      </c>
      <c r="P1067" s="66">
        <f>IF(V1067="","",IFERROR(INDEX(coa_Type,MATCH(V1067,coa_Name,0)),""))</f>
        <v/>
      </c>
      <c r="Q1067" s="66">
        <f>IF(Z1067=1,IF(U1067="In",K1067&amp;"",V1067),"")</f>
        <v/>
      </c>
      <c r="R1067" s="66">
        <f>IF(Z1067=1,IF(U1067="In",V1067,K1067&amp;""),"")</f>
        <v/>
      </c>
      <c r="S1067" s="66">
        <f>IF(X1067&lt;&gt;"","⛔ "&amp;X1067&amp;" — not posted",IF(Y1067&lt;&gt;"","⚠ "&amp;Y1067,IF(Z1067=1,"✓ OK","")))</f>
        <v/>
      </c>
      <c r="T1067" s="67">
        <f>IF(AND(C1067="",D1067="",E1067="",L1067="",K1067=""),1,0)</f>
        <v/>
      </c>
      <c r="U1067" s="67">
        <f>IFERROR(INDEX(tt_Dir,MATCH(D1067,tt_Type,0)),"")</f>
        <v/>
      </c>
      <c r="V1067" s="67">
        <f>IF(D1067="","",IFERROR(IF(INDEX(tt_Other,MATCH(D1067,tt_Type,0))="",E1067&amp;"",INDEX(tt_Other,MATCH(D1067,tt_Type,0))),""))</f>
        <v/>
      </c>
      <c r="W1067" s="68">
        <f>IF(OR(TaxOn&lt;&gt;"Yes",NOT(ISNUMBER(M1067))),0,IF(IFERROR(INDEX(tt_Tax,MATCH(D1067,tt_Type,0)),"No")="Yes",M1067,0))</f>
        <v/>
      </c>
      <c r="X1067" s="67">
        <f>IF(T1067=1,"",IF(C1067="","Missing transaction date",IF(NOT(ISNUMBER(C1067)),"Invalid date",IF(OR(C1067&lt;DATE(2000,1,1),C1067&gt;DATE(2099,12,31)),"Invalid date",IF(D1067="","Select a type",IF(U1067="","Unknown type: "&amp;D1067,IF(V1067="","Select an account (Category)",IF(ISNA(MATCH(V1067,coa_Name,0)),"Unknown account: "&amp;V1067,IF(K1067="","Select Paid From / Deposited To",IF(ISNA(MATCH(K1067,coa_Name,0)),"Unknown account: "&amp;K1067,IF(NOT(ISNUMBER(L1067)),"Enter an amount",IF(L1067=0,"Enter an amount",IF(ABS(W1067)&gt;ABS(L1067),"Tax is larger than the amount","")))))))))))))</f>
        <v/>
      </c>
      <c r="Y1067" s="67">
        <f>IF(OR(T1067=1,X1067&lt;&gt;""),"",IF(AND(B1067&lt;&gt;"",COUNTIF(tx_ID,B1067)&gt;1),"Duplicate transaction ID",IF(AND(L1067&lt;0,D1067&lt;&gt;"Adjustment"),"Negative amount — check this entry",IF(AND(D1067="Customer Payment",G1067=""),"Add the customer",IF(AND(D1067="Customer Payment",OR(J1067="",COUNTIF(ar_No,J1067&amp;"")=0)),"Invoice # in Reference not found on AR sheet",IF(AND(D1067="Bill Payment",H1067=""),"Add the vendor",IF(AND(D1067="Bill Payment",OR(J1067="",COUNTIFS(ap_No,J1067&amp;"",ap_Party,H1067&amp;"")=0)),"Bill # + vendor not found on AP sheet",IF(AND(ISNUMBER(M1067),N(M1067)&lt;&gt;0,W1067=0),"Tax ignored (tax tracking off, or not allowed for this type)",IF(V1067=K1067&amp;"","Same account on both sides",IF(AND(ISNUMBER(StartDate),C1067&lt;StartDate),"Date is before the accounting start date",IF(AND(D1067&lt;&gt;"Adjustment",IFERROR(INDEX(coa_Pay,MATCH(K1067&amp;"",coa_Name,0)),"")&lt;&gt;"Yes"),"Paid From / Deposited To is not a payment account","")))))))))))</f>
        <v/>
      </c>
      <c r="Z1067" s="67">
        <f>IF(AND(T1067=0,X1067=""),1,0)</f>
        <v/>
      </c>
      <c r="AA1067" s="68">
        <f>IF(Z1067=1,IF(U1067="In",L1067,L1067-W1067),0)</f>
        <v/>
      </c>
      <c r="AB1067" s="68">
        <f>IF(Z1067=1,IF(U1067="In",L1067-W1067,L1067),0)</f>
        <v/>
      </c>
      <c r="AC1067" s="68">
        <f>IF(AND(Z1067=1,U1067="Out"),W1067,0)</f>
        <v/>
      </c>
      <c r="AD1067" s="68">
        <f>IF(AND(Z1067=1,U1067="In"),W1067,0)</f>
        <v/>
      </c>
    </row>
    <row r="1068">
      <c r="B1068" s="62" t="inlineStr">
        <is>
          <t>TX-1062</t>
        </is>
      </c>
      <c r="C1068" s="63" t="n"/>
      <c r="D1068" s="62" t="n"/>
      <c r="E1068" s="62" t="n"/>
      <c r="F1068" s="62" t="n"/>
      <c r="G1068" s="62" t="n"/>
      <c r="H1068" s="62" t="n"/>
      <c r="I1068" s="62" t="n"/>
      <c r="J1068" s="62" t="n"/>
      <c r="K1068" s="62" t="n"/>
      <c r="L1068" s="64" t="n"/>
      <c r="M1068" s="64" t="n"/>
      <c r="N1068" s="62" t="n"/>
      <c r="O1068" s="65">
        <f>IF(Z1068=1,L1068-W1068,"")</f>
        <v/>
      </c>
      <c r="P1068" s="66">
        <f>IF(V1068="","",IFERROR(INDEX(coa_Type,MATCH(V1068,coa_Name,0)),""))</f>
        <v/>
      </c>
      <c r="Q1068" s="66">
        <f>IF(Z1068=1,IF(U1068="In",K1068&amp;"",V1068),"")</f>
        <v/>
      </c>
      <c r="R1068" s="66">
        <f>IF(Z1068=1,IF(U1068="In",V1068,K1068&amp;""),"")</f>
        <v/>
      </c>
      <c r="S1068" s="66">
        <f>IF(X1068&lt;&gt;"","⛔ "&amp;X1068&amp;" — not posted",IF(Y1068&lt;&gt;"","⚠ "&amp;Y1068,IF(Z1068=1,"✓ OK","")))</f>
        <v/>
      </c>
      <c r="T1068" s="67">
        <f>IF(AND(C1068="",D1068="",E1068="",L1068="",K1068=""),1,0)</f>
        <v/>
      </c>
      <c r="U1068" s="67">
        <f>IFERROR(INDEX(tt_Dir,MATCH(D1068,tt_Type,0)),"")</f>
        <v/>
      </c>
      <c r="V1068" s="67">
        <f>IF(D1068="","",IFERROR(IF(INDEX(tt_Other,MATCH(D1068,tt_Type,0))="",E1068&amp;"",INDEX(tt_Other,MATCH(D1068,tt_Type,0))),""))</f>
        <v/>
      </c>
      <c r="W1068" s="68">
        <f>IF(OR(TaxOn&lt;&gt;"Yes",NOT(ISNUMBER(M1068))),0,IF(IFERROR(INDEX(tt_Tax,MATCH(D1068,tt_Type,0)),"No")="Yes",M1068,0))</f>
        <v/>
      </c>
      <c r="X1068" s="67">
        <f>IF(T1068=1,"",IF(C1068="","Missing transaction date",IF(NOT(ISNUMBER(C1068)),"Invalid date",IF(OR(C1068&lt;DATE(2000,1,1),C1068&gt;DATE(2099,12,31)),"Invalid date",IF(D1068="","Select a type",IF(U1068="","Unknown type: "&amp;D1068,IF(V1068="","Select an account (Category)",IF(ISNA(MATCH(V1068,coa_Name,0)),"Unknown account: "&amp;V1068,IF(K1068="","Select Paid From / Deposited To",IF(ISNA(MATCH(K1068,coa_Name,0)),"Unknown account: "&amp;K1068,IF(NOT(ISNUMBER(L1068)),"Enter an amount",IF(L1068=0,"Enter an amount",IF(ABS(W1068)&gt;ABS(L1068),"Tax is larger than the amount","")))))))))))))</f>
        <v/>
      </c>
      <c r="Y1068" s="67">
        <f>IF(OR(T1068=1,X1068&lt;&gt;""),"",IF(AND(B1068&lt;&gt;"",COUNTIF(tx_ID,B1068)&gt;1),"Duplicate transaction ID",IF(AND(L1068&lt;0,D1068&lt;&gt;"Adjustment"),"Negative amount — check this entry",IF(AND(D1068="Customer Payment",G1068=""),"Add the customer",IF(AND(D1068="Customer Payment",OR(J1068="",COUNTIF(ar_No,J1068&amp;"")=0)),"Invoice # in Reference not found on AR sheet",IF(AND(D1068="Bill Payment",H1068=""),"Add the vendor",IF(AND(D1068="Bill Payment",OR(J1068="",COUNTIFS(ap_No,J1068&amp;"",ap_Party,H1068&amp;"")=0)),"Bill # + vendor not found on AP sheet",IF(AND(ISNUMBER(M1068),N(M1068)&lt;&gt;0,W1068=0),"Tax ignored (tax tracking off, or not allowed for this type)",IF(V1068=K1068&amp;"","Same account on both sides",IF(AND(ISNUMBER(StartDate),C1068&lt;StartDate),"Date is before the accounting start date",IF(AND(D1068&lt;&gt;"Adjustment",IFERROR(INDEX(coa_Pay,MATCH(K1068&amp;"",coa_Name,0)),"")&lt;&gt;"Yes"),"Paid From / Deposited To is not a payment account","")))))))))))</f>
        <v/>
      </c>
      <c r="Z1068" s="67">
        <f>IF(AND(T1068=0,X1068=""),1,0)</f>
        <v/>
      </c>
      <c r="AA1068" s="68">
        <f>IF(Z1068=1,IF(U1068="In",L1068,L1068-W1068),0)</f>
        <v/>
      </c>
      <c r="AB1068" s="68">
        <f>IF(Z1068=1,IF(U1068="In",L1068-W1068,L1068),0)</f>
        <v/>
      </c>
      <c r="AC1068" s="68">
        <f>IF(AND(Z1068=1,U1068="Out"),W1068,0)</f>
        <v/>
      </c>
      <c r="AD1068" s="68">
        <f>IF(AND(Z1068=1,U1068="In"),W1068,0)</f>
        <v/>
      </c>
    </row>
    <row r="1069">
      <c r="B1069" s="62" t="inlineStr">
        <is>
          <t>TX-1063</t>
        </is>
      </c>
      <c r="C1069" s="63" t="n"/>
      <c r="D1069" s="62" t="n"/>
      <c r="E1069" s="62" t="n"/>
      <c r="F1069" s="62" t="n"/>
      <c r="G1069" s="62" t="n"/>
      <c r="H1069" s="62" t="n"/>
      <c r="I1069" s="62" t="n"/>
      <c r="J1069" s="62" t="n"/>
      <c r="K1069" s="62" t="n"/>
      <c r="L1069" s="64" t="n"/>
      <c r="M1069" s="64" t="n"/>
      <c r="N1069" s="62" t="n"/>
      <c r="O1069" s="65">
        <f>IF(Z1069=1,L1069-W1069,"")</f>
        <v/>
      </c>
      <c r="P1069" s="66">
        <f>IF(V1069="","",IFERROR(INDEX(coa_Type,MATCH(V1069,coa_Name,0)),""))</f>
        <v/>
      </c>
      <c r="Q1069" s="66">
        <f>IF(Z1069=1,IF(U1069="In",K1069&amp;"",V1069),"")</f>
        <v/>
      </c>
      <c r="R1069" s="66">
        <f>IF(Z1069=1,IF(U1069="In",V1069,K1069&amp;""),"")</f>
        <v/>
      </c>
      <c r="S1069" s="66">
        <f>IF(X1069&lt;&gt;"","⛔ "&amp;X1069&amp;" — not posted",IF(Y1069&lt;&gt;"","⚠ "&amp;Y1069,IF(Z1069=1,"✓ OK","")))</f>
        <v/>
      </c>
      <c r="T1069" s="67">
        <f>IF(AND(C1069="",D1069="",E1069="",L1069="",K1069=""),1,0)</f>
        <v/>
      </c>
      <c r="U1069" s="67">
        <f>IFERROR(INDEX(tt_Dir,MATCH(D1069,tt_Type,0)),"")</f>
        <v/>
      </c>
      <c r="V1069" s="67">
        <f>IF(D1069="","",IFERROR(IF(INDEX(tt_Other,MATCH(D1069,tt_Type,0))="",E1069&amp;"",INDEX(tt_Other,MATCH(D1069,tt_Type,0))),""))</f>
        <v/>
      </c>
      <c r="W1069" s="68">
        <f>IF(OR(TaxOn&lt;&gt;"Yes",NOT(ISNUMBER(M1069))),0,IF(IFERROR(INDEX(tt_Tax,MATCH(D1069,tt_Type,0)),"No")="Yes",M1069,0))</f>
        <v/>
      </c>
      <c r="X1069" s="67">
        <f>IF(T1069=1,"",IF(C1069="","Missing transaction date",IF(NOT(ISNUMBER(C1069)),"Invalid date",IF(OR(C1069&lt;DATE(2000,1,1),C1069&gt;DATE(2099,12,31)),"Invalid date",IF(D1069="","Select a type",IF(U1069="","Unknown type: "&amp;D1069,IF(V1069="","Select an account (Category)",IF(ISNA(MATCH(V1069,coa_Name,0)),"Unknown account: "&amp;V1069,IF(K1069="","Select Paid From / Deposited To",IF(ISNA(MATCH(K1069,coa_Name,0)),"Unknown account: "&amp;K1069,IF(NOT(ISNUMBER(L1069)),"Enter an amount",IF(L1069=0,"Enter an amount",IF(ABS(W1069)&gt;ABS(L1069),"Tax is larger than the amount","")))))))))))))</f>
        <v/>
      </c>
      <c r="Y1069" s="67">
        <f>IF(OR(T1069=1,X1069&lt;&gt;""),"",IF(AND(B1069&lt;&gt;"",COUNTIF(tx_ID,B1069)&gt;1),"Duplicate transaction ID",IF(AND(L1069&lt;0,D1069&lt;&gt;"Adjustment"),"Negative amount — check this entry",IF(AND(D1069="Customer Payment",G1069=""),"Add the customer",IF(AND(D1069="Customer Payment",OR(J1069="",COUNTIF(ar_No,J1069&amp;"")=0)),"Invoice # in Reference not found on AR sheet",IF(AND(D1069="Bill Payment",H1069=""),"Add the vendor",IF(AND(D1069="Bill Payment",OR(J1069="",COUNTIFS(ap_No,J1069&amp;"",ap_Party,H1069&amp;"")=0)),"Bill # + vendor not found on AP sheet",IF(AND(ISNUMBER(M1069),N(M1069)&lt;&gt;0,W1069=0),"Tax ignored (tax tracking off, or not allowed for this type)",IF(V1069=K1069&amp;"","Same account on both sides",IF(AND(ISNUMBER(StartDate),C1069&lt;StartDate),"Date is before the accounting start date",IF(AND(D1069&lt;&gt;"Adjustment",IFERROR(INDEX(coa_Pay,MATCH(K1069&amp;"",coa_Name,0)),"")&lt;&gt;"Yes"),"Paid From / Deposited To is not a payment account","")))))))))))</f>
        <v/>
      </c>
      <c r="Z1069" s="67">
        <f>IF(AND(T1069=0,X1069=""),1,0)</f>
        <v/>
      </c>
      <c r="AA1069" s="68">
        <f>IF(Z1069=1,IF(U1069="In",L1069,L1069-W1069),0)</f>
        <v/>
      </c>
      <c r="AB1069" s="68">
        <f>IF(Z1069=1,IF(U1069="In",L1069-W1069,L1069),0)</f>
        <v/>
      </c>
      <c r="AC1069" s="68">
        <f>IF(AND(Z1069=1,U1069="Out"),W1069,0)</f>
        <v/>
      </c>
      <c r="AD1069" s="68">
        <f>IF(AND(Z1069=1,U1069="In"),W1069,0)</f>
        <v/>
      </c>
    </row>
    <row r="1070">
      <c r="B1070" s="62" t="inlineStr">
        <is>
          <t>TX-1064</t>
        </is>
      </c>
      <c r="C1070" s="63" t="n"/>
      <c r="D1070" s="62" t="n"/>
      <c r="E1070" s="62" t="n"/>
      <c r="F1070" s="62" t="n"/>
      <c r="G1070" s="62" t="n"/>
      <c r="H1070" s="62" t="n"/>
      <c r="I1070" s="62" t="n"/>
      <c r="J1070" s="62" t="n"/>
      <c r="K1070" s="62" t="n"/>
      <c r="L1070" s="64" t="n"/>
      <c r="M1070" s="64" t="n"/>
      <c r="N1070" s="62" t="n"/>
      <c r="O1070" s="65">
        <f>IF(Z1070=1,L1070-W1070,"")</f>
        <v/>
      </c>
      <c r="P1070" s="66">
        <f>IF(V1070="","",IFERROR(INDEX(coa_Type,MATCH(V1070,coa_Name,0)),""))</f>
        <v/>
      </c>
      <c r="Q1070" s="66">
        <f>IF(Z1070=1,IF(U1070="In",K1070&amp;"",V1070),"")</f>
        <v/>
      </c>
      <c r="R1070" s="66">
        <f>IF(Z1070=1,IF(U1070="In",V1070,K1070&amp;""),"")</f>
        <v/>
      </c>
      <c r="S1070" s="66">
        <f>IF(X1070&lt;&gt;"","⛔ "&amp;X1070&amp;" — not posted",IF(Y1070&lt;&gt;"","⚠ "&amp;Y1070,IF(Z1070=1,"✓ OK","")))</f>
        <v/>
      </c>
      <c r="T1070" s="67">
        <f>IF(AND(C1070="",D1070="",E1070="",L1070="",K1070=""),1,0)</f>
        <v/>
      </c>
      <c r="U1070" s="67">
        <f>IFERROR(INDEX(tt_Dir,MATCH(D1070,tt_Type,0)),"")</f>
        <v/>
      </c>
      <c r="V1070" s="67">
        <f>IF(D1070="","",IFERROR(IF(INDEX(tt_Other,MATCH(D1070,tt_Type,0))="",E1070&amp;"",INDEX(tt_Other,MATCH(D1070,tt_Type,0))),""))</f>
        <v/>
      </c>
      <c r="W1070" s="68">
        <f>IF(OR(TaxOn&lt;&gt;"Yes",NOT(ISNUMBER(M1070))),0,IF(IFERROR(INDEX(tt_Tax,MATCH(D1070,tt_Type,0)),"No")="Yes",M1070,0))</f>
        <v/>
      </c>
      <c r="X1070" s="67">
        <f>IF(T1070=1,"",IF(C1070="","Missing transaction date",IF(NOT(ISNUMBER(C1070)),"Invalid date",IF(OR(C1070&lt;DATE(2000,1,1),C1070&gt;DATE(2099,12,31)),"Invalid date",IF(D1070="","Select a type",IF(U1070="","Unknown type: "&amp;D1070,IF(V1070="","Select an account (Category)",IF(ISNA(MATCH(V1070,coa_Name,0)),"Unknown account: "&amp;V1070,IF(K1070="","Select Paid From / Deposited To",IF(ISNA(MATCH(K1070,coa_Name,0)),"Unknown account: "&amp;K1070,IF(NOT(ISNUMBER(L1070)),"Enter an amount",IF(L1070=0,"Enter an amount",IF(ABS(W1070)&gt;ABS(L1070),"Tax is larger than the amount","")))))))))))))</f>
        <v/>
      </c>
      <c r="Y1070" s="67">
        <f>IF(OR(T1070=1,X1070&lt;&gt;""),"",IF(AND(B1070&lt;&gt;"",COUNTIF(tx_ID,B1070)&gt;1),"Duplicate transaction ID",IF(AND(L1070&lt;0,D1070&lt;&gt;"Adjustment"),"Negative amount — check this entry",IF(AND(D1070="Customer Payment",G1070=""),"Add the customer",IF(AND(D1070="Customer Payment",OR(J1070="",COUNTIF(ar_No,J1070&amp;"")=0)),"Invoice # in Reference not found on AR sheet",IF(AND(D1070="Bill Payment",H1070=""),"Add the vendor",IF(AND(D1070="Bill Payment",OR(J1070="",COUNTIFS(ap_No,J1070&amp;"",ap_Party,H1070&amp;"")=0)),"Bill # + vendor not found on AP sheet",IF(AND(ISNUMBER(M1070),N(M1070)&lt;&gt;0,W1070=0),"Tax ignored (tax tracking off, or not allowed for this type)",IF(V1070=K1070&amp;"","Same account on both sides",IF(AND(ISNUMBER(StartDate),C1070&lt;StartDate),"Date is before the accounting start date",IF(AND(D1070&lt;&gt;"Adjustment",IFERROR(INDEX(coa_Pay,MATCH(K1070&amp;"",coa_Name,0)),"")&lt;&gt;"Yes"),"Paid From / Deposited To is not a payment account","")))))))))))</f>
        <v/>
      </c>
      <c r="Z1070" s="67">
        <f>IF(AND(T1070=0,X1070=""),1,0)</f>
        <v/>
      </c>
      <c r="AA1070" s="68">
        <f>IF(Z1070=1,IF(U1070="In",L1070,L1070-W1070),0)</f>
        <v/>
      </c>
      <c r="AB1070" s="68">
        <f>IF(Z1070=1,IF(U1070="In",L1070-W1070,L1070),0)</f>
        <v/>
      </c>
      <c r="AC1070" s="68">
        <f>IF(AND(Z1070=1,U1070="Out"),W1070,0)</f>
        <v/>
      </c>
      <c r="AD1070" s="68">
        <f>IF(AND(Z1070=1,U1070="In"),W1070,0)</f>
        <v/>
      </c>
    </row>
    <row r="1071">
      <c r="B1071" s="62" t="inlineStr">
        <is>
          <t>TX-1065</t>
        </is>
      </c>
      <c r="C1071" s="63" t="n"/>
      <c r="D1071" s="62" t="n"/>
      <c r="E1071" s="62" t="n"/>
      <c r="F1071" s="62" t="n"/>
      <c r="G1071" s="62" t="n"/>
      <c r="H1071" s="62" t="n"/>
      <c r="I1071" s="62" t="n"/>
      <c r="J1071" s="62" t="n"/>
      <c r="K1071" s="62" t="n"/>
      <c r="L1071" s="64" t="n"/>
      <c r="M1071" s="64" t="n"/>
      <c r="N1071" s="62" t="n"/>
      <c r="O1071" s="65">
        <f>IF(Z1071=1,L1071-W1071,"")</f>
        <v/>
      </c>
      <c r="P1071" s="66">
        <f>IF(V1071="","",IFERROR(INDEX(coa_Type,MATCH(V1071,coa_Name,0)),""))</f>
        <v/>
      </c>
      <c r="Q1071" s="66">
        <f>IF(Z1071=1,IF(U1071="In",K1071&amp;"",V1071),"")</f>
        <v/>
      </c>
      <c r="R1071" s="66">
        <f>IF(Z1071=1,IF(U1071="In",V1071,K1071&amp;""),"")</f>
        <v/>
      </c>
      <c r="S1071" s="66">
        <f>IF(X1071&lt;&gt;"","⛔ "&amp;X1071&amp;" — not posted",IF(Y1071&lt;&gt;"","⚠ "&amp;Y1071,IF(Z1071=1,"✓ OK","")))</f>
        <v/>
      </c>
      <c r="T1071" s="67">
        <f>IF(AND(C1071="",D1071="",E1071="",L1071="",K1071=""),1,0)</f>
        <v/>
      </c>
      <c r="U1071" s="67">
        <f>IFERROR(INDEX(tt_Dir,MATCH(D1071,tt_Type,0)),"")</f>
        <v/>
      </c>
      <c r="V1071" s="67">
        <f>IF(D1071="","",IFERROR(IF(INDEX(tt_Other,MATCH(D1071,tt_Type,0))="",E1071&amp;"",INDEX(tt_Other,MATCH(D1071,tt_Type,0))),""))</f>
        <v/>
      </c>
      <c r="W1071" s="68">
        <f>IF(OR(TaxOn&lt;&gt;"Yes",NOT(ISNUMBER(M1071))),0,IF(IFERROR(INDEX(tt_Tax,MATCH(D1071,tt_Type,0)),"No")="Yes",M1071,0))</f>
        <v/>
      </c>
      <c r="X1071" s="67">
        <f>IF(T1071=1,"",IF(C1071="","Missing transaction date",IF(NOT(ISNUMBER(C1071)),"Invalid date",IF(OR(C1071&lt;DATE(2000,1,1),C1071&gt;DATE(2099,12,31)),"Invalid date",IF(D1071="","Select a type",IF(U1071="","Unknown type: "&amp;D1071,IF(V1071="","Select an account (Category)",IF(ISNA(MATCH(V1071,coa_Name,0)),"Unknown account: "&amp;V1071,IF(K1071="","Select Paid From / Deposited To",IF(ISNA(MATCH(K1071,coa_Name,0)),"Unknown account: "&amp;K1071,IF(NOT(ISNUMBER(L1071)),"Enter an amount",IF(L1071=0,"Enter an amount",IF(ABS(W1071)&gt;ABS(L1071),"Tax is larger than the amount","")))))))))))))</f>
        <v/>
      </c>
      <c r="Y1071" s="67">
        <f>IF(OR(T1071=1,X1071&lt;&gt;""),"",IF(AND(B1071&lt;&gt;"",COUNTIF(tx_ID,B1071)&gt;1),"Duplicate transaction ID",IF(AND(L1071&lt;0,D1071&lt;&gt;"Adjustment"),"Negative amount — check this entry",IF(AND(D1071="Customer Payment",G1071=""),"Add the customer",IF(AND(D1071="Customer Payment",OR(J1071="",COUNTIF(ar_No,J1071&amp;"")=0)),"Invoice # in Reference not found on AR sheet",IF(AND(D1071="Bill Payment",H1071=""),"Add the vendor",IF(AND(D1071="Bill Payment",OR(J1071="",COUNTIFS(ap_No,J1071&amp;"",ap_Party,H1071&amp;"")=0)),"Bill # + vendor not found on AP sheet",IF(AND(ISNUMBER(M1071),N(M1071)&lt;&gt;0,W1071=0),"Tax ignored (tax tracking off, or not allowed for this type)",IF(V1071=K1071&amp;"","Same account on both sides",IF(AND(ISNUMBER(StartDate),C1071&lt;StartDate),"Date is before the accounting start date",IF(AND(D1071&lt;&gt;"Adjustment",IFERROR(INDEX(coa_Pay,MATCH(K1071&amp;"",coa_Name,0)),"")&lt;&gt;"Yes"),"Paid From / Deposited To is not a payment account","")))))))))))</f>
        <v/>
      </c>
      <c r="Z1071" s="67">
        <f>IF(AND(T1071=0,X1071=""),1,0)</f>
        <v/>
      </c>
      <c r="AA1071" s="68">
        <f>IF(Z1071=1,IF(U1071="In",L1071,L1071-W1071),0)</f>
        <v/>
      </c>
      <c r="AB1071" s="68">
        <f>IF(Z1071=1,IF(U1071="In",L1071-W1071,L1071),0)</f>
        <v/>
      </c>
      <c r="AC1071" s="68">
        <f>IF(AND(Z1071=1,U1071="Out"),W1071,0)</f>
        <v/>
      </c>
      <c r="AD1071" s="68">
        <f>IF(AND(Z1071=1,U1071="In"),W1071,0)</f>
        <v/>
      </c>
    </row>
    <row r="1072">
      <c r="B1072" s="62" t="inlineStr">
        <is>
          <t>TX-1066</t>
        </is>
      </c>
      <c r="C1072" s="63" t="n"/>
      <c r="D1072" s="62" t="n"/>
      <c r="E1072" s="62" t="n"/>
      <c r="F1072" s="62" t="n"/>
      <c r="G1072" s="62" t="n"/>
      <c r="H1072" s="62" t="n"/>
      <c r="I1072" s="62" t="n"/>
      <c r="J1072" s="62" t="n"/>
      <c r="K1072" s="62" t="n"/>
      <c r="L1072" s="64" t="n"/>
      <c r="M1072" s="64" t="n"/>
      <c r="N1072" s="62" t="n"/>
      <c r="O1072" s="65">
        <f>IF(Z1072=1,L1072-W1072,"")</f>
        <v/>
      </c>
      <c r="P1072" s="66">
        <f>IF(V1072="","",IFERROR(INDEX(coa_Type,MATCH(V1072,coa_Name,0)),""))</f>
        <v/>
      </c>
      <c r="Q1072" s="66">
        <f>IF(Z1072=1,IF(U1072="In",K1072&amp;"",V1072),"")</f>
        <v/>
      </c>
      <c r="R1072" s="66">
        <f>IF(Z1072=1,IF(U1072="In",V1072,K1072&amp;""),"")</f>
        <v/>
      </c>
      <c r="S1072" s="66">
        <f>IF(X1072&lt;&gt;"","⛔ "&amp;X1072&amp;" — not posted",IF(Y1072&lt;&gt;"","⚠ "&amp;Y1072,IF(Z1072=1,"✓ OK","")))</f>
        <v/>
      </c>
      <c r="T1072" s="67">
        <f>IF(AND(C1072="",D1072="",E1072="",L1072="",K1072=""),1,0)</f>
        <v/>
      </c>
      <c r="U1072" s="67">
        <f>IFERROR(INDEX(tt_Dir,MATCH(D1072,tt_Type,0)),"")</f>
        <v/>
      </c>
      <c r="V1072" s="67">
        <f>IF(D1072="","",IFERROR(IF(INDEX(tt_Other,MATCH(D1072,tt_Type,0))="",E1072&amp;"",INDEX(tt_Other,MATCH(D1072,tt_Type,0))),""))</f>
        <v/>
      </c>
      <c r="W1072" s="68">
        <f>IF(OR(TaxOn&lt;&gt;"Yes",NOT(ISNUMBER(M1072))),0,IF(IFERROR(INDEX(tt_Tax,MATCH(D1072,tt_Type,0)),"No")="Yes",M1072,0))</f>
        <v/>
      </c>
      <c r="X1072" s="67">
        <f>IF(T1072=1,"",IF(C1072="","Missing transaction date",IF(NOT(ISNUMBER(C1072)),"Invalid date",IF(OR(C1072&lt;DATE(2000,1,1),C1072&gt;DATE(2099,12,31)),"Invalid date",IF(D1072="","Select a type",IF(U1072="","Unknown type: "&amp;D1072,IF(V1072="","Select an account (Category)",IF(ISNA(MATCH(V1072,coa_Name,0)),"Unknown account: "&amp;V1072,IF(K1072="","Select Paid From / Deposited To",IF(ISNA(MATCH(K1072,coa_Name,0)),"Unknown account: "&amp;K1072,IF(NOT(ISNUMBER(L1072)),"Enter an amount",IF(L1072=0,"Enter an amount",IF(ABS(W1072)&gt;ABS(L1072),"Tax is larger than the amount","")))))))))))))</f>
        <v/>
      </c>
      <c r="Y1072" s="67">
        <f>IF(OR(T1072=1,X1072&lt;&gt;""),"",IF(AND(B1072&lt;&gt;"",COUNTIF(tx_ID,B1072)&gt;1),"Duplicate transaction ID",IF(AND(L1072&lt;0,D1072&lt;&gt;"Adjustment"),"Negative amount — check this entry",IF(AND(D1072="Customer Payment",G1072=""),"Add the customer",IF(AND(D1072="Customer Payment",OR(J1072="",COUNTIF(ar_No,J1072&amp;"")=0)),"Invoice # in Reference not found on AR sheet",IF(AND(D1072="Bill Payment",H1072=""),"Add the vendor",IF(AND(D1072="Bill Payment",OR(J1072="",COUNTIFS(ap_No,J1072&amp;"",ap_Party,H1072&amp;"")=0)),"Bill # + vendor not found on AP sheet",IF(AND(ISNUMBER(M1072),N(M1072)&lt;&gt;0,W1072=0),"Tax ignored (tax tracking off, or not allowed for this type)",IF(V1072=K1072&amp;"","Same account on both sides",IF(AND(ISNUMBER(StartDate),C1072&lt;StartDate),"Date is before the accounting start date",IF(AND(D1072&lt;&gt;"Adjustment",IFERROR(INDEX(coa_Pay,MATCH(K1072&amp;"",coa_Name,0)),"")&lt;&gt;"Yes"),"Paid From / Deposited To is not a payment account","")))))))))))</f>
        <v/>
      </c>
      <c r="Z1072" s="67">
        <f>IF(AND(T1072=0,X1072=""),1,0)</f>
        <v/>
      </c>
      <c r="AA1072" s="68">
        <f>IF(Z1072=1,IF(U1072="In",L1072,L1072-W1072),0)</f>
        <v/>
      </c>
      <c r="AB1072" s="68">
        <f>IF(Z1072=1,IF(U1072="In",L1072-W1072,L1072),0)</f>
        <v/>
      </c>
      <c r="AC1072" s="68">
        <f>IF(AND(Z1072=1,U1072="Out"),W1072,0)</f>
        <v/>
      </c>
      <c r="AD1072" s="68">
        <f>IF(AND(Z1072=1,U1072="In"),W1072,0)</f>
        <v/>
      </c>
    </row>
    <row r="1073">
      <c r="B1073" s="62" t="inlineStr">
        <is>
          <t>TX-1067</t>
        </is>
      </c>
      <c r="C1073" s="63" t="n"/>
      <c r="D1073" s="62" t="n"/>
      <c r="E1073" s="62" t="n"/>
      <c r="F1073" s="62" t="n"/>
      <c r="G1073" s="62" t="n"/>
      <c r="H1073" s="62" t="n"/>
      <c r="I1073" s="62" t="n"/>
      <c r="J1073" s="62" t="n"/>
      <c r="K1073" s="62" t="n"/>
      <c r="L1073" s="64" t="n"/>
      <c r="M1073" s="64" t="n"/>
      <c r="N1073" s="62" t="n"/>
      <c r="O1073" s="65">
        <f>IF(Z1073=1,L1073-W1073,"")</f>
        <v/>
      </c>
      <c r="P1073" s="66">
        <f>IF(V1073="","",IFERROR(INDEX(coa_Type,MATCH(V1073,coa_Name,0)),""))</f>
        <v/>
      </c>
      <c r="Q1073" s="66">
        <f>IF(Z1073=1,IF(U1073="In",K1073&amp;"",V1073),"")</f>
        <v/>
      </c>
      <c r="R1073" s="66">
        <f>IF(Z1073=1,IF(U1073="In",V1073,K1073&amp;""),"")</f>
        <v/>
      </c>
      <c r="S1073" s="66">
        <f>IF(X1073&lt;&gt;"","⛔ "&amp;X1073&amp;" — not posted",IF(Y1073&lt;&gt;"","⚠ "&amp;Y1073,IF(Z1073=1,"✓ OK","")))</f>
        <v/>
      </c>
      <c r="T1073" s="67">
        <f>IF(AND(C1073="",D1073="",E1073="",L1073="",K1073=""),1,0)</f>
        <v/>
      </c>
      <c r="U1073" s="67">
        <f>IFERROR(INDEX(tt_Dir,MATCH(D1073,tt_Type,0)),"")</f>
        <v/>
      </c>
      <c r="V1073" s="67">
        <f>IF(D1073="","",IFERROR(IF(INDEX(tt_Other,MATCH(D1073,tt_Type,0))="",E1073&amp;"",INDEX(tt_Other,MATCH(D1073,tt_Type,0))),""))</f>
        <v/>
      </c>
      <c r="W1073" s="68">
        <f>IF(OR(TaxOn&lt;&gt;"Yes",NOT(ISNUMBER(M1073))),0,IF(IFERROR(INDEX(tt_Tax,MATCH(D1073,tt_Type,0)),"No")="Yes",M1073,0))</f>
        <v/>
      </c>
      <c r="X1073" s="67">
        <f>IF(T1073=1,"",IF(C1073="","Missing transaction date",IF(NOT(ISNUMBER(C1073)),"Invalid date",IF(OR(C1073&lt;DATE(2000,1,1),C1073&gt;DATE(2099,12,31)),"Invalid date",IF(D1073="","Select a type",IF(U1073="","Unknown type: "&amp;D1073,IF(V1073="","Select an account (Category)",IF(ISNA(MATCH(V1073,coa_Name,0)),"Unknown account: "&amp;V1073,IF(K1073="","Select Paid From / Deposited To",IF(ISNA(MATCH(K1073,coa_Name,0)),"Unknown account: "&amp;K1073,IF(NOT(ISNUMBER(L1073)),"Enter an amount",IF(L1073=0,"Enter an amount",IF(ABS(W1073)&gt;ABS(L1073),"Tax is larger than the amount","")))))))))))))</f>
        <v/>
      </c>
      <c r="Y1073" s="67">
        <f>IF(OR(T1073=1,X1073&lt;&gt;""),"",IF(AND(B1073&lt;&gt;"",COUNTIF(tx_ID,B1073)&gt;1),"Duplicate transaction ID",IF(AND(L1073&lt;0,D1073&lt;&gt;"Adjustment"),"Negative amount — check this entry",IF(AND(D1073="Customer Payment",G1073=""),"Add the customer",IF(AND(D1073="Customer Payment",OR(J1073="",COUNTIF(ar_No,J1073&amp;"")=0)),"Invoice # in Reference not found on AR sheet",IF(AND(D1073="Bill Payment",H1073=""),"Add the vendor",IF(AND(D1073="Bill Payment",OR(J1073="",COUNTIFS(ap_No,J1073&amp;"",ap_Party,H1073&amp;"")=0)),"Bill # + vendor not found on AP sheet",IF(AND(ISNUMBER(M1073),N(M1073)&lt;&gt;0,W1073=0),"Tax ignored (tax tracking off, or not allowed for this type)",IF(V1073=K1073&amp;"","Same account on both sides",IF(AND(ISNUMBER(StartDate),C1073&lt;StartDate),"Date is before the accounting start date",IF(AND(D1073&lt;&gt;"Adjustment",IFERROR(INDEX(coa_Pay,MATCH(K1073&amp;"",coa_Name,0)),"")&lt;&gt;"Yes"),"Paid From / Deposited To is not a payment account","")))))))))))</f>
        <v/>
      </c>
      <c r="Z1073" s="67">
        <f>IF(AND(T1073=0,X1073=""),1,0)</f>
        <v/>
      </c>
      <c r="AA1073" s="68">
        <f>IF(Z1073=1,IF(U1073="In",L1073,L1073-W1073),0)</f>
        <v/>
      </c>
      <c r="AB1073" s="68">
        <f>IF(Z1073=1,IF(U1073="In",L1073-W1073,L1073),0)</f>
        <v/>
      </c>
      <c r="AC1073" s="68">
        <f>IF(AND(Z1073=1,U1073="Out"),W1073,0)</f>
        <v/>
      </c>
      <c r="AD1073" s="68">
        <f>IF(AND(Z1073=1,U1073="In"),W1073,0)</f>
        <v/>
      </c>
    </row>
    <row r="1074">
      <c r="B1074" s="62" t="inlineStr">
        <is>
          <t>TX-1068</t>
        </is>
      </c>
      <c r="C1074" s="63" t="n"/>
      <c r="D1074" s="62" t="n"/>
      <c r="E1074" s="62" t="n"/>
      <c r="F1074" s="62" t="n"/>
      <c r="G1074" s="62" t="n"/>
      <c r="H1074" s="62" t="n"/>
      <c r="I1074" s="62" t="n"/>
      <c r="J1074" s="62" t="n"/>
      <c r="K1074" s="62" t="n"/>
      <c r="L1074" s="64" t="n"/>
      <c r="M1074" s="64" t="n"/>
      <c r="N1074" s="62" t="n"/>
      <c r="O1074" s="65">
        <f>IF(Z1074=1,L1074-W1074,"")</f>
        <v/>
      </c>
      <c r="P1074" s="66">
        <f>IF(V1074="","",IFERROR(INDEX(coa_Type,MATCH(V1074,coa_Name,0)),""))</f>
        <v/>
      </c>
      <c r="Q1074" s="66">
        <f>IF(Z1074=1,IF(U1074="In",K1074&amp;"",V1074),"")</f>
        <v/>
      </c>
      <c r="R1074" s="66">
        <f>IF(Z1074=1,IF(U1074="In",V1074,K1074&amp;""),"")</f>
        <v/>
      </c>
      <c r="S1074" s="66">
        <f>IF(X1074&lt;&gt;"","⛔ "&amp;X1074&amp;" — not posted",IF(Y1074&lt;&gt;"","⚠ "&amp;Y1074,IF(Z1074=1,"✓ OK","")))</f>
        <v/>
      </c>
      <c r="T1074" s="67">
        <f>IF(AND(C1074="",D1074="",E1074="",L1074="",K1074=""),1,0)</f>
        <v/>
      </c>
      <c r="U1074" s="67">
        <f>IFERROR(INDEX(tt_Dir,MATCH(D1074,tt_Type,0)),"")</f>
        <v/>
      </c>
      <c r="V1074" s="67">
        <f>IF(D1074="","",IFERROR(IF(INDEX(tt_Other,MATCH(D1074,tt_Type,0))="",E1074&amp;"",INDEX(tt_Other,MATCH(D1074,tt_Type,0))),""))</f>
        <v/>
      </c>
      <c r="W1074" s="68">
        <f>IF(OR(TaxOn&lt;&gt;"Yes",NOT(ISNUMBER(M1074))),0,IF(IFERROR(INDEX(tt_Tax,MATCH(D1074,tt_Type,0)),"No")="Yes",M1074,0))</f>
        <v/>
      </c>
      <c r="X1074" s="67">
        <f>IF(T1074=1,"",IF(C1074="","Missing transaction date",IF(NOT(ISNUMBER(C1074)),"Invalid date",IF(OR(C1074&lt;DATE(2000,1,1),C1074&gt;DATE(2099,12,31)),"Invalid date",IF(D1074="","Select a type",IF(U1074="","Unknown type: "&amp;D1074,IF(V1074="","Select an account (Category)",IF(ISNA(MATCH(V1074,coa_Name,0)),"Unknown account: "&amp;V1074,IF(K1074="","Select Paid From / Deposited To",IF(ISNA(MATCH(K1074,coa_Name,0)),"Unknown account: "&amp;K1074,IF(NOT(ISNUMBER(L1074)),"Enter an amount",IF(L1074=0,"Enter an amount",IF(ABS(W1074)&gt;ABS(L1074),"Tax is larger than the amount","")))))))))))))</f>
        <v/>
      </c>
      <c r="Y1074" s="67">
        <f>IF(OR(T1074=1,X1074&lt;&gt;""),"",IF(AND(B1074&lt;&gt;"",COUNTIF(tx_ID,B1074)&gt;1),"Duplicate transaction ID",IF(AND(L1074&lt;0,D1074&lt;&gt;"Adjustment"),"Negative amount — check this entry",IF(AND(D1074="Customer Payment",G1074=""),"Add the customer",IF(AND(D1074="Customer Payment",OR(J1074="",COUNTIF(ar_No,J1074&amp;"")=0)),"Invoice # in Reference not found on AR sheet",IF(AND(D1074="Bill Payment",H1074=""),"Add the vendor",IF(AND(D1074="Bill Payment",OR(J1074="",COUNTIFS(ap_No,J1074&amp;"",ap_Party,H1074&amp;"")=0)),"Bill # + vendor not found on AP sheet",IF(AND(ISNUMBER(M1074),N(M1074)&lt;&gt;0,W1074=0),"Tax ignored (tax tracking off, or not allowed for this type)",IF(V1074=K1074&amp;"","Same account on both sides",IF(AND(ISNUMBER(StartDate),C1074&lt;StartDate),"Date is before the accounting start date",IF(AND(D1074&lt;&gt;"Adjustment",IFERROR(INDEX(coa_Pay,MATCH(K1074&amp;"",coa_Name,0)),"")&lt;&gt;"Yes"),"Paid From / Deposited To is not a payment account","")))))))))))</f>
        <v/>
      </c>
      <c r="Z1074" s="67">
        <f>IF(AND(T1074=0,X1074=""),1,0)</f>
        <v/>
      </c>
      <c r="AA1074" s="68">
        <f>IF(Z1074=1,IF(U1074="In",L1074,L1074-W1074),0)</f>
        <v/>
      </c>
      <c r="AB1074" s="68">
        <f>IF(Z1074=1,IF(U1074="In",L1074-W1074,L1074),0)</f>
        <v/>
      </c>
      <c r="AC1074" s="68">
        <f>IF(AND(Z1074=1,U1074="Out"),W1074,0)</f>
        <v/>
      </c>
      <c r="AD1074" s="68">
        <f>IF(AND(Z1074=1,U1074="In"),W1074,0)</f>
        <v/>
      </c>
    </row>
    <row r="1075">
      <c r="B1075" s="62" t="inlineStr">
        <is>
          <t>TX-1069</t>
        </is>
      </c>
      <c r="C1075" s="63" t="n"/>
      <c r="D1075" s="62" t="n"/>
      <c r="E1075" s="62" t="n"/>
      <c r="F1075" s="62" t="n"/>
      <c r="G1075" s="62" t="n"/>
      <c r="H1075" s="62" t="n"/>
      <c r="I1075" s="62" t="n"/>
      <c r="J1075" s="62" t="n"/>
      <c r="K1075" s="62" t="n"/>
      <c r="L1075" s="64" t="n"/>
      <c r="M1075" s="64" t="n"/>
      <c r="N1075" s="62" t="n"/>
      <c r="O1075" s="65">
        <f>IF(Z1075=1,L1075-W1075,"")</f>
        <v/>
      </c>
      <c r="P1075" s="66">
        <f>IF(V1075="","",IFERROR(INDEX(coa_Type,MATCH(V1075,coa_Name,0)),""))</f>
        <v/>
      </c>
      <c r="Q1075" s="66">
        <f>IF(Z1075=1,IF(U1075="In",K1075&amp;"",V1075),"")</f>
        <v/>
      </c>
      <c r="R1075" s="66">
        <f>IF(Z1075=1,IF(U1075="In",V1075,K1075&amp;""),"")</f>
        <v/>
      </c>
      <c r="S1075" s="66">
        <f>IF(X1075&lt;&gt;"","⛔ "&amp;X1075&amp;" — not posted",IF(Y1075&lt;&gt;"","⚠ "&amp;Y1075,IF(Z1075=1,"✓ OK","")))</f>
        <v/>
      </c>
      <c r="T1075" s="67">
        <f>IF(AND(C1075="",D1075="",E1075="",L1075="",K1075=""),1,0)</f>
        <v/>
      </c>
      <c r="U1075" s="67">
        <f>IFERROR(INDEX(tt_Dir,MATCH(D1075,tt_Type,0)),"")</f>
        <v/>
      </c>
      <c r="V1075" s="67">
        <f>IF(D1075="","",IFERROR(IF(INDEX(tt_Other,MATCH(D1075,tt_Type,0))="",E1075&amp;"",INDEX(tt_Other,MATCH(D1075,tt_Type,0))),""))</f>
        <v/>
      </c>
      <c r="W1075" s="68">
        <f>IF(OR(TaxOn&lt;&gt;"Yes",NOT(ISNUMBER(M1075))),0,IF(IFERROR(INDEX(tt_Tax,MATCH(D1075,tt_Type,0)),"No")="Yes",M1075,0))</f>
        <v/>
      </c>
      <c r="X1075" s="67">
        <f>IF(T1075=1,"",IF(C1075="","Missing transaction date",IF(NOT(ISNUMBER(C1075)),"Invalid date",IF(OR(C1075&lt;DATE(2000,1,1),C1075&gt;DATE(2099,12,31)),"Invalid date",IF(D1075="","Select a type",IF(U1075="","Unknown type: "&amp;D1075,IF(V1075="","Select an account (Category)",IF(ISNA(MATCH(V1075,coa_Name,0)),"Unknown account: "&amp;V1075,IF(K1075="","Select Paid From / Deposited To",IF(ISNA(MATCH(K1075,coa_Name,0)),"Unknown account: "&amp;K1075,IF(NOT(ISNUMBER(L1075)),"Enter an amount",IF(L1075=0,"Enter an amount",IF(ABS(W1075)&gt;ABS(L1075),"Tax is larger than the amount","")))))))))))))</f>
        <v/>
      </c>
      <c r="Y1075" s="67">
        <f>IF(OR(T1075=1,X1075&lt;&gt;""),"",IF(AND(B1075&lt;&gt;"",COUNTIF(tx_ID,B1075)&gt;1),"Duplicate transaction ID",IF(AND(L1075&lt;0,D1075&lt;&gt;"Adjustment"),"Negative amount — check this entry",IF(AND(D1075="Customer Payment",G1075=""),"Add the customer",IF(AND(D1075="Customer Payment",OR(J1075="",COUNTIF(ar_No,J1075&amp;"")=0)),"Invoice # in Reference not found on AR sheet",IF(AND(D1075="Bill Payment",H1075=""),"Add the vendor",IF(AND(D1075="Bill Payment",OR(J1075="",COUNTIFS(ap_No,J1075&amp;"",ap_Party,H1075&amp;"")=0)),"Bill # + vendor not found on AP sheet",IF(AND(ISNUMBER(M1075),N(M1075)&lt;&gt;0,W1075=0),"Tax ignored (tax tracking off, or not allowed for this type)",IF(V1075=K1075&amp;"","Same account on both sides",IF(AND(ISNUMBER(StartDate),C1075&lt;StartDate),"Date is before the accounting start date",IF(AND(D1075&lt;&gt;"Adjustment",IFERROR(INDEX(coa_Pay,MATCH(K1075&amp;"",coa_Name,0)),"")&lt;&gt;"Yes"),"Paid From / Deposited To is not a payment account","")))))))))))</f>
        <v/>
      </c>
      <c r="Z1075" s="67">
        <f>IF(AND(T1075=0,X1075=""),1,0)</f>
        <v/>
      </c>
      <c r="AA1075" s="68">
        <f>IF(Z1075=1,IF(U1075="In",L1075,L1075-W1075),0)</f>
        <v/>
      </c>
      <c r="AB1075" s="68">
        <f>IF(Z1075=1,IF(U1075="In",L1075-W1075,L1075),0)</f>
        <v/>
      </c>
      <c r="AC1075" s="68">
        <f>IF(AND(Z1075=1,U1075="Out"),W1075,0)</f>
        <v/>
      </c>
      <c r="AD1075" s="68">
        <f>IF(AND(Z1075=1,U1075="In"),W1075,0)</f>
        <v/>
      </c>
    </row>
    <row r="1076">
      <c r="B1076" s="62" t="inlineStr">
        <is>
          <t>TX-1070</t>
        </is>
      </c>
      <c r="C1076" s="63" t="n"/>
      <c r="D1076" s="62" t="n"/>
      <c r="E1076" s="62" t="n"/>
      <c r="F1076" s="62" t="n"/>
      <c r="G1076" s="62" t="n"/>
      <c r="H1076" s="62" t="n"/>
      <c r="I1076" s="62" t="n"/>
      <c r="J1076" s="62" t="n"/>
      <c r="K1076" s="62" t="n"/>
      <c r="L1076" s="64" t="n"/>
      <c r="M1076" s="64" t="n"/>
      <c r="N1076" s="62" t="n"/>
      <c r="O1076" s="65">
        <f>IF(Z1076=1,L1076-W1076,"")</f>
        <v/>
      </c>
      <c r="P1076" s="66">
        <f>IF(V1076="","",IFERROR(INDEX(coa_Type,MATCH(V1076,coa_Name,0)),""))</f>
        <v/>
      </c>
      <c r="Q1076" s="66">
        <f>IF(Z1076=1,IF(U1076="In",K1076&amp;"",V1076),"")</f>
        <v/>
      </c>
      <c r="R1076" s="66">
        <f>IF(Z1076=1,IF(U1076="In",V1076,K1076&amp;""),"")</f>
        <v/>
      </c>
      <c r="S1076" s="66">
        <f>IF(X1076&lt;&gt;"","⛔ "&amp;X1076&amp;" — not posted",IF(Y1076&lt;&gt;"","⚠ "&amp;Y1076,IF(Z1076=1,"✓ OK","")))</f>
        <v/>
      </c>
      <c r="T1076" s="67">
        <f>IF(AND(C1076="",D1076="",E1076="",L1076="",K1076=""),1,0)</f>
        <v/>
      </c>
      <c r="U1076" s="67">
        <f>IFERROR(INDEX(tt_Dir,MATCH(D1076,tt_Type,0)),"")</f>
        <v/>
      </c>
      <c r="V1076" s="67">
        <f>IF(D1076="","",IFERROR(IF(INDEX(tt_Other,MATCH(D1076,tt_Type,0))="",E1076&amp;"",INDEX(tt_Other,MATCH(D1076,tt_Type,0))),""))</f>
        <v/>
      </c>
      <c r="W1076" s="68">
        <f>IF(OR(TaxOn&lt;&gt;"Yes",NOT(ISNUMBER(M1076))),0,IF(IFERROR(INDEX(tt_Tax,MATCH(D1076,tt_Type,0)),"No")="Yes",M1076,0))</f>
        <v/>
      </c>
      <c r="X1076" s="67">
        <f>IF(T1076=1,"",IF(C1076="","Missing transaction date",IF(NOT(ISNUMBER(C1076)),"Invalid date",IF(OR(C1076&lt;DATE(2000,1,1),C1076&gt;DATE(2099,12,31)),"Invalid date",IF(D1076="","Select a type",IF(U1076="","Unknown type: "&amp;D1076,IF(V1076="","Select an account (Category)",IF(ISNA(MATCH(V1076,coa_Name,0)),"Unknown account: "&amp;V1076,IF(K1076="","Select Paid From / Deposited To",IF(ISNA(MATCH(K1076,coa_Name,0)),"Unknown account: "&amp;K1076,IF(NOT(ISNUMBER(L1076)),"Enter an amount",IF(L1076=0,"Enter an amount",IF(ABS(W1076)&gt;ABS(L1076),"Tax is larger than the amount","")))))))))))))</f>
        <v/>
      </c>
      <c r="Y1076" s="67">
        <f>IF(OR(T1076=1,X1076&lt;&gt;""),"",IF(AND(B1076&lt;&gt;"",COUNTIF(tx_ID,B1076)&gt;1),"Duplicate transaction ID",IF(AND(L1076&lt;0,D1076&lt;&gt;"Adjustment"),"Negative amount — check this entry",IF(AND(D1076="Customer Payment",G1076=""),"Add the customer",IF(AND(D1076="Customer Payment",OR(J1076="",COUNTIF(ar_No,J1076&amp;"")=0)),"Invoice # in Reference not found on AR sheet",IF(AND(D1076="Bill Payment",H1076=""),"Add the vendor",IF(AND(D1076="Bill Payment",OR(J1076="",COUNTIFS(ap_No,J1076&amp;"",ap_Party,H1076&amp;"")=0)),"Bill # + vendor not found on AP sheet",IF(AND(ISNUMBER(M1076),N(M1076)&lt;&gt;0,W1076=0),"Tax ignored (tax tracking off, or not allowed for this type)",IF(V1076=K1076&amp;"","Same account on both sides",IF(AND(ISNUMBER(StartDate),C1076&lt;StartDate),"Date is before the accounting start date",IF(AND(D1076&lt;&gt;"Adjustment",IFERROR(INDEX(coa_Pay,MATCH(K1076&amp;"",coa_Name,0)),"")&lt;&gt;"Yes"),"Paid From / Deposited To is not a payment account","")))))))))))</f>
        <v/>
      </c>
      <c r="Z1076" s="67">
        <f>IF(AND(T1076=0,X1076=""),1,0)</f>
        <v/>
      </c>
      <c r="AA1076" s="68">
        <f>IF(Z1076=1,IF(U1076="In",L1076,L1076-W1076),0)</f>
        <v/>
      </c>
      <c r="AB1076" s="68">
        <f>IF(Z1076=1,IF(U1076="In",L1076-W1076,L1076),0)</f>
        <v/>
      </c>
      <c r="AC1076" s="68">
        <f>IF(AND(Z1076=1,U1076="Out"),W1076,0)</f>
        <v/>
      </c>
      <c r="AD1076" s="68">
        <f>IF(AND(Z1076=1,U1076="In"),W1076,0)</f>
        <v/>
      </c>
    </row>
    <row r="1077">
      <c r="B1077" s="62" t="inlineStr">
        <is>
          <t>TX-1071</t>
        </is>
      </c>
      <c r="C1077" s="63" t="n"/>
      <c r="D1077" s="62" t="n"/>
      <c r="E1077" s="62" t="n"/>
      <c r="F1077" s="62" t="n"/>
      <c r="G1077" s="62" t="n"/>
      <c r="H1077" s="62" t="n"/>
      <c r="I1077" s="62" t="n"/>
      <c r="J1077" s="62" t="n"/>
      <c r="K1077" s="62" t="n"/>
      <c r="L1077" s="64" t="n"/>
      <c r="M1077" s="64" t="n"/>
      <c r="N1077" s="62" t="n"/>
      <c r="O1077" s="65">
        <f>IF(Z1077=1,L1077-W1077,"")</f>
        <v/>
      </c>
      <c r="P1077" s="66">
        <f>IF(V1077="","",IFERROR(INDEX(coa_Type,MATCH(V1077,coa_Name,0)),""))</f>
        <v/>
      </c>
      <c r="Q1077" s="66">
        <f>IF(Z1077=1,IF(U1077="In",K1077&amp;"",V1077),"")</f>
        <v/>
      </c>
      <c r="R1077" s="66">
        <f>IF(Z1077=1,IF(U1077="In",V1077,K1077&amp;""),"")</f>
        <v/>
      </c>
      <c r="S1077" s="66">
        <f>IF(X1077&lt;&gt;"","⛔ "&amp;X1077&amp;" — not posted",IF(Y1077&lt;&gt;"","⚠ "&amp;Y1077,IF(Z1077=1,"✓ OK","")))</f>
        <v/>
      </c>
      <c r="T1077" s="67">
        <f>IF(AND(C1077="",D1077="",E1077="",L1077="",K1077=""),1,0)</f>
        <v/>
      </c>
      <c r="U1077" s="67">
        <f>IFERROR(INDEX(tt_Dir,MATCH(D1077,tt_Type,0)),"")</f>
        <v/>
      </c>
      <c r="V1077" s="67">
        <f>IF(D1077="","",IFERROR(IF(INDEX(tt_Other,MATCH(D1077,tt_Type,0))="",E1077&amp;"",INDEX(tt_Other,MATCH(D1077,tt_Type,0))),""))</f>
        <v/>
      </c>
      <c r="W1077" s="68">
        <f>IF(OR(TaxOn&lt;&gt;"Yes",NOT(ISNUMBER(M1077))),0,IF(IFERROR(INDEX(tt_Tax,MATCH(D1077,tt_Type,0)),"No")="Yes",M1077,0))</f>
        <v/>
      </c>
      <c r="X1077" s="67">
        <f>IF(T1077=1,"",IF(C1077="","Missing transaction date",IF(NOT(ISNUMBER(C1077)),"Invalid date",IF(OR(C1077&lt;DATE(2000,1,1),C1077&gt;DATE(2099,12,31)),"Invalid date",IF(D1077="","Select a type",IF(U1077="","Unknown type: "&amp;D1077,IF(V1077="","Select an account (Category)",IF(ISNA(MATCH(V1077,coa_Name,0)),"Unknown account: "&amp;V1077,IF(K1077="","Select Paid From / Deposited To",IF(ISNA(MATCH(K1077,coa_Name,0)),"Unknown account: "&amp;K1077,IF(NOT(ISNUMBER(L1077)),"Enter an amount",IF(L1077=0,"Enter an amount",IF(ABS(W1077)&gt;ABS(L1077),"Tax is larger than the amount","")))))))))))))</f>
        <v/>
      </c>
      <c r="Y1077" s="67">
        <f>IF(OR(T1077=1,X1077&lt;&gt;""),"",IF(AND(B1077&lt;&gt;"",COUNTIF(tx_ID,B1077)&gt;1),"Duplicate transaction ID",IF(AND(L1077&lt;0,D1077&lt;&gt;"Adjustment"),"Negative amount — check this entry",IF(AND(D1077="Customer Payment",G1077=""),"Add the customer",IF(AND(D1077="Customer Payment",OR(J1077="",COUNTIF(ar_No,J1077&amp;"")=0)),"Invoice # in Reference not found on AR sheet",IF(AND(D1077="Bill Payment",H1077=""),"Add the vendor",IF(AND(D1077="Bill Payment",OR(J1077="",COUNTIFS(ap_No,J1077&amp;"",ap_Party,H1077&amp;"")=0)),"Bill # + vendor not found on AP sheet",IF(AND(ISNUMBER(M1077),N(M1077)&lt;&gt;0,W1077=0),"Tax ignored (tax tracking off, or not allowed for this type)",IF(V1077=K1077&amp;"","Same account on both sides",IF(AND(ISNUMBER(StartDate),C1077&lt;StartDate),"Date is before the accounting start date",IF(AND(D1077&lt;&gt;"Adjustment",IFERROR(INDEX(coa_Pay,MATCH(K1077&amp;"",coa_Name,0)),"")&lt;&gt;"Yes"),"Paid From / Deposited To is not a payment account","")))))))))))</f>
        <v/>
      </c>
      <c r="Z1077" s="67">
        <f>IF(AND(T1077=0,X1077=""),1,0)</f>
        <v/>
      </c>
      <c r="AA1077" s="68">
        <f>IF(Z1077=1,IF(U1077="In",L1077,L1077-W1077),0)</f>
        <v/>
      </c>
      <c r="AB1077" s="68">
        <f>IF(Z1077=1,IF(U1077="In",L1077-W1077,L1077),0)</f>
        <v/>
      </c>
      <c r="AC1077" s="68">
        <f>IF(AND(Z1077=1,U1077="Out"),W1077,0)</f>
        <v/>
      </c>
      <c r="AD1077" s="68">
        <f>IF(AND(Z1077=1,U1077="In"),W1077,0)</f>
        <v/>
      </c>
    </row>
    <row r="1078">
      <c r="B1078" s="62" t="inlineStr">
        <is>
          <t>TX-1072</t>
        </is>
      </c>
      <c r="C1078" s="63" t="n"/>
      <c r="D1078" s="62" t="n"/>
      <c r="E1078" s="62" t="n"/>
      <c r="F1078" s="62" t="n"/>
      <c r="G1078" s="62" t="n"/>
      <c r="H1078" s="62" t="n"/>
      <c r="I1078" s="62" t="n"/>
      <c r="J1078" s="62" t="n"/>
      <c r="K1078" s="62" t="n"/>
      <c r="L1078" s="64" t="n"/>
      <c r="M1078" s="64" t="n"/>
      <c r="N1078" s="62" t="n"/>
      <c r="O1078" s="65">
        <f>IF(Z1078=1,L1078-W1078,"")</f>
        <v/>
      </c>
      <c r="P1078" s="66">
        <f>IF(V1078="","",IFERROR(INDEX(coa_Type,MATCH(V1078,coa_Name,0)),""))</f>
        <v/>
      </c>
      <c r="Q1078" s="66">
        <f>IF(Z1078=1,IF(U1078="In",K1078&amp;"",V1078),"")</f>
        <v/>
      </c>
      <c r="R1078" s="66">
        <f>IF(Z1078=1,IF(U1078="In",V1078,K1078&amp;""),"")</f>
        <v/>
      </c>
      <c r="S1078" s="66">
        <f>IF(X1078&lt;&gt;"","⛔ "&amp;X1078&amp;" — not posted",IF(Y1078&lt;&gt;"","⚠ "&amp;Y1078,IF(Z1078=1,"✓ OK","")))</f>
        <v/>
      </c>
      <c r="T1078" s="67">
        <f>IF(AND(C1078="",D1078="",E1078="",L1078="",K1078=""),1,0)</f>
        <v/>
      </c>
      <c r="U1078" s="67">
        <f>IFERROR(INDEX(tt_Dir,MATCH(D1078,tt_Type,0)),"")</f>
        <v/>
      </c>
      <c r="V1078" s="67">
        <f>IF(D1078="","",IFERROR(IF(INDEX(tt_Other,MATCH(D1078,tt_Type,0))="",E1078&amp;"",INDEX(tt_Other,MATCH(D1078,tt_Type,0))),""))</f>
        <v/>
      </c>
      <c r="W1078" s="68">
        <f>IF(OR(TaxOn&lt;&gt;"Yes",NOT(ISNUMBER(M1078))),0,IF(IFERROR(INDEX(tt_Tax,MATCH(D1078,tt_Type,0)),"No")="Yes",M1078,0))</f>
        <v/>
      </c>
      <c r="X1078" s="67">
        <f>IF(T1078=1,"",IF(C1078="","Missing transaction date",IF(NOT(ISNUMBER(C1078)),"Invalid date",IF(OR(C1078&lt;DATE(2000,1,1),C1078&gt;DATE(2099,12,31)),"Invalid date",IF(D1078="","Select a type",IF(U1078="","Unknown type: "&amp;D1078,IF(V1078="","Select an account (Category)",IF(ISNA(MATCH(V1078,coa_Name,0)),"Unknown account: "&amp;V1078,IF(K1078="","Select Paid From / Deposited To",IF(ISNA(MATCH(K1078,coa_Name,0)),"Unknown account: "&amp;K1078,IF(NOT(ISNUMBER(L1078)),"Enter an amount",IF(L1078=0,"Enter an amount",IF(ABS(W1078)&gt;ABS(L1078),"Tax is larger than the amount","")))))))))))))</f>
        <v/>
      </c>
      <c r="Y1078" s="67">
        <f>IF(OR(T1078=1,X1078&lt;&gt;""),"",IF(AND(B1078&lt;&gt;"",COUNTIF(tx_ID,B1078)&gt;1),"Duplicate transaction ID",IF(AND(L1078&lt;0,D1078&lt;&gt;"Adjustment"),"Negative amount — check this entry",IF(AND(D1078="Customer Payment",G1078=""),"Add the customer",IF(AND(D1078="Customer Payment",OR(J1078="",COUNTIF(ar_No,J1078&amp;"")=0)),"Invoice # in Reference not found on AR sheet",IF(AND(D1078="Bill Payment",H1078=""),"Add the vendor",IF(AND(D1078="Bill Payment",OR(J1078="",COUNTIFS(ap_No,J1078&amp;"",ap_Party,H1078&amp;"")=0)),"Bill # + vendor not found on AP sheet",IF(AND(ISNUMBER(M1078),N(M1078)&lt;&gt;0,W1078=0),"Tax ignored (tax tracking off, or not allowed for this type)",IF(V1078=K1078&amp;"","Same account on both sides",IF(AND(ISNUMBER(StartDate),C1078&lt;StartDate),"Date is before the accounting start date",IF(AND(D1078&lt;&gt;"Adjustment",IFERROR(INDEX(coa_Pay,MATCH(K1078&amp;"",coa_Name,0)),"")&lt;&gt;"Yes"),"Paid From / Deposited To is not a payment account","")))))))))))</f>
        <v/>
      </c>
      <c r="Z1078" s="67">
        <f>IF(AND(T1078=0,X1078=""),1,0)</f>
        <v/>
      </c>
      <c r="AA1078" s="68">
        <f>IF(Z1078=1,IF(U1078="In",L1078,L1078-W1078),0)</f>
        <v/>
      </c>
      <c r="AB1078" s="68">
        <f>IF(Z1078=1,IF(U1078="In",L1078-W1078,L1078),0)</f>
        <v/>
      </c>
      <c r="AC1078" s="68">
        <f>IF(AND(Z1078=1,U1078="Out"),W1078,0)</f>
        <v/>
      </c>
      <c r="AD1078" s="68">
        <f>IF(AND(Z1078=1,U1078="In"),W1078,0)</f>
        <v/>
      </c>
    </row>
    <row r="1079">
      <c r="B1079" s="62" t="inlineStr">
        <is>
          <t>TX-1073</t>
        </is>
      </c>
      <c r="C1079" s="63" t="n"/>
      <c r="D1079" s="62" t="n"/>
      <c r="E1079" s="62" t="n"/>
      <c r="F1079" s="62" t="n"/>
      <c r="G1079" s="62" t="n"/>
      <c r="H1079" s="62" t="n"/>
      <c r="I1079" s="62" t="n"/>
      <c r="J1079" s="62" t="n"/>
      <c r="K1079" s="62" t="n"/>
      <c r="L1079" s="64" t="n"/>
      <c r="M1079" s="64" t="n"/>
      <c r="N1079" s="62" t="n"/>
      <c r="O1079" s="65">
        <f>IF(Z1079=1,L1079-W1079,"")</f>
        <v/>
      </c>
      <c r="P1079" s="66">
        <f>IF(V1079="","",IFERROR(INDEX(coa_Type,MATCH(V1079,coa_Name,0)),""))</f>
        <v/>
      </c>
      <c r="Q1079" s="66">
        <f>IF(Z1079=1,IF(U1079="In",K1079&amp;"",V1079),"")</f>
        <v/>
      </c>
      <c r="R1079" s="66">
        <f>IF(Z1079=1,IF(U1079="In",V1079,K1079&amp;""),"")</f>
        <v/>
      </c>
      <c r="S1079" s="66">
        <f>IF(X1079&lt;&gt;"","⛔ "&amp;X1079&amp;" — not posted",IF(Y1079&lt;&gt;"","⚠ "&amp;Y1079,IF(Z1079=1,"✓ OK","")))</f>
        <v/>
      </c>
      <c r="T1079" s="67">
        <f>IF(AND(C1079="",D1079="",E1079="",L1079="",K1079=""),1,0)</f>
        <v/>
      </c>
      <c r="U1079" s="67">
        <f>IFERROR(INDEX(tt_Dir,MATCH(D1079,tt_Type,0)),"")</f>
        <v/>
      </c>
      <c r="V1079" s="67">
        <f>IF(D1079="","",IFERROR(IF(INDEX(tt_Other,MATCH(D1079,tt_Type,0))="",E1079&amp;"",INDEX(tt_Other,MATCH(D1079,tt_Type,0))),""))</f>
        <v/>
      </c>
      <c r="W1079" s="68">
        <f>IF(OR(TaxOn&lt;&gt;"Yes",NOT(ISNUMBER(M1079))),0,IF(IFERROR(INDEX(tt_Tax,MATCH(D1079,tt_Type,0)),"No")="Yes",M1079,0))</f>
        <v/>
      </c>
      <c r="X1079" s="67">
        <f>IF(T1079=1,"",IF(C1079="","Missing transaction date",IF(NOT(ISNUMBER(C1079)),"Invalid date",IF(OR(C1079&lt;DATE(2000,1,1),C1079&gt;DATE(2099,12,31)),"Invalid date",IF(D1079="","Select a type",IF(U1079="","Unknown type: "&amp;D1079,IF(V1079="","Select an account (Category)",IF(ISNA(MATCH(V1079,coa_Name,0)),"Unknown account: "&amp;V1079,IF(K1079="","Select Paid From / Deposited To",IF(ISNA(MATCH(K1079,coa_Name,0)),"Unknown account: "&amp;K1079,IF(NOT(ISNUMBER(L1079)),"Enter an amount",IF(L1079=0,"Enter an amount",IF(ABS(W1079)&gt;ABS(L1079),"Tax is larger than the amount","")))))))))))))</f>
        <v/>
      </c>
      <c r="Y1079" s="67">
        <f>IF(OR(T1079=1,X1079&lt;&gt;""),"",IF(AND(B1079&lt;&gt;"",COUNTIF(tx_ID,B1079)&gt;1),"Duplicate transaction ID",IF(AND(L1079&lt;0,D1079&lt;&gt;"Adjustment"),"Negative amount — check this entry",IF(AND(D1079="Customer Payment",G1079=""),"Add the customer",IF(AND(D1079="Customer Payment",OR(J1079="",COUNTIF(ar_No,J1079&amp;"")=0)),"Invoice # in Reference not found on AR sheet",IF(AND(D1079="Bill Payment",H1079=""),"Add the vendor",IF(AND(D1079="Bill Payment",OR(J1079="",COUNTIFS(ap_No,J1079&amp;"",ap_Party,H1079&amp;"")=0)),"Bill # + vendor not found on AP sheet",IF(AND(ISNUMBER(M1079),N(M1079)&lt;&gt;0,W1079=0),"Tax ignored (tax tracking off, or not allowed for this type)",IF(V1079=K1079&amp;"","Same account on both sides",IF(AND(ISNUMBER(StartDate),C1079&lt;StartDate),"Date is before the accounting start date",IF(AND(D1079&lt;&gt;"Adjustment",IFERROR(INDEX(coa_Pay,MATCH(K1079&amp;"",coa_Name,0)),"")&lt;&gt;"Yes"),"Paid From / Deposited To is not a payment account","")))))))))))</f>
        <v/>
      </c>
      <c r="Z1079" s="67">
        <f>IF(AND(T1079=0,X1079=""),1,0)</f>
        <v/>
      </c>
      <c r="AA1079" s="68">
        <f>IF(Z1079=1,IF(U1079="In",L1079,L1079-W1079),0)</f>
        <v/>
      </c>
      <c r="AB1079" s="68">
        <f>IF(Z1079=1,IF(U1079="In",L1079-W1079,L1079),0)</f>
        <v/>
      </c>
      <c r="AC1079" s="68">
        <f>IF(AND(Z1079=1,U1079="Out"),W1079,0)</f>
        <v/>
      </c>
      <c r="AD1079" s="68">
        <f>IF(AND(Z1079=1,U1079="In"),W1079,0)</f>
        <v/>
      </c>
    </row>
    <row r="1080">
      <c r="B1080" s="62" t="inlineStr">
        <is>
          <t>TX-1074</t>
        </is>
      </c>
      <c r="C1080" s="63" t="n"/>
      <c r="D1080" s="62" t="n"/>
      <c r="E1080" s="62" t="n"/>
      <c r="F1080" s="62" t="n"/>
      <c r="G1080" s="62" t="n"/>
      <c r="H1080" s="62" t="n"/>
      <c r="I1080" s="62" t="n"/>
      <c r="J1080" s="62" t="n"/>
      <c r="K1080" s="62" t="n"/>
      <c r="L1080" s="64" t="n"/>
      <c r="M1080" s="64" t="n"/>
      <c r="N1080" s="62" t="n"/>
      <c r="O1080" s="65">
        <f>IF(Z1080=1,L1080-W1080,"")</f>
        <v/>
      </c>
      <c r="P1080" s="66">
        <f>IF(V1080="","",IFERROR(INDEX(coa_Type,MATCH(V1080,coa_Name,0)),""))</f>
        <v/>
      </c>
      <c r="Q1080" s="66">
        <f>IF(Z1080=1,IF(U1080="In",K1080&amp;"",V1080),"")</f>
        <v/>
      </c>
      <c r="R1080" s="66">
        <f>IF(Z1080=1,IF(U1080="In",V1080,K1080&amp;""),"")</f>
        <v/>
      </c>
      <c r="S1080" s="66">
        <f>IF(X1080&lt;&gt;"","⛔ "&amp;X1080&amp;" — not posted",IF(Y1080&lt;&gt;"","⚠ "&amp;Y1080,IF(Z1080=1,"✓ OK","")))</f>
        <v/>
      </c>
      <c r="T1080" s="67">
        <f>IF(AND(C1080="",D1080="",E1080="",L1080="",K1080=""),1,0)</f>
        <v/>
      </c>
      <c r="U1080" s="67">
        <f>IFERROR(INDEX(tt_Dir,MATCH(D1080,tt_Type,0)),"")</f>
        <v/>
      </c>
      <c r="V1080" s="67">
        <f>IF(D1080="","",IFERROR(IF(INDEX(tt_Other,MATCH(D1080,tt_Type,0))="",E1080&amp;"",INDEX(tt_Other,MATCH(D1080,tt_Type,0))),""))</f>
        <v/>
      </c>
      <c r="W1080" s="68">
        <f>IF(OR(TaxOn&lt;&gt;"Yes",NOT(ISNUMBER(M1080))),0,IF(IFERROR(INDEX(tt_Tax,MATCH(D1080,tt_Type,0)),"No")="Yes",M1080,0))</f>
        <v/>
      </c>
      <c r="X1080" s="67">
        <f>IF(T1080=1,"",IF(C1080="","Missing transaction date",IF(NOT(ISNUMBER(C1080)),"Invalid date",IF(OR(C1080&lt;DATE(2000,1,1),C1080&gt;DATE(2099,12,31)),"Invalid date",IF(D1080="","Select a type",IF(U1080="","Unknown type: "&amp;D1080,IF(V1080="","Select an account (Category)",IF(ISNA(MATCH(V1080,coa_Name,0)),"Unknown account: "&amp;V1080,IF(K1080="","Select Paid From / Deposited To",IF(ISNA(MATCH(K1080,coa_Name,0)),"Unknown account: "&amp;K1080,IF(NOT(ISNUMBER(L1080)),"Enter an amount",IF(L1080=0,"Enter an amount",IF(ABS(W1080)&gt;ABS(L1080),"Tax is larger than the amount","")))))))))))))</f>
        <v/>
      </c>
      <c r="Y1080" s="67">
        <f>IF(OR(T1080=1,X1080&lt;&gt;""),"",IF(AND(B1080&lt;&gt;"",COUNTIF(tx_ID,B1080)&gt;1),"Duplicate transaction ID",IF(AND(L1080&lt;0,D1080&lt;&gt;"Adjustment"),"Negative amount — check this entry",IF(AND(D1080="Customer Payment",G1080=""),"Add the customer",IF(AND(D1080="Customer Payment",OR(J1080="",COUNTIF(ar_No,J1080&amp;"")=0)),"Invoice # in Reference not found on AR sheet",IF(AND(D1080="Bill Payment",H1080=""),"Add the vendor",IF(AND(D1080="Bill Payment",OR(J1080="",COUNTIFS(ap_No,J1080&amp;"",ap_Party,H1080&amp;"")=0)),"Bill # + vendor not found on AP sheet",IF(AND(ISNUMBER(M1080),N(M1080)&lt;&gt;0,W1080=0),"Tax ignored (tax tracking off, or not allowed for this type)",IF(V1080=K1080&amp;"","Same account on both sides",IF(AND(ISNUMBER(StartDate),C1080&lt;StartDate),"Date is before the accounting start date",IF(AND(D1080&lt;&gt;"Adjustment",IFERROR(INDEX(coa_Pay,MATCH(K1080&amp;"",coa_Name,0)),"")&lt;&gt;"Yes"),"Paid From / Deposited To is not a payment account","")))))))))))</f>
        <v/>
      </c>
      <c r="Z1080" s="67">
        <f>IF(AND(T1080=0,X1080=""),1,0)</f>
        <v/>
      </c>
      <c r="AA1080" s="68">
        <f>IF(Z1080=1,IF(U1080="In",L1080,L1080-W1080),0)</f>
        <v/>
      </c>
      <c r="AB1080" s="68">
        <f>IF(Z1080=1,IF(U1080="In",L1080-W1080,L1080),0)</f>
        <v/>
      </c>
      <c r="AC1080" s="68">
        <f>IF(AND(Z1080=1,U1080="Out"),W1080,0)</f>
        <v/>
      </c>
      <c r="AD1080" s="68">
        <f>IF(AND(Z1080=1,U1080="In"),W1080,0)</f>
        <v/>
      </c>
    </row>
    <row r="1081">
      <c r="B1081" s="62" t="inlineStr">
        <is>
          <t>TX-1075</t>
        </is>
      </c>
      <c r="C1081" s="63" t="n"/>
      <c r="D1081" s="62" t="n"/>
      <c r="E1081" s="62" t="n"/>
      <c r="F1081" s="62" t="n"/>
      <c r="G1081" s="62" t="n"/>
      <c r="H1081" s="62" t="n"/>
      <c r="I1081" s="62" t="n"/>
      <c r="J1081" s="62" t="n"/>
      <c r="K1081" s="62" t="n"/>
      <c r="L1081" s="64" t="n"/>
      <c r="M1081" s="64" t="n"/>
      <c r="N1081" s="62" t="n"/>
      <c r="O1081" s="65">
        <f>IF(Z1081=1,L1081-W1081,"")</f>
        <v/>
      </c>
      <c r="P1081" s="66">
        <f>IF(V1081="","",IFERROR(INDEX(coa_Type,MATCH(V1081,coa_Name,0)),""))</f>
        <v/>
      </c>
      <c r="Q1081" s="66">
        <f>IF(Z1081=1,IF(U1081="In",K1081&amp;"",V1081),"")</f>
        <v/>
      </c>
      <c r="R1081" s="66">
        <f>IF(Z1081=1,IF(U1081="In",V1081,K1081&amp;""),"")</f>
        <v/>
      </c>
      <c r="S1081" s="66">
        <f>IF(X1081&lt;&gt;"","⛔ "&amp;X1081&amp;" — not posted",IF(Y1081&lt;&gt;"","⚠ "&amp;Y1081,IF(Z1081=1,"✓ OK","")))</f>
        <v/>
      </c>
      <c r="T1081" s="67">
        <f>IF(AND(C1081="",D1081="",E1081="",L1081="",K1081=""),1,0)</f>
        <v/>
      </c>
      <c r="U1081" s="67">
        <f>IFERROR(INDEX(tt_Dir,MATCH(D1081,tt_Type,0)),"")</f>
        <v/>
      </c>
      <c r="V1081" s="67">
        <f>IF(D1081="","",IFERROR(IF(INDEX(tt_Other,MATCH(D1081,tt_Type,0))="",E1081&amp;"",INDEX(tt_Other,MATCH(D1081,tt_Type,0))),""))</f>
        <v/>
      </c>
      <c r="W1081" s="68">
        <f>IF(OR(TaxOn&lt;&gt;"Yes",NOT(ISNUMBER(M1081))),0,IF(IFERROR(INDEX(tt_Tax,MATCH(D1081,tt_Type,0)),"No")="Yes",M1081,0))</f>
        <v/>
      </c>
      <c r="X1081" s="67">
        <f>IF(T1081=1,"",IF(C1081="","Missing transaction date",IF(NOT(ISNUMBER(C1081)),"Invalid date",IF(OR(C1081&lt;DATE(2000,1,1),C1081&gt;DATE(2099,12,31)),"Invalid date",IF(D1081="","Select a type",IF(U1081="","Unknown type: "&amp;D1081,IF(V1081="","Select an account (Category)",IF(ISNA(MATCH(V1081,coa_Name,0)),"Unknown account: "&amp;V1081,IF(K1081="","Select Paid From / Deposited To",IF(ISNA(MATCH(K1081,coa_Name,0)),"Unknown account: "&amp;K1081,IF(NOT(ISNUMBER(L1081)),"Enter an amount",IF(L1081=0,"Enter an amount",IF(ABS(W1081)&gt;ABS(L1081),"Tax is larger than the amount","")))))))))))))</f>
        <v/>
      </c>
      <c r="Y1081" s="67">
        <f>IF(OR(T1081=1,X1081&lt;&gt;""),"",IF(AND(B1081&lt;&gt;"",COUNTIF(tx_ID,B1081)&gt;1),"Duplicate transaction ID",IF(AND(L1081&lt;0,D1081&lt;&gt;"Adjustment"),"Negative amount — check this entry",IF(AND(D1081="Customer Payment",G1081=""),"Add the customer",IF(AND(D1081="Customer Payment",OR(J1081="",COUNTIF(ar_No,J1081&amp;"")=0)),"Invoice # in Reference not found on AR sheet",IF(AND(D1081="Bill Payment",H1081=""),"Add the vendor",IF(AND(D1081="Bill Payment",OR(J1081="",COUNTIFS(ap_No,J1081&amp;"",ap_Party,H1081&amp;"")=0)),"Bill # + vendor not found on AP sheet",IF(AND(ISNUMBER(M1081),N(M1081)&lt;&gt;0,W1081=0),"Tax ignored (tax tracking off, or not allowed for this type)",IF(V1081=K1081&amp;"","Same account on both sides",IF(AND(ISNUMBER(StartDate),C1081&lt;StartDate),"Date is before the accounting start date",IF(AND(D1081&lt;&gt;"Adjustment",IFERROR(INDEX(coa_Pay,MATCH(K1081&amp;"",coa_Name,0)),"")&lt;&gt;"Yes"),"Paid From / Deposited To is not a payment account","")))))))))))</f>
        <v/>
      </c>
      <c r="Z1081" s="67">
        <f>IF(AND(T1081=0,X1081=""),1,0)</f>
        <v/>
      </c>
      <c r="AA1081" s="68">
        <f>IF(Z1081=1,IF(U1081="In",L1081,L1081-W1081),0)</f>
        <v/>
      </c>
      <c r="AB1081" s="68">
        <f>IF(Z1081=1,IF(U1081="In",L1081-W1081,L1081),0)</f>
        <v/>
      </c>
      <c r="AC1081" s="68">
        <f>IF(AND(Z1081=1,U1081="Out"),W1081,0)</f>
        <v/>
      </c>
      <c r="AD1081" s="68">
        <f>IF(AND(Z1081=1,U1081="In"),W1081,0)</f>
        <v/>
      </c>
    </row>
    <row r="1082">
      <c r="B1082" s="62" t="inlineStr">
        <is>
          <t>TX-1076</t>
        </is>
      </c>
      <c r="C1082" s="63" t="n"/>
      <c r="D1082" s="62" t="n"/>
      <c r="E1082" s="62" t="n"/>
      <c r="F1082" s="62" t="n"/>
      <c r="G1082" s="62" t="n"/>
      <c r="H1082" s="62" t="n"/>
      <c r="I1082" s="62" t="n"/>
      <c r="J1082" s="62" t="n"/>
      <c r="K1082" s="62" t="n"/>
      <c r="L1082" s="64" t="n"/>
      <c r="M1082" s="64" t="n"/>
      <c r="N1082" s="62" t="n"/>
      <c r="O1082" s="65">
        <f>IF(Z1082=1,L1082-W1082,"")</f>
        <v/>
      </c>
      <c r="P1082" s="66">
        <f>IF(V1082="","",IFERROR(INDEX(coa_Type,MATCH(V1082,coa_Name,0)),""))</f>
        <v/>
      </c>
      <c r="Q1082" s="66">
        <f>IF(Z1082=1,IF(U1082="In",K1082&amp;"",V1082),"")</f>
        <v/>
      </c>
      <c r="R1082" s="66">
        <f>IF(Z1082=1,IF(U1082="In",V1082,K1082&amp;""),"")</f>
        <v/>
      </c>
      <c r="S1082" s="66">
        <f>IF(X1082&lt;&gt;"","⛔ "&amp;X1082&amp;" — not posted",IF(Y1082&lt;&gt;"","⚠ "&amp;Y1082,IF(Z1082=1,"✓ OK","")))</f>
        <v/>
      </c>
      <c r="T1082" s="67">
        <f>IF(AND(C1082="",D1082="",E1082="",L1082="",K1082=""),1,0)</f>
        <v/>
      </c>
      <c r="U1082" s="67">
        <f>IFERROR(INDEX(tt_Dir,MATCH(D1082,tt_Type,0)),"")</f>
        <v/>
      </c>
      <c r="V1082" s="67">
        <f>IF(D1082="","",IFERROR(IF(INDEX(tt_Other,MATCH(D1082,tt_Type,0))="",E1082&amp;"",INDEX(tt_Other,MATCH(D1082,tt_Type,0))),""))</f>
        <v/>
      </c>
      <c r="W1082" s="68">
        <f>IF(OR(TaxOn&lt;&gt;"Yes",NOT(ISNUMBER(M1082))),0,IF(IFERROR(INDEX(tt_Tax,MATCH(D1082,tt_Type,0)),"No")="Yes",M1082,0))</f>
        <v/>
      </c>
      <c r="X1082" s="67">
        <f>IF(T1082=1,"",IF(C1082="","Missing transaction date",IF(NOT(ISNUMBER(C1082)),"Invalid date",IF(OR(C1082&lt;DATE(2000,1,1),C1082&gt;DATE(2099,12,31)),"Invalid date",IF(D1082="","Select a type",IF(U1082="","Unknown type: "&amp;D1082,IF(V1082="","Select an account (Category)",IF(ISNA(MATCH(V1082,coa_Name,0)),"Unknown account: "&amp;V1082,IF(K1082="","Select Paid From / Deposited To",IF(ISNA(MATCH(K1082,coa_Name,0)),"Unknown account: "&amp;K1082,IF(NOT(ISNUMBER(L1082)),"Enter an amount",IF(L1082=0,"Enter an amount",IF(ABS(W1082)&gt;ABS(L1082),"Tax is larger than the amount","")))))))))))))</f>
        <v/>
      </c>
      <c r="Y1082" s="67">
        <f>IF(OR(T1082=1,X1082&lt;&gt;""),"",IF(AND(B1082&lt;&gt;"",COUNTIF(tx_ID,B1082)&gt;1),"Duplicate transaction ID",IF(AND(L1082&lt;0,D1082&lt;&gt;"Adjustment"),"Negative amount — check this entry",IF(AND(D1082="Customer Payment",G1082=""),"Add the customer",IF(AND(D1082="Customer Payment",OR(J1082="",COUNTIF(ar_No,J1082&amp;"")=0)),"Invoice # in Reference not found on AR sheet",IF(AND(D1082="Bill Payment",H1082=""),"Add the vendor",IF(AND(D1082="Bill Payment",OR(J1082="",COUNTIFS(ap_No,J1082&amp;"",ap_Party,H1082&amp;"")=0)),"Bill # + vendor not found on AP sheet",IF(AND(ISNUMBER(M1082),N(M1082)&lt;&gt;0,W1082=0),"Tax ignored (tax tracking off, or not allowed for this type)",IF(V1082=K1082&amp;"","Same account on both sides",IF(AND(ISNUMBER(StartDate),C1082&lt;StartDate),"Date is before the accounting start date",IF(AND(D1082&lt;&gt;"Adjustment",IFERROR(INDEX(coa_Pay,MATCH(K1082&amp;"",coa_Name,0)),"")&lt;&gt;"Yes"),"Paid From / Deposited To is not a payment account","")))))))))))</f>
        <v/>
      </c>
      <c r="Z1082" s="67">
        <f>IF(AND(T1082=0,X1082=""),1,0)</f>
        <v/>
      </c>
      <c r="AA1082" s="68">
        <f>IF(Z1082=1,IF(U1082="In",L1082,L1082-W1082),0)</f>
        <v/>
      </c>
      <c r="AB1082" s="68">
        <f>IF(Z1082=1,IF(U1082="In",L1082-W1082,L1082),0)</f>
        <v/>
      </c>
      <c r="AC1082" s="68">
        <f>IF(AND(Z1082=1,U1082="Out"),W1082,0)</f>
        <v/>
      </c>
      <c r="AD1082" s="68">
        <f>IF(AND(Z1082=1,U1082="In"),W1082,0)</f>
        <v/>
      </c>
    </row>
    <row r="1083">
      <c r="B1083" s="62" t="inlineStr">
        <is>
          <t>TX-1077</t>
        </is>
      </c>
      <c r="C1083" s="63" t="n"/>
      <c r="D1083" s="62" t="n"/>
      <c r="E1083" s="62" t="n"/>
      <c r="F1083" s="62" t="n"/>
      <c r="G1083" s="62" t="n"/>
      <c r="H1083" s="62" t="n"/>
      <c r="I1083" s="62" t="n"/>
      <c r="J1083" s="62" t="n"/>
      <c r="K1083" s="62" t="n"/>
      <c r="L1083" s="64" t="n"/>
      <c r="M1083" s="64" t="n"/>
      <c r="N1083" s="62" t="n"/>
      <c r="O1083" s="65">
        <f>IF(Z1083=1,L1083-W1083,"")</f>
        <v/>
      </c>
      <c r="P1083" s="66">
        <f>IF(V1083="","",IFERROR(INDEX(coa_Type,MATCH(V1083,coa_Name,0)),""))</f>
        <v/>
      </c>
      <c r="Q1083" s="66">
        <f>IF(Z1083=1,IF(U1083="In",K1083&amp;"",V1083),"")</f>
        <v/>
      </c>
      <c r="R1083" s="66">
        <f>IF(Z1083=1,IF(U1083="In",V1083,K1083&amp;""),"")</f>
        <v/>
      </c>
      <c r="S1083" s="66">
        <f>IF(X1083&lt;&gt;"","⛔ "&amp;X1083&amp;" — not posted",IF(Y1083&lt;&gt;"","⚠ "&amp;Y1083,IF(Z1083=1,"✓ OK","")))</f>
        <v/>
      </c>
      <c r="T1083" s="67">
        <f>IF(AND(C1083="",D1083="",E1083="",L1083="",K1083=""),1,0)</f>
        <v/>
      </c>
      <c r="U1083" s="67">
        <f>IFERROR(INDEX(tt_Dir,MATCH(D1083,tt_Type,0)),"")</f>
        <v/>
      </c>
      <c r="V1083" s="67">
        <f>IF(D1083="","",IFERROR(IF(INDEX(tt_Other,MATCH(D1083,tt_Type,0))="",E1083&amp;"",INDEX(tt_Other,MATCH(D1083,tt_Type,0))),""))</f>
        <v/>
      </c>
      <c r="W1083" s="68">
        <f>IF(OR(TaxOn&lt;&gt;"Yes",NOT(ISNUMBER(M1083))),0,IF(IFERROR(INDEX(tt_Tax,MATCH(D1083,tt_Type,0)),"No")="Yes",M1083,0))</f>
        <v/>
      </c>
      <c r="X1083" s="67">
        <f>IF(T1083=1,"",IF(C1083="","Missing transaction date",IF(NOT(ISNUMBER(C1083)),"Invalid date",IF(OR(C1083&lt;DATE(2000,1,1),C1083&gt;DATE(2099,12,31)),"Invalid date",IF(D1083="","Select a type",IF(U1083="","Unknown type: "&amp;D1083,IF(V1083="","Select an account (Category)",IF(ISNA(MATCH(V1083,coa_Name,0)),"Unknown account: "&amp;V1083,IF(K1083="","Select Paid From / Deposited To",IF(ISNA(MATCH(K1083,coa_Name,0)),"Unknown account: "&amp;K1083,IF(NOT(ISNUMBER(L1083)),"Enter an amount",IF(L1083=0,"Enter an amount",IF(ABS(W1083)&gt;ABS(L1083),"Tax is larger than the amount","")))))))))))))</f>
        <v/>
      </c>
      <c r="Y1083" s="67">
        <f>IF(OR(T1083=1,X1083&lt;&gt;""),"",IF(AND(B1083&lt;&gt;"",COUNTIF(tx_ID,B1083)&gt;1),"Duplicate transaction ID",IF(AND(L1083&lt;0,D1083&lt;&gt;"Adjustment"),"Negative amount — check this entry",IF(AND(D1083="Customer Payment",G1083=""),"Add the customer",IF(AND(D1083="Customer Payment",OR(J1083="",COUNTIF(ar_No,J1083&amp;"")=0)),"Invoice # in Reference not found on AR sheet",IF(AND(D1083="Bill Payment",H1083=""),"Add the vendor",IF(AND(D1083="Bill Payment",OR(J1083="",COUNTIFS(ap_No,J1083&amp;"",ap_Party,H1083&amp;"")=0)),"Bill # + vendor not found on AP sheet",IF(AND(ISNUMBER(M1083),N(M1083)&lt;&gt;0,W1083=0),"Tax ignored (tax tracking off, or not allowed for this type)",IF(V1083=K1083&amp;"","Same account on both sides",IF(AND(ISNUMBER(StartDate),C1083&lt;StartDate),"Date is before the accounting start date",IF(AND(D1083&lt;&gt;"Adjustment",IFERROR(INDEX(coa_Pay,MATCH(K1083&amp;"",coa_Name,0)),"")&lt;&gt;"Yes"),"Paid From / Deposited To is not a payment account","")))))))))))</f>
        <v/>
      </c>
      <c r="Z1083" s="67">
        <f>IF(AND(T1083=0,X1083=""),1,0)</f>
        <v/>
      </c>
      <c r="AA1083" s="68">
        <f>IF(Z1083=1,IF(U1083="In",L1083,L1083-W1083),0)</f>
        <v/>
      </c>
      <c r="AB1083" s="68">
        <f>IF(Z1083=1,IF(U1083="In",L1083-W1083,L1083),0)</f>
        <v/>
      </c>
      <c r="AC1083" s="68">
        <f>IF(AND(Z1083=1,U1083="Out"),W1083,0)</f>
        <v/>
      </c>
      <c r="AD1083" s="68">
        <f>IF(AND(Z1083=1,U1083="In"),W1083,0)</f>
        <v/>
      </c>
    </row>
    <row r="1084">
      <c r="B1084" s="62" t="inlineStr">
        <is>
          <t>TX-1078</t>
        </is>
      </c>
      <c r="C1084" s="63" t="n"/>
      <c r="D1084" s="62" t="n"/>
      <c r="E1084" s="62" t="n"/>
      <c r="F1084" s="62" t="n"/>
      <c r="G1084" s="62" t="n"/>
      <c r="H1084" s="62" t="n"/>
      <c r="I1084" s="62" t="n"/>
      <c r="J1084" s="62" t="n"/>
      <c r="K1084" s="62" t="n"/>
      <c r="L1084" s="64" t="n"/>
      <c r="M1084" s="64" t="n"/>
      <c r="N1084" s="62" t="n"/>
      <c r="O1084" s="65">
        <f>IF(Z1084=1,L1084-W1084,"")</f>
        <v/>
      </c>
      <c r="P1084" s="66">
        <f>IF(V1084="","",IFERROR(INDEX(coa_Type,MATCH(V1084,coa_Name,0)),""))</f>
        <v/>
      </c>
      <c r="Q1084" s="66">
        <f>IF(Z1084=1,IF(U1084="In",K1084&amp;"",V1084),"")</f>
        <v/>
      </c>
      <c r="R1084" s="66">
        <f>IF(Z1084=1,IF(U1084="In",V1084,K1084&amp;""),"")</f>
        <v/>
      </c>
      <c r="S1084" s="66">
        <f>IF(X1084&lt;&gt;"","⛔ "&amp;X1084&amp;" — not posted",IF(Y1084&lt;&gt;"","⚠ "&amp;Y1084,IF(Z1084=1,"✓ OK","")))</f>
        <v/>
      </c>
      <c r="T1084" s="67">
        <f>IF(AND(C1084="",D1084="",E1084="",L1084="",K1084=""),1,0)</f>
        <v/>
      </c>
      <c r="U1084" s="67">
        <f>IFERROR(INDEX(tt_Dir,MATCH(D1084,tt_Type,0)),"")</f>
        <v/>
      </c>
      <c r="V1084" s="67">
        <f>IF(D1084="","",IFERROR(IF(INDEX(tt_Other,MATCH(D1084,tt_Type,0))="",E1084&amp;"",INDEX(tt_Other,MATCH(D1084,tt_Type,0))),""))</f>
        <v/>
      </c>
      <c r="W1084" s="68">
        <f>IF(OR(TaxOn&lt;&gt;"Yes",NOT(ISNUMBER(M1084))),0,IF(IFERROR(INDEX(tt_Tax,MATCH(D1084,tt_Type,0)),"No")="Yes",M1084,0))</f>
        <v/>
      </c>
      <c r="X1084" s="67">
        <f>IF(T1084=1,"",IF(C1084="","Missing transaction date",IF(NOT(ISNUMBER(C1084)),"Invalid date",IF(OR(C1084&lt;DATE(2000,1,1),C1084&gt;DATE(2099,12,31)),"Invalid date",IF(D1084="","Select a type",IF(U1084="","Unknown type: "&amp;D1084,IF(V1084="","Select an account (Category)",IF(ISNA(MATCH(V1084,coa_Name,0)),"Unknown account: "&amp;V1084,IF(K1084="","Select Paid From / Deposited To",IF(ISNA(MATCH(K1084,coa_Name,0)),"Unknown account: "&amp;K1084,IF(NOT(ISNUMBER(L1084)),"Enter an amount",IF(L1084=0,"Enter an amount",IF(ABS(W1084)&gt;ABS(L1084),"Tax is larger than the amount","")))))))))))))</f>
        <v/>
      </c>
      <c r="Y1084" s="67">
        <f>IF(OR(T1084=1,X1084&lt;&gt;""),"",IF(AND(B1084&lt;&gt;"",COUNTIF(tx_ID,B1084)&gt;1),"Duplicate transaction ID",IF(AND(L1084&lt;0,D1084&lt;&gt;"Adjustment"),"Negative amount — check this entry",IF(AND(D1084="Customer Payment",G1084=""),"Add the customer",IF(AND(D1084="Customer Payment",OR(J1084="",COUNTIF(ar_No,J1084&amp;"")=0)),"Invoice # in Reference not found on AR sheet",IF(AND(D1084="Bill Payment",H1084=""),"Add the vendor",IF(AND(D1084="Bill Payment",OR(J1084="",COUNTIFS(ap_No,J1084&amp;"",ap_Party,H1084&amp;"")=0)),"Bill # + vendor not found on AP sheet",IF(AND(ISNUMBER(M1084),N(M1084)&lt;&gt;0,W1084=0),"Tax ignored (tax tracking off, or not allowed for this type)",IF(V1084=K1084&amp;"","Same account on both sides",IF(AND(ISNUMBER(StartDate),C1084&lt;StartDate),"Date is before the accounting start date",IF(AND(D1084&lt;&gt;"Adjustment",IFERROR(INDEX(coa_Pay,MATCH(K1084&amp;"",coa_Name,0)),"")&lt;&gt;"Yes"),"Paid From / Deposited To is not a payment account","")))))))))))</f>
        <v/>
      </c>
      <c r="Z1084" s="67">
        <f>IF(AND(T1084=0,X1084=""),1,0)</f>
        <v/>
      </c>
      <c r="AA1084" s="68">
        <f>IF(Z1084=1,IF(U1084="In",L1084,L1084-W1084),0)</f>
        <v/>
      </c>
      <c r="AB1084" s="68">
        <f>IF(Z1084=1,IF(U1084="In",L1084-W1084,L1084),0)</f>
        <v/>
      </c>
      <c r="AC1084" s="68">
        <f>IF(AND(Z1084=1,U1084="Out"),W1084,0)</f>
        <v/>
      </c>
      <c r="AD1084" s="68">
        <f>IF(AND(Z1084=1,U1084="In"),W1084,0)</f>
        <v/>
      </c>
    </row>
    <row r="1085">
      <c r="B1085" s="62" t="inlineStr">
        <is>
          <t>TX-1079</t>
        </is>
      </c>
      <c r="C1085" s="63" t="n"/>
      <c r="D1085" s="62" t="n"/>
      <c r="E1085" s="62" t="n"/>
      <c r="F1085" s="62" t="n"/>
      <c r="G1085" s="62" t="n"/>
      <c r="H1085" s="62" t="n"/>
      <c r="I1085" s="62" t="n"/>
      <c r="J1085" s="62" t="n"/>
      <c r="K1085" s="62" t="n"/>
      <c r="L1085" s="64" t="n"/>
      <c r="M1085" s="64" t="n"/>
      <c r="N1085" s="62" t="n"/>
      <c r="O1085" s="65">
        <f>IF(Z1085=1,L1085-W1085,"")</f>
        <v/>
      </c>
      <c r="P1085" s="66">
        <f>IF(V1085="","",IFERROR(INDEX(coa_Type,MATCH(V1085,coa_Name,0)),""))</f>
        <v/>
      </c>
      <c r="Q1085" s="66">
        <f>IF(Z1085=1,IF(U1085="In",K1085&amp;"",V1085),"")</f>
        <v/>
      </c>
      <c r="R1085" s="66">
        <f>IF(Z1085=1,IF(U1085="In",V1085,K1085&amp;""),"")</f>
        <v/>
      </c>
      <c r="S1085" s="66">
        <f>IF(X1085&lt;&gt;"","⛔ "&amp;X1085&amp;" — not posted",IF(Y1085&lt;&gt;"","⚠ "&amp;Y1085,IF(Z1085=1,"✓ OK","")))</f>
        <v/>
      </c>
      <c r="T1085" s="67">
        <f>IF(AND(C1085="",D1085="",E1085="",L1085="",K1085=""),1,0)</f>
        <v/>
      </c>
      <c r="U1085" s="67">
        <f>IFERROR(INDEX(tt_Dir,MATCH(D1085,tt_Type,0)),"")</f>
        <v/>
      </c>
      <c r="V1085" s="67">
        <f>IF(D1085="","",IFERROR(IF(INDEX(tt_Other,MATCH(D1085,tt_Type,0))="",E1085&amp;"",INDEX(tt_Other,MATCH(D1085,tt_Type,0))),""))</f>
        <v/>
      </c>
      <c r="W1085" s="68">
        <f>IF(OR(TaxOn&lt;&gt;"Yes",NOT(ISNUMBER(M1085))),0,IF(IFERROR(INDEX(tt_Tax,MATCH(D1085,tt_Type,0)),"No")="Yes",M1085,0))</f>
        <v/>
      </c>
      <c r="X1085" s="67">
        <f>IF(T1085=1,"",IF(C1085="","Missing transaction date",IF(NOT(ISNUMBER(C1085)),"Invalid date",IF(OR(C1085&lt;DATE(2000,1,1),C1085&gt;DATE(2099,12,31)),"Invalid date",IF(D1085="","Select a type",IF(U1085="","Unknown type: "&amp;D1085,IF(V1085="","Select an account (Category)",IF(ISNA(MATCH(V1085,coa_Name,0)),"Unknown account: "&amp;V1085,IF(K1085="","Select Paid From / Deposited To",IF(ISNA(MATCH(K1085,coa_Name,0)),"Unknown account: "&amp;K1085,IF(NOT(ISNUMBER(L1085)),"Enter an amount",IF(L1085=0,"Enter an amount",IF(ABS(W1085)&gt;ABS(L1085),"Tax is larger than the amount","")))))))))))))</f>
        <v/>
      </c>
      <c r="Y1085" s="67">
        <f>IF(OR(T1085=1,X1085&lt;&gt;""),"",IF(AND(B1085&lt;&gt;"",COUNTIF(tx_ID,B1085)&gt;1),"Duplicate transaction ID",IF(AND(L1085&lt;0,D1085&lt;&gt;"Adjustment"),"Negative amount — check this entry",IF(AND(D1085="Customer Payment",G1085=""),"Add the customer",IF(AND(D1085="Customer Payment",OR(J1085="",COUNTIF(ar_No,J1085&amp;"")=0)),"Invoice # in Reference not found on AR sheet",IF(AND(D1085="Bill Payment",H1085=""),"Add the vendor",IF(AND(D1085="Bill Payment",OR(J1085="",COUNTIFS(ap_No,J1085&amp;"",ap_Party,H1085&amp;"")=0)),"Bill # + vendor not found on AP sheet",IF(AND(ISNUMBER(M1085),N(M1085)&lt;&gt;0,W1085=0),"Tax ignored (tax tracking off, or not allowed for this type)",IF(V1085=K1085&amp;"","Same account on both sides",IF(AND(ISNUMBER(StartDate),C1085&lt;StartDate),"Date is before the accounting start date",IF(AND(D1085&lt;&gt;"Adjustment",IFERROR(INDEX(coa_Pay,MATCH(K1085&amp;"",coa_Name,0)),"")&lt;&gt;"Yes"),"Paid From / Deposited To is not a payment account","")))))))))))</f>
        <v/>
      </c>
      <c r="Z1085" s="67">
        <f>IF(AND(T1085=0,X1085=""),1,0)</f>
        <v/>
      </c>
      <c r="AA1085" s="68">
        <f>IF(Z1085=1,IF(U1085="In",L1085,L1085-W1085),0)</f>
        <v/>
      </c>
      <c r="AB1085" s="68">
        <f>IF(Z1085=1,IF(U1085="In",L1085-W1085,L1085),0)</f>
        <v/>
      </c>
      <c r="AC1085" s="68">
        <f>IF(AND(Z1085=1,U1085="Out"),W1085,0)</f>
        <v/>
      </c>
      <c r="AD1085" s="68">
        <f>IF(AND(Z1085=1,U1085="In"),W1085,0)</f>
        <v/>
      </c>
    </row>
    <row r="1086">
      <c r="B1086" s="62" t="inlineStr">
        <is>
          <t>TX-1080</t>
        </is>
      </c>
      <c r="C1086" s="63" t="n"/>
      <c r="D1086" s="62" t="n"/>
      <c r="E1086" s="62" t="n"/>
      <c r="F1086" s="62" t="n"/>
      <c r="G1086" s="62" t="n"/>
      <c r="H1086" s="62" t="n"/>
      <c r="I1086" s="62" t="n"/>
      <c r="J1086" s="62" t="n"/>
      <c r="K1086" s="62" t="n"/>
      <c r="L1086" s="64" t="n"/>
      <c r="M1086" s="64" t="n"/>
      <c r="N1086" s="62" t="n"/>
      <c r="O1086" s="65">
        <f>IF(Z1086=1,L1086-W1086,"")</f>
        <v/>
      </c>
      <c r="P1086" s="66">
        <f>IF(V1086="","",IFERROR(INDEX(coa_Type,MATCH(V1086,coa_Name,0)),""))</f>
        <v/>
      </c>
      <c r="Q1086" s="66">
        <f>IF(Z1086=1,IF(U1086="In",K1086&amp;"",V1086),"")</f>
        <v/>
      </c>
      <c r="R1086" s="66">
        <f>IF(Z1086=1,IF(U1086="In",V1086,K1086&amp;""),"")</f>
        <v/>
      </c>
      <c r="S1086" s="66">
        <f>IF(X1086&lt;&gt;"","⛔ "&amp;X1086&amp;" — not posted",IF(Y1086&lt;&gt;"","⚠ "&amp;Y1086,IF(Z1086=1,"✓ OK","")))</f>
        <v/>
      </c>
      <c r="T1086" s="67">
        <f>IF(AND(C1086="",D1086="",E1086="",L1086="",K1086=""),1,0)</f>
        <v/>
      </c>
      <c r="U1086" s="67">
        <f>IFERROR(INDEX(tt_Dir,MATCH(D1086,tt_Type,0)),"")</f>
        <v/>
      </c>
      <c r="V1086" s="67">
        <f>IF(D1086="","",IFERROR(IF(INDEX(tt_Other,MATCH(D1086,tt_Type,0))="",E1086&amp;"",INDEX(tt_Other,MATCH(D1086,tt_Type,0))),""))</f>
        <v/>
      </c>
      <c r="W1086" s="68">
        <f>IF(OR(TaxOn&lt;&gt;"Yes",NOT(ISNUMBER(M1086))),0,IF(IFERROR(INDEX(tt_Tax,MATCH(D1086,tt_Type,0)),"No")="Yes",M1086,0))</f>
        <v/>
      </c>
      <c r="X1086" s="67">
        <f>IF(T1086=1,"",IF(C1086="","Missing transaction date",IF(NOT(ISNUMBER(C1086)),"Invalid date",IF(OR(C1086&lt;DATE(2000,1,1),C1086&gt;DATE(2099,12,31)),"Invalid date",IF(D1086="","Select a type",IF(U1086="","Unknown type: "&amp;D1086,IF(V1086="","Select an account (Category)",IF(ISNA(MATCH(V1086,coa_Name,0)),"Unknown account: "&amp;V1086,IF(K1086="","Select Paid From / Deposited To",IF(ISNA(MATCH(K1086,coa_Name,0)),"Unknown account: "&amp;K1086,IF(NOT(ISNUMBER(L1086)),"Enter an amount",IF(L1086=0,"Enter an amount",IF(ABS(W1086)&gt;ABS(L1086),"Tax is larger than the amount","")))))))))))))</f>
        <v/>
      </c>
      <c r="Y1086" s="67">
        <f>IF(OR(T1086=1,X1086&lt;&gt;""),"",IF(AND(B1086&lt;&gt;"",COUNTIF(tx_ID,B1086)&gt;1),"Duplicate transaction ID",IF(AND(L1086&lt;0,D1086&lt;&gt;"Adjustment"),"Negative amount — check this entry",IF(AND(D1086="Customer Payment",G1086=""),"Add the customer",IF(AND(D1086="Customer Payment",OR(J1086="",COUNTIF(ar_No,J1086&amp;"")=0)),"Invoice # in Reference not found on AR sheet",IF(AND(D1086="Bill Payment",H1086=""),"Add the vendor",IF(AND(D1086="Bill Payment",OR(J1086="",COUNTIFS(ap_No,J1086&amp;"",ap_Party,H1086&amp;"")=0)),"Bill # + vendor not found on AP sheet",IF(AND(ISNUMBER(M1086),N(M1086)&lt;&gt;0,W1086=0),"Tax ignored (tax tracking off, or not allowed for this type)",IF(V1086=K1086&amp;"","Same account on both sides",IF(AND(ISNUMBER(StartDate),C1086&lt;StartDate),"Date is before the accounting start date",IF(AND(D1086&lt;&gt;"Adjustment",IFERROR(INDEX(coa_Pay,MATCH(K1086&amp;"",coa_Name,0)),"")&lt;&gt;"Yes"),"Paid From / Deposited To is not a payment account","")))))))))))</f>
        <v/>
      </c>
      <c r="Z1086" s="67">
        <f>IF(AND(T1086=0,X1086=""),1,0)</f>
        <v/>
      </c>
      <c r="AA1086" s="68">
        <f>IF(Z1086=1,IF(U1086="In",L1086,L1086-W1086),0)</f>
        <v/>
      </c>
      <c r="AB1086" s="68">
        <f>IF(Z1086=1,IF(U1086="In",L1086-W1086,L1086),0)</f>
        <v/>
      </c>
      <c r="AC1086" s="68">
        <f>IF(AND(Z1086=1,U1086="Out"),W1086,0)</f>
        <v/>
      </c>
      <c r="AD1086" s="68">
        <f>IF(AND(Z1086=1,U1086="In"),W1086,0)</f>
        <v/>
      </c>
    </row>
    <row r="1087">
      <c r="B1087" s="62" t="inlineStr">
        <is>
          <t>TX-1081</t>
        </is>
      </c>
      <c r="C1087" s="63" t="n"/>
      <c r="D1087" s="62" t="n"/>
      <c r="E1087" s="62" t="n"/>
      <c r="F1087" s="62" t="n"/>
      <c r="G1087" s="62" t="n"/>
      <c r="H1087" s="62" t="n"/>
      <c r="I1087" s="62" t="n"/>
      <c r="J1087" s="62" t="n"/>
      <c r="K1087" s="62" t="n"/>
      <c r="L1087" s="64" t="n"/>
      <c r="M1087" s="64" t="n"/>
      <c r="N1087" s="62" t="n"/>
      <c r="O1087" s="65">
        <f>IF(Z1087=1,L1087-W1087,"")</f>
        <v/>
      </c>
      <c r="P1087" s="66">
        <f>IF(V1087="","",IFERROR(INDEX(coa_Type,MATCH(V1087,coa_Name,0)),""))</f>
        <v/>
      </c>
      <c r="Q1087" s="66">
        <f>IF(Z1087=1,IF(U1087="In",K1087&amp;"",V1087),"")</f>
        <v/>
      </c>
      <c r="R1087" s="66">
        <f>IF(Z1087=1,IF(U1087="In",V1087,K1087&amp;""),"")</f>
        <v/>
      </c>
      <c r="S1087" s="66">
        <f>IF(X1087&lt;&gt;"","⛔ "&amp;X1087&amp;" — not posted",IF(Y1087&lt;&gt;"","⚠ "&amp;Y1087,IF(Z1087=1,"✓ OK","")))</f>
        <v/>
      </c>
      <c r="T1087" s="67">
        <f>IF(AND(C1087="",D1087="",E1087="",L1087="",K1087=""),1,0)</f>
        <v/>
      </c>
      <c r="U1087" s="67">
        <f>IFERROR(INDEX(tt_Dir,MATCH(D1087,tt_Type,0)),"")</f>
        <v/>
      </c>
      <c r="V1087" s="67">
        <f>IF(D1087="","",IFERROR(IF(INDEX(tt_Other,MATCH(D1087,tt_Type,0))="",E1087&amp;"",INDEX(tt_Other,MATCH(D1087,tt_Type,0))),""))</f>
        <v/>
      </c>
      <c r="W1087" s="68">
        <f>IF(OR(TaxOn&lt;&gt;"Yes",NOT(ISNUMBER(M1087))),0,IF(IFERROR(INDEX(tt_Tax,MATCH(D1087,tt_Type,0)),"No")="Yes",M1087,0))</f>
        <v/>
      </c>
      <c r="X1087" s="67">
        <f>IF(T1087=1,"",IF(C1087="","Missing transaction date",IF(NOT(ISNUMBER(C1087)),"Invalid date",IF(OR(C1087&lt;DATE(2000,1,1),C1087&gt;DATE(2099,12,31)),"Invalid date",IF(D1087="","Select a type",IF(U1087="","Unknown type: "&amp;D1087,IF(V1087="","Select an account (Category)",IF(ISNA(MATCH(V1087,coa_Name,0)),"Unknown account: "&amp;V1087,IF(K1087="","Select Paid From / Deposited To",IF(ISNA(MATCH(K1087,coa_Name,0)),"Unknown account: "&amp;K1087,IF(NOT(ISNUMBER(L1087)),"Enter an amount",IF(L1087=0,"Enter an amount",IF(ABS(W1087)&gt;ABS(L1087),"Tax is larger than the amount","")))))))))))))</f>
        <v/>
      </c>
      <c r="Y1087" s="67">
        <f>IF(OR(T1087=1,X1087&lt;&gt;""),"",IF(AND(B1087&lt;&gt;"",COUNTIF(tx_ID,B1087)&gt;1),"Duplicate transaction ID",IF(AND(L1087&lt;0,D1087&lt;&gt;"Adjustment"),"Negative amount — check this entry",IF(AND(D1087="Customer Payment",G1087=""),"Add the customer",IF(AND(D1087="Customer Payment",OR(J1087="",COUNTIF(ar_No,J1087&amp;"")=0)),"Invoice # in Reference not found on AR sheet",IF(AND(D1087="Bill Payment",H1087=""),"Add the vendor",IF(AND(D1087="Bill Payment",OR(J1087="",COUNTIFS(ap_No,J1087&amp;"",ap_Party,H1087&amp;"")=0)),"Bill # + vendor not found on AP sheet",IF(AND(ISNUMBER(M1087),N(M1087)&lt;&gt;0,W1087=0),"Tax ignored (tax tracking off, or not allowed for this type)",IF(V1087=K1087&amp;"","Same account on both sides",IF(AND(ISNUMBER(StartDate),C1087&lt;StartDate),"Date is before the accounting start date",IF(AND(D1087&lt;&gt;"Adjustment",IFERROR(INDEX(coa_Pay,MATCH(K1087&amp;"",coa_Name,0)),"")&lt;&gt;"Yes"),"Paid From / Deposited To is not a payment account","")))))))))))</f>
        <v/>
      </c>
      <c r="Z1087" s="67">
        <f>IF(AND(T1087=0,X1087=""),1,0)</f>
        <v/>
      </c>
      <c r="AA1087" s="68">
        <f>IF(Z1087=1,IF(U1087="In",L1087,L1087-W1087),0)</f>
        <v/>
      </c>
      <c r="AB1087" s="68">
        <f>IF(Z1087=1,IF(U1087="In",L1087-W1087,L1087),0)</f>
        <v/>
      </c>
      <c r="AC1087" s="68">
        <f>IF(AND(Z1087=1,U1087="Out"),W1087,0)</f>
        <v/>
      </c>
      <c r="AD1087" s="68">
        <f>IF(AND(Z1087=1,U1087="In"),W1087,0)</f>
        <v/>
      </c>
    </row>
    <row r="1088">
      <c r="B1088" s="62" t="inlineStr">
        <is>
          <t>TX-1082</t>
        </is>
      </c>
      <c r="C1088" s="63" t="n"/>
      <c r="D1088" s="62" t="n"/>
      <c r="E1088" s="62" t="n"/>
      <c r="F1088" s="62" t="n"/>
      <c r="G1088" s="62" t="n"/>
      <c r="H1088" s="62" t="n"/>
      <c r="I1088" s="62" t="n"/>
      <c r="J1088" s="62" t="n"/>
      <c r="K1088" s="62" t="n"/>
      <c r="L1088" s="64" t="n"/>
      <c r="M1088" s="64" t="n"/>
      <c r="N1088" s="62" t="n"/>
      <c r="O1088" s="65">
        <f>IF(Z1088=1,L1088-W1088,"")</f>
        <v/>
      </c>
      <c r="P1088" s="66">
        <f>IF(V1088="","",IFERROR(INDEX(coa_Type,MATCH(V1088,coa_Name,0)),""))</f>
        <v/>
      </c>
      <c r="Q1088" s="66">
        <f>IF(Z1088=1,IF(U1088="In",K1088&amp;"",V1088),"")</f>
        <v/>
      </c>
      <c r="R1088" s="66">
        <f>IF(Z1088=1,IF(U1088="In",V1088,K1088&amp;""),"")</f>
        <v/>
      </c>
      <c r="S1088" s="66">
        <f>IF(X1088&lt;&gt;"","⛔ "&amp;X1088&amp;" — not posted",IF(Y1088&lt;&gt;"","⚠ "&amp;Y1088,IF(Z1088=1,"✓ OK","")))</f>
        <v/>
      </c>
      <c r="T1088" s="67">
        <f>IF(AND(C1088="",D1088="",E1088="",L1088="",K1088=""),1,0)</f>
        <v/>
      </c>
      <c r="U1088" s="67">
        <f>IFERROR(INDEX(tt_Dir,MATCH(D1088,tt_Type,0)),"")</f>
        <v/>
      </c>
      <c r="V1088" s="67">
        <f>IF(D1088="","",IFERROR(IF(INDEX(tt_Other,MATCH(D1088,tt_Type,0))="",E1088&amp;"",INDEX(tt_Other,MATCH(D1088,tt_Type,0))),""))</f>
        <v/>
      </c>
      <c r="W1088" s="68">
        <f>IF(OR(TaxOn&lt;&gt;"Yes",NOT(ISNUMBER(M1088))),0,IF(IFERROR(INDEX(tt_Tax,MATCH(D1088,tt_Type,0)),"No")="Yes",M1088,0))</f>
        <v/>
      </c>
      <c r="X1088" s="67">
        <f>IF(T1088=1,"",IF(C1088="","Missing transaction date",IF(NOT(ISNUMBER(C1088)),"Invalid date",IF(OR(C1088&lt;DATE(2000,1,1),C1088&gt;DATE(2099,12,31)),"Invalid date",IF(D1088="","Select a type",IF(U1088="","Unknown type: "&amp;D1088,IF(V1088="","Select an account (Category)",IF(ISNA(MATCH(V1088,coa_Name,0)),"Unknown account: "&amp;V1088,IF(K1088="","Select Paid From / Deposited To",IF(ISNA(MATCH(K1088,coa_Name,0)),"Unknown account: "&amp;K1088,IF(NOT(ISNUMBER(L1088)),"Enter an amount",IF(L1088=0,"Enter an amount",IF(ABS(W1088)&gt;ABS(L1088),"Tax is larger than the amount","")))))))))))))</f>
        <v/>
      </c>
      <c r="Y1088" s="67">
        <f>IF(OR(T1088=1,X1088&lt;&gt;""),"",IF(AND(B1088&lt;&gt;"",COUNTIF(tx_ID,B1088)&gt;1),"Duplicate transaction ID",IF(AND(L1088&lt;0,D1088&lt;&gt;"Adjustment"),"Negative amount — check this entry",IF(AND(D1088="Customer Payment",G1088=""),"Add the customer",IF(AND(D1088="Customer Payment",OR(J1088="",COUNTIF(ar_No,J1088&amp;"")=0)),"Invoice # in Reference not found on AR sheet",IF(AND(D1088="Bill Payment",H1088=""),"Add the vendor",IF(AND(D1088="Bill Payment",OR(J1088="",COUNTIFS(ap_No,J1088&amp;"",ap_Party,H1088&amp;"")=0)),"Bill # + vendor not found on AP sheet",IF(AND(ISNUMBER(M1088),N(M1088)&lt;&gt;0,W1088=0),"Tax ignored (tax tracking off, or not allowed for this type)",IF(V1088=K1088&amp;"","Same account on both sides",IF(AND(ISNUMBER(StartDate),C1088&lt;StartDate),"Date is before the accounting start date",IF(AND(D1088&lt;&gt;"Adjustment",IFERROR(INDEX(coa_Pay,MATCH(K1088&amp;"",coa_Name,0)),"")&lt;&gt;"Yes"),"Paid From / Deposited To is not a payment account","")))))))))))</f>
        <v/>
      </c>
      <c r="Z1088" s="67">
        <f>IF(AND(T1088=0,X1088=""),1,0)</f>
        <v/>
      </c>
      <c r="AA1088" s="68">
        <f>IF(Z1088=1,IF(U1088="In",L1088,L1088-W1088),0)</f>
        <v/>
      </c>
      <c r="AB1088" s="68">
        <f>IF(Z1088=1,IF(U1088="In",L1088-W1088,L1088),0)</f>
        <v/>
      </c>
      <c r="AC1088" s="68">
        <f>IF(AND(Z1088=1,U1088="Out"),W1088,0)</f>
        <v/>
      </c>
      <c r="AD1088" s="68">
        <f>IF(AND(Z1088=1,U1088="In"),W1088,0)</f>
        <v/>
      </c>
    </row>
    <row r="1089">
      <c r="B1089" s="62" t="inlineStr">
        <is>
          <t>TX-1083</t>
        </is>
      </c>
      <c r="C1089" s="63" t="n"/>
      <c r="D1089" s="62" t="n"/>
      <c r="E1089" s="62" t="n"/>
      <c r="F1089" s="62" t="n"/>
      <c r="G1089" s="62" t="n"/>
      <c r="H1089" s="62" t="n"/>
      <c r="I1089" s="62" t="n"/>
      <c r="J1089" s="62" t="n"/>
      <c r="K1089" s="62" t="n"/>
      <c r="L1089" s="64" t="n"/>
      <c r="M1089" s="64" t="n"/>
      <c r="N1089" s="62" t="n"/>
      <c r="O1089" s="65">
        <f>IF(Z1089=1,L1089-W1089,"")</f>
        <v/>
      </c>
      <c r="P1089" s="66">
        <f>IF(V1089="","",IFERROR(INDEX(coa_Type,MATCH(V1089,coa_Name,0)),""))</f>
        <v/>
      </c>
      <c r="Q1089" s="66">
        <f>IF(Z1089=1,IF(U1089="In",K1089&amp;"",V1089),"")</f>
        <v/>
      </c>
      <c r="R1089" s="66">
        <f>IF(Z1089=1,IF(U1089="In",V1089,K1089&amp;""),"")</f>
        <v/>
      </c>
      <c r="S1089" s="66">
        <f>IF(X1089&lt;&gt;"","⛔ "&amp;X1089&amp;" — not posted",IF(Y1089&lt;&gt;"","⚠ "&amp;Y1089,IF(Z1089=1,"✓ OK","")))</f>
        <v/>
      </c>
      <c r="T1089" s="67">
        <f>IF(AND(C1089="",D1089="",E1089="",L1089="",K1089=""),1,0)</f>
        <v/>
      </c>
      <c r="U1089" s="67">
        <f>IFERROR(INDEX(tt_Dir,MATCH(D1089,tt_Type,0)),"")</f>
        <v/>
      </c>
      <c r="V1089" s="67">
        <f>IF(D1089="","",IFERROR(IF(INDEX(tt_Other,MATCH(D1089,tt_Type,0))="",E1089&amp;"",INDEX(tt_Other,MATCH(D1089,tt_Type,0))),""))</f>
        <v/>
      </c>
      <c r="W1089" s="68">
        <f>IF(OR(TaxOn&lt;&gt;"Yes",NOT(ISNUMBER(M1089))),0,IF(IFERROR(INDEX(tt_Tax,MATCH(D1089,tt_Type,0)),"No")="Yes",M1089,0))</f>
        <v/>
      </c>
      <c r="X1089" s="67">
        <f>IF(T1089=1,"",IF(C1089="","Missing transaction date",IF(NOT(ISNUMBER(C1089)),"Invalid date",IF(OR(C1089&lt;DATE(2000,1,1),C1089&gt;DATE(2099,12,31)),"Invalid date",IF(D1089="","Select a type",IF(U1089="","Unknown type: "&amp;D1089,IF(V1089="","Select an account (Category)",IF(ISNA(MATCH(V1089,coa_Name,0)),"Unknown account: "&amp;V1089,IF(K1089="","Select Paid From / Deposited To",IF(ISNA(MATCH(K1089,coa_Name,0)),"Unknown account: "&amp;K1089,IF(NOT(ISNUMBER(L1089)),"Enter an amount",IF(L1089=0,"Enter an amount",IF(ABS(W1089)&gt;ABS(L1089),"Tax is larger than the amount","")))))))))))))</f>
        <v/>
      </c>
      <c r="Y1089" s="67">
        <f>IF(OR(T1089=1,X1089&lt;&gt;""),"",IF(AND(B1089&lt;&gt;"",COUNTIF(tx_ID,B1089)&gt;1),"Duplicate transaction ID",IF(AND(L1089&lt;0,D1089&lt;&gt;"Adjustment"),"Negative amount — check this entry",IF(AND(D1089="Customer Payment",G1089=""),"Add the customer",IF(AND(D1089="Customer Payment",OR(J1089="",COUNTIF(ar_No,J1089&amp;"")=0)),"Invoice # in Reference not found on AR sheet",IF(AND(D1089="Bill Payment",H1089=""),"Add the vendor",IF(AND(D1089="Bill Payment",OR(J1089="",COUNTIFS(ap_No,J1089&amp;"",ap_Party,H1089&amp;"")=0)),"Bill # + vendor not found on AP sheet",IF(AND(ISNUMBER(M1089),N(M1089)&lt;&gt;0,W1089=0),"Tax ignored (tax tracking off, or not allowed for this type)",IF(V1089=K1089&amp;"","Same account on both sides",IF(AND(ISNUMBER(StartDate),C1089&lt;StartDate),"Date is before the accounting start date",IF(AND(D1089&lt;&gt;"Adjustment",IFERROR(INDEX(coa_Pay,MATCH(K1089&amp;"",coa_Name,0)),"")&lt;&gt;"Yes"),"Paid From / Deposited To is not a payment account","")))))))))))</f>
        <v/>
      </c>
      <c r="Z1089" s="67">
        <f>IF(AND(T1089=0,X1089=""),1,0)</f>
        <v/>
      </c>
      <c r="AA1089" s="68">
        <f>IF(Z1089=1,IF(U1089="In",L1089,L1089-W1089),0)</f>
        <v/>
      </c>
      <c r="AB1089" s="68">
        <f>IF(Z1089=1,IF(U1089="In",L1089-W1089,L1089),0)</f>
        <v/>
      </c>
      <c r="AC1089" s="68">
        <f>IF(AND(Z1089=1,U1089="Out"),W1089,0)</f>
        <v/>
      </c>
      <c r="AD1089" s="68">
        <f>IF(AND(Z1089=1,U1089="In"),W1089,0)</f>
        <v/>
      </c>
    </row>
    <row r="1090">
      <c r="B1090" s="62" t="inlineStr">
        <is>
          <t>TX-1084</t>
        </is>
      </c>
      <c r="C1090" s="63" t="n"/>
      <c r="D1090" s="62" t="n"/>
      <c r="E1090" s="62" t="n"/>
      <c r="F1090" s="62" t="n"/>
      <c r="G1090" s="62" t="n"/>
      <c r="H1090" s="62" t="n"/>
      <c r="I1090" s="62" t="n"/>
      <c r="J1090" s="62" t="n"/>
      <c r="K1090" s="62" t="n"/>
      <c r="L1090" s="64" t="n"/>
      <c r="M1090" s="64" t="n"/>
      <c r="N1090" s="62" t="n"/>
      <c r="O1090" s="65">
        <f>IF(Z1090=1,L1090-W1090,"")</f>
        <v/>
      </c>
      <c r="P1090" s="66">
        <f>IF(V1090="","",IFERROR(INDEX(coa_Type,MATCH(V1090,coa_Name,0)),""))</f>
        <v/>
      </c>
      <c r="Q1090" s="66">
        <f>IF(Z1090=1,IF(U1090="In",K1090&amp;"",V1090),"")</f>
        <v/>
      </c>
      <c r="R1090" s="66">
        <f>IF(Z1090=1,IF(U1090="In",V1090,K1090&amp;""),"")</f>
        <v/>
      </c>
      <c r="S1090" s="66">
        <f>IF(X1090&lt;&gt;"","⛔ "&amp;X1090&amp;" — not posted",IF(Y1090&lt;&gt;"","⚠ "&amp;Y1090,IF(Z1090=1,"✓ OK","")))</f>
        <v/>
      </c>
      <c r="T1090" s="67">
        <f>IF(AND(C1090="",D1090="",E1090="",L1090="",K1090=""),1,0)</f>
        <v/>
      </c>
      <c r="U1090" s="67">
        <f>IFERROR(INDEX(tt_Dir,MATCH(D1090,tt_Type,0)),"")</f>
        <v/>
      </c>
      <c r="V1090" s="67">
        <f>IF(D1090="","",IFERROR(IF(INDEX(tt_Other,MATCH(D1090,tt_Type,0))="",E1090&amp;"",INDEX(tt_Other,MATCH(D1090,tt_Type,0))),""))</f>
        <v/>
      </c>
      <c r="W1090" s="68">
        <f>IF(OR(TaxOn&lt;&gt;"Yes",NOT(ISNUMBER(M1090))),0,IF(IFERROR(INDEX(tt_Tax,MATCH(D1090,tt_Type,0)),"No")="Yes",M1090,0))</f>
        <v/>
      </c>
      <c r="X1090" s="67">
        <f>IF(T1090=1,"",IF(C1090="","Missing transaction date",IF(NOT(ISNUMBER(C1090)),"Invalid date",IF(OR(C1090&lt;DATE(2000,1,1),C1090&gt;DATE(2099,12,31)),"Invalid date",IF(D1090="","Select a type",IF(U1090="","Unknown type: "&amp;D1090,IF(V1090="","Select an account (Category)",IF(ISNA(MATCH(V1090,coa_Name,0)),"Unknown account: "&amp;V1090,IF(K1090="","Select Paid From / Deposited To",IF(ISNA(MATCH(K1090,coa_Name,0)),"Unknown account: "&amp;K1090,IF(NOT(ISNUMBER(L1090)),"Enter an amount",IF(L1090=0,"Enter an amount",IF(ABS(W1090)&gt;ABS(L1090),"Tax is larger than the amount","")))))))))))))</f>
        <v/>
      </c>
      <c r="Y1090" s="67">
        <f>IF(OR(T1090=1,X1090&lt;&gt;""),"",IF(AND(B1090&lt;&gt;"",COUNTIF(tx_ID,B1090)&gt;1),"Duplicate transaction ID",IF(AND(L1090&lt;0,D1090&lt;&gt;"Adjustment"),"Negative amount — check this entry",IF(AND(D1090="Customer Payment",G1090=""),"Add the customer",IF(AND(D1090="Customer Payment",OR(J1090="",COUNTIF(ar_No,J1090&amp;"")=0)),"Invoice # in Reference not found on AR sheet",IF(AND(D1090="Bill Payment",H1090=""),"Add the vendor",IF(AND(D1090="Bill Payment",OR(J1090="",COUNTIFS(ap_No,J1090&amp;"",ap_Party,H1090&amp;"")=0)),"Bill # + vendor not found on AP sheet",IF(AND(ISNUMBER(M1090),N(M1090)&lt;&gt;0,W1090=0),"Tax ignored (tax tracking off, or not allowed for this type)",IF(V1090=K1090&amp;"","Same account on both sides",IF(AND(ISNUMBER(StartDate),C1090&lt;StartDate),"Date is before the accounting start date",IF(AND(D1090&lt;&gt;"Adjustment",IFERROR(INDEX(coa_Pay,MATCH(K1090&amp;"",coa_Name,0)),"")&lt;&gt;"Yes"),"Paid From / Deposited To is not a payment account","")))))))))))</f>
        <v/>
      </c>
      <c r="Z1090" s="67">
        <f>IF(AND(T1090=0,X1090=""),1,0)</f>
        <v/>
      </c>
      <c r="AA1090" s="68">
        <f>IF(Z1090=1,IF(U1090="In",L1090,L1090-W1090),0)</f>
        <v/>
      </c>
      <c r="AB1090" s="68">
        <f>IF(Z1090=1,IF(U1090="In",L1090-W1090,L1090),0)</f>
        <v/>
      </c>
      <c r="AC1090" s="68">
        <f>IF(AND(Z1090=1,U1090="Out"),W1090,0)</f>
        <v/>
      </c>
      <c r="AD1090" s="68">
        <f>IF(AND(Z1090=1,U1090="In"),W1090,0)</f>
        <v/>
      </c>
    </row>
    <row r="1091">
      <c r="B1091" s="62" t="inlineStr">
        <is>
          <t>TX-1085</t>
        </is>
      </c>
      <c r="C1091" s="63" t="n"/>
      <c r="D1091" s="62" t="n"/>
      <c r="E1091" s="62" t="n"/>
      <c r="F1091" s="62" t="n"/>
      <c r="G1091" s="62" t="n"/>
      <c r="H1091" s="62" t="n"/>
      <c r="I1091" s="62" t="n"/>
      <c r="J1091" s="62" t="n"/>
      <c r="K1091" s="62" t="n"/>
      <c r="L1091" s="64" t="n"/>
      <c r="M1091" s="64" t="n"/>
      <c r="N1091" s="62" t="n"/>
      <c r="O1091" s="65">
        <f>IF(Z1091=1,L1091-W1091,"")</f>
        <v/>
      </c>
      <c r="P1091" s="66">
        <f>IF(V1091="","",IFERROR(INDEX(coa_Type,MATCH(V1091,coa_Name,0)),""))</f>
        <v/>
      </c>
      <c r="Q1091" s="66">
        <f>IF(Z1091=1,IF(U1091="In",K1091&amp;"",V1091),"")</f>
        <v/>
      </c>
      <c r="R1091" s="66">
        <f>IF(Z1091=1,IF(U1091="In",V1091,K1091&amp;""),"")</f>
        <v/>
      </c>
      <c r="S1091" s="66">
        <f>IF(X1091&lt;&gt;"","⛔ "&amp;X1091&amp;" — not posted",IF(Y1091&lt;&gt;"","⚠ "&amp;Y1091,IF(Z1091=1,"✓ OK","")))</f>
        <v/>
      </c>
      <c r="T1091" s="67">
        <f>IF(AND(C1091="",D1091="",E1091="",L1091="",K1091=""),1,0)</f>
        <v/>
      </c>
      <c r="U1091" s="67">
        <f>IFERROR(INDEX(tt_Dir,MATCH(D1091,tt_Type,0)),"")</f>
        <v/>
      </c>
      <c r="V1091" s="67">
        <f>IF(D1091="","",IFERROR(IF(INDEX(tt_Other,MATCH(D1091,tt_Type,0))="",E1091&amp;"",INDEX(tt_Other,MATCH(D1091,tt_Type,0))),""))</f>
        <v/>
      </c>
      <c r="W1091" s="68">
        <f>IF(OR(TaxOn&lt;&gt;"Yes",NOT(ISNUMBER(M1091))),0,IF(IFERROR(INDEX(tt_Tax,MATCH(D1091,tt_Type,0)),"No")="Yes",M1091,0))</f>
        <v/>
      </c>
      <c r="X1091" s="67">
        <f>IF(T1091=1,"",IF(C1091="","Missing transaction date",IF(NOT(ISNUMBER(C1091)),"Invalid date",IF(OR(C1091&lt;DATE(2000,1,1),C1091&gt;DATE(2099,12,31)),"Invalid date",IF(D1091="","Select a type",IF(U1091="","Unknown type: "&amp;D1091,IF(V1091="","Select an account (Category)",IF(ISNA(MATCH(V1091,coa_Name,0)),"Unknown account: "&amp;V1091,IF(K1091="","Select Paid From / Deposited To",IF(ISNA(MATCH(K1091,coa_Name,0)),"Unknown account: "&amp;K1091,IF(NOT(ISNUMBER(L1091)),"Enter an amount",IF(L1091=0,"Enter an amount",IF(ABS(W1091)&gt;ABS(L1091),"Tax is larger than the amount","")))))))))))))</f>
        <v/>
      </c>
      <c r="Y1091" s="67">
        <f>IF(OR(T1091=1,X1091&lt;&gt;""),"",IF(AND(B1091&lt;&gt;"",COUNTIF(tx_ID,B1091)&gt;1),"Duplicate transaction ID",IF(AND(L1091&lt;0,D1091&lt;&gt;"Adjustment"),"Negative amount — check this entry",IF(AND(D1091="Customer Payment",G1091=""),"Add the customer",IF(AND(D1091="Customer Payment",OR(J1091="",COUNTIF(ar_No,J1091&amp;"")=0)),"Invoice # in Reference not found on AR sheet",IF(AND(D1091="Bill Payment",H1091=""),"Add the vendor",IF(AND(D1091="Bill Payment",OR(J1091="",COUNTIFS(ap_No,J1091&amp;"",ap_Party,H1091&amp;"")=0)),"Bill # + vendor not found on AP sheet",IF(AND(ISNUMBER(M1091),N(M1091)&lt;&gt;0,W1091=0),"Tax ignored (tax tracking off, or not allowed for this type)",IF(V1091=K1091&amp;"","Same account on both sides",IF(AND(ISNUMBER(StartDate),C1091&lt;StartDate),"Date is before the accounting start date",IF(AND(D1091&lt;&gt;"Adjustment",IFERROR(INDEX(coa_Pay,MATCH(K1091&amp;"",coa_Name,0)),"")&lt;&gt;"Yes"),"Paid From / Deposited To is not a payment account","")))))))))))</f>
        <v/>
      </c>
      <c r="Z1091" s="67">
        <f>IF(AND(T1091=0,X1091=""),1,0)</f>
        <v/>
      </c>
      <c r="AA1091" s="68">
        <f>IF(Z1091=1,IF(U1091="In",L1091,L1091-W1091),0)</f>
        <v/>
      </c>
      <c r="AB1091" s="68">
        <f>IF(Z1091=1,IF(U1091="In",L1091-W1091,L1091),0)</f>
        <v/>
      </c>
      <c r="AC1091" s="68">
        <f>IF(AND(Z1091=1,U1091="Out"),W1091,0)</f>
        <v/>
      </c>
      <c r="AD1091" s="68">
        <f>IF(AND(Z1091=1,U1091="In"),W1091,0)</f>
        <v/>
      </c>
    </row>
    <row r="1092">
      <c r="B1092" s="62" t="inlineStr">
        <is>
          <t>TX-1086</t>
        </is>
      </c>
      <c r="C1092" s="63" t="n"/>
      <c r="D1092" s="62" t="n"/>
      <c r="E1092" s="62" t="n"/>
      <c r="F1092" s="62" t="n"/>
      <c r="G1092" s="62" t="n"/>
      <c r="H1092" s="62" t="n"/>
      <c r="I1092" s="62" t="n"/>
      <c r="J1092" s="62" t="n"/>
      <c r="K1092" s="62" t="n"/>
      <c r="L1092" s="64" t="n"/>
      <c r="M1092" s="64" t="n"/>
      <c r="N1092" s="62" t="n"/>
      <c r="O1092" s="65">
        <f>IF(Z1092=1,L1092-W1092,"")</f>
        <v/>
      </c>
      <c r="P1092" s="66">
        <f>IF(V1092="","",IFERROR(INDEX(coa_Type,MATCH(V1092,coa_Name,0)),""))</f>
        <v/>
      </c>
      <c r="Q1092" s="66">
        <f>IF(Z1092=1,IF(U1092="In",K1092&amp;"",V1092),"")</f>
        <v/>
      </c>
      <c r="R1092" s="66">
        <f>IF(Z1092=1,IF(U1092="In",V1092,K1092&amp;""),"")</f>
        <v/>
      </c>
      <c r="S1092" s="66">
        <f>IF(X1092&lt;&gt;"","⛔ "&amp;X1092&amp;" — not posted",IF(Y1092&lt;&gt;"","⚠ "&amp;Y1092,IF(Z1092=1,"✓ OK","")))</f>
        <v/>
      </c>
      <c r="T1092" s="67">
        <f>IF(AND(C1092="",D1092="",E1092="",L1092="",K1092=""),1,0)</f>
        <v/>
      </c>
      <c r="U1092" s="67">
        <f>IFERROR(INDEX(tt_Dir,MATCH(D1092,tt_Type,0)),"")</f>
        <v/>
      </c>
      <c r="V1092" s="67">
        <f>IF(D1092="","",IFERROR(IF(INDEX(tt_Other,MATCH(D1092,tt_Type,0))="",E1092&amp;"",INDEX(tt_Other,MATCH(D1092,tt_Type,0))),""))</f>
        <v/>
      </c>
      <c r="W1092" s="68">
        <f>IF(OR(TaxOn&lt;&gt;"Yes",NOT(ISNUMBER(M1092))),0,IF(IFERROR(INDEX(tt_Tax,MATCH(D1092,tt_Type,0)),"No")="Yes",M1092,0))</f>
        <v/>
      </c>
      <c r="X1092" s="67">
        <f>IF(T1092=1,"",IF(C1092="","Missing transaction date",IF(NOT(ISNUMBER(C1092)),"Invalid date",IF(OR(C1092&lt;DATE(2000,1,1),C1092&gt;DATE(2099,12,31)),"Invalid date",IF(D1092="","Select a type",IF(U1092="","Unknown type: "&amp;D1092,IF(V1092="","Select an account (Category)",IF(ISNA(MATCH(V1092,coa_Name,0)),"Unknown account: "&amp;V1092,IF(K1092="","Select Paid From / Deposited To",IF(ISNA(MATCH(K1092,coa_Name,0)),"Unknown account: "&amp;K1092,IF(NOT(ISNUMBER(L1092)),"Enter an amount",IF(L1092=0,"Enter an amount",IF(ABS(W1092)&gt;ABS(L1092),"Tax is larger than the amount","")))))))))))))</f>
        <v/>
      </c>
      <c r="Y1092" s="67">
        <f>IF(OR(T1092=1,X1092&lt;&gt;""),"",IF(AND(B1092&lt;&gt;"",COUNTIF(tx_ID,B1092)&gt;1),"Duplicate transaction ID",IF(AND(L1092&lt;0,D1092&lt;&gt;"Adjustment"),"Negative amount — check this entry",IF(AND(D1092="Customer Payment",G1092=""),"Add the customer",IF(AND(D1092="Customer Payment",OR(J1092="",COUNTIF(ar_No,J1092&amp;"")=0)),"Invoice # in Reference not found on AR sheet",IF(AND(D1092="Bill Payment",H1092=""),"Add the vendor",IF(AND(D1092="Bill Payment",OR(J1092="",COUNTIFS(ap_No,J1092&amp;"",ap_Party,H1092&amp;"")=0)),"Bill # + vendor not found on AP sheet",IF(AND(ISNUMBER(M1092),N(M1092)&lt;&gt;0,W1092=0),"Tax ignored (tax tracking off, or not allowed for this type)",IF(V1092=K1092&amp;"","Same account on both sides",IF(AND(ISNUMBER(StartDate),C1092&lt;StartDate),"Date is before the accounting start date",IF(AND(D1092&lt;&gt;"Adjustment",IFERROR(INDEX(coa_Pay,MATCH(K1092&amp;"",coa_Name,0)),"")&lt;&gt;"Yes"),"Paid From / Deposited To is not a payment account","")))))))))))</f>
        <v/>
      </c>
      <c r="Z1092" s="67">
        <f>IF(AND(T1092=0,X1092=""),1,0)</f>
        <v/>
      </c>
      <c r="AA1092" s="68">
        <f>IF(Z1092=1,IF(U1092="In",L1092,L1092-W1092),0)</f>
        <v/>
      </c>
      <c r="AB1092" s="68">
        <f>IF(Z1092=1,IF(U1092="In",L1092-W1092,L1092),0)</f>
        <v/>
      </c>
      <c r="AC1092" s="68">
        <f>IF(AND(Z1092=1,U1092="Out"),W1092,0)</f>
        <v/>
      </c>
      <c r="AD1092" s="68">
        <f>IF(AND(Z1092=1,U1092="In"),W1092,0)</f>
        <v/>
      </c>
    </row>
    <row r="1093">
      <c r="B1093" s="62" t="inlineStr">
        <is>
          <t>TX-1087</t>
        </is>
      </c>
      <c r="C1093" s="63" t="n"/>
      <c r="D1093" s="62" t="n"/>
      <c r="E1093" s="62" t="n"/>
      <c r="F1093" s="62" t="n"/>
      <c r="G1093" s="62" t="n"/>
      <c r="H1093" s="62" t="n"/>
      <c r="I1093" s="62" t="n"/>
      <c r="J1093" s="62" t="n"/>
      <c r="K1093" s="62" t="n"/>
      <c r="L1093" s="64" t="n"/>
      <c r="M1093" s="64" t="n"/>
      <c r="N1093" s="62" t="n"/>
      <c r="O1093" s="65">
        <f>IF(Z1093=1,L1093-W1093,"")</f>
        <v/>
      </c>
      <c r="P1093" s="66">
        <f>IF(V1093="","",IFERROR(INDEX(coa_Type,MATCH(V1093,coa_Name,0)),""))</f>
        <v/>
      </c>
      <c r="Q1093" s="66">
        <f>IF(Z1093=1,IF(U1093="In",K1093&amp;"",V1093),"")</f>
        <v/>
      </c>
      <c r="R1093" s="66">
        <f>IF(Z1093=1,IF(U1093="In",V1093,K1093&amp;""),"")</f>
        <v/>
      </c>
      <c r="S1093" s="66">
        <f>IF(X1093&lt;&gt;"","⛔ "&amp;X1093&amp;" — not posted",IF(Y1093&lt;&gt;"","⚠ "&amp;Y1093,IF(Z1093=1,"✓ OK","")))</f>
        <v/>
      </c>
      <c r="T1093" s="67">
        <f>IF(AND(C1093="",D1093="",E1093="",L1093="",K1093=""),1,0)</f>
        <v/>
      </c>
      <c r="U1093" s="67">
        <f>IFERROR(INDEX(tt_Dir,MATCH(D1093,tt_Type,0)),"")</f>
        <v/>
      </c>
      <c r="V1093" s="67">
        <f>IF(D1093="","",IFERROR(IF(INDEX(tt_Other,MATCH(D1093,tt_Type,0))="",E1093&amp;"",INDEX(tt_Other,MATCH(D1093,tt_Type,0))),""))</f>
        <v/>
      </c>
      <c r="W1093" s="68">
        <f>IF(OR(TaxOn&lt;&gt;"Yes",NOT(ISNUMBER(M1093))),0,IF(IFERROR(INDEX(tt_Tax,MATCH(D1093,tt_Type,0)),"No")="Yes",M1093,0))</f>
        <v/>
      </c>
      <c r="X1093" s="67">
        <f>IF(T1093=1,"",IF(C1093="","Missing transaction date",IF(NOT(ISNUMBER(C1093)),"Invalid date",IF(OR(C1093&lt;DATE(2000,1,1),C1093&gt;DATE(2099,12,31)),"Invalid date",IF(D1093="","Select a type",IF(U1093="","Unknown type: "&amp;D1093,IF(V1093="","Select an account (Category)",IF(ISNA(MATCH(V1093,coa_Name,0)),"Unknown account: "&amp;V1093,IF(K1093="","Select Paid From / Deposited To",IF(ISNA(MATCH(K1093,coa_Name,0)),"Unknown account: "&amp;K1093,IF(NOT(ISNUMBER(L1093)),"Enter an amount",IF(L1093=0,"Enter an amount",IF(ABS(W1093)&gt;ABS(L1093),"Tax is larger than the amount","")))))))))))))</f>
        <v/>
      </c>
      <c r="Y1093" s="67">
        <f>IF(OR(T1093=1,X1093&lt;&gt;""),"",IF(AND(B1093&lt;&gt;"",COUNTIF(tx_ID,B1093)&gt;1),"Duplicate transaction ID",IF(AND(L1093&lt;0,D1093&lt;&gt;"Adjustment"),"Negative amount — check this entry",IF(AND(D1093="Customer Payment",G1093=""),"Add the customer",IF(AND(D1093="Customer Payment",OR(J1093="",COUNTIF(ar_No,J1093&amp;"")=0)),"Invoice # in Reference not found on AR sheet",IF(AND(D1093="Bill Payment",H1093=""),"Add the vendor",IF(AND(D1093="Bill Payment",OR(J1093="",COUNTIFS(ap_No,J1093&amp;"",ap_Party,H1093&amp;"")=0)),"Bill # + vendor not found on AP sheet",IF(AND(ISNUMBER(M1093),N(M1093)&lt;&gt;0,W1093=0),"Tax ignored (tax tracking off, or not allowed for this type)",IF(V1093=K1093&amp;"","Same account on both sides",IF(AND(ISNUMBER(StartDate),C1093&lt;StartDate),"Date is before the accounting start date",IF(AND(D1093&lt;&gt;"Adjustment",IFERROR(INDEX(coa_Pay,MATCH(K1093&amp;"",coa_Name,0)),"")&lt;&gt;"Yes"),"Paid From / Deposited To is not a payment account","")))))))))))</f>
        <v/>
      </c>
      <c r="Z1093" s="67">
        <f>IF(AND(T1093=0,X1093=""),1,0)</f>
        <v/>
      </c>
      <c r="AA1093" s="68">
        <f>IF(Z1093=1,IF(U1093="In",L1093,L1093-W1093),0)</f>
        <v/>
      </c>
      <c r="AB1093" s="68">
        <f>IF(Z1093=1,IF(U1093="In",L1093-W1093,L1093),0)</f>
        <v/>
      </c>
      <c r="AC1093" s="68">
        <f>IF(AND(Z1093=1,U1093="Out"),W1093,0)</f>
        <v/>
      </c>
      <c r="AD1093" s="68">
        <f>IF(AND(Z1093=1,U1093="In"),W1093,0)</f>
        <v/>
      </c>
    </row>
    <row r="1094">
      <c r="B1094" s="62" t="inlineStr">
        <is>
          <t>TX-1088</t>
        </is>
      </c>
      <c r="C1094" s="63" t="n"/>
      <c r="D1094" s="62" t="n"/>
      <c r="E1094" s="62" t="n"/>
      <c r="F1094" s="62" t="n"/>
      <c r="G1094" s="62" t="n"/>
      <c r="H1094" s="62" t="n"/>
      <c r="I1094" s="62" t="n"/>
      <c r="J1094" s="62" t="n"/>
      <c r="K1094" s="62" t="n"/>
      <c r="L1094" s="64" t="n"/>
      <c r="M1094" s="64" t="n"/>
      <c r="N1094" s="62" t="n"/>
      <c r="O1094" s="65">
        <f>IF(Z1094=1,L1094-W1094,"")</f>
        <v/>
      </c>
      <c r="P1094" s="66">
        <f>IF(V1094="","",IFERROR(INDEX(coa_Type,MATCH(V1094,coa_Name,0)),""))</f>
        <v/>
      </c>
      <c r="Q1094" s="66">
        <f>IF(Z1094=1,IF(U1094="In",K1094&amp;"",V1094),"")</f>
        <v/>
      </c>
      <c r="R1094" s="66">
        <f>IF(Z1094=1,IF(U1094="In",V1094,K1094&amp;""),"")</f>
        <v/>
      </c>
      <c r="S1094" s="66">
        <f>IF(X1094&lt;&gt;"","⛔ "&amp;X1094&amp;" — not posted",IF(Y1094&lt;&gt;"","⚠ "&amp;Y1094,IF(Z1094=1,"✓ OK","")))</f>
        <v/>
      </c>
      <c r="T1094" s="67">
        <f>IF(AND(C1094="",D1094="",E1094="",L1094="",K1094=""),1,0)</f>
        <v/>
      </c>
      <c r="U1094" s="67">
        <f>IFERROR(INDEX(tt_Dir,MATCH(D1094,tt_Type,0)),"")</f>
        <v/>
      </c>
      <c r="V1094" s="67">
        <f>IF(D1094="","",IFERROR(IF(INDEX(tt_Other,MATCH(D1094,tt_Type,0))="",E1094&amp;"",INDEX(tt_Other,MATCH(D1094,tt_Type,0))),""))</f>
        <v/>
      </c>
      <c r="W1094" s="68">
        <f>IF(OR(TaxOn&lt;&gt;"Yes",NOT(ISNUMBER(M1094))),0,IF(IFERROR(INDEX(tt_Tax,MATCH(D1094,tt_Type,0)),"No")="Yes",M1094,0))</f>
        <v/>
      </c>
      <c r="X1094" s="67">
        <f>IF(T1094=1,"",IF(C1094="","Missing transaction date",IF(NOT(ISNUMBER(C1094)),"Invalid date",IF(OR(C1094&lt;DATE(2000,1,1),C1094&gt;DATE(2099,12,31)),"Invalid date",IF(D1094="","Select a type",IF(U1094="","Unknown type: "&amp;D1094,IF(V1094="","Select an account (Category)",IF(ISNA(MATCH(V1094,coa_Name,0)),"Unknown account: "&amp;V1094,IF(K1094="","Select Paid From / Deposited To",IF(ISNA(MATCH(K1094,coa_Name,0)),"Unknown account: "&amp;K1094,IF(NOT(ISNUMBER(L1094)),"Enter an amount",IF(L1094=0,"Enter an amount",IF(ABS(W1094)&gt;ABS(L1094),"Tax is larger than the amount","")))))))))))))</f>
        <v/>
      </c>
      <c r="Y1094" s="67">
        <f>IF(OR(T1094=1,X1094&lt;&gt;""),"",IF(AND(B1094&lt;&gt;"",COUNTIF(tx_ID,B1094)&gt;1),"Duplicate transaction ID",IF(AND(L1094&lt;0,D1094&lt;&gt;"Adjustment"),"Negative amount — check this entry",IF(AND(D1094="Customer Payment",G1094=""),"Add the customer",IF(AND(D1094="Customer Payment",OR(J1094="",COUNTIF(ar_No,J1094&amp;"")=0)),"Invoice # in Reference not found on AR sheet",IF(AND(D1094="Bill Payment",H1094=""),"Add the vendor",IF(AND(D1094="Bill Payment",OR(J1094="",COUNTIFS(ap_No,J1094&amp;"",ap_Party,H1094&amp;"")=0)),"Bill # + vendor not found on AP sheet",IF(AND(ISNUMBER(M1094),N(M1094)&lt;&gt;0,W1094=0),"Tax ignored (tax tracking off, or not allowed for this type)",IF(V1094=K1094&amp;"","Same account on both sides",IF(AND(ISNUMBER(StartDate),C1094&lt;StartDate),"Date is before the accounting start date",IF(AND(D1094&lt;&gt;"Adjustment",IFERROR(INDEX(coa_Pay,MATCH(K1094&amp;"",coa_Name,0)),"")&lt;&gt;"Yes"),"Paid From / Deposited To is not a payment account","")))))))))))</f>
        <v/>
      </c>
      <c r="Z1094" s="67">
        <f>IF(AND(T1094=0,X1094=""),1,0)</f>
        <v/>
      </c>
      <c r="AA1094" s="68">
        <f>IF(Z1094=1,IF(U1094="In",L1094,L1094-W1094),0)</f>
        <v/>
      </c>
      <c r="AB1094" s="68">
        <f>IF(Z1094=1,IF(U1094="In",L1094-W1094,L1094),0)</f>
        <v/>
      </c>
      <c r="AC1094" s="68">
        <f>IF(AND(Z1094=1,U1094="Out"),W1094,0)</f>
        <v/>
      </c>
      <c r="AD1094" s="68">
        <f>IF(AND(Z1094=1,U1094="In"),W1094,0)</f>
        <v/>
      </c>
    </row>
    <row r="1095">
      <c r="B1095" s="62" t="inlineStr">
        <is>
          <t>TX-1089</t>
        </is>
      </c>
      <c r="C1095" s="63" t="n"/>
      <c r="D1095" s="62" t="n"/>
      <c r="E1095" s="62" t="n"/>
      <c r="F1095" s="62" t="n"/>
      <c r="G1095" s="62" t="n"/>
      <c r="H1095" s="62" t="n"/>
      <c r="I1095" s="62" t="n"/>
      <c r="J1095" s="62" t="n"/>
      <c r="K1095" s="62" t="n"/>
      <c r="L1095" s="64" t="n"/>
      <c r="M1095" s="64" t="n"/>
      <c r="N1095" s="62" t="n"/>
      <c r="O1095" s="65">
        <f>IF(Z1095=1,L1095-W1095,"")</f>
        <v/>
      </c>
      <c r="P1095" s="66">
        <f>IF(V1095="","",IFERROR(INDEX(coa_Type,MATCH(V1095,coa_Name,0)),""))</f>
        <v/>
      </c>
      <c r="Q1095" s="66">
        <f>IF(Z1095=1,IF(U1095="In",K1095&amp;"",V1095),"")</f>
        <v/>
      </c>
      <c r="R1095" s="66">
        <f>IF(Z1095=1,IF(U1095="In",V1095,K1095&amp;""),"")</f>
        <v/>
      </c>
      <c r="S1095" s="66">
        <f>IF(X1095&lt;&gt;"","⛔ "&amp;X1095&amp;" — not posted",IF(Y1095&lt;&gt;"","⚠ "&amp;Y1095,IF(Z1095=1,"✓ OK","")))</f>
        <v/>
      </c>
      <c r="T1095" s="67">
        <f>IF(AND(C1095="",D1095="",E1095="",L1095="",K1095=""),1,0)</f>
        <v/>
      </c>
      <c r="U1095" s="67">
        <f>IFERROR(INDEX(tt_Dir,MATCH(D1095,tt_Type,0)),"")</f>
        <v/>
      </c>
      <c r="V1095" s="67">
        <f>IF(D1095="","",IFERROR(IF(INDEX(tt_Other,MATCH(D1095,tt_Type,0))="",E1095&amp;"",INDEX(tt_Other,MATCH(D1095,tt_Type,0))),""))</f>
        <v/>
      </c>
      <c r="W1095" s="68">
        <f>IF(OR(TaxOn&lt;&gt;"Yes",NOT(ISNUMBER(M1095))),0,IF(IFERROR(INDEX(tt_Tax,MATCH(D1095,tt_Type,0)),"No")="Yes",M1095,0))</f>
        <v/>
      </c>
      <c r="X1095" s="67">
        <f>IF(T1095=1,"",IF(C1095="","Missing transaction date",IF(NOT(ISNUMBER(C1095)),"Invalid date",IF(OR(C1095&lt;DATE(2000,1,1),C1095&gt;DATE(2099,12,31)),"Invalid date",IF(D1095="","Select a type",IF(U1095="","Unknown type: "&amp;D1095,IF(V1095="","Select an account (Category)",IF(ISNA(MATCH(V1095,coa_Name,0)),"Unknown account: "&amp;V1095,IF(K1095="","Select Paid From / Deposited To",IF(ISNA(MATCH(K1095,coa_Name,0)),"Unknown account: "&amp;K1095,IF(NOT(ISNUMBER(L1095)),"Enter an amount",IF(L1095=0,"Enter an amount",IF(ABS(W1095)&gt;ABS(L1095),"Tax is larger than the amount","")))))))))))))</f>
        <v/>
      </c>
      <c r="Y1095" s="67">
        <f>IF(OR(T1095=1,X1095&lt;&gt;""),"",IF(AND(B1095&lt;&gt;"",COUNTIF(tx_ID,B1095)&gt;1),"Duplicate transaction ID",IF(AND(L1095&lt;0,D1095&lt;&gt;"Adjustment"),"Negative amount — check this entry",IF(AND(D1095="Customer Payment",G1095=""),"Add the customer",IF(AND(D1095="Customer Payment",OR(J1095="",COUNTIF(ar_No,J1095&amp;"")=0)),"Invoice # in Reference not found on AR sheet",IF(AND(D1095="Bill Payment",H1095=""),"Add the vendor",IF(AND(D1095="Bill Payment",OR(J1095="",COUNTIFS(ap_No,J1095&amp;"",ap_Party,H1095&amp;"")=0)),"Bill # + vendor not found on AP sheet",IF(AND(ISNUMBER(M1095),N(M1095)&lt;&gt;0,W1095=0),"Tax ignored (tax tracking off, or not allowed for this type)",IF(V1095=K1095&amp;"","Same account on both sides",IF(AND(ISNUMBER(StartDate),C1095&lt;StartDate),"Date is before the accounting start date",IF(AND(D1095&lt;&gt;"Adjustment",IFERROR(INDEX(coa_Pay,MATCH(K1095&amp;"",coa_Name,0)),"")&lt;&gt;"Yes"),"Paid From / Deposited To is not a payment account","")))))))))))</f>
        <v/>
      </c>
      <c r="Z1095" s="67">
        <f>IF(AND(T1095=0,X1095=""),1,0)</f>
        <v/>
      </c>
      <c r="AA1095" s="68">
        <f>IF(Z1095=1,IF(U1095="In",L1095,L1095-W1095),0)</f>
        <v/>
      </c>
      <c r="AB1095" s="68">
        <f>IF(Z1095=1,IF(U1095="In",L1095-W1095,L1095),0)</f>
        <v/>
      </c>
      <c r="AC1095" s="68">
        <f>IF(AND(Z1095=1,U1095="Out"),W1095,0)</f>
        <v/>
      </c>
      <c r="AD1095" s="68">
        <f>IF(AND(Z1095=1,U1095="In"),W1095,0)</f>
        <v/>
      </c>
    </row>
    <row r="1096">
      <c r="B1096" s="62" t="inlineStr">
        <is>
          <t>TX-1090</t>
        </is>
      </c>
      <c r="C1096" s="63" t="n"/>
      <c r="D1096" s="62" t="n"/>
      <c r="E1096" s="62" t="n"/>
      <c r="F1096" s="62" t="n"/>
      <c r="G1096" s="62" t="n"/>
      <c r="H1096" s="62" t="n"/>
      <c r="I1096" s="62" t="n"/>
      <c r="J1096" s="62" t="n"/>
      <c r="K1096" s="62" t="n"/>
      <c r="L1096" s="64" t="n"/>
      <c r="M1096" s="64" t="n"/>
      <c r="N1096" s="62" t="n"/>
      <c r="O1096" s="65">
        <f>IF(Z1096=1,L1096-W1096,"")</f>
        <v/>
      </c>
      <c r="P1096" s="66">
        <f>IF(V1096="","",IFERROR(INDEX(coa_Type,MATCH(V1096,coa_Name,0)),""))</f>
        <v/>
      </c>
      <c r="Q1096" s="66">
        <f>IF(Z1096=1,IF(U1096="In",K1096&amp;"",V1096),"")</f>
        <v/>
      </c>
      <c r="R1096" s="66">
        <f>IF(Z1096=1,IF(U1096="In",V1096,K1096&amp;""),"")</f>
        <v/>
      </c>
      <c r="S1096" s="66">
        <f>IF(X1096&lt;&gt;"","⛔ "&amp;X1096&amp;" — not posted",IF(Y1096&lt;&gt;"","⚠ "&amp;Y1096,IF(Z1096=1,"✓ OK","")))</f>
        <v/>
      </c>
      <c r="T1096" s="67">
        <f>IF(AND(C1096="",D1096="",E1096="",L1096="",K1096=""),1,0)</f>
        <v/>
      </c>
      <c r="U1096" s="67">
        <f>IFERROR(INDEX(tt_Dir,MATCH(D1096,tt_Type,0)),"")</f>
        <v/>
      </c>
      <c r="V1096" s="67">
        <f>IF(D1096="","",IFERROR(IF(INDEX(tt_Other,MATCH(D1096,tt_Type,0))="",E1096&amp;"",INDEX(tt_Other,MATCH(D1096,tt_Type,0))),""))</f>
        <v/>
      </c>
      <c r="W1096" s="68">
        <f>IF(OR(TaxOn&lt;&gt;"Yes",NOT(ISNUMBER(M1096))),0,IF(IFERROR(INDEX(tt_Tax,MATCH(D1096,tt_Type,0)),"No")="Yes",M1096,0))</f>
        <v/>
      </c>
      <c r="X1096" s="67">
        <f>IF(T1096=1,"",IF(C1096="","Missing transaction date",IF(NOT(ISNUMBER(C1096)),"Invalid date",IF(OR(C1096&lt;DATE(2000,1,1),C1096&gt;DATE(2099,12,31)),"Invalid date",IF(D1096="","Select a type",IF(U1096="","Unknown type: "&amp;D1096,IF(V1096="","Select an account (Category)",IF(ISNA(MATCH(V1096,coa_Name,0)),"Unknown account: "&amp;V1096,IF(K1096="","Select Paid From / Deposited To",IF(ISNA(MATCH(K1096,coa_Name,0)),"Unknown account: "&amp;K1096,IF(NOT(ISNUMBER(L1096)),"Enter an amount",IF(L1096=0,"Enter an amount",IF(ABS(W1096)&gt;ABS(L1096),"Tax is larger than the amount","")))))))))))))</f>
        <v/>
      </c>
      <c r="Y1096" s="67">
        <f>IF(OR(T1096=1,X1096&lt;&gt;""),"",IF(AND(B1096&lt;&gt;"",COUNTIF(tx_ID,B1096)&gt;1),"Duplicate transaction ID",IF(AND(L1096&lt;0,D1096&lt;&gt;"Adjustment"),"Negative amount — check this entry",IF(AND(D1096="Customer Payment",G1096=""),"Add the customer",IF(AND(D1096="Customer Payment",OR(J1096="",COUNTIF(ar_No,J1096&amp;"")=0)),"Invoice # in Reference not found on AR sheet",IF(AND(D1096="Bill Payment",H1096=""),"Add the vendor",IF(AND(D1096="Bill Payment",OR(J1096="",COUNTIFS(ap_No,J1096&amp;"",ap_Party,H1096&amp;"")=0)),"Bill # + vendor not found on AP sheet",IF(AND(ISNUMBER(M1096),N(M1096)&lt;&gt;0,W1096=0),"Tax ignored (tax tracking off, or not allowed for this type)",IF(V1096=K1096&amp;"","Same account on both sides",IF(AND(ISNUMBER(StartDate),C1096&lt;StartDate),"Date is before the accounting start date",IF(AND(D1096&lt;&gt;"Adjustment",IFERROR(INDEX(coa_Pay,MATCH(K1096&amp;"",coa_Name,0)),"")&lt;&gt;"Yes"),"Paid From / Deposited To is not a payment account","")))))))))))</f>
        <v/>
      </c>
      <c r="Z1096" s="67">
        <f>IF(AND(T1096=0,X1096=""),1,0)</f>
        <v/>
      </c>
      <c r="AA1096" s="68">
        <f>IF(Z1096=1,IF(U1096="In",L1096,L1096-W1096),0)</f>
        <v/>
      </c>
      <c r="AB1096" s="68">
        <f>IF(Z1096=1,IF(U1096="In",L1096-W1096,L1096),0)</f>
        <v/>
      </c>
      <c r="AC1096" s="68">
        <f>IF(AND(Z1096=1,U1096="Out"),W1096,0)</f>
        <v/>
      </c>
      <c r="AD1096" s="68">
        <f>IF(AND(Z1096=1,U1096="In"),W1096,0)</f>
        <v/>
      </c>
    </row>
    <row r="1097">
      <c r="B1097" s="62" t="inlineStr">
        <is>
          <t>TX-1091</t>
        </is>
      </c>
      <c r="C1097" s="63" t="n"/>
      <c r="D1097" s="62" t="n"/>
      <c r="E1097" s="62" t="n"/>
      <c r="F1097" s="62" t="n"/>
      <c r="G1097" s="62" t="n"/>
      <c r="H1097" s="62" t="n"/>
      <c r="I1097" s="62" t="n"/>
      <c r="J1097" s="62" t="n"/>
      <c r="K1097" s="62" t="n"/>
      <c r="L1097" s="64" t="n"/>
      <c r="M1097" s="64" t="n"/>
      <c r="N1097" s="62" t="n"/>
      <c r="O1097" s="65">
        <f>IF(Z1097=1,L1097-W1097,"")</f>
        <v/>
      </c>
      <c r="P1097" s="66">
        <f>IF(V1097="","",IFERROR(INDEX(coa_Type,MATCH(V1097,coa_Name,0)),""))</f>
        <v/>
      </c>
      <c r="Q1097" s="66">
        <f>IF(Z1097=1,IF(U1097="In",K1097&amp;"",V1097),"")</f>
        <v/>
      </c>
      <c r="R1097" s="66">
        <f>IF(Z1097=1,IF(U1097="In",V1097,K1097&amp;""),"")</f>
        <v/>
      </c>
      <c r="S1097" s="66">
        <f>IF(X1097&lt;&gt;"","⛔ "&amp;X1097&amp;" — not posted",IF(Y1097&lt;&gt;"","⚠ "&amp;Y1097,IF(Z1097=1,"✓ OK","")))</f>
        <v/>
      </c>
      <c r="T1097" s="67">
        <f>IF(AND(C1097="",D1097="",E1097="",L1097="",K1097=""),1,0)</f>
        <v/>
      </c>
      <c r="U1097" s="67">
        <f>IFERROR(INDEX(tt_Dir,MATCH(D1097,tt_Type,0)),"")</f>
        <v/>
      </c>
      <c r="V1097" s="67">
        <f>IF(D1097="","",IFERROR(IF(INDEX(tt_Other,MATCH(D1097,tt_Type,0))="",E1097&amp;"",INDEX(tt_Other,MATCH(D1097,tt_Type,0))),""))</f>
        <v/>
      </c>
      <c r="W1097" s="68">
        <f>IF(OR(TaxOn&lt;&gt;"Yes",NOT(ISNUMBER(M1097))),0,IF(IFERROR(INDEX(tt_Tax,MATCH(D1097,tt_Type,0)),"No")="Yes",M1097,0))</f>
        <v/>
      </c>
      <c r="X1097" s="67">
        <f>IF(T1097=1,"",IF(C1097="","Missing transaction date",IF(NOT(ISNUMBER(C1097)),"Invalid date",IF(OR(C1097&lt;DATE(2000,1,1),C1097&gt;DATE(2099,12,31)),"Invalid date",IF(D1097="","Select a type",IF(U1097="","Unknown type: "&amp;D1097,IF(V1097="","Select an account (Category)",IF(ISNA(MATCH(V1097,coa_Name,0)),"Unknown account: "&amp;V1097,IF(K1097="","Select Paid From / Deposited To",IF(ISNA(MATCH(K1097,coa_Name,0)),"Unknown account: "&amp;K1097,IF(NOT(ISNUMBER(L1097)),"Enter an amount",IF(L1097=0,"Enter an amount",IF(ABS(W1097)&gt;ABS(L1097),"Tax is larger than the amount","")))))))))))))</f>
        <v/>
      </c>
      <c r="Y1097" s="67">
        <f>IF(OR(T1097=1,X1097&lt;&gt;""),"",IF(AND(B1097&lt;&gt;"",COUNTIF(tx_ID,B1097)&gt;1),"Duplicate transaction ID",IF(AND(L1097&lt;0,D1097&lt;&gt;"Adjustment"),"Negative amount — check this entry",IF(AND(D1097="Customer Payment",G1097=""),"Add the customer",IF(AND(D1097="Customer Payment",OR(J1097="",COUNTIF(ar_No,J1097&amp;"")=0)),"Invoice # in Reference not found on AR sheet",IF(AND(D1097="Bill Payment",H1097=""),"Add the vendor",IF(AND(D1097="Bill Payment",OR(J1097="",COUNTIFS(ap_No,J1097&amp;"",ap_Party,H1097&amp;"")=0)),"Bill # + vendor not found on AP sheet",IF(AND(ISNUMBER(M1097),N(M1097)&lt;&gt;0,W1097=0),"Tax ignored (tax tracking off, or not allowed for this type)",IF(V1097=K1097&amp;"","Same account on both sides",IF(AND(ISNUMBER(StartDate),C1097&lt;StartDate),"Date is before the accounting start date",IF(AND(D1097&lt;&gt;"Adjustment",IFERROR(INDEX(coa_Pay,MATCH(K1097&amp;"",coa_Name,0)),"")&lt;&gt;"Yes"),"Paid From / Deposited To is not a payment account","")))))))))))</f>
        <v/>
      </c>
      <c r="Z1097" s="67">
        <f>IF(AND(T1097=0,X1097=""),1,0)</f>
        <v/>
      </c>
      <c r="AA1097" s="68">
        <f>IF(Z1097=1,IF(U1097="In",L1097,L1097-W1097),0)</f>
        <v/>
      </c>
      <c r="AB1097" s="68">
        <f>IF(Z1097=1,IF(U1097="In",L1097-W1097,L1097),0)</f>
        <v/>
      </c>
      <c r="AC1097" s="68">
        <f>IF(AND(Z1097=1,U1097="Out"),W1097,0)</f>
        <v/>
      </c>
      <c r="AD1097" s="68">
        <f>IF(AND(Z1097=1,U1097="In"),W1097,0)</f>
        <v/>
      </c>
    </row>
    <row r="1098">
      <c r="B1098" s="62" t="inlineStr">
        <is>
          <t>TX-1092</t>
        </is>
      </c>
      <c r="C1098" s="63" t="n"/>
      <c r="D1098" s="62" t="n"/>
      <c r="E1098" s="62" t="n"/>
      <c r="F1098" s="62" t="n"/>
      <c r="G1098" s="62" t="n"/>
      <c r="H1098" s="62" t="n"/>
      <c r="I1098" s="62" t="n"/>
      <c r="J1098" s="62" t="n"/>
      <c r="K1098" s="62" t="n"/>
      <c r="L1098" s="64" t="n"/>
      <c r="M1098" s="64" t="n"/>
      <c r="N1098" s="62" t="n"/>
      <c r="O1098" s="65">
        <f>IF(Z1098=1,L1098-W1098,"")</f>
        <v/>
      </c>
      <c r="P1098" s="66">
        <f>IF(V1098="","",IFERROR(INDEX(coa_Type,MATCH(V1098,coa_Name,0)),""))</f>
        <v/>
      </c>
      <c r="Q1098" s="66">
        <f>IF(Z1098=1,IF(U1098="In",K1098&amp;"",V1098),"")</f>
        <v/>
      </c>
      <c r="R1098" s="66">
        <f>IF(Z1098=1,IF(U1098="In",V1098,K1098&amp;""),"")</f>
        <v/>
      </c>
      <c r="S1098" s="66">
        <f>IF(X1098&lt;&gt;"","⛔ "&amp;X1098&amp;" — not posted",IF(Y1098&lt;&gt;"","⚠ "&amp;Y1098,IF(Z1098=1,"✓ OK","")))</f>
        <v/>
      </c>
      <c r="T1098" s="67">
        <f>IF(AND(C1098="",D1098="",E1098="",L1098="",K1098=""),1,0)</f>
        <v/>
      </c>
      <c r="U1098" s="67">
        <f>IFERROR(INDEX(tt_Dir,MATCH(D1098,tt_Type,0)),"")</f>
        <v/>
      </c>
      <c r="V1098" s="67">
        <f>IF(D1098="","",IFERROR(IF(INDEX(tt_Other,MATCH(D1098,tt_Type,0))="",E1098&amp;"",INDEX(tt_Other,MATCH(D1098,tt_Type,0))),""))</f>
        <v/>
      </c>
      <c r="W1098" s="68">
        <f>IF(OR(TaxOn&lt;&gt;"Yes",NOT(ISNUMBER(M1098))),0,IF(IFERROR(INDEX(tt_Tax,MATCH(D1098,tt_Type,0)),"No")="Yes",M1098,0))</f>
        <v/>
      </c>
      <c r="X1098" s="67">
        <f>IF(T1098=1,"",IF(C1098="","Missing transaction date",IF(NOT(ISNUMBER(C1098)),"Invalid date",IF(OR(C1098&lt;DATE(2000,1,1),C1098&gt;DATE(2099,12,31)),"Invalid date",IF(D1098="","Select a type",IF(U1098="","Unknown type: "&amp;D1098,IF(V1098="","Select an account (Category)",IF(ISNA(MATCH(V1098,coa_Name,0)),"Unknown account: "&amp;V1098,IF(K1098="","Select Paid From / Deposited To",IF(ISNA(MATCH(K1098,coa_Name,0)),"Unknown account: "&amp;K1098,IF(NOT(ISNUMBER(L1098)),"Enter an amount",IF(L1098=0,"Enter an amount",IF(ABS(W1098)&gt;ABS(L1098),"Tax is larger than the amount","")))))))))))))</f>
        <v/>
      </c>
      <c r="Y1098" s="67">
        <f>IF(OR(T1098=1,X1098&lt;&gt;""),"",IF(AND(B1098&lt;&gt;"",COUNTIF(tx_ID,B1098)&gt;1),"Duplicate transaction ID",IF(AND(L1098&lt;0,D1098&lt;&gt;"Adjustment"),"Negative amount — check this entry",IF(AND(D1098="Customer Payment",G1098=""),"Add the customer",IF(AND(D1098="Customer Payment",OR(J1098="",COUNTIF(ar_No,J1098&amp;"")=0)),"Invoice # in Reference not found on AR sheet",IF(AND(D1098="Bill Payment",H1098=""),"Add the vendor",IF(AND(D1098="Bill Payment",OR(J1098="",COUNTIFS(ap_No,J1098&amp;"",ap_Party,H1098&amp;"")=0)),"Bill # + vendor not found on AP sheet",IF(AND(ISNUMBER(M1098),N(M1098)&lt;&gt;0,W1098=0),"Tax ignored (tax tracking off, or not allowed for this type)",IF(V1098=K1098&amp;"","Same account on both sides",IF(AND(ISNUMBER(StartDate),C1098&lt;StartDate),"Date is before the accounting start date",IF(AND(D1098&lt;&gt;"Adjustment",IFERROR(INDEX(coa_Pay,MATCH(K1098&amp;"",coa_Name,0)),"")&lt;&gt;"Yes"),"Paid From / Deposited To is not a payment account","")))))))))))</f>
        <v/>
      </c>
      <c r="Z1098" s="67">
        <f>IF(AND(T1098=0,X1098=""),1,0)</f>
        <v/>
      </c>
      <c r="AA1098" s="68">
        <f>IF(Z1098=1,IF(U1098="In",L1098,L1098-W1098),0)</f>
        <v/>
      </c>
      <c r="AB1098" s="68">
        <f>IF(Z1098=1,IF(U1098="In",L1098-W1098,L1098),0)</f>
        <v/>
      </c>
      <c r="AC1098" s="68">
        <f>IF(AND(Z1098=1,U1098="Out"),W1098,0)</f>
        <v/>
      </c>
      <c r="AD1098" s="68">
        <f>IF(AND(Z1098=1,U1098="In"),W1098,0)</f>
        <v/>
      </c>
    </row>
    <row r="1099">
      <c r="B1099" s="62" t="inlineStr">
        <is>
          <t>TX-1093</t>
        </is>
      </c>
      <c r="C1099" s="63" t="n"/>
      <c r="D1099" s="62" t="n"/>
      <c r="E1099" s="62" t="n"/>
      <c r="F1099" s="62" t="n"/>
      <c r="G1099" s="62" t="n"/>
      <c r="H1099" s="62" t="n"/>
      <c r="I1099" s="62" t="n"/>
      <c r="J1099" s="62" t="n"/>
      <c r="K1099" s="62" t="n"/>
      <c r="L1099" s="64" t="n"/>
      <c r="M1099" s="64" t="n"/>
      <c r="N1099" s="62" t="n"/>
      <c r="O1099" s="65">
        <f>IF(Z1099=1,L1099-W1099,"")</f>
        <v/>
      </c>
      <c r="P1099" s="66">
        <f>IF(V1099="","",IFERROR(INDEX(coa_Type,MATCH(V1099,coa_Name,0)),""))</f>
        <v/>
      </c>
      <c r="Q1099" s="66">
        <f>IF(Z1099=1,IF(U1099="In",K1099&amp;"",V1099),"")</f>
        <v/>
      </c>
      <c r="R1099" s="66">
        <f>IF(Z1099=1,IF(U1099="In",V1099,K1099&amp;""),"")</f>
        <v/>
      </c>
      <c r="S1099" s="66">
        <f>IF(X1099&lt;&gt;"","⛔ "&amp;X1099&amp;" — not posted",IF(Y1099&lt;&gt;"","⚠ "&amp;Y1099,IF(Z1099=1,"✓ OK","")))</f>
        <v/>
      </c>
      <c r="T1099" s="67">
        <f>IF(AND(C1099="",D1099="",E1099="",L1099="",K1099=""),1,0)</f>
        <v/>
      </c>
      <c r="U1099" s="67">
        <f>IFERROR(INDEX(tt_Dir,MATCH(D1099,tt_Type,0)),"")</f>
        <v/>
      </c>
      <c r="V1099" s="67">
        <f>IF(D1099="","",IFERROR(IF(INDEX(tt_Other,MATCH(D1099,tt_Type,0))="",E1099&amp;"",INDEX(tt_Other,MATCH(D1099,tt_Type,0))),""))</f>
        <v/>
      </c>
      <c r="W1099" s="68">
        <f>IF(OR(TaxOn&lt;&gt;"Yes",NOT(ISNUMBER(M1099))),0,IF(IFERROR(INDEX(tt_Tax,MATCH(D1099,tt_Type,0)),"No")="Yes",M1099,0))</f>
        <v/>
      </c>
      <c r="X1099" s="67">
        <f>IF(T1099=1,"",IF(C1099="","Missing transaction date",IF(NOT(ISNUMBER(C1099)),"Invalid date",IF(OR(C1099&lt;DATE(2000,1,1),C1099&gt;DATE(2099,12,31)),"Invalid date",IF(D1099="","Select a type",IF(U1099="","Unknown type: "&amp;D1099,IF(V1099="","Select an account (Category)",IF(ISNA(MATCH(V1099,coa_Name,0)),"Unknown account: "&amp;V1099,IF(K1099="","Select Paid From / Deposited To",IF(ISNA(MATCH(K1099,coa_Name,0)),"Unknown account: "&amp;K1099,IF(NOT(ISNUMBER(L1099)),"Enter an amount",IF(L1099=0,"Enter an amount",IF(ABS(W1099)&gt;ABS(L1099),"Tax is larger than the amount","")))))))))))))</f>
        <v/>
      </c>
      <c r="Y1099" s="67">
        <f>IF(OR(T1099=1,X1099&lt;&gt;""),"",IF(AND(B1099&lt;&gt;"",COUNTIF(tx_ID,B1099)&gt;1),"Duplicate transaction ID",IF(AND(L1099&lt;0,D1099&lt;&gt;"Adjustment"),"Negative amount — check this entry",IF(AND(D1099="Customer Payment",G1099=""),"Add the customer",IF(AND(D1099="Customer Payment",OR(J1099="",COUNTIF(ar_No,J1099&amp;"")=0)),"Invoice # in Reference not found on AR sheet",IF(AND(D1099="Bill Payment",H1099=""),"Add the vendor",IF(AND(D1099="Bill Payment",OR(J1099="",COUNTIFS(ap_No,J1099&amp;"",ap_Party,H1099&amp;"")=0)),"Bill # + vendor not found on AP sheet",IF(AND(ISNUMBER(M1099),N(M1099)&lt;&gt;0,W1099=0),"Tax ignored (tax tracking off, or not allowed for this type)",IF(V1099=K1099&amp;"","Same account on both sides",IF(AND(ISNUMBER(StartDate),C1099&lt;StartDate),"Date is before the accounting start date",IF(AND(D1099&lt;&gt;"Adjustment",IFERROR(INDEX(coa_Pay,MATCH(K1099&amp;"",coa_Name,0)),"")&lt;&gt;"Yes"),"Paid From / Deposited To is not a payment account","")))))))))))</f>
        <v/>
      </c>
      <c r="Z1099" s="67">
        <f>IF(AND(T1099=0,X1099=""),1,0)</f>
        <v/>
      </c>
      <c r="AA1099" s="68">
        <f>IF(Z1099=1,IF(U1099="In",L1099,L1099-W1099),0)</f>
        <v/>
      </c>
      <c r="AB1099" s="68">
        <f>IF(Z1099=1,IF(U1099="In",L1099-W1099,L1099),0)</f>
        <v/>
      </c>
      <c r="AC1099" s="68">
        <f>IF(AND(Z1099=1,U1099="Out"),W1099,0)</f>
        <v/>
      </c>
      <c r="AD1099" s="68">
        <f>IF(AND(Z1099=1,U1099="In"),W1099,0)</f>
        <v/>
      </c>
    </row>
    <row r="1100">
      <c r="B1100" s="62" t="inlineStr">
        <is>
          <t>TX-1094</t>
        </is>
      </c>
      <c r="C1100" s="63" t="n"/>
      <c r="D1100" s="62" t="n"/>
      <c r="E1100" s="62" t="n"/>
      <c r="F1100" s="62" t="n"/>
      <c r="G1100" s="62" t="n"/>
      <c r="H1100" s="62" t="n"/>
      <c r="I1100" s="62" t="n"/>
      <c r="J1100" s="62" t="n"/>
      <c r="K1100" s="62" t="n"/>
      <c r="L1100" s="64" t="n"/>
      <c r="M1100" s="64" t="n"/>
      <c r="N1100" s="62" t="n"/>
      <c r="O1100" s="65">
        <f>IF(Z1100=1,L1100-W1100,"")</f>
        <v/>
      </c>
      <c r="P1100" s="66">
        <f>IF(V1100="","",IFERROR(INDEX(coa_Type,MATCH(V1100,coa_Name,0)),""))</f>
        <v/>
      </c>
      <c r="Q1100" s="66">
        <f>IF(Z1100=1,IF(U1100="In",K1100&amp;"",V1100),"")</f>
        <v/>
      </c>
      <c r="R1100" s="66">
        <f>IF(Z1100=1,IF(U1100="In",V1100,K1100&amp;""),"")</f>
        <v/>
      </c>
      <c r="S1100" s="66">
        <f>IF(X1100&lt;&gt;"","⛔ "&amp;X1100&amp;" — not posted",IF(Y1100&lt;&gt;"","⚠ "&amp;Y1100,IF(Z1100=1,"✓ OK","")))</f>
        <v/>
      </c>
      <c r="T1100" s="67">
        <f>IF(AND(C1100="",D1100="",E1100="",L1100="",K1100=""),1,0)</f>
        <v/>
      </c>
      <c r="U1100" s="67">
        <f>IFERROR(INDEX(tt_Dir,MATCH(D1100,tt_Type,0)),"")</f>
        <v/>
      </c>
      <c r="V1100" s="67">
        <f>IF(D1100="","",IFERROR(IF(INDEX(tt_Other,MATCH(D1100,tt_Type,0))="",E1100&amp;"",INDEX(tt_Other,MATCH(D1100,tt_Type,0))),""))</f>
        <v/>
      </c>
      <c r="W1100" s="68">
        <f>IF(OR(TaxOn&lt;&gt;"Yes",NOT(ISNUMBER(M1100))),0,IF(IFERROR(INDEX(tt_Tax,MATCH(D1100,tt_Type,0)),"No")="Yes",M1100,0))</f>
        <v/>
      </c>
      <c r="X1100" s="67">
        <f>IF(T1100=1,"",IF(C1100="","Missing transaction date",IF(NOT(ISNUMBER(C1100)),"Invalid date",IF(OR(C1100&lt;DATE(2000,1,1),C1100&gt;DATE(2099,12,31)),"Invalid date",IF(D1100="","Select a type",IF(U1100="","Unknown type: "&amp;D1100,IF(V1100="","Select an account (Category)",IF(ISNA(MATCH(V1100,coa_Name,0)),"Unknown account: "&amp;V1100,IF(K1100="","Select Paid From / Deposited To",IF(ISNA(MATCH(K1100,coa_Name,0)),"Unknown account: "&amp;K1100,IF(NOT(ISNUMBER(L1100)),"Enter an amount",IF(L1100=0,"Enter an amount",IF(ABS(W1100)&gt;ABS(L1100),"Tax is larger than the amount","")))))))))))))</f>
        <v/>
      </c>
      <c r="Y1100" s="67">
        <f>IF(OR(T1100=1,X1100&lt;&gt;""),"",IF(AND(B1100&lt;&gt;"",COUNTIF(tx_ID,B1100)&gt;1),"Duplicate transaction ID",IF(AND(L1100&lt;0,D1100&lt;&gt;"Adjustment"),"Negative amount — check this entry",IF(AND(D1100="Customer Payment",G1100=""),"Add the customer",IF(AND(D1100="Customer Payment",OR(J1100="",COUNTIF(ar_No,J1100&amp;"")=0)),"Invoice # in Reference not found on AR sheet",IF(AND(D1100="Bill Payment",H1100=""),"Add the vendor",IF(AND(D1100="Bill Payment",OR(J1100="",COUNTIFS(ap_No,J1100&amp;"",ap_Party,H1100&amp;"")=0)),"Bill # + vendor not found on AP sheet",IF(AND(ISNUMBER(M1100),N(M1100)&lt;&gt;0,W1100=0),"Tax ignored (tax tracking off, or not allowed for this type)",IF(V1100=K1100&amp;"","Same account on both sides",IF(AND(ISNUMBER(StartDate),C1100&lt;StartDate),"Date is before the accounting start date",IF(AND(D1100&lt;&gt;"Adjustment",IFERROR(INDEX(coa_Pay,MATCH(K1100&amp;"",coa_Name,0)),"")&lt;&gt;"Yes"),"Paid From / Deposited To is not a payment account","")))))))))))</f>
        <v/>
      </c>
      <c r="Z1100" s="67">
        <f>IF(AND(T1100=0,X1100=""),1,0)</f>
        <v/>
      </c>
      <c r="AA1100" s="68">
        <f>IF(Z1100=1,IF(U1100="In",L1100,L1100-W1100),0)</f>
        <v/>
      </c>
      <c r="AB1100" s="68">
        <f>IF(Z1100=1,IF(U1100="In",L1100-W1100,L1100),0)</f>
        <v/>
      </c>
      <c r="AC1100" s="68">
        <f>IF(AND(Z1100=1,U1100="Out"),W1100,0)</f>
        <v/>
      </c>
      <c r="AD1100" s="68">
        <f>IF(AND(Z1100=1,U1100="In"),W1100,0)</f>
        <v/>
      </c>
    </row>
    <row r="1101">
      <c r="B1101" s="62" t="inlineStr">
        <is>
          <t>TX-1095</t>
        </is>
      </c>
      <c r="C1101" s="63" t="n"/>
      <c r="D1101" s="62" t="n"/>
      <c r="E1101" s="62" t="n"/>
      <c r="F1101" s="62" t="n"/>
      <c r="G1101" s="62" t="n"/>
      <c r="H1101" s="62" t="n"/>
      <c r="I1101" s="62" t="n"/>
      <c r="J1101" s="62" t="n"/>
      <c r="K1101" s="62" t="n"/>
      <c r="L1101" s="64" t="n"/>
      <c r="M1101" s="64" t="n"/>
      <c r="N1101" s="62" t="n"/>
      <c r="O1101" s="65">
        <f>IF(Z1101=1,L1101-W1101,"")</f>
        <v/>
      </c>
      <c r="P1101" s="66">
        <f>IF(V1101="","",IFERROR(INDEX(coa_Type,MATCH(V1101,coa_Name,0)),""))</f>
        <v/>
      </c>
      <c r="Q1101" s="66">
        <f>IF(Z1101=1,IF(U1101="In",K1101&amp;"",V1101),"")</f>
        <v/>
      </c>
      <c r="R1101" s="66">
        <f>IF(Z1101=1,IF(U1101="In",V1101,K1101&amp;""),"")</f>
        <v/>
      </c>
      <c r="S1101" s="66">
        <f>IF(X1101&lt;&gt;"","⛔ "&amp;X1101&amp;" — not posted",IF(Y1101&lt;&gt;"","⚠ "&amp;Y1101,IF(Z1101=1,"✓ OK","")))</f>
        <v/>
      </c>
      <c r="T1101" s="67">
        <f>IF(AND(C1101="",D1101="",E1101="",L1101="",K1101=""),1,0)</f>
        <v/>
      </c>
      <c r="U1101" s="67">
        <f>IFERROR(INDEX(tt_Dir,MATCH(D1101,tt_Type,0)),"")</f>
        <v/>
      </c>
      <c r="V1101" s="67">
        <f>IF(D1101="","",IFERROR(IF(INDEX(tt_Other,MATCH(D1101,tt_Type,0))="",E1101&amp;"",INDEX(tt_Other,MATCH(D1101,tt_Type,0))),""))</f>
        <v/>
      </c>
      <c r="W1101" s="68">
        <f>IF(OR(TaxOn&lt;&gt;"Yes",NOT(ISNUMBER(M1101))),0,IF(IFERROR(INDEX(tt_Tax,MATCH(D1101,tt_Type,0)),"No")="Yes",M1101,0))</f>
        <v/>
      </c>
      <c r="X1101" s="67">
        <f>IF(T1101=1,"",IF(C1101="","Missing transaction date",IF(NOT(ISNUMBER(C1101)),"Invalid date",IF(OR(C1101&lt;DATE(2000,1,1),C1101&gt;DATE(2099,12,31)),"Invalid date",IF(D1101="","Select a type",IF(U1101="","Unknown type: "&amp;D1101,IF(V1101="","Select an account (Category)",IF(ISNA(MATCH(V1101,coa_Name,0)),"Unknown account: "&amp;V1101,IF(K1101="","Select Paid From / Deposited To",IF(ISNA(MATCH(K1101,coa_Name,0)),"Unknown account: "&amp;K1101,IF(NOT(ISNUMBER(L1101)),"Enter an amount",IF(L1101=0,"Enter an amount",IF(ABS(W1101)&gt;ABS(L1101),"Tax is larger than the amount","")))))))))))))</f>
        <v/>
      </c>
      <c r="Y1101" s="67">
        <f>IF(OR(T1101=1,X1101&lt;&gt;""),"",IF(AND(B1101&lt;&gt;"",COUNTIF(tx_ID,B1101)&gt;1),"Duplicate transaction ID",IF(AND(L1101&lt;0,D1101&lt;&gt;"Adjustment"),"Negative amount — check this entry",IF(AND(D1101="Customer Payment",G1101=""),"Add the customer",IF(AND(D1101="Customer Payment",OR(J1101="",COUNTIF(ar_No,J1101&amp;"")=0)),"Invoice # in Reference not found on AR sheet",IF(AND(D1101="Bill Payment",H1101=""),"Add the vendor",IF(AND(D1101="Bill Payment",OR(J1101="",COUNTIFS(ap_No,J1101&amp;"",ap_Party,H1101&amp;"")=0)),"Bill # + vendor not found on AP sheet",IF(AND(ISNUMBER(M1101),N(M1101)&lt;&gt;0,W1101=0),"Tax ignored (tax tracking off, or not allowed for this type)",IF(V1101=K1101&amp;"","Same account on both sides",IF(AND(ISNUMBER(StartDate),C1101&lt;StartDate),"Date is before the accounting start date",IF(AND(D1101&lt;&gt;"Adjustment",IFERROR(INDEX(coa_Pay,MATCH(K1101&amp;"",coa_Name,0)),"")&lt;&gt;"Yes"),"Paid From / Deposited To is not a payment account","")))))))))))</f>
        <v/>
      </c>
      <c r="Z1101" s="67">
        <f>IF(AND(T1101=0,X1101=""),1,0)</f>
        <v/>
      </c>
      <c r="AA1101" s="68">
        <f>IF(Z1101=1,IF(U1101="In",L1101,L1101-W1101),0)</f>
        <v/>
      </c>
      <c r="AB1101" s="68">
        <f>IF(Z1101=1,IF(U1101="In",L1101-W1101,L1101),0)</f>
        <v/>
      </c>
      <c r="AC1101" s="68">
        <f>IF(AND(Z1101=1,U1101="Out"),W1101,0)</f>
        <v/>
      </c>
      <c r="AD1101" s="68">
        <f>IF(AND(Z1101=1,U1101="In"),W1101,0)</f>
        <v/>
      </c>
    </row>
    <row r="1102">
      <c r="B1102" s="62" t="inlineStr">
        <is>
          <t>TX-1096</t>
        </is>
      </c>
      <c r="C1102" s="63" t="n"/>
      <c r="D1102" s="62" t="n"/>
      <c r="E1102" s="62" t="n"/>
      <c r="F1102" s="62" t="n"/>
      <c r="G1102" s="62" t="n"/>
      <c r="H1102" s="62" t="n"/>
      <c r="I1102" s="62" t="n"/>
      <c r="J1102" s="62" t="n"/>
      <c r="K1102" s="62" t="n"/>
      <c r="L1102" s="64" t="n"/>
      <c r="M1102" s="64" t="n"/>
      <c r="N1102" s="62" t="n"/>
      <c r="O1102" s="65">
        <f>IF(Z1102=1,L1102-W1102,"")</f>
        <v/>
      </c>
      <c r="P1102" s="66">
        <f>IF(V1102="","",IFERROR(INDEX(coa_Type,MATCH(V1102,coa_Name,0)),""))</f>
        <v/>
      </c>
      <c r="Q1102" s="66">
        <f>IF(Z1102=1,IF(U1102="In",K1102&amp;"",V1102),"")</f>
        <v/>
      </c>
      <c r="R1102" s="66">
        <f>IF(Z1102=1,IF(U1102="In",V1102,K1102&amp;""),"")</f>
        <v/>
      </c>
      <c r="S1102" s="66">
        <f>IF(X1102&lt;&gt;"","⛔ "&amp;X1102&amp;" — not posted",IF(Y1102&lt;&gt;"","⚠ "&amp;Y1102,IF(Z1102=1,"✓ OK","")))</f>
        <v/>
      </c>
      <c r="T1102" s="67">
        <f>IF(AND(C1102="",D1102="",E1102="",L1102="",K1102=""),1,0)</f>
        <v/>
      </c>
      <c r="U1102" s="67">
        <f>IFERROR(INDEX(tt_Dir,MATCH(D1102,tt_Type,0)),"")</f>
        <v/>
      </c>
      <c r="V1102" s="67">
        <f>IF(D1102="","",IFERROR(IF(INDEX(tt_Other,MATCH(D1102,tt_Type,0))="",E1102&amp;"",INDEX(tt_Other,MATCH(D1102,tt_Type,0))),""))</f>
        <v/>
      </c>
      <c r="W1102" s="68">
        <f>IF(OR(TaxOn&lt;&gt;"Yes",NOT(ISNUMBER(M1102))),0,IF(IFERROR(INDEX(tt_Tax,MATCH(D1102,tt_Type,0)),"No")="Yes",M1102,0))</f>
        <v/>
      </c>
      <c r="X1102" s="67">
        <f>IF(T1102=1,"",IF(C1102="","Missing transaction date",IF(NOT(ISNUMBER(C1102)),"Invalid date",IF(OR(C1102&lt;DATE(2000,1,1),C1102&gt;DATE(2099,12,31)),"Invalid date",IF(D1102="","Select a type",IF(U1102="","Unknown type: "&amp;D1102,IF(V1102="","Select an account (Category)",IF(ISNA(MATCH(V1102,coa_Name,0)),"Unknown account: "&amp;V1102,IF(K1102="","Select Paid From / Deposited To",IF(ISNA(MATCH(K1102,coa_Name,0)),"Unknown account: "&amp;K1102,IF(NOT(ISNUMBER(L1102)),"Enter an amount",IF(L1102=0,"Enter an amount",IF(ABS(W1102)&gt;ABS(L1102),"Tax is larger than the amount","")))))))))))))</f>
        <v/>
      </c>
      <c r="Y1102" s="67">
        <f>IF(OR(T1102=1,X1102&lt;&gt;""),"",IF(AND(B1102&lt;&gt;"",COUNTIF(tx_ID,B1102)&gt;1),"Duplicate transaction ID",IF(AND(L1102&lt;0,D1102&lt;&gt;"Adjustment"),"Negative amount — check this entry",IF(AND(D1102="Customer Payment",G1102=""),"Add the customer",IF(AND(D1102="Customer Payment",OR(J1102="",COUNTIF(ar_No,J1102&amp;"")=0)),"Invoice # in Reference not found on AR sheet",IF(AND(D1102="Bill Payment",H1102=""),"Add the vendor",IF(AND(D1102="Bill Payment",OR(J1102="",COUNTIFS(ap_No,J1102&amp;"",ap_Party,H1102&amp;"")=0)),"Bill # + vendor not found on AP sheet",IF(AND(ISNUMBER(M1102),N(M1102)&lt;&gt;0,W1102=0),"Tax ignored (tax tracking off, or not allowed for this type)",IF(V1102=K1102&amp;"","Same account on both sides",IF(AND(ISNUMBER(StartDate),C1102&lt;StartDate),"Date is before the accounting start date",IF(AND(D1102&lt;&gt;"Adjustment",IFERROR(INDEX(coa_Pay,MATCH(K1102&amp;"",coa_Name,0)),"")&lt;&gt;"Yes"),"Paid From / Deposited To is not a payment account","")))))))))))</f>
        <v/>
      </c>
      <c r="Z1102" s="67">
        <f>IF(AND(T1102=0,X1102=""),1,0)</f>
        <v/>
      </c>
      <c r="AA1102" s="68">
        <f>IF(Z1102=1,IF(U1102="In",L1102,L1102-W1102),0)</f>
        <v/>
      </c>
      <c r="AB1102" s="68">
        <f>IF(Z1102=1,IF(U1102="In",L1102-W1102,L1102),0)</f>
        <v/>
      </c>
      <c r="AC1102" s="68">
        <f>IF(AND(Z1102=1,U1102="Out"),W1102,0)</f>
        <v/>
      </c>
      <c r="AD1102" s="68">
        <f>IF(AND(Z1102=1,U1102="In"),W1102,0)</f>
        <v/>
      </c>
    </row>
    <row r="1103">
      <c r="B1103" s="62" t="inlineStr">
        <is>
          <t>TX-1097</t>
        </is>
      </c>
      <c r="C1103" s="63" t="n"/>
      <c r="D1103" s="62" t="n"/>
      <c r="E1103" s="62" t="n"/>
      <c r="F1103" s="62" t="n"/>
      <c r="G1103" s="62" t="n"/>
      <c r="H1103" s="62" t="n"/>
      <c r="I1103" s="62" t="n"/>
      <c r="J1103" s="62" t="n"/>
      <c r="K1103" s="62" t="n"/>
      <c r="L1103" s="64" t="n"/>
      <c r="M1103" s="64" t="n"/>
      <c r="N1103" s="62" t="n"/>
      <c r="O1103" s="65">
        <f>IF(Z1103=1,L1103-W1103,"")</f>
        <v/>
      </c>
      <c r="P1103" s="66">
        <f>IF(V1103="","",IFERROR(INDEX(coa_Type,MATCH(V1103,coa_Name,0)),""))</f>
        <v/>
      </c>
      <c r="Q1103" s="66">
        <f>IF(Z1103=1,IF(U1103="In",K1103&amp;"",V1103),"")</f>
        <v/>
      </c>
      <c r="R1103" s="66">
        <f>IF(Z1103=1,IF(U1103="In",V1103,K1103&amp;""),"")</f>
        <v/>
      </c>
      <c r="S1103" s="66">
        <f>IF(X1103&lt;&gt;"","⛔ "&amp;X1103&amp;" — not posted",IF(Y1103&lt;&gt;"","⚠ "&amp;Y1103,IF(Z1103=1,"✓ OK","")))</f>
        <v/>
      </c>
      <c r="T1103" s="67">
        <f>IF(AND(C1103="",D1103="",E1103="",L1103="",K1103=""),1,0)</f>
        <v/>
      </c>
      <c r="U1103" s="67">
        <f>IFERROR(INDEX(tt_Dir,MATCH(D1103,tt_Type,0)),"")</f>
        <v/>
      </c>
      <c r="V1103" s="67">
        <f>IF(D1103="","",IFERROR(IF(INDEX(tt_Other,MATCH(D1103,tt_Type,0))="",E1103&amp;"",INDEX(tt_Other,MATCH(D1103,tt_Type,0))),""))</f>
        <v/>
      </c>
      <c r="W1103" s="68">
        <f>IF(OR(TaxOn&lt;&gt;"Yes",NOT(ISNUMBER(M1103))),0,IF(IFERROR(INDEX(tt_Tax,MATCH(D1103,tt_Type,0)),"No")="Yes",M1103,0))</f>
        <v/>
      </c>
      <c r="X1103" s="67">
        <f>IF(T1103=1,"",IF(C1103="","Missing transaction date",IF(NOT(ISNUMBER(C1103)),"Invalid date",IF(OR(C1103&lt;DATE(2000,1,1),C1103&gt;DATE(2099,12,31)),"Invalid date",IF(D1103="","Select a type",IF(U1103="","Unknown type: "&amp;D1103,IF(V1103="","Select an account (Category)",IF(ISNA(MATCH(V1103,coa_Name,0)),"Unknown account: "&amp;V1103,IF(K1103="","Select Paid From / Deposited To",IF(ISNA(MATCH(K1103,coa_Name,0)),"Unknown account: "&amp;K1103,IF(NOT(ISNUMBER(L1103)),"Enter an amount",IF(L1103=0,"Enter an amount",IF(ABS(W1103)&gt;ABS(L1103),"Tax is larger than the amount","")))))))))))))</f>
        <v/>
      </c>
      <c r="Y1103" s="67">
        <f>IF(OR(T1103=1,X1103&lt;&gt;""),"",IF(AND(B1103&lt;&gt;"",COUNTIF(tx_ID,B1103)&gt;1),"Duplicate transaction ID",IF(AND(L1103&lt;0,D1103&lt;&gt;"Adjustment"),"Negative amount — check this entry",IF(AND(D1103="Customer Payment",G1103=""),"Add the customer",IF(AND(D1103="Customer Payment",OR(J1103="",COUNTIF(ar_No,J1103&amp;"")=0)),"Invoice # in Reference not found on AR sheet",IF(AND(D1103="Bill Payment",H1103=""),"Add the vendor",IF(AND(D1103="Bill Payment",OR(J1103="",COUNTIFS(ap_No,J1103&amp;"",ap_Party,H1103&amp;"")=0)),"Bill # + vendor not found on AP sheet",IF(AND(ISNUMBER(M1103),N(M1103)&lt;&gt;0,W1103=0),"Tax ignored (tax tracking off, or not allowed for this type)",IF(V1103=K1103&amp;"","Same account on both sides",IF(AND(ISNUMBER(StartDate),C1103&lt;StartDate),"Date is before the accounting start date",IF(AND(D1103&lt;&gt;"Adjustment",IFERROR(INDEX(coa_Pay,MATCH(K1103&amp;"",coa_Name,0)),"")&lt;&gt;"Yes"),"Paid From / Deposited To is not a payment account","")))))))))))</f>
        <v/>
      </c>
      <c r="Z1103" s="67">
        <f>IF(AND(T1103=0,X1103=""),1,0)</f>
        <v/>
      </c>
      <c r="AA1103" s="68">
        <f>IF(Z1103=1,IF(U1103="In",L1103,L1103-W1103),0)</f>
        <v/>
      </c>
      <c r="AB1103" s="68">
        <f>IF(Z1103=1,IF(U1103="In",L1103-W1103,L1103),0)</f>
        <v/>
      </c>
      <c r="AC1103" s="68">
        <f>IF(AND(Z1103=1,U1103="Out"),W1103,0)</f>
        <v/>
      </c>
      <c r="AD1103" s="68">
        <f>IF(AND(Z1103=1,U1103="In"),W1103,0)</f>
        <v/>
      </c>
    </row>
    <row r="1104">
      <c r="B1104" s="62" t="inlineStr">
        <is>
          <t>TX-1098</t>
        </is>
      </c>
      <c r="C1104" s="63" t="n"/>
      <c r="D1104" s="62" t="n"/>
      <c r="E1104" s="62" t="n"/>
      <c r="F1104" s="62" t="n"/>
      <c r="G1104" s="62" t="n"/>
      <c r="H1104" s="62" t="n"/>
      <c r="I1104" s="62" t="n"/>
      <c r="J1104" s="62" t="n"/>
      <c r="K1104" s="62" t="n"/>
      <c r="L1104" s="64" t="n"/>
      <c r="M1104" s="64" t="n"/>
      <c r="N1104" s="62" t="n"/>
      <c r="O1104" s="65">
        <f>IF(Z1104=1,L1104-W1104,"")</f>
        <v/>
      </c>
      <c r="P1104" s="66">
        <f>IF(V1104="","",IFERROR(INDEX(coa_Type,MATCH(V1104,coa_Name,0)),""))</f>
        <v/>
      </c>
      <c r="Q1104" s="66">
        <f>IF(Z1104=1,IF(U1104="In",K1104&amp;"",V1104),"")</f>
        <v/>
      </c>
      <c r="R1104" s="66">
        <f>IF(Z1104=1,IF(U1104="In",V1104,K1104&amp;""),"")</f>
        <v/>
      </c>
      <c r="S1104" s="66">
        <f>IF(X1104&lt;&gt;"","⛔ "&amp;X1104&amp;" — not posted",IF(Y1104&lt;&gt;"","⚠ "&amp;Y1104,IF(Z1104=1,"✓ OK","")))</f>
        <v/>
      </c>
      <c r="T1104" s="67">
        <f>IF(AND(C1104="",D1104="",E1104="",L1104="",K1104=""),1,0)</f>
        <v/>
      </c>
      <c r="U1104" s="67">
        <f>IFERROR(INDEX(tt_Dir,MATCH(D1104,tt_Type,0)),"")</f>
        <v/>
      </c>
      <c r="V1104" s="67">
        <f>IF(D1104="","",IFERROR(IF(INDEX(tt_Other,MATCH(D1104,tt_Type,0))="",E1104&amp;"",INDEX(tt_Other,MATCH(D1104,tt_Type,0))),""))</f>
        <v/>
      </c>
      <c r="W1104" s="68">
        <f>IF(OR(TaxOn&lt;&gt;"Yes",NOT(ISNUMBER(M1104))),0,IF(IFERROR(INDEX(tt_Tax,MATCH(D1104,tt_Type,0)),"No")="Yes",M1104,0))</f>
        <v/>
      </c>
      <c r="X1104" s="67">
        <f>IF(T1104=1,"",IF(C1104="","Missing transaction date",IF(NOT(ISNUMBER(C1104)),"Invalid date",IF(OR(C1104&lt;DATE(2000,1,1),C1104&gt;DATE(2099,12,31)),"Invalid date",IF(D1104="","Select a type",IF(U1104="","Unknown type: "&amp;D1104,IF(V1104="","Select an account (Category)",IF(ISNA(MATCH(V1104,coa_Name,0)),"Unknown account: "&amp;V1104,IF(K1104="","Select Paid From / Deposited To",IF(ISNA(MATCH(K1104,coa_Name,0)),"Unknown account: "&amp;K1104,IF(NOT(ISNUMBER(L1104)),"Enter an amount",IF(L1104=0,"Enter an amount",IF(ABS(W1104)&gt;ABS(L1104),"Tax is larger than the amount","")))))))))))))</f>
        <v/>
      </c>
      <c r="Y1104" s="67">
        <f>IF(OR(T1104=1,X1104&lt;&gt;""),"",IF(AND(B1104&lt;&gt;"",COUNTIF(tx_ID,B1104)&gt;1),"Duplicate transaction ID",IF(AND(L1104&lt;0,D1104&lt;&gt;"Adjustment"),"Negative amount — check this entry",IF(AND(D1104="Customer Payment",G1104=""),"Add the customer",IF(AND(D1104="Customer Payment",OR(J1104="",COUNTIF(ar_No,J1104&amp;"")=0)),"Invoice # in Reference not found on AR sheet",IF(AND(D1104="Bill Payment",H1104=""),"Add the vendor",IF(AND(D1104="Bill Payment",OR(J1104="",COUNTIFS(ap_No,J1104&amp;"",ap_Party,H1104&amp;"")=0)),"Bill # + vendor not found on AP sheet",IF(AND(ISNUMBER(M1104),N(M1104)&lt;&gt;0,W1104=0),"Tax ignored (tax tracking off, or not allowed for this type)",IF(V1104=K1104&amp;"","Same account on both sides",IF(AND(ISNUMBER(StartDate),C1104&lt;StartDate),"Date is before the accounting start date",IF(AND(D1104&lt;&gt;"Adjustment",IFERROR(INDEX(coa_Pay,MATCH(K1104&amp;"",coa_Name,0)),"")&lt;&gt;"Yes"),"Paid From / Deposited To is not a payment account","")))))))))))</f>
        <v/>
      </c>
      <c r="Z1104" s="67">
        <f>IF(AND(T1104=0,X1104=""),1,0)</f>
        <v/>
      </c>
      <c r="AA1104" s="68">
        <f>IF(Z1104=1,IF(U1104="In",L1104,L1104-W1104),0)</f>
        <v/>
      </c>
      <c r="AB1104" s="68">
        <f>IF(Z1104=1,IF(U1104="In",L1104-W1104,L1104),0)</f>
        <v/>
      </c>
      <c r="AC1104" s="68">
        <f>IF(AND(Z1104=1,U1104="Out"),W1104,0)</f>
        <v/>
      </c>
      <c r="AD1104" s="68">
        <f>IF(AND(Z1104=1,U1104="In"),W1104,0)</f>
        <v/>
      </c>
    </row>
    <row r="1105">
      <c r="B1105" s="62" t="inlineStr">
        <is>
          <t>TX-1099</t>
        </is>
      </c>
      <c r="C1105" s="63" t="n"/>
      <c r="D1105" s="62" t="n"/>
      <c r="E1105" s="62" t="n"/>
      <c r="F1105" s="62" t="n"/>
      <c r="G1105" s="62" t="n"/>
      <c r="H1105" s="62" t="n"/>
      <c r="I1105" s="62" t="n"/>
      <c r="J1105" s="62" t="n"/>
      <c r="K1105" s="62" t="n"/>
      <c r="L1105" s="64" t="n"/>
      <c r="M1105" s="64" t="n"/>
      <c r="N1105" s="62" t="n"/>
      <c r="O1105" s="65">
        <f>IF(Z1105=1,L1105-W1105,"")</f>
        <v/>
      </c>
      <c r="P1105" s="66">
        <f>IF(V1105="","",IFERROR(INDEX(coa_Type,MATCH(V1105,coa_Name,0)),""))</f>
        <v/>
      </c>
      <c r="Q1105" s="66">
        <f>IF(Z1105=1,IF(U1105="In",K1105&amp;"",V1105),"")</f>
        <v/>
      </c>
      <c r="R1105" s="66">
        <f>IF(Z1105=1,IF(U1105="In",V1105,K1105&amp;""),"")</f>
        <v/>
      </c>
      <c r="S1105" s="66">
        <f>IF(X1105&lt;&gt;"","⛔ "&amp;X1105&amp;" — not posted",IF(Y1105&lt;&gt;"","⚠ "&amp;Y1105,IF(Z1105=1,"✓ OK","")))</f>
        <v/>
      </c>
      <c r="T1105" s="67">
        <f>IF(AND(C1105="",D1105="",E1105="",L1105="",K1105=""),1,0)</f>
        <v/>
      </c>
      <c r="U1105" s="67">
        <f>IFERROR(INDEX(tt_Dir,MATCH(D1105,tt_Type,0)),"")</f>
        <v/>
      </c>
      <c r="V1105" s="67">
        <f>IF(D1105="","",IFERROR(IF(INDEX(tt_Other,MATCH(D1105,tt_Type,0))="",E1105&amp;"",INDEX(tt_Other,MATCH(D1105,tt_Type,0))),""))</f>
        <v/>
      </c>
      <c r="W1105" s="68">
        <f>IF(OR(TaxOn&lt;&gt;"Yes",NOT(ISNUMBER(M1105))),0,IF(IFERROR(INDEX(tt_Tax,MATCH(D1105,tt_Type,0)),"No")="Yes",M1105,0))</f>
        <v/>
      </c>
      <c r="X1105" s="67">
        <f>IF(T1105=1,"",IF(C1105="","Missing transaction date",IF(NOT(ISNUMBER(C1105)),"Invalid date",IF(OR(C1105&lt;DATE(2000,1,1),C1105&gt;DATE(2099,12,31)),"Invalid date",IF(D1105="","Select a type",IF(U1105="","Unknown type: "&amp;D1105,IF(V1105="","Select an account (Category)",IF(ISNA(MATCH(V1105,coa_Name,0)),"Unknown account: "&amp;V1105,IF(K1105="","Select Paid From / Deposited To",IF(ISNA(MATCH(K1105,coa_Name,0)),"Unknown account: "&amp;K1105,IF(NOT(ISNUMBER(L1105)),"Enter an amount",IF(L1105=0,"Enter an amount",IF(ABS(W1105)&gt;ABS(L1105),"Tax is larger than the amount","")))))))))))))</f>
        <v/>
      </c>
      <c r="Y1105" s="67">
        <f>IF(OR(T1105=1,X1105&lt;&gt;""),"",IF(AND(B1105&lt;&gt;"",COUNTIF(tx_ID,B1105)&gt;1),"Duplicate transaction ID",IF(AND(L1105&lt;0,D1105&lt;&gt;"Adjustment"),"Negative amount — check this entry",IF(AND(D1105="Customer Payment",G1105=""),"Add the customer",IF(AND(D1105="Customer Payment",OR(J1105="",COUNTIF(ar_No,J1105&amp;"")=0)),"Invoice # in Reference not found on AR sheet",IF(AND(D1105="Bill Payment",H1105=""),"Add the vendor",IF(AND(D1105="Bill Payment",OR(J1105="",COUNTIFS(ap_No,J1105&amp;"",ap_Party,H1105&amp;"")=0)),"Bill # + vendor not found on AP sheet",IF(AND(ISNUMBER(M1105),N(M1105)&lt;&gt;0,W1105=0),"Tax ignored (tax tracking off, or not allowed for this type)",IF(V1105=K1105&amp;"","Same account on both sides",IF(AND(ISNUMBER(StartDate),C1105&lt;StartDate),"Date is before the accounting start date",IF(AND(D1105&lt;&gt;"Adjustment",IFERROR(INDEX(coa_Pay,MATCH(K1105&amp;"",coa_Name,0)),"")&lt;&gt;"Yes"),"Paid From / Deposited To is not a payment account","")))))))))))</f>
        <v/>
      </c>
      <c r="Z1105" s="67">
        <f>IF(AND(T1105=0,X1105=""),1,0)</f>
        <v/>
      </c>
      <c r="AA1105" s="68">
        <f>IF(Z1105=1,IF(U1105="In",L1105,L1105-W1105),0)</f>
        <v/>
      </c>
      <c r="AB1105" s="68">
        <f>IF(Z1105=1,IF(U1105="In",L1105-W1105,L1105),0)</f>
        <v/>
      </c>
      <c r="AC1105" s="68">
        <f>IF(AND(Z1105=1,U1105="Out"),W1105,0)</f>
        <v/>
      </c>
      <c r="AD1105" s="68">
        <f>IF(AND(Z1105=1,U1105="In"),W1105,0)</f>
        <v/>
      </c>
    </row>
    <row r="1106">
      <c r="B1106" s="62" t="inlineStr">
        <is>
          <t>TX-1100</t>
        </is>
      </c>
      <c r="C1106" s="63" t="n"/>
      <c r="D1106" s="62" t="n"/>
      <c r="E1106" s="62" t="n"/>
      <c r="F1106" s="62" t="n"/>
      <c r="G1106" s="62" t="n"/>
      <c r="H1106" s="62" t="n"/>
      <c r="I1106" s="62" t="n"/>
      <c r="J1106" s="62" t="n"/>
      <c r="K1106" s="62" t="n"/>
      <c r="L1106" s="64" t="n"/>
      <c r="M1106" s="64" t="n"/>
      <c r="N1106" s="62" t="n"/>
      <c r="O1106" s="65">
        <f>IF(Z1106=1,L1106-W1106,"")</f>
        <v/>
      </c>
      <c r="P1106" s="66">
        <f>IF(V1106="","",IFERROR(INDEX(coa_Type,MATCH(V1106,coa_Name,0)),""))</f>
        <v/>
      </c>
      <c r="Q1106" s="66">
        <f>IF(Z1106=1,IF(U1106="In",K1106&amp;"",V1106),"")</f>
        <v/>
      </c>
      <c r="R1106" s="66">
        <f>IF(Z1106=1,IF(U1106="In",V1106,K1106&amp;""),"")</f>
        <v/>
      </c>
      <c r="S1106" s="66">
        <f>IF(X1106&lt;&gt;"","⛔ "&amp;X1106&amp;" — not posted",IF(Y1106&lt;&gt;"","⚠ "&amp;Y1106,IF(Z1106=1,"✓ OK","")))</f>
        <v/>
      </c>
      <c r="T1106" s="67">
        <f>IF(AND(C1106="",D1106="",E1106="",L1106="",K1106=""),1,0)</f>
        <v/>
      </c>
      <c r="U1106" s="67">
        <f>IFERROR(INDEX(tt_Dir,MATCH(D1106,tt_Type,0)),"")</f>
        <v/>
      </c>
      <c r="V1106" s="67">
        <f>IF(D1106="","",IFERROR(IF(INDEX(tt_Other,MATCH(D1106,tt_Type,0))="",E1106&amp;"",INDEX(tt_Other,MATCH(D1106,tt_Type,0))),""))</f>
        <v/>
      </c>
      <c r="W1106" s="68">
        <f>IF(OR(TaxOn&lt;&gt;"Yes",NOT(ISNUMBER(M1106))),0,IF(IFERROR(INDEX(tt_Tax,MATCH(D1106,tt_Type,0)),"No")="Yes",M1106,0))</f>
        <v/>
      </c>
      <c r="X1106" s="67">
        <f>IF(T1106=1,"",IF(C1106="","Missing transaction date",IF(NOT(ISNUMBER(C1106)),"Invalid date",IF(OR(C1106&lt;DATE(2000,1,1),C1106&gt;DATE(2099,12,31)),"Invalid date",IF(D1106="","Select a type",IF(U1106="","Unknown type: "&amp;D1106,IF(V1106="","Select an account (Category)",IF(ISNA(MATCH(V1106,coa_Name,0)),"Unknown account: "&amp;V1106,IF(K1106="","Select Paid From / Deposited To",IF(ISNA(MATCH(K1106,coa_Name,0)),"Unknown account: "&amp;K1106,IF(NOT(ISNUMBER(L1106)),"Enter an amount",IF(L1106=0,"Enter an amount",IF(ABS(W1106)&gt;ABS(L1106),"Tax is larger than the amount","")))))))))))))</f>
        <v/>
      </c>
      <c r="Y1106" s="67">
        <f>IF(OR(T1106=1,X1106&lt;&gt;""),"",IF(AND(B1106&lt;&gt;"",COUNTIF(tx_ID,B1106)&gt;1),"Duplicate transaction ID",IF(AND(L1106&lt;0,D1106&lt;&gt;"Adjustment"),"Negative amount — check this entry",IF(AND(D1106="Customer Payment",G1106=""),"Add the customer",IF(AND(D1106="Customer Payment",OR(J1106="",COUNTIF(ar_No,J1106&amp;"")=0)),"Invoice # in Reference not found on AR sheet",IF(AND(D1106="Bill Payment",H1106=""),"Add the vendor",IF(AND(D1106="Bill Payment",OR(J1106="",COUNTIFS(ap_No,J1106&amp;"",ap_Party,H1106&amp;"")=0)),"Bill # + vendor not found on AP sheet",IF(AND(ISNUMBER(M1106),N(M1106)&lt;&gt;0,W1106=0),"Tax ignored (tax tracking off, or not allowed for this type)",IF(V1106=K1106&amp;"","Same account on both sides",IF(AND(ISNUMBER(StartDate),C1106&lt;StartDate),"Date is before the accounting start date",IF(AND(D1106&lt;&gt;"Adjustment",IFERROR(INDEX(coa_Pay,MATCH(K1106&amp;"",coa_Name,0)),"")&lt;&gt;"Yes"),"Paid From / Deposited To is not a payment account","")))))))))))</f>
        <v/>
      </c>
      <c r="Z1106" s="67">
        <f>IF(AND(T1106=0,X1106=""),1,0)</f>
        <v/>
      </c>
      <c r="AA1106" s="68">
        <f>IF(Z1106=1,IF(U1106="In",L1106,L1106-W1106),0)</f>
        <v/>
      </c>
      <c r="AB1106" s="68">
        <f>IF(Z1106=1,IF(U1106="In",L1106-W1106,L1106),0)</f>
        <v/>
      </c>
      <c r="AC1106" s="68">
        <f>IF(AND(Z1106=1,U1106="Out"),W1106,0)</f>
        <v/>
      </c>
      <c r="AD1106" s="68">
        <f>IF(AND(Z1106=1,U1106="In"),W1106,0)</f>
        <v/>
      </c>
    </row>
    <row r="1107">
      <c r="B1107" s="62" t="inlineStr">
        <is>
          <t>TX-1101</t>
        </is>
      </c>
      <c r="C1107" s="63" t="n"/>
      <c r="D1107" s="62" t="n"/>
      <c r="E1107" s="62" t="n"/>
      <c r="F1107" s="62" t="n"/>
      <c r="G1107" s="62" t="n"/>
      <c r="H1107" s="62" t="n"/>
      <c r="I1107" s="62" t="n"/>
      <c r="J1107" s="62" t="n"/>
      <c r="K1107" s="62" t="n"/>
      <c r="L1107" s="64" t="n"/>
      <c r="M1107" s="64" t="n"/>
      <c r="N1107" s="62" t="n"/>
      <c r="O1107" s="65">
        <f>IF(Z1107=1,L1107-W1107,"")</f>
        <v/>
      </c>
      <c r="P1107" s="66">
        <f>IF(V1107="","",IFERROR(INDEX(coa_Type,MATCH(V1107,coa_Name,0)),""))</f>
        <v/>
      </c>
      <c r="Q1107" s="66">
        <f>IF(Z1107=1,IF(U1107="In",K1107&amp;"",V1107),"")</f>
        <v/>
      </c>
      <c r="R1107" s="66">
        <f>IF(Z1107=1,IF(U1107="In",V1107,K1107&amp;""),"")</f>
        <v/>
      </c>
      <c r="S1107" s="66">
        <f>IF(X1107&lt;&gt;"","⛔ "&amp;X1107&amp;" — not posted",IF(Y1107&lt;&gt;"","⚠ "&amp;Y1107,IF(Z1107=1,"✓ OK","")))</f>
        <v/>
      </c>
      <c r="T1107" s="67">
        <f>IF(AND(C1107="",D1107="",E1107="",L1107="",K1107=""),1,0)</f>
        <v/>
      </c>
      <c r="U1107" s="67">
        <f>IFERROR(INDEX(tt_Dir,MATCH(D1107,tt_Type,0)),"")</f>
        <v/>
      </c>
      <c r="V1107" s="67">
        <f>IF(D1107="","",IFERROR(IF(INDEX(tt_Other,MATCH(D1107,tt_Type,0))="",E1107&amp;"",INDEX(tt_Other,MATCH(D1107,tt_Type,0))),""))</f>
        <v/>
      </c>
      <c r="W1107" s="68">
        <f>IF(OR(TaxOn&lt;&gt;"Yes",NOT(ISNUMBER(M1107))),0,IF(IFERROR(INDEX(tt_Tax,MATCH(D1107,tt_Type,0)),"No")="Yes",M1107,0))</f>
        <v/>
      </c>
      <c r="X1107" s="67">
        <f>IF(T1107=1,"",IF(C1107="","Missing transaction date",IF(NOT(ISNUMBER(C1107)),"Invalid date",IF(OR(C1107&lt;DATE(2000,1,1),C1107&gt;DATE(2099,12,31)),"Invalid date",IF(D1107="","Select a type",IF(U1107="","Unknown type: "&amp;D1107,IF(V1107="","Select an account (Category)",IF(ISNA(MATCH(V1107,coa_Name,0)),"Unknown account: "&amp;V1107,IF(K1107="","Select Paid From / Deposited To",IF(ISNA(MATCH(K1107,coa_Name,0)),"Unknown account: "&amp;K1107,IF(NOT(ISNUMBER(L1107)),"Enter an amount",IF(L1107=0,"Enter an amount",IF(ABS(W1107)&gt;ABS(L1107),"Tax is larger than the amount","")))))))))))))</f>
        <v/>
      </c>
      <c r="Y1107" s="67">
        <f>IF(OR(T1107=1,X1107&lt;&gt;""),"",IF(AND(B1107&lt;&gt;"",COUNTIF(tx_ID,B1107)&gt;1),"Duplicate transaction ID",IF(AND(L1107&lt;0,D1107&lt;&gt;"Adjustment"),"Negative amount — check this entry",IF(AND(D1107="Customer Payment",G1107=""),"Add the customer",IF(AND(D1107="Customer Payment",OR(J1107="",COUNTIF(ar_No,J1107&amp;"")=0)),"Invoice # in Reference not found on AR sheet",IF(AND(D1107="Bill Payment",H1107=""),"Add the vendor",IF(AND(D1107="Bill Payment",OR(J1107="",COUNTIFS(ap_No,J1107&amp;"",ap_Party,H1107&amp;"")=0)),"Bill # + vendor not found on AP sheet",IF(AND(ISNUMBER(M1107),N(M1107)&lt;&gt;0,W1107=0),"Tax ignored (tax tracking off, or not allowed for this type)",IF(V1107=K1107&amp;"","Same account on both sides",IF(AND(ISNUMBER(StartDate),C1107&lt;StartDate),"Date is before the accounting start date",IF(AND(D1107&lt;&gt;"Adjustment",IFERROR(INDEX(coa_Pay,MATCH(K1107&amp;"",coa_Name,0)),"")&lt;&gt;"Yes"),"Paid From / Deposited To is not a payment account","")))))))))))</f>
        <v/>
      </c>
      <c r="Z1107" s="67">
        <f>IF(AND(T1107=0,X1107=""),1,0)</f>
        <v/>
      </c>
      <c r="AA1107" s="68">
        <f>IF(Z1107=1,IF(U1107="In",L1107,L1107-W1107),0)</f>
        <v/>
      </c>
      <c r="AB1107" s="68">
        <f>IF(Z1107=1,IF(U1107="In",L1107-W1107,L1107),0)</f>
        <v/>
      </c>
      <c r="AC1107" s="68">
        <f>IF(AND(Z1107=1,U1107="Out"),W1107,0)</f>
        <v/>
      </c>
      <c r="AD1107" s="68">
        <f>IF(AND(Z1107=1,U1107="In"),W1107,0)</f>
        <v/>
      </c>
    </row>
    <row r="1108">
      <c r="B1108" s="62" t="inlineStr">
        <is>
          <t>TX-1102</t>
        </is>
      </c>
      <c r="C1108" s="63" t="n"/>
      <c r="D1108" s="62" t="n"/>
      <c r="E1108" s="62" t="n"/>
      <c r="F1108" s="62" t="n"/>
      <c r="G1108" s="62" t="n"/>
      <c r="H1108" s="62" t="n"/>
      <c r="I1108" s="62" t="n"/>
      <c r="J1108" s="62" t="n"/>
      <c r="K1108" s="62" t="n"/>
      <c r="L1108" s="64" t="n"/>
      <c r="M1108" s="64" t="n"/>
      <c r="N1108" s="62" t="n"/>
      <c r="O1108" s="65">
        <f>IF(Z1108=1,L1108-W1108,"")</f>
        <v/>
      </c>
      <c r="P1108" s="66">
        <f>IF(V1108="","",IFERROR(INDEX(coa_Type,MATCH(V1108,coa_Name,0)),""))</f>
        <v/>
      </c>
      <c r="Q1108" s="66">
        <f>IF(Z1108=1,IF(U1108="In",K1108&amp;"",V1108),"")</f>
        <v/>
      </c>
      <c r="R1108" s="66">
        <f>IF(Z1108=1,IF(U1108="In",V1108,K1108&amp;""),"")</f>
        <v/>
      </c>
      <c r="S1108" s="66">
        <f>IF(X1108&lt;&gt;"","⛔ "&amp;X1108&amp;" — not posted",IF(Y1108&lt;&gt;"","⚠ "&amp;Y1108,IF(Z1108=1,"✓ OK","")))</f>
        <v/>
      </c>
      <c r="T1108" s="67">
        <f>IF(AND(C1108="",D1108="",E1108="",L1108="",K1108=""),1,0)</f>
        <v/>
      </c>
      <c r="U1108" s="67">
        <f>IFERROR(INDEX(tt_Dir,MATCH(D1108,tt_Type,0)),"")</f>
        <v/>
      </c>
      <c r="V1108" s="67">
        <f>IF(D1108="","",IFERROR(IF(INDEX(tt_Other,MATCH(D1108,tt_Type,0))="",E1108&amp;"",INDEX(tt_Other,MATCH(D1108,tt_Type,0))),""))</f>
        <v/>
      </c>
      <c r="W1108" s="68">
        <f>IF(OR(TaxOn&lt;&gt;"Yes",NOT(ISNUMBER(M1108))),0,IF(IFERROR(INDEX(tt_Tax,MATCH(D1108,tt_Type,0)),"No")="Yes",M1108,0))</f>
        <v/>
      </c>
      <c r="X1108" s="67">
        <f>IF(T1108=1,"",IF(C1108="","Missing transaction date",IF(NOT(ISNUMBER(C1108)),"Invalid date",IF(OR(C1108&lt;DATE(2000,1,1),C1108&gt;DATE(2099,12,31)),"Invalid date",IF(D1108="","Select a type",IF(U1108="","Unknown type: "&amp;D1108,IF(V1108="","Select an account (Category)",IF(ISNA(MATCH(V1108,coa_Name,0)),"Unknown account: "&amp;V1108,IF(K1108="","Select Paid From / Deposited To",IF(ISNA(MATCH(K1108,coa_Name,0)),"Unknown account: "&amp;K1108,IF(NOT(ISNUMBER(L1108)),"Enter an amount",IF(L1108=0,"Enter an amount",IF(ABS(W1108)&gt;ABS(L1108),"Tax is larger than the amount","")))))))))))))</f>
        <v/>
      </c>
      <c r="Y1108" s="67">
        <f>IF(OR(T1108=1,X1108&lt;&gt;""),"",IF(AND(B1108&lt;&gt;"",COUNTIF(tx_ID,B1108)&gt;1),"Duplicate transaction ID",IF(AND(L1108&lt;0,D1108&lt;&gt;"Adjustment"),"Negative amount — check this entry",IF(AND(D1108="Customer Payment",G1108=""),"Add the customer",IF(AND(D1108="Customer Payment",OR(J1108="",COUNTIF(ar_No,J1108&amp;"")=0)),"Invoice # in Reference not found on AR sheet",IF(AND(D1108="Bill Payment",H1108=""),"Add the vendor",IF(AND(D1108="Bill Payment",OR(J1108="",COUNTIFS(ap_No,J1108&amp;"",ap_Party,H1108&amp;"")=0)),"Bill # + vendor not found on AP sheet",IF(AND(ISNUMBER(M1108),N(M1108)&lt;&gt;0,W1108=0),"Tax ignored (tax tracking off, or not allowed for this type)",IF(V1108=K1108&amp;"","Same account on both sides",IF(AND(ISNUMBER(StartDate),C1108&lt;StartDate),"Date is before the accounting start date",IF(AND(D1108&lt;&gt;"Adjustment",IFERROR(INDEX(coa_Pay,MATCH(K1108&amp;"",coa_Name,0)),"")&lt;&gt;"Yes"),"Paid From / Deposited To is not a payment account","")))))))))))</f>
        <v/>
      </c>
      <c r="Z1108" s="67">
        <f>IF(AND(T1108=0,X1108=""),1,0)</f>
        <v/>
      </c>
      <c r="AA1108" s="68">
        <f>IF(Z1108=1,IF(U1108="In",L1108,L1108-W1108),0)</f>
        <v/>
      </c>
      <c r="AB1108" s="68">
        <f>IF(Z1108=1,IF(U1108="In",L1108-W1108,L1108),0)</f>
        <v/>
      </c>
      <c r="AC1108" s="68">
        <f>IF(AND(Z1108=1,U1108="Out"),W1108,0)</f>
        <v/>
      </c>
      <c r="AD1108" s="68">
        <f>IF(AND(Z1108=1,U1108="In"),W1108,0)</f>
        <v/>
      </c>
    </row>
    <row r="1109">
      <c r="B1109" s="62" t="inlineStr">
        <is>
          <t>TX-1103</t>
        </is>
      </c>
      <c r="C1109" s="63" t="n"/>
      <c r="D1109" s="62" t="n"/>
      <c r="E1109" s="62" t="n"/>
      <c r="F1109" s="62" t="n"/>
      <c r="G1109" s="62" t="n"/>
      <c r="H1109" s="62" t="n"/>
      <c r="I1109" s="62" t="n"/>
      <c r="J1109" s="62" t="n"/>
      <c r="K1109" s="62" t="n"/>
      <c r="L1109" s="64" t="n"/>
      <c r="M1109" s="64" t="n"/>
      <c r="N1109" s="62" t="n"/>
      <c r="O1109" s="65">
        <f>IF(Z1109=1,L1109-W1109,"")</f>
        <v/>
      </c>
      <c r="P1109" s="66">
        <f>IF(V1109="","",IFERROR(INDEX(coa_Type,MATCH(V1109,coa_Name,0)),""))</f>
        <v/>
      </c>
      <c r="Q1109" s="66">
        <f>IF(Z1109=1,IF(U1109="In",K1109&amp;"",V1109),"")</f>
        <v/>
      </c>
      <c r="R1109" s="66">
        <f>IF(Z1109=1,IF(U1109="In",V1109,K1109&amp;""),"")</f>
        <v/>
      </c>
      <c r="S1109" s="66">
        <f>IF(X1109&lt;&gt;"","⛔ "&amp;X1109&amp;" — not posted",IF(Y1109&lt;&gt;"","⚠ "&amp;Y1109,IF(Z1109=1,"✓ OK","")))</f>
        <v/>
      </c>
      <c r="T1109" s="67">
        <f>IF(AND(C1109="",D1109="",E1109="",L1109="",K1109=""),1,0)</f>
        <v/>
      </c>
      <c r="U1109" s="67">
        <f>IFERROR(INDEX(tt_Dir,MATCH(D1109,tt_Type,0)),"")</f>
        <v/>
      </c>
      <c r="V1109" s="67">
        <f>IF(D1109="","",IFERROR(IF(INDEX(tt_Other,MATCH(D1109,tt_Type,0))="",E1109&amp;"",INDEX(tt_Other,MATCH(D1109,tt_Type,0))),""))</f>
        <v/>
      </c>
      <c r="W1109" s="68">
        <f>IF(OR(TaxOn&lt;&gt;"Yes",NOT(ISNUMBER(M1109))),0,IF(IFERROR(INDEX(tt_Tax,MATCH(D1109,tt_Type,0)),"No")="Yes",M1109,0))</f>
        <v/>
      </c>
      <c r="X1109" s="67">
        <f>IF(T1109=1,"",IF(C1109="","Missing transaction date",IF(NOT(ISNUMBER(C1109)),"Invalid date",IF(OR(C1109&lt;DATE(2000,1,1),C1109&gt;DATE(2099,12,31)),"Invalid date",IF(D1109="","Select a type",IF(U1109="","Unknown type: "&amp;D1109,IF(V1109="","Select an account (Category)",IF(ISNA(MATCH(V1109,coa_Name,0)),"Unknown account: "&amp;V1109,IF(K1109="","Select Paid From / Deposited To",IF(ISNA(MATCH(K1109,coa_Name,0)),"Unknown account: "&amp;K1109,IF(NOT(ISNUMBER(L1109)),"Enter an amount",IF(L1109=0,"Enter an amount",IF(ABS(W1109)&gt;ABS(L1109),"Tax is larger than the amount","")))))))))))))</f>
        <v/>
      </c>
      <c r="Y1109" s="67">
        <f>IF(OR(T1109=1,X1109&lt;&gt;""),"",IF(AND(B1109&lt;&gt;"",COUNTIF(tx_ID,B1109)&gt;1),"Duplicate transaction ID",IF(AND(L1109&lt;0,D1109&lt;&gt;"Adjustment"),"Negative amount — check this entry",IF(AND(D1109="Customer Payment",G1109=""),"Add the customer",IF(AND(D1109="Customer Payment",OR(J1109="",COUNTIF(ar_No,J1109&amp;"")=0)),"Invoice # in Reference not found on AR sheet",IF(AND(D1109="Bill Payment",H1109=""),"Add the vendor",IF(AND(D1109="Bill Payment",OR(J1109="",COUNTIFS(ap_No,J1109&amp;"",ap_Party,H1109&amp;"")=0)),"Bill # + vendor not found on AP sheet",IF(AND(ISNUMBER(M1109),N(M1109)&lt;&gt;0,W1109=0),"Tax ignored (tax tracking off, or not allowed for this type)",IF(V1109=K1109&amp;"","Same account on both sides",IF(AND(ISNUMBER(StartDate),C1109&lt;StartDate),"Date is before the accounting start date",IF(AND(D1109&lt;&gt;"Adjustment",IFERROR(INDEX(coa_Pay,MATCH(K1109&amp;"",coa_Name,0)),"")&lt;&gt;"Yes"),"Paid From / Deposited To is not a payment account","")))))))))))</f>
        <v/>
      </c>
      <c r="Z1109" s="67">
        <f>IF(AND(T1109=0,X1109=""),1,0)</f>
        <v/>
      </c>
      <c r="AA1109" s="68">
        <f>IF(Z1109=1,IF(U1109="In",L1109,L1109-W1109),0)</f>
        <v/>
      </c>
      <c r="AB1109" s="68">
        <f>IF(Z1109=1,IF(U1109="In",L1109-W1109,L1109),0)</f>
        <v/>
      </c>
      <c r="AC1109" s="68">
        <f>IF(AND(Z1109=1,U1109="Out"),W1109,0)</f>
        <v/>
      </c>
      <c r="AD1109" s="68">
        <f>IF(AND(Z1109=1,U1109="In"),W1109,0)</f>
        <v/>
      </c>
    </row>
    <row r="1110">
      <c r="B1110" s="62" t="inlineStr">
        <is>
          <t>TX-1104</t>
        </is>
      </c>
      <c r="C1110" s="63" t="n"/>
      <c r="D1110" s="62" t="n"/>
      <c r="E1110" s="62" t="n"/>
      <c r="F1110" s="62" t="n"/>
      <c r="G1110" s="62" t="n"/>
      <c r="H1110" s="62" t="n"/>
      <c r="I1110" s="62" t="n"/>
      <c r="J1110" s="62" t="n"/>
      <c r="K1110" s="62" t="n"/>
      <c r="L1110" s="64" t="n"/>
      <c r="M1110" s="64" t="n"/>
      <c r="N1110" s="62" t="n"/>
      <c r="O1110" s="65">
        <f>IF(Z1110=1,L1110-W1110,"")</f>
        <v/>
      </c>
      <c r="P1110" s="66">
        <f>IF(V1110="","",IFERROR(INDEX(coa_Type,MATCH(V1110,coa_Name,0)),""))</f>
        <v/>
      </c>
      <c r="Q1110" s="66">
        <f>IF(Z1110=1,IF(U1110="In",K1110&amp;"",V1110),"")</f>
        <v/>
      </c>
      <c r="R1110" s="66">
        <f>IF(Z1110=1,IF(U1110="In",V1110,K1110&amp;""),"")</f>
        <v/>
      </c>
      <c r="S1110" s="66">
        <f>IF(X1110&lt;&gt;"","⛔ "&amp;X1110&amp;" — not posted",IF(Y1110&lt;&gt;"","⚠ "&amp;Y1110,IF(Z1110=1,"✓ OK","")))</f>
        <v/>
      </c>
      <c r="T1110" s="67">
        <f>IF(AND(C1110="",D1110="",E1110="",L1110="",K1110=""),1,0)</f>
        <v/>
      </c>
      <c r="U1110" s="67">
        <f>IFERROR(INDEX(tt_Dir,MATCH(D1110,tt_Type,0)),"")</f>
        <v/>
      </c>
      <c r="V1110" s="67">
        <f>IF(D1110="","",IFERROR(IF(INDEX(tt_Other,MATCH(D1110,tt_Type,0))="",E1110&amp;"",INDEX(tt_Other,MATCH(D1110,tt_Type,0))),""))</f>
        <v/>
      </c>
      <c r="W1110" s="68">
        <f>IF(OR(TaxOn&lt;&gt;"Yes",NOT(ISNUMBER(M1110))),0,IF(IFERROR(INDEX(tt_Tax,MATCH(D1110,tt_Type,0)),"No")="Yes",M1110,0))</f>
        <v/>
      </c>
      <c r="X1110" s="67">
        <f>IF(T1110=1,"",IF(C1110="","Missing transaction date",IF(NOT(ISNUMBER(C1110)),"Invalid date",IF(OR(C1110&lt;DATE(2000,1,1),C1110&gt;DATE(2099,12,31)),"Invalid date",IF(D1110="","Select a type",IF(U1110="","Unknown type: "&amp;D1110,IF(V1110="","Select an account (Category)",IF(ISNA(MATCH(V1110,coa_Name,0)),"Unknown account: "&amp;V1110,IF(K1110="","Select Paid From / Deposited To",IF(ISNA(MATCH(K1110,coa_Name,0)),"Unknown account: "&amp;K1110,IF(NOT(ISNUMBER(L1110)),"Enter an amount",IF(L1110=0,"Enter an amount",IF(ABS(W1110)&gt;ABS(L1110),"Tax is larger than the amount","")))))))))))))</f>
        <v/>
      </c>
      <c r="Y1110" s="67">
        <f>IF(OR(T1110=1,X1110&lt;&gt;""),"",IF(AND(B1110&lt;&gt;"",COUNTIF(tx_ID,B1110)&gt;1),"Duplicate transaction ID",IF(AND(L1110&lt;0,D1110&lt;&gt;"Adjustment"),"Negative amount — check this entry",IF(AND(D1110="Customer Payment",G1110=""),"Add the customer",IF(AND(D1110="Customer Payment",OR(J1110="",COUNTIF(ar_No,J1110&amp;"")=0)),"Invoice # in Reference not found on AR sheet",IF(AND(D1110="Bill Payment",H1110=""),"Add the vendor",IF(AND(D1110="Bill Payment",OR(J1110="",COUNTIFS(ap_No,J1110&amp;"",ap_Party,H1110&amp;"")=0)),"Bill # + vendor not found on AP sheet",IF(AND(ISNUMBER(M1110),N(M1110)&lt;&gt;0,W1110=0),"Tax ignored (tax tracking off, or not allowed for this type)",IF(V1110=K1110&amp;"","Same account on both sides",IF(AND(ISNUMBER(StartDate),C1110&lt;StartDate),"Date is before the accounting start date",IF(AND(D1110&lt;&gt;"Adjustment",IFERROR(INDEX(coa_Pay,MATCH(K1110&amp;"",coa_Name,0)),"")&lt;&gt;"Yes"),"Paid From / Deposited To is not a payment account","")))))))))))</f>
        <v/>
      </c>
      <c r="Z1110" s="67">
        <f>IF(AND(T1110=0,X1110=""),1,0)</f>
        <v/>
      </c>
      <c r="AA1110" s="68">
        <f>IF(Z1110=1,IF(U1110="In",L1110,L1110-W1110),0)</f>
        <v/>
      </c>
      <c r="AB1110" s="68">
        <f>IF(Z1110=1,IF(U1110="In",L1110-W1110,L1110),0)</f>
        <v/>
      </c>
      <c r="AC1110" s="68">
        <f>IF(AND(Z1110=1,U1110="Out"),W1110,0)</f>
        <v/>
      </c>
      <c r="AD1110" s="68">
        <f>IF(AND(Z1110=1,U1110="In"),W1110,0)</f>
        <v/>
      </c>
    </row>
    <row r="1111">
      <c r="B1111" s="62" t="inlineStr">
        <is>
          <t>TX-1105</t>
        </is>
      </c>
      <c r="C1111" s="63" t="n"/>
      <c r="D1111" s="62" t="n"/>
      <c r="E1111" s="62" t="n"/>
      <c r="F1111" s="62" t="n"/>
      <c r="G1111" s="62" t="n"/>
      <c r="H1111" s="62" t="n"/>
      <c r="I1111" s="62" t="n"/>
      <c r="J1111" s="62" t="n"/>
      <c r="K1111" s="62" t="n"/>
      <c r="L1111" s="64" t="n"/>
      <c r="M1111" s="64" t="n"/>
      <c r="N1111" s="62" t="n"/>
      <c r="O1111" s="65">
        <f>IF(Z1111=1,L1111-W1111,"")</f>
        <v/>
      </c>
      <c r="P1111" s="66">
        <f>IF(V1111="","",IFERROR(INDEX(coa_Type,MATCH(V1111,coa_Name,0)),""))</f>
        <v/>
      </c>
      <c r="Q1111" s="66">
        <f>IF(Z1111=1,IF(U1111="In",K1111&amp;"",V1111),"")</f>
        <v/>
      </c>
      <c r="R1111" s="66">
        <f>IF(Z1111=1,IF(U1111="In",V1111,K1111&amp;""),"")</f>
        <v/>
      </c>
      <c r="S1111" s="66">
        <f>IF(X1111&lt;&gt;"","⛔ "&amp;X1111&amp;" — not posted",IF(Y1111&lt;&gt;"","⚠ "&amp;Y1111,IF(Z1111=1,"✓ OK","")))</f>
        <v/>
      </c>
      <c r="T1111" s="67">
        <f>IF(AND(C1111="",D1111="",E1111="",L1111="",K1111=""),1,0)</f>
        <v/>
      </c>
      <c r="U1111" s="67">
        <f>IFERROR(INDEX(tt_Dir,MATCH(D1111,tt_Type,0)),"")</f>
        <v/>
      </c>
      <c r="V1111" s="67">
        <f>IF(D1111="","",IFERROR(IF(INDEX(tt_Other,MATCH(D1111,tt_Type,0))="",E1111&amp;"",INDEX(tt_Other,MATCH(D1111,tt_Type,0))),""))</f>
        <v/>
      </c>
      <c r="W1111" s="68">
        <f>IF(OR(TaxOn&lt;&gt;"Yes",NOT(ISNUMBER(M1111))),0,IF(IFERROR(INDEX(tt_Tax,MATCH(D1111,tt_Type,0)),"No")="Yes",M1111,0))</f>
        <v/>
      </c>
      <c r="X1111" s="67">
        <f>IF(T1111=1,"",IF(C1111="","Missing transaction date",IF(NOT(ISNUMBER(C1111)),"Invalid date",IF(OR(C1111&lt;DATE(2000,1,1),C1111&gt;DATE(2099,12,31)),"Invalid date",IF(D1111="","Select a type",IF(U1111="","Unknown type: "&amp;D1111,IF(V1111="","Select an account (Category)",IF(ISNA(MATCH(V1111,coa_Name,0)),"Unknown account: "&amp;V1111,IF(K1111="","Select Paid From / Deposited To",IF(ISNA(MATCH(K1111,coa_Name,0)),"Unknown account: "&amp;K1111,IF(NOT(ISNUMBER(L1111)),"Enter an amount",IF(L1111=0,"Enter an amount",IF(ABS(W1111)&gt;ABS(L1111),"Tax is larger than the amount","")))))))))))))</f>
        <v/>
      </c>
      <c r="Y1111" s="67">
        <f>IF(OR(T1111=1,X1111&lt;&gt;""),"",IF(AND(B1111&lt;&gt;"",COUNTIF(tx_ID,B1111)&gt;1),"Duplicate transaction ID",IF(AND(L1111&lt;0,D1111&lt;&gt;"Adjustment"),"Negative amount — check this entry",IF(AND(D1111="Customer Payment",G1111=""),"Add the customer",IF(AND(D1111="Customer Payment",OR(J1111="",COUNTIF(ar_No,J1111&amp;"")=0)),"Invoice # in Reference not found on AR sheet",IF(AND(D1111="Bill Payment",H1111=""),"Add the vendor",IF(AND(D1111="Bill Payment",OR(J1111="",COUNTIFS(ap_No,J1111&amp;"",ap_Party,H1111&amp;"")=0)),"Bill # + vendor not found on AP sheet",IF(AND(ISNUMBER(M1111),N(M1111)&lt;&gt;0,W1111=0),"Tax ignored (tax tracking off, or not allowed for this type)",IF(V1111=K1111&amp;"","Same account on both sides",IF(AND(ISNUMBER(StartDate),C1111&lt;StartDate),"Date is before the accounting start date",IF(AND(D1111&lt;&gt;"Adjustment",IFERROR(INDEX(coa_Pay,MATCH(K1111&amp;"",coa_Name,0)),"")&lt;&gt;"Yes"),"Paid From / Deposited To is not a payment account","")))))))))))</f>
        <v/>
      </c>
      <c r="Z1111" s="67">
        <f>IF(AND(T1111=0,X1111=""),1,0)</f>
        <v/>
      </c>
      <c r="AA1111" s="68">
        <f>IF(Z1111=1,IF(U1111="In",L1111,L1111-W1111),0)</f>
        <v/>
      </c>
      <c r="AB1111" s="68">
        <f>IF(Z1111=1,IF(U1111="In",L1111-W1111,L1111),0)</f>
        <v/>
      </c>
      <c r="AC1111" s="68">
        <f>IF(AND(Z1111=1,U1111="Out"),W1111,0)</f>
        <v/>
      </c>
      <c r="AD1111" s="68">
        <f>IF(AND(Z1111=1,U1111="In"),W1111,0)</f>
        <v/>
      </c>
    </row>
    <row r="1112">
      <c r="B1112" s="62" t="inlineStr">
        <is>
          <t>TX-1106</t>
        </is>
      </c>
      <c r="C1112" s="63" t="n"/>
      <c r="D1112" s="62" t="n"/>
      <c r="E1112" s="62" t="n"/>
      <c r="F1112" s="62" t="n"/>
      <c r="G1112" s="62" t="n"/>
      <c r="H1112" s="62" t="n"/>
      <c r="I1112" s="62" t="n"/>
      <c r="J1112" s="62" t="n"/>
      <c r="K1112" s="62" t="n"/>
      <c r="L1112" s="64" t="n"/>
      <c r="M1112" s="64" t="n"/>
      <c r="N1112" s="62" t="n"/>
      <c r="O1112" s="65">
        <f>IF(Z1112=1,L1112-W1112,"")</f>
        <v/>
      </c>
      <c r="P1112" s="66">
        <f>IF(V1112="","",IFERROR(INDEX(coa_Type,MATCH(V1112,coa_Name,0)),""))</f>
        <v/>
      </c>
      <c r="Q1112" s="66">
        <f>IF(Z1112=1,IF(U1112="In",K1112&amp;"",V1112),"")</f>
        <v/>
      </c>
      <c r="R1112" s="66">
        <f>IF(Z1112=1,IF(U1112="In",V1112,K1112&amp;""),"")</f>
        <v/>
      </c>
      <c r="S1112" s="66">
        <f>IF(X1112&lt;&gt;"","⛔ "&amp;X1112&amp;" — not posted",IF(Y1112&lt;&gt;"","⚠ "&amp;Y1112,IF(Z1112=1,"✓ OK","")))</f>
        <v/>
      </c>
      <c r="T1112" s="67">
        <f>IF(AND(C1112="",D1112="",E1112="",L1112="",K1112=""),1,0)</f>
        <v/>
      </c>
      <c r="U1112" s="67">
        <f>IFERROR(INDEX(tt_Dir,MATCH(D1112,tt_Type,0)),"")</f>
        <v/>
      </c>
      <c r="V1112" s="67">
        <f>IF(D1112="","",IFERROR(IF(INDEX(tt_Other,MATCH(D1112,tt_Type,0))="",E1112&amp;"",INDEX(tt_Other,MATCH(D1112,tt_Type,0))),""))</f>
        <v/>
      </c>
      <c r="W1112" s="68">
        <f>IF(OR(TaxOn&lt;&gt;"Yes",NOT(ISNUMBER(M1112))),0,IF(IFERROR(INDEX(tt_Tax,MATCH(D1112,tt_Type,0)),"No")="Yes",M1112,0))</f>
        <v/>
      </c>
      <c r="X1112" s="67">
        <f>IF(T1112=1,"",IF(C1112="","Missing transaction date",IF(NOT(ISNUMBER(C1112)),"Invalid date",IF(OR(C1112&lt;DATE(2000,1,1),C1112&gt;DATE(2099,12,31)),"Invalid date",IF(D1112="","Select a type",IF(U1112="","Unknown type: "&amp;D1112,IF(V1112="","Select an account (Category)",IF(ISNA(MATCH(V1112,coa_Name,0)),"Unknown account: "&amp;V1112,IF(K1112="","Select Paid From / Deposited To",IF(ISNA(MATCH(K1112,coa_Name,0)),"Unknown account: "&amp;K1112,IF(NOT(ISNUMBER(L1112)),"Enter an amount",IF(L1112=0,"Enter an amount",IF(ABS(W1112)&gt;ABS(L1112),"Tax is larger than the amount","")))))))))))))</f>
        <v/>
      </c>
      <c r="Y1112" s="67">
        <f>IF(OR(T1112=1,X1112&lt;&gt;""),"",IF(AND(B1112&lt;&gt;"",COUNTIF(tx_ID,B1112)&gt;1),"Duplicate transaction ID",IF(AND(L1112&lt;0,D1112&lt;&gt;"Adjustment"),"Negative amount — check this entry",IF(AND(D1112="Customer Payment",G1112=""),"Add the customer",IF(AND(D1112="Customer Payment",OR(J1112="",COUNTIF(ar_No,J1112&amp;"")=0)),"Invoice # in Reference not found on AR sheet",IF(AND(D1112="Bill Payment",H1112=""),"Add the vendor",IF(AND(D1112="Bill Payment",OR(J1112="",COUNTIFS(ap_No,J1112&amp;"",ap_Party,H1112&amp;"")=0)),"Bill # + vendor not found on AP sheet",IF(AND(ISNUMBER(M1112),N(M1112)&lt;&gt;0,W1112=0),"Tax ignored (tax tracking off, or not allowed for this type)",IF(V1112=K1112&amp;"","Same account on both sides",IF(AND(ISNUMBER(StartDate),C1112&lt;StartDate),"Date is before the accounting start date",IF(AND(D1112&lt;&gt;"Adjustment",IFERROR(INDEX(coa_Pay,MATCH(K1112&amp;"",coa_Name,0)),"")&lt;&gt;"Yes"),"Paid From / Deposited To is not a payment account","")))))))))))</f>
        <v/>
      </c>
      <c r="Z1112" s="67">
        <f>IF(AND(T1112=0,X1112=""),1,0)</f>
        <v/>
      </c>
      <c r="AA1112" s="68">
        <f>IF(Z1112=1,IF(U1112="In",L1112,L1112-W1112),0)</f>
        <v/>
      </c>
      <c r="AB1112" s="68">
        <f>IF(Z1112=1,IF(U1112="In",L1112-W1112,L1112),0)</f>
        <v/>
      </c>
      <c r="AC1112" s="68">
        <f>IF(AND(Z1112=1,U1112="Out"),W1112,0)</f>
        <v/>
      </c>
      <c r="AD1112" s="68">
        <f>IF(AND(Z1112=1,U1112="In"),W1112,0)</f>
        <v/>
      </c>
    </row>
    <row r="1113">
      <c r="B1113" s="62" t="inlineStr">
        <is>
          <t>TX-1107</t>
        </is>
      </c>
      <c r="C1113" s="63" t="n"/>
      <c r="D1113" s="62" t="n"/>
      <c r="E1113" s="62" t="n"/>
      <c r="F1113" s="62" t="n"/>
      <c r="G1113" s="62" t="n"/>
      <c r="H1113" s="62" t="n"/>
      <c r="I1113" s="62" t="n"/>
      <c r="J1113" s="62" t="n"/>
      <c r="K1113" s="62" t="n"/>
      <c r="L1113" s="64" t="n"/>
      <c r="M1113" s="64" t="n"/>
      <c r="N1113" s="62" t="n"/>
      <c r="O1113" s="65">
        <f>IF(Z1113=1,L1113-W1113,"")</f>
        <v/>
      </c>
      <c r="P1113" s="66">
        <f>IF(V1113="","",IFERROR(INDEX(coa_Type,MATCH(V1113,coa_Name,0)),""))</f>
        <v/>
      </c>
      <c r="Q1113" s="66">
        <f>IF(Z1113=1,IF(U1113="In",K1113&amp;"",V1113),"")</f>
        <v/>
      </c>
      <c r="R1113" s="66">
        <f>IF(Z1113=1,IF(U1113="In",V1113,K1113&amp;""),"")</f>
        <v/>
      </c>
      <c r="S1113" s="66">
        <f>IF(X1113&lt;&gt;"","⛔ "&amp;X1113&amp;" — not posted",IF(Y1113&lt;&gt;"","⚠ "&amp;Y1113,IF(Z1113=1,"✓ OK","")))</f>
        <v/>
      </c>
      <c r="T1113" s="67">
        <f>IF(AND(C1113="",D1113="",E1113="",L1113="",K1113=""),1,0)</f>
        <v/>
      </c>
      <c r="U1113" s="67">
        <f>IFERROR(INDEX(tt_Dir,MATCH(D1113,tt_Type,0)),"")</f>
        <v/>
      </c>
      <c r="V1113" s="67">
        <f>IF(D1113="","",IFERROR(IF(INDEX(tt_Other,MATCH(D1113,tt_Type,0))="",E1113&amp;"",INDEX(tt_Other,MATCH(D1113,tt_Type,0))),""))</f>
        <v/>
      </c>
      <c r="W1113" s="68">
        <f>IF(OR(TaxOn&lt;&gt;"Yes",NOT(ISNUMBER(M1113))),0,IF(IFERROR(INDEX(tt_Tax,MATCH(D1113,tt_Type,0)),"No")="Yes",M1113,0))</f>
        <v/>
      </c>
      <c r="X1113" s="67">
        <f>IF(T1113=1,"",IF(C1113="","Missing transaction date",IF(NOT(ISNUMBER(C1113)),"Invalid date",IF(OR(C1113&lt;DATE(2000,1,1),C1113&gt;DATE(2099,12,31)),"Invalid date",IF(D1113="","Select a type",IF(U1113="","Unknown type: "&amp;D1113,IF(V1113="","Select an account (Category)",IF(ISNA(MATCH(V1113,coa_Name,0)),"Unknown account: "&amp;V1113,IF(K1113="","Select Paid From / Deposited To",IF(ISNA(MATCH(K1113,coa_Name,0)),"Unknown account: "&amp;K1113,IF(NOT(ISNUMBER(L1113)),"Enter an amount",IF(L1113=0,"Enter an amount",IF(ABS(W1113)&gt;ABS(L1113),"Tax is larger than the amount","")))))))))))))</f>
        <v/>
      </c>
      <c r="Y1113" s="67">
        <f>IF(OR(T1113=1,X1113&lt;&gt;""),"",IF(AND(B1113&lt;&gt;"",COUNTIF(tx_ID,B1113)&gt;1),"Duplicate transaction ID",IF(AND(L1113&lt;0,D1113&lt;&gt;"Adjustment"),"Negative amount — check this entry",IF(AND(D1113="Customer Payment",G1113=""),"Add the customer",IF(AND(D1113="Customer Payment",OR(J1113="",COUNTIF(ar_No,J1113&amp;"")=0)),"Invoice # in Reference not found on AR sheet",IF(AND(D1113="Bill Payment",H1113=""),"Add the vendor",IF(AND(D1113="Bill Payment",OR(J1113="",COUNTIFS(ap_No,J1113&amp;"",ap_Party,H1113&amp;"")=0)),"Bill # + vendor not found on AP sheet",IF(AND(ISNUMBER(M1113),N(M1113)&lt;&gt;0,W1113=0),"Tax ignored (tax tracking off, or not allowed for this type)",IF(V1113=K1113&amp;"","Same account on both sides",IF(AND(ISNUMBER(StartDate),C1113&lt;StartDate),"Date is before the accounting start date",IF(AND(D1113&lt;&gt;"Adjustment",IFERROR(INDEX(coa_Pay,MATCH(K1113&amp;"",coa_Name,0)),"")&lt;&gt;"Yes"),"Paid From / Deposited To is not a payment account","")))))))))))</f>
        <v/>
      </c>
      <c r="Z1113" s="67">
        <f>IF(AND(T1113=0,X1113=""),1,0)</f>
        <v/>
      </c>
      <c r="AA1113" s="68">
        <f>IF(Z1113=1,IF(U1113="In",L1113,L1113-W1113),0)</f>
        <v/>
      </c>
      <c r="AB1113" s="68">
        <f>IF(Z1113=1,IF(U1113="In",L1113-W1113,L1113),0)</f>
        <v/>
      </c>
      <c r="AC1113" s="68">
        <f>IF(AND(Z1113=1,U1113="Out"),W1113,0)</f>
        <v/>
      </c>
      <c r="AD1113" s="68">
        <f>IF(AND(Z1113=1,U1113="In"),W1113,0)</f>
        <v/>
      </c>
    </row>
    <row r="1114">
      <c r="B1114" s="62" t="inlineStr">
        <is>
          <t>TX-1108</t>
        </is>
      </c>
      <c r="C1114" s="63" t="n"/>
      <c r="D1114" s="62" t="n"/>
      <c r="E1114" s="62" t="n"/>
      <c r="F1114" s="62" t="n"/>
      <c r="G1114" s="62" t="n"/>
      <c r="H1114" s="62" t="n"/>
      <c r="I1114" s="62" t="n"/>
      <c r="J1114" s="62" t="n"/>
      <c r="K1114" s="62" t="n"/>
      <c r="L1114" s="64" t="n"/>
      <c r="M1114" s="64" t="n"/>
      <c r="N1114" s="62" t="n"/>
      <c r="O1114" s="65">
        <f>IF(Z1114=1,L1114-W1114,"")</f>
        <v/>
      </c>
      <c r="P1114" s="66">
        <f>IF(V1114="","",IFERROR(INDEX(coa_Type,MATCH(V1114,coa_Name,0)),""))</f>
        <v/>
      </c>
      <c r="Q1114" s="66">
        <f>IF(Z1114=1,IF(U1114="In",K1114&amp;"",V1114),"")</f>
        <v/>
      </c>
      <c r="R1114" s="66">
        <f>IF(Z1114=1,IF(U1114="In",V1114,K1114&amp;""),"")</f>
        <v/>
      </c>
      <c r="S1114" s="66">
        <f>IF(X1114&lt;&gt;"","⛔ "&amp;X1114&amp;" — not posted",IF(Y1114&lt;&gt;"","⚠ "&amp;Y1114,IF(Z1114=1,"✓ OK","")))</f>
        <v/>
      </c>
      <c r="T1114" s="67">
        <f>IF(AND(C1114="",D1114="",E1114="",L1114="",K1114=""),1,0)</f>
        <v/>
      </c>
      <c r="U1114" s="67">
        <f>IFERROR(INDEX(tt_Dir,MATCH(D1114,tt_Type,0)),"")</f>
        <v/>
      </c>
      <c r="V1114" s="67">
        <f>IF(D1114="","",IFERROR(IF(INDEX(tt_Other,MATCH(D1114,tt_Type,0))="",E1114&amp;"",INDEX(tt_Other,MATCH(D1114,tt_Type,0))),""))</f>
        <v/>
      </c>
      <c r="W1114" s="68">
        <f>IF(OR(TaxOn&lt;&gt;"Yes",NOT(ISNUMBER(M1114))),0,IF(IFERROR(INDEX(tt_Tax,MATCH(D1114,tt_Type,0)),"No")="Yes",M1114,0))</f>
        <v/>
      </c>
      <c r="X1114" s="67">
        <f>IF(T1114=1,"",IF(C1114="","Missing transaction date",IF(NOT(ISNUMBER(C1114)),"Invalid date",IF(OR(C1114&lt;DATE(2000,1,1),C1114&gt;DATE(2099,12,31)),"Invalid date",IF(D1114="","Select a type",IF(U1114="","Unknown type: "&amp;D1114,IF(V1114="","Select an account (Category)",IF(ISNA(MATCH(V1114,coa_Name,0)),"Unknown account: "&amp;V1114,IF(K1114="","Select Paid From / Deposited To",IF(ISNA(MATCH(K1114,coa_Name,0)),"Unknown account: "&amp;K1114,IF(NOT(ISNUMBER(L1114)),"Enter an amount",IF(L1114=0,"Enter an amount",IF(ABS(W1114)&gt;ABS(L1114),"Tax is larger than the amount","")))))))))))))</f>
        <v/>
      </c>
      <c r="Y1114" s="67">
        <f>IF(OR(T1114=1,X1114&lt;&gt;""),"",IF(AND(B1114&lt;&gt;"",COUNTIF(tx_ID,B1114)&gt;1),"Duplicate transaction ID",IF(AND(L1114&lt;0,D1114&lt;&gt;"Adjustment"),"Negative amount — check this entry",IF(AND(D1114="Customer Payment",G1114=""),"Add the customer",IF(AND(D1114="Customer Payment",OR(J1114="",COUNTIF(ar_No,J1114&amp;"")=0)),"Invoice # in Reference not found on AR sheet",IF(AND(D1114="Bill Payment",H1114=""),"Add the vendor",IF(AND(D1114="Bill Payment",OR(J1114="",COUNTIFS(ap_No,J1114&amp;"",ap_Party,H1114&amp;"")=0)),"Bill # + vendor not found on AP sheet",IF(AND(ISNUMBER(M1114),N(M1114)&lt;&gt;0,W1114=0),"Tax ignored (tax tracking off, or not allowed for this type)",IF(V1114=K1114&amp;"","Same account on both sides",IF(AND(ISNUMBER(StartDate),C1114&lt;StartDate),"Date is before the accounting start date",IF(AND(D1114&lt;&gt;"Adjustment",IFERROR(INDEX(coa_Pay,MATCH(K1114&amp;"",coa_Name,0)),"")&lt;&gt;"Yes"),"Paid From / Deposited To is not a payment account","")))))))))))</f>
        <v/>
      </c>
      <c r="Z1114" s="67">
        <f>IF(AND(T1114=0,X1114=""),1,0)</f>
        <v/>
      </c>
      <c r="AA1114" s="68">
        <f>IF(Z1114=1,IF(U1114="In",L1114,L1114-W1114),0)</f>
        <v/>
      </c>
      <c r="AB1114" s="68">
        <f>IF(Z1114=1,IF(U1114="In",L1114-W1114,L1114),0)</f>
        <v/>
      </c>
      <c r="AC1114" s="68">
        <f>IF(AND(Z1114=1,U1114="Out"),W1114,0)</f>
        <v/>
      </c>
      <c r="AD1114" s="68">
        <f>IF(AND(Z1114=1,U1114="In"),W1114,0)</f>
        <v/>
      </c>
    </row>
    <row r="1115">
      <c r="B1115" s="62" t="inlineStr">
        <is>
          <t>TX-1109</t>
        </is>
      </c>
      <c r="C1115" s="63" t="n"/>
      <c r="D1115" s="62" t="n"/>
      <c r="E1115" s="62" t="n"/>
      <c r="F1115" s="62" t="n"/>
      <c r="G1115" s="62" t="n"/>
      <c r="H1115" s="62" t="n"/>
      <c r="I1115" s="62" t="n"/>
      <c r="J1115" s="62" t="n"/>
      <c r="K1115" s="62" t="n"/>
      <c r="L1115" s="64" t="n"/>
      <c r="M1115" s="64" t="n"/>
      <c r="N1115" s="62" t="n"/>
      <c r="O1115" s="65">
        <f>IF(Z1115=1,L1115-W1115,"")</f>
        <v/>
      </c>
      <c r="P1115" s="66">
        <f>IF(V1115="","",IFERROR(INDEX(coa_Type,MATCH(V1115,coa_Name,0)),""))</f>
        <v/>
      </c>
      <c r="Q1115" s="66">
        <f>IF(Z1115=1,IF(U1115="In",K1115&amp;"",V1115),"")</f>
        <v/>
      </c>
      <c r="R1115" s="66">
        <f>IF(Z1115=1,IF(U1115="In",V1115,K1115&amp;""),"")</f>
        <v/>
      </c>
      <c r="S1115" s="66">
        <f>IF(X1115&lt;&gt;"","⛔ "&amp;X1115&amp;" — not posted",IF(Y1115&lt;&gt;"","⚠ "&amp;Y1115,IF(Z1115=1,"✓ OK","")))</f>
        <v/>
      </c>
      <c r="T1115" s="67">
        <f>IF(AND(C1115="",D1115="",E1115="",L1115="",K1115=""),1,0)</f>
        <v/>
      </c>
      <c r="U1115" s="67">
        <f>IFERROR(INDEX(tt_Dir,MATCH(D1115,tt_Type,0)),"")</f>
        <v/>
      </c>
      <c r="V1115" s="67">
        <f>IF(D1115="","",IFERROR(IF(INDEX(tt_Other,MATCH(D1115,tt_Type,0))="",E1115&amp;"",INDEX(tt_Other,MATCH(D1115,tt_Type,0))),""))</f>
        <v/>
      </c>
      <c r="W1115" s="68">
        <f>IF(OR(TaxOn&lt;&gt;"Yes",NOT(ISNUMBER(M1115))),0,IF(IFERROR(INDEX(tt_Tax,MATCH(D1115,tt_Type,0)),"No")="Yes",M1115,0))</f>
        <v/>
      </c>
      <c r="X1115" s="67">
        <f>IF(T1115=1,"",IF(C1115="","Missing transaction date",IF(NOT(ISNUMBER(C1115)),"Invalid date",IF(OR(C1115&lt;DATE(2000,1,1),C1115&gt;DATE(2099,12,31)),"Invalid date",IF(D1115="","Select a type",IF(U1115="","Unknown type: "&amp;D1115,IF(V1115="","Select an account (Category)",IF(ISNA(MATCH(V1115,coa_Name,0)),"Unknown account: "&amp;V1115,IF(K1115="","Select Paid From / Deposited To",IF(ISNA(MATCH(K1115,coa_Name,0)),"Unknown account: "&amp;K1115,IF(NOT(ISNUMBER(L1115)),"Enter an amount",IF(L1115=0,"Enter an amount",IF(ABS(W1115)&gt;ABS(L1115),"Tax is larger than the amount","")))))))))))))</f>
        <v/>
      </c>
      <c r="Y1115" s="67">
        <f>IF(OR(T1115=1,X1115&lt;&gt;""),"",IF(AND(B1115&lt;&gt;"",COUNTIF(tx_ID,B1115)&gt;1),"Duplicate transaction ID",IF(AND(L1115&lt;0,D1115&lt;&gt;"Adjustment"),"Negative amount — check this entry",IF(AND(D1115="Customer Payment",G1115=""),"Add the customer",IF(AND(D1115="Customer Payment",OR(J1115="",COUNTIF(ar_No,J1115&amp;"")=0)),"Invoice # in Reference not found on AR sheet",IF(AND(D1115="Bill Payment",H1115=""),"Add the vendor",IF(AND(D1115="Bill Payment",OR(J1115="",COUNTIFS(ap_No,J1115&amp;"",ap_Party,H1115&amp;"")=0)),"Bill # + vendor not found on AP sheet",IF(AND(ISNUMBER(M1115),N(M1115)&lt;&gt;0,W1115=0),"Tax ignored (tax tracking off, or not allowed for this type)",IF(V1115=K1115&amp;"","Same account on both sides",IF(AND(ISNUMBER(StartDate),C1115&lt;StartDate),"Date is before the accounting start date",IF(AND(D1115&lt;&gt;"Adjustment",IFERROR(INDEX(coa_Pay,MATCH(K1115&amp;"",coa_Name,0)),"")&lt;&gt;"Yes"),"Paid From / Deposited To is not a payment account","")))))))))))</f>
        <v/>
      </c>
      <c r="Z1115" s="67">
        <f>IF(AND(T1115=0,X1115=""),1,0)</f>
        <v/>
      </c>
      <c r="AA1115" s="68">
        <f>IF(Z1115=1,IF(U1115="In",L1115,L1115-W1115),0)</f>
        <v/>
      </c>
      <c r="AB1115" s="68">
        <f>IF(Z1115=1,IF(U1115="In",L1115-W1115,L1115),0)</f>
        <v/>
      </c>
      <c r="AC1115" s="68">
        <f>IF(AND(Z1115=1,U1115="Out"),W1115,0)</f>
        <v/>
      </c>
      <c r="AD1115" s="68">
        <f>IF(AND(Z1115=1,U1115="In"),W1115,0)</f>
        <v/>
      </c>
    </row>
    <row r="1116">
      <c r="B1116" s="62" t="inlineStr">
        <is>
          <t>TX-1110</t>
        </is>
      </c>
      <c r="C1116" s="63" t="n"/>
      <c r="D1116" s="62" t="n"/>
      <c r="E1116" s="62" t="n"/>
      <c r="F1116" s="62" t="n"/>
      <c r="G1116" s="62" t="n"/>
      <c r="H1116" s="62" t="n"/>
      <c r="I1116" s="62" t="n"/>
      <c r="J1116" s="62" t="n"/>
      <c r="K1116" s="62" t="n"/>
      <c r="L1116" s="64" t="n"/>
      <c r="M1116" s="64" t="n"/>
      <c r="N1116" s="62" t="n"/>
      <c r="O1116" s="65">
        <f>IF(Z1116=1,L1116-W1116,"")</f>
        <v/>
      </c>
      <c r="P1116" s="66">
        <f>IF(V1116="","",IFERROR(INDEX(coa_Type,MATCH(V1116,coa_Name,0)),""))</f>
        <v/>
      </c>
      <c r="Q1116" s="66">
        <f>IF(Z1116=1,IF(U1116="In",K1116&amp;"",V1116),"")</f>
        <v/>
      </c>
      <c r="R1116" s="66">
        <f>IF(Z1116=1,IF(U1116="In",V1116,K1116&amp;""),"")</f>
        <v/>
      </c>
      <c r="S1116" s="66">
        <f>IF(X1116&lt;&gt;"","⛔ "&amp;X1116&amp;" — not posted",IF(Y1116&lt;&gt;"","⚠ "&amp;Y1116,IF(Z1116=1,"✓ OK","")))</f>
        <v/>
      </c>
      <c r="T1116" s="67">
        <f>IF(AND(C1116="",D1116="",E1116="",L1116="",K1116=""),1,0)</f>
        <v/>
      </c>
      <c r="U1116" s="67">
        <f>IFERROR(INDEX(tt_Dir,MATCH(D1116,tt_Type,0)),"")</f>
        <v/>
      </c>
      <c r="V1116" s="67">
        <f>IF(D1116="","",IFERROR(IF(INDEX(tt_Other,MATCH(D1116,tt_Type,0))="",E1116&amp;"",INDEX(tt_Other,MATCH(D1116,tt_Type,0))),""))</f>
        <v/>
      </c>
      <c r="W1116" s="68">
        <f>IF(OR(TaxOn&lt;&gt;"Yes",NOT(ISNUMBER(M1116))),0,IF(IFERROR(INDEX(tt_Tax,MATCH(D1116,tt_Type,0)),"No")="Yes",M1116,0))</f>
        <v/>
      </c>
      <c r="X1116" s="67">
        <f>IF(T1116=1,"",IF(C1116="","Missing transaction date",IF(NOT(ISNUMBER(C1116)),"Invalid date",IF(OR(C1116&lt;DATE(2000,1,1),C1116&gt;DATE(2099,12,31)),"Invalid date",IF(D1116="","Select a type",IF(U1116="","Unknown type: "&amp;D1116,IF(V1116="","Select an account (Category)",IF(ISNA(MATCH(V1116,coa_Name,0)),"Unknown account: "&amp;V1116,IF(K1116="","Select Paid From / Deposited To",IF(ISNA(MATCH(K1116,coa_Name,0)),"Unknown account: "&amp;K1116,IF(NOT(ISNUMBER(L1116)),"Enter an amount",IF(L1116=0,"Enter an amount",IF(ABS(W1116)&gt;ABS(L1116),"Tax is larger than the amount","")))))))))))))</f>
        <v/>
      </c>
      <c r="Y1116" s="67">
        <f>IF(OR(T1116=1,X1116&lt;&gt;""),"",IF(AND(B1116&lt;&gt;"",COUNTIF(tx_ID,B1116)&gt;1),"Duplicate transaction ID",IF(AND(L1116&lt;0,D1116&lt;&gt;"Adjustment"),"Negative amount — check this entry",IF(AND(D1116="Customer Payment",G1116=""),"Add the customer",IF(AND(D1116="Customer Payment",OR(J1116="",COUNTIF(ar_No,J1116&amp;"")=0)),"Invoice # in Reference not found on AR sheet",IF(AND(D1116="Bill Payment",H1116=""),"Add the vendor",IF(AND(D1116="Bill Payment",OR(J1116="",COUNTIFS(ap_No,J1116&amp;"",ap_Party,H1116&amp;"")=0)),"Bill # + vendor not found on AP sheet",IF(AND(ISNUMBER(M1116),N(M1116)&lt;&gt;0,W1116=0),"Tax ignored (tax tracking off, or not allowed for this type)",IF(V1116=K1116&amp;"","Same account on both sides",IF(AND(ISNUMBER(StartDate),C1116&lt;StartDate),"Date is before the accounting start date",IF(AND(D1116&lt;&gt;"Adjustment",IFERROR(INDEX(coa_Pay,MATCH(K1116&amp;"",coa_Name,0)),"")&lt;&gt;"Yes"),"Paid From / Deposited To is not a payment account","")))))))))))</f>
        <v/>
      </c>
      <c r="Z1116" s="67">
        <f>IF(AND(T1116=0,X1116=""),1,0)</f>
        <v/>
      </c>
      <c r="AA1116" s="68">
        <f>IF(Z1116=1,IF(U1116="In",L1116,L1116-W1116),0)</f>
        <v/>
      </c>
      <c r="AB1116" s="68">
        <f>IF(Z1116=1,IF(U1116="In",L1116-W1116,L1116),0)</f>
        <v/>
      </c>
      <c r="AC1116" s="68">
        <f>IF(AND(Z1116=1,U1116="Out"),W1116,0)</f>
        <v/>
      </c>
      <c r="AD1116" s="68">
        <f>IF(AND(Z1116=1,U1116="In"),W1116,0)</f>
        <v/>
      </c>
    </row>
    <row r="1117">
      <c r="B1117" s="62" t="inlineStr">
        <is>
          <t>TX-1111</t>
        </is>
      </c>
      <c r="C1117" s="63" t="n"/>
      <c r="D1117" s="62" t="n"/>
      <c r="E1117" s="62" t="n"/>
      <c r="F1117" s="62" t="n"/>
      <c r="G1117" s="62" t="n"/>
      <c r="H1117" s="62" t="n"/>
      <c r="I1117" s="62" t="n"/>
      <c r="J1117" s="62" t="n"/>
      <c r="K1117" s="62" t="n"/>
      <c r="L1117" s="64" t="n"/>
      <c r="M1117" s="64" t="n"/>
      <c r="N1117" s="62" t="n"/>
      <c r="O1117" s="65">
        <f>IF(Z1117=1,L1117-W1117,"")</f>
        <v/>
      </c>
      <c r="P1117" s="66">
        <f>IF(V1117="","",IFERROR(INDEX(coa_Type,MATCH(V1117,coa_Name,0)),""))</f>
        <v/>
      </c>
      <c r="Q1117" s="66">
        <f>IF(Z1117=1,IF(U1117="In",K1117&amp;"",V1117),"")</f>
        <v/>
      </c>
      <c r="R1117" s="66">
        <f>IF(Z1117=1,IF(U1117="In",V1117,K1117&amp;""),"")</f>
        <v/>
      </c>
      <c r="S1117" s="66">
        <f>IF(X1117&lt;&gt;"","⛔ "&amp;X1117&amp;" — not posted",IF(Y1117&lt;&gt;"","⚠ "&amp;Y1117,IF(Z1117=1,"✓ OK","")))</f>
        <v/>
      </c>
      <c r="T1117" s="67">
        <f>IF(AND(C1117="",D1117="",E1117="",L1117="",K1117=""),1,0)</f>
        <v/>
      </c>
      <c r="U1117" s="67">
        <f>IFERROR(INDEX(tt_Dir,MATCH(D1117,tt_Type,0)),"")</f>
        <v/>
      </c>
      <c r="V1117" s="67">
        <f>IF(D1117="","",IFERROR(IF(INDEX(tt_Other,MATCH(D1117,tt_Type,0))="",E1117&amp;"",INDEX(tt_Other,MATCH(D1117,tt_Type,0))),""))</f>
        <v/>
      </c>
      <c r="W1117" s="68">
        <f>IF(OR(TaxOn&lt;&gt;"Yes",NOT(ISNUMBER(M1117))),0,IF(IFERROR(INDEX(tt_Tax,MATCH(D1117,tt_Type,0)),"No")="Yes",M1117,0))</f>
        <v/>
      </c>
      <c r="X1117" s="67">
        <f>IF(T1117=1,"",IF(C1117="","Missing transaction date",IF(NOT(ISNUMBER(C1117)),"Invalid date",IF(OR(C1117&lt;DATE(2000,1,1),C1117&gt;DATE(2099,12,31)),"Invalid date",IF(D1117="","Select a type",IF(U1117="","Unknown type: "&amp;D1117,IF(V1117="","Select an account (Category)",IF(ISNA(MATCH(V1117,coa_Name,0)),"Unknown account: "&amp;V1117,IF(K1117="","Select Paid From / Deposited To",IF(ISNA(MATCH(K1117,coa_Name,0)),"Unknown account: "&amp;K1117,IF(NOT(ISNUMBER(L1117)),"Enter an amount",IF(L1117=0,"Enter an amount",IF(ABS(W1117)&gt;ABS(L1117),"Tax is larger than the amount","")))))))))))))</f>
        <v/>
      </c>
      <c r="Y1117" s="67">
        <f>IF(OR(T1117=1,X1117&lt;&gt;""),"",IF(AND(B1117&lt;&gt;"",COUNTIF(tx_ID,B1117)&gt;1),"Duplicate transaction ID",IF(AND(L1117&lt;0,D1117&lt;&gt;"Adjustment"),"Negative amount — check this entry",IF(AND(D1117="Customer Payment",G1117=""),"Add the customer",IF(AND(D1117="Customer Payment",OR(J1117="",COUNTIF(ar_No,J1117&amp;"")=0)),"Invoice # in Reference not found on AR sheet",IF(AND(D1117="Bill Payment",H1117=""),"Add the vendor",IF(AND(D1117="Bill Payment",OR(J1117="",COUNTIFS(ap_No,J1117&amp;"",ap_Party,H1117&amp;"")=0)),"Bill # + vendor not found on AP sheet",IF(AND(ISNUMBER(M1117),N(M1117)&lt;&gt;0,W1117=0),"Tax ignored (tax tracking off, or not allowed for this type)",IF(V1117=K1117&amp;"","Same account on both sides",IF(AND(ISNUMBER(StartDate),C1117&lt;StartDate),"Date is before the accounting start date",IF(AND(D1117&lt;&gt;"Adjustment",IFERROR(INDEX(coa_Pay,MATCH(K1117&amp;"",coa_Name,0)),"")&lt;&gt;"Yes"),"Paid From / Deposited To is not a payment account","")))))))))))</f>
        <v/>
      </c>
      <c r="Z1117" s="67">
        <f>IF(AND(T1117=0,X1117=""),1,0)</f>
        <v/>
      </c>
      <c r="AA1117" s="68">
        <f>IF(Z1117=1,IF(U1117="In",L1117,L1117-W1117),0)</f>
        <v/>
      </c>
      <c r="AB1117" s="68">
        <f>IF(Z1117=1,IF(U1117="In",L1117-W1117,L1117),0)</f>
        <v/>
      </c>
      <c r="AC1117" s="68">
        <f>IF(AND(Z1117=1,U1117="Out"),W1117,0)</f>
        <v/>
      </c>
      <c r="AD1117" s="68">
        <f>IF(AND(Z1117=1,U1117="In"),W1117,0)</f>
        <v/>
      </c>
    </row>
    <row r="1118">
      <c r="B1118" s="62" t="inlineStr">
        <is>
          <t>TX-1112</t>
        </is>
      </c>
      <c r="C1118" s="63" t="n"/>
      <c r="D1118" s="62" t="n"/>
      <c r="E1118" s="62" t="n"/>
      <c r="F1118" s="62" t="n"/>
      <c r="G1118" s="62" t="n"/>
      <c r="H1118" s="62" t="n"/>
      <c r="I1118" s="62" t="n"/>
      <c r="J1118" s="62" t="n"/>
      <c r="K1118" s="62" t="n"/>
      <c r="L1118" s="64" t="n"/>
      <c r="M1118" s="64" t="n"/>
      <c r="N1118" s="62" t="n"/>
      <c r="O1118" s="65">
        <f>IF(Z1118=1,L1118-W1118,"")</f>
        <v/>
      </c>
      <c r="P1118" s="66">
        <f>IF(V1118="","",IFERROR(INDEX(coa_Type,MATCH(V1118,coa_Name,0)),""))</f>
        <v/>
      </c>
      <c r="Q1118" s="66">
        <f>IF(Z1118=1,IF(U1118="In",K1118&amp;"",V1118),"")</f>
        <v/>
      </c>
      <c r="R1118" s="66">
        <f>IF(Z1118=1,IF(U1118="In",V1118,K1118&amp;""),"")</f>
        <v/>
      </c>
      <c r="S1118" s="66">
        <f>IF(X1118&lt;&gt;"","⛔ "&amp;X1118&amp;" — not posted",IF(Y1118&lt;&gt;"","⚠ "&amp;Y1118,IF(Z1118=1,"✓ OK","")))</f>
        <v/>
      </c>
      <c r="T1118" s="67">
        <f>IF(AND(C1118="",D1118="",E1118="",L1118="",K1118=""),1,0)</f>
        <v/>
      </c>
      <c r="U1118" s="67">
        <f>IFERROR(INDEX(tt_Dir,MATCH(D1118,tt_Type,0)),"")</f>
        <v/>
      </c>
      <c r="V1118" s="67">
        <f>IF(D1118="","",IFERROR(IF(INDEX(tt_Other,MATCH(D1118,tt_Type,0))="",E1118&amp;"",INDEX(tt_Other,MATCH(D1118,tt_Type,0))),""))</f>
        <v/>
      </c>
      <c r="W1118" s="68">
        <f>IF(OR(TaxOn&lt;&gt;"Yes",NOT(ISNUMBER(M1118))),0,IF(IFERROR(INDEX(tt_Tax,MATCH(D1118,tt_Type,0)),"No")="Yes",M1118,0))</f>
        <v/>
      </c>
      <c r="X1118" s="67">
        <f>IF(T1118=1,"",IF(C1118="","Missing transaction date",IF(NOT(ISNUMBER(C1118)),"Invalid date",IF(OR(C1118&lt;DATE(2000,1,1),C1118&gt;DATE(2099,12,31)),"Invalid date",IF(D1118="","Select a type",IF(U1118="","Unknown type: "&amp;D1118,IF(V1118="","Select an account (Category)",IF(ISNA(MATCH(V1118,coa_Name,0)),"Unknown account: "&amp;V1118,IF(K1118="","Select Paid From / Deposited To",IF(ISNA(MATCH(K1118,coa_Name,0)),"Unknown account: "&amp;K1118,IF(NOT(ISNUMBER(L1118)),"Enter an amount",IF(L1118=0,"Enter an amount",IF(ABS(W1118)&gt;ABS(L1118),"Tax is larger than the amount","")))))))))))))</f>
        <v/>
      </c>
      <c r="Y1118" s="67">
        <f>IF(OR(T1118=1,X1118&lt;&gt;""),"",IF(AND(B1118&lt;&gt;"",COUNTIF(tx_ID,B1118)&gt;1),"Duplicate transaction ID",IF(AND(L1118&lt;0,D1118&lt;&gt;"Adjustment"),"Negative amount — check this entry",IF(AND(D1118="Customer Payment",G1118=""),"Add the customer",IF(AND(D1118="Customer Payment",OR(J1118="",COUNTIF(ar_No,J1118&amp;"")=0)),"Invoice # in Reference not found on AR sheet",IF(AND(D1118="Bill Payment",H1118=""),"Add the vendor",IF(AND(D1118="Bill Payment",OR(J1118="",COUNTIFS(ap_No,J1118&amp;"",ap_Party,H1118&amp;"")=0)),"Bill # + vendor not found on AP sheet",IF(AND(ISNUMBER(M1118),N(M1118)&lt;&gt;0,W1118=0),"Tax ignored (tax tracking off, or not allowed for this type)",IF(V1118=K1118&amp;"","Same account on both sides",IF(AND(ISNUMBER(StartDate),C1118&lt;StartDate),"Date is before the accounting start date",IF(AND(D1118&lt;&gt;"Adjustment",IFERROR(INDEX(coa_Pay,MATCH(K1118&amp;"",coa_Name,0)),"")&lt;&gt;"Yes"),"Paid From / Deposited To is not a payment account","")))))))))))</f>
        <v/>
      </c>
      <c r="Z1118" s="67">
        <f>IF(AND(T1118=0,X1118=""),1,0)</f>
        <v/>
      </c>
      <c r="AA1118" s="68">
        <f>IF(Z1118=1,IF(U1118="In",L1118,L1118-W1118),0)</f>
        <v/>
      </c>
      <c r="AB1118" s="68">
        <f>IF(Z1118=1,IF(U1118="In",L1118-W1118,L1118),0)</f>
        <v/>
      </c>
      <c r="AC1118" s="68">
        <f>IF(AND(Z1118=1,U1118="Out"),W1118,0)</f>
        <v/>
      </c>
      <c r="AD1118" s="68">
        <f>IF(AND(Z1118=1,U1118="In"),W1118,0)</f>
        <v/>
      </c>
    </row>
    <row r="1119">
      <c r="B1119" s="62" t="inlineStr">
        <is>
          <t>TX-1113</t>
        </is>
      </c>
      <c r="C1119" s="63" t="n"/>
      <c r="D1119" s="62" t="n"/>
      <c r="E1119" s="62" t="n"/>
      <c r="F1119" s="62" t="n"/>
      <c r="G1119" s="62" t="n"/>
      <c r="H1119" s="62" t="n"/>
      <c r="I1119" s="62" t="n"/>
      <c r="J1119" s="62" t="n"/>
      <c r="K1119" s="62" t="n"/>
      <c r="L1119" s="64" t="n"/>
      <c r="M1119" s="64" t="n"/>
      <c r="N1119" s="62" t="n"/>
      <c r="O1119" s="65">
        <f>IF(Z1119=1,L1119-W1119,"")</f>
        <v/>
      </c>
      <c r="P1119" s="66">
        <f>IF(V1119="","",IFERROR(INDEX(coa_Type,MATCH(V1119,coa_Name,0)),""))</f>
        <v/>
      </c>
      <c r="Q1119" s="66">
        <f>IF(Z1119=1,IF(U1119="In",K1119&amp;"",V1119),"")</f>
        <v/>
      </c>
      <c r="R1119" s="66">
        <f>IF(Z1119=1,IF(U1119="In",V1119,K1119&amp;""),"")</f>
        <v/>
      </c>
      <c r="S1119" s="66">
        <f>IF(X1119&lt;&gt;"","⛔ "&amp;X1119&amp;" — not posted",IF(Y1119&lt;&gt;"","⚠ "&amp;Y1119,IF(Z1119=1,"✓ OK","")))</f>
        <v/>
      </c>
      <c r="T1119" s="67">
        <f>IF(AND(C1119="",D1119="",E1119="",L1119="",K1119=""),1,0)</f>
        <v/>
      </c>
      <c r="U1119" s="67">
        <f>IFERROR(INDEX(tt_Dir,MATCH(D1119,tt_Type,0)),"")</f>
        <v/>
      </c>
      <c r="V1119" s="67">
        <f>IF(D1119="","",IFERROR(IF(INDEX(tt_Other,MATCH(D1119,tt_Type,0))="",E1119&amp;"",INDEX(tt_Other,MATCH(D1119,tt_Type,0))),""))</f>
        <v/>
      </c>
      <c r="W1119" s="68">
        <f>IF(OR(TaxOn&lt;&gt;"Yes",NOT(ISNUMBER(M1119))),0,IF(IFERROR(INDEX(tt_Tax,MATCH(D1119,tt_Type,0)),"No")="Yes",M1119,0))</f>
        <v/>
      </c>
      <c r="X1119" s="67">
        <f>IF(T1119=1,"",IF(C1119="","Missing transaction date",IF(NOT(ISNUMBER(C1119)),"Invalid date",IF(OR(C1119&lt;DATE(2000,1,1),C1119&gt;DATE(2099,12,31)),"Invalid date",IF(D1119="","Select a type",IF(U1119="","Unknown type: "&amp;D1119,IF(V1119="","Select an account (Category)",IF(ISNA(MATCH(V1119,coa_Name,0)),"Unknown account: "&amp;V1119,IF(K1119="","Select Paid From / Deposited To",IF(ISNA(MATCH(K1119,coa_Name,0)),"Unknown account: "&amp;K1119,IF(NOT(ISNUMBER(L1119)),"Enter an amount",IF(L1119=0,"Enter an amount",IF(ABS(W1119)&gt;ABS(L1119),"Tax is larger than the amount","")))))))))))))</f>
        <v/>
      </c>
      <c r="Y1119" s="67">
        <f>IF(OR(T1119=1,X1119&lt;&gt;""),"",IF(AND(B1119&lt;&gt;"",COUNTIF(tx_ID,B1119)&gt;1),"Duplicate transaction ID",IF(AND(L1119&lt;0,D1119&lt;&gt;"Adjustment"),"Negative amount — check this entry",IF(AND(D1119="Customer Payment",G1119=""),"Add the customer",IF(AND(D1119="Customer Payment",OR(J1119="",COUNTIF(ar_No,J1119&amp;"")=0)),"Invoice # in Reference not found on AR sheet",IF(AND(D1119="Bill Payment",H1119=""),"Add the vendor",IF(AND(D1119="Bill Payment",OR(J1119="",COUNTIFS(ap_No,J1119&amp;"",ap_Party,H1119&amp;"")=0)),"Bill # + vendor not found on AP sheet",IF(AND(ISNUMBER(M1119),N(M1119)&lt;&gt;0,W1119=0),"Tax ignored (tax tracking off, or not allowed for this type)",IF(V1119=K1119&amp;"","Same account on both sides",IF(AND(ISNUMBER(StartDate),C1119&lt;StartDate),"Date is before the accounting start date",IF(AND(D1119&lt;&gt;"Adjustment",IFERROR(INDEX(coa_Pay,MATCH(K1119&amp;"",coa_Name,0)),"")&lt;&gt;"Yes"),"Paid From / Deposited To is not a payment account","")))))))))))</f>
        <v/>
      </c>
      <c r="Z1119" s="67">
        <f>IF(AND(T1119=0,X1119=""),1,0)</f>
        <v/>
      </c>
      <c r="AA1119" s="68">
        <f>IF(Z1119=1,IF(U1119="In",L1119,L1119-W1119),0)</f>
        <v/>
      </c>
      <c r="AB1119" s="68">
        <f>IF(Z1119=1,IF(U1119="In",L1119-W1119,L1119),0)</f>
        <v/>
      </c>
      <c r="AC1119" s="68">
        <f>IF(AND(Z1119=1,U1119="Out"),W1119,0)</f>
        <v/>
      </c>
      <c r="AD1119" s="68">
        <f>IF(AND(Z1119=1,U1119="In"),W1119,0)</f>
        <v/>
      </c>
    </row>
    <row r="1120">
      <c r="B1120" s="62" t="inlineStr">
        <is>
          <t>TX-1114</t>
        </is>
      </c>
      <c r="C1120" s="63" t="n"/>
      <c r="D1120" s="62" t="n"/>
      <c r="E1120" s="62" t="n"/>
      <c r="F1120" s="62" t="n"/>
      <c r="G1120" s="62" t="n"/>
      <c r="H1120" s="62" t="n"/>
      <c r="I1120" s="62" t="n"/>
      <c r="J1120" s="62" t="n"/>
      <c r="K1120" s="62" t="n"/>
      <c r="L1120" s="64" t="n"/>
      <c r="M1120" s="64" t="n"/>
      <c r="N1120" s="62" t="n"/>
      <c r="O1120" s="65">
        <f>IF(Z1120=1,L1120-W1120,"")</f>
        <v/>
      </c>
      <c r="P1120" s="66">
        <f>IF(V1120="","",IFERROR(INDEX(coa_Type,MATCH(V1120,coa_Name,0)),""))</f>
        <v/>
      </c>
      <c r="Q1120" s="66">
        <f>IF(Z1120=1,IF(U1120="In",K1120&amp;"",V1120),"")</f>
        <v/>
      </c>
      <c r="R1120" s="66">
        <f>IF(Z1120=1,IF(U1120="In",V1120,K1120&amp;""),"")</f>
        <v/>
      </c>
      <c r="S1120" s="66">
        <f>IF(X1120&lt;&gt;"","⛔ "&amp;X1120&amp;" — not posted",IF(Y1120&lt;&gt;"","⚠ "&amp;Y1120,IF(Z1120=1,"✓ OK","")))</f>
        <v/>
      </c>
      <c r="T1120" s="67">
        <f>IF(AND(C1120="",D1120="",E1120="",L1120="",K1120=""),1,0)</f>
        <v/>
      </c>
      <c r="U1120" s="67">
        <f>IFERROR(INDEX(tt_Dir,MATCH(D1120,tt_Type,0)),"")</f>
        <v/>
      </c>
      <c r="V1120" s="67">
        <f>IF(D1120="","",IFERROR(IF(INDEX(tt_Other,MATCH(D1120,tt_Type,0))="",E1120&amp;"",INDEX(tt_Other,MATCH(D1120,tt_Type,0))),""))</f>
        <v/>
      </c>
      <c r="W1120" s="68">
        <f>IF(OR(TaxOn&lt;&gt;"Yes",NOT(ISNUMBER(M1120))),0,IF(IFERROR(INDEX(tt_Tax,MATCH(D1120,tt_Type,0)),"No")="Yes",M1120,0))</f>
        <v/>
      </c>
      <c r="X1120" s="67">
        <f>IF(T1120=1,"",IF(C1120="","Missing transaction date",IF(NOT(ISNUMBER(C1120)),"Invalid date",IF(OR(C1120&lt;DATE(2000,1,1),C1120&gt;DATE(2099,12,31)),"Invalid date",IF(D1120="","Select a type",IF(U1120="","Unknown type: "&amp;D1120,IF(V1120="","Select an account (Category)",IF(ISNA(MATCH(V1120,coa_Name,0)),"Unknown account: "&amp;V1120,IF(K1120="","Select Paid From / Deposited To",IF(ISNA(MATCH(K1120,coa_Name,0)),"Unknown account: "&amp;K1120,IF(NOT(ISNUMBER(L1120)),"Enter an amount",IF(L1120=0,"Enter an amount",IF(ABS(W1120)&gt;ABS(L1120),"Tax is larger than the amount","")))))))))))))</f>
        <v/>
      </c>
      <c r="Y1120" s="67">
        <f>IF(OR(T1120=1,X1120&lt;&gt;""),"",IF(AND(B1120&lt;&gt;"",COUNTIF(tx_ID,B1120)&gt;1),"Duplicate transaction ID",IF(AND(L1120&lt;0,D1120&lt;&gt;"Adjustment"),"Negative amount — check this entry",IF(AND(D1120="Customer Payment",G1120=""),"Add the customer",IF(AND(D1120="Customer Payment",OR(J1120="",COUNTIF(ar_No,J1120&amp;"")=0)),"Invoice # in Reference not found on AR sheet",IF(AND(D1120="Bill Payment",H1120=""),"Add the vendor",IF(AND(D1120="Bill Payment",OR(J1120="",COUNTIFS(ap_No,J1120&amp;"",ap_Party,H1120&amp;"")=0)),"Bill # + vendor not found on AP sheet",IF(AND(ISNUMBER(M1120),N(M1120)&lt;&gt;0,W1120=0),"Tax ignored (tax tracking off, or not allowed for this type)",IF(V1120=K1120&amp;"","Same account on both sides",IF(AND(ISNUMBER(StartDate),C1120&lt;StartDate),"Date is before the accounting start date",IF(AND(D1120&lt;&gt;"Adjustment",IFERROR(INDEX(coa_Pay,MATCH(K1120&amp;"",coa_Name,0)),"")&lt;&gt;"Yes"),"Paid From / Deposited To is not a payment account","")))))))))))</f>
        <v/>
      </c>
      <c r="Z1120" s="67">
        <f>IF(AND(T1120=0,X1120=""),1,0)</f>
        <v/>
      </c>
      <c r="AA1120" s="68">
        <f>IF(Z1120=1,IF(U1120="In",L1120,L1120-W1120),0)</f>
        <v/>
      </c>
      <c r="AB1120" s="68">
        <f>IF(Z1120=1,IF(U1120="In",L1120-W1120,L1120),0)</f>
        <v/>
      </c>
      <c r="AC1120" s="68">
        <f>IF(AND(Z1120=1,U1120="Out"),W1120,0)</f>
        <v/>
      </c>
      <c r="AD1120" s="68">
        <f>IF(AND(Z1120=1,U1120="In"),W1120,0)</f>
        <v/>
      </c>
    </row>
    <row r="1121">
      <c r="B1121" s="62" t="inlineStr">
        <is>
          <t>TX-1115</t>
        </is>
      </c>
      <c r="C1121" s="63" t="n"/>
      <c r="D1121" s="62" t="n"/>
      <c r="E1121" s="62" t="n"/>
      <c r="F1121" s="62" t="n"/>
      <c r="G1121" s="62" t="n"/>
      <c r="H1121" s="62" t="n"/>
      <c r="I1121" s="62" t="n"/>
      <c r="J1121" s="62" t="n"/>
      <c r="K1121" s="62" t="n"/>
      <c r="L1121" s="64" t="n"/>
      <c r="M1121" s="64" t="n"/>
      <c r="N1121" s="62" t="n"/>
      <c r="O1121" s="65">
        <f>IF(Z1121=1,L1121-W1121,"")</f>
        <v/>
      </c>
      <c r="P1121" s="66">
        <f>IF(V1121="","",IFERROR(INDEX(coa_Type,MATCH(V1121,coa_Name,0)),""))</f>
        <v/>
      </c>
      <c r="Q1121" s="66">
        <f>IF(Z1121=1,IF(U1121="In",K1121&amp;"",V1121),"")</f>
        <v/>
      </c>
      <c r="R1121" s="66">
        <f>IF(Z1121=1,IF(U1121="In",V1121,K1121&amp;""),"")</f>
        <v/>
      </c>
      <c r="S1121" s="66">
        <f>IF(X1121&lt;&gt;"","⛔ "&amp;X1121&amp;" — not posted",IF(Y1121&lt;&gt;"","⚠ "&amp;Y1121,IF(Z1121=1,"✓ OK","")))</f>
        <v/>
      </c>
      <c r="T1121" s="67">
        <f>IF(AND(C1121="",D1121="",E1121="",L1121="",K1121=""),1,0)</f>
        <v/>
      </c>
      <c r="U1121" s="67">
        <f>IFERROR(INDEX(tt_Dir,MATCH(D1121,tt_Type,0)),"")</f>
        <v/>
      </c>
      <c r="V1121" s="67">
        <f>IF(D1121="","",IFERROR(IF(INDEX(tt_Other,MATCH(D1121,tt_Type,0))="",E1121&amp;"",INDEX(tt_Other,MATCH(D1121,tt_Type,0))),""))</f>
        <v/>
      </c>
      <c r="W1121" s="68">
        <f>IF(OR(TaxOn&lt;&gt;"Yes",NOT(ISNUMBER(M1121))),0,IF(IFERROR(INDEX(tt_Tax,MATCH(D1121,tt_Type,0)),"No")="Yes",M1121,0))</f>
        <v/>
      </c>
      <c r="X1121" s="67">
        <f>IF(T1121=1,"",IF(C1121="","Missing transaction date",IF(NOT(ISNUMBER(C1121)),"Invalid date",IF(OR(C1121&lt;DATE(2000,1,1),C1121&gt;DATE(2099,12,31)),"Invalid date",IF(D1121="","Select a type",IF(U1121="","Unknown type: "&amp;D1121,IF(V1121="","Select an account (Category)",IF(ISNA(MATCH(V1121,coa_Name,0)),"Unknown account: "&amp;V1121,IF(K1121="","Select Paid From / Deposited To",IF(ISNA(MATCH(K1121,coa_Name,0)),"Unknown account: "&amp;K1121,IF(NOT(ISNUMBER(L1121)),"Enter an amount",IF(L1121=0,"Enter an amount",IF(ABS(W1121)&gt;ABS(L1121),"Tax is larger than the amount","")))))))))))))</f>
        <v/>
      </c>
      <c r="Y1121" s="67">
        <f>IF(OR(T1121=1,X1121&lt;&gt;""),"",IF(AND(B1121&lt;&gt;"",COUNTIF(tx_ID,B1121)&gt;1),"Duplicate transaction ID",IF(AND(L1121&lt;0,D1121&lt;&gt;"Adjustment"),"Negative amount — check this entry",IF(AND(D1121="Customer Payment",G1121=""),"Add the customer",IF(AND(D1121="Customer Payment",OR(J1121="",COUNTIF(ar_No,J1121&amp;"")=0)),"Invoice # in Reference not found on AR sheet",IF(AND(D1121="Bill Payment",H1121=""),"Add the vendor",IF(AND(D1121="Bill Payment",OR(J1121="",COUNTIFS(ap_No,J1121&amp;"",ap_Party,H1121&amp;"")=0)),"Bill # + vendor not found on AP sheet",IF(AND(ISNUMBER(M1121),N(M1121)&lt;&gt;0,W1121=0),"Tax ignored (tax tracking off, or not allowed for this type)",IF(V1121=K1121&amp;"","Same account on both sides",IF(AND(ISNUMBER(StartDate),C1121&lt;StartDate),"Date is before the accounting start date",IF(AND(D1121&lt;&gt;"Adjustment",IFERROR(INDEX(coa_Pay,MATCH(K1121&amp;"",coa_Name,0)),"")&lt;&gt;"Yes"),"Paid From / Deposited To is not a payment account","")))))))))))</f>
        <v/>
      </c>
      <c r="Z1121" s="67">
        <f>IF(AND(T1121=0,X1121=""),1,0)</f>
        <v/>
      </c>
      <c r="AA1121" s="68">
        <f>IF(Z1121=1,IF(U1121="In",L1121,L1121-W1121),0)</f>
        <v/>
      </c>
      <c r="AB1121" s="68">
        <f>IF(Z1121=1,IF(U1121="In",L1121-W1121,L1121),0)</f>
        <v/>
      </c>
      <c r="AC1121" s="68">
        <f>IF(AND(Z1121=1,U1121="Out"),W1121,0)</f>
        <v/>
      </c>
      <c r="AD1121" s="68">
        <f>IF(AND(Z1121=1,U1121="In"),W1121,0)</f>
        <v/>
      </c>
    </row>
    <row r="1122">
      <c r="B1122" s="62" t="inlineStr">
        <is>
          <t>TX-1116</t>
        </is>
      </c>
      <c r="C1122" s="63" t="n"/>
      <c r="D1122" s="62" t="n"/>
      <c r="E1122" s="62" t="n"/>
      <c r="F1122" s="62" t="n"/>
      <c r="G1122" s="62" t="n"/>
      <c r="H1122" s="62" t="n"/>
      <c r="I1122" s="62" t="n"/>
      <c r="J1122" s="62" t="n"/>
      <c r="K1122" s="62" t="n"/>
      <c r="L1122" s="64" t="n"/>
      <c r="M1122" s="64" t="n"/>
      <c r="N1122" s="62" t="n"/>
      <c r="O1122" s="65">
        <f>IF(Z1122=1,L1122-W1122,"")</f>
        <v/>
      </c>
      <c r="P1122" s="66">
        <f>IF(V1122="","",IFERROR(INDEX(coa_Type,MATCH(V1122,coa_Name,0)),""))</f>
        <v/>
      </c>
      <c r="Q1122" s="66">
        <f>IF(Z1122=1,IF(U1122="In",K1122&amp;"",V1122),"")</f>
        <v/>
      </c>
      <c r="R1122" s="66">
        <f>IF(Z1122=1,IF(U1122="In",V1122,K1122&amp;""),"")</f>
        <v/>
      </c>
      <c r="S1122" s="66">
        <f>IF(X1122&lt;&gt;"","⛔ "&amp;X1122&amp;" — not posted",IF(Y1122&lt;&gt;"","⚠ "&amp;Y1122,IF(Z1122=1,"✓ OK","")))</f>
        <v/>
      </c>
      <c r="T1122" s="67">
        <f>IF(AND(C1122="",D1122="",E1122="",L1122="",K1122=""),1,0)</f>
        <v/>
      </c>
      <c r="U1122" s="67">
        <f>IFERROR(INDEX(tt_Dir,MATCH(D1122,tt_Type,0)),"")</f>
        <v/>
      </c>
      <c r="V1122" s="67">
        <f>IF(D1122="","",IFERROR(IF(INDEX(tt_Other,MATCH(D1122,tt_Type,0))="",E1122&amp;"",INDEX(tt_Other,MATCH(D1122,tt_Type,0))),""))</f>
        <v/>
      </c>
      <c r="W1122" s="68">
        <f>IF(OR(TaxOn&lt;&gt;"Yes",NOT(ISNUMBER(M1122))),0,IF(IFERROR(INDEX(tt_Tax,MATCH(D1122,tt_Type,0)),"No")="Yes",M1122,0))</f>
        <v/>
      </c>
      <c r="X1122" s="67">
        <f>IF(T1122=1,"",IF(C1122="","Missing transaction date",IF(NOT(ISNUMBER(C1122)),"Invalid date",IF(OR(C1122&lt;DATE(2000,1,1),C1122&gt;DATE(2099,12,31)),"Invalid date",IF(D1122="","Select a type",IF(U1122="","Unknown type: "&amp;D1122,IF(V1122="","Select an account (Category)",IF(ISNA(MATCH(V1122,coa_Name,0)),"Unknown account: "&amp;V1122,IF(K1122="","Select Paid From / Deposited To",IF(ISNA(MATCH(K1122,coa_Name,0)),"Unknown account: "&amp;K1122,IF(NOT(ISNUMBER(L1122)),"Enter an amount",IF(L1122=0,"Enter an amount",IF(ABS(W1122)&gt;ABS(L1122),"Tax is larger than the amount","")))))))))))))</f>
        <v/>
      </c>
      <c r="Y1122" s="67">
        <f>IF(OR(T1122=1,X1122&lt;&gt;""),"",IF(AND(B1122&lt;&gt;"",COUNTIF(tx_ID,B1122)&gt;1),"Duplicate transaction ID",IF(AND(L1122&lt;0,D1122&lt;&gt;"Adjustment"),"Negative amount — check this entry",IF(AND(D1122="Customer Payment",G1122=""),"Add the customer",IF(AND(D1122="Customer Payment",OR(J1122="",COUNTIF(ar_No,J1122&amp;"")=0)),"Invoice # in Reference not found on AR sheet",IF(AND(D1122="Bill Payment",H1122=""),"Add the vendor",IF(AND(D1122="Bill Payment",OR(J1122="",COUNTIFS(ap_No,J1122&amp;"",ap_Party,H1122&amp;"")=0)),"Bill # + vendor not found on AP sheet",IF(AND(ISNUMBER(M1122),N(M1122)&lt;&gt;0,W1122=0),"Tax ignored (tax tracking off, or not allowed for this type)",IF(V1122=K1122&amp;"","Same account on both sides",IF(AND(ISNUMBER(StartDate),C1122&lt;StartDate),"Date is before the accounting start date",IF(AND(D1122&lt;&gt;"Adjustment",IFERROR(INDEX(coa_Pay,MATCH(K1122&amp;"",coa_Name,0)),"")&lt;&gt;"Yes"),"Paid From / Deposited To is not a payment account","")))))))))))</f>
        <v/>
      </c>
      <c r="Z1122" s="67">
        <f>IF(AND(T1122=0,X1122=""),1,0)</f>
        <v/>
      </c>
      <c r="AA1122" s="68">
        <f>IF(Z1122=1,IF(U1122="In",L1122,L1122-W1122),0)</f>
        <v/>
      </c>
      <c r="AB1122" s="68">
        <f>IF(Z1122=1,IF(U1122="In",L1122-W1122,L1122),0)</f>
        <v/>
      </c>
      <c r="AC1122" s="68">
        <f>IF(AND(Z1122=1,U1122="Out"),W1122,0)</f>
        <v/>
      </c>
      <c r="AD1122" s="68">
        <f>IF(AND(Z1122=1,U1122="In"),W1122,0)</f>
        <v/>
      </c>
    </row>
    <row r="1123">
      <c r="B1123" s="62" t="inlineStr">
        <is>
          <t>TX-1117</t>
        </is>
      </c>
      <c r="C1123" s="63" t="n"/>
      <c r="D1123" s="62" t="n"/>
      <c r="E1123" s="62" t="n"/>
      <c r="F1123" s="62" t="n"/>
      <c r="G1123" s="62" t="n"/>
      <c r="H1123" s="62" t="n"/>
      <c r="I1123" s="62" t="n"/>
      <c r="J1123" s="62" t="n"/>
      <c r="K1123" s="62" t="n"/>
      <c r="L1123" s="64" t="n"/>
      <c r="M1123" s="64" t="n"/>
      <c r="N1123" s="62" t="n"/>
      <c r="O1123" s="65">
        <f>IF(Z1123=1,L1123-W1123,"")</f>
        <v/>
      </c>
      <c r="P1123" s="66">
        <f>IF(V1123="","",IFERROR(INDEX(coa_Type,MATCH(V1123,coa_Name,0)),""))</f>
        <v/>
      </c>
      <c r="Q1123" s="66">
        <f>IF(Z1123=1,IF(U1123="In",K1123&amp;"",V1123),"")</f>
        <v/>
      </c>
      <c r="R1123" s="66">
        <f>IF(Z1123=1,IF(U1123="In",V1123,K1123&amp;""),"")</f>
        <v/>
      </c>
      <c r="S1123" s="66">
        <f>IF(X1123&lt;&gt;"","⛔ "&amp;X1123&amp;" — not posted",IF(Y1123&lt;&gt;"","⚠ "&amp;Y1123,IF(Z1123=1,"✓ OK","")))</f>
        <v/>
      </c>
      <c r="T1123" s="67">
        <f>IF(AND(C1123="",D1123="",E1123="",L1123="",K1123=""),1,0)</f>
        <v/>
      </c>
      <c r="U1123" s="67">
        <f>IFERROR(INDEX(tt_Dir,MATCH(D1123,tt_Type,0)),"")</f>
        <v/>
      </c>
      <c r="V1123" s="67">
        <f>IF(D1123="","",IFERROR(IF(INDEX(tt_Other,MATCH(D1123,tt_Type,0))="",E1123&amp;"",INDEX(tt_Other,MATCH(D1123,tt_Type,0))),""))</f>
        <v/>
      </c>
      <c r="W1123" s="68">
        <f>IF(OR(TaxOn&lt;&gt;"Yes",NOT(ISNUMBER(M1123))),0,IF(IFERROR(INDEX(tt_Tax,MATCH(D1123,tt_Type,0)),"No")="Yes",M1123,0))</f>
        <v/>
      </c>
      <c r="X1123" s="67">
        <f>IF(T1123=1,"",IF(C1123="","Missing transaction date",IF(NOT(ISNUMBER(C1123)),"Invalid date",IF(OR(C1123&lt;DATE(2000,1,1),C1123&gt;DATE(2099,12,31)),"Invalid date",IF(D1123="","Select a type",IF(U1123="","Unknown type: "&amp;D1123,IF(V1123="","Select an account (Category)",IF(ISNA(MATCH(V1123,coa_Name,0)),"Unknown account: "&amp;V1123,IF(K1123="","Select Paid From / Deposited To",IF(ISNA(MATCH(K1123,coa_Name,0)),"Unknown account: "&amp;K1123,IF(NOT(ISNUMBER(L1123)),"Enter an amount",IF(L1123=0,"Enter an amount",IF(ABS(W1123)&gt;ABS(L1123),"Tax is larger than the amount","")))))))))))))</f>
        <v/>
      </c>
      <c r="Y1123" s="67">
        <f>IF(OR(T1123=1,X1123&lt;&gt;""),"",IF(AND(B1123&lt;&gt;"",COUNTIF(tx_ID,B1123)&gt;1),"Duplicate transaction ID",IF(AND(L1123&lt;0,D1123&lt;&gt;"Adjustment"),"Negative amount — check this entry",IF(AND(D1123="Customer Payment",G1123=""),"Add the customer",IF(AND(D1123="Customer Payment",OR(J1123="",COUNTIF(ar_No,J1123&amp;"")=0)),"Invoice # in Reference not found on AR sheet",IF(AND(D1123="Bill Payment",H1123=""),"Add the vendor",IF(AND(D1123="Bill Payment",OR(J1123="",COUNTIFS(ap_No,J1123&amp;"",ap_Party,H1123&amp;"")=0)),"Bill # + vendor not found on AP sheet",IF(AND(ISNUMBER(M1123),N(M1123)&lt;&gt;0,W1123=0),"Tax ignored (tax tracking off, or not allowed for this type)",IF(V1123=K1123&amp;"","Same account on both sides",IF(AND(ISNUMBER(StartDate),C1123&lt;StartDate),"Date is before the accounting start date",IF(AND(D1123&lt;&gt;"Adjustment",IFERROR(INDEX(coa_Pay,MATCH(K1123&amp;"",coa_Name,0)),"")&lt;&gt;"Yes"),"Paid From / Deposited To is not a payment account","")))))))))))</f>
        <v/>
      </c>
      <c r="Z1123" s="67">
        <f>IF(AND(T1123=0,X1123=""),1,0)</f>
        <v/>
      </c>
      <c r="AA1123" s="68">
        <f>IF(Z1123=1,IF(U1123="In",L1123,L1123-W1123),0)</f>
        <v/>
      </c>
      <c r="AB1123" s="68">
        <f>IF(Z1123=1,IF(U1123="In",L1123-W1123,L1123),0)</f>
        <v/>
      </c>
      <c r="AC1123" s="68">
        <f>IF(AND(Z1123=1,U1123="Out"),W1123,0)</f>
        <v/>
      </c>
      <c r="AD1123" s="68">
        <f>IF(AND(Z1123=1,U1123="In"),W1123,0)</f>
        <v/>
      </c>
    </row>
    <row r="1124">
      <c r="B1124" s="62" t="inlineStr">
        <is>
          <t>TX-1118</t>
        </is>
      </c>
      <c r="C1124" s="63" t="n"/>
      <c r="D1124" s="62" t="n"/>
      <c r="E1124" s="62" t="n"/>
      <c r="F1124" s="62" t="n"/>
      <c r="G1124" s="62" t="n"/>
      <c r="H1124" s="62" t="n"/>
      <c r="I1124" s="62" t="n"/>
      <c r="J1124" s="62" t="n"/>
      <c r="K1124" s="62" t="n"/>
      <c r="L1124" s="64" t="n"/>
      <c r="M1124" s="64" t="n"/>
      <c r="N1124" s="62" t="n"/>
      <c r="O1124" s="65">
        <f>IF(Z1124=1,L1124-W1124,"")</f>
        <v/>
      </c>
      <c r="P1124" s="66">
        <f>IF(V1124="","",IFERROR(INDEX(coa_Type,MATCH(V1124,coa_Name,0)),""))</f>
        <v/>
      </c>
      <c r="Q1124" s="66">
        <f>IF(Z1124=1,IF(U1124="In",K1124&amp;"",V1124),"")</f>
        <v/>
      </c>
      <c r="R1124" s="66">
        <f>IF(Z1124=1,IF(U1124="In",V1124,K1124&amp;""),"")</f>
        <v/>
      </c>
      <c r="S1124" s="66">
        <f>IF(X1124&lt;&gt;"","⛔ "&amp;X1124&amp;" — not posted",IF(Y1124&lt;&gt;"","⚠ "&amp;Y1124,IF(Z1124=1,"✓ OK","")))</f>
        <v/>
      </c>
      <c r="T1124" s="67">
        <f>IF(AND(C1124="",D1124="",E1124="",L1124="",K1124=""),1,0)</f>
        <v/>
      </c>
      <c r="U1124" s="67">
        <f>IFERROR(INDEX(tt_Dir,MATCH(D1124,tt_Type,0)),"")</f>
        <v/>
      </c>
      <c r="V1124" s="67">
        <f>IF(D1124="","",IFERROR(IF(INDEX(tt_Other,MATCH(D1124,tt_Type,0))="",E1124&amp;"",INDEX(tt_Other,MATCH(D1124,tt_Type,0))),""))</f>
        <v/>
      </c>
      <c r="W1124" s="68">
        <f>IF(OR(TaxOn&lt;&gt;"Yes",NOT(ISNUMBER(M1124))),0,IF(IFERROR(INDEX(tt_Tax,MATCH(D1124,tt_Type,0)),"No")="Yes",M1124,0))</f>
        <v/>
      </c>
      <c r="X1124" s="67">
        <f>IF(T1124=1,"",IF(C1124="","Missing transaction date",IF(NOT(ISNUMBER(C1124)),"Invalid date",IF(OR(C1124&lt;DATE(2000,1,1),C1124&gt;DATE(2099,12,31)),"Invalid date",IF(D1124="","Select a type",IF(U1124="","Unknown type: "&amp;D1124,IF(V1124="","Select an account (Category)",IF(ISNA(MATCH(V1124,coa_Name,0)),"Unknown account: "&amp;V1124,IF(K1124="","Select Paid From / Deposited To",IF(ISNA(MATCH(K1124,coa_Name,0)),"Unknown account: "&amp;K1124,IF(NOT(ISNUMBER(L1124)),"Enter an amount",IF(L1124=0,"Enter an amount",IF(ABS(W1124)&gt;ABS(L1124),"Tax is larger than the amount","")))))))))))))</f>
        <v/>
      </c>
      <c r="Y1124" s="67">
        <f>IF(OR(T1124=1,X1124&lt;&gt;""),"",IF(AND(B1124&lt;&gt;"",COUNTIF(tx_ID,B1124)&gt;1),"Duplicate transaction ID",IF(AND(L1124&lt;0,D1124&lt;&gt;"Adjustment"),"Negative amount — check this entry",IF(AND(D1124="Customer Payment",G1124=""),"Add the customer",IF(AND(D1124="Customer Payment",OR(J1124="",COUNTIF(ar_No,J1124&amp;"")=0)),"Invoice # in Reference not found on AR sheet",IF(AND(D1124="Bill Payment",H1124=""),"Add the vendor",IF(AND(D1124="Bill Payment",OR(J1124="",COUNTIFS(ap_No,J1124&amp;"",ap_Party,H1124&amp;"")=0)),"Bill # + vendor not found on AP sheet",IF(AND(ISNUMBER(M1124),N(M1124)&lt;&gt;0,W1124=0),"Tax ignored (tax tracking off, or not allowed for this type)",IF(V1124=K1124&amp;"","Same account on both sides",IF(AND(ISNUMBER(StartDate),C1124&lt;StartDate),"Date is before the accounting start date",IF(AND(D1124&lt;&gt;"Adjustment",IFERROR(INDEX(coa_Pay,MATCH(K1124&amp;"",coa_Name,0)),"")&lt;&gt;"Yes"),"Paid From / Deposited To is not a payment account","")))))))))))</f>
        <v/>
      </c>
      <c r="Z1124" s="67">
        <f>IF(AND(T1124=0,X1124=""),1,0)</f>
        <v/>
      </c>
      <c r="AA1124" s="68">
        <f>IF(Z1124=1,IF(U1124="In",L1124,L1124-W1124),0)</f>
        <v/>
      </c>
      <c r="AB1124" s="68">
        <f>IF(Z1124=1,IF(U1124="In",L1124-W1124,L1124),0)</f>
        <v/>
      </c>
      <c r="AC1124" s="68">
        <f>IF(AND(Z1124=1,U1124="Out"),W1124,0)</f>
        <v/>
      </c>
      <c r="AD1124" s="68">
        <f>IF(AND(Z1124=1,U1124="In"),W1124,0)</f>
        <v/>
      </c>
    </row>
    <row r="1125">
      <c r="B1125" s="62" t="inlineStr">
        <is>
          <t>TX-1119</t>
        </is>
      </c>
      <c r="C1125" s="63" t="n"/>
      <c r="D1125" s="62" t="n"/>
      <c r="E1125" s="62" t="n"/>
      <c r="F1125" s="62" t="n"/>
      <c r="G1125" s="62" t="n"/>
      <c r="H1125" s="62" t="n"/>
      <c r="I1125" s="62" t="n"/>
      <c r="J1125" s="62" t="n"/>
      <c r="K1125" s="62" t="n"/>
      <c r="L1125" s="64" t="n"/>
      <c r="M1125" s="64" t="n"/>
      <c r="N1125" s="62" t="n"/>
      <c r="O1125" s="65">
        <f>IF(Z1125=1,L1125-W1125,"")</f>
        <v/>
      </c>
      <c r="P1125" s="66">
        <f>IF(V1125="","",IFERROR(INDEX(coa_Type,MATCH(V1125,coa_Name,0)),""))</f>
        <v/>
      </c>
      <c r="Q1125" s="66">
        <f>IF(Z1125=1,IF(U1125="In",K1125&amp;"",V1125),"")</f>
        <v/>
      </c>
      <c r="R1125" s="66">
        <f>IF(Z1125=1,IF(U1125="In",V1125,K1125&amp;""),"")</f>
        <v/>
      </c>
      <c r="S1125" s="66">
        <f>IF(X1125&lt;&gt;"","⛔ "&amp;X1125&amp;" — not posted",IF(Y1125&lt;&gt;"","⚠ "&amp;Y1125,IF(Z1125=1,"✓ OK","")))</f>
        <v/>
      </c>
      <c r="T1125" s="67">
        <f>IF(AND(C1125="",D1125="",E1125="",L1125="",K1125=""),1,0)</f>
        <v/>
      </c>
      <c r="U1125" s="67">
        <f>IFERROR(INDEX(tt_Dir,MATCH(D1125,tt_Type,0)),"")</f>
        <v/>
      </c>
      <c r="V1125" s="67">
        <f>IF(D1125="","",IFERROR(IF(INDEX(tt_Other,MATCH(D1125,tt_Type,0))="",E1125&amp;"",INDEX(tt_Other,MATCH(D1125,tt_Type,0))),""))</f>
        <v/>
      </c>
      <c r="W1125" s="68">
        <f>IF(OR(TaxOn&lt;&gt;"Yes",NOT(ISNUMBER(M1125))),0,IF(IFERROR(INDEX(tt_Tax,MATCH(D1125,tt_Type,0)),"No")="Yes",M1125,0))</f>
        <v/>
      </c>
      <c r="X1125" s="67">
        <f>IF(T1125=1,"",IF(C1125="","Missing transaction date",IF(NOT(ISNUMBER(C1125)),"Invalid date",IF(OR(C1125&lt;DATE(2000,1,1),C1125&gt;DATE(2099,12,31)),"Invalid date",IF(D1125="","Select a type",IF(U1125="","Unknown type: "&amp;D1125,IF(V1125="","Select an account (Category)",IF(ISNA(MATCH(V1125,coa_Name,0)),"Unknown account: "&amp;V1125,IF(K1125="","Select Paid From / Deposited To",IF(ISNA(MATCH(K1125,coa_Name,0)),"Unknown account: "&amp;K1125,IF(NOT(ISNUMBER(L1125)),"Enter an amount",IF(L1125=0,"Enter an amount",IF(ABS(W1125)&gt;ABS(L1125),"Tax is larger than the amount","")))))))))))))</f>
        <v/>
      </c>
      <c r="Y1125" s="67">
        <f>IF(OR(T1125=1,X1125&lt;&gt;""),"",IF(AND(B1125&lt;&gt;"",COUNTIF(tx_ID,B1125)&gt;1),"Duplicate transaction ID",IF(AND(L1125&lt;0,D1125&lt;&gt;"Adjustment"),"Negative amount — check this entry",IF(AND(D1125="Customer Payment",G1125=""),"Add the customer",IF(AND(D1125="Customer Payment",OR(J1125="",COUNTIF(ar_No,J1125&amp;"")=0)),"Invoice # in Reference not found on AR sheet",IF(AND(D1125="Bill Payment",H1125=""),"Add the vendor",IF(AND(D1125="Bill Payment",OR(J1125="",COUNTIFS(ap_No,J1125&amp;"",ap_Party,H1125&amp;"")=0)),"Bill # + vendor not found on AP sheet",IF(AND(ISNUMBER(M1125),N(M1125)&lt;&gt;0,W1125=0),"Tax ignored (tax tracking off, or not allowed for this type)",IF(V1125=K1125&amp;"","Same account on both sides",IF(AND(ISNUMBER(StartDate),C1125&lt;StartDate),"Date is before the accounting start date",IF(AND(D1125&lt;&gt;"Adjustment",IFERROR(INDEX(coa_Pay,MATCH(K1125&amp;"",coa_Name,0)),"")&lt;&gt;"Yes"),"Paid From / Deposited To is not a payment account","")))))))))))</f>
        <v/>
      </c>
      <c r="Z1125" s="67">
        <f>IF(AND(T1125=0,X1125=""),1,0)</f>
        <v/>
      </c>
      <c r="AA1125" s="68">
        <f>IF(Z1125=1,IF(U1125="In",L1125,L1125-W1125),0)</f>
        <v/>
      </c>
      <c r="AB1125" s="68">
        <f>IF(Z1125=1,IF(U1125="In",L1125-W1125,L1125),0)</f>
        <v/>
      </c>
      <c r="AC1125" s="68">
        <f>IF(AND(Z1125=1,U1125="Out"),W1125,0)</f>
        <v/>
      </c>
      <c r="AD1125" s="68">
        <f>IF(AND(Z1125=1,U1125="In"),W1125,0)</f>
        <v/>
      </c>
    </row>
    <row r="1126">
      <c r="B1126" s="62" t="inlineStr">
        <is>
          <t>TX-1120</t>
        </is>
      </c>
      <c r="C1126" s="63" t="n"/>
      <c r="D1126" s="62" t="n"/>
      <c r="E1126" s="62" t="n"/>
      <c r="F1126" s="62" t="n"/>
      <c r="G1126" s="62" t="n"/>
      <c r="H1126" s="62" t="n"/>
      <c r="I1126" s="62" t="n"/>
      <c r="J1126" s="62" t="n"/>
      <c r="K1126" s="62" t="n"/>
      <c r="L1126" s="64" t="n"/>
      <c r="M1126" s="64" t="n"/>
      <c r="N1126" s="62" t="n"/>
      <c r="O1126" s="65">
        <f>IF(Z1126=1,L1126-W1126,"")</f>
        <v/>
      </c>
      <c r="P1126" s="66">
        <f>IF(V1126="","",IFERROR(INDEX(coa_Type,MATCH(V1126,coa_Name,0)),""))</f>
        <v/>
      </c>
      <c r="Q1126" s="66">
        <f>IF(Z1126=1,IF(U1126="In",K1126&amp;"",V1126),"")</f>
        <v/>
      </c>
      <c r="R1126" s="66">
        <f>IF(Z1126=1,IF(U1126="In",V1126,K1126&amp;""),"")</f>
        <v/>
      </c>
      <c r="S1126" s="66">
        <f>IF(X1126&lt;&gt;"","⛔ "&amp;X1126&amp;" — not posted",IF(Y1126&lt;&gt;"","⚠ "&amp;Y1126,IF(Z1126=1,"✓ OK","")))</f>
        <v/>
      </c>
      <c r="T1126" s="67">
        <f>IF(AND(C1126="",D1126="",E1126="",L1126="",K1126=""),1,0)</f>
        <v/>
      </c>
      <c r="U1126" s="67">
        <f>IFERROR(INDEX(tt_Dir,MATCH(D1126,tt_Type,0)),"")</f>
        <v/>
      </c>
      <c r="V1126" s="67">
        <f>IF(D1126="","",IFERROR(IF(INDEX(tt_Other,MATCH(D1126,tt_Type,0))="",E1126&amp;"",INDEX(tt_Other,MATCH(D1126,tt_Type,0))),""))</f>
        <v/>
      </c>
      <c r="W1126" s="68">
        <f>IF(OR(TaxOn&lt;&gt;"Yes",NOT(ISNUMBER(M1126))),0,IF(IFERROR(INDEX(tt_Tax,MATCH(D1126,tt_Type,0)),"No")="Yes",M1126,0))</f>
        <v/>
      </c>
      <c r="X1126" s="67">
        <f>IF(T1126=1,"",IF(C1126="","Missing transaction date",IF(NOT(ISNUMBER(C1126)),"Invalid date",IF(OR(C1126&lt;DATE(2000,1,1),C1126&gt;DATE(2099,12,31)),"Invalid date",IF(D1126="","Select a type",IF(U1126="","Unknown type: "&amp;D1126,IF(V1126="","Select an account (Category)",IF(ISNA(MATCH(V1126,coa_Name,0)),"Unknown account: "&amp;V1126,IF(K1126="","Select Paid From / Deposited To",IF(ISNA(MATCH(K1126,coa_Name,0)),"Unknown account: "&amp;K1126,IF(NOT(ISNUMBER(L1126)),"Enter an amount",IF(L1126=0,"Enter an amount",IF(ABS(W1126)&gt;ABS(L1126),"Tax is larger than the amount","")))))))))))))</f>
        <v/>
      </c>
      <c r="Y1126" s="67">
        <f>IF(OR(T1126=1,X1126&lt;&gt;""),"",IF(AND(B1126&lt;&gt;"",COUNTIF(tx_ID,B1126)&gt;1),"Duplicate transaction ID",IF(AND(L1126&lt;0,D1126&lt;&gt;"Adjustment"),"Negative amount — check this entry",IF(AND(D1126="Customer Payment",G1126=""),"Add the customer",IF(AND(D1126="Customer Payment",OR(J1126="",COUNTIF(ar_No,J1126&amp;"")=0)),"Invoice # in Reference not found on AR sheet",IF(AND(D1126="Bill Payment",H1126=""),"Add the vendor",IF(AND(D1126="Bill Payment",OR(J1126="",COUNTIFS(ap_No,J1126&amp;"",ap_Party,H1126&amp;"")=0)),"Bill # + vendor not found on AP sheet",IF(AND(ISNUMBER(M1126),N(M1126)&lt;&gt;0,W1126=0),"Tax ignored (tax tracking off, or not allowed for this type)",IF(V1126=K1126&amp;"","Same account on both sides",IF(AND(ISNUMBER(StartDate),C1126&lt;StartDate),"Date is before the accounting start date",IF(AND(D1126&lt;&gt;"Adjustment",IFERROR(INDEX(coa_Pay,MATCH(K1126&amp;"",coa_Name,0)),"")&lt;&gt;"Yes"),"Paid From / Deposited To is not a payment account","")))))))))))</f>
        <v/>
      </c>
      <c r="Z1126" s="67">
        <f>IF(AND(T1126=0,X1126=""),1,0)</f>
        <v/>
      </c>
      <c r="AA1126" s="68">
        <f>IF(Z1126=1,IF(U1126="In",L1126,L1126-W1126),0)</f>
        <v/>
      </c>
      <c r="AB1126" s="68">
        <f>IF(Z1126=1,IF(U1126="In",L1126-W1126,L1126),0)</f>
        <v/>
      </c>
      <c r="AC1126" s="68">
        <f>IF(AND(Z1126=1,U1126="Out"),W1126,0)</f>
        <v/>
      </c>
      <c r="AD1126" s="68">
        <f>IF(AND(Z1126=1,U1126="In"),W1126,0)</f>
        <v/>
      </c>
    </row>
    <row r="1127">
      <c r="B1127" s="62" t="inlineStr">
        <is>
          <t>TX-1121</t>
        </is>
      </c>
      <c r="C1127" s="63" t="n"/>
      <c r="D1127" s="62" t="n"/>
      <c r="E1127" s="62" t="n"/>
      <c r="F1127" s="62" t="n"/>
      <c r="G1127" s="62" t="n"/>
      <c r="H1127" s="62" t="n"/>
      <c r="I1127" s="62" t="n"/>
      <c r="J1127" s="62" t="n"/>
      <c r="K1127" s="62" t="n"/>
      <c r="L1127" s="64" t="n"/>
      <c r="M1127" s="64" t="n"/>
      <c r="N1127" s="62" t="n"/>
      <c r="O1127" s="65">
        <f>IF(Z1127=1,L1127-W1127,"")</f>
        <v/>
      </c>
      <c r="P1127" s="66">
        <f>IF(V1127="","",IFERROR(INDEX(coa_Type,MATCH(V1127,coa_Name,0)),""))</f>
        <v/>
      </c>
      <c r="Q1127" s="66">
        <f>IF(Z1127=1,IF(U1127="In",K1127&amp;"",V1127),"")</f>
        <v/>
      </c>
      <c r="R1127" s="66">
        <f>IF(Z1127=1,IF(U1127="In",V1127,K1127&amp;""),"")</f>
        <v/>
      </c>
      <c r="S1127" s="66">
        <f>IF(X1127&lt;&gt;"","⛔ "&amp;X1127&amp;" — not posted",IF(Y1127&lt;&gt;"","⚠ "&amp;Y1127,IF(Z1127=1,"✓ OK","")))</f>
        <v/>
      </c>
      <c r="T1127" s="67">
        <f>IF(AND(C1127="",D1127="",E1127="",L1127="",K1127=""),1,0)</f>
        <v/>
      </c>
      <c r="U1127" s="67">
        <f>IFERROR(INDEX(tt_Dir,MATCH(D1127,tt_Type,0)),"")</f>
        <v/>
      </c>
      <c r="V1127" s="67">
        <f>IF(D1127="","",IFERROR(IF(INDEX(tt_Other,MATCH(D1127,tt_Type,0))="",E1127&amp;"",INDEX(tt_Other,MATCH(D1127,tt_Type,0))),""))</f>
        <v/>
      </c>
      <c r="W1127" s="68">
        <f>IF(OR(TaxOn&lt;&gt;"Yes",NOT(ISNUMBER(M1127))),0,IF(IFERROR(INDEX(tt_Tax,MATCH(D1127,tt_Type,0)),"No")="Yes",M1127,0))</f>
        <v/>
      </c>
      <c r="X1127" s="67">
        <f>IF(T1127=1,"",IF(C1127="","Missing transaction date",IF(NOT(ISNUMBER(C1127)),"Invalid date",IF(OR(C1127&lt;DATE(2000,1,1),C1127&gt;DATE(2099,12,31)),"Invalid date",IF(D1127="","Select a type",IF(U1127="","Unknown type: "&amp;D1127,IF(V1127="","Select an account (Category)",IF(ISNA(MATCH(V1127,coa_Name,0)),"Unknown account: "&amp;V1127,IF(K1127="","Select Paid From / Deposited To",IF(ISNA(MATCH(K1127,coa_Name,0)),"Unknown account: "&amp;K1127,IF(NOT(ISNUMBER(L1127)),"Enter an amount",IF(L1127=0,"Enter an amount",IF(ABS(W1127)&gt;ABS(L1127),"Tax is larger than the amount","")))))))))))))</f>
        <v/>
      </c>
      <c r="Y1127" s="67">
        <f>IF(OR(T1127=1,X1127&lt;&gt;""),"",IF(AND(B1127&lt;&gt;"",COUNTIF(tx_ID,B1127)&gt;1),"Duplicate transaction ID",IF(AND(L1127&lt;0,D1127&lt;&gt;"Adjustment"),"Negative amount — check this entry",IF(AND(D1127="Customer Payment",G1127=""),"Add the customer",IF(AND(D1127="Customer Payment",OR(J1127="",COUNTIF(ar_No,J1127&amp;"")=0)),"Invoice # in Reference not found on AR sheet",IF(AND(D1127="Bill Payment",H1127=""),"Add the vendor",IF(AND(D1127="Bill Payment",OR(J1127="",COUNTIFS(ap_No,J1127&amp;"",ap_Party,H1127&amp;"")=0)),"Bill # + vendor not found on AP sheet",IF(AND(ISNUMBER(M1127),N(M1127)&lt;&gt;0,W1127=0),"Tax ignored (tax tracking off, or not allowed for this type)",IF(V1127=K1127&amp;"","Same account on both sides",IF(AND(ISNUMBER(StartDate),C1127&lt;StartDate),"Date is before the accounting start date",IF(AND(D1127&lt;&gt;"Adjustment",IFERROR(INDEX(coa_Pay,MATCH(K1127&amp;"",coa_Name,0)),"")&lt;&gt;"Yes"),"Paid From / Deposited To is not a payment account","")))))))))))</f>
        <v/>
      </c>
      <c r="Z1127" s="67">
        <f>IF(AND(T1127=0,X1127=""),1,0)</f>
        <v/>
      </c>
      <c r="AA1127" s="68">
        <f>IF(Z1127=1,IF(U1127="In",L1127,L1127-W1127),0)</f>
        <v/>
      </c>
      <c r="AB1127" s="68">
        <f>IF(Z1127=1,IF(U1127="In",L1127-W1127,L1127),0)</f>
        <v/>
      </c>
      <c r="AC1127" s="68">
        <f>IF(AND(Z1127=1,U1127="Out"),W1127,0)</f>
        <v/>
      </c>
      <c r="AD1127" s="68">
        <f>IF(AND(Z1127=1,U1127="In"),W1127,0)</f>
        <v/>
      </c>
    </row>
    <row r="1128">
      <c r="B1128" s="62" t="inlineStr">
        <is>
          <t>TX-1122</t>
        </is>
      </c>
      <c r="C1128" s="63" t="n"/>
      <c r="D1128" s="62" t="n"/>
      <c r="E1128" s="62" t="n"/>
      <c r="F1128" s="62" t="n"/>
      <c r="G1128" s="62" t="n"/>
      <c r="H1128" s="62" t="n"/>
      <c r="I1128" s="62" t="n"/>
      <c r="J1128" s="62" t="n"/>
      <c r="K1128" s="62" t="n"/>
      <c r="L1128" s="64" t="n"/>
      <c r="M1128" s="64" t="n"/>
      <c r="N1128" s="62" t="n"/>
      <c r="O1128" s="65">
        <f>IF(Z1128=1,L1128-W1128,"")</f>
        <v/>
      </c>
      <c r="P1128" s="66">
        <f>IF(V1128="","",IFERROR(INDEX(coa_Type,MATCH(V1128,coa_Name,0)),""))</f>
        <v/>
      </c>
      <c r="Q1128" s="66">
        <f>IF(Z1128=1,IF(U1128="In",K1128&amp;"",V1128),"")</f>
        <v/>
      </c>
      <c r="R1128" s="66">
        <f>IF(Z1128=1,IF(U1128="In",V1128,K1128&amp;""),"")</f>
        <v/>
      </c>
      <c r="S1128" s="66">
        <f>IF(X1128&lt;&gt;"","⛔ "&amp;X1128&amp;" — not posted",IF(Y1128&lt;&gt;"","⚠ "&amp;Y1128,IF(Z1128=1,"✓ OK","")))</f>
        <v/>
      </c>
      <c r="T1128" s="67">
        <f>IF(AND(C1128="",D1128="",E1128="",L1128="",K1128=""),1,0)</f>
        <v/>
      </c>
      <c r="U1128" s="67">
        <f>IFERROR(INDEX(tt_Dir,MATCH(D1128,tt_Type,0)),"")</f>
        <v/>
      </c>
      <c r="V1128" s="67">
        <f>IF(D1128="","",IFERROR(IF(INDEX(tt_Other,MATCH(D1128,tt_Type,0))="",E1128&amp;"",INDEX(tt_Other,MATCH(D1128,tt_Type,0))),""))</f>
        <v/>
      </c>
      <c r="W1128" s="68">
        <f>IF(OR(TaxOn&lt;&gt;"Yes",NOT(ISNUMBER(M1128))),0,IF(IFERROR(INDEX(tt_Tax,MATCH(D1128,tt_Type,0)),"No")="Yes",M1128,0))</f>
        <v/>
      </c>
      <c r="X1128" s="67">
        <f>IF(T1128=1,"",IF(C1128="","Missing transaction date",IF(NOT(ISNUMBER(C1128)),"Invalid date",IF(OR(C1128&lt;DATE(2000,1,1),C1128&gt;DATE(2099,12,31)),"Invalid date",IF(D1128="","Select a type",IF(U1128="","Unknown type: "&amp;D1128,IF(V1128="","Select an account (Category)",IF(ISNA(MATCH(V1128,coa_Name,0)),"Unknown account: "&amp;V1128,IF(K1128="","Select Paid From / Deposited To",IF(ISNA(MATCH(K1128,coa_Name,0)),"Unknown account: "&amp;K1128,IF(NOT(ISNUMBER(L1128)),"Enter an amount",IF(L1128=0,"Enter an amount",IF(ABS(W1128)&gt;ABS(L1128),"Tax is larger than the amount","")))))))))))))</f>
        <v/>
      </c>
      <c r="Y1128" s="67">
        <f>IF(OR(T1128=1,X1128&lt;&gt;""),"",IF(AND(B1128&lt;&gt;"",COUNTIF(tx_ID,B1128)&gt;1),"Duplicate transaction ID",IF(AND(L1128&lt;0,D1128&lt;&gt;"Adjustment"),"Negative amount — check this entry",IF(AND(D1128="Customer Payment",G1128=""),"Add the customer",IF(AND(D1128="Customer Payment",OR(J1128="",COUNTIF(ar_No,J1128&amp;"")=0)),"Invoice # in Reference not found on AR sheet",IF(AND(D1128="Bill Payment",H1128=""),"Add the vendor",IF(AND(D1128="Bill Payment",OR(J1128="",COUNTIFS(ap_No,J1128&amp;"",ap_Party,H1128&amp;"")=0)),"Bill # + vendor not found on AP sheet",IF(AND(ISNUMBER(M1128),N(M1128)&lt;&gt;0,W1128=0),"Tax ignored (tax tracking off, or not allowed for this type)",IF(V1128=K1128&amp;"","Same account on both sides",IF(AND(ISNUMBER(StartDate),C1128&lt;StartDate),"Date is before the accounting start date",IF(AND(D1128&lt;&gt;"Adjustment",IFERROR(INDEX(coa_Pay,MATCH(K1128&amp;"",coa_Name,0)),"")&lt;&gt;"Yes"),"Paid From / Deposited To is not a payment account","")))))))))))</f>
        <v/>
      </c>
      <c r="Z1128" s="67">
        <f>IF(AND(T1128=0,X1128=""),1,0)</f>
        <v/>
      </c>
      <c r="AA1128" s="68">
        <f>IF(Z1128=1,IF(U1128="In",L1128,L1128-W1128),0)</f>
        <v/>
      </c>
      <c r="AB1128" s="68">
        <f>IF(Z1128=1,IF(U1128="In",L1128-W1128,L1128),0)</f>
        <v/>
      </c>
      <c r="AC1128" s="68">
        <f>IF(AND(Z1128=1,U1128="Out"),W1128,0)</f>
        <v/>
      </c>
      <c r="AD1128" s="68">
        <f>IF(AND(Z1128=1,U1128="In"),W1128,0)</f>
        <v/>
      </c>
    </row>
    <row r="1129">
      <c r="B1129" s="62" t="inlineStr">
        <is>
          <t>TX-1123</t>
        </is>
      </c>
      <c r="C1129" s="63" t="n"/>
      <c r="D1129" s="62" t="n"/>
      <c r="E1129" s="62" t="n"/>
      <c r="F1129" s="62" t="n"/>
      <c r="G1129" s="62" t="n"/>
      <c r="H1129" s="62" t="n"/>
      <c r="I1129" s="62" t="n"/>
      <c r="J1129" s="62" t="n"/>
      <c r="K1129" s="62" t="n"/>
      <c r="L1129" s="64" t="n"/>
      <c r="M1129" s="64" t="n"/>
      <c r="N1129" s="62" t="n"/>
      <c r="O1129" s="65">
        <f>IF(Z1129=1,L1129-W1129,"")</f>
        <v/>
      </c>
      <c r="P1129" s="66">
        <f>IF(V1129="","",IFERROR(INDEX(coa_Type,MATCH(V1129,coa_Name,0)),""))</f>
        <v/>
      </c>
      <c r="Q1129" s="66">
        <f>IF(Z1129=1,IF(U1129="In",K1129&amp;"",V1129),"")</f>
        <v/>
      </c>
      <c r="R1129" s="66">
        <f>IF(Z1129=1,IF(U1129="In",V1129,K1129&amp;""),"")</f>
        <v/>
      </c>
      <c r="S1129" s="66">
        <f>IF(X1129&lt;&gt;"","⛔ "&amp;X1129&amp;" — not posted",IF(Y1129&lt;&gt;"","⚠ "&amp;Y1129,IF(Z1129=1,"✓ OK","")))</f>
        <v/>
      </c>
      <c r="T1129" s="67">
        <f>IF(AND(C1129="",D1129="",E1129="",L1129="",K1129=""),1,0)</f>
        <v/>
      </c>
      <c r="U1129" s="67">
        <f>IFERROR(INDEX(tt_Dir,MATCH(D1129,tt_Type,0)),"")</f>
        <v/>
      </c>
      <c r="V1129" s="67">
        <f>IF(D1129="","",IFERROR(IF(INDEX(tt_Other,MATCH(D1129,tt_Type,0))="",E1129&amp;"",INDEX(tt_Other,MATCH(D1129,tt_Type,0))),""))</f>
        <v/>
      </c>
      <c r="W1129" s="68">
        <f>IF(OR(TaxOn&lt;&gt;"Yes",NOT(ISNUMBER(M1129))),0,IF(IFERROR(INDEX(tt_Tax,MATCH(D1129,tt_Type,0)),"No")="Yes",M1129,0))</f>
        <v/>
      </c>
      <c r="X1129" s="67">
        <f>IF(T1129=1,"",IF(C1129="","Missing transaction date",IF(NOT(ISNUMBER(C1129)),"Invalid date",IF(OR(C1129&lt;DATE(2000,1,1),C1129&gt;DATE(2099,12,31)),"Invalid date",IF(D1129="","Select a type",IF(U1129="","Unknown type: "&amp;D1129,IF(V1129="","Select an account (Category)",IF(ISNA(MATCH(V1129,coa_Name,0)),"Unknown account: "&amp;V1129,IF(K1129="","Select Paid From / Deposited To",IF(ISNA(MATCH(K1129,coa_Name,0)),"Unknown account: "&amp;K1129,IF(NOT(ISNUMBER(L1129)),"Enter an amount",IF(L1129=0,"Enter an amount",IF(ABS(W1129)&gt;ABS(L1129),"Tax is larger than the amount","")))))))))))))</f>
        <v/>
      </c>
      <c r="Y1129" s="67">
        <f>IF(OR(T1129=1,X1129&lt;&gt;""),"",IF(AND(B1129&lt;&gt;"",COUNTIF(tx_ID,B1129)&gt;1),"Duplicate transaction ID",IF(AND(L1129&lt;0,D1129&lt;&gt;"Adjustment"),"Negative amount — check this entry",IF(AND(D1129="Customer Payment",G1129=""),"Add the customer",IF(AND(D1129="Customer Payment",OR(J1129="",COUNTIF(ar_No,J1129&amp;"")=0)),"Invoice # in Reference not found on AR sheet",IF(AND(D1129="Bill Payment",H1129=""),"Add the vendor",IF(AND(D1129="Bill Payment",OR(J1129="",COUNTIFS(ap_No,J1129&amp;"",ap_Party,H1129&amp;"")=0)),"Bill # + vendor not found on AP sheet",IF(AND(ISNUMBER(M1129),N(M1129)&lt;&gt;0,W1129=0),"Tax ignored (tax tracking off, or not allowed for this type)",IF(V1129=K1129&amp;"","Same account on both sides",IF(AND(ISNUMBER(StartDate),C1129&lt;StartDate),"Date is before the accounting start date",IF(AND(D1129&lt;&gt;"Adjustment",IFERROR(INDEX(coa_Pay,MATCH(K1129&amp;"",coa_Name,0)),"")&lt;&gt;"Yes"),"Paid From / Deposited To is not a payment account","")))))))))))</f>
        <v/>
      </c>
      <c r="Z1129" s="67">
        <f>IF(AND(T1129=0,X1129=""),1,0)</f>
        <v/>
      </c>
      <c r="AA1129" s="68">
        <f>IF(Z1129=1,IF(U1129="In",L1129,L1129-W1129),0)</f>
        <v/>
      </c>
      <c r="AB1129" s="68">
        <f>IF(Z1129=1,IF(U1129="In",L1129-W1129,L1129),0)</f>
        <v/>
      </c>
      <c r="AC1129" s="68">
        <f>IF(AND(Z1129=1,U1129="Out"),W1129,0)</f>
        <v/>
      </c>
      <c r="AD1129" s="68">
        <f>IF(AND(Z1129=1,U1129="In"),W1129,0)</f>
        <v/>
      </c>
    </row>
    <row r="1130">
      <c r="B1130" s="62" t="inlineStr">
        <is>
          <t>TX-1124</t>
        </is>
      </c>
      <c r="C1130" s="63" t="n"/>
      <c r="D1130" s="62" t="n"/>
      <c r="E1130" s="62" t="n"/>
      <c r="F1130" s="62" t="n"/>
      <c r="G1130" s="62" t="n"/>
      <c r="H1130" s="62" t="n"/>
      <c r="I1130" s="62" t="n"/>
      <c r="J1130" s="62" t="n"/>
      <c r="K1130" s="62" t="n"/>
      <c r="L1130" s="64" t="n"/>
      <c r="M1130" s="64" t="n"/>
      <c r="N1130" s="62" t="n"/>
      <c r="O1130" s="65">
        <f>IF(Z1130=1,L1130-W1130,"")</f>
        <v/>
      </c>
      <c r="P1130" s="66">
        <f>IF(V1130="","",IFERROR(INDEX(coa_Type,MATCH(V1130,coa_Name,0)),""))</f>
        <v/>
      </c>
      <c r="Q1130" s="66">
        <f>IF(Z1130=1,IF(U1130="In",K1130&amp;"",V1130),"")</f>
        <v/>
      </c>
      <c r="R1130" s="66">
        <f>IF(Z1130=1,IF(U1130="In",V1130,K1130&amp;""),"")</f>
        <v/>
      </c>
      <c r="S1130" s="66">
        <f>IF(X1130&lt;&gt;"","⛔ "&amp;X1130&amp;" — not posted",IF(Y1130&lt;&gt;"","⚠ "&amp;Y1130,IF(Z1130=1,"✓ OK","")))</f>
        <v/>
      </c>
      <c r="T1130" s="67">
        <f>IF(AND(C1130="",D1130="",E1130="",L1130="",K1130=""),1,0)</f>
        <v/>
      </c>
      <c r="U1130" s="67">
        <f>IFERROR(INDEX(tt_Dir,MATCH(D1130,tt_Type,0)),"")</f>
        <v/>
      </c>
      <c r="V1130" s="67">
        <f>IF(D1130="","",IFERROR(IF(INDEX(tt_Other,MATCH(D1130,tt_Type,0))="",E1130&amp;"",INDEX(tt_Other,MATCH(D1130,tt_Type,0))),""))</f>
        <v/>
      </c>
      <c r="W1130" s="68">
        <f>IF(OR(TaxOn&lt;&gt;"Yes",NOT(ISNUMBER(M1130))),0,IF(IFERROR(INDEX(tt_Tax,MATCH(D1130,tt_Type,0)),"No")="Yes",M1130,0))</f>
        <v/>
      </c>
      <c r="X1130" s="67">
        <f>IF(T1130=1,"",IF(C1130="","Missing transaction date",IF(NOT(ISNUMBER(C1130)),"Invalid date",IF(OR(C1130&lt;DATE(2000,1,1),C1130&gt;DATE(2099,12,31)),"Invalid date",IF(D1130="","Select a type",IF(U1130="","Unknown type: "&amp;D1130,IF(V1130="","Select an account (Category)",IF(ISNA(MATCH(V1130,coa_Name,0)),"Unknown account: "&amp;V1130,IF(K1130="","Select Paid From / Deposited To",IF(ISNA(MATCH(K1130,coa_Name,0)),"Unknown account: "&amp;K1130,IF(NOT(ISNUMBER(L1130)),"Enter an amount",IF(L1130=0,"Enter an amount",IF(ABS(W1130)&gt;ABS(L1130),"Tax is larger than the amount","")))))))))))))</f>
        <v/>
      </c>
      <c r="Y1130" s="67">
        <f>IF(OR(T1130=1,X1130&lt;&gt;""),"",IF(AND(B1130&lt;&gt;"",COUNTIF(tx_ID,B1130)&gt;1),"Duplicate transaction ID",IF(AND(L1130&lt;0,D1130&lt;&gt;"Adjustment"),"Negative amount — check this entry",IF(AND(D1130="Customer Payment",G1130=""),"Add the customer",IF(AND(D1130="Customer Payment",OR(J1130="",COUNTIF(ar_No,J1130&amp;"")=0)),"Invoice # in Reference not found on AR sheet",IF(AND(D1130="Bill Payment",H1130=""),"Add the vendor",IF(AND(D1130="Bill Payment",OR(J1130="",COUNTIFS(ap_No,J1130&amp;"",ap_Party,H1130&amp;"")=0)),"Bill # + vendor not found on AP sheet",IF(AND(ISNUMBER(M1130),N(M1130)&lt;&gt;0,W1130=0),"Tax ignored (tax tracking off, or not allowed for this type)",IF(V1130=K1130&amp;"","Same account on both sides",IF(AND(ISNUMBER(StartDate),C1130&lt;StartDate),"Date is before the accounting start date",IF(AND(D1130&lt;&gt;"Adjustment",IFERROR(INDEX(coa_Pay,MATCH(K1130&amp;"",coa_Name,0)),"")&lt;&gt;"Yes"),"Paid From / Deposited To is not a payment account","")))))))))))</f>
        <v/>
      </c>
      <c r="Z1130" s="67">
        <f>IF(AND(T1130=0,X1130=""),1,0)</f>
        <v/>
      </c>
      <c r="AA1130" s="68">
        <f>IF(Z1130=1,IF(U1130="In",L1130,L1130-W1130),0)</f>
        <v/>
      </c>
      <c r="AB1130" s="68">
        <f>IF(Z1130=1,IF(U1130="In",L1130-W1130,L1130),0)</f>
        <v/>
      </c>
      <c r="AC1130" s="68">
        <f>IF(AND(Z1130=1,U1130="Out"),W1130,0)</f>
        <v/>
      </c>
      <c r="AD1130" s="68">
        <f>IF(AND(Z1130=1,U1130="In"),W1130,0)</f>
        <v/>
      </c>
    </row>
    <row r="1131">
      <c r="B1131" s="62" t="inlineStr">
        <is>
          <t>TX-1125</t>
        </is>
      </c>
      <c r="C1131" s="63" t="n"/>
      <c r="D1131" s="62" t="n"/>
      <c r="E1131" s="62" t="n"/>
      <c r="F1131" s="62" t="n"/>
      <c r="G1131" s="62" t="n"/>
      <c r="H1131" s="62" t="n"/>
      <c r="I1131" s="62" t="n"/>
      <c r="J1131" s="62" t="n"/>
      <c r="K1131" s="62" t="n"/>
      <c r="L1131" s="64" t="n"/>
      <c r="M1131" s="64" t="n"/>
      <c r="N1131" s="62" t="n"/>
      <c r="O1131" s="65">
        <f>IF(Z1131=1,L1131-W1131,"")</f>
        <v/>
      </c>
      <c r="P1131" s="66">
        <f>IF(V1131="","",IFERROR(INDEX(coa_Type,MATCH(V1131,coa_Name,0)),""))</f>
        <v/>
      </c>
      <c r="Q1131" s="66">
        <f>IF(Z1131=1,IF(U1131="In",K1131&amp;"",V1131),"")</f>
        <v/>
      </c>
      <c r="R1131" s="66">
        <f>IF(Z1131=1,IF(U1131="In",V1131,K1131&amp;""),"")</f>
        <v/>
      </c>
      <c r="S1131" s="66">
        <f>IF(X1131&lt;&gt;"","⛔ "&amp;X1131&amp;" — not posted",IF(Y1131&lt;&gt;"","⚠ "&amp;Y1131,IF(Z1131=1,"✓ OK","")))</f>
        <v/>
      </c>
      <c r="T1131" s="67">
        <f>IF(AND(C1131="",D1131="",E1131="",L1131="",K1131=""),1,0)</f>
        <v/>
      </c>
      <c r="U1131" s="67">
        <f>IFERROR(INDEX(tt_Dir,MATCH(D1131,tt_Type,0)),"")</f>
        <v/>
      </c>
      <c r="V1131" s="67">
        <f>IF(D1131="","",IFERROR(IF(INDEX(tt_Other,MATCH(D1131,tt_Type,0))="",E1131&amp;"",INDEX(tt_Other,MATCH(D1131,tt_Type,0))),""))</f>
        <v/>
      </c>
      <c r="W1131" s="68">
        <f>IF(OR(TaxOn&lt;&gt;"Yes",NOT(ISNUMBER(M1131))),0,IF(IFERROR(INDEX(tt_Tax,MATCH(D1131,tt_Type,0)),"No")="Yes",M1131,0))</f>
        <v/>
      </c>
      <c r="X1131" s="67">
        <f>IF(T1131=1,"",IF(C1131="","Missing transaction date",IF(NOT(ISNUMBER(C1131)),"Invalid date",IF(OR(C1131&lt;DATE(2000,1,1),C1131&gt;DATE(2099,12,31)),"Invalid date",IF(D1131="","Select a type",IF(U1131="","Unknown type: "&amp;D1131,IF(V1131="","Select an account (Category)",IF(ISNA(MATCH(V1131,coa_Name,0)),"Unknown account: "&amp;V1131,IF(K1131="","Select Paid From / Deposited To",IF(ISNA(MATCH(K1131,coa_Name,0)),"Unknown account: "&amp;K1131,IF(NOT(ISNUMBER(L1131)),"Enter an amount",IF(L1131=0,"Enter an amount",IF(ABS(W1131)&gt;ABS(L1131),"Tax is larger than the amount","")))))))))))))</f>
        <v/>
      </c>
      <c r="Y1131" s="67">
        <f>IF(OR(T1131=1,X1131&lt;&gt;""),"",IF(AND(B1131&lt;&gt;"",COUNTIF(tx_ID,B1131)&gt;1),"Duplicate transaction ID",IF(AND(L1131&lt;0,D1131&lt;&gt;"Adjustment"),"Negative amount — check this entry",IF(AND(D1131="Customer Payment",G1131=""),"Add the customer",IF(AND(D1131="Customer Payment",OR(J1131="",COUNTIF(ar_No,J1131&amp;"")=0)),"Invoice # in Reference not found on AR sheet",IF(AND(D1131="Bill Payment",H1131=""),"Add the vendor",IF(AND(D1131="Bill Payment",OR(J1131="",COUNTIFS(ap_No,J1131&amp;"",ap_Party,H1131&amp;"")=0)),"Bill # + vendor not found on AP sheet",IF(AND(ISNUMBER(M1131),N(M1131)&lt;&gt;0,W1131=0),"Tax ignored (tax tracking off, or not allowed for this type)",IF(V1131=K1131&amp;"","Same account on both sides",IF(AND(ISNUMBER(StartDate),C1131&lt;StartDate),"Date is before the accounting start date",IF(AND(D1131&lt;&gt;"Adjustment",IFERROR(INDEX(coa_Pay,MATCH(K1131&amp;"",coa_Name,0)),"")&lt;&gt;"Yes"),"Paid From / Deposited To is not a payment account","")))))))))))</f>
        <v/>
      </c>
      <c r="Z1131" s="67">
        <f>IF(AND(T1131=0,X1131=""),1,0)</f>
        <v/>
      </c>
      <c r="AA1131" s="68">
        <f>IF(Z1131=1,IF(U1131="In",L1131,L1131-W1131),0)</f>
        <v/>
      </c>
      <c r="AB1131" s="68">
        <f>IF(Z1131=1,IF(U1131="In",L1131-W1131,L1131),0)</f>
        <v/>
      </c>
      <c r="AC1131" s="68">
        <f>IF(AND(Z1131=1,U1131="Out"),W1131,0)</f>
        <v/>
      </c>
      <c r="AD1131" s="68">
        <f>IF(AND(Z1131=1,U1131="In"),W1131,0)</f>
        <v/>
      </c>
    </row>
    <row r="1132">
      <c r="B1132" s="62" t="inlineStr">
        <is>
          <t>TX-1126</t>
        </is>
      </c>
      <c r="C1132" s="63" t="n"/>
      <c r="D1132" s="62" t="n"/>
      <c r="E1132" s="62" t="n"/>
      <c r="F1132" s="62" t="n"/>
      <c r="G1132" s="62" t="n"/>
      <c r="H1132" s="62" t="n"/>
      <c r="I1132" s="62" t="n"/>
      <c r="J1132" s="62" t="n"/>
      <c r="K1132" s="62" t="n"/>
      <c r="L1132" s="64" t="n"/>
      <c r="M1132" s="64" t="n"/>
      <c r="N1132" s="62" t="n"/>
      <c r="O1132" s="65">
        <f>IF(Z1132=1,L1132-W1132,"")</f>
        <v/>
      </c>
      <c r="P1132" s="66">
        <f>IF(V1132="","",IFERROR(INDEX(coa_Type,MATCH(V1132,coa_Name,0)),""))</f>
        <v/>
      </c>
      <c r="Q1132" s="66">
        <f>IF(Z1132=1,IF(U1132="In",K1132&amp;"",V1132),"")</f>
        <v/>
      </c>
      <c r="R1132" s="66">
        <f>IF(Z1132=1,IF(U1132="In",V1132,K1132&amp;""),"")</f>
        <v/>
      </c>
      <c r="S1132" s="66">
        <f>IF(X1132&lt;&gt;"","⛔ "&amp;X1132&amp;" — not posted",IF(Y1132&lt;&gt;"","⚠ "&amp;Y1132,IF(Z1132=1,"✓ OK","")))</f>
        <v/>
      </c>
      <c r="T1132" s="67">
        <f>IF(AND(C1132="",D1132="",E1132="",L1132="",K1132=""),1,0)</f>
        <v/>
      </c>
      <c r="U1132" s="67">
        <f>IFERROR(INDEX(tt_Dir,MATCH(D1132,tt_Type,0)),"")</f>
        <v/>
      </c>
      <c r="V1132" s="67">
        <f>IF(D1132="","",IFERROR(IF(INDEX(tt_Other,MATCH(D1132,tt_Type,0))="",E1132&amp;"",INDEX(tt_Other,MATCH(D1132,tt_Type,0))),""))</f>
        <v/>
      </c>
      <c r="W1132" s="68">
        <f>IF(OR(TaxOn&lt;&gt;"Yes",NOT(ISNUMBER(M1132))),0,IF(IFERROR(INDEX(tt_Tax,MATCH(D1132,tt_Type,0)),"No")="Yes",M1132,0))</f>
        <v/>
      </c>
      <c r="X1132" s="67">
        <f>IF(T1132=1,"",IF(C1132="","Missing transaction date",IF(NOT(ISNUMBER(C1132)),"Invalid date",IF(OR(C1132&lt;DATE(2000,1,1),C1132&gt;DATE(2099,12,31)),"Invalid date",IF(D1132="","Select a type",IF(U1132="","Unknown type: "&amp;D1132,IF(V1132="","Select an account (Category)",IF(ISNA(MATCH(V1132,coa_Name,0)),"Unknown account: "&amp;V1132,IF(K1132="","Select Paid From / Deposited To",IF(ISNA(MATCH(K1132,coa_Name,0)),"Unknown account: "&amp;K1132,IF(NOT(ISNUMBER(L1132)),"Enter an amount",IF(L1132=0,"Enter an amount",IF(ABS(W1132)&gt;ABS(L1132),"Tax is larger than the amount","")))))))))))))</f>
        <v/>
      </c>
      <c r="Y1132" s="67">
        <f>IF(OR(T1132=1,X1132&lt;&gt;""),"",IF(AND(B1132&lt;&gt;"",COUNTIF(tx_ID,B1132)&gt;1),"Duplicate transaction ID",IF(AND(L1132&lt;0,D1132&lt;&gt;"Adjustment"),"Negative amount — check this entry",IF(AND(D1132="Customer Payment",G1132=""),"Add the customer",IF(AND(D1132="Customer Payment",OR(J1132="",COUNTIF(ar_No,J1132&amp;"")=0)),"Invoice # in Reference not found on AR sheet",IF(AND(D1132="Bill Payment",H1132=""),"Add the vendor",IF(AND(D1132="Bill Payment",OR(J1132="",COUNTIFS(ap_No,J1132&amp;"",ap_Party,H1132&amp;"")=0)),"Bill # + vendor not found on AP sheet",IF(AND(ISNUMBER(M1132),N(M1132)&lt;&gt;0,W1132=0),"Tax ignored (tax tracking off, or not allowed for this type)",IF(V1132=K1132&amp;"","Same account on both sides",IF(AND(ISNUMBER(StartDate),C1132&lt;StartDate),"Date is before the accounting start date",IF(AND(D1132&lt;&gt;"Adjustment",IFERROR(INDEX(coa_Pay,MATCH(K1132&amp;"",coa_Name,0)),"")&lt;&gt;"Yes"),"Paid From / Deposited To is not a payment account","")))))))))))</f>
        <v/>
      </c>
      <c r="Z1132" s="67">
        <f>IF(AND(T1132=0,X1132=""),1,0)</f>
        <v/>
      </c>
      <c r="AA1132" s="68">
        <f>IF(Z1132=1,IF(U1132="In",L1132,L1132-W1132),0)</f>
        <v/>
      </c>
      <c r="AB1132" s="68">
        <f>IF(Z1132=1,IF(U1132="In",L1132-W1132,L1132),0)</f>
        <v/>
      </c>
      <c r="AC1132" s="68">
        <f>IF(AND(Z1132=1,U1132="Out"),W1132,0)</f>
        <v/>
      </c>
      <c r="AD1132" s="68">
        <f>IF(AND(Z1132=1,U1132="In"),W1132,0)</f>
        <v/>
      </c>
    </row>
    <row r="1133">
      <c r="B1133" s="62" t="inlineStr">
        <is>
          <t>TX-1127</t>
        </is>
      </c>
      <c r="C1133" s="63" t="n"/>
      <c r="D1133" s="62" t="n"/>
      <c r="E1133" s="62" t="n"/>
      <c r="F1133" s="62" t="n"/>
      <c r="G1133" s="62" t="n"/>
      <c r="H1133" s="62" t="n"/>
      <c r="I1133" s="62" t="n"/>
      <c r="J1133" s="62" t="n"/>
      <c r="K1133" s="62" t="n"/>
      <c r="L1133" s="64" t="n"/>
      <c r="M1133" s="64" t="n"/>
      <c r="N1133" s="62" t="n"/>
      <c r="O1133" s="65">
        <f>IF(Z1133=1,L1133-W1133,"")</f>
        <v/>
      </c>
      <c r="P1133" s="66">
        <f>IF(V1133="","",IFERROR(INDEX(coa_Type,MATCH(V1133,coa_Name,0)),""))</f>
        <v/>
      </c>
      <c r="Q1133" s="66">
        <f>IF(Z1133=1,IF(U1133="In",K1133&amp;"",V1133),"")</f>
        <v/>
      </c>
      <c r="R1133" s="66">
        <f>IF(Z1133=1,IF(U1133="In",V1133,K1133&amp;""),"")</f>
        <v/>
      </c>
      <c r="S1133" s="66">
        <f>IF(X1133&lt;&gt;"","⛔ "&amp;X1133&amp;" — not posted",IF(Y1133&lt;&gt;"","⚠ "&amp;Y1133,IF(Z1133=1,"✓ OK","")))</f>
        <v/>
      </c>
      <c r="T1133" s="67">
        <f>IF(AND(C1133="",D1133="",E1133="",L1133="",K1133=""),1,0)</f>
        <v/>
      </c>
      <c r="U1133" s="67">
        <f>IFERROR(INDEX(tt_Dir,MATCH(D1133,tt_Type,0)),"")</f>
        <v/>
      </c>
      <c r="V1133" s="67">
        <f>IF(D1133="","",IFERROR(IF(INDEX(tt_Other,MATCH(D1133,tt_Type,0))="",E1133&amp;"",INDEX(tt_Other,MATCH(D1133,tt_Type,0))),""))</f>
        <v/>
      </c>
      <c r="W1133" s="68">
        <f>IF(OR(TaxOn&lt;&gt;"Yes",NOT(ISNUMBER(M1133))),0,IF(IFERROR(INDEX(tt_Tax,MATCH(D1133,tt_Type,0)),"No")="Yes",M1133,0))</f>
        <v/>
      </c>
      <c r="X1133" s="67">
        <f>IF(T1133=1,"",IF(C1133="","Missing transaction date",IF(NOT(ISNUMBER(C1133)),"Invalid date",IF(OR(C1133&lt;DATE(2000,1,1),C1133&gt;DATE(2099,12,31)),"Invalid date",IF(D1133="","Select a type",IF(U1133="","Unknown type: "&amp;D1133,IF(V1133="","Select an account (Category)",IF(ISNA(MATCH(V1133,coa_Name,0)),"Unknown account: "&amp;V1133,IF(K1133="","Select Paid From / Deposited To",IF(ISNA(MATCH(K1133,coa_Name,0)),"Unknown account: "&amp;K1133,IF(NOT(ISNUMBER(L1133)),"Enter an amount",IF(L1133=0,"Enter an amount",IF(ABS(W1133)&gt;ABS(L1133),"Tax is larger than the amount","")))))))))))))</f>
        <v/>
      </c>
      <c r="Y1133" s="67">
        <f>IF(OR(T1133=1,X1133&lt;&gt;""),"",IF(AND(B1133&lt;&gt;"",COUNTIF(tx_ID,B1133)&gt;1),"Duplicate transaction ID",IF(AND(L1133&lt;0,D1133&lt;&gt;"Adjustment"),"Negative amount — check this entry",IF(AND(D1133="Customer Payment",G1133=""),"Add the customer",IF(AND(D1133="Customer Payment",OR(J1133="",COUNTIF(ar_No,J1133&amp;"")=0)),"Invoice # in Reference not found on AR sheet",IF(AND(D1133="Bill Payment",H1133=""),"Add the vendor",IF(AND(D1133="Bill Payment",OR(J1133="",COUNTIFS(ap_No,J1133&amp;"",ap_Party,H1133&amp;"")=0)),"Bill # + vendor not found on AP sheet",IF(AND(ISNUMBER(M1133),N(M1133)&lt;&gt;0,W1133=0),"Tax ignored (tax tracking off, or not allowed for this type)",IF(V1133=K1133&amp;"","Same account on both sides",IF(AND(ISNUMBER(StartDate),C1133&lt;StartDate),"Date is before the accounting start date",IF(AND(D1133&lt;&gt;"Adjustment",IFERROR(INDEX(coa_Pay,MATCH(K1133&amp;"",coa_Name,0)),"")&lt;&gt;"Yes"),"Paid From / Deposited To is not a payment account","")))))))))))</f>
        <v/>
      </c>
      <c r="Z1133" s="67">
        <f>IF(AND(T1133=0,X1133=""),1,0)</f>
        <v/>
      </c>
      <c r="AA1133" s="68">
        <f>IF(Z1133=1,IF(U1133="In",L1133,L1133-W1133),0)</f>
        <v/>
      </c>
      <c r="AB1133" s="68">
        <f>IF(Z1133=1,IF(U1133="In",L1133-W1133,L1133),0)</f>
        <v/>
      </c>
      <c r="AC1133" s="68">
        <f>IF(AND(Z1133=1,U1133="Out"),W1133,0)</f>
        <v/>
      </c>
      <c r="AD1133" s="68">
        <f>IF(AND(Z1133=1,U1133="In"),W1133,0)</f>
        <v/>
      </c>
    </row>
    <row r="1134">
      <c r="B1134" s="62" t="inlineStr">
        <is>
          <t>TX-1128</t>
        </is>
      </c>
      <c r="C1134" s="63" t="n"/>
      <c r="D1134" s="62" t="n"/>
      <c r="E1134" s="62" t="n"/>
      <c r="F1134" s="62" t="n"/>
      <c r="G1134" s="62" t="n"/>
      <c r="H1134" s="62" t="n"/>
      <c r="I1134" s="62" t="n"/>
      <c r="J1134" s="62" t="n"/>
      <c r="K1134" s="62" t="n"/>
      <c r="L1134" s="64" t="n"/>
      <c r="M1134" s="64" t="n"/>
      <c r="N1134" s="62" t="n"/>
      <c r="O1134" s="65">
        <f>IF(Z1134=1,L1134-W1134,"")</f>
        <v/>
      </c>
      <c r="P1134" s="66">
        <f>IF(V1134="","",IFERROR(INDEX(coa_Type,MATCH(V1134,coa_Name,0)),""))</f>
        <v/>
      </c>
      <c r="Q1134" s="66">
        <f>IF(Z1134=1,IF(U1134="In",K1134&amp;"",V1134),"")</f>
        <v/>
      </c>
      <c r="R1134" s="66">
        <f>IF(Z1134=1,IF(U1134="In",V1134,K1134&amp;""),"")</f>
        <v/>
      </c>
      <c r="S1134" s="66">
        <f>IF(X1134&lt;&gt;"","⛔ "&amp;X1134&amp;" — not posted",IF(Y1134&lt;&gt;"","⚠ "&amp;Y1134,IF(Z1134=1,"✓ OK","")))</f>
        <v/>
      </c>
      <c r="T1134" s="67">
        <f>IF(AND(C1134="",D1134="",E1134="",L1134="",K1134=""),1,0)</f>
        <v/>
      </c>
      <c r="U1134" s="67">
        <f>IFERROR(INDEX(tt_Dir,MATCH(D1134,tt_Type,0)),"")</f>
        <v/>
      </c>
      <c r="V1134" s="67">
        <f>IF(D1134="","",IFERROR(IF(INDEX(tt_Other,MATCH(D1134,tt_Type,0))="",E1134&amp;"",INDEX(tt_Other,MATCH(D1134,tt_Type,0))),""))</f>
        <v/>
      </c>
      <c r="W1134" s="68">
        <f>IF(OR(TaxOn&lt;&gt;"Yes",NOT(ISNUMBER(M1134))),0,IF(IFERROR(INDEX(tt_Tax,MATCH(D1134,tt_Type,0)),"No")="Yes",M1134,0))</f>
        <v/>
      </c>
      <c r="X1134" s="67">
        <f>IF(T1134=1,"",IF(C1134="","Missing transaction date",IF(NOT(ISNUMBER(C1134)),"Invalid date",IF(OR(C1134&lt;DATE(2000,1,1),C1134&gt;DATE(2099,12,31)),"Invalid date",IF(D1134="","Select a type",IF(U1134="","Unknown type: "&amp;D1134,IF(V1134="","Select an account (Category)",IF(ISNA(MATCH(V1134,coa_Name,0)),"Unknown account: "&amp;V1134,IF(K1134="","Select Paid From / Deposited To",IF(ISNA(MATCH(K1134,coa_Name,0)),"Unknown account: "&amp;K1134,IF(NOT(ISNUMBER(L1134)),"Enter an amount",IF(L1134=0,"Enter an amount",IF(ABS(W1134)&gt;ABS(L1134),"Tax is larger than the amount","")))))))))))))</f>
        <v/>
      </c>
      <c r="Y1134" s="67">
        <f>IF(OR(T1134=1,X1134&lt;&gt;""),"",IF(AND(B1134&lt;&gt;"",COUNTIF(tx_ID,B1134)&gt;1),"Duplicate transaction ID",IF(AND(L1134&lt;0,D1134&lt;&gt;"Adjustment"),"Negative amount — check this entry",IF(AND(D1134="Customer Payment",G1134=""),"Add the customer",IF(AND(D1134="Customer Payment",OR(J1134="",COUNTIF(ar_No,J1134&amp;"")=0)),"Invoice # in Reference not found on AR sheet",IF(AND(D1134="Bill Payment",H1134=""),"Add the vendor",IF(AND(D1134="Bill Payment",OR(J1134="",COUNTIFS(ap_No,J1134&amp;"",ap_Party,H1134&amp;"")=0)),"Bill # + vendor not found on AP sheet",IF(AND(ISNUMBER(M1134),N(M1134)&lt;&gt;0,W1134=0),"Tax ignored (tax tracking off, or not allowed for this type)",IF(V1134=K1134&amp;"","Same account on both sides",IF(AND(ISNUMBER(StartDate),C1134&lt;StartDate),"Date is before the accounting start date",IF(AND(D1134&lt;&gt;"Adjustment",IFERROR(INDEX(coa_Pay,MATCH(K1134&amp;"",coa_Name,0)),"")&lt;&gt;"Yes"),"Paid From / Deposited To is not a payment account","")))))))))))</f>
        <v/>
      </c>
      <c r="Z1134" s="67">
        <f>IF(AND(T1134=0,X1134=""),1,0)</f>
        <v/>
      </c>
      <c r="AA1134" s="68">
        <f>IF(Z1134=1,IF(U1134="In",L1134,L1134-W1134),0)</f>
        <v/>
      </c>
      <c r="AB1134" s="68">
        <f>IF(Z1134=1,IF(U1134="In",L1134-W1134,L1134),0)</f>
        <v/>
      </c>
      <c r="AC1134" s="68">
        <f>IF(AND(Z1134=1,U1134="Out"),W1134,0)</f>
        <v/>
      </c>
      <c r="AD1134" s="68">
        <f>IF(AND(Z1134=1,U1134="In"),W1134,0)</f>
        <v/>
      </c>
    </row>
    <row r="1135">
      <c r="B1135" s="62" t="inlineStr">
        <is>
          <t>TX-1129</t>
        </is>
      </c>
      <c r="C1135" s="63" t="n"/>
      <c r="D1135" s="62" t="n"/>
      <c r="E1135" s="62" t="n"/>
      <c r="F1135" s="62" t="n"/>
      <c r="G1135" s="62" t="n"/>
      <c r="H1135" s="62" t="n"/>
      <c r="I1135" s="62" t="n"/>
      <c r="J1135" s="62" t="n"/>
      <c r="K1135" s="62" t="n"/>
      <c r="L1135" s="64" t="n"/>
      <c r="M1135" s="64" t="n"/>
      <c r="N1135" s="62" t="n"/>
      <c r="O1135" s="65">
        <f>IF(Z1135=1,L1135-W1135,"")</f>
        <v/>
      </c>
      <c r="P1135" s="66">
        <f>IF(V1135="","",IFERROR(INDEX(coa_Type,MATCH(V1135,coa_Name,0)),""))</f>
        <v/>
      </c>
      <c r="Q1135" s="66">
        <f>IF(Z1135=1,IF(U1135="In",K1135&amp;"",V1135),"")</f>
        <v/>
      </c>
      <c r="R1135" s="66">
        <f>IF(Z1135=1,IF(U1135="In",V1135,K1135&amp;""),"")</f>
        <v/>
      </c>
      <c r="S1135" s="66">
        <f>IF(X1135&lt;&gt;"","⛔ "&amp;X1135&amp;" — not posted",IF(Y1135&lt;&gt;"","⚠ "&amp;Y1135,IF(Z1135=1,"✓ OK","")))</f>
        <v/>
      </c>
      <c r="T1135" s="67">
        <f>IF(AND(C1135="",D1135="",E1135="",L1135="",K1135=""),1,0)</f>
        <v/>
      </c>
      <c r="U1135" s="67">
        <f>IFERROR(INDEX(tt_Dir,MATCH(D1135,tt_Type,0)),"")</f>
        <v/>
      </c>
      <c r="V1135" s="67">
        <f>IF(D1135="","",IFERROR(IF(INDEX(tt_Other,MATCH(D1135,tt_Type,0))="",E1135&amp;"",INDEX(tt_Other,MATCH(D1135,tt_Type,0))),""))</f>
        <v/>
      </c>
      <c r="W1135" s="68">
        <f>IF(OR(TaxOn&lt;&gt;"Yes",NOT(ISNUMBER(M1135))),0,IF(IFERROR(INDEX(tt_Tax,MATCH(D1135,tt_Type,0)),"No")="Yes",M1135,0))</f>
        <v/>
      </c>
      <c r="X1135" s="67">
        <f>IF(T1135=1,"",IF(C1135="","Missing transaction date",IF(NOT(ISNUMBER(C1135)),"Invalid date",IF(OR(C1135&lt;DATE(2000,1,1),C1135&gt;DATE(2099,12,31)),"Invalid date",IF(D1135="","Select a type",IF(U1135="","Unknown type: "&amp;D1135,IF(V1135="","Select an account (Category)",IF(ISNA(MATCH(V1135,coa_Name,0)),"Unknown account: "&amp;V1135,IF(K1135="","Select Paid From / Deposited To",IF(ISNA(MATCH(K1135,coa_Name,0)),"Unknown account: "&amp;K1135,IF(NOT(ISNUMBER(L1135)),"Enter an amount",IF(L1135=0,"Enter an amount",IF(ABS(W1135)&gt;ABS(L1135),"Tax is larger than the amount","")))))))))))))</f>
        <v/>
      </c>
      <c r="Y1135" s="67">
        <f>IF(OR(T1135=1,X1135&lt;&gt;""),"",IF(AND(B1135&lt;&gt;"",COUNTIF(tx_ID,B1135)&gt;1),"Duplicate transaction ID",IF(AND(L1135&lt;0,D1135&lt;&gt;"Adjustment"),"Negative amount — check this entry",IF(AND(D1135="Customer Payment",G1135=""),"Add the customer",IF(AND(D1135="Customer Payment",OR(J1135="",COUNTIF(ar_No,J1135&amp;"")=0)),"Invoice # in Reference not found on AR sheet",IF(AND(D1135="Bill Payment",H1135=""),"Add the vendor",IF(AND(D1135="Bill Payment",OR(J1135="",COUNTIFS(ap_No,J1135&amp;"",ap_Party,H1135&amp;"")=0)),"Bill # + vendor not found on AP sheet",IF(AND(ISNUMBER(M1135),N(M1135)&lt;&gt;0,W1135=0),"Tax ignored (tax tracking off, or not allowed for this type)",IF(V1135=K1135&amp;"","Same account on both sides",IF(AND(ISNUMBER(StartDate),C1135&lt;StartDate),"Date is before the accounting start date",IF(AND(D1135&lt;&gt;"Adjustment",IFERROR(INDEX(coa_Pay,MATCH(K1135&amp;"",coa_Name,0)),"")&lt;&gt;"Yes"),"Paid From / Deposited To is not a payment account","")))))))))))</f>
        <v/>
      </c>
      <c r="Z1135" s="67">
        <f>IF(AND(T1135=0,X1135=""),1,0)</f>
        <v/>
      </c>
      <c r="AA1135" s="68">
        <f>IF(Z1135=1,IF(U1135="In",L1135,L1135-W1135),0)</f>
        <v/>
      </c>
      <c r="AB1135" s="68">
        <f>IF(Z1135=1,IF(U1135="In",L1135-W1135,L1135),0)</f>
        <v/>
      </c>
      <c r="AC1135" s="68">
        <f>IF(AND(Z1135=1,U1135="Out"),W1135,0)</f>
        <v/>
      </c>
      <c r="AD1135" s="68">
        <f>IF(AND(Z1135=1,U1135="In"),W1135,0)</f>
        <v/>
      </c>
    </row>
    <row r="1136">
      <c r="B1136" s="62" t="inlineStr">
        <is>
          <t>TX-1130</t>
        </is>
      </c>
      <c r="C1136" s="63" t="n"/>
      <c r="D1136" s="62" t="n"/>
      <c r="E1136" s="62" t="n"/>
      <c r="F1136" s="62" t="n"/>
      <c r="G1136" s="62" t="n"/>
      <c r="H1136" s="62" t="n"/>
      <c r="I1136" s="62" t="n"/>
      <c r="J1136" s="62" t="n"/>
      <c r="K1136" s="62" t="n"/>
      <c r="L1136" s="64" t="n"/>
      <c r="M1136" s="64" t="n"/>
      <c r="N1136" s="62" t="n"/>
      <c r="O1136" s="65">
        <f>IF(Z1136=1,L1136-W1136,"")</f>
        <v/>
      </c>
      <c r="P1136" s="66">
        <f>IF(V1136="","",IFERROR(INDEX(coa_Type,MATCH(V1136,coa_Name,0)),""))</f>
        <v/>
      </c>
      <c r="Q1136" s="66">
        <f>IF(Z1136=1,IF(U1136="In",K1136&amp;"",V1136),"")</f>
        <v/>
      </c>
      <c r="R1136" s="66">
        <f>IF(Z1136=1,IF(U1136="In",V1136,K1136&amp;""),"")</f>
        <v/>
      </c>
      <c r="S1136" s="66">
        <f>IF(X1136&lt;&gt;"","⛔ "&amp;X1136&amp;" — not posted",IF(Y1136&lt;&gt;"","⚠ "&amp;Y1136,IF(Z1136=1,"✓ OK","")))</f>
        <v/>
      </c>
      <c r="T1136" s="67">
        <f>IF(AND(C1136="",D1136="",E1136="",L1136="",K1136=""),1,0)</f>
        <v/>
      </c>
      <c r="U1136" s="67">
        <f>IFERROR(INDEX(tt_Dir,MATCH(D1136,tt_Type,0)),"")</f>
        <v/>
      </c>
      <c r="V1136" s="67">
        <f>IF(D1136="","",IFERROR(IF(INDEX(tt_Other,MATCH(D1136,tt_Type,0))="",E1136&amp;"",INDEX(tt_Other,MATCH(D1136,tt_Type,0))),""))</f>
        <v/>
      </c>
      <c r="W1136" s="68">
        <f>IF(OR(TaxOn&lt;&gt;"Yes",NOT(ISNUMBER(M1136))),0,IF(IFERROR(INDEX(tt_Tax,MATCH(D1136,tt_Type,0)),"No")="Yes",M1136,0))</f>
        <v/>
      </c>
      <c r="X1136" s="67">
        <f>IF(T1136=1,"",IF(C1136="","Missing transaction date",IF(NOT(ISNUMBER(C1136)),"Invalid date",IF(OR(C1136&lt;DATE(2000,1,1),C1136&gt;DATE(2099,12,31)),"Invalid date",IF(D1136="","Select a type",IF(U1136="","Unknown type: "&amp;D1136,IF(V1136="","Select an account (Category)",IF(ISNA(MATCH(V1136,coa_Name,0)),"Unknown account: "&amp;V1136,IF(K1136="","Select Paid From / Deposited To",IF(ISNA(MATCH(K1136,coa_Name,0)),"Unknown account: "&amp;K1136,IF(NOT(ISNUMBER(L1136)),"Enter an amount",IF(L1136=0,"Enter an amount",IF(ABS(W1136)&gt;ABS(L1136),"Tax is larger than the amount","")))))))))))))</f>
        <v/>
      </c>
      <c r="Y1136" s="67">
        <f>IF(OR(T1136=1,X1136&lt;&gt;""),"",IF(AND(B1136&lt;&gt;"",COUNTIF(tx_ID,B1136)&gt;1),"Duplicate transaction ID",IF(AND(L1136&lt;0,D1136&lt;&gt;"Adjustment"),"Negative amount — check this entry",IF(AND(D1136="Customer Payment",G1136=""),"Add the customer",IF(AND(D1136="Customer Payment",OR(J1136="",COUNTIF(ar_No,J1136&amp;"")=0)),"Invoice # in Reference not found on AR sheet",IF(AND(D1136="Bill Payment",H1136=""),"Add the vendor",IF(AND(D1136="Bill Payment",OR(J1136="",COUNTIFS(ap_No,J1136&amp;"",ap_Party,H1136&amp;"")=0)),"Bill # + vendor not found on AP sheet",IF(AND(ISNUMBER(M1136),N(M1136)&lt;&gt;0,W1136=0),"Tax ignored (tax tracking off, or not allowed for this type)",IF(V1136=K1136&amp;"","Same account on both sides",IF(AND(ISNUMBER(StartDate),C1136&lt;StartDate),"Date is before the accounting start date",IF(AND(D1136&lt;&gt;"Adjustment",IFERROR(INDEX(coa_Pay,MATCH(K1136&amp;"",coa_Name,0)),"")&lt;&gt;"Yes"),"Paid From / Deposited To is not a payment account","")))))))))))</f>
        <v/>
      </c>
      <c r="Z1136" s="67">
        <f>IF(AND(T1136=0,X1136=""),1,0)</f>
        <v/>
      </c>
      <c r="AA1136" s="68">
        <f>IF(Z1136=1,IF(U1136="In",L1136,L1136-W1136),0)</f>
        <v/>
      </c>
      <c r="AB1136" s="68">
        <f>IF(Z1136=1,IF(U1136="In",L1136-W1136,L1136),0)</f>
        <v/>
      </c>
      <c r="AC1136" s="68">
        <f>IF(AND(Z1136=1,U1136="Out"),W1136,0)</f>
        <v/>
      </c>
      <c r="AD1136" s="68">
        <f>IF(AND(Z1136=1,U1136="In"),W1136,0)</f>
        <v/>
      </c>
    </row>
    <row r="1137">
      <c r="B1137" s="62" t="inlineStr">
        <is>
          <t>TX-1131</t>
        </is>
      </c>
      <c r="C1137" s="63" t="n"/>
      <c r="D1137" s="62" t="n"/>
      <c r="E1137" s="62" t="n"/>
      <c r="F1137" s="62" t="n"/>
      <c r="G1137" s="62" t="n"/>
      <c r="H1137" s="62" t="n"/>
      <c r="I1137" s="62" t="n"/>
      <c r="J1137" s="62" t="n"/>
      <c r="K1137" s="62" t="n"/>
      <c r="L1137" s="64" t="n"/>
      <c r="M1137" s="64" t="n"/>
      <c r="N1137" s="62" t="n"/>
      <c r="O1137" s="65">
        <f>IF(Z1137=1,L1137-W1137,"")</f>
        <v/>
      </c>
      <c r="P1137" s="66">
        <f>IF(V1137="","",IFERROR(INDEX(coa_Type,MATCH(V1137,coa_Name,0)),""))</f>
        <v/>
      </c>
      <c r="Q1137" s="66">
        <f>IF(Z1137=1,IF(U1137="In",K1137&amp;"",V1137),"")</f>
        <v/>
      </c>
      <c r="R1137" s="66">
        <f>IF(Z1137=1,IF(U1137="In",V1137,K1137&amp;""),"")</f>
        <v/>
      </c>
      <c r="S1137" s="66">
        <f>IF(X1137&lt;&gt;"","⛔ "&amp;X1137&amp;" — not posted",IF(Y1137&lt;&gt;"","⚠ "&amp;Y1137,IF(Z1137=1,"✓ OK","")))</f>
        <v/>
      </c>
      <c r="T1137" s="67">
        <f>IF(AND(C1137="",D1137="",E1137="",L1137="",K1137=""),1,0)</f>
        <v/>
      </c>
      <c r="U1137" s="67">
        <f>IFERROR(INDEX(tt_Dir,MATCH(D1137,tt_Type,0)),"")</f>
        <v/>
      </c>
      <c r="V1137" s="67">
        <f>IF(D1137="","",IFERROR(IF(INDEX(tt_Other,MATCH(D1137,tt_Type,0))="",E1137&amp;"",INDEX(tt_Other,MATCH(D1137,tt_Type,0))),""))</f>
        <v/>
      </c>
      <c r="W1137" s="68">
        <f>IF(OR(TaxOn&lt;&gt;"Yes",NOT(ISNUMBER(M1137))),0,IF(IFERROR(INDEX(tt_Tax,MATCH(D1137,tt_Type,0)),"No")="Yes",M1137,0))</f>
        <v/>
      </c>
      <c r="X1137" s="67">
        <f>IF(T1137=1,"",IF(C1137="","Missing transaction date",IF(NOT(ISNUMBER(C1137)),"Invalid date",IF(OR(C1137&lt;DATE(2000,1,1),C1137&gt;DATE(2099,12,31)),"Invalid date",IF(D1137="","Select a type",IF(U1137="","Unknown type: "&amp;D1137,IF(V1137="","Select an account (Category)",IF(ISNA(MATCH(V1137,coa_Name,0)),"Unknown account: "&amp;V1137,IF(K1137="","Select Paid From / Deposited To",IF(ISNA(MATCH(K1137,coa_Name,0)),"Unknown account: "&amp;K1137,IF(NOT(ISNUMBER(L1137)),"Enter an amount",IF(L1137=0,"Enter an amount",IF(ABS(W1137)&gt;ABS(L1137),"Tax is larger than the amount","")))))))))))))</f>
        <v/>
      </c>
      <c r="Y1137" s="67">
        <f>IF(OR(T1137=1,X1137&lt;&gt;""),"",IF(AND(B1137&lt;&gt;"",COUNTIF(tx_ID,B1137)&gt;1),"Duplicate transaction ID",IF(AND(L1137&lt;0,D1137&lt;&gt;"Adjustment"),"Negative amount — check this entry",IF(AND(D1137="Customer Payment",G1137=""),"Add the customer",IF(AND(D1137="Customer Payment",OR(J1137="",COUNTIF(ar_No,J1137&amp;"")=0)),"Invoice # in Reference not found on AR sheet",IF(AND(D1137="Bill Payment",H1137=""),"Add the vendor",IF(AND(D1137="Bill Payment",OR(J1137="",COUNTIFS(ap_No,J1137&amp;"",ap_Party,H1137&amp;"")=0)),"Bill # + vendor not found on AP sheet",IF(AND(ISNUMBER(M1137),N(M1137)&lt;&gt;0,W1137=0),"Tax ignored (tax tracking off, or not allowed for this type)",IF(V1137=K1137&amp;"","Same account on both sides",IF(AND(ISNUMBER(StartDate),C1137&lt;StartDate),"Date is before the accounting start date",IF(AND(D1137&lt;&gt;"Adjustment",IFERROR(INDEX(coa_Pay,MATCH(K1137&amp;"",coa_Name,0)),"")&lt;&gt;"Yes"),"Paid From / Deposited To is not a payment account","")))))))))))</f>
        <v/>
      </c>
      <c r="Z1137" s="67">
        <f>IF(AND(T1137=0,X1137=""),1,0)</f>
        <v/>
      </c>
      <c r="AA1137" s="68">
        <f>IF(Z1137=1,IF(U1137="In",L1137,L1137-W1137),0)</f>
        <v/>
      </c>
      <c r="AB1137" s="68">
        <f>IF(Z1137=1,IF(U1137="In",L1137-W1137,L1137),0)</f>
        <v/>
      </c>
      <c r="AC1137" s="68">
        <f>IF(AND(Z1137=1,U1137="Out"),W1137,0)</f>
        <v/>
      </c>
      <c r="AD1137" s="68">
        <f>IF(AND(Z1137=1,U1137="In"),W1137,0)</f>
        <v/>
      </c>
    </row>
    <row r="1138">
      <c r="B1138" s="62" t="inlineStr">
        <is>
          <t>TX-1132</t>
        </is>
      </c>
      <c r="C1138" s="63" t="n"/>
      <c r="D1138" s="62" t="n"/>
      <c r="E1138" s="62" t="n"/>
      <c r="F1138" s="62" t="n"/>
      <c r="G1138" s="62" t="n"/>
      <c r="H1138" s="62" t="n"/>
      <c r="I1138" s="62" t="n"/>
      <c r="J1138" s="62" t="n"/>
      <c r="K1138" s="62" t="n"/>
      <c r="L1138" s="64" t="n"/>
      <c r="M1138" s="64" t="n"/>
      <c r="N1138" s="62" t="n"/>
      <c r="O1138" s="65">
        <f>IF(Z1138=1,L1138-W1138,"")</f>
        <v/>
      </c>
      <c r="P1138" s="66">
        <f>IF(V1138="","",IFERROR(INDEX(coa_Type,MATCH(V1138,coa_Name,0)),""))</f>
        <v/>
      </c>
      <c r="Q1138" s="66">
        <f>IF(Z1138=1,IF(U1138="In",K1138&amp;"",V1138),"")</f>
        <v/>
      </c>
      <c r="R1138" s="66">
        <f>IF(Z1138=1,IF(U1138="In",V1138,K1138&amp;""),"")</f>
        <v/>
      </c>
      <c r="S1138" s="66">
        <f>IF(X1138&lt;&gt;"","⛔ "&amp;X1138&amp;" — not posted",IF(Y1138&lt;&gt;"","⚠ "&amp;Y1138,IF(Z1138=1,"✓ OK","")))</f>
        <v/>
      </c>
      <c r="T1138" s="67">
        <f>IF(AND(C1138="",D1138="",E1138="",L1138="",K1138=""),1,0)</f>
        <v/>
      </c>
      <c r="U1138" s="67">
        <f>IFERROR(INDEX(tt_Dir,MATCH(D1138,tt_Type,0)),"")</f>
        <v/>
      </c>
      <c r="V1138" s="67">
        <f>IF(D1138="","",IFERROR(IF(INDEX(tt_Other,MATCH(D1138,tt_Type,0))="",E1138&amp;"",INDEX(tt_Other,MATCH(D1138,tt_Type,0))),""))</f>
        <v/>
      </c>
      <c r="W1138" s="68">
        <f>IF(OR(TaxOn&lt;&gt;"Yes",NOT(ISNUMBER(M1138))),0,IF(IFERROR(INDEX(tt_Tax,MATCH(D1138,tt_Type,0)),"No")="Yes",M1138,0))</f>
        <v/>
      </c>
      <c r="X1138" s="67">
        <f>IF(T1138=1,"",IF(C1138="","Missing transaction date",IF(NOT(ISNUMBER(C1138)),"Invalid date",IF(OR(C1138&lt;DATE(2000,1,1),C1138&gt;DATE(2099,12,31)),"Invalid date",IF(D1138="","Select a type",IF(U1138="","Unknown type: "&amp;D1138,IF(V1138="","Select an account (Category)",IF(ISNA(MATCH(V1138,coa_Name,0)),"Unknown account: "&amp;V1138,IF(K1138="","Select Paid From / Deposited To",IF(ISNA(MATCH(K1138,coa_Name,0)),"Unknown account: "&amp;K1138,IF(NOT(ISNUMBER(L1138)),"Enter an amount",IF(L1138=0,"Enter an amount",IF(ABS(W1138)&gt;ABS(L1138),"Tax is larger than the amount","")))))))))))))</f>
        <v/>
      </c>
      <c r="Y1138" s="67">
        <f>IF(OR(T1138=1,X1138&lt;&gt;""),"",IF(AND(B1138&lt;&gt;"",COUNTIF(tx_ID,B1138)&gt;1),"Duplicate transaction ID",IF(AND(L1138&lt;0,D1138&lt;&gt;"Adjustment"),"Negative amount — check this entry",IF(AND(D1138="Customer Payment",G1138=""),"Add the customer",IF(AND(D1138="Customer Payment",OR(J1138="",COUNTIF(ar_No,J1138&amp;"")=0)),"Invoice # in Reference not found on AR sheet",IF(AND(D1138="Bill Payment",H1138=""),"Add the vendor",IF(AND(D1138="Bill Payment",OR(J1138="",COUNTIFS(ap_No,J1138&amp;"",ap_Party,H1138&amp;"")=0)),"Bill # + vendor not found on AP sheet",IF(AND(ISNUMBER(M1138),N(M1138)&lt;&gt;0,W1138=0),"Tax ignored (tax tracking off, or not allowed for this type)",IF(V1138=K1138&amp;"","Same account on both sides",IF(AND(ISNUMBER(StartDate),C1138&lt;StartDate),"Date is before the accounting start date",IF(AND(D1138&lt;&gt;"Adjustment",IFERROR(INDEX(coa_Pay,MATCH(K1138&amp;"",coa_Name,0)),"")&lt;&gt;"Yes"),"Paid From / Deposited To is not a payment account","")))))))))))</f>
        <v/>
      </c>
      <c r="Z1138" s="67">
        <f>IF(AND(T1138=0,X1138=""),1,0)</f>
        <v/>
      </c>
      <c r="AA1138" s="68">
        <f>IF(Z1138=1,IF(U1138="In",L1138,L1138-W1138),0)</f>
        <v/>
      </c>
      <c r="AB1138" s="68">
        <f>IF(Z1138=1,IF(U1138="In",L1138-W1138,L1138),0)</f>
        <v/>
      </c>
      <c r="AC1138" s="68">
        <f>IF(AND(Z1138=1,U1138="Out"),W1138,0)</f>
        <v/>
      </c>
      <c r="AD1138" s="68">
        <f>IF(AND(Z1138=1,U1138="In"),W1138,0)</f>
        <v/>
      </c>
    </row>
    <row r="1139">
      <c r="B1139" s="62" t="inlineStr">
        <is>
          <t>TX-1133</t>
        </is>
      </c>
      <c r="C1139" s="63" t="n"/>
      <c r="D1139" s="62" t="n"/>
      <c r="E1139" s="62" t="n"/>
      <c r="F1139" s="62" t="n"/>
      <c r="G1139" s="62" t="n"/>
      <c r="H1139" s="62" t="n"/>
      <c r="I1139" s="62" t="n"/>
      <c r="J1139" s="62" t="n"/>
      <c r="K1139" s="62" t="n"/>
      <c r="L1139" s="64" t="n"/>
      <c r="M1139" s="64" t="n"/>
      <c r="N1139" s="62" t="n"/>
      <c r="O1139" s="65">
        <f>IF(Z1139=1,L1139-W1139,"")</f>
        <v/>
      </c>
      <c r="P1139" s="66">
        <f>IF(V1139="","",IFERROR(INDEX(coa_Type,MATCH(V1139,coa_Name,0)),""))</f>
        <v/>
      </c>
      <c r="Q1139" s="66">
        <f>IF(Z1139=1,IF(U1139="In",K1139&amp;"",V1139),"")</f>
        <v/>
      </c>
      <c r="R1139" s="66">
        <f>IF(Z1139=1,IF(U1139="In",V1139,K1139&amp;""),"")</f>
        <v/>
      </c>
      <c r="S1139" s="66">
        <f>IF(X1139&lt;&gt;"","⛔ "&amp;X1139&amp;" — not posted",IF(Y1139&lt;&gt;"","⚠ "&amp;Y1139,IF(Z1139=1,"✓ OK","")))</f>
        <v/>
      </c>
      <c r="T1139" s="67">
        <f>IF(AND(C1139="",D1139="",E1139="",L1139="",K1139=""),1,0)</f>
        <v/>
      </c>
      <c r="U1139" s="67">
        <f>IFERROR(INDEX(tt_Dir,MATCH(D1139,tt_Type,0)),"")</f>
        <v/>
      </c>
      <c r="V1139" s="67">
        <f>IF(D1139="","",IFERROR(IF(INDEX(tt_Other,MATCH(D1139,tt_Type,0))="",E1139&amp;"",INDEX(tt_Other,MATCH(D1139,tt_Type,0))),""))</f>
        <v/>
      </c>
      <c r="W1139" s="68">
        <f>IF(OR(TaxOn&lt;&gt;"Yes",NOT(ISNUMBER(M1139))),0,IF(IFERROR(INDEX(tt_Tax,MATCH(D1139,tt_Type,0)),"No")="Yes",M1139,0))</f>
        <v/>
      </c>
      <c r="X1139" s="67">
        <f>IF(T1139=1,"",IF(C1139="","Missing transaction date",IF(NOT(ISNUMBER(C1139)),"Invalid date",IF(OR(C1139&lt;DATE(2000,1,1),C1139&gt;DATE(2099,12,31)),"Invalid date",IF(D1139="","Select a type",IF(U1139="","Unknown type: "&amp;D1139,IF(V1139="","Select an account (Category)",IF(ISNA(MATCH(V1139,coa_Name,0)),"Unknown account: "&amp;V1139,IF(K1139="","Select Paid From / Deposited To",IF(ISNA(MATCH(K1139,coa_Name,0)),"Unknown account: "&amp;K1139,IF(NOT(ISNUMBER(L1139)),"Enter an amount",IF(L1139=0,"Enter an amount",IF(ABS(W1139)&gt;ABS(L1139),"Tax is larger than the amount","")))))))))))))</f>
        <v/>
      </c>
      <c r="Y1139" s="67">
        <f>IF(OR(T1139=1,X1139&lt;&gt;""),"",IF(AND(B1139&lt;&gt;"",COUNTIF(tx_ID,B1139)&gt;1),"Duplicate transaction ID",IF(AND(L1139&lt;0,D1139&lt;&gt;"Adjustment"),"Negative amount — check this entry",IF(AND(D1139="Customer Payment",G1139=""),"Add the customer",IF(AND(D1139="Customer Payment",OR(J1139="",COUNTIF(ar_No,J1139&amp;"")=0)),"Invoice # in Reference not found on AR sheet",IF(AND(D1139="Bill Payment",H1139=""),"Add the vendor",IF(AND(D1139="Bill Payment",OR(J1139="",COUNTIFS(ap_No,J1139&amp;"",ap_Party,H1139&amp;"")=0)),"Bill # + vendor not found on AP sheet",IF(AND(ISNUMBER(M1139),N(M1139)&lt;&gt;0,W1139=0),"Tax ignored (tax tracking off, or not allowed for this type)",IF(V1139=K1139&amp;"","Same account on both sides",IF(AND(ISNUMBER(StartDate),C1139&lt;StartDate),"Date is before the accounting start date",IF(AND(D1139&lt;&gt;"Adjustment",IFERROR(INDEX(coa_Pay,MATCH(K1139&amp;"",coa_Name,0)),"")&lt;&gt;"Yes"),"Paid From / Deposited To is not a payment account","")))))))))))</f>
        <v/>
      </c>
      <c r="Z1139" s="67">
        <f>IF(AND(T1139=0,X1139=""),1,0)</f>
        <v/>
      </c>
      <c r="AA1139" s="68">
        <f>IF(Z1139=1,IF(U1139="In",L1139,L1139-W1139),0)</f>
        <v/>
      </c>
      <c r="AB1139" s="68">
        <f>IF(Z1139=1,IF(U1139="In",L1139-W1139,L1139),0)</f>
        <v/>
      </c>
      <c r="AC1139" s="68">
        <f>IF(AND(Z1139=1,U1139="Out"),W1139,0)</f>
        <v/>
      </c>
      <c r="AD1139" s="68">
        <f>IF(AND(Z1139=1,U1139="In"),W1139,0)</f>
        <v/>
      </c>
    </row>
    <row r="1140">
      <c r="B1140" s="62" t="inlineStr">
        <is>
          <t>TX-1134</t>
        </is>
      </c>
      <c r="C1140" s="63" t="n"/>
      <c r="D1140" s="62" t="n"/>
      <c r="E1140" s="62" t="n"/>
      <c r="F1140" s="62" t="n"/>
      <c r="G1140" s="62" t="n"/>
      <c r="H1140" s="62" t="n"/>
      <c r="I1140" s="62" t="n"/>
      <c r="J1140" s="62" t="n"/>
      <c r="K1140" s="62" t="n"/>
      <c r="L1140" s="64" t="n"/>
      <c r="M1140" s="64" t="n"/>
      <c r="N1140" s="62" t="n"/>
      <c r="O1140" s="65">
        <f>IF(Z1140=1,L1140-W1140,"")</f>
        <v/>
      </c>
      <c r="P1140" s="66">
        <f>IF(V1140="","",IFERROR(INDEX(coa_Type,MATCH(V1140,coa_Name,0)),""))</f>
        <v/>
      </c>
      <c r="Q1140" s="66">
        <f>IF(Z1140=1,IF(U1140="In",K1140&amp;"",V1140),"")</f>
        <v/>
      </c>
      <c r="R1140" s="66">
        <f>IF(Z1140=1,IF(U1140="In",V1140,K1140&amp;""),"")</f>
        <v/>
      </c>
      <c r="S1140" s="66">
        <f>IF(X1140&lt;&gt;"","⛔ "&amp;X1140&amp;" — not posted",IF(Y1140&lt;&gt;"","⚠ "&amp;Y1140,IF(Z1140=1,"✓ OK","")))</f>
        <v/>
      </c>
      <c r="T1140" s="67">
        <f>IF(AND(C1140="",D1140="",E1140="",L1140="",K1140=""),1,0)</f>
        <v/>
      </c>
      <c r="U1140" s="67">
        <f>IFERROR(INDEX(tt_Dir,MATCH(D1140,tt_Type,0)),"")</f>
        <v/>
      </c>
      <c r="V1140" s="67">
        <f>IF(D1140="","",IFERROR(IF(INDEX(tt_Other,MATCH(D1140,tt_Type,0))="",E1140&amp;"",INDEX(tt_Other,MATCH(D1140,tt_Type,0))),""))</f>
        <v/>
      </c>
      <c r="W1140" s="68">
        <f>IF(OR(TaxOn&lt;&gt;"Yes",NOT(ISNUMBER(M1140))),0,IF(IFERROR(INDEX(tt_Tax,MATCH(D1140,tt_Type,0)),"No")="Yes",M1140,0))</f>
        <v/>
      </c>
      <c r="X1140" s="67">
        <f>IF(T1140=1,"",IF(C1140="","Missing transaction date",IF(NOT(ISNUMBER(C1140)),"Invalid date",IF(OR(C1140&lt;DATE(2000,1,1),C1140&gt;DATE(2099,12,31)),"Invalid date",IF(D1140="","Select a type",IF(U1140="","Unknown type: "&amp;D1140,IF(V1140="","Select an account (Category)",IF(ISNA(MATCH(V1140,coa_Name,0)),"Unknown account: "&amp;V1140,IF(K1140="","Select Paid From / Deposited To",IF(ISNA(MATCH(K1140,coa_Name,0)),"Unknown account: "&amp;K1140,IF(NOT(ISNUMBER(L1140)),"Enter an amount",IF(L1140=0,"Enter an amount",IF(ABS(W1140)&gt;ABS(L1140),"Tax is larger than the amount","")))))))))))))</f>
        <v/>
      </c>
      <c r="Y1140" s="67">
        <f>IF(OR(T1140=1,X1140&lt;&gt;""),"",IF(AND(B1140&lt;&gt;"",COUNTIF(tx_ID,B1140)&gt;1),"Duplicate transaction ID",IF(AND(L1140&lt;0,D1140&lt;&gt;"Adjustment"),"Negative amount — check this entry",IF(AND(D1140="Customer Payment",G1140=""),"Add the customer",IF(AND(D1140="Customer Payment",OR(J1140="",COUNTIF(ar_No,J1140&amp;"")=0)),"Invoice # in Reference not found on AR sheet",IF(AND(D1140="Bill Payment",H1140=""),"Add the vendor",IF(AND(D1140="Bill Payment",OR(J1140="",COUNTIFS(ap_No,J1140&amp;"",ap_Party,H1140&amp;"")=0)),"Bill # + vendor not found on AP sheet",IF(AND(ISNUMBER(M1140),N(M1140)&lt;&gt;0,W1140=0),"Tax ignored (tax tracking off, or not allowed for this type)",IF(V1140=K1140&amp;"","Same account on both sides",IF(AND(ISNUMBER(StartDate),C1140&lt;StartDate),"Date is before the accounting start date",IF(AND(D1140&lt;&gt;"Adjustment",IFERROR(INDEX(coa_Pay,MATCH(K1140&amp;"",coa_Name,0)),"")&lt;&gt;"Yes"),"Paid From / Deposited To is not a payment account","")))))))))))</f>
        <v/>
      </c>
      <c r="Z1140" s="67">
        <f>IF(AND(T1140=0,X1140=""),1,0)</f>
        <v/>
      </c>
      <c r="AA1140" s="68">
        <f>IF(Z1140=1,IF(U1140="In",L1140,L1140-W1140),0)</f>
        <v/>
      </c>
      <c r="AB1140" s="68">
        <f>IF(Z1140=1,IF(U1140="In",L1140-W1140,L1140),0)</f>
        <v/>
      </c>
      <c r="AC1140" s="68">
        <f>IF(AND(Z1140=1,U1140="Out"),W1140,0)</f>
        <v/>
      </c>
      <c r="AD1140" s="68">
        <f>IF(AND(Z1140=1,U1140="In"),W1140,0)</f>
        <v/>
      </c>
    </row>
    <row r="1141">
      <c r="B1141" s="62" t="inlineStr">
        <is>
          <t>TX-1135</t>
        </is>
      </c>
      <c r="C1141" s="63" t="n"/>
      <c r="D1141" s="62" t="n"/>
      <c r="E1141" s="62" t="n"/>
      <c r="F1141" s="62" t="n"/>
      <c r="G1141" s="62" t="n"/>
      <c r="H1141" s="62" t="n"/>
      <c r="I1141" s="62" t="n"/>
      <c r="J1141" s="62" t="n"/>
      <c r="K1141" s="62" t="n"/>
      <c r="L1141" s="64" t="n"/>
      <c r="M1141" s="64" t="n"/>
      <c r="N1141" s="62" t="n"/>
      <c r="O1141" s="65">
        <f>IF(Z1141=1,L1141-W1141,"")</f>
        <v/>
      </c>
      <c r="P1141" s="66">
        <f>IF(V1141="","",IFERROR(INDEX(coa_Type,MATCH(V1141,coa_Name,0)),""))</f>
        <v/>
      </c>
      <c r="Q1141" s="66">
        <f>IF(Z1141=1,IF(U1141="In",K1141&amp;"",V1141),"")</f>
        <v/>
      </c>
      <c r="R1141" s="66">
        <f>IF(Z1141=1,IF(U1141="In",V1141,K1141&amp;""),"")</f>
        <v/>
      </c>
      <c r="S1141" s="66">
        <f>IF(X1141&lt;&gt;"","⛔ "&amp;X1141&amp;" — not posted",IF(Y1141&lt;&gt;"","⚠ "&amp;Y1141,IF(Z1141=1,"✓ OK","")))</f>
        <v/>
      </c>
      <c r="T1141" s="67">
        <f>IF(AND(C1141="",D1141="",E1141="",L1141="",K1141=""),1,0)</f>
        <v/>
      </c>
      <c r="U1141" s="67">
        <f>IFERROR(INDEX(tt_Dir,MATCH(D1141,tt_Type,0)),"")</f>
        <v/>
      </c>
      <c r="V1141" s="67">
        <f>IF(D1141="","",IFERROR(IF(INDEX(tt_Other,MATCH(D1141,tt_Type,0))="",E1141&amp;"",INDEX(tt_Other,MATCH(D1141,tt_Type,0))),""))</f>
        <v/>
      </c>
      <c r="W1141" s="68">
        <f>IF(OR(TaxOn&lt;&gt;"Yes",NOT(ISNUMBER(M1141))),0,IF(IFERROR(INDEX(tt_Tax,MATCH(D1141,tt_Type,0)),"No")="Yes",M1141,0))</f>
        <v/>
      </c>
      <c r="X1141" s="67">
        <f>IF(T1141=1,"",IF(C1141="","Missing transaction date",IF(NOT(ISNUMBER(C1141)),"Invalid date",IF(OR(C1141&lt;DATE(2000,1,1),C1141&gt;DATE(2099,12,31)),"Invalid date",IF(D1141="","Select a type",IF(U1141="","Unknown type: "&amp;D1141,IF(V1141="","Select an account (Category)",IF(ISNA(MATCH(V1141,coa_Name,0)),"Unknown account: "&amp;V1141,IF(K1141="","Select Paid From / Deposited To",IF(ISNA(MATCH(K1141,coa_Name,0)),"Unknown account: "&amp;K1141,IF(NOT(ISNUMBER(L1141)),"Enter an amount",IF(L1141=0,"Enter an amount",IF(ABS(W1141)&gt;ABS(L1141),"Tax is larger than the amount","")))))))))))))</f>
        <v/>
      </c>
      <c r="Y1141" s="67">
        <f>IF(OR(T1141=1,X1141&lt;&gt;""),"",IF(AND(B1141&lt;&gt;"",COUNTIF(tx_ID,B1141)&gt;1),"Duplicate transaction ID",IF(AND(L1141&lt;0,D1141&lt;&gt;"Adjustment"),"Negative amount — check this entry",IF(AND(D1141="Customer Payment",G1141=""),"Add the customer",IF(AND(D1141="Customer Payment",OR(J1141="",COUNTIF(ar_No,J1141&amp;"")=0)),"Invoice # in Reference not found on AR sheet",IF(AND(D1141="Bill Payment",H1141=""),"Add the vendor",IF(AND(D1141="Bill Payment",OR(J1141="",COUNTIFS(ap_No,J1141&amp;"",ap_Party,H1141&amp;"")=0)),"Bill # + vendor not found on AP sheet",IF(AND(ISNUMBER(M1141),N(M1141)&lt;&gt;0,W1141=0),"Tax ignored (tax tracking off, or not allowed for this type)",IF(V1141=K1141&amp;"","Same account on both sides",IF(AND(ISNUMBER(StartDate),C1141&lt;StartDate),"Date is before the accounting start date",IF(AND(D1141&lt;&gt;"Adjustment",IFERROR(INDEX(coa_Pay,MATCH(K1141&amp;"",coa_Name,0)),"")&lt;&gt;"Yes"),"Paid From / Deposited To is not a payment account","")))))))))))</f>
        <v/>
      </c>
      <c r="Z1141" s="67">
        <f>IF(AND(T1141=0,X1141=""),1,0)</f>
        <v/>
      </c>
      <c r="AA1141" s="68">
        <f>IF(Z1141=1,IF(U1141="In",L1141,L1141-W1141),0)</f>
        <v/>
      </c>
      <c r="AB1141" s="68">
        <f>IF(Z1141=1,IF(U1141="In",L1141-W1141,L1141),0)</f>
        <v/>
      </c>
      <c r="AC1141" s="68">
        <f>IF(AND(Z1141=1,U1141="Out"),W1141,0)</f>
        <v/>
      </c>
      <c r="AD1141" s="68">
        <f>IF(AND(Z1141=1,U1141="In"),W1141,0)</f>
        <v/>
      </c>
    </row>
    <row r="1142">
      <c r="B1142" s="62" t="inlineStr">
        <is>
          <t>TX-1136</t>
        </is>
      </c>
      <c r="C1142" s="63" t="n"/>
      <c r="D1142" s="62" t="n"/>
      <c r="E1142" s="62" t="n"/>
      <c r="F1142" s="62" t="n"/>
      <c r="G1142" s="62" t="n"/>
      <c r="H1142" s="62" t="n"/>
      <c r="I1142" s="62" t="n"/>
      <c r="J1142" s="62" t="n"/>
      <c r="K1142" s="62" t="n"/>
      <c r="L1142" s="64" t="n"/>
      <c r="M1142" s="64" t="n"/>
      <c r="N1142" s="62" t="n"/>
      <c r="O1142" s="65">
        <f>IF(Z1142=1,L1142-W1142,"")</f>
        <v/>
      </c>
      <c r="P1142" s="66">
        <f>IF(V1142="","",IFERROR(INDEX(coa_Type,MATCH(V1142,coa_Name,0)),""))</f>
        <v/>
      </c>
      <c r="Q1142" s="66">
        <f>IF(Z1142=1,IF(U1142="In",K1142&amp;"",V1142),"")</f>
        <v/>
      </c>
      <c r="R1142" s="66">
        <f>IF(Z1142=1,IF(U1142="In",V1142,K1142&amp;""),"")</f>
        <v/>
      </c>
      <c r="S1142" s="66">
        <f>IF(X1142&lt;&gt;"","⛔ "&amp;X1142&amp;" — not posted",IF(Y1142&lt;&gt;"","⚠ "&amp;Y1142,IF(Z1142=1,"✓ OK","")))</f>
        <v/>
      </c>
      <c r="T1142" s="67">
        <f>IF(AND(C1142="",D1142="",E1142="",L1142="",K1142=""),1,0)</f>
        <v/>
      </c>
      <c r="U1142" s="67">
        <f>IFERROR(INDEX(tt_Dir,MATCH(D1142,tt_Type,0)),"")</f>
        <v/>
      </c>
      <c r="V1142" s="67">
        <f>IF(D1142="","",IFERROR(IF(INDEX(tt_Other,MATCH(D1142,tt_Type,0))="",E1142&amp;"",INDEX(tt_Other,MATCH(D1142,tt_Type,0))),""))</f>
        <v/>
      </c>
      <c r="W1142" s="68">
        <f>IF(OR(TaxOn&lt;&gt;"Yes",NOT(ISNUMBER(M1142))),0,IF(IFERROR(INDEX(tt_Tax,MATCH(D1142,tt_Type,0)),"No")="Yes",M1142,0))</f>
        <v/>
      </c>
      <c r="X1142" s="67">
        <f>IF(T1142=1,"",IF(C1142="","Missing transaction date",IF(NOT(ISNUMBER(C1142)),"Invalid date",IF(OR(C1142&lt;DATE(2000,1,1),C1142&gt;DATE(2099,12,31)),"Invalid date",IF(D1142="","Select a type",IF(U1142="","Unknown type: "&amp;D1142,IF(V1142="","Select an account (Category)",IF(ISNA(MATCH(V1142,coa_Name,0)),"Unknown account: "&amp;V1142,IF(K1142="","Select Paid From / Deposited To",IF(ISNA(MATCH(K1142,coa_Name,0)),"Unknown account: "&amp;K1142,IF(NOT(ISNUMBER(L1142)),"Enter an amount",IF(L1142=0,"Enter an amount",IF(ABS(W1142)&gt;ABS(L1142),"Tax is larger than the amount","")))))))))))))</f>
        <v/>
      </c>
      <c r="Y1142" s="67">
        <f>IF(OR(T1142=1,X1142&lt;&gt;""),"",IF(AND(B1142&lt;&gt;"",COUNTIF(tx_ID,B1142)&gt;1),"Duplicate transaction ID",IF(AND(L1142&lt;0,D1142&lt;&gt;"Adjustment"),"Negative amount — check this entry",IF(AND(D1142="Customer Payment",G1142=""),"Add the customer",IF(AND(D1142="Customer Payment",OR(J1142="",COUNTIF(ar_No,J1142&amp;"")=0)),"Invoice # in Reference not found on AR sheet",IF(AND(D1142="Bill Payment",H1142=""),"Add the vendor",IF(AND(D1142="Bill Payment",OR(J1142="",COUNTIFS(ap_No,J1142&amp;"",ap_Party,H1142&amp;"")=0)),"Bill # + vendor not found on AP sheet",IF(AND(ISNUMBER(M1142),N(M1142)&lt;&gt;0,W1142=0),"Tax ignored (tax tracking off, or not allowed for this type)",IF(V1142=K1142&amp;"","Same account on both sides",IF(AND(ISNUMBER(StartDate),C1142&lt;StartDate),"Date is before the accounting start date",IF(AND(D1142&lt;&gt;"Adjustment",IFERROR(INDEX(coa_Pay,MATCH(K1142&amp;"",coa_Name,0)),"")&lt;&gt;"Yes"),"Paid From / Deposited To is not a payment account","")))))))))))</f>
        <v/>
      </c>
      <c r="Z1142" s="67">
        <f>IF(AND(T1142=0,X1142=""),1,0)</f>
        <v/>
      </c>
      <c r="AA1142" s="68">
        <f>IF(Z1142=1,IF(U1142="In",L1142,L1142-W1142),0)</f>
        <v/>
      </c>
      <c r="AB1142" s="68">
        <f>IF(Z1142=1,IF(U1142="In",L1142-W1142,L1142),0)</f>
        <v/>
      </c>
      <c r="AC1142" s="68">
        <f>IF(AND(Z1142=1,U1142="Out"),W1142,0)</f>
        <v/>
      </c>
      <c r="AD1142" s="68">
        <f>IF(AND(Z1142=1,U1142="In"),W1142,0)</f>
        <v/>
      </c>
    </row>
    <row r="1143">
      <c r="B1143" s="62" t="inlineStr">
        <is>
          <t>TX-1137</t>
        </is>
      </c>
      <c r="C1143" s="63" t="n"/>
      <c r="D1143" s="62" t="n"/>
      <c r="E1143" s="62" t="n"/>
      <c r="F1143" s="62" t="n"/>
      <c r="G1143" s="62" t="n"/>
      <c r="H1143" s="62" t="n"/>
      <c r="I1143" s="62" t="n"/>
      <c r="J1143" s="62" t="n"/>
      <c r="K1143" s="62" t="n"/>
      <c r="L1143" s="64" t="n"/>
      <c r="M1143" s="64" t="n"/>
      <c r="N1143" s="62" t="n"/>
      <c r="O1143" s="65">
        <f>IF(Z1143=1,L1143-W1143,"")</f>
        <v/>
      </c>
      <c r="P1143" s="66">
        <f>IF(V1143="","",IFERROR(INDEX(coa_Type,MATCH(V1143,coa_Name,0)),""))</f>
        <v/>
      </c>
      <c r="Q1143" s="66">
        <f>IF(Z1143=1,IF(U1143="In",K1143&amp;"",V1143),"")</f>
        <v/>
      </c>
      <c r="R1143" s="66">
        <f>IF(Z1143=1,IF(U1143="In",V1143,K1143&amp;""),"")</f>
        <v/>
      </c>
      <c r="S1143" s="66">
        <f>IF(X1143&lt;&gt;"","⛔ "&amp;X1143&amp;" — not posted",IF(Y1143&lt;&gt;"","⚠ "&amp;Y1143,IF(Z1143=1,"✓ OK","")))</f>
        <v/>
      </c>
      <c r="T1143" s="67">
        <f>IF(AND(C1143="",D1143="",E1143="",L1143="",K1143=""),1,0)</f>
        <v/>
      </c>
      <c r="U1143" s="67">
        <f>IFERROR(INDEX(tt_Dir,MATCH(D1143,tt_Type,0)),"")</f>
        <v/>
      </c>
      <c r="V1143" s="67">
        <f>IF(D1143="","",IFERROR(IF(INDEX(tt_Other,MATCH(D1143,tt_Type,0))="",E1143&amp;"",INDEX(tt_Other,MATCH(D1143,tt_Type,0))),""))</f>
        <v/>
      </c>
      <c r="W1143" s="68">
        <f>IF(OR(TaxOn&lt;&gt;"Yes",NOT(ISNUMBER(M1143))),0,IF(IFERROR(INDEX(tt_Tax,MATCH(D1143,tt_Type,0)),"No")="Yes",M1143,0))</f>
        <v/>
      </c>
      <c r="X1143" s="67">
        <f>IF(T1143=1,"",IF(C1143="","Missing transaction date",IF(NOT(ISNUMBER(C1143)),"Invalid date",IF(OR(C1143&lt;DATE(2000,1,1),C1143&gt;DATE(2099,12,31)),"Invalid date",IF(D1143="","Select a type",IF(U1143="","Unknown type: "&amp;D1143,IF(V1143="","Select an account (Category)",IF(ISNA(MATCH(V1143,coa_Name,0)),"Unknown account: "&amp;V1143,IF(K1143="","Select Paid From / Deposited To",IF(ISNA(MATCH(K1143,coa_Name,0)),"Unknown account: "&amp;K1143,IF(NOT(ISNUMBER(L1143)),"Enter an amount",IF(L1143=0,"Enter an amount",IF(ABS(W1143)&gt;ABS(L1143),"Tax is larger than the amount","")))))))))))))</f>
        <v/>
      </c>
      <c r="Y1143" s="67">
        <f>IF(OR(T1143=1,X1143&lt;&gt;""),"",IF(AND(B1143&lt;&gt;"",COUNTIF(tx_ID,B1143)&gt;1),"Duplicate transaction ID",IF(AND(L1143&lt;0,D1143&lt;&gt;"Adjustment"),"Negative amount — check this entry",IF(AND(D1143="Customer Payment",G1143=""),"Add the customer",IF(AND(D1143="Customer Payment",OR(J1143="",COUNTIF(ar_No,J1143&amp;"")=0)),"Invoice # in Reference not found on AR sheet",IF(AND(D1143="Bill Payment",H1143=""),"Add the vendor",IF(AND(D1143="Bill Payment",OR(J1143="",COUNTIFS(ap_No,J1143&amp;"",ap_Party,H1143&amp;"")=0)),"Bill # + vendor not found on AP sheet",IF(AND(ISNUMBER(M1143),N(M1143)&lt;&gt;0,W1143=0),"Tax ignored (tax tracking off, or not allowed for this type)",IF(V1143=K1143&amp;"","Same account on both sides",IF(AND(ISNUMBER(StartDate),C1143&lt;StartDate),"Date is before the accounting start date",IF(AND(D1143&lt;&gt;"Adjustment",IFERROR(INDEX(coa_Pay,MATCH(K1143&amp;"",coa_Name,0)),"")&lt;&gt;"Yes"),"Paid From / Deposited To is not a payment account","")))))))))))</f>
        <v/>
      </c>
      <c r="Z1143" s="67">
        <f>IF(AND(T1143=0,X1143=""),1,0)</f>
        <v/>
      </c>
      <c r="AA1143" s="68">
        <f>IF(Z1143=1,IF(U1143="In",L1143,L1143-W1143),0)</f>
        <v/>
      </c>
      <c r="AB1143" s="68">
        <f>IF(Z1143=1,IF(U1143="In",L1143-W1143,L1143),0)</f>
        <v/>
      </c>
      <c r="AC1143" s="68">
        <f>IF(AND(Z1143=1,U1143="Out"),W1143,0)</f>
        <v/>
      </c>
      <c r="AD1143" s="68">
        <f>IF(AND(Z1143=1,U1143="In"),W1143,0)</f>
        <v/>
      </c>
    </row>
    <row r="1144">
      <c r="B1144" s="62" t="inlineStr">
        <is>
          <t>TX-1138</t>
        </is>
      </c>
      <c r="C1144" s="63" t="n"/>
      <c r="D1144" s="62" t="n"/>
      <c r="E1144" s="62" t="n"/>
      <c r="F1144" s="62" t="n"/>
      <c r="G1144" s="62" t="n"/>
      <c r="H1144" s="62" t="n"/>
      <c r="I1144" s="62" t="n"/>
      <c r="J1144" s="62" t="n"/>
      <c r="K1144" s="62" t="n"/>
      <c r="L1144" s="64" t="n"/>
      <c r="M1144" s="64" t="n"/>
      <c r="N1144" s="62" t="n"/>
      <c r="O1144" s="65">
        <f>IF(Z1144=1,L1144-W1144,"")</f>
        <v/>
      </c>
      <c r="P1144" s="66">
        <f>IF(V1144="","",IFERROR(INDEX(coa_Type,MATCH(V1144,coa_Name,0)),""))</f>
        <v/>
      </c>
      <c r="Q1144" s="66">
        <f>IF(Z1144=1,IF(U1144="In",K1144&amp;"",V1144),"")</f>
        <v/>
      </c>
      <c r="R1144" s="66">
        <f>IF(Z1144=1,IF(U1144="In",V1144,K1144&amp;""),"")</f>
        <v/>
      </c>
      <c r="S1144" s="66">
        <f>IF(X1144&lt;&gt;"","⛔ "&amp;X1144&amp;" — not posted",IF(Y1144&lt;&gt;"","⚠ "&amp;Y1144,IF(Z1144=1,"✓ OK","")))</f>
        <v/>
      </c>
      <c r="T1144" s="67">
        <f>IF(AND(C1144="",D1144="",E1144="",L1144="",K1144=""),1,0)</f>
        <v/>
      </c>
      <c r="U1144" s="67">
        <f>IFERROR(INDEX(tt_Dir,MATCH(D1144,tt_Type,0)),"")</f>
        <v/>
      </c>
      <c r="V1144" s="67">
        <f>IF(D1144="","",IFERROR(IF(INDEX(tt_Other,MATCH(D1144,tt_Type,0))="",E1144&amp;"",INDEX(tt_Other,MATCH(D1144,tt_Type,0))),""))</f>
        <v/>
      </c>
      <c r="W1144" s="68">
        <f>IF(OR(TaxOn&lt;&gt;"Yes",NOT(ISNUMBER(M1144))),0,IF(IFERROR(INDEX(tt_Tax,MATCH(D1144,tt_Type,0)),"No")="Yes",M1144,0))</f>
        <v/>
      </c>
      <c r="X1144" s="67">
        <f>IF(T1144=1,"",IF(C1144="","Missing transaction date",IF(NOT(ISNUMBER(C1144)),"Invalid date",IF(OR(C1144&lt;DATE(2000,1,1),C1144&gt;DATE(2099,12,31)),"Invalid date",IF(D1144="","Select a type",IF(U1144="","Unknown type: "&amp;D1144,IF(V1144="","Select an account (Category)",IF(ISNA(MATCH(V1144,coa_Name,0)),"Unknown account: "&amp;V1144,IF(K1144="","Select Paid From / Deposited To",IF(ISNA(MATCH(K1144,coa_Name,0)),"Unknown account: "&amp;K1144,IF(NOT(ISNUMBER(L1144)),"Enter an amount",IF(L1144=0,"Enter an amount",IF(ABS(W1144)&gt;ABS(L1144),"Tax is larger than the amount","")))))))))))))</f>
        <v/>
      </c>
      <c r="Y1144" s="67">
        <f>IF(OR(T1144=1,X1144&lt;&gt;""),"",IF(AND(B1144&lt;&gt;"",COUNTIF(tx_ID,B1144)&gt;1),"Duplicate transaction ID",IF(AND(L1144&lt;0,D1144&lt;&gt;"Adjustment"),"Negative amount — check this entry",IF(AND(D1144="Customer Payment",G1144=""),"Add the customer",IF(AND(D1144="Customer Payment",OR(J1144="",COUNTIF(ar_No,J1144&amp;"")=0)),"Invoice # in Reference not found on AR sheet",IF(AND(D1144="Bill Payment",H1144=""),"Add the vendor",IF(AND(D1144="Bill Payment",OR(J1144="",COUNTIFS(ap_No,J1144&amp;"",ap_Party,H1144&amp;"")=0)),"Bill # + vendor not found on AP sheet",IF(AND(ISNUMBER(M1144),N(M1144)&lt;&gt;0,W1144=0),"Tax ignored (tax tracking off, or not allowed for this type)",IF(V1144=K1144&amp;"","Same account on both sides",IF(AND(ISNUMBER(StartDate),C1144&lt;StartDate),"Date is before the accounting start date",IF(AND(D1144&lt;&gt;"Adjustment",IFERROR(INDEX(coa_Pay,MATCH(K1144&amp;"",coa_Name,0)),"")&lt;&gt;"Yes"),"Paid From / Deposited To is not a payment account","")))))))))))</f>
        <v/>
      </c>
      <c r="Z1144" s="67">
        <f>IF(AND(T1144=0,X1144=""),1,0)</f>
        <v/>
      </c>
      <c r="AA1144" s="68">
        <f>IF(Z1144=1,IF(U1144="In",L1144,L1144-W1144),0)</f>
        <v/>
      </c>
      <c r="AB1144" s="68">
        <f>IF(Z1144=1,IF(U1144="In",L1144-W1144,L1144),0)</f>
        <v/>
      </c>
      <c r="AC1144" s="68">
        <f>IF(AND(Z1144=1,U1144="Out"),W1144,0)</f>
        <v/>
      </c>
      <c r="AD1144" s="68">
        <f>IF(AND(Z1144=1,U1144="In"),W1144,0)</f>
        <v/>
      </c>
    </row>
    <row r="1145">
      <c r="B1145" s="62" t="inlineStr">
        <is>
          <t>TX-1139</t>
        </is>
      </c>
      <c r="C1145" s="63" t="n"/>
      <c r="D1145" s="62" t="n"/>
      <c r="E1145" s="62" t="n"/>
      <c r="F1145" s="62" t="n"/>
      <c r="G1145" s="62" t="n"/>
      <c r="H1145" s="62" t="n"/>
      <c r="I1145" s="62" t="n"/>
      <c r="J1145" s="62" t="n"/>
      <c r="K1145" s="62" t="n"/>
      <c r="L1145" s="64" t="n"/>
      <c r="M1145" s="64" t="n"/>
      <c r="N1145" s="62" t="n"/>
      <c r="O1145" s="65">
        <f>IF(Z1145=1,L1145-W1145,"")</f>
        <v/>
      </c>
      <c r="P1145" s="66">
        <f>IF(V1145="","",IFERROR(INDEX(coa_Type,MATCH(V1145,coa_Name,0)),""))</f>
        <v/>
      </c>
      <c r="Q1145" s="66">
        <f>IF(Z1145=1,IF(U1145="In",K1145&amp;"",V1145),"")</f>
        <v/>
      </c>
      <c r="R1145" s="66">
        <f>IF(Z1145=1,IF(U1145="In",V1145,K1145&amp;""),"")</f>
        <v/>
      </c>
      <c r="S1145" s="66">
        <f>IF(X1145&lt;&gt;"","⛔ "&amp;X1145&amp;" — not posted",IF(Y1145&lt;&gt;"","⚠ "&amp;Y1145,IF(Z1145=1,"✓ OK","")))</f>
        <v/>
      </c>
      <c r="T1145" s="67">
        <f>IF(AND(C1145="",D1145="",E1145="",L1145="",K1145=""),1,0)</f>
        <v/>
      </c>
      <c r="U1145" s="67">
        <f>IFERROR(INDEX(tt_Dir,MATCH(D1145,tt_Type,0)),"")</f>
        <v/>
      </c>
      <c r="V1145" s="67">
        <f>IF(D1145="","",IFERROR(IF(INDEX(tt_Other,MATCH(D1145,tt_Type,0))="",E1145&amp;"",INDEX(tt_Other,MATCH(D1145,tt_Type,0))),""))</f>
        <v/>
      </c>
      <c r="W1145" s="68">
        <f>IF(OR(TaxOn&lt;&gt;"Yes",NOT(ISNUMBER(M1145))),0,IF(IFERROR(INDEX(tt_Tax,MATCH(D1145,tt_Type,0)),"No")="Yes",M1145,0))</f>
        <v/>
      </c>
      <c r="X1145" s="67">
        <f>IF(T1145=1,"",IF(C1145="","Missing transaction date",IF(NOT(ISNUMBER(C1145)),"Invalid date",IF(OR(C1145&lt;DATE(2000,1,1),C1145&gt;DATE(2099,12,31)),"Invalid date",IF(D1145="","Select a type",IF(U1145="","Unknown type: "&amp;D1145,IF(V1145="","Select an account (Category)",IF(ISNA(MATCH(V1145,coa_Name,0)),"Unknown account: "&amp;V1145,IF(K1145="","Select Paid From / Deposited To",IF(ISNA(MATCH(K1145,coa_Name,0)),"Unknown account: "&amp;K1145,IF(NOT(ISNUMBER(L1145)),"Enter an amount",IF(L1145=0,"Enter an amount",IF(ABS(W1145)&gt;ABS(L1145),"Tax is larger than the amount","")))))))))))))</f>
        <v/>
      </c>
      <c r="Y1145" s="67">
        <f>IF(OR(T1145=1,X1145&lt;&gt;""),"",IF(AND(B1145&lt;&gt;"",COUNTIF(tx_ID,B1145)&gt;1),"Duplicate transaction ID",IF(AND(L1145&lt;0,D1145&lt;&gt;"Adjustment"),"Negative amount — check this entry",IF(AND(D1145="Customer Payment",G1145=""),"Add the customer",IF(AND(D1145="Customer Payment",OR(J1145="",COUNTIF(ar_No,J1145&amp;"")=0)),"Invoice # in Reference not found on AR sheet",IF(AND(D1145="Bill Payment",H1145=""),"Add the vendor",IF(AND(D1145="Bill Payment",OR(J1145="",COUNTIFS(ap_No,J1145&amp;"",ap_Party,H1145&amp;"")=0)),"Bill # + vendor not found on AP sheet",IF(AND(ISNUMBER(M1145),N(M1145)&lt;&gt;0,W1145=0),"Tax ignored (tax tracking off, or not allowed for this type)",IF(V1145=K1145&amp;"","Same account on both sides",IF(AND(ISNUMBER(StartDate),C1145&lt;StartDate),"Date is before the accounting start date",IF(AND(D1145&lt;&gt;"Adjustment",IFERROR(INDEX(coa_Pay,MATCH(K1145&amp;"",coa_Name,0)),"")&lt;&gt;"Yes"),"Paid From / Deposited To is not a payment account","")))))))))))</f>
        <v/>
      </c>
      <c r="Z1145" s="67">
        <f>IF(AND(T1145=0,X1145=""),1,0)</f>
        <v/>
      </c>
      <c r="AA1145" s="68">
        <f>IF(Z1145=1,IF(U1145="In",L1145,L1145-W1145),0)</f>
        <v/>
      </c>
      <c r="AB1145" s="68">
        <f>IF(Z1145=1,IF(U1145="In",L1145-W1145,L1145),0)</f>
        <v/>
      </c>
      <c r="AC1145" s="68">
        <f>IF(AND(Z1145=1,U1145="Out"),W1145,0)</f>
        <v/>
      </c>
      <c r="AD1145" s="68">
        <f>IF(AND(Z1145=1,U1145="In"),W1145,0)</f>
        <v/>
      </c>
    </row>
    <row r="1146">
      <c r="B1146" s="62" t="inlineStr">
        <is>
          <t>TX-1140</t>
        </is>
      </c>
      <c r="C1146" s="63" t="n"/>
      <c r="D1146" s="62" t="n"/>
      <c r="E1146" s="62" t="n"/>
      <c r="F1146" s="62" t="n"/>
      <c r="G1146" s="62" t="n"/>
      <c r="H1146" s="62" t="n"/>
      <c r="I1146" s="62" t="n"/>
      <c r="J1146" s="62" t="n"/>
      <c r="K1146" s="62" t="n"/>
      <c r="L1146" s="64" t="n"/>
      <c r="M1146" s="64" t="n"/>
      <c r="N1146" s="62" t="n"/>
      <c r="O1146" s="65">
        <f>IF(Z1146=1,L1146-W1146,"")</f>
        <v/>
      </c>
      <c r="P1146" s="66">
        <f>IF(V1146="","",IFERROR(INDEX(coa_Type,MATCH(V1146,coa_Name,0)),""))</f>
        <v/>
      </c>
      <c r="Q1146" s="66">
        <f>IF(Z1146=1,IF(U1146="In",K1146&amp;"",V1146),"")</f>
        <v/>
      </c>
      <c r="R1146" s="66">
        <f>IF(Z1146=1,IF(U1146="In",V1146,K1146&amp;""),"")</f>
        <v/>
      </c>
      <c r="S1146" s="66">
        <f>IF(X1146&lt;&gt;"","⛔ "&amp;X1146&amp;" — not posted",IF(Y1146&lt;&gt;"","⚠ "&amp;Y1146,IF(Z1146=1,"✓ OK","")))</f>
        <v/>
      </c>
      <c r="T1146" s="67">
        <f>IF(AND(C1146="",D1146="",E1146="",L1146="",K1146=""),1,0)</f>
        <v/>
      </c>
      <c r="U1146" s="67">
        <f>IFERROR(INDEX(tt_Dir,MATCH(D1146,tt_Type,0)),"")</f>
        <v/>
      </c>
      <c r="V1146" s="67">
        <f>IF(D1146="","",IFERROR(IF(INDEX(tt_Other,MATCH(D1146,tt_Type,0))="",E1146&amp;"",INDEX(tt_Other,MATCH(D1146,tt_Type,0))),""))</f>
        <v/>
      </c>
      <c r="W1146" s="68">
        <f>IF(OR(TaxOn&lt;&gt;"Yes",NOT(ISNUMBER(M1146))),0,IF(IFERROR(INDEX(tt_Tax,MATCH(D1146,tt_Type,0)),"No")="Yes",M1146,0))</f>
        <v/>
      </c>
      <c r="X1146" s="67">
        <f>IF(T1146=1,"",IF(C1146="","Missing transaction date",IF(NOT(ISNUMBER(C1146)),"Invalid date",IF(OR(C1146&lt;DATE(2000,1,1),C1146&gt;DATE(2099,12,31)),"Invalid date",IF(D1146="","Select a type",IF(U1146="","Unknown type: "&amp;D1146,IF(V1146="","Select an account (Category)",IF(ISNA(MATCH(V1146,coa_Name,0)),"Unknown account: "&amp;V1146,IF(K1146="","Select Paid From / Deposited To",IF(ISNA(MATCH(K1146,coa_Name,0)),"Unknown account: "&amp;K1146,IF(NOT(ISNUMBER(L1146)),"Enter an amount",IF(L1146=0,"Enter an amount",IF(ABS(W1146)&gt;ABS(L1146),"Tax is larger than the amount","")))))))))))))</f>
        <v/>
      </c>
      <c r="Y1146" s="67">
        <f>IF(OR(T1146=1,X1146&lt;&gt;""),"",IF(AND(B1146&lt;&gt;"",COUNTIF(tx_ID,B1146)&gt;1),"Duplicate transaction ID",IF(AND(L1146&lt;0,D1146&lt;&gt;"Adjustment"),"Negative amount — check this entry",IF(AND(D1146="Customer Payment",G1146=""),"Add the customer",IF(AND(D1146="Customer Payment",OR(J1146="",COUNTIF(ar_No,J1146&amp;"")=0)),"Invoice # in Reference not found on AR sheet",IF(AND(D1146="Bill Payment",H1146=""),"Add the vendor",IF(AND(D1146="Bill Payment",OR(J1146="",COUNTIFS(ap_No,J1146&amp;"",ap_Party,H1146&amp;"")=0)),"Bill # + vendor not found on AP sheet",IF(AND(ISNUMBER(M1146),N(M1146)&lt;&gt;0,W1146=0),"Tax ignored (tax tracking off, or not allowed for this type)",IF(V1146=K1146&amp;"","Same account on both sides",IF(AND(ISNUMBER(StartDate),C1146&lt;StartDate),"Date is before the accounting start date",IF(AND(D1146&lt;&gt;"Adjustment",IFERROR(INDEX(coa_Pay,MATCH(K1146&amp;"",coa_Name,0)),"")&lt;&gt;"Yes"),"Paid From / Deposited To is not a payment account","")))))))))))</f>
        <v/>
      </c>
      <c r="Z1146" s="67">
        <f>IF(AND(T1146=0,X1146=""),1,0)</f>
        <v/>
      </c>
      <c r="AA1146" s="68">
        <f>IF(Z1146=1,IF(U1146="In",L1146,L1146-W1146),0)</f>
        <v/>
      </c>
      <c r="AB1146" s="68">
        <f>IF(Z1146=1,IF(U1146="In",L1146-W1146,L1146),0)</f>
        <v/>
      </c>
      <c r="AC1146" s="68">
        <f>IF(AND(Z1146=1,U1146="Out"),W1146,0)</f>
        <v/>
      </c>
      <c r="AD1146" s="68">
        <f>IF(AND(Z1146=1,U1146="In"),W1146,0)</f>
        <v/>
      </c>
    </row>
    <row r="1147">
      <c r="B1147" s="62" t="inlineStr">
        <is>
          <t>TX-1141</t>
        </is>
      </c>
      <c r="C1147" s="63" t="n"/>
      <c r="D1147" s="62" t="n"/>
      <c r="E1147" s="62" t="n"/>
      <c r="F1147" s="62" t="n"/>
      <c r="G1147" s="62" t="n"/>
      <c r="H1147" s="62" t="n"/>
      <c r="I1147" s="62" t="n"/>
      <c r="J1147" s="62" t="n"/>
      <c r="K1147" s="62" t="n"/>
      <c r="L1147" s="64" t="n"/>
      <c r="M1147" s="64" t="n"/>
      <c r="N1147" s="62" t="n"/>
      <c r="O1147" s="65">
        <f>IF(Z1147=1,L1147-W1147,"")</f>
        <v/>
      </c>
      <c r="P1147" s="66">
        <f>IF(V1147="","",IFERROR(INDEX(coa_Type,MATCH(V1147,coa_Name,0)),""))</f>
        <v/>
      </c>
      <c r="Q1147" s="66">
        <f>IF(Z1147=1,IF(U1147="In",K1147&amp;"",V1147),"")</f>
        <v/>
      </c>
      <c r="R1147" s="66">
        <f>IF(Z1147=1,IF(U1147="In",V1147,K1147&amp;""),"")</f>
        <v/>
      </c>
      <c r="S1147" s="66">
        <f>IF(X1147&lt;&gt;"","⛔ "&amp;X1147&amp;" — not posted",IF(Y1147&lt;&gt;"","⚠ "&amp;Y1147,IF(Z1147=1,"✓ OK","")))</f>
        <v/>
      </c>
      <c r="T1147" s="67">
        <f>IF(AND(C1147="",D1147="",E1147="",L1147="",K1147=""),1,0)</f>
        <v/>
      </c>
      <c r="U1147" s="67">
        <f>IFERROR(INDEX(tt_Dir,MATCH(D1147,tt_Type,0)),"")</f>
        <v/>
      </c>
      <c r="V1147" s="67">
        <f>IF(D1147="","",IFERROR(IF(INDEX(tt_Other,MATCH(D1147,tt_Type,0))="",E1147&amp;"",INDEX(tt_Other,MATCH(D1147,tt_Type,0))),""))</f>
        <v/>
      </c>
      <c r="W1147" s="68">
        <f>IF(OR(TaxOn&lt;&gt;"Yes",NOT(ISNUMBER(M1147))),0,IF(IFERROR(INDEX(tt_Tax,MATCH(D1147,tt_Type,0)),"No")="Yes",M1147,0))</f>
        <v/>
      </c>
      <c r="X1147" s="67">
        <f>IF(T1147=1,"",IF(C1147="","Missing transaction date",IF(NOT(ISNUMBER(C1147)),"Invalid date",IF(OR(C1147&lt;DATE(2000,1,1),C1147&gt;DATE(2099,12,31)),"Invalid date",IF(D1147="","Select a type",IF(U1147="","Unknown type: "&amp;D1147,IF(V1147="","Select an account (Category)",IF(ISNA(MATCH(V1147,coa_Name,0)),"Unknown account: "&amp;V1147,IF(K1147="","Select Paid From / Deposited To",IF(ISNA(MATCH(K1147,coa_Name,0)),"Unknown account: "&amp;K1147,IF(NOT(ISNUMBER(L1147)),"Enter an amount",IF(L1147=0,"Enter an amount",IF(ABS(W1147)&gt;ABS(L1147),"Tax is larger than the amount","")))))))))))))</f>
        <v/>
      </c>
      <c r="Y1147" s="67">
        <f>IF(OR(T1147=1,X1147&lt;&gt;""),"",IF(AND(B1147&lt;&gt;"",COUNTIF(tx_ID,B1147)&gt;1),"Duplicate transaction ID",IF(AND(L1147&lt;0,D1147&lt;&gt;"Adjustment"),"Negative amount — check this entry",IF(AND(D1147="Customer Payment",G1147=""),"Add the customer",IF(AND(D1147="Customer Payment",OR(J1147="",COUNTIF(ar_No,J1147&amp;"")=0)),"Invoice # in Reference not found on AR sheet",IF(AND(D1147="Bill Payment",H1147=""),"Add the vendor",IF(AND(D1147="Bill Payment",OR(J1147="",COUNTIFS(ap_No,J1147&amp;"",ap_Party,H1147&amp;"")=0)),"Bill # + vendor not found on AP sheet",IF(AND(ISNUMBER(M1147),N(M1147)&lt;&gt;0,W1147=0),"Tax ignored (tax tracking off, or not allowed for this type)",IF(V1147=K1147&amp;"","Same account on both sides",IF(AND(ISNUMBER(StartDate),C1147&lt;StartDate),"Date is before the accounting start date",IF(AND(D1147&lt;&gt;"Adjustment",IFERROR(INDEX(coa_Pay,MATCH(K1147&amp;"",coa_Name,0)),"")&lt;&gt;"Yes"),"Paid From / Deposited To is not a payment account","")))))))))))</f>
        <v/>
      </c>
      <c r="Z1147" s="67">
        <f>IF(AND(T1147=0,X1147=""),1,0)</f>
        <v/>
      </c>
      <c r="AA1147" s="68">
        <f>IF(Z1147=1,IF(U1147="In",L1147,L1147-W1147),0)</f>
        <v/>
      </c>
      <c r="AB1147" s="68">
        <f>IF(Z1147=1,IF(U1147="In",L1147-W1147,L1147),0)</f>
        <v/>
      </c>
      <c r="AC1147" s="68">
        <f>IF(AND(Z1147=1,U1147="Out"),W1147,0)</f>
        <v/>
      </c>
      <c r="AD1147" s="68">
        <f>IF(AND(Z1147=1,U1147="In"),W1147,0)</f>
        <v/>
      </c>
    </row>
    <row r="1148">
      <c r="B1148" s="62" t="inlineStr">
        <is>
          <t>TX-1142</t>
        </is>
      </c>
      <c r="C1148" s="63" t="n"/>
      <c r="D1148" s="62" t="n"/>
      <c r="E1148" s="62" t="n"/>
      <c r="F1148" s="62" t="n"/>
      <c r="G1148" s="62" t="n"/>
      <c r="H1148" s="62" t="n"/>
      <c r="I1148" s="62" t="n"/>
      <c r="J1148" s="62" t="n"/>
      <c r="K1148" s="62" t="n"/>
      <c r="L1148" s="64" t="n"/>
      <c r="M1148" s="64" t="n"/>
      <c r="N1148" s="62" t="n"/>
      <c r="O1148" s="65">
        <f>IF(Z1148=1,L1148-W1148,"")</f>
        <v/>
      </c>
      <c r="P1148" s="66">
        <f>IF(V1148="","",IFERROR(INDEX(coa_Type,MATCH(V1148,coa_Name,0)),""))</f>
        <v/>
      </c>
      <c r="Q1148" s="66">
        <f>IF(Z1148=1,IF(U1148="In",K1148&amp;"",V1148),"")</f>
        <v/>
      </c>
      <c r="R1148" s="66">
        <f>IF(Z1148=1,IF(U1148="In",V1148,K1148&amp;""),"")</f>
        <v/>
      </c>
      <c r="S1148" s="66">
        <f>IF(X1148&lt;&gt;"","⛔ "&amp;X1148&amp;" — not posted",IF(Y1148&lt;&gt;"","⚠ "&amp;Y1148,IF(Z1148=1,"✓ OK","")))</f>
        <v/>
      </c>
      <c r="T1148" s="67">
        <f>IF(AND(C1148="",D1148="",E1148="",L1148="",K1148=""),1,0)</f>
        <v/>
      </c>
      <c r="U1148" s="67">
        <f>IFERROR(INDEX(tt_Dir,MATCH(D1148,tt_Type,0)),"")</f>
        <v/>
      </c>
      <c r="V1148" s="67">
        <f>IF(D1148="","",IFERROR(IF(INDEX(tt_Other,MATCH(D1148,tt_Type,0))="",E1148&amp;"",INDEX(tt_Other,MATCH(D1148,tt_Type,0))),""))</f>
        <v/>
      </c>
      <c r="W1148" s="68">
        <f>IF(OR(TaxOn&lt;&gt;"Yes",NOT(ISNUMBER(M1148))),0,IF(IFERROR(INDEX(tt_Tax,MATCH(D1148,tt_Type,0)),"No")="Yes",M1148,0))</f>
        <v/>
      </c>
      <c r="X1148" s="67">
        <f>IF(T1148=1,"",IF(C1148="","Missing transaction date",IF(NOT(ISNUMBER(C1148)),"Invalid date",IF(OR(C1148&lt;DATE(2000,1,1),C1148&gt;DATE(2099,12,31)),"Invalid date",IF(D1148="","Select a type",IF(U1148="","Unknown type: "&amp;D1148,IF(V1148="","Select an account (Category)",IF(ISNA(MATCH(V1148,coa_Name,0)),"Unknown account: "&amp;V1148,IF(K1148="","Select Paid From / Deposited To",IF(ISNA(MATCH(K1148,coa_Name,0)),"Unknown account: "&amp;K1148,IF(NOT(ISNUMBER(L1148)),"Enter an amount",IF(L1148=0,"Enter an amount",IF(ABS(W1148)&gt;ABS(L1148),"Tax is larger than the amount","")))))))))))))</f>
        <v/>
      </c>
      <c r="Y1148" s="67">
        <f>IF(OR(T1148=1,X1148&lt;&gt;""),"",IF(AND(B1148&lt;&gt;"",COUNTIF(tx_ID,B1148)&gt;1),"Duplicate transaction ID",IF(AND(L1148&lt;0,D1148&lt;&gt;"Adjustment"),"Negative amount — check this entry",IF(AND(D1148="Customer Payment",G1148=""),"Add the customer",IF(AND(D1148="Customer Payment",OR(J1148="",COUNTIF(ar_No,J1148&amp;"")=0)),"Invoice # in Reference not found on AR sheet",IF(AND(D1148="Bill Payment",H1148=""),"Add the vendor",IF(AND(D1148="Bill Payment",OR(J1148="",COUNTIFS(ap_No,J1148&amp;"",ap_Party,H1148&amp;"")=0)),"Bill # + vendor not found on AP sheet",IF(AND(ISNUMBER(M1148),N(M1148)&lt;&gt;0,W1148=0),"Tax ignored (tax tracking off, or not allowed for this type)",IF(V1148=K1148&amp;"","Same account on both sides",IF(AND(ISNUMBER(StartDate),C1148&lt;StartDate),"Date is before the accounting start date",IF(AND(D1148&lt;&gt;"Adjustment",IFERROR(INDEX(coa_Pay,MATCH(K1148&amp;"",coa_Name,0)),"")&lt;&gt;"Yes"),"Paid From / Deposited To is not a payment account","")))))))))))</f>
        <v/>
      </c>
      <c r="Z1148" s="67">
        <f>IF(AND(T1148=0,X1148=""),1,0)</f>
        <v/>
      </c>
      <c r="AA1148" s="68">
        <f>IF(Z1148=1,IF(U1148="In",L1148,L1148-W1148),0)</f>
        <v/>
      </c>
      <c r="AB1148" s="68">
        <f>IF(Z1148=1,IF(U1148="In",L1148-W1148,L1148),0)</f>
        <v/>
      </c>
      <c r="AC1148" s="68">
        <f>IF(AND(Z1148=1,U1148="Out"),W1148,0)</f>
        <v/>
      </c>
      <c r="AD1148" s="68">
        <f>IF(AND(Z1148=1,U1148="In"),W1148,0)</f>
        <v/>
      </c>
    </row>
    <row r="1149">
      <c r="B1149" s="62" t="inlineStr">
        <is>
          <t>TX-1143</t>
        </is>
      </c>
      <c r="C1149" s="63" t="n"/>
      <c r="D1149" s="62" t="n"/>
      <c r="E1149" s="62" t="n"/>
      <c r="F1149" s="62" t="n"/>
      <c r="G1149" s="62" t="n"/>
      <c r="H1149" s="62" t="n"/>
      <c r="I1149" s="62" t="n"/>
      <c r="J1149" s="62" t="n"/>
      <c r="K1149" s="62" t="n"/>
      <c r="L1149" s="64" t="n"/>
      <c r="M1149" s="64" t="n"/>
      <c r="N1149" s="62" t="n"/>
      <c r="O1149" s="65">
        <f>IF(Z1149=1,L1149-W1149,"")</f>
        <v/>
      </c>
      <c r="P1149" s="66">
        <f>IF(V1149="","",IFERROR(INDEX(coa_Type,MATCH(V1149,coa_Name,0)),""))</f>
        <v/>
      </c>
      <c r="Q1149" s="66">
        <f>IF(Z1149=1,IF(U1149="In",K1149&amp;"",V1149),"")</f>
        <v/>
      </c>
      <c r="R1149" s="66">
        <f>IF(Z1149=1,IF(U1149="In",V1149,K1149&amp;""),"")</f>
        <v/>
      </c>
      <c r="S1149" s="66">
        <f>IF(X1149&lt;&gt;"","⛔ "&amp;X1149&amp;" — not posted",IF(Y1149&lt;&gt;"","⚠ "&amp;Y1149,IF(Z1149=1,"✓ OK","")))</f>
        <v/>
      </c>
      <c r="T1149" s="67">
        <f>IF(AND(C1149="",D1149="",E1149="",L1149="",K1149=""),1,0)</f>
        <v/>
      </c>
      <c r="U1149" s="67">
        <f>IFERROR(INDEX(tt_Dir,MATCH(D1149,tt_Type,0)),"")</f>
        <v/>
      </c>
      <c r="V1149" s="67">
        <f>IF(D1149="","",IFERROR(IF(INDEX(tt_Other,MATCH(D1149,tt_Type,0))="",E1149&amp;"",INDEX(tt_Other,MATCH(D1149,tt_Type,0))),""))</f>
        <v/>
      </c>
      <c r="W1149" s="68">
        <f>IF(OR(TaxOn&lt;&gt;"Yes",NOT(ISNUMBER(M1149))),0,IF(IFERROR(INDEX(tt_Tax,MATCH(D1149,tt_Type,0)),"No")="Yes",M1149,0))</f>
        <v/>
      </c>
      <c r="X1149" s="67">
        <f>IF(T1149=1,"",IF(C1149="","Missing transaction date",IF(NOT(ISNUMBER(C1149)),"Invalid date",IF(OR(C1149&lt;DATE(2000,1,1),C1149&gt;DATE(2099,12,31)),"Invalid date",IF(D1149="","Select a type",IF(U1149="","Unknown type: "&amp;D1149,IF(V1149="","Select an account (Category)",IF(ISNA(MATCH(V1149,coa_Name,0)),"Unknown account: "&amp;V1149,IF(K1149="","Select Paid From / Deposited To",IF(ISNA(MATCH(K1149,coa_Name,0)),"Unknown account: "&amp;K1149,IF(NOT(ISNUMBER(L1149)),"Enter an amount",IF(L1149=0,"Enter an amount",IF(ABS(W1149)&gt;ABS(L1149),"Tax is larger than the amount","")))))))))))))</f>
        <v/>
      </c>
      <c r="Y1149" s="67">
        <f>IF(OR(T1149=1,X1149&lt;&gt;""),"",IF(AND(B1149&lt;&gt;"",COUNTIF(tx_ID,B1149)&gt;1),"Duplicate transaction ID",IF(AND(L1149&lt;0,D1149&lt;&gt;"Adjustment"),"Negative amount — check this entry",IF(AND(D1149="Customer Payment",G1149=""),"Add the customer",IF(AND(D1149="Customer Payment",OR(J1149="",COUNTIF(ar_No,J1149&amp;"")=0)),"Invoice # in Reference not found on AR sheet",IF(AND(D1149="Bill Payment",H1149=""),"Add the vendor",IF(AND(D1149="Bill Payment",OR(J1149="",COUNTIFS(ap_No,J1149&amp;"",ap_Party,H1149&amp;"")=0)),"Bill # + vendor not found on AP sheet",IF(AND(ISNUMBER(M1149),N(M1149)&lt;&gt;0,W1149=0),"Tax ignored (tax tracking off, or not allowed for this type)",IF(V1149=K1149&amp;"","Same account on both sides",IF(AND(ISNUMBER(StartDate),C1149&lt;StartDate),"Date is before the accounting start date",IF(AND(D1149&lt;&gt;"Adjustment",IFERROR(INDEX(coa_Pay,MATCH(K1149&amp;"",coa_Name,0)),"")&lt;&gt;"Yes"),"Paid From / Deposited To is not a payment account","")))))))))))</f>
        <v/>
      </c>
      <c r="Z1149" s="67">
        <f>IF(AND(T1149=0,X1149=""),1,0)</f>
        <v/>
      </c>
      <c r="AA1149" s="68">
        <f>IF(Z1149=1,IF(U1149="In",L1149,L1149-W1149),0)</f>
        <v/>
      </c>
      <c r="AB1149" s="68">
        <f>IF(Z1149=1,IF(U1149="In",L1149-W1149,L1149),0)</f>
        <v/>
      </c>
      <c r="AC1149" s="68">
        <f>IF(AND(Z1149=1,U1149="Out"),W1149,0)</f>
        <v/>
      </c>
      <c r="AD1149" s="68">
        <f>IF(AND(Z1149=1,U1149="In"),W1149,0)</f>
        <v/>
      </c>
    </row>
    <row r="1150">
      <c r="B1150" s="62" t="inlineStr">
        <is>
          <t>TX-1144</t>
        </is>
      </c>
      <c r="C1150" s="63" t="n"/>
      <c r="D1150" s="62" t="n"/>
      <c r="E1150" s="62" t="n"/>
      <c r="F1150" s="62" t="n"/>
      <c r="G1150" s="62" t="n"/>
      <c r="H1150" s="62" t="n"/>
      <c r="I1150" s="62" t="n"/>
      <c r="J1150" s="62" t="n"/>
      <c r="K1150" s="62" t="n"/>
      <c r="L1150" s="64" t="n"/>
      <c r="M1150" s="64" t="n"/>
      <c r="N1150" s="62" t="n"/>
      <c r="O1150" s="65">
        <f>IF(Z1150=1,L1150-W1150,"")</f>
        <v/>
      </c>
      <c r="P1150" s="66">
        <f>IF(V1150="","",IFERROR(INDEX(coa_Type,MATCH(V1150,coa_Name,0)),""))</f>
        <v/>
      </c>
      <c r="Q1150" s="66">
        <f>IF(Z1150=1,IF(U1150="In",K1150&amp;"",V1150),"")</f>
        <v/>
      </c>
      <c r="R1150" s="66">
        <f>IF(Z1150=1,IF(U1150="In",V1150,K1150&amp;""),"")</f>
        <v/>
      </c>
      <c r="S1150" s="66">
        <f>IF(X1150&lt;&gt;"","⛔ "&amp;X1150&amp;" — not posted",IF(Y1150&lt;&gt;"","⚠ "&amp;Y1150,IF(Z1150=1,"✓ OK","")))</f>
        <v/>
      </c>
      <c r="T1150" s="67">
        <f>IF(AND(C1150="",D1150="",E1150="",L1150="",K1150=""),1,0)</f>
        <v/>
      </c>
      <c r="U1150" s="67">
        <f>IFERROR(INDEX(tt_Dir,MATCH(D1150,tt_Type,0)),"")</f>
        <v/>
      </c>
      <c r="V1150" s="67">
        <f>IF(D1150="","",IFERROR(IF(INDEX(tt_Other,MATCH(D1150,tt_Type,0))="",E1150&amp;"",INDEX(tt_Other,MATCH(D1150,tt_Type,0))),""))</f>
        <v/>
      </c>
      <c r="W1150" s="68">
        <f>IF(OR(TaxOn&lt;&gt;"Yes",NOT(ISNUMBER(M1150))),0,IF(IFERROR(INDEX(tt_Tax,MATCH(D1150,tt_Type,0)),"No")="Yes",M1150,0))</f>
        <v/>
      </c>
      <c r="X1150" s="67">
        <f>IF(T1150=1,"",IF(C1150="","Missing transaction date",IF(NOT(ISNUMBER(C1150)),"Invalid date",IF(OR(C1150&lt;DATE(2000,1,1),C1150&gt;DATE(2099,12,31)),"Invalid date",IF(D1150="","Select a type",IF(U1150="","Unknown type: "&amp;D1150,IF(V1150="","Select an account (Category)",IF(ISNA(MATCH(V1150,coa_Name,0)),"Unknown account: "&amp;V1150,IF(K1150="","Select Paid From / Deposited To",IF(ISNA(MATCH(K1150,coa_Name,0)),"Unknown account: "&amp;K1150,IF(NOT(ISNUMBER(L1150)),"Enter an amount",IF(L1150=0,"Enter an amount",IF(ABS(W1150)&gt;ABS(L1150),"Tax is larger than the amount","")))))))))))))</f>
        <v/>
      </c>
      <c r="Y1150" s="67">
        <f>IF(OR(T1150=1,X1150&lt;&gt;""),"",IF(AND(B1150&lt;&gt;"",COUNTIF(tx_ID,B1150)&gt;1),"Duplicate transaction ID",IF(AND(L1150&lt;0,D1150&lt;&gt;"Adjustment"),"Negative amount — check this entry",IF(AND(D1150="Customer Payment",G1150=""),"Add the customer",IF(AND(D1150="Customer Payment",OR(J1150="",COUNTIF(ar_No,J1150&amp;"")=0)),"Invoice # in Reference not found on AR sheet",IF(AND(D1150="Bill Payment",H1150=""),"Add the vendor",IF(AND(D1150="Bill Payment",OR(J1150="",COUNTIFS(ap_No,J1150&amp;"",ap_Party,H1150&amp;"")=0)),"Bill # + vendor not found on AP sheet",IF(AND(ISNUMBER(M1150),N(M1150)&lt;&gt;0,W1150=0),"Tax ignored (tax tracking off, or not allowed for this type)",IF(V1150=K1150&amp;"","Same account on both sides",IF(AND(ISNUMBER(StartDate),C1150&lt;StartDate),"Date is before the accounting start date",IF(AND(D1150&lt;&gt;"Adjustment",IFERROR(INDEX(coa_Pay,MATCH(K1150&amp;"",coa_Name,0)),"")&lt;&gt;"Yes"),"Paid From / Deposited To is not a payment account","")))))))))))</f>
        <v/>
      </c>
      <c r="Z1150" s="67">
        <f>IF(AND(T1150=0,X1150=""),1,0)</f>
        <v/>
      </c>
      <c r="AA1150" s="68">
        <f>IF(Z1150=1,IF(U1150="In",L1150,L1150-W1150),0)</f>
        <v/>
      </c>
      <c r="AB1150" s="68">
        <f>IF(Z1150=1,IF(U1150="In",L1150-W1150,L1150),0)</f>
        <v/>
      </c>
      <c r="AC1150" s="68">
        <f>IF(AND(Z1150=1,U1150="Out"),W1150,0)</f>
        <v/>
      </c>
      <c r="AD1150" s="68">
        <f>IF(AND(Z1150=1,U1150="In"),W1150,0)</f>
        <v/>
      </c>
    </row>
    <row r="1151">
      <c r="B1151" s="62" t="inlineStr">
        <is>
          <t>TX-1145</t>
        </is>
      </c>
      <c r="C1151" s="63" t="n"/>
      <c r="D1151" s="62" t="n"/>
      <c r="E1151" s="62" t="n"/>
      <c r="F1151" s="62" t="n"/>
      <c r="G1151" s="62" t="n"/>
      <c r="H1151" s="62" t="n"/>
      <c r="I1151" s="62" t="n"/>
      <c r="J1151" s="62" t="n"/>
      <c r="K1151" s="62" t="n"/>
      <c r="L1151" s="64" t="n"/>
      <c r="M1151" s="64" t="n"/>
      <c r="N1151" s="62" t="n"/>
      <c r="O1151" s="65">
        <f>IF(Z1151=1,L1151-W1151,"")</f>
        <v/>
      </c>
      <c r="P1151" s="66">
        <f>IF(V1151="","",IFERROR(INDEX(coa_Type,MATCH(V1151,coa_Name,0)),""))</f>
        <v/>
      </c>
      <c r="Q1151" s="66">
        <f>IF(Z1151=1,IF(U1151="In",K1151&amp;"",V1151),"")</f>
        <v/>
      </c>
      <c r="R1151" s="66">
        <f>IF(Z1151=1,IF(U1151="In",V1151,K1151&amp;""),"")</f>
        <v/>
      </c>
      <c r="S1151" s="66">
        <f>IF(X1151&lt;&gt;"","⛔ "&amp;X1151&amp;" — not posted",IF(Y1151&lt;&gt;"","⚠ "&amp;Y1151,IF(Z1151=1,"✓ OK","")))</f>
        <v/>
      </c>
      <c r="T1151" s="67">
        <f>IF(AND(C1151="",D1151="",E1151="",L1151="",K1151=""),1,0)</f>
        <v/>
      </c>
      <c r="U1151" s="67">
        <f>IFERROR(INDEX(tt_Dir,MATCH(D1151,tt_Type,0)),"")</f>
        <v/>
      </c>
      <c r="V1151" s="67">
        <f>IF(D1151="","",IFERROR(IF(INDEX(tt_Other,MATCH(D1151,tt_Type,0))="",E1151&amp;"",INDEX(tt_Other,MATCH(D1151,tt_Type,0))),""))</f>
        <v/>
      </c>
      <c r="W1151" s="68">
        <f>IF(OR(TaxOn&lt;&gt;"Yes",NOT(ISNUMBER(M1151))),0,IF(IFERROR(INDEX(tt_Tax,MATCH(D1151,tt_Type,0)),"No")="Yes",M1151,0))</f>
        <v/>
      </c>
      <c r="X1151" s="67">
        <f>IF(T1151=1,"",IF(C1151="","Missing transaction date",IF(NOT(ISNUMBER(C1151)),"Invalid date",IF(OR(C1151&lt;DATE(2000,1,1),C1151&gt;DATE(2099,12,31)),"Invalid date",IF(D1151="","Select a type",IF(U1151="","Unknown type: "&amp;D1151,IF(V1151="","Select an account (Category)",IF(ISNA(MATCH(V1151,coa_Name,0)),"Unknown account: "&amp;V1151,IF(K1151="","Select Paid From / Deposited To",IF(ISNA(MATCH(K1151,coa_Name,0)),"Unknown account: "&amp;K1151,IF(NOT(ISNUMBER(L1151)),"Enter an amount",IF(L1151=0,"Enter an amount",IF(ABS(W1151)&gt;ABS(L1151),"Tax is larger than the amount","")))))))))))))</f>
        <v/>
      </c>
      <c r="Y1151" s="67">
        <f>IF(OR(T1151=1,X1151&lt;&gt;""),"",IF(AND(B1151&lt;&gt;"",COUNTIF(tx_ID,B1151)&gt;1),"Duplicate transaction ID",IF(AND(L1151&lt;0,D1151&lt;&gt;"Adjustment"),"Negative amount — check this entry",IF(AND(D1151="Customer Payment",G1151=""),"Add the customer",IF(AND(D1151="Customer Payment",OR(J1151="",COUNTIF(ar_No,J1151&amp;"")=0)),"Invoice # in Reference not found on AR sheet",IF(AND(D1151="Bill Payment",H1151=""),"Add the vendor",IF(AND(D1151="Bill Payment",OR(J1151="",COUNTIFS(ap_No,J1151&amp;"",ap_Party,H1151&amp;"")=0)),"Bill # + vendor not found on AP sheet",IF(AND(ISNUMBER(M1151),N(M1151)&lt;&gt;0,W1151=0),"Tax ignored (tax tracking off, or not allowed for this type)",IF(V1151=K1151&amp;"","Same account on both sides",IF(AND(ISNUMBER(StartDate),C1151&lt;StartDate),"Date is before the accounting start date",IF(AND(D1151&lt;&gt;"Adjustment",IFERROR(INDEX(coa_Pay,MATCH(K1151&amp;"",coa_Name,0)),"")&lt;&gt;"Yes"),"Paid From / Deposited To is not a payment account","")))))))))))</f>
        <v/>
      </c>
      <c r="Z1151" s="67">
        <f>IF(AND(T1151=0,X1151=""),1,0)</f>
        <v/>
      </c>
      <c r="AA1151" s="68">
        <f>IF(Z1151=1,IF(U1151="In",L1151,L1151-W1151),0)</f>
        <v/>
      </c>
      <c r="AB1151" s="68">
        <f>IF(Z1151=1,IF(U1151="In",L1151-W1151,L1151),0)</f>
        <v/>
      </c>
      <c r="AC1151" s="68">
        <f>IF(AND(Z1151=1,U1151="Out"),W1151,0)</f>
        <v/>
      </c>
      <c r="AD1151" s="68">
        <f>IF(AND(Z1151=1,U1151="In"),W1151,0)</f>
        <v/>
      </c>
    </row>
    <row r="1152">
      <c r="B1152" s="62" t="inlineStr">
        <is>
          <t>TX-1146</t>
        </is>
      </c>
      <c r="C1152" s="63" t="n"/>
      <c r="D1152" s="62" t="n"/>
      <c r="E1152" s="62" t="n"/>
      <c r="F1152" s="62" t="n"/>
      <c r="G1152" s="62" t="n"/>
      <c r="H1152" s="62" t="n"/>
      <c r="I1152" s="62" t="n"/>
      <c r="J1152" s="62" t="n"/>
      <c r="K1152" s="62" t="n"/>
      <c r="L1152" s="64" t="n"/>
      <c r="M1152" s="64" t="n"/>
      <c r="N1152" s="62" t="n"/>
      <c r="O1152" s="65">
        <f>IF(Z1152=1,L1152-W1152,"")</f>
        <v/>
      </c>
      <c r="P1152" s="66">
        <f>IF(V1152="","",IFERROR(INDEX(coa_Type,MATCH(V1152,coa_Name,0)),""))</f>
        <v/>
      </c>
      <c r="Q1152" s="66">
        <f>IF(Z1152=1,IF(U1152="In",K1152&amp;"",V1152),"")</f>
        <v/>
      </c>
      <c r="R1152" s="66">
        <f>IF(Z1152=1,IF(U1152="In",V1152,K1152&amp;""),"")</f>
        <v/>
      </c>
      <c r="S1152" s="66">
        <f>IF(X1152&lt;&gt;"","⛔ "&amp;X1152&amp;" — not posted",IF(Y1152&lt;&gt;"","⚠ "&amp;Y1152,IF(Z1152=1,"✓ OK","")))</f>
        <v/>
      </c>
      <c r="T1152" s="67">
        <f>IF(AND(C1152="",D1152="",E1152="",L1152="",K1152=""),1,0)</f>
        <v/>
      </c>
      <c r="U1152" s="67">
        <f>IFERROR(INDEX(tt_Dir,MATCH(D1152,tt_Type,0)),"")</f>
        <v/>
      </c>
      <c r="V1152" s="67">
        <f>IF(D1152="","",IFERROR(IF(INDEX(tt_Other,MATCH(D1152,tt_Type,0))="",E1152&amp;"",INDEX(tt_Other,MATCH(D1152,tt_Type,0))),""))</f>
        <v/>
      </c>
      <c r="W1152" s="68">
        <f>IF(OR(TaxOn&lt;&gt;"Yes",NOT(ISNUMBER(M1152))),0,IF(IFERROR(INDEX(tt_Tax,MATCH(D1152,tt_Type,0)),"No")="Yes",M1152,0))</f>
        <v/>
      </c>
      <c r="X1152" s="67">
        <f>IF(T1152=1,"",IF(C1152="","Missing transaction date",IF(NOT(ISNUMBER(C1152)),"Invalid date",IF(OR(C1152&lt;DATE(2000,1,1),C1152&gt;DATE(2099,12,31)),"Invalid date",IF(D1152="","Select a type",IF(U1152="","Unknown type: "&amp;D1152,IF(V1152="","Select an account (Category)",IF(ISNA(MATCH(V1152,coa_Name,0)),"Unknown account: "&amp;V1152,IF(K1152="","Select Paid From / Deposited To",IF(ISNA(MATCH(K1152,coa_Name,0)),"Unknown account: "&amp;K1152,IF(NOT(ISNUMBER(L1152)),"Enter an amount",IF(L1152=0,"Enter an amount",IF(ABS(W1152)&gt;ABS(L1152),"Tax is larger than the amount","")))))))))))))</f>
        <v/>
      </c>
      <c r="Y1152" s="67">
        <f>IF(OR(T1152=1,X1152&lt;&gt;""),"",IF(AND(B1152&lt;&gt;"",COUNTIF(tx_ID,B1152)&gt;1),"Duplicate transaction ID",IF(AND(L1152&lt;0,D1152&lt;&gt;"Adjustment"),"Negative amount — check this entry",IF(AND(D1152="Customer Payment",G1152=""),"Add the customer",IF(AND(D1152="Customer Payment",OR(J1152="",COUNTIF(ar_No,J1152&amp;"")=0)),"Invoice # in Reference not found on AR sheet",IF(AND(D1152="Bill Payment",H1152=""),"Add the vendor",IF(AND(D1152="Bill Payment",OR(J1152="",COUNTIFS(ap_No,J1152&amp;"",ap_Party,H1152&amp;"")=0)),"Bill # + vendor not found on AP sheet",IF(AND(ISNUMBER(M1152),N(M1152)&lt;&gt;0,W1152=0),"Tax ignored (tax tracking off, or not allowed for this type)",IF(V1152=K1152&amp;"","Same account on both sides",IF(AND(ISNUMBER(StartDate),C1152&lt;StartDate),"Date is before the accounting start date",IF(AND(D1152&lt;&gt;"Adjustment",IFERROR(INDEX(coa_Pay,MATCH(K1152&amp;"",coa_Name,0)),"")&lt;&gt;"Yes"),"Paid From / Deposited To is not a payment account","")))))))))))</f>
        <v/>
      </c>
      <c r="Z1152" s="67">
        <f>IF(AND(T1152=0,X1152=""),1,0)</f>
        <v/>
      </c>
      <c r="AA1152" s="68">
        <f>IF(Z1152=1,IF(U1152="In",L1152,L1152-W1152),0)</f>
        <v/>
      </c>
      <c r="AB1152" s="68">
        <f>IF(Z1152=1,IF(U1152="In",L1152-W1152,L1152),0)</f>
        <v/>
      </c>
      <c r="AC1152" s="68">
        <f>IF(AND(Z1152=1,U1152="Out"),W1152,0)</f>
        <v/>
      </c>
      <c r="AD1152" s="68">
        <f>IF(AND(Z1152=1,U1152="In"),W1152,0)</f>
        <v/>
      </c>
    </row>
    <row r="1153">
      <c r="B1153" s="62" t="inlineStr">
        <is>
          <t>TX-1147</t>
        </is>
      </c>
      <c r="C1153" s="63" t="n"/>
      <c r="D1153" s="62" t="n"/>
      <c r="E1153" s="62" t="n"/>
      <c r="F1153" s="62" t="n"/>
      <c r="G1153" s="62" t="n"/>
      <c r="H1153" s="62" t="n"/>
      <c r="I1153" s="62" t="n"/>
      <c r="J1153" s="62" t="n"/>
      <c r="K1153" s="62" t="n"/>
      <c r="L1153" s="64" t="n"/>
      <c r="M1153" s="64" t="n"/>
      <c r="N1153" s="62" t="n"/>
      <c r="O1153" s="65">
        <f>IF(Z1153=1,L1153-W1153,"")</f>
        <v/>
      </c>
      <c r="P1153" s="66">
        <f>IF(V1153="","",IFERROR(INDEX(coa_Type,MATCH(V1153,coa_Name,0)),""))</f>
        <v/>
      </c>
      <c r="Q1153" s="66">
        <f>IF(Z1153=1,IF(U1153="In",K1153&amp;"",V1153),"")</f>
        <v/>
      </c>
      <c r="R1153" s="66">
        <f>IF(Z1153=1,IF(U1153="In",V1153,K1153&amp;""),"")</f>
        <v/>
      </c>
      <c r="S1153" s="66">
        <f>IF(X1153&lt;&gt;"","⛔ "&amp;X1153&amp;" — not posted",IF(Y1153&lt;&gt;"","⚠ "&amp;Y1153,IF(Z1153=1,"✓ OK","")))</f>
        <v/>
      </c>
      <c r="T1153" s="67">
        <f>IF(AND(C1153="",D1153="",E1153="",L1153="",K1153=""),1,0)</f>
        <v/>
      </c>
      <c r="U1153" s="67">
        <f>IFERROR(INDEX(tt_Dir,MATCH(D1153,tt_Type,0)),"")</f>
        <v/>
      </c>
      <c r="V1153" s="67">
        <f>IF(D1153="","",IFERROR(IF(INDEX(tt_Other,MATCH(D1153,tt_Type,0))="",E1153&amp;"",INDEX(tt_Other,MATCH(D1153,tt_Type,0))),""))</f>
        <v/>
      </c>
      <c r="W1153" s="68">
        <f>IF(OR(TaxOn&lt;&gt;"Yes",NOT(ISNUMBER(M1153))),0,IF(IFERROR(INDEX(tt_Tax,MATCH(D1153,tt_Type,0)),"No")="Yes",M1153,0))</f>
        <v/>
      </c>
      <c r="X1153" s="67">
        <f>IF(T1153=1,"",IF(C1153="","Missing transaction date",IF(NOT(ISNUMBER(C1153)),"Invalid date",IF(OR(C1153&lt;DATE(2000,1,1),C1153&gt;DATE(2099,12,31)),"Invalid date",IF(D1153="","Select a type",IF(U1153="","Unknown type: "&amp;D1153,IF(V1153="","Select an account (Category)",IF(ISNA(MATCH(V1153,coa_Name,0)),"Unknown account: "&amp;V1153,IF(K1153="","Select Paid From / Deposited To",IF(ISNA(MATCH(K1153,coa_Name,0)),"Unknown account: "&amp;K1153,IF(NOT(ISNUMBER(L1153)),"Enter an amount",IF(L1153=0,"Enter an amount",IF(ABS(W1153)&gt;ABS(L1153),"Tax is larger than the amount","")))))))))))))</f>
        <v/>
      </c>
      <c r="Y1153" s="67">
        <f>IF(OR(T1153=1,X1153&lt;&gt;""),"",IF(AND(B1153&lt;&gt;"",COUNTIF(tx_ID,B1153)&gt;1),"Duplicate transaction ID",IF(AND(L1153&lt;0,D1153&lt;&gt;"Adjustment"),"Negative amount — check this entry",IF(AND(D1153="Customer Payment",G1153=""),"Add the customer",IF(AND(D1153="Customer Payment",OR(J1153="",COUNTIF(ar_No,J1153&amp;"")=0)),"Invoice # in Reference not found on AR sheet",IF(AND(D1153="Bill Payment",H1153=""),"Add the vendor",IF(AND(D1153="Bill Payment",OR(J1153="",COUNTIFS(ap_No,J1153&amp;"",ap_Party,H1153&amp;"")=0)),"Bill # + vendor not found on AP sheet",IF(AND(ISNUMBER(M1153),N(M1153)&lt;&gt;0,W1153=0),"Tax ignored (tax tracking off, or not allowed for this type)",IF(V1153=K1153&amp;"","Same account on both sides",IF(AND(ISNUMBER(StartDate),C1153&lt;StartDate),"Date is before the accounting start date",IF(AND(D1153&lt;&gt;"Adjustment",IFERROR(INDEX(coa_Pay,MATCH(K1153&amp;"",coa_Name,0)),"")&lt;&gt;"Yes"),"Paid From / Deposited To is not a payment account","")))))))))))</f>
        <v/>
      </c>
      <c r="Z1153" s="67">
        <f>IF(AND(T1153=0,X1153=""),1,0)</f>
        <v/>
      </c>
      <c r="AA1153" s="68">
        <f>IF(Z1153=1,IF(U1153="In",L1153,L1153-W1153),0)</f>
        <v/>
      </c>
      <c r="AB1153" s="68">
        <f>IF(Z1153=1,IF(U1153="In",L1153-W1153,L1153),0)</f>
        <v/>
      </c>
      <c r="AC1153" s="68">
        <f>IF(AND(Z1153=1,U1153="Out"),W1153,0)</f>
        <v/>
      </c>
      <c r="AD1153" s="68">
        <f>IF(AND(Z1153=1,U1153="In"),W1153,0)</f>
        <v/>
      </c>
    </row>
    <row r="1154">
      <c r="B1154" s="62" t="inlineStr">
        <is>
          <t>TX-1148</t>
        </is>
      </c>
      <c r="C1154" s="63" t="n"/>
      <c r="D1154" s="62" t="n"/>
      <c r="E1154" s="62" t="n"/>
      <c r="F1154" s="62" t="n"/>
      <c r="G1154" s="62" t="n"/>
      <c r="H1154" s="62" t="n"/>
      <c r="I1154" s="62" t="n"/>
      <c r="J1154" s="62" t="n"/>
      <c r="K1154" s="62" t="n"/>
      <c r="L1154" s="64" t="n"/>
      <c r="M1154" s="64" t="n"/>
      <c r="N1154" s="62" t="n"/>
      <c r="O1154" s="65">
        <f>IF(Z1154=1,L1154-W1154,"")</f>
        <v/>
      </c>
      <c r="P1154" s="66">
        <f>IF(V1154="","",IFERROR(INDEX(coa_Type,MATCH(V1154,coa_Name,0)),""))</f>
        <v/>
      </c>
      <c r="Q1154" s="66">
        <f>IF(Z1154=1,IF(U1154="In",K1154&amp;"",V1154),"")</f>
        <v/>
      </c>
      <c r="R1154" s="66">
        <f>IF(Z1154=1,IF(U1154="In",V1154,K1154&amp;""),"")</f>
        <v/>
      </c>
      <c r="S1154" s="66">
        <f>IF(X1154&lt;&gt;"","⛔ "&amp;X1154&amp;" — not posted",IF(Y1154&lt;&gt;"","⚠ "&amp;Y1154,IF(Z1154=1,"✓ OK","")))</f>
        <v/>
      </c>
      <c r="T1154" s="67">
        <f>IF(AND(C1154="",D1154="",E1154="",L1154="",K1154=""),1,0)</f>
        <v/>
      </c>
      <c r="U1154" s="67">
        <f>IFERROR(INDEX(tt_Dir,MATCH(D1154,tt_Type,0)),"")</f>
        <v/>
      </c>
      <c r="V1154" s="67">
        <f>IF(D1154="","",IFERROR(IF(INDEX(tt_Other,MATCH(D1154,tt_Type,0))="",E1154&amp;"",INDEX(tt_Other,MATCH(D1154,tt_Type,0))),""))</f>
        <v/>
      </c>
      <c r="W1154" s="68">
        <f>IF(OR(TaxOn&lt;&gt;"Yes",NOT(ISNUMBER(M1154))),0,IF(IFERROR(INDEX(tt_Tax,MATCH(D1154,tt_Type,0)),"No")="Yes",M1154,0))</f>
        <v/>
      </c>
      <c r="X1154" s="67">
        <f>IF(T1154=1,"",IF(C1154="","Missing transaction date",IF(NOT(ISNUMBER(C1154)),"Invalid date",IF(OR(C1154&lt;DATE(2000,1,1),C1154&gt;DATE(2099,12,31)),"Invalid date",IF(D1154="","Select a type",IF(U1154="","Unknown type: "&amp;D1154,IF(V1154="","Select an account (Category)",IF(ISNA(MATCH(V1154,coa_Name,0)),"Unknown account: "&amp;V1154,IF(K1154="","Select Paid From / Deposited To",IF(ISNA(MATCH(K1154,coa_Name,0)),"Unknown account: "&amp;K1154,IF(NOT(ISNUMBER(L1154)),"Enter an amount",IF(L1154=0,"Enter an amount",IF(ABS(W1154)&gt;ABS(L1154),"Tax is larger than the amount","")))))))))))))</f>
        <v/>
      </c>
      <c r="Y1154" s="67">
        <f>IF(OR(T1154=1,X1154&lt;&gt;""),"",IF(AND(B1154&lt;&gt;"",COUNTIF(tx_ID,B1154)&gt;1),"Duplicate transaction ID",IF(AND(L1154&lt;0,D1154&lt;&gt;"Adjustment"),"Negative amount — check this entry",IF(AND(D1154="Customer Payment",G1154=""),"Add the customer",IF(AND(D1154="Customer Payment",OR(J1154="",COUNTIF(ar_No,J1154&amp;"")=0)),"Invoice # in Reference not found on AR sheet",IF(AND(D1154="Bill Payment",H1154=""),"Add the vendor",IF(AND(D1154="Bill Payment",OR(J1154="",COUNTIFS(ap_No,J1154&amp;"",ap_Party,H1154&amp;"")=0)),"Bill # + vendor not found on AP sheet",IF(AND(ISNUMBER(M1154),N(M1154)&lt;&gt;0,W1154=0),"Tax ignored (tax tracking off, or not allowed for this type)",IF(V1154=K1154&amp;"","Same account on both sides",IF(AND(ISNUMBER(StartDate),C1154&lt;StartDate),"Date is before the accounting start date",IF(AND(D1154&lt;&gt;"Adjustment",IFERROR(INDEX(coa_Pay,MATCH(K1154&amp;"",coa_Name,0)),"")&lt;&gt;"Yes"),"Paid From / Deposited To is not a payment account","")))))))))))</f>
        <v/>
      </c>
      <c r="Z1154" s="67">
        <f>IF(AND(T1154=0,X1154=""),1,0)</f>
        <v/>
      </c>
      <c r="AA1154" s="68">
        <f>IF(Z1154=1,IF(U1154="In",L1154,L1154-W1154),0)</f>
        <v/>
      </c>
      <c r="AB1154" s="68">
        <f>IF(Z1154=1,IF(U1154="In",L1154-W1154,L1154),0)</f>
        <v/>
      </c>
      <c r="AC1154" s="68">
        <f>IF(AND(Z1154=1,U1154="Out"),W1154,0)</f>
        <v/>
      </c>
      <c r="AD1154" s="68">
        <f>IF(AND(Z1154=1,U1154="In"),W1154,0)</f>
        <v/>
      </c>
    </row>
    <row r="1155">
      <c r="B1155" s="62" t="inlineStr">
        <is>
          <t>TX-1149</t>
        </is>
      </c>
      <c r="C1155" s="63" t="n"/>
      <c r="D1155" s="62" t="n"/>
      <c r="E1155" s="62" t="n"/>
      <c r="F1155" s="62" t="n"/>
      <c r="G1155" s="62" t="n"/>
      <c r="H1155" s="62" t="n"/>
      <c r="I1155" s="62" t="n"/>
      <c r="J1155" s="62" t="n"/>
      <c r="K1155" s="62" t="n"/>
      <c r="L1155" s="64" t="n"/>
      <c r="M1155" s="64" t="n"/>
      <c r="N1155" s="62" t="n"/>
      <c r="O1155" s="65">
        <f>IF(Z1155=1,L1155-W1155,"")</f>
        <v/>
      </c>
      <c r="P1155" s="66">
        <f>IF(V1155="","",IFERROR(INDEX(coa_Type,MATCH(V1155,coa_Name,0)),""))</f>
        <v/>
      </c>
      <c r="Q1155" s="66">
        <f>IF(Z1155=1,IF(U1155="In",K1155&amp;"",V1155),"")</f>
        <v/>
      </c>
      <c r="R1155" s="66">
        <f>IF(Z1155=1,IF(U1155="In",V1155,K1155&amp;""),"")</f>
        <v/>
      </c>
      <c r="S1155" s="66">
        <f>IF(X1155&lt;&gt;"","⛔ "&amp;X1155&amp;" — not posted",IF(Y1155&lt;&gt;"","⚠ "&amp;Y1155,IF(Z1155=1,"✓ OK","")))</f>
        <v/>
      </c>
      <c r="T1155" s="67">
        <f>IF(AND(C1155="",D1155="",E1155="",L1155="",K1155=""),1,0)</f>
        <v/>
      </c>
      <c r="U1155" s="67">
        <f>IFERROR(INDEX(tt_Dir,MATCH(D1155,tt_Type,0)),"")</f>
        <v/>
      </c>
      <c r="V1155" s="67">
        <f>IF(D1155="","",IFERROR(IF(INDEX(tt_Other,MATCH(D1155,tt_Type,0))="",E1155&amp;"",INDEX(tt_Other,MATCH(D1155,tt_Type,0))),""))</f>
        <v/>
      </c>
      <c r="W1155" s="68">
        <f>IF(OR(TaxOn&lt;&gt;"Yes",NOT(ISNUMBER(M1155))),0,IF(IFERROR(INDEX(tt_Tax,MATCH(D1155,tt_Type,0)),"No")="Yes",M1155,0))</f>
        <v/>
      </c>
      <c r="X1155" s="67">
        <f>IF(T1155=1,"",IF(C1155="","Missing transaction date",IF(NOT(ISNUMBER(C1155)),"Invalid date",IF(OR(C1155&lt;DATE(2000,1,1),C1155&gt;DATE(2099,12,31)),"Invalid date",IF(D1155="","Select a type",IF(U1155="","Unknown type: "&amp;D1155,IF(V1155="","Select an account (Category)",IF(ISNA(MATCH(V1155,coa_Name,0)),"Unknown account: "&amp;V1155,IF(K1155="","Select Paid From / Deposited To",IF(ISNA(MATCH(K1155,coa_Name,0)),"Unknown account: "&amp;K1155,IF(NOT(ISNUMBER(L1155)),"Enter an amount",IF(L1155=0,"Enter an amount",IF(ABS(W1155)&gt;ABS(L1155),"Tax is larger than the amount","")))))))))))))</f>
        <v/>
      </c>
      <c r="Y1155" s="67">
        <f>IF(OR(T1155=1,X1155&lt;&gt;""),"",IF(AND(B1155&lt;&gt;"",COUNTIF(tx_ID,B1155)&gt;1),"Duplicate transaction ID",IF(AND(L1155&lt;0,D1155&lt;&gt;"Adjustment"),"Negative amount — check this entry",IF(AND(D1155="Customer Payment",G1155=""),"Add the customer",IF(AND(D1155="Customer Payment",OR(J1155="",COUNTIF(ar_No,J1155&amp;"")=0)),"Invoice # in Reference not found on AR sheet",IF(AND(D1155="Bill Payment",H1155=""),"Add the vendor",IF(AND(D1155="Bill Payment",OR(J1155="",COUNTIFS(ap_No,J1155&amp;"",ap_Party,H1155&amp;"")=0)),"Bill # + vendor not found on AP sheet",IF(AND(ISNUMBER(M1155),N(M1155)&lt;&gt;0,W1155=0),"Tax ignored (tax tracking off, or not allowed for this type)",IF(V1155=K1155&amp;"","Same account on both sides",IF(AND(ISNUMBER(StartDate),C1155&lt;StartDate),"Date is before the accounting start date",IF(AND(D1155&lt;&gt;"Adjustment",IFERROR(INDEX(coa_Pay,MATCH(K1155&amp;"",coa_Name,0)),"")&lt;&gt;"Yes"),"Paid From / Deposited To is not a payment account","")))))))))))</f>
        <v/>
      </c>
      <c r="Z1155" s="67">
        <f>IF(AND(T1155=0,X1155=""),1,0)</f>
        <v/>
      </c>
      <c r="AA1155" s="68">
        <f>IF(Z1155=1,IF(U1155="In",L1155,L1155-W1155),0)</f>
        <v/>
      </c>
      <c r="AB1155" s="68">
        <f>IF(Z1155=1,IF(U1155="In",L1155-W1155,L1155),0)</f>
        <v/>
      </c>
      <c r="AC1155" s="68">
        <f>IF(AND(Z1155=1,U1155="Out"),W1155,0)</f>
        <v/>
      </c>
      <c r="AD1155" s="68">
        <f>IF(AND(Z1155=1,U1155="In"),W1155,0)</f>
        <v/>
      </c>
    </row>
    <row r="1156">
      <c r="B1156" s="62" t="inlineStr">
        <is>
          <t>TX-1150</t>
        </is>
      </c>
      <c r="C1156" s="63" t="n"/>
      <c r="D1156" s="62" t="n"/>
      <c r="E1156" s="62" t="n"/>
      <c r="F1156" s="62" t="n"/>
      <c r="G1156" s="62" t="n"/>
      <c r="H1156" s="62" t="n"/>
      <c r="I1156" s="62" t="n"/>
      <c r="J1156" s="62" t="n"/>
      <c r="K1156" s="62" t="n"/>
      <c r="L1156" s="64" t="n"/>
      <c r="M1156" s="64" t="n"/>
      <c r="N1156" s="62" t="n"/>
      <c r="O1156" s="65">
        <f>IF(Z1156=1,L1156-W1156,"")</f>
        <v/>
      </c>
      <c r="P1156" s="66">
        <f>IF(V1156="","",IFERROR(INDEX(coa_Type,MATCH(V1156,coa_Name,0)),""))</f>
        <v/>
      </c>
      <c r="Q1156" s="66">
        <f>IF(Z1156=1,IF(U1156="In",K1156&amp;"",V1156),"")</f>
        <v/>
      </c>
      <c r="R1156" s="66">
        <f>IF(Z1156=1,IF(U1156="In",V1156,K1156&amp;""),"")</f>
        <v/>
      </c>
      <c r="S1156" s="66">
        <f>IF(X1156&lt;&gt;"","⛔ "&amp;X1156&amp;" — not posted",IF(Y1156&lt;&gt;"","⚠ "&amp;Y1156,IF(Z1156=1,"✓ OK","")))</f>
        <v/>
      </c>
      <c r="T1156" s="67">
        <f>IF(AND(C1156="",D1156="",E1156="",L1156="",K1156=""),1,0)</f>
        <v/>
      </c>
      <c r="U1156" s="67">
        <f>IFERROR(INDEX(tt_Dir,MATCH(D1156,tt_Type,0)),"")</f>
        <v/>
      </c>
      <c r="V1156" s="67">
        <f>IF(D1156="","",IFERROR(IF(INDEX(tt_Other,MATCH(D1156,tt_Type,0))="",E1156&amp;"",INDEX(tt_Other,MATCH(D1156,tt_Type,0))),""))</f>
        <v/>
      </c>
      <c r="W1156" s="68">
        <f>IF(OR(TaxOn&lt;&gt;"Yes",NOT(ISNUMBER(M1156))),0,IF(IFERROR(INDEX(tt_Tax,MATCH(D1156,tt_Type,0)),"No")="Yes",M1156,0))</f>
        <v/>
      </c>
      <c r="X1156" s="67">
        <f>IF(T1156=1,"",IF(C1156="","Missing transaction date",IF(NOT(ISNUMBER(C1156)),"Invalid date",IF(OR(C1156&lt;DATE(2000,1,1),C1156&gt;DATE(2099,12,31)),"Invalid date",IF(D1156="","Select a type",IF(U1156="","Unknown type: "&amp;D1156,IF(V1156="","Select an account (Category)",IF(ISNA(MATCH(V1156,coa_Name,0)),"Unknown account: "&amp;V1156,IF(K1156="","Select Paid From / Deposited To",IF(ISNA(MATCH(K1156,coa_Name,0)),"Unknown account: "&amp;K1156,IF(NOT(ISNUMBER(L1156)),"Enter an amount",IF(L1156=0,"Enter an amount",IF(ABS(W1156)&gt;ABS(L1156),"Tax is larger than the amount","")))))))))))))</f>
        <v/>
      </c>
      <c r="Y1156" s="67">
        <f>IF(OR(T1156=1,X1156&lt;&gt;""),"",IF(AND(B1156&lt;&gt;"",COUNTIF(tx_ID,B1156)&gt;1),"Duplicate transaction ID",IF(AND(L1156&lt;0,D1156&lt;&gt;"Adjustment"),"Negative amount — check this entry",IF(AND(D1156="Customer Payment",G1156=""),"Add the customer",IF(AND(D1156="Customer Payment",OR(J1156="",COUNTIF(ar_No,J1156&amp;"")=0)),"Invoice # in Reference not found on AR sheet",IF(AND(D1156="Bill Payment",H1156=""),"Add the vendor",IF(AND(D1156="Bill Payment",OR(J1156="",COUNTIFS(ap_No,J1156&amp;"",ap_Party,H1156&amp;"")=0)),"Bill # + vendor not found on AP sheet",IF(AND(ISNUMBER(M1156),N(M1156)&lt;&gt;0,W1156=0),"Tax ignored (tax tracking off, or not allowed for this type)",IF(V1156=K1156&amp;"","Same account on both sides",IF(AND(ISNUMBER(StartDate),C1156&lt;StartDate),"Date is before the accounting start date",IF(AND(D1156&lt;&gt;"Adjustment",IFERROR(INDEX(coa_Pay,MATCH(K1156&amp;"",coa_Name,0)),"")&lt;&gt;"Yes"),"Paid From / Deposited To is not a payment account","")))))))))))</f>
        <v/>
      </c>
      <c r="Z1156" s="67">
        <f>IF(AND(T1156=0,X1156=""),1,0)</f>
        <v/>
      </c>
      <c r="AA1156" s="68">
        <f>IF(Z1156=1,IF(U1156="In",L1156,L1156-W1156),0)</f>
        <v/>
      </c>
      <c r="AB1156" s="68">
        <f>IF(Z1156=1,IF(U1156="In",L1156-W1156,L1156),0)</f>
        <v/>
      </c>
      <c r="AC1156" s="68">
        <f>IF(AND(Z1156=1,U1156="Out"),W1156,0)</f>
        <v/>
      </c>
      <c r="AD1156" s="68">
        <f>IF(AND(Z1156=1,U1156="In"),W1156,0)</f>
        <v/>
      </c>
    </row>
    <row r="1157">
      <c r="B1157" s="62" t="inlineStr">
        <is>
          <t>TX-1151</t>
        </is>
      </c>
      <c r="C1157" s="63" t="n"/>
      <c r="D1157" s="62" t="n"/>
      <c r="E1157" s="62" t="n"/>
      <c r="F1157" s="62" t="n"/>
      <c r="G1157" s="62" t="n"/>
      <c r="H1157" s="62" t="n"/>
      <c r="I1157" s="62" t="n"/>
      <c r="J1157" s="62" t="n"/>
      <c r="K1157" s="62" t="n"/>
      <c r="L1157" s="64" t="n"/>
      <c r="M1157" s="64" t="n"/>
      <c r="N1157" s="62" t="n"/>
      <c r="O1157" s="65">
        <f>IF(Z1157=1,L1157-W1157,"")</f>
        <v/>
      </c>
      <c r="P1157" s="66">
        <f>IF(V1157="","",IFERROR(INDEX(coa_Type,MATCH(V1157,coa_Name,0)),""))</f>
        <v/>
      </c>
      <c r="Q1157" s="66">
        <f>IF(Z1157=1,IF(U1157="In",K1157&amp;"",V1157),"")</f>
        <v/>
      </c>
      <c r="R1157" s="66">
        <f>IF(Z1157=1,IF(U1157="In",V1157,K1157&amp;""),"")</f>
        <v/>
      </c>
      <c r="S1157" s="66">
        <f>IF(X1157&lt;&gt;"","⛔ "&amp;X1157&amp;" — not posted",IF(Y1157&lt;&gt;"","⚠ "&amp;Y1157,IF(Z1157=1,"✓ OK","")))</f>
        <v/>
      </c>
      <c r="T1157" s="67">
        <f>IF(AND(C1157="",D1157="",E1157="",L1157="",K1157=""),1,0)</f>
        <v/>
      </c>
      <c r="U1157" s="67">
        <f>IFERROR(INDEX(tt_Dir,MATCH(D1157,tt_Type,0)),"")</f>
        <v/>
      </c>
      <c r="V1157" s="67">
        <f>IF(D1157="","",IFERROR(IF(INDEX(tt_Other,MATCH(D1157,tt_Type,0))="",E1157&amp;"",INDEX(tt_Other,MATCH(D1157,tt_Type,0))),""))</f>
        <v/>
      </c>
      <c r="W1157" s="68">
        <f>IF(OR(TaxOn&lt;&gt;"Yes",NOT(ISNUMBER(M1157))),0,IF(IFERROR(INDEX(tt_Tax,MATCH(D1157,tt_Type,0)),"No")="Yes",M1157,0))</f>
        <v/>
      </c>
      <c r="X1157" s="67">
        <f>IF(T1157=1,"",IF(C1157="","Missing transaction date",IF(NOT(ISNUMBER(C1157)),"Invalid date",IF(OR(C1157&lt;DATE(2000,1,1),C1157&gt;DATE(2099,12,31)),"Invalid date",IF(D1157="","Select a type",IF(U1157="","Unknown type: "&amp;D1157,IF(V1157="","Select an account (Category)",IF(ISNA(MATCH(V1157,coa_Name,0)),"Unknown account: "&amp;V1157,IF(K1157="","Select Paid From / Deposited To",IF(ISNA(MATCH(K1157,coa_Name,0)),"Unknown account: "&amp;K1157,IF(NOT(ISNUMBER(L1157)),"Enter an amount",IF(L1157=0,"Enter an amount",IF(ABS(W1157)&gt;ABS(L1157),"Tax is larger than the amount","")))))))))))))</f>
        <v/>
      </c>
      <c r="Y1157" s="67">
        <f>IF(OR(T1157=1,X1157&lt;&gt;""),"",IF(AND(B1157&lt;&gt;"",COUNTIF(tx_ID,B1157)&gt;1),"Duplicate transaction ID",IF(AND(L1157&lt;0,D1157&lt;&gt;"Adjustment"),"Negative amount — check this entry",IF(AND(D1157="Customer Payment",G1157=""),"Add the customer",IF(AND(D1157="Customer Payment",OR(J1157="",COUNTIF(ar_No,J1157&amp;"")=0)),"Invoice # in Reference not found on AR sheet",IF(AND(D1157="Bill Payment",H1157=""),"Add the vendor",IF(AND(D1157="Bill Payment",OR(J1157="",COUNTIFS(ap_No,J1157&amp;"",ap_Party,H1157&amp;"")=0)),"Bill # + vendor not found on AP sheet",IF(AND(ISNUMBER(M1157),N(M1157)&lt;&gt;0,W1157=0),"Tax ignored (tax tracking off, or not allowed for this type)",IF(V1157=K1157&amp;"","Same account on both sides",IF(AND(ISNUMBER(StartDate),C1157&lt;StartDate),"Date is before the accounting start date",IF(AND(D1157&lt;&gt;"Adjustment",IFERROR(INDEX(coa_Pay,MATCH(K1157&amp;"",coa_Name,0)),"")&lt;&gt;"Yes"),"Paid From / Deposited To is not a payment account","")))))))))))</f>
        <v/>
      </c>
      <c r="Z1157" s="67">
        <f>IF(AND(T1157=0,X1157=""),1,0)</f>
        <v/>
      </c>
      <c r="AA1157" s="68">
        <f>IF(Z1157=1,IF(U1157="In",L1157,L1157-W1157),0)</f>
        <v/>
      </c>
      <c r="AB1157" s="68">
        <f>IF(Z1157=1,IF(U1157="In",L1157-W1157,L1157),0)</f>
        <v/>
      </c>
      <c r="AC1157" s="68">
        <f>IF(AND(Z1157=1,U1157="Out"),W1157,0)</f>
        <v/>
      </c>
      <c r="AD1157" s="68">
        <f>IF(AND(Z1157=1,U1157="In"),W1157,0)</f>
        <v/>
      </c>
    </row>
    <row r="1158">
      <c r="B1158" s="62" t="inlineStr">
        <is>
          <t>TX-1152</t>
        </is>
      </c>
      <c r="C1158" s="63" t="n"/>
      <c r="D1158" s="62" t="n"/>
      <c r="E1158" s="62" t="n"/>
      <c r="F1158" s="62" t="n"/>
      <c r="G1158" s="62" t="n"/>
      <c r="H1158" s="62" t="n"/>
      <c r="I1158" s="62" t="n"/>
      <c r="J1158" s="62" t="n"/>
      <c r="K1158" s="62" t="n"/>
      <c r="L1158" s="64" t="n"/>
      <c r="M1158" s="64" t="n"/>
      <c r="N1158" s="62" t="n"/>
      <c r="O1158" s="65">
        <f>IF(Z1158=1,L1158-W1158,"")</f>
        <v/>
      </c>
      <c r="P1158" s="66">
        <f>IF(V1158="","",IFERROR(INDEX(coa_Type,MATCH(V1158,coa_Name,0)),""))</f>
        <v/>
      </c>
      <c r="Q1158" s="66">
        <f>IF(Z1158=1,IF(U1158="In",K1158&amp;"",V1158),"")</f>
        <v/>
      </c>
      <c r="R1158" s="66">
        <f>IF(Z1158=1,IF(U1158="In",V1158,K1158&amp;""),"")</f>
        <v/>
      </c>
      <c r="S1158" s="66">
        <f>IF(X1158&lt;&gt;"","⛔ "&amp;X1158&amp;" — not posted",IF(Y1158&lt;&gt;"","⚠ "&amp;Y1158,IF(Z1158=1,"✓ OK","")))</f>
        <v/>
      </c>
      <c r="T1158" s="67">
        <f>IF(AND(C1158="",D1158="",E1158="",L1158="",K1158=""),1,0)</f>
        <v/>
      </c>
      <c r="U1158" s="67">
        <f>IFERROR(INDEX(tt_Dir,MATCH(D1158,tt_Type,0)),"")</f>
        <v/>
      </c>
      <c r="V1158" s="67">
        <f>IF(D1158="","",IFERROR(IF(INDEX(tt_Other,MATCH(D1158,tt_Type,0))="",E1158&amp;"",INDEX(tt_Other,MATCH(D1158,tt_Type,0))),""))</f>
        <v/>
      </c>
      <c r="W1158" s="68">
        <f>IF(OR(TaxOn&lt;&gt;"Yes",NOT(ISNUMBER(M1158))),0,IF(IFERROR(INDEX(tt_Tax,MATCH(D1158,tt_Type,0)),"No")="Yes",M1158,0))</f>
        <v/>
      </c>
      <c r="X1158" s="67">
        <f>IF(T1158=1,"",IF(C1158="","Missing transaction date",IF(NOT(ISNUMBER(C1158)),"Invalid date",IF(OR(C1158&lt;DATE(2000,1,1),C1158&gt;DATE(2099,12,31)),"Invalid date",IF(D1158="","Select a type",IF(U1158="","Unknown type: "&amp;D1158,IF(V1158="","Select an account (Category)",IF(ISNA(MATCH(V1158,coa_Name,0)),"Unknown account: "&amp;V1158,IF(K1158="","Select Paid From / Deposited To",IF(ISNA(MATCH(K1158,coa_Name,0)),"Unknown account: "&amp;K1158,IF(NOT(ISNUMBER(L1158)),"Enter an amount",IF(L1158=0,"Enter an amount",IF(ABS(W1158)&gt;ABS(L1158),"Tax is larger than the amount","")))))))))))))</f>
        <v/>
      </c>
      <c r="Y1158" s="67">
        <f>IF(OR(T1158=1,X1158&lt;&gt;""),"",IF(AND(B1158&lt;&gt;"",COUNTIF(tx_ID,B1158)&gt;1),"Duplicate transaction ID",IF(AND(L1158&lt;0,D1158&lt;&gt;"Adjustment"),"Negative amount — check this entry",IF(AND(D1158="Customer Payment",G1158=""),"Add the customer",IF(AND(D1158="Customer Payment",OR(J1158="",COUNTIF(ar_No,J1158&amp;"")=0)),"Invoice # in Reference not found on AR sheet",IF(AND(D1158="Bill Payment",H1158=""),"Add the vendor",IF(AND(D1158="Bill Payment",OR(J1158="",COUNTIFS(ap_No,J1158&amp;"",ap_Party,H1158&amp;"")=0)),"Bill # + vendor not found on AP sheet",IF(AND(ISNUMBER(M1158),N(M1158)&lt;&gt;0,W1158=0),"Tax ignored (tax tracking off, or not allowed for this type)",IF(V1158=K1158&amp;"","Same account on both sides",IF(AND(ISNUMBER(StartDate),C1158&lt;StartDate),"Date is before the accounting start date",IF(AND(D1158&lt;&gt;"Adjustment",IFERROR(INDEX(coa_Pay,MATCH(K1158&amp;"",coa_Name,0)),"")&lt;&gt;"Yes"),"Paid From / Deposited To is not a payment account","")))))))))))</f>
        <v/>
      </c>
      <c r="Z1158" s="67">
        <f>IF(AND(T1158=0,X1158=""),1,0)</f>
        <v/>
      </c>
      <c r="AA1158" s="68">
        <f>IF(Z1158=1,IF(U1158="In",L1158,L1158-W1158),0)</f>
        <v/>
      </c>
      <c r="AB1158" s="68">
        <f>IF(Z1158=1,IF(U1158="In",L1158-W1158,L1158),0)</f>
        <v/>
      </c>
      <c r="AC1158" s="68">
        <f>IF(AND(Z1158=1,U1158="Out"),W1158,0)</f>
        <v/>
      </c>
      <c r="AD1158" s="68">
        <f>IF(AND(Z1158=1,U1158="In"),W1158,0)</f>
        <v/>
      </c>
    </row>
    <row r="1159">
      <c r="B1159" s="62" t="inlineStr">
        <is>
          <t>TX-1153</t>
        </is>
      </c>
      <c r="C1159" s="63" t="n"/>
      <c r="D1159" s="62" t="n"/>
      <c r="E1159" s="62" t="n"/>
      <c r="F1159" s="62" t="n"/>
      <c r="G1159" s="62" t="n"/>
      <c r="H1159" s="62" t="n"/>
      <c r="I1159" s="62" t="n"/>
      <c r="J1159" s="62" t="n"/>
      <c r="K1159" s="62" t="n"/>
      <c r="L1159" s="64" t="n"/>
      <c r="M1159" s="64" t="n"/>
      <c r="N1159" s="62" t="n"/>
      <c r="O1159" s="65">
        <f>IF(Z1159=1,L1159-W1159,"")</f>
        <v/>
      </c>
      <c r="P1159" s="66">
        <f>IF(V1159="","",IFERROR(INDEX(coa_Type,MATCH(V1159,coa_Name,0)),""))</f>
        <v/>
      </c>
      <c r="Q1159" s="66">
        <f>IF(Z1159=1,IF(U1159="In",K1159&amp;"",V1159),"")</f>
        <v/>
      </c>
      <c r="R1159" s="66">
        <f>IF(Z1159=1,IF(U1159="In",V1159,K1159&amp;""),"")</f>
        <v/>
      </c>
      <c r="S1159" s="66">
        <f>IF(X1159&lt;&gt;"","⛔ "&amp;X1159&amp;" — not posted",IF(Y1159&lt;&gt;"","⚠ "&amp;Y1159,IF(Z1159=1,"✓ OK","")))</f>
        <v/>
      </c>
      <c r="T1159" s="67">
        <f>IF(AND(C1159="",D1159="",E1159="",L1159="",K1159=""),1,0)</f>
        <v/>
      </c>
      <c r="U1159" s="67">
        <f>IFERROR(INDEX(tt_Dir,MATCH(D1159,tt_Type,0)),"")</f>
        <v/>
      </c>
      <c r="V1159" s="67">
        <f>IF(D1159="","",IFERROR(IF(INDEX(tt_Other,MATCH(D1159,tt_Type,0))="",E1159&amp;"",INDEX(tt_Other,MATCH(D1159,tt_Type,0))),""))</f>
        <v/>
      </c>
      <c r="W1159" s="68">
        <f>IF(OR(TaxOn&lt;&gt;"Yes",NOT(ISNUMBER(M1159))),0,IF(IFERROR(INDEX(tt_Tax,MATCH(D1159,tt_Type,0)),"No")="Yes",M1159,0))</f>
        <v/>
      </c>
      <c r="X1159" s="67">
        <f>IF(T1159=1,"",IF(C1159="","Missing transaction date",IF(NOT(ISNUMBER(C1159)),"Invalid date",IF(OR(C1159&lt;DATE(2000,1,1),C1159&gt;DATE(2099,12,31)),"Invalid date",IF(D1159="","Select a type",IF(U1159="","Unknown type: "&amp;D1159,IF(V1159="","Select an account (Category)",IF(ISNA(MATCH(V1159,coa_Name,0)),"Unknown account: "&amp;V1159,IF(K1159="","Select Paid From / Deposited To",IF(ISNA(MATCH(K1159,coa_Name,0)),"Unknown account: "&amp;K1159,IF(NOT(ISNUMBER(L1159)),"Enter an amount",IF(L1159=0,"Enter an amount",IF(ABS(W1159)&gt;ABS(L1159),"Tax is larger than the amount","")))))))))))))</f>
        <v/>
      </c>
      <c r="Y1159" s="67">
        <f>IF(OR(T1159=1,X1159&lt;&gt;""),"",IF(AND(B1159&lt;&gt;"",COUNTIF(tx_ID,B1159)&gt;1),"Duplicate transaction ID",IF(AND(L1159&lt;0,D1159&lt;&gt;"Adjustment"),"Negative amount — check this entry",IF(AND(D1159="Customer Payment",G1159=""),"Add the customer",IF(AND(D1159="Customer Payment",OR(J1159="",COUNTIF(ar_No,J1159&amp;"")=0)),"Invoice # in Reference not found on AR sheet",IF(AND(D1159="Bill Payment",H1159=""),"Add the vendor",IF(AND(D1159="Bill Payment",OR(J1159="",COUNTIFS(ap_No,J1159&amp;"",ap_Party,H1159&amp;"")=0)),"Bill # + vendor not found on AP sheet",IF(AND(ISNUMBER(M1159),N(M1159)&lt;&gt;0,W1159=0),"Tax ignored (tax tracking off, or not allowed for this type)",IF(V1159=K1159&amp;"","Same account on both sides",IF(AND(ISNUMBER(StartDate),C1159&lt;StartDate),"Date is before the accounting start date",IF(AND(D1159&lt;&gt;"Adjustment",IFERROR(INDEX(coa_Pay,MATCH(K1159&amp;"",coa_Name,0)),"")&lt;&gt;"Yes"),"Paid From / Deposited To is not a payment account","")))))))))))</f>
        <v/>
      </c>
      <c r="Z1159" s="67">
        <f>IF(AND(T1159=0,X1159=""),1,0)</f>
        <v/>
      </c>
      <c r="AA1159" s="68">
        <f>IF(Z1159=1,IF(U1159="In",L1159,L1159-W1159),0)</f>
        <v/>
      </c>
      <c r="AB1159" s="68">
        <f>IF(Z1159=1,IF(U1159="In",L1159-W1159,L1159),0)</f>
        <v/>
      </c>
      <c r="AC1159" s="68">
        <f>IF(AND(Z1159=1,U1159="Out"),W1159,0)</f>
        <v/>
      </c>
      <c r="AD1159" s="68">
        <f>IF(AND(Z1159=1,U1159="In"),W1159,0)</f>
        <v/>
      </c>
    </row>
    <row r="1160">
      <c r="B1160" s="62" t="inlineStr">
        <is>
          <t>TX-1154</t>
        </is>
      </c>
      <c r="C1160" s="63" t="n"/>
      <c r="D1160" s="62" t="n"/>
      <c r="E1160" s="62" t="n"/>
      <c r="F1160" s="62" t="n"/>
      <c r="G1160" s="62" t="n"/>
      <c r="H1160" s="62" t="n"/>
      <c r="I1160" s="62" t="n"/>
      <c r="J1160" s="62" t="n"/>
      <c r="K1160" s="62" t="n"/>
      <c r="L1160" s="64" t="n"/>
      <c r="M1160" s="64" t="n"/>
      <c r="N1160" s="62" t="n"/>
      <c r="O1160" s="65">
        <f>IF(Z1160=1,L1160-W1160,"")</f>
        <v/>
      </c>
      <c r="P1160" s="66">
        <f>IF(V1160="","",IFERROR(INDEX(coa_Type,MATCH(V1160,coa_Name,0)),""))</f>
        <v/>
      </c>
      <c r="Q1160" s="66">
        <f>IF(Z1160=1,IF(U1160="In",K1160&amp;"",V1160),"")</f>
        <v/>
      </c>
      <c r="R1160" s="66">
        <f>IF(Z1160=1,IF(U1160="In",V1160,K1160&amp;""),"")</f>
        <v/>
      </c>
      <c r="S1160" s="66">
        <f>IF(X1160&lt;&gt;"","⛔ "&amp;X1160&amp;" — not posted",IF(Y1160&lt;&gt;"","⚠ "&amp;Y1160,IF(Z1160=1,"✓ OK","")))</f>
        <v/>
      </c>
      <c r="T1160" s="67">
        <f>IF(AND(C1160="",D1160="",E1160="",L1160="",K1160=""),1,0)</f>
        <v/>
      </c>
      <c r="U1160" s="67">
        <f>IFERROR(INDEX(tt_Dir,MATCH(D1160,tt_Type,0)),"")</f>
        <v/>
      </c>
      <c r="V1160" s="67">
        <f>IF(D1160="","",IFERROR(IF(INDEX(tt_Other,MATCH(D1160,tt_Type,0))="",E1160&amp;"",INDEX(tt_Other,MATCH(D1160,tt_Type,0))),""))</f>
        <v/>
      </c>
      <c r="W1160" s="68">
        <f>IF(OR(TaxOn&lt;&gt;"Yes",NOT(ISNUMBER(M1160))),0,IF(IFERROR(INDEX(tt_Tax,MATCH(D1160,tt_Type,0)),"No")="Yes",M1160,0))</f>
        <v/>
      </c>
      <c r="X1160" s="67">
        <f>IF(T1160=1,"",IF(C1160="","Missing transaction date",IF(NOT(ISNUMBER(C1160)),"Invalid date",IF(OR(C1160&lt;DATE(2000,1,1),C1160&gt;DATE(2099,12,31)),"Invalid date",IF(D1160="","Select a type",IF(U1160="","Unknown type: "&amp;D1160,IF(V1160="","Select an account (Category)",IF(ISNA(MATCH(V1160,coa_Name,0)),"Unknown account: "&amp;V1160,IF(K1160="","Select Paid From / Deposited To",IF(ISNA(MATCH(K1160,coa_Name,0)),"Unknown account: "&amp;K1160,IF(NOT(ISNUMBER(L1160)),"Enter an amount",IF(L1160=0,"Enter an amount",IF(ABS(W1160)&gt;ABS(L1160),"Tax is larger than the amount","")))))))))))))</f>
        <v/>
      </c>
      <c r="Y1160" s="67">
        <f>IF(OR(T1160=1,X1160&lt;&gt;""),"",IF(AND(B1160&lt;&gt;"",COUNTIF(tx_ID,B1160)&gt;1),"Duplicate transaction ID",IF(AND(L1160&lt;0,D1160&lt;&gt;"Adjustment"),"Negative amount — check this entry",IF(AND(D1160="Customer Payment",G1160=""),"Add the customer",IF(AND(D1160="Customer Payment",OR(J1160="",COUNTIF(ar_No,J1160&amp;"")=0)),"Invoice # in Reference not found on AR sheet",IF(AND(D1160="Bill Payment",H1160=""),"Add the vendor",IF(AND(D1160="Bill Payment",OR(J1160="",COUNTIFS(ap_No,J1160&amp;"",ap_Party,H1160&amp;"")=0)),"Bill # + vendor not found on AP sheet",IF(AND(ISNUMBER(M1160),N(M1160)&lt;&gt;0,W1160=0),"Tax ignored (tax tracking off, or not allowed for this type)",IF(V1160=K1160&amp;"","Same account on both sides",IF(AND(ISNUMBER(StartDate),C1160&lt;StartDate),"Date is before the accounting start date",IF(AND(D1160&lt;&gt;"Adjustment",IFERROR(INDEX(coa_Pay,MATCH(K1160&amp;"",coa_Name,0)),"")&lt;&gt;"Yes"),"Paid From / Deposited To is not a payment account","")))))))))))</f>
        <v/>
      </c>
      <c r="Z1160" s="67">
        <f>IF(AND(T1160=0,X1160=""),1,0)</f>
        <v/>
      </c>
      <c r="AA1160" s="68">
        <f>IF(Z1160=1,IF(U1160="In",L1160,L1160-W1160),0)</f>
        <v/>
      </c>
      <c r="AB1160" s="68">
        <f>IF(Z1160=1,IF(U1160="In",L1160-W1160,L1160),0)</f>
        <v/>
      </c>
      <c r="AC1160" s="68">
        <f>IF(AND(Z1160=1,U1160="Out"),W1160,0)</f>
        <v/>
      </c>
      <c r="AD1160" s="68">
        <f>IF(AND(Z1160=1,U1160="In"),W1160,0)</f>
        <v/>
      </c>
    </row>
    <row r="1161">
      <c r="B1161" s="62" t="inlineStr">
        <is>
          <t>TX-1155</t>
        </is>
      </c>
      <c r="C1161" s="63" t="n"/>
      <c r="D1161" s="62" t="n"/>
      <c r="E1161" s="62" t="n"/>
      <c r="F1161" s="62" t="n"/>
      <c r="G1161" s="62" t="n"/>
      <c r="H1161" s="62" t="n"/>
      <c r="I1161" s="62" t="n"/>
      <c r="J1161" s="62" t="n"/>
      <c r="K1161" s="62" t="n"/>
      <c r="L1161" s="64" t="n"/>
      <c r="M1161" s="64" t="n"/>
      <c r="N1161" s="62" t="n"/>
      <c r="O1161" s="65">
        <f>IF(Z1161=1,L1161-W1161,"")</f>
        <v/>
      </c>
      <c r="P1161" s="66">
        <f>IF(V1161="","",IFERROR(INDEX(coa_Type,MATCH(V1161,coa_Name,0)),""))</f>
        <v/>
      </c>
      <c r="Q1161" s="66">
        <f>IF(Z1161=1,IF(U1161="In",K1161&amp;"",V1161),"")</f>
        <v/>
      </c>
      <c r="R1161" s="66">
        <f>IF(Z1161=1,IF(U1161="In",V1161,K1161&amp;""),"")</f>
        <v/>
      </c>
      <c r="S1161" s="66">
        <f>IF(X1161&lt;&gt;"","⛔ "&amp;X1161&amp;" — not posted",IF(Y1161&lt;&gt;"","⚠ "&amp;Y1161,IF(Z1161=1,"✓ OK","")))</f>
        <v/>
      </c>
      <c r="T1161" s="67">
        <f>IF(AND(C1161="",D1161="",E1161="",L1161="",K1161=""),1,0)</f>
        <v/>
      </c>
      <c r="U1161" s="67">
        <f>IFERROR(INDEX(tt_Dir,MATCH(D1161,tt_Type,0)),"")</f>
        <v/>
      </c>
      <c r="V1161" s="67">
        <f>IF(D1161="","",IFERROR(IF(INDEX(tt_Other,MATCH(D1161,tt_Type,0))="",E1161&amp;"",INDEX(tt_Other,MATCH(D1161,tt_Type,0))),""))</f>
        <v/>
      </c>
      <c r="W1161" s="68">
        <f>IF(OR(TaxOn&lt;&gt;"Yes",NOT(ISNUMBER(M1161))),0,IF(IFERROR(INDEX(tt_Tax,MATCH(D1161,tt_Type,0)),"No")="Yes",M1161,0))</f>
        <v/>
      </c>
      <c r="X1161" s="67">
        <f>IF(T1161=1,"",IF(C1161="","Missing transaction date",IF(NOT(ISNUMBER(C1161)),"Invalid date",IF(OR(C1161&lt;DATE(2000,1,1),C1161&gt;DATE(2099,12,31)),"Invalid date",IF(D1161="","Select a type",IF(U1161="","Unknown type: "&amp;D1161,IF(V1161="","Select an account (Category)",IF(ISNA(MATCH(V1161,coa_Name,0)),"Unknown account: "&amp;V1161,IF(K1161="","Select Paid From / Deposited To",IF(ISNA(MATCH(K1161,coa_Name,0)),"Unknown account: "&amp;K1161,IF(NOT(ISNUMBER(L1161)),"Enter an amount",IF(L1161=0,"Enter an amount",IF(ABS(W1161)&gt;ABS(L1161),"Tax is larger than the amount","")))))))))))))</f>
        <v/>
      </c>
      <c r="Y1161" s="67">
        <f>IF(OR(T1161=1,X1161&lt;&gt;""),"",IF(AND(B1161&lt;&gt;"",COUNTIF(tx_ID,B1161)&gt;1),"Duplicate transaction ID",IF(AND(L1161&lt;0,D1161&lt;&gt;"Adjustment"),"Negative amount — check this entry",IF(AND(D1161="Customer Payment",G1161=""),"Add the customer",IF(AND(D1161="Customer Payment",OR(J1161="",COUNTIF(ar_No,J1161&amp;"")=0)),"Invoice # in Reference not found on AR sheet",IF(AND(D1161="Bill Payment",H1161=""),"Add the vendor",IF(AND(D1161="Bill Payment",OR(J1161="",COUNTIFS(ap_No,J1161&amp;"",ap_Party,H1161&amp;"")=0)),"Bill # + vendor not found on AP sheet",IF(AND(ISNUMBER(M1161),N(M1161)&lt;&gt;0,W1161=0),"Tax ignored (tax tracking off, or not allowed for this type)",IF(V1161=K1161&amp;"","Same account on both sides",IF(AND(ISNUMBER(StartDate),C1161&lt;StartDate),"Date is before the accounting start date",IF(AND(D1161&lt;&gt;"Adjustment",IFERROR(INDEX(coa_Pay,MATCH(K1161&amp;"",coa_Name,0)),"")&lt;&gt;"Yes"),"Paid From / Deposited To is not a payment account","")))))))))))</f>
        <v/>
      </c>
      <c r="Z1161" s="67">
        <f>IF(AND(T1161=0,X1161=""),1,0)</f>
        <v/>
      </c>
      <c r="AA1161" s="68">
        <f>IF(Z1161=1,IF(U1161="In",L1161,L1161-W1161),0)</f>
        <v/>
      </c>
      <c r="AB1161" s="68">
        <f>IF(Z1161=1,IF(U1161="In",L1161-W1161,L1161),0)</f>
        <v/>
      </c>
      <c r="AC1161" s="68">
        <f>IF(AND(Z1161=1,U1161="Out"),W1161,0)</f>
        <v/>
      </c>
      <c r="AD1161" s="68">
        <f>IF(AND(Z1161=1,U1161="In"),W1161,0)</f>
        <v/>
      </c>
    </row>
    <row r="1162">
      <c r="B1162" s="62" t="inlineStr">
        <is>
          <t>TX-1156</t>
        </is>
      </c>
      <c r="C1162" s="63" t="n"/>
      <c r="D1162" s="62" t="n"/>
      <c r="E1162" s="62" t="n"/>
      <c r="F1162" s="62" t="n"/>
      <c r="G1162" s="62" t="n"/>
      <c r="H1162" s="62" t="n"/>
      <c r="I1162" s="62" t="n"/>
      <c r="J1162" s="62" t="n"/>
      <c r="K1162" s="62" t="n"/>
      <c r="L1162" s="64" t="n"/>
      <c r="M1162" s="64" t="n"/>
      <c r="N1162" s="62" t="n"/>
      <c r="O1162" s="65">
        <f>IF(Z1162=1,L1162-W1162,"")</f>
        <v/>
      </c>
      <c r="P1162" s="66">
        <f>IF(V1162="","",IFERROR(INDEX(coa_Type,MATCH(V1162,coa_Name,0)),""))</f>
        <v/>
      </c>
      <c r="Q1162" s="66">
        <f>IF(Z1162=1,IF(U1162="In",K1162&amp;"",V1162),"")</f>
        <v/>
      </c>
      <c r="R1162" s="66">
        <f>IF(Z1162=1,IF(U1162="In",V1162,K1162&amp;""),"")</f>
        <v/>
      </c>
      <c r="S1162" s="66">
        <f>IF(X1162&lt;&gt;"","⛔ "&amp;X1162&amp;" — not posted",IF(Y1162&lt;&gt;"","⚠ "&amp;Y1162,IF(Z1162=1,"✓ OK","")))</f>
        <v/>
      </c>
      <c r="T1162" s="67">
        <f>IF(AND(C1162="",D1162="",E1162="",L1162="",K1162=""),1,0)</f>
        <v/>
      </c>
      <c r="U1162" s="67">
        <f>IFERROR(INDEX(tt_Dir,MATCH(D1162,tt_Type,0)),"")</f>
        <v/>
      </c>
      <c r="V1162" s="67">
        <f>IF(D1162="","",IFERROR(IF(INDEX(tt_Other,MATCH(D1162,tt_Type,0))="",E1162&amp;"",INDEX(tt_Other,MATCH(D1162,tt_Type,0))),""))</f>
        <v/>
      </c>
      <c r="W1162" s="68">
        <f>IF(OR(TaxOn&lt;&gt;"Yes",NOT(ISNUMBER(M1162))),0,IF(IFERROR(INDEX(tt_Tax,MATCH(D1162,tt_Type,0)),"No")="Yes",M1162,0))</f>
        <v/>
      </c>
      <c r="X1162" s="67">
        <f>IF(T1162=1,"",IF(C1162="","Missing transaction date",IF(NOT(ISNUMBER(C1162)),"Invalid date",IF(OR(C1162&lt;DATE(2000,1,1),C1162&gt;DATE(2099,12,31)),"Invalid date",IF(D1162="","Select a type",IF(U1162="","Unknown type: "&amp;D1162,IF(V1162="","Select an account (Category)",IF(ISNA(MATCH(V1162,coa_Name,0)),"Unknown account: "&amp;V1162,IF(K1162="","Select Paid From / Deposited To",IF(ISNA(MATCH(K1162,coa_Name,0)),"Unknown account: "&amp;K1162,IF(NOT(ISNUMBER(L1162)),"Enter an amount",IF(L1162=0,"Enter an amount",IF(ABS(W1162)&gt;ABS(L1162),"Tax is larger than the amount","")))))))))))))</f>
        <v/>
      </c>
      <c r="Y1162" s="67">
        <f>IF(OR(T1162=1,X1162&lt;&gt;""),"",IF(AND(B1162&lt;&gt;"",COUNTIF(tx_ID,B1162)&gt;1),"Duplicate transaction ID",IF(AND(L1162&lt;0,D1162&lt;&gt;"Adjustment"),"Negative amount — check this entry",IF(AND(D1162="Customer Payment",G1162=""),"Add the customer",IF(AND(D1162="Customer Payment",OR(J1162="",COUNTIF(ar_No,J1162&amp;"")=0)),"Invoice # in Reference not found on AR sheet",IF(AND(D1162="Bill Payment",H1162=""),"Add the vendor",IF(AND(D1162="Bill Payment",OR(J1162="",COUNTIFS(ap_No,J1162&amp;"",ap_Party,H1162&amp;"")=0)),"Bill # + vendor not found on AP sheet",IF(AND(ISNUMBER(M1162),N(M1162)&lt;&gt;0,W1162=0),"Tax ignored (tax tracking off, or not allowed for this type)",IF(V1162=K1162&amp;"","Same account on both sides",IF(AND(ISNUMBER(StartDate),C1162&lt;StartDate),"Date is before the accounting start date",IF(AND(D1162&lt;&gt;"Adjustment",IFERROR(INDEX(coa_Pay,MATCH(K1162&amp;"",coa_Name,0)),"")&lt;&gt;"Yes"),"Paid From / Deposited To is not a payment account","")))))))))))</f>
        <v/>
      </c>
      <c r="Z1162" s="67">
        <f>IF(AND(T1162=0,X1162=""),1,0)</f>
        <v/>
      </c>
      <c r="AA1162" s="68">
        <f>IF(Z1162=1,IF(U1162="In",L1162,L1162-W1162),0)</f>
        <v/>
      </c>
      <c r="AB1162" s="68">
        <f>IF(Z1162=1,IF(U1162="In",L1162-W1162,L1162),0)</f>
        <v/>
      </c>
      <c r="AC1162" s="68">
        <f>IF(AND(Z1162=1,U1162="Out"),W1162,0)</f>
        <v/>
      </c>
      <c r="AD1162" s="68">
        <f>IF(AND(Z1162=1,U1162="In"),W1162,0)</f>
        <v/>
      </c>
    </row>
    <row r="1163">
      <c r="B1163" s="62" t="inlineStr">
        <is>
          <t>TX-1157</t>
        </is>
      </c>
      <c r="C1163" s="63" t="n"/>
      <c r="D1163" s="62" t="n"/>
      <c r="E1163" s="62" t="n"/>
      <c r="F1163" s="62" t="n"/>
      <c r="G1163" s="62" t="n"/>
      <c r="H1163" s="62" t="n"/>
      <c r="I1163" s="62" t="n"/>
      <c r="J1163" s="62" t="n"/>
      <c r="K1163" s="62" t="n"/>
      <c r="L1163" s="64" t="n"/>
      <c r="M1163" s="64" t="n"/>
      <c r="N1163" s="62" t="n"/>
      <c r="O1163" s="65">
        <f>IF(Z1163=1,L1163-W1163,"")</f>
        <v/>
      </c>
      <c r="P1163" s="66">
        <f>IF(V1163="","",IFERROR(INDEX(coa_Type,MATCH(V1163,coa_Name,0)),""))</f>
        <v/>
      </c>
      <c r="Q1163" s="66">
        <f>IF(Z1163=1,IF(U1163="In",K1163&amp;"",V1163),"")</f>
        <v/>
      </c>
      <c r="R1163" s="66">
        <f>IF(Z1163=1,IF(U1163="In",V1163,K1163&amp;""),"")</f>
        <v/>
      </c>
      <c r="S1163" s="66">
        <f>IF(X1163&lt;&gt;"","⛔ "&amp;X1163&amp;" — not posted",IF(Y1163&lt;&gt;"","⚠ "&amp;Y1163,IF(Z1163=1,"✓ OK","")))</f>
        <v/>
      </c>
      <c r="T1163" s="67">
        <f>IF(AND(C1163="",D1163="",E1163="",L1163="",K1163=""),1,0)</f>
        <v/>
      </c>
      <c r="U1163" s="67">
        <f>IFERROR(INDEX(tt_Dir,MATCH(D1163,tt_Type,0)),"")</f>
        <v/>
      </c>
      <c r="V1163" s="67">
        <f>IF(D1163="","",IFERROR(IF(INDEX(tt_Other,MATCH(D1163,tt_Type,0))="",E1163&amp;"",INDEX(tt_Other,MATCH(D1163,tt_Type,0))),""))</f>
        <v/>
      </c>
      <c r="W1163" s="68">
        <f>IF(OR(TaxOn&lt;&gt;"Yes",NOT(ISNUMBER(M1163))),0,IF(IFERROR(INDEX(tt_Tax,MATCH(D1163,tt_Type,0)),"No")="Yes",M1163,0))</f>
        <v/>
      </c>
      <c r="X1163" s="67">
        <f>IF(T1163=1,"",IF(C1163="","Missing transaction date",IF(NOT(ISNUMBER(C1163)),"Invalid date",IF(OR(C1163&lt;DATE(2000,1,1),C1163&gt;DATE(2099,12,31)),"Invalid date",IF(D1163="","Select a type",IF(U1163="","Unknown type: "&amp;D1163,IF(V1163="","Select an account (Category)",IF(ISNA(MATCH(V1163,coa_Name,0)),"Unknown account: "&amp;V1163,IF(K1163="","Select Paid From / Deposited To",IF(ISNA(MATCH(K1163,coa_Name,0)),"Unknown account: "&amp;K1163,IF(NOT(ISNUMBER(L1163)),"Enter an amount",IF(L1163=0,"Enter an amount",IF(ABS(W1163)&gt;ABS(L1163),"Tax is larger than the amount","")))))))))))))</f>
        <v/>
      </c>
      <c r="Y1163" s="67">
        <f>IF(OR(T1163=1,X1163&lt;&gt;""),"",IF(AND(B1163&lt;&gt;"",COUNTIF(tx_ID,B1163)&gt;1),"Duplicate transaction ID",IF(AND(L1163&lt;0,D1163&lt;&gt;"Adjustment"),"Negative amount — check this entry",IF(AND(D1163="Customer Payment",G1163=""),"Add the customer",IF(AND(D1163="Customer Payment",OR(J1163="",COUNTIF(ar_No,J1163&amp;"")=0)),"Invoice # in Reference not found on AR sheet",IF(AND(D1163="Bill Payment",H1163=""),"Add the vendor",IF(AND(D1163="Bill Payment",OR(J1163="",COUNTIFS(ap_No,J1163&amp;"",ap_Party,H1163&amp;"")=0)),"Bill # + vendor not found on AP sheet",IF(AND(ISNUMBER(M1163),N(M1163)&lt;&gt;0,W1163=0),"Tax ignored (tax tracking off, or not allowed for this type)",IF(V1163=K1163&amp;"","Same account on both sides",IF(AND(ISNUMBER(StartDate),C1163&lt;StartDate),"Date is before the accounting start date",IF(AND(D1163&lt;&gt;"Adjustment",IFERROR(INDEX(coa_Pay,MATCH(K1163&amp;"",coa_Name,0)),"")&lt;&gt;"Yes"),"Paid From / Deposited To is not a payment account","")))))))))))</f>
        <v/>
      </c>
      <c r="Z1163" s="67">
        <f>IF(AND(T1163=0,X1163=""),1,0)</f>
        <v/>
      </c>
      <c r="AA1163" s="68">
        <f>IF(Z1163=1,IF(U1163="In",L1163,L1163-W1163),0)</f>
        <v/>
      </c>
      <c r="AB1163" s="68">
        <f>IF(Z1163=1,IF(U1163="In",L1163-W1163,L1163),0)</f>
        <v/>
      </c>
      <c r="AC1163" s="68">
        <f>IF(AND(Z1163=1,U1163="Out"),W1163,0)</f>
        <v/>
      </c>
      <c r="AD1163" s="68">
        <f>IF(AND(Z1163=1,U1163="In"),W1163,0)</f>
        <v/>
      </c>
    </row>
    <row r="1164">
      <c r="B1164" s="62" t="inlineStr">
        <is>
          <t>TX-1158</t>
        </is>
      </c>
      <c r="C1164" s="63" t="n"/>
      <c r="D1164" s="62" t="n"/>
      <c r="E1164" s="62" t="n"/>
      <c r="F1164" s="62" t="n"/>
      <c r="G1164" s="62" t="n"/>
      <c r="H1164" s="62" t="n"/>
      <c r="I1164" s="62" t="n"/>
      <c r="J1164" s="62" t="n"/>
      <c r="K1164" s="62" t="n"/>
      <c r="L1164" s="64" t="n"/>
      <c r="M1164" s="64" t="n"/>
      <c r="N1164" s="62" t="n"/>
      <c r="O1164" s="65">
        <f>IF(Z1164=1,L1164-W1164,"")</f>
        <v/>
      </c>
      <c r="P1164" s="66">
        <f>IF(V1164="","",IFERROR(INDEX(coa_Type,MATCH(V1164,coa_Name,0)),""))</f>
        <v/>
      </c>
      <c r="Q1164" s="66">
        <f>IF(Z1164=1,IF(U1164="In",K1164&amp;"",V1164),"")</f>
        <v/>
      </c>
      <c r="R1164" s="66">
        <f>IF(Z1164=1,IF(U1164="In",V1164,K1164&amp;""),"")</f>
        <v/>
      </c>
      <c r="S1164" s="66">
        <f>IF(X1164&lt;&gt;"","⛔ "&amp;X1164&amp;" — not posted",IF(Y1164&lt;&gt;"","⚠ "&amp;Y1164,IF(Z1164=1,"✓ OK","")))</f>
        <v/>
      </c>
      <c r="T1164" s="67">
        <f>IF(AND(C1164="",D1164="",E1164="",L1164="",K1164=""),1,0)</f>
        <v/>
      </c>
      <c r="U1164" s="67">
        <f>IFERROR(INDEX(tt_Dir,MATCH(D1164,tt_Type,0)),"")</f>
        <v/>
      </c>
      <c r="V1164" s="67">
        <f>IF(D1164="","",IFERROR(IF(INDEX(tt_Other,MATCH(D1164,tt_Type,0))="",E1164&amp;"",INDEX(tt_Other,MATCH(D1164,tt_Type,0))),""))</f>
        <v/>
      </c>
      <c r="W1164" s="68">
        <f>IF(OR(TaxOn&lt;&gt;"Yes",NOT(ISNUMBER(M1164))),0,IF(IFERROR(INDEX(tt_Tax,MATCH(D1164,tt_Type,0)),"No")="Yes",M1164,0))</f>
        <v/>
      </c>
      <c r="X1164" s="67">
        <f>IF(T1164=1,"",IF(C1164="","Missing transaction date",IF(NOT(ISNUMBER(C1164)),"Invalid date",IF(OR(C1164&lt;DATE(2000,1,1),C1164&gt;DATE(2099,12,31)),"Invalid date",IF(D1164="","Select a type",IF(U1164="","Unknown type: "&amp;D1164,IF(V1164="","Select an account (Category)",IF(ISNA(MATCH(V1164,coa_Name,0)),"Unknown account: "&amp;V1164,IF(K1164="","Select Paid From / Deposited To",IF(ISNA(MATCH(K1164,coa_Name,0)),"Unknown account: "&amp;K1164,IF(NOT(ISNUMBER(L1164)),"Enter an amount",IF(L1164=0,"Enter an amount",IF(ABS(W1164)&gt;ABS(L1164),"Tax is larger than the amount","")))))))))))))</f>
        <v/>
      </c>
      <c r="Y1164" s="67">
        <f>IF(OR(T1164=1,X1164&lt;&gt;""),"",IF(AND(B1164&lt;&gt;"",COUNTIF(tx_ID,B1164)&gt;1),"Duplicate transaction ID",IF(AND(L1164&lt;0,D1164&lt;&gt;"Adjustment"),"Negative amount — check this entry",IF(AND(D1164="Customer Payment",G1164=""),"Add the customer",IF(AND(D1164="Customer Payment",OR(J1164="",COUNTIF(ar_No,J1164&amp;"")=0)),"Invoice # in Reference not found on AR sheet",IF(AND(D1164="Bill Payment",H1164=""),"Add the vendor",IF(AND(D1164="Bill Payment",OR(J1164="",COUNTIFS(ap_No,J1164&amp;"",ap_Party,H1164&amp;"")=0)),"Bill # + vendor not found on AP sheet",IF(AND(ISNUMBER(M1164),N(M1164)&lt;&gt;0,W1164=0),"Tax ignored (tax tracking off, or not allowed for this type)",IF(V1164=K1164&amp;"","Same account on both sides",IF(AND(ISNUMBER(StartDate),C1164&lt;StartDate),"Date is before the accounting start date",IF(AND(D1164&lt;&gt;"Adjustment",IFERROR(INDEX(coa_Pay,MATCH(K1164&amp;"",coa_Name,0)),"")&lt;&gt;"Yes"),"Paid From / Deposited To is not a payment account","")))))))))))</f>
        <v/>
      </c>
      <c r="Z1164" s="67">
        <f>IF(AND(T1164=0,X1164=""),1,0)</f>
        <v/>
      </c>
      <c r="AA1164" s="68">
        <f>IF(Z1164=1,IF(U1164="In",L1164,L1164-W1164),0)</f>
        <v/>
      </c>
      <c r="AB1164" s="68">
        <f>IF(Z1164=1,IF(U1164="In",L1164-W1164,L1164),0)</f>
        <v/>
      </c>
      <c r="AC1164" s="68">
        <f>IF(AND(Z1164=1,U1164="Out"),W1164,0)</f>
        <v/>
      </c>
      <c r="AD1164" s="68">
        <f>IF(AND(Z1164=1,U1164="In"),W1164,0)</f>
        <v/>
      </c>
    </row>
    <row r="1165">
      <c r="B1165" s="62" t="inlineStr">
        <is>
          <t>TX-1159</t>
        </is>
      </c>
      <c r="C1165" s="63" t="n"/>
      <c r="D1165" s="62" t="n"/>
      <c r="E1165" s="62" t="n"/>
      <c r="F1165" s="62" t="n"/>
      <c r="G1165" s="62" t="n"/>
      <c r="H1165" s="62" t="n"/>
      <c r="I1165" s="62" t="n"/>
      <c r="J1165" s="62" t="n"/>
      <c r="K1165" s="62" t="n"/>
      <c r="L1165" s="64" t="n"/>
      <c r="M1165" s="64" t="n"/>
      <c r="N1165" s="62" t="n"/>
      <c r="O1165" s="65">
        <f>IF(Z1165=1,L1165-W1165,"")</f>
        <v/>
      </c>
      <c r="P1165" s="66">
        <f>IF(V1165="","",IFERROR(INDEX(coa_Type,MATCH(V1165,coa_Name,0)),""))</f>
        <v/>
      </c>
      <c r="Q1165" s="66">
        <f>IF(Z1165=1,IF(U1165="In",K1165&amp;"",V1165),"")</f>
        <v/>
      </c>
      <c r="R1165" s="66">
        <f>IF(Z1165=1,IF(U1165="In",V1165,K1165&amp;""),"")</f>
        <v/>
      </c>
      <c r="S1165" s="66">
        <f>IF(X1165&lt;&gt;"","⛔ "&amp;X1165&amp;" — not posted",IF(Y1165&lt;&gt;"","⚠ "&amp;Y1165,IF(Z1165=1,"✓ OK","")))</f>
        <v/>
      </c>
      <c r="T1165" s="67">
        <f>IF(AND(C1165="",D1165="",E1165="",L1165="",K1165=""),1,0)</f>
        <v/>
      </c>
      <c r="U1165" s="67">
        <f>IFERROR(INDEX(tt_Dir,MATCH(D1165,tt_Type,0)),"")</f>
        <v/>
      </c>
      <c r="V1165" s="67">
        <f>IF(D1165="","",IFERROR(IF(INDEX(tt_Other,MATCH(D1165,tt_Type,0))="",E1165&amp;"",INDEX(tt_Other,MATCH(D1165,tt_Type,0))),""))</f>
        <v/>
      </c>
      <c r="W1165" s="68">
        <f>IF(OR(TaxOn&lt;&gt;"Yes",NOT(ISNUMBER(M1165))),0,IF(IFERROR(INDEX(tt_Tax,MATCH(D1165,tt_Type,0)),"No")="Yes",M1165,0))</f>
        <v/>
      </c>
      <c r="X1165" s="67">
        <f>IF(T1165=1,"",IF(C1165="","Missing transaction date",IF(NOT(ISNUMBER(C1165)),"Invalid date",IF(OR(C1165&lt;DATE(2000,1,1),C1165&gt;DATE(2099,12,31)),"Invalid date",IF(D1165="","Select a type",IF(U1165="","Unknown type: "&amp;D1165,IF(V1165="","Select an account (Category)",IF(ISNA(MATCH(V1165,coa_Name,0)),"Unknown account: "&amp;V1165,IF(K1165="","Select Paid From / Deposited To",IF(ISNA(MATCH(K1165,coa_Name,0)),"Unknown account: "&amp;K1165,IF(NOT(ISNUMBER(L1165)),"Enter an amount",IF(L1165=0,"Enter an amount",IF(ABS(W1165)&gt;ABS(L1165),"Tax is larger than the amount","")))))))))))))</f>
        <v/>
      </c>
      <c r="Y1165" s="67">
        <f>IF(OR(T1165=1,X1165&lt;&gt;""),"",IF(AND(B1165&lt;&gt;"",COUNTIF(tx_ID,B1165)&gt;1),"Duplicate transaction ID",IF(AND(L1165&lt;0,D1165&lt;&gt;"Adjustment"),"Negative amount — check this entry",IF(AND(D1165="Customer Payment",G1165=""),"Add the customer",IF(AND(D1165="Customer Payment",OR(J1165="",COUNTIF(ar_No,J1165&amp;"")=0)),"Invoice # in Reference not found on AR sheet",IF(AND(D1165="Bill Payment",H1165=""),"Add the vendor",IF(AND(D1165="Bill Payment",OR(J1165="",COUNTIFS(ap_No,J1165&amp;"",ap_Party,H1165&amp;"")=0)),"Bill # + vendor not found on AP sheet",IF(AND(ISNUMBER(M1165),N(M1165)&lt;&gt;0,W1165=0),"Tax ignored (tax tracking off, or not allowed for this type)",IF(V1165=K1165&amp;"","Same account on both sides",IF(AND(ISNUMBER(StartDate),C1165&lt;StartDate),"Date is before the accounting start date",IF(AND(D1165&lt;&gt;"Adjustment",IFERROR(INDEX(coa_Pay,MATCH(K1165&amp;"",coa_Name,0)),"")&lt;&gt;"Yes"),"Paid From / Deposited To is not a payment account","")))))))))))</f>
        <v/>
      </c>
      <c r="Z1165" s="67">
        <f>IF(AND(T1165=0,X1165=""),1,0)</f>
        <v/>
      </c>
      <c r="AA1165" s="68">
        <f>IF(Z1165=1,IF(U1165="In",L1165,L1165-W1165),0)</f>
        <v/>
      </c>
      <c r="AB1165" s="68">
        <f>IF(Z1165=1,IF(U1165="In",L1165-W1165,L1165),0)</f>
        <v/>
      </c>
      <c r="AC1165" s="68">
        <f>IF(AND(Z1165=1,U1165="Out"),W1165,0)</f>
        <v/>
      </c>
      <c r="AD1165" s="68">
        <f>IF(AND(Z1165=1,U1165="In"),W1165,0)</f>
        <v/>
      </c>
    </row>
    <row r="1166">
      <c r="B1166" s="62" t="inlineStr">
        <is>
          <t>TX-1160</t>
        </is>
      </c>
      <c r="C1166" s="63" t="n"/>
      <c r="D1166" s="62" t="n"/>
      <c r="E1166" s="62" t="n"/>
      <c r="F1166" s="62" t="n"/>
      <c r="G1166" s="62" t="n"/>
      <c r="H1166" s="62" t="n"/>
      <c r="I1166" s="62" t="n"/>
      <c r="J1166" s="62" t="n"/>
      <c r="K1166" s="62" t="n"/>
      <c r="L1166" s="64" t="n"/>
      <c r="M1166" s="64" t="n"/>
      <c r="N1166" s="62" t="n"/>
      <c r="O1166" s="65">
        <f>IF(Z1166=1,L1166-W1166,"")</f>
        <v/>
      </c>
      <c r="P1166" s="66">
        <f>IF(V1166="","",IFERROR(INDEX(coa_Type,MATCH(V1166,coa_Name,0)),""))</f>
        <v/>
      </c>
      <c r="Q1166" s="66">
        <f>IF(Z1166=1,IF(U1166="In",K1166&amp;"",V1166),"")</f>
        <v/>
      </c>
      <c r="R1166" s="66">
        <f>IF(Z1166=1,IF(U1166="In",V1166,K1166&amp;""),"")</f>
        <v/>
      </c>
      <c r="S1166" s="66">
        <f>IF(X1166&lt;&gt;"","⛔ "&amp;X1166&amp;" — not posted",IF(Y1166&lt;&gt;"","⚠ "&amp;Y1166,IF(Z1166=1,"✓ OK","")))</f>
        <v/>
      </c>
      <c r="T1166" s="67">
        <f>IF(AND(C1166="",D1166="",E1166="",L1166="",K1166=""),1,0)</f>
        <v/>
      </c>
      <c r="U1166" s="67">
        <f>IFERROR(INDEX(tt_Dir,MATCH(D1166,tt_Type,0)),"")</f>
        <v/>
      </c>
      <c r="V1166" s="67">
        <f>IF(D1166="","",IFERROR(IF(INDEX(tt_Other,MATCH(D1166,tt_Type,0))="",E1166&amp;"",INDEX(tt_Other,MATCH(D1166,tt_Type,0))),""))</f>
        <v/>
      </c>
      <c r="W1166" s="68">
        <f>IF(OR(TaxOn&lt;&gt;"Yes",NOT(ISNUMBER(M1166))),0,IF(IFERROR(INDEX(tt_Tax,MATCH(D1166,tt_Type,0)),"No")="Yes",M1166,0))</f>
        <v/>
      </c>
      <c r="X1166" s="67">
        <f>IF(T1166=1,"",IF(C1166="","Missing transaction date",IF(NOT(ISNUMBER(C1166)),"Invalid date",IF(OR(C1166&lt;DATE(2000,1,1),C1166&gt;DATE(2099,12,31)),"Invalid date",IF(D1166="","Select a type",IF(U1166="","Unknown type: "&amp;D1166,IF(V1166="","Select an account (Category)",IF(ISNA(MATCH(V1166,coa_Name,0)),"Unknown account: "&amp;V1166,IF(K1166="","Select Paid From / Deposited To",IF(ISNA(MATCH(K1166,coa_Name,0)),"Unknown account: "&amp;K1166,IF(NOT(ISNUMBER(L1166)),"Enter an amount",IF(L1166=0,"Enter an amount",IF(ABS(W1166)&gt;ABS(L1166),"Tax is larger than the amount","")))))))))))))</f>
        <v/>
      </c>
      <c r="Y1166" s="67">
        <f>IF(OR(T1166=1,X1166&lt;&gt;""),"",IF(AND(B1166&lt;&gt;"",COUNTIF(tx_ID,B1166)&gt;1),"Duplicate transaction ID",IF(AND(L1166&lt;0,D1166&lt;&gt;"Adjustment"),"Negative amount — check this entry",IF(AND(D1166="Customer Payment",G1166=""),"Add the customer",IF(AND(D1166="Customer Payment",OR(J1166="",COUNTIF(ar_No,J1166&amp;"")=0)),"Invoice # in Reference not found on AR sheet",IF(AND(D1166="Bill Payment",H1166=""),"Add the vendor",IF(AND(D1166="Bill Payment",OR(J1166="",COUNTIFS(ap_No,J1166&amp;"",ap_Party,H1166&amp;"")=0)),"Bill # + vendor not found on AP sheet",IF(AND(ISNUMBER(M1166),N(M1166)&lt;&gt;0,W1166=0),"Tax ignored (tax tracking off, or not allowed for this type)",IF(V1166=K1166&amp;"","Same account on both sides",IF(AND(ISNUMBER(StartDate),C1166&lt;StartDate),"Date is before the accounting start date",IF(AND(D1166&lt;&gt;"Adjustment",IFERROR(INDEX(coa_Pay,MATCH(K1166&amp;"",coa_Name,0)),"")&lt;&gt;"Yes"),"Paid From / Deposited To is not a payment account","")))))))))))</f>
        <v/>
      </c>
      <c r="Z1166" s="67">
        <f>IF(AND(T1166=0,X1166=""),1,0)</f>
        <v/>
      </c>
      <c r="AA1166" s="68">
        <f>IF(Z1166=1,IF(U1166="In",L1166,L1166-W1166),0)</f>
        <v/>
      </c>
      <c r="AB1166" s="68">
        <f>IF(Z1166=1,IF(U1166="In",L1166-W1166,L1166),0)</f>
        <v/>
      </c>
      <c r="AC1166" s="68">
        <f>IF(AND(Z1166=1,U1166="Out"),W1166,0)</f>
        <v/>
      </c>
      <c r="AD1166" s="68">
        <f>IF(AND(Z1166=1,U1166="In"),W1166,0)</f>
        <v/>
      </c>
    </row>
    <row r="1167">
      <c r="B1167" s="62" t="inlineStr">
        <is>
          <t>TX-1161</t>
        </is>
      </c>
      <c r="C1167" s="63" t="n"/>
      <c r="D1167" s="62" t="n"/>
      <c r="E1167" s="62" t="n"/>
      <c r="F1167" s="62" t="n"/>
      <c r="G1167" s="62" t="n"/>
      <c r="H1167" s="62" t="n"/>
      <c r="I1167" s="62" t="n"/>
      <c r="J1167" s="62" t="n"/>
      <c r="K1167" s="62" t="n"/>
      <c r="L1167" s="64" t="n"/>
      <c r="M1167" s="64" t="n"/>
      <c r="N1167" s="62" t="n"/>
      <c r="O1167" s="65">
        <f>IF(Z1167=1,L1167-W1167,"")</f>
        <v/>
      </c>
      <c r="P1167" s="66">
        <f>IF(V1167="","",IFERROR(INDEX(coa_Type,MATCH(V1167,coa_Name,0)),""))</f>
        <v/>
      </c>
      <c r="Q1167" s="66">
        <f>IF(Z1167=1,IF(U1167="In",K1167&amp;"",V1167),"")</f>
        <v/>
      </c>
      <c r="R1167" s="66">
        <f>IF(Z1167=1,IF(U1167="In",V1167,K1167&amp;""),"")</f>
        <v/>
      </c>
      <c r="S1167" s="66">
        <f>IF(X1167&lt;&gt;"","⛔ "&amp;X1167&amp;" — not posted",IF(Y1167&lt;&gt;"","⚠ "&amp;Y1167,IF(Z1167=1,"✓ OK","")))</f>
        <v/>
      </c>
      <c r="T1167" s="67">
        <f>IF(AND(C1167="",D1167="",E1167="",L1167="",K1167=""),1,0)</f>
        <v/>
      </c>
      <c r="U1167" s="67">
        <f>IFERROR(INDEX(tt_Dir,MATCH(D1167,tt_Type,0)),"")</f>
        <v/>
      </c>
      <c r="V1167" s="67">
        <f>IF(D1167="","",IFERROR(IF(INDEX(tt_Other,MATCH(D1167,tt_Type,0))="",E1167&amp;"",INDEX(tt_Other,MATCH(D1167,tt_Type,0))),""))</f>
        <v/>
      </c>
      <c r="W1167" s="68">
        <f>IF(OR(TaxOn&lt;&gt;"Yes",NOT(ISNUMBER(M1167))),0,IF(IFERROR(INDEX(tt_Tax,MATCH(D1167,tt_Type,0)),"No")="Yes",M1167,0))</f>
        <v/>
      </c>
      <c r="X1167" s="67">
        <f>IF(T1167=1,"",IF(C1167="","Missing transaction date",IF(NOT(ISNUMBER(C1167)),"Invalid date",IF(OR(C1167&lt;DATE(2000,1,1),C1167&gt;DATE(2099,12,31)),"Invalid date",IF(D1167="","Select a type",IF(U1167="","Unknown type: "&amp;D1167,IF(V1167="","Select an account (Category)",IF(ISNA(MATCH(V1167,coa_Name,0)),"Unknown account: "&amp;V1167,IF(K1167="","Select Paid From / Deposited To",IF(ISNA(MATCH(K1167,coa_Name,0)),"Unknown account: "&amp;K1167,IF(NOT(ISNUMBER(L1167)),"Enter an amount",IF(L1167=0,"Enter an amount",IF(ABS(W1167)&gt;ABS(L1167),"Tax is larger than the amount","")))))))))))))</f>
        <v/>
      </c>
      <c r="Y1167" s="67">
        <f>IF(OR(T1167=1,X1167&lt;&gt;""),"",IF(AND(B1167&lt;&gt;"",COUNTIF(tx_ID,B1167)&gt;1),"Duplicate transaction ID",IF(AND(L1167&lt;0,D1167&lt;&gt;"Adjustment"),"Negative amount — check this entry",IF(AND(D1167="Customer Payment",G1167=""),"Add the customer",IF(AND(D1167="Customer Payment",OR(J1167="",COUNTIF(ar_No,J1167&amp;"")=0)),"Invoice # in Reference not found on AR sheet",IF(AND(D1167="Bill Payment",H1167=""),"Add the vendor",IF(AND(D1167="Bill Payment",OR(J1167="",COUNTIFS(ap_No,J1167&amp;"",ap_Party,H1167&amp;"")=0)),"Bill # + vendor not found on AP sheet",IF(AND(ISNUMBER(M1167),N(M1167)&lt;&gt;0,W1167=0),"Tax ignored (tax tracking off, or not allowed for this type)",IF(V1167=K1167&amp;"","Same account on both sides",IF(AND(ISNUMBER(StartDate),C1167&lt;StartDate),"Date is before the accounting start date",IF(AND(D1167&lt;&gt;"Adjustment",IFERROR(INDEX(coa_Pay,MATCH(K1167&amp;"",coa_Name,0)),"")&lt;&gt;"Yes"),"Paid From / Deposited To is not a payment account","")))))))))))</f>
        <v/>
      </c>
      <c r="Z1167" s="67">
        <f>IF(AND(T1167=0,X1167=""),1,0)</f>
        <v/>
      </c>
      <c r="AA1167" s="68">
        <f>IF(Z1167=1,IF(U1167="In",L1167,L1167-W1167),0)</f>
        <v/>
      </c>
      <c r="AB1167" s="68">
        <f>IF(Z1167=1,IF(U1167="In",L1167-W1167,L1167),0)</f>
        <v/>
      </c>
      <c r="AC1167" s="68">
        <f>IF(AND(Z1167=1,U1167="Out"),W1167,0)</f>
        <v/>
      </c>
      <c r="AD1167" s="68">
        <f>IF(AND(Z1167=1,U1167="In"),W1167,0)</f>
        <v/>
      </c>
    </row>
    <row r="1168">
      <c r="B1168" s="62" t="inlineStr">
        <is>
          <t>TX-1162</t>
        </is>
      </c>
      <c r="C1168" s="63" t="n"/>
      <c r="D1168" s="62" t="n"/>
      <c r="E1168" s="62" t="n"/>
      <c r="F1168" s="62" t="n"/>
      <c r="G1168" s="62" t="n"/>
      <c r="H1168" s="62" t="n"/>
      <c r="I1168" s="62" t="n"/>
      <c r="J1168" s="62" t="n"/>
      <c r="K1168" s="62" t="n"/>
      <c r="L1168" s="64" t="n"/>
      <c r="M1168" s="64" t="n"/>
      <c r="N1168" s="62" t="n"/>
      <c r="O1168" s="65">
        <f>IF(Z1168=1,L1168-W1168,"")</f>
        <v/>
      </c>
      <c r="P1168" s="66">
        <f>IF(V1168="","",IFERROR(INDEX(coa_Type,MATCH(V1168,coa_Name,0)),""))</f>
        <v/>
      </c>
      <c r="Q1168" s="66">
        <f>IF(Z1168=1,IF(U1168="In",K1168&amp;"",V1168),"")</f>
        <v/>
      </c>
      <c r="R1168" s="66">
        <f>IF(Z1168=1,IF(U1168="In",V1168,K1168&amp;""),"")</f>
        <v/>
      </c>
      <c r="S1168" s="66">
        <f>IF(X1168&lt;&gt;"","⛔ "&amp;X1168&amp;" — not posted",IF(Y1168&lt;&gt;"","⚠ "&amp;Y1168,IF(Z1168=1,"✓ OK","")))</f>
        <v/>
      </c>
      <c r="T1168" s="67">
        <f>IF(AND(C1168="",D1168="",E1168="",L1168="",K1168=""),1,0)</f>
        <v/>
      </c>
      <c r="U1168" s="67">
        <f>IFERROR(INDEX(tt_Dir,MATCH(D1168,tt_Type,0)),"")</f>
        <v/>
      </c>
      <c r="V1168" s="67">
        <f>IF(D1168="","",IFERROR(IF(INDEX(tt_Other,MATCH(D1168,tt_Type,0))="",E1168&amp;"",INDEX(tt_Other,MATCH(D1168,tt_Type,0))),""))</f>
        <v/>
      </c>
      <c r="W1168" s="68">
        <f>IF(OR(TaxOn&lt;&gt;"Yes",NOT(ISNUMBER(M1168))),0,IF(IFERROR(INDEX(tt_Tax,MATCH(D1168,tt_Type,0)),"No")="Yes",M1168,0))</f>
        <v/>
      </c>
      <c r="X1168" s="67">
        <f>IF(T1168=1,"",IF(C1168="","Missing transaction date",IF(NOT(ISNUMBER(C1168)),"Invalid date",IF(OR(C1168&lt;DATE(2000,1,1),C1168&gt;DATE(2099,12,31)),"Invalid date",IF(D1168="","Select a type",IF(U1168="","Unknown type: "&amp;D1168,IF(V1168="","Select an account (Category)",IF(ISNA(MATCH(V1168,coa_Name,0)),"Unknown account: "&amp;V1168,IF(K1168="","Select Paid From / Deposited To",IF(ISNA(MATCH(K1168,coa_Name,0)),"Unknown account: "&amp;K1168,IF(NOT(ISNUMBER(L1168)),"Enter an amount",IF(L1168=0,"Enter an amount",IF(ABS(W1168)&gt;ABS(L1168),"Tax is larger than the amount","")))))))))))))</f>
        <v/>
      </c>
      <c r="Y1168" s="67">
        <f>IF(OR(T1168=1,X1168&lt;&gt;""),"",IF(AND(B1168&lt;&gt;"",COUNTIF(tx_ID,B1168)&gt;1),"Duplicate transaction ID",IF(AND(L1168&lt;0,D1168&lt;&gt;"Adjustment"),"Negative amount — check this entry",IF(AND(D1168="Customer Payment",G1168=""),"Add the customer",IF(AND(D1168="Customer Payment",OR(J1168="",COUNTIF(ar_No,J1168&amp;"")=0)),"Invoice # in Reference not found on AR sheet",IF(AND(D1168="Bill Payment",H1168=""),"Add the vendor",IF(AND(D1168="Bill Payment",OR(J1168="",COUNTIFS(ap_No,J1168&amp;"",ap_Party,H1168&amp;"")=0)),"Bill # + vendor not found on AP sheet",IF(AND(ISNUMBER(M1168),N(M1168)&lt;&gt;0,W1168=0),"Tax ignored (tax tracking off, or not allowed for this type)",IF(V1168=K1168&amp;"","Same account on both sides",IF(AND(ISNUMBER(StartDate),C1168&lt;StartDate),"Date is before the accounting start date",IF(AND(D1168&lt;&gt;"Adjustment",IFERROR(INDEX(coa_Pay,MATCH(K1168&amp;"",coa_Name,0)),"")&lt;&gt;"Yes"),"Paid From / Deposited To is not a payment account","")))))))))))</f>
        <v/>
      </c>
      <c r="Z1168" s="67">
        <f>IF(AND(T1168=0,X1168=""),1,0)</f>
        <v/>
      </c>
      <c r="AA1168" s="68">
        <f>IF(Z1168=1,IF(U1168="In",L1168,L1168-W1168),0)</f>
        <v/>
      </c>
      <c r="AB1168" s="68">
        <f>IF(Z1168=1,IF(U1168="In",L1168-W1168,L1168),0)</f>
        <v/>
      </c>
      <c r="AC1168" s="68">
        <f>IF(AND(Z1168=1,U1168="Out"),W1168,0)</f>
        <v/>
      </c>
      <c r="AD1168" s="68">
        <f>IF(AND(Z1168=1,U1168="In"),W1168,0)</f>
        <v/>
      </c>
    </row>
    <row r="1169">
      <c r="B1169" s="62" t="inlineStr">
        <is>
          <t>TX-1163</t>
        </is>
      </c>
      <c r="C1169" s="63" t="n"/>
      <c r="D1169" s="62" t="n"/>
      <c r="E1169" s="62" t="n"/>
      <c r="F1169" s="62" t="n"/>
      <c r="G1169" s="62" t="n"/>
      <c r="H1169" s="62" t="n"/>
      <c r="I1169" s="62" t="n"/>
      <c r="J1169" s="62" t="n"/>
      <c r="K1169" s="62" t="n"/>
      <c r="L1169" s="64" t="n"/>
      <c r="M1169" s="64" t="n"/>
      <c r="N1169" s="62" t="n"/>
      <c r="O1169" s="65">
        <f>IF(Z1169=1,L1169-W1169,"")</f>
        <v/>
      </c>
      <c r="P1169" s="66">
        <f>IF(V1169="","",IFERROR(INDEX(coa_Type,MATCH(V1169,coa_Name,0)),""))</f>
        <v/>
      </c>
      <c r="Q1169" s="66">
        <f>IF(Z1169=1,IF(U1169="In",K1169&amp;"",V1169),"")</f>
        <v/>
      </c>
      <c r="R1169" s="66">
        <f>IF(Z1169=1,IF(U1169="In",V1169,K1169&amp;""),"")</f>
        <v/>
      </c>
      <c r="S1169" s="66">
        <f>IF(X1169&lt;&gt;"","⛔ "&amp;X1169&amp;" — not posted",IF(Y1169&lt;&gt;"","⚠ "&amp;Y1169,IF(Z1169=1,"✓ OK","")))</f>
        <v/>
      </c>
      <c r="T1169" s="67">
        <f>IF(AND(C1169="",D1169="",E1169="",L1169="",K1169=""),1,0)</f>
        <v/>
      </c>
      <c r="U1169" s="67">
        <f>IFERROR(INDEX(tt_Dir,MATCH(D1169,tt_Type,0)),"")</f>
        <v/>
      </c>
      <c r="V1169" s="67">
        <f>IF(D1169="","",IFERROR(IF(INDEX(tt_Other,MATCH(D1169,tt_Type,0))="",E1169&amp;"",INDEX(tt_Other,MATCH(D1169,tt_Type,0))),""))</f>
        <v/>
      </c>
      <c r="W1169" s="68">
        <f>IF(OR(TaxOn&lt;&gt;"Yes",NOT(ISNUMBER(M1169))),0,IF(IFERROR(INDEX(tt_Tax,MATCH(D1169,tt_Type,0)),"No")="Yes",M1169,0))</f>
        <v/>
      </c>
      <c r="X1169" s="67">
        <f>IF(T1169=1,"",IF(C1169="","Missing transaction date",IF(NOT(ISNUMBER(C1169)),"Invalid date",IF(OR(C1169&lt;DATE(2000,1,1),C1169&gt;DATE(2099,12,31)),"Invalid date",IF(D1169="","Select a type",IF(U1169="","Unknown type: "&amp;D1169,IF(V1169="","Select an account (Category)",IF(ISNA(MATCH(V1169,coa_Name,0)),"Unknown account: "&amp;V1169,IF(K1169="","Select Paid From / Deposited To",IF(ISNA(MATCH(K1169,coa_Name,0)),"Unknown account: "&amp;K1169,IF(NOT(ISNUMBER(L1169)),"Enter an amount",IF(L1169=0,"Enter an amount",IF(ABS(W1169)&gt;ABS(L1169),"Tax is larger than the amount","")))))))))))))</f>
        <v/>
      </c>
      <c r="Y1169" s="67">
        <f>IF(OR(T1169=1,X1169&lt;&gt;""),"",IF(AND(B1169&lt;&gt;"",COUNTIF(tx_ID,B1169)&gt;1),"Duplicate transaction ID",IF(AND(L1169&lt;0,D1169&lt;&gt;"Adjustment"),"Negative amount — check this entry",IF(AND(D1169="Customer Payment",G1169=""),"Add the customer",IF(AND(D1169="Customer Payment",OR(J1169="",COUNTIF(ar_No,J1169&amp;"")=0)),"Invoice # in Reference not found on AR sheet",IF(AND(D1169="Bill Payment",H1169=""),"Add the vendor",IF(AND(D1169="Bill Payment",OR(J1169="",COUNTIFS(ap_No,J1169&amp;"",ap_Party,H1169&amp;"")=0)),"Bill # + vendor not found on AP sheet",IF(AND(ISNUMBER(M1169),N(M1169)&lt;&gt;0,W1169=0),"Tax ignored (tax tracking off, or not allowed for this type)",IF(V1169=K1169&amp;"","Same account on both sides",IF(AND(ISNUMBER(StartDate),C1169&lt;StartDate),"Date is before the accounting start date",IF(AND(D1169&lt;&gt;"Adjustment",IFERROR(INDEX(coa_Pay,MATCH(K1169&amp;"",coa_Name,0)),"")&lt;&gt;"Yes"),"Paid From / Deposited To is not a payment account","")))))))))))</f>
        <v/>
      </c>
      <c r="Z1169" s="67">
        <f>IF(AND(T1169=0,X1169=""),1,0)</f>
        <v/>
      </c>
      <c r="AA1169" s="68">
        <f>IF(Z1169=1,IF(U1169="In",L1169,L1169-W1169),0)</f>
        <v/>
      </c>
      <c r="AB1169" s="68">
        <f>IF(Z1169=1,IF(U1169="In",L1169-W1169,L1169),0)</f>
        <v/>
      </c>
      <c r="AC1169" s="68">
        <f>IF(AND(Z1169=1,U1169="Out"),W1169,0)</f>
        <v/>
      </c>
      <c r="AD1169" s="68">
        <f>IF(AND(Z1169=1,U1169="In"),W1169,0)</f>
        <v/>
      </c>
    </row>
    <row r="1170">
      <c r="B1170" s="62" t="inlineStr">
        <is>
          <t>TX-1164</t>
        </is>
      </c>
      <c r="C1170" s="63" t="n"/>
      <c r="D1170" s="62" t="n"/>
      <c r="E1170" s="62" t="n"/>
      <c r="F1170" s="62" t="n"/>
      <c r="G1170" s="62" t="n"/>
      <c r="H1170" s="62" t="n"/>
      <c r="I1170" s="62" t="n"/>
      <c r="J1170" s="62" t="n"/>
      <c r="K1170" s="62" t="n"/>
      <c r="L1170" s="64" t="n"/>
      <c r="M1170" s="64" t="n"/>
      <c r="N1170" s="62" t="n"/>
      <c r="O1170" s="65">
        <f>IF(Z1170=1,L1170-W1170,"")</f>
        <v/>
      </c>
      <c r="P1170" s="66">
        <f>IF(V1170="","",IFERROR(INDEX(coa_Type,MATCH(V1170,coa_Name,0)),""))</f>
        <v/>
      </c>
      <c r="Q1170" s="66">
        <f>IF(Z1170=1,IF(U1170="In",K1170&amp;"",V1170),"")</f>
        <v/>
      </c>
      <c r="R1170" s="66">
        <f>IF(Z1170=1,IF(U1170="In",V1170,K1170&amp;""),"")</f>
        <v/>
      </c>
      <c r="S1170" s="66">
        <f>IF(X1170&lt;&gt;"","⛔ "&amp;X1170&amp;" — not posted",IF(Y1170&lt;&gt;"","⚠ "&amp;Y1170,IF(Z1170=1,"✓ OK","")))</f>
        <v/>
      </c>
      <c r="T1170" s="67">
        <f>IF(AND(C1170="",D1170="",E1170="",L1170="",K1170=""),1,0)</f>
        <v/>
      </c>
      <c r="U1170" s="67">
        <f>IFERROR(INDEX(tt_Dir,MATCH(D1170,tt_Type,0)),"")</f>
        <v/>
      </c>
      <c r="V1170" s="67">
        <f>IF(D1170="","",IFERROR(IF(INDEX(tt_Other,MATCH(D1170,tt_Type,0))="",E1170&amp;"",INDEX(tt_Other,MATCH(D1170,tt_Type,0))),""))</f>
        <v/>
      </c>
      <c r="W1170" s="68">
        <f>IF(OR(TaxOn&lt;&gt;"Yes",NOT(ISNUMBER(M1170))),0,IF(IFERROR(INDEX(tt_Tax,MATCH(D1170,tt_Type,0)),"No")="Yes",M1170,0))</f>
        <v/>
      </c>
      <c r="X1170" s="67">
        <f>IF(T1170=1,"",IF(C1170="","Missing transaction date",IF(NOT(ISNUMBER(C1170)),"Invalid date",IF(OR(C1170&lt;DATE(2000,1,1),C1170&gt;DATE(2099,12,31)),"Invalid date",IF(D1170="","Select a type",IF(U1170="","Unknown type: "&amp;D1170,IF(V1170="","Select an account (Category)",IF(ISNA(MATCH(V1170,coa_Name,0)),"Unknown account: "&amp;V1170,IF(K1170="","Select Paid From / Deposited To",IF(ISNA(MATCH(K1170,coa_Name,0)),"Unknown account: "&amp;K1170,IF(NOT(ISNUMBER(L1170)),"Enter an amount",IF(L1170=0,"Enter an amount",IF(ABS(W1170)&gt;ABS(L1170),"Tax is larger than the amount","")))))))))))))</f>
        <v/>
      </c>
      <c r="Y1170" s="67">
        <f>IF(OR(T1170=1,X1170&lt;&gt;""),"",IF(AND(B1170&lt;&gt;"",COUNTIF(tx_ID,B1170)&gt;1),"Duplicate transaction ID",IF(AND(L1170&lt;0,D1170&lt;&gt;"Adjustment"),"Negative amount — check this entry",IF(AND(D1170="Customer Payment",G1170=""),"Add the customer",IF(AND(D1170="Customer Payment",OR(J1170="",COUNTIF(ar_No,J1170&amp;"")=0)),"Invoice # in Reference not found on AR sheet",IF(AND(D1170="Bill Payment",H1170=""),"Add the vendor",IF(AND(D1170="Bill Payment",OR(J1170="",COUNTIFS(ap_No,J1170&amp;"",ap_Party,H1170&amp;"")=0)),"Bill # + vendor not found on AP sheet",IF(AND(ISNUMBER(M1170),N(M1170)&lt;&gt;0,W1170=0),"Tax ignored (tax tracking off, or not allowed for this type)",IF(V1170=K1170&amp;"","Same account on both sides",IF(AND(ISNUMBER(StartDate),C1170&lt;StartDate),"Date is before the accounting start date",IF(AND(D1170&lt;&gt;"Adjustment",IFERROR(INDEX(coa_Pay,MATCH(K1170&amp;"",coa_Name,0)),"")&lt;&gt;"Yes"),"Paid From / Deposited To is not a payment account","")))))))))))</f>
        <v/>
      </c>
      <c r="Z1170" s="67">
        <f>IF(AND(T1170=0,X1170=""),1,0)</f>
        <v/>
      </c>
      <c r="AA1170" s="68">
        <f>IF(Z1170=1,IF(U1170="In",L1170,L1170-W1170),0)</f>
        <v/>
      </c>
      <c r="AB1170" s="68">
        <f>IF(Z1170=1,IF(U1170="In",L1170-W1170,L1170),0)</f>
        <v/>
      </c>
      <c r="AC1170" s="68">
        <f>IF(AND(Z1170=1,U1170="Out"),W1170,0)</f>
        <v/>
      </c>
      <c r="AD1170" s="68">
        <f>IF(AND(Z1170=1,U1170="In"),W1170,0)</f>
        <v/>
      </c>
    </row>
    <row r="1171">
      <c r="B1171" s="62" t="inlineStr">
        <is>
          <t>TX-1165</t>
        </is>
      </c>
      <c r="C1171" s="63" t="n"/>
      <c r="D1171" s="62" t="n"/>
      <c r="E1171" s="62" t="n"/>
      <c r="F1171" s="62" t="n"/>
      <c r="G1171" s="62" t="n"/>
      <c r="H1171" s="62" t="n"/>
      <c r="I1171" s="62" t="n"/>
      <c r="J1171" s="62" t="n"/>
      <c r="K1171" s="62" t="n"/>
      <c r="L1171" s="64" t="n"/>
      <c r="M1171" s="64" t="n"/>
      <c r="N1171" s="62" t="n"/>
      <c r="O1171" s="65">
        <f>IF(Z1171=1,L1171-W1171,"")</f>
        <v/>
      </c>
      <c r="P1171" s="66">
        <f>IF(V1171="","",IFERROR(INDEX(coa_Type,MATCH(V1171,coa_Name,0)),""))</f>
        <v/>
      </c>
      <c r="Q1171" s="66">
        <f>IF(Z1171=1,IF(U1171="In",K1171&amp;"",V1171),"")</f>
        <v/>
      </c>
      <c r="R1171" s="66">
        <f>IF(Z1171=1,IF(U1171="In",V1171,K1171&amp;""),"")</f>
        <v/>
      </c>
      <c r="S1171" s="66">
        <f>IF(X1171&lt;&gt;"","⛔ "&amp;X1171&amp;" — not posted",IF(Y1171&lt;&gt;"","⚠ "&amp;Y1171,IF(Z1171=1,"✓ OK","")))</f>
        <v/>
      </c>
      <c r="T1171" s="67">
        <f>IF(AND(C1171="",D1171="",E1171="",L1171="",K1171=""),1,0)</f>
        <v/>
      </c>
      <c r="U1171" s="67">
        <f>IFERROR(INDEX(tt_Dir,MATCH(D1171,tt_Type,0)),"")</f>
        <v/>
      </c>
      <c r="V1171" s="67">
        <f>IF(D1171="","",IFERROR(IF(INDEX(tt_Other,MATCH(D1171,tt_Type,0))="",E1171&amp;"",INDEX(tt_Other,MATCH(D1171,tt_Type,0))),""))</f>
        <v/>
      </c>
      <c r="W1171" s="68">
        <f>IF(OR(TaxOn&lt;&gt;"Yes",NOT(ISNUMBER(M1171))),0,IF(IFERROR(INDEX(tt_Tax,MATCH(D1171,tt_Type,0)),"No")="Yes",M1171,0))</f>
        <v/>
      </c>
      <c r="X1171" s="67">
        <f>IF(T1171=1,"",IF(C1171="","Missing transaction date",IF(NOT(ISNUMBER(C1171)),"Invalid date",IF(OR(C1171&lt;DATE(2000,1,1),C1171&gt;DATE(2099,12,31)),"Invalid date",IF(D1171="","Select a type",IF(U1171="","Unknown type: "&amp;D1171,IF(V1171="","Select an account (Category)",IF(ISNA(MATCH(V1171,coa_Name,0)),"Unknown account: "&amp;V1171,IF(K1171="","Select Paid From / Deposited To",IF(ISNA(MATCH(K1171,coa_Name,0)),"Unknown account: "&amp;K1171,IF(NOT(ISNUMBER(L1171)),"Enter an amount",IF(L1171=0,"Enter an amount",IF(ABS(W1171)&gt;ABS(L1171),"Tax is larger than the amount","")))))))))))))</f>
        <v/>
      </c>
      <c r="Y1171" s="67">
        <f>IF(OR(T1171=1,X1171&lt;&gt;""),"",IF(AND(B1171&lt;&gt;"",COUNTIF(tx_ID,B1171)&gt;1),"Duplicate transaction ID",IF(AND(L1171&lt;0,D1171&lt;&gt;"Adjustment"),"Negative amount — check this entry",IF(AND(D1171="Customer Payment",G1171=""),"Add the customer",IF(AND(D1171="Customer Payment",OR(J1171="",COUNTIF(ar_No,J1171&amp;"")=0)),"Invoice # in Reference not found on AR sheet",IF(AND(D1171="Bill Payment",H1171=""),"Add the vendor",IF(AND(D1171="Bill Payment",OR(J1171="",COUNTIFS(ap_No,J1171&amp;"",ap_Party,H1171&amp;"")=0)),"Bill # + vendor not found on AP sheet",IF(AND(ISNUMBER(M1171),N(M1171)&lt;&gt;0,W1171=0),"Tax ignored (tax tracking off, or not allowed for this type)",IF(V1171=K1171&amp;"","Same account on both sides",IF(AND(ISNUMBER(StartDate),C1171&lt;StartDate),"Date is before the accounting start date",IF(AND(D1171&lt;&gt;"Adjustment",IFERROR(INDEX(coa_Pay,MATCH(K1171&amp;"",coa_Name,0)),"")&lt;&gt;"Yes"),"Paid From / Deposited To is not a payment account","")))))))))))</f>
        <v/>
      </c>
      <c r="Z1171" s="67">
        <f>IF(AND(T1171=0,X1171=""),1,0)</f>
        <v/>
      </c>
      <c r="AA1171" s="68">
        <f>IF(Z1171=1,IF(U1171="In",L1171,L1171-W1171),0)</f>
        <v/>
      </c>
      <c r="AB1171" s="68">
        <f>IF(Z1171=1,IF(U1171="In",L1171-W1171,L1171),0)</f>
        <v/>
      </c>
      <c r="AC1171" s="68">
        <f>IF(AND(Z1171=1,U1171="Out"),W1171,0)</f>
        <v/>
      </c>
      <c r="AD1171" s="68">
        <f>IF(AND(Z1171=1,U1171="In"),W1171,0)</f>
        <v/>
      </c>
    </row>
    <row r="1172">
      <c r="B1172" s="62" t="inlineStr">
        <is>
          <t>TX-1166</t>
        </is>
      </c>
      <c r="C1172" s="63" t="n"/>
      <c r="D1172" s="62" t="n"/>
      <c r="E1172" s="62" t="n"/>
      <c r="F1172" s="62" t="n"/>
      <c r="G1172" s="62" t="n"/>
      <c r="H1172" s="62" t="n"/>
      <c r="I1172" s="62" t="n"/>
      <c r="J1172" s="62" t="n"/>
      <c r="K1172" s="62" t="n"/>
      <c r="L1172" s="64" t="n"/>
      <c r="M1172" s="64" t="n"/>
      <c r="N1172" s="62" t="n"/>
      <c r="O1172" s="65">
        <f>IF(Z1172=1,L1172-W1172,"")</f>
        <v/>
      </c>
      <c r="P1172" s="66">
        <f>IF(V1172="","",IFERROR(INDEX(coa_Type,MATCH(V1172,coa_Name,0)),""))</f>
        <v/>
      </c>
      <c r="Q1172" s="66">
        <f>IF(Z1172=1,IF(U1172="In",K1172&amp;"",V1172),"")</f>
        <v/>
      </c>
      <c r="R1172" s="66">
        <f>IF(Z1172=1,IF(U1172="In",V1172,K1172&amp;""),"")</f>
        <v/>
      </c>
      <c r="S1172" s="66">
        <f>IF(X1172&lt;&gt;"","⛔ "&amp;X1172&amp;" — not posted",IF(Y1172&lt;&gt;"","⚠ "&amp;Y1172,IF(Z1172=1,"✓ OK","")))</f>
        <v/>
      </c>
      <c r="T1172" s="67">
        <f>IF(AND(C1172="",D1172="",E1172="",L1172="",K1172=""),1,0)</f>
        <v/>
      </c>
      <c r="U1172" s="67">
        <f>IFERROR(INDEX(tt_Dir,MATCH(D1172,tt_Type,0)),"")</f>
        <v/>
      </c>
      <c r="V1172" s="67">
        <f>IF(D1172="","",IFERROR(IF(INDEX(tt_Other,MATCH(D1172,tt_Type,0))="",E1172&amp;"",INDEX(tt_Other,MATCH(D1172,tt_Type,0))),""))</f>
        <v/>
      </c>
      <c r="W1172" s="68">
        <f>IF(OR(TaxOn&lt;&gt;"Yes",NOT(ISNUMBER(M1172))),0,IF(IFERROR(INDEX(tt_Tax,MATCH(D1172,tt_Type,0)),"No")="Yes",M1172,0))</f>
        <v/>
      </c>
      <c r="X1172" s="67">
        <f>IF(T1172=1,"",IF(C1172="","Missing transaction date",IF(NOT(ISNUMBER(C1172)),"Invalid date",IF(OR(C1172&lt;DATE(2000,1,1),C1172&gt;DATE(2099,12,31)),"Invalid date",IF(D1172="","Select a type",IF(U1172="","Unknown type: "&amp;D1172,IF(V1172="","Select an account (Category)",IF(ISNA(MATCH(V1172,coa_Name,0)),"Unknown account: "&amp;V1172,IF(K1172="","Select Paid From / Deposited To",IF(ISNA(MATCH(K1172,coa_Name,0)),"Unknown account: "&amp;K1172,IF(NOT(ISNUMBER(L1172)),"Enter an amount",IF(L1172=0,"Enter an amount",IF(ABS(W1172)&gt;ABS(L1172),"Tax is larger than the amount","")))))))))))))</f>
        <v/>
      </c>
      <c r="Y1172" s="67">
        <f>IF(OR(T1172=1,X1172&lt;&gt;""),"",IF(AND(B1172&lt;&gt;"",COUNTIF(tx_ID,B1172)&gt;1),"Duplicate transaction ID",IF(AND(L1172&lt;0,D1172&lt;&gt;"Adjustment"),"Negative amount — check this entry",IF(AND(D1172="Customer Payment",G1172=""),"Add the customer",IF(AND(D1172="Customer Payment",OR(J1172="",COUNTIF(ar_No,J1172&amp;"")=0)),"Invoice # in Reference not found on AR sheet",IF(AND(D1172="Bill Payment",H1172=""),"Add the vendor",IF(AND(D1172="Bill Payment",OR(J1172="",COUNTIFS(ap_No,J1172&amp;"",ap_Party,H1172&amp;"")=0)),"Bill # + vendor not found on AP sheet",IF(AND(ISNUMBER(M1172),N(M1172)&lt;&gt;0,W1172=0),"Tax ignored (tax tracking off, or not allowed for this type)",IF(V1172=K1172&amp;"","Same account on both sides",IF(AND(ISNUMBER(StartDate),C1172&lt;StartDate),"Date is before the accounting start date",IF(AND(D1172&lt;&gt;"Adjustment",IFERROR(INDEX(coa_Pay,MATCH(K1172&amp;"",coa_Name,0)),"")&lt;&gt;"Yes"),"Paid From / Deposited To is not a payment account","")))))))))))</f>
        <v/>
      </c>
      <c r="Z1172" s="67">
        <f>IF(AND(T1172=0,X1172=""),1,0)</f>
        <v/>
      </c>
      <c r="AA1172" s="68">
        <f>IF(Z1172=1,IF(U1172="In",L1172,L1172-W1172),0)</f>
        <v/>
      </c>
      <c r="AB1172" s="68">
        <f>IF(Z1172=1,IF(U1172="In",L1172-W1172,L1172),0)</f>
        <v/>
      </c>
      <c r="AC1172" s="68">
        <f>IF(AND(Z1172=1,U1172="Out"),W1172,0)</f>
        <v/>
      </c>
      <c r="AD1172" s="68">
        <f>IF(AND(Z1172=1,U1172="In"),W1172,0)</f>
        <v/>
      </c>
    </row>
    <row r="1173">
      <c r="B1173" s="62" t="inlineStr">
        <is>
          <t>TX-1167</t>
        </is>
      </c>
      <c r="C1173" s="63" t="n"/>
      <c r="D1173" s="62" t="n"/>
      <c r="E1173" s="62" t="n"/>
      <c r="F1173" s="62" t="n"/>
      <c r="G1173" s="62" t="n"/>
      <c r="H1173" s="62" t="n"/>
      <c r="I1173" s="62" t="n"/>
      <c r="J1173" s="62" t="n"/>
      <c r="K1173" s="62" t="n"/>
      <c r="L1173" s="64" t="n"/>
      <c r="M1173" s="64" t="n"/>
      <c r="N1173" s="62" t="n"/>
      <c r="O1173" s="65">
        <f>IF(Z1173=1,L1173-W1173,"")</f>
        <v/>
      </c>
      <c r="P1173" s="66">
        <f>IF(V1173="","",IFERROR(INDEX(coa_Type,MATCH(V1173,coa_Name,0)),""))</f>
        <v/>
      </c>
      <c r="Q1173" s="66">
        <f>IF(Z1173=1,IF(U1173="In",K1173&amp;"",V1173),"")</f>
        <v/>
      </c>
      <c r="R1173" s="66">
        <f>IF(Z1173=1,IF(U1173="In",V1173,K1173&amp;""),"")</f>
        <v/>
      </c>
      <c r="S1173" s="66">
        <f>IF(X1173&lt;&gt;"","⛔ "&amp;X1173&amp;" — not posted",IF(Y1173&lt;&gt;"","⚠ "&amp;Y1173,IF(Z1173=1,"✓ OK","")))</f>
        <v/>
      </c>
      <c r="T1173" s="67">
        <f>IF(AND(C1173="",D1173="",E1173="",L1173="",K1173=""),1,0)</f>
        <v/>
      </c>
      <c r="U1173" s="67">
        <f>IFERROR(INDEX(tt_Dir,MATCH(D1173,tt_Type,0)),"")</f>
        <v/>
      </c>
      <c r="V1173" s="67">
        <f>IF(D1173="","",IFERROR(IF(INDEX(tt_Other,MATCH(D1173,tt_Type,0))="",E1173&amp;"",INDEX(tt_Other,MATCH(D1173,tt_Type,0))),""))</f>
        <v/>
      </c>
      <c r="W1173" s="68">
        <f>IF(OR(TaxOn&lt;&gt;"Yes",NOT(ISNUMBER(M1173))),0,IF(IFERROR(INDEX(tt_Tax,MATCH(D1173,tt_Type,0)),"No")="Yes",M1173,0))</f>
        <v/>
      </c>
      <c r="X1173" s="67">
        <f>IF(T1173=1,"",IF(C1173="","Missing transaction date",IF(NOT(ISNUMBER(C1173)),"Invalid date",IF(OR(C1173&lt;DATE(2000,1,1),C1173&gt;DATE(2099,12,31)),"Invalid date",IF(D1173="","Select a type",IF(U1173="","Unknown type: "&amp;D1173,IF(V1173="","Select an account (Category)",IF(ISNA(MATCH(V1173,coa_Name,0)),"Unknown account: "&amp;V1173,IF(K1173="","Select Paid From / Deposited To",IF(ISNA(MATCH(K1173,coa_Name,0)),"Unknown account: "&amp;K1173,IF(NOT(ISNUMBER(L1173)),"Enter an amount",IF(L1173=0,"Enter an amount",IF(ABS(W1173)&gt;ABS(L1173),"Tax is larger than the amount","")))))))))))))</f>
        <v/>
      </c>
      <c r="Y1173" s="67">
        <f>IF(OR(T1173=1,X1173&lt;&gt;""),"",IF(AND(B1173&lt;&gt;"",COUNTIF(tx_ID,B1173)&gt;1),"Duplicate transaction ID",IF(AND(L1173&lt;0,D1173&lt;&gt;"Adjustment"),"Negative amount — check this entry",IF(AND(D1173="Customer Payment",G1173=""),"Add the customer",IF(AND(D1173="Customer Payment",OR(J1173="",COUNTIF(ar_No,J1173&amp;"")=0)),"Invoice # in Reference not found on AR sheet",IF(AND(D1173="Bill Payment",H1173=""),"Add the vendor",IF(AND(D1173="Bill Payment",OR(J1173="",COUNTIFS(ap_No,J1173&amp;"",ap_Party,H1173&amp;"")=0)),"Bill # + vendor not found on AP sheet",IF(AND(ISNUMBER(M1173),N(M1173)&lt;&gt;0,W1173=0),"Tax ignored (tax tracking off, or not allowed for this type)",IF(V1173=K1173&amp;"","Same account on both sides",IF(AND(ISNUMBER(StartDate),C1173&lt;StartDate),"Date is before the accounting start date",IF(AND(D1173&lt;&gt;"Adjustment",IFERROR(INDEX(coa_Pay,MATCH(K1173&amp;"",coa_Name,0)),"")&lt;&gt;"Yes"),"Paid From / Deposited To is not a payment account","")))))))))))</f>
        <v/>
      </c>
      <c r="Z1173" s="67">
        <f>IF(AND(T1173=0,X1173=""),1,0)</f>
        <v/>
      </c>
      <c r="AA1173" s="68">
        <f>IF(Z1173=1,IF(U1173="In",L1173,L1173-W1173),0)</f>
        <v/>
      </c>
      <c r="AB1173" s="68">
        <f>IF(Z1173=1,IF(U1173="In",L1173-W1173,L1173),0)</f>
        <v/>
      </c>
      <c r="AC1173" s="68">
        <f>IF(AND(Z1173=1,U1173="Out"),W1173,0)</f>
        <v/>
      </c>
      <c r="AD1173" s="68">
        <f>IF(AND(Z1173=1,U1173="In"),W1173,0)</f>
        <v/>
      </c>
    </row>
    <row r="1174">
      <c r="B1174" s="62" t="inlineStr">
        <is>
          <t>TX-1168</t>
        </is>
      </c>
      <c r="C1174" s="63" t="n"/>
      <c r="D1174" s="62" t="n"/>
      <c r="E1174" s="62" t="n"/>
      <c r="F1174" s="62" t="n"/>
      <c r="G1174" s="62" t="n"/>
      <c r="H1174" s="62" t="n"/>
      <c r="I1174" s="62" t="n"/>
      <c r="J1174" s="62" t="n"/>
      <c r="K1174" s="62" t="n"/>
      <c r="L1174" s="64" t="n"/>
      <c r="M1174" s="64" t="n"/>
      <c r="N1174" s="62" t="n"/>
      <c r="O1174" s="65">
        <f>IF(Z1174=1,L1174-W1174,"")</f>
        <v/>
      </c>
      <c r="P1174" s="66">
        <f>IF(V1174="","",IFERROR(INDEX(coa_Type,MATCH(V1174,coa_Name,0)),""))</f>
        <v/>
      </c>
      <c r="Q1174" s="66">
        <f>IF(Z1174=1,IF(U1174="In",K1174&amp;"",V1174),"")</f>
        <v/>
      </c>
      <c r="R1174" s="66">
        <f>IF(Z1174=1,IF(U1174="In",V1174,K1174&amp;""),"")</f>
        <v/>
      </c>
      <c r="S1174" s="66">
        <f>IF(X1174&lt;&gt;"","⛔ "&amp;X1174&amp;" — not posted",IF(Y1174&lt;&gt;"","⚠ "&amp;Y1174,IF(Z1174=1,"✓ OK","")))</f>
        <v/>
      </c>
      <c r="T1174" s="67">
        <f>IF(AND(C1174="",D1174="",E1174="",L1174="",K1174=""),1,0)</f>
        <v/>
      </c>
      <c r="U1174" s="67">
        <f>IFERROR(INDEX(tt_Dir,MATCH(D1174,tt_Type,0)),"")</f>
        <v/>
      </c>
      <c r="V1174" s="67">
        <f>IF(D1174="","",IFERROR(IF(INDEX(tt_Other,MATCH(D1174,tt_Type,0))="",E1174&amp;"",INDEX(tt_Other,MATCH(D1174,tt_Type,0))),""))</f>
        <v/>
      </c>
      <c r="W1174" s="68">
        <f>IF(OR(TaxOn&lt;&gt;"Yes",NOT(ISNUMBER(M1174))),0,IF(IFERROR(INDEX(tt_Tax,MATCH(D1174,tt_Type,0)),"No")="Yes",M1174,0))</f>
        <v/>
      </c>
      <c r="X1174" s="67">
        <f>IF(T1174=1,"",IF(C1174="","Missing transaction date",IF(NOT(ISNUMBER(C1174)),"Invalid date",IF(OR(C1174&lt;DATE(2000,1,1),C1174&gt;DATE(2099,12,31)),"Invalid date",IF(D1174="","Select a type",IF(U1174="","Unknown type: "&amp;D1174,IF(V1174="","Select an account (Category)",IF(ISNA(MATCH(V1174,coa_Name,0)),"Unknown account: "&amp;V1174,IF(K1174="","Select Paid From / Deposited To",IF(ISNA(MATCH(K1174,coa_Name,0)),"Unknown account: "&amp;K1174,IF(NOT(ISNUMBER(L1174)),"Enter an amount",IF(L1174=0,"Enter an amount",IF(ABS(W1174)&gt;ABS(L1174),"Tax is larger than the amount","")))))))))))))</f>
        <v/>
      </c>
      <c r="Y1174" s="67">
        <f>IF(OR(T1174=1,X1174&lt;&gt;""),"",IF(AND(B1174&lt;&gt;"",COUNTIF(tx_ID,B1174)&gt;1),"Duplicate transaction ID",IF(AND(L1174&lt;0,D1174&lt;&gt;"Adjustment"),"Negative amount — check this entry",IF(AND(D1174="Customer Payment",G1174=""),"Add the customer",IF(AND(D1174="Customer Payment",OR(J1174="",COUNTIF(ar_No,J1174&amp;"")=0)),"Invoice # in Reference not found on AR sheet",IF(AND(D1174="Bill Payment",H1174=""),"Add the vendor",IF(AND(D1174="Bill Payment",OR(J1174="",COUNTIFS(ap_No,J1174&amp;"",ap_Party,H1174&amp;"")=0)),"Bill # + vendor not found on AP sheet",IF(AND(ISNUMBER(M1174),N(M1174)&lt;&gt;0,W1174=0),"Tax ignored (tax tracking off, or not allowed for this type)",IF(V1174=K1174&amp;"","Same account on both sides",IF(AND(ISNUMBER(StartDate),C1174&lt;StartDate),"Date is before the accounting start date",IF(AND(D1174&lt;&gt;"Adjustment",IFERROR(INDEX(coa_Pay,MATCH(K1174&amp;"",coa_Name,0)),"")&lt;&gt;"Yes"),"Paid From / Deposited To is not a payment account","")))))))))))</f>
        <v/>
      </c>
      <c r="Z1174" s="67">
        <f>IF(AND(T1174=0,X1174=""),1,0)</f>
        <v/>
      </c>
      <c r="AA1174" s="68">
        <f>IF(Z1174=1,IF(U1174="In",L1174,L1174-W1174),0)</f>
        <v/>
      </c>
      <c r="AB1174" s="68">
        <f>IF(Z1174=1,IF(U1174="In",L1174-W1174,L1174),0)</f>
        <v/>
      </c>
      <c r="AC1174" s="68">
        <f>IF(AND(Z1174=1,U1174="Out"),W1174,0)</f>
        <v/>
      </c>
      <c r="AD1174" s="68">
        <f>IF(AND(Z1174=1,U1174="In"),W1174,0)</f>
        <v/>
      </c>
    </row>
    <row r="1175">
      <c r="B1175" s="62" t="inlineStr">
        <is>
          <t>TX-1169</t>
        </is>
      </c>
      <c r="C1175" s="63" t="n"/>
      <c r="D1175" s="62" t="n"/>
      <c r="E1175" s="62" t="n"/>
      <c r="F1175" s="62" t="n"/>
      <c r="G1175" s="62" t="n"/>
      <c r="H1175" s="62" t="n"/>
      <c r="I1175" s="62" t="n"/>
      <c r="J1175" s="62" t="n"/>
      <c r="K1175" s="62" t="n"/>
      <c r="L1175" s="64" t="n"/>
      <c r="M1175" s="64" t="n"/>
      <c r="N1175" s="62" t="n"/>
      <c r="O1175" s="65">
        <f>IF(Z1175=1,L1175-W1175,"")</f>
        <v/>
      </c>
      <c r="P1175" s="66">
        <f>IF(V1175="","",IFERROR(INDEX(coa_Type,MATCH(V1175,coa_Name,0)),""))</f>
        <v/>
      </c>
      <c r="Q1175" s="66">
        <f>IF(Z1175=1,IF(U1175="In",K1175&amp;"",V1175),"")</f>
        <v/>
      </c>
      <c r="R1175" s="66">
        <f>IF(Z1175=1,IF(U1175="In",V1175,K1175&amp;""),"")</f>
        <v/>
      </c>
      <c r="S1175" s="66">
        <f>IF(X1175&lt;&gt;"","⛔ "&amp;X1175&amp;" — not posted",IF(Y1175&lt;&gt;"","⚠ "&amp;Y1175,IF(Z1175=1,"✓ OK","")))</f>
        <v/>
      </c>
      <c r="T1175" s="67">
        <f>IF(AND(C1175="",D1175="",E1175="",L1175="",K1175=""),1,0)</f>
        <v/>
      </c>
      <c r="U1175" s="67">
        <f>IFERROR(INDEX(tt_Dir,MATCH(D1175,tt_Type,0)),"")</f>
        <v/>
      </c>
      <c r="V1175" s="67">
        <f>IF(D1175="","",IFERROR(IF(INDEX(tt_Other,MATCH(D1175,tt_Type,0))="",E1175&amp;"",INDEX(tt_Other,MATCH(D1175,tt_Type,0))),""))</f>
        <v/>
      </c>
      <c r="W1175" s="68">
        <f>IF(OR(TaxOn&lt;&gt;"Yes",NOT(ISNUMBER(M1175))),0,IF(IFERROR(INDEX(tt_Tax,MATCH(D1175,tt_Type,0)),"No")="Yes",M1175,0))</f>
        <v/>
      </c>
      <c r="X1175" s="67">
        <f>IF(T1175=1,"",IF(C1175="","Missing transaction date",IF(NOT(ISNUMBER(C1175)),"Invalid date",IF(OR(C1175&lt;DATE(2000,1,1),C1175&gt;DATE(2099,12,31)),"Invalid date",IF(D1175="","Select a type",IF(U1175="","Unknown type: "&amp;D1175,IF(V1175="","Select an account (Category)",IF(ISNA(MATCH(V1175,coa_Name,0)),"Unknown account: "&amp;V1175,IF(K1175="","Select Paid From / Deposited To",IF(ISNA(MATCH(K1175,coa_Name,0)),"Unknown account: "&amp;K1175,IF(NOT(ISNUMBER(L1175)),"Enter an amount",IF(L1175=0,"Enter an amount",IF(ABS(W1175)&gt;ABS(L1175),"Tax is larger than the amount","")))))))))))))</f>
        <v/>
      </c>
      <c r="Y1175" s="67">
        <f>IF(OR(T1175=1,X1175&lt;&gt;""),"",IF(AND(B1175&lt;&gt;"",COUNTIF(tx_ID,B1175)&gt;1),"Duplicate transaction ID",IF(AND(L1175&lt;0,D1175&lt;&gt;"Adjustment"),"Negative amount — check this entry",IF(AND(D1175="Customer Payment",G1175=""),"Add the customer",IF(AND(D1175="Customer Payment",OR(J1175="",COUNTIF(ar_No,J1175&amp;"")=0)),"Invoice # in Reference not found on AR sheet",IF(AND(D1175="Bill Payment",H1175=""),"Add the vendor",IF(AND(D1175="Bill Payment",OR(J1175="",COUNTIFS(ap_No,J1175&amp;"",ap_Party,H1175&amp;"")=0)),"Bill # + vendor not found on AP sheet",IF(AND(ISNUMBER(M1175),N(M1175)&lt;&gt;0,W1175=0),"Tax ignored (tax tracking off, or not allowed for this type)",IF(V1175=K1175&amp;"","Same account on both sides",IF(AND(ISNUMBER(StartDate),C1175&lt;StartDate),"Date is before the accounting start date",IF(AND(D1175&lt;&gt;"Adjustment",IFERROR(INDEX(coa_Pay,MATCH(K1175&amp;"",coa_Name,0)),"")&lt;&gt;"Yes"),"Paid From / Deposited To is not a payment account","")))))))))))</f>
        <v/>
      </c>
      <c r="Z1175" s="67">
        <f>IF(AND(T1175=0,X1175=""),1,0)</f>
        <v/>
      </c>
      <c r="AA1175" s="68">
        <f>IF(Z1175=1,IF(U1175="In",L1175,L1175-W1175),0)</f>
        <v/>
      </c>
      <c r="AB1175" s="68">
        <f>IF(Z1175=1,IF(U1175="In",L1175-W1175,L1175),0)</f>
        <v/>
      </c>
      <c r="AC1175" s="68">
        <f>IF(AND(Z1175=1,U1175="Out"),W1175,0)</f>
        <v/>
      </c>
      <c r="AD1175" s="68">
        <f>IF(AND(Z1175=1,U1175="In"),W1175,0)</f>
        <v/>
      </c>
    </row>
    <row r="1176">
      <c r="B1176" s="62" t="inlineStr">
        <is>
          <t>TX-1170</t>
        </is>
      </c>
      <c r="C1176" s="63" t="n"/>
      <c r="D1176" s="62" t="n"/>
      <c r="E1176" s="62" t="n"/>
      <c r="F1176" s="62" t="n"/>
      <c r="G1176" s="62" t="n"/>
      <c r="H1176" s="62" t="n"/>
      <c r="I1176" s="62" t="n"/>
      <c r="J1176" s="62" t="n"/>
      <c r="K1176" s="62" t="n"/>
      <c r="L1176" s="64" t="n"/>
      <c r="M1176" s="64" t="n"/>
      <c r="N1176" s="62" t="n"/>
      <c r="O1176" s="65">
        <f>IF(Z1176=1,L1176-W1176,"")</f>
        <v/>
      </c>
      <c r="P1176" s="66">
        <f>IF(V1176="","",IFERROR(INDEX(coa_Type,MATCH(V1176,coa_Name,0)),""))</f>
        <v/>
      </c>
      <c r="Q1176" s="66">
        <f>IF(Z1176=1,IF(U1176="In",K1176&amp;"",V1176),"")</f>
        <v/>
      </c>
      <c r="R1176" s="66">
        <f>IF(Z1176=1,IF(U1176="In",V1176,K1176&amp;""),"")</f>
        <v/>
      </c>
      <c r="S1176" s="66">
        <f>IF(X1176&lt;&gt;"","⛔ "&amp;X1176&amp;" — not posted",IF(Y1176&lt;&gt;"","⚠ "&amp;Y1176,IF(Z1176=1,"✓ OK","")))</f>
        <v/>
      </c>
      <c r="T1176" s="67">
        <f>IF(AND(C1176="",D1176="",E1176="",L1176="",K1176=""),1,0)</f>
        <v/>
      </c>
      <c r="U1176" s="67">
        <f>IFERROR(INDEX(tt_Dir,MATCH(D1176,tt_Type,0)),"")</f>
        <v/>
      </c>
      <c r="V1176" s="67">
        <f>IF(D1176="","",IFERROR(IF(INDEX(tt_Other,MATCH(D1176,tt_Type,0))="",E1176&amp;"",INDEX(tt_Other,MATCH(D1176,tt_Type,0))),""))</f>
        <v/>
      </c>
      <c r="W1176" s="68">
        <f>IF(OR(TaxOn&lt;&gt;"Yes",NOT(ISNUMBER(M1176))),0,IF(IFERROR(INDEX(tt_Tax,MATCH(D1176,tt_Type,0)),"No")="Yes",M1176,0))</f>
        <v/>
      </c>
      <c r="X1176" s="67">
        <f>IF(T1176=1,"",IF(C1176="","Missing transaction date",IF(NOT(ISNUMBER(C1176)),"Invalid date",IF(OR(C1176&lt;DATE(2000,1,1),C1176&gt;DATE(2099,12,31)),"Invalid date",IF(D1176="","Select a type",IF(U1176="","Unknown type: "&amp;D1176,IF(V1176="","Select an account (Category)",IF(ISNA(MATCH(V1176,coa_Name,0)),"Unknown account: "&amp;V1176,IF(K1176="","Select Paid From / Deposited To",IF(ISNA(MATCH(K1176,coa_Name,0)),"Unknown account: "&amp;K1176,IF(NOT(ISNUMBER(L1176)),"Enter an amount",IF(L1176=0,"Enter an amount",IF(ABS(W1176)&gt;ABS(L1176),"Tax is larger than the amount","")))))))))))))</f>
        <v/>
      </c>
      <c r="Y1176" s="67">
        <f>IF(OR(T1176=1,X1176&lt;&gt;""),"",IF(AND(B1176&lt;&gt;"",COUNTIF(tx_ID,B1176)&gt;1),"Duplicate transaction ID",IF(AND(L1176&lt;0,D1176&lt;&gt;"Adjustment"),"Negative amount — check this entry",IF(AND(D1176="Customer Payment",G1176=""),"Add the customer",IF(AND(D1176="Customer Payment",OR(J1176="",COUNTIF(ar_No,J1176&amp;"")=0)),"Invoice # in Reference not found on AR sheet",IF(AND(D1176="Bill Payment",H1176=""),"Add the vendor",IF(AND(D1176="Bill Payment",OR(J1176="",COUNTIFS(ap_No,J1176&amp;"",ap_Party,H1176&amp;"")=0)),"Bill # + vendor not found on AP sheet",IF(AND(ISNUMBER(M1176),N(M1176)&lt;&gt;0,W1176=0),"Tax ignored (tax tracking off, or not allowed for this type)",IF(V1176=K1176&amp;"","Same account on both sides",IF(AND(ISNUMBER(StartDate),C1176&lt;StartDate),"Date is before the accounting start date",IF(AND(D1176&lt;&gt;"Adjustment",IFERROR(INDEX(coa_Pay,MATCH(K1176&amp;"",coa_Name,0)),"")&lt;&gt;"Yes"),"Paid From / Deposited To is not a payment account","")))))))))))</f>
        <v/>
      </c>
      <c r="Z1176" s="67">
        <f>IF(AND(T1176=0,X1176=""),1,0)</f>
        <v/>
      </c>
      <c r="AA1176" s="68">
        <f>IF(Z1176=1,IF(U1176="In",L1176,L1176-W1176),0)</f>
        <v/>
      </c>
      <c r="AB1176" s="68">
        <f>IF(Z1176=1,IF(U1176="In",L1176-W1176,L1176),0)</f>
        <v/>
      </c>
      <c r="AC1176" s="68">
        <f>IF(AND(Z1176=1,U1176="Out"),W1176,0)</f>
        <v/>
      </c>
      <c r="AD1176" s="68">
        <f>IF(AND(Z1176=1,U1176="In"),W1176,0)</f>
        <v/>
      </c>
    </row>
    <row r="1177">
      <c r="B1177" s="62" t="inlineStr">
        <is>
          <t>TX-1171</t>
        </is>
      </c>
      <c r="C1177" s="63" t="n"/>
      <c r="D1177" s="62" t="n"/>
      <c r="E1177" s="62" t="n"/>
      <c r="F1177" s="62" t="n"/>
      <c r="G1177" s="62" t="n"/>
      <c r="H1177" s="62" t="n"/>
      <c r="I1177" s="62" t="n"/>
      <c r="J1177" s="62" t="n"/>
      <c r="K1177" s="62" t="n"/>
      <c r="L1177" s="64" t="n"/>
      <c r="M1177" s="64" t="n"/>
      <c r="N1177" s="62" t="n"/>
      <c r="O1177" s="65">
        <f>IF(Z1177=1,L1177-W1177,"")</f>
        <v/>
      </c>
      <c r="P1177" s="66">
        <f>IF(V1177="","",IFERROR(INDEX(coa_Type,MATCH(V1177,coa_Name,0)),""))</f>
        <v/>
      </c>
      <c r="Q1177" s="66">
        <f>IF(Z1177=1,IF(U1177="In",K1177&amp;"",V1177),"")</f>
        <v/>
      </c>
      <c r="R1177" s="66">
        <f>IF(Z1177=1,IF(U1177="In",V1177,K1177&amp;""),"")</f>
        <v/>
      </c>
      <c r="S1177" s="66">
        <f>IF(X1177&lt;&gt;"","⛔ "&amp;X1177&amp;" — not posted",IF(Y1177&lt;&gt;"","⚠ "&amp;Y1177,IF(Z1177=1,"✓ OK","")))</f>
        <v/>
      </c>
      <c r="T1177" s="67">
        <f>IF(AND(C1177="",D1177="",E1177="",L1177="",K1177=""),1,0)</f>
        <v/>
      </c>
      <c r="U1177" s="67">
        <f>IFERROR(INDEX(tt_Dir,MATCH(D1177,tt_Type,0)),"")</f>
        <v/>
      </c>
      <c r="V1177" s="67">
        <f>IF(D1177="","",IFERROR(IF(INDEX(tt_Other,MATCH(D1177,tt_Type,0))="",E1177&amp;"",INDEX(tt_Other,MATCH(D1177,tt_Type,0))),""))</f>
        <v/>
      </c>
      <c r="W1177" s="68">
        <f>IF(OR(TaxOn&lt;&gt;"Yes",NOT(ISNUMBER(M1177))),0,IF(IFERROR(INDEX(tt_Tax,MATCH(D1177,tt_Type,0)),"No")="Yes",M1177,0))</f>
        <v/>
      </c>
      <c r="X1177" s="67">
        <f>IF(T1177=1,"",IF(C1177="","Missing transaction date",IF(NOT(ISNUMBER(C1177)),"Invalid date",IF(OR(C1177&lt;DATE(2000,1,1),C1177&gt;DATE(2099,12,31)),"Invalid date",IF(D1177="","Select a type",IF(U1177="","Unknown type: "&amp;D1177,IF(V1177="","Select an account (Category)",IF(ISNA(MATCH(V1177,coa_Name,0)),"Unknown account: "&amp;V1177,IF(K1177="","Select Paid From / Deposited To",IF(ISNA(MATCH(K1177,coa_Name,0)),"Unknown account: "&amp;K1177,IF(NOT(ISNUMBER(L1177)),"Enter an amount",IF(L1177=0,"Enter an amount",IF(ABS(W1177)&gt;ABS(L1177),"Tax is larger than the amount","")))))))))))))</f>
        <v/>
      </c>
      <c r="Y1177" s="67">
        <f>IF(OR(T1177=1,X1177&lt;&gt;""),"",IF(AND(B1177&lt;&gt;"",COUNTIF(tx_ID,B1177)&gt;1),"Duplicate transaction ID",IF(AND(L1177&lt;0,D1177&lt;&gt;"Adjustment"),"Negative amount — check this entry",IF(AND(D1177="Customer Payment",G1177=""),"Add the customer",IF(AND(D1177="Customer Payment",OR(J1177="",COUNTIF(ar_No,J1177&amp;"")=0)),"Invoice # in Reference not found on AR sheet",IF(AND(D1177="Bill Payment",H1177=""),"Add the vendor",IF(AND(D1177="Bill Payment",OR(J1177="",COUNTIFS(ap_No,J1177&amp;"",ap_Party,H1177&amp;"")=0)),"Bill # + vendor not found on AP sheet",IF(AND(ISNUMBER(M1177),N(M1177)&lt;&gt;0,W1177=0),"Tax ignored (tax tracking off, or not allowed for this type)",IF(V1177=K1177&amp;"","Same account on both sides",IF(AND(ISNUMBER(StartDate),C1177&lt;StartDate),"Date is before the accounting start date",IF(AND(D1177&lt;&gt;"Adjustment",IFERROR(INDEX(coa_Pay,MATCH(K1177&amp;"",coa_Name,0)),"")&lt;&gt;"Yes"),"Paid From / Deposited To is not a payment account","")))))))))))</f>
        <v/>
      </c>
      <c r="Z1177" s="67">
        <f>IF(AND(T1177=0,X1177=""),1,0)</f>
        <v/>
      </c>
      <c r="AA1177" s="68">
        <f>IF(Z1177=1,IF(U1177="In",L1177,L1177-W1177),0)</f>
        <v/>
      </c>
      <c r="AB1177" s="68">
        <f>IF(Z1177=1,IF(U1177="In",L1177-W1177,L1177),0)</f>
        <v/>
      </c>
      <c r="AC1177" s="68">
        <f>IF(AND(Z1177=1,U1177="Out"),W1177,0)</f>
        <v/>
      </c>
      <c r="AD1177" s="68">
        <f>IF(AND(Z1177=1,U1177="In"),W1177,0)</f>
        <v/>
      </c>
    </row>
    <row r="1178">
      <c r="B1178" s="62" t="inlineStr">
        <is>
          <t>TX-1172</t>
        </is>
      </c>
      <c r="C1178" s="63" t="n"/>
      <c r="D1178" s="62" t="n"/>
      <c r="E1178" s="62" t="n"/>
      <c r="F1178" s="62" t="n"/>
      <c r="G1178" s="62" t="n"/>
      <c r="H1178" s="62" t="n"/>
      <c r="I1178" s="62" t="n"/>
      <c r="J1178" s="62" t="n"/>
      <c r="K1178" s="62" t="n"/>
      <c r="L1178" s="64" t="n"/>
      <c r="M1178" s="64" t="n"/>
      <c r="N1178" s="62" t="n"/>
      <c r="O1178" s="65">
        <f>IF(Z1178=1,L1178-W1178,"")</f>
        <v/>
      </c>
      <c r="P1178" s="66">
        <f>IF(V1178="","",IFERROR(INDEX(coa_Type,MATCH(V1178,coa_Name,0)),""))</f>
        <v/>
      </c>
      <c r="Q1178" s="66">
        <f>IF(Z1178=1,IF(U1178="In",K1178&amp;"",V1178),"")</f>
        <v/>
      </c>
      <c r="R1178" s="66">
        <f>IF(Z1178=1,IF(U1178="In",V1178,K1178&amp;""),"")</f>
        <v/>
      </c>
      <c r="S1178" s="66">
        <f>IF(X1178&lt;&gt;"","⛔ "&amp;X1178&amp;" — not posted",IF(Y1178&lt;&gt;"","⚠ "&amp;Y1178,IF(Z1178=1,"✓ OK","")))</f>
        <v/>
      </c>
      <c r="T1178" s="67">
        <f>IF(AND(C1178="",D1178="",E1178="",L1178="",K1178=""),1,0)</f>
        <v/>
      </c>
      <c r="U1178" s="67">
        <f>IFERROR(INDEX(tt_Dir,MATCH(D1178,tt_Type,0)),"")</f>
        <v/>
      </c>
      <c r="V1178" s="67">
        <f>IF(D1178="","",IFERROR(IF(INDEX(tt_Other,MATCH(D1178,tt_Type,0))="",E1178&amp;"",INDEX(tt_Other,MATCH(D1178,tt_Type,0))),""))</f>
        <v/>
      </c>
      <c r="W1178" s="68">
        <f>IF(OR(TaxOn&lt;&gt;"Yes",NOT(ISNUMBER(M1178))),0,IF(IFERROR(INDEX(tt_Tax,MATCH(D1178,tt_Type,0)),"No")="Yes",M1178,0))</f>
        <v/>
      </c>
      <c r="X1178" s="67">
        <f>IF(T1178=1,"",IF(C1178="","Missing transaction date",IF(NOT(ISNUMBER(C1178)),"Invalid date",IF(OR(C1178&lt;DATE(2000,1,1),C1178&gt;DATE(2099,12,31)),"Invalid date",IF(D1178="","Select a type",IF(U1178="","Unknown type: "&amp;D1178,IF(V1178="","Select an account (Category)",IF(ISNA(MATCH(V1178,coa_Name,0)),"Unknown account: "&amp;V1178,IF(K1178="","Select Paid From / Deposited To",IF(ISNA(MATCH(K1178,coa_Name,0)),"Unknown account: "&amp;K1178,IF(NOT(ISNUMBER(L1178)),"Enter an amount",IF(L1178=0,"Enter an amount",IF(ABS(W1178)&gt;ABS(L1178),"Tax is larger than the amount","")))))))))))))</f>
        <v/>
      </c>
      <c r="Y1178" s="67">
        <f>IF(OR(T1178=1,X1178&lt;&gt;""),"",IF(AND(B1178&lt;&gt;"",COUNTIF(tx_ID,B1178)&gt;1),"Duplicate transaction ID",IF(AND(L1178&lt;0,D1178&lt;&gt;"Adjustment"),"Negative amount — check this entry",IF(AND(D1178="Customer Payment",G1178=""),"Add the customer",IF(AND(D1178="Customer Payment",OR(J1178="",COUNTIF(ar_No,J1178&amp;"")=0)),"Invoice # in Reference not found on AR sheet",IF(AND(D1178="Bill Payment",H1178=""),"Add the vendor",IF(AND(D1178="Bill Payment",OR(J1178="",COUNTIFS(ap_No,J1178&amp;"",ap_Party,H1178&amp;"")=0)),"Bill # + vendor not found on AP sheet",IF(AND(ISNUMBER(M1178),N(M1178)&lt;&gt;0,W1178=0),"Tax ignored (tax tracking off, or not allowed for this type)",IF(V1178=K1178&amp;"","Same account on both sides",IF(AND(ISNUMBER(StartDate),C1178&lt;StartDate),"Date is before the accounting start date",IF(AND(D1178&lt;&gt;"Adjustment",IFERROR(INDEX(coa_Pay,MATCH(K1178&amp;"",coa_Name,0)),"")&lt;&gt;"Yes"),"Paid From / Deposited To is not a payment account","")))))))))))</f>
        <v/>
      </c>
      <c r="Z1178" s="67">
        <f>IF(AND(T1178=0,X1178=""),1,0)</f>
        <v/>
      </c>
      <c r="AA1178" s="68">
        <f>IF(Z1178=1,IF(U1178="In",L1178,L1178-W1178),0)</f>
        <v/>
      </c>
      <c r="AB1178" s="68">
        <f>IF(Z1178=1,IF(U1178="In",L1178-W1178,L1178),0)</f>
        <v/>
      </c>
      <c r="AC1178" s="68">
        <f>IF(AND(Z1178=1,U1178="Out"),W1178,0)</f>
        <v/>
      </c>
      <c r="AD1178" s="68">
        <f>IF(AND(Z1178=1,U1178="In"),W1178,0)</f>
        <v/>
      </c>
    </row>
    <row r="1179">
      <c r="B1179" s="62" t="inlineStr">
        <is>
          <t>TX-1173</t>
        </is>
      </c>
      <c r="C1179" s="63" t="n"/>
      <c r="D1179" s="62" t="n"/>
      <c r="E1179" s="62" t="n"/>
      <c r="F1179" s="62" t="n"/>
      <c r="G1179" s="62" t="n"/>
      <c r="H1179" s="62" t="n"/>
      <c r="I1179" s="62" t="n"/>
      <c r="J1179" s="62" t="n"/>
      <c r="K1179" s="62" t="n"/>
      <c r="L1179" s="64" t="n"/>
      <c r="M1179" s="64" t="n"/>
      <c r="N1179" s="62" t="n"/>
      <c r="O1179" s="65">
        <f>IF(Z1179=1,L1179-W1179,"")</f>
        <v/>
      </c>
      <c r="P1179" s="66">
        <f>IF(V1179="","",IFERROR(INDEX(coa_Type,MATCH(V1179,coa_Name,0)),""))</f>
        <v/>
      </c>
      <c r="Q1179" s="66">
        <f>IF(Z1179=1,IF(U1179="In",K1179&amp;"",V1179),"")</f>
        <v/>
      </c>
      <c r="R1179" s="66">
        <f>IF(Z1179=1,IF(U1179="In",V1179,K1179&amp;""),"")</f>
        <v/>
      </c>
      <c r="S1179" s="66">
        <f>IF(X1179&lt;&gt;"","⛔ "&amp;X1179&amp;" — not posted",IF(Y1179&lt;&gt;"","⚠ "&amp;Y1179,IF(Z1179=1,"✓ OK","")))</f>
        <v/>
      </c>
      <c r="T1179" s="67">
        <f>IF(AND(C1179="",D1179="",E1179="",L1179="",K1179=""),1,0)</f>
        <v/>
      </c>
      <c r="U1179" s="67">
        <f>IFERROR(INDEX(tt_Dir,MATCH(D1179,tt_Type,0)),"")</f>
        <v/>
      </c>
      <c r="V1179" s="67">
        <f>IF(D1179="","",IFERROR(IF(INDEX(tt_Other,MATCH(D1179,tt_Type,0))="",E1179&amp;"",INDEX(tt_Other,MATCH(D1179,tt_Type,0))),""))</f>
        <v/>
      </c>
      <c r="W1179" s="68">
        <f>IF(OR(TaxOn&lt;&gt;"Yes",NOT(ISNUMBER(M1179))),0,IF(IFERROR(INDEX(tt_Tax,MATCH(D1179,tt_Type,0)),"No")="Yes",M1179,0))</f>
        <v/>
      </c>
      <c r="X1179" s="67">
        <f>IF(T1179=1,"",IF(C1179="","Missing transaction date",IF(NOT(ISNUMBER(C1179)),"Invalid date",IF(OR(C1179&lt;DATE(2000,1,1),C1179&gt;DATE(2099,12,31)),"Invalid date",IF(D1179="","Select a type",IF(U1179="","Unknown type: "&amp;D1179,IF(V1179="","Select an account (Category)",IF(ISNA(MATCH(V1179,coa_Name,0)),"Unknown account: "&amp;V1179,IF(K1179="","Select Paid From / Deposited To",IF(ISNA(MATCH(K1179,coa_Name,0)),"Unknown account: "&amp;K1179,IF(NOT(ISNUMBER(L1179)),"Enter an amount",IF(L1179=0,"Enter an amount",IF(ABS(W1179)&gt;ABS(L1179),"Tax is larger than the amount","")))))))))))))</f>
        <v/>
      </c>
      <c r="Y1179" s="67">
        <f>IF(OR(T1179=1,X1179&lt;&gt;""),"",IF(AND(B1179&lt;&gt;"",COUNTIF(tx_ID,B1179)&gt;1),"Duplicate transaction ID",IF(AND(L1179&lt;0,D1179&lt;&gt;"Adjustment"),"Negative amount — check this entry",IF(AND(D1179="Customer Payment",G1179=""),"Add the customer",IF(AND(D1179="Customer Payment",OR(J1179="",COUNTIF(ar_No,J1179&amp;"")=0)),"Invoice # in Reference not found on AR sheet",IF(AND(D1179="Bill Payment",H1179=""),"Add the vendor",IF(AND(D1179="Bill Payment",OR(J1179="",COUNTIFS(ap_No,J1179&amp;"",ap_Party,H1179&amp;"")=0)),"Bill # + vendor not found on AP sheet",IF(AND(ISNUMBER(M1179),N(M1179)&lt;&gt;0,W1179=0),"Tax ignored (tax tracking off, or not allowed for this type)",IF(V1179=K1179&amp;"","Same account on both sides",IF(AND(ISNUMBER(StartDate),C1179&lt;StartDate),"Date is before the accounting start date",IF(AND(D1179&lt;&gt;"Adjustment",IFERROR(INDEX(coa_Pay,MATCH(K1179&amp;"",coa_Name,0)),"")&lt;&gt;"Yes"),"Paid From / Deposited To is not a payment account","")))))))))))</f>
        <v/>
      </c>
      <c r="Z1179" s="67">
        <f>IF(AND(T1179=0,X1179=""),1,0)</f>
        <v/>
      </c>
      <c r="AA1179" s="68">
        <f>IF(Z1179=1,IF(U1179="In",L1179,L1179-W1179),0)</f>
        <v/>
      </c>
      <c r="AB1179" s="68">
        <f>IF(Z1179=1,IF(U1179="In",L1179-W1179,L1179),0)</f>
        <v/>
      </c>
      <c r="AC1179" s="68">
        <f>IF(AND(Z1179=1,U1179="Out"),W1179,0)</f>
        <v/>
      </c>
      <c r="AD1179" s="68">
        <f>IF(AND(Z1179=1,U1179="In"),W1179,0)</f>
        <v/>
      </c>
    </row>
    <row r="1180">
      <c r="B1180" s="62" t="inlineStr">
        <is>
          <t>TX-1174</t>
        </is>
      </c>
      <c r="C1180" s="63" t="n"/>
      <c r="D1180" s="62" t="n"/>
      <c r="E1180" s="62" t="n"/>
      <c r="F1180" s="62" t="n"/>
      <c r="G1180" s="62" t="n"/>
      <c r="H1180" s="62" t="n"/>
      <c r="I1180" s="62" t="n"/>
      <c r="J1180" s="62" t="n"/>
      <c r="K1180" s="62" t="n"/>
      <c r="L1180" s="64" t="n"/>
      <c r="M1180" s="64" t="n"/>
      <c r="N1180" s="62" t="n"/>
      <c r="O1180" s="65">
        <f>IF(Z1180=1,L1180-W1180,"")</f>
        <v/>
      </c>
      <c r="P1180" s="66">
        <f>IF(V1180="","",IFERROR(INDEX(coa_Type,MATCH(V1180,coa_Name,0)),""))</f>
        <v/>
      </c>
      <c r="Q1180" s="66">
        <f>IF(Z1180=1,IF(U1180="In",K1180&amp;"",V1180),"")</f>
        <v/>
      </c>
      <c r="R1180" s="66">
        <f>IF(Z1180=1,IF(U1180="In",V1180,K1180&amp;""),"")</f>
        <v/>
      </c>
      <c r="S1180" s="66">
        <f>IF(X1180&lt;&gt;"","⛔ "&amp;X1180&amp;" — not posted",IF(Y1180&lt;&gt;"","⚠ "&amp;Y1180,IF(Z1180=1,"✓ OK","")))</f>
        <v/>
      </c>
      <c r="T1180" s="67">
        <f>IF(AND(C1180="",D1180="",E1180="",L1180="",K1180=""),1,0)</f>
        <v/>
      </c>
      <c r="U1180" s="67">
        <f>IFERROR(INDEX(tt_Dir,MATCH(D1180,tt_Type,0)),"")</f>
        <v/>
      </c>
      <c r="V1180" s="67">
        <f>IF(D1180="","",IFERROR(IF(INDEX(tt_Other,MATCH(D1180,tt_Type,0))="",E1180&amp;"",INDEX(tt_Other,MATCH(D1180,tt_Type,0))),""))</f>
        <v/>
      </c>
      <c r="W1180" s="68">
        <f>IF(OR(TaxOn&lt;&gt;"Yes",NOT(ISNUMBER(M1180))),0,IF(IFERROR(INDEX(tt_Tax,MATCH(D1180,tt_Type,0)),"No")="Yes",M1180,0))</f>
        <v/>
      </c>
      <c r="X1180" s="67">
        <f>IF(T1180=1,"",IF(C1180="","Missing transaction date",IF(NOT(ISNUMBER(C1180)),"Invalid date",IF(OR(C1180&lt;DATE(2000,1,1),C1180&gt;DATE(2099,12,31)),"Invalid date",IF(D1180="","Select a type",IF(U1180="","Unknown type: "&amp;D1180,IF(V1180="","Select an account (Category)",IF(ISNA(MATCH(V1180,coa_Name,0)),"Unknown account: "&amp;V1180,IF(K1180="","Select Paid From / Deposited To",IF(ISNA(MATCH(K1180,coa_Name,0)),"Unknown account: "&amp;K1180,IF(NOT(ISNUMBER(L1180)),"Enter an amount",IF(L1180=0,"Enter an amount",IF(ABS(W1180)&gt;ABS(L1180),"Tax is larger than the amount","")))))))))))))</f>
        <v/>
      </c>
      <c r="Y1180" s="67">
        <f>IF(OR(T1180=1,X1180&lt;&gt;""),"",IF(AND(B1180&lt;&gt;"",COUNTIF(tx_ID,B1180)&gt;1),"Duplicate transaction ID",IF(AND(L1180&lt;0,D1180&lt;&gt;"Adjustment"),"Negative amount — check this entry",IF(AND(D1180="Customer Payment",G1180=""),"Add the customer",IF(AND(D1180="Customer Payment",OR(J1180="",COUNTIF(ar_No,J1180&amp;"")=0)),"Invoice # in Reference not found on AR sheet",IF(AND(D1180="Bill Payment",H1180=""),"Add the vendor",IF(AND(D1180="Bill Payment",OR(J1180="",COUNTIFS(ap_No,J1180&amp;"",ap_Party,H1180&amp;"")=0)),"Bill # + vendor not found on AP sheet",IF(AND(ISNUMBER(M1180),N(M1180)&lt;&gt;0,W1180=0),"Tax ignored (tax tracking off, or not allowed for this type)",IF(V1180=K1180&amp;"","Same account on both sides",IF(AND(ISNUMBER(StartDate),C1180&lt;StartDate),"Date is before the accounting start date",IF(AND(D1180&lt;&gt;"Adjustment",IFERROR(INDEX(coa_Pay,MATCH(K1180&amp;"",coa_Name,0)),"")&lt;&gt;"Yes"),"Paid From / Deposited To is not a payment account","")))))))))))</f>
        <v/>
      </c>
      <c r="Z1180" s="67">
        <f>IF(AND(T1180=0,X1180=""),1,0)</f>
        <v/>
      </c>
      <c r="AA1180" s="68">
        <f>IF(Z1180=1,IF(U1180="In",L1180,L1180-W1180),0)</f>
        <v/>
      </c>
      <c r="AB1180" s="68">
        <f>IF(Z1180=1,IF(U1180="In",L1180-W1180,L1180),0)</f>
        <v/>
      </c>
      <c r="AC1180" s="68">
        <f>IF(AND(Z1180=1,U1180="Out"),W1180,0)</f>
        <v/>
      </c>
      <c r="AD1180" s="68">
        <f>IF(AND(Z1180=1,U1180="In"),W1180,0)</f>
        <v/>
      </c>
    </row>
    <row r="1181">
      <c r="B1181" s="62" t="inlineStr">
        <is>
          <t>TX-1175</t>
        </is>
      </c>
      <c r="C1181" s="63" t="n"/>
      <c r="D1181" s="62" t="n"/>
      <c r="E1181" s="62" t="n"/>
      <c r="F1181" s="62" t="n"/>
      <c r="G1181" s="62" t="n"/>
      <c r="H1181" s="62" t="n"/>
      <c r="I1181" s="62" t="n"/>
      <c r="J1181" s="62" t="n"/>
      <c r="K1181" s="62" t="n"/>
      <c r="L1181" s="64" t="n"/>
      <c r="M1181" s="64" t="n"/>
      <c r="N1181" s="62" t="n"/>
      <c r="O1181" s="65">
        <f>IF(Z1181=1,L1181-W1181,"")</f>
        <v/>
      </c>
      <c r="P1181" s="66">
        <f>IF(V1181="","",IFERROR(INDEX(coa_Type,MATCH(V1181,coa_Name,0)),""))</f>
        <v/>
      </c>
      <c r="Q1181" s="66">
        <f>IF(Z1181=1,IF(U1181="In",K1181&amp;"",V1181),"")</f>
        <v/>
      </c>
      <c r="R1181" s="66">
        <f>IF(Z1181=1,IF(U1181="In",V1181,K1181&amp;""),"")</f>
        <v/>
      </c>
      <c r="S1181" s="66">
        <f>IF(X1181&lt;&gt;"","⛔ "&amp;X1181&amp;" — not posted",IF(Y1181&lt;&gt;"","⚠ "&amp;Y1181,IF(Z1181=1,"✓ OK","")))</f>
        <v/>
      </c>
      <c r="T1181" s="67">
        <f>IF(AND(C1181="",D1181="",E1181="",L1181="",K1181=""),1,0)</f>
        <v/>
      </c>
      <c r="U1181" s="67">
        <f>IFERROR(INDEX(tt_Dir,MATCH(D1181,tt_Type,0)),"")</f>
        <v/>
      </c>
      <c r="V1181" s="67">
        <f>IF(D1181="","",IFERROR(IF(INDEX(tt_Other,MATCH(D1181,tt_Type,0))="",E1181&amp;"",INDEX(tt_Other,MATCH(D1181,tt_Type,0))),""))</f>
        <v/>
      </c>
      <c r="W1181" s="68">
        <f>IF(OR(TaxOn&lt;&gt;"Yes",NOT(ISNUMBER(M1181))),0,IF(IFERROR(INDEX(tt_Tax,MATCH(D1181,tt_Type,0)),"No")="Yes",M1181,0))</f>
        <v/>
      </c>
      <c r="X1181" s="67">
        <f>IF(T1181=1,"",IF(C1181="","Missing transaction date",IF(NOT(ISNUMBER(C1181)),"Invalid date",IF(OR(C1181&lt;DATE(2000,1,1),C1181&gt;DATE(2099,12,31)),"Invalid date",IF(D1181="","Select a type",IF(U1181="","Unknown type: "&amp;D1181,IF(V1181="","Select an account (Category)",IF(ISNA(MATCH(V1181,coa_Name,0)),"Unknown account: "&amp;V1181,IF(K1181="","Select Paid From / Deposited To",IF(ISNA(MATCH(K1181,coa_Name,0)),"Unknown account: "&amp;K1181,IF(NOT(ISNUMBER(L1181)),"Enter an amount",IF(L1181=0,"Enter an amount",IF(ABS(W1181)&gt;ABS(L1181),"Tax is larger than the amount","")))))))))))))</f>
        <v/>
      </c>
      <c r="Y1181" s="67">
        <f>IF(OR(T1181=1,X1181&lt;&gt;""),"",IF(AND(B1181&lt;&gt;"",COUNTIF(tx_ID,B1181)&gt;1),"Duplicate transaction ID",IF(AND(L1181&lt;0,D1181&lt;&gt;"Adjustment"),"Negative amount — check this entry",IF(AND(D1181="Customer Payment",G1181=""),"Add the customer",IF(AND(D1181="Customer Payment",OR(J1181="",COUNTIF(ar_No,J1181&amp;"")=0)),"Invoice # in Reference not found on AR sheet",IF(AND(D1181="Bill Payment",H1181=""),"Add the vendor",IF(AND(D1181="Bill Payment",OR(J1181="",COUNTIFS(ap_No,J1181&amp;"",ap_Party,H1181&amp;"")=0)),"Bill # + vendor not found on AP sheet",IF(AND(ISNUMBER(M1181),N(M1181)&lt;&gt;0,W1181=0),"Tax ignored (tax tracking off, or not allowed for this type)",IF(V1181=K1181&amp;"","Same account on both sides",IF(AND(ISNUMBER(StartDate),C1181&lt;StartDate),"Date is before the accounting start date",IF(AND(D1181&lt;&gt;"Adjustment",IFERROR(INDEX(coa_Pay,MATCH(K1181&amp;"",coa_Name,0)),"")&lt;&gt;"Yes"),"Paid From / Deposited To is not a payment account","")))))))))))</f>
        <v/>
      </c>
      <c r="Z1181" s="67">
        <f>IF(AND(T1181=0,X1181=""),1,0)</f>
        <v/>
      </c>
      <c r="AA1181" s="68">
        <f>IF(Z1181=1,IF(U1181="In",L1181,L1181-W1181),0)</f>
        <v/>
      </c>
      <c r="AB1181" s="68">
        <f>IF(Z1181=1,IF(U1181="In",L1181-W1181,L1181),0)</f>
        <v/>
      </c>
      <c r="AC1181" s="68">
        <f>IF(AND(Z1181=1,U1181="Out"),W1181,0)</f>
        <v/>
      </c>
      <c r="AD1181" s="68">
        <f>IF(AND(Z1181=1,U1181="In"),W1181,0)</f>
        <v/>
      </c>
    </row>
    <row r="1182">
      <c r="B1182" s="62" t="inlineStr">
        <is>
          <t>TX-1176</t>
        </is>
      </c>
      <c r="C1182" s="63" t="n"/>
      <c r="D1182" s="62" t="n"/>
      <c r="E1182" s="62" t="n"/>
      <c r="F1182" s="62" t="n"/>
      <c r="G1182" s="62" t="n"/>
      <c r="H1182" s="62" t="n"/>
      <c r="I1182" s="62" t="n"/>
      <c r="J1182" s="62" t="n"/>
      <c r="K1182" s="62" t="n"/>
      <c r="L1182" s="64" t="n"/>
      <c r="M1182" s="64" t="n"/>
      <c r="N1182" s="62" t="n"/>
      <c r="O1182" s="65">
        <f>IF(Z1182=1,L1182-W1182,"")</f>
        <v/>
      </c>
      <c r="P1182" s="66">
        <f>IF(V1182="","",IFERROR(INDEX(coa_Type,MATCH(V1182,coa_Name,0)),""))</f>
        <v/>
      </c>
      <c r="Q1182" s="66">
        <f>IF(Z1182=1,IF(U1182="In",K1182&amp;"",V1182),"")</f>
        <v/>
      </c>
      <c r="R1182" s="66">
        <f>IF(Z1182=1,IF(U1182="In",V1182,K1182&amp;""),"")</f>
        <v/>
      </c>
      <c r="S1182" s="66">
        <f>IF(X1182&lt;&gt;"","⛔ "&amp;X1182&amp;" — not posted",IF(Y1182&lt;&gt;"","⚠ "&amp;Y1182,IF(Z1182=1,"✓ OK","")))</f>
        <v/>
      </c>
      <c r="T1182" s="67">
        <f>IF(AND(C1182="",D1182="",E1182="",L1182="",K1182=""),1,0)</f>
        <v/>
      </c>
      <c r="U1182" s="67">
        <f>IFERROR(INDEX(tt_Dir,MATCH(D1182,tt_Type,0)),"")</f>
        <v/>
      </c>
      <c r="V1182" s="67">
        <f>IF(D1182="","",IFERROR(IF(INDEX(tt_Other,MATCH(D1182,tt_Type,0))="",E1182&amp;"",INDEX(tt_Other,MATCH(D1182,tt_Type,0))),""))</f>
        <v/>
      </c>
      <c r="W1182" s="68">
        <f>IF(OR(TaxOn&lt;&gt;"Yes",NOT(ISNUMBER(M1182))),0,IF(IFERROR(INDEX(tt_Tax,MATCH(D1182,tt_Type,0)),"No")="Yes",M1182,0))</f>
        <v/>
      </c>
      <c r="X1182" s="67">
        <f>IF(T1182=1,"",IF(C1182="","Missing transaction date",IF(NOT(ISNUMBER(C1182)),"Invalid date",IF(OR(C1182&lt;DATE(2000,1,1),C1182&gt;DATE(2099,12,31)),"Invalid date",IF(D1182="","Select a type",IF(U1182="","Unknown type: "&amp;D1182,IF(V1182="","Select an account (Category)",IF(ISNA(MATCH(V1182,coa_Name,0)),"Unknown account: "&amp;V1182,IF(K1182="","Select Paid From / Deposited To",IF(ISNA(MATCH(K1182,coa_Name,0)),"Unknown account: "&amp;K1182,IF(NOT(ISNUMBER(L1182)),"Enter an amount",IF(L1182=0,"Enter an amount",IF(ABS(W1182)&gt;ABS(L1182),"Tax is larger than the amount","")))))))))))))</f>
        <v/>
      </c>
      <c r="Y1182" s="67">
        <f>IF(OR(T1182=1,X1182&lt;&gt;""),"",IF(AND(B1182&lt;&gt;"",COUNTIF(tx_ID,B1182)&gt;1),"Duplicate transaction ID",IF(AND(L1182&lt;0,D1182&lt;&gt;"Adjustment"),"Negative amount — check this entry",IF(AND(D1182="Customer Payment",G1182=""),"Add the customer",IF(AND(D1182="Customer Payment",OR(J1182="",COUNTIF(ar_No,J1182&amp;"")=0)),"Invoice # in Reference not found on AR sheet",IF(AND(D1182="Bill Payment",H1182=""),"Add the vendor",IF(AND(D1182="Bill Payment",OR(J1182="",COUNTIFS(ap_No,J1182&amp;"",ap_Party,H1182&amp;"")=0)),"Bill # + vendor not found on AP sheet",IF(AND(ISNUMBER(M1182),N(M1182)&lt;&gt;0,W1182=0),"Tax ignored (tax tracking off, or not allowed for this type)",IF(V1182=K1182&amp;"","Same account on both sides",IF(AND(ISNUMBER(StartDate),C1182&lt;StartDate),"Date is before the accounting start date",IF(AND(D1182&lt;&gt;"Adjustment",IFERROR(INDEX(coa_Pay,MATCH(K1182&amp;"",coa_Name,0)),"")&lt;&gt;"Yes"),"Paid From / Deposited To is not a payment account","")))))))))))</f>
        <v/>
      </c>
      <c r="Z1182" s="67">
        <f>IF(AND(T1182=0,X1182=""),1,0)</f>
        <v/>
      </c>
      <c r="AA1182" s="68">
        <f>IF(Z1182=1,IF(U1182="In",L1182,L1182-W1182),0)</f>
        <v/>
      </c>
      <c r="AB1182" s="68">
        <f>IF(Z1182=1,IF(U1182="In",L1182-W1182,L1182),0)</f>
        <v/>
      </c>
      <c r="AC1182" s="68">
        <f>IF(AND(Z1182=1,U1182="Out"),W1182,0)</f>
        <v/>
      </c>
      <c r="AD1182" s="68">
        <f>IF(AND(Z1182=1,U1182="In"),W1182,0)</f>
        <v/>
      </c>
    </row>
    <row r="1183">
      <c r="B1183" s="62" t="inlineStr">
        <is>
          <t>TX-1177</t>
        </is>
      </c>
      <c r="C1183" s="63" t="n"/>
      <c r="D1183" s="62" t="n"/>
      <c r="E1183" s="62" t="n"/>
      <c r="F1183" s="62" t="n"/>
      <c r="G1183" s="62" t="n"/>
      <c r="H1183" s="62" t="n"/>
      <c r="I1183" s="62" t="n"/>
      <c r="J1183" s="62" t="n"/>
      <c r="K1183" s="62" t="n"/>
      <c r="L1183" s="64" t="n"/>
      <c r="M1183" s="64" t="n"/>
      <c r="N1183" s="62" t="n"/>
      <c r="O1183" s="65">
        <f>IF(Z1183=1,L1183-W1183,"")</f>
        <v/>
      </c>
      <c r="P1183" s="66">
        <f>IF(V1183="","",IFERROR(INDEX(coa_Type,MATCH(V1183,coa_Name,0)),""))</f>
        <v/>
      </c>
      <c r="Q1183" s="66">
        <f>IF(Z1183=1,IF(U1183="In",K1183&amp;"",V1183),"")</f>
        <v/>
      </c>
      <c r="R1183" s="66">
        <f>IF(Z1183=1,IF(U1183="In",V1183,K1183&amp;""),"")</f>
        <v/>
      </c>
      <c r="S1183" s="66">
        <f>IF(X1183&lt;&gt;"","⛔ "&amp;X1183&amp;" — not posted",IF(Y1183&lt;&gt;"","⚠ "&amp;Y1183,IF(Z1183=1,"✓ OK","")))</f>
        <v/>
      </c>
      <c r="T1183" s="67">
        <f>IF(AND(C1183="",D1183="",E1183="",L1183="",K1183=""),1,0)</f>
        <v/>
      </c>
      <c r="U1183" s="67">
        <f>IFERROR(INDEX(tt_Dir,MATCH(D1183,tt_Type,0)),"")</f>
        <v/>
      </c>
      <c r="V1183" s="67">
        <f>IF(D1183="","",IFERROR(IF(INDEX(tt_Other,MATCH(D1183,tt_Type,0))="",E1183&amp;"",INDEX(tt_Other,MATCH(D1183,tt_Type,0))),""))</f>
        <v/>
      </c>
      <c r="W1183" s="68">
        <f>IF(OR(TaxOn&lt;&gt;"Yes",NOT(ISNUMBER(M1183))),0,IF(IFERROR(INDEX(tt_Tax,MATCH(D1183,tt_Type,0)),"No")="Yes",M1183,0))</f>
        <v/>
      </c>
      <c r="X1183" s="67">
        <f>IF(T1183=1,"",IF(C1183="","Missing transaction date",IF(NOT(ISNUMBER(C1183)),"Invalid date",IF(OR(C1183&lt;DATE(2000,1,1),C1183&gt;DATE(2099,12,31)),"Invalid date",IF(D1183="","Select a type",IF(U1183="","Unknown type: "&amp;D1183,IF(V1183="","Select an account (Category)",IF(ISNA(MATCH(V1183,coa_Name,0)),"Unknown account: "&amp;V1183,IF(K1183="","Select Paid From / Deposited To",IF(ISNA(MATCH(K1183,coa_Name,0)),"Unknown account: "&amp;K1183,IF(NOT(ISNUMBER(L1183)),"Enter an amount",IF(L1183=0,"Enter an amount",IF(ABS(W1183)&gt;ABS(L1183),"Tax is larger than the amount","")))))))))))))</f>
        <v/>
      </c>
      <c r="Y1183" s="67">
        <f>IF(OR(T1183=1,X1183&lt;&gt;""),"",IF(AND(B1183&lt;&gt;"",COUNTIF(tx_ID,B1183)&gt;1),"Duplicate transaction ID",IF(AND(L1183&lt;0,D1183&lt;&gt;"Adjustment"),"Negative amount — check this entry",IF(AND(D1183="Customer Payment",G1183=""),"Add the customer",IF(AND(D1183="Customer Payment",OR(J1183="",COUNTIF(ar_No,J1183&amp;"")=0)),"Invoice # in Reference not found on AR sheet",IF(AND(D1183="Bill Payment",H1183=""),"Add the vendor",IF(AND(D1183="Bill Payment",OR(J1183="",COUNTIFS(ap_No,J1183&amp;"",ap_Party,H1183&amp;"")=0)),"Bill # + vendor not found on AP sheet",IF(AND(ISNUMBER(M1183),N(M1183)&lt;&gt;0,W1183=0),"Tax ignored (tax tracking off, or not allowed for this type)",IF(V1183=K1183&amp;"","Same account on both sides",IF(AND(ISNUMBER(StartDate),C1183&lt;StartDate),"Date is before the accounting start date",IF(AND(D1183&lt;&gt;"Adjustment",IFERROR(INDEX(coa_Pay,MATCH(K1183&amp;"",coa_Name,0)),"")&lt;&gt;"Yes"),"Paid From / Deposited To is not a payment account","")))))))))))</f>
        <v/>
      </c>
      <c r="Z1183" s="67">
        <f>IF(AND(T1183=0,X1183=""),1,0)</f>
        <v/>
      </c>
      <c r="AA1183" s="68">
        <f>IF(Z1183=1,IF(U1183="In",L1183,L1183-W1183),0)</f>
        <v/>
      </c>
      <c r="AB1183" s="68">
        <f>IF(Z1183=1,IF(U1183="In",L1183-W1183,L1183),0)</f>
        <v/>
      </c>
      <c r="AC1183" s="68">
        <f>IF(AND(Z1183=1,U1183="Out"),W1183,0)</f>
        <v/>
      </c>
      <c r="AD1183" s="68">
        <f>IF(AND(Z1183=1,U1183="In"),W1183,0)</f>
        <v/>
      </c>
    </row>
    <row r="1184">
      <c r="B1184" s="62" t="inlineStr">
        <is>
          <t>TX-1178</t>
        </is>
      </c>
      <c r="C1184" s="63" t="n"/>
      <c r="D1184" s="62" t="n"/>
      <c r="E1184" s="62" t="n"/>
      <c r="F1184" s="62" t="n"/>
      <c r="G1184" s="62" t="n"/>
      <c r="H1184" s="62" t="n"/>
      <c r="I1184" s="62" t="n"/>
      <c r="J1184" s="62" t="n"/>
      <c r="K1184" s="62" t="n"/>
      <c r="L1184" s="64" t="n"/>
      <c r="M1184" s="64" t="n"/>
      <c r="N1184" s="62" t="n"/>
      <c r="O1184" s="65">
        <f>IF(Z1184=1,L1184-W1184,"")</f>
        <v/>
      </c>
      <c r="P1184" s="66">
        <f>IF(V1184="","",IFERROR(INDEX(coa_Type,MATCH(V1184,coa_Name,0)),""))</f>
        <v/>
      </c>
      <c r="Q1184" s="66">
        <f>IF(Z1184=1,IF(U1184="In",K1184&amp;"",V1184),"")</f>
        <v/>
      </c>
      <c r="R1184" s="66">
        <f>IF(Z1184=1,IF(U1184="In",V1184,K1184&amp;""),"")</f>
        <v/>
      </c>
      <c r="S1184" s="66">
        <f>IF(X1184&lt;&gt;"","⛔ "&amp;X1184&amp;" — not posted",IF(Y1184&lt;&gt;"","⚠ "&amp;Y1184,IF(Z1184=1,"✓ OK","")))</f>
        <v/>
      </c>
      <c r="T1184" s="67">
        <f>IF(AND(C1184="",D1184="",E1184="",L1184="",K1184=""),1,0)</f>
        <v/>
      </c>
      <c r="U1184" s="67">
        <f>IFERROR(INDEX(tt_Dir,MATCH(D1184,tt_Type,0)),"")</f>
        <v/>
      </c>
      <c r="V1184" s="67">
        <f>IF(D1184="","",IFERROR(IF(INDEX(tt_Other,MATCH(D1184,tt_Type,0))="",E1184&amp;"",INDEX(tt_Other,MATCH(D1184,tt_Type,0))),""))</f>
        <v/>
      </c>
      <c r="W1184" s="68">
        <f>IF(OR(TaxOn&lt;&gt;"Yes",NOT(ISNUMBER(M1184))),0,IF(IFERROR(INDEX(tt_Tax,MATCH(D1184,tt_Type,0)),"No")="Yes",M1184,0))</f>
        <v/>
      </c>
      <c r="X1184" s="67">
        <f>IF(T1184=1,"",IF(C1184="","Missing transaction date",IF(NOT(ISNUMBER(C1184)),"Invalid date",IF(OR(C1184&lt;DATE(2000,1,1),C1184&gt;DATE(2099,12,31)),"Invalid date",IF(D1184="","Select a type",IF(U1184="","Unknown type: "&amp;D1184,IF(V1184="","Select an account (Category)",IF(ISNA(MATCH(V1184,coa_Name,0)),"Unknown account: "&amp;V1184,IF(K1184="","Select Paid From / Deposited To",IF(ISNA(MATCH(K1184,coa_Name,0)),"Unknown account: "&amp;K1184,IF(NOT(ISNUMBER(L1184)),"Enter an amount",IF(L1184=0,"Enter an amount",IF(ABS(W1184)&gt;ABS(L1184),"Tax is larger than the amount","")))))))))))))</f>
        <v/>
      </c>
      <c r="Y1184" s="67">
        <f>IF(OR(T1184=1,X1184&lt;&gt;""),"",IF(AND(B1184&lt;&gt;"",COUNTIF(tx_ID,B1184)&gt;1),"Duplicate transaction ID",IF(AND(L1184&lt;0,D1184&lt;&gt;"Adjustment"),"Negative amount — check this entry",IF(AND(D1184="Customer Payment",G1184=""),"Add the customer",IF(AND(D1184="Customer Payment",OR(J1184="",COUNTIF(ar_No,J1184&amp;"")=0)),"Invoice # in Reference not found on AR sheet",IF(AND(D1184="Bill Payment",H1184=""),"Add the vendor",IF(AND(D1184="Bill Payment",OR(J1184="",COUNTIFS(ap_No,J1184&amp;"",ap_Party,H1184&amp;"")=0)),"Bill # + vendor not found on AP sheet",IF(AND(ISNUMBER(M1184),N(M1184)&lt;&gt;0,W1184=0),"Tax ignored (tax tracking off, or not allowed for this type)",IF(V1184=K1184&amp;"","Same account on both sides",IF(AND(ISNUMBER(StartDate),C1184&lt;StartDate),"Date is before the accounting start date",IF(AND(D1184&lt;&gt;"Adjustment",IFERROR(INDEX(coa_Pay,MATCH(K1184&amp;"",coa_Name,0)),"")&lt;&gt;"Yes"),"Paid From / Deposited To is not a payment account","")))))))))))</f>
        <v/>
      </c>
      <c r="Z1184" s="67">
        <f>IF(AND(T1184=0,X1184=""),1,0)</f>
        <v/>
      </c>
      <c r="AA1184" s="68">
        <f>IF(Z1184=1,IF(U1184="In",L1184,L1184-W1184),0)</f>
        <v/>
      </c>
      <c r="AB1184" s="68">
        <f>IF(Z1184=1,IF(U1184="In",L1184-W1184,L1184),0)</f>
        <v/>
      </c>
      <c r="AC1184" s="68">
        <f>IF(AND(Z1184=1,U1184="Out"),W1184,0)</f>
        <v/>
      </c>
      <c r="AD1184" s="68">
        <f>IF(AND(Z1184=1,U1184="In"),W1184,0)</f>
        <v/>
      </c>
    </row>
    <row r="1185">
      <c r="B1185" s="62" t="inlineStr">
        <is>
          <t>TX-1179</t>
        </is>
      </c>
      <c r="C1185" s="63" t="n"/>
      <c r="D1185" s="62" t="n"/>
      <c r="E1185" s="62" t="n"/>
      <c r="F1185" s="62" t="n"/>
      <c r="G1185" s="62" t="n"/>
      <c r="H1185" s="62" t="n"/>
      <c r="I1185" s="62" t="n"/>
      <c r="J1185" s="62" t="n"/>
      <c r="K1185" s="62" t="n"/>
      <c r="L1185" s="64" t="n"/>
      <c r="M1185" s="64" t="n"/>
      <c r="N1185" s="62" t="n"/>
      <c r="O1185" s="65">
        <f>IF(Z1185=1,L1185-W1185,"")</f>
        <v/>
      </c>
      <c r="P1185" s="66">
        <f>IF(V1185="","",IFERROR(INDEX(coa_Type,MATCH(V1185,coa_Name,0)),""))</f>
        <v/>
      </c>
      <c r="Q1185" s="66">
        <f>IF(Z1185=1,IF(U1185="In",K1185&amp;"",V1185),"")</f>
        <v/>
      </c>
      <c r="R1185" s="66">
        <f>IF(Z1185=1,IF(U1185="In",V1185,K1185&amp;""),"")</f>
        <v/>
      </c>
      <c r="S1185" s="66">
        <f>IF(X1185&lt;&gt;"","⛔ "&amp;X1185&amp;" — not posted",IF(Y1185&lt;&gt;"","⚠ "&amp;Y1185,IF(Z1185=1,"✓ OK","")))</f>
        <v/>
      </c>
      <c r="T1185" s="67">
        <f>IF(AND(C1185="",D1185="",E1185="",L1185="",K1185=""),1,0)</f>
        <v/>
      </c>
      <c r="U1185" s="67">
        <f>IFERROR(INDEX(tt_Dir,MATCH(D1185,tt_Type,0)),"")</f>
        <v/>
      </c>
      <c r="V1185" s="67">
        <f>IF(D1185="","",IFERROR(IF(INDEX(tt_Other,MATCH(D1185,tt_Type,0))="",E1185&amp;"",INDEX(tt_Other,MATCH(D1185,tt_Type,0))),""))</f>
        <v/>
      </c>
      <c r="W1185" s="68">
        <f>IF(OR(TaxOn&lt;&gt;"Yes",NOT(ISNUMBER(M1185))),0,IF(IFERROR(INDEX(tt_Tax,MATCH(D1185,tt_Type,0)),"No")="Yes",M1185,0))</f>
        <v/>
      </c>
      <c r="X1185" s="67">
        <f>IF(T1185=1,"",IF(C1185="","Missing transaction date",IF(NOT(ISNUMBER(C1185)),"Invalid date",IF(OR(C1185&lt;DATE(2000,1,1),C1185&gt;DATE(2099,12,31)),"Invalid date",IF(D1185="","Select a type",IF(U1185="","Unknown type: "&amp;D1185,IF(V1185="","Select an account (Category)",IF(ISNA(MATCH(V1185,coa_Name,0)),"Unknown account: "&amp;V1185,IF(K1185="","Select Paid From / Deposited To",IF(ISNA(MATCH(K1185,coa_Name,0)),"Unknown account: "&amp;K1185,IF(NOT(ISNUMBER(L1185)),"Enter an amount",IF(L1185=0,"Enter an amount",IF(ABS(W1185)&gt;ABS(L1185),"Tax is larger than the amount","")))))))))))))</f>
        <v/>
      </c>
      <c r="Y1185" s="67">
        <f>IF(OR(T1185=1,X1185&lt;&gt;""),"",IF(AND(B1185&lt;&gt;"",COUNTIF(tx_ID,B1185)&gt;1),"Duplicate transaction ID",IF(AND(L1185&lt;0,D1185&lt;&gt;"Adjustment"),"Negative amount — check this entry",IF(AND(D1185="Customer Payment",G1185=""),"Add the customer",IF(AND(D1185="Customer Payment",OR(J1185="",COUNTIF(ar_No,J1185&amp;"")=0)),"Invoice # in Reference not found on AR sheet",IF(AND(D1185="Bill Payment",H1185=""),"Add the vendor",IF(AND(D1185="Bill Payment",OR(J1185="",COUNTIFS(ap_No,J1185&amp;"",ap_Party,H1185&amp;"")=0)),"Bill # + vendor not found on AP sheet",IF(AND(ISNUMBER(M1185),N(M1185)&lt;&gt;0,W1185=0),"Tax ignored (tax tracking off, or not allowed for this type)",IF(V1185=K1185&amp;"","Same account on both sides",IF(AND(ISNUMBER(StartDate),C1185&lt;StartDate),"Date is before the accounting start date",IF(AND(D1185&lt;&gt;"Adjustment",IFERROR(INDEX(coa_Pay,MATCH(K1185&amp;"",coa_Name,0)),"")&lt;&gt;"Yes"),"Paid From / Deposited To is not a payment account","")))))))))))</f>
        <v/>
      </c>
      <c r="Z1185" s="67">
        <f>IF(AND(T1185=0,X1185=""),1,0)</f>
        <v/>
      </c>
      <c r="AA1185" s="68">
        <f>IF(Z1185=1,IF(U1185="In",L1185,L1185-W1185),0)</f>
        <v/>
      </c>
      <c r="AB1185" s="68">
        <f>IF(Z1185=1,IF(U1185="In",L1185-W1185,L1185),0)</f>
        <v/>
      </c>
      <c r="AC1185" s="68">
        <f>IF(AND(Z1185=1,U1185="Out"),W1185,0)</f>
        <v/>
      </c>
      <c r="AD1185" s="68">
        <f>IF(AND(Z1185=1,U1185="In"),W1185,0)</f>
        <v/>
      </c>
    </row>
    <row r="1186">
      <c r="B1186" s="62" t="inlineStr">
        <is>
          <t>TX-1180</t>
        </is>
      </c>
      <c r="C1186" s="63" t="n"/>
      <c r="D1186" s="62" t="n"/>
      <c r="E1186" s="62" t="n"/>
      <c r="F1186" s="62" t="n"/>
      <c r="G1186" s="62" t="n"/>
      <c r="H1186" s="62" t="n"/>
      <c r="I1186" s="62" t="n"/>
      <c r="J1186" s="62" t="n"/>
      <c r="K1186" s="62" t="n"/>
      <c r="L1186" s="64" t="n"/>
      <c r="M1186" s="64" t="n"/>
      <c r="N1186" s="62" t="n"/>
      <c r="O1186" s="65">
        <f>IF(Z1186=1,L1186-W1186,"")</f>
        <v/>
      </c>
      <c r="P1186" s="66">
        <f>IF(V1186="","",IFERROR(INDEX(coa_Type,MATCH(V1186,coa_Name,0)),""))</f>
        <v/>
      </c>
      <c r="Q1186" s="66">
        <f>IF(Z1186=1,IF(U1186="In",K1186&amp;"",V1186),"")</f>
        <v/>
      </c>
      <c r="R1186" s="66">
        <f>IF(Z1186=1,IF(U1186="In",V1186,K1186&amp;""),"")</f>
        <v/>
      </c>
      <c r="S1186" s="66">
        <f>IF(X1186&lt;&gt;"","⛔ "&amp;X1186&amp;" — not posted",IF(Y1186&lt;&gt;"","⚠ "&amp;Y1186,IF(Z1186=1,"✓ OK","")))</f>
        <v/>
      </c>
      <c r="T1186" s="67">
        <f>IF(AND(C1186="",D1186="",E1186="",L1186="",K1186=""),1,0)</f>
        <v/>
      </c>
      <c r="U1186" s="67">
        <f>IFERROR(INDEX(tt_Dir,MATCH(D1186,tt_Type,0)),"")</f>
        <v/>
      </c>
      <c r="V1186" s="67">
        <f>IF(D1186="","",IFERROR(IF(INDEX(tt_Other,MATCH(D1186,tt_Type,0))="",E1186&amp;"",INDEX(tt_Other,MATCH(D1186,tt_Type,0))),""))</f>
        <v/>
      </c>
      <c r="W1186" s="68">
        <f>IF(OR(TaxOn&lt;&gt;"Yes",NOT(ISNUMBER(M1186))),0,IF(IFERROR(INDEX(tt_Tax,MATCH(D1186,tt_Type,0)),"No")="Yes",M1186,0))</f>
        <v/>
      </c>
      <c r="X1186" s="67">
        <f>IF(T1186=1,"",IF(C1186="","Missing transaction date",IF(NOT(ISNUMBER(C1186)),"Invalid date",IF(OR(C1186&lt;DATE(2000,1,1),C1186&gt;DATE(2099,12,31)),"Invalid date",IF(D1186="","Select a type",IF(U1186="","Unknown type: "&amp;D1186,IF(V1186="","Select an account (Category)",IF(ISNA(MATCH(V1186,coa_Name,0)),"Unknown account: "&amp;V1186,IF(K1186="","Select Paid From / Deposited To",IF(ISNA(MATCH(K1186,coa_Name,0)),"Unknown account: "&amp;K1186,IF(NOT(ISNUMBER(L1186)),"Enter an amount",IF(L1186=0,"Enter an amount",IF(ABS(W1186)&gt;ABS(L1186),"Tax is larger than the amount","")))))))))))))</f>
        <v/>
      </c>
      <c r="Y1186" s="67">
        <f>IF(OR(T1186=1,X1186&lt;&gt;""),"",IF(AND(B1186&lt;&gt;"",COUNTIF(tx_ID,B1186)&gt;1),"Duplicate transaction ID",IF(AND(L1186&lt;0,D1186&lt;&gt;"Adjustment"),"Negative amount — check this entry",IF(AND(D1186="Customer Payment",G1186=""),"Add the customer",IF(AND(D1186="Customer Payment",OR(J1186="",COUNTIF(ar_No,J1186&amp;"")=0)),"Invoice # in Reference not found on AR sheet",IF(AND(D1186="Bill Payment",H1186=""),"Add the vendor",IF(AND(D1186="Bill Payment",OR(J1186="",COUNTIFS(ap_No,J1186&amp;"",ap_Party,H1186&amp;"")=0)),"Bill # + vendor not found on AP sheet",IF(AND(ISNUMBER(M1186),N(M1186)&lt;&gt;0,W1186=0),"Tax ignored (tax tracking off, or not allowed for this type)",IF(V1186=K1186&amp;"","Same account on both sides",IF(AND(ISNUMBER(StartDate),C1186&lt;StartDate),"Date is before the accounting start date",IF(AND(D1186&lt;&gt;"Adjustment",IFERROR(INDEX(coa_Pay,MATCH(K1186&amp;"",coa_Name,0)),"")&lt;&gt;"Yes"),"Paid From / Deposited To is not a payment account","")))))))))))</f>
        <v/>
      </c>
      <c r="Z1186" s="67">
        <f>IF(AND(T1186=0,X1186=""),1,0)</f>
        <v/>
      </c>
      <c r="AA1186" s="68">
        <f>IF(Z1186=1,IF(U1186="In",L1186,L1186-W1186),0)</f>
        <v/>
      </c>
      <c r="AB1186" s="68">
        <f>IF(Z1186=1,IF(U1186="In",L1186-W1186,L1186),0)</f>
        <v/>
      </c>
      <c r="AC1186" s="68">
        <f>IF(AND(Z1186=1,U1186="Out"),W1186,0)</f>
        <v/>
      </c>
      <c r="AD1186" s="68">
        <f>IF(AND(Z1186=1,U1186="In"),W1186,0)</f>
        <v/>
      </c>
    </row>
    <row r="1187">
      <c r="B1187" s="62" t="inlineStr">
        <is>
          <t>TX-1181</t>
        </is>
      </c>
      <c r="C1187" s="63" t="n"/>
      <c r="D1187" s="62" t="n"/>
      <c r="E1187" s="62" t="n"/>
      <c r="F1187" s="62" t="n"/>
      <c r="G1187" s="62" t="n"/>
      <c r="H1187" s="62" t="n"/>
      <c r="I1187" s="62" t="n"/>
      <c r="J1187" s="62" t="n"/>
      <c r="K1187" s="62" t="n"/>
      <c r="L1187" s="64" t="n"/>
      <c r="M1187" s="64" t="n"/>
      <c r="N1187" s="62" t="n"/>
      <c r="O1187" s="65">
        <f>IF(Z1187=1,L1187-W1187,"")</f>
        <v/>
      </c>
      <c r="P1187" s="66">
        <f>IF(V1187="","",IFERROR(INDEX(coa_Type,MATCH(V1187,coa_Name,0)),""))</f>
        <v/>
      </c>
      <c r="Q1187" s="66">
        <f>IF(Z1187=1,IF(U1187="In",K1187&amp;"",V1187),"")</f>
        <v/>
      </c>
      <c r="R1187" s="66">
        <f>IF(Z1187=1,IF(U1187="In",V1187,K1187&amp;""),"")</f>
        <v/>
      </c>
      <c r="S1187" s="66">
        <f>IF(X1187&lt;&gt;"","⛔ "&amp;X1187&amp;" — not posted",IF(Y1187&lt;&gt;"","⚠ "&amp;Y1187,IF(Z1187=1,"✓ OK","")))</f>
        <v/>
      </c>
      <c r="T1187" s="67">
        <f>IF(AND(C1187="",D1187="",E1187="",L1187="",K1187=""),1,0)</f>
        <v/>
      </c>
      <c r="U1187" s="67">
        <f>IFERROR(INDEX(tt_Dir,MATCH(D1187,tt_Type,0)),"")</f>
        <v/>
      </c>
      <c r="V1187" s="67">
        <f>IF(D1187="","",IFERROR(IF(INDEX(tt_Other,MATCH(D1187,tt_Type,0))="",E1187&amp;"",INDEX(tt_Other,MATCH(D1187,tt_Type,0))),""))</f>
        <v/>
      </c>
      <c r="W1187" s="68">
        <f>IF(OR(TaxOn&lt;&gt;"Yes",NOT(ISNUMBER(M1187))),0,IF(IFERROR(INDEX(tt_Tax,MATCH(D1187,tt_Type,0)),"No")="Yes",M1187,0))</f>
        <v/>
      </c>
      <c r="X1187" s="67">
        <f>IF(T1187=1,"",IF(C1187="","Missing transaction date",IF(NOT(ISNUMBER(C1187)),"Invalid date",IF(OR(C1187&lt;DATE(2000,1,1),C1187&gt;DATE(2099,12,31)),"Invalid date",IF(D1187="","Select a type",IF(U1187="","Unknown type: "&amp;D1187,IF(V1187="","Select an account (Category)",IF(ISNA(MATCH(V1187,coa_Name,0)),"Unknown account: "&amp;V1187,IF(K1187="","Select Paid From / Deposited To",IF(ISNA(MATCH(K1187,coa_Name,0)),"Unknown account: "&amp;K1187,IF(NOT(ISNUMBER(L1187)),"Enter an amount",IF(L1187=0,"Enter an amount",IF(ABS(W1187)&gt;ABS(L1187),"Tax is larger than the amount","")))))))))))))</f>
        <v/>
      </c>
      <c r="Y1187" s="67">
        <f>IF(OR(T1187=1,X1187&lt;&gt;""),"",IF(AND(B1187&lt;&gt;"",COUNTIF(tx_ID,B1187)&gt;1),"Duplicate transaction ID",IF(AND(L1187&lt;0,D1187&lt;&gt;"Adjustment"),"Negative amount — check this entry",IF(AND(D1187="Customer Payment",G1187=""),"Add the customer",IF(AND(D1187="Customer Payment",OR(J1187="",COUNTIF(ar_No,J1187&amp;"")=0)),"Invoice # in Reference not found on AR sheet",IF(AND(D1187="Bill Payment",H1187=""),"Add the vendor",IF(AND(D1187="Bill Payment",OR(J1187="",COUNTIFS(ap_No,J1187&amp;"",ap_Party,H1187&amp;"")=0)),"Bill # + vendor not found on AP sheet",IF(AND(ISNUMBER(M1187),N(M1187)&lt;&gt;0,W1187=0),"Tax ignored (tax tracking off, or not allowed for this type)",IF(V1187=K1187&amp;"","Same account on both sides",IF(AND(ISNUMBER(StartDate),C1187&lt;StartDate),"Date is before the accounting start date",IF(AND(D1187&lt;&gt;"Adjustment",IFERROR(INDEX(coa_Pay,MATCH(K1187&amp;"",coa_Name,0)),"")&lt;&gt;"Yes"),"Paid From / Deposited To is not a payment account","")))))))))))</f>
        <v/>
      </c>
      <c r="Z1187" s="67">
        <f>IF(AND(T1187=0,X1187=""),1,0)</f>
        <v/>
      </c>
      <c r="AA1187" s="68">
        <f>IF(Z1187=1,IF(U1187="In",L1187,L1187-W1187),0)</f>
        <v/>
      </c>
      <c r="AB1187" s="68">
        <f>IF(Z1187=1,IF(U1187="In",L1187-W1187,L1187),0)</f>
        <v/>
      </c>
      <c r="AC1187" s="68">
        <f>IF(AND(Z1187=1,U1187="Out"),W1187,0)</f>
        <v/>
      </c>
      <c r="AD1187" s="68">
        <f>IF(AND(Z1187=1,U1187="In"),W1187,0)</f>
        <v/>
      </c>
    </row>
    <row r="1188">
      <c r="B1188" s="62" t="inlineStr">
        <is>
          <t>TX-1182</t>
        </is>
      </c>
      <c r="C1188" s="63" t="n"/>
      <c r="D1188" s="62" t="n"/>
      <c r="E1188" s="62" t="n"/>
      <c r="F1188" s="62" t="n"/>
      <c r="G1188" s="62" t="n"/>
      <c r="H1188" s="62" t="n"/>
      <c r="I1188" s="62" t="n"/>
      <c r="J1188" s="62" t="n"/>
      <c r="K1188" s="62" t="n"/>
      <c r="L1188" s="64" t="n"/>
      <c r="M1188" s="64" t="n"/>
      <c r="N1188" s="62" t="n"/>
      <c r="O1188" s="65">
        <f>IF(Z1188=1,L1188-W1188,"")</f>
        <v/>
      </c>
      <c r="P1188" s="66">
        <f>IF(V1188="","",IFERROR(INDEX(coa_Type,MATCH(V1188,coa_Name,0)),""))</f>
        <v/>
      </c>
      <c r="Q1188" s="66">
        <f>IF(Z1188=1,IF(U1188="In",K1188&amp;"",V1188),"")</f>
        <v/>
      </c>
      <c r="R1188" s="66">
        <f>IF(Z1188=1,IF(U1188="In",V1188,K1188&amp;""),"")</f>
        <v/>
      </c>
      <c r="S1188" s="66">
        <f>IF(X1188&lt;&gt;"","⛔ "&amp;X1188&amp;" — not posted",IF(Y1188&lt;&gt;"","⚠ "&amp;Y1188,IF(Z1188=1,"✓ OK","")))</f>
        <v/>
      </c>
      <c r="T1188" s="67">
        <f>IF(AND(C1188="",D1188="",E1188="",L1188="",K1188=""),1,0)</f>
        <v/>
      </c>
      <c r="U1188" s="67">
        <f>IFERROR(INDEX(tt_Dir,MATCH(D1188,tt_Type,0)),"")</f>
        <v/>
      </c>
      <c r="V1188" s="67">
        <f>IF(D1188="","",IFERROR(IF(INDEX(tt_Other,MATCH(D1188,tt_Type,0))="",E1188&amp;"",INDEX(tt_Other,MATCH(D1188,tt_Type,0))),""))</f>
        <v/>
      </c>
      <c r="W1188" s="68">
        <f>IF(OR(TaxOn&lt;&gt;"Yes",NOT(ISNUMBER(M1188))),0,IF(IFERROR(INDEX(tt_Tax,MATCH(D1188,tt_Type,0)),"No")="Yes",M1188,0))</f>
        <v/>
      </c>
      <c r="X1188" s="67">
        <f>IF(T1188=1,"",IF(C1188="","Missing transaction date",IF(NOT(ISNUMBER(C1188)),"Invalid date",IF(OR(C1188&lt;DATE(2000,1,1),C1188&gt;DATE(2099,12,31)),"Invalid date",IF(D1188="","Select a type",IF(U1188="","Unknown type: "&amp;D1188,IF(V1188="","Select an account (Category)",IF(ISNA(MATCH(V1188,coa_Name,0)),"Unknown account: "&amp;V1188,IF(K1188="","Select Paid From / Deposited To",IF(ISNA(MATCH(K1188,coa_Name,0)),"Unknown account: "&amp;K1188,IF(NOT(ISNUMBER(L1188)),"Enter an amount",IF(L1188=0,"Enter an amount",IF(ABS(W1188)&gt;ABS(L1188),"Tax is larger than the amount","")))))))))))))</f>
        <v/>
      </c>
      <c r="Y1188" s="67">
        <f>IF(OR(T1188=1,X1188&lt;&gt;""),"",IF(AND(B1188&lt;&gt;"",COUNTIF(tx_ID,B1188)&gt;1),"Duplicate transaction ID",IF(AND(L1188&lt;0,D1188&lt;&gt;"Adjustment"),"Negative amount — check this entry",IF(AND(D1188="Customer Payment",G1188=""),"Add the customer",IF(AND(D1188="Customer Payment",OR(J1188="",COUNTIF(ar_No,J1188&amp;"")=0)),"Invoice # in Reference not found on AR sheet",IF(AND(D1188="Bill Payment",H1188=""),"Add the vendor",IF(AND(D1188="Bill Payment",OR(J1188="",COUNTIFS(ap_No,J1188&amp;"",ap_Party,H1188&amp;"")=0)),"Bill # + vendor not found on AP sheet",IF(AND(ISNUMBER(M1188),N(M1188)&lt;&gt;0,W1188=0),"Tax ignored (tax tracking off, or not allowed for this type)",IF(V1188=K1188&amp;"","Same account on both sides",IF(AND(ISNUMBER(StartDate),C1188&lt;StartDate),"Date is before the accounting start date",IF(AND(D1188&lt;&gt;"Adjustment",IFERROR(INDEX(coa_Pay,MATCH(K1188&amp;"",coa_Name,0)),"")&lt;&gt;"Yes"),"Paid From / Deposited To is not a payment account","")))))))))))</f>
        <v/>
      </c>
      <c r="Z1188" s="67">
        <f>IF(AND(T1188=0,X1188=""),1,0)</f>
        <v/>
      </c>
      <c r="AA1188" s="68">
        <f>IF(Z1188=1,IF(U1188="In",L1188,L1188-W1188),0)</f>
        <v/>
      </c>
      <c r="AB1188" s="68">
        <f>IF(Z1188=1,IF(U1188="In",L1188-W1188,L1188),0)</f>
        <v/>
      </c>
      <c r="AC1188" s="68">
        <f>IF(AND(Z1188=1,U1188="Out"),W1188,0)</f>
        <v/>
      </c>
      <c r="AD1188" s="68">
        <f>IF(AND(Z1188=1,U1188="In"),W1188,0)</f>
        <v/>
      </c>
    </row>
    <row r="1189">
      <c r="B1189" s="62" t="inlineStr">
        <is>
          <t>TX-1183</t>
        </is>
      </c>
      <c r="C1189" s="63" t="n"/>
      <c r="D1189" s="62" t="n"/>
      <c r="E1189" s="62" t="n"/>
      <c r="F1189" s="62" t="n"/>
      <c r="G1189" s="62" t="n"/>
      <c r="H1189" s="62" t="n"/>
      <c r="I1189" s="62" t="n"/>
      <c r="J1189" s="62" t="n"/>
      <c r="K1189" s="62" t="n"/>
      <c r="L1189" s="64" t="n"/>
      <c r="M1189" s="64" t="n"/>
      <c r="N1189" s="62" t="n"/>
      <c r="O1189" s="65">
        <f>IF(Z1189=1,L1189-W1189,"")</f>
        <v/>
      </c>
      <c r="P1189" s="66">
        <f>IF(V1189="","",IFERROR(INDEX(coa_Type,MATCH(V1189,coa_Name,0)),""))</f>
        <v/>
      </c>
      <c r="Q1189" s="66">
        <f>IF(Z1189=1,IF(U1189="In",K1189&amp;"",V1189),"")</f>
        <v/>
      </c>
      <c r="R1189" s="66">
        <f>IF(Z1189=1,IF(U1189="In",V1189,K1189&amp;""),"")</f>
        <v/>
      </c>
      <c r="S1189" s="66">
        <f>IF(X1189&lt;&gt;"","⛔ "&amp;X1189&amp;" — not posted",IF(Y1189&lt;&gt;"","⚠ "&amp;Y1189,IF(Z1189=1,"✓ OK","")))</f>
        <v/>
      </c>
      <c r="T1189" s="67">
        <f>IF(AND(C1189="",D1189="",E1189="",L1189="",K1189=""),1,0)</f>
        <v/>
      </c>
      <c r="U1189" s="67">
        <f>IFERROR(INDEX(tt_Dir,MATCH(D1189,tt_Type,0)),"")</f>
        <v/>
      </c>
      <c r="V1189" s="67">
        <f>IF(D1189="","",IFERROR(IF(INDEX(tt_Other,MATCH(D1189,tt_Type,0))="",E1189&amp;"",INDEX(tt_Other,MATCH(D1189,tt_Type,0))),""))</f>
        <v/>
      </c>
      <c r="W1189" s="68">
        <f>IF(OR(TaxOn&lt;&gt;"Yes",NOT(ISNUMBER(M1189))),0,IF(IFERROR(INDEX(tt_Tax,MATCH(D1189,tt_Type,0)),"No")="Yes",M1189,0))</f>
        <v/>
      </c>
      <c r="X1189" s="67">
        <f>IF(T1189=1,"",IF(C1189="","Missing transaction date",IF(NOT(ISNUMBER(C1189)),"Invalid date",IF(OR(C1189&lt;DATE(2000,1,1),C1189&gt;DATE(2099,12,31)),"Invalid date",IF(D1189="","Select a type",IF(U1189="","Unknown type: "&amp;D1189,IF(V1189="","Select an account (Category)",IF(ISNA(MATCH(V1189,coa_Name,0)),"Unknown account: "&amp;V1189,IF(K1189="","Select Paid From / Deposited To",IF(ISNA(MATCH(K1189,coa_Name,0)),"Unknown account: "&amp;K1189,IF(NOT(ISNUMBER(L1189)),"Enter an amount",IF(L1189=0,"Enter an amount",IF(ABS(W1189)&gt;ABS(L1189),"Tax is larger than the amount","")))))))))))))</f>
        <v/>
      </c>
      <c r="Y1189" s="67">
        <f>IF(OR(T1189=1,X1189&lt;&gt;""),"",IF(AND(B1189&lt;&gt;"",COUNTIF(tx_ID,B1189)&gt;1),"Duplicate transaction ID",IF(AND(L1189&lt;0,D1189&lt;&gt;"Adjustment"),"Negative amount — check this entry",IF(AND(D1189="Customer Payment",G1189=""),"Add the customer",IF(AND(D1189="Customer Payment",OR(J1189="",COUNTIF(ar_No,J1189&amp;"")=0)),"Invoice # in Reference not found on AR sheet",IF(AND(D1189="Bill Payment",H1189=""),"Add the vendor",IF(AND(D1189="Bill Payment",OR(J1189="",COUNTIFS(ap_No,J1189&amp;"",ap_Party,H1189&amp;"")=0)),"Bill # + vendor not found on AP sheet",IF(AND(ISNUMBER(M1189),N(M1189)&lt;&gt;0,W1189=0),"Tax ignored (tax tracking off, or not allowed for this type)",IF(V1189=K1189&amp;"","Same account on both sides",IF(AND(ISNUMBER(StartDate),C1189&lt;StartDate),"Date is before the accounting start date",IF(AND(D1189&lt;&gt;"Adjustment",IFERROR(INDEX(coa_Pay,MATCH(K1189&amp;"",coa_Name,0)),"")&lt;&gt;"Yes"),"Paid From / Deposited To is not a payment account","")))))))))))</f>
        <v/>
      </c>
      <c r="Z1189" s="67">
        <f>IF(AND(T1189=0,X1189=""),1,0)</f>
        <v/>
      </c>
      <c r="AA1189" s="68">
        <f>IF(Z1189=1,IF(U1189="In",L1189,L1189-W1189),0)</f>
        <v/>
      </c>
      <c r="AB1189" s="68">
        <f>IF(Z1189=1,IF(U1189="In",L1189-W1189,L1189),0)</f>
        <v/>
      </c>
      <c r="AC1189" s="68">
        <f>IF(AND(Z1189=1,U1189="Out"),W1189,0)</f>
        <v/>
      </c>
      <c r="AD1189" s="68">
        <f>IF(AND(Z1189=1,U1189="In"),W1189,0)</f>
        <v/>
      </c>
    </row>
    <row r="1190">
      <c r="B1190" s="62" t="inlineStr">
        <is>
          <t>TX-1184</t>
        </is>
      </c>
      <c r="C1190" s="63" t="n"/>
      <c r="D1190" s="62" t="n"/>
      <c r="E1190" s="62" t="n"/>
      <c r="F1190" s="62" t="n"/>
      <c r="G1190" s="62" t="n"/>
      <c r="H1190" s="62" t="n"/>
      <c r="I1190" s="62" t="n"/>
      <c r="J1190" s="62" t="n"/>
      <c r="K1190" s="62" t="n"/>
      <c r="L1190" s="64" t="n"/>
      <c r="M1190" s="64" t="n"/>
      <c r="N1190" s="62" t="n"/>
      <c r="O1190" s="65">
        <f>IF(Z1190=1,L1190-W1190,"")</f>
        <v/>
      </c>
      <c r="P1190" s="66">
        <f>IF(V1190="","",IFERROR(INDEX(coa_Type,MATCH(V1190,coa_Name,0)),""))</f>
        <v/>
      </c>
      <c r="Q1190" s="66">
        <f>IF(Z1190=1,IF(U1190="In",K1190&amp;"",V1190),"")</f>
        <v/>
      </c>
      <c r="R1190" s="66">
        <f>IF(Z1190=1,IF(U1190="In",V1190,K1190&amp;""),"")</f>
        <v/>
      </c>
      <c r="S1190" s="66">
        <f>IF(X1190&lt;&gt;"","⛔ "&amp;X1190&amp;" — not posted",IF(Y1190&lt;&gt;"","⚠ "&amp;Y1190,IF(Z1190=1,"✓ OK","")))</f>
        <v/>
      </c>
      <c r="T1190" s="67">
        <f>IF(AND(C1190="",D1190="",E1190="",L1190="",K1190=""),1,0)</f>
        <v/>
      </c>
      <c r="U1190" s="67">
        <f>IFERROR(INDEX(tt_Dir,MATCH(D1190,tt_Type,0)),"")</f>
        <v/>
      </c>
      <c r="V1190" s="67">
        <f>IF(D1190="","",IFERROR(IF(INDEX(tt_Other,MATCH(D1190,tt_Type,0))="",E1190&amp;"",INDEX(tt_Other,MATCH(D1190,tt_Type,0))),""))</f>
        <v/>
      </c>
      <c r="W1190" s="68">
        <f>IF(OR(TaxOn&lt;&gt;"Yes",NOT(ISNUMBER(M1190))),0,IF(IFERROR(INDEX(tt_Tax,MATCH(D1190,tt_Type,0)),"No")="Yes",M1190,0))</f>
        <v/>
      </c>
      <c r="X1190" s="67">
        <f>IF(T1190=1,"",IF(C1190="","Missing transaction date",IF(NOT(ISNUMBER(C1190)),"Invalid date",IF(OR(C1190&lt;DATE(2000,1,1),C1190&gt;DATE(2099,12,31)),"Invalid date",IF(D1190="","Select a type",IF(U1190="","Unknown type: "&amp;D1190,IF(V1190="","Select an account (Category)",IF(ISNA(MATCH(V1190,coa_Name,0)),"Unknown account: "&amp;V1190,IF(K1190="","Select Paid From / Deposited To",IF(ISNA(MATCH(K1190,coa_Name,0)),"Unknown account: "&amp;K1190,IF(NOT(ISNUMBER(L1190)),"Enter an amount",IF(L1190=0,"Enter an amount",IF(ABS(W1190)&gt;ABS(L1190),"Tax is larger than the amount","")))))))))))))</f>
        <v/>
      </c>
      <c r="Y1190" s="67">
        <f>IF(OR(T1190=1,X1190&lt;&gt;""),"",IF(AND(B1190&lt;&gt;"",COUNTIF(tx_ID,B1190)&gt;1),"Duplicate transaction ID",IF(AND(L1190&lt;0,D1190&lt;&gt;"Adjustment"),"Negative amount — check this entry",IF(AND(D1190="Customer Payment",G1190=""),"Add the customer",IF(AND(D1190="Customer Payment",OR(J1190="",COUNTIF(ar_No,J1190&amp;"")=0)),"Invoice # in Reference not found on AR sheet",IF(AND(D1190="Bill Payment",H1190=""),"Add the vendor",IF(AND(D1190="Bill Payment",OR(J1190="",COUNTIFS(ap_No,J1190&amp;"",ap_Party,H1190&amp;"")=0)),"Bill # + vendor not found on AP sheet",IF(AND(ISNUMBER(M1190),N(M1190)&lt;&gt;0,W1190=0),"Tax ignored (tax tracking off, or not allowed for this type)",IF(V1190=K1190&amp;"","Same account on both sides",IF(AND(ISNUMBER(StartDate),C1190&lt;StartDate),"Date is before the accounting start date",IF(AND(D1190&lt;&gt;"Adjustment",IFERROR(INDEX(coa_Pay,MATCH(K1190&amp;"",coa_Name,0)),"")&lt;&gt;"Yes"),"Paid From / Deposited To is not a payment account","")))))))))))</f>
        <v/>
      </c>
      <c r="Z1190" s="67">
        <f>IF(AND(T1190=0,X1190=""),1,0)</f>
        <v/>
      </c>
      <c r="AA1190" s="68">
        <f>IF(Z1190=1,IF(U1190="In",L1190,L1190-W1190),0)</f>
        <v/>
      </c>
      <c r="AB1190" s="68">
        <f>IF(Z1190=1,IF(U1190="In",L1190-W1190,L1190),0)</f>
        <v/>
      </c>
      <c r="AC1190" s="68">
        <f>IF(AND(Z1190=1,U1190="Out"),W1190,0)</f>
        <v/>
      </c>
      <c r="AD1190" s="68">
        <f>IF(AND(Z1190=1,U1190="In"),W1190,0)</f>
        <v/>
      </c>
    </row>
    <row r="1191">
      <c r="B1191" s="62" t="inlineStr">
        <is>
          <t>TX-1185</t>
        </is>
      </c>
      <c r="C1191" s="63" t="n"/>
      <c r="D1191" s="62" t="n"/>
      <c r="E1191" s="62" t="n"/>
      <c r="F1191" s="62" t="n"/>
      <c r="G1191" s="62" t="n"/>
      <c r="H1191" s="62" t="n"/>
      <c r="I1191" s="62" t="n"/>
      <c r="J1191" s="62" t="n"/>
      <c r="K1191" s="62" t="n"/>
      <c r="L1191" s="64" t="n"/>
      <c r="M1191" s="64" t="n"/>
      <c r="N1191" s="62" t="n"/>
      <c r="O1191" s="65">
        <f>IF(Z1191=1,L1191-W1191,"")</f>
        <v/>
      </c>
      <c r="P1191" s="66">
        <f>IF(V1191="","",IFERROR(INDEX(coa_Type,MATCH(V1191,coa_Name,0)),""))</f>
        <v/>
      </c>
      <c r="Q1191" s="66">
        <f>IF(Z1191=1,IF(U1191="In",K1191&amp;"",V1191),"")</f>
        <v/>
      </c>
      <c r="R1191" s="66">
        <f>IF(Z1191=1,IF(U1191="In",V1191,K1191&amp;""),"")</f>
        <v/>
      </c>
      <c r="S1191" s="66">
        <f>IF(X1191&lt;&gt;"","⛔ "&amp;X1191&amp;" — not posted",IF(Y1191&lt;&gt;"","⚠ "&amp;Y1191,IF(Z1191=1,"✓ OK","")))</f>
        <v/>
      </c>
      <c r="T1191" s="67">
        <f>IF(AND(C1191="",D1191="",E1191="",L1191="",K1191=""),1,0)</f>
        <v/>
      </c>
      <c r="U1191" s="67">
        <f>IFERROR(INDEX(tt_Dir,MATCH(D1191,tt_Type,0)),"")</f>
        <v/>
      </c>
      <c r="V1191" s="67">
        <f>IF(D1191="","",IFERROR(IF(INDEX(tt_Other,MATCH(D1191,tt_Type,0))="",E1191&amp;"",INDEX(tt_Other,MATCH(D1191,tt_Type,0))),""))</f>
        <v/>
      </c>
      <c r="W1191" s="68">
        <f>IF(OR(TaxOn&lt;&gt;"Yes",NOT(ISNUMBER(M1191))),0,IF(IFERROR(INDEX(tt_Tax,MATCH(D1191,tt_Type,0)),"No")="Yes",M1191,0))</f>
        <v/>
      </c>
      <c r="X1191" s="67">
        <f>IF(T1191=1,"",IF(C1191="","Missing transaction date",IF(NOT(ISNUMBER(C1191)),"Invalid date",IF(OR(C1191&lt;DATE(2000,1,1),C1191&gt;DATE(2099,12,31)),"Invalid date",IF(D1191="","Select a type",IF(U1191="","Unknown type: "&amp;D1191,IF(V1191="","Select an account (Category)",IF(ISNA(MATCH(V1191,coa_Name,0)),"Unknown account: "&amp;V1191,IF(K1191="","Select Paid From / Deposited To",IF(ISNA(MATCH(K1191,coa_Name,0)),"Unknown account: "&amp;K1191,IF(NOT(ISNUMBER(L1191)),"Enter an amount",IF(L1191=0,"Enter an amount",IF(ABS(W1191)&gt;ABS(L1191),"Tax is larger than the amount","")))))))))))))</f>
        <v/>
      </c>
      <c r="Y1191" s="67">
        <f>IF(OR(T1191=1,X1191&lt;&gt;""),"",IF(AND(B1191&lt;&gt;"",COUNTIF(tx_ID,B1191)&gt;1),"Duplicate transaction ID",IF(AND(L1191&lt;0,D1191&lt;&gt;"Adjustment"),"Negative amount — check this entry",IF(AND(D1191="Customer Payment",G1191=""),"Add the customer",IF(AND(D1191="Customer Payment",OR(J1191="",COUNTIF(ar_No,J1191&amp;"")=0)),"Invoice # in Reference not found on AR sheet",IF(AND(D1191="Bill Payment",H1191=""),"Add the vendor",IF(AND(D1191="Bill Payment",OR(J1191="",COUNTIFS(ap_No,J1191&amp;"",ap_Party,H1191&amp;"")=0)),"Bill # + vendor not found on AP sheet",IF(AND(ISNUMBER(M1191),N(M1191)&lt;&gt;0,W1191=0),"Tax ignored (tax tracking off, or not allowed for this type)",IF(V1191=K1191&amp;"","Same account on both sides",IF(AND(ISNUMBER(StartDate),C1191&lt;StartDate),"Date is before the accounting start date",IF(AND(D1191&lt;&gt;"Adjustment",IFERROR(INDEX(coa_Pay,MATCH(K1191&amp;"",coa_Name,0)),"")&lt;&gt;"Yes"),"Paid From / Deposited To is not a payment account","")))))))))))</f>
        <v/>
      </c>
      <c r="Z1191" s="67">
        <f>IF(AND(T1191=0,X1191=""),1,0)</f>
        <v/>
      </c>
      <c r="AA1191" s="68">
        <f>IF(Z1191=1,IF(U1191="In",L1191,L1191-W1191),0)</f>
        <v/>
      </c>
      <c r="AB1191" s="68">
        <f>IF(Z1191=1,IF(U1191="In",L1191-W1191,L1191),0)</f>
        <v/>
      </c>
      <c r="AC1191" s="68">
        <f>IF(AND(Z1191=1,U1191="Out"),W1191,0)</f>
        <v/>
      </c>
      <c r="AD1191" s="68">
        <f>IF(AND(Z1191=1,U1191="In"),W1191,0)</f>
        <v/>
      </c>
    </row>
    <row r="1192">
      <c r="B1192" s="62" t="inlineStr">
        <is>
          <t>TX-1186</t>
        </is>
      </c>
      <c r="C1192" s="63" t="n"/>
      <c r="D1192" s="62" t="n"/>
      <c r="E1192" s="62" t="n"/>
      <c r="F1192" s="62" t="n"/>
      <c r="G1192" s="62" t="n"/>
      <c r="H1192" s="62" t="n"/>
      <c r="I1192" s="62" t="n"/>
      <c r="J1192" s="62" t="n"/>
      <c r="K1192" s="62" t="n"/>
      <c r="L1192" s="64" t="n"/>
      <c r="M1192" s="64" t="n"/>
      <c r="N1192" s="62" t="n"/>
      <c r="O1192" s="65">
        <f>IF(Z1192=1,L1192-W1192,"")</f>
        <v/>
      </c>
      <c r="P1192" s="66">
        <f>IF(V1192="","",IFERROR(INDEX(coa_Type,MATCH(V1192,coa_Name,0)),""))</f>
        <v/>
      </c>
      <c r="Q1192" s="66">
        <f>IF(Z1192=1,IF(U1192="In",K1192&amp;"",V1192),"")</f>
        <v/>
      </c>
      <c r="R1192" s="66">
        <f>IF(Z1192=1,IF(U1192="In",V1192,K1192&amp;""),"")</f>
        <v/>
      </c>
      <c r="S1192" s="66">
        <f>IF(X1192&lt;&gt;"","⛔ "&amp;X1192&amp;" — not posted",IF(Y1192&lt;&gt;"","⚠ "&amp;Y1192,IF(Z1192=1,"✓ OK","")))</f>
        <v/>
      </c>
      <c r="T1192" s="67">
        <f>IF(AND(C1192="",D1192="",E1192="",L1192="",K1192=""),1,0)</f>
        <v/>
      </c>
      <c r="U1192" s="67">
        <f>IFERROR(INDEX(tt_Dir,MATCH(D1192,tt_Type,0)),"")</f>
        <v/>
      </c>
      <c r="V1192" s="67">
        <f>IF(D1192="","",IFERROR(IF(INDEX(tt_Other,MATCH(D1192,tt_Type,0))="",E1192&amp;"",INDEX(tt_Other,MATCH(D1192,tt_Type,0))),""))</f>
        <v/>
      </c>
      <c r="W1192" s="68">
        <f>IF(OR(TaxOn&lt;&gt;"Yes",NOT(ISNUMBER(M1192))),0,IF(IFERROR(INDEX(tt_Tax,MATCH(D1192,tt_Type,0)),"No")="Yes",M1192,0))</f>
        <v/>
      </c>
      <c r="X1192" s="67">
        <f>IF(T1192=1,"",IF(C1192="","Missing transaction date",IF(NOT(ISNUMBER(C1192)),"Invalid date",IF(OR(C1192&lt;DATE(2000,1,1),C1192&gt;DATE(2099,12,31)),"Invalid date",IF(D1192="","Select a type",IF(U1192="","Unknown type: "&amp;D1192,IF(V1192="","Select an account (Category)",IF(ISNA(MATCH(V1192,coa_Name,0)),"Unknown account: "&amp;V1192,IF(K1192="","Select Paid From / Deposited To",IF(ISNA(MATCH(K1192,coa_Name,0)),"Unknown account: "&amp;K1192,IF(NOT(ISNUMBER(L1192)),"Enter an amount",IF(L1192=0,"Enter an amount",IF(ABS(W1192)&gt;ABS(L1192),"Tax is larger than the amount","")))))))))))))</f>
        <v/>
      </c>
      <c r="Y1192" s="67">
        <f>IF(OR(T1192=1,X1192&lt;&gt;""),"",IF(AND(B1192&lt;&gt;"",COUNTIF(tx_ID,B1192)&gt;1),"Duplicate transaction ID",IF(AND(L1192&lt;0,D1192&lt;&gt;"Adjustment"),"Negative amount — check this entry",IF(AND(D1192="Customer Payment",G1192=""),"Add the customer",IF(AND(D1192="Customer Payment",OR(J1192="",COUNTIF(ar_No,J1192&amp;"")=0)),"Invoice # in Reference not found on AR sheet",IF(AND(D1192="Bill Payment",H1192=""),"Add the vendor",IF(AND(D1192="Bill Payment",OR(J1192="",COUNTIFS(ap_No,J1192&amp;"",ap_Party,H1192&amp;"")=0)),"Bill # + vendor not found on AP sheet",IF(AND(ISNUMBER(M1192),N(M1192)&lt;&gt;0,W1192=0),"Tax ignored (tax tracking off, or not allowed for this type)",IF(V1192=K1192&amp;"","Same account on both sides",IF(AND(ISNUMBER(StartDate),C1192&lt;StartDate),"Date is before the accounting start date",IF(AND(D1192&lt;&gt;"Adjustment",IFERROR(INDEX(coa_Pay,MATCH(K1192&amp;"",coa_Name,0)),"")&lt;&gt;"Yes"),"Paid From / Deposited To is not a payment account","")))))))))))</f>
        <v/>
      </c>
      <c r="Z1192" s="67">
        <f>IF(AND(T1192=0,X1192=""),1,0)</f>
        <v/>
      </c>
      <c r="AA1192" s="68">
        <f>IF(Z1192=1,IF(U1192="In",L1192,L1192-W1192),0)</f>
        <v/>
      </c>
      <c r="AB1192" s="68">
        <f>IF(Z1192=1,IF(U1192="In",L1192-W1192,L1192),0)</f>
        <v/>
      </c>
      <c r="AC1192" s="68">
        <f>IF(AND(Z1192=1,U1192="Out"),W1192,0)</f>
        <v/>
      </c>
      <c r="AD1192" s="68">
        <f>IF(AND(Z1192=1,U1192="In"),W1192,0)</f>
        <v/>
      </c>
    </row>
    <row r="1193">
      <c r="B1193" s="62" t="inlineStr">
        <is>
          <t>TX-1187</t>
        </is>
      </c>
      <c r="C1193" s="63" t="n"/>
      <c r="D1193" s="62" t="n"/>
      <c r="E1193" s="62" t="n"/>
      <c r="F1193" s="62" t="n"/>
      <c r="G1193" s="62" t="n"/>
      <c r="H1193" s="62" t="n"/>
      <c r="I1193" s="62" t="n"/>
      <c r="J1193" s="62" t="n"/>
      <c r="K1193" s="62" t="n"/>
      <c r="L1193" s="64" t="n"/>
      <c r="M1193" s="64" t="n"/>
      <c r="N1193" s="62" t="n"/>
      <c r="O1193" s="65">
        <f>IF(Z1193=1,L1193-W1193,"")</f>
        <v/>
      </c>
      <c r="P1193" s="66">
        <f>IF(V1193="","",IFERROR(INDEX(coa_Type,MATCH(V1193,coa_Name,0)),""))</f>
        <v/>
      </c>
      <c r="Q1193" s="66">
        <f>IF(Z1193=1,IF(U1193="In",K1193&amp;"",V1193),"")</f>
        <v/>
      </c>
      <c r="R1193" s="66">
        <f>IF(Z1193=1,IF(U1193="In",V1193,K1193&amp;""),"")</f>
        <v/>
      </c>
      <c r="S1193" s="66">
        <f>IF(X1193&lt;&gt;"","⛔ "&amp;X1193&amp;" — not posted",IF(Y1193&lt;&gt;"","⚠ "&amp;Y1193,IF(Z1193=1,"✓ OK","")))</f>
        <v/>
      </c>
      <c r="T1193" s="67">
        <f>IF(AND(C1193="",D1193="",E1193="",L1193="",K1193=""),1,0)</f>
        <v/>
      </c>
      <c r="U1193" s="67">
        <f>IFERROR(INDEX(tt_Dir,MATCH(D1193,tt_Type,0)),"")</f>
        <v/>
      </c>
      <c r="V1193" s="67">
        <f>IF(D1193="","",IFERROR(IF(INDEX(tt_Other,MATCH(D1193,tt_Type,0))="",E1193&amp;"",INDEX(tt_Other,MATCH(D1193,tt_Type,0))),""))</f>
        <v/>
      </c>
      <c r="W1193" s="68">
        <f>IF(OR(TaxOn&lt;&gt;"Yes",NOT(ISNUMBER(M1193))),0,IF(IFERROR(INDEX(tt_Tax,MATCH(D1193,tt_Type,0)),"No")="Yes",M1193,0))</f>
        <v/>
      </c>
      <c r="X1193" s="67">
        <f>IF(T1193=1,"",IF(C1193="","Missing transaction date",IF(NOT(ISNUMBER(C1193)),"Invalid date",IF(OR(C1193&lt;DATE(2000,1,1),C1193&gt;DATE(2099,12,31)),"Invalid date",IF(D1193="","Select a type",IF(U1193="","Unknown type: "&amp;D1193,IF(V1193="","Select an account (Category)",IF(ISNA(MATCH(V1193,coa_Name,0)),"Unknown account: "&amp;V1193,IF(K1193="","Select Paid From / Deposited To",IF(ISNA(MATCH(K1193,coa_Name,0)),"Unknown account: "&amp;K1193,IF(NOT(ISNUMBER(L1193)),"Enter an amount",IF(L1193=0,"Enter an amount",IF(ABS(W1193)&gt;ABS(L1193),"Tax is larger than the amount","")))))))))))))</f>
        <v/>
      </c>
      <c r="Y1193" s="67">
        <f>IF(OR(T1193=1,X1193&lt;&gt;""),"",IF(AND(B1193&lt;&gt;"",COUNTIF(tx_ID,B1193)&gt;1),"Duplicate transaction ID",IF(AND(L1193&lt;0,D1193&lt;&gt;"Adjustment"),"Negative amount — check this entry",IF(AND(D1193="Customer Payment",G1193=""),"Add the customer",IF(AND(D1193="Customer Payment",OR(J1193="",COUNTIF(ar_No,J1193&amp;"")=0)),"Invoice # in Reference not found on AR sheet",IF(AND(D1193="Bill Payment",H1193=""),"Add the vendor",IF(AND(D1193="Bill Payment",OR(J1193="",COUNTIFS(ap_No,J1193&amp;"",ap_Party,H1193&amp;"")=0)),"Bill # + vendor not found on AP sheet",IF(AND(ISNUMBER(M1193),N(M1193)&lt;&gt;0,W1193=0),"Tax ignored (tax tracking off, or not allowed for this type)",IF(V1193=K1193&amp;"","Same account on both sides",IF(AND(ISNUMBER(StartDate),C1193&lt;StartDate),"Date is before the accounting start date",IF(AND(D1193&lt;&gt;"Adjustment",IFERROR(INDEX(coa_Pay,MATCH(K1193&amp;"",coa_Name,0)),"")&lt;&gt;"Yes"),"Paid From / Deposited To is not a payment account","")))))))))))</f>
        <v/>
      </c>
      <c r="Z1193" s="67">
        <f>IF(AND(T1193=0,X1193=""),1,0)</f>
        <v/>
      </c>
      <c r="AA1193" s="68">
        <f>IF(Z1193=1,IF(U1193="In",L1193,L1193-W1193),0)</f>
        <v/>
      </c>
      <c r="AB1193" s="68">
        <f>IF(Z1193=1,IF(U1193="In",L1193-W1193,L1193),0)</f>
        <v/>
      </c>
      <c r="AC1193" s="68">
        <f>IF(AND(Z1193=1,U1193="Out"),W1193,0)</f>
        <v/>
      </c>
      <c r="AD1193" s="68">
        <f>IF(AND(Z1193=1,U1193="In"),W1193,0)</f>
        <v/>
      </c>
    </row>
    <row r="1194">
      <c r="B1194" s="62" t="inlineStr">
        <is>
          <t>TX-1188</t>
        </is>
      </c>
      <c r="C1194" s="63" t="n"/>
      <c r="D1194" s="62" t="n"/>
      <c r="E1194" s="62" t="n"/>
      <c r="F1194" s="62" t="n"/>
      <c r="G1194" s="62" t="n"/>
      <c r="H1194" s="62" t="n"/>
      <c r="I1194" s="62" t="n"/>
      <c r="J1194" s="62" t="n"/>
      <c r="K1194" s="62" t="n"/>
      <c r="L1194" s="64" t="n"/>
      <c r="M1194" s="64" t="n"/>
      <c r="N1194" s="62" t="n"/>
      <c r="O1194" s="65">
        <f>IF(Z1194=1,L1194-W1194,"")</f>
        <v/>
      </c>
      <c r="P1194" s="66">
        <f>IF(V1194="","",IFERROR(INDEX(coa_Type,MATCH(V1194,coa_Name,0)),""))</f>
        <v/>
      </c>
      <c r="Q1194" s="66">
        <f>IF(Z1194=1,IF(U1194="In",K1194&amp;"",V1194),"")</f>
        <v/>
      </c>
      <c r="R1194" s="66">
        <f>IF(Z1194=1,IF(U1194="In",V1194,K1194&amp;""),"")</f>
        <v/>
      </c>
      <c r="S1194" s="66">
        <f>IF(X1194&lt;&gt;"","⛔ "&amp;X1194&amp;" — not posted",IF(Y1194&lt;&gt;"","⚠ "&amp;Y1194,IF(Z1194=1,"✓ OK","")))</f>
        <v/>
      </c>
      <c r="T1194" s="67">
        <f>IF(AND(C1194="",D1194="",E1194="",L1194="",K1194=""),1,0)</f>
        <v/>
      </c>
      <c r="U1194" s="67">
        <f>IFERROR(INDEX(tt_Dir,MATCH(D1194,tt_Type,0)),"")</f>
        <v/>
      </c>
      <c r="V1194" s="67">
        <f>IF(D1194="","",IFERROR(IF(INDEX(tt_Other,MATCH(D1194,tt_Type,0))="",E1194&amp;"",INDEX(tt_Other,MATCH(D1194,tt_Type,0))),""))</f>
        <v/>
      </c>
      <c r="W1194" s="68">
        <f>IF(OR(TaxOn&lt;&gt;"Yes",NOT(ISNUMBER(M1194))),0,IF(IFERROR(INDEX(tt_Tax,MATCH(D1194,tt_Type,0)),"No")="Yes",M1194,0))</f>
        <v/>
      </c>
      <c r="X1194" s="67">
        <f>IF(T1194=1,"",IF(C1194="","Missing transaction date",IF(NOT(ISNUMBER(C1194)),"Invalid date",IF(OR(C1194&lt;DATE(2000,1,1),C1194&gt;DATE(2099,12,31)),"Invalid date",IF(D1194="","Select a type",IF(U1194="","Unknown type: "&amp;D1194,IF(V1194="","Select an account (Category)",IF(ISNA(MATCH(V1194,coa_Name,0)),"Unknown account: "&amp;V1194,IF(K1194="","Select Paid From / Deposited To",IF(ISNA(MATCH(K1194,coa_Name,0)),"Unknown account: "&amp;K1194,IF(NOT(ISNUMBER(L1194)),"Enter an amount",IF(L1194=0,"Enter an amount",IF(ABS(W1194)&gt;ABS(L1194),"Tax is larger than the amount","")))))))))))))</f>
        <v/>
      </c>
      <c r="Y1194" s="67">
        <f>IF(OR(T1194=1,X1194&lt;&gt;""),"",IF(AND(B1194&lt;&gt;"",COUNTIF(tx_ID,B1194)&gt;1),"Duplicate transaction ID",IF(AND(L1194&lt;0,D1194&lt;&gt;"Adjustment"),"Negative amount — check this entry",IF(AND(D1194="Customer Payment",G1194=""),"Add the customer",IF(AND(D1194="Customer Payment",OR(J1194="",COUNTIF(ar_No,J1194&amp;"")=0)),"Invoice # in Reference not found on AR sheet",IF(AND(D1194="Bill Payment",H1194=""),"Add the vendor",IF(AND(D1194="Bill Payment",OR(J1194="",COUNTIFS(ap_No,J1194&amp;"",ap_Party,H1194&amp;"")=0)),"Bill # + vendor not found on AP sheet",IF(AND(ISNUMBER(M1194),N(M1194)&lt;&gt;0,W1194=0),"Tax ignored (tax tracking off, or not allowed for this type)",IF(V1194=K1194&amp;"","Same account on both sides",IF(AND(ISNUMBER(StartDate),C1194&lt;StartDate),"Date is before the accounting start date",IF(AND(D1194&lt;&gt;"Adjustment",IFERROR(INDEX(coa_Pay,MATCH(K1194&amp;"",coa_Name,0)),"")&lt;&gt;"Yes"),"Paid From / Deposited To is not a payment account","")))))))))))</f>
        <v/>
      </c>
      <c r="Z1194" s="67">
        <f>IF(AND(T1194=0,X1194=""),1,0)</f>
        <v/>
      </c>
      <c r="AA1194" s="68">
        <f>IF(Z1194=1,IF(U1194="In",L1194,L1194-W1194),0)</f>
        <v/>
      </c>
      <c r="AB1194" s="68">
        <f>IF(Z1194=1,IF(U1194="In",L1194-W1194,L1194),0)</f>
        <v/>
      </c>
      <c r="AC1194" s="68">
        <f>IF(AND(Z1194=1,U1194="Out"),W1194,0)</f>
        <v/>
      </c>
      <c r="AD1194" s="68">
        <f>IF(AND(Z1194=1,U1194="In"),W1194,0)</f>
        <v/>
      </c>
    </row>
    <row r="1195">
      <c r="B1195" s="62" t="inlineStr">
        <is>
          <t>TX-1189</t>
        </is>
      </c>
      <c r="C1195" s="63" t="n"/>
      <c r="D1195" s="62" t="n"/>
      <c r="E1195" s="62" t="n"/>
      <c r="F1195" s="62" t="n"/>
      <c r="G1195" s="62" t="n"/>
      <c r="H1195" s="62" t="n"/>
      <c r="I1195" s="62" t="n"/>
      <c r="J1195" s="62" t="n"/>
      <c r="K1195" s="62" t="n"/>
      <c r="L1195" s="64" t="n"/>
      <c r="M1195" s="64" t="n"/>
      <c r="N1195" s="62" t="n"/>
      <c r="O1195" s="65">
        <f>IF(Z1195=1,L1195-W1195,"")</f>
        <v/>
      </c>
      <c r="P1195" s="66">
        <f>IF(V1195="","",IFERROR(INDEX(coa_Type,MATCH(V1195,coa_Name,0)),""))</f>
        <v/>
      </c>
      <c r="Q1195" s="66">
        <f>IF(Z1195=1,IF(U1195="In",K1195&amp;"",V1195),"")</f>
        <v/>
      </c>
      <c r="R1195" s="66">
        <f>IF(Z1195=1,IF(U1195="In",V1195,K1195&amp;""),"")</f>
        <v/>
      </c>
      <c r="S1195" s="66">
        <f>IF(X1195&lt;&gt;"","⛔ "&amp;X1195&amp;" — not posted",IF(Y1195&lt;&gt;"","⚠ "&amp;Y1195,IF(Z1195=1,"✓ OK","")))</f>
        <v/>
      </c>
      <c r="T1195" s="67">
        <f>IF(AND(C1195="",D1195="",E1195="",L1195="",K1195=""),1,0)</f>
        <v/>
      </c>
      <c r="U1195" s="67">
        <f>IFERROR(INDEX(tt_Dir,MATCH(D1195,tt_Type,0)),"")</f>
        <v/>
      </c>
      <c r="V1195" s="67">
        <f>IF(D1195="","",IFERROR(IF(INDEX(tt_Other,MATCH(D1195,tt_Type,0))="",E1195&amp;"",INDEX(tt_Other,MATCH(D1195,tt_Type,0))),""))</f>
        <v/>
      </c>
      <c r="W1195" s="68">
        <f>IF(OR(TaxOn&lt;&gt;"Yes",NOT(ISNUMBER(M1195))),0,IF(IFERROR(INDEX(tt_Tax,MATCH(D1195,tt_Type,0)),"No")="Yes",M1195,0))</f>
        <v/>
      </c>
      <c r="X1195" s="67">
        <f>IF(T1195=1,"",IF(C1195="","Missing transaction date",IF(NOT(ISNUMBER(C1195)),"Invalid date",IF(OR(C1195&lt;DATE(2000,1,1),C1195&gt;DATE(2099,12,31)),"Invalid date",IF(D1195="","Select a type",IF(U1195="","Unknown type: "&amp;D1195,IF(V1195="","Select an account (Category)",IF(ISNA(MATCH(V1195,coa_Name,0)),"Unknown account: "&amp;V1195,IF(K1195="","Select Paid From / Deposited To",IF(ISNA(MATCH(K1195,coa_Name,0)),"Unknown account: "&amp;K1195,IF(NOT(ISNUMBER(L1195)),"Enter an amount",IF(L1195=0,"Enter an amount",IF(ABS(W1195)&gt;ABS(L1195),"Tax is larger than the amount","")))))))))))))</f>
        <v/>
      </c>
      <c r="Y1195" s="67">
        <f>IF(OR(T1195=1,X1195&lt;&gt;""),"",IF(AND(B1195&lt;&gt;"",COUNTIF(tx_ID,B1195)&gt;1),"Duplicate transaction ID",IF(AND(L1195&lt;0,D1195&lt;&gt;"Adjustment"),"Negative amount — check this entry",IF(AND(D1195="Customer Payment",G1195=""),"Add the customer",IF(AND(D1195="Customer Payment",OR(J1195="",COUNTIF(ar_No,J1195&amp;"")=0)),"Invoice # in Reference not found on AR sheet",IF(AND(D1195="Bill Payment",H1195=""),"Add the vendor",IF(AND(D1195="Bill Payment",OR(J1195="",COUNTIFS(ap_No,J1195&amp;"",ap_Party,H1195&amp;"")=0)),"Bill # + vendor not found on AP sheet",IF(AND(ISNUMBER(M1195),N(M1195)&lt;&gt;0,W1195=0),"Tax ignored (tax tracking off, or not allowed for this type)",IF(V1195=K1195&amp;"","Same account on both sides",IF(AND(ISNUMBER(StartDate),C1195&lt;StartDate),"Date is before the accounting start date",IF(AND(D1195&lt;&gt;"Adjustment",IFERROR(INDEX(coa_Pay,MATCH(K1195&amp;"",coa_Name,0)),"")&lt;&gt;"Yes"),"Paid From / Deposited To is not a payment account","")))))))))))</f>
        <v/>
      </c>
      <c r="Z1195" s="67">
        <f>IF(AND(T1195=0,X1195=""),1,0)</f>
        <v/>
      </c>
      <c r="AA1195" s="68">
        <f>IF(Z1195=1,IF(U1195="In",L1195,L1195-W1195),0)</f>
        <v/>
      </c>
      <c r="AB1195" s="68">
        <f>IF(Z1195=1,IF(U1195="In",L1195-W1195,L1195),0)</f>
        <v/>
      </c>
      <c r="AC1195" s="68">
        <f>IF(AND(Z1195=1,U1195="Out"),W1195,0)</f>
        <v/>
      </c>
      <c r="AD1195" s="68">
        <f>IF(AND(Z1195=1,U1195="In"),W1195,0)</f>
        <v/>
      </c>
    </row>
    <row r="1196">
      <c r="B1196" s="62" t="inlineStr">
        <is>
          <t>TX-1190</t>
        </is>
      </c>
      <c r="C1196" s="63" t="n"/>
      <c r="D1196" s="62" t="n"/>
      <c r="E1196" s="62" t="n"/>
      <c r="F1196" s="62" t="n"/>
      <c r="G1196" s="62" t="n"/>
      <c r="H1196" s="62" t="n"/>
      <c r="I1196" s="62" t="n"/>
      <c r="J1196" s="62" t="n"/>
      <c r="K1196" s="62" t="n"/>
      <c r="L1196" s="64" t="n"/>
      <c r="M1196" s="64" t="n"/>
      <c r="N1196" s="62" t="n"/>
      <c r="O1196" s="65">
        <f>IF(Z1196=1,L1196-W1196,"")</f>
        <v/>
      </c>
      <c r="P1196" s="66">
        <f>IF(V1196="","",IFERROR(INDEX(coa_Type,MATCH(V1196,coa_Name,0)),""))</f>
        <v/>
      </c>
      <c r="Q1196" s="66">
        <f>IF(Z1196=1,IF(U1196="In",K1196&amp;"",V1196),"")</f>
        <v/>
      </c>
      <c r="R1196" s="66">
        <f>IF(Z1196=1,IF(U1196="In",V1196,K1196&amp;""),"")</f>
        <v/>
      </c>
      <c r="S1196" s="66">
        <f>IF(X1196&lt;&gt;"","⛔ "&amp;X1196&amp;" — not posted",IF(Y1196&lt;&gt;"","⚠ "&amp;Y1196,IF(Z1196=1,"✓ OK","")))</f>
        <v/>
      </c>
      <c r="T1196" s="67">
        <f>IF(AND(C1196="",D1196="",E1196="",L1196="",K1196=""),1,0)</f>
        <v/>
      </c>
      <c r="U1196" s="67">
        <f>IFERROR(INDEX(tt_Dir,MATCH(D1196,tt_Type,0)),"")</f>
        <v/>
      </c>
      <c r="V1196" s="67">
        <f>IF(D1196="","",IFERROR(IF(INDEX(tt_Other,MATCH(D1196,tt_Type,0))="",E1196&amp;"",INDEX(tt_Other,MATCH(D1196,tt_Type,0))),""))</f>
        <v/>
      </c>
      <c r="W1196" s="68">
        <f>IF(OR(TaxOn&lt;&gt;"Yes",NOT(ISNUMBER(M1196))),0,IF(IFERROR(INDEX(tt_Tax,MATCH(D1196,tt_Type,0)),"No")="Yes",M1196,0))</f>
        <v/>
      </c>
      <c r="X1196" s="67">
        <f>IF(T1196=1,"",IF(C1196="","Missing transaction date",IF(NOT(ISNUMBER(C1196)),"Invalid date",IF(OR(C1196&lt;DATE(2000,1,1),C1196&gt;DATE(2099,12,31)),"Invalid date",IF(D1196="","Select a type",IF(U1196="","Unknown type: "&amp;D1196,IF(V1196="","Select an account (Category)",IF(ISNA(MATCH(V1196,coa_Name,0)),"Unknown account: "&amp;V1196,IF(K1196="","Select Paid From / Deposited To",IF(ISNA(MATCH(K1196,coa_Name,0)),"Unknown account: "&amp;K1196,IF(NOT(ISNUMBER(L1196)),"Enter an amount",IF(L1196=0,"Enter an amount",IF(ABS(W1196)&gt;ABS(L1196),"Tax is larger than the amount","")))))))))))))</f>
        <v/>
      </c>
      <c r="Y1196" s="67">
        <f>IF(OR(T1196=1,X1196&lt;&gt;""),"",IF(AND(B1196&lt;&gt;"",COUNTIF(tx_ID,B1196)&gt;1),"Duplicate transaction ID",IF(AND(L1196&lt;0,D1196&lt;&gt;"Adjustment"),"Negative amount — check this entry",IF(AND(D1196="Customer Payment",G1196=""),"Add the customer",IF(AND(D1196="Customer Payment",OR(J1196="",COUNTIF(ar_No,J1196&amp;"")=0)),"Invoice # in Reference not found on AR sheet",IF(AND(D1196="Bill Payment",H1196=""),"Add the vendor",IF(AND(D1196="Bill Payment",OR(J1196="",COUNTIFS(ap_No,J1196&amp;"",ap_Party,H1196&amp;"")=0)),"Bill # + vendor not found on AP sheet",IF(AND(ISNUMBER(M1196),N(M1196)&lt;&gt;0,W1196=0),"Tax ignored (tax tracking off, or not allowed for this type)",IF(V1196=K1196&amp;"","Same account on both sides",IF(AND(ISNUMBER(StartDate),C1196&lt;StartDate),"Date is before the accounting start date",IF(AND(D1196&lt;&gt;"Adjustment",IFERROR(INDEX(coa_Pay,MATCH(K1196&amp;"",coa_Name,0)),"")&lt;&gt;"Yes"),"Paid From / Deposited To is not a payment account","")))))))))))</f>
        <v/>
      </c>
      <c r="Z1196" s="67">
        <f>IF(AND(T1196=0,X1196=""),1,0)</f>
        <v/>
      </c>
      <c r="AA1196" s="68">
        <f>IF(Z1196=1,IF(U1196="In",L1196,L1196-W1196),0)</f>
        <v/>
      </c>
      <c r="AB1196" s="68">
        <f>IF(Z1196=1,IF(U1196="In",L1196-W1196,L1196),0)</f>
        <v/>
      </c>
      <c r="AC1196" s="68">
        <f>IF(AND(Z1196=1,U1196="Out"),W1196,0)</f>
        <v/>
      </c>
      <c r="AD1196" s="68">
        <f>IF(AND(Z1196=1,U1196="In"),W1196,0)</f>
        <v/>
      </c>
    </row>
    <row r="1197">
      <c r="B1197" s="62" t="inlineStr">
        <is>
          <t>TX-1191</t>
        </is>
      </c>
      <c r="C1197" s="63" t="n"/>
      <c r="D1197" s="62" t="n"/>
      <c r="E1197" s="62" t="n"/>
      <c r="F1197" s="62" t="n"/>
      <c r="G1197" s="62" t="n"/>
      <c r="H1197" s="62" t="n"/>
      <c r="I1197" s="62" t="n"/>
      <c r="J1197" s="62" t="n"/>
      <c r="K1197" s="62" t="n"/>
      <c r="L1197" s="64" t="n"/>
      <c r="M1197" s="64" t="n"/>
      <c r="N1197" s="62" t="n"/>
      <c r="O1197" s="65">
        <f>IF(Z1197=1,L1197-W1197,"")</f>
        <v/>
      </c>
      <c r="P1197" s="66">
        <f>IF(V1197="","",IFERROR(INDEX(coa_Type,MATCH(V1197,coa_Name,0)),""))</f>
        <v/>
      </c>
      <c r="Q1197" s="66">
        <f>IF(Z1197=1,IF(U1197="In",K1197&amp;"",V1197),"")</f>
        <v/>
      </c>
      <c r="R1197" s="66">
        <f>IF(Z1197=1,IF(U1197="In",V1197,K1197&amp;""),"")</f>
        <v/>
      </c>
      <c r="S1197" s="66">
        <f>IF(X1197&lt;&gt;"","⛔ "&amp;X1197&amp;" — not posted",IF(Y1197&lt;&gt;"","⚠ "&amp;Y1197,IF(Z1197=1,"✓ OK","")))</f>
        <v/>
      </c>
      <c r="T1197" s="67">
        <f>IF(AND(C1197="",D1197="",E1197="",L1197="",K1197=""),1,0)</f>
        <v/>
      </c>
      <c r="U1197" s="67">
        <f>IFERROR(INDEX(tt_Dir,MATCH(D1197,tt_Type,0)),"")</f>
        <v/>
      </c>
      <c r="V1197" s="67">
        <f>IF(D1197="","",IFERROR(IF(INDEX(tt_Other,MATCH(D1197,tt_Type,0))="",E1197&amp;"",INDEX(tt_Other,MATCH(D1197,tt_Type,0))),""))</f>
        <v/>
      </c>
      <c r="W1197" s="68">
        <f>IF(OR(TaxOn&lt;&gt;"Yes",NOT(ISNUMBER(M1197))),0,IF(IFERROR(INDEX(tt_Tax,MATCH(D1197,tt_Type,0)),"No")="Yes",M1197,0))</f>
        <v/>
      </c>
      <c r="X1197" s="67">
        <f>IF(T1197=1,"",IF(C1197="","Missing transaction date",IF(NOT(ISNUMBER(C1197)),"Invalid date",IF(OR(C1197&lt;DATE(2000,1,1),C1197&gt;DATE(2099,12,31)),"Invalid date",IF(D1197="","Select a type",IF(U1197="","Unknown type: "&amp;D1197,IF(V1197="","Select an account (Category)",IF(ISNA(MATCH(V1197,coa_Name,0)),"Unknown account: "&amp;V1197,IF(K1197="","Select Paid From / Deposited To",IF(ISNA(MATCH(K1197,coa_Name,0)),"Unknown account: "&amp;K1197,IF(NOT(ISNUMBER(L1197)),"Enter an amount",IF(L1197=0,"Enter an amount",IF(ABS(W1197)&gt;ABS(L1197),"Tax is larger than the amount","")))))))))))))</f>
        <v/>
      </c>
      <c r="Y1197" s="67">
        <f>IF(OR(T1197=1,X1197&lt;&gt;""),"",IF(AND(B1197&lt;&gt;"",COUNTIF(tx_ID,B1197)&gt;1),"Duplicate transaction ID",IF(AND(L1197&lt;0,D1197&lt;&gt;"Adjustment"),"Negative amount — check this entry",IF(AND(D1197="Customer Payment",G1197=""),"Add the customer",IF(AND(D1197="Customer Payment",OR(J1197="",COUNTIF(ar_No,J1197&amp;"")=0)),"Invoice # in Reference not found on AR sheet",IF(AND(D1197="Bill Payment",H1197=""),"Add the vendor",IF(AND(D1197="Bill Payment",OR(J1197="",COUNTIFS(ap_No,J1197&amp;"",ap_Party,H1197&amp;"")=0)),"Bill # + vendor not found on AP sheet",IF(AND(ISNUMBER(M1197),N(M1197)&lt;&gt;0,W1197=0),"Tax ignored (tax tracking off, or not allowed for this type)",IF(V1197=K1197&amp;"","Same account on both sides",IF(AND(ISNUMBER(StartDate),C1197&lt;StartDate),"Date is before the accounting start date",IF(AND(D1197&lt;&gt;"Adjustment",IFERROR(INDEX(coa_Pay,MATCH(K1197&amp;"",coa_Name,0)),"")&lt;&gt;"Yes"),"Paid From / Deposited To is not a payment account","")))))))))))</f>
        <v/>
      </c>
      <c r="Z1197" s="67">
        <f>IF(AND(T1197=0,X1197=""),1,0)</f>
        <v/>
      </c>
      <c r="AA1197" s="68">
        <f>IF(Z1197=1,IF(U1197="In",L1197,L1197-W1197),0)</f>
        <v/>
      </c>
      <c r="AB1197" s="68">
        <f>IF(Z1197=1,IF(U1197="In",L1197-W1197,L1197),0)</f>
        <v/>
      </c>
      <c r="AC1197" s="68">
        <f>IF(AND(Z1197=1,U1197="Out"),W1197,0)</f>
        <v/>
      </c>
      <c r="AD1197" s="68">
        <f>IF(AND(Z1197=1,U1197="In"),W1197,0)</f>
        <v/>
      </c>
    </row>
    <row r="1198">
      <c r="B1198" s="62" t="inlineStr">
        <is>
          <t>TX-1192</t>
        </is>
      </c>
      <c r="C1198" s="63" t="n"/>
      <c r="D1198" s="62" t="n"/>
      <c r="E1198" s="62" t="n"/>
      <c r="F1198" s="62" t="n"/>
      <c r="G1198" s="62" t="n"/>
      <c r="H1198" s="62" t="n"/>
      <c r="I1198" s="62" t="n"/>
      <c r="J1198" s="62" t="n"/>
      <c r="K1198" s="62" t="n"/>
      <c r="L1198" s="64" t="n"/>
      <c r="M1198" s="64" t="n"/>
      <c r="N1198" s="62" t="n"/>
      <c r="O1198" s="65">
        <f>IF(Z1198=1,L1198-W1198,"")</f>
        <v/>
      </c>
      <c r="P1198" s="66">
        <f>IF(V1198="","",IFERROR(INDEX(coa_Type,MATCH(V1198,coa_Name,0)),""))</f>
        <v/>
      </c>
      <c r="Q1198" s="66">
        <f>IF(Z1198=1,IF(U1198="In",K1198&amp;"",V1198),"")</f>
        <v/>
      </c>
      <c r="R1198" s="66">
        <f>IF(Z1198=1,IF(U1198="In",V1198,K1198&amp;""),"")</f>
        <v/>
      </c>
      <c r="S1198" s="66">
        <f>IF(X1198&lt;&gt;"","⛔ "&amp;X1198&amp;" — not posted",IF(Y1198&lt;&gt;"","⚠ "&amp;Y1198,IF(Z1198=1,"✓ OK","")))</f>
        <v/>
      </c>
      <c r="T1198" s="67">
        <f>IF(AND(C1198="",D1198="",E1198="",L1198="",K1198=""),1,0)</f>
        <v/>
      </c>
      <c r="U1198" s="67">
        <f>IFERROR(INDEX(tt_Dir,MATCH(D1198,tt_Type,0)),"")</f>
        <v/>
      </c>
      <c r="V1198" s="67">
        <f>IF(D1198="","",IFERROR(IF(INDEX(tt_Other,MATCH(D1198,tt_Type,0))="",E1198&amp;"",INDEX(tt_Other,MATCH(D1198,tt_Type,0))),""))</f>
        <v/>
      </c>
      <c r="W1198" s="68">
        <f>IF(OR(TaxOn&lt;&gt;"Yes",NOT(ISNUMBER(M1198))),0,IF(IFERROR(INDEX(tt_Tax,MATCH(D1198,tt_Type,0)),"No")="Yes",M1198,0))</f>
        <v/>
      </c>
      <c r="X1198" s="67">
        <f>IF(T1198=1,"",IF(C1198="","Missing transaction date",IF(NOT(ISNUMBER(C1198)),"Invalid date",IF(OR(C1198&lt;DATE(2000,1,1),C1198&gt;DATE(2099,12,31)),"Invalid date",IF(D1198="","Select a type",IF(U1198="","Unknown type: "&amp;D1198,IF(V1198="","Select an account (Category)",IF(ISNA(MATCH(V1198,coa_Name,0)),"Unknown account: "&amp;V1198,IF(K1198="","Select Paid From / Deposited To",IF(ISNA(MATCH(K1198,coa_Name,0)),"Unknown account: "&amp;K1198,IF(NOT(ISNUMBER(L1198)),"Enter an amount",IF(L1198=0,"Enter an amount",IF(ABS(W1198)&gt;ABS(L1198),"Tax is larger than the amount","")))))))))))))</f>
        <v/>
      </c>
      <c r="Y1198" s="67">
        <f>IF(OR(T1198=1,X1198&lt;&gt;""),"",IF(AND(B1198&lt;&gt;"",COUNTIF(tx_ID,B1198)&gt;1),"Duplicate transaction ID",IF(AND(L1198&lt;0,D1198&lt;&gt;"Adjustment"),"Negative amount — check this entry",IF(AND(D1198="Customer Payment",G1198=""),"Add the customer",IF(AND(D1198="Customer Payment",OR(J1198="",COUNTIF(ar_No,J1198&amp;"")=0)),"Invoice # in Reference not found on AR sheet",IF(AND(D1198="Bill Payment",H1198=""),"Add the vendor",IF(AND(D1198="Bill Payment",OR(J1198="",COUNTIFS(ap_No,J1198&amp;"",ap_Party,H1198&amp;"")=0)),"Bill # + vendor not found on AP sheet",IF(AND(ISNUMBER(M1198),N(M1198)&lt;&gt;0,W1198=0),"Tax ignored (tax tracking off, or not allowed for this type)",IF(V1198=K1198&amp;"","Same account on both sides",IF(AND(ISNUMBER(StartDate),C1198&lt;StartDate),"Date is before the accounting start date",IF(AND(D1198&lt;&gt;"Adjustment",IFERROR(INDEX(coa_Pay,MATCH(K1198&amp;"",coa_Name,0)),"")&lt;&gt;"Yes"),"Paid From / Deposited To is not a payment account","")))))))))))</f>
        <v/>
      </c>
      <c r="Z1198" s="67">
        <f>IF(AND(T1198=0,X1198=""),1,0)</f>
        <v/>
      </c>
      <c r="AA1198" s="68">
        <f>IF(Z1198=1,IF(U1198="In",L1198,L1198-W1198),0)</f>
        <v/>
      </c>
      <c r="AB1198" s="68">
        <f>IF(Z1198=1,IF(U1198="In",L1198-W1198,L1198),0)</f>
        <v/>
      </c>
      <c r="AC1198" s="68">
        <f>IF(AND(Z1198=1,U1198="Out"),W1198,0)</f>
        <v/>
      </c>
      <c r="AD1198" s="68">
        <f>IF(AND(Z1198=1,U1198="In"),W1198,0)</f>
        <v/>
      </c>
    </row>
    <row r="1199">
      <c r="B1199" s="62" t="inlineStr">
        <is>
          <t>TX-1193</t>
        </is>
      </c>
      <c r="C1199" s="63" t="n"/>
      <c r="D1199" s="62" t="n"/>
      <c r="E1199" s="62" t="n"/>
      <c r="F1199" s="62" t="n"/>
      <c r="G1199" s="62" t="n"/>
      <c r="H1199" s="62" t="n"/>
      <c r="I1199" s="62" t="n"/>
      <c r="J1199" s="62" t="n"/>
      <c r="K1199" s="62" t="n"/>
      <c r="L1199" s="64" t="n"/>
      <c r="M1199" s="64" t="n"/>
      <c r="N1199" s="62" t="n"/>
      <c r="O1199" s="65">
        <f>IF(Z1199=1,L1199-W1199,"")</f>
        <v/>
      </c>
      <c r="P1199" s="66">
        <f>IF(V1199="","",IFERROR(INDEX(coa_Type,MATCH(V1199,coa_Name,0)),""))</f>
        <v/>
      </c>
      <c r="Q1199" s="66">
        <f>IF(Z1199=1,IF(U1199="In",K1199&amp;"",V1199),"")</f>
        <v/>
      </c>
      <c r="R1199" s="66">
        <f>IF(Z1199=1,IF(U1199="In",V1199,K1199&amp;""),"")</f>
        <v/>
      </c>
      <c r="S1199" s="66">
        <f>IF(X1199&lt;&gt;"","⛔ "&amp;X1199&amp;" — not posted",IF(Y1199&lt;&gt;"","⚠ "&amp;Y1199,IF(Z1199=1,"✓ OK","")))</f>
        <v/>
      </c>
      <c r="T1199" s="67">
        <f>IF(AND(C1199="",D1199="",E1199="",L1199="",K1199=""),1,0)</f>
        <v/>
      </c>
      <c r="U1199" s="67">
        <f>IFERROR(INDEX(tt_Dir,MATCH(D1199,tt_Type,0)),"")</f>
        <v/>
      </c>
      <c r="V1199" s="67">
        <f>IF(D1199="","",IFERROR(IF(INDEX(tt_Other,MATCH(D1199,tt_Type,0))="",E1199&amp;"",INDEX(tt_Other,MATCH(D1199,tt_Type,0))),""))</f>
        <v/>
      </c>
      <c r="W1199" s="68">
        <f>IF(OR(TaxOn&lt;&gt;"Yes",NOT(ISNUMBER(M1199))),0,IF(IFERROR(INDEX(tt_Tax,MATCH(D1199,tt_Type,0)),"No")="Yes",M1199,0))</f>
        <v/>
      </c>
      <c r="X1199" s="67">
        <f>IF(T1199=1,"",IF(C1199="","Missing transaction date",IF(NOT(ISNUMBER(C1199)),"Invalid date",IF(OR(C1199&lt;DATE(2000,1,1),C1199&gt;DATE(2099,12,31)),"Invalid date",IF(D1199="","Select a type",IF(U1199="","Unknown type: "&amp;D1199,IF(V1199="","Select an account (Category)",IF(ISNA(MATCH(V1199,coa_Name,0)),"Unknown account: "&amp;V1199,IF(K1199="","Select Paid From / Deposited To",IF(ISNA(MATCH(K1199,coa_Name,0)),"Unknown account: "&amp;K1199,IF(NOT(ISNUMBER(L1199)),"Enter an amount",IF(L1199=0,"Enter an amount",IF(ABS(W1199)&gt;ABS(L1199),"Tax is larger than the amount","")))))))))))))</f>
        <v/>
      </c>
      <c r="Y1199" s="67">
        <f>IF(OR(T1199=1,X1199&lt;&gt;""),"",IF(AND(B1199&lt;&gt;"",COUNTIF(tx_ID,B1199)&gt;1),"Duplicate transaction ID",IF(AND(L1199&lt;0,D1199&lt;&gt;"Adjustment"),"Negative amount — check this entry",IF(AND(D1199="Customer Payment",G1199=""),"Add the customer",IF(AND(D1199="Customer Payment",OR(J1199="",COUNTIF(ar_No,J1199&amp;"")=0)),"Invoice # in Reference not found on AR sheet",IF(AND(D1199="Bill Payment",H1199=""),"Add the vendor",IF(AND(D1199="Bill Payment",OR(J1199="",COUNTIFS(ap_No,J1199&amp;"",ap_Party,H1199&amp;"")=0)),"Bill # + vendor not found on AP sheet",IF(AND(ISNUMBER(M1199),N(M1199)&lt;&gt;0,W1199=0),"Tax ignored (tax tracking off, or not allowed for this type)",IF(V1199=K1199&amp;"","Same account on both sides",IF(AND(ISNUMBER(StartDate),C1199&lt;StartDate),"Date is before the accounting start date",IF(AND(D1199&lt;&gt;"Adjustment",IFERROR(INDEX(coa_Pay,MATCH(K1199&amp;"",coa_Name,0)),"")&lt;&gt;"Yes"),"Paid From / Deposited To is not a payment account","")))))))))))</f>
        <v/>
      </c>
      <c r="Z1199" s="67">
        <f>IF(AND(T1199=0,X1199=""),1,0)</f>
        <v/>
      </c>
      <c r="AA1199" s="68">
        <f>IF(Z1199=1,IF(U1199="In",L1199,L1199-W1199),0)</f>
        <v/>
      </c>
      <c r="AB1199" s="68">
        <f>IF(Z1199=1,IF(U1199="In",L1199-W1199,L1199),0)</f>
        <v/>
      </c>
      <c r="AC1199" s="68">
        <f>IF(AND(Z1199=1,U1199="Out"),W1199,0)</f>
        <v/>
      </c>
      <c r="AD1199" s="68">
        <f>IF(AND(Z1199=1,U1199="In"),W1199,0)</f>
        <v/>
      </c>
    </row>
    <row r="1200">
      <c r="B1200" s="62" t="inlineStr">
        <is>
          <t>TX-1194</t>
        </is>
      </c>
      <c r="C1200" s="63" t="n"/>
      <c r="D1200" s="62" t="n"/>
      <c r="E1200" s="62" t="n"/>
      <c r="F1200" s="62" t="n"/>
      <c r="G1200" s="62" t="n"/>
      <c r="H1200" s="62" t="n"/>
      <c r="I1200" s="62" t="n"/>
      <c r="J1200" s="62" t="n"/>
      <c r="K1200" s="62" t="n"/>
      <c r="L1200" s="64" t="n"/>
      <c r="M1200" s="64" t="n"/>
      <c r="N1200" s="62" t="n"/>
      <c r="O1200" s="65">
        <f>IF(Z1200=1,L1200-W1200,"")</f>
        <v/>
      </c>
      <c r="P1200" s="66">
        <f>IF(V1200="","",IFERROR(INDEX(coa_Type,MATCH(V1200,coa_Name,0)),""))</f>
        <v/>
      </c>
      <c r="Q1200" s="66">
        <f>IF(Z1200=1,IF(U1200="In",K1200&amp;"",V1200),"")</f>
        <v/>
      </c>
      <c r="R1200" s="66">
        <f>IF(Z1200=1,IF(U1200="In",V1200,K1200&amp;""),"")</f>
        <v/>
      </c>
      <c r="S1200" s="66">
        <f>IF(X1200&lt;&gt;"","⛔ "&amp;X1200&amp;" — not posted",IF(Y1200&lt;&gt;"","⚠ "&amp;Y1200,IF(Z1200=1,"✓ OK","")))</f>
        <v/>
      </c>
      <c r="T1200" s="67">
        <f>IF(AND(C1200="",D1200="",E1200="",L1200="",K1200=""),1,0)</f>
        <v/>
      </c>
      <c r="U1200" s="67">
        <f>IFERROR(INDEX(tt_Dir,MATCH(D1200,tt_Type,0)),"")</f>
        <v/>
      </c>
      <c r="V1200" s="67">
        <f>IF(D1200="","",IFERROR(IF(INDEX(tt_Other,MATCH(D1200,tt_Type,0))="",E1200&amp;"",INDEX(tt_Other,MATCH(D1200,tt_Type,0))),""))</f>
        <v/>
      </c>
      <c r="W1200" s="68">
        <f>IF(OR(TaxOn&lt;&gt;"Yes",NOT(ISNUMBER(M1200))),0,IF(IFERROR(INDEX(tt_Tax,MATCH(D1200,tt_Type,0)),"No")="Yes",M1200,0))</f>
        <v/>
      </c>
      <c r="X1200" s="67">
        <f>IF(T1200=1,"",IF(C1200="","Missing transaction date",IF(NOT(ISNUMBER(C1200)),"Invalid date",IF(OR(C1200&lt;DATE(2000,1,1),C1200&gt;DATE(2099,12,31)),"Invalid date",IF(D1200="","Select a type",IF(U1200="","Unknown type: "&amp;D1200,IF(V1200="","Select an account (Category)",IF(ISNA(MATCH(V1200,coa_Name,0)),"Unknown account: "&amp;V1200,IF(K1200="","Select Paid From / Deposited To",IF(ISNA(MATCH(K1200,coa_Name,0)),"Unknown account: "&amp;K1200,IF(NOT(ISNUMBER(L1200)),"Enter an amount",IF(L1200=0,"Enter an amount",IF(ABS(W1200)&gt;ABS(L1200),"Tax is larger than the amount","")))))))))))))</f>
        <v/>
      </c>
      <c r="Y1200" s="67">
        <f>IF(OR(T1200=1,X1200&lt;&gt;""),"",IF(AND(B1200&lt;&gt;"",COUNTIF(tx_ID,B1200)&gt;1),"Duplicate transaction ID",IF(AND(L1200&lt;0,D1200&lt;&gt;"Adjustment"),"Negative amount — check this entry",IF(AND(D1200="Customer Payment",G1200=""),"Add the customer",IF(AND(D1200="Customer Payment",OR(J1200="",COUNTIF(ar_No,J1200&amp;"")=0)),"Invoice # in Reference not found on AR sheet",IF(AND(D1200="Bill Payment",H1200=""),"Add the vendor",IF(AND(D1200="Bill Payment",OR(J1200="",COUNTIFS(ap_No,J1200&amp;"",ap_Party,H1200&amp;"")=0)),"Bill # + vendor not found on AP sheet",IF(AND(ISNUMBER(M1200),N(M1200)&lt;&gt;0,W1200=0),"Tax ignored (tax tracking off, or not allowed for this type)",IF(V1200=K1200&amp;"","Same account on both sides",IF(AND(ISNUMBER(StartDate),C1200&lt;StartDate),"Date is before the accounting start date",IF(AND(D1200&lt;&gt;"Adjustment",IFERROR(INDEX(coa_Pay,MATCH(K1200&amp;"",coa_Name,0)),"")&lt;&gt;"Yes"),"Paid From / Deposited To is not a payment account","")))))))))))</f>
        <v/>
      </c>
      <c r="Z1200" s="67">
        <f>IF(AND(T1200=0,X1200=""),1,0)</f>
        <v/>
      </c>
      <c r="AA1200" s="68">
        <f>IF(Z1200=1,IF(U1200="In",L1200,L1200-W1200),0)</f>
        <v/>
      </c>
      <c r="AB1200" s="68">
        <f>IF(Z1200=1,IF(U1200="In",L1200-W1200,L1200),0)</f>
        <v/>
      </c>
      <c r="AC1200" s="68">
        <f>IF(AND(Z1200=1,U1200="Out"),W1200,0)</f>
        <v/>
      </c>
      <c r="AD1200" s="68">
        <f>IF(AND(Z1200=1,U1200="In"),W1200,0)</f>
        <v/>
      </c>
    </row>
    <row r="1201">
      <c r="B1201" s="62" t="inlineStr">
        <is>
          <t>TX-1195</t>
        </is>
      </c>
      <c r="C1201" s="63" t="n"/>
      <c r="D1201" s="62" t="n"/>
      <c r="E1201" s="62" t="n"/>
      <c r="F1201" s="62" t="n"/>
      <c r="G1201" s="62" t="n"/>
      <c r="H1201" s="62" t="n"/>
      <c r="I1201" s="62" t="n"/>
      <c r="J1201" s="62" t="n"/>
      <c r="K1201" s="62" t="n"/>
      <c r="L1201" s="64" t="n"/>
      <c r="M1201" s="64" t="n"/>
      <c r="N1201" s="62" t="n"/>
      <c r="O1201" s="65">
        <f>IF(Z1201=1,L1201-W1201,"")</f>
        <v/>
      </c>
      <c r="P1201" s="66">
        <f>IF(V1201="","",IFERROR(INDEX(coa_Type,MATCH(V1201,coa_Name,0)),""))</f>
        <v/>
      </c>
      <c r="Q1201" s="66">
        <f>IF(Z1201=1,IF(U1201="In",K1201&amp;"",V1201),"")</f>
        <v/>
      </c>
      <c r="R1201" s="66">
        <f>IF(Z1201=1,IF(U1201="In",V1201,K1201&amp;""),"")</f>
        <v/>
      </c>
      <c r="S1201" s="66">
        <f>IF(X1201&lt;&gt;"","⛔ "&amp;X1201&amp;" — not posted",IF(Y1201&lt;&gt;"","⚠ "&amp;Y1201,IF(Z1201=1,"✓ OK","")))</f>
        <v/>
      </c>
      <c r="T1201" s="67">
        <f>IF(AND(C1201="",D1201="",E1201="",L1201="",K1201=""),1,0)</f>
        <v/>
      </c>
      <c r="U1201" s="67">
        <f>IFERROR(INDEX(tt_Dir,MATCH(D1201,tt_Type,0)),"")</f>
        <v/>
      </c>
      <c r="V1201" s="67">
        <f>IF(D1201="","",IFERROR(IF(INDEX(tt_Other,MATCH(D1201,tt_Type,0))="",E1201&amp;"",INDEX(tt_Other,MATCH(D1201,tt_Type,0))),""))</f>
        <v/>
      </c>
      <c r="W1201" s="68">
        <f>IF(OR(TaxOn&lt;&gt;"Yes",NOT(ISNUMBER(M1201))),0,IF(IFERROR(INDEX(tt_Tax,MATCH(D1201,tt_Type,0)),"No")="Yes",M1201,0))</f>
        <v/>
      </c>
      <c r="X1201" s="67">
        <f>IF(T1201=1,"",IF(C1201="","Missing transaction date",IF(NOT(ISNUMBER(C1201)),"Invalid date",IF(OR(C1201&lt;DATE(2000,1,1),C1201&gt;DATE(2099,12,31)),"Invalid date",IF(D1201="","Select a type",IF(U1201="","Unknown type: "&amp;D1201,IF(V1201="","Select an account (Category)",IF(ISNA(MATCH(V1201,coa_Name,0)),"Unknown account: "&amp;V1201,IF(K1201="","Select Paid From / Deposited To",IF(ISNA(MATCH(K1201,coa_Name,0)),"Unknown account: "&amp;K1201,IF(NOT(ISNUMBER(L1201)),"Enter an amount",IF(L1201=0,"Enter an amount",IF(ABS(W1201)&gt;ABS(L1201),"Tax is larger than the amount","")))))))))))))</f>
        <v/>
      </c>
      <c r="Y1201" s="67">
        <f>IF(OR(T1201=1,X1201&lt;&gt;""),"",IF(AND(B1201&lt;&gt;"",COUNTIF(tx_ID,B1201)&gt;1),"Duplicate transaction ID",IF(AND(L1201&lt;0,D1201&lt;&gt;"Adjustment"),"Negative amount — check this entry",IF(AND(D1201="Customer Payment",G1201=""),"Add the customer",IF(AND(D1201="Customer Payment",OR(J1201="",COUNTIF(ar_No,J1201&amp;"")=0)),"Invoice # in Reference not found on AR sheet",IF(AND(D1201="Bill Payment",H1201=""),"Add the vendor",IF(AND(D1201="Bill Payment",OR(J1201="",COUNTIFS(ap_No,J1201&amp;"",ap_Party,H1201&amp;"")=0)),"Bill # + vendor not found on AP sheet",IF(AND(ISNUMBER(M1201),N(M1201)&lt;&gt;0,W1201=0),"Tax ignored (tax tracking off, or not allowed for this type)",IF(V1201=K1201&amp;"","Same account on both sides",IF(AND(ISNUMBER(StartDate),C1201&lt;StartDate),"Date is before the accounting start date",IF(AND(D1201&lt;&gt;"Adjustment",IFERROR(INDEX(coa_Pay,MATCH(K1201&amp;"",coa_Name,0)),"")&lt;&gt;"Yes"),"Paid From / Deposited To is not a payment account","")))))))))))</f>
        <v/>
      </c>
      <c r="Z1201" s="67">
        <f>IF(AND(T1201=0,X1201=""),1,0)</f>
        <v/>
      </c>
      <c r="AA1201" s="68">
        <f>IF(Z1201=1,IF(U1201="In",L1201,L1201-W1201),0)</f>
        <v/>
      </c>
      <c r="AB1201" s="68">
        <f>IF(Z1201=1,IF(U1201="In",L1201-W1201,L1201),0)</f>
        <v/>
      </c>
      <c r="AC1201" s="68">
        <f>IF(AND(Z1201=1,U1201="Out"),W1201,0)</f>
        <v/>
      </c>
      <c r="AD1201" s="68">
        <f>IF(AND(Z1201=1,U1201="In"),W1201,0)</f>
        <v/>
      </c>
    </row>
    <row r="1202">
      <c r="B1202" s="62" t="inlineStr">
        <is>
          <t>TX-1196</t>
        </is>
      </c>
      <c r="C1202" s="63" t="n"/>
      <c r="D1202" s="62" t="n"/>
      <c r="E1202" s="62" t="n"/>
      <c r="F1202" s="62" t="n"/>
      <c r="G1202" s="62" t="n"/>
      <c r="H1202" s="62" t="n"/>
      <c r="I1202" s="62" t="n"/>
      <c r="J1202" s="62" t="n"/>
      <c r="K1202" s="62" t="n"/>
      <c r="L1202" s="64" t="n"/>
      <c r="M1202" s="64" t="n"/>
      <c r="N1202" s="62" t="n"/>
      <c r="O1202" s="65">
        <f>IF(Z1202=1,L1202-W1202,"")</f>
        <v/>
      </c>
      <c r="P1202" s="66">
        <f>IF(V1202="","",IFERROR(INDEX(coa_Type,MATCH(V1202,coa_Name,0)),""))</f>
        <v/>
      </c>
      <c r="Q1202" s="66">
        <f>IF(Z1202=1,IF(U1202="In",K1202&amp;"",V1202),"")</f>
        <v/>
      </c>
      <c r="R1202" s="66">
        <f>IF(Z1202=1,IF(U1202="In",V1202,K1202&amp;""),"")</f>
        <v/>
      </c>
      <c r="S1202" s="66">
        <f>IF(X1202&lt;&gt;"","⛔ "&amp;X1202&amp;" — not posted",IF(Y1202&lt;&gt;"","⚠ "&amp;Y1202,IF(Z1202=1,"✓ OK","")))</f>
        <v/>
      </c>
      <c r="T1202" s="67">
        <f>IF(AND(C1202="",D1202="",E1202="",L1202="",K1202=""),1,0)</f>
        <v/>
      </c>
      <c r="U1202" s="67">
        <f>IFERROR(INDEX(tt_Dir,MATCH(D1202,tt_Type,0)),"")</f>
        <v/>
      </c>
      <c r="V1202" s="67">
        <f>IF(D1202="","",IFERROR(IF(INDEX(tt_Other,MATCH(D1202,tt_Type,0))="",E1202&amp;"",INDEX(tt_Other,MATCH(D1202,tt_Type,0))),""))</f>
        <v/>
      </c>
      <c r="W1202" s="68">
        <f>IF(OR(TaxOn&lt;&gt;"Yes",NOT(ISNUMBER(M1202))),0,IF(IFERROR(INDEX(tt_Tax,MATCH(D1202,tt_Type,0)),"No")="Yes",M1202,0))</f>
        <v/>
      </c>
      <c r="X1202" s="67">
        <f>IF(T1202=1,"",IF(C1202="","Missing transaction date",IF(NOT(ISNUMBER(C1202)),"Invalid date",IF(OR(C1202&lt;DATE(2000,1,1),C1202&gt;DATE(2099,12,31)),"Invalid date",IF(D1202="","Select a type",IF(U1202="","Unknown type: "&amp;D1202,IF(V1202="","Select an account (Category)",IF(ISNA(MATCH(V1202,coa_Name,0)),"Unknown account: "&amp;V1202,IF(K1202="","Select Paid From / Deposited To",IF(ISNA(MATCH(K1202,coa_Name,0)),"Unknown account: "&amp;K1202,IF(NOT(ISNUMBER(L1202)),"Enter an amount",IF(L1202=0,"Enter an amount",IF(ABS(W1202)&gt;ABS(L1202),"Tax is larger than the amount","")))))))))))))</f>
        <v/>
      </c>
      <c r="Y1202" s="67">
        <f>IF(OR(T1202=1,X1202&lt;&gt;""),"",IF(AND(B1202&lt;&gt;"",COUNTIF(tx_ID,B1202)&gt;1),"Duplicate transaction ID",IF(AND(L1202&lt;0,D1202&lt;&gt;"Adjustment"),"Negative amount — check this entry",IF(AND(D1202="Customer Payment",G1202=""),"Add the customer",IF(AND(D1202="Customer Payment",OR(J1202="",COUNTIF(ar_No,J1202&amp;"")=0)),"Invoice # in Reference not found on AR sheet",IF(AND(D1202="Bill Payment",H1202=""),"Add the vendor",IF(AND(D1202="Bill Payment",OR(J1202="",COUNTIFS(ap_No,J1202&amp;"",ap_Party,H1202&amp;"")=0)),"Bill # + vendor not found on AP sheet",IF(AND(ISNUMBER(M1202),N(M1202)&lt;&gt;0,W1202=0),"Tax ignored (tax tracking off, or not allowed for this type)",IF(V1202=K1202&amp;"","Same account on both sides",IF(AND(ISNUMBER(StartDate),C1202&lt;StartDate),"Date is before the accounting start date",IF(AND(D1202&lt;&gt;"Adjustment",IFERROR(INDEX(coa_Pay,MATCH(K1202&amp;"",coa_Name,0)),"")&lt;&gt;"Yes"),"Paid From / Deposited To is not a payment account","")))))))))))</f>
        <v/>
      </c>
      <c r="Z1202" s="67">
        <f>IF(AND(T1202=0,X1202=""),1,0)</f>
        <v/>
      </c>
      <c r="AA1202" s="68">
        <f>IF(Z1202=1,IF(U1202="In",L1202,L1202-W1202),0)</f>
        <v/>
      </c>
      <c r="AB1202" s="68">
        <f>IF(Z1202=1,IF(U1202="In",L1202-W1202,L1202),0)</f>
        <v/>
      </c>
      <c r="AC1202" s="68">
        <f>IF(AND(Z1202=1,U1202="Out"),W1202,0)</f>
        <v/>
      </c>
      <c r="AD1202" s="68">
        <f>IF(AND(Z1202=1,U1202="In"),W1202,0)</f>
        <v/>
      </c>
    </row>
    <row r="1203">
      <c r="B1203" s="62" t="inlineStr">
        <is>
          <t>TX-1197</t>
        </is>
      </c>
      <c r="C1203" s="63" t="n"/>
      <c r="D1203" s="62" t="n"/>
      <c r="E1203" s="62" t="n"/>
      <c r="F1203" s="62" t="n"/>
      <c r="G1203" s="62" t="n"/>
      <c r="H1203" s="62" t="n"/>
      <c r="I1203" s="62" t="n"/>
      <c r="J1203" s="62" t="n"/>
      <c r="K1203" s="62" t="n"/>
      <c r="L1203" s="64" t="n"/>
      <c r="M1203" s="64" t="n"/>
      <c r="N1203" s="62" t="n"/>
      <c r="O1203" s="65">
        <f>IF(Z1203=1,L1203-W1203,"")</f>
        <v/>
      </c>
      <c r="P1203" s="66">
        <f>IF(V1203="","",IFERROR(INDEX(coa_Type,MATCH(V1203,coa_Name,0)),""))</f>
        <v/>
      </c>
      <c r="Q1203" s="66">
        <f>IF(Z1203=1,IF(U1203="In",K1203&amp;"",V1203),"")</f>
        <v/>
      </c>
      <c r="R1203" s="66">
        <f>IF(Z1203=1,IF(U1203="In",V1203,K1203&amp;""),"")</f>
        <v/>
      </c>
      <c r="S1203" s="66">
        <f>IF(X1203&lt;&gt;"","⛔ "&amp;X1203&amp;" — not posted",IF(Y1203&lt;&gt;"","⚠ "&amp;Y1203,IF(Z1203=1,"✓ OK","")))</f>
        <v/>
      </c>
      <c r="T1203" s="67">
        <f>IF(AND(C1203="",D1203="",E1203="",L1203="",K1203=""),1,0)</f>
        <v/>
      </c>
      <c r="U1203" s="67">
        <f>IFERROR(INDEX(tt_Dir,MATCH(D1203,tt_Type,0)),"")</f>
        <v/>
      </c>
      <c r="V1203" s="67">
        <f>IF(D1203="","",IFERROR(IF(INDEX(tt_Other,MATCH(D1203,tt_Type,0))="",E1203&amp;"",INDEX(tt_Other,MATCH(D1203,tt_Type,0))),""))</f>
        <v/>
      </c>
      <c r="W1203" s="68">
        <f>IF(OR(TaxOn&lt;&gt;"Yes",NOT(ISNUMBER(M1203))),0,IF(IFERROR(INDEX(tt_Tax,MATCH(D1203,tt_Type,0)),"No")="Yes",M1203,0))</f>
        <v/>
      </c>
      <c r="X1203" s="67">
        <f>IF(T1203=1,"",IF(C1203="","Missing transaction date",IF(NOT(ISNUMBER(C1203)),"Invalid date",IF(OR(C1203&lt;DATE(2000,1,1),C1203&gt;DATE(2099,12,31)),"Invalid date",IF(D1203="","Select a type",IF(U1203="","Unknown type: "&amp;D1203,IF(V1203="","Select an account (Category)",IF(ISNA(MATCH(V1203,coa_Name,0)),"Unknown account: "&amp;V1203,IF(K1203="","Select Paid From / Deposited To",IF(ISNA(MATCH(K1203,coa_Name,0)),"Unknown account: "&amp;K1203,IF(NOT(ISNUMBER(L1203)),"Enter an amount",IF(L1203=0,"Enter an amount",IF(ABS(W1203)&gt;ABS(L1203),"Tax is larger than the amount","")))))))))))))</f>
        <v/>
      </c>
      <c r="Y1203" s="67">
        <f>IF(OR(T1203=1,X1203&lt;&gt;""),"",IF(AND(B1203&lt;&gt;"",COUNTIF(tx_ID,B1203)&gt;1),"Duplicate transaction ID",IF(AND(L1203&lt;0,D1203&lt;&gt;"Adjustment"),"Negative amount — check this entry",IF(AND(D1203="Customer Payment",G1203=""),"Add the customer",IF(AND(D1203="Customer Payment",OR(J1203="",COUNTIF(ar_No,J1203&amp;"")=0)),"Invoice # in Reference not found on AR sheet",IF(AND(D1203="Bill Payment",H1203=""),"Add the vendor",IF(AND(D1203="Bill Payment",OR(J1203="",COUNTIFS(ap_No,J1203&amp;"",ap_Party,H1203&amp;"")=0)),"Bill # + vendor not found on AP sheet",IF(AND(ISNUMBER(M1203),N(M1203)&lt;&gt;0,W1203=0),"Tax ignored (tax tracking off, or not allowed for this type)",IF(V1203=K1203&amp;"","Same account on both sides",IF(AND(ISNUMBER(StartDate),C1203&lt;StartDate),"Date is before the accounting start date",IF(AND(D1203&lt;&gt;"Adjustment",IFERROR(INDEX(coa_Pay,MATCH(K1203&amp;"",coa_Name,0)),"")&lt;&gt;"Yes"),"Paid From / Deposited To is not a payment account","")))))))))))</f>
        <v/>
      </c>
      <c r="Z1203" s="67">
        <f>IF(AND(T1203=0,X1203=""),1,0)</f>
        <v/>
      </c>
      <c r="AA1203" s="68">
        <f>IF(Z1203=1,IF(U1203="In",L1203,L1203-W1203),0)</f>
        <v/>
      </c>
      <c r="AB1203" s="68">
        <f>IF(Z1203=1,IF(U1203="In",L1203-W1203,L1203),0)</f>
        <v/>
      </c>
      <c r="AC1203" s="68">
        <f>IF(AND(Z1203=1,U1203="Out"),W1203,0)</f>
        <v/>
      </c>
      <c r="AD1203" s="68">
        <f>IF(AND(Z1203=1,U1203="In"),W1203,0)</f>
        <v/>
      </c>
    </row>
    <row r="1204">
      <c r="B1204" s="62" t="inlineStr">
        <is>
          <t>TX-1198</t>
        </is>
      </c>
      <c r="C1204" s="63" t="n"/>
      <c r="D1204" s="62" t="n"/>
      <c r="E1204" s="62" t="n"/>
      <c r="F1204" s="62" t="n"/>
      <c r="G1204" s="62" t="n"/>
      <c r="H1204" s="62" t="n"/>
      <c r="I1204" s="62" t="n"/>
      <c r="J1204" s="62" t="n"/>
      <c r="K1204" s="62" t="n"/>
      <c r="L1204" s="64" t="n"/>
      <c r="M1204" s="64" t="n"/>
      <c r="N1204" s="62" t="n"/>
      <c r="O1204" s="65">
        <f>IF(Z1204=1,L1204-W1204,"")</f>
        <v/>
      </c>
      <c r="P1204" s="66">
        <f>IF(V1204="","",IFERROR(INDEX(coa_Type,MATCH(V1204,coa_Name,0)),""))</f>
        <v/>
      </c>
      <c r="Q1204" s="66">
        <f>IF(Z1204=1,IF(U1204="In",K1204&amp;"",V1204),"")</f>
        <v/>
      </c>
      <c r="R1204" s="66">
        <f>IF(Z1204=1,IF(U1204="In",V1204,K1204&amp;""),"")</f>
        <v/>
      </c>
      <c r="S1204" s="66">
        <f>IF(X1204&lt;&gt;"","⛔ "&amp;X1204&amp;" — not posted",IF(Y1204&lt;&gt;"","⚠ "&amp;Y1204,IF(Z1204=1,"✓ OK","")))</f>
        <v/>
      </c>
      <c r="T1204" s="67">
        <f>IF(AND(C1204="",D1204="",E1204="",L1204="",K1204=""),1,0)</f>
        <v/>
      </c>
      <c r="U1204" s="67">
        <f>IFERROR(INDEX(tt_Dir,MATCH(D1204,tt_Type,0)),"")</f>
        <v/>
      </c>
      <c r="V1204" s="67">
        <f>IF(D1204="","",IFERROR(IF(INDEX(tt_Other,MATCH(D1204,tt_Type,0))="",E1204&amp;"",INDEX(tt_Other,MATCH(D1204,tt_Type,0))),""))</f>
        <v/>
      </c>
      <c r="W1204" s="68">
        <f>IF(OR(TaxOn&lt;&gt;"Yes",NOT(ISNUMBER(M1204))),0,IF(IFERROR(INDEX(tt_Tax,MATCH(D1204,tt_Type,0)),"No")="Yes",M1204,0))</f>
        <v/>
      </c>
      <c r="X1204" s="67">
        <f>IF(T1204=1,"",IF(C1204="","Missing transaction date",IF(NOT(ISNUMBER(C1204)),"Invalid date",IF(OR(C1204&lt;DATE(2000,1,1),C1204&gt;DATE(2099,12,31)),"Invalid date",IF(D1204="","Select a type",IF(U1204="","Unknown type: "&amp;D1204,IF(V1204="","Select an account (Category)",IF(ISNA(MATCH(V1204,coa_Name,0)),"Unknown account: "&amp;V1204,IF(K1204="","Select Paid From / Deposited To",IF(ISNA(MATCH(K1204,coa_Name,0)),"Unknown account: "&amp;K1204,IF(NOT(ISNUMBER(L1204)),"Enter an amount",IF(L1204=0,"Enter an amount",IF(ABS(W1204)&gt;ABS(L1204),"Tax is larger than the amount","")))))))))))))</f>
        <v/>
      </c>
      <c r="Y1204" s="67">
        <f>IF(OR(T1204=1,X1204&lt;&gt;""),"",IF(AND(B1204&lt;&gt;"",COUNTIF(tx_ID,B1204)&gt;1),"Duplicate transaction ID",IF(AND(L1204&lt;0,D1204&lt;&gt;"Adjustment"),"Negative amount — check this entry",IF(AND(D1204="Customer Payment",G1204=""),"Add the customer",IF(AND(D1204="Customer Payment",OR(J1204="",COUNTIF(ar_No,J1204&amp;"")=0)),"Invoice # in Reference not found on AR sheet",IF(AND(D1204="Bill Payment",H1204=""),"Add the vendor",IF(AND(D1204="Bill Payment",OR(J1204="",COUNTIFS(ap_No,J1204&amp;"",ap_Party,H1204&amp;"")=0)),"Bill # + vendor not found on AP sheet",IF(AND(ISNUMBER(M1204),N(M1204)&lt;&gt;0,W1204=0),"Tax ignored (tax tracking off, or not allowed for this type)",IF(V1204=K1204&amp;"","Same account on both sides",IF(AND(ISNUMBER(StartDate),C1204&lt;StartDate),"Date is before the accounting start date",IF(AND(D1204&lt;&gt;"Adjustment",IFERROR(INDEX(coa_Pay,MATCH(K1204&amp;"",coa_Name,0)),"")&lt;&gt;"Yes"),"Paid From / Deposited To is not a payment account","")))))))))))</f>
        <v/>
      </c>
      <c r="Z1204" s="67">
        <f>IF(AND(T1204=0,X1204=""),1,0)</f>
        <v/>
      </c>
      <c r="AA1204" s="68">
        <f>IF(Z1204=1,IF(U1204="In",L1204,L1204-W1204),0)</f>
        <v/>
      </c>
      <c r="AB1204" s="68">
        <f>IF(Z1204=1,IF(U1204="In",L1204-W1204,L1204),0)</f>
        <v/>
      </c>
      <c r="AC1204" s="68">
        <f>IF(AND(Z1204=1,U1204="Out"),W1204,0)</f>
        <v/>
      </c>
      <c r="AD1204" s="68">
        <f>IF(AND(Z1204=1,U1204="In"),W1204,0)</f>
        <v/>
      </c>
    </row>
    <row r="1205">
      <c r="B1205" s="62" t="inlineStr">
        <is>
          <t>TX-1199</t>
        </is>
      </c>
      <c r="C1205" s="63" t="n"/>
      <c r="D1205" s="62" t="n"/>
      <c r="E1205" s="62" t="n"/>
      <c r="F1205" s="62" t="n"/>
      <c r="G1205" s="62" t="n"/>
      <c r="H1205" s="62" t="n"/>
      <c r="I1205" s="62" t="n"/>
      <c r="J1205" s="62" t="n"/>
      <c r="K1205" s="62" t="n"/>
      <c r="L1205" s="64" t="n"/>
      <c r="M1205" s="64" t="n"/>
      <c r="N1205" s="62" t="n"/>
      <c r="O1205" s="65">
        <f>IF(Z1205=1,L1205-W1205,"")</f>
        <v/>
      </c>
      <c r="P1205" s="66">
        <f>IF(V1205="","",IFERROR(INDEX(coa_Type,MATCH(V1205,coa_Name,0)),""))</f>
        <v/>
      </c>
      <c r="Q1205" s="66">
        <f>IF(Z1205=1,IF(U1205="In",K1205&amp;"",V1205),"")</f>
        <v/>
      </c>
      <c r="R1205" s="66">
        <f>IF(Z1205=1,IF(U1205="In",V1205,K1205&amp;""),"")</f>
        <v/>
      </c>
      <c r="S1205" s="66">
        <f>IF(X1205&lt;&gt;"","⛔ "&amp;X1205&amp;" — not posted",IF(Y1205&lt;&gt;"","⚠ "&amp;Y1205,IF(Z1205=1,"✓ OK","")))</f>
        <v/>
      </c>
      <c r="T1205" s="67">
        <f>IF(AND(C1205="",D1205="",E1205="",L1205="",K1205=""),1,0)</f>
        <v/>
      </c>
      <c r="U1205" s="67">
        <f>IFERROR(INDEX(tt_Dir,MATCH(D1205,tt_Type,0)),"")</f>
        <v/>
      </c>
      <c r="V1205" s="67">
        <f>IF(D1205="","",IFERROR(IF(INDEX(tt_Other,MATCH(D1205,tt_Type,0))="",E1205&amp;"",INDEX(tt_Other,MATCH(D1205,tt_Type,0))),""))</f>
        <v/>
      </c>
      <c r="W1205" s="68">
        <f>IF(OR(TaxOn&lt;&gt;"Yes",NOT(ISNUMBER(M1205))),0,IF(IFERROR(INDEX(tt_Tax,MATCH(D1205,tt_Type,0)),"No")="Yes",M1205,0))</f>
        <v/>
      </c>
      <c r="X1205" s="67">
        <f>IF(T1205=1,"",IF(C1205="","Missing transaction date",IF(NOT(ISNUMBER(C1205)),"Invalid date",IF(OR(C1205&lt;DATE(2000,1,1),C1205&gt;DATE(2099,12,31)),"Invalid date",IF(D1205="","Select a type",IF(U1205="","Unknown type: "&amp;D1205,IF(V1205="","Select an account (Category)",IF(ISNA(MATCH(V1205,coa_Name,0)),"Unknown account: "&amp;V1205,IF(K1205="","Select Paid From / Deposited To",IF(ISNA(MATCH(K1205,coa_Name,0)),"Unknown account: "&amp;K1205,IF(NOT(ISNUMBER(L1205)),"Enter an amount",IF(L1205=0,"Enter an amount",IF(ABS(W1205)&gt;ABS(L1205),"Tax is larger than the amount","")))))))))))))</f>
        <v/>
      </c>
      <c r="Y1205" s="67">
        <f>IF(OR(T1205=1,X1205&lt;&gt;""),"",IF(AND(B1205&lt;&gt;"",COUNTIF(tx_ID,B1205)&gt;1),"Duplicate transaction ID",IF(AND(L1205&lt;0,D1205&lt;&gt;"Adjustment"),"Negative amount — check this entry",IF(AND(D1205="Customer Payment",G1205=""),"Add the customer",IF(AND(D1205="Customer Payment",OR(J1205="",COUNTIF(ar_No,J1205&amp;"")=0)),"Invoice # in Reference not found on AR sheet",IF(AND(D1205="Bill Payment",H1205=""),"Add the vendor",IF(AND(D1205="Bill Payment",OR(J1205="",COUNTIFS(ap_No,J1205&amp;"",ap_Party,H1205&amp;"")=0)),"Bill # + vendor not found on AP sheet",IF(AND(ISNUMBER(M1205),N(M1205)&lt;&gt;0,W1205=0),"Tax ignored (tax tracking off, or not allowed for this type)",IF(V1205=K1205&amp;"","Same account on both sides",IF(AND(ISNUMBER(StartDate),C1205&lt;StartDate),"Date is before the accounting start date",IF(AND(D1205&lt;&gt;"Adjustment",IFERROR(INDEX(coa_Pay,MATCH(K1205&amp;"",coa_Name,0)),"")&lt;&gt;"Yes"),"Paid From / Deposited To is not a payment account","")))))))))))</f>
        <v/>
      </c>
      <c r="Z1205" s="67">
        <f>IF(AND(T1205=0,X1205=""),1,0)</f>
        <v/>
      </c>
      <c r="AA1205" s="68">
        <f>IF(Z1205=1,IF(U1205="In",L1205,L1205-W1205),0)</f>
        <v/>
      </c>
      <c r="AB1205" s="68">
        <f>IF(Z1205=1,IF(U1205="In",L1205-W1205,L1205),0)</f>
        <v/>
      </c>
      <c r="AC1205" s="68">
        <f>IF(AND(Z1205=1,U1205="Out"),W1205,0)</f>
        <v/>
      </c>
      <c r="AD1205" s="68">
        <f>IF(AND(Z1205=1,U1205="In"),W1205,0)</f>
        <v/>
      </c>
    </row>
    <row r="1206">
      <c r="B1206" s="62" t="inlineStr">
        <is>
          <t>TX-1200</t>
        </is>
      </c>
      <c r="C1206" s="63" t="n"/>
      <c r="D1206" s="62" t="n"/>
      <c r="E1206" s="62" t="n"/>
      <c r="F1206" s="62" t="n"/>
      <c r="G1206" s="62" t="n"/>
      <c r="H1206" s="62" t="n"/>
      <c r="I1206" s="62" t="n"/>
      <c r="J1206" s="62" t="n"/>
      <c r="K1206" s="62" t="n"/>
      <c r="L1206" s="64" t="n"/>
      <c r="M1206" s="64" t="n"/>
      <c r="N1206" s="62" t="n"/>
      <c r="O1206" s="65">
        <f>IF(Z1206=1,L1206-W1206,"")</f>
        <v/>
      </c>
      <c r="P1206" s="66">
        <f>IF(V1206="","",IFERROR(INDEX(coa_Type,MATCH(V1206,coa_Name,0)),""))</f>
        <v/>
      </c>
      <c r="Q1206" s="66">
        <f>IF(Z1206=1,IF(U1206="In",K1206&amp;"",V1206),"")</f>
        <v/>
      </c>
      <c r="R1206" s="66">
        <f>IF(Z1206=1,IF(U1206="In",V1206,K1206&amp;""),"")</f>
        <v/>
      </c>
      <c r="S1206" s="66">
        <f>IF(X1206&lt;&gt;"","⛔ "&amp;X1206&amp;" — not posted",IF(Y1206&lt;&gt;"","⚠ "&amp;Y1206,IF(Z1206=1,"✓ OK","")))</f>
        <v/>
      </c>
      <c r="T1206" s="67">
        <f>IF(AND(C1206="",D1206="",E1206="",L1206="",K1206=""),1,0)</f>
        <v/>
      </c>
      <c r="U1206" s="67">
        <f>IFERROR(INDEX(tt_Dir,MATCH(D1206,tt_Type,0)),"")</f>
        <v/>
      </c>
      <c r="V1206" s="67">
        <f>IF(D1206="","",IFERROR(IF(INDEX(tt_Other,MATCH(D1206,tt_Type,0))="",E1206&amp;"",INDEX(tt_Other,MATCH(D1206,tt_Type,0))),""))</f>
        <v/>
      </c>
      <c r="W1206" s="68">
        <f>IF(OR(TaxOn&lt;&gt;"Yes",NOT(ISNUMBER(M1206))),0,IF(IFERROR(INDEX(tt_Tax,MATCH(D1206,tt_Type,0)),"No")="Yes",M1206,0))</f>
        <v/>
      </c>
      <c r="X1206" s="67">
        <f>IF(T1206=1,"",IF(C1206="","Missing transaction date",IF(NOT(ISNUMBER(C1206)),"Invalid date",IF(OR(C1206&lt;DATE(2000,1,1),C1206&gt;DATE(2099,12,31)),"Invalid date",IF(D1206="","Select a type",IF(U1206="","Unknown type: "&amp;D1206,IF(V1206="","Select an account (Category)",IF(ISNA(MATCH(V1206,coa_Name,0)),"Unknown account: "&amp;V1206,IF(K1206="","Select Paid From / Deposited To",IF(ISNA(MATCH(K1206,coa_Name,0)),"Unknown account: "&amp;K1206,IF(NOT(ISNUMBER(L1206)),"Enter an amount",IF(L1206=0,"Enter an amount",IF(ABS(W1206)&gt;ABS(L1206),"Tax is larger than the amount","")))))))))))))</f>
        <v/>
      </c>
      <c r="Y1206" s="67">
        <f>IF(OR(T1206=1,X1206&lt;&gt;""),"",IF(AND(B1206&lt;&gt;"",COUNTIF(tx_ID,B1206)&gt;1),"Duplicate transaction ID",IF(AND(L1206&lt;0,D1206&lt;&gt;"Adjustment"),"Negative amount — check this entry",IF(AND(D1206="Customer Payment",G1206=""),"Add the customer",IF(AND(D1206="Customer Payment",OR(J1206="",COUNTIF(ar_No,J1206&amp;"")=0)),"Invoice # in Reference not found on AR sheet",IF(AND(D1206="Bill Payment",H1206=""),"Add the vendor",IF(AND(D1206="Bill Payment",OR(J1206="",COUNTIFS(ap_No,J1206&amp;"",ap_Party,H1206&amp;"")=0)),"Bill # + vendor not found on AP sheet",IF(AND(ISNUMBER(M1206),N(M1206)&lt;&gt;0,W1206=0),"Tax ignored (tax tracking off, or not allowed for this type)",IF(V1206=K1206&amp;"","Same account on both sides",IF(AND(ISNUMBER(StartDate),C1206&lt;StartDate),"Date is before the accounting start date",IF(AND(D1206&lt;&gt;"Adjustment",IFERROR(INDEX(coa_Pay,MATCH(K1206&amp;"",coa_Name,0)),"")&lt;&gt;"Yes"),"Paid From / Deposited To is not a payment account","")))))))))))</f>
        <v/>
      </c>
      <c r="Z1206" s="67">
        <f>IF(AND(T1206=0,X1206=""),1,0)</f>
        <v/>
      </c>
      <c r="AA1206" s="68">
        <f>IF(Z1206=1,IF(U1206="In",L1206,L1206-W1206),0)</f>
        <v/>
      </c>
      <c r="AB1206" s="68">
        <f>IF(Z1206=1,IF(U1206="In",L1206-W1206,L1206),0)</f>
        <v/>
      </c>
      <c r="AC1206" s="68">
        <f>IF(AND(Z1206=1,U1206="Out"),W1206,0)</f>
        <v/>
      </c>
      <c r="AD1206" s="68">
        <f>IF(AND(Z1206=1,U1206="In"),W1206,0)</f>
        <v/>
      </c>
    </row>
    <row r="1207">
      <c r="B1207" s="62" t="inlineStr">
        <is>
          <t>TX-1201</t>
        </is>
      </c>
      <c r="C1207" s="63" t="n"/>
      <c r="D1207" s="62" t="n"/>
      <c r="E1207" s="62" t="n"/>
      <c r="F1207" s="62" t="n"/>
      <c r="G1207" s="62" t="n"/>
      <c r="H1207" s="62" t="n"/>
      <c r="I1207" s="62" t="n"/>
      <c r="J1207" s="62" t="n"/>
      <c r="K1207" s="62" t="n"/>
      <c r="L1207" s="64" t="n"/>
      <c r="M1207" s="64" t="n"/>
      <c r="N1207" s="62" t="n"/>
      <c r="O1207" s="65">
        <f>IF(Z1207=1,L1207-W1207,"")</f>
        <v/>
      </c>
      <c r="P1207" s="66">
        <f>IF(V1207="","",IFERROR(INDEX(coa_Type,MATCH(V1207,coa_Name,0)),""))</f>
        <v/>
      </c>
      <c r="Q1207" s="66">
        <f>IF(Z1207=1,IF(U1207="In",K1207&amp;"",V1207),"")</f>
        <v/>
      </c>
      <c r="R1207" s="66">
        <f>IF(Z1207=1,IF(U1207="In",V1207,K1207&amp;""),"")</f>
        <v/>
      </c>
      <c r="S1207" s="66">
        <f>IF(X1207&lt;&gt;"","⛔ "&amp;X1207&amp;" — not posted",IF(Y1207&lt;&gt;"","⚠ "&amp;Y1207,IF(Z1207=1,"✓ OK","")))</f>
        <v/>
      </c>
      <c r="T1207" s="67">
        <f>IF(AND(C1207="",D1207="",E1207="",L1207="",K1207=""),1,0)</f>
        <v/>
      </c>
      <c r="U1207" s="67">
        <f>IFERROR(INDEX(tt_Dir,MATCH(D1207,tt_Type,0)),"")</f>
        <v/>
      </c>
      <c r="V1207" s="67">
        <f>IF(D1207="","",IFERROR(IF(INDEX(tt_Other,MATCH(D1207,tt_Type,0))="",E1207&amp;"",INDEX(tt_Other,MATCH(D1207,tt_Type,0))),""))</f>
        <v/>
      </c>
      <c r="W1207" s="68">
        <f>IF(OR(TaxOn&lt;&gt;"Yes",NOT(ISNUMBER(M1207))),0,IF(IFERROR(INDEX(tt_Tax,MATCH(D1207,tt_Type,0)),"No")="Yes",M1207,0))</f>
        <v/>
      </c>
      <c r="X1207" s="67">
        <f>IF(T1207=1,"",IF(C1207="","Missing transaction date",IF(NOT(ISNUMBER(C1207)),"Invalid date",IF(OR(C1207&lt;DATE(2000,1,1),C1207&gt;DATE(2099,12,31)),"Invalid date",IF(D1207="","Select a type",IF(U1207="","Unknown type: "&amp;D1207,IF(V1207="","Select an account (Category)",IF(ISNA(MATCH(V1207,coa_Name,0)),"Unknown account: "&amp;V1207,IF(K1207="","Select Paid From / Deposited To",IF(ISNA(MATCH(K1207,coa_Name,0)),"Unknown account: "&amp;K1207,IF(NOT(ISNUMBER(L1207)),"Enter an amount",IF(L1207=0,"Enter an amount",IF(ABS(W1207)&gt;ABS(L1207),"Tax is larger than the amount","")))))))))))))</f>
        <v/>
      </c>
      <c r="Y1207" s="67">
        <f>IF(OR(T1207=1,X1207&lt;&gt;""),"",IF(AND(B1207&lt;&gt;"",COUNTIF(tx_ID,B1207)&gt;1),"Duplicate transaction ID",IF(AND(L1207&lt;0,D1207&lt;&gt;"Adjustment"),"Negative amount — check this entry",IF(AND(D1207="Customer Payment",G1207=""),"Add the customer",IF(AND(D1207="Customer Payment",OR(J1207="",COUNTIF(ar_No,J1207&amp;"")=0)),"Invoice # in Reference not found on AR sheet",IF(AND(D1207="Bill Payment",H1207=""),"Add the vendor",IF(AND(D1207="Bill Payment",OR(J1207="",COUNTIFS(ap_No,J1207&amp;"",ap_Party,H1207&amp;"")=0)),"Bill # + vendor not found on AP sheet",IF(AND(ISNUMBER(M1207),N(M1207)&lt;&gt;0,W1207=0),"Tax ignored (tax tracking off, or not allowed for this type)",IF(V1207=K1207&amp;"","Same account on both sides",IF(AND(ISNUMBER(StartDate),C1207&lt;StartDate),"Date is before the accounting start date",IF(AND(D1207&lt;&gt;"Adjustment",IFERROR(INDEX(coa_Pay,MATCH(K1207&amp;"",coa_Name,0)),"")&lt;&gt;"Yes"),"Paid From / Deposited To is not a payment account","")))))))))))</f>
        <v/>
      </c>
      <c r="Z1207" s="67">
        <f>IF(AND(T1207=0,X1207=""),1,0)</f>
        <v/>
      </c>
      <c r="AA1207" s="68">
        <f>IF(Z1207=1,IF(U1207="In",L1207,L1207-W1207),0)</f>
        <v/>
      </c>
      <c r="AB1207" s="68">
        <f>IF(Z1207=1,IF(U1207="In",L1207-W1207,L1207),0)</f>
        <v/>
      </c>
      <c r="AC1207" s="68">
        <f>IF(AND(Z1207=1,U1207="Out"),W1207,0)</f>
        <v/>
      </c>
      <c r="AD1207" s="68">
        <f>IF(AND(Z1207=1,U1207="In"),W1207,0)</f>
        <v/>
      </c>
    </row>
    <row r="1208">
      <c r="B1208" s="62" t="inlineStr">
        <is>
          <t>TX-1202</t>
        </is>
      </c>
      <c r="C1208" s="63" t="n"/>
      <c r="D1208" s="62" t="n"/>
      <c r="E1208" s="62" t="n"/>
      <c r="F1208" s="62" t="n"/>
      <c r="G1208" s="62" t="n"/>
      <c r="H1208" s="62" t="n"/>
      <c r="I1208" s="62" t="n"/>
      <c r="J1208" s="62" t="n"/>
      <c r="K1208" s="62" t="n"/>
      <c r="L1208" s="64" t="n"/>
      <c r="M1208" s="64" t="n"/>
      <c r="N1208" s="62" t="n"/>
      <c r="O1208" s="65">
        <f>IF(Z1208=1,L1208-W1208,"")</f>
        <v/>
      </c>
      <c r="P1208" s="66">
        <f>IF(V1208="","",IFERROR(INDEX(coa_Type,MATCH(V1208,coa_Name,0)),""))</f>
        <v/>
      </c>
      <c r="Q1208" s="66">
        <f>IF(Z1208=1,IF(U1208="In",K1208&amp;"",V1208),"")</f>
        <v/>
      </c>
      <c r="R1208" s="66">
        <f>IF(Z1208=1,IF(U1208="In",V1208,K1208&amp;""),"")</f>
        <v/>
      </c>
      <c r="S1208" s="66">
        <f>IF(X1208&lt;&gt;"","⛔ "&amp;X1208&amp;" — not posted",IF(Y1208&lt;&gt;"","⚠ "&amp;Y1208,IF(Z1208=1,"✓ OK","")))</f>
        <v/>
      </c>
      <c r="T1208" s="67">
        <f>IF(AND(C1208="",D1208="",E1208="",L1208="",K1208=""),1,0)</f>
        <v/>
      </c>
      <c r="U1208" s="67">
        <f>IFERROR(INDEX(tt_Dir,MATCH(D1208,tt_Type,0)),"")</f>
        <v/>
      </c>
      <c r="V1208" s="67">
        <f>IF(D1208="","",IFERROR(IF(INDEX(tt_Other,MATCH(D1208,tt_Type,0))="",E1208&amp;"",INDEX(tt_Other,MATCH(D1208,tt_Type,0))),""))</f>
        <v/>
      </c>
      <c r="W1208" s="68">
        <f>IF(OR(TaxOn&lt;&gt;"Yes",NOT(ISNUMBER(M1208))),0,IF(IFERROR(INDEX(tt_Tax,MATCH(D1208,tt_Type,0)),"No")="Yes",M1208,0))</f>
        <v/>
      </c>
      <c r="X1208" s="67">
        <f>IF(T1208=1,"",IF(C1208="","Missing transaction date",IF(NOT(ISNUMBER(C1208)),"Invalid date",IF(OR(C1208&lt;DATE(2000,1,1),C1208&gt;DATE(2099,12,31)),"Invalid date",IF(D1208="","Select a type",IF(U1208="","Unknown type: "&amp;D1208,IF(V1208="","Select an account (Category)",IF(ISNA(MATCH(V1208,coa_Name,0)),"Unknown account: "&amp;V1208,IF(K1208="","Select Paid From / Deposited To",IF(ISNA(MATCH(K1208,coa_Name,0)),"Unknown account: "&amp;K1208,IF(NOT(ISNUMBER(L1208)),"Enter an amount",IF(L1208=0,"Enter an amount",IF(ABS(W1208)&gt;ABS(L1208),"Tax is larger than the amount","")))))))))))))</f>
        <v/>
      </c>
      <c r="Y1208" s="67">
        <f>IF(OR(T1208=1,X1208&lt;&gt;""),"",IF(AND(B1208&lt;&gt;"",COUNTIF(tx_ID,B1208)&gt;1),"Duplicate transaction ID",IF(AND(L1208&lt;0,D1208&lt;&gt;"Adjustment"),"Negative amount — check this entry",IF(AND(D1208="Customer Payment",G1208=""),"Add the customer",IF(AND(D1208="Customer Payment",OR(J1208="",COUNTIF(ar_No,J1208&amp;"")=0)),"Invoice # in Reference not found on AR sheet",IF(AND(D1208="Bill Payment",H1208=""),"Add the vendor",IF(AND(D1208="Bill Payment",OR(J1208="",COUNTIFS(ap_No,J1208&amp;"",ap_Party,H1208&amp;"")=0)),"Bill # + vendor not found on AP sheet",IF(AND(ISNUMBER(M1208),N(M1208)&lt;&gt;0,W1208=0),"Tax ignored (tax tracking off, or not allowed for this type)",IF(V1208=K1208&amp;"","Same account on both sides",IF(AND(ISNUMBER(StartDate),C1208&lt;StartDate),"Date is before the accounting start date",IF(AND(D1208&lt;&gt;"Adjustment",IFERROR(INDEX(coa_Pay,MATCH(K1208&amp;"",coa_Name,0)),"")&lt;&gt;"Yes"),"Paid From / Deposited To is not a payment account","")))))))))))</f>
        <v/>
      </c>
      <c r="Z1208" s="67">
        <f>IF(AND(T1208=0,X1208=""),1,0)</f>
        <v/>
      </c>
      <c r="AA1208" s="68">
        <f>IF(Z1208=1,IF(U1208="In",L1208,L1208-W1208),0)</f>
        <v/>
      </c>
      <c r="AB1208" s="68">
        <f>IF(Z1208=1,IF(U1208="In",L1208-W1208,L1208),0)</f>
        <v/>
      </c>
      <c r="AC1208" s="68">
        <f>IF(AND(Z1208=1,U1208="Out"),W1208,0)</f>
        <v/>
      </c>
      <c r="AD1208" s="68">
        <f>IF(AND(Z1208=1,U1208="In"),W1208,0)</f>
        <v/>
      </c>
    </row>
    <row r="1209">
      <c r="B1209" s="62" t="inlineStr">
        <is>
          <t>TX-1203</t>
        </is>
      </c>
      <c r="C1209" s="63" t="n"/>
      <c r="D1209" s="62" t="n"/>
      <c r="E1209" s="62" t="n"/>
      <c r="F1209" s="62" t="n"/>
      <c r="G1209" s="62" t="n"/>
      <c r="H1209" s="62" t="n"/>
      <c r="I1209" s="62" t="n"/>
      <c r="J1209" s="62" t="n"/>
      <c r="K1209" s="62" t="n"/>
      <c r="L1209" s="64" t="n"/>
      <c r="M1209" s="64" t="n"/>
      <c r="N1209" s="62" t="n"/>
      <c r="O1209" s="65">
        <f>IF(Z1209=1,L1209-W1209,"")</f>
        <v/>
      </c>
      <c r="P1209" s="66">
        <f>IF(V1209="","",IFERROR(INDEX(coa_Type,MATCH(V1209,coa_Name,0)),""))</f>
        <v/>
      </c>
      <c r="Q1209" s="66">
        <f>IF(Z1209=1,IF(U1209="In",K1209&amp;"",V1209),"")</f>
        <v/>
      </c>
      <c r="R1209" s="66">
        <f>IF(Z1209=1,IF(U1209="In",V1209,K1209&amp;""),"")</f>
        <v/>
      </c>
      <c r="S1209" s="66">
        <f>IF(X1209&lt;&gt;"","⛔ "&amp;X1209&amp;" — not posted",IF(Y1209&lt;&gt;"","⚠ "&amp;Y1209,IF(Z1209=1,"✓ OK","")))</f>
        <v/>
      </c>
      <c r="T1209" s="67">
        <f>IF(AND(C1209="",D1209="",E1209="",L1209="",K1209=""),1,0)</f>
        <v/>
      </c>
      <c r="U1209" s="67">
        <f>IFERROR(INDEX(tt_Dir,MATCH(D1209,tt_Type,0)),"")</f>
        <v/>
      </c>
      <c r="V1209" s="67">
        <f>IF(D1209="","",IFERROR(IF(INDEX(tt_Other,MATCH(D1209,tt_Type,0))="",E1209&amp;"",INDEX(tt_Other,MATCH(D1209,tt_Type,0))),""))</f>
        <v/>
      </c>
      <c r="W1209" s="68">
        <f>IF(OR(TaxOn&lt;&gt;"Yes",NOT(ISNUMBER(M1209))),0,IF(IFERROR(INDEX(tt_Tax,MATCH(D1209,tt_Type,0)),"No")="Yes",M1209,0))</f>
        <v/>
      </c>
      <c r="X1209" s="67">
        <f>IF(T1209=1,"",IF(C1209="","Missing transaction date",IF(NOT(ISNUMBER(C1209)),"Invalid date",IF(OR(C1209&lt;DATE(2000,1,1),C1209&gt;DATE(2099,12,31)),"Invalid date",IF(D1209="","Select a type",IF(U1209="","Unknown type: "&amp;D1209,IF(V1209="","Select an account (Category)",IF(ISNA(MATCH(V1209,coa_Name,0)),"Unknown account: "&amp;V1209,IF(K1209="","Select Paid From / Deposited To",IF(ISNA(MATCH(K1209,coa_Name,0)),"Unknown account: "&amp;K1209,IF(NOT(ISNUMBER(L1209)),"Enter an amount",IF(L1209=0,"Enter an amount",IF(ABS(W1209)&gt;ABS(L1209),"Tax is larger than the amount","")))))))))))))</f>
        <v/>
      </c>
      <c r="Y1209" s="67">
        <f>IF(OR(T1209=1,X1209&lt;&gt;""),"",IF(AND(B1209&lt;&gt;"",COUNTIF(tx_ID,B1209)&gt;1),"Duplicate transaction ID",IF(AND(L1209&lt;0,D1209&lt;&gt;"Adjustment"),"Negative amount — check this entry",IF(AND(D1209="Customer Payment",G1209=""),"Add the customer",IF(AND(D1209="Customer Payment",OR(J1209="",COUNTIF(ar_No,J1209&amp;"")=0)),"Invoice # in Reference not found on AR sheet",IF(AND(D1209="Bill Payment",H1209=""),"Add the vendor",IF(AND(D1209="Bill Payment",OR(J1209="",COUNTIFS(ap_No,J1209&amp;"",ap_Party,H1209&amp;"")=0)),"Bill # + vendor not found on AP sheet",IF(AND(ISNUMBER(M1209),N(M1209)&lt;&gt;0,W1209=0),"Tax ignored (tax tracking off, or not allowed for this type)",IF(V1209=K1209&amp;"","Same account on both sides",IF(AND(ISNUMBER(StartDate),C1209&lt;StartDate),"Date is before the accounting start date",IF(AND(D1209&lt;&gt;"Adjustment",IFERROR(INDEX(coa_Pay,MATCH(K1209&amp;"",coa_Name,0)),"")&lt;&gt;"Yes"),"Paid From / Deposited To is not a payment account","")))))))))))</f>
        <v/>
      </c>
      <c r="Z1209" s="67">
        <f>IF(AND(T1209=0,X1209=""),1,0)</f>
        <v/>
      </c>
      <c r="AA1209" s="68">
        <f>IF(Z1209=1,IF(U1209="In",L1209,L1209-W1209),0)</f>
        <v/>
      </c>
      <c r="AB1209" s="68">
        <f>IF(Z1209=1,IF(U1209="In",L1209-W1209,L1209),0)</f>
        <v/>
      </c>
      <c r="AC1209" s="68">
        <f>IF(AND(Z1209=1,U1209="Out"),W1209,0)</f>
        <v/>
      </c>
      <c r="AD1209" s="68">
        <f>IF(AND(Z1209=1,U1209="In"),W1209,0)</f>
        <v/>
      </c>
    </row>
    <row r="1210">
      <c r="B1210" s="62" t="inlineStr">
        <is>
          <t>TX-1204</t>
        </is>
      </c>
      <c r="C1210" s="63" t="n"/>
      <c r="D1210" s="62" t="n"/>
      <c r="E1210" s="62" t="n"/>
      <c r="F1210" s="62" t="n"/>
      <c r="G1210" s="62" t="n"/>
      <c r="H1210" s="62" t="n"/>
      <c r="I1210" s="62" t="n"/>
      <c r="J1210" s="62" t="n"/>
      <c r="K1210" s="62" t="n"/>
      <c r="L1210" s="64" t="n"/>
      <c r="M1210" s="64" t="n"/>
      <c r="N1210" s="62" t="n"/>
      <c r="O1210" s="65">
        <f>IF(Z1210=1,L1210-W1210,"")</f>
        <v/>
      </c>
      <c r="P1210" s="66">
        <f>IF(V1210="","",IFERROR(INDEX(coa_Type,MATCH(V1210,coa_Name,0)),""))</f>
        <v/>
      </c>
      <c r="Q1210" s="66">
        <f>IF(Z1210=1,IF(U1210="In",K1210&amp;"",V1210),"")</f>
        <v/>
      </c>
      <c r="R1210" s="66">
        <f>IF(Z1210=1,IF(U1210="In",V1210,K1210&amp;""),"")</f>
        <v/>
      </c>
      <c r="S1210" s="66">
        <f>IF(X1210&lt;&gt;"","⛔ "&amp;X1210&amp;" — not posted",IF(Y1210&lt;&gt;"","⚠ "&amp;Y1210,IF(Z1210=1,"✓ OK","")))</f>
        <v/>
      </c>
      <c r="T1210" s="67">
        <f>IF(AND(C1210="",D1210="",E1210="",L1210="",K1210=""),1,0)</f>
        <v/>
      </c>
      <c r="U1210" s="67">
        <f>IFERROR(INDEX(tt_Dir,MATCH(D1210,tt_Type,0)),"")</f>
        <v/>
      </c>
      <c r="V1210" s="67">
        <f>IF(D1210="","",IFERROR(IF(INDEX(tt_Other,MATCH(D1210,tt_Type,0))="",E1210&amp;"",INDEX(tt_Other,MATCH(D1210,tt_Type,0))),""))</f>
        <v/>
      </c>
      <c r="W1210" s="68">
        <f>IF(OR(TaxOn&lt;&gt;"Yes",NOT(ISNUMBER(M1210))),0,IF(IFERROR(INDEX(tt_Tax,MATCH(D1210,tt_Type,0)),"No")="Yes",M1210,0))</f>
        <v/>
      </c>
      <c r="X1210" s="67">
        <f>IF(T1210=1,"",IF(C1210="","Missing transaction date",IF(NOT(ISNUMBER(C1210)),"Invalid date",IF(OR(C1210&lt;DATE(2000,1,1),C1210&gt;DATE(2099,12,31)),"Invalid date",IF(D1210="","Select a type",IF(U1210="","Unknown type: "&amp;D1210,IF(V1210="","Select an account (Category)",IF(ISNA(MATCH(V1210,coa_Name,0)),"Unknown account: "&amp;V1210,IF(K1210="","Select Paid From / Deposited To",IF(ISNA(MATCH(K1210,coa_Name,0)),"Unknown account: "&amp;K1210,IF(NOT(ISNUMBER(L1210)),"Enter an amount",IF(L1210=0,"Enter an amount",IF(ABS(W1210)&gt;ABS(L1210),"Tax is larger than the amount","")))))))))))))</f>
        <v/>
      </c>
      <c r="Y1210" s="67">
        <f>IF(OR(T1210=1,X1210&lt;&gt;""),"",IF(AND(B1210&lt;&gt;"",COUNTIF(tx_ID,B1210)&gt;1),"Duplicate transaction ID",IF(AND(L1210&lt;0,D1210&lt;&gt;"Adjustment"),"Negative amount — check this entry",IF(AND(D1210="Customer Payment",G1210=""),"Add the customer",IF(AND(D1210="Customer Payment",OR(J1210="",COUNTIF(ar_No,J1210&amp;"")=0)),"Invoice # in Reference not found on AR sheet",IF(AND(D1210="Bill Payment",H1210=""),"Add the vendor",IF(AND(D1210="Bill Payment",OR(J1210="",COUNTIFS(ap_No,J1210&amp;"",ap_Party,H1210&amp;"")=0)),"Bill # + vendor not found on AP sheet",IF(AND(ISNUMBER(M1210),N(M1210)&lt;&gt;0,W1210=0),"Tax ignored (tax tracking off, or not allowed for this type)",IF(V1210=K1210&amp;"","Same account on both sides",IF(AND(ISNUMBER(StartDate),C1210&lt;StartDate),"Date is before the accounting start date",IF(AND(D1210&lt;&gt;"Adjustment",IFERROR(INDEX(coa_Pay,MATCH(K1210&amp;"",coa_Name,0)),"")&lt;&gt;"Yes"),"Paid From / Deposited To is not a payment account","")))))))))))</f>
        <v/>
      </c>
      <c r="Z1210" s="67">
        <f>IF(AND(T1210=0,X1210=""),1,0)</f>
        <v/>
      </c>
      <c r="AA1210" s="68">
        <f>IF(Z1210=1,IF(U1210="In",L1210,L1210-W1210),0)</f>
        <v/>
      </c>
      <c r="AB1210" s="68">
        <f>IF(Z1210=1,IF(U1210="In",L1210-W1210,L1210),0)</f>
        <v/>
      </c>
      <c r="AC1210" s="68">
        <f>IF(AND(Z1210=1,U1210="Out"),W1210,0)</f>
        <v/>
      </c>
      <c r="AD1210" s="68">
        <f>IF(AND(Z1210=1,U1210="In"),W1210,0)</f>
        <v/>
      </c>
    </row>
    <row r="1211">
      <c r="B1211" s="62" t="inlineStr">
        <is>
          <t>TX-1205</t>
        </is>
      </c>
      <c r="C1211" s="63" t="n"/>
      <c r="D1211" s="62" t="n"/>
      <c r="E1211" s="62" t="n"/>
      <c r="F1211" s="62" t="n"/>
      <c r="G1211" s="62" t="n"/>
      <c r="H1211" s="62" t="n"/>
      <c r="I1211" s="62" t="n"/>
      <c r="J1211" s="62" t="n"/>
      <c r="K1211" s="62" t="n"/>
      <c r="L1211" s="64" t="n"/>
      <c r="M1211" s="64" t="n"/>
      <c r="N1211" s="62" t="n"/>
      <c r="O1211" s="65">
        <f>IF(Z1211=1,L1211-W1211,"")</f>
        <v/>
      </c>
      <c r="P1211" s="66">
        <f>IF(V1211="","",IFERROR(INDEX(coa_Type,MATCH(V1211,coa_Name,0)),""))</f>
        <v/>
      </c>
      <c r="Q1211" s="66">
        <f>IF(Z1211=1,IF(U1211="In",K1211&amp;"",V1211),"")</f>
        <v/>
      </c>
      <c r="R1211" s="66">
        <f>IF(Z1211=1,IF(U1211="In",V1211,K1211&amp;""),"")</f>
        <v/>
      </c>
      <c r="S1211" s="66">
        <f>IF(X1211&lt;&gt;"","⛔ "&amp;X1211&amp;" — not posted",IF(Y1211&lt;&gt;"","⚠ "&amp;Y1211,IF(Z1211=1,"✓ OK","")))</f>
        <v/>
      </c>
      <c r="T1211" s="67">
        <f>IF(AND(C1211="",D1211="",E1211="",L1211="",K1211=""),1,0)</f>
        <v/>
      </c>
      <c r="U1211" s="67">
        <f>IFERROR(INDEX(tt_Dir,MATCH(D1211,tt_Type,0)),"")</f>
        <v/>
      </c>
      <c r="V1211" s="67">
        <f>IF(D1211="","",IFERROR(IF(INDEX(tt_Other,MATCH(D1211,tt_Type,0))="",E1211&amp;"",INDEX(tt_Other,MATCH(D1211,tt_Type,0))),""))</f>
        <v/>
      </c>
      <c r="W1211" s="68">
        <f>IF(OR(TaxOn&lt;&gt;"Yes",NOT(ISNUMBER(M1211))),0,IF(IFERROR(INDEX(tt_Tax,MATCH(D1211,tt_Type,0)),"No")="Yes",M1211,0))</f>
        <v/>
      </c>
      <c r="X1211" s="67">
        <f>IF(T1211=1,"",IF(C1211="","Missing transaction date",IF(NOT(ISNUMBER(C1211)),"Invalid date",IF(OR(C1211&lt;DATE(2000,1,1),C1211&gt;DATE(2099,12,31)),"Invalid date",IF(D1211="","Select a type",IF(U1211="","Unknown type: "&amp;D1211,IF(V1211="","Select an account (Category)",IF(ISNA(MATCH(V1211,coa_Name,0)),"Unknown account: "&amp;V1211,IF(K1211="","Select Paid From / Deposited To",IF(ISNA(MATCH(K1211,coa_Name,0)),"Unknown account: "&amp;K1211,IF(NOT(ISNUMBER(L1211)),"Enter an amount",IF(L1211=0,"Enter an amount",IF(ABS(W1211)&gt;ABS(L1211),"Tax is larger than the amount","")))))))))))))</f>
        <v/>
      </c>
      <c r="Y1211" s="67">
        <f>IF(OR(T1211=1,X1211&lt;&gt;""),"",IF(AND(B1211&lt;&gt;"",COUNTIF(tx_ID,B1211)&gt;1),"Duplicate transaction ID",IF(AND(L1211&lt;0,D1211&lt;&gt;"Adjustment"),"Negative amount — check this entry",IF(AND(D1211="Customer Payment",G1211=""),"Add the customer",IF(AND(D1211="Customer Payment",OR(J1211="",COUNTIF(ar_No,J1211&amp;"")=0)),"Invoice # in Reference not found on AR sheet",IF(AND(D1211="Bill Payment",H1211=""),"Add the vendor",IF(AND(D1211="Bill Payment",OR(J1211="",COUNTIFS(ap_No,J1211&amp;"",ap_Party,H1211&amp;"")=0)),"Bill # + vendor not found on AP sheet",IF(AND(ISNUMBER(M1211),N(M1211)&lt;&gt;0,W1211=0),"Tax ignored (tax tracking off, or not allowed for this type)",IF(V1211=K1211&amp;"","Same account on both sides",IF(AND(ISNUMBER(StartDate),C1211&lt;StartDate),"Date is before the accounting start date",IF(AND(D1211&lt;&gt;"Adjustment",IFERROR(INDEX(coa_Pay,MATCH(K1211&amp;"",coa_Name,0)),"")&lt;&gt;"Yes"),"Paid From / Deposited To is not a payment account","")))))))))))</f>
        <v/>
      </c>
      <c r="Z1211" s="67">
        <f>IF(AND(T1211=0,X1211=""),1,0)</f>
        <v/>
      </c>
      <c r="AA1211" s="68">
        <f>IF(Z1211=1,IF(U1211="In",L1211,L1211-W1211),0)</f>
        <v/>
      </c>
      <c r="AB1211" s="68">
        <f>IF(Z1211=1,IF(U1211="In",L1211-W1211,L1211),0)</f>
        <v/>
      </c>
      <c r="AC1211" s="68">
        <f>IF(AND(Z1211=1,U1211="Out"),W1211,0)</f>
        <v/>
      </c>
      <c r="AD1211" s="68">
        <f>IF(AND(Z1211=1,U1211="In"),W1211,0)</f>
        <v/>
      </c>
    </row>
    <row r="1212">
      <c r="B1212" s="62" t="inlineStr">
        <is>
          <t>TX-1206</t>
        </is>
      </c>
      <c r="C1212" s="63" t="n"/>
      <c r="D1212" s="62" t="n"/>
      <c r="E1212" s="62" t="n"/>
      <c r="F1212" s="62" t="n"/>
      <c r="G1212" s="62" t="n"/>
      <c r="H1212" s="62" t="n"/>
      <c r="I1212" s="62" t="n"/>
      <c r="J1212" s="62" t="n"/>
      <c r="K1212" s="62" t="n"/>
      <c r="L1212" s="64" t="n"/>
      <c r="M1212" s="64" t="n"/>
      <c r="N1212" s="62" t="n"/>
      <c r="O1212" s="65">
        <f>IF(Z1212=1,L1212-W1212,"")</f>
        <v/>
      </c>
      <c r="P1212" s="66">
        <f>IF(V1212="","",IFERROR(INDEX(coa_Type,MATCH(V1212,coa_Name,0)),""))</f>
        <v/>
      </c>
      <c r="Q1212" s="66">
        <f>IF(Z1212=1,IF(U1212="In",K1212&amp;"",V1212),"")</f>
        <v/>
      </c>
      <c r="R1212" s="66">
        <f>IF(Z1212=1,IF(U1212="In",V1212,K1212&amp;""),"")</f>
        <v/>
      </c>
      <c r="S1212" s="66">
        <f>IF(X1212&lt;&gt;"","⛔ "&amp;X1212&amp;" — not posted",IF(Y1212&lt;&gt;"","⚠ "&amp;Y1212,IF(Z1212=1,"✓ OK","")))</f>
        <v/>
      </c>
      <c r="T1212" s="67">
        <f>IF(AND(C1212="",D1212="",E1212="",L1212="",K1212=""),1,0)</f>
        <v/>
      </c>
      <c r="U1212" s="67">
        <f>IFERROR(INDEX(tt_Dir,MATCH(D1212,tt_Type,0)),"")</f>
        <v/>
      </c>
      <c r="V1212" s="67">
        <f>IF(D1212="","",IFERROR(IF(INDEX(tt_Other,MATCH(D1212,tt_Type,0))="",E1212&amp;"",INDEX(tt_Other,MATCH(D1212,tt_Type,0))),""))</f>
        <v/>
      </c>
      <c r="W1212" s="68">
        <f>IF(OR(TaxOn&lt;&gt;"Yes",NOT(ISNUMBER(M1212))),0,IF(IFERROR(INDEX(tt_Tax,MATCH(D1212,tt_Type,0)),"No")="Yes",M1212,0))</f>
        <v/>
      </c>
      <c r="X1212" s="67">
        <f>IF(T1212=1,"",IF(C1212="","Missing transaction date",IF(NOT(ISNUMBER(C1212)),"Invalid date",IF(OR(C1212&lt;DATE(2000,1,1),C1212&gt;DATE(2099,12,31)),"Invalid date",IF(D1212="","Select a type",IF(U1212="","Unknown type: "&amp;D1212,IF(V1212="","Select an account (Category)",IF(ISNA(MATCH(V1212,coa_Name,0)),"Unknown account: "&amp;V1212,IF(K1212="","Select Paid From / Deposited To",IF(ISNA(MATCH(K1212,coa_Name,0)),"Unknown account: "&amp;K1212,IF(NOT(ISNUMBER(L1212)),"Enter an amount",IF(L1212=0,"Enter an amount",IF(ABS(W1212)&gt;ABS(L1212),"Tax is larger than the amount","")))))))))))))</f>
        <v/>
      </c>
      <c r="Y1212" s="67">
        <f>IF(OR(T1212=1,X1212&lt;&gt;""),"",IF(AND(B1212&lt;&gt;"",COUNTIF(tx_ID,B1212)&gt;1),"Duplicate transaction ID",IF(AND(L1212&lt;0,D1212&lt;&gt;"Adjustment"),"Negative amount — check this entry",IF(AND(D1212="Customer Payment",G1212=""),"Add the customer",IF(AND(D1212="Customer Payment",OR(J1212="",COUNTIF(ar_No,J1212&amp;"")=0)),"Invoice # in Reference not found on AR sheet",IF(AND(D1212="Bill Payment",H1212=""),"Add the vendor",IF(AND(D1212="Bill Payment",OR(J1212="",COUNTIFS(ap_No,J1212&amp;"",ap_Party,H1212&amp;"")=0)),"Bill # + vendor not found on AP sheet",IF(AND(ISNUMBER(M1212),N(M1212)&lt;&gt;0,W1212=0),"Tax ignored (tax tracking off, or not allowed for this type)",IF(V1212=K1212&amp;"","Same account on both sides",IF(AND(ISNUMBER(StartDate),C1212&lt;StartDate),"Date is before the accounting start date",IF(AND(D1212&lt;&gt;"Adjustment",IFERROR(INDEX(coa_Pay,MATCH(K1212&amp;"",coa_Name,0)),"")&lt;&gt;"Yes"),"Paid From / Deposited To is not a payment account","")))))))))))</f>
        <v/>
      </c>
      <c r="Z1212" s="67">
        <f>IF(AND(T1212=0,X1212=""),1,0)</f>
        <v/>
      </c>
      <c r="AA1212" s="68">
        <f>IF(Z1212=1,IF(U1212="In",L1212,L1212-W1212),0)</f>
        <v/>
      </c>
      <c r="AB1212" s="68">
        <f>IF(Z1212=1,IF(U1212="In",L1212-W1212,L1212),0)</f>
        <v/>
      </c>
      <c r="AC1212" s="68">
        <f>IF(AND(Z1212=1,U1212="Out"),W1212,0)</f>
        <v/>
      </c>
      <c r="AD1212" s="68">
        <f>IF(AND(Z1212=1,U1212="In"),W1212,0)</f>
        <v/>
      </c>
    </row>
    <row r="1213">
      <c r="B1213" s="62" t="inlineStr">
        <is>
          <t>TX-1207</t>
        </is>
      </c>
      <c r="C1213" s="63" t="n"/>
      <c r="D1213" s="62" t="n"/>
      <c r="E1213" s="62" t="n"/>
      <c r="F1213" s="62" t="n"/>
      <c r="G1213" s="62" t="n"/>
      <c r="H1213" s="62" t="n"/>
      <c r="I1213" s="62" t="n"/>
      <c r="J1213" s="62" t="n"/>
      <c r="K1213" s="62" t="n"/>
      <c r="L1213" s="64" t="n"/>
      <c r="M1213" s="64" t="n"/>
      <c r="N1213" s="62" t="n"/>
      <c r="O1213" s="65">
        <f>IF(Z1213=1,L1213-W1213,"")</f>
        <v/>
      </c>
      <c r="P1213" s="66">
        <f>IF(V1213="","",IFERROR(INDEX(coa_Type,MATCH(V1213,coa_Name,0)),""))</f>
        <v/>
      </c>
      <c r="Q1213" s="66">
        <f>IF(Z1213=1,IF(U1213="In",K1213&amp;"",V1213),"")</f>
        <v/>
      </c>
      <c r="R1213" s="66">
        <f>IF(Z1213=1,IF(U1213="In",V1213,K1213&amp;""),"")</f>
        <v/>
      </c>
      <c r="S1213" s="66">
        <f>IF(X1213&lt;&gt;"","⛔ "&amp;X1213&amp;" — not posted",IF(Y1213&lt;&gt;"","⚠ "&amp;Y1213,IF(Z1213=1,"✓ OK","")))</f>
        <v/>
      </c>
      <c r="T1213" s="67">
        <f>IF(AND(C1213="",D1213="",E1213="",L1213="",K1213=""),1,0)</f>
        <v/>
      </c>
      <c r="U1213" s="67">
        <f>IFERROR(INDEX(tt_Dir,MATCH(D1213,tt_Type,0)),"")</f>
        <v/>
      </c>
      <c r="V1213" s="67">
        <f>IF(D1213="","",IFERROR(IF(INDEX(tt_Other,MATCH(D1213,tt_Type,0))="",E1213&amp;"",INDEX(tt_Other,MATCH(D1213,tt_Type,0))),""))</f>
        <v/>
      </c>
      <c r="W1213" s="68">
        <f>IF(OR(TaxOn&lt;&gt;"Yes",NOT(ISNUMBER(M1213))),0,IF(IFERROR(INDEX(tt_Tax,MATCH(D1213,tt_Type,0)),"No")="Yes",M1213,0))</f>
        <v/>
      </c>
      <c r="X1213" s="67">
        <f>IF(T1213=1,"",IF(C1213="","Missing transaction date",IF(NOT(ISNUMBER(C1213)),"Invalid date",IF(OR(C1213&lt;DATE(2000,1,1),C1213&gt;DATE(2099,12,31)),"Invalid date",IF(D1213="","Select a type",IF(U1213="","Unknown type: "&amp;D1213,IF(V1213="","Select an account (Category)",IF(ISNA(MATCH(V1213,coa_Name,0)),"Unknown account: "&amp;V1213,IF(K1213="","Select Paid From / Deposited To",IF(ISNA(MATCH(K1213,coa_Name,0)),"Unknown account: "&amp;K1213,IF(NOT(ISNUMBER(L1213)),"Enter an amount",IF(L1213=0,"Enter an amount",IF(ABS(W1213)&gt;ABS(L1213),"Tax is larger than the amount","")))))))))))))</f>
        <v/>
      </c>
      <c r="Y1213" s="67">
        <f>IF(OR(T1213=1,X1213&lt;&gt;""),"",IF(AND(B1213&lt;&gt;"",COUNTIF(tx_ID,B1213)&gt;1),"Duplicate transaction ID",IF(AND(L1213&lt;0,D1213&lt;&gt;"Adjustment"),"Negative amount — check this entry",IF(AND(D1213="Customer Payment",G1213=""),"Add the customer",IF(AND(D1213="Customer Payment",OR(J1213="",COUNTIF(ar_No,J1213&amp;"")=0)),"Invoice # in Reference not found on AR sheet",IF(AND(D1213="Bill Payment",H1213=""),"Add the vendor",IF(AND(D1213="Bill Payment",OR(J1213="",COUNTIFS(ap_No,J1213&amp;"",ap_Party,H1213&amp;"")=0)),"Bill # + vendor not found on AP sheet",IF(AND(ISNUMBER(M1213),N(M1213)&lt;&gt;0,W1213=0),"Tax ignored (tax tracking off, or not allowed for this type)",IF(V1213=K1213&amp;"","Same account on both sides",IF(AND(ISNUMBER(StartDate),C1213&lt;StartDate),"Date is before the accounting start date",IF(AND(D1213&lt;&gt;"Adjustment",IFERROR(INDEX(coa_Pay,MATCH(K1213&amp;"",coa_Name,0)),"")&lt;&gt;"Yes"),"Paid From / Deposited To is not a payment account","")))))))))))</f>
        <v/>
      </c>
      <c r="Z1213" s="67">
        <f>IF(AND(T1213=0,X1213=""),1,0)</f>
        <v/>
      </c>
      <c r="AA1213" s="68">
        <f>IF(Z1213=1,IF(U1213="In",L1213,L1213-W1213),0)</f>
        <v/>
      </c>
      <c r="AB1213" s="68">
        <f>IF(Z1213=1,IF(U1213="In",L1213-W1213,L1213),0)</f>
        <v/>
      </c>
      <c r="AC1213" s="68">
        <f>IF(AND(Z1213=1,U1213="Out"),W1213,0)</f>
        <v/>
      </c>
      <c r="AD1213" s="68">
        <f>IF(AND(Z1213=1,U1213="In"),W1213,0)</f>
        <v/>
      </c>
    </row>
    <row r="1214">
      <c r="B1214" s="62" t="inlineStr">
        <is>
          <t>TX-1208</t>
        </is>
      </c>
      <c r="C1214" s="63" t="n"/>
      <c r="D1214" s="62" t="n"/>
      <c r="E1214" s="62" t="n"/>
      <c r="F1214" s="62" t="n"/>
      <c r="G1214" s="62" t="n"/>
      <c r="H1214" s="62" t="n"/>
      <c r="I1214" s="62" t="n"/>
      <c r="J1214" s="62" t="n"/>
      <c r="K1214" s="62" t="n"/>
      <c r="L1214" s="64" t="n"/>
      <c r="M1214" s="64" t="n"/>
      <c r="N1214" s="62" t="n"/>
      <c r="O1214" s="65">
        <f>IF(Z1214=1,L1214-W1214,"")</f>
        <v/>
      </c>
      <c r="P1214" s="66">
        <f>IF(V1214="","",IFERROR(INDEX(coa_Type,MATCH(V1214,coa_Name,0)),""))</f>
        <v/>
      </c>
      <c r="Q1214" s="66">
        <f>IF(Z1214=1,IF(U1214="In",K1214&amp;"",V1214),"")</f>
        <v/>
      </c>
      <c r="R1214" s="66">
        <f>IF(Z1214=1,IF(U1214="In",V1214,K1214&amp;""),"")</f>
        <v/>
      </c>
      <c r="S1214" s="66">
        <f>IF(X1214&lt;&gt;"","⛔ "&amp;X1214&amp;" — not posted",IF(Y1214&lt;&gt;"","⚠ "&amp;Y1214,IF(Z1214=1,"✓ OK","")))</f>
        <v/>
      </c>
      <c r="T1214" s="67">
        <f>IF(AND(C1214="",D1214="",E1214="",L1214="",K1214=""),1,0)</f>
        <v/>
      </c>
      <c r="U1214" s="67">
        <f>IFERROR(INDEX(tt_Dir,MATCH(D1214,tt_Type,0)),"")</f>
        <v/>
      </c>
      <c r="V1214" s="67">
        <f>IF(D1214="","",IFERROR(IF(INDEX(tt_Other,MATCH(D1214,tt_Type,0))="",E1214&amp;"",INDEX(tt_Other,MATCH(D1214,tt_Type,0))),""))</f>
        <v/>
      </c>
      <c r="W1214" s="68">
        <f>IF(OR(TaxOn&lt;&gt;"Yes",NOT(ISNUMBER(M1214))),0,IF(IFERROR(INDEX(tt_Tax,MATCH(D1214,tt_Type,0)),"No")="Yes",M1214,0))</f>
        <v/>
      </c>
      <c r="X1214" s="67">
        <f>IF(T1214=1,"",IF(C1214="","Missing transaction date",IF(NOT(ISNUMBER(C1214)),"Invalid date",IF(OR(C1214&lt;DATE(2000,1,1),C1214&gt;DATE(2099,12,31)),"Invalid date",IF(D1214="","Select a type",IF(U1214="","Unknown type: "&amp;D1214,IF(V1214="","Select an account (Category)",IF(ISNA(MATCH(V1214,coa_Name,0)),"Unknown account: "&amp;V1214,IF(K1214="","Select Paid From / Deposited To",IF(ISNA(MATCH(K1214,coa_Name,0)),"Unknown account: "&amp;K1214,IF(NOT(ISNUMBER(L1214)),"Enter an amount",IF(L1214=0,"Enter an amount",IF(ABS(W1214)&gt;ABS(L1214),"Tax is larger than the amount","")))))))))))))</f>
        <v/>
      </c>
      <c r="Y1214" s="67">
        <f>IF(OR(T1214=1,X1214&lt;&gt;""),"",IF(AND(B1214&lt;&gt;"",COUNTIF(tx_ID,B1214)&gt;1),"Duplicate transaction ID",IF(AND(L1214&lt;0,D1214&lt;&gt;"Adjustment"),"Negative amount — check this entry",IF(AND(D1214="Customer Payment",G1214=""),"Add the customer",IF(AND(D1214="Customer Payment",OR(J1214="",COUNTIF(ar_No,J1214&amp;"")=0)),"Invoice # in Reference not found on AR sheet",IF(AND(D1214="Bill Payment",H1214=""),"Add the vendor",IF(AND(D1214="Bill Payment",OR(J1214="",COUNTIFS(ap_No,J1214&amp;"",ap_Party,H1214&amp;"")=0)),"Bill # + vendor not found on AP sheet",IF(AND(ISNUMBER(M1214),N(M1214)&lt;&gt;0,W1214=0),"Tax ignored (tax tracking off, or not allowed for this type)",IF(V1214=K1214&amp;"","Same account on both sides",IF(AND(ISNUMBER(StartDate),C1214&lt;StartDate),"Date is before the accounting start date",IF(AND(D1214&lt;&gt;"Adjustment",IFERROR(INDEX(coa_Pay,MATCH(K1214&amp;"",coa_Name,0)),"")&lt;&gt;"Yes"),"Paid From / Deposited To is not a payment account","")))))))))))</f>
        <v/>
      </c>
      <c r="Z1214" s="67">
        <f>IF(AND(T1214=0,X1214=""),1,0)</f>
        <v/>
      </c>
      <c r="AA1214" s="68">
        <f>IF(Z1214=1,IF(U1214="In",L1214,L1214-W1214),0)</f>
        <v/>
      </c>
      <c r="AB1214" s="68">
        <f>IF(Z1214=1,IF(U1214="In",L1214-W1214,L1214),0)</f>
        <v/>
      </c>
      <c r="AC1214" s="68">
        <f>IF(AND(Z1214=1,U1214="Out"),W1214,0)</f>
        <v/>
      </c>
      <c r="AD1214" s="68">
        <f>IF(AND(Z1214=1,U1214="In"),W1214,0)</f>
        <v/>
      </c>
    </row>
    <row r="1215">
      <c r="B1215" s="62" t="inlineStr">
        <is>
          <t>TX-1209</t>
        </is>
      </c>
      <c r="C1215" s="63" t="n"/>
      <c r="D1215" s="62" t="n"/>
      <c r="E1215" s="62" t="n"/>
      <c r="F1215" s="62" t="n"/>
      <c r="G1215" s="62" t="n"/>
      <c r="H1215" s="62" t="n"/>
      <c r="I1215" s="62" t="n"/>
      <c r="J1215" s="62" t="n"/>
      <c r="K1215" s="62" t="n"/>
      <c r="L1215" s="64" t="n"/>
      <c r="M1215" s="64" t="n"/>
      <c r="N1215" s="62" t="n"/>
      <c r="O1215" s="65">
        <f>IF(Z1215=1,L1215-W1215,"")</f>
        <v/>
      </c>
      <c r="P1215" s="66">
        <f>IF(V1215="","",IFERROR(INDEX(coa_Type,MATCH(V1215,coa_Name,0)),""))</f>
        <v/>
      </c>
      <c r="Q1215" s="66">
        <f>IF(Z1215=1,IF(U1215="In",K1215&amp;"",V1215),"")</f>
        <v/>
      </c>
      <c r="R1215" s="66">
        <f>IF(Z1215=1,IF(U1215="In",V1215,K1215&amp;""),"")</f>
        <v/>
      </c>
      <c r="S1215" s="66">
        <f>IF(X1215&lt;&gt;"","⛔ "&amp;X1215&amp;" — not posted",IF(Y1215&lt;&gt;"","⚠ "&amp;Y1215,IF(Z1215=1,"✓ OK","")))</f>
        <v/>
      </c>
      <c r="T1215" s="67">
        <f>IF(AND(C1215="",D1215="",E1215="",L1215="",K1215=""),1,0)</f>
        <v/>
      </c>
      <c r="U1215" s="67">
        <f>IFERROR(INDEX(tt_Dir,MATCH(D1215,tt_Type,0)),"")</f>
        <v/>
      </c>
      <c r="V1215" s="67">
        <f>IF(D1215="","",IFERROR(IF(INDEX(tt_Other,MATCH(D1215,tt_Type,0))="",E1215&amp;"",INDEX(tt_Other,MATCH(D1215,tt_Type,0))),""))</f>
        <v/>
      </c>
      <c r="W1215" s="68">
        <f>IF(OR(TaxOn&lt;&gt;"Yes",NOT(ISNUMBER(M1215))),0,IF(IFERROR(INDEX(tt_Tax,MATCH(D1215,tt_Type,0)),"No")="Yes",M1215,0))</f>
        <v/>
      </c>
      <c r="X1215" s="67">
        <f>IF(T1215=1,"",IF(C1215="","Missing transaction date",IF(NOT(ISNUMBER(C1215)),"Invalid date",IF(OR(C1215&lt;DATE(2000,1,1),C1215&gt;DATE(2099,12,31)),"Invalid date",IF(D1215="","Select a type",IF(U1215="","Unknown type: "&amp;D1215,IF(V1215="","Select an account (Category)",IF(ISNA(MATCH(V1215,coa_Name,0)),"Unknown account: "&amp;V1215,IF(K1215="","Select Paid From / Deposited To",IF(ISNA(MATCH(K1215,coa_Name,0)),"Unknown account: "&amp;K1215,IF(NOT(ISNUMBER(L1215)),"Enter an amount",IF(L1215=0,"Enter an amount",IF(ABS(W1215)&gt;ABS(L1215),"Tax is larger than the amount","")))))))))))))</f>
        <v/>
      </c>
      <c r="Y1215" s="67">
        <f>IF(OR(T1215=1,X1215&lt;&gt;""),"",IF(AND(B1215&lt;&gt;"",COUNTIF(tx_ID,B1215)&gt;1),"Duplicate transaction ID",IF(AND(L1215&lt;0,D1215&lt;&gt;"Adjustment"),"Negative amount — check this entry",IF(AND(D1215="Customer Payment",G1215=""),"Add the customer",IF(AND(D1215="Customer Payment",OR(J1215="",COUNTIF(ar_No,J1215&amp;"")=0)),"Invoice # in Reference not found on AR sheet",IF(AND(D1215="Bill Payment",H1215=""),"Add the vendor",IF(AND(D1215="Bill Payment",OR(J1215="",COUNTIFS(ap_No,J1215&amp;"",ap_Party,H1215&amp;"")=0)),"Bill # + vendor not found on AP sheet",IF(AND(ISNUMBER(M1215),N(M1215)&lt;&gt;0,W1215=0),"Tax ignored (tax tracking off, or not allowed for this type)",IF(V1215=K1215&amp;"","Same account on both sides",IF(AND(ISNUMBER(StartDate),C1215&lt;StartDate),"Date is before the accounting start date",IF(AND(D1215&lt;&gt;"Adjustment",IFERROR(INDEX(coa_Pay,MATCH(K1215&amp;"",coa_Name,0)),"")&lt;&gt;"Yes"),"Paid From / Deposited To is not a payment account","")))))))))))</f>
        <v/>
      </c>
      <c r="Z1215" s="67">
        <f>IF(AND(T1215=0,X1215=""),1,0)</f>
        <v/>
      </c>
      <c r="AA1215" s="68">
        <f>IF(Z1215=1,IF(U1215="In",L1215,L1215-W1215),0)</f>
        <v/>
      </c>
      <c r="AB1215" s="68">
        <f>IF(Z1215=1,IF(U1215="In",L1215-W1215,L1215),0)</f>
        <v/>
      </c>
      <c r="AC1215" s="68">
        <f>IF(AND(Z1215=1,U1215="Out"),W1215,0)</f>
        <v/>
      </c>
      <c r="AD1215" s="68">
        <f>IF(AND(Z1215=1,U1215="In"),W1215,0)</f>
        <v/>
      </c>
    </row>
    <row r="1216">
      <c r="B1216" s="62" t="inlineStr">
        <is>
          <t>TX-1210</t>
        </is>
      </c>
      <c r="C1216" s="63" t="n"/>
      <c r="D1216" s="62" t="n"/>
      <c r="E1216" s="62" t="n"/>
      <c r="F1216" s="62" t="n"/>
      <c r="G1216" s="62" t="n"/>
      <c r="H1216" s="62" t="n"/>
      <c r="I1216" s="62" t="n"/>
      <c r="J1216" s="62" t="n"/>
      <c r="K1216" s="62" t="n"/>
      <c r="L1216" s="64" t="n"/>
      <c r="M1216" s="64" t="n"/>
      <c r="N1216" s="62" t="n"/>
      <c r="O1216" s="65">
        <f>IF(Z1216=1,L1216-W1216,"")</f>
        <v/>
      </c>
      <c r="P1216" s="66">
        <f>IF(V1216="","",IFERROR(INDEX(coa_Type,MATCH(V1216,coa_Name,0)),""))</f>
        <v/>
      </c>
      <c r="Q1216" s="66">
        <f>IF(Z1216=1,IF(U1216="In",K1216&amp;"",V1216),"")</f>
        <v/>
      </c>
      <c r="R1216" s="66">
        <f>IF(Z1216=1,IF(U1216="In",V1216,K1216&amp;""),"")</f>
        <v/>
      </c>
      <c r="S1216" s="66">
        <f>IF(X1216&lt;&gt;"","⛔ "&amp;X1216&amp;" — not posted",IF(Y1216&lt;&gt;"","⚠ "&amp;Y1216,IF(Z1216=1,"✓ OK","")))</f>
        <v/>
      </c>
      <c r="T1216" s="67">
        <f>IF(AND(C1216="",D1216="",E1216="",L1216="",K1216=""),1,0)</f>
        <v/>
      </c>
      <c r="U1216" s="67">
        <f>IFERROR(INDEX(tt_Dir,MATCH(D1216,tt_Type,0)),"")</f>
        <v/>
      </c>
      <c r="V1216" s="67">
        <f>IF(D1216="","",IFERROR(IF(INDEX(tt_Other,MATCH(D1216,tt_Type,0))="",E1216&amp;"",INDEX(tt_Other,MATCH(D1216,tt_Type,0))),""))</f>
        <v/>
      </c>
      <c r="W1216" s="68">
        <f>IF(OR(TaxOn&lt;&gt;"Yes",NOT(ISNUMBER(M1216))),0,IF(IFERROR(INDEX(tt_Tax,MATCH(D1216,tt_Type,0)),"No")="Yes",M1216,0))</f>
        <v/>
      </c>
      <c r="X1216" s="67">
        <f>IF(T1216=1,"",IF(C1216="","Missing transaction date",IF(NOT(ISNUMBER(C1216)),"Invalid date",IF(OR(C1216&lt;DATE(2000,1,1),C1216&gt;DATE(2099,12,31)),"Invalid date",IF(D1216="","Select a type",IF(U1216="","Unknown type: "&amp;D1216,IF(V1216="","Select an account (Category)",IF(ISNA(MATCH(V1216,coa_Name,0)),"Unknown account: "&amp;V1216,IF(K1216="","Select Paid From / Deposited To",IF(ISNA(MATCH(K1216,coa_Name,0)),"Unknown account: "&amp;K1216,IF(NOT(ISNUMBER(L1216)),"Enter an amount",IF(L1216=0,"Enter an amount",IF(ABS(W1216)&gt;ABS(L1216),"Tax is larger than the amount","")))))))))))))</f>
        <v/>
      </c>
      <c r="Y1216" s="67">
        <f>IF(OR(T1216=1,X1216&lt;&gt;""),"",IF(AND(B1216&lt;&gt;"",COUNTIF(tx_ID,B1216)&gt;1),"Duplicate transaction ID",IF(AND(L1216&lt;0,D1216&lt;&gt;"Adjustment"),"Negative amount — check this entry",IF(AND(D1216="Customer Payment",G1216=""),"Add the customer",IF(AND(D1216="Customer Payment",OR(J1216="",COUNTIF(ar_No,J1216&amp;"")=0)),"Invoice # in Reference not found on AR sheet",IF(AND(D1216="Bill Payment",H1216=""),"Add the vendor",IF(AND(D1216="Bill Payment",OR(J1216="",COUNTIFS(ap_No,J1216&amp;"",ap_Party,H1216&amp;"")=0)),"Bill # + vendor not found on AP sheet",IF(AND(ISNUMBER(M1216),N(M1216)&lt;&gt;0,W1216=0),"Tax ignored (tax tracking off, or not allowed for this type)",IF(V1216=K1216&amp;"","Same account on both sides",IF(AND(ISNUMBER(StartDate),C1216&lt;StartDate),"Date is before the accounting start date",IF(AND(D1216&lt;&gt;"Adjustment",IFERROR(INDEX(coa_Pay,MATCH(K1216&amp;"",coa_Name,0)),"")&lt;&gt;"Yes"),"Paid From / Deposited To is not a payment account","")))))))))))</f>
        <v/>
      </c>
      <c r="Z1216" s="67">
        <f>IF(AND(T1216=0,X1216=""),1,0)</f>
        <v/>
      </c>
      <c r="AA1216" s="68">
        <f>IF(Z1216=1,IF(U1216="In",L1216,L1216-W1216),0)</f>
        <v/>
      </c>
      <c r="AB1216" s="68">
        <f>IF(Z1216=1,IF(U1216="In",L1216-W1216,L1216),0)</f>
        <v/>
      </c>
      <c r="AC1216" s="68">
        <f>IF(AND(Z1216=1,U1216="Out"),W1216,0)</f>
        <v/>
      </c>
      <c r="AD1216" s="68">
        <f>IF(AND(Z1216=1,U1216="In"),W1216,0)</f>
        <v/>
      </c>
    </row>
    <row r="1217">
      <c r="B1217" s="62" t="inlineStr">
        <is>
          <t>TX-1211</t>
        </is>
      </c>
      <c r="C1217" s="63" t="n"/>
      <c r="D1217" s="62" t="n"/>
      <c r="E1217" s="62" t="n"/>
      <c r="F1217" s="62" t="n"/>
      <c r="G1217" s="62" t="n"/>
      <c r="H1217" s="62" t="n"/>
      <c r="I1217" s="62" t="n"/>
      <c r="J1217" s="62" t="n"/>
      <c r="K1217" s="62" t="n"/>
      <c r="L1217" s="64" t="n"/>
      <c r="M1217" s="64" t="n"/>
      <c r="N1217" s="62" t="n"/>
      <c r="O1217" s="65">
        <f>IF(Z1217=1,L1217-W1217,"")</f>
        <v/>
      </c>
      <c r="P1217" s="66">
        <f>IF(V1217="","",IFERROR(INDEX(coa_Type,MATCH(V1217,coa_Name,0)),""))</f>
        <v/>
      </c>
      <c r="Q1217" s="66">
        <f>IF(Z1217=1,IF(U1217="In",K1217&amp;"",V1217),"")</f>
        <v/>
      </c>
      <c r="R1217" s="66">
        <f>IF(Z1217=1,IF(U1217="In",V1217,K1217&amp;""),"")</f>
        <v/>
      </c>
      <c r="S1217" s="66">
        <f>IF(X1217&lt;&gt;"","⛔ "&amp;X1217&amp;" — not posted",IF(Y1217&lt;&gt;"","⚠ "&amp;Y1217,IF(Z1217=1,"✓ OK","")))</f>
        <v/>
      </c>
      <c r="T1217" s="67">
        <f>IF(AND(C1217="",D1217="",E1217="",L1217="",K1217=""),1,0)</f>
        <v/>
      </c>
      <c r="U1217" s="67">
        <f>IFERROR(INDEX(tt_Dir,MATCH(D1217,tt_Type,0)),"")</f>
        <v/>
      </c>
      <c r="V1217" s="67">
        <f>IF(D1217="","",IFERROR(IF(INDEX(tt_Other,MATCH(D1217,tt_Type,0))="",E1217&amp;"",INDEX(tt_Other,MATCH(D1217,tt_Type,0))),""))</f>
        <v/>
      </c>
      <c r="W1217" s="68">
        <f>IF(OR(TaxOn&lt;&gt;"Yes",NOT(ISNUMBER(M1217))),0,IF(IFERROR(INDEX(tt_Tax,MATCH(D1217,tt_Type,0)),"No")="Yes",M1217,0))</f>
        <v/>
      </c>
      <c r="X1217" s="67">
        <f>IF(T1217=1,"",IF(C1217="","Missing transaction date",IF(NOT(ISNUMBER(C1217)),"Invalid date",IF(OR(C1217&lt;DATE(2000,1,1),C1217&gt;DATE(2099,12,31)),"Invalid date",IF(D1217="","Select a type",IF(U1217="","Unknown type: "&amp;D1217,IF(V1217="","Select an account (Category)",IF(ISNA(MATCH(V1217,coa_Name,0)),"Unknown account: "&amp;V1217,IF(K1217="","Select Paid From / Deposited To",IF(ISNA(MATCH(K1217,coa_Name,0)),"Unknown account: "&amp;K1217,IF(NOT(ISNUMBER(L1217)),"Enter an amount",IF(L1217=0,"Enter an amount",IF(ABS(W1217)&gt;ABS(L1217),"Tax is larger than the amount","")))))))))))))</f>
        <v/>
      </c>
      <c r="Y1217" s="67">
        <f>IF(OR(T1217=1,X1217&lt;&gt;""),"",IF(AND(B1217&lt;&gt;"",COUNTIF(tx_ID,B1217)&gt;1),"Duplicate transaction ID",IF(AND(L1217&lt;0,D1217&lt;&gt;"Adjustment"),"Negative amount — check this entry",IF(AND(D1217="Customer Payment",G1217=""),"Add the customer",IF(AND(D1217="Customer Payment",OR(J1217="",COUNTIF(ar_No,J1217&amp;"")=0)),"Invoice # in Reference not found on AR sheet",IF(AND(D1217="Bill Payment",H1217=""),"Add the vendor",IF(AND(D1217="Bill Payment",OR(J1217="",COUNTIFS(ap_No,J1217&amp;"",ap_Party,H1217&amp;"")=0)),"Bill # + vendor not found on AP sheet",IF(AND(ISNUMBER(M1217),N(M1217)&lt;&gt;0,W1217=0),"Tax ignored (tax tracking off, or not allowed for this type)",IF(V1217=K1217&amp;"","Same account on both sides",IF(AND(ISNUMBER(StartDate),C1217&lt;StartDate),"Date is before the accounting start date",IF(AND(D1217&lt;&gt;"Adjustment",IFERROR(INDEX(coa_Pay,MATCH(K1217&amp;"",coa_Name,0)),"")&lt;&gt;"Yes"),"Paid From / Deposited To is not a payment account","")))))))))))</f>
        <v/>
      </c>
      <c r="Z1217" s="67">
        <f>IF(AND(T1217=0,X1217=""),1,0)</f>
        <v/>
      </c>
      <c r="AA1217" s="68">
        <f>IF(Z1217=1,IF(U1217="In",L1217,L1217-W1217),0)</f>
        <v/>
      </c>
      <c r="AB1217" s="68">
        <f>IF(Z1217=1,IF(U1217="In",L1217-W1217,L1217),0)</f>
        <v/>
      </c>
      <c r="AC1217" s="68">
        <f>IF(AND(Z1217=1,U1217="Out"),W1217,0)</f>
        <v/>
      </c>
      <c r="AD1217" s="68">
        <f>IF(AND(Z1217=1,U1217="In"),W1217,0)</f>
        <v/>
      </c>
    </row>
    <row r="1218">
      <c r="B1218" s="62" t="inlineStr">
        <is>
          <t>TX-1212</t>
        </is>
      </c>
      <c r="C1218" s="63" t="n"/>
      <c r="D1218" s="62" t="n"/>
      <c r="E1218" s="62" t="n"/>
      <c r="F1218" s="62" t="n"/>
      <c r="G1218" s="62" t="n"/>
      <c r="H1218" s="62" t="n"/>
      <c r="I1218" s="62" t="n"/>
      <c r="J1218" s="62" t="n"/>
      <c r="K1218" s="62" t="n"/>
      <c r="L1218" s="64" t="n"/>
      <c r="M1218" s="64" t="n"/>
      <c r="N1218" s="62" t="n"/>
      <c r="O1218" s="65">
        <f>IF(Z1218=1,L1218-W1218,"")</f>
        <v/>
      </c>
      <c r="P1218" s="66">
        <f>IF(V1218="","",IFERROR(INDEX(coa_Type,MATCH(V1218,coa_Name,0)),""))</f>
        <v/>
      </c>
      <c r="Q1218" s="66">
        <f>IF(Z1218=1,IF(U1218="In",K1218&amp;"",V1218),"")</f>
        <v/>
      </c>
      <c r="R1218" s="66">
        <f>IF(Z1218=1,IF(U1218="In",V1218,K1218&amp;""),"")</f>
        <v/>
      </c>
      <c r="S1218" s="66">
        <f>IF(X1218&lt;&gt;"","⛔ "&amp;X1218&amp;" — not posted",IF(Y1218&lt;&gt;"","⚠ "&amp;Y1218,IF(Z1218=1,"✓ OK","")))</f>
        <v/>
      </c>
      <c r="T1218" s="67">
        <f>IF(AND(C1218="",D1218="",E1218="",L1218="",K1218=""),1,0)</f>
        <v/>
      </c>
      <c r="U1218" s="67">
        <f>IFERROR(INDEX(tt_Dir,MATCH(D1218,tt_Type,0)),"")</f>
        <v/>
      </c>
      <c r="V1218" s="67">
        <f>IF(D1218="","",IFERROR(IF(INDEX(tt_Other,MATCH(D1218,tt_Type,0))="",E1218&amp;"",INDEX(tt_Other,MATCH(D1218,tt_Type,0))),""))</f>
        <v/>
      </c>
      <c r="W1218" s="68">
        <f>IF(OR(TaxOn&lt;&gt;"Yes",NOT(ISNUMBER(M1218))),0,IF(IFERROR(INDEX(tt_Tax,MATCH(D1218,tt_Type,0)),"No")="Yes",M1218,0))</f>
        <v/>
      </c>
      <c r="X1218" s="67">
        <f>IF(T1218=1,"",IF(C1218="","Missing transaction date",IF(NOT(ISNUMBER(C1218)),"Invalid date",IF(OR(C1218&lt;DATE(2000,1,1),C1218&gt;DATE(2099,12,31)),"Invalid date",IF(D1218="","Select a type",IF(U1218="","Unknown type: "&amp;D1218,IF(V1218="","Select an account (Category)",IF(ISNA(MATCH(V1218,coa_Name,0)),"Unknown account: "&amp;V1218,IF(K1218="","Select Paid From / Deposited To",IF(ISNA(MATCH(K1218,coa_Name,0)),"Unknown account: "&amp;K1218,IF(NOT(ISNUMBER(L1218)),"Enter an amount",IF(L1218=0,"Enter an amount",IF(ABS(W1218)&gt;ABS(L1218),"Tax is larger than the amount","")))))))))))))</f>
        <v/>
      </c>
      <c r="Y1218" s="67">
        <f>IF(OR(T1218=1,X1218&lt;&gt;""),"",IF(AND(B1218&lt;&gt;"",COUNTIF(tx_ID,B1218)&gt;1),"Duplicate transaction ID",IF(AND(L1218&lt;0,D1218&lt;&gt;"Adjustment"),"Negative amount — check this entry",IF(AND(D1218="Customer Payment",G1218=""),"Add the customer",IF(AND(D1218="Customer Payment",OR(J1218="",COUNTIF(ar_No,J1218&amp;"")=0)),"Invoice # in Reference not found on AR sheet",IF(AND(D1218="Bill Payment",H1218=""),"Add the vendor",IF(AND(D1218="Bill Payment",OR(J1218="",COUNTIFS(ap_No,J1218&amp;"",ap_Party,H1218&amp;"")=0)),"Bill # + vendor not found on AP sheet",IF(AND(ISNUMBER(M1218),N(M1218)&lt;&gt;0,W1218=0),"Tax ignored (tax tracking off, or not allowed for this type)",IF(V1218=K1218&amp;"","Same account on both sides",IF(AND(ISNUMBER(StartDate),C1218&lt;StartDate),"Date is before the accounting start date",IF(AND(D1218&lt;&gt;"Adjustment",IFERROR(INDEX(coa_Pay,MATCH(K1218&amp;"",coa_Name,0)),"")&lt;&gt;"Yes"),"Paid From / Deposited To is not a payment account","")))))))))))</f>
        <v/>
      </c>
      <c r="Z1218" s="67">
        <f>IF(AND(T1218=0,X1218=""),1,0)</f>
        <v/>
      </c>
      <c r="AA1218" s="68">
        <f>IF(Z1218=1,IF(U1218="In",L1218,L1218-W1218),0)</f>
        <v/>
      </c>
      <c r="AB1218" s="68">
        <f>IF(Z1218=1,IF(U1218="In",L1218-W1218,L1218),0)</f>
        <v/>
      </c>
      <c r="AC1218" s="68">
        <f>IF(AND(Z1218=1,U1218="Out"),W1218,0)</f>
        <v/>
      </c>
      <c r="AD1218" s="68">
        <f>IF(AND(Z1218=1,U1218="In"),W1218,0)</f>
        <v/>
      </c>
    </row>
    <row r="1219">
      <c r="B1219" s="62" t="inlineStr">
        <is>
          <t>TX-1213</t>
        </is>
      </c>
      <c r="C1219" s="63" t="n"/>
      <c r="D1219" s="62" t="n"/>
      <c r="E1219" s="62" t="n"/>
      <c r="F1219" s="62" t="n"/>
      <c r="G1219" s="62" t="n"/>
      <c r="H1219" s="62" t="n"/>
      <c r="I1219" s="62" t="n"/>
      <c r="J1219" s="62" t="n"/>
      <c r="K1219" s="62" t="n"/>
      <c r="L1219" s="64" t="n"/>
      <c r="M1219" s="64" t="n"/>
      <c r="N1219" s="62" t="n"/>
      <c r="O1219" s="65">
        <f>IF(Z1219=1,L1219-W1219,"")</f>
        <v/>
      </c>
      <c r="P1219" s="66">
        <f>IF(V1219="","",IFERROR(INDEX(coa_Type,MATCH(V1219,coa_Name,0)),""))</f>
        <v/>
      </c>
      <c r="Q1219" s="66">
        <f>IF(Z1219=1,IF(U1219="In",K1219&amp;"",V1219),"")</f>
        <v/>
      </c>
      <c r="R1219" s="66">
        <f>IF(Z1219=1,IF(U1219="In",V1219,K1219&amp;""),"")</f>
        <v/>
      </c>
      <c r="S1219" s="66">
        <f>IF(X1219&lt;&gt;"","⛔ "&amp;X1219&amp;" — not posted",IF(Y1219&lt;&gt;"","⚠ "&amp;Y1219,IF(Z1219=1,"✓ OK","")))</f>
        <v/>
      </c>
      <c r="T1219" s="67">
        <f>IF(AND(C1219="",D1219="",E1219="",L1219="",K1219=""),1,0)</f>
        <v/>
      </c>
      <c r="U1219" s="67">
        <f>IFERROR(INDEX(tt_Dir,MATCH(D1219,tt_Type,0)),"")</f>
        <v/>
      </c>
      <c r="V1219" s="67">
        <f>IF(D1219="","",IFERROR(IF(INDEX(tt_Other,MATCH(D1219,tt_Type,0))="",E1219&amp;"",INDEX(tt_Other,MATCH(D1219,tt_Type,0))),""))</f>
        <v/>
      </c>
      <c r="W1219" s="68">
        <f>IF(OR(TaxOn&lt;&gt;"Yes",NOT(ISNUMBER(M1219))),0,IF(IFERROR(INDEX(tt_Tax,MATCH(D1219,tt_Type,0)),"No")="Yes",M1219,0))</f>
        <v/>
      </c>
      <c r="X1219" s="67">
        <f>IF(T1219=1,"",IF(C1219="","Missing transaction date",IF(NOT(ISNUMBER(C1219)),"Invalid date",IF(OR(C1219&lt;DATE(2000,1,1),C1219&gt;DATE(2099,12,31)),"Invalid date",IF(D1219="","Select a type",IF(U1219="","Unknown type: "&amp;D1219,IF(V1219="","Select an account (Category)",IF(ISNA(MATCH(V1219,coa_Name,0)),"Unknown account: "&amp;V1219,IF(K1219="","Select Paid From / Deposited To",IF(ISNA(MATCH(K1219,coa_Name,0)),"Unknown account: "&amp;K1219,IF(NOT(ISNUMBER(L1219)),"Enter an amount",IF(L1219=0,"Enter an amount",IF(ABS(W1219)&gt;ABS(L1219),"Tax is larger than the amount","")))))))))))))</f>
        <v/>
      </c>
      <c r="Y1219" s="67">
        <f>IF(OR(T1219=1,X1219&lt;&gt;""),"",IF(AND(B1219&lt;&gt;"",COUNTIF(tx_ID,B1219)&gt;1),"Duplicate transaction ID",IF(AND(L1219&lt;0,D1219&lt;&gt;"Adjustment"),"Negative amount — check this entry",IF(AND(D1219="Customer Payment",G1219=""),"Add the customer",IF(AND(D1219="Customer Payment",OR(J1219="",COUNTIF(ar_No,J1219&amp;"")=0)),"Invoice # in Reference not found on AR sheet",IF(AND(D1219="Bill Payment",H1219=""),"Add the vendor",IF(AND(D1219="Bill Payment",OR(J1219="",COUNTIFS(ap_No,J1219&amp;"",ap_Party,H1219&amp;"")=0)),"Bill # + vendor not found on AP sheet",IF(AND(ISNUMBER(M1219),N(M1219)&lt;&gt;0,W1219=0),"Tax ignored (tax tracking off, or not allowed for this type)",IF(V1219=K1219&amp;"","Same account on both sides",IF(AND(ISNUMBER(StartDate),C1219&lt;StartDate),"Date is before the accounting start date",IF(AND(D1219&lt;&gt;"Adjustment",IFERROR(INDEX(coa_Pay,MATCH(K1219&amp;"",coa_Name,0)),"")&lt;&gt;"Yes"),"Paid From / Deposited To is not a payment account","")))))))))))</f>
        <v/>
      </c>
      <c r="Z1219" s="67">
        <f>IF(AND(T1219=0,X1219=""),1,0)</f>
        <v/>
      </c>
      <c r="AA1219" s="68">
        <f>IF(Z1219=1,IF(U1219="In",L1219,L1219-W1219),0)</f>
        <v/>
      </c>
      <c r="AB1219" s="68">
        <f>IF(Z1219=1,IF(U1219="In",L1219-W1219,L1219),0)</f>
        <v/>
      </c>
      <c r="AC1219" s="68">
        <f>IF(AND(Z1219=1,U1219="Out"),W1219,0)</f>
        <v/>
      </c>
      <c r="AD1219" s="68">
        <f>IF(AND(Z1219=1,U1219="In"),W1219,0)</f>
        <v/>
      </c>
    </row>
    <row r="1220">
      <c r="B1220" s="62" t="inlineStr">
        <is>
          <t>TX-1214</t>
        </is>
      </c>
      <c r="C1220" s="63" t="n"/>
      <c r="D1220" s="62" t="n"/>
      <c r="E1220" s="62" t="n"/>
      <c r="F1220" s="62" t="n"/>
      <c r="G1220" s="62" t="n"/>
      <c r="H1220" s="62" t="n"/>
      <c r="I1220" s="62" t="n"/>
      <c r="J1220" s="62" t="n"/>
      <c r="K1220" s="62" t="n"/>
      <c r="L1220" s="64" t="n"/>
      <c r="M1220" s="64" t="n"/>
      <c r="N1220" s="62" t="n"/>
      <c r="O1220" s="65">
        <f>IF(Z1220=1,L1220-W1220,"")</f>
        <v/>
      </c>
      <c r="P1220" s="66">
        <f>IF(V1220="","",IFERROR(INDEX(coa_Type,MATCH(V1220,coa_Name,0)),""))</f>
        <v/>
      </c>
      <c r="Q1220" s="66">
        <f>IF(Z1220=1,IF(U1220="In",K1220&amp;"",V1220),"")</f>
        <v/>
      </c>
      <c r="R1220" s="66">
        <f>IF(Z1220=1,IF(U1220="In",V1220,K1220&amp;""),"")</f>
        <v/>
      </c>
      <c r="S1220" s="66">
        <f>IF(X1220&lt;&gt;"","⛔ "&amp;X1220&amp;" — not posted",IF(Y1220&lt;&gt;"","⚠ "&amp;Y1220,IF(Z1220=1,"✓ OK","")))</f>
        <v/>
      </c>
      <c r="T1220" s="67">
        <f>IF(AND(C1220="",D1220="",E1220="",L1220="",K1220=""),1,0)</f>
        <v/>
      </c>
      <c r="U1220" s="67">
        <f>IFERROR(INDEX(tt_Dir,MATCH(D1220,tt_Type,0)),"")</f>
        <v/>
      </c>
      <c r="V1220" s="67">
        <f>IF(D1220="","",IFERROR(IF(INDEX(tt_Other,MATCH(D1220,tt_Type,0))="",E1220&amp;"",INDEX(tt_Other,MATCH(D1220,tt_Type,0))),""))</f>
        <v/>
      </c>
      <c r="W1220" s="68">
        <f>IF(OR(TaxOn&lt;&gt;"Yes",NOT(ISNUMBER(M1220))),0,IF(IFERROR(INDEX(tt_Tax,MATCH(D1220,tt_Type,0)),"No")="Yes",M1220,0))</f>
        <v/>
      </c>
      <c r="X1220" s="67">
        <f>IF(T1220=1,"",IF(C1220="","Missing transaction date",IF(NOT(ISNUMBER(C1220)),"Invalid date",IF(OR(C1220&lt;DATE(2000,1,1),C1220&gt;DATE(2099,12,31)),"Invalid date",IF(D1220="","Select a type",IF(U1220="","Unknown type: "&amp;D1220,IF(V1220="","Select an account (Category)",IF(ISNA(MATCH(V1220,coa_Name,0)),"Unknown account: "&amp;V1220,IF(K1220="","Select Paid From / Deposited To",IF(ISNA(MATCH(K1220,coa_Name,0)),"Unknown account: "&amp;K1220,IF(NOT(ISNUMBER(L1220)),"Enter an amount",IF(L1220=0,"Enter an amount",IF(ABS(W1220)&gt;ABS(L1220),"Tax is larger than the amount","")))))))))))))</f>
        <v/>
      </c>
      <c r="Y1220" s="67">
        <f>IF(OR(T1220=1,X1220&lt;&gt;""),"",IF(AND(B1220&lt;&gt;"",COUNTIF(tx_ID,B1220)&gt;1),"Duplicate transaction ID",IF(AND(L1220&lt;0,D1220&lt;&gt;"Adjustment"),"Negative amount — check this entry",IF(AND(D1220="Customer Payment",G1220=""),"Add the customer",IF(AND(D1220="Customer Payment",OR(J1220="",COUNTIF(ar_No,J1220&amp;"")=0)),"Invoice # in Reference not found on AR sheet",IF(AND(D1220="Bill Payment",H1220=""),"Add the vendor",IF(AND(D1220="Bill Payment",OR(J1220="",COUNTIFS(ap_No,J1220&amp;"",ap_Party,H1220&amp;"")=0)),"Bill # + vendor not found on AP sheet",IF(AND(ISNUMBER(M1220),N(M1220)&lt;&gt;0,W1220=0),"Tax ignored (tax tracking off, or not allowed for this type)",IF(V1220=K1220&amp;"","Same account on both sides",IF(AND(ISNUMBER(StartDate),C1220&lt;StartDate),"Date is before the accounting start date",IF(AND(D1220&lt;&gt;"Adjustment",IFERROR(INDEX(coa_Pay,MATCH(K1220&amp;"",coa_Name,0)),"")&lt;&gt;"Yes"),"Paid From / Deposited To is not a payment account","")))))))))))</f>
        <v/>
      </c>
      <c r="Z1220" s="67">
        <f>IF(AND(T1220=0,X1220=""),1,0)</f>
        <v/>
      </c>
      <c r="AA1220" s="68">
        <f>IF(Z1220=1,IF(U1220="In",L1220,L1220-W1220),0)</f>
        <v/>
      </c>
      <c r="AB1220" s="68">
        <f>IF(Z1220=1,IF(U1220="In",L1220-W1220,L1220),0)</f>
        <v/>
      </c>
      <c r="AC1220" s="68">
        <f>IF(AND(Z1220=1,U1220="Out"),W1220,0)</f>
        <v/>
      </c>
      <c r="AD1220" s="68">
        <f>IF(AND(Z1220=1,U1220="In"),W1220,0)</f>
        <v/>
      </c>
    </row>
    <row r="1221">
      <c r="B1221" s="62" t="inlineStr">
        <is>
          <t>TX-1215</t>
        </is>
      </c>
      <c r="C1221" s="63" t="n"/>
      <c r="D1221" s="62" t="n"/>
      <c r="E1221" s="62" t="n"/>
      <c r="F1221" s="62" t="n"/>
      <c r="G1221" s="62" t="n"/>
      <c r="H1221" s="62" t="n"/>
      <c r="I1221" s="62" t="n"/>
      <c r="J1221" s="62" t="n"/>
      <c r="K1221" s="62" t="n"/>
      <c r="L1221" s="64" t="n"/>
      <c r="M1221" s="64" t="n"/>
      <c r="N1221" s="62" t="n"/>
      <c r="O1221" s="65">
        <f>IF(Z1221=1,L1221-W1221,"")</f>
        <v/>
      </c>
      <c r="P1221" s="66">
        <f>IF(V1221="","",IFERROR(INDEX(coa_Type,MATCH(V1221,coa_Name,0)),""))</f>
        <v/>
      </c>
      <c r="Q1221" s="66">
        <f>IF(Z1221=1,IF(U1221="In",K1221&amp;"",V1221),"")</f>
        <v/>
      </c>
      <c r="R1221" s="66">
        <f>IF(Z1221=1,IF(U1221="In",V1221,K1221&amp;""),"")</f>
        <v/>
      </c>
      <c r="S1221" s="66">
        <f>IF(X1221&lt;&gt;"","⛔ "&amp;X1221&amp;" — not posted",IF(Y1221&lt;&gt;"","⚠ "&amp;Y1221,IF(Z1221=1,"✓ OK","")))</f>
        <v/>
      </c>
      <c r="T1221" s="67">
        <f>IF(AND(C1221="",D1221="",E1221="",L1221="",K1221=""),1,0)</f>
        <v/>
      </c>
      <c r="U1221" s="67">
        <f>IFERROR(INDEX(tt_Dir,MATCH(D1221,tt_Type,0)),"")</f>
        <v/>
      </c>
      <c r="V1221" s="67">
        <f>IF(D1221="","",IFERROR(IF(INDEX(tt_Other,MATCH(D1221,tt_Type,0))="",E1221&amp;"",INDEX(tt_Other,MATCH(D1221,tt_Type,0))),""))</f>
        <v/>
      </c>
      <c r="W1221" s="68">
        <f>IF(OR(TaxOn&lt;&gt;"Yes",NOT(ISNUMBER(M1221))),0,IF(IFERROR(INDEX(tt_Tax,MATCH(D1221,tt_Type,0)),"No")="Yes",M1221,0))</f>
        <v/>
      </c>
      <c r="X1221" s="67">
        <f>IF(T1221=1,"",IF(C1221="","Missing transaction date",IF(NOT(ISNUMBER(C1221)),"Invalid date",IF(OR(C1221&lt;DATE(2000,1,1),C1221&gt;DATE(2099,12,31)),"Invalid date",IF(D1221="","Select a type",IF(U1221="","Unknown type: "&amp;D1221,IF(V1221="","Select an account (Category)",IF(ISNA(MATCH(V1221,coa_Name,0)),"Unknown account: "&amp;V1221,IF(K1221="","Select Paid From / Deposited To",IF(ISNA(MATCH(K1221,coa_Name,0)),"Unknown account: "&amp;K1221,IF(NOT(ISNUMBER(L1221)),"Enter an amount",IF(L1221=0,"Enter an amount",IF(ABS(W1221)&gt;ABS(L1221),"Tax is larger than the amount","")))))))))))))</f>
        <v/>
      </c>
      <c r="Y1221" s="67">
        <f>IF(OR(T1221=1,X1221&lt;&gt;""),"",IF(AND(B1221&lt;&gt;"",COUNTIF(tx_ID,B1221)&gt;1),"Duplicate transaction ID",IF(AND(L1221&lt;0,D1221&lt;&gt;"Adjustment"),"Negative amount — check this entry",IF(AND(D1221="Customer Payment",G1221=""),"Add the customer",IF(AND(D1221="Customer Payment",OR(J1221="",COUNTIF(ar_No,J1221&amp;"")=0)),"Invoice # in Reference not found on AR sheet",IF(AND(D1221="Bill Payment",H1221=""),"Add the vendor",IF(AND(D1221="Bill Payment",OR(J1221="",COUNTIFS(ap_No,J1221&amp;"",ap_Party,H1221&amp;"")=0)),"Bill # + vendor not found on AP sheet",IF(AND(ISNUMBER(M1221),N(M1221)&lt;&gt;0,W1221=0),"Tax ignored (tax tracking off, or not allowed for this type)",IF(V1221=K1221&amp;"","Same account on both sides",IF(AND(ISNUMBER(StartDate),C1221&lt;StartDate),"Date is before the accounting start date",IF(AND(D1221&lt;&gt;"Adjustment",IFERROR(INDEX(coa_Pay,MATCH(K1221&amp;"",coa_Name,0)),"")&lt;&gt;"Yes"),"Paid From / Deposited To is not a payment account","")))))))))))</f>
        <v/>
      </c>
      <c r="Z1221" s="67">
        <f>IF(AND(T1221=0,X1221=""),1,0)</f>
        <v/>
      </c>
      <c r="AA1221" s="68">
        <f>IF(Z1221=1,IF(U1221="In",L1221,L1221-W1221),0)</f>
        <v/>
      </c>
      <c r="AB1221" s="68">
        <f>IF(Z1221=1,IF(U1221="In",L1221-W1221,L1221),0)</f>
        <v/>
      </c>
      <c r="AC1221" s="68">
        <f>IF(AND(Z1221=1,U1221="Out"),W1221,0)</f>
        <v/>
      </c>
      <c r="AD1221" s="68">
        <f>IF(AND(Z1221=1,U1221="In"),W1221,0)</f>
        <v/>
      </c>
    </row>
    <row r="1222">
      <c r="B1222" s="62" t="inlineStr">
        <is>
          <t>TX-1216</t>
        </is>
      </c>
      <c r="C1222" s="63" t="n"/>
      <c r="D1222" s="62" t="n"/>
      <c r="E1222" s="62" t="n"/>
      <c r="F1222" s="62" t="n"/>
      <c r="G1222" s="62" t="n"/>
      <c r="H1222" s="62" t="n"/>
      <c r="I1222" s="62" t="n"/>
      <c r="J1222" s="62" t="n"/>
      <c r="K1222" s="62" t="n"/>
      <c r="L1222" s="64" t="n"/>
      <c r="M1222" s="64" t="n"/>
      <c r="N1222" s="62" t="n"/>
      <c r="O1222" s="65">
        <f>IF(Z1222=1,L1222-W1222,"")</f>
        <v/>
      </c>
      <c r="P1222" s="66">
        <f>IF(V1222="","",IFERROR(INDEX(coa_Type,MATCH(V1222,coa_Name,0)),""))</f>
        <v/>
      </c>
      <c r="Q1222" s="66">
        <f>IF(Z1222=1,IF(U1222="In",K1222&amp;"",V1222),"")</f>
        <v/>
      </c>
      <c r="R1222" s="66">
        <f>IF(Z1222=1,IF(U1222="In",V1222,K1222&amp;""),"")</f>
        <v/>
      </c>
      <c r="S1222" s="66">
        <f>IF(X1222&lt;&gt;"","⛔ "&amp;X1222&amp;" — not posted",IF(Y1222&lt;&gt;"","⚠ "&amp;Y1222,IF(Z1222=1,"✓ OK","")))</f>
        <v/>
      </c>
      <c r="T1222" s="67">
        <f>IF(AND(C1222="",D1222="",E1222="",L1222="",K1222=""),1,0)</f>
        <v/>
      </c>
      <c r="U1222" s="67">
        <f>IFERROR(INDEX(tt_Dir,MATCH(D1222,tt_Type,0)),"")</f>
        <v/>
      </c>
      <c r="V1222" s="67">
        <f>IF(D1222="","",IFERROR(IF(INDEX(tt_Other,MATCH(D1222,tt_Type,0))="",E1222&amp;"",INDEX(tt_Other,MATCH(D1222,tt_Type,0))),""))</f>
        <v/>
      </c>
      <c r="W1222" s="68">
        <f>IF(OR(TaxOn&lt;&gt;"Yes",NOT(ISNUMBER(M1222))),0,IF(IFERROR(INDEX(tt_Tax,MATCH(D1222,tt_Type,0)),"No")="Yes",M1222,0))</f>
        <v/>
      </c>
      <c r="X1222" s="67">
        <f>IF(T1222=1,"",IF(C1222="","Missing transaction date",IF(NOT(ISNUMBER(C1222)),"Invalid date",IF(OR(C1222&lt;DATE(2000,1,1),C1222&gt;DATE(2099,12,31)),"Invalid date",IF(D1222="","Select a type",IF(U1222="","Unknown type: "&amp;D1222,IF(V1222="","Select an account (Category)",IF(ISNA(MATCH(V1222,coa_Name,0)),"Unknown account: "&amp;V1222,IF(K1222="","Select Paid From / Deposited To",IF(ISNA(MATCH(K1222,coa_Name,0)),"Unknown account: "&amp;K1222,IF(NOT(ISNUMBER(L1222)),"Enter an amount",IF(L1222=0,"Enter an amount",IF(ABS(W1222)&gt;ABS(L1222),"Tax is larger than the amount","")))))))))))))</f>
        <v/>
      </c>
      <c r="Y1222" s="67">
        <f>IF(OR(T1222=1,X1222&lt;&gt;""),"",IF(AND(B1222&lt;&gt;"",COUNTIF(tx_ID,B1222)&gt;1),"Duplicate transaction ID",IF(AND(L1222&lt;0,D1222&lt;&gt;"Adjustment"),"Negative amount — check this entry",IF(AND(D1222="Customer Payment",G1222=""),"Add the customer",IF(AND(D1222="Customer Payment",OR(J1222="",COUNTIF(ar_No,J1222&amp;"")=0)),"Invoice # in Reference not found on AR sheet",IF(AND(D1222="Bill Payment",H1222=""),"Add the vendor",IF(AND(D1222="Bill Payment",OR(J1222="",COUNTIFS(ap_No,J1222&amp;"",ap_Party,H1222&amp;"")=0)),"Bill # + vendor not found on AP sheet",IF(AND(ISNUMBER(M1222),N(M1222)&lt;&gt;0,W1222=0),"Tax ignored (tax tracking off, or not allowed for this type)",IF(V1222=K1222&amp;"","Same account on both sides",IF(AND(ISNUMBER(StartDate),C1222&lt;StartDate),"Date is before the accounting start date",IF(AND(D1222&lt;&gt;"Adjustment",IFERROR(INDEX(coa_Pay,MATCH(K1222&amp;"",coa_Name,0)),"")&lt;&gt;"Yes"),"Paid From / Deposited To is not a payment account","")))))))))))</f>
        <v/>
      </c>
      <c r="Z1222" s="67">
        <f>IF(AND(T1222=0,X1222=""),1,0)</f>
        <v/>
      </c>
      <c r="AA1222" s="68">
        <f>IF(Z1222=1,IF(U1222="In",L1222,L1222-W1222),0)</f>
        <v/>
      </c>
      <c r="AB1222" s="68">
        <f>IF(Z1222=1,IF(U1222="In",L1222-W1222,L1222),0)</f>
        <v/>
      </c>
      <c r="AC1222" s="68">
        <f>IF(AND(Z1222=1,U1222="Out"),W1222,0)</f>
        <v/>
      </c>
      <c r="AD1222" s="68">
        <f>IF(AND(Z1222=1,U1222="In"),W1222,0)</f>
        <v/>
      </c>
    </row>
    <row r="1223">
      <c r="B1223" s="62" t="inlineStr">
        <is>
          <t>TX-1217</t>
        </is>
      </c>
      <c r="C1223" s="63" t="n"/>
      <c r="D1223" s="62" t="n"/>
      <c r="E1223" s="62" t="n"/>
      <c r="F1223" s="62" t="n"/>
      <c r="G1223" s="62" t="n"/>
      <c r="H1223" s="62" t="n"/>
      <c r="I1223" s="62" t="n"/>
      <c r="J1223" s="62" t="n"/>
      <c r="K1223" s="62" t="n"/>
      <c r="L1223" s="64" t="n"/>
      <c r="M1223" s="64" t="n"/>
      <c r="N1223" s="62" t="n"/>
      <c r="O1223" s="65">
        <f>IF(Z1223=1,L1223-W1223,"")</f>
        <v/>
      </c>
      <c r="P1223" s="66">
        <f>IF(V1223="","",IFERROR(INDEX(coa_Type,MATCH(V1223,coa_Name,0)),""))</f>
        <v/>
      </c>
      <c r="Q1223" s="66">
        <f>IF(Z1223=1,IF(U1223="In",K1223&amp;"",V1223),"")</f>
        <v/>
      </c>
      <c r="R1223" s="66">
        <f>IF(Z1223=1,IF(U1223="In",V1223,K1223&amp;""),"")</f>
        <v/>
      </c>
      <c r="S1223" s="66">
        <f>IF(X1223&lt;&gt;"","⛔ "&amp;X1223&amp;" — not posted",IF(Y1223&lt;&gt;"","⚠ "&amp;Y1223,IF(Z1223=1,"✓ OK","")))</f>
        <v/>
      </c>
      <c r="T1223" s="67">
        <f>IF(AND(C1223="",D1223="",E1223="",L1223="",K1223=""),1,0)</f>
        <v/>
      </c>
      <c r="U1223" s="67">
        <f>IFERROR(INDEX(tt_Dir,MATCH(D1223,tt_Type,0)),"")</f>
        <v/>
      </c>
      <c r="V1223" s="67">
        <f>IF(D1223="","",IFERROR(IF(INDEX(tt_Other,MATCH(D1223,tt_Type,0))="",E1223&amp;"",INDEX(tt_Other,MATCH(D1223,tt_Type,0))),""))</f>
        <v/>
      </c>
      <c r="W1223" s="68">
        <f>IF(OR(TaxOn&lt;&gt;"Yes",NOT(ISNUMBER(M1223))),0,IF(IFERROR(INDEX(tt_Tax,MATCH(D1223,tt_Type,0)),"No")="Yes",M1223,0))</f>
        <v/>
      </c>
      <c r="X1223" s="67">
        <f>IF(T1223=1,"",IF(C1223="","Missing transaction date",IF(NOT(ISNUMBER(C1223)),"Invalid date",IF(OR(C1223&lt;DATE(2000,1,1),C1223&gt;DATE(2099,12,31)),"Invalid date",IF(D1223="","Select a type",IF(U1223="","Unknown type: "&amp;D1223,IF(V1223="","Select an account (Category)",IF(ISNA(MATCH(V1223,coa_Name,0)),"Unknown account: "&amp;V1223,IF(K1223="","Select Paid From / Deposited To",IF(ISNA(MATCH(K1223,coa_Name,0)),"Unknown account: "&amp;K1223,IF(NOT(ISNUMBER(L1223)),"Enter an amount",IF(L1223=0,"Enter an amount",IF(ABS(W1223)&gt;ABS(L1223),"Tax is larger than the amount","")))))))))))))</f>
        <v/>
      </c>
      <c r="Y1223" s="67">
        <f>IF(OR(T1223=1,X1223&lt;&gt;""),"",IF(AND(B1223&lt;&gt;"",COUNTIF(tx_ID,B1223)&gt;1),"Duplicate transaction ID",IF(AND(L1223&lt;0,D1223&lt;&gt;"Adjustment"),"Negative amount — check this entry",IF(AND(D1223="Customer Payment",G1223=""),"Add the customer",IF(AND(D1223="Customer Payment",OR(J1223="",COUNTIF(ar_No,J1223&amp;"")=0)),"Invoice # in Reference not found on AR sheet",IF(AND(D1223="Bill Payment",H1223=""),"Add the vendor",IF(AND(D1223="Bill Payment",OR(J1223="",COUNTIFS(ap_No,J1223&amp;"",ap_Party,H1223&amp;"")=0)),"Bill # + vendor not found on AP sheet",IF(AND(ISNUMBER(M1223),N(M1223)&lt;&gt;0,W1223=0),"Tax ignored (tax tracking off, or not allowed for this type)",IF(V1223=K1223&amp;"","Same account on both sides",IF(AND(ISNUMBER(StartDate),C1223&lt;StartDate),"Date is before the accounting start date",IF(AND(D1223&lt;&gt;"Adjustment",IFERROR(INDEX(coa_Pay,MATCH(K1223&amp;"",coa_Name,0)),"")&lt;&gt;"Yes"),"Paid From / Deposited To is not a payment account","")))))))))))</f>
        <v/>
      </c>
      <c r="Z1223" s="67">
        <f>IF(AND(T1223=0,X1223=""),1,0)</f>
        <v/>
      </c>
      <c r="AA1223" s="68">
        <f>IF(Z1223=1,IF(U1223="In",L1223,L1223-W1223),0)</f>
        <v/>
      </c>
      <c r="AB1223" s="68">
        <f>IF(Z1223=1,IF(U1223="In",L1223-W1223,L1223),0)</f>
        <v/>
      </c>
      <c r="AC1223" s="68">
        <f>IF(AND(Z1223=1,U1223="Out"),W1223,0)</f>
        <v/>
      </c>
      <c r="AD1223" s="68">
        <f>IF(AND(Z1223=1,U1223="In"),W1223,0)</f>
        <v/>
      </c>
    </row>
    <row r="1224">
      <c r="B1224" s="62" t="inlineStr">
        <is>
          <t>TX-1218</t>
        </is>
      </c>
      <c r="C1224" s="63" t="n"/>
      <c r="D1224" s="62" t="n"/>
      <c r="E1224" s="62" t="n"/>
      <c r="F1224" s="62" t="n"/>
      <c r="G1224" s="62" t="n"/>
      <c r="H1224" s="62" t="n"/>
      <c r="I1224" s="62" t="n"/>
      <c r="J1224" s="62" t="n"/>
      <c r="K1224" s="62" t="n"/>
      <c r="L1224" s="64" t="n"/>
      <c r="M1224" s="64" t="n"/>
      <c r="N1224" s="62" t="n"/>
      <c r="O1224" s="65">
        <f>IF(Z1224=1,L1224-W1224,"")</f>
        <v/>
      </c>
      <c r="P1224" s="66">
        <f>IF(V1224="","",IFERROR(INDEX(coa_Type,MATCH(V1224,coa_Name,0)),""))</f>
        <v/>
      </c>
      <c r="Q1224" s="66">
        <f>IF(Z1224=1,IF(U1224="In",K1224&amp;"",V1224),"")</f>
        <v/>
      </c>
      <c r="R1224" s="66">
        <f>IF(Z1224=1,IF(U1224="In",V1224,K1224&amp;""),"")</f>
        <v/>
      </c>
      <c r="S1224" s="66">
        <f>IF(X1224&lt;&gt;"","⛔ "&amp;X1224&amp;" — not posted",IF(Y1224&lt;&gt;"","⚠ "&amp;Y1224,IF(Z1224=1,"✓ OK","")))</f>
        <v/>
      </c>
      <c r="T1224" s="67">
        <f>IF(AND(C1224="",D1224="",E1224="",L1224="",K1224=""),1,0)</f>
        <v/>
      </c>
      <c r="U1224" s="67">
        <f>IFERROR(INDEX(tt_Dir,MATCH(D1224,tt_Type,0)),"")</f>
        <v/>
      </c>
      <c r="V1224" s="67">
        <f>IF(D1224="","",IFERROR(IF(INDEX(tt_Other,MATCH(D1224,tt_Type,0))="",E1224&amp;"",INDEX(tt_Other,MATCH(D1224,tt_Type,0))),""))</f>
        <v/>
      </c>
      <c r="W1224" s="68">
        <f>IF(OR(TaxOn&lt;&gt;"Yes",NOT(ISNUMBER(M1224))),0,IF(IFERROR(INDEX(tt_Tax,MATCH(D1224,tt_Type,0)),"No")="Yes",M1224,0))</f>
        <v/>
      </c>
      <c r="X1224" s="67">
        <f>IF(T1224=1,"",IF(C1224="","Missing transaction date",IF(NOT(ISNUMBER(C1224)),"Invalid date",IF(OR(C1224&lt;DATE(2000,1,1),C1224&gt;DATE(2099,12,31)),"Invalid date",IF(D1224="","Select a type",IF(U1224="","Unknown type: "&amp;D1224,IF(V1224="","Select an account (Category)",IF(ISNA(MATCH(V1224,coa_Name,0)),"Unknown account: "&amp;V1224,IF(K1224="","Select Paid From / Deposited To",IF(ISNA(MATCH(K1224,coa_Name,0)),"Unknown account: "&amp;K1224,IF(NOT(ISNUMBER(L1224)),"Enter an amount",IF(L1224=0,"Enter an amount",IF(ABS(W1224)&gt;ABS(L1224),"Tax is larger than the amount","")))))))))))))</f>
        <v/>
      </c>
      <c r="Y1224" s="67">
        <f>IF(OR(T1224=1,X1224&lt;&gt;""),"",IF(AND(B1224&lt;&gt;"",COUNTIF(tx_ID,B1224)&gt;1),"Duplicate transaction ID",IF(AND(L1224&lt;0,D1224&lt;&gt;"Adjustment"),"Negative amount — check this entry",IF(AND(D1224="Customer Payment",G1224=""),"Add the customer",IF(AND(D1224="Customer Payment",OR(J1224="",COUNTIF(ar_No,J1224&amp;"")=0)),"Invoice # in Reference not found on AR sheet",IF(AND(D1224="Bill Payment",H1224=""),"Add the vendor",IF(AND(D1224="Bill Payment",OR(J1224="",COUNTIFS(ap_No,J1224&amp;"",ap_Party,H1224&amp;"")=0)),"Bill # + vendor not found on AP sheet",IF(AND(ISNUMBER(M1224),N(M1224)&lt;&gt;0,W1224=0),"Tax ignored (tax tracking off, or not allowed for this type)",IF(V1224=K1224&amp;"","Same account on both sides",IF(AND(ISNUMBER(StartDate),C1224&lt;StartDate),"Date is before the accounting start date",IF(AND(D1224&lt;&gt;"Adjustment",IFERROR(INDEX(coa_Pay,MATCH(K1224&amp;"",coa_Name,0)),"")&lt;&gt;"Yes"),"Paid From / Deposited To is not a payment account","")))))))))))</f>
        <v/>
      </c>
      <c r="Z1224" s="67">
        <f>IF(AND(T1224=0,X1224=""),1,0)</f>
        <v/>
      </c>
      <c r="AA1224" s="68">
        <f>IF(Z1224=1,IF(U1224="In",L1224,L1224-W1224),0)</f>
        <v/>
      </c>
      <c r="AB1224" s="68">
        <f>IF(Z1224=1,IF(U1224="In",L1224-W1224,L1224),0)</f>
        <v/>
      </c>
      <c r="AC1224" s="68">
        <f>IF(AND(Z1224=1,U1224="Out"),W1224,0)</f>
        <v/>
      </c>
      <c r="AD1224" s="68">
        <f>IF(AND(Z1224=1,U1224="In"),W1224,0)</f>
        <v/>
      </c>
    </row>
    <row r="1225">
      <c r="B1225" s="62" t="inlineStr">
        <is>
          <t>TX-1219</t>
        </is>
      </c>
      <c r="C1225" s="63" t="n"/>
      <c r="D1225" s="62" t="n"/>
      <c r="E1225" s="62" t="n"/>
      <c r="F1225" s="62" t="n"/>
      <c r="G1225" s="62" t="n"/>
      <c r="H1225" s="62" t="n"/>
      <c r="I1225" s="62" t="n"/>
      <c r="J1225" s="62" t="n"/>
      <c r="K1225" s="62" t="n"/>
      <c r="L1225" s="64" t="n"/>
      <c r="M1225" s="64" t="n"/>
      <c r="N1225" s="62" t="n"/>
      <c r="O1225" s="65">
        <f>IF(Z1225=1,L1225-W1225,"")</f>
        <v/>
      </c>
      <c r="P1225" s="66">
        <f>IF(V1225="","",IFERROR(INDEX(coa_Type,MATCH(V1225,coa_Name,0)),""))</f>
        <v/>
      </c>
      <c r="Q1225" s="66">
        <f>IF(Z1225=1,IF(U1225="In",K1225&amp;"",V1225),"")</f>
        <v/>
      </c>
      <c r="R1225" s="66">
        <f>IF(Z1225=1,IF(U1225="In",V1225,K1225&amp;""),"")</f>
        <v/>
      </c>
      <c r="S1225" s="66">
        <f>IF(X1225&lt;&gt;"","⛔ "&amp;X1225&amp;" — not posted",IF(Y1225&lt;&gt;"","⚠ "&amp;Y1225,IF(Z1225=1,"✓ OK","")))</f>
        <v/>
      </c>
      <c r="T1225" s="67">
        <f>IF(AND(C1225="",D1225="",E1225="",L1225="",K1225=""),1,0)</f>
        <v/>
      </c>
      <c r="U1225" s="67">
        <f>IFERROR(INDEX(tt_Dir,MATCH(D1225,tt_Type,0)),"")</f>
        <v/>
      </c>
      <c r="V1225" s="67">
        <f>IF(D1225="","",IFERROR(IF(INDEX(tt_Other,MATCH(D1225,tt_Type,0))="",E1225&amp;"",INDEX(tt_Other,MATCH(D1225,tt_Type,0))),""))</f>
        <v/>
      </c>
      <c r="W1225" s="68">
        <f>IF(OR(TaxOn&lt;&gt;"Yes",NOT(ISNUMBER(M1225))),0,IF(IFERROR(INDEX(tt_Tax,MATCH(D1225,tt_Type,0)),"No")="Yes",M1225,0))</f>
        <v/>
      </c>
      <c r="X1225" s="67">
        <f>IF(T1225=1,"",IF(C1225="","Missing transaction date",IF(NOT(ISNUMBER(C1225)),"Invalid date",IF(OR(C1225&lt;DATE(2000,1,1),C1225&gt;DATE(2099,12,31)),"Invalid date",IF(D1225="","Select a type",IF(U1225="","Unknown type: "&amp;D1225,IF(V1225="","Select an account (Category)",IF(ISNA(MATCH(V1225,coa_Name,0)),"Unknown account: "&amp;V1225,IF(K1225="","Select Paid From / Deposited To",IF(ISNA(MATCH(K1225,coa_Name,0)),"Unknown account: "&amp;K1225,IF(NOT(ISNUMBER(L1225)),"Enter an amount",IF(L1225=0,"Enter an amount",IF(ABS(W1225)&gt;ABS(L1225),"Tax is larger than the amount","")))))))))))))</f>
        <v/>
      </c>
      <c r="Y1225" s="67">
        <f>IF(OR(T1225=1,X1225&lt;&gt;""),"",IF(AND(B1225&lt;&gt;"",COUNTIF(tx_ID,B1225)&gt;1),"Duplicate transaction ID",IF(AND(L1225&lt;0,D1225&lt;&gt;"Adjustment"),"Negative amount — check this entry",IF(AND(D1225="Customer Payment",G1225=""),"Add the customer",IF(AND(D1225="Customer Payment",OR(J1225="",COUNTIF(ar_No,J1225&amp;"")=0)),"Invoice # in Reference not found on AR sheet",IF(AND(D1225="Bill Payment",H1225=""),"Add the vendor",IF(AND(D1225="Bill Payment",OR(J1225="",COUNTIFS(ap_No,J1225&amp;"",ap_Party,H1225&amp;"")=0)),"Bill # + vendor not found on AP sheet",IF(AND(ISNUMBER(M1225),N(M1225)&lt;&gt;0,W1225=0),"Tax ignored (tax tracking off, or not allowed for this type)",IF(V1225=K1225&amp;"","Same account on both sides",IF(AND(ISNUMBER(StartDate),C1225&lt;StartDate),"Date is before the accounting start date",IF(AND(D1225&lt;&gt;"Adjustment",IFERROR(INDEX(coa_Pay,MATCH(K1225&amp;"",coa_Name,0)),"")&lt;&gt;"Yes"),"Paid From / Deposited To is not a payment account","")))))))))))</f>
        <v/>
      </c>
      <c r="Z1225" s="67">
        <f>IF(AND(T1225=0,X1225=""),1,0)</f>
        <v/>
      </c>
      <c r="AA1225" s="68">
        <f>IF(Z1225=1,IF(U1225="In",L1225,L1225-W1225),0)</f>
        <v/>
      </c>
      <c r="AB1225" s="68">
        <f>IF(Z1225=1,IF(U1225="In",L1225-W1225,L1225),0)</f>
        <v/>
      </c>
      <c r="AC1225" s="68">
        <f>IF(AND(Z1225=1,U1225="Out"),W1225,0)</f>
        <v/>
      </c>
      <c r="AD1225" s="68">
        <f>IF(AND(Z1225=1,U1225="In"),W1225,0)</f>
        <v/>
      </c>
    </row>
    <row r="1226">
      <c r="B1226" s="62" t="inlineStr">
        <is>
          <t>TX-1220</t>
        </is>
      </c>
      <c r="C1226" s="63" t="n"/>
      <c r="D1226" s="62" t="n"/>
      <c r="E1226" s="62" t="n"/>
      <c r="F1226" s="62" t="n"/>
      <c r="G1226" s="62" t="n"/>
      <c r="H1226" s="62" t="n"/>
      <c r="I1226" s="62" t="n"/>
      <c r="J1226" s="62" t="n"/>
      <c r="K1226" s="62" t="n"/>
      <c r="L1226" s="64" t="n"/>
      <c r="M1226" s="64" t="n"/>
      <c r="N1226" s="62" t="n"/>
      <c r="O1226" s="65">
        <f>IF(Z1226=1,L1226-W1226,"")</f>
        <v/>
      </c>
      <c r="P1226" s="66">
        <f>IF(V1226="","",IFERROR(INDEX(coa_Type,MATCH(V1226,coa_Name,0)),""))</f>
        <v/>
      </c>
      <c r="Q1226" s="66">
        <f>IF(Z1226=1,IF(U1226="In",K1226&amp;"",V1226),"")</f>
        <v/>
      </c>
      <c r="R1226" s="66">
        <f>IF(Z1226=1,IF(U1226="In",V1226,K1226&amp;""),"")</f>
        <v/>
      </c>
      <c r="S1226" s="66">
        <f>IF(X1226&lt;&gt;"","⛔ "&amp;X1226&amp;" — not posted",IF(Y1226&lt;&gt;"","⚠ "&amp;Y1226,IF(Z1226=1,"✓ OK","")))</f>
        <v/>
      </c>
      <c r="T1226" s="67">
        <f>IF(AND(C1226="",D1226="",E1226="",L1226="",K1226=""),1,0)</f>
        <v/>
      </c>
      <c r="U1226" s="67">
        <f>IFERROR(INDEX(tt_Dir,MATCH(D1226,tt_Type,0)),"")</f>
        <v/>
      </c>
      <c r="V1226" s="67">
        <f>IF(D1226="","",IFERROR(IF(INDEX(tt_Other,MATCH(D1226,tt_Type,0))="",E1226&amp;"",INDEX(tt_Other,MATCH(D1226,tt_Type,0))),""))</f>
        <v/>
      </c>
      <c r="W1226" s="68">
        <f>IF(OR(TaxOn&lt;&gt;"Yes",NOT(ISNUMBER(M1226))),0,IF(IFERROR(INDEX(tt_Tax,MATCH(D1226,tt_Type,0)),"No")="Yes",M1226,0))</f>
        <v/>
      </c>
      <c r="X1226" s="67">
        <f>IF(T1226=1,"",IF(C1226="","Missing transaction date",IF(NOT(ISNUMBER(C1226)),"Invalid date",IF(OR(C1226&lt;DATE(2000,1,1),C1226&gt;DATE(2099,12,31)),"Invalid date",IF(D1226="","Select a type",IF(U1226="","Unknown type: "&amp;D1226,IF(V1226="","Select an account (Category)",IF(ISNA(MATCH(V1226,coa_Name,0)),"Unknown account: "&amp;V1226,IF(K1226="","Select Paid From / Deposited To",IF(ISNA(MATCH(K1226,coa_Name,0)),"Unknown account: "&amp;K1226,IF(NOT(ISNUMBER(L1226)),"Enter an amount",IF(L1226=0,"Enter an amount",IF(ABS(W1226)&gt;ABS(L1226),"Tax is larger than the amount","")))))))))))))</f>
        <v/>
      </c>
      <c r="Y1226" s="67">
        <f>IF(OR(T1226=1,X1226&lt;&gt;""),"",IF(AND(B1226&lt;&gt;"",COUNTIF(tx_ID,B1226)&gt;1),"Duplicate transaction ID",IF(AND(L1226&lt;0,D1226&lt;&gt;"Adjustment"),"Negative amount — check this entry",IF(AND(D1226="Customer Payment",G1226=""),"Add the customer",IF(AND(D1226="Customer Payment",OR(J1226="",COUNTIF(ar_No,J1226&amp;"")=0)),"Invoice # in Reference not found on AR sheet",IF(AND(D1226="Bill Payment",H1226=""),"Add the vendor",IF(AND(D1226="Bill Payment",OR(J1226="",COUNTIFS(ap_No,J1226&amp;"",ap_Party,H1226&amp;"")=0)),"Bill # + vendor not found on AP sheet",IF(AND(ISNUMBER(M1226),N(M1226)&lt;&gt;0,W1226=0),"Tax ignored (tax tracking off, or not allowed for this type)",IF(V1226=K1226&amp;"","Same account on both sides",IF(AND(ISNUMBER(StartDate),C1226&lt;StartDate),"Date is before the accounting start date",IF(AND(D1226&lt;&gt;"Adjustment",IFERROR(INDEX(coa_Pay,MATCH(K1226&amp;"",coa_Name,0)),"")&lt;&gt;"Yes"),"Paid From / Deposited To is not a payment account","")))))))))))</f>
        <v/>
      </c>
      <c r="Z1226" s="67">
        <f>IF(AND(T1226=0,X1226=""),1,0)</f>
        <v/>
      </c>
      <c r="AA1226" s="68">
        <f>IF(Z1226=1,IF(U1226="In",L1226,L1226-W1226),0)</f>
        <v/>
      </c>
      <c r="AB1226" s="68">
        <f>IF(Z1226=1,IF(U1226="In",L1226-W1226,L1226),0)</f>
        <v/>
      </c>
      <c r="AC1226" s="68">
        <f>IF(AND(Z1226=1,U1226="Out"),W1226,0)</f>
        <v/>
      </c>
      <c r="AD1226" s="68">
        <f>IF(AND(Z1226=1,U1226="In"),W1226,0)</f>
        <v/>
      </c>
    </row>
    <row r="1227">
      <c r="B1227" s="62" t="inlineStr">
        <is>
          <t>TX-1221</t>
        </is>
      </c>
      <c r="C1227" s="63" t="n"/>
      <c r="D1227" s="62" t="n"/>
      <c r="E1227" s="62" t="n"/>
      <c r="F1227" s="62" t="n"/>
      <c r="G1227" s="62" t="n"/>
      <c r="H1227" s="62" t="n"/>
      <c r="I1227" s="62" t="n"/>
      <c r="J1227" s="62" t="n"/>
      <c r="K1227" s="62" t="n"/>
      <c r="L1227" s="64" t="n"/>
      <c r="M1227" s="64" t="n"/>
      <c r="N1227" s="62" t="n"/>
      <c r="O1227" s="65">
        <f>IF(Z1227=1,L1227-W1227,"")</f>
        <v/>
      </c>
      <c r="P1227" s="66">
        <f>IF(V1227="","",IFERROR(INDEX(coa_Type,MATCH(V1227,coa_Name,0)),""))</f>
        <v/>
      </c>
      <c r="Q1227" s="66">
        <f>IF(Z1227=1,IF(U1227="In",K1227&amp;"",V1227),"")</f>
        <v/>
      </c>
      <c r="R1227" s="66">
        <f>IF(Z1227=1,IF(U1227="In",V1227,K1227&amp;""),"")</f>
        <v/>
      </c>
      <c r="S1227" s="66">
        <f>IF(X1227&lt;&gt;"","⛔ "&amp;X1227&amp;" — not posted",IF(Y1227&lt;&gt;"","⚠ "&amp;Y1227,IF(Z1227=1,"✓ OK","")))</f>
        <v/>
      </c>
      <c r="T1227" s="67">
        <f>IF(AND(C1227="",D1227="",E1227="",L1227="",K1227=""),1,0)</f>
        <v/>
      </c>
      <c r="U1227" s="67">
        <f>IFERROR(INDEX(tt_Dir,MATCH(D1227,tt_Type,0)),"")</f>
        <v/>
      </c>
      <c r="V1227" s="67">
        <f>IF(D1227="","",IFERROR(IF(INDEX(tt_Other,MATCH(D1227,tt_Type,0))="",E1227&amp;"",INDEX(tt_Other,MATCH(D1227,tt_Type,0))),""))</f>
        <v/>
      </c>
      <c r="W1227" s="68">
        <f>IF(OR(TaxOn&lt;&gt;"Yes",NOT(ISNUMBER(M1227))),0,IF(IFERROR(INDEX(tt_Tax,MATCH(D1227,tt_Type,0)),"No")="Yes",M1227,0))</f>
        <v/>
      </c>
      <c r="X1227" s="67">
        <f>IF(T1227=1,"",IF(C1227="","Missing transaction date",IF(NOT(ISNUMBER(C1227)),"Invalid date",IF(OR(C1227&lt;DATE(2000,1,1),C1227&gt;DATE(2099,12,31)),"Invalid date",IF(D1227="","Select a type",IF(U1227="","Unknown type: "&amp;D1227,IF(V1227="","Select an account (Category)",IF(ISNA(MATCH(V1227,coa_Name,0)),"Unknown account: "&amp;V1227,IF(K1227="","Select Paid From / Deposited To",IF(ISNA(MATCH(K1227,coa_Name,0)),"Unknown account: "&amp;K1227,IF(NOT(ISNUMBER(L1227)),"Enter an amount",IF(L1227=0,"Enter an amount",IF(ABS(W1227)&gt;ABS(L1227),"Tax is larger than the amount","")))))))))))))</f>
        <v/>
      </c>
      <c r="Y1227" s="67">
        <f>IF(OR(T1227=1,X1227&lt;&gt;""),"",IF(AND(B1227&lt;&gt;"",COUNTIF(tx_ID,B1227)&gt;1),"Duplicate transaction ID",IF(AND(L1227&lt;0,D1227&lt;&gt;"Adjustment"),"Negative amount — check this entry",IF(AND(D1227="Customer Payment",G1227=""),"Add the customer",IF(AND(D1227="Customer Payment",OR(J1227="",COUNTIF(ar_No,J1227&amp;"")=0)),"Invoice # in Reference not found on AR sheet",IF(AND(D1227="Bill Payment",H1227=""),"Add the vendor",IF(AND(D1227="Bill Payment",OR(J1227="",COUNTIFS(ap_No,J1227&amp;"",ap_Party,H1227&amp;"")=0)),"Bill # + vendor not found on AP sheet",IF(AND(ISNUMBER(M1227),N(M1227)&lt;&gt;0,W1227=0),"Tax ignored (tax tracking off, or not allowed for this type)",IF(V1227=K1227&amp;"","Same account on both sides",IF(AND(ISNUMBER(StartDate),C1227&lt;StartDate),"Date is before the accounting start date",IF(AND(D1227&lt;&gt;"Adjustment",IFERROR(INDEX(coa_Pay,MATCH(K1227&amp;"",coa_Name,0)),"")&lt;&gt;"Yes"),"Paid From / Deposited To is not a payment account","")))))))))))</f>
        <v/>
      </c>
      <c r="Z1227" s="67">
        <f>IF(AND(T1227=0,X1227=""),1,0)</f>
        <v/>
      </c>
      <c r="AA1227" s="68">
        <f>IF(Z1227=1,IF(U1227="In",L1227,L1227-W1227),0)</f>
        <v/>
      </c>
      <c r="AB1227" s="68">
        <f>IF(Z1227=1,IF(U1227="In",L1227-W1227,L1227),0)</f>
        <v/>
      </c>
      <c r="AC1227" s="68">
        <f>IF(AND(Z1227=1,U1227="Out"),W1227,0)</f>
        <v/>
      </c>
      <c r="AD1227" s="68">
        <f>IF(AND(Z1227=1,U1227="In"),W1227,0)</f>
        <v/>
      </c>
    </row>
    <row r="1228">
      <c r="B1228" s="62" t="inlineStr">
        <is>
          <t>TX-1222</t>
        </is>
      </c>
      <c r="C1228" s="63" t="n"/>
      <c r="D1228" s="62" t="n"/>
      <c r="E1228" s="62" t="n"/>
      <c r="F1228" s="62" t="n"/>
      <c r="G1228" s="62" t="n"/>
      <c r="H1228" s="62" t="n"/>
      <c r="I1228" s="62" t="n"/>
      <c r="J1228" s="62" t="n"/>
      <c r="K1228" s="62" t="n"/>
      <c r="L1228" s="64" t="n"/>
      <c r="M1228" s="64" t="n"/>
      <c r="N1228" s="62" t="n"/>
      <c r="O1228" s="65">
        <f>IF(Z1228=1,L1228-W1228,"")</f>
        <v/>
      </c>
      <c r="P1228" s="66">
        <f>IF(V1228="","",IFERROR(INDEX(coa_Type,MATCH(V1228,coa_Name,0)),""))</f>
        <v/>
      </c>
      <c r="Q1228" s="66">
        <f>IF(Z1228=1,IF(U1228="In",K1228&amp;"",V1228),"")</f>
        <v/>
      </c>
      <c r="R1228" s="66">
        <f>IF(Z1228=1,IF(U1228="In",V1228,K1228&amp;""),"")</f>
        <v/>
      </c>
      <c r="S1228" s="66">
        <f>IF(X1228&lt;&gt;"","⛔ "&amp;X1228&amp;" — not posted",IF(Y1228&lt;&gt;"","⚠ "&amp;Y1228,IF(Z1228=1,"✓ OK","")))</f>
        <v/>
      </c>
      <c r="T1228" s="67">
        <f>IF(AND(C1228="",D1228="",E1228="",L1228="",K1228=""),1,0)</f>
        <v/>
      </c>
      <c r="U1228" s="67">
        <f>IFERROR(INDEX(tt_Dir,MATCH(D1228,tt_Type,0)),"")</f>
        <v/>
      </c>
      <c r="V1228" s="67">
        <f>IF(D1228="","",IFERROR(IF(INDEX(tt_Other,MATCH(D1228,tt_Type,0))="",E1228&amp;"",INDEX(tt_Other,MATCH(D1228,tt_Type,0))),""))</f>
        <v/>
      </c>
      <c r="W1228" s="68">
        <f>IF(OR(TaxOn&lt;&gt;"Yes",NOT(ISNUMBER(M1228))),0,IF(IFERROR(INDEX(tt_Tax,MATCH(D1228,tt_Type,0)),"No")="Yes",M1228,0))</f>
        <v/>
      </c>
      <c r="X1228" s="67">
        <f>IF(T1228=1,"",IF(C1228="","Missing transaction date",IF(NOT(ISNUMBER(C1228)),"Invalid date",IF(OR(C1228&lt;DATE(2000,1,1),C1228&gt;DATE(2099,12,31)),"Invalid date",IF(D1228="","Select a type",IF(U1228="","Unknown type: "&amp;D1228,IF(V1228="","Select an account (Category)",IF(ISNA(MATCH(V1228,coa_Name,0)),"Unknown account: "&amp;V1228,IF(K1228="","Select Paid From / Deposited To",IF(ISNA(MATCH(K1228,coa_Name,0)),"Unknown account: "&amp;K1228,IF(NOT(ISNUMBER(L1228)),"Enter an amount",IF(L1228=0,"Enter an amount",IF(ABS(W1228)&gt;ABS(L1228),"Tax is larger than the amount","")))))))))))))</f>
        <v/>
      </c>
      <c r="Y1228" s="67">
        <f>IF(OR(T1228=1,X1228&lt;&gt;""),"",IF(AND(B1228&lt;&gt;"",COUNTIF(tx_ID,B1228)&gt;1),"Duplicate transaction ID",IF(AND(L1228&lt;0,D1228&lt;&gt;"Adjustment"),"Negative amount — check this entry",IF(AND(D1228="Customer Payment",G1228=""),"Add the customer",IF(AND(D1228="Customer Payment",OR(J1228="",COUNTIF(ar_No,J1228&amp;"")=0)),"Invoice # in Reference not found on AR sheet",IF(AND(D1228="Bill Payment",H1228=""),"Add the vendor",IF(AND(D1228="Bill Payment",OR(J1228="",COUNTIFS(ap_No,J1228&amp;"",ap_Party,H1228&amp;"")=0)),"Bill # + vendor not found on AP sheet",IF(AND(ISNUMBER(M1228),N(M1228)&lt;&gt;0,W1228=0),"Tax ignored (tax tracking off, or not allowed for this type)",IF(V1228=K1228&amp;"","Same account on both sides",IF(AND(ISNUMBER(StartDate),C1228&lt;StartDate),"Date is before the accounting start date",IF(AND(D1228&lt;&gt;"Adjustment",IFERROR(INDEX(coa_Pay,MATCH(K1228&amp;"",coa_Name,0)),"")&lt;&gt;"Yes"),"Paid From / Deposited To is not a payment account","")))))))))))</f>
        <v/>
      </c>
      <c r="Z1228" s="67">
        <f>IF(AND(T1228=0,X1228=""),1,0)</f>
        <v/>
      </c>
      <c r="AA1228" s="68">
        <f>IF(Z1228=1,IF(U1228="In",L1228,L1228-W1228),0)</f>
        <v/>
      </c>
      <c r="AB1228" s="68">
        <f>IF(Z1228=1,IF(U1228="In",L1228-W1228,L1228),0)</f>
        <v/>
      </c>
      <c r="AC1228" s="68">
        <f>IF(AND(Z1228=1,U1228="Out"),W1228,0)</f>
        <v/>
      </c>
      <c r="AD1228" s="68">
        <f>IF(AND(Z1228=1,U1228="In"),W1228,0)</f>
        <v/>
      </c>
    </row>
    <row r="1229">
      <c r="B1229" s="62" t="inlineStr">
        <is>
          <t>TX-1223</t>
        </is>
      </c>
      <c r="C1229" s="63" t="n"/>
      <c r="D1229" s="62" t="n"/>
      <c r="E1229" s="62" t="n"/>
      <c r="F1229" s="62" t="n"/>
      <c r="G1229" s="62" t="n"/>
      <c r="H1229" s="62" t="n"/>
      <c r="I1229" s="62" t="n"/>
      <c r="J1229" s="62" t="n"/>
      <c r="K1229" s="62" t="n"/>
      <c r="L1229" s="64" t="n"/>
      <c r="M1229" s="64" t="n"/>
      <c r="N1229" s="62" t="n"/>
      <c r="O1229" s="65">
        <f>IF(Z1229=1,L1229-W1229,"")</f>
        <v/>
      </c>
      <c r="P1229" s="66">
        <f>IF(V1229="","",IFERROR(INDEX(coa_Type,MATCH(V1229,coa_Name,0)),""))</f>
        <v/>
      </c>
      <c r="Q1229" s="66">
        <f>IF(Z1229=1,IF(U1229="In",K1229&amp;"",V1229),"")</f>
        <v/>
      </c>
      <c r="R1229" s="66">
        <f>IF(Z1229=1,IF(U1229="In",V1229,K1229&amp;""),"")</f>
        <v/>
      </c>
      <c r="S1229" s="66">
        <f>IF(X1229&lt;&gt;"","⛔ "&amp;X1229&amp;" — not posted",IF(Y1229&lt;&gt;"","⚠ "&amp;Y1229,IF(Z1229=1,"✓ OK","")))</f>
        <v/>
      </c>
      <c r="T1229" s="67">
        <f>IF(AND(C1229="",D1229="",E1229="",L1229="",K1229=""),1,0)</f>
        <v/>
      </c>
      <c r="U1229" s="67">
        <f>IFERROR(INDEX(tt_Dir,MATCH(D1229,tt_Type,0)),"")</f>
        <v/>
      </c>
      <c r="V1229" s="67">
        <f>IF(D1229="","",IFERROR(IF(INDEX(tt_Other,MATCH(D1229,tt_Type,0))="",E1229&amp;"",INDEX(tt_Other,MATCH(D1229,tt_Type,0))),""))</f>
        <v/>
      </c>
      <c r="W1229" s="68">
        <f>IF(OR(TaxOn&lt;&gt;"Yes",NOT(ISNUMBER(M1229))),0,IF(IFERROR(INDEX(tt_Tax,MATCH(D1229,tt_Type,0)),"No")="Yes",M1229,0))</f>
        <v/>
      </c>
      <c r="X1229" s="67">
        <f>IF(T1229=1,"",IF(C1229="","Missing transaction date",IF(NOT(ISNUMBER(C1229)),"Invalid date",IF(OR(C1229&lt;DATE(2000,1,1),C1229&gt;DATE(2099,12,31)),"Invalid date",IF(D1229="","Select a type",IF(U1229="","Unknown type: "&amp;D1229,IF(V1229="","Select an account (Category)",IF(ISNA(MATCH(V1229,coa_Name,0)),"Unknown account: "&amp;V1229,IF(K1229="","Select Paid From / Deposited To",IF(ISNA(MATCH(K1229,coa_Name,0)),"Unknown account: "&amp;K1229,IF(NOT(ISNUMBER(L1229)),"Enter an amount",IF(L1229=0,"Enter an amount",IF(ABS(W1229)&gt;ABS(L1229),"Tax is larger than the amount","")))))))))))))</f>
        <v/>
      </c>
      <c r="Y1229" s="67">
        <f>IF(OR(T1229=1,X1229&lt;&gt;""),"",IF(AND(B1229&lt;&gt;"",COUNTIF(tx_ID,B1229)&gt;1),"Duplicate transaction ID",IF(AND(L1229&lt;0,D1229&lt;&gt;"Adjustment"),"Negative amount — check this entry",IF(AND(D1229="Customer Payment",G1229=""),"Add the customer",IF(AND(D1229="Customer Payment",OR(J1229="",COUNTIF(ar_No,J1229&amp;"")=0)),"Invoice # in Reference not found on AR sheet",IF(AND(D1229="Bill Payment",H1229=""),"Add the vendor",IF(AND(D1229="Bill Payment",OR(J1229="",COUNTIFS(ap_No,J1229&amp;"",ap_Party,H1229&amp;"")=0)),"Bill # + vendor not found on AP sheet",IF(AND(ISNUMBER(M1229),N(M1229)&lt;&gt;0,W1229=0),"Tax ignored (tax tracking off, or not allowed for this type)",IF(V1229=K1229&amp;"","Same account on both sides",IF(AND(ISNUMBER(StartDate),C1229&lt;StartDate),"Date is before the accounting start date",IF(AND(D1229&lt;&gt;"Adjustment",IFERROR(INDEX(coa_Pay,MATCH(K1229&amp;"",coa_Name,0)),"")&lt;&gt;"Yes"),"Paid From / Deposited To is not a payment account","")))))))))))</f>
        <v/>
      </c>
      <c r="Z1229" s="67">
        <f>IF(AND(T1229=0,X1229=""),1,0)</f>
        <v/>
      </c>
      <c r="AA1229" s="68">
        <f>IF(Z1229=1,IF(U1229="In",L1229,L1229-W1229),0)</f>
        <v/>
      </c>
      <c r="AB1229" s="68">
        <f>IF(Z1229=1,IF(U1229="In",L1229-W1229,L1229),0)</f>
        <v/>
      </c>
      <c r="AC1229" s="68">
        <f>IF(AND(Z1229=1,U1229="Out"),W1229,0)</f>
        <v/>
      </c>
      <c r="AD1229" s="68">
        <f>IF(AND(Z1229=1,U1229="In"),W1229,0)</f>
        <v/>
      </c>
    </row>
    <row r="1230">
      <c r="B1230" s="62" t="inlineStr">
        <is>
          <t>TX-1224</t>
        </is>
      </c>
      <c r="C1230" s="63" t="n"/>
      <c r="D1230" s="62" t="n"/>
      <c r="E1230" s="62" t="n"/>
      <c r="F1230" s="62" t="n"/>
      <c r="G1230" s="62" t="n"/>
      <c r="H1230" s="62" t="n"/>
      <c r="I1230" s="62" t="n"/>
      <c r="J1230" s="62" t="n"/>
      <c r="K1230" s="62" t="n"/>
      <c r="L1230" s="64" t="n"/>
      <c r="M1230" s="64" t="n"/>
      <c r="N1230" s="62" t="n"/>
      <c r="O1230" s="65">
        <f>IF(Z1230=1,L1230-W1230,"")</f>
        <v/>
      </c>
      <c r="P1230" s="66">
        <f>IF(V1230="","",IFERROR(INDEX(coa_Type,MATCH(V1230,coa_Name,0)),""))</f>
        <v/>
      </c>
      <c r="Q1230" s="66">
        <f>IF(Z1230=1,IF(U1230="In",K1230&amp;"",V1230),"")</f>
        <v/>
      </c>
      <c r="R1230" s="66">
        <f>IF(Z1230=1,IF(U1230="In",V1230,K1230&amp;""),"")</f>
        <v/>
      </c>
      <c r="S1230" s="66">
        <f>IF(X1230&lt;&gt;"","⛔ "&amp;X1230&amp;" — not posted",IF(Y1230&lt;&gt;"","⚠ "&amp;Y1230,IF(Z1230=1,"✓ OK","")))</f>
        <v/>
      </c>
      <c r="T1230" s="67">
        <f>IF(AND(C1230="",D1230="",E1230="",L1230="",K1230=""),1,0)</f>
        <v/>
      </c>
      <c r="U1230" s="67">
        <f>IFERROR(INDEX(tt_Dir,MATCH(D1230,tt_Type,0)),"")</f>
        <v/>
      </c>
      <c r="V1230" s="67">
        <f>IF(D1230="","",IFERROR(IF(INDEX(tt_Other,MATCH(D1230,tt_Type,0))="",E1230&amp;"",INDEX(tt_Other,MATCH(D1230,tt_Type,0))),""))</f>
        <v/>
      </c>
      <c r="W1230" s="68">
        <f>IF(OR(TaxOn&lt;&gt;"Yes",NOT(ISNUMBER(M1230))),0,IF(IFERROR(INDEX(tt_Tax,MATCH(D1230,tt_Type,0)),"No")="Yes",M1230,0))</f>
        <v/>
      </c>
      <c r="X1230" s="67">
        <f>IF(T1230=1,"",IF(C1230="","Missing transaction date",IF(NOT(ISNUMBER(C1230)),"Invalid date",IF(OR(C1230&lt;DATE(2000,1,1),C1230&gt;DATE(2099,12,31)),"Invalid date",IF(D1230="","Select a type",IF(U1230="","Unknown type: "&amp;D1230,IF(V1230="","Select an account (Category)",IF(ISNA(MATCH(V1230,coa_Name,0)),"Unknown account: "&amp;V1230,IF(K1230="","Select Paid From / Deposited To",IF(ISNA(MATCH(K1230,coa_Name,0)),"Unknown account: "&amp;K1230,IF(NOT(ISNUMBER(L1230)),"Enter an amount",IF(L1230=0,"Enter an amount",IF(ABS(W1230)&gt;ABS(L1230),"Tax is larger than the amount","")))))))))))))</f>
        <v/>
      </c>
      <c r="Y1230" s="67">
        <f>IF(OR(T1230=1,X1230&lt;&gt;""),"",IF(AND(B1230&lt;&gt;"",COUNTIF(tx_ID,B1230)&gt;1),"Duplicate transaction ID",IF(AND(L1230&lt;0,D1230&lt;&gt;"Adjustment"),"Negative amount — check this entry",IF(AND(D1230="Customer Payment",G1230=""),"Add the customer",IF(AND(D1230="Customer Payment",OR(J1230="",COUNTIF(ar_No,J1230&amp;"")=0)),"Invoice # in Reference not found on AR sheet",IF(AND(D1230="Bill Payment",H1230=""),"Add the vendor",IF(AND(D1230="Bill Payment",OR(J1230="",COUNTIFS(ap_No,J1230&amp;"",ap_Party,H1230&amp;"")=0)),"Bill # + vendor not found on AP sheet",IF(AND(ISNUMBER(M1230),N(M1230)&lt;&gt;0,W1230=0),"Tax ignored (tax tracking off, or not allowed for this type)",IF(V1230=K1230&amp;"","Same account on both sides",IF(AND(ISNUMBER(StartDate),C1230&lt;StartDate),"Date is before the accounting start date",IF(AND(D1230&lt;&gt;"Adjustment",IFERROR(INDEX(coa_Pay,MATCH(K1230&amp;"",coa_Name,0)),"")&lt;&gt;"Yes"),"Paid From / Deposited To is not a payment account","")))))))))))</f>
        <v/>
      </c>
      <c r="Z1230" s="67">
        <f>IF(AND(T1230=0,X1230=""),1,0)</f>
        <v/>
      </c>
      <c r="AA1230" s="68">
        <f>IF(Z1230=1,IF(U1230="In",L1230,L1230-W1230),0)</f>
        <v/>
      </c>
      <c r="AB1230" s="68">
        <f>IF(Z1230=1,IF(U1230="In",L1230-W1230,L1230),0)</f>
        <v/>
      </c>
      <c r="AC1230" s="68">
        <f>IF(AND(Z1230=1,U1230="Out"),W1230,0)</f>
        <v/>
      </c>
      <c r="AD1230" s="68">
        <f>IF(AND(Z1230=1,U1230="In"),W1230,0)</f>
        <v/>
      </c>
    </row>
    <row r="1231">
      <c r="B1231" s="62" t="inlineStr">
        <is>
          <t>TX-1225</t>
        </is>
      </c>
      <c r="C1231" s="63" t="n"/>
      <c r="D1231" s="62" t="n"/>
      <c r="E1231" s="62" t="n"/>
      <c r="F1231" s="62" t="n"/>
      <c r="G1231" s="62" t="n"/>
      <c r="H1231" s="62" t="n"/>
      <c r="I1231" s="62" t="n"/>
      <c r="J1231" s="62" t="n"/>
      <c r="K1231" s="62" t="n"/>
      <c r="L1231" s="64" t="n"/>
      <c r="M1231" s="64" t="n"/>
      <c r="N1231" s="62" t="n"/>
      <c r="O1231" s="65">
        <f>IF(Z1231=1,L1231-W1231,"")</f>
        <v/>
      </c>
      <c r="P1231" s="66">
        <f>IF(V1231="","",IFERROR(INDEX(coa_Type,MATCH(V1231,coa_Name,0)),""))</f>
        <v/>
      </c>
      <c r="Q1231" s="66">
        <f>IF(Z1231=1,IF(U1231="In",K1231&amp;"",V1231),"")</f>
        <v/>
      </c>
      <c r="R1231" s="66">
        <f>IF(Z1231=1,IF(U1231="In",V1231,K1231&amp;""),"")</f>
        <v/>
      </c>
      <c r="S1231" s="66">
        <f>IF(X1231&lt;&gt;"","⛔ "&amp;X1231&amp;" — not posted",IF(Y1231&lt;&gt;"","⚠ "&amp;Y1231,IF(Z1231=1,"✓ OK","")))</f>
        <v/>
      </c>
      <c r="T1231" s="67">
        <f>IF(AND(C1231="",D1231="",E1231="",L1231="",K1231=""),1,0)</f>
        <v/>
      </c>
      <c r="U1231" s="67">
        <f>IFERROR(INDEX(tt_Dir,MATCH(D1231,tt_Type,0)),"")</f>
        <v/>
      </c>
      <c r="V1231" s="67">
        <f>IF(D1231="","",IFERROR(IF(INDEX(tt_Other,MATCH(D1231,tt_Type,0))="",E1231&amp;"",INDEX(tt_Other,MATCH(D1231,tt_Type,0))),""))</f>
        <v/>
      </c>
      <c r="W1231" s="68">
        <f>IF(OR(TaxOn&lt;&gt;"Yes",NOT(ISNUMBER(M1231))),0,IF(IFERROR(INDEX(tt_Tax,MATCH(D1231,tt_Type,0)),"No")="Yes",M1231,0))</f>
        <v/>
      </c>
      <c r="X1231" s="67">
        <f>IF(T1231=1,"",IF(C1231="","Missing transaction date",IF(NOT(ISNUMBER(C1231)),"Invalid date",IF(OR(C1231&lt;DATE(2000,1,1),C1231&gt;DATE(2099,12,31)),"Invalid date",IF(D1231="","Select a type",IF(U1231="","Unknown type: "&amp;D1231,IF(V1231="","Select an account (Category)",IF(ISNA(MATCH(V1231,coa_Name,0)),"Unknown account: "&amp;V1231,IF(K1231="","Select Paid From / Deposited To",IF(ISNA(MATCH(K1231,coa_Name,0)),"Unknown account: "&amp;K1231,IF(NOT(ISNUMBER(L1231)),"Enter an amount",IF(L1231=0,"Enter an amount",IF(ABS(W1231)&gt;ABS(L1231),"Tax is larger than the amount","")))))))))))))</f>
        <v/>
      </c>
      <c r="Y1231" s="67">
        <f>IF(OR(T1231=1,X1231&lt;&gt;""),"",IF(AND(B1231&lt;&gt;"",COUNTIF(tx_ID,B1231)&gt;1),"Duplicate transaction ID",IF(AND(L1231&lt;0,D1231&lt;&gt;"Adjustment"),"Negative amount — check this entry",IF(AND(D1231="Customer Payment",G1231=""),"Add the customer",IF(AND(D1231="Customer Payment",OR(J1231="",COUNTIF(ar_No,J1231&amp;"")=0)),"Invoice # in Reference not found on AR sheet",IF(AND(D1231="Bill Payment",H1231=""),"Add the vendor",IF(AND(D1231="Bill Payment",OR(J1231="",COUNTIFS(ap_No,J1231&amp;"",ap_Party,H1231&amp;"")=0)),"Bill # + vendor not found on AP sheet",IF(AND(ISNUMBER(M1231),N(M1231)&lt;&gt;0,W1231=0),"Tax ignored (tax tracking off, or not allowed for this type)",IF(V1231=K1231&amp;"","Same account on both sides",IF(AND(ISNUMBER(StartDate),C1231&lt;StartDate),"Date is before the accounting start date",IF(AND(D1231&lt;&gt;"Adjustment",IFERROR(INDEX(coa_Pay,MATCH(K1231&amp;"",coa_Name,0)),"")&lt;&gt;"Yes"),"Paid From / Deposited To is not a payment account","")))))))))))</f>
        <v/>
      </c>
      <c r="Z1231" s="67">
        <f>IF(AND(T1231=0,X1231=""),1,0)</f>
        <v/>
      </c>
      <c r="AA1231" s="68">
        <f>IF(Z1231=1,IF(U1231="In",L1231,L1231-W1231),0)</f>
        <v/>
      </c>
      <c r="AB1231" s="68">
        <f>IF(Z1231=1,IF(U1231="In",L1231-W1231,L1231),0)</f>
        <v/>
      </c>
      <c r="AC1231" s="68">
        <f>IF(AND(Z1231=1,U1231="Out"),W1231,0)</f>
        <v/>
      </c>
      <c r="AD1231" s="68">
        <f>IF(AND(Z1231=1,U1231="In"),W1231,0)</f>
        <v/>
      </c>
    </row>
    <row r="1232">
      <c r="B1232" s="62" t="inlineStr">
        <is>
          <t>TX-1226</t>
        </is>
      </c>
      <c r="C1232" s="63" t="n"/>
      <c r="D1232" s="62" t="n"/>
      <c r="E1232" s="62" t="n"/>
      <c r="F1232" s="62" t="n"/>
      <c r="G1232" s="62" t="n"/>
      <c r="H1232" s="62" t="n"/>
      <c r="I1232" s="62" t="n"/>
      <c r="J1232" s="62" t="n"/>
      <c r="K1232" s="62" t="n"/>
      <c r="L1232" s="64" t="n"/>
      <c r="M1232" s="64" t="n"/>
      <c r="N1232" s="62" t="n"/>
      <c r="O1232" s="65">
        <f>IF(Z1232=1,L1232-W1232,"")</f>
        <v/>
      </c>
      <c r="P1232" s="66">
        <f>IF(V1232="","",IFERROR(INDEX(coa_Type,MATCH(V1232,coa_Name,0)),""))</f>
        <v/>
      </c>
      <c r="Q1232" s="66">
        <f>IF(Z1232=1,IF(U1232="In",K1232&amp;"",V1232),"")</f>
        <v/>
      </c>
      <c r="R1232" s="66">
        <f>IF(Z1232=1,IF(U1232="In",V1232,K1232&amp;""),"")</f>
        <v/>
      </c>
      <c r="S1232" s="66">
        <f>IF(X1232&lt;&gt;"","⛔ "&amp;X1232&amp;" — not posted",IF(Y1232&lt;&gt;"","⚠ "&amp;Y1232,IF(Z1232=1,"✓ OK","")))</f>
        <v/>
      </c>
      <c r="T1232" s="67">
        <f>IF(AND(C1232="",D1232="",E1232="",L1232="",K1232=""),1,0)</f>
        <v/>
      </c>
      <c r="U1232" s="67">
        <f>IFERROR(INDEX(tt_Dir,MATCH(D1232,tt_Type,0)),"")</f>
        <v/>
      </c>
      <c r="V1232" s="67">
        <f>IF(D1232="","",IFERROR(IF(INDEX(tt_Other,MATCH(D1232,tt_Type,0))="",E1232&amp;"",INDEX(tt_Other,MATCH(D1232,tt_Type,0))),""))</f>
        <v/>
      </c>
      <c r="W1232" s="68">
        <f>IF(OR(TaxOn&lt;&gt;"Yes",NOT(ISNUMBER(M1232))),0,IF(IFERROR(INDEX(tt_Tax,MATCH(D1232,tt_Type,0)),"No")="Yes",M1232,0))</f>
        <v/>
      </c>
      <c r="X1232" s="67">
        <f>IF(T1232=1,"",IF(C1232="","Missing transaction date",IF(NOT(ISNUMBER(C1232)),"Invalid date",IF(OR(C1232&lt;DATE(2000,1,1),C1232&gt;DATE(2099,12,31)),"Invalid date",IF(D1232="","Select a type",IF(U1232="","Unknown type: "&amp;D1232,IF(V1232="","Select an account (Category)",IF(ISNA(MATCH(V1232,coa_Name,0)),"Unknown account: "&amp;V1232,IF(K1232="","Select Paid From / Deposited To",IF(ISNA(MATCH(K1232,coa_Name,0)),"Unknown account: "&amp;K1232,IF(NOT(ISNUMBER(L1232)),"Enter an amount",IF(L1232=0,"Enter an amount",IF(ABS(W1232)&gt;ABS(L1232),"Tax is larger than the amount","")))))))))))))</f>
        <v/>
      </c>
      <c r="Y1232" s="67">
        <f>IF(OR(T1232=1,X1232&lt;&gt;""),"",IF(AND(B1232&lt;&gt;"",COUNTIF(tx_ID,B1232)&gt;1),"Duplicate transaction ID",IF(AND(L1232&lt;0,D1232&lt;&gt;"Adjustment"),"Negative amount — check this entry",IF(AND(D1232="Customer Payment",G1232=""),"Add the customer",IF(AND(D1232="Customer Payment",OR(J1232="",COUNTIF(ar_No,J1232&amp;"")=0)),"Invoice # in Reference not found on AR sheet",IF(AND(D1232="Bill Payment",H1232=""),"Add the vendor",IF(AND(D1232="Bill Payment",OR(J1232="",COUNTIFS(ap_No,J1232&amp;"",ap_Party,H1232&amp;"")=0)),"Bill # + vendor not found on AP sheet",IF(AND(ISNUMBER(M1232),N(M1232)&lt;&gt;0,W1232=0),"Tax ignored (tax tracking off, or not allowed for this type)",IF(V1232=K1232&amp;"","Same account on both sides",IF(AND(ISNUMBER(StartDate),C1232&lt;StartDate),"Date is before the accounting start date",IF(AND(D1232&lt;&gt;"Adjustment",IFERROR(INDEX(coa_Pay,MATCH(K1232&amp;"",coa_Name,0)),"")&lt;&gt;"Yes"),"Paid From / Deposited To is not a payment account","")))))))))))</f>
        <v/>
      </c>
      <c r="Z1232" s="67">
        <f>IF(AND(T1232=0,X1232=""),1,0)</f>
        <v/>
      </c>
      <c r="AA1232" s="68">
        <f>IF(Z1232=1,IF(U1232="In",L1232,L1232-W1232),0)</f>
        <v/>
      </c>
      <c r="AB1232" s="68">
        <f>IF(Z1232=1,IF(U1232="In",L1232-W1232,L1232),0)</f>
        <v/>
      </c>
      <c r="AC1232" s="68">
        <f>IF(AND(Z1232=1,U1232="Out"),W1232,0)</f>
        <v/>
      </c>
      <c r="AD1232" s="68">
        <f>IF(AND(Z1232=1,U1232="In"),W1232,0)</f>
        <v/>
      </c>
    </row>
    <row r="1233">
      <c r="B1233" s="62" t="inlineStr">
        <is>
          <t>TX-1227</t>
        </is>
      </c>
      <c r="C1233" s="63" t="n"/>
      <c r="D1233" s="62" t="n"/>
      <c r="E1233" s="62" t="n"/>
      <c r="F1233" s="62" t="n"/>
      <c r="G1233" s="62" t="n"/>
      <c r="H1233" s="62" t="n"/>
      <c r="I1233" s="62" t="n"/>
      <c r="J1233" s="62" t="n"/>
      <c r="K1233" s="62" t="n"/>
      <c r="L1233" s="64" t="n"/>
      <c r="M1233" s="64" t="n"/>
      <c r="N1233" s="62" t="n"/>
      <c r="O1233" s="65">
        <f>IF(Z1233=1,L1233-W1233,"")</f>
        <v/>
      </c>
      <c r="P1233" s="66">
        <f>IF(V1233="","",IFERROR(INDEX(coa_Type,MATCH(V1233,coa_Name,0)),""))</f>
        <v/>
      </c>
      <c r="Q1233" s="66">
        <f>IF(Z1233=1,IF(U1233="In",K1233&amp;"",V1233),"")</f>
        <v/>
      </c>
      <c r="R1233" s="66">
        <f>IF(Z1233=1,IF(U1233="In",V1233,K1233&amp;""),"")</f>
        <v/>
      </c>
      <c r="S1233" s="66">
        <f>IF(X1233&lt;&gt;"","⛔ "&amp;X1233&amp;" — not posted",IF(Y1233&lt;&gt;"","⚠ "&amp;Y1233,IF(Z1233=1,"✓ OK","")))</f>
        <v/>
      </c>
      <c r="T1233" s="67">
        <f>IF(AND(C1233="",D1233="",E1233="",L1233="",K1233=""),1,0)</f>
        <v/>
      </c>
      <c r="U1233" s="67">
        <f>IFERROR(INDEX(tt_Dir,MATCH(D1233,tt_Type,0)),"")</f>
        <v/>
      </c>
      <c r="V1233" s="67">
        <f>IF(D1233="","",IFERROR(IF(INDEX(tt_Other,MATCH(D1233,tt_Type,0))="",E1233&amp;"",INDEX(tt_Other,MATCH(D1233,tt_Type,0))),""))</f>
        <v/>
      </c>
      <c r="W1233" s="68">
        <f>IF(OR(TaxOn&lt;&gt;"Yes",NOT(ISNUMBER(M1233))),0,IF(IFERROR(INDEX(tt_Tax,MATCH(D1233,tt_Type,0)),"No")="Yes",M1233,0))</f>
        <v/>
      </c>
      <c r="X1233" s="67">
        <f>IF(T1233=1,"",IF(C1233="","Missing transaction date",IF(NOT(ISNUMBER(C1233)),"Invalid date",IF(OR(C1233&lt;DATE(2000,1,1),C1233&gt;DATE(2099,12,31)),"Invalid date",IF(D1233="","Select a type",IF(U1233="","Unknown type: "&amp;D1233,IF(V1233="","Select an account (Category)",IF(ISNA(MATCH(V1233,coa_Name,0)),"Unknown account: "&amp;V1233,IF(K1233="","Select Paid From / Deposited To",IF(ISNA(MATCH(K1233,coa_Name,0)),"Unknown account: "&amp;K1233,IF(NOT(ISNUMBER(L1233)),"Enter an amount",IF(L1233=0,"Enter an amount",IF(ABS(W1233)&gt;ABS(L1233),"Tax is larger than the amount","")))))))))))))</f>
        <v/>
      </c>
      <c r="Y1233" s="67">
        <f>IF(OR(T1233=1,X1233&lt;&gt;""),"",IF(AND(B1233&lt;&gt;"",COUNTIF(tx_ID,B1233)&gt;1),"Duplicate transaction ID",IF(AND(L1233&lt;0,D1233&lt;&gt;"Adjustment"),"Negative amount — check this entry",IF(AND(D1233="Customer Payment",G1233=""),"Add the customer",IF(AND(D1233="Customer Payment",OR(J1233="",COUNTIF(ar_No,J1233&amp;"")=0)),"Invoice # in Reference not found on AR sheet",IF(AND(D1233="Bill Payment",H1233=""),"Add the vendor",IF(AND(D1233="Bill Payment",OR(J1233="",COUNTIFS(ap_No,J1233&amp;"",ap_Party,H1233&amp;"")=0)),"Bill # + vendor not found on AP sheet",IF(AND(ISNUMBER(M1233),N(M1233)&lt;&gt;0,W1233=0),"Tax ignored (tax tracking off, or not allowed for this type)",IF(V1233=K1233&amp;"","Same account on both sides",IF(AND(ISNUMBER(StartDate),C1233&lt;StartDate),"Date is before the accounting start date",IF(AND(D1233&lt;&gt;"Adjustment",IFERROR(INDEX(coa_Pay,MATCH(K1233&amp;"",coa_Name,0)),"")&lt;&gt;"Yes"),"Paid From / Deposited To is not a payment account","")))))))))))</f>
        <v/>
      </c>
      <c r="Z1233" s="67">
        <f>IF(AND(T1233=0,X1233=""),1,0)</f>
        <v/>
      </c>
      <c r="AA1233" s="68">
        <f>IF(Z1233=1,IF(U1233="In",L1233,L1233-W1233),0)</f>
        <v/>
      </c>
      <c r="AB1233" s="68">
        <f>IF(Z1233=1,IF(U1233="In",L1233-W1233,L1233),0)</f>
        <v/>
      </c>
      <c r="AC1233" s="68">
        <f>IF(AND(Z1233=1,U1233="Out"),W1233,0)</f>
        <v/>
      </c>
      <c r="AD1233" s="68">
        <f>IF(AND(Z1233=1,U1233="In"),W1233,0)</f>
        <v/>
      </c>
    </row>
    <row r="1234">
      <c r="B1234" s="62" t="inlineStr">
        <is>
          <t>TX-1228</t>
        </is>
      </c>
      <c r="C1234" s="63" t="n"/>
      <c r="D1234" s="62" t="n"/>
      <c r="E1234" s="62" t="n"/>
      <c r="F1234" s="62" t="n"/>
      <c r="G1234" s="62" t="n"/>
      <c r="H1234" s="62" t="n"/>
      <c r="I1234" s="62" t="n"/>
      <c r="J1234" s="62" t="n"/>
      <c r="K1234" s="62" t="n"/>
      <c r="L1234" s="64" t="n"/>
      <c r="M1234" s="64" t="n"/>
      <c r="N1234" s="62" t="n"/>
      <c r="O1234" s="65">
        <f>IF(Z1234=1,L1234-W1234,"")</f>
        <v/>
      </c>
      <c r="P1234" s="66">
        <f>IF(V1234="","",IFERROR(INDEX(coa_Type,MATCH(V1234,coa_Name,0)),""))</f>
        <v/>
      </c>
      <c r="Q1234" s="66">
        <f>IF(Z1234=1,IF(U1234="In",K1234&amp;"",V1234),"")</f>
        <v/>
      </c>
      <c r="R1234" s="66">
        <f>IF(Z1234=1,IF(U1234="In",V1234,K1234&amp;""),"")</f>
        <v/>
      </c>
      <c r="S1234" s="66">
        <f>IF(X1234&lt;&gt;"","⛔ "&amp;X1234&amp;" — not posted",IF(Y1234&lt;&gt;"","⚠ "&amp;Y1234,IF(Z1234=1,"✓ OK","")))</f>
        <v/>
      </c>
      <c r="T1234" s="67">
        <f>IF(AND(C1234="",D1234="",E1234="",L1234="",K1234=""),1,0)</f>
        <v/>
      </c>
      <c r="U1234" s="67">
        <f>IFERROR(INDEX(tt_Dir,MATCH(D1234,tt_Type,0)),"")</f>
        <v/>
      </c>
      <c r="V1234" s="67">
        <f>IF(D1234="","",IFERROR(IF(INDEX(tt_Other,MATCH(D1234,tt_Type,0))="",E1234&amp;"",INDEX(tt_Other,MATCH(D1234,tt_Type,0))),""))</f>
        <v/>
      </c>
      <c r="W1234" s="68">
        <f>IF(OR(TaxOn&lt;&gt;"Yes",NOT(ISNUMBER(M1234))),0,IF(IFERROR(INDEX(tt_Tax,MATCH(D1234,tt_Type,0)),"No")="Yes",M1234,0))</f>
        <v/>
      </c>
      <c r="X1234" s="67">
        <f>IF(T1234=1,"",IF(C1234="","Missing transaction date",IF(NOT(ISNUMBER(C1234)),"Invalid date",IF(OR(C1234&lt;DATE(2000,1,1),C1234&gt;DATE(2099,12,31)),"Invalid date",IF(D1234="","Select a type",IF(U1234="","Unknown type: "&amp;D1234,IF(V1234="","Select an account (Category)",IF(ISNA(MATCH(V1234,coa_Name,0)),"Unknown account: "&amp;V1234,IF(K1234="","Select Paid From / Deposited To",IF(ISNA(MATCH(K1234,coa_Name,0)),"Unknown account: "&amp;K1234,IF(NOT(ISNUMBER(L1234)),"Enter an amount",IF(L1234=0,"Enter an amount",IF(ABS(W1234)&gt;ABS(L1234),"Tax is larger than the amount","")))))))))))))</f>
        <v/>
      </c>
      <c r="Y1234" s="67">
        <f>IF(OR(T1234=1,X1234&lt;&gt;""),"",IF(AND(B1234&lt;&gt;"",COUNTIF(tx_ID,B1234)&gt;1),"Duplicate transaction ID",IF(AND(L1234&lt;0,D1234&lt;&gt;"Adjustment"),"Negative amount — check this entry",IF(AND(D1234="Customer Payment",G1234=""),"Add the customer",IF(AND(D1234="Customer Payment",OR(J1234="",COUNTIF(ar_No,J1234&amp;"")=0)),"Invoice # in Reference not found on AR sheet",IF(AND(D1234="Bill Payment",H1234=""),"Add the vendor",IF(AND(D1234="Bill Payment",OR(J1234="",COUNTIFS(ap_No,J1234&amp;"",ap_Party,H1234&amp;"")=0)),"Bill # + vendor not found on AP sheet",IF(AND(ISNUMBER(M1234),N(M1234)&lt;&gt;0,W1234=0),"Tax ignored (tax tracking off, or not allowed for this type)",IF(V1234=K1234&amp;"","Same account on both sides",IF(AND(ISNUMBER(StartDate),C1234&lt;StartDate),"Date is before the accounting start date",IF(AND(D1234&lt;&gt;"Adjustment",IFERROR(INDEX(coa_Pay,MATCH(K1234&amp;"",coa_Name,0)),"")&lt;&gt;"Yes"),"Paid From / Deposited To is not a payment account","")))))))))))</f>
        <v/>
      </c>
      <c r="Z1234" s="67">
        <f>IF(AND(T1234=0,X1234=""),1,0)</f>
        <v/>
      </c>
      <c r="AA1234" s="68">
        <f>IF(Z1234=1,IF(U1234="In",L1234,L1234-W1234),0)</f>
        <v/>
      </c>
      <c r="AB1234" s="68">
        <f>IF(Z1234=1,IF(U1234="In",L1234-W1234,L1234),0)</f>
        <v/>
      </c>
      <c r="AC1234" s="68">
        <f>IF(AND(Z1234=1,U1234="Out"),W1234,0)</f>
        <v/>
      </c>
      <c r="AD1234" s="68">
        <f>IF(AND(Z1234=1,U1234="In"),W1234,0)</f>
        <v/>
      </c>
    </row>
    <row r="1235">
      <c r="B1235" s="62" t="inlineStr">
        <is>
          <t>TX-1229</t>
        </is>
      </c>
      <c r="C1235" s="63" t="n"/>
      <c r="D1235" s="62" t="n"/>
      <c r="E1235" s="62" t="n"/>
      <c r="F1235" s="62" t="n"/>
      <c r="G1235" s="62" t="n"/>
      <c r="H1235" s="62" t="n"/>
      <c r="I1235" s="62" t="n"/>
      <c r="J1235" s="62" t="n"/>
      <c r="K1235" s="62" t="n"/>
      <c r="L1235" s="64" t="n"/>
      <c r="M1235" s="64" t="n"/>
      <c r="N1235" s="62" t="n"/>
      <c r="O1235" s="65">
        <f>IF(Z1235=1,L1235-W1235,"")</f>
        <v/>
      </c>
      <c r="P1235" s="66">
        <f>IF(V1235="","",IFERROR(INDEX(coa_Type,MATCH(V1235,coa_Name,0)),""))</f>
        <v/>
      </c>
      <c r="Q1235" s="66">
        <f>IF(Z1235=1,IF(U1235="In",K1235&amp;"",V1235),"")</f>
        <v/>
      </c>
      <c r="R1235" s="66">
        <f>IF(Z1235=1,IF(U1235="In",V1235,K1235&amp;""),"")</f>
        <v/>
      </c>
      <c r="S1235" s="66">
        <f>IF(X1235&lt;&gt;"","⛔ "&amp;X1235&amp;" — not posted",IF(Y1235&lt;&gt;"","⚠ "&amp;Y1235,IF(Z1235=1,"✓ OK","")))</f>
        <v/>
      </c>
      <c r="T1235" s="67">
        <f>IF(AND(C1235="",D1235="",E1235="",L1235="",K1235=""),1,0)</f>
        <v/>
      </c>
      <c r="U1235" s="67">
        <f>IFERROR(INDEX(tt_Dir,MATCH(D1235,tt_Type,0)),"")</f>
        <v/>
      </c>
      <c r="V1235" s="67">
        <f>IF(D1235="","",IFERROR(IF(INDEX(tt_Other,MATCH(D1235,tt_Type,0))="",E1235&amp;"",INDEX(tt_Other,MATCH(D1235,tt_Type,0))),""))</f>
        <v/>
      </c>
      <c r="W1235" s="68">
        <f>IF(OR(TaxOn&lt;&gt;"Yes",NOT(ISNUMBER(M1235))),0,IF(IFERROR(INDEX(tt_Tax,MATCH(D1235,tt_Type,0)),"No")="Yes",M1235,0))</f>
        <v/>
      </c>
      <c r="X1235" s="67">
        <f>IF(T1235=1,"",IF(C1235="","Missing transaction date",IF(NOT(ISNUMBER(C1235)),"Invalid date",IF(OR(C1235&lt;DATE(2000,1,1),C1235&gt;DATE(2099,12,31)),"Invalid date",IF(D1235="","Select a type",IF(U1235="","Unknown type: "&amp;D1235,IF(V1235="","Select an account (Category)",IF(ISNA(MATCH(V1235,coa_Name,0)),"Unknown account: "&amp;V1235,IF(K1235="","Select Paid From / Deposited To",IF(ISNA(MATCH(K1235,coa_Name,0)),"Unknown account: "&amp;K1235,IF(NOT(ISNUMBER(L1235)),"Enter an amount",IF(L1235=0,"Enter an amount",IF(ABS(W1235)&gt;ABS(L1235),"Tax is larger than the amount","")))))))))))))</f>
        <v/>
      </c>
      <c r="Y1235" s="67">
        <f>IF(OR(T1235=1,X1235&lt;&gt;""),"",IF(AND(B1235&lt;&gt;"",COUNTIF(tx_ID,B1235)&gt;1),"Duplicate transaction ID",IF(AND(L1235&lt;0,D1235&lt;&gt;"Adjustment"),"Negative amount — check this entry",IF(AND(D1235="Customer Payment",G1235=""),"Add the customer",IF(AND(D1235="Customer Payment",OR(J1235="",COUNTIF(ar_No,J1235&amp;"")=0)),"Invoice # in Reference not found on AR sheet",IF(AND(D1235="Bill Payment",H1235=""),"Add the vendor",IF(AND(D1235="Bill Payment",OR(J1235="",COUNTIFS(ap_No,J1235&amp;"",ap_Party,H1235&amp;"")=0)),"Bill # + vendor not found on AP sheet",IF(AND(ISNUMBER(M1235),N(M1235)&lt;&gt;0,W1235=0),"Tax ignored (tax tracking off, or not allowed for this type)",IF(V1235=K1235&amp;"","Same account on both sides",IF(AND(ISNUMBER(StartDate),C1235&lt;StartDate),"Date is before the accounting start date",IF(AND(D1235&lt;&gt;"Adjustment",IFERROR(INDEX(coa_Pay,MATCH(K1235&amp;"",coa_Name,0)),"")&lt;&gt;"Yes"),"Paid From / Deposited To is not a payment account","")))))))))))</f>
        <v/>
      </c>
      <c r="Z1235" s="67">
        <f>IF(AND(T1235=0,X1235=""),1,0)</f>
        <v/>
      </c>
      <c r="AA1235" s="68">
        <f>IF(Z1235=1,IF(U1235="In",L1235,L1235-W1235),0)</f>
        <v/>
      </c>
      <c r="AB1235" s="68">
        <f>IF(Z1235=1,IF(U1235="In",L1235-W1235,L1235),0)</f>
        <v/>
      </c>
      <c r="AC1235" s="68">
        <f>IF(AND(Z1235=1,U1235="Out"),W1235,0)</f>
        <v/>
      </c>
      <c r="AD1235" s="68">
        <f>IF(AND(Z1235=1,U1235="In"),W1235,0)</f>
        <v/>
      </c>
    </row>
    <row r="1236">
      <c r="B1236" s="62" t="inlineStr">
        <is>
          <t>TX-1230</t>
        </is>
      </c>
      <c r="C1236" s="63" t="n"/>
      <c r="D1236" s="62" t="n"/>
      <c r="E1236" s="62" t="n"/>
      <c r="F1236" s="62" t="n"/>
      <c r="G1236" s="62" t="n"/>
      <c r="H1236" s="62" t="n"/>
      <c r="I1236" s="62" t="n"/>
      <c r="J1236" s="62" t="n"/>
      <c r="K1236" s="62" t="n"/>
      <c r="L1236" s="64" t="n"/>
      <c r="M1236" s="64" t="n"/>
      <c r="N1236" s="62" t="n"/>
      <c r="O1236" s="65">
        <f>IF(Z1236=1,L1236-W1236,"")</f>
        <v/>
      </c>
      <c r="P1236" s="66">
        <f>IF(V1236="","",IFERROR(INDEX(coa_Type,MATCH(V1236,coa_Name,0)),""))</f>
        <v/>
      </c>
      <c r="Q1236" s="66">
        <f>IF(Z1236=1,IF(U1236="In",K1236&amp;"",V1236),"")</f>
        <v/>
      </c>
      <c r="R1236" s="66">
        <f>IF(Z1236=1,IF(U1236="In",V1236,K1236&amp;""),"")</f>
        <v/>
      </c>
      <c r="S1236" s="66">
        <f>IF(X1236&lt;&gt;"","⛔ "&amp;X1236&amp;" — not posted",IF(Y1236&lt;&gt;"","⚠ "&amp;Y1236,IF(Z1236=1,"✓ OK","")))</f>
        <v/>
      </c>
      <c r="T1236" s="67">
        <f>IF(AND(C1236="",D1236="",E1236="",L1236="",K1236=""),1,0)</f>
        <v/>
      </c>
      <c r="U1236" s="67">
        <f>IFERROR(INDEX(tt_Dir,MATCH(D1236,tt_Type,0)),"")</f>
        <v/>
      </c>
      <c r="V1236" s="67">
        <f>IF(D1236="","",IFERROR(IF(INDEX(tt_Other,MATCH(D1236,tt_Type,0))="",E1236&amp;"",INDEX(tt_Other,MATCH(D1236,tt_Type,0))),""))</f>
        <v/>
      </c>
      <c r="W1236" s="68">
        <f>IF(OR(TaxOn&lt;&gt;"Yes",NOT(ISNUMBER(M1236))),0,IF(IFERROR(INDEX(tt_Tax,MATCH(D1236,tt_Type,0)),"No")="Yes",M1236,0))</f>
        <v/>
      </c>
      <c r="X1236" s="67">
        <f>IF(T1236=1,"",IF(C1236="","Missing transaction date",IF(NOT(ISNUMBER(C1236)),"Invalid date",IF(OR(C1236&lt;DATE(2000,1,1),C1236&gt;DATE(2099,12,31)),"Invalid date",IF(D1236="","Select a type",IF(U1236="","Unknown type: "&amp;D1236,IF(V1236="","Select an account (Category)",IF(ISNA(MATCH(V1236,coa_Name,0)),"Unknown account: "&amp;V1236,IF(K1236="","Select Paid From / Deposited To",IF(ISNA(MATCH(K1236,coa_Name,0)),"Unknown account: "&amp;K1236,IF(NOT(ISNUMBER(L1236)),"Enter an amount",IF(L1236=0,"Enter an amount",IF(ABS(W1236)&gt;ABS(L1236),"Tax is larger than the amount","")))))))))))))</f>
        <v/>
      </c>
      <c r="Y1236" s="67">
        <f>IF(OR(T1236=1,X1236&lt;&gt;""),"",IF(AND(B1236&lt;&gt;"",COUNTIF(tx_ID,B1236)&gt;1),"Duplicate transaction ID",IF(AND(L1236&lt;0,D1236&lt;&gt;"Adjustment"),"Negative amount — check this entry",IF(AND(D1236="Customer Payment",G1236=""),"Add the customer",IF(AND(D1236="Customer Payment",OR(J1236="",COUNTIF(ar_No,J1236&amp;"")=0)),"Invoice # in Reference not found on AR sheet",IF(AND(D1236="Bill Payment",H1236=""),"Add the vendor",IF(AND(D1236="Bill Payment",OR(J1236="",COUNTIFS(ap_No,J1236&amp;"",ap_Party,H1236&amp;"")=0)),"Bill # + vendor not found on AP sheet",IF(AND(ISNUMBER(M1236),N(M1236)&lt;&gt;0,W1236=0),"Tax ignored (tax tracking off, or not allowed for this type)",IF(V1236=K1236&amp;"","Same account on both sides",IF(AND(ISNUMBER(StartDate),C1236&lt;StartDate),"Date is before the accounting start date",IF(AND(D1236&lt;&gt;"Adjustment",IFERROR(INDEX(coa_Pay,MATCH(K1236&amp;"",coa_Name,0)),"")&lt;&gt;"Yes"),"Paid From / Deposited To is not a payment account","")))))))))))</f>
        <v/>
      </c>
      <c r="Z1236" s="67">
        <f>IF(AND(T1236=0,X1236=""),1,0)</f>
        <v/>
      </c>
      <c r="AA1236" s="68">
        <f>IF(Z1236=1,IF(U1236="In",L1236,L1236-W1236),0)</f>
        <v/>
      </c>
      <c r="AB1236" s="68">
        <f>IF(Z1236=1,IF(U1236="In",L1236-W1236,L1236),0)</f>
        <v/>
      </c>
      <c r="AC1236" s="68">
        <f>IF(AND(Z1236=1,U1236="Out"),W1236,0)</f>
        <v/>
      </c>
      <c r="AD1236" s="68">
        <f>IF(AND(Z1236=1,U1236="In"),W1236,0)</f>
        <v/>
      </c>
    </row>
    <row r="1237">
      <c r="B1237" s="62" t="inlineStr">
        <is>
          <t>TX-1231</t>
        </is>
      </c>
      <c r="C1237" s="63" t="n"/>
      <c r="D1237" s="62" t="n"/>
      <c r="E1237" s="62" t="n"/>
      <c r="F1237" s="62" t="n"/>
      <c r="G1237" s="62" t="n"/>
      <c r="H1237" s="62" t="n"/>
      <c r="I1237" s="62" t="n"/>
      <c r="J1237" s="62" t="n"/>
      <c r="K1237" s="62" t="n"/>
      <c r="L1237" s="64" t="n"/>
      <c r="M1237" s="64" t="n"/>
      <c r="N1237" s="62" t="n"/>
      <c r="O1237" s="65">
        <f>IF(Z1237=1,L1237-W1237,"")</f>
        <v/>
      </c>
      <c r="P1237" s="66">
        <f>IF(V1237="","",IFERROR(INDEX(coa_Type,MATCH(V1237,coa_Name,0)),""))</f>
        <v/>
      </c>
      <c r="Q1237" s="66">
        <f>IF(Z1237=1,IF(U1237="In",K1237&amp;"",V1237),"")</f>
        <v/>
      </c>
      <c r="R1237" s="66">
        <f>IF(Z1237=1,IF(U1237="In",V1237,K1237&amp;""),"")</f>
        <v/>
      </c>
      <c r="S1237" s="66">
        <f>IF(X1237&lt;&gt;"","⛔ "&amp;X1237&amp;" — not posted",IF(Y1237&lt;&gt;"","⚠ "&amp;Y1237,IF(Z1237=1,"✓ OK","")))</f>
        <v/>
      </c>
      <c r="T1237" s="67">
        <f>IF(AND(C1237="",D1237="",E1237="",L1237="",K1237=""),1,0)</f>
        <v/>
      </c>
      <c r="U1237" s="67">
        <f>IFERROR(INDEX(tt_Dir,MATCH(D1237,tt_Type,0)),"")</f>
        <v/>
      </c>
      <c r="V1237" s="67">
        <f>IF(D1237="","",IFERROR(IF(INDEX(tt_Other,MATCH(D1237,tt_Type,0))="",E1237&amp;"",INDEX(tt_Other,MATCH(D1237,tt_Type,0))),""))</f>
        <v/>
      </c>
      <c r="W1237" s="68">
        <f>IF(OR(TaxOn&lt;&gt;"Yes",NOT(ISNUMBER(M1237))),0,IF(IFERROR(INDEX(tt_Tax,MATCH(D1237,tt_Type,0)),"No")="Yes",M1237,0))</f>
        <v/>
      </c>
      <c r="X1237" s="67">
        <f>IF(T1237=1,"",IF(C1237="","Missing transaction date",IF(NOT(ISNUMBER(C1237)),"Invalid date",IF(OR(C1237&lt;DATE(2000,1,1),C1237&gt;DATE(2099,12,31)),"Invalid date",IF(D1237="","Select a type",IF(U1237="","Unknown type: "&amp;D1237,IF(V1237="","Select an account (Category)",IF(ISNA(MATCH(V1237,coa_Name,0)),"Unknown account: "&amp;V1237,IF(K1237="","Select Paid From / Deposited To",IF(ISNA(MATCH(K1237,coa_Name,0)),"Unknown account: "&amp;K1237,IF(NOT(ISNUMBER(L1237)),"Enter an amount",IF(L1237=0,"Enter an amount",IF(ABS(W1237)&gt;ABS(L1237),"Tax is larger than the amount","")))))))))))))</f>
        <v/>
      </c>
      <c r="Y1237" s="67">
        <f>IF(OR(T1237=1,X1237&lt;&gt;""),"",IF(AND(B1237&lt;&gt;"",COUNTIF(tx_ID,B1237)&gt;1),"Duplicate transaction ID",IF(AND(L1237&lt;0,D1237&lt;&gt;"Adjustment"),"Negative amount — check this entry",IF(AND(D1237="Customer Payment",G1237=""),"Add the customer",IF(AND(D1237="Customer Payment",OR(J1237="",COUNTIF(ar_No,J1237&amp;"")=0)),"Invoice # in Reference not found on AR sheet",IF(AND(D1237="Bill Payment",H1237=""),"Add the vendor",IF(AND(D1237="Bill Payment",OR(J1237="",COUNTIFS(ap_No,J1237&amp;"",ap_Party,H1237&amp;"")=0)),"Bill # + vendor not found on AP sheet",IF(AND(ISNUMBER(M1237),N(M1237)&lt;&gt;0,W1237=0),"Tax ignored (tax tracking off, or not allowed for this type)",IF(V1237=K1237&amp;"","Same account on both sides",IF(AND(ISNUMBER(StartDate),C1237&lt;StartDate),"Date is before the accounting start date",IF(AND(D1237&lt;&gt;"Adjustment",IFERROR(INDEX(coa_Pay,MATCH(K1237&amp;"",coa_Name,0)),"")&lt;&gt;"Yes"),"Paid From / Deposited To is not a payment account","")))))))))))</f>
        <v/>
      </c>
      <c r="Z1237" s="67">
        <f>IF(AND(T1237=0,X1237=""),1,0)</f>
        <v/>
      </c>
      <c r="AA1237" s="68">
        <f>IF(Z1237=1,IF(U1237="In",L1237,L1237-W1237),0)</f>
        <v/>
      </c>
      <c r="AB1237" s="68">
        <f>IF(Z1237=1,IF(U1237="In",L1237-W1237,L1237),0)</f>
        <v/>
      </c>
      <c r="AC1237" s="68">
        <f>IF(AND(Z1237=1,U1237="Out"),W1237,0)</f>
        <v/>
      </c>
      <c r="AD1237" s="68">
        <f>IF(AND(Z1237=1,U1237="In"),W1237,0)</f>
        <v/>
      </c>
    </row>
    <row r="1238">
      <c r="B1238" s="62" t="inlineStr">
        <is>
          <t>TX-1232</t>
        </is>
      </c>
      <c r="C1238" s="63" t="n"/>
      <c r="D1238" s="62" t="n"/>
      <c r="E1238" s="62" t="n"/>
      <c r="F1238" s="62" t="n"/>
      <c r="G1238" s="62" t="n"/>
      <c r="H1238" s="62" t="n"/>
      <c r="I1238" s="62" t="n"/>
      <c r="J1238" s="62" t="n"/>
      <c r="K1238" s="62" t="n"/>
      <c r="L1238" s="64" t="n"/>
      <c r="M1238" s="64" t="n"/>
      <c r="N1238" s="62" t="n"/>
      <c r="O1238" s="65">
        <f>IF(Z1238=1,L1238-W1238,"")</f>
        <v/>
      </c>
      <c r="P1238" s="66">
        <f>IF(V1238="","",IFERROR(INDEX(coa_Type,MATCH(V1238,coa_Name,0)),""))</f>
        <v/>
      </c>
      <c r="Q1238" s="66">
        <f>IF(Z1238=1,IF(U1238="In",K1238&amp;"",V1238),"")</f>
        <v/>
      </c>
      <c r="R1238" s="66">
        <f>IF(Z1238=1,IF(U1238="In",V1238,K1238&amp;""),"")</f>
        <v/>
      </c>
      <c r="S1238" s="66">
        <f>IF(X1238&lt;&gt;"","⛔ "&amp;X1238&amp;" — not posted",IF(Y1238&lt;&gt;"","⚠ "&amp;Y1238,IF(Z1238=1,"✓ OK","")))</f>
        <v/>
      </c>
      <c r="T1238" s="67">
        <f>IF(AND(C1238="",D1238="",E1238="",L1238="",K1238=""),1,0)</f>
        <v/>
      </c>
      <c r="U1238" s="67">
        <f>IFERROR(INDEX(tt_Dir,MATCH(D1238,tt_Type,0)),"")</f>
        <v/>
      </c>
      <c r="V1238" s="67">
        <f>IF(D1238="","",IFERROR(IF(INDEX(tt_Other,MATCH(D1238,tt_Type,0))="",E1238&amp;"",INDEX(tt_Other,MATCH(D1238,tt_Type,0))),""))</f>
        <v/>
      </c>
      <c r="W1238" s="68">
        <f>IF(OR(TaxOn&lt;&gt;"Yes",NOT(ISNUMBER(M1238))),0,IF(IFERROR(INDEX(tt_Tax,MATCH(D1238,tt_Type,0)),"No")="Yes",M1238,0))</f>
        <v/>
      </c>
      <c r="X1238" s="67">
        <f>IF(T1238=1,"",IF(C1238="","Missing transaction date",IF(NOT(ISNUMBER(C1238)),"Invalid date",IF(OR(C1238&lt;DATE(2000,1,1),C1238&gt;DATE(2099,12,31)),"Invalid date",IF(D1238="","Select a type",IF(U1238="","Unknown type: "&amp;D1238,IF(V1238="","Select an account (Category)",IF(ISNA(MATCH(V1238,coa_Name,0)),"Unknown account: "&amp;V1238,IF(K1238="","Select Paid From / Deposited To",IF(ISNA(MATCH(K1238,coa_Name,0)),"Unknown account: "&amp;K1238,IF(NOT(ISNUMBER(L1238)),"Enter an amount",IF(L1238=0,"Enter an amount",IF(ABS(W1238)&gt;ABS(L1238),"Tax is larger than the amount","")))))))))))))</f>
        <v/>
      </c>
      <c r="Y1238" s="67">
        <f>IF(OR(T1238=1,X1238&lt;&gt;""),"",IF(AND(B1238&lt;&gt;"",COUNTIF(tx_ID,B1238)&gt;1),"Duplicate transaction ID",IF(AND(L1238&lt;0,D1238&lt;&gt;"Adjustment"),"Negative amount — check this entry",IF(AND(D1238="Customer Payment",G1238=""),"Add the customer",IF(AND(D1238="Customer Payment",OR(J1238="",COUNTIF(ar_No,J1238&amp;"")=0)),"Invoice # in Reference not found on AR sheet",IF(AND(D1238="Bill Payment",H1238=""),"Add the vendor",IF(AND(D1238="Bill Payment",OR(J1238="",COUNTIFS(ap_No,J1238&amp;"",ap_Party,H1238&amp;"")=0)),"Bill # + vendor not found on AP sheet",IF(AND(ISNUMBER(M1238),N(M1238)&lt;&gt;0,W1238=0),"Tax ignored (tax tracking off, or not allowed for this type)",IF(V1238=K1238&amp;"","Same account on both sides",IF(AND(ISNUMBER(StartDate),C1238&lt;StartDate),"Date is before the accounting start date",IF(AND(D1238&lt;&gt;"Adjustment",IFERROR(INDEX(coa_Pay,MATCH(K1238&amp;"",coa_Name,0)),"")&lt;&gt;"Yes"),"Paid From / Deposited To is not a payment account","")))))))))))</f>
        <v/>
      </c>
      <c r="Z1238" s="67">
        <f>IF(AND(T1238=0,X1238=""),1,0)</f>
        <v/>
      </c>
      <c r="AA1238" s="68">
        <f>IF(Z1238=1,IF(U1238="In",L1238,L1238-W1238),0)</f>
        <v/>
      </c>
      <c r="AB1238" s="68">
        <f>IF(Z1238=1,IF(U1238="In",L1238-W1238,L1238),0)</f>
        <v/>
      </c>
      <c r="AC1238" s="68">
        <f>IF(AND(Z1238=1,U1238="Out"),W1238,0)</f>
        <v/>
      </c>
      <c r="AD1238" s="68">
        <f>IF(AND(Z1238=1,U1238="In"),W1238,0)</f>
        <v/>
      </c>
    </row>
    <row r="1239">
      <c r="B1239" s="62" t="inlineStr">
        <is>
          <t>TX-1233</t>
        </is>
      </c>
      <c r="C1239" s="63" t="n"/>
      <c r="D1239" s="62" t="n"/>
      <c r="E1239" s="62" t="n"/>
      <c r="F1239" s="62" t="n"/>
      <c r="G1239" s="62" t="n"/>
      <c r="H1239" s="62" t="n"/>
      <c r="I1239" s="62" t="n"/>
      <c r="J1239" s="62" t="n"/>
      <c r="K1239" s="62" t="n"/>
      <c r="L1239" s="64" t="n"/>
      <c r="M1239" s="64" t="n"/>
      <c r="N1239" s="62" t="n"/>
      <c r="O1239" s="65">
        <f>IF(Z1239=1,L1239-W1239,"")</f>
        <v/>
      </c>
      <c r="P1239" s="66">
        <f>IF(V1239="","",IFERROR(INDEX(coa_Type,MATCH(V1239,coa_Name,0)),""))</f>
        <v/>
      </c>
      <c r="Q1239" s="66">
        <f>IF(Z1239=1,IF(U1239="In",K1239&amp;"",V1239),"")</f>
        <v/>
      </c>
      <c r="R1239" s="66">
        <f>IF(Z1239=1,IF(U1239="In",V1239,K1239&amp;""),"")</f>
        <v/>
      </c>
      <c r="S1239" s="66">
        <f>IF(X1239&lt;&gt;"","⛔ "&amp;X1239&amp;" — not posted",IF(Y1239&lt;&gt;"","⚠ "&amp;Y1239,IF(Z1239=1,"✓ OK","")))</f>
        <v/>
      </c>
      <c r="T1239" s="67">
        <f>IF(AND(C1239="",D1239="",E1239="",L1239="",K1239=""),1,0)</f>
        <v/>
      </c>
      <c r="U1239" s="67">
        <f>IFERROR(INDEX(tt_Dir,MATCH(D1239,tt_Type,0)),"")</f>
        <v/>
      </c>
      <c r="V1239" s="67">
        <f>IF(D1239="","",IFERROR(IF(INDEX(tt_Other,MATCH(D1239,tt_Type,0))="",E1239&amp;"",INDEX(tt_Other,MATCH(D1239,tt_Type,0))),""))</f>
        <v/>
      </c>
      <c r="W1239" s="68">
        <f>IF(OR(TaxOn&lt;&gt;"Yes",NOT(ISNUMBER(M1239))),0,IF(IFERROR(INDEX(tt_Tax,MATCH(D1239,tt_Type,0)),"No")="Yes",M1239,0))</f>
        <v/>
      </c>
      <c r="X1239" s="67">
        <f>IF(T1239=1,"",IF(C1239="","Missing transaction date",IF(NOT(ISNUMBER(C1239)),"Invalid date",IF(OR(C1239&lt;DATE(2000,1,1),C1239&gt;DATE(2099,12,31)),"Invalid date",IF(D1239="","Select a type",IF(U1239="","Unknown type: "&amp;D1239,IF(V1239="","Select an account (Category)",IF(ISNA(MATCH(V1239,coa_Name,0)),"Unknown account: "&amp;V1239,IF(K1239="","Select Paid From / Deposited To",IF(ISNA(MATCH(K1239,coa_Name,0)),"Unknown account: "&amp;K1239,IF(NOT(ISNUMBER(L1239)),"Enter an amount",IF(L1239=0,"Enter an amount",IF(ABS(W1239)&gt;ABS(L1239),"Tax is larger than the amount","")))))))))))))</f>
        <v/>
      </c>
      <c r="Y1239" s="67">
        <f>IF(OR(T1239=1,X1239&lt;&gt;""),"",IF(AND(B1239&lt;&gt;"",COUNTIF(tx_ID,B1239)&gt;1),"Duplicate transaction ID",IF(AND(L1239&lt;0,D1239&lt;&gt;"Adjustment"),"Negative amount — check this entry",IF(AND(D1239="Customer Payment",G1239=""),"Add the customer",IF(AND(D1239="Customer Payment",OR(J1239="",COUNTIF(ar_No,J1239&amp;"")=0)),"Invoice # in Reference not found on AR sheet",IF(AND(D1239="Bill Payment",H1239=""),"Add the vendor",IF(AND(D1239="Bill Payment",OR(J1239="",COUNTIFS(ap_No,J1239&amp;"",ap_Party,H1239&amp;"")=0)),"Bill # + vendor not found on AP sheet",IF(AND(ISNUMBER(M1239),N(M1239)&lt;&gt;0,W1239=0),"Tax ignored (tax tracking off, or not allowed for this type)",IF(V1239=K1239&amp;"","Same account on both sides",IF(AND(ISNUMBER(StartDate),C1239&lt;StartDate),"Date is before the accounting start date",IF(AND(D1239&lt;&gt;"Adjustment",IFERROR(INDEX(coa_Pay,MATCH(K1239&amp;"",coa_Name,0)),"")&lt;&gt;"Yes"),"Paid From / Deposited To is not a payment account","")))))))))))</f>
        <v/>
      </c>
      <c r="Z1239" s="67">
        <f>IF(AND(T1239=0,X1239=""),1,0)</f>
        <v/>
      </c>
      <c r="AA1239" s="68">
        <f>IF(Z1239=1,IF(U1239="In",L1239,L1239-W1239),0)</f>
        <v/>
      </c>
      <c r="AB1239" s="68">
        <f>IF(Z1239=1,IF(U1239="In",L1239-W1239,L1239),0)</f>
        <v/>
      </c>
      <c r="AC1239" s="68">
        <f>IF(AND(Z1239=1,U1239="Out"),W1239,0)</f>
        <v/>
      </c>
      <c r="AD1239" s="68">
        <f>IF(AND(Z1239=1,U1239="In"),W1239,0)</f>
        <v/>
      </c>
    </row>
    <row r="1240">
      <c r="B1240" s="62" t="inlineStr">
        <is>
          <t>TX-1234</t>
        </is>
      </c>
      <c r="C1240" s="63" t="n"/>
      <c r="D1240" s="62" t="n"/>
      <c r="E1240" s="62" t="n"/>
      <c r="F1240" s="62" t="n"/>
      <c r="G1240" s="62" t="n"/>
      <c r="H1240" s="62" t="n"/>
      <c r="I1240" s="62" t="n"/>
      <c r="J1240" s="62" t="n"/>
      <c r="K1240" s="62" t="n"/>
      <c r="L1240" s="64" t="n"/>
      <c r="M1240" s="64" t="n"/>
      <c r="N1240" s="62" t="n"/>
      <c r="O1240" s="65">
        <f>IF(Z1240=1,L1240-W1240,"")</f>
        <v/>
      </c>
      <c r="P1240" s="66">
        <f>IF(V1240="","",IFERROR(INDEX(coa_Type,MATCH(V1240,coa_Name,0)),""))</f>
        <v/>
      </c>
      <c r="Q1240" s="66">
        <f>IF(Z1240=1,IF(U1240="In",K1240&amp;"",V1240),"")</f>
        <v/>
      </c>
      <c r="R1240" s="66">
        <f>IF(Z1240=1,IF(U1240="In",V1240,K1240&amp;""),"")</f>
        <v/>
      </c>
      <c r="S1240" s="66">
        <f>IF(X1240&lt;&gt;"","⛔ "&amp;X1240&amp;" — not posted",IF(Y1240&lt;&gt;"","⚠ "&amp;Y1240,IF(Z1240=1,"✓ OK","")))</f>
        <v/>
      </c>
      <c r="T1240" s="67">
        <f>IF(AND(C1240="",D1240="",E1240="",L1240="",K1240=""),1,0)</f>
        <v/>
      </c>
      <c r="U1240" s="67">
        <f>IFERROR(INDEX(tt_Dir,MATCH(D1240,tt_Type,0)),"")</f>
        <v/>
      </c>
      <c r="V1240" s="67">
        <f>IF(D1240="","",IFERROR(IF(INDEX(tt_Other,MATCH(D1240,tt_Type,0))="",E1240&amp;"",INDEX(tt_Other,MATCH(D1240,tt_Type,0))),""))</f>
        <v/>
      </c>
      <c r="W1240" s="68">
        <f>IF(OR(TaxOn&lt;&gt;"Yes",NOT(ISNUMBER(M1240))),0,IF(IFERROR(INDEX(tt_Tax,MATCH(D1240,tt_Type,0)),"No")="Yes",M1240,0))</f>
        <v/>
      </c>
      <c r="X1240" s="67">
        <f>IF(T1240=1,"",IF(C1240="","Missing transaction date",IF(NOT(ISNUMBER(C1240)),"Invalid date",IF(OR(C1240&lt;DATE(2000,1,1),C1240&gt;DATE(2099,12,31)),"Invalid date",IF(D1240="","Select a type",IF(U1240="","Unknown type: "&amp;D1240,IF(V1240="","Select an account (Category)",IF(ISNA(MATCH(V1240,coa_Name,0)),"Unknown account: "&amp;V1240,IF(K1240="","Select Paid From / Deposited To",IF(ISNA(MATCH(K1240,coa_Name,0)),"Unknown account: "&amp;K1240,IF(NOT(ISNUMBER(L1240)),"Enter an amount",IF(L1240=0,"Enter an amount",IF(ABS(W1240)&gt;ABS(L1240),"Tax is larger than the amount","")))))))))))))</f>
        <v/>
      </c>
      <c r="Y1240" s="67">
        <f>IF(OR(T1240=1,X1240&lt;&gt;""),"",IF(AND(B1240&lt;&gt;"",COUNTIF(tx_ID,B1240)&gt;1),"Duplicate transaction ID",IF(AND(L1240&lt;0,D1240&lt;&gt;"Adjustment"),"Negative amount — check this entry",IF(AND(D1240="Customer Payment",G1240=""),"Add the customer",IF(AND(D1240="Customer Payment",OR(J1240="",COUNTIF(ar_No,J1240&amp;"")=0)),"Invoice # in Reference not found on AR sheet",IF(AND(D1240="Bill Payment",H1240=""),"Add the vendor",IF(AND(D1240="Bill Payment",OR(J1240="",COUNTIFS(ap_No,J1240&amp;"",ap_Party,H1240&amp;"")=0)),"Bill # + vendor not found on AP sheet",IF(AND(ISNUMBER(M1240),N(M1240)&lt;&gt;0,W1240=0),"Tax ignored (tax tracking off, or not allowed for this type)",IF(V1240=K1240&amp;"","Same account on both sides",IF(AND(ISNUMBER(StartDate),C1240&lt;StartDate),"Date is before the accounting start date",IF(AND(D1240&lt;&gt;"Adjustment",IFERROR(INDEX(coa_Pay,MATCH(K1240&amp;"",coa_Name,0)),"")&lt;&gt;"Yes"),"Paid From / Deposited To is not a payment account","")))))))))))</f>
        <v/>
      </c>
      <c r="Z1240" s="67">
        <f>IF(AND(T1240=0,X1240=""),1,0)</f>
        <v/>
      </c>
      <c r="AA1240" s="68">
        <f>IF(Z1240=1,IF(U1240="In",L1240,L1240-W1240),0)</f>
        <v/>
      </c>
      <c r="AB1240" s="68">
        <f>IF(Z1240=1,IF(U1240="In",L1240-W1240,L1240),0)</f>
        <v/>
      </c>
      <c r="AC1240" s="68">
        <f>IF(AND(Z1240=1,U1240="Out"),W1240,0)</f>
        <v/>
      </c>
      <c r="AD1240" s="68">
        <f>IF(AND(Z1240=1,U1240="In"),W1240,0)</f>
        <v/>
      </c>
    </row>
    <row r="1241">
      <c r="B1241" s="62" t="inlineStr">
        <is>
          <t>TX-1235</t>
        </is>
      </c>
      <c r="C1241" s="63" t="n"/>
      <c r="D1241" s="62" t="n"/>
      <c r="E1241" s="62" t="n"/>
      <c r="F1241" s="62" t="n"/>
      <c r="G1241" s="62" t="n"/>
      <c r="H1241" s="62" t="n"/>
      <c r="I1241" s="62" t="n"/>
      <c r="J1241" s="62" t="n"/>
      <c r="K1241" s="62" t="n"/>
      <c r="L1241" s="64" t="n"/>
      <c r="M1241" s="64" t="n"/>
      <c r="N1241" s="62" t="n"/>
      <c r="O1241" s="65">
        <f>IF(Z1241=1,L1241-W1241,"")</f>
        <v/>
      </c>
      <c r="P1241" s="66">
        <f>IF(V1241="","",IFERROR(INDEX(coa_Type,MATCH(V1241,coa_Name,0)),""))</f>
        <v/>
      </c>
      <c r="Q1241" s="66">
        <f>IF(Z1241=1,IF(U1241="In",K1241&amp;"",V1241),"")</f>
        <v/>
      </c>
      <c r="R1241" s="66">
        <f>IF(Z1241=1,IF(U1241="In",V1241,K1241&amp;""),"")</f>
        <v/>
      </c>
      <c r="S1241" s="66">
        <f>IF(X1241&lt;&gt;"","⛔ "&amp;X1241&amp;" — not posted",IF(Y1241&lt;&gt;"","⚠ "&amp;Y1241,IF(Z1241=1,"✓ OK","")))</f>
        <v/>
      </c>
      <c r="T1241" s="67">
        <f>IF(AND(C1241="",D1241="",E1241="",L1241="",K1241=""),1,0)</f>
        <v/>
      </c>
      <c r="U1241" s="67">
        <f>IFERROR(INDEX(tt_Dir,MATCH(D1241,tt_Type,0)),"")</f>
        <v/>
      </c>
      <c r="V1241" s="67">
        <f>IF(D1241="","",IFERROR(IF(INDEX(tt_Other,MATCH(D1241,tt_Type,0))="",E1241&amp;"",INDEX(tt_Other,MATCH(D1241,tt_Type,0))),""))</f>
        <v/>
      </c>
      <c r="W1241" s="68">
        <f>IF(OR(TaxOn&lt;&gt;"Yes",NOT(ISNUMBER(M1241))),0,IF(IFERROR(INDEX(tt_Tax,MATCH(D1241,tt_Type,0)),"No")="Yes",M1241,0))</f>
        <v/>
      </c>
      <c r="X1241" s="67">
        <f>IF(T1241=1,"",IF(C1241="","Missing transaction date",IF(NOT(ISNUMBER(C1241)),"Invalid date",IF(OR(C1241&lt;DATE(2000,1,1),C1241&gt;DATE(2099,12,31)),"Invalid date",IF(D1241="","Select a type",IF(U1241="","Unknown type: "&amp;D1241,IF(V1241="","Select an account (Category)",IF(ISNA(MATCH(V1241,coa_Name,0)),"Unknown account: "&amp;V1241,IF(K1241="","Select Paid From / Deposited To",IF(ISNA(MATCH(K1241,coa_Name,0)),"Unknown account: "&amp;K1241,IF(NOT(ISNUMBER(L1241)),"Enter an amount",IF(L1241=0,"Enter an amount",IF(ABS(W1241)&gt;ABS(L1241),"Tax is larger than the amount","")))))))))))))</f>
        <v/>
      </c>
      <c r="Y1241" s="67">
        <f>IF(OR(T1241=1,X1241&lt;&gt;""),"",IF(AND(B1241&lt;&gt;"",COUNTIF(tx_ID,B1241)&gt;1),"Duplicate transaction ID",IF(AND(L1241&lt;0,D1241&lt;&gt;"Adjustment"),"Negative amount — check this entry",IF(AND(D1241="Customer Payment",G1241=""),"Add the customer",IF(AND(D1241="Customer Payment",OR(J1241="",COUNTIF(ar_No,J1241&amp;"")=0)),"Invoice # in Reference not found on AR sheet",IF(AND(D1241="Bill Payment",H1241=""),"Add the vendor",IF(AND(D1241="Bill Payment",OR(J1241="",COUNTIFS(ap_No,J1241&amp;"",ap_Party,H1241&amp;"")=0)),"Bill # + vendor not found on AP sheet",IF(AND(ISNUMBER(M1241),N(M1241)&lt;&gt;0,W1241=0),"Tax ignored (tax tracking off, or not allowed for this type)",IF(V1241=K1241&amp;"","Same account on both sides",IF(AND(ISNUMBER(StartDate),C1241&lt;StartDate),"Date is before the accounting start date",IF(AND(D1241&lt;&gt;"Adjustment",IFERROR(INDEX(coa_Pay,MATCH(K1241&amp;"",coa_Name,0)),"")&lt;&gt;"Yes"),"Paid From / Deposited To is not a payment account","")))))))))))</f>
        <v/>
      </c>
      <c r="Z1241" s="67">
        <f>IF(AND(T1241=0,X1241=""),1,0)</f>
        <v/>
      </c>
      <c r="AA1241" s="68">
        <f>IF(Z1241=1,IF(U1241="In",L1241,L1241-W1241),0)</f>
        <v/>
      </c>
      <c r="AB1241" s="68">
        <f>IF(Z1241=1,IF(U1241="In",L1241-W1241,L1241),0)</f>
        <v/>
      </c>
      <c r="AC1241" s="68">
        <f>IF(AND(Z1241=1,U1241="Out"),W1241,0)</f>
        <v/>
      </c>
      <c r="AD1241" s="68">
        <f>IF(AND(Z1241=1,U1241="In"),W1241,0)</f>
        <v/>
      </c>
    </row>
    <row r="1242">
      <c r="B1242" s="62" t="inlineStr">
        <is>
          <t>TX-1236</t>
        </is>
      </c>
      <c r="C1242" s="63" t="n"/>
      <c r="D1242" s="62" t="n"/>
      <c r="E1242" s="62" t="n"/>
      <c r="F1242" s="62" t="n"/>
      <c r="G1242" s="62" t="n"/>
      <c r="H1242" s="62" t="n"/>
      <c r="I1242" s="62" t="n"/>
      <c r="J1242" s="62" t="n"/>
      <c r="K1242" s="62" t="n"/>
      <c r="L1242" s="64" t="n"/>
      <c r="M1242" s="64" t="n"/>
      <c r="N1242" s="62" t="n"/>
      <c r="O1242" s="65">
        <f>IF(Z1242=1,L1242-W1242,"")</f>
        <v/>
      </c>
      <c r="P1242" s="66">
        <f>IF(V1242="","",IFERROR(INDEX(coa_Type,MATCH(V1242,coa_Name,0)),""))</f>
        <v/>
      </c>
      <c r="Q1242" s="66">
        <f>IF(Z1242=1,IF(U1242="In",K1242&amp;"",V1242),"")</f>
        <v/>
      </c>
      <c r="R1242" s="66">
        <f>IF(Z1242=1,IF(U1242="In",V1242,K1242&amp;""),"")</f>
        <v/>
      </c>
      <c r="S1242" s="66">
        <f>IF(X1242&lt;&gt;"","⛔ "&amp;X1242&amp;" — not posted",IF(Y1242&lt;&gt;"","⚠ "&amp;Y1242,IF(Z1242=1,"✓ OK","")))</f>
        <v/>
      </c>
      <c r="T1242" s="67">
        <f>IF(AND(C1242="",D1242="",E1242="",L1242="",K1242=""),1,0)</f>
        <v/>
      </c>
      <c r="U1242" s="67">
        <f>IFERROR(INDEX(tt_Dir,MATCH(D1242,tt_Type,0)),"")</f>
        <v/>
      </c>
      <c r="V1242" s="67">
        <f>IF(D1242="","",IFERROR(IF(INDEX(tt_Other,MATCH(D1242,tt_Type,0))="",E1242&amp;"",INDEX(tt_Other,MATCH(D1242,tt_Type,0))),""))</f>
        <v/>
      </c>
      <c r="W1242" s="68">
        <f>IF(OR(TaxOn&lt;&gt;"Yes",NOT(ISNUMBER(M1242))),0,IF(IFERROR(INDEX(tt_Tax,MATCH(D1242,tt_Type,0)),"No")="Yes",M1242,0))</f>
        <v/>
      </c>
      <c r="X1242" s="67">
        <f>IF(T1242=1,"",IF(C1242="","Missing transaction date",IF(NOT(ISNUMBER(C1242)),"Invalid date",IF(OR(C1242&lt;DATE(2000,1,1),C1242&gt;DATE(2099,12,31)),"Invalid date",IF(D1242="","Select a type",IF(U1242="","Unknown type: "&amp;D1242,IF(V1242="","Select an account (Category)",IF(ISNA(MATCH(V1242,coa_Name,0)),"Unknown account: "&amp;V1242,IF(K1242="","Select Paid From / Deposited To",IF(ISNA(MATCH(K1242,coa_Name,0)),"Unknown account: "&amp;K1242,IF(NOT(ISNUMBER(L1242)),"Enter an amount",IF(L1242=0,"Enter an amount",IF(ABS(W1242)&gt;ABS(L1242),"Tax is larger than the amount","")))))))))))))</f>
        <v/>
      </c>
      <c r="Y1242" s="67">
        <f>IF(OR(T1242=1,X1242&lt;&gt;""),"",IF(AND(B1242&lt;&gt;"",COUNTIF(tx_ID,B1242)&gt;1),"Duplicate transaction ID",IF(AND(L1242&lt;0,D1242&lt;&gt;"Adjustment"),"Negative amount — check this entry",IF(AND(D1242="Customer Payment",G1242=""),"Add the customer",IF(AND(D1242="Customer Payment",OR(J1242="",COUNTIF(ar_No,J1242&amp;"")=0)),"Invoice # in Reference not found on AR sheet",IF(AND(D1242="Bill Payment",H1242=""),"Add the vendor",IF(AND(D1242="Bill Payment",OR(J1242="",COUNTIFS(ap_No,J1242&amp;"",ap_Party,H1242&amp;"")=0)),"Bill # + vendor not found on AP sheet",IF(AND(ISNUMBER(M1242),N(M1242)&lt;&gt;0,W1242=0),"Tax ignored (tax tracking off, or not allowed for this type)",IF(V1242=K1242&amp;"","Same account on both sides",IF(AND(ISNUMBER(StartDate),C1242&lt;StartDate),"Date is before the accounting start date",IF(AND(D1242&lt;&gt;"Adjustment",IFERROR(INDEX(coa_Pay,MATCH(K1242&amp;"",coa_Name,0)),"")&lt;&gt;"Yes"),"Paid From / Deposited To is not a payment account","")))))))))))</f>
        <v/>
      </c>
      <c r="Z1242" s="67">
        <f>IF(AND(T1242=0,X1242=""),1,0)</f>
        <v/>
      </c>
      <c r="AA1242" s="68">
        <f>IF(Z1242=1,IF(U1242="In",L1242,L1242-W1242),0)</f>
        <v/>
      </c>
      <c r="AB1242" s="68">
        <f>IF(Z1242=1,IF(U1242="In",L1242-W1242,L1242),0)</f>
        <v/>
      </c>
      <c r="AC1242" s="68">
        <f>IF(AND(Z1242=1,U1242="Out"),W1242,0)</f>
        <v/>
      </c>
      <c r="AD1242" s="68">
        <f>IF(AND(Z1242=1,U1242="In"),W1242,0)</f>
        <v/>
      </c>
    </row>
    <row r="1243">
      <c r="B1243" s="62" t="inlineStr">
        <is>
          <t>TX-1237</t>
        </is>
      </c>
      <c r="C1243" s="63" t="n"/>
      <c r="D1243" s="62" t="n"/>
      <c r="E1243" s="62" t="n"/>
      <c r="F1243" s="62" t="n"/>
      <c r="G1243" s="62" t="n"/>
      <c r="H1243" s="62" t="n"/>
      <c r="I1243" s="62" t="n"/>
      <c r="J1243" s="62" t="n"/>
      <c r="K1243" s="62" t="n"/>
      <c r="L1243" s="64" t="n"/>
      <c r="M1243" s="64" t="n"/>
      <c r="N1243" s="62" t="n"/>
      <c r="O1243" s="65">
        <f>IF(Z1243=1,L1243-W1243,"")</f>
        <v/>
      </c>
      <c r="P1243" s="66">
        <f>IF(V1243="","",IFERROR(INDEX(coa_Type,MATCH(V1243,coa_Name,0)),""))</f>
        <v/>
      </c>
      <c r="Q1243" s="66">
        <f>IF(Z1243=1,IF(U1243="In",K1243&amp;"",V1243),"")</f>
        <v/>
      </c>
      <c r="R1243" s="66">
        <f>IF(Z1243=1,IF(U1243="In",V1243,K1243&amp;""),"")</f>
        <v/>
      </c>
      <c r="S1243" s="66">
        <f>IF(X1243&lt;&gt;"","⛔ "&amp;X1243&amp;" — not posted",IF(Y1243&lt;&gt;"","⚠ "&amp;Y1243,IF(Z1243=1,"✓ OK","")))</f>
        <v/>
      </c>
      <c r="T1243" s="67">
        <f>IF(AND(C1243="",D1243="",E1243="",L1243="",K1243=""),1,0)</f>
        <v/>
      </c>
      <c r="U1243" s="67">
        <f>IFERROR(INDEX(tt_Dir,MATCH(D1243,tt_Type,0)),"")</f>
        <v/>
      </c>
      <c r="V1243" s="67">
        <f>IF(D1243="","",IFERROR(IF(INDEX(tt_Other,MATCH(D1243,tt_Type,0))="",E1243&amp;"",INDEX(tt_Other,MATCH(D1243,tt_Type,0))),""))</f>
        <v/>
      </c>
      <c r="W1243" s="68">
        <f>IF(OR(TaxOn&lt;&gt;"Yes",NOT(ISNUMBER(M1243))),0,IF(IFERROR(INDEX(tt_Tax,MATCH(D1243,tt_Type,0)),"No")="Yes",M1243,0))</f>
        <v/>
      </c>
      <c r="X1243" s="67">
        <f>IF(T1243=1,"",IF(C1243="","Missing transaction date",IF(NOT(ISNUMBER(C1243)),"Invalid date",IF(OR(C1243&lt;DATE(2000,1,1),C1243&gt;DATE(2099,12,31)),"Invalid date",IF(D1243="","Select a type",IF(U1243="","Unknown type: "&amp;D1243,IF(V1243="","Select an account (Category)",IF(ISNA(MATCH(V1243,coa_Name,0)),"Unknown account: "&amp;V1243,IF(K1243="","Select Paid From / Deposited To",IF(ISNA(MATCH(K1243,coa_Name,0)),"Unknown account: "&amp;K1243,IF(NOT(ISNUMBER(L1243)),"Enter an amount",IF(L1243=0,"Enter an amount",IF(ABS(W1243)&gt;ABS(L1243),"Tax is larger than the amount","")))))))))))))</f>
        <v/>
      </c>
      <c r="Y1243" s="67">
        <f>IF(OR(T1243=1,X1243&lt;&gt;""),"",IF(AND(B1243&lt;&gt;"",COUNTIF(tx_ID,B1243)&gt;1),"Duplicate transaction ID",IF(AND(L1243&lt;0,D1243&lt;&gt;"Adjustment"),"Negative amount — check this entry",IF(AND(D1243="Customer Payment",G1243=""),"Add the customer",IF(AND(D1243="Customer Payment",OR(J1243="",COUNTIF(ar_No,J1243&amp;"")=0)),"Invoice # in Reference not found on AR sheet",IF(AND(D1243="Bill Payment",H1243=""),"Add the vendor",IF(AND(D1243="Bill Payment",OR(J1243="",COUNTIFS(ap_No,J1243&amp;"",ap_Party,H1243&amp;"")=0)),"Bill # + vendor not found on AP sheet",IF(AND(ISNUMBER(M1243),N(M1243)&lt;&gt;0,W1243=0),"Tax ignored (tax tracking off, or not allowed for this type)",IF(V1243=K1243&amp;"","Same account on both sides",IF(AND(ISNUMBER(StartDate),C1243&lt;StartDate),"Date is before the accounting start date",IF(AND(D1243&lt;&gt;"Adjustment",IFERROR(INDEX(coa_Pay,MATCH(K1243&amp;"",coa_Name,0)),"")&lt;&gt;"Yes"),"Paid From / Deposited To is not a payment account","")))))))))))</f>
        <v/>
      </c>
      <c r="Z1243" s="67">
        <f>IF(AND(T1243=0,X1243=""),1,0)</f>
        <v/>
      </c>
      <c r="AA1243" s="68">
        <f>IF(Z1243=1,IF(U1243="In",L1243,L1243-W1243),0)</f>
        <v/>
      </c>
      <c r="AB1243" s="68">
        <f>IF(Z1243=1,IF(U1243="In",L1243-W1243,L1243),0)</f>
        <v/>
      </c>
      <c r="AC1243" s="68">
        <f>IF(AND(Z1243=1,U1243="Out"),W1243,0)</f>
        <v/>
      </c>
      <c r="AD1243" s="68">
        <f>IF(AND(Z1243=1,U1243="In"),W1243,0)</f>
        <v/>
      </c>
    </row>
    <row r="1244">
      <c r="B1244" s="62" t="inlineStr">
        <is>
          <t>TX-1238</t>
        </is>
      </c>
      <c r="C1244" s="63" t="n"/>
      <c r="D1244" s="62" t="n"/>
      <c r="E1244" s="62" t="n"/>
      <c r="F1244" s="62" t="n"/>
      <c r="G1244" s="62" t="n"/>
      <c r="H1244" s="62" t="n"/>
      <c r="I1244" s="62" t="n"/>
      <c r="J1244" s="62" t="n"/>
      <c r="K1244" s="62" t="n"/>
      <c r="L1244" s="64" t="n"/>
      <c r="M1244" s="64" t="n"/>
      <c r="N1244" s="62" t="n"/>
      <c r="O1244" s="65">
        <f>IF(Z1244=1,L1244-W1244,"")</f>
        <v/>
      </c>
      <c r="P1244" s="66">
        <f>IF(V1244="","",IFERROR(INDEX(coa_Type,MATCH(V1244,coa_Name,0)),""))</f>
        <v/>
      </c>
      <c r="Q1244" s="66">
        <f>IF(Z1244=1,IF(U1244="In",K1244&amp;"",V1244),"")</f>
        <v/>
      </c>
      <c r="R1244" s="66">
        <f>IF(Z1244=1,IF(U1244="In",V1244,K1244&amp;""),"")</f>
        <v/>
      </c>
      <c r="S1244" s="66">
        <f>IF(X1244&lt;&gt;"","⛔ "&amp;X1244&amp;" — not posted",IF(Y1244&lt;&gt;"","⚠ "&amp;Y1244,IF(Z1244=1,"✓ OK","")))</f>
        <v/>
      </c>
      <c r="T1244" s="67">
        <f>IF(AND(C1244="",D1244="",E1244="",L1244="",K1244=""),1,0)</f>
        <v/>
      </c>
      <c r="U1244" s="67">
        <f>IFERROR(INDEX(tt_Dir,MATCH(D1244,tt_Type,0)),"")</f>
        <v/>
      </c>
      <c r="V1244" s="67">
        <f>IF(D1244="","",IFERROR(IF(INDEX(tt_Other,MATCH(D1244,tt_Type,0))="",E1244&amp;"",INDEX(tt_Other,MATCH(D1244,tt_Type,0))),""))</f>
        <v/>
      </c>
      <c r="W1244" s="68">
        <f>IF(OR(TaxOn&lt;&gt;"Yes",NOT(ISNUMBER(M1244))),0,IF(IFERROR(INDEX(tt_Tax,MATCH(D1244,tt_Type,0)),"No")="Yes",M1244,0))</f>
        <v/>
      </c>
      <c r="X1244" s="67">
        <f>IF(T1244=1,"",IF(C1244="","Missing transaction date",IF(NOT(ISNUMBER(C1244)),"Invalid date",IF(OR(C1244&lt;DATE(2000,1,1),C1244&gt;DATE(2099,12,31)),"Invalid date",IF(D1244="","Select a type",IF(U1244="","Unknown type: "&amp;D1244,IF(V1244="","Select an account (Category)",IF(ISNA(MATCH(V1244,coa_Name,0)),"Unknown account: "&amp;V1244,IF(K1244="","Select Paid From / Deposited To",IF(ISNA(MATCH(K1244,coa_Name,0)),"Unknown account: "&amp;K1244,IF(NOT(ISNUMBER(L1244)),"Enter an amount",IF(L1244=0,"Enter an amount",IF(ABS(W1244)&gt;ABS(L1244),"Tax is larger than the amount","")))))))))))))</f>
        <v/>
      </c>
      <c r="Y1244" s="67">
        <f>IF(OR(T1244=1,X1244&lt;&gt;""),"",IF(AND(B1244&lt;&gt;"",COUNTIF(tx_ID,B1244)&gt;1),"Duplicate transaction ID",IF(AND(L1244&lt;0,D1244&lt;&gt;"Adjustment"),"Negative amount — check this entry",IF(AND(D1244="Customer Payment",G1244=""),"Add the customer",IF(AND(D1244="Customer Payment",OR(J1244="",COUNTIF(ar_No,J1244&amp;"")=0)),"Invoice # in Reference not found on AR sheet",IF(AND(D1244="Bill Payment",H1244=""),"Add the vendor",IF(AND(D1244="Bill Payment",OR(J1244="",COUNTIFS(ap_No,J1244&amp;"",ap_Party,H1244&amp;"")=0)),"Bill # + vendor not found on AP sheet",IF(AND(ISNUMBER(M1244),N(M1244)&lt;&gt;0,W1244=0),"Tax ignored (tax tracking off, or not allowed for this type)",IF(V1244=K1244&amp;"","Same account on both sides",IF(AND(ISNUMBER(StartDate),C1244&lt;StartDate),"Date is before the accounting start date",IF(AND(D1244&lt;&gt;"Adjustment",IFERROR(INDEX(coa_Pay,MATCH(K1244&amp;"",coa_Name,0)),"")&lt;&gt;"Yes"),"Paid From / Deposited To is not a payment account","")))))))))))</f>
        <v/>
      </c>
      <c r="Z1244" s="67">
        <f>IF(AND(T1244=0,X1244=""),1,0)</f>
        <v/>
      </c>
      <c r="AA1244" s="68">
        <f>IF(Z1244=1,IF(U1244="In",L1244,L1244-W1244),0)</f>
        <v/>
      </c>
      <c r="AB1244" s="68">
        <f>IF(Z1244=1,IF(U1244="In",L1244-W1244,L1244),0)</f>
        <v/>
      </c>
      <c r="AC1244" s="68">
        <f>IF(AND(Z1244=1,U1244="Out"),W1244,0)</f>
        <v/>
      </c>
      <c r="AD1244" s="68">
        <f>IF(AND(Z1244=1,U1244="In"),W1244,0)</f>
        <v/>
      </c>
    </row>
    <row r="1245">
      <c r="B1245" s="62" t="inlineStr">
        <is>
          <t>TX-1239</t>
        </is>
      </c>
      <c r="C1245" s="63" t="n"/>
      <c r="D1245" s="62" t="n"/>
      <c r="E1245" s="62" t="n"/>
      <c r="F1245" s="62" t="n"/>
      <c r="G1245" s="62" t="n"/>
      <c r="H1245" s="62" t="n"/>
      <c r="I1245" s="62" t="n"/>
      <c r="J1245" s="62" t="n"/>
      <c r="K1245" s="62" t="n"/>
      <c r="L1245" s="64" t="n"/>
      <c r="M1245" s="64" t="n"/>
      <c r="N1245" s="62" t="n"/>
      <c r="O1245" s="65">
        <f>IF(Z1245=1,L1245-W1245,"")</f>
        <v/>
      </c>
      <c r="P1245" s="66">
        <f>IF(V1245="","",IFERROR(INDEX(coa_Type,MATCH(V1245,coa_Name,0)),""))</f>
        <v/>
      </c>
      <c r="Q1245" s="66">
        <f>IF(Z1245=1,IF(U1245="In",K1245&amp;"",V1245),"")</f>
        <v/>
      </c>
      <c r="R1245" s="66">
        <f>IF(Z1245=1,IF(U1245="In",V1245,K1245&amp;""),"")</f>
        <v/>
      </c>
      <c r="S1245" s="66">
        <f>IF(X1245&lt;&gt;"","⛔ "&amp;X1245&amp;" — not posted",IF(Y1245&lt;&gt;"","⚠ "&amp;Y1245,IF(Z1245=1,"✓ OK","")))</f>
        <v/>
      </c>
      <c r="T1245" s="67">
        <f>IF(AND(C1245="",D1245="",E1245="",L1245="",K1245=""),1,0)</f>
        <v/>
      </c>
      <c r="U1245" s="67">
        <f>IFERROR(INDEX(tt_Dir,MATCH(D1245,tt_Type,0)),"")</f>
        <v/>
      </c>
      <c r="V1245" s="67">
        <f>IF(D1245="","",IFERROR(IF(INDEX(tt_Other,MATCH(D1245,tt_Type,0))="",E1245&amp;"",INDEX(tt_Other,MATCH(D1245,tt_Type,0))),""))</f>
        <v/>
      </c>
      <c r="W1245" s="68">
        <f>IF(OR(TaxOn&lt;&gt;"Yes",NOT(ISNUMBER(M1245))),0,IF(IFERROR(INDEX(tt_Tax,MATCH(D1245,tt_Type,0)),"No")="Yes",M1245,0))</f>
        <v/>
      </c>
      <c r="X1245" s="67">
        <f>IF(T1245=1,"",IF(C1245="","Missing transaction date",IF(NOT(ISNUMBER(C1245)),"Invalid date",IF(OR(C1245&lt;DATE(2000,1,1),C1245&gt;DATE(2099,12,31)),"Invalid date",IF(D1245="","Select a type",IF(U1245="","Unknown type: "&amp;D1245,IF(V1245="","Select an account (Category)",IF(ISNA(MATCH(V1245,coa_Name,0)),"Unknown account: "&amp;V1245,IF(K1245="","Select Paid From / Deposited To",IF(ISNA(MATCH(K1245,coa_Name,0)),"Unknown account: "&amp;K1245,IF(NOT(ISNUMBER(L1245)),"Enter an amount",IF(L1245=0,"Enter an amount",IF(ABS(W1245)&gt;ABS(L1245),"Tax is larger than the amount","")))))))))))))</f>
        <v/>
      </c>
      <c r="Y1245" s="67">
        <f>IF(OR(T1245=1,X1245&lt;&gt;""),"",IF(AND(B1245&lt;&gt;"",COUNTIF(tx_ID,B1245)&gt;1),"Duplicate transaction ID",IF(AND(L1245&lt;0,D1245&lt;&gt;"Adjustment"),"Negative amount — check this entry",IF(AND(D1245="Customer Payment",G1245=""),"Add the customer",IF(AND(D1245="Customer Payment",OR(J1245="",COUNTIF(ar_No,J1245&amp;"")=0)),"Invoice # in Reference not found on AR sheet",IF(AND(D1245="Bill Payment",H1245=""),"Add the vendor",IF(AND(D1245="Bill Payment",OR(J1245="",COUNTIFS(ap_No,J1245&amp;"",ap_Party,H1245&amp;"")=0)),"Bill # + vendor not found on AP sheet",IF(AND(ISNUMBER(M1245),N(M1245)&lt;&gt;0,W1245=0),"Tax ignored (tax tracking off, or not allowed for this type)",IF(V1245=K1245&amp;"","Same account on both sides",IF(AND(ISNUMBER(StartDate),C1245&lt;StartDate),"Date is before the accounting start date",IF(AND(D1245&lt;&gt;"Adjustment",IFERROR(INDEX(coa_Pay,MATCH(K1245&amp;"",coa_Name,0)),"")&lt;&gt;"Yes"),"Paid From / Deposited To is not a payment account","")))))))))))</f>
        <v/>
      </c>
      <c r="Z1245" s="67">
        <f>IF(AND(T1245=0,X1245=""),1,0)</f>
        <v/>
      </c>
      <c r="AA1245" s="68">
        <f>IF(Z1245=1,IF(U1245="In",L1245,L1245-W1245),0)</f>
        <v/>
      </c>
      <c r="AB1245" s="68">
        <f>IF(Z1245=1,IF(U1245="In",L1245-W1245,L1245),0)</f>
        <v/>
      </c>
      <c r="AC1245" s="68">
        <f>IF(AND(Z1245=1,U1245="Out"),W1245,0)</f>
        <v/>
      </c>
      <c r="AD1245" s="68">
        <f>IF(AND(Z1245=1,U1245="In"),W1245,0)</f>
        <v/>
      </c>
    </row>
    <row r="1246">
      <c r="B1246" s="62" t="inlineStr">
        <is>
          <t>TX-1240</t>
        </is>
      </c>
      <c r="C1246" s="63" t="n"/>
      <c r="D1246" s="62" t="n"/>
      <c r="E1246" s="62" t="n"/>
      <c r="F1246" s="62" t="n"/>
      <c r="G1246" s="62" t="n"/>
      <c r="H1246" s="62" t="n"/>
      <c r="I1246" s="62" t="n"/>
      <c r="J1246" s="62" t="n"/>
      <c r="K1246" s="62" t="n"/>
      <c r="L1246" s="64" t="n"/>
      <c r="M1246" s="64" t="n"/>
      <c r="N1246" s="62" t="n"/>
      <c r="O1246" s="65">
        <f>IF(Z1246=1,L1246-W1246,"")</f>
        <v/>
      </c>
      <c r="P1246" s="66">
        <f>IF(V1246="","",IFERROR(INDEX(coa_Type,MATCH(V1246,coa_Name,0)),""))</f>
        <v/>
      </c>
      <c r="Q1246" s="66">
        <f>IF(Z1246=1,IF(U1246="In",K1246&amp;"",V1246),"")</f>
        <v/>
      </c>
      <c r="R1246" s="66">
        <f>IF(Z1246=1,IF(U1246="In",V1246,K1246&amp;""),"")</f>
        <v/>
      </c>
      <c r="S1246" s="66">
        <f>IF(X1246&lt;&gt;"","⛔ "&amp;X1246&amp;" — not posted",IF(Y1246&lt;&gt;"","⚠ "&amp;Y1246,IF(Z1246=1,"✓ OK","")))</f>
        <v/>
      </c>
      <c r="T1246" s="67">
        <f>IF(AND(C1246="",D1246="",E1246="",L1246="",K1246=""),1,0)</f>
        <v/>
      </c>
      <c r="U1246" s="67">
        <f>IFERROR(INDEX(tt_Dir,MATCH(D1246,tt_Type,0)),"")</f>
        <v/>
      </c>
      <c r="V1246" s="67">
        <f>IF(D1246="","",IFERROR(IF(INDEX(tt_Other,MATCH(D1246,tt_Type,0))="",E1246&amp;"",INDEX(tt_Other,MATCH(D1246,tt_Type,0))),""))</f>
        <v/>
      </c>
      <c r="W1246" s="68">
        <f>IF(OR(TaxOn&lt;&gt;"Yes",NOT(ISNUMBER(M1246))),0,IF(IFERROR(INDEX(tt_Tax,MATCH(D1246,tt_Type,0)),"No")="Yes",M1246,0))</f>
        <v/>
      </c>
      <c r="X1246" s="67">
        <f>IF(T1246=1,"",IF(C1246="","Missing transaction date",IF(NOT(ISNUMBER(C1246)),"Invalid date",IF(OR(C1246&lt;DATE(2000,1,1),C1246&gt;DATE(2099,12,31)),"Invalid date",IF(D1246="","Select a type",IF(U1246="","Unknown type: "&amp;D1246,IF(V1246="","Select an account (Category)",IF(ISNA(MATCH(V1246,coa_Name,0)),"Unknown account: "&amp;V1246,IF(K1246="","Select Paid From / Deposited To",IF(ISNA(MATCH(K1246,coa_Name,0)),"Unknown account: "&amp;K1246,IF(NOT(ISNUMBER(L1246)),"Enter an amount",IF(L1246=0,"Enter an amount",IF(ABS(W1246)&gt;ABS(L1246),"Tax is larger than the amount","")))))))))))))</f>
        <v/>
      </c>
      <c r="Y1246" s="67">
        <f>IF(OR(T1246=1,X1246&lt;&gt;""),"",IF(AND(B1246&lt;&gt;"",COUNTIF(tx_ID,B1246)&gt;1),"Duplicate transaction ID",IF(AND(L1246&lt;0,D1246&lt;&gt;"Adjustment"),"Negative amount — check this entry",IF(AND(D1246="Customer Payment",G1246=""),"Add the customer",IF(AND(D1246="Customer Payment",OR(J1246="",COUNTIF(ar_No,J1246&amp;"")=0)),"Invoice # in Reference not found on AR sheet",IF(AND(D1246="Bill Payment",H1246=""),"Add the vendor",IF(AND(D1246="Bill Payment",OR(J1246="",COUNTIFS(ap_No,J1246&amp;"",ap_Party,H1246&amp;"")=0)),"Bill # + vendor not found on AP sheet",IF(AND(ISNUMBER(M1246),N(M1246)&lt;&gt;0,W1246=0),"Tax ignored (tax tracking off, or not allowed for this type)",IF(V1246=K1246&amp;"","Same account on both sides",IF(AND(ISNUMBER(StartDate),C1246&lt;StartDate),"Date is before the accounting start date",IF(AND(D1246&lt;&gt;"Adjustment",IFERROR(INDEX(coa_Pay,MATCH(K1246&amp;"",coa_Name,0)),"")&lt;&gt;"Yes"),"Paid From / Deposited To is not a payment account","")))))))))))</f>
        <v/>
      </c>
      <c r="Z1246" s="67">
        <f>IF(AND(T1246=0,X1246=""),1,0)</f>
        <v/>
      </c>
      <c r="AA1246" s="68">
        <f>IF(Z1246=1,IF(U1246="In",L1246,L1246-W1246),0)</f>
        <v/>
      </c>
      <c r="AB1246" s="68">
        <f>IF(Z1246=1,IF(U1246="In",L1246-W1246,L1246),0)</f>
        <v/>
      </c>
      <c r="AC1246" s="68">
        <f>IF(AND(Z1246=1,U1246="Out"),W1246,0)</f>
        <v/>
      </c>
      <c r="AD1246" s="68">
        <f>IF(AND(Z1246=1,U1246="In"),W1246,0)</f>
        <v/>
      </c>
    </row>
    <row r="1247">
      <c r="B1247" s="62" t="inlineStr">
        <is>
          <t>TX-1241</t>
        </is>
      </c>
      <c r="C1247" s="63" t="n"/>
      <c r="D1247" s="62" t="n"/>
      <c r="E1247" s="62" t="n"/>
      <c r="F1247" s="62" t="n"/>
      <c r="G1247" s="62" t="n"/>
      <c r="H1247" s="62" t="n"/>
      <c r="I1247" s="62" t="n"/>
      <c r="J1247" s="62" t="n"/>
      <c r="K1247" s="62" t="n"/>
      <c r="L1247" s="64" t="n"/>
      <c r="M1247" s="64" t="n"/>
      <c r="N1247" s="62" t="n"/>
      <c r="O1247" s="65">
        <f>IF(Z1247=1,L1247-W1247,"")</f>
        <v/>
      </c>
      <c r="P1247" s="66">
        <f>IF(V1247="","",IFERROR(INDEX(coa_Type,MATCH(V1247,coa_Name,0)),""))</f>
        <v/>
      </c>
      <c r="Q1247" s="66">
        <f>IF(Z1247=1,IF(U1247="In",K1247&amp;"",V1247),"")</f>
        <v/>
      </c>
      <c r="R1247" s="66">
        <f>IF(Z1247=1,IF(U1247="In",V1247,K1247&amp;""),"")</f>
        <v/>
      </c>
      <c r="S1247" s="66">
        <f>IF(X1247&lt;&gt;"","⛔ "&amp;X1247&amp;" — not posted",IF(Y1247&lt;&gt;"","⚠ "&amp;Y1247,IF(Z1247=1,"✓ OK","")))</f>
        <v/>
      </c>
      <c r="T1247" s="67">
        <f>IF(AND(C1247="",D1247="",E1247="",L1247="",K1247=""),1,0)</f>
        <v/>
      </c>
      <c r="U1247" s="67">
        <f>IFERROR(INDEX(tt_Dir,MATCH(D1247,tt_Type,0)),"")</f>
        <v/>
      </c>
      <c r="V1247" s="67">
        <f>IF(D1247="","",IFERROR(IF(INDEX(tt_Other,MATCH(D1247,tt_Type,0))="",E1247&amp;"",INDEX(tt_Other,MATCH(D1247,tt_Type,0))),""))</f>
        <v/>
      </c>
      <c r="W1247" s="68">
        <f>IF(OR(TaxOn&lt;&gt;"Yes",NOT(ISNUMBER(M1247))),0,IF(IFERROR(INDEX(tt_Tax,MATCH(D1247,tt_Type,0)),"No")="Yes",M1247,0))</f>
        <v/>
      </c>
      <c r="X1247" s="67">
        <f>IF(T1247=1,"",IF(C1247="","Missing transaction date",IF(NOT(ISNUMBER(C1247)),"Invalid date",IF(OR(C1247&lt;DATE(2000,1,1),C1247&gt;DATE(2099,12,31)),"Invalid date",IF(D1247="","Select a type",IF(U1247="","Unknown type: "&amp;D1247,IF(V1247="","Select an account (Category)",IF(ISNA(MATCH(V1247,coa_Name,0)),"Unknown account: "&amp;V1247,IF(K1247="","Select Paid From / Deposited To",IF(ISNA(MATCH(K1247,coa_Name,0)),"Unknown account: "&amp;K1247,IF(NOT(ISNUMBER(L1247)),"Enter an amount",IF(L1247=0,"Enter an amount",IF(ABS(W1247)&gt;ABS(L1247),"Tax is larger than the amount","")))))))))))))</f>
        <v/>
      </c>
      <c r="Y1247" s="67">
        <f>IF(OR(T1247=1,X1247&lt;&gt;""),"",IF(AND(B1247&lt;&gt;"",COUNTIF(tx_ID,B1247)&gt;1),"Duplicate transaction ID",IF(AND(L1247&lt;0,D1247&lt;&gt;"Adjustment"),"Negative amount — check this entry",IF(AND(D1247="Customer Payment",G1247=""),"Add the customer",IF(AND(D1247="Customer Payment",OR(J1247="",COUNTIF(ar_No,J1247&amp;"")=0)),"Invoice # in Reference not found on AR sheet",IF(AND(D1247="Bill Payment",H1247=""),"Add the vendor",IF(AND(D1247="Bill Payment",OR(J1247="",COUNTIFS(ap_No,J1247&amp;"",ap_Party,H1247&amp;"")=0)),"Bill # + vendor not found on AP sheet",IF(AND(ISNUMBER(M1247),N(M1247)&lt;&gt;0,W1247=0),"Tax ignored (tax tracking off, or not allowed for this type)",IF(V1247=K1247&amp;"","Same account on both sides",IF(AND(ISNUMBER(StartDate),C1247&lt;StartDate),"Date is before the accounting start date",IF(AND(D1247&lt;&gt;"Adjustment",IFERROR(INDEX(coa_Pay,MATCH(K1247&amp;"",coa_Name,0)),"")&lt;&gt;"Yes"),"Paid From / Deposited To is not a payment account","")))))))))))</f>
        <v/>
      </c>
      <c r="Z1247" s="67">
        <f>IF(AND(T1247=0,X1247=""),1,0)</f>
        <v/>
      </c>
      <c r="AA1247" s="68">
        <f>IF(Z1247=1,IF(U1247="In",L1247,L1247-W1247),0)</f>
        <v/>
      </c>
      <c r="AB1247" s="68">
        <f>IF(Z1247=1,IF(U1247="In",L1247-W1247,L1247),0)</f>
        <v/>
      </c>
      <c r="AC1247" s="68">
        <f>IF(AND(Z1247=1,U1247="Out"),W1247,0)</f>
        <v/>
      </c>
      <c r="AD1247" s="68">
        <f>IF(AND(Z1247=1,U1247="In"),W1247,0)</f>
        <v/>
      </c>
    </row>
    <row r="1248">
      <c r="B1248" s="62" t="inlineStr">
        <is>
          <t>TX-1242</t>
        </is>
      </c>
      <c r="C1248" s="63" t="n"/>
      <c r="D1248" s="62" t="n"/>
      <c r="E1248" s="62" t="n"/>
      <c r="F1248" s="62" t="n"/>
      <c r="G1248" s="62" t="n"/>
      <c r="H1248" s="62" t="n"/>
      <c r="I1248" s="62" t="n"/>
      <c r="J1248" s="62" t="n"/>
      <c r="K1248" s="62" t="n"/>
      <c r="L1248" s="64" t="n"/>
      <c r="M1248" s="64" t="n"/>
      <c r="N1248" s="62" t="n"/>
      <c r="O1248" s="65">
        <f>IF(Z1248=1,L1248-W1248,"")</f>
        <v/>
      </c>
      <c r="P1248" s="66">
        <f>IF(V1248="","",IFERROR(INDEX(coa_Type,MATCH(V1248,coa_Name,0)),""))</f>
        <v/>
      </c>
      <c r="Q1248" s="66">
        <f>IF(Z1248=1,IF(U1248="In",K1248&amp;"",V1248),"")</f>
        <v/>
      </c>
      <c r="R1248" s="66">
        <f>IF(Z1248=1,IF(U1248="In",V1248,K1248&amp;""),"")</f>
        <v/>
      </c>
      <c r="S1248" s="66">
        <f>IF(X1248&lt;&gt;"","⛔ "&amp;X1248&amp;" — not posted",IF(Y1248&lt;&gt;"","⚠ "&amp;Y1248,IF(Z1248=1,"✓ OK","")))</f>
        <v/>
      </c>
      <c r="T1248" s="67">
        <f>IF(AND(C1248="",D1248="",E1248="",L1248="",K1248=""),1,0)</f>
        <v/>
      </c>
      <c r="U1248" s="67">
        <f>IFERROR(INDEX(tt_Dir,MATCH(D1248,tt_Type,0)),"")</f>
        <v/>
      </c>
      <c r="V1248" s="67">
        <f>IF(D1248="","",IFERROR(IF(INDEX(tt_Other,MATCH(D1248,tt_Type,0))="",E1248&amp;"",INDEX(tt_Other,MATCH(D1248,tt_Type,0))),""))</f>
        <v/>
      </c>
      <c r="W1248" s="68">
        <f>IF(OR(TaxOn&lt;&gt;"Yes",NOT(ISNUMBER(M1248))),0,IF(IFERROR(INDEX(tt_Tax,MATCH(D1248,tt_Type,0)),"No")="Yes",M1248,0))</f>
        <v/>
      </c>
      <c r="X1248" s="67">
        <f>IF(T1248=1,"",IF(C1248="","Missing transaction date",IF(NOT(ISNUMBER(C1248)),"Invalid date",IF(OR(C1248&lt;DATE(2000,1,1),C1248&gt;DATE(2099,12,31)),"Invalid date",IF(D1248="","Select a type",IF(U1248="","Unknown type: "&amp;D1248,IF(V1248="","Select an account (Category)",IF(ISNA(MATCH(V1248,coa_Name,0)),"Unknown account: "&amp;V1248,IF(K1248="","Select Paid From / Deposited To",IF(ISNA(MATCH(K1248,coa_Name,0)),"Unknown account: "&amp;K1248,IF(NOT(ISNUMBER(L1248)),"Enter an amount",IF(L1248=0,"Enter an amount",IF(ABS(W1248)&gt;ABS(L1248),"Tax is larger than the amount","")))))))))))))</f>
        <v/>
      </c>
      <c r="Y1248" s="67">
        <f>IF(OR(T1248=1,X1248&lt;&gt;""),"",IF(AND(B1248&lt;&gt;"",COUNTIF(tx_ID,B1248)&gt;1),"Duplicate transaction ID",IF(AND(L1248&lt;0,D1248&lt;&gt;"Adjustment"),"Negative amount — check this entry",IF(AND(D1248="Customer Payment",G1248=""),"Add the customer",IF(AND(D1248="Customer Payment",OR(J1248="",COUNTIF(ar_No,J1248&amp;"")=0)),"Invoice # in Reference not found on AR sheet",IF(AND(D1248="Bill Payment",H1248=""),"Add the vendor",IF(AND(D1248="Bill Payment",OR(J1248="",COUNTIFS(ap_No,J1248&amp;"",ap_Party,H1248&amp;"")=0)),"Bill # + vendor not found on AP sheet",IF(AND(ISNUMBER(M1248),N(M1248)&lt;&gt;0,W1248=0),"Tax ignored (tax tracking off, or not allowed for this type)",IF(V1248=K1248&amp;"","Same account on both sides",IF(AND(ISNUMBER(StartDate),C1248&lt;StartDate),"Date is before the accounting start date",IF(AND(D1248&lt;&gt;"Adjustment",IFERROR(INDEX(coa_Pay,MATCH(K1248&amp;"",coa_Name,0)),"")&lt;&gt;"Yes"),"Paid From / Deposited To is not a payment account","")))))))))))</f>
        <v/>
      </c>
      <c r="Z1248" s="67">
        <f>IF(AND(T1248=0,X1248=""),1,0)</f>
        <v/>
      </c>
      <c r="AA1248" s="68">
        <f>IF(Z1248=1,IF(U1248="In",L1248,L1248-W1248),0)</f>
        <v/>
      </c>
      <c r="AB1248" s="68">
        <f>IF(Z1248=1,IF(U1248="In",L1248-W1248,L1248),0)</f>
        <v/>
      </c>
      <c r="AC1248" s="68">
        <f>IF(AND(Z1248=1,U1248="Out"),W1248,0)</f>
        <v/>
      </c>
      <c r="AD1248" s="68">
        <f>IF(AND(Z1248=1,U1248="In"),W1248,0)</f>
        <v/>
      </c>
    </row>
    <row r="1249">
      <c r="B1249" s="62" t="inlineStr">
        <is>
          <t>TX-1243</t>
        </is>
      </c>
      <c r="C1249" s="63" t="n"/>
      <c r="D1249" s="62" t="n"/>
      <c r="E1249" s="62" t="n"/>
      <c r="F1249" s="62" t="n"/>
      <c r="G1249" s="62" t="n"/>
      <c r="H1249" s="62" t="n"/>
      <c r="I1249" s="62" t="n"/>
      <c r="J1249" s="62" t="n"/>
      <c r="K1249" s="62" t="n"/>
      <c r="L1249" s="64" t="n"/>
      <c r="M1249" s="64" t="n"/>
      <c r="N1249" s="62" t="n"/>
      <c r="O1249" s="65">
        <f>IF(Z1249=1,L1249-W1249,"")</f>
        <v/>
      </c>
      <c r="P1249" s="66">
        <f>IF(V1249="","",IFERROR(INDEX(coa_Type,MATCH(V1249,coa_Name,0)),""))</f>
        <v/>
      </c>
      <c r="Q1249" s="66">
        <f>IF(Z1249=1,IF(U1249="In",K1249&amp;"",V1249),"")</f>
        <v/>
      </c>
      <c r="R1249" s="66">
        <f>IF(Z1249=1,IF(U1249="In",V1249,K1249&amp;""),"")</f>
        <v/>
      </c>
      <c r="S1249" s="66">
        <f>IF(X1249&lt;&gt;"","⛔ "&amp;X1249&amp;" — not posted",IF(Y1249&lt;&gt;"","⚠ "&amp;Y1249,IF(Z1249=1,"✓ OK","")))</f>
        <v/>
      </c>
      <c r="T1249" s="67">
        <f>IF(AND(C1249="",D1249="",E1249="",L1249="",K1249=""),1,0)</f>
        <v/>
      </c>
      <c r="U1249" s="67">
        <f>IFERROR(INDEX(tt_Dir,MATCH(D1249,tt_Type,0)),"")</f>
        <v/>
      </c>
      <c r="V1249" s="67">
        <f>IF(D1249="","",IFERROR(IF(INDEX(tt_Other,MATCH(D1249,tt_Type,0))="",E1249&amp;"",INDEX(tt_Other,MATCH(D1249,tt_Type,0))),""))</f>
        <v/>
      </c>
      <c r="W1249" s="68">
        <f>IF(OR(TaxOn&lt;&gt;"Yes",NOT(ISNUMBER(M1249))),0,IF(IFERROR(INDEX(tt_Tax,MATCH(D1249,tt_Type,0)),"No")="Yes",M1249,0))</f>
        <v/>
      </c>
      <c r="X1249" s="67">
        <f>IF(T1249=1,"",IF(C1249="","Missing transaction date",IF(NOT(ISNUMBER(C1249)),"Invalid date",IF(OR(C1249&lt;DATE(2000,1,1),C1249&gt;DATE(2099,12,31)),"Invalid date",IF(D1249="","Select a type",IF(U1249="","Unknown type: "&amp;D1249,IF(V1249="","Select an account (Category)",IF(ISNA(MATCH(V1249,coa_Name,0)),"Unknown account: "&amp;V1249,IF(K1249="","Select Paid From / Deposited To",IF(ISNA(MATCH(K1249,coa_Name,0)),"Unknown account: "&amp;K1249,IF(NOT(ISNUMBER(L1249)),"Enter an amount",IF(L1249=0,"Enter an amount",IF(ABS(W1249)&gt;ABS(L1249),"Tax is larger than the amount","")))))))))))))</f>
        <v/>
      </c>
      <c r="Y1249" s="67">
        <f>IF(OR(T1249=1,X1249&lt;&gt;""),"",IF(AND(B1249&lt;&gt;"",COUNTIF(tx_ID,B1249)&gt;1),"Duplicate transaction ID",IF(AND(L1249&lt;0,D1249&lt;&gt;"Adjustment"),"Negative amount — check this entry",IF(AND(D1249="Customer Payment",G1249=""),"Add the customer",IF(AND(D1249="Customer Payment",OR(J1249="",COUNTIF(ar_No,J1249&amp;"")=0)),"Invoice # in Reference not found on AR sheet",IF(AND(D1249="Bill Payment",H1249=""),"Add the vendor",IF(AND(D1249="Bill Payment",OR(J1249="",COUNTIFS(ap_No,J1249&amp;"",ap_Party,H1249&amp;"")=0)),"Bill # + vendor not found on AP sheet",IF(AND(ISNUMBER(M1249),N(M1249)&lt;&gt;0,W1249=0),"Tax ignored (tax tracking off, or not allowed for this type)",IF(V1249=K1249&amp;"","Same account on both sides",IF(AND(ISNUMBER(StartDate),C1249&lt;StartDate),"Date is before the accounting start date",IF(AND(D1249&lt;&gt;"Adjustment",IFERROR(INDEX(coa_Pay,MATCH(K1249&amp;"",coa_Name,0)),"")&lt;&gt;"Yes"),"Paid From / Deposited To is not a payment account","")))))))))))</f>
        <v/>
      </c>
      <c r="Z1249" s="67">
        <f>IF(AND(T1249=0,X1249=""),1,0)</f>
        <v/>
      </c>
      <c r="AA1249" s="68">
        <f>IF(Z1249=1,IF(U1249="In",L1249,L1249-W1249),0)</f>
        <v/>
      </c>
      <c r="AB1249" s="68">
        <f>IF(Z1249=1,IF(U1249="In",L1249-W1249,L1249),0)</f>
        <v/>
      </c>
      <c r="AC1249" s="68">
        <f>IF(AND(Z1249=1,U1249="Out"),W1249,0)</f>
        <v/>
      </c>
      <c r="AD1249" s="68">
        <f>IF(AND(Z1249=1,U1249="In"),W1249,0)</f>
        <v/>
      </c>
    </row>
    <row r="1250">
      <c r="B1250" s="62" t="inlineStr">
        <is>
          <t>TX-1244</t>
        </is>
      </c>
      <c r="C1250" s="63" t="n"/>
      <c r="D1250" s="62" t="n"/>
      <c r="E1250" s="62" t="n"/>
      <c r="F1250" s="62" t="n"/>
      <c r="G1250" s="62" t="n"/>
      <c r="H1250" s="62" t="n"/>
      <c r="I1250" s="62" t="n"/>
      <c r="J1250" s="62" t="n"/>
      <c r="K1250" s="62" t="n"/>
      <c r="L1250" s="64" t="n"/>
      <c r="M1250" s="64" t="n"/>
      <c r="N1250" s="62" t="n"/>
      <c r="O1250" s="65">
        <f>IF(Z1250=1,L1250-W1250,"")</f>
        <v/>
      </c>
      <c r="P1250" s="66">
        <f>IF(V1250="","",IFERROR(INDEX(coa_Type,MATCH(V1250,coa_Name,0)),""))</f>
        <v/>
      </c>
      <c r="Q1250" s="66">
        <f>IF(Z1250=1,IF(U1250="In",K1250&amp;"",V1250),"")</f>
        <v/>
      </c>
      <c r="R1250" s="66">
        <f>IF(Z1250=1,IF(U1250="In",V1250,K1250&amp;""),"")</f>
        <v/>
      </c>
      <c r="S1250" s="66">
        <f>IF(X1250&lt;&gt;"","⛔ "&amp;X1250&amp;" — not posted",IF(Y1250&lt;&gt;"","⚠ "&amp;Y1250,IF(Z1250=1,"✓ OK","")))</f>
        <v/>
      </c>
      <c r="T1250" s="67">
        <f>IF(AND(C1250="",D1250="",E1250="",L1250="",K1250=""),1,0)</f>
        <v/>
      </c>
      <c r="U1250" s="67">
        <f>IFERROR(INDEX(tt_Dir,MATCH(D1250,tt_Type,0)),"")</f>
        <v/>
      </c>
      <c r="V1250" s="67">
        <f>IF(D1250="","",IFERROR(IF(INDEX(tt_Other,MATCH(D1250,tt_Type,0))="",E1250&amp;"",INDEX(tt_Other,MATCH(D1250,tt_Type,0))),""))</f>
        <v/>
      </c>
      <c r="W1250" s="68">
        <f>IF(OR(TaxOn&lt;&gt;"Yes",NOT(ISNUMBER(M1250))),0,IF(IFERROR(INDEX(tt_Tax,MATCH(D1250,tt_Type,0)),"No")="Yes",M1250,0))</f>
        <v/>
      </c>
      <c r="X1250" s="67">
        <f>IF(T1250=1,"",IF(C1250="","Missing transaction date",IF(NOT(ISNUMBER(C1250)),"Invalid date",IF(OR(C1250&lt;DATE(2000,1,1),C1250&gt;DATE(2099,12,31)),"Invalid date",IF(D1250="","Select a type",IF(U1250="","Unknown type: "&amp;D1250,IF(V1250="","Select an account (Category)",IF(ISNA(MATCH(V1250,coa_Name,0)),"Unknown account: "&amp;V1250,IF(K1250="","Select Paid From / Deposited To",IF(ISNA(MATCH(K1250,coa_Name,0)),"Unknown account: "&amp;K1250,IF(NOT(ISNUMBER(L1250)),"Enter an amount",IF(L1250=0,"Enter an amount",IF(ABS(W1250)&gt;ABS(L1250),"Tax is larger than the amount","")))))))))))))</f>
        <v/>
      </c>
      <c r="Y1250" s="67">
        <f>IF(OR(T1250=1,X1250&lt;&gt;""),"",IF(AND(B1250&lt;&gt;"",COUNTIF(tx_ID,B1250)&gt;1),"Duplicate transaction ID",IF(AND(L1250&lt;0,D1250&lt;&gt;"Adjustment"),"Negative amount — check this entry",IF(AND(D1250="Customer Payment",G1250=""),"Add the customer",IF(AND(D1250="Customer Payment",OR(J1250="",COUNTIF(ar_No,J1250&amp;"")=0)),"Invoice # in Reference not found on AR sheet",IF(AND(D1250="Bill Payment",H1250=""),"Add the vendor",IF(AND(D1250="Bill Payment",OR(J1250="",COUNTIFS(ap_No,J1250&amp;"",ap_Party,H1250&amp;"")=0)),"Bill # + vendor not found on AP sheet",IF(AND(ISNUMBER(M1250),N(M1250)&lt;&gt;0,W1250=0),"Tax ignored (tax tracking off, or not allowed for this type)",IF(V1250=K1250&amp;"","Same account on both sides",IF(AND(ISNUMBER(StartDate),C1250&lt;StartDate),"Date is before the accounting start date",IF(AND(D1250&lt;&gt;"Adjustment",IFERROR(INDEX(coa_Pay,MATCH(K1250&amp;"",coa_Name,0)),"")&lt;&gt;"Yes"),"Paid From / Deposited To is not a payment account","")))))))))))</f>
        <v/>
      </c>
      <c r="Z1250" s="67">
        <f>IF(AND(T1250=0,X1250=""),1,0)</f>
        <v/>
      </c>
      <c r="AA1250" s="68">
        <f>IF(Z1250=1,IF(U1250="In",L1250,L1250-W1250),0)</f>
        <v/>
      </c>
      <c r="AB1250" s="68">
        <f>IF(Z1250=1,IF(U1250="In",L1250-W1250,L1250),0)</f>
        <v/>
      </c>
      <c r="AC1250" s="68">
        <f>IF(AND(Z1250=1,U1250="Out"),W1250,0)</f>
        <v/>
      </c>
      <c r="AD1250" s="68">
        <f>IF(AND(Z1250=1,U1250="In"),W1250,0)</f>
        <v/>
      </c>
    </row>
    <row r="1251">
      <c r="B1251" s="62" t="inlineStr">
        <is>
          <t>TX-1245</t>
        </is>
      </c>
      <c r="C1251" s="63" t="n"/>
      <c r="D1251" s="62" t="n"/>
      <c r="E1251" s="62" t="n"/>
      <c r="F1251" s="62" t="n"/>
      <c r="G1251" s="62" t="n"/>
      <c r="H1251" s="62" t="n"/>
      <c r="I1251" s="62" t="n"/>
      <c r="J1251" s="62" t="n"/>
      <c r="K1251" s="62" t="n"/>
      <c r="L1251" s="64" t="n"/>
      <c r="M1251" s="64" t="n"/>
      <c r="N1251" s="62" t="n"/>
      <c r="O1251" s="65">
        <f>IF(Z1251=1,L1251-W1251,"")</f>
        <v/>
      </c>
      <c r="P1251" s="66">
        <f>IF(V1251="","",IFERROR(INDEX(coa_Type,MATCH(V1251,coa_Name,0)),""))</f>
        <v/>
      </c>
      <c r="Q1251" s="66">
        <f>IF(Z1251=1,IF(U1251="In",K1251&amp;"",V1251),"")</f>
        <v/>
      </c>
      <c r="R1251" s="66">
        <f>IF(Z1251=1,IF(U1251="In",V1251,K1251&amp;""),"")</f>
        <v/>
      </c>
      <c r="S1251" s="66">
        <f>IF(X1251&lt;&gt;"","⛔ "&amp;X1251&amp;" — not posted",IF(Y1251&lt;&gt;"","⚠ "&amp;Y1251,IF(Z1251=1,"✓ OK","")))</f>
        <v/>
      </c>
      <c r="T1251" s="67">
        <f>IF(AND(C1251="",D1251="",E1251="",L1251="",K1251=""),1,0)</f>
        <v/>
      </c>
      <c r="U1251" s="67">
        <f>IFERROR(INDEX(tt_Dir,MATCH(D1251,tt_Type,0)),"")</f>
        <v/>
      </c>
      <c r="V1251" s="67">
        <f>IF(D1251="","",IFERROR(IF(INDEX(tt_Other,MATCH(D1251,tt_Type,0))="",E1251&amp;"",INDEX(tt_Other,MATCH(D1251,tt_Type,0))),""))</f>
        <v/>
      </c>
      <c r="W1251" s="68">
        <f>IF(OR(TaxOn&lt;&gt;"Yes",NOT(ISNUMBER(M1251))),0,IF(IFERROR(INDEX(tt_Tax,MATCH(D1251,tt_Type,0)),"No")="Yes",M1251,0))</f>
        <v/>
      </c>
      <c r="X1251" s="67">
        <f>IF(T1251=1,"",IF(C1251="","Missing transaction date",IF(NOT(ISNUMBER(C1251)),"Invalid date",IF(OR(C1251&lt;DATE(2000,1,1),C1251&gt;DATE(2099,12,31)),"Invalid date",IF(D1251="","Select a type",IF(U1251="","Unknown type: "&amp;D1251,IF(V1251="","Select an account (Category)",IF(ISNA(MATCH(V1251,coa_Name,0)),"Unknown account: "&amp;V1251,IF(K1251="","Select Paid From / Deposited To",IF(ISNA(MATCH(K1251,coa_Name,0)),"Unknown account: "&amp;K1251,IF(NOT(ISNUMBER(L1251)),"Enter an amount",IF(L1251=0,"Enter an amount",IF(ABS(W1251)&gt;ABS(L1251),"Tax is larger than the amount","")))))))))))))</f>
        <v/>
      </c>
      <c r="Y1251" s="67">
        <f>IF(OR(T1251=1,X1251&lt;&gt;""),"",IF(AND(B1251&lt;&gt;"",COUNTIF(tx_ID,B1251)&gt;1),"Duplicate transaction ID",IF(AND(L1251&lt;0,D1251&lt;&gt;"Adjustment"),"Negative amount — check this entry",IF(AND(D1251="Customer Payment",G1251=""),"Add the customer",IF(AND(D1251="Customer Payment",OR(J1251="",COUNTIF(ar_No,J1251&amp;"")=0)),"Invoice # in Reference not found on AR sheet",IF(AND(D1251="Bill Payment",H1251=""),"Add the vendor",IF(AND(D1251="Bill Payment",OR(J1251="",COUNTIFS(ap_No,J1251&amp;"",ap_Party,H1251&amp;"")=0)),"Bill # + vendor not found on AP sheet",IF(AND(ISNUMBER(M1251),N(M1251)&lt;&gt;0,W1251=0),"Tax ignored (tax tracking off, or not allowed for this type)",IF(V1251=K1251&amp;"","Same account on both sides",IF(AND(ISNUMBER(StartDate),C1251&lt;StartDate),"Date is before the accounting start date",IF(AND(D1251&lt;&gt;"Adjustment",IFERROR(INDEX(coa_Pay,MATCH(K1251&amp;"",coa_Name,0)),"")&lt;&gt;"Yes"),"Paid From / Deposited To is not a payment account","")))))))))))</f>
        <v/>
      </c>
      <c r="Z1251" s="67">
        <f>IF(AND(T1251=0,X1251=""),1,0)</f>
        <v/>
      </c>
      <c r="AA1251" s="68">
        <f>IF(Z1251=1,IF(U1251="In",L1251,L1251-W1251),0)</f>
        <v/>
      </c>
      <c r="AB1251" s="68">
        <f>IF(Z1251=1,IF(U1251="In",L1251-W1251,L1251),0)</f>
        <v/>
      </c>
      <c r="AC1251" s="68">
        <f>IF(AND(Z1251=1,U1251="Out"),W1251,0)</f>
        <v/>
      </c>
      <c r="AD1251" s="68">
        <f>IF(AND(Z1251=1,U1251="In"),W1251,0)</f>
        <v/>
      </c>
    </row>
    <row r="1252">
      <c r="B1252" s="62" t="inlineStr">
        <is>
          <t>TX-1246</t>
        </is>
      </c>
      <c r="C1252" s="63" t="n"/>
      <c r="D1252" s="62" t="n"/>
      <c r="E1252" s="62" t="n"/>
      <c r="F1252" s="62" t="n"/>
      <c r="G1252" s="62" t="n"/>
      <c r="H1252" s="62" t="n"/>
      <c r="I1252" s="62" t="n"/>
      <c r="J1252" s="62" t="n"/>
      <c r="K1252" s="62" t="n"/>
      <c r="L1252" s="64" t="n"/>
      <c r="M1252" s="64" t="n"/>
      <c r="N1252" s="62" t="n"/>
      <c r="O1252" s="65">
        <f>IF(Z1252=1,L1252-W1252,"")</f>
        <v/>
      </c>
      <c r="P1252" s="66">
        <f>IF(V1252="","",IFERROR(INDEX(coa_Type,MATCH(V1252,coa_Name,0)),""))</f>
        <v/>
      </c>
      <c r="Q1252" s="66">
        <f>IF(Z1252=1,IF(U1252="In",K1252&amp;"",V1252),"")</f>
        <v/>
      </c>
      <c r="R1252" s="66">
        <f>IF(Z1252=1,IF(U1252="In",V1252,K1252&amp;""),"")</f>
        <v/>
      </c>
      <c r="S1252" s="66">
        <f>IF(X1252&lt;&gt;"","⛔ "&amp;X1252&amp;" — not posted",IF(Y1252&lt;&gt;"","⚠ "&amp;Y1252,IF(Z1252=1,"✓ OK","")))</f>
        <v/>
      </c>
      <c r="T1252" s="67">
        <f>IF(AND(C1252="",D1252="",E1252="",L1252="",K1252=""),1,0)</f>
        <v/>
      </c>
      <c r="U1252" s="67">
        <f>IFERROR(INDEX(tt_Dir,MATCH(D1252,tt_Type,0)),"")</f>
        <v/>
      </c>
      <c r="V1252" s="67">
        <f>IF(D1252="","",IFERROR(IF(INDEX(tt_Other,MATCH(D1252,tt_Type,0))="",E1252&amp;"",INDEX(tt_Other,MATCH(D1252,tt_Type,0))),""))</f>
        <v/>
      </c>
      <c r="W1252" s="68">
        <f>IF(OR(TaxOn&lt;&gt;"Yes",NOT(ISNUMBER(M1252))),0,IF(IFERROR(INDEX(tt_Tax,MATCH(D1252,tt_Type,0)),"No")="Yes",M1252,0))</f>
        <v/>
      </c>
      <c r="X1252" s="67">
        <f>IF(T1252=1,"",IF(C1252="","Missing transaction date",IF(NOT(ISNUMBER(C1252)),"Invalid date",IF(OR(C1252&lt;DATE(2000,1,1),C1252&gt;DATE(2099,12,31)),"Invalid date",IF(D1252="","Select a type",IF(U1252="","Unknown type: "&amp;D1252,IF(V1252="","Select an account (Category)",IF(ISNA(MATCH(V1252,coa_Name,0)),"Unknown account: "&amp;V1252,IF(K1252="","Select Paid From / Deposited To",IF(ISNA(MATCH(K1252,coa_Name,0)),"Unknown account: "&amp;K1252,IF(NOT(ISNUMBER(L1252)),"Enter an amount",IF(L1252=0,"Enter an amount",IF(ABS(W1252)&gt;ABS(L1252),"Tax is larger than the amount","")))))))))))))</f>
        <v/>
      </c>
      <c r="Y1252" s="67">
        <f>IF(OR(T1252=1,X1252&lt;&gt;""),"",IF(AND(B1252&lt;&gt;"",COUNTIF(tx_ID,B1252)&gt;1),"Duplicate transaction ID",IF(AND(L1252&lt;0,D1252&lt;&gt;"Adjustment"),"Negative amount — check this entry",IF(AND(D1252="Customer Payment",G1252=""),"Add the customer",IF(AND(D1252="Customer Payment",OR(J1252="",COUNTIF(ar_No,J1252&amp;"")=0)),"Invoice # in Reference not found on AR sheet",IF(AND(D1252="Bill Payment",H1252=""),"Add the vendor",IF(AND(D1252="Bill Payment",OR(J1252="",COUNTIFS(ap_No,J1252&amp;"",ap_Party,H1252&amp;"")=0)),"Bill # + vendor not found on AP sheet",IF(AND(ISNUMBER(M1252),N(M1252)&lt;&gt;0,W1252=0),"Tax ignored (tax tracking off, or not allowed for this type)",IF(V1252=K1252&amp;"","Same account on both sides",IF(AND(ISNUMBER(StartDate),C1252&lt;StartDate),"Date is before the accounting start date",IF(AND(D1252&lt;&gt;"Adjustment",IFERROR(INDEX(coa_Pay,MATCH(K1252&amp;"",coa_Name,0)),"")&lt;&gt;"Yes"),"Paid From / Deposited To is not a payment account","")))))))))))</f>
        <v/>
      </c>
      <c r="Z1252" s="67">
        <f>IF(AND(T1252=0,X1252=""),1,0)</f>
        <v/>
      </c>
      <c r="AA1252" s="68">
        <f>IF(Z1252=1,IF(U1252="In",L1252,L1252-W1252),0)</f>
        <v/>
      </c>
      <c r="AB1252" s="68">
        <f>IF(Z1252=1,IF(U1252="In",L1252-W1252,L1252),0)</f>
        <v/>
      </c>
      <c r="AC1252" s="68">
        <f>IF(AND(Z1252=1,U1252="Out"),W1252,0)</f>
        <v/>
      </c>
      <c r="AD1252" s="68">
        <f>IF(AND(Z1252=1,U1252="In"),W1252,0)</f>
        <v/>
      </c>
    </row>
    <row r="1253">
      <c r="B1253" s="62" t="inlineStr">
        <is>
          <t>TX-1247</t>
        </is>
      </c>
      <c r="C1253" s="63" t="n"/>
      <c r="D1253" s="62" t="n"/>
      <c r="E1253" s="62" t="n"/>
      <c r="F1253" s="62" t="n"/>
      <c r="G1253" s="62" t="n"/>
      <c r="H1253" s="62" t="n"/>
      <c r="I1253" s="62" t="n"/>
      <c r="J1253" s="62" t="n"/>
      <c r="K1253" s="62" t="n"/>
      <c r="L1253" s="64" t="n"/>
      <c r="M1253" s="64" t="n"/>
      <c r="N1253" s="62" t="n"/>
      <c r="O1253" s="65">
        <f>IF(Z1253=1,L1253-W1253,"")</f>
        <v/>
      </c>
      <c r="P1253" s="66">
        <f>IF(V1253="","",IFERROR(INDEX(coa_Type,MATCH(V1253,coa_Name,0)),""))</f>
        <v/>
      </c>
      <c r="Q1253" s="66">
        <f>IF(Z1253=1,IF(U1253="In",K1253&amp;"",V1253),"")</f>
        <v/>
      </c>
      <c r="R1253" s="66">
        <f>IF(Z1253=1,IF(U1253="In",V1253,K1253&amp;""),"")</f>
        <v/>
      </c>
      <c r="S1253" s="66">
        <f>IF(X1253&lt;&gt;"","⛔ "&amp;X1253&amp;" — not posted",IF(Y1253&lt;&gt;"","⚠ "&amp;Y1253,IF(Z1253=1,"✓ OK","")))</f>
        <v/>
      </c>
      <c r="T1253" s="67">
        <f>IF(AND(C1253="",D1253="",E1253="",L1253="",K1253=""),1,0)</f>
        <v/>
      </c>
      <c r="U1253" s="67">
        <f>IFERROR(INDEX(tt_Dir,MATCH(D1253,tt_Type,0)),"")</f>
        <v/>
      </c>
      <c r="V1253" s="67">
        <f>IF(D1253="","",IFERROR(IF(INDEX(tt_Other,MATCH(D1253,tt_Type,0))="",E1253&amp;"",INDEX(tt_Other,MATCH(D1253,tt_Type,0))),""))</f>
        <v/>
      </c>
      <c r="W1253" s="68">
        <f>IF(OR(TaxOn&lt;&gt;"Yes",NOT(ISNUMBER(M1253))),0,IF(IFERROR(INDEX(tt_Tax,MATCH(D1253,tt_Type,0)),"No")="Yes",M1253,0))</f>
        <v/>
      </c>
      <c r="X1253" s="67">
        <f>IF(T1253=1,"",IF(C1253="","Missing transaction date",IF(NOT(ISNUMBER(C1253)),"Invalid date",IF(OR(C1253&lt;DATE(2000,1,1),C1253&gt;DATE(2099,12,31)),"Invalid date",IF(D1253="","Select a type",IF(U1253="","Unknown type: "&amp;D1253,IF(V1253="","Select an account (Category)",IF(ISNA(MATCH(V1253,coa_Name,0)),"Unknown account: "&amp;V1253,IF(K1253="","Select Paid From / Deposited To",IF(ISNA(MATCH(K1253,coa_Name,0)),"Unknown account: "&amp;K1253,IF(NOT(ISNUMBER(L1253)),"Enter an amount",IF(L1253=0,"Enter an amount",IF(ABS(W1253)&gt;ABS(L1253),"Tax is larger than the amount","")))))))))))))</f>
        <v/>
      </c>
      <c r="Y1253" s="67">
        <f>IF(OR(T1253=1,X1253&lt;&gt;""),"",IF(AND(B1253&lt;&gt;"",COUNTIF(tx_ID,B1253)&gt;1),"Duplicate transaction ID",IF(AND(L1253&lt;0,D1253&lt;&gt;"Adjustment"),"Negative amount — check this entry",IF(AND(D1253="Customer Payment",G1253=""),"Add the customer",IF(AND(D1253="Customer Payment",OR(J1253="",COUNTIF(ar_No,J1253&amp;"")=0)),"Invoice # in Reference not found on AR sheet",IF(AND(D1253="Bill Payment",H1253=""),"Add the vendor",IF(AND(D1253="Bill Payment",OR(J1253="",COUNTIFS(ap_No,J1253&amp;"",ap_Party,H1253&amp;"")=0)),"Bill # + vendor not found on AP sheet",IF(AND(ISNUMBER(M1253),N(M1253)&lt;&gt;0,W1253=0),"Tax ignored (tax tracking off, or not allowed for this type)",IF(V1253=K1253&amp;"","Same account on both sides",IF(AND(ISNUMBER(StartDate),C1253&lt;StartDate),"Date is before the accounting start date",IF(AND(D1253&lt;&gt;"Adjustment",IFERROR(INDEX(coa_Pay,MATCH(K1253&amp;"",coa_Name,0)),"")&lt;&gt;"Yes"),"Paid From / Deposited To is not a payment account","")))))))))))</f>
        <v/>
      </c>
      <c r="Z1253" s="67">
        <f>IF(AND(T1253=0,X1253=""),1,0)</f>
        <v/>
      </c>
      <c r="AA1253" s="68">
        <f>IF(Z1253=1,IF(U1253="In",L1253,L1253-W1253),0)</f>
        <v/>
      </c>
      <c r="AB1253" s="68">
        <f>IF(Z1253=1,IF(U1253="In",L1253-W1253,L1253),0)</f>
        <v/>
      </c>
      <c r="AC1253" s="68">
        <f>IF(AND(Z1253=1,U1253="Out"),W1253,0)</f>
        <v/>
      </c>
      <c r="AD1253" s="68">
        <f>IF(AND(Z1253=1,U1253="In"),W1253,0)</f>
        <v/>
      </c>
    </row>
    <row r="1254">
      <c r="B1254" s="62" t="inlineStr">
        <is>
          <t>TX-1248</t>
        </is>
      </c>
      <c r="C1254" s="63" t="n"/>
      <c r="D1254" s="62" t="n"/>
      <c r="E1254" s="62" t="n"/>
      <c r="F1254" s="62" t="n"/>
      <c r="G1254" s="62" t="n"/>
      <c r="H1254" s="62" t="n"/>
      <c r="I1254" s="62" t="n"/>
      <c r="J1254" s="62" t="n"/>
      <c r="K1254" s="62" t="n"/>
      <c r="L1254" s="64" t="n"/>
      <c r="M1254" s="64" t="n"/>
      <c r="N1254" s="62" t="n"/>
      <c r="O1254" s="65">
        <f>IF(Z1254=1,L1254-W1254,"")</f>
        <v/>
      </c>
      <c r="P1254" s="66">
        <f>IF(V1254="","",IFERROR(INDEX(coa_Type,MATCH(V1254,coa_Name,0)),""))</f>
        <v/>
      </c>
      <c r="Q1254" s="66">
        <f>IF(Z1254=1,IF(U1254="In",K1254&amp;"",V1254),"")</f>
        <v/>
      </c>
      <c r="R1254" s="66">
        <f>IF(Z1254=1,IF(U1254="In",V1254,K1254&amp;""),"")</f>
        <v/>
      </c>
      <c r="S1254" s="66">
        <f>IF(X1254&lt;&gt;"","⛔ "&amp;X1254&amp;" — not posted",IF(Y1254&lt;&gt;"","⚠ "&amp;Y1254,IF(Z1254=1,"✓ OK","")))</f>
        <v/>
      </c>
      <c r="T1254" s="67">
        <f>IF(AND(C1254="",D1254="",E1254="",L1254="",K1254=""),1,0)</f>
        <v/>
      </c>
      <c r="U1254" s="67">
        <f>IFERROR(INDEX(tt_Dir,MATCH(D1254,tt_Type,0)),"")</f>
        <v/>
      </c>
      <c r="V1254" s="67">
        <f>IF(D1254="","",IFERROR(IF(INDEX(tt_Other,MATCH(D1254,tt_Type,0))="",E1254&amp;"",INDEX(tt_Other,MATCH(D1254,tt_Type,0))),""))</f>
        <v/>
      </c>
      <c r="W1254" s="68">
        <f>IF(OR(TaxOn&lt;&gt;"Yes",NOT(ISNUMBER(M1254))),0,IF(IFERROR(INDEX(tt_Tax,MATCH(D1254,tt_Type,0)),"No")="Yes",M1254,0))</f>
        <v/>
      </c>
      <c r="X1254" s="67">
        <f>IF(T1254=1,"",IF(C1254="","Missing transaction date",IF(NOT(ISNUMBER(C1254)),"Invalid date",IF(OR(C1254&lt;DATE(2000,1,1),C1254&gt;DATE(2099,12,31)),"Invalid date",IF(D1254="","Select a type",IF(U1254="","Unknown type: "&amp;D1254,IF(V1254="","Select an account (Category)",IF(ISNA(MATCH(V1254,coa_Name,0)),"Unknown account: "&amp;V1254,IF(K1254="","Select Paid From / Deposited To",IF(ISNA(MATCH(K1254,coa_Name,0)),"Unknown account: "&amp;K1254,IF(NOT(ISNUMBER(L1254)),"Enter an amount",IF(L1254=0,"Enter an amount",IF(ABS(W1254)&gt;ABS(L1254),"Tax is larger than the amount","")))))))))))))</f>
        <v/>
      </c>
      <c r="Y1254" s="67">
        <f>IF(OR(T1254=1,X1254&lt;&gt;""),"",IF(AND(B1254&lt;&gt;"",COUNTIF(tx_ID,B1254)&gt;1),"Duplicate transaction ID",IF(AND(L1254&lt;0,D1254&lt;&gt;"Adjustment"),"Negative amount — check this entry",IF(AND(D1254="Customer Payment",G1254=""),"Add the customer",IF(AND(D1254="Customer Payment",OR(J1254="",COUNTIF(ar_No,J1254&amp;"")=0)),"Invoice # in Reference not found on AR sheet",IF(AND(D1254="Bill Payment",H1254=""),"Add the vendor",IF(AND(D1254="Bill Payment",OR(J1254="",COUNTIFS(ap_No,J1254&amp;"",ap_Party,H1254&amp;"")=0)),"Bill # + vendor not found on AP sheet",IF(AND(ISNUMBER(M1254),N(M1254)&lt;&gt;0,W1254=0),"Tax ignored (tax tracking off, or not allowed for this type)",IF(V1254=K1254&amp;"","Same account on both sides",IF(AND(ISNUMBER(StartDate),C1254&lt;StartDate),"Date is before the accounting start date",IF(AND(D1254&lt;&gt;"Adjustment",IFERROR(INDEX(coa_Pay,MATCH(K1254&amp;"",coa_Name,0)),"")&lt;&gt;"Yes"),"Paid From / Deposited To is not a payment account","")))))))))))</f>
        <v/>
      </c>
      <c r="Z1254" s="67">
        <f>IF(AND(T1254=0,X1254=""),1,0)</f>
        <v/>
      </c>
      <c r="AA1254" s="68">
        <f>IF(Z1254=1,IF(U1254="In",L1254,L1254-W1254),0)</f>
        <v/>
      </c>
      <c r="AB1254" s="68">
        <f>IF(Z1254=1,IF(U1254="In",L1254-W1254,L1254),0)</f>
        <v/>
      </c>
      <c r="AC1254" s="68">
        <f>IF(AND(Z1254=1,U1254="Out"),W1254,0)</f>
        <v/>
      </c>
      <c r="AD1254" s="68">
        <f>IF(AND(Z1254=1,U1254="In"),W1254,0)</f>
        <v/>
      </c>
    </row>
    <row r="1255">
      <c r="B1255" s="62" t="inlineStr">
        <is>
          <t>TX-1249</t>
        </is>
      </c>
      <c r="C1255" s="63" t="n"/>
      <c r="D1255" s="62" t="n"/>
      <c r="E1255" s="62" t="n"/>
      <c r="F1255" s="62" t="n"/>
      <c r="G1255" s="62" t="n"/>
      <c r="H1255" s="62" t="n"/>
      <c r="I1255" s="62" t="n"/>
      <c r="J1255" s="62" t="n"/>
      <c r="K1255" s="62" t="n"/>
      <c r="L1255" s="64" t="n"/>
      <c r="M1255" s="64" t="n"/>
      <c r="N1255" s="62" t="n"/>
      <c r="O1255" s="65">
        <f>IF(Z1255=1,L1255-W1255,"")</f>
        <v/>
      </c>
      <c r="P1255" s="66">
        <f>IF(V1255="","",IFERROR(INDEX(coa_Type,MATCH(V1255,coa_Name,0)),""))</f>
        <v/>
      </c>
      <c r="Q1255" s="66">
        <f>IF(Z1255=1,IF(U1255="In",K1255&amp;"",V1255),"")</f>
        <v/>
      </c>
      <c r="R1255" s="66">
        <f>IF(Z1255=1,IF(U1255="In",V1255,K1255&amp;""),"")</f>
        <v/>
      </c>
      <c r="S1255" s="66">
        <f>IF(X1255&lt;&gt;"","⛔ "&amp;X1255&amp;" — not posted",IF(Y1255&lt;&gt;"","⚠ "&amp;Y1255,IF(Z1255=1,"✓ OK","")))</f>
        <v/>
      </c>
      <c r="T1255" s="67">
        <f>IF(AND(C1255="",D1255="",E1255="",L1255="",K1255=""),1,0)</f>
        <v/>
      </c>
      <c r="U1255" s="67">
        <f>IFERROR(INDEX(tt_Dir,MATCH(D1255,tt_Type,0)),"")</f>
        <v/>
      </c>
      <c r="V1255" s="67">
        <f>IF(D1255="","",IFERROR(IF(INDEX(tt_Other,MATCH(D1255,tt_Type,0))="",E1255&amp;"",INDEX(tt_Other,MATCH(D1255,tt_Type,0))),""))</f>
        <v/>
      </c>
      <c r="W1255" s="68">
        <f>IF(OR(TaxOn&lt;&gt;"Yes",NOT(ISNUMBER(M1255))),0,IF(IFERROR(INDEX(tt_Tax,MATCH(D1255,tt_Type,0)),"No")="Yes",M1255,0))</f>
        <v/>
      </c>
      <c r="X1255" s="67">
        <f>IF(T1255=1,"",IF(C1255="","Missing transaction date",IF(NOT(ISNUMBER(C1255)),"Invalid date",IF(OR(C1255&lt;DATE(2000,1,1),C1255&gt;DATE(2099,12,31)),"Invalid date",IF(D1255="","Select a type",IF(U1255="","Unknown type: "&amp;D1255,IF(V1255="","Select an account (Category)",IF(ISNA(MATCH(V1255,coa_Name,0)),"Unknown account: "&amp;V1255,IF(K1255="","Select Paid From / Deposited To",IF(ISNA(MATCH(K1255,coa_Name,0)),"Unknown account: "&amp;K1255,IF(NOT(ISNUMBER(L1255)),"Enter an amount",IF(L1255=0,"Enter an amount",IF(ABS(W1255)&gt;ABS(L1255),"Tax is larger than the amount","")))))))))))))</f>
        <v/>
      </c>
      <c r="Y1255" s="67">
        <f>IF(OR(T1255=1,X1255&lt;&gt;""),"",IF(AND(B1255&lt;&gt;"",COUNTIF(tx_ID,B1255)&gt;1),"Duplicate transaction ID",IF(AND(L1255&lt;0,D1255&lt;&gt;"Adjustment"),"Negative amount — check this entry",IF(AND(D1255="Customer Payment",G1255=""),"Add the customer",IF(AND(D1255="Customer Payment",OR(J1255="",COUNTIF(ar_No,J1255&amp;"")=0)),"Invoice # in Reference not found on AR sheet",IF(AND(D1255="Bill Payment",H1255=""),"Add the vendor",IF(AND(D1255="Bill Payment",OR(J1255="",COUNTIFS(ap_No,J1255&amp;"",ap_Party,H1255&amp;"")=0)),"Bill # + vendor not found on AP sheet",IF(AND(ISNUMBER(M1255),N(M1255)&lt;&gt;0,W1255=0),"Tax ignored (tax tracking off, or not allowed for this type)",IF(V1255=K1255&amp;"","Same account on both sides",IF(AND(ISNUMBER(StartDate),C1255&lt;StartDate),"Date is before the accounting start date",IF(AND(D1255&lt;&gt;"Adjustment",IFERROR(INDEX(coa_Pay,MATCH(K1255&amp;"",coa_Name,0)),"")&lt;&gt;"Yes"),"Paid From / Deposited To is not a payment account","")))))))))))</f>
        <v/>
      </c>
      <c r="Z1255" s="67">
        <f>IF(AND(T1255=0,X1255=""),1,0)</f>
        <v/>
      </c>
      <c r="AA1255" s="68">
        <f>IF(Z1255=1,IF(U1255="In",L1255,L1255-W1255),0)</f>
        <v/>
      </c>
      <c r="AB1255" s="68">
        <f>IF(Z1255=1,IF(U1255="In",L1255-W1255,L1255),0)</f>
        <v/>
      </c>
      <c r="AC1255" s="68">
        <f>IF(AND(Z1255=1,U1255="Out"),W1255,0)</f>
        <v/>
      </c>
      <c r="AD1255" s="68">
        <f>IF(AND(Z1255=1,U1255="In"),W1255,0)</f>
        <v/>
      </c>
    </row>
    <row r="1256">
      <c r="B1256" s="62" t="inlineStr">
        <is>
          <t>TX-1250</t>
        </is>
      </c>
      <c r="C1256" s="63" t="n"/>
      <c r="D1256" s="62" t="n"/>
      <c r="E1256" s="62" t="n"/>
      <c r="F1256" s="62" t="n"/>
      <c r="G1256" s="62" t="n"/>
      <c r="H1256" s="62" t="n"/>
      <c r="I1256" s="62" t="n"/>
      <c r="J1256" s="62" t="n"/>
      <c r="K1256" s="62" t="n"/>
      <c r="L1256" s="64" t="n"/>
      <c r="M1256" s="64" t="n"/>
      <c r="N1256" s="62" t="n"/>
      <c r="O1256" s="65">
        <f>IF(Z1256=1,L1256-W1256,"")</f>
        <v/>
      </c>
      <c r="P1256" s="66">
        <f>IF(V1256="","",IFERROR(INDEX(coa_Type,MATCH(V1256,coa_Name,0)),""))</f>
        <v/>
      </c>
      <c r="Q1256" s="66">
        <f>IF(Z1256=1,IF(U1256="In",K1256&amp;"",V1256),"")</f>
        <v/>
      </c>
      <c r="R1256" s="66">
        <f>IF(Z1256=1,IF(U1256="In",V1256,K1256&amp;""),"")</f>
        <v/>
      </c>
      <c r="S1256" s="66">
        <f>IF(X1256&lt;&gt;"","⛔ "&amp;X1256&amp;" — not posted",IF(Y1256&lt;&gt;"","⚠ "&amp;Y1256,IF(Z1256=1,"✓ OK","")))</f>
        <v/>
      </c>
      <c r="T1256" s="67">
        <f>IF(AND(C1256="",D1256="",E1256="",L1256="",K1256=""),1,0)</f>
        <v/>
      </c>
      <c r="U1256" s="67">
        <f>IFERROR(INDEX(tt_Dir,MATCH(D1256,tt_Type,0)),"")</f>
        <v/>
      </c>
      <c r="V1256" s="67">
        <f>IF(D1256="","",IFERROR(IF(INDEX(tt_Other,MATCH(D1256,tt_Type,0))="",E1256&amp;"",INDEX(tt_Other,MATCH(D1256,tt_Type,0))),""))</f>
        <v/>
      </c>
      <c r="W1256" s="68">
        <f>IF(OR(TaxOn&lt;&gt;"Yes",NOT(ISNUMBER(M1256))),0,IF(IFERROR(INDEX(tt_Tax,MATCH(D1256,tt_Type,0)),"No")="Yes",M1256,0))</f>
        <v/>
      </c>
      <c r="X1256" s="67">
        <f>IF(T1256=1,"",IF(C1256="","Missing transaction date",IF(NOT(ISNUMBER(C1256)),"Invalid date",IF(OR(C1256&lt;DATE(2000,1,1),C1256&gt;DATE(2099,12,31)),"Invalid date",IF(D1256="","Select a type",IF(U1256="","Unknown type: "&amp;D1256,IF(V1256="","Select an account (Category)",IF(ISNA(MATCH(V1256,coa_Name,0)),"Unknown account: "&amp;V1256,IF(K1256="","Select Paid From / Deposited To",IF(ISNA(MATCH(K1256,coa_Name,0)),"Unknown account: "&amp;K1256,IF(NOT(ISNUMBER(L1256)),"Enter an amount",IF(L1256=0,"Enter an amount",IF(ABS(W1256)&gt;ABS(L1256),"Tax is larger than the amount","")))))))))))))</f>
        <v/>
      </c>
      <c r="Y1256" s="67">
        <f>IF(OR(T1256=1,X1256&lt;&gt;""),"",IF(AND(B1256&lt;&gt;"",COUNTIF(tx_ID,B1256)&gt;1),"Duplicate transaction ID",IF(AND(L1256&lt;0,D1256&lt;&gt;"Adjustment"),"Negative amount — check this entry",IF(AND(D1256="Customer Payment",G1256=""),"Add the customer",IF(AND(D1256="Customer Payment",OR(J1256="",COUNTIF(ar_No,J1256&amp;"")=0)),"Invoice # in Reference not found on AR sheet",IF(AND(D1256="Bill Payment",H1256=""),"Add the vendor",IF(AND(D1256="Bill Payment",OR(J1256="",COUNTIFS(ap_No,J1256&amp;"",ap_Party,H1256&amp;"")=0)),"Bill # + vendor not found on AP sheet",IF(AND(ISNUMBER(M1256),N(M1256)&lt;&gt;0,W1256=0),"Tax ignored (tax tracking off, or not allowed for this type)",IF(V1256=K1256&amp;"","Same account on both sides",IF(AND(ISNUMBER(StartDate),C1256&lt;StartDate),"Date is before the accounting start date",IF(AND(D1256&lt;&gt;"Adjustment",IFERROR(INDEX(coa_Pay,MATCH(K1256&amp;"",coa_Name,0)),"")&lt;&gt;"Yes"),"Paid From / Deposited To is not a payment account","")))))))))))</f>
        <v/>
      </c>
      <c r="Z1256" s="67">
        <f>IF(AND(T1256=0,X1256=""),1,0)</f>
        <v/>
      </c>
      <c r="AA1256" s="68">
        <f>IF(Z1256=1,IF(U1256="In",L1256,L1256-W1256),0)</f>
        <v/>
      </c>
      <c r="AB1256" s="68">
        <f>IF(Z1256=1,IF(U1256="In",L1256-W1256,L1256),0)</f>
        <v/>
      </c>
      <c r="AC1256" s="68">
        <f>IF(AND(Z1256=1,U1256="Out"),W1256,0)</f>
        <v/>
      </c>
      <c r="AD1256" s="68">
        <f>IF(AND(Z1256=1,U1256="In"),W1256,0)</f>
        <v/>
      </c>
    </row>
    <row r="1257">
      <c r="B1257" s="62" t="inlineStr">
        <is>
          <t>TX-1251</t>
        </is>
      </c>
      <c r="C1257" s="63" t="n"/>
      <c r="D1257" s="62" t="n"/>
      <c r="E1257" s="62" t="n"/>
      <c r="F1257" s="62" t="n"/>
      <c r="G1257" s="62" t="n"/>
      <c r="H1257" s="62" t="n"/>
      <c r="I1257" s="62" t="n"/>
      <c r="J1257" s="62" t="n"/>
      <c r="K1257" s="62" t="n"/>
      <c r="L1257" s="64" t="n"/>
      <c r="M1257" s="64" t="n"/>
      <c r="N1257" s="62" t="n"/>
      <c r="O1257" s="65">
        <f>IF(Z1257=1,L1257-W1257,"")</f>
        <v/>
      </c>
      <c r="P1257" s="66">
        <f>IF(V1257="","",IFERROR(INDEX(coa_Type,MATCH(V1257,coa_Name,0)),""))</f>
        <v/>
      </c>
      <c r="Q1257" s="66">
        <f>IF(Z1257=1,IF(U1257="In",K1257&amp;"",V1257),"")</f>
        <v/>
      </c>
      <c r="R1257" s="66">
        <f>IF(Z1257=1,IF(U1257="In",V1257,K1257&amp;""),"")</f>
        <v/>
      </c>
      <c r="S1257" s="66">
        <f>IF(X1257&lt;&gt;"","⛔ "&amp;X1257&amp;" — not posted",IF(Y1257&lt;&gt;"","⚠ "&amp;Y1257,IF(Z1257=1,"✓ OK","")))</f>
        <v/>
      </c>
      <c r="T1257" s="67">
        <f>IF(AND(C1257="",D1257="",E1257="",L1257="",K1257=""),1,0)</f>
        <v/>
      </c>
      <c r="U1257" s="67">
        <f>IFERROR(INDEX(tt_Dir,MATCH(D1257,tt_Type,0)),"")</f>
        <v/>
      </c>
      <c r="V1257" s="67">
        <f>IF(D1257="","",IFERROR(IF(INDEX(tt_Other,MATCH(D1257,tt_Type,0))="",E1257&amp;"",INDEX(tt_Other,MATCH(D1257,tt_Type,0))),""))</f>
        <v/>
      </c>
      <c r="W1257" s="68">
        <f>IF(OR(TaxOn&lt;&gt;"Yes",NOT(ISNUMBER(M1257))),0,IF(IFERROR(INDEX(tt_Tax,MATCH(D1257,tt_Type,0)),"No")="Yes",M1257,0))</f>
        <v/>
      </c>
      <c r="X1257" s="67">
        <f>IF(T1257=1,"",IF(C1257="","Missing transaction date",IF(NOT(ISNUMBER(C1257)),"Invalid date",IF(OR(C1257&lt;DATE(2000,1,1),C1257&gt;DATE(2099,12,31)),"Invalid date",IF(D1257="","Select a type",IF(U1257="","Unknown type: "&amp;D1257,IF(V1257="","Select an account (Category)",IF(ISNA(MATCH(V1257,coa_Name,0)),"Unknown account: "&amp;V1257,IF(K1257="","Select Paid From / Deposited To",IF(ISNA(MATCH(K1257,coa_Name,0)),"Unknown account: "&amp;K1257,IF(NOT(ISNUMBER(L1257)),"Enter an amount",IF(L1257=0,"Enter an amount",IF(ABS(W1257)&gt;ABS(L1257),"Tax is larger than the amount","")))))))))))))</f>
        <v/>
      </c>
      <c r="Y1257" s="67">
        <f>IF(OR(T1257=1,X1257&lt;&gt;""),"",IF(AND(B1257&lt;&gt;"",COUNTIF(tx_ID,B1257)&gt;1),"Duplicate transaction ID",IF(AND(L1257&lt;0,D1257&lt;&gt;"Adjustment"),"Negative amount — check this entry",IF(AND(D1257="Customer Payment",G1257=""),"Add the customer",IF(AND(D1257="Customer Payment",OR(J1257="",COUNTIF(ar_No,J1257&amp;"")=0)),"Invoice # in Reference not found on AR sheet",IF(AND(D1257="Bill Payment",H1257=""),"Add the vendor",IF(AND(D1257="Bill Payment",OR(J1257="",COUNTIFS(ap_No,J1257&amp;"",ap_Party,H1257&amp;"")=0)),"Bill # + vendor not found on AP sheet",IF(AND(ISNUMBER(M1257),N(M1257)&lt;&gt;0,W1257=0),"Tax ignored (tax tracking off, or not allowed for this type)",IF(V1257=K1257&amp;"","Same account on both sides",IF(AND(ISNUMBER(StartDate),C1257&lt;StartDate),"Date is before the accounting start date",IF(AND(D1257&lt;&gt;"Adjustment",IFERROR(INDEX(coa_Pay,MATCH(K1257&amp;"",coa_Name,0)),"")&lt;&gt;"Yes"),"Paid From / Deposited To is not a payment account","")))))))))))</f>
        <v/>
      </c>
      <c r="Z1257" s="67">
        <f>IF(AND(T1257=0,X1257=""),1,0)</f>
        <v/>
      </c>
      <c r="AA1257" s="68">
        <f>IF(Z1257=1,IF(U1257="In",L1257,L1257-W1257),0)</f>
        <v/>
      </c>
      <c r="AB1257" s="68">
        <f>IF(Z1257=1,IF(U1257="In",L1257-W1257,L1257),0)</f>
        <v/>
      </c>
      <c r="AC1257" s="68">
        <f>IF(AND(Z1257=1,U1257="Out"),W1257,0)</f>
        <v/>
      </c>
      <c r="AD1257" s="68">
        <f>IF(AND(Z1257=1,U1257="In"),W1257,0)</f>
        <v/>
      </c>
    </row>
    <row r="1258">
      <c r="B1258" s="62" t="inlineStr">
        <is>
          <t>TX-1252</t>
        </is>
      </c>
      <c r="C1258" s="63" t="n"/>
      <c r="D1258" s="62" t="n"/>
      <c r="E1258" s="62" t="n"/>
      <c r="F1258" s="62" t="n"/>
      <c r="G1258" s="62" t="n"/>
      <c r="H1258" s="62" t="n"/>
      <c r="I1258" s="62" t="n"/>
      <c r="J1258" s="62" t="n"/>
      <c r="K1258" s="62" t="n"/>
      <c r="L1258" s="64" t="n"/>
      <c r="M1258" s="64" t="n"/>
      <c r="N1258" s="62" t="n"/>
      <c r="O1258" s="65">
        <f>IF(Z1258=1,L1258-W1258,"")</f>
        <v/>
      </c>
      <c r="P1258" s="66">
        <f>IF(V1258="","",IFERROR(INDEX(coa_Type,MATCH(V1258,coa_Name,0)),""))</f>
        <v/>
      </c>
      <c r="Q1258" s="66">
        <f>IF(Z1258=1,IF(U1258="In",K1258&amp;"",V1258),"")</f>
        <v/>
      </c>
      <c r="R1258" s="66">
        <f>IF(Z1258=1,IF(U1258="In",V1258,K1258&amp;""),"")</f>
        <v/>
      </c>
      <c r="S1258" s="66">
        <f>IF(X1258&lt;&gt;"","⛔ "&amp;X1258&amp;" — not posted",IF(Y1258&lt;&gt;"","⚠ "&amp;Y1258,IF(Z1258=1,"✓ OK","")))</f>
        <v/>
      </c>
      <c r="T1258" s="67">
        <f>IF(AND(C1258="",D1258="",E1258="",L1258="",K1258=""),1,0)</f>
        <v/>
      </c>
      <c r="U1258" s="67">
        <f>IFERROR(INDEX(tt_Dir,MATCH(D1258,tt_Type,0)),"")</f>
        <v/>
      </c>
      <c r="V1258" s="67">
        <f>IF(D1258="","",IFERROR(IF(INDEX(tt_Other,MATCH(D1258,tt_Type,0))="",E1258&amp;"",INDEX(tt_Other,MATCH(D1258,tt_Type,0))),""))</f>
        <v/>
      </c>
      <c r="W1258" s="68">
        <f>IF(OR(TaxOn&lt;&gt;"Yes",NOT(ISNUMBER(M1258))),0,IF(IFERROR(INDEX(tt_Tax,MATCH(D1258,tt_Type,0)),"No")="Yes",M1258,0))</f>
        <v/>
      </c>
      <c r="X1258" s="67">
        <f>IF(T1258=1,"",IF(C1258="","Missing transaction date",IF(NOT(ISNUMBER(C1258)),"Invalid date",IF(OR(C1258&lt;DATE(2000,1,1),C1258&gt;DATE(2099,12,31)),"Invalid date",IF(D1258="","Select a type",IF(U1258="","Unknown type: "&amp;D1258,IF(V1258="","Select an account (Category)",IF(ISNA(MATCH(V1258,coa_Name,0)),"Unknown account: "&amp;V1258,IF(K1258="","Select Paid From / Deposited To",IF(ISNA(MATCH(K1258,coa_Name,0)),"Unknown account: "&amp;K1258,IF(NOT(ISNUMBER(L1258)),"Enter an amount",IF(L1258=0,"Enter an amount",IF(ABS(W1258)&gt;ABS(L1258),"Tax is larger than the amount","")))))))))))))</f>
        <v/>
      </c>
      <c r="Y1258" s="67">
        <f>IF(OR(T1258=1,X1258&lt;&gt;""),"",IF(AND(B1258&lt;&gt;"",COUNTIF(tx_ID,B1258)&gt;1),"Duplicate transaction ID",IF(AND(L1258&lt;0,D1258&lt;&gt;"Adjustment"),"Negative amount — check this entry",IF(AND(D1258="Customer Payment",G1258=""),"Add the customer",IF(AND(D1258="Customer Payment",OR(J1258="",COUNTIF(ar_No,J1258&amp;"")=0)),"Invoice # in Reference not found on AR sheet",IF(AND(D1258="Bill Payment",H1258=""),"Add the vendor",IF(AND(D1258="Bill Payment",OR(J1258="",COUNTIFS(ap_No,J1258&amp;"",ap_Party,H1258&amp;"")=0)),"Bill # + vendor not found on AP sheet",IF(AND(ISNUMBER(M1258),N(M1258)&lt;&gt;0,W1258=0),"Tax ignored (tax tracking off, or not allowed for this type)",IF(V1258=K1258&amp;"","Same account on both sides",IF(AND(ISNUMBER(StartDate),C1258&lt;StartDate),"Date is before the accounting start date",IF(AND(D1258&lt;&gt;"Adjustment",IFERROR(INDEX(coa_Pay,MATCH(K1258&amp;"",coa_Name,0)),"")&lt;&gt;"Yes"),"Paid From / Deposited To is not a payment account","")))))))))))</f>
        <v/>
      </c>
      <c r="Z1258" s="67">
        <f>IF(AND(T1258=0,X1258=""),1,0)</f>
        <v/>
      </c>
      <c r="AA1258" s="68">
        <f>IF(Z1258=1,IF(U1258="In",L1258,L1258-W1258),0)</f>
        <v/>
      </c>
      <c r="AB1258" s="68">
        <f>IF(Z1258=1,IF(U1258="In",L1258-W1258,L1258),0)</f>
        <v/>
      </c>
      <c r="AC1258" s="68">
        <f>IF(AND(Z1258=1,U1258="Out"),W1258,0)</f>
        <v/>
      </c>
      <c r="AD1258" s="68">
        <f>IF(AND(Z1258=1,U1258="In"),W1258,0)</f>
        <v/>
      </c>
    </row>
    <row r="1259">
      <c r="B1259" s="62" t="inlineStr">
        <is>
          <t>TX-1253</t>
        </is>
      </c>
      <c r="C1259" s="63" t="n"/>
      <c r="D1259" s="62" t="n"/>
      <c r="E1259" s="62" t="n"/>
      <c r="F1259" s="62" t="n"/>
      <c r="G1259" s="62" t="n"/>
      <c r="H1259" s="62" t="n"/>
      <c r="I1259" s="62" t="n"/>
      <c r="J1259" s="62" t="n"/>
      <c r="K1259" s="62" t="n"/>
      <c r="L1259" s="64" t="n"/>
      <c r="M1259" s="64" t="n"/>
      <c r="N1259" s="62" t="n"/>
      <c r="O1259" s="65">
        <f>IF(Z1259=1,L1259-W1259,"")</f>
        <v/>
      </c>
      <c r="P1259" s="66">
        <f>IF(V1259="","",IFERROR(INDEX(coa_Type,MATCH(V1259,coa_Name,0)),""))</f>
        <v/>
      </c>
      <c r="Q1259" s="66">
        <f>IF(Z1259=1,IF(U1259="In",K1259&amp;"",V1259),"")</f>
        <v/>
      </c>
      <c r="R1259" s="66">
        <f>IF(Z1259=1,IF(U1259="In",V1259,K1259&amp;""),"")</f>
        <v/>
      </c>
      <c r="S1259" s="66">
        <f>IF(X1259&lt;&gt;"","⛔ "&amp;X1259&amp;" — not posted",IF(Y1259&lt;&gt;"","⚠ "&amp;Y1259,IF(Z1259=1,"✓ OK","")))</f>
        <v/>
      </c>
      <c r="T1259" s="67">
        <f>IF(AND(C1259="",D1259="",E1259="",L1259="",K1259=""),1,0)</f>
        <v/>
      </c>
      <c r="U1259" s="67">
        <f>IFERROR(INDEX(tt_Dir,MATCH(D1259,tt_Type,0)),"")</f>
        <v/>
      </c>
      <c r="V1259" s="67">
        <f>IF(D1259="","",IFERROR(IF(INDEX(tt_Other,MATCH(D1259,tt_Type,0))="",E1259&amp;"",INDEX(tt_Other,MATCH(D1259,tt_Type,0))),""))</f>
        <v/>
      </c>
      <c r="W1259" s="68">
        <f>IF(OR(TaxOn&lt;&gt;"Yes",NOT(ISNUMBER(M1259))),0,IF(IFERROR(INDEX(tt_Tax,MATCH(D1259,tt_Type,0)),"No")="Yes",M1259,0))</f>
        <v/>
      </c>
      <c r="X1259" s="67">
        <f>IF(T1259=1,"",IF(C1259="","Missing transaction date",IF(NOT(ISNUMBER(C1259)),"Invalid date",IF(OR(C1259&lt;DATE(2000,1,1),C1259&gt;DATE(2099,12,31)),"Invalid date",IF(D1259="","Select a type",IF(U1259="","Unknown type: "&amp;D1259,IF(V1259="","Select an account (Category)",IF(ISNA(MATCH(V1259,coa_Name,0)),"Unknown account: "&amp;V1259,IF(K1259="","Select Paid From / Deposited To",IF(ISNA(MATCH(K1259,coa_Name,0)),"Unknown account: "&amp;K1259,IF(NOT(ISNUMBER(L1259)),"Enter an amount",IF(L1259=0,"Enter an amount",IF(ABS(W1259)&gt;ABS(L1259),"Tax is larger than the amount","")))))))))))))</f>
        <v/>
      </c>
      <c r="Y1259" s="67">
        <f>IF(OR(T1259=1,X1259&lt;&gt;""),"",IF(AND(B1259&lt;&gt;"",COUNTIF(tx_ID,B1259)&gt;1),"Duplicate transaction ID",IF(AND(L1259&lt;0,D1259&lt;&gt;"Adjustment"),"Negative amount — check this entry",IF(AND(D1259="Customer Payment",G1259=""),"Add the customer",IF(AND(D1259="Customer Payment",OR(J1259="",COUNTIF(ar_No,J1259&amp;"")=0)),"Invoice # in Reference not found on AR sheet",IF(AND(D1259="Bill Payment",H1259=""),"Add the vendor",IF(AND(D1259="Bill Payment",OR(J1259="",COUNTIFS(ap_No,J1259&amp;"",ap_Party,H1259&amp;"")=0)),"Bill # + vendor not found on AP sheet",IF(AND(ISNUMBER(M1259),N(M1259)&lt;&gt;0,W1259=0),"Tax ignored (tax tracking off, or not allowed for this type)",IF(V1259=K1259&amp;"","Same account on both sides",IF(AND(ISNUMBER(StartDate),C1259&lt;StartDate),"Date is before the accounting start date",IF(AND(D1259&lt;&gt;"Adjustment",IFERROR(INDEX(coa_Pay,MATCH(K1259&amp;"",coa_Name,0)),"")&lt;&gt;"Yes"),"Paid From / Deposited To is not a payment account","")))))))))))</f>
        <v/>
      </c>
      <c r="Z1259" s="67">
        <f>IF(AND(T1259=0,X1259=""),1,0)</f>
        <v/>
      </c>
      <c r="AA1259" s="68">
        <f>IF(Z1259=1,IF(U1259="In",L1259,L1259-W1259),0)</f>
        <v/>
      </c>
      <c r="AB1259" s="68">
        <f>IF(Z1259=1,IF(U1259="In",L1259-W1259,L1259),0)</f>
        <v/>
      </c>
      <c r="AC1259" s="68">
        <f>IF(AND(Z1259=1,U1259="Out"),W1259,0)</f>
        <v/>
      </c>
      <c r="AD1259" s="68">
        <f>IF(AND(Z1259=1,U1259="In"),W1259,0)</f>
        <v/>
      </c>
    </row>
    <row r="1260">
      <c r="B1260" s="62" t="inlineStr">
        <is>
          <t>TX-1254</t>
        </is>
      </c>
      <c r="C1260" s="63" t="n"/>
      <c r="D1260" s="62" t="n"/>
      <c r="E1260" s="62" t="n"/>
      <c r="F1260" s="62" t="n"/>
      <c r="G1260" s="62" t="n"/>
      <c r="H1260" s="62" t="n"/>
      <c r="I1260" s="62" t="n"/>
      <c r="J1260" s="62" t="n"/>
      <c r="K1260" s="62" t="n"/>
      <c r="L1260" s="64" t="n"/>
      <c r="M1260" s="64" t="n"/>
      <c r="N1260" s="62" t="n"/>
      <c r="O1260" s="65">
        <f>IF(Z1260=1,L1260-W1260,"")</f>
        <v/>
      </c>
      <c r="P1260" s="66">
        <f>IF(V1260="","",IFERROR(INDEX(coa_Type,MATCH(V1260,coa_Name,0)),""))</f>
        <v/>
      </c>
      <c r="Q1260" s="66">
        <f>IF(Z1260=1,IF(U1260="In",K1260&amp;"",V1260),"")</f>
        <v/>
      </c>
      <c r="R1260" s="66">
        <f>IF(Z1260=1,IF(U1260="In",V1260,K1260&amp;""),"")</f>
        <v/>
      </c>
      <c r="S1260" s="66">
        <f>IF(X1260&lt;&gt;"","⛔ "&amp;X1260&amp;" — not posted",IF(Y1260&lt;&gt;"","⚠ "&amp;Y1260,IF(Z1260=1,"✓ OK","")))</f>
        <v/>
      </c>
      <c r="T1260" s="67">
        <f>IF(AND(C1260="",D1260="",E1260="",L1260="",K1260=""),1,0)</f>
        <v/>
      </c>
      <c r="U1260" s="67">
        <f>IFERROR(INDEX(tt_Dir,MATCH(D1260,tt_Type,0)),"")</f>
        <v/>
      </c>
      <c r="V1260" s="67">
        <f>IF(D1260="","",IFERROR(IF(INDEX(tt_Other,MATCH(D1260,tt_Type,0))="",E1260&amp;"",INDEX(tt_Other,MATCH(D1260,tt_Type,0))),""))</f>
        <v/>
      </c>
      <c r="W1260" s="68">
        <f>IF(OR(TaxOn&lt;&gt;"Yes",NOT(ISNUMBER(M1260))),0,IF(IFERROR(INDEX(tt_Tax,MATCH(D1260,tt_Type,0)),"No")="Yes",M1260,0))</f>
        <v/>
      </c>
      <c r="X1260" s="67">
        <f>IF(T1260=1,"",IF(C1260="","Missing transaction date",IF(NOT(ISNUMBER(C1260)),"Invalid date",IF(OR(C1260&lt;DATE(2000,1,1),C1260&gt;DATE(2099,12,31)),"Invalid date",IF(D1260="","Select a type",IF(U1260="","Unknown type: "&amp;D1260,IF(V1260="","Select an account (Category)",IF(ISNA(MATCH(V1260,coa_Name,0)),"Unknown account: "&amp;V1260,IF(K1260="","Select Paid From / Deposited To",IF(ISNA(MATCH(K1260,coa_Name,0)),"Unknown account: "&amp;K1260,IF(NOT(ISNUMBER(L1260)),"Enter an amount",IF(L1260=0,"Enter an amount",IF(ABS(W1260)&gt;ABS(L1260),"Tax is larger than the amount","")))))))))))))</f>
        <v/>
      </c>
      <c r="Y1260" s="67">
        <f>IF(OR(T1260=1,X1260&lt;&gt;""),"",IF(AND(B1260&lt;&gt;"",COUNTIF(tx_ID,B1260)&gt;1),"Duplicate transaction ID",IF(AND(L1260&lt;0,D1260&lt;&gt;"Adjustment"),"Negative amount — check this entry",IF(AND(D1260="Customer Payment",G1260=""),"Add the customer",IF(AND(D1260="Customer Payment",OR(J1260="",COUNTIF(ar_No,J1260&amp;"")=0)),"Invoice # in Reference not found on AR sheet",IF(AND(D1260="Bill Payment",H1260=""),"Add the vendor",IF(AND(D1260="Bill Payment",OR(J1260="",COUNTIFS(ap_No,J1260&amp;"",ap_Party,H1260&amp;"")=0)),"Bill # + vendor not found on AP sheet",IF(AND(ISNUMBER(M1260),N(M1260)&lt;&gt;0,W1260=0),"Tax ignored (tax tracking off, or not allowed for this type)",IF(V1260=K1260&amp;"","Same account on both sides",IF(AND(ISNUMBER(StartDate),C1260&lt;StartDate),"Date is before the accounting start date",IF(AND(D1260&lt;&gt;"Adjustment",IFERROR(INDEX(coa_Pay,MATCH(K1260&amp;"",coa_Name,0)),"")&lt;&gt;"Yes"),"Paid From / Deposited To is not a payment account","")))))))))))</f>
        <v/>
      </c>
      <c r="Z1260" s="67">
        <f>IF(AND(T1260=0,X1260=""),1,0)</f>
        <v/>
      </c>
      <c r="AA1260" s="68">
        <f>IF(Z1260=1,IF(U1260="In",L1260,L1260-W1260),0)</f>
        <v/>
      </c>
      <c r="AB1260" s="68">
        <f>IF(Z1260=1,IF(U1260="In",L1260-W1260,L1260),0)</f>
        <v/>
      </c>
      <c r="AC1260" s="68">
        <f>IF(AND(Z1260=1,U1260="Out"),W1260,0)</f>
        <v/>
      </c>
      <c r="AD1260" s="68">
        <f>IF(AND(Z1260=1,U1260="In"),W1260,0)</f>
        <v/>
      </c>
    </row>
    <row r="1261">
      <c r="B1261" s="62" t="inlineStr">
        <is>
          <t>TX-1255</t>
        </is>
      </c>
      <c r="C1261" s="63" t="n"/>
      <c r="D1261" s="62" t="n"/>
      <c r="E1261" s="62" t="n"/>
      <c r="F1261" s="62" t="n"/>
      <c r="G1261" s="62" t="n"/>
      <c r="H1261" s="62" t="n"/>
      <c r="I1261" s="62" t="n"/>
      <c r="J1261" s="62" t="n"/>
      <c r="K1261" s="62" t="n"/>
      <c r="L1261" s="64" t="n"/>
      <c r="M1261" s="64" t="n"/>
      <c r="N1261" s="62" t="n"/>
      <c r="O1261" s="65">
        <f>IF(Z1261=1,L1261-W1261,"")</f>
        <v/>
      </c>
      <c r="P1261" s="66">
        <f>IF(V1261="","",IFERROR(INDEX(coa_Type,MATCH(V1261,coa_Name,0)),""))</f>
        <v/>
      </c>
      <c r="Q1261" s="66">
        <f>IF(Z1261=1,IF(U1261="In",K1261&amp;"",V1261),"")</f>
        <v/>
      </c>
      <c r="R1261" s="66">
        <f>IF(Z1261=1,IF(U1261="In",V1261,K1261&amp;""),"")</f>
        <v/>
      </c>
      <c r="S1261" s="66">
        <f>IF(X1261&lt;&gt;"","⛔ "&amp;X1261&amp;" — not posted",IF(Y1261&lt;&gt;"","⚠ "&amp;Y1261,IF(Z1261=1,"✓ OK","")))</f>
        <v/>
      </c>
      <c r="T1261" s="67">
        <f>IF(AND(C1261="",D1261="",E1261="",L1261="",K1261=""),1,0)</f>
        <v/>
      </c>
      <c r="U1261" s="67">
        <f>IFERROR(INDEX(tt_Dir,MATCH(D1261,tt_Type,0)),"")</f>
        <v/>
      </c>
      <c r="V1261" s="67">
        <f>IF(D1261="","",IFERROR(IF(INDEX(tt_Other,MATCH(D1261,tt_Type,0))="",E1261&amp;"",INDEX(tt_Other,MATCH(D1261,tt_Type,0))),""))</f>
        <v/>
      </c>
      <c r="W1261" s="68">
        <f>IF(OR(TaxOn&lt;&gt;"Yes",NOT(ISNUMBER(M1261))),0,IF(IFERROR(INDEX(tt_Tax,MATCH(D1261,tt_Type,0)),"No")="Yes",M1261,0))</f>
        <v/>
      </c>
      <c r="X1261" s="67">
        <f>IF(T1261=1,"",IF(C1261="","Missing transaction date",IF(NOT(ISNUMBER(C1261)),"Invalid date",IF(OR(C1261&lt;DATE(2000,1,1),C1261&gt;DATE(2099,12,31)),"Invalid date",IF(D1261="","Select a type",IF(U1261="","Unknown type: "&amp;D1261,IF(V1261="","Select an account (Category)",IF(ISNA(MATCH(V1261,coa_Name,0)),"Unknown account: "&amp;V1261,IF(K1261="","Select Paid From / Deposited To",IF(ISNA(MATCH(K1261,coa_Name,0)),"Unknown account: "&amp;K1261,IF(NOT(ISNUMBER(L1261)),"Enter an amount",IF(L1261=0,"Enter an amount",IF(ABS(W1261)&gt;ABS(L1261),"Tax is larger than the amount","")))))))))))))</f>
        <v/>
      </c>
      <c r="Y1261" s="67">
        <f>IF(OR(T1261=1,X1261&lt;&gt;""),"",IF(AND(B1261&lt;&gt;"",COUNTIF(tx_ID,B1261)&gt;1),"Duplicate transaction ID",IF(AND(L1261&lt;0,D1261&lt;&gt;"Adjustment"),"Negative amount — check this entry",IF(AND(D1261="Customer Payment",G1261=""),"Add the customer",IF(AND(D1261="Customer Payment",OR(J1261="",COUNTIF(ar_No,J1261&amp;"")=0)),"Invoice # in Reference not found on AR sheet",IF(AND(D1261="Bill Payment",H1261=""),"Add the vendor",IF(AND(D1261="Bill Payment",OR(J1261="",COUNTIFS(ap_No,J1261&amp;"",ap_Party,H1261&amp;"")=0)),"Bill # + vendor not found on AP sheet",IF(AND(ISNUMBER(M1261),N(M1261)&lt;&gt;0,W1261=0),"Tax ignored (tax tracking off, or not allowed for this type)",IF(V1261=K1261&amp;"","Same account on both sides",IF(AND(ISNUMBER(StartDate),C1261&lt;StartDate),"Date is before the accounting start date",IF(AND(D1261&lt;&gt;"Adjustment",IFERROR(INDEX(coa_Pay,MATCH(K1261&amp;"",coa_Name,0)),"")&lt;&gt;"Yes"),"Paid From / Deposited To is not a payment account","")))))))))))</f>
        <v/>
      </c>
      <c r="Z1261" s="67">
        <f>IF(AND(T1261=0,X1261=""),1,0)</f>
        <v/>
      </c>
      <c r="AA1261" s="68">
        <f>IF(Z1261=1,IF(U1261="In",L1261,L1261-W1261),0)</f>
        <v/>
      </c>
      <c r="AB1261" s="68">
        <f>IF(Z1261=1,IF(U1261="In",L1261-W1261,L1261),0)</f>
        <v/>
      </c>
      <c r="AC1261" s="68">
        <f>IF(AND(Z1261=1,U1261="Out"),W1261,0)</f>
        <v/>
      </c>
      <c r="AD1261" s="68">
        <f>IF(AND(Z1261=1,U1261="In"),W1261,0)</f>
        <v/>
      </c>
    </row>
    <row r="1262">
      <c r="B1262" s="62" t="inlineStr">
        <is>
          <t>TX-1256</t>
        </is>
      </c>
      <c r="C1262" s="63" t="n"/>
      <c r="D1262" s="62" t="n"/>
      <c r="E1262" s="62" t="n"/>
      <c r="F1262" s="62" t="n"/>
      <c r="G1262" s="62" t="n"/>
      <c r="H1262" s="62" t="n"/>
      <c r="I1262" s="62" t="n"/>
      <c r="J1262" s="62" t="n"/>
      <c r="K1262" s="62" t="n"/>
      <c r="L1262" s="64" t="n"/>
      <c r="M1262" s="64" t="n"/>
      <c r="N1262" s="62" t="n"/>
      <c r="O1262" s="65">
        <f>IF(Z1262=1,L1262-W1262,"")</f>
        <v/>
      </c>
      <c r="P1262" s="66">
        <f>IF(V1262="","",IFERROR(INDEX(coa_Type,MATCH(V1262,coa_Name,0)),""))</f>
        <v/>
      </c>
      <c r="Q1262" s="66">
        <f>IF(Z1262=1,IF(U1262="In",K1262&amp;"",V1262),"")</f>
        <v/>
      </c>
      <c r="R1262" s="66">
        <f>IF(Z1262=1,IF(U1262="In",V1262,K1262&amp;""),"")</f>
        <v/>
      </c>
      <c r="S1262" s="66">
        <f>IF(X1262&lt;&gt;"","⛔ "&amp;X1262&amp;" — not posted",IF(Y1262&lt;&gt;"","⚠ "&amp;Y1262,IF(Z1262=1,"✓ OK","")))</f>
        <v/>
      </c>
      <c r="T1262" s="67">
        <f>IF(AND(C1262="",D1262="",E1262="",L1262="",K1262=""),1,0)</f>
        <v/>
      </c>
      <c r="U1262" s="67">
        <f>IFERROR(INDEX(tt_Dir,MATCH(D1262,tt_Type,0)),"")</f>
        <v/>
      </c>
      <c r="V1262" s="67">
        <f>IF(D1262="","",IFERROR(IF(INDEX(tt_Other,MATCH(D1262,tt_Type,0))="",E1262&amp;"",INDEX(tt_Other,MATCH(D1262,tt_Type,0))),""))</f>
        <v/>
      </c>
      <c r="W1262" s="68">
        <f>IF(OR(TaxOn&lt;&gt;"Yes",NOT(ISNUMBER(M1262))),0,IF(IFERROR(INDEX(tt_Tax,MATCH(D1262,tt_Type,0)),"No")="Yes",M1262,0))</f>
        <v/>
      </c>
      <c r="X1262" s="67">
        <f>IF(T1262=1,"",IF(C1262="","Missing transaction date",IF(NOT(ISNUMBER(C1262)),"Invalid date",IF(OR(C1262&lt;DATE(2000,1,1),C1262&gt;DATE(2099,12,31)),"Invalid date",IF(D1262="","Select a type",IF(U1262="","Unknown type: "&amp;D1262,IF(V1262="","Select an account (Category)",IF(ISNA(MATCH(V1262,coa_Name,0)),"Unknown account: "&amp;V1262,IF(K1262="","Select Paid From / Deposited To",IF(ISNA(MATCH(K1262,coa_Name,0)),"Unknown account: "&amp;K1262,IF(NOT(ISNUMBER(L1262)),"Enter an amount",IF(L1262=0,"Enter an amount",IF(ABS(W1262)&gt;ABS(L1262),"Tax is larger than the amount","")))))))))))))</f>
        <v/>
      </c>
      <c r="Y1262" s="67">
        <f>IF(OR(T1262=1,X1262&lt;&gt;""),"",IF(AND(B1262&lt;&gt;"",COUNTIF(tx_ID,B1262)&gt;1),"Duplicate transaction ID",IF(AND(L1262&lt;0,D1262&lt;&gt;"Adjustment"),"Negative amount — check this entry",IF(AND(D1262="Customer Payment",G1262=""),"Add the customer",IF(AND(D1262="Customer Payment",OR(J1262="",COUNTIF(ar_No,J1262&amp;"")=0)),"Invoice # in Reference not found on AR sheet",IF(AND(D1262="Bill Payment",H1262=""),"Add the vendor",IF(AND(D1262="Bill Payment",OR(J1262="",COUNTIFS(ap_No,J1262&amp;"",ap_Party,H1262&amp;"")=0)),"Bill # + vendor not found on AP sheet",IF(AND(ISNUMBER(M1262),N(M1262)&lt;&gt;0,W1262=0),"Tax ignored (tax tracking off, or not allowed for this type)",IF(V1262=K1262&amp;"","Same account on both sides",IF(AND(ISNUMBER(StartDate),C1262&lt;StartDate),"Date is before the accounting start date",IF(AND(D1262&lt;&gt;"Adjustment",IFERROR(INDEX(coa_Pay,MATCH(K1262&amp;"",coa_Name,0)),"")&lt;&gt;"Yes"),"Paid From / Deposited To is not a payment account","")))))))))))</f>
        <v/>
      </c>
      <c r="Z1262" s="67">
        <f>IF(AND(T1262=0,X1262=""),1,0)</f>
        <v/>
      </c>
      <c r="AA1262" s="68">
        <f>IF(Z1262=1,IF(U1262="In",L1262,L1262-W1262),0)</f>
        <v/>
      </c>
      <c r="AB1262" s="68">
        <f>IF(Z1262=1,IF(U1262="In",L1262-W1262,L1262),0)</f>
        <v/>
      </c>
      <c r="AC1262" s="68">
        <f>IF(AND(Z1262=1,U1262="Out"),W1262,0)</f>
        <v/>
      </c>
      <c r="AD1262" s="68">
        <f>IF(AND(Z1262=1,U1262="In"),W1262,0)</f>
        <v/>
      </c>
    </row>
    <row r="1263">
      <c r="B1263" s="62" t="inlineStr">
        <is>
          <t>TX-1257</t>
        </is>
      </c>
      <c r="C1263" s="63" t="n"/>
      <c r="D1263" s="62" t="n"/>
      <c r="E1263" s="62" t="n"/>
      <c r="F1263" s="62" t="n"/>
      <c r="G1263" s="62" t="n"/>
      <c r="H1263" s="62" t="n"/>
      <c r="I1263" s="62" t="n"/>
      <c r="J1263" s="62" t="n"/>
      <c r="K1263" s="62" t="n"/>
      <c r="L1263" s="64" t="n"/>
      <c r="M1263" s="64" t="n"/>
      <c r="N1263" s="62" t="n"/>
      <c r="O1263" s="65">
        <f>IF(Z1263=1,L1263-W1263,"")</f>
        <v/>
      </c>
      <c r="P1263" s="66">
        <f>IF(V1263="","",IFERROR(INDEX(coa_Type,MATCH(V1263,coa_Name,0)),""))</f>
        <v/>
      </c>
      <c r="Q1263" s="66">
        <f>IF(Z1263=1,IF(U1263="In",K1263&amp;"",V1263),"")</f>
        <v/>
      </c>
      <c r="R1263" s="66">
        <f>IF(Z1263=1,IF(U1263="In",V1263,K1263&amp;""),"")</f>
        <v/>
      </c>
      <c r="S1263" s="66">
        <f>IF(X1263&lt;&gt;"","⛔ "&amp;X1263&amp;" — not posted",IF(Y1263&lt;&gt;"","⚠ "&amp;Y1263,IF(Z1263=1,"✓ OK","")))</f>
        <v/>
      </c>
      <c r="T1263" s="67">
        <f>IF(AND(C1263="",D1263="",E1263="",L1263="",K1263=""),1,0)</f>
        <v/>
      </c>
      <c r="U1263" s="67">
        <f>IFERROR(INDEX(tt_Dir,MATCH(D1263,tt_Type,0)),"")</f>
        <v/>
      </c>
      <c r="V1263" s="67">
        <f>IF(D1263="","",IFERROR(IF(INDEX(tt_Other,MATCH(D1263,tt_Type,0))="",E1263&amp;"",INDEX(tt_Other,MATCH(D1263,tt_Type,0))),""))</f>
        <v/>
      </c>
      <c r="W1263" s="68">
        <f>IF(OR(TaxOn&lt;&gt;"Yes",NOT(ISNUMBER(M1263))),0,IF(IFERROR(INDEX(tt_Tax,MATCH(D1263,tt_Type,0)),"No")="Yes",M1263,0))</f>
        <v/>
      </c>
      <c r="X1263" s="67">
        <f>IF(T1263=1,"",IF(C1263="","Missing transaction date",IF(NOT(ISNUMBER(C1263)),"Invalid date",IF(OR(C1263&lt;DATE(2000,1,1),C1263&gt;DATE(2099,12,31)),"Invalid date",IF(D1263="","Select a type",IF(U1263="","Unknown type: "&amp;D1263,IF(V1263="","Select an account (Category)",IF(ISNA(MATCH(V1263,coa_Name,0)),"Unknown account: "&amp;V1263,IF(K1263="","Select Paid From / Deposited To",IF(ISNA(MATCH(K1263,coa_Name,0)),"Unknown account: "&amp;K1263,IF(NOT(ISNUMBER(L1263)),"Enter an amount",IF(L1263=0,"Enter an amount",IF(ABS(W1263)&gt;ABS(L1263),"Tax is larger than the amount","")))))))))))))</f>
        <v/>
      </c>
      <c r="Y1263" s="67">
        <f>IF(OR(T1263=1,X1263&lt;&gt;""),"",IF(AND(B1263&lt;&gt;"",COUNTIF(tx_ID,B1263)&gt;1),"Duplicate transaction ID",IF(AND(L1263&lt;0,D1263&lt;&gt;"Adjustment"),"Negative amount — check this entry",IF(AND(D1263="Customer Payment",G1263=""),"Add the customer",IF(AND(D1263="Customer Payment",OR(J1263="",COUNTIF(ar_No,J1263&amp;"")=0)),"Invoice # in Reference not found on AR sheet",IF(AND(D1263="Bill Payment",H1263=""),"Add the vendor",IF(AND(D1263="Bill Payment",OR(J1263="",COUNTIFS(ap_No,J1263&amp;"",ap_Party,H1263&amp;"")=0)),"Bill # + vendor not found on AP sheet",IF(AND(ISNUMBER(M1263),N(M1263)&lt;&gt;0,W1263=0),"Tax ignored (tax tracking off, or not allowed for this type)",IF(V1263=K1263&amp;"","Same account on both sides",IF(AND(ISNUMBER(StartDate),C1263&lt;StartDate),"Date is before the accounting start date",IF(AND(D1263&lt;&gt;"Adjustment",IFERROR(INDEX(coa_Pay,MATCH(K1263&amp;"",coa_Name,0)),"")&lt;&gt;"Yes"),"Paid From / Deposited To is not a payment account","")))))))))))</f>
        <v/>
      </c>
      <c r="Z1263" s="67">
        <f>IF(AND(T1263=0,X1263=""),1,0)</f>
        <v/>
      </c>
      <c r="AA1263" s="68">
        <f>IF(Z1263=1,IF(U1263="In",L1263,L1263-W1263),0)</f>
        <v/>
      </c>
      <c r="AB1263" s="68">
        <f>IF(Z1263=1,IF(U1263="In",L1263-W1263,L1263),0)</f>
        <v/>
      </c>
      <c r="AC1263" s="68">
        <f>IF(AND(Z1263=1,U1263="Out"),W1263,0)</f>
        <v/>
      </c>
      <c r="AD1263" s="68">
        <f>IF(AND(Z1263=1,U1263="In"),W1263,0)</f>
        <v/>
      </c>
    </row>
    <row r="1264">
      <c r="B1264" s="62" t="inlineStr">
        <is>
          <t>TX-1258</t>
        </is>
      </c>
      <c r="C1264" s="63" t="n"/>
      <c r="D1264" s="62" t="n"/>
      <c r="E1264" s="62" t="n"/>
      <c r="F1264" s="62" t="n"/>
      <c r="G1264" s="62" t="n"/>
      <c r="H1264" s="62" t="n"/>
      <c r="I1264" s="62" t="n"/>
      <c r="J1264" s="62" t="n"/>
      <c r="K1264" s="62" t="n"/>
      <c r="L1264" s="64" t="n"/>
      <c r="M1264" s="64" t="n"/>
      <c r="N1264" s="62" t="n"/>
      <c r="O1264" s="65">
        <f>IF(Z1264=1,L1264-W1264,"")</f>
        <v/>
      </c>
      <c r="P1264" s="66">
        <f>IF(V1264="","",IFERROR(INDEX(coa_Type,MATCH(V1264,coa_Name,0)),""))</f>
        <v/>
      </c>
      <c r="Q1264" s="66">
        <f>IF(Z1264=1,IF(U1264="In",K1264&amp;"",V1264),"")</f>
        <v/>
      </c>
      <c r="R1264" s="66">
        <f>IF(Z1264=1,IF(U1264="In",V1264,K1264&amp;""),"")</f>
        <v/>
      </c>
      <c r="S1264" s="66">
        <f>IF(X1264&lt;&gt;"","⛔ "&amp;X1264&amp;" — not posted",IF(Y1264&lt;&gt;"","⚠ "&amp;Y1264,IF(Z1264=1,"✓ OK","")))</f>
        <v/>
      </c>
      <c r="T1264" s="67">
        <f>IF(AND(C1264="",D1264="",E1264="",L1264="",K1264=""),1,0)</f>
        <v/>
      </c>
      <c r="U1264" s="67">
        <f>IFERROR(INDEX(tt_Dir,MATCH(D1264,tt_Type,0)),"")</f>
        <v/>
      </c>
      <c r="V1264" s="67">
        <f>IF(D1264="","",IFERROR(IF(INDEX(tt_Other,MATCH(D1264,tt_Type,0))="",E1264&amp;"",INDEX(tt_Other,MATCH(D1264,tt_Type,0))),""))</f>
        <v/>
      </c>
      <c r="W1264" s="68">
        <f>IF(OR(TaxOn&lt;&gt;"Yes",NOT(ISNUMBER(M1264))),0,IF(IFERROR(INDEX(tt_Tax,MATCH(D1264,tt_Type,0)),"No")="Yes",M1264,0))</f>
        <v/>
      </c>
      <c r="X1264" s="67">
        <f>IF(T1264=1,"",IF(C1264="","Missing transaction date",IF(NOT(ISNUMBER(C1264)),"Invalid date",IF(OR(C1264&lt;DATE(2000,1,1),C1264&gt;DATE(2099,12,31)),"Invalid date",IF(D1264="","Select a type",IF(U1264="","Unknown type: "&amp;D1264,IF(V1264="","Select an account (Category)",IF(ISNA(MATCH(V1264,coa_Name,0)),"Unknown account: "&amp;V1264,IF(K1264="","Select Paid From / Deposited To",IF(ISNA(MATCH(K1264,coa_Name,0)),"Unknown account: "&amp;K1264,IF(NOT(ISNUMBER(L1264)),"Enter an amount",IF(L1264=0,"Enter an amount",IF(ABS(W1264)&gt;ABS(L1264),"Tax is larger than the amount","")))))))))))))</f>
        <v/>
      </c>
      <c r="Y1264" s="67">
        <f>IF(OR(T1264=1,X1264&lt;&gt;""),"",IF(AND(B1264&lt;&gt;"",COUNTIF(tx_ID,B1264)&gt;1),"Duplicate transaction ID",IF(AND(L1264&lt;0,D1264&lt;&gt;"Adjustment"),"Negative amount — check this entry",IF(AND(D1264="Customer Payment",G1264=""),"Add the customer",IF(AND(D1264="Customer Payment",OR(J1264="",COUNTIF(ar_No,J1264&amp;"")=0)),"Invoice # in Reference not found on AR sheet",IF(AND(D1264="Bill Payment",H1264=""),"Add the vendor",IF(AND(D1264="Bill Payment",OR(J1264="",COUNTIFS(ap_No,J1264&amp;"",ap_Party,H1264&amp;"")=0)),"Bill # + vendor not found on AP sheet",IF(AND(ISNUMBER(M1264),N(M1264)&lt;&gt;0,W1264=0),"Tax ignored (tax tracking off, or not allowed for this type)",IF(V1264=K1264&amp;"","Same account on both sides",IF(AND(ISNUMBER(StartDate),C1264&lt;StartDate),"Date is before the accounting start date",IF(AND(D1264&lt;&gt;"Adjustment",IFERROR(INDEX(coa_Pay,MATCH(K1264&amp;"",coa_Name,0)),"")&lt;&gt;"Yes"),"Paid From / Deposited To is not a payment account","")))))))))))</f>
        <v/>
      </c>
      <c r="Z1264" s="67">
        <f>IF(AND(T1264=0,X1264=""),1,0)</f>
        <v/>
      </c>
      <c r="AA1264" s="68">
        <f>IF(Z1264=1,IF(U1264="In",L1264,L1264-W1264),0)</f>
        <v/>
      </c>
      <c r="AB1264" s="68">
        <f>IF(Z1264=1,IF(U1264="In",L1264-W1264,L1264),0)</f>
        <v/>
      </c>
      <c r="AC1264" s="68">
        <f>IF(AND(Z1264=1,U1264="Out"),W1264,0)</f>
        <v/>
      </c>
      <c r="AD1264" s="68">
        <f>IF(AND(Z1264=1,U1264="In"),W1264,0)</f>
        <v/>
      </c>
    </row>
    <row r="1265">
      <c r="B1265" s="62" t="inlineStr">
        <is>
          <t>TX-1259</t>
        </is>
      </c>
      <c r="C1265" s="63" t="n"/>
      <c r="D1265" s="62" t="n"/>
      <c r="E1265" s="62" t="n"/>
      <c r="F1265" s="62" t="n"/>
      <c r="G1265" s="62" t="n"/>
      <c r="H1265" s="62" t="n"/>
      <c r="I1265" s="62" t="n"/>
      <c r="J1265" s="62" t="n"/>
      <c r="K1265" s="62" t="n"/>
      <c r="L1265" s="64" t="n"/>
      <c r="M1265" s="64" t="n"/>
      <c r="N1265" s="62" t="n"/>
      <c r="O1265" s="65">
        <f>IF(Z1265=1,L1265-W1265,"")</f>
        <v/>
      </c>
      <c r="P1265" s="66">
        <f>IF(V1265="","",IFERROR(INDEX(coa_Type,MATCH(V1265,coa_Name,0)),""))</f>
        <v/>
      </c>
      <c r="Q1265" s="66">
        <f>IF(Z1265=1,IF(U1265="In",K1265&amp;"",V1265),"")</f>
        <v/>
      </c>
      <c r="R1265" s="66">
        <f>IF(Z1265=1,IF(U1265="In",V1265,K1265&amp;""),"")</f>
        <v/>
      </c>
      <c r="S1265" s="66">
        <f>IF(X1265&lt;&gt;"","⛔ "&amp;X1265&amp;" — not posted",IF(Y1265&lt;&gt;"","⚠ "&amp;Y1265,IF(Z1265=1,"✓ OK","")))</f>
        <v/>
      </c>
      <c r="T1265" s="67">
        <f>IF(AND(C1265="",D1265="",E1265="",L1265="",K1265=""),1,0)</f>
        <v/>
      </c>
      <c r="U1265" s="67">
        <f>IFERROR(INDEX(tt_Dir,MATCH(D1265,tt_Type,0)),"")</f>
        <v/>
      </c>
      <c r="V1265" s="67">
        <f>IF(D1265="","",IFERROR(IF(INDEX(tt_Other,MATCH(D1265,tt_Type,0))="",E1265&amp;"",INDEX(tt_Other,MATCH(D1265,tt_Type,0))),""))</f>
        <v/>
      </c>
      <c r="W1265" s="68">
        <f>IF(OR(TaxOn&lt;&gt;"Yes",NOT(ISNUMBER(M1265))),0,IF(IFERROR(INDEX(tt_Tax,MATCH(D1265,tt_Type,0)),"No")="Yes",M1265,0))</f>
        <v/>
      </c>
      <c r="X1265" s="67">
        <f>IF(T1265=1,"",IF(C1265="","Missing transaction date",IF(NOT(ISNUMBER(C1265)),"Invalid date",IF(OR(C1265&lt;DATE(2000,1,1),C1265&gt;DATE(2099,12,31)),"Invalid date",IF(D1265="","Select a type",IF(U1265="","Unknown type: "&amp;D1265,IF(V1265="","Select an account (Category)",IF(ISNA(MATCH(V1265,coa_Name,0)),"Unknown account: "&amp;V1265,IF(K1265="","Select Paid From / Deposited To",IF(ISNA(MATCH(K1265,coa_Name,0)),"Unknown account: "&amp;K1265,IF(NOT(ISNUMBER(L1265)),"Enter an amount",IF(L1265=0,"Enter an amount",IF(ABS(W1265)&gt;ABS(L1265),"Tax is larger than the amount","")))))))))))))</f>
        <v/>
      </c>
      <c r="Y1265" s="67">
        <f>IF(OR(T1265=1,X1265&lt;&gt;""),"",IF(AND(B1265&lt;&gt;"",COUNTIF(tx_ID,B1265)&gt;1),"Duplicate transaction ID",IF(AND(L1265&lt;0,D1265&lt;&gt;"Adjustment"),"Negative amount — check this entry",IF(AND(D1265="Customer Payment",G1265=""),"Add the customer",IF(AND(D1265="Customer Payment",OR(J1265="",COUNTIF(ar_No,J1265&amp;"")=0)),"Invoice # in Reference not found on AR sheet",IF(AND(D1265="Bill Payment",H1265=""),"Add the vendor",IF(AND(D1265="Bill Payment",OR(J1265="",COUNTIFS(ap_No,J1265&amp;"",ap_Party,H1265&amp;"")=0)),"Bill # + vendor not found on AP sheet",IF(AND(ISNUMBER(M1265),N(M1265)&lt;&gt;0,W1265=0),"Tax ignored (tax tracking off, or not allowed for this type)",IF(V1265=K1265&amp;"","Same account on both sides",IF(AND(ISNUMBER(StartDate),C1265&lt;StartDate),"Date is before the accounting start date",IF(AND(D1265&lt;&gt;"Adjustment",IFERROR(INDEX(coa_Pay,MATCH(K1265&amp;"",coa_Name,0)),"")&lt;&gt;"Yes"),"Paid From / Deposited To is not a payment account","")))))))))))</f>
        <v/>
      </c>
      <c r="Z1265" s="67">
        <f>IF(AND(T1265=0,X1265=""),1,0)</f>
        <v/>
      </c>
      <c r="AA1265" s="68">
        <f>IF(Z1265=1,IF(U1265="In",L1265,L1265-W1265),0)</f>
        <v/>
      </c>
      <c r="AB1265" s="68">
        <f>IF(Z1265=1,IF(U1265="In",L1265-W1265,L1265),0)</f>
        <v/>
      </c>
      <c r="AC1265" s="68">
        <f>IF(AND(Z1265=1,U1265="Out"),W1265,0)</f>
        <v/>
      </c>
      <c r="AD1265" s="68">
        <f>IF(AND(Z1265=1,U1265="In"),W1265,0)</f>
        <v/>
      </c>
    </row>
    <row r="1266">
      <c r="B1266" s="62" t="inlineStr">
        <is>
          <t>TX-1260</t>
        </is>
      </c>
      <c r="C1266" s="63" t="n"/>
      <c r="D1266" s="62" t="n"/>
      <c r="E1266" s="62" t="n"/>
      <c r="F1266" s="62" t="n"/>
      <c r="G1266" s="62" t="n"/>
      <c r="H1266" s="62" t="n"/>
      <c r="I1266" s="62" t="n"/>
      <c r="J1266" s="62" t="n"/>
      <c r="K1266" s="62" t="n"/>
      <c r="L1266" s="64" t="n"/>
      <c r="M1266" s="64" t="n"/>
      <c r="N1266" s="62" t="n"/>
      <c r="O1266" s="65">
        <f>IF(Z1266=1,L1266-W1266,"")</f>
        <v/>
      </c>
      <c r="P1266" s="66">
        <f>IF(V1266="","",IFERROR(INDEX(coa_Type,MATCH(V1266,coa_Name,0)),""))</f>
        <v/>
      </c>
      <c r="Q1266" s="66">
        <f>IF(Z1266=1,IF(U1266="In",K1266&amp;"",V1266),"")</f>
        <v/>
      </c>
      <c r="R1266" s="66">
        <f>IF(Z1266=1,IF(U1266="In",V1266,K1266&amp;""),"")</f>
        <v/>
      </c>
      <c r="S1266" s="66">
        <f>IF(X1266&lt;&gt;"","⛔ "&amp;X1266&amp;" — not posted",IF(Y1266&lt;&gt;"","⚠ "&amp;Y1266,IF(Z1266=1,"✓ OK","")))</f>
        <v/>
      </c>
      <c r="T1266" s="67">
        <f>IF(AND(C1266="",D1266="",E1266="",L1266="",K1266=""),1,0)</f>
        <v/>
      </c>
      <c r="U1266" s="67">
        <f>IFERROR(INDEX(tt_Dir,MATCH(D1266,tt_Type,0)),"")</f>
        <v/>
      </c>
      <c r="V1266" s="67">
        <f>IF(D1266="","",IFERROR(IF(INDEX(tt_Other,MATCH(D1266,tt_Type,0))="",E1266&amp;"",INDEX(tt_Other,MATCH(D1266,tt_Type,0))),""))</f>
        <v/>
      </c>
      <c r="W1266" s="68">
        <f>IF(OR(TaxOn&lt;&gt;"Yes",NOT(ISNUMBER(M1266))),0,IF(IFERROR(INDEX(tt_Tax,MATCH(D1266,tt_Type,0)),"No")="Yes",M1266,0))</f>
        <v/>
      </c>
      <c r="X1266" s="67">
        <f>IF(T1266=1,"",IF(C1266="","Missing transaction date",IF(NOT(ISNUMBER(C1266)),"Invalid date",IF(OR(C1266&lt;DATE(2000,1,1),C1266&gt;DATE(2099,12,31)),"Invalid date",IF(D1266="","Select a type",IF(U1266="","Unknown type: "&amp;D1266,IF(V1266="","Select an account (Category)",IF(ISNA(MATCH(V1266,coa_Name,0)),"Unknown account: "&amp;V1266,IF(K1266="","Select Paid From / Deposited To",IF(ISNA(MATCH(K1266,coa_Name,0)),"Unknown account: "&amp;K1266,IF(NOT(ISNUMBER(L1266)),"Enter an amount",IF(L1266=0,"Enter an amount",IF(ABS(W1266)&gt;ABS(L1266),"Tax is larger than the amount","")))))))))))))</f>
        <v/>
      </c>
      <c r="Y1266" s="67">
        <f>IF(OR(T1266=1,X1266&lt;&gt;""),"",IF(AND(B1266&lt;&gt;"",COUNTIF(tx_ID,B1266)&gt;1),"Duplicate transaction ID",IF(AND(L1266&lt;0,D1266&lt;&gt;"Adjustment"),"Negative amount — check this entry",IF(AND(D1266="Customer Payment",G1266=""),"Add the customer",IF(AND(D1266="Customer Payment",OR(J1266="",COUNTIF(ar_No,J1266&amp;"")=0)),"Invoice # in Reference not found on AR sheet",IF(AND(D1266="Bill Payment",H1266=""),"Add the vendor",IF(AND(D1266="Bill Payment",OR(J1266="",COUNTIFS(ap_No,J1266&amp;"",ap_Party,H1266&amp;"")=0)),"Bill # + vendor not found on AP sheet",IF(AND(ISNUMBER(M1266),N(M1266)&lt;&gt;0,W1266=0),"Tax ignored (tax tracking off, or not allowed for this type)",IF(V1266=K1266&amp;"","Same account on both sides",IF(AND(ISNUMBER(StartDate),C1266&lt;StartDate),"Date is before the accounting start date",IF(AND(D1266&lt;&gt;"Adjustment",IFERROR(INDEX(coa_Pay,MATCH(K1266&amp;"",coa_Name,0)),"")&lt;&gt;"Yes"),"Paid From / Deposited To is not a payment account","")))))))))))</f>
        <v/>
      </c>
      <c r="Z1266" s="67">
        <f>IF(AND(T1266=0,X1266=""),1,0)</f>
        <v/>
      </c>
      <c r="AA1266" s="68">
        <f>IF(Z1266=1,IF(U1266="In",L1266,L1266-W1266),0)</f>
        <v/>
      </c>
      <c r="AB1266" s="68">
        <f>IF(Z1266=1,IF(U1266="In",L1266-W1266,L1266),0)</f>
        <v/>
      </c>
      <c r="AC1266" s="68">
        <f>IF(AND(Z1266=1,U1266="Out"),W1266,0)</f>
        <v/>
      </c>
      <c r="AD1266" s="68">
        <f>IF(AND(Z1266=1,U1266="In"),W1266,0)</f>
        <v/>
      </c>
    </row>
    <row r="1267">
      <c r="B1267" s="62" t="inlineStr">
        <is>
          <t>TX-1261</t>
        </is>
      </c>
      <c r="C1267" s="63" t="n"/>
      <c r="D1267" s="62" t="n"/>
      <c r="E1267" s="62" t="n"/>
      <c r="F1267" s="62" t="n"/>
      <c r="G1267" s="62" t="n"/>
      <c r="H1267" s="62" t="n"/>
      <c r="I1267" s="62" t="n"/>
      <c r="J1267" s="62" t="n"/>
      <c r="K1267" s="62" t="n"/>
      <c r="L1267" s="64" t="n"/>
      <c r="M1267" s="64" t="n"/>
      <c r="N1267" s="62" t="n"/>
      <c r="O1267" s="65">
        <f>IF(Z1267=1,L1267-W1267,"")</f>
        <v/>
      </c>
      <c r="P1267" s="66">
        <f>IF(V1267="","",IFERROR(INDEX(coa_Type,MATCH(V1267,coa_Name,0)),""))</f>
        <v/>
      </c>
      <c r="Q1267" s="66">
        <f>IF(Z1267=1,IF(U1267="In",K1267&amp;"",V1267),"")</f>
        <v/>
      </c>
      <c r="R1267" s="66">
        <f>IF(Z1267=1,IF(U1267="In",V1267,K1267&amp;""),"")</f>
        <v/>
      </c>
      <c r="S1267" s="66">
        <f>IF(X1267&lt;&gt;"","⛔ "&amp;X1267&amp;" — not posted",IF(Y1267&lt;&gt;"","⚠ "&amp;Y1267,IF(Z1267=1,"✓ OK","")))</f>
        <v/>
      </c>
      <c r="T1267" s="67">
        <f>IF(AND(C1267="",D1267="",E1267="",L1267="",K1267=""),1,0)</f>
        <v/>
      </c>
      <c r="U1267" s="67">
        <f>IFERROR(INDEX(tt_Dir,MATCH(D1267,tt_Type,0)),"")</f>
        <v/>
      </c>
      <c r="V1267" s="67">
        <f>IF(D1267="","",IFERROR(IF(INDEX(tt_Other,MATCH(D1267,tt_Type,0))="",E1267&amp;"",INDEX(tt_Other,MATCH(D1267,tt_Type,0))),""))</f>
        <v/>
      </c>
      <c r="W1267" s="68">
        <f>IF(OR(TaxOn&lt;&gt;"Yes",NOT(ISNUMBER(M1267))),0,IF(IFERROR(INDEX(tt_Tax,MATCH(D1267,tt_Type,0)),"No")="Yes",M1267,0))</f>
        <v/>
      </c>
      <c r="X1267" s="67">
        <f>IF(T1267=1,"",IF(C1267="","Missing transaction date",IF(NOT(ISNUMBER(C1267)),"Invalid date",IF(OR(C1267&lt;DATE(2000,1,1),C1267&gt;DATE(2099,12,31)),"Invalid date",IF(D1267="","Select a type",IF(U1267="","Unknown type: "&amp;D1267,IF(V1267="","Select an account (Category)",IF(ISNA(MATCH(V1267,coa_Name,0)),"Unknown account: "&amp;V1267,IF(K1267="","Select Paid From / Deposited To",IF(ISNA(MATCH(K1267,coa_Name,0)),"Unknown account: "&amp;K1267,IF(NOT(ISNUMBER(L1267)),"Enter an amount",IF(L1267=0,"Enter an amount",IF(ABS(W1267)&gt;ABS(L1267),"Tax is larger than the amount","")))))))))))))</f>
        <v/>
      </c>
      <c r="Y1267" s="67">
        <f>IF(OR(T1267=1,X1267&lt;&gt;""),"",IF(AND(B1267&lt;&gt;"",COUNTIF(tx_ID,B1267)&gt;1),"Duplicate transaction ID",IF(AND(L1267&lt;0,D1267&lt;&gt;"Adjustment"),"Negative amount — check this entry",IF(AND(D1267="Customer Payment",G1267=""),"Add the customer",IF(AND(D1267="Customer Payment",OR(J1267="",COUNTIF(ar_No,J1267&amp;"")=0)),"Invoice # in Reference not found on AR sheet",IF(AND(D1267="Bill Payment",H1267=""),"Add the vendor",IF(AND(D1267="Bill Payment",OR(J1267="",COUNTIFS(ap_No,J1267&amp;"",ap_Party,H1267&amp;"")=0)),"Bill # + vendor not found on AP sheet",IF(AND(ISNUMBER(M1267),N(M1267)&lt;&gt;0,W1267=0),"Tax ignored (tax tracking off, or not allowed for this type)",IF(V1267=K1267&amp;"","Same account on both sides",IF(AND(ISNUMBER(StartDate),C1267&lt;StartDate),"Date is before the accounting start date",IF(AND(D1267&lt;&gt;"Adjustment",IFERROR(INDEX(coa_Pay,MATCH(K1267&amp;"",coa_Name,0)),"")&lt;&gt;"Yes"),"Paid From / Deposited To is not a payment account","")))))))))))</f>
        <v/>
      </c>
      <c r="Z1267" s="67">
        <f>IF(AND(T1267=0,X1267=""),1,0)</f>
        <v/>
      </c>
      <c r="AA1267" s="68">
        <f>IF(Z1267=1,IF(U1267="In",L1267,L1267-W1267),0)</f>
        <v/>
      </c>
      <c r="AB1267" s="68">
        <f>IF(Z1267=1,IF(U1267="In",L1267-W1267,L1267),0)</f>
        <v/>
      </c>
      <c r="AC1267" s="68">
        <f>IF(AND(Z1267=1,U1267="Out"),W1267,0)</f>
        <v/>
      </c>
      <c r="AD1267" s="68">
        <f>IF(AND(Z1267=1,U1267="In"),W1267,0)</f>
        <v/>
      </c>
    </row>
    <row r="1268">
      <c r="B1268" s="62" t="inlineStr">
        <is>
          <t>TX-1262</t>
        </is>
      </c>
      <c r="C1268" s="63" t="n"/>
      <c r="D1268" s="62" t="n"/>
      <c r="E1268" s="62" t="n"/>
      <c r="F1268" s="62" t="n"/>
      <c r="G1268" s="62" t="n"/>
      <c r="H1268" s="62" t="n"/>
      <c r="I1268" s="62" t="n"/>
      <c r="J1268" s="62" t="n"/>
      <c r="K1268" s="62" t="n"/>
      <c r="L1268" s="64" t="n"/>
      <c r="M1268" s="64" t="n"/>
      <c r="N1268" s="62" t="n"/>
      <c r="O1268" s="65">
        <f>IF(Z1268=1,L1268-W1268,"")</f>
        <v/>
      </c>
      <c r="P1268" s="66">
        <f>IF(V1268="","",IFERROR(INDEX(coa_Type,MATCH(V1268,coa_Name,0)),""))</f>
        <v/>
      </c>
      <c r="Q1268" s="66">
        <f>IF(Z1268=1,IF(U1268="In",K1268&amp;"",V1268),"")</f>
        <v/>
      </c>
      <c r="R1268" s="66">
        <f>IF(Z1268=1,IF(U1268="In",V1268,K1268&amp;""),"")</f>
        <v/>
      </c>
      <c r="S1268" s="66">
        <f>IF(X1268&lt;&gt;"","⛔ "&amp;X1268&amp;" — not posted",IF(Y1268&lt;&gt;"","⚠ "&amp;Y1268,IF(Z1268=1,"✓ OK","")))</f>
        <v/>
      </c>
      <c r="T1268" s="67">
        <f>IF(AND(C1268="",D1268="",E1268="",L1268="",K1268=""),1,0)</f>
        <v/>
      </c>
      <c r="U1268" s="67">
        <f>IFERROR(INDEX(tt_Dir,MATCH(D1268,tt_Type,0)),"")</f>
        <v/>
      </c>
      <c r="V1268" s="67">
        <f>IF(D1268="","",IFERROR(IF(INDEX(tt_Other,MATCH(D1268,tt_Type,0))="",E1268&amp;"",INDEX(tt_Other,MATCH(D1268,tt_Type,0))),""))</f>
        <v/>
      </c>
      <c r="W1268" s="68">
        <f>IF(OR(TaxOn&lt;&gt;"Yes",NOT(ISNUMBER(M1268))),0,IF(IFERROR(INDEX(tt_Tax,MATCH(D1268,tt_Type,0)),"No")="Yes",M1268,0))</f>
        <v/>
      </c>
      <c r="X1268" s="67">
        <f>IF(T1268=1,"",IF(C1268="","Missing transaction date",IF(NOT(ISNUMBER(C1268)),"Invalid date",IF(OR(C1268&lt;DATE(2000,1,1),C1268&gt;DATE(2099,12,31)),"Invalid date",IF(D1268="","Select a type",IF(U1268="","Unknown type: "&amp;D1268,IF(V1268="","Select an account (Category)",IF(ISNA(MATCH(V1268,coa_Name,0)),"Unknown account: "&amp;V1268,IF(K1268="","Select Paid From / Deposited To",IF(ISNA(MATCH(K1268,coa_Name,0)),"Unknown account: "&amp;K1268,IF(NOT(ISNUMBER(L1268)),"Enter an amount",IF(L1268=0,"Enter an amount",IF(ABS(W1268)&gt;ABS(L1268),"Tax is larger than the amount","")))))))))))))</f>
        <v/>
      </c>
      <c r="Y1268" s="67">
        <f>IF(OR(T1268=1,X1268&lt;&gt;""),"",IF(AND(B1268&lt;&gt;"",COUNTIF(tx_ID,B1268)&gt;1),"Duplicate transaction ID",IF(AND(L1268&lt;0,D1268&lt;&gt;"Adjustment"),"Negative amount — check this entry",IF(AND(D1268="Customer Payment",G1268=""),"Add the customer",IF(AND(D1268="Customer Payment",OR(J1268="",COUNTIF(ar_No,J1268&amp;"")=0)),"Invoice # in Reference not found on AR sheet",IF(AND(D1268="Bill Payment",H1268=""),"Add the vendor",IF(AND(D1268="Bill Payment",OR(J1268="",COUNTIFS(ap_No,J1268&amp;"",ap_Party,H1268&amp;"")=0)),"Bill # + vendor not found on AP sheet",IF(AND(ISNUMBER(M1268),N(M1268)&lt;&gt;0,W1268=0),"Tax ignored (tax tracking off, or not allowed for this type)",IF(V1268=K1268&amp;"","Same account on both sides",IF(AND(ISNUMBER(StartDate),C1268&lt;StartDate),"Date is before the accounting start date",IF(AND(D1268&lt;&gt;"Adjustment",IFERROR(INDEX(coa_Pay,MATCH(K1268&amp;"",coa_Name,0)),"")&lt;&gt;"Yes"),"Paid From / Deposited To is not a payment account","")))))))))))</f>
        <v/>
      </c>
      <c r="Z1268" s="67">
        <f>IF(AND(T1268=0,X1268=""),1,0)</f>
        <v/>
      </c>
      <c r="AA1268" s="68">
        <f>IF(Z1268=1,IF(U1268="In",L1268,L1268-W1268),0)</f>
        <v/>
      </c>
      <c r="AB1268" s="68">
        <f>IF(Z1268=1,IF(U1268="In",L1268-W1268,L1268),0)</f>
        <v/>
      </c>
      <c r="AC1268" s="68">
        <f>IF(AND(Z1268=1,U1268="Out"),W1268,0)</f>
        <v/>
      </c>
      <c r="AD1268" s="68">
        <f>IF(AND(Z1268=1,U1268="In"),W1268,0)</f>
        <v/>
      </c>
    </row>
    <row r="1269">
      <c r="B1269" s="62" t="inlineStr">
        <is>
          <t>TX-1263</t>
        </is>
      </c>
      <c r="C1269" s="63" t="n"/>
      <c r="D1269" s="62" t="n"/>
      <c r="E1269" s="62" t="n"/>
      <c r="F1269" s="62" t="n"/>
      <c r="G1269" s="62" t="n"/>
      <c r="H1269" s="62" t="n"/>
      <c r="I1269" s="62" t="n"/>
      <c r="J1269" s="62" t="n"/>
      <c r="K1269" s="62" t="n"/>
      <c r="L1269" s="64" t="n"/>
      <c r="M1269" s="64" t="n"/>
      <c r="N1269" s="62" t="n"/>
      <c r="O1269" s="65">
        <f>IF(Z1269=1,L1269-W1269,"")</f>
        <v/>
      </c>
      <c r="P1269" s="66">
        <f>IF(V1269="","",IFERROR(INDEX(coa_Type,MATCH(V1269,coa_Name,0)),""))</f>
        <v/>
      </c>
      <c r="Q1269" s="66">
        <f>IF(Z1269=1,IF(U1269="In",K1269&amp;"",V1269),"")</f>
        <v/>
      </c>
      <c r="R1269" s="66">
        <f>IF(Z1269=1,IF(U1269="In",V1269,K1269&amp;""),"")</f>
        <v/>
      </c>
      <c r="S1269" s="66">
        <f>IF(X1269&lt;&gt;"","⛔ "&amp;X1269&amp;" — not posted",IF(Y1269&lt;&gt;"","⚠ "&amp;Y1269,IF(Z1269=1,"✓ OK","")))</f>
        <v/>
      </c>
      <c r="T1269" s="67">
        <f>IF(AND(C1269="",D1269="",E1269="",L1269="",K1269=""),1,0)</f>
        <v/>
      </c>
      <c r="U1269" s="67">
        <f>IFERROR(INDEX(tt_Dir,MATCH(D1269,tt_Type,0)),"")</f>
        <v/>
      </c>
      <c r="V1269" s="67">
        <f>IF(D1269="","",IFERROR(IF(INDEX(tt_Other,MATCH(D1269,tt_Type,0))="",E1269&amp;"",INDEX(tt_Other,MATCH(D1269,tt_Type,0))),""))</f>
        <v/>
      </c>
      <c r="W1269" s="68">
        <f>IF(OR(TaxOn&lt;&gt;"Yes",NOT(ISNUMBER(M1269))),0,IF(IFERROR(INDEX(tt_Tax,MATCH(D1269,tt_Type,0)),"No")="Yes",M1269,0))</f>
        <v/>
      </c>
      <c r="X1269" s="67">
        <f>IF(T1269=1,"",IF(C1269="","Missing transaction date",IF(NOT(ISNUMBER(C1269)),"Invalid date",IF(OR(C1269&lt;DATE(2000,1,1),C1269&gt;DATE(2099,12,31)),"Invalid date",IF(D1269="","Select a type",IF(U1269="","Unknown type: "&amp;D1269,IF(V1269="","Select an account (Category)",IF(ISNA(MATCH(V1269,coa_Name,0)),"Unknown account: "&amp;V1269,IF(K1269="","Select Paid From / Deposited To",IF(ISNA(MATCH(K1269,coa_Name,0)),"Unknown account: "&amp;K1269,IF(NOT(ISNUMBER(L1269)),"Enter an amount",IF(L1269=0,"Enter an amount",IF(ABS(W1269)&gt;ABS(L1269),"Tax is larger than the amount","")))))))))))))</f>
        <v/>
      </c>
      <c r="Y1269" s="67">
        <f>IF(OR(T1269=1,X1269&lt;&gt;""),"",IF(AND(B1269&lt;&gt;"",COUNTIF(tx_ID,B1269)&gt;1),"Duplicate transaction ID",IF(AND(L1269&lt;0,D1269&lt;&gt;"Adjustment"),"Negative amount — check this entry",IF(AND(D1269="Customer Payment",G1269=""),"Add the customer",IF(AND(D1269="Customer Payment",OR(J1269="",COUNTIF(ar_No,J1269&amp;"")=0)),"Invoice # in Reference not found on AR sheet",IF(AND(D1269="Bill Payment",H1269=""),"Add the vendor",IF(AND(D1269="Bill Payment",OR(J1269="",COUNTIFS(ap_No,J1269&amp;"",ap_Party,H1269&amp;"")=0)),"Bill # + vendor not found on AP sheet",IF(AND(ISNUMBER(M1269),N(M1269)&lt;&gt;0,W1269=0),"Tax ignored (tax tracking off, or not allowed for this type)",IF(V1269=K1269&amp;"","Same account on both sides",IF(AND(ISNUMBER(StartDate),C1269&lt;StartDate),"Date is before the accounting start date",IF(AND(D1269&lt;&gt;"Adjustment",IFERROR(INDEX(coa_Pay,MATCH(K1269&amp;"",coa_Name,0)),"")&lt;&gt;"Yes"),"Paid From / Deposited To is not a payment account","")))))))))))</f>
        <v/>
      </c>
      <c r="Z1269" s="67">
        <f>IF(AND(T1269=0,X1269=""),1,0)</f>
        <v/>
      </c>
      <c r="AA1269" s="68">
        <f>IF(Z1269=1,IF(U1269="In",L1269,L1269-W1269),0)</f>
        <v/>
      </c>
      <c r="AB1269" s="68">
        <f>IF(Z1269=1,IF(U1269="In",L1269-W1269,L1269),0)</f>
        <v/>
      </c>
      <c r="AC1269" s="68">
        <f>IF(AND(Z1269=1,U1269="Out"),W1269,0)</f>
        <v/>
      </c>
      <c r="AD1269" s="68">
        <f>IF(AND(Z1269=1,U1269="In"),W1269,0)</f>
        <v/>
      </c>
    </row>
    <row r="1270">
      <c r="B1270" s="62" t="inlineStr">
        <is>
          <t>TX-1264</t>
        </is>
      </c>
      <c r="C1270" s="63" t="n"/>
      <c r="D1270" s="62" t="n"/>
      <c r="E1270" s="62" t="n"/>
      <c r="F1270" s="62" t="n"/>
      <c r="G1270" s="62" t="n"/>
      <c r="H1270" s="62" t="n"/>
      <c r="I1270" s="62" t="n"/>
      <c r="J1270" s="62" t="n"/>
      <c r="K1270" s="62" t="n"/>
      <c r="L1270" s="64" t="n"/>
      <c r="M1270" s="64" t="n"/>
      <c r="N1270" s="62" t="n"/>
      <c r="O1270" s="65">
        <f>IF(Z1270=1,L1270-W1270,"")</f>
        <v/>
      </c>
      <c r="P1270" s="66">
        <f>IF(V1270="","",IFERROR(INDEX(coa_Type,MATCH(V1270,coa_Name,0)),""))</f>
        <v/>
      </c>
      <c r="Q1270" s="66">
        <f>IF(Z1270=1,IF(U1270="In",K1270&amp;"",V1270),"")</f>
        <v/>
      </c>
      <c r="R1270" s="66">
        <f>IF(Z1270=1,IF(U1270="In",V1270,K1270&amp;""),"")</f>
        <v/>
      </c>
      <c r="S1270" s="66">
        <f>IF(X1270&lt;&gt;"","⛔ "&amp;X1270&amp;" — not posted",IF(Y1270&lt;&gt;"","⚠ "&amp;Y1270,IF(Z1270=1,"✓ OK","")))</f>
        <v/>
      </c>
      <c r="T1270" s="67">
        <f>IF(AND(C1270="",D1270="",E1270="",L1270="",K1270=""),1,0)</f>
        <v/>
      </c>
      <c r="U1270" s="67">
        <f>IFERROR(INDEX(tt_Dir,MATCH(D1270,tt_Type,0)),"")</f>
        <v/>
      </c>
      <c r="V1270" s="67">
        <f>IF(D1270="","",IFERROR(IF(INDEX(tt_Other,MATCH(D1270,tt_Type,0))="",E1270&amp;"",INDEX(tt_Other,MATCH(D1270,tt_Type,0))),""))</f>
        <v/>
      </c>
      <c r="W1270" s="68">
        <f>IF(OR(TaxOn&lt;&gt;"Yes",NOT(ISNUMBER(M1270))),0,IF(IFERROR(INDEX(tt_Tax,MATCH(D1270,tt_Type,0)),"No")="Yes",M1270,0))</f>
        <v/>
      </c>
      <c r="X1270" s="67">
        <f>IF(T1270=1,"",IF(C1270="","Missing transaction date",IF(NOT(ISNUMBER(C1270)),"Invalid date",IF(OR(C1270&lt;DATE(2000,1,1),C1270&gt;DATE(2099,12,31)),"Invalid date",IF(D1270="","Select a type",IF(U1270="","Unknown type: "&amp;D1270,IF(V1270="","Select an account (Category)",IF(ISNA(MATCH(V1270,coa_Name,0)),"Unknown account: "&amp;V1270,IF(K1270="","Select Paid From / Deposited To",IF(ISNA(MATCH(K1270,coa_Name,0)),"Unknown account: "&amp;K1270,IF(NOT(ISNUMBER(L1270)),"Enter an amount",IF(L1270=0,"Enter an amount",IF(ABS(W1270)&gt;ABS(L1270),"Tax is larger than the amount","")))))))))))))</f>
        <v/>
      </c>
      <c r="Y1270" s="67">
        <f>IF(OR(T1270=1,X1270&lt;&gt;""),"",IF(AND(B1270&lt;&gt;"",COUNTIF(tx_ID,B1270)&gt;1),"Duplicate transaction ID",IF(AND(L1270&lt;0,D1270&lt;&gt;"Adjustment"),"Negative amount — check this entry",IF(AND(D1270="Customer Payment",G1270=""),"Add the customer",IF(AND(D1270="Customer Payment",OR(J1270="",COUNTIF(ar_No,J1270&amp;"")=0)),"Invoice # in Reference not found on AR sheet",IF(AND(D1270="Bill Payment",H1270=""),"Add the vendor",IF(AND(D1270="Bill Payment",OR(J1270="",COUNTIFS(ap_No,J1270&amp;"",ap_Party,H1270&amp;"")=0)),"Bill # + vendor not found on AP sheet",IF(AND(ISNUMBER(M1270),N(M1270)&lt;&gt;0,W1270=0),"Tax ignored (tax tracking off, or not allowed for this type)",IF(V1270=K1270&amp;"","Same account on both sides",IF(AND(ISNUMBER(StartDate),C1270&lt;StartDate),"Date is before the accounting start date",IF(AND(D1270&lt;&gt;"Adjustment",IFERROR(INDEX(coa_Pay,MATCH(K1270&amp;"",coa_Name,0)),"")&lt;&gt;"Yes"),"Paid From / Deposited To is not a payment account","")))))))))))</f>
        <v/>
      </c>
      <c r="Z1270" s="67">
        <f>IF(AND(T1270=0,X1270=""),1,0)</f>
        <v/>
      </c>
      <c r="AA1270" s="68">
        <f>IF(Z1270=1,IF(U1270="In",L1270,L1270-W1270),0)</f>
        <v/>
      </c>
      <c r="AB1270" s="68">
        <f>IF(Z1270=1,IF(U1270="In",L1270-W1270,L1270),0)</f>
        <v/>
      </c>
      <c r="AC1270" s="68">
        <f>IF(AND(Z1270=1,U1270="Out"),W1270,0)</f>
        <v/>
      </c>
      <c r="AD1270" s="68">
        <f>IF(AND(Z1270=1,U1270="In"),W1270,0)</f>
        <v/>
      </c>
    </row>
    <row r="1271">
      <c r="B1271" s="62" t="inlineStr">
        <is>
          <t>TX-1265</t>
        </is>
      </c>
      <c r="C1271" s="63" t="n"/>
      <c r="D1271" s="62" t="n"/>
      <c r="E1271" s="62" t="n"/>
      <c r="F1271" s="62" t="n"/>
      <c r="G1271" s="62" t="n"/>
      <c r="H1271" s="62" t="n"/>
      <c r="I1271" s="62" t="n"/>
      <c r="J1271" s="62" t="n"/>
      <c r="K1271" s="62" t="n"/>
      <c r="L1271" s="64" t="n"/>
      <c r="M1271" s="64" t="n"/>
      <c r="N1271" s="62" t="n"/>
      <c r="O1271" s="65">
        <f>IF(Z1271=1,L1271-W1271,"")</f>
        <v/>
      </c>
      <c r="P1271" s="66">
        <f>IF(V1271="","",IFERROR(INDEX(coa_Type,MATCH(V1271,coa_Name,0)),""))</f>
        <v/>
      </c>
      <c r="Q1271" s="66">
        <f>IF(Z1271=1,IF(U1271="In",K1271&amp;"",V1271),"")</f>
        <v/>
      </c>
      <c r="R1271" s="66">
        <f>IF(Z1271=1,IF(U1271="In",V1271,K1271&amp;""),"")</f>
        <v/>
      </c>
      <c r="S1271" s="66">
        <f>IF(X1271&lt;&gt;"","⛔ "&amp;X1271&amp;" — not posted",IF(Y1271&lt;&gt;"","⚠ "&amp;Y1271,IF(Z1271=1,"✓ OK","")))</f>
        <v/>
      </c>
      <c r="T1271" s="67">
        <f>IF(AND(C1271="",D1271="",E1271="",L1271="",K1271=""),1,0)</f>
        <v/>
      </c>
      <c r="U1271" s="67">
        <f>IFERROR(INDEX(tt_Dir,MATCH(D1271,tt_Type,0)),"")</f>
        <v/>
      </c>
      <c r="V1271" s="67">
        <f>IF(D1271="","",IFERROR(IF(INDEX(tt_Other,MATCH(D1271,tt_Type,0))="",E1271&amp;"",INDEX(tt_Other,MATCH(D1271,tt_Type,0))),""))</f>
        <v/>
      </c>
      <c r="W1271" s="68">
        <f>IF(OR(TaxOn&lt;&gt;"Yes",NOT(ISNUMBER(M1271))),0,IF(IFERROR(INDEX(tt_Tax,MATCH(D1271,tt_Type,0)),"No")="Yes",M1271,0))</f>
        <v/>
      </c>
      <c r="X1271" s="67">
        <f>IF(T1271=1,"",IF(C1271="","Missing transaction date",IF(NOT(ISNUMBER(C1271)),"Invalid date",IF(OR(C1271&lt;DATE(2000,1,1),C1271&gt;DATE(2099,12,31)),"Invalid date",IF(D1271="","Select a type",IF(U1271="","Unknown type: "&amp;D1271,IF(V1271="","Select an account (Category)",IF(ISNA(MATCH(V1271,coa_Name,0)),"Unknown account: "&amp;V1271,IF(K1271="","Select Paid From / Deposited To",IF(ISNA(MATCH(K1271,coa_Name,0)),"Unknown account: "&amp;K1271,IF(NOT(ISNUMBER(L1271)),"Enter an amount",IF(L1271=0,"Enter an amount",IF(ABS(W1271)&gt;ABS(L1271),"Tax is larger than the amount","")))))))))))))</f>
        <v/>
      </c>
      <c r="Y1271" s="67">
        <f>IF(OR(T1271=1,X1271&lt;&gt;""),"",IF(AND(B1271&lt;&gt;"",COUNTIF(tx_ID,B1271)&gt;1),"Duplicate transaction ID",IF(AND(L1271&lt;0,D1271&lt;&gt;"Adjustment"),"Negative amount — check this entry",IF(AND(D1271="Customer Payment",G1271=""),"Add the customer",IF(AND(D1271="Customer Payment",OR(J1271="",COUNTIF(ar_No,J1271&amp;"")=0)),"Invoice # in Reference not found on AR sheet",IF(AND(D1271="Bill Payment",H1271=""),"Add the vendor",IF(AND(D1271="Bill Payment",OR(J1271="",COUNTIFS(ap_No,J1271&amp;"",ap_Party,H1271&amp;"")=0)),"Bill # + vendor not found on AP sheet",IF(AND(ISNUMBER(M1271),N(M1271)&lt;&gt;0,W1271=0),"Tax ignored (tax tracking off, or not allowed for this type)",IF(V1271=K1271&amp;"","Same account on both sides",IF(AND(ISNUMBER(StartDate),C1271&lt;StartDate),"Date is before the accounting start date",IF(AND(D1271&lt;&gt;"Adjustment",IFERROR(INDEX(coa_Pay,MATCH(K1271&amp;"",coa_Name,0)),"")&lt;&gt;"Yes"),"Paid From / Deposited To is not a payment account","")))))))))))</f>
        <v/>
      </c>
      <c r="Z1271" s="67">
        <f>IF(AND(T1271=0,X1271=""),1,0)</f>
        <v/>
      </c>
      <c r="AA1271" s="68">
        <f>IF(Z1271=1,IF(U1271="In",L1271,L1271-W1271),0)</f>
        <v/>
      </c>
      <c r="AB1271" s="68">
        <f>IF(Z1271=1,IF(U1271="In",L1271-W1271,L1271),0)</f>
        <v/>
      </c>
      <c r="AC1271" s="68">
        <f>IF(AND(Z1271=1,U1271="Out"),W1271,0)</f>
        <v/>
      </c>
      <c r="AD1271" s="68">
        <f>IF(AND(Z1271=1,U1271="In"),W1271,0)</f>
        <v/>
      </c>
    </row>
    <row r="1272">
      <c r="B1272" s="62" t="inlineStr">
        <is>
          <t>TX-1266</t>
        </is>
      </c>
      <c r="C1272" s="63" t="n"/>
      <c r="D1272" s="62" t="n"/>
      <c r="E1272" s="62" t="n"/>
      <c r="F1272" s="62" t="n"/>
      <c r="G1272" s="62" t="n"/>
      <c r="H1272" s="62" t="n"/>
      <c r="I1272" s="62" t="n"/>
      <c r="J1272" s="62" t="n"/>
      <c r="K1272" s="62" t="n"/>
      <c r="L1272" s="64" t="n"/>
      <c r="M1272" s="64" t="n"/>
      <c r="N1272" s="62" t="n"/>
      <c r="O1272" s="65">
        <f>IF(Z1272=1,L1272-W1272,"")</f>
        <v/>
      </c>
      <c r="P1272" s="66">
        <f>IF(V1272="","",IFERROR(INDEX(coa_Type,MATCH(V1272,coa_Name,0)),""))</f>
        <v/>
      </c>
      <c r="Q1272" s="66">
        <f>IF(Z1272=1,IF(U1272="In",K1272&amp;"",V1272),"")</f>
        <v/>
      </c>
      <c r="R1272" s="66">
        <f>IF(Z1272=1,IF(U1272="In",V1272,K1272&amp;""),"")</f>
        <v/>
      </c>
      <c r="S1272" s="66">
        <f>IF(X1272&lt;&gt;"","⛔ "&amp;X1272&amp;" — not posted",IF(Y1272&lt;&gt;"","⚠ "&amp;Y1272,IF(Z1272=1,"✓ OK","")))</f>
        <v/>
      </c>
      <c r="T1272" s="67">
        <f>IF(AND(C1272="",D1272="",E1272="",L1272="",K1272=""),1,0)</f>
        <v/>
      </c>
      <c r="U1272" s="67">
        <f>IFERROR(INDEX(tt_Dir,MATCH(D1272,tt_Type,0)),"")</f>
        <v/>
      </c>
      <c r="V1272" s="67">
        <f>IF(D1272="","",IFERROR(IF(INDEX(tt_Other,MATCH(D1272,tt_Type,0))="",E1272&amp;"",INDEX(tt_Other,MATCH(D1272,tt_Type,0))),""))</f>
        <v/>
      </c>
      <c r="W1272" s="68">
        <f>IF(OR(TaxOn&lt;&gt;"Yes",NOT(ISNUMBER(M1272))),0,IF(IFERROR(INDEX(tt_Tax,MATCH(D1272,tt_Type,0)),"No")="Yes",M1272,0))</f>
        <v/>
      </c>
      <c r="X1272" s="67">
        <f>IF(T1272=1,"",IF(C1272="","Missing transaction date",IF(NOT(ISNUMBER(C1272)),"Invalid date",IF(OR(C1272&lt;DATE(2000,1,1),C1272&gt;DATE(2099,12,31)),"Invalid date",IF(D1272="","Select a type",IF(U1272="","Unknown type: "&amp;D1272,IF(V1272="","Select an account (Category)",IF(ISNA(MATCH(V1272,coa_Name,0)),"Unknown account: "&amp;V1272,IF(K1272="","Select Paid From / Deposited To",IF(ISNA(MATCH(K1272,coa_Name,0)),"Unknown account: "&amp;K1272,IF(NOT(ISNUMBER(L1272)),"Enter an amount",IF(L1272=0,"Enter an amount",IF(ABS(W1272)&gt;ABS(L1272),"Tax is larger than the amount","")))))))))))))</f>
        <v/>
      </c>
      <c r="Y1272" s="67">
        <f>IF(OR(T1272=1,X1272&lt;&gt;""),"",IF(AND(B1272&lt;&gt;"",COUNTIF(tx_ID,B1272)&gt;1),"Duplicate transaction ID",IF(AND(L1272&lt;0,D1272&lt;&gt;"Adjustment"),"Negative amount — check this entry",IF(AND(D1272="Customer Payment",G1272=""),"Add the customer",IF(AND(D1272="Customer Payment",OR(J1272="",COUNTIF(ar_No,J1272&amp;"")=0)),"Invoice # in Reference not found on AR sheet",IF(AND(D1272="Bill Payment",H1272=""),"Add the vendor",IF(AND(D1272="Bill Payment",OR(J1272="",COUNTIFS(ap_No,J1272&amp;"",ap_Party,H1272&amp;"")=0)),"Bill # + vendor not found on AP sheet",IF(AND(ISNUMBER(M1272),N(M1272)&lt;&gt;0,W1272=0),"Tax ignored (tax tracking off, or not allowed for this type)",IF(V1272=K1272&amp;"","Same account on both sides",IF(AND(ISNUMBER(StartDate),C1272&lt;StartDate),"Date is before the accounting start date",IF(AND(D1272&lt;&gt;"Adjustment",IFERROR(INDEX(coa_Pay,MATCH(K1272&amp;"",coa_Name,0)),"")&lt;&gt;"Yes"),"Paid From / Deposited To is not a payment account","")))))))))))</f>
        <v/>
      </c>
      <c r="Z1272" s="67">
        <f>IF(AND(T1272=0,X1272=""),1,0)</f>
        <v/>
      </c>
      <c r="AA1272" s="68">
        <f>IF(Z1272=1,IF(U1272="In",L1272,L1272-W1272),0)</f>
        <v/>
      </c>
      <c r="AB1272" s="68">
        <f>IF(Z1272=1,IF(U1272="In",L1272-W1272,L1272),0)</f>
        <v/>
      </c>
      <c r="AC1272" s="68">
        <f>IF(AND(Z1272=1,U1272="Out"),W1272,0)</f>
        <v/>
      </c>
      <c r="AD1272" s="68">
        <f>IF(AND(Z1272=1,U1272="In"),W1272,0)</f>
        <v/>
      </c>
    </row>
    <row r="1273">
      <c r="B1273" s="62" t="inlineStr">
        <is>
          <t>TX-1267</t>
        </is>
      </c>
      <c r="C1273" s="63" t="n"/>
      <c r="D1273" s="62" t="n"/>
      <c r="E1273" s="62" t="n"/>
      <c r="F1273" s="62" t="n"/>
      <c r="G1273" s="62" t="n"/>
      <c r="H1273" s="62" t="n"/>
      <c r="I1273" s="62" t="n"/>
      <c r="J1273" s="62" t="n"/>
      <c r="K1273" s="62" t="n"/>
      <c r="L1273" s="64" t="n"/>
      <c r="M1273" s="64" t="n"/>
      <c r="N1273" s="62" t="n"/>
      <c r="O1273" s="65">
        <f>IF(Z1273=1,L1273-W1273,"")</f>
        <v/>
      </c>
      <c r="P1273" s="66">
        <f>IF(V1273="","",IFERROR(INDEX(coa_Type,MATCH(V1273,coa_Name,0)),""))</f>
        <v/>
      </c>
      <c r="Q1273" s="66">
        <f>IF(Z1273=1,IF(U1273="In",K1273&amp;"",V1273),"")</f>
        <v/>
      </c>
      <c r="R1273" s="66">
        <f>IF(Z1273=1,IF(U1273="In",V1273,K1273&amp;""),"")</f>
        <v/>
      </c>
      <c r="S1273" s="66">
        <f>IF(X1273&lt;&gt;"","⛔ "&amp;X1273&amp;" — not posted",IF(Y1273&lt;&gt;"","⚠ "&amp;Y1273,IF(Z1273=1,"✓ OK","")))</f>
        <v/>
      </c>
      <c r="T1273" s="67">
        <f>IF(AND(C1273="",D1273="",E1273="",L1273="",K1273=""),1,0)</f>
        <v/>
      </c>
      <c r="U1273" s="67">
        <f>IFERROR(INDEX(tt_Dir,MATCH(D1273,tt_Type,0)),"")</f>
        <v/>
      </c>
      <c r="V1273" s="67">
        <f>IF(D1273="","",IFERROR(IF(INDEX(tt_Other,MATCH(D1273,tt_Type,0))="",E1273&amp;"",INDEX(tt_Other,MATCH(D1273,tt_Type,0))),""))</f>
        <v/>
      </c>
      <c r="W1273" s="68">
        <f>IF(OR(TaxOn&lt;&gt;"Yes",NOT(ISNUMBER(M1273))),0,IF(IFERROR(INDEX(tt_Tax,MATCH(D1273,tt_Type,0)),"No")="Yes",M1273,0))</f>
        <v/>
      </c>
      <c r="X1273" s="67">
        <f>IF(T1273=1,"",IF(C1273="","Missing transaction date",IF(NOT(ISNUMBER(C1273)),"Invalid date",IF(OR(C1273&lt;DATE(2000,1,1),C1273&gt;DATE(2099,12,31)),"Invalid date",IF(D1273="","Select a type",IF(U1273="","Unknown type: "&amp;D1273,IF(V1273="","Select an account (Category)",IF(ISNA(MATCH(V1273,coa_Name,0)),"Unknown account: "&amp;V1273,IF(K1273="","Select Paid From / Deposited To",IF(ISNA(MATCH(K1273,coa_Name,0)),"Unknown account: "&amp;K1273,IF(NOT(ISNUMBER(L1273)),"Enter an amount",IF(L1273=0,"Enter an amount",IF(ABS(W1273)&gt;ABS(L1273),"Tax is larger than the amount","")))))))))))))</f>
        <v/>
      </c>
      <c r="Y1273" s="67">
        <f>IF(OR(T1273=1,X1273&lt;&gt;""),"",IF(AND(B1273&lt;&gt;"",COUNTIF(tx_ID,B1273)&gt;1),"Duplicate transaction ID",IF(AND(L1273&lt;0,D1273&lt;&gt;"Adjustment"),"Negative amount — check this entry",IF(AND(D1273="Customer Payment",G1273=""),"Add the customer",IF(AND(D1273="Customer Payment",OR(J1273="",COUNTIF(ar_No,J1273&amp;"")=0)),"Invoice # in Reference not found on AR sheet",IF(AND(D1273="Bill Payment",H1273=""),"Add the vendor",IF(AND(D1273="Bill Payment",OR(J1273="",COUNTIFS(ap_No,J1273&amp;"",ap_Party,H1273&amp;"")=0)),"Bill # + vendor not found on AP sheet",IF(AND(ISNUMBER(M1273),N(M1273)&lt;&gt;0,W1273=0),"Tax ignored (tax tracking off, or not allowed for this type)",IF(V1273=K1273&amp;"","Same account on both sides",IF(AND(ISNUMBER(StartDate),C1273&lt;StartDate),"Date is before the accounting start date",IF(AND(D1273&lt;&gt;"Adjustment",IFERROR(INDEX(coa_Pay,MATCH(K1273&amp;"",coa_Name,0)),"")&lt;&gt;"Yes"),"Paid From / Deposited To is not a payment account","")))))))))))</f>
        <v/>
      </c>
      <c r="Z1273" s="67">
        <f>IF(AND(T1273=0,X1273=""),1,0)</f>
        <v/>
      </c>
      <c r="AA1273" s="68">
        <f>IF(Z1273=1,IF(U1273="In",L1273,L1273-W1273),0)</f>
        <v/>
      </c>
      <c r="AB1273" s="68">
        <f>IF(Z1273=1,IF(U1273="In",L1273-W1273,L1273),0)</f>
        <v/>
      </c>
      <c r="AC1273" s="68">
        <f>IF(AND(Z1273=1,U1273="Out"),W1273,0)</f>
        <v/>
      </c>
      <c r="AD1273" s="68">
        <f>IF(AND(Z1273=1,U1273="In"),W1273,0)</f>
        <v/>
      </c>
    </row>
    <row r="1274">
      <c r="B1274" s="62" t="inlineStr">
        <is>
          <t>TX-1268</t>
        </is>
      </c>
      <c r="C1274" s="63" t="n"/>
      <c r="D1274" s="62" t="n"/>
      <c r="E1274" s="62" t="n"/>
      <c r="F1274" s="62" t="n"/>
      <c r="G1274" s="62" t="n"/>
      <c r="H1274" s="62" t="n"/>
      <c r="I1274" s="62" t="n"/>
      <c r="J1274" s="62" t="n"/>
      <c r="K1274" s="62" t="n"/>
      <c r="L1274" s="64" t="n"/>
      <c r="M1274" s="64" t="n"/>
      <c r="N1274" s="62" t="n"/>
      <c r="O1274" s="65">
        <f>IF(Z1274=1,L1274-W1274,"")</f>
        <v/>
      </c>
      <c r="P1274" s="66">
        <f>IF(V1274="","",IFERROR(INDEX(coa_Type,MATCH(V1274,coa_Name,0)),""))</f>
        <v/>
      </c>
      <c r="Q1274" s="66">
        <f>IF(Z1274=1,IF(U1274="In",K1274&amp;"",V1274),"")</f>
        <v/>
      </c>
      <c r="R1274" s="66">
        <f>IF(Z1274=1,IF(U1274="In",V1274,K1274&amp;""),"")</f>
        <v/>
      </c>
      <c r="S1274" s="66">
        <f>IF(X1274&lt;&gt;"","⛔ "&amp;X1274&amp;" — not posted",IF(Y1274&lt;&gt;"","⚠ "&amp;Y1274,IF(Z1274=1,"✓ OK","")))</f>
        <v/>
      </c>
      <c r="T1274" s="67">
        <f>IF(AND(C1274="",D1274="",E1274="",L1274="",K1274=""),1,0)</f>
        <v/>
      </c>
      <c r="U1274" s="67">
        <f>IFERROR(INDEX(tt_Dir,MATCH(D1274,tt_Type,0)),"")</f>
        <v/>
      </c>
      <c r="V1274" s="67">
        <f>IF(D1274="","",IFERROR(IF(INDEX(tt_Other,MATCH(D1274,tt_Type,0))="",E1274&amp;"",INDEX(tt_Other,MATCH(D1274,tt_Type,0))),""))</f>
        <v/>
      </c>
      <c r="W1274" s="68">
        <f>IF(OR(TaxOn&lt;&gt;"Yes",NOT(ISNUMBER(M1274))),0,IF(IFERROR(INDEX(tt_Tax,MATCH(D1274,tt_Type,0)),"No")="Yes",M1274,0))</f>
        <v/>
      </c>
      <c r="X1274" s="67">
        <f>IF(T1274=1,"",IF(C1274="","Missing transaction date",IF(NOT(ISNUMBER(C1274)),"Invalid date",IF(OR(C1274&lt;DATE(2000,1,1),C1274&gt;DATE(2099,12,31)),"Invalid date",IF(D1274="","Select a type",IF(U1274="","Unknown type: "&amp;D1274,IF(V1274="","Select an account (Category)",IF(ISNA(MATCH(V1274,coa_Name,0)),"Unknown account: "&amp;V1274,IF(K1274="","Select Paid From / Deposited To",IF(ISNA(MATCH(K1274,coa_Name,0)),"Unknown account: "&amp;K1274,IF(NOT(ISNUMBER(L1274)),"Enter an amount",IF(L1274=0,"Enter an amount",IF(ABS(W1274)&gt;ABS(L1274),"Tax is larger than the amount","")))))))))))))</f>
        <v/>
      </c>
      <c r="Y1274" s="67">
        <f>IF(OR(T1274=1,X1274&lt;&gt;""),"",IF(AND(B1274&lt;&gt;"",COUNTIF(tx_ID,B1274)&gt;1),"Duplicate transaction ID",IF(AND(L1274&lt;0,D1274&lt;&gt;"Adjustment"),"Negative amount — check this entry",IF(AND(D1274="Customer Payment",G1274=""),"Add the customer",IF(AND(D1274="Customer Payment",OR(J1274="",COUNTIF(ar_No,J1274&amp;"")=0)),"Invoice # in Reference not found on AR sheet",IF(AND(D1274="Bill Payment",H1274=""),"Add the vendor",IF(AND(D1274="Bill Payment",OR(J1274="",COUNTIFS(ap_No,J1274&amp;"",ap_Party,H1274&amp;"")=0)),"Bill # + vendor not found on AP sheet",IF(AND(ISNUMBER(M1274),N(M1274)&lt;&gt;0,W1274=0),"Tax ignored (tax tracking off, or not allowed for this type)",IF(V1274=K1274&amp;"","Same account on both sides",IF(AND(ISNUMBER(StartDate),C1274&lt;StartDate),"Date is before the accounting start date",IF(AND(D1274&lt;&gt;"Adjustment",IFERROR(INDEX(coa_Pay,MATCH(K1274&amp;"",coa_Name,0)),"")&lt;&gt;"Yes"),"Paid From / Deposited To is not a payment account","")))))))))))</f>
        <v/>
      </c>
      <c r="Z1274" s="67">
        <f>IF(AND(T1274=0,X1274=""),1,0)</f>
        <v/>
      </c>
      <c r="AA1274" s="68">
        <f>IF(Z1274=1,IF(U1274="In",L1274,L1274-W1274),0)</f>
        <v/>
      </c>
      <c r="AB1274" s="68">
        <f>IF(Z1274=1,IF(U1274="In",L1274-W1274,L1274),0)</f>
        <v/>
      </c>
      <c r="AC1274" s="68">
        <f>IF(AND(Z1274=1,U1274="Out"),W1274,0)</f>
        <v/>
      </c>
      <c r="AD1274" s="68">
        <f>IF(AND(Z1274=1,U1274="In"),W1274,0)</f>
        <v/>
      </c>
    </row>
    <row r="1275">
      <c r="B1275" s="62" t="inlineStr">
        <is>
          <t>TX-1269</t>
        </is>
      </c>
      <c r="C1275" s="63" t="n"/>
      <c r="D1275" s="62" t="n"/>
      <c r="E1275" s="62" t="n"/>
      <c r="F1275" s="62" t="n"/>
      <c r="G1275" s="62" t="n"/>
      <c r="H1275" s="62" t="n"/>
      <c r="I1275" s="62" t="n"/>
      <c r="J1275" s="62" t="n"/>
      <c r="K1275" s="62" t="n"/>
      <c r="L1275" s="64" t="n"/>
      <c r="M1275" s="64" t="n"/>
      <c r="N1275" s="62" t="n"/>
      <c r="O1275" s="65">
        <f>IF(Z1275=1,L1275-W1275,"")</f>
        <v/>
      </c>
      <c r="P1275" s="66">
        <f>IF(V1275="","",IFERROR(INDEX(coa_Type,MATCH(V1275,coa_Name,0)),""))</f>
        <v/>
      </c>
      <c r="Q1275" s="66">
        <f>IF(Z1275=1,IF(U1275="In",K1275&amp;"",V1275),"")</f>
        <v/>
      </c>
      <c r="R1275" s="66">
        <f>IF(Z1275=1,IF(U1275="In",V1275,K1275&amp;""),"")</f>
        <v/>
      </c>
      <c r="S1275" s="66">
        <f>IF(X1275&lt;&gt;"","⛔ "&amp;X1275&amp;" — not posted",IF(Y1275&lt;&gt;"","⚠ "&amp;Y1275,IF(Z1275=1,"✓ OK","")))</f>
        <v/>
      </c>
      <c r="T1275" s="67">
        <f>IF(AND(C1275="",D1275="",E1275="",L1275="",K1275=""),1,0)</f>
        <v/>
      </c>
      <c r="U1275" s="67">
        <f>IFERROR(INDEX(tt_Dir,MATCH(D1275,tt_Type,0)),"")</f>
        <v/>
      </c>
      <c r="V1275" s="67">
        <f>IF(D1275="","",IFERROR(IF(INDEX(tt_Other,MATCH(D1275,tt_Type,0))="",E1275&amp;"",INDEX(tt_Other,MATCH(D1275,tt_Type,0))),""))</f>
        <v/>
      </c>
      <c r="W1275" s="68">
        <f>IF(OR(TaxOn&lt;&gt;"Yes",NOT(ISNUMBER(M1275))),0,IF(IFERROR(INDEX(tt_Tax,MATCH(D1275,tt_Type,0)),"No")="Yes",M1275,0))</f>
        <v/>
      </c>
      <c r="X1275" s="67">
        <f>IF(T1275=1,"",IF(C1275="","Missing transaction date",IF(NOT(ISNUMBER(C1275)),"Invalid date",IF(OR(C1275&lt;DATE(2000,1,1),C1275&gt;DATE(2099,12,31)),"Invalid date",IF(D1275="","Select a type",IF(U1275="","Unknown type: "&amp;D1275,IF(V1275="","Select an account (Category)",IF(ISNA(MATCH(V1275,coa_Name,0)),"Unknown account: "&amp;V1275,IF(K1275="","Select Paid From / Deposited To",IF(ISNA(MATCH(K1275,coa_Name,0)),"Unknown account: "&amp;K1275,IF(NOT(ISNUMBER(L1275)),"Enter an amount",IF(L1275=0,"Enter an amount",IF(ABS(W1275)&gt;ABS(L1275),"Tax is larger than the amount","")))))))))))))</f>
        <v/>
      </c>
      <c r="Y1275" s="67">
        <f>IF(OR(T1275=1,X1275&lt;&gt;""),"",IF(AND(B1275&lt;&gt;"",COUNTIF(tx_ID,B1275)&gt;1),"Duplicate transaction ID",IF(AND(L1275&lt;0,D1275&lt;&gt;"Adjustment"),"Negative amount — check this entry",IF(AND(D1275="Customer Payment",G1275=""),"Add the customer",IF(AND(D1275="Customer Payment",OR(J1275="",COUNTIF(ar_No,J1275&amp;"")=0)),"Invoice # in Reference not found on AR sheet",IF(AND(D1275="Bill Payment",H1275=""),"Add the vendor",IF(AND(D1275="Bill Payment",OR(J1275="",COUNTIFS(ap_No,J1275&amp;"",ap_Party,H1275&amp;"")=0)),"Bill # + vendor not found on AP sheet",IF(AND(ISNUMBER(M1275),N(M1275)&lt;&gt;0,W1275=0),"Tax ignored (tax tracking off, or not allowed for this type)",IF(V1275=K1275&amp;"","Same account on both sides",IF(AND(ISNUMBER(StartDate),C1275&lt;StartDate),"Date is before the accounting start date",IF(AND(D1275&lt;&gt;"Adjustment",IFERROR(INDEX(coa_Pay,MATCH(K1275&amp;"",coa_Name,0)),"")&lt;&gt;"Yes"),"Paid From / Deposited To is not a payment account","")))))))))))</f>
        <v/>
      </c>
      <c r="Z1275" s="67">
        <f>IF(AND(T1275=0,X1275=""),1,0)</f>
        <v/>
      </c>
      <c r="AA1275" s="68">
        <f>IF(Z1275=1,IF(U1275="In",L1275,L1275-W1275),0)</f>
        <v/>
      </c>
      <c r="AB1275" s="68">
        <f>IF(Z1275=1,IF(U1275="In",L1275-W1275,L1275),0)</f>
        <v/>
      </c>
      <c r="AC1275" s="68">
        <f>IF(AND(Z1275=1,U1275="Out"),W1275,0)</f>
        <v/>
      </c>
      <c r="AD1275" s="68">
        <f>IF(AND(Z1275=1,U1275="In"),W1275,0)</f>
        <v/>
      </c>
    </row>
    <row r="1276">
      <c r="B1276" s="62" t="inlineStr">
        <is>
          <t>TX-1270</t>
        </is>
      </c>
      <c r="C1276" s="63" t="n"/>
      <c r="D1276" s="62" t="n"/>
      <c r="E1276" s="62" t="n"/>
      <c r="F1276" s="62" t="n"/>
      <c r="G1276" s="62" t="n"/>
      <c r="H1276" s="62" t="n"/>
      <c r="I1276" s="62" t="n"/>
      <c r="J1276" s="62" t="n"/>
      <c r="K1276" s="62" t="n"/>
      <c r="L1276" s="64" t="n"/>
      <c r="M1276" s="64" t="n"/>
      <c r="N1276" s="62" t="n"/>
      <c r="O1276" s="65">
        <f>IF(Z1276=1,L1276-W1276,"")</f>
        <v/>
      </c>
      <c r="P1276" s="66">
        <f>IF(V1276="","",IFERROR(INDEX(coa_Type,MATCH(V1276,coa_Name,0)),""))</f>
        <v/>
      </c>
      <c r="Q1276" s="66">
        <f>IF(Z1276=1,IF(U1276="In",K1276&amp;"",V1276),"")</f>
        <v/>
      </c>
      <c r="R1276" s="66">
        <f>IF(Z1276=1,IF(U1276="In",V1276,K1276&amp;""),"")</f>
        <v/>
      </c>
      <c r="S1276" s="66">
        <f>IF(X1276&lt;&gt;"","⛔ "&amp;X1276&amp;" — not posted",IF(Y1276&lt;&gt;"","⚠ "&amp;Y1276,IF(Z1276=1,"✓ OK","")))</f>
        <v/>
      </c>
      <c r="T1276" s="67">
        <f>IF(AND(C1276="",D1276="",E1276="",L1276="",K1276=""),1,0)</f>
        <v/>
      </c>
      <c r="U1276" s="67">
        <f>IFERROR(INDEX(tt_Dir,MATCH(D1276,tt_Type,0)),"")</f>
        <v/>
      </c>
      <c r="V1276" s="67">
        <f>IF(D1276="","",IFERROR(IF(INDEX(tt_Other,MATCH(D1276,tt_Type,0))="",E1276&amp;"",INDEX(tt_Other,MATCH(D1276,tt_Type,0))),""))</f>
        <v/>
      </c>
      <c r="W1276" s="68">
        <f>IF(OR(TaxOn&lt;&gt;"Yes",NOT(ISNUMBER(M1276))),0,IF(IFERROR(INDEX(tt_Tax,MATCH(D1276,tt_Type,0)),"No")="Yes",M1276,0))</f>
        <v/>
      </c>
      <c r="X1276" s="67">
        <f>IF(T1276=1,"",IF(C1276="","Missing transaction date",IF(NOT(ISNUMBER(C1276)),"Invalid date",IF(OR(C1276&lt;DATE(2000,1,1),C1276&gt;DATE(2099,12,31)),"Invalid date",IF(D1276="","Select a type",IF(U1276="","Unknown type: "&amp;D1276,IF(V1276="","Select an account (Category)",IF(ISNA(MATCH(V1276,coa_Name,0)),"Unknown account: "&amp;V1276,IF(K1276="","Select Paid From / Deposited To",IF(ISNA(MATCH(K1276,coa_Name,0)),"Unknown account: "&amp;K1276,IF(NOT(ISNUMBER(L1276)),"Enter an amount",IF(L1276=0,"Enter an amount",IF(ABS(W1276)&gt;ABS(L1276),"Tax is larger than the amount","")))))))))))))</f>
        <v/>
      </c>
      <c r="Y1276" s="67">
        <f>IF(OR(T1276=1,X1276&lt;&gt;""),"",IF(AND(B1276&lt;&gt;"",COUNTIF(tx_ID,B1276)&gt;1),"Duplicate transaction ID",IF(AND(L1276&lt;0,D1276&lt;&gt;"Adjustment"),"Negative amount — check this entry",IF(AND(D1276="Customer Payment",G1276=""),"Add the customer",IF(AND(D1276="Customer Payment",OR(J1276="",COUNTIF(ar_No,J1276&amp;"")=0)),"Invoice # in Reference not found on AR sheet",IF(AND(D1276="Bill Payment",H1276=""),"Add the vendor",IF(AND(D1276="Bill Payment",OR(J1276="",COUNTIFS(ap_No,J1276&amp;"",ap_Party,H1276&amp;"")=0)),"Bill # + vendor not found on AP sheet",IF(AND(ISNUMBER(M1276),N(M1276)&lt;&gt;0,W1276=0),"Tax ignored (tax tracking off, or not allowed for this type)",IF(V1276=K1276&amp;"","Same account on both sides",IF(AND(ISNUMBER(StartDate),C1276&lt;StartDate),"Date is before the accounting start date",IF(AND(D1276&lt;&gt;"Adjustment",IFERROR(INDEX(coa_Pay,MATCH(K1276&amp;"",coa_Name,0)),"")&lt;&gt;"Yes"),"Paid From / Deposited To is not a payment account","")))))))))))</f>
        <v/>
      </c>
      <c r="Z1276" s="67">
        <f>IF(AND(T1276=0,X1276=""),1,0)</f>
        <v/>
      </c>
      <c r="AA1276" s="68">
        <f>IF(Z1276=1,IF(U1276="In",L1276,L1276-W1276),0)</f>
        <v/>
      </c>
      <c r="AB1276" s="68">
        <f>IF(Z1276=1,IF(U1276="In",L1276-W1276,L1276),0)</f>
        <v/>
      </c>
      <c r="AC1276" s="68">
        <f>IF(AND(Z1276=1,U1276="Out"),W1276,0)</f>
        <v/>
      </c>
      <c r="AD1276" s="68">
        <f>IF(AND(Z1276=1,U1276="In"),W1276,0)</f>
        <v/>
      </c>
    </row>
    <row r="1277">
      <c r="B1277" s="62" t="inlineStr">
        <is>
          <t>TX-1271</t>
        </is>
      </c>
      <c r="C1277" s="63" t="n"/>
      <c r="D1277" s="62" t="n"/>
      <c r="E1277" s="62" t="n"/>
      <c r="F1277" s="62" t="n"/>
      <c r="G1277" s="62" t="n"/>
      <c r="H1277" s="62" t="n"/>
      <c r="I1277" s="62" t="n"/>
      <c r="J1277" s="62" t="n"/>
      <c r="K1277" s="62" t="n"/>
      <c r="L1277" s="64" t="n"/>
      <c r="M1277" s="64" t="n"/>
      <c r="N1277" s="62" t="n"/>
      <c r="O1277" s="65">
        <f>IF(Z1277=1,L1277-W1277,"")</f>
        <v/>
      </c>
      <c r="P1277" s="66">
        <f>IF(V1277="","",IFERROR(INDEX(coa_Type,MATCH(V1277,coa_Name,0)),""))</f>
        <v/>
      </c>
      <c r="Q1277" s="66">
        <f>IF(Z1277=1,IF(U1277="In",K1277&amp;"",V1277),"")</f>
        <v/>
      </c>
      <c r="R1277" s="66">
        <f>IF(Z1277=1,IF(U1277="In",V1277,K1277&amp;""),"")</f>
        <v/>
      </c>
      <c r="S1277" s="66">
        <f>IF(X1277&lt;&gt;"","⛔ "&amp;X1277&amp;" — not posted",IF(Y1277&lt;&gt;"","⚠ "&amp;Y1277,IF(Z1277=1,"✓ OK","")))</f>
        <v/>
      </c>
      <c r="T1277" s="67">
        <f>IF(AND(C1277="",D1277="",E1277="",L1277="",K1277=""),1,0)</f>
        <v/>
      </c>
      <c r="U1277" s="67">
        <f>IFERROR(INDEX(tt_Dir,MATCH(D1277,tt_Type,0)),"")</f>
        <v/>
      </c>
      <c r="V1277" s="67">
        <f>IF(D1277="","",IFERROR(IF(INDEX(tt_Other,MATCH(D1277,tt_Type,0))="",E1277&amp;"",INDEX(tt_Other,MATCH(D1277,tt_Type,0))),""))</f>
        <v/>
      </c>
      <c r="W1277" s="68">
        <f>IF(OR(TaxOn&lt;&gt;"Yes",NOT(ISNUMBER(M1277))),0,IF(IFERROR(INDEX(tt_Tax,MATCH(D1277,tt_Type,0)),"No")="Yes",M1277,0))</f>
        <v/>
      </c>
      <c r="X1277" s="67">
        <f>IF(T1277=1,"",IF(C1277="","Missing transaction date",IF(NOT(ISNUMBER(C1277)),"Invalid date",IF(OR(C1277&lt;DATE(2000,1,1),C1277&gt;DATE(2099,12,31)),"Invalid date",IF(D1277="","Select a type",IF(U1277="","Unknown type: "&amp;D1277,IF(V1277="","Select an account (Category)",IF(ISNA(MATCH(V1277,coa_Name,0)),"Unknown account: "&amp;V1277,IF(K1277="","Select Paid From / Deposited To",IF(ISNA(MATCH(K1277,coa_Name,0)),"Unknown account: "&amp;K1277,IF(NOT(ISNUMBER(L1277)),"Enter an amount",IF(L1277=0,"Enter an amount",IF(ABS(W1277)&gt;ABS(L1277),"Tax is larger than the amount","")))))))))))))</f>
        <v/>
      </c>
      <c r="Y1277" s="67">
        <f>IF(OR(T1277=1,X1277&lt;&gt;""),"",IF(AND(B1277&lt;&gt;"",COUNTIF(tx_ID,B1277)&gt;1),"Duplicate transaction ID",IF(AND(L1277&lt;0,D1277&lt;&gt;"Adjustment"),"Negative amount — check this entry",IF(AND(D1277="Customer Payment",G1277=""),"Add the customer",IF(AND(D1277="Customer Payment",OR(J1277="",COUNTIF(ar_No,J1277&amp;"")=0)),"Invoice # in Reference not found on AR sheet",IF(AND(D1277="Bill Payment",H1277=""),"Add the vendor",IF(AND(D1277="Bill Payment",OR(J1277="",COUNTIFS(ap_No,J1277&amp;"",ap_Party,H1277&amp;"")=0)),"Bill # + vendor not found on AP sheet",IF(AND(ISNUMBER(M1277),N(M1277)&lt;&gt;0,W1277=0),"Tax ignored (tax tracking off, or not allowed for this type)",IF(V1277=K1277&amp;"","Same account on both sides",IF(AND(ISNUMBER(StartDate),C1277&lt;StartDate),"Date is before the accounting start date",IF(AND(D1277&lt;&gt;"Adjustment",IFERROR(INDEX(coa_Pay,MATCH(K1277&amp;"",coa_Name,0)),"")&lt;&gt;"Yes"),"Paid From / Deposited To is not a payment account","")))))))))))</f>
        <v/>
      </c>
      <c r="Z1277" s="67">
        <f>IF(AND(T1277=0,X1277=""),1,0)</f>
        <v/>
      </c>
      <c r="AA1277" s="68">
        <f>IF(Z1277=1,IF(U1277="In",L1277,L1277-W1277),0)</f>
        <v/>
      </c>
      <c r="AB1277" s="68">
        <f>IF(Z1277=1,IF(U1277="In",L1277-W1277,L1277),0)</f>
        <v/>
      </c>
      <c r="AC1277" s="68">
        <f>IF(AND(Z1277=1,U1277="Out"),W1277,0)</f>
        <v/>
      </c>
      <c r="AD1277" s="68">
        <f>IF(AND(Z1277=1,U1277="In"),W1277,0)</f>
        <v/>
      </c>
    </row>
    <row r="1278">
      <c r="B1278" s="62" t="inlineStr">
        <is>
          <t>TX-1272</t>
        </is>
      </c>
      <c r="C1278" s="63" t="n"/>
      <c r="D1278" s="62" t="n"/>
      <c r="E1278" s="62" t="n"/>
      <c r="F1278" s="62" t="n"/>
      <c r="G1278" s="62" t="n"/>
      <c r="H1278" s="62" t="n"/>
      <c r="I1278" s="62" t="n"/>
      <c r="J1278" s="62" t="n"/>
      <c r="K1278" s="62" t="n"/>
      <c r="L1278" s="64" t="n"/>
      <c r="M1278" s="64" t="n"/>
      <c r="N1278" s="62" t="n"/>
      <c r="O1278" s="65">
        <f>IF(Z1278=1,L1278-W1278,"")</f>
        <v/>
      </c>
      <c r="P1278" s="66">
        <f>IF(V1278="","",IFERROR(INDEX(coa_Type,MATCH(V1278,coa_Name,0)),""))</f>
        <v/>
      </c>
      <c r="Q1278" s="66">
        <f>IF(Z1278=1,IF(U1278="In",K1278&amp;"",V1278),"")</f>
        <v/>
      </c>
      <c r="R1278" s="66">
        <f>IF(Z1278=1,IF(U1278="In",V1278,K1278&amp;""),"")</f>
        <v/>
      </c>
      <c r="S1278" s="66">
        <f>IF(X1278&lt;&gt;"","⛔ "&amp;X1278&amp;" — not posted",IF(Y1278&lt;&gt;"","⚠ "&amp;Y1278,IF(Z1278=1,"✓ OK","")))</f>
        <v/>
      </c>
      <c r="T1278" s="67">
        <f>IF(AND(C1278="",D1278="",E1278="",L1278="",K1278=""),1,0)</f>
        <v/>
      </c>
      <c r="U1278" s="67">
        <f>IFERROR(INDEX(tt_Dir,MATCH(D1278,tt_Type,0)),"")</f>
        <v/>
      </c>
      <c r="V1278" s="67">
        <f>IF(D1278="","",IFERROR(IF(INDEX(tt_Other,MATCH(D1278,tt_Type,0))="",E1278&amp;"",INDEX(tt_Other,MATCH(D1278,tt_Type,0))),""))</f>
        <v/>
      </c>
      <c r="W1278" s="68">
        <f>IF(OR(TaxOn&lt;&gt;"Yes",NOT(ISNUMBER(M1278))),0,IF(IFERROR(INDEX(tt_Tax,MATCH(D1278,tt_Type,0)),"No")="Yes",M1278,0))</f>
        <v/>
      </c>
      <c r="X1278" s="67">
        <f>IF(T1278=1,"",IF(C1278="","Missing transaction date",IF(NOT(ISNUMBER(C1278)),"Invalid date",IF(OR(C1278&lt;DATE(2000,1,1),C1278&gt;DATE(2099,12,31)),"Invalid date",IF(D1278="","Select a type",IF(U1278="","Unknown type: "&amp;D1278,IF(V1278="","Select an account (Category)",IF(ISNA(MATCH(V1278,coa_Name,0)),"Unknown account: "&amp;V1278,IF(K1278="","Select Paid From / Deposited To",IF(ISNA(MATCH(K1278,coa_Name,0)),"Unknown account: "&amp;K1278,IF(NOT(ISNUMBER(L1278)),"Enter an amount",IF(L1278=0,"Enter an amount",IF(ABS(W1278)&gt;ABS(L1278),"Tax is larger than the amount","")))))))))))))</f>
        <v/>
      </c>
      <c r="Y1278" s="67">
        <f>IF(OR(T1278=1,X1278&lt;&gt;""),"",IF(AND(B1278&lt;&gt;"",COUNTIF(tx_ID,B1278)&gt;1),"Duplicate transaction ID",IF(AND(L1278&lt;0,D1278&lt;&gt;"Adjustment"),"Negative amount — check this entry",IF(AND(D1278="Customer Payment",G1278=""),"Add the customer",IF(AND(D1278="Customer Payment",OR(J1278="",COUNTIF(ar_No,J1278&amp;"")=0)),"Invoice # in Reference not found on AR sheet",IF(AND(D1278="Bill Payment",H1278=""),"Add the vendor",IF(AND(D1278="Bill Payment",OR(J1278="",COUNTIFS(ap_No,J1278&amp;"",ap_Party,H1278&amp;"")=0)),"Bill # + vendor not found on AP sheet",IF(AND(ISNUMBER(M1278),N(M1278)&lt;&gt;0,W1278=0),"Tax ignored (tax tracking off, or not allowed for this type)",IF(V1278=K1278&amp;"","Same account on both sides",IF(AND(ISNUMBER(StartDate),C1278&lt;StartDate),"Date is before the accounting start date",IF(AND(D1278&lt;&gt;"Adjustment",IFERROR(INDEX(coa_Pay,MATCH(K1278&amp;"",coa_Name,0)),"")&lt;&gt;"Yes"),"Paid From / Deposited To is not a payment account","")))))))))))</f>
        <v/>
      </c>
      <c r="Z1278" s="67">
        <f>IF(AND(T1278=0,X1278=""),1,0)</f>
        <v/>
      </c>
      <c r="AA1278" s="68">
        <f>IF(Z1278=1,IF(U1278="In",L1278,L1278-W1278),0)</f>
        <v/>
      </c>
      <c r="AB1278" s="68">
        <f>IF(Z1278=1,IF(U1278="In",L1278-W1278,L1278),0)</f>
        <v/>
      </c>
      <c r="AC1278" s="68">
        <f>IF(AND(Z1278=1,U1278="Out"),W1278,0)</f>
        <v/>
      </c>
      <c r="AD1278" s="68">
        <f>IF(AND(Z1278=1,U1278="In"),W1278,0)</f>
        <v/>
      </c>
    </row>
    <row r="1279">
      <c r="B1279" s="62" t="inlineStr">
        <is>
          <t>TX-1273</t>
        </is>
      </c>
      <c r="C1279" s="63" t="n"/>
      <c r="D1279" s="62" t="n"/>
      <c r="E1279" s="62" t="n"/>
      <c r="F1279" s="62" t="n"/>
      <c r="G1279" s="62" t="n"/>
      <c r="H1279" s="62" t="n"/>
      <c r="I1279" s="62" t="n"/>
      <c r="J1279" s="62" t="n"/>
      <c r="K1279" s="62" t="n"/>
      <c r="L1279" s="64" t="n"/>
      <c r="M1279" s="64" t="n"/>
      <c r="N1279" s="62" t="n"/>
      <c r="O1279" s="65">
        <f>IF(Z1279=1,L1279-W1279,"")</f>
        <v/>
      </c>
      <c r="P1279" s="66">
        <f>IF(V1279="","",IFERROR(INDEX(coa_Type,MATCH(V1279,coa_Name,0)),""))</f>
        <v/>
      </c>
      <c r="Q1279" s="66">
        <f>IF(Z1279=1,IF(U1279="In",K1279&amp;"",V1279),"")</f>
        <v/>
      </c>
      <c r="R1279" s="66">
        <f>IF(Z1279=1,IF(U1279="In",V1279,K1279&amp;""),"")</f>
        <v/>
      </c>
      <c r="S1279" s="66">
        <f>IF(X1279&lt;&gt;"","⛔ "&amp;X1279&amp;" — not posted",IF(Y1279&lt;&gt;"","⚠ "&amp;Y1279,IF(Z1279=1,"✓ OK","")))</f>
        <v/>
      </c>
      <c r="T1279" s="67">
        <f>IF(AND(C1279="",D1279="",E1279="",L1279="",K1279=""),1,0)</f>
        <v/>
      </c>
      <c r="U1279" s="67">
        <f>IFERROR(INDEX(tt_Dir,MATCH(D1279,tt_Type,0)),"")</f>
        <v/>
      </c>
      <c r="V1279" s="67">
        <f>IF(D1279="","",IFERROR(IF(INDEX(tt_Other,MATCH(D1279,tt_Type,0))="",E1279&amp;"",INDEX(tt_Other,MATCH(D1279,tt_Type,0))),""))</f>
        <v/>
      </c>
      <c r="W1279" s="68">
        <f>IF(OR(TaxOn&lt;&gt;"Yes",NOT(ISNUMBER(M1279))),0,IF(IFERROR(INDEX(tt_Tax,MATCH(D1279,tt_Type,0)),"No")="Yes",M1279,0))</f>
        <v/>
      </c>
      <c r="X1279" s="67">
        <f>IF(T1279=1,"",IF(C1279="","Missing transaction date",IF(NOT(ISNUMBER(C1279)),"Invalid date",IF(OR(C1279&lt;DATE(2000,1,1),C1279&gt;DATE(2099,12,31)),"Invalid date",IF(D1279="","Select a type",IF(U1279="","Unknown type: "&amp;D1279,IF(V1279="","Select an account (Category)",IF(ISNA(MATCH(V1279,coa_Name,0)),"Unknown account: "&amp;V1279,IF(K1279="","Select Paid From / Deposited To",IF(ISNA(MATCH(K1279,coa_Name,0)),"Unknown account: "&amp;K1279,IF(NOT(ISNUMBER(L1279)),"Enter an amount",IF(L1279=0,"Enter an amount",IF(ABS(W1279)&gt;ABS(L1279),"Tax is larger than the amount","")))))))))))))</f>
        <v/>
      </c>
      <c r="Y1279" s="67">
        <f>IF(OR(T1279=1,X1279&lt;&gt;""),"",IF(AND(B1279&lt;&gt;"",COUNTIF(tx_ID,B1279)&gt;1),"Duplicate transaction ID",IF(AND(L1279&lt;0,D1279&lt;&gt;"Adjustment"),"Negative amount — check this entry",IF(AND(D1279="Customer Payment",G1279=""),"Add the customer",IF(AND(D1279="Customer Payment",OR(J1279="",COUNTIF(ar_No,J1279&amp;"")=0)),"Invoice # in Reference not found on AR sheet",IF(AND(D1279="Bill Payment",H1279=""),"Add the vendor",IF(AND(D1279="Bill Payment",OR(J1279="",COUNTIFS(ap_No,J1279&amp;"",ap_Party,H1279&amp;"")=0)),"Bill # + vendor not found on AP sheet",IF(AND(ISNUMBER(M1279),N(M1279)&lt;&gt;0,W1279=0),"Tax ignored (tax tracking off, or not allowed for this type)",IF(V1279=K1279&amp;"","Same account on both sides",IF(AND(ISNUMBER(StartDate),C1279&lt;StartDate),"Date is before the accounting start date",IF(AND(D1279&lt;&gt;"Adjustment",IFERROR(INDEX(coa_Pay,MATCH(K1279&amp;"",coa_Name,0)),"")&lt;&gt;"Yes"),"Paid From / Deposited To is not a payment account","")))))))))))</f>
        <v/>
      </c>
      <c r="Z1279" s="67">
        <f>IF(AND(T1279=0,X1279=""),1,0)</f>
        <v/>
      </c>
      <c r="AA1279" s="68">
        <f>IF(Z1279=1,IF(U1279="In",L1279,L1279-W1279),0)</f>
        <v/>
      </c>
      <c r="AB1279" s="68">
        <f>IF(Z1279=1,IF(U1279="In",L1279-W1279,L1279),0)</f>
        <v/>
      </c>
      <c r="AC1279" s="68">
        <f>IF(AND(Z1279=1,U1279="Out"),W1279,0)</f>
        <v/>
      </c>
      <c r="AD1279" s="68">
        <f>IF(AND(Z1279=1,U1279="In"),W1279,0)</f>
        <v/>
      </c>
    </row>
    <row r="1280">
      <c r="B1280" s="62" t="inlineStr">
        <is>
          <t>TX-1274</t>
        </is>
      </c>
      <c r="C1280" s="63" t="n"/>
      <c r="D1280" s="62" t="n"/>
      <c r="E1280" s="62" t="n"/>
      <c r="F1280" s="62" t="n"/>
      <c r="G1280" s="62" t="n"/>
      <c r="H1280" s="62" t="n"/>
      <c r="I1280" s="62" t="n"/>
      <c r="J1280" s="62" t="n"/>
      <c r="K1280" s="62" t="n"/>
      <c r="L1280" s="64" t="n"/>
      <c r="M1280" s="64" t="n"/>
      <c r="N1280" s="62" t="n"/>
      <c r="O1280" s="65">
        <f>IF(Z1280=1,L1280-W1280,"")</f>
        <v/>
      </c>
      <c r="P1280" s="66">
        <f>IF(V1280="","",IFERROR(INDEX(coa_Type,MATCH(V1280,coa_Name,0)),""))</f>
        <v/>
      </c>
      <c r="Q1280" s="66">
        <f>IF(Z1280=1,IF(U1280="In",K1280&amp;"",V1280),"")</f>
        <v/>
      </c>
      <c r="R1280" s="66">
        <f>IF(Z1280=1,IF(U1280="In",V1280,K1280&amp;""),"")</f>
        <v/>
      </c>
      <c r="S1280" s="66">
        <f>IF(X1280&lt;&gt;"","⛔ "&amp;X1280&amp;" — not posted",IF(Y1280&lt;&gt;"","⚠ "&amp;Y1280,IF(Z1280=1,"✓ OK","")))</f>
        <v/>
      </c>
      <c r="T1280" s="67">
        <f>IF(AND(C1280="",D1280="",E1280="",L1280="",K1280=""),1,0)</f>
        <v/>
      </c>
      <c r="U1280" s="67">
        <f>IFERROR(INDEX(tt_Dir,MATCH(D1280,tt_Type,0)),"")</f>
        <v/>
      </c>
      <c r="V1280" s="67">
        <f>IF(D1280="","",IFERROR(IF(INDEX(tt_Other,MATCH(D1280,tt_Type,0))="",E1280&amp;"",INDEX(tt_Other,MATCH(D1280,tt_Type,0))),""))</f>
        <v/>
      </c>
      <c r="W1280" s="68">
        <f>IF(OR(TaxOn&lt;&gt;"Yes",NOT(ISNUMBER(M1280))),0,IF(IFERROR(INDEX(tt_Tax,MATCH(D1280,tt_Type,0)),"No")="Yes",M1280,0))</f>
        <v/>
      </c>
      <c r="X1280" s="67">
        <f>IF(T1280=1,"",IF(C1280="","Missing transaction date",IF(NOT(ISNUMBER(C1280)),"Invalid date",IF(OR(C1280&lt;DATE(2000,1,1),C1280&gt;DATE(2099,12,31)),"Invalid date",IF(D1280="","Select a type",IF(U1280="","Unknown type: "&amp;D1280,IF(V1280="","Select an account (Category)",IF(ISNA(MATCH(V1280,coa_Name,0)),"Unknown account: "&amp;V1280,IF(K1280="","Select Paid From / Deposited To",IF(ISNA(MATCH(K1280,coa_Name,0)),"Unknown account: "&amp;K1280,IF(NOT(ISNUMBER(L1280)),"Enter an amount",IF(L1280=0,"Enter an amount",IF(ABS(W1280)&gt;ABS(L1280),"Tax is larger than the amount","")))))))))))))</f>
        <v/>
      </c>
      <c r="Y1280" s="67">
        <f>IF(OR(T1280=1,X1280&lt;&gt;""),"",IF(AND(B1280&lt;&gt;"",COUNTIF(tx_ID,B1280)&gt;1),"Duplicate transaction ID",IF(AND(L1280&lt;0,D1280&lt;&gt;"Adjustment"),"Negative amount — check this entry",IF(AND(D1280="Customer Payment",G1280=""),"Add the customer",IF(AND(D1280="Customer Payment",OR(J1280="",COUNTIF(ar_No,J1280&amp;"")=0)),"Invoice # in Reference not found on AR sheet",IF(AND(D1280="Bill Payment",H1280=""),"Add the vendor",IF(AND(D1280="Bill Payment",OR(J1280="",COUNTIFS(ap_No,J1280&amp;"",ap_Party,H1280&amp;"")=0)),"Bill # + vendor not found on AP sheet",IF(AND(ISNUMBER(M1280),N(M1280)&lt;&gt;0,W1280=0),"Tax ignored (tax tracking off, or not allowed for this type)",IF(V1280=K1280&amp;"","Same account on both sides",IF(AND(ISNUMBER(StartDate),C1280&lt;StartDate),"Date is before the accounting start date",IF(AND(D1280&lt;&gt;"Adjustment",IFERROR(INDEX(coa_Pay,MATCH(K1280&amp;"",coa_Name,0)),"")&lt;&gt;"Yes"),"Paid From / Deposited To is not a payment account","")))))))))))</f>
        <v/>
      </c>
      <c r="Z1280" s="67">
        <f>IF(AND(T1280=0,X1280=""),1,0)</f>
        <v/>
      </c>
      <c r="AA1280" s="68">
        <f>IF(Z1280=1,IF(U1280="In",L1280,L1280-W1280),0)</f>
        <v/>
      </c>
      <c r="AB1280" s="68">
        <f>IF(Z1280=1,IF(U1280="In",L1280-W1280,L1280),0)</f>
        <v/>
      </c>
      <c r="AC1280" s="68">
        <f>IF(AND(Z1280=1,U1280="Out"),W1280,0)</f>
        <v/>
      </c>
      <c r="AD1280" s="68">
        <f>IF(AND(Z1280=1,U1280="In"),W1280,0)</f>
        <v/>
      </c>
    </row>
    <row r="1281">
      <c r="B1281" s="62" t="inlineStr">
        <is>
          <t>TX-1275</t>
        </is>
      </c>
      <c r="C1281" s="63" t="n"/>
      <c r="D1281" s="62" t="n"/>
      <c r="E1281" s="62" t="n"/>
      <c r="F1281" s="62" t="n"/>
      <c r="G1281" s="62" t="n"/>
      <c r="H1281" s="62" t="n"/>
      <c r="I1281" s="62" t="n"/>
      <c r="J1281" s="62" t="n"/>
      <c r="K1281" s="62" t="n"/>
      <c r="L1281" s="64" t="n"/>
      <c r="M1281" s="64" t="n"/>
      <c r="N1281" s="62" t="n"/>
      <c r="O1281" s="65">
        <f>IF(Z1281=1,L1281-W1281,"")</f>
        <v/>
      </c>
      <c r="P1281" s="66">
        <f>IF(V1281="","",IFERROR(INDEX(coa_Type,MATCH(V1281,coa_Name,0)),""))</f>
        <v/>
      </c>
      <c r="Q1281" s="66">
        <f>IF(Z1281=1,IF(U1281="In",K1281&amp;"",V1281),"")</f>
        <v/>
      </c>
      <c r="R1281" s="66">
        <f>IF(Z1281=1,IF(U1281="In",V1281,K1281&amp;""),"")</f>
        <v/>
      </c>
      <c r="S1281" s="66">
        <f>IF(X1281&lt;&gt;"","⛔ "&amp;X1281&amp;" — not posted",IF(Y1281&lt;&gt;"","⚠ "&amp;Y1281,IF(Z1281=1,"✓ OK","")))</f>
        <v/>
      </c>
      <c r="T1281" s="67">
        <f>IF(AND(C1281="",D1281="",E1281="",L1281="",K1281=""),1,0)</f>
        <v/>
      </c>
      <c r="U1281" s="67">
        <f>IFERROR(INDEX(tt_Dir,MATCH(D1281,tt_Type,0)),"")</f>
        <v/>
      </c>
      <c r="V1281" s="67">
        <f>IF(D1281="","",IFERROR(IF(INDEX(tt_Other,MATCH(D1281,tt_Type,0))="",E1281&amp;"",INDEX(tt_Other,MATCH(D1281,tt_Type,0))),""))</f>
        <v/>
      </c>
      <c r="W1281" s="68">
        <f>IF(OR(TaxOn&lt;&gt;"Yes",NOT(ISNUMBER(M1281))),0,IF(IFERROR(INDEX(tt_Tax,MATCH(D1281,tt_Type,0)),"No")="Yes",M1281,0))</f>
        <v/>
      </c>
      <c r="X1281" s="67">
        <f>IF(T1281=1,"",IF(C1281="","Missing transaction date",IF(NOT(ISNUMBER(C1281)),"Invalid date",IF(OR(C1281&lt;DATE(2000,1,1),C1281&gt;DATE(2099,12,31)),"Invalid date",IF(D1281="","Select a type",IF(U1281="","Unknown type: "&amp;D1281,IF(V1281="","Select an account (Category)",IF(ISNA(MATCH(V1281,coa_Name,0)),"Unknown account: "&amp;V1281,IF(K1281="","Select Paid From / Deposited To",IF(ISNA(MATCH(K1281,coa_Name,0)),"Unknown account: "&amp;K1281,IF(NOT(ISNUMBER(L1281)),"Enter an amount",IF(L1281=0,"Enter an amount",IF(ABS(W1281)&gt;ABS(L1281),"Tax is larger than the amount","")))))))))))))</f>
        <v/>
      </c>
      <c r="Y1281" s="67">
        <f>IF(OR(T1281=1,X1281&lt;&gt;""),"",IF(AND(B1281&lt;&gt;"",COUNTIF(tx_ID,B1281)&gt;1),"Duplicate transaction ID",IF(AND(L1281&lt;0,D1281&lt;&gt;"Adjustment"),"Negative amount — check this entry",IF(AND(D1281="Customer Payment",G1281=""),"Add the customer",IF(AND(D1281="Customer Payment",OR(J1281="",COUNTIF(ar_No,J1281&amp;"")=0)),"Invoice # in Reference not found on AR sheet",IF(AND(D1281="Bill Payment",H1281=""),"Add the vendor",IF(AND(D1281="Bill Payment",OR(J1281="",COUNTIFS(ap_No,J1281&amp;"",ap_Party,H1281&amp;"")=0)),"Bill # + vendor not found on AP sheet",IF(AND(ISNUMBER(M1281),N(M1281)&lt;&gt;0,W1281=0),"Tax ignored (tax tracking off, or not allowed for this type)",IF(V1281=K1281&amp;"","Same account on both sides",IF(AND(ISNUMBER(StartDate),C1281&lt;StartDate),"Date is before the accounting start date",IF(AND(D1281&lt;&gt;"Adjustment",IFERROR(INDEX(coa_Pay,MATCH(K1281&amp;"",coa_Name,0)),"")&lt;&gt;"Yes"),"Paid From / Deposited To is not a payment account","")))))))))))</f>
        <v/>
      </c>
      <c r="Z1281" s="67">
        <f>IF(AND(T1281=0,X1281=""),1,0)</f>
        <v/>
      </c>
      <c r="AA1281" s="68">
        <f>IF(Z1281=1,IF(U1281="In",L1281,L1281-W1281),0)</f>
        <v/>
      </c>
      <c r="AB1281" s="68">
        <f>IF(Z1281=1,IF(U1281="In",L1281-W1281,L1281),0)</f>
        <v/>
      </c>
      <c r="AC1281" s="68">
        <f>IF(AND(Z1281=1,U1281="Out"),W1281,0)</f>
        <v/>
      </c>
      <c r="AD1281" s="68">
        <f>IF(AND(Z1281=1,U1281="In"),W1281,0)</f>
        <v/>
      </c>
    </row>
    <row r="1282">
      <c r="B1282" s="62" t="inlineStr">
        <is>
          <t>TX-1276</t>
        </is>
      </c>
      <c r="C1282" s="63" t="n"/>
      <c r="D1282" s="62" t="n"/>
      <c r="E1282" s="62" t="n"/>
      <c r="F1282" s="62" t="n"/>
      <c r="G1282" s="62" t="n"/>
      <c r="H1282" s="62" t="n"/>
      <c r="I1282" s="62" t="n"/>
      <c r="J1282" s="62" t="n"/>
      <c r="K1282" s="62" t="n"/>
      <c r="L1282" s="64" t="n"/>
      <c r="M1282" s="64" t="n"/>
      <c r="N1282" s="62" t="n"/>
      <c r="O1282" s="65">
        <f>IF(Z1282=1,L1282-W1282,"")</f>
        <v/>
      </c>
      <c r="P1282" s="66">
        <f>IF(V1282="","",IFERROR(INDEX(coa_Type,MATCH(V1282,coa_Name,0)),""))</f>
        <v/>
      </c>
      <c r="Q1282" s="66">
        <f>IF(Z1282=1,IF(U1282="In",K1282&amp;"",V1282),"")</f>
        <v/>
      </c>
      <c r="R1282" s="66">
        <f>IF(Z1282=1,IF(U1282="In",V1282,K1282&amp;""),"")</f>
        <v/>
      </c>
      <c r="S1282" s="66">
        <f>IF(X1282&lt;&gt;"","⛔ "&amp;X1282&amp;" — not posted",IF(Y1282&lt;&gt;"","⚠ "&amp;Y1282,IF(Z1282=1,"✓ OK","")))</f>
        <v/>
      </c>
      <c r="T1282" s="67">
        <f>IF(AND(C1282="",D1282="",E1282="",L1282="",K1282=""),1,0)</f>
        <v/>
      </c>
      <c r="U1282" s="67">
        <f>IFERROR(INDEX(tt_Dir,MATCH(D1282,tt_Type,0)),"")</f>
        <v/>
      </c>
      <c r="V1282" s="67">
        <f>IF(D1282="","",IFERROR(IF(INDEX(tt_Other,MATCH(D1282,tt_Type,0))="",E1282&amp;"",INDEX(tt_Other,MATCH(D1282,tt_Type,0))),""))</f>
        <v/>
      </c>
      <c r="W1282" s="68">
        <f>IF(OR(TaxOn&lt;&gt;"Yes",NOT(ISNUMBER(M1282))),0,IF(IFERROR(INDEX(tt_Tax,MATCH(D1282,tt_Type,0)),"No")="Yes",M1282,0))</f>
        <v/>
      </c>
      <c r="X1282" s="67">
        <f>IF(T1282=1,"",IF(C1282="","Missing transaction date",IF(NOT(ISNUMBER(C1282)),"Invalid date",IF(OR(C1282&lt;DATE(2000,1,1),C1282&gt;DATE(2099,12,31)),"Invalid date",IF(D1282="","Select a type",IF(U1282="","Unknown type: "&amp;D1282,IF(V1282="","Select an account (Category)",IF(ISNA(MATCH(V1282,coa_Name,0)),"Unknown account: "&amp;V1282,IF(K1282="","Select Paid From / Deposited To",IF(ISNA(MATCH(K1282,coa_Name,0)),"Unknown account: "&amp;K1282,IF(NOT(ISNUMBER(L1282)),"Enter an amount",IF(L1282=0,"Enter an amount",IF(ABS(W1282)&gt;ABS(L1282),"Tax is larger than the amount","")))))))))))))</f>
        <v/>
      </c>
      <c r="Y1282" s="67">
        <f>IF(OR(T1282=1,X1282&lt;&gt;""),"",IF(AND(B1282&lt;&gt;"",COUNTIF(tx_ID,B1282)&gt;1),"Duplicate transaction ID",IF(AND(L1282&lt;0,D1282&lt;&gt;"Adjustment"),"Negative amount — check this entry",IF(AND(D1282="Customer Payment",G1282=""),"Add the customer",IF(AND(D1282="Customer Payment",OR(J1282="",COUNTIF(ar_No,J1282&amp;"")=0)),"Invoice # in Reference not found on AR sheet",IF(AND(D1282="Bill Payment",H1282=""),"Add the vendor",IF(AND(D1282="Bill Payment",OR(J1282="",COUNTIFS(ap_No,J1282&amp;"",ap_Party,H1282&amp;"")=0)),"Bill # + vendor not found on AP sheet",IF(AND(ISNUMBER(M1282),N(M1282)&lt;&gt;0,W1282=0),"Tax ignored (tax tracking off, or not allowed for this type)",IF(V1282=K1282&amp;"","Same account on both sides",IF(AND(ISNUMBER(StartDate),C1282&lt;StartDate),"Date is before the accounting start date",IF(AND(D1282&lt;&gt;"Adjustment",IFERROR(INDEX(coa_Pay,MATCH(K1282&amp;"",coa_Name,0)),"")&lt;&gt;"Yes"),"Paid From / Deposited To is not a payment account","")))))))))))</f>
        <v/>
      </c>
      <c r="Z1282" s="67">
        <f>IF(AND(T1282=0,X1282=""),1,0)</f>
        <v/>
      </c>
      <c r="AA1282" s="68">
        <f>IF(Z1282=1,IF(U1282="In",L1282,L1282-W1282),0)</f>
        <v/>
      </c>
      <c r="AB1282" s="68">
        <f>IF(Z1282=1,IF(U1282="In",L1282-W1282,L1282),0)</f>
        <v/>
      </c>
      <c r="AC1282" s="68">
        <f>IF(AND(Z1282=1,U1282="Out"),W1282,0)</f>
        <v/>
      </c>
      <c r="AD1282" s="68">
        <f>IF(AND(Z1282=1,U1282="In"),W1282,0)</f>
        <v/>
      </c>
    </row>
    <row r="1283">
      <c r="B1283" s="62" t="inlineStr">
        <is>
          <t>TX-1277</t>
        </is>
      </c>
      <c r="C1283" s="63" t="n"/>
      <c r="D1283" s="62" t="n"/>
      <c r="E1283" s="62" t="n"/>
      <c r="F1283" s="62" t="n"/>
      <c r="G1283" s="62" t="n"/>
      <c r="H1283" s="62" t="n"/>
      <c r="I1283" s="62" t="n"/>
      <c r="J1283" s="62" t="n"/>
      <c r="K1283" s="62" t="n"/>
      <c r="L1283" s="64" t="n"/>
      <c r="M1283" s="64" t="n"/>
      <c r="N1283" s="62" t="n"/>
      <c r="O1283" s="65">
        <f>IF(Z1283=1,L1283-W1283,"")</f>
        <v/>
      </c>
      <c r="P1283" s="66">
        <f>IF(V1283="","",IFERROR(INDEX(coa_Type,MATCH(V1283,coa_Name,0)),""))</f>
        <v/>
      </c>
      <c r="Q1283" s="66">
        <f>IF(Z1283=1,IF(U1283="In",K1283&amp;"",V1283),"")</f>
        <v/>
      </c>
      <c r="R1283" s="66">
        <f>IF(Z1283=1,IF(U1283="In",V1283,K1283&amp;""),"")</f>
        <v/>
      </c>
      <c r="S1283" s="66">
        <f>IF(X1283&lt;&gt;"","⛔ "&amp;X1283&amp;" — not posted",IF(Y1283&lt;&gt;"","⚠ "&amp;Y1283,IF(Z1283=1,"✓ OK","")))</f>
        <v/>
      </c>
      <c r="T1283" s="67">
        <f>IF(AND(C1283="",D1283="",E1283="",L1283="",K1283=""),1,0)</f>
        <v/>
      </c>
      <c r="U1283" s="67">
        <f>IFERROR(INDEX(tt_Dir,MATCH(D1283,tt_Type,0)),"")</f>
        <v/>
      </c>
      <c r="V1283" s="67">
        <f>IF(D1283="","",IFERROR(IF(INDEX(tt_Other,MATCH(D1283,tt_Type,0))="",E1283&amp;"",INDEX(tt_Other,MATCH(D1283,tt_Type,0))),""))</f>
        <v/>
      </c>
      <c r="W1283" s="68">
        <f>IF(OR(TaxOn&lt;&gt;"Yes",NOT(ISNUMBER(M1283))),0,IF(IFERROR(INDEX(tt_Tax,MATCH(D1283,tt_Type,0)),"No")="Yes",M1283,0))</f>
        <v/>
      </c>
      <c r="X1283" s="67">
        <f>IF(T1283=1,"",IF(C1283="","Missing transaction date",IF(NOT(ISNUMBER(C1283)),"Invalid date",IF(OR(C1283&lt;DATE(2000,1,1),C1283&gt;DATE(2099,12,31)),"Invalid date",IF(D1283="","Select a type",IF(U1283="","Unknown type: "&amp;D1283,IF(V1283="","Select an account (Category)",IF(ISNA(MATCH(V1283,coa_Name,0)),"Unknown account: "&amp;V1283,IF(K1283="","Select Paid From / Deposited To",IF(ISNA(MATCH(K1283,coa_Name,0)),"Unknown account: "&amp;K1283,IF(NOT(ISNUMBER(L1283)),"Enter an amount",IF(L1283=0,"Enter an amount",IF(ABS(W1283)&gt;ABS(L1283),"Tax is larger than the amount","")))))))))))))</f>
        <v/>
      </c>
      <c r="Y1283" s="67">
        <f>IF(OR(T1283=1,X1283&lt;&gt;""),"",IF(AND(B1283&lt;&gt;"",COUNTIF(tx_ID,B1283)&gt;1),"Duplicate transaction ID",IF(AND(L1283&lt;0,D1283&lt;&gt;"Adjustment"),"Negative amount — check this entry",IF(AND(D1283="Customer Payment",G1283=""),"Add the customer",IF(AND(D1283="Customer Payment",OR(J1283="",COUNTIF(ar_No,J1283&amp;"")=0)),"Invoice # in Reference not found on AR sheet",IF(AND(D1283="Bill Payment",H1283=""),"Add the vendor",IF(AND(D1283="Bill Payment",OR(J1283="",COUNTIFS(ap_No,J1283&amp;"",ap_Party,H1283&amp;"")=0)),"Bill # + vendor not found on AP sheet",IF(AND(ISNUMBER(M1283),N(M1283)&lt;&gt;0,W1283=0),"Tax ignored (tax tracking off, or not allowed for this type)",IF(V1283=K1283&amp;"","Same account on both sides",IF(AND(ISNUMBER(StartDate),C1283&lt;StartDate),"Date is before the accounting start date",IF(AND(D1283&lt;&gt;"Adjustment",IFERROR(INDEX(coa_Pay,MATCH(K1283&amp;"",coa_Name,0)),"")&lt;&gt;"Yes"),"Paid From / Deposited To is not a payment account","")))))))))))</f>
        <v/>
      </c>
      <c r="Z1283" s="67">
        <f>IF(AND(T1283=0,X1283=""),1,0)</f>
        <v/>
      </c>
      <c r="AA1283" s="68">
        <f>IF(Z1283=1,IF(U1283="In",L1283,L1283-W1283),0)</f>
        <v/>
      </c>
      <c r="AB1283" s="68">
        <f>IF(Z1283=1,IF(U1283="In",L1283-W1283,L1283),0)</f>
        <v/>
      </c>
      <c r="AC1283" s="68">
        <f>IF(AND(Z1283=1,U1283="Out"),W1283,0)</f>
        <v/>
      </c>
      <c r="AD1283" s="68">
        <f>IF(AND(Z1283=1,U1283="In"),W1283,0)</f>
        <v/>
      </c>
    </row>
    <row r="1284">
      <c r="B1284" s="62" t="inlineStr">
        <is>
          <t>TX-1278</t>
        </is>
      </c>
      <c r="C1284" s="63" t="n"/>
      <c r="D1284" s="62" t="n"/>
      <c r="E1284" s="62" t="n"/>
      <c r="F1284" s="62" t="n"/>
      <c r="G1284" s="62" t="n"/>
      <c r="H1284" s="62" t="n"/>
      <c r="I1284" s="62" t="n"/>
      <c r="J1284" s="62" t="n"/>
      <c r="K1284" s="62" t="n"/>
      <c r="L1284" s="64" t="n"/>
      <c r="M1284" s="64" t="n"/>
      <c r="N1284" s="62" t="n"/>
      <c r="O1284" s="65">
        <f>IF(Z1284=1,L1284-W1284,"")</f>
        <v/>
      </c>
      <c r="P1284" s="66">
        <f>IF(V1284="","",IFERROR(INDEX(coa_Type,MATCH(V1284,coa_Name,0)),""))</f>
        <v/>
      </c>
      <c r="Q1284" s="66">
        <f>IF(Z1284=1,IF(U1284="In",K1284&amp;"",V1284),"")</f>
        <v/>
      </c>
      <c r="R1284" s="66">
        <f>IF(Z1284=1,IF(U1284="In",V1284,K1284&amp;""),"")</f>
        <v/>
      </c>
      <c r="S1284" s="66">
        <f>IF(X1284&lt;&gt;"","⛔ "&amp;X1284&amp;" — not posted",IF(Y1284&lt;&gt;"","⚠ "&amp;Y1284,IF(Z1284=1,"✓ OK","")))</f>
        <v/>
      </c>
      <c r="T1284" s="67">
        <f>IF(AND(C1284="",D1284="",E1284="",L1284="",K1284=""),1,0)</f>
        <v/>
      </c>
      <c r="U1284" s="67">
        <f>IFERROR(INDEX(tt_Dir,MATCH(D1284,tt_Type,0)),"")</f>
        <v/>
      </c>
      <c r="V1284" s="67">
        <f>IF(D1284="","",IFERROR(IF(INDEX(tt_Other,MATCH(D1284,tt_Type,0))="",E1284&amp;"",INDEX(tt_Other,MATCH(D1284,tt_Type,0))),""))</f>
        <v/>
      </c>
      <c r="W1284" s="68">
        <f>IF(OR(TaxOn&lt;&gt;"Yes",NOT(ISNUMBER(M1284))),0,IF(IFERROR(INDEX(tt_Tax,MATCH(D1284,tt_Type,0)),"No")="Yes",M1284,0))</f>
        <v/>
      </c>
      <c r="X1284" s="67">
        <f>IF(T1284=1,"",IF(C1284="","Missing transaction date",IF(NOT(ISNUMBER(C1284)),"Invalid date",IF(OR(C1284&lt;DATE(2000,1,1),C1284&gt;DATE(2099,12,31)),"Invalid date",IF(D1284="","Select a type",IF(U1284="","Unknown type: "&amp;D1284,IF(V1284="","Select an account (Category)",IF(ISNA(MATCH(V1284,coa_Name,0)),"Unknown account: "&amp;V1284,IF(K1284="","Select Paid From / Deposited To",IF(ISNA(MATCH(K1284,coa_Name,0)),"Unknown account: "&amp;K1284,IF(NOT(ISNUMBER(L1284)),"Enter an amount",IF(L1284=0,"Enter an amount",IF(ABS(W1284)&gt;ABS(L1284),"Tax is larger than the amount","")))))))))))))</f>
        <v/>
      </c>
      <c r="Y1284" s="67">
        <f>IF(OR(T1284=1,X1284&lt;&gt;""),"",IF(AND(B1284&lt;&gt;"",COUNTIF(tx_ID,B1284)&gt;1),"Duplicate transaction ID",IF(AND(L1284&lt;0,D1284&lt;&gt;"Adjustment"),"Negative amount — check this entry",IF(AND(D1284="Customer Payment",G1284=""),"Add the customer",IF(AND(D1284="Customer Payment",OR(J1284="",COUNTIF(ar_No,J1284&amp;"")=0)),"Invoice # in Reference not found on AR sheet",IF(AND(D1284="Bill Payment",H1284=""),"Add the vendor",IF(AND(D1284="Bill Payment",OR(J1284="",COUNTIFS(ap_No,J1284&amp;"",ap_Party,H1284&amp;"")=0)),"Bill # + vendor not found on AP sheet",IF(AND(ISNUMBER(M1284),N(M1284)&lt;&gt;0,W1284=0),"Tax ignored (tax tracking off, or not allowed for this type)",IF(V1284=K1284&amp;"","Same account on both sides",IF(AND(ISNUMBER(StartDate),C1284&lt;StartDate),"Date is before the accounting start date",IF(AND(D1284&lt;&gt;"Adjustment",IFERROR(INDEX(coa_Pay,MATCH(K1284&amp;"",coa_Name,0)),"")&lt;&gt;"Yes"),"Paid From / Deposited To is not a payment account","")))))))))))</f>
        <v/>
      </c>
      <c r="Z1284" s="67">
        <f>IF(AND(T1284=0,X1284=""),1,0)</f>
        <v/>
      </c>
      <c r="AA1284" s="68">
        <f>IF(Z1284=1,IF(U1284="In",L1284,L1284-W1284),0)</f>
        <v/>
      </c>
      <c r="AB1284" s="68">
        <f>IF(Z1284=1,IF(U1284="In",L1284-W1284,L1284),0)</f>
        <v/>
      </c>
      <c r="AC1284" s="68">
        <f>IF(AND(Z1284=1,U1284="Out"),W1284,0)</f>
        <v/>
      </c>
      <c r="AD1284" s="68">
        <f>IF(AND(Z1284=1,U1284="In"),W1284,0)</f>
        <v/>
      </c>
    </row>
    <row r="1285">
      <c r="B1285" s="62" t="inlineStr">
        <is>
          <t>TX-1279</t>
        </is>
      </c>
      <c r="C1285" s="63" t="n"/>
      <c r="D1285" s="62" t="n"/>
      <c r="E1285" s="62" t="n"/>
      <c r="F1285" s="62" t="n"/>
      <c r="G1285" s="62" t="n"/>
      <c r="H1285" s="62" t="n"/>
      <c r="I1285" s="62" t="n"/>
      <c r="J1285" s="62" t="n"/>
      <c r="K1285" s="62" t="n"/>
      <c r="L1285" s="64" t="n"/>
      <c r="M1285" s="64" t="n"/>
      <c r="N1285" s="62" t="n"/>
      <c r="O1285" s="65">
        <f>IF(Z1285=1,L1285-W1285,"")</f>
        <v/>
      </c>
      <c r="P1285" s="66">
        <f>IF(V1285="","",IFERROR(INDEX(coa_Type,MATCH(V1285,coa_Name,0)),""))</f>
        <v/>
      </c>
      <c r="Q1285" s="66">
        <f>IF(Z1285=1,IF(U1285="In",K1285&amp;"",V1285),"")</f>
        <v/>
      </c>
      <c r="R1285" s="66">
        <f>IF(Z1285=1,IF(U1285="In",V1285,K1285&amp;""),"")</f>
        <v/>
      </c>
      <c r="S1285" s="66">
        <f>IF(X1285&lt;&gt;"","⛔ "&amp;X1285&amp;" — not posted",IF(Y1285&lt;&gt;"","⚠ "&amp;Y1285,IF(Z1285=1,"✓ OK","")))</f>
        <v/>
      </c>
      <c r="T1285" s="67">
        <f>IF(AND(C1285="",D1285="",E1285="",L1285="",K1285=""),1,0)</f>
        <v/>
      </c>
      <c r="U1285" s="67">
        <f>IFERROR(INDEX(tt_Dir,MATCH(D1285,tt_Type,0)),"")</f>
        <v/>
      </c>
      <c r="V1285" s="67">
        <f>IF(D1285="","",IFERROR(IF(INDEX(tt_Other,MATCH(D1285,tt_Type,0))="",E1285&amp;"",INDEX(tt_Other,MATCH(D1285,tt_Type,0))),""))</f>
        <v/>
      </c>
      <c r="W1285" s="68">
        <f>IF(OR(TaxOn&lt;&gt;"Yes",NOT(ISNUMBER(M1285))),0,IF(IFERROR(INDEX(tt_Tax,MATCH(D1285,tt_Type,0)),"No")="Yes",M1285,0))</f>
        <v/>
      </c>
      <c r="X1285" s="67">
        <f>IF(T1285=1,"",IF(C1285="","Missing transaction date",IF(NOT(ISNUMBER(C1285)),"Invalid date",IF(OR(C1285&lt;DATE(2000,1,1),C1285&gt;DATE(2099,12,31)),"Invalid date",IF(D1285="","Select a type",IF(U1285="","Unknown type: "&amp;D1285,IF(V1285="","Select an account (Category)",IF(ISNA(MATCH(V1285,coa_Name,0)),"Unknown account: "&amp;V1285,IF(K1285="","Select Paid From / Deposited To",IF(ISNA(MATCH(K1285,coa_Name,0)),"Unknown account: "&amp;K1285,IF(NOT(ISNUMBER(L1285)),"Enter an amount",IF(L1285=0,"Enter an amount",IF(ABS(W1285)&gt;ABS(L1285),"Tax is larger than the amount","")))))))))))))</f>
        <v/>
      </c>
      <c r="Y1285" s="67">
        <f>IF(OR(T1285=1,X1285&lt;&gt;""),"",IF(AND(B1285&lt;&gt;"",COUNTIF(tx_ID,B1285)&gt;1),"Duplicate transaction ID",IF(AND(L1285&lt;0,D1285&lt;&gt;"Adjustment"),"Negative amount — check this entry",IF(AND(D1285="Customer Payment",G1285=""),"Add the customer",IF(AND(D1285="Customer Payment",OR(J1285="",COUNTIF(ar_No,J1285&amp;"")=0)),"Invoice # in Reference not found on AR sheet",IF(AND(D1285="Bill Payment",H1285=""),"Add the vendor",IF(AND(D1285="Bill Payment",OR(J1285="",COUNTIFS(ap_No,J1285&amp;"",ap_Party,H1285&amp;"")=0)),"Bill # + vendor not found on AP sheet",IF(AND(ISNUMBER(M1285),N(M1285)&lt;&gt;0,W1285=0),"Tax ignored (tax tracking off, or not allowed for this type)",IF(V1285=K1285&amp;"","Same account on both sides",IF(AND(ISNUMBER(StartDate),C1285&lt;StartDate),"Date is before the accounting start date",IF(AND(D1285&lt;&gt;"Adjustment",IFERROR(INDEX(coa_Pay,MATCH(K1285&amp;"",coa_Name,0)),"")&lt;&gt;"Yes"),"Paid From / Deposited To is not a payment account","")))))))))))</f>
        <v/>
      </c>
      <c r="Z1285" s="67">
        <f>IF(AND(T1285=0,X1285=""),1,0)</f>
        <v/>
      </c>
      <c r="AA1285" s="68">
        <f>IF(Z1285=1,IF(U1285="In",L1285,L1285-W1285),0)</f>
        <v/>
      </c>
      <c r="AB1285" s="68">
        <f>IF(Z1285=1,IF(U1285="In",L1285-W1285,L1285),0)</f>
        <v/>
      </c>
      <c r="AC1285" s="68">
        <f>IF(AND(Z1285=1,U1285="Out"),W1285,0)</f>
        <v/>
      </c>
      <c r="AD1285" s="68">
        <f>IF(AND(Z1285=1,U1285="In"),W1285,0)</f>
        <v/>
      </c>
    </row>
    <row r="1286">
      <c r="B1286" s="62" t="inlineStr">
        <is>
          <t>TX-1280</t>
        </is>
      </c>
      <c r="C1286" s="63" t="n"/>
      <c r="D1286" s="62" t="n"/>
      <c r="E1286" s="62" t="n"/>
      <c r="F1286" s="62" t="n"/>
      <c r="G1286" s="62" t="n"/>
      <c r="H1286" s="62" t="n"/>
      <c r="I1286" s="62" t="n"/>
      <c r="J1286" s="62" t="n"/>
      <c r="K1286" s="62" t="n"/>
      <c r="L1286" s="64" t="n"/>
      <c r="M1286" s="64" t="n"/>
      <c r="N1286" s="62" t="n"/>
      <c r="O1286" s="65">
        <f>IF(Z1286=1,L1286-W1286,"")</f>
        <v/>
      </c>
      <c r="P1286" s="66">
        <f>IF(V1286="","",IFERROR(INDEX(coa_Type,MATCH(V1286,coa_Name,0)),""))</f>
        <v/>
      </c>
      <c r="Q1286" s="66">
        <f>IF(Z1286=1,IF(U1286="In",K1286&amp;"",V1286),"")</f>
        <v/>
      </c>
      <c r="R1286" s="66">
        <f>IF(Z1286=1,IF(U1286="In",V1286,K1286&amp;""),"")</f>
        <v/>
      </c>
      <c r="S1286" s="66">
        <f>IF(X1286&lt;&gt;"","⛔ "&amp;X1286&amp;" — not posted",IF(Y1286&lt;&gt;"","⚠ "&amp;Y1286,IF(Z1286=1,"✓ OK","")))</f>
        <v/>
      </c>
      <c r="T1286" s="67">
        <f>IF(AND(C1286="",D1286="",E1286="",L1286="",K1286=""),1,0)</f>
        <v/>
      </c>
      <c r="U1286" s="67">
        <f>IFERROR(INDEX(tt_Dir,MATCH(D1286,tt_Type,0)),"")</f>
        <v/>
      </c>
      <c r="V1286" s="67">
        <f>IF(D1286="","",IFERROR(IF(INDEX(tt_Other,MATCH(D1286,tt_Type,0))="",E1286&amp;"",INDEX(tt_Other,MATCH(D1286,tt_Type,0))),""))</f>
        <v/>
      </c>
      <c r="W1286" s="68">
        <f>IF(OR(TaxOn&lt;&gt;"Yes",NOT(ISNUMBER(M1286))),0,IF(IFERROR(INDEX(tt_Tax,MATCH(D1286,tt_Type,0)),"No")="Yes",M1286,0))</f>
        <v/>
      </c>
      <c r="X1286" s="67">
        <f>IF(T1286=1,"",IF(C1286="","Missing transaction date",IF(NOT(ISNUMBER(C1286)),"Invalid date",IF(OR(C1286&lt;DATE(2000,1,1),C1286&gt;DATE(2099,12,31)),"Invalid date",IF(D1286="","Select a type",IF(U1286="","Unknown type: "&amp;D1286,IF(V1286="","Select an account (Category)",IF(ISNA(MATCH(V1286,coa_Name,0)),"Unknown account: "&amp;V1286,IF(K1286="","Select Paid From / Deposited To",IF(ISNA(MATCH(K1286,coa_Name,0)),"Unknown account: "&amp;K1286,IF(NOT(ISNUMBER(L1286)),"Enter an amount",IF(L1286=0,"Enter an amount",IF(ABS(W1286)&gt;ABS(L1286),"Tax is larger than the amount","")))))))))))))</f>
        <v/>
      </c>
      <c r="Y1286" s="67">
        <f>IF(OR(T1286=1,X1286&lt;&gt;""),"",IF(AND(B1286&lt;&gt;"",COUNTIF(tx_ID,B1286)&gt;1),"Duplicate transaction ID",IF(AND(L1286&lt;0,D1286&lt;&gt;"Adjustment"),"Negative amount — check this entry",IF(AND(D1286="Customer Payment",G1286=""),"Add the customer",IF(AND(D1286="Customer Payment",OR(J1286="",COUNTIF(ar_No,J1286&amp;"")=0)),"Invoice # in Reference not found on AR sheet",IF(AND(D1286="Bill Payment",H1286=""),"Add the vendor",IF(AND(D1286="Bill Payment",OR(J1286="",COUNTIFS(ap_No,J1286&amp;"",ap_Party,H1286&amp;"")=0)),"Bill # + vendor not found on AP sheet",IF(AND(ISNUMBER(M1286),N(M1286)&lt;&gt;0,W1286=0),"Tax ignored (tax tracking off, or not allowed for this type)",IF(V1286=K1286&amp;"","Same account on both sides",IF(AND(ISNUMBER(StartDate),C1286&lt;StartDate),"Date is before the accounting start date",IF(AND(D1286&lt;&gt;"Adjustment",IFERROR(INDEX(coa_Pay,MATCH(K1286&amp;"",coa_Name,0)),"")&lt;&gt;"Yes"),"Paid From / Deposited To is not a payment account","")))))))))))</f>
        <v/>
      </c>
      <c r="Z1286" s="67">
        <f>IF(AND(T1286=0,X1286=""),1,0)</f>
        <v/>
      </c>
      <c r="AA1286" s="68">
        <f>IF(Z1286=1,IF(U1286="In",L1286,L1286-W1286),0)</f>
        <v/>
      </c>
      <c r="AB1286" s="68">
        <f>IF(Z1286=1,IF(U1286="In",L1286-W1286,L1286),0)</f>
        <v/>
      </c>
      <c r="AC1286" s="68">
        <f>IF(AND(Z1286=1,U1286="Out"),W1286,0)</f>
        <v/>
      </c>
      <c r="AD1286" s="68">
        <f>IF(AND(Z1286=1,U1286="In"),W1286,0)</f>
        <v/>
      </c>
    </row>
    <row r="1287">
      <c r="B1287" s="62" t="inlineStr">
        <is>
          <t>TX-1281</t>
        </is>
      </c>
      <c r="C1287" s="63" t="n"/>
      <c r="D1287" s="62" t="n"/>
      <c r="E1287" s="62" t="n"/>
      <c r="F1287" s="62" t="n"/>
      <c r="G1287" s="62" t="n"/>
      <c r="H1287" s="62" t="n"/>
      <c r="I1287" s="62" t="n"/>
      <c r="J1287" s="62" t="n"/>
      <c r="K1287" s="62" t="n"/>
      <c r="L1287" s="64" t="n"/>
      <c r="M1287" s="64" t="n"/>
      <c r="N1287" s="62" t="n"/>
      <c r="O1287" s="65">
        <f>IF(Z1287=1,L1287-W1287,"")</f>
        <v/>
      </c>
      <c r="P1287" s="66">
        <f>IF(V1287="","",IFERROR(INDEX(coa_Type,MATCH(V1287,coa_Name,0)),""))</f>
        <v/>
      </c>
      <c r="Q1287" s="66">
        <f>IF(Z1287=1,IF(U1287="In",K1287&amp;"",V1287),"")</f>
        <v/>
      </c>
      <c r="R1287" s="66">
        <f>IF(Z1287=1,IF(U1287="In",V1287,K1287&amp;""),"")</f>
        <v/>
      </c>
      <c r="S1287" s="66">
        <f>IF(X1287&lt;&gt;"","⛔ "&amp;X1287&amp;" — not posted",IF(Y1287&lt;&gt;"","⚠ "&amp;Y1287,IF(Z1287=1,"✓ OK","")))</f>
        <v/>
      </c>
      <c r="T1287" s="67">
        <f>IF(AND(C1287="",D1287="",E1287="",L1287="",K1287=""),1,0)</f>
        <v/>
      </c>
      <c r="U1287" s="67">
        <f>IFERROR(INDEX(tt_Dir,MATCH(D1287,tt_Type,0)),"")</f>
        <v/>
      </c>
      <c r="V1287" s="67">
        <f>IF(D1287="","",IFERROR(IF(INDEX(tt_Other,MATCH(D1287,tt_Type,0))="",E1287&amp;"",INDEX(tt_Other,MATCH(D1287,tt_Type,0))),""))</f>
        <v/>
      </c>
      <c r="W1287" s="68">
        <f>IF(OR(TaxOn&lt;&gt;"Yes",NOT(ISNUMBER(M1287))),0,IF(IFERROR(INDEX(tt_Tax,MATCH(D1287,tt_Type,0)),"No")="Yes",M1287,0))</f>
        <v/>
      </c>
      <c r="X1287" s="67">
        <f>IF(T1287=1,"",IF(C1287="","Missing transaction date",IF(NOT(ISNUMBER(C1287)),"Invalid date",IF(OR(C1287&lt;DATE(2000,1,1),C1287&gt;DATE(2099,12,31)),"Invalid date",IF(D1287="","Select a type",IF(U1287="","Unknown type: "&amp;D1287,IF(V1287="","Select an account (Category)",IF(ISNA(MATCH(V1287,coa_Name,0)),"Unknown account: "&amp;V1287,IF(K1287="","Select Paid From / Deposited To",IF(ISNA(MATCH(K1287,coa_Name,0)),"Unknown account: "&amp;K1287,IF(NOT(ISNUMBER(L1287)),"Enter an amount",IF(L1287=0,"Enter an amount",IF(ABS(W1287)&gt;ABS(L1287),"Tax is larger than the amount","")))))))))))))</f>
        <v/>
      </c>
      <c r="Y1287" s="67">
        <f>IF(OR(T1287=1,X1287&lt;&gt;""),"",IF(AND(B1287&lt;&gt;"",COUNTIF(tx_ID,B1287)&gt;1),"Duplicate transaction ID",IF(AND(L1287&lt;0,D1287&lt;&gt;"Adjustment"),"Negative amount — check this entry",IF(AND(D1287="Customer Payment",G1287=""),"Add the customer",IF(AND(D1287="Customer Payment",OR(J1287="",COUNTIF(ar_No,J1287&amp;"")=0)),"Invoice # in Reference not found on AR sheet",IF(AND(D1287="Bill Payment",H1287=""),"Add the vendor",IF(AND(D1287="Bill Payment",OR(J1287="",COUNTIFS(ap_No,J1287&amp;"",ap_Party,H1287&amp;"")=0)),"Bill # + vendor not found on AP sheet",IF(AND(ISNUMBER(M1287),N(M1287)&lt;&gt;0,W1287=0),"Tax ignored (tax tracking off, or not allowed for this type)",IF(V1287=K1287&amp;"","Same account on both sides",IF(AND(ISNUMBER(StartDate),C1287&lt;StartDate),"Date is before the accounting start date",IF(AND(D1287&lt;&gt;"Adjustment",IFERROR(INDEX(coa_Pay,MATCH(K1287&amp;"",coa_Name,0)),"")&lt;&gt;"Yes"),"Paid From / Deposited To is not a payment account","")))))))))))</f>
        <v/>
      </c>
      <c r="Z1287" s="67">
        <f>IF(AND(T1287=0,X1287=""),1,0)</f>
        <v/>
      </c>
      <c r="AA1287" s="68">
        <f>IF(Z1287=1,IF(U1287="In",L1287,L1287-W1287),0)</f>
        <v/>
      </c>
      <c r="AB1287" s="68">
        <f>IF(Z1287=1,IF(U1287="In",L1287-W1287,L1287),0)</f>
        <v/>
      </c>
      <c r="AC1287" s="68">
        <f>IF(AND(Z1287=1,U1287="Out"),W1287,0)</f>
        <v/>
      </c>
      <c r="AD1287" s="68">
        <f>IF(AND(Z1287=1,U1287="In"),W1287,0)</f>
        <v/>
      </c>
    </row>
    <row r="1288">
      <c r="B1288" s="62" t="inlineStr">
        <is>
          <t>TX-1282</t>
        </is>
      </c>
      <c r="C1288" s="63" t="n"/>
      <c r="D1288" s="62" t="n"/>
      <c r="E1288" s="62" t="n"/>
      <c r="F1288" s="62" t="n"/>
      <c r="G1288" s="62" t="n"/>
      <c r="H1288" s="62" t="n"/>
      <c r="I1288" s="62" t="n"/>
      <c r="J1288" s="62" t="n"/>
      <c r="K1288" s="62" t="n"/>
      <c r="L1288" s="64" t="n"/>
      <c r="M1288" s="64" t="n"/>
      <c r="N1288" s="62" t="n"/>
      <c r="O1288" s="65">
        <f>IF(Z1288=1,L1288-W1288,"")</f>
        <v/>
      </c>
      <c r="P1288" s="66">
        <f>IF(V1288="","",IFERROR(INDEX(coa_Type,MATCH(V1288,coa_Name,0)),""))</f>
        <v/>
      </c>
      <c r="Q1288" s="66">
        <f>IF(Z1288=1,IF(U1288="In",K1288&amp;"",V1288),"")</f>
        <v/>
      </c>
      <c r="R1288" s="66">
        <f>IF(Z1288=1,IF(U1288="In",V1288,K1288&amp;""),"")</f>
        <v/>
      </c>
      <c r="S1288" s="66">
        <f>IF(X1288&lt;&gt;"","⛔ "&amp;X1288&amp;" — not posted",IF(Y1288&lt;&gt;"","⚠ "&amp;Y1288,IF(Z1288=1,"✓ OK","")))</f>
        <v/>
      </c>
      <c r="T1288" s="67">
        <f>IF(AND(C1288="",D1288="",E1288="",L1288="",K1288=""),1,0)</f>
        <v/>
      </c>
      <c r="U1288" s="67">
        <f>IFERROR(INDEX(tt_Dir,MATCH(D1288,tt_Type,0)),"")</f>
        <v/>
      </c>
      <c r="V1288" s="67">
        <f>IF(D1288="","",IFERROR(IF(INDEX(tt_Other,MATCH(D1288,tt_Type,0))="",E1288&amp;"",INDEX(tt_Other,MATCH(D1288,tt_Type,0))),""))</f>
        <v/>
      </c>
      <c r="W1288" s="68">
        <f>IF(OR(TaxOn&lt;&gt;"Yes",NOT(ISNUMBER(M1288))),0,IF(IFERROR(INDEX(tt_Tax,MATCH(D1288,tt_Type,0)),"No")="Yes",M1288,0))</f>
        <v/>
      </c>
      <c r="X1288" s="67">
        <f>IF(T1288=1,"",IF(C1288="","Missing transaction date",IF(NOT(ISNUMBER(C1288)),"Invalid date",IF(OR(C1288&lt;DATE(2000,1,1),C1288&gt;DATE(2099,12,31)),"Invalid date",IF(D1288="","Select a type",IF(U1288="","Unknown type: "&amp;D1288,IF(V1288="","Select an account (Category)",IF(ISNA(MATCH(V1288,coa_Name,0)),"Unknown account: "&amp;V1288,IF(K1288="","Select Paid From / Deposited To",IF(ISNA(MATCH(K1288,coa_Name,0)),"Unknown account: "&amp;K1288,IF(NOT(ISNUMBER(L1288)),"Enter an amount",IF(L1288=0,"Enter an amount",IF(ABS(W1288)&gt;ABS(L1288),"Tax is larger than the amount","")))))))))))))</f>
        <v/>
      </c>
      <c r="Y1288" s="67">
        <f>IF(OR(T1288=1,X1288&lt;&gt;""),"",IF(AND(B1288&lt;&gt;"",COUNTIF(tx_ID,B1288)&gt;1),"Duplicate transaction ID",IF(AND(L1288&lt;0,D1288&lt;&gt;"Adjustment"),"Negative amount — check this entry",IF(AND(D1288="Customer Payment",G1288=""),"Add the customer",IF(AND(D1288="Customer Payment",OR(J1288="",COUNTIF(ar_No,J1288&amp;"")=0)),"Invoice # in Reference not found on AR sheet",IF(AND(D1288="Bill Payment",H1288=""),"Add the vendor",IF(AND(D1288="Bill Payment",OR(J1288="",COUNTIFS(ap_No,J1288&amp;"",ap_Party,H1288&amp;"")=0)),"Bill # + vendor not found on AP sheet",IF(AND(ISNUMBER(M1288),N(M1288)&lt;&gt;0,W1288=0),"Tax ignored (tax tracking off, or not allowed for this type)",IF(V1288=K1288&amp;"","Same account on both sides",IF(AND(ISNUMBER(StartDate),C1288&lt;StartDate),"Date is before the accounting start date",IF(AND(D1288&lt;&gt;"Adjustment",IFERROR(INDEX(coa_Pay,MATCH(K1288&amp;"",coa_Name,0)),"")&lt;&gt;"Yes"),"Paid From / Deposited To is not a payment account","")))))))))))</f>
        <v/>
      </c>
      <c r="Z1288" s="67">
        <f>IF(AND(T1288=0,X1288=""),1,0)</f>
        <v/>
      </c>
      <c r="AA1288" s="68">
        <f>IF(Z1288=1,IF(U1288="In",L1288,L1288-W1288),0)</f>
        <v/>
      </c>
      <c r="AB1288" s="68">
        <f>IF(Z1288=1,IF(U1288="In",L1288-W1288,L1288),0)</f>
        <v/>
      </c>
      <c r="AC1288" s="68">
        <f>IF(AND(Z1288=1,U1288="Out"),W1288,0)</f>
        <v/>
      </c>
      <c r="AD1288" s="68">
        <f>IF(AND(Z1288=1,U1288="In"),W1288,0)</f>
        <v/>
      </c>
    </row>
    <row r="1289">
      <c r="B1289" s="62" t="inlineStr">
        <is>
          <t>TX-1283</t>
        </is>
      </c>
      <c r="C1289" s="63" t="n"/>
      <c r="D1289" s="62" t="n"/>
      <c r="E1289" s="62" t="n"/>
      <c r="F1289" s="62" t="n"/>
      <c r="G1289" s="62" t="n"/>
      <c r="H1289" s="62" t="n"/>
      <c r="I1289" s="62" t="n"/>
      <c r="J1289" s="62" t="n"/>
      <c r="K1289" s="62" t="n"/>
      <c r="L1289" s="64" t="n"/>
      <c r="M1289" s="64" t="n"/>
      <c r="N1289" s="62" t="n"/>
      <c r="O1289" s="65">
        <f>IF(Z1289=1,L1289-W1289,"")</f>
        <v/>
      </c>
      <c r="P1289" s="66">
        <f>IF(V1289="","",IFERROR(INDEX(coa_Type,MATCH(V1289,coa_Name,0)),""))</f>
        <v/>
      </c>
      <c r="Q1289" s="66">
        <f>IF(Z1289=1,IF(U1289="In",K1289&amp;"",V1289),"")</f>
        <v/>
      </c>
      <c r="R1289" s="66">
        <f>IF(Z1289=1,IF(U1289="In",V1289,K1289&amp;""),"")</f>
        <v/>
      </c>
      <c r="S1289" s="66">
        <f>IF(X1289&lt;&gt;"","⛔ "&amp;X1289&amp;" — not posted",IF(Y1289&lt;&gt;"","⚠ "&amp;Y1289,IF(Z1289=1,"✓ OK","")))</f>
        <v/>
      </c>
      <c r="T1289" s="67">
        <f>IF(AND(C1289="",D1289="",E1289="",L1289="",K1289=""),1,0)</f>
        <v/>
      </c>
      <c r="U1289" s="67">
        <f>IFERROR(INDEX(tt_Dir,MATCH(D1289,tt_Type,0)),"")</f>
        <v/>
      </c>
      <c r="V1289" s="67">
        <f>IF(D1289="","",IFERROR(IF(INDEX(tt_Other,MATCH(D1289,tt_Type,0))="",E1289&amp;"",INDEX(tt_Other,MATCH(D1289,tt_Type,0))),""))</f>
        <v/>
      </c>
      <c r="W1289" s="68">
        <f>IF(OR(TaxOn&lt;&gt;"Yes",NOT(ISNUMBER(M1289))),0,IF(IFERROR(INDEX(tt_Tax,MATCH(D1289,tt_Type,0)),"No")="Yes",M1289,0))</f>
        <v/>
      </c>
      <c r="X1289" s="67">
        <f>IF(T1289=1,"",IF(C1289="","Missing transaction date",IF(NOT(ISNUMBER(C1289)),"Invalid date",IF(OR(C1289&lt;DATE(2000,1,1),C1289&gt;DATE(2099,12,31)),"Invalid date",IF(D1289="","Select a type",IF(U1289="","Unknown type: "&amp;D1289,IF(V1289="","Select an account (Category)",IF(ISNA(MATCH(V1289,coa_Name,0)),"Unknown account: "&amp;V1289,IF(K1289="","Select Paid From / Deposited To",IF(ISNA(MATCH(K1289,coa_Name,0)),"Unknown account: "&amp;K1289,IF(NOT(ISNUMBER(L1289)),"Enter an amount",IF(L1289=0,"Enter an amount",IF(ABS(W1289)&gt;ABS(L1289),"Tax is larger than the amount","")))))))))))))</f>
        <v/>
      </c>
      <c r="Y1289" s="67">
        <f>IF(OR(T1289=1,X1289&lt;&gt;""),"",IF(AND(B1289&lt;&gt;"",COUNTIF(tx_ID,B1289)&gt;1),"Duplicate transaction ID",IF(AND(L1289&lt;0,D1289&lt;&gt;"Adjustment"),"Negative amount — check this entry",IF(AND(D1289="Customer Payment",G1289=""),"Add the customer",IF(AND(D1289="Customer Payment",OR(J1289="",COUNTIF(ar_No,J1289&amp;"")=0)),"Invoice # in Reference not found on AR sheet",IF(AND(D1289="Bill Payment",H1289=""),"Add the vendor",IF(AND(D1289="Bill Payment",OR(J1289="",COUNTIFS(ap_No,J1289&amp;"",ap_Party,H1289&amp;"")=0)),"Bill # + vendor not found on AP sheet",IF(AND(ISNUMBER(M1289),N(M1289)&lt;&gt;0,W1289=0),"Tax ignored (tax tracking off, or not allowed for this type)",IF(V1289=K1289&amp;"","Same account on both sides",IF(AND(ISNUMBER(StartDate),C1289&lt;StartDate),"Date is before the accounting start date",IF(AND(D1289&lt;&gt;"Adjustment",IFERROR(INDEX(coa_Pay,MATCH(K1289&amp;"",coa_Name,0)),"")&lt;&gt;"Yes"),"Paid From / Deposited To is not a payment account","")))))))))))</f>
        <v/>
      </c>
      <c r="Z1289" s="67">
        <f>IF(AND(T1289=0,X1289=""),1,0)</f>
        <v/>
      </c>
      <c r="AA1289" s="68">
        <f>IF(Z1289=1,IF(U1289="In",L1289,L1289-W1289),0)</f>
        <v/>
      </c>
      <c r="AB1289" s="68">
        <f>IF(Z1289=1,IF(U1289="In",L1289-W1289,L1289),0)</f>
        <v/>
      </c>
      <c r="AC1289" s="68">
        <f>IF(AND(Z1289=1,U1289="Out"),W1289,0)</f>
        <v/>
      </c>
      <c r="AD1289" s="68">
        <f>IF(AND(Z1289=1,U1289="In"),W1289,0)</f>
        <v/>
      </c>
    </row>
    <row r="1290">
      <c r="B1290" s="62" t="inlineStr">
        <is>
          <t>TX-1284</t>
        </is>
      </c>
      <c r="C1290" s="63" t="n"/>
      <c r="D1290" s="62" t="n"/>
      <c r="E1290" s="62" t="n"/>
      <c r="F1290" s="62" t="n"/>
      <c r="G1290" s="62" t="n"/>
      <c r="H1290" s="62" t="n"/>
      <c r="I1290" s="62" t="n"/>
      <c r="J1290" s="62" t="n"/>
      <c r="K1290" s="62" t="n"/>
      <c r="L1290" s="64" t="n"/>
      <c r="M1290" s="64" t="n"/>
      <c r="N1290" s="62" t="n"/>
      <c r="O1290" s="65">
        <f>IF(Z1290=1,L1290-W1290,"")</f>
        <v/>
      </c>
      <c r="P1290" s="66">
        <f>IF(V1290="","",IFERROR(INDEX(coa_Type,MATCH(V1290,coa_Name,0)),""))</f>
        <v/>
      </c>
      <c r="Q1290" s="66">
        <f>IF(Z1290=1,IF(U1290="In",K1290&amp;"",V1290),"")</f>
        <v/>
      </c>
      <c r="R1290" s="66">
        <f>IF(Z1290=1,IF(U1290="In",V1290,K1290&amp;""),"")</f>
        <v/>
      </c>
      <c r="S1290" s="66">
        <f>IF(X1290&lt;&gt;"","⛔ "&amp;X1290&amp;" — not posted",IF(Y1290&lt;&gt;"","⚠ "&amp;Y1290,IF(Z1290=1,"✓ OK","")))</f>
        <v/>
      </c>
      <c r="T1290" s="67">
        <f>IF(AND(C1290="",D1290="",E1290="",L1290="",K1290=""),1,0)</f>
        <v/>
      </c>
      <c r="U1290" s="67">
        <f>IFERROR(INDEX(tt_Dir,MATCH(D1290,tt_Type,0)),"")</f>
        <v/>
      </c>
      <c r="V1290" s="67">
        <f>IF(D1290="","",IFERROR(IF(INDEX(tt_Other,MATCH(D1290,tt_Type,0))="",E1290&amp;"",INDEX(tt_Other,MATCH(D1290,tt_Type,0))),""))</f>
        <v/>
      </c>
      <c r="W1290" s="68">
        <f>IF(OR(TaxOn&lt;&gt;"Yes",NOT(ISNUMBER(M1290))),0,IF(IFERROR(INDEX(tt_Tax,MATCH(D1290,tt_Type,0)),"No")="Yes",M1290,0))</f>
        <v/>
      </c>
      <c r="X1290" s="67">
        <f>IF(T1290=1,"",IF(C1290="","Missing transaction date",IF(NOT(ISNUMBER(C1290)),"Invalid date",IF(OR(C1290&lt;DATE(2000,1,1),C1290&gt;DATE(2099,12,31)),"Invalid date",IF(D1290="","Select a type",IF(U1290="","Unknown type: "&amp;D1290,IF(V1290="","Select an account (Category)",IF(ISNA(MATCH(V1290,coa_Name,0)),"Unknown account: "&amp;V1290,IF(K1290="","Select Paid From / Deposited To",IF(ISNA(MATCH(K1290,coa_Name,0)),"Unknown account: "&amp;K1290,IF(NOT(ISNUMBER(L1290)),"Enter an amount",IF(L1290=0,"Enter an amount",IF(ABS(W1290)&gt;ABS(L1290),"Tax is larger than the amount","")))))))))))))</f>
        <v/>
      </c>
      <c r="Y1290" s="67">
        <f>IF(OR(T1290=1,X1290&lt;&gt;""),"",IF(AND(B1290&lt;&gt;"",COUNTIF(tx_ID,B1290)&gt;1),"Duplicate transaction ID",IF(AND(L1290&lt;0,D1290&lt;&gt;"Adjustment"),"Negative amount — check this entry",IF(AND(D1290="Customer Payment",G1290=""),"Add the customer",IF(AND(D1290="Customer Payment",OR(J1290="",COUNTIF(ar_No,J1290&amp;"")=0)),"Invoice # in Reference not found on AR sheet",IF(AND(D1290="Bill Payment",H1290=""),"Add the vendor",IF(AND(D1290="Bill Payment",OR(J1290="",COUNTIFS(ap_No,J1290&amp;"",ap_Party,H1290&amp;"")=0)),"Bill # + vendor not found on AP sheet",IF(AND(ISNUMBER(M1290),N(M1290)&lt;&gt;0,W1290=0),"Tax ignored (tax tracking off, or not allowed for this type)",IF(V1290=K1290&amp;"","Same account on both sides",IF(AND(ISNUMBER(StartDate),C1290&lt;StartDate),"Date is before the accounting start date",IF(AND(D1290&lt;&gt;"Adjustment",IFERROR(INDEX(coa_Pay,MATCH(K1290&amp;"",coa_Name,0)),"")&lt;&gt;"Yes"),"Paid From / Deposited To is not a payment account","")))))))))))</f>
        <v/>
      </c>
      <c r="Z1290" s="67">
        <f>IF(AND(T1290=0,X1290=""),1,0)</f>
        <v/>
      </c>
      <c r="AA1290" s="68">
        <f>IF(Z1290=1,IF(U1290="In",L1290,L1290-W1290),0)</f>
        <v/>
      </c>
      <c r="AB1290" s="68">
        <f>IF(Z1290=1,IF(U1290="In",L1290-W1290,L1290),0)</f>
        <v/>
      </c>
      <c r="AC1290" s="68">
        <f>IF(AND(Z1290=1,U1290="Out"),W1290,0)</f>
        <v/>
      </c>
      <c r="AD1290" s="68">
        <f>IF(AND(Z1290=1,U1290="In"),W1290,0)</f>
        <v/>
      </c>
    </row>
    <row r="1291">
      <c r="B1291" s="62" t="inlineStr">
        <is>
          <t>TX-1285</t>
        </is>
      </c>
      <c r="C1291" s="63" t="n"/>
      <c r="D1291" s="62" t="n"/>
      <c r="E1291" s="62" t="n"/>
      <c r="F1291" s="62" t="n"/>
      <c r="G1291" s="62" t="n"/>
      <c r="H1291" s="62" t="n"/>
      <c r="I1291" s="62" t="n"/>
      <c r="J1291" s="62" t="n"/>
      <c r="K1291" s="62" t="n"/>
      <c r="L1291" s="64" t="n"/>
      <c r="M1291" s="64" t="n"/>
      <c r="N1291" s="62" t="n"/>
      <c r="O1291" s="65">
        <f>IF(Z1291=1,L1291-W1291,"")</f>
        <v/>
      </c>
      <c r="P1291" s="66">
        <f>IF(V1291="","",IFERROR(INDEX(coa_Type,MATCH(V1291,coa_Name,0)),""))</f>
        <v/>
      </c>
      <c r="Q1291" s="66">
        <f>IF(Z1291=1,IF(U1291="In",K1291&amp;"",V1291),"")</f>
        <v/>
      </c>
      <c r="R1291" s="66">
        <f>IF(Z1291=1,IF(U1291="In",V1291,K1291&amp;""),"")</f>
        <v/>
      </c>
      <c r="S1291" s="66">
        <f>IF(X1291&lt;&gt;"","⛔ "&amp;X1291&amp;" — not posted",IF(Y1291&lt;&gt;"","⚠ "&amp;Y1291,IF(Z1291=1,"✓ OK","")))</f>
        <v/>
      </c>
      <c r="T1291" s="67">
        <f>IF(AND(C1291="",D1291="",E1291="",L1291="",K1291=""),1,0)</f>
        <v/>
      </c>
      <c r="U1291" s="67">
        <f>IFERROR(INDEX(tt_Dir,MATCH(D1291,tt_Type,0)),"")</f>
        <v/>
      </c>
      <c r="V1291" s="67">
        <f>IF(D1291="","",IFERROR(IF(INDEX(tt_Other,MATCH(D1291,tt_Type,0))="",E1291&amp;"",INDEX(tt_Other,MATCH(D1291,tt_Type,0))),""))</f>
        <v/>
      </c>
      <c r="W1291" s="68">
        <f>IF(OR(TaxOn&lt;&gt;"Yes",NOT(ISNUMBER(M1291))),0,IF(IFERROR(INDEX(tt_Tax,MATCH(D1291,tt_Type,0)),"No")="Yes",M1291,0))</f>
        <v/>
      </c>
      <c r="X1291" s="67">
        <f>IF(T1291=1,"",IF(C1291="","Missing transaction date",IF(NOT(ISNUMBER(C1291)),"Invalid date",IF(OR(C1291&lt;DATE(2000,1,1),C1291&gt;DATE(2099,12,31)),"Invalid date",IF(D1291="","Select a type",IF(U1291="","Unknown type: "&amp;D1291,IF(V1291="","Select an account (Category)",IF(ISNA(MATCH(V1291,coa_Name,0)),"Unknown account: "&amp;V1291,IF(K1291="","Select Paid From / Deposited To",IF(ISNA(MATCH(K1291,coa_Name,0)),"Unknown account: "&amp;K1291,IF(NOT(ISNUMBER(L1291)),"Enter an amount",IF(L1291=0,"Enter an amount",IF(ABS(W1291)&gt;ABS(L1291),"Tax is larger than the amount","")))))))))))))</f>
        <v/>
      </c>
      <c r="Y1291" s="67">
        <f>IF(OR(T1291=1,X1291&lt;&gt;""),"",IF(AND(B1291&lt;&gt;"",COUNTIF(tx_ID,B1291)&gt;1),"Duplicate transaction ID",IF(AND(L1291&lt;0,D1291&lt;&gt;"Adjustment"),"Negative amount — check this entry",IF(AND(D1291="Customer Payment",G1291=""),"Add the customer",IF(AND(D1291="Customer Payment",OR(J1291="",COUNTIF(ar_No,J1291&amp;"")=0)),"Invoice # in Reference not found on AR sheet",IF(AND(D1291="Bill Payment",H1291=""),"Add the vendor",IF(AND(D1291="Bill Payment",OR(J1291="",COUNTIFS(ap_No,J1291&amp;"",ap_Party,H1291&amp;"")=0)),"Bill # + vendor not found on AP sheet",IF(AND(ISNUMBER(M1291),N(M1291)&lt;&gt;0,W1291=0),"Tax ignored (tax tracking off, or not allowed for this type)",IF(V1291=K1291&amp;"","Same account on both sides",IF(AND(ISNUMBER(StartDate),C1291&lt;StartDate),"Date is before the accounting start date",IF(AND(D1291&lt;&gt;"Adjustment",IFERROR(INDEX(coa_Pay,MATCH(K1291&amp;"",coa_Name,0)),"")&lt;&gt;"Yes"),"Paid From / Deposited To is not a payment account","")))))))))))</f>
        <v/>
      </c>
      <c r="Z1291" s="67">
        <f>IF(AND(T1291=0,X1291=""),1,0)</f>
        <v/>
      </c>
      <c r="AA1291" s="68">
        <f>IF(Z1291=1,IF(U1291="In",L1291,L1291-W1291),0)</f>
        <v/>
      </c>
      <c r="AB1291" s="68">
        <f>IF(Z1291=1,IF(U1291="In",L1291-W1291,L1291),0)</f>
        <v/>
      </c>
      <c r="AC1291" s="68">
        <f>IF(AND(Z1291=1,U1291="Out"),W1291,0)</f>
        <v/>
      </c>
      <c r="AD1291" s="68">
        <f>IF(AND(Z1291=1,U1291="In"),W1291,0)</f>
        <v/>
      </c>
    </row>
    <row r="1292">
      <c r="B1292" s="62" t="inlineStr">
        <is>
          <t>TX-1286</t>
        </is>
      </c>
      <c r="C1292" s="63" t="n"/>
      <c r="D1292" s="62" t="n"/>
      <c r="E1292" s="62" t="n"/>
      <c r="F1292" s="62" t="n"/>
      <c r="G1292" s="62" t="n"/>
      <c r="H1292" s="62" t="n"/>
      <c r="I1292" s="62" t="n"/>
      <c r="J1292" s="62" t="n"/>
      <c r="K1292" s="62" t="n"/>
      <c r="L1292" s="64" t="n"/>
      <c r="M1292" s="64" t="n"/>
      <c r="N1292" s="62" t="n"/>
      <c r="O1292" s="65">
        <f>IF(Z1292=1,L1292-W1292,"")</f>
        <v/>
      </c>
      <c r="P1292" s="66">
        <f>IF(V1292="","",IFERROR(INDEX(coa_Type,MATCH(V1292,coa_Name,0)),""))</f>
        <v/>
      </c>
      <c r="Q1292" s="66">
        <f>IF(Z1292=1,IF(U1292="In",K1292&amp;"",V1292),"")</f>
        <v/>
      </c>
      <c r="R1292" s="66">
        <f>IF(Z1292=1,IF(U1292="In",V1292,K1292&amp;""),"")</f>
        <v/>
      </c>
      <c r="S1292" s="66">
        <f>IF(X1292&lt;&gt;"","⛔ "&amp;X1292&amp;" — not posted",IF(Y1292&lt;&gt;"","⚠ "&amp;Y1292,IF(Z1292=1,"✓ OK","")))</f>
        <v/>
      </c>
      <c r="T1292" s="67">
        <f>IF(AND(C1292="",D1292="",E1292="",L1292="",K1292=""),1,0)</f>
        <v/>
      </c>
      <c r="U1292" s="67">
        <f>IFERROR(INDEX(tt_Dir,MATCH(D1292,tt_Type,0)),"")</f>
        <v/>
      </c>
      <c r="V1292" s="67">
        <f>IF(D1292="","",IFERROR(IF(INDEX(tt_Other,MATCH(D1292,tt_Type,0))="",E1292&amp;"",INDEX(tt_Other,MATCH(D1292,tt_Type,0))),""))</f>
        <v/>
      </c>
      <c r="W1292" s="68">
        <f>IF(OR(TaxOn&lt;&gt;"Yes",NOT(ISNUMBER(M1292))),0,IF(IFERROR(INDEX(tt_Tax,MATCH(D1292,tt_Type,0)),"No")="Yes",M1292,0))</f>
        <v/>
      </c>
      <c r="X1292" s="67">
        <f>IF(T1292=1,"",IF(C1292="","Missing transaction date",IF(NOT(ISNUMBER(C1292)),"Invalid date",IF(OR(C1292&lt;DATE(2000,1,1),C1292&gt;DATE(2099,12,31)),"Invalid date",IF(D1292="","Select a type",IF(U1292="","Unknown type: "&amp;D1292,IF(V1292="","Select an account (Category)",IF(ISNA(MATCH(V1292,coa_Name,0)),"Unknown account: "&amp;V1292,IF(K1292="","Select Paid From / Deposited To",IF(ISNA(MATCH(K1292,coa_Name,0)),"Unknown account: "&amp;K1292,IF(NOT(ISNUMBER(L1292)),"Enter an amount",IF(L1292=0,"Enter an amount",IF(ABS(W1292)&gt;ABS(L1292),"Tax is larger than the amount","")))))))))))))</f>
        <v/>
      </c>
      <c r="Y1292" s="67">
        <f>IF(OR(T1292=1,X1292&lt;&gt;""),"",IF(AND(B1292&lt;&gt;"",COUNTIF(tx_ID,B1292)&gt;1),"Duplicate transaction ID",IF(AND(L1292&lt;0,D1292&lt;&gt;"Adjustment"),"Negative amount — check this entry",IF(AND(D1292="Customer Payment",G1292=""),"Add the customer",IF(AND(D1292="Customer Payment",OR(J1292="",COUNTIF(ar_No,J1292&amp;"")=0)),"Invoice # in Reference not found on AR sheet",IF(AND(D1292="Bill Payment",H1292=""),"Add the vendor",IF(AND(D1292="Bill Payment",OR(J1292="",COUNTIFS(ap_No,J1292&amp;"",ap_Party,H1292&amp;"")=0)),"Bill # + vendor not found on AP sheet",IF(AND(ISNUMBER(M1292),N(M1292)&lt;&gt;0,W1292=0),"Tax ignored (tax tracking off, or not allowed for this type)",IF(V1292=K1292&amp;"","Same account on both sides",IF(AND(ISNUMBER(StartDate),C1292&lt;StartDate),"Date is before the accounting start date",IF(AND(D1292&lt;&gt;"Adjustment",IFERROR(INDEX(coa_Pay,MATCH(K1292&amp;"",coa_Name,0)),"")&lt;&gt;"Yes"),"Paid From / Deposited To is not a payment account","")))))))))))</f>
        <v/>
      </c>
      <c r="Z1292" s="67">
        <f>IF(AND(T1292=0,X1292=""),1,0)</f>
        <v/>
      </c>
      <c r="AA1292" s="68">
        <f>IF(Z1292=1,IF(U1292="In",L1292,L1292-W1292),0)</f>
        <v/>
      </c>
      <c r="AB1292" s="68">
        <f>IF(Z1292=1,IF(U1292="In",L1292-W1292,L1292),0)</f>
        <v/>
      </c>
      <c r="AC1292" s="68">
        <f>IF(AND(Z1292=1,U1292="Out"),W1292,0)</f>
        <v/>
      </c>
      <c r="AD1292" s="68">
        <f>IF(AND(Z1292=1,U1292="In"),W1292,0)</f>
        <v/>
      </c>
    </row>
    <row r="1293">
      <c r="B1293" s="62" t="inlineStr">
        <is>
          <t>TX-1287</t>
        </is>
      </c>
      <c r="C1293" s="63" t="n"/>
      <c r="D1293" s="62" t="n"/>
      <c r="E1293" s="62" t="n"/>
      <c r="F1293" s="62" t="n"/>
      <c r="G1293" s="62" t="n"/>
      <c r="H1293" s="62" t="n"/>
      <c r="I1293" s="62" t="n"/>
      <c r="J1293" s="62" t="n"/>
      <c r="K1293" s="62" t="n"/>
      <c r="L1293" s="64" t="n"/>
      <c r="M1293" s="64" t="n"/>
      <c r="N1293" s="62" t="n"/>
      <c r="O1293" s="65">
        <f>IF(Z1293=1,L1293-W1293,"")</f>
        <v/>
      </c>
      <c r="P1293" s="66">
        <f>IF(V1293="","",IFERROR(INDEX(coa_Type,MATCH(V1293,coa_Name,0)),""))</f>
        <v/>
      </c>
      <c r="Q1293" s="66">
        <f>IF(Z1293=1,IF(U1293="In",K1293&amp;"",V1293),"")</f>
        <v/>
      </c>
      <c r="R1293" s="66">
        <f>IF(Z1293=1,IF(U1293="In",V1293,K1293&amp;""),"")</f>
        <v/>
      </c>
      <c r="S1293" s="66">
        <f>IF(X1293&lt;&gt;"","⛔ "&amp;X1293&amp;" — not posted",IF(Y1293&lt;&gt;"","⚠ "&amp;Y1293,IF(Z1293=1,"✓ OK","")))</f>
        <v/>
      </c>
      <c r="T1293" s="67">
        <f>IF(AND(C1293="",D1293="",E1293="",L1293="",K1293=""),1,0)</f>
        <v/>
      </c>
      <c r="U1293" s="67">
        <f>IFERROR(INDEX(tt_Dir,MATCH(D1293,tt_Type,0)),"")</f>
        <v/>
      </c>
      <c r="V1293" s="67">
        <f>IF(D1293="","",IFERROR(IF(INDEX(tt_Other,MATCH(D1293,tt_Type,0))="",E1293&amp;"",INDEX(tt_Other,MATCH(D1293,tt_Type,0))),""))</f>
        <v/>
      </c>
      <c r="W1293" s="68">
        <f>IF(OR(TaxOn&lt;&gt;"Yes",NOT(ISNUMBER(M1293))),0,IF(IFERROR(INDEX(tt_Tax,MATCH(D1293,tt_Type,0)),"No")="Yes",M1293,0))</f>
        <v/>
      </c>
      <c r="X1293" s="67">
        <f>IF(T1293=1,"",IF(C1293="","Missing transaction date",IF(NOT(ISNUMBER(C1293)),"Invalid date",IF(OR(C1293&lt;DATE(2000,1,1),C1293&gt;DATE(2099,12,31)),"Invalid date",IF(D1293="","Select a type",IF(U1293="","Unknown type: "&amp;D1293,IF(V1293="","Select an account (Category)",IF(ISNA(MATCH(V1293,coa_Name,0)),"Unknown account: "&amp;V1293,IF(K1293="","Select Paid From / Deposited To",IF(ISNA(MATCH(K1293,coa_Name,0)),"Unknown account: "&amp;K1293,IF(NOT(ISNUMBER(L1293)),"Enter an amount",IF(L1293=0,"Enter an amount",IF(ABS(W1293)&gt;ABS(L1293),"Tax is larger than the amount","")))))))))))))</f>
        <v/>
      </c>
      <c r="Y1293" s="67">
        <f>IF(OR(T1293=1,X1293&lt;&gt;""),"",IF(AND(B1293&lt;&gt;"",COUNTIF(tx_ID,B1293)&gt;1),"Duplicate transaction ID",IF(AND(L1293&lt;0,D1293&lt;&gt;"Adjustment"),"Negative amount — check this entry",IF(AND(D1293="Customer Payment",G1293=""),"Add the customer",IF(AND(D1293="Customer Payment",OR(J1293="",COUNTIF(ar_No,J1293&amp;"")=0)),"Invoice # in Reference not found on AR sheet",IF(AND(D1293="Bill Payment",H1293=""),"Add the vendor",IF(AND(D1293="Bill Payment",OR(J1293="",COUNTIFS(ap_No,J1293&amp;"",ap_Party,H1293&amp;"")=0)),"Bill # + vendor not found on AP sheet",IF(AND(ISNUMBER(M1293),N(M1293)&lt;&gt;0,W1293=0),"Tax ignored (tax tracking off, or not allowed for this type)",IF(V1293=K1293&amp;"","Same account on both sides",IF(AND(ISNUMBER(StartDate),C1293&lt;StartDate),"Date is before the accounting start date",IF(AND(D1293&lt;&gt;"Adjustment",IFERROR(INDEX(coa_Pay,MATCH(K1293&amp;"",coa_Name,0)),"")&lt;&gt;"Yes"),"Paid From / Deposited To is not a payment account","")))))))))))</f>
        <v/>
      </c>
      <c r="Z1293" s="67">
        <f>IF(AND(T1293=0,X1293=""),1,0)</f>
        <v/>
      </c>
      <c r="AA1293" s="68">
        <f>IF(Z1293=1,IF(U1293="In",L1293,L1293-W1293),0)</f>
        <v/>
      </c>
      <c r="AB1293" s="68">
        <f>IF(Z1293=1,IF(U1293="In",L1293-W1293,L1293),0)</f>
        <v/>
      </c>
      <c r="AC1293" s="68">
        <f>IF(AND(Z1293=1,U1293="Out"),W1293,0)</f>
        <v/>
      </c>
      <c r="AD1293" s="68">
        <f>IF(AND(Z1293=1,U1293="In"),W1293,0)</f>
        <v/>
      </c>
    </row>
    <row r="1294">
      <c r="B1294" s="62" t="inlineStr">
        <is>
          <t>TX-1288</t>
        </is>
      </c>
      <c r="C1294" s="63" t="n"/>
      <c r="D1294" s="62" t="n"/>
      <c r="E1294" s="62" t="n"/>
      <c r="F1294" s="62" t="n"/>
      <c r="G1294" s="62" t="n"/>
      <c r="H1294" s="62" t="n"/>
      <c r="I1294" s="62" t="n"/>
      <c r="J1294" s="62" t="n"/>
      <c r="K1294" s="62" t="n"/>
      <c r="L1294" s="64" t="n"/>
      <c r="M1294" s="64" t="n"/>
      <c r="N1294" s="62" t="n"/>
      <c r="O1294" s="65">
        <f>IF(Z1294=1,L1294-W1294,"")</f>
        <v/>
      </c>
      <c r="P1294" s="66">
        <f>IF(V1294="","",IFERROR(INDEX(coa_Type,MATCH(V1294,coa_Name,0)),""))</f>
        <v/>
      </c>
      <c r="Q1294" s="66">
        <f>IF(Z1294=1,IF(U1294="In",K1294&amp;"",V1294),"")</f>
        <v/>
      </c>
      <c r="R1294" s="66">
        <f>IF(Z1294=1,IF(U1294="In",V1294,K1294&amp;""),"")</f>
        <v/>
      </c>
      <c r="S1294" s="66">
        <f>IF(X1294&lt;&gt;"","⛔ "&amp;X1294&amp;" — not posted",IF(Y1294&lt;&gt;"","⚠ "&amp;Y1294,IF(Z1294=1,"✓ OK","")))</f>
        <v/>
      </c>
      <c r="T1294" s="67">
        <f>IF(AND(C1294="",D1294="",E1294="",L1294="",K1294=""),1,0)</f>
        <v/>
      </c>
      <c r="U1294" s="67">
        <f>IFERROR(INDEX(tt_Dir,MATCH(D1294,tt_Type,0)),"")</f>
        <v/>
      </c>
      <c r="V1294" s="67">
        <f>IF(D1294="","",IFERROR(IF(INDEX(tt_Other,MATCH(D1294,tt_Type,0))="",E1294&amp;"",INDEX(tt_Other,MATCH(D1294,tt_Type,0))),""))</f>
        <v/>
      </c>
      <c r="W1294" s="68">
        <f>IF(OR(TaxOn&lt;&gt;"Yes",NOT(ISNUMBER(M1294))),0,IF(IFERROR(INDEX(tt_Tax,MATCH(D1294,tt_Type,0)),"No")="Yes",M1294,0))</f>
        <v/>
      </c>
      <c r="X1294" s="67">
        <f>IF(T1294=1,"",IF(C1294="","Missing transaction date",IF(NOT(ISNUMBER(C1294)),"Invalid date",IF(OR(C1294&lt;DATE(2000,1,1),C1294&gt;DATE(2099,12,31)),"Invalid date",IF(D1294="","Select a type",IF(U1294="","Unknown type: "&amp;D1294,IF(V1294="","Select an account (Category)",IF(ISNA(MATCH(V1294,coa_Name,0)),"Unknown account: "&amp;V1294,IF(K1294="","Select Paid From / Deposited To",IF(ISNA(MATCH(K1294,coa_Name,0)),"Unknown account: "&amp;K1294,IF(NOT(ISNUMBER(L1294)),"Enter an amount",IF(L1294=0,"Enter an amount",IF(ABS(W1294)&gt;ABS(L1294),"Tax is larger than the amount","")))))))))))))</f>
        <v/>
      </c>
      <c r="Y1294" s="67">
        <f>IF(OR(T1294=1,X1294&lt;&gt;""),"",IF(AND(B1294&lt;&gt;"",COUNTIF(tx_ID,B1294)&gt;1),"Duplicate transaction ID",IF(AND(L1294&lt;0,D1294&lt;&gt;"Adjustment"),"Negative amount — check this entry",IF(AND(D1294="Customer Payment",G1294=""),"Add the customer",IF(AND(D1294="Customer Payment",OR(J1294="",COUNTIF(ar_No,J1294&amp;"")=0)),"Invoice # in Reference not found on AR sheet",IF(AND(D1294="Bill Payment",H1294=""),"Add the vendor",IF(AND(D1294="Bill Payment",OR(J1294="",COUNTIFS(ap_No,J1294&amp;"",ap_Party,H1294&amp;"")=0)),"Bill # + vendor not found on AP sheet",IF(AND(ISNUMBER(M1294),N(M1294)&lt;&gt;0,W1294=0),"Tax ignored (tax tracking off, or not allowed for this type)",IF(V1294=K1294&amp;"","Same account on both sides",IF(AND(ISNUMBER(StartDate),C1294&lt;StartDate),"Date is before the accounting start date",IF(AND(D1294&lt;&gt;"Adjustment",IFERROR(INDEX(coa_Pay,MATCH(K1294&amp;"",coa_Name,0)),"")&lt;&gt;"Yes"),"Paid From / Deposited To is not a payment account","")))))))))))</f>
        <v/>
      </c>
      <c r="Z1294" s="67">
        <f>IF(AND(T1294=0,X1294=""),1,0)</f>
        <v/>
      </c>
      <c r="AA1294" s="68">
        <f>IF(Z1294=1,IF(U1294="In",L1294,L1294-W1294),0)</f>
        <v/>
      </c>
      <c r="AB1294" s="68">
        <f>IF(Z1294=1,IF(U1294="In",L1294-W1294,L1294),0)</f>
        <v/>
      </c>
      <c r="AC1294" s="68">
        <f>IF(AND(Z1294=1,U1294="Out"),W1294,0)</f>
        <v/>
      </c>
      <c r="AD1294" s="68">
        <f>IF(AND(Z1294=1,U1294="In"),W1294,0)</f>
        <v/>
      </c>
    </row>
    <row r="1295">
      <c r="B1295" s="62" t="inlineStr">
        <is>
          <t>TX-1289</t>
        </is>
      </c>
      <c r="C1295" s="63" t="n"/>
      <c r="D1295" s="62" t="n"/>
      <c r="E1295" s="62" t="n"/>
      <c r="F1295" s="62" t="n"/>
      <c r="G1295" s="62" t="n"/>
      <c r="H1295" s="62" t="n"/>
      <c r="I1295" s="62" t="n"/>
      <c r="J1295" s="62" t="n"/>
      <c r="K1295" s="62" t="n"/>
      <c r="L1295" s="64" t="n"/>
      <c r="M1295" s="64" t="n"/>
      <c r="N1295" s="62" t="n"/>
      <c r="O1295" s="65">
        <f>IF(Z1295=1,L1295-W1295,"")</f>
        <v/>
      </c>
      <c r="P1295" s="66">
        <f>IF(V1295="","",IFERROR(INDEX(coa_Type,MATCH(V1295,coa_Name,0)),""))</f>
        <v/>
      </c>
      <c r="Q1295" s="66">
        <f>IF(Z1295=1,IF(U1295="In",K1295&amp;"",V1295),"")</f>
        <v/>
      </c>
      <c r="R1295" s="66">
        <f>IF(Z1295=1,IF(U1295="In",V1295,K1295&amp;""),"")</f>
        <v/>
      </c>
      <c r="S1295" s="66">
        <f>IF(X1295&lt;&gt;"","⛔ "&amp;X1295&amp;" — not posted",IF(Y1295&lt;&gt;"","⚠ "&amp;Y1295,IF(Z1295=1,"✓ OK","")))</f>
        <v/>
      </c>
      <c r="T1295" s="67">
        <f>IF(AND(C1295="",D1295="",E1295="",L1295="",K1295=""),1,0)</f>
        <v/>
      </c>
      <c r="U1295" s="67">
        <f>IFERROR(INDEX(tt_Dir,MATCH(D1295,tt_Type,0)),"")</f>
        <v/>
      </c>
      <c r="V1295" s="67">
        <f>IF(D1295="","",IFERROR(IF(INDEX(tt_Other,MATCH(D1295,tt_Type,0))="",E1295&amp;"",INDEX(tt_Other,MATCH(D1295,tt_Type,0))),""))</f>
        <v/>
      </c>
      <c r="W1295" s="68">
        <f>IF(OR(TaxOn&lt;&gt;"Yes",NOT(ISNUMBER(M1295))),0,IF(IFERROR(INDEX(tt_Tax,MATCH(D1295,tt_Type,0)),"No")="Yes",M1295,0))</f>
        <v/>
      </c>
      <c r="X1295" s="67">
        <f>IF(T1295=1,"",IF(C1295="","Missing transaction date",IF(NOT(ISNUMBER(C1295)),"Invalid date",IF(OR(C1295&lt;DATE(2000,1,1),C1295&gt;DATE(2099,12,31)),"Invalid date",IF(D1295="","Select a type",IF(U1295="","Unknown type: "&amp;D1295,IF(V1295="","Select an account (Category)",IF(ISNA(MATCH(V1295,coa_Name,0)),"Unknown account: "&amp;V1295,IF(K1295="","Select Paid From / Deposited To",IF(ISNA(MATCH(K1295,coa_Name,0)),"Unknown account: "&amp;K1295,IF(NOT(ISNUMBER(L1295)),"Enter an amount",IF(L1295=0,"Enter an amount",IF(ABS(W1295)&gt;ABS(L1295),"Tax is larger than the amount","")))))))))))))</f>
        <v/>
      </c>
      <c r="Y1295" s="67">
        <f>IF(OR(T1295=1,X1295&lt;&gt;""),"",IF(AND(B1295&lt;&gt;"",COUNTIF(tx_ID,B1295)&gt;1),"Duplicate transaction ID",IF(AND(L1295&lt;0,D1295&lt;&gt;"Adjustment"),"Negative amount — check this entry",IF(AND(D1295="Customer Payment",G1295=""),"Add the customer",IF(AND(D1295="Customer Payment",OR(J1295="",COUNTIF(ar_No,J1295&amp;"")=0)),"Invoice # in Reference not found on AR sheet",IF(AND(D1295="Bill Payment",H1295=""),"Add the vendor",IF(AND(D1295="Bill Payment",OR(J1295="",COUNTIFS(ap_No,J1295&amp;"",ap_Party,H1295&amp;"")=0)),"Bill # + vendor not found on AP sheet",IF(AND(ISNUMBER(M1295),N(M1295)&lt;&gt;0,W1295=0),"Tax ignored (tax tracking off, or not allowed for this type)",IF(V1295=K1295&amp;"","Same account on both sides",IF(AND(ISNUMBER(StartDate),C1295&lt;StartDate),"Date is before the accounting start date",IF(AND(D1295&lt;&gt;"Adjustment",IFERROR(INDEX(coa_Pay,MATCH(K1295&amp;"",coa_Name,0)),"")&lt;&gt;"Yes"),"Paid From / Deposited To is not a payment account","")))))))))))</f>
        <v/>
      </c>
      <c r="Z1295" s="67">
        <f>IF(AND(T1295=0,X1295=""),1,0)</f>
        <v/>
      </c>
      <c r="AA1295" s="68">
        <f>IF(Z1295=1,IF(U1295="In",L1295,L1295-W1295),0)</f>
        <v/>
      </c>
      <c r="AB1295" s="68">
        <f>IF(Z1295=1,IF(U1295="In",L1295-W1295,L1295),0)</f>
        <v/>
      </c>
      <c r="AC1295" s="68">
        <f>IF(AND(Z1295=1,U1295="Out"),W1295,0)</f>
        <v/>
      </c>
      <c r="AD1295" s="68">
        <f>IF(AND(Z1295=1,U1295="In"),W1295,0)</f>
        <v/>
      </c>
    </row>
    <row r="1296">
      <c r="B1296" s="62" t="inlineStr">
        <is>
          <t>TX-1290</t>
        </is>
      </c>
      <c r="C1296" s="63" t="n"/>
      <c r="D1296" s="62" t="n"/>
      <c r="E1296" s="62" t="n"/>
      <c r="F1296" s="62" t="n"/>
      <c r="G1296" s="62" t="n"/>
      <c r="H1296" s="62" t="n"/>
      <c r="I1296" s="62" t="n"/>
      <c r="J1296" s="62" t="n"/>
      <c r="K1296" s="62" t="n"/>
      <c r="L1296" s="64" t="n"/>
      <c r="M1296" s="64" t="n"/>
      <c r="N1296" s="62" t="n"/>
      <c r="O1296" s="65">
        <f>IF(Z1296=1,L1296-W1296,"")</f>
        <v/>
      </c>
      <c r="P1296" s="66">
        <f>IF(V1296="","",IFERROR(INDEX(coa_Type,MATCH(V1296,coa_Name,0)),""))</f>
        <v/>
      </c>
      <c r="Q1296" s="66">
        <f>IF(Z1296=1,IF(U1296="In",K1296&amp;"",V1296),"")</f>
        <v/>
      </c>
      <c r="R1296" s="66">
        <f>IF(Z1296=1,IF(U1296="In",V1296,K1296&amp;""),"")</f>
        <v/>
      </c>
      <c r="S1296" s="66">
        <f>IF(X1296&lt;&gt;"","⛔ "&amp;X1296&amp;" — not posted",IF(Y1296&lt;&gt;"","⚠ "&amp;Y1296,IF(Z1296=1,"✓ OK","")))</f>
        <v/>
      </c>
      <c r="T1296" s="67">
        <f>IF(AND(C1296="",D1296="",E1296="",L1296="",K1296=""),1,0)</f>
        <v/>
      </c>
      <c r="U1296" s="67">
        <f>IFERROR(INDEX(tt_Dir,MATCH(D1296,tt_Type,0)),"")</f>
        <v/>
      </c>
      <c r="V1296" s="67">
        <f>IF(D1296="","",IFERROR(IF(INDEX(tt_Other,MATCH(D1296,tt_Type,0))="",E1296&amp;"",INDEX(tt_Other,MATCH(D1296,tt_Type,0))),""))</f>
        <v/>
      </c>
      <c r="W1296" s="68">
        <f>IF(OR(TaxOn&lt;&gt;"Yes",NOT(ISNUMBER(M1296))),0,IF(IFERROR(INDEX(tt_Tax,MATCH(D1296,tt_Type,0)),"No")="Yes",M1296,0))</f>
        <v/>
      </c>
      <c r="X1296" s="67">
        <f>IF(T1296=1,"",IF(C1296="","Missing transaction date",IF(NOT(ISNUMBER(C1296)),"Invalid date",IF(OR(C1296&lt;DATE(2000,1,1),C1296&gt;DATE(2099,12,31)),"Invalid date",IF(D1296="","Select a type",IF(U1296="","Unknown type: "&amp;D1296,IF(V1296="","Select an account (Category)",IF(ISNA(MATCH(V1296,coa_Name,0)),"Unknown account: "&amp;V1296,IF(K1296="","Select Paid From / Deposited To",IF(ISNA(MATCH(K1296,coa_Name,0)),"Unknown account: "&amp;K1296,IF(NOT(ISNUMBER(L1296)),"Enter an amount",IF(L1296=0,"Enter an amount",IF(ABS(W1296)&gt;ABS(L1296),"Tax is larger than the amount","")))))))))))))</f>
        <v/>
      </c>
      <c r="Y1296" s="67">
        <f>IF(OR(T1296=1,X1296&lt;&gt;""),"",IF(AND(B1296&lt;&gt;"",COUNTIF(tx_ID,B1296)&gt;1),"Duplicate transaction ID",IF(AND(L1296&lt;0,D1296&lt;&gt;"Adjustment"),"Negative amount — check this entry",IF(AND(D1296="Customer Payment",G1296=""),"Add the customer",IF(AND(D1296="Customer Payment",OR(J1296="",COUNTIF(ar_No,J1296&amp;"")=0)),"Invoice # in Reference not found on AR sheet",IF(AND(D1296="Bill Payment",H1296=""),"Add the vendor",IF(AND(D1296="Bill Payment",OR(J1296="",COUNTIFS(ap_No,J1296&amp;"",ap_Party,H1296&amp;"")=0)),"Bill # + vendor not found on AP sheet",IF(AND(ISNUMBER(M1296),N(M1296)&lt;&gt;0,W1296=0),"Tax ignored (tax tracking off, or not allowed for this type)",IF(V1296=K1296&amp;"","Same account on both sides",IF(AND(ISNUMBER(StartDate),C1296&lt;StartDate),"Date is before the accounting start date",IF(AND(D1296&lt;&gt;"Adjustment",IFERROR(INDEX(coa_Pay,MATCH(K1296&amp;"",coa_Name,0)),"")&lt;&gt;"Yes"),"Paid From / Deposited To is not a payment account","")))))))))))</f>
        <v/>
      </c>
      <c r="Z1296" s="67">
        <f>IF(AND(T1296=0,X1296=""),1,0)</f>
        <v/>
      </c>
      <c r="AA1296" s="68">
        <f>IF(Z1296=1,IF(U1296="In",L1296,L1296-W1296),0)</f>
        <v/>
      </c>
      <c r="AB1296" s="68">
        <f>IF(Z1296=1,IF(U1296="In",L1296-W1296,L1296),0)</f>
        <v/>
      </c>
      <c r="AC1296" s="68">
        <f>IF(AND(Z1296=1,U1296="Out"),W1296,0)</f>
        <v/>
      </c>
      <c r="AD1296" s="68">
        <f>IF(AND(Z1296=1,U1296="In"),W1296,0)</f>
        <v/>
      </c>
    </row>
    <row r="1297">
      <c r="B1297" s="62" t="inlineStr">
        <is>
          <t>TX-1291</t>
        </is>
      </c>
      <c r="C1297" s="63" t="n"/>
      <c r="D1297" s="62" t="n"/>
      <c r="E1297" s="62" t="n"/>
      <c r="F1297" s="62" t="n"/>
      <c r="G1297" s="62" t="n"/>
      <c r="H1297" s="62" t="n"/>
      <c r="I1297" s="62" t="n"/>
      <c r="J1297" s="62" t="n"/>
      <c r="K1297" s="62" t="n"/>
      <c r="L1297" s="64" t="n"/>
      <c r="M1297" s="64" t="n"/>
      <c r="N1297" s="62" t="n"/>
      <c r="O1297" s="65">
        <f>IF(Z1297=1,L1297-W1297,"")</f>
        <v/>
      </c>
      <c r="P1297" s="66">
        <f>IF(V1297="","",IFERROR(INDEX(coa_Type,MATCH(V1297,coa_Name,0)),""))</f>
        <v/>
      </c>
      <c r="Q1297" s="66">
        <f>IF(Z1297=1,IF(U1297="In",K1297&amp;"",V1297),"")</f>
        <v/>
      </c>
      <c r="R1297" s="66">
        <f>IF(Z1297=1,IF(U1297="In",V1297,K1297&amp;""),"")</f>
        <v/>
      </c>
      <c r="S1297" s="66">
        <f>IF(X1297&lt;&gt;"","⛔ "&amp;X1297&amp;" — not posted",IF(Y1297&lt;&gt;"","⚠ "&amp;Y1297,IF(Z1297=1,"✓ OK","")))</f>
        <v/>
      </c>
      <c r="T1297" s="67">
        <f>IF(AND(C1297="",D1297="",E1297="",L1297="",K1297=""),1,0)</f>
        <v/>
      </c>
      <c r="U1297" s="67">
        <f>IFERROR(INDEX(tt_Dir,MATCH(D1297,tt_Type,0)),"")</f>
        <v/>
      </c>
      <c r="V1297" s="67">
        <f>IF(D1297="","",IFERROR(IF(INDEX(tt_Other,MATCH(D1297,tt_Type,0))="",E1297&amp;"",INDEX(tt_Other,MATCH(D1297,tt_Type,0))),""))</f>
        <v/>
      </c>
      <c r="W1297" s="68">
        <f>IF(OR(TaxOn&lt;&gt;"Yes",NOT(ISNUMBER(M1297))),0,IF(IFERROR(INDEX(tt_Tax,MATCH(D1297,tt_Type,0)),"No")="Yes",M1297,0))</f>
        <v/>
      </c>
      <c r="X1297" s="67">
        <f>IF(T1297=1,"",IF(C1297="","Missing transaction date",IF(NOT(ISNUMBER(C1297)),"Invalid date",IF(OR(C1297&lt;DATE(2000,1,1),C1297&gt;DATE(2099,12,31)),"Invalid date",IF(D1297="","Select a type",IF(U1297="","Unknown type: "&amp;D1297,IF(V1297="","Select an account (Category)",IF(ISNA(MATCH(V1297,coa_Name,0)),"Unknown account: "&amp;V1297,IF(K1297="","Select Paid From / Deposited To",IF(ISNA(MATCH(K1297,coa_Name,0)),"Unknown account: "&amp;K1297,IF(NOT(ISNUMBER(L1297)),"Enter an amount",IF(L1297=0,"Enter an amount",IF(ABS(W1297)&gt;ABS(L1297),"Tax is larger than the amount","")))))))))))))</f>
        <v/>
      </c>
      <c r="Y1297" s="67">
        <f>IF(OR(T1297=1,X1297&lt;&gt;""),"",IF(AND(B1297&lt;&gt;"",COUNTIF(tx_ID,B1297)&gt;1),"Duplicate transaction ID",IF(AND(L1297&lt;0,D1297&lt;&gt;"Adjustment"),"Negative amount — check this entry",IF(AND(D1297="Customer Payment",G1297=""),"Add the customer",IF(AND(D1297="Customer Payment",OR(J1297="",COUNTIF(ar_No,J1297&amp;"")=0)),"Invoice # in Reference not found on AR sheet",IF(AND(D1297="Bill Payment",H1297=""),"Add the vendor",IF(AND(D1297="Bill Payment",OR(J1297="",COUNTIFS(ap_No,J1297&amp;"",ap_Party,H1297&amp;"")=0)),"Bill # + vendor not found on AP sheet",IF(AND(ISNUMBER(M1297),N(M1297)&lt;&gt;0,W1297=0),"Tax ignored (tax tracking off, or not allowed for this type)",IF(V1297=K1297&amp;"","Same account on both sides",IF(AND(ISNUMBER(StartDate),C1297&lt;StartDate),"Date is before the accounting start date",IF(AND(D1297&lt;&gt;"Adjustment",IFERROR(INDEX(coa_Pay,MATCH(K1297&amp;"",coa_Name,0)),"")&lt;&gt;"Yes"),"Paid From / Deposited To is not a payment account","")))))))))))</f>
        <v/>
      </c>
      <c r="Z1297" s="67">
        <f>IF(AND(T1297=0,X1297=""),1,0)</f>
        <v/>
      </c>
      <c r="AA1297" s="68">
        <f>IF(Z1297=1,IF(U1297="In",L1297,L1297-W1297),0)</f>
        <v/>
      </c>
      <c r="AB1297" s="68">
        <f>IF(Z1297=1,IF(U1297="In",L1297-W1297,L1297),0)</f>
        <v/>
      </c>
      <c r="AC1297" s="68">
        <f>IF(AND(Z1297=1,U1297="Out"),W1297,0)</f>
        <v/>
      </c>
      <c r="AD1297" s="68">
        <f>IF(AND(Z1297=1,U1297="In"),W1297,0)</f>
        <v/>
      </c>
    </row>
    <row r="1298">
      <c r="B1298" s="62" t="inlineStr">
        <is>
          <t>TX-1292</t>
        </is>
      </c>
      <c r="C1298" s="63" t="n"/>
      <c r="D1298" s="62" t="n"/>
      <c r="E1298" s="62" t="n"/>
      <c r="F1298" s="62" t="n"/>
      <c r="G1298" s="62" t="n"/>
      <c r="H1298" s="62" t="n"/>
      <c r="I1298" s="62" t="n"/>
      <c r="J1298" s="62" t="n"/>
      <c r="K1298" s="62" t="n"/>
      <c r="L1298" s="64" t="n"/>
      <c r="M1298" s="64" t="n"/>
      <c r="N1298" s="62" t="n"/>
      <c r="O1298" s="65">
        <f>IF(Z1298=1,L1298-W1298,"")</f>
        <v/>
      </c>
      <c r="P1298" s="66">
        <f>IF(V1298="","",IFERROR(INDEX(coa_Type,MATCH(V1298,coa_Name,0)),""))</f>
        <v/>
      </c>
      <c r="Q1298" s="66">
        <f>IF(Z1298=1,IF(U1298="In",K1298&amp;"",V1298),"")</f>
        <v/>
      </c>
      <c r="R1298" s="66">
        <f>IF(Z1298=1,IF(U1298="In",V1298,K1298&amp;""),"")</f>
        <v/>
      </c>
      <c r="S1298" s="66">
        <f>IF(X1298&lt;&gt;"","⛔ "&amp;X1298&amp;" — not posted",IF(Y1298&lt;&gt;"","⚠ "&amp;Y1298,IF(Z1298=1,"✓ OK","")))</f>
        <v/>
      </c>
      <c r="T1298" s="67">
        <f>IF(AND(C1298="",D1298="",E1298="",L1298="",K1298=""),1,0)</f>
        <v/>
      </c>
      <c r="U1298" s="67">
        <f>IFERROR(INDEX(tt_Dir,MATCH(D1298,tt_Type,0)),"")</f>
        <v/>
      </c>
      <c r="V1298" s="67">
        <f>IF(D1298="","",IFERROR(IF(INDEX(tt_Other,MATCH(D1298,tt_Type,0))="",E1298&amp;"",INDEX(tt_Other,MATCH(D1298,tt_Type,0))),""))</f>
        <v/>
      </c>
      <c r="W1298" s="68">
        <f>IF(OR(TaxOn&lt;&gt;"Yes",NOT(ISNUMBER(M1298))),0,IF(IFERROR(INDEX(tt_Tax,MATCH(D1298,tt_Type,0)),"No")="Yes",M1298,0))</f>
        <v/>
      </c>
      <c r="X1298" s="67">
        <f>IF(T1298=1,"",IF(C1298="","Missing transaction date",IF(NOT(ISNUMBER(C1298)),"Invalid date",IF(OR(C1298&lt;DATE(2000,1,1),C1298&gt;DATE(2099,12,31)),"Invalid date",IF(D1298="","Select a type",IF(U1298="","Unknown type: "&amp;D1298,IF(V1298="","Select an account (Category)",IF(ISNA(MATCH(V1298,coa_Name,0)),"Unknown account: "&amp;V1298,IF(K1298="","Select Paid From / Deposited To",IF(ISNA(MATCH(K1298,coa_Name,0)),"Unknown account: "&amp;K1298,IF(NOT(ISNUMBER(L1298)),"Enter an amount",IF(L1298=0,"Enter an amount",IF(ABS(W1298)&gt;ABS(L1298),"Tax is larger than the amount","")))))))))))))</f>
        <v/>
      </c>
      <c r="Y1298" s="67">
        <f>IF(OR(T1298=1,X1298&lt;&gt;""),"",IF(AND(B1298&lt;&gt;"",COUNTIF(tx_ID,B1298)&gt;1),"Duplicate transaction ID",IF(AND(L1298&lt;0,D1298&lt;&gt;"Adjustment"),"Negative amount — check this entry",IF(AND(D1298="Customer Payment",G1298=""),"Add the customer",IF(AND(D1298="Customer Payment",OR(J1298="",COUNTIF(ar_No,J1298&amp;"")=0)),"Invoice # in Reference not found on AR sheet",IF(AND(D1298="Bill Payment",H1298=""),"Add the vendor",IF(AND(D1298="Bill Payment",OR(J1298="",COUNTIFS(ap_No,J1298&amp;"",ap_Party,H1298&amp;"")=0)),"Bill # + vendor not found on AP sheet",IF(AND(ISNUMBER(M1298),N(M1298)&lt;&gt;0,W1298=0),"Tax ignored (tax tracking off, or not allowed for this type)",IF(V1298=K1298&amp;"","Same account on both sides",IF(AND(ISNUMBER(StartDate),C1298&lt;StartDate),"Date is before the accounting start date",IF(AND(D1298&lt;&gt;"Adjustment",IFERROR(INDEX(coa_Pay,MATCH(K1298&amp;"",coa_Name,0)),"")&lt;&gt;"Yes"),"Paid From / Deposited To is not a payment account","")))))))))))</f>
        <v/>
      </c>
      <c r="Z1298" s="67">
        <f>IF(AND(T1298=0,X1298=""),1,0)</f>
        <v/>
      </c>
      <c r="AA1298" s="68">
        <f>IF(Z1298=1,IF(U1298="In",L1298,L1298-W1298),0)</f>
        <v/>
      </c>
      <c r="AB1298" s="68">
        <f>IF(Z1298=1,IF(U1298="In",L1298-W1298,L1298),0)</f>
        <v/>
      </c>
      <c r="AC1298" s="68">
        <f>IF(AND(Z1298=1,U1298="Out"),W1298,0)</f>
        <v/>
      </c>
      <c r="AD1298" s="68">
        <f>IF(AND(Z1298=1,U1298="In"),W1298,0)</f>
        <v/>
      </c>
    </row>
    <row r="1299">
      <c r="B1299" s="62" t="inlineStr">
        <is>
          <t>TX-1293</t>
        </is>
      </c>
      <c r="C1299" s="63" t="n"/>
      <c r="D1299" s="62" t="n"/>
      <c r="E1299" s="62" t="n"/>
      <c r="F1299" s="62" t="n"/>
      <c r="G1299" s="62" t="n"/>
      <c r="H1299" s="62" t="n"/>
      <c r="I1299" s="62" t="n"/>
      <c r="J1299" s="62" t="n"/>
      <c r="K1299" s="62" t="n"/>
      <c r="L1299" s="64" t="n"/>
      <c r="M1299" s="64" t="n"/>
      <c r="N1299" s="62" t="n"/>
      <c r="O1299" s="65">
        <f>IF(Z1299=1,L1299-W1299,"")</f>
        <v/>
      </c>
      <c r="P1299" s="66">
        <f>IF(V1299="","",IFERROR(INDEX(coa_Type,MATCH(V1299,coa_Name,0)),""))</f>
        <v/>
      </c>
      <c r="Q1299" s="66">
        <f>IF(Z1299=1,IF(U1299="In",K1299&amp;"",V1299),"")</f>
        <v/>
      </c>
      <c r="R1299" s="66">
        <f>IF(Z1299=1,IF(U1299="In",V1299,K1299&amp;""),"")</f>
        <v/>
      </c>
      <c r="S1299" s="66">
        <f>IF(X1299&lt;&gt;"","⛔ "&amp;X1299&amp;" — not posted",IF(Y1299&lt;&gt;"","⚠ "&amp;Y1299,IF(Z1299=1,"✓ OK","")))</f>
        <v/>
      </c>
      <c r="T1299" s="67">
        <f>IF(AND(C1299="",D1299="",E1299="",L1299="",K1299=""),1,0)</f>
        <v/>
      </c>
      <c r="U1299" s="67">
        <f>IFERROR(INDEX(tt_Dir,MATCH(D1299,tt_Type,0)),"")</f>
        <v/>
      </c>
      <c r="V1299" s="67">
        <f>IF(D1299="","",IFERROR(IF(INDEX(tt_Other,MATCH(D1299,tt_Type,0))="",E1299&amp;"",INDEX(tt_Other,MATCH(D1299,tt_Type,0))),""))</f>
        <v/>
      </c>
      <c r="W1299" s="68">
        <f>IF(OR(TaxOn&lt;&gt;"Yes",NOT(ISNUMBER(M1299))),0,IF(IFERROR(INDEX(tt_Tax,MATCH(D1299,tt_Type,0)),"No")="Yes",M1299,0))</f>
        <v/>
      </c>
      <c r="X1299" s="67">
        <f>IF(T1299=1,"",IF(C1299="","Missing transaction date",IF(NOT(ISNUMBER(C1299)),"Invalid date",IF(OR(C1299&lt;DATE(2000,1,1),C1299&gt;DATE(2099,12,31)),"Invalid date",IF(D1299="","Select a type",IF(U1299="","Unknown type: "&amp;D1299,IF(V1299="","Select an account (Category)",IF(ISNA(MATCH(V1299,coa_Name,0)),"Unknown account: "&amp;V1299,IF(K1299="","Select Paid From / Deposited To",IF(ISNA(MATCH(K1299,coa_Name,0)),"Unknown account: "&amp;K1299,IF(NOT(ISNUMBER(L1299)),"Enter an amount",IF(L1299=0,"Enter an amount",IF(ABS(W1299)&gt;ABS(L1299),"Tax is larger than the amount","")))))))))))))</f>
        <v/>
      </c>
      <c r="Y1299" s="67">
        <f>IF(OR(T1299=1,X1299&lt;&gt;""),"",IF(AND(B1299&lt;&gt;"",COUNTIF(tx_ID,B1299)&gt;1),"Duplicate transaction ID",IF(AND(L1299&lt;0,D1299&lt;&gt;"Adjustment"),"Negative amount — check this entry",IF(AND(D1299="Customer Payment",G1299=""),"Add the customer",IF(AND(D1299="Customer Payment",OR(J1299="",COUNTIF(ar_No,J1299&amp;"")=0)),"Invoice # in Reference not found on AR sheet",IF(AND(D1299="Bill Payment",H1299=""),"Add the vendor",IF(AND(D1299="Bill Payment",OR(J1299="",COUNTIFS(ap_No,J1299&amp;"",ap_Party,H1299&amp;"")=0)),"Bill # + vendor not found on AP sheet",IF(AND(ISNUMBER(M1299),N(M1299)&lt;&gt;0,W1299=0),"Tax ignored (tax tracking off, or not allowed for this type)",IF(V1299=K1299&amp;"","Same account on both sides",IF(AND(ISNUMBER(StartDate),C1299&lt;StartDate),"Date is before the accounting start date",IF(AND(D1299&lt;&gt;"Adjustment",IFERROR(INDEX(coa_Pay,MATCH(K1299&amp;"",coa_Name,0)),"")&lt;&gt;"Yes"),"Paid From / Deposited To is not a payment account","")))))))))))</f>
        <v/>
      </c>
      <c r="Z1299" s="67">
        <f>IF(AND(T1299=0,X1299=""),1,0)</f>
        <v/>
      </c>
      <c r="AA1299" s="68">
        <f>IF(Z1299=1,IF(U1299="In",L1299,L1299-W1299),0)</f>
        <v/>
      </c>
      <c r="AB1299" s="68">
        <f>IF(Z1299=1,IF(U1299="In",L1299-W1299,L1299),0)</f>
        <v/>
      </c>
      <c r="AC1299" s="68">
        <f>IF(AND(Z1299=1,U1299="Out"),W1299,0)</f>
        <v/>
      </c>
      <c r="AD1299" s="68">
        <f>IF(AND(Z1299=1,U1299="In"),W1299,0)</f>
        <v/>
      </c>
    </row>
    <row r="1300">
      <c r="B1300" s="62" t="inlineStr">
        <is>
          <t>TX-1294</t>
        </is>
      </c>
      <c r="C1300" s="63" t="n"/>
      <c r="D1300" s="62" t="n"/>
      <c r="E1300" s="62" t="n"/>
      <c r="F1300" s="62" t="n"/>
      <c r="G1300" s="62" t="n"/>
      <c r="H1300" s="62" t="n"/>
      <c r="I1300" s="62" t="n"/>
      <c r="J1300" s="62" t="n"/>
      <c r="K1300" s="62" t="n"/>
      <c r="L1300" s="64" t="n"/>
      <c r="M1300" s="64" t="n"/>
      <c r="N1300" s="62" t="n"/>
      <c r="O1300" s="65">
        <f>IF(Z1300=1,L1300-W1300,"")</f>
        <v/>
      </c>
      <c r="P1300" s="66">
        <f>IF(V1300="","",IFERROR(INDEX(coa_Type,MATCH(V1300,coa_Name,0)),""))</f>
        <v/>
      </c>
      <c r="Q1300" s="66">
        <f>IF(Z1300=1,IF(U1300="In",K1300&amp;"",V1300),"")</f>
        <v/>
      </c>
      <c r="R1300" s="66">
        <f>IF(Z1300=1,IF(U1300="In",V1300,K1300&amp;""),"")</f>
        <v/>
      </c>
      <c r="S1300" s="66">
        <f>IF(X1300&lt;&gt;"","⛔ "&amp;X1300&amp;" — not posted",IF(Y1300&lt;&gt;"","⚠ "&amp;Y1300,IF(Z1300=1,"✓ OK","")))</f>
        <v/>
      </c>
      <c r="T1300" s="67">
        <f>IF(AND(C1300="",D1300="",E1300="",L1300="",K1300=""),1,0)</f>
        <v/>
      </c>
      <c r="U1300" s="67">
        <f>IFERROR(INDEX(tt_Dir,MATCH(D1300,tt_Type,0)),"")</f>
        <v/>
      </c>
      <c r="V1300" s="67">
        <f>IF(D1300="","",IFERROR(IF(INDEX(tt_Other,MATCH(D1300,tt_Type,0))="",E1300&amp;"",INDEX(tt_Other,MATCH(D1300,tt_Type,0))),""))</f>
        <v/>
      </c>
      <c r="W1300" s="68">
        <f>IF(OR(TaxOn&lt;&gt;"Yes",NOT(ISNUMBER(M1300))),0,IF(IFERROR(INDEX(tt_Tax,MATCH(D1300,tt_Type,0)),"No")="Yes",M1300,0))</f>
        <v/>
      </c>
      <c r="X1300" s="67">
        <f>IF(T1300=1,"",IF(C1300="","Missing transaction date",IF(NOT(ISNUMBER(C1300)),"Invalid date",IF(OR(C1300&lt;DATE(2000,1,1),C1300&gt;DATE(2099,12,31)),"Invalid date",IF(D1300="","Select a type",IF(U1300="","Unknown type: "&amp;D1300,IF(V1300="","Select an account (Category)",IF(ISNA(MATCH(V1300,coa_Name,0)),"Unknown account: "&amp;V1300,IF(K1300="","Select Paid From / Deposited To",IF(ISNA(MATCH(K1300,coa_Name,0)),"Unknown account: "&amp;K1300,IF(NOT(ISNUMBER(L1300)),"Enter an amount",IF(L1300=0,"Enter an amount",IF(ABS(W1300)&gt;ABS(L1300),"Tax is larger than the amount","")))))))))))))</f>
        <v/>
      </c>
      <c r="Y1300" s="67">
        <f>IF(OR(T1300=1,X1300&lt;&gt;""),"",IF(AND(B1300&lt;&gt;"",COUNTIF(tx_ID,B1300)&gt;1),"Duplicate transaction ID",IF(AND(L1300&lt;0,D1300&lt;&gt;"Adjustment"),"Negative amount — check this entry",IF(AND(D1300="Customer Payment",G1300=""),"Add the customer",IF(AND(D1300="Customer Payment",OR(J1300="",COUNTIF(ar_No,J1300&amp;"")=0)),"Invoice # in Reference not found on AR sheet",IF(AND(D1300="Bill Payment",H1300=""),"Add the vendor",IF(AND(D1300="Bill Payment",OR(J1300="",COUNTIFS(ap_No,J1300&amp;"",ap_Party,H1300&amp;"")=0)),"Bill # + vendor not found on AP sheet",IF(AND(ISNUMBER(M1300),N(M1300)&lt;&gt;0,W1300=0),"Tax ignored (tax tracking off, or not allowed for this type)",IF(V1300=K1300&amp;"","Same account on both sides",IF(AND(ISNUMBER(StartDate),C1300&lt;StartDate),"Date is before the accounting start date",IF(AND(D1300&lt;&gt;"Adjustment",IFERROR(INDEX(coa_Pay,MATCH(K1300&amp;"",coa_Name,0)),"")&lt;&gt;"Yes"),"Paid From / Deposited To is not a payment account","")))))))))))</f>
        <v/>
      </c>
      <c r="Z1300" s="67">
        <f>IF(AND(T1300=0,X1300=""),1,0)</f>
        <v/>
      </c>
      <c r="AA1300" s="68">
        <f>IF(Z1300=1,IF(U1300="In",L1300,L1300-W1300),0)</f>
        <v/>
      </c>
      <c r="AB1300" s="68">
        <f>IF(Z1300=1,IF(U1300="In",L1300-W1300,L1300),0)</f>
        <v/>
      </c>
      <c r="AC1300" s="68">
        <f>IF(AND(Z1300=1,U1300="Out"),W1300,0)</f>
        <v/>
      </c>
      <c r="AD1300" s="68">
        <f>IF(AND(Z1300=1,U1300="In"),W1300,0)</f>
        <v/>
      </c>
    </row>
    <row r="1301">
      <c r="B1301" s="62" t="inlineStr">
        <is>
          <t>TX-1295</t>
        </is>
      </c>
      <c r="C1301" s="63" t="n"/>
      <c r="D1301" s="62" t="n"/>
      <c r="E1301" s="62" t="n"/>
      <c r="F1301" s="62" t="n"/>
      <c r="G1301" s="62" t="n"/>
      <c r="H1301" s="62" t="n"/>
      <c r="I1301" s="62" t="n"/>
      <c r="J1301" s="62" t="n"/>
      <c r="K1301" s="62" t="n"/>
      <c r="L1301" s="64" t="n"/>
      <c r="M1301" s="64" t="n"/>
      <c r="N1301" s="62" t="n"/>
      <c r="O1301" s="65">
        <f>IF(Z1301=1,L1301-W1301,"")</f>
        <v/>
      </c>
      <c r="P1301" s="66">
        <f>IF(V1301="","",IFERROR(INDEX(coa_Type,MATCH(V1301,coa_Name,0)),""))</f>
        <v/>
      </c>
      <c r="Q1301" s="66">
        <f>IF(Z1301=1,IF(U1301="In",K1301&amp;"",V1301),"")</f>
        <v/>
      </c>
      <c r="R1301" s="66">
        <f>IF(Z1301=1,IF(U1301="In",V1301,K1301&amp;""),"")</f>
        <v/>
      </c>
      <c r="S1301" s="66">
        <f>IF(X1301&lt;&gt;"","⛔ "&amp;X1301&amp;" — not posted",IF(Y1301&lt;&gt;"","⚠ "&amp;Y1301,IF(Z1301=1,"✓ OK","")))</f>
        <v/>
      </c>
      <c r="T1301" s="67">
        <f>IF(AND(C1301="",D1301="",E1301="",L1301="",K1301=""),1,0)</f>
        <v/>
      </c>
      <c r="U1301" s="67">
        <f>IFERROR(INDEX(tt_Dir,MATCH(D1301,tt_Type,0)),"")</f>
        <v/>
      </c>
      <c r="V1301" s="67">
        <f>IF(D1301="","",IFERROR(IF(INDEX(tt_Other,MATCH(D1301,tt_Type,0))="",E1301&amp;"",INDEX(tt_Other,MATCH(D1301,tt_Type,0))),""))</f>
        <v/>
      </c>
      <c r="W1301" s="68">
        <f>IF(OR(TaxOn&lt;&gt;"Yes",NOT(ISNUMBER(M1301))),0,IF(IFERROR(INDEX(tt_Tax,MATCH(D1301,tt_Type,0)),"No")="Yes",M1301,0))</f>
        <v/>
      </c>
      <c r="X1301" s="67">
        <f>IF(T1301=1,"",IF(C1301="","Missing transaction date",IF(NOT(ISNUMBER(C1301)),"Invalid date",IF(OR(C1301&lt;DATE(2000,1,1),C1301&gt;DATE(2099,12,31)),"Invalid date",IF(D1301="","Select a type",IF(U1301="","Unknown type: "&amp;D1301,IF(V1301="","Select an account (Category)",IF(ISNA(MATCH(V1301,coa_Name,0)),"Unknown account: "&amp;V1301,IF(K1301="","Select Paid From / Deposited To",IF(ISNA(MATCH(K1301,coa_Name,0)),"Unknown account: "&amp;K1301,IF(NOT(ISNUMBER(L1301)),"Enter an amount",IF(L1301=0,"Enter an amount",IF(ABS(W1301)&gt;ABS(L1301),"Tax is larger than the amount","")))))))))))))</f>
        <v/>
      </c>
      <c r="Y1301" s="67">
        <f>IF(OR(T1301=1,X1301&lt;&gt;""),"",IF(AND(B1301&lt;&gt;"",COUNTIF(tx_ID,B1301)&gt;1),"Duplicate transaction ID",IF(AND(L1301&lt;0,D1301&lt;&gt;"Adjustment"),"Negative amount — check this entry",IF(AND(D1301="Customer Payment",G1301=""),"Add the customer",IF(AND(D1301="Customer Payment",OR(J1301="",COUNTIF(ar_No,J1301&amp;"")=0)),"Invoice # in Reference not found on AR sheet",IF(AND(D1301="Bill Payment",H1301=""),"Add the vendor",IF(AND(D1301="Bill Payment",OR(J1301="",COUNTIFS(ap_No,J1301&amp;"",ap_Party,H1301&amp;"")=0)),"Bill # + vendor not found on AP sheet",IF(AND(ISNUMBER(M1301),N(M1301)&lt;&gt;0,W1301=0),"Tax ignored (tax tracking off, or not allowed for this type)",IF(V1301=K1301&amp;"","Same account on both sides",IF(AND(ISNUMBER(StartDate),C1301&lt;StartDate),"Date is before the accounting start date",IF(AND(D1301&lt;&gt;"Adjustment",IFERROR(INDEX(coa_Pay,MATCH(K1301&amp;"",coa_Name,0)),"")&lt;&gt;"Yes"),"Paid From / Deposited To is not a payment account","")))))))))))</f>
        <v/>
      </c>
      <c r="Z1301" s="67">
        <f>IF(AND(T1301=0,X1301=""),1,0)</f>
        <v/>
      </c>
      <c r="AA1301" s="68">
        <f>IF(Z1301=1,IF(U1301="In",L1301,L1301-W1301),0)</f>
        <v/>
      </c>
      <c r="AB1301" s="68">
        <f>IF(Z1301=1,IF(U1301="In",L1301-W1301,L1301),0)</f>
        <v/>
      </c>
      <c r="AC1301" s="68">
        <f>IF(AND(Z1301=1,U1301="Out"),W1301,0)</f>
        <v/>
      </c>
      <c r="AD1301" s="68">
        <f>IF(AND(Z1301=1,U1301="In"),W1301,0)</f>
        <v/>
      </c>
    </row>
    <row r="1302">
      <c r="B1302" s="62" t="inlineStr">
        <is>
          <t>TX-1296</t>
        </is>
      </c>
      <c r="C1302" s="63" t="n"/>
      <c r="D1302" s="62" t="n"/>
      <c r="E1302" s="62" t="n"/>
      <c r="F1302" s="62" t="n"/>
      <c r="G1302" s="62" t="n"/>
      <c r="H1302" s="62" t="n"/>
      <c r="I1302" s="62" t="n"/>
      <c r="J1302" s="62" t="n"/>
      <c r="K1302" s="62" t="n"/>
      <c r="L1302" s="64" t="n"/>
      <c r="M1302" s="64" t="n"/>
      <c r="N1302" s="62" t="n"/>
      <c r="O1302" s="65">
        <f>IF(Z1302=1,L1302-W1302,"")</f>
        <v/>
      </c>
      <c r="P1302" s="66">
        <f>IF(V1302="","",IFERROR(INDEX(coa_Type,MATCH(V1302,coa_Name,0)),""))</f>
        <v/>
      </c>
      <c r="Q1302" s="66">
        <f>IF(Z1302=1,IF(U1302="In",K1302&amp;"",V1302),"")</f>
        <v/>
      </c>
      <c r="R1302" s="66">
        <f>IF(Z1302=1,IF(U1302="In",V1302,K1302&amp;""),"")</f>
        <v/>
      </c>
      <c r="S1302" s="66">
        <f>IF(X1302&lt;&gt;"","⛔ "&amp;X1302&amp;" — not posted",IF(Y1302&lt;&gt;"","⚠ "&amp;Y1302,IF(Z1302=1,"✓ OK","")))</f>
        <v/>
      </c>
      <c r="T1302" s="67">
        <f>IF(AND(C1302="",D1302="",E1302="",L1302="",K1302=""),1,0)</f>
        <v/>
      </c>
      <c r="U1302" s="67">
        <f>IFERROR(INDEX(tt_Dir,MATCH(D1302,tt_Type,0)),"")</f>
        <v/>
      </c>
      <c r="V1302" s="67">
        <f>IF(D1302="","",IFERROR(IF(INDEX(tt_Other,MATCH(D1302,tt_Type,0))="",E1302&amp;"",INDEX(tt_Other,MATCH(D1302,tt_Type,0))),""))</f>
        <v/>
      </c>
      <c r="W1302" s="68">
        <f>IF(OR(TaxOn&lt;&gt;"Yes",NOT(ISNUMBER(M1302))),0,IF(IFERROR(INDEX(tt_Tax,MATCH(D1302,tt_Type,0)),"No")="Yes",M1302,0))</f>
        <v/>
      </c>
      <c r="X1302" s="67">
        <f>IF(T1302=1,"",IF(C1302="","Missing transaction date",IF(NOT(ISNUMBER(C1302)),"Invalid date",IF(OR(C1302&lt;DATE(2000,1,1),C1302&gt;DATE(2099,12,31)),"Invalid date",IF(D1302="","Select a type",IF(U1302="","Unknown type: "&amp;D1302,IF(V1302="","Select an account (Category)",IF(ISNA(MATCH(V1302,coa_Name,0)),"Unknown account: "&amp;V1302,IF(K1302="","Select Paid From / Deposited To",IF(ISNA(MATCH(K1302,coa_Name,0)),"Unknown account: "&amp;K1302,IF(NOT(ISNUMBER(L1302)),"Enter an amount",IF(L1302=0,"Enter an amount",IF(ABS(W1302)&gt;ABS(L1302),"Tax is larger than the amount","")))))))))))))</f>
        <v/>
      </c>
      <c r="Y1302" s="67">
        <f>IF(OR(T1302=1,X1302&lt;&gt;""),"",IF(AND(B1302&lt;&gt;"",COUNTIF(tx_ID,B1302)&gt;1),"Duplicate transaction ID",IF(AND(L1302&lt;0,D1302&lt;&gt;"Adjustment"),"Negative amount — check this entry",IF(AND(D1302="Customer Payment",G1302=""),"Add the customer",IF(AND(D1302="Customer Payment",OR(J1302="",COUNTIF(ar_No,J1302&amp;"")=0)),"Invoice # in Reference not found on AR sheet",IF(AND(D1302="Bill Payment",H1302=""),"Add the vendor",IF(AND(D1302="Bill Payment",OR(J1302="",COUNTIFS(ap_No,J1302&amp;"",ap_Party,H1302&amp;"")=0)),"Bill # + vendor not found on AP sheet",IF(AND(ISNUMBER(M1302),N(M1302)&lt;&gt;0,W1302=0),"Tax ignored (tax tracking off, or not allowed for this type)",IF(V1302=K1302&amp;"","Same account on both sides",IF(AND(ISNUMBER(StartDate),C1302&lt;StartDate),"Date is before the accounting start date",IF(AND(D1302&lt;&gt;"Adjustment",IFERROR(INDEX(coa_Pay,MATCH(K1302&amp;"",coa_Name,0)),"")&lt;&gt;"Yes"),"Paid From / Deposited To is not a payment account","")))))))))))</f>
        <v/>
      </c>
      <c r="Z1302" s="67">
        <f>IF(AND(T1302=0,X1302=""),1,0)</f>
        <v/>
      </c>
      <c r="AA1302" s="68">
        <f>IF(Z1302=1,IF(U1302="In",L1302,L1302-W1302),0)</f>
        <v/>
      </c>
      <c r="AB1302" s="68">
        <f>IF(Z1302=1,IF(U1302="In",L1302-W1302,L1302),0)</f>
        <v/>
      </c>
      <c r="AC1302" s="68">
        <f>IF(AND(Z1302=1,U1302="Out"),W1302,0)</f>
        <v/>
      </c>
      <c r="AD1302" s="68">
        <f>IF(AND(Z1302=1,U1302="In"),W1302,0)</f>
        <v/>
      </c>
    </row>
    <row r="1303">
      <c r="B1303" s="62" t="inlineStr">
        <is>
          <t>TX-1297</t>
        </is>
      </c>
      <c r="C1303" s="63" t="n"/>
      <c r="D1303" s="62" t="n"/>
      <c r="E1303" s="62" t="n"/>
      <c r="F1303" s="62" t="n"/>
      <c r="G1303" s="62" t="n"/>
      <c r="H1303" s="62" t="n"/>
      <c r="I1303" s="62" t="n"/>
      <c r="J1303" s="62" t="n"/>
      <c r="K1303" s="62" t="n"/>
      <c r="L1303" s="64" t="n"/>
      <c r="M1303" s="64" t="n"/>
      <c r="N1303" s="62" t="n"/>
      <c r="O1303" s="65">
        <f>IF(Z1303=1,L1303-W1303,"")</f>
        <v/>
      </c>
      <c r="P1303" s="66">
        <f>IF(V1303="","",IFERROR(INDEX(coa_Type,MATCH(V1303,coa_Name,0)),""))</f>
        <v/>
      </c>
      <c r="Q1303" s="66">
        <f>IF(Z1303=1,IF(U1303="In",K1303&amp;"",V1303),"")</f>
        <v/>
      </c>
      <c r="R1303" s="66">
        <f>IF(Z1303=1,IF(U1303="In",V1303,K1303&amp;""),"")</f>
        <v/>
      </c>
      <c r="S1303" s="66">
        <f>IF(X1303&lt;&gt;"","⛔ "&amp;X1303&amp;" — not posted",IF(Y1303&lt;&gt;"","⚠ "&amp;Y1303,IF(Z1303=1,"✓ OK","")))</f>
        <v/>
      </c>
      <c r="T1303" s="67">
        <f>IF(AND(C1303="",D1303="",E1303="",L1303="",K1303=""),1,0)</f>
        <v/>
      </c>
      <c r="U1303" s="67">
        <f>IFERROR(INDEX(tt_Dir,MATCH(D1303,tt_Type,0)),"")</f>
        <v/>
      </c>
      <c r="V1303" s="67">
        <f>IF(D1303="","",IFERROR(IF(INDEX(tt_Other,MATCH(D1303,tt_Type,0))="",E1303&amp;"",INDEX(tt_Other,MATCH(D1303,tt_Type,0))),""))</f>
        <v/>
      </c>
      <c r="W1303" s="68">
        <f>IF(OR(TaxOn&lt;&gt;"Yes",NOT(ISNUMBER(M1303))),0,IF(IFERROR(INDEX(tt_Tax,MATCH(D1303,tt_Type,0)),"No")="Yes",M1303,0))</f>
        <v/>
      </c>
      <c r="X1303" s="67">
        <f>IF(T1303=1,"",IF(C1303="","Missing transaction date",IF(NOT(ISNUMBER(C1303)),"Invalid date",IF(OR(C1303&lt;DATE(2000,1,1),C1303&gt;DATE(2099,12,31)),"Invalid date",IF(D1303="","Select a type",IF(U1303="","Unknown type: "&amp;D1303,IF(V1303="","Select an account (Category)",IF(ISNA(MATCH(V1303,coa_Name,0)),"Unknown account: "&amp;V1303,IF(K1303="","Select Paid From / Deposited To",IF(ISNA(MATCH(K1303,coa_Name,0)),"Unknown account: "&amp;K1303,IF(NOT(ISNUMBER(L1303)),"Enter an amount",IF(L1303=0,"Enter an amount",IF(ABS(W1303)&gt;ABS(L1303),"Tax is larger than the amount","")))))))))))))</f>
        <v/>
      </c>
      <c r="Y1303" s="67">
        <f>IF(OR(T1303=1,X1303&lt;&gt;""),"",IF(AND(B1303&lt;&gt;"",COUNTIF(tx_ID,B1303)&gt;1),"Duplicate transaction ID",IF(AND(L1303&lt;0,D1303&lt;&gt;"Adjustment"),"Negative amount — check this entry",IF(AND(D1303="Customer Payment",G1303=""),"Add the customer",IF(AND(D1303="Customer Payment",OR(J1303="",COUNTIF(ar_No,J1303&amp;"")=0)),"Invoice # in Reference not found on AR sheet",IF(AND(D1303="Bill Payment",H1303=""),"Add the vendor",IF(AND(D1303="Bill Payment",OR(J1303="",COUNTIFS(ap_No,J1303&amp;"",ap_Party,H1303&amp;"")=0)),"Bill # + vendor not found on AP sheet",IF(AND(ISNUMBER(M1303),N(M1303)&lt;&gt;0,W1303=0),"Tax ignored (tax tracking off, or not allowed for this type)",IF(V1303=K1303&amp;"","Same account on both sides",IF(AND(ISNUMBER(StartDate),C1303&lt;StartDate),"Date is before the accounting start date",IF(AND(D1303&lt;&gt;"Adjustment",IFERROR(INDEX(coa_Pay,MATCH(K1303&amp;"",coa_Name,0)),"")&lt;&gt;"Yes"),"Paid From / Deposited To is not a payment account","")))))))))))</f>
        <v/>
      </c>
      <c r="Z1303" s="67">
        <f>IF(AND(T1303=0,X1303=""),1,0)</f>
        <v/>
      </c>
      <c r="AA1303" s="68">
        <f>IF(Z1303=1,IF(U1303="In",L1303,L1303-W1303),0)</f>
        <v/>
      </c>
      <c r="AB1303" s="68">
        <f>IF(Z1303=1,IF(U1303="In",L1303-W1303,L1303),0)</f>
        <v/>
      </c>
      <c r="AC1303" s="68">
        <f>IF(AND(Z1303=1,U1303="Out"),W1303,0)</f>
        <v/>
      </c>
      <c r="AD1303" s="68">
        <f>IF(AND(Z1303=1,U1303="In"),W1303,0)</f>
        <v/>
      </c>
    </row>
    <row r="1304">
      <c r="B1304" s="62" t="inlineStr">
        <is>
          <t>TX-1298</t>
        </is>
      </c>
      <c r="C1304" s="63" t="n"/>
      <c r="D1304" s="62" t="n"/>
      <c r="E1304" s="62" t="n"/>
      <c r="F1304" s="62" t="n"/>
      <c r="G1304" s="62" t="n"/>
      <c r="H1304" s="62" t="n"/>
      <c r="I1304" s="62" t="n"/>
      <c r="J1304" s="62" t="n"/>
      <c r="K1304" s="62" t="n"/>
      <c r="L1304" s="64" t="n"/>
      <c r="M1304" s="64" t="n"/>
      <c r="N1304" s="62" t="n"/>
      <c r="O1304" s="65">
        <f>IF(Z1304=1,L1304-W1304,"")</f>
        <v/>
      </c>
      <c r="P1304" s="66">
        <f>IF(V1304="","",IFERROR(INDEX(coa_Type,MATCH(V1304,coa_Name,0)),""))</f>
        <v/>
      </c>
      <c r="Q1304" s="66">
        <f>IF(Z1304=1,IF(U1304="In",K1304&amp;"",V1304),"")</f>
        <v/>
      </c>
      <c r="R1304" s="66">
        <f>IF(Z1304=1,IF(U1304="In",V1304,K1304&amp;""),"")</f>
        <v/>
      </c>
      <c r="S1304" s="66">
        <f>IF(X1304&lt;&gt;"","⛔ "&amp;X1304&amp;" — not posted",IF(Y1304&lt;&gt;"","⚠ "&amp;Y1304,IF(Z1304=1,"✓ OK","")))</f>
        <v/>
      </c>
      <c r="T1304" s="67">
        <f>IF(AND(C1304="",D1304="",E1304="",L1304="",K1304=""),1,0)</f>
        <v/>
      </c>
      <c r="U1304" s="67">
        <f>IFERROR(INDEX(tt_Dir,MATCH(D1304,tt_Type,0)),"")</f>
        <v/>
      </c>
      <c r="V1304" s="67">
        <f>IF(D1304="","",IFERROR(IF(INDEX(tt_Other,MATCH(D1304,tt_Type,0))="",E1304&amp;"",INDEX(tt_Other,MATCH(D1304,tt_Type,0))),""))</f>
        <v/>
      </c>
      <c r="W1304" s="68">
        <f>IF(OR(TaxOn&lt;&gt;"Yes",NOT(ISNUMBER(M1304))),0,IF(IFERROR(INDEX(tt_Tax,MATCH(D1304,tt_Type,0)),"No")="Yes",M1304,0))</f>
        <v/>
      </c>
      <c r="X1304" s="67">
        <f>IF(T1304=1,"",IF(C1304="","Missing transaction date",IF(NOT(ISNUMBER(C1304)),"Invalid date",IF(OR(C1304&lt;DATE(2000,1,1),C1304&gt;DATE(2099,12,31)),"Invalid date",IF(D1304="","Select a type",IF(U1304="","Unknown type: "&amp;D1304,IF(V1304="","Select an account (Category)",IF(ISNA(MATCH(V1304,coa_Name,0)),"Unknown account: "&amp;V1304,IF(K1304="","Select Paid From / Deposited To",IF(ISNA(MATCH(K1304,coa_Name,0)),"Unknown account: "&amp;K1304,IF(NOT(ISNUMBER(L1304)),"Enter an amount",IF(L1304=0,"Enter an amount",IF(ABS(W1304)&gt;ABS(L1304),"Tax is larger than the amount","")))))))))))))</f>
        <v/>
      </c>
      <c r="Y1304" s="67">
        <f>IF(OR(T1304=1,X1304&lt;&gt;""),"",IF(AND(B1304&lt;&gt;"",COUNTIF(tx_ID,B1304)&gt;1),"Duplicate transaction ID",IF(AND(L1304&lt;0,D1304&lt;&gt;"Adjustment"),"Negative amount — check this entry",IF(AND(D1304="Customer Payment",G1304=""),"Add the customer",IF(AND(D1304="Customer Payment",OR(J1304="",COUNTIF(ar_No,J1304&amp;"")=0)),"Invoice # in Reference not found on AR sheet",IF(AND(D1304="Bill Payment",H1304=""),"Add the vendor",IF(AND(D1304="Bill Payment",OR(J1304="",COUNTIFS(ap_No,J1304&amp;"",ap_Party,H1304&amp;"")=0)),"Bill # + vendor not found on AP sheet",IF(AND(ISNUMBER(M1304),N(M1304)&lt;&gt;0,W1304=0),"Tax ignored (tax tracking off, or not allowed for this type)",IF(V1304=K1304&amp;"","Same account on both sides",IF(AND(ISNUMBER(StartDate),C1304&lt;StartDate),"Date is before the accounting start date",IF(AND(D1304&lt;&gt;"Adjustment",IFERROR(INDEX(coa_Pay,MATCH(K1304&amp;"",coa_Name,0)),"")&lt;&gt;"Yes"),"Paid From / Deposited To is not a payment account","")))))))))))</f>
        <v/>
      </c>
      <c r="Z1304" s="67">
        <f>IF(AND(T1304=0,X1304=""),1,0)</f>
        <v/>
      </c>
      <c r="AA1304" s="68">
        <f>IF(Z1304=1,IF(U1304="In",L1304,L1304-W1304),0)</f>
        <v/>
      </c>
      <c r="AB1304" s="68">
        <f>IF(Z1304=1,IF(U1304="In",L1304-W1304,L1304),0)</f>
        <v/>
      </c>
      <c r="AC1304" s="68">
        <f>IF(AND(Z1304=1,U1304="Out"),W1304,0)</f>
        <v/>
      </c>
      <c r="AD1304" s="68">
        <f>IF(AND(Z1304=1,U1304="In"),W1304,0)</f>
        <v/>
      </c>
    </row>
    <row r="1305">
      <c r="B1305" s="62" t="inlineStr">
        <is>
          <t>TX-1299</t>
        </is>
      </c>
      <c r="C1305" s="63" t="n"/>
      <c r="D1305" s="62" t="n"/>
      <c r="E1305" s="62" t="n"/>
      <c r="F1305" s="62" t="n"/>
      <c r="G1305" s="62" t="n"/>
      <c r="H1305" s="62" t="n"/>
      <c r="I1305" s="62" t="n"/>
      <c r="J1305" s="62" t="n"/>
      <c r="K1305" s="62" t="n"/>
      <c r="L1305" s="64" t="n"/>
      <c r="M1305" s="64" t="n"/>
      <c r="N1305" s="62" t="n"/>
      <c r="O1305" s="65">
        <f>IF(Z1305=1,L1305-W1305,"")</f>
        <v/>
      </c>
      <c r="P1305" s="66">
        <f>IF(V1305="","",IFERROR(INDEX(coa_Type,MATCH(V1305,coa_Name,0)),""))</f>
        <v/>
      </c>
      <c r="Q1305" s="66">
        <f>IF(Z1305=1,IF(U1305="In",K1305&amp;"",V1305),"")</f>
        <v/>
      </c>
      <c r="R1305" s="66">
        <f>IF(Z1305=1,IF(U1305="In",V1305,K1305&amp;""),"")</f>
        <v/>
      </c>
      <c r="S1305" s="66">
        <f>IF(X1305&lt;&gt;"","⛔ "&amp;X1305&amp;" — not posted",IF(Y1305&lt;&gt;"","⚠ "&amp;Y1305,IF(Z1305=1,"✓ OK","")))</f>
        <v/>
      </c>
      <c r="T1305" s="67">
        <f>IF(AND(C1305="",D1305="",E1305="",L1305="",K1305=""),1,0)</f>
        <v/>
      </c>
      <c r="U1305" s="67">
        <f>IFERROR(INDEX(tt_Dir,MATCH(D1305,tt_Type,0)),"")</f>
        <v/>
      </c>
      <c r="V1305" s="67">
        <f>IF(D1305="","",IFERROR(IF(INDEX(tt_Other,MATCH(D1305,tt_Type,0))="",E1305&amp;"",INDEX(tt_Other,MATCH(D1305,tt_Type,0))),""))</f>
        <v/>
      </c>
      <c r="W1305" s="68">
        <f>IF(OR(TaxOn&lt;&gt;"Yes",NOT(ISNUMBER(M1305))),0,IF(IFERROR(INDEX(tt_Tax,MATCH(D1305,tt_Type,0)),"No")="Yes",M1305,0))</f>
        <v/>
      </c>
      <c r="X1305" s="67">
        <f>IF(T1305=1,"",IF(C1305="","Missing transaction date",IF(NOT(ISNUMBER(C1305)),"Invalid date",IF(OR(C1305&lt;DATE(2000,1,1),C1305&gt;DATE(2099,12,31)),"Invalid date",IF(D1305="","Select a type",IF(U1305="","Unknown type: "&amp;D1305,IF(V1305="","Select an account (Category)",IF(ISNA(MATCH(V1305,coa_Name,0)),"Unknown account: "&amp;V1305,IF(K1305="","Select Paid From / Deposited To",IF(ISNA(MATCH(K1305,coa_Name,0)),"Unknown account: "&amp;K1305,IF(NOT(ISNUMBER(L1305)),"Enter an amount",IF(L1305=0,"Enter an amount",IF(ABS(W1305)&gt;ABS(L1305),"Tax is larger than the amount","")))))))))))))</f>
        <v/>
      </c>
      <c r="Y1305" s="67">
        <f>IF(OR(T1305=1,X1305&lt;&gt;""),"",IF(AND(B1305&lt;&gt;"",COUNTIF(tx_ID,B1305)&gt;1),"Duplicate transaction ID",IF(AND(L1305&lt;0,D1305&lt;&gt;"Adjustment"),"Negative amount — check this entry",IF(AND(D1305="Customer Payment",G1305=""),"Add the customer",IF(AND(D1305="Customer Payment",OR(J1305="",COUNTIF(ar_No,J1305&amp;"")=0)),"Invoice # in Reference not found on AR sheet",IF(AND(D1305="Bill Payment",H1305=""),"Add the vendor",IF(AND(D1305="Bill Payment",OR(J1305="",COUNTIFS(ap_No,J1305&amp;"",ap_Party,H1305&amp;"")=0)),"Bill # + vendor not found on AP sheet",IF(AND(ISNUMBER(M1305),N(M1305)&lt;&gt;0,W1305=0),"Tax ignored (tax tracking off, or not allowed for this type)",IF(V1305=K1305&amp;"","Same account on both sides",IF(AND(ISNUMBER(StartDate),C1305&lt;StartDate),"Date is before the accounting start date",IF(AND(D1305&lt;&gt;"Adjustment",IFERROR(INDEX(coa_Pay,MATCH(K1305&amp;"",coa_Name,0)),"")&lt;&gt;"Yes"),"Paid From / Deposited To is not a payment account","")))))))))))</f>
        <v/>
      </c>
      <c r="Z1305" s="67">
        <f>IF(AND(T1305=0,X1305=""),1,0)</f>
        <v/>
      </c>
      <c r="AA1305" s="68">
        <f>IF(Z1305=1,IF(U1305="In",L1305,L1305-W1305),0)</f>
        <v/>
      </c>
      <c r="AB1305" s="68">
        <f>IF(Z1305=1,IF(U1305="In",L1305-W1305,L1305),0)</f>
        <v/>
      </c>
      <c r="AC1305" s="68">
        <f>IF(AND(Z1305=1,U1305="Out"),W1305,0)</f>
        <v/>
      </c>
      <c r="AD1305" s="68">
        <f>IF(AND(Z1305=1,U1305="In"),W1305,0)</f>
        <v/>
      </c>
    </row>
    <row r="1306">
      <c r="B1306" s="62" t="inlineStr">
        <is>
          <t>TX-1300</t>
        </is>
      </c>
      <c r="C1306" s="63" t="n"/>
      <c r="D1306" s="62" t="n"/>
      <c r="E1306" s="62" t="n"/>
      <c r="F1306" s="62" t="n"/>
      <c r="G1306" s="62" t="n"/>
      <c r="H1306" s="62" t="n"/>
      <c r="I1306" s="62" t="n"/>
      <c r="J1306" s="62" t="n"/>
      <c r="K1306" s="62" t="n"/>
      <c r="L1306" s="64" t="n"/>
      <c r="M1306" s="64" t="n"/>
      <c r="N1306" s="62" t="n"/>
      <c r="O1306" s="65">
        <f>IF(Z1306=1,L1306-W1306,"")</f>
        <v/>
      </c>
      <c r="P1306" s="66">
        <f>IF(V1306="","",IFERROR(INDEX(coa_Type,MATCH(V1306,coa_Name,0)),""))</f>
        <v/>
      </c>
      <c r="Q1306" s="66">
        <f>IF(Z1306=1,IF(U1306="In",K1306&amp;"",V1306),"")</f>
        <v/>
      </c>
      <c r="R1306" s="66">
        <f>IF(Z1306=1,IF(U1306="In",V1306,K1306&amp;""),"")</f>
        <v/>
      </c>
      <c r="S1306" s="66">
        <f>IF(X1306&lt;&gt;"","⛔ "&amp;X1306&amp;" — not posted",IF(Y1306&lt;&gt;"","⚠ "&amp;Y1306,IF(Z1306=1,"✓ OK","")))</f>
        <v/>
      </c>
      <c r="T1306" s="67">
        <f>IF(AND(C1306="",D1306="",E1306="",L1306="",K1306=""),1,0)</f>
        <v/>
      </c>
      <c r="U1306" s="67">
        <f>IFERROR(INDEX(tt_Dir,MATCH(D1306,tt_Type,0)),"")</f>
        <v/>
      </c>
      <c r="V1306" s="67">
        <f>IF(D1306="","",IFERROR(IF(INDEX(tt_Other,MATCH(D1306,tt_Type,0))="",E1306&amp;"",INDEX(tt_Other,MATCH(D1306,tt_Type,0))),""))</f>
        <v/>
      </c>
      <c r="W1306" s="68">
        <f>IF(OR(TaxOn&lt;&gt;"Yes",NOT(ISNUMBER(M1306))),0,IF(IFERROR(INDEX(tt_Tax,MATCH(D1306,tt_Type,0)),"No")="Yes",M1306,0))</f>
        <v/>
      </c>
      <c r="X1306" s="67">
        <f>IF(T1306=1,"",IF(C1306="","Missing transaction date",IF(NOT(ISNUMBER(C1306)),"Invalid date",IF(OR(C1306&lt;DATE(2000,1,1),C1306&gt;DATE(2099,12,31)),"Invalid date",IF(D1306="","Select a type",IF(U1306="","Unknown type: "&amp;D1306,IF(V1306="","Select an account (Category)",IF(ISNA(MATCH(V1306,coa_Name,0)),"Unknown account: "&amp;V1306,IF(K1306="","Select Paid From / Deposited To",IF(ISNA(MATCH(K1306,coa_Name,0)),"Unknown account: "&amp;K1306,IF(NOT(ISNUMBER(L1306)),"Enter an amount",IF(L1306=0,"Enter an amount",IF(ABS(W1306)&gt;ABS(L1306),"Tax is larger than the amount","")))))))))))))</f>
        <v/>
      </c>
      <c r="Y1306" s="67">
        <f>IF(OR(T1306=1,X1306&lt;&gt;""),"",IF(AND(B1306&lt;&gt;"",COUNTIF(tx_ID,B1306)&gt;1),"Duplicate transaction ID",IF(AND(L1306&lt;0,D1306&lt;&gt;"Adjustment"),"Negative amount — check this entry",IF(AND(D1306="Customer Payment",G1306=""),"Add the customer",IF(AND(D1306="Customer Payment",OR(J1306="",COUNTIF(ar_No,J1306&amp;"")=0)),"Invoice # in Reference not found on AR sheet",IF(AND(D1306="Bill Payment",H1306=""),"Add the vendor",IF(AND(D1306="Bill Payment",OR(J1306="",COUNTIFS(ap_No,J1306&amp;"",ap_Party,H1306&amp;"")=0)),"Bill # + vendor not found on AP sheet",IF(AND(ISNUMBER(M1306),N(M1306)&lt;&gt;0,W1306=0),"Tax ignored (tax tracking off, or not allowed for this type)",IF(V1306=K1306&amp;"","Same account on both sides",IF(AND(ISNUMBER(StartDate),C1306&lt;StartDate),"Date is before the accounting start date",IF(AND(D1306&lt;&gt;"Adjustment",IFERROR(INDEX(coa_Pay,MATCH(K1306&amp;"",coa_Name,0)),"")&lt;&gt;"Yes"),"Paid From / Deposited To is not a payment account","")))))))))))</f>
        <v/>
      </c>
      <c r="Z1306" s="67">
        <f>IF(AND(T1306=0,X1306=""),1,0)</f>
        <v/>
      </c>
      <c r="AA1306" s="68">
        <f>IF(Z1306=1,IF(U1306="In",L1306,L1306-W1306),0)</f>
        <v/>
      </c>
      <c r="AB1306" s="68">
        <f>IF(Z1306=1,IF(U1306="In",L1306-W1306,L1306),0)</f>
        <v/>
      </c>
      <c r="AC1306" s="68">
        <f>IF(AND(Z1306=1,U1306="Out"),W1306,0)</f>
        <v/>
      </c>
      <c r="AD1306" s="68">
        <f>IF(AND(Z1306=1,U1306="In"),W1306,0)</f>
        <v/>
      </c>
    </row>
    <row r="1307">
      <c r="B1307" s="62" t="inlineStr">
        <is>
          <t>TX-1301</t>
        </is>
      </c>
      <c r="C1307" s="63" t="n"/>
      <c r="D1307" s="62" t="n"/>
      <c r="E1307" s="62" t="n"/>
      <c r="F1307" s="62" t="n"/>
      <c r="G1307" s="62" t="n"/>
      <c r="H1307" s="62" t="n"/>
      <c r="I1307" s="62" t="n"/>
      <c r="J1307" s="62" t="n"/>
      <c r="K1307" s="62" t="n"/>
      <c r="L1307" s="64" t="n"/>
      <c r="M1307" s="64" t="n"/>
      <c r="N1307" s="62" t="n"/>
      <c r="O1307" s="65">
        <f>IF(Z1307=1,L1307-W1307,"")</f>
        <v/>
      </c>
      <c r="P1307" s="66">
        <f>IF(V1307="","",IFERROR(INDEX(coa_Type,MATCH(V1307,coa_Name,0)),""))</f>
        <v/>
      </c>
      <c r="Q1307" s="66">
        <f>IF(Z1307=1,IF(U1307="In",K1307&amp;"",V1307),"")</f>
        <v/>
      </c>
      <c r="R1307" s="66">
        <f>IF(Z1307=1,IF(U1307="In",V1307,K1307&amp;""),"")</f>
        <v/>
      </c>
      <c r="S1307" s="66">
        <f>IF(X1307&lt;&gt;"","⛔ "&amp;X1307&amp;" — not posted",IF(Y1307&lt;&gt;"","⚠ "&amp;Y1307,IF(Z1307=1,"✓ OK","")))</f>
        <v/>
      </c>
      <c r="T1307" s="67">
        <f>IF(AND(C1307="",D1307="",E1307="",L1307="",K1307=""),1,0)</f>
        <v/>
      </c>
      <c r="U1307" s="67">
        <f>IFERROR(INDEX(tt_Dir,MATCH(D1307,tt_Type,0)),"")</f>
        <v/>
      </c>
      <c r="V1307" s="67">
        <f>IF(D1307="","",IFERROR(IF(INDEX(tt_Other,MATCH(D1307,tt_Type,0))="",E1307&amp;"",INDEX(tt_Other,MATCH(D1307,tt_Type,0))),""))</f>
        <v/>
      </c>
      <c r="W1307" s="68">
        <f>IF(OR(TaxOn&lt;&gt;"Yes",NOT(ISNUMBER(M1307))),0,IF(IFERROR(INDEX(tt_Tax,MATCH(D1307,tt_Type,0)),"No")="Yes",M1307,0))</f>
        <v/>
      </c>
      <c r="X1307" s="67">
        <f>IF(T1307=1,"",IF(C1307="","Missing transaction date",IF(NOT(ISNUMBER(C1307)),"Invalid date",IF(OR(C1307&lt;DATE(2000,1,1),C1307&gt;DATE(2099,12,31)),"Invalid date",IF(D1307="","Select a type",IF(U1307="","Unknown type: "&amp;D1307,IF(V1307="","Select an account (Category)",IF(ISNA(MATCH(V1307,coa_Name,0)),"Unknown account: "&amp;V1307,IF(K1307="","Select Paid From / Deposited To",IF(ISNA(MATCH(K1307,coa_Name,0)),"Unknown account: "&amp;K1307,IF(NOT(ISNUMBER(L1307)),"Enter an amount",IF(L1307=0,"Enter an amount",IF(ABS(W1307)&gt;ABS(L1307),"Tax is larger than the amount","")))))))))))))</f>
        <v/>
      </c>
      <c r="Y1307" s="67">
        <f>IF(OR(T1307=1,X1307&lt;&gt;""),"",IF(AND(B1307&lt;&gt;"",COUNTIF(tx_ID,B1307)&gt;1),"Duplicate transaction ID",IF(AND(L1307&lt;0,D1307&lt;&gt;"Adjustment"),"Negative amount — check this entry",IF(AND(D1307="Customer Payment",G1307=""),"Add the customer",IF(AND(D1307="Customer Payment",OR(J1307="",COUNTIF(ar_No,J1307&amp;"")=0)),"Invoice # in Reference not found on AR sheet",IF(AND(D1307="Bill Payment",H1307=""),"Add the vendor",IF(AND(D1307="Bill Payment",OR(J1307="",COUNTIFS(ap_No,J1307&amp;"",ap_Party,H1307&amp;"")=0)),"Bill # + vendor not found on AP sheet",IF(AND(ISNUMBER(M1307),N(M1307)&lt;&gt;0,W1307=0),"Tax ignored (tax tracking off, or not allowed for this type)",IF(V1307=K1307&amp;"","Same account on both sides",IF(AND(ISNUMBER(StartDate),C1307&lt;StartDate),"Date is before the accounting start date",IF(AND(D1307&lt;&gt;"Adjustment",IFERROR(INDEX(coa_Pay,MATCH(K1307&amp;"",coa_Name,0)),"")&lt;&gt;"Yes"),"Paid From / Deposited To is not a payment account","")))))))))))</f>
        <v/>
      </c>
      <c r="Z1307" s="67">
        <f>IF(AND(T1307=0,X1307=""),1,0)</f>
        <v/>
      </c>
      <c r="AA1307" s="68">
        <f>IF(Z1307=1,IF(U1307="In",L1307,L1307-W1307),0)</f>
        <v/>
      </c>
      <c r="AB1307" s="68">
        <f>IF(Z1307=1,IF(U1307="In",L1307-W1307,L1307),0)</f>
        <v/>
      </c>
      <c r="AC1307" s="68">
        <f>IF(AND(Z1307=1,U1307="Out"),W1307,0)</f>
        <v/>
      </c>
      <c r="AD1307" s="68">
        <f>IF(AND(Z1307=1,U1307="In"),W1307,0)</f>
        <v/>
      </c>
    </row>
    <row r="1308">
      <c r="B1308" s="62" t="inlineStr">
        <is>
          <t>TX-1302</t>
        </is>
      </c>
      <c r="C1308" s="63" t="n"/>
      <c r="D1308" s="62" t="n"/>
      <c r="E1308" s="62" t="n"/>
      <c r="F1308" s="62" t="n"/>
      <c r="G1308" s="62" t="n"/>
      <c r="H1308" s="62" t="n"/>
      <c r="I1308" s="62" t="n"/>
      <c r="J1308" s="62" t="n"/>
      <c r="K1308" s="62" t="n"/>
      <c r="L1308" s="64" t="n"/>
      <c r="M1308" s="64" t="n"/>
      <c r="N1308" s="62" t="n"/>
      <c r="O1308" s="65">
        <f>IF(Z1308=1,L1308-W1308,"")</f>
        <v/>
      </c>
      <c r="P1308" s="66">
        <f>IF(V1308="","",IFERROR(INDEX(coa_Type,MATCH(V1308,coa_Name,0)),""))</f>
        <v/>
      </c>
      <c r="Q1308" s="66">
        <f>IF(Z1308=1,IF(U1308="In",K1308&amp;"",V1308),"")</f>
        <v/>
      </c>
      <c r="R1308" s="66">
        <f>IF(Z1308=1,IF(U1308="In",V1308,K1308&amp;""),"")</f>
        <v/>
      </c>
      <c r="S1308" s="66">
        <f>IF(X1308&lt;&gt;"","⛔ "&amp;X1308&amp;" — not posted",IF(Y1308&lt;&gt;"","⚠ "&amp;Y1308,IF(Z1308=1,"✓ OK","")))</f>
        <v/>
      </c>
      <c r="T1308" s="67">
        <f>IF(AND(C1308="",D1308="",E1308="",L1308="",K1308=""),1,0)</f>
        <v/>
      </c>
      <c r="U1308" s="67">
        <f>IFERROR(INDEX(tt_Dir,MATCH(D1308,tt_Type,0)),"")</f>
        <v/>
      </c>
      <c r="V1308" s="67">
        <f>IF(D1308="","",IFERROR(IF(INDEX(tt_Other,MATCH(D1308,tt_Type,0))="",E1308&amp;"",INDEX(tt_Other,MATCH(D1308,tt_Type,0))),""))</f>
        <v/>
      </c>
      <c r="W1308" s="68">
        <f>IF(OR(TaxOn&lt;&gt;"Yes",NOT(ISNUMBER(M1308))),0,IF(IFERROR(INDEX(tt_Tax,MATCH(D1308,tt_Type,0)),"No")="Yes",M1308,0))</f>
        <v/>
      </c>
      <c r="X1308" s="67">
        <f>IF(T1308=1,"",IF(C1308="","Missing transaction date",IF(NOT(ISNUMBER(C1308)),"Invalid date",IF(OR(C1308&lt;DATE(2000,1,1),C1308&gt;DATE(2099,12,31)),"Invalid date",IF(D1308="","Select a type",IF(U1308="","Unknown type: "&amp;D1308,IF(V1308="","Select an account (Category)",IF(ISNA(MATCH(V1308,coa_Name,0)),"Unknown account: "&amp;V1308,IF(K1308="","Select Paid From / Deposited To",IF(ISNA(MATCH(K1308,coa_Name,0)),"Unknown account: "&amp;K1308,IF(NOT(ISNUMBER(L1308)),"Enter an amount",IF(L1308=0,"Enter an amount",IF(ABS(W1308)&gt;ABS(L1308),"Tax is larger than the amount","")))))))))))))</f>
        <v/>
      </c>
      <c r="Y1308" s="67">
        <f>IF(OR(T1308=1,X1308&lt;&gt;""),"",IF(AND(B1308&lt;&gt;"",COUNTIF(tx_ID,B1308)&gt;1),"Duplicate transaction ID",IF(AND(L1308&lt;0,D1308&lt;&gt;"Adjustment"),"Negative amount — check this entry",IF(AND(D1308="Customer Payment",G1308=""),"Add the customer",IF(AND(D1308="Customer Payment",OR(J1308="",COUNTIF(ar_No,J1308&amp;"")=0)),"Invoice # in Reference not found on AR sheet",IF(AND(D1308="Bill Payment",H1308=""),"Add the vendor",IF(AND(D1308="Bill Payment",OR(J1308="",COUNTIFS(ap_No,J1308&amp;"",ap_Party,H1308&amp;"")=0)),"Bill # + vendor not found on AP sheet",IF(AND(ISNUMBER(M1308),N(M1308)&lt;&gt;0,W1308=0),"Tax ignored (tax tracking off, or not allowed for this type)",IF(V1308=K1308&amp;"","Same account on both sides",IF(AND(ISNUMBER(StartDate),C1308&lt;StartDate),"Date is before the accounting start date",IF(AND(D1308&lt;&gt;"Adjustment",IFERROR(INDEX(coa_Pay,MATCH(K1308&amp;"",coa_Name,0)),"")&lt;&gt;"Yes"),"Paid From / Deposited To is not a payment account","")))))))))))</f>
        <v/>
      </c>
      <c r="Z1308" s="67">
        <f>IF(AND(T1308=0,X1308=""),1,0)</f>
        <v/>
      </c>
      <c r="AA1308" s="68">
        <f>IF(Z1308=1,IF(U1308="In",L1308,L1308-W1308),0)</f>
        <v/>
      </c>
      <c r="AB1308" s="68">
        <f>IF(Z1308=1,IF(U1308="In",L1308-W1308,L1308),0)</f>
        <v/>
      </c>
      <c r="AC1308" s="68">
        <f>IF(AND(Z1308=1,U1308="Out"),W1308,0)</f>
        <v/>
      </c>
      <c r="AD1308" s="68">
        <f>IF(AND(Z1308=1,U1308="In"),W1308,0)</f>
        <v/>
      </c>
    </row>
    <row r="1309">
      <c r="B1309" s="62" t="inlineStr">
        <is>
          <t>TX-1303</t>
        </is>
      </c>
      <c r="C1309" s="63" t="n"/>
      <c r="D1309" s="62" t="n"/>
      <c r="E1309" s="62" t="n"/>
      <c r="F1309" s="62" t="n"/>
      <c r="G1309" s="62" t="n"/>
      <c r="H1309" s="62" t="n"/>
      <c r="I1309" s="62" t="n"/>
      <c r="J1309" s="62" t="n"/>
      <c r="K1309" s="62" t="n"/>
      <c r="L1309" s="64" t="n"/>
      <c r="M1309" s="64" t="n"/>
      <c r="N1309" s="62" t="n"/>
      <c r="O1309" s="65">
        <f>IF(Z1309=1,L1309-W1309,"")</f>
        <v/>
      </c>
      <c r="P1309" s="66">
        <f>IF(V1309="","",IFERROR(INDEX(coa_Type,MATCH(V1309,coa_Name,0)),""))</f>
        <v/>
      </c>
      <c r="Q1309" s="66">
        <f>IF(Z1309=1,IF(U1309="In",K1309&amp;"",V1309),"")</f>
        <v/>
      </c>
      <c r="R1309" s="66">
        <f>IF(Z1309=1,IF(U1309="In",V1309,K1309&amp;""),"")</f>
        <v/>
      </c>
      <c r="S1309" s="66">
        <f>IF(X1309&lt;&gt;"","⛔ "&amp;X1309&amp;" — not posted",IF(Y1309&lt;&gt;"","⚠ "&amp;Y1309,IF(Z1309=1,"✓ OK","")))</f>
        <v/>
      </c>
      <c r="T1309" s="67">
        <f>IF(AND(C1309="",D1309="",E1309="",L1309="",K1309=""),1,0)</f>
        <v/>
      </c>
      <c r="U1309" s="67">
        <f>IFERROR(INDEX(tt_Dir,MATCH(D1309,tt_Type,0)),"")</f>
        <v/>
      </c>
      <c r="V1309" s="67">
        <f>IF(D1309="","",IFERROR(IF(INDEX(tt_Other,MATCH(D1309,tt_Type,0))="",E1309&amp;"",INDEX(tt_Other,MATCH(D1309,tt_Type,0))),""))</f>
        <v/>
      </c>
      <c r="W1309" s="68">
        <f>IF(OR(TaxOn&lt;&gt;"Yes",NOT(ISNUMBER(M1309))),0,IF(IFERROR(INDEX(tt_Tax,MATCH(D1309,tt_Type,0)),"No")="Yes",M1309,0))</f>
        <v/>
      </c>
      <c r="X1309" s="67">
        <f>IF(T1309=1,"",IF(C1309="","Missing transaction date",IF(NOT(ISNUMBER(C1309)),"Invalid date",IF(OR(C1309&lt;DATE(2000,1,1),C1309&gt;DATE(2099,12,31)),"Invalid date",IF(D1309="","Select a type",IF(U1309="","Unknown type: "&amp;D1309,IF(V1309="","Select an account (Category)",IF(ISNA(MATCH(V1309,coa_Name,0)),"Unknown account: "&amp;V1309,IF(K1309="","Select Paid From / Deposited To",IF(ISNA(MATCH(K1309,coa_Name,0)),"Unknown account: "&amp;K1309,IF(NOT(ISNUMBER(L1309)),"Enter an amount",IF(L1309=0,"Enter an amount",IF(ABS(W1309)&gt;ABS(L1309),"Tax is larger than the amount","")))))))))))))</f>
        <v/>
      </c>
      <c r="Y1309" s="67">
        <f>IF(OR(T1309=1,X1309&lt;&gt;""),"",IF(AND(B1309&lt;&gt;"",COUNTIF(tx_ID,B1309)&gt;1),"Duplicate transaction ID",IF(AND(L1309&lt;0,D1309&lt;&gt;"Adjustment"),"Negative amount — check this entry",IF(AND(D1309="Customer Payment",G1309=""),"Add the customer",IF(AND(D1309="Customer Payment",OR(J1309="",COUNTIF(ar_No,J1309&amp;"")=0)),"Invoice # in Reference not found on AR sheet",IF(AND(D1309="Bill Payment",H1309=""),"Add the vendor",IF(AND(D1309="Bill Payment",OR(J1309="",COUNTIFS(ap_No,J1309&amp;"",ap_Party,H1309&amp;"")=0)),"Bill # + vendor not found on AP sheet",IF(AND(ISNUMBER(M1309),N(M1309)&lt;&gt;0,W1309=0),"Tax ignored (tax tracking off, or not allowed for this type)",IF(V1309=K1309&amp;"","Same account on both sides",IF(AND(ISNUMBER(StartDate),C1309&lt;StartDate),"Date is before the accounting start date",IF(AND(D1309&lt;&gt;"Adjustment",IFERROR(INDEX(coa_Pay,MATCH(K1309&amp;"",coa_Name,0)),"")&lt;&gt;"Yes"),"Paid From / Deposited To is not a payment account","")))))))))))</f>
        <v/>
      </c>
      <c r="Z1309" s="67">
        <f>IF(AND(T1309=0,X1309=""),1,0)</f>
        <v/>
      </c>
      <c r="AA1309" s="68">
        <f>IF(Z1309=1,IF(U1309="In",L1309,L1309-W1309),0)</f>
        <v/>
      </c>
      <c r="AB1309" s="68">
        <f>IF(Z1309=1,IF(U1309="In",L1309-W1309,L1309),0)</f>
        <v/>
      </c>
      <c r="AC1309" s="68">
        <f>IF(AND(Z1309=1,U1309="Out"),W1309,0)</f>
        <v/>
      </c>
      <c r="AD1309" s="68">
        <f>IF(AND(Z1309=1,U1309="In"),W1309,0)</f>
        <v/>
      </c>
    </row>
    <row r="1310">
      <c r="B1310" s="62" t="inlineStr">
        <is>
          <t>TX-1304</t>
        </is>
      </c>
      <c r="C1310" s="63" t="n"/>
      <c r="D1310" s="62" t="n"/>
      <c r="E1310" s="62" t="n"/>
      <c r="F1310" s="62" t="n"/>
      <c r="G1310" s="62" t="n"/>
      <c r="H1310" s="62" t="n"/>
      <c r="I1310" s="62" t="n"/>
      <c r="J1310" s="62" t="n"/>
      <c r="K1310" s="62" t="n"/>
      <c r="L1310" s="64" t="n"/>
      <c r="M1310" s="64" t="n"/>
      <c r="N1310" s="62" t="n"/>
      <c r="O1310" s="65">
        <f>IF(Z1310=1,L1310-W1310,"")</f>
        <v/>
      </c>
      <c r="P1310" s="66">
        <f>IF(V1310="","",IFERROR(INDEX(coa_Type,MATCH(V1310,coa_Name,0)),""))</f>
        <v/>
      </c>
      <c r="Q1310" s="66">
        <f>IF(Z1310=1,IF(U1310="In",K1310&amp;"",V1310),"")</f>
        <v/>
      </c>
      <c r="R1310" s="66">
        <f>IF(Z1310=1,IF(U1310="In",V1310,K1310&amp;""),"")</f>
        <v/>
      </c>
      <c r="S1310" s="66">
        <f>IF(X1310&lt;&gt;"","⛔ "&amp;X1310&amp;" — not posted",IF(Y1310&lt;&gt;"","⚠ "&amp;Y1310,IF(Z1310=1,"✓ OK","")))</f>
        <v/>
      </c>
      <c r="T1310" s="67">
        <f>IF(AND(C1310="",D1310="",E1310="",L1310="",K1310=""),1,0)</f>
        <v/>
      </c>
      <c r="U1310" s="67">
        <f>IFERROR(INDEX(tt_Dir,MATCH(D1310,tt_Type,0)),"")</f>
        <v/>
      </c>
      <c r="V1310" s="67">
        <f>IF(D1310="","",IFERROR(IF(INDEX(tt_Other,MATCH(D1310,tt_Type,0))="",E1310&amp;"",INDEX(tt_Other,MATCH(D1310,tt_Type,0))),""))</f>
        <v/>
      </c>
      <c r="W1310" s="68">
        <f>IF(OR(TaxOn&lt;&gt;"Yes",NOT(ISNUMBER(M1310))),0,IF(IFERROR(INDEX(tt_Tax,MATCH(D1310,tt_Type,0)),"No")="Yes",M1310,0))</f>
        <v/>
      </c>
      <c r="X1310" s="67">
        <f>IF(T1310=1,"",IF(C1310="","Missing transaction date",IF(NOT(ISNUMBER(C1310)),"Invalid date",IF(OR(C1310&lt;DATE(2000,1,1),C1310&gt;DATE(2099,12,31)),"Invalid date",IF(D1310="","Select a type",IF(U1310="","Unknown type: "&amp;D1310,IF(V1310="","Select an account (Category)",IF(ISNA(MATCH(V1310,coa_Name,0)),"Unknown account: "&amp;V1310,IF(K1310="","Select Paid From / Deposited To",IF(ISNA(MATCH(K1310,coa_Name,0)),"Unknown account: "&amp;K1310,IF(NOT(ISNUMBER(L1310)),"Enter an amount",IF(L1310=0,"Enter an amount",IF(ABS(W1310)&gt;ABS(L1310),"Tax is larger than the amount","")))))))))))))</f>
        <v/>
      </c>
      <c r="Y1310" s="67">
        <f>IF(OR(T1310=1,X1310&lt;&gt;""),"",IF(AND(B1310&lt;&gt;"",COUNTIF(tx_ID,B1310)&gt;1),"Duplicate transaction ID",IF(AND(L1310&lt;0,D1310&lt;&gt;"Adjustment"),"Negative amount — check this entry",IF(AND(D1310="Customer Payment",G1310=""),"Add the customer",IF(AND(D1310="Customer Payment",OR(J1310="",COUNTIF(ar_No,J1310&amp;"")=0)),"Invoice # in Reference not found on AR sheet",IF(AND(D1310="Bill Payment",H1310=""),"Add the vendor",IF(AND(D1310="Bill Payment",OR(J1310="",COUNTIFS(ap_No,J1310&amp;"",ap_Party,H1310&amp;"")=0)),"Bill # + vendor not found on AP sheet",IF(AND(ISNUMBER(M1310),N(M1310)&lt;&gt;0,W1310=0),"Tax ignored (tax tracking off, or not allowed for this type)",IF(V1310=K1310&amp;"","Same account on both sides",IF(AND(ISNUMBER(StartDate),C1310&lt;StartDate),"Date is before the accounting start date",IF(AND(D1310&lt;&gt;"Adjustment",IFERROR(INDEX(coa_Pay,MATCH(K1310&amp;"",coa_Name,0)),"")&lt;&gt;"Yes"),"Paid From / Deposited To is not a payment account","")))))))))))</f>
        <v/>
      </c>
      <c r="Z1310" s="67">
        <f>IF(AND(T1310=0,X1310=""),1,0)</f>
        <v/>
      </c>
      <c r="AA1310" s="68">
        <f>IF(Z1310=1,IF(U1310="In",L1310,L1310-W1310),0)</f>
        <v/>
      </c>
      <c r="AB1310" s="68">
        <f>IF(Z1310=1,IF(U1310="In",L1310-W1310,L1310),0)</f>
        <v/>
      </c>
      <c r="AC1310" s="68">
        <f>IF(AND(Z1310=1,U1310="Out"),W1310,0)</f>
        <v/>
      </c>
      <c r="AD1310" s="68">
        <f>IF(AND(Z1310=1,U1310="In"),W1310,0)</f>
        <v/>
      </c>
    </row>
    <row r="1311">
      <c r="B1311" s="62" t="inlineStr">
        <is>
          <t>TX-1305</t>
        </is>
      </c>
      <c r="C1311" s="63" t="n"/>
      <c r="D1311" s="62" t="n"/>
      <c r="E1311" s="62" t="n"/>
      <c r="F1311" s="62" t="n"/>
      <c r="G1311" s="62" t="n"/>
      <c r="H1311" s="62" t="n"/>
      <c r="I1311" s="62" t="n"/>
      <c r="J1311" s="62" t="n"/>
      <c r="K1311" s="62" t="n"/>
      <c r="L1311" s="64" t="n"/>
      <c r="M1311" s="64" t="n"/>
      <c r="N1311" s="62" t="n"/>
      <c r="O1311" s="65">
        <f>IF(Z1311=1,L1311-W1311,"")</f>
        <v/>
      </c>
      <c r="P1311" s="66">
        <f>IF(V1311="","",IFERROR(INDEX(coa_Type,MATCH(V1311,coa_Name,0)),""))</f>
        <v/>
      </c>
      <c r="Q1311" s="66">
        <f>IF(Z1311=1,IF(U1311="In",K1311&amp;"",V1311),"")</f>
        <v/>
      </c>
      <c r="R1311" s="66">
        <f>IF(Z1311=1,IF(U1311="In",V1311,K1311&amp;""),"")</f>
        <v/>
      </c>
      <c r="S1311" s="66">
        <f>IF(X1311&lt;&gt;"","⛔ "&amp;X1311&amp;" — not posted",IF(Y1311&lt;&gt;"","⚠ "&amp;Y1311,IF(Z1311=1,"✓ OK","")))</f>
        <v/>
      </c>
      <c r="T1311" s="67">
        <f>IF(AND(C1311="",D1311="",E1311="",L1311="",K1311=""),1,0)</f>
        <v/>
      </c>
      <c r="U1311" s="67">
        <f>IFERROR(INDEX(tt_Dir,MATCH(D1311,tt_Type,0)),"")</f>
        <v/>
      </c>
      <c r="V1311" s="67">
        <f>IF(D1311="","",IFERROR(IF(INDEX(tt_Other,MATCH(D1311,tt_Type,0))="",E1311&amp;"",INDEX(tt_Other,MATCH(D1311,tt_Type,0))),""))</f>
        <v/>
      </c>
      <c r="W1311" s="68">
        <f>IF(OR(TaxOn&lt;&gt;"Yes",NOT(ISNUMBER(M1311))),0,IF(IFERROR(INDEX(tt_Tax,MATCH(D1311,tt_Type,0)),"No")="Yes",M1311,0))</f>
        <v/>
      </c>
      <c r="X1311" s="67">
        <f>IF(T1311=1,"",IF(C1311="","Missing transaction date",IF(NOT(ISNUMBER(C1311)),"Invalid date",IF(OR(C1311&lt;DATE(2000,1,1),C1311&gt;DATE(2099,12,31)),"Invalid date",IF(D1311="","Select a type",IF(U1311="","Unknown type: "&amp;D1311,IF(V1311="","Select an account (Category)",IF(ISNA(MATCH(V1311,coa_Name,0)),"Unknown account: "&amp;V1311,IF(K1311="","Select Paid From / Deposited To",IF(ISNA(MATCH(K1311,coa_Name,0)),"Unknown account: "&amp;K1311,IF(NOT(ISNUMBER(L1311)),"Enter an amount",IF(L1311=0,"Enter an amount",IF(ABS(W1311)&gt;ABS(L1311),"Tax is larger than the amount","")))))))))))))</f>
        <v/>
      </c>
      <c r="Y1311" s="67">
        <f>IF(OR(T1311=1,X1311&lt;&gt;""),"",IF(AND(B1311&lt;&gt;"",COUNTIF(tx_ID,B1311)&gt;1),"Duplicate transaction ID",IF(AND(L1311&lt;0,D1311&lt;&gt;"Adjustment"),"Negative amount — check this entry",IF(AND(D1311="Customer Payment",G1311=""),"Add the customer",IF(AND(D1311="Customer Payment",OR(J1311="",COUNTIF(ar_No,J1311&amp;"")=0)),"Invoice # in Reference not found on AR sheet",IF(AND(D1311="Bill Payment",H1311=""),"Add the vendor",IF(AND(D1311="Bill Payment",OR(J1311="",COUNTIFS(ap_No,J1311&amp;"",ap_Party,H1311&amp;"")=0)),"Bill # + vendor not found on AP sheet",IF(AND(ISNUMBER(M1311),N(M1311)&lt;&gt;0,W1311=0),"Tax ignored (tax tracking off, or not allowed for this type)",IF(V1311=K1311&amp;"","Same account on both sides",IF(AND(ISNUMBER(StartDate),C1311&lt;StartDate),"Date is before the accounting start date",IF(AND(D1311&lt;&gt;"Adjustment",IFERROR(INDEX(coa_Pay,MATCH(K1311&amp;"",coa_Name,0)),"")&lt;&gt;"Yes"),"Paid From / Deposited To is not a payment account","")))))))))))</f>
        <v/>
      </c>
      <c r="Z1311" s="67">
        <f>IF(AND(T1311=0,X1311=""),1,0)</f>
        <v/>
      </c>
      <c r="AA1311" s="68">
        <f>IF(Z1311=1,IF(U1311="In",L1311,L1311-W1311),0)</f>
        <v/>
      </c>
      <c r="AB1311" s="68">
        <f>IF(Z1311=1,IF(U1311="In",L1311-W1311,L1311),0)</f>
        <v/>
      </c>
      <c r="AC1311" s="68">
        <f>IF(AND(Z1311=1,U1311="Out"),W1311,0)</f>
        <v/>
      </c>
      <c r="AD1311" s="68">
        <f>IF(AND(Z1311=1,U1311="In"),W1311,0)</f>
        <v/>
      </c>
    </row>
    <row r="1312">
      <c r="B1312" s="62" t="inlineStr">
        <is>
          <t>TX-1306</t>
        </is>
      </c>
      <c r="C1312" s="63" t="n"/>
      <c r="D1312" s="62" t="n"/>
      <c r="E1312" s="62" t="n"/>
      <c r="F1312" s="62" t="n"/>
      <c r="G1312" s="62" t="n"/>
      <c r="H1312" s="62" t="n"/>
      <c r="I1312" s="62" t="n"/>
      <c r="J1312" s="62" t="n"/>
      <c r="K1312" s="62" t="n"/>
      <c r="L1312" s="64" t="n"/>
      <c r="M1312" s="64" t="n"/>
      <c r="N1312" s="62" t="n"/>
      <c r="O1312" s="65">
        <f>IF(Z1312=1,L1312-W1312,"")</f>
        <v/>
      </c>
      <c r="P1312" s="66">
        <f>IF(V1312="","",IFERROR(INDEX(coa_Type,MATCH(V1312,coa_Name,0)),""))</f>
        <v/>
      </c>
      <c r="Q1312" s="66">
        <f>IF(Z1312=1,IF(U1312="In",K1312&amp;"",V1312),"")</f>
        <v/>
      </c>
      <c r="R1312" s="66">
        <f>IF(Z1312=1,IF(U1312="In",V1312,K1312&amp;""),"")</f>
        <v/>
      </c>
      <c r="S1312" s="66">
        <f>IF(X1312&lt;&gt;"","⛔ "&amp;X1312&amp;" — not posted",IF(Y1312&lt;&gt;"","⚠ "&amp;Y1312,IF(Z1312=1,"✓ OK","")))</f>
        <v/>
      </c>
      <c r="T1312" s="67">
        <f>IF(AND(C1312="",D1312="",E1312="",L1312="",K1312=""),1,0)</f>
        <v/>
      </c>
      <c r="U1312" s="67">
        <f>IFERROR(INDEX(tt_Dir,MATCH(D1312,tt_Type,0)),"")</f>
        <v/>
      </c>
      <c r="V1312" s="67">
        <f>IF(D1312="","",IFERROR(IF(INDEX(tt_Other,MATCH(D1312,tt_Type,0))="",E1312&amp;"",INDEX(tt_Other,MATCH(D1312,tt_Type,0))),""))</f>
        <v/>
      </c>
      <c r="W1312" s="68">
        <f>IF(OR(TaxOn&lt;&gt;"Yes",NOT(ISNUMBER(M1312))),0,IF(IFERROR(INDEX(tt_Tax,MATCH(D1312,tt_Type,0)),"No")="Yes",M1312,0))</f>
        <v/>
      </c>
      <c r="X1312" s="67">
        <f>IF(T1312=1,"",IF(C1312="","Missing transaction date",IF(NOT(ISNUMBER(C1312)),"Invalid date",IF(OR(C1312&lt;DATE(2000,1,1),C1312&gt;DATE(2099,12,31)),"Invalid date",IF(D1312="","Select a type",IF(U1312="","Unknown type: "&amp;D1312,IF(V1312="","Select an account (Category)",IF(ISNA(MATCH(V1312,coa_Name,0)),"Unknown account: "&amp;V1312,IF(K1312="","Select Paid From / Deposited To",IF(ISNA(MATCH(K1312,coa_Name,0)),"Unknown account: "&amp;K1312,IF(NOT(ISNUMBER(L1312)),"Enter an amount",IF(L1312=0,"Enter an amount",IF(ABS(W1312)&gt;ABS(L1312),"Tax is larger than the amount","")))))))))))))</f>
        <v/>
      </c>
      <c r="Y1312" s="67">
        <f>IF(OR(T1312=1,X1312&lt;&gt;""),"",IF(AND(B1312&lt;&gt;"",COUNTIF(tx_ID,B1312)&gt;1),"Duplicate transaction ID",IF(AND(L1312&lt;0,D1312&lt;&gt;"Adjustment"),"Negative amount — check this entry",IF(AND(D1312="Customer Payment",G1312=""),"Add the customer",IF(AND(D1312="Customer Payment",OR(J1312="",COUNTIF(ar_No,J1312&amp;"")=0)),"Invoice # in Reference not found on AR sheet",IF(AND(D1312="Bill Payment",H1312=""),"Add the vendor",IF(AND(D1312="Bill Payment",OR(J1312="",COUNTIFS(ap_No,J1312&amp;"",ap_Party,H1312&amp;"")=0)),"Bill # + vendor not found on AP sheet",IF(AND(ISNUMBER(M1312),N(M1312)&lt;&gt;0,W1312=0),"Tax ignored (tax tracking off, or not allowed for this type)",IF(V1312=K1312&amp;"","Same account on both sides",IF(AND(ISNUMBER(StartDate),C1312&lt;StartDate),"Date is before the accounting start date",IF(AND(D1312&lt;&gt;"Adjustment",IFERROR(INDEX(coa_Pay,MATCH(K1312&amp;"",coa_Name,0)),"")&lt;&gt;"Yes"),"Paid From / Deposited To is not a payment account","")))))))))))</f>
        <v/>
      </c>
      <c r="Z1312" s="67">
        <f>IF(AND(T1312=0,X1312=""),1,0)</f>
        <v/>
      </c>
      <c r="AA1312" s="68">
        <f>IF(Z1312=1,IF(U1312="In",L1312,L1312-W1312),0)</f>
        <v/>
      </c>
      <c r="AB1312" s="68">
        <f>IF(Z1312=1,IF(U1312="In",L1312-W1312,L1312),0)</f>
        <v/>
      </c>
      <c r="AC1312" s="68">
        <f>IF(AND(Z1312=1,U1312="Out"),W1312,0)</f>
        <v/>
      </c>
      <c r="AD1312" s="68">
        <f>IF(AND(Z1312=1,U1312="In"),W1312,0)</f>
        <v/>
      </c>
    </row>
    <row r="1313">
      <c r="B1313" s="62" t="inlineStr">
        <is>
          <t>TX-1307</t>
        </is>
      </c>
      <c r="C1313" s="63" t="n"/>
      <c r="D1313" s="62" t="n"/>
      <c r="E1313" s="62" t="n"/>
      <c r="F1313" s="62" t="n"/>
      <c r="G1313" s="62" t="n"/>
      <c r="H1313" s="62" t="n"/>
      <c r="I1313" s="62" t="n"/>
      <c r="J1313" s="62" t="n"/>
      <c r="K1313" s="62" t="n"/>
      <c r="L1313" s="64" t="n"/>
      <c r="M1313" s="64" t="n"/>
      <c r="N1313" s="62" t="n"/>
      <c r="O1313" s="65">
        <f>IF(Z1313=1,L1313-W1313,"")</f>
        <v/>
      </c>
      <c r="P1313" s="66">
        <f>IF(V1313="","",IFERROR(INDEX(coa_Type,MATCH(V1313,coa_Name,0)),""))</f>
        <v/>
      </c>
      <c r="Q1313" s="66">
        <f>IF(Z1313=1,IF(U1313="In",K1313&amp;"",V1313),"")</f>
        <v/>
      </c>
      <c r="R1313" s="66">
        <f>IF(Z1313=1,IF(U1313="In",V1313,K1313&amp;""),"")</f>
        <v/>
      </c>
      <c r="S1313" s="66">
        <f>IF(X1313&lt;&gt;"","⛔ "&amp;X1313&amp;" — not posted",IF(Y1313&lt;&gt;"","⚠ "&amp;Y1313,IF(Z1313=1,"✓ OK","")))</f>
        <v/>
      </c>
      <c r="T1313" s="67">
        <f>IF(AND(C1313="",D1313="",E1313="",L1313="",K1313=""),1,0)</f>
        <v/>
      </c>
      <c r="U1313" s="67">
        <f>IFERROR(INDEX(tt_Dir,MATCH(D1313,tt_Type,0)),"")</f>
        <v/>
      </c>
      <c r="V1313" s="67">
        <f>IF(D1313="","",IFERROR(IF(INDEX(tt_Other,MATCH(D1313,tt_Type,0))="",E1313&amp;"",INDEX(tt_Other,MATCH(D1313,tt_Type,0))),""))</f>
        <v/>
      </c>
      <c r="W1313" s="68">
        <f>IF(OR(TaxOn&lt;&gt;"Yes",NOT(ISNUMBER(M1313))),0,IF(IFERROR(INDEX(tt_Tax,MATCH(D1313,tt_Type,0)),"No")="Yes",M1313,0))</f>
        <v/>
      </c>
      <c r="X1313" s="67">
        <f>IF(T1313=1,"",IF(C1313="","Missing transaction date",IF(NOT(ISNUMBER(C1313)),"Invalid date",IF(OR(C1313&lt;DATE(2000,1,1),C1313&gt;DATE(2099,12,31)),"Invalid date",IF(D1313="","Select a type",IF(U1313="","Unknown type: "&amp;D1313,IF(V1313="","Select an account (Category)",IF(ISNA(MATCH(V1313,coa_Name,0)),"Unknown account: "&amp;V1313,IF(K1313="","Select Paid From / Deposited To",IF(ISNA(MATCH(K1313,coa_Name,0)),"Unknown account: "&amp;K1313,IF(NOT(ISNUMBER(L1313)),"Enter an amount",IF(L1313=0,"Enter an amount",IF(ABS(W1313)&gt;ABS(L1313),"Tax is larger than the amount","")))))))))))))</f>
        <v/>
      </c>
      <c r="Y1313" s="67">
        <f>IF(OR(T1313=1,X1313&lt;&gt;""),"",IF(AND(B1313&lt;&gt;"",COUNTIF(tx_ID,B1313)&gt;1),"Duplicate transaction ID",IF(AND(L1313&lt;0,D1313&lt;&gt;"Adjustment"),"Negative amount — check this entry",IF(AND(D1313="Customer Payment",G1313=""),"Add the customer",IF(AND(D1313="Customer Payment",OR(J1313="",COUNTIF(ar_No,J1313&amp;"")=0)),"Invoice # in Reference not found on AR sheet",IF(AND(D1313="Bill Payment",H1313=""),"Add the vendor",IF(AND(D1313="Bill Payment",OR(J1313="",COUNTIFS(ap_No,J1313&amp;"",ap_Party,H1313&amp;"")=0)),"Bill # + vendor not found on AP sheet",IF(AND(ISNUMBER(M1313),N(M1313)&lt;&gt;0,W1313=0),"Tax ignored (tax tracking off, or not allowed for this type)",IF(V1313=K1313&amp;"","Same account on both sides",IF(AND(ISNUMBER(StartDate),C1313&lt;StartDate),"Date is before the accounting start date",IF(AND(D1313&lt;&gt;"Adjustment",IFERROR(INDEX(coa_Pay,MATCH(K1313&amp;"",coa_Name,0)),"")&lt;&gt;"Yes"),"Paid From / Deposited To is not a payment account","")))))))))))</f>
        <v/>
      </c>
      <c r="Z1313" s="67">
        <f>IF(AND(T1313=0,X1313=""),1,0)</f>
        <v/>
      </c>
      <c r="AA1313" s="68">
        <f>IF(Z1313=1,IF(U1313="In",L1313,L1313-W1313),0)</f>
        <v/>
      </c>
      <c r="AB1313" s="68">
        <f>IF(Z1313=1,IF(U1313="In",L1313-W1313,L1313),0)</f>
        <v/>
      </c>
      <c r="AC1313" s="68">
        <f>IF(AND(Z1313=1,U1313="Out"),W1313,0)</f>
        <v/>
      </c>
      <c r="AD1313" s="68">
        <f>IF(AND(Z1313=1,U1313="In"),W1313,0)</f>
        <v/>
      </c>
    </row>
    <row r="1314">
      <c r="B1314" s="62" t="inlineStr">
        <is>
          <t>TX-1308</t>
        </is>
      </c>
      <c r="C1314" s="63" t="n"/>
      <c r="D1314" s="62" t="n"/>
      <c r="E1314" s="62" t="n"/>
      <c r="F1314" s="62" t="n"/>
      <c r="G1314" s="62" t="n"/>
      <c r="H1314" s="62" t="n"/>
      <c r="I1314" s="62" t="n"/>
      <c r="J1314" s="62" t="n"/>
      <c r="K1314" s="62" t="n"/>
      <c r="L1314" s="64" t="n"/>
      <c r="M1314" s="64" t="n"/>
      <c r="N1314" s="62" t="n"/>
      <c r="O1314" s="65">
        <f>IF(Z1314=1,L1314-W1314,"")</f>
        <v/>
      </c>
      <c r="P1314" s="66">
        <f>IF(V1314="","",IFERROR(INDEX(coa_Type,MATCH(V1314,coa_Name,0)),""))</f>
        <v/>
      </c>
      <c r="Q1314" s="66">
        <f>IF(Z1314=1,IF(U1314="In",K1314&amp;"",V1314),"")</f>
        <v/>
      </c>
      <c r="R1314" s="66">
        <f>IF(Z1314=1,IF(U1314="In",V1314,K1314&amp;""),"")</f>
        <v/>
      </c>
      <c r="S1314" s="66">
        <f>IF(X1314&lt;&gt;"","⛔ "&amp;X1314&amp;" — not posted",IF(Y1314&lt;&gt;"","⚠ "&amp;Y1314,IF(Z1314=1,"✓ OK","")))</f>
        <v/>
      </c>
      <c r="T1314" s="67">
        <f>IF(AND(C1314="",D1314="",E1314="",L1314="",K1314=""),1,0)</f>
        <v/>
      </c>
      <c r="U1314" s="67">
        <f>IFERROR(INDEX(tt_Dir,MATCH(D1314,tt_Type,0)),"")</f>
        <v/>
      </c>
      <c r="V1314" s="67">
        <f>IF(D1314="","",IFERROR(IF(INDEX(tt_Other,MATCH(D1314,tt_Type,0))="",E1314&amp;"",INDEX(tt_Other,MATCH(D1314,tt_Type,0))),""))</f>
        <v/>
      </c>
      <c r="W1314" s="68">
        <f>IF(OR(TaxOn&lt;&gt;"Yes",NOT(ISNUMBER(M1314))),0,IF(IFERROR(INDEX(tt_Tax,MATCH(D1314,tt_Type,0)),"No")="Yes",M1314,0))</f>
        <v/>
      </c>
      <c r="X1314" s="67">
        <f>IF(T1314=1,"",IF(C1314="","Missing transaction date",IF(NOT(ISNUMBER(C1314)),"Invalid date",IF(OR(C1314&lt;DATE(2000,1,1),C1314&gt;DATE(2099,12,31)),"Invalid date",IF(D1314="","Select a type",IF(U1314="","Unknown type: "&amp;D1314,IF(V1314="","Select an account (Category)",IF(ISNA(MATCH(V1314,coa_Name,0)),"Unknown account: "&amp;V1314,IF(K1314="","Select Paid From / Deposited To",IF(ISNA(MATCH(K1314,coa_Name,0)),"Unknown account: "&amp;K1314,IF(NOT(ISNUMBER(L1314)),"Enter an amount",IF(L1314=0,"Enter an amount",IF(ABS(W1314)&gt;ABS(L1314),"Tax is larger than the amount","")))))))))))))</f>
        <v/>
      </c>
      <c r="Y1314" s="67">
        <f>IF(OR(T1314=1,X1314&lt;&gt;""),"",IF(AND(B1314&lt;&gt;"",COUNTIF(tx_ID,B1314)&gt;1),"Duplicate transaction ID",IF(AND(L1314&lt;0,D1314&lt;&gt;"Adjustment"),"Negative amount — check this entry",IF(AND(D1314="Customer Payment",G1314=""),"Add the customer",IF(AND(D1314="Customer Payment",OR(J1314="",COUNTIF(ar_No,J1314&amp;"")=0)),"Invoice # in Reference not found on AR sheet",IF(AND(D1314="Bill Payment",H1314=""),"Add the vendor",IF(AND(D1314="Bill Payment",OR(J1314="",COUNTIFS(ap_No,J1314&amp;"",ap_Party,H1314&amp;"")=0)),"Bill # + vendor not found on AP sheet",IF(AND(ISNUMBER(M1314),N(M1314)&lt;&gt;0,W1314=0),"Tax ignored (tax tracking off, or not allowed for this type)",IF(V1314=K1314&amp;"","Same account on both sides",IF(AND(ISNUMBER(StartDate),C1314&lt;StartDate),"Date is before the accounting start date",IF(AND(D1314&lt;&gt;"Adjustment",IFERROR(INDEX(coa_Pay,MATCH(K1314&amp;"",coa_Name,0)),"")&lt;&gt;"Yes"),"Paid From / Deposited To is not a payment account","")))))))))))</f>
        <v/>
      </c>
      <c r="Z1314" s="67">
        <f>IF(AND(T1314=0,X1314=""),1,0)</f>
        <v/>
      </c>
      <c r="AA1314" s="68">
        <f>IF(Z1314=1,IF(U1314="In",L1314,L1314-W1314),0)</f>
        <v/>
      </c>
      <c r="AB1314" s="68">
        <f>IF(Z1314=1,IF(U1314="In",L1314-W1314,L1314),0)</f>
        <v/>
      </c>
      <c r="AC1314" s="68">
        <f>IF(AND(Z1314=1,U1314="Out"),W1314,0)</f>
        <v/>
      </c>
      <c r="AD1314" s="68">
        <f>IF(AND(Z1314=1,U1314="In"),W1314,0)</f>
        <v/>
      </c>
    </row>
    <row r="1315">
      <c r="B1315" s="62" t="inlineStr">
        <is>
          <t>TX-1309</t>
        </is>
      </c>
      <c r="C1315" s="63" t="n"/>
      <c r="D1315" s="62" t="n"/>
      <c r="E1315" s="62" t="n"/>
      <c r="F1315" s="62" t="n"/>
      <c r="G1315" s="62" t="n"/>
      <c r="H1315" s="62" t="n"/>
      <c r="I1315" s="62" t="n"/>
      <c r="J1315" s="62" t="n"/>
      <c r="K1315" s="62" t="n"/>
      <c r="L1315" s="64" t="n"/>
      <c r="M1315" s="64" t="n"/>
      <c r="N1315" s="62" t="n"/>
      <c r="O1315" s="65">
        <f>IF(Z1315=1,L1315-W1315,"")</f>
        <v/>
      </c>
      <c r="P1315" s="66">
        <f>IF(V1315="","",IFERROR(INDEX(coa_Type,MATCH(V1315,coa_Name,0)),""))</f>
        <v/>
      </c>
      <c r="Q1315" s="66">
        <f>IF(Z1315=1,IF(U1315="In",K1315&amp;"",V1315),"")</f>
        <v/>
      </c>
      <c r="R1315" s="66">
        <f>IF(Z1315=1,IF(U1315="In",V1315,K1315&amp;""),"")</f>
        <v/>
      </c>
      <c r="S1315" s="66">
        <f>IF(X1315&lt;&gt;"","⛔ "&amp;X1315&amp;" — not posted",IF(Y1315&lt;&gt;"","⚠ "&amp;Y1315,IF(Z1315=1,"✓ OK","")))</f>
        <v/>
      </c>
      <c r="T1315" s="67">
        <f>IF(AND(C1315="",D1315="",E1315="",L1315="",K1315=""),1,0)</f>
        <v/>
      </c>
      <c r="U1315" s="67">
        <f>IFERROR(INDEX(tt_Dir,MATCH(D1315,tt_Type,0)),"")</f>
        <v/>
      </c>
      <c r="V1315" s="67">
        <f>IF(D1315="","",IFERROR(IF(INDEX(tt_Other,MATCH(D1315,tt_Type,0))="",E1315&amp;"",INDEX(tt_Other,MATCH(D1315,tt_Type,0))),""))</f>
        <v/>
      </c>
      <c r="W1315" s="68">
        <f>IF(OR(TaxOn&lt;&gt;"Yes",NOT(ISNUMBER(M1315))),0,IF(IFERROR(INDEX(tt_Tax,MATCH(D1315,tt_Type,0)),"No")="Yes",M1315,0))</f>
        <v/>
      </c>
      <c r="X1315" s="67">
        <f>IF(T1315=1,"",IF(C1315="","Missing transaction date",IF(NOT(ISNUMBER(C1315)),"Invalid date",IF(OR(C1315&lt;DATE(2000,1,1),C1315&gt;DATE(2099,12,31)),"Invalid date",IF(D1315="","Select a type",IF(U1315="","Unknown type: "&amp;D1315,IF(V1315="","Select an account (Category)",IF(ISNA(MATCH(V1315,coa_Name,0)),"Unknown account: "&amp;V1315,IF(K1315="","Select Paid From / Deposited To",IF(ISNA(MATCH(K1315,coa_Name,0)),"Unknown account: "&amp;K1315,IF(NOT(ISNUMBER(L1315)),"Enter an amount",IF(L1315=0,"Enter an amount",IF(ABS(W1315)&gt;ABS(L1315),"Tax is larger than the amount","")))))))))))))</f>
        <v/>
      </c>
      <c r="Y1315" s="67">
        <f>IF(OR(T1315=1,X1315&lt;&gt;""),"",IF(AND(B1315&lt;&gt;"",COUNTIF(tx_ID,B1315)&gt;1),"Duplicate transaction ID",IF(AND(L1315&lt;0,D1315&lt;&gt;"Adjustment"),"Negative amount — check this entry",IF(AND(D1315="Customer Payment",G1315=""),"Add the customer",IF(AND(D1315="Customer Payment",OR(J1315="",COUNTIF(ar_No,J1315&amp;"")=0)),"Invoice # in Reference not found on AR sheet",IF(AND(D1315="Bill Payment",H1315=""),"Add the vendor",IF(AND(D1315="Bill Payment",OR(J1315="",COUNTIFS(ap_No,J1315&amp;"",ap_Party,H1315&amp;"")=0)),"Bill # + vendor not found on AP sheet",IF(AND(ISNUMBER(M1315),N(M1315)&lt;&gt;0,W1315=0),"Tax ignored (tax tracking off, or not allowed for this type)",IF(V1315=K1315&amp;"","Same account on both sides",IF(AND(ISNUMBER(StartDate),C1315&lt;StartDate),"Date is before the accounting start date",IF(AND(D1315&lt;&gt;"Adjustment",IFERROR(INDEX(coa_Pay,MATCH(K1315&amp;"",coa_Name,0)),"")&lt;&gt;"Yes"),"Paid From / Deposited To is not a payment account","")))))))))))</f>
        <v/>
      </c>
      <c r="Z1315" s="67">
        <f>IF(AND(T1315=0,X1315=""),1,0)</f>
        <v/>
      </c>
      <c r="AA1315" s="68">
        <f>IF(Z1315=1,IF(U1315="In",L1315,L1315-W1315),0)</f>
        <v/>
      </c>
      <c r="AB1315" s="68">
        <f>IF(Z1315=1,IF(U1315="In",L1315-W1315,L1315),0)</f>
        <v/>
      </c>
      <c r="AC1315" s="68">
        <f>IF(AND(Z1315=1,U1315="Out"),W1315,0)</f>
        <v/>
      </c>
      <c r="AD1315" s="68">
        <f>IF(AND(Z1315=1,U1315="In"),W1315,0)</f>
        <v/>
      </c>
    </row>
    <row r="1316">
      <c r="B1316" s="62" t="inlineStr">
        <is>
          <t>TX-1310</t>
        </is>
      </c>
      <c r="C1316" s="63" t="n"/>
      <c r="D1316" s="62" t="n"/>
      <c r="E1316" s="62" t="n"/>
      <c r="F1316" s="62" t="n"/>
      <c r="G1316" s="62" t="n"/>
      <c r="H1316" s="62" t="n"/>
      <c r="I1316" s="62" t="n"/>
      <c r="J1316" s="62" t="n"/>
      <c r="K1316" s="62" t="n"/>
      <c r="L1316" s="64" t="n"/>
      <c r="M1316" s="64" t="n"/>
      <c r="N1316" s="62" t="n"/>
      <c r="O1316" s="65">
        <f>IF(Z1316=1,L1316-W1316,"")</f>
        <v/>
      </c>
      <c r="P1316" s="66">
        <f>IF(V1316="","",IFERROR(INDEX(coa_Type,MATCH(V1316,coa_Name,0)),""))</f>
        <v/>
      </c>
      <c r="Q1316" s="66">
        <f>IF(Z1316=1,IF(U1316="In",K1316&amp;"",V1316),"")</f>
        <v/>
      </c>
      <c r="R1316" s="66">
        <f>IF(Z1316=1,IF(U1316="In",V1316,K1316&amp;""),"")</f>
        <v/>
      </c>
      <c r="S1316" s="66">
        <f>IF(X1316&lt;&gt;"","⛔ "&amp;X1316&amp;" — not posted",IF(Y1316&lt;&gt;"","⚠ "&amp;Y1316,IF(Z1316=1,"✓ OK","")))</f>
        <v/>
      </c>
      <c r="T1316" s="67">
        <f>IF(AND(C1316="",D1316="",E1316="",L1316="",K1316=""),1,0)</f>
        <v/>
      </c>
      <c r="U1316" s="67">
        <f>IFERROR(INDEX(tt_Dir,MATCH(D1316,tt_Type,0)),"")</f>
        <v/>
      </c>
      <c r="V1316" s="67">
        <f>IF(D1316="","",IFERROR(IF(INDEX(tt_Other,MATCH(D1316,tt_Type,0))="",E1316&amp;"",INDEX(tt_Other,MATCH(D1316,tt_Type,0))),""))</f>
        <v/>
      </c>
      <c r="W1316" s="68">
        <f>IF(OR(TaxOn&lt;&gt;"Yes",NOT(ISNUMBER(M1316))),0,IF(IFERROR(INDEX(tt_Tax,MATCH(D1316,tt_Type,0)),"No")="Yes",M1316,0))</f>
        <v/>
      </c>
      <c r="X1316" s="67">
        <f>IF(T1316=1,"",IF(C1316="","Missing transaction date",IF(NOT(ISNUMBER(C1316)),"Invalid date",IF(OR(C1316&lt;DATE(2000,1,1),C1316&gt;DATE(2099,12,31)),"Invalid date",IF(D1316="","Select a type",IF(U1316="","Unknown type: "&amp;D1316,IF(V1316="","Select an account (Category)",IF(ISNA(MATCH(V1316,coa_Name,0)),"Unknown account: "&amp;V1316,IF(K1316="","Select Paid From / Deposited To",IF(ISNA(MATCH(K1316,coa_Name,0)),"Unknown account: "&amp;K1316,IF(NOT(ISNUMBER(L1316)),"Enter an amount",IF(L1316=0,"Enter an amount",IF(ABS(W1316)&gt;ABS(L1316),"Tax is larger than the amount","")))))))))))))</f>
        <v/>
      </c>
      <c r="Y1316" s="67">
        <f>IF(OR(T1316=1,X1316&lt;&gt;""),"",IF(AND(B1316&lt;&gt;"",COUNTIF(tx_ID,B1316)&gt;1),"Duplicate transaction ID",IF(AND(L1316&lt;0,D1316&lt;&gt;"Adjustment"),"Negative amount — check this entry",IF(AND(D1316="Customer Payment",G1316=""),"Add the customer",IF(AND(D1316="Customer Payment",OR(J1316="",COUNTIF(ar_No,J1316&amp;"")=0)),"Invoice # in Reference not found on AR sheet",IF(AND(D1316="Bill Payment",H1316=""),"Add the vendor",IF(AND(D1316="Bill Payment",OR(J1316="",COUNTIFS(ap_No,J1316&amp;"",ap_Party,H1316&amp;"")=0)),"Bill # + vendor not found on AP sheet",IF(AND(ISNUMBER(M1316),N(M1316)&lt;&gt;0,W1316=0),"Tax ignored (tax tracking off, or not allowed for this type)",IF(V1316=K1316&amp;"","Same account on both sides",IF(AND(ISNUMBER(StartDate),C1316&lt;StartDate),"Date is before the accounting start date",IF(AND(D1316&lt;&gt;"Adjustment",IFERROR(INDEX(coa_Pay,MATCH(K1316&amp;"",coa_Name,0)),"")&lt;&gt;"Yes"),"Paid From / Deposited To is not a payment account","")))))))))))</f>
        <v/>
      </c>
      <c r="Z1316" s="67">
        <f>IF(AND(T1316=0,X1316=""),1,0)</f>
        <v/>
      </c>
      <c r="AA1316" s="68">
        <f>IF(Z1316=1,IF(U1316="In",L1316,L1316-W1316),0)</f>
        <v/>
      </c>
      <c r="AB1316" s="68">
        <f>IF(Z1316=1,IF(U1316="In",L1316-W1316,L1316),0)</f>
        <v/>
      </c>
      <c r="AC1316" s="68">
        <f>IF(AND(Z1316=1,U1316="Out"),W1316,0)</f>
        <v/>
      </c>
      <c r="AD1316" s="68">
        <f>IF(AND(Z1316=1,U1316="In"),W1316,0)</f>
        <v/>
      </c>
    </row>
    <row r="1317">
      <c r="B1317" s="62" t="inlineStr">
        <is>
          <t>TX-1311</t>
        </is>
      </c>
      <c r="C1317" s="63" t="n"/>
      <c r="D1317" s="62" t="n"/>
      <c r="E1317" s="62" t="n"/>
      <c r="F1317" s="62" t="n"/>
      <c r="G1317" s="62" t="n"/>
      <c r="H1317" s="62" t="n"/>
      <c r="I1317" s="62" t="n"/>
      <c r="J1317" s="62" t="n"/>
      <c r="K1317" s="62" t="n"/>
      <c r="L1317" s="64" t="n"/>
      <c r="M1317" s="64" t="n"/>
      <c r="N1317" s="62" t="n"/>
      <c r="O1317" s="65">
        <f>IF(Z1317=1,L1317-W1317,"")</f>
        <v/>
      </c>
      <c r="P1317" s="66">
        <f>IF(V1317="","",IFERROR(INDEX(coa_Type,MATCH(V1317,coa_Name,0)),""))</f>
        <v/>
      </c>
      <c r="Q1317" s="66">
        <f>IF(Z1317=1,IF(U1317="In",K1317&amp;"",V1317),"")</f>
        <v/>
      </c>
      <c r="R1317" s="66">
        <f>IF(Z1317=1,IF(U1317="In",V1317,K1317&amp;""),"")</f>
        <v/>
      </c>
      <c r="S1317" s="66">
        <f>IF(X1317&lt;&gt;"","⛔ "&amp;X1317&amp;" — not posted",IF(Y1317&lt;&gt;"","⚠ "&amp;Y1317,IF(Z1317=1,"✓ OK","")))</f>
        <v/>
      </c>
      <c r="T1317" s="67">
        <f>IF(AND(C1317="",D1317="",E1317="",L1317="",K1317=""),1,0)</f>
        <v/>
      </c>
      <c r="U1317" s="67">
        <f>IFERROR(INDEX(tt_Dir,MATCH(D1317,tt_Type,0)),"")</f>
        <v/>
      </c>
      <c r="V1317" s="67">
        <f>IF(D1317="","",IFERROR(IF(INDEX(tt_Other,MATCH(D1317,tt_Type,0))="",E1317&amp;"",INDEX(tt_Other,MATCH(D1317,tt_Type,0))),""))</f>
        <v/>
      </c>
      <c r="W1317" s="68">
        <f>IF(OR(TaxOn&lt;&gt;"Yes",NOT(ISNUMBER(M1317))),0,IF(IFERROR(INDEX(tt_Tax,MATCH(D1317,tt_Type,0)),"No")="Yes",M1317,0))</f>
        <v/>
      </c>
      <c r="X1317" s="67">
        <f>IF(T1317=1,"",IF(C1317="","Missing transaction date",IF(NOT(ISNUMBER(C1317)),"Invalid date",IF(OR(C1317&lt;DATE(2000,1,1),C1317&gt;DATE(2099,12,31)),"Invalid date",IF(D1317="","Select a type",IF(U1317="","Unknown type: "&amp;D1317,IF(V1317="","Select an account (Category)",IF(ISNA(MATCH(V1317,coa_Name,0)),"Unknown account: "&amp;V1317,IF(K1317="","Select Paid From / Deposited To",IF(ISNA(MATCH(K1317,coa_Name,0)),"Unknown account: "&amp;K1317,IF(NOT(ISNUMBER(L1317)),"Enter an amount",IF(L1317=0,"Enter an amount",IF(ABS(W1317)&gt;ABS(L1317),"Tax is larger than the amount","")))))))))))))</f>
        <v/>
      </c>
      <c r="Y1317" s="67">
        <f>IF(OR(T1317=1,X1317&lt;&gt;""),"",IF(AND(B1317&lt;&gt;"",COUNTIF(tx_ID,B1317)&gt;1),"Duplicate transaction ID",IF(AND(L1317&lt;0,D1317&lt;&gt;"Adjustment"),"Negative amount — check this entry",IF(AND(D1317="Customer Payment",G1317=""),"Add the customer",IF(AND(D1317="Customer Payment",OR(J1317="",COUNTIF(ar_No,J1317&amp;"")=0)),"Invoice # in Reference not found on AR sheet",IF(AND(D1317="Bill Payment",H1317=""),"Add the vendor",IF(AND(D1317="Bill Payment",OR(J1317="",COUNTIFS(ap_No,J1317&amp;"",ap_Party,H1317&amp;"")=0)),"Bill # + vendor not found on AP sheet",IF(AND(ISNUMBER(M1317),N(M1317)&lt;&gt;0,W1317=0),"Tax ignored (tax tracking off, or not allowed for this type)",IF(V1317=K1317&amp;"","Same account on both sides",IF(AND(ISNUMBER(StartDate),C1317&lt;StartDate),"Date is before the accounting start date",IF(AND(D1317&lt;&gt;"Adjustment",IFERROR(INDEX(coa_Pay,MATCH(K1317&amp;"",coa_Name,0)),"")&lt;&gt;"Yes"),"Paid From / Deposited To is not a payment account","")))))))))))</f>
        <v/>
      </c>
      <c r="Z1317" s="67">
        <f>IF(AND(T1317=0,X1317=""),1,0)</f>
        <v/>
      </c>
      <c r="AA1317" s="68">
        <f>IF(Z1317=1,IF(U1317="In",L1317,L1317-W1317),0)</f>
        <v/>
      </c>
      <c r="AB1317" s="68">
        <f>IF(Z1317=1,IF(U1317="In",L1317-W1317,L1317),0)</f>
        <v/>
      </c>
      <c r="AC1317" s="68">
        <f>IF(AND(Z1317=1,U1317="Out"),W1317,0)</f>
        <v/>
      </c>
      <c r="AD1317" s="68">
        <f>IF(AND(Z1317=1,U1317="In"),W1317,0)</f>
        <v/>
      </c>
    </row>
    <row r="1318">
      <c r="B1318" s="62" t="inlineStr">
        <is>
          <t>TX-1312</t>
        </is>
      </c>
      <c r="C1318" s="63" t="n"/>
      <c r="D1318" s="62" t="n"/>
      <c r="E1318" s="62" t="n"/>
      <c r="F1318" s="62" t="n"/>
      <c r="G1318" s="62" t="n"/>
      <c r="H1318" s="62" t="n"/>
      <c r="I1318" s="62" t="n"/>
      <c r="J1318" s="62" t="n"/>
      <c r="K1318" s="62" t="n"/>
      <c r="L1318" s="64" t="n"/>
      <c r="M1318" s="64" t="n"/>
      <c r="N1318" s="62" t="n"/>
      <c r="O1318" s="65">
        <f>IF(Z1318=1,L1318-W1318,"")</f>
        <v/>
      </c>
      <c r="P1318" s="66">
        <f>IF(V1318="","",IFERROR(INDEX(coa_Type,MATCH(V1318,coa_Name,0)),""))</f>
        <v/>
      </c>
      <c r="Q1318" s="66">
        <f>IF(Z1318=1,IF(U1318="In",K1318&amp;"",V1318),"")</f>
        <v/>
      </c>
      <c r="R1318" s="66">
        <f>IF(Z1318=1,IF(U1318="In",V1318,K1318&amp;""),"")</f>
        <v/>
      </c>
      <c r="S1318" s="66">
        <f>IF(X1318&lt;&gt;"","⛔ "&amp;X1318&amp;" — not posted",IF(Y1318&lt;&gt;"","⚠ "&amp;Y1318,IF(Z1318=1,"✓ OK","")))</f>
        <v/>
      </c>
      <c r="T1318" s="67">
        <f>IF(AND(C1318="",D1318="",E1318="",L1318="",K1318=""),1,0)</f>
        <v/>
      </c>
      <c r="U1318" s="67">
        <f>IFERROR(INDEX(tt_Dir,MATCH(D1318,tt_Type,0)),"")</f>
        <v/>
      </c>
      <c r="V1318" s="67">
        <f>IF(D1318="","",IFERROR(IF(INDEX(tt_Other,MATCH(D1318,tt_Type,0))="",E1318&amp;"",INDEX(tt_Other,MATCH(D1318,tt_Type,0))),""))</f>
        <v/>
      </c>
      <c r="W1318" s="68">
        <f>IF(OR(TaxOn&lt;&gt;"Yes",NOT(ISNUMBER(M1318))),0,IF(IFERROR(INDEX(tt_Tax,MATCH(D1318,tt_Type,0)),"No")="Yes",M1318,0))</f>
        <v/>
      </c>
      <c r="X1318" s="67">
        <f>IF(T1318=1,"",IF(C1318="","Missing transaction date",IF(NOT(ISNUMBER(C1318)),"Invalid date",IF(OR(C1318&lt;DATE(2000,1,1),C1318&gt;DATE(2099,12,31)),"Invalid date",IF(D1318="","Select a type",IF(U1318="","Unknown type: "&amp;D1318,IF(V1318="","Select an account (Category)",IF(ISNA(MATCH(V1318,coa_Name,0)),"Unknown account: "&amp;V1318,IF(K1318="","Select Paid From / Deposited To",IF(ISNA(MATCH(K1318,coa_Name,0)),"Unknown account: "&amp;K1318,IF(NOT(ISNUMBER(L1318)),"Enter an amount",IF(L1318=0,"Enter an amount",IF(ABS(W1318)&gt;ABS(L1318),"Tax is larger than the amount","")))))))))))))</f>
        <v/>
      </c>
      <c r="Y1318" s="67">
        <f>IF(OR(T1318=1,X1318&lt;&gt;""),"",IF(AND(B1318&lt;&gt;"",COUNTIF(tx_ID,B1318)&gt;1),"Duplicate transaction ID",IF(AND(L1318&lt;0,D1318&lt;&gt;"Adjustment"),"Negative amount — check this entry",IF(AND(D1318="Customer Payment",G1318=""),"Add the customer",IF(AND(D1318="Customer Payment",OR(J1318="",COUNTIF(ar_No,J1318&amp;"")=0)),"Invoice # in Reference not found on AR sheet",IF(AND(D1318="Bill Payment",H1318=""),"Add the vendor",IF(AND(D1318="Bill Payment",OR(J1318="",COUNTIFS(ap_No,J1318&amp;"",ap_Party,H1318&amp;"")=0)),"Bill # + vendor not found on AP sheet",IF(AND(ISNUMBER(M1318),N(M1318)&lt;&gt;0,W1318=0),"Tax ignored (tax tracking off, or not allowed for this type)",IF(V1318=K1318&amp;"","Same account on both sides",IF(AND(ISNUMBER(StartDate),C1318&lt;StartDate),"Date is before the accounting start date",IF(AND(D1318&lt;&gt;"Adjustment",IFERROR(INDEX(coa_Pay,MATCH(K1318&amp;"",coa_Name,0)),"")&lt;&gt;"Yes"),"Paid From / Deposited To is not a payment account","")))))))))))</f>
        <v/>
      </c>
      <c r="Z1318" s="67">
        <f>IF(AND(T1318=0,X1318=""),1,0)</f>
        <v/>
      </c>
      <c r="AA1318" s="68">
        <f>IF(Z1318=1,IF(U1318="In",L1318,L1318-W1318),0)</f>
        <v/>
      </c>
      <c r="AB1318" s="68">
        <f>IF(Z1318=1,IF(U1318="In",L1318-W1318,L1318),0)</f>
        <v/>
      </c>
      <c r="AC1318" s="68">
        <f>IF(AND(Z1318=1,U1318="Out"),W1318,0)</f>
        <v/>
      </c>
      <c r="AD1318" s="68">
        <f>IF(AND(Z1318=1,U1318="In"),W1318,0)</f>
        <v/>
      </c>
    </row>
    <row r="1319">
      <c r="B1319" s="62" t="inlineStr">
        <is>
          <t>TX-1313</t>
        </is>
      </c>
      <c r="C1319" s="63" t="n"/>
      <c r="D1319" s="62" t="n"/>
      <c r="E1319" s="62" t="n"/>
      <c r="F1319" s="62" t="n"/>
      <c r="G1319" s="62" t="n"/>
      <c r="H1319" s="62" t="n"/>
      <c r="I1319" s="62" t="n"/>
      <c r="J1319" s="62" t="n"/>
      <c r="K1319" s="62" t="n"/>
      <c r="L1319" s="64" t="n"/>
      <c r="M1319" s="64" t="n"/>
      <c r="N1319" s="62" t="n"/>
      <c r="O1319" s="65">
        <f>IF(Z1319=1,L1319-W1319,"")</f>
        <v/>
      </c>
      <c r="P1319" s="66">
        <f>IF(V1319="","",IFERROR(INDEX(coa_Type,MATCH(V1319,coa_Name,0)),""))</f>
        <v/>
      </c>
      <c r="Q1319" s="66">
        <f>IF(Z1319=1,IF(U1319="In",K1319&amp;"",V1319),"")</f>
        <v/>
      </c>
      <c r="R1319" s="66">
        <f>IF(Z1319=1,IF(U1319="In",V1319,K1319&amp;""),"")</f>
        <v/>
      </c>
      <c r="S1319" s="66">
        <f>IF(X1319&lt;&gt;"","⛔ "&amp;X1319&amp;" — not posted",IF(Y1319&lt;&gt;"","⚠ "&amp;Y1319,IF(Z1319=1,"✓ OK","")))</f>
        <v/>
      </c>
      <c r="T1319" s="67">
        <f>IF(AND(C1319="",D1319="",E1319="",L1319="",K1319=""),1,0)</f>
        <v/>
      </c>
      <c r="U1319" s="67">
        <f>IFERROR(INDEX(tt_Dir,MATCH(D1319,tt_Type,0)),"")</f>
        <v/>
      </c>
      <c r="V1319" s="67">
        <f>IF(D1319="","",IFERROR(IF(INDEX(tt_Other,MATCH(D1319,tt_Type,0))="",E1319&amp;"",INDEX(tt_Other,MATCH(D1319,tt_Type,0))),""))</f>
        <v/>
      </c>
      <c r="W1319" s="68">
        <f>IF(OR(TaxOn&lt;&gt;"Yes",NOT(ISNUMBER(M1319))),0,IF(IFERROR(INDEX(tt_Tax,MATCH(D1319,tt_Type,0)),"No")="Yes",M1319,0))</f>
        <v/>
      </c>
      <c r="X1319" s="67">
        <f>IF(T1319=1,"",IF(C1319="","Missing transaction date",IF(NOT(ISNUMBER(C1319)),"Invalid date",IF(OR(C1319&lt;DATE(2000,1,1),C1319&gt;DATE(2099,12,31)),"Invalid date",IF(D1319="","Select a type",IF(U1319="","Unknown type: "&amp;D1319,IF(V1319="","Select an account (Category)",IF(ISNA(MATCH(V1319,coa_Name,0)),"Unknown account: "&amp;V1319,IF(K1319="","Select Paid From / Deposited To",IF(ISNA(MATCH(K1319,coa_Name,0)),"Unknown account: "&amp;K1319,IF(NOT(ISNUMBER(L1319)),"Enter an amount",IF(L1319=0,"Enter an amount",IF(ABS(W1319)&gt;ABS(L1319),"Tax is larger than the amount","")))))))))))))</f>
        <v/>
      </c>
      <c r="Y1319" s="67">
        <f>IF(OR(T1319=1,X1319&lt;&gt;""),"",IF(AND(B1319&lt;&gt;"",COUNTIF(tx_ID,B1319)&gt;1),"Duplicate transaction ID",IF(AND(L1319&lt;0,D1319&lt;&gt;"Adjustment"),"Negative amount — check this entry",IF(AND(D1319="Customer Payment",G1319=""),"Add the customer",IF(AND(D1319="Customer Payment",OR(J1319="",COUNTIF(ar_No,J1319&amp;"")=0)),"Invoice # in Reference not found on AR sheet",IF(AND(D1319="Bill Payment",H1319=""),"Add the vendor",IF(AND(D1319="Bill Payment",OR(J1319="",COUNTIFS(ap_No,J1319&amp;"",ap_Party,H1319&amp;"")=0)),"Bill # + vendor not found on AP sheet",IF(AND(ISNUMBER(M1319),N(M1319)&lt;&gt;0,W1319=0),"Tax ignored (tax tracking off, or not allowed for this type)",IF(V1319=K1319&amp;"","Same account on both sides",IF(AND(ISNUMBER(StartDate),C1319&lt;StartDate),"Date is before the accounting start date",IF(AND(D1319&lt;&gt;"Adjustment",IFERROR(INDEX(coa_Pay,MATCH(K1319&amp;"",coa_Name,0)),"")&lt;&gt;"Yes"),"Paid From / Deposited To is not a payment account","")))))))))))</f>
        <v/>
      </c>
      <c r="Z1319" s="67">
        <f>IF(AND(T1319=0,X1319=""),1,0)</f>
        <v/>
      </c>
      <c r="AA1319" s="68">
        <f>IF(Z1319=1,IF(U1319="In",L1319,L1319-W1319),0)</f>
        <v/>
      </c>
      <c r="AB1319" s="68">
        <f>IF(Z1319=1,IF(U1319="In",L1319-W1319,L1319),0)</f>
        <v/>
      </c>
      <c r="AC1319" s="68">
        <f>IF(AND(Z1319=1,U1319="Out"),W1319,0)</f>
        <v/>
      </c>
      <c r="AD1319" s="68">
        <f>IF(AND(Z1319=1,U1319="In"),W1319,0)</f>
        <v/>
      </c>
    </row>
    <row r="1320">
      <c r="B1320" s="62" t="inlineStr">
        <is>
          <t>TX-1314</t>
        </is>
      </c>
      <c r="C1320" s="63" t="n"/>
      <c r="D1320" s="62" t="n"/>
      <c r="E1320" s="62" t="n"/>
      <c r="F1320" s="62" t="n"/>
      <c r="G1320" s="62" t="n"/>
      <c r="H1320" s="62" t="n"/>
      <c r="I1320" s="62" t="n"/>
      <c r="J1320" s="62" t="n"/>
      <c r="K1320" s="62" t="n"/>
      <c r="L1320" s="64" t="n"/>
      <c r="M1320" s="64" t="n"/>
      <c r="N1320" s="62" t="n"/>
      <c r="O1320" s="65">
        <f>IF(Z1320=1,L1320-W1320,"")</f>
        <v/>
      </c>
      <c r="P1320" s="66">
        <f>IF(V1320="","",IFERROR(INDEX(coa_Type,MATCH(V1320,coa_Name,0)),""))</f>
        <v/>
      </c>
      <c r="Q1320" s="66">
        <f>IF(Z1320=1,IF(U1320="In",K1320&amp;"",V1320),"")</f>
        <v/>
      </c>
      <c r="R1320" s="66">
        <f>IF(Z1320=1,IF(U1320="In",V1320,K1320&amp;""),"")</f>
        <v/>
      </c>
      <c r="S1320" s="66">
        <f>IF(X1320&lt;&gt;"","⛔ "&amp;X1320&amp;" — not posted",IF(Y1320&lt;&gt;"","⚠ "&amp;Y1320,IF(Z1320=1,"✓ OK","")))</f>
        <v/>
      </c>
      <c r="T1320" s="67">
        <f>IF(AND(C1320="",D1320="",E1320="",L1320="",K1320=""),1,0)</f>
        <v/>
      </c>
      <c r="U1320" s="67">
        <f>IFERROR(INDEX(tt_Dir,MATCH(D1320,tt_Type,0)),"")</f>
        <v/>
      </c>
      <c r="V1320" s="67">
        <f>IF(D1320="","",IFERROR(IF(INDEX(tt_Other,MATCH(D1320,tt_Type,0))="",E1320&amp;"",INDEX(tt_Other,MATCH(D1320,tt_Type,0))),""))</f>
        <v/>
      </c>
      <c r="W1320" s="68">
        <f>IF(OR(TaxOn&lt;&gt;"Yes",NOT(ISNUMBER(M1320))),0,IF(IFERROR(INDEX(tt_Tax,MATCH(D1320,tt_Type,0)),"No")="Yes",M1320,0))</f>
        <v/>
      </c>
      <c r="X1320" s="67">
        <f>IF(T1320=1,"",IF(C1320="","Missing transaction date",IF(NOT(ISNUMBER(C1320)),"Invalid date",IF(OR(C1320&lt;DATE(2000,1,1),C1320&gt;DATE(2099,12,31)),"Invalid date",IF(D1320="","Select a type",IF(U1320="","Unknown type: "&amp;D1320,IF(V1320="","Select an account (Category)",IF(ISNA(MATCH(V1320,coa_Name,0)),"Unknown account: "&amp;V1320,IF(K1320="","Select Paid From / Deposited To",IF(ISNA(MATCH(K1320,coa_Name,0)),"Unknown account: "&amp;K1320,IF(NOT(ISNUMBER(L1320)),"Enter an amount",IF(L1320=0,"Enter an amount",IF(ABS(W1320)&gt;ABS(L1320),"Tax is larger than the amount","")))))))))))))</f>
        <v/>
      </c>
      <c r="Y1320" s="67">
        <f>IF(OR(T1320=1,X1320&lt;&gt;""),"",IF(AND(B1320&lt;&gt;"",COUNTIF(tx_ID,B1320)&gt;1),"Duplicate transaction ID",IF(AND(L1320&lt;0,D1320&lt;&gt;"Adjustment"),"Negative amount — check this entry",IF(AND(D1320="Customer Payment",G1320=""),"Add the customer",IF(AND(D1320="Customer Payment",OR(J1320="",COUNTIF(ar_No,J1320&amp;"")=0)),"Invoice # in Reference not found on AR sheet",IF(AND(D1320="Bill Payment",H1320=""),"Add the vendor",IF(AND(D1320="Bill Payment",OR(J1320="",COUNTIFS(ap_No,J1320&amp;"",ap_Party,H1320&amp;"")=0)),"Bill # + vendor not found on AP sheet",IF(AND(ISNUMBER(M1320),N(M1320)&lt;&gt;0,W1320=0),"Tax ignored (tax tracking off, or not allowed for this type)",IF(V1320=K1320&amp;"","Same account on both sides",IF(AND(ISNUMBER(StartDate),C1320&lt;StartDate),"Date is before the accounting start date",IF(AND(D1320&lt;&gt;"Adjustment",IFERROR(INDEX(coa_Pay,MATCH(K1320&amp;"",coa_Name,0)),"")&lt;&gt;"Yes"),"Paid From / Deposited To is not a payment account","")))))))))))</f>
        <v/>
      </c>
      <c r="Z1320" s="67">
        <f>IF(AND(T1320=0,X1320=""),1,0)</f>
        <v/>
      </c>
      <c r="AA1320" s="68">
        <f>IF(Z1320=1,IF(U1320="In",L1320,L1320-W1320),0)</f>
        <v/>
      </c>
      <c r="AB1320" s="68">
        <f>IF(Z1320=1,IF(U1320="In",L1320-W1320,L1320),0)</f>
        <v/>
      </c>
      <c r="AC1320" s="68">
        <f>IF(AND(Z1320=1,U1320="Out"),W1320,0)</f>
        <v/>
      </c>
      <c r="AD1320" s="68">
        <f>IF(AND(Z1320=1,U1320="In"),W1320,0)</f>
        <v/>
      </c>
    </row>
    <row r="1321">
      <c r="B1321" s="62" t="inlineStr">
        <is>
          <t>TX-1315</t>
        </is>
      </c>
      <c r="C1321" s="63" t="n"/>
      <c r="D1321" s="62" t="n"/>
      <c r="E1321" s="62" t="n"/>
      <c r="F1321" s="62" t="n"/>
      <c r="G1321" s="62" t="n"/>
      <c r="H1321" s="62" t="n"/>
      <c r="I1321" s="62" t="n"/>
      <c r="J1321" s="62" t="n"/>
      <c r="K1321" s="62" t="n"/>
      <c r="L1321" s="64" t="n"/>
      <c r="M1321" s="64" t="n"/>
      <c r="N1321" s="62" t="n"/>
      <c r="O1321" s="65">
        <f>IF(Z1321=1,L1321-W1321,"")</f>
        <v/>
      </c>
      <c r="P1321" s="66">
        <f>IF(V1321="","",IFERROR(INDEX(coa_Type,MATCH(V1321,coa_Name,0)),""))</f>
        <v/>
      </c>
      <c r="Q1321" s="66">
        <f>IF(Z1321=1,IF(U1321="In",K1321&amp;"",V1321),"")</f>
        <v/>
      </c>
      <c r="R1321" s="66">
        <f>IF(Z1321=1,IF(U1321="In",V1321,K1321&amp;""),"")</f>
        <v/>
      </c>
      <c r="S1321" s="66">
        <f>IF(X1321&lt;&gt;"","⛔ "&amp;X1321&amp;" — not posted",IF(Y1321&lt;&gt;"","⚠ "&amp;Y1321,IF(Z1321=1,"✓ OK","")))</f>
        <v/>
      </c>
      <c r="T1321" s="67">
        <f>IF(AND(C1321="",D1321="",E1321="",L1321="",K1321=""),1,0)</f>
        <v/>
      </c>
      <c r="U1321" s="67">
        <f>IFERROR(INDEX(tt_Dir,MATCH(D1321,tt_Type,0)),"")</f>
        <v/>
      </c>
      <c r="V1321" s="67">
        <f>IF(D1321="","",IFERROR(IF(INDEX(tt_Other,MATCH(D1321,tt_Type,0))="",E1321&amp;"",INDEX(tt_Other,MATCH(D1321,tt_Type,0))),""))</f>
        <v/>
      </c>
      <c r="W1321" s="68">
        <f>IF(OR(TaxOn&lt;&gt;"Yes",NOT(ISNUMBER(M1321))),0,IF(IFERROR(INDEX(tt_Tax,MATCH(D1321,tt_Type,0)),"No")="Yes",M1321,0))</f>
        <v/>
      </c>
      <c r="X1321" s="67">
        <f>IF(T1321=1,"",IF(C1321="","Missing transaction date",IF(NOT(ISNUMBER(C1321)),"Invalid date",IF(OR(C1321&lt;DATE(2000,1,1),C1321&gt;DATE(2099,12,31)),"Invalid date",IF(D1321="","Select a type",IF(U1321="","Unknown type: "&amp;D1321,IF(V1321="","Select an account (Category)",IF(ISNA(MATCH(V1321,coa_Name,0)),"Unknown account: "&amp;V1321,IF(K1321="","Select Paid From / Deposited To",IF(ISNA(MATCH(K1321,coa_Name,0)),"Unknown account: "&amp;K1321,IF(NOT(ISNUMBER(L1321)),"Enter an amount",IF(L1321=0,"Enter an amount",IF(ABS(W1321)&gt;ABS(L1321),"Tax is larger than the amount","")))))))))))))</f>
        <v/>
      </c>
      <c r="Y1321" s="67">
        <f>IF(OR(T1321=1,X1321&lt;&gt;""),"",IF(AND(B1321&lt;&gt;"",COUNTIF(tx_ID,B1321)&gt;1),"Duplicate transaction ID",IF(AND(L1321&lt;0,D1321&lt;&gt;"Adjustment"),"Negative amount — check this entry",IF(AND(D1321="Customer Payment",G1321=""),"Add the customer",IF(AND(D1321="Customer Payment",OR(J1321="",COUNTIF(ar_No,J1321&amp;"")=0)),"Invoice # in Reference not found on AR sheet",IF(AND(D1321="Bill Payment",H1321=""),"Add the vendor",IF(AND(D1321="Bill Payment",OR(J1321="",COUNTIFS(ap_No,J1321&amp;"",ap_Party,H1321&amp;"")=0)),"Bill # + vendor not found on AP sheet",IF(AND(ISNUMBER(M1321),N(M1321)&lt;&gt;0,W1321=0),"Tax ignored (tax tracking off, or not allowed for this type)",IF(V1321=K1321&amp;"","Same account on both sides",IF(AND(ISNUMBER(StartDate),C1321&lt;StartDate),"Date is before the accounting start date",IF(AND(D1321&lt;&gt;"Adjustment",IFERROR(INDEX(coa_Pay,MATCH(K1321&amp;"",coa_Name,0)),"")&lt;&gt;"Yes"),"Paid From / Deposited To is not a payment account","")))))))))))</f>
        <v/>
      </c>
      <c r="Z1321" s="67">
        <f>IF(AND(T1321=0,X1321=""),1,0)</f>
        <v/>
      </c>
      <c r="AA1321" s="68">
        <f>IF(Z1321=1,IF(U1321="In",L1321,L1321-W1321),0)</f>
        <v/>
      </c>
      <c r="AB1321" s="68">
        <f>IF(Z1321=1,IF(U1321="In",L1321-W1321,L1321),0)</f>
        <v/>
      </c>
      <c r="AC1321" s="68">
        <f>IF(AND(Z1321=1,U1321="Out"),W1321,0)</f>
        <v/>
      </c>
      <c r="AD1321" s="68">
        <f>IF(AND(Z1321=1,U1321="In"),W1321,0)</f>
        <v/>
      </c>
    </row>
    <row r="1322">
      <c r="B1322" s="62" t="inlineStr">
        <is>
          <t>TX-1316</t>
        </is>
      </c>
      <c r="C1322" s="63" t="n"/>
      <c r="D1322" s="62" t="n"/>
      <c r="E1322" s="62" t="n"/>
      <c r="F1322" s="62" t="n"/>
      <c r="G1322" s="62" t="n"/>
      <c r="H1322" s="62" t="n"/>
      <c r="I1322" s="62" t="n"/>
      <c r="J1322" s="62" t="n"/>
      <c r="K1322" s="62" t="n"/>
      <c r="L1322" s="64" t="n"/>
      <c r="M1322" s="64" t="n"/>
      <c r="N1322" s="62" t="n"/>
      <c r="O1322" s="65">
        <f>IF(Z1322=1,L1322-W1322,"")</f>
        <v/>
      </c>
      <c r="P1322" s="66">
        <f>IF(V1322="","",IFERROR(INDEX(coa_Type,MATCH(V1322,coa_Name,0)),""))</f>
        <v/>
      </c>
      <c r="Q1322" s="66">
        <f>IF(Z1322=1,IF(U1322="In",K1322&amp;"",V1322),"")</f>
        <v/>
      </c>
      <c r="R1322" s="66">
        <f>IF(Z1322=1,IF(U1322="In",V1322,K1322&amp;""),"")</f>
        <v/>
      </c>
      <c r="S1322" s="66">
        <f>IF(X1322&lt;&gt;"","⛔ "&amp;X1322&amp;" — not posted",IF(Y1322&lt;&gt;"","⚠ "&amp;Y1322,IF(Z1322=1,"✓ OK","")))</f>
        <v/>
      </c>
      <c r="T1322" s="67">
        <f>IF(AND(C1322="",D1322="",E1322="",L1322="",K1322=""),1,0)</f>
        <v/>
      </c>
      <c r="U1322" s="67">
        <f>IFERROR(INDEX(tt_Dir,MATCH(D1322,tt_Type,0)),"")</f>
        <v/>
      </c>
      <c r="V1322" s="67">
        <f>IF(D1322="","",IFERROR(IF(INDEX(tt_Other,MATCH(D1322,tt_Type,0))="",E1322&amp;"",INDEX(tt_Other,MATCH(D1322,tt_Type,0))),""))</f>
        <v/>
      </c>
      <c r="W1322" s="68">
        <f>IF(OR(TaxOn&lt;&gt;"Yes",NOT(ISNUMBER(M1322))),0,IF(IFERROR(INDEX(tt_Tax,MATCH(D1322,tt_Type,0)),"No")="Yes",M1322,0))</f>
        <v/>
      </c>
      <c r="X1322" s="67">
        <f>IF(T1322=1,"",IF(C1322="","Missing transaction date",IF(NOT(ISNUMBER(C1322)),"Invalid date",IF(OR(C1322&lt;DATE(2000,1,1),C1322&gt;DATE(2099,12,31)),"Invalid date",IF(D1322="","Select a type",IF(U1322="","Unknown type: "&amp;D1322,IF(V1322="","Select an account (Category)",IF(ISNA(MATCH(V1322,coa_Name,0)),"Unknown account: "&amp;V1322,IF(K1322="","Select Paid From / Deposited To",IF(ISNA(MATCH(K1322,coa_Name,0)),"Unknown account: "&amp;K1322,IF(NOT(ISNUMBER(L1322)),"Enter an amount",IF(L1322=0,"Enter an amount",IF(ABS(W1322)&gt;ABS(L1322),"Tax is larger than the amount","")))))))))))))</f>
        <v/>
      </c>
      <c r="Y1322" s="67">
        <f>IF(OR(T1322=1,X1322&lt;&gt;""),"",IF(AND(B1322&lt;&gt;"",COUNTIF(tx_ID,B1322)&gt;1),"Duplicate transaction ID",IF(AND(L1322&lt;0,D1322&lt;&gt;"Adjustment"),"Negative amount — check this entry",IF(AND(D1322="Customer Payment",G1322=""),"Add the customer",IF(AND(D1322="Customer Payment",OR(J1322="",COUNTIF(ar_No,J1322&amp;"")=0)),"Invoice # in Reference not found on AR sheet",IF(AND(D1322="Bill Payment",H1322=""),"Add the vendor",IF(AND(D1322="Bill Payment",OR(J1322="",COUNTIFS(ap_No,J1322&amp;"",ap_Party,H1322&amp;"")=0)),"Bill # + vendor not found on AP sheet",IF(AND(ISNUMBER(M1322),N(M1322)&lt;&gt;0,W1322=0),"Tax ignored (tax tracking off, or not allowed for this type)",IF(V1322=K1322&amp;"","Same account on both sides",IF(AND(ISNUMBER(StartDate),C1322&lt;StartDate),"Date is before the accounting start date",IF(AND(D1322&lt;&gt;"Adjustment",IFERROR(INDEX(coa_Pay,MATCH(K1322&amp;"",coa_Name,0)),"")&lt;&gt;"Yes"),"Paid From / Deposited To is not a payment account","")))))))))))</f>
        <v/>
      </c>
      <c r="Z1322" s="67">
        <f>IF(AND(T1322=0,X1322=""),1,0)</f>
        <v/>
      </c>
      <c r="AA1322" s="68">
        <f>IF(Z1322=1,IF(U1322="In",L1322,L1322-W1322),0)</f>
        <v/>
      </c>
      <c r="AB1322" s="68">
        <f>IF(Z1322=1,IF(U1322="In",L1322-W1322,L1322),0)</f>
        <v/>
      </c>
      <c r="AC1322" s="68">
        <f>IF(AND(Z1322=1,U1322="Out"),W1322,0)</f>
        <v/>
      </c>
      <c r="AD1322" s="68">
        <f>IF(AND(Z1322=1,U1322="In"),W1322,0)</f>
        <v/>
      </c>
    </row>
    <row r="1323">
      <c r="B1323" s="62" t="inlineStr">
        <is>
          <t>TX-1317</t>
        </is>
      </c>
      <c r="C1323" s="63" t="n"/>
      <c r="D1323" s="62" t="n"/>
      <c r="E1323" s="62" t="n"/>
      <c r="F1323" s="62" t="n"/>
      <c r="G1323" s="62" t="n"/>
      <c r="H1323" s="62" t="n"/>
      <c r="I1323" s="62" t="n"/>
      <c r="J1323" s="62" t="n"/>
      <c r="K1323" s="62" t="n"/>
      <c r="L1323" s="64" t="n"/>
      <c r="M1323" s="64" t="n"/>
      <c r="N1323" s="62" t="n"/>
      <c r="O1323" s="65">
        <f>IF(Z1323=1,L1323-W1323,"")</f>
        <v/>
      </c>
      <c r="P1323" s="66">
        <f>IF(V1323="","",IFERROR(INDEX(coa_Type,MATCH(V1323,coa_Name,0)),""))</f>
        <v/>
      </c>
      <c r="Q1323" s="66">
        <f>IF(Z1323=1,IF(U1323="In",K1323&amp;"",V1323),"")</f>
        <v/>
      </c>
      <c r="R1323" s="66">
        <f>IF(Z1323=1,IF(U1323="In",V1323,K1323&amp;""),"")</f>
        <v/>
      </c>
      <c r="S1323" s="66">
        <f>IF(X1323&lt;&gt;"","⛔ "&amp;X1323&amp;" — not posted",IF(Y1323&lt;&gt;"","⚠ "&amp;Y1323,IF(Z1323=1,"✓ OK","")))</f>
        <v/>
      </c>
      <c r="T1323" s="67">
        <f>IF(AND(C1323="",D1323="",E1323="",L1323="",K1323=""),1,0)</f>
        <v/>
      </c>
      <c r="U1323" s="67">
        <f>IFERROR(INDEX(tt_Dir,MATCH(D1323,tt_Type,0)),"")</f>
        <v/>
      </c>
      <c r="V1323" s="67">
        <f>IF(D1323="","",IFERROR(IF(INDEX(tt_Other,MATCH(D1323,tt_Type,0))="",E1323&amp;"",INDEX(tt_Other,MATCH(D1323,tt_Type,0))),""))</f>
        <v/>
      </c>
      <c r="W1323" s="68">
        <f>IF(OR(TaxOn&lt;&gt;"Yes",NOT(ISNUMBER(M1323))),0,IF(IFERROR(INDEX(tt_Tax,MATCH(D1323,tt_Type,0)),"No")="Yes",M1323,0))</f>
        <v/>
      </c>
      <c r="X1323" s="67">
        <f>IF(T1323=1,"",IF(C1323="","Missing transaction date",IF(NOT(ISNUMBER(C1323)),"Invalid date",IF(OR(C1323&lt;DATE(2000,1,1),C1323&gt;DATE(2099,12,31)),"Invalid date",IF(D1323="","Select a type",IF(U1323="","Unknown type: "&amp;D1323,IF(V1323="","Select an account (Category)",IF(ISNA(MATCH(V1323,coa_Name,0)),"Unknown account: "&amp;V1323,IF(K1323="","Select Paid From / Deposited To",IF(ISNA(MATCH(K1323,coa_Name,0)),"Unknown account: "&amp;K1323,IF(NOT(ISNUMBER(L1323)),"Enter an amount",IF(L1323=0,"Enter an amount",IF(ABS(W1323)&gt;ABS(L1323),"Tax is larger than the amount","")))))))))))))</f>
        <v/>
      </c>
      <c r="Y1323" s="67">
        <f>IF(OR(T1323=1,X1323&lt;&gt;""),"",IF(AND(B1323&lt;&gt;"",COUNTIF(tx_ID,B1323)&gt;1),"Duplicate transaction ID",IF(AND(L1323&lt;0,D1323&lt;&gt;"Adjustment"),"Negative amount — check this entry",IF(AND(D1323="Customer Payment",G1323=""),"Add the customer",IF(AND(D1323="Customer Payment",OR(J1323="",COUNTIF(ar_No,J1323&amp;"")=0)),"Invoice # in Reference not found on AR sheet",IF(AND(D1323="Bill Payment",H1323=""),"Add the vendor",IF(AND(D1323="Bill Payment",OR(J1323="",COUNTIFS(ap_No,J1323&amp;"",ap_Party,H1323&amp;"")=0)),"Bill # + vendor not found on AP sheet",IF(AND(ISNUMBER(M1323),N(M1323)&lt;&gt;0,W1323=0),"Tax ignored (tax tracking off, or not allowed for this type)",IF(V1323=K1323&amp;"","Same account on both sides",IF(AND(ISNUMBER(StartDate),C1323&lt;StartDate),"Date is before the accounting start date",IF(AND(D1323&lt;&gt;"Adjustment",IFERROR(INDEX(coa_Pay,MATCH(K1323&amp;"",coa_Name,0)),"")&lt;&gt;"Yes"),"Paid From / Deposited To is not a payment account","")))))))))))</f>
        <v/>
      </c>
      <c r="Z1323" s="67">
        <f>IF(AND(T1323=0,X1323=""),1,0)</f>
        <v/>
      </c>
      <c r="AA1323" s="68">
        <f>IF(Z1323=1,IF(U1323="In",L1323,L1323-W1323),0)</f>
        <v/>
      </c>
      <c r="AB1323" s="68">
        <f>IF(Z1323=1,IF(U1323="In",L1323-W1323,L1323),0)</f>
        <v/>
      </c>
      <c r="AC1323" s="68">
        <f>IF(AND(Z1323=1,U1323="Out"),W1323,0)</f>
        <v/>
      </c>
      <c r="AD1323" s="68">
        <f>IF(AND(Z1323=1,U1323="In"),W1323,0)</f>
        <v/>
      </c>
    </row>
    <row r="1324">
      <c r="B1324" s="62" t="inlineStr">
        <is>
          <t>TX-1318</t>
        </is>
      </c>
      <c r="C1324" s="63" t="n"/>
      <c r="D1324" s="62" t="n"/>
      <c r="E1324" s="62" t="n"/>
      <c r="F1324" s="62" t="n"/>
      <c r="G1324" s="62" t="n"/>
      <c r="H1324" s="62" t="n"/>
      <c r="I1324" s="62" t="n"/>
      <c r="J1324" s="62" t="n"/>
      <c r="K1324" s="62" t="n"/>
      <c r="L1324" s="64" t="n"/>
      <c r="M1324" s="64" t="n"/>
      <c r="N1324" s="62" t="n"/>
      <c r="O1324" s="65">
        <f>IF(Z1324=1,L1324-W1324,"")</f>
        <v/>
      </c>
      <c r="P1324" s="66">
        <f>IF(V1324="","",IFERROR(INDEX(coa_Type,MATCH(V1324,coa_Name,0)),""))</f>
        <v/>
      </c>
      <c r="Q1324" s="66">
        <f>IF(Z1324=1,IF(U1324="In",K1324&amp;"",V1324),"")</f>
        <v/>
      </c>
      <c r="R1324" s="66">
        <f>IF(Z1324=1,IF(U1324="In",V1324,K1324&amp;""),"")</f>
        <v/>
      </c>
      <c r="S1324" s="66">
        <f>IF(X1324&lt;&gt;"","⛔ "&amp;X1324&amp;" — not posted",IF(Y1324&lt;&gt;"","⚠ "&amp;Y1324,IF(Z1324=1,"✓ OK","")))</f>
        <v/>
      </c>
      <c r="T1324" s="67">
        <f>IF(AND(C1324="",D1324="",E1324="",L1324="",K1324=""),1,0)</f>
        <v/>
      </c>
      <c r="U1324" s="67">
        <f>IFERROR(INDEX(tt_Dir,MATCH(D1324,tt_Type,0)),"")</f>
        <v/>
      </c>
      <c r="V1324" s="67">
        <f>IF(D1324="","",IFERROR(IF(INDEX(tt_Other,MATCH(D1324,tt_Type,0))="",E1324&amp;"",INDEX(tt_Other,MATCH(D1324,tt_Type,0))),""))</f>
        <v/>
      </c>
      <c r="W1324" s="68">
        <f>IF(OR(TaxOn&lt;&gt;"Yes",NOT(ISNUMBER(M1324))),0,IF(IFERROR(INDEX(tt_Tax,MATCH(D1324,tt_Type,0)),"No")="Yes",M1324,0))</f>
        <v/>
      </c>
      <c r="X1324" s="67">
        <f>IF(T1324=1,"",IF(C1324="","Missing transaction date",IF(NOT(ISNUMBER(C1324)),"Invalid date",IF(OR(C1324&lt;DATE(2000,1,1),C1324&gt;DATE(2099,12,31)),"Invalid date",IF(D1324="","Select a type",IF(U1324="","Unknown type: "&amp;D1324,IF(V1324="","Select an account (Category)",IF(ISNA(MATCH(V1324,coa_Name,0)),"Unknown account: "&amp;V1324,IF(K1324="","Select Paid From / Deposited To",IF(ISNA(MATCH(K1324,coa_Name,0)),"Unknown account: "&amp;K1324,IF(NOT(ISNUMBER(L1324)),"Enter an amount",IF(L1324=0,"Enter an amount",IF(ABS(W1324)&gt;ABS(L1324),"Tax is larger than the amount","")))))))))))))</f>
        <v/>
      </c>
      <c r="Y1324" s="67">
        <f>IF(OR(T1324=1,X1324&lt;&gt;""),"",IF(AND(B1324&lt;&gt;"",COUNTIF(tx_ID,B1324)&gt;1),"Duplicate transaction ID",IF(AND(L1324&lt;0,D1324&lt;&gt;"Adjustment"),"Negative amount — check this entry",IF(AND(D1324="Customer Payment",G1324=""),"Add the customer",IF(AND(D1324="Customer Payment",OR(J1324="",COUNTIF(ar_No,J1324&amp;"")=0)),"Invoice # in Reference not found on AR sheet",IF(AND(D1324="Bill Payment",H1324=""),"Add the vendor",IF(AND(D1324="Bill Payment",OR(J1324="",COUNTIFS(ap_No,J1324&amp;"",ap_Party,H1324&amp;"")=0)),"Bill # + vendor not found on AP sheet",IF(AND(ISNUMBER(M1324),N(M1324)&lt;&gt;0,W1324=0),"Tax ignored (tax tracking off, or not allowed for this type)",IF(V1324=K1324&amp;"","Same account on both sides",IF(AND(ISNUMBER(StartDate),C1324&lt;StartDate),"Date is before the accounting start date",IF(AND(D1324&lt;&gt;"Adjustment",IFERROR(INDEX(coa_Pay,MATCH(K1324&amp;"",coa_Name,0)),"")&lt;&gt;"Yes"),"Paid From / Deposited To is not a payment account","")))))))))))</f>
        <v/>
      </c>
      <c r="Z1324" s="67">
        <f>IF(AND(T1324=0,X1324=""),1,0)</f>
        <v/>
      </c>
      <c r="AA1324" s="68">
        <f>IF(Z1324=1,IF(U1324="In",L1324,L1324-W1324),0)</f>
        <v/>
      </c>
      <c r="AB1324" s="68">
        <f>IF(Z1324=1,IF(U1324="In",L1324-W1324,L1324),0)</f>
        <v/>
      </c>
      <c r="AC1324" s="68">
        <f>IF(AND(Z1324=1,U1324="Out"),W1324,0)</f>
        <v/>
      </c>
      <c r="AD1324" s="68">
        <f>IF(AND(Z1324=1,U1324="In"),W1324,0)</f>
        <v/>
      </c>
    </row>
    <row r="1325">
      <c r="B1325" s="62" t="inlineStr">
        <is>
          <t>TX-1319</t>
        </is>
      </c>
      <c r="C1325" s="63" t="n"/>
      <c r="D1325" s="62" t="n"/>
      <c r="E1325" s="62" t="n"/>
      <c r="F1325" s="62" t="n"/>
      <c r="G1325" s="62" t="n"/>
      <c r="H1325" s="62" t="n"/>
      <c r="I1325" s="62" t="n"/>
      <c r="J1325" s="62" t="n"/>
      <c r="K1325" s="62" t="n"/>
      <c r="L1325" s="64" t="n"/>
      <c r="M1325" s="64" t="n"/>
      <c r="N1325" s="62" t="n"/>
      <c r="O1325" s="65">
        <f>IF(Z1325=1,L1325-W1325,"")</f>
        <v/>
      </c>
      <c r="P1325" s="66">
        <f>IF(V1325="","",IFERROR(INDEX(coa_Type,MATCH(V1325,coa_Name,0)),""))</f>
        <v/>
      </c>
      <c r="Q1325" s="66">
        <f>IF(Z1325=1,IF(U1325="In",K1325&amp;"",V1325),"")</f>
        <v/>
      </c>
      <c r="R1325" s="66">
        <f>IF(Z1325=1,IF(U1325="In",V1325,K1325&amp;""),"")</f>
        <v/>
      </c>
      <c r="S1325" s="66">
        <f>IF(X1325&lt;&gt;"","⛔ "&amp;X1325&amp;" — not posted",IF(Y1325&lt;&gt;"","⚠ "&amp;Y1325,IF(Z1325=1,"✓ OK","")))</f>
        <v/>
      </c>
      <c r="T1325" s="67">
        <f>IF(AND(C1325="",D1325="",E1325="",L1325="",K1325=""),1,0)</f>
        <v/>
      </c>
      <c r="U1325" s="67">
        <f>IFERROR(INDEX(tt_Dir,MATCH(D1325,tt_Type,0)),"")</f>
        <v/>
      </c>
      <c r="V1325" s="67">
        <f>IF(D1325="","",IFERROR(IF(INDEX(tt_Other,MATCH(D1325,tt_Type,0))="",E1325&amp;"",INDEX(tt_Other,MATCH(D1325,tt_Type,0))),""))</f>
        <v/>
      </c>
      <c r="W1325" s="68">
        <f>IF(OR(TaxOn&lt;&gt;"Yes",NOT(ISNUMBER(M1325))),0,IF(IFERROR(INDEX(tt_Tax,MATCH(D1325,tt_Type,0)),"No")="Yes",M1325,0))</f>
        <v/>
      </c>
      <c r="X1325" s="67">
        <f>IF(T1325=1,"",IF(C1325="","Missing transaction date",IF(NOT(ISNUMBER(C1325)),"Invalid date",IF(OR(C1325&lt;DATE(2000,1,1),C1325&gt;DATE(2099,12,31)),"Invalid date",IF(D1325="","Select a type",IF(U1325="","Unknown type: "&amp;D1325,IF(V1325="","Select an account (Category)",IF(ISNA(MATCH(V1325,coa_Name,0)),"Unknown account: "&amp;V1325,IF(K1325="","Select Paid From / Deposited To",IF(ISNA(MATCH(K1325,coa_Name,0)),"Unknown account: "&amp;K1325,IF(NOT(ISNUMBER(L1325)),"Enter an amount",IF(L1325=0,"Enter an amount",IF(ABS(W1325)&gt;ABS(L1325),"Tax is larger than the amount","")))))))))))))</f>
        <v/>
      </c>
      <c r="Y1325" s="67">
        <f>IF(OR(T1325=1,X1325&lt;&gt;""),"",IF(AND(B1325&lt;&gt;"",COUNTIF(tx_ID,B1325)&gt;1),"Duplicate transaction ID",IF(AND(L1325&lt;0,D1325&lt;&gt;"Adjustment"),"Negative amount — check this entry",IF(AND(D1325="Customer Payment",G1325=""),"Add the customer",IF(AND(D1325="Customer Payment",OR(J1325="",COUNTIF(ar_No,J1325&amp;"")=0)),"Invoice # in Reference not found on AR sheet",IF(AND(D1325="Bill Payment",H1325=""),"Add the vendor",IF(AND(D1325="Bill Payment",OR(J1325="",COUNTIFS(ap_No,J1325&amp;"",ap_Party,H1325&amp;"")=0)),"Bill # + vendor not found on AP sheet",IF(AND(ISNUMBER(M1325),N(M1325)&lt;&gt;0,W1325=0),"Tax ignored (tax tracking off, or not allowed for this type)",IF(V1325=K1325&amp;"","Same account on both sides",IF(AND(ISNUMBER(StartDate),C1325&lt;StartDate),"Date is before the accounting start date",IF(AND(D1325&lt;&gt;"Adjustment",IFERROR(INDEX(coa_Pay,MATCH(K1325&amp;"",coa_Name,0)),"")&lt;&gt;"Yes"),"Paid From / Deposited To is not a payment account","")))))))))))</f>
        <v/>
      </c>
      <c r="Z1325" s="67">
        <f>IF(AND(T1325=0,X1325=""),1,0)</f>
        <v/>
      </c>
      <c r="AA1325" s="68">
        <f>IF(Z1325=1,IF(U1325="In",L1325,L1325-W1325),0)</f>
        <v/>
      </c>
      <c r="AB1325" s="68">
        <f>IF(Z1325=1,IF(U1325="In",L1325-W1325,L1325),0)</f>
        <v/>
      </c>
      <c r="AC1325" s="68">
        <f>IF(AND(Z1325=1,U1325="Out"),W1325,0)</f>
        <v/>
      </c>
      <c r="AD1325" s="68">
        <f>IF(AND(Z1325=1,U1325="In"),W1325,0)</f>
        <v/>
      </c>
    </row>
    <row r="1326">
      <c r="B1326" s="62" t="inlineStr">
        <is>
          <t>TX-1320</t>
        </is>
      </c>
      <c r="C1326" s="63" t="n"/>
      <c r="D1326" s="62" t="n"/>
      <c r="E1326" s="62" t="n"/>
      <c r="F1326" s="62" t="n"/>
      <c r="G1326" s="62" t="n"/>
      <c r="H1326" s="62" t="n"/>
      <c r="I1326" s="62" t="n"/>
      <c r="J1326" s="62" t="n"/>
      <c r="K1326" s="62" t="n"/>
      <c r="L1326" s="64" t="n"/>
      <c r="M1326" s="64" t="n"/>
      <c r="N1326" s="62" t="n"/>
      <c r="O1326" s="65">
        <f>IF(Z1326=1,L1326-W1326,"")</f>
        <v/>
      </c>
      <c r="P1326" s="66">
        <f>IF(V1326="","",IFERROR(INDEX(coa_Type,MATCH(V1326,coa_Name,0)),""))</f>
        <v/>
      </c>
      <c r="Q1326" s="66">
        <f>IF(Z1326=1,IF(U1326="In",K1326&amp;"",V1326),"")</f>
        <v/>
      </c>
      <c r="R1326" s="66">
        <f>IF(Z1326=1,IF(U1326="In",V1326,K1326&amp;""),"")</f>
        <v/>
      </c>
      <c r="S1326" s="66">
        <f>IF(X1326&lt;&gt;"","⛔ "&amp;X1326&amp;" — not posted",IF(Y1326&lt;&gt;"","⚠ "&amp;Y1326,IF(Z1326=1,"✓ OK","")))</f>
        <v/>
      </c>
      <c r="T1326" s="67">
        <f>IF(AND(C1326="",D1326="",E1326="",L1326="",K1326=""),1,0)</f>
        <v/>
      </c>
      <c r="U1326" s="67">
        <f>IFERROR(INDEX(tt_Dir,MATCH(D1326,tt_Type,0)),"")</f>
        <v/>
      </c>
      <c r="V1326" s="67">
        <f>IF(D1326="","",IFERROR(IF(INDEX(tt_Other,MATCH(D1326,tt_Type,0))="",E1326&amp;"",INDEX(tt_Other,MATCH(D1326,tt_Type,0))),""))</f>
        <v/>
      </c>
      <c r="W1326" s="68">
        <f>IF(OR(TaxOn&lt;&gt;"Yes",NOT(ISNUMBER(M1326))),0,IF(IFERROR(INDEX(tt_Tax,MATCH(D1326,tt_Type,0)),"No")="Yes",M1326,0))</f>
        <v/>
      </c>
      <c r="X1326" s="67">
        <f>IF(T1326=1,"",IF(C1326="","Missing transaction date",IF(NOT(ISNUMBER(C1326)),"Invalid date",IF(OR(C1326&lt;DATE(2000,1,1),C1326&gt;DATE(2099,12,31)),"Invalid date",IF(D1326="","Select a type",IF(U1326="","Unknown type: "&amp;D1326,IF(V1326="","Select an account (Category)",IF(ISNA(MATCH(V1326,coa_Name,0)),"Unknown account: "&amp;V1326,IF(K1326="","Select Paid From / Deposited To",IF(ISNA(MATCH(K1326,coa_Name,0)),"Unknown account: "&amp;K1326,IF(NOT(ISNUMBER(L1326)),"Enter an amount",IF(L1326=0,"Enter an amount",IF(ABS(W1326)&gt;ABS(L1326),"Tax is larger than the amount","")))))))))))))</f>
        <v/>
      </c>
      <c r="Y1326" s="67">
        <f>IF(OR(T1326=1,X1326&lt;&gt;""),"",IF(AND(B1326&lt;&gt;"",COUNTIF(tx_ID,B1326)&gt;1),"Duplicate transaction ID",IF(AND(L1326&lt;0,D1326&lt;&gt;"Adjustment"),"Negative amount — check this entry",IF(AND(D1326="Customer Payment",G1326=""),"Add the customer",IF(AND(D1326="Customer Payment",OR(J1326="",COUNTIF(ar_No,J1326&amp;"")=0)),"Invoice # in Reference not found on AR sheet",IF(AND(D1326="Bill Payment",H1326=""),"Add the vendor",IF(AND(D1326="Bill Payment",OR(J1326="",COUNTIFS(ap_No,J1326&amp;"",ap_Party,H1326&amp;"")=0)),"Bill # + vendor not found on AP sheet",IF(AND(ISNUMBER(M1326),N(M1326)&lt;&gt;0,W1326=0),"Tax ignored (tax tracking off, or not allowed for this type)",IF(V1326=K1326&amp;"","Same account on both sides",IF(AND(ISNUMBER(StartDate),C1326&lt;StartDate),"Date is before the accounting start date",IF(AND(D1326&lt;&gt;"Adjustment",IFERROR(INDEX(coa_Pay,MATCH(K1326&amp;"",coa_Name,0)),"")&lt;&gt;"Yes"),"Paid From / Deposited To is not a payment account","")))))))))))</f>
        <v/>
      </c>
      <c r="Z1326" s="67">
        <f>IF(AND(T1326=0,X1326=""),1,0)</f>
        <v/>
      </c>
      <c r="AA1326" s="68">
        <f>IF(Z1326=1,IF(U1326="In",L1326,L1326-W1326),0)</f>
        <v/>
      </c>
      <c r="AB1326" s="68">
        <f>IF(Z1326=1,IF(U1326="In",L1326-W1326,L1326),0)</f>
        <v/>
      </c>
      <c r="AC1326" s="68">
        <f>IF(AND(Z1326=1,U1326="Out"),W1326,0)</f>
        <v/>
      </c>
      <c r="AD1326" s="68">
        <f>IF(AND(Z1326=1,U1326="In"),W1326,0)</f>
        <v/>
      </c>
    </row>
    <row r="1327">
      <c r="B1327" s="62" t="inlineStr">
        <is>
          <t>TX-1321</t>
        </is>
      </c>
      <c r="C1327" s="63" t="n"/>
      <c r="D1327" s="62" t="n"/>
      <c r="E1327" s="62" t="n"/>
      <c r="F1327" s="62" t="n"/>
      <c r="G1327" s="62" t="n"/>
      <c r="H1327" s="62" t="n"/>
      <c r="I1327" s="62" t="n"/>
      <c r="J1327" s="62" t="n"/>
      <c r="K1327" s="62" t="n"/>
      <c r="L1327" s="64" t="n"/>
      <c r="M1327" s="64" t="n"/>
      <c r="N1327" s="62" t="n"/>
      <c r="O1327" s="65">
        <f>IF(Z1327=1,L1327-W1327,"")</f>
        <v/>
      </c>
      <c r="P1327" s="66">
        <f>IF(V1327="","",IFERROR(INDEX(coa_Type,MATCH(V1327,coa_Name,0)),""))</f>
        <v/>
      </c>
      <c r="Q1327" s="66">
        <f>IF(Z1327=1,IF(U1327="In",K1327&amp;"",V1327),"")</f>
        <v/>
      </c>
      <c r="R1327" s="66">
        <f>IF(Z1327=1,IF(U1327="In",V1327,K1327&amp;""),"")</f>
        <v/>
      </c>
      <c r="S1327" s="66">
        <f>IF(X1327&lt;&gt;"","⛔ "&amp;X1327&amp;" — not posted",IF(Y1327&lt;&gt;"","⚠ "&amp;Y1327,IF(Z1327=1,"✓ OK","")))</f>
        <v/>
      </c>
      <c r="T1327" s="67">
        <f>IF(AND(C1327="",D1327="",E1327="",L1327="",K1327=""),1,0)</f>
        <v/>
      </c>
      <c r="U1327" s="67">
        <f>IFERROR(INDEX(tt_Dir,MATCH(D1327,tt_Type,0)),"")</f>
        <v/>
      </c>
      <c r="V1327" s="67">
        <f>IF(D1327="","",IFERROR(IF(INDEX(tt_Other,MATCH(D1327,tt_Type,0))="",E1327&amp;"",INDEX(tt_Other,MATCH(D1327,tt_Type,0))),""))</f>
        <v/>
      </c>
      <c r="W1327" s="68">
        <f>IF(OR(TaxOn&lt;&gt;"Yes",NOT(ISNUMBER(M1327))),0,IF(IFERROR(INDEX(tt_Tax,MATCH(D1327,tt_Type,0)),"No")="Yes",M1327,0))</f>
        <v/>
      </c>
      <c r="X1327" s="67">
        <f>IF(T1327=1,"",IF(C1327="","Missing transaction date",IF(NOT(ISNUMBER(C1327)),"Invalid date",IF(OR(C1327&lt;DATE(2000,1,1),C1327&gt;DATE(2099,12,31)),"Invalid date",IF(D1327="","Select a type",IF(U1327="","Unknown type: "&amp;D1327,IF(V1327="","Select an account (Category)",IF(ISNA(MATCH(V1327,coa_Name,0)),"Unknown account: "&amp;V1327,IF(K1327="","Select Paid From / Deposited To",IF(ISNA(MATCH(K1327,coa_Name,0)),"Unknown account: "&amp;K1327,IF(NOT(ISNUMBER(L1327)),"Enter an amount",IF(L1327=0,"Enter an amount",IF(ABS(W1327)&gt;ABS(L1327),"Tax is larger than the amount","")))))))))))))</f>
        <v/>
      </c>
      <c r="Y1327" s="67">
        <f>IF(OR(T1327=1,X1327&lt;&gt;""),"",IF(AND(B1327&lt;&gt;"",COUNTIF(tx_ID,B1327)&gt;1),"Duplicate transaction ID",IF(AND(L1327&lt;0,D1327&lt;&gt;"Adjustment"),"Negative amount — check this entry",IF(AND(D1327="Customer Payment",G1327=""),"Add the customer",IF(AND(D1327="Customer Payment",OR(J1327="",COUNTIF(ar_No,J1327&amp;"")=0)),"Invoice # in Reference not found on AR sheet",IF(AND(D1327="Bill Payment",H1327=""),"Add the vendor",IF(AND(D1327="Bill Payment",OR(J1327="",COUNTIFS(ap_No,J1327&amp;"",ap_Party,H1327&amp;"")=0)),"Bill # + vendor not found on AP sheet",IF(AND(ISNUMBER(M1327),N(M1327)&lt;&gt;0,W1327=0),"Tax ignored (tax tracking off, or not allowed for this type)",IF(V1327=K1327&amp;"","Same account on both sides",IF(AND(ISNUMBER(StartDate),C1327&lt;StartDate),"Date is before the accounting start date",IF(AND(D1327&lt;&gt;"Adjustment",IFERROR(INDEX(coa_Pay,MATCH(K1327&amp;"",coa_Name,0)),"")&lt;&gt;"Yes"),"Paid From / Deposited To is not a payment account","")))))))))))</f>
        <v/>
      </c>
      <c r="Z1327" s="67">
        <f>IF(AND(T1327=0,X1327=""),1,0)</f>
        <v/>
      </c>
      <c r="AA1327" s="68">
        <f>IF(Z1327=1,IF(U1327="In",L1327,L1327-W1327),0)</f>
        <v/>
      </c>
      <c r="AB1327" s="68">
        <f>IF(Z1327=1,IF(U1327="In",L1327-W1327,L1327),0)</f>
        <v/>
      </c>
      <c r="AC1327" s="68">
        <f>IF(AND(Z1327=1,U1327="Out"),W1327,0)</f>
        <v/>
      </c>
      <c r="AD1327" s="68">
        <f>IF(AND(Z1327=1,U1327="In"),W1327,0)</f>
        <v/>
      </c>
    </row>
    <row r="1328">
      <c r="B1328" s="62" t="inlineStr">
        <is>
          <t>TX-1322</t>
        </is>
      </c>
      <c r="C1328" s="63" t="n"/>
      <c r="D1328" s="62" t="n"/>
      <c r="E1328" s="62" t="n"/>
      <c r="F1328" s="62" t="n"/>
      <c r="G1328" s="62" t="n"/>
      <c r="H1328" s="62" t="n"/>
      <c r="I1328" s="62" t="n"/>
      <c r="J1328" s="62" t="n"/>
      <c r="K1328" s="62" t="n"/>
      <c r="L1328" s="64" t="n"/>
      <c r="M1328" s="64" t="n"/>
      <c r="N1328" s="62" t="n"/>
      <c r="O1328" s="65">
        <f>IF(Z1328=1,L1328-W1328,"")</f>
        <v/>
      </c>
      <c r="P1328" s="66">
        <f>IF(V1328="","",IFERROR(INDEX(coa_Type,MATCH(V1328,coa_Name,0)),""))</f>
        <v/>
      </c>
      <c r="Q1328" s="66">
        <f>IF(Z1328=1,IF(U1328="In",K1328&amp;"",V1328),"")</f>
        <v/>
      </c>
      <c r="R1328" s="66">
        <f>IF(Z1328=1,IF(U1328="In",V1328,K1328&amp;""),"")</f>
        <v/>
      </c>
      <c r="S1328" s="66">
        <f>IF(X1328&lt;&gt;"","⛔ "&amp;X1328&amp;" — not posted",IF(Y1328&lt;&gt;"","⚠ "&amp;Y1328,IF(Z1328=1,"✓ OK","")))</f>
        <v/>
      </c>
      <c r="T1328" s="67">
        <f>IF(AND(C1328="",D1328="",E1328="",L1328="",K1328=""),1,0)</f>
        <v/>
      </c>
      <c r="U1328" s="67">
        <f>IFERROR(INDEX(tt_Dir,MATCH(D1328,tt_Type,0)),"")</f>
        <v/>
      </c>
      <c r="V1328" s="67">
        <f>IF(D1328="","",IFERROR(IF(INDEX(tt_Other,MATCH(D1328,tt_Type,0))="",E1328&amp;"",INDEX(tt_Other,MATCH(D1328,tt_Type,0))),""))</f>
        <v/>
      </c>
      <c r="W1328" s="68">
        <f>IF(OR(TaxOn&lt;&gt;"Yes",NOT(ISNUMBER(M1328))),0,IF(IFERROR(INDEX(tt_Tax,MATCH(D1328,tt_Type,0)),"No")="Yes",M1328,0))</f>
        <v/>
      </c>
      <c r="X1328" s="67">
        <f>IF(T1328=1,"",IF(C1328="","Missing transaction date",IF(NOT(ISNUMBER(C1328)),"Invalid date",IF(OR(C1328&lt;DATE(2000,1,1),C1328&gt;DATE(2099,12,31)),"Invalid date",IF(D1328="","Select a type",IF(U1328="","Unknown type: "&amp;D1328,IF(V1328="","Select an account (Category)",IF(ISNA(MATCH(V1328,coa_Name,0)),"Unknown account: "&amp;V1328,IF(K1328="","Select Paid From / Deposited To",IF(ISNA(MATCH(K1328,coa_Name,0)),"Unknown account: "&amp;K1328,IF(NOT(ISNUMBER(L1328)),"Enter an amount",IF(L1328=0,"Enter an amount",IF(ABS(W1328)&gt;ABS(L1328),"Tax is larger than the amount","")))))))))))))</f>
        <v/>
      </c>
      <c r="Y1328" s="67">
        <f>IF(OR(T1328=1,X1328&lt;&gt;""),"",IF(AND(B1328&lt;&gt;"",COUNTIF(tx_ID,B1328)&gt;1),"Duplicate transaction ID",IF(AND(L1328&lt;0,D1328&lt;&gt;"Adjustment"),"Negative amount — check this entry",IF(AND(D1328="Customer Payment",G1328=""),"Add the customer",IF(AND(D1328="Customer Payment",OR(J1328="",COUNTIF(ar_No,J1328&amp;"")=0)),"Invoice # in Reference not found on AR sheet",IF(AND(D1328="Bill Payment",H1328=""),"Add the vendor",IF(AND(D1328="Bill Payment",OR(J1328="",COUNTIFS(ap_No,J1328&amp;"",ap_Party,H1328&amp;"")=0)),"Bill # + vendor not found on AP sheet",IF(AND(ISNUMBER(M1328),N(M1328)&lt;&gt;0,W1328=0),"Tax ignored (tax tracking off, or not allowed for this type)",IF(V1328=K1328&amp;"","Same account on both sides",IF(AND(ISNUMBER(StartDate),C1328&lt;StartDate),"Date is before the accounting start date",IF(AND(D1328&lt;&gt;"Adjustment",IFERROR(INDEX(coa_Pay,MATCH(K1328&amp;"",coa_Name,0)),"")&lt;&gt;"Yes"),"Paid From / Deposited To is not a payment account","")))))))))))</f>
        <v/>
      </c>
      <c r="Z1328" s="67">
        <f>IF(AND(T1328=0,X1328=""),1,0)</f>
        <v/>
      </c>
      <c r="AA1328" s="68">
        <f>IF(Z1328=1,IF(U1328="In",L1328,L1328-W1328),0)</f>
        <v/>
      </c>
      <c r="AB1328" s="68">
        <f>IF(Z1328=1,IF(U1328="In",L1328-W1328,L1328),0)</f>
        <v/>
      </c>
      <c r="AC1328" s="68">
        <f>IF(AND(Z1328=1,U1328="Out"),W1328,0)</f>
        <v/>
      </c>
      <c r="AD1328" s="68">
        <f>IF(AND(Z1328=1,U1328="In"),W1328,0)</f>
        <v/>
      </c>
    </row>
    <row r="1329">
      <c r="B1329" s="62" t="inlineStr">
        <is>
          <t>TX-1323</t>
        </is>
      </c>
      <c r="C1329" s="63" t="n"/>
      <c r="D1329" s="62" t="n"/>
      <c r="E1329" s="62" t="n"/>
      <c r="F1329" s="62" t="n"/>
      <c r="G1329" s="62" t="n"/>
      <c r="H1329" s="62" t="n"/>
      <c r="I1329" s="62" t="n"/>
      <c r="J1329" s="62" t="n"/>
      <c r="K1329" s="62" t="n"/>
      <c r="L1329" s="64" t="n"/>
      <c r="M1329" s="64" t="n"/>
      <c r="N1329" s="62" t="n"/>
      <c r="O1329" s="65">
        <f>IF(Z1329=1,L1329-W1329,"")</f>
        <v/>
      </c>
      <c r="P1329" s="66">
        <f>IF(V1329="","",IFERROR(INDEX(coa_Type,MATCH(V1329,coa_Name,0)),""))</f>
        <v/>
      </c>
      <c r="Q1329" s="66">
        <f>IF(Z1329=1,IF(U1329="In",K1329&amp;"",V1329),"")</f>
        <v/>
      </c>
      <c r="R1329" s="66">
        <f>IF(Z1329=1,IF(U1329="In",V1329,K1329&amp;""),"")</f>
        <v/>
      </c>
      <c r="S1329" s="66">
        <f>IF(X1329&lt;&gt;"","⛔ "&amp;X1329&amp;" — not posted",IF(Y1329&lt;&gt;"","⚠ "&amp;Y1329,IF(Z1329=1,"✓ OK","")))</f>
        <v/>
      </c>
      <c r="T1329" s="67">
        <f>IF(AND(C1329="",D1329="",E1329="",L1329="",K1329=""),1,0)</f>
        <v/>
      </c>
      <c r="U1329" s="67">
        <f>IFERROR(INDEX(tt_Dir,MATCH(D1329,tt_Type,0)),"")</f>
        <v/>
      </c>
      <c r="V1329" s="67">
        <f>IF(D1329="","",IFERROR(IF(INDEX(tt_Other,MATCH(D1329,tt_Type,0))="",E1329&amp;"",INDEX(tt_Other,MATCH(D1329,tt_Type,0))),""))</f>
        <v/>
      </c>
      <c r="W1329" s="68">
        <f>IF(OR(TaxOn&lt;&gt;"Yes",NOT(ISNUMBER(M1329))),0,IF(IFERROR(INDEX(tt_Tax,MATCH(D1329,tt_Type,0)),"No")="Yes",M1329,0))</f>
        <v/>
      </c>
      <c r="X1329" s="67">
        <f>IF(T1329=1,"",IF(C1329="","Missing transaction date",IF(NOT(ISNUMBER(C1329)),"Invalid date",IF(OR(C1329&lt;DATE(2000,1,1),C1329&gt;DATE(2099,12,31)),"Invalid date",IF(D1329="","Select a type",IF(U1329="","Unknown type: "&amp;D1329,IF(V1329="","Select an account (Category)",IF(ISNA(MATCH(V1329,coa_Name,0)),"Unknown account: "&amp;V1329,IF(K1329="","Select Paid From / Deposited To",IF(ISNA(MATCH(K1329,coa_Name,0)),"Unknown account: "&amp;K1329,IF(NOT(ISNUMBER(L1329)),"Enter an amount",IF(L1329=0,"Enter an amount",IF(ABS(W1329)&gt;ABS(L1329),"Tax is larger than the amount","")))))))))))))</f>
        <v/>
      </c>
      <c r="Y1329" s="67">
        <f>IF(OR(T1329=1,X1329&lt;&gt;""),"",IF(AND(B1329&lt;&gt;"",COUNTIF(tx_ID,B1329)&gt;1),"Duplicate transaction ID",IF(AND(L1329&lt;0,D1329&lt;&gt;"Adjustment"),"Negative amount — check this entry",IF(AND(D1329="Customer Payment",G1329=""),"Add the customer",IF(AND(D1329="Customer Payment",OR(J1329="",COUNTIF(ar_No,J1329&amp;"")=0)),"Invoice # in Reference not found on AR sheet",IF(AND(D1329="Bill Payment",H1329=""),"Add the vendor",IF(AND(D1329="Bill Payment",OR(J1329="",COUNTIFS(ap_No,J1329&amp;"",ap_Party,H1329&amp;"")=0)),"Bill # + vendor not found on AP sheet",IF(AND(ISNUMBER(M1329),N(M1329)&lt;&gt;0,W1329=0),"Tax ignored (tax tracking off, or not allowed for this type)",IF(V1329=K1329&amp;"","Same account on both sides",IF(AND(ISNUMBER(StartDate),C1329&lt;StartDate),"Date is before the accounting start date",IF(AND(D1329&lt;&gt;"Adjustment",IFERROR(INDEX(coa_Pay,MATCH(K1329&amp;"",coa_Name,0)),"")&lt;&gt;"Yes"),"Paid From / Deposited To is not a payment account","")))))))))))</f>
        <v/>
      </c>
      <c r="Z1329" s="67">
        <f>IF(AND(T1329=0,X1329=""),1,0)</f>
        <v/>
      </c>
      <c r="AA1329" s="68">
        <f>IF(Z1329=1,IF(U1329="In",L1329,L1329-W1329),0)</f>
        <v/>
      </c>
      <c r="AB1329" s="68">
        <f>IF(Z1329=1,IF(U1329="In",L1329-W1329,L1329),0)</f>
        <v/>
      </c>
      <c r="AC1329" s="68">
        <f>IF(AND(Z1329=1,U1329="Out"),W1329,0)</f>
        <v/>
      </c>
      <c r="AD1329" s="68">
        <f>IF(AND(Z1329=1,U1329="In"),W1329,0)</f>
        <v/>
      </c>
    </row>
    <row r="1330">
      <c r="B1330" s="62" t="inlineStr">
        <is>
          <t>TX-1324</t>
        </is>
      </c>
      <c r="C1330" s="63" t="n"/>
      <c r="D1330" s="62" t="n"/>
      <c r="E1330" s="62" t="n"/>
      <c r="F1330" s="62" t="n"/>
      <c r="G1330" s="62" t="n"/>
      <c r="H1330" s="62" t="n"/>
      <c r="I1330" s="62" t="n"/>
      <c r="J1330" s="62" t="n"/>
      <c r="K1330" s="62" t="n"/>
      <c r="L1330" s="64" t="n"/>
      <c r="M1330" s="64" t="n"/>
      <c r="N1330" s="62" t="n"/>
      <c r="O1330" s="65">
        <f>IF(Z1330=1,L1330-W1330,"")</f>
        <v/>
      </c>
      <c r="P1330" s="66">
        <f>IF(V1330="","",IFERROR(INDEX(coa_Type,MATCH(V1330,coa_Name,0)),""))</f>
        <v/>
      </c>
      <c r="Q1330" s="66">
        <f>IF(Z1330=1,IF(U1330="In",K1330&amp;"",V1330),"")</f>
        <v/>
      </c>
      <c r="R1330" s="66">
        <f>IF(Z1330=1,IF(U1330="In",V1330,K1330&amp;""),"")</f>
        <v/>
      </c>
      <c r="S1330" s="66">
        <f>IF(X1330&lt;&gt;"","⛔ "&amp;X1330&amp;" — not posted",IF(Y1330&lt;&gt;"","⚠ "&amp;Y1330,IF(Z1330=1,"✓ OK","")))</f>
        <v/>
      </c>
      <c r="T1330" s="67">
        <f>IF(AND(C1330="",D1330="",E1330="",L1330="",K1330=""),1,0)</f>
        <v/>
      </c>
      <c r="U1330" s="67">
        <f>IFERROR(INDEX(tt_Dir,MATCH(D1330,tt_Type,0)),"")</f>
        <v/>
      </c>
      <c r="V1330" s="67">
        <f>IF(D1330="","",IFERROR(IF(INDEX(tt_Other,MATCH(D1330,tt_Type,0))="",E1330&amp;"",INDEX(tt_Other,MATCH(D1330,tt_Type,0))),""))</f>
        <v/>
      </c>
      <c r="W1330" s="68">
        <f>IF(OR(TaxOn&lt;&gt;"Yes",NOT(ISNUMBER(M1330))),0,IF(IFERROR(INDEX(tt_Tax,MATCH(D1330,tt_Type,0)),"No")="Yes",M1330,0))</f>
        <v/>
      </c>
      <c r="X1330" s="67">
        <f>IF(T1330=1,"",IF(C1330="","Missing transaction date",IF(NOT(ISNUMBER(C1330)),"Invalid date",IF(OR(C1330&lt;DATE(2000,1,1),C1330&gt;DATE(2099,12,31)),"Invalid date",IF(D1330="","Select a type",IF(U1330="","Unknown type: "&amp;D1330,IF(V1330="","Select an account (Category)",IF(ISNA(MATCH(V1330,coa_Name,0)),"Unknown account: "&amp;V1330,IF(K1330="","Select Paid From / Deposited To",IF(ISNA(MATCH(K1330,coa_Name,0)),"Unknown account: "&amp;K1330,IF(NOT(ISNUMBER(L1330)),"Enter an amount",IF(L1330=0,"Enter an amount",IF(ABS(W1330)&gt;ABS(L1330),"Tax is larger than the amount","")))))))))))))</f>
        <v/>
      </c>
      <c r="Y1330" s="67">
        <f>IF(OR(T1330=1,X1330&lt;&gt;""),"",IF(AND(B1330&lt;&gt;"",COUNTIF(tx_ID,B1330)&gt;1),"Duplicate transaction ID",IF(AND(L1330&lt;0,D1330&lt;&gt;"Adjustment"),"Negative amount — check this entry",IF(AND(D1330="Customer Payment",G1330=""),"Add the customer",IF(AND(D1330="Customer Payment",OR(J1330="",COUNTIF(ar_No,J1330&amp;"")=0)),"Invoice # in Reference not found on AR sheet",IF(AND(D1330="Bill Payment",H1330=""),"Add the vendor",IF(AND(D1330="Bill Payment",OR(J1330="",COUNTIFS(ap_No,J1330&amp;"",ap_Party,H1330&amp;"")=0)),"Bill # + vendor not found on AP sheet",IF(AND(ISNUMBER(M1330),N(M1330)&lt;&gt;0,W1330=0),"Tax ignored (tax tracking off, or not allowed for this type)",IF(V1330=K1330&amp;"","Same account on both sides",IF(AND(ISNUMBER(StartDate),C1330&lt;StartDate),"Date is before the accounting start date",IF(AND(D1330&lt;&gt;"Adjustment",IFERROR(INDEX(coa_Pay,MATCH(K1330&amp;"",coa_Name,0)),"")&lt;&gt;"Yes"),"Paid From / Deposited To is not a payment account","")))))))))))</f>
        <v/>
      </c>
      <c r="Z1330" s="67">
        <f>IF(AND(T1330=0,X1330=""),1,0)</f>
        <v/>
      </c>
      <c r="AA1330" s="68">
        <f>IF(Z1330=1,IF(U1330="In",L1330,L1330-W1330),0)</f>
        <v/>
      </c>
      <c r="AB1330" s="68">
        <f>IF(Z1330=1,IF(U1330="In",L1330-W1330,L1330),0)</f>
        <v/>
      </c>
      <c r="AC1330" s="68">
        <f>IF(AND(Z1330=1,U1330="Out"),W1330,0)</f>
        <v/>
      </c>
      <c r="AD1330" s="68">
        <f>IF(AND(Z1330=1,U1330="In"),W1330,0)</f>
        <v/>
      </c>
    </row>
    <row r="1331">
      <c r="B1331" s="62" t="inlineStr">
        <is>
          <t>TX-1325</t>
        </is>
      </c>
      <c r="C1331" s="63" t="n"/>
      <c r="D1331" s="62" t="n"/>
      <c r="E1331" s="62" t="n"/>
      <c r="F1331" s="62" t="n"/>
      <c r="G1331" s="62" t="n"/>
      <c r="H1331" s="62" t="n"/>
      <c r="I1331" s="62" t="n"/>
      <c r="J1331" s="62" t="n"/>
      <c r="K1331" s="62" t="n"/>
      <c r="L1331" s="64" t="n"/>
      <c r="M1331" s="64" t="n"/>
      <c r="N1331" s="62" t="n"/>
      <c r="O1331" s="65">
        <f>IF(Z1331=1,L1331-W1331,"")</f>
        <v/>
      </c>
      <c r="P1331" s="66">
        <f>IF(V1331="","",IFERROR(INDEX(coa_Type,MATCH(V1331,coa_Name,0)),""))</f>
        <v/>
      </c>
      <c r="Q1331" s="66">
        <f>IF(Z1331=1,IF(U1331="In",K1331&amp;"",V1331),"")</f>
        <v/>
      </c>
      <c r="R1331" s="66">
        <f>IF(Z1331=1,IF(U1331="In",V1331,K1331&amp;""),"")</f>
        <v/>
      </c>
      <c r="S1331" s="66">
        <f>IF(X1331&lt;&gt;"","⛔ "&amp;X1331&amp;" — not posted",IF(Y1331&lt;&gt;"","⚠ "&amp;Y1331,IF(Z1331=1,"✓ OK","")))</f>
        <v/>
      </c>
      <c r="T1331" s="67">
        <f>IF(AND(C1331="",D1331="",E1331="",L1331="",K1331=""),1,0)</f>
        <v/>
      </c>
      <c r="U1331" s="67">
        <f>IFERROR(INDEX(tt_Dir,MATCH(D1331,tt_Type,0)),"")</f>
        <v/>
      </c>
      <c r="V1331" s="67">
        <f>IF(D1331="","",IFERROR(IF(INDEX(tt_Other,MATCH(D1331,tt_Type,0))="",E1331&amp;"",INDEX(tt_Other,MATCH(D1331,tt_Type,0))),""))</f>
        <v/>
      </c>
      <c r="W1331" s="68">
        <f>IF(OR(TaxOn&lt;&gt;"Yes",NOT(ISNUMBER(M1331))),0,IF(IFERROR(INDEX(tt_Tax,MATCH(D1331,tt_Type,0)),"No")="Yes",M1331,0))</f>
        <v/>
      </c>
      <c r="X1331" s="67">
        <f>IF(T1331=1,"",IF(C1331="","Missing transaction date",IF(NOT(ISNUMBER(C1331)),"Invalid date",IF(OR(C1331&lt;DATE(2000,1,1),C1331&gt;DATE(2099,12,31)),"Invalid date",IF(D1331="","Select a type",IF(U1331="","Unknown type: "&amp;D1331,IF(V1331="","Select an account (Category)",IF(ISNA(MATCH(V1331,coa_Name,0)),"Unknown account: "&amp;V1331,IF(K1331="","Select Paid From / Deposited To",IF(ISNA(MATCH(K1331,coa_Name,0)),"Unknown account: "&amp;K1331,IF(NOT(ISNUMBER(L1331)),"Enter an amount",IF(L1331=0,"Enter an amount",IF(ABS(W1331)&gt;ABS(L1331),"Tax is larger than the amount","")))))))))))))</f>
        <v/>
      </c>
      <c r="Y1331" s="67">
        <f>IF(OR(T1331=1,X1331&lt;&gt;""),"",IF(AND(B1331&lt;&gt;"",COUNTIF(tx_ID,B1331)&gt;1),"Duplicate transaction ID",IF(AND(L1331&lt;0,D1331&lt;&gt;"Adjustment"),"Negative amount — check this entry",IF(AND(D1331="Customer Payment",G1331=""),"Add the customer",IF(AND(D1331="Customer Payment",OR(J1331="",COUNTIF(ar_No,J1331&amp;"")=0)),"Invoice # in Reference not found on AR sheet",IF(AND(D1331="Bill Payment",H1331=""),"Add the vendor",IF(AND(D1331="Bill Payment",OR(J1331="",COUNTIFS(ap_No,J1331&amp;"",ap_Party,H1331&amp;"")=0)),"Bill # + vendor not found on AP sheet",IF(AND(ISNUMBER(M1331),N(M1331)&lt;&gt;0,W1331=0),"Tax ignored (tax tracking off, or not allowed for this type)",IF(V1331=K1331&amp;"","Same account on both sides",IF(AND(ISNUMBER(StartDate),C1331&lt;StartDate),"Date is before the accounting start date",IF(AND(D1331&lt;&gt;"Adjustment",IFERROR(INDEX(coa_Pay,MATCH(K1331&amp;"",coa_Name,0)),"")&lt;&gt;"Yes"),"Paid From / Deposited To is not a payment account","")))))))))))</f>
        <v/>
      </c>
      <c r="Z1331" s="67">
        <f>IF(AND(T1331=0,X1331=""),1,0)</f>
        <v/>
      </c>
      <c r="AA1331" s="68">
        <f>IF(Z1331=1,IF(U1331="In",L1331,L1331-W1331),0)</f>
        <v/>
      </c>
      <c r="AB1331" s="68">
        <f>IF(Z1331=1,IF(U1331="In",L1331-W1331,L1331),0)</f>
        <v/>
      </c>
      <c r="AC1331" s="68">
        <f>IF(AND(Z1331=1,U1331="Out"),W1331,0)</f>
        <v/>
      </c>
      <c r="AD1331" s="68">
        <f>IF(AND(Z1331=1,U1331="In"),W1331,0)</f>
        <v/>
      </c>
    </row>
    <row r="1332">
      <c r="B1332" s="62" t="inlineStr">
        <is>
          <t>TX-1326</t>
        </is>
      </c>
      <c r="C1332" s="63" t="n"/>
      <c r="D1332" s="62" t="n"/>
      <c r="E1332" s="62" t="n"/>
      <c r="F1332" s="62" t="n"/>
      <c r="G1332" s="62" t="n"/>
      <c r="H1332" s="62" t="n"/>
      <c r="I1332" s="62" t="n"/>
      <c r="J1332" s="62" t="n"/>
      <c r="K1332" s="62" t="n"/>
      <c r="L1332" s="64" t="n"/>
      <c r="M1332" s="64" t="n"/>
      <c r="N1332" s="62" t="n"/>
      <c r="O1332" s="65">
        <f>IF(Z1332=1,L1332-W1332,"")</f>
        <v/>
      </c>
      <c r="P1332" s="66">
        <f>IF(V1332="","",IFERROR(INDEX(coa_Type,MATCH(V1332,coa_Name,0)),""))</f>
        <v/>
      </c>
      <c r="Q1332" s="66">
        <f>IF(Z1332=1,IF(U1332="In",K1332&amp;"",V1332),"")</f>
        <v/>
      </c>
      <c r="R1332" s="66">
        <f>IF(Z1332=1,IF(U1332="In",V1332,K1332&amp;""),"")</f>
        <v/>
      </c>
      <c r="S1332" s="66">
        <f>IF(X1332&lt;&gt;"","⛔ "&amp;X1332&amp;" — not posted",IF(Y1332&lt;&gt;"","⚠ "&amp;Y1332,IF(Z1332=1,"✓ OK","")))</f>
        <v/>
      </c>
      <c r="T1332" s="67">
        <f>IF(AND(C1332="",D1332="",E1332="",L1332="",K1332=""),1,0)</f>
        <v/>
      </c>
      <c r="U1332" s="67">
        <f>IFERROR(INDEX(tt_Dir,MATCH(D1332,tt_Type,0)),"")</f>
        <v/>
      </c>
      <c r="V1332" s="67">
        <f>IF(D1332="","",IFERROR(IF(INDEX(tt_Other,MATCH(D1332,tt_Type,0))="",E1332&amp;"",INDEX(tt_Other,MATCH(D1332,tt_Type,0))),""))</f>
        <v/>
      </c>
      <c r="W1332" s="68">
        <f>IF(OR(TaxOn&lt;&gt;"Yes",NOT(ISNUMBER(M1332))),0,IF(IFERROR(INDEX(tt_Tax,MATCH(D1332,tt_Type,0)),"No")="Yes",M1332,0))</f>
        <v/>
      </c>
      <c r="X1332" s="67">
        <f>IF(T1332=1,"",IF(C1332="","Missing transaction date",IF(NOT(ISNUMBER(C1332)),"Invalid date",IF(OR(C1332&lt;DATE(2000,1,1),C1332&gt;DATE(2099,12,31)),"Invalid date",IF(D1332="","Select a type",IF(U1332="","Unknown type: "&amp;D1332,IF(V1332="","Select an account (Category)",IF(ISNA(MATCH(V1332,coa_Name,0)),"Unknown account: "&amp;V1332,IF(K1332="","Select Paid From / Deposited To",IF(ISNA(MATCH(K1332,coa_Name,0)),"Unknown account: "&amp;K1332,IF(NOT(ISNUMBER(L1332)),"Enter an amount",IF(L1332=0,"Enter an amount",IF(ABS(W1332)&gt;ABS(L1332),"Tax is larger than the amount","")))))))))))))</f>
        <v/>
      </c>
      <c r="Y1332" s="67">
        <f>IF(OR(T1332=1,X1332&lt;&gt;""),"",IF(AND(B1332&lt;&gt;"",COUNTIF(tx_ID,B1332)&gt;1),"Duplicate transaction ID",IF(AND(L1332&lt;0,D1332&lt;&gt;"Adjustment"),"Negative amount — check this entry",IF(AND(D1332="Customer Payment",G1332=""),"Add the customer",IF(AND(D1332="Customer Payment",OR(J1332="",COUNTIF(ar_No,J1332&amp;"")=0)),"Invoice # in Reference not found on AR sheet",IF(AND(D1332="Bill Payment",H1332=""),"Add the vendor",IF(AND(D1332="Bill Payment",OR(J1332="",COUNTIFS(ap_No,J1332&amp;"",ap_Party,H1332&amp;"")=0)),"Bill # + vendor not found on AP sheet",IF(AND(ISNUMBER(M1332),N(M1332)&lt;&gt;0,W1332=0),"Tax ignored (tax tracking off, or not allowed for this type)",IF(V1332=K1332&amp;"","Same account on both sides",IF(AND(ISNUMBER(StartDate),C1332&lt;StartDate),"Date is before the accounting start date",IF(AND(D1332&lt;&gt;"Adjustment",IFERROR(INDEX(coa_Pay,MATCH(K1332&amp;"",coa_Name,0)),"")&lt;&gt;"Yes"),"Paid From / Deposited To is not a payment account","")))))))))))</f>
        <v/>
      </c>
      <c r="Z1332" s="67">
        <f>IF(AND(T1332=0,X1332=""),1,0)</f>
        <v/>
      </c>
      <c r="AA1332" s="68">
        <f>IF(Z1332=1,IF(U1332="In",L1332,L1332-W1332),0)</f>
        <v/>
      </c>
      <c r="AB1332" s="68">
        <f>IF(Z1332=1,IF(U1332="In",L1332-W1332,L1332),0)</f>
        <v/>
      </c>
      <c r="AC1332" s="68">
        <f>IF(AND(Z1332=1,U1332="Out"),W1332,0)</f>
        <v/>
      </c>
      <c r="AD1332" s="68">
        <f>IF(AND(Z1332=1,U1332="In"),W1332,0)</f>
        <v/>
      </c>
    </row>
    <row r="1333">
      <c r="B1333" s="62" t="inlineStr">
        <is>
          <t>TX-1327</t>
        </is>
      </c>
      <c r="C1333" s="63" t="n"/>
      <c r="D1333" s="62" t="n"/>
      <c r="E1333" s="62" t="n"/>
      <c r="F1333" s="62" t="n"/>
      <c r="G1333" s="62" t="n"/>
      <c r="H1333" s="62" t="n"/>
      <c r="I1333" s="62" t="n"/>
      <c r="J1333" s="62" t="n"/>
      <c r="K1333" s="62" t="n"/>
      <c r="L1333" s="64" t="n"/>
      <c r="M1333" s="64" t="n"/>
      <c r="N1333" s="62" t="n"/>
      <c r="O1333" s="65">
        <f>IF(Z1333=1,L1333-W1333,"")</f>
        <v/>
      </c>
      <c r="P1333" s="66">
        <f>IF(V1333="","",IFERROR(INDEX(coa_Type,MATCH(V1333,coa_Name,0)),""))</f>
        <v/>
      </c>
      <c r="Q1333" s="66">
        <f>IF(Z1333=1,IF(U1333="In",K1333&amp;"",V1333),"")</f>
        <v/>
      </c>
      <c r="R1333" s="66">
        <f>IF(Z1333=1,IF(U1333="In",V1333,K1333&amp;""),"")</f>
        <v/>
      </c>
      <c r="S1333" s="66">
        <f>IF(X1333&lt;&gt;"","⛔ "&amp;X1333&amp;" — not posted",IF(Y1333&lt;&gt;"","⚠ "&amp;Y1333,IF(Z1333=1,"✓ OK","")))</f>
        <v/>
      </c>
      <c r="T1333" s="67">
        <f>IF(AND(C1333="",D1333="",E1333="",L1333="",K1333=""),1,0)</f>
        <v/>
      </c>
      <c r="U1333" s="67">
        <f>IFERROR(INDEX(tt_Dir,MATCH(D1333,tt_Type,0)),"")</f>
        <v/>
      </c>
      <c r="V1333" s="67">
        <f>IF(D1333="","",IFERROR(IF(INDEX(tt_Other,MATCH(D1333,tt_Type,0))="",E1333&amp;"",INDEX(tt_Other,MATCH(D1333,tt_Type,0))),""))</f>
        <v/>
      </c>
      <c r="W1333" s="68">
        <f>IF(OR(TaxOn&lt;&gt;"Yes",NOT(ISNUMBER(M1333))),0,IF(IFERROR(INDEX(tt_Tax,MATCH(D1333,tt_Type,0)),"No")="Yes",M1333,0))</f>
        <v/>
      </c>
      <c r="X1333" s="67">
        <f>IF(T1333=1,"",IF(C1333="","Missing transaction date",IF(NOT(ISNUMBER(C1333)),"Invalid date",IF(OR(C1333&lt;DATE(2000,1,1),C1333&gt;DATE(2099,12,31)),"Invalid date",IF(D1333="","Select a type",IF(U1333="","Unknown type: "&amp;D1333,IF(V1333="","Select an account (Category)",IF(ISNA(MATCH(V1333,coa_Name,0)),"Unknown account: "&amp;V1333,IF(K1333="","Select Paid From / Deposited To",IF(ISNA(MATCH(K1333,coa_Name,0)),"Unknown account: "&amp;K1333,IF(NOT(ISNUMBER(L1333)),"Enter an amount",IF(L1333=0,"Enter an amount",IF(ABS(W1333)&gt;ABS(L1333),"Tax is larger than the amount","")))))))))))))</f>
        <v/>
      </c>
      <c r="Y1333" s="67">
        <f>IF(OR(T1333=1,X1333&lt;&gt;""),"",IF(AND(B1333&lt;&gt;"",COUNTIF(tx_ID,B1333)&gt;1),"Duplicate transaction ID",IF(AND(L1333&lt;0,D1333&lt;&gt;"Adjustment"),"Negative amount — check this entry",IF(AND(D1333="Customer Payment",G1333=""),"Add the customer",IF(AND(D1333="Customer Payment",OR(J1333="",COUNTIF(ar_No,J1333&amp;"")=0)),"Invoice # in Reference not found on AR sheet",IF(AND(D1333="Bill Payment",H1333=""),"Add the vendor",IF(AND(D1333="Bill Payment",OR(J1333="",COUNTIFS(ap_No,J1333&amp;"",ap_Party,H1333&amp;"")=0)),"Bill # + vendor not found on AP sheet",IF(AND(ISNUMBER(M1333),N(M1333)&lt;&gt;0,W1333=0),"Tax ignored (tax tracking off, or not allowed for this type)",IF(V1333=K1333&amp;"","Same account on both sides",IF(AND(ISNUMBER(StartDate),C1333&lt;StartDate),"Date is before the accounting start date",IF(AND(D1333&lt;&gt;"Adjustment",IFERROR(INDEX(coa_Pay,MATCH(K1333&amp;"",coa_Name,0)),"")&lt;&gt;"Yes"),"Paid From / Deposited To is not a payment account","")))))))))))</f>
        <v/>
      </c>
      <c r="Z1333" s="67">
        <f>IF(AND(T1333=0,X1333=""),1,0)</f>
        <v/>
      </c>
      <c r="AA1333" s="68">
        <f>IF(Z1333=1,IF(U1333="In",L1333,L1333-W1333),0)</f>
        <v/>
      </c>
      <c r="AB1333" s="68">
        <f>IF(Z1333=1,IF(U1333="In",L1333-W1333,L1333),0)</f>
        <v/>
      </c>
      <c r="AC1333" s="68">
        <f>IF(AND(Z1333=1,U1333="Out"),W1333,0)</f>
        <v/>
      </c>
      <c r="AD1333" s="68">
        <f>IF(AND(Z1333=1,U1333="In"),W1333,0)</f>
        <v/>
      </c>
    </row>
    <row r="1334">
      <c r="B1334" s="62" t="inlineStr">
        <is>
          <t>TX-1328</t>
        </is>
      </c>
      <c r="C1334" s="63" t="n"/>
      <c r="D1334" s="62" t="n"/>
      <c r="E1334" s="62" t="n"/>
      <c r="F1334" s="62" t="n"/>
      <c r="G1334" s="62" t="n"/>
      <c r="H1334" s="62" t="n"/>
      <c r="I1334" s="62" t="n"/>
      <c r="J1334" s="62" t="n"/>
      <c r="K1334" s="62" t="n"/>
      <c r="L1334" s="64" t="n"/>
      <c r="M1334" s="64" t="n"/>
      <c r="N1334" s="62" t="n"/>
      <c r="O1334" s="65">
        <f>IF(Z1334=1,L1334-W1334,"")</f>
        <v/>
      </c>
      <c r="P1334" s="66">
        <f>IF(V1334="","",IFERROR(INDEX(coa_Type,MATCH(V1334,coa_Name,0)),""))</f>
        <v/>
      </c>
      <c r="Q1334" s="66">
        <f>IF(Z1334=1,IF(U1334="In",K1334&amp;"",V1334),"")</f>
        <v/>
      </c>
      <c r="R1334" s="66">
        <f>IF(Z1334=1,IF(U1334="In",V1334,K1334&amp;""),"")</f>
        <v/>
      </c>
      <c r="S1334" s="66">
        <f>IF(X1334&lt;&gt;"","⛔ "&amp;X1334&amp;" — not posted",IF(Y1334&lt;&gt;"","⚠ "&amp;Y1334,IF(Z1334=1,"✓ OK","")))</f>
        <v/>
      </c>
      <c r="T1334" s="67">
        <f>IF(AND(C1334="",D1334="",E1334="",L1334="",K1334=""),1,0)</f>
        <v/>
      </c>
      <c r="U1334" s="67">
        <f>IFERROR(INDEX(tt_Dir,MATCH(D1334,tt_Type,0)),"")</f>
        <v/>
      </c>
      <c r="V1334" s="67">
        <f>IF(D1334="","",IFERROR(IF(INDEX(tt_Other,MATCH(D1334,tt_Type,0))="",E1334&amp;"",INDEX(tt_Other,MATCH(D1334,tt_Type,0))),""))</f>
        <v/>
      </c>
      <c r="W1334" s="68">
        <f>IF(OR(TaxOn&lt;&gt;"Yes",NOT(ISNUMBER(M1334))),0,IF(IFERROR(INDEX(tt_Tax,MATCH(D1334,tt_Type,0)),"No")="Yes",M1334,0))</f>
        <v/>
      </c>
      <c r="X1334" s="67">
        <f>IF(T1334=1,"",IF(C1334="","Missing transaction date",IF(NOT(ISNUMBER(C1334)),"Invalid date",IF(OR(C1334&lt;DATE(2000,1,1),C1334&gt;DATE(2099,12,31)),"Invalid date",IF(D1334="","Select a type",IF(U1334="","Unknown type: "&amp;D1334,IF(V1334="","Select an account (Category)",IF(ISNA(MATCH(V1334,coa_Name,0)),"Unknown account: "&amp;V1334,IF(K1334="","Select Paid From / Deposited To",IF(ISNA(MATCH(K1334,coa_Name,0)),"Unknown account: "&amp;K1334,IF(NOT(ISNUMBER(L1334)),"Enter an amount",IF(L1334=0,"Enter an amount",IF(ABS(W1334)&gt;ABS(L1334),"Tax is larger than the amount","")))))))))))))</f>
        <v/>
      </c>
      <c r="Y1334" s="67">
        <f>IF(OR(T1334=1,X1334&lt;&gt;""),"",IF(AND(B1334&lt;&gt;"",COUNTIF(tx_ID,B1334)&gt;1),"Duplicate transaction ID",IF(AND(L1334&lt;0,D1334&lt;&gt;"Adjustment"),"Negative amount — check this entry",IF(AND(D1334="Customer Payment",G1334=""),"Add the customer",IF(AND(D1334="Customer Payment",OR(J1334="",COUNTIF(ar_No,J1334&amp;"")=0)),"Invoice # in Reference not found on AR sheet",IF(AND(D1334="Bill Payment",H1334=""),"Add the vendor",IF(AND(D1334="Bill Payment",OR(J1334="",COUNTIFS(ap_No,J1334&amp;"",ap_Party,H1334&amp;"")=0)),"Bill # + vendor not found on AP sheet",IF(AND(ISNUMBER(M1334),N(M1334)&lt;&gt;0,W1334=0),"Tax ignored (tax tracking off, or not allowed for this type)",IF(V1334=K1334&amp;"","Same account on both sides",IF(AND(ISNUMBER(StartDate),C1334&lt;StartDate),"Date is before the accounting start date",IF(AND(D1334&lt;&gt;"Adjustment",IFERROR(INDEX(coa_Pay,MATCH(K1334&amp;"",coa_Name,0)),"")&lt;&gt;"Yes"),"Paid From / Deposited To is not a payment account","")))))))))))</f>
        <v/>
      </c>
      <c r="Z1334" s="67">
        <f>IF(AND(T1334=0,X1334=""),1,0)</f>
        <v/>
      </c>
      <c r="AA1334" s="68">
        <f>IF(Z1334=1,IF(U1334="In",L1334,L1334-W1334),0)</f>
        <v/>
      </c>
      <c r="AB1334" s="68">
        <f>IF(Z1334=1,IF(U1334="In",L1334-W1334,L1334),0)</f>
        <v/>
      </c>
      <c r="AC1334" s="68">
        <f>IF(AND(Z1334=1,U1334="Out"),W1334,0)</f>
        <v/>
      </c>
      <c r="AD1334" s="68">
        <f>IF(AND(Z1334=1,U1334="In"),W1334,0)</f>
        <v/>
      </c>
    </row>
    <row r="1335">
      <c r="B1335" s="62" t="inlineStr">
        <is>
          <t>TX-1329</t>
        </is>
      </c>
      <c r="C1335" s="63" t="n"/>
      <c r="D1335" s="62" t="n"/>
      <c r="E1335" s="62" t="n"/>
      <c r="F1335" s="62" t="n"/>
      <c r="G1335" s="62" t="n"/>
      <c r="H1335" s="62" t="n"/>
      <c r="I1335" s="62" t="n"/>
      <c r="J1335" s="62" t="n"/>
      <c r="K1335" s="62" t="n"/>
      <c r="L1335" s="64" t="n"/>
      <c r="M1335" s="64" t="n"/>
      <c r="N1335" s="62" t="n"/>
      <c r="O1335" s="65">
        <f>IF(Z1335=1,L1335-W1335,"")</f>
        <v/>
      </c>
      <c r="P1335" s="66">
        <f>IF(V1335="","",IFERROR(INDEX(coa_Type,MATCH(V1335,coa_Name,0)),""))</f>
        <v/>
      </c>
      <c r="Q1335" s="66">
        <f>IF(Z1335=1,IF(U1335="In",K1335&amp;"",V1335),"")</f>
        <v/>
      </c>
      <c r="R1335" s="66">
        <f>IF(Z1335=1,IF(U1335="In",V1335,K1335&amp;""),"")</f>
        <v/>
      </c>
      <c r="S1335" s="66">
        <f>IF(X1335&lt;&gt;"","⛔ "&amp;X1335&amp;" — not posted",IF(Y1335&lt;&gt;"","⚠ "&amp;Y1335,IF(Z1335=1,"✓ OK","")))</f>
        <v/>
      </c>
      <c r="T1335" s="67">
        <f>IF(AND(C1335="",D1335="",E1335="",L1335="",K1335=""),1,0)</f>
        <v/>
      </c>
      <c r="U1335" s="67">
        <f>IFERROR(INDEX(tt_Dir,MATCH(D1335,tt_Type,0)),"")</f>
        <v/>
      </c>
      <c r="V1335" s="67">
        <f>IF(D1335="","",IFERROR(IF(INDEX(tt_Other,MATCH(D1335,tt_Type,0))="",E1335&amp;"",INDEX(tt_Other,MATCH(D1335,tt_Type,0))),""))</f>
        <v/>
      </c>
      <c r="W1335" s="68">
        <f>IF(OR(TaxOn&lt;&gt;"Yes",NOT(ISNUMBER(M1335))),0,IF(IFERROR(INDEX(tt_Tax,MATCH(D1335,tt_Type,0)),"No")="Yes",M1335,0))</f>
        <v/>
      </c>
      <c r="X1335" s="67">
        <f>IF(T1335=1,"",IF(C1335="","Missing transaction date",IF(NOT(ISNUMBER(C1335)),"Invalid date",IF(OR(C1335&lt;DATE(2000,1,1),C1335&gt;DATE(2099,12,31)),"Invalid date",IF(D1335="","Select a type",IF(U1335="","Unknown type: "&amp;D1335,IF(V1335="","Select an account (Category)",IF(ISNA(MATCH(V1335,coa_Name,0)),"Unknown account: "&amp;V1335,IF(K1335="","Select Paid From / Deposited To",IF(ISNA(MATCH(K1335,coa_Name,0)),"Unknown account: "&amp;K1335,IF(NOT(ISNUMBER(L1335)),"Enter an amount",IF(L1335=0,"Enter an amount",IF(ABS(W1335)&gt;ABS(L1335),"Tax is larger than the amount","")))))))))))))</f>
        <v/>
      </c>
      <c r="Y1335" s="67">
        <f>IF(OR(T1335=1,X1335&lt;&gt;""),"",IF(AND(B1335&lt;&gt;"",COUNTIF(tx_ID,B1335)&gt;1),"Duplicate transaction ID",IF(AND(L1335&lt;0,D1335&lt;&gt;"Adjustment"),"Negative amount — check this entry",IF(AND(D1335="Customer Payment",G1335=""),"Add the customer",IF(AND(D1335="Customer Payment",OR(J1335="",COUNTIF(ar_No,J1335&amp;"")=0)),"Invoice # in Reference not found on AR sheet",IF(AND(D1335="Bill Payment",H1335=""),"Add the vendor",IF(AND(D1335="Bill Payment",OR(J1335="",COUNTIFS(ap_No,J1335&amp;"",ap_Party,H1335&amp;"")=0)),"Bill # + vendor not found on AP sheet",IF(AND(ISNUMBER(M1335),N(M1335)&lt;&gt;0,W1335=0),"Tax ignored (tax tracking off, or not allowed for this type)",IF(V1335=K1335&amp;"","Same account on both sides",IF(AND(ISNUMBER(StartDate),C1335&lt;StartDate),"Date is before the accounting start date",IF(AND(D1335&lt;&gt;"Adjustment",IFERROR(INDEX(coa_Pay,MATCH(K1335&amp;"",coa_Name,0)),"")&lt;&gt;"Yes"),"Paid From / Deposited To is not a payment account","")))))))))))</f>
        <v/>
      </c>
      <c r="Z1335" s="67">
        <f>IF(AND(T1335=0,X1335=""),1,0)</f>
        <v/>
      </c>
      <c r="AA1335" s="68">
        <f>IF(Z1335=1,IF(U1335="In",L1335,L1335-W1335),0)</f>
        <v/>
      </c>
      <c r="AB1335" s="68">
        <f>IF(Z1335=1,IF(U1335="In",L1335-W1335,L1335),0)</f>
        <v/>
      </c>
      <c r="AC1335" s="68">
        <f>IF(AND(Z1335=1,U1335="Out"),W1335,0)</f>
        <v/>
      </c>
      <c r="AD1335" s="68">
        <f>IF(AND(Z1335=1,U1335="In"),W1335,0)</f>
        <v/>
      </c>
    </row>
    <row r="1336">
      <c r="B1336" s="62" t="inlineStr">
        <is>
          <t>TX-1330</t>
        </is>
      </c>
      <c r="C1336" s="63" t="n"/>
      <c r="D1336" s="62" t="n"/>
      <c r="E1336" s="62" t="n"/>
      <c r="F1336" s="62" t="n"/>
      <c r="G1336" s="62" t="n"/>
      <c r="H1336" s="62" t="n"/>
      <c r="I1336" s="62" t="n"/>
      <c r="J1336" s="62" t="n"/>
      <c r="K1336" s="62" t="n"/>
      <c r="L1336" s="64" t="n"/>
      <c r="M1336" s="64" t="n"/>
      <c r="N1336" s="62" t="n"/>
      <c r="O1336" s="65">
        <f>IF(Z1336=1,L1336-W1336,"")</f>
        <v/>
      </c>
      <c r="P1336" s="66">
        <f>IF(V1336="","",IFERROR(INDEX(coa_Type,MATCH(V1336,coa_Name,0)),""))</f>
        <v/>
      </c>
      <c r="Q1336" s="66">
        <f>IF(Z1336=1,IF(U1336="In",K1336&amp;"",V1336),"")</f>
        <v/>
      </c>
      <c r="R1336" s="66">
        <f>IF(Z1336=1,IF(U1336="In",V1336,K1336&amp;""),"")</f>
        <v/>
      </c>
      <c r="S1336" s="66">
        <f>IF(X1336&lt;&gt;"","⛔ "&amp;X1336&amp;" — not posted",IF(Y1336&lt;&gt;"","⚠ "&amp;Y1336,IF(Z1336=1,"✓ OK","")))</f>
        <v/>
      </c>
      <c r="T1336" s="67">
        <f>IF(AND(C1336="",D1336="",E1336="",L1336="",K1336=""),1,0)</f>
        <v/>
      </c>
      <c r="U1336" s="67">
        <f>IFERROR(INDEX(tt_Dir,MATCH(D1336,tt_Type,0)),"")</f>
        <v/>
      </c>
      <c r="V1336" s="67">
        <f>IF(D1336="","",IFERROR(IF(INDEX(tt_Other,MATCH(D1336,tt_Type,0))="",E1336&amp;"",INDEX(tt_Other,MATCH(D1336,tt_Type,0))),""))</f>
        <v/>
      </c>
      <c r="W1336" s="68">
        <f>IF(OR(TaxOn&lt;&gt;"Yes",NOT(ISNUMBER(M1336))),0,IF(IFERROR(INDEX(tt_Tax,MATCH(D1336,tt_Type,0)),"No")="Yes",M1336,0))</f>
        <v/>
      </c>
      <c r="X1336" s="67">
        <f>IF(T1336=1,"",IF(C1336="","Missing transaction date",IF(NOT(ISNUMBER(C1336)),"Invalid date",IF(OR(C1336&lt;DATE(2000,1,1),C1336&gt;DATE(2099,12,31)),"Invalid date",IF(D1336="","Select a type",IF(U1336="","Unknown type: "&amp;D1336,IF(V1336="","Select an account (Category)",IF(ISNA(MATCH(V1336,coa_Name,0)),"Unknown account: "&amp;V1336,IF(K1336="","Select Paid From / Deposited To",IF(ISNA(MATCH(K1336,coa_Name,0)),"Unknown account: "&amp;K1336,IF(NOT(ISNUMBER(L1336)),"Enter an amount",IF(L1336=0,"Enter an amount",IF(ABS(W1336)&gt;ABS(L1336),"Tax is larger than the amount","")))))))))))))</f>
        <v/>
      </c>
      <c r="Y1336" s="67">
        <f>IF(OR(T1336=1,X1336&lt;&gt;""),"",IF(AND(B1336&lt;&gt;"",COUNTIF(tx_ID,B1336)&gt;1),"Duplicate transaction ID",IF(AND(L1336&lt;0,D1336&lt;&gt;"Adjustment"),"Negative amount — check this entry",IF(AND(D1336="Customer Payment",G1336=""),"Add the customer",IF(AND(D1336="Customer Payment",OR(J1336="",COUNTIF(ar_No,J1336&amp;"")=0)),"Invoice # in Reference not found on AR sheet",IF(AND(D1336="Bill Payment",H1336=""),"Add the vendor",IF(AND(D1336="Bill Payment",OR(J1336="",COUNTIFS(ap_No,J1336&amp;"",ap_Party,H1336&amp;"")=0)),"Bill # + vendor not found on AP sheet",IF(AND(ISNUMBER(M1336),N(M1336)&lt;&gt;0,W1336=0),"Tax ignored (tax tracking off, or not allowed for this type)",IF(V1336=K1336&amp;"","Same account on both sides",IF(AND(ISNUMBER(StartDate),C1336&lt;StartDate),"Date is before the accounting start date",IF(AND(D1336&lt;&gt;"Adjustment",IFERROR(INDEX(coa_Pay,MATCH(K1336&amp;"",coa_Name,0)),"")&lt;&gt;"Yes"),"Paid From / Deposited To is not a payment account","")))))))))))</f>
        <v/>
      </c>
      <c r="Z1336" s="67">
        <f>IF(AND(T1336=0,X1336=""),1,0)</f>
        <v/>
      </c>
      <c r="AA1336" s="68">
        <f>IF(Z1336=1,IF(U1336="In",L1336,L1336-W1336),0)</f>
        <v/>
      </c>
      <c r="AB1336" s="68">
        <f>IF(Z1336=1,IF(U1336="In",L1336-W1336,L1336),0)</f>
        <v/>
      </c>
      <c r="AC1336" s="68">
        <f>IF(AND(Z1336=1,U1336="Out"),W1336,0)</f>
        <v/>
      </c>
      <c r="AD1336" s="68">
        <f>IF(AND(Z1336=1,U1336="In"),W1336,0)</f>
        <v/>
      </c>
    </row>
    <row r="1337">
      <c r="B1337" s="62" t="inlineStr">
        <is>
          <t>TX-1331</t>
        </is>
      </c>
      <c r="C1337" s="63" t="n"/>
      <c r="D1337" s="62" t="n"/>
      <c r="E1337" s="62" t="n"/>
      <c r="F1337" s="62" t="n"/>
      <c r="G1337" s="62" t="n"/>
      <c r="H1337" s="62" t="n"/>
      <c r="I1337" s="62" t="n"/>
      <c r="J1337" s="62" t="n"/>
      <c r="K1337" s="62" t="n"/>
      <c r="L1337" s="64" t="n"/>
      <c r="M1337" s="64" t="n"/>
      <c r="N1337" s="62" t="n"/>
      <c r="O1337" s="65">
        <f>IF(Z1337=1,L1337-W1337,"")</f>
        <v/>
      </c>
      <c r="P1337" s="66">
        <f>IF(V1337="","",IFERROR(INDEX(coa_Type,MATCH(V1337,coa_Name,0)),""))</f>
        <v/>
      </c>
      <c r="Q1337" s="66">
        <f>IF(Z1337=1,IF(U1337="In",K1337&amp;"",V1337),"")</f>
        <v/>
      </c>
      <c r="R1337" s="66">
        <f>IF(Z1337=1,IF(U1337="In",V1337,K1337&amp;""),"")</f>
        <v/>
      </c>
      <c r="S1337" s="66">
        <f>IF(X1337&lt;&gt;"","⛔ "&amp;X1337&amp;" — not posted",IF(Y1337&lt;&gt;"","⚠ "&amp;Y1337,IF(Z1337=1,"✓ OK","")))</f>
        <v/>
      </c>
      <c r="T1337" s="67">
        <f>IF(AND(C1337="",D1337="",E1337="",L1337="",K1337=""),1,0)</f>
        <v/>
      </c>
      <c r="U1337" s="67">
        <f>IFERROR(INDEX(tt_Dir,MATCH(D1337,tt_Type,0)),"")</f>
        <v/>
      </c>
      <c r="V1337" s="67">
        <f>IF(D1337="","",IFERROR(IF(INDEX(tt_Other,MATCH(D1337,tt_Type,0))="",E1337&amp;"",INDEX(tt_Other,MATCH(D1337,tt_Type,0))),""))</f>
        <v/>
      </c>
      <c r="W1337" s="68">
        <f>IF(OR(TaxOn&lt;&gt;"Yes",NOT(ISNUMBER(M1337))),0,IF(IFERROR(INDEX(tt_Tax,MATCH(D1337,tt_Type,0)),"No")="Yes",M1337,0))</f>
        <v/>
      </c>
      <c r="X1337" s="67">
        <f>IF(T1337=1,"",IF(C1337="","Missing transaction date",IF(NOT(ISNUMBER(C1337)),"Invalid date",IF(OR(C1337&lt;DATE(2000,1,1),C1337&gt;DATE(2099,12,31)),"Invalid date",IF(D1337="","Select a type",IF(U1337="","Unknown type: "&amp;D1337,IF(V1337="","Select an account (Category)",IF(ISNA(MATCH(V1337,coa_Name,0)),"Unknown account: "&amp;V1337,IF(K1337="","Select Paid From / Deposited To",IF(ISNA(MATCH(K1337,coa_Name,0)),"Unknown account: "&amp;K1337,IF(NOT(ISNUMBER(L1337)),"Enter an amount",IF(L1337=0,"Enter an amount",IF(ABS(W1337)&gt;ABS(L1337),"Tax is larger than the amount","")))))))))))))</f>
        <v/>
      </c>
      <c r="Y1337" s="67">
        <f>IF(OR(T1337=1,X1337&lt;&gt;""),"",IF(AND(B1337&lt;&gt;"",COUNTIF(tx_ID,B1337)&gt;1),"Duplicate transaction ID",IF(AND(L1337&lt;0,D1337&lt;&gt;"Adjustment"),"Negative amount — check this entry",IF(AND(D1337="Customer Payment",G1337=""),"Add the customer",IF(AND(D1337="Customer Payment",OR(J1337="",COUNTIF(ar_No,J1337&amp;"")=0)),"Invoice # in Reference not found on AR sheet",IF(AND(D1337="Bill Payment",H1337=""),"Add the vendor",IF(AND(D1337="Bill Payment",OR(J1337="",COUNTIFS(ap_No,J1337&amp;"",ap_Party,H1337&amp;"")=0)),"Bill # + vendor not found on AP sheet",IF(AND(ISNUMBER(M1337),N(M1337)&lt;&gt;0,W1337=0),"Tax ignored (tax tracking off, or not allowed for this type)",IF(V1337=K1337&amp;"","Same account on both sides",IF(AND(ISNUMBER(StartDate),C1337&lt;StartDate),"Date is before the accounting start date",IF(AND(D1337&lt;&gt;"Adjustment",IFERROR(INDEX(coa_Pay,MATCH(K1337&amp;"",coa_Name,0)),"")&lt;&gt;"Yes"),"Paid From / Deposited To is not a payment account","")))))))))))</f>
        <v/>
      </c>
      <c r="Z1337" s="67">
        <f>IF(AND(T1337=0,X1337=""),1,0)</f>
        <v/>
      </c>
      <c r="AA1337" s="68">
        <f>IF(Z1337=1,IF(U1337="In",L1337,L1337-W1337),0)</f>
        <v/>
      </c>
      <c r="AB1337" s="68">
        <f>IF(Z1337=1,IF(U1337="In",L1337-W1337,L1337),0)</f>
        <v/>
      </c>
      <c r="AC1337" s="68">
        <f>IF(AND(Z1337=1,U1337="Out"),W1337,0)</f>
        <v/>
      </c>
      <c r="AD1337" s="68">
        <f>IF(AND(Z1337=1,U1337="In"),W1337,0)</f>
        <v/>
      </c>
    </row>
    <row r="1338">
      <c r="B1338" s="62" t="inlineStr">
        <is>
          <t>TX-1332</t>
        </is>
      </c>
      <c r="C1338" s="63" t="n"/>
      <c r="D1338" s="62" t="n"/>
      <c r="E1338" s="62" t="n"/>
      <c r="F1338" s="62" t="n"/>
      <c r="G1338" s="62" t="n"/>
      <c r="H1338" s="62" t="n"/>
      <c r="I1338" s="62" t="n"/>
      <c r="J1338" s="62" t="n"/>
      <c r="K1338" s="62" t="n"/>
      <c r="L1338" s="64" t="n"/>
      <c r="M1338" s="64" t="n"/>
      <c r="N1338" s="62" t="n"/>
      <c r="O1338" s="65">
        <f>IF(Z1338=1,L1338-W1338,"")</f>
        <v/>
      </c>
      <c r="P1338" s="66">
        <f>IF(V1338="","",IFERROR(INDEX(coa_Type,MATCH(V1338,coa_Name,0)),""))</f>
        <v/>
      </c>
      <c r="Q1338" s="66">
        <f>IF(Z1338=1,IF(U1338="In",K1338&amp;"",V1338),"")</f>
        <v/>
      </c>
      <c r="R1338" s="66">
        <f>IF(Z1338=1,IF(U1338="In",V1338,K1338&amp;""),"")</f>
        <v/>
      </c>
      <c r="S1338" s="66">
        <f>IF(X1338&lt;&gt;"","⛔ "&amp;X1338&amp;" — not posted",IF(Y1338&lt;&gt;"","⚠ "&amp;Y1338,IF(Z1338=1,"✓ OK","")))</f>
        <v/>
      </c>
      <c r="T1338" s="67">
        <f>IF(AND(C1338="",D1338="",E1338="",L1338="",K1338=""),1,0)</f>
        <v/>
      </c>
      <c r="U1338" s="67">
        <f>IFERROR(INDEX(tt_Dir,MATCH(D1338,tt_Type,0)),"")</f>
        <v/>
      </c>
      <c r="V1338" s="67">
        <f>IF(D1338="","",IFERROR(IF(INDEX(tt_Other,MATCH(D1338,tt_Type,0))="",E1338&amp;"",INDEX(tt_Other,MATCH(D1338,tt_Type,0))),""))</f>
        <v/>
      </c>
      <c r="W1338" s="68">
        <f>IF(OR(TaxOn&lt;&gt;"Yes",NOT(ISNUMBER(M1338))),0,IF(IFERROR(INDEX(tt_Tax,MATCH(D1338,tt_Type,0)),"No")="Yes",M1338,0))</f>
        <v/>
      </c>
      <c r="X1338" s="67">
        <f>IF(T1338=1,"",IF(C1338="","Missing transaction date",IF(NOT(ISNUMBER(C1338)),"Invalid date",IF(OR(C1338&lt;DATE(2000,1,1),C1338&gt;DATE(2099,12,31)),"Invalid date",IF(D1338="","Select a type",IF(U1338="","Unknown type: "&amp;D1338,IF(V1338="","Select an account (Category)",IF(ISNA(MATCH(V1338,coa_Name,0)),"Unknown account: "&amp;V1338,IF(K1338="","Select Paid From / Deposited To",IF(ISNA(MATCH(K1338,coa_Name,0)),"Unknown account: "&amp;K1338,IF(NOT(ISNUMBER(L1338)),"Enter an amount",IF(L1338=0,"Enter an amount",IF(ABS(W1338)&gt;ABS(L1338),"Tax is larger than the amount","")))))))))))))</f>
        <v/>
      </c>
      <c r="Y1338" s="67">
        <f>IF(OR(T1338=1,X1338&lt;&gt;""),"",IF(AND(B1338&lt;&gt;"",COUNTIF(tx_ID,B1338)&gt;1),"Duplicate transaction ID",IF(AND(L1338&lt;0,D1338&lt;&gt;"Adjustment"),"Negative amount — check this entry",IF(AND(D1338="Customer Payment",G1338=""),"Add the customer",IF(AND(D1338="Customer Payment",OR(J1338="",COUNTIF(ar_No,J1338&amp;"")=0)),"Invoice # in Reference not found on AR sheet",IF(AND(D1338="Bill Payment",H1338=""),"Add the vendor",IF(AND(D1338="Bill Payment",OR(J1338="",COUNTIFS(ap_No,J1338&amp;"",ap_Party,H1338&amp;"")=0)),"Bill # + vendor not found on AP sheet",IF(AND(ISNUMBER(M1338),N(M1338)&lt;&gt;0,W1338=0),"Tax ignored (tax tracking off, or not allowed for this type)",IF(V1338=K1338&amp;"","Same account on both sides",IF(AND(ISNUMBER(StartDate),C1338&lt;StartDate),"Date is before the accounting start date",IF(AND(D1338&lt;&gt;"Adjustment",IFERROR(INDEX(coa_Pay,MATCH(K1338&amp;"",coa_Name,0)),"")&lt;&gt;"Yes"),"Paid From / Deposited To is not a payment account","")))))))))))</f>
        <v/>
      </c>
      <c r="Z1338" s="67">
        <f>IF(AND(T1338=0,X1338=""),1,0)</f>
        <v/>
      </c>
      <c r="AA1338" s="68">
        <f>IF(Z1338=1,IF(U1338="In",L1338,L1338-W1338),0)</f>
        <v/>
      </c>
      <c r="AB1338" s="68">
        <f>IF(Z1338=1,IF(U1338="In",L1338-W1338,L1338),0)</f>
        <v/>
      </c>
      <c r="AC1338" s="68">
        <f>IF(AND(Z1338=1,U1338="Out"),W1338,0)</f>
        <v/>
      </c>
      <c r="AD1338" s="68">
        <f>IF(AND(Z1338=1,U1338="In"),W1338,0)</f>
        <v/>
      </c>
    </row>
    <row r="1339">
      <c r="B1339" s="62" t="inlineStr">
        <is>
          <t>TX-1333</t>
        </is>
      </c>
      <c r="C1339" s="63" t="n"/>
      <c r="D1339" s="62" t="n"/>
      <c r="E1339" s="62" t="n"/>
      <c r="F1339" s="62" t="n"/>
      <c r="G1339" s="62" t="n"/>
      <c r="H1339" s="62" t="n"/>
      <c r="I1339" s="62" t="n"/>
      <c r="J1339" s="62" t="n"/>
      <c r="K1339" s="62" t="n"/>
      <c r="L1339" s="64" t="n"/>
      <c r="M1339" s="64" t="n"/>
      <c r="N1339" s="62" t="n"/>
      <c r="O1339" s="65">
        <f>IF(Z1339=1,L1339-W1339,"")</f>
        <v/>
      </c>
      <c r="P1339" s="66">
        <f>IF(V1339="","",IFERROR(INDEX(coa_Type,MATCH(V1339,coa_Name,0)),""))</f>
        <v/>
      </c>
      <c r="Q1339" s="66">
        <f>IF(Z1339=1,IF(U1339="In",K1339&amp;"",V1339),"")</f>
        <v/>
      </c>
      <c r="R1339" s="66">
        <f>IF(Z1339=1,IF(U1339="In",V1339,K1339&amp;""),"")</f>
        <v/>
      </c>
      <c r="S1339" s="66">
        <f>IF(X1339&lt;&gt;"","⛔ "&amp;X1339&amp;" — not posted",IF(Y1339&lt;&gt;"","⚠ "&amp;Y1339,IF(Z1339=1,"✓ OK","")))</f>
        <v/>
      </c>
      <c r="T1339" s="67">
        <f>IF(AND(C1339="",D1339="",E1339="",L1339="",K1339=""),1,0)</f>
        <v/>
      </c>
      <c r="U1339" s="67">
        <f>IFERROR(INDEX(tt_Dir,MATCH(D1339,tt_Type,0)),"")</f>
        <v/>
      </c>
      <c r="V1339" s="67">
        <f>IF(D1339="","",IFERROR(IF(INDEX(tt_Other,MATCH(D1339,tt_Type,0))="",E1339&amp;"",INDEX(tt_Other,MATCH(D1339,tt_Type,0))),""))</f>
        <v/>
      </c>
      <c r="W1339" s="68">
        <f>IF(OR(TaxOn&lt;&gt;"Yes",NOT(ISNUMBER(M1339))),0,IF(IFERROR(INDEX(tt_Tax,MATCH(D1339,tt_Type,0)),"No")="Yes",M1339,0))</f>
        <v/>
      </c>
      <c r="X1339" s="67">
        <f>IF(T1339=1,"",IF(C1339="","Missing transaction date",IF(NOT(ISNUMBER(C1339)),"Invalid date",IF(OR(C1339&lt;DATE(2000,1,1),C1339&gt;DATE(2099,12,31)),"Invalid date",IF(D1339="","Select a type",IF(U1339="","Unknown type: "&amp;D1339,IF(V1339="","Select an account (Category)",IF(ISNA(MATCH(V1339,coa_Name,0)),"Unknown account: "&amp;V1339,IF(K1339="","Select Paid From / Deposited To",IF(ISNA(MATCH(K1339,coa_Name,0)),"Unknown account: "&amp;K1339,IF(NOT(ISNUMBER(L1339)),"Enter an amount",IF(L1339=0,"Enter an amount",IF(ABS(W1339)&gt;ABS(L1339),"Tax is larger than the amount","")))))))))))))</f>
        <v/>
      </c>
      <c r="Y1339" s="67">
        <f>IF(OR(T1339=1,X1339&lt;&gt;""),"",IF(AND(B1339&lt;&gt;"",COUNTIF(tx_ID,B1339)&gt;1),"Duplicate transaction ID",IF(AND(L1339&lt;0,D1339&lt;&gt;"Adjustment"),"Negative amount — check this entry",IF(AND(D1339="Customer Payment",G1339=""),"Add the customer",IF(AND(D1339="Customer Payment",OR(J1339="",COUNTIF(ar_No,J1339&amp;"")=0)),"Invoice # in Reference not found on AR sheet",IF(AND(D1339="Bill Payment",H1339=""),"Add the vendor",IF(AND(D1339="Bill Payment",OR(J1339="",COUNTIFS(ap_No,J1339&amp;"",ap_Party,H1339&amp;"")=0)),"Bill # + vendor not found on AP sheet",IF(AND(ISNUMBER(M1339),N(M1339)&lt;&gt;0,W1339=0),"Tax ignored (tax tracking off, or not allowed for this type)",IF(V1339=K1339&amp;"","Same account on both sides",IF(AND(ISNUMBER(StartDate),C1339&lt;StartDate),"Date is before the accounting start date",IF(AND(D1339&lt;&gt;"Adjustment",IFERROR(INDEX(coa_Pay,MATCH(K1339&amp;"",coa_Name,0)),"")&lt;&gt;"Yes"),"Paid From / Deposited To is not a payment account","")))))))))))</f>
        <v/>
      </c>
      <c r="Z1339" s="67">
        <f>IF(AND(T1339=0,X1339=""),1,0)</f>
        <v/>
      </c>
      <c r="AA1339" s="68">
        <f>IF(Z1339=1,IF(U1339="In",L1339,L1339-W1339),0)</f>
        <v/>
      </c>
      <c r="AB1339" s="68">
        <f>IF(Z1339=1,IF(U1339="In",L1339-W1339,L1339),0)</f>
        <v/>
      </c>
      <c r="AC1339" s="68">
        <f>IF(AND(Z1339=1,U1339="Out"),W1339,0)</f>
        <v/>
      </c>
      <c r="AD1339" s="68">
        <f>IF(AND(Z1339=1,U1339="In"),W1339,0)</f>
        <v/>
      </c>
    </row>
    <row r="1340">
      <c r="B1340" s="62" t="inlineStr">
        <is>
          <t>TX-1334</t>
        </is>
      </c>
      <c r="C1340" s="63" t="n"/>
      <c r="D1340" s="62" t="n"/>
      <c r="E1340" s="62" t="n"/>
      <c r="F1340" s="62" t="n"/>
      <c r="G1340" s="62" t="n"/>
      <c r="H1340" s="62" t="n"/>
      <c r="I1340" s="62" t="n"/>
      <c r="J1340" s="62" t="n"/>
      <c r="K1340" s="62" t="n"/>
      <c r="L1340" s="64" t="n"/>
      <c r="M1340" s="64" t="n"/>
      <c r="N1340" s="62" t="n"/>
      <c r="O1340" s="65">
        <f>IF(Z1340=1,L1340-W1340,"")</f>
        <v/>
      </c>
      <c r="P1340" s="66">
        <f>IF(V1340="","",IFERROR(INDEX(coa_Type,MATCH(V1340,coa_Name,0)),""))</f>
        <v/>
      </c>
      <c r="Q1340" s="66">
        <f>IF(Z1340=1,IF(U1340="In",K1340&amp;"",V1340),"")</f>
        <v/>
      </c>
      <c r="R1340" s="66">
        <f>IF(Z1340=1,IF(U1340="In",V1340,K1340&amp;""),"")</f>
        <v/>
      </c>
      <c r="S1340" s="66">
        <f>IF(X1340&lt;&gt;"","⛔ "&amp;X1340&amp;" — not posted",IF(Y1340&lt;&gt;"","⚠ "&amp;Y1340,IF(Z1340=1,"✓ OK","")))</f>
        <v/>
      </c>
      <c r="T1340" s="67">
        <f>IF(AND(C1340="",D1340="",E1340="",L1340="",K1340=""),1,0)</f>
        <v/>
      </c>
      <c r="U1340" s="67">
        <f>IFERROR(INDEX(tt_Dir,MATCH(D1340,tt_Type,0)),"")</f>
        <v/>
      </c>
      <c r="V1340" s="67">
        <f>IF(D1340="","",IFERROR(IF(INDEX(tt_Other,MATCH(D1340,tt_Type,0))="",E1340&amp;"",INDEX(tt_Other,MATCH(D1340,tt_Type,0))),""))</f>
        <v/>
      </c>
      <c r="W1340" s="68">
        <f>IF(OR(TaxOn&lt;&gt;"Yes",NOT(ISNUMBER(M1340))),0,IF(IFERROR(INDEX(tt_Tax,MATCH(D1340,tt_Type,0)),"No")="Yes",M1340,0))</f>
        <v/>
      </c>
      <c r="X1340" s="67">
        <f>IF(T1340=1,"",IF(C1340="","Missing transaction date",IF(NOT(ISNUMBER(C1340)),"Invalid date",IF(OR(C1340&lt;DATE(2000,1,1),C1340&gt;DATE(2099,12,31)),"Invalid date",IF(D1340="","Select a type",IF(U1340="","Unknown type: "&amp;D1340,IF(V1340="","Select an account (Category)",IF(ISNA(MATCH(V1340,coa_Name,0)),"Unknown account: "&amp;V1340,IF(K1340="","Select Paid From / Deposited To",IF(ISNA(MATCH(K1340,coa_Name,0)),"Unknown account: "&amp;K1340,IF(NOT(ISNUMBER(L1340)),"Enter an amount",IF(L1340=0,"Enter an amount",IF(ABS(W1340)&gt;ABS(L1340),"Tax is larger than the amount","")))))))))))))</f>
        <v/>
      </c>
      <c r="Y1340" s="67">
        <f>IF(OR(T1340=1,X1340&lt;&gt;""),"",IF(AND(B1340&lt;&gt;"",COUNTIF(tx_ID,B1340)&gt;1),"Duplicate transaction ID",IF(AND(L1340&lt;0,D1340&lt;&gt;"Adjustment"),"Negative amount — check this entry",IF(AND(D1340="Customer Payment",G1340=""),"Add the customer",IF(AND(D1340="Customer Payment",OR(J1340="",COUNTIF(ar_No,J1340&amp;"")=0)),"Invoice # in Reference not found on AR sheet",IF(AND(D1340="Bill Payment",H1340=""),"Add the vendor",IF(AND(D1340="Bill Payment",OR(J1340="",COUNTIFS(ap_No,J1340&amp;"",ap_Party,H1340&amp;"")=0)),"Bill # + vendor not found on AP sheet",IF(AND(ISNUMBER(M1340),N(M1340)&lt;&gt;0,W1340=0),"Tax ignored (tax tracking off, or not allowed for this type)",IF(V1340=K1340&amp;"","Same account on both sides",IF(AND(ISNUMBER(StartDate),C1340&lt;StartDate),"Date is before the accounting start date",IF(AND(D1340&lt;&gt;"Adjustment",IFERROR(INDEX(coa_Pay,MATCH(K1340&amp;"",coa_Name,0)),"")&lt;&gt;"Yes"),"Paid From / Deposited To is not a payment account","")))))))))))</f>
        <v/>
      </c>
      <c r="Z1340" s="67">
        <f>IF(AND(T1340=0,X1340=""),1,0)</f>
        <v/>
      </c>
      <c r="AA1340" s="68">
        <f>IF(Z1340=1,IF(U1340="In",L1340,L1340-W1340),0)</f>
        <v/>
      </c>
      <c r="AB1340" s="68">
        <f>IF(Z1340=1,IF(U1340="In",L1340-W1340,L1340),0)</f>
        <v/>
      </c>
      <c r="AC1340" s="68">
        <f>IF(AND(Z1340=1,U1340="Out"),W1340,0)</f>
        <v/>
      </c>
      <c r="AD1340" s="68">
        <f>IF(AND(Z1340=1,U1340="In"),W1340,0)</f>
        <v/>
      </c>
    </row>
    <row r="1341">
      <c r="B1341" s="62" t="inlineStr">
        <is>
          <t>TX-1335</t>
        </is>
      </c>
      <c r="C1341" s="63" t="n"/>
      <c r="D1341" s="62" t="n"/>
      <c r="E1341" s="62" t="n"/>
      <c r="F1341" s="62" t="n"/>
      <c r="G1341" s="62" t="n"/>
      <c r="H1341" s="62" t="n"/>
      <c r="I1341" s="62" t="n"/>
      <c r="J1341" s="62" t="n"/>
      <c r="K1341" s="62" t="n"/>
      <c r="L1341" s="64" t="n"/>
      <c r="M1341" s="64" t="n"/>
      <c r="N1341" s="62" t="n"/>
      <c r="O1341" s="65">
        <f>IF(Z1341=1,L1341-W1341,"")</f>
        <v/>
      </c>
      <c r="P1341" s="66">
        <f>IF(V1341="","",IFERROR(INDEX(coa_Type,MATCH(V1341,coa_Name,0)),""))</f>
        <v/>
      </c>
      <c r="Q1341" s="66">
        <f>IF(Z1341=1,IF(U1341="In",K1341&amp;"",V1341),"")</f>
        <v/>
      </c>
      <c r="R1341" s="66">
        <f>IF(Z1341=1,IF(U1341="In",V1341,K1341&amp;""),"")</f>
        <v/>
      </c>
      <c r="S1341" s="66">
        <f>IF(X1341&lt;&gt;"","⛔ "&amp;X1341&amp;" — not posted",IF(Y1341&lt;&gt;"","⚠ "&amp;Y1341,IF(Z1341=1,"✓ OK","")))</f>
        <v/>
      </c>
      <c r="T1341" s="67">
        <f>IF(AND(C1341="",D1341="",E1341="",L1341="",K1341=""),1,0)</f>
        <v/>
      </c>
      <c r="U1341" s="67">
        <f>IFERROR(INDEX(tt_Dir,MATCH(D1341,tt_Type,0)),"")</f>
        <v/>
      </c>
      <c r="V1341" s="67">
        <f>IF(D1341="","",IFERROR(IF(INDEX(tt_Other,MATCH(D1341,tt_Type,0))="",E1341&amp;"",INDEX(tt_Other,MATCH(D1341,tt_Type,0))),""))</f>
        <v/>
      </c>
      <c r="W1341" s="68">
        <f>IF(OR(TaxOn&lt;&gt;"Yes",NOT(ISNUMBER(M1341))),0,IF(IFERROR(INDEX(tt_Tax,MATCH(D1341,tt_Type,0)),"No")="Yes",M1341,0))</f>
        <v/>
      </c>
      <c r="X1341" s="67">
        <f>IF(T1341=1,"",IF(C1341="","Missing transaction date",IF(NOT(ISNUMBER(C1341)),"Invalid date",IF(OR(C1341&lt;DATE(2000,1,1),C1341&gt;DATE(2099,12,31)),"Invalid date",IF(D1341="","Select a type",IF(U1341="","Unknown type: "&amp;D1341,IF(V1341="","Select an account (Category)",IF(ISNA(MATCH(V1341,coa_Name,0)),"Unknown account: "&amp;V1341,IF(K1341="","Select Paid From / Deposited To",IF(ISNA(MATCH(K1341,coa_Name,0)),"Unknown account: "&amp;K1341,IF(NOT(ISNUMBER(L1341)),"Enter an amount",IF(L1341=0,"Enter an amount",IF(ABS(W1341)&gt;ABS(L1341),"Tax is larger than the amount","")))))))))))))</f>
        <v/>
      </c>
      <c r="Y1341" s="67">
        <f>IF(OR(T1341=1,X1341&lt;&gt;""),"",IF(AND(B1341&lt;&gt;"",COUNTIF(tx_ID,B1341)&gt;1),"Duplicate transaction ID",IF(AND(L1341&lt;0,D1341&lt;&gt;"Adjustment"),"Negative amount — check this entry",IF(AND(D1341="Customer Payment",G1341=""),"Add the customer",IF(AND(D1341="Customer Payment",OR(J1341="",COUNTIF(ar_No,J1341&amp;"")=0)),"Invoice # in Reference not found on AR sheet",IF(AND(D1341="Bill Payment",H1341=""),"Add the vendor",IF(AND(D1341="Bill Payment",OR(J1341="",COUNTIFS(ap_No,J1341&amp;"",ap_Party,H1341&amp;"")=0)),"Bill # + vendor not found on AP sheet",IF(AND(ISNUMBER(M1341),N(M1341)&lt;&gt;0,W1341=0),"Tax ignored (tax tracking off, or not allowed for this type)",IF(V1341=K1341&amp;"","Same account on both sides",IF(AND(ISNUMBER(StartDate),C1341&lt;StartDate),"Date is before the accounting start date",IF(AND(D1341&lt;&gt;"Adjustment",IFERROR(INDEX(coa_Pay,MATCH(K1341&amp;"",coa_Name,0)),"")&lt;&gt;"Yes"),"Paid From / Deposited To is not a payment account","")))))))))))</f>
        <v/>
      </c>
      <c r="Z1341" s="67">
        <f>IF(AND(T1341=0,X1341=""),1,0)</f>
        <v/>
      </c>
      <c r="AA1341" s="68">
        <f>IF(Z1341=1,IF(U1341="In",L1341,L1341-W1341),0)</f>
        <v/>
      </c>
      <c r="AB1341" s="68">
        <f>IF(Z1341=1,IF(U1341="In",L1341-W1341,L1341),0)</f>
        <v/>
      </c>
      <c r="AC1341" s="68">
        <f>IF(AND(Z1341=1,U1341="Out"),W1341,0)</f>
        <v/>
      </c>
      <c r="AD1341" s="68">
        <f>IF(AND(Z1341=1,U1341="In"),W1341,0)</f>
        <v/>
      </c>
    </row>
    <row r="1342">
      <c r="B1342" s="62" t="inlineStr">
        <is>
          <t>TX-1336</t>
        </is>
      </c>
      <c r="C1342" s="63" t="n"/>
      <c r="D1342" s="62" t="n"/>
      <c r="E1342" s="62" t="n"/>
      <c r="F1342" s="62" t="n"/>
      <c r="G1342" s="62" t="n"/>
      <c r="H1342" s="62" t="n"/>
      <c r="I1342" s="62" t="n"/>
      <c r="J1342" s="62" t="n"/>
      <c r="K1342" s="62" t="n"/>
      <c r="L1342" s="64" t="n"/>
      <c r="M1342" s="64" t="n"/>
      <c r="N1342" s="62" t="n"/>
      <c r="O1342" s="65">
        <f>IF(Z1342=1,L1342-W1342,"")</f>
        <v/>
      </c>
      <c r="P1342" s="66">
        <f>IF(V1342="","",IFERROR(INDEX(coa_Type,MATCH(V1342,coa_Name,0)),""))</f>
        <v/>
      </c>
      <c r="Q1342" s="66">
        <f>IF(Z1342=1,IF(U1342="In",K1342&amp;"",V1342),"")</f>
        <v/>
      </c>
      <c r="R1342" s="66">
        <f>IF(Z1342=1,IF(U1342="In",V1342,K1342&amp;""),"")</f>
        <v/>
      </c>
      <c r="S1342" s="66">
        <f>IF(X1342&lt;&gt;"","⛔ "&amp;X1342&amp;" — not posted",IF(Y1342&lt;&gt;"","⚠ "&amp;Y1342,IF(Z1342=1,"✓ OK","")))</f>
        <v/>
      </c>
      <c r="T1342" s="67">
        <f>IF(AND(C1342="",D1342="",E1342="",L1342="",K1342=""),1,0)</f>
        <v/>
      </c>
      <c r="U1342" s="67">
        <f>IFERROR(INDEX(tt_Dir,MATCH(D1342,tt_Type,0)),"")</f>
        <v/>
      </c>
      <c r="V1342" s="67">
        <f>IF(D1342="","",IFERROR(IF(INDEX(tt_Other,MATCH(D1342,tt_Type,0))="",E1342&amp;"",INDEX(tt_Other,MATCH(D1342,tt_Type,0))),""))</f>
        <v/>
      </c>
      <c r="W1342" s="68">
        <f>IF(OR(TaxOn&lt;&gt;"Yes",NOT(ISNUMBER(M1342))),0,IF(IFERROR(INDEX(tt_Tax,MATCH(D1342,tt_Type,0)),"No")="Yes",M1342,0))</f>
        <v/>
      </c>
      <c r="X1342" s="67">
        <f>IF(T1342=1,"",IF(C1342="","Missing transaction date",IF(NOT(ISNUMBER(C1342)),"Invalid date",IF(OR(C1342&lt;DATE(2000,1,1),C1342&gt;DATE(2099,12,31)),"Invalid date",IF(D1342="","Select a type",IF(U1342="","Unknown type: "&amp;D1342,IF(V1342="","Select an account (Category)",IF(ISNA(MATCH(V1342,coa_Name,0)),"Unknown account: "&amp;V1342,IF(K1342="","Select Paid From / Deposited To",IF(ISNA(MATCH(K1342,coa_Name,0)),"Unknown account: "&amp;K1342,IF(NOT(ISNUMBER(L1342)),"Enter an amount",IF(L1342=0,"Enter an amount",IF(ABS(W1342)&gt;ABS(L1342),"Tax is larger than the amount","")))))))))))))</f>
        <v/>
      </c>
      <c r="Y1342" s="67">
        <f>IF(OR(T1342=1,X1342&lt;&gt;""),"",IF(AND(B1342&lt;&gt;"",COUNTIF(tx_ID,B1342)&gt;1),"Duplicate transaction ID",IF(AND(L1342&lt;0,D1342&lt;&gt;"Adjustment"),"Negative amount — check this entry",IF(AND(D1342="Customer Payment",G1342=""),"Add the customer",IF(AND(D1342="Customer Payment",OR(J1342="",COUNTIF(ar_No,J1342&amp;"")=0)),"Invoice # in Reference not found on AR sheet",IF(AND(D1342="Bill Payment",H1342=""),"Add the vendor",IF(AND(D1342="Bill Payment",OR(J1342="",COUNTIFS(ap_No,J1342&amp;"",ap_Party,H1342&amp;"")=0)),"Bill # + vendor not found on AP sheet",IF(AND(ISNUMBER(M1342),N(M1342)&lt;&gt;0,W1342=0),"Tax ignored (tax tracking off, or not allowed for this type)",IF(V1342=K1342&amp;"","Same account on both sides",IF(AND(ISNUMBER(StartDate),C1342&lt;StartDate),"Date is before the accounting start date",IF(AND(D1342&lt;&gt;"Adjustment",IFERROR(INDEX(coa_Pay,MATCH(K1342&amp;"",coa_Name,0)),"")&lt;&gt;"Yes"),"Paid From / Deposited To is not a payment account","")))))))))))</f>
        <v/>
      </c>
      <c r="Z1342" s="67">
        <f>IF(AND(T1342=0,X1342=""),1,0)</f>
        <v/>
      </c>
      <c r="AA1342" s="68">
        <f>IF(Z1342=1,IF(U1342="In",L1342,L1342-W1342),0)</f>
        <v/>
      </c>
      <c r="AB1342" s="68">
        <f>IF(Z1342=1,IF(U1342="In",L1342-W1342,L1342),0)</f>
        <v/>
      </c>
      <c r="AC1342" s="68">
        <f>IF(AND(Z1342=1,U1342="Out"),W1342,0)</f>
        <v/>
      </c>
      <c r="AD1342" s="68">
        <f>IF(AND(Z1342=1,U1342="In"),W1342,0)</f>
        <v/>
      </c>
    </row>
    <row r="1343">
      <c r="B1343" s="62" t="inlineStr">
        <is>
          <t>TX-1337</t>
        </is>
      </c>
      <c r="C1343" s="63" t="n"/>
      <c r="D1343" s="62" t="n"/>
      <c r="E1343" s="62" t="n"/>
      <c r="F1343" s="62" t="n"/>
      <c r="G1343" s="62" t="n"/>
      <c r="H1343" s="62" t="n"/>
      <c r="I1343" s="62" t="n"/>
      <c r="J1343" s="62" t="n"/>
      <c r="K1343" s="62" t="n"/>
      <c r="L1343" s="64" t="n"/>
      <c r="M1343" s="64" t="n"/>
      <c r="N1343" s="62" t="n"/>
      <c r="O1343" s="65">
        <f>IF(Z1343=1,L1343-W1343,"")</f>
        <v/>
      </c>
      <c r="P1343" s="66">
        <f>IF(V1343="","",IFERROR(INDEX(coa_Type,MATCH(V1343,coa_Name,0)),""))</f>
        <v/>
      </c>
      <c r="Q1343" s="66">
        <f>IF(Z1343=1,IF(U1343="In",K1343&amp;"",V1343),"")</f>
        <v/>
      </c>
      <c r="R1343" s="66">
        <f>IF(Z1343=1,IF(U1343="In",V1343,K1343&amp;""),"")</f>
        <v/>
      </c>
      <c r="S1343" s="66">
        <f>IF(X1343&lt;&gt;"","⛔ "&amp;X1343&amp;" — not posted",IF(Y1343&lt;&gt;"","⚠ "&amp;Y1343,IF(Z1343=1,"✓ OK","")))</f>
        <v/>
      </c>
      <c r="T1343" s="67">
        <f>IF(AND(C1343="",D1343="",E1343="",L1343="",K1343=""),1,0)</f>
        <v/>
      </c>
      <c r="U1343" s="67">
        <f>IFERROR(INDEX(tt_Dir,MATCH(D1343,tt_Type,0)),"")</f>
        <v/>
      </c>
      <c r="V1343" s="67">
        <f>IF(D1343="","",IFERROR(IF(INDEX(tt_Other,MATCH(D1343,tt_Type,0))="",E1343&amp;"",INDEX(tt_Other,MATCH(D1343,tt_Type,0))),""))</f>
        <v/>
      </c>
      <c r="W1343" s="68">
        <f>IF(OR(TaxOn&lt;&gt;"Yes",NOT(ISNUMBER(M1343))),0,IF(IFERROR(INDEX(tt_Tax,MATCH(D1343,tt_Type,0)),"No")="Yes",M1343,0))</f>
        <v/>
      </c>
      <c r="X1343" s="67">
        <f>IF(T1343=1,"",IF(C1343="","Missing transaction date",IF(NOT(ISNUMBER(C1343)),"Invalid date",IF(OR(C1343&lt;DATE(2000,1,1),C1343&gt;DATE(2099,12,31)),"Invalid date",IF(D1343="","Select a type",IF(U1343="","Unknown type: "&amp;D1343,IF(V1343="","Select an account (Category)",IF(ISNA(MATCH(V1343,coa_Name,0)),"Unknown account: "&amp;V1343,IF(K1343="","Select Paid From / Deposited To",IF(ISNA(MATCH(K1343,coa_Name,0)),"Unknown account: "&amp;K1343,IF(NOT(ISNUMBER(L1343)),"Enter an amount",IF(L1343=0,"Enter an amount",IF(ABS(W1343)&gt;ABS(L1343),"Tax is larger than the amount","")))))))))))))</f>
        <v/>
      </c>
      <c r="Y1343" s="67">
        <f>IF(OR(T1343=1,X1343&lt;&gt;""),"",IF(AND(B1343&lt;&gt;"",COUNTIF(tx_ID,B1343)&gt;1),"Duplicate transaction ID",IF(AND(L1343&lt;0,D1343&lt;&gt;"Adjustment"),"Negative amount — check this entry",IF(AND(D1343="Customer Payment",G1343=""),"Add the customer",IF(AND(D1343="Customer Payment",OR(J1343="",COUNTIF(ar_No,J1343&amp;"")=0)),"Invoice # in Reference not found on AR sheet",IF(AND(D1343="Bill Payment",H1343=""),"Add the vendor",IF(AND(D1343="Bill Payment",OR(J1343="",COUNTIFS(ap_No,J1343&amp;"",ap_Party,H1343&amp;"")=0)),"Bill # + vendor not found on AP sheet",IF(AND(ISNUMBER(M1343),N(M1343)&lt;&gt;0,W1343=0),"Tax ignored (tax tracking off, or not allowed for this type)",IF(V1343=K1343&amp;"","Same account on both sides",IF(AND(ISNUMBER(StartDate),C1343&lt;StartDate),"Date is before the accounting start date",IF(AND(D1343&lt;&gt;"Adjustment",IFERROR(INDEX(coa_Pay,MATCH(K1343&amp;"",coa_Name,0)),"")&lt;&gt;"Yes"),"Paid From / Deposited To is not a payment account","")))))))))))</f>
        <v/>
      </c>
      <c r="Z1343" s="67">
        <f>IF(AND(T1343=0,X1343=""),1,0)</f>
        <v/>
      </c>
      <c r="AA1343" s="68">
        <f>IF(Z1343=1,IF(U1343="In",L1343,L1343-W1343),0)</f>
        <v/>
      </c>
      <c r="AB1343" s="68">
        <f>IF(Z1343=1,IF(U1343="In",L1343-W1343,L1343),0)</f>
        <v/>
      </c>
      <c r="AC1343" s="68">
        <f>IF(AND(Z1343=1,U1343="Out"),W1343,0)</f>
        <v/>
      </c>
      <c r="AD1343" s="68">
        <f>IF(AND(Z1343=1,U1343="In"),W1343,0)</f>
        <v/>
      </c>
    </row>
    <row r="1344">
      <c r="B1344" s="62" t="inlineStr">
        <is>
          <t>TX-1338</t>
        </is>
      </c>
      <c r="C1344" s="63" t="n"/>
      <c r="D1344" s="62" t="n"/>
      <c r="E1344" s="62" t="n"/>
      <c r="F1344" s="62" t="n"/>
      <c r="G1344" s="62" t="n"/>
      <c r="H1344" s="62" t="n"/>
      <c r="I1344" s="62" t="n"/>
      <c r="J1344" s="62" t="n"/>
      <c r="K1344" s="62" t="n"/>
      <c r="L1344" s="64" t="n"/>
      <c r="M1344" s="64" t="n"/>
      <c r="N1344" s="62" t="n"/>
      <c r="O1344" s="65">
        <f>IF(Z1344=1,L1344-W1344,"")</f>
        <v/>
      </c>
      <c r="P1344" s="66">
        <f>IF(V1344="","",IFERROR(INDEX(coa_Type,MATCH(V1344,coa_Name,0)),""))</f>
        <v/>
      </c>
      <c r="Q1344" s="66">
        <f>IF(Z1344=1,IF(U1344="In",K1344&amp;"",V1344),"")</f>
        <v/>
      </c>
      <c r="R1344" s="66">
        <f>IF(Z1344=1,IF(U1344="In",V1344,K1344&amp;""),"")</f>
        <v/>
      </c>
      <c r="S1344" s="66">
        <f>IF(X1344&lt;&gt;"","⛔ "&amp;X1344&amp;" — not posted",IF(Y1344&lt;&gt;"","⚠ "&amp;Y1344,IF(Z1344=1,"✓ OK","")))</f>
        <v/>
      </c>
      <c r="T1344" s="67">
        <f>IF(AND(C1344="",D1344="",E1344="",L1344="",K1344=""),1,0)</f>
        <v/>
      </c>
      <c r="U1344" s="67">
        <f>IFERROR(INDEX(tt_Dir,MATCH(D1344,tt_Type,0)),"")</f>
        <v/>
      </c>
      <c r="V1344" s="67">
        <f>IF(D1344="","",IFERROR(IF(INDEX(tt_Other,MATCH(D1344,tt_Type,0))="",E1344&amp;"",INDEX(tt_Other,MATCH(D1344,tt_Type,0))),""))</f>
        <v/>
      </c>
      <c r="W1344" s="68">
        <f>IF(OR(TaxOn&lt;&gt;"Yes",NOT(ISNUMBER(M1344))),0,IF(IFERROR(INDEX(tt_Tax,MATCH(D1344,tt_Type,0)),"No")="Yes",M1344,0))</f>
        <v/>
      </c>
      <c r="X1344" s="67">
        <f>IF(T1344=1,"",IF(C1344="","Missing transaction date",IF(NOT(ISNUMBER(C1344)),"Invalid date",IF(OR(C1344&lt;DATE(2000,1,1),C1344&gt;DATE(2099,12,31)),"Invalid date",IF(D1344="","Select a type",IF(U1344="","Unknown type: "&amp;D1344,IF(V1344="","Select an account (Category)",IF(ISNA(MATCH(V1344,coa_Name,0)),"Unknown account: "&amp;V1344,IF(K1344="","Select Paid From / Deposited To",IF(ISNA(MATCH(K1344,coa_Name,0)),"Unknown account: "&amp;K1344,IF(NOT(ISNUMBER(L1344)),"Enter an amount",IF(L1344=0,"Enter an amount",IF(ABS(W1344)&gt;ABS(L1344),"Tax is larger than the amount","")))))))))))))</f>
        <v/>
      </c>
      <c r="Y1344" s="67">
        <f>IF(OR(T1344=1,X1344&lt;&gt;""),"",IF(AND(B1344&lt;&gt;"",COUNTIF(tx_ID,B1344)&gt;1),"Duplicate transaction ID",IF(AND(L1344&lt;0,D1344&lt;&gt;"Adjustment"),"Negative amount — check this entry",IF(AND(D1344="Customer Payment",G1344=""),"Add the customer",IF(AND(D1344="Customer Payment",OR(J1344="",COUNTIF(ar_No,J1344&amp;"")=0)),"Invoice # in Reference not found on AR sheet",IF(AND(D1344="Bill Payment",H1344=""),"Add the vendor",IF(AND(D1344="Bill Payment",OR(J1344="",COUNTIFS(ap_No,J1344&amp;"",ap_Party,H1344&amp;"")=0)),"Bill # + vendor not found on AP sheet",IF(AND(ISNUMBER(M1344),N(M1344)&lt;&gt;0,W1344=0),"Tax ignored (tax tracking off, or not allowed for this type)",IF(V1344=K1344&amp;"","Same account on both sides",IF(AND(ISNUMBER(StartDate),C1344&lt;StartDate),"Date is before the accounting start date",IF(AND(D1344&lt;&gt;"Adjustment",IFERROR(INDEX(coa_Pay,MATCH(K1344&amp;"",coa_Name,0)),"")&lt;&gt;"Yes"),"Paid From / Deposited To is not a payment account","")))))))))))</f>
        <v/>
      </c>
      <c r="Z1344" s="67">
        <f>IF(AND(T1344=0,X1344=""),1,0)</f>
        <v/>
      </c>
      <c r="AA1344" s="68">
        <f>IF(Z1344=1,IF(U1344="In",L1344,L1344-W1344),0)</f>
        <v/>
      </c>
      <c r="AB1344" s="68">
        <f>IF(Z1344=1,IF(U1344="In",L1344-W1344,L1344),0)</f>
        <v/>
      </c>
      <c r="AC1344" s="68">
        <f>IF(AND(Z1344=1,U1344="Out"),W1344,0)</f>
        <v/>
      </c>
      <c r="AD1344" s="68">
        <f>IF(AND(Z1344=1,U1344="In"),W1344,0)</f>
        <v/>
      </c>
    </row>
    <row r="1345">
      <c r="B1345" s="62" t="inlineStr">
        <is>
          <t>TX-1339</t>
        </is>
      </c>
      <c r="C1345" s="63" t="n"/>
      <c r="D1345" s="62" t="n"/>
      <c r="E1345" s="62" t="n"/>
      <c r="F1345" s="62" t="n"/>
      <c r="G1345" s="62" t="n"/>
      <c r="H1345" s="62" t="n"/>
      <c r="I1345" s="62" t="n"/>
      <c r="J1345" s="62" t="n"/>
      <c r="K1345" s="62" t="n"/>
      <c r="L1345" s="64" t="n"/>
      <c r="M1345" s="64" t="n"/>
      <c r="N1345" s="62" t="n"/>
      <c r="O1345" s="65">
        <f>IF(Z1345=1,L1345-W1345,"")</f>
        <v/>
      </c>
      <c r="P1345" s="66">
        <f>IF(V1345="","",IFERROR(INDEX(coa_Type,MATCH(V1345,coa_Name,0)),""))</f>
        <v/>
      </c>
      <c r="Q1345" s="66">
        <f>IF(Z1345=1,IF(U1345="In",K1345&amp;"",V1345),"")</f>
        <v/>
      </c>
      <c r="R1345" s="66">
        <f>IF(Z1345=1,IF(U1345="In",V1345,K1345&amp;""),"")</f>
        <v/>
      </c>
      <c r="S1345" s="66">
        <f>IF(X1345&lt;&gt;"","⛔ "&amp;X1345&amp;" — not posted",IF(Y1345&lt;&gt;"","⚠ "&amp;Y1345,IF(Z1345=1,"✓ OK","")))</f>
        <v/>
      </c>
      <c r="T1345" s="67">
        <f>IF(AND(C1345="",D1345="",E1345="",L1345="",K1345=""),1,0)</f>
        <v/>
      </c>
      <c r="U1345" s="67">
        <f>IFERROR(INDEX(tt_Dir,MATCH(D1345,tt_Type,0)),"")</f>
        <v/>
      </c>
      <c r="V1345" s="67">
        <f>IF(D1345="","",IFERROR(IF(INDEX(tt_Other,MATCH(D1345,tt_Type,0))="",E1345&amp;"",INDEX(tt_Other,MATCH(D1345,tt_Type,0))),""))</f>
        <v/>
      </c>
      <c r="W1345" s="68">
        <f>IF(OR(TaxOn&lt;&gt;"Yes",NOT(ISNUMBER(M1345))),0,IF(IFERROR(INDEX(tt_Tax,MATCH(D1345,tt_Type,0)),"No")="Yes",M1345,0))</f>
        <v/>
      </c>
      <c r="X1345" s="67">
        <f>IF(T1345=1,"",IF(C1345="","Missing transaction date",IF(NOT(ISNUMBER(C1345)),"Invalid date",IF(OR(C1345&lt;DATE(2000,1,1),C1345&gt;DATE(2099,12,31)),"Invalid date",IF(D1345="","Select a type",IF(U1345="","Unknown type: "&amp;D1345,IF(V1345="","Select an account (Category)",IF(ISNA(MATCH(V1345,coa_Name,0)),"Unknown account: "&amp;V1345,IF(K1345="","Select Paid From / Deposited To",IF(ISNA(MATCH(K1345,coa_Name,0)),"Unknown account: "&amp;K1345,IF(NOT(ISNUMBER(L1345)),"Enter an amount",IF(L1345=0,"Enter an amount",IF(ABS(W1345)&gt;ABS(L1345),"Tax is larger than the amount","")))))))))))))</f>
        <v/>
      </c>
      <c r="Y1345" s="67">
        <f>IF(OR(T1345=1,X1345&lt;&gt;""),"",IF(AND(B1345&lt;&gt;"",COUNTIF(tx_ID,B1345)&gt;1),"Duplicate transaction ID",IF(AND(L1345&lt;0,D1345&lt;&gt;"Adjustment"),"Negative amount — check this entry",IF(AND(D1345="Customer Payment",G1345=""),"Add the customer",IF(AND(D1345="Customer Payment",OR(J1345="",COUNTIF(ar_No,J1345&amp;"")=0)),"Invoice # in Reference not found on AR sheet",IF(AND(D1345="Bill Payment",H1345=""),"Add the vendor",IF(AND(D1345="Bill Payment",OR(J1345="",COUNTIFS(ap_No,J1345&amp;"",ap_Party,H1345&amp;"")=0)),"Bill # + vendor not found on AP sheet",IF(AND(ISNUMBER(M1345),N(M1345)&lt;&gt;0,W1345=0),"Tax ignored (tax tracking off, or not allowed for this type)",IF(V1345=K1345&amp;"","Same account on both sides",IF(AND(ISNUMBER(StartDate),C1345&lt;StartDate),"Date is before the accounting start date",IF(AND(D1345&lt;&gt;"Adjustment",IFERROR(INDEX(coa_Pay,MATCH(K1345&amp;"",coa_Name,0)),"")&lt;&gt;"Yes"),"Paid From / Deposited To is not a payment account","")))))))))))</f>
        <v/>
      </c>
      <c r="Z1345" s="67">
        <f>IF(AND(T1345=0,X1345=""),1,0)</f>
        <v/>
      </c>
      <c r="AA1345" s="68">
        <f>IF(Z1345=1,IF(U1345="In",L1345,L1345-W1345),0)</f>
        <v/>
      </c>
      <c r="AB1345" s="68">
        <f>IF(Z1345=1,IF(U1345="In",L1345-W1345,L1345),0)</f>
        <v/>
      </c>
      <c r="AC1345" s="68">
        <f>IF(AND(Z1345=1,U1345="Out"),W1345,0)</f>
        <v/>
      </c>
      <c r="AD1345" s="68">
        <f>IF(AND(Z1345=1,U1345="In"),W1345,0)</f>
        <v/>
      </c>
    </row>
    <row r="1346">
      <c r="B1346" s="62" t="inlineStr">
        <is>
          <t>TX-1340</t>
        </is>
      </c>
      <c r="C1346" s="63" t="n"/>
      <c r="D1346" s="62" t="n"/>
      <c r="E1346" s="62" t="n"/>
      <c r="F1346" s="62" t="n"/>
      <c r="G1346" s="62" t="n"/>
      <c r="H1346" s="62" t="n"/>
      <c r="I1346" s="62" t="n"/>
      <c r="J1346" s="62" t="n"/>
      <c r="K1346" s="62" t="n"/>
      <c r="L1346" s="64" t="n"/>
      <c r="M1346" s="64" t="n"/>
      <c r="N1346" s="62" t="n"/>
      <c r="O1346" s="65">
        <f>IF(Z1346=1,L1346-W1346,"")</f>
        <v/>
      </c>
      <c r="P1346" s="66">
        <f>IF(V1346="","",IFERROR(INDEX(coa_Type,MATCH(V1346,coa_Name,0)),""))</f>
        <v/>
      </c>
      <c r="Q1346" s="66">
        <f>IF(Z1346=1,IF(U1346="In",K1346&amp;"",V1346),"")</f>
        <v/>
      </c>
      <c r="R1346" s="66">
        <f>IF(Z1346=1,IF(U1346="In",V1346,K1346&amp;""),"")</f>
        <v/>
      </c>
      <c r="S1346" s="66">
        <f>IF(X1346&lt;&gt;"","⛔ "&amp;X1346&amp;" — not posted",IF(Y1346&lt;&gt;"","⚠ "&amp;Y1346,IF(Z1346=1,"✓ OK","")))</f>
        <v/>
      </c>
      <c r="T1346" s="67">
        <f>IF(AND(C1346="",D1346="",E1346="",L1346="",K1346=""),1,0)</f>
        <v/>
      </c>
      <c r="U1346" s="67">
        <f>IFERROR(INDEX(tt_Dir,MATCH(D1346,tt_Type,0)),"")</f>
        <v/>
      </c>
      <c r="V1346" s="67">
        <f>IF(D1346="","",IFERROR(IF(INDEX(tt_Other,MATCH(D1346,tt_Type,0))="",E1346&amp;"",INDEX(tt_Other,MATCH(D1346,tt_Type,0))),""))</f>
        <v/>
      </c>
      <c r="W1346" s="68">
        <f>IF(OR(TaxOn&lt;&gt;"Yes",NOT(ISNUMBER(M1346))),0,IF(IFERROR(INDEX(tt_Tax,MATCH(D1346,tt_Type,0)),"No")="Yes",M1346,0))</f>
        <v/>
      </c>
      <c r="X1346" s="67">
        <f>IF(T1346=1,"",IF(C1346="","Missing transaction date",IF(NOT(ISNUMBER(C1346)),"Invalid date",IF(OR(C1346&lt;DATE(2000,1,1),C1346&gt;DATE(2099,12,31)),"Invalid date",IF(D1346="","Select a type",IF(U1346="","Unknown type: "&amp;D1346,IF(V1346="","Select an account (Category)",IF(ISNA(MATCH(V1346,coa_Name,0)),"Unknown account: "&amp;V1346,IF(K1346="","Select Paid From / Deposited To",IF(ISNA(MATCH(K1346,coa_Name,0)),"Unknown account: "&amp;K1346,IF(NOT(ISNUMBER(L1346)),"Enter an amount",IF(L1346=0,"Enter an amount",IF(ABS(W1346)&gt;ABS(L1346),"Tax is larger than the amount","")))))))))))))</f>
        <v/>
      </c>
      <c r="Y1346" s="67">
        <f>IF(OR(T1346=1,X1346&lt;&gt;""),"",IF(AND(B1346&lt;&gt;"",COUNTIF(tx_ID,B1346)&gt;1),"Duplicate transaction ID",IF(AND(L1346&lt;0,D1346&lt;&gt;"Adjustment"),"Negative amount — check this entry",IF(AND(D1346="Customer Payment",G1346=""),"Add the customer",IF(AND(D1346="Customer Payment",OR(J1346="",COUNTIF(ar_No,J1346&amp;"")=0)),"Invoice # in Reference not found on AR sheet",IF(AND(D1346="Bill Payment",H1346=""),"Add the vendor",IF(AND(D1346="Bill Payment",OR(J1346="",COUNTIFS(ap_No,J1346&amp;"",ap_Party,H1346&amp;"")=0)),"Bill # + vendor not found on AP sheet",IF(AND(ISNUMBER(M1346),N(M1346)&lt;&gt;0,W1346=0),"Tax ignored (tax tracking off, or not allowed for this type)",IF(V1346=K1346&amp;"","Same account on both sides",IF(AND(ISNUMBER(StartDate),C1346&lt;StartDate),"Date is before the accounting start date",IF(AND(D1346&lt;&gt;"Adjustment",IFERROR(INDEX(coa_Pay,MATCH(K1346&amp;"",coa_Name,0)),"")&lt;&gt;"Yes"),"Paid From / Deposited To is not a payment account","")))))))))))</f>
        <v/>
      </c>
      <c r="Z1346" s="67">
        <f>IF(AND(T1346=0,X1346=""),1,0)</f>
        <v/>
      </c>
      <c r="AA1346" s="68">
        <f>IF(Z1346=1,IF(U1346="In",L1346,L1346-W1346),0)</f>
        <v/>
      </c>
      <c r="AB1346" s="68">
        <f>IF(Z1346=1,IF(U1346="In",L1346-W1346,L1346),0)</f>
        <v/>
      </c>
      <c r="AC1346" s="68">
        <f>IF(AND(Z1346=1,U1346="Out"),W1346,0)</f>
        <v/>
      </c>
      <c r="AD1346" s="68">
        <f>IF(AND(Z1346=1,U1346="In"),W1346,0)</f>
        <v/>
      </c>
    </row>
    <row r="1347">
      <c r="B1347" s="62" t="inlineStr">
        <is>
          <t>TX-1341</t>
        </is>
      </c>
      <c r="C1347" s="63" t="n"/>
      <c r="D1347" s="62" t="n"/>
      <c r="E1347" s="62" t="n"/>
      <c r="F1347" s="62" t="n"/>
      <c r="G1347" s="62" t="n"/>
      <c r="H1347" s="62" t="n"/>
      <c r="I1347" s="62" t="n"/>
      <c r="J1347" s="62" t="n"/>
      <c r="K1347" s="62" t="n"/>
      <c r="L1347" s="64" t="n"/>
      <c r="M1347" s="64" t="n"/>
      <c r="N1347" s="62" t="n"/>
      <c r="O1347" s="65">
        <f>IF(Z1347=1,L1347-W1347,"")</f>
        <v/>
      </c>
      <c r="P1347" s="66">
        <f>IF(V1347="","",IFERROR(INDEX(coa_Type,MATCH(V1347,coa_Name,0)),""))</f>
        <v/>
      </c>
      <c r="Q1347" s="66">
        <f>IF(Z1347=1,IF(U1347="In",K1347&amp;"",V1347),"")</f>
        <v/>
      </c>
      <c r="R1347" s="66">
        <f>IF(Z1347=1,IF(U1347="In",V1347,K1347&amp;""),"")</f>
        <v/>
      </c>
      <c r="S1347" s="66">
        <f>IF(X1347&lt;&gt;"","⛔ "&amp;X1347&amp;" — not posted",IF(Y1347&lt;&gt;"","⚠ "&amp;Y1347,IF(Z1347=1,"✓ OK","")))</f>
        <v/>
      </c>
      <c r="T1347" s="67">
        <f>IF(AND(C1347="",D1347="",E1347="",L1347="",K1347=""),1,0)</f>
        <v/>
      </c>
      <c r="U1347" s="67">
        <f>IFERROR(INDEX(tt_Dir,MATCH(D1347,tt_Type,0)),"")</f>
        <v/>
      </c>
      <c r="V1347" s="67">
        <f>IF(D1347="","",IFERROR(IF(INDEX(tt_Other,MATCH(D1347,tt_Type,0))="",E1347&amp;"",INDEX(tt_Other,MATCH(D1347,tt_Type,0))),""))</f>
        <v/>
      </c>
      <c r="W1347" s="68">
        <f>IF(OR(TaxOn&lt;&gt;"Yes",NOT(ISNUMBER(M1347))),0,IF(IFERROR(INDEX(tt_Tax,MATCH(D1347,tt_Type,0)),"No")="Yes",M1347,0))</f>
        <v/>
      </c>
      <c r="X1347" s="67">
        <f>IF(T1347=1,"",IF(C1347="","Missing transaction date",IF(NOT(ISNUMBER(C1347)),"Invalid date",IF(OR(C1347&lt;DATE(2000,1,1),C1347&gt;DATE(2099,12,31)),"Invalid date",IF(D1347="","Select a type",IF(U1347="","Unknown type: "&amp;D1347,IF(V1347="","Select an account (Category)",IF(ISNA(MATCH(V1347,coa_Name,0)),"Unknown account: "&amp;V1347,IF(K1347="","Select Paid From / Deposited To",IF(ISNA(MATCH(K1347,coa_Name,0)),"Unknown account: "&amp;K1347,IF(NOT(ISNUMBER(L1347)),"Enter an amount",IF(L1347=0,"Enter an amount",IF(ABS(W1347)&gt;ABS(L1347),"Tax is larger than the amount","")))))))))))))</f>
        <v/>
      </c>
      <c r="Y1347" s="67">
        <f>IF(OR(T1347=1,X1347&lt;&gt;""),"",IF(AND(B1347&lt;&gt;"",COUNTIF(tx_ID,B1347)&gt;1),"Duplicate transaction ID",IF(AND(L1347&lt;0,D1347&lt;&gt;"Adjustment"),"Negative amount — check this entry",IF(AND(D1347="Customer Payment",G1347=""),"Add the customer",IF(AND(D1347="Customer Payment",OR(J1347="",COUNTIF(ar_No,J1347&amp;"")=0)),"Invoice # in Reference not found on AR sheet",IF(AND(D1347="Bill Payment",H1347=""),"Add the vendor",IF(AND(D1347="Bill Payment",OR(J1347="",COUNTIFS(ap_No,J1347&amp;"",ap_Party,H1347&amp;"")=0)),"Bill # + vendor not found on AP sheet",IF(AND(ISNUMBER(M1347),N(M1347)&lt;&gt;0,W1347=0),"Tax ignored (tax tracking off, or not allowed for this type)",IF(V1347=K1347&amp;"","Same account on both sides",IF(AND(ISNUMBER(StartDate),C1347&lt;StartDate),"Date is before the accounting start date",IF(AND(D1347&lt;&gt;"Adjustment",IFERROR(INDEX(coa_Pay,MATCH(K1347&amp;"",coa_Name,0)),"")&lt;&gt;"Yes"),"Paid From / Deposited To is not a payment account","")))))))))))</f>
        <v/>
      </c>
      <c r="Z1347" s="67">
        <f>IF(AND(T1347=0,X1347=""),1,0)</f>
        <v/>
      </c>
      <c r="AA1347" s="68">
        <f>IF(Z1347=1,IF(U1347="In",L1347,L1347-W1347),0)</f>
        <v/>
      </c>
      <c r="AB1347" s="68">
        <f>IF(Z1347=1,IF(U1347="In",L1347-W1347,L1347),0)</f>
        <v/>
      </c>
      <c r="AC1347" s="68">
        <f>IF(AND(Z1347=1,U1347="Out"),W1347,0)</f>
        <v/>
      </c>
      <c r="AD1347" s="68">
        <f>IF(AND(Z1347=1,U1347="In"),W1347,0)</f>
        <v/>
      </c>
    </row>
    <row r="1348">
      <c r="B1348" s="62" t="inlineStr">
        <is>
          <t>TX-1342</t>
        </is>
      </c>
      <c r="C1348" s="63" t="n"/>
      <c r="D1348" s="62" t="n"/>
      <c r="E1348" s="62" t="n"/>
      <c r="F1348" s="62" t="n"/>
      <c r="G1348" s="62" t="n"/>
      <c r="H1348" s="62" t="n"/>
      <c r="I1348" s="62" t="n"/>
      <c r="J1348" s="62" t="n"/>
      <c r="K1348" s="62" t="n"/>
      <c r="L1348" s="64" t="n"/>
      <c r="M1348" s="64" t="n"/>
      <c r="N1348" s="62" t="n"/>
      <c r="O1348" s="65">
        <f>IF(Z1348=1,L1348-W1348,"")</f>
        <v/>
      </c>
      <c r="P1348" s="66">
        <f>IF(V1348="","",IFERROR(INDEX(coa_Type,MATCH(V1348,coa_Name,0)),""))</f>
        <v/>
      </c>
      <c r="Q1348" s="66">
        <f>IF(Z1348=1,IF(U1348="In",K1348&amp;"",V1348),"")</f>
        <v/>
      </c>
      <c r="R1348" s="66">
        <f>IF(Z1348=1,IF(U1348="In",V1348,K1348&amp;""),"")</f>
        <v/>
      </c>
      <c r="S1348" s="66">
        <f>IF(X1348&lt;&gt;"","⛔ "&amp;X1348&amp;" — not posted",IF(Y1348&lt;&gt;"","⚠ "&amp;Y1348,IF(Z1348=1,"✓ OK","")))</f>
        <v/>
      </c>
      <c r="T1348" s="67">
        <f>IF(AND(C1348="",D1348="",E1348="",L1348="",K1348=""),1,0)</f>
        <v/>
      </c>
      <c r="U1348" s="67">
        <f>IFERROR(INDEX(tt_Dir,MATCH(D1348,tt_Type,0)),"")</f>
        <v/>
      </c>
      <c r="V1348" s="67">
        <f>IF(D1348="","",IFERROR(IF(INDEX(tt_Other,MATCH(D1348,tt_Type,0))="",E1348&amp;"",INDEX(tt_Other,MATCH(D1348,tt_Type,0))),""))</f>
        <v/>
      </c>
      <c r="W1348" s="68">
        <f>IF(OR(TaxOn&lt;&gt;"Yes",NOT(ISNUMBER(M1348))),0,IF(IFERROR(INDEX(tt_Tax,MATCH(D1348,tt_Type,0)),"No")="Yes",M1348,0))</f>
        <v/>
      </c>
      <c r="X1348" s="67">
        <f>IF(T1348=1,"",IF(C1348="","Missing transaction date",IF(NOT(ISNUMBER(C1348)),"Invalid date",IF(OR(C1348&lt;DATE(2000,1,1),C1348&gt;DATE(2099,12,31)),"Invalid date",IF(D1348="","Select a type",IF(U1348="","Unknown type: "&amp;D1348,IF(V1348="","Select an account (Category)",IF(ISNA(MATCH(V1348,coa_Name,0)),"Unknown account: "&amp;V1348,IF(K1348="","Select Paid From / Deposited To",IF(ISNA(MATCH(K1348,coa_Name,0)),"Unknown account: "&amp;K1348,IF(NOT(ISNUMBER(L1348)),"Enter an amount",IF(L1348=0,"Enter an amount",IF(ABS(W1348)&gt;ABS(L1348),"Tax is larger than the amount","")))))))))))))</f>
        <v/>
      </c>
      <c r="Y1348" s="67">
        <f>IF(OR(T1348=1,X1348&lt;&gt;""),"",IF(AND(B1348&lt;&gt;"",COUNTIF(tx_ID,B1348)&gt;1),"Duplicate transaction ID",IF(AND(L1348&lt;0,D1348&lt;&gt;"Adjustment"),"Negative amount — check this entry",IF(AND(D1348="Customer Payment",G1348=""),"Add the customer",IF(AND(D1348="Customer Payment",OR(J1348="",COUNTIF(ar_No,J1348&amp;"")=0)),"Invoice # in Reference not found on AR sheet",IF(AND(D1348="Bill Payment",H1348=""),"Add the vendor",IF(AND(D1348="Bill Payment",OR(J1348="",COUNTIFS(ap_No,J1348&amp;"",ap_Party,H1348&amp;"")=0)),"Bill # + vendor not found on AP sheet",IF(AND(ISNUMBER(M1348),N(M1348)&lt;&gt;0,W1348=0),"Tax ignored (tax tracking off, or not allowed for this type)",IF(V1348=K1348&amp;"","Same account on both sides",IF(AND(ISNUMBER(StartDate),C1348&lt;StartDate),"Date is before the accounting start date",IF(AND(D1348&lt;&gt;"Adjustment",IFERROR(INDEX(coa_Pay,MATCH(K1348&amp;"",coa_Name,0)),"")&lt;&gt;"Yes"),"Paid From / Deposited To is not a payment account","")))))))))))</f>
        <v/>
      </c>
      <c r="Z1348" s="67">
        <f>IF(AND(T1348=0,X1348=""),1,0)</f>
        <v/>
      </c>
      <c r="AA1348" s="68">
        <f>IF(Z1348=1,IF(U1348="In",L1348,L1348-W1348),0)</f>
        <v/>
      </c>
      <c r="AB1348" s="68">
        <f>IF(Z1348=1,IF(U1348="In",L1348-W1348,L1348),0)</f>
        <v/>
      </c>
      <c r="AC1348" s="68">
        <f>IF(AND(Z1348=1,U1348="Out"),W1348,0)</f>
        <v/>
      </c>
      <c r="AD1348" s="68">
        <f>IF(AND(Z1348=1,U1348="In"),W1348,0)</f>
        <v/>
      </c>
    </row>
    <row r="1349">
      <c r="B1349" s="62" t="inlineStr">
        <is>
          <t>TX-1343</t>
        </is>
      </c>
      <c r="C1349" s="63" t="n"/>
      <c r="D1349" s="62" t="n"/>
      <c r="E1349" s="62" t="n"/>
      <c r="F1349" s="62" t="n"/>
      <c r="G1349" s="62" t="n"/>
      <c r="H1349" s="62" t="n"/>
      <c r="I1349" s="62" t="n"/>
      <c r="J1349" s="62" t="n"/>
      <c r="K1349" s="62" t="n"/>
      <c r="L1349" s="64" t="n"/>
      <c r="M1349" s="64" t="n"/>
      <c r="N1349" s="62" t="n"/>
      <c r="O1349" s="65">
        <f>IF(Z1349=1,L1349-W1349,"")</f>
        <v/>
      </c>
      <c r="P1349" s="66">
        <f>IF(V1349="","",IFERROR(INDEX(coa_Type,MATCH(V1349,coa_Name,0)),""))</f>
        <v/>
      </c>
      <c r="Q1349" s="66">
        <f>IF(Z1349=1,IF(U1349="In",K1349&amp;"",V1349),"")</f>
        <v/>
      </c>
      <c r="R1349" s="66">
        <f>IF(Z1349=1,IF(U1349="In",V1349,K1349&amp;""),"")</f>
        <v/>
      </c>
      <c r="S1349" s="66">
        <f>IF(X1349&lt;&gt;"","⛔ "&amp;X1349&amp;" — not posted",IF(Y1349&lt;&gt;"","⚠ "&amp;Y1349,IF(Z1349=1,"✓ OK","")))</f>
        <v/>
      </c>
      <c r="T1349" s="67">
        <f>IF(AND(C1349="",D1349="",E1349="",L1349="",K1349=""),1,0)</f>
        <v/>
      </c>
      <c r="U1349" s="67">
        <f>IFERROR(INDEX(tt_Dir,MATCH(D1349,tt_Type,0)),"")</f>
        <v/>
      </c>
      <c r="V1349" s="67">
        <f>IF(D1349="","",IFERROR(IF(INDEX(tt_Other,MATCH(D1349,tt_Type,0))="",E1349&amp;"",INDEX(tt_Other,MATCH(D1349,tt_Type,0))),""))</f>
        <v/>
      </c>
      <c r="W1349" s="68">
        <f>IF(OR(TaxOn&lt;&gt;"Yes",NOT(ISNUMBER(M1349))),0,IF(IFERROR(INDEX(tt_Tax,MATCH(D1349,tt_Type,0)),"No")="Yes",M1349,0))</f>
        <v/>
      </c>
      <c r="X1349" s="67">
        <f>IF(T1349=1,"",IF(C1349="","Missing transaction date",IF(NOT(ISNUMBER(C1349)),"Invalid date",IF(OR(C1349&lt;DATE(2000,1,1),C1349&gt;DATE(2099,12,31)),"Invalid date",IF(D1349="","Select a type",IF(U1349="","Unknown type: "&amp;D1349,IF(V1349="","Select an account (Category)",IF(ISNA(MATCH(V1349,coa_Name,0)),"Unknown account: "&amp;V1349,IF(K1349="","Select Paid From / Deposited To",IF(ISNA(MATCH(K1349,coa_Name,0)),"Unknown account: "&amp;K1349,IF(NOT(ISNUMBER(L1349)),"Enter an amount",IF(L1349=0,"Enter an amount",IF(ABS(W1349)&gt;ABS(L1349),"Tax is larger than the amount","")))))))))))))</f>
        <v/>
      </c>
      <c r="Y1349" s="67">
        <f>IF(OR(T1349=1,X1349&lt;&gt;""),"",IF(AND(B1349&lt;&gt;"",COUNTIF(tx_ID,B1349)&gt;1),"Duplicate transaction ID",IF(AND(L1349&lt;0,D1349&lt;&gt;"Adjustment"),"Negative amount — check this entry",IF(AND(D1349="Customer Payment",G1349=""),"Add the customer",IF(AND(D1349="Customer Payment",OR(J1349="",COUNTIF(ar_No,J1349&amp;"")=0)),"Invoice # in Reference not found on AR sheet",IF(AND(D1349="Bill Payment",H1349=""),"Add the vendor",IF(AND(D1349="Bill Payment",OR(J1349="",COUNTIFS(ap_No,J1349&amp;"",ap_Party,H1349&amp;"")=0)),"Bill # + vendor not found on AP sheet",IF(AND(ISNUMBER(M1349),N(M1349)&lt;&gt;0,W1349=0),"Tax ignored (tax tracking off, or not allowed for this type)",IF(V1349=K1349&amp;"","Same account on both sides",IF(AND(ISNUMBER(StartDate),C1349&lt;StartDate),"Date is before the accounting start date",IF(AND(D1349&lt;&gt;"Adjustment",IFERROR(INDEX(coa_Pay,MATCH(K1349&amp;"",coa_Name,0)),"")&lt;&gt;"Yes"),"Paid From / Deposited To is not a payment account","")))))))))))</f>
        <v/>
      </c>
      <c r="Z1349" s="67">
        <f>IF(AND(T1349=0,X1349=""),1,0)</f>
        <v/>
      </c>
      <c r="AA1349" s="68">
        <f>IF(Z1349=1,IF(U1349="In",L1349,L1349-W1349),0)</f>
        <v/>
      </c>
      <c r="AB1349" s="68">
        <f>IF(Z1349=1,IF(U1349="In",L1349-W1349,L1349),0)</f>
        <v/>
      </c>
      <c r="AC1349" s="68">
        <f>IF(AND(Z1349=1,U1349="Out"),W1349,0)</f>
        <v/>
      </c>
      <c r="AD1349" s="68">
        <f>IF(AND(Z1349=1,U1349="In"),W1349,0)</f>
        <v/>
      </c>
    </row>
    <row r="1350">
      <c r="B1350" s="62" t="inlineStr">
        <is>
          <t>TX-1344</t>
        </is>
      </c>
      <c r="C1350" s="63" t="n"/>
      <c r="D1350" s="62" t="n"/>
      <c r="E1350" s="62" t="n"/>
      <c r="F1350" s="62" t="n"/>
      <c r="G1350" s="62" t="n"/>
      <c r="H1350" s="62" t="n"/>
      <c r="I1350" s="62" t="n"/>
      <c r="J1350" s="62" t="n"/>
      <c r="K1350" s="62" t="n"/>
      <c r="L1350" s="64" t="n"/>
      <c r="M1350" s="64" t="n"/>
      <c r="N1350" s="62" t="n"/>
      <c r="O1350" s="65">
        <f>IF(Z1350=1,L1350-W1350,"")</f>
        <v/>
      </c>
      <c r="P1350" s="66">
        <f>IF(V1350="","",IFERROR(INDEX(coa_Type,MATCH(V1350,coa_Name,0)),""))</f>
        <v/>
      </c>
      <c r="Q1350" s="66">
        <f>IF(Z1350=1,IF(U1350="In",K1350&amp;"",V1350),"")</f>
        <v/>
      </c>
      <c r="R1350" s="66">
        <f>IF(Z1350=1,IF(U1350="In",V1350,K1350&amp;""),"")</f>
        <v/>
      </c>
      <c r="S1350" s="66">
        <f>IF(X1350&lt;&gt;"","⛔ "&amp;X1350&amp;" — not posted",IF(Y1350&lt;&gt;"","⚠ "&amp;Y1350,IF(Z1350=1,"✓ OK","")))</f>
        <v/>
      </c>
      <c r="T1350" s="67">
        <f>IF(AND(C1350="",D1350="",E1350="",L1350="",K1350=""),1,0)</f>
        <v/>
      </c>
      <c r="U1350" s="67">
        <f>IFERROR(INDEX(tt_Dir,MATCH(D1350,tt_Type,0)),"")</f>
        <v/>
      </c>
      <c r="V1350" s="67">
        <f>IF(D1350="","",IFERROR(IF(INDEX(tt_Other,MATCH(D1350,tt_Type,0))="",E1350&amp;"",INDEX(tt_Other,MATCH(D1350,tt_Type,0))),""))</f>
        <v/>
      </c>
      <c r="W1350" s="68">
        <f>IF(OR(TaxOn&lt;&gt;"Yes",NOT(ISNUMBER(M1350))),0,IF(IFERROR(INDEX(tt_Tax,MATCH(D1350,tt_Type,0)),"No")="Yes",M1350,0))</f>
        <v/>
      </c>
      <c r="X1350" s="67">
        <f>IF(T1350=1,"",IF(C1350="","Missing transaction date",IF(NOT(ISNUMBER(C1350)),"Invalid date",IF(OR(C1350&lt;DATE(2000,1,1),C1350&gt;DATE(2099,12,31)),"Invalid date",IF(D1350="","Select a type",IF(U1350="","Unknown type: "&amp;D1350,IF(V1350="","Select an account (Category)",IF(ISNA(MATCH(V1350,coa_Name,0)),"Unknown account: "&amp;V1350,IF(K1350="","Select Paid From / Deposited To",IF(ISNA(MATCH(K1350,coa_Name,0)),"Unknown account: "&amp;K1350,IF(NOT(ISNUMBER(L1350)),"Enter an amount",IF(L1350=0,"Enter an amount",IF(ABS(W1350)&gt;ABS(L1350),"Tax is larger than the amount","")))))))))))))</f>
        <v/>
      </c>
      <c r="Y1350" s="67">
        <f>IF(OR(T1350=1,X1350&lt;&gt;""),"",IF(AND(B1350&lt;&gt;"",COUNTIF(tx_ID,B1350)&gt;1),"Duplicate transaction ID",IF(AND(L1350&lt;0,D1350&lt;&gt;"Adjustment"),"Negative amount — check this entry",IF(AND(D1350="Customer Payment",G1350=""),"Add the customer",IF(AND(D1350="Customer Payment",OR(J1350="",COUNTIF(ar_No,J1350&amp;"")=0)),"Invoice # in Reference not found on AR sheet",IF(AND(D1350="Bill Payment",H1350=""),"Add the vendor",IF(AND(D1350="Bill Payment",OR(J1350="",COUNTIFS(ap_No,J1350&amp;"",ap_Party,H1350&amp;"")=0)),"Bill # + vendor not found on AP sheet",IF(AND(ISNUMBER(M1350),N(M1350)&lt;&gt;0,W1350=0),"Tax ignored (tax tracking off, or not allowed for this type)",IF(V1350=K1350&amp;"","Same account on both sides",IF(AND(ISNUMBER(StartDate),C1350&lt;StartDate),"Date is before the accounting start date",IF(AND(D1350&lt;&gt;"Adjustment",IFERROR(INDEX(coa_Pay,MATCH(K1350&amp;"",coa_Name,0)),"")&lt;&gt;"Yes"),"Paid From / Deposited To is not a payment account","")))))))))))</f>
        <v/>
      </c>
      <c r="Z1350" s="67">
        <f>IF(AND(T1350=0,X1350=""),1,0)</f>
        <v/>
      </c>
      <c r="AA1350" s="68">
        <f>IF(Z1350=1,IF(U1350="In",L1350,L1350-W1350),0)</f>
        <v/>
      </c>
      <c r="AB1350" s="68">
        <f>IF(Z1350=1,IF(U1350="In",L1350-W1350,L1350),0)</f>
        <v/>
      </c>
      <c r="AC1350" s="68">
        <f>IF(AND(Z1350=1,U1350="Out"),W1350,0)</f>
        <v/>
      </c>
      <c r="AD1350" s="68">
        <f>IF(AND(Z1350=1,U1350="In"),W1350,0)</f>
        <v/>
      </c>
    </row>
    <row r="1351">
      <c r="B1351" s="62" t="inlineStr">
        <is>
          <t>TX-1345</t>
        </is>
      </c>
      <c r="C1351" s="63" t="n"/>
      <c r="D1351" s="62" t="n"/>
      <c r="E1351" s="62" t="n"/>
      <c r="F1351" s="62" t="n"/>
      <c r="G1351" s="62" t="n"/>
      <c r="H1351" s="62" t="n"/>
      <c r="I1351" s="62" t="n"/>
      <c r="J1351" s="62" t="n"/>
      <c r="K1351" s="62" t="n"/>
      <c r="L1351" s="64" t="n"/>
      <c r="M1351" s="64" t="n"/>
      <c r="N1351" s="62" t="n"/>
      <c r="O1351" s="65">
        <f>IF(Z1351=1,L1351-W1351,"")</f>
        <v/>
      </c>
      <c r="P1351" s="66">
        <f>IF(V1351="","",IFERROR(INDEX(coa_Type,MATCH(V1351,coa_Name,0)),""))</f>
        <v/>
      </c>
      <c r="Q1351" s="66">
        <f>IF(Z1351=1,IF(U1351="In",K1351&amp;"",V1351),"")</f>
        <v/>
      </c>
      <c r="R1351" s="66">
        <f>IF(Z1351=1,IF(U1351="In",V1351,K1351&amp;""),"")</f>
        <v/>
      </c>
      <c r="S1351" s="66">
        <f>IF(X1351&lt;&gt;"","⛔ "&amp;X1351&amp;" — not posted",IF(Y1351&lt;&gt;"","⚠ "&amp;Y1351,IF(Z1351=1,"✓ OK","")))</f>
        <v/>
      </c>
      <c r="T1351" s="67">
        <f>IF(AND(C1351="",D1351="",E1351="",L1351="",K1351=""),1,0)</f>
        <v/>
      </c>
      <c r="U1351" s="67">
        <f>IFERROR(INDEX(tt_Dir,MATCH(D1351,tt_Type,0)),"")</f>
        <v/>
      </c>
      <c r="V1351" s="67">
        <f>IF(D1351="","",IFERROR(IF(INDEX(tt_Other,MATCH(D1351,tt_Type,0))="",E1351&amp;"",INDEX(tt_Other,MATCH(D1351,tt_Type,0))),""))</f>
        <v/>
      </c>
      <c r="W1351" s="68">
        <f>IF(OR(TaxOn&lt;&gt;"Yes",NOT(ISNUMBER(M1351))),0,IF(IFERROR(INDEX(tt_Tax,MATCH(D1351,tt_Type,0)),"No")="Yes",M1351,0))</f>
        <v/>
      </c>
      <c r="X1351" s="67">
        <f>IF(T1351=1,"",IF(C1351="","Missing transaction date",IF(NOT(ISNUMBER(C1351)),"Invalid date",IF(OR(C1351&lt;DATE(2000,1,1),C1351&gt;DATE(2099,12,31)),"Invalid date",IF(D1351="","Select a type",IF(U1351="","Unknown type: "&amp;D1351,IF(V1351="","Select an account (Category)",IF(ISNA(MATCH(V1351,coa_Name,0)),"Unknown account: "&amp;V1351,IF(K1351="","Select Paid From / Deposited To",IF(ISNA(MATCH(K1351,coa_Name,0)),"Unknown account: "&amp;K1351,IF(NOT(ISNUMBER(L1351)),"Enter an amount",IF(L1351=0,"Enter an amount",IF(ABS(W1351)&gt;ABS(L1351),"Tax is larger than the amount","")))))))))))))</f>
        <v/>
      </c>
      <c r="Y1351" s="67">
        <f>IF(OR(T1351=1,X1351&lt;&gt;""),"",IF(AND(B1351&lt;&gt;"",COUNTIF(tx_ID,B1351)&gt;1),"Duplicate transaction ID",IF(AND(L1351&lt;0,D1351&lt;&gt;"Adjustment"),"Negative amount — check this entry",IF(AND(D1351="Customer Payment",G1351=""),"Add the customer",IF(AND(D1351="Customer Payment",OR(J1351="",COUNTIF(ar_No,J1351&amp;"")=0)),"Invoice # in Reference not found on AR sheet",IF(AND(D1351="Bill Payment",H1351=""),"Add the vendor",IF(AND(D1351="Bill Payment",OR(J1351="",COUNTIFS(ap_No,J1351&amp;"",ap_Party,H1351&amp;"")=0)),"Bill # + vendor not found on AP sheet",IF(AND(ISNUMBER(M1351),N(M1351)&lt;&gt;0,W1351=0),"Tax ignored (tax tracking off, or not allowed for this type)",IF(V1351=K1351&amp;"","Same account on both sides",IF(AND(ISNUMBER(StartDate),C1351&lt;StartDate),"Date is before the accounting start date",IF(AND(D1351&lt;&gt;"Adjustment",IFERROR(INDEX(coa_Pay,MATCH(K1351&amp;"",coa_Name,0)),"")&lt;&gt;"Yes"),"Paid From / Deposited To is not a payment account","")))))))))))</f>
        <v/>
      </c>
      <c r="Z1351" s="67">
        <f>IF(AND(T1351=0,X1351=""),1,0)</f>
        <v/>
      </c>
      <c r="AA1351" s="68">
        <f>IF(Z1351=1,IF(U1351="In",L1351,L1351-W1351),0)</f>
        <v/>
      </c>
      <c r="AB1351" s="68">
        <f>IF(Z1351=1,IF(U1351="In",L1351-W1351,L1351),0)</f>
        <v/>
      </c>
      <c r="AC1351" s="68">
        <f>IF(AND(Z1351=1,U1351="Out"),W1351,0)</f>
        <v/>
      </c>
      <c r="AD1351" s="68">
        <f>IF(AND(Z1351=1,U1351="In"),W1351,0)</f>
        <v/>
      </c>
    </row>
    <row r="1352">
      <c r="B1352" s="62" t="inlineStr">
        <is>
          <t>TX-1346</t>
        </is>
      </c>
      <c r="C1352" s="63" t="n"/>
      <c r="D1352" s="62" t="n"/>
      <c r="E1352" s="62" t="n"/>
      <c r="F1352" s="62" t="n"/>
      <c r="G1352" s="62" t="n"/>
      <c r="H1352" s="62" t="n"/>
      <c r="I1352" s="62" t="n"/>
      <c r="J1352" s="62" t="n"/>
      <c r="K1352" s="62" t="n"/>
      <c r="L1352" s="64" t="n"/>
      <c r="M1352" s="64" t="n"/>
      <c r="N1352" s="62" t="n"/>
      <c r="O1352" s="65">
        <f>IF(Z1352=1,L1352-W1352,"")</f>
        <v/>
      </c>
      <c r="P1352" s="66">
        <f>IF(V1352="","",IFERROR(INDEX(coa_Type,MATCH(V1352,coa_Name,0)),""))</f>
        <v/>
      </c>
      <c r="Q1352" s="66">
        <f>IF(Z1352=1,IF(U1352="In",K1352&amp;"",V1352),"")</f>
        <v/>
      </c>
      <c r="R1352" s="66">
        <f>IF(Z1352=1,IF(U1352="In",V1352,K1352&amp;""),"")</f>
        <v/>
      </c>
      <c r="S1352" s="66">
        <f>IF(X1352&lt;&gt;"","⛔ "&amp;X1352&amp;" — not posted",IF(Y1352&lt;&gt;"","⚠ "&amp;Y1352,IF(Z1352=1,"✓ OK","")))</f>
        <v/>
      </c>
      <c r="T1352" s="67">
        <f>IF(AND(C1352="",D1352="",E1352="",L1352="",K1352=""),1,0)</f>
        <v/>
      </c>
      <c r="U1352" s="67">
        <f>IFERROR(INDEX(tt_Dir,MATCH(D1352,tt_Type,0)),"")</f>
        <v/>
      </c>
      <c r="V1352" s="67">
        <f>IF(D1352="","",IFERROR(IF(INDEX(tt_Other,MATCH(D1352,tt_Type,0))="",E1352&amp;"",INDEX(tt_Other,MATCH(D1352,tt_Type,0))),""))</f>
        <v/>
      </c>
      <c r="W1352" s="68">
        <f>IF(OR(TaxOn&lt;&gt;"Yes",NOT(ISNUMBER(M1352))),0,IF(IFERROR(INDEX(tt_Tax,MATCH(D1352,tt_Type,0)),"No")="Yes",M1352,0))</f>
        <v/>
      </c>
      <c r="X1352" s="67">
        <f>IF(T1352=1,"",IF(C1352="","Missing transaction date",IF(NOT(ISNUMBER(C1352)),"Invalid date",IF(OR(C1352&lt;DATE(2000,1,1),C1352&gt;DATE(2099,12,31)),"Invalid date",IF(D1352="","Select a type",IF(U1352="","Unknown type: "&amp;D1352,IF(V1352="","Select an account (Category)",IF(ISNA(MATCH(V1352,coa_Name,0)),"Unknown account: "&amp;V1352,IF(K1352="","Select Paid From / Deposited To",IF(ISNA(MATCH(K1352,coa_Name,0)),"Unknown account: "&amp;K1352,IF(NOT(ISNUMBER(L1352)),"Enter an amount",IF(L1352=0,"Enter an amount",IF(ABS(W1352)&gt;ABS(L1352),"Tax is larger than the amount","")))))))))))))</f>
        <v/>
      </c>
      <c r="Y1352" s="67">
        <f>IF(OR(T1352=1,X1352&lt;&gt;""),"",IF(AND(B1352&lt;&gt;"",COUNTIF(tx_ID,B1352)&gt;1),"Duplicate transaction ID",IF(AND(L1352&lt;0,D1352&lt;&gt;"Adjustment"),"Negative amount — check this entry",IF(AND(D1352="Customer Payment",G1352=""),"Add the customer",IF(AND(D1352="Customer Payment",OR(J1352="",COUNTIF(ar_No,J1352&amp;"")=0)),"Invoice # in Reference not found on AR sheet",IF(AND(D1352="Bill Payment",H1352=""),"Add the vendor",IF(AND(D1352="Bill Payment",OR(J1352="",COUNTIFS(ap_No,J1352&amp;"",ap_Party,H1352&amp;"")=0)),"Bill # + vendor not found on AP sheet",IF(AND(ISNUMBER(M1352),N(M1352)&lt;&gt;0,W1352=0),"Tax ignored (tax tracking off, or not allowed for this type)",IF(V1352=K1352&amp;"","Same account on both sides",IF(AND(ISNUMBER(StartDate),C1352&lt;StartDate),"Date is before the accounting start date",IF(AND(D1352&lt;&gt;"Adjustment",IFERROR(INDEX(coa_Pay,MATCH(K1352&amp;"",coa_Name,0)),"")&lt;&gt;"Yes"),"Paid From / Deposited To is not a payment account","")))))))))))</f>
        <v/>
      </c>
      <c r="Z1352" s="67">
        <f>IF(AND(T1352=0,X1352=""),1,0)</f>
        <v/>
      </c>
      <c r="AA1352" s="68">
        <f>IF(Z1352=1,IF(U1352="In",L1352,L1352-W1352),0)</f>
        <v/>
      </c>
      <c r="AB1352" s="68">
        <f>IF(Z1352=1,IF(U1352="In",L1352-W1352,L1352),0)</f>
        <v/>
      </c>
      <c r="AC1352" s="68">
        <f>IF(AND(Z1352=1,U1352="Out"),W1352,0)</f>
        <v/>
      </c>
      <c r="AD1352" s="68">
        <f>IF(AND(Z1352=1,U1352="In"),W1352,0)</f>
        <v/>
      </c>
    </row>
    <row r="1353">
      <c r="B1353" s="62" t="inlineStr">
        <is>
          <t>TX-1347</t>
        </is>
      </c>
      <c r="C1353" s="63" t="n"/>
      <c r="D1353" s="62" t="n"/>
      <c r="E1353" s="62" t="n"/>
      <c r="F1353" s="62" t="n"/>
      <c r="G1353" s="62" t="n"/>
      <c r="H1353" s="62" t="n"/>
      <c r="I1353" s="62" t="n"/>
      <c r="J1353" s="62" t="n"/>
      <c r="K1353" s="62" t="n"/>
      <c r="L1353" s="64" t="n"/>
      <c r="M1353" s="64" t="n"/>
      <c r="N1353" s="62" t="n"/>
      <c r="O1353" s="65">
        <f>IF(Z1353=1,L1353-W1353,"")</f>
        <v/>
      </c>
      <c r="P1353" s="66">
        <f>IF(V1353="","",IFERROR(INDEX(coa_Type,MATCH(V1353,coa_Name,0)),""))</f>
        <v/>
      </c>
      <c r="Q1353" s="66">
        <f>IF(Z1353=1,IF(U1353="In",K1353&amp;"",V1353),"")</f>
        <v/>
      </c>
      <c r="R1353" s="66">
        <f>IF(Z1353=1,IF(U1353="In",V1353,K1353&amp;""),"")</f>
        <v/>
      </c>
      <c r="S1353" s="66">
        <f>IF(X1353&lt;&gt;"","⛔ "&amp;X1353&amp;" — not posted",IF(Y1353&lt;&gt;"","⚠ "&amp;Y1353,IF(Z1353=1,"✓ OK","")))</f>
        <v/>
      </c>
      <c r="T1353" s="67">
        <f>IF(AND(C1353="",D1353="",E1353="",L1353="",K1353=""),1,0)</f>
        <v/>
      </c>
      <c r="U1353" s="67">
        <f>IFERROR(INDEX(tt_Dir,MATCH(D1353,tt_Type,0)),"")</f>
        <v/>
      </c>
      <c r="V1353" s="67">
        <f>IF(D1353="","",IFERROR(IF(INDEX(tt_Other,MATCH(D1353,tt_Type,0))="",E1353&amp;"",INDEX(tt_Other,MATCH(D1353,tt_Type,0))),""))</f>
        <v/>
      </c>
      <c r="W1353" s="68">
        <f>IF(OR(TaxOn&lt;&gt;"Yes",NOT(ISNUMBER(M1353))),0,IF(IFERROR(INDEX(tt_Tax,MATCH(D1353,tt_Type,0)),"No")="Yes",M1353,0))</f>
        <v/>
      </c>
      <c r="X1353" s="67">
        <f>IF(T1353=1,"",IF(C1353="","Missing transaction date",IF(NOT(ISNUMBER(C1353)),"Invalid date",IF(OR(C1353&lt;DATE(2000,1,1),C1353&gt;DATE(2099,12,31)),"Invalid date",IF(D1353="","Select a type",IF(U1353="","Unknown type: "&amp;D1353,IF(V1353="","Select an account (Category)",IF(ISNA(MATCH(V1353,coa_Name,0)),"Unknown account: "&amp;V1353,IF(K1353="","Select Paid From / Deposited To",IF(ISNA(MATCH(K1353,coa_Name,0)),"Unknown account: "&amp;K1353,IF(NOT(ISNUMBER(L1353)),"Enter an amount",IF(L1353=0,"Enter an amount",IF(ABS(W1353)&gt;ABS(L1353),"Tax is larger than the amount","")))))))))))))</f>
        <v/>
      </c>
      <c r="Y1353" s="67">
        <f>IF(OR(T1353=1,X1353&lt;&gt;""),"",IF(AND(B1353&lt;&gt;"",COUNTIF(tx_ID,B1353)&gt;1),"Duplicate transaction ID",IF(AND(L1353&lt;0,D1353&lt;&gt;"Adjustment"),"Negative amount — check this entry",IF(AND(D1353="Customer Payment",G1353=""),"Add the customer",IF(AND(D1353="Customer Payment",OR(J1353="",COUNTIF(ar_No,J1353&amp;"")=0)),"Invoice # in Reference not found on AR sheet",IF(AND(D1353="Bill Payment",H1353=""),"Add the vendor",IF(AND(D1353="Bill Payment",OR(J1353="",COUNTIFS(ap_No,J1353&amp;"",ap_Party,H1353&amp;"")=0)),"Bill # + vendor not found on AP sheet",IF(AND(ISNUMBER(M1353),N(M1353)&lt;&gt;0,W1353=0),"Tax ignored (tax tracking off, or not allowed for this type)",IF(V1353=K1353&amp;"","Same account on both sides",IF(AND(ISNUMBER(StartDate),C1353&lt;StartDate),"Date is before the accounting start date",IF(AND(D1353&lt;&gt;"Adjustment",IFERROR(INDEX(coa_Pay,MATCH(K1353&amp;"",coa_Name,0)),"")&lt;&gt;"Yes"),"Paid From / Deposited To is not a payment account","")))))))))))</f>
        <v/>
      </c>
      <c r="Z1353" s="67">
        <f>IF(AND(T1353=0,X1353=""),1,0)</f>
        <v/>
      </c>
      <c r="AA1353" s="68">
        <f>IF(Z1353=1,IF(U1353="In",L1353,L1353-W1353),0)</f>
        <v/>
      </c>
      <c r="AB1353" s="68">
        <f>IF(Z1353=1,IF(U1353="In",L1353-W1353,L1353),0)</f>
        <v/>
      </c>
      <c r="AC1353" s="68">
        <f>IF(AND(Z1353=1,U1353="Out"),W1353,0)</f>
        <v/>
      </c>
      <c r="AD1353" s="68">
        <f>IF(AND(Z1353=1,U1353="In"),W1353,0)</f>
        <v/>
      </c>
    </row>
    <row r="1354">
      <c r="B1354" s="62" t="inlineStr">
        <is>
          <t>TX-1348</t>
        </is>
      </c>
      <c r="C1354" s="63" t="n"/>
      <c r="D1354" s="62" t="n"/>
      <c r="E1354" s="62" t="n"/>
      <c r="F1354" s="62" t="n"/>
      <c r="G1354" s="62" t="n"/>
      <c r="H1354" s="62" t="n"/>
      <c r="I1354" s="62" t="n"/>
      <c r="J1354" s="62" t="n"/>
      <c r="K1354" s="62" t="n"/>
      <c r="L1354" s="64" t="n"/>
      <c r="M1354" s="64" t="n"/>
      <c r="N1354" s="62" t="n"/>
      <c r="O1354" s="65">
        <f>IF(Z1354=1,L1354-W1354,"")</f>
        <v/>
      </c>
      <c r="P1354" s="66">
        <f>IF(V1354="","",IFERROR(INDEX(coa_Type,MATCH(V1354,coa_Name,0)),""))</f>
        <v/>
      </c>
      <c r="Q1354" s="66">
        <f>IF(Z1354=1,IF(U1354="In",K1354&amp;"",V1354),"")</f>
        <v/>
      </c>
      <c r="R1354" s="66">
        <f>IF(Z1354=1,IF(U1354="In",V1354,K1354&amp;""),"")</f>
        <v/>
      </c>
      <c r="S1354" s="66">
        <f>IF(X1354&lt;&gt;"","⛔ "&amp;X1354&amp;" — not posted",IF(Y1354&lt;&gt;"","⚠ "&amp;Y1354,IF(Z1354=1,"✓ OK","")))</f>
        <v/>
      </c>
      <c r="T1354" s="67">
        <f>IF(AND(C1354="",D1354="",E1354="",L1354="",K1354=""),1,0)</f>
        <v/>
      </c>
      <c r="U1354" s="67">
        <f>IFERROR(INDEX(tt_Dir,MATCH(D1354,tt_Type,0)),"")</f>
        <v/>
      </c>
      <c r="V1354" s="67">
        <f>IF(D1354="","",IFERROR(IF(INDEX(tt_Other,MATCH(D1354,tt_Type,0))="",E1354&amp;"",INDEX(tt_Other,MATCH(D1354,tt_Type,0))),""))</f>
        <v/>
      </c>
      <c r="W1354" s="68">
        <f>IF(OR(TaxOn&lt;&gt;"Yes",NOT(ISNUMBER(M1354))),0,IF(IFERROR(INDEX(tt_Tax,MATCH(D1354,tt_Type,0)),"No")="Yes",M1354,0))</f>
        <v/>
      </c>
      <c r="X1354" s="67">
        <f>IF(T1354=1,"",IF(C1354="","Missing transaction date",IF(NOT(ISNUMBER(C1354)),"Invalid date",IF(OR(C1354&lt;DATE(2000,1,1),C1354&gt;DATE(2099,12,31)),"Invalid date",IF(D1354="","Select a type",IF(U1354="","Unknown type: "&amp;D1354,IF(V1354="","Select an account (Category)",IF(ISNA(MATCH(V1354,coa_Name,0)),"Unknown account: "&amp;V1354,IF(K1354="","Select Paid From / Deposited To",IF(ISNA(MATCH(K1354,coa_Name,0)),"Unknown account: "&amp;K1354,IF(NOT(ISNUMBER(L1354)),"Enter an amount",IF(L1354=0,"Enter an amount",IF(ABS(W1354)&gt;ABS(L1354),"Tax is larger than the amount","")))))))))))))</f>
        <v/>
      </c>
      <c r="Y1354" s="67">
        <f>IF(OR(T1354=1,X1354&lt;&gt;""),"",IF(AND(B1354&lt;&gt;"",COUNTIF(tx_ID,B1354)&gt;1),"Duplicate transaction ID",IF(AND(L1354&lt;0,D1354&lt;&gt;"Adjustment"),"Negative amount — check this entry",IF(AND(D1354="Customer Payment",G1354=""),"Add the customer",IF(AND(D1354="Customer Payment",OR(J1354="",COUNTIF(ar_No,J1354&amp;"")=0)),"Invoice # in Reference not found on AR sheet",IF(AND(D1354="Bill Payment",H1354=""),"Add the vendor",IF(AND(D1354="Bill Payment",OR(J1354="",COUNTIFS(ap_No,J1354&amp;"",ap_Party,H1354&amp;"")=0)),"Bill # + vendor not found on AP sheet",IF(AND(ISNUMBER(M1354),N(M1354)&lt;&gt;0,W1354=0),"Tax ignored (tax tracking off, or not allowed for this type)",IF(V1354=K1354&amp;"","Same account on both sides",IF(AND(ISNUMBER(StartDate),C1354&lt;StartDate),"Date is before the accounting start date",IF(AND(D1354&lt;&gt;"Adjustment",IFERROR(INDEX(coa_Pay,MATCH(K1354&amp;"",coa_Name,0)),"")&lt;&gt;"Yes"),"Paid From / Deposited To is not a payment account","")))))))))))</f>
        <v/>
      </c>
      <c r="Z1354" s="67">
        <f>IF(AND(T1354=0,X1354=""),1,0)</f>
        <v/>
      </c>
      <c r="AA1354" s="68">
        <f>IF(Z1354=1,IF(U1354="In",L1354,L1354-W1354),0)</f>
        <v/>
      </c>
      <c r="AB1354" s="68">
        <f>IF(Z1354=1,IF(U1354="In",L1354-W1354,L1354),0)</f>
        <v/>
      </c>
      <c r="AC1354" s="68">
        <f>IF(AND(Z1354=1,U1354="Out"),W1354,0)</f>
        <v/>
      </c>
      <c r="AD1354" s="68">
        <f>IF(AND(Z1354=1,U1354="In"),W1354,0)</f>
        <v/>
      </c>
    </row>
    <row r="1355">
      <c r="B1355" s="62" t="inlineStr">
        <is>
          <t>TX-1349</t>
        </is>
      </c>
      <c r="C1355" s="63" t="n"/>
      <c r="D1355" s="62" t="n"/>
      <c r="E1355" s="62" t="n"/>
      <c r="F1355" s="62" t="n"/>
      <c r="G1355" s="62" t="n"/>
      <c r="H1355" s="62" t="n"/>
      <c r="I1355" s="62" t="n"/>
      <c r="J1355" s="62" t="n"/>
      <c r="K1355" s="62" t="n"/>
      <c r="L1355" s="64" t="n"/>
      <c r="M1355" s="64" t="n"/>
      <c r="N1355" s="62" t="n"/>
      <c r="O1355" s="65">
        <f>IF(Z1355=1,L1355-W1355,"")</f>
        <v/>
      </c>
      <c r="P1355" s="66">
        <f>IF(V1355="","",IFERROR(INDEX(coa_Type,MATCH(V1355,coa_Name,0)),""))</f>
        <v/>
      </c>
      <c r="Q1355" s="66">
        <f>IF(Z1355=1,IF(U1355="In",K1355&amp;"",V1355),"")</f>
        <v/>
      </c>
      <c r="R1355" s="66">
        <f>IF(Z1355=1,IF(U1355="In",V1355,K1355&amp;""),"")</f>
        <v/>
      </c>
      <c r="S1355" s="66">
        <f>IF(X1355&lt;&gt;"","⛔ "&amp;X1355&amp;" — not posted",IF(Y1355&lt;&gt;"","⚠ "&amp;Y1355,IF(Z1355=1,"✓ OK","")))</f>
        <v/>
      </c>
      <c r="T1355" s="67">
        <f>IF(AND(C1355="",D1355="",E1355="",L1355="",K1355=""),1,0)</f>
        <v/>
      </c>
      <c r="U1355" s="67">
        <f>IFERROR(INDEX(tt_Dir,MATCH(D1355,tt_Type,0)),"")</f>
        <v/>
      </c>
      <c r="V1355" s="67">
        <f>IF(D1355="","",IFERROR(IF(INDEX(tt_Other,MATCH(D1355,tt_Type,0))="",E1355&amp;"",INDEX(tt_Other,MATCH(D1355,tt_Type,0))),""))</f>
        <v/>
      </c>
      <c r="W1355" s="68">
        <f>IF(OR(TaxOn&lt;&gt;"Yes",NOT(ISNUMBER(M1355))),0,IF(IFERROR(INDEX(tt_Tax,MATCH(D1355,tt_Type,0)),"No")="Yes",M1355,0))</f>
        <v/>
      </c>
      <c r="X1355" s="67">
        <f>IF(T1355=1,"",IF(C1355="","Missing transaction date",IF(NOT(ISNUMBER(C1355)),"Invalid date",IF(OR(C1355&lt;DATE(2000,1,1),C1355&gt;DATE(2099,12,31)),"Invalid date",IF(D1355="","Select a type",IF(U1355="","Unknown type: "&amp;D1355,IF(V1355="","Select an account (Category)",IF(ISNA(MATCH(V1355,coa_Name,0)),"Unknown account: "&amp;V1355,IF(K1355="","Select Paid From / Deposited To",IF(ISNA(MATCH(K1355,coa_Name,0)),"Unknown account: "&amp;K1355,IF(NOT(ISNUMBER(L1355)),"Enter an amount",IF(L1355=0,"Enter an amount",IF(ABS(W1355)&gt;ABS(L1355),"Tax is larger than the amount","")))))))))))))</f>
        <v/>
      </c>
      <c r="Y1355" s="67">
        <f>IF(OR(T1355=1,X1355&lt;&gt;""),"",IF(AND(B1355&lt;&gt;"",COUNTIF(tx_ID,B1355)&gt;1),"Duplicate transaction ID",IF(AND(L1355&lt;0,D1355&lt;&gt;"Adjustment"),"Negative amount — check this entry",IF(AND(D1355="Customer Payment",G1355=""),"Add the customer",IF(AND(D1355="Customer Payment",OR(J1355="",COUNTIF(ar_No,J1355&amp;"")=0)),"Invoice # in Reference not found on AR sheet",IF(AND(D1355="Bill Payment",H1355=""),"Add the vendor",IF(AND(D1355="Bill Payment",OR(J1355="",COUNTIFS(ap_No,J1355&amp;"",ap_Party,H1355&amp;"")=0)),"Bill # + vendor not found on AP sheet",IF(AND(ISNUMBER(M1355),N(M1355)&lt;&gt;0,W1355=0),"Tax ignored (tax tracking off, or not allowed for this type)",IF(V1355=K1355&amp;"","Same account on both sides",IF(AND(ISNUMBER(StartDate),C1355&lt;StartDate),"Date is before the accounting start date",IF(AND(D1355&lt;&gt;"Adjustment",IFERROR(INDEX(coa_Pay,MATCH(K1355&amp;"",coa_Name,0)),"")&lt;&gt;"Yes"),"Paid From / Deposited To is not a payment account","")))))))))))</f>
        <v/>
      </c>
      <c r="Z1355" s="67">
        <f>IF(AND(T1355=0,X1355=""),1,0)</f>
        <v/>
      </c>
      <c r="AA1355" s="68">
        <f>IF(Z1355=1,IF(U1355="In",L1355,L1355-W1355),0)</f>
        <v/>
      </c>
      <c r="AB1355" s="68">
        <f>IF(Z1355=1,IF(U1355="In",L1355-W1355,L1355),0)</f>
        <v/>
      </c>
      <c r="AC1355" s="68">
        <f>IF(AND(Z1355=1,U1355="Out"),W1355,0)</f>
        <v/>
      </c>
      <c r="AD1355" s="68">
        <f>IF(AND(Z1355=1,U1355="In"),W1355,0)</f>
        <v/>
      </c>
    </row>
    <row r="1356">
      <c r="B1356" s="62" t="inlineStr">
        <is>
          <t>TX-1350</t>
        </is>
      </c>
      <c r="C1356" s="63" t="n"/>
      <c r="D1356" s="62" t="n"/>
      <c r="E1356" s="62" t="n"/>
      <c r="F1356" s="62" t="n"/>
      <c r="G1356" s="62" t="n"/>
      <c r="H1356" s="62" t="n"/>
      <c r="I1356" s="62" t="n"/>
      <c r="J1356" s="62" t="n"/>
      <c r="K1356" s="62" t="n"/>
      <c r="L1356" s="64" t="n"/>
      <c r="M1356" s="64" t="n"/>
      <c r="N1356" s="62" t="n"/>
      <c r="O1356" s="65">
        <f>IF(Z1356=1,L1356-W1356,"")</f>
        <v/>
      </c>
      <c r="P1356" s="66">
        <f>IF(V1356="","",IFERROR(INDEX(coa_Type,MATCH(V1356,coa_Name,0)),""))</f>
        <v/>
      </c>
      <c r="Q1356" s="66">
        <f>IF(Z1356=1,IF(U1356="In",K1356&amp;"",V1356),"")</f>
        <v/>
      </c>
      <c r="R1356" s="66">
        <f>IF(Z1356=1,IF(U1356="In",V1356,K1356&amp;""),"")</f>
        <v/>
      </c>
      <c r="S1356" s="66">
        <f>IF(X1356&lt;&gt;"","⛔ "&amp;X1356&amp;" — not posted",IF(Y1356&lt;&gt;"","⚠ "&amp;Y1356,IF(Z1356=1,"✓ OK","")))</f>
        <v/>
      </c>
      <c r="T1356" s="67">
        <f>IF(AND(C1356="",D1356="",E1356="",L1356="",K1356=""),1,0)</f>
        <v/>
      </c>
      <c r="U1356" s="67">
        <f>IFERROR(INDEX(tt_Dir,MATCH(D1356,tt_Type,0)),"")</f>
        <v/>
      </c>
      <c r="V1356" s="67">
        <f>IF(D1356="","",IFERROR(IF(INDEX(tt_Other,MATCH(D1356,tt_Type,0))="",E1356&amp;"",INDEX(tt_Other,MATCH(D1356,tt_Type,0))),""))</f>
        <v/>
      </c>
      <c r="W1356" s="68">
        <f>IF(OR(TaxOn&lt;&gt;"Yes",NOT(ISNUMBER(M1356))),0,IF(IFERROR(INDEX(tt_Tax,MATCH(D1356,tt_Type,0)),"No")="Yes",M1356,0))</f>
        <v/>
      </c>
      <c r="X1356" s="67">
        <f>IF(T1356=1,"",IF(C1356="","Missing transaction date",IF(NOT(ISNUMBER(C1356)),"Invalid date",IF(OR(C1356&lt;DATE(2000,1,1),C1356&gt;DATE(2099,12,31)),"Invalid date",IF(D1356="","Select a type",IF(U1356="","Unknown type: "&amp;D1356,IF(V1356="","Select an account (Category)",IF(ISNA(MATCH(V1356,coa_Name,0)),"Unknown account: "&amp;V1356,IF(K1356="","Select Paid From / Deposited To",IF(ISNA(MATCH(K1356,coa_Name,0)),"Unknown account: "&amp;K1356,IF(NOT(ISNUMBER(L1356)),"Enter an amount",IF(L1356=0,"Enter an amount",IF(ABS(W1356)&gt;ABS(L1356),"Tax is larger than the amount","")))))))))))))</f>
        <v/>
      </c>
      <c r="Y1356" s="67">
        <f>IF(OR(T1356=1,X1356&lt;&gt;""),"",IF(AND(B1356&lt;&gt;"",COUNTIF(tx_ID,B1356)&gt;1),"Duplicate transaction ID",IF(AND(L1356&lt;0,D1356&lt;&gt;"Adjustment"),"Negative amount — check this entry",IF(AND(D1356="Customer Payment",G1356=""),"Add the customer",IF(AND(D1356="Customer Payment",OR(J1356="",COUNTIF(ar_No,J1356&amp;"")=0)),"Invoice # in Reference not found on AR sheet",IF(AND(D1356="Bill Payment",H1356=""),"Add the vendor",IF(AND(D1356="Bill Payment",OR(J1356="",COUNTIFS(ap_No,J1356&amp;"",ap_Party,H1356&amp;"")=0)),"Bill # + vendor not found on AP sheet",IF(AND(ISNUMBER(M1356),N(M1356)&lt;&gt;0,W1356=0),"Tax ignored (tax tracking off, or not allowed for this type)",IF(V1356=K1356&amp;"","Same account on both sides",IF(AND(ISNUMBER(StartDate),C1356&lt;StartDate),"Date is before the accounting start date",IF(AND(D1356&lt;&gt;"Adjustment",IFERROR(INDEX(coa_Pay,MATCH(K1356&amp;"",coa_Name,0)),"")&lt;&gt;"Yes"),"Paid From / Deposited To is not a payment account","")))))))))))</f>
        <v/>
      </c>
      <c r="Z1356" s="67">
        <f>IF(AND(T1356=0,X1356=""),1,0)</f>
        <v/>
      </c>
      <c r="AA1356" s="68">
        <f>IF(Z1356=1,IF(U1356="In",L1356,L1356-W1356),0)</f>
        <v/>
      </c>
      <c r="AB1356" s="68">
        <f>IF(Z1356=1,IF(U1356="In",L1356-W1356,L1356),0)</f>
        <v/>
      </c>
      <c r="AC1356" s="68">
        <f>IF(AND(Z1356=1,U1356="Out"),W1356,0)</f>
        <v/>
      </c>
      <c r="AD1356" s="68">
        <f>IF(AND(Z1356=1,U1356="In"),W1356,0)</f>
        <v/>
      </c>
    </row>
    <row r="1357">
      <c r="B1357" s="62" t="inlineStr">
        <is>
          <t>TX-1351</t>
        </is>
      </c>
      <c r="C1357" s="63" t="n"/>
      <c r="D1357" s="62" t="n"/>
      <c r="E1357" s="62" t="n"/>
      <c r="F1357" s="62" t="n"/>
      <c r="G1357" s="62" t="n"/>
      <c r="H1357" s="62" t="n"/>
      <c r="I1357" s="62" t="n"/>
      <c r="J1357" s="62" t="n"/>
      <c r="K1357" s="62" t="n"/>
      <c r="L1357" s="64" t="n"/>
      <c r="M1357" s="64" t="n"/>
      <c r="N1357" s="62" t="n"/>
      <c r="O1357" s="65">
        <f>IF(Z1357=1,L1357-W1357,"")</f>
        <v/>
      </c>
      <c r="P1357" s="66">
        <f>IF(V1357="","",IFERROR(INDEX(coa_Type,MATCH(V1357,coa_Name,0)),""))</f>
        <v/>
      </c>
      <c r="Q1357" s="66">
        <f>IF(Z1357=1,IF(U1357="In",K1357&amp;"",V1357),"")</f>
        <v/>
      </c>
      <c r="R1357" s="66">
        <f>IF(Z1357=1,IF(U1357="In",V1357,K1357&amp;""),"")</f>
        <v/>
      </c>
      <c r="S1357" s="66">
        <f>IF(X1357&lt;&gt;"","⛔ "&amp;X1357&amp;" — not posted",IF(Y1357&lt;&gt;"","⚠ "&amp;Y1357,IF(Z1357=1,"✓ OK","")))</f>
        <v/>
      </c>
      <c r="T1357" s="67">
        <f>IF(AND(C1357="",D1357="",E1357="",L1357="",K1357=""),1,0)</f>
        <v/>
      </c>
      <c r="U1357" s="67">
        <f>IFERROR(INDEX(tt_Dir,MATCH(D1357,tt_Type,0)),"")</f>
        <v/>
      </c>
      <c r="V1357" s="67">
        <f>IF(D1357="","",IFERROR(IF(INDEX(tt_Other,MATCH(D1357,tt_Type,0))="",E1357&amp;"",INDEX(tt_Other,MATCH(D1357,tt_Type,0))),""))</f>
        <v/>
      </c>
      <c r="W1357" s="68">
        <f>IF(OR(TaxOn&lt;&gt;"Yes",NOT(ISNUMBER(M1357))),0,IF(IFERROR(INDEX(tt_Tax,MATCH(D1357,tt_Type,0)),"No")="Yes",M1357,0))</f>
        <v/>
      </c>
      <c r="X1357" s="67">
        <f>IF(T1357=1,"",IF(C1357="","Missing transaction date",IF(NOT(ISNUMBER(C1357)),"Invalid date",IF(OR(C1357&lt;DATE(2000,1,1),C1357&gt;DATE(2099,12,31)),"Invalid date",IF(D1357="","Select a type",IF(U1357="","Unknown type: "&amp;D1357,IF(V1357="","Select an account (Category)",IF(ISNA(MATCH(V1357,coa_Name,0)),"Unknown account: "&amp;V1357,IF(K1357="","Select Paid From / Deposited To",IF(ISNA(MATCH(K1357,coa_Name,0)),"Unknown account: "&amp;K1357,IF(NOT(ISNUMBER(L1357)),"Enter an amount",IF(L1357=0,"Enter an amount",IF(ABS(W1357)&gt;ABS(L1357),"Tax is larger than the amount","")))))))))))))</f>
        <v/>
      </c>
      <c r="Y1357" s="67">
        <f>IF(OR(T1357=1,X1357&lt;&gt;""),"",IF(AND(B1357&lt;&gt;"",COUNTIF(tx_ID,B1357)&gt;1),"Duplicate transaction ID",IF(AND(L1357&lt;0,D1357&lt;&gt;"Adjustment"),"Negative amount — check this entry",IF(AND(D1357="Customer Payment",G1357=""),"Add the customer",IF(AND(D1357="Customer Payment",OR(J1357="",COUNTIF(ar_No,J1357&amp;"")=0)),"Invoice # in Reference not found on AR sheet",IF(AND(D1357="Bill Payment",H1357=""),"Add the vendor",IF(AND(D1357="Bill Payment",OR(J1357="",COUNTIFS(ap_No,J1357&amp;"",ap_Party,H1357&amp;"")=0)),"Bill # + vendor not found on AP sheet",IF(AND(ISNUMBER(M1357),N(M1357)&lt;&gt;0,W1357=0),"Tax ignored (tax tracking off, or not allowed for this type)",IF(V1357=K1357&amp;"","Same account on both sides",IF(AND(ISNUMBER(StartDate),C1357&lt;StartDate),"Date is before the accounting start date",IF(AND(D1357&lt;&gt;"Adjustment",IFERROR(INDEX(coa_Pay,MATCH(K1357&amp;"",coa_Name,0)),"")&lt;&gt;"Yes"),"Paid From / Deposited To is not a payment account","")))))))))))</f>
        <v/>
      </c>
      <c r="Z1357" s="67">
        <f>IF(AND(T1357=0,X1357=""),1,0)</f>
        <v/>
      </c>
      <c r="AA1357" s="68">
        <f>IF(Z1357=1,IF(U1357="In",L1357,L1357-W1357),0)</f>
        <v/>
      </c>
      <c r="AB1357" s="68">
        <f>IF(Z1357=1,IF(U1357="In",L1357-W1357,L1357),0)</f>
        <v/>
      </c>
      <c r="AC1357" s="68">
        <f>IF(AND(Z1357=1,U1357="Out"),W1357,0)</f>
        <v/>
      </c>
      <c r="AD1357" s="68">
        <f>IF(AND(Z1357=1,U1357="In"),W1357,0)</f>
        <v/>
      </c>
    </row>
    <row r="1358">
      <c r="B1358" s="62" t="inlineStr">
        <is>
          <t>TX-1352</t>
        </is>
      </c>
      <c r="C1358" s="63" t="n"/>
      <c r="D1358" s="62" t="n"/>
      <c r="E1358" s="62" t="n"/>
      <c r="F1358" s="62" t="n"/>
      <c r="G1358" s="62" t="n"/>
      <c r="H1358" s="62" t="n"/>
      <c r="I1358" s="62" t="n"/>
      <c r="J1358" s="62" t="n"/>
      <c r="K1358" s="62" t="n"/>
      <c r="L1358" s="64" t="n"/>
      <c r="M1358" s="64" t="n"/>
      <c r="N1358" s="62" t="n"/>
      <c r="O1358" s="65">
        <f>IF(Z1358=1,L1358-W1358,"")</f>
        <v/>
      </c>
      <c r="P1358" s="66">
        <f>IF(V1358="","",IFERROR(INDEX(coa_Type,MATCH(V1358,coa_Name,0)),""))</f>
        <v/>
      </c>
      <c r="Q1358" s="66">
        <f>IF(Z1358=1,IF(U1358="In",K1358&amp;"",V1358),"")</f>
        <v/>
      </c>
      <c r="R1358" s="66">
        <f>IF(Z1358=1,IF(U1358="In",V1358,K1358&amp;""),"")</f>
        <v/>
      </c>
      <c r="S1358" s="66">
        <f>IF(X1358&lt;&gt;"","⛔ "&amp;X1358&amp;" — not posted",IF(Y1358&lt;&gt;"","⚠ "&amp;Y1358,IF(Z1358=1,"✓ OK","")))</f>
        <v/>
      </c>
      <c r="T1358" s="67">
        <f>IF(AND(C1358="",D1358="",E1358="",L1358="",K1358=""),1,0)</f>
        <v/>
      </c>
      <c r="U1358" s="67">
        <f>IFERROR(INDEX(tt_Dir,MATCH(D1358,tt_Type,0)),"")</f>
        <v/>
      </c>
      <c r="V1358" s="67">
        <f>IF(D1358="","",IFERROR(IF(INDEX(tt_Other,MATCH(D1358,tt_Type,0))="",E1358&amp;"",INDEX(tt_Other,MATCH(D1358,tt_Type,0))),""))</f>
        <v/>
      </c>
      <c r="W1358" s="68">
        <f>IF(OR(TaxOn&lt;&gt;"Yes",NOT(ISNUMBER(M1358))),0,IF(IFERROR(INDEX(tt_Tax,MATCH(D1358,tt_Type,0)),"No")="Yes",M1358,0))</f>
        <v/>
      </c>
      <c r="X1358" s="67">
        <f>IF(T1358=1,"",IF(C1358="","Missing transaction date",IF(NOT(ISNUMBER(C1358)),"Invalid date",IF(OR(C1358&lt;DATE(2000,1,1),C1358&gt;DATE(2099,12,31)),"Invalid date",IF(D1358="","Select a type",IF(U1358="","Unknown type: "&amp;D1358,IF(V1358="","Select an account (Category)",IF(ISNA(MATCH(V1358,coa_Name,0)),"Unknown account: "&amp;V1358,IF(K1358="","Select Paid From / Deposited To",IF(ISNA(MATCH(K1358,coa_Name,0)),"Unknown account: "&amp;K1358,IF(NOT(ISNUMBER(L1358)),"Enter an amount",IF(L1358=0,"Enter an amount",IF(ABS(W1358)&gt;ABS(L1358),"Tax is larger than the amount","")))))))))))))</f>
        <v/>
      </c>
      <c r="Y1358" s="67">
        <f>IF(OR(T1358=1,X1358&lt;&gt;""),"",IF(AND(B1358&lt;&gt;"",COUNTIF(tx_ID,B1358)&gt;1),"Duplicate transaction ID",IF(AND(L1358&lt;0,D1358&lt;&gt;"Adjustment"),"Negative amount — check this entry",IF(AND(D1358="Customer Payment",G1358=""),"Add the customer",IF(AND(D1358="Customer Payment",OR(J1358="",COUNTIF(ar_No,J1358&amp;"")=0)),"Invoice # in Reference not found on AR sheet",IF(AND(D1358="Bill Payment",H1358=""),"Add the vendor",IF(AND(D1358="Bill Payment",OR(J1358="",COUNTIFS(ap_No,J1358&amp;"",ap_Party,H1358&amp;"")=0)),"Bill # + vendor not found on AP sheet",IF(AND(ISNUMBER(M1358),N(M1358)&lt;&gt;0,W1358=0),"Tax ignored (tax tracking off, or not allowed for this type)",IF(V1358=K1358&amp;"","Same account on both sides",IF(AND(ISNUMBER(StartDate),C1358&lt;StartDate),"Date is before the accounting start date",IF(AND(D1358&lt;&gt;"Adjustment",IFERROR(INDEX(coa_Pay,MATCH(K1358&amp;"",coa_Name,0)),"")&lt;&gt;"Yes"),"Paid From / Deposited To is not a payment account","")))))))))))</f>
        <v/>
      </c>
      <c r="Z1358" s="67">
        <f>IF(AND(T1358=0,X1358=""),1,0)</f>
        <v/>
      </c>
      <c r="AA1358" s="68">
        <f>IF(Z1358=1,IF(U1358="In",L1358,L1358-W1358),0)</f>
        <v/>
      </c>
      <c r="AB1358" s="68">
        <f>IF(Z1358=1,IF(U1358="In",L1358-W1358,L1358),0)</f>
        <v/>
      </c>
      <c r="AC1358" s="68">
        <f>IF(AND(Z1358=1,U1358="Out"),W1358,0)</f>
        <v/>
      </c>
      <c r="AD1358" s="68">
        <f>IF(AND(Z1358=1,U1358="In"),W1358,0)</f>
        <v/>
      </c>
    </row>
    <row r="1359">
      <c r="B1359" s="62" t="inlineStr">
        <is>
          <t>TX-1353</t>
        </is>
      </c>
      <c r="C1359" s="63" t="n"/>
      <c r="D1359" s="62" t="n"/>
      <c r="E1359" s="62" t="n"/>
      <c r="F1359" s="62" t="n"/>
      <c r="G1359" s="62" t="n"/>
      <c r="H1359" s="62" t="n"/>
      <c r="I1359" s="62" t="n"/>
      <c r="J1359" s="62" t="n"/>
      <c r="K1359" s="62" t="n"/>
      <c r="L1359" s="64" t="n"/>
      <c r="M1359" s="64" t="n"/>
      <c r="N1359" s="62" t="n"/>
      <c r="O1359" s="65">
        <f>IF(Z1359=1,L1359-W1359,"")</f>
        <v/>
      </c>
      <c r="P1359" s="66">
        <f>IF(V1359="","",IFERROR(INDEX(coa_Type,MATCH(V1359,coa_Name,0)),""))</f>
        <v/>
      </c>
      <c r="Q1359" s="66">
        <f>IF(Z1359=1,IF(U1359="In",K1359&amp;"",V1359),"")</f>
        <v/>
      </c>
      <c r="R1359" s="66">
        <f>IF(Z1359=1,IF(U1359="In",V1359,K1359&amp;""),"")</f>
        <v/>
      </c>
      <c r="S1359" s="66">
        <f>IF(X1359&lt;&gt;"","⛔ "&amp;X1359&amp;" — not posted",IF(Y1359&lt;&gt;"","⚠ "&amp;Y1359,IF(Z1359=1,"✓ OK","")))</f>
        <v/>
      </c>
      <c r="T1359" s="67">
        <f>IF(AND(C1359="",D1359="",E1359="",L1359="",K1359=""),1,0)</f>
        <v/>
      </c>
      <c r="U1359" s="67">
        <f>IFERROR(INDEX(tt_Dir,MATCH(D1359,tt_Type,0)),"")</f>
        <v/>
      </c>
      <c r="V1359" s="67">
        <f>IF(D1359="","",IFERROR(IF(INDEX(tt_Other,MATCH(D1359,tt_Type,0))="",E1359&amp;"",INDEX(tt_Other,MATCH(D1359,tt_Type,0))),""))</f>
        <v/>
      </c>
      <c r="W1359" s="68">
        <f>IF(OR(TaxOn&lt;&gt;"Yes",NOT(ISNUMBER(M1359))),0,IF(IFERROR(INDEX(tt_Tax,MATCH(D1359,tt_Type,0)),"No")="Yes",M1359,0))</f>
        <v/>
      </c>
      <c r="X1359" s="67">
        <f>IF(T1359=1,"",IF(C1359="","Missing transaction date",IF(NOT(ISNUMBER(C1359)),"Invalid date",IF(OR(C1359&lt;DATE(2000,1,1),C1359&gt;DATE(2099,12,31)),"Invalid date",IF(D1359="","Select a type",IF(U1359="","Unknown type: "&amp;D1359,IF(V1359="","Select an account (Category)",IF(ISNA(MATCH(V1359,coa_Name,0)),"Unknown account: "&amp;V1359,IF(K1359="","Select Paid From / Deposited To",IF(ISNA(MATCH(K1359,coa_Name,0)),"Unknown account: "&amp;K1359,IF(NOT(ISNUMBER(L1359)),"Enter an amount",IF(L1359=0,"Enter an amount",IF(ABS(W1359)&gt;ABS(L1359),"Tax is larger than the amount","")))))))))))))</f>
        <v/>
      </c>
      <c r="Y1359" s="67">
        <f>IF(OR(T1359=1,X1359&lt;&gt;""),"",IF(AND(B1359&lt;&gt;"",COUNTIF(tx_ID,B1359)&gt;1),"Duplicate transaction ID",IF(AND(L1359&lt;0,D1359&lt;&gt;"Adjustment"),"Negative amount — check this entry",IF(AND(D1359="Customer Payment",G1359=""),"Add the customer",IF(AND(D1359="Customer Payment",OR(J1359="",COUNTIF(ar_No,J1359&amp;"")=0)),"Invoice # in Reference not found on AR sheet",IF(AND(D1359="Bill Payment",H1359=""),"Add the vendor",IF(AND(D1359="Bill Payment",OR(J1359="",COUNTIFS(ap_No,J1359&amp;"",ap_Party,H1359&amp;"")=0)),"Bill # + vendor not found on AP sheet",IF(AND(ISNUMBER(M1359),N(M1359)&lt;&gt;0,W1359=0),"Tax ignored (tax tracking off, or not allowed for this type)",IF(V1359=K1359&amp;"","Same account on both sides",IF(AND(ISNUMBER(StartDate),C1359&lt;StartDate),"Date is before the accounting start date",IF(AND(D1359&lt;&gt;"Adjustment",IFERROR(INDEX(coa_Pay,MATCH(K1359&amp;"",coa_Name,0)),"")&lt;&gt;"Yes"),"Paid From / Deposited To is not a payment account","")))))))))))</f>
        <v/>
      </c>
      <c r="Z1359" s="67">
        <f>IF(AND(T1359=0,X1359=""),1,0)</f>
        <v/>
      </c>
      <c r="AA1359" s="68">
        <f>IF(Z1359=1,IF(U1359="In",L1359,L1359-W1359),0)</f>
        <v/>
      </c>
      <c r="AB1359" s="68">
        <f>IF(Z1359=1,IF(U1359="In",L1359-W1359,L1359),0)</f>
        <v/>
      </c>
      <c r="AC1359" s="68">
        <f>IF(AND(Z1359=1,U1359="Out"),W1359,0)</f>
        <v/>
      </c>
      <c r="AD1359" s="68">
        <f>IF(AND(Z1359=1,U1359="In"),W1359,0)</f>
        <v/>
      </c>
    </row>
    <row r="1360">
      <c r="B1360" s="62" t="inlineStr">
        <is>
          <t>TX-1354</t>
        </is>
      </c>
      <c r="C1360" s="63" t="n"/>
      <c r="D1360" s="62" t="n"/>
      <c r="E1360" s="62" t="n"/>
      <c r="F1360" s="62" t="n"/>
      <c r="G1360" s="62" t="n"/>
      <c r="H1360" s="62" t="n"/>
      <c r="I1360" s="62" t="n"/>
      <c r="J1360" s="62" t="n"/>
      <c r="K1360" s="62" t="n"/>
      <c r="L1360" s="64" t="n"/>
      <c r="M1360" s="64" t="n"/>
      <c r="N1360" s="62" t="n"/>
      <c r="O1360" s="65">
        <f>IF(Z1360=1,L1360-W1360,"")</f>
        <v/>
      </c>
      <c r="P1360" s="66">
        <f>IF(V1360="","",IFERROR(INDEX(coa_Type,MATCH(V1360,coa_Name,0)),""))</f>
        <v/>
      </c>
      <c r="Q1360" s="66">
        <f>IF(Z1360=1,IF(U1360="In",K1360&amp;"",V1360),"")</f>
        <v/>
      </c>
      <c r="R1360" s="66">
        <f>IF(Z1360=1,IF(U1360="In",V1360,K1360&amp;""),"")</f>
        <v/>
      </c>
      <c r="S1360" s="66">
        <f>IF(X1360&lt;&gt;"","⛔ "&amp;X1360&amp;" — not posted",IF(Y1360&lt;&gt;"","⚠ "&amp;Y1360,IF(Z1360=1,"✓ OK","")))</f>
        <v/>
      </c>
      <c r="T1360" s="67">
        <f>IF(AND(C1360="",D1360="",E1360="",L1360="",K1360=""),1,0)</f>
        <v/>
      </c>
      <c r="U1360" s="67">
        <f>IFERROR(INDEX(tt_Dir,MATCH(D1360,tt_Type,0)),"")</f>
        <v/>
      </c>
      <c r="V1360" s="67">
        <f>IF(D1360="","",IFERROR(IF(INDEX(tt_Other,MATCH(D1360,tt_Type,0))="",E1360&amp;"",INDEX(tt_Other,MATCH(D1360,tt_Type,0))),""))</f>
        <v/>
      </c>
      <c r="W1360" s="68">
        <f>IF(OR(TaxOn&lt;&gt;"Yes",NOT(ISNUMBER(M1360))),0,IF(IFERROR(INDEX(tt_Tax,MATCH(D1360,tt_Type,0)),"No")="Yes",M1360,0))</f>
        <v/>
      </c>
      <c r="X1360" s="67">
        <f>IF(T1360=1,"",IF(C1360="","Missing transaction date",IF(NOT(ISNUMBER(C1360)),"Invalid date",IF(OR(C1360&lt;DATE(2000,1,1),C1360&gt;DATE(2099,12,31)),"Invalid date",IF(D1360="","Select a type",IF(U1360="","Unknown type: "&amp;D1360,IF(V1360="","Select an account (Category)",IF(ISNA(MATCH(V1360,coa_Name,0)),"Unknown account: "&amp;V1360,IF(K1360="","Select Paid From / Deposited To",IF(ISNA(MATCH(K1360,coa_Name,0)),"Unknown account: "&amp;K1360,IF(NOT(ISNUMBER(L1360)),"Enter an amount",IF(L1360=0,"Enter an amount",IF(ABS(W1360)&gt;ABS(L1360),"Tax is larger than the amount","")))))))))))))</f>
        <v/>
      </c>
      <c r="Y1360" s="67">
        <f>IF(OR(T1360=1,X1360&lt;&gt;""),"",IF(AND(B1360&lt;&gt;"",COUNTIF(tx_ID,B1360)&gt;1),"Duplicate transaction ID",IF(AND(L1360&lt;0,D1360&lt;&gt;"Adjustment"),"Negative amount — check this entry",IF(AND(D1360="Customer Payment",G1360=""),"Add the customer",IF(AND(D1360="Customer Payment",OR(J1360="",COUNTIF(ar_No,J1360&amp;"")=0)),"Invoice # in Reference not found on AR sheet",IF(AND(D1360="Bill Payment",H1360=""),"Add the vendor",IF(AND(D1360="Bill Payment",OR(J1360="",COUNTIFS(ap_No,J1360&amp;"",ap_Party,H1360&amp;"")=0)),"Bill # + vendor not found on AP sheet",IF(AND(ISNUMBER(M1360),N(M1360)&lt;&gt;0,W1360=0),"Tax ignored (tax tracking off, or not allowed for this type)",IF(V1360=K1360&amp;"","Same account on both sides",IF(AND(ISNUMBER(StartDate),C1360&lt;StartDate),"Date is before the accounting start date",IF(AND(D1360&lt;&gt;"Adjustment",IFERROR(INDEX(coa_Pay,MATCH(K1360&amp;"",coa_Name,0)),"")&lt;&gt;"Yes"),"Paid From / Deposited To is not a payment account","")))))))))))</f>
        <v/>
      </c>
      <c r="Z1360" s="67">
        <f>IF(AND(T1360=0,X1360=""),1,0)</f>
        <v/>
      </c>
      <c r="AA1360" s="68">
        <f>IF(Z1360=1,IF(U1360="In",L1360,L1360-W1360),0)</f>
        <v/>
      </c>
      <c r="AB1360" s="68">
        <f>IF(Z1360=1,IF(U1360="In",L1360-W1360,L1360),0)</f>
        <v/>
      </c>
      <c r="AC1360" s="68">
        <f>IF(AND(Z1360=1,U1360="Out"),W1360,0)</f>
        <v/>
      </c>
      <c r="AD1360" s="68">
        <f>IF(AND(Z1360=1,U1360="In"),W1360,0)</f>
        <v/>
      </c>
    </row>
    <row r="1361">
      <c r="B1361" s="62" t="inlineStr">
        <is>
          <t>TX-1355</t>
        </is>
      </c>
      <c r="C1361" s="63" t="n"/>
      <c r="D1361" s="62" t="n"/>
      <c r="E1361" s="62" t="n"/>
      <c r="F1361" s="62" t="n"/>
      <c r="G1361" s="62" t="n"/>
      <c r="H1361" s="62" t="n"/>
      <c r="I1361" s="62" t="n"/>
      <c r="J1361" s="62" t="n"/>
      <c r="K1361" s="62" t="n"/>
      <c r="L1361" s="64" t="n"/>
      <c r="M1361" s="64" t="n"/>
      <c r="N1361" s="62" t="n"/>
      <c r="O1361" s="65">
        <f>IF(Z1361=1,L1361-W1361,"")</f>
        <v/>
      </c>
      <c r="P1361" s="66">
        <f>IF(V1361="","",IFERROR(INDEX(coa_Type,MATCH(V1361,coa_Name,0)),""))</f>
        <v/>
      </c>
      <c r="Q1361" s="66">
        <f>IF(Z1361=1,IF(U1361="In",K1361&amp;"",V1361),"")</f>
        <v/>
      </c>
      <c r="R1361" s="66">
        <f>IF(Z1361=1,IF(U1361="In",V1361,K1361&amp;""),"")</f>
        <v/>
      </c>
      <c r="S1361" s="66">
        <f>IF(X1361&lt;&gt;"","⛔ "&amp;X1361&amp;" — not posted",IF(Y1361&lt;&gt;"","⚠ "&amp;Y1361,IF(Z1361=1,"✓ OK","")))</f>
        <v/>
      </c>
      <c r="T1361" s="67">
        <f>IF(AND(C1361="",D1361="",E1361="",L1361="",K1361=""),1,0)</f>
        <v/>
      </c>
      <c r="U1361" s="67">
        <f>IFERROR(INDEX(tt_Dir,MATCH(D1361,tt_Type,0)),"")</f>
        <v/>
      </c>
      <c r="V1361" s="67">
        <f>IF(D1361="","",IFERROR(IF(INDEX(tt_Other,MATCH(D1361,tt_Type,0))="",E1361&amp;"",INDEX(tt_Other,MATCH(D1361,tt_Type,0))),""))</f>
        <v/>
      </c>
      <c r="W1361" s="68">
        <f>IF(OR(TaxOn&lt;&gt;"Yes",NOT(ISNUMBER(M1361))),0,IF(IFERROR(INDEX(tt_Tax,MATCH(D1361,tt_Type,0)),"No")="Yes",M1361,0))</f>
        <v/>
      </c>
      <c r="X1361" s="67">
        <f>IF(T1361=1,"",IF(C1361="","Missing transaction date",IF(NOT(ISNUMBER(C1361)),"Invalid date",IF(OR(C1361&lt;DATE(2000,1,1),C1361&gt;DATE(2099,12,31)),"Invalid date",IF(D1361="","Select a type",IF(U1361="","Unknown type: "&amp;D1361,IF(V1361="","Select an account (Category)",IF(ISNA(MATCH(V1361,coa_Name,0)),"Unknown account: "&amp;V1361,IF(K1361="","Select Paid From / Deposited To",IF(ISNA(MATCH(K1361,coa_Name,0)),"Unknown account: "&amp;K1361,IF(NOT(ISNUMBER(L1361)),"Enter an amount",IF(L1361=0,"Enter an amount",IF(ABS(W1361)&gt;ABS(L1361),"Tax is larger than the amount","")))))))))))))</f>
        <v/>
      </c>
      <c r="Y1361" s="67">
        <f>IF(OR(T1361=1,X1361&lt;&gt;""),"",IF(AND(B1361&lt;&gt;"",COUNTIF(tx_ID,B1361)&gt;1),"Duplicate transaction ID",IF(AND(L1361&lt;0,D1361&lt;&gt;"Adjustment"),"Negative amount — check this entry",IF(AND(D1361="Customer Payment",G1361=""),"Add the customer",IF(AND(D1361="Customer Payment",OR(J1361="",COUNTIF(ar_No,J1361&amp;"")=0)),"Invoice # in Reference not found on AR sheet",IF(AND(D1361="Bill Payment",H1361=""),"Add the vendor",IF(AND(D1361="Bill Payment",OR(J1361="",COUNTIFS(ap_No,J1361&amp;"",ap_Party,H1361&amp;"")=0)),"Bill # + vendor not found on AP sheet",IF(AND(ISNUMBER(M1361),N(M1361)&lt;&gt;0,W1361=0),"Tax ignored (tax tracking off, or not allowed for this type)",IF(V1361=K1361&amp;"","Same account on both sides",IF(AND(ISNUMBER(StartDate),C1361&lt;StartDate),"Date is before the accounting start date",IF(AND(D1361&lt;&gt;"Adjustment",IFERROR(INDEX(coa_Pay,MATCH(K1361&amp;"",coa_Name,0)),"")&lt;&gt;"Yes"),"Paid From / Deposited To is not a payment account","")))))))))))</f>
        <v/>
      </c>
      <c r="Z1361" s="67">
        <f>IF(AND(T1361=0,X1361=""),1,0)</f>
        <v/>
      </c>
      <c r="AA1361" s="68">
        <f>IF(Z1361=1,IF(U1361="In",L1361,L1361-W1361),0)</f>
        <v/>
      </c>
      <c r="AB1361" s="68">
        <f>IF(Z1361=1,IF(U1361="In",L1361-W1361,L1361),0)</f>
        <v/>
      </c>
      <c r="AC1361" s="68">
        <f>IF(AND(Z1361=1,U1361="Out"),W1361,0)</f>
        <v/>
      </c>
      <c r="AD1361" s="68">
        <f>IF(AND(Z1361=1,U1361="In"),W1361,0)</f>
        <v/>
      </c>
    </row>
    <row r="1362">
      <c r="B1362" s="62" t="inlineStr">
        <is>
          <t>TX-1356</t>
        </is>
      </c>
      <c r="C1362" s="63" t="n"/>
      <c r="D1362" s="62" t="n"/>
      <c r="E1362" s="62" t="n"/>
      <c r="F1362" s="62" t="n"/>
      <c r="G1362" s="62" t="n"/>
      <c r="H1362" s="62" t="n"/>
      <c r="I1362" s="62" t="n"/>
      <c r="J1362" s="62" t="n"/>
      <c r="K1362" s="62" t="n"/>
      <c r="L1362" s="64" t="n"/>
      <c r="M1362" s="64" t="n"/>
      <c r="N1362" s="62" t="n"/>
      <c r="O1362" s="65">
        <f>IF(Z1362=1,L1362-W1362,"")</f>
        <v/>
      </c>
      <c r="P1362" s="66">
        <f>IF(V1362="","",IFERROR(INDEX(coa_Type,MATCH(V1362,coa_Name,0)),""))</f>
        <v/>
      </c>
      <c r="Q1362" s="66">
        <f>IF(Z1362=1,IF(U1362="In",K1362&amp;"",V1362),"")</f>
        <v/>
      </c>
      <c r="R1362" s="66">
        <f>IF(Z1362=1,IF(U1362="In",V1362,K1362&amp;""),"")</f>
        <v/>
      </c>
      <c r="S1362" s="66">
        <f>IF(X1362&lt;&gt;"","⛔ "&amp;X1362&amp;" — not posted",IF(Y1362&lt;&gt;"","⚠ "&amp;Y1362,IF(Z1362=1,"✓ OK","")))</f>
        <v/>
      </c>
      <c r="T1362" s="67">
        <f>IF(AND(C1362="",D1362="",E1362="",L1362="",K1362=""),1,0)</f>
        <v/>
      </c>
      <c r="U1362" s="67">
        <f>IFERROR(INDEX(tt_Dir,MATCH(D1362,tt_Type,0)),"")</f>
        <v/>
      </c>
      <c r="V1362" s="67">
        <f>IF(D1362="","",IFERROR(IF(INDEX(tt_Other,MATCH(D1362,tt_Type,0))="",E1362&amp;"",INDEX(tt_Other,MATCH(D1362,tt_Type,0))),""))</f>
        <v/>
      </c>
      <c r="W1362" s="68">
        <f>IF(OR(TaxOn&lt;&gt;"Yes",NOT(ISNUMBER(M1362))),0,IF(IFERROR(INDEX(tt_Tax,MATCH(D1362,tt_Type,0)),"No")="Yes",M1362,0))</f>
        <v/>
      </c>
      <c r="X1362" s="67">
        <f>IF(T1362=1,"",IF(C1362="","Missing transaction date",IF(NOT(ISNUMBER(C1362)),"Invalid date",IF(OR(C1362&lt;DATE(2000,1,1),C1362&gt;DATE(2099,12,31)),"Invalid date",IF(D1362="","Select a type",IF(U1362="","Unknown type: "&amp;D1362,IF(V1362="","Select an account (Category)",IF(ISNA(MATCH(V1362,coa_Name,0)),"Unknown account: "&amp;V1362,IF(K1362="","Select Paid From / Deposited To",IF(ISNA(MATCH(K1362,coa_Name,0)),"Unknown account: "&amp;K1362,IF(NOT(ISNUMBER(L1362)),"Enter an amount",IF(L1362=0,"Enter an amount",IF(ABS(W1362)&gt;ABS(L1362),"Tax is larger than the amount","")))))))))))))</f>
        <v/>
      </c>
      <c r="Y1362" s="67">
        <f>IF(OR(T1362=1,X1362&lt;&gt;""),"",IF(AND(B1362&lt;&gt;"",COUNTIF(tx_ID,B1362)&gt;1),"Duplicate transaction ID",IF(AND(L1362&lt;0,D1362&lt;&gt;"Adjustment"),"Negative amount — check this entry",IF(AND(D1362="Customer Payment",G1362=""),"Add the customer",IF(AND(D1362="Customer Payment",OR(J1362="",COUNTIF(ar_No,J1362&amp;"")=0)),"Invoice # in Reference not found on AR sheet",IF(AND(D1362="Bill Payment",H1362=""),"Add the vendor",IF(AND(D1362="Bill Payment",OR(J1362="",COUNTIFS(ap_No,J1362&amp;"",ap_Party,H1362&amp;"")=0)),"Bill # + vendor not found on AP sheet",IF(AND(ISNUMBER(M1362),N(M1362)&lt;&gt;0,W1362=0),"Tax ignored (tax tracking off, or not allowed for this type)",IF(V1362=K1362&amp;"","Same account on both sides",IF(AND(ISNUMBER(StartDate),C1362&lt;StartDate),"Date is before the accounting start date",IF(AND(D1362&lt;&gt;"Adjustment",IFERROR(INDEX(coa_Pay,MATCH(K1362&amp;"",coa_Name,0)),"")&lt;&gt;"Yes"),"Paid From / Deposited To is not a payment account","")))))))))))</f>
        <v/>
      </c>
      <c r="Z1362" s="67">
        <f>IF(AND(T1362=0,X1362=""),1,0)</f>
        <v/>
      </c>
      <c r="AA1362" s="68">
        <f>IF(Z1362=1,IF(U1362="In",L1362,L1362-W1362),0)</f>
        <v/>
      </c>
      <c r="AB1362" s="68">
        <f>IF(Z1362=1,IF(U1362="In",L1362-W1362,L1362),0)</f>
        <v/>
      </c>
      <c r="AC1362" s="68">
        <f>IF(AND(Z1362=1,U1362="Out"),W1362,0)</f>
        <v/>
      </c>
      <c r="AD1362" s="68">
        <f>IF(AND(Z1362=1,U1362="In"),W1362,0)</f>
        <v/>
      </c>
    </row>
    <row r="1363">
      <c r="B1363" s="62" t="inlineStr">
        <is>
          <t>TX-1357</t>
        </is>
      </c>
      <c r="C1363" s="63" t="n"/>
      <c r="D1363" s="62" t="n"/>
      <c r="E1363" s="62" t="n"/>
      <c r="F1363" s="62" t="n"/>
      <c r="G1363" s="62" t="n"/>
      <c r="H1363" s="62" t="n"/>
      <c r="I1363" s="62" t="n"/>
      <c r="J1363" s="62" t="n"/>
      <c r="K1363" s="62" t="n"/>
      <c r="L1363" s="64" t="n"/>
      <c r="M1363" s="64" t="n"/>
      <c r="N1363" s="62" t="n"/>
      <c r="O1363" s="65">
        <f>IF(Z1363=1,L1363-W1363,"")</f>
        <v/>
      </c>
      <c r="P1363" s="66">
        <f>IF(V1363="","",IFERROR(INDEX(coa_Type,MATCH(V1363,coa_Name,0)),""))</f>
        <v/>
      </c>
      <c r="Q1363" s="66">
        <f>IF(Z1363=1,IF(U1363="In",K1363&amp;"",V1363),"")</f>
        <v/>
      </c>
      <c r="R1363" s="66">
        <f>IF(Z1363=1,IF(U1363="In",V1363,K1363&amp;""),"")</f>
        <v/>
      </c>
      <c r="S1363" s="66">
        <f>IF(X1363&lt;&gt;"","⛔ "&amp;X1363&amp;" — not posted",IF(Y1363&lt;&gt;"","⚠ "&amp;Y1363,IF(Z1363=1,"✓ OK","")))</f>
        <v/>
      </c>
      <c r="T1363" s="67">
        <f>IF(AND(C1363="",D1363="",E1363="",L1363="",K1363=""),1,0)</f>
        <v/>
      </c>
      <c r="U1363" s="67">
        <f>IFERROR(INDEX(tt_Dir,MATCH(D1363,tt_Type,0)),"")</f>
        <v/>
      </c>
      <c r="V1363" s="67">
        <f>IF(D1363="","",IFERROR(IF(INDEX(tt_Other,MATCH(D1363,tt_Type,0))="",E1363&amp;"",INDEX(tt_Other,MATCH(D1363,tt_Type,0))),""))</f>
        <v/>
      </c>
      <c r="W1363" s="68">
        <f>IF(OR(TaxOn&lt;&gt;"Yes",NOT(ISNUMBER(M1363))),0,IF(IFERROR(INDEX(tt_Tax,MATCH(D1363,tt_Type,0)),"No")="Yes",M1363,0))</f>
        <v/>
      </c>
      <c r="X1363" s="67">
        <f>IF(T1363=1,"",IF(C1363="","Missing transaction date",IF(NOT(ISNUMBER(C1363)),"Invalid date",IF(OR(C1363&lt;DATE(2000,1,1),C1363&gt;DATE(2099,12,31)),"Invalid date",IF(D1363="","Select a type",IF(U1363="","Unknown type: "&amp;D1363,IF(V1363="","Select an account (Category)",IF(ISNA(MATCH(V1363,coa_Name,0)),"Unknown account: "&amp;V1363,IF(K1363="","Select Paid From / Deposited To",IF(ISNA(MATCH(K1363,coa_Name,0)),"Unknown account: "&amp;K1363,IF(NOT(ISNUMBER(L1363)),"Enter an amount",IF(L1363=0,"Enter an amount",IF(ABS(W1363)&gt;ABS(L1363),"Tax is larger than the amount","")))))))))))))</f>
        <v/>
      </c>
      <c r="Y1363" s="67">
        <f>IF(OR(T1363=1,X1363&lt;&gt;""),"",IF(AND(B1363&lt;&gt;"",COUNTIF(tx_ID,B1363)&gt;1),"Duplicate transaction ID",IF(AND(L1363&lt;0,D1363&lt;&gt;"Adjustment"),"Negative amount — check this entry",IF(AND(D1363="Customer Payment",G1363=""),"Add the customer",IF(AND(D1363="Customer Payment",OR(J1363="",COUNTIF(ar_No,J1363&amp;"")=0)),"Invoice # in Reference not found on AR sheet",IF(AND(D1363="Bill Payment",H1363=""),"Add the vendor",IF(AND(D1363="Bill Payment",OR(J1363="",COUNTIFS(ap_No,J1363&amp;"",ap_Party,H1363&amp;"")=0)),"Bill # + vendor not found on AP sheet",IF(AND(ISNUMBER(M1363),N(M1363)&lt;&gt;0,W1363=0),"Tax ignored (tax tracking off, or not allowed for this type)",IF(V1363=K1363&amp;"","Same account on both sides",IF(AND(ISNUMBER(StartDate),C1363&lt;StartDate),"Date is before the accounting start date",IF(AND(D1363&lt;&gt;"Adjustment",IFERROR(INDEX(coa_Pay,MATCH(K1363&amp;"",coa_Name,0)),"")&lt;&gt;"Yes"),"Paid From / Deposited To is not a payment account","")))))))))))</f>
        <v/>
      </c>
      <c r="Z1363" s="67">
        <f>IF(AND(T1363=0,X1363=""),1,0)</f>
        <v/>
      </c>
      <c r="AA1363" s="68">
        <f>IF(Z1363=1,IF(U1363="In",L1363,L1363-W1363),0)</f>
        <v/>
      </c>
      <c r="AB1363" s="68">
        <f>IF(Z1363=1,IF(U1363="In",L1363-W1363,L1363),0)</f>
        <v/>
      </c>
      <c r="AC1363" s="68">
        <f>IF(AND(Z1363=1,U1363="Out"),W1363,0)</f>
        <v/>
      </c>
      <c r="AD1363" s="68">
        <f>IF(AND(Z1363=1,U1363="In"),W1363,0)</f>
        <v/>
      </c>
    </row>
    <row r="1364">
      <c r="B1364" s="62" t="inlineStr">
        <is>
          <t>TX-1358</t>
        </is>
      </c>
      <c r="C1364" s="63" t="n"/>
      <c r="D1364" s="62" t="n"/>
      <c r="E1364" s="62" t="n"/>
      <c r="F1364" s="62" t="n"/>
      <c r="G1364" s="62" t="n"/>
      <c r="H1364" s="62" t="n"/>
      <c r="I1364" s="62" t="n"/>
      <c r="J1364" s="62" t="n"/>
      <c r="K1364" s="62" t="n"/>
      <c r="L1364" s="64" t="n"/>
      <c r="M1364" s="64" t="n"/>
      <c r="N1364" s="62" t="n"/>
      <c r="O1364" s="65">
        <f>IF(Z1364=1,L1364-W1364,"")</f>
        <v/>
      </c>
      <c r="P1364" s="66">
        <f>IF(V1364="","",IFERROR(INDEX(coa_Type,MATCH(V1364,coa_Name,0)),""))</f>
        <v/>
      </c>
      <c r="Q1364" s="66">
        <f>IF(Z1364=1,IF(U1364="In",K1364&amp;"",V1364),"")</f>
        <v/>
      </c>
      <c r="R1364" s="66">
        <f>IF(Z1364=1,IF(U1364="In",V1364,K1364&amp;""),"")</f>
        <v/>
      </c>
      <c r="S1364" s="66">
        <f>IF(X1364&lt;&gt;"","⛔ "&amp;X1364&amp;" — not posted",IF(Y1364&lt;&gt;"","⚠ "&amp;Y1364,IF(Z1364=1,"✓ OK","")))</f>
        <v/>
      </c>
      <c r="T1364" s="67">
        <f>IF(AND(C1364="",D1364="",E1364="",L1364="",K1364=""),1,0)</f>
        <v/>
      </c>
      <c r="U1364" s="67">
        <f>IFERROR(INDEX(tt_Dir,MATCH(D1364,tt_Type,0)),"")</f>
        <v/>
      </c>
      <c r="V1364" s="67">
        <f>IF(D1364="","",IFERROR(IF(INDEX(tt_Other,MATCH(D1364,tt_Type,0))="",E1364&amp;"",INDEX(tt_Other,MATCH(D1364,tt_Type,0))),""))</f>
        <v/>
      </c>
      <c r="W1364" s="68">
        <f>IF(OR(TaxOn&lt;&gt;"Yes",NOT(ISNUMBER(M1364))),0,IF(IFERROR(INDEX(tt_Tax,MATCH(D1364,tt_Type,0)),"No")="Yes",M1364,0))</f>
        <v/>
      </c>
      <c r="X1364" s="67">
        <f>IF(T1364=1,"",IF(C1364="","Missing transaction date",IF(NOT(ISNUMBER(C1364)),"Invalid date",IF(OR(C1364&lt;DATE(2000,1,1),C1364&gt;DATE(2099,12,31)),"Invalid date",IF(D1364="","Select a type",IF(U1364="","Unknown type: "&amp;D1364,IF(V1364="","Select an account (Category)",IF(ISNA(MATCH(V1364,coa_Name,0)),"Unknown account: "&amp;V1364,IF(K1364="","Select Paid From / Deposited To",IF(ISNA(MATCH(K1364,coa_Name,0)),"Unknown account: "&amp;K1364,IF(NOT(ISNUMBER(L1364)),"Enter an amount",IF(L1364=0,"Enter an amount",IF(ABS(W1364)&gt;ABS(L1364),"Tax is larger than the amount","")))))))))))))</f>
        <v/>
      </c>
      <c r="Y1364" s="67">
        <f>IF(OR(T1364=1,X1364&lt;&gt;""),"",IF(AND(B1364&lt;&gt;"",COUNTIF(tx_ID,B1364)&gt;1),"Duplicate transaction ID",IF(AND(L1364&lt;0,D1364&lt;&gt;"Adjustment"),"Negative amount — check this entry",IF(AND(D1364="Customer Payment",G1364=""),"Add the customer",IF(AND(D1364="Customer Payment",OR(J1364="",COUNTIF(ar_No,J1364&amp;"")=0)),"Invoice # in Reference not found on AR sheet",IF(AND(D1364="Bill Payment",H1364=""),"Add the vendor",IF(AND(D1364="Bill Payment",OR(J1364="",COUNTIFS(ap_No,J1364&amp;"",ap_Party,H1364&amp;"")=0)),"Bill # + vendor not found on AP sheet",IF(AND(ISNUMBER(M1364),N(M1364)&lt;&gt;0,W1364=0),"Tax ignored (tax tracking off, or not allowed for this type)",IF(V1364=K1364&amp;"","Same account on both sides",IF(AND(ISNUMBER(StartDate),C1364&lt;StartDate),"Date is before the accounting start date",IF(AND(D1364&lt;&gt;"Adjustment",IFERROR(INDEX(coa_Pay,MATCH(K1364&amp;"",coa_Name,0)),"")&lt;&gt;"Yes"),"Paid From / Deposited To is not a payment account","")))))))))))</f>
        <v/>
      </c>
      <c r="Z1364" s="67">
        <f>IF(AND(T1364=0,X1364=""),1,0)</f>
        <v/>
      </c>
      <c r="AA1364" s="68">
        <f>IF(Z1364=1,IF(U1364="In",L1364,L1364-W1364),0)</f>
        <v/>
      </c>
      <c r="AB1364" s="68">
        <f>IF(Z1364=1,IF(U1364="In",L1364-W1364,L1364),0)</f>
        <v/>
      </c>
      <c r="AC1364" s="68">
        <f>IF(AND(Z1364=1,U1364="Out"),W1364,0)</f>
        <v/>
      </c>
      <c r="AD1364" s="68">
        <f>IF(AND(Z1364=1,U1364="In"),W1364,0)</f>
        <v/>
      </c>
    </row>
    <row r="1365">
      <c r="B1365" s="62" t="inlineStr">
        <is>
          <t>TX-1359</t>
        </is>
      </c>
      <c r="C1365" s="63" t="n"/>
      <c r="D1365" s="62" t="n"/>
      <c r="E1365" s="62" t="n"/>
      <c r="F1365" s="62" t="n"/>
      <c r="G1365" s="62" t="n"/>
      <c r="H1365" s="62" t="n"/>
      <c r="I1365" s="62" t="n"/>
      <c r="J1365" s="62" t="n"/>
      <c r="K1365" s="62" t="n"/>
      <c r="L1365" s="64" t="n"/>
      <c r="M1365" s="64" t="n"/>
      <c r="N1365" s="62" t="n"/>
      <c r="O1365" s="65">
        <f>IF(Z1365=1,L1365-W1365,"")</f>
        <v/>
      </c>
      <c r="P1365" s="66">
        <f>IF(V1365="","",IFERROR(INDEX(coa_Type,MATCH(V1365,coa_Name,0)),""))</f>
        <v/>
      </c>
      <c r="Q1365" s="66">
        <f>IF(Z1365=1,IF(U1365="In",K1365&amp;"",V1365),"")</f>
        <v/>
      </c>
      <c r="R1365" s="66">
        <f>IF(Z1365=1,IF(U1365="In",V1365,K1365&amp;""),"")</f>
        <v/>
      </c>
      <c r="S1365" s="66">
        <f>IF(X1365&lt;&gt;"","⛔ "&amp;X1365&amp;" — not posted",IF(Y1365&lt;&gt;"","⚠ "&amp;Y1365,IF(Z1365=1,"✓ OK","")))</f>
        <v/>
      </c>
      <c r="T1365" s="67">
        <f>IF(AND(C1365="",D1365="",E1365="",L1365="",K1365=""),1,0)</f>
        <v/>
      </c>
      <c r="U1365" s="67">
        <f>IFERROR(INDEX(tt_Dir,MATCH(D1365,tt_Type,0)),"")</f>
        <v/>
      </c>
      <c r="V1365" s="67">
        <f>IF(D1365="","",IFERROR(IF(INDEX(tt_Other,MATCH(D1365,tt_Type,0))="",E1365&amp;"",INDEX(tt_Other,MATCH(D1365,tt_Type,0))),""))</f>
        <v/>
      </c>
      <c r="W1365" s="68">
        <f>IF(OR(TaxOn&lt;&gt;"Yes",NOT(ISNUMBER(M1365))),0,IF(IFERROR(INDEX(tt_Tax,MATCH(D1365,tt_Type,0)),"No")="Yes",M1365,0))</f>
        <v/>
      </c>
      <c r="X1365" s="67">
        <f>IF(T1365=1,"",IF(C1365="","Missing transaction date",IF(NOT(ISNUMBER(C1365)),"Invalid date",IF(OR(C1365&lt;DATE(2000,1,1),C1365&gt;DATE(2099,12,31)),"Invalid date",IF(D1365="","Select a type",IF(U1365="","Unknown type: "&amp;D1365,IF(V1365="","Select an account (Category)",IF(ISNA(MATCH(V1365,coa_Name,0)),"Unknown account: "&amp;V1365,IF(K1365="","Select Paid From / Deposited To",IF(ISNA(MATCH(K1365,coa_Name,0)),"Unknown account: "&amp;K1365,IF(NOT(ISNUMBER(L1365)),"Enter an amount",IF(L1365=0,"Enter an amount",IF(ABS(W1365)&gt;ABS(L1365),"Tax is larger than the amount","")))))))))))))</f>
        <v/>
      </c>
      <c r="Y1365" s="67">
        <f>IF(OR(T1365=1,X1365&lt;&gt;""),"",IF(AND(B1365&lt;&gt;"",COUNTIF(tx_ID,B1365)&gt;1),"Duplicate transaction ID",IF(AND(L1365&lt;0,D1365&lt;&gt;"Adjustment"),"Negative amount — check this entry",IF(AND(D1365="Customer Payment",G1365=""),"Add the customer",IF(AND(D1365="Customer Payment",OR(J1365="",COUNTIF(ar_No,J1365&amp;"")=0)),"Invoice # in Reference not found on AR sheet",IF(AND(D1365="Bill Payment",H1365=""),"Add the vendor",IF(AND(D1365="Bill Payment",OR(J1365="",COUNTIFS(ap_No,J1365&amp;"",ap_Party,H1365&amp;"")=0)),"Bill # + vendor not found on AP sheet",IF(AND(ISNUMBER(M1365),N(M1365)&lt;&gt;0,W1365=0),"Tax ignored (tax tracking off, or not allowed for this type)",IF(V1365=K1365&amp;"","Same account on both sides",IF(AND(ISNUMBER(StartDate),C1365&lt;StartDate),"Date is before the accounting start date",IF(AND(D1365&lt;&gt;"Adjustment",IFERROR(INDEX(coa_Pay,MATCH(K1365&amp;"",coa_Name,0)),"")&lt;&gt;"Yes"),"Paid From / Deposited To is not a payment account","")))))))))))</f>
        <v/>
      </c>
      <c r="Z1365" s="67">
        <f>IF(AND(T1365=0,X1365=""),1,0)</f>
        <v/>
      </c>
      <c r="AA1365" s="68">
        <f>IF(Z1365=1,IF(U1365="In",L1365,L1365-W1365),0)</f>
        <v/>
      </c>
      <c r="AB1365" s="68">
        <f>IF(Z1365=1,IF(U1365="In",L1365-W1365,L1365),0)</f>
        <v/>
      </c>
      <c r="AC1365" s="68">
        <f>IF(AND(Z1365=1,U1365="Out"),W1365,0)</f>
        <v/>
      </c>
      <c r="AD1365" s="68">
        <f>IF(AND(Z1365=1,U1365="In"),W1365,0)</f>
        <v/>
      </c>
    </row>
    <row r="1366">
      <c r="B1366" s="62" t="inlineStr">
        <is>
          <t>TX-1360</t>
        </is>
      </c>
      <c r="C1366" s="63" t="n"/>
      <c r="D1366" s="62" t="n"/>
      <c r="E1366" s="62" t="n"/>
      <c r="F1366" s="62" t="n"/>
      <c r="G1366" s="62" t="n"/>
      <c r="H1366" s="62" t="n"/>
      <c r="I1366" s="62" t="n"/>
      <c r="J1366" s="62" t="n"/>
      <c r="K1366" s="62" t="n"/>
      <c r="L1366" s="64" t="n"/>
      <c r="M1366" s="64" t="n"/>
      <c r="N1366" s="62" t="n"/>
      <c r="O1366" s="65">
        <f>IF(Z1366=1,L1366-W1366,"")</f>
        <v/>
      </c>
      <c r="P1366" s="66">
        <f>IF(V1366="","",IFERROR(INDEX(coa_Type,MATCH(V1366,coa_Name,0)),""))</f>
        <v/>
      </c>
      <c r="Q1366" s="66">
        <f>IF(Z1366=1,IF(U1366="In",K1366&amp;"",V1366),"")</f>
        <v/>
      </c>
      <c r="R1366" s="66">
        <f>IF(Z1366=1,IF(U1366="In",V1366,K1366&amp;""),"")</f>
        <v/>
      </c>
      <c r="S1366" s="66">
        <f>IF(X1366&lt;&gt;"","⛔ "&amp;X1366&amp;" — not posted",IF(Y1366&lt;&gt;"","⚠ "&amp;Y1366,IF(Z1366=1,"✓ OK","")))</f>
        <v/>
      </c>
      <c r="T1366" s="67">
        <f>IF(AND(C1366="",D1366="",E1366="",L1366="",K1366=""),1,0)</f>
        <v/>
      </c>
      <c r="U1366" s="67">
        <f>IFERROR(INDEX(tt_Dir,MATCH(D1366,tt_Type,0)),"")</f>
        <v/>
      </c>
      <c r="V1366" s="67">
        <f>IF(D1366="","",IFERROR(IF(INDEX(tt_Other,MATCH(D1366,tt_Type,0))="",E1366&amp;"",INDEX(tt_Other,MATCH(D1366,tt_Type,0))),""))</f>
        <v/>
      </c>
      <c r="W1366" s="68">
        <f>IF(OR(TaxOn&lt;&gt;"Yes",NOT(ISNUMBER(M1366))),0,IF(IFERROR(INDEX(tt_Tax,MATCH(D1366,tt_Type,0)),"No")="Yes",M1366,0))</f>
        <v/>
      </c>
      <c r="X1366" s="67">
        <f>IF(T1366=1,"",IF(C1366="","Missing transaction date",IF(NOT(ISNUMBER(C1366)),"Invalid date",IF(OR(C1366&lt;DATE(2000,1,1),C1366&gt;DATE(2099,12,31)),"Invalid date",IF(D1366="","Select a type",IF(U1366="","Unknown type: "&amp;D1366,IF(V1366="","Select an account (Category)",IF(ISNA(MATCH(V1366,coa_Name,0)),"Unknown account: "&amp;V1366,IF(K1366="","Select Paid From / Deposited To",IF(ISNA(MATCH(K1366,coa_Name,0)),"Unknown account: "&amp;K1366,IF(NOT(ISNUMBER(L1366)),"Enter an amount",IF(L1366=0,"Enter an amount",IF(ABS(W1366)&gt;ABS(L1366),"Tax is larger than the amount","")))))))))))))</f>
        <v/>
      </c>
      <c r="Y1366" s="67">
        <f>IF(OR(T1366=1,X1366&lt;&gt;""),"",IF(AND(B1366&lt;&gt;"",COUNTIF(tx_ID,B1366)&gt;1),"Duplicate transaction ID",IF(AND(L1366&lt;0,D1366&lt;&gt;"Adjustment"),"Negative amount — check this entry",IF(AND(D1366="Customer Payment",G1366=""),"Add the customer",IF(AND(D1366="Customer Payment",OR(J1366="",COUNTIF(ar_No,J1366&amp;"")=0)),"Invoice # in Reference not found on AR sheet",IF(AND(D1366="Bill Payment",H1366=""),"Add the vendor",IF(AND(D1366="Bill Payment",OR(J1366="",COUNTIFS(ap_No,J1366&amp;"",ap_Party,H1366&amp;"")=0)),"Bill # + vendor not found on AP sheet",IF(AND(ISNUMBER(M1366),N(M1366)&lt;&gt;0,W1366=0),"Tax ignored (tax tracking off, or not allowed for this type)",IF(V1366=K1366&amp;"","Same account on both sides",IF(AND(ISNUMBER(StartDate),C1366&lt;StartDate),"Date is before the accounting start date",IF(AND(D1366&lt;&gt;"Adjustment",IFERROR(INDEX(coa_Pay,MATCH(K1366&amp;"",coa_Name,0)),"")&lt;&gt;"Yes"),"Paid From / Deposited To is not a payment account","")))))))))))</f>
        <v/>
      </c>
      <c r="Z1366" s="67">
        <f>IF(AND(T1366=0,X1366=""),1,0)</f>
        <v/>
      </c>
      <c r="AA1366" s="68">
        <f>IF(Z1366=1,IF(U1366="In",L1366,L1366-W1366),0)</f>
        <v/>
      </c>
      <c r="AB1366" s="68">
        <f>IF(Z1366=1,IF(U1366="In",L1366-W1366,L1366),0)</f>
        <v/>
      </c>
      <c r="AC1366" s="68">
        <f>IF(AND(Z1366=1,U1366="Out"),W1366,0)</f>
        <v/>
      </c>
      <c r="AD1366" s="68">
        <f>IF(AND(Z1366=1,U1366="In"),W1366,0)</f>
        <v/>
      </c>
    </row>
    <row r="1367">
      <c r="B1367" s="62" t="inlineStr">
        <is>
          <t>TX-1361</t>
        </is>
      </c>
      <c r="C1367" s="63" t="n"/>
      <c r="D1367" s="62" t="n"/>
      <c r="E1367" s="62" t="n"/>
      <c r="F1367" s="62" t="n"/>
      <c r="G1367" s="62" t="n"/>
      <c r="H1367" s="62" t="n"/>
      <c r="I1367" s="62" t="n"/>
      <c r="J1367" s="62" t="n"/>
      <c r="K1367" s="62" t="n"/>
      <c r="L1367" s="64" t="n"/>
      <c r="M1367" s="64" t="n"/>
      <c r="N1367" s="62" t="n"/>
      <c r="O1367" s="65">
        <f>IF(Z1367=1,L1367-W1367,"")</f>
        <v/>
      </c>
      <c r="P1367" s="66">
        <f>IF(V1367="","",IFERROR(INDEX(coa_Type,MATCH(V1367,coa_Name,0)),""))</f>
        <v/>
      </c>
      <c r="Q1367" s="66">
        <f>IF(Z1367=1,IF(U1367="In",K1367&amp;"",V1367),"")</f>
        <v/>
      </c>
      <c r="R1367" s="66">
        <f>IF(Z1367=1,IF(U1367="In",V1367,K1367&amp;""),"")</f>
        <v/>
      </c>
      <c r="S1367" s="66">
        <f>IF(X1367&lt;&gt;"","⛔ "&amp;X1367&amp;" — not posted",IF(Y1367&lt;&gt;"","⚠ "&amp;Y1367,IF(Z1367=1,"✓ OK","")))</f>
        <v/>
      </c>
      <c r="T1367" s="67">
        <f>IF(AND(C1367="",D1367="",E1367="",L1367="",K1367=""),1,0)</f>
        <v/>
      </c>
      <c r="U1367" s="67">
        <f>IFERROR(INDEX(tt_Dir,MATCH(D1367,tt_Type,0)),"")</f>
        <v/>
      </c>
      <c r="V1367" s="67">
        <f>IF(D1367="","",IFERROR(IF(INDEX(tt_Other,MATCH(D1367,tt_Type,0))="",E1367&amp;"",INDEX(tt_Other,MATCH(D1367,tt_Type,0))),""))</f>
        <v/>
      </c>
      <c r="W1367" s="68">
        <f>IF(OR(TaxOn&lt;&gt;"Yes",NOT(ISNUMBER(M1367))),0,IF(IFERROR(INDEX(tt_Tax,MATCH(D1367,tt_Type,0)),"No")="Yes",M1367,0))</f>
        <v/>
      </c>
      <c r="X1367" s="67">
        <f>IF(T1367=1,"",IF(C1367="","Missing transaction date",IF(NOT(ISNUMBER(C1367)),"Invalid date",IF(OR(C1367&lt;DATE(2000,1,1),C1367&gt;DATE(2099,12,31)),"Invalid date",IF(D1367="","Select a type",IF(U1367="","Unknown type: "&amp;D1367,IF(V1367="","Select an account (Category)",IF(ISNA(MATCH(V1367,coa_Name,0)),"Unknown account: "&amp;V1367,IF(K1367="","Select Paid From / Deposited To",IF(ISNA(MATCH(K1367,coa_Name,0)),"Unknown account: "&amp;K1367,IF(NOT(ISNUMBER(L1367)),"Enter an amount",IF(L1367=0,"Enter an amount",IF(ABS(W1367)&gt;ABS(L1367),"Tax is larger than the amount","")))))))))))))</f>
        <v/>
      </c>
      <c r="Y1367" s="67">
        <f>IF(OR(T1367=1,X1367&lt;&gt;""),"",IF(AND(B1367&lt;&gt;"",COUNTIF(tx_ID,B1367)&gt;1),"Duplicate transaction ID",IF(AND(L1367&lt;0,D1367&lt;&gt;"Adjustment"),"Negative amount — check this entry",IF(AND(D1367="Customer Payment",G1367=""),"Add the customer",IF(AND(D1367="Customer Payment",OR(J1367="",COUNTIF(ar_No,J1367&amp;"")=0)),"Invoice # in Reference not found on AR sheet",IF(AND(D1367="Bill Payment",H1367=""),"Add the vendor",IF(AND(D1367="Bill Payment",OR(J1367="",COUNTIFS(ap_No,J1367&amp;"",ap_Party,H1367&amp;"")=0)),"Bill # + vendor not found on AP sheet",IF(AND(ISNUMBER(M1367),N(M1367)&lt;&gt;0,W1367=0),"Tax ignored (tax tracking off, or not allowed for this type)",IF(V1367=K1367&amp;"","Same account on both sides",IF(AND(ISNUMBER(StartDate),C1367&lt;StartDate),"Date is before the accounting start date",IF(AND(D1367&lt;&gt;"Adjustment",IFERROR(INDEX(coa_Pay,MATCH(K1367&amp;"",coa_Name,0)),"")&lt;&gt;"Yes"),"Paid From / Deposited To is not a payment account","")))))))))))</f>
        <v/>
      </c>
      <c r="Z1367" s="67">
        <f>IF(AND(T1367=0,X1367=""),1,0)</f>
        <v/>
      </c>
      <c r="AA1367" s="68">
        <f>IF(Z1367=1,IF(U1367="In",L1367,L1367-W1367),0)</f>
        <v/>
      </c>
      <c r="AB1367" s="68">
        <f>IF(Z1367=1,IF(U1367="In",L1367-W1367,L1367),0)</f>
        <v/>
      </c>
      <c r="AC1367" s="68">
        <f>IF(AND(Z1367=1,U1367="Out"),W1367,0)</f>
        <v/>
      </c>
      <c r="AD1367" s="68">
        <f>IF(AND(Z1367=1,U1367="In"),W1367,0)</f>
        <v/>
      </c>
    </row>
    <row r="1368">
      <c r="B1368" s="62" t="inlineStr">
        <is>
          <t>TX-1362</t>
        </is>
      </c>
      <c r="C1368" s="63" t="n"/>
      <c r="D1368" s="62" t="n"/>
      <c r="E1368" s="62" t="n"/>
      <c r="F1368" s="62" t="n"/>
      <c r="G1368" s="62" t="n"/>
      <c r="H1368" s="62" t="n"/>
      <c r="I1368" s="62" t="n"/>
      <c r="J1368" s="62" t="n"/>
      <c r="K1368" s="62" t="n"/>
      <c r="L1368" s="64" t="n"/>
      <c r="M1368" s="64" t="n"/>
      <c r="N1368" s="62" t="n"/>
      <c r="O1368" s="65">
        <f>IF(Z1368=1,L1368-W1368,"")</f>
        <v/>
      </c>
      <c r="P1368" s="66">
        <f>IF(V1368="","",IFERROR(INDEX(coa_Type,MATCH(V1368,coa_Name,0)),""))</f>
        <v/>
      </c>
      <c r="Q1368" s="66">
        <f>IF(Z1368=1,IF(U1368="In",K1368&amp;"",V1368),"")</f>
        <v/>
      </c>
      <c r="R1368" s="66">
        <f>IF(Z1368=1,IF(U1368="In",V1368,K1368&amp;""),"")</f>
        <v/>
      </c>
      <c r="S1368" s="66">
        <f>IF(X1368&lt;&gt;"","⛔ "&amp;X1368&amp;" — not posted",IF(Y1368&lt;&gt;"","⚠ "&amp;Y1368,IF(Z1368=1,"✓ OK","")))</f>
        <v/>
      </c>
      <c r="T1368" s="67">
        <f>IF(AND(C1368="",D1368="",E1368="",L1368="",K1368=""),1,0)</f>
        <v/>
      </c>
      <c r="U1368" s="67">
        <f>IFERROR(INDEX(tt_Dir,MATCH(D1368,tt_Type,0)),"")</f>
        <v/>
      </c>
      <c r="V1368" s="67">
        <f>IF(D1368="","",IFERROR(IF(INDEX(tt_Other,MATCH(D1368,tt_Type,0))="",E1368&amp;"",INDEX(tt_Other,MATCH(D1368,tt_Type,0))),""))</f>
        <v/>
      </c>
      <c r="W1368" s="68">
        <f>IF(OR(TaxOn&lt;&gt;"Yes",NOT(ISNUMBER(M1368))),0,IF(IFERROR(INDEX(tt_Tax,MATCH(D1368,tt_Type,0)),"No")="Yes",M1368,0))</f>
        <v/>
      </c>
      <c r="X1368" s="67">
        <f>IF(T1368=1,"",IF(C1368="","Missing transaction date",IF(NOT(ISNUMBER(C1368)),"Invalid date",IF(OR(C1368&lt;DATE(2000,1,1),C1368&gt;DATE(2099,12,31)),"Invalid date",IF(D1368="","Select a type",IF(U1368="","Unknown type: "&amp;D1368,IF(V1368="","Select an account (Category)",IF(ISNA(MATCH(V1368,coa_Name,0)),"Unknown account: "&amp;V1368,IF(K1368="","Select Paid From / Deposited To",IF(ISNA(MATCH(K1368,coa_Name,0)),"Unknown account: "&amp;K1368,IF(NOT(ISNUMBER(L1368)),"Enter an amount",IF(L1368=0,"Enter an amount",IF(ABS(W1368)&gt;ABS(L1368),"Tax is larger than the amount","")))))))))))))</f>
        <v/>
      </c>
      <c r="Y1368" s="67">
        <f>IF(OR(T1368=1,X1368&lt;&gt;""),"",IF(AND(B1368&lt;&gt;"",COUNTIF(tx_ID,B1368)&gt;1),"Duplicate transaction ID",IF(AND(L1368&lt;0,D1368&lt;&gt;"Adjustment"),"Negative amount — check this entry",IF(AND(D1368="Customer Payment",G1368=""),"Add the customer",IF(AND(D1368="Customer Payment",OR(J1368="",COUNTIF(ar_No,J1368&amp;"")=0)),"Invoice # in Reference not found on AR sheet",IF(AND(D1368="Bill Payment",H1368=""),"Add the vendor",IF(AND(D1368="Bill Payment",OR(J1368="",COUNTIFS(ap_No,J1368&amp;"",ap_Party,H1368&amp;"")=0)),"Bill # + vendor not found on AP sheet",IF(AND(ISNUMBER(M1368),N(M1368)&lt;&gt;0,W1368=0),"Tax ignored (tax tracking off, or not allowed for this type)",IF(V1368=K1368&amp;"","Same account on both sides",IF(AND(ISNUMBER(StartDate),C1368&lt;StartDate),"Date is before the accounting start date",IF(AND(D1368&lt;&gt;"Adjustment",IFERROR(INDEX(coa_Pay,MATCH(K1368&amp;"",coa_Name,0)),"")&lt;&gt;"Yes"),"Paid From / Deposited To is not a payment account","")))))))))))</f>
        <v/>
      </c>
      <c r="Z1368" s="67">
        <f>IF(AND(T1368=0,X1368=""),1,0)</f>
        <v/>
      </c>
      <c r="AA1368" s="68">
        <f>IF(Z1368=1,IF(U1368="In",L1368,L1368-W1368),0)</f>
        <v/>
      </c>
      <c r="AB1368" s="68">
        <f>IF(Z1368=1,IF(U1368="In",L1368-W1368,L1368),0)</f>
        <v/>
      </c>
      <c r="AC1368" s="68">
        <f>IF(AND(Z1368=1,U1368="Out"),W1368,0)</f>
        <v/>
      </c>
      <c r="AD1368" s="68">
        <f>IF(AND(Z1368=1,U1368="In"),W1368,0)</f>
        <v/>
      </c>
    </row>
    <row r="1369">
      <c r="B1369" s="62" t="inlineStr">
        <is>
          <t>TX-1363</t>
        </is>
      </c>
      <c r="C1369" s="63" t="n"/>
      <c r="D1369" s="62" t="n"/>
      <c r="E1369" s="62" t="n"/>
      <c r="F1369" s="62" t="n"/>
      <c r="G1369" s="62" t="n"/>
      <c r="H1369" s="62" t="n"/>
      <c r="I1369" s="62" t="n"/>
      <c r="J1369" s="62" t="n"/>
      <c r="K1369" s="62" t="n"/>
      <c r="L1369" s="64" t="n"/>
      <c r="M1369" s="64" t="n"/>
      <c r="N1369" s="62" t="n"/>
      <c r="O1369" s="65">
        <f>IF(Z1369=1,L1369-W1369,"")</f>
        <v/>
      </c>
      <c r="P1369" s="66">
        <f>IF(V1369="","",IFERROR(INDEX(coa_Type,MATCH(V1369,coa_Name,0)),""))</f>
        <v/>
      </c>
      <c r="Q1369" s="66">
        <f>IF(Z1369=1,IF(U1369="In",K1369&amp;"",V1369),"")</f>
        <v/>
      </c>
      <c r="R1369" s="66">
        <f>IF(Z1369=1,IF(U1369="In",V1369,K1369&amp;""),"")</f>
        <v/>
      </c>
      <c r="S1369" s="66">
        <f>IF(X1369&lt;&gt;"","⛔ "&amp;X1369&amp;" — not posted",IF(Y1369&lt;&gt;"","⚠ "&amp;Y1369,IF(Z1369=1,"✓ OK","")))</f>
        <v/>
      </c>
      <c r="T1369" s="67">
        <f>IF(AND(C1369="",D1369="",E1369="",L1369="",K1369=""),1,0)</f>
        <v/>
      </c>
      <c r="U1369" s="67">
        <f>IFERROR(INDEX(tt_Dir,MATCH(D1369,tt_Type,0)),"")</f>
        <v/>
      </c>
      <c r="V1369" s="67">
        <f>IF(D1369="","",IFERROR(IF(INDEX(tt_Other,MATCH(D1369,tt_Type,0))="",E1369&amp;"",INDEX(tt_Other,MATCH(D1369,tt_Type,0))),""))</f>
        <v/>
      </c>
      <c r="W1369" s="68">
        <f>IF(OR(TaxOn&lt;&gt;"Yes",NOT(ISNUMBER(M1369))),0,IF(IFERROR(INDEX(tt_Tax,MATCH(D1369,tt_Type,0)),"No")="Yes",M1369,0))</f>
        <v/>
      </c>
      <c r="X1369" s="67">
        <f>IF(T1369=1,"",IF(C1369="","Missing transaction date",IF(NOT(ISNUMBER(C1369)),"Invalid date",IF(OR(C1369&lt;DATE(2000,1,1),C1369&gt;DATE(2099,12,31)),"Invalid date",IF(D1369="","Select a type",IF(U1369="","Unknown type: "&amp;D1369,IF(V1369="","Select an account (Category)",IF(ISNA(MATCH(V1369,coa_Name,0)),"Unknown account: "&amp;V1369,IF(K1369="","Select Paid From / Deposited To",IF(ISNA(MATCH(K1369,coa_Name,0)),"Unknown account: "&amp;K1369,IF(NOT(ISNUMBER(L1369)),"Enter an amount",IF(L1369=0,"Enter an amount",IF(ABS(W1369)&gt;ABS(L1369),"Tax is larger than the amount","")))))))))))))</f>
        <v/>
      </c>
      <c r="Y1369" s="67">
        <f>IF(OR(T1369=1,X1369&lt;&gt;""),"",IF(AND(B1369&lt;&gt;"",COUNTIF(tx_ID,B1369)&gt;1),"Duplicate transaction ID",IF(AND(L1369&lt;0,D1369&lt;&gt;"Adjustment"),"Negative amount — check this entry",IF(AND(D1369="Customer Payment",G1369=""),"Add the customer",IF(AND(D1369="Customer Payment",OR(J1369="",COUNTIF(ar_No,J1369&amp;"")=0)),"Invoice # in Reference not found on AR sheet",IF(AND(D1369="Bill Payment",H1369=""),"Add the vendor",IF(AND(D1369="Bill Payment",OR(J1369="",COUNTIFS(ap_No,J1369&amp;"",ap_Party,H1369&amp;"")=0)),"Bill # + vendor not found on AP sheet",IF(AND(ISNUMBER(M1369),N(M1369)&lt;&gt;0,W1369=0),"Tax ignored (tax tracking off, or not allowed for this type)",IF(V1369=K1369&amp;"","Same account on both sides",IF(AND(ISNUMBER(StartDate),C1369&lt;StartDate),"Date is before the accounting start date",IF(AND(D1369&lt;&gt;"Adjustment",IFERROR(INDEX(coa_Pay,MATCH(K1369&amp;"",coa_Name,0)),"")&lt;&gt;"Yes"),"Paid From / Deposited To is not a payment account","")))))))))))</f>
        <v/>
      </c>
      <c r="Z1369" s="67">
        <f>IF(AND(T1369=0,X1369=""),1,0)</f>
        <v/>
      </c>
      <c r="AA1369" s="68">
        <f>IF(Z1369=1,IF(U1369="In",L1369,L1369-W1369),0)</f>
        <v/>
      </c>
      <c r="AB1369" s="68">
        <f>IF(Z1369=1,IF(U1369="In",L1369-W1369,L1369),0)</f>
        <v/>
      </c>
      <c r="AC1369" s="68">
        <f>IF(AND(Z1369=1,U1369="Out"),W1369,0)</f>
        <v/>
      </c>
      <c r="AD1369" s="68">
        <f>IF(AND(Z1369=1,U1369="In"),W1369,0)</f>
        <v/>
      </c>
    </row>
    <row r="1370">
      <c r="B1370" s="62" t="inlineStr">
        <is>
          <t>TX-1364</t>
        </is>
      </c>
      <c r="C1370" s="63" t="n"/>
      <c r="D1370" s="62" t="n"/>
      <c r="E1370" s="62" t="n"/>
      <c r="F1370" s="62" t="n"/>
      <c r="G1370" s="62" t="n"/>
      <c r="H1370" s="62" t="n"/>
      <c r="I1370" s="62" t="n"/>
      <c r="J1370" s="62" t="n"/>
      <c r="K1370" s="62" t="n"/>
      <c r="L1370" s="64" t="n"/>
      <c r="M1370" s="64" t="n"/>
      <c r="N1370" s="62" t="n"/>
      <c r="O1370" s="65">
        <f>IF(Z1370=1,L1370-W1370,"")</f>
        <v/>
      </c>
      <c r="P1370" s="66">
        <f>IF(V1370="","",IFERROR(INDEX(coa_Type,MATCH(V1370,coa_Name,0)),""))</f>
        <v/>
      </c>
      <c r="Q1370" s="66">
        <f>IF(Z1370=1,IF(U1370="In",K1370&amp;"",V1370),"")</f>
        <v/>
      </c>
      <c r="R1370" s="66">
        <f>IF(Z1370=1,IF(U1370="In",V1370,K1370&amp;""),"")</f>
        <v/>
      </c>
      <c r="S1370" s="66">
        <f>IF(X1370&lt;&gt;"","⛔ "&amp;X1370&amp;" — not posted",IF(Y1370&lt;&gt;"","⚠ "&amp;Y1370,IF(Z1370=1,"✓ OK","")))</f>
        <v/>
      </c>
      <c r="T1370" s="67">
        <f>IF(AND(C1370="",D1370="",E1370="",L1370="",K1370=""),1,0)</f>
        <v/>
      </c>
      <c r="U1370" s="67">
        <f>IFERROR(INDEX(tt_Dir,MATCH(D1370,tt_Type,0)),"")</f>
        <v/>
      </c>
      <c r="V1370" s="67">
        <f>IF(D1370="","",IFERROR(IF(INDEX(tt_Other,MATCH(D1370,tt_Type,0))="",E1370&amp;"",INDEX(tt_Other,MATCH(D1370,tt_Type,0))),""))</f>
        <v/>
      </c>
      <c r="W1370" s="68">
        <f>IF(OR(TaxOn&lt;&gt;"Yes",NOT(ISNUMBER(M1370))),0,IF(IFERROR(INDEX(tt_Tax,MATCH(D1370,tt_Type,0)),"No")="Yes",M1370,0))</f>
        <v/>
      </c>
      <c r="X1370" s="67">
        <f>IF(T1370=1,"",IF(C1370="","Missing transaction date",IF(NOT(ISNUMBER(C1370)),"Invalid date",IF(OR(C1370&lt;DATE(2000,1,1),C1370&gt;DATE(2099,12,31)),"Invalid date",IF(D1370="","Select a type",IF(U1370="","Unknown type: "&amp;D1370,IF(V1370="","Select an account (Category)",IF(ISNA(MATCH(V1370,coa_Name,0)),"Unknown account: "&amp;V1370,IF(K1370="","Select Paid From / Deposited To",IF(ISNA(MATCH(K1370,coa_Name,0)),"Unknown account: "&amp;K1370,IF(NOT(ISNUMBER(L1370)),"Enter an amount",IF(L1370=0,"Enter an amount",IF(ABS(W1370)&gt;ABS(L1370),"Tax is larger than the amount","")))))))))))))</f>
        <v/>
      </c>
      <c r="Y1370" s="67">
        <f>IF(OR(T1370=1,X1370&lt;&gt;""),"",IF(AND(B1370&lt;&gt;"",COUNTIF(tx_ID,B1370)&gt;1),"Duplicate transaction ID",IF(AND(L1370&lt;0,D1370&lt;&gt;"Adjustment"),"Negative amount — check this entry",IF(AND(D1370="Customer Payment",G1370=""),"Add the customer",IF(AND(D1370="Customer Payment",OR(J1370="",COUNTIF(ar_No,J1370&amp;"")=0)),"Invoice # in Reference not found on AR sheet",IF(AND(D1370="Bill Payment",H1370=""),"Add the vendor",IF(AND(D1370="Bill Payment",OR(J1370="",COUNTIFS(ap_No,J1370&amp;"",ap_Party,H1370&amp;"")=0)),"Bill # + vendor not found on AP sheet",IF(AND(ISNUMBER(M1370),N(M1370)&lt;&gt;0,W1370=0),"Tax ignored (tax tracking off, or not allowed for this type)",IF(V1370=K1370&amp;"","Same account on both sides",IF(AND(ISNUMBER(StartDate),C1370&lt;StartDate),"Date is before the accounting start date",IF(AND(D1370&lt;&gt;"Adjustment",IFERROR(INDEX(coa_Pay,MATCH(K1370&amp;"",coa_Name,0)),"")&lt;&gt;"Yes"),"Paid From / Deposited To is not a payment account","")))))))))))</f>
        <v/>
      </c>
      <c r="Z1370" s="67">
        <f>IF(AND(T1370=0,X1370=""),1,0)</f>
        <v/>
      </c>
      <c r="AA1370" s="68">
        <f>IF(Z1370=1,IF(U1370="In",L1370,L1370-W1370),0)</f>
        <v/>
      </c>
      <c r="AB1370" s="68">
        <f>IF(Z1370=1,IF(U1370="In",L1370-W1370,L1370),0)</f>
        <v/>
      </c>
      <c r="AC1370" s="68">
        <f>IF(AND(Z1370=1,U1370="Out"),W1370,0)</f>
        <v/>
      </c>
      <c r="AD1370" s="68">
        <f>IF(AND(Z1370=1,U1370="In"),W1370,0)</f>
        <v/>
      </c>
    </row>
    <row r="1371">
      <c r="B1371" s="62" t="inlineStr">
        <is>
          <t>TX-1365</t>
        </is>
      </c>
      <c r="C1371" s="63" t="n"/>
      <c r="D1371" s="62" t="n"/>
      <c r="E1371" s="62" t="n"/>
      <c r="F1371" s="62" t="n"/>
      <c r="G1371" s="62" t="n"/>
      <c r="H1371" s="62" t="n"/>
      <c r="I1371" s="62" t="n"/>
      <c r="J1371" s="62" t="n"/>
      <c r="K1371" s="62" t="n"/>
      <c r="L1371" s="64" t="n"/>
      <c r="M1371" s="64" t="n"/>
      <c r="N1371" s="62" t="n"/>
      <c r="O1371" s="65">
        <f>IF(Z1371=1,L1371-W1371,"")</f>
        <v/>
      </c>
      <c r="P1371" s="66">
        <f>IF(V1371="","",IFERROR(INDEX(coa_Type,MATCH(V1371,coa_Name,0)),""))</f>
        <v/>
      </c>
      <c r="Q1371" s="66">
        <f>IF(Z1371=1,IF(U1371="In",K1371&amp;"",V1371),"")</f>
        <v/>
      </c>
      <c r="R1371" s="66">
        <f>IF(Z1371=1,IF(U1371="In",V1371,K1371&amp;""),"")</f>
        <v/>
      </c>
      <c r="S1371" s="66">
        <f>IF(X1371&lt;&gt;"","⛔ "&amp;X1371&amp;" — not posted",IF(Y1371&lt;&gt;"","⚠ "&amp;Y1371,IF(Z1371=1,"✓ OK","")))</f>
        <v/>
      </c>
      <c r="T1371" s="67">
        <f>IF(AND(C1371="",D1371="",E1371="",L1371="",K1371=""),1,0)</f>
        <v/>
      </c>
      <c r="U1371" s="67">
        <f>IFERROR(INDEX(tt_Dir,MATCH(D1371,tt_Type,0)),"")</f>
        <v/>
      </c>
      <c r="V1371" s="67">
        <f>IF(D1371="","",IFERROR(IF(INDEX(tt_Other,MATCH(D1371,tt_Type,0))="",E1371&amp;"",INDEX(tt_Other,MATCH(D1371,tt_Type,0))),""))</f>
        <v/>
      </c>
      <c r="W1371" s="68">
        <f>IF(OR(TaxOn&lt;&gt;"Yes",NOT(ISNUMBER(M1371))),0,IF(IFERROR(INDEX(tt_Tax,MATCH(D1371,tt_Type,0)),"No")="Yes",M1371,0))</f>
        <v/>
      </c>
      <c r="X1371" s="67">
        <f>IF(T1371=1,"",IF(C1371="","Missing transaction date",IF(NOT(ISNUMBER(C1371)),"Invalid date",IF(OR(C1371&lt;DATE(2000,1,1),C1371&gt;DATE(2099,12,31)),"Invalid date",IF(D1371="","Select a type",IF(U1371="","Unknown type: "&amp;D1371,IF(V1371="","Select an account (Category)",IF(ISNA(MATCH(V1371,coa_Name,0)),"Unknown account: "&amp;V1371,IF(K1371="","Select Paid From / Deposited To",IF(ISNA(MATCH(K1371,coa_Name,0)),"Unknown account: "&amp;K1371,IF(NOT(ISNUMBER(L1371)),"Enter an amount",IF(L1371=0,"Enter an amount",IF(ABS(W1371)&gt;ABS(L1371),"Tax is larger than the amount","")))))))))))))</f>
        <v/>
      </c>
      <c r="Y1371" s="67">
        <f>IF(OR(T1371=1,X1371&lt;&gt;""),"",IF(AND(B1371&lt;&gt;"",COUNTIF(tx_ID,B1371)&gt;1),"Duplicate transaction ID",IF(AND(L1371&lt;0,D1371&lt;&gt;"Adjustment"),"Negative amount — check this entry",IF(AND(D1371="Customer Payment",G1371=""),"Add the customer",IF(AND(D1371="Customer Payment",OR(J1371="",COUNTIF(ar_No,J1371&amp;"")=0)),"Invoice # in Reference not found on AR sheet",IF(AND(D1371="Bill Payment",H1371=""),"Add the vendor",IF(AND(D1371="Bill Payment",OR(J1371="",COUNTIFS(ap_No,J1371&amp;"",ap_Party,H1371&amp;"")=0)),"Bill # + vendor not found on AP sheet",IF(AND(ISNUMBER(M1371),N(M1371)&lt;&gt;0,W1371=0),"Tax ignored (tax tracking off, or not allowed for this type)",IF(V1371=K1371&amp;"","Same account on both sides",IF(AND(ISNUMBER(StartDate),C1371&lt;StartDate),"Date is before the accounting start date",IF(AND(D1371&lt;&gt;"Adjustment",IFERROR(INDEX(coa_Pay,MATCH(K1371&amp;"",coa_Name,0)),"")&lt;&gt;"Yes"),"Paid From / Deposited To is not a payment account","")))))))))))</f>
        <v/>
      </c>
      <c r="Z1371" s="67">
        <f>IF(AND(T1371=0,X1371=""),1,0)</f>
        <v/>
      </c>
      <c r="AA1371" s="68">
        <f>IF(Z1371=1,IF(U1371="In",L1371,L1371-W1371),0)</f>
        <v/>
      </c>
      <c r="AB1371" s="68">
        <f>IF(Z1371=1,IF(U1371="In",L1371-W1371,L1371),0)</f>
        <v/>
      </c>
      <c r="AC1371" s="68">
        <f>IF(AND(Z1371=1,U1371="Out"),W1371,0)</f>
        <v/>
      </c>
      <c r="AD1371" s="68">
        <f>IF(AND(Z1371=1,U1371="In"),W1371,0)</f>
        <v/>
      </c>
    </row>
    <row r="1372">
      <c r="B1372" s="62" t="inlineStr">
        <is>
          <t>TX-1366</t>
        </is>
      </c>
      <c r="C1372" s="63" t="n"/>
      <c r="D1372" s="62" t="n"/>
      <c r="E1372" s="62" t="n"/>
      <c r="F1372" s="62" t="n"/>
      <c r="G1372" s="62" t="n"/>
      <c r="H1372" s="62" t="n"/>
      <c r="I1372" s="62" t="n"/>
      <c r="J1372" s="62" t="n"/>
      <c r="K1372" s="62" t="n"/>
      <c r="L1372" s="64" t="n"/>
      <c r="M1372" s="64" t="n"/>
      <c r="N1372" s="62" t="n"/>
      <c r="O1372" s="65">
        <f>IF(Z1372=1,L1372-W1372,"")</f>
        <v/>
      </c>
      <c r="P1372" s="66">
        <f>IF(V1372="","",IFERROR(INDEX(coa_Type,MATCH(V1372,coa_Name,0)),""))</f>
        <v/>
      </c>
      <c r="Q1372" s="66">
        <f>IF(Z1372=1,IF(U1372="In",K1372&amp;"",V1372),"")</f>
        <v/>
      </c>
      <c r="R1372" s="66">
        <f>IF(Z1372=1,IF(U1372="In",V1372,K1372&amp;""),"")</f>
        <v/>
      </c>
      <c r="S1372" s="66">
        <f>IF(X1372&lt;&gt;"","⛔ "&amp;X1372&amp;" — not posted",IF(Y1372&lt;&gt;"","⚠ "&amp;Y1372,IF(Z1372=1,"✓ OK","")))</f>
        <v/>
      </c>
      <c r="T1372" s="67">
        <f>IF(AND(C1372="",D1372="",E1372="",L1372="",K1372=""),1,0)</f>
        <v/>
      </c>
      <c r="U1372" s="67">
        <f>IFERROR(INDEX(tt_Dir,MATCH(D1372,tt_Type,0)),"")</f>
        <v/>
      </c>
      <c r="V1372" s="67">
        <f>IF(D1372="","",IFERROR(IF(INDEX(tt_Other,MATCH(D1372,tt_Type,0))="",E1372&amp;"",INDEX(tt_Other,MATCH(D1372,tt_Type,0))),""))</f>
        <v/>
      </c>
      <c r="W1372" s="68">
        <f>IF(OR(TaxOn&lt;&gt;"Yes",NOT(ISNUMBER(M1372))),0,IF(IFERROR(INDEX(tt_Tax,MATCH(D1372,tt_Type,0)),"No")="Yes",M1372,0))</f>
        <v/>
      </c>
      <c r="X1372" s="67">
        <f>IF(T1372=1,"",IF(C1372="","Missing transaction date",IF(NOT(ISNUMBER(C1372)),"Invalid date",IF(OR(C1372&lt;DATE(2000,1,1),C1372&gt;DATE(2099,12,31)),"Invalid date",IF(D1372="","Select a type",IF(U1372="","Unknown type: "&amp;D1372,IF(V1372="","Select an account (Category)",IF(ISNA(MATCH(V1372,coa_Name,0)),"Unknown account: "&amp;V1372,IF(K1372="","Select Paid From / Deposited To",IF(ISNA(MATCH(K1372,coa_Name,0)),"Unknown account: "&amp;K1372,IF(NOT(ISNUMBER(L1372)),"Enter an amount",IF(L1372=0,"Enter an amount",IF(ABS(W1372)&gt;ABS(L1372),"Tax is larger than the amount","")))))))))))))</f>
        <v/>
      </c>
      <c r="Y1372" s="67">
        <f>IF(OR(T1372=1,X1372&lt;&gt;""),"",IF(AND(B1372&lt;&gt;"",COUNTIF(tx_ID,B1372)&gt;1),"Duplicate transaction ID",IF(AND(L1372&lt;0,D1372&lt;&gt;"Adjustment"),"Negative amount — check this entry",IF(AND(D1372="Customer Payment",G1372=""),"Add the customer",IF(AND(D1372="Customer Payment",OR(J1372="",COUNTIF(ar_No,J1372&amp;"")=0)),"Invoice # in Reference not found on AR sheet",IF(AND(D1372="Bill Payment",H1372=""),"Add the vendor",IF(AND(D1372="Bill Payment",OR(J1372="",COUNTIFS(ap_No,J1372&amp;"",ap_Party,H1372&amp;"")=0)),"Bill # + vendor not found on AP sheet",IF(AND(ISNUMBER(M1372),N(M1372)&lt;&gt;0,W1372=0),"Tax ignored (tax tracking off, or not allowed for this type)",IF(V1372=K1372&amp;"","Same account on both sides",IF(AND(ISNUMBER(StartDate),C1372&lt;StartDate),"Date is before the accounting start date",IF(AND(D1372&lt;&gt;"Adjustment",IFERROR(INDEX(coa_Pay,MATCH(K1372&amp;"",coa_Name,0)),"")&lt;&gt;"Yes"),"Paid From / Deposited To is not a payment account","")))))))))))</f>
        <v/>
      </c>
      <c r="Z1372" s="67">
        <f>IF(AND(T1372=0,X1372=""),1,0)</f>
        <v/>
      </c>
      <c r="AA1372" s="68">
        <f>IF(Z1372=1,IF(U1372="In",L1372,L1372-W1372),0)</f>
        <v/>
      </c>
      <c r="AB1372" s="68">
        <f>IF(Z1372=1,IF(U1372="In",L1372-W1372,L1372),0)</f>
        <v/>
      </c>
      <c r="AC1372" s="68">
        <f>IF(AND(Z1372=1,U1372="Out"),W1372,0)</f>
        <v/>
      </c>
      <c r="AD1372" s="68">
        <f>IF(AND(Z1372=1,U1372="In"),W1372,0)</f>
        <v/>
      </c>
    </row>
    <row r="1373">
      <c r="B1373" s="62" t="inlineStr">
        <is>
          <t>TX-1367</t>
        </is>
      </c>
      <c r="C1373" s="63" t="n"/>
      <c r="D1373" s="62" t="n"/>
      <c r="E1373" s="62" t="n"/>
      <c r="F1373" s="62" t="n"/>
      <c r="G1373" s="62" t="n"/>
      <c r="H1373" s="62" t="n"/>
      <c r="I1373" s="62" t="n"/>
      <c r="J1373" s="62" t="n"/>
      <c r="K1373" s="62" t="n"/>
      <c r="L1373" s="64" t="n"/>
      <c r="M1373" s="64" t="n"/>
      <c r="N1373" s="62" t="n"/>
      <c r="O1373" s="65">
        <f>IF(Z1373=1,L1373-W1373,"")</f>
        <v/>
      </c>
      <c r="P1373" s="66">
        <f>IF(V1373="","",IFERROR(INDEX(coa_Type,MATCH(V1373,coa_Name,0)),""))</f>
        <v/>
      </c>
      <c r="Q1373" s="66">
        <f>IF(Z1373=1,IF(U1373="In",K1373&amp;"",V1373),"")</f>
        <v/>
      </c>
      <c r="R1373" s="66">
        <f>IF(Z1373=1,IF(U1373="In",V1373,K1373&amp;""),"")</f>
        <v/>
      </c>
      <c r="S1373" s="66">
        <f>IF(X1373&lt;&gt;"","⛔ "&amp;X1373&amp;" — not posted",IF(Y1373&lt;&gt;"","⚠ "&amp;Y1373,IF(Z1373=1,"✓ OK","")))</f>
        <v/>
      </c>
      <c r="T1373" s="67">
        <f>IF(AND(C1373="",D1373="",E1373="",L1373="",K1373=""),1,0)</f>
        <v/>
      </c>
      <c r="U1373" s="67">
        <f>IFERROR(INDEX(tt_Dir,MATCH(D1373,tt_Type,0)),"")</f>
        <v/>
      </c>
      <c r="V1373" s="67">
        <f>IF(D1373="","",IFERROR(IF(INDEX(tt_Other,MATCH(D1373,tt_Type,0))="",E1373&amp;"",INDEX(tt_Other,MATCH(D1373,tt_Type,0))),""))</f>
        <v/>
      </c>
      <c r="W1373" s="68">
        <f>IF(OR(TaxOn&lt;&gt;"Yes",NOT(ISNUMBER(M1373))),0,IF(IFERROR(INDEX(tt_Tax,MATCH(D1373,tt_Type,0)),"No")="Yes",M1373,0))</f>
        <v/>
      </c>
      <c r="X1373" s="67">
        <f>IF(T1373=1,"",IF(C1373="","Missing transaction date",IF(NOT(ISNUMBER(C1373)),"Invalid date",IF(OR(C1373&lt;DATE(2000,1,1),C1373&gt;DATE(2099,12,31)),"Invalid date",IF(D1373="","Select a type",IF(U1373="","Unknown type: "&amp;D1373,IF(V1373="","Select an account (Category)",IF(ISNA(MATCH(V1373,coa_Name,0)),"Unknown account: "&amp;V1373,IF(K1373="","Select Paid From / Deposited To",IF(ISNA(MATCH(K1373,coa_Name,0)),"Unknown account: "&amp;K1373,IF(NOT(ISNUMBER(L1373)),"Enter an amount",IF(L1373=0,"Enter an amount",IF(ABS(W1373)&gt;ABS(L1373),"Tax is larger than the amount","")))))))))))))</f>
        <v/>
      </c>
      <c r="Y1373" s="67">
        <f>IF(OR(T1373=1,X1373&lt;&gt;""),"",IF(AND(B1373&lt;&gt;"",COUNTIF(tx_ID,B1373)&gt;1),"Duplicate transaction ID",IF(AND(L1373&lt;0,D1373&lt;&gt;"Adjustment"),"Negative amount — check this entry",IF(AND(D1373="Customer Payment",G1373=""),"Add the customer",IF(AND(D1373="Customer Payment",OR(J1373="",COUNTIF(ar_No,J1373&amp;"")=0)),"Invoice # in Reference not found on AR sheet",IF(AND(D1373="Bill Payment",H1373=""),"Add the vendor",IF(AND(D1373="Bill Payment",OR(J1373="",COUNTIFS(ap_No,J1373&amp;"",ap_Party,H1373&amp;"")=0)),"Bill # + vendor not found on AP sheet",IF(AND(ISNUMBER(M1373),N(M1373)&lt;&gt;0,W1373=0),"Tax ignored (tax tracking off, or not allowed for this type)",IF(V1373=K1373&amp;"","Same account on both sides",IF(AND(ISNUMBER(StartDate),C1373&lt;StartDate),"Date is before the accounting start date",IF(AND(D1373&lt;&gt;"Adjustment",IFERROR(INDEX(coa_Pay,MATCH(K1373&amp;"",coa_Name,0)),"")&lt;&gt;"Yes"),"Paid From / Deposited To is not a payment account","")))))))))))</f>
        <v/>
      </c>
      <c r="Z1373" s="67">
        <f>IF(AND(T1373=0,X1373=""),1,0)</f>
        <v/>
      </c>
      <c r="AA1373" s="68">
        <f>IF(Z1373=1,IF(U1373="In",L1373,L1373-W1373),0)</f>
        <v/>
      </c>
      <c r="AB1373" s="68">
        <f>IF(Z1373=1,IF(U1373="In",L1373-W1373,L1373),0)</f>
        <v/>
      </c>
      <c r="AC1373" s="68">
        <f>IF(AND(Z1373=1,U1373="Out"),W1373,0)</f>
        <v/>
      </c>
      <c r="AD1373" s="68">
        <f>IF(AND(Z1373=1,U1373="In"),W1373,0)</f>
        <v/>
      </c>
    </row>
    <row r="1374">
      <c r="B1374" s="62" t="inlineStr">
        <is>
          <t>TX-1368</t>
        </is>
      </c>
      <c r="C1374" s="63" t="n"/>
      <c r="D1374" s="62" t="n"/>
      <c r="E1374" s="62" t="n"/>
      <c r="F1374" s="62" t="n"/>
      <c r="G1374" s="62" t="n"/>
      <c r="H1374" s="62" t="n"/>
      <c r="I1374" s="62" t="n"/>
      <c r="J1374" s="62" t="n"/>
      <c r="K1374" s="62" t="n"/>
      <c r="L1374" s="64" t="n"/>
      <c r="M1374" s="64" t="n"/>
      <c r="N1374" s="62" t="n"/>
      <c r="O1374" s="65">
        <f>IF(Z1374=1,L1374-W1374,"")</f>
        <v/>
      </c>
      <c r="P1374" s="66">
        <f>IF(V1374="","",IFERROR(INDEX(coa_Type,MATCH(V1374,coa_Name,0)),""))</f>
        <v/>
      </c>
      <c r="Q1374" s="66">
        <f>IF(Z1374=1,IF(U1374="In",K1374&amp;"",V1374),"")</f>
        <v/>
      </c>
      <c r="R1374" s="66">
        <f>IF(Z1374=1,IF(U1374="In",V1374,K1374&amp;""),"")</f>
        <v/>
      </c>
      <c r="S1374" s="66">
        <f>IF(X1374&lt;&gt;"","⛔ "&amp;X1374&amp;" — not posted",IF(Y1374&lt;&gt;"","⚠ "&amp;Y1374,IF(Z1374=1,"✓ OK","")))</f>
        <v/>
      </c>
      <c r="T1374" s="67">
        <f>IF(AND(C1374="",D1374="",E1374="",L1374="",K1374=""),1,0)</f>
        <v/>
      </c>
      <c r="U1374" s="67">
        <f>IFERROR(INDEX(tt_Dir,MATCH(D1374,tt_Type,0)),"")</f>
        <v/>
      </c>
      <c r="V1374" s="67">
        <f>IF(D1374="","",IFERROR(IF(INDEX(tt_Other,MATCH(D1374,tt_Type,0))="",E1374&amp;"",INDEX(tt_Other,MATCH(D1374,tt_Type,0))),""))</f>
        <v/>
      </c>
      <c r="W1374" s="68">
        <f>IF(OR(TaxOn&lt;&gt;"Yes",NOT(ISNUMBER(M1374))),0,IF(IFERROR(INDEX(tt_Tax,MATCH(D1374,tt_Type,0)),"No")="Yes",M1374,0))</f>
        <v/>
      </c>
      <c r="X1374" s="67">
        <f>IF(T1374=1,"",IF(C1374="","Missing transaction date",IF(NOT(ISNUMBER(C1374)),"Invalid date",IF(OR(C1374&lt;DATE(2000,1,1),C1374&gt;DATE(2099,12,31)),"Invalid date",IF(D1374="","Select a type",IF(U1374="","Unknown type: "&amp;D1374,IF(V1374="","Select an account (Category)",IF(ISNA(MATCH(V1374,coa_Name,0)),"Unknown account: "&amp;V1374,IF(K1374="","Select Paid From / Deposited To",IF(ISNA(MATCH(K1374,coa_Name,0)),"Unknown account: "&amp;K1374,IF(NOT(ISNUMBER(L1374)),"Enter an amount",IF(L1374=0,"Enter an amount",IF(ABS(W1374)&gt;ABS(L1374),"Tax is larger than the amount","")))))))))))))</f>
        <v/>
      </c>
      <c r="Y1374" s="67">
        <f>IF(OR(T1374=1,X1374&lt;&gt;""),"",IF(AND(B1374&lt;&gt;"",COUNTIF(tx_ID,B1374)&gt;1),"Duplicate transaction ID",IF(AND(L1374&lt;0,D1374&lt;&gt;"Adjustment"),"Negative amount — check this entry",IF(AND(D1374="Customer Payment",G1374=""),"Add the customer",IF(AND(D1374="Customer Payment",OR(J1374="",COUNTIF(ar_No,J1374&amp;"")=0)),"Invoice # in Reference not found on AR sheet",IF(AND(D1374="Bill Payment",H1374=""),"Add the vendor",IF(AND(D1374="Bill Payment",OR(J1374="",COUNTIFS(ap_No,J1374&amp;"",ap_Party,H1374&amp;"")=0)),"Bill # + vendor not found on AP sheet",IF(AND(ISNUMBER(M1374),N(M1374)&lt;&gt;0,W1374=0),"Tax ignored (tax tracking off, or not allowed for this type)",IF(V1374=K1374&amp;"","Same account on both sides",IF(AND(ISNUMBER(StartDate),C1374&lt;StartDate),"Date is before the accounting start date",IF(AND(D1374&lt;&gt;"Adjustment",IFERROR(INDEX(coa_Pay,MATCH(K1374&amp;"",coa_Name,0)),"")&lt;&gt;"Yes"),"Paid From / Deposited To is not a payment account","")))))))))))</f>
        <v/>
      </c>
      <c r="Z1374" s="67">
        <f>IF(AND(T1374=0,X1374=""),1,0)</f>
        <v/>
      </c>
      <c r="AA1374" s="68">
        <f>IF(Z1374=1,IF(U1374="In",L1374,L1374-W1374),0)</f>
        <v/>
      </c>
      <c r="AB1374" s="68">
        <f>IF(Z1374=1,IF(U1374="In",L1374-W1374,L1374),0)</f>
        <v/>
      </c>
      <c r="AC1374" s="68">
        <f>IF(AND(Z1374=1,U1374="Out"),W1374,0)</f>
        <v/>
      </c>
      <c r="AD1374" s="68">
        <f>IF(AND(Z1374=1,U1374="In"),W1374,0)</f>
        <v/>
      </c>
    </row>
    <row r="1375">
      <c r="B1375" s="62" t="inlineStr">
        <is>
          <t>TX-1369</t>
        </is>
      </c>
      <c r="C1375" s="63" t="n"/>
      <c r="D1375" s="62" t="n"/>
      <c r="E1375" s="62" t="n"/>
      <c r="F1375" s="62" t="n"/>
      <c r="G1375" s="62" t="n"/>
      <c r="H1375" s="62" t="n"/>
      <c r="I1375" s="62" t="n"/>
      <c r="J1375" s="62" t="n"/>
      <c r="K1375" s="62" t="n"/>
      <c r="L1375" s="64" t="n"/>
      <c r="M1375" s="64" t="n"/>
      <c r="N1375" s="62" t="n"/>
      <c r="O1375" s="65">
        <f>IF(Z1375=1,L1375-W1375,"")</f>
        <v/>
      </c>
      <c r="P1375" s="66">
        <f>IF(V1375="","",IFERROR(INDEX(coa_Type,MATCH(V1375,coa_Name,0)),""))</f>
        <v/>
      </c>
      <c r="Q1375" s="66">
        <f>IF(Z1375=1,IF(U1375="In",K1375&amp;"",V1375),"")</f>
        <v/>
      </c>
      <c r="R1375" s="66">
        <f>IF(Z1375=1,IF(U1375="In",V1375,K1375&amp;""),"")</f>
        <v/>
      </c>
      <c r="S1375" s="66">
        <f>IF(X1375&lt;&gt;"","⛔ "&amp;X1375&amp;" — not posted",IF(Y1375&lt;&gt;"","⚠ "&amp;Y1375,IF(Z1375=1,"✓ OK","")))</f>
        <v/>
      </c>
      <c r="T1375" s="67">
        <f>IF(AND(C1375="",D1375="",E1375="",L1375="",K1375=""),1,0)</f>
        <v/>
      </c>
      <c r="U1375" s="67">
        <f>IFERROR(INDEX(tt_Dir,MATCH(D1375,tt_Type,0)),"")</f>
        <v/>
      </c>
      <c r="V1375" s="67">
        <f>IF(D1375="","",IFERROR(IF(INDEX(tt_Other,MATCH(D1375,tt_Type,0))="",E1375&amp;"",INDEX(tt_Other,MATCH(D1375,tt_Type,0))),""))</f>
        <v/>
      </c>
      <c r="W1375" s="68">
        <f>IF(OR(TaxOn&lt;&gt;"Yes",NOT(ISNUMBER(M1375))),0,IF(IFERROR(INDEX(tt_Tax,MATCH(D1375,tt_Type,0)),"No")="Yes",M1375,0))</f>
        <v/>
      </c>
      <c r="X1375" s="67">
        <f>IF(T1375=1,"",IF(C1375="","Missing transaction date",IF(NOT(ISNUMBER(C1375)),"Invalid date",IF(OR(C1375&lt;DATE(2000,1,1),C1375&gt;DATE(2099,12,31)),"Invalid date",IF(D1375="","Select a type",IF(U1375="","Unknown type: "&amp;D1375,IF(V1375="","Select an account (Category)",IF(ISNA(MATCH(V1375,coa_Name,0)),"Unknown account: "&amp;V1375,IF(K1375="","Select Paid From / Deposited To",IF(ISNA(MATCH(K1375,coa_Name,0)),"Unknown account: "&amp;K1375,IF(NOT(ISNUMBER(L1375)),"Enter an amount",IF(L1375=0,"Enter an amount",IF(ABS(W1375)&gt;ABS(L1375),"Tax is larger than the amount","")))))))))))))</f>
        <v/>
      </c>
      <c r="Y1375" s="67">
        <f>IF(OR(T1375=1,X1375&lt;&gt;""),"",IF(AND(B1375&lt;&gt;"",COUNTIF(tx_ID,B1375)&gt;1),"Duplicate transaction ID",IF(AND(L1375&lt;0,D1375&lt;&gt;"Adjustment"),"Negative amount — check this entry",IF(AND(D1375="Customer Payment",G1375=""),"Add the customer",IF(AND(D1375="Customer Payment",OR(J1375="",COUNTIF(ar_No,J1375&amp;"")=0)),"Invoice # in Reference not found on AR sheet",IF(AND(D1375="Bill Payment",H1375=""),"Add the vendor",IF(AND(D1375="Bill Payment",OR(J1375="",COUNTIFS(ap_No,J1375&amp;"",ap_Party,H1375&amp;"")=0)),"Bill # + vendor not found on AP sheet",IF(AND(ISNUMBER(M1375),N(M1375)&lt;&gt;0,W1375=0),"Tax ignored (tax tracking off, or not allowed for this type)",IF(V1375=K1375&amp;"","Same account on both sides",IF(AND(ISNUMBER(StartDate),C1375&lt;StartDate),"Date is before the accounting start date",IF(AND(D1375&lt;&gt;"Adjustment",IFERROR(INDEX(coa_Pay,MATCH(K1375&amp;"",coa_Name,0)),"")&lt;&gt;"Yes"),"Paid From / Deposited To is not a payment account","")))))))))))</f>
        <v/>
      </c>
      <c r="Z1375" s="67">
        <f>IF(AND(T1375=0,X1375=""),1,0)</f>
        <v/>
      </c>
      <c r="AA1375" s="68">
        <f>IF(Z1375=1,IF(U1375="In",L1375,L1375-W1375),0)</f>
        <v/>
      </c>
      <c r="AB1375" s="68">
        <f>IF(Z1375=1,IF(U1375="In",L1375-W1375,L1375),0)</f>
        <v/>
      </c>
      <c r="AC1375" s="68">
        <f>IF(AND(Z1375=1,U1375="Out"),W1375,0)</f>
        <v/>
      </c>
      <c r="AD1375" s="68">
        <f>IF(AND(Z1375=1,U1375="In"),W1375,0)</f>
        <v/>
      </c>
    </row>
    <row r="1376">
      <c r="B1376" s="62" t="inlineStr">
        <is>
          <t>TX-1370</t>
        </is>
      </c>
      <c r="C1376" s="63" t="n"/>
      <c r="D1376" s="62" t="n"/>
      <c r="E1376" s="62" t="n"/>
      <c r="F1376" s="62" t="n"/>
      <c r="G1376" s="62" t="n"/>
      <c r="H1376" s="62" t="n"/>
      <c r="I1376" s="62" t="n"/>
      <c r="J1376" s="62" t="n"/>
      <c r="K1376" s="62" t="n"/>
      <c r="L1376" s="64" t="n"/>
      <c r="M1376" s="64" t="n"/>
      <c r="N1376" s="62" t="n"/>
      <c r="O1376" s="65">
        <f>IF(Z1376=1,L1376-W1376,"")</f>
        <v/>
      </c>
      <c r="P1376" s="66">
        <f>IF(V1376="","",IFERROR(INDEX(coa_Type,MATCH(V1376,coa_Name,0)),""))</f>
        <v/>
      </c>
      <c r="Q1376" s="66">
        <f>IF(Z1376=1,IF(U1376="In",K1376&amp;"",V1376),"")</f>
        <v/>
      </c>
      <c r="R1376" s="66">
        <f>IF(Z1376=1,IF(U1376="In",V1376,K1376&amp;""),"")</f>
        <v/>
      </c>
      <c r="S1376" s="66">
        <f>IF(X1376&lt;&gt;"","⛔ "&amp;X1376&amp;" — not posted",IF(Y1376&lt;&gt;"","⚠ "&amp;Y1376,IF(Z1376=1,"✓ OK","")))</f>
        <v/>
      </c>
      <c r="T1376" s="67">
        <f>IF(AND(C1376="",D1376="",E1376="",L1376="",K1376=""),1,0)</f>
        <v/>
      </c>
      <c r="U1376" s="67">
        <f>IFERROR(INDEX(tt_Dir,MATCH(D1376,tt_Type,0)),"")</f>
        <v/>
      </c>
      <c r="V1376" s="67">
        <f>IF(D1376="","",IFERROR(IF(INDEX(tt_Other,MATCH(D1376,tt_Type,0))="",E1376&amp;"",INDEX(tt_Other,MATCH(D1376,tt_Type,0))),""))</f>
        <v/>
      </c>
      <c r="W1376" s="68">
        <f>IF(OR(TaxOn&lt;&gt;"Yes",NOT(ISNUMBER(M1376))),0,IF(IFERROR(INDEX(tt_Tax,MATCH(D1376,tt_Type,0)),"No")="Yes",M1376,0))</f>
        <v/>
      </c>
      <c r="X1376" s="67">
        <f>IF(T1376=1,"",IF(C1376="","Missing transaction date",IF(NOT(ISNUMBER(C1376)),"Invalid date",IF(OR(C1376&lt;DATE(2000,1,1),C1376&gt;DATE(2099,12,31)),"Invalid date",IF(D1376="","Select a type",IF(U1376="","Unknown type: "&amp;D1376,IF(V1376="","Select an account (Category)",IF(ISNA(MATCH(V1376,coa_Name,0)),"Unknown account: "&amp;V1376,IF(K1376="","Select Paid From / Deposited To",IF(ISNA(MATCH(K1376,coa_Name,0)),"Unknown account: "&amp;K1376,IF(NOT(ISNUMBER(L1376)),"Enter an amount",IF(L1376=0,"Enter an amount",IF(ABS(W1376)&gt;ABS(L1376),"Tax is larger than the amount","")))))))))))))</f>
        <v/>
      </c>
      <c r="Y1376" s="67">
        <f>IF(OR(T1376=1,X1376&lt;&gt;""),"",IF(AND(B1376&lt;&gt;"",COUNTIF(tx_ID,B1376)&gt;1),"Duplicate transaction ID",IF(AND(L1376&lt;0,D1376&lt;&gt;"Adjustment"),"Negative amount — check this entry",IF(AND(D1376="Customer Payment",G1376=""),"Add the customer",IF(AND(D1376="Customer Payment",OR(J1376="",COUNTIF(ar_No,J1376&amp;"")=0)),"Invoice # in Reference not found on AR sheet",IF(AND(D1376="Bill Payment",H1376=""),"Add the vendor",IF(AND(D1376="Bill Payment",OR(J1376="",COUNTIFS(ap_No,J1376&amp;"",ap_Party,H1376&amp;"")=0)),"Bill # + vendor not found on AP sheet",IF(AND(ISNUMBER(M1376),N(M1376)&lt;&gt;0,W1376=0),"Tax ignored (tax tracking off, or not allowed for this type)",IF(V1376=K1376&amp;"","Same account on both sides",IF(AND(ISNUMBER(StartDate),C1376&lt;StartDate),"Date is before the accounting start date",IF(AND(D1376&lt;&gt;"Adjustment",IFERROR(INDEX(coa_Pay,MATCH(K1376&amp;"",coa_Name,0)),"")&lt;&gt;"Yes"),"Paid From / Deposited To is not a payment account","")))))))))))</f>
        <v/>
      </c>
      <c r="Z1376" s="67">
        <f>IF(AND(T1376=0,X1376=""),1,0)</f>
        <v/>
      </c>
      <c r="AA1376" s="68">
        <f>IF(Z1376=1,IF(U1376="In",L1376,L1376-W1376),0)</f>
        <v/>
      </c>
      <c r="AB1376" s="68">
        <f>IF(Z1376=1,IF(U1376="In",L1376-W1376,L1376),0)</f>
        <v/>
      </c>
      <c r="AC1376" s="68">
        <f>IF(AND(Z1376=1,U1376="Out"),W1376,0)</f>
        <v/>
      </c>
      <c r="AD1376" s="68">
        <f>IF(AND(Z1376=1,U1376="In"),W1376,0)</f>
        <v/>
      </c>
    </row>
    <row r="1377">
      <c r="B1377" s="62" t="inlineStr">
        <is>
          <t>TX-1371</t>
        </is>
      </c>
      <c r="C1377" s="63" t="n"/>
      <c r="D1377" s="62" t="n"/>
      <c r="E1377" s="62" t="n"/>
      <c r="F1377" s="62" t="n"/>
      <c r="G1377" s="62" t="n"/>
      <c r="H1377" s="62" t="n"/>
      <c r="I1377" s="62" t="n"/>
      <c r="J1377" s="62" t="n"/>
      <c r="K1377" s="62" t="n"/>
      <c r="L1377" s="64" t="n"/>
      <c r="M1377" s="64" t="n"/>
      <c r="N1377" s="62" t="n"/>
      <c r="O1377" s="65">
        <f>IF(Z1377=1,L1377-W1377,"")</f>
        <v/>
      </c>
      <c r="P1377" s="66">
        <f>IF(V1377="","",IFERROR(INDEX(coa_Type,MATCH(V1377,coa_Name,0)),""))</f>
        <v/>
      </c>
      <c r="Q1377" s="66">
        <f>IF(Z1377=1,IF(U1377="In",K1377&amp;"",V1377),"")</f>
        <v/>
      </c>
      <c r="R1377" s="66">
        <f>IF(Z1377=1,IF(U1377="In",V1377,K1377&amp;""),"")</f>
        <v/>
      </c>
      <c r="S1377" s="66">
        <f>IF(X1377&lt;&gt;"","⛔ "&amp;X1377&amp;" — not posted",IF(Y1377&lt;&gt;"","⚠ "&amp;Y1377,IF(Z1377=1,"✓ OK","")))</f>
        <v/>
      </c>
      <c r="T1377" s="67">
        <f>IF(AND(C1377="",D1377="",E1377="",L1377="",K1377=""),1,0)</f>
        <v/>
      </c>
      <c r="U1377" s="67">
        <f>IFERROR(INDEX(tt_Dir,MATCH(D1377,tt_Type,0)),"")</f>
        <v/>
      </c>
      <c r="V1377" s="67">
        <f>IF(D1377="","",IFERROR(IF(INDEX(tt_Other,MATCH(D1377,tt_Type,0))="",E1377&amp;"",INDEX(tt_Other,MATCH(D1377,tt_Type,0))),""))</f>
        <v/>
      </c>
      <c r="W1377" s="68">
        <f>IF(OR(TaxOn&lt;&gt;"Yes",NOT(ISNUMBER(M1377))),0,IF(IFERROR(INDEX(tt_Tax,MATCH(D1377,tt_Type,0)),"No")="Yes",M1377,0))</f>
        <v/>
      </c>
      <c r="X1377" s="67">
        <f>IF(T1377=1,"",IF(C1377="","Missing transaction date",IF(NOT(ISNUMBER(C1377)),"Invalid date",IF(OR(C1377&lt;DATE(2000,1,1),C1377&gt;DATE(2099,12,31)),"Invalid date",IF(D1377="","Select a type",IF(U1377="","Unknown type: "&amp;D1377,IF(V1377="","Select an account (Category)",IF(ISNA(MATCH(V1377,coa_Name,0)),"Unknown account: "&amp;V1377,IF(K1377="","Select Paid From / Deposited To",IF(ISNA(MATCH(K1377,coa_Name,0)),"Unknown account: "&amp;K1377,IF(NOT(ISNUMBER(L1377)),"Enter an amount",IF(L1377=0,"Enter an amount",IF(ABS(W1377)&gt;ABS(L1377),"Tax is larger than the amount","")))))))))))))</f>
        <v/>
      </c>
      <c r="Y1377" s="67">
        <f>IF(OR(T1377=1,X1377&lt;&gt;""),"",IF(AND(B1377&lt;&gt;"",COUNTIF(tx_ID,B1377)&gt;1),"Duplicate transaction ID",IF(AND(L1377&lt;0,D1377&lt;&gt;"Adjustment"),"Negative amount — check this entry",IF(AND(D1377="Customer Payment",G1377=""),"Add the customer",IF(AND(D1377="Customer Payment",OR(J1377="",COUNTIF(ar_No,J1377&amp;"")=0)),"Invoice # in Reference not found on AR sheet",IF(AND(D1377="Bill Payment",H1377=""),"Add the vendor",IF(AND(D1377="Bill Payment",OR(J1377="",COUNTIFS(ap_No,J1377&amp;"",ap_Party,H1377&amp;"")=0)),"Bill # + vendor not found on AP sheet",IF(AND(ISNUMBER(M1377),N(M1377)&lt;&gt;0,W1377=0),"Tax ignored (tax tracking off, or not allowed for this type)",IF(V1377=K1377&amp;"","Same account on both sides",IF(AND(ISNUMBER(StartDate),C1377&lt;StartDate),"Date is before the accounting start date",IF(AND(D1377&lt;&gt;"Adjustment",IFERROR(INDEX(coa_Pay,MATCH(K1377&amp;"",coa_Name,0)),"")&lt;&gt;"Yes"),"Paid From / Deposited To is not a payment account","")))))))))))</f>
        <v/>
      </c>
      <c r="Z1377" s="67">
        <f>IF(AND(T1377=0,X1377=""),1,0)</f>
        <v/>
      </c>
      <c r="AA1377" s="68">
        <f>IF(Z1377=1,IF(U1377="In",L1377,L1377-W1377),0)</f>
        <v/>
      </c>
      <c r="AB1377" s="68">
        <f>IF(Z1377=1,IF(U1377="In",L1377-W1377,L1377),0)</f>
        <v/>
      </c>
      <c r="AC1377" s="68">
        <f>IF(AND(Z1377=1,U1377="Out"),W1377,0)</f>
        <v/>
      </c>
      <c r="AD1377" s="68">
        <f>IF(AND(Z1377=1,U1377="In"),W1377,0)</f>
        <v/>
      </c>
    </row>
    <row r="1378">
      <c r="B1378" s="62" t="inlineStr">
        <is>
          <t>TX-1372</t>
        </is>
      </c>
      <c r="C1378" s="63" t="n"/>
      <c r="D1378" s="62" t="n"/>
      <c r="E1378" s="62" t="n"/>
      <c r="F1378" s="62" t="n"/>
      <c r="G1378" s="62" t="n"/>
      <c r="H1378" s="62" t="n"/>
      <c r="I1378" s="62" t="n"/>
      <c r="J1378" s="62" t="n"/>
      <c r="K1378" s="62" t="n"/>
      <c r="L1378" s="64" t="n"/>
      <c r="M1378" s="64" t="n"/>
      <c r="N1378" s="62" t="n"/>
      <c r="O1378" s="65">
        <f>IF(Z1378=1,L1378-W1378,"")</f>
        <v/>
      </c>
      <c r="P1378" s="66">
        <f>IF(V1378="","",IFERROR(INDEX(coa_Type,MATCH(V1378,coa_Name,0)),""))</f>
        <v/>
      </c>
      <c r="Q1378" s="66">
        <f>IF(Z1378=1,IF(U1378="In",K1378&amp;"",V1378),"")</f>
        <v/>
      </c>
      <c r="R1378" s="66">
        <f>IF(Z1378=1,IF(U1378="In",V1378,K1378&amp;""),"")</f>
        <v/>
      </c>
      <c r="S1378" s="66">
        <f>IF(X1378&lt;&gt;"","⛔ "&amp;X1378&amp;" — not posted",IF(Y1378&lt;&gt;"","⚠ "&amp;Y1378,IF(Z1378=1,"✓ OK","")))</f>
        <v/>
      </c>
      <c r="T1378" s="67">
        <f>IF(AND(C1378="",D1378="",E1378="",L1378="",K1378=""),1,0)</f>
        <v/>
      </c>
      <c r="U1378" s="67">
        <f>IFERROR(INDEX(tt_Dir,MATCH(D1378,tt_Type,0)),"")</f>
        <v/>
      </c>
      <c r="V1378" s="67">
        <f>IF(D1378="","",IFERROR(IF(INDEX(tt_Other,MATCH(D1378,tt_Type,0))="",E1378&amp;"",INDEX(tt_Other,MATCH(D1378,tt_Type,0))),""))</f>
        <v/>
      </c>
      <c r="W1378" s="68">
        <f>IF(OR(TaxOn&lt;&gt;"Yes",NOT(ISNUMBER(M1378))),0,IF(IFERROR(INDEX(tt_Tax,MATCH(D1378,tt_Type,0)),"No")="Yes",M1378,0))</f>
        <v/>
      </c>
      <c r="X1378" s="67">
        <f>IF(T1378=1,"",IF(C1378="","Missing transaction date",IF(NOT(ISNUMBER(C1378)),"Invalid date",IF(OR(C1378&lt;DATE(2000,1,1),C1378&gt;DATE(2099,12,31)),"Invalid date",IF(D1378="","Select a type",IF(U1378="","Unknown type: "&amp;D1378,IF(V1378="","Select an account (Category)",IF(ISNA(MATCH(V1378,coa_Name,0)),"Unknown account: "&amp;V1378,IF(K1378="","Select Paid From / Deposited To",IF(ISNA(MATCH(K1378,coa_Name,0)),"Unknown account: "&amp;K1378,IF(NOT(ISNUMBER(L1378)),"Enter an amount",IF(L1378=0,"Enter an amount",IF(ABS(W1378)&gt;ABS(L1378),"Tax is larger than the amount","")))))))))))))</f>
        <v/>
      </c>
      <c r="Y1378" s="67">
        <f>IF(OR(T1378=1,X1378&lt;&gt;""),"",IF(AND(B1378&lt;&gt;"",COUNTIF(tx_ID,B1378)&gt;1),"Duplicate transaction ID",IF(AND(L1378&lt;0,D1378&lt;&gt;"Adjustment"),"Negative amount — check this entry",IF(AND(D1378="Customer Payment",G1378=""),"Add the customer",IF(AND(D1378="Customer Payment",OR(J1378="",COUNTIF(ar_No,J1378&amp;"")=0)),"Invoice # in Reference not found on AR sheet",IF(AND(D1378="Bill Payment",H1378=""),"Add the vendor",IF(AND(D1378="Bill Payment",OR(J1378="",COUNTIFS(ap_No,J1378&amp;"",ap_Party,H1378&amp;"")=0)),"Bill # + vendor not found on AP sheet",IF(AND(ISNUMBER(M1378),N(M1378)&lt;&gt;0,W1378=0),"Tax ignored (tax tracking off, or not allowed for this type)",IF(V1378=K1378&amp;"","Same account on both sides",IF(AND(ISNUMBER(StartDate),C1378&lt;StartDate),"Date is before the accounting start date",IF(AND(D1378&lt;&gt;"Adjustment",IFERROR(INDEX(coa_Pay,MATCH(K1378&amp;"",coa_Name,0)),"")&lt;&gt;"Yes"),"Paid From / Deposited To is not a payment account","")))))))))))</f>
        <v/>
      </c>
      <c r="Z1378" s="67">
        <f>IF(AND(T1378=0,X1378=""),1,0)</f>
        <v/>
      </c>
      <c r="AA1378" s="68">
        <f>IF(Z1378=1,IF(U1378="In",L1378,L1378-W1378),0)</f>
        <v/>
      </c>
      <c r="AB1378" s="68">
        <f>IF(Z1378=1,IF(U1378="In",L1378-W1378,L1378),0)</f>
        <v/>
      </c>
      <c r="AC1378" s="68">
        <f>IF(AND(Z1378=1,U1378="Out"),W1378,0)</f>
        <v/>
      </c>
      <c r="AD1378" s="68">
        <f>IF(AND(Z1378=1,U1378="In"),W1378,0)</f>
        <v/>
      </c>
    </row>
    <row r="1379">
      <c r="B1379" s="62" t="inlineStr">
        <is>
          <t>TX-1373</t>
        </is>
      </c>
      <c r="C1379" s="63" t="n"/>
      <c r="D1379" s="62" t="n"/>
      <c r="E1379" s="62" t="n"/>
      <c r="F1379" s="62" t="n"/>
      <c r="G1379" s="62" t="n"/>
      <c r="H1379" s="62" t="n"/>
      <c r="I1379" s="62" t="n"/>
      <c r="J1379" s="62" t="n"/>
      <c r="K1379" s="62" t="n"/>
      <c r="L1379" s="64" t="n"/>
      <c r="M1379" s="64" t="n"/>
      <c r="N1379" s="62" t="n"/>
      <c r="O1379" s="65">
        <f>IF(Z1379=1,L1379-W1379,"")</f>
        <v/>
      </c>
      <c r="P1379" s="66">
        <f>IF(V1379="","",IFERROR(INDEX(coa_Type,MATCH(V1379,coa_Name,0)),""))</f>
        <v/>
      </c>
      <c r="Q1379" s="66">
        <f>IF(Z1379=1,IF(U1379="In",K1379&amp;"",V1379),"")</f>
        <v/>
      </c>
      <c r="R1379" s="66">
        <f>IF(Z1379=1,IF(U1379="In",V1379,K1379&amp;""),"")</f>
        <v/>
      </c>
      <c r="S1379" s="66">
        <f>IF(X1379&lt;&gt;"","⛔ "&amp;X1379&amp;" — not posted",IF(Y1379&lt;&gt;"","⚠ "&amp;Y1379,IF(Z1379=1,"✓ OK","")))</f>
        <v/>
      </c>
      <c r="T1379" s="67">
        <f>IF(AND(C1379="",D1379="",E1379="",L1379="",K1379=""),1,0)</f>
        <v/>
      </c>
      <c r="U1379" s="67">
        <f>IFERROR(INDEX(tt_Dir,MATCH(D1379,tt_Type,0)),"")</f>
        <v/>
      </c>
      <c r="V1379" s="67">
        <f>IF(D1379="","",IFERROR(IF(INDEX(tt_Other,MATCH(D1379,tt_Type,0))="",E1379&amp;"",INDEX(tt_Other,MATCH(D1379,tt_Type,0))),""))</f>
        <v/>
      </c>
      <c r="W1379" s="68">
        <f>IF(OR(TaxOn&lt;&gt;"Yes",NOT(ISNUMBER(M1379))),0,IF(IFERROR(INDEX(tt_Tax,MATCH(D1379,tt_Type,0)),"No")="Yes",M1379,0))</f>
        <v/>
      </c>
      <c r="X1379" s="67">
        <f>IF(T1379=1,"",IF(C1379="","Missing transaction date",IF(NOT(ISNUMBER(C1379)),"Invalid date",IF(OR(C1379&lt;DATE(2000,1,1),C1379&gt;DATE(2099,12,31)),"Invalid date",IF(D1379="","Select a type",IF(U1379="","Unknown type: "&amp;D1379,IF(V1379="","Select an account (Category)",IF(ISNA(MATCH(V1379,coa_Name,0)),"Unknown account: "&amp;V1379,IF(K1379="","Select Paid From / Deposited To",IF(ISNA(MATCH(K1379,coa_Name,0)),"Unknown account: "&amp;K1379,IF(NOT(ISNUMBER(L1379)),"Enter an amount",IF(L1379=0,"Enter an amount",IF(ABS(W1379)&gt;ABS(L1379),"Tax is larger than the amount","")))))))))))))</f>
        <v/>
      </c>
      <c r="Y1379" s="67">
        <f>IF(OR(T1379=1,X1379&lt;&gt;""),"",IF(AND(B1379&lt;&gt;"",COUNTIF(tx_ID,B1379)&gt;1),"Duplicate transaction ID",IF(AND(L1379&lt;0,D1379&lt;&gt;"Adjustment"),"Negative amount — check this entry",IF(AND(D1379="Customer Payment",G1379=""),"Add the customer",IF(AND(D1379="Customer Payment",OR(J1379="",COUNTIF(ar_No,J1379&amp;"")=0)),"Invoice # in Reference not found on AR sheet",IF(AND(D1379="Bill Payment",H1379=""),"Add the vendor",IF(AND(D1379="Bill Payment",OR(J1379="",COUNTIFS(ap_No,J1379&amp;"",ap_Party,H1379&amp;"")=0)),"Bill # + vendor not found on AP sheet",IF(AND(ISNUMBER(M1379),N(M1379)&lt;&gt;0,W1379=0),"Tax ignored (tax tracking off, or not allowed for this type)",IF(V1379=K1379&amp;"","Same account on both sides",IF(AND(ISNUMBER(StartDate),C1379&lt;StartDate),"Date is before the accounting start date",IF(AND(D1379&lt;&gt;"Adjustment",IFERROR(INDEX(coa_Pay,MATCH(K1379&amp;"",coa_Name,0)),"")&lt;&gt;"Yes"),"Paid From / Deposited To is not a payment account","")))))))))))</f>
        <v/>
      </c>
      <c r="Z1379" s="67">
        <f>IF(AND(T1379=0,X1379=""),1,0)</f>
        <v/>
      </c>
      <c r="AA1379" s="68">
        <f>IF(Z1379=1,IF(U1379="In",L1379,L1379-W1379),0)</f>
        <v/>
      </c>
      <c r="AB1379" s="68">
        <f>IF(Z1379=1,IF(U1379="In",L1379-W1379,L1379),0)</f>
        <v/>
      </c>
      <c r="AC1379" s="68">
        <f>IF(AND(Z1379=1,U1379="Out"),W1379,0)</f>
        <v/>
      </c>
      <c r="AD1379" s="68">
        <f>IF(AND(Z1379=1,U1379="In"),W1379,0)</f>
        <v/>
      </c>
    </row>
    <row r="1380">
      <c r="B1380" s="62" t="inlineStr">
        <is>
          <t>TX-1374</t>
        </is>
      </c>
      <c r="C1380" s="63" t="n"/>
      <c r="D1380" s="62" t="n"/>
      <c r="E1380" s="62" t="n"/>
      <c r="F1380" s="62" t="n"/>
      <c r="G1380" s="62" t="n"/>
      <c r="H1380" s="62" t="n"/>
      <c r="I1380" s="62" t="n"/>
      <c r="J1380" s="62" t="n"/>
      <c r="K1380" s="62" t="n"/>
      <c r="L1380" s="64" t="n"/>
      <c r="M1380" s="64" t="n"/>
      <c r="N1380" s="62" t="n"/>
      <c r="O1380" s="65">
        <f>IF(Z1380=1,L1380-W1380,"")</f>
        <v/>
      </c>
      <c r="P1380" s="66">
        <f>IF(V1380="","",IFERROR(INDEX(coa_Type,MATCH(V1380,coa_Name,0)),""))</f>
        <v/>
      </c>
      <c r="Q1380" s="66">
        <f>IF(Z1380=1,IF(U1380="In",K1380&amp;"",V1380),"")</f>
        <v/>
      </c>
      <c r="R1380" s="66">
        <f>IF(Z1380=1,IF(U1380="In",V1380,K1380&amp;""),"")</f>
        <v/>
      </c>
      <c r="S1380" s="66">
        <f>IF(X1380&lt;&gt;"","⛔ "&amp;X1380&amp;" — not posted",IF(Y1380&lt;&gt;"","⚠ "&amp;Y1380,IF(Z1380=1,"✓ OK","")))</f>
        <v/>
      </c>
      <c r="T1380" s="67">
        <f>IF(AND(C1380="",D1380="",E1380="",L1380="",K1380=""),1,0)</f>
        <v/>
      </c>
      <c r="U1380" s="67">
        <f>IFERROR(INDEX(tt_Dir,MATCH(D1380,tt_Type,0)),"")</f>
        <v/>
      </c>
      <c r="V1380" s="67">
        <f>IF(D1380="","",IFERROR(IF(INDEX(tt_Other,MATCH(D1380,tt_Type,0))="",E1380&amp;"",INDEX(tt_Other,MATCH(D1380,tt_Type,0))),""))</f>
        <v/>
      </c>
      <c r="W1380" s="68">
        <f>IF(OR(TaxOn&lt;&gt;"Yes",NOT(ISNUMBER(M1380))),0,IF(IFERROR(INDEX(tt_Tax,MATCH(D1380,tt_Type,0)),"No")="Yes",M1380,0))</f>
        <v/>
      </c>
      <c r="X1380" s="67">
        <f>IF(T1380=1,"",IF(C1380="","Missing transaction date",IF(NOT(ISNUMBER(C1380)),"Invalid date",IF(OR(C1380&lt;DATE(2000,1,1),C1380&gt;DATE(2099,12,31)),"Invalid date",IF(D1380="","Select a type",IF(U1380="","Unknown type: "&amp;D1380,IF(V1380="","Select an account (Category)",IF(ISNA(MATCH(V1380,coa_Name,0)),"Unknown account: "&amp;V1380,IF(K1380="","Select Paid From / Deposited To",IF(ISNA(MATCH(K1380,coa_Name,0)),"Unknown account: "&amp;K1380,IF(NOT(ISNUMBER(L1380)),"Enter an amount",IF(L1380=0,"Enter an amount",IF(ABS(W1380)&gt;ABS(L1380),"Tax is larger than the amount","")))))))))))))</f>
        <v/>
      </c>
      <c r="Y1380" s="67">
        <f>IF(OR(T1380=1,X1380&lt;&gt;""),"",IF(AND(B1380&lt;&gt;"",COUNTIF(tx_ID,B1380)&gt;1),"Duplicate transaction ID",IF(AND(L1380&lt;0,D1380&lt;&gt;"Adjustment"),"Negative amount — check this entry",IF(AND(D1380="Customer Payment",G1380=""),"Add the customer",IF(AND(D1380="Customer Payment",OR(J1380="",COUNTIF(ar_No,J1380&amp;"")=0)),"Invoice # in Reference not found on AR sheet",IF(AND(D1380="Bill Payment",H1380=""),"Add the vendor",IF(AND(D1380="Bill Payment",OR(J1380="",COUNTIFS(ap_No,J1380&amp;"",ap_Party,H1380&amp;"")=0)),"Bill # + vendor not found on AP sheet",IF(AND(ISNUMBER(M1380),N(M1380)&lt;&gt;0,W1380=0),"Tax ignored (tax tracking off, or not allowed for this type)",IF(V1380=K1380&amp;"","Same account on both sides",IF(AND(ISNUMBER(StartDate),C1380&lt;StartDate),"Date is before the accounting start date",IF(AND(D1380&lt;&gt;"Adjustment",IFERROR(INDEX(coa_Pay,MATCH(K1380&amp;"",coa_Name,0)),"")&lt;&gt;"Yes"),"Paid From / Deposited To is not a payment account","")))))))))))</f>
        <v/>
      </c>
      <c r="Z1380" s="67">
        <f>IF(AND(T1380=0,X1380=""),1,0)</f>
        <v/>
      </c>
      <c r="AA1380" s="68">
        <f>IF(Z1380=1,IF(U1380="In",L1380,L1380-W1380),0)</f>
        <v/>
      </c>
      <c r="AB1380" s="68">
        <f>IF(Z1380=1,IF(U1380="In",L1380-W1380,L1380),0)</f>
        <v/>
      </c>
      <c r="AC1380" s="68">
        <f>IF(AND(Z1380=1,U1380="Out"),W1380,0)</f>
        <v/>
      </c>
      <c r="AD1380" s="68">
        <f>IF(AND(Z1380=1,U1380="In"),W1380,0)</f>
        <v/>
      </c>
    </row>
    <row r="1381">
      <c r="B1381" s="62" t="inlineStr">
        <is>
          <t>TX-1375</t>
        </is>
      </c>
      <c r="C1381" s="63" t="n"/>
      <c r="D1381" s="62" t="n"/>
      <c r="E1381" s="62" t="n"/>
      <c r="F1381" s="62" t="n"/>
      <c r="G1381" s="62" t="n"/>
      <c r="H1381" s="62" t="n"/>
      <c r="I1381" s="62" t="n"/>
      <c r="J1381" s="62" t="n"/>
      <c r="K1381" s="62" t="n"/>
      <c r="L1381" s="64" t="n"/>
      <c r="M1381" s="64" t="n"/>
      <c r="N1381" s="62" t="n"/>
      <c r="O1381" s="65">
        <f>IF(Z1381=1,L1381-W1381,"")</f>
        <v/>
      </c>
      <c r="P1381" s="66">
        <f>IF(V1381="","",IFERROR(INDEX(coa_Type,MATCH(V1381,coa_Name,0)),""))</f>
        <v/>
      </c>
      <c r="Q1381" s="66">
        <f>IF(Z1381=1,IF(U1381="In",K1381&amp;"",V1381),"")</f>
        <v/>
      </c>
      <c r="R1381" s="66">
        <f>IF(Z1381=1,IF(U1381="In",V1381,K1381&amp;""),"")</f>
        <v/>
      </c>
      <c r="S1381" s="66">
        <f>IF(X1381&lt;&gt;"","⛔ "&amp;X1381&amp;" — not posted",IF(Y1381&lt;&gt;"","⚠ "&amp;Y1381,IF(Z1381=1,"✓ OK","")))</f>
        <v/>
      </c>
      <c r="T1381" s="67">
        <f>IF(AND(C1381="",D1381="",E1381="",L1381="",K1381=""),1,0)</f>
        <v/>
      </c>
      <c r="U1381" s="67">
        <f>IFERROR(INDEX(tt_Dir,MATCH(D1381,tt_Type,0)),"")</f>
        <v/>
      </c>
      <c r="V1381" s="67">
        <f>IF(D1381="","",IFERROR(IF(INDEX(tt_Other,MATCH(D1381,tt_Type,0))="",E1381&amp;"",INDEX(tt_Other,MATCH(D1381,tt_Type,0))),""))</f>
        <v/>
      </c>
      <c r="W1381" s="68">
        <f>IF(OR(TaxOn&lt;&gt;"Yes",NOT(ISNUMBER(M1381))),0,IF(IFERROR(INDEX(tt_Tax,MATCH(D1381,tt_Type,0)),"No")="Yes",M1381,0))</f>
        <v/>
      </c>
      <c r="X1381" s="67">
        <f>IF(T1381=1,"",IF(C1381="","Missing transaction date",IF(NOT(ISNUMBER(C1381)),"Invalid date",IF(OR(C1381&lt;DATE(2000,1,1),C1381&gt;DATE(2099,12,31)),"Invalid date",IF(D1381="","Select a type",IF(U1381="","Unknown type: "&amp;D1381,IF(V1381="","Select an account (Category)",IF(ISNA(MATCH(V1381,coa_Name,0)),"Unknown account: "&amp;V1381,IF(K1381="","Select Paid From / Deposited To",IF(ISNA(MATCH(K1381,coa_Name,0)),"Unknown account: "&amp;K1381,IF(NOT(ISNUMBER(L1381)),"Enter an amount",IF(L1381=0,"Enter an amount",IF(ABS(W1381)&gt;ABS(L1381),"Tax is larger than the amount","")))))))))))))</f>
        <v/>
      </c>
      <c r="Y1381" s="67">
        <f>IF(OR(T1381=1,X1381&lt;&gt;""),"",IF(AND(B1381&lt;&gt;"",COUNTIF(tx_ID,B1381)&gt;1),"Duplicate transaction ID",IF(AND(L1381&lt;0,D1381&lt;&gt;"Adjustment"),"Negative amount — check this entry",IF(AND(D1381="Customer Payment",G1381=""),"Add the customer",IF(AND(D1381="Customer Payment",OR(J1381="",COUNTIF(ar_No,J1381&amp;"")=0)),"Invoice # in Reference not found on AR sheet",IF(AND(D1381="Bill Payment",H1381=""),"Add the vendor",IF(AND(D1381="Bill Payment",OR(J1381="",COUNTIFS(ap_No,J1381&amp;"",ap_Party,H1381&amp;"")=0)),"Bill # + vendor not found on AP sheet",IF(AND(ISNUMBER(M1381),N(M1381)&lt;&gt;0,W1381=0),"Tax ignored (tax tracking off, or not allowed for this type)",IF(V1381=K1381&amp;"","Same account on both sides",IF(AND(ISNUMBER(StartDate),C1381&lt;StartDate),"Date is before the accounting start date",IF(AND(D1381&lt;&gt;"Adjustment",IFERROR(INDEX(coa_Pay,MATCH(K1381&amp;"",coa_Name,0)),"")&lt;&gt;"Yes"),"Paid From / Deposited To is not a payment account","")))))))))))</f>
        <v/>
      </c>
      <c r="Z1381" s="67">
        <f>IF(AND(T1381=0,X1381=""),1,0)</f>
        <v/>
      </c>
      <c r="AA1381" s="68">
        <f>IF(Z1381=1,IF(U1381="In",L1381,L1381-W1381),0)</f>
        <v/>
      </c>
      <c r="AB1381" s="68">
        <f>IF(Z1381=1,IF(U1381="In",L1381-W1381,L1381),0)</f>
        <v/>
      </c>
      <c r="AC1381" s="68">
        <f>IF(AND(Z1381=1,U1381="Out"),W1381,0)</f>
        <v/>
      </c>
      <c r="AD1381" s="68">
        <f>IF(AND(Z1381=1,U1381="In"),W1381,0)</f>
        <v/>
      </c>
    </row>
    <row r="1382">
      <c r="B1382" s="62" t="inlineStr">
        <is>
          <t>TX-1376</t>
        </is>
      </c>
      <c r="C1382" s="63" t="n"/>
      <c r="D1382" s="62" t="n"/>
      <c r="E1382" s="62" t="n"/>
      <c r="F1382" s="62" t="n"/>
      <c r="G1382" s="62" t="n"/>
      <c r="H1382" s="62" t="n"/>
      <c r="I1382" s="62" t="n"/>
      <c r="J1382" s="62" t="n"/>
      <c r="K1382" s="62" t="n"/>
      <c r="L1382" s="64" t="n"/>
      <c r="M1382" s="64" t="n"/>
      <c r="N1382" s="62" t="n"/>
      <c r="O1382" s="65">
        <f>IF(Z1382=1,L1382-W1382,"")</f>
        <v/>
      </c>
      <c r="P1382" s="66">
        <f>IF(V1382="","",IFERROR(INDEX(coa_Type,MATCH(V1382,coa_Name,0)),""))</f>
        <v/>
      </c>
      <c r="Q1382" s="66">
        <f>IF(Z1382=1,IF(U1382="In",K1382&amp;"",V1382),"")</f>
        <v/>
      </c>
      <c r="R1382" s="66">
        <f>IF(Z1382=1,IF(U1382="In",V1382,K1382&amp;""),"")</f>
        <v/>
      </c>
      <c r="S1382" s="66">
        <f>IF(X1382&lt;&gt;"","⛔ "&amp;X1382&amp;" — not posted",IF(Y1382&lt;&gt;"","⚠ "&amp;Y1382,IF(Z1382=1,"✓ OK","")))</f>
        <v/>
      </c>
      <c r="T1382" s="67">
        <f>IF(AND(C1382="",D1382="",E1382="",L1382="",K1382=""),1,0)</f>
        <v/>
      </c>
      <c r="U1382" s="67">
        <f>IFERROR(INDEX(tt_Dir,MATCH(D1382,tt_Type,0)),"")</f>
        <v/>
      </c>
      <c r="V1382" s="67">
        <f>IF(D1382="","",IFERROR(IF(INDEX(tt_Other,MATCH(D1382,tt_Type,0))="",E1382&amp;"",INDEX(tt_Other,MATCH(D1382,tt_Type,0))),""))</f>
        <v/>
      </c>
      <c r="W1382" s="68">
        <f>IF(OR(TaxOn&lt;&gt;"Yes",NOT(ISNUMBER(M1382))),0,IF(IFERROR(INDEX(tt_Tax,MATCH(D1382,tt_Type,0)),"No")="Yes",M1382,0))</f>
        <v/>
      </c>
      <c r="X1382" s="67">
        <f>IF(T1382=1,"",IF(C1382="","Missing transaction date",IF(NOT(ISNUMBER(C1382)),"Invalid date",IF(OR(C1382&lt;DATE(2000,1,1),C1382&gt;DATE(2099,12,31)),"Invalid date",IF(D1382="","Select a type",IF(U1382="","Unknown type: "&amp;D1382,IF(V1382="","Select an account (Category)",IF(ISNA(MATCH(V1382,coa_Name,0)),"Unknown account: "&amp;V1382,IF(K1382="","Select Paid From / Deposited To",IF(ISNA(MATCH(K1382,coa_Name,0)),"Unknown account: "&amp;K1382,IF(NOT(ISNUMBER(L1382)),"Enter an amount",IF(L1382=0,"Enter an amount",IF(ABS(W1382)&gt;ABS(L1382),"Tax is larger than the amount","")))))))))))))</f>
        <v/>
      </c>
      <c r="Y1382" s="67">
        <f>IF(OR(T1382=1,X1382&lt;&gt;""),"",IF(AND(B1382&lt;&gt;"",COUNTIF(tx_ID,B1382)&gt;1),"Duplicate transaction ID",IF(AND(L1382&lt;0,D1382&lt;&gt;"Adjustment"),"Negative amount — check this entry",IF(AND(D1382="Customer Payment",G1382=""),"Add the customer",IF(AND(D1382="Customer Payment",OR(J1382="",COUNTIF(ar_No,J1382&amp;"")=0)),"Invoice # in Reference not found on AR sheet",IF(AND(D1382="Bill Payment",H1382=""),"Add the vendor",IF(AND(D1382="Bill Payment",OR(J1382="",COUNTIFS(ap_No,J1382&amp;"",ap_Party,H1382&amp;"")=0)),"Bill # + vendor not found on AP sheet",IF(AND(ISNUMBER(M1382),N(M1382)&lt;&gt;0,W1382=0),"Tax ignored (tax tracking off, or not allowed for this type)",IF(V1382=K1382&amp;"","Same account on both sides",IF(AND(ISNUMBER(StartDate),C1382&lt;StartDate),"Date is before the accounting start date",IF(AND(D1382&lt;&gt;"Adjustment",IFERROR(INDEX(coa_Pay,MATCH(K1382&amp;"",coa_Name,0)),"")&lt;&gt;"Yes"),"Paid From / Deposited To is not a payment account","")))))))))))</f>
        <v/>
      </c>
      <c r="Z1382" s="67">
        <f>IF(AND(T1382=0,X1382=""),1,0)</f>
        <v/>
      </c>
      <c r="AA1382" s="68">
        <f>IF(Z1382=1,IF(U1382="In",L1382,L1382-W1382),0)</f>
        <v/>
      </c>
      <c r="AB1382" s="68">
        <f>IF(Z1382=1,IF(U1382="In",L1382-W1382,L1382),0)</f>
        <v/>
      </c>
      <c r="AC1382" s="68">
        <f>IF(AND(Z1382=1,U1382="Out"),W1382,0)</f>
        <v/>
      </c>
      <c r="AD1382" s="68">
        <f>IF(AND(Z1382=1,U1382="In"),W1382,0)</f>
        <v/>
      </c>
    </row>
    <row r="1383">
      <c r="B1383" s="62" t="inlineStr">
        <is>
          <t>TX-1377</t>
        </is>
      </c>
      <c r="C1383" s="63" t="n"/>
      <c r="D1383" s="62" t="n"/>
      <c r="E1383" s="62" t="n"/>
      <c r="F1383" s="62" t="n"/>
      <c r="G1383" s="62" t="n"/>
      <c r="H1383" s="62" t="n"/>
      <c r="I1383" s="62" t="n"/>
      <c r="J1383" s="62" t="n"/>
      <c r="K1383" s="62" t="n"/>
      <c r="L1383" s="64" t="n"/>
      <c r="M1383" s="64" t="n"/>
      <c r="N1383" s="62" t="n"/>
      <c r="O1383" s="65">
        <f>IF(Z1383=1,L1383-W1383,"")</f>
        <v/>
      </c>
      <c r="P1383" s="66">
        <f>IF(V1383="","",IFERROR(INDEX(coa_Type,MATCH(V1383,coa_Name,0)),""))</f>
        <v/>
      </c>
      <c r="Q1383" s="66">
        <f>IF(Z1383=1,IF(U1383="In",K1383&amp;"",V1383),"")</f>
        <v/>
      </c>
      <c r="R1383" s="66">
        <f>IF(Z1383=1,IF(U1383="In",V1383,K1383&amp;""),"")</f>
        <v/>
      </c>
      <c r="S1383" s="66">
        <f>IF(X1383&lt;&gt;"","⛔ "&amp;X1383&amp;" — not posted",IF(Y1383&lt;&gt;"","⚠ "&amp;Y1383,IF(Z1383=1,"✓ OK","")))</f>
        <v/>
      </c>
      <c r="T1383" s="67">
        <f>IF(AND(C1383="",D1383="",E1383="",L1383="",K1383=""),1,0)</f>
        <v/>
      </c>
      <c r="U1383" s="67">
        <f>IFERROR(INDEX(tt_Dir,MATCH(D1383,tt_Type,0)),"")</f>
        <v/>
      </c>
      <c r="V1383" s="67">
        <f>IF(D1383="","",IFERROR(IF(INDEX(tt_Other,MATCH(D1383,tt_Type,0))="",E1383&amp;"",INDEX(tt_Other,MATCH(D1383,tt_Type,0))),""))</f>
        <v/>
      </c>
      <c r="W1383" s="68">
        <f>IF(OR(TaxOn&lt;&gt;"Yes",NOT(ISNUMBER(M1383))),0,IF(IFERROR(INDEX(tt_Tax,MATCH(D1383,tt_Type,0)),"No")="Yes",M1383,0))</f>
        <v/>
      </c>
      <c r="X1383" s="67">
        <f>IF(T1383=1,"",IF(C1383="","Missing transaction date",IF(NOT(ISNUMBER(C1383)),"Invalid date",IF(OR(C1383&lt;DATE(2000,1,1),C1383&gt;DATE(2099,12,31)),"Invalid date",IF(D1383="","Select a type",IF(U1383="","Unknown type: "&amp;D1383,IF(V1383="","Select an account (Category)",IF(ISNA(MATCH(V1383,coa_Name,0)),"Unknown account: "&amp;V1383,IF(K1383="","Select Paid From / Deposited To",IF(ISNA(MATCH(K1383,coa_Name,0)),"Unknown account: "&amp;K1383,IF(NOT(ISNUMBER(L1383)),"Enter an amount",IF(L1383=0,"Enter an amount",IF(ABS(W1383)&gt;ABS(L1383),"Tax is larger than the amount","")))))))))))))</f>
        <v/>
      </c>
      <c r="Y1383" s="67">
        <f>IF(OR(T1383=1,X1383&lt;&gt;""),"",IF(AND(B1383&lt;&gt;"",COUNTIF(tx_ID,B1383)&gt;1),"Duplicate transaction ID",IF(AND(L1383&lt;0,D1383&lt;&gt;"Adjustment"),"Negative amount — check this entry",IF(AND(D1383="Customer Payment",G1383=""),"Add the customer",IF(AND(D1383="Customer Payment",OR(J1383="",COUNTIF(ar_No,J1383&amp;"")=0)),"Invoice # in Reference not found on AR sheet",IF(AND(D1383="Bill Payment",H1383=""),"Add the vendor",IF(AND(D1383="Bill Payment",OR(J1383="",COUNTIFS(ap_No,J1383&amp;"",ap_Party,H1383&amp;"")=0)),"Bill # + vendor not found on AP sheet",IF(AND(ISNUMBER(M1383),N(M1383)&lt;&gt;0,W1383=0),"Tax ignored (tax tracking off, or not allowed for this type)",IF(V1383=K1383&amp;"","Same account on both sides",IF(AND(ISNUMBER(StartDate),C1383&lt;StartDate),"Date is before the accounting start date",IF(AND(D1383&lt;&gt;"Adjustment",IFERROR(INDEX(coa_Pay,MATCH(K1383&amp;"",coa_Name,0)),"")&lt;&gt;"Yes"),"Paid From / Deposited To is not a payment account","")))))))))))</f>
        <v/>
      </c>
      <c r="Z1383" s="67">
        <f>IF(AND(T1383=0,X1383=""),1,0)</f>
        <v/>
      </c>
      <c r="AA1383" s="68">
        <f>IF(Z1383=1,IF(U1383="In",L1383,L1383-W1383),0)</f>
        <v/>
      </c>
      <c r="AB1383" s="68">
        <f>IF(Z1383=1,IF(U1383="In",L1383-W1383,L1383),0)</f>
        <v/>
      </c>
      <c r="AC1383" s="68">
        <f>IF(AND(Z1383=1,U1383="Out"),W1383,0)</f>
        <v/>
      </c>
      <c r="AD1383" s="68">
        <f>IF(AND(Z1383=1,U1383="In"),W1383,0)</f>
        <v/>
      </c>
    </row>
    <row r="1384">
      <c r="B1384" s="62" t="inlineStr">
        <is>
          <t>TX-1378</t>
        </is>
      </c>
      <c r="C1384" s="63" t="n"/>
      <c r="D1384" s="62" t="n"/>
      <c r="E1384" s="62" t="n"/>
      <c r="F1384" s="62" t="n"/>
      <c r="G1384" s="62" t="n"/>
      <c r="H1384" s="62" t="n"/>
      <c r="I1384" s="62" t="n"/>
      <c r="J1384" s="62" t="n"/>
      <c r="K1384" s="62" t="n"/>
      <c r="L1384" s="64" t="n"/>
      <c r="M1384" s="64" t="n"/>
      <c r="N1384" s="62" t="n"/>
      <c r="O1384" s="65">
        <f>IF(Z1384=1,L1384-W1384,"")</f>
        <v/>
      </c>
      <c r="P1384" s="66">
        <f>IF(V1384="","",IFERROR(INDEX(coa_Type,MATCH(V1384,coa_Name,0)),""))</f>
        <v/>
      </c>
      <c r="Q1384" s="66">
        <f>IF(Z1384=1,IF(U1384="In",K1384&amp;"",V1384),"")</f>
        <v/>
      </c>
      <c r="R1384" s="66">
        <f>IF(Z1384=1,IF(U1384="In",V1384,K1384&amp;""),"")</f>
        <v/>
      </c>
      <c r="S1384" s="66">
        <f>IF(X1384&lt;&gt;"","⛔ "&amp;X1384&amp;" — not posted",IF(Y1384&lt;&gt;"","⚠ "&amp;Y1384,IF(Z1384=1,"✓ OK","")))</f>
        <v/>
      </c>
      <c r="T1384" s="67">
        <f>IF(AND(C1384="",D1384="",E1384="",L1384="",K1384=""),1,0)</f>
        <v/>
      </c>
      <c r="U1384" s="67">
        <f>IFERROR(INDEX(tt_Dir,MATCH(D1384,tt_Type,0)),"")</f>
        <v/>
      </c>
      <c r="V1384" s="67">
        <f>IF(D1384="","",IFERROR(IF(INDEX(tt_Other,MATCH(D1384,tt_Type,0))="",E1384&amp;"",INDEX(tt_Other,MATCH(D1384,tt_Type,0))),""))</f>
        <v/>
      </c>
      <c r="W1384" s="68">
        <f>IF(OR(TaxOn&lt;&gt;"Yes",NOT(ISNUMBER(M1384))),0,IF(IFERROR(INDEX(tt_Tax,MATCH(D1384,tt_Type,0)),"No")="Yes",M1384,0))</f>
        <v/>
      </c>
      <c r="X1384" s="67">
        <f>IF(T1384=1,"",IF(C1384="","Missing transaction date",IF(NOT(ISNUMBER(C1384)),"Invalid date",IF(OR(C1384&lt;DATE(2000,1,1),C1384&gt;DATE(2099,12,31)),"Invalid date",IF(D1384="","Select a type",IF(U1384="","Unknown type: "&amp;D1384,IF(V1384="","Select an account (Category)",IF(ISNA(MATCH(V1384,coa_Name,0)),"Unknown account: "&amp;V1384,IF(K1384="","Select Paid From / Deposited To",IF(ISNA(MATCH(K1384,coa_Name,0)),"Unknown account: "&amp;K1384,IF(NOT(ISNUMBER(L1384)),"Enter an amount",IF(L1384=0,"Enter an amount",IF(ABS(W1384)&gt;ABS(L1384),"Tax is larger than the amount","")))))))))))))</f>
        <v/>
      </c>
      <c r="Y1384" s="67">
        <f>IF(OR(T1384=1,X1384&lt;&gt;""),"",IF(AND(B1384&lt;&gt;"",COUNTIF(tx_ID,B1384)&gt;1),"Duplicate transaction ID",IF(AND(L1384&lt;0,D1384&lt;&gt;"Adjustment"),"Negative amount — check this entry",IF(AND(D1384="Customer Payment",G1384=""),"Add the customer",IF(AND(D1384="Customer Payment",OR(J1384="",COUNTIF(ar_No,J1384&amp;"")=0)),"Invoice # in Reference not found on AR sheet",IF(AND(D1384="Bill Payment",H1384=""),"Add the vendor",IF(AND(D1384="Bill Payment",OR(J1384="",COUNTIFS(ap_No,J1384&amp;"",ap_Party,H1384&amp;"")=0)),"Bill # + vendor not found on AP sheet",IF(AND(ISNUMBER(M1384),N(M1384)&lt;&gt;0,W1384=0),"Tax ignored (tax tracking off, or not allowed for this type)",IF(V1384=K1384&amp;"","Same account on both sides",IF(AND(ISNUMBER(StartDate),C1384&lt;StartDate),"Date is before the accounting start date",IF(AND(D1384&lt;&gt;"Adjustment",IFERROR(INDEX(coa_Pay,MATCH(K1384&amp;"",coa_Name,0)),"")&lt;&gt;"Yes"),"Paid From / Deposited To is not a payment account","")))))))))))</f>
        <v/>
      </c>
      <c r="Z1384" s="67">
        <f>IF(AND(T1384=0,X1384=""),1,0)</f>
        <v/>
      </c>
      <c r="AA1384" s="68">
        <f>IF(Z1384=1,IF(U1384="In",L1384,L1384-W1384),0)</f>
        <v/>
      </c>
      <c r="AB1384" s="68">
        <f>IF(Z1384=1,IF(U1384="In",L1384-W1384,L1384),0)</f>
        <v/>
      </c>
      <c r="AC1384" s="68">
        <f>IF(AND(Z1384=1,U1384="Out"),W1384,0)</f>
        <v/>
      </c>
      <c r="AD1384" s="68">
        <f>IF(AND(Z1384=1,U1384="In"),W1384,0)</f>
        <v/>
      </c>
    </row>
    <row r="1385">
      <c r="B1385" s="62" t="inlineStr">
        <is>
          <t>TX-1379</t>
        </is>
      </c>
      <c r="C1385" s="63" t="n"/>
      <c r="D1385" s="62" t="n"/>
      <c r="E1385" s="62" t="n"/>
      <c r="F1385" s="62" t="n"/>
      <c r="G1385" s="62" t="n"/>
      <c r="H1385" s="62" t="n"/>
      <c r="I1385" s="62" t="n"/>
      <c r="J1385" s="62" t="n"/>
      <c r="K1385" s="62" t="n"/>
      <c r="L1385" s="64" t="n"/>
      <c r="M1385" s="64" t="n"/>
      <c r="N1385" s="62" t="n"/>
      <c r="O1385" s="65">
        <f>IF(Z1385=1,L1385-W1385,"")</f>
        <v/>
      </c>
      <c r="P1385" s="66">
        <f>IF(V1385="","",IFERROR(INDEX(coa_Type,MATCH(V1385,coa_Name,0)),""))</f>
        <v/>
      </c>
      <c r="Q1385" s="66">
        <f>IF(Z1385=1,IF(U1385="In",K1385&amp;"",V1385),"")</f>
        <v/>
      </c>
      <c r="R1385" s="66">
        <f>IF(Z1385=1,IF(U1385="In",V1385,K1385&amp;""),"")</f>
        <v/>
      </c>
      <c r="S1385" s="66">
        <f>IF(X1385&lt;&gt;"","⛔ "&amp;X1385&amp;" — not posted",IF(Y1385&lt;&gt;"","⚠ "&amp;Y1385,IF(Z1385=1,"✓ OK","")))</f>
        <v/>
      </c>
      <c r="T1385" s="67">
        <f>IF(AND(C1385="",D1385="",E1385="",L1385="",K1385=""),1,0)</f>
        <v/>
      </c>
      <c r="U1385" s="67">
        <f>IFERROR(INDEX(tt_Dir,MATCH(D1385,tt_Type,0)),"")</f>
        <v/>
      </c>
      <c r="V1385" s="67">
        <f>IF(D1385="","",IFERROR(IF(INDEX(tt_Other,MATCH(D1385,tt_Type,0))="",E1385&amp;"",INDEX(tt_Other,MATCH(D1385,tt_Type,0))),""))</f>
        <v/>
      </c>
      <c r="W1385" s="68">
        <f>IF(OR(TaxOn&lt;&gt;"Yes",NOT(ISNUMBER(M1385))),0,IF(IFERROR(INDEX(tt_Tax,MATCH(D1385,tt_Type,0)),"No")="Yes",M1385,0))</f>
        <v/>
      </c>
      <c r="X1385" s="67">
        <f>IF(T1385=1,"",IF(C1385="","Missing transaction date",IF(NOT(ISNUMBER(C1385)),"Invalid date",IF(OR(C1385&lt;DATE(2000,1,1),C1385&gt;DATE(2099,12,31)),"Invalid date",IF(D1385="","Select a type",IF(U1385="","Unknown type: "&amp;D1385,IF(V1385="","Select an account (Category)",IF(ISNA(MATCH(V1385,coa_Name,0)),"Unknown account: "&amp;V1385,IF(K1385="","Select Paid From / Deposited To",IF(ISNA(MATCH(K1385,coa_Name,0)),"Unknown account: "&amp;K1385,IF(NOT(ISNUMBER(L1385)),"Enter an amount",IF(L1385=0,"Enter an amount",IF(ABS(W1385)&gt;ABS(L1385),"Tax is larger than the amount","")))))))))))))</f>
        <v/>
      </c>
      <c r="Y1385" s="67">
        <f>IF(OR(T1385=1,X1385&lt;&gt;""),"",IF(AND(B1385&lt;&gt;"",COUNTIF(tx_ID,B1385)&gt;1),"Duplicate transaction ID",IF(AND(L1385&lt;0,D1385&lt;&gt;"Adjustment"),"Negative amount — check this entry",IF(AND(D1385="Customer Payment",G1385=""),"Add the customer",IF(AND(D1385="Customer Payment",OR(J1385="",COUNTIF(ar_No,J1385&amp;"")=0)),"Invoice # in Reference not found on AR sheet",IF(AND(D1385="Bill Payment",H1385=""),"Add the vendor",IF(AND(D1385="Bill Payment",OR(J1385="",COUNTIFS(ap_No,J1385&amp;"",ap_Party,H1385&amp;"")=0)),"Bill # + vendor not found on AP sheet",IF(AND(ISNUMBER(M1385),N(M1385)&lt;&gt;0,W1385=0),"Tax ignored (tax tracking off, or not allowed for this type)",IF(V1385=K1385&amp;"","Same account on both sides",IF(AND(ISNUMBER(StartDate),C1385&lt;StartDate),"Date is before the accounting start date",IF(AND(D1385&lt;&gt;"Adjustment",IFERROR(INDEX(coa_Pay,MATCH(K1385&amp;"",coa_Name,0)),"")&lt;&gt;"Yes"),"Paid From / Deposited To is not a payment account","")))))))))))</f>
        <v/>
      </c>
      <c r="Z1385" s="67">
        <f>IF(AND(T1385=0,X1385=""),1,0)</f>
        <v/>
      </c>
      <c r="AA1385" s="68">
        <f>IF(Z1385=1,IF(U1385="In",L1385,L1385-W1385),0)</f>
        <v/>
      </c>
      <c r="AB1385" s="68">
        <f>IF(Z1385=1,IF(U1385="In",L1385-W1385,L1385),0)</f>
        <v/>
      </c>
      <c r="AC1385" s="68">
        <f>IF(AND(Z1385=1,U1385="Out"),W1385,0)</f>
        <v/>
      </c>
      <c r="AD1385" s="68">
        <f>IF(AND(Z1385=1,U1385="In"),W1385,0)</f>
        <v/>
      </c>
    </row>
    <row r="1386">
      <c r="B1386" s="62" t="inlineStr">
        <is>
          <t>TX-1380</t>
        </is>
      </c>
      <c r="C1386" s="63" t="n"/>
      <c r="D1386" s="62" t="n"/>
      <c r="E1386" s="62" t="n"/>
      <c r="F1386" s="62" t="n"/>
      <c r="G1386" s="62" t="n"/>
      <c r="H1386" s="62" t="n"/>
      <c r="I1386" s="62" t="n"/>
      <c r="J1386" s="62" t="n"/>
      <c r="K1386" s="62" t="n"/>
      <c r="L1386" s="64" t="n"/>
      <c r="M1386" s="64" t="n"/>
      <c r="N1386" s="62" t="n"/>
      <c r="O1386" s="65">
        <f>IF(Z1386=1,L1386-W1386,"")</f>
        <v/>
      </c>
      <c r="P1386" s="66">
        <f>IF(V1386="","",IFERROR(INDEX(coa_Type,MATCH(V1386,coa_Name,0)),""))</f>
        <v/>
      </c>
      <c r="Q1386" s="66">
        <f>IF(Z1386=1,IF(U1386="In",K1386&amp;"",V1386),"")</f>
        <v/>
      </c>
      <c r="R1386" s="66">
        <f>IF(Z1386=1,IF(U1386="In",V1386,K1386&amp;""),"")</f>
        <v/>
      </c>
      <c r="S1386" s="66">
        <f>IF(X1386&lt;&gt;"","⛔ "&amp;X1386&amp;" — not posted",IF(Y1386&lt;&gt;"","⚠ "&amp;Y1386,IF(Z1386=1,"✓ OK","")))</f>
        <v/>
      </c>
      <c r="T1386" s="67">
        <f>IF(AND(C1386="",D1386="",E1386="",L1386="",K1386=""),1,0)</f>
        <v/>
      </c>
      <c r="U1386" s="67">
        <f>IFERROR(INDEX(tt_Dir,MATCH(D1386,tt_Type,0)),"")</f>
        <v/>
      </c>
      <c r="V1386" s="67">
        <f>IF(D1386="","",IFERROR(IF(INDEX(tt_Other,MATCH(D1386,tt_Type,0))="",E1386&amp;"",INDEX(tt_Other,MATCH(D1386,tt_Type,0))),""))</f>
        <v/>
      </c>
      <c r="W1386" s="68">
        <f>IF(OR(TaxOn&lt;&gt;"Yes",NOT(ISNUMBER(M1386))),0,IF(IFERROR(INDEX(tt_Tax,MATCH(D1386,tt_Type,0)),"No")="Yes",M1386,0))</f>
        <v/>
      </c>
      <c r="X1386" s="67">
        <f>IF(T1386=1,"",IF(C1386="","Missing transaction date",IF(NOT(ISNUMBER(C1386)),"Invalid date",IF(OR(C1386&lt;DATE(2000,1,1),C1386&gt;DATE(2099,12,31)),"Invalid date",IF(D1386="","Select a type",IF(U1386="","Unknown type: "&amp;D1386,IF(V1386="","Select an account (Category)",IF(ISNA(MATCH(V1386,coa_Name,0)),"Unknown account: "&amp;V1386,IF(K1386="","Select Paid From / Deposited To",IF(ISNA(MATCH(K1386,coa_Name,0)),"Unknown account: "&amp;K1386,IF(NOT(ISNUMBER(L1386)),"Enter an amount",IF(L1386=0,"Enter an amount",IF(ABS(W1386)&gt;ABS(L1386),"Tax is larger than the amount","")))))))))))))</f>
        <v/>
      </c>
      <c r="Y1386" s="67">
        <f>IF(OR(T1386=1,X1386&lt;&gt;""),"",IF(AND(B1386&lt;&gt;"",COUNTIF(tx_ID,B1386)&gt;1),"Duplicate transaction ID",IF(AND(L1386&lt;0,D1386&lt;&gt;"Adjustment"),"Negative amount — check this entry",IF(AND(D1386="Customer Payment",G1386=""),"Add the customer",IF(AND(D1386="Customer Payment",OR(J1386="",COUNTIF(ar_No,J1386&amp;"")=0)),"Invoice # in Reference not found on AR sheet",IF(AND(D1386="Bill Payment",H1386=""),"Add the vendor",IF(AND(D1386="Bill Payment",OR(J1386="",COUNTIFS(ap_No,J1386&amp;"",ap_Party,H1386&amp;"")=0)),"Bill # + vendor not found on AP sheet",IF(AND(ISNUMBER(M1386),N(M1386)&lt;&gt;0,W1386=0),"Tax ignored (tax tracking off, or not allowed for this type)",IF(V1386=K1386&amp;"","Same account on both sides",IF(AND(ISNUMBER(StartDate),C1386&lt;StartDate),"Date is before the accounting start date",IF(AND(D1386&lt;&gt;"Adjustment",IFERROR(INDEX(coa_Pay,MATCH(K1386&amp;"",coa_Name,0)),"")&lt;&gt;"Yes"),"Paid From / Deposited To is not a payment account","")))))))))))</f>
        <v/>
      </c>
      <c r="Z1386" s="67">
        <f>IF(AND(T1386=0,X1386=""),1,0)</f>
        <v/>
      </c>
      <c r="AA1386" s="68">
        <f>IF(Z1386=1,IF(U1386="In",L1386,L1386-W1386),0)</f>
        <v/>
      </c>
      <c r="AB1386" s="68">
        <f>IF(Z1386=1,IF(U1386="In",L1386-W1386,L1386),0)</f>
        <v/>
      </c>
      <c r="AC1386" s="68">
        <f>IF(AND(Z1386=1,U1386="Out"),W1386,0)</f>
        <v/>
      </c>
      <c r="AD1386" s="68">
        <f>IF(AND(Z1386=1,U1386="In"),W1386,0)</f>
        <v/>
      </c>
    </row>
    <row r="1387">
      <c r="B1387" s="62" t="inlineStr">
        <is>
          <t>TX-1381</t>
        </is>
      </c>
      <c r="C1387" s="63" t="n"/>
      <c r="D1387" s="62" t="n"/>
      <c r="E1387" s="62" t="n"/>
      <c r="F1387" s="62" t="n"/>
      <c r="G1387" s="62" t="n"/>
      <c r="H1387" s="62" t="n"/>
      <c r="I1387" s="62" t="n"/>
      <c r="J1387" s="62" t="n"/>
      <c r="K1387" s="62" t="n"/>
      <c r="L1387" s="64" t="n"/>
      <c r="M1387" s="64" t="n"/>
      <c r="N1387" s="62" t="n"/>
      <c r="O1387" s="65">
        <f>IF(Z1387=1,L1387-W1387,"")</f>
        <v/>
      </c>
      <c r="P1387" s="66">
        <f>IF(V1387="","",IFERROR(INDEX(coa_Type,MATCH(V1387,coa_Name,0)),""))</f>
        <v/>
      </c>
      <c r="Q1387" s="66">
        <f>IF(Z1387=1,IF(U1387="In",K1387&amp;"",V1387),"")</f>
        <v/>
      </c>
      <c r="R1387" s="66">
        <f>IF(Z1387=1,IF(U1387="In",V1387,K1387&amp;""),"")</f>
        <v/>
      </c>
      <c r="S1387" s="66">
        <f>IF(X1387&lt;&gt;"","⛔ "&amp;X1387&amp;" — not posted",IF(Y1387&lt;&gt;"","⚠ "&amp;Y1387,IF(Z1387=1,"✓ OK","")))</f>
        <v/>
      </c>
      <c r="T1387" s="67">
        <f>IF(AND(C1387="",D1387="",E1387="",L1387="",K1387=""),1,0)</f>
        <v/>
      </c>
      <c r="U1387" s="67">
        <f>IFERROR(INDEX(tt_Dir,MATCH(D1387,tt_Type,0)),"")</f>
        <v/>
      </c>
      <c r="V1387" s="67">
        <f>IF(D1387="","",IFERROR(IF(INDEX(tt_Other,MATCH(D1387,tt_Type,0))="",E1387&amp;"",INDEX(tt_Other,MATCH(D1387,tt_Type,0))),""))</f>
        <v/>
      </c>
      <c r="W1387" s="68">
        <f>IF(OR(TaxOn&lt;&gt;"Yes",NOT(ISNUMBER(M1387))),0,IF(IFERROR(INDEX(tt_Tax,MATCH(D1387,tt_Type,0)),"No")="Yes",M1387,0))</f>
        <v/>
      </c>
      <c r="X1387" s="67">
        <f>IF(T1387=1,"",IF(C1387="","Missing transaction date",IF(NOT(ISNUMBER(C1387)),"Invalid date",IF(OR(C1387&lt;DATE(2000,1,1),C1387&gt;DATE(2099,12,31)),"Invalid date",IF(D1387="","Select a type",IF(U1387="","Unknown type: "&amp;D1387,IF(V1387="","Select an account (Category)",IF(ISNA(MATCH(V1387,coa_Name,0)),"Unknown account: "&amp;V1387,IF(K1387="","Select Paid From / Deposited To",IF(ISNA(MATCH(K1387,coa_Name,0)),"Unknown account: "&amp;K1387,IF(NOT(ISNUMBER(L1387)),"Enter an amount",IF(L1387=0,"Enter an amount",IF(ABS(W1387)&gt;ABS(L1387),"Tax is larger than the amount","")))))))))))))</f>
        <v/>
      </c>
      <c r="Y1387" s="67">
        <f>IF(OR(T1387=1,X1387&lt;&gt;""),"",IF(AND(B1387&lt;&gt;"",COUNTIF(tx_ID,B1387)&gt;1),"Duplicate transaction ID",IF(AND(L1387&lt;0,D1387&lt;&gt;"Adjustment"),"Negative amount — check this entry",IF(AND(D1387="Customer Payment",G1387=""),"Add the customer",IF(AND(D1387="Customer Payment",OR(J1387="",COUNTIF(ar_No,J1387&amp;"")=0)),"Invoice # in Reference not found on AR sheet",IF(AND(D1387="Bill Payment",H1387=""),"Add the vendor",IF(AND(D1387="Bill Payment",OR(J1387="",COUNTIFS(ap_No,J1387&amp;"",ap_Party,H1387&amp;"")=0)),"Bill # + vendor not found on AP sheet",IF(AND(ISNUMBER(M1387),N(M1387)&lt;&gt;0,W1387=0),"Tax ignored (tax tracking off, or not allowed for this type)",IF(V1387=K1387&amp;"","Same account on both sides",IF(AND(ISNUMBER(StartDate),C1387&lt;StartDate),"Date is before the accounting start date",IF(AND(D1387&lt;&gt;"Adjustment",IFERROR(INDEX(coa_Pay,MATCH(K1387&amp;"",coa_Name,0)),"")&lt;&gt;"Yes"),"Paid From / Deposited To is not a payment account","")))))))))))</f>
        <v/>
      </c>
      <c r="Z1387" s="67">
        <f>IF(AND(T1387=0,X1387=""),1,0)</f>
        <v/>
      </c>
      <c r="AA1387" s="68">
        <f>IF(Z1387=1,IF(U1387="In",L1387,L1387-W1387),0)</f>
        <v/>
      </c>
      <c r="AB1387" s="68">
        <f>IF(Z1387=1,IF(U1387="In",L1387-W1387,L1387),0)</f>
        <v/>
      </c>
      <c r="AC1387" s="68">
        <f>IF(AND(Z1387=1,U1387="Out"),W1387,0)</f>
        <v/>
      </c>
      <c r="AD1387" s="68">
        <f>IF(AND(Z1387=1,U1387="In"),W1387,0)</f>
        <v/>
      </c>
    </row>
    <row r="1388">
      <c r="B1388" s="62" t="inlineStr">
        <is>
          <t>TX-1382</t>
        </is>
      </c>
      <c r="C1388" s="63" t="n"/>
      <c r="D1388" s="62" t="n"/>
      <c r="E1388" s="62" t="n"/>
      <c r="F1388" s="62" t="n"/>
      <c r="G1388" s="62" t="n"/>
      <c r="H1388" s="62" t="n"/>
      <c r="I1388" s="62" t="n"/>
      <c r="J1388" s="62" t="n"/>
      <c r="K1388" s="62" t="n"/>
      <c r="L1388" s="64" t="n"/>
      <c r="M1388" s="64" t="n"/>
      <c r="N1388" s="62" t="n"/>
      <c r="O1388" s="65">
        <f>IF(Z1388=1,L1388-W1388,"")</f>
        <v/>
      </c>
      <c r="P1388" s="66">
        <f>IF(V1388="","",IFERROR(INDEX(coa_Type,MATCH(V1388,coa_Name,0)),""))</f>
        <v/>
      </c>
      <c r="Q1388" s="66">
        <f>IF(Z1388=1,IF(U1388="In",K1388&amp;"",V1388),"")</f>
        <v/>
      </c>
      <c r="R1388" s="66">
        <f>IF(Z1388=1,IF(U1388="In",V1388,K1388&amp;""),"")</f>
        <v/>
      </c>
      <c r="S1388" s="66">
        <f>IF(X1388&lt;&gt;"","⛔ "&amp;X1388&amp;" — not posted",IF(Y1388&lt;&gt;"","⚠ "&amp;Y1388,IF(Z1388=1,"✓ OK","")))</f>
        <v/>
      </c>
      <c r="T1388" s="67">
        <f>IF(AND(C1388="",D1388="",E1388="",L1388="",K1388=""),1,0)</f>
        <v/>
      </c>
      <c r="U1388" s="67">
        <f>IFERROR(INDEX(tt_Dir,MATCH(D1388,tt_Type,0)),"")</f>
        <v/>
      </c>
      <c r="V1388" s="67">
        <f>IF(D1388="","",IFERROR(IF(INDEX(tt_Other,MATCH(D1388,tt_Type,0))="",E1388&amp;"",INDEX(tt_Other,MATCH(D1388,tt_Type,0))),""))</f>
        <v/>
      </c>
      <c r="W1388" s="68">
        <f>IF(OR(TaxOn&lt;&gt;"Yes",NOT(ISNUMBER(M1388))),0,IF(IFERROR(INDEX(tt_Tax,MATCH(D1388,tt_Type,0)),"No")="Yes",M1388,0))</f>
        <v/>
      </c>
      <c r="X1388" s="67">
        <f>IF(T1388=1,"",IF(C1388="","Missing transaction date",IF(NOT(ISNUMBER(C1388)),"Invalid date",IF(OR(C1388&lt;DATE(2000,1,1),C1388&gt;DATE(2099,12,31)),"Invalid date",IF(D1388="","Select a type",IF(U1388="","Unknown type: "&amp;D1388,IF(V1388="","Select an account (Category)",IF(ISNA(MATCH(V1388,coa_Name,0)),"Unknown account: "&amp;V1388,IF(K1388="","Select Paid From / Deposited To",IF(ISNA(MATCH(K1388,coa_Name,0)),"Unknown account: "&amp;K1388,IF(NOT(ISNUMBER(L1388)),"Enter an amount",IF(L1388=0,"Enter an amount",IF(ABS(W1388)&gt;ABS(L1388),"Tax is larger than the amount","")))))))))))))</f>
        <v/>
      </c>
      <c r="Y1388" s="67">
        <f>IF(OR(T1388=1,X1388&lt;&gt;""),"",IF(AND(B1388&lt;&gt;"",COUNTIF(tx_ID,B1388)&gt;1),"Duplicate transaction ID",IF(AND(L1388&lt;0,D1388&lt;&gt;"Adjustment"),"Negative amount — check this entry",IF(AND(D1388="Customer Payment",G1388=""),"Add the customer",IF(AND(D1388="Customer Payment",OR(J1388="",COUNTIF(ar_No,J1388&amp;"")=0)),"Invoice # in Reference not found on AR sheet",IF(AND(D1388="Bill Payment",H1388=""),"Add the vendor",IF(AND(D1388="Bill Payment",OR(J1388="",COUNTIFS(ap_No,J1388&amp;"",ap_Party,H1388&amp;"")=0)),"Bill # + vendor not found on AP sheet",IF(AND(ISNUMBER(M1388),N(M1388)&lt;&gt;0,W1388=0),"Tax ignored (tax tracking off, or not allowed for this type)",IF(V1388=K1388&amp;"","Same account on both sides",IF(AND(ISNUMBER(StartDate),C1388&lt;StartDate),"Date is before the accounting start date",IF(AND(D1388&lt;&gt;"Adjustment",IFERROR(INDEX(coa_Pay,MATCH(K1388&amp;"",coa_Name,0)),"")&lt;&gt;"Yes"),"Paid From / Deposited To is not a payment account","")))))))))))</f>
        <v/>
      </c>
      <c r="Z1388" s="67">
        <f>IF(AND(T1388=0,X1388=""),1,0)</f>
        <v/>
      </c>
      <c r="AA1388" s="68">
        <f>IF(Z1388=1,IF(U1388="In",L1388,L1388-W1388),0)</f>
        <v/>
      </c>
      <c r="AB1388" s="68">
        <f>IF(Z1388=1,IF(U1388="In",L1388-W1388,L1388),0)</f>
        <v/>
      </c>
      <c r="AC1388" s="68">
        <f>IF(AND(Z1388=1,U1388="Out"),W1388,0)</f>
        <v/>
      </c>
      <c r="AD1388" s="68">
        <f>IF(AND(Z1388=1,U1388="In"),W1388,0)</f>
        <v/>
      </c>
    </row>
    <row r="1389">
      <c r="B1389" s="62" t="inlineStr">
        <is>
          <t>TX-1383</t>
        </is>
      </c>
      <c r="C1389" s="63" t="n"/>
      <c r="D1389" s="62" t="n"/>
      <c r="E1389" s="62" t="n"/>
      <c r="F1389" s="62" t="n"/>
      <c r="G1389" s="62" t="n"/>
      <c r="H1389" s="62" t="n"/>
      <c r="I1389" s="62" t="n"/>
      <c r="J1389" s="62" t="n"/>
      <c r="K1389" s="62" t="n"/>
      <c r="L1389" s="64" t="n"/>
      <c r="M1389" s="64" t="n"/>
      <c r="N1389" s="62" t="n"/>
      <c r="O1389" s="65">
        <f>IF(Z1389=1,L1389-W1389,"")</f>
        <v/>
      </c>
      <c r="P1389" s="66">
        <f>IF(V1389="","",IFERROR(INDEX(coa_Type,MATCH(V1389,coa_Name,0)),""))</f>
        <v/>
      </c>
      <c r="Q1389" s="66">
        <f>IF(Z1389=1,IF(U1389="In",K1389&amp;"",V1389),"")</f>
        <v/>
      </c>
      <c r="R1389" s="66">
        <f>IF(Z1389=1,IF(U1389="In",V1389,K1389&amp;""),"")</f>
        <v/>
      </c>
      <c r="S1389" s="66">
        <f>IF(X1389&lt;&gt;"","⛔ "&amp;X1389&amp;" — not posted",IF(Y1389&lt;&gt;"","⚠ "&amp;Y1389,IF(Z1389=1,"✓ OK","")))</f>
        <v/>
      </c>
      <c r="T1389" s="67">
        <f>IF(AND(C1389="",D1389="",E1389="",L1389="",K1389=""),1,0)</f>
        <v/>
      </c>
      <c r="U1389" s="67">
        <f>IFERROR(INDEX(tt_Dir,MATCH(D1389,tt_Type,0)),"")</f>
        <v/>
      </c>
      <c r="V1389" s="67">
        <f>IF(D1389="","",IFERROR(IF(INDEX(tt_Other,MATCH(D1389,tt_Type,0))="",E1389&amp;"",INDEX(tt_Other,MATCH(D1389,tt_Type,0))),""))</f>
        <v/>
      </c>
      <c r="W1389" s="68">
        <f>IF(OR(TaxOn&lt;&gt;"Yes",NOT(ISNUMBER(M1389))),0,IF(IFERROR(INDEX(tt_Tax,MATCH(D1389,tt_Type,0)),"No")="Yes",M1389,0))</f>
        <v/>
      </c>
      <c r="X1389" s="67">
        <f>IF(T1389=1,"",IF(C1389="","Missing transaction date",IF(NOT(ISNUMBER(C1389)),"Invalid date",IF(OR(C1389&lt;DATE(2000,1,1),C1389&gt;DATE(2099,12,31)),"Invalid date",IF(D1389="","Select a type",IF(U1389="","Unknown type: "&amp;D1389,IF(V1389="","Select an account (Category)",IF(ISNA(MATCH(V1389,coa_Name,0)),"Unknown account: "&amp;V1389,IF(K1389="","Select Paid From / Deposited To",IF(ISNA(MATCH(K1389,coa_Name,0)),"Unknown account: "&amp;K1389,IF(NOT(ISNUMBER(L1389)),"Enter an amount",IF(L1389=0,"Enter an amount",IF(ABS(W1389)&gt;ABS(L1389),"Tax is larger than the amount","")))))))))))))</f>
        <v/>
      </c>
      <c r="Y1389" s="67">
        <f>IF(OR(T1389=1,X1389&lt;&gt;""),"",IF(AND(B1389&lt;&gt;"",COUNTIF(tx_ID,B1389)&gt;1),"Duplicate transaction ID",IF(AND(L1389&lt;0,D1389&lt;&gt;"Adjustment"),"Negative amount — check this entry",IF(AND(D1389="Customer Payment",G1389=""),"Add the customer",IF(AND(D1389="Customer Payment",OR(J1389="",COUNTIF(ar_No,J1389&amp;"")=0)),"Invoice # in Reference not found on AR sheet",IF(AND(D1389="Bill Payment",H1389=""),"Add the vendor",IF(AND(D1389="Bill Payment",OR(J1389="",COUNTIFS(ap_No,J1389&amp;"",ap_Party,H1389&amp;"")=0)),"Bill # + vendor not found on AP sheet",IF(AND(ISNUMBER(M1389),N(M1389)&lt;&gt;0,W1389=0),"Tax ignored (tax tracking off, or not allowed for this type)",IF(V1389=K1389&amp;"","Same account on both sides",IF(AND(ISNUMBER(StartDate),C1389&lt;StartDate),"Date is before the accounting start date",IF(AND(D1389&lt;&gt;"Adjustment",IFERROR(INDEX(coa_Pay,MATCH(K1389&amp;"",coa_Name,0)),"")&lt;&gt;"Yes"),"Paid From / Deposited To is not a payment account","")))))))))))</f>
        <v/>
      </c>
      <c r="Z1389" s="67">
        <f>IF(AND(T1389=0,X1389=""),1,0)</f>
        <v/>
      </c>
      <c r="AA1389" s="68">
        <f>IF(Z1389=1,IF(U1389="In",L1389,L1389-W1389),0)</f>
        <v/>
      </c>
      <c r="AB1389" s="68">
        <f>IF(Z1389=1,IF(U1389="In",L1389-W1389,L1389),0)</f>
        <v/>
      </c>
      <c r="AC1389" s="68">
        <f>IF(AND(Z1389=1,U1389="Out"),W1389,0)</f>
        <v/>
      </c>
      <c r="AD1389" s="68">
        <f>IF(AND(Z1389=1,U1389="In"),W1389,0)</f>
        <v/>
      </c>
    </row>
    <row r="1390">
      <c r="B1390" s="62" t="inlineStr">
        <is>
          <t>TX-1384</t>
        </is>
      </c>
      <c r="C1390" s="63" t="n"/>
      <c r="D1390" s="62" t="n"/>
      <c r="E1390" s="62" t="n"/>
      <c r="F1390" s="62" t="n"/>
      <c r="G1390" s="62" t="n"/>
      <c r="H1390" s="62" t="n"/>
      <c r="I1390" s="62" t="n"/>
      <c r="J1390" s="62" t="n"/>
      <c r="K1390" s="62" t="n"/>
      <c r="L1390" s="64" t="n"/>
      <c r="M1390" s="64" t="n"/>
      <c r="N1390" s="62" t="n"/>
      <c r="O1390" s="65">
        <f>IF(Z1390=1,L1390-W1390,"")</f>
        <v/>
      </c>
      <c r="P1390" s="66">
        <f>IF(V1390="","",IFERROR(INDEX(coa_Type,MATCH(V1390,coa_Name,0)),""))</f>
        <v/>
      </c>
      <c r="Q1390" s="66">
        <f>IF(Z1390=1,IF(U1390="In",K1390&amp;"",V1390),"")</f>
        <v/>
      </c>
      <c r="R1390" s="66">
        <f>IF(Z1390=1,IF(U1390="In",V1390,K1390&amp;""),"")</f>
        <v/>
      </c>
      <c r="S1390" s="66">
        <f>IF(X1390&lt;&gt;"","⛔ "&amp;X1390&amp;" — not posted",IF(Y1390&lt;&gt;"","⚠ "&amp;Y1390,IF(Z1390=1,"✓ OK","")))</f>
        <v/>
      </c>
      <c r="T1390" s="67">
        <f>IF(AND(C1390="",D1390="",E1390="",L1390="",K1390=""),1,0)</f>
        <v/>
      </c>
      <c r="U1390" s="67">
        <f>IFERROR(INDEX(tt_Dir,MATCH(D1390,tt_Type,0)),"")</f>
        <v/>
      </c>
      <c r="V1390" s="67">
        <f>IF(D1390="","",IFERROR(IF(INDEX(tt_Other,MATCH(D1390,tt_Type,0))="",E1390&amp;"",INDEX(tt_Other,MATCH(D1390,tt_Type,0))),""))</f>
        <v/>
      </c>
      <c r="W1390" s="68">
        <f>IF(OR(TaxOn&lt;&gt;"Yes",NOT(ISNUMBER(M1390))),0,IF(IFERROR(INDEX(tt_Tax,MATCH(D1390,tt_Type,0)),"No")="Yes",M1390,0))</f>
        <v/>
      </c>
      <c r="X1390" s="67">
        <f>IF(T1390=1,"",IF(C1390="","Missing transaction date",IF(NOT(ISNUMBER(C1390)),"Invalid date",IF(OR(C1390&lt;DATE(2000,1,1),C1390&gt;DATE(2099,12,31)),"Invalid date",IF(D1390="","Select a type",IF(U1390="","Unknown type: "&amp;D1390,IF(V1390="","Select an account (Category)",IF(ISNA(MATCH(V1390,coa_Name,0)),"Unknown account: "&amp;V1390,IF(K1390="","Select Paid From / Deposited To",IF(ISNA(MATCH(K1390,coa_Name,0)),"Unknown account: "&amp;K1390,IF(NOT(ISNUMBER(L1390)),"Enter an amount",IF(L1390=0,"Enter an amount",IF(ABS(W1390)&gt;ABS(L1390),"Tax is larger than the amount","")))))))))))))</f>
        <v/>
      </c>
      <c r="Y1390" s="67">
        <f>IF(OR(T1390=1,X1390&lt;&gt;""),"",IF(AND(B1390&lt;&gt;"",COUNTIF(tx_ID,B1390)&gt;1),"Duplicate transaction ID",IF(AND(L1390&lt;0,D1390&lt;&gt;"Adjustment"),"Negative amount — check this entry",IF(AND(D1390="Customer Payment",G1390=""),"Add the customer",IF(AND(D1390="Customer Payment",OR(J1390="",COUNTIF(ar_No,J1390&amp;"")=0)),"Invoice # in Reference not found on AR sheet",IF(AND(D1390="Bill Payment",H1390=""),"Add the vendor",IF(AND(D1390="Bill Payment",OR(J1390="",COUNTIFS(ap_No,J1390&amp;"",ap_Party,H1390&amp;"")=0)),"Bill # + vendor not found on AP sheet",IF(AND(ISNUMBER(M1390),N(M1390)&lt;&gt;0,W1390=0),"Tax ignored (tax tracking off, or not allowed for this type)",IF(V1390=K1390&amp;"","Same account on both sides",IF(AND(ISNUMBER(StartDate),C1390&lt;StartDate),"Date is before the accounting start date",IF(AND(D1390&lt;&gt;"Adjustment",IFERROR(INDEX(coa_Pay,MATCH(K1390&amp;"",coa_Name,0)),"")&lt;&gt;"Yes"),"Paid From / Deposited To is not a payment account","")))))))))))</f>
        <v/>
      </c>
      <c r="Z1390" s="67">
        <f>IF(AND(T1390=0,X1390=""),1,0)</f>
        <v/>
      </c>
      <c r="AA1390" s="68">
        <f>IF(Z1390=1,IF(U1390="In",L1390,L1390-W1390),0)</f>
        <v/>
      </c>
      <c r="AB1390" s="68">
        <f>IF(Z1390=1,IF(U1390="In",L1390-W1390,L1390),0)</f>
        <v/>
      </c>
      <c r="AC1390" s="68">
        <f>IF(AND(Z1390=1,U1390="Out"),W1390,0)</f>
        <v/>
      </c>
      <c r="AD1390" s="68">
        <f>IF(AND(Z1390=1,U1390="In"),W1390,0)</f>
        <v/>
      </c>
    </row>
    <row r="1391">
      <c r="B1391" s="62" t="inlineStr">
        <is>
          <t>TX-1385</t>
        </is>
      </c>
      <c r="C1391" s="63" t="n"/>
      <c r="D1391" s="62" t="n"/>
      <c r="E1391" s="62" t="n"/>
      <c r="F1391" s="62" t="n"/>
      <c r="G1391" s="62" t="n"/>
      <c r="H1391" s="62" t="n"/>
      <c r="I1391" s="62" t="n"/>
      <c r="J1391" s="62" t="n"/>
      <c r="K1391" s="62" t="n"/>
      <c r="L1391" s="64" t="n"/>
      <c r="M1391" s="64" t="n"/>
      <c r="N1391" s="62" t="n"/>
      <c r="O1391" s="65">
        <f>IF(Z1391=1,L1391-W1391,"")</f>
        <v/>
      </c>
      <c r="P1391" s="66">
        <f>IF(V1391="","",IFERROR(INDEX(coa_Type,MATCH(V1391,coa_Name,0)),""))</f>
        <v/>
      </c>
      <c r="Q1391" s="66">
        <f>IF(Z1391=1,IF(U1391="In",K1391&amp;"",V1391),"")</f>
        <v/>
      </c>
      <c r="R1391" s="66">
        <f>IF(Z1391=1,IF(U1391="In",V1391,K1391&amp;""),"")</f>
        <v/>
      </c>
      <c r="S1391" s="66">
        <f>IF(X1391&lt;&gt;"","⛔ "&amp;X1391&amp;" — not posted",IF(Y1391&lt;&gt;"","⚠ "&amp;Y1391,IF(Z1391=1,"✓ OK","")))</f>
        <v/>
      </c>
      <c r="T1391" s="67">
        <f>IF(AND(C1391="",D1391="",E1391="",L1391="",K1391=""),1,0)</f>
        <v/>
      </c>
      <c r="U1391" s="67">
        <f>IFERROR(INDEX(tt_Dir,MATCH(D1391,tt_Type,0)),"")</f>
        <v/>
      </c>
      <c r="V1391" s="67">
        <f>IF(D1391="","",IFERROR(IF(INDEX(tt_Other,MATCH(D1391,tt_Type,0))="",E1391&amp;"",INDEX(tt_Other,MATCH(D1391,tt_Type,0))),""))</f>
        <v/>
      </c>
      <c r="W1391" s="68">
        <f>IF(OR(TaxOn&lt;&gt;"Yes",NOT(ISNUMBER(M1391))),0,IF(IFERROR(INDEX(tt_Tax,MATCH(D1391,tt_Type,0)),"No")="Yes",M1391,0))</f>
        <v/>
      </c>
      <c r="X1391" s="67">
        <f>IF(T1391=1,"",IF(C1391="","Missing transaction date",IF(NOT(ISNUMBER(C1391)),"Invalid date",IF(OR(C1391&lt;DATE(2000,1,1),C1391&gt;DATE(2099,12,31)),"Invalid date",IF(D1391="","Select a type",IF(U1391="","Unknown type: "&amp;D1391,IF(V1391="","Select an account (Category)",IF(ISNA(MATCH(V1391,coa_Name,0)),"Unknown account: "&amp;V1391,IF(K1391="","Select Paid From / Deposited To",IF(ISNA(MATCH(K1391,coa_Name,0)),"Unknown account: "&amp;K1391,IF(NOT(ISNUMBER(L1391)),"Enter an amount",IF(L1391=0,"Enter an amount",IF(ABS(W1391)&gt;ABS(L1391),"Tax is larger than the amount","")))))))))))))</f>
        <v/>
      </c>
      <c r="Y1391" s="67">
        <f>IF(OR(T1391=1,X1391&lt;&gt;""),"",IF(AND(B1391&lt;&gt;"",COUNTIF(tx_ID,B1391)&gt;1),"Duplicate transaction ID",IF(AND(L1391&lt;0,D1391&lt;&gt;"Adjustment"),"Negative amount — check this entry",IF(AND(D1391="Customer Payment",G1391=""),"Add the customer",IF(AND(D1391="Customer Payment",OR(J1391="",COUNTIF(ar_No,J1391&amp;"")=0)),"Invoice # in Reference not found on AR sheet",IF(AND(D1391="Bill Payment",H1391=""),"Add the vendor",IF(AND(D1391="Bill Payment",OR(J1391="",COUNTIFS(ap_No,J1391&amp;"",ap_Party,H1391&amp;"")=0)),"Bill # + vendor not found on AP sheet",IF(AND(ISNUMBER(M1391),N(M1391)&lt;&gt;0,W1391=0),"Tax ignored (tax tracking off, or not allowed for this type)",IF(V1391=K1391&amp;"","Same account on both sides",IF(AND(ISNUMBER(StartDate),C1391&lt;StartDate),"Date is before the accounting start date",IF(AND(D1391&lt;&gt;"Adjustment",IFERROR(INDEX(coa_Pay,MATCH(K1391&amp;"",coa_Name,0)),"")&lt;&gt;"Yes"),"Paid From / Deposited To is not a payment account","")))))))))))</f>
        <v/>
      </c>
      <c r="Z1391" s="67">
        <f>IF(AND(T1391=0,X1391=""),1,0)</f>
        <v/>
      </c>
      <c r="AA1391" s="68">
        <f>IF(Z1391=1,IF(U1391="In",L1391,L1391-W1391),0)</f>
        <v/>
      </c>
      <c r="AB1391" s="68">
        <f>IF(Z1391=1,IF(U1391="In",L1391-W1391,L1391),0)</f>
        <v/>
      </c>
      <c r="AC1391" s="68">
        <f>IF(AND(Z1391=1,U1391="Out"),W1391,0)</f>
        <v/>
      </c>
      <c r="AD1391" s="68">
        <f>IF(AND(Z1391=1,U1391="In"),W1391,0)</f>
        <v/>
      </c>
    </row>
    <row r="1392">
      <c r="B1392" s="62" t="inlineStr">
        <is>
          <t>TX-1386</t>
        </is>
      </c>
      <c r="C1392" s="63" t="n"/>
      <c r="D1392" s="62" t="n"/>
      <c r="E1392" s="62" t="n"/>
      <c r="F1392" s="62" t="n"/>
      <c r="G1392" s="62" t="n"/>
      <c r="H1392" s="62" t="n"/>
      <c r="I1392" s="62" t="n"/>
      <c r="J1392" s="62" t="n"/>
      <c r="K1392" s="62" t="n"/>
      <c r="L1392" s="64" t="n"/>
      <c r="M1392" s="64" t="n"/>
      <c r="N1392" s="62" t="n"/>
      <c r="O1392" s="65">
        <f>IF(Z1392=1,L1392-W1392,"")</f>
        <v/>
      </c>
      <c r="P1392" s="66">
        <f>IF(V1392="","",IFERROR(INDEX(coa_Type,MATCH(V1392,coa_Name,0)),""))</f>
        <v/>
      </c>
      <c r="Q1392" s="66">
        <f>IF(Z1392=1,IF(U1392="In",K1392&amp;"",V1392),"")</f>
        <v/>
      </c>
      <c r="R1392" s="66">
        <f>IF(Z1392=1,IF(U1392="In",V1392,K1392&amp;""),"")</f>
        <v/>
      </c>
      <c r="S1392" s="66">
        <f>IF(X1392&lt;&gt;"","⛔ "&amp;X1392&amp;" — not posted",IF(Y1392&lt;&gt;"","⚠ "&amp;Y1392,IF(Z1392=1,"✓ OK","")))</f>
        <v/>
      </c>
      <c r="T1392" s="67">
        <f>IF(AND(C1392="",D1392="",E1392="",L1392="",K1392=""),1,0)</f>
        <v/>
      </c>
      <c r="U1392" s="67">
        <f>IFERROR(INDEX(tt_Dir,MATCH(D1392,tt_Type,0)),"")</f>
        <v/>
      </c>
      <c r="V1392" s="67">
        <f>IF(D1392="","",IFERROR(IF(INDEX(tt_Other,MATCH(D1392,tt_Type,0))="",E1392&amp;"",INDEX(tt_Other,MATCH(D1392,tt_Type,0))),""))</f>
        <v/>
      </c>
      <c r="W1392" s="68">
        <f>IF(OR(TaxOn&lt;&gt;"Yes",NOT(ISNUMBER(M1392))),0,IF(IFERROR(INDEX(tt_Tax,MATCH(D1392,tt_Type,0)),"No")="Yes",M1392,0))</f>
        <v/>
      </c>
      <c r="X1392" s="67">
        <f>IF(T1392=1,"",IF(C1392="","Missing transaction date",IF(NOT(ISNUMBER(C1392)),"Invalid date",IF(OR(C1392&lt;DATE(2000,1,1),C1392&gt;DATE(2099,12,31)),"Invalid date",IF(D1392="","Select a type",IF(U1392="","Unknown type: "&amp;D1392,IF(V1392="","Select an account (Category)",IF(ISNA(MATCH(V1392,coa_Name,0)),"Unknown account: "&amp;V1392,IF(K1392="","Select Paid From / Deposited To",IF(ISNA(MATCH(K1392,coa_Name,0)),"Unknown account: "&amp;K1392,IF(NOT(ISNUMBER(L1392)),"Enter an amount",IF(L1392=0,"Enter an amount",IF(ABS(W1392)&gt;ABS(L1392),"Tax is larger than the amount","")))))))))))))</f>
        <v/>
      </c>
      <c r="Y1392" s="67">
        <f>IF(OR(T1392=1,X1392&lt;&gt;""),"",IF(AND(B1392&lt;&gt;"",COUNTIF(tx_ID,B1392)&gt;1),"Duplicate transaction ID",IF(AND(L1392&lt;0,D1392&lt;&gt;"Adjustment"),"Negative amount — check this entry",IF(AND(D1392="Customer Payment",G1392=""),"Add the customer",IF(AND(D1392="Customer Payment",OR(J1392="",COUNTIF(ar_No,J1392&amp;"")=0)),"Invoice # in Reference not found on AR sheet",IF(AND(D1392="Bill Payment",H1392=""),"Add the vendor",IF(AND(D1392="Bill Payment",OR(J1392="",COUNTIFS(ap_No,J1392&amp;"",ap_Party,H1392&amp;"")=0)),"Bill # + vendor not found on AP sheet",IF(AND(ISNUMBER(M1392),N(M1392)&lt;&gt;0,W1392=0),"Tax ignored (tax tracking off, or not allowed for this type)",IF(V1392=K1392&amp;"","Same account on both sides",IF(AND(ISNUMBER(StartDate),C1392&lt;StartDate),"Date is before the accounting start date",IF(AND(D1392&lt;&gt;"Adjustment",IFERROR(INDEX(coa_Pay,MATCH(K1392&amp;"",coa_Name,0)),"")&lt;&gt;"Yes"),"Paid From / Deposited To is not a payment account","")))))))))))</f>
        <v/>
      </c>
      <c r="Z1392" s="67">
        <f>IF(AND(T1392=0,X1392=""),1,0)</f>
        <v/>
      </c>
      <c r="AA1392" s="68">
        <f>IF(Z1392=1,IF(U1392="In",L1392,L1392-W1392),0)</f>
        <v/>
      </c>
      <c r="AB1392" s="68">
        <f>IF(Z1392=1,IF(U1392="In",L1392-W1392,L1392),0)</f>
        <v/>
      </c>
      <c r="AC1392" s="68">
        <f>IF(AND(Z1392=1,U1392="Out"),W1392,0)</f>
        <v/>
      </c>
      <c r="AD1392" s="68">
        <f>IF(AND(Z1392=1,U1392="In"),W1392,0)</f>
        <v/>
      </c>
    </row>
    <row r="1393">
      <c r="B1393" s="62" t="inlineStr">
        <is>
          <t>TX-1387</t>
        </is>
      </c>
      <c r="C1393" s="63" t="n"/>
      <c r="D1393" s="62" t="n"/>
      <c r="E1393" s="62" t="n"/>
      <c r="F1393" s="62" t="n"/>
      <c r="G1393" s="62" t="n"/>
      <c r="H1393" s="62" t="n"/>
      <c r="I1393" s="62" t="n"/>
      <c r="J1393" s="62" t="n"/>
      <c r="K1393" s="62" t="n"/>
      <c r="L1393" s="64" t="n"/>
      <c r="M1393" s="64" t="n"/>
      <c r="N1393" s="62" t="n"/>
      <c r="O1393" s="65">
        <f>IF(Z1393=1,L1393-W1393,"")</f>
        <v/>
      </c>
      <c r="P1393" s="66">
        <f>IF(V1393="","",IFERROR(INDEX(coa_Type,MATCH(V1393,coa_Name,0)),""))</f>
        <v/>
      </c>
      <c r="Q1393" s="66">
        <f>IF(Z1393=1,IF(U1393="In",K1393&amp;"",V1393),"")</f>
        <v/>
      </c>
      <c r="R1393" s="66">
        <f>IF(Z1393=1,IF(U1393="In",V1393,K1393&amp;""),"")</f>
        <v/>
      </c>
      <c r="S1393" s="66">
        <f>IF(X1393&lt;&gt;"","⛔ "&amp;X1393&amp;" — not posted",IF(Y1393&lt;&gt;"","⚠ "&amp;Y1393,IF(Z1393=1,"✓ OK","")))</f>
        <v/>
      </c>
      <c r="T1393" s="67">
        <f>IF(AND(C1393="",D1393="",E1393="",L1393="",K1393=""),1,0)</f>
        <v/>
      </c>
      <c r="U1393" s="67">
        <f>IFERROR(INDEX(tt_Dir,MATCH(D1393,tt_Type,0)),"")</f>
        <v/>
      </c>
      <c r="V1393" s="67">
        <f>IF(D1393="","",IFERROR(IF(INDEX(tt_Other,MATCH(D1393,tt_Type,0))="",E1393&amp;"",INDEX(tt_Other,MATCH(D1393,tt_Type,0))),""))</f>
        <v/>
      </c>
      <c r="W1393" s="68">
        <f>IF(OR(TaxOn&lt;&gt;"Yes",NOT(ISNUMBER(M1393))),0,IF(IFERROR(INDEX(tt_Tax,MATCH(D1393,tt_Type,0)),"No")="Yes",M1393,0))</f>
        <v/>
      </c>
      <c r="X1393" s="67">
        <f>IF(T1393=1,"",IF(C1393="","Missing transaction date",IF(NOT(ISNUMBER(C1393)),"Invalid date",IF(OR(C1393&lt;DATE(2000,1,1),C1393&gt;DATE(2099,12,31)),"Invalid date",IF(D1393="","Select a type",IF(U1393="","Unknown type: "&amp;D1393,IF(V1393="","Select an account (Category)",IF(ISNA(MATCH(V1393,coa_Name,0)),"Unknown account: "&amp;V1393,IF(K1393="","Select Paid From / Deposited To",IF(ISNA(MATCH(K1393,coa_Name,0)),"Unknown account: "&amp;K1393,IF(NOT(ISNUMBER(L1393)),"Enter an amount",IF(L1393=0,"Enter an amount",IF(ABS(W1393)&gt;ABS(L1393),"Tax is larger than the amount","")))))))))))))</f>
        <v/>
      </c>
      <c r="Y1393" s="67">
        <f>IF(OR(T1393=1,X1393&lt;&gt;""),"",IF(AND(B1393&lt;&gt;"",COUNTIF(tx_ID,B1393)&gt;1),"Duplicate transaction ID",IF(AND(L1393&lt;0,D1393&lt;&gt;"Adjustment"),"Negative amount — check this entry",IF(AND(D1393="Customer Payment",G1393=""),"Add the customer",IF(AND(D1393="Customer Payment",OR(J1393="",COUNTIF(ar_No,J1393&amp;"")=0)),"Invoice # in Reference not found on AR sheet",IF(AND(D1393="Bill Payment",H1393=""),"Add the vendor",IF(AND(D1393="Bill Payment",OR(J1393="",COUNTIFS(ap_No,J1393&amp;"",ap_Party,H1393&amp;"")=0)),"Bill # + vendor not found on AP sheet",IF(AND(ISNUMBER(M1393),N(M1393)&lt;&gt;0,W1393=0),"Tax ignored (tax tracking off, or not allowed for this type)",IF(V1393=K1393&amp;"","Same account on both sides",IF(AND(ISNUMBER(StartDate),C1393&lt;StartDate),"Date is before the accounting start date",IF(AND(D1393&lt;&gt;"Adjustment",IFERROR(INDEX(coa_Pay,MATCH(K1393&amp;"",coa_Name,0)),"")&lt;&gt;"Yes"),"Paid From / Deposited To is not a payment account","")))))))))))</f>
        <v/>
      </c>
      <c r="Z1393" s="67">
        <f>IF(AND(T1393=0,X1393=""),1,0)</f>
        <v/>
      </c>
      <c r="AA1393" s="68">
        <f>IF(Z1393=1,IF(U1393="In",L1393,L1393-W1393),0)</f>
        <v/>
      </c>
      <c r="AB1393" s="68">
        <f>IF(Z1393=1,IF(U1393="In",L1393-W1393,L1393),0)</f>
        <v/>
      </c>
      <c r="AC1393" s="68">
        <f>IF(AND(Z1393=1,U1393="Out"),W1393,0)</f>
        <v/>
      </c>
      <c r="AD1393" s="68">
        <f>IF(AND(Z1393=1,U1393="In"),W1393,0)</f>
        <v/>
      </c>
    </row>
    <row r="1394">
      <c r="B1394" s="62" t="inlineStr">
        <is>
          <t>TX-1388</t>
        </is>
      </c>
      <c r="C1394" s="63" t="n"/>
      <c r="D1394" s="62" t="n"/>
      <c r="E1394" s="62" t="n"/>
      <c r="F1394" s="62" t="n"/>
      <c r="G1394" s="62" t="n"/>
      <c r="H1394" s="62" t="n"/>
      <c r="I1394" s="62" t="n"/>
      <c r="J1394" s="62" t="n"/>
      <c r="K1394" s="62" t="n"/>
      <c r="L1394" s="64" t="n"/>
      <c r="M1394" s="64" t="n"/>
      <c r="N1394" s="62" t="n"/>
      <c r="O1394" s="65">
        <f>IF(Z1394=1,L1394-W1394,"")</f>
        <v/>
      </c>
      <c r="P1394" s="66">
        <f>IF(V1394="","",IFERROR(INDEX(coa_Type,MATCH(V1394,coa_Name,0)),""))</f>
        <v/>
      </c>
      <c r="Q1394" s="66">
        <f>IF(Z1394=1,IF(U1394="In",K1394&amp;"",V1394),"")</f>
        <v/>
      </c>
      <c r="R1394" s="66">
        <f>IF(Z1394=1,IF(U1394="In",V1394,K1394&amp;""),"")</f>
        <v/>
      </c>
      <c r="S1394" s="66">
        <f>IF(X1394&lt;&gt;"","⛔ "&amp;X1394&amp;" — not posted",IF(Y1394&lt;&gt;"","⚠ "&amp;Y1394,IF(Z1394=1,"✓ OK","")))</f>
        <v/>
      </c>
      <c r="T1394" s="67">
        <f>IF(AND(C1394="",D1394="",E1394="",L1394="",K1394=""),1,0)</f>
        <v/>
      </c>
      <c r="U1394" s="67">
        <f>IFERROR(INDEX(tt_Dir,MATCH(D1394,tt_Type,0)),"")</f>
        <v/>
      </c>
      <c r="V1394" s="67">
        <f>IF(D1394="","",IFERROR(IF(INDEX(tt_Other,MATCH(D1394,tt_Type,0))="",E1394&amp;"",INDEX(tt_Other,MATCH(D1394,tt_Type,0))),""))</f>
        <v/>
      </c>
      <c r="W1394" s="68">
        <f>IF(OR(TaxOn&lt;&gt;"Yes",NOT(ISNUMBER(M1394))),0,IF(IFERROR(INDEX(tt_Tax,MATCH(D1394,tt_Type,0)),"No")="Yes",M1394,0))</f>
        <v/>
      </c>
      <c r="X1394" s="67">
        <f>IF(T1394=1,"",IF(C1394="","Missing transaction date",IF(NOT(ISNUMBER(C1394)),"Invalid date",IF(OR(C1394&lt;DATE(2000,1,1),C1394&gt;DATE(2099,12,31)),"Invalid date",IF(D1394="","Select a type",IF(U1394="","Unknown type: "&amp;D1394,IF(V1394="","Select an account (Category)",IF(ISNA(MATCH(V1394,coa_Name,0)),"Unknown account: "&amp;V1394,IF(K1394="","Select Paid From / Deposited To",IF(ISNA(MATCH(K1394,coa_Name,0)),"Unknown account: "&amp;K1394,IF(NOT(ISNUMBER(L1394)),"Enter an amount",IF(L1394=0,"Enter an amount",IF(ABS(W1394)&gt;ABS(L1394),"Tax is larger than the amount","")))))))))))))</f>
        <v/>
      </c>
      <c r="Y1394" s="67">
        <f>IF(OR(T1394=1,X1394&lt;&gt;""),"",IF(AND(B1394&lt;&gt;"",COUNTIF(tx_ID,B1394)&gt;1),"Duplicate transaction ID",IF(AND(L1394&lt;0,D1394&lt;&gt;"Adjustment"),"Negative amount — check this entry",IF(AND(D1394="Customer Payment",G1394=""),"Add the customer",IF(AND(D1394="Customer Payment",OR(J1394="",COUNTIF(ar_No,J1394&amp;"")=0)),"Invoice # in Reference not found on AR sheet",IF(AND(D1394="Bill Payment",H1394=""),"Add the vendor",IF(AND(D1394="Bill Payment",OR(J1394="",COUNTIFS(ap_No,J1394&amp;"",ap_Party,H1394&amp;"")=0)),"Bill # + vendor not found on AP sheet",IF(AND(ISNUMBER(M1394),N(M1394)&lt;&gt;0,W1394=0),"Tax ignored (tax tracking off, or not allowed for this type)",IF(V1394=K1394&amp;"","Same account on both sides",IF(AND(ISNUMBER(StartDate),C1394&lt;StartDate),"Date is before the accounting start date",IF(AND(D1394&lt;&gt;"Adjustment",IFERROR(INDEX(coa_Pay,MATCH(K1394&amp;"",coa_Name,0)),"")&lt;&gt;"Yes"),"Paid From / Deposited To is not a payment account","")))))))))))</f>
        <v/>
      </c>
      <c r="Z1394" s="67">
        <f>IF(AND(T1394=0,X1394=""),1,0)</f>
        <v/>
      </c>
      <c r="AA1394" s="68">
        <f>IF(Z1394=1,IF(U1394="In",L1394,L1394-W1394),0)</f>
        <v/>
      </c>
      <c r="AB1394" s="68">
        <f>IF(Z1394=1,IF(U1394="In",L1394-W1394,L1394),0)</f>
        <v/>
      </c>
      <c r="AC1394" s="68">
        <f>IF(AND(Z1394=1,U1394="Out"),W1394,0)</f>
        <v/>
      </c>
      <c r="AD1394" s="68">
        <f>IF(AND(Z1394=1,U1394="In"),W1394,0)</f>
        <v/>
      </c>
    </row>
    <row r="1395">
      <c r="B1395" s="62" t="inlineStr">
        <is>
          <t>TX-1389</t>
        </is>
      </c>
      <c r="C1395" s="63" t="n"/>
      <c r="D1395" s="62" t="n"/>
      <c r="E1395" s="62" t="n"/>
      <c r="F1395" s="62" t="n"/>
      <c r="G1395" s="62" t="n"/>
      <c r="H1395" s="62" t="n"/>
      <c r="I1395" s="62" t="n"/>
      <c r="J1395" s="62" t="n"/>
      <c r="K1395" s="62" t="n"/>
      <c r="L1395" s="64" t="n"/>
      <c r="M1395" s="64" t="n"/>
      <c r="N1395" s="62" t="n"/>
      <c r="O1395" s="65">
        <f>IF(Z1395=1,L1395-W1395,"")</f>
        <v/>
      </c>
      <c r="P1395" s="66">
        <f>IF(V1395="","",IFERROR(INDEX(coa_Type,MATCH(V1395,coa_Name,0)),""))</f>
        <v/>
      </c>
      <c r="Q1395" s="66">
        <f>IF(Z1395=1,IF(U1395="In",K1395&amp;"",V1395),"")</f>
        <v/>
      </c>
      <c r="R1395" s="66">
        <f>IF(Z1395=1,IF(U1395="In",V1395,K1395&amp;""),"")</f>
        <v/>
      </c>
      <c r="S1395" s="66">
        <f>IF(X1395&lt;&gt;"","⛔ "&amp;X1395&amp;" — not posted",IF(Y1395&lt;&gt;"","⚠ "&amp;Y1395,IF(Z1395=1,"✓ OK","")))</f>
        <v/>
      </c>
      <c r="T1395" s="67">
        <f>IF(AND(C1395="",D1395="",E1395="",L1395="",K1395=""),1,0)</f>
        <v/>
      </c>
      <c r="U1395" s="67">
        <f>IFERROR(INDEX(tt_Dir,MATCH(D1395,tt_Type,0)),"")</f>
        <v/>
      </c>
      <c r="V1395" s="67">
        <f>IF(D1395="","",IFERROR(IF(INDEX(tt_Other,MATCH(D1395,tt_Type,0))="",E1395&amp;"",INDEX(tt_Other,MATCH(D1395,tt_Type,0))),""))</f>
        <v/>
      </c>
      <c r="W1395" s="68">
        <f>IF(OR(TaxOn&lt;&gt;"Yes",NOT(ISNUMBER(M1395))),0,IF(IFERROR(INDEX(tt_Tax,MATCH(D1395,tt_Type,0)),"No")="Yes",M1395,0))</f>
        <v/>
      </c>
      <c r="X1395" s="67">
        <f>IF(T1395=1,"",IF(C1395="","Missing transaction date",IF(NOT(ISNUMBER(C1395)),"Invalid date",IF(OR(C1395&lt;DATE(2000,1,1),C1395&gt;DATE(2099,12,31)),"Invalid date",IF(D1395="","Select a type",IF(U1395="","Unknown type: "&amp;D1395,IF(V1395="","Select an account (Category)",IF(ISNA(MATCH(V1395,coa_Name,0)),"Unknown account: "&amp;V1395,IF(K1395="","Select Paid From / Deposited To",IF(ISNA(MATCH(K1395,coa_Name,0)),"Unknown account: "&amp;K1395,IF(NOT(ISNUMBER(L1395)),"Enter an amount",IF(L1395=0,"Enter an amount",IF(ABS(W1395)&gt;ABS(L1395),"Tax is larger than the amount","")))))))))))))</f>
        <v/>
      </c>
      <c r="Y1395" s="67">
        <f>IF(OR(T1395=1,X1395&lt;&gt;""),"",IF(AND(B1395&lt;&gt;"",COUNTIF(tx_ID,B1395)&gt;1),"Duplicate transaction ID",IF(AND(L1395&lt;0,D1395&lt;&gt;"Adjustment"),"Negative amount — check this entry",IF(AND(D1395="Customer Payment",G1395=""),"Add the customer",IF(AND(D1395="Customer Payment",OR(J1395="",COUNTIF(ar_No,J1395&amp;"")=0)),"Invoice # in Reference not found on AR sheet",IF(AND(D1395="Bill Payment",H1395=""),"Add the vendor",IF(AND(D1395="Bill Payment",OR(J1395="",COUNTIFS(ap_No,J1395&amp;"",ap_Party,H1395&amp;"")=0)),"Bill # + vendor not found on AP sheet",IF(AND(ISNUMBER(M1395),N(M1395)&lt;&gt;0,W1395=0),"Tax ignored (tax tracking off, or not allowed for this type)",IF(V1395=K1395&amp;"","Same account on both sides",IF(AND(ISNUMBER(StartDate),C1395&lt;StartDate),"Date is before the accounting start date",IF(AND(D1395&lt;&gt;"Adjustment",IFERROR(INDEX(coa_Pay,MATCH(K1395&amp;"",coa_Name,0)),"")&lt;&gt;"Yes"),"Paid From / Deposited To is not a payment account","")))))))))))</f>
        <v/>
      </c>
      <c r="Z1395" s="67">
        <f>IF(AND(T1395=0,X1395=""),1,0)</f>
        <v/>
      </c>
      <c r="AA1395" s="68">
        <f>IF(Z1395=1,IF(U1395="In",L1395,L1395-W1395),0)</f>
        <v/>
      </c>
      <c r="AB1395" s="68">
        <f>IF(Z1395=1,IF(U1395="In",L1395-W1395,L1395),0)</f>
        <v/>
      </c>
      <c r="AC1395" s="68">
        <f>IF(AND(Z1395=1,U1395="Out"),W1395,0)</f>
        <v/>
      </c>
      <c r="AD1395" s="68">
        <f>IF(AND(Z1395=1,U1395="In"),W1395,0)</f>
        <v/>
      </c>
    </row>
    <row r="1396">
      <c r="B1396" s="62" t="inlineStr">
        <is>
          <t>TX-1390</t>
        </is>
      </c>
      <c r="C1396" s="63" t="n"/>
      <c r="D1396" s="62" t="n"/>
      <c r="E1396" s="62" t="n"/>
      <c r="F1396" s="62" t="n"/>
      <c r="G1396" s="62" t="n"/>
      <c r="H1396" s="62" t="n"/>
      <c r="I1396" s="62" t="n"/>
      <c r="J1396" s="62" t="n"/>
      <c r="K1396" s="62" t="n"/>
      <c r="L1396" s="64" t="n"/>
      <c r="M1396" s="64" t="n"/>
      <c r="N1396" s="62" t="n"/>
      <c r="O1396" s="65">
        <f>IF(Z1396=1,L1396-W1396,"")</f>
        <v/>
      </c>
      <c r="P1396" s="66">
        <f>IF(V1396="","",IFERROR(INDEX(coa_Type,MATCH(V1396,coa_Name,0)),""))</f>
        <v/>
      </c>
      <c r="Q1396" s="66">
        <f>IF(Z1396=1,IF(U1396="In",K1396&amp;"",V1396),"")</f>
        <v/>
      </c>
      <c r="R1396" s="66">
        <f>IF(Z1396=1,IF(U1396="In",V1396,K1396&amp;""),"")</f>
        <v/>
      </c>
      <c r="S1396" s="66">
        <f>IF(X1396&lt;&gt;"","⛔ "&amp;X1396&amp;" — not posted",IF(Y1396&lt;&gt;"","⚠ "&amp;Y1396,IF(Z1396=1,"✓ OK","")))</f>
        <v/>
      </c>
      <c r="T1396" s="67">
        <f>IF(AND(C1396="",D1396="",E1396="",L1396="",K1396=""),1,0)</f>
        <v/>
      </c>
      <c r="U1396" s="67">
        <f>IFERROR(INDEX(tt_Dir,MATCH(D1396,tt_Type,0)),"")</f>
        <v/>
      </c>
      <c r="V1396" s="67">
        <f>IF(D1396="","",IFERROR(IF(INDEX(tt_Other,MATCH(D1396,tt_Type,0))="",E1396&amp;"",INDEX(tt_Other,MATCH(D1396,tt_Type,0))),""))</f>
        <v/>
      </c>
      <c r="W1396" s="68">
        <f>IF(OR(TaxOn&lt;&gt;"Yes",NOT(ISNUMBER(M1396))),0,IF(IFERROR(INDEX(tt_Tax,MATCH(D1396,tt_Type,0)),"No")="Yes",M1396,0))</f>
        <v/>
      </c>
      <c r="X1396" s="67">
        <f>IF(T1396=1,"",IF(C1396="","Missing transaction date",IF(NOT(ISNUMBER(C1396)),"Invalid date",IF(OR(C1396&lt;DATE(2000,1,1),C1396&gt;DATE(2099,12,31)),"Invalid date",IF(D1396="","Select a type",IF(U1396="","Unknown type: "&amp;D1396,IF(V1396="","Select an account (Category)",IF(ISNA(MATCH(V1396,coa_Name,0)),"Unknown account: "&amp;V1396,IF(K1396="","Select Paid From / Deposited To",IF(ISNA(MATCH(K1396,coa_Name,0)),"Unknown account: "&amp;K1396,IF(NOT(ISNUMBER(L1396)),"Enter an amount",IF(L1396=0,"Enter an amount",IF(ABS(W1396)&gt;ABS(L1396),"Tax is larger than the amount","")))))))))))))</f>
        <v/>
      </c>
      <c r="Y1396" s="67">
        <f>IF(OR(T1396=1,X1396&lt;&gt;""),"",IF(AND(B1396&lt;&gt;"",COUNTIF(tx_ID,B1396)&gt;1),"Duplicate transaction ID",IF(AND(L1396&lt;0,D1396&lt;&gt;"Adjustment"),"Negative amount — check this entry",IF(AND(D1396="Customer Payment",G1396=""),"Add the customer",IF(AND(D1396="Customer Payment",OR(J1396="",COUNTIF(ar_No,J1396&amp;"")=0)),"Invoice # in Reference not found on AR sheet",IF(AND(D1396="Bill Payment",H1396=""),"Add the vendor",IF(AND(D1396="Bill Payment",OR(J1396="",COUNTIFS(ap_No,J1396&amp;"",ap_Party,H1396&amp;"")=0)),"Bill # + vendor not found on AP sheet",IF(AND(ISNUMBER(M1396),N(M1396)&lt;&gt;0,W1396=0),"Tax ignored (tax tracking off, or not allowed for this type)",IF(V1396=K1396&amp;"","Same account on both sides",IF(AND(ISNUMBER(StartDate),C1396&lt;StartDate),"Date is before the accounting start date",IF(AND(D1396&lt;&gt;"Adjustment",IFERROR(INDEX(coa_Pay,MATCH(K1396&amp;"",coa_Name,0)),"")&lt;&gt;"Yes"),"Paid From / Deposited To is not a payment account","")))))))))))</f>
        <v/>
      </c>
      <c r="Z1396" s="67">
        <f>IF(AND(T1396=0,X1396=""),1,0)</f>
        <v/>
      </c>
      <c r="AA1396" s="68">
        <f>IF(Z1396=1,IF(U1396="In",L1396,L1396-W1396),0)</f>
        <v/>
      </c>
      <c r="AB1396" s="68">
        <f>IF(Z1396=1,IF(U1396="In",L1396-W1396,L1396),0)</f>
        <v/>
      </c>
      <c r="AC1396" s="68">
        <f>IF(AND(Z1396=1,U1396="Out"),W1396,0)</f>
        <v/>
      </c>
      <c r="AD1396" s="68">
        <f>IF(AND(Z1396=1,U1396="In"),W1396,0)</f>
        <v/>
      </c>
    </row>
    <row r="1397">
      <c r="B1397" s="62" t="inlineStr">
        <is>
          <t>TX-1391</t>
        </is>
      </c>
      <c r="C1397" s="63" t="n"/>
      <c r="D1397" s="62" t="n"/>
      <c r="E1397" s="62" t="n"/>
      <c r="F1397" s="62" t="n"/>
      <c r="G1397" s="62" t="n"/>
      <c r="H1397" s="62" t="n"/>
      <c r="I1397" s="62" t="n"/>
      <c r="J1397" s="62" t="n"/>
      <c r="K1397" s="62" t="n"/>
      <c r="L1397" s="64" t="n"/>
      <c r="M1397" s="64" t="n"/>
      <c r="N1397" s="62" t="n"/>
      <c r="O1397" s="65">
        <f>IF(Z1397=1,L1397-W1397,"")</f>
        <v/>
      </c>
      <c r="P1397" s="66">
        <f>IF(V1397="","",IFERROR(INDEX(coa_Type,MATCH(V1397,coa_Name,0)),""))</f>
        <v/>
      </c>
      <c r="Q1397" s="66">
        <f>IF(Z1397=1,IF(U1397="In",K1397&amp;"",V1397),"")</f>
        <v/>
      </c>
      <c r="R1397" s="66">
        <f>IF(Z1397=1,IF(U1397="In",V1397,K1397&amp;""),"")</f>
        <v/>
      </c>
      <c r="S1397" s="66">
        <f>IF(X1397&lt;&gt;"","⛔ "&amp;X1397&amp;" — not posted",IF(Y1397&lt;&gt;"","⚠ "&amp;Y1397,IF(Z1397=1,"✓ OK","")))</f>
        <v/>
      </c>
      <c r="T1397" s="67">
        <f>IF(AND(C1397="",D1397="",E1397="",L1397="",K1397=""),1,0)</f>
        <v/>
      </c>
      <c r="U1397" s="67">
        <f>IFERROR(INDEX(tt_Dir,MATCH(D1397,tt_Type,0)),"")</f>
        <v/>
      </c>
      <c r="V1397" s="67">
        <f>IF(D1397="","",IFERROR(IF(INDEX(tt_Other,MATCH(D1397,tt_Type,0))="",E1397&amp;"",INDEX(tt_Other,MATCH(D1397,tt_Type,0))),""))</f>
        <v/>
      </c>
      <c r="W1397" s="68">
        <f>IF(OR(TaxOn&lt;&gt;"Yes",NOT(ISNUMBER(M1397))),0,IF(IFERROR(INDEX(tt_Tax,MATCH(D1397,tt_Type,0)),"No")="Yes",M1397,0))</f>
        <v/>
      </c>
      <c r="X1397" s="67">
        <f>IF(T1397=1,"",IF(C1397="","Missing transaction date",IF(NOT(ISNUMBER(C1397)),"Invalid date",IF(OR(C1397&lt;DATE(2000,1,1),C1397&gt;DATE(2099,12,31)),"Invalid date",IF(D1397="","Select a type",IF(U1397="","Unknown type: "&amp;D1397,IF(V1397="","Select an account (Category)",IF(ISNA(MATCH(V1397,coa_Name,0)),"Unknown account: "&amp;V1397,IF(K1397="","Select Paid From / Deposited To",IF(ISNA(MATCH(K1397,coa_Name,0)),"Unknown account: "&amp;K1397,IF(NOT(ISNUMBER(L1397)),"Enter an amount",IF(L1397=0,"Enter an amount",IF(ABS(W1397)&gt;ABS(L1397),"Tax is larger than the amount","")))))))))))))</f>
        <v/>
      </c>
      <c r="Y1397" s="67">
        <f>IF(OR(T1397=1,X1397&lt;&gt;""),"",IF(AND(B1397&lt;&gt;"",COUNTIF(tx_ID,B1397)&gt;1),"Duplicate transaction ID",IF(AND(L1397&lt;0,D1397&lt;&gt;"Adjustment"),"Negative amount — check this entry",IF(AND(D1397="Customer Payment",G1397=""),"Add the customer",IF(AND(D1397="Customer Payment",OR(J1397="",COUNTIF(ar_No,J1397&amp;"")=0)),"Invoice # in Reference not found on AR sheet",IF(AND(D1397="Bill Payment",H1397=""),"Add the vendor",IF(AND(D1397="Bill Payment",OR(J1397="",COUNTIFS(ap_No,J1397&amp;"",ap_Party,H1397&amp;"")=0)),"Bill # + vendor not found on AP sheet",IF(AND(ISNUMBER(M1397),N(M1397)&lt;&gt;0,W1397=0),"Tax ignored (tax tracking off, or not allowed for this type)",IF(V1397=K1397&amp;"","Same account on both sides",IF(AND(ISNUMBER(StartDate),C1397&lt;StartDate),"Date is before the accounting start date",IF(AND(D1397&lt;&gt;"Adjustment",IFERROR(INDEX(coa_Pay,MATCH(K1397&amp;"",coa_Name,0)),"")&lt;&gt;"Yes"),"Paid From / Deposited To is not a payment account","")))))))))))</f>
        <v/>
      </c>
      <c r="Z1397" s="67">
        <f>IF(AND(T1397=0,X1397=""),1,0)</f>
        <v/>
      </c>
      <c r="AA1397" s="68">
        <f>IF(Z1397=1,IF(U1397="In",L1397,L1397-W1397),0)</f>
        <v/>
      </c>
      <c r="AB1397" s="68">
        <f>IF(Z1397=1,IF(U1397="In",L1397-W1397,L1397),0)</f>
        <v/>
      </c>
      <c r="AC1397" s="68">
        <f>IF(AND(Z1397=1,U1397="Out"),W1397,0)</f>
        <v/>
      </c>
      <c r="AD1397" s="68">
        <f>IF(AND(Z1397=1,U1397="In"),W1397,0)</f>
        <v/>
      </c>
    </row>
    <row r="1398">
      <c r="B1398" s="62" t="inlineStr">
        <is>
          <t>TX-1392</t>
        </is>
      </c>
      <c r="C1398" s="63" t="n"/>
      <c r="D1398" s="62" t="n"/>
      <c r="E1398" s="62" t="n"/>
      <c r="F1398" s="62" t="n"/>
      <c r="G1398" s="62" t="n"/>
      <c r="H1398" s="62" t="n"/>
      <c r="I1398" s="62" t="n"/>
      <c r="J1398" s="62" t="n"/>
      <c r="K1398" s="62" t="n"/>
      <c r="L1398" s="64" t="n"/>
      <c r="M1398" s="64" t="n"/>
      <c r="N1398" s="62" t="n"/>
      <c r="O1398" s="65">
        <f>IF(Z1398=1,L1398-W1398,"")</f>
        <v/>
      </c>
      <c r="P1398" s="66">
        <f>IF(V1398="","",IFERROR(INDEX(coa_Type,MATCH(V1398,coa_Name,0)),""))</f>
        <v/>
      </c>
      <c r="Q1398" s="66">
        <f>IF(Z1398=1,IF(U1398="In",K1398&amp;"",V1398),"")</f>
        <v/>
      </c>
      <c r="R1398" s="66">
        <f>IF(Z1398=1,IF(U1398="In",V1398,K1398&amp;""),"")</f>
        <v/>
      </c>
      <c r="S1398" s="66">
        <f>IF(X1398&lt;&gt;"","⛔ "&amp;X1398&amp;" — not posted",IF(Y1398&lt;&gt;"","⚠ "&amp;Y1398,IF(Z1398=1,"✓ OK","")))</f>
        <v/>
      </c>
      <c r="T1398" s="67">
        <f>IF(AND(C1398="",D1398="",E1398="",L1398="",K1398=""),1,0)</f>
        <v/>
      </c>
      <c r="U1398" s="67">
        <f>IFERROR(INDEX(tt_Dir,MATCH(D1398,tt_Type,0)),"")</f>
        <v/>
      </c>
      <c r="V1398" s="67">
        <f>IF(D1398="","",IFERROR(IF(INDEX(tt_Other,MATCH(D1398,tt_Type,0))="",E1398&amp;"",INDEX(tt_Other,MATCH(D1398,tt_Type,0))),""))</f>
        <v/>
      </c>
      <c r="W1398" s="68">
        <f>IF(OR(TaxOn&lt;&gt;"Yes",NOT(ISNUMBER(M1398))),0,IF(IFERROR(INDEX(tt_Tax,MATCH(D1398,tt_Type,0)),"No")="Yes",M1398,0))</f>
        <v/>
      </c>
      <c r="X1398" s="67">
        <f>IF(T1398=1,"",IF(C1398="","Missing transaction date",IF(NOT(ISNUMBER(C1398)),"Invalid date",IF(OR(C1398&lt;DATE(2000,1,1),C1398&gt;DATE(2099,12,31)),"Invalid date",IF(D1398="","Select a type",IF(U1398="","Unknown type: "&amp;D1398,IF(V1398="","Select an account (Category)",IF(ISNA(MATCH(V1398,coa_Name,0)),"Unknown account: "&amp;V1398,IF(K1398="","Select Paid From / Deposited To",IF(ISNA(MATCH(K1398,coa_Name,0)),"Unknown account: "&amp;K1398,IF(NOT(ISNUMBER(L1398)),"Enter an amount",IF(L1398=0,"Enter an amount",IF(ABS(W1398)&gt;ABS(L1398),"Tax is larger than the amount","")))))))))))))</f>
        <v/>
      </c>
      <c r="Y1398" s="67">
        <f>IF(OR(T1398=1,X1398&lt;&gt;""),"",IF(AND(B1398&lt;&gt;"",COUNTIF(tx_ID,B1398)&gt;1),"Duplicate transaction ID",IF(AND(L1398&lt;0,D1398&lt;&gt;"Adjustment"),"Negative amount — check this entry",IF(AND(D1398="Customer Payment",G1398=""),"Add the customer",IF(AND(D1398="Customer Payment",OR(J1398="",COUNTIF(ar_No,J1398&amp;"")=0)),"Invoice # in Reference not found on AR sheet",IF(AND(D1398="Bill Payment",H1398=""),"Add the vendor",IF(AND(D1398="Bill Payment",OR(J1398="",COUNTIFS(ap_No,J1398&amp;"",ap_Party,H1398&amp;"")=0)),"Bill # + vendor not found on AP sheet",IF(AND(ISNUMBER(M1398),N(M1398)&lt;&gt;0,W1398=0),"Tax ignored (tax tracking off, or not allowed for this type)",IF(V1398=K1398&amp;"","Same account on both sides",IF(AND(ISNUMBER(StartDate),C1398&lt;StartDate),"Date is before the accounting start date",IF(AND(D1398&lt;&gt;"Adjustment",IFERROR(INDEX(coa_Pay,MATCH(K1398&amp;"",coa_Name,0)),"")&lt;&gt;"Yes"),"Paid From / Deposited To is not a payment account","")))))))))))</f>
        <v/>
      </c>
      <c r="Z1398" s="67">
        <f>IF(AND(T1398=0,X1398=""),1,0)</f>
        <v/>
      </c>
      <c r="AA1398" s="68">
        <f>IF(Z1398=1,IF(U1398="In",L1398,L1398-W1398),0)</f>
        <v/>
      </c>
      <c r="AB1398" s="68">
        <f>IF(Z1398=1,IF(U1398="In",L1398-W1398,L1398),0)</f>
        <v/>
      </c>
      <c r="AC1398" s="68">
        <f>IF(AND(Z1398=1,U1398="Out"),W1398,0)</f>
        <v/>
      </c>
      <c r="AD1398" s="68">
        <f>IF(AND(Z1398=1,U1398="In"),W1398,0)</f>
        <v/>
      </c>
    </row>
    <row r="1399">
      <c r="B1399" s="62" t="inlineStr">
        <is>
          <t>TX-1393</t>
        </is>
      </c>
      <c r="C1399" s="63" t="n"/>
      <c r="D1399" s="62" t="n"/>
      <c r="E1399" s="62" t="n"/>
      <c r="F1399" s="62" t="n"/>
      <c r="G1399" s="62" t="n"/>
      <c r="H1399" s="62" t="n"/>
      <c r="I1399" s="62" t="n"/>
      <c r="J1399" s="62" t="n"/>
      <c r="K1399" s="62" t="n"/>
      <c r="L1399" s="64" t="n"/>
      <c r="M1399" s="64" t="n"/>
      <c r="N1399" s="62" t="n"/>
      <c r="O1399" s="65">
        <f>IF(Z1399=1,L1399-W1399,"")</f>
        <v/>
      </c>
      <c r="P1399" s="66">
        <f>IF(V1399="","",IFERROR(INDEX(coa_Type,MATCH(V1399,coa_Name,0)),""))</f>
        <v/>
      </c>
      <c r="Q1399" s="66">
        <f>IF(Z1399=1,IF(U1399="In",K1399&amp;"",V1399),"")</f>
        <v/>
      </c>
      <c r="R1399" s="66">
        <f>IF(Z1399=1,IF(U1399="In",V1399,K1399&amp;""),"")</f>
        <v/>
      </c>
      <c r="S1399" s="66">
        <f>IF(X1399&lt;&gt;"","⛔ "&amp;X1399&amp;" — not posted",IF(Y1399&lt;&gt;"","⚠ "&amp;Y1399,IF(Z1399=1,"✓ OK","")))</f>
        <v/>
      </c>
      <c r="T1399" s="67">
        <f>IF(AND(C1399="",D1399="",E1399="",L1399="",K1399=""),1,0)</f>
        <v/>
      </c>
      <c r="U1399" s="67">
        <f>IFERROR(INDEX(tt_Dir,MATCH(D1399,tt_Type,0)),"")</f>
        <v/>
      </c>
      <c r="V1399" s="67">
        <f>IF(D1399="","",IFERROR(IF(INDEX(tt_Other,MATCH(D1399,tt_Type,0))="",E1399&amp;"",INDEX(tt_Other,MATCH(D1399,tt_Type,0))),""))</f>
        <v/>
      </c>
      <c r="W1399" s="68">
        <f>IF(OR(TaxOn&lt;&gt;"Yes",NOT(ISNUMBER(M1399))),0,IF(IFERROR(INDEX(tt_Tax,MATCH(D1399,tt_Type,0)),"No")="Yes",M1399,0))</f>
        <v/>
      </c>
      <c r="X1399" s="67">
        <f>IF(T1399=1,"",IF(C1399="","Missing transaction date",IF(NOT(ISNUMBER(C1399)),"Invalid date",IF(OR(C1399&lt;DATE(2000,1,1),C1399&gt;DATE(2099,12,31)),"Invalid date",IF(D1399="","Select a type",IF(U1399="","Unknown type: "&amp;D1399,IF(V1399="","Select an account (Category)",IF(ISNA(MATCH(V1399,coa_Name,0)),"Unknown account: "&amp;V1399,IF(K1399="","Select Paid From / Deposited To",IF(ISNA(MATCH(K1399,coa_Name,0)),"Unknown account: "&amp;K1399,IF(NOT(ISNUMBER(L1399)),"Enter an amount",IF(L1399=0,"Enter an amount",IF(ABS(W1399)&gt;ABS(L1399),"Tax is larger than the amount","")))))))))))))</f>
        <v/>
      </c>
      <c r="Y1399" s="67">
        <f>IF(OR(T1399=1,X1399&lt;&gt;""),"",IF(AND(B1399&lt;&gt;"",COUNTIF(tx_ID,B1399)&gt;1),"Duplicate transaction ID",IF(AND(L1399&lt;0,D1399&lt;&gt;"Adjustment"),"Negative amount — check this entry",IF(AND(D1399="Customer Payment",G1399=""),"Add the customer",IF(AND(D1399="Customer Payment",OR(J1399="",COUNTIF(ar_No,J1399&amp;"")=0)),"Invoice # in Reference not found on AR sheet",IF(AND(D1399="Bill Payment",H1399=""),"Add the vendor",IF(AND(D1399="Bill Payment",OR(J1399="",COUNTIFS(ap_No,J1399&amp;"",ap_Party,H1399&amp;"")=0)),"Bill # + vendor not found on AP sheet",IF(AND(ISNUMBER(M1399),N(M1399)&lt;&gt;0,W1399=0),"Tax ignored (tax tracking off, or not allowed for this type)",IF(V1399=K1399&amp;"","Same account on both sides",IF(AND(ISNUMBER(StartDate),C1399&lt;StartDate),"Date is before the accounting start date",IF(AND(D1399&lt;&gt;"Adjustment",IFERROR(INDEX(coa_Pay,MATCH(K1399&amp;"",coa_Name,0)),"")&lt;&gt;"Yes"),"Paid From / Deposited To is not a payment account","")))))))))))</f>
        <v/>
      </c>
      <c r="Z1399" s="67">
        <f>IF(AND(T1399=0,X1399=""),1,0)</f>
        <v/>
      </c>
      <c r="AA1399" s="68">
        <f>IF(Z1399=1,IF(U1399="In",L1399,L1399-W1399),0)</f>
        <v/>
      </c>
      <c r="AB1399" s="68">
        <f>IF(Z1399=1,IF(U1399="In",L1399-W1399,L1399),0)</f>
        <v/>
      </c>
      <c r="AC1399" s="68">
        <f>IF(AND(Z1399=1,U1399="Out"),W1399,0)</f>
        <v/>
      </c>
      <c r="AD1399" s="68">
        <f>IF(AND(Z1399=1,U1399="In"),W1399,0)</f>
        <v/>
      </c>
    </row>
    <row r="1400">
      <c r="B1400" s="62" t="inlineStr">
        <is>
          <t>TX-1394</t>
        </is>
      </c>
      <c r="C1400" s="63" t="n"/>
      <c r="D1400" s="62" t="n"/>
      <c r="E1400" s="62" t="n"/>
      <c r="F1400" s="62" t="n"/>
      <c r="G1400" s="62" t="n"/>
      <c r="H1400" s="62" t="n"/>
      <c r="I1400" s="62" t="n"/>
      <c r="J1400" s="62" t="n"/>
      <c r="K1400" s="62" t="n"/>
      <c r="L1400" s="64" t="n"/>
      <c r="M1400" s="64" t="n"/>
      <c r="N1400" s="62" t="n"/>
      <c r="O1400" s="65">
        <f>IF(Z1400=1,L1400-W1400,"")</f>
        <v/>
      </c>
      <c r="P1400" s="66">
        <f>IF(V1400="","",IFERROR(INDEX(coa_Type,MATCH(V1400,coa_Name,0)),""))</f>
        <v/>
      </c>
      <c r="Q1400" s="66">
        <f>IF(Z1400=1,IF(U1400="In",K1400&amp;"",V1400),"")</f>
        <v/>
      </c>
      <c r="R1400" s="66">
        <f>IF(Z1400=1,IF(U1400="In",V1400,K1400&amp;""),"")</f>
        <v/>
      </c>
      <c r="S1400" s="66">
        <f>IF(X1400&lt;&gt;"","⛔ "&amp;X1400&amp;" — not posted",IF(Y1400&lt;&gt;"","⚠ "&amp;Y1400,IF(Z1400=1,"✓ OK","")))</f>
        <v/>
      </c>
      <c r="T1400" s="67">
        <f>IF(AND(C1400="",D1400="",E1400="",L1400="",K1400=""),1,0)</f>
        <v/>
      </c>
      <c r="U1400" s="67">
        <f>IFERROR(INDEX(tt_Dir,MATCH(D1400,tt_Type,0)),"")</f>
        <v/>
      </c>
      <c r="V1400" s="67">
        <f>IF(D1400="","",IFERROR(IF(INDEX(tt_Other,MATCH(D1400,tt_Type,0))="",E1400&amp;"",INDEX(tt_Other,MATCH(D1400,tt_Type,0))),""))</f>
        <v/>
      </c>
      <c r="W1400" s="68">
        <f>IF(OR(TaxOn&lt;&gt;"Yes",NOT(ISNUMBER(M1400))),0,IF(IFERROR(INDEX(tt_Tax,MATCH(D1400,tt_Type,0)),"No")="Yes",M1400,0))</f>
        <v/>
      </c>
      <c r="X1400" s="67">
        <f>IF(T1400=1,"",IF(C1400="","Missing transaction date",IF(NOT(ISNUMBER(C1400)),"Invalid date",IF(OR(C1400&lt;DATE(2000,1,1),C1400&gt;DATE(2099,12,31)),"Invalid date",IF(D1400="","Select a type",IF(U1400="","Unknown type: "&amp;D1400,IF(V1400="","Select an account (Category)",IF(ISNA(MATCH(V1400,coa_Name,0)),"Unknown account: "&amp;V1400,IF(K1400="","Select Paid From / Deposited To",IF(ISNA(MATCH(K1400,coa_Name,0)),"Unknown account: "&amp;K1400,IF(NOT(ISNUMBER(L1400)),"Enter an amount",IF(L1400=0,"Enter an amount",IF(ABS(W1400)&gt;ABS(L1400),"Tax is larger than the amount","")))))))))))))</f>
        <v/>
      </c>
      <c r="Y1400" s="67">
        <f>IF(OR(T1400=1,X1400&lt;&gt;""),"",IF(AND(B1400&lt;&gt;"",COUNTIF(tx_ID,B1400)&gt;1),"Duplicate transaction ID",IF(AND(L1400&lt;0,D1400&lt;&gt;"Adjustment"),"Negative amount — check this entry",IF(AND(D1400="Customer Payment",G1400=""),"Add the customer",IF(AND(D1400="Customer Payment",OR(J1400="",COUNTIF(ar_No,J1400&amp;"")=0)),"Invoice # in Reference not found on AR sheet",IF(AND(D1400="Bill Payment",H1400=""),"Add the vendor",IF(AND(D1400="Bill Payment",OR(J1400="",COUNTIFS(ap_No,J1400&amp;"",ap_Party,H1400&amp;"")=0)),"Bill # + vendor not found on AP sheet",IF(AND(ISNUMBER(M1400),N(M1400)&lt;&gt;0,W1400=0),"Tax ignored (tax tracking off, or not allowed for this type)",IF(V1400=K1400&amp;"","Same account on both sides",IF(AND(ISNUMBER(StartDate),C1400&lt;StartDate),"Date is before the accounting start date",IF(AND(D1400&lt;&gt;"Adjustment",IFERROR(INDEX(coa_Pay,MATCH(K1400&amp;"",coa_Name,0)),"")&lt;&gt;"Yes"),"Paid From / Deposited To is not a payment account","")))))))))))</f>
        <v/>
      </c>
      <c r="Z1400" s="67">
        <f>IF(AND(T1400=0,X1400=""),1,0)</f>
        <v/>
      </c>
      <c r="AA1400" s="68">
        <f>IF(Z1400=1,IF(U1400="In",L1400,L1400-W1400),0)</f>
        <v/>
      </c>
      <c r="AB1400" s="68">
        <f>IF(Z1400=1,IF(U1400="In",L1400-W1400,L1400),0)</f>
        <v/>
      </c>
      <c r="AC1400" s="68">
        <f>IF(AND(Z1400=1,U1400="Out"),W1400,0)</f>
        <v/>
      </c>
      <c r="AD1400" s="68">
        <f>IF(AND(Z1400=1,U1400="In"),W1400,0)</f>
        <v/>
      </c>
    </row>
    <row r="1401">
      <c r="B1401" s="62" t="inlineStr">
        <is>
          <t>TX-1395</t>
        </is>
      </c>
      <c r="C1401" s="63" t="n"/>
      <c r="D1401" s="62" t="n"/>
      <c r="E1401" s="62" t="n"/>
      <c r="F1401" s="62" t="n"/>
      <c r="G1401" s="62" t="n"/>
      <c r="H1401" s="62" t="n"/>
      <c r="I1401" s="62" t="n"/>
      <c r="J1401" s="62" t="n"/>
      <c r="K1401" s="62" t="n"/>
      <c r="L1401" s="64" t="n"/>
      <c r="M1401" s="64" t="n"/>
      <c r="N1401" s="62" t="n"/>
      <c r="O1401" s="65">
        <f>IF(Z1401=1,L1401-W1401,"")</f>
        <v/>
      </c>
      <c r="P1401" s="66">
        <f>IF(V1401="","",IFERROR(INDEX(coa_Type,MATCH(V1401,coa_Name,0)),""))</f>
        <v/>
      </c>
      <c r="Q1401" s="66">
        <f>IF(Z1401=1,IF(U1401="In",K1401&amp;"",V1401),"")</f>
        <v/>
      </c>
      <c r="R1401" s="66">
        <f>IF(Z1401=1,IF(U1401="In",V1401,K1401&amp;""),"")</f>
        <v/>
      </c>
      <c r="S1401" s="66">
        <f>IF(X1401&lt;&gt;"","⛔ "&amp;X1401&amp;" — not posted",IF(Y1401&lt;&gt;"","⚠ "&amp;Y1401,IF(Z1401=1,"✓ OK","")))</f>
        <v/>
      </c>
      <c r="T1401" s="67">
        <f>IF(AND(C1401="",D1401="",E1401="",L1401="",K1401=""),1,0)</f>
        <v/>
      </c>
      <c r="U1401" s="67">
        <f>IFERROR(INDEX(tt_Dir,MATCH(D1401,tt_Type,0)),"")</f>
        <v/>
      </c>
      <c r="V1401" s="67">
        <f>IF(D1401="","",IFERROR(IF(INDEX(tt_Other,MATCH(D1401,tt_Type,0))="",E1401&amp;"",INDEX(tt_Other,MATCH(D1401,tt_Type,0))),""))</f>
        <v/>
      </c>
      <c r="W1401" s="68">
        <f>IF(OR(TaxOn&lt;&gt;"Yes",NOT(ISNUMBER(M1401))),0,IF(IFERROR(INDEX(tt_Tax,MATCH(D1401,tt_Type,0)),"No")="Yes",M1401,0))</f>
        <v/>
      </c>
      <c r="X1401" s="67">
        <f>IF(T1401=1,"",IF(C1401="","Missing transaction date",IF(NOT(ISNUMBER(C1401)),"Invalid date",IF(OR(C1401&lt;DATE(2000,1,1),C1401&gt;DATE(2099,12,31)),"Invalid date",IF(D1401="","Select a type",IF(U1401="","Unknown type: "&amp;D1401,IF(V1401="","Select an account (Category)",IF(ISNA(MATCH(V1401,coa_Name,0)),"Unknown account: "&amp;V1401,IF(K1401="","Select Paid From / Deposited To",IF(ISNA(MATCH(K1401,coa_Name,0)),"Unknown account: "&amp;K1401,IF(NOT(ISNUMBER(L1401)),"Enter an amount",IF(L1401=0,"Enter an amount",IF(ABS(W1401)&gt;ABS(L1401),"Tax is larger than the amount","")))))))))))))</f>
        <v/>
      </c>
      <c r="Y1401" s="67">
        <f>IF(OR(T1401=1,X1401&lt;&gt;""),"",IF(AND(B1401&lt;&gt;"",COUNTIF(tx_ID,B1401)&gt;1),"Duplicate transaction ID",IF(AND(L1401&lt;0,D1401&lt;&gt;"Adjustment"),"Negative amount — check this entry",IF(AND(D1401="Customer Payment",G1401=""),"Add the customer",IF(AND(D1401="Customer Payment",OR(J1401="",COUNTIF(ar_No,J1401&amp;"")=0)),"Invoice # in Reference not found on AR sheet",IF(AND(D1401="Bill Payment",H1401=""),"Add the vendor",IF(AND(D1401="Bill Payment",OR(J1401="",COUNTIFS(ap_No,J1401&amp;"",ap_Party,H1401&amp;"")=0)),"Bill # + vendor not found on AP sheet",IF(AND(ISNUMBER(M1401),N(M1401)&lt;&gt;0,W1401=0),"Tax ignored (tax tracking off, or not allowed for this type)",IF(V1401=K1401&amp;"","Same account on both sides",IF(AND(ISNUMBER(StartDate),C1401&lt;StartDate),"Date is before the accounting start date",IF(AND(D1401&lt;&gt;"Adjustment",IFERROR(INDEX(coa_Pay,MATCH(K1401&amp;"",coa_Name,0)),"")&lt;&gt;"Yes"),"Paid From / Deposited To is not a payment account","")))))))))))</f>
        <v/>
      </c>
      <c r="Z1401" s="67">
        <f>IF(AND(T1401=0,X1401=""),1,0)</f>
        <v/>
      </c>
      <c r="AA1401" s="68">
        <f>IF(Z1401=1,IF(U1401="In",L1401,L1401-W1401),0)</f>
        <v/>
      </c>
      <c r="AB1401" s="68">
        <f>IF(Z1401=1,IF(U1401="In",L1401-W1401,L1401),0)</f>
        <v/>
      </c>
      <c r="AC1401" s="68">
        <f>IF(AND(Z1401=1,U1401="Out"),W1401,0)</f>
        <v/>
      </c>
      <c r="AD1401" s="68">
        <f>IF(AND(Z1401=1,U1401="In"),W1401,0)</f>
        <v/>
      </c>
    </row>
    <row r="1402">
      <c r="B1402" s="62" t="inlineStr">
        <is>
          <t>TX-1396</t>
        </is>
      </c>
      <c r="C1402" s="63" t="n"/>
      <c r="D1402" s="62" t="n"/>
      <c r="E1402" s="62" t="n"/>
      <c r="F1402" s="62" t="n"/>
      <c r="G1402" s="62" t="n"/>
      <c r="H1402" s="62" t="n"/>
      <c r="I1402" s="62" t="n"/>
      <c r="J1402" s="62" t="n"/>
      <c r="K1402" s="62" t="n"/>
      <c r="L1402" s="64" t="n"/>
      <c r="M1402" s="64" t="n"/>
      <c r="N1402" s="62" t="n"/>
      <c r="O1402" s="65">
        <f>IF(Z1402=1,L1402-W1402,"")</f>
        <v/>
      </c>
      <c r="P1402" s="66">
        <f>IF(V1402="","",IFERROR(INDEX(coa_Type,MATCH(V1402,coa_Name,0)),""))</f>
        <v/>
      </c>
      <c r="Q1402" s="66">
        <f>IF(Z1402=1,IF(U1402="In",K1402&amp;"",V1402),"")</f>
        <v/>
      </c>
      <c r="R1402" s="66">
        <f>IF(Z1402=1,IF(U1402="In",V1402,K1402&amp;""),"")</f>
        <v/>
      </c>
      <c r="S1402" s="66">
        <f>IF(X1402&lt;&gt;"","⛔ "&amp;X1402&amp;" — not posted",IF(Y1402&lt;&gt;"","⚠ "&amp;Y1402,IF(Z1402=1,"✓ OK","")))</f>
        <v/>
      </c>
      <c r="T1402" s="67">
        <f>IF(AND(C1402="",D1402="",E1402="",L1402="",K1402=""),1,0)</f>
        <v/>
      </c>
      <c r="U1402" s="67">
        <f>IFERROR(INDEX(tt_Dir,MATCH(D1402,tt_Type,0)),"")</f>
        <v/>
      </c>
      <c r="V1402" s="67">
        <f>IF(D1402="","",IFERROR(IF(INDEX(tt_Other,MATCH(D1402,tt_Type,0))="",E1402&amp;"",INDEX(tt_Other,MATCH(D1402,tt_Type,0))),""))</f>
        <v/>
      </c>
      <c r="W1402" s="68">
        <f>IF(OR(TaxOn&lt;&gt;"Yes",NOT(ISNUMBER(M1402))),0,IF(IFERROR(INDEX(tt_Tax,MATCH(D1402,tt_Type,0)),"No")="Yes",M1402,0))</f>
        <v/>
      </c>
      <c r="X1402" s="67">
        <f>IF(T1402=1,"",IF(C1402="","Missing transaction date",IF(NOT(ISNUMBER(C1402)),"Invalid date",IF(OR(C1402&lt;DATE(2000,1,1),C1402&gt;DATE(2099,12,31)),"Invalid date",IF(D1402="","Select a type",IF(U1402="","Unknown type: "&amp;D1402,IF(V1402="","Select an account (Category)",IF(ISNA(MATCH(V1402,coa_Name,0)),"Unknown account: "&amp;V1402,IF(K1402="","Select Paid From / Deposited To",IF(ISNA(MATCH(K1402,coa_Name,0)),"Unknown account: "&amp;K1402,IF(NOT(ISNUMBER(L1402)),"Enter an amount",IF(L1402=0,"Enter an amount",IF(ABS(W1402)&gt;ABS(L1402),"Tax is larger than the amount","")))))))))))))</f>
        <v/>
      </c>
      <c r="Y1402" s="67">
        <f>IF(OR(T1402=1,X1402&lt;&gt;""),"",IF(AND(B1402&lt;&gt;"",COUNTIF(tx_ID,B1402)&gt;1),"Duplicate transaction ID",IF(AND(L1402&lt;0,D1402&lt;&gt;"Adjustment"),"Negative amount — check this entry",IF(AND(D1402="Customer Payment",G1402=""),"Add the customer",IF(AND(D1402="Customer Payment",OR(J1402="",COUNTIF(ar_No,J1402&amp;"")=0)),"Invoice # in Reference not found on AR sheet",IF(AND(D1402="Bill Payment",H1402=""),"Add the vendor",IF(AND(D1402="Bill Payment",OR(J1402="",COUNTIFS(ap_No,J1402&amp;"",ap_Party,H1402&amp;"")=0)),"Bill # + vendor not found on AP sheet",IF(AND(ISNUMBER(M1402),N(M1402)&lt;&gt;0,W1402=0),"Tax ignored (tax tracking off, or not allowed for this type)",IF(V1402=K1402&amp;"","Same account on both sides",IF(AND(ISNUMBER(StartDate),C1402&lt;StartDate),"Date is before the accounting start date",IF(AND(D1402&lt;&gt;"Adjustment",IFERROR(INDEX(coa_Pay,MATCH(K1402&amp;"",coa_Name,0)),"")&lt;&gt;"Yes"),"Paid From / Deposited To is not a payment account","")))))))))))</f>
        <v/>
      </c>
      <c r="Z1402" s="67">
        <f>IF(AND(T1402=0,X1402=""),1,0)</f>
        <v/>
      </c>
      <c r="AA1402" s="68">
        <f>IF(Z1402=1,IF(U1402="In",L1402,L1402-W1402),0)</f>
        <v/>
      </c>
      <c r="AB1402" s="68">
        <f>IF(Z1402=1,IF(U1402="In",L1402-W1402,L1402),0)</f>
        <v/>
      </c>
      <c r="AC1402" s="68">
        <f>IF(AND(Z1402=1,U1402="Out"),W1402,0)</f>
        <v/>
      </c>
      <c r="AD1402" s="68">
        <f>IF(AND(Z1402=1,U1402="In"),W1402,0)</f>
        <v/>
      </c>
    </row>
    <row r="1403">
      <c r="B1403" s="62" t="inlineStr">
        <is>
          <t>TX-1397</t>
        </is>
      </c>
      <c r="C1403" s="63" t="n"/>
      <c r="D1403" s="62" t="n"/>
      <c r="E1403" s="62" t="n"/>
      <c r="F1403" s="62" t="n"/>
      <c r="G1403" s="62" t="n"/>
      <c r="H1403" s="62" t="n"/>
      <c r="I1403" s="62" t="n"/>
      <c r="J1403" s="62" t="n"/>
      <c r="K1403" s="62" t="n"/>
      <c r="L1403" s="64" t="n"/>
      <c r="M1403" s="64" t="n"/>
      <c r="N1403" s="62" t="n"/>
      <c r="O1403" s="65">
        <f>IF(Z1403=1,L1403-W1403,"")</f>
        <v/>
      </c>
      <c r="P1403" s="66">
        <f>IF(V1403="","",IFERROR(INDEX(coa_Type,MATCH(V1403,coa_Name,0)),""))</f>
        <v/>
      </c>
      <c r="Q1403" s="66">
        <f>IF(Z1403=1,IF(U1403="In",K1403&amp;"",V1403),"")</f>
        <v/>
      </c>
      <c r="R1403" s="66">
        <f>IF(Z1403=1,IF(U1403="In",V1403,K1403&amp;""),"")</f>
        <v/>
      </c>
      <c r="S1403" s="66">
        <f>IF(X1403&lt;&gt;"","⛔ "&amp;X1403&amp;" — not posted",IF(Y1403&lt;&gt;"","⚠ "&amp;Y1403,IF(Z1403=1,"✓ OK","")))</f>
        <v/>
      </c>
      <c r="T1403" s="67">
        <f>IF(AND(C1403="",D1403="",E1403="",L1403="",K1403=""),1,0)</f>
        <v/>
      </c>
      <c r="U1403" s="67">
        <f>IFERROR(INDEX(tt_Dir,MATCH(D1403,tt_Type,0)),"")</f>
        <v/>
      </c>
      <c r="V1403" s="67">
        <f>IF(D1403="","",IFERROR(IF(INDEX(tt_Other,MATCH(D1403,tt_Type,0))="",E1403&amp;"",INDEX(tt_Other,MATCH(D1403,tt_Type,0))),""))</f>
        <v/>
      </c>
      <c r="W1403" s="68">
        <f>IF(OR(TaxOn&lt;&gt;"Yes",NOT(ISNUMBER(M1403))),0,IF(IFERROR(INDEX(tt_Tax,MATCH(D1403,tt_Type,0)),"No")="Yes",M1403,0))</f>
        <v/>
      </c>
      <c r="X1403" s="67">
        <f>IF(T1403=1,"",IF(C1403="","Missing transaction date",IF(NOT(ISNUMBER(C1403)),"Invalid date",IF(OR(C1403&lt;DATE(2000,1,1),C1403&gt;DATE(2099,12,31)),"Invalid date",IF(D1403="","Select a type",IF(U1403="","Unknown type: "&amp;D1403,IF(V1403="","Select an account (Category)",IF(ISNA(MATCH(V1403,coa_Name,0)),"Unknown account: "&amp;V1403,IF(K1403="","Select Paid From / Deposited To",IF(ISNA(MATCH(K1403,coa_Name,0)),"Unknown account: "&amp;K1403,IF(NOT(ISNUMBER(L1403)),"Enter an amount",IF(L1403=0,"Enter an amount",IF(ABS(W1403)&gt;ABS(L1403),"Tax is larger than the amount","")))))))))))))</f>
        <v/>
      </c>
      <c r="Y1403" s="67">
        <f>IF(OR(T1403=1,X1403&lt;&gt;""),"",IF(AND(B1403&lt;&gt;"",COUNTIF(tx_ID,B1403)&gt;1),"Duplicate transaction ID",IF(AND(L1403&lt;0,D1403&lt;&gt;"Adjustment"),"Negative amount — check this entry",IF(AND(D1403="Customer Payment",G1403=""),"Add the customer",IF(AND(D1403="Customer Payment",OR(J1403="",COUNTIF(ar_No,J1403&amp;"")=0)),"Invoice # in Reference not found on AR sheet",IF(AND(D1403="Bill Payment",H1403=""),"Add the vendor",IF(AND(D1403="Bill Payment",OR(J1403="",COUNTIFS(ap_No,J1403&amp;"",ap_Party,H1403&amp;"")=0)),"Bill # + vendor not found on AP sheet",IF(AND(ISNUMBER(M1403),N(M1403)&lt;&gt;0,W1403=0),"Tax ignored (tax tracking off, or not allowed for this type)",IF(V1403=K1403&amp;"","Same account on both sides",IF(AND(ISNUMBER(StartDate),C1403&lt;StartDate),"Date is before the accounting start date",IF(AND(D1403&lt;&gt;"Adjustment",IFERROR(INDEX(coa_Pay,MATCH(K1403&amp;"",coa_Name,0)),"")&lt;&gt;"Yes"),"Paid From / Deposited To is not a payment account","")))))))))))</f>
        <v/>
      </c>
      <c r="Z1403" s="67">
        <f>IF(AND(T1403=0,X1403=""),1,0)</f>
        <v/>
      </c>
      <c r="AA1403" s="68">
        <f>IF(Z1403=1,IF(U1403="In",L1403,L1403-W1403),0)</f>
        <v/>
      </c>
      <c r="AB1403" s="68">
        <f>IF(Z1403=1,IF(U1403="In",L1403-W1403,L1403),0)</f>
        <v/>
      </c>
      <c r="AC1403" s="68">
        <f>IF(AND(Z1403=1,U1403="Out"),W1403,0)</f>
        <v/>
      </c>
      <c r="AD1403" s="68">
        <f>IF(AND(Z1403=1,U1403="In"),W1403,0)</f>
        <v/>
      </c>
    </row>
    <row r="1404">
      <c r="B1404" s="62" t="inlineStr">
        <is>
          <t>TX-1398</t>
        </is>
      </c>
      <c r="C1404" s="63" t="n"/>
      <c r="D1404" s="62" t="n"/>
      <c r="E1404" s="62" t="n"/>
      <c r="F1404" s="62" t="n"/>
      <c r="G1404" s="62" t="n"/>
      <c r="H1404" s="62" t="n"/>
      <c r="I1404" s="62" t="n"/>
      <c r="J1404" s="62" t="n"/>
      <c r="K1404" s="62" t="n"/>
      <c r="L1404" s="64" t="n"/>
      <c r="M1404" s="64" t="n"/>
      <c r="N1404" s="62" t="n"/>
      <c r="O1404" s="65">
        <f>IF(Z1404=1,L1404-W1404,"")</f>
        <v/>
      </c>
      <c r="P1404" s="66">
        <f>IF(V1404="","",IFERROR(INDEX(coa_Type,MATCH(V1404,coa_Name,0)),""))</f>
        <v/>
      </c>
      <c r="Q1404" s="66">
        <f>IF(Z1404=1,IF(U1404="In",K1404&amp;"",V1404),"")</f>
        <v/>
      </c>
      <c r="R1404" s="66">
        <f>IF(Z1404=1,IF(U1404="In",V1404,K1404&amp;""),"")</f>
        <v/>
      </c>
      <c r="S1404" s="66">
        <f>IF(X1404&lt;&gt;"","⛔ "&amp;X1404&amp;" — not posted",IF(Y1404&lt;&gt;"","⚠ "&amp;Y1404,IF(Z1404=1,"✓ OK","")))</f>
        <v/>
      </c>
      <c r="T1404" s="67">
        <f>IF(AND(C1404="",D1404="",E1404="",L1404="",K1404=""),1,0)</f>
        <v/>
      </c>
      <c r="U1404" s="67">
        <f>IFERROR(INDEX(tt_Dir,MATCH(D1404,tt_Type,0)),"")</f>
        <v/>
      </c>
      <c r="V1404" s="67">
        <f>IF(D1404="","",IFERROR(IF(INDEX(tt_Other,MATCH(D1404,tt_Type,0))="",E1404&amp;"",INDEX(tt_Other,MATCH(D1404,tt_Type,0))),""))</f>
        <v/>
      </c>
      <c r="W1404" s="68">
        <f>IF(OR(TaxOn&lt;&gt;"Yes",NOT(ISNUMBER(M1404))),0,IF(IFERROR(INDEX(tt_Tax,MATCH(D1404,tt_Type,0)),"No")="Yes",M1404,0))</f>
        <v/>
      </c>
      <c r="X1404" s="67">
        <f>IF(T1404=1,"",IF(C1404="","Missing transaction date",IF(NOT(ISNUMBER(C1404)),"Invalid date",IF(OR(C1404&lt;DATE(2000,1,1),C1404&gt;DATE(2099,12,31)),"Invalid date",IF(D1404="","Select a type",IF(U1404="","Unknown type: "&amp;D1404,IF(V1404="","Select an account (Category)",IF(ISNA(MATCH(V1404,coa_Name,0)),"Unknown account: "&amp;V1404,IF(K1404="","Select Paid From / Deposited To",IF(ISNA(MATCH(K1404,coa_Name,0)),"Unknown account: "&amp;K1404,IF(NOT(ISNUMBER(L1404)),"Enter an amount",IF(L1404=0,"Enter an amount",IF(ABS(W1404)&gt;ABS(L1404),"Tax is larger than the amount","")))))))))))))</f>
        <v/>
      </c>
      <c r="Y1404" s="67">
        <f>IF(OR(T1404=1,X1404&lt;&gt;""),"",IF(AND(B1404&lt;&gt;"",COUNTIF(tx_ID,B1404)&gt;1),"Duplicate transaction ID",IF(AND(L1404&lt;0,D1404&lt;&gt;"Adjustment"),"Negative amount — check this entry",IF(AND(D1404="Customer Payment",G1404=""),"Add the customer",IF(AND(D1404="Customer Payment",OR(J1404="",COUNTIF(ar_No,J1404&amp;"")=0)),"Invoice # in Reference not found on AR sheet",IF(AND(D1404="Bill Payment",H1404=""),"Add the vendor",IF(AND(D1404="Bill Payment",OR(J1404="",COUNTIFS(ap_No,J1404&amp;"",ap_Party,H1404&amp;"")=0)),"Bill # + vendor not found on AP sheet",IF(AND(ISNUMBER(M1404),N(M1404)&lt;&gt;0,W1404=0),"Tax ignored (tax tracking off, or not allowed for this type)",IF(V1404=K1404&amp;"","Same account on both sides",IF(AND(ISNUMBER(StartDate),C1404&lt;StartDate),"Date is before the accounting start date",IF(AND(D1404&lt;&gt;"Adjustment",IFERROR(INDEX(coa_Pay,MATCH(K1404&amp;"",coa_Name,0)),"")&lt;&gt;"Yes"),"Paid From / Deposited To is not a payment account","")))))))))))</f>
        <v/>
      </c>
      <c r="Z1404" s="67">
        <f>IF(AND(T1404=0,X1404=""),1,0)</f>
        <v/>
      </c>
      <c r="AA1404" s="68">
        <f>IF(Z1404=1,IF(U1404="In",L1404,L1404-W1404),0)</f>
        <v/>
      </c>
      <c r="AB1404" s="68">
        <f>IF(Z1404=1,IF(U1404="In",L1404-W1404,L1404),0)</f>
        <v/>
      </c>
      <c r="AC1404" s="68">
        <f>IF(AND(Z1404=1,U1404="Out"),W1404,0)</f>
        <v/>
      </c>
      <c r="AD1404" s="68">
        <f>IF(AND(Z1404=1,U1404="In"),W1404,0)</f>
        <v/>
      </c>
    </row>
    <row r="1405">
      <c r="B1405" s="62" t="inlineStr">
        <is>
          <t>TX-1399</t>
        </is>
      </c>
      <c r="C1405" s="63" t="n"/>
      <c r="D1405" s="62" t="n"/>
      <c r="E1405" s="62" t="n"/>
      <c r="F1405" s="62" t="n"/>
      <c r="G1405" s="62" t="n"/>
      <c r="H1405" s="62" t="n"/>
      <c r="I1405" s="62" t="n"/>
      <c r="J1405" s="62" t="n"/>
      <c r="K1405" s="62" t="n"/>
      <c r="L1405" s="64" t="n"/>
      <c r="M1405" s="64" t="n"/>
      <c r="N1405" s="62" t="n"/>
      <c r="O1405" s="65">
        <f>IF(Z1405=1,L1405-W1405,"")</f>
        <v/>
      </c>
      <c r="P1405" s="66">
        <f>IF(V1405="","",IFERROR(INDEX(coa_Type,MATCH(V1405,coa_Name,0)),""))</f>
        <v/>
      </c>
      <c r="Q1405" s="66">
        <f>IF(Z1405=1,IF(U1405="In",K1405&amp;"",V1405),"")</f>
        <v/>
      </c>
      <c r="R1405" s="66">
        <f>IF(Z1405=1,IF(U1405="In",V1405,K1405&amp;""),"")</f>
        <v/>
      </c>
      <c r="S1405" s="66">
        <f>IF(X1405&lt;&gt;"","⛔ "&amp;X1405&amp;" — not posted",IF(Y1405&lt;&gt;"","⚠ "&amp;Y1405,IF(Z1405=1,"✓ OK","")))</f>
        <v/>
      </c>
      <c r="T1405" s="67">
        <f>IF(AND(C1405="",D1405="",E1405="",L1405="",K1405=""),1,0)</f>
        <v/>
      </c>
      <c r="U1405" s="67">
        <f>IFERROR(INDEX(tt_Dir,MATCH(D1405,tt_Type,0)),"")</f>
        <v/>
      </c>
      <c r="V1405" s="67">
        <f>IF(D1405="","",IFERROR(IF(INDEX(tt_Other,MATCH(D1405,tt_Type,0))="",E1405&amp;"",INDEX(tt_Other,MATCH(D1405,tt_Type,0))),""))</f>
        <v/>
      </c>
      <c r="W1405" s="68">
        <f>IF(OR(TaxOn&lt;&gt;"Yes",NOT(ISNUMBER(M1405))),0,IF(IFERROR(INDEX(tt_Tax,MATCH(D1405,tt_Type,0)),"No")="Yes",M1405,0))</f>
        <v/>
      </c>
      <c r="X1405" s="67">
        <f>IF(T1405=1,"",IF(C1405="","Missing transaction date",IF(NOT(ISNUMBER(C1405)),"Invalid date",IF(OR(C1405&lt;DATE(2000,1,1),C1405&gt;DATE(2099,12,31)),"Invalid date",IF(D1405="","Select a type",IF(U1405="","Unknown type: "&amp;D1405,IF(V1405="","Select an account (Category)",IF(ISNA(MATCH(V1405,coa_Name,0)),"Unknown account: "&amp;V1405,IF(K1405="","Select Paid From / Deposited To",IF(ISNA(MATCH(K1405,coa_Name,0)),"Unknown account: "&amp;K1405,IF(NOT(ISNUMBER(L1405)),"Enter an amount",IF(L1405=0,"Enter an amount",IF(ABS(W1405)&gt;ABS(L1405),"Tax is larger than the amount","")))))))))))))</f>
        <v/>
      </c>
      <c r="Y1405" s="67">
        <f>IF(OR(T1405=1,X1405&lt;&gt;""),"",IF(AND(B1405&lt;&gt;"",COUNTIF(tx_ID,B1405)&gt;1),"Duplicate transaction ID",IF(AND(L1405&lt;0,D1405&lt;&gt;"Adjustment"),"Negative amount — check this entry",IF(AND(D1405="Customer Payment",G1405=""),"Add the customer",IF(AND(D1405="Customer Payment",OR(J1405="",COUNTIF(ar_No,J1405&amp;"")=0)),"Invoice # in Reference not found on AR sheet",IF(AND(D1405="Bill Payment",H1405=""),"Add the vendor",IF(AND(D1405="Bill Payment",OR(J1405="",COUNTIFS(ap_No,J1405&amp;"",ap_Party,H1405&amp;"")=0)),"Bill # + vendor not found on AP sheet",IF(AND(ISNUMBER(M1405),N(M1405)&lt;&gt;0,W1405=0),"Tax ignored (tax tracking off, or not allowed for this type)",IF(V1405=K1405&amp;"","Same account on both sides",IF(AND(ISNUMBER(StartDate),C1405&lt;StartDate),"Date is before the accounting start date",IF(AND(D1405&lt;&gt;"Adjustment",IFERROR(INDEX(coa_Pay,MATCH(K1405&amp;"",coa_Name,0)),"")&lt;&gt;"Yes"),"Paid From / Deposited To is not a payment account","")))))))))))</f>
        <v/>
      </c>
      <c r="Z1405" s="67">
        <f>IF(AND(T1405=0,X1405=""),1,0)</f>
        <v/>
      </c>
      <c r="AA1405" s="68">
        <f>IF(Z1405=1,IF(U1405="In",L1405,L1405-W1405),0)</f>
        <v/>
      </c>
      <c r="AB1405" s="68">
        <f>IF(Z1405=1,IF(U1405="In",L1405-W1405,L1405),0)</f>
        <v/>
      </c>
      <c r="AC1405" s="68">
        <f>IF(AND(Z1405=1,U1405="Out"),W1405,0)</f>
        <v/>
      </c>
      <c r="AD1405" s="68">
        <f>IF(AND(Z1405=1,U1405="In"),W1405,0)</f>
        <v/>
      </c>
    </row>
    <row r="1406">
      <c r="B1406" s="62" t="inlineStr">
        <is>
          <t>TX-1400</t>
        </is>
      </c>
      <c r="C1406" s="63" t="n"/>
      <c r="D1406" s="62" t="n"/>
      <c r="E1406" s="62" t="n"/>
      <c r="F1406" s="62" t="n"/>
      <c r="G1406" s="62" t="n"/>
      <c r="H1406" s="62" t="n"/>
      <c r="I1406" s="62" t="n"/>
      <c r="J1406" s="62" t="n"/>
      <c r="K1406" s="62" t="n"/>
      <c r="L1406" s="64" t="n"/>
      <c r="M1406" s="64" t="n"/>
      <c r="N1406" s="62" t="n"/>
      <c r="O1406" s="65">
        <f>IF(Z1406=1,L1406-W1406,"")</f>
        <v/>
      </c>
      <c r="P1406" s="66">
        <f>IF(V1406="","",IFERROR(INDEX(coa_Type,MATCH(V1406,coa_Name,0)),""))</f>
        <v/>
      </c>
      <c r="Q1406" s="66">
        <f>IF(Z1406=1,IF(U1406="In",K1406&amp;"",V1406),"")</f>
        <v/>
      </c>
      <c r="R1406" s="66">
        <f>IF(Z1406=1,IF(U1406="In",V1406,K1406&amp;""),"")</f>
        <v/>
      </c>
      <c r="S1406" s="66">
        <f>IF(X1406&lt;&gt;"","⛔ "&amp;X1406&amp;" — not posted",IF(Y1406&lt;&gt;"","⚠ "&amp;Y1406,IF(Z1406=1,"✓ OK","")))</f>
        <v/>
      </c>
      <c r="T1406" s="67">
        <f>IF(AND(C1406="",D1406="",E1406="",L1406="",K1406=""),1,0)</f>
        <v/>
      </c>
      <c r="U1406" s="67">
        <f>IFERROR(INDEX(tt_Dir,MATCH(D1406,tt_Type,0)),"")</f>
        <v/>
      </c>
      <c r="V1406" s="67">
        <f>IF(D1406="","",IFERROR(IF(INDEX(tt_Other,MATCH(D1406,tt_Type,0))="",E1406&amp;"",INDEX(tt_Other,MATCH(D1406,tt_Type,0))),""))</f>
        <v/>
      </c>
      <c r="W1406" s="68">
        <f>IF(OR(TaxOn&lt;&gt;"Yes",NOT(ISNUMBER(M1406))),0,IF(IFERROR(INDEX(tt_Tax,MATCH(D1406,tt_Type,0)),"No")="Yes",M1406,0))</f>
        <v/>
      </c>
      <c r="X1406" s="67">
        <f>IF(T1406=1,"",IF(C1406="","Missing transaction date",IF(NOT(ISNUMBER(C1406)),"Invalid date",IF(OR(C1406&lt;DATE(2000,1,1),C1406&gt;DATE(2099,12,31)),"Invalid date",IF(D1406="","Select a type",IF(U1406="","Unknown type: "&amp;D1406,IF(V1406="","Select an account (Category)",IF(ISNA(MATCH(V1406,coa_Name,0)),"Unknown account: "&amp;V1406,IF(K1406="","Select Paid From / Deposited To",IF(ISNA(MATCH(K1406,coa_Name,0)),"Unknown account: "&amp;K1406,IF(NOT(ISNUMBER(L1406)),"Enter an amount",IF(L1406=0,"Enter an amount",IF(ABS(W1406)&gt;ABS(L1406),"Tax is larger than the amount","")))))))))))))</f>
        <v/>
      </c>
      <c r="Y1406" s="67">
        <f>IF(OR(T1406=1,X1406&lt;&gt;""),"",IF(AND(B1406&lt;&gt;"",COUNTIF(tx_ID,B1406)&gt;1),"Duplicate transaction ID",IF(AND(L1406&lt;0,D1406&lt;&gt;"Adjustment"),"Negative amount — check this entry",IF(AND(D1406="Customer Payment",G1406=""),"Add the customer",IF(AND(D1406="Customer Payment",OR(J1406="",COUNTIF(ar_No,J1406&amp;"")=0)),"Invoice # in Reference not found on AR sheet",IF(AND(D1406="Bill Payment",H1406=""),"Add the vendor",IF(AND(D1406="Bill Payment",OR(J1406="",COUNTIFS(ap_No,J1406&amp;"",ap_Party,H1406&amp;"")=0)),"Bill # + vendor not found on AP sheet",IF(AND(ISNUMBER(M1406),N(M1406)&lt;&gt;0,W1406=0),"Tax ignored (tax tracking off, or not allowed for this type)",IF(V1406=K1406&amp;"","Same account on both sides",IF(AND(ISNUMBER(StartDate),C1406&lt;StartDate),"Date is before the accounting start date",IF(AND(D1406&lt;&gt;"Adjustment",IFERROR(INDEX(coa_Pay,MATCH(K1406&amp;"",coa_Name,0)),"")&lt;&gt;"Yes"),"Paid From / Deposited To is not a payment account","")))))))))))</f>
        <v/>
      </c>
      <c r="Z1406" s="67">
        <f>IF(AND(T1406=0,X1406=""),1,0)</f>
        <v/>
      </c>
      <c r="AA1406" s="68">
        <f>IF(Z1406=1,IF(U1406="In",L1406,L1406-W1406),0)</f>
        <v/>
      </c>
      <c r="AB1406" s="68">
        <f>IF(Z1406=1,IF(U1406="In",L1406-W1406,L1406),0)</f>
        <v/>
      </c>
      <c r="AC1406" s="68">
        <f>IF(AND(Z1406=1,U1406="Out"),W1406,0)</f>
        <v/>
      </c>
      <c r="AD1406" s="68">
        <f>IF(AND(Z1406=1,U1406="In"),W1406,0)</f>
        <v/>
      </c>
    </row>
    <row r="1407">
      <c r="B1407" s="62" t="inlineStr">
        <is>
          <t>TX-1401</t>
        </is>
      </c>
      <c r="C1407" s="63" t="n"/>
      <c r="D1407" s="62" t="n"/>
      <c r="E1407" s="62" t="n"/>
      <c r="F1407" s="62" t="n"/>
      <c r="G1407" s="62" t="n"/>
      <c r="H1407" s="62" t="n"/>
      <c r="I1407" s="62" t="n"/>
      <c r="J1407" s="62" t="n"/>
      <c r="K1407" s="62" t="n"/>
      <c r="L1407" s="64" t="n"/>
      <c r="M1407" s="64" t="n"/>
      <c r="N1407" s="62" t="n"/>
      <c r="O1407" s="65">
        <f>IF(Z1407=1,L1407-W1407,"")</f>
        <v/>
      </c>
      <c r="P1407" s="66">
        <f>IF(V1407="","",IFERROR(INDEX(coa_Type,MATCH(V1407,coa_Name,0)),""))</f>
        <v/>
      </c>
      <c r="Q1407" s="66">
        <f>IF(Z1407=1,IF(U1407="In",K1407&amp;"",V1407),"")</f>
        <v/>
      </c>
      <c r="R1407" s="66">
        <f>IF(Z1407=1,IF(U1407="In",V1407,K1407&amp;""),"")</f>
        <v/>
      </c>
      <c r="S1407" s="66">
        <f>IF(X1407&lt;&gt;"","⛔ "&amp;X1407&amp;" — not posted",IF(Y1407&lt;&gt;"","⚠ "&amp;Y1407,IF(Z1407=1,"✓ OK","")))</f>
        <v/>
      </c>
      <c r="T1407" s="67">
        <f>IF(AND(C1407="",D1407="",E1407="",L1407="",K1407=""),1,0)</f>
        <v/>
      </c>
      <c r="U1407" s="67">
        <f>IFERROR(INDEX(tt_Dir,MATCH(D1407,tt_Type,0)),"")</f>
        <v/>
      </c>
      <c r="V1407" s="67">
        <f>IF(D1407="","",IFERROR(IF(INDEX(tt_Other,MATCH(D1407,tt_Type,0))="",E1407&amp;"",INDEX(tt_Other,MATCH(D1407,tt_Type,0))),""))</f>
        <v/>
      </c>
      <c r="W1407" s="68">
        <f>IF(OR(TaxOn&lt;&gt;"Yes",NOT(ISNUMBER(M1407))),0,IF(IFERROR(INDEX(tt_Tax,MATCH(D1407,tt_Type,0)),"No")="Yes",M1407,0))</f>
        <v/>
      </c>
      <c r="X1407" s="67">
        <f>IF(T1407=1,"",IF(C1407="","Missing transaction date",IF(NOT(ISNUMBER(C1407)),"Invalid date",IF(OR(C1407&lt;DATE(2000,1,1),C1407&gt;DATE(2099,12,31)),"Invalid date",IF(D1407="","Select a type",IF(U1407="","Unknown type: "&amp;D1407,IF(V1407="","Select an account (Category)",IF(ISNA(MATCH(V1407,coa_Name,0)),"Unknown account: "&amp;V1407,IF(K1407="","Select Paid From / Deposited To",IF(ISNA(MATCH(K1407,coa_Name,0)),"Unknown account: "&amp;K1407,IF(NOT(ISNUMBER(L1407)),"Enter an amount",IF(L1407=0,"Enter an amount",IF(ABS(W1407)&gt;ABS(L1407),"Tax is larger than the amount","")))))))))))))</f>
        <v/>
      </c>
      <c r="Y1407" s="67">
        <f>IF(OR(T1407=1,X1407&lt;&gt;""),"",IF(AND(B1407&lt;&gt;"",COUNTIF(tx_ID,B1407)&gt;1),"Duplicate transaction ID",IF(AND(L1407&lt;0,D1407&lt;&gt;"Adjustment"),"Negative amount — check this entry",IF(AND(D1407="Customer Payment",G1407=""),"Add the customer",IF(AND(D1407="Customer Payment",OR(J1407="",COUNTIF(ar_No,J1407&amp;"")=0)),"Invoice # in Reference not found on AR sheet",IF(AND(D1407="Bill Payment",H1407=""),"Add the vendor",IF(AND(D1407="Bill Payment",OR(J1407="",COUNTIFS(ap_No,J1407&amp;"",ap_Party,H1407&amp;"")=0)),"Bill # + vendor not found on AP sheet",IF(AND(ISNUMBER(M1407),N(M1407)&lt;&gt;0,W1407=0),"Tax ignored (tax tracking off, or not allowed for this type)",IF(V1407=K1407&amp;"","Same account on both sides",IF(AND(ISNUMBER(StartDate),C1407&lt;StartDate),"Date is before the accounting start date",IF(AND(D1407&lt;&gt;"Adjustment",IFERROR(INDEX(coa_Pay,MATCH(K1407&amp;"",coa_Name,0)),"")&lt;&gt;"Yes"),"Paid From / Deposited To is not a payment account","")))))))))))</f>
        <v/>
      </c>
      <c r="Z1407" s="67">
        <f>IF(AND(T1407=0,X1407=""),1,0)</f>
        <v/>
      </c>
      <c r="AA1407" s="68">
        <f>IF(Z1407=1,IF(U1407="In",L1407,L1407-W1407),0)</f>
        <v/>
      </c>
      <c r="AB1407" s="68">
        <f>IF(Z1407=1,IF(U1407="In",L1407-W1407,L1407),0)</f>
        <v/>
      </c>
      <c r="AC1407" s="68">
        <f>IF(AND(Z1407=1,U1407="Out"),W1407,0)</f>
        <v/>
      </c>
      <c r="AD1407" s="68">
        <f>IF(AND(Z1407=1,U1407="In"),W1407,0)</f>
        <v/>
      </c>
    </row>
    <row r="1408">
      <c r="B1408" s="62" t="inlineStr">
        <is>
          <t>TX-1402</t>
        </is>
      </c>
      <c r="C1408" s="63" t="n"/>
      <c r="D1408" s="62" t="n"/>
      <c r="E1408" s="62" t="n"/>
      <c r="F1408" s="62" t="n"/>
      <c r="G1408" s="62" t="n"/>
      <c r="H1408" s="62" t="n"/>
      <c r="I1408" s="62" t="n"/>
      <c r="J1408" s="62" t="n"/>
      <c r="K1408" s="62" t="n"/>
      <c r="L1408" s="64" t="n"/>
      <c r="M1408" s="64" t="n"/>
      <c r="N1408" s="62" t="n"/>
      <c r="O1408" s="65">
        <f>IF(Z1408=1,L1408-W1408,"")</f>
        <v/>
      </c>
      <c r="P1408" s="66">
        <f>IF(V1408="","",IFERROR(INDEX(coa_Type,MATCH(V1408,coa_Name,0)),""))</f>
        <v/>
      </c>
      <c r="Q1408" s="66">
        <f>IF(Z1408=1,IF(U1408="In",K1408&amp;"",V1408),"")</f>
        <v/>
      </c>
      <c r="R1408" s="66">
        <f>IF(Z1408=1,IF(U1408="In",V1408,K1408&amp;""),"")</f>
        <v/>
      </c>
      <c r="S1408" s="66">
        <f>IF(X1408&lt;&gt;"","⛔ "&amp;X1408&amp;" — not posted",IF(Y1408&lt;&gt;"","⚠ "&amp;Y1408,IF(Z1408=1,"✓ OK","")))</f>
        <v/>
      </c>
      <c r="T1408" s="67">
        <f>IF(AND(C1408="",D1408="",E1408="",L1408="",K1408=""),1,0)</f>
        <v/>
      </c>
      <c r="U1408" s="67">
        <f>IFERROR(INDEX(tt_Dir,MATCH(D1408,tt_Type,0)),"")</f>
        <v/>
      </c>
      <c r="V1408" s="67">
        <f>IF(D1408="","",IFERROR(IF(INDEX(tt_Other,MATCH(D1408,tt_Type,0))="",E1408&amp;"",INDEX(tt_Other,MATCH(D1408,tt_Type,0))),""))</f>
        <v/>
      </c>
      <c r="W1408" s="68">
        <f>IF(OR(TaxOn&lt;&gt;"Yes",NOT(ISNUMBER(M1408))),0,IF(IFERROR(INDEX(tt_Tax,MATCH(D1408,tt_Type,0)),"No")="Yes",M1408,0))</f>
        <v/>
      </c>
      <c r="X1408" s="67">
        <f>IF(T1408=1,"",IF(C1408="","Missing transaction date",IF(NOT(ISNUMBER(C1408)),"Invalid date",IF(OR(C1408&lt;DATE(2000,1,1),C1408&gt;DATE(2099,12,31)),"Invalid date",IF(D1408="","Select a type",IF(U1408="","Unknown type: "&amp;D1408,IF(V1408="","Select an account (Category)",IF(ISNA(MATCH(V1408,coa_Name,0)),"Unknown account: "&amp;V1408,IF(K1408="","Select Paid From / Deposited To",IF(ISNA(MATCH(K1408,coa_Name,0)),"Unknown account: "&amp;K1408,IF(NOT(ISNUMBER(L1408)),"Enter an amount",IF(L1408=0,"Enter an amount",IF(ABS(W1408)&gt;ABS(L1408),"Tax is larger than the amount","")))))))))))))</f>
        <v/>
      </c>
      <c r="Y1408" s="67">
        <f>IF(OR(T1408=1,X1408&lt;&gt;""),"",IF(AND(B1408&lt;&gt;"",COUNTIF(tx_ID,B1408)&gt;1),"Duplicate transaction ID",IF(AND(L1408&lt;0,D1408&lt;&gt;"Adjustment"),"Negative amount — check this entry",IF(AND(D1408="Customer Payment",G1408=""),"Add the customer",IF(AND(D1408="Customer Payment",OR(J1408="",COUNTIF(ar_No,J1408&amp;"")=0)),"Invoice # in Reference not found on AR sheet",IF(AND(D1408="Bill Payment",H1408=""),"Add the vendor",IF(AND(D1408="Bill Payment",OR(J1408="",COUNTIFS(ap_No,J1408&amp;"",ap_Party,H1408&amp;"")=0)),"Bill # + vendor not found on AP sheet",IF(AND(ISNUMBER(M1408),N(M1408)&lt;&gt;0,W1408=0),"Tax ignored (tax tracking off, or not allowed for this type)",IF(V1408=K1408&amp;"","Same account on both sides",IF(AND(ISNUMBER(StartDate),C1408&lt;StartDate),"Date is before the accounting start date",IF(AND(D1408&lt;&gt;"Adjustment",IFERROR(INDEX(coa_Pay,MATCH(K1408&amp;"",coa_Name,0)),"")&lt;&gt;"Yes"),"Paid From / Deposited To is not a payment account","")))))))))))</f>
        <v/>
      </c>
      <c r="Z1408" s="67">
        <f>IF(AND(T1408=0,X1408=""),1,0)</f>
        <v/>
      </c>
      <c r="AA1408" s="68">
        <f>IF(Z1408=1,IF(U1408="In",L1408,L1408-W1408),0)</f>
        <v/>
      </c>
      <c r="AB1408" s="68">
        <f>IF(Z1408=1,IF(U1408="In",L1408-W1408,L1408),0)</f>
        <v/>
      </c>
      <c r="AC1408" s="68">
        <f>IF(AND(Z1408=1,U1408="Out"),W1408,0)</f>
        <v/>
      </c>
      <c r="AD1408" s="68">
        <f>IF(AND(Z1408=1,U1408="In"),W1408,0)</f>
        <v/>
      </c>
    </row>
    <row r="1409">
      <c r="B1409" s="62" t="inlineStr">
        <is>
          <t>TX-1403</t>
        </is>
      </c>
      <c r="C1409" s="63" t="n"/>
      <c r="D1409" s="62" t="n"/>
      <c r="E1409" s="62" t="n"/>
      <c r="F1409" s="62" t="n"/>
      <c r="G1409" s="62" t="n"/>
      <c r="H1409" s="62" t="n"/>
      <c r="I1409" s="62" t="n"/>
      <c r="J1409" s="62" t="n"/>
      <c r="K1409" s="62" t="n"/>
      <c r="L1409" s="64" t="n"/>
      <c r="M1409" s="64" t="n"/>
      <c r="N1409" s="62" t="n"/>
      <c r="O1409" s="65">
        <f>IF(Z1409=1,L1409-W1409,"")</f>
        <v/>
      </c>
      <c r="P1409" s="66">
        <f>IF(V1409="","",IFERROR(INDEX(coa_Type,MATCH(V1409,coa_Name,0)),""))</f>
        <v/>
      </c>
      <c r="Q1409" s="66">
        <f>IF(Z1409=1,IF(U1409="In",K1409&amp;"",V1409),"")</f>
        <v/>
      </c>
      <c r="R1409" s="66">
        <f>IF(Z1409=1,IF(U1409="In",V1409,K1409&amp;""),"")</f>
        <v/>
      </c>
      <c r="S1409" s="66">
        <f>IF(X1409&lt;&gt;"","⛔ "&amp;X1409&amp;" — not posted",IF(Y1409&lt;&gt;"","⚠ "&amp;Y1409,IF(Z1409=1,"✓ OK","")))</f>
        <v/>
      </c>
      <c r="T1409" s="67">
        <f>IF(AND(C1409="",D1409="",E1409="",L1409="",K1409=""),1,0)</f>
        <v/>
      </c>
      <c r="U1409" s="67">
        <f>IFERROR(INDEX(tt_Dir,MATCH(D1409,tt_Type,0)),"")</f>
        <v/>
      </c>
      <c r="V1409" s="67">
        <f>IF(D1409="","",IFERROR(IF(INDEX(tt_Other,MATCH(D1409,tt_Type,0))="",E1409&amp;"",INDEX(tt_Other,MATCH(D1409,tt_Type,0))),""))</f>
        <v/>
      </c>
      <c r="W1409" s="68">
        <f>IF(OR(TaxOn&lt;&gt;"Yes",NOT(ISNUMBER(M1409))),0,IF(IFERROR(INDEX(tt_Tax,MATCH(D1409,tt_Type,0)),"No")="Yes",M1409,0))</f>
        <v/>
      </c>
      <c r="X1409" s="67">
        <f>IF(T1409=1,"",IF(C1409="","Missing transaction date",IF(NOT(ISNUMBER(C1409)),"Invalid date",IF(OR(C1409&lt;DATE(2000,1,1),C1409&gt;DATE(2099,12,31)),"Invalid date",IF(D1409="","Select a type",IF(U1409="","Unknown type: "&amp;D1409,IF(V1409="","Select an account (Category)",IF(ISNA(MATCH(V1409,coa_Name,0)),"Unknown account: "&amp;V1409,IF(K1409="","Select Paid From / Deposited To",IF(ISNA(MATCH(K1409,coa_Name,0)),"Unknown account: "&amp;K1409,IF(NOT(ISNUMBER(L1409)),"Enter an amount",IF(L1409=0,"Enter an amount",IF(ABS(W1409)&gt;ABS(L1409),"Tax is larger than the amount","")))))))))))))</f>
        <v/>
      </c>
      <c r="Y1409" s="67">
        <f>IF(OR(T1409=1,X1409&lt;&gt;""),"",IF(AND(B1409&lt;&gt;"",COUNTIF(tx_ID,B1409)&gt;1),"Duplicate transaction ID",IF(AND(L1409&lt;0,D1409&lt;&gt;"Adjustment"),"Negative amount — check this entry",IF(AND(D1409="Customer Payment",G1409=""),"Add the customer",IF(AND(D1409="Customer Payment",OR(J1409="",COUNTIF(ar_No,J1409&amp;"")=0)),"Invoice # in Reference not found on AR sheet",IF(AND(D1409="Bill Payment",H1409=""),"Add the vendor",IF(AND(D1409="Bill Payment",OR(J1409="",COUNTIFS(ap_No,J1409&amp;"",ap_Party,H1409&amp;"")=0)),"Bill # + vendor not found on AP sheet",IF(AND(ISNUMBER(M1409),N(M1409)&lt;&gt;0,W1409=0),"Tax ignored (tax tracking off, or not allowed for this type)",IF(V1409=K1409&amp;"","Same account on both sides",IF(AND(ISNUMBER(StartDate),C1409&lt;StartDate),"Date is before the accounting start date",IF(AND(D1409&lt;&gt;"Adjustment",IFERROR(INDEX(coa_Pay,MATCH(K1409&amp;"",coa_Name,0)),"")&lt;&gt;"Yes"),"Paid From / Deposited To is not a payment account","")))))))))))</f>
        <v/>
      </c>
      <c r="Z1409" s="67">
        <f>IF(AND(T1409=0,X1409=""),1,0)</f>
        <v/>
      </c>
      <c r="AA1409" s="68">
        <f>IF(Z1409=1,IF(U1409="In",L1409,L1409-W1409),0)</f>
        <v/>
      </c>
      <c r="AB1409" s="68">
        <f>IF(Z1409=1,IF(U1409="In",L1409-W1409,L1409),0)</f>
        <v/>
      </c>
      <c r="AC1409" s="68">
        <f>IF(AND(Z1409=1,U1409="Out"),W1409,0)</f>
        <v/>
      </c>
      <c r="AD1409" s="68">
        <f>IF(AND(Z1409=1,U1409="In"),W1409,0)</f>
        <v/>
      </c>
    </row>
    <row r="1410">
      <c r="B1410" s="62" t="inlineStr">
        <is>
          <t>TX-1404</t>
        </is>
      </c>
      <c r="C1410" s="63" t="n"/>
      <c r="D1410" s="62" t="n"/>
      <c r="E1410" s="62" t="n"/>
      <c r="F1410" s="62" t="n"/>
      <c r="G1410" s="62" t="n"/>
      <c r="H1410" s="62" t="n"/>
      <c r="I1410" s="62" t="n"/>
      <c r="J1410" s="62" t="n"/>
      <c r="K1410" s="62" t="n"/>
      <c r="L1410" s="64" t="n"/>
      <c r="M1410" s="64" t="n"/>
      <c r="N1410" s="62" t="n"/>
      <c r="O1410" s="65">
        <f>IF(Z1410=1,L1410-W1410,"")</f>
        <v/>
      </c>
      <c r="P1410" s="66">
        <f>IF(V1410="","",IFERROR(INDEX(coa_Type,MATCH(V1410,coa_Name,0)),""))</f>
        <v/>
      </c>
      <c r="Q1410" s="66">
        <f>IF(Z1410=1,IF(U1410="In",K1410&amp;"",V1410),"")</f>
        <v/>
      </c>
      <c r="R1410" s="66">
        <f>IF(Z1410=1,IF(U1410="In",V1410,K1410&amp;""),"")</f>
        <v/>
      </c>
      <c r="S1410" s="66">
        <f>IF(X1410&lt;&gt;"","⛔ "&amp;X1410&amp;" — not posted",IF(Y1410&lt;&gt;"","⚠ "&amp;Y1410,IF(Z1410=1,"✓ OK","")))</f>
        <v/>
      </c>
      <c r="T1410" s="67">
        <f>IF(AND(C1410="",D1410="",E1410="",L1410="",K1410=""),1,0)</f>
        <v/>
      </c>
      <c r="U1410" s="67">
        <f>IFERROR(INDEX(tt_Dir,MATCH(D1410,tt_Type,0)),"")</f>
        <v/>
      </c>
      <c r="V1410" s="67">
        <f>IF(D1410="","",IFERROR(IF(INDEX(tt_Other,MATCH(D1410,tt_Type,0))="",E1410&amp;"",INDEX(tt_Other,MATCH(D1410,tt_Type,0))),""))</f>
        <v/>
      </c>
      <c r="W1410" s="68">
        <f>IF(OR(TaxOn&lt;&gt;"Yes",NOT(ISNUMBER(M1410))),0,IF(IFERROR(INDEX(tt_Tax,MATCH(D1410,tt_Type,0)),"No")="Yes",M1410,0))</f>
        <v/>
      </c>
      <c r="X1410" s="67">
        <f>IF(T1410=1,"",IF(C1410="","Missing transaction date",IF(NOT(ISNUMBER(C1410)),"Invalid date",IF(OR(C1410&lt;DATE(2000,1,1),C1410&gt;DATE(2099,12,31)),"Invalid date",IF(D1410="","Select a type",IF(U1410="","Unknown type: "&amp;D1410,IF(V1410="","Select an account (Category)",IF(ISNA(MATCH(V1410,coa_Name,0)),"Unknown account: "&amp;V1410,IF(K1410="","Select Paid From / Deposited To",IF(ISNA(MATCH(K1410,coa_Name,0)),"Unknown account: "&amp;K1410,IF(NOT(ISNUMBER(L1410)),"Enter an amount",IF(L1410=0,"Enter an amount",IF(ABS(W1410)&gt;ABS(L1410),"Tax is larger than the amount","")))))))))))))</f>
        <v/>
      </c>
      <c r="Y1410" s="67">
        <f>IF(OR(T1410=1,X1410&lt;&gt;""),"",IF(AND(B1410&lt;&gt;"",COUNTIF(tx_ID,B1410)&gt;1),"Duplicate transaction ID",IF(AND(L1410&lt;0,D1410&lt;&gt;"Adjustment"),"Negative amount — check this entry",IF(AND(D1410="Customer Payment",G1410=""),"Add the customer",IF(AND(D1410="Customer Payment",OR(J1410="",COUNTIF(ar_No,J1410&amp;"")=0)),"Invoice # in Reference not found on AR sheet",IF(AND(D1410="Bill Payment",H1410=""),"Add the vendor",IF(AND(D1410="Bill Payment",OR(J1410="",COUNTIFS(ap_No,J1410&amp;"",ap_Party,H1410&amp;"")=0)),"Bill # + vendor not found on AP sheet",IF(AND(ISNUMBER(M1410),N(M1410)&lt;&gt;0,W1410=0),"Tax ignored (tax tracking off, or not allowed for this type)",IF(V1410=K1410&amp;"","Same account on both sides",IF(AND(ISNUMBER(StartDate),C1410&lt;StartDate),"Date is before the accounting start date",IF(AND(D1410&lt;&gt;"Adjustment",IFERROR(INDEX(coa_Pay,MATCH(K1410&amp;"",coa_Name,0)),"")&lt;&gt;"Yes"),"Paid From / Deposited To is not a payment account","")))))))))))</f>
        <v/>
      </c>
      <c r="Z1410" s="67">
        <f>IF(AND(T1410=0,X1410=""),1,0)</f>
        <v/>
      </c>
      <c r="AA1410" s="68">
        <f>IF(Z1410=1,IF(U1410="In",L1410,L1410-W1410),0)</f>
        <v/>
      </c>
      <c r="AB1410" s="68">
        <f>IF(Z1410=1,IF(U1410="In",L1410-W1410,L1410),0)</f>
        <v/>
      </c>
      <c r="AC1410" s="68">
        <f>IF(AND(Z1410=1,U1410="Out"),W1410,0)</f>
        <v/>
      </c>
      <c r="AD1410" s="68">
        <f>IF(AND(Z1410=1,U1410="In"),W1410,0)</f>
        <v/>
      </c>
    </row>
    <row r="1411">
      <c r="B1411" s="62" t="inlineStr">
        <is>
          <t>TX-1405</t>
        </is>
      </c>
      <c r="C1411" s="63" t="n"/>
      <c r="D1411" s="62" t="n"/>
      <c r="E1411" s="62" t="n"/>
      <c r="F1411" s="62" t="n"/>
      <c r="G1411" s="62" t="n"/>
      <c r="H1411" s="62" t="n"/>
      <c r="I1411" s="62" t="n"/>
      <c r="J1411" s="62" t="n"/>
      <c r="K1411" s="62" t="n"/>
      <c r="L1411" s="64" t="n"/>
      <c r="M1411" s="64" t="n"/>
      <c r="N1411" s="62" t="n"/>
      <c r="O1411" s="65">
        <f>IF(Z1411=1,L1411-W1411,"")</f>
        <v/>
      </c>
      <c r="P1411" s="66">
        <f>IF(V1411="","",IFERROR(INDEX(coa_Type,MATCH(V1411,coa_Name,0)),""))</f>
        <v/>
      </c>
      <c r="Q1411" s="66">
        <f>IF(Z1411=1,IF(U1411="In",K1411&amp;"",V1411),"")</f>
        <v/>
      </c>
      <c r="R1411" s="66">
        <f>IF(Z1411=1,IF(U1411="In",V1411,K1411&amp;""),"")</f>
        <v/>
      </c>
      <c r="S1411" s="66">
        <f>IF(X1411&lt;&gt;"","⛔ "&amp;X1411&amp;" — not posted",IF(Y1411&lt;&gt;"","⚠ "&amp;Y1411,IF(Z1411=1,"✓ OK","")))</f>
        <v/>
      </c>
      <c r="T1411" s="67">
        <f>IF(AND(C1411="",D1411="",E1411="",L1411="",K1411=""),1,0)</f>
        <v/>
      </c>
      <c r="U1411" s="67">
        <f>IFERROR(INDEX(tt_Dir,MATCH(D1411,tt_Type,0)),"")</f>
        <v/>
      </c>
      <c r="V1411" s="67">
        <f>IF(D1411="","",IFERROR(IF(INDEX(tt_Other,MATCH(D1411,tt_Type,0))="",E1411&amp;"",INDEX(tt_Other,MATCH(D1411,tt_Type,0))),""))</f>
        <v/>
      </c>
      <c r="W1411" s="68">
        <f>IF(OR(TaxOn&lt;&gt;"Yes",NOT(ISNUMBER(M1411))),0,IF(IFERROR(INDEX(tt_Tax,MATCH(D1411,tt_Type,0)),"No")="Yes",M1411,0))</f>
        <v/>
      </c>
      <c r="X1411" s="67">
        <f>IF(T1411=1,"",IF(C1411="","Missing transaction date",IF(NOT(ISNUMBER(C1411)),"Invalid date",IF(OR(C1411&lt;DATE(2000,1,1),C1411&gt;DATE(2099,12,31)),"Invalid date",IF(D1411="","Select a type",IF(U1411="","Unknown type: "&amp;D1411,IF(V1411="","Select an account (Category)",IF(ISNA(MATCH(V1411,coa_Name,0)),"Unknown account: "&amp;V1411,IF(K1411="","Select Paid From / Deposited To",IF(ISNA(MATCH(K1411,coa_Name,0)),"Unknown account: "&amp;K1411,IF(NOT(ISNUMBER(L1411)),"Enter an amount",IF(L1411=0,"Enter an amount",IF(ABS(W1411)&gt;ABS(L1411),"Tax is larger than the amount","")))))))))))))</f>
        <v/>
      </c>
      <c r="Y1411" s="67">
        <f>IF(OR(T1411=1,X1411&lt;&gt;""),"",IF(AND(B1411&lt;&gt;"",COUNTIF(tx_ID,B1411)&gt;1),"Duplicate transaction ID",IF(AND(L1411&lt;0,D1411&lt;&gt;"Adjustment"),"Negative amount — check this entry",IF(AND(D1411="Customer Payment",G1411=""),"Add the customer",IF(AND(D1411="Customer Payment",OR(J1411="",COUNTIF(ar_No,J1411&amp;"")=0)),"Invoice # in Reference not found on AR sheet",IF(AND(D1411="Bill Payment",H1411=""),"Add the vendor",IF(AND(D1411="Bill Payment",OR(J1411="",COUNTIFS(ap_No,J1411&amp;"",ap_Party,H1411&amp;"")=0)),"Bill # + vendor not found on AP sheet",IF(AND(ISNUMBER(M1411),N(M1411)&lt;&gt;0,W1411=0),"Tax ignored (tax tracking off, or not allowed for this type)",IF(V1411=K1411&amp;"","Same account on both sides",IF(AND(ISNUMBER(StartDate),C1411&lt;StartDate),"Date is before the accounting start date",IF(AND(D1411&lt;&gt;"Adjustment",IFERROR(INDEX(coa_Pay,MATCH(K1411&amp;"",coa_Name,0)),"")&lt;&gt;"Yes"),"Paid From / Deposited To is not a payment account","")))))))))))</f>
        <v/>
      </c>
      <c r="Z1411" s="67">
        <f>IF(AND(T1411=0,X1411=""),1,0)</f>
        <v/>
      </c>
      <c r="AA1411" s="68">
        <f>IF(Z1411=1,IF(U1411="In",L1411,L1411-W1411),0)</f>
        <v/>
      </c>
      <c r="AB1411" s="68">
        <f>IF(Z1411=1,IF(U1411="In",L1411-W1411,L1411),0)</f>
        <v/>
      </c>
      <c r="AC1411" s="68">
        <f>IF(AND(Z1411=1,U1411="Out"),W1411,0)</f>
        <v/>
      </c>
      <c r="AD1411" s="68">
        <f>IF(AND(Z1411=1,U1411="In"),W1411,0)</f>
        <v/>
      </c>
    </row>
    <row r="1412">
      <c r="B1412" s="62" t="inlineStr">
        <is>
          <t>TX-1406</t>
        </is>
      </c>
      <c r="C1412" s="63" t="n"/>
      <c r="D1412" s="62" t="n"/>
      <c r="E1412" s="62" t="n"/>
      <c r="F1412" s="62" t="n"/>
      <c r="G1412" s="62" t="n"/>
      <c r="H1412" s="62" t="n"/>
      <c r="I1412" s="62" t="n"/>
      <c r="J1412" s="62" t="n"/>
      <c r="K1412" s="62" t="n"/>
      <c r="L1412" s="64" t="n"/>
      <c r="M1412" s="64" t="n"/>
      <c r="N1412" s="62" t="n"/>
      <c r="O1412" s="65">
        <f>IF(Z1412=1,L1412-W1412,"")</f>
        <v/>
      </c>
      <c r="P1412" s="66">
        <f>IF(V1412="","",IFERROR(INDEX(coa_Type,MATCH(V1412,coa_Name,0)),""))</f>
        <v/>
      </c>
      <c r="Q1412" s="66">
        <f>IF(Z1412=1,IF(U1412="In",K1412&amp;"",V1412),"")</f>
        <v/>
      </c>
      <c r="R1412" s="66">
        <f>IF(Z1412=1,IF(U1412="In",V1412,K1412&amp;""),"")</f>
        <v/>
      </c>
      <c r="S1412" s="66">
        <f>IF(X1412&lt;&gt;"","⛔ "&amp;X1412&amp;" — not posted",IF(Y1412&lt;&gt;"","⚠ "&amp;Y1412,IF(Z1412=1,"✓ OK","")))</f>
        <v/>
      </c>
      <c r="T1412" s="67">
        <f>IF(AND(C1412="",D1412="",E1412="",L1412="",K1412=""),1,0)</f>
        <v/>
      </c>
      <c r="U1412" s="67">
        <f>IFERROR(INDEX(tt_Dir,MATCH(D1412,tt_Type,0)),"")</f>
        <v/>
      </c>
      <c r="V1412" s="67">
        <f>IF(D1412="","",IFERROR(IF(INDEX(tt_Other,MATCH(D1412,tt_Type,0))="",E1412&amp;"",INDEX(tt_Other,MATCH(D1412,tt_Type,0))),""))</f>
        <v/>
      </c>
      <c r="W1412" s="68">
        <f>IF(OR(TaxOn&lt;&gt;"Yes",NOT(ISNUMBER(M1412))),0,IF(IFERROR(INDEX(tt_Tax,MATCH(D1412,tt_Type,0)),"No")="Yes",M1412,0))</f>
        <v/>
      </c>
      <c r="X1412" s="67">
        <f>IF(T1412=1,"",IF(C1412="","Missing transaction date",IF(NOT(ISNUMBER(C1412)),"Invalid date",IF(OR(C1412&lt;DATE(2000,1,1),C1412&gt;DATE(2099,12,31)),"Invalid date",IF(D1412="","Select a type",IF(U1412="","Unknown type: "&amp;D1412,IF(V1412="","Select an account (Category)",IF(ISNA(MATCH(V1412,coa_Name,0)),"Unknown account: "&amp;V1412,IF(K1412="","Select Paid From / Deposited To",IF(ISNA(MATCH(K1412,coa_Name,0)),"Unknown account: "&amp;K1412,IF(NOT(ISNUMBER(L1412)),"Enter an amount",IF(L1412=0,"Enter an amount",IF(ABS(W1412)&gt;ABS(L1412),"Tax is larger than the amount","")))))))))))))</f>
        <v/>
      </c>
      <c r="Y1412" s="67">
        <f>IF(OR(T1412=1,X1412&lt;&gt;""),"",IF(AND(B1412&lt;&gt;"",COUNTIF(tx_ID,B1412)&gt;1),"Duplicate transaction ID",IF(AND(L1412&lt;0,D1412&lt;&gt;"Adjustment"),"Negative amount — check this entry",IF(AND(D1412="Customer Payment",G1412=""),"Add the customer",IF(AND(D1412="Customer Payment",OR(J1412="",COUNTIF(ar_No,J1412&amp;"")=0)),"Invoice # in Reference not found on AR sheet",IF(AND(D1412="Bill Payment",H1412=""),"Add the vendor",IF(AND(D1412="Bill Payment",OR(J1412="",COUNTIFS(ap_No,J1412&amp;"",ap_Party,H1412&amp;"")=0)),"Bill # + vendor not found on AP sheet",IF(AND(ISNUMBER(M1412),N(M1412)&lt;&gt;0,W1412=0),"Tax ignored (tax tracking off, or not allowed for this type)",IF(V1412=K1412&amp;"","Same account on both sides",IF(AND(ISNUMBER(StartDate),C1412&lt;StartDate),"Date is before the accounting start date",IF(AND(D1412&lt;&gt;"Adjustment",IFERROR(INDEX(coa_Pay,MATCH(K1412&amp;"",coa_Name,0)),"")&lt;&gt;"Yes"),"Paid From / Deposited To is not a payment account","")))))))))))</f>
        <v/>
      </c>
      <c r="Z1412" s="67">
        <f>IF(AND(T1412=0,X1412=""),1,0)</f>
        <v/>
      </c>
      <c r="AA1412" s="68">
        <f>IF(Z1412=1,IF(U1412="In",L1412,L1412-W1412),0)</f>
        <v/>
      </c>
      <c r="AB1412" s="68">
        <f>IF(Z1412=1,IF(U1412="In",L1412-W1412,L1412),0)</f>
        <v/>
      </c>
      <c r="AC1412" s="68">
        <f>IF(AND(Z1412=1,U1412="Out"),W1412,0)</f>
        <v/>
      </c>
      <c r="AD1412" s="68">
        <f>IF(AND(Z1412=1,U1412="In"),W1412,0)</f>
        <v/>
      </c>
    </row>
    <row r="1413">
      <c r="B1413" s="62" t="inlineStr">
        <is>
          <t>TX-1407</t>
        </is>
      </c>
      <c r="C1413" s="63" t="n"/>
      <c r="D1413" s="62" t="n"/>
      <c r="E1413" s="62" t="n"/>
      <c r="F1413" s="62" t="n"/>
      <c r="G1413" s="62" t="n"/>
      <c r="H1413" s="62" t="n"/>
      <c r="I1413" s="62" t="n"/>
      <c r="J1413" s="62" t="n"/>
      <c r="K1413" s="62" t="n"/>
      <c r="L1413" s="64" t="n"/>
      <c r="M1413" s="64" t="n"/>
      <c r="N1413" s="62" t="n"/>
      <c r="O1413" s="65">
        <f>IF(Z1413=1,L1413-W1413,"")</f>
        <v/>
      </c>
      <c r="P1413" s="66">
        <f>IF(V1413="","",IFERROR(INDEX(coa_Type,MATCH(V1413,coa_Name,0)),""))</f>
        <v/>
      </c>
      <c r="Q1413" s="66">
        <f>IF(Z1413=1,IF(U1413="In",K1413&amp;"",V1413),"")</f>
        <v/>
      </c>
      <c r="R1413" s="66">
        <f>IF(Z1413=1,IF(U1413="In",V1413,K1413&amp;""),"")</f>
        <v/>
      </c>
      <c r="S1413" s="66">
        <f>IF(X1413&lt;&gt;"","⛔ "&amp;X1413&amp;" — not posted",IF(Y1413&lt;&gt;"","⚠ "&amp;Y1413,IF(Z1413=1,"✓ OK","")))</f>
        <v/>
      </c>
      <c r="T1413" s="67">
        <f>IF(AND(C1413="",D1413="",E1413="",L1413="",K1413=""),1,0)</f>
        <v/>
      </c>
      <c r="U1413" s="67">
        <f>IFERROR(INDEX(tt_Dir,MATCH(D1413,tt_Type,0)),"")</f>
        <v/>
      </c>
      <c r="V1413" s="67">
        <f>IF(D1413="","",IFERROR(IF(INDEX(tt_Other,MATCH(D1413,tt_Type,0))="",E1413&amp;"",INDEX(tt_Other,MATCH(D1413,tt_Type,0))),""))</f>
        <v/>
      </c>
      <c r="W1413" s="68">
        <f>IF(OR(TaxOn&lt;&gt;"Yes",NOT(ISNUMBER(M1413))),0,IF(IFERROR(INDEX(tt_Tax,MATCH(D1413,tt_Type,0)),"No")="Yes",M1413,0))</f>
        <v/>
      </c>
      <c r="X1413" s="67">
        <f>IF(T1413=1,"",IF(C1413="","Missing transaction date",IF(NOT(ISNUMBER(C1413)),"Invalid date",IF(OR(C1413&lt;DATE(2000,1,1),C1413&gt;DATE(2099,12,31)),"Invalid date",IF(D1413="","Select a type",IF(U1413="","Unknown type: "&amp;D1413,IF(V1413="","Select an account (Category)",IF(ISNA(MATCH(V1413,coa_Name,0)),"Unknown account: "&amp;V1413,IF(K1413="","Select Paid From / Deposited To",IF(ISNA(MATCH(K1413,coa_Name,0)),"Unknown account: "&amp;K1413,IF(NOT(ISNUMBER(L1413)),"Enter an amount",IF(L1413=0,"Enter an amount",IF(ABS(W1413)&gt;ABS(L1413),"Tax is larger than the amount","")))))))))))))</f>
        <v/>
      </c>
      <c r="Y1413" s="67">
        <f>IF(OR(T1413=1,X1413&lt;&gt;""),"",IF(AND(B1413&lt;&gt;"",COUNTIF(tx_ID,B1413)&gt;1),"Duplicate transaction ID",IF(AND(L1413&lt;0,D1413&lt;&gt;"Adjustment"),"Negative amount — check this entry",IF(AND(D1413="Customer Payment",G1413=""),"Add the customer",IF(AND(D1413="Customer Payment",OR(J1413="",COUNTIF(ar_No,J1413&amp;"")=0)),"Invoice # in Reference not found on AR sheet",IF(AND(D1413="Bill Payment",H1413=""),"Add the vendor",IF(AND(D1413="Bill Payment",OR(J1413="",COUNTIFS(ap_No,J1413&amp;"",ap_Party,H1413&amp;"")=0)),"Bill # + vendor not found on AP sheet",IF(AND(ISNUMBER(M1413),N(M1413)&lt;&gt;0,W1413=0),"Tax ignored (tax tracking off, or not allowed for this type)",IF(V1413=K1413&amp;"","Same account on both sides",IF(AND(ISNUMBER(StartDate),C1413&lt;StartDate),"Date is before the accounting start date",IF(AND(D1413&lt;&gt;"Adjustment",IFERROR(INDEX(coa_Pay,MATCH(K1413&amp;"",coa_Name,0)),"")&lt;&gt;"Yes"),"Paid From / Deposited To is not a payment account","")))))))))))</f>
        <v/>
      </c>
      <c r="Z1413" s="67">
        <f>IF(AND(T1413=0,X1413=""),1,0)</f>
        <v/>
      </c>
      <c r="AA1413" s="68">
        <f>IF(Z1413=1,IF(U1413="In",L1413,L1413-W1413),0)</f>
        <v/>
      </c>
      <c r="AB1413" s="68">
        <f>IF(Z1413=1,IF(U1413="In",L1413-W1413,L1413),0)</f>
        <v/>
      </c>
      <c r="AC1413" s="68">
        <f>IF(AND(Z1413=1,U1413="Out"),W1413,0)</f>
        <v/>
      </c>
      <c r="AD1413" s="68">
        <f>IF(AND(Z1413=1,U1413="In"),W1413,0)</f>
        <v/>
      </c>
    </row>
    <row r="1414">
      <c r="B1414" s="62" t="inlineStr">
        <is>
          <t>TX-1408</t>
        </is>
      </c>
      <c r="C1414" s="63" t="n"/>
      <c r="D1414" s="62" t="n"/>
      <c r="E1414" s="62" t="n"/>
      <c r="F1414" s="62" t="n"/>
      <c r="G1414" s="62" t="n"/>
      <c r="H1414" s="62" t="n"/>
      <c r="I1414" s="62" t="n"/>
      <c r="J1414" s="62" t="n"/>
      <c r="K1414" s="62" t="n"/>
      <c r="L1414" s="64" t="n"/>
      <c r="M1414" s="64" t="n"/>
      <c r="N1414" s="62" t="n"/>
      <c r="O1414" s="65">
        <f>IF(Z1414=1,L1414-W1414,"")</f>
        <v/>
      </c>
      <c r="P1414" s="66">
        <f>IF(V1414="","",IFERROR(INDEX(coa_Type,MATCH(V1414,coa_Name,0)),""))</f>
        <v/>
      </c>
      <c r="Q1414" s="66">
        <f>IF(Z1414=1,IF(U1414="In",K1414&amp;"",V1414),"")</f>
        <v/>
      </c>
      <c r="R1414" s="66">
        <f>IF(Z1414=1,IF(U1414="In",V1414,K1414&amp;""),"")</f>
        <v/>
      </c>
      <c r="S1414" s="66">
        <f>IF(X1414&lt;&gt;"","⛔ "&amp;X1414&amp;" — not posted",IF(Y1414&lt;&gt;"","⚠ "&amp;Y1414,IF(Z1414=1,"✓ OK","")))</f>
        <v/>
      </c>
      <c r="T1414" s="67">
        <f>IF(AND(C1414="",D1414="",E1414="",L1414="",K1414=""),1,0)</f>
        <v/>
      </c>
      <c r="U1414" s="67">
        <f>IFERROR(INDEX(tt_Dir,MATCH(D1414,tt_Type,0)),"")</f>
        <v/>
      </c>
      <c r="V1414" s="67">
        <f>IF(D1414="","",IFERROR(IF(INDEX(tt_Other,MATCH(D1414,tt_Type,0))="",E1414&amp;"",INDEX(tt_Other,MATCH(D1414,tt_Type,0))),""))</f>
        <v/>
      </c>
      <c r="W1414" s="68">
        <f>IF(OR(TaxOn&lt;&gt;"Yes",NOT(ISNUMBER(M1414))),0,IF(IFERROR(INDEX(tt_Tax,MATCH(D1414,tt_Type,0)),"No")="Yes",M1414,0))</f>
        <v/>
      </c>
      <c r="X1414" s="67">
        <f>IF(T1414=1,"",IF(C1414="","Missing transaction date",IF(NOT(ISNUMBER(C1414)),"Invalid date",IF(OR(C1414&lt;DATE(2000,1,1),C1414&gt;DATE(2099,12,31)),"Invalid date",IF(D1414="","Select a type",IF(U1414="","Unknown type: "&amp;D1414,IF(V1414="","Select an account (Category)",IF(ISNA(MATCH(V1414,coa_Name,0)),"Unknown account: "&amp;V1414,IF(K1414="","Select Paid From / Deposited To",IF(ISNA(MATCH(K1414,coa_Name,0)),"Unknown account: "&amp;K1414,IF(NOT(ISNUMBER(L1414)),"Enter an amount",IF(L1414=0,"Enter an amount",IF(ABS(W1414)&gt;ABS(L1414),"Tax is larger than the amount","")))))))))))))</f>
        <v/>
      </c>
      <c r="Y1414" s="67">
        <f>IF(OR(T1414=1,X1414&lt;&gt;""),"",IF(AND(B1414&lt;&gt;"",COUNTIF(tx_ID,B1414)&gt;1),"Duplicate transaction ID",IF(AND(L1414&lt;0,D1414&lt;&gt;"Adjustment"),"Negative amount — check this entry",IF(AND(D1414="Customer Payment",G1414=""),"Add the customer",IF(AND(D1414="Customer Payment",OR(J1414="",COUNTIF(ar_No,J1414&amp;"")=0)),"Invoice # in Reference not found on AR sheet",IF(AND(D1414="Bill Payment",H1414=""),"Add the vendor",IF(AND(D1414="Bill Payment",OR(J1414="",COUNTIFS(ap_No,J1414&amp;"",ap_Party,H1414&amp;"")=0)),"Bill # + vendor not found on AP sheet",IF(AND(ISNUMBER(M1414),N(M1414)&lt;&gt;0,W1414=0),"Tax ignored (tax tracking off, or not allowed for this type)",IF(V1414=K1414&amp;"","Same account on both sides",IF(AND(ISNUMBER(StartDate),C1414&lt;StartDate),"Date is before the accounting start date",IF(AND(D1414&lt;&gt;"Adjustment",IFERROR(INDEX(coa_Pay,MATCH(K1414&amp;"",coa_Name,0)),"")&lt;&gt;"Yes"),"Paid From / Deposited To is not a payment account","")))))))))))</f>
        <v/>
      </c>
      <c r="Z1414" s="67">
        <f>IF(AND(T1414=0,X1414=""),1,0)</f>
        <v/>
      </c>
      <c r="AA1414" s="68">
        <f>IF(Z1414=1,IF(U1414="In",L1414,L1414-W1414),0)</f>
        <v/>
      </c>
      <c r="AB1414" s="68">
        <f>IF(Z1414=1,IF(U1414="In",L1414-W1414,L1414),0)</f>
        <v/>
      </c>
      <c r="AC1414" s="68">
        <f>IF(AND(Z1414=1,U1414="Out"),W1414,0)</f>
        <v/>
      </c>
      <c r="AD1414" s="68">
        <f>IF(AND(Z1414=1,U1414="In"),W1414,0)</f>
        <v/>
      </c>
    </row>
    <row r="1415">
      <c r="B1415" s="62" t="inlineStr">
        <is>
          <t>TX-1409</t>
        </is>
      </c>
      <c r="C1415" s="63" t="n"/>
      <c r="D1415" s="62" t="n"/>
      <c r="E1415" s="62" t="n"/>
      <c r="F1415" s="62" t="n"/>
      <c r="G1415" s="62" t="n"/>
      <c r="H1415" s="62" t="n"/>
      <c r="I1415" s="62" t="n"/>
      <c r="J1415" s="62" t="n"/>
      <c r="K1415" s="62" t="n"/>
      <c r="L1415" s="64" t="n"/>
      <c r="M1415" s="64" t="n"/>
      <c r="N1415" s="62" t="n"/>
      <c r="O1415" s="65">
        <f>IF(Z1415=1,L1415-W1415,"")</f>
        <v/>
      </c>
      <c r="P1415" s="66">
        <f>IF(V1415="","",IFERROR(INDEX(coa_Type,MATCH(V1415,coa_Name,0)),""))</f>
        <v/>
      </c>
      <c r="Q1415" s="66">
        <f>IF(Z1415=1,IF(U1415="In",K1415&amp;"",V1415),"")</f>
        <v/>
      </c>
      <c r="R1415" s="66">
        <f>IF(Z1415=1,IF(U1415="In",V1415,K1415&amp;""),"")</f>
        <v/>
      </c>
      <c r="S1415" s="66">
        <f>IF(X1415&lt;&gt;"","⛔ "&amp;X1415&amp;" — not posted",IF(Y1415&lt;&gt;"","⚠ "&amp;Y1415,IF(Z1415=1,"✓ OK","")))</f>
        <v/>
      </c>
      <c r="T1415" s="67">
        <f>IF(AND(C1415="",D1415="",E1415="",L1415="",K1415=""),1,0)</f>
        <v/>
      </c>
      <c r="U1415" s="67">
        <f>IFERROR(INDEX(tt_Dir,MATCH(D1415,tt_Type,0)),"")</f>
        <v/>
      </c>
      <c r="V1415" s="67">
        <f>IF(D1415="","",IFERROR(IF(INDEX(tt_Other,MATCH(D1415,tt_Type,0))="",E1415&amp;"",INDEX(tt_Other,MATCH(D1415,tt_Type,0))),""))</f>
        <v/>
      </c>
      <c r="W1415" s="68">
        <f>IF(OR(TaxOn&lt;&gt;"Yes",NOT(ISNUMBER(M1415))),0,IF(IFERROR(INDEX(tt_Tax,MATCH(D1415,tt_Type,0)),"No")="Yes",M1415,0))</f>
        <v/>
      </c>
      <c r="X1415" s="67">
        <f>IF(T1415=1,"",IF(C1415="","Missing transaction date",IF(NOT(ISNUMBER(C1415)),"Invalid date",IF(OR(C1415&lt;DATE(2000,1,1),C1415&gt;DATE(2099,12,31)),"Invalid date",IF(D1415="","Select a type",IF(U1415="","Unknown type: "&amp;D1415,IF(V1415="","Select an account (Category)",IF(ISNA(MATCH(V1415,coa_Name,0)),"Unknown account: "&amp;V1415,IF(K1415="","Select Paid From / Deposited To",IF(ISNA(MATCH(K1415,coa_Name,0)),"Unknown account: "&amp;K1415,IF(NOT(ISNUMBER(L1415)),"Enter an amount",IF(L1415=0,"Enter an amount",IF(ABS(W1415)&gt;ABS(L1415),"Tax is larger than the amount","")))))))))))))</f>
        <v/>
      </c>
      <c r="Y1415" s="67">
        <f>IF(OR(T1415=1,X1415&lt;&gt;""),"",IF(AND(B1415&lt;&gt;"",COUNTIF(tx_ID,B1415)&gt;1),"Duplicate transaction ID",IF(AND(L1415&lt;0,D1415&lt;&gt;"Adjustment"),"Negative amount — check this entry",IF(AND(D1415="Customer Payment",G1415=""),"Add the customer",IF(AND(D1415="Customer Payment",OR(J1415="",COUNTIF(ar_No,J1415&amp;"")=0)),"Invoice # in Reference not found on AR sheet",IF(AND(D1415="Bill Payment",H1415=""),"Add the vendor",IF(AND(D1415="Bill Payment",OR(J1415="",COUNTIFS(ap_No,J1415&amp;"",ap_Party,H1415&amp;"")=0)),"Bill # + vendor not found on AP sheet",IF(AND(ISNUMBER(M1415),N(M1415)&lt;&gt;0,W1415=0),"Tax ignored (tax tracking off, or not allowed for this type)",IF(V1415=K1415&amp;"","Same account on both sides",IF(AND(ISNUMBER(StartDate),C1415&lt;StartDate),"Date is before the accounting start date",IF(AND(D1415&lt;&gt;"Adjustment",IFERROR(INDEX(coa_Pay,MATCH(K1415&amp;"",coa_Name,0)),"")&lt;&gt;"Yes"),"Paid From / Deposited To is not a payment account","")))))))))))</f>
        <v/>
      </c>
      <c r="Z1415" s="67">
        <f>IF(AND(T1415=0,X1415=""),1,0)</f>
        <v/>
      </c>
      <c r="AA1415" s="68">
        <f>IF(Z1415=1,IF(U1415="In",L1415,L1415-W1415),0)</f>
        <v/>
      </c>
      <c r="AB1415" s="68">
        <f>IF(Z1415=1,IF(U1415="In",L1415-W1415,L1415),0)</f>
        <v/>
      </c>
      <c r="AC1415" s="68">
        <f>IF(AND(Z1415=1,U1415="Out"),W1415,0)</f>
        <v/>
      </c>
      <c r="AD1415" s="68">
        <f>IF(AND(Z1415=1,U1415="In"),W1415,0)</f>
        <v/>
      </c>
    </row>
    <row r="1416">
      <c r="B1416" s="62" t="inlineStr">
        <is>
          <t>TX-1410</t>
        </is>
      </c>
      <c r="C1416" s="63" t="n"/>
      <c r="D1416" s="62" t="n"/>
      <c r="E1416" s="62" t="n"/>
      <c r="F1416" s="62" t="n"/>
      <c r="G1416" s="62" t="n"/>
      <c r="H1416" s="62" t="n"/>
      <c r="I1416" s="62" t="n"/>
      <c r="J1416" s="62" t="n"/>
      <c r="K1416" s="62" t="n"/>
      <c r="L1416" s="64" t="n"/>
      <c r="M1416" s="64" t="n"/>
      <c r="N1416" s="62" t="n"/>
      <c r="O1416" s="65">
        <f>IF(Z1416=1,L1416-W1416,"")</f>
        <v/>
      </c>
      <c r="P1416" s="66">
        <f>IF(V1416="","",IFERROR(INDEX(coa_Type,MATCH(V1416,coa_Name,0)),""))</f>
        <v/>
      </c>
      <c r="Q1416" s="66">
        <f>IF(Z1416=1,IF(U1416="In",K1416&amp;"",V1416),"")</f>
        <v/>
      </c>
      <c r="R1416" s="66">
        <f>IF(Z1416=1,IF(U1416="In",V1416,K1416&amp;""),"")</f>
        <v/>
      </c>
      <c r="S1416" s="66">
        <f>IF(X1416&lt;&gt;"","⛔ "&amp;X1416&amp;" — not posted",IF(Y1416&lt;&gt;"","⚠ "&amp;Y1416,IF(Z1416=1,"✓ OK","")))</f>
        <v/>
      </c>
      <c r="T1416" s="67">
        <f>IF(AND(C1416="",D1416="",E1416="",L1416="",K1416=""),1,0)</f>
        <v/>
      </c>
      <c r="U1416" s="67">
        <f>IFERROR(INDEX(tt_Dir,MATCH(D1416,tt_Type,0)),"")</f>
        <v/>
      </c>
      <c r="V1416" s="67">
        <f>IF(D1416="","",IFERROR(IF(INDEX(tt_Other,MATCH(D1416,tt_Type,0))="",E1416&amp;"",INDEX(tt_Other,MATCH(D1416,tt_Type,0))),""))</f>
        <v/>
      </c>
      <c r="W1416" s="68">
        <f>IF(OR(TaxOn&lt;&gt;"Yes",NOT(ISNUMBER(M1416))),0,IF(IFERROR(INDEX(tt_Tax,MATCH(D1416,tt_Type,0)),"No")="Yes",M1416,0))</f>
        <v/>
      </c>
      <c r="X1416" s="67">
        <f>IF(T1416=1,"",IF(C1416="","Missing transaction date",IF(NOT(ISNUMBER(C1416)),"Invalid date",IF(OR(C1416&lt;DATE(2000,1,1),C1416&gt;DATE(2099,12,31)),"Invalid date",IF(D1416="","Select a type",IF(U1416="","Unknown type: "&amp;D1416,IF(V1416="","Select an account (Category)",IF(ISNA(MATCH(V1416,coa_Name,0)),"Unknown account: "&amp;V1416,IF(K1416="","Select Paid From / Deposited To",IF(ISNA(MATCH(K1416,coa_Name,0)),"Unknown account: "&amp;K1416,IF(NOT(ISNUMBER(L1416)),"Enter an amount",IF(L1416=0,"Enter an amount",IF(ABS(W1416)&gt;ABS(L1416),"Tax is larger than the amount","")))))))))))))</f>
        <v/>
      </c>
      <c r="Y1416" s="67">
        <f>IF(OR(T1416=1,X1416&lt;&gt;""),"",IF(AND(B1416&lt;&gt;"",COUNTIF(tx_ID,B1416)&gt;1),"Duplicate transaction ID",IF(AND(L1416&lt;0,D1416&lt;&gt;"Adjustment"),"Negative amount — check this entry",IF(AND(D1416="Customer Payment",G1416=""),"Add the customer",IF(AND(D1416="Customer Payment",OR(J1416="",COUNTIF(ar_No,J1416&amp;"")=0)),"Invoice # in Reference not found on AR sheet",IF(AND(D1416="Bill Payment",H1416=""),"Add the vendor",IF(AND(D1416="Bill Payment",OR(J1416="",COUNTIFS(ap_No,J1416&amp;"",ap_Party,H1416&amp;"")=0)),"Bill # + vendor not found on AP sheet",IF(AND(ISNUMBER(M1416),N(M1416)&lt;&gt;0,W1416=0),"Tax ignored (tax tracking off, or not allowed for this type)",IF(V1416=K1416&amp;"","Same account on both sides",IF(AND(ISNUMBER(StartDate),C1416&lt;StartDate),"Date is before the accounting start date",IF(AND(D1416&lt;&gt;"Adjustment",IFERROR(INDEX(coa_Pay,MATCH(K1416&amp;"",coa_Name,0)),"")&lt;&gt;"Yes"),"Paid From / Deposited To is not a payment account","")))))))))))</f>
        <v/>
      </c>
      <c r="Z1416" s="67">
        <f>IF(AND(T1416=0,X1416=""),1,0)</f>
        <v/>
      </c>
      <c r="AA1416" s="68">
        <f>IF(Z1416=1,IF(U1416="In",L1416,L1416-W1416),0)</f>
        <v/>
      </c>
      <c r="AB1416" s="68">
        <f>IF(Z1416=1,IF(U1416="In",L1416-W1416,L1416),0)</f>
        <v/>
      </c>
      <c r="AC1416" s="68">
        <f>IF(AND(Z1416=1,U1416="Out"),W1416,0)</f>
        <v/>
      </c>
      <c r="AD1416" s="68">
        <f>IF(AND(Z1416=1,U1416="In"),W1416,0)</f>
        <v/>
      </c>
    </row>
    <row r="1417">
      <c r="B1417" s="62" t="inlineStr">
        <is>
          <t>TX-1411</t>
        </is>
      </c>
      <c r="C1417" s="63" t="n"/>
      <c r="D1417" s="62" t="n"/>
      <c r="E1417" s="62" t="n"/>
      <c r="F1417" s="62" t="n"/>
      <c r="G1417" s="62" t="n"/>
      <c r="H1417" s="62" t="n"/>
      <c r="I1417" s="62" t="n"/>
      <c r="J1417" s="62" t="n"/>
      <c r="K1417" s="62" t="n"/>
      <c r="L1417" s="64" t="n"/>
      <c r="M1417" s="64" t="n"/>
      <c r="N1417" s="62" t="n"/>
      <c r="O1417" s="65">
        <f>IF(Z1417=1,L1417-W1417,"")</f>
        <v/>
      </c>
      <c r="P1417" s="66">
        <f>IF(V1417="","",IFERROR(INDEX(coa_Type,MATCH(V1417,coa_Name,0)),""))</f>
        <v/>
      </c>
      <c r="Q1417" s="66">
        <f>IF(Z1417=1,IF(U1417="In",K1417&amp;"",V1417),"")</f>
        <v/>
      </c>
      <c r="R1417" s="66">
        <f>IF(Z1417=1,IF(U1417="In",V1417,K1417&amp;""),"")</f>
        <v/>
      </c>
      <c r="S1417" s="66">
        <f>IF(X1417&lt;&gt;"","⛔ "&amp;X1417&amp;" — not posted",IF(Y1417&lt;&gt;"","⚠ "&amp;Y1417,IF(Z1417=1,"✓ OK","")))</f>
        <v/>
      </c>
      <c r="T1417" s="67">
        <f>IF(AND(C1417="",D1417="",E1417="",L1417="",K1417=""),1,0)</f>
        <v/>
      </c>
      <c r="U1417" s="67">
        <f>IFERROR(INDEX(tt_Dir,MATCH(D1417,tt_Type,0)),"")</f>
        <v/>
      </c>
      <c r="V1417" s="67">
        <f>IF(D1417="","",IFERROR(IF(INDEX(tt_Other,MATCH(D1417,tt_Type,0))="",E1417&amp;"",INDEX(tt_Other,MATCH(D1417,tt_Type,0))),""))</f>
        <v/>
      </c>
      <c r="W1417" s="68">
        <f>IF(OR(TaxOn&lt;&gt;"Yes",NOT(ISNUMBER(M1417))),0,IF(IFERROR(INDEX(tt_Tax,MATCH(D1417,tt_Type,0)),"No")="Yes",M1417,0))</f>
        <v/>
      </c>
      <c r="X1417" s="67">
        <f>IF(T1417=1,"",IF(C1417="","Missing transaction date",IF(NOT(ISNUMBER(C1417)),"Invalid date",IF(OR(C1417&lt;DATE(2000,1,1),C1417&gt;DATE(2099,12,31)),"Invalid date",IF(D1417="","Select a type",IF(U1417="","Unknown type: "&amp;D1417,IF(V1417="","Select an account (Category)",IF(ISNA(MATCH(V1417,coa_Name,0)),"Unknown account: "&amp;V1417,IF(K1417="","Select Paid From / Deposited To",IF(ISNA(MATCH(K1417,coa_Name,0)),"Unknown account: "&amp;K1417,IF(NOT(ISNUMBER(L1417)),"Enter an amount",IF(L1417=0,"Enter an amount",IF(ABS(W1417)&gt;ABS(L1417),"Tax is larger than the amount","")))))))))))))</f>
        <v/>
      </c>
      <c r="Y1417" s="67">
        <f>IF(OR(T1417=1,X1417&lt;&gt;""),"",IF(AND(B1417&lt;&gt;"",COUNTIF(tx_ID,B1417)&gt;1),"Duplicate transaction ID",IF(AND(L1417&lt;0,D1417&lt;&gt;"Adjustment"),"Negative amount — check this entry",IF(AND(D1417="Customer Payment",G1417=""),"Add the customer",IF(AND(D1417="Customer Payment",OR(J1417="",COUNTIF(ar_No,J1417&amp;"")=0)),"Invoice # in Reference not found on AR sheet",IF(AND(D1417="Bill Payment",H1417=""),"Add the vendor",IF(AND(D1417="Bill Payment",OR(J1417="",COUNTIFS(ap_No,J1417&amp;"",ap_Party,H1417&amp;"")=0)),"Bill # + vendor not found on AP sheet",IF(AND(ISNUMBER(M1417),N(M1417)&lt;&gt;0,W1417=0),"Tax ignored (tax tracking off, or not allowed for this type)",IF(V1417=K1417&amp;"","Same account on both sides",IF(AND(ISNUMBER(StartDate),C1417&lt;StartDate),"Date is before the accounting start date",IF(AND(D1417&lt;&gt;"Adjustment",IFERROR(INDEX(coa_Pay,MATCH(K1417&amp;"",coa_Name,0)),"")&lt;&gt;"Yes"),"Paid From / Deposited To is not a payment account","")))))))))))</f>
        <v/>
      </c>
      <c r="Z1417" s="67">
        <f>IF(AND(T1417=0,X1417=""),1,0)</f>
        <v/>
      </c>
      <c r="AA1417" s="68">
        <f>IF(Z1417=1,IF(U1417="In",L1417,L1417-W1417),0)</f>
        <v/>
      </c>
      <c r="AB1417" s="68">
        <f>IF(Z1417=1,IF(U1417="In",L1417-W1417,L1417),0)</f>
        <v/>
      </c>
      <c r="AC1417" s="68">
        <f>IF(AND(Z1417=1,U1417="Out"),W1417,0)</f>
        <v/>
      </c>
      <c r="AD1417" s="68">
        <f>IF(AND(Z1417=1,U1417="In"),W1417,0)</f>
        <v/>
      </c>
    </row>
    <row r="1418">
      <c r="B1418" s="62" t="inlineStr">
        <is>
          <t>TX-1412</t>
        </is>
      </c>
      <c r="C1418" s="63" t="n"/>
      <c r="D1418" s="62" t="n"/>
      <c r="E1418" s="62" t="n"/>
      <c r="F1418" s="62" t="n"/>
      <c r="G1418" s="62" t="n"/>
      <c r="H1418" s="62" t="n"/>
      <c r="I1418" s="62" t="n"/>
      <c r="J1418" s="62" t="n"/>
      <c r="K1418" s="62" t="n"/>
      <c r="L1418" s="64" t="n"/>
      <c r="M1418" s="64" t="n"/>
      <c r="N1418" s="62" t="n"/>
      <c r="O1418" s="65">
        <f>IF(Z1418=1,L1418-W1418,"")</f>
        <v/>
      </c>
      <c r="P1418" s="66">
        <f>IF(V1418="","",IFERROR(INDEX(coa_Type,MATCH(V1418,coa_Name,0)),""))</f>
        <v/>
      </c>
      <c r="Q1418" s="66">
        <f>IF(Z1418=1,IF(U1418="In",K1418&amp;"",V1418),"")</f>
        <v/>
      </c>
      <c r="R1418" s="66">
        <f>IF(Z1418=1,IF(U1418="In",V1418,K1418&amp;""),"")</f>
        <v/>
      </c>
      <c r="S1418" s="66">
        <f>IF(X1418&lt;&gt;"","⛔ "&amp;X1418&amp;" — not posted",IF(Y1418&lt;&gt;"","⚠ "&amp;Y1418,IF(Z1418=1,"✓ OK","")))</f>
        <v/>
      </c>
      <c r="T1418" s="67">
        <f>IF(AND(C1418="",D1418="",E1418="",L1418="",K1418=""),1,0)</f>
        <v/>
      </c>
      <c r="U1418" s="67">
        <f>IFERROR(INDEX(tt_Dir,MATCH(D1418,tt_Type,0)),"")</f>
        <v/>
      </c>
      <c r="V1418" s="67">
        <f>IF(D1418="","",IFERROR(IF(INDEX(tt_Other,MATCH(D1418,tt_Type,0))="",E1418&amp;"",INDEX(tt_Other,MATCH(D1418,tt_Type,0))),""))</f>
        <v/>
      </c>
      <c r="W1418" s="68">
        <f>IF(OR(TaxOn&lt;&gt;"Yes",NOT(ISNUMBER(M1418))),0,IF(IFERROR(INDEX(tt_Tax,MATCH(D1418,tt_Type,0)),"No")="Yes",M1418,0))</f>
        <v/>
      </c>
      <c r="X1418" s="67">
        <f>IF(T1418=1,"",IF(C1418="","Missing transaction date",IF(NOT(ISNUMBER(C1418)),"Invalid date",IF(OR(C1418&lt;DATE(2000,1,1),C1418&gt;DATE(2099,12,31)),"Invalid date",IF(D1418="","Select a type",IF(U1418="","Unknown type: "&amp;D1418,IF(V1418="","Select an account (Category)",IF(ISNA(MATCH(V1418,coa_Name,0)),"Unknown account: "&amp;V1418,IF(K1418="","Select Paid From / Deposited To",IF(ISNA(MATCH(K1418,coa_Name,0)),"Unknown account: "&amp;K1418,IF(NOT(ISNUMBER(L1418)),"Enter an amount",IF(L1418=0,"Enter an amount",IF(ABS(W1418)&gt;ABS(L1418),"Tax is larger than the amount","")))))))))))))</f>
        <v/>
      </c>
      <c r="Y1418" s="67">
        <f>IF(OR(T1418=1,X1418&lt;&gt;""),"",IF(AND(B1418&lt;&gt;"",COUNTIF(tx_ID,B1418)&gt;1),"Duplicate transaction ID",IF(AND(L1418&lt;0,D1418&lt;&gt;"Adjustment"),"Negative amount — check this entry",IF(AND(D1418="Customer Payment",G1418=""),"Add the customer",IF(AND(D1418="Customer Payment",OR(J1418="",COUNTIF(ar_No,J1418&amp;"")=0)),"Invoice # in Reference not found on AR sheet",IF(AND(D1418="Bill Payment",H1418=""),"Add the vendor",IF(AND(D1418="Bill Payment",OR(J1418="",COUNTIFS(ap_No,J1418&amp;"",ap_Party,H1418&amp;"")=0)),"Bill # + vendor not found on AP sheet",IF(AND(ISNUMBER(M1418),N(M1418)&lt;&gt;0,W1418=0),"Tax ignored (tax tracking off, or not allowed for this type)",IF(V1418=K1418&amp;"","Same account on both sides",IF(AND(ISNUMBER(StartDate),C1418&lt;StartDate),"Date is before the accounting start date",IF(AND(D1418&lt;&gt;"Adjustment",IFERROR(INDEX(coa_Pay,MATCH(K1418&amp;"",coa_Name,0)),"")&lt;&gt;"Yes"),"Paid From / Deposited To is not a payment account","")))))))))))</f>
        <v/>
      </c>
      <c r="Z1418" s="67">
        <f>IF(AND(T1418=0,X1418=""),1,0)</f>
        <v/>
      </c>
      <c r="AA1418" s="68">
        <f>IF(Z1418=1,IF(U1418="In",L1418,L1418-W1418),0)</f>
        <v/>
      </c>
      <c r="AB1418" s="68">
        <f>IF(Z1418=1,IF(U1418="In",L1418-W1418,L1418),0)</f>
        <v/>
      </c>
      <c r="AC1418" s="68">
        <f>IF(AND(Z1418=1,U1418="Out"),W1418,0)</f>
        <v/>
      </c>
      <c r="AD1418" s="68">
        <f>IF(AND(Z1418=1,U1418="In"),W1418,0)</f>
        <v/>
      </c>
    </row>
    <row r="1419">
      <c r="B1419" s="62" t="inlineStr">
        <is>
          <t>TX-1413</t>
        </is>
      </c>
      <c r="C1419" s="63" t="n"/>
      <c r="D1419" s="62" t="n"/>
      <c r="E1419" s="62" t="n"/>
      <c r="F1419" s="62" t="n"/>
      <c r="G1419" s="62" t="n"/>
      <c r="H1419" s="62" t="n"/>
      <c r="I1419" s="62" t="n"/>
      <c r="J1419" s="62" t="n"/>
      <c r="K1419" s="62" t="n"/>
      <c r="L1419" s="64" t="n"/>
      <c r="M1419" s="64" t="n"/>
      <c r="N1419" s="62" t="n"/>
      <c r="O1419" s="65">
        <f>IF(Z1419=1,L1419-W1419,"")</f>
        <v/>
      </c>
      <c r="P1419" s="66">
        <f>IF(V1419="","",IFERROR(INDEX(coa_Type,MATCH(V1419,coa_Name,0)),""))</f>
        <v/>
      </c>
      <c r="Q1419" s="66">
        <f>IF(Z1419=1,IF(U1419="In",K1419&amp;"",V1419),"")</f>
        <v/>
      </c>
      <c r="R1419" s="66">
        <f>IF(Z1419=1,IF(U1419="In",V1419,K1419&amp;""),"")</f>
        <v/>
      </c>
      <c r="S1419" s="66">
        <f>IF(X1419&lt;&gt;"","⛔ "&amp;X1419&amp;" — not posted",IF(Y1419&lt;&gt;"","⚠ "&amp;Y1419,IF(Z1419=1,"✓ OK","")))</f>
        <v/>
      </c>
      <c r="T1419" s="67">
        <f>IF(AND(C1419="",D1419="",E1419="",L1419="",K1419=""),1,0)</f>
        <v/>
      </c>
      <c r="U1419" s="67">
        <f>IFERROR(INDEX(tt_Dir,MATCH(D1419,tt_Type,0)),"")</f>
        <v/>
      </c>
      <c r="V1419" s="67">
        <f>IF(D1419="","",IFERROR(IF(INDEX(tt_Other,MATCH(D1419,tt_Type,0))="",E1419&amp;"",INDEX(tt_Other,MATCH(D1419,tt_Type,0))),""))</f>
        <v/>
      </c>
      <c r="W1419" s="68">
        <f>IF(OR(TaxOn&lt;&gt;"Yes",NOT(ISNUMBER(M1419))),0,IF(IFERROR(INDEX(tt_Tax,MATCH(D1419,tt_Type,0)),"No")="Yes",M1419,0))</f>
        <v/>
      </c>
      <c r="X1419" s="67">
        <f>IF(T1419=1,"",IF(C1419="","Missing transaction date",IF(NOT(ISNUMBER(C1419)),"Invalid date",IF(OR(C1419&lt;DATE(2000,1,1),C1419&gt;DATE(2099,12,31)),"Invalid date",IF(D1419="","Select a type",IF(U1419="","Unknown type: "&amp;D1419,IF(V1419="","Select an account (Category)",IF(ISNA(MATCH(V1419,coa_Name,0)),"Unknown account: "&amp;V1419,IF(K1419="","Select Paid From / Deposited To",IF(ISNA(MATCH(K1419,coa_Name,0)),"Unknown account: "&amp;K1419,IF(NOT(ISNUMBER(L1419)),"Enter an amount",IF(L1419=0,"Enter an amount",IF(ABS(W1419)&gt;ABS(L1419),"Tax is larger than the amount","")))))))))))))</f>
        <v/>
      </c>
      <c r="Y1419" s="67">
        <f>IF(OR(T1419=1,X1419&lt;&gt;""),"",IF(AND(B1419&lt;&gt;"",COUNTIF(tx_ID,B1419)&gt;1),"Duplicate transaction ID",IF(AND(L1419&lt;0,D1419&lt;&gt;"Adjustment"),"Negative amount — check this entry",IF(AND(D1419="Customer Payment",G1419=""),"Add the customer",IF(AND(D1419="Customer Payment",OR(J1419="",COUNTIF(ar_No,J1419&amp;"")=0)),"Invoice # in Reference not found on AR sheet",IF(AND(D1419="Bill Payment",H1419=""),"Add the vendor",IF(AND(D1419="Bill Payment",OR(J1419="",COUNTIFS(ap_No,J1419&amp;"",ap_Party,H1419&amp;"")=0)),"Bill # + vendor not found on AP sheet",IF(AND(ISNUMBER(M1419),N(M1419)&lt;&gt;0,W1419=0),"Tax ignored (tax tracking off, or not allowed for this type)",IF(V1419=K1419&amp;"","Same account on both sides",IF(AND(ISNUMBER(StartDate),C1419&lt;StartDate),"Date is before the accounting start date",IF(AND(D1419&lt;&gt;"Adjustment",IFERROR(INDEX(coa_Pay,MATCH(K1419&amp;"",coa_Name,0)),"")&lt;&gt;"Yes"),"Paid From / Deposited To is not a payment account","")))))))))))</f>
        <v/>
      </c>
      <c r="Z1419" s="67">
        <f>IF(AND(T1419=0,X1419=""),1,0)</f>
        <v/>
      </c>
      <c r="AA1419" s="68">
        <f>IF(Z1419=1,IF(U1419="In",L1419,L1419-W1419),0)</f>
        <v/>
      </c>
      <c r="AB1419" s="68">
        <f>IF(Z1419=1,IF(U1419="In",L1419-W1419,L1419),0)</f>
        <v/>
      </c>
      <c r="AC1419" s="68">
        <f>IF(AND(Z1419=1,U1419="Out"),W1419,0)</f>
        <v/>
      </c>
      <c r="AD1419" s="68">
        <f>IF(AND(Z1419=1,U1419="In"),W1419,0)</f>
        <v/>
      </c>
    </row>
    <row r="1420">
      <c r="B1420" s="62" t="inlineStr">
        <is>
          <t>TX-1414</t>
        </is>
      </c>
      <c r="C1420" s="63" t="n"/>
      <c r="D1420" s="62" t="n"/>
      <c r="E1420" s="62" t="n"/>
      <c r="F1420" s="62" t="n"/>
      <c r="G1420" s="62" t="n"/>
      <c r="H1420" s="62" t="n"/>
      <c r="I1420" s="62" t="n"/>
      <c r="J1420" s="62" t="n"/>
      <c r="K1420" s="62" t="n"/>
      <c r="L1420" s="64" t="n"/>
      <c r="M1420" s="64" t="n"/>
      <c r="N1420" s="62" t="n"/>
      <c r="O1420" s="65">
        <f>IF(Z1420=1,L1420-W1420,"")</f>
        <v/>
      </c>
      <c r="P1420" s="66">
        <f>IF(V1420="","",IFERROR(INDEX(coa_Type,MATCH(V1420,coa_Name,0)),""))</f>
        <v/>
      </c>
      <c r="Q1420" s="66">
        <f>IF(Z1420=1,IF(U1420="In",K1420&amp;"",V1420),"")</f>
        <v/>
      </c>
      <c r="R1420" s="66">
        <f>IF(Z1420=1,IF(U1420="In",V1420,K1420&amp;""),"")</f>
        <v/>
      </c>
      <c r="S1420" s="66">
        <f>IF(X1420&lt;&gt;"","⛔ "&amp;X1420&amp;" — not posted",IF(Y1420&lt;&gt;"","⚠ "&amp;Y1420,IF(Z1420=1,"✓ OK","")))</f>
        <v/>
      </c>
      <c r="T1420" s="67">
        <f>IF(AND(C1420="",D1420="",E1420="",L1420="",K1420=""),1,0)</f>
        <v/>
      </c>
      <c r="U1420" s="67">
        <f>IFERROR(INDEX(tt_Dir,MATCH(D1420,tt_Type,0)),"")</f>
        <v/>
      </c>
      <c r="V1420" s="67">
        <f>IF(D1420="","",IFERROR(IF(INDEX(tt_Other,MATCH(D1420,tt_Type,0))="",E1420&amp;"",INDEX(tt_Other,MATCH(D1420,tt_Type,0))),""))</f>
        <v/>
      </c>
      <c r="W1420" s="68">
        <f>IF(OR(TaxOn&lt;&gt;"Yes",NOT(ISNUMBER(M1420))),0,IF(IFERROR(INDEX(tt_Tax,MATCH(D1420,tt_Type,0)),"No")="Yes",M1420,0))</f>
        <v/>
      </c>
      <c r="X1420" s="67">
        <f>IF(T1420=1,"",IF(C1420="","Missing transaction date",IF(NOT(ISNUMBER(C1420)),"Invalid date",IF(OR(C1420&lt;DATE(2000,1,1),C1420&gt;DATE(2099,12,31)),"Invalid date",IF(D1420="","Select a type",IF(U1420="","Unknown type: "&amp;D1420,IF(V1420="","Select an account (Category)",IF(ISNA(MATCH(V1420,coa_Name,0)),"Unknown account: "&amp;V1420,IF(K1420="","Select Paid From / Deposited To",IF(ISNA(MATCH(K1420,coa_Name,0)),"Unknown account: "&amp;K1420,IF(NOT(ISNUMBER(L1420)),"Enter an amount",IF(L1420=0,"Enter an amount",IF(ABS(W1420)&gt;ABS(L1420),"Tax is larger than the amount","")))))))))))))</f>
        <v/>
      </c>
      <c r="Y1420" s="67">
        <f>IF(OR(T1420=1,X1420&lt;&gt;""),"",IF(AND(B1420&lt;&gt;"",COUNTIF(tx_ID,B1420)&gt;1),"Duplicate transaction ID",IF(AND(L1420&lt;0,D1420&lt;&gt;"Adjustment"),"Negative amount — check this entry",IF(AND(D1420="Customer Payment",G1420=""),"Add the customer",IF(AND(D1420="Customer Payment",OR(J1420="",COUNTIF(ar_No,J1420&amp;"")=0)),"Invoice # in Reference not found on AR sheet",IF(AND(D1420="Bill Payment",H1420=""),"Add the vendor",IF(AND(D1420="Bill Payment",OR(J1420="",COUNTIFS(ap_No,J1420&amp;"",ap_Party,H1420&amp;"")=0)),"Bill # + vendor not found on AP sheet",IF(AND(ISNUMBER(M1420),N(M1420)&lt;&gt;0,W1420=0),"Tax ignored (tax tracking off, or not allowed for this type)",IF(V1420=K1420&amp;"","Same account on both sides",IF(AND(ISNUMBER(StartDate),C1420&lt;StartDate),"Date is before the accounting start date",IF(AND(D1420&lt;&gt;"Adjustment",IFERROR(INDEX(coa_Pay,MATCH(K1420&amp;"",coa_Name,0)),"")&lt;&gt;"Yes"),"Paid From / Deposited To is not a payment account","")))))))))))</f>
        <v/>
      </c>
      <c r="Z1420" s="67">
        <f>IF(AND(T1420=0,X1420=""),1,0)</f>
        <v/>
      </c>
      <c r="AA1420" s="68">
        <f>IF(Z1420=1,IF(U1420="In",L1420,L1420-W1420),0)</f>
        <v/>
      </c>
      <c r="AB1420" s="68">
        <f>IF(Z1420=1,IF(U1420="In",L1420-W1420,L1420),0)</f>
        <v/>
      </c>
      <c r="AC1420" s="68">
        <f>IF(AND(Z1420=1,U1420="Out"),W1420,0)</f>
        <v/>
      </c>
      <c r="AD1420" s="68">
        <f>IF(AND(Z1420=1,U1420="In"),W1420,0)</f>
        <v/>
      </c>
    </row>
    <row r="1421">
      <c r="B1421" s="62" t="inlineStr">
        <is>
          <t>TX-1415</t>
        </is>
      </c>
      <c r="C1421" s="63" t="n"/>
      <c r="D1421" s="62" t="n"/>
      <c r="E1421" s="62" t="n"/>
      <c r="F1421" s="62" t="n"/>
      <c r="G1421" s="62" t="n"/>
      <c r="H1421" s="62" t="n"/>
      <c r="I1421" s="62" t="n"/>
      <c r="J1421" s="62" t="n"/>
      <c r="K1421" s="62" t="n"/>
      <c r="L1421" s="64" t="n"/>
      <c r="M1421" s="64" t="n"/>
      <c r="N1421" s="62" t="n"/>
      <c r="O1421" s="65">
        <f>IF(Z1421=1,L1421-W1421,"")</f>
        <v/>
      </c>
      <c r="P1421" s="66">
        <f>IF(V1421="","",IFERROR(INDEX(coa_Type,MATCH(V1421,coa_Name,0)),""))</f>
        <v/>
      </c>
      <c r="Q1421" s="66">
        <f>IF(Z1421=1,IF(U1421="In",K1421&amp;"",V1421),"")</f>
        <v/>
      </c>
      <c r="R1421" s="66">
        <f>IF(Z1421=1,IF(U1421="In",V1421,K1421&amp;""),"")</f>
        <v/>
      </c>
      <c r="S1421" s="66">
        <f>IF(X1421&lt;&gt;"","⛔ "&amp;X1421&amp;" — not posted",IF(Y1421&lt;&gt;"","⚠ "&amp;Y1421,IF(Z1421=1,"✓ OK","")))</f>
        <v/>
      </c>
      <c r="T1421" s="67">
        <f>IF(AND(C1421="",D1421="",E1421="",L1421="",K1421=""),1,0)</f>
        <v/>
      </c>
      <c r="U1421" s="67">
        <f>IFERROR(INDEX(tt_Dir,MATCH(D1421,tt_Type,0)),"")</f>
        <v/>
      </c>
      <c r="V1421" s="67">
        <f>IF(D1421="","",IFERROR(IF(INDEX(tt_Other,MATCH(D1421,tt_Type,0))="",E1421&amp;"",INDEX(tt_Other,MATCH(D1421,tt_Type,0))),""))</f>
        <v/>
      </c>
      <c r="W1421" s="68">
        <f>IF(OR(TaxOn&lt;&gt;"Yes",NOT(ISNUMBER(M1421))),0,IF(IFERROR(INDEX(tt_Tax,MATCH(D1421,tt_Type,0)),"No")="Yes",M1421,0))</f>
        <v/>
      </c>
      <c r="X1421" s="67">
        <f>IF(T1421=1,"",IF(C1421="","Missing transaction date",IF(NOT(ISNUMBER(C1421)),"Invalid date",IF(OR(C1421&lt;DATE(2000,1,1),C1421&gt;DATE(2099,12,31)),"Invalid date",IF(D1421="","Select a type",IF(U1421="","Unknown type: "&amp;D1421,IF(V1421="","Select an account (Category)",IF(ISNA(MATCH(V1421,coa_Name,0)),"Unknown account: "&amp;V1421,IF(K1421="","Select Paid From / Deposited To",IF(ISNA(MATCH(K1421,coa_Name,0)),"Unknown account: "&amp;K1421,IF(NOT(ISNUMBER(L1421)),"Enter an amount",IF(L1421=0,"Enter an amount",IF(ABS(W1421)&gt;ABS(L1421),"Tax is larger than the amount","")))))))))))))</f>
        <v/>
      </c>
      <c r="Y1421" s="67">
        <f>IF(OR(T1421=1,X1421&lt;&gt;""),"",IF(AND(B1421&lt;&gt;"",COUNTIF(tx_ID,B1421)&gt;1),"Duplicate transaction ID",IF(AND(L1421&lt;0,D1421&lt;&gt;"Adjustment"),"Negative amount — check this entry",IF(AND(D1421="Customer Payment",G1421=""),"Add the customer",IF(AND(D1421="Customer Payment",OR(J1421="",COUNTIF(ar_No,J1421&amp;"")=0)),"Invoice # in Reference not found on AR sheet",IF(AND(D1421="Bill Payment",H1421=""),"Add the vendor",IF(AND(D1421="Bill Payment",OR(J1421="",COUNTIFS(ap_No,J1421&amp;"",ap_Party,H1421&amp;"")=0)),"Bill # + vendor not found on AP sheet",IF(AND(ISNUMBER(M1421),N(M1421)&lt;&gt;0,W1421=0),"Tax ignored (tax tracking off, or not allowed for this type)",IF(V1421=K1421&amp;"","Same account on both sides",IF(AND(ISNUMBER(StartDate),C1421&lt;StartDate),"Date is before the accounting start date",IF(AND(D1421&lt;&gt;"Adjustment",IFERROR(INDEX(coa_Pay,MATCH(K1421&amp;"",coa_Name,0)),"")&lt;&gt;"Yes"),"Paid From / Deposited To is not a payment account","")))))))))))</f>
        <v/>
      </c>
      <c r="Z1421" s="67">
        <f>IF(AND(T1421=0,X1421=""),1,0)</f>
        <v/>
      </c>
      <c r="AA1421" s="68">
        <f>IF(Z1421=1,IF(U1421="In",L1421,L1421-W1421),0)</f>
        <v/>
      </c>
      <c r="AB1421" s="68">
        <f>IF(Z1421=1,IF(U1421="In",L1421-W1421,L1421),0)</f>
        <v/>
      </c>
      <c r="AC1421" s="68">
        <f>IF(AND(Z1421=1,U1421="Out"),W1421,0)</f>
        <v/>
      </c>
      <c r="AD1421" s="68">
        <f>IF(AND(Z1421=1,U1421="In"),W1421,0)</f>
        <v/>
      </c>
    </row>
    <row r="1422">
      <c r="B1422" s="62" t="inlineStr">
        <is>
          <t>TX-1416</t>
        </is>
      </c>
      <c r="C1422" s="63" t="n"/>
      <c r="D1422" s="62" t="n"/>
      <c r="E1422" s="62" t="n"/>
      <c r="F1422" s="62" t="n"/>
      <c r="G1422" s="62" t="n"/>
      <c r="H1422" s="62" t="n"/>
      <c r="I1422" s="62" t="n"/>
      <c r="J1422" s="62" t="n"/>
      <c r="K1422" s="62" t="n"/>
      <c r="L1422" s="64" t="n"/>
      <c r="M1422" s="64" t="n"/>
      <c r="N1422" s="62" t="n"/>
      <c r="O1422" s="65">
        <f>IF(Z1422=1,L1422-W1422,"")</f>
        <v/>
      </c>
      <c r="P1422" s="66">
        <f>IF(V1422="","",IFERROR(INDEX(coa_Type,MATCH(V1422,coa_Name,0)),""))</f>
        <v/>
      </c>
      <c r="Q1422" s="66">
        <f>IF(Z1422=1,IF(U1422="In",K1422&amp;"",V1422),"")</f>
        <v/>
      </c>
      <c r="R1422" s="66">
        <f>IF(Z1422=1,IF(U1422="In",V1422,K1422&amp;""),"")</f>
        <v/>
      </c>
      <c r="S1422" s="66">
        <f>IF(X1422&lt;&gt;"","⛔ "&amp;X1422&amp;" — not posted",IF(Y1422&lt;&gt;"","⚠ "&amp;Y1422,IF(Z1422=1,"✓ OK","")))</f>
        <v/>
      </c>
      <c r="T1422" s="67">
        <f>IF(AND(C1422="",D1422="",E1422="",L1422="",K1422=""),1,0)</f>
        <v/>
      </c>
      <c r="U1422" s="67">
        <f>IFERROR(INDEX(tt_Dir,MATCH(D1422,tt_Type,0)),"")</f>
        <v/>
      </c>
      <c r="V1422" s="67">
        <f>IF(D1422="","",IFERROR(IF(INDEX(tt_Other,MATCH(D1422,tt_Type,0))="",E1422&amp;"",INDEX(tt_Other,MATCH(D1422,tt_Type,0))),""))</f>
        <v/>
      </c>
      <c r="W1422" s="68">
        <f>IF(OR(TaxOn&lt;&gt;"Yes",NOT(ISNUMBER(M1422))),0,IF(IFERROR(INDEX(tt_Tax,MATCH(D1422,tt_Type,0)),"No")="Yes",M1422,0))</f>
        <v/>
      </c>
      <c r="X1422" s="67">
        <f>IF(T1422=1,"",IF(C1422="","Missing transaction date",IF(NOT(ISNUMBER(C1422)),"Invalid date",IF(OR(C1422&lt;DATE(2000,1,1),C1422&gt;DATE(2099,12,31)),"Invalid date",IF(D1422="","Select a type",IF(U1422="","Unknown type: "&amp;D1422,IF(V1422="","Select an account (Category)",IF(ISNA(MATCH(V1422,coa_Name,0)),"Unknown account: "&amp;V1422,IF(K1422="","Select Paid From / Deposited To",IF(ISNA(MATCH(K1422,coa_Name,0)),"Unknown account: "&amp;K1422,IF(NOT(ISNUMBER(L1422)),"Enter an amount",IF(L1422=0,"Enter an amount",IF(ABS(W1422)&gt;ABS(L1422),"Tax is larger than the amount","")))))))))))))</f>
        <v/>
      </c>
      <c r="Y1422" s="67">
        <f>IF(OR(T1422=1,X1422&lt;&gt;""),"",IF(AND(B1422&lt;&gt;"",COUNTIF(tx_ID,B1422)&gt;1),"Duplicate transaction ID",IF(AND(L1422&lt;0,D1422&lt;&gt;"Adjustment"),"Negative amount — check this entry",IF(AND(D1422="Customer Payment",G1422=""),"Add the customer",IF(AND(D1422="Customer Payment",OR(J1422="",COUNTIF(ar_No,J1422&amp;"")=0)),"Invoice # in Reference not found on AR sheet",IF(AND(D1422="Bill Payment",H1422=""),"Add the vendor",IF(AND(D1422="Bill Payment",OR(J1422="",COUNTIFS(ap_No,J1422&amp;"",ap_Party,H1422&amp;"")=0)),"Bill # + vendor not found on AP sheet",IF(AND(ISNUMBER(M1422),N(M1422)&lt;&gt;0,W1422=0),"Tax ignored (tax tracking off, or not allowed for this type)",IF(V1422=K1422&amp;"","Same account on both sides",IF(AND(ISNUMBER(StartDate),C1422&lt;StartDate),"Date is before the accounting start date",IF(AND(D1422&lt;&gt;"Adjustment",IFERROR(INDEX(coa_Pay,MATCH(K1422&amp;"",coa_Name,0)),"")&lt;&gt;"Yes"),"Paid From / Deposited To is not a payment account","")))))))))))</f>
        <v/>
      </c>
      <c r="Z1422" s="67">
        <f>IF(AND(T1422=0,X1422=""),1,0)</f>
        <v/>
      </c>
      <c r="AA1422" s="68">
        <f>IF(Z1422=1,IF(U1422="In",L1422,L1422-W1422),0)</f>
        <v/>
      </c>
      <c r="AB1422" s="68">
        <f>IF(Z1422=1,IF(U1422="In",L1422-W1422,L1422),0)</f>
        <v/>
      </c>
      <c r="AC1422" s="68">
        <f>IF(AND(Z1422=1,U1422="Out"),W1422,0)</f>
        <v/>
      </c>
      <c r="AD1422" s="68">
        <f>IF(AND(Z1422=1,U1422="In"),W1422,0)</f>
        <v/>
      </c>
    </row>
    <row r="1423">
      <c r="B1423" s="62" t="inlineStr">
        <is>
          <t>TX-1417</t>
        </is>
      </c>
      <c r="C1423" s="63" t="n"/>
      <c r="D1423" s="62" t="n"/>
      <c r="E1423" s="62" t="n"/>
      <c r="F1423" s="62" t="n"/>
      <c r="G1423" s="62" t="n"/>
      <c r="H1423" s="62" t="n"/>
      <c r="I1423" s="62" t="n"/>
      <c r="J1423" s="62" t="n"/>
      <c r="K1423" s="62" t="n"/>
      <c r="L1423" s="64" t="n"/>
      <c r="M1423" s="64" t="n"/>
      <c r="N1423" s="62" t="n"/>
      <c r="O1423" s="65">
        <f>IF(Z1423=1,L1423-W1423,"")</f>
        <v/>
      </c>
      <c r="P1423" s="66">
        <f>IF(V1423="","",IFERROR(INDEX(coa_Type,MATCH(V1423,coa_Name,0)),""))</f>
        <v/>
      </c>
      <c r="Q1423" s="66">
        <f>IF(Z1423=1,IF(U1423="In",K1423&amp;"",V1423),"")</f>
        <v/>
      </c>
      <c r="R1423" s="66">
        <f>IF(Z1423=1,IF(U1423="In",V1423,K1423&amp;""),"")</f>
        <v/>
      </c>
      <c r="S1423" s="66">
        <f>IF(X1423&lt;&gt;"","⛔ "&amp;X1423&amp;" — not posted",IF(Y1423&lt;&gt;"","⚠ "&amp;Y1423,IF(Z1423=1,"✓ OK","")))</f>
        <v/>
      </c>
      <c r="T1423" s="67">
        <f>IF(AND(C1423="",D1423="",E1423="",L1423="",K1423=""),1,0)</f>
        <v/>
      </c>
      <c r="U1423" s="67">
        <f>IFERROR(INDEX(tt_Dir,MATCH(D1423,tt_Type,0)),"")</f>
        <v/>
      </c>
      <c r="V1423" s="67">
        <f>IF(D1423="","",IFERROR(IF(INDEX(tt_Other,MATCH(D1423,tt_Type,0))="",E1423&amp;"",INDEX(tt_Other,MATCH(D1423,tt_Type,0))),""))</f>
        <v/>
      </c>
      <c r="W1423" s="68">
        <f>IF(OR(TaxOn&lt;&gt;"Yes",NOT(ISNUMBER(M1423))),0,IF(IFERROR(INDEX(tt_Tax,MATCH(D1423,tt_Type,0)),"No")="Yes",M1423,0))</f>
        <v/>
      </c>
      <c r="X1423" s="67">
        <f>IF(T1423=1,"",IF(C1423="","Missing transaction date",IF(NOT(ISNUMBER(C1423)),"Invalid date",IF(OR(C1423&lt;DATE(2000,1,1),C1423&gt;DATE(2099,12,31)),"Invalid date",IF(D1423="","Select a type",IF(U1423="","Unknown type: "&amp;D1423,IF(V1423="","Select an account (Category)",IF(ISNA(MATCH(V1423,coa_Name,0)),"Unknown account: "&amp;V1423,IF(K1423="","Select Paid From / Deposited To",IF(ISNA(MATCH(K1423,coa_Name,0)),"Unknown account: "&amp;K1423,IF(NOT(ISNUMBER(L1423)),"Enter an amount",IF(L1423=0,"Enter an amount",IF(ABS(W1423)&gt;ABS(L1423),"Tax is larger than the amount","")))))))))))))</f>
        <v/>
      </c>
      <c r="Y1423" s="67">
        <f>IF(OR(T1423=1,X1423&lt;&gt;""),"",IF(AND(B1423&lt;&gt;"",COUNTIF(tx_ID,B1423)&gt;1),"Duplicate transaction ID",IF(AND(L1423&lt;0,D1423&lt;&gt;"Adjustment"),"Negative amount — check this entry",IF(AND(D1423="Customer Payment",G1423=""),"Add the customer",IF(AND(D1423="Customer Payment",OR(J1423="",COUNTIF(ar_No,J1423&amp;"")=0)),"Invoice # in Reference not found on AR sheet",IF(AND(D1423="Bill Payment",H1423=""),"Add the vendor",IF(AND(D1423="Bill Payment",OR(J1423="",COUNTIFS(ap_No,J1423&amp;"",ap_Party,H1423&amp;"")=0)),"Bill # + vendor not found on AP sheet",IF(AND(ISNUMBER(M1423),N(M1423)&lt;&gt;0,W1423=0),"Tax ignored (tax tracking off, or not allowed for this type)",IF(V1423=K1423&amp;"","Same account on both sides",IF(AND(ISNUMBER(StartDate),C1423&lt;StartDate),"Date is before the accounting start date",IF(AND(D1423&lt;&gt;"Adjustment",IFERROR(INDEX(coa_Pay,MATCH(K1423&amp;"",coa_Name,0)),"")&lt;&gt;"Yes"),"Paid From / Deposited To is not a payment account","")))))))))))</f>
        <v/>
      </c>
      <c r="Z1423" s="67">
        <f>IF(AND(T1423=0,X1423=""),1,0)</f>
        <v/>
      </c>
      <c r="AA1423" s="68">
        <f>IF(Z1423=1,IF(U1423="In",L1423,L1423-W1423),0)</f>
        <v/>
      </c>
      <c r="AB1423" s="68">
        <f>IF(Z1423=1,IF(U1423="In",L1423-W1423,L1423),0)</f>
        <v/>
      </c>
      <c r="AC1423" s="68">
        <f>IF(AND(Z1423=1,U1423="Out"),W1423,0)</f>
        <v/>
      </c>
      <c r="AD1423" s="68">
        <f>IF(AND(Z1423=1,U1423="In"),W1423,0)</f>
        <v/>
      </c>
    </row>
    <row r="1424">
      <c r="B1424" s="62" t="inlineStr">
        <is>
          <t>TX-1418</t>
        </is>
      </c>
      <c r="C1424" s="63" t="n"/>
      <c r="D1424" s="62" t="n"/>
      <c r="E1424" s="62" t="n"/>
      <c r="F1424" s="62" t="n"/>
      <c r="G1424" s="62" t="n"/>
      <c r="H1424" s="62" t="n"/>
      <c r="I1424" s="62" t="n"/>
      <c r="J1424" s="62" t="n"/>
      <c r="K1424" s="62" t="n"/>
      <c r="L1424" s="64" t="n"/>
      <c r="M1424" s="64" t="n"/>
      <c r="N1424" s="62" t="n"/>
      <c r="O1424" s="65">
        <f>IF(Z1424=1,L1424-W1424,"")</f>
        <v/>
      </c>
      <c r="P1424" s="66">
        <f>IF(V1424="","",IFERROR(INDEX(coa_Type,MATCH(V1424,coa_Name,0)),""))</f>
        <v/>
      </c>
      <c r="Q1424" s="66">
        <f>IF(Z1424=1,IF(U1424="In",K1424&amp;"",V1424),"")</f>
        <v/>
      </c>
      <c r="R1424" s="66">
        <f>IF(Z1424=1,IF(U1424="In",V1424,K1424&amp;""),"")</f>
        <v/>
      </c>
      <c r="S1424" s="66">
        <f>IF(X1424&lt;&gt;"","⛔ "&amp;X1424&amp;" — not posted",IF(Y1424&lt;&gt;"","⚠ "&amp;Y1424,IF(Z1424=1,"✓ OK","")))</f>
        <v/>
      </c>
      <c r="T1424" s="67">
        <f>IF(AND(C1424="",D1424="",E1424="",L1424="",K1424=""),1,0)</f>
        <v/>
      </c>
      <c r="U1424" s="67">
        <f>IFERROR(INDEX(tt_Dir,MATCH(D1424,tt_Type,0)),"")</f>
        <v/>
      </c>
      <c r="V1424" s="67">
        <f>IF(D1424="","",IFERROR(IF(INDEX(tt_Other,MATCH(D1424,tt_Type,0))="",E1424&amp;"",INDEX(tt_Other,MATCH(D1424,tt_Type,0))),""))</f>
        <v/>
      </c>
      <c r="W1424" s="68">
        <f>IF(OR(TaxOn&lt;&gt;"Yes",NOT(ISNUMBER(M1424))),0,IF(IFERROR(INDEX(tt_Tax,MATCH(D1424,tt_Type,0)),"No")="Yes",M1424,0))</f>
        <v/>
      </c>
      <c r="X1424" s="67">
        <f>IF(T1424=1,"",IF(C1424="","Missing transaction date",IF(NOT(ISNUMBER(C1424)),"Invalid date",IF(OR(C1424&lt;DATE(2000,1,1),C1424&gt;DATE(2099,12,31)),"Invalid date",IF(D1424="","Select a type",IF(U1424="","Unknown type: "&amp;D1424,IF(V1424="","Select an account (Category)",IF(ISNA(MATCH(V1424,coa_Name,0)),"Unknown account: "&amp;V1424,IF(K1424="","Select Paid From / Deposited To",IF(ISNA(MATCH(K1424,coa_Name,0)),"Unknown account: "&amp;K1424,IF(NOT(ISNUMBER(L1424)),"Enter an amount",IF(L1424=0,"Enter an amount",IF(ABS(W1424)&gt;ABS(L1424),"Tax is larger than the amount","")))))))))))))</f>
        <v/>
      </c>
      <c r="Y1424" s="67">
        <f>IF(OR(T1424=1,X1424&lt;&gt;""),"",IF(AND(B1424&lt;&gt;"",COUNTIF(tx_ID,B1424)&gt;1),"Duplicate transaction ID",IF(AND(L1424&lt;0,D1424&lt;&gt;"Adjustment"),"Negative amount — check this entry",IF(AND(D1424="Customer Payment",G1424=""),"Add the customer",IF(AND(D1424="Customer Payment",OR(J1424="",COUNTIF(ar_No,J1424&amp;"")=0)),"Invoice # in Reference not found on AR sheet",IF(AND(D1424="Bill Payment",H1424=""),"Add the vendor",IF(AND(D1424="Bill Payment",OR(J1424="",COUNTIFS(ap_No,J1424&amp;"",ap_Party,H1424&amp;"")=0)),"Bill # + vendor not found on AP sheet",IF(AND(ISNUMBER(M1424),N(M1424)&lt;&gt;0,W1424=0),"Tax ignored (tax tracking off, or not allowed for this type)",IF(V1424=K1424&amp;"","Same account on both sides",IF(AND(ISNUMBER(StartDate),C1424&lt;StartDate),"Date is before the accounting start date",IF(AND(D1424&lt;&gt;"Adjustment",IFERROR(INDEX(coa_Pay,MATCH(K1424&amp;"",coa_Name,0)),"")&lt;&gt;"Yes"),"Paid From / Deposited To is not a payment account","")))))))))))</f>
        <v/>
      </c>
      <c r="Z1424" s="67">
        <f>IF(AND(T1424=0,X1424=""),1,0)</f>
        <v/>
      </c>
      <c r="AA1424" s="68">
        <f>IF(Z1424=1,IF(U1424="In",L1424,L1424-W1424),0)</f>
        <v/>
      </c>
      <c r="AB1424" s="68">
        <f>IF(Z1424=1,IF(U1424="In",L1424-W1424,L1424),0)</f>
        <v/>
      </c>
      <c r="AC1424" s="68">
        <f>IF(AND(Z1424=1,U1424="Out"),W1424,0)</f>
        <v/>
      </c>
      <c r="AD1424" s="68">
        <f>IF(AND(Z1424=1,U1424="In"),W1424,0)</f>
        <v/>
      </c>
    </row>
    <row r="1425">
      <c r="B1425" s="62" t="inlineStr">
        <is>
          <t>TX-1419</t>
        </is>
      </c>
      <c r="C1425" s="63" t="n"/>
      <c r="D1425" s="62" t="n"/>
      <c r="E1425" s="62" t="n"/>
      <c r="F1425" s="62" t="n"/>
      <c r="G1425" s="62" t="n"/>
      <c r="H1425" s="62" t="n"/>
      <c r="I1425" s="62" t="n"/>
      <c r="J1425" s="62" t="n"/>
      <c r="K1425" s="62" t="n"/>
      <c r="L1425" s="64" t="n"/>
      <c r="M1425" s="64" t="n"/>
      <c r="N1425" s="62" t="n"/>
      <c r="O1425" s="65">
        <f>IF(Z1425=1,L1425-W1425,"")</f>
        <v/>
      </c>
      <c r="P1425" s="66">
        <f>IF(V1425="","",IFERROR(INDEX(coa_Type,MATCH(V1425,coa_Name,0)),""))</f>
        <v/>
      </c>
      <c r="Q1425" s="66">
        <f>IF(Z1425=1,IF(U1425="In",K1425&amp;"",V1425),"")</f>
        <v/>
      </c>
      <c r="R1425" s="66">
        <f>IF(Z1425=1,IF(U1425="In",V1425,K1425&amp;""),"")</f>
        <v/>
      </c>
      <c r="S1425" s="66">
        <f>IF(X1425&lt;&gt;"","⛔ "&amp;X1425&amp;" — not posted",IF(Y1425&lt;&gt;"","⚠ "&amp;Y1425,IF(Z1425=1,"✓ OK","")))</f>
        <v/>
      </c>
      <c r="T1425" s="67">
        <f>IF(AND(C1425="",D1425="",E1425="",L1425="",K1425=""),1,0)</f>
        <v/>
      </c>
      <c r="U1425" s="67">
        <f>IFERROR(INDEX(tt_Dir,MATCH(D1425,tt_Type,0)),"")</f>
        <v/>
      </c>
      <c r="V1425" s="67">
        <f>IF(D1425="","",IFERROR(IF(INDEX(tt_Other,MATCH(D1425,tt_Type,0))="",E1425&amp;"",INDEX(tt_Other,MATCH(D1425,tt_Type,0))),""))</f>
        <v/>
      </c>
      <c r="W1425" s="68">
        <f>IF(OR(TaxOn&lt;&gt;"Yes",NOT(ISNUMBER(M1425))),0,IF(IFERROR(INDEX(tt_Tax,MATCH(D1425,tt_Type,0)),"No")="Yes",M1425,0))</f>
        <v/>
      </c>
      <c r="X1425" s="67">
        <f>IF(T1425=1,"",IF(C1425="","Missing transaction date",IF(NOT(ISNUMBER(C1425)),"Invalid date",IF(OR(C1425&lt;DATE(2000,1,1),C1425&gt;DATE(2099,12,31)),"Invalid date",IF(D1425="","Select a type",IF(U1425="","Unknown type: "&amp;D1425,IF(V1425="","Select an account (Category)",IF(ISNA(MATCH(V1425,coa_Name,0)),"Unknown account: "&amp;V1425,IF(K1425="","Select Paid From / Deposited To",IF(ISNA(MATCH(K1425,coa_Name,0)),"Unknown account: "&amp;K1425,IF(NOT(ISNUMBER(L1425)),"Enter an amount",IF(L1425=0,"Enter an amount",IF(ABS(W1425)&gt;ABS(L1425),"Tax is larger than the amount","")))))))))))))</f>
        <v/>
      </c>
      <c r="Y1425" s="67">
        <f>IF(OR(T1425=1,X1425&lt;&gt;""),"",IF(AND(B1425&lt;&gt;"",COUNTIF(tx_ID,B1425)&gt;1),"Duplicate transaction ID",IF(AND(L1425&lt;0,D1425&lt;&gt;"Adjustment"),"Negative amount — check this entry",IF(AND(D1425="Customer Payment",G1425=""),"Add the customer",IF(AND(D1425="Customer Payment",OR(J1425="",COUNTIF(ar_No,J1425&amp;"")=0)),"Invoice # in Reference not found on AR sheet",IF(AND(D1425="Bill Payment",H1425=""),"Add the vendor",IF(AND(D1425="Bill Payment",OR(J1425="",COUNTIFS(ap_No,J1425&amp;"",ap_Party,H1425&amp;"")=0)),"Bill # + vendor not found on AP sheet",IF(AND(ISNUMBER(M1425),N(M1425)&lt;&gt;0,W1425=0),"Tax ignored (tax tracking off, or not allowed for this type)",IF(V1425=K1425&amp;"","Same account on both sides",IF(AND(ISNUMBER(StartDate),C1425&lt;StartDate),"Date is before the accounting start date",IF(AND(D1425&lt;&gt;"Adjustment",IFERROR(INDEX(coa_Pay,MATCH(K1425&amp;"",coa_Name,0)),"")&lt;&gt;"Yes"),"Paid From / Deposited To is not a payment account","")))))))))))</f>
        <v/>
      </c>
      <c r="Z1425" s="67">
        <f>IF(AND(T1425=0,X1425=""),1,0)</f>
        <v/>
      </c>
      <c r="AA1425" s="68">
        <f>IF(Z1425=1,IF(U1425="In",L1425,L1425-W1425),0)</f>
        <v/>
      </c>
      <c r="AB1425" s="68">
        <f>IF(Z1425=1,IF(U1425="In",L1425-W1425,L1425),0)</f>
        <v/>
      </c>
      <c r="AC1425" s="68">
        <f>IF(AND(Z1425=1,U1425="Out"),W1425,0)</f>
        <v/>
      </c>
      <c r="AD1425" s="68">
        <f>IF(AND(Z1425=1,U1425="In"),W1425,0)</f>
        <v/>
      </c>
    </row>
    <row r="1426">
      <c r="B1426" s="62" t="inlineStr">
        <is>
          <t>TX-1420</t>
        </is>
      </c>
      <c r="C1426" s="63" t="n"/>
      <c r="D1426" s="62" t="n"/>
      <c r="E1426" s="62" t="n"/>
      <c r="F1426" s="62" t="n"/>
      <c r="G1426" s="62" t="n"/>
      <c r="H1426" s="62" t="n"/>
      <c r="I1426" s="62" t="n"/>
      <c r="J1426" s="62" t="n"/>
      <c r="K1426" s="62" t="n"/>
      <c r="L1426" s="64" t="n"/>
      <c r="M1426" s="64" t="n"/>
      <c r="N1426" s="62" t="n"/>
      <c r="O1426" s="65">
        <f>IF(Z1426=1,L1426-W1426,"")</f>
        <v/>
      </c>
      <c r="P1426" s="66">
        <f>IF(V1426="","",IFERROR(INDEX(coa_Type,MATCH(V1426,coa_Name,0)),""))</f>
        <v/>
      </c>
      <c r="Q1426" s="66">
        <f>IF(Z1426=1,IF(U1426="In",K1426&amp;"",V1426),"")</f>
        <v/>
      </c>
      <c r="R1426" s="66">
        <f>IF(Z1426=1,IF(U1426="In",V1426,K1426&amp;""),"")</f>
        <v/>
      </c>
      <c r="S1426" s="66">
        <f>IF(X1426&lt;&gt;"","⛔ "&amp;X1426&amp;" — not posted",IF(Y1426&lt;&gt;"","⚠ "&amp;Y1426,IF(Z1426=1,"✓ OK","")))</f>
        <v/>
      </c>
      <c r="T1426" s="67">
        <f>IF(AND(C1426="",D1426="",E1426="",L1426="",K1426=""),1,0)</f>
        <v/>
      </c>
      <c r="U1426" s="67">
        <f>IFERROR(INDEX(tt_Dir,MATCH(D1426,tt_Type,0)),"")</f>
        <v/>
      </c>
      <c r="V1426" s="67">
        <f>IF(D1426="","",IFERROR(IF(INDEX(tt_Other,MATCH(D1426,tt_Type,0))="",E1426&amp;"",INDEX(tt_Other,MATCH(D1426,tt_Type,0))),""))</f>
        <v/>
      </c>
      <c r="W1426" s="68">
        <f>IF(OR(TaxOn&lt;&gt;"Yes",NOT(ISNUMBER(M1426))),0,IF(IFERROR(INDEX(tt_Tax,MATCH(D1426,tt_Type,0)),"No")="Yes",M1426,0))</f>
        <v/>
      </c>
      <c r="X1426" s="67">
        <f>IF(T1426=1,"",IF(C1426="","Missing transaction date",IF(NOT(ISNUMBER(C1426)),"Invalid date",IF(OR(C1426&lt;DATE(2000,1,1),C1426&gt;DATE(2099,12,31)),"Invalid date",IF(D1426="","Select a type",IF(U1426="","Unknown type: "&amp;D1426,IF(V1426="","Select an account (Category)",IF(ISNA(MATCH(V1426,coa_Name,0)),"Unknown account: "&amp;V1426,IF(K1426="","Select Paid From / Deposited To",IF(ISNA(MATCH(K1426,coa_Name,0)),"Unknown account: "&amp;K1426,IF(NOT(ISNUMBER(L1426)),"Enter an amount",IF(L1426=0,"Enter an amount",IF(ABS(W1426)&gt;ABS(L1426),"Tax is larger than the amount","")))))))))))))</f>
        <v/>
      </c>
      <c r="Y1426" s="67">
        <f>IF(OR(T1426=1,X1426&lt;&gt;""),"",IF(AND(B1426&lt;&gt;"",COUNTIF(tx_ID,B1426)&gt;1),"Duplicate transaction ID",IF(AND(L1426&lt;0,D1426&lt;&gt;"Adjustment"),"Negative amount — check this entry",IF(AND(D1426="Customer Payment",G1426=""),"Add the customer",IF(AND(D1426="Customer Payment",OR(J1426="",COUNTIF(ar_No,J1426&amp;"")=0)),"Invoice # in Reference not found on AR sheet",IF(AND(D1426="Bill Payment",H1426=""),"Add the vendor",IF(AND(D1426="Bill Payment",OR(J1426="",COUNTIFS(ap_No,J1426&amp;"",ap_Party,H1426&amp;"")=0)),"Bill # + vendor not found on AP sheet",IF(AND(ISNUMBER(M1426),N(M1426)&lt;&gt;0,W1426=0),"Tax ignored (tax tracking off, or not allowed for this type)",IF(V1426=K1426&amp;"","Same account on both sides",IF(AND(ISNUMBER(StartDate),C1426&lt;StartDate),"Date is before the accounting start date",IF(AND(D1426&lt;&gt;"Adjustment",IFERROR(INDEX(coa_Pay,MATCH(K1426&amp;"",coa_Name,0)),"")&lt;&gt;"Yes"),"Paid From / Deposited To is not a payment account","")))))))))))</f>
        <v/>
      </c>
      <c r="Z1426" s="67">
        <f>IF(AND(T1426=0,X1426=""),1,0)</f>
        <v/>
      </c>
      <c r="AA1426" s="68">
        <f>IF(Z1426=1,IF(U1426="In",L1426,L1426-W1426),0)</f>
        <v/>
      </c>
      <c r="AB1426" s="68">
        <f>IF(Z1426=1,IF(U1426="In",L1426-W1426,L1426),0)</f>
        <v/>
      </c>
      <c r="AC1426" s="68">
        <f>IF(AND(Z1426=1,U1426="Out"),W1426,0)</f>
        <v/>
      </c>
      <c r="AD1426" s="68">
        <f>IF(AND(Z1426=1,U1426="In"),W1426,0)</f>
        <v/>
      </c>
    </row>
    <row r="1427">
      <c r="B1427" s="62" t="inlineStr">
        <is>
          <t>TX-1421</t>
        </is>
      </c>
      <c r="C1427" s="63" t="n"/>
      <c r="D1427" s="62" t="n"/>
      <c r="E1427" s="62" t="n"/>
      <c r="F1427" s="62" t="n"/>
      <c r="G1427" s="62" t="n"/>
      <c r="H1427" s="62" t="n"/>
      <c r="I1427" s="62" t="n"/>
      <c r="J1427" s="62" t="n"/>
      <c r="K1427" s="62" t="n"/>
      <c r="L1427" s="64" t="n"/>
      <c r="M1427" s="64" t="n"/>
      <c r="N1427" s="62" t="n"/>
      <c r="O1427" s="65">
        <f>IF(Z1427=1,L1427-W1427,"")</f>
        <v/>
      </c>
      <c r="P1427" s="66">
        <f>IF(V1427="","",IFERROR(INDEX(coa_Type,MATCH(V1427,coa_Name,0)),""))</f>
        <v/>
      </c>
      <c r="Q1427" s="66">
        <f>IF(Z1427=1,IF(U1427="In",K1427&amp;"",V1427),"")</f>
        <v/>
      </c>
      <c r="R1427" s="66">
        <f>IF(Z1427=1,IF(U1427="In",V1427,K1427&amp;""),"")</f>
        <v/>
      </c>
      <c r="S1427" s="66">
        <f>IF(X1427&lt;&gt;"","⛔ "&amp;X1427&amp;" — not posted",IF(Y1427&lt;&gt;"","⚠ "&amp;Y1427,IF(Z1427=1,"✓ OK","")))</f>
        <v/>
      </c>
      <c r="T1427" s="67">
        <f>IF(AND(C1427="",D1427="",E1427="",L1427="",K1427=""),1,0)</f>
        <v/>
      </c>
      <c r="U1427" s="67">
        <f>IFERROR(INDEX(tt_Dir,MATCH(D1427,tt_Type,0)),"")</f>
        <v/>
      </c>
      <c r="V1427" s="67">
        <f>IF(D1427="","",IFERROR(IF(INDEX(tt_Other,MATCH(D1427,tt_Type,0))="",E1427&amp;"",INDEX(tt_Other,MATCH(D1427,tt_Type,0))),""))</f>
        <v/>
      </c>
      <c r="W1427" s="68">
        <f>IF(OR(TaxOn&lt;&gt;"Yes",NOT(ISNUMBER(M1427))),0,IF(IFERROR(INDEX(tt_Tax,MATCH(D1427,tt_Type,0)),"No")="Yes",M1427,0))</f>
        <v/>
      </c>
      <c r="X1427" s="67">
        <f>IF(T1427=1,"",IF(C1427="","Missing transaction date",IF(NOT(ISNUMBER(C1427)),"Invalid date",IF(OR(C1427&lt;DATE(2000,1,1),C1427&gt;DATE(2099,12,31)),"Invalid date",IF(D1427="","Select a type",IF(U1427="","Unknown type: "&amp;D1427,IF(V1427="","Select an account (Category)",IF(ISNA(MATCH(V1427,coa_Name,0)),"Unknown account: "&amp;V1427,IF(K1427="","Select Paid From / Deposited To",IF(ISNA(MATCH(K1427,coa_Name,0)),"Unknown account: "&amp;K1427,IF(NOT(ISNUMBER(L1427)),"Enter an amount",IF(L1427=0,"Enter an amount",IF(ABS(W1427)&gt;ABS(L1427),"Tax is larger than the amount","")))))))))))))</f>
        <v/>
      </c>
      <c r="Y1427" s="67">
        <f>IF(OR(T1427=1,X1427&lt;&gt;""),"",IF(AND(B1427&lt;&gt;"",COUNTIF(tx_ID,B1427)&gt;1),"Duplicate transaction ID",IF(AND(L1427&lt;0,D1427&lt;&gt;"Adjustment"),"Negative amount — check this entry",IF(AND(D1427="Customer Payment",G1427=""),"Add the customer",IF(AND(D1427="Customer Payment",OR(J1427="",COUNTIF(ar_No,J1427&amp;"")=0)),"Invoice # in Reference not found on AR sheet",IF(AND(D1427="Bill Payment",H1427=""),"Add the vendor",IF(AND(D1427="Bill Payment",OR(J1427="",COUNTIFS(ap_No,J1427&amp;"",ap_Party,H1427&amp;"")=0)),"Bill # + vendor not found on AP sheet",IF(AND(ISNUMBER(M1427),N(M1427)&lt;&gt;0,W1427=0),"Tax ignored (tax tracking off, or not allowed for this type)",IF(V1427=K1427&amp;"","Same account on both sides",IF(AND(ISNUMBER(StartDate),C1427&lt;StartDate),"Date is before the accounting start date",IF(AND(D1427&lt;&gt;"Adjustment",IFERROR(INDEX(coa_Pay,MATCH(K1427&amp;"",coa_Name,0)),"")&lt;&gt;"Yes"),"Paid From / Deposited To is not a payment account","")))))))))))</f>
        <v/>
      </c>
      <c r="Z1427" s="67">
        <f>IF(AND(T1427=0,X1427=""),1,0)</f>
        <v/>
      </c>
      <c r="AA1427" s="68">
        <f>IF(Z1427=1,IF(U1427="In",L1427,L1427-W1427),0)</f>
        <v/>
      </c>
      <c r="AB1427" s="68">
        <f>IF(Z1427=1,IF(U1427="In",L1427-W1427,L1427),0)</f>
        <v/>
      </c>
      <c r="AC1427" s="68">
        <f>IF(AND(Z1427=1,U1427="Out"),W1427,0)</f>
        <v/>
      </c>
      <c r="AD1427" s="68">
        <f>IF(AND(Z1427=1,U1427="In"),W1427,0)</f>
        <v/>
      </c>
    </row>
    <row r="1428">
      <c r="B1428" s="62" t="inlineStr">
        <is>
          <t>TX-1422</t>
        </is>
      </c>
      <c r="C1428" s="63" t="n"/>
      <c r="D1428" s="62" t="n"/>
      <c r="E1428" s="62" t="n"/>
      <c r="F1428" s="62" t="n"/>
      <c r="G1428" s="62" t="n"/>
      <c r="H1428" s="62" t="n"/>
      <c r="I1428" s="62" t="n"/>
      <c r="J1428" s="62" t="n"/>
      <c r="K1428" s="62" t="n"/>
      <c r="L1428" s="64" t="n"/>
      <c r="M1428" s="64" t="n"/>
      <c r="N1428" s="62" t="n"/>
      <c r="O1428" s="65">
        <f>IF(Z1428=1,L1428-W1428,"")</f>
        <v/>
      </c>
      <c r="P1428" s="66">
        <f>IF(V1428="","",IFERROR(INDEX(coa_Type,MATCH(V1428,coa_Name,0)),""))</f>
        <v/>
      </c>
      <c r="Q1428" s="66">
        <f>IF(Z1428=1,IF(U1428="In",K1428&amp;"",V1428),"")</f>
        <v/>
      </c>
      <c r="R1428" s="66">
        <f>IF(Z1428=1,IF(U1428="In",V1428,K1428&amp;""),"")</f>
        <v/>
      </c>
      <c r="S1428" s="66">
        <f>IF(X1428&lt;&gt;"","⛔ "&amp;X1428&amp;" — not posted",IF(Y1428&lt;&gt;"","⚠ "&amp;Y1428,IF(Z1428=1,"✓ OK","")))</f>
        <v/>
      </c>
      <c r="T1428" s="67">
        <f>IF(AND(C1428="",D1428="",E1428="",L1428="",K1428=""),1,0)</f>
        <v/>
      </c>
      <c r="U1428" s="67">
        <f>IFERROR(INDEX(tt_Dir,MATCH(D1428,tt_Type,0)),"")</f>
        <v/>
      </c>
      <c r="V1428" s="67">
        <f>IF(D1428="","",IFERROR(IF(INDEX(tt_Other,MATCH(D1428,tt_Type,0))="",E1428&amp;"",INDEX(tt_Other,MATCH(D1428,tt_Type,0))),""))</f>
        <v/>
      </c>
      <c r="W1428" s="68">
        <f>IF(OR(TaxOn&lt;&gt;"Yes",NOT(ISNUMBER(M1428))),0,IF(IFERROR(INDEX(tt_Tax,MATCH(D1428,tt_Type,0)),"No")="Yes",M1428,0))</f>
        <v/>
      </c>
      <c r="X1428" s="67">
        <f>IF(T1428=1,"",IF(C1428="","Missing transaction date",IF(NOT(ISNUMBER(C1428)),"Invalid date",IF(OR(C1428&lt;DATE(2000,1,1),C1428&gt;DATE(2099,12,31)),"Invalid date",IF(D1428="","Select a type",IF(U1428="","Unknown type: "&amp;D1428,IF(V1428="","Select an account (Category)",IF(ISNA(MATCH(V1428,coa_Name,0)),"Unknown account: "&amp;V1428,IF(K1428="","Select Paid From / Deposited To",IF(ISNA(MATCH(K1428,coa_Name,0)),"Unknown account: "&amp;K1428,IF(NOT(ISNUMBER(L1428)),"Enter an amount",IF(L1428=0,"Enter an amount",IF(ABS(W1428)&gt;ABS(L1428),"Tax is larger than the amount","")))))))))))))</f>
        <v/>
      </c>
      <c r="Y1428" s="67">
        <f>IF(OR(T1428=1,X1428&lt;&gt;""),"",IF(AND(B1428&lt;&gt;"",COUNTIF(tx_ID,B1428)&gt;1),"Duplicate transaction ID",IF(AND(L1428&lt;0,D1428&lt;&gt;"Adjustment"),"Negative amount — check this entry",IF(AND(D1428="Customer Payment",G1428=""),"Add the customer",IF(AND(D1428="Customer Payment",OR(J1428="",COUNTIF(ar_No,J1428&amp;"")=0)),"Invoice # in Reference not found on AR sheet",IF(AND(D1428="Bill Payment",H1428=""),"Add the vendor",IF(AND(D1428="Bill Payment",OR(J1428="",COUNTIFS(ap_No,J1428&amp;"",ap_Party,H1428&amp;"")=0)),"Bill # + vendor not found on AP sheet",IF(AND(ISNUMBER(M1428),N(M1428)&lt;&gt;0,W1428=0),"Tax ignored (tax tracking off, or not allowed for this type)",IF(V1428=K1428&amp;"","Same account on both sides",IF(AND(ISNUMBER(StartDate),C1428&lt;StartDate),"Date is before the accounting start date",IF(AND(D1428&lt;&gt;"Adjustment",IFERROR(INDEX(coa_Pay,MATCH(K1428&amp;"",coa_Name,0)),"")&lt;&gt;"Yes"),"Paid From / Deposited To is not a payment account","")))))))))))</f>
        <v/>
      </c>
      <c r="Z1428" s="67">
        <f>IF(AND(T1428=0,X1428=""),1,0)</f>
        <v/>
      </c>
      <c r="AA1428" s="68">
        <f>IF(Z1428=1,IF(U1428="In",L1428,L1428-W1428),0)</f>
        <v/>
      </c>
      <c r="AB1428" s="68">
        <f>IF(Z1428=1,IF(U1428="In",L1428-W1428,L1428),0)</f>
        <v/>
      </c>
      <c r="AC1428" s="68">
        <f>IF(AND(Z1428=1,U1428="Out"),W1428,0)</f>
        <v/>
      </c>
      <c r="AD1428" s="68">
        <f>IF(AND(Z1428=1,U1428="In"),W1428,0)</f>
        <v/>
      </c>
    </row>
    <row r="1429">
      <c r="B1429" s="62" t="inlineStr">
        <is>
          <t>TX-1423</t>
        </is>
      </c>
      <c r="C1429" s="63" t="n"/>
      <c r="D1429" s="62" t="n"/>
      <c r="E1429" s="62" t="n"/>
      <c r="F1429" s="62" t="n"/>
      <c r="G1429" s="62" t="n"/>
      <c r="H1429" s="62" t="n"/>
      <c r="I1429" s="62" t="n"/>
      <c r="J1429" s="62" t="n"/>
      <c r="K1429" s="62" t="n"/>
      <c r="L1429" s="64" t="n"/>
      <c r="M1429" s="64" t="n"/>
      <c r="N1429" s="62" t="n"/>
      <c r="O1429" s="65">
        <f>IF(Z1429=1,L1429-W1429,"")</f>
        <v/>
      </c>
      <c r="P1429" s="66">
        <f>IF(V1429="","",IFERROR(INDEX(coa_Type,MATCH(V1429,coa_Name,0)),""))</f>
        <v/>
      </c>
      <c r="Q1429" s="66">
        <f>IF(Z1429=1,IF(U1429="In",K1429&amp;"",V1429),"")</f>
        <v/>
      </c>
      <c r="R1429" s="66">
        <f>IF(Z1429=1,IF(U1429="In",V1429,K1429&amp;""),"")</f>
        <v/>
      </c>
      <c r="S1429" s="66">
        <f>IF(X1429&lt;&gt;"","⛔ "&amp;X1429&amp;" — not posted",IF(Y1429&lt;&gt;"","⚠ "&amp;Y1429,IF(Z1429=1,"✓ OK","")))</f>
        <v/>
      </c>
      <c r="T1429" s="67">
        <f>IF(AND(C1429="",D1429="",E1429="",L1429="",K1429=""),1,0)</f>
        <v/>
      </c>
      <c r="U1429" s="67">
        <f>IFERROR(INDEX(tt_Dir,MATCH(D1429,tt_Type,0)),"")</f>
        <v/>
      </c>
      <c r="V1429" s="67">
        <f>IF(D1429="","",IFERROR(IF(INDEX(tt_Other,MATCH(D1429,tt_Type,0))="",E1429&amp;"",INDEX(tt_Other,MATCH(D1429,tt_Type,0))),""))</f>
        <v/>
      </c>
      <c r="W1429" s="68">
        <f>IF(OR(TaxOn&lt;&gt;"Yes",NOT(ISNUMBER(M1429))),0,IF(IFERROR(INDEX(tt_Tax,MATCH(D1429,tt_Type,0)),"No")="Yes",M1429,0))</f>
        <v/>
      </c>
      <c r="X1429" s="67">
        <f>IF(T1429=1,"",IF(C1429="","Missing transaction date",IF(NOT(ISNUMBER(C1429)),"Invalid date",IF(OR(C1429&lt;DATE(2000,1,1),C1429&gt;DATE(2099,12,31)),"Invalid date",IF(D1429="","Select a type",IF(U1429="","Unknown type: "&amp;D1429,IF(V1429="","Select an account (Category)",IF(ISNA(MATCH(V1429,coa_Name,0)),"Unknown account: "&amp;V1429,IF(K1429="","Select Paid From / Deposited To",IF(ISNA(MATCH(K1429,coa_Name,0)),"Unknown account: "&amp;K1429,IF(NOT(ISNUMBER(L1429)),"Enter an amount",IF(L1429=0,"Enter an amount",IF(ABS(W1429)&gt;ABS(L1429),"Tax is larger than the amount","")))))))))))))</f>
        <v/>
      </c>
      <c r="Y1429" s="67">
        <f>IF(OR(T1429=1,X1429&lt;&gt;""),"",IF(AND(B1429&lt;&gt;"",COUNTIF(tx_ID,B1429)&gt;1),"Duplicate transaction ID",IF(AND(L1429&lt;0,D1429&lt;&gt;"Adjustment"),"Negative amount — check this entry",IF(AND(D1429="Customer Payment",G1429=""),"Add the customer",IF(AND(D1429="Customer Payment",OR(J1429="",COUNTIF(ar_No,J1429&amp;"")=0)),"Invoice # in Reference not found on AR sheet",IF(AND(D1429="Bill Payment",H1429=""),"Add the vendor",IF(AND(D1429="Bill Payment",OR(J1429="",COUNTIFS(ap_No,J1429&amp;"",ap_Party,H1429&amp;"")=0)),"Bill # + vendor not found on AP sheet",IF(AND(ISNUMBER(M1429),N(M1429)&lt;&gt;0,W1429=0),"Tax ignored (tax tracking off, or not allowed for this type)",IF(V1429=K1429&amp;"","Same account on both sides",IF(AND(ISNUMBER(StartDate),C1429&lt;StartDate),"Date is before the accounting start date",IF(AND(D1429&lt;&gt;"Adjustment",IFERROR(INDEX(coa_Pay,MATCH(K1429&amp;"",coa_Name,0)),"")&lt;&gt;"Yes"),"Paid From / Deposited To is not a payment account","")))))))))))</f>
        <v/>
      </c>
      <c r="Z1429" s="67">
        <f>IF(AND(T1429=0,X1429=""),1,0)</f>
        <v/>
      </c>
      <c r="AA1429" s="68">
        <f>IF(Z1429=1,IF(U1429="In",L1429,L1429-W1429),0)</f>
        <v/>
      </c>
      <c r="AB1429" s="68">
        <f>IF(Z1429=1,IF(U1429="In",L1429-W1429,L1429),0)</f>
        <v/>
      </c>
      <c r="AC1429" s="68">
        <f>IF(AND(Z1429=1,U1429="Out"),W1429,0)</f>
        <v/>
      </c>
      <c r="AD1429" s="68">
        <f>IF(AND(Z1429=1,U1429="In"),W1429,0)</f>
        <v/>
      </c>
    </row>
    <row r="1430">
      <c r="B1430" s="62" t="inlineStr">
        <is>
          <t>TX-1424</t>
        </is>
      </c>
      <c r="C1430" s="63" t="n"/>
      <c r="D1430" s="62" t="n"/>
      <c r="E1430" s="62" t="n"/>
      <c r="F1430" s="62" t="n"/>
      <c r="G1430" s="62" t="n"/>
      <c r="H1430" s="62" t="n"/>
      <c r="I1430" s="62" t="n"/>
      <c r="J1430" s="62" t="n"/>
      <c r="K1430" s="62" t="n"/>
      <c r="L1430" s="64" t="n"/>
      <c r="M1430" s="64" t="n"/>
      <c r="N1430" s="62" t="n"/>
      <c r="O1430" s="65">
        <f>IF(Z1430=1,L1430-W1430,"")</f>
        <v/>
      </c>
      <c r="P1430" s="66">
        <f>IF(V1430="","",IFERROR(INDEX(coa_Type,MATCH(V1430,coa_Name,0)),""))</f>
        <v/>
      </c>
      <c r="Q1430" s="66">
        <f>IF(Z1430=1,IF(U1430="In",K1430&amp;"",V1430),"")</f>
        <v/>
      </c>
      <c r="R1430" s="66">
        <f>IF(Z1430=1,IF(U1430="In",V1430,K1430&amp;""),"")</f>
        <v/>
      </c>
      <c r="S1430" s="66">
        <f>IF(X1430&lt;&gt;"","⛔ "&amp;X1430&amp;" — not posted",IF(Y1430&lt;&gt;"","⚠ "&amp;Y1430,IF(Z1430=1,"✓ OK","")))</f>
        <v/>
      </c>
      <c r="T1430" s="67">
        <f>IF(AND(C1430="",D1430="",E1430="",L1430="",K1430=""),1,0)</f>
        <v/>
      </c>
      <c r="U1430" s="67">
        <f>IFERROR(INDEX(tt_Dir,MATCH(D1430,tt_Type,0)),"")</f>
        <v/>
      </c>
      <c r="V1430" s="67">
        <f>IF(D1430="","",IFERROR(IF(INDEX(tt_Other,MATCH(D1430,tt_Type,0))="",E1430&amp;"",INDEX(tt_Other,MATCH(D1430,tt_Type,0))),""))</f>
        <v/>
      </c>
      <c r="W1430" s="68">
        <f>IF(OR(TaxOn&lt;&gt;"Yes",NOT(ISNUMBER(M1430))),0,IF(IFERROR(INDEX(tt_Tax,MATCH(D1430,tt_Type,0)),"No")="Yes",M1430,0))</f>
        <v/>
      </c>
      <c r="X1430" s="67">
        <f>IF(T1430=1,"",IF(C1430="","Missing transaction date",IF(NOT(ISNUMBER(C1430)),"Invalid date",IF(OR(C1430&lt;DATE(2000,1,1),C1430&gt;DATE(2099,12,31)),"Invalid date",IF(D1430="","Select a type",IF(U1430="","Unknown type: "&amp;D1430,IF(V1430="","Select an account (Category)",IF(ISNA(MATCH(V1430,coa_Name,0)),"Unknown account: "&amp;V1430,IF(K1430="","Select Paid From / Deposited To",IF(ISNA(MATCH(K1430,coa_Name,0)),"Unknown account: "&amp;K1430,IF(NOT(ISNUMBER(L1430)),"Enter an amount",IF(L1430=0,"Enter an amount",IF(ABS(W1430)&gt;ABS(L1430),"Tax is larger than the amount","")))))))))))))</f>
        <v/>
      </c>
      <c r="Y1430" s="67">
        <f>IF(OR(T1430=1,X1430&lt;&gt;""),"",IF(AND(B1430&lt;&gt;"",COUNTIF(tx_ID,B1430)&gt;1),"Duplicate transaction ID",IF(AND(L1430&lt;0,D1430&lt;&gt;"Adjustment"),"Negative amount — check this entry",IF(AND(D1430="Customer Payment",G1430=""),"Add the customer",IF(AND(D1430="Customer Payment",OR(J1430="",COUNTIF(ar_No,J1430&amp;"")=0)),"Invoice # in Reference not found on AR sheet",IF(AND(D1430="Bill Payment",H1430=""),"Add the vendor",IF(AND(D1430="Bill Payment",OR(J1430="",COUNTIFS(ap_No,J1430&amp;"",ap_Party,H1430&amp;"")=0)),"Bill # + vendor not found on AP sheet",IF(AND(ISNUMBER(M1430),N(M1430)&lt;&gt;0,W1430=0),"Tax ignored (tax tracking off, or not allowed for this type)",IF(V1430=K1430&amp;"","Same account on both sides",IF(AND(ISNUMBER(StartDate),C1430&lt;StartDate),"Date is before the accounting start date",IF(AND(D1430&lt;&gt;"Adjustment",IFERROR(INDEX(coa_Pay,MATCH(K1430&amp;"",coa_Name,0)),"")&lt;&gt;"Yes"),"Paid From / Deposited To is not a payment account","")))))))))))</f>
        <v/>
      </c>
      <c r="Z1430" s="67">
        <f>IF(AND(T1430=0,X1430=""),1,0)</f>
        <v/>
      </c>
      <c r="AA1430" s="68">
        <f>IF(Z1430=1,IF(U1430="In",L1430,L1430-W1430),0)</f>
        <v/>
      </c>
      <c r="AB1430" s="68">
        <f>IF(Z1430=1,IF(U1430="In",L1430-W1430,L1430),0)</f>
        <v/>
      </c>
      <c r="AC1430" s="68">
        <f>IF(AND(Z1430=1,U1430="Out"),W1430,0)</f>
        <v/>
      </c>
      <c r="AD1430" s="68">
        <f>IF(AND(Z1430=1,U1430="In"),W1430,0)</f>
        <v/>
      </c>
    </row>
    <row r="1431">
      <c r="B1431" s="62" t="inlineStr">
        <is>
          <t>TX-1425</t>
        </is>
      </c>
      <c r="C1431" s="63" t="n"/>
      <c r="D1431" s="62" t="n"/>
      <c r="E1431" s="62" t="n"/>
      <c r="F1431" s="62" t="n"/>
      <c r="G1431" s="62" t="n"/>
      <c r="H1431" s="62" t="n"/>
      <c r="I1431" s="62" t="n"/>
      <c r="J1431" s="62" t="n"/>
      <c r="K1431" s="62" t="n"/>
      <c r="L1431" s="64" t="n"/>
      <c r="M1431" s="64" t="n"/>
      <c r="N1431" s="62" t="n"/>
      <c r="O1431" s="65">
        <f>IF(Z1431=1,L1431-W1431,"")</f>
        <v/>
      </c>
      <c r="P1431" s="66">
        <f>IF(V1431="","",IFERROR(INDEX(coa_Type,MATCH(V1431,coa_Name,0)),""))</f>
        <v/>
      </c>
      <c r="Q1431" s="66">
        <f>IF(Z1431=1,IF(U1431="In",K1431&amp;"",V1431),"")</f>
        <v/>
      </c>
      <c r="R1431" s="66">
        <f>IF(Z1431=1,IF(U1431="In",V1431,K1431&amp;""),"")</f>
        <v/>
      </c>
      <c r="S1431" s="66">
        <f>IF(X1431&lt;&gt;"","⛔ "&amp;X1431&amp;" — not posted",IF(Y1431&lt;&gt;"","⚠ "&amp;Y1431,IF(Z1431=1,"✓ OK","")))</f>
        <v/>
      </c>
      <c r="T1431" s="67">
        <f>IF(AND(C1431="",D1431="",E1431="",L1431="",K1431=""),1,0)</f>
        <v/>
      </c>
      <c r="U1431" s="67">
        <f>IFERROR(INDEX(tt_Dir,MATCH(D1431,tt_Type,0)),"")</f>
        <v/>
      </c>
      <c r="V1431" s="67">
        <f>IF(D1431="","",IFERROR(IF(INDEX(tt_Other,MATCH(D1431,tt_Type,0))="",E1431&amp;"",INDEX(tt_Other,MATCH(D1431,tt_Type,0))),""))</f>
        <v/>
      </c>
      <c r="W1431" s="68">
        <f>IF(OR(TaxOn&lt;&gt;"Yes",NOT(ISNUMBER(M1431))),0,IF(IFERROR(INDEX(tt_Tax,MATCH(D1431,tt_Type,0)),"No")="Yes",M1431,0))</f>
        <v/>
      </c>
      <c r="X1431" s="67">
        <f>IF(T1431=1,"",IF(C1431="","Missing transaction date",IF(NOT(ISNUMBER(C1431)),"Invalid date",IF(OR(C1431&lt;DATE(2000,1,1),C1431&gt;DATE(2099,12,31)),"Invalid date",IF(D1431="","Select a type",IF(U1431="","Unknown type: "&amp;D1431,IF(V1431="","Select an account (Category)",IF(ISNA(MATCH(V1431,coa_Name,0)),"Unknown account: "&amp;V1431,IF(K1431="","Select Paid From / Deposited To",IF(ISNA(MATCH(K1431,coa_Name,0)),"Unknown account: "&amp;K1431,IF(NOT(ISNUMBER(L1431)),"Enter an amount",IF(L1431=0,"Enter an amount",IF(ABS(W1431)&gt;ABS(L1431),"Tax is larger than the amount","")))))))))))))</f>
        <v/>
      </c>
      <c r="Y1431" s="67">
        <f>IF(OR(T1431=1,X1431&lt;&gt;""),"",IF(AND(B1431&lt;&gt;"",COUNTIF(tx_ID,B1431)&gt;1),"Duplicate transaction ID",IF(AND(L1431&lt;0,D1431&lt;&gt;"Adjustment"),"Negative amount — check this entry",IF(AND(D1431="Customer Payment",G1431=""),"Add the customer",IF(AND(D1431="Customer Payment",OR(J1431="",COUNTIF(ar_No,J1431&amp;"")=0)),"Invoice # in Reference not found on AR sheet",IF(AND(D1431="Bill Payment",H1431=""),"Add the vendor",IF(AND(D1431="Bill Payment",OR(J1431="",COUNTIFS(ap_No,J1431&amp;"",ap_Party,H1431&amp;"")=0)),"Bill # + vendor not found on AP sheet",IF(AND(ISNUMBER(M1431),N(M1431)&lt;&gt;0,W1431=0),"Tax ignored (tax tracking off, or not allowed for this type)",IF(V1431=K1431&amp;"","Same account on both sides",IF(AND(ISNUMBER(StartDate),C1431&lt;StartDate),"Date is before the accounting start date",IF(AND(D1431&lt;&gt;"Adjustment",IFERROR(INDEX(coa_Pay,MATCH(K1431&amp;"",coa_Name,0)),"")&lt;&gt;"Yes"),"Paid From / Deposited To is not a payment account","")))))))))))</f>
        <v/>
      </c>
      <c r="Z1431" s="67">
        <f>IF(AND(T1431=0,X1431=""),1,0)</f>
        <v/>
      </c>
      <c r="AA1431" s="68">
        <f>IF(Z1431=1,IF(U1431="In",L1431,L1431-W1431),0)</f>
        <v/>
      </c>
      <c r="AB1431" s="68">
        <f>IF(Z1431=1,IF(U1431="In",L1431-W1431,L1431),0)</f>
        <v/>
      </c>
      <c r="AC1431" s="68">
        <f>IF(AND(Z1431=1,U1431="Out"),W1431,0)</f>
        <v/>
      </c>
      <c r="AD1431" s="68">
        <f>IF(AND(Z1431=1,U1431="In"),W1431,0)</f>
        <v/>
      </c>
    </row>
    <row r="1432">
      <c r="B1432" s="62" t="inlineStr">
        <is>
          <t>TX-1426</t>
        </is>
      </c>
      <c r="C1432" s="63" t="n"/>
      <c r="D1432" s="62" t="n"/>
      <c r="E1432" s="62" t="n"/>
      <c r="F1432" s="62" t="n"/>
      <c r="G1432" s="62" t="n"/>
      <c r="H1432" s="62" t="n"/>
      <c r="I1432" s="62" t="n"/>
      <c r="J1432" s="62" t="n"/>
      <c r="K1432" s="62" t="n"/>
      <c r="L1432" s="64" t="n"/>
      <c r="M1432" s="64" t="n"/>
      <c r="N1432" s="62" t="n"/>
      <c r="O1432" s="65">
        <f>IF(Z1432=1,L1432-W1432,"")</f>
        <v/>
      </c>
      <c r="P1432" s="66">
        <f>IF(V1432="","",IFERROR(INDEX(coa_Type,MATCH(V1432,coa_Name,0)),""))</f>
        <v/>
      </c>
      <c r="Q1432" s="66">
        <f>IF(Z1432=1,IF(U1432="In",K1432&amp;"",V1432),"")</f>
        <v/>
      </c>
      <c r="R1432" s="66">
        <f>IF(Z1432=1,IF(U1432="In",V1432,K1432&amp;""),"")</f>
        <v/>
      </c>
      <c r="S1432" s="66">
        <f>IF(X1432&lt;&gt;"","⛔ "&amp;X1432&amp;" — not posted",IF(Y1432&lt;&gt;"","⚠ "&amp;Y1432,IF(Z1432=1,"✓ OK","")))</f>
        <v/>
      </c>
      <c r="T1432" s="67">
        <f>IF(AND(C1432="",D1432="",E1432="",L1432="",K1432=""),1,0)</f>
        <v/>
      </c>
      <c r="U1432" s="67">
        <f>IFERROR(INDEX(tt_Dir,MATCH(D1432,tt_Type,0)),"")</f>
        <v/>
      </c>
      <c r="V1432" s="67">
        <f>IF(D1432="","",IFERROR(IF(INDEX(tt_Other,MATCH(D1432,tt_Type,0))="",E1432&amp;"",INDEX(tt_Other,MATCH(D1432,tt_Type,0))),""))</f>
        <v/>
      </c>
      <c r="W1432" s="68">
        <f>IF(OR(TaxOn&lt;&gt;"Yes",NOT(ISNUMBER(M1432))),0,IF(IFERROR(INDEX(tt_Tax,MATCH(D1432,tt_Type,0)),"No")="Yes",M1432,0))</f>
        <v/>
      </c>
      <c r="X1432" s="67">
        <f>IF(T1432=1,"",IF(C1432="","Missing transaction date",IF(NOT(ISNUMBER(C1432)),"Invalid date",IF(OR(C1432&lt;DATE(2000,1,1),C1432&gt;DATE(2099,12,31)),"Invalid date",IF(D1432="","Select a type",IF(U1432="","Unknown type: "&amp;D1432,IF(V1432="","Select an account (Category)",IF(ISNA(MATCH(V1432,coa_Name,0)),"Unknown account: "&amp;V1432,IF(K1432="","Select Paid From / Deposited To",IF(ISNA(MATCH(K1432,coa_Name,0)),"Unknown account: "&amp;K1432,IF(NOT(ISNUMBER(L1432)),"Enter an amount",IF(L1432=0,"Enter an amount",IF(ABS(W1432)&gt;ABS(L1432),"Tax is larger than the amount","")))))))))))))</f>
        <v/>
      </c>
      <c r="Y1432" s="67">
        <f>IF(OR(T1432=1,X1432&lt;&gt;""),"",IF(AND(B1432&lt;&gt;"",COUNTIF(tx_ID,B1432)&gt;1),"Duplicate transaction ID",IF(AND(L1432&lt;0,D1432&lt;&gt;"Adjustment"),"Negative amount — check this entry",IF(AND(D1432="Customer Payment",G1432=""),"Add the customer",IF(AND(D1432="Customer Payment",OR(J1432="",COUNTIF(ar_No,J1432&amp;"")=0)),"Invoice # in Reference not found on AR sheet",IF(AND(D1432="Bill Payment",H1432=""),"Add the vendor",IF(AND(D1432="Bill Payment",OR(J1432="",COUNTIFS(ap_No,J1432&amp;"",ap_Party,H1432&amp;"")=0)),"Bill # + vendor not found on AP sheet",IF(AND(ISNUMBER(M1432),N(M1432)&lt;&gt;0,W1432=0),"Tax ignored (tax tracking off, or not allowed for this type)",IF(V1432=K1432&amp;"","Same account on both sides",IF(AND(ISNUMBER(StartDate),C1432&lt;StartDate),"Date is before the accounting start date",IF(AND(D1432&lt;&gt;"Adjustment",IFERROR(INDEX(coa_Pay,MATCH(K1432&amp;"",coa_Name,0)),"")&lt;&gt;"Yes"),"Paid From / Deposited To is not a payment account","")))))))))))</f>
        <v/>
      </c>
      <c r="Z1432" s="67">
        <f>IF(AND(T1432=0,X1432=""),1,0)</f>
        <v/>
      </c>
      <c r="AA1432" s="68">
        <f>IF(Z1432=1,IF(U1432="In",L1432,L1432-W1432),0)</f>
        <v/>
      </c>
      <c r="AB1432" s="68">
        <f>IF(Z1432=1,IF(U1432="In",L1432-W1432,L1432),0)</f>
        <v/>
      </c>
      <c r="AC1432" s="68">
        <f>IF(AND(Z1432=1,U1432="Out"),W1432,0)</f>
        <v/>
      </c>
      <c r="AD1432" s="68">
        <f>IF(AND(Z1432=1,U1432="In"),W1432,0)</f>
        <v/>
      </c>
    </row>
    <row r="1433">
      <c r="B1433" s="62" t="inlineStr">
        <is>
          <t>TX-1427</t>
        </is>
      </c>
      <c r="C1433" s="63" t="n"/>
      <c r="D1433" s="62" t="n"/>
      <c r="E1433" s="62" t="n"/>
      <c r="F1433" s="62" t="n"/>
      <c r="G1433" s="62" t="n"/>
      <c r="H1433" s="62" t="n"/>
      <c r="I1433" s="62" t="n"/>
      <c r="J1433" s="62" t="n"/>
      <c r="K1433" s="62" t="n"/>
      <c r="L1433" s="64" t="n"/>
      <c r="M1433" s="64" t="n"/>
      <c r="N1433" s="62" t="n"/>
      <c r="O1433" s="65">
        <f>IF(Z1433=1,L1433-W1433,"")</f>
        <v/>
      </c>
      <c r="P1433" s="66">
        <f>IF(V1433="","",IFERROR(INDEX(coa_Type,MATCH(V1433,coa_Name,0)),""))</f>
        <v/>
      </c>
      <c r="Q1433" s="66">
        <f>IF(Z1433=1,IF(U1433="In",K1433&amp;"",V1433),"")</f>
        <v/>
      </c>
      <c r="R1433" s="66">
        <f>IF(Z1433=1,IF(U1433="In",V1433,K1433&amp;""),"")</f>
        <v/>
      </c>
      <c r="S1433" s="66">
        <f>IF(X1433&lt;&gt;"","⛔ "&amp;X1433&amp;" — not posted",IF(Y1433&lt;&gt;"","⚠ "&amp;Y1433,IF(Z1433=1,"✓ OK","")))</f>
        <v/>
      </c>
      <c r="T1433" s="67">
        <f>IF(AND(C1433="",D1433="",E1433="",L1433="",K1433=""),1,0)</f>
        <v/>
      </c>
      <c r="U1433" s="67">
        <f>IFERROR(INDEX(tt_Dir,MATCH(D1433,tt_Type,0)),"")</f>
        <v/>
      </c>
      <c r="V1433" s="67">
        <f>IF(D1433="","",IFERROR(IF(INDEX(tt_Other,MATCH(D1433,tt_Type,0))="",E1433&amp;"",INDEX(tt_Other,MATCH(D1433,tt_Type,0))),""))</f>
        <v/>
      </c>
      <c r="W1433" s="68">
        <f>IF(OR(TaxOn&lt;&gt;"Yes",NOT(ISNUMBER(M1433))),0,IF(IFERROR(INDEX(tt_Tax,MATCH(D1433,tt_Type,0)),"No")="Yes",M1433,0))</f>
        <v/>
      </c>
      <c r="X1433" s="67">
        <f>IF(T1433=1,"",IF(C1433="","Missing transaction date",IF(NOT(ISNUMBER(C1433)),"Invalid date",IF(OR(C1433&lt;DATE(2000,1,1),C1433&gt;DATE(2099,12,31)),"Invalid date",IF(D1433="","Select a type",IF(U1433="","Unknown type: "&amp;D1433,IF(V1433="","Select an account (Category)",IF(ISNA(MATCH(V1433,coa_Name,0)),"Unknown account: "&amp;V1433,IF(K1433="","Select Paid From / Deposited To",IF(ISNA(MATCH(K1433,coa_Name,0)),"Unknown account: "&amp;K1433,IF(NOT(ISNUMBER(L1433)),"Enter an amount",IF(L1433=0,"Enter an amount",IF(ABS(W1433)&gt;ABS(L1433),"Tax is larger than the amount","")))))))))))))</f>
        <v/>
      </c>
      <c r="Y1433" s="67">
        <f>IF(OR(T1433=1,X1433&lt;&gt;""),"",IF(AND(B1433&lt;&gt;"",COUNTIF(tx_ID,B1433)&gt;1),"Duplicate transaction ID",IF(AND(L1433&lt;0,D1433&lt;&gt;"Adjustment"),"Negative amount — check this entry",IF(AND(D1433="Customer Payment",G1433=""),"Add the customer",IF(AND(D1433="Customer Payment",OR(J1433="",COUNTIF(ar_No,J1433&amp;"")=0)),"Invoice # in Reference not found on AR sheet",IF(AND(D1433="Bill Payment",H1433=""),"Add the vendor",IF(AND(D1433="Bill Payment",OR(J1433="",COUNTIFS(ap_No,J1433&amp;"",ap_Party,H1433&amp;"")=0)),"Bill # + vendor not found on AP sheet",IF(AND(ISNUMBER(M1433),N(M1433)&lt;&gt;0,W1433=0),"Tax ignored (tax tracking off, or not allowed for this type)",IF(V1433=K1433&amp;"","Same account on both sides",IF(AND(ISNUMBER(StartDate),C1433&lt;StartDate),"Date is before the accounting start date",IF(AND(D1433&lt;&gt;"Adjustment",IFERROR(INDEX(coa_Pay,MATCH(K1433&amp;"",coa_Name,0)),"")&lt;&gt;"Yes"),"Paid From / Deposited To is not a payment account","")))))))))))</f>
        <v/>
      </c>
      <c r="Z1433" s="67">
        <f>IF(AND(T1433=0,X1433=""),1,0)</f>
        <v/>
      </c>
      <c r="AA1433" s="68">
        <f>IF(Z1433=1,IF(U1433="In",L1433,L1433-W1433),0)</f>
        <v/>
      </c>
      <c r="AB1433" s="68">
        <f>IF(Z1433=1,IF(U1433="In",L1433-W1433,L1433),0)</f>
        <v/>
      </c>
      <c r="AC1433" s="68">
        <f>IF(AND(Z1433=1,U1433="Out"),W1433,0)</f>
        <v/>
      </c>
      <c r="AD1433" s="68">
        <f>IF(AND(Z1433=1,U1433="In"),W1433,0)</f>
        <v/>
      </c>
    </row>
    <row r="1434">
      <c r="B1434" s="62" t="inlineStr">
        <is>
          <t>TX-1428</t>
        </is>
      </c>
      <c r="C1434" s="63" t="n"/>
      <c r="D1434" s="62" t="n"/>
      <c r="E1434" s="62" t="n"/>
      <c r="F1434" s="62" t="n"/>
      <c r="G1434" s="62" t="n"/>
      <c r="H1434" s="62" t="n"/>
      <c r="I1434" s="62" t="n"/>
      <c r="J1434" s="62" t="n"/>
      <c r="K1434" s="62" t="n"/>
      <c r="L1434" s="64" t="n"/>
      <c r="M1434" s="64" t="n"/>
      <c r="N1434" s="62" t="n"/>
      <c r="O1434" s="65">
        <f>IF(Z1434=1,L1434-W1434,"")</f>
        <v/>
      </c>
      <c r="P1434" s="66">
        <f>IF(V1434="","",IFERROR(INDEX(coa_Type,MATCH(V1434,coa_Name,0)),""))</f>
        <v/>
      </c>
      <c r="Q1434" s="66">
        <f>IF(Z1434=1,IF(U1434="In",K1434&amp;"",V1434),"")</f>
        <v/>
      </c>
      <c r="R1434" s="66">
        <f>IF(Z1434=1,IF(U1434="In",V1434,K1434&amp;""),"")</f>
        <v/>
      </c>
      <c r="S1434" s="66">
        <f>IF(X1434&lt;&gt;"","⛔ "&amp;X1434&amp;" — not posted",IF(Y1434&lt;&gt;"","⚠ "&amp;Y1434,IF(Z1434=1,"✓ OK","")))</f>
        <v/>
      </c>
      <c r="T1434" s="67">
        <f>IF(AND(C1434="",D1434="",E1434="",L1434="",K1434=""),1,0)</f>
        <v/>
      </c>
      <c r="U1434" s="67">
        <f>IFERROR(INDEX(tt_Dir,MATCH(D1434,tt_Type,0)),"")</f>
        <v/>
      </c>
      <c r="V1434" s="67">
        <f>IF(D1434="","",IFERROR(IF(INDEX(tt_Other,MATCH(D1434,tt_Type,0))="",E1434&amp;"",INDEX(tt_Other,MATCH(D1434,tt_Type,0))),""))</f>
        <v/>
      </c>
      <c r="W1434" s="68">
        <f>IF(OR(TaxOn&lt;&gt;"Yes",NOT(ISNUMBER(M1434))),0,IF(IFERROR(INDEX(tt_Tax,MATCH(D1434,tt_Type,0)),"No")="Yes",M1434,0))</f>
        <v/>
      </c>
      <c r="X1434" s="67">
        <f>IF(T1434=1,"",IF(C1434="","Missing transaction date",IF(NOT(ISNUMBER(C1434)),"Invalid date",IF(OR(C1434&lt;DATE(2000,1,1),C1434&gt;DATE(2099,12,31)),"Invalid date",IF(D1434="","Select a type",IF(U1434="","Unknown type: "&amp;D1434,IF(V1434="","Select an account (Category)",IF(ISNA(MATCH(V1434,coa_Name,0)),"Unknown account: "&amp;V1434,IF(K1434="","Select Paid From / Deposited To",IF(ISNA(MATCH(K1434,coa_Name,0)),"Unknown account: "&amp;K1434,IF(NOT(ISNUMBER(L1434)),"Enter an amount",IF(L1434=0,"Enter an amount",IF(ABS(W1434)&gt;ABS(L1434),"Tax is larger than the amount","")))))))))))))</f>
        <v/>
      </c>
      <c r="Y1434" s="67">
        <f>IF(OR(T1434=1,X1434&lt;&gt;""),"",IF(AND(B1434&lt;&gt;"",COUNTIF(tx_ID,B1434)&gt;1),"Duplicate transaction ID",IF(AND(L1434&lt;0,D1434&lt;&gt;"Adjustment"),"Negative amount — check this entry",IF(AND(D1434="Customer Payment",G1434=""),"Add the customer",IF(AND(D1434="Customer Payment",OR(J1434="",COUNTIF(ar_No,J1434&amp;"")=0)),"Invoice # in Reference not found on AR sheet",IF(AND(D1434="Bill Payment",H1434=""),"Add the vendor",IF(AND(D1434="Bill Payment",OR(J1434="",COUNTIFS(ap_No,J1434&amp;"",ap_Party,H1434&amp;"")=0)),"Bill # + vendor not found on AP sheet",IF(AND(ISNUMBER(M1434),N(M1434)&lt;&gt;0,W1434=0),"Tax ignored (tax tracking off, or not allowed for this type)",IF(V1434=K1434&amp;"","Same account on both sides",IF(AND(ISNUMBER(StartDate),C1434&lt;StartDate),"Date is before the accounting start date",IF(AND(D1434&lt;&gt;"Adjustment",IFERROR(INDEX(coa_Pay,MATCH(K1434&amp;"",coa_Name,0)),"")&lt;&gt;"Yes"),"Paid From / Deposited To is not a payment account","")))))))))))</f>
        <v/>
      </c>
      <c r="Z1434" s="67">
        <f>IF(AND(T1434=0,X1434=""),1,0)</f>
        <v/>
      </c>
      <c r="AA1434" s="68">
        <f>IF(Z1434=1,IF(U1434="In",L1434,L1434-W1434),0)</f>
        <v/>
      </c>
      <c r="AB1434" s="68">
        <f>IF(Z1434=1,IF(U1434="In",L1434-W1434,L1434),0)</f>
        <v/>
      </c>
      <c r="AC1434" s="68">
        <f>IF(AND(Z1434=1,U1434="Out"),W1434,0)</f>
        <v/>
      </c>
      <c r="AD1434" s="68">
        <f>IF(AND(Z1434=1,U1434="In"),W1434,0)</f>
        <v/>
      </c>
    </row>
    <row r="1435">
      <c r="B1435" s="62" t="inlineStr">
        <is>
          <t>TX-1429</t>
        </is>
      </c>
      <c r="C1435" s="63" t="n"/>
      <c r="D1435" s="62" t="n"/>
      <c r="E1435" s="62" t="n"/>
      <c r="F1435" s="62" t="n"/>
      <c r="G1435" s="62" t="n"/>
      <c r="H1435" s="62" t="n"/>
      <c r="I1435" s="62" t="n"/>
      <c r="J1435" s="62" t="n"/>
      <c r="K1435" s="62" t="n"/>
      <c r="L1435" s="64" t="n"/>
      <c r="M1435" s="64" t="n"/>
      <c r="N1435" s="62" t="n"/>
      <c r="O1435" s="65">
        <f>IF(Z1435=1,L1435-W1435,"")</f>
        <v/>
      </c>
      <c r="P1435" s="66">
        <f>IF(V1435="","",IFERROR(INDEX(coa_Type,MATCH(V1435,coa_Name,0)),""))</f>
        <v/>
      </c>
      <c r="Q1435" s="66">
        <f>IF(Z1435=1,IF(U1435="In",K1435&amp;"",V1435),"")</f>
        <v/>
      </c>
      <c r="R1435" s="66">
        <f>IF(Z1435=1,IF(U1435="In",V1435,K1435&amp;""),"")</f>
        <v/>
      </c>
      <c r="S1435" s="66">
        <f>IF(X1435&lt;&gt;"","⛔ "&amp;X1435&amp;" — not posted",IF(Y1435&lt;&gt;"","⚠ "&amp;Y1435,IF(Z1435=1,"✓ OK","")))</f>
        <v/>
      </c>
      <c r="T1435" s="67">
        <f>IF(AND(C1435="",D1435="",E1435="",L1435="",K1435=""),1,0)</f>
        <v/>
      </c>
      <c r="U1435" s="67">
        <f>IFERROR(INDEX(tt_Dir,MATCH(D1435,tt_Type,0)),"")</f>
        <v/>
      </c>
      <c r="V1435" s="67">
        <f>IF(D1435="","",IFERROR(IF(INDEX(tt_Other,MATCH(D1435,tt_Type,0))="",E1435&amp;"",INDEX(tt_Other,MATCH(D1435,tt_Type,0))),""))</f>
        <v/>
      </c>
      <c r="W1435" s="68">
        <f>IF(OR(TaxOn&lt;&gt;"Yes",NOT(ISNUMBER(M1435))),0,IF(IFERROR(INDEX(tt_Tax,MATCH(D1435,tt_Type,0)),"No")="Yes",M1435,0))</f>
        <v/>
      </c>
      <c r="X1435" s="67">
        <f>IF(T1435=1,"",IF(C1435="","Missing transaction date",IF(NOT(ISNUMBER(C1435)),"Invalid date",IF(OR(C1435&lt;DATE(2000,1,1),C1435&gt;DATE(2099,12,31)),"Invalid date",IF(D1435="","Select a type",IF(U1435="","Unknown type: "&amp;D1435,IF(V1435="","Select an account (Category)",IF(ISNA(MATCH(V1435,coa_Name,0)),"Unknown account: "&amp;V1435,IF(K1435="","Select Paid From / Deposited To",IF(ISNA(MATCH(K1435,coa_Name,0)),"Unknown account: "&amp;K1435,IF(NOT(ISNUMBER(L1435)),"Enter an amount",IF(L1435=0,"Enter an amount",IF(ABS(W1435)&gt;ABS(L1435),"Tax is larger than the amount","")))))))))))))</f>
        <v/>
      </c>
      <c r="Y1435" s="67">
        <f>IF(OR(T1435=1,X1435&lt;&gt;""),"",IF(AND(B1435&lt;&gt;"",COUNTIF(tx_ID,B1435)&gt;1),"Duplicate transaction ID",IF(AND(L1435&lt;0,D1435&lt;&gt;"Adjustment"),"Negative amount — check this entry",IF(AND(D1435="Customer Payment",G1435=""),"Add the customer",IF(AND(D1435="Customer Payment",OR(J1435="",COUNTIF(ar_No,J1435&amp;"")=0)),"Invoice # in Reference not found on AR sheet",IF(AND(D1435="Bill Payment",H1435=""),"Add the vendor",IF(AND(D1435="Bill Payment",OR(J1435="",COUNTIFS(ap_No,J1435&amp;"",ap_Party,H1435&amp;"")=0)),"Bill # + vendor not found on AP sheet",IF(AND(ISNUMBER(M1435),N(M1435)&lt;&gt;0,W1435=0),"Tax ignored (tax tracking off, or not allowed for this type)",IF(V1435=K1435&amp;"","Same account on both sides",IF(AND(ISNUMBER(StartDate),C1435&lt;StartDate),"Date is before the accounting start date",IF(AND(D1435&lt;&gt;"Adjustment",IFERROR(INDEX(coa_Pay,MATCH(K1435&amp;"",coa_Name,0)),"")&lt;&gt;"Yes"),"Paid From / Deposited To is not a payment account","")))))))))))</f>
        <v/>
      </c>
      <c r="Z1435" s="67">
        <f>IF(AND(T1435=0,X1435=""),1,0)</f>
        <v/>
      </c>
      <c r="AA1435" s="68">
        <f>IF(Z1435=1,IF(U1435="In",L1435,L1435-W1435),0)</f>
        <v/>
      </c>
      <c r="AB1435" s="68">
        <f>IF(Z1435=1,IF(U1435="In",L1435-W1435,L1435),0)</f>
        <v/>
      </c>
      <c r="AC1435" s="68">
        <f>IF(AND(Z1435=1,U1435="Out"),W1435,0)</f>
        <v/>
      </c>
      <c r="AD1435" s="68">
        <f>IF(AND(Z1435=1,U1435="In"),W1435,0)</f>
        <v/>
      </c>
    </row>
    <row r="1436">
      <c r="B1436" s="62" t="inlineStr">
        <is>
          <t>TX-1430</t>
        </is>
      </c>
      <c r="C1436" s="63" t="n"/>
      <c r="D1436" s="62" t="n"/>
      <c r="E1436" s="62" t="n"/>
      <c r="F1436" s="62" t="n"/>
      <c r="G1436" s="62" t="n"/>
      <c r="H1436" s="62" t="n"/>
      <c r="I1436" s="62" t="n"/>
      <c r="J1436" s="62" t="n"/>
      <c r="K1436" s="62" t="n"/>
      <c r="L1436" s="64" t="n"/>
      <c r="M1436" s="64" t="n"/>
      <c r="N1436" s="62" t="n"/>
      <c r="O1436" s="65">
        <f>IF(Z1436=1,L1436-W1436,"")</f>
        <v/>
      </c>
      <c r="P1436" s="66">
        <f>IF(V1436="","",IFERROR(INDEX(coa_Type,MATCH(V1436,coa_Name,0)),""))</f>
        <v/>
      </c>
      <c r="Q1436" s="66">
        <f>IF(Z1436=1,IF(U1436="In",K1436&amp;"",V1436),"")</f>
        <v/>
      </c>
      <c r="R1436" s="66">
        <f>IF(Z1436=1,IF(U1436="In",V1436,K1436&amp;""),"")</f>
        <v/>
      </c>
      <c r="S1436" s="66">
        <f>IF(X1436&lt;&gt;"","⛔ "&amp;X1436&amp;" — not posted",IF(Y1436&lt;&gt;"","⚠ "&amp;Y1436,IF(Z1436=1,"✓ OK","")))</f>
        <v/>
      </c>
      <c r="T1436" s="67">
        <f>IF(AND(C1436="",D1436="",E1436="",L1436="",K1436=""),1,0)</f>
        <v/>
      </c>
      <c r="U1436" s="67">
        <f>IFERROR(INDEX(tt_Dir,MATCH(D1436,tt_Type,0)),"")</f>
        <v/>
      </c>
      <c r="V1436" s="67">
        <f>IF(D1436="","",IFERROR(IF(INDEX(tt_Other,MATCH(D1436,tt_Type,0))="",E1436&amp;"",INDEX(tt_Other,MATCH(D1436,tt_Type,0))),""))</f>
        <v/>
      </c>
      <c r="W1436" s="68">
        <f>IF(OR(TaxOn&lt;&gt;"Yes",NOT(ISNUMBER(M1436))),0,IF(IFERROR(INDEX(tt_Tax,MATCH(D1436,tt_Type,0)),"No")="Yes",M1436,0))</f>
        <v/>
      </c>
      <c r="X1436" s="67">
        <f>IF(T1436=1,"",IF(C1436="","Missing transaction date",IF(NOT(ISNUMBER(C1436)),"Invalid date",IF(OR(C1436&lt;DATE(2000,1,1),C1436&gt;DATE(2099,12,31)),"Invalid date",IF(D1436="","Select a type",IF(U1436="","Unknown type: "&amp;D1436,IF(V1436="","Select an account (Category)",IF(ISNA(MATCH(V1436,coa_Name,0)),"Unknown account: "&amp;V1436,IF(K1436="","Select Paid From / Deposited To",IF(ISNA(MATCH(K1436,coa_Name,0)),"Unknown account: "&amp;K1436,IF(NOT(ISNUMBER(L1436)),"Enter an amount",IF(L1436=0,"Enter an amount",IF(ABS(W1436)&gt;ABS(L1436),"Tax is larger than the amount","")))))))))))))</f>
        <v/>
      </c>
      <c r="Y1436" s="67">
        <f>IF(OR(T1436=1,X1436&lt;&gt;""),"",IF(AND(B1436&lt;&gt;"",COUNTIF(tx_ID,B1436)&gt;1),"Duplicate transaction ID",IF(AND(L1436&lt;0,D1436&lt;&gt;"Adjustment"),"Negative amount — check this entry",IF(AND(D1436="Customer Payment",G1436=""),"Add the customer",IF(AND(D1436="Customer Payment",OR(J1436="",COUNTIF(ar_No,J1436&amp;"")=0)),"Invoice # in Reference not found on AR sheet",IF(AND(D1436="Bill Payment",H1436=""),"Add the vendor",IF(AND(D1436="Bill Payment",OR(J1436="",COUNTIFS(ap_No,J1436&amp;"",ap_Party,H1436&amp;"")=0)),"Bill # + vendor not found on AP sheet",IF(AND(ISNUMBER(M1436),N(M1436)&lt;&gt;0,W1436=0),"Tax ignored (tax tracking off, or not allowed for this type)",IF(V1436=K1436&amp;"","Same account on both sides",IF(AND(ISNUMBER(StartDate),C1436&lt;StartDate),"Date is before the accounting start date",IF(AND(D1436&lt;&gt;"Adjustment",IFERROR(INDEX(coa_Pay,MATCH(K1436&amp;"",coa_Name,0)),"")&lt;&gt;"Yes"),"Paid From / Deposited To is not a payment account","")))))))))))</f>
        <v/>
      </c>
      <c r="Z1436" s="67">
        <f>IF(AND(T1436=0,X1436=""),1,0)</f>
        <v/>
      </c>
      <c r="AA1436" s="68">
        <f>IF(Z1436=1,IF(U1436="In",L1436,L1436-W1436),0)</f>
        <v/>
      </c>
      <c r="AB1436" s="68">
        <f>IF(Z1436=1,IF(U1436="In",L1436-W1436,L1436),0)</f>
        <v/>
      </c>
      <c r="AC1436" s="68">
        <f>IF(AND(Z1436=1,U1436="Out"),W1436,0)</f>
        <v/>
      </c>
      <c r="AD1436" s="68">
        <f>IF(AND(Z1436=1,U1436="In"),W1436,0)</f>
        <v/>
      </c>
    </row>
    <row r="1437">
      <c r="B1437" s="62" t="inlineStr">
        <is>
          <t>TX-1431</t>
        </is>
      </c>
      <c r="C1437" s="63" t="n"/>
      <c r="D1437" s="62" t="n"/>
      <c r="E1437" s="62" t="n"/>
      <c r="F1437" s="62" t="n"/>
      <c r="G1437" s="62" t="n"/>
      <c r="H1437" s="62" t="n"/>
      <c r="I1437" s="62" t="n"/>
      <c r="J1437" s="62" t="n"/>
      <c r="K1437" s="62" t="n"/>
      <c r="L1437" s="64" t="n"/>
      <c r="M1437" s="64" t="n"/>
      <c r="N1437" s="62" t="n"/>
      <c r="O1437" s="65">
        <f>IF(Z1437=1,L1437-W1437,"")</f>
        <v/>
      </c>
      <c r="P1437" s="66">
        <f>IF(V1437="","",IFERROR(INDEX(coa_Type,MATCH(V1437,coa_Name,0)),""))</f>
        <v/>
      </c>
      <c r="Q1437" s="66">
        <f>IF(Z1437=1,IF(U1437="In",K1437&amp;"",V1437),"")</f>
        <v/>
      </c>
      <c r="R1437" s="66">
        <f>IF(Z1437=1,IF(U1437="In",V1437,K1437&amp;""),"")</f>
        <v/>
      </c>
      <c r="S1437" s="66">
        <f>IF(X1437&lt;&gt;"","⛔ "&amp;X1437&amp;" — not posted",IF(Y1437&lt;&gt;"","⚠ "&amp;Y1437,IF(Z1437=1,"✓ OK","")))</f>
        <v/>
      </c>
      <c r="T1437" s="67">
        <f>IF(AND(C1437="",D1437="",E1437="",L1437="",K1437=""),1,0)</f>
        <v/>
      </c>
      <c r="U1437" s="67">
        <f>IFERROR(INDEX(tt_Dir,MATCH(D1437,tt_Type,0)),"")</f>
        <v/>
      </c>
      <c r="V1437" s="67">
        <f>IF(D1437="","",IFERROR(IF(INDEX(tt_Other,MATCH(D1437,tt_Type,0))="",E1437&amp;"",INDEX(tt_Other,MATCH(D1437,tt_Type,0))),""))</f>
        <v/>
      </c>
      <c r="W1437" s="68">
        <f>IF(OR(TaxOn&lt;&gt;"Yes",NOT(ISNUMBER(M1437))),0,IF(IFERROR(INDEX(tt_Tax,MATCH(D1437,tt_Type,0)),"No")="Yes",M1437,0))</f>
        <v/>
      </c>
      <c r="X1437" s="67">
        <f>IF(T1437=1,"",IF(C1437="","Missing transaction date",IF(NOT(ISNUMBER(C1437)),"Invalid date",IF(OR(C1437&lt;DATE(2000,1,1),C1437&gt;DATE(2099,12,31)),"Invalid date",IF(D1437="","Select a type",IF(U1437="","Unknown type: "&amp;D1437,IF(V1437="","Select an account (Category)",IF(ISNA(MATCH(V1437,coa_Name,0)),"Unknown account: "&amp;V1437,IF(K1437="","Select Paid From / Deposited To",IF(ISNA(MATCH(K1437,coa_Name,0)),"Unknown account: "&amp;K1437,IF(NOT(ISNUMBER(L1437)),"Enter an amount",IF(L1437=0,"Enter an amount",IF(ABS(W1437)&gt;ABS(L1437),"Tax is larger than the amount","")))))))))))))</f>
        <v/>
      </c>
      <c r="Y1437" s="67">
        <f>IF(OR(T1437=1,X1437&lt;&gt;""),"",IF(AND(B1437&lt;&gt;"",COUNTIF(tx_ID,B1437)&gt;1),"Duplicate transaction ID",IF(AND(L1437&lt;0,D1437&lt;&gt;"Adjustment"),"Negative amount — check this entry",IF(AND(D1437="Customer Payment",G1437=""),"Add the customer",IF(AND(D1437="Customer Payment",OR(J1437="",COUNTIF(ar_No,J1437&amp;"")=0)),"Invoice # in Reference not found on AR sheet",IF(AND(D1437="Bill Payment",H1437=""),"Add the vendor",IF(AND(D1437="Bill Payment",OR(J1437="",COUNTIFS(ap_No,J1437&amp;"",ap_Party,H1437&amp;"")=0)),"Bill # + vendor not found on AP sheet",IF(AND(ISNUMBER(M1437),N(M1437)&lt;&gt;0,W1437=0),"Tax ignored (tax tracking off, or not allowed for this type)",IF(V1437=K1437&amp;"","Same account on both sides",IF(AND(ISNUMBER(StartDate),C1437&lt;StartDate),"Date is before the accounting start date",IF(AND(D1437&lt;&gt;"Adjustment",IFERROR(INDEX(coa_Pay,MATCH(K1437&amp;"",coa_Name,0)),"")&lt;&gt;"Yes"),"Paid From / Deposited To is not a payment account","")))))))))))</f>
        <v/>
      </c>
      <c r="Z1437" s="67">
        <f>IF(AND(T1437=0,X1437=""),1,0)</f>
        <v/>
      </c>
      <c r="AA1437" s="68">
        <f>IF(Z1437=1,IF(U1437="In",L1437,L1437-W1437),0)</f>
        <v/>
      </c>
      <c r="AB1437" s="68">
        <f>IF(Z1437=1,IF(U1437="In",L1437-W1437,L1437),0)</f>
        <v/>
      </c>
      <c r="AC1437" s="68">
        <f>IF(AND(Z1437=1,U1437="Out"),W1437,0)</f>
        <v/>
      </c>
      <c r="AD1437" s="68">
        <f>IF(AND(Z1437=1,U1437="In"),W1437,0)</f>
        <v/>
      </c>
    </row>
    <row r="1438">
      <c r="B1438" s="62" t="inlineStr">
        <is>
          <t>TX-1432</t>
        </is>
      </c>
      <c r="C1438" s="63" t="n"/>
      <c r="D1438" s="62" t="n"/>
      <c r="E1438" s="62" t="n"/>
      <c r="F1438" s="62" t="n"/>
      <c r="G1438" s="62" t="n"/>
      <c r="H1438" s="62" t="n"/>
      <c r="I1438" s="62" t="n"/>
      <c r="J1438" s="62" t="n"/>
      <c r="K1438" s="62" t="n"/>
      <c r="L1438" s="64" t="n"/>
      <c r="M1438" s="64" t="n"/>
      <c r="N1438" s="62" t="n"/>
      <c r="O1438" s="65">
        <f>IF(Z1438=1,L1438-W1438,"")</f>
        <v/>
      </c>
      <c r="P1438" s="66">
        <f>IF(V1438="","",IFERROR(INDEX(coa_Type,MATCH(V1438,coa_Name,0)),""))</f>
        <v/>
      </c>
      <c r="Q1438" s="66">
        <f>IF(Z1438=1,IF(U1438="In",K1438&amp;"",V1438),"")</f>
        <v/>
      </c>
      <c r="R1438" s="66">
        <f>IF(Z1438=1,IF(U1438="In",V1438,K1438&amp;""),"")</f>
        <v/>
      </c>
      <c r="S1438" s="66">
        <f>IF(X1438&lt;&gt;"","⛔ "&amp;X1438&amp;" — not posted",IF(Y1438&lt;&gt;"","⚠ "&amp;Y1438,IF(Z1438=1,"✓ OK","")))</f>
        <v/>
      </c>
      <c r="T1438" s="67">
        <f>IF(AND(C1438="",D1438="",E1438="",L1438="",K1438=""),1,0)</f>
        <v/>
      </c>
      <c r="U1438" s="67">
        <f>IFERROR(INDEX(tt_Dir,MATCH(D1438,tt_Type,0)),"")</f>
        <v/>
      </c>
      <c r="V1438" s="67">
        <f>IF(D1438="","",IFERROR(IF(INDEX(tt_Other,MATCH(D1438,tt_Type,0))="",E1438&amp;"",INDEX(tt_Other,MATCH(D1438,tt_Type,0))),""))</f>
        <v/>
      </c>
      <c r="W1438" s="68">
        <f>IF(OR(TaxOn&lt;&gt;"Yes",NOT(ISNUMBER(M1438))),0,IF(IFERROR(INDEX(tt_Tax,MATCH(D1438,tt_Type,0)),"No")="Yes",M1438,0))</f>
        <v/>
      </c>
      <c r="X1438" s="67">
        <f>IF(T1438=1,"",IF(C1438="","Missing transaction date",IF(NOT(ISNUMBER(C1438)),"Invalid date",IF(OR(C1438&lt;DATE(2000,1,1),C1438&gt;DATE(2099,12,31)),"Invalid date",IF(D1438="","Select a type",IF(U1438="","Unknown type: "&amp;D1438,IF(V1438="","Select an account (Category)",IF(ISNA(MATCH(V1438,coa_Name,0)),"Unknown account: "&amp;V1438,IF(K1438="","Select Paid From / Deposited To",IF(ISNA(MATCH(K1438,coa_Name,0)),"Unknown account: "&amp;K1438,IF(NOT(ISNUMBER(L1438)),"Enter an amount",IF(L1438=0,"Enter an amount",IF(ABS(W1438)&gt;ABS(L1438),"Tax is larger than the amount","")))))))))))))</f>
        <v/>
      </c>
      <c r="Y1438" s="67">
        <f>IF(OR(T1438=1,X1438&lt;&gt;""),"",IF(AND(B1438&lt;&gt;"",COUNTIF(tx_ID,B1438)&gt;1),"Duplicate transaction ID",IF(AND(L1438&lt;0,D1438&lt;&gt;"Adjustment"),"Negative amount — check this entry",IF(AND(D1438="Customer Payment",G1438=""),"Add the customer",IF(AND(D1438="Customer Payment",OR(J1438="",COUNTIF(ar_No,J1438&amp;"")=0)),"Invoice # in Reference not found on AR sheet",IF(AND(D1438="Bill Payment",H1438=""),"Add the vendor",IF(AND(D1438="Bill Payment",OR(J1438="",COUNTIFS(ap_No,J1438&amp;"",ap_Party,H1438&amp;"")=0)),"Bill # + vendor not found on AP sheet",IF(AND(ISNUMBER(M1438),N(M1438)&lt;&gt;0,W1438=0),"Tax ignored (tax tracking off, or not allowed for this type)",IF(V1438=K1438&amp;"","Same account on both sides",IF(AND(ISNUMBER(StartDate),C1438&lt;StartDate),"Date is before the accounting start date",IF(AND(D1438&lt;&gt;"Adjustment",IFERROR(INDEX(coa_Pay,MATCH(K1438&amp;"",coa_Name,0)),"")&lt;&gt;"Yes"),"Paid From / Deposited To is not a payment account","")))))))))))</f>
        <v/>
      </c>
      <c r="Z1438" s="67">
        <f>IF(AND(T1438=0,X1438=""),1,0)</f>
        <v/>
      </c>
      <c r="AA1438" s="68">
        <f>IF(Z1438=1,IF(U1438="In",L1438,L1438-W1438),0)</f>
        <v/>
      </c>
      <c r="AB1438" s="68">
        <f>IF(Z1438=1,IF(U1438="In",L1438-W1438,L1438),0)</f>
        <v/>
      </c>
      <c r="AC1438" s="68">
        <f>IF(AND(Z1438=1,U1438="Out"),W1438,0)</f>
        <v/>
      </c>
      <c r="AD1438" s="68">
        <f>IF(AND(Z1438=1,U1438="In"),W1438,0)</f>
        <v/>
      </c>
    </row>
    <row r="1439">
      <c r="B1439" s="62" t="inlineStr">
        <is>
          <t>TX-1433</t>
        </is>
      </c>
      <c r="C1439" s="63" t="n"/>
      <c r="D1439" s="62" t="n"/>
      <c r="E1439" s="62" t="n"/>
      <c r="F1439" s="62" t="n"/>
      <c r="G1439" s="62" t="n"/>
      <c r="H1439" s="62" t="n"/>
      <c r="I1439" s="62" t="n"/>
      <c r="J1439" s="62" t="n"/>
      <c r="K1439" s="62" t="n"/>
      <c r="L1439" s="64" t="n"/>
      <c r="M1439" s="64" t="n"/>
      <c r="N1439" s="62" t="n"/>
      <c r="O1439" s="65">
        <f>IF(Z1439=1,L1439-W1439,"")</f>
        <v/>
      </c>
      <c r="P1439" s="66">
        <f>IF(V1439="","",IFERROR(INDEX(coa_Type,MATCH(V1439,coa_Name,0)),""))</f>
        <v/>
      </c>
      <c r="Q1439" s="66">
        <f>IF(Z1439=1,IF(U1439="In",K1439&amp;"",V1439),"")</f>
        <v/>
      </c>
      <c r="R1439" s="66">
        <f>IF(Z1439=1,IF(U1439="In",V1439,K1439&amp;""),"")</f>
        <v/>
      </c>
      <c r="S1439" s="66">
        <f>IF(X1439&lt;&gt;"","⛔ "&amp;X1439&amp;" — not posted",IF(Y1439&lt;&gt;"","⚠ "&amp;Y1439,IF(Z1439=1,"✓ OK","")))</f>
        <v/>
      </c>
      <c r="T1439" s="67">
        <f>IF(AND(C1439="",D1439="",E1439="",L1439="",K1439=""),1,0)</f>
        <v/>
      </c>
      <c r="U1439" s="67">
        <f>IFERROR(INDEX(tt_Dir,MATCH(D1439,tt_Type,0)),"")</f>
        <v/>
      </c>
      <c r="V1439" s="67">
        <f>IF(D1439="","",IFERROR(IF(INDEX(tt_Other,MATCH(D1439,tt_Type,0))="",E1439&amp;"",INDEX(tt_Other,MATCH(D1439,tt_Type,0))),""))</f>
        <v/>
      </c>
      <c r="W1439" s="68">
        <f>IF(OR(TaxOn&lt;&gt;"Yes",NOT(ISNUMBER(M1439))),0,IF(IFERROR(INDEX(tt_Tax,MATCH(D1439,tt_Type,0)),"No")="Yes",M1439,0))</f>
        <v/>
      </c>
      <c r="X1439" s="67">
        <f>IF(T1439=1,"",IF(C1439="","Missing transaction date",IF(NOT(ISNUMBER(C1439)),"Invalid date",IF(OR(C1439&lt;DATE(2000,1,1),C1439&gt;DATE(2099,12,31)),"Invalid date",IF(D1439="","Select a type",IF(U1439="","Unknown type: "&amp;D1439,IF(V1439="","Select an account (Category)",IF(ISNA(MATCH(V1439,coa_Name,0)),"Unknown account: "&amp;V1439,IF(K1439="","Select Paid From / Deposited To",IF(ISNA(MATCH(K1439,coa_Name,0)),"Unknown account: "&amp;K1439,IF(NOT(ISNUMBER(L1439)),"Enter an amount",IF(L1439=0,"Enter an amount",IF(ABS(W1439)&gt;ABS(L1439),"Tax is larger than the amount","")))))))))))))</f>
        <v/>
      </c>
      <c r="Y1439" s="67">
        <f>IF(OR(T1439=1,X1439&lt;&gt;""),"",IF(AND(B1439&lt;&gt;"",COUNTIF(tx_ID,B1439)&gt;1),"Duplicate transaction ID",IF(AND(L1439&lt;0,D1439&lt;&gt;"Adjustment"),"Negative amount — check this entry",IF(AND(D1439="Customer Payment",G1439=""),"Add the customer",IF(AND(D1439="Customer Payment",OR(J1439="",COUNTIF(ar_No,J1439&amp;"")=0)),"Invoice # in Reference not found on AR sheet",IF(AND(D1439="Bill Payment",H1439=""),"Add the vendor",IF(AND(D1439="Bill Payment",OR(J1439="",COUNTIFS(ap_No,J1439&amp;"",ap_Party,H1439&amp;"")=0)),"Bill # + vendor not found on AP sheet",IF(AND(ISNUMBER(M1439),N(M1439)&lt;&gt;0,W1439=0),"Tax ignored (tax tracking off, or not allowed for this type)",IF(V1439=K1439&amp;"","Same account on both sides",IF(AND(ISNUMBER(StartDate),C1439&lt;StartDate),"Date is before the accounting start date",IF(AND(D1439&lt;&gt;"Adjustment",IFERROR(INDEX(coa_Pay,MATCH(K1439&amp;"",coa_Name,0)),"")&lt;&gt;"Yes"),"Paid From / Deposited To is not a payment account","")))))))))))</f>
        <v/>
      </c>
      <c r="Z1439" s="67">
        <f>IF(AND(T1439=0,X1439=""),1,0)</f>
        <v/>
      </c>
      <c r="AA1439" s="68">
        <f>IF(Z1439=1,IF(U1439="In",L1439,L1439-W1439),0)</f>
        <v/>
      </c>
      <c r="AB1439" s="68">
        <f>IF(Z1439=1,IF(U1439="In",L1439-W1439,L1439),0)</f>
        <v/>
      </c>
      <c r="AC1439" s="68">
        <f>IF(AND(Z1439=1,U1439="Out"),W1439,0)</f>
        <v/>
      </c>
      <c r="AD1439" s="68">
        <f>IF(AND(Z1439=1,U1439="In"),W1439,0)</f>
        <v/>
      </c>
    </row>
    <row r="1440">
      <c r="B1440" s="62" t="inlineStr">
        <is>
          <t>TX-1434</t>
        </is>
      </c>
      <c r="C1440" s="63" t="n"/>
      <c r="D1440" s="62" t="n"/>
      <c r="E1440" s="62" t="n"/>
      <c r="F1440" s="62" t="n"/>
      <c r="G1440" s="62" t="n"/>
      <c r="H1440" s="62" t="n"/>
      <c r="I1440" s="62" t="n"/>
      <c r="J1440" s="62" t="n"/>
      <c r="K1440" s="62" t="n"/>
      <c r="L1440" s="64" t="n"/>
      <c r="M1440" s="64" t="n"/>
      <c r="N1440" s="62" t="n"/>
      <c r="O1440" s="65">
        <f>IF(Z1440=1,L1440-W1440,"")</f>
        <v/>
      </c>
      <c r="P1440" s="66">
        <f>IF(V1440="","",IFERROR(INDEX(coa_Type,MATCH(V1440,coa_Name,0)),""))</f>
        <v/>
      </c>
      <c r="Q1440" s="66">
        <f>IF(Z1440=1,IF(U1440="In",K1440&amp;"",V1440),"")</f>
        <v/>
      </c>
      <c r="R1440" s="66">
        <f>IF(Z1440=1,IF(U1440="In",V1440,K1440&amp;""),"")</f>
        <v/>
      </c>
      <c r="S1440" s="66">
        <f>IF(X1440&lt;&gt;"","⛔ "&amp;X1440&amp;" — not posted",IF(Y1440&lt;&gt;"","⚠ "&amp;Y1440,IF(Z1440=1,"✓ OK","")))</f>
        <v/>
      </c>
      <c r="T1440" s="67">
        <f>IF(AND(C1440="",D1440="",E1440="",L1440="",K1440=""),1,0)</f>
        <v/>
      </c>
      <c r="U1440" s="67">
        <f>IFERROR(INDEX(tt_Dir,MATCH(D1440,tt_Type,0)),"")</f>
        <v/>
      </c>
      <c r="V1440" s="67">
        <f>IF(D1440="","",IFERROR(IF(INDEX(tt_Other,MATCH(D1440,tt_Type,0))="",E1440&amp;"",INDEX(tt_Other,MATCH(D1440,tt_Type,0))),""))</f>
        <v/>
      </c>
      <c r="W1440" s="68">
        <f>IF(OR(TaxOn&lt;&gt;"Yes",NOT(ISNUMBER(M1440))),0,IF(IFERROR(INDEX(tt_Tax,MATCH(D1440,tt_Type,0)),"No")="Yes",M1440,0))</f>
        <v/>
      </c>
      <c r="X1440" s="67">
        <f>IF(T1440=1,"",IF(C1440="","Missing transaction date",IF(NOT(ISNUMBER(C1440)),"Invalid date",IF(OR(C1440&lt;DATE(2000,1,1),C1440&gt;DATE(2099,12,31)),"Invalid date",IF(D1440="","Select a type",IF(U1440="","Unknown type: "&amp;D1440,IF(V1440="","Select an account (Category)",IF(ISNA(MATCH(V1440,coa_Name,0)),"Unknown account: "&amp;V1440,IF(K1440="","Select Paid From / Deposited To",IF(ISNA(MATCH(K1440,coa_Name,0)),"Unknown account: "&amp;K1440,IF(NOT(ISNUMBER(L1440)),"Enter an amount",IF(L1440=0,"Enter an amount",IF(ABS(W1440)&gt;ABS(L1440),"Tax is larger than the amount","")))))))))))))</f>
        <v/>
      </c>
      <c r="Y1440" s="67">
        <f>IF(OR(T1440=1,X1440&lt;&gt;""),"",IF(AND(B1440&lt;&gt;"",COUNTIF(tx_ID,B1440)&gt;1),"Duplicate transaction ID",IF(AND(L1440&lt;0,D1440&lt;&gt;"Adjustment"),"Negative amount — check this entry",IF(AND(D1440="Customer Payment",G1440=""),"Add the customer",IF(AND(D1440="Customer Payment",OR(J1440="",COUNTIF(ar_No,J1440&amp;"")=0)),"Invoice # in Reference not found on AR sheet",IF(AND(D1440="Bill Payment",H1440=""),"Add the vendor",IF(AND(D1440="Bill Payment",OR(J1440="",COUNTIFS(ap_No,J1440&amp;"",ap_Party,H1440&amp;"")=0)),"Bill # + vendor not found on AP sheet",IF(AND(ISNUMBER(M1440),N(M1440)&lt;&gt;0,W1440=0),"Tax ignored (tax tracking off, or not allowed for this type)",IF(V1440=K1440&amp;"","Same account on both sides",IF(AND(ISNUMBER(StartDate),C1440&lt;StartDate),"Date is before the accounting start date",IF(AND(D1440&lt;&gt;"Adjustment",IFERROR(INDEX(coa_Pay,MATCH(K1440&amp;"",coa_Name,0)),"")&lt;&gt;"Yes"),"Paid From / Deposited To is not a payment account","")))))))))))</f>
        <v/>
      </c>
      <c r="Z1440" s="67">
        <f>IF(AND(T1440=0,X1440=""),1,0)</f>
        <v/>
      </c>
      <c r="AA1440" s="68">
        <f>IF(Z1440=1,IF(U1440="In",L1440,L1440-W1440),0)</f>
        <v/>
      </c>
      <c r="AB1440" s="68">
        <f>IF(Z1440=1,IF(U1440="In",L1440-W1440,L1440),0)</f>
        <v/>
      </c>
      <c r="AC1440" s="68">
        <f>IF(AND(Z1440=1,U1440="Out"),W1440,0)</f>
        <v/>
      </c>
      <c r="AD1440" s="68">
        <f>IF(AND(Z1440=1,U1440="In"),W1440,0)</f>
        <v/>
      </c>
    </row>
    <row r="1441">
      <c r="B1441" s="62" t="inlineStr">
        <is>
          <t>TX-1435</t>
        </is>
      </c>
      <c r="C1441" s="63" t="n"/>
      <c r="D1441" s="62" t="n"/>
      <c r="E1441" s="62" t="n"/>
      <c r="F1441" s="62" t="n"/>
      <c r="G1441" s="62" t="n"/>
      <c r="H1441" s="62" t="n"/>
      <c r="I1441" s="62" t="n"/>
      <c r="J1441" s="62" t="n"/>
      <c r="K1441" s="62" t="n"/>
      <c r="L1441" s="64" t="n"/>
      <c r="M1441" s="64" t="n"/>
      <c r="N1441" s="62" t="n"/>
      <c r="O1441" s="65">
        <f>IF(Z1441=1,L1441-W1441,"")</f>
        <v/>
      </c>
      <c r="P1441" s="66">
        <f>IF(V1441="","",IFERROR(INDEX(coa_Type,MATCH(V1441,coa_Name,0)),""))</f>
        <v/>
      </c>
      <c r="Q1441" s="66">
        <f>IF(Z1441=1,IF(U1441="In",K1441&amp;"",V1441),"")</f>
        <v/>
      </c>
      <c r="R1441" s="66">
        <f>IF(Z1441=1,IF(U1441="In",V1441,K1441&amp;""),"")</f>
        <v/>
      </c>
      <c r="S1441" s="66">
        <f>IF(X1441&lt;&gt;"","⛔ "&amp;X1441&amp;" — not posted",IF(Y1441&lt;&gt;"","⚠ "&amp;Y1441,IF(Z1441=1,"✓ OK","")))</f>
        <v/>
      </c>
      <c r="T1441" s="67">
        <f>IF(AND(C1441="",D1441="",E1441="",L1441="",K1441=""),1,0)</f>
        <v/>
      </c>
      <c r="U1441" s="67">
        <f>IFERROR(INDEX(tt_Dir,MATCH(D1441,tt_Type,0)),"")</f>
        <v/>
      </c>
      <c r="V1441" s="67">
        <f>IF(D1441="","",IFERROR(IF(INDEX(tt_Other,MATCH(D1441,tt_Type,0))="",E1441&amp;"",INDEX(tt_Other,MATCH(D1441,tt_Type,0))),""))</f>
        <v/>
      </c>
      <c r="W1441" s="68">
        <f>IF(OR(TaxOn&lt;&gt;"Yes",NOT(ISNUMBER(M1441))),0,IF(IFERROR(INDEX(tt_Tax,MATCH(D1441,tt_Type,0)),"No")="Yes",M1441,0))</f>
        <v/>
      </c>
      <c r="X1441" s="67">
        <f>IF(T1441=1,"",IF(C1441="","Missing transaction date",IF(NOT(ISNUMBER(C1441)),"Invalid date",IF(OR(C1441&lt;DATE(2000,1,1),C1441&gt;DATE(2099,12,31)),"Invalid date",IF(D1441="","Select a type",IF(U1441="","Unknown type: "&amp;D1441,IF(V1441="","Select an account (Category)",IF(ISNA(MATCH(V1441,coa_Name,0)),"Unknown account: "&amp;V1441,IF(K1441="","Select Paid From / Deposited To",IF(ISNA(MATCH(K1441,coa_Name,0)),"Unknown account: "&amp;K1441,IF(NOT(ISNUMBER(L1441)),"Enter an amount",IF(L1441=0,"Enter an amount",IF(ABS(W1441)&gt;ABS(L1441),"Tax is larger than the amount","")))))))))))))</f>
        <v/>
      </c>
      <c r="Y1441" s="67">
        <f>IF(OR(T1441=1,X1441&lt;&gt;""),"",IF(AND(B1441&lt;&gt;"",COUNTIF(tx_ID,B1441)&gt;1),"Duplicate transaction ID",IF(AND(L1441&lt;0,D1441&lt;&gt;"Adjustment"),"Negative amount — check this entry",IF(AND(D1441="Customer Payment",G1441=""),"Add the customer",IF(AND(D1441="Customer Payment",OR(J1441="",COUNTIF(ar_No,J1441&amp;"")=0)),"Invoice # in Reference not found on AR sheet",IF(AND(D1441="Bill Payment",H1441=""),"Add the vendor",IF(AND(D1441="Bill Payment",OR(J1441="",COUNTIFS(ap_No,J1441&amp;"",ap_Party,H1441&amp;"")=0)),"Bill # + vendor not found on AP sheet",IF(AND(ISNUMBER(M1441),N(M1441)&lt;&gt;0,W1441=0),"Tax ignored (tax tracking off, or not allowed for this type)",IF(V1441=K1441&amp;"","Same account on both sides",IF(AND(ISNUMBER(StartDate),C1441&lt;StartDate),"Date is before the accounting start date",IF(AND(D1441&lt;&gt;"Adjustment",IFERROR(INDEX(coa_Pay,MATCH(K1441&amp;"",coa_Name,0)),"")&lt;&gt;"Yes"),"Paid From / Deposited To is not a payment account","")))))))))))</f>
        <v/>
      </c>
      <c r="Z1441" s="67">
        <f>IF(AND(T1441=0,X1441=""),1,0)</f>
        <v/>
      </c>
      <c r="AA1441" s="68">
        <f>IF(Z1441=1,IF(U1441="In",L1441,L1441-W1441),0)</f>
        <v/>
      </c>
      <c r="AB1441" s="68">
        <f>IF(Z1441=1,IF(U1441="In",L1441-W1441,L1441),0)</f>
        <v/>
      </c>
      <c r="AC1441" s="68">
        <f>IF(AND(Z1441=1,U1441="Out"),W1441,0)</f>
        <v/>
      </c>
      <c r="AD1441" s="68">
        <f>IF(AND(Z1441=1,U1441="In"),W1441,0)</f>
        <v/>
      </c>
    </row>
    <row r="1442">
      <c r="B1442" s="62" t="inlineStr">
        <is>
          <t>TX-1436</t>
        </is>
      </c>
      <c r="C1442" s="63" t="n"/>
      <c r="D1442" s="62" t="n"/>
      <c r="E1442" s="62" t="n"/>
      <c r="F1442" s="62" t="n"/>
      <c r="G1442" s="62" t="n"/>
      <c r="H1442" s="62" t="n"/>
      <c r="I1442" s="62" t="n"/>
      <c r="J1442" s="62" t="n"/>
      <c r="K1442" s="62" t="n"/>
      <c r="L1442" s="64" t="n"/>
      <c r="M1442" s="64" t="n"/>
      <c r="N1442" s="62" t="n"/>
      <c r="O1442" s="65">
        <f>IF(Z1442=1,L1442-W1442,"")</f>
        <v/>
      </c>
      <c r="P1442" s="66">
        <f>IF(V1442="","",IFERROR(INDEX(coa_Type,MATCH(V1442,coa_Name,0)),""))</f>
        <v/>
      </c>
      <c r="Q1442" s="66">
        <f>IF(Z1442=1,IF(U1442="In",K1442&amp;"",V1442),"")</f>
        <v/>
      </c>
      <c r="R1442" s="66">
        <f>IF(Z1442=1,IF(U1442="In",V1442,K1442&amp;""),"")</f>
        <v/>
      </c>
      <c r="S1442" s="66">
        <f>IF(X1442&lt;&gt;"","⛔ "&amp;X1442&amp;" — not posted",IF(Y1442&lt;&gt;"","⚠ "&amp;Y1442,IF(Z1442=1,"✓ OK","")))</f>
        <v/>
      </c>
      <c r="T1442" s="67">
        <f>IF(AND(C1442="",D1442="",E1442="",L1442="",K1442=""),1,0)</f>
        <v/>
      </c>
      <c r="U1442" s="67">
        <f>IFERROR(INDEX(tt_Dir,MATCH(D1442,tt_Type,0)),"")</f>
        <v/>
      </c>
      <c r="V1442" s="67">
        <f>IF(D1442="","",IFERROR(IF(INDEX(tt_Other,MATCH(D1442,tt_Type,0))="",E1442&amp;"",INDEX(tt_Other,MATCH(D1442,tt_Type,0))),""))</f>
        <v/>
      </c>
      <c r="W1442" s="68">
        <f>IF(OR(TaxOn&lt;&gt;"Yes",NOT(ISNUMBER(M1442))),0,IF(IFERROR(INDEX(tt_Tax,MATCH(D1442,tt_Type,0)),"No")="Yes",M1442,0))</f>
        <v/>
      </c>
      <c r="X1442" s="67">
        <f>IF(T1442=1,"",IF(C1442="","Missing transaction date",IF(NOT(ISNUMBER(C1442)),"Invalid date",IF(OR(C1442&lt;DATE(2000,1,1),C1442&gt;DATE(2099,12,31)),"Invalid date",IF(D1442="","Select a type",IF(U1442="","Unknown type: "&amp;D1442,IF(V1442="","Select an account (Category)",IF(ISNA(MATCH(V1442,coa_Name,0)),"Unknown account: "&amp;V1442,IF(K1442="","Select Paid From / Deposited To",IF(ISNA(MATCH(K1442,coa_Name,0)),"Unknown account: "&amp;K1442,IF(NOT(ISNUMBER(L1442)),"Enter an amount",IF(L1442=0,"Enter an amount",IF(ABS(W1442)&gt;ABS(L1442),"Tax is larger than the amount","")))))))))))))</f>
        <v/>
      </c>
      <c r="Y1442" s="67">
        <f>IF(OR(T1442=1,X1442&lt;&gt;""),"",IF(AND(B1442&lt;&gt;"",COUNTIF(tx_ID,B1442)&gt;1),"Duplicate transaction ID",IF(AND(L1442&lt;0,D1442&lt;&gt;"Adjustment"),"Negative amount — check this entry",IF(AND(D1442="Customer Payment",G1442=""),"Add the customer",IF(AND(D1442="Customer Payment",OR(J1442="",COUNTIF(ar_No,J1442&amp;"")=0)),"Invoice # in Reference not found on AR sheet",IF(AND(D1442="Bill Payment",H1442=""),"Add the vendor",IF(AND(D1442="Bill Payment",OR(J1442="",COUNTIFS(ap_No,J1442&amp;"",ap_Party,H1442&amp;"")=0)),"Bill # + vendor not found on AP sheet",IF(AND(ISNUMBER(M1442),N(M1442)&lt;&gt;0,W1442=0),"Tax ignored (tax tracking off, or not allowed for this type)",IF(V1442=K1442&amp;"","Same account on both sides",IF(AND(ISNUMBER(StartDate),C1442&lt;StartDate),"Date is before the accounting start date",IF(AND(D1442&lt;&gt;"Adjustment",IFERROR(INDEX(coa_Pay,MATCH(K1442&amp;"",coa_Name,0)),"")&lt;&gt;"Yes"),"Paid From / Deposited To is not a payment account","")))))))))))</f>
        <v/>
      </c>
      <c r="Z1442" s="67">
        <f>IF(AND(T1442=0,X1442=""),1,0)</f>
        <v/>
      </c>
      <c r="AA1442" s="68">
        <f>IF(Z1442=1,IF(U1442="In",L1442,L1442-W1442),0)</f>
        <v/>
      </c>
      <c r="AB1442" s="68">
        <f>IF(Z1442=1,IF(U1442="In",L1442-W1442,L1442),0)</f>
        <v/>
      </c>
      <c r="AC1442" s="68">
        <f>IF(AND(Z1442=1,U1442="Out"),W1442,0)</f>
        <v/>
      </c>
      <c r="AD1442" s="68">
        <f>IF(AND(Z1442=1,U1442="In"),W1442,0)</f>
        <v/>
      </c>
    </row>
    <row r="1443">
      <c r="B1443" s="62" t="inlineStr">
        <is>
          <t>TX-1437</t>
        </is>
      </c>
      <c r="C1443" s="63" t="n"/>
      <c r="D1443" s="62" t="n"/>
      <c r="E1443" s="62" t="n"/>
      <c r="F1443" s="62" t="n"/>
      <c r="G1443" s="62" t="n"/>
      <c r="H1443" s="62" t="n"/>
      <c r="I1443" s="62" t="n"/>
      <c r="J1443" s="62" t="n"/>
      <c r="K1443" s="62" t="n"/>
      <c r="L1443" s="64" t="n"/>
      <c r="M1443" s="64" t="n"/>
      <c r="N1443" s="62" t="n"/>
      <c r="O1443" s="65">
        <f>IF(Z1443=1,L1443-W1443,"")</f>
        <v/>
      </c>
      <c r="P1443" s="66">
        <f>IF(V1443="","",IFERROR(INDEX(coa_Type,MATCH(V1443,coa_Name,0)),""))</f>
        <v/>
      </c>
      <c r="Q1443" s="66">
        <f>IF(Z1443=1,IF(U1443="In",K1443&amp;"",V1443),"")</f>
        <v/>
      </c>
      <c r="R1443" s="66">
        <f>IF(Z1443=1,IF(U1443="In",V1443,K1443&amp;""),"")</f>
        <v/>
      </c>
      <c r="S1443" s="66">
        <f>IF(X1443&lt;&gt;"","⛔ "&amp;X1443&amp;" — not posted",IF(Y1443&lt;&gt;"","⚠ "&amp;Y1443,IF(Z1443=1,"✓ OK","")))</f>
        <v/>
      </c>
      <c r="T1443" s="67">
        <f>IF(AND(C1443="",D1443="",E1443="",L1443="",K1443=""),1,0)</f>
        <v/>
      </c>
      <c r="U1443" s="67">
        <f>IFERROR(INDEX(tt_Dir,MATCH(D1443,tt_Type,0)),"")</f>
        <v/>
      </c>
      <c r="V1443" s="67">
        <f>IF(D1443="","",IFERROR(IF(INDEX(tt_Other,MATCH(D1443,tt_Type,0))="",E1443&amp;"",INDEX(tt_Other,MATCH(D1443,tt_Type,0))),""))</f>
        <v/>
      </c>
      <c r="W1443" s="68">
        <f>IF(OR(TaxOn&lt;&gt;"Yes",NOT(ISNUMBER(M1443))),0,IF(IFERROR(INDEX(tt_Tax,MATCH(D1443,tt_Type,0)),"No")="Yes",M1443,0))</f>
        <v/>
      </c>
      <c r="X1443" s="67">
        <f>IF(T1443=1,"",IF(C1443="","Missing transaction date",IF(NOT(ISNUMBER(C1443)),"Invalid date",IF(OR(C1443&lt;DATE(2000,1,1),C1443&gt;DATE(2099,12,31)),"Invalid date",IF(D1443="","Select a type",IF(U1443="","Unknown type: "&amp;D1443,IF(V1443="","Select an account (Category)",IF(ISNA(MATCH(V1443,coa_Name,0)),"Unknown account: "&amp;V1443,IF(K1443="","Select Paid From / Deposited To",IF(ISNA(MATCH(K1443,coa_Name,0)),"Unknown account: "&amp;K1443,IF(NOT(ISNUMBER(L1443)),"Enter an amount",IF(L1443=0,"Enter an amount",IF(ABS(W1443)&gt;ABS(L1443),"Tax is larger than the amount","")))))))))))))</f>
        <v/>
      </c>
      <c r="Y1443" s="67">
        <f>IF(OR(T1443=1,X1443&lt;&gt;""),"",IF(AND(B1443&lt;&gt;"",COUNTIF(tx_ID,B1443)&gt;1),"Duplicate transaction ID",IF(AND(L1443&lt;0,D1443&lt;&gt;"Adjustment"),"Negative amount — check this entry",IF(AND(D1443="Customer Payment",G1443=""),"Add the customer",IF(AND(D1443="Customer Payment",OR(J1443="",COUNTIF(ar_No,J1443&amp;"")=0)),"Invoice # in Reference not found on AR sheet",IF(AND(D1443="Bill Payment",H1443=""),"Add the vendor",IF(AND(D1443="Bill Payment",OR(J1443="",COUNTIFS(ap_No,J1443&amp;"",ap_Party,H1443&amp;"")=0)),"Bill # + vendor not found on AP sheet",IF(AND(ISNUMBER(M1443),N(M1443)&lt;&gt;0,W1443=0),"Tax ignored (tax tracking off, or not allowed for this type)",IF(V1443=K1443&amp;"","Same account on both sides",IF(AND(ISNUMBER(StartDate),C1443&lt;StartDate),"Date is before the accounting start date",IF(AND(D1443&lt;&gt;"Adjustment",IFERROR(INDEX(coa_Pay,MATCH(K1443&amp;"",coa_Name,0)),"")&lt;&gt;"Yes"),"Paid From / Deposited To is not a payment account","")))))))))))</f>
        <v/>
      </c>
      <c r="Z1443" s="67">
        <f>IF(AND(T1443=0,X1443=""),1,0)</f>
        <v/>
      </c>
      <c r="AA1443" s="68">
        <f>IF(Z1443=1,IF(U1443="In",L1443,L1443-W1443),0)</f>
        <v/>
      </c>
      <c r="AB1443" s="68">
        <f>IF(Z1443=1,IF(U1443="In",L1443-W1443,L1443),0)</f>
        <v/>
      </c>
      <c r="AC1443" s="68">
        <f>IF(AND(Z1443=1,U1443="Out"),W1443,0)</f>
        <v/>
      </c>
      <c r="AD1443" s="68">
        <f>IF(AND(Z1443=1,U1443="In"),W1443,0)</f>
        <v/>
      </c>
    </row>
    <row r="1444">
      <c r="B1444" s="62" t="inlineStr">
        <is>
          <t>TX-1438</t>
        </is>
      </c>
      <c r="C1444" s="63" t="n"/>
      <c r="D1444" s="62" t="n"/>
      <c r="E1444" s="62" t="n"/>
      <c r="F1444" s="62" t="n"/>
      <c r="G1444" s="62" t="n"/>
      <c r="H1444" s="62" t="n"/>
      <c r="I1444" s="62" t="n"/>
      <c r="J1444" s="62" t="n"/>
      <c r="K1444" s="62" t="n"/>
      <c r="L1444" s="64" t="n"/>
      <c r="M1444" s="64" t="n"/>
      <c r="N1444" s="62" t="n"/>
      <c r="O1444" s="65">
        <f>IF(Z1444=1,L1444-W1444,"")</f>
        <v/>
      </c>
      <c r="P1444" s="66">
        <f>IF(V1444="","",IFERROR(INDEX(coa_Type,MATCH(V1444,coa_Name,0)),""))</f>
        <v/>
      </c>
      <c r="Q1444" s="66">
        <f>IF(Z1444=1,IF(U1444="In",K1444&amp;"",V1444),"")</f>
        <v/>
      </c>
      <c r="R1444" s="66">
        <f>IF(Z1444=1,IF(U1444="In",V1444,K1444&amp;""),"")</f>
        <v/>
      </c>
      <c r="S1444" s="66">
        <f>IF(X1444&lt;&gt;"","⛔ "&amp;X1444&amp;" — not posted",IF(Y1444&lt;&gt;"","⚠ "&amp;Y1444,IF(Z1444=1,"✓ OK","")))</f>
        <v/>
      </c>
      <c r="T1444" s="67">
        <f>IF(AND(C1444="",D1444="",E1444="",L1444="",K1444=""),1,0)</f>
        <v/>
      </c>
      <c r="U1444" s="67">
        <f>IFERROR(INDEX(tt_Dir,MATCH(D1444,tt_Type,0)),"")</f>
        <v/>
      </c>
      <c r="V1444" s="67">
        <f>IF(D1444="","",IFERROR(IF(INDEX(tt_Other,MATCH(D1444,tt_Type,0))="",E1444&amp;"",INDEX(tt_Other,MATCH(D1444,tt_Type,0))),""))</f>
        <v/>
      </c>
      <c r="W1444" s="68">
        <f>IF(OR(TaxOn&lt;&gt;"Yes",NOT(ISNUMBER(M1444))),0,IF(IFERROR(INDEX(tt_Tax,MATCH(D1444,tt_Type,0)),"No")="Yes",M1444,0))</f>
        <v/>
      </c>
      <c r="X1444" s="67">
        <f>IF(T1444=1,"",IF(C1444="","Missing transaction date",IF(NOT(ISNUMBER(C1444)),"Invalid date",IF(OR(C1444&lt;DATE(2000,1,1),C1444&gt;DATE(2099,12,31)),"Invalid date",IF(D1444="","Select a type",IF(U1444="","Unknown type: "&amp;D1444,IF(V1444="","Select an account (Category)",IF(ISNA(MATCH(V1444,coa_Name,0)),"Unknown account: "&amp;V1444,IF(K1444="","Select Paid From / Deposited To",IF(ISNA(MATCH(K1444,coa_Name,0)),"Unknown account: "&amp;K1444,IF(NOT(ISNUMBER(L1444)),"Enter an amount",IF(L1444=0,"Enter an amount",IF(ABS(W1444)&gt;ABS(L1444),"Tax is larger than the amount","")))))))))))))</f>
        <v/>
      </c>
      <c r="Y1444" s="67">
        <f>IF(OR(T1444=1,X1444&lt;&gt;""),"",IF(AND(B1444&lt;&gt;"",COUNTIF(tx_ID,B1444)&gt;1),"Duplicate transaction ID",IF(AND(L1444&lt;0,D1444&lt;&gt;"Adjustment"),"Negative amount — check this entry",IF(AND(D1444="Customer Payment",G1444=""),"Add the customer",IF(AND(D1444="Customer Payment",OR(J1444="",COUNTIF(ar_No,J1444&amp;"")=0)),"Invoice # in Reference not found on AR sheet",IF(AND(D1444="Bill Payment",H1444=""),"Add the vendor",IF(AND(D1444="Bill Payment",OR(J1444="",COUNTIFS(ap_No,J1444&amp;"",ap_Party,H1444&amp;"")=0)),"Bill # + vendor not found on AP sheet",IF(AND(ISNUMBER(M1444),N(M1444)&lt;&gt;0,W1444=0),"Tax ignored (tax tracking off, or not allowed for this type)",IF(V1444=K1444&amp;"","Same account on both sides",IF(AND(ISNUMBER(StartDate),C1444&lt;StartDate),"Date is before the accounting start date",IF(AND(D1444&lt;&gt;"Adjustment",IFERROR(INDEX(coa_Pay,MATCH(K1444&amp;"",coa_Name,0)),"")&lt;&gt;"Yes"),"Paid From / Deposited To is not a payment account","")))))))))))</f>
        <v/>
      </c>
      <c r="Z1444" s="67">
        <f>IF(AND(T1444=0,X1444=""),1,0)</f>
        <v/>
      </c>
      <c r="AA1444" s="68">
        <f>IF(Z1444=1,IF(U1444="In",L1444,L1444-W1444),0)</f>
        <v/>
      </c>
      <c r="AB1444" s="68">
        <f>IF(Z1444=1,IF(U1444="In",L1444-W1444,L1444),0)</f>
        <v/>
      </c>
      <c r="AC1444" s="68">
        <f>IF(AND(Z1444=1,U1444="Out"),W1444,0)</f>
        <v/>
      </c>
      <c r="AD1444" s="68">
        <f>IF(AND(Z1444=1,U1444="In"),W1444,0)</f>
        <v/>
      </c>
    </row>
    <row r="1445">
      <c r="B1445" s="62" t="inlineStr">
        <is>
          <t>TX-1439</t>
        </is>
      </c>
      <c r="C1445" s="63" t="n"/>
      <c r="D1445" s="62" t="n"/>
      <c r="E1445" s="62" t="n"/>
      <c r="F1445" s="62" t="n"/>
      <c r="G1445" s="62" t="n"/>
      <c r="H1445" s="62" t="n"/>
      <c r="I1445" s="62" t="n"/>
      <c r="J1445" s="62" t="n"/>
      <c r="K1445" s="62" t="n"/>
      <c r="L1445" s="64" t="n"/>
      <c r="M1445" s="64" t="n"/>
      <c r="N1445" s="62" t="n"/>
      <c r="O1445" s="65">
        <f>IF(Z1445=1,L1445-W1445,"")</f>
        <v/>
      </c>
      <c r="P1445" s="66">
        <f>IF(V1445="","",IFERROR(INDEX(coa_Type,MATCH(V1445,coa_Name,0)),""))</f>
        <v/>
      </c>
      <c r="Q1445" s="66">
        <f>IF(Z1445=1,IF(U1445="In",K1445&amp;"",V1445),"")</f>
        <v/>
      </c>
      <c r="R1445" s="66">
        <f>IF(Z1445=1,IF(U1445="In",V1445,K1445&amp;""),"")</f>
        <v/>
      </c>
      <c r="S1445" s="66">
        <f>IF(X1445&lt;&gt;"","⛔ "&amp;X1445&amp;" — not posted",IF(Y1445&lt;&gt;"","⚠ "&amp;Y1445,IF(Z1445=1,"✓ OK","")))</f>
        <v/>
      </c>
      <c r="T1445" s="67">
        <f>IF(AND(C1445="",D1445="",E1445="",L1445="",K1445=""),1,0)</f>
        <v/>
      </c>
      <c r="U1445" s="67">
        <f>IFERROR(INDEX(tt_Dir,MATCH(D1445,tt_Type,0)),"")</f>
        <v/>
      </c>
      <c r="V1445" s="67">
        <f>IF(D1445="","",IFERROR(IF(INDEX(tt_Other,MATCH(D1445,tt_Type,0))="",E1445&amp;"",INDEX(tt_Other,MATCH(D1445,tt_Type,0))),""))</f>
        <v/>
      </c>
      <c r="W1445" s="68">
        <f>IF(OR(TaxOn&lt;&gt;"Yes",NOT(ISNUMBER(M1445))),0,IF(IFERROR(INDEX(tt_Tax,MATCH(D1445,tt_Type,0)),"No")="Yes",M1445,0))</f>
        <v/>
      </c>
      <c r="X1445" s="67">
        <f>IF(T1445=1,"",IF(C1445="","Missing transaction date",IF(NOT(ISNUMBER(C1445)),"Invalid date",IF(OR(C1445&lt;DATE(2000,1,1),C1445&gt;DATE(2099,12,31)),"Invalid date",IF(D1445="","Select a type",IF(U1445="","Unknown type: "&amp;D1445,IF(V1445="","Select an account (Category)",IF(ISNA(MATCH(V1445,coa_Name,0)),"Unknown account: "&amp;V1445,IF(K1445="","Select Paid From / Deposited To",IF(ISNA(MATCH(K1445,coa_Name,0)),"Unknown account: "&amp;K1445,IF(NOT(ISNUMBER(L1445)),"Enter an amount",IF(L1445=0,"Enter an amount",IF(ABS(W1445)&gt;ABS(L1445),"Tax is larger than the amount","")))))))))))))</f>
        <v/>
      </c>
      <c r="Y1445" s="67">
        <f>IF(OR(T1445=1,X1445&lt;&gt;""),"",IF(AND(B1445&lt;&gt;"",COUNTIF(tx_ID,B1445)&gt;1),"Duplicate transaction ID",IF(AND(L1445&lt;0,D1445&lt;&gt;"Adjustment"),"Negative amount — check this entry",IF(AND(D1445="Customer Payment",G1445=""),"Add the customer",IF(AND(D1445="Customer Payment",OR(J1445="",COUNTIF(ar_No,J1445&amp;"")=0)),"Invoice # in Reference not found on AR sheet",IF(AND(D1445="Bill Payment",H1445=""),"Add the vendor",IF(AND(D1445="Bill Payment",OR(J1445="",COUNTIFS(ap_No,J1445&amp;"",ap_Party,H1445&amp;"")=0)),"Bill # + vendor not found on AP sheet",IF(AND(ISNUMBER(M1445),N(M1445)&lt;&gt;0,W1445=0),"Tax ignored (tax tracking off, or not allowed for this type)",IF(V1445=K1445&amp;"","Same account on both sides",IF(AND(ISNUMBER(StartDate),C1445&lt;StartDate),"Date is before the accounting start date",IF(AND(D1445&lt;&gt;"Adjustment",IFERROR(INDEX(coa_Pay,MATCH(K1445&amp;"",coa_Name,0)),"")&lt;&gt;"Yes"),"Paid From / Deposited To is not a payment account","")))))))))))</f>
        <v/>
      </c>
      <c r="Z1445" s="67">
        <f>IF(AND(T1445=0,X1445=""),1,0)</f>
        <v/>
      </c>
      <c r="AA1445" s="68">
        <f>IF(Z1445=1,IF(U1445="In",L1445,L1445-W1445),0)</f>
        <v/>
      </c>
      <c r="AB1445" s="68">
        <f>IF(Z1445=1,IF(U1445="In",L1445-W1445,L1445),0)</f>
        <v/>
      </c>
      <c r="AC1445" s="68">
        <f>IF(AND(Z1445=1,U1445="Out"),W1445,0)</f>
        <v/>
      </c>
      <c r="AD1445" s="68">
        <f>IF(AND(Z1445=1,U1445="In"),W1445,0)</f>
        <v/>
      </c>
    </row>
    <row r="1446">
      <c r="B1446" s="62" t="inlineStr">
        <is>
          <t>TX-1440</t>
        </is>
      </c>
      <c r="C1446" s="63" t="n"/>
      <c r="D1446" s="62" t="n"/>
      <c r="E1446" s="62" t="n"/>
      <c r="F1446" s="62" t="n"/>
      <c r="G1446" s="62" t="n"/>
      <c r="H1446" s="62" t="n"/>
      <c r="I1446" s="62" t="n"/>
      <c r="J1446" s="62" t="n"/>
      <c r="K1446" s="62" t="n"/>
      <c r="L1446" s="64" t="n"/>
      <c r="M1446" s="64" t="n"/>
      <c r="N1446" s="62" t="n"/>
      <c r="O1446" s="65">
        <f>IF(Z1446=1,L1446-W1446,"")</f>
        <v/>
      </c>
      <c r="P1446" s="66">
        <f>IF(V1446="","",IFERROR(INDEX(coa_Type,MATCH(V1446,coa_Name,0)),""))</f>
        <v/>
      </c>
      <c r="Q1446" s="66">
        <f>IF(Z1446=1,IF(U1446="In",K1446&amp;"",V1446),"")</f>
        <v/>
      </c>
      <c r="R1446" s="66">
        <f>IF(Z1446=1,IF(U1446="In",V1446,K1446&amp;""),"")</f>
        <v/>
      </c>
      <c r="S1446" s="66">
        <f>IF(X1446&lt;&gt;"","⛔ "&amp;X1446&amp;" — not posted",IF(Y1446&lt;&gt;"","⚠ "&amp;Y1446,IF(Z1446=1,"✓ OK","")))</f>
        <v/>
      </c>
      <c r="T1446" s="67">
        <f>IF(AND(C1446="",D1446="",E1446="",L1446="",K1446=""),1,0)</f>
        <v/>
      </c>
      <c r="U1446" s="67">
        <f>IFERROR(INDEX(tt_Dir,MATCH(D1446,tt_Type,0)),"")</f>
        <v/>
      </c>
      <c r="V1446" s="67">
        <f>IF(D1446="","",IFERROR(IF(INDEX(tt_Other,MATCH(D1446,tt_Type,0))="",E1446&amp;"",INDEX(tt_Other,MATCH(D1446,tt_Type,0))),""))</f>
        <v/>
      </c>
      <c r="W1446" s="68">
        <f>IF(OR(TaxOn&lt;&gt;"Yes",NOT(ISNUMBER(M1446))),0,IF(IFERROR(INDEX(tt_Tax,MATCH(D1446,tt_Type,0)),"No")="Yes",M1446,0))</f>
        <v/>
      </c>
      <c r="X1446" s="67">
        <f>IF(T1446=1,"",IF(C1446="","Missing transaction date",IF(NOT(ISNUMBER(C1446)),"Invalid date",IF(OR(C1446&lt;DATE(2000,1,1),C1446&gt;DATE(2099,12,31)),"Invalid date",IF(D1446="","Select a type",IF(U1446="","Unknown type: "&amp;D1446,IF(V1446="","Select an account (Category)",IF(ISNA(MATCH(V1446,coa_Name,0)),"Unknown account: "&amp;V1446,IF(K1446="","Select Paid From / Deposited To",IF(ISNA(MATCH(K1446,coa_Name,0)),"Unknown account: "&amp;K1446,IF(NOT(ISNUMBER(L1446)),"Enter an amount",IF(L1446=0,"Enter an amount",IF(ABS(W1446)&gt;ABS(L1446),"Tax is larger than the amount","")))))))))))))</f>
        <v/>
      </c>
      <c r="Y1446" s="67">
        <f>IF(OR(T1446=1,X1446&lt;&gt;""),"",IF(AND(B1446&lt;&gt;"",COUNTIF(tx_ID,B1446)&gt;1),"Duplicate transaction ID",IF(AND(L1446&lt;0,D1446&lt;&gt;"Adjustment"),"Negative amount — check this entry",IF(AND(D1446="Customer Payment",G1446=""),"Add the customer",IF(AND(D1446="Customer Payment",OR(J1446="",COUNTIF(ar_No,J1446&amp;"")=0)),"Invoice # in Reference not found on AR sheet",IF(AND(D1446="Bill Payment",H1446=""),"Add the vendor",IF(AND(D1446="Bill Payment",OR(J1446="",COUNTIFS(ap_No,J1446&amp;"",ap_Party,H1446&amp;"")=0)),"Bill # + vendor not found on AP sheet",IF(AND(ISNUMBER(M1446),N(M1446)&lt;&gt;0,W1446=0),"Tax ignored (tax tracking off, or not allowed for this type)",IF(V1446=K1446&amp;"","Same account on both sides",IF(AND(ISNUMBER(StartDate),C1446&lt;StartDate),"Date is before the accounting start date",IF(AND(D1446&lt;&gt;"Adjustment",IFERROR(INDEX(coa_Pay,MATCH(K1446&amp;"",coa_Name,0)),"")&lt;&gt;"Yes"),"Paid From / Deposited To is not a payment account","")))))))))))</f>
        <v/>
      </c>
      <c r="Z1446" s="67">
        <f>IF(AND(T1446=0,X1446=""),1,0)</f>
        <v/>
      </c>
      <c r="AA1446" s="68">
        <f>IF(Z1446=1,IF(U1446="In",L1446,L1446-W1446),0)</f>
        <v/>
      </c>
      <c r="AB1446" s="68">
        <f>IF(Z1446=1,IF(U1446="In",L1446-W1446,L1446),0)</f>
        <v/>
      </c>
      <c r="AC1446" s="68">
        <f>IF(AND(Z1446=1,U1446="Out"),W1446,0)</f>
        <v/>
      </c>
      <c r="AD1446" s="68">
        <f>IF(AND(Z1446=1,U1446="In"),W1446,0)</f>
        <v/>
      </c>
    </row>
    <row r="1447">
      <c r="B1447" s="62" t="inlineStr">
        <is>
          <t>TX-1441</t>
        </is>
      </c>
      <c r="C1447" s="63" t="n"/>
      <c r="D1447" s="62" t="n"/>
      <c r="E1447" s="62" t="n"/>
      <c r="F1447" s="62" t="n"/>
      <c r="G1447" s="62" t="n"/>
      <c r="H1447" s="62" t="n"/>
      <c r="I1447" s="62" t="n"/>
      <c r="J1447" s="62" t="n"/>
      <c r="K1447" s="62" t="n"/>
      <c r="L1447" s="64" t="n"/>
      <c r="M1447" s="64" t="n"/>
      <c r="N1447" s="62" t="n"/>
      <c r="O1447" s="65">
        <f>IF(Z1447=1,L1447-W1447,"")</f>
        <v/>
      </c>
      <c r="P1447" s="66">
        <f>IF(V1447="","",IFERROR(INDEX(coa_Type,MATCH(V1447,coa_Name,0)),""))</f>
        <v/>
      </c>
      <c r="Q1447" s="66">
        <f>IF(Z1447=1,IF(U1447="In",K1447&amp;"",V1447),"")</f>
        <v/>
      </c>
      <c r="R1447" s="66">
        <f>IF(Z1447=1,IF(U1447="In",V1447,K1447&amp;""),"")</f>
        <v/>
      </c>
      <c r="S1447" s="66">
        <f>IF(X1447&lt;&gt;"","⛔ "&amp;X1447&amp;" — not posted",IF(Y1447&lt;&gt;"","⚠ "&amp;Y1447,IF(Z1447=1,"✓ OK","")))</f>
        <v/>
      </c>
      <c r="T1447" s="67">
        <f>IF(AND(C1447="",D1447="",E1447="",L1447="",K1447=""),1,0)</f>
        <v/>
      </c>
      <c r="U1447" s="67">
        <f>IFERROR(INDEX(tt_Dir,MATCH(D1447,tt_Type,0)),"")</f>
        <v/>
      </c>
      <c r="V1447" s="67">
        <f>IF(D1447="","",IFERROR(IF(INDEX(tt_Other,MATCH(D1447,tt_Type,0))="",E1447&amp;"",INDEX(tt_Other,MATCH(D1447,tt_Type,0))),""))</f>
        <v/>
      </c>
      <c r="W1447" s="68">
        <f>IF(OR(TaxOn&lt;&gt;"Yes",NOT(ISNUMBER(M1447))),0,IF(IFERROR(INDEX(tt_Tax,MATCH(D1447,tt_Type,0)),"No")="Yes",M1447,0))</f>
        <v/>
      </c>
      <c r="X1447" s="67">
        <f>IF(T1447=1,"",IF(C1447="","Missing transaction date",IF(NOT(ISNUMBER(C1447)),"Invalid date",IF(OR(C1447&lt;DATE(2000,1,1),C1447&gt;DATE(2099,12,31)),"Invalid date",IF(D1447="","Select a type",IF(U1447="","Unknown type: "&amp;D1447,IF(V1447="","Select an account (Category)",IF(ISNA(MATCH(V1447,coa_Name,0)),"Unknown account: "&amp;V1447,IF(K1447="","Select Paid From / Deposited To",IF(ISNA(MATCH(K1447,coa_Name,0)),"Unknown account: "&amp;K1447,IF(NOT(ISNUMBER(L1447)),"Enter an amount",IF(L1447=0,"Enter an amount",IF(ABS(W1447)&gt;ABS(L1447),"Tax is larger than the amount","")))))))))))))</f>
        <v/>
      </c>
      <c r="Y1447" s="67">
        <f>IF(OR(T1447=1,X1447&lt;&gt;""),"",IF(AND(B1447&lt;&gt;"",COUNTIF(tx_ID,B1447)&gt;1),"Duplicate transaction ID",IF(AND(L1447&lt;0,D1447&lt;&gt;"Adjustment"),"Negative amount — check this entry",IF(AND(D1447="Customer Payment",G1447=""),"Add the customer",IF(AND(D1447="Customer Payment",OR(J1447="",COUNTIF(ar_No,J1447&amp;"")=0)),"Invoice # in Reference not found on AR sheet",IF(AND(D1447="Bill Payment",H1447=""),"Add the vendor",IF(AND(D1447="Bill Payment",OR(J1447="",COUNTIFS(ap_No,J1447&amp;"",ap_Party,H1447&amp;"")=0)),"Bill # + vendor not found on AP sheet",IF(AND(ISNUMBER(M1447),N(M1447)&lt;&gt;0,W1447=0),"Tax ignored (tax tracking off, or not allowed for this type)",IF(V1447=K1447&amp;"","Same account on both sides",IF(AND(ISNUMBER(StartDate),C1447&lt;StartDate),"Date is before the accounting start date",IF(AND(D1447&lt;&gt;"Adjustment",IFERROR(INDEX(coa_Pay,MATCH(K1447&amp;"",coa_Name,0)),"")&lt;&gt;"Yes"),"Paid From / Deposited To is not a payment account","")))))))))))</f>
        <v/>
      </c>
      <c r="Z1447" s="67">
        <f>IF(AND(T1447=0,X1447=""),1,0)</f>
        <v/>
      </c>
      <c r="AA1447" s="68">
        <f>IF(Z1447=1,IF(U1447="In",L1447,L1447-W1447),0)</f>
        <v/>
      </c>
      <c r="AB1447" s="68">
        <f>IF(Z1447=1,IF(U1447="In",L1447-W1447,L1447),0)</f>
        <v/>
      </c>
      <c r="AC1447" s="68">
        <f>IF(AND(Z1447=1,U1447="Out"),W1447,0)</f>
        <v/>
      </c>
      <c r="AD1447" s="68">
        <f>IF(AND(Z1447=1,U1447="In"),W1447,0)</f>
        <v/>
      </c>
    </row>
    <row r="1448">
      <c r="B1448" s="62" t="inlineStr">
        <is>
          <t>TX-1442</t>
        </is>
      </c>
      <c r="C1448" s="63" t="n"/>
      <c r="D1448" s="62" t="n"/>
      <c r="E1448" s="62" t="n"/>
      <c r="F1448" s="62" t="n"/>
      <c r="G1448" s="62" t="n"/>
      <c r="H1448" s="62" t="n"/>
      <c r="I1448" s="62" t="n"/>
      <c r="J1448" s="62" t="n"/>
      <c r="K1448" s="62" t="n"/>
      <c r="L1448" s="64" t="n"/>
      <c r="M1448" s="64" t="n"/>
      <c r="N1448" s="62" t="n"/>
      <c r="O1448" s="65">
        <f>IF(Z1448=1,L1448-W1448,"")</f>
        <v/>
      </c>
      <c r="P1448" s="66">
        <f>IF(V1448="","",IFERROR(INDEX(coa_Type,MATCH(V1448,coa_Name,0)),""))</f>
        <v/>
      </c>
      <c r="Q1448" s="66">
        <f>IF(Z1448=1,IF(U1448="In",K1448&amp;"",V1448),"")</f>
        <v/>
      </c>
      <c r="R1448" s="66">
        <f>IF(Z1448=1,IF(U1448="In",V1448,K1448&amp;""),"")</f>
        <v/>
      </c>
      <c r="S1448" s="66">
        <f>IF(X1448&lt;&gt;"","⛔ "&amp;X1448&amp;" — not posted",IF(Y1448&lt;&gt;"","⚠ "&amp;Y1448,IF(Z1448=1,"✓ OK","")))</f>
        <v/>
      </c>
      <c r="T1448" s="67">
        <f>IF(AND(C1448="",D1448="",E1448="",L1448="",K1448=""),1,0)</f>
        <v/>
      </c>
      <c r="U1448" s="67">
        <f>IFERROR(INDEX(tt_Dir,MATCH(D1448,tt_Type,0)),"")</f>
        <v/>
      </c>
      <c r="V1448" s="67">
        <f>IF(D1448="","",IFERROR(IF(INDEX(tt_Other,MATCH(D1448,tt_Type,0))="",E1448&amp;"",INDEX(tt_Other,MATCH(D1448,tt_Type,0))),""))</f>
        <v/>
      </c>
      <c r="W1448" s="68">
        <f>IF(OR(TaxOn&lt;&gt;"Yes",NOT(ISNUMBER(M1448))),0,IF(IFERROR(INDEX(tt_Tax,MATCH(D1448,tt_Type,0)),"No")="Yes",M1448,0))</f>
        <v/>
      </c>
      <c r="X1448" s="67">
        <f>IF(T1448=1,"",IF(C1448="","Missing transaction date",IF(NOT(ISNUMBER(C1448)),"Invalid date",IF(OR(C1448&lt;DATE(2000,1,1),C1448&gt;DATE(2099,12,31)),"Invalid date",IF(D1448="","Select a type",IF(U1448="","Unknown type: "&amp;D1448,IF(V1448="","Select an account (Category)",IF(ISNA(MATCH(V1448,coa_Name,0)),"Unknown account: "&amp;V1448,IF(K1448="","Select Paid From / Deposited To",IF(ISNA(MATCH(K1448,coa_Name,0)),"Unknown account: "&amp;K1448,IF(NOT(ISNUMBER(L1448)),"Enter an amount",IF(L1448=0,"Enter an amount",IF(ABS(W1448)&gt;ABS(L1448),"Tax is larger than the amount","")))))))))))))</f>
        <v/>
      </c>
      <c r="Y1448" s="67">
        <f>IF(OR(T1448=1,X1448&lt;&gt;""),"",IF(AND(B1448&lt;&gt;"",COUNTIF(tx_ID,B1448)&gt;1),"Duplicate transaction ID",IF(AND(L1448&lt;0,D1448&lt;&gt;"Adjustment"),"Negative amount — check this entry",IF(AND(D1448="Customer Payment",G1448=""),"Add the customer",IF(AND(D1448="Customer Payment",OR(J1448="",COUNTIF(ar_No,J1448&amp;"")=0)),"Invoice # in Reference not found on AR sheet",IF(AND(D1448="Bill Payment",H1448=""),"Add the vendor",IF(AND(D1448="Bill Payment",OR(J1448="",COUNTIFS(ap_No,J1448&amp;"",ap_Party,H1448&amp;"")=0)),"Bill # + vendor not found on AP sheet",IF(AND(ISNUMBER(M1448),N(M1448)&lt;&gt;0,W1448=0),"Tax ignored (tax tracking off, or not allowed for this type)",IF(V1448=K1448&amp;"","Same account on both sides",IF(AND(ISNUMBER(StartDate),C1448&lt;StartDate),"Date is before the accounting start date",IF(AND(D1448&lt;&gt;"Adjustment",IFERROR(INDEX(coa_Pay,MATCH(K1448&amp;"",coa_Name,0)),"")&lt;&gt;"Yes"),"Paid From / Deposited To is not a payment account","")))))))))))</f>
        <v/>
      </c>
      <c r="Z1448" s="67">
        <f>IF(AND(T1448=0,X1448=""),1,0)</f>
        <v/>
      </c>
      <c r="AA1448" s="68">
        <f>IF(Z1448=1,IF(U1448="In",L1448,L1448-W1448),0)</f>
        <v/>
      </c>
      <c r="AB1448" s="68">
        <f>IF(Z1448=1,IF(U1448="In",L1448-W1448,L1448),0)</f>
        <v/>
      </c>
      <c r="AC1448" s="68">
        <f>IF(AND(Z1448=1,U1448="Out"),W1448,0)</f>
        <v/>
      </c>
      <c r="AD1448" s="68">
        <f>IF(AND(Z1448=1,U1448="In"),W1448,0)</f>
        <v/>
      </c>
    </row>
    <row r="1449">
      <c r="B1449" s="62" t="inlineStr">
        <is>
          <t>TX-1443</t>
        </is>
      </c>
      <c r="C1449" s="63" t="n"/>
      <c r="D1449" s="62" t="n"/>
      <c r="E1449" s="62" t="n"/>
      <c r="F1449" s="62" t="n"/>
      <c r="G1449" s="62" t="n"/>
      <c r="H1449" s="62" t="n"/>
      <c r="I1449" s="62" t="n"/>
      <c r="J1449" s="62" t="n"/>
      <c r="K1449" s="62" t="n"/>
      <c r="L1449" s="64" t="n"/>
      <c r="M1449" s="64" t="n"/>
      <c r="N1449" s="62" t="n"/>
      <c r="O1449" s="65">
        <f>IF(Z1449=1,L1449-W1449,"")</f>
        <v/>
      </c>
      <c r="P1449" s="66">
        <f>IF(V1449="","",IFERROR(INDEX(coa_Type,MATCH(V1449,coa_Name,0)),""))</f>
        <v/>
      </c>
      <c r="Q1449" s="66">
        <f>IF(Z1449=1,IF(U1449="In",K1449&amp;"",V1449),"")</f>
        <v/>
      </c>
      <c r="R1449" s="66">
        <f>IF(Z1449=1,IF(U1449="In",V1449,K1449&amp;""),"")</f>
        <v/>
      </c>
      <c r="S1449" s="66">
        <f>IF(X1449&lt;&gt;"","⛔ "&amp;X1449&amp;" — not posted",IF(Y1449&lt;&gt;"","⚠ "&amp;Y1449,IF(Z1449=1,"✓ OK","")))</f>
        <v/>
      </c>
      <c r="T1449" s="67">
        <f>IF(AND(C1449="",D1449="",E1449="",L1449="",K1449=""),1,0)</f>
        <v/>
      </c>
      <c r="U1449" s="67">
        <f>IFERROR(INDEX(tt_Dir,MATCH(D1449,tt_Type,0)),"")</f>
        <v/>
      </c>
      <c r="V1449" s="67">
        <f>IF(D1449="","",IFERROR(IF(INDEX(tt_Other,MATCH(D1449,tt_Type,0))="",E1449&amp;"",INDEX(tt_Other,MATCH(D1449,tt_Type,0))),""))</f>
        <v/>
      </c>
      <c r="W1449" s="68">
        <f>IF(OR(TaxOn&lt;&gt;"Yes",NOT(ISNUMBER(M1449))),0,IF(IFERROR(INDEX(tt_Tax,MATCH(D1449,tt_Type,0)),"No")="Yes",M1449,0))</f>
        <v/>
      </c>
      <c r="X1449" s="67">
        <f>IF(T1449=1,"",IF(C1449="","Missing transaction date",IF(NOT(ISNUMBER(C1449)),"Invalid date",IF(OR(C1449&lt;DATE(2000,1,1),C1449&gt;DATE(2099,12,31)),"Invalid date",IF(D1449="","Select a type",IF(U1449="","Unknown type: "&amp;D1449,IF(V1449="","Select an account (Category)",IF(ISNA(MATCH(V1449,coa_Name,0)),"Unknown account: "&amp;V1449,IF(K1449="","Select Paid From / Deposited To",IF(ISNA(MATCH(K1449,coa_Name,0)),"Unknown account: "&amp;K1449,IF(NOT(ISNUMBER(L1449)),"Enter an amount",IF(L1449=0,"Enter an amount",IF(ABS(W1449)&gt;ABS(L1449),"Tax is larger than the amount","")))))))))))))</f>
        <v/>
      </c>
      <c r="Y1449" s="67">
        <f>IF(OR(T1449=1,X1449&lt;&gt;""),"",IF(AND(B1449&lt;&gt;"",COUNTIF(tx_ID,B1449)&gt;1),"Duplicate transaction ID",IF(AND(L1449&lt;0,D1449&lt;&gt;"Adjustment"),"Negative amount — check this entry",IF(AND(D1449="Customer Payment",G1449=""),"Add the customer",IF(AND(D1449="Customer Payment",OR(J1449="",COUNTIF(ar_No,J1449&amp;"")=0)),"Invoice # in Reference not found on AR sheet",IF(AND(D1449="Bill Payment",H1449=""),"Add the vendor",IF(AND(D1449="Bill Payment",OR(J1449="",COUNTIFS(ap_No,J1449&amp;"",ap_Party,H1449&amp;"")=0)),"Bill # + vendor not found on AP sheet",IF(AND(ISNUMBER(M1449),N(M1449)&lt;&gt;0,W1449=0),"Tax ignored (tax tracking off, or not allowed for this type)",IF(V1449=K1449&amp;"","Same account on both sides",IF(AND(ISNUMBER(StartDate),C1449&lt;StartDate),"Date is before the accounting start date",IF(AND(D1449&lt;&gt;"Adjustment",IFERROR(INDEX(coa_Pay,MATCH(K1449&amp;"",coa_Name,0)),"")&lt;&gt;"Yes"),"Paid From / Deposited To is not a payment account","")))))))))))</f>
        <v/>
      </c>
      <c r="Z1449" s="67">
        <f>IF(AND(T1449=0,X1449=""),1,0)</f>
        <v/>
      </c>
      <c r="AA1449" s="68">
        <f>IF(Z1449=1,IF(U1449="In",L1449,L1449-W1449),0)</f>
        <v/>
      </c>
      <c r="AB1449" s="68">
        <f>IF(Z1449=1,IF(U1449="In",L1449-W1449,L1449),0)</f>
        <v/>
      </c>
      <c r="AC1449" s="68">
        <f>IF(AND(Z1449=1,U1449="Out"),W1449,0)</f>
        <v/>
      </c>
      <c r="AD1449" s="68">
        <f>IF(AND(Z1449=1,U1449="In"),W1449,0)</f>
        <v/>
      </c>
    </row>
    <row r="1450">
      <c r="B1450" s="62" t="inlineStr">
        <is>
          <t>TX-1444</t>
        </is>
      </c>
      <c r="C1450" s="63" t="n"/>
      <c r="D1450" s="62" t="n"/>
      <c r="E1450" s="62" t="n"/>
      <c r="F1450" s="62" t="n"/>
      <c r="G1450" s="62" t="n"/>
      <c r="H1450" s="62" t="n"/>
      <c r="I1450" s="62" t="n"/>
      <c r="J1450" s="62" t="n"/>
      <c r="K1450" s="62" t="n"/>
      <c r="L1450" s="64" t="n"/>
      <c r="M1450" s="64" t="n"/>
      <c r="N1450" s="62" t="n"/>
      <c r="O1450" s="65">
        <f>IF(Z1450=1,L1450-W1450,"")</f>
        <v/>
      </c>
      <c r="P1450" s="66">
        <f>IF(V1450="","",IFERROR(INDEX(coa_Type,MATCH(V1450,coa_Name,0)),""))</f>
        <v/>
      </c>
      <c r="Q1450" s="66">
        <f>IF(Z1450=1,IF(U1450="In",K1450&amp;"",V1450),"")</f>
        <v/>
      </c>
      <c r="R1450" s="66">
        <f>IF(Z1450=1,IF(U1450="In",V1450,K1450&amp;""),"")</f>
        <v/>
      </c>
      <c r="S1450" s="66">
        <f>IF(X1450&lt;&gt;"","⛔ "&amp;X1450&amp;" — not posted",IF(Y1450&lt;&gt;"","⚠ "&amp;Y1450,IF(Z1450=1,"✓ OK","")))</f>
        <v/>
      </c>
      <c r="T1450" s="67">
        <f>IF(AND(C1450="",D1450="",E1450="",L1450="",K1450=""),1,0)</f>
        <v/>
      </c>
      <c r="U1450" s="67">
        <f>IFERROR(INDEX(tt_Dir,MATCH(D1450,tt_Type,0)),"")</f>
        <v/>
      </c>
      <c r="V1450" s="67">
        <f>IF(D1450="","",IFERROR(IF(INDEX(tt_Other,MATCH(D1450,tt_Type,0))="",E1450&amp;"",INDEX(tt_Other,MATCH(D1450,tt_Type,0))),""))</f>
        <v/>
      </c>
      <c r="W1450" s="68">
        <f>IF(OR(TaxOn&lt;&gt;"Yes",NOT(ISNUMBER(M1450))),0,IF(IFERROR(INDEX(tt_Tax,MATCH(D1450,tt_Type,0)),"No")="Yes",M1450,0))</f>
        <v/>
      </c>
      <c r="X1450" s="67">
        <f>IF(T1450=1,"",IF(C1450="","Missing transaction date",IF(NOT(ISNUMBER(C1450)),"Invalid date",IF(OR(C1450&lt;DATE(2000,1,1),C1450&gt;DATE(2099,12,31)),"Invalid date",IF(D1450="","Select a type",IF(U1450="","Unknown type: "&amp;D1450,IF(V1450="","Select an account (Category)",IF(ISNA(MATCH(V1450,coa_Name,0)),"Unknown account: "&amp;V1450,IF(K1450="","Select Paid From / Deposited To",IF(ISNA(MATCH(K1450,coa_Name,0)),"Unknown account: "&amp;K1450,IF(NOT(ISNUMBER(L1450)),"Enter an amount",IF(L1450=0,"Enter an amount",IF(ABS(W1450)&gt;ABS(L1450),"Tax is larger than the amount","")))))))))))))</f>
        <v/>
      </c>
      <c r="Y1450" s="67">
        <f>IF(OR(T1450=1,X1450&lt;&gt;""),"",IF(AND(B1450&lt;&gt;"",COUNTIF(tx_ID,B1450)&gt;1),"Duplicate transaction ID",IF(AND(L1450&lt;0,D1450&lt;&gt;"Adjustment"),"Negative amount — check this entry",IF(AND(D1450="Customer Payment",G1450=""),"Add the customer",IF(AND(D1450="Customer Payment",OR(J1450="",COUNTIF(ar_No,J1450&amp;"")=0)),"Invoice # in Reference not found on AR sheet",IF(AND(D1450="Bill Payment",H1450=""),"Add the vendor",IF(AND(D1450="Bill Payment",OR(J1450="",COUNTIFS(ap_No,J1450&amp;"",ap_Party,H1450&amp;"")=0)),"Bill # + vendor not found on AP sheet",IF(AND(ISNUMBER(M1450),N(M1450)&lt;&gt;0,W1450=0),"Tax ignored (tax tracking off, or not allowed for this type)",IF(V1450=K1450&amp;"","Same account on both sides",IF(AND(ISNUMBER(StartDate),C1450&lt;StartDate),"Date is before the accounting start date",IF(AND(D1450&lt;&gt;"Adjustment",IFERROR(INDEX(coa_Pay,MATCH(K1450&amp;"",coa_Name,0)),"")&lt;&gt;"Yes"),"Paid From / Deposited To is not a payment account","")))))))))))</f>
        <v/>
      </c>
      <c r="Z1450" s="67">
        <f>IF(AND(T1450=0,X1450=""),1,0)</f>
        <v/>
      </c>
      <c r="AA1450" s="68">
        <f>IF(Z1450=1,IF(U1450="In",L1450,L1450-W1450),0)</f>
        <v/>
      </c>
      <c r="AB1450" s="68">
        <f>IF(Z1450=1,IF(U1450="In",L1450-W1450,L1450),0)</f>
        <v/>
      </c>
      <c r="AC1450" s="68">
        <f>IF(AND(Z1450=1,U1450="Out"),W1450,0)</f>
        <v/>
      </c>
      <c r="AD1450" s="68">
        <f>IF(AND(Z1450=1,U1450="In"),W1450,0)</f>
        <v/>
      </c>
    </row>
    <row r="1451">
      <c r="B1451" s="62" t="inlineStr">
        <is>
          <t>TX-1445</t>
        </is>
      </c>
      <c r="C1451" s="63" t="n"/>
      <c r="D1451" s="62" t="n"/>
      <c r="E1451" s="62" t="n"/>
      <c r="F1451" s="62" t="n"/>
      <c r="G1451" s="62" t="n"/>
      <c r="H1451" s="62" t="n"/>
      <c r="I1451" s="62" t="n"/>
      <c r="J1451" s="62" t="n"/>
      <c r="K1451" s="62" t="n"/>
      <c r="L1451" s="64" t="n"/>
      <c r="M1451" s="64" t="n"/>
      <c r="N1451" s="62" t="n"/>
      <c r="O1451" s="65">
        <f>IF(Z1451=1,L1451-W1451,"")</f>
        <v/>
      </c>
      <c r="P1451" s="66">
        <f>IF(V1451="","",IFERROR(INDEX(coa_Type,MATCH(V1451,coa_Name,0)),""))</f>
        <v/>
      </c>
      <c r="Q1451" s="66">
        <f>IF(Z1451=1,IF(U1451="In",K1451&amp;"",V1451),"")</f>
        <v/>
      </c>
      <c r="R1451" s="66">
        <f>IF(Z1451=1,IF(U1451="In",V1451,K1451&amp;""),"")</f>
        <v/>
      </c>
      <c r="S1451" s="66">
        <f>IF(X1451&lt;&gt;"","⛔ "&amp;X1451&amp;" — not posted",IF(Y1451&lt;&gt;"","⚠ "&amp;Y1451,IF(Z1451=1,"✓ OK","")))</f>
        <v/>
      </c>
      <c r="T1451" s="67">
        <f>IF(AND(C1451="",D1451="",E1451="",L1451="",K1451=""),1,0)</f>
        <v/>
      </c>
      <c r="U1451" s="67">
        <f>IFERROR(INDEX(tt_Dir,MATCH(D1451,tt_Type,0)),"")</f>
        <v/>
      </c>
      <c r="V1451" s="67">
        <f>IF(D1451="","",IFERROR(IF(INDEX(tt_Other,MATCH(D1451,tt_Type,0))="",E1451&amp;"",INDEX(tt_Other,MATCH(D1451,tt_Type,0))),""))</f>
        <v/>
      </c>
      <c r="W1451" s="68">
        <f>IF(OR(TaxOn&lt;&gt;"Yes",NOT(ISNUMBER(M1451))),0,IF(IFERROR(INDEX(tt_Tax,MATCH(D1451,tt_Type,0)),"No")="Yes",M1451,0))</f>
        <v/>
      </c>
      <c r="X1451" s="67">
        <f>IF(T1451=1,"",IF(C1451="","Missing transaction date",IF(NOT(ISNUMBER(C1451)),"Invalid date",IF(OR(C1451&lt;DATE(2000,1,1),C1451&gt;DATE(2099,12,31)),"Invalid date",IF(D1451="","Select a type",IF(U1451="","Unknown type: "&amp;D1451,IF(V1451="","Select an account (Category)",IF(ISNA(MATCH(V1451,coa_Name,0)),"Unknown account: "&amp;V1451,IF(K1451="","Select Paid From / Deposited To",IF(ISNA(MATCH(K1451,coa_Name,0)),"Unknown account: "&amp;K1451,IF(NOT(ISNUMBER(L1451)),"Enter an amount",IF(L1451=0,"Enter an amount",IF(ABS(W1451)&gt;ABS(L1451),"Tax is larger than the amount","")))))))))))))</f>
        <v/>
      </c>
      <c r="Y1451" s="67">
        <f>IF(OR(T1451=1,X1451&lt;&gt;""),"",IF(AND(B1451&lt;&gt;"",COUNTIF(tx_ID,B1451)&gt;1),"Duplicate transaction ID",IF(AND(L1451&lt;0,D1451&lt;&gt;"Adjustment"),"Negative amount — check this entry",IF(AND(D1451="Customer Payment",G1451=""),"Add the customer",IF(AND(D1451="Customer Payment",OR(J1451="",COUNTIF(ar_No,J1451&amp;"")=0)),"Invoice # in Reference not found on AR sheet",IF(AND(D1451="Bill Payment",H1451=""),"Add the vendor",IF(AND(D1451="Bill Payment",OR(J1451="",COUNTIFS(ap_No,J1451&amp;"",ap_Party,H1451&amp;"")=0)),"Bill # + vendor not found on AP sheet",IF(AND(ISNUMBER(M1451),N(M1451)&lt;&gt;0,W1451=0),"Tax ignored (tax tracking off, or not allowed for this type)",IF(V1451=K1451&amp;"","Same account on both sides",IF(AND(ISNUMBER(StartDate),C1451&lt;StartDate),"Date is before the accounting start date",IF(AND(D1451&lt;&gt;"Adjustment",IFERROR(INDEX(coa_Pay,MATCH(K1451&amp;"",coa_Name,0)),"")&lt;&gt;"Yes"),"Paid From / Deposited To is not a payment account","")))))))))))</f>
        <v/>
      </c>
      <c r="Z1451" s="67">
        <f>IF(AND(T1451=0,X1451=""),1,0)</f>
        <v/>
      </c>
      <c r="AA1451" s="68">
        <f>IF(Z1451=1,IF(U1451="In",L1451,L1451-W1451),0)</f>
        <v/>
      </c>
      <c r="AB1451" s="68">
        <f>IF(Z1451=1,IF(U1451="In",L1451-W1451,L1451),0)</f>
        <v/>
      </c>
      <c r="AC1451" s="68">
        <f>IF(AND(Z1451=1,U1451="Out"),W1451,0)</f>
        <v/>
      </c>
      <c r="AD1451" s="68">
        <f>IF(AND(Z1451=1,U1451="In"),W1451,0)</f>
        <v/>
      </c>
    </row>
    <row r="1452">
      <c r="B1452" s="62" t="inlineStr">
        <is>
          <t>TX-1446</t>
        </is>
      </c>
      <c r="C1452" s="63" t="n"/>
      <c r="D1452" s="62" t="n"/>
      <c r="E1452" s="62" t="n"/>
      <c r="F1452" s="62" t="n"/>
      <c r="G1452" s="62" t="n"/>
      <c r="H1452" s="62" t="n"/>
      <c r="I1452" s="62" t="n"/>
      <c r="J1452" s="62" t="n"/>
      <c r="K1452" s="62" t="n"/>
      <c r="L1452" s="64" t="n"/>
      <c r="M1452" s="64" t="n"/>
      <c r="N1452" s="62" t="n"/>
      <c r="O1452" s="65">
        <f>IF(Z1452=1,L1452-W1452,"")</f>
        <v/>
      </c>
      <c r="P1452" s="66">
        <f>IF(V1452="","",IFERROR(INDEX(coa_Type,MATCH(V1452,coa_Name,0)),""))</f>
        <v/>
      </c>
      <c r="Q1452" s="66">
        <f>IF(Z1452=1,IF(U1452="In",K1452&amp;"",V1452),"")</f>
        <v/>
      </c>
      <c r="R1452" s="66">
        <f>IF(Z1452=1,IF(U1452="In",V1452,K1452&amp;""),"")</f>
        <v/>
      </c>
      <c r="S1452" s="66">
        <f>IF(X1452&lt;&gt;"","⛔ "&amp;X1452&amp;" — not posted",IF(Y1452&lt;&gt;"","⚠ "&amp;Y1452,IF(Z1452=1,"✓ OK","")))</f>
        <v/>
      </c>
      <c r="T1452" s="67">
        <f>IF(AND(C1452="",D1452="",E1452="",L1452="",K1452=""),1,0)</f>
        <v/>
      </c>
      <c r="U1452" s="67">
        <f>IFERROR(INDEX(tt_Dir,MATCH(D1452,tt_Type,0)),"")</f>
        <v/>
      </c>
      <c r="V1452" s="67">
        <f>IF(D1452="","",IFERROR(IF(INDEX(tt_Other,MATCH(D1452,tt_Type,0))="",E1452&amp;"",INDEX(tt_Other,MATCH(D1452,tt_Type,0))),""))</f>
        <v/>
      </c>
      <c r="W1452" s="68">
        <f>IF(OR(TaxOn&lt;&gt;"Yes",NOT(ISNUMBER(M1452))),0,IF(IFERROR(INDEX(tt_Tax,MATCH(D1452,tt_Type,0)),"No")="Yes",M1452,0))</f>
        <v/>
      </c>
      <c r="X1452" s="67">
        <f>IF(T1452=1,"",IF(C1452="","Missing transaction date",IF(NOT(ISNUMBER(C1452)),"Invalid date",IF(OR(C1452&lt;DATE(2000,1,1),C1452&gt;DATE(2099,12,31)),"Invalid date",IF(D1452="","Select a type",IF(U1452="","Unknown type: "&amp;D1452,IF(V1452="","Select an account (Category)",IF(ISNA(MATCH(V1452,coa_Name,0)),"Unknown account: "&amp;V1452,IF(K1452="","Select Paid From / Deposited To",IF(ISNA(MATCH(K1452,coa_Name,0)),"Unknown account: "&amp;K1452,IF(NOT(ISNUMBER(L1452)),"Enter an amount",IF(L1452=0,"Enter an amount",IF(ABS(W1452)&gt;ABS(L1452),"Tax is larger than the amount","")))))))))))))</f>
        <v/>
      </c>
      <c r="Y1452" s="67">
        <f>IF(OR(T1452=1,X1452&lt;&gt;""),"",IF(AND(B1452&lt;&gt;"",COUNTIF(tx_ID,B1452)&gt;1),"Duplicate transaction ID",IF(AND(L1452&lt;0,D1452&lt;&gt;"Adjustment"),"Negative amount — check this entry",IF(AND(D1452="Customer Payment",G1452=""),"Add the customer",IF(AND(D1452="Customer Payment",OR(J1452="",COUNTIF(ar_No,J1452&amp;"")=0)),"Invoice # in Reference not found on AR sheet",IF(AND(D1452="Bill Payment",H1452=""),"Add the vendor",IF(AND(D1452="Bill Payment",OR(J1452="",COUNTIFS(ap_No,J1452&amp;"",ap_Party,H1452&amp;"")=0)),"Bill # + vendor not found on AP sheet",IF(AND(ISNUMBER(M1452),N(M1452)&lt;&gt;0,W1452=0),"Tax ignored (tax tracking off, or not allowed for this type)",IF(V1452=K1452&amp;"","Same account on both sides",IF(AND(ISNUMBER(StartDate),C1452&lt;StartDate),"Date is before the accounting start date",IF(AND(D1452&lt;&gt;"Adjustment",IFERROR(INDEX(coa_Pay,MATCH(K1452&amp;"",coa_Name,0)),"")&lt;&gt;"Yes"),"Paid From / Deposited To is not a payment account","")))))))))))</f>
        <v/>
      </c>
      <c r="Z1452" s="67">
        <f>IF(AND(T1452=0,X1452=""),1,0)</f>
        <v/>
      </c>
      <c r="AA1452" s="68">
        <f>IF(Z1452=1,IF(U1452="In",L1452,L1452-W1452),0)</f>
        <v/>
      </c>
      <c r="AB1452" s="68">
        <f>IF(Z1452=1,IF(U1452="In",L1452-W1452,L1452),0)</f>
        <v/>
      </c>
      <c r="AC1452" s="68">
        <f>IF(AND(Z1452=1,U1452="Out"),W1452,0)</f>
        <v/>
      </c>
      <c r="AD1452" s="68">
        <f>IF(AND(Z1452=1,U1452="In"),W1452,0)</f>
        <v/>
      </c>
    </row>
    <row r="1453">
      <c r="B1453" s="62" t="inlineStr">
        <is>
          <t>TX-1447</t>
        </is>
      </c>
      <c r="C1453" s="63" t="n"/>
      <c r="D1453" s="62" t="n"/>
      <c r="E1453" s="62" t="n"/>
      <c r="F1453" s="62" t="n"/>
      <c r="G1453" s="62" t="n"/>
      <c r="H1453" s="62" t="n"/>
      <c r="I1453" s="62" t="n"/>
      <c r="J1453" s="62" t="n"/>
      <c r="K1453" s="62" t="n"/>
      <c r="L1453" s="64" t="n"/>
      <c r="M1453" s="64" t="n"/>
      <c r="N1453" s="62" t="n"/>
      <c r="O1453" s="65">
        <f>IF(Z1453=1,L1453-W1453,"")</f>
        <v/>
      </c>
      <c r="P1453" s="66">
        <f>IF(V1453="","",IFERROR(INDEX(coa_Type,MATCH(V1453,coa_Name,0)),""))</f>
        <v/>
      </c>
      <c r="Q1453" s="66">
        <f>IF(Z1453=1,IF(U1453="In",K1453&amp;"",V1453),"")</f>
        <v/>
      </c>
      <c r="R1453" s="66">
        <f>IF(Z1453=1,IF(U1453="In",V1453,K1453&amp;""),"")</f>
        <v/>
      </c>
      <c r="S1453" s="66">
        <f>IF(X1453&lt;&gt;"","⛔ "&amp;X1453&amp;" — not posted",IF(Y1453&lt;&gt;"","⚠ "&amp;Y1453,IF(Z1453=1,"✓ OK","")))</f>
        <v/>
      </c>
      <c r="T1453" s="67">
        <f>IF(AND(C1453="",D1453="",E1453="",L1453="",K1453=""),1,0)</f>
        <v/>
      </c>
      <c r="U1453" s="67">
        <f>IFERROR(INDEX(tt_Dir,MATCH(D1453,tt_Type,0)),"")</f>
        <v/>
      </c>
      <c r="V1453" s="67">
        <f>IF(D1453="","",IFERROR(IF(INDEX(tt_Other,MATCH(D1453,tt_Type,0))="",E1453&amp;"",INDEX(tt_Other,MATCH(D1453,tt_Type,0))),""))</f>
        <v/>
      </c>
      <c r="W1453" s="68">
        <f>IF(OR(TaxOn&lt;&gt;"Yes",NOT(ISNUMBER(M1453))),0,IF(IFERROR(INDEX(tt_Tax,MATCH(D1453,tt_Type,0)),"No")="Yes",M1453,0))</f>
        <v/>
      </c>
      <c r="X1453" s="67">
        <f>IF(T1453=1,"",IF(C1453="","Missing transaction date",IF(NOT(ISNUMBER(C1453)),"Invalid date",IF(OR(C1453&lt;DATE(2000,1,1),C1453&gt;DATE(2099,12,31)),"Invalid date",IF(D1453="","Select a type",IF(U1453="","Unknown type: "&amp;D1453,IF(V1453="","Select an account (Category)",IF(ISNA(MATCH(V1453,coa_Name,0)),"Unknown account: "&amp;V1453,IF(K1453="","Select Paid From / Deposited To",IF(ISNA(MATCH(K1453,coa_Name,0)),"Unknown account: "&amp;K1453,IF(NOT(ISNUMBER(L1453)),"Enter an amount",IF(L1453=0,"Enter an amount",IF(ABS(W1453)&gt;ABS(L1453),"Tax is larger than the amount","")))))))))))))</f>
        <v/>
      </c>
      <c r="Y1453" s="67">
        <f>IF(OR(T1453=1,X1453&lt;&gt;""),"",IF(AND(B1453&lt;&gt;"",COUNTIF(tx_ID,B1453)&gt;1),"Duplicate transaction ID",IF(AND(L1453&lt;0,D1453&lt;&gt;"Adjustment"),"Negative amount — check this entry",IF(AND(D1453="Customer Payment",G1453=""),"Add the customer",IF(AND(D1453="Customer Payment",OR(J1453="",COUNTIF(ar_No,J1453&amp;"")=0)),"Invoice # in Reference not found on AR sheet",IF(AND(D1453="Bill Payment",H1453=""),"Add the vendor",IF(AND(D1453="Bill Payment",OR(J1453="",COUNTIFS(ap_No,J1453&amp;"",ap_Party,H1453&amp;"")=0)),"Bill # + vendor not found on AP sheet",IF(AND(ISNUMBER(M1453),N(M1453)&lt;&gt;0,W1453=0),"Tax ignored (tax tracking off, or not allowed for this type)",IF(V1453=K1453&amp;"","Same account on both sides",IF(AND(ISNUMBER(StartDate),C1453&lt;StartDate),"Date is before the accounting start date",IF(AND(D1453&lt;&gt;"Adjustment",IFERROR(INDEX(coa_Pay,MATCH(K1453&amp;"",coa_Name,0)),"")&lt;&gt;"Yes"),"Paid From / Deposited To is not a payment account","")))))))))))</f>
        <v/>
      </c>
      <c r="Z1453" s="67">
        <f>IF(AND(T1453=0,X1453=""),1,0)</f>
        <v/>
      </c>
      <c r="AA1453" s="68">
        <f>IF(Z1453=1,IF(U1453="In",L1453,L1453-W1453),0)</f>
        <v/>
      </c>
      <c r="AB1453" s="68">
        <f>IF(Z1453=1,IF(U1453="In",L1453-W1453,L1453),0)</f>
        <v/>
      </c>
      <c r="AC1453" s="68">
        <f>IF(AND(Z1453=1,U1453="Out"),W1453,0)</f>
        <v/>
      </c>
      <c r="AD1453" s="68">
        <f>IF(AND(Z1453=1,U1453="In"),W1453,0)</f>
        <v/>
      </c>
    </row>
    <row r="1454">
      <c r="B1454" s="62" t="inlineStr">
        <is>
          <t>TX-1448</t>
        </is>
      </c>
      <c r="C1454" s="63" t="n"/>
      <c r="D1454" s="62" t="n"/>
      <c r="E1454" s="62" t="n"/>
      <c r="F1454" s="62" t="n"/>
      <c r="G1454" s="62" t="n"/>
      <c r="H1454" s="62" t="n"/>
      <c r="I1454" s="62" t="n"/>
      <c r="J1454" s="62" t="n"/>
      <c r="K1454" s="62" t="n"/>
      <c r="L1454" s="64" t="n"/>
      <c r="M1454" s="64" t="n"/>
      <c r="N1454" s="62" t="n"/>
      <c r="O1454" s="65">
        <f>IF(Z1454=1,L1454-W1454,"")</f>
        <v/>
      </c>
      <c r="P1454" s="66">
        <f>IF(V1454="","",IFERROR(INDEX(coa_Type,MATCH(V1454,coa_Name,0)),""))</f>
        <v/>
      </c>
      <c r="Q1454" s="66">
        <f>IF(Z1454=1,IF(U1454="In",K1454&amp;"",V1454),"")</f>
        <v/>
      </c>
      <c r="R1454" s="66">
        <f>IF(Z1454=1,IF(U1454="In",V1454,K1454&amp;""),"")</f>
        <v/>
      </c>
      <c r="S1454" s="66">
        <f>IF(X1454&lt;&gt;"","⛔ "&amp;X1454&amp;" — not posted",IF(Y1454&lt;&gt;"","⚠ "&amp;Y1454,IF(Z1454=1,"✓ OK","")))</f>
        <v/>
      </c>
      <c r="T1454" s="67">
        <f>IF(AND(C1454="",D1454="",E1454="",L1454="",K1454=""),1,0)</f>
        <v/>
      </c>
      <c r="U1454" s="67">
        <f>IFERROR(INDEX(tt_Dir,MATCH(D1454,tt_Type,0)),"")</f>
        <v/>
      </c>
      <c r="V1454" s="67">
        <f>IF(D1454="","",IFERROR(IF(INDEX(tt_Other,MATCH(D1454,tt_Type,0))="",E1454&amp;"",INDEX(tt_Other,MATCH(D1454,tt_Type,0))),""))</f>
        <v/>
      </c>
      <c r="W1454" s="68">
        <f>IF(OR(TaxOn&lt;&gt;"Yes",NOT(ISNUMBER(M1454))),0,IF(IFERROR(INDEX(tt_Tax,MATCH(D1454,tt_Type,0)),"No")="Yes",M1454,0))</f>
        <v/>
      </c>
      <c r="X1454" s="67">
        <f>IF(T1454=1,"",IF(C1454="","Missing transaction date",IF(NOT(ISNUMBER(C1454)),"Invalid date",IF(OR(C1454&lt;DATE(2000,1,1),C1454&gt;DATE(2099,12,31)),"Invalid date",IF(D1454="","Select a type",IF(U1454="","Unknown type: "&amp;D1454,IF(V1454="","Select an account (Category)",IF(ISNA(MATCH(V1454,coa_Name,0)),"Unknown account: "&amp;V1454,IF(K1454="","Select Paid From / Deposited To",IF(ISNA(MATCH(K1454,coa_Name,0)),"Unknown account: "&amp;K1454,IF(NOT(ISNUMBER(L1454)),"Enter an amount",IF(L1454=0,"Enter an amount",IF(ABS(W1454)&gt;ABS(L1454),"Tax is larger than the amount","")))))))))))))</f>
        <v/>
      </c>
      <c r="Y1454" s="67">
        <f>IF(OR(T1454=1,X1454&lt;&gt;""),"",IF(AND(B1454&lt;&gt;"",COUNTIF(tx_ID,B1454)&gt;1),"Duplicate transaction ID",IF(AND(L1454&lt;0,D1454&lt;&gt;"Adjustment"),"Negative amount — check this entry",IF(AND(D1454="Customer Payment",G1454=""),"Add the customer",IF(AND(D1454="Customer Payment",OR(J1454="",COUNTIF(ar_No,J1454&amp;"")=0)),"Invoice # in Reference not found on AR sheet",IF(AND(D1454="Bill Payment",H1454=""),"Add the vendor",IF(AND(D1454="Bill Payment",OR(J1454="",COUNTIFS(ap_No,J1454&amp;"",ap_Party,H1454&amp;"")=0)),"Bill # + vendor not found on AP sheet",IF(AND(ISNUMBER(M1454),N(M1454)&lt;&gt;0,W1454=0),"Tax ignored (tax tracking off, or not allowed for this type)",IF(V1454=K1454&amp;"","Same account on both sides",IF(AND(ISNUMBER(StartDate),C1454&lt;StartDate),"Date is before the accounting start date",IF(AND(D1454&lt;&gt;"Adjustment",IFERROR(INDEX(coa_Pay,MATCH(K1454&amp;"",coa_Name,0)),"")&lt;&gt;"Yes"),"Paid From / Deposited To is not a payment account","")))))))))))</f>
        <v/>
      </c>
      <c r="Z1454" s="67">
        <f>IF(AND(T1454=0,X1454=""),1,0)</f>
        <v/>
      </c>
      <c r="AA1454" s="68">
        <f>IF(Z1454=1,IF(U1454="In",L1454,L1454-W1454),0)</f>
        <v/>
      </c>
      <c r="AB1454" s="68">
        <f>IF(Z1454=1,IF(U1454="In",L1454-W1454,L1454),0)</f>
        <v/>
      </c>
      <c r="AC1454" s="68">
        <f>IF(AND(Z1454=1,U1454="Out"),W1454,0)</f>
        <v/>
      </c>
      <c r="AD1454" s="68">
        <f>IF(AND(Z1454=1,U1454="In"),W1454,0)</f>
        <v/>
      </c>
    </row>
    <row r="1455">
      <c r="B1455" s="62" t="inlineStr">
        <is>
          <t>TX-1449</t>
        </is>
      </c>
      <c r="C1455" s="63" t="n"/>
      <c r="D1455" s="62" t="n"/>
      <c r="E1455" s="62" t="n"/>
      <c r="F1455" s="62" t="n"/>
      <c r="G1455" s="62" t="n"/>
      <c r="H1455" s="62" t="n"/>
      <c r="I1455" s="62" t="n"/>
      <c r="J1455" s="62" t="n"/>
      <c r="K1455" s="62" t="n"/>
      <c r="L1455" s="64" t="n"/>
      <c r="M1455" s="64" t="n"/>
      <c r="N1455" s="62" t="n"/>
      <c r="O1455" s="65">
        <f>IF(Z1455=1,L1455-W1455,"")</f>
        <v/>
      </c>
      <c r="P1455" s="66">
        <f>IF(V1455="","",IFERROR(INDEX(coa_Type,MATCH(V1455,coa_Name,0)),""))</f>
        <v/>
      </c>
      <c r="Q1455" s="66">
        <f>IF(Z1455=1,IF(U1455="In",K1455&amp;"",V1455),"")</f>
        <v/>
      </c>
      <c r="R1455" s="66">
        <f>IF(Z1455=1,IF(U1455="In",V1455,K1455&amp;""),"")</f>
        <v/>
      </c>
      <c r="S1455" s="66">
        <f>IF(X1455&lt;&gt;"","⛔ "&amp;X1455&amp;" — not posted",IF(Y1455&lt;&gt;"","⚠ "&amp;Y1455,IF(Z1455=1,"✓ OK","")))</f>
        <v/>
      </c>
      <c r="T1455" s="67">
        <f>IF(AND(C1455="",D1455="",E1455="",L1455="",K1455=""),1,0)</f>
        <v/>
      </c>
      <c r="U1455" s="67">
        <f>IFERROR(INDEX(tt_Dir,MATCH(D1455,tt_Type,0)),"")</f>
        <v/>
      </c>
      <c r="V1455" s="67">
        <f>IF(D1455="","",IFERROR(IF(INDEX(tt_Other,MATCH(D1455,tt_Type,0))="",E1455&amp;"",INDEX(tt_Other,MATCH(D1455,tt_Type,0))),""))</f>
        <v/>
      </c>
      <c r="W1455" s="68">
        <f>IF(OR(TaxOn&lt;&gt;"Yes",NOT(ISNUMBER(M1455))),0,IF(IFERROR(INDEX(tt_Tax,MATCH(D1455,tt_Type,0)),"No")="Yes",M1455,0))</f>
        <v/>
      </c>
      <c r="X1455" s="67">
        <f>IF(T1455=1,"",IF(C1455="","Missing transaction date",IF(NOT(ISNUMBER(C1455)),"Invalid date",IF(OR(C1455&lt;DATE(2000,1,1),C1455&gt;DATE(2099,12,31)),"Invalid date",IF(D1455="","Select a type",IF(U1455="","Unknown type: "&amp;D1455,IF(V1455="","Select an account (Category)",IF(ISNA(MATCH(V1455,coa_Name,0)),"Unknown account: "&amp;V1455,IF(K1455="","Select Paid From / Deposited To",IF(ISNA(MATCH(K1455,coa_Name,0)),"Unknown account: "&amp;K1455,IF(NOT(ISNUMBER(L1455)),"Enter an amount",IF(L1455=0,"Enter an amount",IF(ABS(W1455)&gt;ABS(L1455),"Tax is larger than the amount","")))))))))))))</f>
        <v/>
      </c>
      <c r="Y1455" s="67">
        <f>IF(OR(T1455=1,X1455&lt;&gt;""),"",IF(AND(B1455&lt;&gt;"",COUNTIF(tx_ID,B1455)&gt;1),"Duplicate transaction ID",IF(AND(L1455&lt;0,D1455&lt;&gt;"Adjustment"),"Negative amount — check this entry",IF(AND(D1455="Customer Payment",G1455=""),"Add the customer",IF(AND(D1455="Customer Payment",OR(J1455="",COUNTIF(ar_No,J1455&amp;"")=0)),"Invoice # in Reference not found on AR sheet",IF(AND(D1455="Bill Payment",H1455=""),"Add the vendor",IF(AND(D1455="Bill Payment",OR(J1455="",COUNTIFS(ap_No,J1455&amp;"",ap_Party,H1455&amp;"")=0)),"Bill # + vendor not found on AP sheet",IF(AND(ISNUMBER(M1455),N(M1455)&lt;&gt;0,W1455=0),"Tax ignored (tax tracking off, or not allowed for this type)",IF(V1455=K1455&amp;"","Same account on both sides",IF(AND(ISNUMBER(StartDate),C1455&lt;StartDate),"Date is before the accounting start date",IF(AND(D1455&lt;&gt;"Adjustment",IFERROR(INDEX(coa_Pay,MATCH(K1455&amp;"",coa_Name,0)),"")&lt;&gt;"Yes"),"Paid From / Deposited To is not a payment account","")))))))))))</f>
        <v/>
      </c>
      <c r="Z1455" s="67">
        <f>IF(AND(T1455=0,X1455=""),1,0)</f>
        <v/>
      </c>
      <c r="AA1455" s="68">
        <f>IF(Z1455=1,IF(U1455="In",L1455,L1455-W1455),0)</f>
        <v/>
      </c>
      <c r="AB1455" s="68">
        <f>IF(Z1455=1,IF(U1455="In",L1455-W1455,L1455),0)</f>
        <v/>
      </c>
      <c r="AC1455" s="68">
        <f>IF(AND(Z1455=1,U1455="Out"),W1455,0)</f>
        <v/>
      </c>
      <c r="AD1455" s="68">
        <f>IF(AND(Z1455=1,U1455="In"),W1455,0)</f>
        <v/>
      </c>
    </row>
    <row r="1456">
      <c r="B1456" s="62" t="inlineStr">
        <is>
          <t>TX-1450</t>
        </is>
      </c>
      <c r="C1456" s="63" t="n"/>
      <c r="D1456" s="62" t="n"/>
      <c r="E1456" s="62" t="n"/>
      <c r="F1456" s="62" t="n"/>
      <c r="G1456" s="62" t="n"/>
      <c r="H1456" s="62" t="n"/>
      <c r="I1456" s="62" t="n"/>
      <c r="J1456" s="62" t="n"/>
      <c r="K1456" s="62" t="n"/>
      <c r="L1456" s="64" t="n"/>
      <c r="M1456" s="64" t="n"/>
      <c r="N1456" s="62" t="n"/>
      <c r="O1456" s="65">
        <f>IF(Z1456=1,L1456-W1456,"")</f>
        <v/>
      </c>
      <c r="P1456" s="66">
        <f>IF(V1456="","",IFERROR(INDEX(coa_Type,MATCH(V1456,coa_Name,0)),""))</f>
        <v/>
      </c>
      <c r="Q1456" s="66">
        <f>IF(Z1456=1,IF(U1456="In",K1456&amp;"",V1456),"")</f>
        <v/>
      </c>
      <c r="R1456" s="66">
        <f>IF(Z1456=1,IF(U1456="In",V1456,K1456&amp;""),"")</f>
        <v/>
      </c>
      <c r="S1456" s="66">
        <f>IF(X1456&lt;&gt;"","⛔ "&amp;X1456&amp;" — not posted",IF(Y1456&lt;&gt;"","⚠ "&amp;Y1456,IF(Z1456=1,"✓ OK","")))</f>
        <v/>
      </c>
      <c r="T1456" s="67">
        <f>IF(AND(C1456="",D1456="",E1456="",L1456="",K1456=""),1,0)</f>
        <v/>
      </c>
      <c r="U1456" s="67">
        <f>IFERROR(INDEX(tt_Dir,MATCH(D1456,tt_Type,0)),"")</f>
        <v/>
      </c>
      <c r="V1456" s="67">
        <f>IF(D1456="","",IFERROR(IF(INDEX(tt_Other,MATCH(D1456,tt_Type,0))="",E1456&amp;"",INDEX(tt_Other,MATCH(D1456,tt_Type,0))),""))</f>
        <v/>
      </c>
      <c r="W1456" s="68">
        <f>IF(OR(TaxOn&lt;&gt;"Yes",NOT(ISNUMBER(M1456))),0,IF(IFERROR(INDEX(tt_Tax,MATCH(D1456,tt_Type,0)),"No")="Yes",M1456,0))</f>
        <v/>
      </c>
      <c r="X1456" s="67">
        <f>IF(T1456=1,"",IF(C1456="","Missing transaction date",IF(NOT(ISNUMBER(C1456)),"Invalid date",IF(OR(C1456&lt;DATE(2000,1,1),C1456&gt;DATE(2099,12,31)),"Invalid date",IF(D1456="","Select a type",IF(U1456="","Unknown type: "&amp;D1456,IF(V1456="","Select an account (Category)",IF(ISNA(MATCH(V1456,coa_Name,0)),"Unknown account: "&amp;V1456,IF(K1456="","Select Paid From / Deposited To",IF(ISNA(MATCH(K1456,coa_Name,0)),"Unknown account: "&amp;K1456,IF(NOT(ISNUMBER(L1456)),"Enter an amount",IF(L1456=0,"Enter an amount",IF(ABS(W1456)&gt;ABS(L1456),"Tax is larger than the amount","")))))))))))))</f>
        <v/>
      </c>
      <c r="Y1456" s="67">
        <f>IF(OR(T1456=1,X1456&lt;&gt;""),"",IF(AND(B1456&lt;&gt;"",COUNTIF(tx_ID,B1456)&gt;1),"Duplicate transaction ID",IF(AND(L1456&lt;0,D1456&lt;&gt;"Adjustment"),"Negative amount — check this entry",IF(AND(D1456="Customer Payment",G1456=""),"Add the customer",IF(AND(D1456="Customer Payment",OR(J1456="",COUNTIF(ar_No,J1456&amp;"")=0)),"Invoice # in Reference not found on AR sheet",IF(AND(D1456="Bill Payment",H1456=""),"Add the vendor",IF(AND(D1456="Bill Payment",OR(J1456="",COUNTIFS(ap_No,J1456&amp;"",ap_Party,H1456&amp;"")=0)),"Bill # + vendor not found on AP sheet",IF(AND(ISNUMBER(M1456),N(M1456)&lt;&gt;0,W1456=0),"Tax ignored (tax tracking off, or not allowed for this type)",IF(V1456=K1456&amp;"","Same account on both sides",IF(AND(ISNUMBER(StartDate),C1456&lt;StartDate),"Date is before the accounting start date",IF(AND(D1456&lt;&gt;"Adjustment",IFERROR(INDEX(coa_Pay,MATCH(K1456&amp;"",coa_Name,0)),"")&lt;&gt;"Yes"),"Paid From / Deposited To is not a payment account","")))))))))))</f>
        <v/>
      </c>
      <c r="Z1456" s="67">
        <f>IF(AND(T1456=0,X1456=""),1,0)</f>
        <v/>
      </c>
      <c r="AA1456" s="68">
        <f>IF(Z1456=1,IF(U1456="In",L1456,L1456-W1456),0)</f>
        <v/>
      </c>
      <c r="AB1456" s="68">
        <f>IF(Z1456=1,IF(U1456="In",L1456-W1456,L1456),0)</f>
        <v/>
      </c>
      <c r="AC1456" s="68">
        <f>IF(AND(Z1456=1,U1456="Out"),W1456,0)</f>
        <v/>
      </c>
      <c r="AD1456" s="68">
        <f>IF(AND(Z1456=1,U1456="In"),W1456,0)</f>
        <v/>
      </c>
    </row>
    <row r="1457">
      <c r="B1457" s="62" t="inlineStr">
        <is>
          <t>TX-1451</t>
        </is>
      </c>
      <c r="C1457" s="63" t="n"/>
      <c r="D1457" s="62" t="n"/>
      <c r="E1457" s="62" t="n"/>
      <c r="F1457" s="62" t="n"/>
      <c r="G1457" s="62" t="n"/>
      <c r="H1457" s="62" t="n"/>
      <c r="I1457" s="62" t="n"/>
      <c r="J1457" s="62" t="n"/>
      <c r="K1457" s="62" t="n"/>
      <c r="L1457" s="64" t="n"/>
      <c r="M1457" s="64" t="n"/>
      <c r="N1457" s="62" t="n"/>
      <c r="O1457" s="65">
        <f>IF(Z1457=1,L1457-W1457,"")</f>
        <v/>
      </c>
      <c r="P1457" s="66">
        <f>IF(V1457="","",IFERROR(INDEX(coa_Type,MATCH(V1457,coa_Name,0)),""))</f>
        <v/>
      </c>
      <c r="Q1457" s="66">
        <f>IF(Z1457=1,IF(U1457="In",K1457&amp;"",V1457),"")</f>
        <v/>
      </c>
      <c r="R1457" s="66">
        <f>IF(Z1457=1,IF(U1457="In",V1457,K1457&amp;""),"")</f>
        <v/>
      </c>
      <c r="S1457" s="66">
        <f>IF(X1457&lt;&gt;"","⛔ "&amp;X1457&amp;" — not posted",IF(Y1457&lt;&gt;"","⚠ "&amp;Y1457,IF(Z1457=1,"✓ OK","")))</f>
        <v/>
      </c>
      <c r="T1457" s="67">
        <f>IF(AND(C1457="",D1457="",E1457="",L1457="",K1457=""),1,0)</f>
        <v/>
      </c>
      <c r="U1457" s="67">
        <f>IFERROR(INDEX(tt_Dir,MATCH(D1457,tt_Type,0)),"")</f>
        <v/>
      </c>
      <c r="V1457" s="67">
        <f>IF(D1457="","",IFERROR(IF(INDEX(tt_Other,MATCH(D1457,tt_Type,0))="",E1457&amp;"",INDEX(tt_Other,MATCH(D1457,tt_Type,0))),""))</f>
        <v/>
      </c>
      <c r="W1457" s="68">
        <f>IF(OR(TaxOn&lt;&gt;"Yes",NOT(ISNUMBER(M1457))),0,IF(IFERROR(INDEX(tt_Tax,MATCH(D1457,tt_Type,0)),"No")="Yes",M1457,0))</f>
        <v/>
      </c>
      <c r="X1457" s="67">
        <f>IF(T1457=1,"",IF(C1457="","Missing transaction date",IF(NOT(ISNUMBER(C1457)),"Invalid date",IF(OR(C1457&lt;DATE(2000,1,1),C1457&gt;DATE(2099,12,31)),"Invalid date",IF(D1457="","Select a type",IF(U1457="","Unknown type: "&amp;D1457,IF(V1457="","Select an account (Category)",IF(ISNA(MATCH(V1457,coa_Name,0)),"Unknown account: "&amp;V1457,IF(K1457="","Select Paid From / Deposited To",IF(ISNA(MATCH(K1457,coa_Name,0)),"Unknown account: "&amp;K1457,IF(NOT(ISNUMBER(L1457)),"Enter an amount",IF(L1457=0,"Enter an amount",IF(ABS(W1457)&gt;ABS(L1457),"Tax is larger than the amount","")))))))))))))</f>
        <v/>
      </c>
      <c r="Y1457" s="67">
        <f>IF(OR(T1457=1,X1457&lt;&gt;""),"",IF(AND(B1457&lt;&gt;"",COUNTIF(tx_ID,B1457)&gt;1),"Duplicate transaction ID",IF(AND(L1457&lt;0,D1457&lt;&gt;"Adjustment"),"Negative amount — check this entry",IF(AND(D1457="Customer Payment",G1457=""),"Add the customer",IF(AND(D1457="Customer Payment",OR(J1457="",COUNTIF(ar_No,J1457&amp;"")=0)),"Invoice # in Reference not found on AR sheet",IF(AND(D1457="Bill Payment",H1457=""),"Add the vendor",IF(AND(D1457="Bill Payment",OR(J1457="",COUNTIFS(ap_No,J1457&amp;"",ap_Party,H1457&amp;"")=0)),"Bill # + vendor not found on AP sheet",IF(AND(ISNUMBER(M1457),N(M1457)&lt;&gt;0,W1457=0),"Tax ignored (tax tracking off, or not allowed for this type)",IF(V1457=K1457&amp;"","Same account on both sides",IF(AND(ISNUMBER(StartDate),C1457&lt;StartDate),"Date is before the accounting start date",IF(AND(D1457&lt;&gt;"Adjustment",IFERROR(INDEX(coa_Pay,MATCH(K1457&amp;"",coa_Name,0)),"")&lt;&gt;"Yes"),"Paid From / Deposited To is not a payment account","")))))))))))</f>
        <v/>
      </c>
      <c r="Z1457" s="67">
        <f>IF(AND(T1457=0,X1457=""),1,0)</f>
        <v/>
      </c>
      <c r="AA1457" s="68">
        <f>IF(Z1457=1,IF(U1457="In",L1457,L1457-W1457),0)</f>
        <v/>
      </c>
      <c r="AB1457" s="68">
        <f>IF(Z1457=1,IF(U1457="In",L1457-W1457,L1457),0)</f>
        <v/>
      </c>
      <c r="AC1457" s="68">
        <f>IF(AND(Z1457=1,U1457="Out"),W1457,0)</f>
        <v/>
      </c>
      <c r="AD1457" s="68">
        <f>IF(AND(Z1457=1,U1457="In"),W1457,0)</f>
        <v/>
      </c>
    </row>
    <row r="1458">
      <c r="B1458" s="62" t="inlineStr">
        <is>
          <t>TX-1452</t>
        </is>
      </c>
      <c r="C1458" s="63" t="n"/>
      <c r="D1458" s="62" t="n"/>
      <c r="E1458" s="62" t="n"/>
      <c r="F1458" s="62" t="n"/>
      <c r="G1458" s="62" t="n"/>
      <c r="H1458" s="62" t="n"/>
      <c r="I1458" s="62" t="n"/>
      <c r="J1458" s="62" t="n"/>
      <c r="K1458" s="62" t="n"/>
      <c r="L1458" s="64" t="n"/>
      <c r="M1458" s="64" t="n"/>
      <c r="N1458" s="62" t="n"/>
      <c r="O1458" s="65">
        <f>IF(Z1458=1,L1458-W1458,"")</f>
        <v/>
      </c>
      <c r="P1458" s="66">
        <f>IF(V1458="","",IFERROR(INDEX(coa_Type,MATCH(V1458,coa_Name,0)),""))</f>
        <v/>
      </c>
      <c r="Q1458" s="66">
        <f>IF(Z1458=1,IF(U1458="In",K1458&amp;"",V1458),"")</f>
        <v/>
      </c>
      <c r="R1458" s="66">
        <f>IF(Z1458=1,IF(U1458="In",V1458,K1458&amp;""),"")</f>
        <v/>
      </c>
      <c r="S1458" s="66">
        <f>IF(X1458&lt;&gt;"","⛔ "&amp;X1458&amp;" — not posted",IF(Y1458&lt;&gt;"","⚠ "&amp;Y1458,IF(Z1458=1,"✓ OK","")))</f>
        <v/>
      </c>
      <c r="T1458" s="67">
        <f>IF(AND(C1458="",D1458="",E1458="",L1458="",K1458=""),1,0)</f>
        <v/>
      </c>
      <c r="U1458" s="67">
        <f>IFERROR(INDEX(tt_Dir,MATCH(D1458,tt_Type,0)),"")</f>
        <v/>
      </c>
      <c r="V1458" s="67">
        <f>IF(D1458="","",IFERROR(IF(INDEX(tt_Other,MATCH(D1458,tt_Type,0))="",E1458&amp;"",INDEX(tt_Other,MATCH(D1458,tt_Type,0))),""))</f>
        <v/>
      </c>
      <c r="W1458" s="68">
        <f>IF(OR(TaxOn&lt;&gt;"Yes",NOT(ISNUMBER(M1458))),0,IF(IFERROR(INDEX(tt_Tax,MATCH(D1458,tt_Type,0)),"No")="Yes",M1458,0))</f>
        <v/>
      </c>
      <c r="X1458" s="67">
        <f>IF(T1458=1,"",IF(C1458="","Missing transaction date",IF(NOT(ISNUMBER(C1458)),"Invalid date",IF(OR(C1458&lt;DATE(2000,1,1),C1458&gt;DATE(2099,12,31)),"Invalid date",IF(D1458="","Select a type",IF(U1458="","Unknown type: "&amp;D1458,IF(V1458="","Select an account (Category)",IF(ISNA(MATCH(V1458,coa_Name,0)),"Unknown account: "&amp;V1458,IF(K1458="","Select Paid From / Deposited To",IF(ISNA(MATCH(K1458,coa_Name,0)),"Unknown account: "&amp;K1458,IF(NOT(ISNUMBER(L1458)),"Enter an amount",IF(L1458=0,"Enter an amount",IF(ABS(W1458)&gt;ABS(L1458),"Tax is larger than the amount","")))))))))))))</f>
        <v/>
      </c>
      <c r="Y1458" s="67">
        <f>IF(OR(T1458=1,X1458&lt;&gt;""),"",IF(AND(B1458&lt;&gt;"",COUNTIF(tx_ID,B1458)&gt;1),"Duplicate transaction ID",IF(AND(L1458&lt;0,D1458&lt;&gt;"Adjustment"),"Negative amount — check this entry",IF(AND(D1458="Customer Payment",G1458=""),"Add the customer",IF(AND(D1458="Customer Payment",OR(J1458="",COUNTIF(ar_No,J1458&amp;"")=0)),"Invoice # in Reference not found on AR sheet",IF(AND(D1458="Bill Payment",H1458=""),"Add the vendor",IF(AND(D1458="Bill Payment",OR(J1458="",COUNTIFS(ap_No,J1458&amp;"",ap_Party,H1458&amp;"")=0)),"Bill # + vendor not found on AP sheet",IF(AND(ISNUMBER(M1458),N(M1458)&lt;&gt;0,W1458=0),"Tax ignored (tax tracking off, or not allowed for this type)",IF(V1458=K1458&amp;"","Same account on both sides",IF(AND(ISNUMBER(StartDate),C1458&lt;StartDate),"Date is before the accounting start date",IF(AND(D1458&lt;&gt;"Adjustment",IFERROR(INDEX(coa_Pay,MATCH(K1458&amp;"",coa_Name,0)),"")&lt;&gt;"Yes"),"Paid From / Deposited To is not a payment account","")))))))))))</f>
        <v/>
      </c>
      <c r="Z1458" s="67">
        <f>IF(AND(T1458=0,X1458=""),1,0)</f>
        <v/>
      </c>
      <c r="AA1458" s="68">
        <f>IF(Z1458=1,IF(U1458="In",L1458,L1458-W1458),0)</f>
        <v/>
      </c>
      <c r="AB1458" s="68">
        <f>IF(Z1458=1,IF(U1458="In",L1458-W1458,L1458),0)</f>
        <v/>
      </c>
      <c r="AC1458" s="68">
        <f>IF(AND(Z1458=1,U1458="Out"),W1458,0)</f>
        <v/>
      </c>
      <c r="AD1458" s="68">
        <f>IF(AND(Z1458=1,U1458="In"),W1458,0)</f>
        <v/>
      </c>
    </row>
    <row r="1459">
      <c r="B1459" s="62" t="inlineStr">
        <is>
          <t>TX-1453</t>
        </is>
      </c>
      <c r="C1459" s="63" t="n"/>
      <c r="D1459" s="62" t="n"/>
      <c r="E1459" s="62" t="n"/>
      <c r="F1459" s="62" t="n"/>
      <c r="G1459" s="62" t="n"/>
      <c r="H1459" s="62" t="n"/>
      <c r="I1459" s="62" t="n"/>
      <c r="J1459" s="62" t="n"/>
      <c r="K1459" s="62" t="n"/>
      <c r="L1459" s="64" t="n"/>
      <c r="M1459" s="64" t="n"/>
      <c r="N1459" s="62" t="n"/>
      <c r="O1459" s="65">
        <f>IF(Z1459=1,L1459-W1459,"")</f>
        <v/>
      </c>
      <c r="P1459" s="66">
        <f>IF(V1459="","",IFERROR(INDEX(coa_Type,MATCH(V1459,coa_Name,0)),""))</f>
        <v/>
      </c>
      <c r="Q1459" s="66">
        <f>IF(Z1459=1,IF(U1459="In",K1459&amp;"",V1459),"")</f>
        <v/>
      </c>
      <c r="R1459" s="66">
        <f>IF(Z1459=1,IF(U1459="In",V1459,K1459&amp;""),"")</f>
        <v/>
      </c>
      <c r="S1459" s="66">
        <f>IF(X1459&lt;&gt;"","⛔ "&amp;X1459&amp;" — not posted",IF(Y1459&lt;&gt;"","⚠ "&amp;Y1459,IF(Z1459=1,"✓ OK","")))</f>
        <v/>
      </c>
      <c r="T1459" s="67">
        <f>IF(AND(C1459="",D1459="",E1459="",L1459="",K1459=""),1,0)</f>
        <v/>
      </c>
      <c r="U1459" s="67">
        <f>IFERROR(INDEX(tt_Dir,MATCH(D1459,tt_Type,0)),"")</f>
        <v/>
      </c>
      <c r="V1459" s="67">
        <f>IF(D1459="","",IFERROR(IF(INDEX(tt_Other,MATCH(D1459,tt_Type,0))="",E1459&amp;"",INDEX(tt_Other,MATCH(D1459,tt_Type,0))),""))</f>
        <v/>
      </c>
      <c r="W1459" s="68">
        <f>IF(OR(TaxOn&lt;&gt;"Yes",NOT(ISNUMBER(M1459))),0,IF(IFERROR(INDEX(tt_Tax,MATCH(D1459,tt_Type,0)),"No")="Yes",M1459,0))</f>
        <v/>
      </c>
      <c r="X1459" s="67">
        <f>IF(T1459=1,"",IF(C1459="","Missing transaction date",IF(NOT(ISNUMBER(C1459)),"Invalid date",IF(OR(C1459&lt;DATE(2000,1,1),C1459&gt;DATE(2099,12,31)),"Invalid date",IF(D1459="","Select a type",IF(U1459="","Unknown type: "&amp;D1459,IF(V1459="","Select an account (Category)",IF(ISNA(MATCH(V1459,coa_Name,0)),"Unknown account: "&amp;V1459,IF(K1459="","Select Paid From / Deposited To",IF(ISNA(MATCH(K1459,coa_Name,0)),"Unknown account: "&amp;K1459,IF(NOT(ISNUMBER(L1459)),"Enter an amount",IF(L1459=0,"Enter an amount",IF(ABS(W1459)&gt;ABS(L1459),"Tax is larger than the amount","")))))))))))))</f>
        <v/>
      </c>
      <c r="Y1459" s="67">
        <f>IF(OR(T1459=1,X1459&lt;&gt;""),"",IF(AND(B1459&lt;&gt;"",COUNTIF(tx_ID,B1459)&gt;1),"Duplicate transaction ID",IF(AND(L1459&lt;0,D1459&lt;&gt;"Adjustment"),"Negative amount — check this entry",IF(AND(D1459="Customer Payment",G1459=""),"Add the customer",IF(AND(D1459="Customer Payment",OR(J1459="",COUNTIF(ar_No,J1459&amp;"")=0)),"Invoice # in Reference not found on AR sheet",IF(AND(D1459="Bill Payment",H1459=""),"Add the vendor",IF(AND(D1459="Bill Payment",OR(J1459="",COUNTIFS(ap_No,J1459&amp;"",ap_Party,H1459&amp;"")=0)),"Bill # + vendor not found on AP sheet",IF(AND(ISNUMBER(M1459),N(M1459)&lt;&gt;0,W1459=0),"Tax ignored (tax tracking off, or not allowed for this type)",IF(V1459=K1459&amp;"","Same account on both sides",IF(AND(ISNUMBER(StartDate),C1459&lt;StartDate),"Date is before the accounting start date",IF(AND(D1459&lt;&gt;"Adjustment",IFERROR(INDEX(coa_Pay,MATCH(K1459&amp;"",coa_Name,0)),"")&lt;&gt;"Yes"),"Paid From / Deposited To is not a payment account","")))))))))))</f>
        <v/>
      </c>
      <c r="Z1459" s="67">
        <f>IF(AND(T1459=0,X1459=""),1,0)</f>
        <v/>
      </c>
      <c r="AA1459" s="68">
        <f>IF(Z1459=1,IF(U1459="In",L1459,L1459-W1459),0)</f>
        <v/>
      </c>
      <c r="AB1459" s="68">
        <f>IF(Z1459=1,IF(U1459="In",L1459-W1459,L1459),0)</f>
        <v/>
      </c>
      <c r="AC1459" s="68">
        <f>IF(AND(Z1459=1,U1459="Out"),W1459,0)</f>
        <v/>
      </c>
      <c r="AD1459" s="68">
        <f>IF(AND(Z1459=1,U1459="In"),W1459,0)</f>
        <v/>
      </c>
    </row>
    <row r="1460">
      <c r="B1460" s="62" t="inlineStr">
        <is>
          <t>TX-1454</t>
        </is>
      </c>
      <c r="C1460" s="63" t="n"/>
      <c r="D1460" s="62" t="n"/>
      <c r="E1460" s="62" t="n"/>
      <c r="F1460" s="62" t="n"/>
      <c r="G1460" s="62" t="n"/>
      <c r="H1460" s="62" t="n"/>
      <c r="I1460" s="62" t="n"/>
      <c r="J1460" s="62" t="n"/>
      <c r="K1460" s="62" t="n"/>
      <c r="L1460" s="64" t="n"/>
      <c r="M1460" s="64" t="n"/>
      <c r="N1460" s="62" t="n"/>
      <c r="O1460" s="65">
        <f>IF(Z1460=1,L1460-W1460,"")</f>
        <v/>
      </c>
      <c r="P1460" s="66">
        <f>IF(V1460="","",IFERROR(INDEX(coa_Type,MATCH(V1460,coa_Name,0)),""))</f>
        <v/>
      </c>
      <c r="Q1460" s="66">
        <f>IF(Z1460=1,IF(U1460="In",K1460&amp;"",V1460),"")</f>
        <v/>
      </c>
      <c r="R1460" s="66">
        <f>IF(Z1460=1,IF(U1460="In",V1460,K1460&amp;""),"")</f>
        <v/>
      </c>
      <c r="S1460" s="66">
        <f>IF(X1460&lt;&gt;"","⛔ "&amp;X1460&amp;" — not posted",IF(Y1460&lt;&gt;"","⚠ "&amp;Y1460,IF(Z1460=1,"✓ OK","")))</f>
        <v/>
      </c>
      <c r="T1460" s="67">
        <f>IF(AND(C1460="",D1460="",E1460="",L1460="",K1460=""),1,0)</f>
        <v/>
      </c>
      <c r="U1460" s="67">
        <f>IFERROR(INDEX(tt_Dir,MATCH(D1460,tt_Type,0)),"")</f>
        <v/>
      </c>
      <c r="V1460" s="67">
        <f>IF(D1460="","",IFERROR(IF(INDEX(tt_Other,MATCH(D1460,tt_Type,0))="",E1460&amp;"",INDEX(tt_Other,MATCH(D1460,tt_Type,0))),""))</f>
        <v/>
      </c>
      <c r="W1460" s="68">
        <f>IF(OR(TaxOn&lt;&gt;"Yes",NOT(ISNUMBER(M1460))),0,IF(IFERROR(INDEX(tt_Tax,MATCH(D1460,tt_Type,0)),"No")="Yes",M1460,0))</f>
        <v/>
      </c>
      <c r="X1460" s="67">
        <f>IF(T1460=1,"",IF(C1460="","Missing transaction date",IF(NOT(ISNUMBER(C1460)),"Invalid date",IF(OR(C1460&lt;DATE(2000,1,1),C1460&gt;DATE(2099,12,31)),"Invalid date",IF(D1460="","Select a type",IF(U1460="","Unknown type: "&amp;D1460,IF(V1460="","Select an account (Category)",IF(ISNA(MATCH(V1460,coa_Name,0)),"Unknown account: "&amp;V1460,IF(K1460="","Select Paid From / Deposited To",IF(ISNA(MATCH(K1460,coa_Name,0)),"Unknown account: "&amp;K1460,IF(NOT(ISNUMBER(L1460)),"Enter an amount",IF(L1460=0,"Enter an amount",IF(ABS(W1460)&gt;ABS(L1460),"Tax is larger than the amount","")))))))))))))</f>
        <v/>
      </c>
      <c r="Y1460" s="67">
        <f>IF(OR(T1460=1,X1460&lt;&gt;""),"",IF(AND(B1460&lt;&gt;"",COUNTIF(tx_ID,B1460)&gt;1),"Duplicate transaction ID",IF(AND(L1460&lt;0,D1460&lt;&gt;"Adjustment"),"Negative amount — check this entry",IF(AND(D1460="Customer Payment",G1460=""),"Add the customer",IF(AND(D1460="Customer Payment",OR(J1460="",COUNTIF(ar_No,J1460&amp;"")=0)),"Invoice # in Reference not found on AR sheet",IF(AND(D1460="Bill Payment",H1460=""),"Add the vendor",IF(AND(D1460="Bill Payment",OR(J1460="",COUNTIFS(ap_No,J1460&amp;"",ap_Party,H1460&amp;"")=0)),"Bill # + vendor not found on AP sheet",IF(AND(ISNUMBER(M1460),N(M1460)&lt;&gt;0,W1460=0),"Tax ignored (tax tracking off, or not allowed for this type)",IF(V1460=K1460&amp;"","Same account on both sides",IF(AND(ISNUMBER(StartDate),C1460&lt;StartDate),"Date is before the accounting start date",IF(AND(D1460&lt;&gt;"Adjustment",IFERROR(INDEX(coa_Pay,MATCH(K1460&amp;"",coa_Name,0)),"")&lt;&gt;"Yes"),"Paid From / Deposited To is not a payment account","")))))))))))</f>
        <v/>
      </c>
      <c r="Z1460" s="67">
        <f>IF(AND(T1460=0,X1460=""),1,0)</f>
        <v/>
      </c>
      <c r="AA1460" s="68">
        <f>IF(Z1460=1,IF(U1460="In",L1460,L1460-W1460),0)</f>
        <v/>
      </c>
      <c r="AB1460" s="68">
        <f>IF(Z1460=1,IF(U1460="In",L1460-W1460,L1460),0)</f>
        <v/>
      </c>
      <c r="AC1460" s="68">
        <f>IF(AND(Z1460=1,U1460="Out"),W1460,0)</f>
        <v/>
      </c>
      <c r="AD1460" s="68">
        <f>IF(AND(Z1460=1,U1460="In"),W1460,0)</f>
        <v/>
      </c>
    </row>
    <row r="1461">
      <c r="B1461" s="62" t="inlineStr">
        <is>
          <t>TX-1455</t>
        </is>
      </c>
      <c r="C1461" s="63" t="n"/>
      <c r="D1461" s="62" t="n"/>
      <c r="E1461" s="62" t="n"/>
      <c r="F1461" s="62" t="n"/>
      <c r="G1461" s="62" t="n"/>
      <c r="H1461" s="62" t="n"/>
      <c r="I1461" s="62" t="n"/>
      <c r="J1461" s="62" t="n"/>
      <c r="K1461" s="62" t="n"/>
      <c r="L1461" s="64" t="n"/>
      <c r="M1461" s="64" t="n"/>
      <c r="N1461" s="62" t="n"/>
      <c r="O1461" s="65">
        <f>IF(Z1461=1,L1461-W1461,"")</f>
        <v/>
      </c>
      <c r="P1461" s="66">
        <f>IF(V1461="","",IFERROR(INDEX(coa_Type,MATCH(V1461,coa_Name,0)),""))</f>
        <v/>
      </c>
      <c r="Q1461" s="66">
        <f>IF(Z1461=1,IF(U1461="In",K1461&amp;"",V1461),"")</f>
        <v/>
      </c>
      <c r="R1461" s="66">
        <f>IF(Z1461=1,IF(U1461="In",V1461,K1461&amp;""),"")</f>
        <v/>
      </c>
      <c r="S1461" s="66">
        <f>IF(X1461&lt;&gt;"","⛔ "&amp;X1461&amp;" — not posted",IF(Y1461&lt;&gt;"","⚠ "&amp;Y1461,IF(Z1461=1,"✓ OK","")))</f>
        <v/>
      </c>
      <c r="T1461" s="67">
        <f>IF(AND(C1461="",D1461="",E1461="",L1461="",K1461=""),1,0)</f>
        <v/>
      </c>
      <c r="U1461" s="67">
        <f>IFERROR(INDEX(tt_Dir,MATCH(D1461,tt_Type,0)),"")</f>
        <v/>
      </c>
      <c r="V1461" s="67">
        <f>IF(D1461="","",IFERROR(IF(INDEX(tt_Other,MATCH(D1461,tt_Type,0))="",E1461&amp;"",INDEX(tt_Other,MATCH(D1461,tt_Type,0))),""))</f>
        <v/>
      </c>
      <c r="W1461" s="68">
        <f>IF(OR(TaxOn&lt;&gt;"Yes",NOT(ISNUMBER(M1461))),0,IF(IFERROR(INDEX(tt_Tax,MATCH(D1461,tt_Type,0)),"No")="Yes",M1461,0))</f>
        <v/>
      </c>
      <c r="X1461" s="67">
        <f>IF(T1461=1,"",IF(C1461="","Missing transaction date",IF(NOT(ISNUMBER(C1461)),"Invalid date",IF(OR(C1461&lt;DATE(2000,1,1),C1461&gt;DATE(2099,12,31)),"Invalid date",IF(D1461="","Select a type",IF(U1461="","Unknown type: "&amp;D1461,IF(V1461="","Select an account (Category)",IF(ISNA(MATCH(V1461,coa_Name,0)),"Unknown account: "&amp;V1461,IF(K1461="","Select Paid From / Deposited To",IF(ISNA(MATCH(K1461,coa_Name,0)),"Unknown account: "&amp;K1461,IF(NOT(ISNUMBER(L1461)),"Enter an amount",IF(L1461=0,"Enter an amount",IF(ABS(W1461)&gt;ABS(L1461),"Tax is larger than the amount","")))))))))))))</f>
        <v/>
      </c>
      <c r="Y1461" s="67">
        <f>IF(OR(T1461=1,X1461&lt;&gt;""),"",IF(AND(B1461&lt;&gt;"",COUNTIF(tx_ID,B1461)&gt;1),"Duplicate transaction ID",IF(AND(L1461&lt;0,D1461&lt;&gt;"Adjustment"),"Negative amount — check this entry",IF(AND(D1461="Customer Payment",G1461=""),"Add the customer",IF(AND(D1461="Customer Payment",OR(J1461="",COUNTIF(ar_No,J1461&amp;"")=0)),"Invoice # in Reference not found on AR sheet",IF(AND(D1461="Bill Payment",H1461=""),"Add the vendor",IF(AND(D1461="Bill Payment",OR(J1461="",COUNTIFS(ap_No,J1461&amp;"",ap_Party,H1461&amp;"")=0)),"Bill # + vendor not found on AP sheet",IF(AND(ISNUMBER(M1461),N(M1461)&lt;&gt;0,W1461=0),"Tax ignored (tax tracking off, or not allowed for this type)",IF(V1461=K1461&amp;"","Same account on both sides",IF(AND(ISNUMBER(StartDate),C1461&lt;StartDate),"Date is before the accounting start date",IF(AND(D1461&lt;&gt;"Adjustment",IFERROR(INDEX(coa_Pay,MATCH(K1461&amp;"",coa_Name,0)),"")&lt;&gt;"Yes"),"Paid From / Deposited To is not a payment account","")))))))))))</f>
        <v/>
      </c>
      <c r="Z1461" s="67">
        <f>IF(AND(T1461=0,X1461=""),1,0)</f>
        <v/>
      </c>
      <c r="AA1461" s="68">
        <f>IF(Z1461=1,IF(U1461="In",L1461,L1461-W1461),0)</f>
        <v/>
      </c>
      <c r="AB1461" s="68">
        <f>IF(Z1461=1,IF(U1461="In",L1461-W1461,L1461),0)</f>
        <v/>
      </c>
      <c r="AC1461" s="68">
        <f>IF(AND(Z1461=1,U1461="Out"),W1461,0)</f>
        <v/>
      </c>
      <c r="AD1461" s="68">
        <f>IF(AND(Z1461=1,U1461="In"),W1461,0)</f>
        <v/>
      </c>
    </row>
    <row r="1462">
      <c r="B1462" s="62" t="inlineStr">
        <is>
          <t>TX-1456</t>
        </is>
      </c>
      <c r="C1462" s="63" t="n"/>
      <c r="D1462" s="62" t="n"/>
      <c r="E1462" s="62" t="n"/>
      <c r="F1462" s="62" t="n"/>
      <c r="G1462" s="62" t="n"/>
      <c r="H1462" s="62" t="n"/>
      <c r="I1462" s="62" t="n"/>
      <c r="J1462" s="62" t="n"/>
      <c r="K1462" s="62" t="n"/>
      <c r="L1462" s="64" t="n"/>
      <c r="M1462" s="64" t="n"/>
      <c r="N1462" s="62" t="n"/>
      <c r="O1462" s="65">
        <f>IF(Z1462=1,L1462-W1462,"")</f>
        <v/>
      </c>
      <c r="P1462" s="66">
        <f>IF(V1462="","",IFERROR(INDEX(coa_Type,MATCH(V1462,coa_Name,0)),""))</f>
        <v/>
      </c>
      <c r="Q1462" s="66">
        <f>IF(Z1462=1,IF(U1462="In",K1462&amp;"",V1462),"")</f>
        <v/>
      </c>
      <c r="R1462" s="66">
        <f>IF(Z1462=1,IF(U1462="In",V1462,K1462&amp;""),"")</f>
        <v/>
      </c>
      <c r="S1462" s="66">
        <f>IF(X1462&lt;&gt;"","⛔ "&amp;X1462&amp;" — not posted",IF(Y1462&lt;&gt;"","⚠ "&amp;Y1462,IF(Z1462=1,"✓ OK","")))</f>
        <v/>
      </c>
      <c r="T1462" s="67">
        <f>IF(AND(C1462="",D1462="",E1462="",L1462="",K1462=""),1,0)</f>
        <v/>
      </c>
      <c r="U1462" s="67">
        <f>IFERROR(INDEX(tt_Dir,MATCH(D1462,tt_Type,0)),"")</f>
        <v/>
      </c>
      <c r="V1462" s="67">
        <f>IF(D1462="","",IFERROR(IF(INDEX(tt_Other,MATCH(D1462,tt_Type,0))="",E1462&amp;"",INDEX(tt_Other,MATCH(D1462,tt_Type,0))),""))</f>
        <v/>
      </c>
      <c r="W1462" s="68">
        <f>IF(OR(TaxOn&lt;&gt;"Yes",NOT(ISNUMBER(M1462))),0,IF(IFERROR(INDEX(tt_Tax,MATCH(D1462,tt_Type,0)),"No")="Yes",M1462,0))</f>
        <v/>
      </c>
      <c r="X1462" s="67">
        <f>IF(T1462=1,"",IF(C1462="","Missing transaction date",IF(NOT(ISNUMBER(C1462)),"Invalid date",IF(OR(C1462&lt;DATE(2000,1,1),C1462&gt;DATE(2099,12,31)),"Invalid date",IF(D1462="","Select a type",IF(U1462="","Unknown type: "&amp;D1462,IF(V1462="","Select an account (Category)",IF(ISNA(MATCH(V1462,coa_Name,0)),"Unknown account: "&amp;V1462,IF(K1462="","Select Paid From / Deposited To",IF(ISNA(MATCH(K1462,coa_Name,0)),"Unknown account: "&amp;K1462,IF(NOT(ISNUMBER(L1462)),"Enter an amount",IF(L1462=0,"Enter an amount",IF(ABS(W1462)&gt;ABS(L1462),"Tax is larger than the amount","")))))))))))))</f>
        <v/>
      </c>
      <c r="Y1462" s="67">
        <f>IF(OR(T1462=1,X1462&lt;&gt;""),"",IF(AND(B1462&lt;&gt;"",COUNTIF(tx_ID,B1462)&gt;1),"Duplicate transaction ID",IF(AND(L1462&lt;0,D1462&lt;&gt;"Adjustment"),"Negative amount — check this entry",IF(AND(D1462="Customer Payment",G1462=""),"Add the customer",IF(AND(D1462="Customer Payment",OR(J1462="",COUNTIF(ar_No,J1462&amp;"")=0)),"Invoice # in Reference not found on AR sheet",IF(AND(D1462="Bill Payment",H1462=""),"Add the vendor",IF(AND(D1462="Bill Payment",OR(J1462="",COUNTIFS(ap_No,J1462&amp;"",ap_Party,H1462&amp;"")=0)),"Bill # + vendor not found on AP sheet",IF(AND(ISNUMBER(M1462),N(M1462)&lt;&gt;0,W1462=0),"Tax ignored (tax tracking off, or not allowed for this type)",IF(V1462=K1462&amp;"","Same account on both sides",IF(AND(ISNUMBER(StartDate),C1462&lt;StartDate),"Date is before the accounting start date",IF(AND(D1462&lt;&gt;"Adjustment",IFERROR(INDEX(coa_Pay,MATCH(K1462&amp;"",coa_Name,0)),"")&lt;&gt;"Yes"),"Paid From / Deposited To is not a payment account","")))))))))))</f>
        <v/>
      </c>
      <c r="Z1462" s="67">
        <f>IF(AND(T1462=0,X1462=""),1,0)</f>
        <v/>
      </c>
      <c r="AA1462" s="68">
        <f>IF(Z1462=1,IF(U1462="In",L1462,L1462-W1462),0)</f>
        <v/>
      </c>
      <c r="AB1462" s="68">
        <f>IF(Z1462=1,IF(U1462="In",L1462-W1462,L1462),0)</f>
        <v/>
      </c>
      <c r="AC1462" s="68">
        <f>IF(AND(Z1462=1,U1462="Out"),W1462,0)</f>
        <v/>
      </c>
      <c r="AD1462" s="68">
        <f>IF(AND(Z1462=1,U1462="In"),W1462,0)</f>
        <v/>
      </c>
    </row>
    <row r="1463">
      <c r="B1463" s="62" t="inlineStr">
        <is>
          <t>TX-1457</t>
        </is>
      </c>
      <c r="C1463" s="63" t="n"/>
      <c r="D1463" s="62" t="n"/>
      <c r="E1463" s="62" t="n"/>
      <c r="F1463" s="62" t="n"/>
      <c r="G1463" s="62" t="n"/>
      <c r="H1463" s="62" t="n"/>
      <c r="I1463" s="62" t="n"/>
      <c r="J1463" s="62" t="n"/>
      <c r="K1463" s="62" t="n"/>
      <c r="L1463" s="64" t="n"/>
      <c r="M1463" s="64" t="n"/>
      <c r="N1463" s="62" t="n"/>
      <c r="O1463" s="65">
        <f>IF(Z1463=1,L1463-W1463,"")</f>
        <v/>
      </c>
      <c r="P1463" s="66">
        <f>IF(V1463="","",IFERROR(INDEX(coa_Type,MATCH(V1463,coa_Name,0)),""))</f>
        <v/>
      </c>
      <c r="Q1463" s="66">
        <f>IF(Z1463=1,IF(U1463="In",K1463&amp;"",V1463),"")</f>
        <v/>
      </c>
      <c r="R1463" s="66">
        <f>IF(Z1463=1,IF(U1463="In",V1463,K1463&amp;""),"")</f>
        <v/>
      </c>
      <c r="S1463" s="66">
        <f>IF(X1463&lt;&gt;"","⛔ "&amp;X1463&amp;" — not posted",IF(Y1463&lt;&gt;"","⚠ "&amp;Y1463,IF(Z1463=1,"✓ OK","")))</f>
        <v/>
      </c>
      <c r="T1463" s="67">
        <f>IF(AND(C1463="",D1463="",E1463="",L1463="",K1463=""),1,0)</f>
        <v/>
      </c>
      <c r="U1463" s="67">
        <f>IFERROR(INDEX(tt_Dir,MATCH(D1463,tt_Type,0)),"")</f>
        <v/>
      </c>
      <c r="V1463" s="67">
        <f>IF(D1463="","",IFERROR(IF(INDEX(tt_Other,MATCH(D1463,tt_Type,0))="",E1463&amp;"",INDEX(tt_Other,MATCH(D1463,tt_Type,0))),""))</f>
        <v/>
      </c>
      <c r="W1463" s="68">
        <f>IF(OR(TaxOn&lt;&gt;"Yes",NOT(ISNUMBER(M1463))),0,IF(IFERROR(INDEX(tt_Tax,MATCH(D1463,tt_Type,0)),"No")="Yes",M1463,0))</f>
        <v/>
      </c>
      <c r="X1463" s="67">
        <f>IF(T1463=1,"",IF(C1463="","Missing transaction date",IF(NOT(ISNUMBER(C1463)),"Invalid date",IF(OR(C1463&lt;DATE(2000,1,1),C1463&gt;DATE(2099,12,31)),"Invalid date",IF(D1463="","Select a type",IF(U1463="","Unknown type: "&amp;D1463,IF(V1463="","Select an account (Category)",IF(ISNA(MATCH(V1463,coa_Name,0)),"Unknown account: "&amp;V1463,IF(K1463="","Select Paid From / Deposited To",IF(ISNA(MATCH(K1463,coa_Name,0)),"Unknown account: "&amp;K1463,IF(NOT(ISNUMBER(L1463)),"Enter an amount",IF(L1463=0,"Enter an amount",IF(ABS(W1463)&gt;ABS(L1463),"Tax is larger than the amount","")))))))))))))</f>
        <v/>
      </c>
      <c r="Y1463" s="67">
        <f>IF(OR(T1463=1,X1463&lt;&gt;""),"",IF(AND(B1463&lt;&gt;"",COUNTIF(tx_ID,B1463)&gt;1),"Duplicate transaction ID",IF(AND(L1463&lt;0,D1463&lt;&gt;"Adjustment"),"Negative amount — check this entry",IF(AND(D1463="Customer Payment",G1463=""),"Add the customer",IF(AND(D1463="Customer Payment",OR(J1463="",COUNTIF(ar_No,J1463&amp;"")=0)),"Invoice # in Reference not found on AR sheet",IF(AND(D1463="Bill Payment",H1463=""),"Add the vendor",IF(AND(D1463="Bill Payment",OR(J1463="",COUNTIFS(ap_No,J1463&amp;"",ap_Party,H1463&amp;"")=0)),"Bill # + vendor not found on AP sheet",IF(AND(ISNUMBER(M1463),N(M1463)&lt;&gt;0,W1463=0),"Tax ignored (tax tracking off, or not allowed for this type)",IF(V1463=K1463&amp;"","Same account on both sides",IF(AND(ISNUMBER(StartDate),C1463&lt;StartDate),"Date is before the accounting start date",IF(AND(D1463&lt;&gt;"Adjustment",IFERROR(INDEX(coa_Pay,MATCH(K1463&amp;"",coa_Name,0)),"")&lt;&gt;"Yes"),"Paid From / Deposited To is not a payment account","")))))))))))</f>
        <v/>
      </c>
      <c r="Z1463" s="67">
        <f>IF(AND(T1463=0,X1463=""),1,0)</f>
        <v/>
      </c>
      <c r="AA1463" s="68">
        <f>IF(Z1463=1,IF(U1463="In",L1463,L1463-W1463),0)</f>
        <v/>
      </c>
      <c r="AB1463" s="68">
        <f>IF(Z1463=1,IF(U1463="In",L1463-W1463,L1463),0)</f>
        <v/>
      </c>
      <c r="AC1463" s="68">
        <f>IF(AND(Z1463=1,U1463="Out"),W1463,0)</f>
        <v/>
      </c>
      <c r="AD1463" s="68">
        <f>IF(AND(Z1463=1,U1463="In"),W1463,0)</f>
        <v/>
      </c>
    </row>
    <row r="1464">
      <c r="B1464" s="62" t="inlineStr">
        <is>
          <t>TX-1458</t>
        </is>
      </c>
      <c r="C1464" s="63" t="n"/>
      <c r="D1464" s="62" t="n"/>
      <c r="E1464" s="62" t="n"/>
      <c r="F1464" s="62" t="n"/>
      <c r="G1464" s="62" t="n"/>
      <c r="H1464" s="62" t="n"/>
      <c r="I1464" s="62" t="n"/>
      <c r="J1464" s="62" t="n"/>
      <c r="K1464" s="62" t="n"/>
      <c r="L1464" s="64" t="n"/>
      <c r="M1464" s="64" t="n"/>
      <c r="N1464" s="62" t="n"/>
      <c r="O1464" s="65">
        <f>IF(Z1464=1,L1464-W1464,"")</f>
        <v/>
      </c>
      <c r="P1464" s="66">
        <f>IF(V1464="","",IFERROR(INDEX(coa_Type,MATCH(V1464,coa_Name,0)),""))</f>
        <v/>
      </c>
      <c r="Q1464" s="66">
        <f>IF(Z1464=1,IF(U1464="In",K1464&amp;"",V1464),"")</f>
        <v/>
      </c>
      <c r="R1464" s="66">
        <f>IF(Z1464=1,IF(U1464="In",V1464,K1464&amp;""),"")</f>
        <v/>
      </c>
      <c r="S1464" s="66">
        <f>IF(X1464&lt;&gt;"","⛔ "&amp;X1464&amp;" — not posted",IF(Y1464&lt;&gt;"","⚠ "&amp;Y1464,IF(Z1464=1,"✓ OK","")))</f>
        <v/>
      </c>
      <c r="T1464" s="67">
        <f>IF(AND(C1464="",D1464="",E1464="",L1464="",K1464=""),1,0)</f>
        <v/>
      </c>
      <c r="U1464" s="67">
        <f>IFERROR(INDEX(tt_Dir,MATCH(D1464,tt_Type,0)),"")</f>
        <v/>
      </c>
      <c r="V1464" s="67">
        <f>IF(D1464="","",IFERROR(IF(INDEX(tt_Other,MATCH(D1464,tt_Type,0))="",E1464&amp;"",INDEX(tt_Other,MATCH(D1464,tt_Type,0))),""))</f>
        <v/>
      </c>
      <c r="W1464" s="68">
        <f>IF(OR(TaxOn&lt;&gt;"Yes",NOT(ISNUMBER(M1464))),0,IF(IFERROR(INDEX(tt_Tax,MATCH(D1464,tt_Type,0)),"No")="Yes",M1464,0))</f>
        <v/>
      </c>
      <c r="X1464" s="67">
        <f>IF(T1464=1,"",IF(C1464="","Missing transaction date",IF(NOT(ISNUMBER(C1464)),"Invalid date",IF(OR(C1464&lt;DATE(2000,1,1),C1464&gt;DATE(2099,12,31)),"Invalid date",IF(D1464="","Select a type",IF(U1464="","Unknown type: "&amp;D1464,IF(V1464="","Select an account (Category)",IF(ISNA(MATCH(V1464,coa_Name,0)),"Unknown account: "&amp;V1464,IF(K1464="","Select Paid From / Deposited To",IF(ISNA(MATCH(K1464,coa_Name,0)),"Unknown account: "&amp;K1464,IF(NOT(ISNUMBER(L1464)),"Enter an amount",IF(L1464=0,"Enter an amount",IF(ABS(W1464)&gt;ABS(L1464),"Tax is larger than the amount","")))))))))))))</f>
        <v/>
      </c>
      <c r="Y1464" s="67">
        <f>IF(OR(T1464=1,X1464&lt;&gt;""),"",IF(AND(B1464&lt;&gt;"",COUNTIF(tx_ID,B1464)&gt;1),"Duplicate transaction ID",IF(AND(L1464&lt;0,D1464&lt;&gt;"Adjustment"),"Negative amount — check this entry",IF(AND(D1464="Customer Payment",G1464=""),"Add the customer",IF(AND(D1464="Customer Payment",OR(J1464="",COUNTIF(ar_No,J1464&amp;"")=0)),"Invoice # in Reference not found on AR sheet",IF(AND(D1464="Bill Payment",H1464=""),"Add the vendor",IF(AND(D1464="Bill Payment",OR(J1464="",COUNTIFS(ap_No,J1464&amp;"",ap_Party,H1464&amp;"")=0)),"Bill # + vendor not found on AP sheet",IF(AND(ISNUMBER(M1464),N(M1464)&lt;&gt;0,W1464=0),"Tax ignored (tax tracking off, or not allowed for this type)",IF(V1464=K1464&amp;"","Same account on both sides",IF(AND(ISNUMBER(StartDate),C1464&lt;StartDate),"Date is before the accounting start date",IF(AND(D1464&lt;&gt;"Adjustment",IFERROR(INDEX(coa_Pay,MATCH(K1464&amp;"",coa_Name,0)),"")&lt;&gt;"Yes"),"Paid From / Deposited To is not a payment account","")))))))))))</f>
        <v/>
      </c>
      <c r="Z1464" s="67">
        <f>IF(AND(T1464=0,X1464=""),1,0)</f>
        <v/>
      </c>
      <c r="AA1464" s="68">
        <f>IF(Z1464=1,IF(U1464="In",L1464,L1464-W1464),0)</f>
        <v/>
      </c>
      <c r="AB1464" s="68">
        <f>IF(Z1464=1,IF(U1464="In",L1464-W1464,L1464),0)</f>
        <v/>
      </c>
      <c r="AC1464" s="68">
        <f>IF(AND(Z1464=1,U1464="Out"),W1464,0)</f>
        <v/>
      </c>
      <c r="AD1464" s="68">
        <f>IF(AND(Z1464=1,U1464="In"),W1464,0)</f>
        <v/>
      </c>
    </row>
    <row r="1465">
      <c r="B1465" s="62" t="inlineStr">
        <is>
          <t>TX-1459</t>
        </is>
      </c>
      <c r="C1465" s="63" t="n"/>
      <c r="D1465" s="62" t="n"/>
      <c r="E1465" s="62" t="n"/>
      <c r="F1465" s="62" t="n"/>
      <c r="G1465" s="62" t="n"/>
      <c r="H1465" s="62" t="n"/>
      <c r="I1465" s="62" t="n"/>
      <c r="J1465" s="62" t="n"/>
      <c r="K1465" s="62" t="n"/>
      <c r="L1465" s="64" t="n"/>
      <c r="M1465" s="64" t="n"/>
      <c r="N1465" s="62" t="n"/>
      <c r="O1465" s="65">
        <f>IF(Z1465=1,L1465-W1465,"")</f>
        <v/>
      </c>
      <c r="P1465" s="66">
        <f>IF(V1465="","",IFERROR(INDEX(coa_Type,MATCH(V1465,coa_Name,0)),""))</f>
        <v/>
      </c>
      <c r="Q1465" s="66">
        <f>IF(Z1465=1,IF(U1465="In",K1465&amp;"",V1465),"")</f>
        <v/>
      </c>
      <c r="R1465" s="66">
        <f>IF(Z1465=1,IF(U1465="In",V1465,K1465&amp;""),"")</f>
        <v/>
      </c>
      <c r="S1465" s="66">
        <f>IF(X1465&lt;&gt;"","⛔ "&amp;X1465&amp;" — not posted",IF(Y1465&lt;&gt;"","⚠ "&amp;Y1465,IF(Z1465=1,"✓ OK","")))</f>
        <v/>
      </c>
      <c r="T1465" s="67">
        <f>IF(AND(C1465="",D1465="",E1465="",L1465="",K1465=""),1,0)</f>
        <v/>
      </c>
      <c r="U1465" s="67">
        <f>IFERROR(INDEX(tt_Dir,MATCH(D1465,tt_Type,0)),"")</f>
        <v/>
      </c>
      <c r="V1465" s="67">
        <f>IF(D1465="","",IFERROR(IF(INDEX(tt_Other,MATCH(D1465,tt_Type,0))="",E1465&amp;"",INDEX(tt_Other,MATCH(D1465,tt_Type,0))),""))</f>
        <v/>
      </c>
      <c r="W1465" s="68">
        <f>IF(OR(TaxOn&lt;&gt;"Yes",NOT(ISNUMBER(M1465))),0,IF(IFERROR(INDEX(tt_Tax,MATCH(D1465,tt_Type,0)),"No")="Yes",M1465,0))</f>
        <v/>
      </c>
      <c r="X1465" s="67">
        <f>IF(T1465=1,"",IF(C1465="","Missing transaction date",IF(NOT(ISNUMBER(C1465)),"Invalid date",IF(OR(C1465&lt;DATE(2000,1,1),C1465&gt;DATE(2099,12,31)),"Invalid date",IF(D1465="","Select a type",IF(U1465="","Unknown type: "&amp;D1465,IF(V1465="","Select an account (Category)",IF(ISNA(MATCH(V1465,coa_Name,0)),"Unknown account: "&amp;V1465,IF(K1465="","Select Paid From / Deposited To",IF(ISNA(MATCH(K1465,coa_Name,0)),"Unknown account: "&amp;K1465,IF(NOT(ISNUMBER(L1465)),"Enter an amount",IF(L1465=0,"Enter an amount",IF(ABS(W1465)&gt;ABS(L1465),"Tax is larger than the amount","")))))))))))))</f>
        <v/>
      </c>
      <c r="Y1465" s="67">
        <f>IF(OR(T1465=1,X1465&lt;&gt;""),"",IF(AND(B1465&lt;&gt;"",COUNTIF(tx_ID,B1465)&gt;1),"Duplicate transaction ID",IF(AND(L1465&lt;0,D1465&lt;&gt;"Adjustment"),"Negative amount — check this entry",IF(AND(D1465="Customer Payment",G1465=""),"Add the customer",IF(AND(D1465="Customer Payment",OR(J1465="",COUNTIF(ar_No,J1465&amp;"")=0)),"Invoice # in Reference not found on AR sheet",IF(AND(D1465="Bill Payment",H1465=""),"Add the vendor",IF(AND(D1465="Bill Payment",OR(J1465="",COUNTIFS(ap_No,J1465&amp;"",ap_Party,H1465&amp;"")=0)),"Bill # + vendor not found on AP sheet",IF(AND(ISNUMBER(M1465),N(M1465)&lt;&gt;0,W1465=0),"Tax ignored (tax tracking off, or not allowed for this type)",IF(V1465=K1465&amp;"","Same account on both sides",IF(AND(ISNUMBER(StartDate),C1465&lt;StartDate),"Date is before the accounting start date",IF(AND(D1465&lt;&gt;"Adjustment",IFERROR(INDEX(coa_Pay,MATCH(K1465&amp;"",coa_Name,0)),"")&lt;&gt;"Yes"),"Paid From / Deposited To is not a payment account","")))))))))))</f>
        <v/>
      </c>
      <c r="Z1465" s="67">
        <f>IF(AND(T1465=0,X1465=""),1,0)</f>
        <v/>
      </c>
      <c r="AA1465" s="68">
        <f>IF(Z1465=1,IF(U1465="In",L1465,L1465-W1465),0)</f>
        <v/>
      </c>
      <c r="AB1465" s="68">
        <f>IF(Z1465=1,IF(U1465="In",L1465-W1465,L1465),0)</f>
        <v/>
      </c>
      <c r="AC1465" s="68">
        <f>IF(AND(Z1465=1,U1465="Out"),W1465,0)</f>
        <v/>
      </c>
      <c r="AD1465" s="68">
        <f>IF(AND(Z1465=1,U1465="In"),W1465,0)</f>
        <v/>
      </c>
    </row>
    <row r="1466">
      <c r="B1466" s="62" t="inlineStr">
        <is>
          <t>TX-1460</t>
        </is>
      </c>
      <c r="C1466" s="63" t="n"/>
      <c r="D1466" s="62" t="n"/>
      <c r="E1466" s="62" t="n"/>
      <c r="F1466" s="62" t="n"/>
      <c r="G1466" s="62" t="n"/>
      <c r="H1466" s="62" t="n"/>
      <c r="I1466" s="62" t="n"/>
      <c r="J1466" s="62" t="n"/>
      <c r="K1466" s="62" t="n"/>
      <c r="L1466" s="64" t="n"/>
      <c r="M1466" s="64" t="n"/>
      <c r="N1466" s="62" t="n"/>
      <c r="O1466" s="65">
        <f>IF(Z1466=1,L1466-W1466,"")</f>
        <v/>
      </c>
      <c r="P1466" s="66">
        <f>IF(V1466="","",IFERROR(INDEX(coa_Type,MATCH(V1466,coa_Name,0)),""))</f>
        <v/>
      </c>
      <c r="Q1466" s="66">
        <f>IF(Z1466=1,IF(U1466="In",K1466&amp;"",V1466),"")</f>
        <v/>
      </c>
      <c r="R1466" s="66">
        <f>IF(Z1466=1,IF(U1466="In",V1466,K1466&amp;""),"")</f>
        <v/>
      </c>
      <c r="S1466" s="66">
        <f>IF(X1466&lt;&gt;"","⛔ "&amp;X1466&amp;" — not posted",IF(Y1466&lt;&gt;"","⚠ "&amp;Y1466,IF(Z1466=1,"✓ OK","")))</f>
        <v/>
      </c>
      <c r="T1466" s="67">
        <f>IF(AND(C1466="",D1466="",E1466="",L1466="",K1466=""),1,0)</f>
        <v/>
      </c>
      <c r="U1466" s="67">
        <f>IFERROR(INDEX(tt_Dir,MATCH(D1466,tt_Type,0)),"")</f>
        <v/>
      </c>
      <c r="V1466" s="67">
        <f>IF(D1466="","",IFERROR(IF(INDEX(tt_Other,MATCH(D1466,tt_Type,0))="",E1466&amp;"",INDEX(tt_Other,MATCH(D1466,tt_Type,0))),""))</f>
        <v/>
      </c>
      <c r="W1466" s="68">
        <f>IF(OR(TaxOn&lt;&gt;"Yes",NOT(ISNUMBER(M1466))),0,IF(IFERROR(INDEX(tt_Tax,MATCH(D1466,tt_Type,0)),"No")="Yes",M1466,0))</f>
        <v/>
      </c>
      <c r="X1466" s="67">
        <f>IF(T1466=1,"",IF(C1466="","Missing transaction date",IF(NOT(ISNUMBER(C1466)),"Invalid date",IF(OR(C1466&lt;DATE(2000,1,1),C1466&gt;DATE(2099,12,31)),"Invalid date",IF(D1466="","Select a type",IF(U1466="","Unknown type: "&amp;D1466,IF(V1466="","Select an account (Category)",IF(ISNA(MATCH(V1466,coa_Name,0)),"Unknown account: "&amp;V1466,IF(K1466="","Select Paid From / Deposited To",IF(ISNA(MATCH(K1466,coa_Name,0)),"Unknown account: "&amp;K1466,IF(NOT(ISNUMBER(L1466)),"Enter an amount",IF(L1466=0,"Enter an amount",IF(ABS(W1466)&gt;ABS(L1466),"Tax is larger than the amount","")))))))))))))</f>
        <v/>
      </c>
      <c r="Y1466" s="67">
        <f>IF(OR(T1466=1,X1466&lt;&gt;""),"",IF(AND(B1466&lt;&gt;"",COUNTIF(tx_ID,B1466)&gt;1),"Duplicate transaction ID",IF(AND(L1466&lt;0,D1466&lt;&gt;"Adjustment"),"Negative amount — check this entry",IF(AND(D1466="Customer Payment",G1466=""),"Add the customer",IF(AND(D1466="Customer Payment",OR(J1466="",COUNTIF(ar_No,J1466&amp;"")=0)),"Invoice # in Reference not found on AR sheet",IF(AND(D1466="Bill Payment",H1466=""),"Add the vendor",IF(AND(D1466="Bill Payment",OR(J1466="",COUNTIFS(ap_No,J1466&amp;"",ap_Party,H1466&amp;"")=0)),"Bill # + vendor not found on AP sheet",IF(AND(ISNUMBER(M1466),N(M1466)&lt;&gt;0,W1466=0),"Tax ignored (tax tracking off, or not allowed for this type)",IF(V1466=K1466&amp;"","Same account on both sides",IF(AND(ISNUMBER(StartDate),C1466&lt;StartDate),"Date is before the accounting start date",IF(AND(D1466&lt;&gt;"Adjustment",IFERROR(INDEX(coa_Pay,MATCH(K1466&amp;"",coa_Name,0)),"")&lt;&gt;"Yes"),"Paid From / Deposited To is not a payment account","")))))))))))</f>
        <v/>
      </c>
      <c r="Z1466" s="67">
        <f>IF(AND(T1466=0,X1466=""),1,0)</f>
        <v/>
      </c>
      <c r="AA1466" s="68">
        <f>IF(Z1466=1,IF(U1466="In",L1466,L1466-W1466),0)</f>
        <v/>
      </c>
      <c r="AB1466" s="68">
        <f>IF(Z1466=1,IF(U1466="In",L1466-W1466,L1466),0)</f>
        <v/>
      </c>
      <c r="AC1466" s="68">
        <f>IF(AND(Z1466=1,U1466="Out"),W1466,0)</f>
        <v/>
      </c>
      <c r="AD1466" s="68">
        <f>IF(AND(Z1466=1,U1466="In"),W1466,0)</f>
        <v/>
      </c>
    </row>
    <row r="1467">
      <c r="B1467" s="62" t="inlineStr">
        <is>
          <t>TX-1461</t>
        </is>
      </c>
      <c r="C1467" s="63" t="n"/>
      <c r="D1467" s="62" t="n"/>
      <c r="E1467" s="62" t="n"/>
      <c r="F1467" s="62" t="n"/>
      <c r="G1467" s="62" t="n"/>
      <c r="H1467" s="62" t="n"/>
      <c r="I1467" s="62" t="n"/>
      <c r="J1467" s="62" t="n"/>
      <c r="K1467" s="62" t="n"/>
      <c r="L1467" s="64" t="n"/>
      <c r="M1467" s="64" t="n"/>
      <c r="N1467" s="62" t="n"/>
      <c r="O1467" s="65">
        <f>IF(Z1467=1,L1467-W1467,"")</f>
        <v/>
      </c>
      <c r="P1467" s="66">
        <f>IF(V1467="","",IFERROR(INDEX(coa_Type,MATCH(V1467,coa_Name,0)),""))</f>
        <v/>
      </c>
      <c r="Q1467" s="66">
        <f>IF(Z1467=1,IF(U1467="In",K1467&amp;"",V1467),"")</f>
        <v/>
      </c>
      <c r="R1467" s="66">
        <f>IF(Z1467=1,IF(U1467="In",V1467,K1467&amp;""),"")</f>
        <v/>
      </c>
      <c r="S1467" s="66">
        <f>IF(X1467&lt;&gt;"","⛔ "&amp;X1467&amp;" — not posted",IF(Y1467&lt;&gt;"","⚠ "&amp;Y1467,IF(Z1467=1,"✓ OK","")))</f>
        <v/>
      </c>
      <c r="T1467" s="67">
        <f>IF(AND(C1467="",D1467="",E1467="",L1467="",K1467=""),1,0)</f>
        <v/>
      </c>
      <c r="U1467" s="67">
        <f>IFERROR(INDEX(tt_Dir,MATCH(D1467,tt_Type,0)),"")</f>
        <v/>
      </c>
      <c r="V1467" s="67">
        <f>IF(D1467="","",IFERROR(IF(INDEX(tt_Other,MATCH(D1467,tt_Type,0))="",E1467&amp;"",INDEX(tt_Other,MATCH(D1467,tt_Type,0))),""))</f>
        <v/>
      </c>
      <c r="W1467" s="68">
        <f>IF(OR(TaxOn&lt;&gt;"Yes",NOT(ISNUMBER(M1467))),0,IF(IFERROR(INDEX(tt_Tax,MATCH(D1467,tt_Type,0)),"No")="Yes",M1467,0))</f>
        <v/>
      </c>
      <c r="X1467" s="67">
        <f>IF(T1467=1,"",IF(C1467="","Missing transaction date",IF(NOT(ISNUMBER(C1467)),"Invalid date",IF(OR(C1467&lt;DATE(2000,1,1),C1467&gt;DATE(2099,12,31)),"Invalid date",IF(D1467="","Select a type",IF(U1467="","Unknown type: "&amp;D1467,IF(V1467="","Select an account (Category)",IF(ISNA(MATCH(V1467,coa_Name,0)),"Unknown account: "&amp;V1467,IF(K1467="","Select Paid From / Deposited To",IF(ISNA(MATCH(K1467,coa_Name,0)),"Unknown account: "&amp;K1467,IF(NOT(ISNUMBER(L1467)),"Enter an amount",IF(L1467=0,"Enter an amount",IF(ABS(W1467)&gt;ABS(L1467),"Tax is larger than the amount","")))))))))))))</f>
        <v/>
      </c>
      <c r="Y1467" s="67">
        <f>IF(OR(T1467=1,X1467&lt;&gt;""),"",IF(AND(B1467&lt;&gt;"",COUNTIF(tx_ID,B1467)&gt;1),"Duplicate transaction ID",IF(AND(L1467&lt;0,D1467&lt;&gt;"Adjustment"),"Negative amount — check this entry",IF(AND(D1467="Customer Payment",G1467=""),"Add the customer",IF(AND(D1467="Customer Payment",OR(J1467="",COUNTIF(ar_No,J1467&amp;"")=0)),"Invoice # in Reference not found on AR sheet",IF(AND(D1467="Bill Payment",H1467=""),"Add the vendor",IF(AND(D1467="Bill Payment",OR(J1467="",COUNTIFS(ap_No,J1467&amp;"",ap_Party,H1467&amp;"")=0)),"Bill # + vendor not found on AP sheet",IF(AND(ISNUMBER(M1467),N(M1467)&lt;&gt;0,W1467=0),"Tax ignored (tax tracking off, or not allowed for this type)",IF(V1467=K1467&amp;"","Same account on both sides",IF(AND(ISNUMBER(StartDate),C1467&lt;StartDate),"Date is before the accounting start date",IF(AND(D1467&lt;&gt;"Adjustment",IFERROR(INDEX(coa_Pay,MATCH(K1467&amp;"",coa_Name,0)),"")&lt;&gt;"Yes"),"Paid From / Deposited To is not a payment account","")))))))))))</f>
        <v/>
      </c>
      <c r="Z1467" s="67">
        <f>IF(AND(T1467=0,X1467=""),1,0)</f>
        <v/>
      </c>
      <c r="AA1467" s="68">
        <f>IF(Z1467=1,IF(U1467="In",L1467,L1467-W1467),0)</f>
        <v/>
      </c>
      <c r="AB1467" s="68">
        <f>IF(Z1467=1,IF(U1467="In",L1467-W1467,L1467),0)</f>
        <v/>
      </c>
      <c r="AC1467" s="68">
        <f>IF(AND(Z1467=1,U1467="Out"),W1467,0)</f>
        <v/>
      </c>
      <c r="AD1467" s="68">
        <f>IF(AND(Z1467=1,U1467="In"),W1467,0)</f>
        <v/>
      </c>
    </row>
    <row r="1468">
      <c r="B1468" s="62" t="inlineStr">
        <is>
          <t>TX-1462</t>
        </is>
      </c>
      <c r="C1468" s="63" t="n"/>
      <c r="D1468" s="62" t="n"/>
      <c r="E1468" s="62" t="n"/>
      <c r="F1468" s="62" t="n"/>
      <c r="G1468" s="62" t="n"/>
      <c r="H1468" s="62" t="n"/>
      <c r="I1468" s="62" t="n"/>
      <c r="J1468" s="62" t="n"/>
      <c r="K1468" s="62" t="n"/>
      <c r="L1468" s="64" t="n"/>
      <c r="M1468" s="64" t="n"/>
      <c r="N1468" s="62" t="n"/>
      <c r="O1468" s="65">
        <f>IF(Z1468=1,L1468-W1468,"")</f>
        <v/>
      </c>
      <c r="P1468" s="66">
        <f>IF(V1468="","",IFERROR(INDEX(coa_Type,MATCH(V1468,coa_Name,0)),""))</f>
        <v/>
      </c>
      <c r="Q1468" s="66">
        <f>IF(Z1468=1,IF(U1468="In",K1468&amp;"",V1468),"")</f>
        <v/>
      </c>
      <c r="R1468" s="66">
        <f>IF(Z1468=1,IF(U1468="In",V1468,K1468&amp;""),"")</f>
        <v/>
      </c>
      <c r="S1468" s="66">
        <f>IF(X1468&lt;&gt;"","⛔ "&amp;X1468&amp;" — not posted",IF(Y1468&lt;&gt;"","⚠ "&amp;Y1468,IF(Z1468=1,"✓ OK","")))</f>
        <v/>
      </c>
      <c r="T1468" s="67">
        <f>IF(AND(C1468="",D1468="",E1468="",L1468="",K1468=""),1,0)</f>
        <v/>
      </c>
      <c r="U1468" s="67">
        <f>IFERROR(INDEX(tt_Dir,MATCH(D1468,tt_Type,0)),"")</f>
        <v/>
      </c>
      <c r="V1468" s="67">
        <f>IF(D1468="","",IFERROR(IF(INDEX(tt_Other,MATCH(D1468,tt_Type,0))="",E1468&amp;"",INDEX(tt_Other,MATCH(D1468,tt_Type,0))),""))</f>
        <v/>
      </c>
      <c r="W1468" s="68">
        <f>IF(OR(TaxOn&lt;&gt;"Yes",NOT(ISNUMBER(M1468))),0,IF(IFERROR(INDEX(tt_Tax,MATCH(D1468,tt_Type,0)),"No")="Yes",M1468,0))</f>
        <v/>
      </c>
      <c r="X1468" s="67">
        <f>IF(T1468=1,"",IF(C1468="","Missing transaction date",IF(NOT(ISNUMBER(C1468)),"Invalid date",IF(OR(C1468&lt;DATE(2000,1,1),C1468&gt;DATE(2099,12,31)),"Invalid date",IF(D1468="","Select a type",IF(U1468="","Unknown type: "&amp;D1468,IF(V1468="","Select an account (Category)",IF(ISNA(MATCH(V1468,coa_Name,0)),"Unknown account: "&amp;V1468,IF(K1468="","Select Paid From / Deposited To",IF(ISNA(MATCH(K1468,coa_Name,0)),"Unknown account: "&amp;K1468,IF(NOT(ISNUMBER(L1468)),"Enter an amount",IF(L1468=0,"Enter an amount",IF(ABS(W1468)&gt;ABS(L1468),"Tax is larger than the amount","")))))))))))))</f>
        <v/>
      </c>
      <c r="Y1468" s="67">
        <f>IF(OR(T1468=1,X1468&lt;&gt;""),"",IF(AND(B1468&lt;&gt;"",COUNTIF(tx_ID,B1468)&gt;1),"Duplicate transaction ID",IF(AND(L1468&lt;0,D1468&lt;&gt;"Adjustment"),"Negative amount — check this entry",IF(AND(D1468="Customer Payment",G1468=""),"Add the customer",IF(AND(D1468="Customer Payment",OR(J1468="",COUNTIF(ar_No,J1468&amp;"")=0)),"Invoice # in Reference not found on AR sheet",IF(AND(D1468="Bill Payment",H1468=""),"Add the vendor",IF(AND(D1468="Bill Payment",OR(J1468="",COUNTIFS(ap_No,J1468&amp;"",ap_Party,H1468&amp;"")=0)),"Bill # + vendor not found on AP sheet",IF(AND(ISNUMBER(M1468),N(M1468)&lt;&gt;0,W1468=0),"Tax ignored (tax tracking off, or not allowed for this type)",IF(V1468=K1468&amp;"","Same account on both sides",IF(AND(ISNUMBER(StartDate),C1468&lt;StartDate),"Date is before the accounting start date",IF(AND(D1468&lt;&gt;"Adjustment",IFERROR(INDEX(coa_Pay,MATCH(K1468&amp;"",coa_Name,0)),"")&lt;&gt;"Yes"),"Paid From / Deposited To is not a payment account","")))))))))))</f>
        <v/>
      </c>
      <c r="Z1468" s="67">
        <f>IF(AND(T1468=0,X1468=""),1,0)</f>
        <v/>
      </c>
      <c r="AA1468" s="68">
        <f>IF(Z1468=1,IF(U1468="In",L1468,L1468-W1468),0)</f>
        <v/>
      </c>
      <c r="AB1468" s="68">
        <f>IF(Z1468=1,IF(U1468="In",L1468-W1468,L1468),0)</f>
        <v/>
      </c>
      <c r="AC1468" s="68">
        <f>IF(AND(Z1468=1,U1468="Out"),W1468,0)</f>
        <v/>
      </c>
      <c r="AD1468" s="68">
        <f>IF(AND(Z1468=1,U1468="In"),W1468,0)</f>
        <v/>
      </c>
    </row>
    <row r="1469">
      <c r="B1469" s="62" t="inlineStr">
        <is>
          <t>TX-1463</t>
        </is>
      </c>
      <c r="C1469" s="63" t="n"/>
      <c r="D1469" s="62" t="n"/>
      <c r="E1469" s="62" t="n"/>
      <c r="F1469" s="62" t="n"/>
      <c r="G1469" s="62" t="n"/>
      <c r="H1469" s="62" t="n"/>
      <c r="I1469" s="62" t="n"/>
      <c r="J1469" s="62" t="n"/>
      <c r="K1469" s="62" t="n"/>
      <c r="L1469" s="64" t="n"/>
      <c r="M1469" s="64" t="n"/>
      <c r="N1469" s="62" t="n"/>
      <c r="O1469" s="65">
        <f>IF(Z1469=1,L1469-W1469,"")</f>
        <v/>
      </c>
      <c r="P1469" s="66">
        <f>IF(V1469="","",IFERROR(INDEX(coa_Type,MATCH(V1469,coa_Name,0)),""))</f>
        <v/>
      </c>
      <c r="Q1469" s="66">
        <f>IF(Z1469=1,IF(U1469="In",K1469&amp;"",V1469),"")</f>
        <v/>
      </c>
      <c r="R1469" s="66">
        <f>IF(Z1469=1,IF(U1469="In",V1469,K1469&amp;""),"")</f>
        <v/>
      </c>
      <c r="S1469" s="66">
        <f>IF(X1469&lt;&gt;"","⛔ "&amp;X1469&amp;" — not posted",IF(Y1469&lt;&gt;"","⚠ "&amp;Y1469,IF(Z1469=1,"✓ OK","")))</f>
        <v/>
      </c>
      <c r="T1469" s="67">
        <f>IF(AND(C1469="",D1469="",E1469="",L1469="",K1469=""),1,0)</f>
        <v/>
      </c>
      <c r="U1469" s="67">
        <f>IFERROR(INDEX(tt_Dir,MATCH(D1469,tt_Type,0)),"")</f>
        <v/>
      </c>
      <c r="V1469" s="67">
        <f>IF(D1469="","",IFERROR(IF(INDEX(tt_Other,MATCH(D1469,tt_Type,0))="",E1469&amp;"",INDEX(tt_Other,MATCH(D1469,tt_Type,0))),""))</f>
        <v/>
      </c>
      <c r="W1469" s="68">
        <f>IF(OR(TaxOn&lt;&gt;"Yes",NOT(ISNUMBER(M1469))),0,IF(IFERROR(INDEX(tt_Tax,MATCH(D1469,tt_Type,0)),"No")="Yes",M1469,0))</f>
        <v/>
      </c>
      <c r="X1469" s="67">
        <f>IF(T1469=1,"",IF(C1469="","Missing transaction date",IF(NOT(ISNUMBER(C1469)),"Invalid date",IF(OR(C1469&lt;DATE(2000,1,1),C1469&gt;DATE(2099,12,31)),"Invalid date",IF(D1469="","Select a type",IF(U1469="","Unknown type: "&amp;D1469,IF(V1469="","Select an account (Category)",IF(ISNA(MATCH(V1469,coa_Name,0)),"Unknown account: "&amp;V1469,IF(K1469="","Select Paid From / Deposited To",IF(ISNA(MATCH(K1469,coa_Name,0)),"Unknown account: "&amp;K1469,IF(NOT(ISNUMBER(L1469)),"Enter an amount",IF(L1469=0,"Enter an amount",IF(ABS(W1469)&gt;ABS(L1469),"Tax is larger than the amount","")))))))))))))</f>
        <v/>
      </c>
      <c r="Y1469" s="67">
        <f>IF(OR(T1469=1,X1469&lt;&gt;""),"",IF(AND(B1469&lt;&gt;"",COUNTIF(tx_ID,B1469)&gt;1),"Duplicate transaction ID",IF(AND(L1469&lt;0,D1469&lt;&gt;"Adjustment"),"Negative amount — check this entry",IF(AND(D1469="Customer Payment",G1469=""),"Add the customer",IF(AND(D1469="Customer Payment",OR(J1469="",COUNTIF(ar_No,J1469&amp;"")=0)),"Invoice # in Reference not found on AR sheet",IF(AND(D1469="Bill Payment",H1469=""),"Add the vendor",IF(AND(D1469="Bill Payment",OR(J1469="",COUNTIFS(ap_No,J1469&amp;"",ap_Party,H1469&amp;"")=0)),"Bill # + vendor not found on AP sheet",IF(AND(ISNUMBER(M1469),N(M1469)&lt;&gt;0,W1469=0),"Tax ignored (tax tracking off, or not allowed for this type)",IF(V1469=K1469&amp;"","Same account on both sides",IF(AND(ISNUMBER(StartDate),C1469&lt;StartDate),"Date is before the accounting start date",IF(AND(D1469&lt;&gt;"Adjustment",IFERROR(INDEX(coa_Pay,MATCH(K1469&amp;"",coa_Name,0)),"")&lt;&gt;"Yes"),"Paid From / Deposited To is not a payment account","")))))))))))</f>
        <v/>
      </c>
      <c r="Z1469" s="67">
        <f>IF(AND(T1469=0,X1469=""),1,0)</f>
        <v/>
      </c>
      <c r="AA1469" s="68">
        <f>IF(Z1469=1,IF(U1469="In",L1469,L1469-W1469),0)</f>
        <v/>
      </c>
      <c r="AB1469" s="68">
        <f>IF(Z1469=1,IF(U1469="In",L1469-W1469,L1469),0)</f>
        <v/>
      </c>
      <c r="AC1469" s="68">
        <f>IF(AND(Z1469=1,U1469="Out"),W1469,0)</f>
        <v/>
      </c>
      <c r="AD1469" s="68">
        <f>IF(AND(Z1469=1,U1469="In"),W1469,0)</f>
        <v/>
      </c>
    </row>
    <row r="1470">
      <c r="B1470" s="62" t="inlineStr">
        <is>
          <t>TX-1464</t>
        </is>
      </c>
      <c r="C1470" s="63" t="n"/>
      <c r="D1470" s="62" t="n"/>
      <c r="E1470" s="62" t="n"/>
      <c r="F1470" s="62" t="n"/>
      <c r="G1470" s="62" t="n"/>
      <c r="H1470" s="62" t="n"/>
      <c r="I1470" s="62" t="n"/>
      <c r="J1470" s="62" t="n"/>
      <c r="K1470" s="62" t="n"/>
      <c r="L1470" s="64" t="n"/>
      <c r="M1470" s="64" t="n"/>
      <c r="N1470" s="62" t="n"/>
      <c r="O1470" s="65">
        <f>IF(Z1470=1,L1470-W1470,"")</f>
        <v/>
      </c>
      <c r="P1470" s="66">
        <f>IF(V1470="","",IFERROR(INDEX(coa_Type,MATCH(V1470,coa_Name,0)),""))</f>
        <v/>
      </c>
      <c r="Q1470" s="66">
        <f>IF(Z1470=1,IF(U1470="In",K1470&amp;"",V1470),"")</f>
        <v/>
      </c>
      <c r="R1470" s="66">
        <f>IF(Z1470=1,IF(U1470="In",V1470,K1470&amp;""),"")</f>
        <v/>
      </c>
      <c r="S1470" s="66">
        <f>IF(X1470&lt;&gt;"","⛔ "&amp;X1470&amp;" — not posted",IF(Y1470&lt;&gt;"","⚠ "&amp;Y1470,IF(Z1470=1,"✓ OK","")))</f>
        <v/>
      </c>
      <c r="T1470" s="67">
        <f>IF(AND(C1470="",D1470="",E1470="",L1470="",K1470=""),1,0)</f>
        <v/>
      </c>
      <c r="U1470" s="67">
        <f>IFERROR(INDEX(tt_Dir,MATCH(D1470,tt_Type,0)),"")</f>
        <v/>
      </c>
      <c r="V1470" s="67">
        <f>IF(D1470="","",IFERROR(IF(INDEX(tt_Other,MATCH(D1470,tt_Type,0))="",E1470&amp;"",INDEX(tt_Other,MATCH(D1470,tt_Type,0))),""))</f>
        <v/>
      </c>
      <c r="W1470" s="68">
        <f>IF(OR(TaxOn&lt;&gt;"Yes",NOT(ISNUMBER(M1470))),0,IF(IFERROR(INDEX(tt_Tax,MATCH(D1470,tt_Type,0)),"No")="Yes",M1470,0))</f>
        <v/>
      </c>
      <c r="X1470" s="67">
        <f>IF(T1470=1,"",IF(C1470="","Missing transaction date",IF(NOT(ISNUMBER(C1470)),"Invalid date",IF(OR(C1470&lt;DATE(2000,1,1),C1470&gt;DATE(2099,12,31)),"Invalid date",IF(D1470="","Select a type",IF(U1470="","Unknown type: "&amp;D1470,IF(V1470="","Select an account (Category)",IF(ISNA(MATCH(V1470,coa_Name,0)),"Unknown account: "&amp;V1470,IF(K1470="","Select Paid From / Deposited To",IF(ISNA(MATCH(K1470,coa_Name,0)),"Unknown account: "&amp;K1470,IF(NOT(ISNUMBER(L1470)),"Enter an amount",IF(L1470=0,"Enter an amount",IF(ABS(W1470)&gt;ABS(L1470),"Tax is larger than the amount","")))))))))))))</f>
        <v/>
      </c>
      <c r="Y1470" s="67">
        <f>IF(OR(T1470=1,X1470&lt;&gt;""),"",IF(AND(B1470&lt;&gt;"",COUNTIF(tx_ID,B1470)&gt;1),"Duplicate transaction ID",IF(AND(L1470&lt;0,D1470&lt;&gt;"Adjustment"),"Negative amount — check this entry",IF(AND(D1470="Customer Payment",G1470=""),"Add the customer",IF(AND(D1470="Customer Payment",OR(J1470="",COUNTIF(ar_No,J1470&amp;"")=0)),"Invoice # in Reference not found on AR sheet",IF(AND(D1470="Bill Payment",H1470=""),"Add the vendor",IF(AND(D1470="Bill Payment",OR(J1470="",COUNTIFS(ap_No,J1470&amp;"",ap_Party,H1470&amp;"")=0)),"Bill # + vendor not found on AP sheet",IF(AND(ISNUMBER(M1470),N(M1470)&lt;&gt;0,W1470=0),"Tax ignored (tax tracking off, or not allowed for this type)",IF(V1470=K1470&amp;"","Same account on both sides",IF(AND(ISNUMBER(StartDate),C1470&lt;StartDate),"Date is before the accounting start date",IF(AND(D1470&lt;&gt;"Adjustment",IFERROR(INDEX(coa_Pay,MATCH(K1470&amp;"",coa_Name,0)),"")&lt;&gt;"Yes"),"Paid From / Deposited To is not a payment account","")))))))))))</f>
        <v/>
      </c>
      <c r="Z1470" s="67">
        <f>IF(AND(T1470=0,X1470=""),1,0)</f>
        <v/>
      </c>
      <c r="AA1470" s="68">
        <f>IF(Z1470=1,IF(U1470="In",L1470,L1470-W1470),0)</f>
        <v/>
      </c>
      <c r="AB1470" s="68">
        <f>IF(Z1470=1,IF(U1470="In",L1470-W1470,L1470),0)</f>
        <v/>
      </c>
      <c r="AC1470" s="68">
        <f>IF(AND(Z1470=1,U1470="Out"),W1470,0)</f>
        <v/>
      </c>
      <c r="AD1470" s="68">
        <f>IF(AND(Z1470=1,U1470="In"),W1470,0)</f>
        <v/>
      </c>
    </row>
    <row r="1471">
      <c r="B1471" s="62" t="inlineStr">
        <is>
          <t>TX-1465</t>
        </is>
      </c>
      <c r="C1471" s="63" t="n"/>
      <c r="D1471" s="62" t="n"/>
      <c r="E1471" s="62" t="n"/>
      <c r="F1471" s="62" t="n"/>
      <c r="G1471" s="62" t="n"/>
      <c r="H1471" s="62" t="n"/>
      <c r="I1471" s="62" t="n"/>
      <c r="J1471" s="62" t="n"/>
      <c r="K1471" s="62" t="n"/>
      <c r="L1471" s="64" t="n"/>
      <c r="M1471" s="64" t="n"/>
      <c r="N1471" s="62" t="n"/>
      <c r="O1471" s="65">
        <f>IF(Z1471=1,L1471-W1471,"")</f>
        <v/>
      </c>
      <c r="P1471" s="66">
        <f>IF(V1471="","",IFERROR(INDEX(coa_Type,MATCH(V1471,coa_Name,0)),""))</f>
        <v/>
      </c>
      <c r="Q1471" s="66">
        <f>IF(Z1471=1,IF(U1471="In",K1471&amp;"",V1471),"")</f>
        <v/>
      </c>
      <c r="R1471" s="66">
        <f>IF(Z1471=1,IF(U1471="In",V1471,K1471&amp;""),"")</f>
        <v/>
      </c>
      <c r="S1471" s="66">
        <f>IF(X1471&lt;&gt;"","⛔ "&amp;X1471&amp;" — not posted",IF(Y1471&lt;&gt;"","⚠ "&amp;Y1471,IF(Z1471=1,"✓ OK","")))</f>
        <v/>
      </c>
      <c r="T1471" s="67">
        <f>IF(AND(C1471="",D1471="",E1471="",L1471="",K1471=""),1,0)</f>
        <v/>
      </c>
      <c r="U1471" s="67">
        <f>IFERROR(INDEX(tt_Dir,MATCH(D1471,tt_Type,0)),"")</f>
        <v/>
      </c>
      <c r="V1471" s="67">
        <f>IF(D1471="","",IFERROR(IF(INDEX(tt_Other,MATCH(D1471,tt_Type,0))="",E1471&amp;"",INDEX(tt_Other,MATCH(D1471,tt_Type,0))),""))</f>
        <v/>
      </c>
      <c r="W1471" s="68">
        <f>IF(OR(TaxOn&lt;&gt;"Yes",NOT(ISNUMBER(M1471))),0,IF(IFERROR(INDEX(tt_Tax,MATCH(D1471,tt_Type,0)),"No")="Yes",M1471,0))</f>
        <v/>
      </c>
      <c r="X1471" s="67">
        <f>IF(T1471=1,"",IF(C1471="","Missing transaction date",IF(NOT(ISNUMBER(C1471)),"Invalid date",IF(OR(C1471&lt;DATE(2000,1,1),C1471&gt;DATE(2099,12,31)),"Invalid date",IF(D1471="","Select a type",IF(U1471="","Unknown type: "&amp;D1471,IF(V1471="","Select an account (Category)",IF(ISNA(MATCH(V1471,coa_Name,0)),"Unknown account: "&amp;V1471,IF(K1471="","Select Paid From / Deposited To",IF(ISNA(MATCH(K1471,coa_Name,0)),"Unknown account: "&amp;K1471,IF(NOT(ISNUMBER(L1471)),"Enter an amount",IF(L1471=0,"Enter an amount",IF(ABS(W1471)&gt;ABS(L1471),"Tax is larger than the amount","")))))))))))))</f>
        <v/>
      </c>
      <c r="Y1471" s="67">
        <f>IF(OR(T1471=1,X1471&lt;&gt;""),"",IF(AND(B1471&lt;&gt;"",COUNTIF(tx_ID,B1471)&gt;1),"Duplicate transaction ID",IF(AND(L1471&lt;0,D1471&lt;&gt;"Adjustment"),"Negative amount — check this entry",IF(AND(D1471="Customer Payment",G1471=""),"Add the customer",IF(AND(D1471="Customer Payment",OR(J1471="",COUNTIF(ar_No,J1471&amp;"")=0)),"Invoice # in Reference not found on AR sheet",IF(AND(D1471="Bill Payment",H1471=""),"Add the vendor",IF(AND(D1471="Bill Payment",OR(J1471="",COUNTIFS(ap_No,J1471&amp;"",ap_Party,H1471&amp;"")=0)),"Bill # + vendor not found on AP sheet",IF(AND(ISNUMBER(M1471),N(M1471)&lt;&gt;0,W1471=0),"Tax ignored (tax tracking off, or not allowed for this type)",IF(V1471=K1471&amp;"","Same account on both sides",IF(AND(ISNUMBER(StartDate),C1471&lt;StartDate),"Date is before the accounting start date",IF(AND(D1471&lt;&gt;"Adjustment",IFERROR(INDEX(coa_Pay,MATCH(K1471&amp;"",coa_Name,0)),"")&lt;&gt;"Yes"),"Paid From / Deposited To is not a payment account","")))))))))))</f>
        <v/>
      </c>
      <c r="Z1471" s="67">
        <f>IF(AND(T1471=0,X1471=""),1,0)</f>
        <v/>
      </c>
      <c r="AA1471" s="68">
        <f>IF(Z1471=1,IF(U1471="In",L1471,L1471-W1471),0)</f>
        <v/>
      </c>
      <c r="AB1471" s="68">
        <f>IF(Z1471=1,IF(U1471="In",L1471-W1471,L1471),0)</f>
        <v/>
      </c>
      <c r="AC1471" s="68">
        <f>IF(AND(Z1471=1,U1471="Out"),W1471,0)</f>
        <v/>
      </c>
      <c r="AD1471" s="68">
        <f>IF(AND(Z1471=1,U1471="In"),W1471,0)</f>
        <v/>
      </c>
    </row>
    <row r="1472">
      <c r="B1472" s="62" t="inlineStr">
        <is>
          <t>TX-1466</t>
        </is>
      </c>
      <c r="C1472" s="63" t="n"/>
      <c r="D1472" s="62" t="n"/>
      <c r="E1472" s="62" t="n"/>
      <c r="F1472" s="62" t="n"/>
      <c r="G1472" s="62" t="n"/>
      <c r="H1472" s="62" t="n"/>
      <c r="I1472" s="62" t="n"/>
      <c r="J1472" s="62" t="n"/>
      <c r="K1472" s="62" t="n"/>
      <c r="L1472" s="64" t="n"/>
      <c r="M1472" s="64" t="n"/>
      <c r="N1472" s="62" t="n"/>
      <c r="O1472" s="65">
        <f>IF(Z1472=1,L1472-W1472,"")</f>
        <v/>
      </c>
      <c r="P1472" s="66">
        <f>IF(V1472="","",IFERROR(INDEX(coa_Type,MATCH(V1472,coa_Name,0)),""))</f>
        <v/>
      </c>
      <c r="Q1472" s="66">
        <f>IF(Z1472=1,IF(U1472="In",K1472&amp;"",V1472),"")</f>
        <v/>
      </c>
      <c r="R1472" s="66">
        <f>IF(Z1472=1,IF(U1472="In",V1472,K1472&amp;""),"")</f>
        <v/>
      </c>
      <c r="S1472" s="66">
        <f>IF(X1472&lt;&gt;"","⛔ "&amp;X1472&amp;" — not posted",IF(Y1472&lt;&gt;"","⚠ "&amp;Y1472,IF(Z1472=1,"✓ OK","")))</f>
        <v/>
      </c>
      <c r="T1472" s="67">
        <f>IF(AND(C1472="",D1472="",E1472="",L1472="",K1472=""),1,0)</f>
        <v/>
      </c>
      <c r="U1472" s="67">
        <f>IFERROR(INDEX(tt_Dir,MATCH(D1472,tt_Type,0)),"")</f>
        <v/>
      </c>
      <c r="V1472" s="67">
        <f>IF(D1472="","",IFERROR(IF(INDEX(tt_Other,MATCH(D1472,tt_Type,0))="",E1472&amp;"",INDEX(tt_Other,MATCH(D1472,tt_Type,0))),""))</f>
        <v/>
      </c>
      <c r="W1472" s="68">
        <f>IF(OR(TaxOn&lt;&gt;"Yes",NOT(ISNUMBER(M1472))),0,IF(IFERROR(INDEX(tt_Tax,MATCH(D1472,tt_Type,0)),"No")="Yes",M1472,0))</f>
        <v/>
      </c>
      <c r="X1472" s="67">
        <f>IF(T1472=1,"",IF(C1472="","Missing transaction date",IF(NOT(ISNUMBER(C1472)),"Invalid date",IF(OR(C1472&lt;DATE(2000,1,1),C1472&gt;DATE(2099,12,31)),"Invalid date",IF(D1472="","Select a type",IF(U1472="","Unknown type: "&amp;D1472,IF(V1472="","Select an account (Category)",IF(ISNA(MATCH(V1472,coa_Name,0)),"Unknown account: "&amp;V1472,IF(K1472="","Select Paid From / Deposited To",IF(ISNA(MATCH(K1472,coa_Name,0)),"Unknown account: "&amp;K1472,IF(NOT(ISNUMBER(L1472)),"Enter an amount",IF(L1472=0,"Enter an amount",IF(ABS(W1472)&gt;ABS(L1472),"Tax is larger than the amount","")))))))))))))</f>
        <v/>
      </c>
      <c r="Y1472" s="67">
        <f>IF(OR(T1472=1,X1472&lt;&gt;""),"",IF(AND(B1472&lt;&gt;"",COUNTIF(tx_ID,B1472)&gt;1),"Duplicate transaction ID",IF(AND(L1472&lt;0,D1472&lt;&gt;"Adjustment"),"Negative amount — check this entry",IF(AND(D1472="Customer Payment",G1472=""),"Add the customer",IF(AND(D1472="Customer Payment",OR(J1472="",COUNTIF(ar_No,J1472&amp;"")=0)),"Invoice # in Reference not found on AR sheet",IF(AND(D1472="Bill Payment",H1472=""),"Add the vendor",IF(AND(D1472="Bill Payment",OR(J1472="",COUNTIFS(ap_No,J1472&amp;"",ap_Party,H1472&amp;"")=0)),"Bill # + vendor not found on AP sheet",IF(AND(ISNUMBER(M1472),N(M1472)&lt;&gt;0,W1472=0),"Tax ignored (tax tracking off, or not allowed for this type)",IF(V1472=K1472&amp;"","Same account on both sides",IF(AND(ISNUMBER(StartDate),C1472&lt;StartDate),"Date is before the accounting start date",IF(AND(D1472&lt;&gt;"Adjustment",IFERROR(INDEX(coa_Pay,MATCH(K1472&amp;"",coa_Name,0)),"")&lt;&gt;"Yes"),"Paid From / Deposited To is not a payment account","")))))))))))</f>
        <v/>
      </c>
      <c r="Z1472" s="67">
        <f>IF(AND(T1472=0,X1472=""),1,0)</f>
        <v/>
      </c>
      <c r="AA1472" s="68">
        <f>IF(Z1472=1,IF(U1472="In",L1472,L1472-W1472),0)</f>
        <v/>
      </c>
      <c r="AB1472" s="68">
        <f>IF(Z1472=1,IF(U1472="In",L1472-W1472,L1472),0)</f>
        <v/>
      </c>
      <c r="AC1472" s="68">
        <f>IF(AND(Z1472=1,U1472="Out"),W1472,0)</f>
        <v/>
      </c>
      <c r="AD1472" s="68">
        <f>IF(AND(Z1472=1,U1472="In"),W1472,0)</f>
        <v/>
      </c>
    </row>
    <row r="1473">
      <c r="B1473" s="62" t="inlineStr">
        <is>
          <t>TX-1467</t>
        </is>
      </c>
      <c r="C1473" s="63" t="n"/>
      <c r="D1473" s="62" t="n"/>
      <c r="E1473" s="62" t="n"/>
      <c r="F1473" s="62" t="n"/>
      <c r="G1473" s="62" t="n"/>
      <c r="H1473" s="62" t="n"/>
      <c r="I1473" s="62" t="n"/>
      <c r="J1473" s="62" t="n"/>
      <c r="K1473" s="62" t="n"/>
      <c r="L1473" s="64" t="n"/>
      <c r="M1473" s="64" t="n"/>
      <c r="N1473" s="62" t="n"/>
      <c r="O1473" s="65">
        <f>IF(Z1473=1,L1473-W1473,"")</f>
        <v/>
      </c>
      <c r="P1473" s="66">
        <f>IF(V1473="","",IFERROR(INDEX(coa_Type,MATCH(V1473,coa_Name,0)),""))</f>
        <v/>
      </c>
      <c r="Q1473" s="66">
        <f>IF(Z1473=1,IF(U1473="In",K1473&amp;"",V1473),"")</f>
        <v/>
      </c>
      <c r="R1473" s="66">
        <f>IF(Z1473=1,IF(U1473="In",V1473,K1473&amp;""),"")</f>
        <v/>
      </c>
      <c r="S1473" s="66">
        <f>IF(X1473&lt;&gt;"","⛔ "&amp;X1473&amp;" — not posted",IF(Y1473&lt;&gt;"","⚠ "&amp;Y1473,IF(Z1473=1,"✓ OK","")))</f>
        <v/>
      </c>
      <c r="T1473" s="67">
        <f>IF(AND(C1473="",D1473="",E1473="",L1473="",K1473=""),1,0)</f>
        <v/>
      </c>
      <c r="U1473" s="67">
        <f>IFERROR(INDEX(tt_Dir,MATCH(D1473,tt_Type,0)),"")</f>
        <v/>
      </c>
      <c r="V1473" s="67">
        <f>IF(D1473="","",IFERROR(IF(INDEX(tt_Other,MATCH(D1473,tt_Type,0))="",E1473&amp;"",INDEX(tt_Other,MATCH(D1473,tt_Type,0))),""))</f>
        <v/>
      </c>
      <c r="W1473" s="68">
        <f>IF(OR(TaxOn&lt;&gt;"Yes",NOT(ISNUMBER(M1473))),0,IF(IFERROR(INDEX(tt_Tax,MATCH(D1473,tt_Type,0)),"No")="Yes",M1473,0))</f>
        <v/>
      </c>
      <c r="X1473" s="67">
        <f>IF(T1473=1,"",IF(C1473="","Missing transaction date",IF(NOT(ISNUMBER(C1473)),"Invalid date",IF(OR(C1473&lt;DATE(2000,1,1),C1473&gt;DATE(2099,12,31)),"Invalid date",IF(D1473="","Select a type",IF(U1473="","Unknown type: "&amp;D1473,IF(V1473="","Select an account (Category)",IF(ISNA(MATCH(V1473,coa_Name,0)),"Unknown account: "&amp;V1473,IF(K1473="","Select Paid From / Deposited To",IF(ISNA(MATCH(K1473,coa_Name,0)),"Unknown account: "&amp;K1473,IF(NOT(ISNUMBER(L1473)),"Enter an amount",IF(L1473=0,"Enter an amount",IF(ABS(W1473)&gt;ABS(L1473),"Tax is larger than the amount","")))))))))))))</f>
        <v/>
      </c>
      <c r="Y1473" s="67">
        <f>IF(OR(T1473=1,X1473&lt;&gt;""),"",IF(AND(B1473&lt;&gt;"",COUNTIF(tx_ID,B1473)&gt;1),"Duplicate transaction ID",IF(AND(L1473&lt;0,D1473&lt;&gt;"Adjustment"),"Negative amount — check this entry",IF(AND(D1473="Customer Payment",G1473=""),"Add the customer",IF(AND(D1473="Customer Payment",OR(J1473="",COUNTIF(ar_No,J1473&amp;"")=0)),"Invoice # in Reference not found on AR sheet",IF(AND(D1473="Bill Payment",H1473=""),"Add the vendor",IF(AND(D1473="Bill Payment",OR(J1473="",COUNTIFS(ap_No,J1473&amp;"",ap_Party,H1473&amp;"")=0)),"Bill # + vendor not found on AP sheet",IF(AND(ISNUMBER(M1473),N(M1473)&lt;&gt;0,W1473=0),"Tax ignored (tax tracking off, or not allowed for this type)",IF(V1473=K1473&amp;"","Same account on both sides",IF(AND(ISNUMBER(StartDate),C1473&lt;StartDate),"Date is before the accounting start date",IF(AND(D1473&lt;&gt;"Adjustment",IFERROR(INDEX(coa_Pay,MATCH(K1473&amp;"",coa_Name,0)),"")&lt;&gt;"Yes"),"Paid From / Deposited To is not a payment account","")))))))))))</f>
        <v/>
      </c>
      <c r="Z1473" s="67">
        <f>IF(AND(T1473=0,X1473=""),1,0)</f>
        <v/>
      </c>
      <c r="AA1473" s="68">
        <f>IF(Z1473=1,IF(U1473="In",L1473,L1473-W1473),0)</f>
        <v/>
      </c>
      <c r="AB1473" s="68">
        <f>IF(Z1473=1,IF(U1473="In",L1473-W1473,L1473),0)</f>
        <v/>
      </c>
      <c r="AC1473" s="68">
        <f>IF(AND(Z1473=1,U1473="Out"),W1473,0)</f>
        <v/>
      </c>
      <c r="AD1473" s="68">
        <f>IF(AND(Z1473=1,U1473="In"),W1473,0)</f>
        <v/>
      </c>
    </row>
    <row r="1474">
      <c r="B1474" s="62" t="inlineStr">
        <is>
          <t>TX-1468</t>
        </is>
      </c>
      <c r="C1474" s="63" t="n"/>
      <c r="D1474" s="62" t="n"/>
      <c r="E1474" s="62" t="n"/>
      <c r="F1474" s="62" t="n"/>
      <c r="G1474" s="62" t="n"/>
      <c r="H1474" s="62" t="n"/>
      <c r="I1474" s="62" t="n"/>
      <c r="J1474" s="62" t="n"/>
      <c r="K1474" s="62" t="n"/>
      <c r="L1474" s="64" t="n"/>
      <c r="M1474" s="64" t="n"/>
      <c r="N1474" s="62" t="n"/>
      <c r="O1474" s="65">
        <f>IF(Z1474=1,L1474-W1474,"")</f>
        <v/>
      </c>
      <c r="P1474" s="66">
        <f>IF(V1474="","",IFERROR(INDEX(coa_Type,MATCH(V1474,coa_Name,0)),""))</f>
        <v/>
      </c>
      <c r="Q1474" s="66">
        <f>IF(Z1474=1,IF(U1474="In",K1474&amp;"",V1474),"")</f>
        <v/>
      </c>
      <c r="R1474" s="66">
        <f>IF(Z1474=1,IF(U1474="In",V1474,K1474&amp;""),"")</f>
        <v/>
      </c>
      <c r="S1474" s="66">
        <f>IF(X1474&lt;&gt;"","⛔ "&amp;X1474&amp;" — not posted",IF(Y1474&lt;&gt;"","⚠ "&amp;Y1474,IF(Z1474=1,"✓ OK","")))</f>
        <v/>
      </c>
      <c r="T1474" s="67">
        <f>IF(AND(C1474="",D1474="",E1474="",L1474="",K1474=""),1,0)</f>
        <v/>
      </c>
      <c r="U1474" s="67">
        <f>IFERROR(INDEX(tt_Dir,MATCH(D1474,tt_Type,0)),"")</f>
        <v/>
      </c>
      <c r="V1474" s="67">
        <f>IF(D1474="","",IFERROR(IF(INDEX(tt_Other,MATCH(D1474,tt_Type,0))="",E1474&amp;"",INDEX(tt_Other,MATCH(D1474,tt_Type,0))),""))</f>
        <v/>
      </c>
      <c r="W1474" s="68">
        <f>IF(OR(TaxOn&lt;&gt;"Yes",NOT(ISNUMBER(M1474))),0,IF(IFERROR(INDEX(tt_Tax,MATCH(D1474,tt_Type,0)),"No")="Yes",M1474,0))</f>
        <v/>
      </c>
      <c r="X1474" s="67">
        <f>IF(T1474=1,"",IF(C1474="","Missing transaction date",IF(NOT(ISNUMBER(C1474)),"Invalid date",IF(OR(C1474&lt;DATE(2000,1,1),C1474&gt;DATE(2099,12,31)),"Invalid date",IF(D1474="","Select a type",IF(U1474="","Unknown type: "&amp;D1474,IF(V1474="","Select an account (Category)",IF(ISNA(MATCH(V1474,coa_Name,0)),"Unknown account: "&amp;V1474,IF(K1474="","Select Paid From / Deposited To",IF(ISNA(MATCH(K1474,coa_Name,0)),"Unknown account: "&amp;K1474,IF(NOT(ISNUMBER(L1474)),"Enter an amount",IF(L1474=0,"Enter an amount",IF(ABS(W1474)&gt;ABS(L1474),"Tax is larger than the amount","")))))))))))))</f>
        <v/>
      </c>
      <c r="Y1474" s="67">
        <f>IF(OR(T1474=1,X1474&lt;&gt;""),"",IF(AND(B1474&lt;&gt;"",COUNTIF(tx_ID,B1474)&gt;1),"Duplicate transaction ID",IF(AND(L1474&lt;0,D1474&lt;&gt;"Adjustment"),"Negative amount — check this entry",IF(AND(D1474="Customer Payment",G1474=""),"Add the customer",IF(AND(D1474="Customer Payment",OR(J1474="",COUNTIF(ar_No,J1474&amp;"")=0)),"Invoice # in Reference not found on AR sheet",IF(AND(D1474="Bill Payment",H1474=""),"Add the vendor",IF(AND(D1474="Bill Payment",OR(J1474="",COUNTIFS(ap_No,J1474&amp;"",ap_Party,H1474&amp;"")=0)),"Bill # + vendor not found on AP sheet",IF(AND(ISNUMBER(M1474),N(M1474)&lt;&gt;0,W1474=0),"Tax ignored (tax tracking off, or not allowed for this type)",IF(V1474=K1474&amp;"","Same account on both sides",IF(AND(ISNUMBER(StartDate),C1474&lt;StartDate),"Date is before the accounting start date",IF(AND(D1474&lt;&gt;"Adjustment",IFERROR(INDEX(coa_Pay,MATCH(K1474&amp;"",coa_Name,0)),"")&lt;&gt;"Yes"),"Paid From / Deposited To is not a payment account","")))))))))))</f>
        <v/>
      </c>
      <c r="Z1474" s="67">
        <f>IF(AND(T1474=0,X1474=""),1,0)</f>
        <v/>
      </c>
      <c r="AA1474" s="68">
        <f>IF(Z1474=1,IF(U1474="In",L1474,L1474-W1474),0)</f>
        <v/>
      </c>
      <c r="AB1474" s="68">
        <f>IF(Z1474=1,IF(U1474="In",L1474-W1474,L1474),0)</f>
        <v/>
      </c>
      <c r="AC1474" s="68">
        <f>IF(AND(Z1474=1,U1474="Out"),W1474,0)</f>
        <v/>
      </c>
      <c r="AD1474" s="68">
        <f>IF(AND(Z1474=1,U1474="In"),W1474,0)</f>
        <v/>
      </c>
    </row>
    <row r="1475">
      <c r="B1475" s="62" t="inlineStr">
        <is>
          <t>TX-1469</t>
        </is>
      </c>
      <c r="C1475" s="63" t="n"/>
      <c r="D1475" s="62" t="n"/>
      <c r="E1475" s="62" t="n"/>
      <c r="F1475" s="62" t="n"/>
      <c r="G1475" s="62" t="n"/>
      <c r="H1475" s="62" t="n"/>
      <c r="I1475" s="62" t="n"/>
      <c r="J1475" s="62" t="n"/>
      <c r="K1475" s="62" t="n"/>
      <c r="L1475" s="64" t="n"/>
      <c r="M1475" s="64" t="n"/>
      <c r="N1475" s="62" t="n"/>
      <c r="O1475" s="65">
        <f>IF(Z1475=1,L1475-W1475,"")</f>
        <v/>
      </c>
      <c r="P1475" s="66">
        <f>IF(V1475="","",IFERROR(INDEX(coa_Type,MATCH(V1475,coa_Name,0)),""))</f>
        <v/>
      </c>
      <c r="Q1475" s="66">
        <f>IF(Z1475=1,IF(U1475="In",K1475&amp;"",V1475),"")</f>
        <v/>
      </c>
      <c r="R1475" s="66">
        <f>IF(Z1475=1,IF(U1475="In",V1475,K1475&amp;""),"")</f>
        <v/>
      </c>
      <c r="S1475" s="66">
        <f>IF(X1475&lt;&gt;"","⛔ "&amp;X1475&amp;" — not posted",IF(Y1475&lt;&gt;"","⚠ "&amp;Y1475,IF(Z1475=1,"✓ OK","")))</f>
        <v/>
      </c>
      <c r="T1475" s="67">
        <f>IF(AND(C1475="",D1475="",E1475="",L1475="",K1475=""),1,0)</f>
        <v/>
      </c>
      <c r="U1475" s="67">
        <f>IFERROR(INDEX(tt_Dir,MATCH(D1475,tt_Type,0)),"")</f>
        <v/>
      </c>
      <c r="V1475" s="67">
        <f>IF(D1475="","",IFERROR(IF(INDEX(tt_Other,MATCH(D1475,tt_Type,0))="",E1475&amp;"",INDEX(tt_Other,MATCH(D1475,tt_Type,0))),""))</f>
        <v/>
      </c>
      <c r="W1475" s="68">
        <f>IF(OR(TaxOn&lt;&gt;"Yes",NOT(ISNUMBER(M1475))),0,IF(IFERROR(INDEX(tt_Tax,MATCH(D1475,tt_Type,0)),"No")="Yes",M1475,0))</f>
        <v/>
      </c>
      <c r="X1475" s="67">
        <f>IF(T1475=1,"",IF(C1475="","Missing transaction date",IF(NOT(ISNUMBER(C1475)),"Invalid date",IF(OR(C1475&lt;DATE(2000,1,1),C1475&gt;DATE(2099,12,31)),"Invalid date",IF(D1475="","Select a type",IF(U1475="","Unknown type: "&amp;D1475,IF(V1475="","Select an account (Category)",IF(ISNA(MATCH(V1475,coa_Name,0)),"Unknown account: "&amp;V1475,IF(K1475="","Select Paid From / Deposited To",IF(ISNA(MATCH(K1475,coa_Name,0)),"Unknown account: "&amp;K1475,IF(NOT(ISNUMBER(L1475)),"Enter an amount",IF(L1475=0,"Enter an amount",IF(ABS(W1475)&gt;ABS(L1475),"Tax is larger than the amount","")))))))))))))</f>
        <v/>
      </c>
      <c r="Y1475" s="67">
        <f>IF(OR(T1475=1,X1475&lt;&gt;""),"",IF(AND(B1475&lt;&gt;"",COUNTIF(tx_ID,B1475)&gt;1),"Duplicate transaction ID",IF(AND(L1475&lt;0,D1475&lt;&gt;"Adjustment"),"Negative amount — check this entry",IF(AND(D1475="Customer Payment",G1475=""),"Add the customer",IF(AND(D1475="Customer Payment",OR(J1475="",COUNTIF(ar_No,J1475&amp;"")=0)),"Invoice # in Reference not found on AR sheet",IF(AND(D1475="Bill Payment",H1475=""),"Add the vendor",IF(AND(D1475="Bill Payment",OR(J1475="",COUNTIFS(ap_No,J1475&amp;"",ap_Party,H1475&amp;"")=0)),"Bill # + vendor not found on AP sheet",IF(AND(ISNUMBER(M1475),N(M1475)&lt;&gt;0,W1475=0),"Tax ignored (tax tracking off, or not allowed for this type)",IF(V1475=K1475&amp;"","Same account on both sides",IF(AND(ISNUMBER(StartDate),C1475&lt;StartDate),"Date is before the accounting start date",IF(AND(D1475&lt;&gt;"Adjustment",IFERROR(INDEX(coa_Pay,MATCH(K1475&amp;"",coa_Name,0)),"")&lt;&gt;"Yes"),"Paid From / Deposited To is not a payment account","")))))))))))</f>
        <v/>
      </c>
      <c r="Z1475" s="67">
        <f>IF(AND(T1475=0,X1475=""),1,0)</f>
        <v/>
      </c>
      <c r="AA1475" s="68">
        <f>IF(Z1475=1,IF(U1475="In",L1475,L1475-W1475),0)</f>
        <v/>
      </c>
      <c r="AB1475" s="68">
        <f>IF(Z1475=1,IF(U1475="In",L1475-W1475,L1475),0)</f>
        <v/>
      </c>
      <c r="AC1475" s="68">
        <f>IF(AND(Z1475=1,U1475="Out"),W1475,0)</f>
        <v/>
      </c>
      <c r="AD1475" s="68">
        <f>IF(AND(Z1475=1,U1475="In"),W1475,0)</f>
        <v/>
      </c>
    </row>
    <row r="1476">
      <c r="B1476" s="62" t="inlineStr">
        <is>
          <t>TX-1470</t>
        </is>
      </c>
      <c r="C1476" s="63" t="n"/>
      <c r="D1476" s="62" t="n"/>
      <c r="E1476" s="62" t="n"/>
      <c r="F1476" s="62" t="n"/>
      <c r="G1476" s="62" t="n"/>
      <c r="H1476" s="62" t="n"/>
      <c r="I1476" s="62" t="n"/>
      <c r="J1476" s="62" t="n"/>
      <c r="K1476" s="62" t="n"/>
      <c r="L1476" s="64" t="n"/>
      <c r="M1476" s="64" t="n"/>
      <c r="N1476" s="62" t="n"/>
      <c r="O1476" s="65">
        <f>IF(Z1476=1,L1476-W1476,"")</f>
        <v/>
      </c>
      <c r="P1476" s="66">
        <f>IF(V1476="","",IFERROR(INDEX(coa_Type,MATCH(V1476,coa_Name,0)),""))</f>
        <v/>
      </c>
      <c r="Q1476" s="66">
        <f>IF(Z1476=1,IF(U1476="In",K1476&amp;"",V1476),"")</f>
        <v/>
      </c>
      <c r="R1476" s="66">
        <f>IF(Z1476=1,IF(U1476="In",V1476,K1476&amp;""),"")</f>
        <v/>
      </c>
      <c r="S1476" s="66">
        <f>IF(X1476&lt;&gt;"","⛔ "&amp;X1476&amp;" — not posted",IF(Y1476&lt;&gt;"","⚠ "&amp;Y1476,IF(Z1476=1,"✓ OK","")))</f>
        <v/>
      </c>
      <c r="T1476" s="67">
        <f>IF(AND(C1476="",D1476="",E1476="",L1476="",K1476=""),1,0)</f>
        <v/>
      </c>
      <c r="U1476" s="67">
        <f>IFERROR(INDEX(tt_Dir,MATCH(D1476,tt_Type,0)),"")</f>
        <v/>
      </c>
      <c r="V1476" s="67">
        <f>IF(D1476="","",IFERROR(IF(INDEX(tt_Other,MATCH(D1476,tt_Type,0))="",E1476&amp;"",INDEX(tt_Other,MATCH(D1476,tt_Type,0))),""))</f>
        <v/>
      </c>
      <c r="W1476" s="68">
        <f>IF(OR(TaxOn&lt;&gt;"Yes",NOT(ISNUMBER(M1476))),0,IF(IFERROR(INDEX(tt_Tax,MATCH(D1476,tt_Type,0)),"No")="Yes",M1476,0))</f>
        <v/>
      </c>
      <c r="X1476" s="67">
        <f>IF(T1476=1,"",IF(C1476="","Missing transaction date",IF(NOT(ISNUMBER(C1476)),"Invalid date",IF(OR(C1476&lt;DATE(2000,1,1),C1476&gt;DATE(2099,12,31)),"Invalid date",IF(D1476="","Select a type",IF(U1476="","Unknown type: "&amp;D1476,IF(V1476="","Select an account (Category)",IF(ISNA(MATCH(V1476,coa_Name,0)),"Unknown account: "&amp;V1476,IF(K1476="","Select Paid From / Deposited To",IF(ISNA(MATCH(K1476,coa_Name,0)),"Unknown account: "&amp;K1476,IF(NOT(ISNUMBER(L1476)),"Enter an amount",IF(L1476=0,"Enter an amount",IF(ABS(W1476)&gt;ABS(L1476),"Tax is larger than the amount","")))))))))))))</f>
        <v/>
      </c>
      <c r="Y1476" s="67">
        <f>IF(OR(T1476=1,X1476&lt;&gt;""),"",IF(AND(B1476&lt;&gt;"",COUNTIF(tx_ID,B1476)&gt;1),"Duplicate transaction ID",IF(AND(L1476&lt;0,D1476&lt;&gt;"Adjustment"),"Negative amount — check this entry",IF(AND(D1476="Customer Payment",G1476=""),"Add the customer",IF(AND(D1476="Customer Payment",OR(J1476="",COUNTIF(ar_No,J1476&amp;"")=0)),"Invoice # in Reference not found on AR sheet",IF(AND(D1476="Bill Payment",H1476=""),"Add the vendor",IF(AND(D1476="Bill Payment",OR(J1476="",COUNTIFS(ap_No,J1476&amp;"",ap_Party,H1476&amp;"")=0)),"Bill # + vendor not found on AP sheet",IF(AND(ISNUMBER(M1476),N(M1476)&lt;&gt;0,W1476=0),"Tax ignored (tax tracking off, or not allowed for this type)",IF(V1476=K1476&amp;"","Same account on both sides",IF(AND(ISNUMBER(StartDate),C1476&lt;StartDate),"Date is before the accounting start date",IF(AND(D1476&lt;&gt;"Adjustment",IFERROR(INDEX(coa_Pay,MATCH(K1476&amp;"",coa_Name,0)),"")&lt;&gt;"Yes"),"Paid From / Deposited To is not a payment account","")))))))))))</f>
        <v/>
      </c>
      <c r="Z1476" s="67">
        <f>IF(AND(T1476=0,X1476=""),1,0)</f>
        <v/>
      </c>
      <c r="AA1476" s="68">
        <f>IF(Z1476=1,IF(U1476="In",L1476,L1476-W1476),0)</f>
        <v/>
      </c>
      <c r="AB1476" s="68">
        <f>IF(Z1476=1,IF(U1476="In",L1476-W1476,L1476),0)</f>
        <v/>
      </c>
      <c r="AC1476" s="68">
        <f>IF(AND(Z1476=1,U1476="Out"),W1476,0)</f>
        <v/>
      </c>
      <c r="AD1476" s="68">
        <f>IF(AND(Z1476=1,U1476="In"),W1476,0)</f>
        <v/>
      </c>
    </row>
    <row r="1477">
      <c r="B1477" s="62" t="inlineStr">
        <is>
          <t>TX-1471</t>
        </is>
      </c>
      <c r="C1477" s="63" t="n"/>
      <c r="D1477" s="62" t="n"/>
      <c r="E1477" s="62" t="n"/>
      <c r="F1477" s="62" t="n"/>
      <c r="G1477" s="62" t="n"/>
      <c r="H1477" s="62" t="n"/>
      <c r="I1477" s="62" t="n"/>
      <c r="J1477" s="62" t="n"/>
      <c r="K1477" s="62" t="n"/>
      <c r="L1477" s="64" t="n"/>
      <c r="M1477" s="64" t="n"/>
      <c r="N1477" s="62" t="n"/>
      <c r="O1477" s="65">
        <f>IF(Z1477=1,L1477-W1477,"")</f>
        <v/>
      </c>
      <c r="P1477" s="66">
        <f>IF(V1477="","",IFERROR(INDEX(coa_Type,MATCH(V1477,coa_Name,0)),""))</f>
        <v/>
      </c>
      <c r="Q1477" s="66">
        <f>IF(Z1477=1,IF(U1477="In",K1477&amp;"",V1477),"")</f>
        <v/>
      </c>
      <c r="R1477" s="66">
        <f>IF(Z1477=1,IF(U1477="In",V1477,K1477&amp;""),"")</f>
        <v/>
      </c>
      <c r="S1477" s="66">
        <f>IF(X1477&lt;&gt;"","⛔ "&amp;X1477&amp;" — not posted",IF(Y1477&lt;&gt;"","⚠ "&amp;Y1477,IF(Z1477=1,"✓ OK","")))</f>
        <v/>
      </c>
      <c r="T1477" s="67">
        <f>IF(AND(C1477="",D1477="",E1477="",L1477="",K1477=""),1,0)</f>
        <v/>
      </c>
      <c r="U1477" s="67">
        <f>IFERROR(INDEX(tt_Dir,MATCH(D1477,tt_Type,0)),"")</f>
        <v/>
      </c>
      <c r="V1477" s="67">
        <f>IF(D1477="","",IFERROR(IF(INDEX(tt_Other,MATCH(D1477,tt_Type,0))="",E1477&amp;"",INDEX(tt_Other,MATCH(D1477,tt_Type,0))),""))</f>
        <v/>
      </c>
      <c r="W1477" s="68">
        <f>IF(OR(TaxOn&lt;&gt;"Yes",NOT(ISNUMBER(M1477))),0,IF(IFERROR(INDEX(tt_Tax,MATCH(D1477,tt_Type,0)),"No")="Yes",M1477,0))</f>
        <v/>
      </c>
      <c r="X1477" s="67">
        <f>IF(T1477=1,"",IF(C1477="","Missing transaction date",IF(NOT(ISNUMBER(C1477)),"Invalid date",IF(OR(C1477&lt;DATE(2000,1,1),C1477&gt;DATE(2099,12,31)),"Invalid date",IF(D1477="","Select a type",IF(U1477="","Unknown type: "&amp;D1477,IF(V1477="","Select an account (Category)",IF(ISNA(MATCH(V1477,coa_Name,0)),"Unknown account: "&amp;V1477,IF(K1477="","Select Paid From / Deposited To",IF(ISNA(MATCH(K1477,coa_Name,0)),"Unknown account: "&amp;K1477,IF(NOT(ISNUMBER(L1477)),"Enter an amount",IF(L1477=0,"Enter an amount",IF(ABS(W1477)&gt;ABS(L1477),"Tax is larger than the amount","")))))))))))))</f>
        <v/>
      </c>
      <c r="Y1477" s="67">
        <f>IF(OR(T1477=1,X1477&lt;&gt;""),"",IF(AND(B1477&lt;&gt;"",COUNTIF(tx_ID,B1477)&gt;1),"Duplicate transaction ID",IF(AND(L1477&lt;0,D1477&lt;&gt;"Adjustment"),"Negative amount — check this entry",IF(AND(D1477="Customer Payment",G1477=""),"Add the customer",IF(AND(D1477="Customer Payment",OR(J1477="",COUNTIF(ar_No,J1477&amp;"")=0)),"Invoice # in Reference not found on AR sheet",IF(AND(D1477="Bill Payment",H1477=""),"Add the vendor",IF(AND(D1477="Bill Payment",OR(J1477="",COUNTIFS(ap_No,J1477&amp;"",ap_Party,H1477&amp;"")=0)),"Bill # + vendor not found on AP sheet",IF(AND(ISNUMBER(M1477),N(M1477)&lt;&gt;0,W1477=0),"Tax ignored (tax tracking off, or not allowed for this type)",IF(V1477=K1477&amp;"","Same account on both sides",IF(AND(ISNUMBER(StartDate),C1477&lt;StartDate),"Date is before the accounting start date",IF(AND(D1477&lt;&gt;"Adjustment",IFERROR(INDEX(coa_Pay,MATCH(K1477&amp;"",coa_Name,0)),"")&lt;&gt;"Yes"),"Paid From / Deposited To is not a payment account","")))))))))))</f>
        <v/>
      </c>
      <c r="Z1477" s="67">
        <f>IF(AND(T1477=0,X1477=""),1,0)</f>
        <v/>
      </c>
      <c r="AA1477" s="68">
        <f>IF(Z1477=1,IF(U1477="In",L1477,L1477-W1477),0)</f>
        <v/>
      </c>
      <c r="AB1477" s="68">
        <f>IF(Z1477=1,IF(U1477="In",L1477-W1477,L1477),0)</f>
        <v/>
      </c>
      <c r="AC1477" s="68">
        <f>IF(AND(Z1477=1,U1477="Out"),W1477,0)</f>
        <v/>
      </c>
      <c r="AD1477" s="68">
        <f>IF(AND(Z1477=1,U1477="In"),W1477,0)</f>
        <v/>
      </c>
    </row>
    <row r="1478">
      <c r="B1478" s="62" t="inlineStr">
        <is>
          <t>TX-1472</t>
        </is>
      </c>
      <c r="C1478" s="63" t="n"/>
      <c r="D1478" s="62" t="n"/>
      <c r="E1478" s="62" t="n"/>
      <c r="F1478" s="62" t="n"/>
      <c r="G1478" s="62" t="n"/>
      <c r="H1478" s="62" t="n"/>
      <c r="I1478" s="62" t="n"/>
      <c r="J1478" s="62" t="n"/>
      <c r="K1478" s="62" t="n"/>
      <c r="L1478" s="64" t="n"/>
      <c r="M1478" s="64" t="n"/>
      <c r="N1478" s="62" t="n"/>
      <c r="O1478" s="65">
        <f>IF(Z1478=1,L1478-W1478,"")</f>
        <v/>
      </c>
      <c r="P1478" s="66">
        <f>IF(V1478="","",IFERROR(INDEX(coa_Type,MATCH(V1478,coa_Name,0)),""))</f>
        <v/>
      </c>
      <c r="Q1478" s="66">
        <f>IF(Z1478=1,IF(U1478="In",K1478&amp;"",V1478),"")</f>
        <v/>
      </c>
      <c r="R1478" s="66">
        <f>IF(Z1478=1,IF(U1478="In",V1478,K1478&amp;""),"")</f>
        <v/>
      </c>
      <c r="S1478" s="66">
        <f>IF(X1478&lt;&gt;"","⛔ "&amp;X1478&amp;" — not posted",IF(Y1478&lt;&gt;"","⚠ "&amp;Y1478,IF(Z1478=1,"✓ OK","")))</f>
        <v/>
      </c>
      <c r="T1478" s="67">
        <f>IF(AND(C1478="",D1478="",E1478="",L1478="",K1478=""),1,0)</f>
        <v/>
      </c>
      <c r="U1478" s="67">
        <f>IFERROR(INDEX(tt_Dir,MATCH(D1478,tt_Type,0)),"")</f>
        <v/>
      </c>
      <c r="V1478" s="67">
        <f>IF(D1478="","",IFERROR(IF(INDEX(tt_Other,MATCH(D1478,tt_Type,0))="",E1478&amp;"",INDEX(tt_Other,MATCH(D1478,tt_Type,0))),""))</f>
        <v/>
      </c>
      <c r="W1478" s="68">
        <f>IF(OR(TaxOn&lt;&gt;"Yes",NOT(ISNUMBER(M1478))),0,IF(IFERROR(INDEX(tt_Tax,MATCH(D1478,tt_Type,0)),"No")="Yes",M1478,0))</f>
        <v/>
      </c>
      <c r="X1478" s="67">
        <f>IF(T1478=1,"",IF(C1478="","Missing transaction date",IF(NOT(ISNUMBER(C1478)),"Invalid date",IF(OR(C1478&lt;DATE(2000,1,1),C1478&gt;DATE(2099,12,31)),"Invalid date",IF(D1478="","Select a type",IF(U1478="","Unknown type: "&amp;D1478,IF(V1478="","Select an account (Category)",IF(ISNA(MATCH(V1478,coa_Name,0)),"Unknown account: "&amp;V1478,IF(K1478="","Select Paid From / Deposited To",IF(ISNA(MATCH(K1478,coa_Name,0)),"Unknown account: "&amp;K1478,IF(NOT(ISNUMBER(L1478)),"Enter an amount",IF(L1478=0,"Enter an amount",IF(ABS(W1478)&gt;ABS(L1478),"Tax is larger than the amount","")))))))))))))</f>
        <v/>
      </c>
      <c r="Y1478" s="67">
        <f>IF(OR(T1478=1,X1478&lt;&gt;""),"",IF(AND(B1478&lt;&gt;"",COUNTIF(tx_ID,B1478)&gt;1),"Duplicate transaction ID",IF(AND(L1478&lt;0,D1478&lt;&gt;"Adjustment"),"Negative amount — check this entry",IF(AND(D1478="Customer Payment",G1478=""),"Add the customer",IF(AND(D1478="Customer Payment",OR(J1478="",COUNTIF(ar_No,J1478&amp;"")=0)),"Invoice # in Reference not found on AR sheet",IF(AND(D1478="Bill Payment",H1478=""),"Add the vendor",IF(AND(D1478="Bill Payment",OR(J1478="",COUNTIFS(ap_No,J1478&amp;"",ap_Party,H1478&amp;"")=0)),"Bill # + vendor not found on AP sheet",IF(AND(ISNUMBER(M1478),N(M1478)&lt;&gt;0,W1478=0),"Tax ignored (tax tracking off, or not allowed for this type)",IF(V1478=K1478&amp;"","Same account on both sides",IF(AND(ISNUMBER(StartDate),C1478&lt;StartDate),"Date is before the accounting start date",IF(AND(D1478&lt;&gt;"Adjustment",IFERROR(INDEX(coa_Pay,MATCH(K1478&amp;"",coa_Name,0)),"")&lt;&gt;"Yes"),"Paid From / Deposited To is not a payment account","")))))))))))</f>
        <v/>
      </c>
      <c r="Z1478" s="67">
        <f>IF(AND(T1478=0,X1478=""),1,0)</f>
        <v/>
      </c>
      <c r="AA1478" s="68">
        <f>IF(Z1478=1,IF(U1478="In",L1478,L1478-W1478),0)</f>
        <v/>
      </c>
      <c r="AB1478" s="68">
        <f>IF(Z1478=1,IF(U1478="In",L1478-W1478,L1478),0)</f>
        <v/>
      </c>
      <c r="AC1478" s="68">
        <f>IF(AND(Z1478=1,U1478="Out"),W1478,0)</f>
        <v/>
      </c>
      <c r="AD1478" s="68">
        <f>IF(AND(Z1478=1,U1478="In"),W1478,0)</f>
        <v/>
      </c>
    </row>
    <row r="1479">
      <c r="B1479" s="62" t="inlineStr">
        <is>
          <t>TX-1473</t>
        </is>
      </c>
      <c r="C1479" s="63" t="n"/>
      <c r="D1479" s="62" t="n"/>
      <c r="E1479" s="62" t="n"/>
      <c r="F1479" s="62" t="n"/>
      <c r="G1479" s="62" t="n"/>
      <c r="H1479" s="62" t="n"/>
      <c r="I1479" s="62" t="n"/>
      <c r="J1479" s="62" t="n"/>
      <c r="K1479" s="62" t="n"/>
      <c r="L1479" s="64" t="n"/>
      <c r="M1479" s="64" t="n"/>
      <c r="N1479" s="62" t="n"/>
      <c r="O1479" s="65">
        <f>IF(Z1479=1,L1479-W1479,"")</f>
        <v/>
      </c>
      <c r="P1479" s="66">
        <f>IF(V1479="","",IFERROR(INDEX(coa_Type,MATCH(V1479,coa_Name,0)),""))</f>
        <v/>
      </c>
      <c r="Q1479" s="66">
        <f>IF(Z1479=1,IF(U1479="In",K1479&amp;"",V1479),"")</f>
        <v/>
      </c>
      <c r="R1479" s="66">
        <f>IF(Z1479=1,IF(U1479="In",V1479,K1479&amp;""),"")</f>
        <v/>
      </c>
      <c r="S1479" s="66">
        <f>IF(X1479&lt;&gt;"","⛔ "&amp;X1479&amp;" — not posted",IF(Y1479&lt;&gt;"","⚠ "&amp;Y1479,IF(Z1479=1,"✓ OK","")))</f>
        <v/>
      </c>
      <c r="T1479" s="67">
        <f>IF(AND(C1479="",D1479="",E1479="",L1479="",K1479=""),1,0)</f>
        <v/>
      </c>
      <c r="U1479" s="67">
        <f>IFERROR(INDEX(tt_Dir,MATCH(D1479,tt_Type,0)),"")</f>
        <v/>
      </c>
      <c r="V1479" s="67">
        <f>IF(D1479="","",IFERROR(IF(INDEX(tt_Other,MATCH(D1479,tt_Type,0))="",E1479&amp;"",INDEX(tt_Other,MATCH(D1479,tt_Type,0))),""))</f>
        <v/>
      </c>
      <c r="W1479" s="68">
        <f>IF(OR(TaxOn&lt;&gt;"Yes",NOT(ISNUMBER(M1479))),0,IF(IFERROR(INDEX(tt_Tax,MATCH(D1479,tt_Type,0)),"No")="Yes",M1479,0))</f>
        <v/>
      </c>
      <c r="X1479" s="67">
        <f>IF(T1479=1,"",IF(C1479="","Missing transaction date",IF(NOT(ISNUMBER(C1479)),"Invalid date",IF(OR(C1479&lt;DATE(2000,1,1),C1479&gt;DATE(2099,12,31)),"Invalid date",IF(D1479="","Select a type",IF(U1479="","Unknown type: "&amp;D1479,IF(V1479="","Select an account (Category)",IF(ISNA(MATCH(V1479,coa_Name,0)),"Unknown account: "&amp;V1479,IF(K1479="","Select Paid From / Deposited To",IF(ISNA(MATCH(K1479,coa_Name,0)),"Unknown account: "&amp;K1479,IF(NOT(ISNUMBER(L1479)),"Enter an amount",IF(L1479=0,"Enter an amount",IF(ABS(W1479)&gt;ABS(L1479),"Tax is larger than the amount","")))))))))))))</f>
        <v/>
      </c>
      <c r="Y1479" s="67">
        <f>IF(OR(T1479=1,X1479&lt;&gt;""),"",IF(AND(B1479&lt;&gt;"",COUNTIF(tx_ID,B1479)&gt;1),"Duplicate transaction ID",IF(AND(L1479&lt;0,D1479&lt;&gt;"Adjustment"),"Negative amount — check this entry",IF(AND(D1479="Customer Payment",G1479=""),"Add the customer",IF(AND(D1479="Customer Payment",OR(J1479="",COUNTIF(ar_No,J1479&amp;"")=0)),"Invoice # in Reference not found on AR sheet",IF(AND(D1479="Bill Payment",H1479=""),"Add the vendor",IF(AND(D1479="Bill Payment",OR(J1479="",COUNTIFS(ap_No,J1479&amp;"",ap_Party,H1479&amp;"")=0)),"Bill # + vendor not found on AP sheet",IF(AND(ISNUMBER(M1479),N(M1479)&lt;&gt;0,W1479=0),"Tax ignored (tax tracking off, or not allowed for this type)",IF(V1479=K1479&amp;"","Same account on both sides",IF(AND(ISNUMBER(StartDate),C1479&lt;StartDate),"Date is before the accounting start date",IF(AND(D1479&lt;&gt;"Adjustment",IFERROR(INDEX(coa_Pay,MATCH(K1479&amp;"",coa_Name,0)),"")&lt;&gt;"Yes"),"Paid From / Deposited To is not a payment account","")))))))))))</f>
        <v/>
      </c>
      <c r="Z1479" s="67">
        <f>IF(AND(T1479=0,X1479=""),1,0)</f>
        <v/>
      </c>
      <c r="AA1479" s="68">
        <f>IF(Z1479=1,IF(U1479="In",L1479,L1479-W1479),0)</f>
        <v/>
      </c>
      <c r="AB1479" s="68">
        <f>IF(Z1479=1,IF(U1479="In",L1479-W1479,L1479),0)</f>
        <v/>
      </c>
      <c r="AC1479" s="68">
        <f>IF(AND(Z1479=1,U1479="Out"),W1479,0)</f>
        <v/>
      </c>
      <c r="AD1479" s="68">
        <f>IF(AND(Z1479=1,U1479="In"),W1479,0)</f>
        <v/>
      </c>
    </row>
    <row r="1480">
      <c r="B1480" s="62" t="inlineStr">
        <is>
          <t>TX-1474</t>
        </is>
      </c>
      <c r="C1480" s="63" t="n"/>
      <c r="D1480" s="62" t="n"/>
      <c r="E1480" s="62" t="n"/>
      <c r="F1480" s="62" t="n"/>
      <c r="G1480" s="62" t="n"/>
      <c r="H1480" s="62" t="n"/>
      <c r="I1480" s="62" t="n"/>
      <c r="J1480" s="62" t="n"/>
      <c r="K1480" s="62" t="n"/>
      <c r="L1480" s="64" t="n"/>
      <c r="M1480" s="64" t="n"/>
      <c r="N1480" s="62" t="n"/>
      <c r="O1480" s="65">
        <f>IF(Z1480=1,L1480-W1480,"")</f>
        <v/>
      </c>
      <c r="P1480" s="66">
        <f>IF(V1480="","",IFERROR(INDEX(coa_Type,MATCH(V1480,coa_Name,0)),""))</f>
        <v/>
      </c>
      <c r="Q1480" s="66">
        <f>IF(Z1480=1,IF(U1480="In",K1480&amp;"",V1480),"")</f>
        <v/>
      </c>
      <c r="R1480" s="66">
        <f>IF(Z1480=1,IF(U1480="In",V1480,K1480&amp;""),"")</f>
        <v/>
      </c>
      <c r="S1480" s="66">
        <f>IF(X1480&lt;&gt;"","⛔ "&amp;X1480&amp;" — not posted",IF(Y1480&lt;&gt;"","⚠ "&amp;Y1480,IF(Z1480=1,"✓ OK","")))</f>
        <v/>
      </c>
      <c r="T1480" s="67">
        <f>IF(AND(C1480="",D1480="",E1480="",L1480="",K1480=""),1,0)</f>
        <v/>
      </c>
      <c r="U1480" s="67">
        <f>IFERROR(INDEX(tt_Dir,MATCH(D1480,tt_Type,0)),"")</f>
        <v/>
      </c>
      <c r="V1480" s="67">
        <f>IF(D1480="","",IFERROR(IF(INDEX(tt_Other,MATCH(D1480,tt_Type,0))="",E1480&amp;"",INDEX(tt_Other,MATCH(D1480,tt_Type,0))),""))</f>
        <v/>
      </c>
      <c r="W1480" s="68">
        <f>IF(OR(TaxOn&lt;&gt;"Yes",NOT(ISNUMBER(M1480))),0,IF(IFERROR(INDEX(tt_Tax,MATCH(D1480,tt_Type,0)),"No")="Yes",M1480,0))</f>
        <v/>
      </c>
      <c r="X1480" s="67">
        <f>IF(T1480=1,"",IF(C1480="","Missing transaction date",IF(NOT(ISNUMBER(C1480)),"Invalid date",IF(OR(C1480&lt;DATE(2000,1,1),C1480&gt;DATE(2099,12,31)),"Invalid date",IF(D1480="","Select a type",IF(U1480="","Unknown type: "&amp;D1480,IF(V1480="","Select an account (Category)",IF(ISNA(MATCH(V1480,coa_Name,0)),"Unknown account: "&amp;V1480,IF(K1480="","Select Paid From / Deposited To",IF(ISNA(MATCH(K1480,coa_Name,0)),"Unknown account: "&amp;K1480,IF(NOT(ISNUMBER(L1480)),"Enter an amount",IF(L1480=0,"Enter an amount",IF(ABS(W1480)&gt;ABS(L1480),"Tax is larger than the amount","")))))))))))))</f>
        <v/>
      </c>
      <c r="Y1480" s="67">
        <f>IF(OR(T1480=1,X1480&lt;&gt;""),"",IF(AND(B1480&lt;&gt;"",COUNTIF(tx_ID,B1480)&gt;1),"Duplicate transaction ID",IF(AND(L1480&lt;0,D1480&lt;&gt;"Adjustment"),"Negative amount — check this entry",IF(AND(D1480="Customer Payment",G1480=""),"Add the customer",IF(AND(D1480="Customer Payment",OR(J1480="",COUNTIF(ar_No,J1480&amp;"")=0)),"Invoice # in Reference not found on AR sheet",IF(AND(D1480="Bill Payment",H1480=""),"Add the vendor",IF(AND(D1480="Bill Payment",OR(J1480="",COUNTIFS(ap_No,J1480&amp;"",ap_Party,H1480&amp;"")=0)),"Bill # + vendor not found on AP sheet",IF(AND(ISNUMBER(M1480),N(M1480)&lt;&gt;0,W1480=0),"Tax ignored (tax tracking off, or not allowed for this type)",IF(V1480=K1480&amp;"","Same account on both sides",IF(AND(ISNUMBER(StartDate),C1480&lt;StartDate),"Date is before the accounting start date",IF(AND(D1480&lt;&gt;"Adjustment",IFERROR(INDEX(coa_Pay,MATCH(K1480&amp;"",coa_Name,0)),"")&lt;&gt;"Yes"),"Paid From / Deposited To is not a payment account","")))))))))))</f>
        <v/>
      </c>
      <c r="Z1480" s="67">
        <f>IF(AND(T1480=0,X1480=""),1,0)</f>
        <v/>
      </c>
      <c r="AA1480" s="68">
        <f>IF(Z1480=1,IF(U1480="In",L1480,L1480-W1480),0)</f>
        <v/>
      </c>
      <c r="AB1480" s="68">
        <f>IF(Z1480=1,IF(U1480="In",L1480-W1480,L1480),0)</f>
        <v/>
      </c>
      <c r="AC1480" s="68">
        <f>IF(AND(Z1480=1,U1480="Out"),W1480,0)</f>
        <v/>
      </c>
      <c r="AD1480" s="68">
        <f>IF(AND(Z1480=1,U1480="In"),W1480,0)</f>
        <v/>
      </c>
    </row>
    <row r="1481">
      <c r="B1481" s="62" t="inlineStr">
        <is>
          <t>TX-1475</t>
        </is>
      </c>
      <c r="C1481" s="63" t="n"/>
      <c r="D1481" s="62" t="n"/>
      <c r="E1481" s="62" t="n"/>
      <c r="F1481" s="62" t="n"/>
      <c r="G1481" s="62" t="n"/>
      <c r="H1481" s="62" t="n"/>
      <c r="I1481" s="62" t="n"/>
      <c r="J1481" s="62" t="n"/>
      <c r="K1481" s="62" t="n"/>
      <c r="L1481" s="64" t="n"/>
      <c r="M1481" s="64" t="n"/>
      <c r="N1481" s="62" t="n"/>
      <c r="O1481" s="65">
        <f>IF(Z1481=1,L1481-W1481,"")</f>
        <v/>
      </c>
      <c r="P1481" s="66">
        <f>IF(V1481="","",IFERROR(INDEX(coa_Type,MATCH(V1481,coa_Name,0)),""))</f>
        <v/>
      </c>
      <c r="Q1481" s="66">
        <f>IF(Z1481=1,IF(U1481="In",K1481&amp;"",V1481),"")</f>
        <v/>
      </c>
      <c r="R1481" s="66">
        <f>IF(Z1481=1,IF(U1481="In",V1481,K1481&amp;""),"")</f>
        <v/>
      </c>
      <c r="S1481" s="66">
        <f>IF(X1481&lt;&gt;"","⛔ "&amp;X1481&amp;" — not posted",IF(Y1481&lt;&gt;"","⚠ "&amp;Y1481,IF(Z1481=1,"✓ OK","")))</f>
        <v/>
      </c>
      <c r="T1481" s="67">
        <f>IF(AND(C1481="",D1481="",E1481="",L1481="",K1481=""),1,0)</f>
        <v/>
      </c>
      <c r="U1481" s="67">
        <f>IFERROR(INDEX(tt_Dir,MATCH(D1481,tt_Type,0)),"")</f>
        <v/>
      </c>
      <c r="V1481" s="67">
        <f>IF(D1481="","",IFERROR(IF(INDEX(tt_Other,MATCH(D1481,tt_Type,0))="",E1481&amp;"",INDEX(tt_Other,MATCH(D1481,tt_Type,0))),""))</f>
        <v/>
      </c>
      <c r="W1481" s="68">
        <f>IF(OR(TaxOn&lt;&gt;"Yes",NOT(ISNUMBER(M1481))),0,IF(IFERROR(INDEX(tt_Tax,MATCH(D1481,tt_Type,0)),"No")="Yes",M1481,0))</f>
        <v/>
      </c>
      <c r="X1481" s="67">
        <f>IF(T1481=1,"",IF(C1481="","Missing transaction date",IF(NOT(ISNUMBER(C1481)),"Invalid date",IF(OR(C1481&lt;DATE(2000,1,1),C1481&gt;DATE(2099,12,31)),"Invalid date",IF(D1481="","Select a type",IF(U1481="","Unknown type: "&amp;D1481,IF(V1481="","Select an account (Category)",IF(ISNA(MATCH(V1481,coa_Name,0)),"Unknown account: "&amp;V1481,IF(K1481="","Select Paid From / Deposited To",IF(ISNA(MATCH(K1481,coa_Name,0)),"Unknown account: "&amp;K1481,IF(NOT(ISNUMBER(L1481)),"Enter an amount",IF(L1481=0,"Enter an amount",IF(ABS(W1481)&gt;ABS(L1481),"Tax is larger than the amount","")))))))))))))</f>
        <v/>
      </c>
      <c r="Y1481" s="67">
        <f>IF(OR(T1481=1,X1481&lt;&gt;""),"",IF(AND(B1481&lt;&gt;"",COUNTIF(tx_ID,B1481)&gt;1),"Duplicate transaction ID",IF(AND(L1481&lt;0,D1481&lt;&gt;"Adjustment"),"Negative amount — check this entry",IF(AND(D1481="Customer Payment",G1481=""),"Add the customer",IF(AND(D1481="Customer Payment",OR(J1481="",COUNTIF(ar_No,J1481&amp;"")=0)),"Invoice # in Reference not found on AR sheet",IF(AND(D1481="Bill Payment",H1481=""),"Add the vendor",IF(AND(D1481="Bill Payment",OR(J1481="",COUNTIFS(ap_No,J1481&amp;"",ap_Party,H1481&amp;"")=0)),"Bill # + vendor not found on AP sheet",IF(AND(ISNUMBER(M1481),N(M1481)&lt;&gt;0,W1481=0),"Tax ignored (tax tracking off, or not allowed for this type)",IF(V1481=K1481&amp;"","Same account on both sides",IF(AND(ISNUMBER(StartDate),C1481&lt;StartDate),"Date is before the accounting start date",IF(AND(D1481&lt;&gt;"Adjustment",IFERROR(INDEX(coa_Pay,MATCH(K1481&amp;"",coa_Name,0)),"")&lt;&gt;"Yes"),"Paid From / Deposited To is not a payment account","")))))))))))</f>
        <v/>
      </c>
      <c r="Z1481" s="67">
        <f>IF(AND(T1481=0,X1481=""),1,0)</f>
        <v/>
      </c>
      <c r="AA1481" s="68">
        <f>IF(Z1481=1,IF(U1481="In",L1481,L1481-W1481),0)</f>
        <v/>
      </c>
      <c r="AB1481" s="68">
        <f>IF(Z1481=1,IF(U1481="In",L1481-W1481,L1481),0)</f>
        <v/>
      </c>
      <c r="AC1481" s="68">
        <f>IF(AND(Z1481=1,U1481="Out"),W1481,0)</f>
        <v/>
      </c>
      <c r="AD1481" s="68">
        <f>IF(AND(Z1481=1,U1481="In"),W1481,0)</f>
        <v/>
      </c>
    </row>
    <row r="1482">
      <c r="B1482" s="62" t="inlineStr">
        <is>
          <t>TX-1476</t>
        </is>
      </c>
      <c r="C1482" s="63" t="n"/>
      <c r="D1482" s="62" t="n"/>
      <c r="E1482" s="62" t="n"/>
      <c r="F1482" s="62" t="n"/>
      <c r="G1482" s="62" t="n"/>
      <c r="H1482" s="62" t="n"/>
      <c r="I1482" s="62" t="n"/>
      <c r="J1482" s="62" t="n"/>
      <c r="K1482" s="62" t="n"/>
      <c r="L1482" s="64" t="n"/>
      <c r="M1482" s="64" t="n"/>
      <c r="N1482" s="62" t="n"/>
      <c r="O1482" s="65">
        <f>IF(Z1482=1,L1482-W1482,"")</f>
        <v/>
      </c>
      <c r="P1482" s="66">
        <f>IF(V1482="","",IFERROR(INDEX(coa_Type,MATCH(V1482,coa_Name,0)),""))</f>
        <v/>
      </c>
      <c r="Q1482" s="66">
        <f>IF(Z1482=1,IF(U1482="In",K1482&amp;"",V1482),"")</f>
        <v/>
      </c>
      <c r="R1482" s="66">
        <f>IF(Z1482=1,IF(U1482="In",V1482,K1482&amp;""),"")</f>
        <v/>
      </c>
      <c r="S1482" s="66">
        <f>IF(X1482&lt;&gt;"","⛔ "&amp;X1482&amp;" — not posted",IF(Y1482&lt;&gt;"","⚠ "&amp;Y1482,IF(Z1482=1,"✓ OK","")))</f>
        <v/>
      </c>
      <c r="T1482" s="67">
        <f>IF(AND(C1482="",D1482="",E1482="",L1482="",K1482=""),1,0)</f>
        <v/>
      </c>
      <c r="U1482" s="67">
        <f>IFERROR(INDEX(tt_Dir,MATCH(D1482,tt_Type,0)),"")</f>
        <v/>
      </c>
      <c r="V1482" s="67">
        <f>IF(D1482="","",IFERROR(IF(INDEX(tt_Other,MATCH(D1482,tt_Type,0))="",E1482&amp;"",INDEX(tt_Other,MATCH(D1482,tt_Type,0))),""))</f>
        <v/>
      </c>
      <c r="W1482" s="68">
        <f>IF(OR(TaxOn&lt;&gt;"Yes",NOT(ISNUMBER(M1482))),0,IF(IFERROR(INDEX(tt_Tax,MATCH(D1482,tt_Type,0)),"No")="Yes",M1482,0))</f>
        <v/>
      </c>
      <c r="X1482" s="67">
        <f>IF(T1482=1,"",IF(C1482="","Missing transaction date",IF(NOT(ISNUMBER(C1482)),"Invalid date",IF(OR(C1482&lt;DATE(2000,1,1),C1482&gt;DATE(2099,12,31)),"Invalid date",IF(D1482="","Select a type",IF(U1482="","Unknown type: "&amp;D1482,IF(V1482="","Select an account (Category)",IF(ISNA(MATCH(V1482,coa_Name,0)),"Unknown account: "&amp;V1482,IF(K1482="","Select Paid From / Deposited To",IF(ISNA(MATCH(K1482,coa_Name,0)),"Unknown account: "&amp;K1482,IF(NOT(ISNUMBER(L1482)),"Enter an amount",IF(L1482=0,"Enter an amount",IF(ABS(W1482)&gt;ABS(L1482),"Tax is larger than the amount","")))))))))))))</f>
        <v/>
      </c>
      <c r="Y1482" s="67">
        <f>IF(OR(T1482=1,X1482&lt;&gt;""),"",IF(AND(B1482&lt;&gt;"",COUNTIF(tx_ID,B1482)&gt;1),"Duplicate transaction ID",IF(AND(L1482&lt;0,D1482&lt;&gt;"Adjustment"),"Negative amount — check this entry",IF(AND(D1482="Customer Payment",G1482=""),"Add the customer",IF(AND(D1482="Customer Payment",OR(J1482="",COUNTIF(ar_No,J1482&amp;"")=0)),"Invoice # in Reference not found on AR sheet",IF(AND(D1482="Bill Payment",H1482=""),"Add the vendor",IF(AND(D1482="Bill Payment",OR(J1482="",COUNTIFS(ap_No,J1482&amp;"",ap_Party,H1482&amp;"")=0)),"Bill # + vendor not found on AP sheet",IF(AND(ISNUMBER(M1482),N(M1482)&lt;&gt;0,W1482=0),"Tax ignored (tax tracking off, or not allowed for this type)",IF(V1482=K1482&amp;"","Same account on both sides",IF(AND(ISNUMBER(StartDate),C1482&lt;StartDate),"Date is before the accounting start date",IF(AND(D1482&lt;&gt;"Adjustment",IFERROR(INDEX(coa_Pay,MATCH(K1482&amp;"",coa_Name,0)),"")&lt;&gt;"Yes"),"Paid From / Deposited To is not a payment account","")))))))))))</f>
        <v/>
      </c>
      <c r="Z1482" s="67">
        <f>IF(AND(T1482=0,X1482=""),1,0)</f>
        <v/>
      </c>
      <c r="AA1482" s="68">
        <f>IF(Z1482=1,IF(U1482="In",L1482,L1482-W1482),0)</f>
        <v/>
      </c>
      <c r="AB1482" s="68">
        <f>IF(Z1482=1,IF(U1482="In",L1482-W1482,L1482),0)</f>
        <v/>
      </c>
      <c r="AC1482" s="68">
        <f>IF(AND(Z1482=1,U1482="Out"),W1482,0)</f>
        <v/>
      </c>
      <c r="AD1482" s="68">
        <f>IF(AND(Z1482=1,U1482="In"),W1482,0)</f>
        <v/>
      </c>
    </row>
    <row r="1483">
      <c r="B1483" s="62" t="inlineStr">
        <is>
          <t>TX-1477</t>
        </is>
      </c>
      <c r="C1483" s="63" t="n"/>
      <c r="D1483" s="62" t="n"/>
      <c r="E1483" s="62" t="n"/>
      <c r="F1483" s="62" t="n"/>
      <c r="G1483" s="62" t="n"/>
      <c r="H1483" s="62" t="n"/>
      <c r="I1483" s="62" t="n"/>
      <c r="J1483" s="62" t="n"/>
      <c r="K1483" s="62" t="n"/>
      <c r="L1483" s="64" t="n"/>
      <c r="M1483" s="64" t="n"/>
      <c r="N1483" s="62" t="n"/>
      <c r="O1483" s="65">
        <f>IF(Z1483=1,L1483-W1483,"")</f>
        <v/>
      </c>
      <c r="P1483" s="66">
        <f>IF(V1483="","",IFERROR(INDEX(coa_Type,MATCH(V1483,coa_Name,0)),""))</f>
        <v/>
      </c>
      <c r="Q1483" s="66">
        <f>IF(Z1483=1,IF(U1483="In",K1483&amp;"",V1483),"")</f>
        <v/>
      </c>
      <c r="R1483" s="66">
        <f>IF(Z1483=1,IF(U1483="In",V1483,K1483&amp;""),"")</f>
        <v/>
      </c>
      <c r="S1483" s="66">
        <f>IF(X1483&lt;&gt;"","⛔ "&amp;X1483&amp;" — not posted",IF(Y1483&lt;&gt;"","⚠ "&amp;Y1483,IF(Z1483=1,"✓ OK","")))</f>
        <v/>
      </c>
      <c r="T1483" s="67">
        <f>IF(AND(C1483="",D1483="",E1483="",L1483="",K1483=""),1,0)</f>
        <v/>
      </c>
      <c r="U1483" s="67">
        <f>IFERROR(INDEX(tt_Dir,MATCH(D1483,tt_Type,0)),"")</f>
        <v/>
      </c>
      <c r="V1483" s="67">
        <f>IF(D1483="","",IFERROR(IF(INDEX(tt_Other,MATCH(D1483,tt_Type,0))="",E1483&amp;"",INDEX(tt_Other,MATCH(D1483,tt_Type,0))),""))</f>
        <v/>
      </c>
      <c r="W1483" s="68">
        <f>IF(OR(TaxOn&lt;&gt;"Yes",NOT(ISNUMBER(M1483))),0,IF(IFERROR(INDEX(tt_Tax,MATCH(D1483,tt_Type,0)),"No")="Yes",M1483,0))</f>
        <v/>
      </c>
      <c r="X1483" s="67">
        <f>IF(T1483=1,"",IF(C1483="","Missing transaction date",IF(NOT(ISNUMBER(C1483)),"Invalid date",IF(OR(C1483&lt;DATE(2000,1,1),C1483&gt;DATE(2099,12,31)),"Invalid date",IF(D1483="","Select a type",IF(U1483="","Unknown type: "&amp;D1483,IF(V1483="","Select an account (Category)",IF(ISNA(MATCH(V1483,coa_Name,0)),"Unknown account: "&amp;V1483,IF(K1483="","Select Paid From / Deposited To",IF(ISNA(MATCH(K1483,coa_Name,0)),"Unknown account: "&amp;K1483,IF(NOT(ISNUMBER(L1483)),"Enter an amount",IF(L1483=0,"Enter an amount",IF(ABS(W1483)&gt;ABS(L1483),"Tax is larger than the amount","")))))))))))))</f>
        <v/>
      </c>
      <c r="Y1483" s="67">
        <f>IF(OR(T1483=1,X1483&lt;&gt;""),"",IF(AND(B1483&lt;&gt;"",COUNTIF(tx_ID,B1483)&gt;1),"Duplicate transaction ID",IF(AND(L1483&lt;0,D1483&lt;&gt;"Adjustment"),"Negative amount — check this entry",IF(AND(D1483="Customer Payment",G1483=""),"Add the customer",IF(AND(D1483="Customer Payment",OR(J1483="",COUNTIF(ar_No,J1483&amp;"")=0)),"Invoice # in Reference not found on AR sheet",IF(AND(D1483="Bill Payment",H1483=""),"Add the vendor",IF(AND(D1483="Bill Payment",OR(J1483="",COUNTIFS(ap_No,J1483&amp;"",ap_Party,H1483&amp;"")=0)),"Bill # + vendor not found on AP sheet",IF(AND(ISNUMBER(M1483),N(M1483)&lt;&gt;0,W1483=0),"Tax ignored (tax tracking off, or not allowed for this type)",IF(V1483=K1483&amp;"","Same account on both sides",IF(AND(ISNUMBER(StartDate),C1483&lt;StartDate),"Date is before the accounting start date",IF(AND(D1483&lt;&gt;"Adjustment",IFERROR(INDEX(coa_Pay,MATCH(K1483&amp;"",coa_Name,0)),"")&lt;&gt;"Yes"),"Paid From / Deposited To is not a payment account","")))))))))))</f>
        <v/>
      </c>
      <c r="Z1483" s="67">
        <f>IF(AND(T1483=0,X1483=""),1,0)</f>
        <v/>
      </c>
      <c r="AA1483" s="68">
        <f>IF(Z1483=1,IF(U1483="In",L1483,L1483-W1483),0)</f>
        <v/>
      </c>
      <c r="AB1483" s="68">
        <f>IF(Z1483=1,IF(U1483="In",L1483-W1483,L1483),0)</f>
        <v/>
      </c>
      <c r="AC1483" s="68">
        <f>IF(AND(Z1483=1,U1483="Out"),W1483,0)</f>
        <v/>
      </c>
      <c r="AD1483" s="68">
        <f>IF(AND(Z1483=1,U1483="In"),W1483,0)</f>
        <v/>
      </c>
    </row>
    <row r="1484">
      <c r="B1484" s="62" t="inlineStr">
        <is>
          <t>TX-1478</t>
        </is>
      </c>
      <c r="C1484" s="63" t="n"/>
      <c r="D1484" s="62" t="n"/>
      <c r="E1484" s="62" t="n"/>
      <c r="F1484" s="62" t="n"/>
      <c r="G1484" s="62" t="n"/>
      <c r="H1484" s="62" t="n"/>
      <c r="I1484" s="62" t="n"/>
      <c r="J1484" s="62" t="n"/>
      <c r="K1484" s="62" t="n"/>
      <c r="L1484" s="64" t="n"/>
      <c r="M1484" s="64" t="n"/>
      <c r="N1484" s="62" t="n"/>
      <c r="O1484" s="65">
        <f>IF(Z1484=1,L1484-W1484,"")</f>
        <v/>
      </c>
      <c r="P1484" s="66">
        <f>IF(V1484="","",IFERROR(INDEX(coa_Type,MATCH(V1484,coa_Name,0)),""))</f>
        <v/>
      </c>
      <c r="Q1484" s="66">
        <f>IF(Z1484=1,IF(U1484="In",K1484&amp;"",V1484),"")</f>
        <v/>
      </c>
      <c r="R1484" s="66">
        <f>IF(Z1484=1,IF(U1484="In",V1484,K1484&amp;""),"")</f>
        <v/>
      </c>
      <c r="S1484" s="66">
        <f>IF(X1484&lt;&gt;"","⛔ "&amp;X1484&amp;" — not posted",IF(Y1484&lt;&gt;"","⚠ "&amp;Y1484,IF(Z1484=1,"✓ OK","")))</f>
        <v/>
      </c>
      <c r="T1484" s="67">
        <f>IF(AND(C1484="",D1484="",E1484="",L1484="",K1484=""),1,0)</f>
        <v/>
      </c>
      <c r="U1484" s="67">
        <f>IFERROR(INDEX(tt_Dir,MATCH(D1484,tt_Type,0)),"")</f>
        <v/>
      </c>
      <c r="V1484" s="67">
        <f>IF(D1484="","",IFERROR(IF(INDEX(tt_Other,MATCH(D1484,tt_Type,0))="",E1484&amp;"",INDEX(tt_Other,MATCH(D1484,tt_Type,0))),""))</f>
        <v/>
      </c>
      <c r="W1484" s="68">
        <f>IF(OR(TaxOn&lt;&gt;"Yes",NOT(ISNUMBER(M1484))),0,IF(IFERROR(INDEX(tt_Tax,MATCH(D1484,tt_Type,0)),"No")="Yes",M1484,0))</f>
        <v/>
      </c>
      <c r="X1484" s="67">
        <f>IF(T1484=1,"",IF(C1484="","Missing transaction date",IF(NOT(ISNUMBER(C1484)),"Invalid date",IF(OR(C1484&lt;DATE(2000,1,1),C1484&gt;DATE(2099,12,31)),"Invalid date",IF(D1484="","Select a type",IF(U1484="","Unknown type: "&amp;D1484,IF(V1484="","Select an account (Category)",IF(ISNA(MATCH(V1484,coa_Name,0)),"Unknown account: "&amp;V1484,IF(K1484="","Select Paid From / Deposited To",IF(ISNA(MATCH(K1484,coa_Name,0)),"Unknown account: "&amp;K1484,IF(NOT(ISNUMBER(L1484)),"Enter an amount",IF(L1484=0,"Enter an amount",IF(ABS(W1484)&gt;ABS(L1484),"Tax is larger than the amount","")))))))))))))</f>
        <v/>
      </c>
      <c r="Y1484" s="67">
        <f>IF(OR(T1484=1,X1484&lt;&gt;""),"",IF(AND(B1484&lt;&gt;"",COUNTIF(tx_ID,B1484)&gt;1),"Duplicate transaction ID",IF(AND(L1484&lt;0,D1484&lt;&gt;"Adjustment"),"Negative amount — check this entry",IF(AND(D1484="Customer Payment",G1484=""),"Add the customer",IF(AND(D1484="Customer Payment",OR(J1484="",COUNTIF(ar_No,J1484&amp;"")=0)),"Invoice # in Reference not found on AR sheet",IF(AND(D1484="Bill Payment",H1484=""),"Add the vendor",IF(AND(D1484="Bill Payment",OR(J1484="",COUNTIFS(ap_No,J1484&amp;"",ap_Party,H1484&amp;"")=0)),"Bill # + vendor not found on AP sheet",IF(AND(ISNUMBER(M1484),N(M1484)&lt;&gt;0,W1484=0),"Tax ignored (tax tracking off, or not allowed for this type)",IF(V1484=K1484&amp;"","Same account on both sides",IF(AND(ISNUMBER(StartDate),C1484&lt;StartDate),"Date is before the accounting start date",IF(AND(D1484&lt;&gt;"Adjustment",IFERROR(INDEX(coa_Pay,MATCH(K1484&amp;"",coa_Name,0)),"")&lt;&gt;"Yes"),"Paid From / Deposited To is not a payment account","")))))))))))</f>
        <v/>
      </c>
      <c r="Z1484" s="67">
        <f>IF(AND(T1484=0,X1484=""),1,0)</f>
        <v/>
      </c>
      <c r="AA1484" s="68">
        <f>IF(Z1484=1,IF(U1484="In",L1484,L1484-W1484),0)</f>
        <v/>
      </c>
      <c r="AB1484" s="68">
        <f>IF(Z1484=1,IF(U1484="In",L1484-W1484,L1484),0)</f>
        <v/>
      </c>
      <c r="AC1484" s="68">
        <f>IF(AND(Z1484=1,U1484="Out"),W1484,0)</f>
        <v/>
      </c>
      <c r="AD1484" s="68">
        <f>IF(AND(Z1484=1,U1484="In"),W1484,0)</f>
        <v/>
      </c>
    </row>
    <row r="1485">
      <c r="B1485" s="62" t="inlineStr">
        <is>
          <t>TX-1479</t>
        </is>
      </c>
      <c r="C1485" s="63" t="n"/>
      <c r="D1485" s="62" t="n"/>
      <c r="E1485" s="62" t="n"/>
      <c r="F1485" s="62" t="n"/>
      <c r="G1485" s="62" t="n"/>
      <c r="H1485" s="62" t="n"/>
      <c r="I1485" s="62" t="n"/>
      <c r="J1485" s="62" t="n"/>
      <c r="K1485" s="62" t="n"/>
      <c r="L1485" s="64" t="n"/>
      <c r="M1485" s="64" t="n"/>
      <c r="N1485" s="62" t="n"/>
      <c r="O1485" s="65">
        <f>IF(Z1485=1,L1485-W1485,"")</f>
        <v/>
      </c>
      <c r="P1485" s="66">
        <f>IF(V1485="","",IFERROR(INDEX(coa_Type,MATCH(V1485,coa_Name,0)),""))</f>
        <v/>
      </c>
      <c r="Q1485" s="66">
        <f>IF(Z1485=1,IF(U1485="In",K1485&amp;"",V1485),"")</f>
        <v/>
      </c>
      <c r="R1485" s="66">
        <f>IF(Z1485=1,IF(U1485="In",V1485,K1485&amp;""),"")</f>
        <v/>
      </c>
      <c r="S1485" s="66">
        <f>IF(X1485&lt;&gt;"","⛔ "&amp;X1485&amp;" — not posted",IF(Y1485&lt;&gt;"","⚠ "&amp;Y1485,IF(Z1485=1,"✓ OK","")))</f>
        <v/>
      </c>
      <c r="T1485" s="67">
        <f>IF(AND(C1485="",D1485="",E1485="",L1485="",K1485=""),1,0)</f>
        <v/>
      </c>
      <c r="U1485" s="67">
        <f>IFERROR(INDEX(tt_Dir,MATCH(D1485,tt_Type,0)),"")</f>
        <v/>
      </c>
      <c r="V1485" s="67">
        <f>IF(D1485="","",IFERROR(IF(INDEX(tt_Other,MATCH(D1485,tt_Type,0))="",E1485&amp;"",INDEX(tt_Other,MATCH(D1485,tt_Type,0))),""))</f>
        <v/>
      </c>
      <c r="W1485" s="68">
        <f>IF(OR(TaxOn&lt;&gt;"Yes",NOT(ISNUMBER(M1485))),0,IF(IFERROR(INDEX(tt_Tax,MATCH(D1485,tt_Type,0)),"No")="Yes",M1485,0))</f>
        <v/>
      </c>
      <c r="X1485" s="67">
        <f>IF(T1485=1,"",IF(C1485="","Missing transaction date",IF(NOT(ISNUMBER(C1485)),"Invalid date",IF(OR(C1485&lt;DATE(2000,1,1),C1485&gt;DATE(2099,12,31)),"Invalid date",IF(D1485="","Select a type",IF(U1485="","Unknown type: "&amp;D1485,IF(V1485="","Select an account (Category)",IF(ISNA(MATCH(V1485,coa_Name,0)),"Unknown account: "&amp;V1485,IF(K1485="","Select Paid From / Deposited To",IF(ISNA(MATCH(K1485,coa_Name,0)),"Unknown account: "&amp;K1485,IF(NOT(ISNUMBER(L1485)),"Enter an amount",IF(L1485=0,"Enter an amount",IF(ABS(W1485)&gt;ABS(L1485),"Tax is larger than the amount","")))))))))))))</f>
        <v/>
      </c>
      <c r="Y1485" s="67">
        <f>IF(OR(T1485=1,X1485&lt;&gt;""),"",IF(AND(B1485&lt;&gt;"",COUNTIF(tx_ID,B1485)&gt;1),"Duplicate transaction ID",IF(AND(L1485&lt;0,D1485&lt;&gt;"Adjustment"),"Negative amount — check this entry",IF(AND(D1485="Customer Payment",G1485=""),"Add the customer",IF(AND(D1485="Customer Payment",OR(J1485="",COUNTIF(ar_No,J1485&amp;"")=0)),"Invoice # in Reference not found on AR sheet",IF(AND(D1485="Bill Payment",H1485=""),"Add the vendor",IF(AND(D1485="Bill Payment",OR(J1485="",COUNTIFS(ap_No,J1485&amp;"",ap_Party,H1485&amp;"")=0)),"Bill # + vendor not found on AP sheet",IF(AND(ISNUMBER(M1485),N(M1485)&lt;&gt;0,W1485=0),"Tax ignored (tax tracking off, or not allowed for this type)",IF(V1485=K1485&amp;"","Same account on both sides",IF(AND(ISNUMBER(StartDate),C1485&lt;StartDate),"Date is before the accounting start date",IF(AND(D1485&lt;&gt;"Adjustment",IFERROR(INDEX(coa_Pay,MATCH(K1485&amp;"",coa_Name,0)),"")&lt;&gt;"Yes"),"Paid From / Deposited To is not a payment account","")))))))))))</f>
        <v/>
      </c>
      <c r="Z1485" s="67">
        <f>IF(AND(T1485=0,X1485=""),1,0)</f>
        <v/>
      </c>
      <c r="AA1485" s="68">
        <f>IF(Z1485=1,IF(U1485="In",L1485,L1485-W1485),0)</f>
        <v/>
      </c>
      <c r="AB1485" s="68">
        <f>IF(Z1485=1,IF(U1485="In",L1485-W1485,L1485),0)</f>
        <v/>
      </c>
      <c r="AC1485" s="68">
        <f>IF(AND(Z1485=1,U1485="Out"),W1485,0)</f>
        <v/>
      </c>
      <c r="AD1485" s="68">
        <f>IF(AND(Z1485=1,U1485="In"),W1485,0)</f>
        <v/>
      </c>
    </row>
    <row r="1486">
      <c r="B1486" s="62" t="inlineStr">
        <is>
          <t>TX-1480</t>
        </is>
      </c>
      <c r="C1486" s="63" t="n"/>
      <c r="D1486" s="62" t="n"/>
      <c r="E1486" s="62" t="n"/>
      <c r="F1486" s="62" t="n"/>
      <c r="G1486" s="62" t="n"/>
      <c r="H1486" s="62" t="n"/>
      <c r="I1486" s="62" t="n"/>
      <c r="J1486" s="62" t="n"/>
      <c r="K1486" s="62" t="n"/>
      <c r="L1486" s="64" t="n"/>
      <c r="M1486" s="64" t="n"/>
      <c r="N1486" s="62" t="n"/>
      <c r="O1486" s="65">
        <f>IF(Z1486=1,L1486-W1486,"")</f>
        <v/>
      </c>
      <c r="P1486" s="66">
        <f>IF(V1486="","",IFERROR(INDEX(coa_Type,MATCH(V1486,coa_Name,0)),""))</f>
        <v/>
      </c>
      <c r="Q1486" s="66">
        <f>IF(Z1486=1,IF(U1486="In",K1486&amp;"",V1486),"")</f>
        <v/>
      </c>
      <c r="R1486" s="66">
        <f>IF(Z1486=1,IF(U1486="In",V1486,K1486&amp;""),"")</f>
        <v/>
      </c>
      <c r="S1486" s="66">
        <f>IF(X1486&lt;&gt;"","⛔ "&amp;X1486&amp;" — not posted",IF(Y1486&lt;&gt;"","⚠ "&amp;Y1486,IF(Z1486=1,"✓ OK","")))</f>
        <v/>
      </c>
      <c r="T1486" s="67">
        <f>IF(AND(C1486="",D1486="",E1486="",L1486="",K1486=""),1,0)</f>
        <v/>
      </c>
      <c r="U1486" s="67">
        <f>IFERROR(INDEX(tt_Dir,MATCH(D1486,tt_Type,0)),"")</f>
        <v/>
      </c>
      <c r="V1486" s="67">
        <f>IF(D1486="","",IFERROR(IF(INDEX(tt_Other,MATCH(D1486,tt_Type,0))="",E1486&amp;"",INDEX(tt_Other,MATCH(D1486,tt_Type,0))),""))</f>
        <v/>
      </c>
      <c r="W1486" s="68">
        <f>IF(OR(TaxOn&lt;&gt;"Yes",NOT(ISNUMBER(M1486))),0,IF(IFERROR(INDEX(tt_Tax,MATCH(D1486,tt_Type,0)),"No")="Yes",M1486,0))</f>
        <v/>
      </c>
      <c r="X1486" s="67">
        <f>IF(T1486=1,"",IF(C1486="","Missing transaction date",IF(NOT(ISNUMBER(C1486)),"Invalid date",IF(OR(C1486&lt;DATE(2000,1,1),C1486&gt;DATE(2099,12,31)),"Invalid date",IF(D1486="","Select a type",IF(U1486="","Unknown type: "&amp;D1486,IF(V1486="","Select an account (Category)",IF(ISNA(MATCH(V1486,coa_Name,0)),"Unknown account: "&amp;V1486,IF(K1486="","Select Paid From / Deposited To",IF(ISNA(MATCH(K1486,coa_Name,0)),"Unknown account: "&amp;K1486,IF(NOT(ISNUMBER(L1486)),"Enter an amount",IF(L1486=0,"Enter an amount",IF(ABS(W1486)&gt;ABS(L1486),"Tax is larger than the amount","")))))))))))))</f>
        <v/>
      </c>
      <c r="Y1486" s="67">
        <f>IF(OR(T1486=1,X1486&lt;&gt;""),"",IF(AND(B1486&lt;&gt;"",COUNTIF(tx_ID,B1486)&gt;1),"Duplicate transaction ID",IF(AND(L1486&lt;0,D1486&lt;&gt;"Adjustment"),"Negative amount — check this entry",IF(AND(D1486="Customer Payment",G1486=""),"Add the customer",IF(AND(D1486="Customer Payment",OR(J1486="",COUNTIF(ar_No,J1486&amp;"")=0)),"Invoice # in Reference not found on AR sheet",IF(AND(D1486="Bill Payment",H1486=""),"Add the vendor",IF(AND(D1486="Bill Payment",OR(J1486="",COUNTIFS(ap_No,J1486&amp;"",ap_Party,H1486&amp;"")=0)),"Bill # + vendor not found on AP sheet",IF(AND(ISNUMBER(M1486),N(M1486)&lt;&gt;0,W1486=0),"Tax ignored (tax tracking off, or not allowed for this type)",IF(V1486=K1486&amp;"","Same account on both sides",IF(AND(ISNUMBER(StartDate),C1486&lt;StartDate),"Date is before the accounting start date",IF(AND(D1486&lt;&gt;"Adjustment",IFERROR(INDEX(coa_Pay,MATCH(K1486&amp;"",coa_Name,0)),"")&lt;&gt;"Yes"),"Paid From / Deposited To is not a payment account","")))))))))))</f>
        <v/>
      </c>
      <c r="Z1486" s="67">
        <f>IF(AND(T1486=0,X1486=""),1,0)</f>
        <v/>
      </c>
      <c r="AA1486" s="68">
        <f>IF(Z1486=1,IF(U1486="In",L1486,L1486-W1486),0)</f>
        <v/>
      </c>
      <c r="AB1486" s="68">
        <f>IF(Z1486=1,IF(U1486="In",L1486-W1486,L1486),0)</f>
        <v/>
      </c>
      <c r="AC1486" s="68">
        <f>IF(AND(Z1486=1,U1486="Out"),W1486,0)</f>
        <v/>
      </c>
      <c r="AD1486" s="68">
        <f>IF(AND(Z1486=1,U1486="In"),W1486,0)</f>
        <v/>
      </c>
    </row>
    <row r="1487">
      <c r="B1487" s="62" t="inlineStr">
        <is>
          <t>TX-1481</t>
        </is>
      </c>
      <c r="C1487" s="63" t="n"/>
      <c r="D1487" s="62" t="n"/>
      <c r="E1487" s="62" t="n"/>
      <c r="F1487" s="62" t="n"/>
      <c r="G1487" s="62" t="n"/>
      <c r="H1487" s="62" t="n"/>
      <c r="I1487" s="62" t="n"/>
      <c r="J1487" s="62" t="n"/>
      <c r="K1487" s="62" t="n"/>
      <c r="L1487" s="64" t="n"/>
      <c r="M1487" s="64" t="n"/>
      <c r="N1487" s="62" t="n"/>
      <c r="O1487" s="65">
        <f>IF(Z1487=1,L1487-W1487,"")</f>
        <v/>
      </c>
      <c r="P1487" s="66">
        <f>IF(V1487="","",IFERROR(INDEX(coa_Type,MATCH(V1487,coa_Name,0)),""))</f>
        <v/>
      </c>
      <c r="Q1487" s="66">
        <f>IF(Z1487=1,IF(U1487="In",K1487&amp;"",V1487),"")</f>
        <v/>
      </c>
      <c r="R1487" s="66">
        <f>IF(Z1487=1,IF(U1487="In",V1487,K1487&amp;""),"")</f>
        <v/>
      </c>
      <c r="S1487" s="66">
        <f>IF(X1487&lt;&gt;"","⛔ "&amp;X1487&amp;" — not posted",IF(Y1487&lt;&gt;"","⚠ "&amp;Y1487,IF(Z1487=1,"✓ OK","")))</f>
        <v/>
      </c>
      <c r="T1487" s="67">
        <f>IF(AND(C1487="",D1487="",E1487="",L1487="",K1487=""),1,0)</f>
        <v/>
      </c>
      <c r="U1487" s="67">
        <f>IFERROR(INDEX(tt_Dir,MATCH(D1487,tt_Type,0)),"")</f>
        <v/>
      </c>
      <c r="V1487" s="67">
        <f>IF(D1487="","",IFERROR(IF(INDEX(tt_Other,MATCH(D1487,tt_Type,0))="",E1487&amp;"",INDEX(tt_Other,MATCH(D1487,tt_Type,0))),""))</f>
        <v/>
      </c>
      <c r="W1487" s="68">
        <f>IF(OR(TaxOn&lt;&gt;"Yes",NOT(ISNUMBER(M1487))),0,IF(IFERROR(INDEX(tt_Tax,MATCH(D1487,tt_Type,0)),"No")="Yes",M1487,0))</f>
        <v/>
      </c>
      <c r="X1487" s="67">
        <f>IF(T1487=1,"",IF(C1487="","Missing transaction date",IF(NOT(ISNUMBER(C1487)),"Invalid date",IF(OR(C1487&lt;DATE(2000,1,1),C1487&gt;DATE(2099,12,31)),"Invalid date",IF(D1487="","Select a type",IF(U1487="","Unknown type: "&amp;D1487,IF(V1487="","Select an account (Category)",IF(ISNA(MATCH(V1487,coa_Name,0)),"Unknown account: "&amp;V1487,IF(K1487="","Select Paid From / Deposited To",IF(ISNA(MATCH(K1487,coa_Name,0)),"Unknown account: "&amp;K1487,IF(NOT(ISNUMBER(L1487)),"Enter an amount",IF(L1487=0,"Enter an amount",IF(ABS(W1487)&gt;ABS(L1487),"Tax is larger than the amount","")))))))))))))</f>
        <v/>
      </c>
      <c r="Y1487" s="67">
        <f>IF(OR(T1487=1,X1487&lt;&gt;""),"",IF(AND(B1487&lt;&gt;"",COUNTIF(tx_ID,B1487)&gt;1),"Duplicate transaction ID",IF(AND(L1487&lt;0,D1487&lt;&gt;"Adjustment"),"Negative amount — check this entry",IF(AND(D1487="Customer Payment",G1487=""),"Add the customer",IF(AND(D1487="Customer Payment",OR(J1487="",COUNTIF(ar_No,J1487&amp;"")=0)),"Invoice # in Reference not found on AR sheet",IF(AND(D1487="Bill Payment",H1487=""),"Add the vendor",IF(AND(D1487="Bill Payment",OR(J1487="",COUNTIFS(ap_No,J1487&amp;"",ap_Party,H1487&amp;"")=0)),"Bill # + vendor not found on AP sheet",IF(AND(ISNUMBER(M1487),N(M1487)&lt;&gt;0,W1487=0),"Tax ignored (tax tracking off, or not allowed for this type)",IF(V1487=K1487&amp;"","Same account on both sides",IF(AND(ISNUMBER(StartDate),C1487&lt;StartDate),"Date is before the accounting start date",IF(AND(D1487&lt;&gt;"Adjustment",IFERROR(INDEX(coa_Pay,MATCH(K1487&amp;"",coa_Name,0)),"")&lt;&gt;"Yes"),"Paid From / Deposited To is not a payment account","")))))))))))</f>
        <v/>
      </c>
      <c r="Z1487" s="67">
        <f>IF(AND(T1487=0,X1487=""),1,0)</f>
        <v/>
      </c>
      <c r="AA1487" s="68">
        <f>IF(Z1487=1,IF(U1487="In",L1487,L1487-W1487),0)</f>
        <v/>
      </c>
      <c r="AB1487" s="68">
        <f>IF(Z1487=1,IF(U1487="In",L1487-W1487,L1487),0)</f>
        <v/>
      </c>
      <c r="AC1487" s="68">
        <f>IF(AND(Z1487=1,U1487="Out"),W1487,0)</f>
        <v/>
      </c>
      <c r="AD1487" s="68">
        <f>IF(AND(Z1487=1,U1487="In"),W1487,0)</f>
        <v/>
      </c>
    </row>
    <row r="1488">
      <c r="B1488" s="62" t="inlineStr">
        <is>
          <t>TX-1482</t>
        </is>
      </c>
      <c r="C1488" s="63" t="n"/>
      <c r="D1488" s="62" t="n"/>
      <c r="E1488" s="62" t="n"/>
      <c r="F1488" s="62" t="n"/>
      <c r="G1488" s="62" t="n"/>
      <c r="H1488" s="62" t="n"/>
      <c r="I1488" s="62" t="n"/>
      <c r="J1488" s="62" t="n"/>
      <c r="K1488" s="62" t="n"/>
      <c r="L1488" s="64" t="n"/>
      <c r="M1488" s="64" t="n"/>
      <c r="N1488" s="62" t="n"/>
      <c r="O1488" s="65">
        <f>IF(Z1488=1,L1488-W1488,"")</f>
        <v/>
      </c>
      <c r="P1488" s="66">
        <f>IF(V1488="","",IFERROR(INDEX(coa_Type,MATCH(V1488,coa_Name,0)),""))</f>
        <v/>
      </c>
      <c r="Q1488" s="66">
        <f>IF(Z1488=1,IF(U1488="In",K1488&amp;"",V1488),"")</f>
        <v/>
      </c>
      <c r="R1488" s="66">
        <f>IF(Z1488=1,IF(U1488="In",V1488,K1488&amp;""),"")</f>
        <v/>
      </c>
      <c r="S1488" s="66">
        <f>IF(X1488&lt;&gt;"","⛔ "&amp;X1488&amp;" — not posted",IF(Y1488&lt;&gt;"","⚠ "&amp;Y1488,IF(Z1488=1,"✓ OK","")))</f>
        <v/>
      </c>
      <c r="T1488" s="67">
        <f>IF(AND(C1488="",D1488="",E1488="",L1488="",K1488=""),1,0)</f>
        <v/>
      </c>
      <c r="U1488" s="67">
        <f>IFERROR(INDEX(tt_Dir,MATCH(D1488,tt_Type,0)),"")</f>
        <v/>
      </c>
      <c r="V1488" s="67">
        <f>IF(D1488="","",IFERROR(IF(INDEX(tt_Other,MATCH(D1488,tt_Type,0))="",E1488&amp;"",INDEX(tt_Other,MATCH(D1488,tt_Type,0))),""))</f>
        <v/>
      </c>
      <c r="W1488" s="68">
        <f>IF(OR(TaxOn&lt;&gt;"Yes",NOT(ISNUMBER(M1488))),0,IF(IFERROR(INDEX(tt_Tax,MATCH(D1488,tt_Type,0)),"No")="Yes",M1488,0))</f>
        <v/>
      </c>
      <c r="X1488" s="67">
        <f>IF(T1488=1,"",IF(C1488="","Missing transaction date",IF(NOT(ISNUMBER(C1488)),"Invalid date",IF(OR(C1488&lt;DATE(2000,1,1),C1488&gt;DATE(2099,12,31)),"Invalid date",IF(D1488="","Select a type",IF(U1488="","Unknown type: "&amp;D1488,IF(V1488="","Select an account (Category)",IF(ISNA(MATCH(V1488,coa_Name,0)),"Unknown account: "&amp;V1488,IF(K1488="","Select Paid From / Deposited To",IF(ISNA(MATCH(K1488,coa_Name,0)),"Unknown account: "&amp;K1488,IF(NOT(ISNUMBER(L1488)),"Enter an amount",IF(L1488=0,"Enter an amount",IF(ABS(W1488)&gt;ABS(L1488),"Tax is larger than the amount","")))))))))))))</f>
        <v/>
      </c>
      <c r="Y1488" s="67">
        <f>IF(OR(T1488=1,X1488&lt;&gt;""),"",IF(AND(B1488&lt;&gt;"",COUNTIF(tx_ID,B1488)&gt;1),"Duplicate transaction ID",IF(AND(L1488&lt;0,D1488&lt;&gt;"Adjustment"),"Negative amount — check this entry",IF(AND(D1488="Customer Payment",G1488=""),"Add the customer",IF(AND(D1488="Customer Payment",OR(J1488="",COUNTIF(ar_No,J1488&amp;"")=0)),"Invoice # in Reference not found on AR sheet",IF(AND(D1488="Bill Payment",H1488=""),"Add the vendor",IF(AND(D1488="Bill Payment",OR(J1488="",COUNTIFS(ap_No,J1488&amp;"",ap_Party,H1488&amp;"")=0)),"Bill # + vendor not found on AP sheet",IF(AND(ISNUMBER(M1488),N(M1488)&lt;&gt;0,W1488=0),"Tax ignored (tax tracking off, or not allowed for this type)",IF(V1488=K1488&amp;"","Same account on both sides",IF(AND(ISNUMBER(StartDate),C1488&lt;StartDate),"Date is before the accounting start date",IF(AND(D1488&lt;&gt;"Adjustment",IFERROR(INDEX(coa_Pay,MATCH(K1488&amp;"",coa_Name,0)),"")&lt;&gt;"Yes"),"Paid From / Deposited To is not a payment account","")))))))))))</f>
        <v/>
      </c>
      <c r="Z1488" s="67">
        <f>IF(AND(T1488=0,X1488=""),1,0)</f>
        <v/>
      </c>
      <c r="AA1488" s="68">
        <f>IF(Z1488=1,IF(U1488="In",L1488,L1488-W1488),0)</f>
        <v/>
      </c>
      <c r="AB1488" s="68">
        <f>IF(Z1488=1,IF(U1488="In",L1488-W1488,L1488),0)</f>
        <v/>
      </c>
      <c r="AC1488" s="68">
        <f>IF(AND(Z1488=1,U1488="Out"),W1488,0)</f>
        <v/>
      </c>
      <c r="AD1488" s="68">
        <f>IF(AND(Z1488=1,U1488="In"),W1488,0)</f>
        <v/>
      </c>
    </row>
    <row r="1489">
      <c r="B1489" s="62" t="inlineStr">
        <is>
          <t>TX-1483</t>
        </is>
      </c>
      <c r="C1489" s="63" t="n"/>
      <c r="D1489" s="62" t="n"/>
      <c r="E1489" s="62" t="n"/>
      <c r="F1489" s="62" t="n"/>
      <c r="G1489" s="62" t="n"/>
      <c r="H1489" s="62" t="n"/>
      <c r="I1489" s="62" t="n"/>
      <c r="J1489" s="62" t="n"/>
      <c r="K1489" s="62" t="n"/>
      <c r="L1489" s="64" t="n"/>
      <c r="M1489" s="64" t="n"/>
      <c r="N1489" s="62" t="n"/>
      <c r="O1489" s="65">
        <f>IF(Z1489=1,L1489-W1489,"")</f>
        <v/>
      </c>
      <c r="P1489" s="66">
        <f>IF(V1489="","",IFERROR(INDEX(coa_Type,MATCH(V1489,coa_Name,0)),""))</f>
        <v/>
      </c>
      <c r="Q1489" s="66">
        <f>IF(Z1489=1,IF(U1489="In",K1489&amp;"",V1489),"")</f>
        <v/>
      </c>
      <c r="R1489" s="66">
        <f>IF(Z1489=1,IF(U1489="In",V1489,K1489&amp;""),"")</f>
        <v/>
      </c>
      <c r="S1489" s="66">
        <f>IF(X1489&lt;&gt;"","⛔ "&amp;X1489&amp;" — not posted",IF(Y1489&lt;&gt;"","⚠ "&amp;Y1489,IF(Z1489=1,"✓ OK","")))</f>
        <v/>
      </c>
      <c r="T1489" s="67">
        <f>IF(AND(C1489="",D1489="",E1489="",L1489="",K1489=""),1,0)</f>
        <v/>
      </c>
      <c r="U1489" s="67">
        <f>IFERROR(INDEX(tt_Dir,MATCH(D1489,tt_Type,0)),"")</f>
        <v/>
      </c>
      <c r="V1489" s="67">
        <f>IF(D1489="","",IFERROR(IF(INDEX(tt_Other,MATCH(D1489,tt_Type,0))="",E1489&amp;"",INDEX(tt_Other,MATCH(D1489,tt_Type,0))),""))</f>
        <v/>
      </c>
      <c r="W1489" s="68">
        <f>IF(OR(TaxOn&lt;&gt;"Yes",NOT(ISNUMBER(M1489))),0,IF(IFERROR(INDEX(tt_Tax,MATCH(D1489,tt_Type,0)),"No")="Yes",M1489,0))</f>
        <v/>
      </c>
      <c r="X1489" s="67">
        <f>IF(T1489=1,"",IF(C1489="","Missing transaction date",IF(NOT(ISNUMBER(C1489)),"Invalid date",IF(OR(C1489&lt;DATE(2000,1,1),C1489&gt;DATE(2099,12,31)),"Invalid date",IF(D1489="","Select a type",IF(U1489="","Unknown type: "&amp;D1489,IF(V1489="","Select an account (Category)",IF(ISNA(MATCH(V1489,coa_Name,0)),"Unknown account: "&amp;V1489,IF(K1489="","Select Paid From / Deposited To",IF(ISNA(MATCH(K1489,coa_Name,0)),"Unknown account: "&amp;K1489,IF(NOT(ISNUMBER(L1489)),"Enter an amount",IF(L1489=0,"Enter an amount",IF(ABS(W1489)&gt;ABS(L1489),"Tax is larger than the amount","")))))))))))))</f>
        <v/>
      </c>
      <c r="Y1489" s="67">
        <f>IF(OR(T1489=1,X1489&lt;&gt;""),"",IF(AND(B1489&lt;&gt;"",COUNTIF(tx_ID,B1489)&gt;1),"Duplicate transaction ID",IF(AND(L1489&lt;0,D1489&lt;&gt;"Adjustment"),"Negative amount — check this entry",IF(AND(D1489="Customer Payment",G1489=""),"Add the customer",IF(AND(D1489="Customer Payment",OR(J1489="",COUNTIF(ar_No,J1489&amp;"")=0)),"Invoice # in Reference not found on AR sheet",IF(AND(D1489="Bill Payment",H1489=""),"Add the vendor",IF(AND(D1489="Bill Payment",OR(J1489="",COUNTIFS(ap_No,J1489&amp;"",ap_Party,H1489&amp;"")=0)),"Bill # + vendor not found on AP sheet",IF(AND(ISNUMBER(M1489),N(M1489)&lt;&gt;0,W1489=0),"Tax ignored (tax tracking off, or not allowed for this type)",IF(V1489=K1489&amp;"","Same account on both sides",IF(AND(ISNUMBER(StartDate),C1489&lt;StartDate),"Date is before the accounting start date",IF(AND(D1489&lt;&gt;"Adjustment",IFERROR(INDEX(coa_Pay,MATCH(K1489&amp;"",coa_Name,0)),"")&lt;&gt;"Yes"),"Paid From / Deposited To is not a payment account","")))))))))))</f>
        <v/>
      </c>
      <c r="Z1489" s="67">
        <f>IF(AND(T1489=0,X1489=""),1,0)</f>
        <v/>
      </c>
      <c r="AA1489" s="68">
        <f>IF(Z1489=1,IF(U1489="In",L1489,L1489-W1489),0)</f>
        <v/>
      </c>
      <c r="AB1489" s="68">
        <f>IF(Z1489=1,IF(U1489="In",L1489-W1489,L1489),0)</f>
        <v/>
      </c>
      <c r="AC1489" s="68">
        <f>IF(AND(Z1489=1,U1489="Out"),W1489,0)</f>
        <v/>
      </c>
      <c r="AD1489" s="68">
        <f>IF(AND(Z1489=1,U1489="In"),W1489,0)</f>
        <v/>
      </c>
    </row>
    <row r="1490">
      <c r="B1490" s="62" t="inlineStr">
        <is>
          <t>TX-1484</t>
        </is>
      </c>
      <c r="C1490" s="63" t="n"/>
      <c r="D1490" s="62" t="n"/>
      <c r="E1490" s="62" t="n"/>
      <c r="F1490" s="62" t="n"/>
      <c r="G1490" s="62" t="n"/>
      <c r="H1490" s="62" t="n"/>
      <c r="I1490" s="62" t="n"/>
      <c r="J1490" s="62" t="n"/>
      <c r="K1490" s="62" t="n"/>
      <c r="L1490" s="64" t="n"/>
      <c r="M1490" s="64" t="n"/>
      <c r="N1490" s="62" t="n"/>
      <c r="O1490" s="65">
        <f>IF(Z1490=1,L1490-W1490,"")</f>
        <v/>
      </c>
      <c r="P1490" s="66">
        <f>IF(V1490="","",IFERROR(INDEX(coa_Type,MATCH(V1490,coa_Name,0)),""))</f>
        <v/>
      </c>
      <c r="Q1490" s="66">
        <f>IF(Z1490=1,IF(U1490="In",K1490&amp;"",V1490),"")</f>
        <v/>
      </c>
      <c r="R1490" s="66">
        <f>IF(Z1490=1,IF(U1490="In",V1490,K1490&amp;""),"")</f>
        <v/>
      </c>
      <c r="S1490" s="66">
        <f>IF(X1490&lt;&gt;"","⛔ "&amp;X1490&amp;" — not posted",IF(Y1490&lt;&gt;"","⚠ "&amp;Y1490,IF(Z1490=1,"✓ OK","")))</f>
        <v/>
      </c>
      <c r="T1490" s="67">
        <f>IF(AND(C1490="",D1490="",E1490="",L1490="",K1490=""),1,0)</f>
        <v/>
      </c>
      <c r="U1490" s="67">
        <f>IFERROR(INDEX(tt_Dir,MATCH(D1490,tt_Type,0)),"")</f>
        <v/>
      </c>
      <c r="V1490" s="67">
        <f>IF(D1490="","",IFERROR(IF(INDEX(tt_Other,MATCH(D1490,tt_Type,0))="",E1490&amp;"",INDEX(tt_Other,MATCH(D1490,tt_Type,0))),""))</f>
        <v/>
      </c>
      <c r="W1490" s="68">
        <f>IF(OR(TaxOn&lt;&gt;"Yes",NOT(ISNUMBER(M1490))),0,IF(IFERROR(INDEX(tt_Tax,MATCH(D1490,tt_Type,0)),"No")="Yes",M1490,0))</f>
        <v/>
      </c>
      <c r="X1490" s="67">
        <f>IF(T1490=1,"",IF(C1490="","Missing transaction date",IF(NOT(ISNUMBER(C1490)),"Invalid date",IF(OR(C1490&lt;DATE(2000,1,1),C1490&gt;DATE(2099,12,31)),"Invalid date",IF(D1490="","Select a type",IF(U1490="","Unknown type: "&amp;D1490,IF(V1490="","Select an account (Category)",IF(ISNA(MATCH(V1490,coa_Name,0)),"Unknown account: "&amp;V1490,IF(K1490="","Select Paid From / Deposited To",IF(ISNA(MATCH(K1490,coa_Name,0)),"Unknown account: "&amp;K1490,IF(NOT(ISNUMBER(L1490)),"Enter an amount",IF(L1490=0,"Enter an amount",IF(ABS(W1490)&gt;ABS(L1490),"Tax is larger than the amount","")))))))))))))</f>
        <v/>
      </c>
      <c r="Y1490" s="67">
        <f>IF(OR(T1490=1,X1490&lt;&gt;""),"",IF(AND(B1490&lt;&gt;"",COUNTIF(tx_ID,B1490)&gt;1),"Duplicate transaction ID",IF(AND(L1490&lt;0,D1490&lt;&gt;"Adjustment"),"Negative amount — check this entry",IF(AND(D1490="Customer Payment",G1490=""),"Add the customer",IF(AND(D1490="Customer Payment",OR(J1490="",COUNTIF(ar_No,J1490&amp;"")=0)),"Invoice # in Reference not found on AR sheet",IF(AND(D1490="Bill Payment",H1490=""),"Add the vendor",IF(AND(D1490="Bill Payment",OR(J1490="",COUNTIFS(ap_No,J1490&amp;"",ap_Party,H1490&amp;"")=0)),"Bill # + vendor not found on AP sheet",IF(AND(ISNUMBER(M1490),N(M1490)&lt;&gt;0,W1490=0),"Tax ignored (tax tracking off, or not allowed for this type)",IF(V1490=K1490&amp;"","Same account on both sides",IF(AND(ISNUMBER(StartDate),C1490&lt;StartDate),"Date is before the accounting start date",IF(AND(D1490&lt;&gt;"Adjustment",IFERROR(INDEX(coa_Pay,MATCH(K1490&amp;"",coa_Name,0)),"")&lt;&gt;"Yes"),"Paid From / Deposited To is not a payment account","")))))))))))</f>
        <v/>
      </c>
      <c r="Z1490" s="67">
        <f>IF(AND(T1490=0,X1490=""),1,0)</f>
        <v/>
      </c>
      <c r="AA1490" s="68">
        <f>IF(Z1490=1,IF(U1490="In",L1490,L1490-W1490),0)</f>
        <v/>
      </c>
      <c r="AB1490" s="68">
        <f>IF(Z1490=1,IF(U1490="In",L1490-W1490,L1490),0)</f>
        <v/>
      </c>
      <c r="AC1490" s="68">
        <f>IF(AND(Z1490=1,U1490="Out"),W1490,0)</f>
        <v/>
      </c>
      <c r="AD1490" s="68">
        <f>IF(AND(Z1490=1,U1490="In"),W1490,0)</f>
        <v/>
      </c>
    </row>
    <row r="1491">
      <c r="B1491" s="62" t="inlineStr">
        <is>
          <t>TX-1485</t>
        </is>
      </c>
      <c r="C1491" s="63" t="n"/>
      <c r="D1491" s="62" t="n"/>
      <c r="E1491" s="62" t="n"/>
      <c r="F1491" s="62" t="n"/>
      <c r="G1491" s="62" t="n"/>
      <c r="H1491" s="62" t="n"/>
      <c r="I1491" s="62" t="n"/>
      <c r="J1491" s="62" t="n"/>
      <c r="K1491" s="62" t="n"/>
      <c r="L1491" s="64" t="n"/>
      <c r="M1491" s="64" t="n"/>
      <c r="N1491" s="62" t="n"/>
      <c r="O1491" s="65">
        <f>IF(Z1491=1,L1491-W1491,"")</f>
        <v/>
      </c>
      <c r="P1491" s="66">
        <f>IF(V1491="","",IFERROR(INDEX(coa_Type,MATCH(V1491,coa_Name,0)),""))</f>
        <v/>
      </c>
      <c r="Q1491" s="66">
        <f>IF(Z1491=1,IF(U1491="In",K1491&amp;"",V1491),"")</f>
        <v/>
      </c>
      <c r="R1491" s="66">
        <f>IF(Z1491=1,IF(U1491="In",V1491,K1491&amp;""),"")</f>
        <v/>
      </c>
      <c r="S1491" s="66">
        <f>IF(X1491&lt;&gt;"","⛔ "&amp;X1491&amp;" — not posted",IF(Y1491&lt;&gt;"","⚠ "&amp;Y1491,IF(Z1491=1,"✓ OK","")))</f>
        <v/>
      </c>
      <c r="T1491" s="67">
        <f>IF(AND(C1491="",D1491="",E1491="",L1491="",K1491=""),1,0)</f>
        <v/>
      </c>
      <c r="U1491" s="67">
        <f>IFERROR(INDEX(tt_Dir,MATCH(D1491,tt_Type,0)),"")</f>
        <v/>
      </c>
      <c r="V1491" s="67">
        <f>IF(D1491="","",IFERROR(IF(INDEX(tt_Other,MATCH(D1491,tt_Type,0))="",E1491&amp;"",INDEX(tt_Other,MATCH(D1491,tt_Type,0))),""))</f>
        <v/>
      </c>
      <c r="W1491" s="68">
        <f>IF(OR(TaxOn&lt;&gt;"Yes",NOT(ISNUMBER(M1491))),0,IF(IFERROR(INDEX(tt_Tax,MATCH(D1491,tt_Type,0)),"No")="Yes",M1491,0))</f>
        <v/>
      </c>
      <c r="X1491" s="67">
        <f>IF(T1491=1,"",IF(C1491="","Missing transaction date",IF(NOT(ISNUMBER(C1491)),"Invalid date",IF(OR(C1491&lt;DATE(2000,1,1),C1491&gt;DATE(2099,12,31)),"Invalid date",IF(D1491="","Select a type",IF(U1491="","Unknown type: "&amp;D1491,IF(V1491="","Select an account (Category)",IF(ISNA(MATCH(V1491,coa_Name,0)),"Unknown account: "&amp;V1491,IF(K1491="","Select Paid From / Deposited To",IF(ISNA(MATCH(K1491,coa_Name,0)),"Unknown account: "&amp;K1491,IF(NOT(ISNUMBER(L1491)),"Enter an amount",IF(L1491=0,"Enter an amount",IF(ABS(W1491)&gt;ABS(L1491),"Tax is larger than the amount","")))))))))))))</f>
        <v/>
      </c>
      <c r="Y1491" s="67">
        <f>IF(OR(T1491=1,X1491&lt;&gt;""),"",IF(AND(B1491&lt;&gt;"",COUNTIF(tx_ID,B1491)&gt;1),"Duplicate transaction ID",IF(AND(L1491&lt;0,D1491&lt;&gt;"Adjustment"),"Negative amount — check this entry",IF(AND(D1491="Customer Payment",G1491=""),"Add the customer",IF(AND(D1491="Customer Payment",OR(J1491="",COUNTIF(ar_No,J1491&amp;"")=0)),"Invoice # in Reference not found on AR sheet",IF(AND(D1491="Bill Payment",H1491=""),"Add the vendor",IF(AND(D1491="Bill Payment",OR(J1491="",COUNTIFS(ap_No,J1491&amp;"",ap_Party,H1491&amp;"")=0)),"Bill # + vendor not found on AP sheet",IF(AND(ISNUMBER(M1491),N(M1491)&lt;&gt;0,W1491=0),"Tax ignored (tax tracking off, or not allowed for this type)",IF(V1491=K1491&amp;"","Same account on both sides",IF(AND(ISNUMBER(StartDate),C1491&lt;StartDate),"Date is before the accounting start date",IF(AND(D1491&lt;&gt;"Adjustment",IFERROR(INDEX(coa_Pay,MATCH(K1491&amp;"",coa_Name,0)),"")&lt;&gt;"Yes"),"Paid From / Deposited To is not a payment account","")))))))))))</f>
        <v/>
      </c>
      <c r="Z1491" s="67">
        <f>IF(AND(T1491=0,X1491=""),1,0)</f>
        <v/>
      </c>
      <c r="AA1491" s="68">
        <f>IF(Z1491=1,IF(U1491="In",L1491,L1491-W1491),0)</f>
        <v/>
      </c>
      <c r="AB1491" s="68">
        <f>IF(Z1491=1,IF(U1491="In",L1491-W1491,L1491),0)</f>
        <v/>
      </c>
      <c r="AC1491" s="68">
        <f>IF(AND(Z1491=1,U1491="Out"),W1491,0)</f>
        <v/>
      </c>
      <c r="AD1491" s="68">
        <f>IF(AND(Z1491=1,U1491="In"),W1491,0)</f>
        <v/>
      </c>
    </row>
    <row r="1492">
      <c r="B1492" s="62" t="inlineStr">
        <is>
          <t>TX-1486</t>
        </is>
      </c>
      <c r="C1492" s="63" t="n"/>
      <c r="D1492" s="62" t="n"/>
      <c r="E1492" s="62" t="n"/>
      <c r="F1492" s="62" t="n"/>
      <c r="G1492" s="62" t="n"/>
      <c r="H1492" s="62" t="n"/>
      <c r="I1492" s="62" t="n"/>
      <c r="J1492" s="62" t="n"/>
      <c r="K1492" s="62" t="n"/>
      <c r="L1492" s="64" t="n"/>
      <c r="M1492" s="64" t="n"/>
      <c r="N1492" s="62" t="n"/>
      <c r="O1492" s="65">
        <f>IF(Z1492=1,L1492-W1492,"")</f>
        <v/>
      </c>
      <c r="P1492" s="66">
        <f>IF(V1492="","",IFERROR(INDEX(coa_Type,MATCH(V1492,coa_Name,0)),""))</f>
        <v/>
      </c>
      <c r="Q1492" s="66">
        <f>IF(Z1492=1,IF(U1492="In",K1492&amp;"",V1492),"")</f>
        <v/>
      </c>
      <c r="R1492" s="66">
        <f>IF(Z1492=1,IF(U1492="In",V1492,K1492&amp;""),"")</f>
        <v/>
      </c>
      <c r="S1492" s="66">
        <f>IF(X1492&lt;&gt;"","⛔ "&amp;X1492&amp;" — not posted",IF(Y1492&lt;&gt;"","⚠ "&amp;Y1492,IF(Z1492=1,"✓ OK","")))</f>
        <v/>
      </c>
      <c r="T1492" s="67">
        <f>IF(AND(C1492="",D1492="",E1492="",L1492="",K1492=""),1,0)</f>
        <v/>
      </c>
      <c r="U1492" s="67">
        <f>IFERROR(INDEX(tt_Dir,MATCH(D1492,tt_Type,0)),"")</f>
        <v/>
      </c>
      <c r="V1492" s="67">
        <f>IF(D1492="","",IFERROR(IF(INDEX(tt_Other,MATCH(D1492,tt_Type,0))="",E1492&amp;"",INDEX(tt_Other,MATCH(D1492,tt_Type,0))),""))</f>
        <v/>
      </c>
      <c r="W1492" s="68">
        <f>IF(OR(TaxOn&lt;&gt;"Yes",NOT(ISNUMBER(M1492))),0,IF(IFERROR(INDEX(tt_Tax,MATCH(D1492,tt_Type,0)),"No")="Yes",M1492,0))</f>
        <v/>
      </c>
      <c r="X1492" s="67">
        <f>IF(T1492=1,"",IF(C1492="","Missing transaction date",IF(NOT(ISNUMBER(C1492)),"Invalid date",IF(OR(C1492&lt;DATE(2000,1,1),C1492&gt;DATE(2099,12,31)),"Invalid date",IF(D1492="","Select a type",IF(U1492="","Unknown type: "&amp;D1492,IF(V1492="","Select an account (Category)",IF(ISNA(MATCH(V1492,coa_Name,0)),"Unknown account: "&amp;V1492,IF(K1492="","Select Paid From / Deposited To",IF(ISNA(MATCH(K1492,coa_Name,0)),"Unknown account: "&amp;K1492,IF(NOT(ISNUMBER(L1492)),"Enter an amount",IF(L1492=0,"Enter an amount",IF(ABS(W1492)&gt;ABS(L1492),"Tax is larger than the amount","")))))))))))))</f>
        <v/>
      </c>
      <c r="Y1492" s="67">
        <f>IF(OR(T1492=1,X1492&lt;&gt;""),"",IF(AND(B1492&lt;&gt;"",COUNTIF(tx_ID,B1492)&gt;1),"Duplicate transaction ID",IF(AND(L1492&lt;0,D1492&lt;&gt;"Adjustment"),"Negative amount — check this entry",IF(AND(D1492="Customer Payment",G1492=""),"Add the customer",IF(AND(D1492="Customer Payment",OR(J1492="",COUNTIF(ar_No,J1492&amp;"")=0)),"Invoice # in Reference not found on AR sheet",IF(AND(D1492="Bill Payment",H1492=""),"Add the vendor",IF(AND(D1492="Bill Payment",OR(J1492="",COUNTIFS(ap_No,J1492&amp;"",ap_Party,H1492&amp;"")=0)),"Bill # + vendor not found on AP sheet",IF(AND(ISNUMBER(M1492),N(M1492)&lt;&gt;0,W1492=0),"Tax ignored (tax tracking off, or not allowed for this type)",IF(V1492=K1492&amp;"","Same account on both sides",IF(AND(ISNUMBER(StartDate),C1492&lt;StartDate),"Date is before the accounting start date",IF(AND(D1492&lt;&gt;"Adjustment",IFERROR(INDEX(coa_Pay,MATCH(K1492&amp;"",coa_Name,0)),"")&lt;&gt;"Yes"),"Paid From / Deposited To is not a payment account","")))))))))))</f>
        <v/>
      </c>
      <c r="Z1492" s="67">
        <f>IF(AND(T1492=0,X1492=""),1,0)</f>
        <v/>
      </c>
      <c r="AA1492" s="68">
        <f>IF(Z1492=1,IF(U1492="In",L1492,L1492-W1492),0)</f>
        <v/>
      </c>
      <c r="AB1492" s="68">
        <f>IF(Z1492=1,IF(U1492="In",L1492-W1492,L1492),0)</f>
        <v/>
      </c>
      <c r="AC1492" s="68">
        <f>IF(AND(Z1492=1,U1492="Out"),W1492,0)</f>
        <v/>
      </c>
      <c r="AD1492" s="68">
        <f>IF(AND(Z1492=1,U1492="In"),W1492,0)</f>
        <v/>
      </c>
    </row>
    <row r="1493">
      <c r="B1493" s="62" t="inlineStr">
        <is>
          <t>TX-1487</t>
        </is>
      </c>
      <c r="C1493" s="63" t="n"/>
      <c r="D1493" s="62" t="n"/>
      <c r="E1493" s="62" t="n"/>
      <c r="F1493" s="62" t="n"/>
      <c r="G1493" s="62" t="n"/>
      <c r="H1493" s="62" t="n"/>
      <c r="I1493" s="62" t="n"/>
      <c r="J1493" s="62" t="n"/>
      <c r="K1493" s="62" t="n"/>
      <c r="L1493" s="64" t="n"/>
      <c r="M1493" s="64" t="n"/>
      <c r="N1493" s="62" t="n"/>
      <c r="O1493" s="65">
        <f>IF(Z1493=1,L1493-W1493,"")</f>
        <v/>
      </c>
      <c r="P1493" s="66">
        <f>IF(V1493="","",IFERROR(INDEX(coa_Type,MATCH(V1493,coa_Name,0)),""))</f>
        <v/>
      </c>
      <c r="Q1493" s="66">
        <f>IF(Z1493=1,IF(U1493="In",K1493&amp;"",V1493),"")</f>
        <v/>
      </c>
      <c r="R1493" s="66">
        <f>IF(Z1493=1,IF(U1493="In",V1493,K1493&amp;""),"")</f>
        <v/>
      </c>
      <c r="S1493" s="66">
        <f>IF(X1493&lt;&gt;"","⛔ "&amp;X1493&amp;" — not posted",IF(Y1493&lt;&gt;"","⚠ "&amp;Y1493,IF(Z1493=1,"✓ OK","")))</f>
        <v/>
      </c>
      <c r="T1493" s="67">
        <f>IF(AND(C1493="",D1493="",E1493="",L1493="",K1493=""),1,0)</f>
        <v/>
      </c>
      <c r="U1493" s="67">
        <f>IFERROR(INDEX(tt_Dir,MATCH(D1493,tt_Type,0)),"")</f>
        <v/>
      </c>
      <c r="V1493" s="67">
        <f>IF(D1493="","",IFERROR(IF(INDEX(tt_Other,MATCH(D1493,tt_Type,0))="",E1493&amp;"",INDEX(tt_Other,MATCH(D1493,tt_Type,0))),""))</f>
        <v/>
      </c>
      <c r="W1493" s="68">
        <f>IF(OR(TaxOn&lt;&gt;"Yes",NOT(ISNUMBER(M1493))),0,IF(IFERROR(INDEX(tt_Tax,MATCH(D1493,tt_Type,0)),"No")="Yes",M1493,0))</f>
        <v/>
      </c>
      <c r="X1493" s="67">
        <f>IF(T1493=1,"",IF(C1493="","Missing transaction date",IF(NOT(ISNUMBER(C1493)),"Invalid date",IF(OR(C1493&lt;DATE(2000,1,1),C1493&gt;DATE(2099,12,31)),"Invalid date",IF(D1493="","Select a type",IF(U1493="","Unknown type: "&amp;D1493,IF(V1493="","Select an account (Category)",IF(ISNA(MATCH(V1493,coa_Name,0)),"Unknown account: "&amp;V1493,IF(K1493="","Select Paid From / Deposited To",IF(ISNA(MATCH(K1493,coa_Name,0)),"Unknown account: "&amp;K1493,IF(NOT(ISNUMBER(L1493)),"Enter an amount",IF(L1493=0,"Enter an amount",IF(ABS(W1493)&gt;ABS(L1493),"Tax is larger than the amount","")))))))))))))</f>
        <v/>
      </c>
      <c r="Y1493" s="67">
        <f>IF(OR(T1493=1,X1493&lt;&gt;""),"",IF(AND(B1493&lt;&gt;"",COUNTIF(tx_ID,B1493)&gt;1),"Duplicate transaction ID",IF(AND(L1493&lt;0,D1493&lt;&gt;"Adjustment"),"Negative amount — check this entry",IF(AND(D1493="Customer Payment",G1493=""),"Add the customer",IF(AND(D1493="Customer Payment",OR(J1493="",COUNTIF(ar_No,J1493&amp;"")=0)),"Invoice # in Reference not found on AR sheet",IF(AND(D1493="Bill Payment",H1493=""),"Add the vendor",IF(AND(D1493="Bill Payment",OR(J1493="",COUNTIFS(ap_No,J1493&amp;"",ap_Party,H1493&amp;"")=0)),"Bill # + vendor not found on AP sheet",IF(AND(ISNUMBER(M1493),N(M1493)&lt;&gt;0,W1493=0),"Tax ignored (tax tracking off, or not allowed for this type)",IF(V1493=K1493&amp;"","Same account on both sides",IF(AND(ISNUMBER(StartDate),C1493&lt;StartDate),"Date is before the accounting start date",IF(AND(D1493&lt;&gt;"Adjustment",IFERROR(INDEX(coa_Pay,MATCH(K1493&amp;"",coa_Name,0)),"")&lt;&gt;"Yes"),"Paid From / Deposited To is not a payment account","")))))))))))</f>
        <v/>
      </c>
      <c r="Z1493" s="67">
        <f>IF(AND(T1493=0,X1493=""),1,0)</f>
        <v/>
      </c>
      <c r="AA1493" s="68">
        <f>IF(Z1493=1,IF(U1493="In",L1493,L1493-W1493),0)</f>
        <v/>
      </c>
      <c r="AB1493" s="68">
        <f>IF(Z1493=1,IF(U1493="In",L1493-W1493,L1493),0)</f>
        <v/>
      </c>
      <c r="AC1493" s="68">
        <f>IF(AND(Z1493=1,U1493="Out"),W1493,0)</f>
        <v/>
      </c>
      <c r="AD1493" s="68">
        <f>IF(AND(Z1493=1,U1493="In"),W1493,0)</f>
        <v/>
      </c>
    </row>
    <row r="1494">
      <c r="B1494" s="62" t="inlineStr">
        <is>
          <t>TX-1488</t>
        </is>
      </c>
      <c r="C1494" s="63" t="n"/>
      <c r="D1494" s="62" t="n"/>
      <c r="E1494" s="62" t="n"/>
      <c r="F1494" s="62" t="n"/>
      <c r="G1494" s="62" t="n"/>
      <c r="H1494" s="62" t="n"/>
      <c r="I1494" s="62" t="n"/>
      <c r="J1494" s="62" t="n"/>
      <c r="K1494" s="62" t="n"/>
      <c r="L1494" s="64" t="n"/>
      <c r="M1494" s="64" t="n"/>
      <c r="N1494" s="62" t="n"/>
      <c r="O1494" s="65">
        <f>IF(Z1494=1,L1494-W1494,"")</f>
        <v/>
      </c>
      <c r="P1494" s="66">
        <f>IF(V1494="","",IFERROR(INDEX(coa_Type,MATCH(V1494,coa_Name,0)),""))</f>
        <v/>
      </c>
      <c r="Q1494" s="66">
        <f>IF(Z1494=1,IF(U1494="In",K1494&amp;"",V1494),"")</f>
        <v/>
      </c>
      <c r="R1494" s="66">
        <f>IF(Z1494=1,IF(U1494="In",V1494,K1494&amp;""),"")</f>
        <v/>
      </c>
      <c r="S1494" s="66">
        <f>IF(X1494&lt;&gt;"","⛔ "&amp;X1494&amp;" — not posted",IF(Y1494&lt;&gt;"","⚠ "&amp;Y1494,IF(Z1494=1,"✓ OK","")))</f>
        <v/>
      </c>
      <c r="T1494" s="67">
        <f>IF(AND(C1494="",D1494="",E1494="",L1494="",K1494=""),1,0)</f>
        <v/>
      </c>
      <c r="U1494" s="67">
        <f>IFERROR(INDEX(tt_Dir,MATCH(D1494,tt_Type,0)),"")</f>
        <v/>
      </c>
      <c r="V1494" s="67">
        <f>IF(D1494="","",IFERROR(IF(INDEX(tt_Other,MATCH(D1494,tt_Type,0))="",E1494&amp;"",INDEX(tt_Other,MATCH(D1494,tt_Type,0))),""))</f>
        <v/>
      </c>
      <c r="W1494" s="68">
        <f>IF(OR(TaxOn&lt;&gt;"Yes",NOT(ISNUMBER(M1494))),0,IF(IFERROR(INDEX(tt_Tax,MATCH(D1494,tt_Type,0)),"No")="Yes",M1494,0))</f>
        <v/>
      </c>
      <c r="X1494" s="67">
        <f>IF(T1494=1,"",IF(C1494="","Missing transaction date",IF(NOT(ISNUMBER(C1494)),"Invalid date",IF(OR(C1494&lt;DATE(2000,1,1),C1494&gt;DATE(2099,12,31)),"Invalid date",IF(D1494="","Select a type",IF(U1494="","Unknown type: "&amp;D1494,IF(V1494="","Select an account (Category)",IF(ISNA(MATCH(V1494,coa_Name,0)),"Unknown account: "&amp;V1494,IF(K1494="","Select Paid From / Deposited To",IF(ISNA(MATCH(K1494,coa_Name,0)),"Unknown account: "&amp;K1494,IF(NOT(ISNUMBER(L1494)),"Enter an amount",IF(L1494=0,"Enter an amount",IF(ABS(W1494)&gt;ABS(L1494),"Tax is larger than the amount","")))))))))))))</f>
        <v/>
      </c>
      <c r="Y1494" s="67">
        <f>IF(OR(T1494=1,X1494&lt;&gt;""),"",IF(AND(B1494&lt;&gt;"",COUNTIF(tx_ID,B1494)&gt;1),"Duplicate transaction ID",IF(AND(L1494&lt;0,D1494&lt;&gt;"Adjustment"),"Negative amount — check this entry",IF(AND(D1494="Customer Payment",G1494=""),"Add the customer",IF(AND(D1494="Customer Payment",OR(J1494="",COUNTIF(ar_No,J1494&amp;"")=0)),"Invoice # in Reference not found on AR sheet",IF(AND(D1494="Bill Payment",H1494=""),"Add the vendor",IF(AND(D1494="Bill Payment",OR(J1494="",COUNTIFS(ap_No,J1494&amp;"",ap_Party,H1494&amp;"")=0)),"Bill # + vendor not found on AP sheet",IF(AND(ISNUMBER(M1494),N(M1494)&lt;&gt;0,W1494=0),"Tax ignored (tax tracking off, or not allowed for this type)",IF(V1494=K1494&amp;"","Same account on both sides",IF(AND(ISNUMBER(StartDate),C1494&lt;StartDate),"Date is before the accounting start date",IF(AND(D1494&lt;&gt;"Adjustment",IFERROR(INDEX(coa_Pay,MATCH(K1494&amp;"",coa_Name,0)),"")&lt;&gt;"Yes"),"Paid From / Deposited To is not a payment account","")))))))))))</f>
        <v/>
      </c>
      <c r="Z1494" s="67">
        <f>IF(AND(T1494=0,X1494=""),1,0)</f>
        <v/>
      </c>
      <c r="AA1494" s="68">
        <f>IF(Z1494=1,IF(U1494="In",L1494,L1494-W1494),0)</f>
        <v/>
      </c>
      <c r="AB1494" s="68">
        <f>IF(Z1494=1,IF(U1494="In",L1494-W1494,L1494),0)</f>
        <v/>
      </c>
      <c r="AC1494" s="68">
        <f>IF(AND(Z1494=1,U1494="Out"),W1494,0)</f>
        <v/>
      </c>
      <c r="AD1494" s="68">
        <f>IF(AND(Z1494=1,U1494="In"),W1494,0)</f>
        <v/>
      </c>
    </row>
    <row r="1495">
      <c r="B1495" s="62" t="inlineStr">
        <is>
          <t>TX-1489</t>
        </is>
      </c>
      <c r="C1495" s="63" t="n"/>
      <c r="D1495" s="62" t="n"/>
      <c r="E1495" s="62" t="n"/>
      <c r="F1495" s="62" t="n"/>
      <c r="G1495" s="62" t="n"/>
      <c r="H1495" s="62" t="n"/>
      <c r="I1495" s="62" t="n"/>
      <c r="J1495" s="62" t="n"/>
      <c r="K1495" s="62" t="n"/>
      <c r="L1495" s="64" t="n"/>
      <c r="M1495" s="64" t="n"/>
      <c r="N1495" s="62" t="n"/>
      <c r="O1495" s="65">
        <f>IF(Z1495=1,L1495-W1495,"")</f>
        <v/>
      </c>
      <c r="P1495" s="66">
        <f>IF(V1495="","",IFERROR(INDEX(coa_Type,MATCH(V1495,coa_Name,0)),""))</f>
        <v/>
      </c>
      <c r="Q1495" s="66">
        <f>IF(Z1495=1,IF(U1495="In",K1495&amp;"",V1495),"")</f>
        <v/>
      </c>
      <c r="R1495" s="66">
        <f>IF(Z1495=1,IF(U1495="In",V1495,K1495&amp;""),"")</f>
        <v/>
      </c>
      <c r="S1495" s="66">
        <f>IF(X1495&lt;&gt;"","⛔ "&amp;X1495&amp;" — not posted",IF(Y1495&lt;&gt;"","⚠ "&amp;Y1495,IF(Z1495=1,"✓ OK","")))</f>
        <v/>
      </c>
      <c r="T1495" s="67">
        <f>IF(AND(C1495="",D1495="",E1495="",L1495="",K1495=""),1,0)</f>
        <v/>
      </c>
      <c r="U1495" s="67">
        <f>IFERROR(INDEX(tt_Dir,MATCH(D1495,tt_Type,0)),"")</f>
        <v/>
      </c>
      <c r="V1495" s="67">
        <f>IF(D1495="","",IFERROR(IF(INDEX(tt_Other,MATCH(D1495,tt_Type,0))="",E1495&amp;"",INDEX(tt_Other,MATCH(D1495,tt_Type,0))),""))</f>
        <v/>
      </c>
      <c r="W1495" s="68">
        <f>IF(OR(TaxOn&lt;&gt;"Yes",NOT(ISNUMBER(M1495))),0,IF(IFERROR(INDEX(tt_Tax,MATCH(D1495,tt_Type,0)),"No")="Yes",M1495,0))</f>
        <v/>
      </c>
      <c r="X1495" s="67">
        <f>IF(T1495=1,"",IF(C1495="","Missing transaction date",IF(NOT(ISNUMBER(C1495)),"Invalid date",IF(OR(C1495&lt;DATE(2000,1,1),C1495&gt;DATE(2099,12,31)),"Invalid date",IF(D1495="","Select a type",IF(U1495="","Unknown type: "&amp;D1495,IF(V1495="","Select an account (Category)",IF(ISNA(MATCH(V1495,coa_Name,0)),"Unknown account: "&amp;V1495,IF(K1495="","Select Paid From / Deposited To",IF(ISNA(MATCH(K1495,coa_Name,0)),"Unknown account: "&amp;K1495,IF(NOT(ISNUMBER(L1495)),"Enter an amount",IF(L1495=0,"Enter an amount",IF(ABS(W1495)&gt;ABS(L1495),"Tax is larger than the amount","")))))))))))))</f>
        <v/>
      </c>
      <c r="Y1495" s="67">
        <f>IF(OR(T1495=1,X1495&lt;&gt;""),"",IF(AND(B1495&lt;&gt;"",COUNTIF(tx_ID,B1495)&gt;1),"Duplicate transaction ID",IF(AND(L1495&lt;0,D1495&lt;&gt;"Adjustment"),"Negative amount — check this entry",IF(AND(D1495="Customer Payment",G1495=""),"Add the customer",IF(AND(D1495="Customer Payment",OR(J1495="",COUNTIF(ar_No,J1495&amp;"")=0)),"Invoice # in Reference not found on AR sheet",IF(AND(D1495="Bill Payment",H1495=""),"Add the vendor",IF(AND(D1495="Bill Payment",OR(J1495="",COUNTIFS(ap_No,J1495&amp;"",ap_Party,H1495&amp;"")=0)),"Bill # + vendor not found on AP sheet",IF(AND(ISNUMBER(M1495),N(M1495)&lt;&gt;0,W1495=0),"Tax ignored (tax tracking off, or not allowed for this type)",IF(V1495=K1495&amp;"","Same account on both sides",IF(AND(ISNUMBER(StartDate),C1495&lt;StartDate),"Date is before the accounting start date",IF(AND(D1495&lt;&gt;"Adjustment",IFERROR(INDEX(coa_Pay,MATCH(K1495&amp;"",coa_Name,0)),"")&lt;&gt;"Yes"),"Paid From / Deposited To is not a payment account","")))))))))))</f>
        <v/>
      </c>
      <c r="Z1495" s="67">
        <f>IF(AND(T1495=0,X1495=""),1,0)</f>
        <v/>
      </c>
      <c r="AA1495" s="68">
        <f>IF(Z1495=1,IF(U1495="In",L1495,L1495-W1495),0)</f>
        <v/>
      </c>
      <c r="AB1495" s="68">
        <f>IF(Z1495=1,IF(U1495="In",L1495-W1495,L1495),0)</f>
        <v/>
      </c>
      <c r="AC1495" s="68">
        <f>IF(AND(Z1495=1,U1495="Out"),W1495,0)</f>
        <v/>
      </c>
      <c r="AD1495" s="68">
        <f>IF(AND(Z1495=1,U1495="In"),W1495,0)</f>
        <v/>
      </c>
    </row>
    <row r="1496">
      <c r="B1496" s="62" t="inlineStr">
        <is>
          <t>TX-1490</t>
        </is>
      </c>
      <c r="C1496" s="63" t="n"/>
      <c r="D1496" s="62" t="n"/>
      <c r="E1496" s="62" t="n"/>
      <c r="F1496" s="62" t="n"/>
      <c r="G1496" s="62" t="n"/>
      <c r="H1496" s="62" t="n"/>
      <c r="I1496" s="62" t="n"/>
      <c r="J1496" s="62" t="n"/>
      <c r="K1496" s="62" t="n"/>
      <c r="L1496" s="64" t="n"/>
      <c r="M1496" s="64" t="n"/>
      <c r="N1496" s="62" t="n"/>
      <c r="O1496" s="65">
        <f>IF(Z1496=1,L1496-W1496,"")</f>
        <v/>
      </c>
      <c r="P1496" s="66">
        <f>IF(V1496="","",IFERROR(INDEX(coa_Type,MATCH(V1496,coa_Name,0)),""))</f>
        <v/>
      </c>
      <c r="Q1496" s="66">
        <f>IF(Z1496=1,IF(U1496="In",K1496&amp;"",V1496),"")</f>
        <v/>
      </c>
      <c r="R1496" s="66">
        <f>IF(Z1496=1,IF(U1496="In",V1496,K1496&amp;""),"")</f>
        <v/>
      </c>
      <c r="S1496" s="66">
        <f>IF(X1496&lt;&gt;"","⛔ "&amp;X1496&amp;" — not posted",IF(Y1496&lt;&gt;"","⚠ "&amp;Y1496,IF(Z1496=1,"✓ OK","")))</f>
        <v/>
      </c>
      <c r="T1496" s="67">
        <f>IF(AND(C1496="",D1496="",E1496="",L1496="",K1496=""),1,0)</f>
        <v/>
      </c>
      <c r="U1496" s="67">
        <f>IFERROR(INDEX(tt_Dir,MATCH(D1496,tt_Type,0)),"")</f>
        <v/>
      </c>
      <c r="V1496" s="67">
        <f>IF(D1496="","",IFERROR(IF(INDEX(tt_Other,MATCH(D1496,tt_Type,0))="",E1496&amp;"",INDEX(tt_Other,MATCH(D1496,tt_Type,0))),""))</f>
        <v/>
      </c>
      <c r="W1496" s="68">
        <f>IF(OR(TaxOn&lt;&gt;"Yes",NOT(ISNUMBER(M1496))),0,IF(IFERROR(INDEX(tt_Tax,MATCH(D1496,tt_Type,0)),"No")="Yes",M1496,0))</f>
        <v/>
      </c>
      <c r="X1496" s="67">
        <f>IF(T1496=1,"",IF(C1496="","Missing transaction date",IF(NOT(ISNUMBER(C1496)),"Invalid date",IF(OR(C1496&lt;DATE(2000,1,1),C1496&gt;DATE(2099,12,31)),"Invalid date",IF(D1496="","Select a type",IF(U1496="","Unknown type: "&amp;D1496,IF(V1496="","Select an account (Category)",IF(ISNA(MATCH(V1496,coa_Name,0)),"Unknown account: "&amp;V1496,IF(K1496="","Select Paid From / Deposited To",IF(ISNA(MATCH(K1496,coa_Name,0)),"Unknown account: "&amp;K1496,IF(NOT(ISNUMBER(L1496)),"Enter an amount",IF(L1496=0,"Enter an amount",IF(ABS(W1496)&gt;ABS(L1496),"Tax is larger than the amount","")))))))))))))</f>
        <v/>
      </c>
      <c r="Y1496" s="67">
        <f>IF(OR(T1496=1,X1496&lt;&gt;""),"",IF(AND(B1496&lt;&gt;"",COUNTIF(tx_ID,B1496)&gt;1),"Duplicate transaction ID",IF(AND(L1496&lt;0,D1496&lt;&gt;"Adjustment"),"Negative amount — check this entry",IF(AND(D1496="Customer Payment",G1496=""),"Add the customer",IF(AND(D1496="Customer Payment",OR(J1496="",COUNTIF(ar_No,J1496&amp;"")=0)),"Invoice # in Reference not found on AR sheet",IF(AND(D1496="Bill Payment",H1496=""),"Add the vendor",IF(AND(D1496="Bill Payment",OR(J1496="",COUNTIFS(ap_No,J1496&amp;"",ap_Party,H1496&amp;"")=0)),"Bill # + vendor not found on AP sheet",IF(AND(ISNUMBER(M1496),N(M1496)&lt;&gt;0,W1496=0),"Tax ignored (tax tracking off, or not allowed for this type)",IF(V1496=K1496&amp;"","Same account on both sides",IF(AND(ISNUMBER(StartDate),C1496&lt;StartDate),"Date is before the accounting start date",IF(AND(D1496&lt;&gt;"Adjustment",IFERROR(INDEX(coa_Pay,MATCH(K1496&amp;"",coa_Name,0)),"")&lt;&gt;"Yes"),"Paid From / Deposited To is not a payment account","")))))))))))</f>
        <v/>
      </c>
      <c r="Z1496" s="67">
        <f>IF(AND(T1496=0,X1496=""),1,0)</f>
        <v/>
      </c>
      <c r="AA1496" s="68">
        <f>IF(Z1496=1,IF(U1496="In",L1496,L1496-W1496),0)</f>
        <v/>
      </c>
      <c r="AB1496" s="68">
        <f>IF(Z1496=1,IF(U1496="In",L1496-W1496,L1496),0)</f>
        <v/>
      </c>
      <c r="AC1496" s="68">
        <f>IF(AND(Z1496=1,U1496="Out"),W1496,0)</f>
        <v/>
      </c>
      <c r="AD1496" s="68">
        <f>IF(AND(Z1496=1,U1496="In"),W1496,0)</f>
        <v/>
      </c>
    </row>
    <row r="1497">
      <c r="B1497" s="62" t="inlineStr">
        <is>
          <t>TX-1491</t>
        </is>
      </c>
      <c r="C1497" s="63" t="n"/>
      <c r="D1497" s="62" t="n"/>
      <c r="E1497" s="62" t="n"/>
      <c r="F1497" s="62" t="n"/>
      <c r="G1497" s="62" t="n"/>
      <c r="H1497" s="62" t="n"/>
      <c r="I1497" s="62" t="n"/>
      <c r="J1497" s="62" t="n"/>
      <c r="K1497" s="62" t="n"/>
      <c r="L1497" s="64" t="n"/>
      <c r="M1497" s="64" t="n"/>
      <c r="N1497" s="62" t="n"/>
      <c r="O1497" s="65">
        <f>IF(Z1497=1,L1497-W1497,"")</f>
        <v/>
      </c>
      <c r="P1497" s="66">
        <f>IF(V1497="","",IFERROR(INDEX(coa_Type,MATCH(V1497,coa_Name,0)),""))</f>
        <v/>
      </c>
      <c r="Q1497" s="66">
        <f>IF(Z1497=1,IF(U1497="In",K1497&amp;"",V1497),"")</f>
        <v/>
      </c>
      <c r="R1497" s="66">
        <f>IF(Z1497=1,IF(U1497="In",V1497,K1497&amp;""),"")</f>
        <v/>
      </c>
      <c r="S1497" s="66">
        <f>IF(X1497&lt;&gt;"","⛔ "&amp;X1497&amp;" — not posted",IF(Y1497&lt;&gt;"","⚠ "&amp;Y1497,IF(Z1497=1,"✓ OK","")))</f>
        <v/>
      </c>
      <c r="T1497" s="67">
        <f>IF(AND(C1497="",D1497="",E1497="",L1497="",K1497=""),1,0)</f>
        <v/>
      </c>
      <c r="U1497" s="67">
        <f>IFERROR(INDEX(tt_Dir,MATCH(D1497,tt_Type,0)),"")</f>
        <v/>
      </c>
      <c r="V1497" s="67">
        <f>IF(D1497="","",IFERROR(IF(INDEX(tt_Other,MATCH(D1497,tt_Type,0))="",E1497&amp;"",INDEX(tt_Other,MATCH(D1497,tt_Type,0))),""))</f>
        <v/>
      </c>
      <c r="W1497" s="68">
        <f>IF(OR(TaxOn&lt;&gt;"Yes",NOT(ISNUMBER(M1497))),0,IF(IFERROR(INDEX(tt_Tax,MATCH(D1497,tt_Type,0)),"No")="Yes",M1497,0))</f>
        <v/>
      </c>
      <c r="X1497" s="67">
        <f>IF(T1497=1,"",IF(C1497="","Missing transaction date",IF(NOT(ISNUMBER(C1497)),"Invalid date",IF(OR(C1497&lt;DATE(2000,1,1),C1497&gt;DATE(2099,12,31)),"Invalid date",IF(D1497="","Select a type",IF(U1497="","Unknown type: "&amp;D1497,IF(V1497="","Select an account (Category)",IF(ISNA(MATCH(V1497,coa_Name,0)),"Unknown account: "&amp;V1497,IF(K1497="","Select Paid From / Deposited To",IF(ISNA(MATCH(K1497,coa_Name,0)),"Unknown account: "&amp;K1497,IF(NOT(ISNUMBER(L1497)),"Enter an amount",IF(L1497=0,"Enter an amount",IF(ABS(W1497)&gt;ABS(L1497),"Tax is larger than the amount","")))))))))))))</f>
        <v/>
      </c>
      <c r="Y1497" s="67">
        <f>IF(OR(T1497=1,X1497&lt;&gt;""),"",IF(AND(B1497&lt;&gt;"",COUNTIF(tx_ID,B1497)&gt;1),"Duplicate transaction ID",IF(AND(L1497&lt;0,D1497&lt;&gt;"Adjustment"),"Negative amount — check this entry",IF(AND(D1497="Customer Payment",G1497=""),"Add the customer",IF(AND(D1497="Customer Payment",OR(J1497="",COUNTIF(ar_No,J1497&amp;"")=0)),"Invoice # in Reference not found on AR sheet",IF(AND(D1497="Bill Payment",H1497=""),"Add the vendor",IF(AND(D1497="Bill Payment",OR(J1497="",COUNTIFS(ap_No,J1497&amp;"",ap_Party,H1497&amp;"")=0)),"Bill # + vendor not found on AP sheet",IF(AND(ISNUMBER(M1497),N(M1497)&lt;&gt;0,W1497=0),"Tax ignored (tax tracking off, or not allowed for this type)",IF(V1497=K1497&amp;"","Same account on both sides",IF(AND(ISNUMBER(StartDate),C1497&lt;StartDate),"Date is before the accounting start date",IF(AND(D1497&lt;&gt;"Adjustment",IFERROR(INDEX(coa_Pay,MATCH(K1497&amp;"",coa_Name,0)),"")&lt;&gt;"Yes"),"Paid From / Deposited To is not a payment account","")))))))))))</f>
        <v/>
      </c>
      <c r="Z1497" s="67">
        <f>IF(AND(T1497=0,X1497=""),1,0)</f>
        <v/>
      </c>
      <c r="AA1497" s="68">
        <f>IF(Z1497=1,IF(U1497="In",L1497,L1497-W1497),0)</f>
        <v/>
      </c>
      <c r="AB1497" s="68">
        <f>IF(Z1497=1,IF(U1497="In",L1497-W1497,L1497),0)</f>
        <v/>
      </c>
      <c r="AC1497" s="68">
        <f>IF(AND(Z1497=1,U1497="Out"),W1497,0)</f>
        <v/>
      </c>
      <c r="AD1497" s="68">
        <f>IF(AND(Z1497=1,U1497="In"),W1497,0)</f>
        <v/>
      </c>
    </row>
    <row r="1498">
      <c r="B1498" s="62" t="inlineStr">
        <is>
          <t>TX-1492</t>
        </is>
      </c>
      <c r="C1498" s="63" t="n"/>
      <c r="D1498" s="62" t="n"/>
      <c r="E1498" s="62" t="n"/>
      <c r="F1498" s="62" t="n"/>
      <c r="G1498" s="62" t="n"/>
      <c r="H1498" s="62" t="n"/>
      <c r="I1498" s="62" t="n"/>
      <c r="J1498" s="62" t="n"/>
      <c r="K1498" s="62" t="n"/>
      <c r="L1498" s="64" t="n"/>
      <c r="M1498" s="64" t="n"/>
      <c r="N1498" s="62" t="n"/>
      <c r="O1498" s="65">
        <f>IF(Z1498=1,L1498-W1498,"")</f>
        <v/>
      </c>
      <c r="P1498" s="66">
        <f>IF(V1498="","",IFERROR(INDEX(coa_Type,MATCH(V1498,coa_Name,0)),""))</f>
        <v/>
      </c>
      <c r="Q1498" s="66">
        <f>IF(Z1498=1,IF(U1498="In",K1498&amp;"",V1498),"")</f>
        <v/>
      </c>
      <c r="R1498" s="66">
        <f>IF(Z1498=1,IF(U1498="In",V1498,K1498&amp;""),"")</f>
        <v/>
      </c>
      <c r="S1498" s="66">
        <f>IF(X1498&lt;&gt;"","⛔ "&amp;X1498&amp;" — not posted",IF(Y1498&lt;&gt;"","⚠ "&amp;Y1498,IF(Z1498=1,"✓ OK","")))</f>
        <v/>
      </c>
      <c r="T1498" s="67">
        <f>IF(AND(C1498="",D1498="",E1498="",L1498="",K1498=""),1,0)</f>
        <v/>
      </c>
      <c r="U1498" s="67">
        <f>IFERROR(INDEX(tt_Dir,MATCH(D1498,tt_Type,0)),"")</f>
        <v/>
      </c>
      <c r="V1498" s="67">
        <f>IF(D1498="","",IFERROR(IF(INDEX(tt_Other,MATCH(D1498,tt_Type,0))="",E1498&amp;"",INDEX(tt_Other,MATCH(D1498,tt_Type,0))),""))</f>
        <v/>
      </c>
      <c r="W1498" s="68">
        <f>IF(OR(TaxOn&lt;&gt;"Yes",NOT(ISNUMBER(M1498))),0,IF(IFERROR(INDEX(tt_Tax,MATCH(D1498,tt_Type,0)),"No")="Yes",M1498,0))</f>
        <v/>
      </c>
      <c r="X1498" s="67">
        <f>IF(T1498=1,"",IF(C1498="","Missing transaction date",IF(NOT(ISNUMBER(C1498)),"Invalid date",IF(OR(C1498&lt;DATE(2000,1,1),C1498&gt;DATE(2099,12,31)),"Invalid date",IF(D1498="","Select a type",IF(U1498="","Unknown type: "&amp;D1498,IF(V1498="","Select an account (Category)",IF(ISNA(MATCH(V1498,coa_Name,0)),"Unknown account: "&amp;V1498,IF(K1498="","Select Paid From / Deposited To",IF(ISNA(MATCH(K1498,coa_Name,0)),"Unknown account: "&amp;K1498,IF(NOT(ISNUMBER(L1498)),"Enter an amount",IF(L1498=0,"Enter an amount",IF(ABS(W1498)&gt;ABS(L1498),"Tax is larger than the amount","")))))))))))))</f>
        <v/>
      </c>
      <c r="Y1498" s="67">
        <f>IF(OR(T1498=1,X1498&lt;&gt;""),"",IF(AND(B1498&lt;&gt;"",COUNTIF(tx_ID,B1498)&gt;1),"Duplicate transaction ID",IF(AND(L1498&lt;0,D1498&lt;&gt;"Adjustment"),"Negative amount — check this entry",IF(AND(D1498="Customer Payment",G1498=""),"Add the customer",IF(AND(D1498="Customer Payment",OR(J1498="",COUNTIF(ar_No,J1498&amp;"")=0)),"Invoice # in Reference not found on AR sheet",IF(AND(D1498="Bill Payment",H1498=""),"Add the vendor",IF(AND(D1498="Bill Payment",OR(J1498="",COUNTIFS(ap_No,J1498&amp;"",ap_Party,H1498&amp;"")=0)),"Bill # + vendor not found on AP sheet",IF(AND(ISNUMBER(M1498),N(M1498)&lt;&gt;0,W1498=0),"Tax ignored (tax tracking off, or not allowed for this type)",IF(V1498=K1498&amp;"","Same account on both sides",IF(AND(ISNUMBER(StartDate),C1498&lt;StartDate),"Date is before the accounting start date",IF(AND(D1498&lt;&gt;"Adjustment",IFERROR(INDEX(coa_Pay,MATCH(K1498&amp;"",coa_Name,0)),"")&lt;&gt;"Yes"),"Paid From / Deposited To is not a payment account","")))))))))))</f>
        <v/>
      </c>
      <c r="Z1498" s="67">
        <f>IF(AND(T1498=0,X1498=""),1,0)</f>
        <v/>
      </c>
      <c r="AA1498" s="68">
        <f>IF(Z1498=1,IF(U1498="In",L1498,L1498-W1498),0)</f>
        <v/>
      </c>
      <c r="AB1498" s="68">
        <f>IF(Z1498=1,IF(U1498="In",L1498-W1498,L1498),0)</f>
        <v/>
      </c>
      <c r="AC1498" s="68">
        <f>IF(AND(Z1498=1,U1498="Out"),W1498,0)</f>
        <v/>
      </c>
      <c r="AD1498" s="68">
        <f>IF(AND(Z1498=1,U1498="In"),W1498,0)</f>
        <v/>
      </c>
    </row>
    <row r="1499">
      <c r="B1499" s="62" t="inlineStr">
        <is>
          <t>TX-1493</t>
        </is>
      </c>
      <c r="C1499" s="63" t="n"/>
      <c r="D1499" s="62" t="n"/>
      <c r="E1499" s="62" t="n"/>
      <c r="F1499" s="62" t="n"/>
      <c r="G1499" s="62" t="n"/>
      <c r="H1499" s="62" t="n"/>
      <c r="I1499" s="62" t="n"/>
      <c r="J1499" s="62" t="n"/>
      <c r="K1499" s="62" t="n"/>
      <c r="L1499" s="64" t="n"/>
      <c r="M1499" s="64" t="n"/>
      <c r="N1499" s="62" t="n"/>
      <c r="O1499" s="65">
        <f>IF(Z1499=1,L1499-W1499,"")</f>
        <v/>
      </c>
      <c r="P1499" s="66">
        <f>IF(V1499="","",IFERROR(INDEX(coa_Type,MATCH(V1499,coa_Name,0)),""))</f>
        <v/>
      </c>
      <c r="Q1499" s="66">
        <f>IF(Z1499=1,IF(U1499="In",K1499&amp;"",V1499),"")</f>
        <v/>
      </c>
      <c r="R1499" s="66">
        <f>IF(Z1499=1,IF(U1499="In",V1499,K1499&amp;""),"")</f>
        <v/>
      </c>
      <c r="S1499" s="66">
        <f>IF(X1499&lt;&gt;"","⛔ "&amp;X1499&amp;" — not posted",IF(Y1499&lt;&gt;"","⚠ "&amp;Y1499,IF(Z1499=1,"✓ OK","")))</f>
        <v/>
      </c>
      <c r="T1499" s="67">
        <f>IF(AND(C1499="",D1499="",E1499="",L1499="",K1499=""),1,0)</f>
        <v/>
      </c>
      <c r="U1499" s="67">
        <f>IFERROR(INDEX(tt_Dir,MATCH(D1499,tt_Type,0)),"")</f>
        <v/>
      </c>
      <c r="V1499" s="67">
        <f>IF(D1499="","",IFERROR(IF(INDEX(tt_Other,MATCH(D1499,tt_Type,0))="",E1499&amp;"",INDEX(tt_Other,MATCH(D1499,tt_Type,0))),""))</f>
        <v/>
      </c>
      <c r="W1499" s="68">
        <f>IF(OR(TaxOn&lt;&gt;"Yes",NOT(ISNUMBER(M1499))),0,IF(IFERROR(INDEX(tt_Tax,MATCH(D1499,tt_Type,0)),"No")="Yes",M1499,0))</f>
        <v/>
      </c>
      <c r="X1499" s="67">
        <f>IF(T1499=1,"",IF(C1499="","Missing transaction date",IF(NOT(ISNUMBER(C1499)),"Invalid date",IF(OR(C1499&lt;DATE(2000,1,1),C1499&gt;DATE(2099,12,31)),"Invalid date",IF(D1499="","Select a type",IF(U1499="","Unknown type: "&amp;D1499,IF(V1499="","Select an account (Category)",IF(ISNA(MATCH(V1499,coa_Name,0)),"Unknown account: "&amp;V1499,IF(K1499="","Select Paid From / Deposited To",IF(ISNA(MATCH(K1499,coa_Name,0)),"Unknown account: "&amp;K1499,IF(NOT(ISNUMBER(L1499)),"Enter an amount",IF(L1499=0,"Enter an amount",IF(ABS(W1499)&gt;ABS(L1499),"Tax is larger than the amount","")))))))))))))</f>
        <v/>
      </c>
      <c r="Y1499" s="67">
        <f>IF(OR(T1499=1,X1499&lt;&gt;""),"",IF(AND(B1499&lt;&gt;"",COUNTIF(tx_ID,B1499)&gt;1),"Duplicate transaction ID",IF(AND(L1499&lt;0,D1499&lt;&gt;"Adjustment"),"Negative amount — check this entry",IF(AND(D1499="Customer Payment",G1499=""),"Add the customer",IF(AND(D1499="Customer Payment",OR(J1499="",COUNTIF(ar_No,J1499&amp;"")=0)),"Invoice # in Reference not found on AR sheet",IF(AND(D1499="Bill Payment",H1499=""),"Add the vendor",IF(AND(D1499="Bill Payment",OR(J1499="",COUNTIFS(ap_No,J1499&amp;"",ap_Party,H1499&amp;"")=0)),"Bill # + vendor not found on AP sheet",IF(AND(ISNUMBER(M1499),N(M1499)&lt;&gt;0,W1499=0),"Tax ignored (tax tracking off, or not allowed for this type)",IF(V1499=K1499&amp;"","Same account on both sides",IF(AND(ISNUMBER(StartDate),C1499&lt;StartDate),"Date is before the accounting start date",IF(AND(D1499&lt;&gt;"Adjustment",IFERROR(INDEX(coa_Pay,MATCH(K1499&amp;"",coa_Name,0)),"")&lt;&gt;"Yes"),"Paid From / Deposited To is not a payment account","")))))))))))</f>
        <v/>
      </c>
      <c r="Z1499" s="67">
        <f>IF(AND(T1499=0,X1499=""),1,0)</f>
        <v/>
      </c>
      <c r="AA1499" s="68">
        <f>IF(Z1499=1,IF(U1499="In",L1499,L1499-W1499),0)</f>
        <v/>
      </c>
      <c r="AB1499" s="68">
        <f>IF(Z1499=1,IF(U1499="In",L1499-W1499,L1499),0)</f>
        <v/>
      </c>
      <c r="AC1499" s="68">
        <f>IF(AND(Z1499=1,U1499="Out"),W1499,0)</f>
        <v/>
      </c>
      <c r="AD1499" s="68">
        <f>IF(AND(Z1499=1,U1499="In"),W1499,0)</f>
        <v/>
      </c>
    </row>
    <row r="1500">
      <c r="B1500" s="62" t="inlineStr">
        <is>
          <t>TX-1494</t>
        </is>
      </c>
      <c r="C1500" s="63" t="n"/>
      <c r="D1500" s="62" t="n"/>
      <c r="E1500" s="62" t="n"/>
      <c r="F1500" s="62" t="n"/>
      <c r="G1500" s="62" t="n"/>
      <c r="H1500" s="62" t="n"/>
      <c r="I1500" s="62" t="n"/>
      <c r="J1500" s="62" t="n"/>
      <c r="K1500" s="62" t="n"/>
      <c r="L1500" s="64" t="n"/>
      <c r="M1500" s="64" t="n"/>
      <c r="N1500" s="62" t="n"/>
      <c r="O1500" s="65">
        <f>IF(Z1500=1,L1500-W1500,"")</f>
        <v/>
      </c>
      <c r="P1500" s="66">
        <f>IF(V1500="","",IFERROR(INDEX(coa_Type,MATCH(V1500,coa_Name,0)),""))</f>
        <v/>
      </c>
      <c r="Q1500" s="66">
        <f>IF(Z1500=1,IF(U1500="In",K1500&amp;"",V1500),"")</f>
        <v/>
      </c>
      <c r="R1500" s="66">
        <f>IF(Z1500=1,IF(U1500="In",V1500,K1500&amp;""),"")</f>
        <v/>
      </c>
      <c r="S1500" s="66">
        <f>IF(X1500&lt;&gt;"","⛔ "&amp;X1500&amp;" — not posted",IF(Y1500&lt;&gt;"","⚠ "&amp;Y1500,IF(Z1500=1,"✓ OK","")))</f>
        <v/>
      </c>
      <c r="T1500" s="67">
        <f>IF(AND(C1500="",D1500="",E1500="",L1500="",K1500=""),1,0)</f>
        <v/>
      </c>
      <c r="U1500" s="67">
        <f>IFERROR(INDEX(tt_Dir,MATCH(D1500,tt_Type,0)),"")</f>
        <v/>
      </c>
      <c r="V1500" s="67">
        <f>IF(D1500="","",IFERROR(IF(INDEX(tt_Other,MATCH(D1500,tt_Type,0))="",E1500&amp;"",INDEX(tt_Other,MATCH(D1500,tt_Type,0))),""))</f>
        <v/>
      </c>
      <c r="W1500" s="68">
        <f>IF(OR(TaxOn&lt;&gt;"Yes",NOT(ISNUMBER(M1500))),0,IF(IFERROR(INDEX(tt_Tax,MATCH(D1500,tt_Type,0)),"No")="Yes",M1500,0))</f>
        <v/>
      </c>
      <c r="X1500" s="67">
        <f>IF(T1500=1,"",IF(C1500="","Missing transaction date",IF(NOT(ISNUMBER(C1500)),"Invalid date",IF(OR(C1500&lt;DATE(2000,1,1),C1500&gt;DATE(2099,12,31)),"Invalid date",IF(D1500="","Select a type",IF(U1500="","Unknown type: "&amp;D1500,IF(V1500="","Select an account (Category)",IF(ISNA(MATCH(V1500,coa_Name,0)),"Unknown account: "&amp;V1500,IF(K1500="","Select Paid From / Deposited To",IF(ISNA(MATCH(K1500,coa_Name,0)),"Unknown account: "&amp;K1500,IF(NOT(ISNUMBER(L1500)),"Enter an amount",IF(L1500=0,"Enter an amount",IF(ABS(W1500)&gt;ABS(L1500),"Tax is larger than the amount","")))))))))))))</f>
        <v/>
      </c>
      <c r="Y1500" s="67">
        <f>IF(OR(T1500=1,X1500&lt;&gt;""),"",IF(AND(B1500&lt;&gt;"",COUNTIF(tx_ID,B1500)&gt;1),"Duplicate transaction ID",IF(AND(L1500&lt;0,D1500&lt;&gt;"Adjustment"),"Negative amount — check this entry",IF(AND(D1500="Customer Payment",G1500=""),"Add the customer",IF(AND(D1500="Customer Payment",OR(J1500="",COUNTIF(ar_No,J1500&amp;"")=0)),"Invoice # in Reference not found on AR sheet",IF(AND(D1500="Bill Payment",H1500=""),"Add the vendor",IF(AND(D1500="Bill Payment",OR(J1500="",COUNTIFS(ap_No,J1500&amp;"",ap_Party,H1500&amp;"")=0)),"Bill # + vendor not found on AP sheet",IF(AND(ISNUMBER(M1500),N(M1500)&lt;&gt;0,W1500=0),"Tax ignored (tax tracking off, or not allowed for this type)",IF(V1500=K1500&amp;"","Same account on both sides",IF(AND(ISNUMBER(StartDate),C1500&lt;StartDate),"Date is before the accounting start date",IF(AND(D1500&lt;&gt;"Adjustment",IFERROR(INDEX(coa_Pay,MATCH(K1500&amp;"",coa_Name,0)),"")&lt;&gt;"Yes"),"Paid From / Deposited To is not a payment account","")))))))))))</f>
        <v/>
      </c>
      <c r="Z1500" s="67">
        <f>IF(AND(T1500=0,X1500=""),1,0)</f>
        <v/>
      </c>
      <c r="AA1500" s="68">
        <f>IF(Z1500=1,IF(U1500="In",L1500,L1500-W1500),0)</f>
        <v/>
      </c>
      <c r="AB1500" s="68">
        <f>IF(Z1500=1,IF(U1500="In",L1500-W1500,L1500),0)</f>
        <v/>
      </c>
      <c r="AC1500" s="68">
        <f>IF(AND(Z1500=1,U1500="Out"),W1500,0)</f>
        <v/>
      </c>
      <c r="AD1500" s="68">
        <f>IF(AND(Z1500=1,U1500="In"),W1500,0)</f>
        <v/>
      </c>
    </row>
    <row r="1501">
      <c r="B1501" s="62" t="inlineStr">
        <is>
          <t>TX-1495</t>
        </is>
      </c>
      <c r="C1501" s="63" t="n"/>
      <c r="D1501" s="62" t="n"/>
      <c r="E1501" s="62" t="n"/>
      <c r="F1501" s="62" t="n"/>
      <c r="G1501" s="62" t="n"/>
      <c r="H1501" s="62" t="n"/>
      <c r="I1501" s="62" t="n"/>
      <c r="J1501" s="62" t="n"/>
      <c r="K1501" s="62" t="n"/>
      <c r="L1501" s="64" t="n"/>
      <c r="M1501" s="64" t="n"/>
      <c r="N1501" s="62" t="n"/>
      <c r="O1501" s="65">
        <f>IF(Z1501=1,L1501-W1501,"")</f>
        <v/>
      </c>
      <c r="P1501" s="66">
        <f>IF(V1501="","",IFERROR(INDEX(coa_Type,MATCH(V1501,coa_Name,0)),""))</f>
        <v/>
      </c>
      <c r="Q1501" s="66">
        <f>IF(Z1501=1,IF(U1501="In",K1501&amp;"",V1501),"")</f>
        <v/>
      </c>
      <c r="R1501" s="66">
        <f>IF(Z1501=1,IF(U1501="In",V1501,K1501&amp;""),"")</f>
        <v/>
      </c>
      <c r="S1501" s="66">
        <f>IF(X1501&lt;&gt;"","⛔ "&amp;X1501&amp;" — not posted",IF(Y1501&lt;&gt;"","⚠ "&amp;Y1501,IF(Z1501=1,"✓ OK","")))</f>
        <v/>
      </c>
      <c r="T1501" s="67">
        <f>IF(AND(C1501="",D1501="",E1501="",L1501="",K1501=""),1,0)</f>
        <v/>
      </c>
      <c r="U1501" s="67">
        <f>IFERROR(INDEX(tt_Dir,MATCH(D1501,tt_Type,0)),"")</f>
        <v/>
      </c>
      <c r="V1501" s="67">
        <f>IF(D1501="","",IFERROR(IF(INDEX(tt_Other,MATCH(D1501,tt_Type,0))="",E1501&amp;"",INDEX(tt_Other,MATCH(D1501,tt_Type,0))),""))</f>
        <v/>
      </c>
      <c r="W1501" s="68">
        <f>IF(OR(TaxOn&lt;&gt;"Yes",NOT(ISNUMBER(M1501))),0,IF(IFERROR(INDEX(tt_Tax,MATCH(D1501,tt_Type,0)),"No")="Yes",M1501,0))</f>
        <v/>
      </c>
      <c r="X1501" s="67">
        <f>IF(T1501=1,"",IF(C1501="","Missing transaction date",IF(NOT(ISNUMBER(C1501)),"Invalid date",IF(OR(C1501&lt;DATE(2000,1,1),C1501&gt;DATE(2099,12,31)),"Invalid date",IF(D1501="","Select a type",IF(U1501="","Unknown type: "&amp;D1501,IF(V1501="","Select an account (Category)",IF(ISNA(MATCH(V1501,coa_Name,0)),"Unknown account: "&amp;V1501,IF(K1501="","Select Paid From / Deposited To",IF(ISNA(MATCH(K1501,coa_Name,0)),"Unknown account: "&amp;K1501,IF(NOT(ISNUMBER(L1501)),"Enter an amount",IF(L1501=0,"Enter an amount",IF(ABS(W1501)&gt;ABS(L1501),"Tax is larger than the amount","")))))))))))))</f>
        <v/>
      </c>
      <c r="Y1501" s="67">
        <f>IF(OR(T1501=1,X1501&lt;&gt;""),"",IF(AND(B1501&lt;&gt;"",COUNTIF(tx_ID,B1501)&gt;1),"Duplicate transaction ID",IF(AND(L1501&lt;0,D1501&lt;&gt;"Adjustment"),"Negative amount — check this entry",IF(AND(D1501="Customer Payment",G1501=""),"Add the customer",IF(AND(D1501="Customer Payment",OR(J1501="",COUNTIF(ar_No,J1501&amp;"")=0)),"Invoice # in Reference not found on AR sheet",IF(AND(D1501="Bill Payment",H1501=""),"Add the vendor",IF(AND(D1501="Bill Payment",OR(J1501="",COUNTIFS(ap_No,J1501&amp;"",ap_Party,H1501&amp;"")=0)),"Bill # + vendor not found on AP sheet",IF(AND(ISNUMBER(M1501),N(M1501)&lt;&gt;0,W1501=0),"Tax ignored (tax tracking off, or not allowed for this type)",IF(V1501=K1501&amp;"","Same account on both sides",IF(AND(ISNUMBER(StartDate),C1501&lt;StartDate),"Date is before the accounting start date",IF(AND(D1501&lt;&gt;"Adjustment",IFERROR(INDEX(coa_Pay,MATCH(K1501&amp;"",coa_Name,0)),"")&lt;&gt;"Yes"),"Paid From / Deposited To is not a payment account","")))))))))))</f>
        <v/>
      </c>
      <c r="Z1501" s="67">
        <f>IF(AND(T1501=0,X1501=""),1,0)</f>
        <v/>
      </c>
      <c r="AA1501" s="68">
        <f>IF(Z1501=1,IF(U1501="In",L1501,L1501-W1501),0)</f>
        <v/>
      </c>
      <c r="AB1501" s="68">
        <f>IF(Z1501=1,IF(U1501="In",L1501-W1501,L1501),0)</f>
        <v/>
      </c>
      <c r="AC1501" s="68">
        <f>IF(AND(Z1501=1,U1501="Out"),W1501,0)</f>
        <v/>
      </c>
      <c r="AD1501" s="68">
        <f>IF(AND(Z1501=1,U1501="In"),W1501,0)</f>
        <v/>
      </c>
    </row>
    <row r="1502">
      <c r="B1502" s="62" t="inlineStr">
        <is>
          <t>TX-1496</t>
        </is>
      </c>
      <c r="C1502" s="63" t="n"/>
      <c r="D1502" s="62" t="n"/>
      <c r="E1502" s="62" t="n"/>
      <c r="F1502" s="62" t="n"/>
      <c r="G1502" s="62" t="n"/>
      <c r="H1502" s="62" t="n"/>
      <c r="I1502" s="62" t="n"/>
      <c r="J1502" s="62" t="n"/>
      <c r="K1502" s="62" t="n"/>
      <c r="L1502" s="64" t="n"/>
      <c r="M1502" s="64" t="n"/>
      <c r="N1502" s="62" t="n"/>
      <c r="O1502" s="65">
        <f>IF(Z1502=1,L1502-W1502,"")</f>
        <v/>
      </c>
      <c r="P1502" s="66">
        <f>IF(V1502="","",IFERROR(INDEX(coa_Type,MATCH(V1502,coa_Name,0)),""))</f>
        <v/>
      </c>
      <c r="Q1502" s="66">
        <f>IF(Z1502=1,IF(U1502="In",K1502&amp;"",V1502),"")</f>
        <v/>
      </c>
      <c r="R1502" s="66">
        <f>IF(Z1502=1,IF(U1502="In",V1502,K1502&amp;""),"")</f>
        <v/>
      </c>
      <c r="S1502" s="66">
        <f>IF(X1502&lt;&gt;"","⛔ "&amp;X1502&amp;" — not posted",IF(Y1502&lt;&gt;"","⚠ "&amp;Y1502,IF(Z1502=1,"✓ OK","")))</f>
        <v/>
      </c>
      <c r="T1502" s="67">
        <f>IF(AND(C1502="",D1502="",E1502="",L1502="",K1502=""),1,0)</f>
        <v/>
      </c>
      <c r="U1502" s="67">
        <f>IFERROR(INDEX(tt_Dir,MATCH(D1502,tt_Type,0)),"")</f>
        <v/>
      </c>
      <c r="V1502" s="67">
        <f>IF(D1502="","",IFERROR(IF(INDEX(tt_Other,MATCH(D1502,tt_Type,0))="",E1502&amp;"",INDEX(tt_Other,MATCH(D1502,tt_Type,0))),""))</f>
        <v/>
      </c>
      <c r="W1502" s="68">
        <f>IF(OR(TaxOn&lt;&gt;"Yes",NOT(ISNUMBER(M1502))),0,IF(IFERROR(INDEX(tt_Tax,MATCH(D1502,tt_Type,0)),"No")="Yes",M1502,0))</f>
        <v/>
      </c>
      <c r="X1502" s="67">
        <f>IF(T1502=1,"",IF(C1502="","Missing transaction date",IF(NOT(ISNUMBER(C1502)),"Invalid date",IF(OR(C1502&lt;DATE(2000,1,1),C1502&gt;DATE(2099,12,31)),"Invalid date",IF(D1502="","Select a type",IF(U1502="","Unknown type: "&amp;D1502,IF(V1502="","Select an account (Category)",IF(ISNA(MATCH(V1502,coa_Name,0)),"Unknown account: "&amp;V1502,IF(K1502="","Select Paid From / Deposited To",IF(ISNA(MATCH(K1502,coa_Name,0)),"Unknown account: "&amp;K1502,IF(NOT(ISNUMBER(L1502)),"Enter an amount",IF(L1502=0,"Enter an amount",IF(ABS(W1502)&gt;ABS(L1502),"Tax is larger than the amount","")))))))))))))</f>
        <v/>
      </c>
      <c r="Y1502" s="67">
        <f>IF(OR(T1502=1,X1502&lt;&gt;""),"",IF(AND(B1502&lt;&gt;"",COUNTIF(tx_ID,B1502)&gt;1),"Duplicate transaction ID",IF(AND(L1502&lt;0,D1502&lt;&gt;"Adjustment"),"Negative amount — check this entry",IF(AND(D1502="Customer Payment",G1502=""),"Add the customer",IF(AND(D1502="Customer Payment",OR(J1502="",COUNTIF(ar_No,J1502&amp;"")=0)),"Invoice # in Reference not found on AR sheet",IF(AND(D1502="Bill Payment",H1502=""),"Add the vendor",IF(AND(D1502="Bill Payment",OR(J1502="",COUNTIFS(ap_No,J1502&amp;"",ap_Party,H1502&amp;"")=0)),"Bill # + vendor not found on AP sheet",IF(AND(ISNUMBER(M1502),N(M1502)&lt;&gt;0,W1502=0),"Tax ignored (tax tracking off, or not allowed for this type)",IF(V1502=K1502&amp;"","Same account on both sides",IF(AND(ISNUMBER(StartDate),C1502&lt;StartDate),"Date is before the accounting start date",IF(AND(D1502&lt;&gt;"Adjustment",IFERROR(INDEX(coa_Pay,MATCH(K1502&amp;"",coa_Name,0)),"")&lt;&gt;"Yes"),"Paid From / Deposited To is not a payment account","")))))))))))</f>
        <v/>
      </c>
      <c r="Z1502" s="67">
        <f>IF(AND(T1502=0,X1502=""),1,0)</f>
        <v/>
      </c>
      <c r="AA1502" s="68">
        <f>IF(Z1502=1,IF(U1502="In",L1502,L1502-W1502),0)</f>
        <v/>
      </c>
      <c r="AB1502" s="68">
        <f>IF(Z1502=1,IF(U1502="In",L1502-W1502,L1502),0)</f>
        <v/>
      </c>
      <c r="AC1502" s="68">
        <f>IF(AND(Z1502=1,U1502="Out"),W1502,0)</f>
        <v/>
      </c>
      <c r="AD1502" s="68">
        <f>IF(AND(Z1502=1,U1502="In"),W1502,0)</f>
        <v/>
      </c>
    </row>
    <row r="1503">
      <c r="B1503" s="62" t="inlineStr">
        <is>
          <t>TX-1497</t>
        </is>
      </c>
      <c r="C1503" s="63" t="n"/>
      <c r="D1503" s="62" t="n"/>
      <c r="E1503" s="62" t="n"/>
      <c r="F1503" s="62" t="n"/>
      <c r="G1503" s="62" t="n"/>
      <c r="H1503" s="62" t="n"/>
      <c r="I1503" s="62" t="n"/>
      <c r="J1503" s="62" t="n"/>
      <c r="K1503" s="62" t="n"/>
      <c r="L1503" s="64" t="n"/>
      <c r="M1503" s="64" t="n"/>
      <c r="N1503" s="62" t="n"/>
      <c r="O1503" s="65">
        <f>IF(Z1503=1,L1503-W1503,"")</f>
        <v/>
      </c>
      <c r="P1503" s="66">
        <f>IF(V1503="","",IFERROR(INDEX(coa_Type,MATCH(V1503,coa_Name,0)),""))</f>
        <v/>
      </c>
      <c r="Q1503" s="66">
        <f>IF(Z1503=1,IF(U1503="In",K1503&amp;"",V1503),"")</f>
        <v/>
      </c>
      <c r="R1503" s="66">
        <f>IF(Z1503=1,IF(U1503="In",V1503,K1503&amp;""),"")</f>
        <v/>
      </c>
      <c r="S1503" s="66">
        <f>IF(X1503&lt;&gt;"","⛔ "&amp;X1503&amp;" — not posted",IF(Y1503&lt;&gt;"","⚠ "&amp;Y1503,IF(Z1503=1,"✓ OK","")))</f>
        <v/>
      </c>
      <c r="T1503" s="67">
        <f>IF(AND(C1503="",D1503="",E1503="",L1503="",K1503=""),1,0)</f>
        <v/>
      </c>
      <c r="U1503" s="67">
        <f>IFERROR(INDEX(tt_Dir,MATCH(D1503,tt_Type,0)),"")</f>
        <v/>
      </c>
      <c r="V1503" s="67">
        <f>IF(D1503="","",IFERROR(IF(INDEX(tt_Other,MATCH(D1503,tt_Type,0))="",E1503&amp;"",INDEX(tt_Other,MATCH(D1503,tt_Type,0))),""))</f>
        <v/>
      </c>
      <c r="W1503" s="68">
        <f>IF(OR(TaxOn&lt;&gt;"Yes",NOT(ISNUMBER(M1503))),0,IF(IFERROR(INDEX(tt_Tax,MATCH(D1503,tt_Type,0)),"No")="Yes",M1503,0))</f>
        <v/>
      </c>
      <c r="X1503" s="67">
        <f>IF(T1503=1,"",IF(C1503="","Missing transaction date",IF(NOT(ISNUMBER(C1503)),"Invalid date",IF(OR(C1503&lt;DATE(2000,1,1),C1503&gt;DATE(2099,12,31)),"Invalid date",IF(D1503="","Select a type",IF(U1503="","Unknown type: "&amp;D1503,IF(V1503="","Select an account (Category)",IF(ISNA(MATCH(V1503,coa_Name,0)),"Unknown account: "&amp;V1503,IF(K1503="","Select Paid From / Deposited To",IF(ISNA(MATCH(K1503,coa_Name,0)),"Unknown account: "&amp;K1503,IF(NOT(ISNUMBER(L1503)),"Enter an amount",IF(L1503=0,"Enter an amount",IF(ABS(W1503)&gt;ABS(L1503),"Tax is larger than the amount","")))))))))))))</f>
        <v/>
      </c>
      <c r="Y1503" s="67">
        <f>IF(OR(T1503=1,X1503&lt;&gt;""),"",IF(AND(B1503&lt;&gt;"",COUNTIF(tx_ID,B1503)&gt;1),"Duplicate transaction ID",IF(AND(L1503&lt;0,D1503&lt;&gt;"Adjustment"),"Negative amount — check this entry",IF(AND(D1503="Customer Payment",G1503=""),"Add the customer",IF(AND(D1503="Customer Payment",OR(J1503="",COUNTIF(ar_No,J1503&amp;"")=0)),"Invoice # in Reference not found on AR sheet",IF(AND(D1503="Bill Payment",H1503=""),"Add the vendor",IF(AND(D1503="Bill Payment",OR(J1503="",COUNTIFS(ap_No,J1503&amp;"",ap_Party,H1503&amp;"")=0)),"Bill # + vendor not found on AP sheet",IF(AND(ISNUMBER(M1503),N(M1503)&lt;&gt;0,W1503=0),"Tax ignored (tax tracking off, or not allowed for this type)",IF(V1503=K1503&amp;"","Same account on both sides",IF(AND(ISNUMBER(StartDate),C1503&lt;StartDate),"Date is before the accounting start date",IF(AND(D1503&lt;&gt;"Adjustment",IFERROR(INDEX(coa_Pay,MATCH(K1503&amp;"",coa_Name,0)),"")&lt;&gt;"Yes"),"Paid From / Deposited To is not a payment account","")))))))))))</f>
        <v/>
      </c>
      <c r="Z1503" s="67">
        <f>IF(AND(T1503=0,X1503=""),1,0)</f>
        <v/>
      </c>
      <c r="AA1503" s="68">
        <f>IF(Z1503=1,IF(U1503="In",L1503,L1503-W1503),0)</f>
        <v/>
      </c>
      <c r="AB1503" s="68">
        <f>IF(Z1503=1,IF(U1503="In",L1503-W1503,L1503),0)</f>
        <v/>
      </c>
      <c r="AC1503" s="68">
        <f>IF(AND(Z1503=1,U1503="Out"),W1503,0)</f>
        <v/>
      </c>
      <c r="AD1503" s="68">
        <f>IF(AND(Z1503=1,U1503="In"),W1503,0)</f>
        <v/>
      </c>
    </row>
    <row r="1504">
      <c r="B1504" s="62" t="inlineStr">
        <is>
          <t>TX-1498</t>
        </is>
      </c>
      <c r="C1504" s="63" t="n"/>
      <c r="D1504" s="62" t="n"/>
      <c r="E1504" s="62" t="n"/>
      <c r="F1504" s="62" t="n"/>
      <c r="G1504" s="62" t="n"/>
      <c r="H1504" s="62" t="n"/>
      <c r="I1504" s="62" t="n"/>
      <c r="J1504" s="62" t="n"/>
      <c r="K1504" s="62" t="n"/>
      <c r="L1504" s="64" t="n"/>
      <c r="M1504" s="64" t="n"/>
      <c r="N1504" s="62" t="n"/>
      <c r="O1504" s="65">
        <f>IF(Z1504=1,L1504-W1504,"")</f>
        <v/>
      </c>
      <c r="P1504" s="66">
        <f>IF(V1504="","",IFERROR(INDEX(coa_Type,MATCH(V1504,coa_Name,0)),""))</f>
        <v/>
      </c>
      <c r="Q1504" s="66">
        <f>IF(Z1504=1,IF(U1504="In",K1504&amp;"",V1504),"")</f>
        <v/>
      </c>
      <c r="R1504" s="66">
        <f>IF(Z1504=1,IF(U1504="In",V1504,K1504&amp;""),"")</f>
        <v/>
      </c>
      <c r="S1504" s="66">
        <f>IF(X1504&lt;&gt;"","⛔ "&amp;X1504&amp;" — not posted",IF(Y1504&lt;&gt;"","⚠ "&amp;Y1504,IF(Z1504=1,"✓ OK","")))</f>
        <v/>
      </c>
      <c r="T1504" s="67">
        <f>IF(AND(C1504="",D1504="",E1504="",L1504="",K1504=""),1,0)</f>
        <v/>
      </c>
      <c r="U1504" s="67">
        <f>IFERROR(INDEX(tt_Dir,MATCH(D1504,tt_Type,0)),"")</f>
        <v/>
      </c>
      <c r="V1504" s="67">
        <f>IF(D1504="","",IFERROR(IF(INDEX(tt_Other,MATCH(D1504,tt_Type,0))="",E1504&amp;"",INDEX(tt_Other,MATCH(D1504,tt_Type,0))),""))</f>
        <v/>
      </c>
      <c r="W1504" s="68">
        <f>IF(OR(TaxOn&lt;&gt;"Yes",NOT(ISNUMBER(M1504))),0,IF(IFERROR(INDEX(tt_Tax,MATCH(D1504,tt_Type,0)),"No")="Yes",M1504,0))</f>
        <v/>
      </c>
      <c r="X1504" s="67">
        <f>IF(T1504=1,"",IF(C1504="","Missing transaction date",IF(NOT(ISNUMBER(C1504)),"Invalid date",IF(OR(C1504&lt;DATE(2000,1,1),C1504&gt;DATE(2099,12,31)),"Invalid date",IF(D1504="","Select a type",IF(U1504="","Unknown type: "&amp;D1504,IF(V1504="","Select an account (Category)",IF(ISNA(MATCH(V1504,coa_Name,0)),"Unknown account: "&amp;V1504,IF(K1504="","Select Paid From / Deposited To",IF(ISNA(MATCH(K1504,coa_Name,0)),"Unknown account: "&amp;K1504,IF(NOT(ISNUMBER(L1504)),"Enter an amount",IF(L1504=0,"Enter an amount",IF(ABS(W1504)&gt;ABS(L1504),"Tax is larger than the amount","")))))))))))))</f>
        <v/>
      </c>
      <c r="Y1504" s="67">
        <f>IF(OR(T1504=1,X1504&lt;&gt;""),"",IF(AND(B1504&lt;&gt;"",COUNTIF(tx_ID,B1504)&gt;1),"Duplicate transaction ID",IF(AND(L1504&lt;0,D1504&lt;&gt;"Adjustment"),"Negative amount — check this entry",IF(AND(D1504="Customer Payment",G1504=""),"Add the customer",IF(AND(D1504="Customer Payment",OR(J1504="",COUNTIF(ar_No,J1504&amp;"")=0)),"Invoice # in Reference not found on AR sheet",IF(AND(D1504="Bill Payment",H1504=""),"Add the vendor",IF(AND(D1504="Bill Payment",OR(J1504="",COUNTIFS(ap_No,J1504&amp;"",ap_Party,H1504&amp;"")=0)),"Bill # + vendor not found on AP sheet",IF(AND(ISNUMBER(M1504),N(M1504)&lt;&gt;0,W1504=0),"Tax ignored (tax tracking off, or not allowed for this type)",IF(V1504=K1504&amp;"","Same account on both sides",IF(AND(ISNUMBER(StartDate),C1504&lt;StartDate),"Date is before the accounting start date",IF(AND(D1504&lt;&gt;"Adjustment",IFERROR(INDEX(coa_Pay,MATCH(K1504&amp;"",coa_Name,0)),"")&lt;&gt;"Yes"),"Paid From / Deposited To is not a payment account","")))))))))))</f>
        <v/>
      </c>
      <c r="Z1504" s="67">
        <f>IF(AND(T1504=0,X1504=""),1,0)</f>
        <v/>
      </c>
      <c r="AA1504" s="68">
        <f>IF(Z1504=1,IF(U1504="In",L1504,L1504-W1504),0)</f>
        <v/>
      </c>
      <c r="AB1504" s="68">
        <f>IF(Z1504=1,IF(U1504="In",L1504-W1504,L1504),0)</f>
        <v/>
      </c>
      <c r="AC1504" s="68">
        <f>IF(AND(Z1504=1,U1504="Out"),W1504,0)</f>
        <v/>
      </c>
      <c r="AD1504" s="68">
        <f>IF(AND(Z1504=1,U1504="In"),W1504,0)</f>
        <v/>
      </c>
    </row>
    <row r="1505">
      <c r="B1505" s="62" t="inlineStr">
        <is>
          <t>TX-1499</t>
        </is>
      </c>
      <c r="C1505" s="63" t="n"/>
      <c r="D1505" s="62" t="n"/>
      <c r="E1505" s="62" t="n"/>
      <c r="F1505" s="62" t="n"/>
      <c r="G1505" s="62" t="n"/>
      <c r="H1505" s="62" t="n"/>
      <c r="I1505" s="62" t="n"/>
      <c r="J1505" s="62" t="n"/>
      <c r="K1505" s="62" t="n"/>
      <c r="L1505" s="64" t="n"/>
      <c r="M1505" s="64" t="n"/>
      <c r="N1505" s="62" t="n"/>
      <c r="O1505" s="65">
        <f>IF(Z1505=1,L1505-W1505,"")</f>
        <v/>
      </c>
      <c r="P1505" s="66">
        <f>IF(V1505="","",IFERROR(INDEX(coa_Type,MATCH(V1505,coa_Name,0)),""))</f>
        <v/>
      </c>
      <c r="Q1505" s="66">
        <f>IF(Z1505=1,IF(U1505="In",K1505&amp;"",V1505),"")</f>
        <v/>
      </c>
      <c r="R1505" s="66">
        <f>IF(Z1505=1,IF(U1505="In",V1505,K1505&amp;""),"")</f>
        <v/>
      </c>
      <c r="S1505" s="66">
        <f>IF(X1505&lt;&gt;"","⛔ "&amp;X1505&amp;" — not posted",IF(Y1505&lt;&gt;"","⚠ "&amp;Y1505,IF(Z1505=1,"✓ OK","")))</f>
        <v/>
      </c>
      <c r="T1505" s="67">
        <f>IF(AND(C1505="",D1505="",E1505="",L1505="",K1505=""),1,0)</f>
        <v/>
      </c>
      <c r="U1505" s="67">
        <f>IFERROR(INDEX(tt_Dir,MATCH(D1505,tt_Type,0)),"")</f>
        <v/>
      </c>
      <c r="V1505" s="67">
        <f>IF(D1505="","",IFERROR(IF(INDEX(tt_Other,MATCH(D1505,tt_Type,0))="",E1505&amp;"",INDEX(tt_Other,MATCH(D1505,tt_Type,0))),""))</f>
        <v/>
      </c>
      <c r="W1505" s="68">
        <f>IF(OR(TaxOn&lt;&gt;"Yes",NOT(ISNUMBER(M1505))),0,IF(IFERROR(INDEX(tt_Tax,MATCH(D1505,tt_Type,0)),"No")="Yes",M1505,0))</f>
        <v/>
      </c>
      <c r="X1505" s="67">
        <f>IF(T1505=1,"",IF(C1505="","Missing transaction date",IF(NOT(ISNUMBER(C1505)),"Invalid date",IF(OR(C1505&lt;DATE(2000,1,1),C1505&gt;DATE(2099,12,31)),"Invalid date",IF(D1505="","Select a type",IF(U1505="","Unknown type: "&amp;D1505,IF(V1505="","Select an account (Category)",IF(ISNA(MATCH(V1505,coa_Name,0)),"Unknown account: "&amp;V1505,IF(K1505="","Select Paid From / Deposited To",IF(ISNA(MATCH(K1505,coa_Name,0)),"Unknown account: "&amp;K1505,IF(NOT(ISNUMBER(L1505)),"Enter an amount",IF(L1505=0,"Enter an amount",IF(ABS(W1505)&gt;ABS(L1505),"Tax is larger than the amount","")))))))))))))</f>
        <v/>
      </c>
      <c r="Y1505" s="67">
        <f>IF(OR(T1505=1,X1505&lt;&gt;""),"",IF(AND(B1505&lt;&gt;"",COUNTIF(tx_ID,B1505)&gt;1),"Duplicate transaction ID",IF(AND(L1505&lt;0,D1505&lt;&gt;"Adjustment"),"Negative amount — check this entry",IF(AND(D1505="Customer Payment",G1505=""),"Add the customer",IF(AND(D1505="Customer Payment",OR(J1505="",COUNTIF(ar_No,J1505&amp;"")=0)),"Invoice # in Reference not found on AR sheet",IF(AND(D1505="Bill Payment",H1505=""),"Add the vendor",IF(AND(D1505="Bill Payment",OR(J1505="",COUNTIFS(ap_No,J1505&amp;"",ap_Party,H1505&amp;"")=0)),"Bill # + vendor not found on AP sheet",IF(AND(ISNUMBER(M1505),N(M1505)&lt;&gt;0,W1505=0),"Tax ignored (tax tracking off, or not allowed for this type)",IF(V1505=K1505&amp;"","Same account on both sides",IF(AND(ISNUMBER(StartDate),C1505&lt;StartDate),"Date is before the accounting start date",IF(AND(D1505&lt;&gt;"Adjustment",IFERROR(INDEX(coa_Pay,MATCH(K1505&amp;"",coa_Name,0)),"")&lt;&gt;"Yes"),"Paid From / Deposited To is not a payment account","")))))))))))</f>
        <v/>
      </c>
      <c r="Z1505" s="67">
        <f>IF(AND(T1505=0,X1505=""),1,0)</f>
        <v/>
      </c>
      <c r="AA1505" s="68">
        <f>IF(Z1505=1,IF(U1505="In",L1505,L1505-W1505),0)</f>
        <v/>
      </c>
      <c r="AB1505" s="68">
        <f>IF(Z1505=1,IF(U1505="In",L1505-W1505,L1505),0)</f>
        <v/>
      </c>
      <c r="AC1505" s="68">
        <f>IF(AND(Z1505=1,U1505="Out"),W1505,0)</f>
        <v/>
      </c>
      <c r="AD1505" s="68">
        <f>IF(AND(Z1505=1,U1505="In"),W1505,0)</f>
        <v/>
      </c>
    </row>
    <row r="1506">
      <c r="B1506" s="62" t="inlineStr">
        <is>
          <t>TX-1500</t>
        </is>
      </c>
      <c r="C1506" s="63" t="n"/>
      <c r="D1506" s="62" t="n"/>
      <c r="E1506" s="62" t="n"/>
      <c r="F1506" s="62" t="n"/>
      <c r="G1506" s="62" t="n"/>
      <c r="H1506" s="62" t="n"/>
      <c r="I1506" s="62" t="n"/>
      <c r="J1506" s="62" t="n"/>
      <c r="K1506" s="62" t="n"/>
      <c r="L1506" s="64" t="n"/>
      <c r="M1506" s="64" t="n"/>
      <c r="N1506" s="62" t="n"/>
      <c r="O1506" s="65">
        <f>IF(Z1506=1,L1506-W1506,"")</f>
        <v/>
      </c>
      <c r="P1506" s="66">
        <f>IF(V1506="","",IFERROR(INDEX(coa_Type,MATCH(V1506,coa_Name,0)),""))</f>
        <v/>
      </c>
      <c r="Q1506" s="66">
        <f>IF(Z1506=1,IF(U1506="In",K1506&amp;"",V1506),"")</f>
        <v/>
      </c>
      <c r="R1506" s="66">
        <f>IF(Z1506=1,IF(U1506="In",V1506,K1506&amp;""),"")</f>
        <v/>
      </c>
      <c r="S1506" s="66">
        <f>IF(X1506&lt;&gt;"","⛔ "&amp;X1506&amp;" — not posted",IF(Y1506&lt;&gt;"","⚠ "&amp;Y1506,IF(Z1506=1,"✓ OK","")))</f>
        <v/>
      </c>
      <c r="T1506" s="67">
        <f>IF(AND(C1506="",D1506="",E1506="",L1506="",K1506=""),1,0)</f>
        <v/>
      </c>
      <c r="U1506" s="67">
        <f>IFERROR(INDEX(tt_Dir,MATCH(D1506,tt_Type,0)),"")</f>
        <v/>
      </c>
      <c r="V1506" s="67">
        <f>IF(D1506="","",IFERROR(IF(INDEX(tt_Other,MATCH(D1506,tt_Type,0))="",E1506&amp;"",INDEX(tt_Other,MATCH(D1506,tt_Type,0))),""))</f>
        <v/>
      </c>
      <c r="W1506" s="68">
        <f>IF(OR(TaxOn&lt;&gt;"Yes",NOT(ISNUMBER(M1506))),0,IF(IFERROR(INDEX(tt_Tax,MATCH(D1506,tt_Type,0)),"No")="Yes",M1506,0))</f>
        <v/>
      </c>
      <c r="X1506" s="67">
        <f>IF(T1506=1,"",IF(C1506="","Missing transaction date",IF(NOT(ISNUMBER(C1506)),"Invalid date",IF(OR(C1506&lt;DATE(2000,1,1),C1506&gt;DATE(2099,12,31)),"Invalid date",IF(D1506="","Select a type",IF(U1506="","Unknown type: "&amp;D1506,IF(V1506="","Select an account (Category)",IF(ISNA(MATCH(V1506,coa_Name,0)),"Unknown account: "&amp;V1506,IF(K1506="","Select Paid From / Deposited To",IF(ISNA(MATCH(K1506,coa_Name,0)),"Unknown account: "&amp;K1506,IF(NOT(ISNUMBER(L1506)),"Enter an amount",IF(L1506=0,"Enter an amount",IF(ABS(W1506)&gt;ABS(L1506),"Tax is larger than the amount","")))))))))))))</f>
        <v/>
      </c>
      <c r="Y1506" s="67">
        <f>IF(OR(T1506=1,X1506&lt;&gt;""),"",IF(AND(B1506&lt;&gt;"",COUNTIF(tx_ID,B1506)&gt;1),"Duplicate transaction ID",IF(AND(L1506&lt;0,D1506&lt;&gt;"Adjustment"),"Negative amount — check this entry",IF(AND(D1506="Customer Payment",G1506=""),"Add the customer",IF(AND(D1506="Customer Payment",OR(J1506="",COUNTIF(ar_No,J1506&amp;"")=0)),"Invoice # in Reference not found on AR sheet",IF(AND(D1506="Bill Payment",H1506=""),"Add the vendor",IF(AND(D1506="Bill Payment",OR(J1506="",COUNTIFS(ap_No,J1506&amp;"",ap_Party,H1506&amp;"")=0)),"Bill # + vendor not found on AP sheet",IF(AND(ISNUMBER(M1506),N(M1506)&lt;&gt;0,W1506=0),"Tax ignored (tax tracking off, or not allowed for this type)",IF(V1506=K1506&amp;"","Same account on both sides",IF(AND(ISNUMBER(StartDate),C1506&lt;StartDate),"Date is before the accounting start date",IF(AND(D1506&lt;&gt;"Adjustment",IFERROR(INDEX(coa_Pay,MATCH(K1506&amp;"",coa_Name,0)),"")&lt;&gt;"Yes"),"Paid From / Deposited To is not a payment account","")))))))))))</f>
        <v/>
      </c>
      <c r="Z1506" s="67">
        <f>IF(AND(T1506=0,X1506=""),1,0)</f>
        <v/>
      </c>
      <c r="AA1506" s="68">
        <f>IF(Z1506=1,IF(U1506="In",L1506,L1506-W1506),0)</f>
        <v/>
      </c>
      <c r="AB1506" s="68">
        <f>IF(Z1506=1,IF(U1506="In",L1506-W1506,L1506),0)</f>
        <v/>
      </c>
      <c r="AC1506" s="68">
        <f>IF(AND(Z1506=1,U1506="Out"),W1506,0)</f>
        <v/>
      </c>
      <c r="AD1506" s="68">
        <f>IF(AND(Z1506=1,U1506="In"),W1506,0)</f>
        <v/>
      </c>
    </row>
    <row r="1507">
      <c r="B1507" s="62" t="inlineStr">
        <is>
          <t>TX-1501</t>
        </is>
      </c>
      <c r="C1507" s="63" t="n"/>
      <c r="D1507" s="62" t="n"/>
      <c r="E1507" s="62" t="n"/>
      <c r="F1507" s="62" t="n"/>
      <c r="G1507" s="62" t="n"/>
      <c r="H1507" s="62" t="n"/>
      <c r="I1507" s="62" t="n"/>
      <c r="J1507" s="62" t="n"/>
      <c r="K1507" s="62" t="n"/>
      <c r="L1507" s="64" t="n"/>
      <c r="M1507" s="64" t="n"/>
      <c r="N1507" s="62" t="n"/>
      <c r="O1507" s="65">
        <f>IF(Z1507=1,L1507-W1507,"")</f>
        <v/>
      </c>
      <c r="P1507" s="66">
        <f>IF(V1507="","",IFERROR(INDEX(coa_Type,MATCH(V1507,coa_Name,0)),""))</f>
        <v/>
      </c>
      <c r="Q1507" s="66">
        <f>IF(Z1507=1,IF(U1507="In",K1507&amp;"",V1507),"")</f>
        <v/>
      </c>
      <c r="R1507" s="66">
        <f>IF(Z1507=1,IF(U1507="In",V1507,K1507&amp;""),"")</f>
        <v/>
      </c>
      <c r="S1507" s="66">
        <f>IF(X1507&lt;&gt;"","⛔ "&amp;X1507&amp;" — not posted",IF(Y1507&lt;&gt;"","⚠ "&amp;Y1507,IF(Z1507=1,"✓ OK","")))</f>
        <v/>
      </c>
      <c r="T1507" s="67">
        <f>IF(AND(C1507="",D1507="",E1507="",L1507="",K1507=""),1,0)</f>
        <v/>
      </c>
      <c r="U1507" s="67">
        <f>IFERROR(INDEX(tt_Dir,MATCH(D1507,tt_Type,0)),"")</f>
        <v/>
      </c>
      <c r="V1507" s="67">
        <f>IF(D1507="","",IFERROR(IF(INDEX(tt_Other,MATCH(D1507,tt_Type,0))="",E1507&amp;"",INDEX(tt_Other,MATCH(D1507,tt_Type,0))),""))</f>
        <v/>
      </c>
      <c r="W1507" s="68">
        <f>IF(OR(TaxOn&lt;&gt;"Yes",NOT(ISNUMBER(M1507))),0,IF(IFERROR(INDEX(tt_Tax,MATCH(D1507,tt_Type,0)),"No")="Yes",M1507,0))</f>
        <v/>
      </c>
      <c r="X1507" s="67">
        <f>IF(T1507=1,"",IF(C1507="","Missing transaction date",IF(NOT(ISNUMBER(C1507)),"Invalid date",IF(OR(C1507&lt;DATE(2000,1,1),C1507&gt;DATE(2099,12,31)),"Invalid date",IF(D1507="","Select a type",IF(U1507="","Unknown type: "&amp;D1507,IF(V1507="","Select an account (Category)",IF(ISNA(MATCH(V1507,coa_Name,0)),"Unknown account: "&amp;V1507,IF(K1507="","Select Paid From / Deposited To",IF(ISNA(MATCH(K1507,coa_Name,0)),"Unknown account: "&amp;K1507,IF(NOT(ISNUMBER(L1507)),"Enter an amount",IF(L1507=0,"Enter an amount",IF(ABS(W1507)&gt;ABS(L1507),"Tax is larger than the amount","")))))))))))))</f>
        <v/>
      </c>
      <c r="Y1507" s="67">
        <f>IF(OR(T1507=1,X1507&lt;&gt;""),"",IF(AND(B1507&lt;&gt;"",COUNTIF(tx_ID,B1507)&gt;1),"Duplicate transaction ID",IF(AND(L1507&lt;0,D1507&lt;&gt;"Adjustment"),"Negative amount — check this entry",IF(AND(D1507="Customer Payment",G1507=""),"Add the customer",IF(AND(D1507="Customer Payment",OR(J1507="",COUNTIF(ar_No,J1507&amp;"")=0)),"Invoice # in Reference not found on AR sheet",IF(AND(D1507="Bill Payment",H1507=""),"Add the vendor",IF(AND(D1507="Bill Payment",OR(J1507="",COUNTIFS(ap_No,J1507&amp;"",ap_Party,H1507&amp;"")=0)),"Bill # + vendor not found on AP sheet",IF(AND(ISNUMBER(M1507),N(M1507)&lt;&gt;0,W1507=0),"Tax ignored (tax tracking off, or not allowed for this type)",IF(V1507=K1507&amp;"","Same account on both sides",IF(AND(ISNUMBER(StartDate),C1507&lt;StartDate),"Date is before the accounting start date",IF(AND(D1507&lt;&gt;"Adjustment",IFERROR(INDEX(coa_Pay,MATCH(K1507&amp;"",coa_Name,0)),"")&lt;&gt;"Yes"),"Paid From / Deposited To is not a payment account","")))))))))))</f>
        <v/>
      </c>
      <c r="Z1507" s="67">
        <f>IF(AND(T1507=0,X1507=""),1,0)</f>
        <v/>
      </c>
      <c r="AA1507" s="68">
        <f>IF(Z1507=1,IF(U1507="In",L1507,L1507-W1507),0)</f>
        <v/>
      </c>
      <c r="AB1507" s="68">
        <f>IF(Z1507=1,IF(U1507="In",L1507-W1507,L1507),0)</f>
        <v/>
      </c>
      <c r="AC1507" s="68">
        <f>IF(AND(Z1507=1,U1507="Out"),W1507,0)</f>
        <v/>
      </c>
      <c r="AD1507" s="68">
        <f>IF(AND(Z1507=1,U1507="In"),W1507,0)</f>
        <v/>
      </c>
    </row>
    <row r="1508">
      <c r="B1508" s="62" t="inlineStr">
        <is>
          <t>TX-1502</t>
        </is>
      </c>
      <c r="C1508" s="63" t="n"/>
      <c r="D1508" s="62" t="n"/>
      <c r="E1508" s="62" t="n"/>
      <c r="F1508" s="62" t="n"/>
      <c r="G1508" s="62" t="n"/>
      <c r="H1508" s="62" t="n"/>
      <c r="I1508" s="62" t="n"/>
      <c r="J1508" s="62" t="n"/>
      <c r="K1508" s="62" t="n"/>
      <c r="L1508" s="64" t="n"/>
      <c r="M1508" s="64" t="n"/>
      <c r="N1508" s="62" t="n"/>
      <c r="O1508" s="65">
        <f>IF(Z1508=1,L1508-W1508,"")</f>
        <v/>
      </c>
      <c r="P1508" s="66">
        <f>IF(V1508="","",IFERROR(INDEX(coa_Type,MATCH(V1508,coa_Name,0)),""))</f>
        <v/>
      </c>
      <c r="Q1508" s="66">
        <f>IF(Z1508=1,IF(U1508="In",K1508&amp;"",V1508),"")</f>
        <v/>
      </c>
      <c r="R1508" s="66">
        <f>IF(Z1508=1,IF(U1508="In",V1508,K1508&amp;""),"")</f>
        <v/>
      </c>
      <c r="S1508" s="66">
        <f>IF(X1508&lt;&gt;"","⛔ "&amp;X1508&amp;" — not posted",IF(Y1508&lt;&gt;"","⚠ "&amp;Y1508,IF(Z1508=1,"✓ OK","")))</f>
        <v/>
      </c>
      <c r="T1508" s="67">
        <f>IF(AND(C1508="",D1508="",E1508="",L1508="",K1508=""),1,0)</f>
        <v/>
      </c>
      <c r="U1508" s="67">
        <f>IFERROR(INDEX(tt_Dir,MATCH(D1508,tt_Type,0)),"")</f>
        <v/>
      </c>
      <c r="V1508" s="67">
        <f>IF(D1508="","",IFERROR(IF(INDEX(tt_Other,MATCH(D1508,tt_Type,0))="",E1508&amp;"",INDEX(tt_Other,MATCH(D1508,tt_Type,0))),""))</f>
        <v/>
      </c>
      <c r="W1508" s="68">
        <f>IF(OR(TaxOn&lt;&gt;"Yes",NOT(ISNUMBER(M1508))),0,IF(IFERROR(INDEX(tt_Tax,MATCH(D1508,tt_Type,0)),"No")="Yes",M1508,0))</f>
        <v/>
      </c>
      <c r="X1508" s="67">
        <f>IF(T1508=1,"",IF(C1508="","Missing transaction date",IF(NOT(ISNUMBER(C1508)),"Invalid date",IF(OR(C1508&lt;DATE(2000,1,1),C1508&gt;DATE(2099,12,31)),"Invalid date",IF(D1508="","Select a type",IF(U1508="","Unknown type: "&amp;D1508,IF(V1508="","Select an account (Category)",IF(ISNA(MATCH(V1508,coa_Name,0)),"Unknown account: "&amp;V1508,IF(K1508="","Select Paid From / Deposited To",IF(ISNA(MATCH(K1508,coa_Name,0)),"Unknown account: "&amp;K1508,IF(NOT(ISNUMBER(L1508)),"Enter an amount",IF(L1508=0,"Enter an amount",IF(ABS(W1508)&gt;ABS(L1508),"Tax is larger than the amount","")))))))))))))</f>
        <v/>
      </c>
      <c r="Y1508" s="67">
        <f>IF(OR(T1508=1,X1508&lt;&gt;""),"",IF(AND(B1508&lt;&gt;"",COUNTIF(tx_ID,B1508)&gt;1),"Duplicate transaction ID",IF(AND(L1508&lt;0,D1508&lt;&gt;"Adjustment"),"Negative amount — check this entry",IF(AND(D1508="Customer Payment",G1508=""),"Add the customer",IF(AND(D1508="Customer Payment",OR(J1508="",COUNTIF(ar_No,J1508&amp;"")=0)),"Invoice # in Reference not found on AR sheet",IF(AND(D1508="Bill Payment",H1508=""),"Add the vendor",IF(AND(D1508="Bill Payment",OR(J1508="",COUNTIFS(ap_No,J1508&amp;"",ap_Party,H1508&amp;"")=0)),"Bill # + vendor not found on AP sheet",IF(AND(ISNUMBER(M1508),N(M1508)&lt;&gt;0,W1508=0),"Tax ignored (tax tracking off, or not allowed for this type)",IF(V1508=K1508&amp;"","Same account on both sides",IF(AND(ISNUMBER(StartDate),C1508&lt;StartDate),"Date is before the accounting start date",IF(AND(D1508&lt;&gt;"Adjustment",IFERROR(INDEX(coa_Pay,MATCH(K1508&amp;"",coa_Name,0)),"")&lt;&gt;"Yes"),"Paid From / Deposited To is not a payment account","")))))))))))</f>
        <v/>
      </c>
      <c r="Z1508" s="67">
        <f>IF(AND(T1508=0,X1508=""),1,0)</f>
        <v/>
      </c>
      <c r="AA1508" s="68">
        <f>IF(Z1508=1,IF(U1508="In",L1508,L1508-W1508),0)</f>
        <v/>
      </c>
      <c r="AB1508" s="68">
        <f>IF(Z1508=1,IF(U1508="In",L1508-W1508,L1508),0)</f>
        <v/>
      </c>
      <c r="AC1508" s="68">
        <f>IF(AND(Z1508=1,U1508="Out"),W1508,0)</f>
        <v/>
      </c>
      <c r="AD1508" s="68">
        <f>IF(AND(Z1508=1,U1508="In"),W1508,0)</f>
        <v/>
      </c>
    </row>
    <row r="1509">
      <c r="B1509" s="62" t="inlineStr">
        <is>
          <t>TX-1503</t>
        </is>
      </c>
      <c r="C1509" s="63" t="n"/>
      <c r="D1509" s="62" t="n"/>
      <c r="E1509" s="62" t="n"/>
      <c r="F1509" s="62" t="n"/>
      <c r="G1509" s="62" t="n"/>
      <c r="H1509" s="62" t="n"/>
      <c r="I1509" s="62" t="n"/>
      <c r="J1509" s="62" t="n"/>
      <c r="K1509" s="62" t="n"/>
      <c r="L1509" s="64" t="n"/>
      <c r="M1509" s="64" t="n"/>
      <c r="N1509" s="62" t="n"/>
      <c r="O1509" s="65">
        <f>IF(Z1509=1,L1509-W1509,"")</f>
        <v/>
      </c>
      <c r="P1509" s="66">
        <f>IF(V1509="","",IFERROR(INDEX(coa_Type,MATCH(V1509,coa_Name,0)),""))</f>
        <v/>
      </c>
      <c r="Q1509" s="66">
        <f>IF(Z1509=1,IF(U1509="In",K1509&amp;"",V1509),"")</f>
        <v/>
      </c>
      <c r="R1509" s="66">
        <f>IF(Z1509=1,IF(U1509="In",V1509,K1509&amp;""),"")</f>
        <v/>
      </c>
      <c r="S1509" s="66">
        <f>IF(X1509&lt;&gt;"","⛔ "&amp;X1509&amp;" — not posted",IF(Y1509&lt;&gt;"","⚠ "&amp;Y1509,IF(Z1509=1,"✓ OK","")))</f>
        <v/>
      </c>
      <c r="T1509" s="67">
        <f>IF(AND(C1509="",D1509="",E1509="",L1509="",K1509=""),1,0)</f>
        <v/>
      </c>
      <c r="U1509" s="67">
        <f>IFERROR(INDEX(tt_Dir,MATCH(D1509,tt_Type,0)),"")</f>
        <v/>
      </c>
      <c r="V1509" s="67">
        <f>IF(D1509="","",IFERROR(IF(INDEX(tt_Other,MATCH(D1509,tt_Type,0))="",E1509&amp;"",INDEX(tt_Other,MATCH(D1509,tt_Type,0))),""))</f>
        <v/>
      </c>
      <c r="W1509" s="68">
        <f>IF(OR(TaxOn&lt;&gt;"Yes",NOT(ISNUMBER(M1509))),0,IF(IFERROR(INDEX(tt_Tax,MATCH(D1509,tt_Type,0)),"No")="Yes",M1509,0))</f>
        <v/>
      </c>
      <c r="X1509" s="67">
        <f>IF(T1509=1,"",IF(C1509="","Missing transaction date",IF(NOT(ISNUMBER(C1509)),"Invalid date",IF(OR(C1509&lt;DATE(2000,1,1),C1509&gt;DATE(2099,12,31)),"Invalid date",IF(D1509="","Select a type",IF(U1509="","Unknown type: "&amp;D1509,IF(V1509="","Select an account (Category)",IF(ISNA(MATCH(V1509,coa_Name,0)),"Unknown account: "&amp;V1509,IF(K1509="","Select Paid From / Deposited To",IF(ISNA(MATCH(K1509,coa_Name,0)),"Unknown account: "&amp;K1509,IF(NOT(ISNUMBER(L1509)),"Enter an amount",IF(L1509=0,"Enter an amount",IF(ABS(W1509)&gt;ABS(L1509),"Tax is larger than the amount","")))))))))))))</f>
        <v/>
      </c>
      <c r="Y1509" s="67">
        <f>IF(OR(T1509=1,X1509&lt;&gt;""),"",IF(AND(B1509&lt;&gt;"",COUNTIF(tx_ID,B1509)&gt;1),"Duplicate transaction ID",IF(AND(L1509&lt;0,D1509&lt;&gt;"Adjustment"),"Negative amount — check this entry",IF(AND(D1509="Customer Payment",G1509=""),"Add the customer",IF(AND(D1509="Customer Payment",OR(J1509="",COUNTIF(ar_No,J1509&amp;"")=0)),"Invoice # in Reference not found on AR sheet",IF(AND(D1509="Bill Payment",H1509=""),"Add the vendor",IF(AND(D1509="Bill Payment",OR(J1509="",COUNTIFS(ap_No,J1509&amp;"",ap_Party,H1509&amp;"")=0)),"Bill # + vendor not found on AP sheet",IF(AND(ISNUMBER(M1509),N(M1509)&lt;&gt;0,W1509=0),"Tax ignored (tax tracking off, or not allowed for this type)",IF(V1509=K1509&amp;"","Same account on both sides",IF(AND(ISNUMBER(StartDate),C1509&lt;StartDate),"Date is before the accounting start date",IF(AND(D1509&lt;&gt;"Adjustment",IFERROR(INDEX(coa_Pay,MATCH(K1509&amp;"",coa_Name,0)),"")&lt;&gt;"Yes"),"Paid From / Deposited To is not a payment account","")))))))))))</f>
        <v/>
      </c>
      <c r="Z1509" s="67">
        <f>IF(AND(T1509=0,X1509=""),1,0)</f>
        <v/>
      </c>
      <c r="AA1509" s="68">
        <f>IF(Z1509=1,IF(U1509="In",L1509,L1509-W1509),0)</f>
        <v/>
      </c>
      <c r="AB1509" s="68">
        <f>IF(Z1509=1,IF(U1509="In",L1509-W1509,L1509),0)</f>
        <v/>
      </c>
      <c r="AC1509" s="68">
        <f>IF(AND(Z1509=1,U1509="Out"),W1509,0)</f>
        <v/>
      </c>
      <c r="AD1509" s="68">
        <f>IF(AND(Z1509=1,U1509="In"),W1509,0)</f>
        <v/>
      </c>
    </row>
    <row r="1510">
      <c r="B1510" s="62" t="inlineStr">
        <is>
          <t>TX-1504</t>
        </is>
      </c>
      <c r="C1510" s="63" t="n"/>
      <c r="D1510" s="62" t="n"/>
      <c r="E1510" s="62" t="n"/>
      <c r="F1510" s="62" t="n"/>
      <c r="G1510" s="62" t="n"/>
      <c r="H1510" s="62" t="n"/>
      <c r="I1510" s="62" t="n"/>
      <c r="J1510" s="62" t="n"/>
      <c r="K1510" s="62" t="n"/>
      <c r="L1510" s="64" t="n"/>
      <c r="M1510" s="64" t="n"/>
      <c r="N1510" s="62" t="n"/>
      <c r="O1510" s="65">
        <f>IF(Z1510=1,L1510-W1510,"")</f>
        <v/>
      </c>
      <c r="P1510" s="66">
        <f>IF(V1510="","",IFERROR(INDEX(coa_Type,MATCH(V1510,coa_Name,0)),""))</f>
        <v/>
      </c>
      <c r="Q1510" s="66">
        <f>IF(Z1510=1,IF(U1510="In",K1510&amp;"",V1510),"")</f>
        <v/>
      </c>
      <c r="R1510" s="66">
        <f>IF(Z1510=1,IF(U1510="In",V1510,K1510&amp;""),"")</f>
        <v/>
      </c>
      <c r="S1510" s="66">
        <f>IF(X1510&lt;&gt;"","⛔ "&amp;X1510&amp;" — not posted",IF(Y1510&lt;&gt;"","⚠ "&amp;Y1510,IF(Z1510=1,"✓ OK","")))</f>
        <v/>
      </c>
      <c r="T1510" s="67">
        <f>IF(AND(C1510="",D1510="",E1510="",L1510="",K1510=""),1,0)</f>
        <v/>
      </c>
      <c r="U1510" s="67">
        <f>IFERROR(INDEX(tt_Dir,MATCH(D1510,tt_Type,0)),"")</f>
        <v/>
      </c>
      <c r="V1510" s="67">
        <f>IF(D1510="","",IFERROR(IF(INDEX(tt_Other,MATCH(D1510,tt_Type,0))="",E1510&amp;"",INDEX(tt_Other,MATCH(D1510,tt_Type,0))),""))</f>
        <v/>
      </c>
      <c r="W1510" s="68">
        <f>IF(OR(TaxOn&lt;&gt;"Yes",NOT(ISNUMBER(M1510))),0,IF(IFERROR(INDEX(tt_Tax,MATCH(D1510,tt_Type,0)),"No")="Yes",M1510,0))</f>
        <v/>
      </c>
      <c r="X1510" s="67">
        <f>IF(T1510=1,"",IF(C1510="","Missing transaction date",IF(NOT(ISNUMBER(C1510)),"Invalid date",IF(OR(C1510&lt;DATE(2000,1,1),C1510&gt;DATE(2099,12,31)),"Invalid date",IF(D1510="","Select a type",IF(U1510="","Unknown type: "&amp;D1510,IF(V1510="","Select an account (Category)",IF(ISNA(MATCH(V1510,coa_Name,0)),"Unknown account: "&amp;V1510,IF(K1510="","Select Paid From / Deposited To",IF(ISNA(MATCH(K1510,coa_Name,0)),"Unknown account: "&amp;K1510,IF(NOT(ISNUMBER(L1510)),"Enter an amount",IF(L1510=0,"Enter an amount",IF(ABS(W1510)&gt;ABS(L1510),"Tax is larger than the amount","")))))))))))))</f>
        <v/>
      </c>
      <c r="Y1510" s="67">
        <f>IF(OR(T1510=1,X1510&lt;&gt;""),"",IF(AND(B1510&lt;&gt;"",COUNTIF(tx_ID,B1510)&gt;1),"Duplicate transaction ID",IF(AND(L1510&lt;0,D1510&lt;&gt;"Adjustment"),"Negative amount — check this entry",IF(AND(D1510="Customer Payment",G1510=""),"Add the customer",IF(AND(D1510="Customer Payment",OR(J1510="",COUNTIF(ar_No,J1510&amp;"")=0)),"Invoice # in Reference not found on AR sheet",IF(AND(D1510="Bill Payment",H1510=""),"Add the vendor",IF(AND(D1510="Bill Payment",OR(J1510="",COUNTIFS(ap_No,J1510&amp;"",ap_Party,H1510&amp;"")=0)),"Bill # + vendor not found on AP sheet",IF(AND(ISNUMBER(M1510),N(M1510)&lt;&gt;0,W1510=0),"Tax ignored (tax tracking off, or not allowed for this type)",IF(V1510=K1510&amp;"","Same account on both sides",IF(AND(ISNUMBER(StartDate),C1510&lt;StartDate),"Date is before the accounting start date",IF(AND(D1510&lt;&gt;"Adjustment",IFERROR(INDEX(coa_Pay,MATCH(K1510&amp;"",coa_Name,0)),"")&lt;&gt;"Yes"),"Paid From / Deposited To is not a payment account","")))))))))))</f>
        <v/>
      </c>
      <c r="Z1510" s="67">
        <f>IF(AND(T1510=0,X1510=""),1,0)</f>
        <v/>
      </c>
      <c r="AA1510" s="68">
        <f>IF(Z1510=1,IF(U1510="In",L1510,L1510-W1510),0)</f>
        <v/>
      </c>
      <c r="AB1510" s="68">
        <f>IF(Z1510=1,IF(U1510="In",L1510-W1510,L1510),0)</f>
        <v/>
      </c>
      <c r="AC1510" s="68">
        <f>IF(AND(Z1510=1,U1510="Out"),W1510,0)</f>
        <v/>
      </c>
      <c r="AD1510" s="68">
        <f>IF(AND(Z1510=1,U1510="In"),W1510,0)</f>
        <v/>
      </c>
    </row>
    <row r="1511">
      <c r="B1511" s="62" t="inlineStr">
        <is>
          <t>TX-1505</t>
        </is>
      </c>
      <c r="C1511" s="63" t="n"/>
      <c r="D1511" s="62" t="n"/>
      <c r="E1511" s="62" t="n"/>
      <c r="F1511" s="62" t="n"/>
      <c r="G1511" s="62" t="n"/>
      <c r="H1511" s="62" t="n"/>
      <c r="I1511" s="62" t="n"/>
      <c r="J1511" s="62" t="n"/>
      <c r="K1511" s="62" t="n"/>
      <c r="L1511" s="64" t="n"/>
      <c r="M1511" s="64" t="n"/>
      <c r="N1511" s="62" t="n"/>
      <c r="O1511" s="65">
        <f>IF(Z1511=1,L1511-W1511,"")</f>
        <v/>
      </c>
      <c r="P1511" s="66">
        <f>IF(V1511="","",IFERROR(INDEX(coa_Type,MATCH(V1511,coa_Name,0)),""))</f>
        <v/>
      </c>
      <c r="Q1511" s="66">
        <f>IF(Z1511=1,IF(U1511="In",K1511&amp;"",V1511),"")</f>
        <v/>
      </c>
      <c r="R1511" s="66">
        <f>IF(Z1511=1,IF(U1511="In",V1511,K1511&amp;""),"")</f>
        <v/>
      </c>
      <c r="S1511" s="66">
        <f>IF(X1511&lt;&gt;"","⛔ "&amp;X1511&amp;" — not posted",IF(Y1511&lt;&gt;"","⚠ "&amp;Y1511,IF(Z1511=1,"✓ OK","")))</f>
        <v/>
      </c>
      <c r="T1511" s="67">
        <f>IF(AND(C1511="",D1511="",E1511="",L1511="",K1511=""),1,0)</f>
        <v/>
      </c>
      <c r="U1511" s="67">
        <f>IFERROR(INDEX(tt_Dir,MATCH(D1511,tt_Type,0)),"")</f>
        <v/>
      </c>
      <c r="V1511" s="67">
        <f>IF(D1511="","",IFERROR(IF(INDEX(tt_Other,MATCH(D1511,tt_Type,0))="",E1511&amp;"",INDEX(tt_Other,MATCH(D1511,tt_Type,0))),""))</f>
        <v/>
      </c>
      <c r="W1511" s="68">
        <f>IF(OR(TaxOn&lt;&gt;"Yes",NOT(ISNUMBER(M1511))),0,IF(IFERROR(INDEX(tt_Tax,MATCH(D1511,tt_Type,0)),"No")="Yes",M1511,0))</f>
        <v/>
      </c>
      <c r="X1511" s="67">
        <f>IF(T1511=1,"",IF(C1511="","Missing transaction date",IF(NOT(ISNUMBER(C1511)),"Invalid date",IF(OR(C1511&lt;DATE(2000,1,1),C1511&gt;DATE(2099,12,31)),"Invalid date",IF(D1511="","Select a type",IF(U1511="","Unknown type: "&amp;D1511,IF(V1511="","Select an account (Category)",IF(ISNA(MATCH(V1511,coa_Name,0)),"Unknown account: "&amp;V1511,IF(K1511="","Select Paid From / Deposited To",IF(ISNA(MATCH(K1511,coa_Name,0)),"Unknown account: "&amp;K1511,IF(NOT(ISNUMBER(L1511)),"Enter an amount",IF(L1511=0,"Enter an amount",IF(ABS(W1511)&gt;ABS(L1511),"Tax is larger than the amount","")))))))))))))</f>
        <v/>
      </c>
      <c r="Y1511" s="67">
        <f>IF(OR(T1511=1,X1511&lt;&gt;""),"",IF(AND(B1511&lt;&gt;"",COUNTIF(tx_ID,B1511)&gt;1),"Duplicate transaction ID",IF(AND(L1511&lt;0,D1511&lt;&gt;"Adjustment"),"Negative amount — check this entry",IF(AND(D1511="Customer Payment",G1511=""),"Add the customer",IF(AND(D1511="Customer Payment",OR(J1511="",COUNTIF(ar_No,J1511&amp;"")=0)),"Invoice # in Reference not found on AR sheet",IF(AND(D1511="Bill Payment",H1511=""),"Add the vendor",IF(AND(D1511="Bill Payment",OR(J1511="",COUNTIFS(ap_No,J1511&amp;"",ap_Party,H1511&amp;"")=0)),"Bill # + vendor not found on AP sheet",IF(AND(ISNUMBER(M1511),N(M1511)&lt;&gt;0,W1511=0),"Tax ignored (tax tracking off, or not allowed for this type)",IF(V1511=K1511&amp;"","Same account on both sides",IF(AND(ISNUMBER(StartDate),C1511&lt;StartDate),"Date is before the accounting start date",IF(AND(D1511&lt;&gt;"Adjustment",IFERROR(INDEX(coa_Pay,MATCH(K1511&amp;"",coa_Name,0)),"")&lt;&gt;"Yes"),"Paid From / Deposited To is not a payment account","")))))))))))</f>
        <v/>
      </c>
      <c r="Z1511" s="67">
        <f>IF(AND(T1511=0,X1511=""),1,0)</f>
        <v/>
      </c>
      <c r="AA1511" s="68">
        <f>IF(Z1511=1,IF(U1511="In",L1511,L1511-W1511),0)</f>
        <v/>
      </c>
      <c r="AB1511" s="68">
        <f>IF(Z1511=1,IF(U1511="In",L1511-W1511,L1511),0)</f>
        <v/>
      </c>
      <c r="AC1511" s="68">
        <f>IF(AND(Z1511=1,U1511="Out"),W1511,0)</f>
        <v/>
      </c>
      <c r="AD1511" s="68">
        <f>IF(AND(Z1511=1,U1511="In"),W1511,0)</f>
        <v/>
      </c>
    </row>
    <row r="1512">
      <c r="B1512" s="62" t="inlineStr">
        <is>
          <t>TX-1506</t>
        </is>
      </c>
      <c r="C1512" s="63" t="n"/>
      <c r="D1512" s="62" t="n"/>
      <c r="E1512" s="62" t="n"/>
      <c r="F1512" s="62" t="n"/>
      <c r="G1512" s="62" t="n"/>
      <c r="H1512" s="62" t="n"/>
      <c r="I1512" s="62" t="n"/>
      <c r="J1512" s="62" t="n"/>
      <c r="K1512" s="62" t="n"/>
      <c r="L1512" s="64" t="n"/>
      <c r="M1512" s="64" t="n"/>
      <c r="N1512" s="62" t="n"/>
      <c r="O1512" s="65">
        <f>IF(Z1512=1,L1512-W1512,"")</f>
        <v/>
      </c>
      <c r="P1512" s="66">
        <f>IF(V1512="","",IFERROR(INDEX(coa_Type,MATCH(V1512,coa_Name,0)),""))</f>
        <v/>
      </c>
      <c r="Q1512" s="66">
        <f>IF(Z1512=1,IF(U1512="In",K1512&amp;"",V1512),"")</f>
        <v/>
      </c>
      <c r="R1512" s="66">
        <f>IF(Z1512=1,IF(U1512="In",V1512,K1512&amp;""),"")</f>
        <v/>
      </c>
      <c r="S1512" s="66">
        <f>IF(X1512&lt;&gt;"","⛔ "&amp;X1512&amp;" — not posted",IF(Y1512&lt;&gt;"","⚠ "&amp;Y1512,IF(Z1512=1,"✓ OK","")))</f>
        <v/>
      </c>
      <c r="T1512" s="67">
        <f>IF(AND(C1512="",D1512="",E1512="",L1512="",K1512=""),1,0)</f>
        <v/>
      </c>
      <c r="U1512" s="67">
        <f>IFERROR(INDEX(tt_Dir,MATCH(D1512,tt_Type,0)),"")</f>
        <v/>
      </c>
      <c r="V1512" s="67">
        <f>IF(D1512="","",IFERROR(IF(INDEX(tt_Other,MATCH(D1512,tt_Type,0))="",E1512&amp;"",INDEX(tt_Other,MATCH(D1512,tt_Type,0))),""))</f>
        <v/>
      </c>
      <c r="W1512" s="68">
        <f>IF(OR(TaxOn&lt;&gt;"Yes",NOT(ISNUMBER(M1512))),0,IF(IFERROR(INDEX(tt_Tax,MATCH(D1512,tt_Type,0)),"No")="Yes",M1512,0))</f>
        <v/>
      </c>
      <c r="X1512" s="67">
        <f>IF(T1512=1,"",IF(C1512="","Missing transaction date",IF(NOT(ISNUMBER(C1512)),"Invalid date",IF(OR(C1512&lt;DATE(2000,1,1),C1512&gt;DATE(2099,12,31)),"Invalid date",IF(D1512="","Select a type",IF(U1512="","Unknown type: "&amp;D1512,IF(V1512="","Select an account (Category)",IF(ISNA(MATCH(V1512,coa_Name,0)),"Unknown account: "&amp;V1512,IF(K1512="","Select Paid From / Deposited To",IF(ISNA(MATCH(K1512,coa_Name,0)),"Unknown account: "&amp;K1512,IF(NOT(ISNUMBER(L1512)),"Enter an amount",IF(L1512=0,"Enter an amount",IF(ABS(W1512)&gt;ABS(L1512),"Tax is larger than the amount","")))))))))))))</f>
        <v/>
      </c>
      <c r="Y1512" s="67">
        <f>IF(OR(T1512=1,X1512&lt;&gt;""),"",IF(AND(B1512&lt;&gt;"",COUNTIF(tx_ID,B1512)&gt;1),"Duplicate transaction ID",IF(AND(L1512&lt;0,D1512&lt;&gt;"Adjustment"),"Negative amount — check this entry",IF(AND(D1512="Customer Payment",G1512=""),"Add the customer",IF(AND(D1512="Customer Payment",OR(J1512="",COUNTIF(ar_No,J1512&amp;"")=0)),"Invoice # in Reference not found on AR sheet",IF(AND(D1512="Bill Payment",H1512=""),"Add the vendor",IF(AND(D1512="Bill Payment",OR(J1512="",COUNTIFS(ap_No,J1512&amp;"",ap_Party,H1512&amp;"")=0)),"Bill # + vendor not found on AP sheet",IF(AND(ISNUMBER(M1512),N(M1512)&lt;&gt;0,W1512=0),"Tax ignored (tax tracking off, or not allowed for this type)",IF(V1512=K1512&amp;"","Same account on both sides",IF(AND(ISNUMBER(StartDate),C1512&lt;StartDate),"Date is before the accounting start date",IF(AND(D1512&lt;&gt;"Adjustment",IFERROR(INDEX(coa_Pay,MATCH(K1512&amp;"",coa_Name,0)),"")&lt;&gt;"Yes"),"Paid From / Deposited To is not a payment account","")))))))))))</f>
        <v/>
      </c>
      <c r="Z1512" s="67">
        <f>IF(AND(T1512=0,X1512=""),1,0)</f>
        <v/>
      </c>
      <c r="AA1512" s="68">
        <f>IF(Z1512=1,IF(U1512="In",L1512,L1512-W1512),0)</f>
        <v/>
      </c>
      <c r="AB1512" s="68">
        <f>IF(Z1512=1,IF(U1512="In",L1512-W1512,L1512),0)</f>
        <v/>
      </c>
      <c r="AC1512" s="68">
        <f>IF(AND(Z1512=1,U1512="Out"),W1512,0)</f>
        <v/>
      </c>
      <c r="AD1512" s="68">
        <f>IF(AND(Z1512=1,U1512="In"),W1512,0)</f>
        <v/>
      </c>
    </row>
    <row r="1513">
      <c r="B1513" s="62" t="inlineStr">
        <is>
          <t>TX-1507</t>
        </is>
      </c>
      <c r="C1513" s="63" t="n"/>
      <c r="D1513" s="62" t="n"/>
      <c r="E1513" s="62" t="n"/>
      <c r="F1513" s="62" t="n"/>
      <c r="G1513" s="62" t="n"/>
      <c r="H1513" s="62" t="n"/>
      <c r="I1513" s="62" t="n"/>
      <c r="J1513" s="62" t="n"/>
      <c r="K1513" s="62" t="n"/>
      <c r="L1513" s="64" t="n"/>
      <c r="M1513" s="64" t="n"/>
      <c r="N1513" s="62" t="n"/>
      <c r="O1513" s="65">
        <f>IF(Z1513=1,L1513-W1513,"")</f>
        <v/>
      </c>
      <c r="P1513" s="66">
        <f>IF(V1513="","",IFERROR(INDEX(coa_Type,MATCH(V1513,coa_Name,0)),""))</f>
        <v/>
      </c>
      <c r="Q1513" s="66">
        <f>IF(Z1513=1,IF(U1513="In",K1513&amp;"",V1513),"")</f>
        <v/>
      </c>
      <c r="R1513" s="66">
        <f>IF(Z1513=1,IF(U1513="In",V1513,K1513&amp;""),"")</f>
        <v/>
      </c>
      <c r="S1513" s="66">
        <f>IF(X1513&lt;&gt;"","⛔ "&amp;X1513&amp;" — not posted",IF(Y1513&lt;&gt;"","⚠ "&amp;Y1513,IF(Z1513=1,"✓ OK","")))</f>
        <v/>
      </c>
      <c r="T1513" s="67">
        <f>IF(AND(C1513="",D1513="",E1513="",L1513="",K1513=""),1,0)</f>
        <v/>
      </c>
      <c r="U1513" s="67">
        <f>IFERROR(INDEX(tt_Dir,MATCH(D1513,tt_Type,0)),"")</f>
        <v/>
      </c>
      <c r="V1513" s="67">
        <f>IF(D1513="","",IFERROR(IF(INDEX(tt_Other,MATCH(D1513,tt_Type,0))="",E1513&amp;"",INDEX(tt_Other,MATCH(D1513,tt_Type,0))),""))</f>
        <v/>
      </c>
      <c r="W1513" s="68">
        <f>IF(OR(TaxOn&lt;&gt;"Yes",NOT(ISNUMBER(M1513))),0,IF(IFERROR(INDEX(tt_Tax,MATCH(D1513,tt_Type,0)),"No")="Yes",M1513,0))</f>
        <v/>
      </c>
      <c r="X1513" s="67">
        <f>IF(T1513=1,"",IF(C1513="","Missing transaction date",IF(NOT(ISNUMBER(C1513)),"Invalid date",IF(OR(C1513&lt;DATE(2000,1,1),C1513&gt;DATE(2099,12,31)),"Invalid date",IF(D1513="","Select a type",IF(U1513="","Unknown type: "&amp;D1513,IF(V1513="","Select an account (Category)",IF(ISNA(MATCH(V1513,coa_Name,0)),"Unknown account: "&amp;V1513,IF(K1513="","Select Paid From / Deposited To",IF(ISNA(MATCH(K1513,coa_Name,0)),"Unknown account: "&amp;K1513,IF(NOT(ISNUMBER(L1513)),"Enter an amount",IF(L1513=0,"Enter an amount",IF(ABS(W1513)&gt;ABS(L1513),"Tax is larger than the amount","")))))))))))))</f>
        <v/>
      </c>
      <c r="Y1513" s="67">
        <f>IF(OR(T1513=1,X1513&lt;&gt;""),"",IF(AND(B1513&lt;&gt;"",COUNTIF(tx_ID,B1513)&gt;1),"Duplicate transaction ID",IF(AND(L1513&lt;0,D1513&lt;&gt;"Adjustment"),"Negative amount — check this entry",IF(AND(D1513="Customer Payment",G1513=""),"Add the customer",IF(AND(D1513="Customer Payment",OR(J1513="",COUNTIF(ar_No,J1513&amp;"")=0)),"Invoice # in Reference not found on AR sheet",IF(AND(D1513="Bill Payment",H1513=""),"Add the vendor",IF(AND(D1513="Bill Payment",OR(J1513="",COUNTIFS(ap_No,J1513&amp;"",ap_Party,H1513&amp;"")=0)),"Bill # + vendor not found on AP sheet",IF(AND(ISNUMBER(M1513),N(M1513)&lt;&gt;0,W1513=0),"Tax ignored (tax tracking off, or not allowed for this type)",IF(V1513=K1513&amp;"","Same account on both sides",IF(AND(ISNUMBER(StartDate),C1513&lt;StartDate),"Date is before the accounting start date",IF(AND(D1513&lt;&gt;"Adjustment",IFERROR(INDEX(coa_Pay,MATCH(K1513&amp;"",coa_Name,0)),"")&lt;&gt;"Yes"),"Paid From / Deposited To is not a payment account","")))))))))))</f>
        <v/>
      </c>
      <c r="Z1513" s="67">
        <f>IF(AND(T1513=0,X1513=""),1,0)</f>
        <v/>
      </c>
      <c r="AA1513" s="68">
        <f>IF(Z1513=1,IF(U1513="In",L1513,L1513-W1513),0)</f>
        <v/>
      </c>
      <c r="AB1513" s="68">
        <f>IF(Z1513=1,IF(U1513="In",L1513-W1513,L1513),0)</f>
        <v/>
      </c>
      <c r="AC1513" s="68">
        <f>IF(AND(Z1513=1,U1513="Out"),W1513,0)</f>
        <v/>
      </c>
      <c r="AD1513" s="68">
        <f>IF(AND(Z1513=1,U1513="In"),W1513,0)</f>
        <v/>
      </c>
    </row>
    <row r="1514">
      <c r="B1514" s="62" t="inlineStr">
        <is>
          <t>TX-1508</t>
        </is>
      </c>
      <c r="C1514" s="63" t="n"/>
      <c r="D1514" s="62" t="n"/>
      <c r="E1514" s="62" t="n"/>
      <c r="F1514" s="62" t="n"/>
      <c r="G1514" s="62" t="n"/>
      <c r="H1514" s="62" t="n"/>
      <c r="I1514" s="62" t="n"/>
      <c r="J1514" s="62" t="n"/>
      <c r="K1514" s="62" t="n"/>
      <c r="L1514" s="64" t="n"/>
      <c r="M1514" s="64" t="n"/>
      <c r="N1514" s="62" t="n"/>
      <c r="O1514" s="65">
        <f>IF(Z1514=1,L1514-W1514,"")</f>
        <v/>
      </c>
      <c r="P1514" s="66">
        <f>IF(V1514="","",IFERROR(INDEX(coa_Type,MATCH(V1514,coa_Name,0)),""))</f>
        <v/>
      </c>
      <c r="Q1514" s="66">
        <f>IF(Z1514=1,IF(U1514="In",K1514&amp;"",V1514),"")</f>
        <v/>
      </c>
      <c r="R1514" s="66">
        <f>IF(Z1514=1,IF(U1514="In",V1514,K1514&amp;""),"")</f>
        <v/>
      </c>
      <c r="S1514" s="66">
        <f>IF(X1514&lt;&gt;"","⛔ "&amp;X1514&amp;" — not posted",IF(Y1514&lt;&gt;"","⚠ "&amp;Y1514,IF(Z1514=1,"✓ OK","")))</f>
        <v/>
      </c>
      <c r="T1514" s="67">
        <f>IF(AND(C1514="",D1514="",E1514="",L1514="",K1514=""),1,0)</f>
        <v/>
      </c>
      <c r="U1514" s="67">
        <f>IFERROR(INDEX(tt_Dir,MATCH(D1514,tt_Type,0)),"")</f>
        <v/>
      </c>
      <c r="V1514" s="67">
        <f>IF(D1514="","",IFERROR(IF(INDEX(tt_Other,MATCH(D1514,tt_Type,0))="",E1514&amp;"",INDEX(tt_Other,MATCH(D1514,tt_Type,0))),""))</f>
        <v/>
      </c>
      <c r="W1514" s="68">
        <f>IF(OR(TaxOn&lt;&gt;"Yes",NOT(ISNUMBER(M1514))),0,IF(IFERROR(INDEX(tt_Tax,MATCH(D1514,tt_Type,0)),"No")="Yes",M1514,0))</f>
        <v/>
      </c>
      <c r="X1514" s="67">
        <f>IF(T1514=1,"",IF(C1514="","Missing transaction date",IF(NOT(ISNUMBER(C1514)),"Invalid date",IF(OR(C1514&lt;DATE(2000,1,1),C1514&gt;DATE(2099,12,31)),"Invalid date",IF(D1514="","Select a type",IF(U1514="","Unknown type: "&amp;D1514,IF(V1514="","Select an account (Category)",IF(ISNA(MATCH(V1514,coa_Name,0)),"Unknown account: "&amp;V1514,IF(K1514="","Select Paid From / Deposited To",IF(ISNA(MATCH(K1514,coa_Name,0)),"Unknown account: "&amp;K1514,IF(NOT(ISNUMBER(L1514)),"Enter an amount",IF(L1514=0,"Enter an amount",IF(ABS(W1514)&gt;ABS(L1514),"Tax is larger than the amount","")))))))))))))</f>
        <v/>
      </c>
      <c r="Y1514" s="67">
        <f>IF(OR(T1514=1,X1514&lt;&gt;""),"",IF(AND(B1514&lt;&gt;"",COUNTIF(tx_ID,B1514)&gt;1),"Duplicate transaction ID",IF(AND(L1514&lt;0,D1514&lt;&gt;"Adjustment"),"Negative amount — check this entry",IF(AND(D1514="Customer Payment",G1514=""),"Add the customer",IF(AND(D1514="Customer Payment",OR(J1514="",COUNTIF(ar_No,J1514&amp;"")=0)),"Invoice # in Reference not found on AR sheet",IF(AND(D1514="Bill Payment",H1514=""),"Add the vendor",IF(AND(D1514="Bill Payment",OR(J1514="",COUNTIFS(ap_No,J1514&amp;"",ap_Party,H1514&amp;"")=0)),"Bill # + vendor not found on AP sheet",IF(AND(ISNUMBER(M1514),N(M1514)&lt;&gt;0,W1514=0),"Tax ignored (tax tracking off, or not allowed for this type)",IF(V1514=K1514&amp;"","Same account on both sides",IF(AND(ISNUMBER(StartDate),C1514&lt;StartDate),"Date is before the accounting start date",IF(AND(D1514&lt;&gt;"Adjustment",IFERROR(INDEX(coa_Pay,MATCH(K1514&amp;"",coa_Name,0)),"")&lt;&gt;"Yes"),"Paid From / Deposited To is not a payment account","")))))))))))</f>
        <v/>
      </c>
      <c r="Z1514" s="67">
        <f>IF(AND(T1514=0,X1514=""),1,0)</f>
        <v/>
      </c>
      <c r="AA1514" s="68">
        <f>IF(Z1514=1,IF(U1514="In",L1514,L1514-W1514),0)</f>
        <v/>
      </c>
      <c r="AB1514" s="68">
        <f>IF(Z1514=1,IF(U1514="In",L1514-W1514,L1514),0)</f>
        <v/>
      </c>
      <c r="AC1514" s="68">
        <f>IF(AND(Z1514=1,U1514="Out"),W1514,0)</f>
        <v/>
      </c>
      <c r="AD1514" s="68">
        <f>IF(AND(Z1514=1,U1514="In"),W1514,0)</f>
        <v/>
      </c>
    </row>
    <row r="1515">
      <c r="B1515" s="62" t="inlineStr">
        <is>
          <t>TX-1509</t>
        </is>
      </c>
      <c r="C1515" s="63" t="n"/>
      <c r="D1515" s="62" t="n"/>
      <c r="E1515" s="62" t="n"/>
      <c r="F1515" s="62" t="n"/>
      <c r="G1515" s="62" t="n"/>
      <c r="H1515" s="62" t="n"/>
      <c r="I1515" s="62" t="n"/>
      <c r="J1515" s="62" t="n"/>
      <c r="K1515" s="62" t="n"/>
      <c r="L1515" s="64" t="n"/>
      <c r="M1515" s="64" t="n"/>
      <c r="N1515" s="62" t="n"/>
      <c r="O1515" s="65">
        <f>IF(Z1515=1,L1515-W1515,"")</f>
        <v/>
      </c>
      <c r="P1515" s="66">
        <f>IF(V1515="","",IFERROR(INDEX(coa_Type,MATCH(V1515,coa_Name,0)),""))</f>
        <v/>
      </c>
      <c r="Q1515" s="66">
        <f>IF(Z1515=1,IF(U1515="In",K1515&amp;"",V1515),"")</f>
        <v/>
      </c>
      <c r="R1515" s="66">
        <f>IF(Z1515=1,IF(U1515="In",V1515,K1515&amp;""),"")</f>
        <v/>
      </c>
      <c r="S1515" s="66">
        <f>IF(X1515&lt;&gt;"","⛔ "&amp;X1515&amp;" — not posted",IF(Y1515&lt;&gt;"","⚠ "&amp;Y1515,IF(Z1515=1,"✓ OK","")))</f>
        <v/>
      </c>
      <c r="T1515" s="67">
        <f>IF(AND(C1515="",D1515="",E1515="",L1515="",K1515=""),1,0)</f>
        <v/>
      </c>
      <c r="U1515" s="67">
        <f>IFERROR(INDEX(tt_Dir,MATCH(D1515,tt_Type,0)),"")</f>
        <v/>
      </c>
      <c r="V1515" s="67">
        <f>IF(D1515="","",IFERROR(IF(INDEX(tt_Other,MATCH(D1515,tt_Type,0))="",E1515&amp;"",INDEX(tt_Other,MATCH(D1515,tt_Type,0))),""))</f>
        <v/>
      </c>
      <c r="W1515" s="68">
        <f>IF(OR(TaxOn&lt;&gt;"Yes",NOT(ISNUMBER(M1515))),0,IF(IFERROR(INDEX(tt_Tax,MATCH(D1515,tt_Type,0)),"No")="Yes",M1515,0))</f>
        <v/>
      </c>
      <c r="X1515" s="67">
        <f>IF(T1515=1,"",IF(C1515="","Missing transaction date",IF(NOT(ISNUMBER(C1515)),"Invalid date",IF(OR(C1515&lt;DATE(2000,1,1),C1515&gt;DATE(2099,12,31)),"Invalid date",IF(D1515="","Select a type",IF(U1515="","Unknown type: "&amp;D1515,IF(V1515="","Select an account (Category)",IF(ISNA(MATCH(V1515,coa_Name,0)),"Unknown account: "&amp;V1515,IF(K1515="","Select Paid From / Deposited To",IF(ISNA(MATCH(K1515,coa_Name,0)),"Unknown account: "&amp;K1515,IF(NOT(ISNUMBER(L1515)),"Enter an amount",IF(L1515=0,"Enter an amount",IF(ABS(W1515)&gt;ABS(L1515),"Tax is larger than the amount","")))))))))))))</f>
        <v/>
      </c>
      <c r="Y1515" s="67">
        <f>IF(OR(T1515=1,X1515&lt;&gt;""),"",IF(AND(B1515&lt;&gt;"",COUNTIF(tx_ID,B1515)&gt;1),"Duplicate transaction ID",IF(AND(L1515&lt;0,D1515&lt;&gt;"Adjustment"),"Negative amount — check this entry",IF(AND(D1515="Customer Payment",G1515=""),"Add the customer",IF(AND(D1515="Customer Payment",OR(J1515="",COUNTIF(ar_No,J1515&amp;"")=0)),"Invoice # in Reference not found on AR sheet",IF(AND(D1515="Bill Payment",H1515=""),"Add the vendor",IF(AND(D1515="Bill Payment",OR(J1515="",COUNTIFS(ap_No,J1515&amp;"",ap_Party,H1515&amp;"")=0)),"Bill # + vendor not found on AP sheet",IF(AND(ISNUMBER(M1515),N(M1515)&lt;&gt;0,W1515=0),"Tax ignored (tax tracking off, or not allowed for this type)",IF(V1515=K1515&amp;"","Same account on both sides",IF(AND(ISNUMBER(StartDate),C1515&lt;StartDate),"Date is before the accounting start date",IF(AND(D1515&lt;&gt;"Adjustment",IFERROR(INDEX(coa_Pay,MATCH(K1515&amp;"",coa_Name,0)),"")&lt;&gt;"Yes"),"Paid From / Deposited To is not a payment account","")))))))))))</f>
        <v/>
      </c>
      <c r="Z1515" s="67">
        <f>IF(AND(T1515=0,X1515=""),1,0)</f>
        <v/>
      </c>
      <c r="AA1515" s="68">
        <f>IF(Z1515=1,IF(U1515="In",L1515,L1515-W1515),0)</f>
        <v/>
      </c>
      <c r="AB1515" s="68">
        <f>IF(Z1515=1,IF(U1515="In",L1515-W1515,L1515),0)</f>
        <v/>
      </c>
      <c r="AC1515" s="68">
        <f>IF(AND(Z1515=1,U1515="Out"),W1515,0)</f>
        <v/>
      </c>
      <c r="AD1515" s="68">
        <f>IF(AND(Z1515=1,U1515="In"),W1515,0)</f>
        <v/>
      </c>
    </row>
    <row r="1516">
      <c r="B1516" s="62" t="inlineStr">
        <is>
          <t>TX-1510</t>
        </is>
      </c>
      <c r="C1516" s="63" t="n"/>
      <c r="D1516" s="62" t="n"/>
      <c r="E1516" s="62" t="n"/>
      <c r="F1516" s="62" t="n"/>
      <c r="G1516" s="62" t="n"/>
      <c r="H1516" s="62" t="n"/>
      <c r="I1516" s="62" t="n"/>
      <c r="J1516" s="62" t="n"/>
      <c r="K1516" s="62" t="n"/>
      <c r="L1516" s="64" t="n"/>
      <c r="M1516" s="64" t="n"/>
      <c r="N1516" s="62" t="n"/>
      <c r="O1516" s="65">
        <f>IF(Z1516=1,L1516-W1516,"")</f>
        <v/>
      </c>
      <c r="P1516" s="66">
        <f>IF(V1516="","",IFERROR(INDEX(coa_Type,MATCH(V1516,coa_Name,0)),""))</f>
        <v/>
      </c>
      <c r="Q1516" s="66">
        <f>IF(Z1516=1,IF(U1516="In",K1516&amp;"",V1516),"")</f>
        <v/>
      </c>
      <c r="R1516" s="66">
        <f>IF(Z1516=1,IF(U1516="In",V1516,K1516&amp;""),"")</f>
        <v/>
      </c>
      <c r="S1516" s="66">
        <f>IF(X1516&lt;&gt;"","⛔ "&amp;X1516&amp;" — not posted",IF(Y1516&lt;&gt;"","⚠ "&amp;Y1516,IF(Z1516=1,"✓ OK","")))</f>
        <v/>
      </c>
      <c r="T1516" s="67">
        <f>IF(AND(C1516="",D1516="",E1516="",L1516="",K1516=""),1,0)</f>
        <v/>
      </c>
      <c r="U1516" s="67">
        <f>IFERROR(INDEX(tt_Dir,MATCH(D1516,tt_Type,0)),"")</f>
        <v/>
      </c>
      <c r="V1516" s="67">
        <f>IF(D1516="","",IFERROR(IF(INDEX(tt_Other,MATCH(D1516,tt_Type,0))="",E1516&amp;"",INDEX(tt_Other,MATCH(D1516,tt_Type,0))),""))</f>
        <v/>
      </c>
      <c r="W1516" s="68">
        <f>IF(OR(TaxOn&lt;&gt;"Yes",NOT(ISNUMBER(M1516))),0,IF(IFERROR(INDEX(tt_Tax,MATCH(D1516,tt_Type,0)),"No")="Yes",M1516,0))</f>
        <v/>
      </c>
      <c r="X1516" s="67">
        <f>IF(T1516=1,"",IF(C1516="","Missing transaction date",IF(NOT(ISNUMBER(C1516)),"Invalid date",IF(OR(C1516&lt;DATE(2000,1,1),C1516&gt;DATE(2099,12,31)),"Invalid date",IF(D1516="","Select a type",IF(U1516="","Unknown type: "&amp;D1516,IF(V1516="","Select an account (Category)",IF(ISNA(MATCH(V1516,coa_Name,0)),"Unknown account: "&amp;V1516,IF(K1516="","Select Paid From / Deposited To",IF(ISNA(MATCH(K1516,coa_Name,0)),"Unknown account: "&amp;K1516,IF(NOT(ISNUMBER(L1516)),"Enter an amount",IF(L1516=0,"Enter an amount",IF(ABS(W1516)&gt;ABS(L1516),"Tax is larger than the amount","")))))))))))))</f>
        <v/>
      </c>
      <c r="Y1516" s="67">
        <f>IF(OR(T1516=1,X1516&lt;&gt;""),"",IF(AND(B1516&lt;&gt;"",COUNTIF(tx_ID,B1516)&gt;1),"Duplicate transaction ID",IF(AND(L1516&lt;0,D1516&lt;&gt;"Adjustment"),"Negative amount — check this entry",IF(AND(D1516="Customer Payment",G1516=""),"Add the customer",IF(AND(D1516="Customer Payment",OR(J1516="",COUNTIF(ar_No,J1516&amp;"")=0)),"Invoice # in Reference not found on AR sheet",IF(AND(D1516="Bill Payment",H1516=""),"Add the vendor",IF(AND(D1516="Bill Payment",OR(J1516="",COUNTIFS(ap_No,J1516&amp;"",ap_Party,H1516&amp;"")=0)),"Bill # + vendor not found on AP sheet",IF(AND(ISNUMBER(M1516),N(M1516)&lt;&gt;0,W1516=0),"Tax ignored (tax tracking off, or not allowed for this type)",IF(V1516=K1516&amp;"","Same account on both sides",IF(AND(ISNUMBER(StartDate),C1516&lt;StartDate),"Date is before the accounting start date",IF(AND(D1516&lt;&gt;"Adjustment",IFERROR(INDEX(coa_Pay,MATCH(K1516&amp;"",coa_Name,0)),"")&lt;&gt;"Yes"),"Paid From / Deposited To is not a payment account","")))))))))))</f>
        <v/>
      </c>
      <c r="Z1516" s="67">
        <f>IF(AND(T1516=0,X1516=""),1,0)</f>
        <v/>
      </c>
      <c r="AA1516" s="68">
        <f>IF(Z1516=1,IF(U1516="In",L1516,L1516-W1516),0)</f>
        <v/>
      </c>
      <c r="AB1516" s="68">
        <f>IF(Z1516=1,IF(U1516="In",L1516-W1516,L1516),0)</f>
        <v/>
      </c>
      <c r="AC1516" s="68">
        <f>IF(AND(Z1516=1,U1516="Out"),W1516,0)</f>
        <v/>
      </c>
      <c r="AD1516" s="68">
        <f>IF(AND(Z1516=1,U1516="In"),W1516,0)</f>
        <v/>
      </c>
    </row>
    <row r="1517">
      <c r="B1517" s="62" t="inlineStr">
        <is>
          <t>TX-1511</t>
        </is>
      </c>
      <c r="C1517" s="63" t="n"/>
      <c r="D1517" s="62" t="n"/>
      <c r="E1517" s="62" t="n"/>
      <c r="F1517" s="62" t="n"/>
      <c r="G1517" s="62" t="n"/>
      <c r="H1517" s="62" t="n"/>
      <c r="I1517" s="62" t="n"/>
      <c r="J1517" s="62" t="n"/>
      <c r="K1517" s="62" t="n"/>
      <c r="L1517" s="64" t="n"/>
      <c r="M1517" s="64" t="n"/>
      <c r="N1517" s="62" t="n"/>
      <c r="O1517" s="65">
        <f>IF(Z1517=1,L1517-W1517,"")</f>
        <v/>
      </c>
      <c r="P1517" s="66">
        <f>IF(V1517="","",IFERROR(INDEX(coa_Type,MATCH(V1517,coa_Name,0)),""))</f>
        <v/>
      </c>
      <c r="Q1517" s="66">
        <f>IF(Z1517=1,IF(U1517="In",K1517&amp;"",V1517),"")</f>
        <v/>
      </c>
      <c r="R1517" s="66">
        <f>IF(Z1517=1,IF(U1517="In",V1517,K1517&amp;""),"")</f>
        <v/>
      </c>
      <c r="S1517" s="66">
        <f>IF(X1517&lt;&gt;"","⛔ "&amp;X1517&amp;" — not posted",IF(Y1517&lt;&gt;"","⚠ "&amp;Y1517,IF(Z1517=1,"✓ OK","")))</f>
        <v/>
      </c>
      <c r="T1517" s="67">
        <f>IF(AND(C1517="",D1517="",E1517="",L1517="",K1517=""),1,0)</f>
        <v/>
      </c>
      <c r="U1517" s="67">
        <f>IFERROR(INDEX(tt_Dir,MATCH(D1517,tt_Type,0)),"")</f>
        <v/>
      </c>
      <c r="V1517" s="67">
        <f>IF(D1517="","",IFERROR(IF(INDEX(tt_Other,MATCH(D1517,tt_Type,0))="",E1517&amp;"",INDEX(tt_Other,MATCH(D1517,tt_Type,0))),""))</f>
        <v/>
      </c>
      <c r="W1517" s="68">
        <f>IF(OR(TaxOn&lt;&gt;"Yes",NOT(ISNUMBER(M1517))),0,IF(IFERROR(INDEX(tt_Tax,MATCH(D1517,tt_Type,0)),"No")="Yes",M1517,0))</f>
        <v/>
      </c>
      <c r="X1517" s="67">
        <f>IF(T1517=1,"",IF(C1517="","Missing transaction date",IF(NOT(ISNUMBER(C1517)),"Invalid date",IF(OR(C1517&lt;DATE(2000,1,1),C1517&gt;DATE(2099,12,31)),"Invalid date",IF(D1517="","Select a type",IF(U1517="","Unknown type: "&amp;D1517,IF(V1517="","Select an account (Category)",IF(ISNA(MATCH(V1517,coa_Name,0)),"Unknown account: "&amp;V1517,IF(K1517="","Select Paid From / Deposited To",IF(ISNA(MATCH(K1517,coa_Name,0)),"Unknown account: "&amp;K1517,IF(NOT(ISNUMBER(L1517)),"Enter an amount",IF(L1517=0,"Enter an amount",IF(ABS(W1517)&gt;ABS(L1517),"Tax is larger than the amount","")))))))))))))</f>
        <v/>
      </c>
      <c r="Y1517" s="67">
        <f>IF(OR(T1517=1,X1517&lt;&gt;""),"",IF(AND(B1517&lt;&gt;"",COUNTIF(tx_ID,B1517)&gt;1),"Duplicate transaction ID",IF(AND(L1517&lt;0,D1517&lt;&gt;"Adjustment"),"Negative amount — check this entry",IF(AND(D1517="Customer Payment",G1517=""),"Add the customer",IF(AND(D1517="Customer Payment",OR(J1517="",COUNTIF(ar_No,J1517&amp;"")=0)),"Invoice # in Reference not found on AR sheet",IF(AND(D1517="Bill Payment",H1517=""),"Add the vendor",IF(AND(D1517="Bill Payment",OR(J1517="",COUNTIFS(ap_No,J1517&amp;"",ap_Party,H1517&amp;"")=0)),"Bill # + vendor not found on AP sheet",IF(AND(ISNUMBER(M1517),N(M1517)&lt;&gt;0,W1517=0),"Tax ignored (tax tracking off, or not allowed for this type)",IF(V1517=K1517&amp;"","Same account on both sides",IF(AND(ISNUMBER(StartDate),C1517&lt;StartDate),"Date is before the accounting start date",IF(AND(D1517&lt;&gt;"Adjustment",IFERROR(INDEX(coa_Pay,MATCH(K1517&amp;"",coa_Name,0)),"")&lt;&gt;"Yes"),"Paid From / Deposited To is not a payment account","")))))))))))</f>
        <v/>
      </c>
      <c r="Z1517" s="67">
        <f>IF(AND(T1517=0,X1517=""),1,0)</f>
        <v/>
      </c>
      <c r="AA1517" s="68">
        <f>IF(Z1517=1,IF(U1517="In",L1517,L1517-W1517),0)</f>
        <v/>
      </c>
      <c r="AB1517" s="68">
        <f>IF(Z1517=1,IF(U1517="In",L1517-W1517,L1517),0)</f>
        <v/>
      </c>
      <c r="AC1517" s="68">
        <f>IF(AND(Z1517=1,U1517="Out"),W1517,0)</f>
        <v/>
      </c>
      <c r="AD1517" s="68">
        <f>IF(AND(Z1517=1,U1517="In"),W1517,0)</f>
        <v/>
      </c>
    </row>
    <row r="1518">
      <c r="B1518" s="62" t="inlineStr">
        <is>
          <t>TX-1512</t>
        </is>
      </c>
      <c r="C1518" s="63" t="n"/>
      <c r="D1518" s="62" t="n"/>
      <c r="E1518" s="62" t="n"/>
      <c r="F1518" s="62" t="n"/>
      <c r="G1518" s="62" t="n"/>
      <c r="H1518" s="62" t="n"/>
      <c r="I1518" s="62" t="n"/>
      <c r="J1518" s="62" t="n"/>
      <c r="K1518" s="62" t="n"/>
      <c r="L1518" s="64" t="n"/>
      <c r="M1518" s="64" t="n"/>
      <c r="N1518" s="62" t="n"/>
      <c r="O1518" s="65">
        <f>IF(Z1518=1,L1518-W1518,"")</f>
        <v/>
      </c>
      <c r="P1518" s="66">
        <f>IF(V1518="","",IFERROR(INDEX(coa_Type,MATCH(V1518,coa_Name,0)),""))</f>
        <v/>
      </c>
      <c r="Q1518" s="66">
        <f>IF(Z1518=1,IF(U1518="In",K1518&amp;"",V1518),"")</f>
        <v/>
      </c>
      <c r="R1518" s="66">
        <f>IF(Z1518=1,IF(U1518="In",V1518,K1518&amp;""),"")</f>
        <v/>
      </c>
      <c r="S1518" s="66">
        <f>IF(X1518&lt;&gt;"","⛔ "&amp;X1518&amp;" — not posted",IF(Y1518&lt;&gt;"","⚠ "&amp;Y1518,IF(Z1518=1,"✓ OK","")))</f>
        <v/>
      </c>
      <c r="T1518" s="67">
        <f>IF(AND(C1518="",D1518="",E1518="",L1518="",K1518=""),1,0)</f>
        <v/>
      </c>
      <c r="U1518" s="67">
        <f>IFERROR(INDEX(tt_Dir,MATCH(D1518,tt_Type,0)),"")</f>
        <v/>
      </c>
      <c r="V1518" s="67">
        <f>IF(D1518="","",IFERROR(IF(INDEX(tt_Other,MATCH(D1518,tt_Type,0))="",E1518&amp;"",INDEX(tt_Other,MATCH(D1518,tt_Type,0))),""))</f>
        <v/>
      </c>
      <c r="W1518" s="68">
        <f>IF(OR(TaxOn&lt;&gt;"Yes",NOT(ISNUMBER(M1518))),0,IF(IFERROR(INDEX(tt_Tax,MATCH(D1518,tt_Type,0)),"No")="Yes",M1518,0))</f>
        <v/>
      </c>
      <c r="X1518" s="67">
        <f>IF(T1518=1,"",IF(C1518="","Missing transaction date",IF(NOT(ISNUMBER(C1518)),"Invalid date",IF(OR(C1518&lt;DATE(2000,1,1),C1518&gt;DATE(2099,12,31)),"Invalid date",IF(D1518="","Select a type",IF(U1518="","Unknown type: "&amp;D1518,IF(V1518="","Select an account (Category)",IF(ISNA(MATCH(V1518,coa_Name,0)),"Unknown account: "&amp;V1518,IF(K1518="","Select Paid From / Deposited To",IF(ISNA(MATCH(K1518,coa_Name,0)),"Unknown account: "&amp;K1518,IF(NOT(ISNUMBER(L1518)),"Enter an amount",IF(L1518=0,"Enter an amount",IF(ABS(W1518)&gt;ABS(L1518),"Tax is larger than the amount","")))))))))))))</f>
        <v/>
      </c>
      <c r="Y1518" s="67">
        <f>IF(OR(T1518=1,X1518&lt;&gt;""),"",IF(AND(B1518&lt;&gt;"",COUNTIF(tx_ID,B1518)&gt;1),"Duplicate transaction ID",IF(AND(L1518&lt;0,D1518&lt;&gt;"Adjustment"),"Negative amount — check this entry",IF(AND(D1518="Customer Payment",G1518=""),"Add the customer",IF(AND(D1518="Customer Payment",OR(J1518="",COUNTIF(ar_No,J1518&amp;"")=0)),"Invoice # in Reference not found on AR sheet",IF(AND(D1518="Bill Payment",H1518=""),"Add the vendor",IF(AND(D1518="Bill Payment",OR(J1518="",COUNTIFS(ap_No,J1518&amp;"",ap_Party,H1518&amp;"")=0)),"Bill # + vendor not found on AP sheet",IF(AND(ISNUMBER(M1518),N(M1518)&lt;&gt;0,W1518=0),"Tax ignored (tax tracking off, or not allowed for this type)",IF(V1518=K1518&amp;"","Same account on both sides",IF(AND(ISNUMBER(StartDate),C1518&lt;StartDate),"Date is before the accounting start date",IF(AND(D1518&lt;&gt;"Adjustment",IFERROR(INDEX(coa_Pay,MATCH(K1518&amp;"",coa_Name,0)),"")&lt;&gt;"Yes"),"Paid From / Deposited To is not a payment account","")))))))))))</f>
        <v/>
      </c>
      <c r="Z1518" s="67">
        <f>IF(AND(T1518=0,X1518=""),1,0)</f>
        <v/>
      </c>
      <c r="AA1518" s="68">
        <f>IF(Z1518=1,IF(U1518="In",L1518,L1518-W1518),0)</f>
        <v/>
      </c>
      <c r="AB1518" s="68">
        <f>IF(Z1518=1,IF(U1518="In",L1518-W1518,L1518),0)</f>
        <v/>
      </c>
      <c r="AC1518" s="68">
        <f>IF(AND(Z1518=1,U1518="Out"),W1518,0)</f>
        <v/>
      </c>
      <c r="AD1518" s="68">
        <f>IF(AND(Z1518=1,U1518="In"),W1518,0)</f>
        <v/>
      </c>
    </row>
    <row r="1519">
      <c r="B1519" s="62" t="inlineStr">
        <is>
          <t>TX-1513</t>
        </is>
      </c>
      <c r="C1519" s="63" t="n"/>
      <c r="D1519" s="62" t="n"/>
      <c r="E1519" s="62" t="n"/>
      <c r="F1519" s="62" t="n"/>
      <c r="G1519" s="62" t="n"/>
      <c r="H1519" s="62" t="n"/>
      <c r="I1519" s="62" t="n"/>
      <c r="J1519" s="62" t="n"/>
      <c r="K1519" s="62" t="n"/>
      <c r="L1519" s="64" t="n"/>
      <c r="M1519" s="64" t="n"/>
      <c r="N1519" s="62" t="n"/>
      <c r="O1519" s="65">
        <f>IF(Z1519=1,L1519-W1519,"")</f>
        <v/>
      </c>
      <c r="P1519" s="66">
        <f>IF(V1519="","",IFERROR(INDEX(coa_Type,MATCH(V1519,coa_Name,0)),""))</f>
        <v/>
      </c>
      <c r="Q1519" s="66">
        <f>IF(Z1519=1,IF(U1519="In",K1519&amp;"",V1519),"")</f>
        <v/>
      </c>
      <c r="R1519" s="66">
        <f>IF(Z1519=1,IF(U1519="In",V1519,K1519&amp;""),"")</f>
        <v/>
      </c>
      <c r="S1519" s="66">
        <f>IF(X1519&lt;&gt;"","⛔ "&amp;X1519&amp;" — not posted",IF(Y1519&lt;&gt;"","⚠ "&amp;Y1519,IF(Z1519=1,"✓ OK","")))</f>
        <v/>
      </c>
      <c r="T1519" s="67">
        <f>IF(AND(C1519="",D1519="",E1519="",L1519="",K1519=""),1,0)</f>
        <v/>
      </c>
      <c r="U1519" s="67">
        <f>IFERROR(INDEX(tt_Dir,MATCH(D1519,tt_Type,0)),"")</f>
        <v/>
      </c>
      <c r="V1519" s="67">
        <f>IF(D1519="","",IFERROR(IF(INDEX(tt_Other,MATCH(D1519,tt_Type,0))="",E1519&amp;"",INDEX(tt_Other,MATCH(D1519,tt_Type,0))),""))</f>
        <v/>
      </c>
      <c r="W1519" s="68">
        <f>IF(OR(TaxOn&lt;&gt;"Yes",NOT(ISNUMBER(M1519))),0,IF(IFERROR(INDEX(tt_Tax,MATCH(D1519,tt_Type,0)),"No")="Yes",M1519,0))</f>
        <v/>
      </c>
      <c r="X1519" s="67">
        <f>IF(T1519=1,"",IF(C1519="","Missing transaction date",IF(NOT(ISNUMBER(C1519)),"Invalid date",IF(OR(C1519&lt;DATE(2000,1,1),C1519&gt;DATE(2099,12,31)),"Invalid date",IF(D1519="","Select a type",IF(U1519="","Unknown type: "&amp;D1519,IF(V1519="","Select an account (Category)",IF(ISNA(MATCH(V1519,coa_Name,0)),"Unknown account: "&amp;V1519,IF(K1519="","Select Paid From / Deposited To",IF(ISNA(MATCH(K1519,coa_Name,0)),"Unknown account: "&amp;K1519,IF(NOT(ISNUMBER(L1519)),"Enter an amount",IF(L1519=0,"Enter an amount",IF(ABS(W1519)&gt;ABS(L1519),"Tax is larger than the amount","")))))))))))))</f>
        <v/>
      </c>
      <c r="Y1519" s="67">
        <f>IF(OR(T1519=1,X1519&lt;&gt;""),"",IF(AND(B1519&lt;&gt;"",COUNTIF(tx_ID,B1519)&gt;1),"Duplicate transaction ID",IF(AND(L1519&lt;0,D1519&lt;&gt;"Adjustment"),"Negative amount — check this entry",IF(AND(D1519="Customer Payment",G1519=""),"Add the customer",IF(AND(D1519="Customer Payment",OR(J1519="",COUNTIF(ar_No,J1519&amp;"")=0)),"Invoice # in Reference not found on AR sheet",IF(AND(D1519="Bill Payment",H1519=""),"Add the vendor",IF(AND(D1519="Bill Payment",OR(J1519="",COUNTIFS(ap_No,J1519&amp;"",ap_Party,H1519&amp;"")=0)),"Bill # + vendor not found on AP sheet",IF(AND(ISNUMBER(M1519),N(M1519)&lt;&gt;0,W1519=0),"Tax ignored (tax tracking off, or not allowed for this type)",IF(V1519=K1519&amp;"","Same account on both sides",IF(AND(ISNUMBER(StartDate),C1519&lt;StartDate),"Date is before the accounting start date",IF(AND(D1519&lt;&gt;"Adjustment",IFERROR(INDEX(coa_Pay,MATCH(K1519&amp;"",coa_Name,0)),"")&lt;&gt;"Yes"),"Paid From / Deposited To is not a payment account","")))))))))))</f>
        <v/>
      </c>
      <c r="Z1519" s="67">
        <f>IF(AND(T1519=0,X1519=""),1,0)</f>
        <v/>
      </c>
      <c r="AA1519" s="68">
        <f>IF(Z1519=1,IF(U1519="In",L1519,L1519-W1519),0)</f>
        <v/>
      </c>
      <c r="AB1519" s="68">
        <f>IF(Z1519=1,IF(U1519="In",L1519-W1519,L1519),0)</f>
        <v/>
      </c>
      <c r="AC1519" s="68">
        <f>IF(AND(Z1519=1,U1519="Out"),W1519,0)</f>
        <v/>
      </c>
      <c r="AD1519" s="68">
        <f>IF(AND(Z1519=1,U1519="In"),W1519,0)</f>
        <v/>
      </c>
    </row>
    <row r="1520">
      <c r="B1520" s="62" t="inlineStr">
        <is>
          <t>TX-1514</t>
        </is>
      </c>
      <c r="C1520" s="63" t="n"/>
      <c r="D1520" s="62" t="n"/>
      <c r="E1520" s="62" t="n"/>
      <c r="F1520" s="62" t="n"/>
      <c r="G1520" s="62" t="n"/>
      <c r="H1520" s="62" t="n"/>
      <c r="I1520" s="62" t="n"/>
      <c r="J1520" s="62" t="n"/>
      <c r="K1520" s="62" t="n"/>
      <c r="L1520" s="64" t="n"/>
      <c r="M1520" s="64" t="n"/>
      <c r="N1520" s="62" t="n"/>
      <c r="O1520" s="65">
        <f>IF(Z1520=1,L1520-W1520,"")</f>
        <v/>
      </c>
      <c r="P1520" s="66">
        <f>IF(V1520="","",IFERROR(INDEX(coa_Type,MATCH(V1520,coa_Name,0)),""))</f>
        <v/>
      </c>
      <c r="Q1520" s="66">
        <f>IF(Z1520=1,IF(U1520="In",K1520&amp;"",V1520),"")</f>
        <v/>
      </c>
      <c r="R1520" s="66">
        <f>IF(Z1520=1,IF(U1520="In",V1520,K1520&amp;""),"")</f>
        <v/>
      </c>
      <c r="S1520" s="66">
        <f>IF(X1520&lt;&gt;"","⛔ "&amp;X1520&amp;" — not posted",IF(Y1520&lt;&gt;"","⚠ "&amp;Y1520,IF(Z1520=1,"✓ OK","")))</f>
        <v/>
      </c>
      <c r="T1520" s="67">
        <f>IF(AND(C1520="",D1520="",E1520="",L1520="",K1520=""),1,0)</f>
        <v/>
      </c>
      <c r="U1520" s="67">
        <f>IFERROR(INDEX(tt_Dir,MATCH(D1520,tt_Type,0)),"")</f>
        <v/>
      </c>
      <c r="V1520" s="67">
        <f>IF(D1520="","",IFERROR(IF(INDEX(tt_Other,MATCH(D1520,tt_Type,0))="",E1520&amp;"",INDEX(tt_Other,MATCH(D1520,tt_Type,0))),""))</f>
        <v/>
      </c>
      <c r="W1520" s="68">
        <f>IF(OR(TaxOn&lt;&gt;"Yes",NOT(ISNUMBER(M1520))),0,IF(IFERROR(INDEX(tt_Tax,MATCH(D1520,tt_Type,0)),"No")="Yes",M1520,0))</f>
        <v/>
      </c>
      <c r="X1520" s="67">
        <f>IF(T1520=1,"",IF(C1520="","Missing transaction date",IF(NOT(ISNUMBER(C1520)),"Invalid date",IF(OR(C1520&lt;DATE(2000,1,1),C1520&gt;DATE(2099,12,31)),"Invalid date",IF(D1520="","Select a type",IF(U1520="","Unknown type: "&amp;D1520,IF(V1520="","Select an account (Category)",IF(ISNA(MATCH(V1520,coa_Name,0)),"Unknown account: "&amp;V1520,IF(K1520="","Select Paid From / Deposited To",IF(ISNA(MATCH(K1520,coa_Name,0)),"Unknown account: "&amp;K1520,IF(NOT(ISNUMBER(L1520)),"Enter an amount",IF(L1520=0,"Enter an amount",IF(ABS(W1520)&gt;ABS(L1520),"Tax is larger than the amount","")))))))))))))</f>
        <v/>
      </c>
      <c r="Y1520" s="67">
        <f>IF(OR(T1520=1,X1520&lt;&gt;""),"",IF(AND(B1520&lt;&gt;"",COUNTIF(tx_ID,B1520)&gt;1),"Duplicate transaction ID",IF(AND(L1520&lt;0,D1520&lt;&gt;"Adjustment"),"Negative amount — check this entry",IF(AND(D1520="Customer Payment",G1520=""),"Add the customer",IF(AND(D1520="Customer Payment",OR(J1520="",COUNTIF(ar_No,J1520&amp;"")=0)),"Invoice # in Reference not found on AR sheet",IF(AND(D1520="Bill Payment",H1520=""),"Add the vendor",IF(AND(D1520="Bill Payment",OR(J1520="",COUNTIFS(ap_No,J1520&amp;"",ap_Party,H1520&amp;"")=0)),"Bill # + vendor not found on AP sheet",IF(AND(ISNUMBER(M1520),N(M1520)&lt;&gt;0,W1520=0),"Tax ignored (tax tracking off, or not allowed for this type)",IF(V1520=K1520&amp;"","Same account on both sides",IF(AND(ISNUMBER(StartDate),C1520&lt;StartDate),"Date is before the accounting start date",IF(AND(D1520&lt;&gt;"Adjustment",IFERROR(INDEX(coa_Pay,MATCH(K1520&amp;"",coa_Name,0)),"")&lt;&gt;"Yes"),"Paid From / Deposited To is not a payment account","")))))))))))</f>
        <v/>
      </c>
      <c r="Z1520" s="67">
        <f>IF(AND(T1520=0,X1520=""),1,0)</f>
        <v/>
      </c>
      <c r="AA1520" s="68">
        <f>IF(Z1520=1,IF(U1520="In",L1520,L1520-W1520),0)</f>
        <v/>
      </c>
      <c r="AB1520" s="68">
        <f>IF(Z1520=1,IF(U1520="In",L1520-W1520,L1520),0)</f>
        <v/>
      </c>
      <c r="AC1520" s="68">
        <f>IF(AND(Z1520=1,U1520="Out"),W1520,0)</f>
        <v/>
      </c>
      <c r="AD1520" s="68">
        <f>IF(AND(Z1520=1,U1520="In"),W1520,0)</f>
        <v/>
      </c>
    </row>
    <row r="1521">
      <c r="B1521" s="62" t="inlineStr">
        <is>
          <t>TX-1515</t>
        </is>
      </c>
      <c r="C1521" s="63" t="n"/>
      <c r="D1521" s="62" t="n"/>
      <c r="E1521" s="62" t="n"/>
      <c r="F1521" s="62" t="n"/>
      <c r="G1521" s="62" t="n"/>
      <c r="H1521" s="62" t="n"/>
      <c r="I1521" s="62" t="n"/>
      <c r="J1521" s="62" t="n"/>
      <c r="K1521" s="62" t="n"/>
      <c r="L1521" s="64" t="n"/>
      <c r="M1521" s="64" t="n"/>
      <c r="N1521" s="62" t="n"/>
      <c r="O1521" s="65">
        <f>IF(Z1521=1,L1521-W1521,"")</f>
        <v/>
      </c>
      <c r="P1521" s="66">
        <f>IF(V1521="","",IFERROR(INDEX(coa_Type,MATCH(V1521,coa_Name,0)),""))</f>
        <v/>
      </c>
      <c r="Q1521" s="66">
        <f>IF(Z1521=1,IF(U1521="In",K1521&amp;"",V1521),"")</f>
        <v/>
      </c>
      <c r="R1521" s="66">
        <f>IF(Z1521=1,IF(U1521="In",V1521,K1521&amp;""),"")</f>
        <v/>
      </c>
      <c r="S1521" s="66">
        <f>IF(X1521&lt;&gt;"","⛔ "&amp;X1521&amp;" — not posted",IF(Y1521&lt;&gt;"","⚠ "&amp;Y1521,IF(Z1521=1,"✓ OK","")))</f>
        <v/>
      </c>
      <c r="T1521" s="67">
        <f>IF(AND(C1521="",D1521="",E1521="",L1521="",K1521=""),1,0)</f>
        <v/>
      </c>
      <c r="U1521" s="67">
        <f>IFERROR(INDEX(tt_Dir,MATCH(D1521,tt_Type,0)),"")</f>
        <v/>
      </c>
      <c r="V1521" s="67">
        <f>IF(D1521="","",IFERROR(IF(INDEX(tt_Other,MATCH(D1521,tt_Type,0))="",E1521&amp;"",INDEX(tt_Other,MATCH(D1521,tt_Type,0))),""))</f>
        <v/>
      </c>
      <c r="W1521" s="68">
        <f>IF(OR(TaxOn&lt;&gt;"Yes",NOT(ISNUMBER(M1521))),0,IF(IFERROR(INDEX(tt_Tax,MATCH(D1521,tt_Type,0)),"No")="Yes",M1521,0))</f>
        <v/>
      </c>
      <c r="X1521" s="67">
        <f>IF(T1521=1,"",IF(C1521="","Missing transaction date",IF(NOT(ISNUMBER(C1521)),"Invalid date",IF(OR(C1521&lt;DATE(2000,1,1),C1521&gt;DATE(2099,12,31)),"Invalid date",IF(D1521="","Select a type",IF(U1521="","Unknown type: "&amp;D1521,IF(V1521="","Select an account (Category)",IF(ISNA(MATCH(V1521,coa_Name,0)),"Unknown account: "&amp;V1521,IF(K1521="","Select Paid From / Deposited To",IF(ISNA(MATCH(K1521,coa_Name,0)),"Unknown account: "&amp;K1521,IF(NOT(ISNUMBER(L1521)),"Enter an amount",IF(L1521=0,"Enter an amount",IF(ABS(W1521)&gt;ABS(L1521),"Tax is larger than the amount","")))))))))))))</f>
        <v/>
      </c>
      <c r="Y1521" s="67">
        <f>IF(OR(T1521=1,X1521&lt;&gt;""),"",IF(AND(B1521&lt;&gt;"",COUNTIF(tx_ID,B1521)&gt;1),"Duplicate transaction ID",IF(AND(L1521&lt;0,D1521&lt;&gt;"Adjustment"),"Negative amount — check this entry",IF(AND(D1521="Customer Payment",G1521=""),"Add the customer",IF(AND(D1521="Customer Payment",OR(J1521="",COUNTIF(ar_No,J1521&amp;"")=0)),"Invoice # in Reference not found on AR sheet",IF(AND(D1521="Bill Payment",H1521=""),"Add the vendor",IF(AND(D1521="Bill Payment",OR(J1521="",COUNTIFS(ap_No,J1521&amp;"",ap_Party,H1521&amp;"")=0)),"Bill # + vendor not found on AP sheet",IF(AND(ISNUMBER(M1521),N(M1521)&lt;&gt;0,W1521=0),"Tax ignored (tax tracking off, or not allowed for this type)",IF(V1521=K1521&amp;"","Same account on both sides",IF(AND(ISNUMBER(StartDate),C1521&lt;StartDate),"Date is before the accounting start date",IF(AND(D1521&lt;&gt;"Adjustment",IFERROR(INDEX(coa_Pay,MATCH(K1521&amp;"",coa_Name,0)),"")&lt;&gt;"Yes"),"Paid From / Deposited To is not a payment account","")))))))))))</f>
        <v/>
      </c>
      <c r="Z1521" s="67">
        <f>IF(AND(T1521=0,X1521=""),1,0)</f>
        <v/>
      </c>
      <c r="AA1521" s="68">
        <f>IF(Z1521=1,IF(U1521="In",L1521,L1521-W1521),0)</f>
        <v/>
      </c>
      <c r="AB1521" s="68">
        <f>IF(Z1521=1,IF(U1521="In",L1521-W1521,L1521),0)</f>
        <v/>
      </c>
      <c r="AC1521" s="68">
        <f>IF(AND(Z1521=1,U1521="Out"),W1521,0)</f>
        <v/>
      </c>
      <c r="AD1521" s="68">
        <f>IF(AND(Z1521=1,U1521="In"),W1521,0)</f>
        <v/>
      </c>
    </row>
    <row r="1522">
      <c r="B1522" s="62" t="inlineStr">
        <is>
          <t>TX-1516</t>
        </is>
      </c>
      <c r="C1522" s="63" t="n"/>
      <c r="D1522" s="62" t="n"/>
      <c r="E1522" s="62" t="n"/>
      <c r="F1522" s="62" t="n"/>
      <c r="G1522" s="62" t="n"/>
      <c r="H1522" s="62" t="n"/>
      <c r="I1522" s="62" t="n"/>
      <c r="J1522" s="62" t="n"/>
      <c r="K1522" s="62" t="n"/>
      <c r="L1522" s="64" t="n"/>
      <c r="M1522" s="64" t="n"/>
      <c r="N1522" s="62" t="n"/>
      <c r="O1522" s="65">
        <f>IF(Z1522=1,L1522-W1522,"")</f>
        <v/>
      </c>
      <c r="P1522" s="66">
        <f>IF(V1522="","",IFERROR(INDEX(coa_Type,MATCH(V1522,coa_Name,0)),""))</f>
        <v/>
      </c>
      <c r="Q1522" s="66">
        <f>IF(Z1522=1,IF(U1522="In",K1522&amp;"",V1522),"")</f>
        <v/>
      </c>
      <c r="R1522" s="66">
        <f>IF(Z1522=1,IF(U1522="In",V1522,K1522&amp;""),"")</f>
        <v/>
      </c>
      <c r="S1522" s="66">
        <f>IF(X1522&lt;&gt;"","⛔ "&amp;X1522&amp;" — not posted",IF(Y1522&lt;&gt;"","⚠ "&amp;Y1522,IF(Z1522=1,"✓ OK","")))</f>
        <v/>
      </c>
      <c r="T1522" s="67">
        <f>IF(AND(C1522="",D1522="",E1522="",L1522="",K1522=""),1,0)</f>
        <v/>
      </c>
      <c r="U1522" s="67">
        <f>IFERROR(INDEX(tt_Dir,MATCH(D1522,tt_Type,0)),"")</f>
        <v/>
      </c>
      <c r="V1522" s="67">
        <f>IF(D1522="","",IFERROR(IF(INDEX(tt_Other,MATCH(D1522,tt_Type,0))="",E1522&amp;"",INDEX(tt_Other,MATCH(D1522,tt_Type,0))),""))</f>
        <v/>
      </c>
      <c r="W1522" s="68">
        <f>IF(OR(TaxOn&lt;&gt;"Yes",NOT(ISNUMBER(M1522))),0,IF(IFERROR(INDEX(tt_Tax,MATCH(D1522,tt_Type,0)),"No")="Yes",M1522,0))</f>
        <v/>
      </c>
      <c r="X1522" s="67">
        <f>IF(T1522=1,"",IF(C1522="","Missing transaction date",IF(NOT(ISNUMBER(C1522)),"Invalid date",IF(OR(C1522&lt;DATE(2000,1,1),C1522&gt;DATE(2099,12,31)),"Invalid date",IF(D1522="","Select a type",IF(U1522="","Unknown type: "&amp;D1522,IF(V1522="","Select an account (Category)",IF(ISNA(MATCH(V1522,coa_Name,0)),"Unknown account: "&amp;V1522,IF(K1522="","Select Paid From / Deposited To",IF(ISNA(MATCH(K1522,coa_Name,0)),"Unknown account: "&amp;K1522,IF(NOT(ISNUMBER(L1522)),"Enter an amount",IF(L1522=0,"Enter an amount",IF(ABS(W1522)&gt;ABS(L1522),"Tax is larger than the amount","")))))))))))))</f>
        <v/>
      </c>
      <c r="Y1522" s="67">
        <f>IF(OR(T1522=1,X1522&lt;&gt;""),"",IF(AND(B1522&lt;&gt;"",COUNTIF(tx_ID,B1522)&gt;1),"Duplicate transaction ID",IF(AND(L1522&lt;0,D1522&lt;&gt;"Adjustment"),"Negative amount — check this entry",IF(AND(D1522="Customer Payment",G1522=""),"Add the customer",IF(AND(D1522="Customer Payment",OR(J1522="",COUNTIF(ar_No,J1522&amp;"")=0)),"Invoice # in Reference not found on AR sheet",IF(AND(D1522="Bill Payment",H1522=""),"Add the vendor",IF(AND(D1522="Bill Payment",OR(J1522="",COUNTIFS(ap_No,J1522&amp;"",ap_Party,H1522&amp;"")=0)),"Bill # + vendor not found on AP sheet",IF(AND(ISNUMBER(M1522),N(M1522)&lt;&gt;0,W1522=0),"Tax ignored (tax tracking off, or not allowed for this type)",IF(V1522=K1522&amp;"","Same account on both sides",IF(AND(ISNUMBER(StartDate),C1522&lt;StartDate),"Date is before the accounting start date",IF(AND(D1522&lt;&gt;"Adjustment",IFERROR(INDEX(coa_Pay,MATCH(K1522&amp;"",coa_Name,0)),"")&lt;&gt;"Yes"),"Paid From / Deposited To is not a payment account","")))))))))))</f>
        <v/>
      </c>
      <c r="Z1522" s="67">
        <f>IF(AND(T1522=0,X1522=""),1,0)</f>
        <v/>
      </c>
      <c r="AA1522" s="68">
        <f>IF(Z1522=1,IF(U1522="In",L1522,L1522-W1522),0)</f>
        <v/>
      </c>
      <c r="AB1522" s="68">
        <f>IF(Z1522=1,IF(U1522="In",L1522-W1522,L1522),0)</f>
        <v/>
      </c>
      <c r="AC1522" s="68">
        <f>IF(AND(Z1522=1,U1522="Out"),W1522,0)</f>
        <v/>
      </c>
      <c r="AD1522" s="68">
        <f>IF(AND(Z1522=1,U1522="In"),W1522,0)</f>
        <v/>
      </c>
    </row>
    <row r="1523">
      <c r="B1523" s="62" t="inlineStr">
        <is>
          <t>TX-1517</t>
        </is>
      </c>
      <c r="C1523" s="63" t="n"/>
      <c r="D1523" s="62" t="n"/>
      <c r="E1523" s="62" t="n"/>
      <c r="F1523" s="62" t="n"/>
      <c r="G1523" s="62" t="n"/>
      <c r="H1523" s="62" t="n"/>
      <c r="I1523" s="62" t="n"/>
      <c r="J1523" s="62" t="n"/>
      <c r="K1523" s="62" t="n"/>
      <c r="L1523" s="64" t="n"/>
      <c r="M1523" s="64" t="n"/>
      <c r="N1523" s="62" t="n"/>
      <c r="O1523" s="65">
        <f>IF(Z1523=1,L1523-W1523,"")</f>
        <v/>
      </c>
      <c r="P1523" s="66">
        <f>IF(V1523="","",IFERROR(INDEX(coa_Type,MATCH(V1523,coa_Name,0)),""))</f>
        <v/>
      </c>
      <c r="Q1523" s="66">
        <f>IF(Z1523=1,IF(U1523="In",K1523&amp;"",V1523),"")</f>
        <v/>
      </c>
      <c r="R1523" s="66">
        <f>IF(Z1523=1,IF(U1523="In",V1523,K1523&amp;""),"")</f>
        <v/>
      </c>
      <c r="S1523" s="66">
        <f>IF(X1523&lt;&gt;"","⛔ "&amp;X1523&amp;" — not posted",IF(Y1523&lt;&gt;"","⚠ "&amp;Y1523,IF(Z1523=1,"✓ OK","")))</f>
        <v/>
      </c>
      <c r="T1523" s="67">
        <f>IF(AND(C1523="",D1523="",E1523="",L1523="",K1523=""),1,0)</f>
        <v/>
      </c>
      <c r="U1523" s="67">
        <f>IFERROR(INDEX(tt_Dir,MATCH(D1523,tt_Type,0)),"")</f>
        <v/>
      </c>
      <c r="V1523" s="67">
        <f>IF(D1523="","",IFERROR(IF(INDEX(tt_Other,MATCH(D1523,tt_Type,0))="",E1523&amp;"",INDEX(tt_Other,MATCH(D1523,tt_Type,0))),""))</f>
        <v/>
      </c>
      <c r="W1523" s="68">
        <f>IF(OR(TaxOn&lt;&gt;"Yes",NOT(ISNUMBER(M1523))),0,IF(IFERROR(INDEX(tt_Tax,MATCH(D1523,tt_Type,0)),"No")="Yes",M1523,0))</f>
        <v/>
      </c>
      <c r="X1523" s="67">
        <f>IF(T1523=1,"",IF(C1523="","Missing transaction date",IF(NOT(ISNUMBER(C1523)),"Invalid date",IF(OR(C1523&lt;DATE(2000,1,1),C1523&gt;DATE(2099,12,31)),"Invalid date",IF(D1523="","Select a type",IF(U1523="","Unknown type: "&amp;D1523,IF(V1523="","Select an account (Category)",IF(ISNA(MATCH(V1523,coa_Name,0)),"Unknown account: "&amp;V1523,IF(K1523="","Select Paid From / Deposited To",IF(ISNA(MATCH(K1523,coa_Name,0)),"Unknown account: "&amp;K1523,IF(NOT(ISNUMBER(L1523)),"Enter an amount",IF(L1523=0,"Enter an amount",IF(ABS(W1523)&gt;ABS(L1523),"Tax is larger than the amount","")))))))))))))</f>
        <v/>
      </c>
      <c r="Y1523" s="67">
        <f>IF(OR(T1523=1,X1523&lt;&gt;""),"",IF(AND(B1523&lt;&gt;"",COUNTIF(tx_ID,B1523)&gt;1),"Duplicate transaction ID",IF(AND(L1523&lt;0,D1523&lt;&gt;"Adjustment"),"Negative amount — check this entry",IF(AND(D1523="Customer Payment",G1523=""),"Add the customer",IF(AND(D1523="Customer Payment",OR(J1523="",COUNTIF(ar_No,J1523&amp;"")=0)),"Invoice # in Reference not found on AR sheet",IF(AND(D1523="Bill Payment",H1523=""),"Add the vendor",IF(AND(D1523="Bill Payment",OR(J1523="",COUNTIFS(ap_No,J1523&amp;"",ap_Party,H1523&amp;"")=0)),"Bill # + vendor not found on AP sheet",IF(AND(ISNUMBER(M1523),N(M1523)&lt;&gt;0,W1523=0),"Tax ignored (tax tracking off, or not allowed for this type)",IF(V1523=K1523&amp;"","Same account on both sides",IF(AND(ISNUMBER(StartDate),C1523&lt;StartDate),"Date is before the accounting start date",IF(AND(D1523&lt;&gt;"Adjustment",IFERROR(INDEX(coa_Pay,MATCH(K1523&amp;"",coa_Name,0)),"")&lt;&gt;"Yes"),"Paid From / Deposited To is not a payment account","")))))))))))</f>
        <v/>
      </c>
      <c r="Z1523" s="67">
        <f>IF(AND(T1523=0,X1523=""),1,0)</f>
        <v/>
      </c>
      <c r="AA1523" s="68">
        <f>IF(Z1523=1,IF(U1523="In",L1523,L1523-W1523),0)</f>
        <v/>
      </c>
      <c r="AB1523" s="68">
        <f>IF(Z1523=1,IF(U1523="In",L1523-W1523,L1523),0)</f>
        <v/>
      </c>
      <c r="AC1523" s="68">
        <f>IF(AND(Z1523=1,U1523="Out"),W1523,0)</f>
        <v/>
      </c>
      <c r="AD1523" s="68">
        <f>IF(AND(Z1523=1,U1523="In"),W1523,0)</f>
        <v/>
      </c>
    </row>
    <row r="1524">
      <c r="B1524" s="62" t="inlineStr">
        <is>
          <t>TX-1518</t>
        </is>
      </c>
      <c r="C1524" s="63" t="n"/>
      <c r="D1524" s="62" t="n"/>
      <c r="E1524" s="62" t="n"/>
      <c r="F1524" s="62" t="n"/>
      <c r="G1524" s="62" t="n"/>
      <c r="H1524" s="62" t="n"/>
      <c r="I1524" s="62" t="n"/>
      <c r="J1524" s="62" t="n"/>
      <c r="K1524" s="62" t="n"/>
      <c r="L1524" s="64" t="n"/>
      <c r="M1524" s="64" t="n"/>
      <c r="N1524" s="62" t="n"/>
      <c r="O1524" s="65">
        <f>IF(Z1524=1,L1524-W1524,"")</f>
        <v/>
      </c>
      <c r="P1524" s="66">
        <f>IF(V1524="","",IFERROR(INDEX(coa_Type,MATCH(V1524,coa_Name,0)),""))</f>
        <v/>
      </c>
      <c r="Q1524" s="66">
        <f>IF(Z1524=1,IF(U1524="In",K1524&amp;"",V1524),"")</f>
        <v/>
      </c>
      <c r="R1524" s="66">
        <f>IF(Z1524=1,IF(U1524="In",V1524,K1524&amp;""),"")</f>
        <v/>
      </c>
      <c r="S1524" s="66">
        <f>IF(X1524&lt;&gt;"","⛔ "&amp;X1524&amp;" — not posted",IF(Y1524&lt;&gt;"","⚠ "&amp;Y1524,IF(Z1524=1,"✓ OK","")))</f>
        <v/>
      </c>
      <c r="T1524" s="67">
        <f>IF(AND(C1524="",D1524="",E1524="",L1524="",K1524=""),1,0)</f>
        <v/>
      </c>
      <c r="U1524" s="67">
        <f>IFERROR(INDEX(tt_Dir,MATCH(D1524,tt_Type,0)),"")</f>
        <v/>
      </c>
      <c r="V1524" s="67">
        <f>IF(D1524="","",IFERROR(IF(INDEX(tt_Other,MATCH(D1524,tt_Type,0))="",E1524&amp;"",INDEX(tt_Other,MATCH(D1524,tt_Type,0))),""))</f>
        <v/>
      </c>
      <c r="W1524" s="68">
        <f>IF(OR(TaxOn&lt;&gt;"Yes",NOT(ISNUMBER(M1524))),0,IF(IFERROR(INDEX(tt_Tax,MATCH(D1524,tt_Type,0)),"No")="Yes",M1524,0))</f>
        <v/>
      </c>
      <c r="X1524" s="67">
        <f>IF(T1524=1,"",IF(C1524="","Missing transaction date",IF(NOT(ISNUMBER(C1524)),"Invalid date",IF(OR(C1524&lt;DATE(2000,1,1),C1524&gt;DATE(2099,12,31)),"Invalid date",IF(D1524="","Select a type",IF(U1524="","Unknown type: "&amp;D1524,IF(V1524="","Select an account (Category)",IF(ISNA(MATCH(V1524,coa_Name,0)),"Unknown account: "&amp;V1524,IF(K1524="","Select Paid From / Deposited To",IF(ISNA(MATCH(K1524,coa_Name,0)),"Unknown account: "&amp;K1524,IF(NOT(ISNUMBER(L1524)),"Enter an amount",IF(L1524=0,"Enter an amount",IF(ABS(W1524)&gt;ABS(L1524),"Tax is larger than the amount","")))))))))))))</f>
        <v/>
      </c>
      <c r="Y1524" s="67">
        <f>IF(OR(T1524=1,X1524&lt;&gt;""),"",IF(AND(B1524&lt;&gt;"",COUNTIF(tx_ID,B1524)&gt;1),"Duplicate transaction ID",IF(AND(L1524&lt;0,D1524&lt;&gt;"Adjustment"),"Negative amount — check this entry",IF(AND(D1524="Customer Payment",G1524=""),"Add the customer",IF(AND(D1524="Customer Payment",OR(J1524="",COUNTIF(ar_No,J1524&amp;"")=0)),"Invoice # in Reference not found on AR sheet",IF(AND(D1524="Bill Payment",H1524=""),"Add the vendor",IF(AND(D1524="Bill Payment",OR(J1524="",COUNTIFS(ap_No,J1524&amp;"",ap_Party,H1524&amp;"")=0)),"Bill # + vendor not found on AP sheet",IF(AND(ISNUMBER(M1524),N(M1524)&lt;&gt;0,W1524=0),"Tax ignored (tax tracking off, or not allowed for this type)",IF(V1524=K1524&amp;"","Same account on both sides",IF(AND(ISNUMBER(StartDate),C1524&lt;StartDate),"Date is before the accounting start date",IF(AND(D1524&lt;&gt;"Adjustment",IFERROR(INDEX(coa_Pay,MATCH(K1524&amp;"",coa_Name,0)),"")&lt;&gt;"Yes"),"Paid From / Deposited To is not a payment account","")))))))))))</f>
        <v/>
      </c>
      <c r="Z1524" s="67">
        <f>IF(AND(T1524=0,X1524=""),1,0)</f>
        <v/>
      </c>
      <c r="AA1524" s="68">
        <f>IF(Z1524=1,IF(U1524="In",L1524,L1524-W1524),0)</f>
        <v/>
      </c>
      <c r="AB1524" s="68">
        <f>IF(Z1524=1,IF(U1524="In",L1524-W1524,L1524),0)</f>
        <v/>
      </c>
      <c r="AC1524" s="68">
        <f>IF(AND(Z1524=1,U1524="Out"),W1524,0)</f>
        <v/>
      </c>
      <c r="AD1524" s="68">
        <f>IF(AND(Z1524=1,U1524="In"),W1524,0)</f>
        <v/>
      </c>
    </row>
    <row r="1525">
      <c r="B1525" s="62" t="inlineStr">
        <is>
          <t>TX-1519</t>
        </is>
      </c>
      <c r="C1525" s="63" t="n"/>
      <c r="D1525" s="62" t="n"/>
      <c r="E1525" s="62" t="n"/>
      <c r="F1525" s="62" t="n"/>
      <c r="G1525" s="62" t="n"/>
      <c r="H1525" s="62" t="n"/>
      <c r="I1525" s="62" t="n"/>
      <c r="J1525" s="62" t="n"/>
      <c r="K1525" s="62" t="n"/>
      <c r="L1525" s="64" t="n"/>
      <c r="M1525" s="64" t="n"/>
      <c r="N1525" s="62" t="n"/>
      <c r="O1525" s="65">
        <f>IF(Z1525=1,L1525-W1525,"")</f>
        <v/>
      </c>
      <c r="P1525" s="66">
        <f>IF(V1525="","",IFERROR(INDEX(coa_Type,MATCH(V1525,coa_Name,0)),""))</f>
        <v/>
      </c>
      <c r="Q1525" s="66">
        <f>IF(Z1525=1,IF(U1525="In",K1525&amp;"",V1525),"")</f>
        <v/>
      </c>
      <c r="R1525" s="66">
        <f>IF(Z1525=1,IF(U1525="In",V1525,K1525&amp;""),"")</f>
        <v/>
      </c>
      <c r="S1525" s="66">
        <f>IF(X1525&lt;&gt;"","⛔ "&amp;X1525&amp;" — not posted",IF(Y1525&lt;&gt;"","⚠ "&amp;Y1525,IF(Z1525=1,"✓ OK","")))</f>
        <v/>
      </c>
      <c r="T1525" s="67">
        <f>IF(AND(C1525="",D1525="",E1525="",L1525="",K1525=""),1,0)</f>
        <v/>
      </c>
      <c r="U1525" s="67">
        <f>IFERROR(INDEX(tt_Dir,MATCH(D1525,tt_Type,0)),"")</f>
        <v/>
      </c>
      <c r="V1525" s="67">
        <f>IF(D1525="","",IFERROR(IF(INDEX(tt_Other,MATCH(D1525,tt_Type,0))="",E1525&amp;"",INDEX(tt_Other,MATCH(D1525,tt_Type,0))),""))</f>
        <v/>
      </c>
      <c r="W1525" s="68">
        <f>IF(OR(TaxOn&lt;&gt;"Yes",NOT(ISNUMBER(M1525))),0,IF(IFERROR(INDEX(tt_Tax,MATCH(D1525,tt_Type,0)),"No")="Yes",M1525,0))</f>
        <v/>
      </c>
      <c r="X1525" s="67">
        <f>IF(T1525=1,"",IF(C1525="","Missing transaction date",IF(NOT(ISNUMBER(C1525)),"Invalid date",IF(OR(C1525&lt;DATE(2000,1,1),C1525&gt;DATE(2099,12,31)),"Invalid date",IF(D1525="","Select a type",IF(U1525="","Unknown type: "&amp;D1525,IF(V1525="","Select an account (Category)",IF(ISNA(MATCH(V1525,coa_Name,0)),"Unknown account: "&amp;V1525,IF(K1525="","Select Paid From / Deposited To",IF(ISNA(MATCH(K1525,coa_Name,0)),"Unknown account: "&amp;K1525,IF(NOT(ISNUMBER(L1525)),"Enter an amount",IF(L1525=0,"Enter an amount",IF(ABS(W1525)&gt;ABS(L1525),"Tax is larger than the amount","")))))))))))))</f>
        <v/>
      </c>
      <c r="Y1525" s="67">
        <f>IF(OR(T1525=1,X1525&lt;&gt;""),"",IF(AND(B1525&lt;&gt;"",COUNTIF(tx_ID,B1525)&gt;1),"Duplicate transaction ID",IF(AND(L1525&lt;0,D1525&lt;&gt;"Adjustment"),"Negative amount — check this entry",IF(AND(D1525="Customer Payment",G1525=""),"Add the customer",IF(AND(D1525="Customer Payment",OR(J1525="",COUNTIF(ar_No,J1525&amp;"")=0)),"Invoice # in Reference not found on AR sheet",IF(AND(D1525="Bill Payment",H1525=""),"Add the vendor",IF(AND(D1525="Bill Payment",OR(J1525="",COUNTIFS(ap_No,J1525&amp;"",ap_Party,H1525&amp;"")=0)),"Bill # + vendor not found on AP sheet",IF(AND(ISNUMBER(M1525),N(M1525)&lt;&gt;0,W1525=0),"Tax ignored (tax tracking off, or not allowed for this type)",IF(V1525=K1525&amp;"","Same account on both sides",IF(AND(ISNUMBER(StartDate),C1525&lt;StartDate),"Date is before the accounting start date",IF(AND(D1525&lt;&gt;"Adjustment",IFERROR(INDEX(coa_Pay,MATCH(K1525&amp;"",coa_Name,0)),"")&lt;&gt;"Yes"),"Paid From / Deposited To is not a payment account","")))))))))))</f>
        <v/>
      </c>
      <c r="Z1525" s="67">
        <f>IF(AND(T1525=0,X1525=""),1,0)</f>
        <v/>
      </c>
      <c r="AA1525" s="68">
        <f>IF(Z1525=1,IF(U1525="In",L1525,L1525-W1525),0)</f>
        <v/>
      </c>
      <c r="AB1525" s="68">
        <f>IF(Z1525=1,IF(U1525="In",L1525-W1525,L1525),0)</f>
        <v/>
      </c>
      <c r="AC1525" s="68">
        <f>IF(AND(Z1525=1,U1525="Out"),W1525,0)</f>
        <v/>
      </c>
      <c r="AD1525" s="68">
        <f>IF(AND(Z1525=1,U1525="In"),W1525,0)</f>
        <v/>
      </c>
    </row>
    <row r="1526">
      <c r="B1526" s="62" t="inlineStr">
        <is>
          <t>TX-1520</t>
        </is>
      </c>
      <c r="C1526" s="63" t="n"/>
      <c r="D1526" s="62" t="n"/>
      <c r="E1526" s="62" t="n"/>
      <c r="F1526" s="62" t="n"/>
      <c r="G1526" s="62" t="n"/>
      <c r="H1526" s="62" t="n"/>
      <c r="I1526" s="62" t="n"/>
      <c r="J1526" s="62" t="n"/>
      <c r="K1526" s="62" t="n"/>
      <c r="L1526" s="64" t="n"/>
      <c r="M1526" s="64" t="n"/>
      <c r="N1526" s="62" t="n"/>
      <c r="O1526" s="65">
        <f>IF(Z1526=1,L1526-W1526,"")</f>
        <v/>
      </c>
      <c r="P1526" s="66">
        <f>IF(V1526="","",IFERROR(INDEX(coa_Type,MATCH(V1526,coa_Name,0)),""))</f>
        <v/>
      </c>
      <c r="Q1526" s="66">
        <f>IF(Z1526=1,IF(U1526="In",K1526&amp;"",V1526),"")</f>
        <v/>
      </c>
      <c r="R1526" s="66">
        <f>IF(Z1526=1,IF(U1526="In",V1526,K1526&amp;""),"")</f>
        <v/>
      </c>
      <c r="S1526" s="66">
        <f>IF(X1526&lt;&gt;"","⛔ "&amp;X1526&amp;" — not posted",IF(Y1526&lt;&gt;"","⚠ "&amp;Y1526,IF(Z1526=1,"✓ OK","")))</f>
        <v/>
      </c>
      <c r="T1526" s="67">
        <f>IF(AND(C1526="",D1526="",E1526="",L1526="",K1526=""),1,0)</f>
        <v/>
      </c>
      <c r="U1526" s="67">
        <f>IFERROR(INDEX(tt_Dir,MATCH(D1526,tt_Type,0)),"")</f>
        <v/>
      </c>
      <c r="V1526" s="67">
        <f>IF(D1526="","",IFERROR(IF(INDEX(tt_Other,MATCH(D1526,tt_Type,0))="",E1526&amp;"",INDEX(tt_Other,MATCH(D1526,tt_Type,0))),""))</f>
        <v/>
      </c>
      <c r="W1526" s="68">
        <f>IF(OR(TaxOn&lt;&gt;"Yes",NOT(ISNUMBER(M1526))),0,IF(IFERROR(INDEX(tt_Tax,MATCH(D1526,tt_Type,0)),"No")="Yes",M1526,0))</f>
        <v/>
      </c>
      <c r="X1526" s="67">
        <f>IF(T1526=1,"",IF(C1526="","Missing transaction date",IF(NOT(ISNUMBER(C1526)),"Invalid date",IF(OR(C1526&lt;DATE(2000,1,1),C1526&gt;DATE(2099,12,31)),"Invalid date",IF(D1526="","Select a type",IF(U1526="","Unknown type: "&amp;D1526,IF(V1526="","Select an account (Category)",IF(ISNA(MATCH(V1526,coa_Name,0)),"Unknown account: "&amp;V1526,IF(K1526="","Select Paid From / Deposited To",IF(ISNA(MATCH(K1526,coa_Name,0)),"Unknown account: "&amp;K1526,IF(NOT(ISNUMBER(L1526)),"Enter an amount",IF(L1526=0,"Enter an amount",IF(ABS(W1526)&gt;ABS(L1526),"Tax is larger than the amount","")))))))))))))</f>
        <v/>
      </c>
      <c r="Y1526" s="67">
        <f>IF(OR(T1526=1,X1526&lt;&gt;""),"",IF(AND(B1526&lt;&gt;"",COUNTIF(tx_ID,B1526)&gt;1),"Duplicate transaction ID",IF(AND(L1526&lt;0,D1526&lt;&gt;"Adjustment"),"Negative amount — check this entry",IF(AND(D1526="Customer Payment",G1526=""),"Add the customer",IF(AND(D1526="Customer Payment",OR(J1526="",COUNTIF(ar_No,J1526&amp;"")=0)),"Invoice # in Reference not found on AR sheet",IF(AND(D1526="Bill Payment",H1526=""),"Add the vendor",IF(AND(D1526="Bill Payment",OR(J1526="",COUNTIFS(ap_No,J1526&amp;"",ap_Party,H1526&amp;"")=0)),"Bill # + vendor not found on AP sheet",IF(AND(ISNUMBER(M1526),N(M1526)&lt;&gt;0,W1526=0),"Tax ignored (tax tracking off, or not allowed for this type)",IF(V1526=K1526&amp;"","Same account on both sides",IF(AND(ISNUMBER(StartDate),C1526&lt;StartDate),"Date is before the accounting start date",IF(AND(D1526&lt;&gt;"Adjustment",IFERROR(INDEX(coa_Pay,MATCH(K1526&amp;"",coa_Name,0)),"")&lt;&gt;"Yes"),"Paid From / Deposited To is not a payment account","")))))))))))</f>
        <v/>
      </c>
      <c r="Z1526" s="67">
        <f>IF(AND(T1526=0,X1526=""),1,0)</f>
        <v/>
      </c>
      <c r="AA1526" s="68">
        <f>IF(Z1526=1,IF(U1526="In",L1526,L1526-W1526),0)</f>
        <v/>
      </c>
      <c r="AB1526" s="68">
        <f>IF(Z1526=1,IF(U1526="In",L1526-W1526,L1526),0)</f>
        <v/>
      </c>
      <c r="AC1526" s="68">
        <f>IF(AND(Z1526=1,U1526="Out"),W1526,0)</f>
        <v/>
      </c>
      <c r="AD1526" s="68">
        <f>IF(AND(Z1526=1,U1526="In"),W1526,0)</f>
        <v/>
      </c>
    </row>
    <row r="1527">
      <c r="B1527" s="62" t="inlineStr">
        <is>
          <t>TX-1521</t>
        </is>
      </c>
      <c r="C1527" s="63" t="n"/>
      <c r="D1527" s="62" t="n"/>
      <c r="E1527" s="62" t="n"/>
      <c r="F1527" s="62" t="n"/>
      <c r="G1527" s="62" t="n"/>
      <c r="H1527" s="62" t="n"/>
      <c r="I1527" s="62" t="n"/>
      <c r="J1527" s="62" t="n"/>
      <c r="K1527" s="62" t="n"/>
      <c r="L1527" s="64" t="n"/>
      <c r="M1527" s="64" t="n"/>
      <c r="N1527" s="62" t="n"/>
      <c r="O1527" s="65">
        <f>IF(Z1527=1,L1527-W1527,"")</f>
        <v/>
      </c>
      <c r="P1527" s="66">
        <f>IF(V1527="","",IFERROR(INDEX(coa_Type,MATCH(V1527,coa_Name,0)),""))</f>
        <v/>
      </c>
      <c r="Q1527" s="66">
        <f>IF(Z1527=1,IF(U1527="In",K1527&amp;"",V1527),"")</f>
        <v/>
      </c>
      <c r="R1527" s="66">
        <f>IF(Z1527=1,IF(U1527="In",V1527,K1527&amp;""),"")</f>
        <v/>
      </c>
      <c r="S1527" s="66">
        <f>IF(X1527&lt;&gt;"","⛔ "&amp;X1527&amp;" — not posted",IF(Y1527&lt;&gt;"","⚠ "&amp;Y1527,IF(Z1527=1,"✓ OK","")))</f>
        <v/>
      </c>
      <c r="T1527" s="67">
        <f>IF(AND(C1527="",D1527="",E1527="",L1527="",K1527=""),1,0)</f>
        <v/>
      </c>
      <c r="U1527" s="67">
        <f>IFERROR(INDEX(tt_Dir,MATCH(D1527,tt_Type,0)),"")</f>
        <v/>
      </c>
      <c r="V1527" s="67">
        <f>IF(D1527="","",IFERROR(IF(INDEX(tt_Other,MATCH(D1527,tt_Type,0))="",E1527&amp;"",INDEX(tt_Other,MATCH(D1527,tt_Type,0))),""))</f>
        <v/>
      </c>
      <c r="W1527" s="68">
        <f>IF(OR(TaxOn&lt;&gt;"Yes",NOT(ISNUMBER(M1527))),0,IF(IFERROR(INDEX(tt_Tax,MATCH(D1527,tt_Type,0)),"No")="Yes",M1527,0))</f>
        <v/>
      </c>
      <c r="X1527" s="67">
        <f>IF(T1527=1,"",IF(C1527="","Missing transaction date",IF(NOT(ISNUMBER(C1527)),"Invalid date",IF(OR(C1527&lt;DATE(2000,1,1),C1527&gt;DATE(2099,12,31)),"Invalid date",IF(D1527="","Select a type",IF(U1527="","Unknown type: "&amp;D1527,IF(V1527="","Select an account (Category)",IF(ISNA(MATCH(V1527,coa_Name,0)),"Unknown account: "&amp;V1527,IF(K1527="","Select Paid From / Deposited To",IF(ISNA(MATCH(K1527,coa_Name,0)),"Unknown account: "&amp;K1527,IF(NOT(ISNUMBER(L1527)),"Enter an amount",IF(L1527=0,"Enter an amount",IF(ABS(W1527)&gt;ABS(L1527),"Tax is larger than the amount","")))))))))))))</f>
        <v/>
      </c>
      <c r="Y1527" s="67">
        <f>IF(OR(T1527=1,X1527&lt;&gt;""),"",IF(AND(B1527&lt;&gt;"",COUNTIF(tx_ID,B1527)&gt;1),"Duplicate transaction ID",IF(AND(L1527&lt;0,D1527&lt;&gt;"Adjustment"),"Negative amount — check this entry",IF(AND(D1527="Customer Payment",G1527=""),"Add the customer",IF(AND(D1527="Customer Payment",OR(J1527="",COUNTIF(ar_No,J1527&amp;"")=0)),"Invoice # in Reference not found on AR sheet",IF(AND(D1527="Bill Payment",H1527=""),"Add the vendor",IF(AND(D1527="Bill Payment",OR(J1527="",COUNTIFS(ap_No,J1527&amp;"",ap_Party,H1527&amp;"")=0)),"Bill # + vendor not found on AP sheet",IF(AND(ISNUMBER(M1527),N(M1527)&lt;&gt;0,W1527=0),"Tax ignored (tax tracking off, or not allowed for this type)",IF(V1527=K1527&amp;"","Same account on both sides",IF(AND(ISNUMBER(StartDate),C1527&lt;StartDate),"Date is before the accounting start date",IF(AND(D1527&lt;&gt;"Adjustment",IFERROR(INDEX(coa_Pay,MATCH(K1527&amp;"",coa_Name,0)),"")&lt;&gt;"Yes"),"Paid From / Deposited To is not a payment account","")))))))))))</f>
        <v/>
      </c>
      <c r="Z1527" s="67">
        <f>IF(AND(T1527=0,X1527=""),1,0)</f>
        <v/>
      </c>
      <c r="AA1527" s="68">
        <f>IF(Z1527=1,IF(U1527="In",L1527,L1527-W1527),0)</f>
        <v/>
      </c>
      <c r="AB1527" s="68">
        <f>IF(Z1527=1,IF(U1527="In",L1527-W1527,L1527),0)</f>
        <v/>
      </c>
      <c r="AC1527" s="68">
        <f>IF(AND(Z1527=1,U1527="Out"),W1527,0)</f>
        <v/>
      </c>
      <c r="AD1527" s="68">
        <f>IF(AND(Z1527=1,U1527="In"),W1527,0)</f>
        <v/>
      </c>
    </row>
    <row r="1528">
      <c r="B1528" s="62" t="inlineStr">
        <is>
          <t>TX-1522</t>
        </is>
      </c>
      <c r="C1528" s="63" t="n"/>
      <c r="D1528" s="62" t="n"/>
      <c r="E1528" s="62" t="n"/>
      <c r="F1528" s="62" t="n"/>
      <c r="G1528" s="62" t="n"/>
      <c r="H1528" s="62" t="n"/>
      <c r="I1528" s="62" t="n"/>
      <c r="J1528" s="62" t="n"/>
      <c r="K1528" s="62" t="n"/>
      <c r="L1528" s="64" t="n"/>
      <c r="M1528" s="64" t="n"/>
      <c r="N1528" s="62" t="n"/>
      <c r="O1528" s="65">
        <f>IF(Z1528=1,L1528-W1528,"")</f>
        <v/>
      </c>
      <c r="P1528" s="66">
        <f>IF(V1528="","",IFERROR(INDEX(coa_Type,MATCH(V1528,coa_Name,0)),""))</f>
        <v/>
      </c>
      <c r="Q1528" s="66">
        <f>IF(Z1528=1,IF(U1528="In",K1528&amp;"",V1528),"")</f>
        <v/>
      </c>
      <c r="R1528" s="66">
        <f>IF(Z1528=1,IF(U1528="In",V1528,K1528&amp;""),"")</f>
        <v/>
      </c>
      <c r="S1528" s="66">
        <f>IF(X1528&lt;&gt;"","⛔ "&amp;X1528&amp;" — not posted",IF(Y1528&lt;&gt;"","⚠ "&amp;Y1528,IF(Z1528=1,"✓ OK","")))</f>
        <v/>
      </c>
      <c r="T1528" s="67">
        <f>IF(AND(C1528="",D1528="",E1528="",L1528="",K1528=""),1,0)</f>
        <v/>
      </c>
      <c r="U1528" s="67">
        <f>IFERROR(INDEX(tt_Dir,MATCH(D1528,tt_Type,0)),"")</f>
        <v/>
      </c>
      <c r="V1528" s="67">
        <f>IF(D1528="","",IFERROR(IF(INDEX(tt_Other,MATCH(D1528,tt_Type,0))="",E1528&amp;"",INDEX(tt_Other,MATCH(D1528,tt_Type,0))),""))</f>
        <v/>
      </c>
      <c r="W1528" s="68">
        <f>IF(OR(TaxOn&lt;&gt;"Yes",NOT(ISNUMBER(M1528))),0,IF(IFERROR(INDEX(tt_Tax,MATCH(D1528,tt_Type,0)),"No")="Yes",M1528,0))</f>
        <v/>
      </c>
      <c r="X1528" s="67">
        <f>IF(T1528=1,"",IF(C1528="","Missing transaction date",IF(NOT(ISNUMBER(C1528)),"Invalid date",IF(OR(C1528&lt;DATE(2000,1,1),C1528&gt;DATE(2099,12,31)),"Invalid date",IF(D1528="","Select a type",IF(U1528="","Unknown type: "&amp;D1528,IF(V1528="","Select an account (Category)",IF(ISNA(MATCH(V1528,coa_Name,0)),"Unknown account: "&amp;V1528,IF(K1528="","Select Paid From / Deposited To",IF(ISNA(MATCH(K1528,coa_Name,0)),"Unknown account: "&amp;K1528,IF(NOT(ISNUMBER(L1528)),"Enter an amount",IF(L1528=0,"Enter an amount",IF(ABS(W1528)&gt;ABS(L1528),"Tax is larger than the amount","")))))))))))))</f>
        <v/>
      </c>
      <c r="Y1528" s="67">
        <f>IF(OR(T1528=1,X1528&lt;&gt;""),"",IF(AND(B1528&lt;&gt;"",COUNTIF(tx_ID,B1528)&gt;1),"Duplicate transaction ID",IF(AND(L1528&lt;0,D1528&lt;&gt;"Adjustment"),"Negative amount — check this entry",IF(AND(D1528="Customer Payment",G1528=""),"Add the customer",IF(AND(D1528="Customer Payment",OR(J1528="",COUNTIF(ar_No,J1528&amp;"")=0)),"Invoice # in Reference not found on AR sheet",IF(AND(D1528="Bill Payment",H1528=""),"Add the vendor",IF(AND(D1528="Bill Payment",OR(J1528="",COUNTIFS(ap_No,J1528&amp;"",ap_Party,H1528&amp;"")=0)),"Bill # + vendor not found on AP sheet",IF(AND(ISNUMBER(M1528),N(M1528)&lt;&gt;0,W1528=0),"Tax ignored (tax tracking off, or not allowed for this type)",IF(V1528=K1528&amp;"","Same account on both sides",IF(AND(ISNUMBER(StartDate),C1528&lt;StartDate),"Date is before the accounting start date",IF(AND(D1528&lt;&gt;"Adjustment",IFERROR(INDEX(coa_Pay,MATCH(K1528&amp;"",coa_Name,0)),"")&lt;&gt;"Yes"),"Paid From / Deposited To is not a payment account","")))))))))))</f>
        <v/>
      </c>
      <c r="Z1528" s="67">
        <f>IF(AND(T1528=0,X1528=""),1,0)</f>
        <v/>
      </c>
      <c r="AA1528" s="68">
        <f>IF(Z1528=1,IF(U1528="In",L1528,L1528-W1528),0)</f>
        <v/>
      </c>
      <c r="AB1528" s="68">
        <f>IF(Z1528=1,IF(U1528="In",L1528-W1528,L1528),0)</f>
        <v/>
      </c>
      <c r="AC1528" s="68">
        <f>IF(AND(Z1528=1,U1528="Out"),W1528,0)</f>
        <v/>
      </c>
      <c r="AD1528" s="68">
        <f>IF(AND(Z1528=1,U1528="In"),W1528,0)</f>
        <v/>
      </c>
    </row>
    <row r="1529">
      <c r="B1529" s="62" t="inlineStr">
        <is>
          <t>TX-1523</t>
        </is>
      </c>
      <c r="C1529" s="63" t="n"/>
      <c r="D1529" s="62" t="n"/>
      <c r="E1529" s="62" t="n"/>
      <c r="F1529" s="62" t="n"/>
      <c r="G1529" s="62" t="n"/>
      <c r="H1529" s="62" t="n"/>
      <c r="I1529" s="62" t="n"/>
      <c r="J1529" s="62" t="n"/>
      <c r="K1529" s="62" t="n"/>
      <c r="L1529" s="64" t="n"/>
      <c r="M1529" s="64" t="n"/>
      <c r="N1529" s="62" t="n"/>
      <c r="O1529" s="65">
        <f>IF(Z1529=1,L1529-W1529,"")</f>
        <v/>
      </c>
      <c r="P1529" s="66">
        <f>IF(V1529="","",IFERROR(INDEX(coa_Type,MATCH(V1529,coa_Name,0)),""))</f>
        <v/>
      </c>
      <c r="Q1529" s="66">
        <f>IF(Z1529=1,IF(U1529="In",K1529&amp;"",V1529),"")</f>
        <v/>
      </c>
      <c r="R1529" s="66">
        <f>IF(Z1529=1,IF(U1529="In",V1529,K1529&amp;""),"")</f>
        <v/>
      </c>
      <c r="S1529" s="66">
        <f>IF(X1529&lt;&gt;"","⛔ "&amp;X1529&amp;" — not posted",IF(Y1529&lt;&gt;"","⚠ "&amp;Y1529,IF(Z1529=1,"✓ OK","")))</f>
        <v/>
      </c>
      <c r="T1529" s="67">
        <f>IF(AND(C1529="",D1529="",E1529="",L1529="",K1529=""),1,0)</f>
        <v/>
      </c>
      <c r="U1529" s="67">
        <f>IFERROR(INDEX(tt_Dir,MATCH(D1529,tt_Type,0)),"")</f>
        <v/>
      </c>
      <c r="V1529" s="67">
        <f>IF(D1529="","",IFERROR(IF(INDEX(tt_Other,MATCH(D1529,tt_Type,0))="",E1529&amp;"",INDEX(tt_Other,MATCH(D1529,tt_Type,0))),""))</f>
        <v/>
      </c>
      <c r="W1529" s="68">
        <f>IF(OR(TaxOn&lt;&gt;"Yes",NOT(ISNUMBER(M1529))),0,IF(IFERROR(INDEX(tt_Tax,MATCH(D1529,tt_Type,0)),"No")="Yes",M1529,0))</f>
        <v/>
      </c>
      <c r="X1529" s="67">
        <f>IF(T1529=1,"",IF(C1529="","Missing transaction date",IF(NOT(ISNUMBER(C1529)),"Invalid date",IF(OR(C1529&lt;DATE(2000,1,1),C1529&gt;DATE(2099,12,31)),"Invalid date",IF(D1529="","Select a type",IF(U1529="","Unknown type: "&amp;D1529,IF(V1529="","Select an account (Category)",IF(ISNA(MATCH(V1529,coa_Name,0)),"Unknown account: "&amp;V1529,IF(K1529="","Select Paid From / Deposited To",IF(ISNA(MATCH(K1529,coa_Name,0)),"Unknown account: "&amp;K1529,IF(NOT(ISNUMBER(L1529)),"Enter an amount",IF(L1529=0,"Enter an amount",IF(ABS(W1529)&gt;ABS(L1529),"Tax is larger than the amount","")))))))))))))</f>
        <v/>
      </c>
      <c r="Y1529" s="67">
        <f>IF(OR(T1529=1,X1529&lt;&gt;""),"",IF(AND(B1529&lt;&gt;"",COUNTIF(tx_ID,B1529)&gt;1),"Duplicate transaction ID",IF(AND(L1529&lt;0,D1529&lt;&gt;"Adjustment"),"Negative amount — check this entry",IF(AND(D1529="Customer Payment",G1529=""),"Add the customer",IF(AND(D1529="Customer Payment",OR(J1529="",COUNTIF(ar_No,J1529&amp;"")=0)),"Invoice # in Reference not found on AR sheet",IF(AND(D1529="Bill Payment",H1529=""),"Add the vendor",IF(AND(D1529="Bill Payment",OR(J1529="",COUNTIFS(ap_No,J1529&amp;"",ap_Party,H1529&amp;"")=0)),"Bill # + vendor not found on AP sheet",IF(AND(ISNUMBER(M1529),N(M1529)&lt;&gt;0,W1529=0),"Tax ignored (tax tracking off, or not allowed for this type)",IF(V1529=K1529&amp;"","Same account on both sides",IF(AND(ISNUMBER(StartDate),C1529&lt;StartDate),"Date is before the accounting start date",IF(AND(D1529&lt;&gt;"Adjustment",IFERROR(INDEX(coa_Pay,MATCH(K1529&amp;"",coa_Name,0)),"")&lt;&gt;"Yes"),"Paid From / Deposited To is not a payment account","")))))))))))</f>
        <v/>
      </c>
      <c r="Z1529" s="67">
        <f>IF(AND(T1529=0,X1529=""),1,0)</f>
        <v/>
      </c>
      <c r="AA1529" s="68">
        <f>IF(Z1529=1,IF(U1529="In",L1529,L1529-W1529),0)</f>
        <v/>
      </c>
      <c r="AB1529" s="68">
        <f>IF(Z1529=1,IF(U1529="In",L1529-W1529,L1529),0)</f>
        <v/>
      </c>
      <c r="AC1529" s="68">
        <f>IF(AND(Z1529=1,U1529="Out"),W1529,0)</f>
        <v/>
      </c>
      <c r="AD1529" s="68">
        <f>IF(AND(Z1529=1,U1529="In"),W1529,0)</f>
        <v/>
      </c>
    </row>
    <row r="1530">
      <c r="B1530" s="62" t="inlineStr">
        <is>
          <t>TX-1524</t>
        </is>
      </c>
      <c r="C1530" s="63" t="n"/>
      <c r="D1530" s="62" t="n"/>
      <c r="E1530" s="62" t="n"/>
      <c r="F1530" s="62" t="n"/>
      <c r="G1530" s="62" t="n"/>
      <c r="H1530" s="62" t="n"/>
      <c r="I1530" s="62" t="n"/>
      <c r="J1530" s="62" t="n"/>
      <c r="K1530" s="62" t="n"/>
      <c r="L1530" s="64" t="n"/>
      <c r="M1530" s="64" t="n"/>
      <c r="N1530" s="62" t="n"/>
      <c r="O1530" s="65">
        <f>IF(Z1530=1,L1530-W1530,"")</f>
        <v/>
      </c>
      <c r="P1530" s="66">
        <f>IF(V1530="","",IFERROR(INDEX(coa_Type,MATCH(V1530,coa_Name,0)),""))</f>
        <v/>
      </c>
      <c r="Q1530" s="66">
        <f>IF(Z1530=1,IF(U1530="In",K1530&amp;"",V1530),"")</f>
        <v/>
      </c>
      <c r="R1530" s="66">
        <f>IF(Z1530=1,IF(U1530="In",V1530,K1530&amp;""),"")</f>
        <v/>
      </c>
      <c r="S1530" s="66">
        <f>IF(X1530&lt;&gt;"","⛔ "&amp;X1530&amp;" — not posted",IF(Y1530&lt;&gt;"","⚠ "&amp;Y1530,IF(Z1530=1,"✓ OK","")))</f>
        <v/>
      </c>
      <c r="T1530" s="67">
        <f>IF(AND(C1530="",D1530="",E1530="",L1530="",K1530=""),1,0)</f>
        <v/>
      </c>
      <c r="U1530" s="67">
        <f>IFERROR(INDEX(tt_Dir,MATCH(D1530,tt_Type,0)),"")</f>
        <v/>
      </c>
      <c r="V1530" s="67">
        <f>IF(D1530="","",IFERROR(IF(INDEX(tt_Other,MATCH(D1530,tt_Type,0))="",E1530&amp;"",INDEX(tt_Other,MATCH(D1530,tt_Type,0))),""))</f>
        <v/>
      </c>
      <c r="W1530" s="68">
        <f>IF(OR(TaxOn&lt;&gt;"Yes",NOT(ISNUMBER(M1530))),0,IF(IFERROR(INDEX(tt_Tax,MATCH(D1530,tt_Type,0)),"No")="Yes",M1530,0))</f>
        <v/>
      </c>
      <c r="X1530" s="67">
        <f>IF(T1530=1,"",IF(C1530="","Missing transaction date",IF(NOT(ISNUMBER(C1530)),"Invalid date",IF(OR(C1530&lt;DATE(2000,1,1),C1530&gt;DATE(2099,12,31)),"Invalid date",IF(D1530="","Select a type",IF(U1530="","Unknown type: "&amp;D1530,IF(V1530="","Select an account (Category)",IF(ISNA(MATCH(V1530,coa_Name,0)),"Unknown account: "&amp;V1530,IF(K1530="","Select Paid From / Deposited To",IF(ISNA(MATCH(K1530,coa_Name,0)),"Unknown account: "&amp;K1530,IF(NOT(ISNUMBER(L1530)),"Enter an amount",IF(L1530=0,"Enter an amount",IF(ABS(W1530)&gt;ABS(L1530),"Tax is larger than the amount","")))))))))))))</f>
        <v/>
      </c>
      <c r="Y1530" s="67">
        <f>IF(OR(T1530=1,X1530&lt;&gt;""),"",IF(AND(B1530&lt;&gt;"",COUNTIF(tx_ID,B1530)&gt;1),"Duplicate transaction ID",IF(AND(L1530&lt;0,D1530&lt;&gt;"Adjustment"),"Negative amount — check this entry",IF(AND(D1530="Customer Payment",G1530=""),"Add the customer",IF(AND(D1530="Customer Payment",OR(J1530="",COUNTIF(ar_No,J1530&amp;"")=0)),"Invoice # in Reference not found on AR sheet",IF(AND(D1530="Bill Payment",H1530=""),"Add the vendor",IF(AND(D1530="Bill Payment",OR(J1530="",COUNTIFS(ap_No,J1530&amp;"",ap_Party,H1530&amp;"")=0)),"Bill # + vendor not found on AP sheet",IF(AND(ISNUMBER(M1530),N(M1530)&lt;&gt;0,W1530=0),"Tax ignored (tax tracking off, or not allowed for this type)",IF(V1530=K1530&amp;"","Same account on both sides",IF(AND(ISNUMBER(StartDate),C1530&lt;StartDate),"Date is before the accounting start date",IF(AND(D1530&lt;&gt;"Adjustment",IFERROR(INDEX(coa_Pay,MATCH(K1530&amp;"",coa_Name,0)),"")&lt;&gt;"Yes"),"Paid From / Deposited To is not a payment account","")))))))))))</f>
        <v/>
      </c>
      <c r="Z1530" s="67">
        <f>IF(AND(T1530=0,X1530=""),1,0)</f>
        <v/>
      </c>
      <c r="AA1530" s="68">
        <f>IF(Z1530=1,IF(U1530="In",L1530,L1530-W1530),0)</f>
        <v/>
      </c>
      <c r="AB1530" s="68">
        <f>IF(Z1530=1,IF(U1530="In",L1530-W1530,L1530),0)</f>
        <v/>
      </c>
      <c r="AC1530" s="68">
        <f>IF(AND(Z1530=1,U1530="Out"),W1530,0)</f>
        <v/>
      </c>
      <c r="AD1530" s="68">
        <f>IF(AND(Z1530=1,U1530="In"),W1530,0)</f>
        <v/>
      </c>
    </row>
    <row r="1531">
      <c r="B1531" s="62" t="inlineStr">
        <is>
          <t>TX-1525</t>
        </is>
      </c>
      <c r="C1531" s="63" t="n"/>
      <c r="D1531" s="62" t="n"/>
      <c r="E1531" s="62" t="n"/>
      <c r="F1531" s="62" t="n"/>
      <c r="G1531" s="62" t="n"/>
      <c r="H1531" s="62" t="n"/>
      <c r="I1531" s="62" t="n"/>
      <c r="J1531" s="62" t="n"/>
      <c r="K1531" s="62" t="n"/>
      <c r="L1531" s="64" t="n"/>
      <c r="M1531" s="64" t="n"/>
      <c r="N1531" s="62" t="n"/>
      <c r="O1531" s="65">
        <f>IF(Z1531=1,L1531-W1531,"")</f>
        <v/>
      </c>
      <c r="P1531" s="66">
        <f>IF(V1531="","",IFERROR(INDEX(coa_Type,MATCH(V1531,coa_Name,0)),""))</f>
        <v/>
      </c>
      <c r="Q1531" s="66">
        <f>IF(Z1531=1,IF(U1531="In",K1531&amp;"",V1531),"")</f>
        <v/>
      </c>
      <c r="R1531" s="66">
        <f>IF(Z1531=1,IF(U1531="In",V1531,K1531&amp;""),"")</f>
        <v/>
      </c>
      <c r="S1531" s="66">
        <f>IF(X1531&lt;&gt;"","⛔ "&amp;X1531&amp;" — not posted",IF(Y1531&lt;&gt;"","⚠ "&amp;Y1531,IF(Z1531=1,"✓ OK","")))</f>
        <v/>
      </c>
      <c r="T1531" s="67">
        <f>IF(AND(C1531="",D1531="",E1531="",L1531="",K1531=""),1,0)</f>
        <v/>
      </c>
      <c r="U1531" s="67">
        <f>IFERROR(INDEX(tt_Dir,MATCH(D1531,tt_Type,0)),"")</f>
        <v/>
      </c>
      <c r="V1531" s="67">
        <f>IF(D1531="","",IFERROR(IF(INDEX(tt_Other,MATCH(D1531,tt_Type,0))="",E1531&amp;"",INDEX(tt_Other,MATCH(D1531,tt_Type,0))),""))</f>
        <v/>
      </c>
      <c r="W1531" s="68">
        <f>IF(OR(TaxOn&lt;&gt;"Yes",NOT(ISNUMBER(M1531))),0,IF(IFERROR(INDEX(tt_Tax,MATCH(D1531,tt_Type,0)),"No")="Yes",M1531,0))</f>
        <v/>
      </c>
      <c r="X1531" s="67">
        <f>IF(T1531=1,"",IF(C1531="","Missing transaction date",IF(NOT(ISNUMBER(C1531)),"Invalid date",IF(OR(C1531&lt;DATE(2000,1,1),C1531&gt;DATE(2099,12,31)),"Invalid date",IF(D1531="","Select a type",IF(U1531="","Unknown type: "&amp;D1531,IF(V1531="","Select an account (Category)",IF(ISNA(MATCH(V1531,coa_Name,0)),"Unknown account: "&amp;V1531,IF(K1531="","Select Paid From / Deposited To",IF(ISNA(MATCH(K1531,coa_Name,0)),"Unknown account: "&amp;K1531,IF(NOT(ISNUMBER(L1531)),"Enter an amount",IF(L1531=0,"Enter an amount",IF(ABS(W1531)&gt;ABS(L1531),"Tax is larger than the amount","")))))))))))))</f>
        <v/>
      </c>
      <c r="Y1531" s="67">
        <f>IF(OR(T1531=1,X1531&lt;&gt;""),"",IF(AND(B1531&lt;&gt;"",COUNTIF(tx_ID,B1531)&gt;1),"Duplicate transaction ID",IF(AND(L1531&lt;0,D1531&lt;&gt;"Adjustment"),"Negative amount — check this entry",IF(AND(D1531="Customer Payment",G1531=""),"Add the customer",IF(AND(D1531="Customer Payment",OR(J1531="",COUNTIF(ar_No,J1531&amp;"")=0)),"Invoice # in Reference not found on AR sheet",IF(AND(D1531="Bill Payment",H1531=""),"Add the vendor",IF(AND(D1531="Bill Payment",OR(J1531="",COUNTIFS(ap_No,J1531&amp;"",ap_Party,H1531&amp;"")=0)),"Bill # + vendor not found on AP sheet",IF(AND(ISNUMBER(M1531),N(M1531)&lt;&gt;0,W1531=0),"Tax ignored (tax tracking off, or not allowed for this type)",IF(V1531=K1531&amp;"","Same account on both sides",IF(AND(ISNUMBER(StartDate),C1531&lt;StartDate),"Date is before the accounting start date",IF(AND(D1531&lt;&gt;"Adjustment",IFERROR(INDEX(coa_Pay,MATCH(K1531&amp;"",coa_Name,0)),"")&lt;&gt;"Yes"),"Paid From / Deposited To is not a payment account","")))))))))))</f>
        <v/>
      </c>
      <c r="Z1531" s="67">
        <f>IF(AND(T1531=0,X1531=""),1,0)</f>
        <v/>
      </c>
      <c r="AA1531" s="68">
        <f>IF(Z1531=1,IF(U1531="In",L1531,L1531-W1531),0)</f>
        <v/>
      </c>
      <c r="AB1531" s="68">
        <f>IF(Z1531=1,IF(U1531="In",L1531-W1531,L1531),0)</f>
        <v/>
      </c>
      <c r="AC1531" s="68">
        <f>IF(AND(Z1531=1,U1531="Out"),W1531,0)</f>
        <v/>
      </c>
      <c r="AD1531" s="68">
        <f>IF(AND(Z1531=1,U1531="In"),W1531,0)</f>
        <v/>
      </c>
    </row>
    <row r="1532">
      <c r="B1532" s="62" t="inlineStr">
        <is>
          <t>TX-1526</t>
        </is>
      </c>
      <c r="C1532" s="63" t="n"/>
      <c r="D1532" s="62" t="n"/>
      <c r="E1532" s="62" t="n"/>
      <c r="F1532" s="62" t="n"/>
      <c r="G1532" s="62" t="n"/>
      <c r="H1532" s="62" t="n"/>
      <c r="I1532" s="62" t="n"/>
      <c r="J1532" s="62" t="n"/>
      <c r="K1532" s="62" t="n"/>
      <c r="L1532" s="64" t="n"/>
      <c r="M1532" s="64" t="n"/>
      <c r="N1532" s="62" t="n"/>
      <c r="O1532" s="65">
        <f>IF(Z1532=1,L1532-W1532,"")</f>
        <v/>
      </c>
      <c r="P1532" s="66">
        <f>IF(V1532="","",IFERROR(INDEX(coa_Type,MATCH(V1532,coa_Name,0)),""))</f>
        <v/>
      </c>
      <c r="Q1532" s="66">
        <f>IF(Z1532=1,IF(U1532="In",K1532&amp;"",V1532),"")</f>
        <v/>
      </c>
      <c r="R1532" s="66">
        <f>IF(Z1532=1,IF(U1532="In",V1532,K1532&amp;""),"")</f>
        <v/>
      </c>
      <c r="S1532" s="66">
        <f>IF(X1532&lt;&gt;"","⛔ "&amp;X1532&amp;" — not posted",IF(Y1532&lt;&gt;"","⚠ "&amp;Y1532,IF(Z1532=1,"✓ OK","")))</f>
        <v/>
      </c>
      <c r="T1532" s="67">
        <f>IF(AND(C1532="",D1532="",E1532="",L1532="",K1532=""),1,0)</f>
        <v/>
      </c>
      <c r="U1532" s="67">
        <f>IFERROR(INDEX(tt_Dir,MATCH(D1532,tt_Type,0)),"")</f>
        <v/>
      </c>
      <c r="V1532" s="67">
        <f>IF(D1532="","",IFERROR(IF(INDEX(tt_Other,MATCH(D1532,tt_Type,0))="",E1532&amp;"",INDEX(tt_Other,MATCH(D1532,tt_Type,0))),""))</f>
        <v/>
      </c>
      <c r="W1532" s="68">
        <f>IF(OR(TaxOn&lt;&gt;"Yes",NOT(ISNUMBER(M1532))),0,IF(IFERROR(INDEX(tt_Tax,MATCH(D1532,tt_Type,0)),"No")="Yes",M1532,0))</f>
        <v/>
      </c>
      <c r="X1532" s="67">
        <f>IF(T1532=1,"",IF(C1532="","Missing transaction date",IF(NOT(ISNUMBER(C1532)),"Invalid date",IF(OR(C1532&lt;DATE(2000,1,1),C1532&gt;DATE(2099,12,31)),"Invalid date",IF(D1532="","Select a type",IF(U1532="","Unknown type: "&amp;D1532,IF(V1532="","Select an account (Category)",IF(ISNA(MATCH(V1532,coa_Name,0)),"Unknown account: "&amp;V1532,IF(K1532="","Select Paid From / Deposited To",IF(ISNA(MATCH(K1532,coa_Name,0)),"Unknown account: "&amp;K1532,IF(NOT(ISNUMBER(L1532)),"Enter an amount",IF(L1532=0,"Enter an amount",IF(ABS(W1532)&gt;ABS(L1532),"Tax is larger than the amount","")))))))))))))</f>
        <v/>
      </c>
      <c r="Y1532" s="67">
        <f>IF(OR(T1532=1,X1532&lt;&gt;""),"",IF(AND(B1532&lt;&gt;"",COUNTIF(tx_ID,B1532)&gt;1),"Duplicate transaction ID",IF(AND(L1532&lt;0,D1532&lt;&gt;"Adjustment"),"Negative amount — check this entry",IF(AND(D1532="Customer Payment",G1532=""),"Add the customer",IF(AND(D1532="Customer Payment",OR(J1532="",COUNTIF(ar_No,J1532&amp;"")=0)),"Invoice # in Reference not found on AR sheet",IF(AND(D1532="Bill Payment",H1532=""),"Add the vendor",IF(AND(D1532="Bill Payment",OR(J1532="",COUNTIFS(ap_No,J1532&amp;"",ap_Party,H1532&amp;"")=0)),"Bill # + vendor not found on AP sheet",IF(AND(ISNUMBER(M1532),N(M1532)&lt;&gt;0,W1532=0),"Tax ignored (tax tracking off, or not allowed for this type)",IF(V1532=K1532&amp;"","Same account on both sides",IF(AND(ISNUMBER(StartDate),C1532&lt;StartDate),"Date is before the accounting start date",IF(AND(D1532&lt;&gt;"Adjustment",IFERROR(INDEX(coa_Pay,MATCH(K1532&amp;"",coa_Name,0)),"")&lt;&gt;"Yes"),"Paid From / Deposited To is not a payment account","")))))))))))</f>
        <v/>
      </c>
      <c r="Z1532" s="67">
        <f>IF(AND(T1532=0,X1532=""),1,0)</f>
        <v/>
      </c>
      <c r="AA1532" s="68">
        <f>IF(Z1532=1,IF(U1532="In",L1532,L1532-W1532),0)</f>
        <v/>
      </c>
      <c r="AB1532" s="68">
        <f>IF(Z1532=1,IF(U1532="In",L1532-W1532,L1532),0)</f>
        <v/>
      </c>
      <c r="AC1532" s="68">
        <f>IF(AND(Z1532=1,U1532="Out"),W1532,0)</f>
        <v/>
      </c>
      <c r="AD1532" s="68">
        <f>IF(AND(Z1532=1,U1532="In"),W1532,0)</f>
        <v/>
      </c>
    </row>
    <row r="1533">
      <c r="B1533" s="62" t="inlineStr">
        <is>
          <t>TX-1527</t>
        </is>
      </c>
      <c r="C1533" s="63" t="n"/>
      <c r="D1533" s="62" t="n"/>
      <c r="E1533" s="62" t="n"/>
      <c r="F1533" s="62" t="n"/>
      <c r="G1533" s="62" t="n"/>
      <c r="H1533" s="62" t="n"/>
      <c r="I1533" s="62" t="n"/>
      <c r="J1533" s="62" t="n"/>
      <c r="K1533" s="62" t="n"/>
      <c r="L1533" s="64" t="n"/>
      <c r="M1533" s="64" t="n"/>
      <c r="N1533" s="62" t="n"/>
      <c r="O1533" s="65">
        <f>IF(Z1533=1,L1533-W1533,"")</f>
        <v/>
      </c>
      <c r="P1533" s="66">
        <f>IF(V1533="","",IFERROR(INDEX(coa_Type,MATCH(V1533,coa_Name,0)),""))</f>
        <v/>
      </c>
      <c r="Q1533" s="66">
        <f>IF(Z1533=1,IF(U1533="In",K1533&amp;"",V1533),"")</f>
        <v/>
      </c>
      <c r="R1533" s="66">
        <f>IF(Z1533=1,IF(U1533="In",V1533,K1533&amp;""),"")</f>
        <v/>
      </c>
      <c r="S1533" s="66">
        <f>IF(X1533&lt;&gt;"","⛔ "&amp;X1533&amp;" — not posted",IF(Y1533&lt;&gt;"","⚠ "&amp;Y1533,IF(Z1533=1,"✓ OK","")))</f>
        <v/>
      </c>
      <c r="T1533" s="67">
        <f>IF(AND(C1533="",D1533="",E1533="",L1533="",K1533=""),1,0)</f>
        <v/>
      </c>
      <c r="U1533" s="67">
        <f>IFERROR(INDEX(tt_Dir,MATCH(D1533,tt_Type,0)),"")</f>
        <v/>
      </c>
      <c r="V1533" s="67">
        <f>IF(D1533="","",IFERROR(IF(INDEX(tt_Other,MATCH(D1533,tt_Type,0))="",E1533&amp;"",INDEX(tt_Other,MATCH(D1533,tt_Type,0))),""))</f>
        <v/>
      </c>
      <c r="W1533" s="68">
        <f>IF(OR(TaxOn&lt;&gt;"Yes",NOT(ISNUMBER(M1533))),0,IF(IFERROR(INDEX(tt_Tax,MATCH(D1533,tt_Type,0)),"No")="Yes",M1533,0))</f>
        <v/>
      </c>
      <c r="X1533" s="67">
        <f>IF(T1533=1,"",IF(C1533="","Missing transaction date",IF(NOT(ISNUMBER(C1533)),"Invalid date",IF(OR(C1533&lt;DATE(2000,1,1),C1533&gt;DATE(2099,12,31)),"Invalid date",IF(D1533="","Select a type",IF(U1533="","Unknown type: "&amp;D1533,IF(V1533="","Select an account (Category)",IF(ISNA(MATCH(V1533,coa_Name,0)),"Unknown account: "&amp;V1533,IF(K1533="","Select Paid From / Deposited To",IF(ISNA(MATCH(K1533,coa_Name,0)),"Unknown account: "&amp;K1533,IF(NOT(ISNUMBER(L1533)),"Enter an amount",IF(L1533=0,"Enter an amount",IF(ABS(W1533)&gt;ABS(L1533),"Tax is larger than the amount","")))))))))))))</f>
        <v/>
      </c>
      <c r="Y1533" s="67">
        <f>IF(OR(T1533=1,X1533&lt;&gt;""),"",IF(AND(B1533&lt;&gt;"",COUNTIF(tx_ID,B1533)&gt;1),"Duplicate transaction ID",IF(AND(L1533&lt;0,D1533&lt;&gt;"Adjustment"),"Negative amount — check this entry",IF(AND(D1533="Customer Payment",G1533=""),"Add the customer",IF(AND(D1533="Customer Payment",OR(J1533="",COUNTIF(ar_No,J1533&amp;"")=0)),"Invoice # in Reference not found on AR sheet",IF(AND(D1533="Bill Payment",H1533=""),"Add the vendor",IF(AND(D1533="Bill Payment",OR(J1533="",COUNTIFS(ap_No,J1533&amp;"",ap_Party,H1533&amp;"")=0)),"Bill # + vendor not found on AP sheet",IF(AND(ISNUMBER(M1533),N(M1533)&lt;&gt;0,W1533=0),"Tax ignored (tax tracking off, or not allowed for this type)",IF(V1533=K1533&amp;"","Same account on both sides",IF(AND(ISNUMBER(StartDate),C1533&lt;StartDate),"Date is before the accounting start date",IF(AND(D1533&lt;&gt;"Adjustment",IFERROR(INDEX(coa_Pay,MATCH(K1533&amp;"",coa_Name,0)),"")&lt;&gt;"Yes"),"Paid From / Deposited To is not a payment account","")))))))))))</f>
        <v/>
      </c>
      <c r="Z1533" s="67">
        <f>IF(AND(T1533=0,X1533=""),1,0)</f>
        <v/>
      </c>
      <c r="AA1533" s="68">
        <f>IF(Z1533=1,IF(U1533="In",L1533,L1533-W1533),0)</f>
        <v/>
      </c>
      <c r="AB1533" s="68">
        <f>IF(Z1533=1,IF(U1533="In",L1533-W1533,L1533),0)</f>
        <v/>
      </c>
      <c r="AC1533" s="68">
        <f>IF(AND(Z1533=1,U1533="Out"),W1533,0)</f>
        <v/>
      </c>
      <c r="AD1533" s="68">
        <f>IF(AND(Z1533=1,U1533="In"),W1533,0)</f>
        <v/>
      </c>
    </row>
    <row r="1534">
      <c r="B1534" s="62" t="inlineStr">
        <is>
          <t>TX-1528</t>
        </is>
      </c>
      <c r="C1534" s="63" t="n"/>
      <c r="D1534" s="62" t="n"/>
      <c r="E1534" s="62" t="n"/>
      <c r="F1534" s="62" t="n"/>
      <c r="G1534" s="62" t="n"/>
      <c r="H1534" s="62" t="n"/>
      <c r="I1534" s="62" t="n"/>
      <c r="J1534" s="62" t="n"/>
      <c r="K1534" s="62" t="n"/>
      <c r="L1534" s="64" t="n"/>
      <c r="M1534" s="64" t="n"/>
      <c r="N1534" s="62" t="n"/>
      <c r="O1534" s="65">
        <f>IF(Z1534=1,L1534-W1534,"")</f>
        <v/>
      </c>
      <c r="P1534" s="66">
        <f>IF(V1534="","",IFERROR(INDEX(coa_Type,MATCH(V1534,coa_Name,0)),""))</f>
        <v/>
      </c>
      <c r="Q1534" s="66">
        <f>IF(Z1534=1,IF(U1534="In",K1534&amp;"",V1534),"")</f>
        <v/>
      </c>
      <c r="R1534" s="66">
        <f>IF(Z1534=1,IF(U1534="In",V1534,K1534&amp;""),"")</f>
        <v/>
      </c>
      <c r="S1534" s="66">
        <f>IF(X1534&lt;&gt;"","⛔ "&amp;X1534&amp;" — not posted",IF(Y1534&lt;&gt;"","⚠ "&amp;Y1534,IF(Z1534=1,"✓ OK","")))</f>
        <v/>
      </c>
      <c r="T1534" s="67">
        <f>IF(AND(C1534="",D1534="",E1534="",L1534="",K1534=""),1,0)</f>
        <v/>
      </c>
      <c r="U1534" s="67">
        <f>IFERROR(INDEX(tt_Dir,MATCH(D1534,tt_Type,0)),"")</f>
        <v/>
      </c>
      <c r="V1534" s="67">
        <f>IF(D1534="","",IFERROR(IF(INDEX(tt_Other,MATCH(D1534,tt_Type,0))="",E1534&amp;"",INDEX(tt_Other,MATCH(D1534,tt_Type,0))),""))</f>
        <v/>
      </c>
      <c r="W1534" s="68">
        <f>IF(OR(TaxOn&lt;&gt;"Yes",NOT(ISNUMBER(M1534))),0,IF(IFERROR(INDEX(tt_Tax,MATCH(D1534,tt_Type,0)),"No")="Yes",M1534,0))</f>
        <v/>
      </c>
      <c r="X1534" s="67">
        <f>IF(T1534=1,"",IF(C1534="","Missing transaction date",IF(NOT(ISNUMBER(C1534)),"Invalid date",IF(OR(C1534&lt;DATE(2000,1,1),C1534&gt;DATE(2099,12,31)),"Invalid date",IF(D1534="","Select a type",IF(U1534="","Unknown type: "&amp;D1534,IF(V1534="","Select an account (Category)",IF(ISNA(MATCH(V1534,coa_Name,0)),"Unknown account: "&amp;V1534,IF(K1534="","Select Paid From / Deposited To",IF(ISNA(MATCH(K1534,coa_Name,0)),"Unknown account: "&amp;K1534,IF(NOT(ISNUMBER(L1534)),"Enter an amount",IF(L1534=0,"Enter an amount",IF(ABS(W1534)&gt;ABS(L1534),"Tax is larger than the amount","")))))))))))))</f>
        <v/>
      </c>
      <c r="Y1534" s="67">
        <f>IF(OR(T1534=1,X1534&lt;&gt;""),"",IF(AND(B1534&lt;&gt;"",COUNTIF(tx_ID,B1534)&gt;1),"Duplicate transaction ID",IF(AND(L1534&lt;0,D1534&lt;&gt;"Adjustment"),"Negative amount — check this entry",IF(AND(D1534="Customer Payment",G1534=""),"Add the customer",IF(AND(D1534="Customer Payment",OR(J1534="",COUNTIF(ar_No,J1534&amp;"")=0)),"Invoice # in Reference not found on AR sheet",IF(AND(D1534="Bill Payment",H1534=""),"Add the vendor",IF(AND(D1534="Bill Payment",OR(J1534="",COUNTIFS(ap_No,J1534&amp;"",ap_Party,H1534&amp;"")=0)),"Bill # + vendor not found on AP sheet",IF(AND(ISNUMBER(M1534),N(M1534)&lt;&gt;0,W1534=0),"Tax ignored (tax tracking off, or not allowed for this type)",IF(V1534=K1534&amp;"","Same account on both sides",IF(AND(ISNUMBER(StartDate),C1534&lt;StartDate),"Date is before the accounting start date",IF(AND(D1534&lt;&gt;"Adjustment",IFERROR(INDEX(coa_Pay,MATCH(K1534&amp;"",coa_Name,0)),"")&lt;&gt;"Yes"),"Paid From / Deposited To is not a payment account","")))))))))))</f>
        <v/>
      </c>
      <c r="Z1534" s="67">
        <f>IF(AND(T1534=0,X1534=""),1,0)</f>
        <v/>
      </c>
      <c r="AA1534" s="68">
        <f>IF(Z1534=1,IF(U1534="In",L1534,L1534-W1534),0)</f>
        <v/>
      </c>
      <c r="AB1534" s="68">
        <f>IF(Z1534=1,IF(U1534="In",L1534-W1534,L1534),0)</f>
        <v/>
      </c>
      <c r="AC1534" s="68">
        <f>IF(AND(Z1534=1,U1534="Out"),W1534,0)</f>
        <v/>
      </c>
      <c r="AD1534" s="68">
        <f>IF(AND(Z1534=1,U1534="In"),W1534,0)</f>
        <v/>
      </c>
    </row>
    <row r="1535">
      <c r="B1535" s="62" t="inlineStr">
        <is>
          <t>TX-1529</t>
        </is>
      </c>
      <c r="C1535" s="63" t="n"/>
      <c r="D1535" s="62" t="n"/>
      <c r="E1535" s="62" t="n"/>
      <c r="F1535" s="62" t="n"/>
      <c r="G1535" s="62" t="n"/>
      <c r="H1535" s="62" t="n"/>
      <c r="I1535" s="62" t="n"/>
      <c r="J1535" s="62" t="n"/>
      <c r="K1535" s="62" t="n"/>
      <c r="L1535" s="64" t="n"/>
      <c r="M1535" s="64" t="n"/>
      <c r="N1535" s="62" t="n"/>
      <c r="O1535" s="65">
        <f>IF(Z1535=1,L1535-W1535,"")</f>
        <v/>
      </c>
      <c r="P1535" s="66">
        <f>IF(V1535="","",IFERROR(INDEX(coa_Type,MATCH(V1535,coa_Name,0)),""))</f>
        <v/>
      </c>
      <c r="Q1535" s="66">
        <f>IF(Z1535=1,IF(U1535="In",K1535&amp;"",V1535),"")</f>
        <v/>
      </c>
      <c r="R1535" s="66">
        <f>IF(Z1535=1,IF(U1535="In",V1535,K1535&amp;""),"")</f>
        <v/>
      </c>
      <c r="S1535" s="66">
        <f>IF(X1535&lt;&gt;"","⛔ "&amp;X1535&amp;" — not posted",IF(Y1535&lt;&gt;"","⚠ "&amp;Y1535,IF(Z1535=1,"✓ OK","")))</f>
        <v/>
      </c>
      <c r="T1535" s="67">
        <f>IF(AND(C1535="",D1535="",E1535="",L1535="",K1535=""),1,0)</f>
        <v/>
      </c>
      <c r="U1535" s="67">
        <f>IFERROR(INDEX(tt_Dir,MATCH(D1535,tt_Type,0)),"")</f>
        <v/>
      </c>
      <c r="V1535" s="67">
        <f>IF(D1535="","",IFERROR(IF(INDEX(tt_Other,MATCH(D1535,tt_Type,0))="",E1535&amp;"",INDEX(tt_Other,MATCH(D1535,tt_Type,0))),""))</f>
        <v/>
      </c>
      <c r="W1535" s="68">
        <f>IF(OR(TaxOn&lt;&gt;"Yes",NOT(ISNUMBER(M1535))),0,IF(IFERROR(INDEX(tt_Tax,MATCH(D1535,tt_Type,0)),"No")="Yes",M1535,0))</f>
        <v/>
      </c>
      <c r="X1535" s="67">
        <f>IF(T1535=1,"",IF(C1535="","Missing transaction date",IF(NOT(ISNUMBER(C1535)),"Invalid date",IF(OR(C1535&lt;DATE(2000,1,1),C1535&gt;DATE(2099,12,31)),"Invalid date",IF(D1535="","Select a type",IF(U1535="","Unknown type: "&amp;D1535,IF(V1535="","Select an account (Category)",IF(ISNA(MATCH(V1535,coa_Name,0)),"Unknown account: "&amp;V1535,IF(K1535="","Select Paid From / Deposited To",IF(ISNA(MATCH(K1535,coa_Name,0)),"Unknown account: "&amp;K1535,IF(NOT(ISNUMBER(L1535)),"Enter an amount",IF(L1535=0,"Enter an amount",IF(ABS(W1535)&gt;ABS(L1535),"Tax is larger than the amount","")))))))))))))</f>
        <v/>
      </c>
      <c r="Y1535" s="67">
        <f>IF(OR(T1535=1,X1535&lt;&gt;""),"",IF(AND(B1535&lt;&gt;"",COUNTIF(tx_ID,B1535)&gt;1),"Duplicate transaction ID",IF(AND(L1535&lt;0,D1535&lt;&gt;"Adjustment"),"Negative amount — check this entry",IF(AND(D1535="Customer Payment",G1535=""),"Add the customer",IF(AND(D1535="Customer Payment",OR(J1535="",COUNTIF(ar_No,J1535&amp;"")=0)),"Invoice # in Reference not found on AR sheet",IF(AND(D1535="Bill Payment",H1535=""),"Add the vendor",IF(AND(D1535="Bill Payment",OR(J1535="",COUNTIFS(ap_No,J1535&amp;"",ap_Party,H1535&amp;"")=0)),"Bill # + vendor not found on AP sheet",IF(AND(ISNUMBER(M1535),N(M1535)&lt;&gt;0,W1535=0),"Tax ignored (tax tracking off, or not allowed for this type)",IF(V1535=K1535&amp;"","Same account on both sides",IF(AND(ISNUMBER(StartDate),C1535&lt;StartDate),"Date is before the accounting start date",IF(AND(D1535&lt;&gt;"Adjustment",IFERROR(INDEX(coa_Pay,MATCH(K1535&amp;"",coa_Name,0)),"")&lt;&gt;"Yes"),"Paid From / Deposited To is not a payment account","")))))))))))</f>
        <v/>
      </c>
      <c r="Z1535" s="67">
        <f>IF(AND(T1535=0,X1535=""),1,0)</f>
        <v/>
      </c>
      <c r="AA1535" s="68">
        <f>IF(Z1535=1,IF(U1535="In",L1535,L1535-W1535),0)</f>
        <v/>
      </c>
      <c r="AB1535" s="68">
        <f>IF(Z1535=1,IF(U1535="In",L1535-W1535,L1535),0)</f>
        <v/>
      </c>
      <c r="AC1535" s="68">
        <f>IF(AND(Z1535=1,U1535="Out"),W1535,0)</f>
        <v/>
      </c>
      <c r="AD1535" s="68">
        <f>IF(AND(Z1535=1,U1535="In"),W1535,0)</f>
        <v/>
      </c>
    </row>
    <row r="1536">
      <c r="B1536" s="62" t="inlineStr">
        <is>
          <t>TX-1530</t>
        </is>
      </c>
      <c r="C1536" s="63" t="n"/>
      <c r="D1536" s="62" t="n"/>
      <c r="E1536" s="62" t="n"/>
      <c r="F1536" s="62" t="n"/>
      <c r="G1536" s="62" t="n"/>
      <c r="H1536" s="62" t="n"/>
      <c r="I1536" s="62" t="n"/>
      <c r="J1536" s="62" t="n"/>
      <c r="K1536" s="62" t="n"/>
      <c r="L1536" s="64" t="n"/>
      <c r="M1536" s="64" t="n"/>
      <c r="N1536" s="62" t="n"/>
      <c r="O1536" s="65">
        <f>IF(Z1536=1,L1536-W1536,"")</f>
        <v/>
      </c>
      <c r="P1536" s="66">
        <f>IF(V1536="","",IFERROR(INDEX(coa_Type,MATCH(V1536,coa_Name,0)),""))</f>
        <v/>
      </c>
      <c r="Q1536" s="66">
        <f>IF(Z1536=1,IF(U1536="In",K1536&amp;"",V1536),"")</f>
        <v/>
      </c>
      <c r="R1536" s="66">
        <f>IF(Z1536=1,IF(U1536="In",V1536,K1536&amp;""),"")</f>
        <v/>
      </c>
      <c r="S1536" s="66">
        <f>IF(X1536&lt;&gt;"","⛔ "&amp;X1536&amp;" — not posted",IF(Y1536&lt;&gt;"","⚠ "&amp;Y1536,IF(Z1536=1,"✓ OK","")))</f>
        <v/>
      </c>
      <c r="T1536" s="67">
        <f>IF(AND(C1536="",D1536="",E1536="",L1536="",K1536=""),1,0)</f>
        <v/>
      </c>
      <c r="U1536" s="67">
        <f>IFERROR(INDEX(tt_Dir,MATCH(D1536,tt_Type,0)),"")</f>
        <v/>
      </c>
      <c r="V1536" s="67">
        <f>IF(D1536="","",IFERROR(IF(INDEX(tt_Other,MATCH(D1536,tt_Type,0))="",E1536&amp;"",INDEX(tt_Other,MATCH(D1536,tt_Type,0))),""))</f>
        <v/>
      </c>
      <c r="W1536" s="68">
        <f>IF(OR(TaxOn&lt;&gt;"Yes",NOT(ISNUMBER(M1536))),0,IF(IFERROR(INDEX(tt_Tax,MATCH(D1536,tt_Type,0)),"No")="Yes",M1536,0))</f>
        <v/>
      </c>
      <c r="X1536" s="67">
        <f>IF(T1536=1,"",IF(C1536="","Missing transaction date",IF(NOT(ISNUMBER(C1536)),"Invalid date",IF(OR(C1536&lt;DATE(2000,1,1),C1536&gt;DATE(2099,12,31)),"Invalid date",IF(D1536="","Select a type",IF(U1536="","Unknown type: "&amp;D1536,IF(V1536="","Select an account (Category)",IF(ISNA(MATCH(V1536,coa_Name,0)),"Unknown account: "&amp;V1536,IF(K1536="","Select Paid From / Deposited To",IF(ISNA(MATCH(K1536,coa_Name,0)),"Unknown account: "&amp;K1536,IF(NOT(ISNUMBER(L1536)),"Enter an amount",IF(L1536=0,"Enter an amount",IF(ABS(W1536)&gt;ABS(L1536),"Tax is larger than the amount","")))))))))))))</f>
        <v/>
      </c>
      <c r="Y1536" s="67">
        <f>IF(OR(T1536=1,X1536&lt;&gt;""),"",IF(AND(B1536&lt;&gt;"",COUNTIF(tx_ID,B1536)&gt;1),"Duplicate transaction ID",IF(AND(L1536&lt;0,D1536&lt;&gt;"Adjustment"),"Negative amount — check this entry",IF(AND(D1536="Customer Payment",G1536=""),"Add the customer",IF(AND(D1536="Customer Payment",OR(J1536="",COUNTIF(ar_No,J1536&amp;"")=0)),"Invoice # in Reference not found on AR sheet",IF(AND(D1536="Bill Payment",H1536=""),"Add the vendor",IF(AND(D1536="Bill Payment",OR(J1536="",COUNTIFS(ap_No,J1536&amp;"",ap_Party,H1536&amp;"")=0)),"Bill # + vendor not found on AP sheet",IF(AND(ISNUMBER(M1536),N(M1536)&lt;&gt;0,W1536=0),"Tax ignored (tax tracking off, or not allowed for this type)",IF(V1536=K1536&amp;"","Same account on both sides",IF(AND(ISNUMBER(StartDate),C1536&lt;StartDate),"Date is before the accounting start date",IF(AND(D1536&lt;&gt;"Adjustment",IFERROR(INDEX(coa_Pay,MATCH(K1536&amp;"",coa_Name,0)),"")&lt;&gt;"Yes"),"Paid From / Deposited To is not a payment account","")))))))))))</f>
        <v/>
      </c>
      <c r="Z1536" s="67">
        <f>IF(AND(T1536=0,X1536=""),1,0)</f>
        <v/>
      </c>
      <c r="AA1536" s="68">
        <f>IF(Z1536=1,IF(U1536="In",L1536,L1536-W1536),0)</f>
        <v/>
      </c>
      <c r="AB1536" s="68">
        <f>IF(Z1536=1,IF(U1536="In",L1536-W1536,L1536),0)</f>
        <v/>
      </c>
      <c r="AC1536" s="68">
        <f>IF(AND(Z1536=1,U1536="Out"),W1536,0)</f>
        <v/>
      </c>
      <c r="AD1536" s="68">
        <f>IF(AND(Z1536=1,U1536="In"),W1536,0)</f>
        <v/>
      </c>
    </row>
    <row r="1537">
      <c r="B1537" s="62" t="inlineStr">
        <is>
          <t>TX-1531</t>
        </is>
      </c>
      <c r="C1537" s="63" t="n"/>
      <c r="D1537" s="62" t="n"/>
      <c r="E1537" s="62" t="n"/>
      <c r="F1537" s="62" t="n"/>
      <c r="G1537" s="62" t="n"/>
      <c r="H1537" s="62" t="n"/>
      <c r="I1537" s="62" t="n"/>
      <c r="J1537" s="62" t="n"/>
      <c r="K1537" s="62" t="n"/>
      <c r="L1537" s="64" t="n"/>
      <c r="M1537" s="64" t="n"/>
      <c r="N1537" s="62" t="n"/>
      <c r="O1537" s="65">
        <f>IF(Z1537=1,L1537-W1537,"")</f>
        <v/>
      </c>
      <c r="P1537" s="66">
        <f>IF(V1537="","",IFERROR(INDEX(coa_Type,MATCH(V1537,coa_Name,0)),""))</f>
        <v/>
      </c>
      <c r="Q1537" s="66">
        <f>IF(Z1537=1,IF(U1537="In",K1537&amp;"",V1537),"")</f>
        <v/>
      </c>
      <c r="R1537" s="66">
        <f>IF(Z1537=1,IF(U1537="In",V1537,K1537&amp;""),"")</f>
        <v/>
      </c>
      <c r="S1537" s="66">
        <f>IF(X1537&lt;&gt;"","⛔ "&amp;X1537&amp;" — not posted",IF(Y1537&lt;&gt;"","⚠ "&amp;Y1537,IF(Z1537=1,"✓ OK","")))</f>
        <v/>
      </c>
      <c r="T1537" s="67">
        <f>IF(AND(C1537="",D1537="",E1537="",L1537="",K1537=""),1,0)</f>
        <v/>
      </c>
      <c r="U1537" s="67">
        <f>IFERROR(INDEX(tt_Dir,MATCH(D1537,tt_Type,0)),"")</f>
        <v/>
      </c>
      <c r="V1537" s="67">
        <f>IF(D1537="","",IFERROR(IF(INDEX(tt_Other,MATCH(D1537,tt_Type,0))="",E1537&amp;"",INDEX(tt_Other,MATCH(D1537,tt_Type,0))),""))</f>
        <v/>
      </c>
      <c r="W1537" s="68">
        <f>IF(OR(TaxOn&lt;&gt;"Yes",NOT(ISNUMBER(M1537))),0,IF(IFERROR(INDEX(tt_Tax,MATCH(D1537,tt_Type,0)),"No")="Yes",M1537,0))</f>
        <v/>
      </c>
      <c r="X1537" s="67">
        <f>IF(T1537=1,"",IF(C1537="","Missing transaction date",IF(NOT(ISNUMBER(C1537)),"Invalid date",IF(OR(C1537&lt;DATE(2000,1,1),C1537&gt;DATE(2099,12,31)),"Invalid date",IF(D1537="","Select a type",IF(U1537="","Unknown type: "&amp;D1537,IF(V1537="","Select an account (Category)",IF(ISNA(MATCH(V1537,coa_Name,0)),"Unknown account: "&amp;V1537,IF(K1537="","Select Paid From / Deposited To",IF(ISNA(MATCH(K1537,coa_Name,0)),"Unknown account: "&amp;K1537,IF(NOT(ISNUMBER(L1537)),"Enter an amount",IF(L1537=0,"Enter an amount",IF(ABS(W1537)&gt;ABS(L1537),"Tax is larger than the amount","")))))))))))))</f>
        <v/>
      </c>
      <c r="Y1537" s="67">
        <f>IF(OR(T1537=1,X1537&lt;&gt;""),"",IF(AND(B1537&lt;&gt;"",COUNTIF(tx_ID,B1537)&gt;1),"Duplicate transaction ID",IF(AND(L1537&lt;0,D1537&lt;&gt;"Adjustment"),"Negative amount — check this entry",IF(AND(D1537="Customer Payment",G1537=""),"Add the customer",IF(AND(D1537="Customer Payment",OR(J1537="",COUNTIF(ar_No,J1537&amp;"")=0)),"Invoice # in Reference not found on AR sheet",IF(AND(D1537="Bill Payment",H1537=""),"Add the vendor",IF(AND(D1537="Bill Payment",OR(J1537="",COUNTIFS(ap_No,J1537&amp;"",ap_Party,H1537&amp;"")=0)),"Bill # + vendor not found on AP sheet",IF(AND(ISNUMBER(M1537),N(M1537)&lt;&gt;0,W1537=0),"Tax ignored (tax tracking off, or not allowed for this type)",IF(V1537=K1537&amp;"","Same account on both sides",IF(AND(ISNUMBER(StartDate),C1537&lt;StartDate),"Date is before the accounting start date",IF(AND(D1537&lt;&gt;"Adjustment",IFERROR(INDEX(coa_Pay,MATCH(K1537&amp;"",coa_Name,0)),"")&lt;&gt;"Yes"),"Paid From / Deposited To is not a payment account","")))))))))))</f>
        <v/>
      </c>
      <c r="Z1537" s="67">
        <f>IF(AND(T1537=0,X1537=""),1,0)</f>
        <v/>
      </c>
      <c r="AA1537" s="68">
        <f>IF(Z1537=1,IF(U1537="In",L1537,L1537-W1537),0)</f>
        <v/>
      </c>
      <c r="AB1537" s="68">
        <f>IF(Z1537=1,IF(U1537="In",L1537-W1537,L1537),0)</f>
        <v/>
      </c>
      <c r="AC1537" s="68">
        <f>IF(AND(Z1537=1,U1537="Out"),W1537,0)</f>
        <v/>
      </c>
      <c r="AD1537" s="68">
        <f>IF(AND(Z1537=1,U1537="In"),W1537,0)</f>
        <v/>
      </c>
    </row>
    <row r="1538">
      <c r="B1538" s="62" t="inlineStr">
        <is>
          <t>TX-1532</t>
        </is>
      </c>
      <c r="C1538" s="63" t="n"/>
      <c r="D1538" s="62" t="n"/>
      <c r="E1538" s="62" t="n"/>
      <c r="F1538" s="62" t="n"/>
      <c r="G1538" s="62" t="n"/>
      <c r="H1538" s="62" t="n"/>
      <c r="I1538" s="62" t="n"/>
      <c r="J1538" s="62" t="n"/>
      <c r="K1538" s="62" t="n"/>
      <c r="L1538" s="64" t="n"/>
      <c r="M1538" s="64" t="n"/>
      <c r="N1538" s="62" t="n"/>
      <c r="O1538" s="65">
        <f>IF(Z1538=1,L1538-W1538,"")</f>
        <v/>
      </c>
      <c r="P1538" s="66">
        <f>IF(V1538="","",IFERROR(INDEX(coa_Type,MATCH(V1538,coa_Name,0)),""))</f>
        <v/>
      </c>
      <c r="Q1538" s="66">
        <f>IF(Z1538=1,IF(U1538="In",K1538&amp;"",V1538),"")</f>
        <v/>
      </c>
      <c r="R1538" s="66">
        <f>IF(Z1538=1,IF(U1538="In",V1538,K1538&amp;""),"")</f>
        <v/>
      </c>
      <c r="S1538" s="66">
        <f>IF(X1538&lt;&gt;"","⛔ "&amp;X1538&amp;" — not posted",IF(Y1538&lt;&gt;"","⚠ "&amp;Y1538,IF(Z1538=1,"✓ OK","")))</f>
        <v/>
      </c>
      <c r="T1538" s="67">
        <f>IF(AND(C1538="",D1538="",E1538="",L1538="",K1538=""),1,0)</f>
        <v/>
      </c>
      <c r="U1538" s="67">
        <f>IFERROR(INDEX(tt_Dir,MATCH(D1538,tt_Type,0)),"")</f>
        <v/>
      </c>
      <c r="V1538" s="67">
        <f>IF(D1538="","",IFERROR(IF(INDEX(tt_Other,MATCH(D1538,tt_Type,0))="",E1538&amp;"",INDEX(tt_Other,MATCH(D1538,tt_Type,0))),""))</f>
        <v/>
      </c>
      <c r="W1538" s="68">
        <f>IF(OR(TaxOn&lt;&gt;"Yes",NOT(ISNUMBER(M1538))),0,IF(IFERROR(INDEX(tt_Tax,MATCH(D1538,tt_Type,0)),"No")="Yes",M1538,0))</f>
        <v/>
      </c>
      <c r="X1538" s="67">
        <f>IF(T1538=1,"",IF(C1538="","Missing transaction date",IF(NOT(ISNUMBER(C1538)),"Invalid date",IF(OR(C1538&lt;DATE(2000,1,1),C1538&gt;DATE(2099,12,31)),"Invalid date",IF(D1538="","Select a type",IF(U1538="","Unknown type: "&amp;D1538,IF(V1538="","Select an account (Category)",IF(ISNA(MATCH(V1538,coa_Name,0)),"Unknown account: "&amp;V1538,IF(K1538="","Select Paid From / Deposited To",IF(ISNA(MATCH(K1538,coa_Name,0)),"Unknown account: "&amp;K1538,IF(NOT(ISNUMBER(L1538)),"Enter an amount",IF(L1538=0,"Enter an amount",IF(ABS(W1538)&gt;ABS(L1538),"Tax is larger than the amount","")))))))))))))</f>
        <v/>
      </c>
      <c r="Y1538" s="67">
        <f>IF(OR(T1538=1,X1538&lt;&gt;""),"",IF(AND(B1538&lt;&gt;"",COUNTIF(tx_ID,B1538)&gt;1),"Duplicate transaction ID",IF(AND(L1538&lt;0,D1538&lt;&gt;"Adjustment"),"Negative amount — check this entry",IF(AND(D1538="Customer Payment",G1538=""),"Add the customer",IF(AND(D1538="Customer Payment",OR(J1538="",COUNTIF(ar_No,J1538&amp;"")=0)),"Invoice # in Reference not found on AR sheet",IF(AND(D1538="Bill Payment",H1538=""),"Add the vendor",IF(AND(D1538="Bill Payment",OR(J1538="",COUNTIFS(ap_No,J1538&amp;"",ap_Party,H1538&amp;"")=0)),"Bill # + vendor not found on AP sheet",IF(AND(ISNUMBER(M1538),N(M1538)&lt;&gt;0,W1538=0),"Tax ignored (tax tracking off, or not allowed for this type)",IF(V1538=K1538&amp;"","Same account on both sides",IF(AND(ISNUMBER(StartDate),C1538&lt;StartDate),"Date is before the accounting start date",IF(AND(D1538&lt;&gt;"Adjustment",IFERROR(INDEX(coa_Pay,MATCH(K1538&amp;"",coa_Name,0)),"")&lt;&gt;"Yes"),"Paid From / Deposited To is not a payment account","")))))))))))</f>
        <v/>
      </c>
      <c r="Z1538" s="67">
        <f>IF(AND(T1538=0,X1538=""),1,0)</f>
        <v/>
      </c>
      <c r="AA1538" s="68">
        <f>IF(Z1538=1,IF(U1538="In",L1538,L1538-W1538),0)</f>
        <v/>
      </c>
      <c r="AB1538" s="68">
        <f>IF(Z1538=1,IF(U1538="In",L1538-W1538,L1538),0)</f>
        <v/>
      </c>
      <c r="AC1538" s="68">
        <f>IF(AND(Z1538=1,U1538="Out"),W1538,0)</f>
        <v/>
      </c>
      <c r="AD1538" s="68">
        <f>IF(AND(Z1538=1,U1538="In"),W1538,0)</f>
        <v/>
      </c>
    </row>
    <row r="1539">
      <c r="B1539" s="62" t="inlineStr">
        <is>
          <t>TX-1533</t>
        </is>
      </c>
      <c r="C1539" s="63" t="n"/>
      <c r="D1539" s="62" t="n"/>
      <c r="E1539" s="62" t="n"/>
      <c r="F1539" s="62" t="n"/>
      <c r="G1539" s="62" t="n"/>
      <c r="H1539" s="62" t="n"/>
      <c r="I1539" s="62" t="n"/>
      <c r="J1539" s="62" t="n"/>
      <c r="K1539" s="62" t="n"/>
      <c r="L1539" s="64" t="n"/>
      <c r="M1539" s="64" t="n"/>
      <c r="N1539" s="62" t="n"/>
      <c r="O1539" s="65">
        <f>IF(Z1539=1,L1539-W1539,"")</f>
        <v/>
      </c>
      <c r="P1539" s="66">
        <f>IF(V1539="","",IFERROR(INDEX(coa_Type,MATCH(V1539,coa_Name,0)),""))</f>
        <v/>
      </c>
      <c r="Q1539" s="66">
        <f>IF(Z1539=1,IF(U1539="In",K1539&amp;"",V1539),"")</f>
        <v/>
      </c>
      <c r="R1539" s="66">
        <f>IF(Z1539=1,IF(U1539="In",V1539,K1539&amp;""),"")</f>
        <v/>
      </c>
      <c r="S1539" s="66">
        <f>IF(X1539&lt;&gt;"","⛔ "&amp;X1539&amp;" — not posted",IF(Y1539&lt;&gt;"","⚠ "&amp;Y1539,IF(Z1539=1,"✓ OK","")))</f>
        <v/>
      </c>
      <c r="T1539" s="67">
        <f>IF(AND(C1539="",D1539="",E1539="",L1539="",K1539=""),1,0)</f>
        <v/>
      </c>
      <c r="U1539" s="67">
        <f>IFERROR(INDEX(tt_Dir,MATCH(D1539,tt_Type,0)),"")</f>
        <v/>
      </c>
      <c r="V1539" s="67">
        <f>IF(D1539="","",IFERROR(IF(INDEX(tt_Other,MATCH(D1539,tt_Type,0))="",E1539&amp;"",INDEX(tt_Other,MATCH(D1539,tt_Type,0))),""))</f>
        <v/>
      </c>
      <c r="W1539" s="68">
        <f>IF(OR(TaxOn&lt;&gt;"Yes",NOT(ISNUMBER(M1539))),0,IF(IFERROR(INDEX(tt_Tax,MATCH(D1539,tt_Type,0)),"No")="Yes",M1539,0))</f>
        <v/>
      </c>
      <c r="X1539" s="67">
        <f>IF(T1539=1,"",IF(C1539="","Missing transaction date",IF(NOT(ISNUMBER(C1539)),"Invalid date",IF(OR(C1539&lt;DATE(2000,1,1),C1539&gt;DATE(2099,12,31)),"Invalid date",IF(D1539="","Select a type",IF(U1539="","Unknown type: "&amp;D1539,IF(V1539="","Select an account (Category)",IF(ISNA(MATCH(V1539,coa_Name,0)),"Unknown account: "&amp;V1539,IF(K1539="","Select Paid From / Deposited To",IF(ISNA(MATCH(K1539,coa_Name,0)),"Unknown account: "&amp;K1539,IF(NOT(ISNUMBER(L1539)),"Enter an amount",IF(L1539=0,"Enter an amount",IF(ABS(W1539)&gt;ABS(L1539),"Tax is larger than the amount","")))))))))))))</f>
        <v/>
      </c>
      <c r="Y1539" s="67">
        <f>IF(OR(T1539=1,X1539&lt;&gt;""),"",IF(AND(B1539&lt;&gt;"",COUNTIF(tx_ID,B1539)&gt;1),"Duplicate transaction ID",IF(AND(L1539&lt;0,D1539&lt;&gt;"Adjustment"),"Negative amount — check this entry",IF(AND(D1539="Customer Payment",G1539=""),"Add the customer",IF(AND(D1539="Customer Payment",OR(J1539="",COUNTIF(ar_No,J1539&amp;"")=0)),"Invoice # in Reference not found on AR sheet",IF(AND(D1539="Bill Payment",H1539=""),"Add the vendor",IF(AND(D1539="Bill Payment",OR(J1539="",COUNTIFS(ap_No,J1539&amp;"",ap_Party,H1539&amp;"")=0)),"Bill # + vendor not found on AP sheet",IF(AND(ISNUMBER(M1539),N(M1539)&lt;&gt;0,W1539=0),"Tax ignored (tax tracking off, or not allowed for this type)",IF(V1539=K1539&amp;"","Same account on both sides",IF(AND(ISNUMBER(StartDate),C1539&lt;StartDate),"Date is before the accounting start date",IF(AND(D1539&lt;&gt;"Adjustment",IFERROR(INDEX(coa_Pay,MATCH(K1539&amp;"",coa_Name,0)),"")&lt;&gt;"Yes"),"Paid From / Deposited To is not a payment account","")))))))))))</f>
        <v/>
      </c>
      <c r="Z1539" s="67">
        <f>IF(AND(T1539=0,X1539=""),1,0)</f>
        <v/>
      </c>
      <c r="AA1539" s="68">
        <f>IF(Z1539=1,IF(U1539="In",L1539,L1539-W1539),0)</f>
        <v/>
      </c>
      <c r="AB1539" s="68">
        <f>IF(Z1539=1,IF(U1539="In",L1539-W1539,L1539),0)</f>
        <v/>
      </c>
      <c r="AC1539" s="68">
        <f>IF(AND(Z1539=1,U1539="Out"),W1539,0)</f>
        <v/>
      </c>
      <c r="AD1539" s="68">
        <f>IF(AND(Z1539=1,U1539="In"),W1539,0)</f>
        <v/>
      </c>
    </row>
    <row r="1540">
      <c r="B1540" s="62" t="inlineStr">
        <is>
          <t>TX-1534</t>
        </is>
      </c>
      <c r="C1540" s="63" t="n"/>
      <c r="D1540" s="62" t="n"/>
      <c r="E1540" s="62" t="n"/>
      <c r="F1540" s="62" t="n"/>
      <c r="G1540" s="62" t="n"/>
      <c r="H1540" s="62" t="n"/>
      <c r="I1540" s="62" t="n"/>
      <c r="J1540" s="62" t="n"/>
      <c r="K1540" s="62" t="n"/>
      <c r="L1540" s="64" t="n"/>
      <c r="M1540" s="64" t="n"/>
      <c r="N1540" s="62" t="n"/>
      <c r="O1540" s="65">
        <f>IF(Z1540=1,L1540-W1540,"")</f>
        <v/>
      </c>
      <c r="P1540" s="66">
        <f>IF(V1540="","",IFERROR(INDEX(coa_Type,MATCH(V1540,coa_Name,0)),""))</f>
        <v/>
      </c>
      <c r="Q1540" s="66">
        <f>IF(Z1540=1,IF(U1540="In",K1540&amp;"",V1540),"")</f>
        <v/>
      </c>
      <c r="R1540" s="66">
        <f>IF(Z1540=1,IF(U1540="In",V1540,K1540&amp;""),"")</f>
        <v/>
      </c>
      <c r="S1540" s="66">
        <f>IF(X1540&lt;&gt;"","⛔ "&amp;X1540&amp;" — not posted",IF(Y1540&lt;&gt;"","⚠ "&amp;Y1540,IF(Z1540=1,"✓ OK","")))</f>
        <v/>
      </c>
      <c r="T1540" s="67">
        <f>IF(AND(C1540="",D1540="",E1540="",L1540="",K1540=""),1,0)</f>
        <v/>
      </c>
      <c r="U1540" s="67">
        <f>IFERROR(INDEX(tt_Dir,MATCH(D1540,tt_Type,0)),"")</f>
        <v/>
      </c>
      <c r="V1540" s="67">
        <f>IF(D1540="","",IFERROR(IF(INDEX(tt_Other,MATCH(D1540,tt_Type,0))="",E1540&amp;"",INDEX(tt_Other,MATCH(D1540,tt_Type,0))),""))</f>
        <v/>
      </c>
      <c r="W1540" s="68">
        <f>IF(OR(TaxOn&lt;&gt;"Yes",NOT(ISNUMBER(M1540))),0,IF(IFERROR(INDEX(tt_Tax,MATCH(D1540,tt_Type,0)),"No")="Yes",M1540,0))</f>
        <v/>
      </c>
      <c r="X1540" s="67">
        <f>IF(T1540=1,"",IF(C1540="","Missing transaction date",IF(NOT(ISNUMBER(C1540)),"Invalid date",IF(OR(C1540&lt;DATE(2000,1,1),C1540&gt;DATE(2099,12,31)),"Invalid date",IF(D1540="","Select a type",IF(U1540="","Unknown type: "&amp;D1540,IF(V1540="","Select an account (Category)",IF(ISNA(MATCH(V1540,coa_Name,0)),"Unknown account: "&amp;V1540,IF(K1540="","Select Paid From / Deposited To",IF(ISNA(MATCH(K1540,coa_Name,0)),"Unknown account: "&amp;K1540,IF(NOT(ISNUMBER(L1540)),"Enter an amount",IF(L1540=0,"Enter an amount",IF(ABS(W1540)&gt;ABS(L1540),"Tax is larger than the amount","")))))))))))))</f>
        <v/>
      </c>
      <c r="Y1540" s="67">
        <f>IF(OR(T1540=1,X1540&lt;&gt;""),"",IF(AND(B1540&lt;&gt;"",COUNTIF(tx_ID,B1540)&gt;1),"Duplicate transaction ID",IF(AND(L1540&lt;0,D1540&lt;&gt;"Adjustment"),"Negative amount — check this entry",IF(AND(D1540="Customer Payment",G1540=""),"Add the customer",IF(AND(D1540="Customer Payment",OR(J1540="",COUNTIF(ar_No,J1540&amp;"")=0)),"Invoice # in Reference not found on AR sheet",IF(AND(D1540="Bill Payment",H1540=""),"Add the vendor",IF(AND(D1540="Bill Payment",OR(J1540="",COUNTIFS(ap_No,J1540&amp;"",ap_Party,H1540&amp;"")=0)),"Bill # + vendor not found on AP sheet",IF(AND(ISNUMBER(M1540),N(M1540)&lt;&gt;0,W1540=0),"Tax ignored (tax tracking off, or not allowed for this type)",IF(V1540=K1540&amp;"","Same account on both sides",IF(AND(ISNUMBER(StartDate),C1540&lt;StartDate),"Date is before the accounting start date",IF(AND(D1540&lt;&gt;"Adjustment",IFERROR(INDEX(coa_Pay,MATCH(K1540&amp;"",coa_Name,0)),"")&lt;&gt;"Yes"),"Paid From / Deposited To is not a payment account","")))))))))))</f>
        <v/>
      </c>
      <c r="Z1540" s="67">
        <f>IF(AND(T1540=0,X1540=""),1,0)</f>
        <v/>
      </c>
      <c r="AA1540" s="68">
        <f>IF(Z1540=1,IF(U1540="In",L1540,L1540-W1540),0)</f>
        <v/>
      </c>
      <c r="AB1540" s="68">
        <f>IF(Z1540=1,IF(U1540="In",L1540-W1540,L1540),0)</f>
        <v/>
      </c>
      <c r="AC1540" s="68">
        <f>IF(AND(Z1540=1,U1540="Out"),W1540,0)</f>
        <v/>
      </c>
      <c r="AD1540" s="68">
        <f>IF(AND(Z1540=1,U1540="In"),W1540,0)</f>
        <v/>
      </c>
    </row>
    <row r="1541">
      <c r="B1541" s="62" t="inlineStr">
        <is>
          <t>TX-1535</t>
        </is>
      </c>
      <c r="C1541" s="63" t="n"/>
      <c r="D1541" s="62" t="n"/>
      <c r="E1541" s="62" t="n"/>
      <c r="F1541" s="62" t="n"/>
      <c r="G1541" s="62" t="n"/>
      <c r="H1541" s="62" t="n"/>
      <c r="I1541" s="62" t="n"/>
      <c r="J1541" s="62" t="n"/>
      <c r="K1541" s="62" t="n"/>
      <c r="L1541" s="64" t="n"/>
      <c r="M1541" s="64" t="n"/>
      <c r="N1541" s="62" t="n"/>
      <c r="O1541" s="65">
        <f>IF(Z1541=1,L1541-W1541,"")</f>
        <v/>
      </c>
      <c r="P1541" s="66">
        <f>IF(V1541="","",IFERROR(INDEX(coa_Type,MATCH(V1541,coa_Name,0)),""))</f>
        <v/>
      </c>
      <c r="Q1541" s="66">
        <f>IF(Z1541=1,IF(U1541="In",K1541&amp;"",V1541),"")</f>
        <v/>
      </c>
      <c r="R1541" s="66">
        <f>IF(Z1541=1,IF(U1541="In",V1541,K1541&amp;""),"")</f>
        <v/>
      </c>
      <c r="S1541" s="66">
        <f>IF(X1541&lt;&gt;"","⛔ "&amp;X1541&amp;" — not posted",IF(Y1541&lt;&gt;"","⚠ "&amp;Y1541,IF(Z1541=1,"✓ OK","")))</f>
        <v/>
      </c>
      <c r="T1541" s="67">
        <f>IF(AND(C1541="",D1541="",E1541="",L1541="",K1541=""),1,0)</f>
        <v/>
      </c>
      <c r="U1541" s="67">
        <f>IFERROR(INDEX(tt_Dir,MATCH(D1541,tt_Type,0)),"")</f>
        <v/>
      </c>
      <c r="V1541" s="67">
        <f>IF(D1541="","",IFERROR(IF(INDEX(tt_Other,MATCH(D1541,tt_Type,0))="",E1541&amp;"",INDEX(tt_Other,MATCH(D1541,tt_Type,0))),""))</f>
        <v/>
      </c>
      <c r="W1541" s="68">
        <f>IF(OR(TaxOn&lt;&gt;"Yes",NOT(ISNUMBER(M1541))),0,IF(IFERROR(INDEX(tt_Tax,MATCH(D1541,tt_Type,0)),"No")="Yes",M1541,0))</f>
        <v/>
      </c>
      <c r="X1541" s="67">
        <f>IF(T1541=1,"",IF(C1541="","Missing transaction date",IF(NOT(ISNUMBER(C1541)),"Invalid date",IF(OR(C1541&lt;DATE(2000,1,1),C1541&gt;DATE(2099,12,31)),"Invalid date",IF(D1541="","Select a type",IF(U1541="","Unknown type: "&amp;D1541,IF(V1541="","Select an account (Category)",IF(ISNA(MATCH(V1541,coa_Name,0)),"Unknown account: "&amp;V1541,IF(K1541="","Select Paid From / Deposited To",IF(ISNA(MATCH(K1541,coa_Name,0)),"Unknown account: "&amp;K1541,IF(NOT(ISNUMBER(L1541)),"Enter an amount",IF(L1541=0,"Enter an amount",IF(ABS(W1541)&gt;ABS(L1541),"Tax is larger than the amount","")))))))))))))</f>
        <v/>
      </c>
      <c r="Y1541" s="67">
        <f>IF(OR(T1541=1,X1541&lt;&gt;""),"",IF(AND(B1541&lt;&gt;"",COUNTIF(tx_ID,B1541)&gt;1),"Duplicate transaction ID",IF(AND(L1541&lt;0,D1541&lt;&gt;"Adjustment"),"Negative amount — check this entry",IF(AND(D1541="Customer Payment",G1541=""),"Add the customer",IF(AND(D1541="Customer Payment",OR(J1541="",COUNTIF(ar_No,J1541&amp;"")=0)),"Invoice # in Reference not found on AR sheet",IF(AND(D1541="Bill Payment",H1541=""),"Add the vendor",IF(AND(D1541="Bill Payment",OR(J1541="",COUNTIFS(ap_No,J1541&amp;"",ap_Party,H1541&amp;"")=0)),"Bill # + vendor not found on AP sheet",IF(AND(ISNUMBER(M1541),N(M1541)&lt;&gt;0,W1541=0),"Tax ignored (tax tracking off, or not allowed for this type)",IF(V1541=K1541&amp;"","Same account on both sides",IF(AND(ISNUMBER(StartDate),C1541&lt;StartDate),"Date is before the accounting start date",IF(AND(D1541&lt;&gt;"Adjustment",IFERROR(INDEX(coa_Pay,MATCH(K1541&amp;"",coa_Name,0)),"")&lt;&gt;"Yes"),"Paid From / Deposited To is not a payment account","")))))))))))</f>
        <v/>
      </c>
      <c r="Z1541" s="67">
        <f>IF(AND(T1541=0,X1541=""),1,0)</f>
        <v/>
      </c>
      <c r="AA1541" s="68">
        <f>IF(Z1541=1,IF(U1541="In",L1541,L1541-W1541),0)</f>
        <v/>
      </c>
      <c r="AB1541" s="68">
        <f>IF(Z1541=1,IF(U1541="In",L1541-W1541,L1541),0)</f>
        <v/>
      </c>
      <c r="AC1541" s="68">
        <f>IF(AND(Z1541=1,U1541="Out"),W1541,0)</f>
        <v/>
      </c>
      <c r="AD1541" s="68">
        <f>IF(AND(Z1541=1,U1541="In"),W1541,0)</f>
        <v/>
      </c>
    </row>
    <row r="1542">
      <c r="B1542" s="62" t="inlineStr">
        <is>
          <t>TX-1536</t>
        </is>
      </c>
      <c r="C1542" s="63" t="n"/>
      <c r="D1542" s="62" t="n"/>
      <c r="E1542" s="62" t="n"/>
      <c r="F1542" s="62" t="n"/>
      <c r="G1542" s="62" t="n"/>
      <c r="H1542" s="62" t="n"/>
      <c r="I1542" s="62" t="n"/>
      <c r="J1542" s="62" t="n"/>
      <c r="K1542" s="62" t="n"/>
      <c r="L1542" s="64" t="n"/>
      <c r="M1542" s="64" t="n"/>
      <c r="N1542" s="62" t="n"/>
      <c r="O1542" s="65">
        <f>IF(Z1542=1,L1542-W1542,"")</f>
        <v/>
      </c>
      <c r="P1542" s="66">
        <f>IF(V1542="","",IFERROR(INDEX(coa_Type,MATCH(V1542,coa_Name,0)),""))</f>
        <v/>
      </c>
      <c r="Q1542" s="66">
        <f>IF(Z1542=1,IF(U1542="In",K1542&amp;"",V1542),"")</f>
        <v/>
      </c>
      <c r="R1542" s="66">
        <f>IF(Z1542=1,IF(U1542="In",V1542,K1542&amp;""),"")</f>
        <v/>
      </c>
      <c r="S1542" s="66">
        <f>IF(X1542&lt;&gt;"","⛔ "&amp;X1542&amp;" — not posted",IF(Y1542&lt;&gt;"","⚠ "&amp;Y1542,IF(Z1542=1,"✓ OK","")))</f>
        <v/>
      </c>
      <c r="T1542" s="67">
        <f>IF(AND(C1542="",D1542="",E1542="",L1542="",K1542=""),1,0)</f>
        <v/>
      </c>
      <c r="U1542" s="67">
        <f>IFERROR(INDEX(tt_Dir,MATCH(D1542,tt_Type,0)),"")</f>
        <v/>
      </c>
      <c r="V1542" s="67">
        <f>IF(D1542="","",IFERROR(IF(INDEX(tt_Other,MATCH(D1542,tt_Type,0))="",E1542&amp;"",INDEX(tt_Other,MATCH(D1542,tt_Type,0))),""))</f>
        <v/>
      </c>
      <c r="W1542" s="68">
        <f>IF(OR(TaxOn&lt;&gt;"Yes",NOT(ISNUMBER(M1542))),0,IF(IFERROR(INDEX(tt_Tax,MATCH(D1542,tt_Type,0)),"No")="Yes",M1542,0))</f>
        <v/>
      </c>
      <c r="X1542" s="67">
        <f>IF(T1542=1,"",IF(C1542="","Missing transaction date",IF(NOT(ISNUMBER(C1542)),"Invalid date",IF(OR(C1542&lt;DATE(2000,1,1),C1542&gt;DATE(2099,12,31)),"Invalid date",IF(D1542="","Select a type",IF(U1542="","Unknown type: "&amp;D1542,IF(V1542="","Select an account (Category)",IF(ISNA(MATCH(V1542,coa_Name,0)),"Unknown account: "&amp;V1542,IF(K1542="","Select Paid From / Deposited To",IF(ISNA(MATCH(K1542,coa_Name,0)),"Unknown account: "&amp;K1542,IF(NOT(ISNUMBER(L1542)),"Enter an amount",IF(L1542=0,"Enter an amount",IF(ABS(W1542)&gt;ABS(L1542),"Tax is larger than the amount","")))))))))))))</f>
        <v/>
      </c>
      <c r="Y1542" s="67">
        <f>IF(OR(T1542=1,X1542&lt;&gt;""),"",IF(AND(B1542&lt;&gt;"",COUNTIF(tx_ID,B1542)&gt;1),"Duplicate transaction ID",IF(AND(L1542&lt;0,D1542&lt;&gt;"Adjustment"),"Negative amount — check this entry",IF(AND(D1542="Customer Payment",G1542=""),"Add the customer",IF(AND(D1542="Customer Payment",OR(J1542="",COUNTIF(ar_No,J1542&amp;"")=0)),"Invoice # in Reference not found on AR sheet",IF(AND(D1542="Bill Payment",H1542=""),"Add the vendor",IF(AND(D1542="Bill Payment",OR(J1542="",COUNTIFS(ap_No,J1542&amp;"",ap_Party,H1542&amp;"")=0)),"Bill # + vendor not found on AP sheet",IF(AND(ISNUMBER(M1542),N(M1542)&lt;&gt;0,W1542=0),"Tax ignored (tax tracking off, or not allowed for this type)",IF(V1542=K1542&amp;"","Same account on both sides",IF(AND(ISNUMBER(StartDate),C1542&lt;StartDate),"Date is before the accounting start date",IF(AND(D1542&lt;&gt;"Adjustment",IFERROR(INDEX(coa_Pay,MATCH(K1542&amp;"",coa_Name,0)),"")&lt;&gt;"Yes"),"Paid From / Deposited To is not a payment account","")))))))))))</f>
        <v/>
      </c>
      <c r="Z1542" s="67">
        <f>IF(AND(T1542=0,X1542=""),1,0)</f>
        <v/>
      </c>
      <c r="AA1542" s="68">
        <f>IF(Z1542=1,IF(U1542="In",L1542,L1542-W1542),0)</f>
        <v/>
      </c>
      <c r="AB1542" s="68">
        <f>IF(Z1542=1,IF(U1542="In",L1542-W1542,L1542),0)</f>
        <v/>
      </c>
      <c r="AC1542" s="68">
        <f>IF(AND(Z1542=1,U1542="Out"),W1542,0)</f>
        <v/>
      </c>
      <c r="AD1542" s="68">
        <f>IF(AND(Z1542=1,U1542="In"),W1542,0)</f>
        <v/>
      </c>
    </row>
    <row r="1543">
      <c r="B1543" s="62" t="inlineStr">
        <is>
          <t>TX-1537</t>
        </is>
      </c>
      <c r="C1543" s="63" t="n"/>
      <c r="D1543" s="62" t="n"/>
      <c r="E1543" s="62" t="n"/>
      <c r="F1543" s="62" t="n"/>
      <c r="G1543" s="62" t="n"/>
      <c r="H1543" s="62" t="n"/>
      <c r="I1543" s="62" t="n"/>
      <c r="J1543" s="62" t="n"/>
      <c r="K1543" s="62" t="n"/>
      <c r="L1543" s="64" t="n"/>
      <c r="M1543" s="64" t="n"/>
      <c r="N1543" s="62" t="n"/>
      <c r="O1543" s="65">
        <f>IF(Z1543=1,L1543-W1543,"")</f>
        <v/>
      </c>
      <c r="P1543" s="66">
        <f>IF(V1543="","",IFERROR(INDEX(coa_Type,MATCH(V1543,coa_Name,0)),""))</f>
        <v/>
      </c>
      <c r="Q1543" s="66">
        <f>IF(Z1543=1,IF(U1543="In",K1543&amp;"",V1543),"")</f>
        <v/>
      </c>
      <c r="R1543" s="66">
        <f>IF(Z1543=1,IF(U1543="In",V1543,K1543&amp;""),"")</f>
        <v/>
      </c>
      <c r="S1543" s="66">
        <f>IF(X1543&lt;&gt;"","⛔ "&amp;X1543&amp;" — not posted",IF(Y1543&lt;&gt;"","⚠ "&amp;Y1543,IF(Z1543=1,"✓ OK","")))</f>
        <v/>
      </c>
      <c r="T1543" s="67">
        <f>IF(AND(C1543="",D1543="",E1543="",L1543="",K1543=""),1,0)</f>
        <v/>
      </c>
      <c r="U1543" s="67">
        <f>IFERROR(INDEX(tt_Dir,MATCH(D1543,tt_Type,0)),"")</f>
        <v/>
      </c>
      <c r="V1543" s="67">
        <f>IF(D1543="","",IFERROR(IF(INDEX(tt_Other,MATCH(D1543,tt_Type,0))="",E1543&amp;"",INDEX(tt_Other,MATCH(D1543,tt_Type,0))),""))</f>
        <v/>
      </c>
      <c r="W1543" s="68">
        <f>IF(OR(TaxOn&lt;&gt;"Yes",NOT(ISNUMBER(M1543))),0,IF(IFERROR(INDEX(tt_Tax,MATCH(D1543,tt_Type,0)),"No")="Yes",M1543,0))</f>
        <v/>
      </c>
      <c r="X1543" s="67">
        <f>IF(T1543=1,"",IF(C1543="","Missing transaction date",IF(NOT(ISNUMBER(C1543)),"Invalid date",IF(OR(C1543&lt;DATE(2000,1,1),C1543&gt;DATE(2099,12,31)),"Invalid date",IF(D1543="","Select a type",IF(U1543="","Unknown type: "&amp;D1543,IF(V1543="","Select an account (Category)",IF(ISNA(MATCH(V1543,coa_Name,0)),"Unknown account: "&amp;V1543,IF(K1543="","Select Paid From / Deposited To",IF(ISNA(MATCH(K1543,coa_Name,0)),"Unknown account: "&amp;K1543,IF(NOT(ISNUMBER(L1543)),"Enter an amount",IF(L1543=0,"Enter an amount",IF(ABS(W1543)&gt;ABS(L1543),"Tax is larger than the amount","")))))))))))))</f>
        <v/>
      </c>
      <c r="Y1543" s="67">
        <f>IF(OR(T1543=1,X1543&lt;&gt;""),"",IF(AND(B1543&lt;&gt;"",COUNTIF(tx_ID,B1543)&gt;1),"Duplicate transaction ID",IF(AND(L1543&lt;0,D1543&lt;&gt;"Adjustment"),"Negative amount — check this entry",IF(AND(D1543="Customer Payment",G1543=""),"Add the customer",IF(AND(D1543="Customer Payment",OR(J1543="",COUNTIF(ar_No,J1543&amp;"")=0)),"Invoice # in Reference not found on AR sheet",IF(AND(D1543="Bill Payment",H1543=""),"Add the vendor",IF(AND(D1543="Bill Payment",OR(J1543="",COUNTIFS(ap_No,J1543&amp;"",ap_Party,H1543&amp;"")=0)),"Bill # + vendor not found on AP sheet",IF(AND(ISNUMBER(M1543),N(M1543)&lt;&gt;0,W1543=0),"Tax ignored (tax tracking off, or not allowed for this type)",IF(V1543=K1543&amp;"","Same account on both sides",IF(AND(ISNUMBER(StartDate),C1543&lt;StartDate),"Date is before the accounting start date",IF(AND(D1543&lt;&gt;"Adjustment",IFERROR(INDEX(coa_Pay,MATCH(K1543&amp;"",coa_Name,0)),"")&lt;&gt;"Yes"),"Paid From / Deposited To is not a payment account","")))))))))))</f>
        <v/>
      </c>
      <c r="Z1543" s="67">
        <f>IF(AND(T1543=0,X1543=""),1,0)</f>
        <v/>
      </c>
      <c r="AA1543" s="68">
        <f>IF(Z1543=1,IF(U1543="In",L1543,L1543-W1543),0)</f>
        <v/>
      </c>
      <c r="AB1543" s="68">
        <f>IF(Z1543=1,IF(U1543="In",L1543-W1543,L1543),0)</f>
        <v/>
      </c>
      <c r="AC1543" s="68">
        <f>IF(AND(Z1543=1,U1543="Out"),W1543,0)</f>
        <v/>
      </c>
      <c r="AD1543" s="68">
        <f>IF(AND(Z1543=1,U1543="In"),W1543,0)</f>
        <v/>
      </c>
    </row>
    <row r="1544">
      <c r="B1544" s="62" t="inlineStr">
        <is>
          <t>TX-1538</t>
        </is>
      </c>
      <c r="C1544" s="63" t="n"/>
      <c r="D1544" s="62" t="n"/>
      <c r="E1544" s="62" t="n"/>
      <c r="F1544" s="62" t="n"/>
      <c r="G1544" s="62" t="n"/>
      <c r="H1544" s="62" t="n"/>
      <c r="I1544" s="62" t="n"/>
      <c r="J1544" s="62" t="n"/>
      <c r="K1544" s="62" t="n"/>
      <c r="L1544" s="64" t="n"/>
      <c r="M1544" s="64" t="n"/>
      <c r="N1544" s="62" t="n"/>
      <c r="O1544" s="65">
        <f>IF(Z1544=1,L1544-W1544,"")</f>
        <v/>
      </c>
      <c r="P1544" s="66">
        <f>IF(V1544="","",IFERROR(INDEX(coa_Type,MATCH(V1544,coa_Name,0)),""))</f>
        <v/>
      </c>
      <c r="Q1544" s="66">
        <f>IF(Z1544=1,IF(U1544="In",K1544&amp;"",V1544),"")</f>
        <v/>
      </c>
      <c r="R1544" s="66">
        <f>IF(Z1544=1,IF(U1544="In",V1544,K1544&amp;""),"")</f>
        <v/>
      </c>
      <c r="S1544" s="66">
        <f>IF(X1544&lt;&gt;"","⛔ "&amp;X1544&amp;" — not posted",IF(Y1544&lt;&gt;"","⚠ "&amp;Y1544,IF(Z1544=1,"✓ OK","")))</f>
        <v/>
      </c>
      <c r="T1544" s="67">
        <f>IF(AND(C1544="",D1544="",E1544="",L1544="",K1544=""),1,0)</f>
        <v/>
      </c>
      <c r="U1544" s="67">
        <f>IFERROR(INDEX(tt_Dir,MATCH(D1544,tt_Type,0)),"")</f>
        <v/>
      </c>
      <c r="V1544" s="67">
        <f>IF(D1544="","",IFERROR(IF(INDEX(tt_Other,MATCH(D1544,tt_Type,0))="",E1544&amp;"",INDEX(tt_Other,MATCH(D1544,tt_Type,0))),""))</f>
        <v/>
      </c>
      <c r="W1544" s="68">
        <f>IF(OR(TaxOn&lt;&gt;"Yes",NOT(ISNUMBER(M1544))),0,IF(IFERROR(INDEX(tt_Tax,MATCH(D1544,tt_Type,0)),"No")="Yes",M1544,0))</f>
        <v/>
      </c>
      <c r="X1544" s="67">
        <f>IF(T1544=1,"",IF(C1544="","Missing transaction date",IF(NOT(ISNUMBER(C1544)),"Invalid date",IF(OR(C1544&lt;DATE(2000,1,1),C1544&gt;DATE(2099,12,31)),"Invalid date",IF(D1544="","Select a type",IF(U1544="","Unknown type: "&amp;D1544,IF(V1544="","Select an account (Category)",IF(ISNA(MATCH(V1544,coa_Name,0)),"Unknown account: "&amp;V1544,IF(K1544="","Select Paid From / Deposited To",IF(ISNA(MATCH(K1544,coa_Name,0)),"Unknown account: "&amp;K1544,IF(NOT(ISNUMBER(L1544)),"Enter an amount",IF(L1544=0,"Enter an amount",IF(ABS(W1544)&gt;ABS(L1544),"Tax is larger than the amount","")))))))))))))</f>
        <v/>
      </c>
      <c r="Y1544" s="67">
        <f>IF(OR(T1544=1,X1544&lt;&gt;""),"",IF(AND(B1544&lt;&gt;"",COUNTIF(tx_ID,B1544)&gt;1),"Duplicate transaction ID",IF(AND(L1544&lt;0,D1544&lt;&gt;"Adjustment"),"Negative amount — check this entry",IF(AND(D1544="Customer Payment",G1544=""),"Add the customer",IF(AND(D1544="Customer Payment",OR(J1544="",COUNTIF(ar_No,J1544&amp;"")=0)),"Invoice # in Reference not found on AR sheet",IF(AND(D1544="Bill Payment",H1544=""),"Add the vendor",IF(AND(D1544="Bill Payment",OR(J1544="",COUNTIFS(ap_No,J1544&amp;"",ap_Party,H1544&amp;"")=0)),"Bill # + vendor not found on AP sheet",IF(AND(ISNUMBER(M1544),N(M1544)&lt;&gt;0,W1544=0),"Tax ignored (tax tracking off, or not allowed for this type)",IF(V1544=K1544&amp;"","Same account on both sides",IF(AND(ISNUMBER(StartDate),C1544&lt;StartDate),"Date is before the accounting start date",IF(AND(D1544&lt;&gt;"Adjustment",IFERROR(INDEX(coa_Pay,MATCH(K1544&amp;"",coa_Name,0)),"")&lt;&gt;"Yes"),"Paid From / Deposited To is not a payment account","")))))))))))</f>
        <v/>
      </c>
      <c r="Z1544" s="67">
        <f>IF(AND(T1544=0,X1544=""),1,0)</f>
        <v/>
      </c>
      <c r="AA1544" s="68">
        <f>IF(Z1544=1,IF(U1544="In",L1544,L1544-W1544),0)</f>
        <v/>
      </c>
      <c r="AB1544" s="68">
        <f>IF(Z1544=1,IF(U1544="In",L1544-W1544,L1544),0)</f>
        <v/>
      </c>
      <c r="AC1544" s="68">
        <f>IF(AND(Z1544=1,U1544="Out"),W1544,0)</f>
        <v/>
      </c>
      <c r="AD1544" s="68">
        <f>IF(AND(Z1544=1,U1544="In"),W1544,0)</f>
        <v/>
      </c>
    </row>
    <row r="1545">
      <c r="B1545" s="62" t="inlineStr">
        <is>
          <t>TX-1539</t>
        </is>
      </c>
      <c r="C1545" s="63" t="n"/>
      <c r="D1545" s="62" t="n"/>
      <c r="E1545" s="62" t="n"/>
      <c r="F1545" s="62" t="n"/>
      <c r="G1545" s="62" t="n"/>
      <c r="H1545" s="62" t="n"/>
      <c r="I1545" s="62" t="n"/>
      <c r="J1545" s="62" t="n"/>
      <c r="K1545" s="62" t="n"/>
      <c r="L1545" s="64" t="n"/>
      <c r="M1545" s="64" t="n"/>
      <c r="N1545" s="62" t="n"/>
      <c r="O1545" s="65">
        <f>IF(Z1545=1,L1545-W1545,"")</f>
        <v/>
      </c>
      <c r="P1545" s="66">
        <f>IF(V1545="","",IFERROR(INDEX(coa_Type,MATCH(V1545,coa_Name,0)),""))</f>
        <v/>
      </c>
      <c r="Q1545" s="66">
        <f>IF(Z1545=1,IF(U1545="In",K1545&amp;"",V1545),"")</f>
        <v/>
      </c>
      <c r="R1545" s="66">
        <f>IF(Z1545=1,IF(U1545="In",V1545,K1545&amp;""),"")</f>
        <v/>
      </c>
      <c r="S1545" s="66">
        <f>IF(X1545&lt;&gt;"","⛔ "&amp;X1545&amp;" — not posted",IF(Y1545&lt;&gt;"","⚠ "&amp;Y1545,IF(Z1545=1,"✓ OK","")))</f>
        <v/>
      </c>
      <c r="T1545" s="67">
        <f>IF(AND(C1545="",D1545="",E1545="",L1545="",K1545=""),1,0)</f>
        <v/>
      </c>
      <c r="U1545" s="67">
        <f>IFERROR(INDEX(tt_Dir,MATCH(D1545,tt_Type,0)),"")</f>
        <v/>
      </c>
      <c r="V1545" s="67">
        <f>IF(D1545="","",IFERROR(IF(INDEX(tt_Other,MATCH(D1545,tt_Type,0))="",E1545&amp;"",INDEX(tt_Other,MATCH(D1545,tt_Type,0))),""))</f>
        <v/>
      </c>
      <c r="W1545" s="68">
        <f>IF(OR(TaxOn&lt;&gt;"Yes",NOT(ISNUMBER(M1545))),0,IF(IFERROR(INDEX(tt_Tax,MATCH(D1545,tt_Type,0)),"No")="Yes",M1545,0))</f>
        <v/>
      </c>
      <c r="X1545" s="67">
        <f>IF(T1545=1,"",IF(C1545="","Missing transaction date",IF(NOT(ISNUMBER(C1545)),"Invalid date",IF(OR(C1545&lt;DATE(2000,1,1),C1545&gt;DATE(2099,12,31)),"Invalid date",IF(D1545="","Select a type",IF(U1545="","Unknown type: "&amp;D1545,IF(V1545="","Select an account (Category)",IF(ISNA(MATCH(V1545,coa_Name,0)),"Unknown account: "&amp;V1545,IF(K1545="","Select Paid From / Deposited To",IF(ISNA(MATCH(K1545,coa_Name,0)),"Unknown account: "&amp;K1545,IF(NOT(ISNUMBER(L1545)),"Enter an amount",IF(L1545=0,"Enter an amount",IF(ABS(W1545)&gt;ABS(L1545),"Tax is larger than the amount","")))))))))))))</f>
        <v/>
      </c>
      <c r="Y1545" s="67">
        <f>IF(OR(T1545=1,X1545&lt;&gt;""),"",IF(AND(B1545&lt;&gt;"",COUNTIF(tx_ID,B1545)&gt;1),"Duplicate transaction ID",IF(AND(L1545&lt;0,D1545&lt;&gt;"Adjustment"),"Negative amount — check this entry",IF(AND(D1545="Customer Payment",G1545=""),"Add the customer",IF(AND(D1545="Customer Payment",OR(J1545="",COUNTIF(ar_No,J1545&amp;"")=0)),"Invoice # in Reference not found on AR sheet",IF(AND(D1545="Bill Payment",H1545=""),"Add the vendor",IF(AND(D1545="Bill Payment",OR(J1545="",COUNTIFS(ap_No,J1545&amp;"",ap_Party,H1545&amp;"")=0)),"Bill # + vendor not found on AP sheet",IF(AND(ISNUMBER(M1545),N(M1545)&lt;&gt;0,W1545=0),"Tax ignored (tax tracking off, or not allowed for this type)",IF(V1545=K1545&amp;"","Same account on both sides",IF(AND(ISNUMBER(StartDate),C1545&lt;StartDate),"Date is before the accounting start date",IF(AND(D1545&lt;&gt;"Adjustment",IFERROR(INDEX(coa_Pay,MATCH(K1545&amp;"",coa_Name,0)),"")&lt;&gt;"Yes"),"Paid From / Deposited To is not a payment account","")))))))))))</f>
        <v/>
      </c>
      <c r="Z1545" s="67">
        <f>IF(AND(T1545=0,X1545=""),1,0)</f>
        <v/>
      </c>
      <c r="AA1545" s="68">
        <f>IF(Z1545=1,IF(U1545="In",L1545,L1545-W1545),0)</f>
        <v/>
      </c>
      <c r="AB1545" s="68">
        <f>IF(Z1545=1,IF(U1545="In",L1545-W1545,L1545),0)</f>
        <v/>
      </c>
      <c r="AC1545" s="68">
        <f>IF(AND(Z1545=1,U1545="Out"),W1545,0)</f>
        <v/>
      </c>
      <c r="AD1545" s="68">
        <f>IF(AND(Z1545=1,U1545="In"),W1545,0)</f>
        <v/>
      </c>
    </row>
    <row r="1546">
      <c r="B1546" s="62" t="inlineStr">
        <is>
          <t>TX-1540</t>
        </is>
      </c>
      <c r="C1546" s="63" t="n"/>
      <c r="D1546" s="62" t="n"/>
      <c r="E1546" s="62" t="n"/>
      <c r="F1546" s="62" t="n"/>
      <c r="G1546" s="62" t="n"/>
      <c r="H1546" s="62" t="n"/>
      <c r="I1546" s="62" t="n"/>
      <c r="J1546" s="62" t="n"/>
      <c r="K1546" s="62" t="n"/>
      <c r="L1546" s="64" t="n"/>
      <c r="M1546" s="64" t="n"/>
      <c r="N1546" s="62" t="n"/>
      <c r="O1546" s="65">
        <f>IF(Z1546=1,L1546-W1546,"")</f>
        <v/>
      </c>
      <c r="P1546" s="66">
        <f>IF(V1546="","",IFERROR(INDEX(coa_Type,MATCH(V1546,coa_Name,0)),""))</f>
        <v/>
      </c>
      <c r="Q1546" s="66">
        <f>IF(Z1546=1,IF(U1546="In",K1546&amp;"",V1546),"")</f>
        <v/>
      </c>
      <c r="R1546" s="66">
        <f>IF(Z1546=1,IF(U1546="In",V1546,K1546&amp;""),"")</f>
        <v/>
      </c>
      <c r="S1546" s="66">
        <f>IF(X1546&lt;&gt;"","⛔ "&amp;X1546&amp;" — not posted",IF(Y1546&lt;&gt;"","⚠ "&amp;Y1546,IF(Z1546=1,"✓ OK","")))</f>
        <v/>
      </c>
      <c r="T1546" s="67">
        <f>IF(AND(C1546="",D1546="",E1546="",L1546="",K1546=""),1,0)</f>
        <v/>
      </c>
      <c r="U1546" s="67">
        <f>IFERROR(INDEX(tt_Dir,MATCH(D1546,tt_Type,0)),"")</f>
        <v/>
      </c>
      <c r="V1546" s="67">
        <f>IF(D1546="","",IFERROR(IF(INDEX(tt_Other,MATCH(D1546,tt_Type,0))="",E1546&amp;"",INDEX(tt_Other,MATCH(D1546,tt_Type,0))),""))</f>
        <v/>
      </c>
      <c r="W1546" s="68">
        <f>IF(OR(TaxOn&lt;&gt;"Yes",NOT(ISNUMBER(M1546))),0,IF(IFERROR(INDEX(tt_Tax,MATCH(D1546,tt_Type,0)),"No")="Yes",M1546,0))</f>
        <v/>
      </c>
      <c r="X1546" s="67">
        <f>IF(T1546=1,"",IF(C1546="","Missing transaction date",IF(NOT(ISNUMBER(C1546)),"Invalid date",IF(OR(C1546&lt;DATE(2000,1,1),C1546&gt;DATE(2099,12,31)),"Invalid date",IF(D1546="","Select a type",IF(U1546="","Unknown type: "&amp;D1546,IF(V1546="","Select an account (Category)",IF(ISNA(MATCH(V1546,coa_Name,0)),"Unknown account: "&amp;V1546,IF(K1546="","Select Paid From / Deposited To",IF(ISNA(MATCH(K1546,coa_Name,0)),"Unknown account: "&amp;K1546,IF(NOT(ISNUMBER(L1546)),"Enter an amount",IF(L1546=0,"Enter an amount",IF(ABS(W1546)&gt;ABS(L1546),"Tax is larger than the amount","")))))))))))))</f>
        <v/>
      </c>
      <c r="Y1546" s="67">
        <f>IF(OR(T1546=1,X1546&lt;&gt;""),"",IF(AND(B1546&lt;&gt;"",COUNTIF(tx_ID,B1546)&gt;1),"Duplicate transaction ID",IF(AND(L1546&lt;0,D1546&lt;&gt;"Adjustment"),"Negative amount — check this entry",IF(AND(D1546="Customer Payment",G1546=""),"Add the customer",IF(AND(D1546="Customer Payment",OR(J1546="",COUNTIF(ar_No,J1546&amp;"")=0)),"Invoice # in Reference not found on AR sheet",IF(AND(D1546="Bill Payment",H1546=""),"Add the vendor",IF(AND(D1546="Bill Payment",OR(J1546="",COUNTIFS(ap_No,J1546&amp;"",ap_Party,H1546&amp;"")=0)),"Bill # + vendor not found on AP sheet",IF(AND(ISNUMBER(M1546),N(M1546)&lt;&gt;0,W1546=0),"Tax ignored (tax tracking off, or not allowed for this type)",IF(V1546=K1546&amp;"","Same account on both sides",IF(AND(ISNUMBER(StartDate),C1546&lt;StartDate),"Date is before the accounting start date",IF(AND(D1546&lt;&gt;"Adjustment",IFERROR(INDEX(coa_Pay,MATCH(K1546&amp;"",coa_Name,0)),"")&lt;&gt;"Yes"),"Paid From / Deposited To is not a payment account","")))))))))))</f>
        <v/>
      </c>
      <c r="Z1546" s="67">
        <f>IF(AND(T1546=0,X1546=""),1,0)</f>
        <v/>
      </c>
      <c r="AA1546" s="68">
        <f>IF(Z1546=1,IF(U1546="In",L1546,L1546-W1546),0)</f>
        <v/>
      </c>
      <c r="AB1546" s="68">
        <f>IF(Z1546=1,IF(U1546="In",L1546-W1546,L1546),0)</f>
        <v/>
      </c>
      <c r="AC1546" s="68">
        <f>IF(AND(Z1546=1,U1546="Out"),W1546,0)</f>
        <v/>
      </c>
      <c r="AD1546" s="68">
        <f>IF(AND(Z1546=1,U1546="In"),W1546,0)</f>
        <v/>
      </c>
    </row>
    <row r="1547">
      <c r="B1547" s="62" t="inlineStr">
        <is>
          <t>TX-1541</t>
        </is>
      </c>
      <c r="C1547" s="63" t="n"/>
      <c r="D1547" s="62" t="n"/>
      <c r="E1547" s="62" t="n"/>
      <c r="F1547" s="62" t="n"/>
      <c r="G1547" s="62" t="n"/>
      <c r="H1547" s="62" t="n"/>
      <c r="I1547" s="62" t="n"/>
      <c r="J1547" s="62" t="n"/>
      <c r="K1547" s="62" t="n"/>
      <c r="L1547" s="64" t="n"/>
      <c r="M1547" s="64" t="n"/>
      <c r="N1547" s="62" t="n"/>
      <c r="O1547" s="65">
        <f>IF(Z1547=1,L1547-W1547,"")</f>
        <v/>
      </c>
      <c r="P1547" s="66">
        <f>IF(V1547="","",IFERROR(INDEX(coa_Type,MATCH(V1547,coa_Name,0)),""))</f>
        <v/>
      </c>
      <c r="Q1547" s="66">
        <f>IF(Z1547=1,IF(U1547="In",K1547&amp;"",V1547),"")</f>
        <v/>
      </c>
      <c r="R1547" s="66">
        <f>IF(Z1547=1,IF(U1547="In",V1547,K1547&amp;""),"")</f>
        <v/>
      </c>
      <c r="S1547" s="66">
        <f>IF(X1547&lt;&gt;"","⛔ "&amp;X1547&amp;" — not posted",IF(Y1547&lt;&gt;"","⚠ "&amp;Y1547,IF(Z1547=1,"✓ OK","")))</f>
        <v/>
      </c>
      <c r="T1547" s="67">
        <f>IF(AND(C1547="",D1547="",E1547="",L1547="",K1547=""),1,0)</f>
        <v/>
      </c>
      <c r="U1547" s="67">
        <f>IFERROR(INDEX(tt_Dir,MATCH(D1547,tt_Type,0)),"")</f>
        <v/>
      </c>
      <c r="V1547" s="67">
        <f>IF(D1547="","",IFERROR(IF(INDEX(tt_Other,MATCH(D1547,tt_Type,0))="",E1547&amp;"",INDEX(tt_Other,MATCH(D1547,tt_Type,0))),""))</f>
        <v/>
      </c>
      <c r="W1547" s="68">
        <f>IF(OR(TaxOn&lt;&gt;"Yes",NOT(ISNUMBER(M1547))),0,IF(IFERROR(INDEX(tt_Tax,MATCH(D1547,tt_Type,0)),"No")="Yes",M1547,0))</f>
        <v/>
      </c>
      <c r="X1547" s="67">
        <f>IF(T1547=1,"",IF(C1547="","Missing transaction date",IF(NOT(ISNUMBER(C1547)),"Invalid date",IF(OR(C1547&lt;DATE(2000,1,1),C1547&gt;DATE(2099,12,31)),"Invalid date",IF(D1547="","Select a type",IF(U1547="","Unknown type: "&amp;D1547,IF(V1547="","Select an account (Category)",IF(ISNA(MATCH(V1547,coa_Name,0)),"Unknown account: "&amp;V1547,IF(K1547="","Select Paid From / Deposited To",IF(ISNA(MATCH(K1547,coa_Name,0)),"Unknown account: "&amp;K1547,IF(NOT(ISNUMBER(L1547)),"Enter an amount",IF(L1547=0,"Enter an amount",IF(ABS(W1547)&gt;ABS(L1547),"Tax is larger than the amount","")))))))))))))</f>
        <v/>
      </c>
      <c r="Y1547" s="67">
        <f>IF(OR(T1547=1,X1547&lt;&gt;""),"",IF(AND(B1547&lt;&gt;"",COUNTIF(tx_ID,B1547)&gt;1),"Duplicate transaction ID",IF(AND(L1547&lt;0,D1547&lt;&gt;"Adjustment"),"Negative amount — check this entry",IF(AND(D1547="Customer Payment",G1547=""),"Add the customer",IF(AND(D1547="Customer Payment",OR(J1547="",COUNTIF(ar_No,J1547&amp;"")=0)),"Invoice # in Reference not found on AR sheet",IF(AND(D1547="Bill Payment",H1547=""),"Add the vendor",IF(AND(D1547="Bill Payment",OR(J1547="",COUNTIFS(ap_No,J1547&amp;"",ap_Party,H1547&amp;"")=0)),"Bill # + vendor not found on AP sheet",IF(AND(ISNUMBER(M1547),N(M1547)&lt;&gt;0,W1547=0),"Tax ignored (tax tracking off, or not allowed for this type)",IF(V1547=K1547&amp;"","Same account on both sides",IF(AND(ISNUMBER(StartDate),C1547&lt;StartDate),"Date is before the accounting start date",IF(AND(D1547&lt;&gt;"Adjustment",IFERROR(INDEX(coa_Pay,MATCH(K1547&amp;"",coa_Name,0)),"")&lt;&gt;"Yes"),"Paid From / Deposited To is not a payment account","")))))))))))</f>
        <v/>
      </c>
      <c r="Z1547" s="67">
        <f>IF(AND(T1547=0,X1547=""),1,0)</f>
        <v/>
      </c>
      <c r="AA1547" s="68">
        <f>IF(Z1547=1,IF(U1547="In",L1547,L1547-W1547),0)</f>
        <v/>
      </c>
      <c r="AB1547" s="68">
        <f>IF(Z1547=1,IF(U1547="In",L1547-W1547,L1547),0)</f>
        <v/>
      </c>
      <c r="AC1547" s="68">
        <f>IF(AND(Z1547=1,U1547="Out"),W1547,0)</f>
        <v/>
      </c>
      <c r="AD1547" s="68">
        <f>IF(AND(Z1547=1,U1547="In"),W1547,0)</f>
        <v/>
      </c>
    </row>
    <row r="1548">
      <c r="B1548" s="62" t="inlineStr">
        <is>
          <t>TX-1542</t>
        </is>
      </c>
      <c r="C1548" s="63" t="n"/>
      <c r="D1548" s="62" t="n"/>
      <c r="E1548" s="62" t="n"/>
      <c r="F1548" s="62" t="n"/>
      <c r="G1548" s="62" t="n"/>
      <c r="H1548" s="62" t="n"/>
      <c r="I1548" s="62" t="n"/>
      <c r="J1548" s="62" t="n"/>
      <c r="K1548" s="62" t="n"/>
      <c r="L1548" s="64" t="n"/>
      <c r="M1548" s="64" t="n"/>
      <c r="N1548" s="62" t="n"/>
      <c r="O1548" s="65">
        <f>IF(Z1548=1,L1548-W1548,"")</f>
        <v/>
      </c>
      <c r="P1548" s="66">
        <f>IF(V1548="","",IFERROR(INDEX(coa_Type,MATCH(V1548,coa_Name,0)),""))</f>
        <v/>
      </c>
      <c r="Q1548" s="66">
        <f>IF(Z1548=1,IF(U1548="In",K1548&amp;"",V1548),"")</f>
        <v/>
      </c>
      <c r="R1548" s="66">
        <f>IF(Z1548=1,IF(U1548="In",V1548,K1548&amp;""),"")</f>
        <v/>
      </c>
      <c r="S1548" s="66">
        <f>IF(X1548&lt;&gt;"","⛔ "&amp;X1548&amp;" — not posted",IF(Y1548&lt;&gt;"","⚠ "&amp;Y1548,IF(Z1548=1,"✓ OK","")))</f>
        <v/>
      </c>
      <c r="T1548" s="67">
        <f>IF(AND(C1548="",D1548="",E1548="",L1548="",K1548=""),1,0)</f>
        <v/>
      </c>
      <c r="U1548" s="67">
        <f>IFERROR(INDEX(tt_Dir,MATCH(D1548,tt_Type,0)),"")</f>
        <v/>
      </c>
      <c r="V1548" s="67">
        <f>IF(D1548="","",IFERROR(IF(INDEX(tt_Other,MATCH(D1548,tt_Type,0))="",E1548&amp;"",INDEX(tt_Other,MATCH(D1548,tt_Type,0))),""))</f>
        <v/>
      </c>
      <c r="W1548" s="68">
        <f>IF(OR(TaxOn&lt;&gt;"Yes",NOT(ISNUMBER(M1548))),0,IF(IFERROR(INDEX(tt_Tax,MATCH(D1548,tt_Type,0)),"No")="Yes",M1548,0))</f>
        <v/>
      </c>
      <c r="X1548" s="67">
        <f>IF(T1548=1,"",IF(C1548="","Missing transaction date",IF(NOT(ISNUMBER(C1548)),"Invalid date",IF(OR(C1548&lt;DATE(2000,1,1),C1548&gt;DATE(2099,12,31)),"Invalid date",IF(D1548="","Select a type",IF(U1548="","Unknown type: "&amp;D1548,IF(V1548="","Select an account (Category)",IF(ISNA(MATCH(V1548,coa_Name,0)),"Unknown account: "&amp;V1548,IF(K1548="","Select Paid From / Deposited To",IF(ISNA(MATCH(K1548,coa_Name,0)),"Unknown account: "&amp;K1548,IF(NOT(ISNUMBER(L1548)),"Enter an amount",IF(L1548=0,"Enter an amount",IF(ABS(W1548)&gt;ABS(L1548),"Tax is larger than the amount","")))))))))))))</f>
        <v/>
      </c>
      <c r="Y1548" s="67">
        <f>IF(OR(T1548=1,X1548&lt;&gt;""),"",IF(AND(B1548&lt;&gt;"",COUNTIF(tx_ID,B1548)&gt;1),"Duplicate transaction ID",IF(AND(L1548&lt;0,D1548&lt;&gt;"Adjustment"),"Negative amount — check this entry",IF(AND(D1548="Customer Payment",G1548=""),"Add the customer",IF(AND(D1548="Customer Payment",OR(J1548="",COUNTIF(ar_No,J1548&amp;"")=0)),"Invoice # in Reference not found on AR sheet",IF(AND(D1548="Bill Payment",H1548=""),"Add the vendor",IF(AND(D1548="Bill Payment",OR(J1548="",COUNTIFS(ap_No,J1548&amp;"",ap_Party,H1548&amp;"")=0)),"Bill # + vendor not found on AP sheet",IF(AND(ISNUMBER(M1548),N(M1548)&lt;&gt;0,W1548=0),"Tax ignored (tax tracking off, or not allowed for this type)",IF(V1548=K1548&amp;"","Same account on both sides",IF(AND(ISNUMBER(StartDate),C1548&lt;StartDate),"Date is before the accounting start date",IF(AND(D1548&lt;&gt;"Adjustment",IFERROR(INDEX(coa_Pay,MATCH(K1548&amp;"",coa_Name,0)),"")&lt;&gt;"Yes"),"Paid From / Deposited To is not a payment account","")))))))))))</f>
        <v/>
      </c>
      <c r="Z1548" s="67">
        <f>IF(AND(T1548=0,X1548=""),1,0)</f>
        <v/>
      </c>
      <c r="AA1548" s="68">
        <f>IF(Z1548=1,IF(U1548="In",L1548,L1548-W1548),0)</f>
        <v/>
      </c>
      <c r="AB1548" s="68">
        <f>IF(Z1548=1,IF(U1548="In",L1548-W1548,L1548),0)</f>
        <v/>
      </c>
      <c r="AC1548" s="68">
        <f>IF(AND(Z1548=1,U1548="Out"),W1548,0)</f>
        <v/>
      </c>
      <c r="AD1548" s="68">
        <f>IF(AND(Z1548=1,U1548="In"),W1548,0)</f>
        <v/>
      </c>
    </row>
    <row r="1549">
      <c r="B1549" s="62" t="inlineStr">
        <is>
          <t>TX-1543</t>
        </is>
      </c>
      <c r="C1549" s="63" t="n"/>
      <c r="D1549" s="62" t="n"/>
      <c r="E1549" s="62" t="n"/>
      <c r="F1549" s="62" t="n"/>
      <c r="G1549" s="62" t="n"/>
      <c r="H1549" s="62" t="n"/>
      <c r="I1549" s="62" t="n"/>
      <c r="J1549" s="62" t="n"/>
      <c r="K1549" s="62" t="n"/>
      <c r="L1549" s="64" t="n"/>
      <c r="M1549" s="64" t="n"/>
      <c r="N1549" s="62" t="n"/>
      <c r="O1549" s="65">
        <f>IF(Z1549=1,L1549-W1549,"")</f>
        <v/>
      </c>
      <c r="P1549" s="66">
        <f>IF(V1549="","",IFERROR(INDEX(coa_Type,MATCH(V1549,coa_Name,0)),""))</f>
        <v/>
      </c>
      <c r="Q1549" s="66">
        <f>IF(Z1549=1,IF(U1549="In",K1549&amp;"",V1549),"")</f>
        <v/>
      </c>
      <c r="R1549" s="66">
        <f>IF(Z1549=1,IF(U1549="In",V1549,K1549&amp;""),"")</f>
        <v/>
      </c>
      <c r="S1549" s="66">
        <f>IF(X1549&lt;&gt;"","⛔ "&amp;X1549&amp;" — not posted",IF(Y1549&lt;&gt;"","⚠ "&amp;Y1549,IF(Z1549=1,"✓ OK","")))</f>
        <v/>
      </c>
      <c r="T1549" s="67">
        <f>IF(AND(C1549="",D1549="",E1549="",L1549="",K1549=""),1,0)</f>
        <v/>
      </c>
      <c r="U1549" s="67">
        <f>IFERROR(INDEX(tt_Dir,MATCH(D1549,tt_Type,0)),"")</f>
        <v/>
      </c>
      <c r="V1549" s="67">
        <f>IF(D1549="","",IFERROR(IF(INDEX(tt_Other,MATCH(D1549,tt_Type,0))="",E1549&amp;"",INDEX(tt_Other,MATCH(D1549,tt_Type,0))),""))</f>
        <v/>
      </c>
      <c r="W1549" s="68">
        <f>IF(OR(TaxOn&lt;&gt;"Yes",NOT(ISNUMBER(M1549))),0,IF(IFERROR(INDEX(tt_Tax,MATCH(D1549,tt_Type,0)),"No")="Yes",M1549,0))</f>
        <v/>
      </c>
      <c r="X1549" s="67">
        <f>IF(T1549=1,"",IF(C1549="","Missing transaction date",IF(NOT(ISNUMBER(C1549)),"Invalid date",IF(OR(C1549&lt;DATE(2000,1,1),C1549&gt;DATE(2099,12,31)),"Invalid date",IF(D1549="","Select a type",IF(U1549="","Unknown type: "&amp;D1549,IF(V1549="","Select an account (Category)",IF(ISNA(MATCH(V1549,coa_Name,0)),"Unknown account: "&amp;V1549,IF(K1549="","Select Paid From / Deposited To",IF(ISNA(MATCH(K1549,coa_Name,0)),"Unknown account: "&amp;K1549,IF(NOT(ISNUMBER(L1549)),"Enter an amount",IF(L1549=0,"Enter an amount",IF(ABS(W1549)&gt;ABS(L1549),"Tax is larger than the amount","")))))))))))))</f>
        <v/>
      </c>
      <c r="Y1549" s="67">
        <f>IF(OR(T1549=1,X1549&lt;&gt;""),"",IF(AND(B1549&lt;&gt;"",COUNTIF(tx_ID,B1549)&gt;1),"Duplicate transaction ID",IF(AND(L1549&lt;0,D1549&lt;&gt;"Adjustment"),"Negative amount — check this entry",IF(AND(D1549="Customer Payment",G1549=""),"Add the customer",IF(AND(D1549="Customer Payment",OR(J1549="",COUNTIF(ar_No,J1549&amp;"")=0)),"Invoice # in Reference not found on AR sheet",IF(AND(D1549="Bill Payment",H1549=""),"Add the vendor",IF(AND(D1549="Bill Payment",OR(J1549="",COUNTIFS(ap_No,J1549&amp;"",ap_Party,H1549&amp;"")=0)),"Bill # + vendor not found on AP sheet",IF(AND(ISNUMBER(M1549),N(M1549)&lt;&gt;0,W1549=0),"Tax ignored (tax tracking off, or not allowed for this type)",IF(V1549=K1549&amp;"","Same account on both sides",IF(AND(ISNUMBER(StartDate),C1549&lt;StartDate),"Date is before the accounting start date",IF(AND(D1549&lt;&gt;"Adjustment",IFERROR(INDEX(coa_Pay,MATCH(K1549&amp;"",coa_Name,0)),"")&lt;&gt;"Yes"),"Paid From / Deposited To is not a payment account","")))))))))))</f>
        <v/>
      </c>
      <c r="Z1549" s="67">
        <f>IF(AND(T1549=0,X1549=""),1,0)</f>
        <v/>
      </c>
      <c r="AA1549" s="68">
        <f>IF(Z1549=1,IF(U1549="In",L1549,L1549-W1549),0)</f>
        <v/>
      </c>
      <c r="AB1549" s="68">
        <f>IF(Z1549=1,IF(U1549="In",L1549-W1549,L1549),0)</f>
        <v/>
      </c>
      <c r="AC1549" s="68">
        <f>IF(AND(Z1549=1,U1549="Out"),W1549,0)</f>
        <v/>
      </c>
      <c r="AD1549" s="68">
        <f>IF(AND(Z1549=1,U1549="In"),W1549,0)</f>
        <v/>
      </c>
    </row>
    <row r="1550">
      <c r="B1550" s="62" t="inlineStr">
        <is>
          <t>TX-1544</t>
        </is>
      </c>
      <c r="C1550" s="63" t="n"/>
      <c r="D1550" s="62" t="n"/>
      <c r="E1550" s="62" t="n"/>
      <c r="F1550" s="62" t="n"/>
      <c r="G1550" s="62" t="n"/>
      <c r="H1550" s="62" t="n"/>
      <c r="I1550" s="62" t="n"/>
      <c r="J1550" s="62" t="n"/>
      <c r="K1550" s="62" t="n"/>
      <c r="L1550" s="64" t="n"/>
      <c r="M1550" s="64" t="n"/>
      <c r="N1550" s="62" t="n"/>
      <c r="O1550" s="65">
        <f>IF(Z1550=1,L1550-W1550,"")</f>
        <v/>
      </c>
      <c r="P1550" s="66">
        <f>IF(V1550="","",IFERROR(INDEX(coa_Type,MATCH(V1550,coa_Name,0)),""))</f>
        <v/>
      </c>
      <c r="Q1550" s="66">
        <f>IF(Z1550=1,IF(U1550="In",K1550&amp;"",V1550),"")</f>
        <v/>
      </c>
      <c r="R1550" s="66">
        <f>IF(Z1550=1,IF(U1550="In",V1550,K1550&amp;""),"")</f>
        <v/>
      </c>
      <c r="S1550" s="66">
        <f>IF(X1550&lt;&gt;"","⛔ "&amp;X1550&amp;" — not posted",IF(Y1550&lt;&gt;"","⚠ "&amp;Y1550,IF(Z1550=1,"✓ OK","")))</f>
        <v/>
      </c>
      <c r="T1550" s="67">
        <f>IF(AND(C1550="",D1550="",E1550="",L1550="",K1550=""),1,0)</f>
        <v/>
      </c>
      <c r="U1550" s="67">
        <f>IFERROR(INDEX(tt_Dir,MATCH(D1550,tt_Type,0)),"")</f>
        <v/>
      </c>
      <c r="V1550" s="67">
        <f>IF(D1550="","",IFERROR(IF(INDEX(tt_Other,MATCH(D1550,tt_Type,0))="",E1550&amp;"",INDEX(tt_Other,MATCH(D1550,tt_Type,0))),""))</f>
        <v/>
      </c>
      <c r="W1550" s="68">
        <f>IF(OR(TaxOn&lt;&gt;"Yes",NOT(ISNUMBER(M1550))),0,IF(IFERROR(INDEX(tt_Tax,MATCH(D1550,tt_Type,0)),"No")="Yes",M1550,0))</f>
        <v/>
      </c>
      <c r="X1550" s="67">
        <f>IF(T1550=1,"",IF(C1550="","Missing transaction date",IF(NOT(ISNUMBER(C1550)),"Invalid date",IF(OR(C1550&lt;DATE(2000,1,1),C1550&gt;DATE(2099,12,31)),"Invalid date",IF(D1550="","Select a type",IF(U1550="","Unknown type: "&amp;D1550,IF(V1550="","Select an account (Category)",IF(ISNA(MATCH(V1550,coa_Name,0)),"Unknown account: "&amp;V1550,IF(K1550="","Select Paid From / Deposited To",IF(ISNA(MATCH(K1550,coa_Name,0)),"Unknown account: "&amp;K1550,IF(NOT(ISNUMBER(L1550)),"Enter an amount",IF(L1550=0,"Enter an amount",IF(ABS(W1550)&gt;ABS(L1550),"Tax is larger than the amount","")))))))))))))</f>
        <v/>
      </c>
      <c r="Y1550" s="67">
        <f>IF(OR(T1550=1,X1550&lt;&gt;""),"",IF(AND(B1550&lt;&gt;"",COUNTIF(tx_ID,B1550)&gt;1),"Duplicate transaction ID",IF(AND(L1550&lt;0,D1550&lt;&gt;"Adjustment"),"Negative amount — check this entry",IF(AND(D1550="Customer Payment",G1550=""),"Add the customer",IF(AND(D1550="Customer Payment",OR(J1550="",COUNTIF(ar_No,J1550&amp;"")=0)),"Invoice # in Reference not found on AR sheet",IF(AND(D1550="Bill Payment",H1550=""),"Add the vendor",IF(AND(D1550="Bill Payment",OR(J1550="",COUNTIFS(ap_No,J1550&amp;"",ap_Party,H1550&amp;"")=0)),"Bill # + vendor not found on AP sheet",IF(AND(ISNUMBER(M1550),N(M1550)&lt;&gt;0,W1550=0),"Tax ignored (tax tracking off, or not allowed for this type)",IF(V1550=K1550&amp;"","Same account on both sides",IF(AND(ISNUMBER(StartDate),C1550&lt;StartDate),"Date is before the accounting start date",IF(AND(D1550&lt;&gt;"Adjustment",IFERROR(INDEX(coa_Pay,MATCH(K1550&amp;"",coa_Name,0)),"")&lt;&gt;"Yes"),"Paid From / Deposited To is not a payment account","")))))))))))</f>
        <v/>
      </c>
      <c r="Z1550" s="67">
        <f>IF(AND(T1550=0,X1550=""),1,0)</f>
        <v/>
      </c>
      <c r="AA1550" s="68">
        <f>IF(Z1550=1,IF(U1550="In",L1550,L1550-W1550),0)</f>
        <v/>
      </c>
      <c r="AB1550" s="68">
        <f>IF(Z1550=1,IF(U1550="In",L1550-W1550,L1550),0)</f>
        <v/>
      </c>
      <c r="AC1550" s="68">
        <f>IF(AND(Z1550=1,U1550="Out"),W1550,0)</f>
        <v/>
      </c>
      <c r="AD1550" s="68">
        <f>IF(AND(Z1550=1,U1550="In"),W1550,0)</f>
        <v/>
      </c>
    </row>
    <row r="1551">
      <c r="B1551" s="62" t="inlineStr">
        <is>
          <t>TX-1545</t>
        </is>
      </c>
      <c r="C1551" s="63" t="n"/>
      <c r="D1551" s="62" t="n"/>
      <c r="E1551" s="62" t="n"/>
      <c r="F1551" s="62" t="n"/>
      <c r="G1551" s="62" t="n"/>
      <c r="H1551" s="62" t="n"/>
      <c r="I1551" s="62" t="n"/>
      <c r="J1551" s="62" t="n"/>
      <c r="K1551" s="62" t="n"/>
      <c r="L1551" s="64" t="n"/>
      <c r="M1551" s="64" t="n"/>
      <c r="N1551" s="62" t="n"/>
      <c r="O1551" s="65">
        <f>IF(Z1551=1,L1551-W1551,"")</f>
        <v/>
      </c>
      <c r="P1551" s="66">
        <f>IF(V1551="","",IFERROR(INDEX(coa_Type,MATCH(V1551,coa_Name,0)),""))</f>
        <v/>
      </c>
      <c r="Q1551" s="66">
        <f>IF(Z1551=1,IF(U1551="In",K1551&amp;"",V1551),"")</f>
        <v/>
      </c>
      <c r="R1551" s="66">
        <f>IF(Z1551=1,IF(U1551="In",V1551,K1551&amp;""),"")</f>
        <v/>
      </c>
      <c r="S1551" s="66">
        <f>IF(X1551&lt;&gt;"","⛔ "&amp;X1551&amp;" — not posted",IF(Y1551&lt;&gt;"","⚠ "&amp;Y1551,IF(Z1551=1,"✓ OK","")))</f>
        <v/>
      </c>
      <c r="T1551" s="67">
        <f>IF(AND(C1551="",D1551="",E1551="",L1551="",K1551=""),1,0)</f>
        <v/>
      </c>
      <c r="U1551" s="67">
        <f>IFERROR(INDEX(tt_Dir,MATCH(D1551,tt_Type,0)),"")</f>
        <v/>
      </c>
      <c r="V1551" s="67">
        <f>IF(D1551="","",IFERROR(IF(INDEX(tt_Other,MATCH(D1551,tt_Type,0))="",E1551&amp;"",INDEX(tt_Other,MATCH(D1551,tt_Type,0))),""))</f>
        <v/>
      </c>
      <c r="W1551" s="68">
        <f>IF(OR(TaxOn&lt;&gt;"Yes",NOT(ISNUMBER(M1551))),0,IF(IFERROR(INDEX(tt_Tax,MATCH(D1551,tt_Type,0)),"No")="Yes",M1551,0))</f>
        <v/>
      </c>
      <c r="X1551" s="67">
        <f>IF(T1551=1,"",IF(C1551="","Missing transaction date",IF(NOT(ISNUMBER(C1551)),"Invalid date",IF(OR(C1551&lt;DATE(2000,1,1),C1551&gt;DATE(2099,12,31)),"Invalid date",IF(D1551="","Select a type",IF(U1551="","Unknown type: "&amp;D1551,IF(V1551="","Select an account (Category)",IF(ISNA(MATCH(V1551,coa_Name,0)),"Unknown account: "&amp;V1551,IF(K1551="","Select Paid From / Deposited To",IF(ISNA(MATCH(K1551,coa_Name,0)),"Unknown account: "&amp;K1551,IF(NOT(ISNUMBER(L1551)),"Enter an amount",IF(L1551=0,"Enter an amount",IF(ABS(W1551)&gt;ABS(L1551),"Tax is larger than the amount","")))))))))))))</f>
        <v/>
      </c>
      <c r="Y1551" s="67">
        <f>IF(OR(T1551=1,X1551&lt;&gt;""),"",IF(AND(B1551&lt;&gt;"",COUNTIF(tx_ID,B1551)&gt;1),"Duplicate transaction ID",IF(AND(L1551&lt;0,D1551&lt;&gt;"Adjustment"),"Negative amount — check this entry",IF(AND(D1551="Customer Payment",G1551=""),"Add the customer",IF(AND(D1551="Customer Payment",OR(J1551="",COUNTIF(ar_No,J1551&amp;"")=0)),"Invoice # in Reference not found on AR sheet",IF(AND(D1551="Bill Payment",H1551=""),"Add the vendor",IF(AND(D1551="Bill Payment",OR(J1551="",COUNTIFS(ap_No,J1551&amp;"",ap_Party,H1551&amp;"")=0)),"Bill # + vendor not found on AP sheet",IF(AND(ISNUMBER(M1551),N(M1551)&lt;&gt;0,W1551=0),"Tax ignored (tax tracking off, or not allowed for this type)",IF(V1551=K1551&amp;"","Same account on both sides",IF(AND(ISNUMBER(StartDate),C1551&lt;StartDate),"Date is before the accounting start date",IF(AND(D1551&lt;&gt;"Adjustment",IFERROR(INDEX(coa_Pay,MATCH(K1551&amp;"",coa_Name,0)),"")&lt;&gt;"Yes"),"Paid From / Deposited To is not a payment account","")))))))))))</f>
        <v/>
      </c>
      <c r="Z1551" s="67">
        <f>IF(AND(T1551=0,X1551=""),1,0)</f>
        <v/>
      </c>
      <c r="AA1551" s="68">
        <f>IF(Z1551=1,IF(U1551="In",L1551,L1551-W1551),0)</f>
        <v/>
      </c>
      <c r="AB1551" s="68">
        <f>IF(Z1551=1,IF(U1551="In",L1551-W1551,L1551),0)</f>
        <v/>
      </c>
      <c r="AC1551" s="68">
        <f>IF(AND(Z1551=1,U1551="Out"),W1551,0)</f>
        <v/>
      </c>
      <c r="AD1551" s="68">
        <f>IF(AND(Z1551=1,U1551="In"),W1551,0)</f>
        <v/>
      </c>
    </row>
    <row r="1552">
      <c r="B1552" s="62" t="inlineStr">
        <is>
          <t>TX-1546</t>
        </is>
      </c>
      <c r="C1552" s="63" t="n"/>
      <c r="D1552" s="62" t="n"/>
      <c r="E1552" s="62" t="n"/>
      <c r="F1552" s="62" t="n"/>
      <c r="G1552" s="62" t="n"/>
      <c r="H1552" s="62" t="n"/>
      <c r="I1552" s="62" t="n"/>
      <c r="J1552" s="62" t="n"/>
      <c r="K1552" s="62" t="n"/>
      <c r="L1552" s="64" t="n"/>
      <c r="M1552" s="64" t="n"/>
      <c r="N1552" s="62" t="n"/>
      <c r="O1552" s="65">
        <f>IF(Z1552=1,L1552-W1552,"")</f>
        <v/>
      </c>
      <c r="P1552" s="66">
        <f>IF(V1552="","",IFERROR(INDEX(coa_Type,MATCH(V1552,coa_Name,0)),""))</f>
        <v/>
      </c>
      <c r="Q1552" s="66">
        <f>IF(Z1552=1,IF(U1552="In",K1552&amp;"",V1552),"")</f>
        <v/>
      </c>
      <c r="R1552" s="66">
        <f>IF(Z1552=1,IF(U1552="In",V1552,K1552&amp;""),"")</f>
        <v/>
      </c>
      <c r="S1552" s="66">
        <f>IF(X1552&lt;&gt;"","⛔ "&amp;X1552&amp;" — not posted",IF(Y1552&lt;&gt;"","⚠ "&amp;Y1552,IF(Z1552=1,"✓ OK","")))</f>
        <v/>
      </c>
      <c r="T1552" s="67">
        <f>IF(AND(C1552="",D1552="",E1552="",L1552="",K1552=""),1,0)</f>
        <v/>
      </c>
      <c r="U1552" s="67">
        <f>IFERROR(INDEX(tt_Dir,MATCH(D1552,tt_Type,0)),"")</f>
        <v/>
      </c>
      <c r="V1552" s="67">
        <f>IF(D1552="","",IFERROR(IF(INDEX(tt_Other,MATCH(D1552,tt_Type,0))="",E1552&amp;"",INDEX(tt_Other,MATCH(D1552,tt_Type,0))),""))</f>
        <v/>
      </c>
      <c r="W1552" s="68">
        <f>IF(OR(TaxOn&lt;&gt;"Yes",NOT(ISNUMBER(M1552))),0,IF(IFERROR(INDEX(tt_Tax,MATCH(D1552,tt_Type,0)),"No")="Yes",M1552,0))</f>
        <v/>
      </c>
      <c r="X1552" s="67">
        <f>IF(T1552=1,"",IF(C1552="","Missing transaction date",IF(NOT(ISNUMBER(C1552)),"Invalid date",IF(OR(C1552&lt;DATE(2000,1,1),C1552&gt;DATE(2099,12,31)),"Invalid date",IF(D1552="","Select a type",IF(U1552="","Unknown type: "&amp;D1552,IF(V1552="","Select an account (Category)",IF(ISNA(MATCH(V1552,coa_Name,0)),"Unknown account: "&amp;V1552,IF(K1552="","Select Paid From / Deposited To",IF(ISNA(MATCH(K1552,coa_Name,0)),"Unknown account: "&amp;K1552,IF(NOT(ISNUMBER(L1552)),"Enter an amount",IF(L1552=0,"Enter an amount",IF(ABS(W1552)&gt;ABS(L1552),"Tax is larger than the amount","")))))))))))))</f>
        <v/>
      </c>
      <c r="Y1552" s="67">
        <f>IF(OR(T1552=1,X1552&lt;&gt;""),"",IF(AND(B1552&lt;&gt;"",COUNTIF(tx_ID,B1552)&gt;1),"Duplicate transaction ID",IF(AND(L1552&lt;0,D1552&lt;&gt;"Adjustment"),"Negative amount — check this entry",IF(AND(D1552="Customer Payment",G1552=""),"Add the customer",IF(AND(D1552="Customer Payment",OR(J1552="",COUNTIF(ar_No,J1552&amp;"")=0)),"Invoice # in Reference not found on AR sheet",IF(AND(D1552="Bill Payment",H1552=""),"Add the vendor",IF(AND(D1552="Bill Payment",OR(J1552="",COUNTIFS(ap_No,J1552&amp;"",ap_Party,H1552&amp;"")=0)),"Bill # + vendor not found on AP sheet",IF(AND(ISNUMBER(M1552),N(M1552)&lt;&gt;0,W1552=0),"Tax ignored (tax tracking off, or not allowed for this type)",IF(V1552=K1552&amp;"","Same account on both sides",IF(AND(ISNUMBER(StartDate),C1552&lt;StartDate),"Date is before the accounting start date",IF(AND(D1552&lt;&gt;"Adjustment",IFERROR(INDEX(coa_Pay,MATCH(K1552&amp;"",coa_Name,0)),"")&lt;&gt;"Yes"),"Paid From / Deposited To is not a payment account","")))))))))))</f>
        <v/>
      </c>
      <c r="Z1552" s="67">
        <f>IF(AND(T1552=0,X1552=""),1,0)</f>
        <v/>
      </c>
      <c r="AA1552" s="68">
        <f>IF(Z1552=1,IF(U1552="In",L1552,L1552-W1552),0)</f>
        <v/>
      </c>
      <c r="AB1552" s="68">
        <f>IF(Z1552=1,IF(U1552="In",L1552-W1552,L1552),0)</f>
        <v/>
      </c>
      <c r="AC1552" s="68">
        <f>IF(AND(Z1552=1,U1552="Out"),W1552,0)</f>
        <v/>
      </c>
      <c r="AD1552" s="68">
        <f>IF(AND(Z1552=1,U1552="In"),W1552,0)</f>
        <v/>
      </c>
    </row>
    <row r="1553">
      <c r="B1553" s="62" t="inlineStr">
        <is>
          <t>TX-1547</t>
        </is>
      </c>
      <c r="C1553" s="63" t="n"/>
      <c r="D1553" s="62" t="n"/>
      <c r="E1553" s="62" t="n"/>
      <c r="F1553" s="62" t="n"/>
      <c r="G1553" s="62" t="n"/>
      <c r="H1553" s="62" t="n"/>
      <c r="I1553" s="62" t="n"/>
      <c r="J1553" s="62" t="n"/>
      <c r="K1553" s="62" t="n"/>
      <c r="L1553" s="64" t="n"/>
      <c r="M1553" s="64" t="n"/>
      <c r="N1553" s="62" t="n"/>
      <c r="O1553" s="65">
        <f>IF(Z1553=1,L1553-W1553,"")</f>
        <v/>
      </c>
      <c r="P1553" s="66">
        <f>IF(V1553="","",IFERROR(INDEX(coa_Type,MATCH(V1553,coa_Name,0)),""))</f>
        <v/>
      </c>
      <c r="Q1553" s="66">
        <f>IF(Z1553=1,IF(U1553="In",K1553&amp;"",V1553),"")</f>
        <v/>
      </c>
      <c r="R1553" s="66">
        <f>IF(Z1553=1,IF(U1553="In",V1553,K1553&amp;""),"")</f>
        <v/>
      </c>
      <c r="S1553" s="66">
        <f>IF(X1553&lt;&gt;"","⛔ "&amp;X1553&amp;" — not posted",IF(Y1553&lt;&gt;"","⚠ "&amp;Y1553,IF(Z1553=1,"✓ OK","")))</f>
        <v/>
      </c>
      <c r="T1553" s="67">
        <f>IF(AND(C1553="",D1553="",E1553="",L1553="",K1553=""),1,0)</f>
        <v/>
      </c>
      <c r="U1553" s="67">
        <f>IFERROR(INDEX(tt_Dir,MATCH(D1553,tt_Type,0)),"")</f>
        <v/>
      </c>
      <c r="V1553" s="67">
        <f>IF(D1553="","",IFERROR(IF(INDEX(tt_Other,MATCH(D1553,tt_Type,0))="",E1553&amp;"",INDEX(tt_Other,MATCH(D1553,tt_Type,0))),""))</f>
        <v/>
      </c>
      <c r="W1553" s="68">
        <f>IF(OR(TaxOn&lt;&gt;"Yes",NOT(ISNUMBER(M1553))),0,IF(IFERROR(INDEX(tt_Tax,MATCH(D1553,tt_Type,0)),"No")="Yes",M1553,0))</f>
        <v/>
      </c>
      <c r="X1553" s="67">
        <f>IF(T1553=1,"",IF(C1553="","Missing transaction date",IF(NOT(ISNUMBER(C1553)),"Invalid date",IF(OR(C1553&lt;DATE(2000,1,1),C1553&gt;DATE(2099,12,31)),"Invalid date",IF(D1553="","Select a type",IF(U1553="","Unknown type: "&amp;D1553,IF(V1553="","Select an account (Category)",IF(ISNA(MATCH(V1553,coa_Name,0)),"Unknown account: "&amp;V1553,IF(K1553="","Select Paid From / Deposited To",IF(ISNA(MATCH(K1553,coa_Name,0)),"Unknown account: "&amp;K1553,IF(NOT(ISNUMBER(L1553)),"Enter an amount",IF(L1553=0,"Enter an amount",IF(ABS(W1553)&gt;ABS(L1553),"Tax is larger than the amount","")))))))))))))</f>
        <v/>
      </c>
      <c r="Y1553" s="67">
        <f>IF(OR(T1553=1,X1553&lt;&gt;""),"",IF(AND(B1553&lt;&gt;"",COUNTIF(tx_ID,B1553)&gt;1),"Duplicate transaction ID",IF(AND(L1553&lt;0,D1553&lt;&gt;"Adjustment"),"Negative amount — check this entry",IF(AND(D1553="Customer Payment",G1553=""),"Add the customer",IF(AND(D1553="Customer Payment",OR(J1553="",COUNTIF(ar_No,J1553&amp;"")=0)),"Invoice # in Reference not found on AR sheet",IF(AND(D1553="Bill Payment",H1553=""),"Add the vendor",IF(AND(D1553="Bill Payment",OR(J1553="",COUNTIFS(ap_No,J1553&amp;"",ap_Party,H1553&amp;"")=0)),"Bill # + vendor not found on AP sheet",IF(AND(ISNUMBER(M1553),N(M1553)&lt;&gt;0,W1553=0),"Tax ignored (tax tracking off, or not allowed for this type)",IF(V1553=K1553&amp;"","Same account on both sides",IF(AND(ISNUMBER(StartDate),C1553&lt;StartDate),"Date is before the accounting start date",IF(AND(D1553&lt;&gt;"Adjustment",IFERROR(INDEX(coa_Pay,MATCH(K1553&amp;"",coa_Name,0)),"")&lt;&gt;"Yes"),"Paid From / Deposited To is not a payment account","")))))))))))</f>
        <v/>
      </c>
      <c r="Z1553" s="67">
        <f>IF(AND(T1553=0,X1553=""),1,0)</f>
        <v/>
      </c>
      <c r="AA1553" s="68">
        <f>IF(Z1553=1,IF(U1553="In",L1553,L1553-W1553),0)</f>
        <v/>
      </c>
      <c r="AB1553" s="68">
        <f>IF(Z1553=1,IF(U1553="In",L1553-W1553,L1553),0)</f>
        <v/>
      </c>
      <c r="AC1553" s="68">
        <f>IF(AND(Z1553=1,U1553="Out"),W1553,0)</f>
        <v/>
      </c>
      <c r="AD1553" s="68">
        <f>IF(AND(Z1553=1,U1553="In"),W1553,0)</f>
        <v/>
      </c>
    </row>
    <row r="1554">
      <c r="B1554" s="62" t="inlineStr">
        <is>
          <t>TX-1548</t>
        </is>
      </c>
      <c r="C1554" s="63" t="n"/>
      <c r="D1554" s="62" t="n"/>
      <c r="E1554" s="62" t="n"/>
      <c r="F1554" s="62" t="n"/>
      <c r="G1554" s="62" t="n"/>
      <c r="H1554" s="62" t="n"/>
      <c r="I1554" s="62" t="n"/>
      <c r="J1554" s="62" t="n"/>
      <c r="K1554" s="62" t="n"/>
      <c r="L1554" s="64" t="n"/>
      <c r="M1554" s="64" t="n"/>
      <c r="N1554" s="62" t="n"/>
      <c r="O1554" s="65">
        <f>IF(Z1554=1,L1554-W1554,"")</f>
        <v/>
      </c>
      <c r="P1554" s="66">
        <f>IF(V1554="","",IFERROR(INDEX(coa_Type,MATCH(V1554,coa_Name,0)),""))</f>
        <v/>
      </c>
      <c r="Q1554" s="66">
        <f>IF(Z1554=1,IF(U1554="In",K1554&amp;"",V1554),"")</f>
        <v/>
      </c>
      <c r="R1554" s="66">
        <f>IF(Z1554=1,IF(U1554="In",V1554,K1554&amp;""),"")</f>
        <v/>
      </c>
      <c r="S1554" s="66">
        <f>IF(X1554&lt;&gt;"","⛔ "&amp;X1554&amp;" — not posted",IF(Y1554&lt;&gt;"","⚠ "&amp;Y1554,IF(Z1554=1,"✓ OK","")))</f>
        <v/>
      </c>
      <c r="T1554" s="67">
        <f>IF(AND(C1554="",D1554="",E1554="",L1554="",K1554=""),1,0)</f>
        <v/>
      </c>
      <c r="U1554" s="67">
        <f>IFERROR(INDEX(tt_Dir,MATCH(D1554,tt_Type,0)),"")</f>
        <v/>
      </c>
      <c r="V1554" s="67">
        <f>IF(D1554="","",IFERROR(IF(INDEX(tt_Other,MATCH(D1554,tt_Type,0))="",E1554&amp;"",INDEX(tt_Other,MATCH(D1554,tt_Type,0))),""))</f>
        <v/>
      </c>
      <c r="W1554" s="68">
        <f>IF(OR(TaxOn&lt;&gt;"Yes",NOT(ISNUMBER(M1554))),0,IF(IFERROR(INDEX(tt_Tax,MATCH(D1554,tt_Type,0)),"No")="Yes",M1554,0))</f>
        <v/>
      </c>
      <c r="X1554" s="67">
        <f>IF(T1554=1,"",IF(C1554="","Missing transaction date",IF(NOT(ISNUMBER(C1554)),"Invalid date",IF(OR(C1554&lt;DATE(2000,1,1),C1554&gt;DATE(2099,12,31)),"Invalid date",IF(D1554="","Select a type",IF(U1554="","Unknown type: "&amp;D1554,IF(V1554="","Select an account (Category)",IF(ISNA(MATCH(V1554,coa_Name,0)),"Unknown account: "&amp;V1554,IF(K1554="","Select Paid From / Deposited To",IF(ISNA(MATCH(K1554,coa_Name,0)),"Unknown account: "&amp;K1554,IF(NOT(ISNUMBER(L1554)),"Enter an amount",IF(L1554=0,"Enter an amount",IF(ABS(W1554)&gt;ABS(L1554),"Tax is larger than the amount","")))))))))))))</f>
        <v/>
      </c>
      <c r="Y1554" s="67">
        <f>IF(OR(T1554=1,X1554&lt;&gt;""),"",IF(AND(B1554&lt;&gt;"",COUNTIF(tx_ID,B1554)&gt;1),"Duplicate transaction ID",IF(AND(L1554&lt;0,D1554&lt;&gt;"Adjustment"),"Negative amount — check this entry",IF(AND(D1554="Customer Payment",G1554=""),"Add the customer",IF(AND(D1554="Customer Payment",OR(J1554="",COUNTIF(ar_No,J1554&amp;"")=0)),"Invoice # in Reference not found on AR sheet",IF(AND(D1554="Bill Payment",H1554=""),"Add the vendor",IF(AND(D1554="Bill Payment",OR(J1554="",COUNTIFS(ap_No,J1554&amp;"",ap_Party,H1554&amp;"")=0)),"Bill # + vendor not found on AP sheet",IF(AND(ISNUMBER(M1554),N(M1554)&lt;&gt;0,W1554=0),"Tax ignored (tax tracking off, or not allowed for this type)",IF(V1554=K1554&amp;"","Same account on both sides",IF(AND(ISNUMBER(StartDate),C1554&lt;StartDate),"Date is before the accounting start date",IF(AND(D1554&lt;&gt;"Adjustment",IFERROR(INDEX(coa_Pay,MATCH(K1554&amp;"",coa_Name,0)),"")&lt;&gt;"Yes"),"Paid From / Deposited To is not a payment account","")))))))))))</f>
        <v/>
      </c>
      <c r="Z1554" s="67">
        <f>IF(AND(T1554=0,X1554=""),1,0)</f>
        <v/>
      </c>
      <c r="AA1554" s="68">
        <f>IF(Z1554=1,IF(U1554="In",L1554,L1554-W1554),0)</f>
        <v/>
      </c>
      <c r="AB1554" s="68">
        <f>IF(Z1554=1,IF(U1554="In",L1554-W1554,L1554),0)</f>
        <v/>
      </c>
      <c r="AC1554" s="68">
        <f>IF(AND(Z1554=1,U1554="Out"),W1554,0)</f>
        <v/>
      </c>
      <c r="AD1554" s="68">
        <f>IF(AND(Z1554=1,U1554="In"),W1554,0)</f>
        <v/>
      </c>
    </row>
    <row r="1555">
      <c r="B1555" s="62" t="inlineStr">
        <is>
          <t>TX-1549</t>
        </is>
      </c>
      <c r="C1555" s="63" t="n"/>
      <c r="D1555" s="62" t="n"/>
      <c r="E1555" s="62" t="n"/>
      <c r="F1555" s="62" t="n"/>
      <c r="G1555" s="62" t="n"/>
      <c r="H1555" s="62" t="n"/>
      <c r="I1555" s="62" t="n"/>
      <c r="J1555" s="62" t="n"/>
      <c r="K1555" s="62" t="n"/>
      <c r="L1555" s="64" t="n"/>
      <c r="M1555" s="64" t="n"/>
      <c r="N1555" s="62" t="n"/>
      <c r="O1555" s="65">
        <f>IF(Z1555=1,L1555-W1555,"")</f>
        <v/>
      </c>
      <c r="P1555" s="66">
        <f>IF(V1555="","",IFERROR(INDEX(coa_Type,MATCH(V1555,coa_Name,0)),""))</f>
        <v/>
      </c>
      <c r="Q1555" s="66">
        <f>IF(Z1555=1,IF(U1555="In",K1555&amp;"",V1555),"")</f>
        <v/>
      </c>
      <c r="R1555" s="66">
        <f>IF(Z1555=1,IF(U1555="In",V1555,K1555&amp;""),"")</f>
        <v/>
      </c>
      <c r="S1555" s="66">
        <f>IF(X1555&lt;&gt;"","⛔ "&amp;X1555&amp;" — not posted",IF(Y1555&lt;&gt;"","⚠ "&amp;Y1555,IF(Z1555=1,"✓ OK","")))</f>
        <v/>
      </c>
      <c r="T1555" s="67">
        <f>IF(AND(C1555="",D1555="",E1555="",L1555="",K1555=""),1,0)</f>
        <v/>
      </c>
      <c r="U1555" s="67">
        <f>IFERROR(INDEX(tt_Dir,MATCH(D1555,tt_Type,0)),"")</f>
        <v/>
      </c>
      <c r="V1555" s="67">
        <f>IF(D1555="","",IFERROR(IF(INDEX(tt_Other,MATCH(D1555,tt_Type,0))="",E1555&amp;"",INDEX(tt_Other,MATCH(D1555,tt_Type,0))),""))</f>
        <v/>
      </c>
      <c r="W1555" s="68">
        <f>IF(OR(TaxOn&lt;&gt;"Yes",NOT(ISNUMBER(M1555))),0,IF(IFERROR(INDEX(tt_Tax,MATCH(D1555,tt_Type,0)),"No")="Yes",M1555,0))</f>
        <v/>
      </c>
      <c r="X1555" s="67">
        <f>IF(T1555=1,"",IF(C1555="","Missing transaction date",IF(NOT(ISNUMBER(C1555)),"Invalid date",IF(OR(C1555&lt;DATE(2000,1,1),C1555&gt;DATE(2099,12,31)),"Invalid date",IF(D1555="","Select a type",IF(U1555="","Unknown type: "&amp;D1555,IF(V1555="","Select an account (Category)",IF(ISNA(MATCH(V1555,coa_Name,0)),"Unknown account: "&amp;V1555,IF(K1555="","Select Paid From / Deposited To",IF(ISNA(MATCH(K1555,coa_Name,0)),"Unknown account: "&amp;K1555,IF(NOT(ISNUMBER(L1555)),"Enter an amount",IF(L1555=0,"Enter an amount",IF(ABS(W1555)&gt;ABS(L1555),"Tax is larger than the amount","")))))))))))))</f>
        <v/>
      </c>
      <c r="Y1555" s="67">
        <f>IF(OR(T1555=1,X1555&lt;&gt;""),"",IF(AND(B1555&lt;&gt;"",COUNTIF(tx_ID,B1555)&gt;1),"Duplicate transaction ID",IF(AND(L1555&lt;0,D1555&lt;&gt;"Adjustment"),"Negative amount — check this entry",IF(AND(D1555="Customer Payment",G1555=""),"Add the customer",IF(AND(D1555="Customer Payment",OR(J1555="",COUNTIF(ar_No,J1555&amp;"")=0)),"Invoice # in Reference not found on AR sheet",IF(AND(D1555="Bill Payment",H1555=""),"Add the vendor",IF(AND(D1555="Bill Payment",OR(J1555="",COUNTIFS(ap_No,J1555&amp;"",ap_Party,H1555&amp;"")=0)),"Bill # + vendor not found on AP sheet",IF(AND(ISNUMBER(M1555),N(M1555)&lt;&gt;0,W1555=0),"Tax ignored (tax tracking off, or not allowed for this type)",IF(V1555=K1555&amp;"","Same account on both sides",IF(AND(ISNUMBER(StartDate),C1555&lt;StartDate),"Date is before the accounting start date",IF(AND(D1555&lt;&gt;"Adjustment",IFERROR(INDEX(coa_Pay,MATCH(K1555&amp;"",coa_Name,0)),"")&lt;&gt;"Yes"),"Paid From / Deposited To is not a payment account","")))))))))))</f>
        <v/>
      </c>
      <c r="Z1555" s="67">
        <f>IF(AND(T1555=0,X1555=""),1,0)</f>
        <v/>
      </c>
      <c r="AA1555" s="68">
        <f>IF(Z1555=1,IF(U1555="In",L1555,L1555-W1555),0)</f>
        <v/>
      </c>
      <c r="AB1555" s="68">
        <f>IF(Z1555=1,IF(U1555="In",L1555-W1555,L1555),0)</f>
        <v/>
      </c>
      <c r="AC1555" s="68">
        <f>IF(AND(Z1555=1,U1555="Out"),W1555,0)</f>
        <v/>
      </c>
      <c r="AD1555" s="68">
        <f>IF(AND(Z1555=1,U1555="In"),W1555,0)</f>
        <v/>
      </c>
    </row>
    <row r="1556">
      <c r="B1556" s="62" t="inlineStr">
        <is>
          <t>TX-1550</t>
        </is>
      </c>
      <c r="C1556" s="63" t="n"/>
      <c r="D1556" s="62" t="n"/>
      <c r="E1556" s="62" t="n"/>
      <c r="F1556" s="62" t="n"/>
      <c r="G1556" s="62" t="n"/>
      <c r="H1556" s="62" t="n"/>
      <c r="I1556" s="62" t="n"/>
      <c r="J1556" s="62" t="n"/>
      <c r="K1556" s="62" t="n"/>
      <c r="L1556" s="64" t="n"/>
      <c r="M1556" s="64" t="n"/>
      <c r="N1556" s="62" t="n"/>
      <c r="O1556" s="65">
        <f>IF(Z1556=1,L1556-W1556,"")</f>
        <v/>
      </c>
      <c r="P1556" s="66">
        <f>IF(V1556="","",IFERROR(INDEX(coa_Type,MATCH(V1556,coa_Name,0)),""))</f>
        <v/>
      </c>
      <c r="Q1556" s="66">
        <f>IF(Z1556=1,IF(U1556="In",K1556&amp;"",V1556),"")</f>
        <v/>
      </c>
      <c r="R1556" s="66">
        <f>IF(Z1556=1,IF(U1556="In",V1556,K1556&amp;""),"")</f>
        <v/>
      </c>
      <c r="S1556" s="66">
        <f>IF(X1556&lt;&gt;"","⛔ "&amp;X1556&amp;" — not posted",IF(Y1556&lt;&gt;"","⚠ "&amp;Y1556,IF(Z1556=1,"✓ OK","")))</f>
        <v/>
      </c>
      <c r="T1556" s="67">
        <f>IF(AND(C1556="",D1556="",E1556="",L1556="",K1556=""),1,0)</f>
        <v/>
      </c>
      <c r="U1556" s="67">
        <f>IFERROR(INDEX(tt_Dir,MATCH(D1556,tt_Type,0)),"")</f>
        <v/>
      </c>
      <c r="V1556" s="67">
        <f>IF(D1556="","",IFERROR(IF(INDEX(tt_Other,MATCH(D1556,tt_Type,0))="",E1556&amp;"",INDEX(tt_Other,MATCH(D1556,tt_Type,0))),""))</f>
        <v/>
      </c>
      <c r="W1556" s="68">
        <f>IF(OR(TaxOn&lt;&gt;"Yes",NOT(ISNUMBER(M1556))),0,IF(IFERROR(INDEX(tt_Tax,MATCH(D1556,tt_Type,0)),"No")="Yes",M1556,0))</f>
        <v/>
      </c>
      <c r="X1556" s="67">
        <f>IF(T1556=1,"",IF(C1556="","Missing transaction date",IF(NOT(ISNUMBER(C1556)),"Invalid date",IF(OR(C1556&lt;DATE(2000,1,1),C1556&gt;DATE(2099,12,31)),"Invalid date",IF(D1556="","Select a type",IF(U1556="","Unknown type: "&amp;D1556,IF(V1556="","Select an account (Category)",IF(ISNA(MATCH(V1556,coa_Name,0)),"Unknown account: "&amp;V1556,IF(K1556="","Select Paid From / Deposited To",IF(ISNA(MATCH(K1556,coa_Name,0)),"Unknown account: "&amp;K1556,IF(NOT(ISNUMBER(L1556)),"Enter an amount",IF(L1556=0,"Enter an amount",IF(ABS(W1556)&gt;ABS(L1556),"Tax is larger than the amount","")))))))))))))</f>
        <v/>
      </c>
      <c r="Y1556" s="67">
        <f>IF(OR(T1556=1,X1556&lt;&gt;""),"",IF(AND(B1556&lt;&gt;"",COUNTIF(tx_ID,B1556)&gt;1),"Duplicate transaction ID",IF(AND(L1556&lt;0,D1556&lt;&gt;"Adjustment"),"Negative amount — check this entry",IF(AND(D1556="Customer Payment",G1556=""),"Add the customer",IF(AND(D1556="Customer Payment",OR(J1556="",COUNTIF(ar_No,J1556&amp;"")=0)),"Invoice # in Reference not found on AR sheet",IF(AND(D1556="Bill Payment",H1556=""),"Add the vendor",IF(AND(D1556="Bill Payment",OR(J1556="",COUNTIFS(ap_No,J1556&amp;"",ap_Party,H1556&amp;"")=0)),"Bill # + vendor not found on AP sheet",IF(AND(ISNUMBER(M1556),N(M1556)&lt;&gt;0,W1556=0),"Tax ignored (tax tracking off, or not allowed for this type)",IF(V1556=K1556&amp;"","Same account on both sides",IF(AND(ISNUMBER(StartDate),C1556&lt;StartDate),"Date is before the accounting start date",IF(AND(D1556&lt;&gt;"Adjustment",IFERROR(INDEX(coa_Pay,MATCH(K1556&amp;"",coa_Name,0)),"")&lt;&gt;"Yes"),"Paid From / Deposited To is not a payment account","")))))))))))</f>
        <v/>
      </c>
      <c r="Z1556" s="67">
        <f>IF(AND(T1556=0,X1556=""),1,0)</f>
        <v/>
      </c>
      <c r="AA1556" s="68">
        <f>IF(Z1556=1,IF(U1556="In",L1556,L1556-W1556),0)</f>
        <v/>
      </c>
      <c r="AB1556" s="68">
        <f>IF(Z1556=1,IF(U1556="In",L1556-W1556,L1556),0)</f>
        <v/>
      </c>
      <c r="AC1556" s="68">
        <f>IF(AND(Z1556=1,U1556="Out"),W1556,0)</f>
        <v/>
      </c>
      <c r="AD1556" s="68">
        <f>IF(AND(Z1556=1,U1556="In"),W1556,0)</f>
        <v/>
      </c>
    </row>
    <row r="1557">
      <c r="B1557" s="62" t="inlineStr">
        <is>
          <t>TX-1551</t>
        </is>
      </c>
      <c r="C1557" s="63" t="n"/>
      <c r="D1557" s="62" t="n"/>
      <c r="E1557" s="62" t="n"/>
      <c r="F1557" s="62" t="n"/>
      <c r="G1557" s="62" t="n"/>
      <c r="H1557" s="62" t="n"/>
      <c r="I1557" s="62" t="n"/>
      <c r="J1557" s="62" t="n"/>
      <c r="K1557" s="62" t="n"/>
      <c r="L1557" s="64" t="n"/>
      <c r="M1557" s="64" t="n"/>
      <c r="N1557" s="62" t="n"/>
      <c r="O1557" s="65">
        <f>IF(Z1557=1,L1557-W1557,"")</f>
        <v/>
      </c>
      <c r="P1557" s="66">
        <f>IF(V1557="","",IFERROR(INDEX(coa_Type,MATCH(V1557,coa_Name,0)),""))</f>
        <v/>
      </c>
      <c r="Q1557" s="66">
        <f>IF(Z1557=1,IF(U1557="In",K1557&amp;"",V1557),"")</f>
        <v/>
      </c>
      <c r="R1557" s="66">
        <f>IF(Z1557=1,IF(U1557="In",V1557,K1557&amp;""),"")</f>
        <v/>
      </c>
      <c r="S1557" s="66">
        <f>IF(X1557&lt;&gt;"","⛔ "&amp;X1557&amp;" — not posted",IF(Y1557&lt;&gt;"","⚠ "&amp;Y1557,IF(Z1557=1,"✓ OK","")))</f>
        <v/>
      </c>
      <c r="T1557" s="67">
        <f>IF(AND(C1557="",D1557="",E1557="",L1557="",K1557=""),1,0)</f>
        <v/>
      </c>
      <c r="U1557" s="67">
        <f>IFERROR(INDEX(tt_Dir,MATCH(D1557,tt_Type,0)),"")</f>
        <v/>
      </c>
      <c r="V1557" s="67">
        <f>IF(D1557="","",IFERROR(IF(INDEX(tt_Other,MATCH(D1557,tt_Type,0))="",E1557&amp;"",INDEX(tt_Other,MATCH(D1557,tt_Type,0))),""))</f>
        <v/>
      </c>
      <c r="W1557" s="68">
        <f>IF(OR(TaxOn&lt;&gt;"Yes",NOT(ISNUMBER(M1557))),0,IF(IFERROR(INDEX(tt_Tax,MATCH(D1557,tt_Type,0)),"No")="Yes",M1557,0))</f>
        <v/>
      </c>
      <c r="X1557" s="67">
        <f>IF(T1557=1,"",IF(C1557="","Missing transaction date",IF(NOT(ISNUMBER(C1557)),"Invalid date",IF(OR(C1557&lt;DATE(2000,1,1),C1557&gt;DATE(2099,12,31)),"Invalid date",IF(D1557="","Select a type",IF(U1557="","Unknown type: "&amp;D1557,IF(V1557="","Select an account (Category)",IF(ISNA(MATCH(V1557,coa_Name,0)),"Unknown account: "&amp;V1557,IF(K1557="","Select Paid From / Deposited To",IF(ISNA(MATCH(K1557,coa_Name,0)),"Unknown account: "&amp;K1557,IF(NOT(ISNUMBER(L1557)),"Enter an amount",IF(L1557=0,"Enter an amount",IF(ABS(W1557)&gt;ABS(L1557),"Tax is larger than the amount","")))))))))))))</f>
        <v/>
      </c>
      <c r="Y1557" s="67">
        <f>IF(OR(T1557=1,X1557&lt;&gt;""),"",IF(AND(B1557&lt;&gt;"",COUNTIF(tx_ID,B1557)&gt;1),"Duplicate transaction ID",IF(AND(L1557&lt;0,D1557&lt;&gt;"Adjustment"),"Negative amount — check this entry",IF(AND(D1557="Customer Payment",G1557=""),"Add the customer",IF(AND(D1557="Customer Payment",OR(J1557="",COUNTIF(ar_No,J1557&amp;"")=0)),"Invoice # in Reference not found on AR sheet",IF(AND(D1557="Bill Payment",H1557=""),"Add the vendor",IF(AND(D1557="Bill Payment",OR(J1557="",COUNTIFS(ap_No,J1557&amp;"",ap_Party,H1557&amp;"")=0)),"Bill # + vendor not found on AP sheet",IF(AND(ISNUMBER(M1557),N(M1557)&lt;&gt;0,W1557=0),"Tax ignored (tax tracking off, or not allowed for this type)",IF(V1557=K1557&amp;"","Same account on both sides",IF(AND(ISNUMBER(StartDate),C1557&lt;StartDate),"Date is before the accounting start date",IF(AND(D1557&lt;&gt;"Adjustment",IFERROR(INDEX(coa_Pay,MATCH(K1557&amp;"",coa_Name,0)),"")&lt;&gt;"Yes"),"Paid From / Deposited To is not a payment account","")))))))))))</f>
        <v/>
      </c>
      <c r="Z1557" s="67">
        <f>IF(AND(T1557=0,X1557=""),1,0)</f>
        <v/>
      </c>
      <c r="AA1557" s="68">
        <f>IF(Z1557=1,IF(U1557="In",L1557,L1557-W1557),0)</f>
        <v/>
      </c>
      <c r="AB1557" s="68">
        <f>IF(Z1557=1,IF(U1557="In",L1557-W1557,L1557),0)</f>
        <v/>
      </c>
      <c r="AC1557" s="68">
        <f>IF(AND(Z1557=1,U1557="Out"),W1557,0)</f>
        <v/>
      </c>
      <c r="AD1557" s="68">
        <f>IF(AND(Z1557=1,U1557="In"),W1557,0)</f>
        <v/>
      </c>
    </row>
    <row r="1558">
      <c r="B1558" s="62" t="inlineStr">
        <is>
          <t>TX-1552</t>
        </is>
      </c>
      <c r="C1558" s="63" t="n"/>
      <c r="D1558" s="62" t="n"/>
      <c r="E1558" s="62" t="n"/>
      <c r="F1558" s="62" t="n"/>
      <c r="G1558" s="62" t="n"/>
      <c r="H1558" s="62" t="n"/>
      <c r="I1558" s="62" t="n"/>
      <c r="J1558" s="62" t="n"/>
      <c r="K1558" s="62" t="n"/>
      <c r="L1558" s="64" t="n"/>
      <c r="M1558" s="64" t="n"/>
      <c r="N1558" s="62" t="n"/>
      <c r="O1558" s="65">
        <f>IF(Z1558=1,L1558-W1558,"")</f>
        <v/>
      </c>
      <c r="P1558" s="66">
        <f>IF(V1558="","",IFERROR(INDEX(coa_Type,MATCH(V1558,coa_Name,0)),""))</f>
        <v/>
      </c>
      <c r="Q1558" s="66">
        <f>IF(Z1558=1,IF(U1558="In",K1558&amp;"",V1558),"")</f>
        <v/>
      </c>
      <c r="R1558" s="66">
        <f>IF(Z1558=1,IF(U1558="In",V1558,K1558&amp;""),"")</f>
        <v/>
      </c>
      <c r="S1558" s="66">
        <f>IF(X1558&lt;&gt;"","⛔ "&amp;X1558&amp;" — not posted",IF(Y1558&lt;&gt;"","⚠ "&amp;Y1558,IF(Z1558=1,"✓ OK","")))</f>
        <v/>
      </c>
      <c r="T1558" s="67">
        <f>IF(AND(C1558="",D1558="",E1558="",L1558="",K1558=""),1,0)</f>
        <v/>
      </c>
      <c r="U1558" s="67">
        <f>IFERROR(INDEX(tt_Dir,MATCH(D1558,tt_Type,0)),"")</f>
        <v/>
      </c>
      <c r="V1558" s="67">
        <f>IF(D1558="","",IFERROR(IF(INDEX(tt_Other,MATCH(D1558,tt_Type,0))="",E1558&amp;"",INDEX(tt_Other,MATCH(D1558,tt_Type,0))),""))</f>
        <v/>
      </c>
      <c r="W1558" s="68">
        <f>IF(OR(TaxOn&lt;&gt;"Yes",NOT(ISNUMBER(M1558))),0,IF(IFERROR(INDEX(tt_Tax,MATCH(D1558,tt_Type,0)),"No")="Yes",M1558,0))</f>
        <v/>
      </c>
      <c r="X1558" s="67">
        <f>IF(T1558=1,"",IF(C1558="","Missing transaction date",IF(NOT(ISNUMBER(C1558)),"Invalid date",IF(OR(C1558&lt;DATE(2000,1,1),C1558&gt;DATE(2099,12,31)),"Invalid date",IF(D1558="","Select a type",IF(U1558="","Unknown type: "&amp;D1558,IF(V1558="","Select an account (Category)",IF(ISNA(MATCH(V1558,coa_Name,0)),"Unknown account: "&amp;V1558,IF(K1558="","Select Paid From / Deposited To",IF(ISNA(MATCH(K1558,coa_Name,0)),"Unknown account: "&amp;K1558,IF(NOT(ISNUMBER(L1558)),"Enter an amount",IF(L1558=0,"Enter an amount",IF(ABS(W1558)&gt;ABS(L1558),"Tax is larger than the amount","")))))))))))))</f>
        <v/>
      </c>
      <c r="Y1558" s="67">
        <f>IF(OR(T1558=1,X1558&lt;&gt;""),"",IF(AND(B1558&lt;&gt;"",COUNTIF(tx_ID,B1558)&gt;1),"Duplicate transaction ID",IF(AND(L1558&lt;0,D1558&lt;&gt;"Adjustment"),"Negative amount — check this entry",IF(AND(D1558="Customer Payment",G1558=""),"Add the customer",IF(AND(D1558="Customer Payment",OR(J1558="",COUNTIF(ar_No,J1558&amp;"")=0)),"Invoice # in Reference not found on AR sheet",IF(AND(D1558="Bill Payment",H1558=""),"Add the vendor",IF(AND(D1558="Bill Payment",OR(J1558="",COUNTIFS(ap_No,J1558&amp;"",ap_Party,H1558&amp;"")=0)),"Bill # + vendor not found on AP sheet",IF(AND(ISNUMBER(M1558),N(M1558)&lt;&gt;0,W1558=0),"Tax ignored (tax tracking off, or not allowed for this type)",IF(V1558=K1558&amp;"","Same account on both sides",IF(AND(ISNUMBER(StartDate),C1558&lt;StartDate),"Date is before the accounting start date",IF(AND(D1558&lt;&gt;"Adjustment",IFERROR(INDEX(coa_Pay,MATCH(K1558&amp;"",coa_Name,0)),"")&lt;&gt;"Yes"),"Paid From / Deposited To is not a payment account","")))))))))))</f>
        <v/>
      </c>
      <c r="Z1558" s="67">
        <f>IF(AND(T1558=0,X1558=""),1,0)</f>
        <v/>
      </c>
      <c r="AA1558" s="68">
        <f>IF(Z1558=1,IF(U1558="In",L1558,L1558-W1558),0)</f>
        <v/>
      </c>
      <c r="AB1558" s="68">
        <f>IF(Z1558=1,IF(U1558="In",L1558-W1558,L1558),0)</f>
        <v/>
      </c>
      <c r="AC1558" s="68">
        <f>IF(AND(Z1558=1,U1558="Out"),W1558,0)</f>
        <v/>
      </c>
      <c r="AD1558" s="68">
        <f>IF(AND(Z1558=1,U1558="In"),W1558,0)</f>
        <v/>
      </c>
    </row>
    <row r="1559">
      <c r="B1559" s="62" t="inlineStr">
        <is>
          <t>TX-1553</t>
        </is>
      </c>
      <c r="C1559" s="63" t="n"/>
      <c r="D1559" s="62" t="n"/>
      <c r="E1559" s="62" t="n"/>
      <c r="F1559" s="62" t="n"/>
      <c r="G1559" s="62" t="n"/>
      <c r="H1559" s="62" t="n"/>
      <c r="I1559" s="62" t="n"/>
      <c r="J1559" s="62" t="n"/>
      <c r="K1559" s="62" t="n"/>
      <c r="L1559" s="64" t="n"/>
      <c r="M1559" s="64" t="n"/>
      <c r="N1559" s="62" t="n"/>
      <c r="O1559" s="65">
        <f>IF(Z1559=1,L1559-W1559,"")</f>
        <v/>
      </c>
      <c r="P1559" s="66">
        <f>IF(V1559="","",IFERROR(INDEX(coa_Type,MATCH(V1559,coa_Name,0)),""))</f>
        <v/>
      </c>
      <c r="Q1559" s="66">
        <f>IF(Z1559=1,IF(U1559="In",K1559&amp;"",V1559),"")</f>
        <v/>
      </c>
      <c r="R1559" s="66">
        <f>IF(Z1559=1,IF(U1559="In",V1559,K1559&amp;""),"")</f>
        <v/>
      </c>
      <c r="S1559" s="66">
        <f>IF(X1559&lt;&gt;"","⛔ "&amp;X1559&amp;" — not posted",IF(Y1559&lt;&gt;"","⚠ "&amp;Y1559,IF(Z1559=1,"✓ OK","")))</f>
        <v/>
      </c>
      <c r="T1559" s="67">
        <f>IF(AND(C1559="",D1559="",E1559="",L1559="",K1559=""),1,0)</f>
        <v/>
      </c>
      <c r="U1559" s="67">
        <f>IFERROR(INDEX(tt_Dir,MATCH(D1559,tt_Type,0)),"")</f>
        <v/>
      </c>
      <c r="V1559" s="67">
        <f>IF(D1559="","",IFERROR(IF(INDEX(tt_Other,MATCH(D1559,tt_Type,0))="",E1559&amp;"",INDEX(tt_Other,MATCH(D1559,tt_Type,0))),""))</f>
        <v/>
      </c>
      <c r="W1559" s="68">
        <f>IF(OR(TaxOn&lt;&gt;"Yes",NOT(ISNUMBER(M1559))),0,IF(IFERROR(INDEX(tt_Tax,MATCH(D1559,tt_Type,0)),"No")="Yes",M1559,0))</f>
        <v/>
      </c>
      <c r="X1559" s="67">
        <f>IF(T1559=1,"",IF(C1559="","Missing transaction date",IF(NOT(ISNUMBER(C1559)),"Invalid date",IF(OR(C1559&lt;DATE(2000,1,1),C1559&gt;DATE(2099,12,31)),"Invalid date",IF(D1559="","Select a type",IF(U1559="","Unknown type: "&amp;D1559,IF(V1559="","Select an account (Category)",IF(ISNA(MATCH(V1559,coa_Name,0)),"Unknown account: "&amp;V1559,IF(K1559="","Select Paid From / Deposited To",IF(ISNA(MATCH(K1559,coa_Name,0)),"Unknown account: "&amp;K1559,IF(NOT(ISNUMBER(L1559)),"Enter an amount",IF(L1559=0,"Enter an amount",IF(ABS(W1559)&gt;ABS(L1559),"Tax is larger than the amount","")))))))))))))</f>
        <v/>
      </c>
      <c r="Y1559" s="67">
        <f>IF(OR(T1559=1,X1559&lt;&gt;""),"",IF(AND(B1559&lt;&gt;"",COUNTIF(tx_ID,B1559)&gt;1),"Duplicate transaction ID",IF(AND(L1559&lt;0,D1559&lt;&gt;"Adjustment"),"Negative amount — check this entry",IF(AND(D1559="Customer Payment",G1559=""),"Add the customer",IF(AND(D1559="Customer Payment",OR(J1559="",COUNTIF(ar_No,J1559&amp;"")=0)),"Invoice # in Reference not found on AR sheet",IF(AND(D1559="Bill Payment",H1559=""),"Add the vendor",IF(AND(D1559="Bill Payment",OR(J1559="",COUNTIFS(ap_No,J1559&amp;"",ap_Party,H1559&amp;"")=0)),"Bill # + vendor not found on AP sheet",IF(AND(ISNUMBER(M1559),N(M1559)&lt;&gt;0,W1559=0),"Tax ignored (tax tracking off, or not allowed for this type)",IF(V1559=K1559&amp;"","Same account on both sides",IF(AND(ISNUMBER(StartDate),C1559&lt;StartDate),"Date is before the accounting start date",IF(AND(D1559&lt;&gt;"Adjustment",IFERROR(INDEX(coa_Pay,MATCH(K1559&amp;"",coa_Name,0)),"")&lt;&gt;"Yes"),"Paid From / Deposited To is not a payment account","")))))))))))</f>
        <v/>
      </c>
      <c r="Z1559" s="67">
        <f>IF(AND(T1559=0,X1559=""),1,0)</f>
        <v/>
      </c>
      <c r="AA1559" s="68">
        <f>IF(Z1559=1,IF(U1559="In",L1559,L1559-W1559),0)</f>
        <v/>
      </c>
      <c r="AB1559" s="68">
        <f>IF(Z1559=1,IF(U1559="In",L1559-W1559,L1559),0)</f>
        <v/>
      </c>
      <c r="AC1559" s="68">
        <f>IF(AND(Z1559=1,U1559="Out"),W1559,0)</f>
        <v/>
      </c>
      <c r="AD1559" s="68">
        <f>IF(AND(Z1559=1,U1559="In"),W1559,0)</f>
        <v/>
      </c>
    </row>
    <row r="1560">
      <c r="B1560" s="62" t="inlineStr">
        <is>
          <t>TX-1554</t>
        </is>
      </c>
      <c r="C1560" s="63" t="n"/>
      <c r="D1560" s="62" t="n"/>
      <c r="E1560" s="62" t="n"/>
      <c r="F1560" s="62" t="n"/>
      <c r="G1560" s="62" t="n"/>
      <c r="H1560" s="62" t="n"/>
      <c r="I1560" s="62" t="n"/>
      <c r="J1560" s="62" t="n"/>
      <c r="K1560" s="62" t="n"/>
      <c r="L1560" s="64" t="n"/>
      <c r="M1560" s="64" t="n"/>
      <c r="N1560" s="62" t="n"/>
      <c r="O1560" s="65">
        <f>IF(Z1560=1,L1560-W1560,"")</f>
        <v/>
      </c>
      <c r="P1560" s="66">
        <f>IF(V1560="","",IFERROR(INDEX(coa_Type,MATCH(V1560,coa_Name,0)),""))</f>
        <v/>
      </c>
      <c r="Q1560" s="66">
        <f>IF(Z1560=1,IF(U1560="In",K1560&amp;"",V1560),"")</f>
        <v/>
      </c>
      <c r="R1560" s="66">
        <f>IF(Z1560=1,IF(U1560="In",V1560,K1560&amp;""),"")</f>
        <v/>
      </c>
      <c r="S1560" s="66">
        <f>IF(X1560&lt;&gt;"","⛔ "&amp;X1560&amp;" — not posted",IF(Y1560&lt;&gt;"","⚠ "&amp;Y1560,IF(Z1560=1,"✓ OK","")))</f>
        <v/>
      </c>
      <c r="T1560" s="67">
        <f>IF(AND(C1560="",D1560="",E1560="",L1560="",K1560=""),1,0)</f>
        <v/>
      </c>
      <c r="U1560" s="67">
        <f>IFERROR(INDEX(tt_Dir,MATCH(D1560,tt_Type,0)),"")</f>
        <v/>
      </c>
      <c r="V1560" s="67">
        <f>IF(D1560="","",IFERROR(IF(INDEX(tt_Other,MATCH(D1560,tt_Type,0))="",E1560&amp;"",INDEX(tt_Other,MATCH(D1560,tt_Type,0))),""))</f>
        <v/>
      </c>
      <c r="W1560" s="68">
        <f>IF(OR(TaxOn&lt;&gt;"Yes",NOT(ISNUMBER(M1560))),0,IF(IFERROR(INDEX(tt_Tax,MATCH(D1560,tt_Type,0)),"No")="Yes",M1560,0))</f>
        <v/>
      </c>
      <c r="X1560" s="67">
        <f>IF(T1560=1,"",IF(C1560="","Missing transaction date",IF(NOT(ISNUMBER(C1560)),"Invalid date",IF(OR(C1560&lt;DATE(2000,1,1),C1560&gt;DATE(2099,12,31)),"Invalid date",IF(D1560="","Select a type",IF(U1560="","Unknown type: "&amp;D1560,IF(V1560="","Select an account (Category)",IF(ISNA(MATCH(V1560,coa_Name,0)),"Unknown account: "&amp;V1560,IF(K1560="","Select Paid From / Deposited To",IF(ISNA(MATCH(K1560,coa_Name,0)),"Unknown account: "&amp;K1560,IF(NOT(ISNUMBER(L1560)),"Enter an amount",IF(L1560=0,"Enter an amount",IF(ABS(W1560)&gt;ABS(L1560),"Tax is larger than the amount","")))))))))))))</f>
        <v/>
      </c>
      <c r="Y1560" s="67">
        <f>IF(OR(T1560=1,X1560&lt;&gt;""),"",IF(AND(B1560&lt;&gt;"",COUNTIF(tx_ID,B1560)&gt;1),"Duplicate transaction ID",IF(AND(L1560&lt;0,D1560&lt;&gt;"Adjustment"),"Negative amount — check this entry",IF(AND(D1560="Customer Payment",G1560=""),"Add the customer",IF(AND(D1560="Customer Payment",OR(J1560="",COUNTIF(ar_No,J1560&amp;"")=0)),"Invoice # in Reference not found on AR sheet",IF(AND(D1560="Bill Payment",H1560=""),"Add the vendor",IF(AND(D1560="Bill Payment",OR(J1560="",COUNTIFS(ap_No,J1560&amp;"",ap_Party,H1560&amp;"")=0)),"Bill # + vendor not found on AP sheet",IF(AND(ISNUMBER(M1560),N(M1560)&lt;&gt;0,W1560=0),"Tax ignored (tax tracking off, or not allowed for this type)",IF(V1560=K1560&amp;"","Same account on both sides",IF(AND(ISNUMBER(StartDate),C1560&lt;StartDate),"Date is before the accounting start date",IF(AND(D1560&lt;&gt;"Adjustment",IFERROR(INDEX(coa_Pay,MATCH(K1560&amp;"",coa_Name,0)),"")&lt;&gt;"Yes"),"Paid From / Deposited To is not a payment account","")))))))))))</f>
        <v/>
      </c>
      <c r="Z1560" s="67">
        <f>IF(AND(T1560=0,X1560=""),1,0)</f>
        <v/>
      </c>
      <c r="AA1560" s="68">
        <f>IF(Z1560=1,IF(U1560="In",L1560,L1560-W1560),0)</f>
        <v/>
      </c>
      <c r="AB1560" s="68">
        <f>IF(Z1560=1,IF(U1560="In",L1560-W1560,L1560),0)</f>
        <v/>
      </c>
      <c r="AC1560" s="68">
        <f>IF(AND(Z1560=1,U1560="Out"),W1560,0)</f>
        <v/>
      </c>
      <c r="AD1560" s="68">
        <f>IF(AND(Z1560=1,U1560="In"),W1560,0)</f>
        <v/>
      </c>
    </row>
    <row r="1561">
      <c r="B1561" s="62" t="inlineStr">
        <is>
          <t>TX-1555</t>
        </is>
      </c>
      <c r="C1561" s="63" t="n"/>
      <c r="D1561" s="62" t="n"/>
      <c r="E1561" s="62" t="n"/>
      <c r="F1561" s="62" t="n"/>
      <c r="G1561" s="62" t="n"/>
      <c r="H1561" s="62" t="n"/>
      <c r="I1561" s="62" t="n"/>
      <c r="J1561" s="62" t="n"/>
      <c r="K1561" s="62" t="n"/>
      <c r="L1561" s="64" t="n"/>
      <c r="M1561" s="64" t="n"/>
      <c r="N1561" s="62" t="n"/>
      <c r="O1561" s="65">
        <f>IF(Z1561=1,L1561-W1561,"")</f>
        <v/>
      </c>
      <c r="P1561" s="66">
        <f>IF(V1561="","",IFERROR(INDEX(coa_Type,MATCH(V1561,coa_Name,0)),""))</f>
        <v/>
      </c>
      <c r="Q1561" s="66">
        <f>IF(Z1561=1,IF(U1561="In",K1561&amp;"",V1561),"")</f>
        <v/>
      </c>
      <c r="R1561" s="66">
        <f>IF(Z1561=1,IF(U1561="In",V1561,K1561&amp;""),"")</f>
        <v/>
      </c>
      <c r="S1561" s="66">
        <f>IF(X1561&lt;&gt;"","⛔ "&amp;X1561&amp;" — not posted",IF(Y1561&lt;&gt;"","⚠ "&amp;Y1561,IF(Z1561=1,"✓ OK","")))</f>
        <v/>
      </c>
      <c r="T1561" s="67">
        <f>IF(AND(C1561="",D1561="",E1561="",L1561="",K1561=""),1,0)</f>
        <v/>
      </c>
      <c r="U1561" s="67">
        <f>IFERROR(INDEX(tt_Dir,MATCH(D1561,tt_Type,0)),"")</f>
        <v/>
      </c>
      <c r="V1561" s="67">
        <f>IF(D1561="","",IFERROR(IF(INDEX(tt_Other,MATCH(D1561,tt_Type,0))="",E1561&amp;"",INDEX(tt_Other,MATCH(D1561,tt_Type,0))),""))</f>
        <v/>
      </c>
      <c r="W1561" s="68">
        <f>IF(OR(TaxOn&lt;&gt;"Yes",NOT(ISNUMBER(M1561))),0,IF(IFERROR(INDEX(tt_Tax,MATCH(D1561,tt_Type,0)),"No")="Yes",M1561,0))</f>
        <v/>
      </c>
      <c r="X1561" s="67">
        <f>IF(T1561=1,"",IF(C1561="","Missing transaction date",IF(NOT(ISNUMBER(C1561)),"Invalid date",IF(OR(C1561&lt;DATE(2000,1,1),C1561&gt;DATE(2099,12,31)),"Invalid date",IF(D1561="","Select a type",IF(U1561="","Unknown type: "&amp;D1561,IF(V1561="","Select an account (Category)",IF(ISNA(MATCH(V1561,coa_Name,0)),"Unknown account: "&amp;V1561,IF(K1561="","Select Paid From / Deposited To",IF(ISNA(MATCH(K1561,coa_Name,0)),"Unknown account: "&amp;K1561,IF(NOT(ISNUMBER(L1561)),"Enter an amount",IF(L1561=0,"Enter an amount",IF(ABS(W1561)&gt;ABS(L1561),"Tax is larger than the amount","")))))))))))))</f>
        <v/>
      </c>
      <c r="Y1561" s="67">
        <f>IF(OR(T1561=1,X1561&lt;&gt;""),"",IF(AND(B1561&lt;&gt;"",COUNTIF(tx_ID,B1561)&gt;1),"Duplicate transaction ID",IF(AND(L1561&lt;0,D1561&lt;&gt;"Adjustment"),"Negative amount — check this entry",IF(AND(D1561="Customer Payment",G1561=""),"Add the customer",IF(AND(D1561="Customer Payment",OR(J1561="",COUNTIF(ar_No,J1561&amp;"")=0)),"Invoice # in Reference not found on AR sheet",IF(AND(D1561="Bill Payment",H1561=""),"Add the vendor",IF(AND(D1561="Bill Payment",OR(J1561="",COUNTIFS(ap_No,J1561&amp;"",ap_Party,H1561&amp;"")=0)),"Bill # + vendor not found on AP sheet",IF(AND(ISNUMBER(M1561),N(M1561)&lt;&gt;0,W1561=0),"Tax ignored (tax tracking off, or not allowed for this type)",IF(V1561=K1561&amp;"","Same account on both sides",IF(AND(ISNUMBER(StartDate),C1561&lt;StartDate),"Date is before the accounting start date",IF(AND(D1561&lt;&gt;"Adjustment",IFERROR(INDEX(coa_Pay,MATCH(K1561&amp;"",coa_Name,0)),"")&lt;&gt;"Yes"),"Paid From / Deposited To is not a payment account","")))))))))))</f>
        <v/>
      </c>
      <c r="Z1561" s="67">
        <f>IF(AND(T1561=0,X1561=""),1,0)</f>
        <v/>
      </c>
      <c r="AA1561" s="68">
        <f>IF(Z1561=1,IF(U1561="In",L1561,L1561-W1561),0)</f>
        <v/>
      </c>
      <c r="AB1561" s="68">
        <f>IF(Z1561=1,IF(U1561="In",L1561-W1561,L1561),0)</f>
        <v/>
      </c>
      <c r="AC1561" s="68">
        <f>IF(AND(Z1561=1,U1561="Out"),W1561,0)</f>
        <v/>
      </c>
      <c r="AD1561" s="68">
        <f>IF(AND(Z1561=1,U1561="In"),W1561,0)</f>
        <v/>
      </c>
    </row>
    <row r="1562">
      <c r="B1562" s="62" t="inlineStr">
        <is>
          <t>TX-1556</t>
        </is>
      </c>
      <c r="C1562" s="63" t="n"/>
      <c r="D1562" s="62" t="n"/>
      <c r="E1562" s="62" t="n"/>
      <c r="F1562" s="62" t="n"/>
      <c r="G1562" s="62" t="n"/>
      <c r="H1562" s="62" t="n"/>
      <c r="I1562" s="62" t="n"/>
      <c r="J1562" s="62" t="n"/>
      <c r="K1562" s="62" t="n"/>
      <c r="L1562" s="64" t="n"/>
      <c r="M1562" s="64" t="n"/>
      <c r="N1562" s="62" t="n"/>
      <c r="O1562" s="65">
        <f>IF(Z1562=1,L1562-W1562,"")</f>
        <v/>
      </c>
      <c r="P1562" s="66">
        <f>IF(V1562="","",IFERROR(INDEX(coa_Type,MATCH(V1562,coa_Name,0)),""))</f>
        <v/>
      </c>
      <c r="Q1562" s="66">
        <f>IF(Z1562=1,IF(U1562="In",K1562&amp;"",V1562),"")</f>
        <v/>
      </c>
      <c r="R1562" s="66">
        <f>IF(Z1562=1,IF(U1562="In",V1562,K1562&amp;""),"")</f>
        <v/>
      </c>
      <c r="S1562" s="66">
        <f>IF(X1562&lt;&gt;"","⛔ "&amp;X1562&amp;" — not posted",IF(Y1562&lt;&gt;"","⚠ "&amp;Y1562,IF(Z1562=1,"✓ OK","")))</f>
        <v/>
      </c>
      <c r="T1562" s="67">
        <f>IF(AND(C1562="",D1562="",E1562="",L1562="",K1562=""),1,0)</f>
        <v/>
      </c>
      <c r="U1562" s="67">
        <f>IFERROR(INDEX(tt_Dir,MATCH(D1562,tt_Type,0)),"")</f>
        <v/>
      </c>
      <c r="V1562" s="67">
        <f>IF(D1562="","",IFERROR(IF(INDEX(tt_Other,MATCH(D1562,tt_Type,0))="",E1562&amp;"",INDEX(tt_Other,MATCH(D1562,tt_Type,0))),""))</f>
        <v/>
      </c>
      <c r="W1562" s="68">
        <f>IF(OR(TaxOn&lt;&gt;"Yes",NOT(ISNUMBER(M1562))),0,IF(IFERROR(INDEX(tt_Tax,MATCH(D1562,tt_Type,0)),"No")="Yes",M1562,0))</f>
        <v/>
      </c>
      <c r="X1562" s="67">
        <f>IF(T1562=1,"",IF(C1562="","Missing transaction date",IF(NOT(ISNUMBER(C1562)),"Invalid date",IF(OR(C1562&lt;DATE(2000,1,1),C1562&gt;DATE(2099,12,31)),"Invalid date",IF(D1562="","Select a type",IF(U1562="","Unknown type: "&amp;D1562,IF(V1562="","Select an account (Category)",IF(ISNA(MATCH(V1562,coa_Name,0)),"Unknown account: "&amp;V1562,IF(K1562="","Select Paid From / Deposited To",IF(ISNA(MATCH(K1562,coa_Name,0)),"Unknown account: "&amp;K1562,IF(NOT(ISNUMBER(L1562)),"Enter an amount",IF(L1562=0,"Enter an amount",IF(ABS(W1562)&gt;ABS(L1562),"Tax is larger than the amount","")))))))))))))</f>
        <v/>
      </c>
      <c r="Y1562" s="67">
        <f>IF(OR(T1562=1,X1562&lt;&gt;""),"",IF(AND(B1562&lt;&gt;"",COUNTIF(tx_ID,B1562)&gt;1),"Duplicate transaction ID",IF(AND(L1562&lt;0,D1562&lt;&gt;"Adjustment"),"Negative amount — check this entry",IF(AND(D1562="Customer Payment",G1562=""),"Add the customer",IF(AND(D1562="Customer Payment",OR(J1562="",COUNTIF(ar_No,J1562&amp;"")=0)),"Invoice # in Reference not found on AR sheet",IF(AND(D1562="Bill Payment",H1562=""),"Add the vendor",IF(AND(D1562="Bill Payment",OR(J1562="",COUNTIFS(ap_No,J1562&amp;"",ap_Party,H1562&amp;"")=0)),"Bill # + vendor not found on AP sheet",IF(AND(ISNUMBER(M1562),N(M1562)&lt;&gt;0,W1562=0),"Tax ignored (tax tracking off, or not allowed for this type)",IF(V1562=K1562&amp;"","Same account on both sides",IF(AND(ISNUMBER(StartDate),C1562&lt;StartDate),"Date is before the accounting start date",IF(AND(D1562&lt;&gt;"Adjustment",IFERROR(INDEX(coa_Pay,MATCH(K1562&amp;"",coa_Name,0)),"")&lt;&gt;"Yes"),"Paid From / Deposited To is not a payment account","")))))))))))</f>
        <v/>
      </c>
      <c r="Z1562" s="67">
        <f>IF(AND(T1562=0,X1562=""),1,0)</f>
        <v/>
      </c>
      <c r="AA1562" s="68">
        <f>IF(Z1562=1,IF(U1562="In",L1562,L1562-W1562),0)</f>
        <v/>
      </c>
      <c r="AB1562" s="68">
        <f>IF(Z1562=1,IF(U1562="In",L1562-W1562,L1562),0)</f>
        <v/>
      </c>
      <c r="AC1562" s="68">
        <f>IF(AND(Z1562=1,U1562="Out"),W1562,0)</f>
        <v/>
      </c>
      <c r="AD1562" s="68">
        <f>IF(AND(Z1562=1,U1562="In"),W1562,0)</f>
        <v/>
      </c>
    </row>
    <row r="1563">
      <c r="B1563" s="62" t="inlineStr">
        <is>
          <t>TX-1557</t>
        </is>
      </c>
      <c r="C1563" s="63" t="n"/>
      <c r="D1563" s="62" t="n"/>
      <c r="E1563" s="62" t="n"/>
      <c r="F1563" s="62" t="n"/>
      <c r="G1563" s="62" t="n"/>
      <c r="H1563" s="62" t="n"/>
      <c r="I1563" s="62" t="n"/>
      <c r="J1563" s="62" t="n"/>
      <c r="K1563" s="62" t="n"/>
      <c r="L1563" s="64" t="n"/>
      <c r="M1563" s="64" t="n"/>
      <c r="N1563" s="62" t="n"/>
      <c r="O1563" s="65">
        <f>IF(Z1563=1,L1563-W1563,"")</f>
        <v/>
      </c>
      <c r="P1563" s="66">
        <f>IF(V1563="","",IFERROR(INDEX(coa_Type,MATCH(V1563,coa_Name,0)),""))</f>
        <v/>
      </c>
      <c r="Q1563" s="66">
        <f>IF(Z1563=1,IF(U1563="In",K1563&amp;"",V1563),"")</f>
        <v/>
      </c>
      <c r="R1563" s="66">
        <f>IF(Z1563=1,IF(U1563="In",V1563,K1563&amp;""),"")</f>
        <v/>
      </c>
      <c r="S1563" s="66">
        <f>IF(X1563&lt;&gt;"","⛔ "&amp;X1563&amp;" — not posted",IF(Y1563&lt;&gt;"","⚠ "&amp;Y1563,IF(Z1563=1,"✓ OK","")))</f>
        <v/>
      </c>
      <c r="T1563" s="67">
        <f>IF(AND(C1563="",D1563="",E1563="",L1563="",K1563=""),1,0)</f>
        <v/>
      </c>
      <c r="U1563" s="67">
        <f>IFERROR(INDEX(tt_Dir,MATCH(D1563,tt_Type,0)),"")</f>
        <v/>
      </c>
      <c r="V1563" s="67">
        <f>IF(D1563="","",IFERROR(IF(INDEX(tt_Other,MATCH(D1563,tt_Type,0))="",E1563&amp;"",INDEX(tt_Other,MATCH(D1563,tt_Type,0))),""))</f>
        <v/>
      </c>
      <c r="W1563" s="68">
        <f>IF(OR(TaxOn&lt;&gt;"Yes",NOT(ISNUMBER(M1563))),0,IF(IFERROR(INDEX(tt_Tax,MATCH(D1563,tt_Type,0)),"No")="Yes",M1563,0))</f>
        <v/>
      </c>
      <c r="X1563" s="67">
        <f>IF(T1563=1,"",IF(C1563="","Missing transaction date",IF(NOT(ISNUMBER(C1563)),"Invalid date",IF(OR(C1563&lt;DATE(2000,1,1),C1563&gt;DATE(2099,12,31)),"Invalid date",IF(D1563="","Select a type",IF(U1563="","Unknown type: "&amp;D1563,IF(V1563="","Select an account (Category)",IF(ISNA(MATCH(V1563,coa_Name,0)),"Unknown account: "&amp;V1563,IF(K1563="","Select Paid From / Deposited To",IF(ISNA(MATCH(K1563,coa_Name,0)),"Unknown account: "&amp;K1563,IF(NOT(ISNUMBER(L1563)),"Enter an amount",IF(L1563=0,"Enter an amount",IF(ABS(W1563)&gt;ABS(L1563),"Tax is larger than the amount","")))))))))))))</f>
        <v/>
      </c>
      <c r="Y1563" s="67">
        <f>IF(OR(T1563=1,X1563&lt;&gt;""),"",IF(AND(B1563&lt;&gt;"",COUNTIF(tx_ID,B1563)&gt;1),"Duplicate transaction ID",IF(AND(L1563&lt;0,D1563&lt;&gt;"Adjustment"),"Negative amount — check this entry",IF(AND(D1563="Customer Payment",G1563=""),"Add the customer",IF(AND(D1563="Customer Payment",OR(J1563="",COUNTIF(ar_No,J1563&amp;"")=0)),"Invoice # in Reference not found on AR sheet",IF(AND(D1563="Bill Payment",H1563=""),"Add the vendor",IF(AND(D1563="Bill Payment",OR(J1563="",COUNTIFS(ap_No,J1563&amp;"",ap_Party,H1563&amp;"")=0)),"Bill # + vendor not found on AP sheet",IF(AND(ISNUMBER(M1563),N(M1563)&lt;&gt;0,W1563=0),"Tax ignored (tax tracking off, or not allowed for this type)",IF(V1563=K1563&amp;"","Same account on both sides",IF(AND(ISNUMBER(StartDate),C1563&lt;StartDate),"Date is before the accounting start date",IF(AND(D1563&lt;&gt;"Adjustment",IFERROR(INDEX(coa_Pay,MATCH(K1563&amp;"",coa_Name,0)),"")&lt;&gt;"Yes"),"Paid From / Deposited To is not a payment account","")))))))))))</f>
        <v/>
      </c>
      <c r="Z1563" s="67">
        <f>IF(AND(T1563=0,X1563=""),1,0)</f>
        <v/>
      </c>
      <c r="AA1563" s="68">
        <f>IF(Z1563=1,IF(U1563="In",L1563,L1563-W1563),0)</f>
        <v/>
      </c>
      <c r="AB1563" s="68">
        <f>IF(Z1563=1,IF(U1563="In",L1563-W1563,L1563),0)</f>
        <v/>
      </c>
      <c r="AC1563" s="68">
        <f>IF(AND(Z1563=1,U1563="Out"),W1563,0)</f>
        <v/>
      </c>
      <c r="AD1563" s="68">
        <f>IF(AND(Z1563=1,U1563="In"),W1563,0)</f>
        <v/>
      </c>
    </row>
    <row r="1564">
      <c r="B1564" s="62" t="inlineStr">
        <is>
          <t>TX-1558</t>
        </is>
      </c>
      <c r="C1564" s="63" t="n"/>
      <c r="D1564" s="62" t="n"/>
      <c r="E1564" s="62" t="n"/>
      <c r="F1564" s="62" t="n"/>
      <c r="G1564" s="62" t="n"/>
      <c r="H1564" s="62" t="n"/>
      <c r="I1564" s="62" t="n"/>
      <c r="J1564" s="62" t="n"/>
      <c r="K1564" s="62" t="n"/>
      <c r="L1564" s="64" t="n"/>
      <c r="M1564" s="64" t="n"/>
      <c r="N1564" s="62" t="n"/>
      <c r="O1564" s="65">
        <f>IF(Z1564=1,L1564-W1564,"")</f>
        <v/>
      </c>
      <c r="P1564" s="66">
        <f>IF(V1564="","",IFERROR(INDEX(coa_Type,MATCH(V1564,coa_Name,0)),""))</f>
        <v/>
      </c>
      <c r="Q1564" s="66">
        <f>IF(Z1564=1,IF(U1564="In",K1564&amp;"",V1564),"")</f>
        <v/>
      </c>
      <c r="R1564" s="66">
        <f>IF(Z1564=1,IF(U1564="In",V1564,K1564&amp;""),"")</f>
        <v/>
      </c>
      <c r="S1564" s="66">
        <f>IF(X1564&lt;&gt;"","⛔ "&amp;X1564&amp;" — not posted",IF(Y1564&lt;&gt;"","⚠ "&amp;Y1564,IF(Z1564=1,"✓ OK","")))</f>
        <v/>
      </c>
      <c r="T1564" s="67">
        <f>IF(AND(C1564="",D1564="",E1564="",L1564="",K1564=""),1,0)</f>
        <v/>
      </c>
      <c r="U1564" s="67">
        <f>IFERROR(INDEX(tt_Dir,MATCH(D1564,tt_Type,0)),"")</f>
        <v/>
      </c>
      <c r="V1564" s="67">
        <f>IF(D1564="","",IFERROR(IF(INDEX(tt_Other,MATCH(D1564,tt_Type,0))="",E1564&amp;"",INDEX(tt_Other,MATCH(D1564,tt_Type,0))),""))</f>
        <v/>
      </c>
      <c r="W1564" s="68">
        <f>IF(OR(TaxOn&lt;&gt;"Yes",NOT(ISNUMBER(M1564))),0,IF(IFERROR(INDEX(tt_Tax,MATCH(D1564,tt_Type,0)),"No")="Yes",M1564,0))</f>
        <v/>
      </c>
      <c r="X1564" s="67">
        <f>IF(T1564=1,"",IF(C1564="","Missing transaction date",IF(NOT(ISNUMBER(C1564)),"Invalid date",IF(OR(C1564&lt;DATE(2000,1,1),C1564&gt;DATE(2099,12,31)),"Invalid date",IF(D1564="","Select a type",IF(U1564="","Unknown type: "&amp;D1564,IF(V1564="","Select an account (Category)",IF(ISNA(MATCH(V1564,coa_Name,0)),"Unknown account: "&amp;V1564,IF(K1564="","Select Paid From / Deposited To",IF(ISNA(MATCH(K1564,coa_Name,0)),"Unknown account: "&amp;K1564,IF(NOT(ISNUMBER(L1564)),"Enter an amount",IF(L1564=0,"Enter an amount",IF(ABS(W1564)&gt;ABS(L1564),"Tax is larger than the amount","")))))))))))))</f>
        <v/>
      </c>
      <c r="Y1564" s="67">
        <f>IF(OR(T1564=1,X1564&lt;&gt;""),"",IF(AND(B1564&lt;&gt;"",COUNTIF(tx_ID,B1564)&gt;1),"Duplicate transaction ID",IF(AND(L1564&lt;0,D1564&lt;&gt;"Adjustment"),"Negative amount — check this entry",IF(AND(D1564="Customer Payment",G1564=""),"Add the customer",IF(AND(D1564="Customer Payment",OR(J1564="",COUNTIF(ar_No,J1564&amp;"")=0)),"Invoice # in Reference not found on AR sheet",IF(AND(D1564="Bill Payment",H1564=""),"Add the vendor",IF(AND(D1564="Bill Payment",OR(J1564="",COUNTIFS(ap_No,J1564&amp;"",ap_Party,H1564&amp;"")=0)),"Bill # + vendor not found on AP sheet",IF(AND(ISNUMBER(M1564),N(M1564)&lt;&gt;0,W1564=0),"Tax ignored (tax tracking off, or not allowed for this type)",IF(V1564=K1564&amp;"","Same account on both sides",IF(AND(ISNUMBER(StartDate),C1564&lt;StartDate),"Date is before the accounting start date",IF(AND(D1564&lt;&gt;"Adjustment",IFERROR(INDEX(coa_Pay,MATCH(K1564&amp;"",coa_Name,0)),"")&lt;&gt;"Yes"),"Paid From / Deposited To is not a payment account","")))))))))))</f>
        <v/>
      </c>
      <c r="Z1564" s="67">
        <f>IF(AND(T1564=0,X1564=""),1,0)</f>
        <v/>
      </c>
      <c r="AA1564" s="68">
        <f>IF(Z1564=1,IF(U1564="In",L1564,L1564-W1564),0)</f>
        <v/>
      </c>
      <c r="AB1564" s="68">
        <f>IF(Z1564=1,IF(U1564="In",L1564-W1564,L1564),0)</f>
        <v/>
      </c>
      <c r="AC1564" s="68">
        <f>IF(AND(Z1564=1,U1564="Out"),W1564,0)</f>
        <v/>
      </c>
      <c r="AD1564" s="68">
        <f>IF(AND(Z1564=1,U1564="In"),W1564,0)</f>
        <v/>
      </c>
    </row>
    <row r="1565">
      <c r="B1565" s="62" t="inlineStr">
        <is>
          <t>TX-1559</t>
        </is>
      </c>
      <c r="C1565" s="63" t="n"/>
      <c r="D1565" s="62" t="n"/>
      <c r="E1565" s="62" t="n"/>
      <c r="F1565" s="62" t="n"/>
      <c r="G1565" s="62" t="n"/>
      <c r="H1565" s="62" t="n"/>
      <c r="I1565" s="62" t="n"/>
      <c r="J1565" s="62" t="n"/>
      <c r="K1565" s="62" t="n"/>
      <c r="L1565" s="64" t="n"/>
      <c r="M1565" s="64" t="n"/>
      <c r="N1565" s="62" t="n"/>
      <c r="O1565" s="65">
        <f>IF(Z1565=1,L1565-W1565,"")</f>
        <v/>
      </c>
      <c r="P1565" s="66">
        <f>IF(V1565="","",IFERROR(INDEX(coa_Type,MATCH(V1565,coa_Name,0)),""))</f>
        <v/>
      </c>
      <c r="Q1565" s="66">
        <f>IF(Z1565=1,IF(U1565="In",K1565&amp;"",V1565),"")</f>
        <v/>
      </c>
      <c r="R1565" s="66">
        <f>IF(Z1565=1,IF(U1565="In",V1565,K1565&amp;""),"")</f>
        <v/>
      </c>
      <c r="S1565" s="66">
        <f>IF(X1565&lt;&gt;"","⛔ "&amp;X1565&amp;" — not posted",IF(Y1565&lt;&gt;"","⚠ "&amp;Y1565,IF(Z1565=1,"✓ OK","")))</f>
        <v/>
      </c>
      <c r="T1565" s="67">
        <f>IF(AND(C1565="",D1565="",E1565="",L1565="",K1565=""),1,0)</f>
        <v/>
      </c>
      <c r="U1565" s="67">
        <f>IFERROR(INDEX(tt_Dir,MATCH(D1565,tt_Type,0)),"")</f>
        <v/>
      </c>
      <c r="V1565" s="67">
        <f>IF(D1565="","",IFERROR(IF(INDEX(tt_Other,MATCH(D1565,tt_Type,0))="",E1565&amp;"",INDEX(tt_Other,MATCH(D1565,tt_Type,0))),""))</f>
        <v/>
      </c>
      <c r="W1565" s="68">
        <f>IF(OR(TaxOn&lt;&gt;"Yes",NOT(ISNUMBER(M1565))),0,IF(IFERROR(INDEX(tt_Tax,MATCH(D1565,tt_Type,0)),"No")="Yes",M1565,0))</f>
        <v/>
      </c>
      <c r="X1565" s="67">
        <f>IF(T1565=1,"",IF(C1565="","Missing transaction date",IF(NOT(ISNUMBER(C1565)),"Invalid date",IF(OR(C1565&lt;DATE(2000,1,1),C1565&gt;DATE(2099,12,31)),"Invalid date",IF(D1565="","Select a type",IF(U1565="","Unknown type: "&amp;D1565,IF(V1565="","Select an account (Category)",IF(ISNA(MATCH(V1565,coa_Name,0)),"Unknown account: "&amp;V1565,IF(K1565="","Select Paid From / Deposited To",IF(ISNA(MATCH(K1565,coa_Name,0)),"Unknown account: "&amp;K1565,IF(NOT(ISNUMBER(L1565)),"Enter an amount",IF(L1565=0,"Enter an amount",IF(ABS(W1565)&gt;ABS(L1565),"Tax is larger than the amount","")))))))))))))</f>
        <v/>
      </c>
      <c r="Y1565" s="67">
        <f>IF(OR(T1565=1,X1565&lt;&gt;""),"",IF(AND(B1565&lt;&gt;"",COUNTIF(tx_ID,B1565)&gt;1),"Duplicate transaction ID",IF(AND(L1565&lt;0,D1565&lt;&gt;"Adjustment"),"Negative amount — check this entry",IF(AND(D1565="Customer Payment",G1565=""),"Add the customer",IF(AND(D1565="Customer Payment",OR(J1565="",COUNTIF(ar_No,J1565&amp;"")=0)),"Invoice # in Reference not found on AR sheet",IF(AND(D1565="Bill Payment",H1565=""),"Add the vendor",IF(AND(D1565="Bill Payment",OR(J1565="",COUNTIFS(ap_No,J1565&amp;"",ap_Party,H1565&amp;"")=0)),"Bill # + vendor not found on AP sheet",IF(AND(ISNUMBER(M1565),N(M1565)&lt;&gt;0,W1565=0),"Tax ignored (tax tracking off, or not allowed for this type)",IF(V1565=K1565&amp;"","Same account on both sides",IF(AND(ISNUMBER(StartDate),C1565&lt;StartDate),"Date is before the accounting start date",IF(AND(D1565&lt;&gt;"Adjustment",IFERROR(INDEX(coa_Pay,MATCH(K1565&amp;"",coa_Name,0)),"")&lt;&gt;"Yes"),"Paid From / Deposited To is not a payment account","")))))))))))</f>
        <v/>
      </c>
      <c r="Z1565" s="67">
        <f>IF(AND(T1565=0,X1565=""),1,0)</f>
        <v/>
      </c>
      <c r="AA1565" s="68">
        <f>IF(Z1565=1,IF(U1565="In",L1565,L1565-W1565),0)</f>
        <v/>
      </c>
      <c r="AB1565" s="68">
        <f>IF(Z1565=1,IF(U1565="In",L1565-W1565,L1565),0)</f>
        <v/>
      </c>
      <c r="AC1565" s="68">
        <f>IF(AND(Z1565=1,U1565="Out"),W1565,0)</f>
        <v/>
      </c>
      <c r="AD1565" s="68">
        <f>IF(AND(Z1565=1,U1565="In"),W1565,0)</f>
        <v/>
      </c>
    </row>
    <row r="1566">
      <c r="B1566" s="62" t="inlineStr">
        <is>
          <t>TX-1560</t>
        </is>
      </c>
      <c r="C1566" s="63" t="n"/>
      <c r="D1566" s="62" t="n"/>
      <c r="E1566" s="62" t="n"/>
      <c r="F1566" s="62" t="n"/>
      <c r="G1566" s="62" t="n"/>
      <c r="H1566" s="62" t="n"/>
      <c r="I1566" s="62" t="n"/>
      <c r="J1566" s="62" t="n"/>
      <c r="K1566" s="62" t="n"/>
      <c r="L1566" s="64" t="n"/>
      <c r="M1566" s="64" t="n"/>
      <c r="N1566" s="62" t="n"/>
      <c r="O1566" s="65">
        <f>IF(Z1566=1,L1566-W1566,"")</f>
        <v/>
      </c>
      <c r="P1566" s="66">
        <f>IF(V1566="","",IFERROR(INDEX(coa_Type,MATCH(V1566,coa_Name,0)),""))</f>
        <v/>
      </c>
      <c r="Q1566" s="66">
        <f>IF(Z1566=1,IF(U1566="In",K1566&amp;"",V1566),"")</f>
        <v/>
      </c>
      <c r="R1566" s="66">
        <f>IF(Z1566=1,IF(U1566="In",V1566,K1566&amp;""),"")</f>
        <v/>
      </c>
      <c r="S1566" s="66">
        <f>IF(X1566&lt;&gt;"","⛔ "&amp;X1566&amp;" — not posted",IF(Y1566&lt;&gt;"","⚠ "&amp;Y1566,IF(Z1566=1,"✓ OK","")))</f>
        <v/>
      </c>
      <c r="T1566" s="67">
        <f>IF(AND(C1566="",D1566="",E1566="",L1566="",K1566=""),1,0)</f>
        <v/>
      </c>
      <c r="U1566" s="67">
        <f>IFERROR(INDEX(tt_Dir,MATCH(D1566,tt_Type,0)),"")</f>
        <v/>
      </c>
      <c r="V1566" s="67">
        <f>IF(D1566="","",IFERROR(IF(INDEX(tt_Other,MATCH(D1566,tt_Type,0))="",E1566&amp;"",INDEX(tt_Other,MATCH(D1566,tt_Type,0))),""))</f>
        <v/>
      </c>
      <c r="W1566" s="68">
        <f>IF(OR(TaxOn&lt;&gt;"Yes",NOT(ISNUMBER(M1566))),0,IF(IFERROR(INDEX(tt_Tax,MATCH(D1566,tt_Type,0)),"No")="Yes",M1566,0))</f>
        <v/>
      </c>
      <c r="X1566" s="67">
        <f>IF(T1566=1,"",IF(C1566="","Missing transaction date",IF(NOT(ISNUMBER(C1566)),"Invalid date",IF(OR(C1566&lt;DATE(2000,1,1),C1566&gt;DATE(2099,12,31)),"Invalid date",IF(D1566="","Select a type",IF(U1566="","Unknown type: "&amp;D1566,IF(V1566="","Select an account (Category)",IF(ISNA(MATCH(V1566,coa_Name,0)),"Unknown account: "&amp;V1566,IF(K1566="","Select Paid From / Deposited To",IF(ISNA(MATCH(K1566,coa_Name,0)),"Unknown account: "&amp;K1566,IF(NOT(ISNUMBER(L1566)),"Enter an amount",IF(L1566=0,"Enter an amount",IF(ABS(W1566)&gt;ABS(L1566),"Tax is larger than the amount","")))))))))))))</f>
        <v/>
      </c>
      <c r="Y1566" s="67">
        <f>IF(OR(T1566=1,X1566&lt;&gt;""),"",IF(AND(B1566&lt;&gt;"",COUNTIF(tx_ID,B1566)&gt;1),"Duplicate transaction ID",IF(AND(L1566&lt;0,D1566&lt;&gt;"Adjustment"),"Negative amount — check this entry",IF(AND(D1566="Customer Payment",G1566=""),"Add the customer",IF(AND(D1566="Customer Payment",OR(J1566="",COUNTIF(ar_No,J1566&amp;"")=0)),"Invoice # in Reference not found on AR sheet",IF(AND(D1566="Bill Payment",H1566=""),"Add the vendor",IF(AND(D1566="Bill Payment",OR(J1566="",COUNTIFS(ap_No,J1566&amp;"",ap_Party,H1566&amp;"")=0)),"Bill # + vendor not found on AP sheet",IF(AND(ISNUMBER(M1566),N(M1566)&lt;&gt;0,W1566=0),"Tax ignored (tax tracking off, or not allowed for this type)",IF(V1566=K1566&amp;"","Same account on both sides",IF(AND(ISNUMBER(StartDate),C1566&lt;StartDate),"Date is before the accounting start date",IF(AND(D1566&lt;&gt;"Adjustment",IFERROR(INDEX(coa_Pay,MATCH(K1566&amp;"",coa_Name,0)),"")&lt;&gt;"Yes"),"Paid From / Deposited To is not a payment account","")))))))))))</f>
        <v/>
      </c>
      <c r="Z1566" s="67">
        <f>IF(AND(T1566=0,X1566=""),1,0)</f>
        <v/>
      </c>
      <c r="AA1566" s="68">
        <f>IF(Z1566=1,IF(U1566="In",L1566,L1566-W1566),0)</f>
        <v/>
      </c>
      <c r="AB1566" s="68">
        <f>IF(Z1566=1,IF(U1566="In",L1566-W1566,L1566),0)</f>
        <v/>
      </c>
      <c r="AC1566" s="68">
        <f>IF(AND(Z1566=1,U1566="Out"),W1566,0)</f>
        <v/>
      </c>
      <c r="AD1566" s="68">
        <f>IF(AND(Z1566=1,U1566="In"),W1566,0)</f>
        <v/>
      </c>
    </row>
    <row r="1567">
      <c r="B1567" s="62" t="inlineStr">
        <is>
          <t>TX-1561</t>
        </is>
      </c>
      <c r="C1567" s="63" t="n"/>
      <c r="D1567" s="62" t="n"/>
      <c r="E1567" s="62" t="n"/>
      <c r="F1567" s="62" t="n"/>
      <c r="G1567" s="62" t="n"/>
      <c r="H1567" s="62" t="n"/>
      <c r="I1567" s="62" t="n"/>
      <c r="J1567" s="62" t="n"/>
      <c r="K1567" s="62" t="n"/>
      <c r="L1567" s="64" t="n"/>
      <c r="M1567" s="64" t="n"/>
      <c r="N1567" s="62" t="n"/>
      <c r="O1567" s="65">
        <f>IF(Z1567=1,L1567-W1567,"")</f>
        <v/>
      </c>
      <c r="P1567" s="66">
        <f>IF(V1567="","",IFERROR(INDEX(coa_Type,MATCH(V1567,coa_Name,0)),""))</f>
        <v/>
      </c>
      <c r="Q1567" s="66">
        <f>IF(Z1567=1,IF(U1567="In",K1567&amp;"",V1567),"")</f>
        <v/>
      </c>
      <c r="R1567" s="66">
        <f>IF(Z1567=1,IF(U1567="In",V1567,K1567&amp;""),"")</f>
        <v/>
      </c>
      <c r="S1567" s="66">
        <f>IF(X1567&lt;&gt;"","⛔ "&amp;X1567&amp;" — not posted",IF(Y1567&lt;&gt;"","⚠ "&amp;Y1567,IF(Z1567=1,"✓ OK","")))</f>
        <v/>
      </c>
      <c r="T1567" s="67">
        <f>IF(AND(C1567="",D1567="",E1567="",L1567="",K1567=""),1,0)</f>
        <v/>
      </c>
      <c r="U1567" s="67">
        <f>IFERROR(INDEX(tt_Dir,MATCH(D1567,tt_Type,0)),"")</f>
        <v/>
      </c>
      <c r="V1567" s="67">
        <f>IF(D1567="","",IFERROR(IF(INDEX(tt_Other,MATCH(D1567,tt_Type,0))="",E1567&amp;"",INDEX(tt_Other,MATCH(D1567,tt_Type,0))),""))</f>
        <v/>
      </c>
      <c r="W1567" s="68">
        <f>IF(OR(TaxOn&lt;&gt;"Yes",NOT(ISNUMBER(M1567))),0,IF(IFERROR(INDEX(tt_Tax,MATCH(D1567,tt_Type,0)),"No")="Yes",M1567,0))</f>
        <v/>
      </c>
      <c r="X1567" s="67">
        <f>IF(T1567=1,"",IF(C1567="","Missing transaction date",IF(NOT(ISNUMBER(C1567)),"Invalid date",IF(OR(C1567&lt;DATE(2000,1,1),C1567&gt;DATE(2099,12,31)),"Invalid date",IF(D1567="","Select a type",IF(U1567="","Unknown type: "&amp;D1567,IF(V1567="","Select an account (Category)",IF(ISNA(MATCH(V1567,coa_Name,0)),"Unknown account: "&amp;V1567,IF(K1567="","Select Paid From / Deposited To",IF(ISNA(MATCH(K1567,coa_Name,0)),"Unknown account: "&amp;K1567,IF(NOT(ISNUMBER(L1567)),"Enter an amount",IF(L1567=0,"Enter an amount",IF(ABS(W1567)&gt;ABS(L1567),"Tax is larger than the amount","")))))))))))))</f>
        <v/>
      </c>
      <c r="Y1567" s="67">
        <f>IF(OR(T1567=1,X1567&lt;&gt;""),"",IF(AND(B1567&lt;&gt;"",COUNTIF(tx_ID,B1567)&gt;1),"Duplicate transaction ID",IF(AND(L1567&lt;0,D1567&lt;&gt;"Adjustment"),"Negative amount — check this entry",IF(AND(D1567="Customer Payment",G1567=""),"Add the customer",IF(AND(D1567="Customer Payment",OR(J1567="",COUNTIF(ar_No,J1567&amp;"")=0)),"Invoice # in Reference not found on AR sheet",IF(AND(D1567="Bill Payment",H1567=""),"Add the vendor",IF(AND(D1567="Bill Payment",OR(J1567="",COUNTIFS(ap_No,J1567&amp;"",ap_Party,H1567&amp;"")=0)),"Bill # + vendor not found on AP sheet",IF(AND(ISNUMBER(M1567),N(M1567)&lt;&gt;0,W1567=0),"Tax ignored (tax tracking off, or not allowed for this type)",IF(V1567=K1567&amp;"","Same account on both sides",IF(AND(ISNUMBER(StartDate),C1567&lt;StartDate),"Date is before the accounting start date",IF(AND(D1567&lt;&gt;"Adjustment",IFERROR(INDEX(coa_Pay,MATCH(K1567&amp;"",coa_Name,0)),"")&lt;&gt;"Yes"),"Paid From / Deposited To is not a payment account","")))))))))))</f>
        <v/>
      </c>
      <c r="Z1567" s="67">
        <f>IF(AND(T1567=0,X1567=""),1,0)</f>
        <v/>
      </c>
      <c r="AA1567" s="68">
        <f>IF(Z1567=1,IF(U1567="In",L1567,L1567-W1567),0)</f>
        <v/>
      </c>
      <c r="AB1567" s="68">
        <f>IF(Z1567=1,IF(U1567="In",L1567-W1567,L1567),0)</f>
        <v/>
      </c>
      <c r="AC1567" s="68">
        <f>IF(AND(Z1567=1,U1567="Out"),W1567,0)</f>
        <v/>
      </c>
      <c r="AD1567" s="68">
        <f>IF(AND(Z1567=1,U1567="In"),W1567,0)</f>
        <v/>
      </c>
    </row>
    <row r="1568">
      <c r="B1568" s="62" t="inlineStr">
        <is>
          <t>TX-1562</t>
        </is>
      </c>
      <c r="C1568" s="63" t="n"/>
      <c r="D1568" s="62" t="n"/>
      <c r="E1568" s="62" t="n"/>
      <c r="F1568" s="62" t="n"/>
      <c r="G1568" s="62" t="n"/>
      <c r="H1568" s="62" t="n"/>
      <c r="I1568" s="62" t="n"/>
      <c r="J1568" s="62" t="n"/>
      <c r="K1568" s="62" t="n"/>
      <c r="L1568" s="64" t="n"/>
      <c r="M1568" s="64" t="n"/>
      <c r="N1568" s="62" t="n"/>
      <c r="O1568" s="65">
        <f>IF(Z1568=1,L1568-W1568,"")</f>
        <v/>
      </c>
      <c r="P1568" s="66">
        <f>IF(V1568="","",IFERROR(INDEX(coa_Type,MATCH(V1568,coa_Name,0)),""))</f>
        <v/>
      </c>
      <c r="Q1568" s="66">
        <f>IF(Z1568=1,IF(U1568="In",K1568&amp;"",V1568),"")</f>
        <v/>
      </c>
      <c r="R1568" s="66">
        <f>IF(Z1568=1,IF(U1568="In",V1568,K1568&amp;""),"")</f>
        <v/>
      </c>
      <c r="S1568" s="66">
        <f>IF(X1568&lt;&gt;"","⛔ "&amp;X1568&amp;" — not posted",IF(Y1568&lt;&gt;"","⚠ "&amp;Y1568,IF(Z1568=1,"✓ OK","")))</f>
        <v/>
      </c>
      <c r="T1568" s="67">
        <f>IF(AND(C1568="",D1568="",E1568="",L1568="",K1568=""),1,0)</f>
        <v/>
      </c>
      <c r="U1568" s="67">
        <f>IFERROR(INDEX(tt_Dir,MATCH(D1568,tt_Type,0)),"")</f>
        <v/>
      </c>
      <c r="V1568" s="67">
        <f>IF(D1568="","",IFERROR(IF(INDEX(tt_Other,MATCH(D1568,tt_Type,0))="",E1568&amp;"",INDEX(tt_Other,MATCH(D1568,tt_Type,0))),""))</f>
        <v/>
      </c>
      <c r="W1568" s="68">
        <f>IF(OR(TaxOn&lt;&gt;"Yes",NOT(ISNUMBER(M1568))),0,IF(IFERROR(INDEX(tt_Tax,MATCH(D1568,tt_Type,0)),"No")="Yes",M1568,0))</f>
        <v/>
      </c>
      <c r="X1568" s="67">
        <f>IF(T1568=1,"",IF(C1568="","Missing transaction date",IF(NOT(ISNUMBER(C1568)),"Invalid date",IF(OR(C1568&lt;DATE(2000,1,1),C1568&gt;DATE(2099,12,31)),"Invalid date",IF(D1568="","Select a type",IF(U1568="","Unknown type: "&amp;D1568,IF(V1568="","Select an account (Category)",IF(ISNA(MATCH(V1568,coa_Name,0)),"Unknown account: "&amp;V1568,IF(K1568="","Select Paid From / Deposited To",IF(ISNA(MATCH(K1568,coa_Name,0)),"Unknown account: "&amp;K1568,IF(NOT(ISNUMBER(L1568)),"Enter an amount",IF(L1568=0,"Enter an amount",IF(ABS(W1568)&gt;ABS(L1568),"Tax is larger than the amount","")))))))))))))</f>
        <v/>
      </c>
      <c r="Y1568" s="67">
        <f>IF(OR(T1568=1,X1568&lt;&gt;""),"",IF(AND(B1568&lt;&gt;"",COUNTIF(tx_ID,B1568)&gt;1),"Duplicate transaction ID",IF(AND(L1568&lt;0,D1568&lt;&gt;"Adjustment"),"Negative amount — check this entry",IF(AND(D1568="Customer Payment",G1568=""),"Add the customer",IF(AND(D1568="Customer Payment",OR(J1568="",COUNTIF(ar_No,J1568&amp;"")=0)),"Invoice # in Reference not found on AR sheet",IF(AND(D1568="Bill Payment",H1568=""),"Add the vendor",IF(AND(D1568="Bill Payment",OR(J1568="",COUNTIFS(ap_No,J1568&amp;"",ap_Party,H1568&amp;"")=0)),"Bill # + vendor not found on AP sheet",IF(AND(ISNUMBER(M1568),N(M1568)&lt;&gt;0,W1568=0),"Tax ignored (tax tracking off, or not allowed for this type)",IF(V1568=K1568&amp;"","Same account on both sides",IF(AND(ISNUMBER(StartDate),C1568&lt;StartDate),"Date is before the accounting start date",IF(AND(D1568&lt;&gt;"Adjustment",IFERROR(INDEX(coa_Pay,MATCH(K1568&amp;"",coa_Name,0)),"")&lt;&gt;"Yes"),"Paid From / Deposited To is not a payment account","")))))))))))</f>
        <v/>
      </c>
      <c r="Z1568" s="67">
        <f>IF(AND(T1568=0,X1568=""),1,0)</f>
        <v/>
      </c>
      <c r="AA1568" s="68">
        <f>IF(Z1568=1,IF(U1568="In",L1568,L1568-W1568),0)</f>
        <v/>
      </c>
      <c r="AB1568" s="68">
        <f>IF(Z1568=1,IF(U1568="In",L1568-W1568,L1568),0)</f>
        <v/>
      </c>
      <c r="AC1568" s="68">
        <f>IF(AND(Z1568=1,U1568="Out"),W1568,0)</f>
        <v/>
      </c>
      <c r="AD1568" s="68">
        <f>IF(AND(Z1568=1,U1568="In"),W1568,0)</f>
        <v/>
      </c>
    </row>
    <row r="1569">
      <c r="B1569" s="62" t="inlineStr">
        <is>
          <t>TX-1563</t>
        </is>
      </c>
      <c r="C1569" s="63" t="n"/>
      <c r="D1569" s="62" t="n"/>
      <c r="E1569" s="62" t="n"/>
      <c r="F1569" s="62" t="n"/>
      <c r="G1569" s="62" t="n"/>
      <c r="H1569" s="62" t="n"/>
      <c r="I1569" s="62" t="n"/>
      <c r="J1569" s="62" t="n"/>
      <c r="K1569" s="62" t="n"/>
      <c r="L1569" s="64" t="n"/>
      <c r="M1569" s="64" t="n"/>
      <c r="N1569" s="62" t="n"/>
      <c r="O1569" s="65">
        <f>IF(Z1569=1,L1569-W1569,"")</f>
        <v/>
      </c>
      <c r="P1569" s="66">
        <f>IF(V1569="","",IFERROR(INDEX(coa_Type,MATCH(V1569,coa_Name,0)),""))</f>
        <v/>
      </c>
      <c r="Q1569" s="66">
        <f>IF(Z1569=1,IF(U1569="In",K1569&amp;"",V1569),"")</f>
        <v/>
      </c>
      <c r="R1569" s="66">
        <f>IF(Z1569=1,IF(U1569="In",V1569,K1569&amp;""),"")</f>
        <v/>
      </c>
      <c r="S1569" s="66">
        <f>IF(X1569&lt;&gt;"","⛔ "&amp;X1569&amp;" — not posted",IF(Y1569&lt;&gt;"","⚠ "&amp;Y1569,IF(Z1569=1,"✓ OK","")))</f>
        <v/>
      </c>
      <c r="T1569" s="67">
        <f>IF(AND(C1569="",D1569="",E1569="",L1569="",K1569=""),1,0)</f>
        <v/>
      </c>
      <c r="U1569" s="67">
        <f>IFERROR(INDEX(tt_Dir,MATCH(D1569,tt_Type,0)),"")</f>
        <v/>
      </c>
      <c r="V1569" s="67">
        <f>IF(D1569="","",IFERROR(IF(INDEX(tt_Other,MATCH(D1569,tt_Type,0))="",E1569&amp;"",INDEX(tt_Other,MATCH(D1569,tt_Type,0))),""))</f>
        <v/>
      </c>
      <c r="W1569" s="68">
        <f>IF(OR(TaxOn&lt;&gt;"Yes",NOT(ISNUMBER(M1569))),0,IF(IFERROR(INDEX(tt_Tax,MATCH(D1569,tt_Type,0)),"No")="Yes",M1569,0))</f>
        <v/>
      </c>
      <c r="X1569" s="67">
        <f>IF(T1569=1,"",IF(C1569="","Missing transaction date",IF(NOT(ISNUMBER(C1569)),"Invalid date",IF(OR(C1569&lt;DATE(2000,1,1),C1569&gt;DATE(2099,12,31)),"Invalid date",IF(D1569="","Select a type",IF(U1569="","Unknown type: "&amp;D1569,IF(V1569="","Select an account (Category)",IF(ISNA(MATCH(V1569,coa_Name,0)),"Unknown account: "&amp;V1569,IF(K1569="","Select Paid From / Deposited To",IF(ISNA(MATCH(K1569,coa_Name,0)),"Unknown account: "&amp;K1569,IF(NOT(ISNUMBER(L1569)),"Enter an amount",IF(L1569=0,"Enter an amount",IF(ABS(W1569)&gt;ABS(L1569),"Tax is larger than the amount","")))))))))))))</f>
        <v/>
      </c>
      <c r="Y1569" s="67">
        <f>IF(OR(T1569=1,X1569&lt;&gt;""),"",IF(AND(B1569&lt;&gt;"",COUNTIF(tx_ID,B1569)&gt;1),"Duplicate transaction ID",IF(AND(L1569&lt;0,D1569&lt;&gt;"Adjustment"),"Negative amount — check this entry",IF(AND(D1569="Customer Payment",G1569=""),"Add the customer",IF(AND(D1569="Customer Payment",OR(J1569="",COUNTIF(ar_No,J1569&amp;"")=0)),"Invoice # in Reference not found on AR sheet",IF(AND(D1569="Bill Payment",H1569=""),"Add the vendor",IF(AND(D1569="Bill Payment",OR(J1569="",COUNTIFS(ap_No,J1569&amp;"",ap_Party,H1569&amp;"")=0)),"Bill # + vendor not found on AP sheet",IF(AND(ISNUMBER(M1569),N(M1569)&lt;&gt;0,W1569=0),"Tax ignored (tax tracking off, or not allowed for this type)",IF(V1569=K1569&amp;"","Same account on both sides",IF(AND(ISNUMBER(StartDate),C1569&lt;StartDate),"Date is before the accounting start date",IF(AND(D1569&lt;&gt;"Adjustment",IFERROR(INDEX(coa_Pay,MATCH(K1569&amp;"",coa_Name,0)),"")&lt;&gt;"Yes"),"Paid From / Deposited To is not a payment account","")))))))))))</f>
        <v/>
      </c>
      <c r="Z1569" s="67">
        <f>IF(AND(T1569=0,X1569=""),1,0)</f>
        <v/>
      </c>
      <c r="AA1569" s="68">
        <f>IF(Z1569=1,IF(U1569="In",L1569,L1569-W1569),0)</f>
        <v/>
      </c>
      <c r="AB1569" s="68">
        <f>IF(Z1569=1,IF(U1569="In",L1569-W1569,L1569),0)</f>
        <v/>
      </c>
      <c r="AC1569" s="68">
        <f>IF(AND(Z1569=1,U1569="Out"),W1569,0)</f>
        <v/>
      </c>
      <c r="AD1569" s="68">
        <f>IF(AND(Z1569=1,U1569="In"),W1569,0)</f>
        <v/>
      </c>
    </row>
    <row r="1570">
      <c r="B1570" s="62" t="inlineStr">
        <is>
          <t>TX-1564</t>
        </is>
      </c>
      <c r="C1570" s="63" t="n"/>
      <c r="D1570" s="62" t="n"/>
      <c r="E1570" s="62" t="n"/>
      <c r="F1570" s="62" t="n"/>
      <c r="G1570" s="62" t="n"/>
      <c r="H1570" s="62" t="n"/>
      <c r="I1570" s="62" t="n"/>
      <c r="J1570" s="62" t="n"/>
      <c r="K1570" s="62" t="n"/>
      <c r="L1570" s="64" t="n"/>
      <c r="M1570" s="64" t="n"/>
      <c r="N1570" s="62" t="n"/>
      <c r="O1570" s="65">
        <f>IF(Z1570=1,L1570-W1570,"")</f>
        <v/>
      </c>
      <c r="P1570" s="66">
        <f>IF(V1570="","",IFERROR(INDEX(coa_Type,MATCH(V1570,coa_Name,0)),""))</f>
        <v/>
      </c>
      <c r="Q1570" s="66">
        <f>IF(Z1570=1,IF(U1570="In",K1570&amp;"",V1570),"")</f>
        <v/>
      </c>
      <c r="R1570" s="66">
        <f>IF(Z1570=1,IF(U1570="In",V1570,K1570&amp;""),"")</f>
        <v/>
      </c>
      <c r="S1570" s="66">
        <f>IF(X1570&lt;&gt;"","⛔ "&amp;X1570&amp;" — not posted",IF(Y1570&lt;&gt;"","⚠ "&amp;Y1570,IF(Z1570=1,"✓ OK","")))</f>
        <v/>
      </c>
      <c r="T1570" s="67">
        <f>IF(AND(C1570="",D1570="",E1570="",L1570="",K1570=""),1,0)</f>
        <v/>
      </c>
      <c r="U1570" s="67">
        <f>IFERROR(INDEX(tt_Dir,MATCH(D1570,tt_Type,0)),"")</f>
        <v/>
      </c>
      <c r="V1570" s="67">
        <f>IF(D1570="","",IFERROR(IF(INDEX(tt_Other,MATCH(D1570,tt_Type,0))="",E1570&amp;"",INDEX(tt_Other,MATCH(D1570,tt_Type,0))),""))</f>
        <v/>
      </c>
      <c r="W1570" s="68">
        <f>IF(OR(TaxOn&lt;&gt;"Yes",NOT(ISNUMBER(M1570))),0,IF(IFERROR(INDEX(tt_Tax,MATCH(D1570,tt_Type,0)),"No")="Yes",M1570,0))</f>
        <v/>
      </c>
      <c r="X1570" s="67">
        <f>IF(T1570=1,"",IF(C1570="","Missing transaction date",IF(NOT(ISNUMBER(C1570)),"Invalid date",IF(OR(C1570&lt;DATE(2000,1,1),C1570&gt;DATE(2099,12,31)),"Invalid date",IF(D1570="","Select a type",IF(U1570="","Unknown type: "&amp;D1570,IF(V1570="","Select an account (Category)",IF(ISNA(MATCH(V1570,coa_Name,0)),"Unknown account: "&amp;V1570,IF(K1570="","Select Paid From / Deposited To",IF(ISNA(MATCH(K1570,coa_Name,0)),"Unknown account: "&amp;K1570,IF(NOT(ISNUMBER(L1570)),"Enter an amount",IF(L1570=0,"Enter an amount",IF(ABS(W1570)&gt;ABS(L1570),"Tax is larger than the amount","")))))))))))))</f>
        <v/>
      </c>
      <c r="Y1570" s="67">
        <f>IF(OR(T1570=1,X1570&lt;&gt;""),"",IF(AND(B1570&lt;&gt;"",COUNTIF(tx_ID,B1570)&gt;1),"Duplicate transaction ID",IF(AND(L1570&lt;0,D1570&lt;&gt;"Adjustment"),"Negative amount — check this entry",IF(AND(D1570="Customer Payment",G1570=""),"Add the customer",IF(AND(D1570="Customer Payment",OR(J1570="",COUNTIF(ar_No,J1570&amp;"")=0)),"Invoice # in Reference not found on AR sheet",IF(AND(D1570="Bill Payment",H1570=""),"Add the vendor",IF(AND(D1570="Bill Payment",OR(J1570="",COUNTIFS(ap_No,J1570&amp;"",ap_Party,H1570&amp;"")=0)),"Bill # + vendor not found on AP sheet",IF(AND(ISNUMBER(M1570),N(M1570)&lt;&gt;0,W1570=0),"Tax ignored (tax tracking off, or not allowed for this type)",IF(V1570=K1570&amp;"","Same account on both sides",IF(AND(ISNUMBER(StartDate),C1570&lt;StartDate),"Date is before the accounting start date",IF(AND(D1570&lt;&gt;"Adjustment",IFERROR(INDEX(coa_Pay,MATCH(K1570&amp;"",coa_Name,0)),"")&lt;&gt;"Yes"),"Paid From / Deposited To is not a payment account","")))))))))))</f>
        <v/>
      </c>
      <c r="Z1570" s="67">
        <f>IF(AND(T1570=0,X1570=""),1,0)</f>
        <v/>
      </c>
      <c r="AA1570" s="68">
        <f>IF(Z1570=1,IF(U1570="In",L1570,L1570-W1570),0)</f>
        <v/>
      </c>
      <c r="AB1570" s="68">
        <f>IF(Z1570=1,IF(U1570="In",L1570-W1570,L1570),0)</f>
        <v/>
      </c>
      <c r="AC1570" s="68">
        <f>IF(AND(Z1570=1,U1570="Out"),W1570,0)</f>
        <v/>
      </c>
      <c r="AD1570" s="68">
        <f>IF(AND(Z1570=1,U1570="In"),W1570,0)</f>
        <v/>
      </c>
    </row>
    <row r="1571">
      <c r="B1571" s="62" t="inlineStr">
        <is>
          <t>TX-1565</t>
        </is>
      </c>
      <c r="C1571" s="63" t="n"/>
      <c r="D1571" s="62" t="n"/>
      <c r="E1571" s="62" t="n"/>
      <c r="F1571" s="62" t="n"/>
      <c r="G1571" s="62" t="n"/>
      <c r="H1571" s="62" t="n"/>
      <c r="I1571" s="62" t="n"/>
      <c r="J1571" s="62" t="n"/>
      <c r="K1571" s="62" t="n"/>
      <c r="L1571" s="64" t="n"/>
      <c r="M1571" s="64" t="n"/>
      <c r="N1571" s="62" t="n"/>
      <c r="O1571" s="65">
        <f>IF(Z1571=1,L1571-W1571,"")</f>
        <v/>
      </c>
      <c r="P1571" s="66">
        <f>IF(V1571="","",IFERROR(INDEX(coa_Type,MATCH(V1571,coa_Name,0)),""))</f>
        <v/>
      </c>
      <c r="Q1571" s="66">
        <f>IF(Z1571=1,IF(U1571="In",K1571&amp;"",V1571),"")</f>
        <v/>
      </c>
      <c r="R1571" s="66">
        <f>IF(Z1571=1,IF(U1571="In",V1571,K1571&amp;""),"")</f>
        <v/>
      </c>
      <c r="S1571" s="66">
        <f>IF(X1571&lt;&gt;"","⛔ "&amp;X1571&amp;" — not posted",IF(Y1571&lt;&gt;"","⚠ "&amp;Y1571,IF(Z1571=1,"✓ OK","")))</f>
        <v/>
      </c>
      <c r="T1571" s="67">
        <f>IF(AND(C1571="",D1571="",E1571="",L1571="",K1571=""),1,0)</f>
        <v/>
      </c>
      <c r="U1571" s="67">
        <f>IFERROR(INDEX(tt_Dir,MATCH(D1571,tt_Type,0)),"")</f>
        <v/>
      </c>
      <c r="V1571" s="67">
        <f>IF(D1571="","",IFERROR(IF(INDEX(tt_Other,MATCH(D1571,tt_Type,0))="",E1571&amp;"",INDEX(tt_Other,MATCH(D1571,tt_Type,0))),""))</f>
        <v/>
      </c>
      <c r="W1571" s="68">
        <f>IF(OR(TaxOn&lt;&gt;"Yes",NOT(ISNUMBER(M1571))),0,IF(IFERROR(INDEX(tt_Tax,MATCH(D1571,tt_Type,0)),"No")="Yes",M1571,0))</f>
        <v/>
      </c>
      <c r="X1571" s="67">
        <f>IF(T1571=1,"",IF(C1571="","Missing transaction date",IF(NOT(ISNUMBER(C1571)),"Invalid date",IF(OR(C1571&lt;DATE(2000,1,1),C1571&gt;DATE(2099,12,31)),"Invalid date",IF(D1571="","Select a type",IF(U1571="","Unknown type: "&amp;D1571,IF(V1571="","Select an account (Category)",IF(ISNA(MATCH(V1571,coa_Name,0)),"Unknown account: "&amp;V1571,IF(K1571="","Select Paid From / Deposited To",IF(ISNA(MATCH(K1571,coa_Name,0)),"Unknown account: "&amp;K1571,IF(NOT(ISNUMBER(L1571)),"Enter an amount",IF(L1571=0,"Enter an amount",IF(ABS(W1571)&gt;ABS(L1571),"Tax is larger than the amount","")))))))))))))</f>
        <v/>
      </c>
      <c r="Y1571" s="67">
        <f>IF(OR(T1571=1,X1571&lt;&gt;""),"",IF(AND(B1571&lt;&gt;"",COUNTIF(tx_ID,B1571)&gt;1),"Duplicate transaction ID",IF(AND(L1571&lt;0,D1571&lt;&gt;"Adjustment"),"Negative amount — check this entry",IF(AND(D1571="Customer Payment",G1571=""),"Add the customer",IF(AND(D1571="Customer Payment",OR(J1571="",COUNTIF(ar_No,J1571&amp;"")=0)),"Invoice # in Reference not found on AR sheet",IF(AND(D1571="Bill Payment",H1571=""),"Add the vendor",IF(AND(D1571="Bill Payment",OR(J1571="",COUNTIFS(ap_No,J1571&amp;"",ap_Party,H1571&amp;"")=0)),"Bill # + vendor not found on AP sheet",IF(AND(ISNUMBER(M1571),N(M1571)&lt;&gt;0,W1571=0),"Tax ignored (tax tracking off, or not allowed for this type)",IF(V1571=K1571&amp;"","Same account on both sides",IF(AND(ISNUMBER(StartDate),C1571&lt;StartDate),"Date is before the accounting start date",IF(AND(D1571&lt;&gt;"Adjustment",IFERROR(INDEX(coa_Pay,MATCH(K1571&amp;"",coa_Name,0)),"")&lt;&gt;"Yes"),"Paid From / Deposited To is not a payment account","")))))))))))</f>
        <v/>
      </c>
      <c r="Z1571" s="67">
        <f>IF(AND(T1571=0,X1571=""),1,0)</f>
        <v/>
      </c>
      <c r="AA1571" s="68">
        <f>IF(Z1571=1,IF(U1571="In",L1571,L1571-W1571),0)</f>
        <v/>
      </c>
      <c r="AB1571" s="68">
        <f>IF(Z1571=1,IF(U1571="In",L1571-W1571,L1571),0)</f>
        <v/>
      </c>
      <c r="AC1571" s="68">
        <f>IF(AND(Z1571=1,U1571="Out"),W1571,0)</f>
        <v/>
      </c>
      <c r="AD1571" s="68">
        <f>IF(AND(Z1571=1,U1571="In"),W1571,0)</f>
        <v/>
      </c>
    </row>
    <row r="1572">
      <c r="B1572" s="62" t="inlineStr">
        <is>
          <t>TX-1566</t>
        </is>
      </c>
      <c r="C1572" s="63" t="n"/>
      <c r="D1572" s="62" t="n"/>
      <c r="E1572" s="62" t="n"/>
      <c r="F1572" s="62" t="n"/>
      <c r="G1572" s="62" t="n"/>
      <c r="H1572" s="62" t="n"/>
      <c r="I1572" s="62" t="n"/>
      <c r="J1572" s="62" t="n"/>
      <c r="K1572" s="62" t="n"/>
      <c r="L1572" s="64" t="n"/>
      <c r="M1572" s="64" t="n"/>
      <c r="N1572" s="62" t="n"/>
      <c r="O1572" s="65">
        <f>IF(Z1572=1,L1572-W1572,"")</f>
        <v/>
      </c>
      <c r="P1572" s="66">
        <f>IF(V1572="","",IFERROR(INDEX(coa_Type,MATCH(V1572,coa_Name,0)),""))</f>
        <v/>
      </c>
      <c r="Q1572" s="66">
        <f>IF(Z1572=1,IF(U1572="In",K1572&amp;"",V1572),"")</f>
        <v/>
      </c>
      <c r="R1572" s="66">
        <f>IF(Z1572=1,IF(U1572="In",V1572,K1572&amp;""),"")</f>
        <v/>
      </c>
      <c r="S1572" s="66">
        <f>IF(X1572&lt;&gt;"","⛔ "&amp;X1572&amp;" — not posted",IF(Y1572&lt;&gt;"","⚠ "&amp;Y1572,IF(Z1572=1,"✓ OK","")))</f>
        <v/>
      </c>
      <c r="T1572" s="67">
        <f>IF(AND(C1572="",D1572="",E1572="",L1572="",K1572=""),1,0)</f>
        <v/>
      </c>
      <c r="U1572" s="67">
        <f>IFERROR(INDEX(tt_Dir,MATCH(D1572,tt_Type,0)),"")</f>
        <v/>
      </c>
      <c r="V1572" s="67">
        <f>IF(D1572="","",IFERROR(IF(INDEX(tt_Other,MATCH(D1572,tt_Type,0))="",E1572&amp;"",INDEX(tt_Other,MATCH(D1572,tt_Type,0))),""))</f>
        <v/>
      </c>
      <c r="W1572" s="68">
        <f>IF(OR(TaxOn&lt;&gt;"Yes",NOT(ISNUMBER(M1572))),0,IF(IFERROR(INDEX(tt_Tax,MATCH(D1572,tt_Type,0)),"No")="Yes",M1572,0))</f>
        <v/>
      </c>
      <c r="X1572" s="67">
        <f>IF(T1572=1,"",IF(C1572="","Missing transaction date",IF(NOT(ISNUMBER(C1572)),"Invalid date",IF(OR(C1572&lt;DATE(2000,1,1),C1572&gt;DATE(2099,12,31)),"Invalid date",IF(D1572="","Select a type",IF(U1572="","Unknown type: "&amp;D1572,IF(V1572="","Select an account (Category)",IF(ISNA(MATCH(V1572,coa_Name,0)),"Unknown account: "&amp;V1572,IF(K1572="","Select Paid From / Deposited To",IF(ISNA(MATCH(K1572,coa_Name,0)),"Unknown account: "&amp;K1572,IF(NOT(ISNUMBER(L1572)),"Enter an amount",IF(L1572=0,"Enter an amount",IF(ABS(W1572)&gt;ABS(L1572),"Tax is larger than the amount","")))))))))))))</f>
        <v/>
      </c>
      <c r="Y1572" s="67">
        <f>IF(OR(T1572=1,X1572&lt;&gt;""),"",IF(AND(B1572&lt;&gt;"",COUNTIF(tx_ID,B1572)&gt;1),"Duplicate transaction ID",IF(AND(L1572&lt;0,D1572&lt;&gt;"Adjustment"),"Negative amount — check this entry",IF(AND(D1572="Customer Payment",G1572=""),"Add the customer",IF(AND(D1572="Customer Payment",OR(J1572="",COUNTIF(ar_No,J1572&amp;"")=0)),"Invoice # in Reference not found on AR sheet",IF(AND(D1572="Bill Payment",H1572=""),"Add the vendor",IF(AND(D1572="Bill Payment",OR(J1572="",COUNTIFS(ap_No,J1572&amp;"",ap_Party,H1572&amp;"")=0)),"Bill # + vendor not found on AP sheet",IF(AND(ISNUMBER(M1572),N(M1572)&lt;&gt;0,W1572=0),"Tax ignored (tax tracking off, or not allowed for this type)",IF(V1572=K1572&amp;"","Same account on both sides",IF(AND(ISNUMBER(StartDate),C1572&lt;StartDate),"Date is before the accounting start date",IF(AND(D1572&lt;&gt;"Adjustment",IFERROR(INDEX(coa_Pay,MATCH(K1572&amp;"",coa_Name,0)),"")&lt;&gt;"Yes"),"Paid From / Deposited To is not a payment account","")))))))))))</f>
        <v/>
      </c>
      <c r="Z1572" s="67">
        <f>IF(AND(T1572=0,X1572=""),1,0)</f>
        <v/>
      </c>
      <c r="AA1572" s="68">
        <f>IF(Z1572=1,IF(U1572="In",L1572,L1572-W1572),0)</f>
        <v/>
      </c>
      <c r="AB1572" s="68">
        <f>IF(Z1572=1,IF(U1572="In",L1572-W1572,L1572),0)</f>
        <v/>
      </c>
      <c r="AC1572" s="68">
        <f>IF(AND(Z1572=1,U1572="Out"),W1572,0)</f>
        <v/>
      </c>
      <c r="AD1572" s="68">
        <f>IF(AND(Z1572=1,U1572="In"),W1572,0)</f>
        <v/>
      </c>
    </row>
    <row r="1573">
      <c r="B1573" s="62" t="inlineStr">
        <is>
          <t>TX-1567</t>
        </is>
      </c>
      <c r="C1573" s="63" t="n"/>
      <c r="D1573" s="62" t="n"/>
      <c r="E1573" s="62" t="n"/>
      <c r="F1573" s="62" t="n"/>
      <c r="G1573" s="62" t="n"/>
      <c r="H1573" s="62" t="n"/>
      <c r="I1573" s="62" t="n"/>
      <c r="J1573" s="62" t="n"/>
      <c r="K1573" s="62" t="n"/>
      <c r="L1573" s="64" t="n"/>
      <c r="M1573" s="64" t="n"/>
      <c r="N1573" s="62" t="n"/>
      <c r="O1573" s="65">
        <f>IF(Z1573=1,L1573-W1573,"")</f>
        <v/>
      </c>
      <c r="P1573" s="66">
        <f>IF(V1573="","",IFERROR(INDEX(coa_Type,MATCH(V1573,coa_Name,0)),""))</f>
        <v/>
      </c>
      <c r="Q1573" s="66">
        <f>IF(Z1573=1,IF(U1573="In",K1573&amp;"",V1573),"")</f>
        <v/>
      </c>
      <c r="R1573" s="66">
        <f>IF(Z1573=1,IF(U1573="In",V1573,K1573&amp;""),"")</f>
        <v/>
      </c>
      <c r="S1573" s="66">
        <f>IF(X1573&lt;&gt;"","⛔ "&amp;X1573&amp;" — not posted",IF(Y1573&lt;&gt;"","⚠ "&amp;Y1573,IF(Z1573=1,"✓ OK","")))</f>
        <v/>
      </c>
      <c r="T1573" s="67">
        <f>IF(AND(C1573="",D1573="",E1573="",L1573="",K1573=""),1,0)</f>
        <v/>
      </c>
      <c r="U1573" s="67">
        <f>IFERROR(INDEX(tt_Dir,MATCH(D1573,tt_Type,0)),"")</f>
        <v/>
      </c>
      <c r="V1573" s="67">
        <f>IF(D1573="","",IFERROR(IF(INDEX(tt_Other,MATCH(D1573,tt_Type,0))="",E1573&amp;"",INDEX(tt_Other,MATCH(D1573,tt_Type,0))),""))</f>
        <v/>
      </c>
      <c r="W1573" s="68">
        <f>IF(OR(TaxOn&lt;&gt;"Yes",NOT(ISNUMBER(M1573))),0,IF(IFERROR(INDEX(tt_Tax,MATCH(D1573,tt_Type,0)),"No")="Yes",M1573,0))</f>
        <v/>
      </c>
      <c r="X1573" s="67">
        <f>IF(T1573=1,"",IF(C1573="","Missing transaction date",IF(NOT(ISNUMBER(C1573)),"Invalid date",IF(OR(C1573&lt;DATE(2000,1,1),C1573&gt;DATE(2099,12,31)),"Invalid date",IF(D1573="","Select a type",IF(U1573="","Unknown type: "&amp;D1573,IF(V1573="","Select an account (Category)",IF(ISNA(MATCH(V1573,coa_Name,0)),"Unknown account: "&amp;V1573,IF(K1573="","Select Paid From / Deposited To",IF(ISNA(MATCH(K1573,coa_Name,0)),"Unknown account: "&amp;K1573,IF(NOT(ISNUMBER(L1573)),"Enter an amount",IF(L1573=0,"Enter an amount",IF(ABS(W1573)&gt;ABS(L1573),"Tax is larger than the amount","")))))))))))))</f>
        <v/>
      </c>
      <c r="Y1573" s="67">
        <f>IF(OR(T1573=1,X1573&lt;&gt;""),"",IF(AND(B1573&lt;&gt;"",COUNTIF(tx_ID,B1573)&gt;1),"Duplicate transaction ID",IF(AND(L1573&lt;0,D1573&lt;&gt;"Adjustment"),"Negative amount — check this entry",IF(AND(D1573="Customer Payment",G1573=""),"Add the customer",IF(AND(D1573="Customer Payment",OR(J1573="",COUNTIF(ar_No,J1573&amp;"")=0)),"Invoice # in Reference not found on AR sheet",IF(AND(D1573="Bill Payment",H1573=""),"Add the vendor",IF(AND(D1573="Bill Payment",OR(J1573="",COUNTIFS(ap_No,J1573&amp;"",ap_Party,H1573&amp;"")=0)),"Bill # + vendor not found on AP sheet",IF(AND(ISNUMBER(M1573),N(M1573)&lt;&gt;0,W1573=0),"Tax ignored (tax tracking off, or not allowed for this type)",IF(V1573=K1573&amp;"","Same account on both sides",IF(AND(ISNUMBER(StartDate),C1573&lt;StartDate),"Date is before the accounting start date",IF(AND(D1573&lt;&gt;"Adjustment",IFERROR(INDEX(coa_Pay,MATCH(K1573&amp;"",coa_Name,0)),"")&lt;&gt;"Yes"),"Paid From / Deposited To is not a payment account","")))))))))))</f>
        <v/>
      </c>
      <c r="Z1573" s="67">
        <f>IF(AND(T1573=0,X1573=""),1,0)</f>
        <v/>
      </c>
      <c r="AA1573" s="68">
        <f>IF(Z1573=1,IF(U1573="In",L1573,L1573-W1573),0)</f>
        <v/>
      </c>
      <c r="AB1573" s="68">
        <f>IF(Z1573=1,IF(U1573="In",L1573-W1573,L1573),0)</f>
        <v/>
      </c>
      <c r="AC1573" s="68">
        <f>IF(AND(Z1573=1,U1573="Out"),W1573,0)</f>
        <v/>
      </c>
      <c r="AD1573" s="68">
        <f>IF(AND(Z1573=1,U1573="In"),W1573,0)</f>
        <v/>
      </c>
    </row>
    <row r="1574">
      <c r="B1574" s="62" t="inlineStr">
        <is>
          <t>TX-1568</t>
        </is>
      </c>
      <c r="C1574" s="63" t="n"/>
      <c r="D1574" s="62" t="n"/>
      <c r="E1574" s="62" t="n"/>
      <c r="F1574" s="62" t="n"/>
      <c r="G1574" s="62" t="n"/>
      <c r="H1574" s="62" t="n"/>
      <c r="I1574" s="62" t="n"/>
      <c r="J1574" s="62" t="n"/>
      <c r="K1574" s="62" t="n"/>
      <c r="L1574" s="64" t="n"/>
      <c r="M1574" s="64" t="n"/>
      <c r="N1574" s="62" t="n"/>
      <c r="O1574" s="65">
        <f>IF(Z1574=1,L1574-W1574,"")</f>
        <v/>
      </c>
      <c r="P1574" s="66">
        <f>IF(V1574="","",IFERROR(INDEX(coa_Type,MATCH(V1574,coa_Name,0)),""))</f>
        <v/>
      </c>
      <c r="Q1574" s="66">
        <f>IF(Z1574=1,IF(U1574="In",K1574&amp;"",V1574),"")</f>
        <v/>
      </c>
      <c r="R1574" s="66">
        <f>IF(Z1574=1,IF(U1574="In",V1574,K1574&amp;""),"")</f>
        <v/>
      </c>
      <c r="S1574" s="66">
        <f>IF(X1574&lt;&gt;"","⛔ "&amp;X1574&amp;" — not posted",IF(Y1574&lt;&gt;"","⚠ "&amp;Y1574,IF(Z1574=1,"✓ OK","")))</f>
        <v/>
      </c>
      <c r="T1574" s="67">
        <f>IF(AND(C1574="",D1574="",E1574="",L1574="",K1574=""),1,0)</f>
        <v/>
      </c>
      <c r="U1574" s="67">
        <f>IFERROR(INDEX(tt_Dir,MATCH(D1574,tt_Type,0)),"")</f>
        <v/>
      </c>
      <c r="V1574" s="67">
        <f>IF(D1574="","",IFERROR(IF(INDEX(tt_Other,MATCH(D1574,tt_Type,0))="",E1574&amp;"",INDEX(tt_Other,MATCH(D1574,tt_Type,0))),""))</f>
        <v/>
      </c>
      <c r="W1574" s="68">
        <f>IF(OR(TaxOn&lt;&gt;"Yes",NOT(ISNUMBER(M1574))),0,IF(IFERROR(INDEX(tt_Tax,MATCH(D1574,tt_Type,0)),"No")="Yes",M1574,0))</f>
        <v/>
      </c>
      <c r="X1574" s="67">
        <f>IF(T1574=1,"",IF(C1574="","Missing transaction date",IF(NOT(ISNUMBER(C1574)),"Invalid date",IF(OR(C1574&lt;DATE(2000,1,1),C1574&gt;DATE(2099,12,31)),"Invalid date",IF(D1574="","Select a type",IF(U1574="","Unknown type: "&amp;D1574,IF(V1574="","Select an account (Category)",IF(ISNA(MATCH(V1574,coa_Name,0)),"Unknown account: "&amp;V1574,IF(K1574="","Select Paid From / Deposited To",IF(ISNA(MATCH(K1574,coa_Name,0)),"Unknown account: "&amp;K1574,IF(NOT(ISNUMBER(L1574)),"Enter an amount",IF(L1574=0,"Enter an amount",IF(ABS(W1574)&gt;ABS(L1574),"Tax is larger than the amount","")))))))))))))</f>
        <v/>
      </c>
      <c r="Y1574" s="67">
        <f>IF(OR(T1574=1,X1574&lt;&gt;""),"",IF(AND(B1574&lt;&gt;"",COUNTIF(tx_ID,B1574)&gt;1),"Duplicate transaction ID",IF(AND(L1574&lt;0,D1574&lt;&gt;"Adjustment"),"Negative amount — check this entry",IF(AND(D1574="Customer Payment",G1574=""),"Add the customer",IF(AND(D1574="Customer Payment",OR(J1574="",COUNTIF(ar_No,J1574&amp;"")=0)),"Invoice # in Reference not found on AR sheet",IF(AND(D1574="Bill Payment",H1574=""),"Add the vendor",IF(AND(D1574="Bill Payment",OR(J1574="",COUNTIFS(ap_No,J1574&amp;"",ap_Party,H1574&amp;"")=0)),"Bill # + vendor not found on AP sheet",IF(AND(ISNUMBER(M1574),N(M1574)&lt;&gt;0,W1574=0),"Tax ignored (tax tracking off, or not allowed for this type)",IF(V1574=K1574&amp;"","Same account on both sides",IF(AND(ISNUMBER(StartDate),C1574&lt;StartDate),"Date is before the accounting start date",IF(AND(D1574&lt;&gt;"Adjustment",IFERROR(INDEX(coa_Pay,MATCH(K1574&amp;"",coa_Name,0)),"")&lt;&gt;"Yes"),"Paid From / Deposited To is not a payment account","")))))))))))</f>
        <v/>
      </c>
      <c r="Z1574" s="67">
        <f>IF(AND(T1574=0,X1574=""),1,0)</f>
        <v/>
      </c>
      <c r="AA1574" s="68">
        <f>IF(Z1574=1,IF(U1574="In",L1574,L1574-W1574),0)</f>
        <v/>
      </c>
      <c r="AB1574" s="68">
        <f>IF(Z1574=1,IF(U1574="In",L1574-W1574,L1574),0)</f>
        <v/>
      </c>
      <c r="AC1574" s="68">
        <f>IF(AND(Z1574=1,U1574="Out"),W1574,0)</f>
        <v/>
      </c>
      <c r="AD1574" s="68">
        <f>IF(AND(Z1574=1,U1574="In"),W1574,0)</f>
        <v/>
      </c>
    </row>
    <row r="1575">
      <c r="B1575" s="62" t="inlineStr">
        <is>
          <t>TX-1569</t>
        </is>
      </c>
      <c r="C1575" s="63" t="n"/>
      <c r="D1575" s="62" t="n"/>
      <c r="E1575" s="62" t="n"/>
      <c r="F1575" s="62" t="n"/>
      <c r="G1575" s="62" t="n"/>
      <c r="H1575" s="62" t="n"/>
      <c r="I1575" s="62" t="n"/>
      <c r="J1575" s="62" t="n"/>
      <c r="K1575" s="62" t="n"/>
      <c r="L1575" s="64" t="n"/>
      <c r="M1575" s="64" t="n"/>
      <c r="N1575" s="62" t="n"/>
      <c r="O1575" s="65">
        <f>IF(Z1575=1,L1575-W1575,"")</f>
        <v/>
      </c>
      <c r="P1575" s="66">
        <f>IF(V1575="","",IFERROR(INDEX(coa_Type,MATCH(V1575,coa_Name,0)),""))</f>
        <v/>
      </c>
      <c r="Q1575" s="66">
        <f>IF(Z1575=1,IF(U1575="In",K1575&amp;"",V1575),"")</f>
        <v/>
      </c>
      <c r="R1575" s="66">
        <f>IF(Z1575=1,IF(U1575="In",V1575,K1575&amp;""),"")</f>
        <v/>
      </c>
      <c r="S1575" s="66">
        <f>IF(X1575&lt;&gt;"","⛔ "&amp;X1575&amp;" — not posted",IF(Y1575&lt;&gt;"","⚠ "&amp;Y1575,IF(Z1575=1,"✓ OK","")))</f>
        <v/>
      </c>
      <c r="T1575" s="67">
        <f>IF(AND(C1575="",D1575="",E1575="",L1575="",K1575=""),1,0)</f>
        <v/>
      </c>
      <c r="U1575" s="67">
        <f>IFERROR(INDEX(tt_Dir,MATCH(D1575,tt_Type,0)),"")</f>
        <v/>
      </c>
      <c r="V1575" s="67">
        <f>IF(D1575="","",IFERROR(IF(INDEX(tt_Other,MATCH(D1575,tt_Type,0))="",E1575&amp;"",INDEX(tt_Other,MATCH(D1575,tt_Type,0))),""))</f>
        <v/>
      </c>
      <c r="W1575" s="68">
        <f>IF(OR(TaxOn&lt;&gt;"Yes",NOT(ISNUMBER(M1575))),0,IF(IFERROR(INDEX(tt_Tax,MATCH(D1575,tt_Type,0)),"No")="Yes",M1575,0))</f>
        <v/>
      </c>
      <c r="X1575" s="67">
        <f>IF(T1575=1,"",IF(C1575="","Missing transaction date",IF(NOT(ISNUMBER(C1575)),"Invalid date",IF(OR(C1575&lt;DATE(2000,1,1),C1575&gt;DATE(2099,12,31)),"Invalid date",IF(D1575="","Select a type",IF(U1575="","Unknown type: "&amp;D1575,IF(V1575="","Select an account (Category)",IF(ISNA(MATCH(V1575,coa_Name,0)),"Unknown account: "&amp;V1575,IF(K1575="","Select Paid From / Deposited To",IF(ISNA(MATCH(K1575,coa_Name,0)),"Unknown account: "&amp;K1575,IF(NOT(ISNUMBER(L1575)),"Enter an amount",IF(L1575=0,"Enter an amount",IF(ABS(W1575)&gt;ABS(L1575),"Tax is larger than the amount","")))))))))))))</f>
        <v/>
      </c>
      <c r="Y1575" s="67">
        <f>IF(OR(T1575=1,X1575&lt;&gt;""),"",IF(AND(B1575&lt;&gt;"",COUNTIF(tx_ID,B1575)&gt;1),"Duplicate transaction ID",IF(AND(L1575&lt;0,D1575&lt;&gt;"Adjustment"),"Negative amount — check this entry",IF(AND(D1575="Customer Payment",G1575=""),"Add the customer",IF(AND(D1575="Customer Payment",OR(J1575="",COUNTIF(ar_No,J1575&amp;"")=0)),"Invoice # in Reference not found on AR sheet",IF(AND(D1575="Bill Payment",H1575=""),"Add the vendor",IF(AND(D1575="Bill Payment",OR(J1575="",COUNTIFS(ap_No,J1575&amp;"",ap_Party,H1575&amp;"")=0)),"Bill # + vendor not found on AP sheet",IF(AND(ISNUMBER(M1575),N(M1575)&lt;&gt;0,W1575=0),"Tax ignored (tax tracking off, or not allowed for this type)",IF(V1575=K1575&amp;"","Same account on both sides",IF(AND(ISNUMBER(StartDate),C1575&lt;StartDate),"Date is before the accounting start date",IF(AND(D1575&lt;&gt;"Adjustment",IFERROR(INDEX(coa_Pay,MATCH(K1575&amp;"",coa_Name,0)),"")&lt;&gt;"Yes"),"Paid From / Deposited To is not a payment account","")))))))))))</f>
        <v/>
      </c>
      <c r="Z1575" s="67">
        <f>IF(AND(T1575=0,X1575=""),1,0)</f>
        <v/>
      </c>
      <c r="AA1575" s="68">
        <f>IF(Z1575=1,IF(U1575="In",L1575,L1575-W1575),0)</f>
        <v/>
      </c>
      <c r="AB1575" s="68">
        <f>IF(Z1575=1,IF(U1575="In",L1575-W1575,L1575),0)</f>
        <v/>
      </c>
      <c r="AC1575" s="68">
        <f>IF(AND(Z1575=1,U1575="Out"),W1575,0)</f>
        <v/>
      </c>
      <c r="AD1575" s="68">
        <f>IF(AND(Z1575=1,U1575="In"),W1575,0)</f>
        <v/>
      </c>
    </row>
    <row r="1576">
      <c r="B1576" s="62" t="inlineStr">
        <is>
          <t>TX-1570</t>
        </is>
      </c>
      <c r="C1576" s="63" t="n"/>
      <c r="D1576" s="62" t="n"/>
      <c r="E1576" s="62" t="n"/>
      <c r="F1576" s="62" t="n"/>
      <c r="G1576" s="62" t="n"/>
      <c r="H1576" s="62" t="n"/>
      <c r="I1576" s="62" t="n"/>
      <c r="J1576" s="62" t="n"/>
      <c r="K1576" s="62" t="n"/>
      <c r="L1576" s="64" t="n"/>
      <c r="M1576" s="64" t="n"/>
      <c r="N1576" s="62" t="n"/>
      <c r="O1576" s="65">
        <f>IF(Z1576=1,L1576-W1576,"")</f>
        <v/>
      </c>
      <c r="P1576" s="66">
        <f>IF(V1576="","",IFERROR(INDEX(coa_Type,MATCH(V1576,coa_Name,0)),""))</f>
        <v/>
      </c>
      <c r="Q1576" s="66">
        <f>IF(Z1576=1,IF(U1576="In",K1576&amp;"",V1576),"")</f>
        <v/>
      </c>
      <c r="R1576" s="66">
        <f>IF(Z1576=1,IF(U1576="In",V1576,K1576&amp;""),"")</f>
        <v/>
      </c>
      <c r="S1576" s="66">
        <f>IF(X1576&lt;&gt;"","⛔ "&amp;X1576&amp;" — not posted",IF(Y1576&lt;&gt;"","⚠ "&amp;Y1576,IF(Z1576=1,"✓ OK","")))</f>
        <v/>
      </c>
      <c r="T1576" s="67">
        <f>IF(AND(C1576="",D1576="",E1576="",L1576="",K1576=""),1,0)</f>
        <v/>
      </c>
      <c r="U1576" s="67">
        <f>IFERROR(INDEX(tt_Dir,MATCH(D1576,tt_Type,0)),"")</f>
        <v/>
      </c>
      <c r="V1576" s="67">
        <f>IF(D1576="","",IFERROR(IF(INDEX(tt_Other,MATCH(D1576,tt_Type,0))="",E1576&amp;"",INDEX(tt_Other,MATCH(D1576,tt_Type,0))),""))</f>
        <v/>
      </c>
      <c r="W1576" s="68">
        <f>IF(OR(TaxOn&lt;&gt;"Yes",NOT(ISNUMBER(M1576))),0,IF(IFERROR(INDEX(tt_Tax,MATCH(D1576,tt_Type,0)),"No")="Yes",M1576,0))</f>
        <v/>
      </c>
      <c r="X1576" s="67">
        <f>IF(T1576=1,"",IF(C1576="","Missing transaction date",IF(NOT(ISNUMBER(C1576)),"Invalid date",IF(OR(C1576&lt;DATE(2000,1,1),C1576&gt;DATE(2099,12,31)),"Invalid date",IF(D1576="","Select a type",IF(U1576="","Unknown type: "&amp;D1576,IF(V1576="","Select an account (Category)",IF(ISNA(MATCH(V1576,coa_Name,0)),"Unknown account: "&amp;V1576,IF(K1576="","Select Paid From / Deposited To",IF(ISNA(MATCH(K1576,coa_Name,0)),"Unknown account: "&amp;K1576,IF(NOT(ISNUMBER(L1576)),"Enter an amount",IF(L1576=0,"Enter an amount",IF(ABS(W1576)&gt;ABS(L1576),"Tax is larger than the amount","")))))))))))))</f>
        <v/>
      </c>
      <c r="Y1576" s="67">
        <f>IF(OR(T1576=1,X1576&lt;&gt;""),"",IF(AND(B1576&lt;&gt;"",COUNTIF(tx_ID,B1576)&gt;1),"Duplicate transaction ID",IF(AND(L1576&lt;0,D1576&lt;&gt;"Adjustment"),"Negative amount — check this entry",IF(AND(D1576="Customer Payment",G1576=""),"Add the customer",IF(AND(D1576="Customer Payment",OR(J1576="",COUNTIF(ar_No,J1576&amp;"")=0)),"Invoice # in Reference not found on AR sheet",IF(AND(D1576="Bill Payment",H1576=""),"Add the vendor",IF(AND(D1576="Bill Payment",OR(J1576="",COUNTIFS(ap_No,J1576&amp;"",ap_Party,H1576&amp;"")=0)),"Bill # + vendor not found on AP sheet",IF(AND(ISNUMBER(M1576),N(M1576)&lt;&gt;0,W1576=0),"Tax ignored (tax tracking off, or not allowed for this type)",IF(V1576=K1576&amp;"","Same account on both sides",IF(AND(ISNUMBER(StartDate),C1576&lt;StartDate),"Date is before the accounting start date",IF(AND(D1576&lt;&gt;"Adjustment",IFERROR(INDEX(coa_Pay,MATCH(K1576&amp;"",coa_Name,0)),"")&lt;&gt;"Yes"),"Paid From / Deposited To is not a payment account","")))))))))))</f>
        <v/>
      </c>
      <c r="Z1576" s="67">
        <f>IF(AND(T1576=0,X1576=""),1,0)</f>
        <v/>
      </c>
      <c r="AA1576" s="68">
        <f>IF(Z1576=1,IF(U1576="In",L1576,L1576-W1576),0)</f>
        <v/>
      </c>
      <c r="AB1576" s="68">
        <f>IF(Z1576=1,IF(U1576="In",L1576-W1576,L1576),0)</f>
        <v/>
      </c>
      <c r="AC1576" s="68">
        <f>IF(AND(Z1576=1,U1576="Out"),W1576,0)</f>
        <v/>
      </c>
      <c r="AD1576" s="68">
        <f>IF(AND(Z1576=1,U1576="In"),W1576,0)</f>
        <v/>
      </c>
    </row>
    <row r="1577">
      <c r="B1577" s="62" t="inlineStr">
        <is>
          <t>TX-1571</t>
        </is>
      </c>
      <c r="C1577" s="63" t="n"/>
      <c r="D1577" s="62" t="n"/>
      <c r="E1577" s="62" t="n"/>
      <c r="F1577" s="62" t="n"/>
      <c r="G1577" s="62" t="n"/>
      <c r="H1577" s="62" t="n"/>
      <c r="I1577" s="62" t="n"/>
      <c r="J1577" s="62" t="n"/>
      <c r="K1577" s="62" t="n"/>
      <c r="L1577" s="64" t="n"/>
      <c r="M1577" s="64" t="n"/>
      <c r="N1577" s="62" t="n"/>
      <c r="O1577" s="65">
        <f>IF(Z1577=1,L1577-W1577,"")</f>
        <v/>
      </c>
      <c r="P1577" s="66">
        <f>IF(V1577="","",IFERROR(INDEX(coa_Type,MATCH(V1577,coa_Name,0)),""))</f>
        <v/>
      </c>
      <c r="Q1577" s="66">
        <f>IF(Z1577=1,IF(U1577="In",K1577&amp;"",V1577),"")</f>
        <v/>
      </c>
      <c r="R1577" s="66">
        <f>IF(Z1577=1,IF(U1577="In",V1577,K1577&amp;""),"")</f>
        <v/>
      </c>
      <c r="S1577" s="66">
        <f>IF(X1577&lt;&gt;"","⛔ "&amp;X1577&amp;" — not posted",IF(Y1577&lt;&gt;"","⚠ "&amp;Y1577,IF(Z1577=1,"✓ OK","")))</f>
        <v/>
      </c>
      <c r="T1577" s="67">
        <f>IF(AND(C1577="",D1577="",E1577="",L1577="",K1577=""),1,0)</f>
        <v/>
      </c>
      <c r="U1577" s="67">
        <f>IFERROR(INDEX(tt_Dir,MATCH(D1577,tt_Type,0)),"")</f>
        <v/>
      </c>
      <c r="V1577" s="67">
        <f>IF(D1577="","",IFERROR(IF(INDEX(tt_Other,MATCH(D1577,tt_Type,0))="",E1577&amp;"",INDEX(tt_Other,MATCH(D1577,tt_Type,0))),""))</f>
        <v/>
      </c>
      <c r="W1577" s="68">
        <f>IF(OR(TaxOn&lt;&gt;"Yes",NOT(ISNUMBER(M1577))),0,IF(IFERROR(INDEX(tt_Tax,MATCH(D1577,tt_Type,0)),"No")="Yes",M1577,0))</f>
        <v/>
      </c>
      <c r="X1577" s="67">
        <f>IF(T1577=1,"",IF(C1577="","Missing transaction date",IF(NOT(ISNUMBER(C1577)),"Invalid date",IF(OR(C1577&lt;DATE(2000,1,1),C1577&gt;DATE(2099,12,31)),"Invalid date",IF(D1577="","Select a type",IF(U1577="","Unknown type: "&amp;D1577,IF(V1577="","Select an account (Category)",IF(ISNA(MATCH(V1577,coa_Name,0)),"Unknown account: "&amp;V1577,IF(K1577="","Select Paid From / Deposited To",IF(ISNA(MATCH(K1577,coa_Name,0)),"Unknown account: "&amp;K1577,IF(NOT(ISNUMBER(L1577)),"Enter an amount",IF(L1577=0,"Enter an amount",IF(ABS(W1577)&gt;ABS(L1577),"Tax is larger than the amount","")))))))))))))</f>
        <v/>
      </c>
      <c r="Y1577" s="67">
        <f>IF(OR(T1577=1,X1577&lt;&gt;""),"",IF(AND(B1577&lt;&gt;"",COUNTIF(tx_ID,B1577)&gt;1),"Duplicate transaction ID",IF(AND(L1577&lt;0,D1577&lt;&gt;"Adjustment"),"Negative amount — check this entry",IF(AND(D1577="Customer Payment",G1577=""),"Add the customer",IF(AND(D1577="Customer Payment",OR(J1577="",COUNTIF(ar_No,J1577&amp;"")=0)),"Invoice # in Reference not found on AR sheet",IF(AND(D1577="Bill Payment",H1577=""),"Add the vendor",IF(AND(D1577="Bill Payment",OR(J1577="",COUNTIFS(ap_No,J1577&amp;"",ap_Party,H1577&amp;"")=0)),"Bill # + vendor not found on AP sheet",IF(AND(ISNUMBER(M1577),N(M1577)&lt;&gt;0,W1577=0),"Tax ignored (tax tracking off, or not allowed for this type)",IF(V1577=K1577&amp;"","Same account on both sides",IF(AND(ISNUMBER(StartDate),C1577&lt;StartDate),"Date is before the accounting start date",IF(AND(D1577&lt;&gt;"Adjustment",IFERROR(INDEX(coa_Pay,MATCH(K1577&amp;"",coa_Name,0)),"")&lt;&gt;"Yes"),"Paid From / Deposited To is not a payment account","")))))))))))</f>
        <v/>
      </c>
      <c r="Z1577" s="67">
        <f>IF(AND(T1577=0,X1577=""),1,0)</f>
        <v/>
      </c>
      <c r="AA1577" s="68">
        <f>IF(Z1577=1,IF(U1577="In",L1577,L1577-W1577),0)</f>
        <v/>
      </c>
      <c r="AB1577" s="68">
        <f>IF(Z1577=1,IF(U1577="In",L1577-W1577,L1577),0)</f>
        <v/>
      </c>
      <c r="AC1577" s="68">
        <f>IF(AND(Z1577=1,U1577="Out"),W1577,0)</f>
        <v/>
      </c>
      <c r="AD1577" s="68">
        <f>IF(AND(Z1577=1,U1577="In"),W1577,0)</f>
        <v/>
      </c>
    </row>
    <row r="1578">
      <c r="B1578" s="62" t="inlineStr">
        <is>
          <t>TX-1572</t>
        </is>
      </c>
      <c r="C1578" s="63" t="n"/>
      <c r="D1578" s="62" t="n"/>
      <c r="E1578" s="62" t="n"/>
      <c r="F1578" s="62" t="n"/>
      <c r="G1578" s="62" t="n"/>
      <c r="H1578" s="62" t="n"/>
      <c r="I1578" s="62" t="n"/>
      <c r="J1578" s="62" t="n"/>
      <c r="K1578" s="62" t="n"/>
      <c r="L1578" s="64" t="n"/>
      <c r="M1578" s="64" t="n"/>
      <c r="N1578" s="62" t="n"/>
      <c r="O1578" s="65">
        <f>IF(Z1578=1,L1578-W1578,"")</f>
        <v/>
      </c>
      <c r="P1578" s="66">
        <f>IF(V1578="","",IFERROR(INDEX(coa_Type,MATCH(V1578,coa_Name,0)),""))</f>
        <v/>
      </c>
      <c r="Q1578" s="66">
        <f>IF(Z1578=1,IF(U1578="In",K1578&amp;"",V1578),"")</f>
        <v/>
      </c>
      <c r="R1578" s="66">
        <f>IF(Z1578=1,IF(U1578="In",V1578,K1578&amp;""),"")</f>
        <v/>
      </c>
      <c r="S1578" s="66">
        <f>IF(X1578&lt;&gt;"","⛔ "&amp;X1578&amp;" — not posted",IF(Y1578&lt;&gt;"","⚠ "&amp;Y1578,IF(Z1578=1,"✓ OK","")))</f>
        <v/>
      </c>
      <c r="T1578" s="67">
        <f>IF(AND(C1578="",D1578="",E1578="",L1578="",K1578=""),1,0)</f>
        <v/>
      </c>
      <c r="U1578" s="67">
        <f>IFERROR(INDEX(tt_Dir,MATCH(D1578,tt_Type,0)),"")</f>
        <v/>
      </c>
      <c r="V1578" s="67">
        <f>IF(D1578="","",IFERROR(IF(INDEX(tt_Other,MATCH(D1578,tt_Type,0))="",E1578&amp;"",INDEX(tt_Other,MATCH(D1578,tt_Type,0))),""))</f>
        <v/>
      </c>
      <c r="W1578" s="68">
        <f>IF(OR(TaxOn&lt;&gt;"Yes",NOT(ISNUMBER(M1578))),0,IF(IFERROR(INDEX(tt_Tax,MATCH(D1578,tt_Type,0)),"No")="Yes",M1578,0))</f>
        <v/>
      </c>
      <c r="X1578" s="67">
        <f>IF(T1578=1,"",IF(C1578="","Missing transaction date",IF(NOT(ISNUMBER(C1578)),"Invalid date",IF(OR(C1578&lt;DATE(2000,1,1),C1578&gt;DATE(2099,12,31)),"Invalid date",IF(D1578="","Select a type",IF(U1578="","Unknown type: "&amp;D1578,IF(V1578="","Select an account (Category)",IF(ISNA(MATCH(V1578,coa_Name,0)),"Unknown account: "&amp;V1578,IF(K1578="","Select Paid From / Deposited To",IF(ISNA(MATCH(K1578,coa_Name,0)),"Unknown account: "&amp;K1578,IF(NOT(ISNUMBER(L1578)),"Enter an amount",IF(L1578=0,"Enter an amount",IF(ABS(W1578)&gt;ABS(L1578),"Tax is larger than the amount","")))))))))))))</f>
        <v/>
      </c>
      <c r="Y1578" s="67">
        <f>IF(OR(T1578=1,X1578&lt;&gt;""),"",IF(AND(B1578&lt;&gt;"",COUNTIF(tx_ID,B1578)&gt;1),"Duplicate transaction ID",IF(AND(L1578&lt;0,D1578&lt;&gt;"Adjustment"),"Negative amount — check this entry",IF(AND(D1578="Customer Payment",G1578=""),"Add the customer",IF(AND(D1578="Customer Payment",OR(J1578="",COUNTIF(ar_No,J1578&amp;"")=0)),"Invoice # in Reference not found on AR sheet",IF(AND(D1578="Bill Payment",H1578=""),"Add the vendor",IF(AND(D1578="Bill Payment",OR(J1578="",COUNTIFS(ap_No,J1578&amp;"",ap_Party,H1578&amp;"")=0)),"Bill # + vendor not found on AP sheet",IF(AND(ISNUMBER(M1578),N(M1578)&lt;&gt;0,W1578=0),"Tax ignored (tax tracking off, or not allowed for this type)",IF(V1578=K1578&amp;"","Same account on both sides",IF(AND(ISNUMBER(StartDate),C1578&lt;StartDate),"Date is before the accounting start date",IF(AND(D1578&lt;&gt;"Adjustment",IFERROR(INDEX(coa_Pay,MATCH(K1578&amp;"",coa_Name,0)),"")&lt;&gt;"Yes"),"Paid From / Deposited To is not a payment account","")))))))))))</f>
        <v/>
      </c>
      <c r="Z1578" s="67">
        <f>IF(AND(T1578=0,X1578=""),1,0)</f>
        <v/>
      </c>
      <c r="AA1578" s="68">
        <f>IF(Z1578=1,IF(U1578="In",L1578,L1578-W1578),0)</f>
        <v/>
      </c>
      <c r="AB1578" s="68">
        <f>IF(Z1578=1,IF(U1578="In",L1578-W1578,L1578),0)</f>
        <v/>
      </c>
      <c r="AC1578" s="68">
        <f>IF(AND(Z1578=1,U1578="Out"),W1578,0)</f>
        <v/>
      </c>
      <c r="AD1578" s="68">
        <f>IF(AND(Z1578=1,U1578="In"),W1578,0)</f>
        <v/>
      </c>
    </row>
    <row r="1579">
      <c r="B1579" s="62" t="inlineStr">
        <is>
          <t>TX-1573</t>
        </is>
      </c>
      <c r="C1579" s="63" t="n"/>
      <c r="D1579" s="62" t="n"/>
      <c r="E1579" s="62" t="n"/>
      <c r="F1579" s="62" t="n"/>
      <c r="G1579" s="62" t="n"/>
      <c r="H1579" s="62" t="n"/>
      <c r="I1579" s="62" t="n"/>
      <c r="J1579" s="62" t="n"/>
      <c r="K1579" s="62" t="n"/>
      <c r="L1579" s="64" t="n"/>
      <c r="M1579" s="64" t="n"/>
      <c r="N1579" s="62" t="n"/>
      <c r="O1579" s="65">
        <f>IF(Z1579=1,L1579-W1579,"")</f>
        <v/>
      </c>
      <c r="P1579" s="66">
        <f>IF(V1579="","",IFERROR(INDEX(coa_Type,MATCH(V1579,coa_Name,0)),""))</f>
        <v/>
      </c>
      <c r="Q1579" s="66">
        <f>IF(Z1579=1,IF(U1579="In",K1579&amp;"",V1579),"")</f>
        <v/>
      </c>
      <c r="R1579" s="66">
        <f>IF(Z1579=1,IF(U1579="In",V1579,K1579&amp;""),"")</f>
        <v/>
      </c>
      <c r="S1579" s="66">
        <f>IF(X1579&lt;&gt;"","⛔ "&amp;X1579&amp;" — not posted",IF(Y1579&lt;&gt;"","⚠ "&amp;Y1579,IF(Z1579=1,"✓ OK","")))</f>
        <v/>
      </c>
      <c r="T1579" s="67">
        <f>IF(AND(C1579="",D1579="",E1579="",L1579="",K1579=""),1,0)</f>
        <v/>
      </c>
      <c r="U1579" s="67">
        <f>IFERROR(INDEX(tt_Dir,MATCH(D1579,tt_Type,0)),"")</f>
        <v/>
      </c>
      <c r="V1579" s="67">
        <f>IF(D1579="","",IFERROR(IF(INDEX(tt_Other,MATCH(D1579,tt_Type,0))="",E1579&amp;"",INDEX(tt_Other,MATCH(D1579,tt_Type,0))),""))</f>
        <v/>
      </c>
      <c r="W1579" s="68">
        <f>IF(OR(TaxOn&lt;&gt;"Yes",NOT(ISNUMBER(M1579))),0,IF(IFERROR(INDEX(tt_Tax,MATCH(D1579,tt_Type,0)),"No")="Yes",M1579,0))</f>
        <v/>
      </c>
      <c r="X1579" s="67">
        <f>IF(T1579=1,"",IF(C1579="","Missing transaction date",IF(NOT(ISNUMBER(C1579)),"Invalid date",IF(OR(C1579&lt;DATE(2000,1,1),C1579&gt;DATE(2099,12,31)),"Invalid date",IF(D1579="","Select a type",IF(U1579="","Unknown type: "&amp;D1579,IF(V1579="","Select an account (Category)",IF(ISNA(MATCH(V1579,coa_Name,0)),"Unknown account: "&amp;V1579,IF(K1579="","Select Paid From / Deposited To",IF(ISNA(MATCH(K1579,coa_Name,0)),"Unknown account: "&amp;K1579,IF(NOT(ISNUMBER(L1579)),"Enter an amount",IF(L1579=0,"Enter an amount",IF(ABS(W1579)&gt;ABS(L1579),"Tax is larger than the amount","")))))))))))))</f>
        <v/>
      </c>
      <c r="Y1579" s="67">
        <f>IF(OR(T1579=1,X1579&lt;&gt;""),"",IF(AND(B1579&lt;&gt;"",COUNTIF(tx_ID,B1579)&gt;1),"Duplicate transaction ID",IF(AND(L1579&lt;0,D1579&lt;&gt;"Adjustment"),"Negative amount — check this entry",IF(AND(D1579="Customer Payment",G1579=""),"Add the customer",IF(AND(D1579="Customer Payment",OR(J1579="",COUNTIF(ar_No,J1579&amp;"")=0)),"Invoice # in Reference not found on AR sheet",IF(AND(D1579="Bill Payment",H1579=""),"Add the vendor",IF(AND(D1579="Bill Payment",OR(J1579="",COUNTIFS(ap_No,J1579&amp;"",ap_Party,H1579&amp;"")=0)),"Bill # + vendor not found on AP sheet",IF(AND(ISNUMBER(M1579),N(M1579)&lt;&gt;0,W1579=0),"Tax ignored (tax tracking off, or not allowed for this type)",IF(V1579=K1579&amp;"","Same account on both sides",IF(AND(ISNUMBER(StartDate),C1579&lt;StartDate),"Date is before the accounting start date",IF(AND(D1579&lt;&gt;"Adjustment",IFERROR(INDEX(coa_Pay,MATCH(K1579&amp;"",coa_Name,0)),"")&lt;&gt;"Yes"),"Paid From / Deposited To is not a payment account","")))))))))))</f>
        <v/>
      </c>
      <c r="Z1579" s="67">
        <f>IF(AND(T1579=0,X1579=""),1,0)</f>
        <v/>
      </c>
      <c r="AA1579" s="68">
        <f>IF(Z1579=1,IF(U1579="In",L1579,L1579-W1579),0)</f>
        <v/>
      </c>
      <c r="AB1579" s="68">
        <f>IF(Z1579=1,IF(U1579="In",L1579-W1579,L1579),0)</f>
        <v/>
      </c>
      <c r="AC1579" s="68">
        <f>IF(AND(Z1579=1,U1579="Out"),W1579,0)</f>
        <v/>
      </c>
      <c r="AD1579" s="68">
        <f>IF(AND(Z1579=1,U1579="In"),W1579,0)</f>
        <v/>
      </c>
    </row>
    <row r="1580">
      <c r="B1580" s="62" t="inlineStr">
        <is>
          <t>TX-1574</t>
        </is>
      </c>
      <c r="C1580" s="63" t="n"/>
      <c r="D1580" s="62" t="n"/>
      <c r="E1580" s="62" t="n"/>
      <c r="F1580" s="62" t="n"/>
      <c r="G1580" s="62" t="n"/>
      <c r="H1580" s="62" t="n"/>
      <c r="I1580" s="62" t="n"/>
      <c r="J1580" s="62" t="n"/>
      <c r="K1580" s="62" t="n"/>
      <c r="L1580" s="64" t="n"/>
      <c r="M1580" s="64" t="n"/>
      <c r="N1580" s="62" t="n"/>
      <c r="O1580" s="65">
        <f>IF(Z1580=1,L1580-W1580,"")</f>
        <v/>
      </c>
      <c r="P1580" s="66">
        <f>IF(V1580="","",IFERROR(INDEX(coa_Type,MATCH(V1580,coa_Name,0)),""))</f>
        <v/>
      </c>
      <c r="Q1580" s="66">
        <f>IF(Z1580=1,IF(U1580="In",K1580&amp;"",V1580),"")</f>
        <v/>
      </c>
      <c r="R1580" s="66">
        <f>IF(Z1580=1,IF(U1580="In",V1580,K1580&amp;""),"")</f>
        <v/>
      </c>
      <c r="S1580" s="66">
        <f>IF(X1580&lt;&gt;"","⛔ "&amp;X1580&amp;" — not posted",IF(Y1580&lt;&gt;"","⚠ "&amp;Y1580,IF(Z1580=1,"✓ OK","")))</f>
        <v/>
      </c>
      <c r="T1580" s="67">
        <f>IF(AND(C1580="",D1580="",E1580="",L1580="",K1580=""),1,0)</f>
        <v/>
      </c>
      <c r="U1580" s="67">
        <f>IFERROR(INDEX(tt_Dir,MATCH(D1580,tt_Type,0)),"")</f>
        <v/>
      </c>
      <c r="V1580" s="67">
        <f>IF(D1580="","",IFERROR(IF(INDEX(tt_Other,MATCH(D1580,tt_Type,0))="",E1580&amp;"",INDEX(tt_Other,MATCH(D1580,tt_Type,0))),""))</f>
        <v/>
      </c>
      <c r="W1580" s="68">
        <f>IF(OR(TaxOn&lt;&gt;"Yes",NOT(ISNUMBER(M1580))),0,IF(IFERROR(INDEX(tt_Tax,MATCH(D1580,tt_Type,0)),"No")="Yes",M1580,0))</f>
        <v/>
      </c>
      <c r="X1580" s="67">
        <f>IF(T1580=1,"",IF(C1580="","Missing transaction date",IF(NOT(ISNUMBER(C1580)),"Invalid date",IF(OR(C1580&lt;DATE(2000,1,1),C1580&gt;DATE(2099,12,31)),"Invalid date",IF(D1580="","Select a type",IF(U1580="","Unknown type: "&amp;D1580,IF(V1580="","Select an account (Category)",IF(ISNA(MATCH(V1580,coa_Name,0)),"Unknown account: "&amp;V1580,IF(K1580="","Select Paid From / Deposited To",IF(ISNA(MATCH(K1580,coa_Name,0)),"Unknown account: "&amp;K1580,IF(NOT(ISNUMBER(L1580)),"Enter an amount",IF(L1580=0,"Enter an amount",IF(ABS(W1580)&gt;ABS(L1580),"Tax is larger than the amount","")))))))))))))</f>
        <v/>
      </c>
      <c r="Y1580" s="67">
        <f>IF(OR(T1580=1,X1580&lt;&gt;""),"",IF(AND(B1580&lt;&gt;"",COUNTIF(tx_ID,B1580)&gt;1),"Duplicate transaction ID",IF(AND(L1580&lt;0,D1580&lt;&gt;"Adjustment"),"Negative amount — check this entry",IF(AND(D1580="Customer Payment",G1580=""),"Add the customer",IF(AND(D1580="Customer Payment",OR(J1580="",COUNTIF(ar_No,J1580&amp;"")=0)),"Invoice # in Reference not found on AR sheet",IF(AND(D1580="Bill Payment",H1580=""),"Add the vendor",IF(AND(D1580="Bill Payment",OR(J1580="",COUNTIFS(ap_No,J1580&amp;"",ap_Party,H1580&amp;"")=0)),"Bill # + vendor not found on AP sheet",IF(AND(ISNUMBER(M1580),N(M1580)&lt;&gt;0,W1580=0),"Tax ignored (tax tracking off, or not allowed for this type)",IF(V1580=K1580&amp;"","Same account on both sides",IF(AND(ISNUMBER(StartDate),C1580&lt;StartDate),"Date is before the accounting start date",IF(AND(D1580&lt;&gt;"Adjustment",IFERROR(INDEX(coa_Pay,MATCH(K1580&amp;"",coa_Name,0)),"")&lt;&gt;"Yes"),"Paid From / Deposited To is not a payment account","")))))))))))</f>
        <v/>
      </c>
      <c r="Z1580" s="67">
        <f>IF(AND(T1580=0,X1580=""),1,0)</f>
        <v/>
      </c>
      <c r="AA1580" s="68">
        <f>IF(Z1580=1,IF(U1580="In",L1580,L1580-W1580),0)</f>
        <v/>
      </c>
      <c r="AB1580" s="68">
        <f>IF(Z1580=1,IF(U1580="In",L1580-W1580,L1580),0)</f>
        <v/>
      </c>
      <c r="AC1580" s="68">
        <f>IF(AND(Z1580=1,U1580="Out"),W1580,0)</f>
        <v/>
      </c>
      <c r="AD1580" s="68">
        <f>IF(AND(Z1580=1,U1580="In"),W1580,0)</f>
        <v/>
      </c>
    </row>
    <row r="1581">
      <c r="B1581" s="62" t="inlineStr">
        <is>
          <t>TX-1575</t>
        </is>
      </c>
      <c r="C1581" s="63" t="n"/>
      <c r="D1581" s="62" t="n"/>
      <c r="E1581" s="62" t="n"/>
      <c r="F1581" s="62" t="n"/>
      <c r="G1581" s="62" t="n"/>
      <c r="H1581" s="62" t="n"/>
      <c r="I1581" s="62" t="n"/>
      <c r="J1581" s="62" t="n"/>
      <c r="K1581" s="62" t="n"/>
      <c r="L1581" s="64" t="n"/>
      <c r="M1581" s="64" t="n"/>
      <c r="N1581" s="62" t="n"/>
      <c r="O1581" s="65">
        <f>IF(Z1581=1,L1581-W1581,"")</f>
        <v/>
      </c>
      <c r="P1581" s="66">
        <f>IF(V1581="","",IFERROR(INDEX(coa_Type,MATCH(V1581,coa_Name,0)),""))</f>
        <v/>
      </c>
      <c r="Q1581" s="66">
        <f>IF(Z1581=1,IF(U1581="In",K1581&amp;"",V1581),"")</f>
        <v/>
      </c>
      <c r="R1581" s="66">
        <f>IF(Z1581=1,IF(U1581="In",V1581,K1581&amp;""),"")</f>
        <v/>
      </c>
      <c r="S1581" s="66">
        <f>IF(X1581&lt;&gt;"","⛔ "&amp;X1581&amp;" — not posted",IF(Y1581&lt;&gt;"","⚠ "&amp;Y1581,IF(Z1581=1,"✓ OK","")))</f>
        <v/>
      </c>
      <c r="T1581" s="67">
        <f>IF(AND(C1581="",D1581="",E1581="",L1581="",K1581=""),1,0)</f>
        <v/>
      </c>
      <c r="U1581" s="67">
        <f>IFERROR(INDEX(tt_Dir,MATCH(D1581,tt_Type,0)),"")</f>
        <v/>
      </c>
      <c r="V1581" s="67">
        <f>IF(D1581="","",IFERROR(IF(INDEX(tt_Other,MATCH(D1581,tt_Type,0))="",E1581&amp;"",INDEX(tt_Other,MATCH(D1581,tt_Type,0))),""))</f>
        <v/>
      </c>
      <c r="W1581" s="68">
        <f>IF(OR(TaxOn&lt;&gt;"Yes",NOT(ISNUMBER(M1581))),0,IF(IFERROR(INDEX(tt_Tax,MATCH(D1581,tt_Type,0)),"No")="Yes",M1581,0))</f>
        <v/>
      </c>
      <c r="X1581" s="67">
        <f>IF(T1581=1,"",IF(C1581="","Missing transaction date",IF(NOT(ISNUMBER(C1581)),"Invalid date",IF(OR(C1581&lt;DATE(2000,1,1),C1581&gt;DATE(2099,12,31)),"Invalid date",IF(D1581="","Select a type",IF(U1581="","Unknown type: "&amp;D1581,IF(V1581="","Select an account (Category)",IF(ISNA(MATCH(V1581,coa_Name,0)),"Unknown account: "&amp;V1581,IF(K1581="","Select Paid From / Deposited To",IF(ISNA(MATCH(K1581,coa_Name,0)),"Unknown account: "&amp;K1581,IF(NOT(ISNUMBER(L1581)),"Enter an amount",IF(L1581=0,"Enter an amount",IF(ABS(W1581)&gt;ABS(L1581),"Tax is larger than the amount","")))))))))))))</f>
        <v/>
      </c>
      <c r="Y1581" s="67">
        <f>IF(OR(T1581=1,X1581&lt;&gt;""),"",IF(AND(B1581&lt;&gt;"",COUNTIF(tx_ID,B1581)&gt;1),"Duplicate transaction ID",IF(AND(L1581&lt;0,D1581&lt;&gt;"Adjustment"),"Negative amount — check this entry",IF(AND(D1581="Customer Payment",G1581=""),"Add the customer",IF(AND(D1581="Customer Payment",OR(J1581="",COUNTIF(ar_No,J1581&amp;"")=0)),"Invoice # in Reference not found on AR sheet",IF(AND(D1581="Bill Payment",H1581=""),"Add the vendor",IF(AND(D1581="Bill Payment",OR(J1581="",COUNTIFS(ap_No,J1581&amp;"",ap_Party,H1581&amp;"")=0)),"Bill # + vendor not found on AP sheet",IF(AND(ISNUMBER(M1581),N(M1581)&lt;&gt;0,W1581=0),"Tax ignored (tax tracking off, or not allowed for this type)",IF(V1581=K1581&amp;"","Same account on both sides",IF(AND(ISNUMBER(StartDate),C1581&lt;StartDate),"Date is before the accounting start date",IF(AND(D1581&lt;&gt;"Adjustment",IFERROR(INDEX(coa_Pay,MATCH(K1581&amp;"",coa_Name,0)),"")&lt;&gt;"Yes"),"Paid From / Deposited To is not a payment account","")))))))))))</f>
        <v/>
      </c>
      <c r="Z1581" s="67">
        <f>IF(AND(T1581=0,X1581=""),1,0)</f>
        <v/>
      </c>
      <c r="AA1581" s="68">
        <f>IF(Z1581=1,IF(U1581="In",L1581,L1581-W1581),0)</f>
        <v/>
      </c>
      <c r="AB1581" s="68">
        <f>IF(Z1581=1,IF(U1581="In",L1581-W1581,L1581),0)</f>
        <v/>
      </c>
      <c r="AC1581" s="68">
        <f>IF(AND(Z1581=1,U1581="Out"),W1581,0)</f>
        <v/>
      </c>
      <c r="AD1581" s="68">
        <f>IF(AND(Z1581=1,U1581="In"),W1581,0)</f>
        <v/>
      </c>
    </row>
    <row r="1582">
      <c r="B1582" s="62" t="inlineStr">
        <is>
          <t>TX-1576</t>
        </is>
      </c>
      <c r="C1582" s="63" t="n"/>
      <c r="D1582" s="62" t="n"/>
      <c r="E1582" s="62" t="n"/>
      <c r="F1582" s="62" t="n"/>
      <c r="G1582" s="62" t="n"/>
      <c r="H1582" s="62" t="n"/>
      <c r="I1582" s="62" t="n"/>
      <c r="J1582" s="62" t="n"/>
      <c r="K1582" s="62" t="n"/>
      <c r="L1582" s="64" t="n"/>
      <c r="M1582" s="64" t="n"/>
      <c r="N1582" s="62" t="n"/>
      <c r="O1582" s="65">
        <f>IF(Z1582=1,L1582-W1582,"")</f>
        <v/>
      </c>
      <c r="P1582" s="66">
        <f>IF(V1582="","",IFERROR(INDEX(coa_Type,MATCH(V1582,coa_Name,0)),""))</f>
        <v/>
      </c>
      <c r="Q1582" s="66">
        <f>IF(Z1582=1,IF(U1582="In",K1582&amp;"",V1582),"")</f>
        <v/>
      </c>
      <c r="R1582" s="66">
        <f>IF(Z1582=1,IF(U1582="In",V1582,K1582&amp;""),"")</f>
        <v/>
      </c>
      <c r="S1582" s="66">
        <f>IF(X1582&lt;&gt;"","⛔ "&amp;X1582&amp;" — not posted",IF(Y1582&lt;&gt;"","⚠ "&amp;Y1582,IF(Z1582=1,"✓ OK","")))</f>
        <v/>
      </c>
      <c r="T1582" s="67">
        <f>IF(AND(C1582="",D1582="",E1582="",L1582="",K1582=""),1,0)</f>
        <v/>
      </c>
      <c r="U1582" s="67">
        <f>IFERROR(INDEX(tt_Dir,MATCH(D1582,tt_Type,0)),"")</f>
        <v/>
      </c>
      <c r="V1582" s="67">
        <f>IF(D1582="","",IFERROR(IF(INDEX(tt_Other,MATCH(D1582,tt_Type,0))="",E1582&amp;"",INDEX(tt_Other,MATCH(D1582,tt_Type,0))),""))</f>
        <v/>
      </c>
      <c r="W1582" s="68">
        <f>IF(OR(TaxOn&lt;&gt;"Yes",NOT(ISNUMBER(M1582))),0,IF(IFERROR(INDEX(tt_Tax,MATCH(D1582,tt_Type,0)),"No")="Yes",M1582,0))</f>
        <v/>
      </c>
      <c r="X1582" s="67">
        <f>IF(T1582=1,"",IF(C1582="","Missing transaction date",IF(NOT(ISNUMBER(C1582)),"Invalid date",IF(OR(C1582&lt;DATE(2000,1,1),C1582&gt;DATE(2099,12,31)),"Invalid date",IF(D1582="","Select a type",IF(U1582="","Unknown type: "&amp;D1582,IF(V1582="","Select an account (Category)",IF(ISNA(MATCH(V1582,coa_Name,0)),"Unknown account: "&amp;V1582,IF(K1582="","Select Paid From / Deposited To",IF(ISNA(MATCH(K1582,coa_Name,0)),"Unknown account: "&amp;K1582,IF(NOT(ISNUMBER(L1582)),"Enter an amount",IF(L1582=0,"Enter an amount",IF(ABS(W1582)&gt;ABS(L1582),"Tax is larger than the amount","")))))))))))))</f>
        <v/>
      </c>
      <c r="Y1582" s="67">
        <f>IF(OR(T1582=1,X1582&lt;&gt;""),"",IF(AND(B1582&lt;&gt;"",COUNTIF(tx_ID,B1582)&gt;1),"Duplicate transaction ID",IF(AND(L1582&lt;0,D1582&lt;&gt;"Adjustment"),"Negative amount — check this entry",IF(AND(D1582="Customer Payment",G1582=""),"Add the customer",IF(AND(D1582="Customer Payment",OR(J1582="",COUNTIF(ar_No,J1582&amp;"")=0)),"Invoice # in Reference not found on AR sheet",IF(AND(D1582="Bill Payment",H1582=""),"Add the vendor",IF(AND(D1582="Bill Payment",OR(J1582="",COUNTIFS(ap_No,J1582&amp;"",ap_Party,H1582&amp;"")=0)),"Bill # + vendor not found on AP sheet",IF(AND(ISNUMBER(M1582),N(M1582)&lt;&gt;0,W1582=0),"Tax ignored (tax tracking off, or not allowed for this type)",IF(V1582=K1582&amp;"","Same account on both sides",IF(AND(ISNUMBER(StartDate),C1582&lt;StartDate),"Date is before the accounting start date",IF(AND(D1582&lt;&gt;"Adjustment",IFERROR(INDEX(coa_Pay,MATCH(K1582&amp;"",coa_Name,0)),"")&lt;&gt;"Yes"),"Paid From / Deposited To is not a payment account","")))))))))))</f>
        <v/>
      </c>
      <c r="Z1582" s="67">
        <f>IF(AND(T1582=0,X1582=""),1,0)</f>
        <v/>
      </c>
      <c r="AA1582" s="68">
        <f>IF(Z1582=1,IF(U1582="In",L1582,L1582-W1582),0)</f>
        <v/>
      </c>
      <c r="AB1582" s="68">
        <f>IF(Z1582=1,IF(U1582="In",L1582-W1582,L1582),0)</f>
        <v/>
      </c>
      <c r="AC1582" s="68">
        <f>IF(AND(Z1582=1,U1582="Out"),W1582,0)</f>
        <v/>
      </c>
      <c r="AD1582" s="68">
        <f>IF(AND(Z1582=1,U1582="In"),W1582,0)</f>
        <v/>
      </c>
    </row>
    <row r="1583">
      <c r="B1583" s="62" t="inlineStr">
        <is>
          <t>TX-1577</t>
        </is>
      </c>
      <c r="C1583" s="63" t="n"/>
      <c r="D1583" s="62" t="n"/>
      <c r="E1583" s="62" t="n"/>
      <c r="F1583" s="62" t="n"/>
      <c r="G1583" s="62" t="n"/>
      <c r="H1583" s="62" t="n"/>
      <c r="I1583" s="62" t="n"/>
      <c r="J1583" s="62" t="n"/>
      <c r="K1583" s="62" t="n"/>
      <c r="L1583" s="64" t="n"/>
      <c r="M1583" s="64" t="n"/>
      <c r="N1583" s="62" t="n"/>
      <c r="O1583" s="65">
        <f>IF(Z1583=1,L1583-W1583,"")</f>
        <v/>
      </c>
      <c r="P1583" s="66">
        <f>IF(V1583="","",IFERROR(INDEX(coa_Type,MATCH(V1583,coa_Name,0)),""))</f>
        <v/>
      </c>
      <c r="Q1583" s="66">
        <f>IF(Z1583=1,IF(U1583="In",K1583&amp;"",V1583),"")</f>
        <v/>
      </c>
      <c r="R1583" s="66">
        <f>IF(Z1583=1,IF(U1583="In",V1583,K1583&amp;""),"")</f>
        <v/>
      </c>
      <c r="S1583" s="66">
        <f>IF(X1583&lt;&gt;"","⛔ "&amp;X1583&amp;" — not posted",IF(Y1583&lt;&gt;"","⚠ "&amp;Y1583,IF(Z1583=1,"✓ OK","")))</f>
        <v/>
      </c>
      <c r="T1583" s="67">
        <f>IF(AND(C1583="",D1583="",E1583="",L1583="",K1583=""),1,0)</f>
        <v/>
      </c>
      <c r="U1583" s="67">
        <f>IFERROR(INDEX(tt_Dir,MATCH(D1583,tt_Type,0)),"")</f>
        <v/>
      </c>
      <c r="V1583" s="67">
        <f>IF(D1583="","",IFERROR(IF(INDEX(tt_Other,MATCH(D1583,tt_Type,0))="",E1583&amp;"",INDEX(tt_Other,MATCH(D1583,tt_Type,0))),""))</f>
        <v/>
      </c>
      <c r="W1583" s="68">
        <f>IF(OR(TaxOn&lt;&gt;"Yes",NOT(ISNUMBER(M1583))),0,IF(IFERROR(INDEX(tt_Tax,MATCH(D1583,tt_Type,0)),"No")="Yes",M1583,0))</f>
        <v/>
      </c>
      <c r="X1583" s="67">
        <f>IF(T1583=1,"",IF(C1583="","Missing transaction date",IF(NOT(ISNUMBER(C1583)),"Invalid date",IF(OR(C1583&lt;DATE(2000,1,1),C1583&gt;DATE(2099,12,31)),"Invalid date",IF(D1583="","Select a type",IF(U1583="","Unknown type: "&amp;D1583,IF(V1583="","Select an account (Category)",IF(ISNA(MATCH(V1583,coa_Name,0)),"Unknown account: "&amp;V1583,IF(K1583="","Select Paid From / Deposited To",IF(ISNA(MATCH(K1583,coa_Name,0)),"Unknown account: "&amp;K1583,IF(NOT(ISNUMBER(L1583)),"Enter an amount",IF(L1583=0,"Enter an amount",IF(ABS(W1583)&gt;ABS(L1583),"Tax is larger than the amount","")))))))))))))</f>
        <v/>
      </c>
      <c r="Y1583" s="67">
        <f>IF(OR(T1583=1,X1583&lt;&gt;""),"",IF(AND(B1583&lt;&gt;"",COUNTIF(tx_ID,B1583)&gt;1),"Duplicate transaction ID",IF(AND(L1583&lt;0,D1583&lt;&gt;"Adjustment"),"Negative amount — check this entry",IF(AND(D1583="Customer Payment",G1583=""),"Add the customer",IF(AND(D1583="Customer Payment",OR(J1583="",COUNTIF(ar_No,J1583&amp;"")=0)),"Invoice # in Reference not found on AR sheet",IF(AND(D1583="Bill Payment",H1583=""),"Add the vendor",IF(AND(D1583="Bill Payment",OR(J1583="",COUNTIFS(ap_No,J1583&amp;"",ap_Party,H1583&amp;"")=0)),"Bill # + vendor not found on AP sheet",IF(AND(ISNUMBER(M1583),N(M1583)&lt;&gt;0,W1583=0),"Tax ignored (tax tracking off, or not allowed for this type)",IF(V1583=K1583&amp;"","Same account on both sides",IF(AND(ISNUMBER(StartDate),C1583&lt;StartDate),"Date is before the accounting start date",IF(AND(D1583&lt;&gt;"Adjustment",IFERROR(INDEX(coa_Pay,MATCH(K1583&amp;"",coa_Name,0)),"")&lt;&gt;"Yes"),"Paid From / Deposited To is not a payment account","")))))))))))</f>
        <v/>
      </c>
      <c r="Z1583" s="67">
        <f>IF(AND(T1583=0,X1583=""),1,0)</f>
        <v/>
      </c>
      <c r="AA1583" s="68">
        <f>IF(Z1583=1,IF(U1583="In",L1583,L1583-W1583),0)</f>
        <v/>
      </c>
      <c r="AB1583" s="68">
        <f>IF(Z1583=1,IF(U1583="In",L1583-W1583,L1583),0)</f>
        <v/>
      </c>
      <c r="AC1583" s="68">
        <f>IF(AND(Z1583=1,U1583="Out"),W1583,0)</f>
        <v/>
      </c>
      <c r="AD1583" s="68">
        <f>IF(AND(Z1583=1,U1583="In"),W1583,0)</f>
        <v/>
      </c>
    </row>
    <row r="1584">
      <c r="B1584" s="62" t="inlineStr">
        <is>
          <t>TX-1578</t>
        </is>
      </c>
      <c r="C1584" s="63" t="n"/>
      <c r="D1584" s="62" t="n"/>
      <c r="E1584" s="62" t="n"/>
      <c r="F1584" s="62" t="n"/>
      <c r="G1584" s="62" t="n"/>
      <c r="H1584" s="62" t="n"/>
      <c r="I1584" s="62" t="n"/>
      <c r="J1584" s="62" t="n"/>
      <c r="K1584" s="62" t="n"/>
      <c r="L1584" s="64" t="n"/>
      <c r="M1584" s="64" t="n"/>
      <c r="N1584" s="62" t="n"/>
      <c r="O1584" s="65">
        <f>IF(Z1584=1,L1584-W1584,"")</f>
        <v/>
      </c>
      <c r="P1584" s="66">
        <f>IF(V1584="","",IFERROR(INDEX(coa_Type,MATCH(V1584,coa_Name,0)),""))</f>
        <v/>
      </c>
      <c r="Q1584" s="66">
        <f>IF(Z1584=1,IF(U1584="In",K1584&amp;"",V1584),"")</f>
        <v/>
      </c>
      <c r="R1584" s="66">
        <f>IF(Z1584=1,IF(U1584="In",V1584,K1584&amp;""),"")</f>
        <v/>
      </c>
      <c r="S1584" s="66">
        <f>IF(X1584&lt;&gt;"","⛔ "&amp;X1584&amp;" — not posted",IF(Y1584&lt;&gt;"","⚠ "&amp;Y1584,IF(Z1584=1,"✓ OK","")))</f>
        <v/>
      </c>
      <c r="T1584" s="67">
        <f>IF(AND(C1584="",D1584="",E1584="",L1584="",K1584=""),1,0)</f>
        <v/>
      </c>
      <c r="U1584" s="67">
        <f>IFERROR(INDEX(tt_Dir,MATCH(D1584,tt_Type,0)),"")</f>
        <v/>
      </c>
      <c r="V1584" s="67">
        <f>IF(D1584="","",IFERROR(IF(INDEX(tt_Other,MATCH(D1584,tt_Type,0))="",E1584&amp;"",INDEX(tt_Other,MATCH(D1584,tt_Type,0))),""))</f>
        <v/>
      </c>
      <c r="W1584" s="68">
        <f>IF(OR(TaxOn&lt;&gt;"Yes",NOT(ISNUMBER(M1584))),0,IF(IFERROR(INDEX(tt_Tax,MATCH(D1584,tt_Type,0)),"No")="Yes",M1584,0))</f>
        <v/>
      </c>
      <c r="X1584" s="67">
        <f>IF(T1584=1,"",IF(C1584="","Missing transaction date",IF(NOT(ISNUMBER(C1584)),"Invalid date",IF(OR(C1584&lt;DATE(2000,1,1),C1584&gt;DATE(2099,12,31)),"Invalid date",IF(D1584="","Select a type",IF(U1584="","Unknown type: "&amp;D1584,IF(V1584="","Select an account (Category)",IF(ISNA(MATCH(V1584,coa_Name,0)),"Unknown account: "&amp;V1584,IF(K1584="","Select Paid From / Deposited To",IF(ISNA(MATCH(K1584,coa_Name,0)),"Unknown account: "&amp;K1584,IF(NOT(ISNUMBER(L1584)),"Enter an amount",IF(L1584=0,"Enter an amount",IF(ABS(W1584)&gt;ABS(L1584),"Tax is larger than the amount","")))))))))))))</f>
        <v/>
      </c>
      <c r="Y1584" s="67">
        <f>IF(OR(T1584=1,X1584&lt;&gt;""),"",IF(AND(B1584&lt;&gt;"",COUNTIF(tx_ID,B1584)&gt;1),"Duplicate transaction ID",IF(AND(L1584&lt;0,D1584&lt;&gt;"Adjustment"),"Negative amount — check this entry",IF(AND(D1584="Customer Payment",G1584=""),"Add the customer",IF(AND(D1584="Customer Payment",OR(J1584="",COUNTIF(ar_No,J1584&amp;"")=0)),"Invoice # in Reference not found on AR sheet",IF(AND(D1584="Bill Payment",H1584=""),"Add the vendor",IF(AND(D1584="Bill Payment",OR(J1584="",COUNTIFS(ap_No,J1584&amp;"",ap_Party,H1584&amp;"")=0)),"Bill # + vendor not found on AP sheet",IF(AND(ISNUMBER(M1584),N(M1584)&lt;&gt;0,W1584=0),"Tax ignored (tax tracking off, or not allowed for this type)",IF(V1584=K1584&amp;"","Same account on both sides",IF(AND(ISNUMBER(StartDate),C1584&lt;StartDate),"Date is before the accounting start date",IF(AND(D1584&lt;&gt;"Adjustment",IFERROR(INDEX(coa_Pay,MATCH(K1584&amp;"",coa_Name,0)),"")&lt;&gt;"Yes"),"Paid From / Deposited To is not a payment account","")))))))))))</f>
        <v/>
      </c>
      <c r="Z1584" s="67">
        <f>IF(AND(T1584=0,X1584=""),1,0)</f>
        <v/>
      </c>
      <c r="AA1584" s="68">
        <f>IF(Z1584=1,IF(U1584="In",L1584,L1584-W1584),0)</f>
        <v/>
      </c>
      <c r="AB1584" s="68">
        <f>IF(Z1584=1,IF(U1584="In",L1584-W1584,L1584),0)</f>
        <v/>
      </c>
      <c r="AC1584" s="68">
        <f>IF(AND(Z1584=1,U1584="Out"),W1584,0)</f>
        <v/>
      </c>
      <c r="AD1584" s="68">
        <f>IF(AND(Z1584=1,U1584="In"),W1584,0)</f>
        <v/>
      </c>
    </row>
    <row r="1585">
      <c r="B1585" s="62" t="inlineStr">
        <is>
          <t>TX-1579</t>
        </is>
      </c>
      <c r="C1585" s="63" t="n"/>
      <c r="D1585" s="62" t="n"/>
      <c r="E1585" s="62" t="n"/>
      <c r="F1585" s="62" t="n"/>
      <c r="G1585" s="62" t="n"/>
      <c r="H1585" s="62" t="n"/>
      <c r="I1585" s="62" t="n"/>
      <c r="J1585" s="62" t="n"/>
      <c r="K1585" s="62" t="n"/>
      <c r="L1585" s="64" t="n"/>
      <c r="M1585" s="64" t="n"/>
      <c r="N1585" s="62" t="n"/>
      <c r="O1585" s="65">
        <f>IF(Z1585=1,L1585-W1585,"")</f>
        <v/>
      </c>
      <c r="P1585" s="66">
        <f>IF(V1585="","",IFERROR(INDEX(coa_Type,MATCH(V1585,coa_Name,0)),""))</f>
        <v/>
      </c>
      <c r="Q1585" s="66">
        <f>IF(Z1585=1,IF(U1585="In",K1585&amp;"",V1585),"")</f>
        <v/>
      </c>
      <c r="R1585" s="66">
        <f>IF(Z1585=1,IF(U1585="In",V1585,K1585&amp;""),"")</f>
        <v/>
      </c>
      <c r="S1585" s="66">
        <f>IF(X1585&lt;&gt;"","⛔ "&amp;X1585&amp;" — not posted",IF(Y1585&lt;&gt;"","⚠ "&amp;Y1585,IF(Z1585=1,"✓ OK","")))</f>
        <v/>
      </c>
      <c r="T1585" s="67">
        <f>IF(AND(C1585="",D1585="",E1585="",L1585="",K1585=""),1,0)</f>
        <v/>
      </c>
      <c r="U1585" s="67">
        <f>IFERROR(INDEX(tt_Dir,MATCH(D1585,tt_Type,0)),"")</f>
        <v/>
      </c>
      <c r="V1585" s="67">
        <f>IF(D1585="","",IFERROR(IF(INDEX(tt_Other,MATCH(D1585,tt_Type,0))="",E1585&amp;"",INDEX(tt_Other,MATCH(D1585,tt_Type,0))),""))</f>
        <v/>
      </c>
      <c r="W1585" s="68">
        <f>IF(OR(TaxOn&lt;&gt;"Yes",NOT(ISNUMBER(M1585))),0,IF(IFERROR(INDEX(tt_Tax,MATCH(D1585,tt_Type,0)),"No")="Yes",M1585,0))</f>
        <v/>
      </c>
      <c r="X1585" s="67">
        <f>IF(T1585=1,"",IF(C1585="","Missing transaction date",IF(NOT(ISNUMBER(C1585)),"Invalid date",IF(OR(C1585&lt;DATE(2000,1,1),C1585&gt;DATE(2099,12,31)),"Invalid date",IF(D1585="","Select a type",IF(U1585="","Unknown type: "&amp;D1585,IF(V1585="","Select an account (Category)",IF(ISNA(MATCH(V1585,coa_Name,0)),"Unknown account: "&amp;V1585,IF(K1585="","Select Paid From / Deposited To",IF(ISNA(MATCH(K1585,coa_Name,0)),"Unknown account: "&amp;K1585,IF(NOT(ISNUMBER(L1585)),"Enter an amount",IF(L1585=0,"Enter an amount",IF(ABS(W1585)&gt;ABS(L1585),"Tax is larger than the amount","")))))))))))))</f>
        <v/>
      </c>
      <c r="Y1585" s="67">
        <f>IF(OR(T1585=1,X1585&lt;&gt;""),"",IF(AND(B1585&lt;&gt;"",COUNTIF(tx_ID,B1585)&gt;1),"Duplicate transaction ID",IF(AND(L1585&lt;0,D1585&lt;&gt;"Adjustment"),"Negative amount — check this entry",IF(AND(D1585="Customer Payment",G1585=""),"Add the customer",IF(AND(D1585="Customer Payment",OR(J1585="",COUNTIF(ar_No,J1585&amp;"")=0)),"Invoice # in Reference not found on AR sheet",IF(AND(D1585="Bill Payment",H1585=""),"Add the vendor",IF(AND(D1585="Bill Payment",OR(J1585="",COUNTIFS(ap_No,J1585&amp;"",ap_Party,H1585&amp;"")=0)),"Bill # + vendor not found on AP sheet",IF(AND(ISNUMBER(M1585),N(M1585)&lt;&gt;0,W1585=0),"Tax ignored (tax tracking off, or not allowed for this type)",IF(V1585=K1585&amp;"","Same account on both sides",IF(AND(ISNUMBER(StartDate),C1585&lt;StartDate),"Date is before the accounting start date",IF(AND(D1585&lt;&gt;"Adjustment",IFERROR(INDEX(coa_Pay,MATCH(K1585&amp;"",coa_Name,0)),"")&lt;&gt;"Yes"),"Paid From / Deposited To is not a payment account","")))))))))))</f>
        <v/>
      </c>
      <c r="Z1585" s="67">
        <f>IF(AND(T1585=0,X1585=""),1,0)</f>
        <v/>
      </c>
      <c r="AA1585" s="68">
        <f>IF(Z1585=1,IF(U1585="In",L1585,L1585-W1585),0)</f>
        <v/>
      </c>
      <c r="AB1585" s="68">
        <f>IF(Z1585=1,IF(U1585="In",L1585-W1585,L1585),0)</f>
        <v/>
      </c>
      <c r="AC1585" s="68">
        <f>IF(AND(Z1585=1,U1585="Out"),W1585,0)</f>
        <v/>
      </c>
      <c r="AD1585" s="68">
        <f>IF(AND(Z1585=1,U1585="In"),W1585,0)</f>
        <v/>
      </c>
    </row>
    <row r="1586">
      <c r="B1586" s="62" t="inlineStr">
        <is>
          <t>TX-1580</t>
        </is>
      </c>
      <c r="C1586" s="63" t="n"/>
      <c r="D1586" s="62" t="n"/>
      <c r="E1586" s="62" t="n"/>
      <c r="F1586" s="62" t="n"/>
      <c r="G1586" s="62" t="n"/>
      <c r="H1586" s="62" t="n"/>
      <c r="I1586" s="62" t="n"/>
      <c r="J1586" s="62" t="n"/>
      <c r="K1586" s="62" t="n"/>
      <c r="L1586" s="64" t="n"/>
      <c r="M1586" s="64" t="n"/>
      <c r="N1586" s="62" t="n"/>
      <c r="O1586" s="65">
        <f>IF(Z1586=1,L1586-W1586,"")</f>
        <v/>
      </c>
      <c r="P1586" s="66">
        <f>IF(V1586="","",IFERROR(INDEX(coa_Type,MATCH(V1586,coa_Name,0)),""))</f>
        <v/>
      </c>
      <c r="Q1586" s="66">
        <f>IF(Z1586=1,IF(U1586="In",K1586&amp;"",V1586),"")</f>
        <v/>
      </c>
      <c r="R1586" s="66">
        <f>IF(Z1586=1,IF(U1586="In",V1586,K1586&amp;""),"")</f>
        <v/>
      </c>
      <c r="S1586" s="66">
        <f>IF(X1586&lt;&gt;"","⛔ "&amp;X1586&amp;" — not posted",IF(Y1586&lt;&gt;"","⚠ "&amp;Y1586,IF(Z1586=1,"✓ OK","")))</f>
        <v/>
      </c>
      <c r="T1586" s="67">
        <f>IF(AND(C1586="",D1586="",E1586="",L1586="",K1586=""),1,0)</f>
        <v/>
      </c>
      <c r="U1586" s="67">
        <f>IFERROR(INDEX(tt_Dir,MATCH(D1586,tt_Type,0)),"")</f>
        <v/>
      </c>
      <c r="V1586" s="67">
        <f>IF(D1586="","",IFERROR(IF(INDEX(tt_Other,MATCH(D1586,tt_Type,0))="",E1586&amp;"",INDEX(tt_Other,MATCH(D1586,tt_Type,0))),""))</f>
        <v/>
      </c>
      <c r="W1586" s="68">
        <f>IF(OR(TaxOn&lt;&gt;"Yes",NOT(ISNUMBER(M1586))),0,IF(IFERROR(INDEX(tt_Tax,MATCH(D1586,tt_Type,0)),"No")="Yes",M1586,0))</f>
        <v/>
      </c>
      <c r="X1586" s="67">
        <f>IF(T1586=1,"",IF(C1586="","Missing transaction date",IF(NOT(ISNUMBER(C1586)),"Invalid date",IF(OR(C1586&lt;DATE(2000,1,1),C1586&gt;DATE(2099,12,31)),"Invalid date",IF(D1586="","Select a type",IF(U1586="","Unknown type: "&amp;D1586,IF(V1586="","Select an account (Category)",IF(ISNA(MATCH(V1586,coa_Name,0)),"Unknown account: "&amp;V1586,IF(K1586="","Select Paid From / Deposited To",IF(ISNA(MATCH(K1586,coa_Name,0)),"Unknown account: "&amp;K1586,IF(NOT(ISNUMBER(L1586)),"Enter an amount",IF(L1586=0,"Enter an amount",IF(ABS(W1586)&gt;ABS(L1586),"Tax is larger than the amount","")))))))))))))</f>
        <v/>
      </c>
      <c r="Y1586" s="67">
        <f>IF(OR(T1586=1,X1586&lt;&gt;""),"",IF(AND(B1586&lt;&gt;"",COUNTIF(tx_ID,B1586)&gt;1),"Duplicate transaction ID",IF(AND(L1586&lt;0,D1586&lt;&gt;"Adjustment"),"Negative amount — check this entry",IF(AND(D1586="Customer Payment",G1586=""),"Add the customer",IF(AND(D1586="Customer Payment",OR(J1586="",COUNTIF(ar_No,J1586&amp;"")=0)),"Invoice # in Reference not found on AR sheet",IF(AND(D1586="Bill Payment",H1586=""),"Add the vendor",IF(AND(D1586="Bill Payment",OR(J1586="",COUNTIFS(ap_No,J1586&amp;"",ap_Party,H1586&amp;"")=0)),"Bill # + vendor not found on AP sheet",IF(AND(ISNUMBER(M1586),N(M1586)&lt;&gt;0,W1586=0),"Tax ignored (tax tracking off, or not allowed for this type)",IF(V1586=K1586&amp;"","Same account on both sides",IF(AND(ISNUMBER(StartDate),C1586&lt;StartDate),"Date is before the accounting start date",IF(AND(D1586&lt;&gt;"Adjustment",IFERROR(INDEX(coa_Pay,MATCH(K1586&amp;"",coa_Name,0)),"")&lt;&gt;"Yes"),"Paid From / Deposited To is not a payment account","")))))))))))</f>
        <v/>
      </c>
      <c r="Z1586" s="67">
        <f>IF(AND(T1586=0,X1586=""),1,0)</f>
        <v/>
      </c>
      <c r="AA1586" s="68">
        <f>IF(Z1586=1,IF(U1586="In",L1586,L1586-W1586),0)</f>
        <v/>
      </c>
      <c r="AB1586" s="68">
        <f>IF(Z1586=1,IF(U1586="In",L1586-W1586,L1586),0)</f>
        <v/>
      </c>
      <c r="AC1586" s="68">
        <f>IF(AND(Z1586=1,U1586="Out"),W1586,0)</f>
        <v/>
      </c>
      <c r="AD1586" s="68">
        <f>IF(AND(Z1586=1,U1586="In"),W1586,0)</f>
        <v/>
      </c>
    </row>
    <row r="1587">
      <c r="B1587" s="62" t="inlineStr">
        <is>
          <t>TX-1581</t>
        </is>
      </c>
      <c r="C1587" s="63" t="n"/>
      <c r="D1587" s="62" t="n"/>
      <c r="E1587" s="62" t="n"/>
      <c r="F1587" s="62" t="n"/>
      <c r="G1587" s="62" t="n"/>
      <c r="H1587" s="62" t="n"/>
      <c r="I1587" s="62" t="n"/>
      <c r="J1587" s="62" t="n"/>
      <c r="K1587" s="62" t="n"/>
      <c r="L1587" s="64" t="n"/>
      <c r="M1587" s="64" t="n"/>
      <c r="N1587" s="62" t="n"/>
      <c r="O1587" s="65">
        <f>IF(Z1587=1,L1587-W1587,"")</f>
        <v/>
      </c>
      <c r="P1587" s="66">
        <f>IF(V1587="","",IFERROR(INDEX(coa_Type,MATCH(V1587,coa_Name,0)),""))</f>
        <v/>
      </c>
      <c r="Q1587" s="66">
        <f>IF(Z1587=1,IF(U1587="In",K1587&amp;"",V1587),"")</f>
        <v/>
      </c>
      <c r="R1587" s="66">
        <f>IF(Z1587=1,IF(U1587="In",V1587,K1587&amp;""),"")</f>
        <v/>
      </c>
      <c r="S1587" s="66">
        <f>IF(X1587&lt;&gt;"","⛔ "&amp;X1587&amp;" — not posted",IF(Y1587&lt;&gt;"","⚠ "&amp;Y1587,IF(Z1587=1,"✓ OK","")))</f>
        <v/>
      </c>
      <c r="T1587" s="67">
        <f>IF(AND(C1587="",D1587="",E1587="",L1587="",K1587=""),1,0)</f>
        <v/>
      </c>
      <c r="U1587" s="67">
        <f>IFERROR(INDEX(tt_Dir,MATCH(D1587,tt_Type,0)),"")</f>
        <v/>
      </c>
      <c r="V1587" s="67">
        <f>IF(D1587="","",IFERROR(IF(INDEX(tt_Other,MATCH(D1587,tt_Type,0))="",E1587&amp;"",INDEX(tt_Other,MATCH(D1587,tt_Type,0))),""))</f>
        <v/>
      </c>
      <c r="W1587" s="68">
        <f>IF(OR(TaxOn&lt;&gt;"Yes",NOT(ISNUMBER(M1587))),0,IF(IFERROR(INDEX(tt_Tax,MATCH(D1587,tt_Type,0)),"No")="Yes",M1587,0))</f>
        <v/>
      </c>
      <c r="X1587" s="67">
        <f>IF(T1587=1,"",IF(C1587="","Missing transaction date",IF(NOT(ISNUMBER(C1587)),"Invalid date",IF(OR(C1587&lt;DATE(2000,1,1),C1587&gt;DATE(2099,12,31)),"Invalid date",IF(D1587="","Select a type",IF(U1587="","Unknown type: "&amp;D1587,IF(V1587="","Select an account (Category)",IF(ISNA(MATCH(V1587,coa_Name,0)),"Unknown account: "&amp;V1587,IF(K1587="","Select Paid From / Deposited To",IF(ISNA(MATCH(K1587,coa_Name,0)),"Unknown account: "&amp;K1587,IF(NOT(ISNUMBER(L1587)),"Enter an amount",IF(L1587=0,"Enter an amount",IF(ABS(W1587)&gt;ABS(L1587),"Tax is larger than the amount","")))))))))))))</f>
        <v/>
      </c>
      <c r="Y1587" s="67">
        <f>IF(OR(T1587=1,X1587&lt;&gt;""),"",IF(AND(B1587&lt;&gt;"",COUNTIF(tx_ID,B1587)&gt;1),"Duplicate transaction ID",IF(AND(L1587&lt;0,D1587&lt;&gt;"Adjustment"),"Negative amount — check this entry",IF(AND(D1587="Customer Payment",G1587=""),"Add the customer",IF(AND(D1587="Customer Payment",OR(J1587="",COUNTIF(ar_No,J1587&amp;"")=0)),"Invoice # in Reference not found on AR sheet",IF(AND(D1587="Bill Payment",H1587=""),"Add the vendor",IF(AND(D1587="Bill Payment",OR(J1587="",COUNTIFS(ap_No,J1587&amp;"",ap_Party,H1587&amp;"")=0)),"Bill # + vendor not found on AP sheet",IF(AND(ISNUMBER(M1587),N(M1587)&lt;&gt;0,W1587=0),"Tax ignored (tax tracking off, or not allowed for this type)",IF(V1587=K1587&amp;"","Same account on both sides",IF(AND(ISNUMBER(StartDate),C1587&lt;StartDate),"Date is before the accounting start date",IF(AND(D1587&lt;&gt;"Adjustment",IFERROR(INDEX(coa_Pay,MATCH(K1587&amp;"",coa_Name,0)),"")&lt;&gt;"Yes"),"Paid From / Deposited To is not a payment account","")))))))))))</f>
        <v/>
      </c>
      <c r="Z1587" s="67">
        <f>IF(AND(T1587=0,X1587=""),1,0)</f>
        <v/>
      </c>
      <c r="AA1587" s="68">
        <f>IF(Z1587=1,IF(U1587="In",L1587,L1587-W1587),0)</f>
        <v/>
      </c>
      <c r="AB1587" s="68">
        <f>IF(Z1587=1,IF(U1587="In",L1587-W1587,L1587),0)</f>
        <v/>
      </c>
      <c r="AC1587" s="68">
        <f>IF(AND(Z1587=1,U1587="Out"),W1587,0)</f>
        <v/>
      </c>
      <c r="AD1587" s="68">
        <f>IF(AND(Z1587=1,U1587="In"),W1587,0)</f>
        <v/>
      </c>
    </row>
    <row r="1588">
      <c r="B1588" s="62" t="inlineStr">
        <is>
          <t>TX-1582</t>
        </is>
      </c>
      <c r="C1588" s="63" t="n"/>
      <c r="D1588" s="62" t="n"/>
      <c r="E1588" s="62" t="n"/>
      <c r="F1588" s="62" t="n"/>
      <c r="G1588" s="62" t="n"/>
      <c r="H1588" s="62" t="n"/>
      <c r="I1588" s="62" t="n"/>
      <c r="J1588" s="62" t="n"/>
      <c r="K1588" s="62" t="n"/>
      <c r="L1588" s="64" t="n"/>
      <c r="M1588" s="64" t="n"/>
      <c r="N1588" s="62" t="n"/>
      <c r="O1588" s="65">
        <f>IF(Z1588=1,L1588-W1588,"")</f>
        <v/>
      </c>
      <c r="P1588" s="66">
        <f>IF(V1588="","",IFERROR(INDEX(coa_Type,MATCH(V1588,coa_Name,0)),""))</f>
        <v/>
      </c>
      <c r="Q1588" s="66">
        <f>IF(Z1588=1,IF(U1588="In",K1588&amp;"",V1588),"")</f>
        <v/>
      </c>
      <c r="R1588" s="66">
        <f>IF(Z1588=1,IF(U1588="In",V1588,K1588&amp;""),"")</f>
        <v/>
      </c>
      <c r="S1588" s="66">
        <f>IF(X1588&lt;&gt;"","⛔ "&amp;X1588&amp;" — not posted",IF(Y1588&lt;&gt;"","⚠ "&amp;Y1588,IF(Z1588=1,"✓ OK","")))</f>
        <v/>
      </c>
      <c r="T1588" s="67">
        <f>IF(AND(C1588="",D1588="",E1588="",L1588="",K1588=""),1,0)</f>
        <v/>
      </c>
      <c r="U1588" s="67">
        <f>IFERROR(INDEX(tt_Dir,MATCH(D1588,tt_Type,0)),"")</f>
        <v/>
      </c>
      <c r="V1588" s="67">
        <f>IF(D1588="","",IFERROR(IF(INDEX(tt_Other,MATCH(D1588,tt_Type,0))="",E1588&amp;"",INDEX(tt_Other,MATCH(D1588,tt_Type,0))),""))</f>
        <v/>
      </c>
      <c r="W1588" s="68">
        <f>IF(OR(TaxOn&lt;&gt;"Yes",NOT(ISNUMBER(M1588))),0,IF(IFERROR(INDEX(tt_Tax,MATCH(D1588,tt_Type,0)),"No")="Yes",M1588,0))</f>
        <v/>
      </c>
      <c r="X1588" s="67">
        <f>IF(T1588=1,"",IF(C1588="","Missing transaction date",IF(NOT(ISNUMBER(C1588)),"Invalid date",IF(OR(C1588&lt;DATE(2000,1,1),C1588&gt;DATE(2099,12,31)),"Invalid date",IF(D1588="","Select a type",IF(U1588="","Unknown type: "&amp;D1588,IF(V1588="","Select an account (Category)",IF(ISNA(MATCH(V1588,coa_Name,0)),"Unknown account: "&amp;V1588,IF(K1588="","Select Paid From / Deposited To",IF(ISNA(MATCH(K1588,coa_Name,0)),"Unknown account: "&amp;K1588,IF(NOT(ISNUMBER(L1588)),"Enter an amount",IF(L1588=0,"Enter an amount",IF(ABS(W1588)&gt;ABS(L1588),"Tax is larger than the amount","")))))))))))))</f>
        <v/>
      </c>
      <c r="Y1588" s="67">
        <f>IF(OR(T1588=1,X1588&lt;&gt;""),"",IF(AND(B1588&lt;&gt;"",COUNTIF(tx_ID,B1588)&gt;1),"Duplicate transaction ID",IF(AND(L1588&lt;0,D1588&lt;&gt;"Adjustment"),"Negative amount — check this entry",IF(AND(D1588="Customer Payment",G1588=""),"Add the customer",IF(AND(D1588="Customer Payment",OR(J1588="",COUNTIF(ar_No,J1588&amp;"")=0)),"Invoice # in Reference not found on AR sheet",IF(AND(D1588="Bill Payment",H1588=""),"Add the vendor",IF(AND(D1588="Bill Payment",OR(J1588="",COUNTIFS(ap_No,J1588&amp;"",ap_Party,H1588&amp;"")=0)),"Bill # + vendor not found on AP sheet",IF(AND(ISNUMBER(M1588),N(M1588)&lt;&gt;0,W1588=0),"Tax ignored (tax tracking off, or not allowed for this type)",IF(V1588=K1588&amp;"","Same account on both sides",IF(AND(ISNUMBER(StartDate),C1588&lt;StartDate),"Date is before the accounting start date",IF(AND(D1588&lt;&gt;"Adjustment",IFERROR(INDEX(coa_Pay,MATCH(K1588&amp;"",coa_Name,0)),"")&lt;&gt;"Yes"),"Paid From / Deposited To is not a payment account","")))))))))))</f>
        <v/>
      </c>
      <c r="Z1588" s="67">
        <f>IF(AND(T1588=0,X1588=""),1,0)</f>
        <v/>
      </c>
      <c r="AA1588" s="68">
        <f>IF(Z1588=1,IF(U1588="In",L1588,L1588-W1588),0)</f>
        <v/>
      </c>
      <c r="AB1588" s="68">
        <f>IF(Z1588=1,IF(U1588="In",L1588-W1588,L1588),0)</f>
        <v/>
      </c>
      <c r="AC1588" s="68">
        <f>IF(AND(Z1588=1,U1588="Out"),W1588,0)</f>
        <v/>
      </c>
      <c r="AD1588" s="68">
        <f>IF(AND(Z1588=1,U1588="In"),W1588,0)</f>
        <v/>
      </c>
    </row>
    <row r="1589">
      <c r="B1589" s="62" t="inlineStr">
        <is>
          <t>TX-1583</t>
        </is>
      </c>
      <c r="C1589" s="63" t="n"/>
      <c r="D1589" s="62" t="n"/>
      <c r="E1589" s="62" t="n"/>
      <c r="F1589" s="62" t="n"/>
      <c r="G1589" s="62" t="n"/>
      <c r="H1589" s="62" t="n"/>
      <c r="I1589" s="62" t="n"/>
      <c r="J1589" s="62" t="n"/>
      <c r="K1589" s="62" t="n"/>
      <c r="L1589" s="64" t="n"/>
      <c r="M1589" s="64" t="n"/>
      <c r="N1589" s="62" t="n"/>
      <c r="O1589" s="65">
        <f>IF(Z1589=1,L1589-W1589,"")</f>
        <v/>
      </c>
      <c r="P1589" s="66">
        <f>IF(V1589="","",IFERROR(INDEX(coa_Type,MATCH(V1589,coa_Name,0)),""))</f>
        <v/>
      </c>
      <c r="Q1589" s="66">
        <f>IF(Z1589=1,IF(U1589="In",K1589&amp;"",V1589),"")</f>
        <v/>
      </c>
      <c r="R1589" s="66">
        <f>IF(Z1589=1,IF(U1589="In",V1589,K1589&amp;""),"")</f>
        <v/>
      </c>
      <c r="S1589" s="66">
        <f>IF(X1589&lt;&gt;"","⛔ "&amp;X1589&amp;" — not posted",IF(Y1589&lt;&gt;"","⚠ "&amp;Y1589,IF(Z1589=1,"✓ OK","")))</f>
        <v/>
      </c>
      <c r="T1589" s="67">
        <f>IF(AND(C1589="",D1589="",E1589="",L1589="",K1589=""),1,0)</f>
        <v/>
      </c>
      <c r="U1589" s="67">
        <f>IFERROR(INDEX(tt_Dir,MATCH(D1589,tt_Type,0)),"")</f>
        <v/>
      </c>
      <c r="V1589" s="67">
        <f>IF(D1589="","",IFERROR(IF(INDEX(tt_Other,MATCH(D1589,tt_Type,0))="",E1589&amp;"",INDEX(tt_Other,MATCH(D1589,tt_Type,0))),""))</f>
        <v/>
      </c>
      <c r="W1589" s="68">
        <f>IF(OR(TaxOn&lt;&gt;"Yes",NOT(ISNUMBER(M1589))),0,IF(IFERROR(INDEX(tt_Tax,MATCH(D1589,tt_Type,0)),"No")="Yes",M1589,0))</f>
        <v/>
      </c>
      <c r="X1589" s="67">
        <f>IF(T1589=1,"",IF(C1589="","Missing transaction date",IF(NOT(ISNUMBER(C1589)),"Invalid date",IF(OR(C1589&lt;DATE(2000,1,1),C1589&gt;DATE(2099,12,31)),"Invalid date",IF(D1589="","Select a type",IF(U1589="","Unknown type: "&amp;D1589,IF(V1589="","Select an account (Category)",IF(ISNA(MATCH(V1589,coa_Name,0)),"Unknown account: "&amp;V1589,IF(K1589="","Select Paid From / Deposited To",IF(ISNA(MATCH(K1589,coa_Name,0)),"Unknown account: "&amp;K1589,IF(NOT(ISNUMBER(L1589)),"Enter an amount",IF(L1589=0,"Enter an amount",IF(ABS(W1589)&gt;ABS(L1589),"Tax is larger than the amount","")))))))))))))</f>
        <v/>
      </c>
      <c r="Y1589" s="67">
        <f>IF(OR(T1589=1,X1589&lt;&gt;""),"",IF(AND(B1589&lt;&gt;"",COUNTIF(tx_ID,B1589)&gt;1),"Duplicate transaction ID",IF(AND(L1589&lt;0,D1589&lt;&gt;"Adjustment"),"Negative amount — check this entry",IF(AND(D1589="Customer Payment",G1589=""),"Add the customer",IF(AND(D1589="Customer Payment",OR(J1589="",COUNTIF(ar_No,J1589&amp;"")=0)),"Invoice # in Reference not found on AR sheet",IF(AND(D1589="Bill Payment",H1589=""),"Add the vendor",IF(AND(D1589="Bill Payment",OR(J1589="",COUNTIFS(ap_No,J1589&amp;"",ap_Party,H1589&amp;"")=0)),"Bill # + vendor not found on AP sheet",IF(AND(ISNUMBER(M1589),N(M1589)&lt;&gt;0,W1589=0),"Tax ignored (tax tracking off, or not allowed for this type)",IF(V1589=K1589&amp;"","Same account on both sides",IF(AND(ISNUMBER(StartDate),C1589&lt;StartDate),"Date is before the accounting start date",IF(AND(D1589&lt;&gt;"Adjustment",IFERROR(INDEX(coa_Pay,MATCH(K1589&amp;"",coa_Name,0)),"")&lt;&gt;"Yes"),"Paid From / Deposited To is not a payment account","")))))))))))</f>
        <v/>
      </c>
      <c r="Z1589" s="67">
        <f>IF(AND(T1589=0,X1589=""),1,0)</f>
        <v/>
      </c>
      <c r="AA1589" s="68">
        <f>IF(Z1589=1,IF(U1589="In",L1589,L1589-W1589),0)</f>
        <v/>
      </c>
      <c r="AB1589" s="68">
        <f>IF(Z1589=1,IF(U1589="In",L1589-W1589,L1589),0)</f>
        <v/>
      </c>
      <c r="AC1589" s="68">
        <f>IF(AND(Z1589=1,U1589="Out"),W1589,0)</f>
        <v/>
      </c>
      <c r="AD1589" s="68">
        <f>IF(AND(Z1589=1,U1589="In"),W1589,0)</f>
        <v/>
      </c>
    </row>
    <row r="1590">
      <c r="B1590" s="62" t="inlineStr">
        <is>
          <t>TX-1584</t>
        </is>
      </c>
      <c r="C1590" s="63" t="n"/>
      <c r="D1590" s="62" t="n"/>
      <c r="E1590" s="62" t="n"/>
      <c r="F1590" s="62" t="n"/>
      <c r="G1590" s="62" t="n"/>
      <c r="H1590" s="62" t="n"/>
      <c r="I1590" s="62" t="n"/>
      <c r="J1590" s="62" t="n"/>
      <c r="K1590" s="62" t="n"/>
      <c r="L1590" s="64" t="n"/>
      <c r="M1590" s="64" t="n"/>
      <c r="N1590" s="62" t="n"/>
      <c r="O1590" s="65">
        <f>IF(Z1590=1,L1590-W1590,"")</f>
        <v/>
      </c>
      <c r="P1590" s="66">
        <f>IF(V1590="","",IFERROR(INDEX(coa_Type,MATCH(V1590,coa_Name,0)),""))</f>
        <v/>
      </c>
      <c r="Q1590" s="66">
        <f>IF(Z1590=1,IF(U1590="In",K1590&amp;"",V1590),"")</f>
        <v/>
      </c>
      <c r="R1590" s="66">
        <f>IF(Z1590=1,IF(U1590="In",V1590,K1590&amp;""),"")</f>
        <v/>
      </c>
      <c r="S1590" s="66">
        <f>IF(X1590&lt;&gt;"","⛔ "&amp;X1590&amp;" — not posted",IF(Y1590&lt;&gt;"","⚠ "&amp;Y1590,IF(Z1590=1,"✓ OK","")))</f>
        <v/>
      </c>
      <c r="T1590" s="67">
        <f>IF(AND(C1590="",D1590="",E1590="",L1590="",K1590=""),1,0)</f>
        <v/>
      </c>
      <c r="U1590" s="67">
        <f>IFERROR(INDEX(tt_Dir,MATCH(D1590,tt_Type,0)),"")</f>
        <v/>
      </c>
      <c r="V1590" s="67">
        <f>IF(D1590="","",IFERROR(IF(INDEX(tt_Other,MATCH(D1590,tt_Type,0))="",E1590&amp;"",INDEX(tt_Other,MATCH(D1590,tt_Type,0))),""))</f>
        <v/>
      </c>
      <c r="W1590" s="68">
        <f>IF(OR(TaxOn&lt;&gt;"Yes",NOT(ISNUMBER(M1590))),0,IF(IFERROR(INDEX(tt_Tax,MATCH(D1590,tt_Type,0)),"No")="Yes",M1590,0))</f>
        <v/>
      </c>
      <c r="X1590" s="67">
        <f>IF(T1590=1,"",IF(C1590="","Missing transaction date",IF(NOT(ISNUMBER(C1590)),"Invalid date",IF(OR(C1590&lt;DATE(2000,1,1),C1590&gt;DATE(2099,12,31)),"Invalid date",IF(D1590="","Select a type",IF(U1590="","Unknown type: "&amp;D1590,IF(V1590="","Select an account (Category)",IF(ISNA(MATCH(V1590,coa_Name,0)),"Unknown account: "&amp;V1590,IF(K1590="","Select Paid From / Deposited To",IF(ISNA(MATCH(K1590,coa_Name,0)),"Unknown account: "&amp;K1590,IF(NOT(ISNUMBER(L1590)),"Enter an amount",IF(L1590=0,"Enter an amount",IF(ABS(W1590)&gt;ABS(L1590),"Tax is larger than the amount","")))))))))))))</f>
        <v/>
      </c>
      <c r="Y1590" s="67">
        <f>IF(OR(T1590=1,X1590&lt;&gt;""),"",IF(AND(B1590&lt;&gt;"",COUNTIF(tx_ID,B1590)&gt;1),"Duplicate transaction ID",IF(AND(L1590&lt;0,D1590&lt;&gt;"Adjustment"),"Negative amount — check this entry",IF(AND(D1590="Customer Payment",G1590=""),"Add the customer",IF(AND(D1590="Customer Payment",OR(J1590="",COUNTIF(ar_No,J1590&amp;"")=0)),"Invoice # in Reference not found on AR sheet",IF(AND(D1590="Bill Payment",H1590=""),"Add the vendor",IF(AND(D1590="Bill Payment",OR(J1590="",COUNTIFS(ap_No,J1590&amp;"",ap_Party,H1590&amp;"")=0)),"Bill # + vendor not found on AP sheet",IF(AND(ISNUMBER(M1590),N(M1590)&lt;&gt;0,W1590=0),"Tax ignored (tax tracking off, or not allowed for this type)",IF(V1590=K1590&amp;"","Same account on both sides",IF(AND(ISNUMBER(StartDate),C1590&lt;StartDate),"Date is before the accounting start date",IF(AND(D1590&lt;&gt;"Adjustment",IFERROR(INDEX(coa_Pay,MATCH(K1590&amp;"",coa_Name,0)),"")&lt;&gt;"Yes"),"Paid From / Deposited To is not a payment account","")))))))))))</f>
        <v/>
      </c>
      <c r="Z1590" s="67">
        <f>IF(AND(T1590=0,X1590=""),1,0)</f>
        <v/>
      </c>
      <c r="AA1590" s="68">
        <f>IF(Z1590=1,IF(U1590="In",L1590,L1590-W1590),0)</f>
        <v/>
      </c>
      <c r="AB1590" s="68">
        <f>IF(Z1590=1,IF(U1590="In",L1590-W1590,L1590),0)</f>
        <v/>
      </c>
      <c r="AC1590" s="68">
        <f>IF(AND(Z1590=1,U1590="Out"),W1590,0)</f>
        <v/>
      </c>
      <c r="AD1590" s="68">
        <f>IF(AND(Z1590=1,U1590="In"),W1590,0)</f>
        <v/>
      </c>
    </row>
    <row r="1591">
      <c r="B1591" s="62" t="inlineStr">
        <is>
          <t>TX-1585</t>
        </is>
      </c>
      <c r="C1591" s="63" t="n"/>
      <c r="D1591" s="62" t="n"/>
      <c r="E1591" s="62" t="n"/>
      <c r="F1591" s="62" t="n"/>
      <c r="G1591" s="62" t="n"/>
      <c r="H1591" s="62" t="n"/>
      <c r="I1591" s="62" t="n"/>
      <c r="J1591" s="62" t="n"/>
      <c r="K1591" s="62" t="n"/>
      <c r="L1591" s="64" t="n"/>
      <c r="M1591" s="64" t="n"/>
      <c r="N1591" s="62" t="n"/>
      <c r="O1591" s="65">
        <f>IF(Z1591=1,L1591-W1591,"")</f>
        <v/>
      </c>
      <c r="P1591" s="66">
        <f>IF(V1591="","",IFERROR(INDEX(coa_Type,MATCH(V1591,coa_Name,0)),""))</f>
        <v/>
      </c>
      <c r="Q1591" s="66">
        <f>IF(Z1591=1,IF(U1591="In",K1591&amp;"",V1591),"")</f>
        <v/>
      </c>
      <c r="R1591" s="66">
        <f>IF(Z1591=1,IF(U1591="In",V1591,K1591&amp;""),"")</f>
        <v/>
      </c>
      <c r="S1591" s="66">
        <f>IF(X1591&lt;&gt;"","⛔ "&amp;X1591&amp;" — not posted",IF(Y1591&lt;&gt;"","⚠ "&amp;Y1591,IF(Z1591=1,"✓ OK","")))</f>
        <v/>
      </c>
      <c r="T1591" s="67">
        <f>IF(AND(C1591="",D1591="",E1591="",L1591="",K1591=""),1,0)</f>
        <v/>
      </c>
      <c r="U1591" s="67">
        <f>IFERROR(INDEX(tt_Dir,MATCH(D1591,tt_Type,0)),"")</f>
        <v/>
      </c>
      <c r="V1591" s="67">
        <f>IF(D1591="","",IFERROR(IF(INDEX(tt_Other,MATCH(D1591,tt_Type,0))="",E1591&amp;"",INDEX(tt_Other,MATCH(D1591,tt_Type,0))),""))</f>
        <v/>
      </c>
      <c r="W1591" s="68">
        <f>IF(OR(TaxOn&lt;&gt;"Yes",NOT(ISNUMBER(M1591))),0,IF(IFERROR(INDEX(tt_Tax,MATCH(D1591,tt_Type,0)),"No")="Yes",M1591,0))</f>
        <v/>
      </c>
      <c r="X1591" s="67">
        <f>IF(T1591=1,"",IF(C1591="","Missing transaction date",IF(NOT(ISNUMBER(C1591)),"Invalid date",IF(OR(C1591&lt;DATE(2000,1,1),C1591&gt;DATE(2099,12,31)),"Invalid date",IF(D1591="","Select a type",IF(U1591="","Unknown type: "&amp;D1591,IF(V1591="","Select an account (Category)",IF(ISNA(MATCH(V1591,coa_Name,0)),"Unknown account: "&amp;V1591,IF(K1591="","Select Paid From / Deposited To",IF(ISNA(MATCH(K1591,coa_Name,0)),"Unknown account: "&amp;K1591,IF(NOT(ISNUMBER(L1591)),"Enter an amount",IF(L1591=0,"Enter an amount",IF(ABS(W1591)&gt;ABS(L1591),"Tax is larger than the amount","")))))))))))))</f>
        <v/>
      </c>
      <c r="Y1591" s="67">
        <f>IF(OR(T1591=1,X1591&lt;&gt;""),"",IF(AND(B1591&lt;&gt;"",COUNTIF(tx_ID,B1591)&gt;1),"Duplicate transaction ID",IF(AND(L1591&lt;0,D1591&lt;&gt;"Adjustment"),"Negative amount — check this entry",IF(AND(D1591="Customer Payment",G1591=""),"Add the customer",IF(AND(D1591="Customer Payment",OR(J1591="",COUNTIF(ar_No,J1591&amp;"")=0)),"Invoice # in Reference not found on AR sheet",IF(AND(D1591="Bill Payment",H1591=""),"Add the vendor",IF(AND(D1591="Bill Payment",OR(J1591="",COUNTIFS(ap_No,J1591&amp;"",ap_Party,H1591&amp;"")=0)),"Bill # + vendor not found on AP sheet",IF(AND(ISNUMBER(M1591),N(M1591)&lt;&gt;0,W1591=0),"Tax ignored (tax tracking off, or not allowed for this type)",IF(V1591=K1591&amp;"","Same account on both sides",IF(AND(ISNUMBER(StartDate),C1591&lt;StartDate),"Date is before the accounting start date",IF(AND(D1591&lt;&gt;"Adjustment",IFERROR(INDEX(coa_Pay,MATCH(K1591&amp;"",coa_Name,0)),"")&lt;&gt;"Yes"),"Paid From / Deposited To is not a payment account","")))))))))))</f>
        <v/>
      </c>
      <c r="Z1591" s="67">
        <f>IF(AND(T1591=0,X1591=""),1,0)</f>
        <v/>
      </c>
      <c r="AA1591" s="68">
        <f>IF(Z1591=1,IF(U1591="In",L1591,L1591-W1591),0)</f>
        <v/>
      </c>
      <c r="AB1591" s="68">
        <f>IF(Z1591=1,IF(U1591="In",L1591-W1591,L1591),0)</f>
        <v/>
      </c>
      <c r="AC1591" s="68">
        <f>IF(AND(Z1591=1,U1591="Out"),W1591,0)</f>
        <v/>
      </c>
      <c r="AD1591" s="68">
        <f>IF(AND(Z1591=1,U1591="In"),W1591,0)</f>
        <v/>
      </c>
    </row>
    <row r="1592">
      <c r="B1592" s="62" t="inlineStr">
        <is>
          <t>TX-1586</t>
        </is>
      </c>
      <c r="C1592" s="63" t="n"/>
      <c r="D1592" s="62" t="n"/>
      <c r="E1592" s="62" t="n"/>
      <c r="F1592" s="62" t="n"/>
      <c r="G1592" s="62" t="n"/>
      <c r="H1592" s="62" t="n"/>
      <c r="I1592" s="62" t="n"/>
      <c r="J1592" s="62" t="n"/>
      <c r="K1592" s="62" t="n"/>
      <c r="L1592" s="64" t="n"/>
      <c r="M1592" s="64" t="n"/>
      <c r="N1592" s="62" t="n"/>
      <c r="O1592" s="65">
        <f>IF(Z1592=1,L1592-W1592,"")</f>
        <v/>
      </c>
      <c r="P1592" s="66">
        <f>IF(V1592="","",IFERROR(INDEX(coa_Type,MATCH(V1592,coa_Name,0)),""))</f>
        <v/>
      </c>
      <c r="Q1592" s="66">
        <f>IF(Z1592=1,IF(U1592="In",K1592&amp;"",V1592),"")</f>
        <v/>
      </c>
      <c r="R1592" s="66">
        <f>IF(Z1592=1,IF(U1592="In",V1592,K1592&amp;""),"")</f>
        <v/>
      </c>
      <c r="S1592" s="66">
        <f>IF(X1592&lt;&gt;"","⛔ "&amp;X1592&amp;" — not posted",IF(Y1592&lt;&gt;"","⚠ "&amp;Y1592,IF(Z1592=1,"✓ OK","")))</f>
        <v/>
      </c>
      <c r="T1592" s="67">
        <f>IF(AND(C1592="",D1592="",E1592="",L1592="",K1592=""),1,0)</f>
        <v/>
      </c>
      <c r="U1592" s="67">
        <f>IFERROR(INDEX(tt_Dir,MATCH(D1592,tt_Type,0)),"")</f>
        <v/>
      </c>
      <c r="V1592" s="67">
        <f>IF(D1592="","",IFERROR(IF(INDEX(tt_Other,MATCH(D1592,tt_Type,0))="",E1592&amp;"",INDEX(tt_Other,MATCH(D1592,tt_Type,0))),""))</f>
        <v/>
      </c>
      <c r="W1592" s="68">
        <f>IF(OR(TaxOn&lt;&gt;"Yes",NOT(ISNUMBER(M1592))),0,IF(IFERROR(INDEX(tt_Tax,MATCH(D1592,tt_Type,0)),"No")="Yes",M1592,0))</f>
        <v/>
      </c>
      <c r="X1592" s="67">
        <f>IF(T1592=1,"",IF(C1592="","Missing transaction date",IF(NOT(ISNUMBER(C1592)),"Invalid date",IF(OR(C1592&lt;DATE(2000,1,1),C1592&gt;DATE(2099,12,31)),"Invalid date",IF(D1592="","Select a type",IF(U1592="","Unknown type: "&amp;D1592,IF(V1592="","Select an account (Category)",IF(ISNA(MATCH(V1592,coa_Name,0)),"Unknown account: "&amp;V1592,IF(K1592="","Select Paid From / Deposited To",IF(ISNA(MATCH(K1592,coa_Name,0)),"Unknown account: "&amp;K1592,IF(NOT(ISNUMBER(L1592)),"Enter an amount",IF(L1592=0,"Enter an amount",IF(ABS(W1592)&gt;ABS(L1592),"Tax is larger than the amount","")))))))))))))</f>
        <v/>
      </c>
      <c r="Y1592" s="67">
        <f>IF(OR(T1592=1,X1592&lt;&gt;""),"",IF(AND(B1592&lt;&gt;"",COUNTIF(tx_ID,B1592)&gt;1),"Duplicate transaction ID",IF(AND(L1592&lt;0,D1592&lt;&gt;"Adjustment"),"Negative amount — check this entry",IF(AND(D1592="Customer Payment",G1592=""),"Add the customer",IF(AND(D1592="Customer Payment",OR(J1592="",COUNTIF(ar_No,J1592&amp;"")=0)),"Invoice # in Reference not found on AR sheet",IF(AND(D1592="Bill Payment",H1592=""),"Add the vendor",IF(AND(D1592="Bill Payment",OR(J1592="",COUNTIFS(ap_No,J1592&amp;"",ap_Party,H1592&amp;"")=0)),"Bill # + vendor not found on AP sheet",IF(AND(ISNUMBER(M1592),N(M1592)&lt;&gt;0,W1592=0),"Tax ignored (tax tracking off, or not allowed for this type)",IF(V1592=K1592&amp;"","Same account on both sides",IF(AND(ISNUMBER(StartDate),C1592&lt;StartDate),"Date is before the accounting start date",IF(AND(D1592&lt;&gt;"Adjustment",IFERROR(INDEX(coa_Pay,MATCH(K1592&amp;"",coa_Name,0)),"")&lt;&gt;"Yes"),"Paid From / Deposited To is not a payment account","")))))))))))</f>
        <v/>
      </c>
      <c r="Z1592" s="67">
        <f>IF(AND(T1592=0,X1592=""),1,0)</f>
        <v/>
      </c>
      <c r="AA1592" s="68">
        <f>IF(Z1592=1,IF(U1592="In",L1592,L1592-W1592),0)</f>
        <v/>
      </c>
      <c r="AB1592" s="68">
        <f>IF(Z1592=1,IF(U1592="In",L1592-W1592,L1592),0)</f>
        <v/>
      </c>
      <c r="AC1592" s="68">
        <f>IF(AND(Z1592=1,U1592="Out"),W1592,0)</f>
        <v/>
      </c>
      <c r="AD1592" s="68">
        <f>IF(AND(Z1592=1,U1592="In"),W1592,0)</f>
        <v/>
      </c>
    </row>
    <row r="1593">
      <c r="B1593" s="62" t="inlineStr">
        <is>
          <t>TX-1587</t>
        </is>
      </c>
      <c r="C1593" s="63" t="n"/>
      <c r="D1593" s="62" t="n"/>
      <c r="E1593" s="62" t="n"/>
      <c r="F1593" s="62" t="n"/>
      <c r="G1593" s="62" t="n"/>
      <c r="H1593" s="62" t="n"/>
      <c r="I1593" s="62" t="n"/>
      <c r="J1593" s="62" t="n"/>
      <c r="K1593" s="62" t="n"/>
      <c r="L1593" s="64" t="n"/>
      <c r="M1593" s="64" t="n"/>
      <c r="N1593" s="62" t="n"/>
      <c r="O1593" s="65">
        <f>IF(Z1593=1,L1593-W1593,"")</f>
        <v/>
      </c>
      <c r="P1593" s="66">
        <f>IF(V1593="","",IFERROR(INDEX(coa_Type,MATCH(V1593,coa_Name,0)),""))</f>
        <v/>
      </c>
      <c r="Q1593" s="66">
        <f>IF(Z1593=1,IF(U1593="In",K1593&amp;"",V1593),"")</f>
        <v/>
      </c>
      <c r="R1593" s="66">
        <f>IF(Z1593=1,IF(U1593="In",V1593,K1593&amp;""),"")</f>
        <v/>
      </c>
      <c r="S1593" s="66">
        <f>IF(X1593&lt;&gt;"","⛔ "&amp;X1593&amp;" — not posted",IF(Y1593&lt;&gt;"","⚠ "&amp;Y1593,IF(Z1593=1,"✓ OK","")))</f>
        <v/>
      </c>
      <c r="T1593" s="67">
        <f>IF(AND(C1593="",D1593="",E1593="",L1593="",K1593=""),1,0)</f>
        <v/>
      </c>
      <c r="U1593" s="67">
        <f>IFERROR(INDEX(tt_Dir,MATCH(D1593,tt_Type,0)),"")</f>
        <v/>
      </c>
      <c r="V1593" s="67">
        <f>IF(D1593="","",IFERROR(IF(INDEX(tt_Other,MATCH(D1593,tt_Type,0))="",E1593&amp;"",INDEX(tt_Other,MATCH(D1593,tt_Type,0))),""))</f>
        <v/>
      </c>
      <c r="W1593" s="68">
        <f>IF(OR(TaxOn&lt;&gt;"Yes",NOT(ISNUMBER(M1593))),0,IF(IFERROR(INDEX(tt_Tax,MATCH(D1593,tt_Type,0)),"No")="Yes",M1593,0))</f>
        <v/>
      </c>
      <c r="X1593" s="67">
        <f>IF(T1593=1,"",IF(C1593="","Missing transaction date",IF(NOT(ISNUMBER(C1593)),"Invalid date",IF(OR(C1593&lt;DATE(2000,1,1),C1593&gt;DATE(2099,12,31)),"Invalid date",IF(D1593="","Select a type",IF(U1593="","Unknown type: "&amp;D1593,IF(V1593="","Select an account (Category)",IF(ISNA(MATCH(V1593,coa_Name,0)),"Unknown account: "&amp;V1593,IF(K1593="","Select Paid From / Deposited To",IF(ISNA(MATCH(K1593,coa_Name,0)),"Unknown account: "&amp;K1593,IF(NOT(ISNUMBER(L1593)),"Enter an amount",IF(L1593=0,"Enter an amount",IF(ABS(W1593)&gt;ABS(L1593),"Tax is larger than the amount","")))))))))))))</f>
        <v/>
      </c>
      <c r="Y1593" s="67">
        <f>IF(OR(T1593=1,X1593&lt;&gt;""),"",IF(AND(B1593&lt;&gt;"",COUNTIF(tx_ID,B1593)&gt;1),"Duplicate transaction ID",IF(AND(L1593&lt;0,D1593&lt;&gt;"Adjustment"),"Negative amount — check this entry",IF(AND(D1593="Customer Payment",G1593=""),"Add the customer",IF(AND(D1593="Customer Payment",OR(J1593="",COUNTIF(ar_No,J1593&amp;"")=0)),"Invoice # in Reference not found on AR sheet",IF(AND(D1593="Bill Payment",H1593=""),"Add the vendor",IF(AND(D1593="Bill Payment",OR(J1593="",COUNTIFS(ap_No,J1593&amp;"",ap_Party,H1593&amp;"")=0)),"Bill # + vendor not found on AP sheet",IF(AND(ISNUMBER(M1593),N(M1593)&lt;&gt;0,W1593=0),"Tax ignored (tax tracking off, or not allowed for this type)",IF(V1593=K1593&amp;"","Same account on both sides",IF(AND(ISNUMBER(StartDate),C1593&lt;StartDate),"Date is before the accounting start date",IF(AND(D1593&lt;&gt;"Adjustment",IFERROR(INDEX(coa_Pay,MATCH(K1593&amp;"",coa_Name,0)),"")&lt;&gt;"Yes"),"Paid From / Deposited To is not a payment account","")))))))))))</f>
        <v/>
      </c>
      <c r="Z1593" s="67">
        <f>IF(AND(T1593=0,X1593=""),1,0)</f>
        <v/>
      </c>
      <c r="AA1593" s="68">
        <f>IF(Z1593=1,IF(U1593="In",L1593,L1593-W1593),0)</f>
        <v/>
      </c>
      <c r="AB1593" s="68">
        <f>IF(Z1593=1,IF(U1593="In",L1593-W1593,L1593),0)</f>
        <v/>
      </c>
      <c r="AC1593" s="68">
        <f>IF(AND(Z1593=1,U1593="Out"),W1593,0)</f>
        <v/>
      </c>
      <c r="AD1593" s="68">
        <f>IF(AND(Z1593=1,U1593="In"),W1593,0)</f>
        <v/>
      </c>
    </row>
    <row r="1594">
      <c r="B1594" s="62" t="inlineStr">
        <is>
          <t>TX-1588</t>
        </is>
      </c>
      <c r="C1594" s="63" t="n"/>
      <c r="D1594" s="62" t="n"/>
      <c r="E1594" s="62" t="n"/>
      <c r="F1594" s="62" t="n"/>
      <c r="G1594" s="62" t="n"/>
      <c r="H1594" s="62" t="n"/>
      <c r="I1594" s="62" t="n"/>
      <c r="J1594" s="62" t="n"/>
      <c r="K1594" s="62" t="n"/>
      <c r="L1594" s="64" t="n"/>
      <c r="M1594" s="64" t="n"/>
      <c r="N1594" s="62" t="n"/>
      <c r="O1594" s="65">
        <f>IF(Z1594=1,L1594-W1594,"")</f>
        <v/>
      </c>
      <c r="P1594" s="66">
        <f>IF(V1594="","",IFERROR(INDEX(coa_Type,MATCH(V1594,coa_Name,0)),""))</f>
        <v/>
      </c>
      <c r="Q1594" s="66">
        <f>IF(Z1594=1,IF(U1594="In",K1594&amp;"",V1594),"")</f>
        <v/>
      </c>
      <c r="R1594" s="66">
        <f>IF(Z1594=1,IF(U1594="In",V1594,K1594&amp;""),"")</f>
        <v/>
      </c>
      <c r="S1594" s="66">
        <f>IF(X1594&lt;&gt;"","⛔ "&amp;X1594&amp;" — not posted",IF(Y1594&lt;&gt;"","⚠ "&amp;Y1594,IF(Z1594=1,"✓ OK","")))</f>
        <v/>
      </c>
      <c r="T1594" s="67">
        <f>IF(AND(C1594="",D1594="",E1594="",L1594="",K1594=""),1,0)</f>
        <v/>
      </c>
      <c r="U1594" s="67">
        <f>IFERROR(INDEX(tt_Dir,MATCH(D1594,tt_Type,0)),"")</f>
        <v/>
      </c>
      <c r="V1594" s="67">
        <f>IF(D1594="","",IFERROR(IF(INDEX(tt_Other,MATCH(D1594,tt_Type,0))="",E1594&amp;"",INDEX(tt_Other,MATCH(D1594,tt_Type,0))),""))</f>
        <v/>
      </c>
      <c r="W1594" s="68">
        <f>IF(OR(TaxOn&lt;&gt;"Yes",NOT(ISNUMBER(M1594))),0,IF(IFERROR(INDEX(tt_Tax,MATCH(D1594,tt_Type,0)),"No")="Yes",M1594,0))</f>
        <v/>
      </c>
      <c r="X1594" s="67">
        <f>IF(T1594=1,"",IF(C1594="","Missing transaction date",IF(NOT(ISNUMBER(C1594)),"Invalid date",IF(OR(C1594&lt;DATE(2000,1,1),C1594&gt;DATE(2099,12,31)),"Invalid date",IF(D1594="","Select a type",IF(U1594="","Unknown type: "&amp;D1594,IF(V1594="","Select an account (Category)",IF(ISNA(MATCH(V1594,coa_Name,0)),"Unknown account: "&amp;V1594,IF(K1594="","Select Paid From / Deposited To",IF(ISNA(MATCH(K1594,coa_Name,0)),"Unknown account: "&amp;K1594,IF(NOT(ISNUMBER(L1594)),"Enter an amount",IF(L1594=0,"Enter an amount",IF(ABS(W1594)&gt;ABS(L1594),"Tax is larger than the amount","")))))))))))))</f>
        <v/>
      </c>
      <c r="Y1594" s="67">
        <f>IF(OR(T1594=1,X1594&lt;&gt;""),"",IF(AND(B1594&lt;&gt;"",COUNTIF(tx_ID,B1594)&gt;1),"Duplicate transaction ID",IF(AND(L1594&lt;0,D1594&lt;&gt;"Adjustment"),"Negative amount — check this entry",IF(AND(D1594="Customer Payment",G1594=""),"Add the customer",IF(AND(D1594="Customer Payment",OR(J1594="",COUNTIF(ar_No,J1594&amp;"")=0)),"Invoice # in Reference not found on AR sheet",IF(AND(D1594="Bill Payment",H1594=""),"Add the vendor",IF(AND(D1594="Bill Payment",OR(J1594="",COUNTIFS(ap_No,J1594&amp;"",ap_Party,H1594&amp;"")=0)),"Bill # + vendor not found on AP sheet",IF(AND(ISNUMBER(M1594),N(M1594)&lt;&gt;0,W1594=0),"Tax ignored (tax tracking off, or not allowed for this type)",IF(V1594=K1594&amp;"","Same account on both sides",IF(AND(ISNUMBER(StartDate),C1594&lt;StartDate),"Date is before the accounting start date",IF(AND(D1594&lt;&gt;"Adjustment",IFERROR(INDEX(coa_Pay,MATCH(K1594&amp;"",coa_Name,0)),"")&lt;&gt;"Yes"),"Paid From / Deposited To is not a payment account","")))))))))))</f>
        <v/>
      </c>
      <c r="Z1594" s="67">
        <f>IF(AND(T1594=0,X1594=""),1,0)</f>
        <v/>
      </c>
      <c r="AA1594" s="68">
        <f>IF(Z1594=1,IF(U1594="In",L1594,L1594-W1594),0)</f>
        <v/>
      </c>
      <c r="AB1594" s="68">
        <f>IF(Z1594=1,IF(U1594="In",L1594-W1594,L1594),0)</f>
        <v/>
      </c>
      <c r="AC1594" s="68">
        <f>IF(AND(Z1594=1,U1594="Out"),W1594,0)</f>
        <v/>
      </c>
      <c r="AD1594" s="68">
        <f>IF(AND(Z1594=1,U1594="In"),W1594,0)</f>
        <v/>
      </c>
    </row>
    <row r="1595">
      <c r="B1595" s="62" t="inlineStr">
        <is>
          <t>TX-1589</t>
        </is>
      </c>
      <c r="C1595" s="63" t="n"/>
      <c r="D1595" s="62" t="n"/>
      <c r="E1595" s="62" t="n"/>
      <c r="F1595" s="62" t="n"/>
      <c r="G1595" s="62" t="n"/>
      <c r="H1595" s="62" t="n"/>
      <c r="I1595" s="62" t="n"/>
      <c r="J1595" s="62" t="n"/>
      <c r="K1595" s="62" t="n"/>
      <c r="L1595" s="64" t="n"/>
      <c r="M1595" s="64" t="n"/>
      <c r="N1595" s="62" t="n"/>
      <c r="O1595" s="65">
        <f>IF(Z1595=1,L1595-W1595,"")</f>
        <v/>
      </c>
      <c r="P1595" s="66">
        <f>IF(V1595="","",IFERROR(INDEX(coa_Type,MATCH(V1595,coa_Name,0)),""))</f>
        <v/>
      </c>
      <c r="Q1595" s="66">
        <f>IF(Z1595=1,IF(U1595="In",K1595&amp;"",V1595),"")</f>
        <v/>
      </c>
      <c r="R1595" s="66">
        <f>IF(Z1595=1,IF(U1595="In",V1595,K1595&amp;""),"")</f>
        <v/>
      </c>
      <c r="S1595" s="66">
        <f>IF(X1595&lt;&gt;"","⛔ "&amp;X1595&amp;" — not posted",IF(Y1595&lt;&gt;"","⚠ "&amp;Y1595,IF(Z1595=1,"✓ OK","")))</f>
        <v/>
      </c>
      <c r="T1595" s="67">
        <f>IF(AND(C1595="",D1595="",E1595="",L1595="",K1595=""),1,0)</f>
        <v/>
      </c>
      <c r="U1595" s="67">
        <f>IFERROR(INDEX(tt_Dir,MATCH(D1595,tt_Type,0)),"")</f>
        <v/>
      </c>
      <c r="V1595" s="67">
        <f>IF(D1595="","",IFERROR(IF(INDEX(tt_Other,MATCH(D1595,tt_Type,0))="",E1595&amp;"",INDEX(tt_Other,MATCH(D1595,tt_Type,0))),""))</f>
        <v/>
      </c>
      <c r="W1595" s="68">
        <f>IF(OR(TaxOn&lt;&gt;"Yes",NOT(ISNUMBER(M1595))),0,IF(IFERROR(INDEX(tt_Tax,MATCH(D1595,tt_Type,0)),"No")="Yes",M1595,0))</f>
        <v/>
      </c>
      <c r="X1595" s="67">
        <f>IF(T1595=1,"",IF(C1595="","Missing transaction date",IF(NOT(ISNUMBER(C1595)),"Invalid date",IF(OR(C1595&lt;DATE(2000,1,1),C1595&gt;DATE(2099,12,31)),"Invalid date",IF(D1595="","Select a type",IF(U1595="","Unknown type: "&amp;D1595,IF(V1595="","Select an account (Category)",IF(ISNA(MATCH(V1595,coa_Name,0)),"Unknown account: "&amp;V1595,IF(K1595="","Select Paid From / Deposited To",IF(ISNA(MATCH(K1595,coa_Name,0)),"Unknown account: "&amp;K1595,IF(NOT(ISNUMBER(L1595)),"Enter an amount",IF(L1595=0,"Enter an amount",IF(ABS(W1595)&gt;ABS(L1595),"Tax is larger than the amount","")))))))))))))</f>
        <v/>
      </c>
      <c r="Y1595" s="67">
        <f>IF(OR(T1595=1,X1595&lt;&gt;""),"",IF(AND(B1595&lt;&gt;"",COUNTIF(tx_ID,B1595)&gt;1),"Duplicate transaction ID",IF(AND(L1595&lt;0,D1595&lt;&gt;"Adjustment"),"Negative amount — check this entry",IF(AND(D1595="Customer Payment",G1595=""),"Add the customer",IF(AND(D1595="Customer Payment",OR(J1595="",COUNTIF(ar_No,J1595&amp;"")=0)),"Invoice # in Reference not found on AR sheet",IF(AND(D1595="Bill Payment",H1595=""),"Add the vendor",IF(AND(D1595="Bill Payment",OR(J1595="",COUNTIFS(ap_No,J1595&amp;"",ap_Party,H1595&amp;"")=0)),"Bill # + vendor not found on AP sheet",IF(AND(ISNUMBER(M1595),N(M1595)&lt;&gt;0,W1595=0),"Tax ignored (tax tracking off, or not allowed for this type)",IF(V1595=K1595&amp;"","Same account on both sides",IF(AND(ISNUMBER(StartDate),C1595&lt;StartDate),"Date is before the accounting start date",IF(AND(D1595&lt;&gt;"Adjustment",IFERROR(INDEX(coa_Pay,MATCH(K1595&amp;"",coa_Name,0)),"")&lt;&gt;"Yes"),"Paid From / Deposited To is not a payment account","")))))))))))</f>
        <v/>
      </c>
      <c r="Z1595" s="67">
        <f>IF(AND(T1595=0,X1595=""),1,0)</f>
        <v/>
      </c>
      <c r="AA1595" s="68">
        <f>IF(Z1595=1,IF(U1595="In",L1595,L1595-W1595),0)</f>
        <v/>
      </c>
      <c r="AB1595" s="68">
        <f>IF(Z1595=1,IF(U1595="In",L1595-W1595,L1595),0)</f>
        <v/>
      </c>
      <c r="AC1595" s="68">
        <f>IF(AND(Z1595=1,U1595="Out"),W1595,0)</f>
        <v/>
      </c>
      <c r="AD1595" s="68">
        <f>IF(AND(Z1595=1,U1595="In"),W1595,0)</f>
        <v/>
      </c>
    </row>
    <row r="1596">
      <c r="B1596" s="62" t="inlineStr">
        <is>
          <t>TX-1590</t>
        </is>
      </c>
      <c r="C1596" s="63" t="n"/>
      <c r="D1596" s="62" t="n"/>
      <c r="E1596" s="62" t="n"/>
      <c r="F1596" s="62" t="n"/>
      <c r="G1596" s="62" t="n"/>
      <c r="H1596" s="62" t="n"/>
      <c r="I1596" s="62" t="n"/>
      <c r="J1596" s="62" t="n"/>
      <c r="K1596" s="62" t="n"/>
      <c r="L1596" s="64" t="n"/>
      <c r="M1596" s="64" t="n"/>
      <c r="N1596" s="62" t="n"/>
      <c r="O1596" s="65">
        <f>IF(Z1596=1,L1596-W1596,"")</f>
        <v/>
      </c>
      <c r="P1596" s="66">
        <f>IF(V1596="","",IFERROR(INDEX(coa_Type,MATCH(V1596,coa_Name,0)),""))</f>
        <v/>
      </c>
      <c r="Q1596" s="66">
        <f>IF(Z1596=1,IF(U1596="In",K1596&amp;"",V1596),"")</f>
        <v/>
      </c>
      <c r="R1596" s="66">
        <f>IF(Z1596=1,IF(U1596="In",V1596,K1596&amp;""),"")</f>
        <v/>
      </c>
      <c r="S1596" s="66">
        <f>IF(X1596&lt;&gt;"","⛔ "&amp;X1596&amp;" — not posted",IF(Y1596&lt;&gt;"","⚠ "&amp;Y1596,IF(Z1596=1,"✓ OK","")))</f>
        <v/>
      </c>
      <c r="T1596" s="67">
        <f>IF(AND(C1596="",D1596="",E1596="",L1596="",K1596=""),1,0)</f>
        <v/>
      </c>
      <c r="U1596" s="67">
        <f>IFERROR(INDEX(tt_Dir,MATCH(D1596,tt_Type,0)),"")</f>
        <v/>
      </c>
      <c r="V1596" s="67">
        <f>IF(D1596="","",IFERROR(IF(INDEX(tt_Other,MATCH(D1596,tt_Type,0))="",E1596&amp;"",INDEX(tt_Other,MATCH(D1596,tt_Type,0))),""))</f>
        <v/>
      </c>
      <c r="W1596" s="68">
        <f>IF(OR(TaxOn&lt;&gt;"Yes",NOT(ISNUMBER(M1596))),0,IF(IFERROR(INDEX(tt_Tax,MATCH(D1596,tt_Type,0)),"No")="Yes",M1596,0))</f>
        <v/>
      </c>
      <c r="X1596" s="67">
        <f>IF(T1596=1,"",IF(C1596="","Missing transaction date",IF(NOT(ISNUMBER(C1596)),"Invalid date",IF(OR(C1596&lt;DATE(2000,1,1),C1596&gt;DATE(2099,12,31)),"Invalid date",IF(D1596="","Select a type",IF(U1596="","Unknown type: "&amp;D1596,IF(V1596="","Select an account (Category)",IF(ISNA(MATCH(V1596,coa_Name,0)),"Unknown account: "&amp;V1596,IF(K1596="","Select Paid From / Deposited To",IF(ISNA(MATCH(K1596,coa_Name,0)),"Unknown account: "&amp;K1596,IF(NOT(ISNUMBER(L1596)),"Enter an amount",IF(L1596=0,"Enter an amount",IF(ABS(W1596)&gt;ABS(L1596),"Tax is larger than the amount","")))))))))))))</f>
        <v/>
      </c>
      <c r="Y1596" s="67">
        <f>IF(OR(T1596=1,X1596&lt;&gt;""),"",IF(AND(B1596&lt;&gt;"",COUNTIF(tx_ID,B1596)&gt;1),"Duplicate transaction ID",IF(AND(L1596&lt;0,D1596&lt;&gt;"Adjustment"),"Negative amount — check this entry",IF(AND(D1596="Customer Payment",G1596=""),"Add the customer",IF(AND(D1596="Customer Payment",OR(J1596="",COUNTIF(ar_No,J1596&amp;"")=0)),"Invoice # in Reference not found on AR sheet",IF(AND(D1596="Bill Payment",H1596=""),"Add the vendor",IF(AND(D1596="Bill Payment",OR(J1596="",COUNTIFS(ap_No,J1596&amp;"",ap_Party,H1596&amp;"")=0)),"Bill # + vendor not found on AP sheet",IF(AND(ISNUMBER(M1596),N(M1596)&lt;&gt;0,W1596=0),"Tax ignored (tax tracking off, or not allowed for this type)",IF(V1596=K1596&amp;"","Same account on both sides",IF(AND(ISNUMBER(StartDate),C1596&lt;StartDate),"Date is before the accounting start date",IF(AND(D1596&lt;&gt;"Adjustment",IFERROR(INDEX(coa_Pay,MATCH(K1596&amp;"",coa_Name,0)),"")&lt;&gt;"Yes"),"Paid From / Deposited To is not a payment account","")))))))))))</f>
        <v/>
      </c>
      <c r="Z1596" s="67">
        <f>IF(AND(T1596=0,X1596=""),1,0)</f>
        <v/>
      </c>
      <c r="AA1596" s="68">
        <f>IF(Z1596=1,IF(U1596="In",L1596,L1596-W1596),0)</f>
        <v/>
      </c>
      <c r="AB1596" s="68">
        <f>IF(Z1596=1,IF(U1596="In",L1596-W1596,L1596),0)</f>
        <v/>
      </c>
      <c r="AC1596" s="68">
        <f>IF(AND(Z1596=1,U1596="Out"),W1596,0)</f>
        <v/>
      </c>
      <c r="AD1596" s="68">
        <f>IF(AND(Z1596=1,U1596="In"),W1596,0)</f>
        <v/>
      </c>
    </row>
    <row r="1597">
      <c r="B1597" s="62" t="inlineStr">
        <is>
          <t>TX-1591</t>
        </is>
      </c>
      <c r="C1597" s="63" t="n"/>
      <c r="D1597" s="62" t="n"/>
      <c r="E1597" s="62" t="n"/>
      <c r="F1597" s="62" t="n"/>
      <c r="G1597" s="62" t="n"/>
      <c r="H1597" s="62" t="n"/>
      <c r="I1597" s="62" t="n"/>
      <c r="J1597" s="62" t="n"/>
      <c r="K1597" s="62" t="n"/>
      <c r="L1597" s="64" t="n"/>
      <c r="M1597" s="64" t="n"/>
      <c r="N1597" s="62" t="n"/>
      <c r="O1597" s="65">
        <f>IF(Z1597=1,L1597-W1597,"")</f>
        <v/>
      </c>
      <c r="P1597" s="66">
        <f>IF(V1597="","",IFERROR(INDEX(coa_Type,MATCH(V1597,coa_Name,0)),""))</f>
        <v/>
      </c>
      <c r="Q1597" s="66">
        <f>IF(Z1597=1,IF(U1597="In",K1597&amp;"",V1597),"")</f>
        <v/>
      </c>
      <c r="R1597" s="66">
        <f>IF(Z1597=1,IF(U1597="In",V1597,K1597&amp;""),"")</f>
        <v/>
      </c>
      <c r="S1597" s="66">
        <f>IF(X1597&lt;&gt;"","⛔ "&amp;X1597&amp;" — not posted",IF(Y1597&lt;&gt;"","⚠ "&amp;Y1597,IF(Z1597=1,"✓ OK","")))</f>
        <v/>
      </c>
      <c r="T1597" s="67">
        <f>IF(AND(C1597="",D1597="",E1597="",L1597="",K1597=""),1,0)</f>
        <v/>
      </c>
      <c r="U1597" s="67">
        <f>IFERROR(INDEX(tt_Dir,MATCH(D1597,tt_Type,0)),"")</f>
        <v/>
      </c>
      <c r="V1597" s="67">
        <f>IF(D1597="","",IFERROR(IF(INDEX(tt_Other,MATCH(D1597,tt_Type,0))="",E1597&amp;"",INDEX(tt_Other,MATCH(D1597,tt_Type,0))),""))</f>
        <v/>
      </c>
      <c r="W1597" s="68">
        <f>IF(OR(TaxOn&lt;&gt;"Yes",NOT(ISNUMBER(M1597))),0,IF(IFERROR(INDEX(tt_Tax,MATCH(D1597,tt_Type,0)),"No")="Yes",M1597,0))</f>
        <v/>
      </c>
      <c r="X1597" s="67">
        <f>IF(T1597=1,"",IF(C1597="","Missing transaction date",IF(NOT(ISNUMBER(C1597)),"Invalid date",IF(OR(C1597&lt;DATE(2000,1,1),C1597&gt;DATE(2099,12,31)),"Invalid date",IF(D1597="","Select a type",IF(U1597="","Unknown type: "&amp;D1597,IF(V1597="","Select an account (Category)",IF(ISNA(MATCH(V1597,coa_Name,0)),"Unknown account: "&amp;V1597,IF(K1597="","Select Paid From / Deposited To",IF(ISNA(MATCH(K1597,coa_Name,0)),"Unknown account: "&amp;K1597,IF(NOT(ISNUMBER(L1597)),"Enter an amount",IF(L1597=0,"Enter an amount",IF(ABS(W1597)&gt;ABS(L1597),"Tax is larger than the amount","")))))))))))))</f>
        <v/>
      </c>
      <c r="Y1597" s="67">
        <f>IF(OR(T1597=1,X1597&lt;&gt;""),"",IF(AND(B1597&lt;&gt;"",COUNTIF(tx_ID,B1597)&gt;1),"Duplicate transaction ID",IF(AND(L1597&lt;0,D1597&lt;&gt;"Adjustment"),"Negative amount — check this entry",IF(AND(D1597="Customer Payment",G1597=""),"Add the customer",IF(AND(D1597="Customer Payment",OR(J1597="",COUNTIF(ar_No,J1597&amp;"")=0)),"Invoice # in Reference not found on AR sheet",IF(AND(D1597="Bill Payment",H1597=""),"Add the vendor",IF(AND(D1597="Bill Payment",OR(J1597="",COUNTIFS(ap_No,J1597&amp;"",ap_Party,H1597&amp;"")=0)),"Bill # + vendor not found on AP sheet",IF(AND(ISNUMBER(M1597),N(M1597)&lt;&gt;0,W1597=0),"Tax ignored (tax tracking off, or not allowed for this type)",IF(V1597=K1597&amp;"","Same account on both sides",IF(AND(ISNUMBER(StartDate),C1597&lt;StartDate),"Date is before the accounting start date",IF(AND(D1597&lt;&gt;"Adjustment",IFERROR(INDEX(coa_Pay,MATCH(K1597&amp;"",coa_Name,0)),"")&lt;&gt;"Yes"),"Paid From / Deposited To is not a payment account","")))))))))))</f>
        <v/>
      </c>
      <c r="Z1597" s="67">
        <f>IF(AND(T1597=0,X1597=""),1,0)</f>
        <v/>
      </c>
      <c r="AA1597" s="68">
        <f>IF(Z1597=1,IF(U1597="In",L1597,L1597-W1597),0)</f>
        <v/>
      </c>
      <c r="AB1597" s="68">
        <f>IF(Z1597=1,IF(U1597="In",L1597-W1597,L1597),0)</f>
        <v/>
      </c>
      <c r="AC1597" s="68">
        <f>IF(AND(Z1597=1,U1597="Out"),W1597,0)</f>
        <v/>
      </c>
      <c r="AD1597" s="68">
        <f>IF(AND(Z1597=1,U1597="In"),W1597,0)</f>
        <v/>
      </c>
    </row>
    <row r="1598">
      <c r="B1598" s="62" t="inlineStr">
        <is>
          <t>TX-1592</t>
        </is>
      </c>
      <c r="C1598" s="63" t="n"/>
      <c r="D1598" s="62" t="n"/>
      <c r="E1598" s="62" t="n"/>
      <c r="F1598" s="62" t="n"/>
      <c r="G1598" s="62" t="n"/>
      <c r="H1598" s="62" t="n"/>
      <c r="I1598" s="62" t="n"/>
      <c r="J1598" s="62" t="n"/>
      <c r="K1598" s="62" t="n"/>
      <c r="L1598" s="64" t="n"/>
      <c r="M1598" s="64" t="n"/>
      <c r="N1598" s="62" t="n"/>
      <c r="O1598" s="65">
        <f>IF(Z1598=1,L1598-W1598,"")</f>
        <v/>
      </c>
      <c r="P1598" s="66">
        <f>IF(V1598="","",IFERROR(INDEX(coa_Type,MATCH(V1598,coa_Name,0)),""))</f>
        <v/>
      </c>
      <c r="Q1598" s="66">
        <f>IF(Z1598=1,IF(U1598="In",K1598&amp;"",V1598),"")</f>
        <v/>
      </c>
      <c r="R1598" s="66">
        <f>IF(Z1598=1,IF(U1598="In",V1598,K1598&amp;""),"")</f>
        <v/>
      </c>
      <c r="S1598" s="66">
        <f>IF(X1598&lt;&gt;"","⛔ "&amp;X1598&amp;" — not posted",IF(Y1598&lt;&gt;"","⚠ "&amp;Y1598,IF(Z1598=1,"✓ OK","")))</f>
        <v/>
      </c>
      <c r="T1598" s="67">
        <f>IF(AND(C1598="",D1598="",E1598="",L1598="",K1598=""),1,0)</f>
        <v/>
      </c>
      <c r="U1598" s="67">
        <f>IFERROR(INDEX(tt_Dir,MATCH(D1598,tt_Type,0)),"")</f>
        <v/>
      </c>
      <c r="V1598" s="67">
        <f>IF(D1598="","",IFERROR(IF(INDEX(tt_Other,MATCH(D1598,tt_Type,0))="",E1598&amp;"",INDEX(tt_Other,MATCH(D1598,tt_Type,0))),""))</f>
        <v/>
      </c>
      <c r="W1598" s="68">
        <f>IF(OR(TaxOn&lt;&gt;"Yes",NOT(ISNUMBER(M1598))),0,IF(IFERROR(INDEX(tt_Tax,MATCH(D1598,tt_Type,0)),"No")="Yes",M1598,0))</f>
        <v/>
      </c>
      <c r="X1598" s="67">
        <f>IF(T1598=1,"",IF(C1598="","Missing transaction date",IF(NOT(ISNUMBER(C1598)),"Invalid date",IF(OR(C1598&lt;DATE(2000,1,1),C1598&gt;DATE(2099,12,31)),"Invalid date",IF(D1598="","Select a type",IF(U1598="","Unknown type: "&amp;D1598,IF(V1598="","Select an account (Category)",IF(ISNA(MATCH(V1598,coa_Name,0)),"Unknown account: "&amp;V1598,IF(K1598="","Select Paid From / Deposited To",IF(ISNA(MATCH(K1598,coa_Name,0)),"Unknown account: "&amp;K1598,IF(NOT(ISNUMBER(L1598)),"Enter an amount",IF(L1598=0,"Enter an amount",IF(ABS(W1598)&gt;ABS(L1598),"Tax is larger than the amount","")))))))))))))</f>
        <v/>
      </c>
      <c r="Y1598" s="67">
        <f>IF(OR(T1598=1,X1598&lt;&gt;""),"",IF(AND(B1598&lt;&gt;"",COUNTIF(tx_ID,B1598)&gt;1),"Duplicate transaction ID",IF(AND(L1598&lt;0,D1598&lt;&gt;"Adjustment"),"Negative amount — check this entry",IF(AND(D1598="Customer Payment",G1598=""),"Add the customer",IF(AND(D1598="Customer Payment",OR(J1598="",COUNTIF(ar_No,J1598&amp;"")=0)),"Invoice # in Reference not found on AR sheet",IF(AND(D1598="Bill Payment",H1598=""),"Add the vendor",IF(AND(D1598="Bill Payment",OR(J1598="",COUNTIFS(ap_No,J1598&amp;"",ap_Party,H1598&amp;"")=0)),"Bill # + vendor not found on AP sheet",IF(AND(ISNUMBER(M1598),N(M1598)&lt;&gt;0,W1598=0),"Tax ignored (tax tracking off, or not allowed for this type)",IF(V1598=K1598&amp;"","Same account on both sides",IF(AND(ISNUMBER(StartDate),C1598&lt;StartDate),"Date is before the accounting start date",IF(AND(D1598&lt;&gt;"Adjustment",IFERROR(INDEX(coa_Pay,MATCH(K1598&amp;"",coa_Name,0)),"")&lt;&gt;"Yes"),"Paid From / Deposited To is not a payment account","")))))))))))</f>
        <v/>
      </c>
      <c r="Z1598" s="67">
        <f>IF(AND(T1598=0,X1598=""),1,0)</f>
        <v/>
      </c>
      <c r="AA1598" s="68">
        <f>IF(Z1598=1,IF(U1598="In",L1598,L1598-W1598),0)</f>
        <v/>
      </c>
      <c r="AB1598" s="68">
        <f>IF(Z1598=1,IF(U1598="In",L1598-W1598,L1598),0)</f>
        <v/>
      </c>
      <c r="AC1598" s="68">
        <f>IF(AND(Z1598=1,U1598="Out"),W1598,0)</f>
        <v/>
      </c>
      <c r="AD1598" s="68">
        <f>IF(AND(Z1598=1,U1598="In"),W1598,0)</f>
        <v/>
      </c>
    </row>
    <row r="1599">
      <c r="B1599" s="62" t="inlineStr">
        <is>
          <t>TX-1593</t>
        </is>
      </c>
      <c r="C1599" s="63" t="n"/>
      <c r="D1599" s="62" t="n"/>
      <c r="E1599" s="62" t="n"/>
      <c r="F1599" s="62" t="n"/>
      <c r="G1599" s="62" t="n"/>
      <c r="H1599" s="62" t="n"/>
      <c r="I1599" s="62" t="n"/>
      <c r="J1599" s="62" t="n"/>
      <c r="K1599" s="62" t="n"/>
      <c r="L1599" s="64" t="n"/>
      <c r="M1599" s="64" t="n"/>
      <c r="N1599" s="62" t="n"/>
      <c r="O1599" s="65">
        <f>IF(Z1599=1,L1599-W1599,"")</f>
        <v/>
      </c>
      <c r="P1599" s="66">
        <f>IF(V1599="","",IFERROR(INDEX(coa_Type,MATCH(V1599,coa_Name,0)),""))</f>
        <v/>
      </c>
      <c r="Q1599" s="66">
        <f>IF(Z1599=1,IF(U1599="In",K1599&amp;"",V1599),"")</f>
        <v/>
      </c>
      <c r="R1599" s="66">
        <f>IF(Z1599=1,IF(U1599="In",V1599,K1599&amp;""),"")</f>
        <v/>
      </c>
      <c r="S1599" s="66">
        <f>IF(X1599&lt;&gt;"","⛔ "&amp;X1599&amp;" — not posted",IF(Y1599&lt;&gt;"","⚠ "&amp;Y1599,IF(Z1599=1,"✓ OK","")))</f>
        <v/>
      </c>
      <c r="T1599" s="67">
        <f>IF(AND(C1599="",D1599="",E1599="",L1599="",K1599=""),1,0)</f>
        <v/>
      </c>
      <c r="U1599" s="67">
        <f>IFERROR(INDEX(tt_Dir,MATCH(D1599,tt_Type,0)),"")</f>
        <v/>
      </c>
      <c r="V1599" s="67">
        <f>IF(D1599="","",IFERROR(IF(INDEX(tt_Other,MATCH(D1599,tt_Type,0))="",E1599&amp;"",INDEX(tt_Other,MATCH(D1599,tt_Type,0))),""))</f>
        <v/>
      </c>
      <c r="W1599" s="68">
        <f>IF(OR(TaxOn&lt;&gt;"Yes",NOT(ISNUMBER(M1599))),0,IF(IFERROR(INDEX(tt_Tax,MATCH(D1599,tt_Type,0)),"No")="Yes",M1599,0))</f>
        <v/>
      </c>
      <c r="X1599" s="67">
        <f>IF(T1599=1,"",IF(C1599="","Missing transaction date",IF(NOT(ISNUMBER(C1599)),"Invalid date",IF(OR(C1599&lt;DATE(2000,1,1),C1599&gt;DATE(2099,12,31)),"Invalid date",IF(D1599="","Select a type",IF(U1599="","Unknown type: "&amp;D1599,IF(V1599="","Select an account (Category)",IF(ISNA(MATCH(V1599,coa_Name,0)),"Unknown account: "&amp;V1599,IF(K1599="","Select Paid From / Deposited To",IF(ISNA(MATCH(K1599,coa_Name,0)),"Unknown account: "&amp;K1599,IF(NOT(ISNUMBER(L1599)),"Enter an amount",IF(L1599=0,"Enter an amount",IF(ABS(W1599)&gt;ABS(L1599),"Tax is larger than the amount","")))))))))))))</f>
        <v/>
      </c>
      <c r="Y1599" s="67">
        <f>IF(OR(T1599=1,X1599&lt;&gt;""),"",IF(AND(B1599&lt;&gt;"",COUNTIF(tx_ID,B1599)&gt;1),"Duplicate transaction ID",IF(AND(L1599&lt;0,D1599&lt;&gt;"Adjustment"),"Negative amount — check this entry",IF(AND(D1599="Customer Payment",G1599=""),"Add the customer",IF(AND(D1599="Customer Payment",OR(J1599="",COUNTIF(ar_No,J1599&amp;"")=0)),"Invoice # in Reference not found on AR sheet",IF(AND(D1599="Bill Payment",H1599=""),"Add the vendor",IF(AND(D1599="Bill Payment",OR(J1599="",COUNTIFS(ap_No,J1599&amp;"",ap_Party,H1599&amp;"")=0)),"Bill # + vendor not found on AP sheet",IF(AND(ISNUMBER(M1599),N(M1599)&lt;&gt;0,W1599=0),"Tax ignored (tax tracking off, or not allowed for this type)",IF(V1599=K1599&amp;"","Same account on both sides",IF(AND(ISNUMBER(StartDate),C1599&lt;StartDate),"Date is before the accounting start date",IF(AND(D1599&lt;&gt;"Adjustment",IFERROR(INDEX(coa_Pay,MATCH(K1599&amp;"",coa_Name,0)),"")&lt;&gt;"Yes"),"Paid From / Deposited To is not a payment account","")))))))))))</f>
        <v/>
      </c>
      <c r="Z1599" s="67">
        <f>IF(AND(T1599=0,X1599=""),1,0)</f>
        <v/>
      </c>
      <c r="AA1599" s="68">
        <f>IF(Z1599=1,IF(U1599="In",L1599,L1599-W1599),0)</f>
        <v/>
      </c>
      <c r="AB1599" s="68">
        <f>IF(Z1599=1,IF(U1599="In",L1599-W1599,L1599),0)</f>
        <v/>
      </c>
      <c r="AC1599" s="68">
        <f>IF(AND(Z1599=1,U1599="Out"),W1599,0)</f>
        <v/>
      </c>
      <c r="AD1599" s="68">
        <f>IF(AND(Z1599=1,U1599="In"),W1599,0)</f>
        <v/>
      </c>
    </row>
    <row r="1600">
      <c r="B1600" s="62" t="inlineStr">
        <is>
          <t>TX-1594</t>
        </is>
      </c>
      <c r="C1600" s="63" t="n"/>
      <c r="D1600" s="62" t="n"/>
      <c r="E1600" s="62" t="n"/>
      <c r="F1600" s="62" t="n"/>
      <c r="G1600" s="62" t="n"/>
      <c r="H1600" s="62" t="n"/>
      <c r="I1600" s="62" t="n"/>
      <c r="J1600" s="62" t="n"/>
      <c r="K1600" s="62" t="n"/>
      <c r="L1600" s="64" t="n"/>
      <c r="M1600" s="64" t="n"/>
      <c r="N1600" s="62" t="n"/>
      <c r="O1600" s="65">
        <f>IF(Z1600=1,L1600-W1600,"")</f>
        <v/>
      </c>
      <c r="P1600" s="66">
        <f>IF(V1600="","",IFERROR(INDEX(coa_Type,MATCH(V1600,coa_Name,0)),""))</f>
        <v/>
      </c>
      <c r="Q1600" s="66">
        <f>IF(Z1600=1,IF(U1600="In",K1600&amp;"",V1600),"")</f>
        <v/>
      </c>
      <c r="R1600" s="66">
        <f>IF(Z1600=1,IF(U1600="In",V1600,K1600&amp;""),"")</f>
        <v/>
      </c>
      <c r="S1600" s="66">
        <f>IF(X1600&lt;&gt;"","⛔ "&amp;X1600&amp;" — not posted",IF(Y1600&lt;&gt;"","⚠ "&amp;Y1600,IF(Z1600=1,"✓ OK","")))</f>
        <v/>
      </c>
      <c r="T1600" s="67">
        <f>IF(AND(C1600="",D1600="",E1600="",L1600="",K1600=""),1,0)</f>
        <v/>
      </c>
      <c r="U1600" s="67">
        <f>IFERROR(INDEX(tt_Dir,MATCH(D1600,tt_Type,0)),"")</f>
        <v/>
      </c>
      <c r="V1600" s="67">
        <f>IF(D1600="","",IFERROR(IF(INDEX(tt_Other,MATCH(D1600,tt_Type,0))="",E1600&amp;"",INDEX(tt_Other,MATCH(D1600,tt_Type,0))),""))</f>
        <v/>
      </c>
      <c r="W1600" s="68">
        <f>IF(OR(TaxOn&lt;&gt;"Yes",NOT(ISNUMBER(M1600))),0,IF(IFERROR(INDEX(tt_Tax,MATCH(D1600,tt_Type,0)),"No")="Yes",M1600,0))</f>
        <v/>
      </c>
      <c r="X1600" s="67">
        <f>IF(T1600=1,"",IF(C1600="","Missing transaction date",IF(NOT(ISNUMBER(C1600)),"Invalid date",IF(OR(C1600&lt;DATE(2000,1,1),C1600&gt;DATE(2099,12,31)),"Invalid date",IF(D1600="","Select a type",IF(U1600="","Unknown type: "&amp;D1600,IF(V1600="","Select an account (Category)",IF(ISNA(MATCH(V1600,coa_Name,0)),"Unknown account: "&amp;V1600,IF(K1600="","Select Paid From / Deposited To",IF(ISNA(MATCH(K1600,coa_Name,0)),"Unknown account: "&amp;K1600,IF(NOT(ISNUMBER(L1600)),"Enter an amount",IF(L1600=0,"Enter an amount",IF(ABS(W1600)&gt;ABS(L1600),"Tax is larger than the amount","")))))))))))))</f>
        <v/>
      </c>
      <c r="Y1600" s="67">
        <f>IF(OR(T1600=1,X1600&lt;&gt;""),"",IF(AND(B1600&lt;&gt;"",COUNTIF(tx_ID,B1600)&gt;1),"Duplicate transaction ID",IF(AND(L1600&lt;0,D1600&lt;&gt;"Adjustment"),"Negative amount — check this entry",IF(AND(D1600="Customer Payment",G1600=""),"Add the customer",IF(AND(D1600="Customer Payment",OR(J1600="",COUNTIF(ar_No,J1600&amp;"")=0)),"Invoice # in Reference not found on AR sheet",IF(AND(D1600="Bill Payment",H1600=""),"Add the vendor",IF(AND(D1600="Bill Payment",OR(J1600="",COUNTIFS(ap_No,J1600&amp;"",ap_Party,H1600&amp;"")=0)),"Bill # + vendor not found on AP sheet",IF(AND(ISNUMBER(M1600),N(M1600)&lt;&gt;0,W1600=0),"Tax ignored (tax tracking off, or not allowed for this type)",IF(V1600=K1600&amp;"","Same account on both sides",IF(AND(ISNUMBER(StartDate),C1600&lt;StartDate),"Date is before the accounting start date",IF(AND(D1600&lt;&gt;"Adjustment",IFERROR(INDEX(coa_Pay,MATCH(K1600&amp;"",coa_Name,0)),"")&lt;&gt;"Yes"),"Paid From / Deposited To is not a payment account","")))))))))))</f>
        <v/>
      </c>
      <c r="Z1600" s="67">
        <f>IF(AND(T1600=0,X1600=""),1,0)</f>
        <v/>
      </c>
      <c r="AA1600" s="68">
        <f>IF(Z1600=1,IF(U1600="In",L1600,L1600-W1600),0)</f>
        <v/>
      </c>
      <c r="AB1600" s="68">
        <f>IF(Z1600=1,IF(U1600="In",L1600-W1600,L1600),0)</f>
        <v/>
      </c>
      <c r="AC1600" s="68">
        <f>IF(AND(Z1600=1,U1600="Out"),W1600,0)</f>
        <v/>
      </c>
      <c r="AD1600" s="68">
        <f>IF(AND(Z1600=1,U1600="In"),W1600,0)</f>
        <v/>
      </c>
    </row>
    <row r="1601">
      <c r="B1601" s="62" t="inlineStr">
        <is>
          <t>TX-1595</t>
        </is>
      </c>
      <c r="C1601" s="63" t="n"/>
      <c r="D1601" s="62" t="n"/>
      <c r="E1601" s="62" t="n"/>
      <c r="F1601" s="62" t="n"/>
      <c r="G1601" s="62" t="n"/>
      <c r="H1601" s="62" t="n"/>
      <c r="I1601" s="62" t="n"/>
      <c r="J1601" s="62" t="n"/>
      <c r="K1601" s="62" t="n"/>
      <c r="L1601" s="64" t="n"/>
      <c r="M1601" s="64" t="n"/>
      <c r="N1601" s="62" t="n"/>
      <c r="O1601" s="65">
        <f>IF(Z1601=1,L1601-W1601,"")</f>
        <v/>
      </c>
      <c r="P1601" s="66">
        <f>IF(V1601="","",IFERROR(INDEX(coa_Type,MATCH(V1601,coa_Name,0)),""))</f>
        <v/>
      </c>
      <c r="Q1601" s="66">
        <f>IF(Z1601=1,IF(U1601="In",K1601&amp;"",V1601),"")</f>
        <v/>
      </c>
      <c r="R1601" s="66">
        <f>IF(Z1601=1,IF(U1601="In",V1601,K1601&amp;""),"")</f>
        <v/>
      </c>
      <c r="S1601" s="66">
        <f>IF(X1601&lt;&gt;"","⛔ "&amp;X1601&amp;" — not posted",IF(Y1601&lt;&gt;"","⚠ "&amp;Y1601,IF(Z1601=1,"✓ OK","")))</f>
        <v/>
      </c>
      <c r="T1601" s="67">
        <f>IF(AND(C1601="",D1601="",E1601="",L1601="",K1601=""),1,0)</f>
        <v/>
      </c>
      <c r="U1601" s="67">
        <f>IFERROR(INDEX(tt_Dir,MATCH(D1601,tt_Type,0)),"")</f>
        <v/>
      </c>
      <c r="V1601" s="67">
        <f>IF(D1601="","",IFERROR(IF(INDEX(tt_Other,MATCH(D1601,tt_Type,0))="",E1601&amp;"",INDEX(tt_Other,MATCH(D1601,tt_Type,0))),""))</f>
        <v/>
      </c>
      <c r="W1601" s="68">
        <f>IF(OR(TaxOn&lt;&gt;"Yes",NOT(ISNUMBER(M1601))),0,IF(IFERROR(INDEX(tt_Tax,MATCH(D1601,tt_Type,0)),"No")="Yes",M1601,0))</f>
        <v/>
      </c>
      <c r="X1601" s="67">
        <f>IF(T1601=1,"",IF(C1601="","Missing transaction date",IF(NOT(ISNUMBER(C1601)),"Invalid date",IF(OR(C1601&lt;DATE(2000,1,1),C1601&gt;DATE(2099,12,31)),"Invalid date",IF(D1601="","Select a type",IF(U1601="","Unknown type: "&amp;D1601,IF(V1601="","Select an account (Category)",IF(ISNA(MATCH(V1601,coa_Name,0)),"Unknown account: "&amp;V1601,IF(K1601="","Select Paid From / Deposited To",IF(ISNA(MATCH(K1601,coa_Name,0)),"Unknown account: "&amp;K1601,IF(NOT(ISNUMBER(L1601)),"Enter an amount",IF(L1601=0,"Enter an amount",IF(ABS(W1601)&gt;ABS(L1601),"Tax is larger than the amount","")))))))))))))</f>
        <v/>
      </c>
      <c r="Y1601" s="67">
        <f>IF(OR(T1601=1,X1601&lt;&gt;""),"",IF(AND(B1601&lt;&gt;"",COUNTIF(tx_ID,B1601)&gt;1),"Duplicate transaction ID",IF(AND(L1601&lt;0,D1601&lt;&gt;"Adjustment"),"Negative amount — check this entry",IF(AND(D1601="Customer Payment",G1601=""),"Add the customer",IF(AND(D1601="Customer Payment",OR(J1601="",COUNTIF(ar_No,J1601&amp;"")=0)),"Invoice # in Reference not found on AR sheet",IF(AND(D1601="Bill Payment",H1601=""),"Add the vendor",IF(AND(D1601="Bill Payment",OR(J1601="",COUNTIFS(ap_No,J1601&amp;"",ap_Party,H1601&amp;"")=0)),"Bill # + vendor not found on AP sheet",IF(AND(ISNUMBER(M1601),N(M1601)&lt;&gt;0,W1601=0),"Tax ignored (tax tracking off, or not allowed for this type)",IF(V1601=K1601&amp;"","Same account on both sides",IF(AND(ISNUMBER(StartDate),C1601&lt;StartDate),"Date is before the accounting start date",IF(AND(D1601&lt;&gt;"Adjustment",IFERROR(INDEX(coa_Pay,MATCH(K1601&amp;"",coa_Name,0)),"")&lt;&gt;"Yes"),"Paid From / Deposited To is not a payment account","")))))))))))</f>
        <v/>
      </c>
      <c r="Z1601" s="67">
        <f>IF(AND(T1601=0,X1601=""),1,0)</f>
        <v/>
      </c>
      <c r="AA1601" s="68">
        <f>IF(Z1601=1,IF(U1601="In",L1601,L1601-W1601),0)</f>
        <v/>
      </c>
      <c r="AB1601" s="68">
        <f>IF(Z1601=1,IF(U1601="In",L1601-W1601,L1601),0)</f>
        <v/>
      </c>
      <c r="AC1601" s="68">
        <f>IF(AND(Z1601=1,U1601="Out"),W1601,0)</f>
        <v/>
      </c>
      <c r="AD1601" s="68">
        <f>IF(AND(Z1601=1,U1601="In"),W1601,0)</f>
        <v/>
      </c>
    </row>
    <row r="1602">
      <c r="B1602" s="62" t="inlineStr">
        <is>
          <t>TX-1596</t>
        </is>
      </c>
      <c r="C1602" s="63" t="n"/>
      <c r="D1602" s="62" t="n"/>
      <c r="E1602" s="62" t="n"/>
      <c r="F1602" s="62" t="n"/>
      <c r="G1602" s="62" t="n"/>
      <c r="H1602" s="62" t="n"/>
      <c r="I1602" s="62" t="n"/>
      <c r="J1602" s="62" t="n"/>
      <c r="K1602" s="62" t="n"/>
      <c r="L1602" s="64" t="n"/>
      <c r="M1602" s="64" t="n"/>
      <c r="N1602" s="62" t="n"/>
      <c r="O1602" s="65">
        <f>IF(Z1602=1,L1602-W1602,"")</f>
        <v/>
      </c>
      <c r="P1602" s="66">
        <f>IF(V1602="","",IFERROR(INDEX(coa_Type,MATCH(V1602,coa_Name,0)),""))</f>
        <v/>
      </c>
      <c r="Q1602" s="66">
        <f>IF(Z1602=1,IF(U1602="In",K1602&amp;"",V1602),"")</f>
        <v/>
      </c>
      <c r="R1602" s="66">
        <f>IF(Z1602=1,IF(U1602="In",V1602,K1602&amp;""),"")</f>
        <v/>
      </c>
      <c r="S1602" s="66">
        <f>IF(X1602&lt;&gt;"","⛔ "&amp;X1602&amp;" — not posted",IF(Y1602&lt;&gt;"","⚠ "&amp;Y1602,IF(Z1602=1,"✓ OK","")))</f>
        <v/>
      </c>
      <c r="T1602" s="67">
        <f>IF(AND(C1602="",D1602="",E1602="",L1602="",K1602=""),1,0)</f>
        <v/>
      </c>
      <c r="U1602" s="67">
        <f>IFERROR(INDEX(tt_Dir,MATCH(D1602,tt_Type,0)),"")</f>
        <v/>
      </c>
      <c r="V1602" s="67">
        <f>IF(D1602="","",IFERROR(IF(INDEX(tt_Other,MATCH(D1602,tt_Type,0))="",E1602&amp;"",INDEX(tt_Other,MATCH(D1602,tt_Type,0))),""))</f>
        <v/>
      </c>
      <c r="W1602" s="68">
        <f>IF(OR(TaxOn&lt;&gt;"Yes",NOT(ISNUMBER(M1602))),0,IF(IFERROR(INDEX(tt_Tax,MATCH(D1602,tt_Type,0)),"No")="Yes",M1602,0))</f>
        <v/>
      </c>
      <c r="X1602" s="67">
        <f>IF(T1602=1,"",IF(C1602="","Missing transaction date",IF(NOT(ISNUMBER(C1602)),"Invalid date",IF(OR(C1602&lt;DATE(2000,1,1),C1602&gt;DATE(2099,12,31)),"Invalid date",IF(D1602="","Select a type",IF(U1602="","Unknown type: "&amp;D1602,IF(V1602="","Select an account (Category)",IF(ISNA(MATCH(V1602,coa_Name,0)),"Unknown account: "&amp;V1602,IF(K1602="","Select Paid From / Deposited To",IF(ISNA(MATCH(K1602,coa_Name,0)),"Unknown account: "&amp;K1602,IF(NOT(ISNUMBER(L1602)),"Enter an amount",IF(L1602=0,"Enter an amount",IF(ABS(W1602)&gt;ABS(L1602),"Tax is larger than the amount","")))))))))))))</f>
        <v/>
      </c>
      <c r="Y1602" s="67">
        <f>IF(OR(T1602=1,X1602&lt;&gt;""),"",IF(AND(B1602&lt;&gt;"",COUNTIF(tx_ID,B1602)&gt;1),"Duplicate transaction ID",IF(AND(L1602&lt;0,D1602&lt;&gt;"Adjustment"),"Negative amount — check this entry",IF(AND(D1602="Customer Payment",G1602=""),"Add the customer",IF(AND(D1602="Customer Payment",OR(J1602="",COUNTIF(ar_No,J1602&amp;"")=0)),"Invoice # in Reference not found on AR sheet",IF(AND(D1602="Bill Payment",H1602=""),"Add the vendor",IF(AND(D1602="Bill Payment",OR(J1602="",COUNTIFS(ap_No,J1602&amp;"",ap_Party,H1602&amp;"")=0)),"Bill # + vendor not found on AP sheet",IF(AND(ISNUMBER(M1602),N(M1602)&lt;&gt;0,W1602=0),"Tax ignored (tax tracking off, or not allowed for this type)",IF(V1602=K1602&amp;"","Same account on both sides",IF(AND(ISNUMBER(StartDate),C1602&lt;StartDate),"Date is before the accounting start date",IF(AND(D1602&lt;&gt;"Adjustment",IFERROR(INDEX(coa_Pay,MATCH(K1602&amp;"",coa_Name,0)),"")&lt;&gt;"Yes"),"Paid From / Deposited To is not a payment account","")))))))))))</f>
        <v/>
      </c>
      <c r="Z1602" s="67">
        <f>IF(AND(T1602=0,X1602=""),1,0)</f>
        <v/>
      </c>
      <c r="AA1602" s="68">
        <f>IF(Z1602=1,IF(U1602="In",L1602,L1602-W1602),0)</f>
        <v/>
      </c>
      <c r="AB1602" s="68">
        <f>IF(Z1602=1,IF(U1602="In",L1602-W1602,L1602),0)</f>
        <v/>
      </c>
      <c r="AC1602" s="68">
        <f>IF(AND(Z1602=1,U1602="Out"),W1602,0)</f>
        <v/>
      </c>
      <c r="AD1602" s="68">
        <f>IF(AND(Z1602=1,U1602="In"),W1602,0)</f>
        <v/>
      </c>
    </row>
    <row r="1603">
      <c r="B1603" s="62" t="inlineStr">
        <is>
          <t>TX-1597</t>
        </is>
      </c>
      <c r="C1603" s="63" t="n"/>
      <c r="D1603" s="62" t="n"/>
      <c r="E1603" s="62" t="n"/>
      <c r="F1603" s="62" t="n"/>
      <c r="G1603" s="62" t="n"/>
      <c r="H1603" s="62" t="n"/>
      <c r="I1603" s="62" t="n"/>
      <c r="J1603" s="62" t="n"/>
      <c r="K1603" s="62" t="n"/>
      <c r="L1603" s="64" t="n"/>
      <c r="M1603" s="64" t="n"/>
      <c r="N1603" s="62" t="n"/>
      <c r="O1603" s="65">
        <f>IF(Z1603=1,L1603-W1603,"")</f>
        <v/>
      </c>
      <c r="P1603" s="66">
        <f>IF(V1603="","",IFERROR(INDEX(coa_Type,MATCH(V1603,coa_Name,0)),""))</f>
        <v/>
      </c>
      <c r="Q1603" s="66">
        <f>IF(Z1603=1,IF(U1603="In",K1603&amp;"",V1603),"")</f>
        <v/>
      </c>
      <c r="R1603" s="66">
        <f>IF(Z1603=1,IF(U1603="In",V1603,K1603&amp;""),"")</f>
        <v/>
      </c>
      <c r="S1603" s="66">
        <f>IF(X1603&lt;&gt;"","⛔ "&amp;X1603&amp;" — not posted",IF(Y1603&lt;&gt;"","⚠ "&amp;Y1603,IF(Z1603=1,"✓ OK","")))</f>
        <v/>
      </c>
      <c r="T1603" s="67">
        <f>IF(AND(C1603="",D1603="",E1603="",L1603="",K1603=""),1,0)</f>
        <v/>
      </c>
      <c r="U1603" s="67">
        <f>IFERROR(INDEX(tt_Dir,MATCH(D1603,tt_Type,0)),"")</f>
        <v/>
      </c>
      <c r="V1603" s="67">
        <f>IF(D1603="","",IFERROR(IF(INDEX(tt_Other,MATCH(D1603,tt_Type,0))="",E1603&amp;"",INDEX(tt_Other,MATCH(D1603,tt_Type,0))),""))</f>
        <v/>
      </c>
      <c r="W1603" s="68">
        <f>IF(OR(TaxOn&lt;&gt;"Yes",NOT(ISNUMBER(M1603))),0,IF(IFERROR(INDEX(tt_Tax,MATCH(D1603,tt_Type,0)),"No")="Yes",M1603,0))</f>
        <v/>
      </c>
      <c r="X1603" s="67">
        <f>IF(T1603=1,"",IF(C1603="","Missing transaction date",IF(NOT(ISNUMBER(C1603)),"Invalid date",IF(OR(C1603&lt;DATE(2000,1,1),C1603&gt;DATE(2099,12,31)),"Invalid date",IF(D1603="","Select a type",IF(U1603="","Unknown type: "&amp;D1603,IF(V1603="","Select an account (Category)",IF(ISNA(MATCH(V1603,coa_Name,0)),"Unknown account: "&amp;V1603,IF(K1603="","Select Paid From / Deposited To",IF(ISNA(MATCH(K1603,coa_Name,0)),"Unknown account: "&amp;K1603,IF(NOT(ISNUMBER(L1603)),"Enter an amount",IF(L1603=0,"Enter an amount",IF(ABS(W1603)&gt;ABS(L1603),"Tax is larger than the amount","")))))))))))))</f>
        <v/>
      </c>
      <c r="Y1603" s="67">
        <f>IF(OR(T1603=1,X1603&lt;&gt;""),"",IF(AND(B1603&lt;&gt;"",COUNTIF(tx_ID,B1603)&gt;1),"Duplicate transaction ID",IF(AND(L1603&lt;0,D1603&lt;&gt;"Adjustment"),"Negative amount — check this entry",IF(AND(D1603="Customer Payment",G1603=""),"Add the customer",IF(AND(D1603="Customer Payment",OR(J1603="",COUNTIF(ar_No,J1603&amp;"")=0)),"Invoice # in Reference not found on AR sheet",IF(AND(D1603="Bill Payment",H1603=""),"Add the vendor",IF(AND(D1603="Bill Payment",OR(J1603="",COUNTIFS(ap_No,J1603&amp;"",ap_Party,H1603&amp;"")=0)),"Bill # + vendor not found on AP sheet",IF(AND(ISNUMBER(M1603),N(M1603)&lt;&gt;0,W1603=0),"Tax ignored (tax tracking off, or not allowed for this type)",IF(V1603=K1603&amp;"","Same account on both sides",IF(AND(ISNUMBER(StartDate),C1603&lt;StartDate),"Date is before the accounting start date",IF(AND(D1603&lt;&gt;"Adjustment",IFERROR(INDEX(coa_Pay,MATCH(K1603&amp;"",coa_Name,0)),"")&lt;&gt;"Yes"),"Paid From / Deposited To is not a payment account","")))))))))))</f>
        <v/>
      </c>
      <c r="Z1603" s="67">
        <f>IF(AND(T1603=0,X1603=""),1,0)</f>
        <v/>
      </c>
      <c r="AA1603" s="68">
        <f>IF(Z1603=1,IF(U1603="In",L1603,L1603-W1603),0)</f>
        <v/>
      </c>
      <c r="AB1603" s="68">
        <f>IF(Z1603=1,IF(U1603="In",L1603-W1603,L1603),0)</f>
        <v/>
      </c>
      <c r="AC1603" s="68">
        <f>IF(AND(Z1603=1,U1603="Out"),W1603,0)</f>
        <v/>
      </c>
      <c r="AD1603" s="68">
        <f>IF(AND(Z1603=1,U1603="In"),W1603,0)</f>
        <v/>
      </c>
    </row>
    <row r="1604">
      <c r="B1604" s="62" t="inlineStr">
        <is>
          <t>TX-1598</t>
        </is>
      </c>
      <c r="C1604" s="63" t="n"/>
      <c r="D1604" s="62" t="n"/>
      <c r="E1604" s="62" t="n"/>
      <c r="F1604" s="62" t="n"/>
      <c r="G1604" s="62" t="n"/>
      <c r="H1604" s="62" t="n"/>
      <c r="I1604" s="62" t="n"/>
      <c r="J1604" s="62" t="n"/>
      <c r="K1604" s="62" t="n"/>
      <c r="L1604" s="64" t="n"/>
      <c r="M1604" s="64" t="n"/>
      <c r="N1604" s="62" t="n"/>
      <c r="O1604" s="65">
        <f>IF(Z1604=1,L1604-W1604,"")</f>
        <v/>
      </c>
      <c r="P1604" s="66">
        <f>IF(V1604="","",IFERROR(INDEX(coa_Type,MATCH(V1604,coa_Name,0)),""))</f>
        <v/>
      </c>
      <c r="Q1604" s="66">
        <f>IF(Z1604=1,IF(U1604="In",K1604&amp;"",V1604),"")</f>
        <v/>
      </c>
      <c r="R1604" s="66">
        <f>IF(Z1604=1,IF(U1604="In",V1604,K1604&amp;""),"")</f>
        <v/>
      </c>
      <c r="S1604" s="66">
        <f>IF(X1604&lt;&gt;"","⛔ "&amp;X1604&amp;" — not posted",IF(Y1604&lt;&gt;"","⚠ "&amp;Y1604,IF(Z1604=1,"✓ OK","")))</f>
        <v/>
      </c>
      <c r="T1604" s="67">
        <f>IF(AND(C1604="",D1604="",E1604="",L1604="",K1604=""),1,0)</f>
        <v/>
      </c>
      <c r="U1604" s="67">
        <f>IFERROR(INDEX(tt_Dir,MATCH(D1604,tt_Type,0)),"")</f>
        <v/>
      </c>
      <c r="V1604" s="67">
        <f>IF(D1604="","",IFERROR(IF(INDEX(tt_Other,MATCH(D1604,tt_Type,0))="",E1604&amp;"",INDEX(tt_Other,MATCH(D1604,tt_Type,0))),""))</f>
        <v/>
      </c>
      <c r="W1604" s="68">
        <f>IF(OR(TaxOn&lt;&gt;"Yes",NOT(ISNUMBER(M1604))),0,IF(IFERROR(INDEX(tt_Tax,MATCH(D1604,tt_Type,0)),"No")="Yes",M1604,0))</f>
        <v/>
      </c>
      <c r="X1604" s="67">
        <f>IF(T1604=1,"",IF(C1604="","Missing transaction date",IF(NOT(ISNUMBER(C1604)),"Invalid date",IF(OR(C1604&lt;DATE(2000,1,1),C1604&gt;DATE(2099,12,31)),"Invalid date",IF(D1604="","Select a type",IF(U1604="","Unknown type: "&amp;D1604,IF(V1604="","Select an account (Category)",IF(ISNA(MATCH(V1604,coa_Name,0)),"Unknown account: "&amp;V1604,IF(K1604="","Select Paid From / Deposited To",IF(ISNA(MATCH(K1604,coa_Name,0)),"Unknown account: "&amp;K1604,IF(NOT(ISNUMBER(L1604)),"Enter an amount",IF(L1604=0,"Enter an amount",IF(ABS(W1604)&gt;ABS(L1604),"Tax is larger than the amount","")))))))))))))</f>
        <v/>
      </c>
      <c r="Y1604" s="67">
        <f>IF(OR(T1604=1,X1604&lt;&gt;""),"",IF(AND(B1604&lt;&gt;"",COUNTIF(tx_ID,B1604)&gt;1),"Duplicate transaction ID",IF(AND(L1604&lt;0,D1604&lt;&gt;"Adjustment"),"Negative amount — check this entry",IF(AND(D1604="Customer Payment",G1604=""),"Add the customer",IF(AND(D1604="Customer Payment",OR(J1604="",COUNTIF(ar_No,J1604&amp;"")=0)),"Invoice # in Reference not found on AR sheet",IF(AND(D1604="Bill Payment",H1604=""),"Add the vendor",IF(AND(D1604="Bill Payment",OR(J1604="",COUNTIFS(ap_No,J1604&amp;"",ap_Party,H1604&amp;"")=0)),"Bill # + vendor not found on AP sheet",IF(AND(ISNUMBER(M1604),N(M1604)&lt;&gt;0,W1604=0),"Tax ignored (tax tracking off, or not allowed for this type)",IF(V1604=K1604&amp;"","Same account on both sides",IF(AND(ISNUMBER(StartDate),C1604&lt;StartDate),"Date is before the accounting start date",IF(AND(D1604&lt;&gt;"Adjustment",IFERROR(INDEX(coa_Pay,MATCH(K1604&amp;"",coa_Name,0)),"")&lt;&gt;"Yes"),"Paid From / Deposited To is not a payment account","")))))))))))</f>
        <v/>
      </c>
      <c r="Z1604" s="67">
        <f>IF(AND(T1604=0,X1604=""),1,0)</f>
        <v/>
      </c>
      <c r="AA1604" s="68">
        <f>IF(Z1604=1,IF(U1604="In",L1604,L1604-W1604),0)</f>
        <v/>
      </c>
      <c r="AB1604" s="68">
        <f>IF(Z1604=1,IF(U1604="In",L1604-W1604,L1604),0)</f>
        <v/>
      </c>
      <c r="AC1604" s="68">
        <f>IF(AND(Z1604=1,U1604="Out"),W1604,0)</f>
        <v/>
      </c>
      <c r="AD1604" s="68">
        <f>IF(AND(Z1604=1,U1604="In"),W1604,0)</f>
        <v/>
      </c>
    </row>
    <row r="1605">
      <c r="B1605" s="62" t="inlineStr">
        <is>
          <t>TX-1599</t>
        </is>
      </c>
      <c r="C1605" s="63" t="n"/>
      <c r="D1605" s="62" t="n"/>
      <c r="E1605" s="62" t="n"/>
      <c r="F1605" s="62" t="n"/>
      <c r="G1605" s="62" t="n"/>
      <c r="H1605" s="62" t="n"/>
      <c r="I1605" s="62" t="n"/>
      <c r="J1605" s="62" t="n"/>
      <c r="K1605" s="62" t="n"/>
      <c r="L1605" s="64" t="n"/>
      <c r="M1605" s="64" t="n"/>
      <c r="N1605" s="62" t="n"/>
      <c r="O1605" s="65">
        <f>IF(Z1605=1,L1605-W1605,"")</f>
        <v/>
      </c>
      <c r="P1605" s="66">
        <f>IF(V1605="","",IFERROR(INDEX(coa_Type,MATCH(V1605,coa_Name,0)),""))</f>
        <v/>
      </c>
      <c r="Q1605" s="66">
        <f>IF(Z1605=1,IF(U1605="In",K1605&amp;"",V1605),"")</f>
        <v/>
      </c>
      <c r="R1605" s="66">
        <f>IF(Z1605=1,IF(U1605="In",V1605,K1605&amp;""),"")</f>
        <v/>
      </c>
      <c r="S1605" s="66">
        <f>IF(X1605&lt;&gt;"","⛔ "&amp;X1605&amp;" — not posted",IF(Y1605&lt;&gt;"","⚠ "&amp;Y1605,IF(Z1605=1,"✓ OK","")))</f>
        <v/>
      </c>
      <c r="T1605" s="67">
        <f>IF(AND(C1605="",D1605="",E1605="",L1605="",K1605=""),1,0)</f>
        <v/>
      </c>
      <c r="U1605" s="67">
        <f>IFERROR(INDEX(tt_Dir,MATCH(D1605,tt_Type,0)),"")</f>
        <v/>
      </c>
      <c r="V1605" s="67">
        <f>IF(D1605="","",IFERROR(IF(INDEX(tt_Other,MATCH(D1605,tt_Type,0))="",E1605&amp;"",INDEX(tt_Other,MATCH(D1605,tt_Type,0))),""))</f>
        <v/>
      </c>
      <c r="W1605" s="68">
        <f>IF(OR(TaxOn&lt;&gt;"Yes",NOT(ISNUMBER(M1605))),0,IF(IFERROR(INDEX(tt_Tax,MATCH(D1605,tt_Type,0)),"No")="Yes",M1605,0))</f>
        <v/>
      </c>
      <c r="X1605" s="67">
        <f>IF(T1605=1,"",IF(C1605="","Missing transaction date",IF(NOT(ISNUMBER(C1605)),"Invalid date",IF(OR(C1605&lt;DATE(2000,1,1),C1605&gt;DATE(2099,12,31)),"Invalid date",IF(D1605="","Select a type",IF(U1605="","Unknown type: "&amp;D1605,IF(V1605="","Select an account (Category)",IF(ISNA(MATCH(V1605,coa_Name,0)),"Unknown account: "&amp;V1605,IF(K1605="","Select Paid From / Deposited To",IF(ISNA(MATCH(K1605,coa_Name,0)),"Unknown account: "&amp;K1605,IF(NOT(ISNUMBER(L1605)),"Enter an amount",IF(L1605=0,"Enter an amount",IF(ABS(W1605)&gt;ABS(L1605),"Tax is larger than the amount","")))))))))))))</f>
        <v/>
      </c>
      <c r="Y1605" s="67">
        <f>IF(OR(T1605=1,X1605&lt;&gt;""),"",IF(AND(B1605&lt;&gt;"",COUNTIF(tx_ID,B1605)&gt;1),"Duplicate transaction ID",IF(AND(L1605&lt;0,D1605&lt;&gt;"Adjustment"),"Negative amount — check this entry",IF(AND(D1605="Customer Payment",G1605=""),"Add the customer",IF(AND(D1605="Customer Payment",OR(J1605="",COUNTIF(ar_No,J1605&amp;"")=0)),"Invoice # in Reference not found on AR sheet",IF(AND(D1605="Bill Payment",H1605=""),"Add the vendor",IF(AND(D1605="Bill Payment",OR(J1605="",COUNTIFS(ap_No,J1605&amp;"",ap_Party,H1605&amp;"")=0)),"Bill # + vendor not found on AP sheet",IF(AND(ISNUMBER(M1605),N(M1605)&lt;&gt;0,W1605=0),"Tax ignored (tax tracking off, or not allowed for this type)",IF(V1605=K1605&amp;"","Same account on both sides",IF(AND(ISNUMBER(StartDate),C1605&lt;StartDate),"Date is before the accounting start date",IF(AND(D1605&lt;&gt;"Adjustment",IFERROR(INDEX(coa_Pay,MATCH(K1605&amp;"",coa_Name,0)),"")&lt;&gt;"Yes"),"Paid From / Deposited To is not a payment account","")))))))))))</f>
        <v/>
      </c>
      <c r="Z1605" s="67">
        <f>IF(AND(T1605=0,X1605=""),1,0)</f>
        <v/>
      </c>
      <c r="AA1605" s="68">
        <f>IF(Z1605=1,IF(U1605="In",L1605,L1605-W1605),0)</f>
        <v/>
      </c>
      <c r="AB1605" s="68">
        <f>IF(Z1605=1,IF(U1605="In",L1605-W1605,L1605),0)</f>
        <v/>
      </c>
      <c r="AC1605" s="68">
        <f>IF(AND(Z1605=1,U1605="Out"),W1605,0)</f>
        <v/>
      </c>
      <c r="AD1605" s="68">
        <f>IF(AND(Z1605=1,U1605="In"),W1605,0)</f>
        <v/>
      </c>
    </row>
    <row r="1606">
      <c r="B1606" s="62" t="inlineStr">
        <is>
          <t>TX-1600</t>
        </is>
      </c>
      <c r="C1606" s="63" t="n"/>
      <c r="D1606" s="62" t="n"/>
      <c r="E1606" s="62" t="n"/>
      <c r="F1606" s="62" t="n"/>
      <c r="G1606" s="62" t="n"/>
      <c r="H1606" s="62" t="n"/>
      <c r="I1606" s="62" t="n"/>
      <c r="J1606" s="62" t="n"/>
      <c r="K1606" s="62" t="n"/>
      <c r="L1606" s="64" t="n"/>
      <c r="M1606" s="64" t="n"/>
      <c r="N1606" s="62" t="n"/>
      <c r="O1606" s="65">
        <f>IF(Z1606=1,L1606-W1606,"")</f>
        <v/>
      </c>
      <c r="P1606" s="66">
        <f>IF(V1606="","",IFERROR(INDEX(coa_Type,MATCH(V1606,coa_Name,0)),""))</f>
        <v/>
      </c>
      <c r="Q1606" s="66">
        <f>IF(Z1606=1,IF(U1606="In",K1606&amp;"",V1606),"")</f>
        <v/>
      </c>
      <c r="R1606" s="66">
        <f>IF(Z1606=1,IF(U1606="In",V1606,K1606&amp;""),"")</f>
        <v/>
      </c>
      <c r="S1606" s="66">
        <f>IF(X1606&lt;&gt;"","⛔ "&amp;X1606&amp;" — not posted",IF(Y1606&lt;&gt;"","⚠ "&amp;Y1606,IF(Z1606=1,"✓ OK","")))</f>
        <v/>
      </c>
      <c r="T1606" s="67">
        <f>IF(AND(C1606="",D1606="",E1606="",L1606="",K1606=""),1,0)</f>
        <v/>
      </c>
      <c r="U1606" s="67">
        <f>IFERROR(INDEX(tt_Dir,MATCH(D1606,tt_Type,0)),"")</f>
        <v/>
      </c>
      <c r="V1606" s="67">
        <f>IF(D1606="","",IFERROR(IF(INDEX(tt_Other,MATCH(D1606,tt_Type,0))="",E1606&amp;"",INDEX(tt_Other,MATCH(D1606,tt_Type,0))),""))</f>
        <v/>
      </c>
      <c r="W1606" s="68">
        <f>IF(OR(TaxOn&lt;&gt;"Yes",NOT(ISNUMBER(M1606))),0,IF(IFERROR(INDEX(tt_Tax,MATCH(D1606,tt_Type,0)),"No")="Yes",M1606,0))</f>
        <v/>
      </c>
      <c r="X1606" s="67">
        <f>IF(T1606=1,"",IF(C1606="","Missing transaction date",IF(NOT(ISNUMBER(C1606)),"Invalid date",IF(OR(C1606&lt;DATE(2000,1,1),C1606&gt;DATE(2099,12,31)),"Invalid date",IF(D1606="","Select a type",IF(U1606="","Unknown type: "&amp;D1606,IF(V1606="","Select an account (Category)",IF(ISNA(MATCH(V1606,coa_Name,0)),"Unknown account: "&amp;V1606,IF(K1606="","Select Paid From / Deposited To",IF(ISNA(MATCH(K1606,coa_Name,0)),"Unknown account: "&amp;K1606,IF(NOT(ISNUMBER(L1606)),"Enter an amount",IF(L1606=0,"Enter an amount",IF(ABS(W1606)&gt;ABS(L1606),"Tax is larger than the amount","")))))))))))))</f>
        <v/>
      </c>
      <c r="Y1606" s="67">
        <f>IF(OR(T1606=1,X1606&lt;&gt;""),"",IF(AND(B1606&lt;&gt;"",COUNTIF(tx_ID,B1606)&gt;1),"Duplicate transaction ID",IF(AND(L1606&lt;0,D1606&lt;&gt;"Adjustment"),"Negative amount — check this entry",IF(AND(D1606="Customer Payment",G1606=""),"Add the customer",IF(AND(D1606="Customer Payment",OR(J1606="",COUNTIF(ar_No,J1606&amp;"")=0)),"Invoice # in Reference not found on AR sheet",IF(AND(D1606="Bill Payment",H1606=""),"Add the vendor",IF(AND(D1606="Bill Payment",OR(J1606="",COUNTIFS(ap_No,J1606&amp;"",ap_Party,H1606&amp;"")=0)),"Bill # + vendor not found on AP sheet",IF(AND(ISNUMBER(M1606),N(M1606)&lt;&gt;0,W1606=0),"Tax ignored (tax tracking off, or not allowed for this type)",IF(V1606=K1606&amp;"","Same account on both sides",IF(AND(ISNUMBER(StartDate),C1606&lt;StartDate),"Date is before the accounting start date",IF(AND(D1606&lt;&gt;"Adjustment",IFERROR(INDEX(coa_Pay,MATCH(K1606&amp;"",coa_Name,0)),"")&lt;&gt;"Yes"),"Paid From / Deposited To is not a payment account","")))))))))))</f>
        <v/>
      </c>
      <c r="Z1606" s="67">
        <f>IF(AND(T1606=0,X1606=""),1,0)</f>
        <v/>
      </c>
      <c r="AA1606" s="68">
        <f>IF(Z1606=1,IF(U1606="In",L1606,L1606-W1606),0)</f>
        <v/>
      </c>
      <c r="AB1606" s="68">
        <f>IF(Z1606=1,IF(U1606="In",L1606-W1606,L1606),0)</f>
        <v/>
      </c>
      <c r="AC1606" s="68">
        <f>IF(AND(Z1606=1,U1606="Out"),W1606,0)</f>
        <v/>
      </c>
      <c r="AD1606" s="68">
        <f>IF(AND(Z1606=1,U1606="In"),W1606,0)</f>
        <v/>
      </c>
    </row>
    <row r="1607">
      <c r="B1607" s="62" t="inlineStr">
        <is>
          <t>TX-1601</t>
        </is>
      </c>
      <c r="C1607" s="63" t="n"/>
      <c r="D1607" s="62" t="n"/>
      <c r="E1607" s="62" t="n"/>
      <c r="F1607" s="62" t="n"/>
      <c r="G1607" s="62" t="n"/>
      <c r="H1607" s="62" t="n"/>
      <c r="I1607" s="62" t="n"/>
      <c r="J1607" s="62" t="n"/>
      <c r="K1607" s="62" t="n"/>
      <c r="L1607" s="64" t="n"/>
      <c r="M1607" s="64" t="n"/>
      <c r="N1607" s="62" t="n"/>
      <c r="O1607" s="65">
        <f>IF(Z1607=1,L1607-W1607,"")</f>
        <v/>
      </c>
      <c r="P1607" s="66">
        <f>IF(V1607="","",IFERROR(INDEX(coa_Type,MATCH(V1607,coa_Name,0)),""))</f>
        <v/>
      </c>
      <c r="Q1607" s="66">
        <f>IF(Z1607=1,IF(U1607="In",K1607&amp;"",V1607),"")</f>
        <v/>
      </c>
      <c r="R1607" s="66">
        <f>IF(Z1607=1,IF(U1607="In",V1607,K1607&amp;""),"")</f>
        <v/>
      </c>
      <c r="S1607" s="66">
        <f>IF(X1607&lt;&gt;"","⛔ "&amp;X1607&amp;" — not posted",IF(Y1607&lt;&gt;"","⚠ "&amp;Y1607,IF(Z1607=1,"✓ OK","")))</f>
        <v/>
      </c>
      <c r="T1607" s="67">
        <f>IF(AND(C1607="",D1607="",E1607="",L1607="",K1607=""),1,0)</f>
        <v/>
      </c>
      <c r="U1607" s="67">
        <f>IFERROR(INDEX(tt_Dir,MATCH(D1607,tt_Type,0)),"")</f>
        <v/>
      </c>
      <c r="V1607" s="67">
        <f>IF(D1607="","",IFERROR(IF(INDEX(tt_Other,MATCH(D1607,tt_Type,0))="",E1607&amp;"",INDEX(tt_Other,MATCH(D1607,tt_Type,0))),""))</f>
        <v/>
      </c>
      <c r="W1607" s="68">
        <f>IF(OR(TaxOn&lt;&gt;"Yes",NOT(ISNUMBER(M1607))),0,IF(IFERROR(INDEX(tt_Tax,MATCH(D1607,tt_Type,0)),"No")="Yes",M1607,0))</f>
        <v/>
      </c>
      <c r="X1607" s="67">
        <f>IF(T1607=1,"",IF(C1607="","Missing transaction date",IF(NOT(ISNUMBER(C1607)),"Invalid date",IF(OR(C1607&lt;DATE(2000,1,1),C1607&gt;DATE(2099,12,31)),"Invalid date",IF(D1607="","Select a type",IF(U1607="","Unknown type: "&amp;D1607,IF(V1607="","Select an account (Category)",IF(ISNA(MATCH(V1607,coa_Name,0)),"Unknown account: "&amp;V1607,IF(K1607="","Select Paid From / Deposited To",IF(ISNA(MATCH(K1607,coa_Name,0)),"Unknown account: "&amp;K1607,IF(NOT(ISNUMBER(L1607)),"Enter an amount",IF(L1607=0,"Enter an amount",IF(ABS(W1607)&gt;ABS(L1607),"Tax is larger than the amount","")))))))))))))</f>
        <v/>
      </c>
      <c r="Y1607" s="67">
        <f>IF(OR(T1607=1,X1607&lt;&gt;""),"",IF(AND(B1607&lt;&gt;"",COUNTIF(tx_ID,B1607)&gt;1),"Duplicate transaction ID",IF(AND(L1607&lt;0,D1607&lt;&gt;"Adjustment"),"Negative amount — check this entry",IF(AND(D1607="Customer Payment",G1607=""),"Add the customer",IF(AND(D1607="Customer Payment",OR(J1607="",COUNTIF(ar_No,J1607&amp;"")=0)),"Invoice # in Reference not found on AR sheet",IF(AND(D1607="Bill Payment",H1607=""),"Add the vendor",IF(AND(D1607="Bill Payment",OR(J1607="",COUNTIFS(ap_No,J1607&amp;"",ap_Party,H1607&amp;"")=0)),"Bill # + vendor not found on AP sheet",IF(AND(ISNUMBER(M1607),N(M1607)&lt;&gt;0,W1607=0),"Tax ignored (tax tracking off, or not allowed for this type)",IF(V1607=K1607&amp;"","Same account on both sides",IF(AND(ISNUMBER(StartDate),C1607&lt;StartDate),"Date is before the accounting start date",IF(AND(D1607&lt;&gt;"Adjustment",IFERROR(INDEX(coa_Pay,MATCH(K1607&amp;"",coa_Name,0)),"")&lt;&gt;"Yes"),"Paid From / Deposited To is not a payment account","")))))))))))</f>
        <v/>
      </c>
      <c r="Z1607" s="67">
        <f>IF(AND(T1607=0,X1607=""),1,0)</f>
        <v/>
      </c>
      <c r="AA1607" s="68">
        <f>IF(Z1607=1,IF(U1607="In",L1607,L1607-W1607),0)</f>
        <v/>
      </c>
      <c r="AB1607" s="68">
        <f>IF(Z1607=1,IF(U1607="In",L1607-W1607,L1607),0)</f>
        <v/>
      </c>
      <c r="AC1607" s="68">
        <f>IF(AND(Z1607=1,U1607="Out"),W1607,0)</f>
        <v/>
      </c>
      <c r="AD1607" s="68">
        <f>IF(AND(Z1607=1,U1607="In"),W1607,0)</f>
        <v/>
      </c>
    </row>
    <row r="1608">
      <c r="B1608" s="62" t="inlineStr">
        <is>
          <t>TX-1602</t>
        </is>
      </c>
      <c r="C1608" s="63" t="n"/>
      <c r="D1608" s="62" t="n"/>
      <c r="E1608" s="62" t="n"/>
      <c r="F1608" s="62" t="n"/>
      <c r="G1608" s="62" t="n"/>
      <c r="H1608" s="62" t="n"/>
      <c r="I1608" s="62" t="n"/>
      <c r="J1608" s="62" t="n"/>
      <c r="K1608" s="62" t="n"/>
      <c r="L1608" s="64" t="n"/>
      <c r="M1608" s="64" t="n"/>
      <c r="N1608" s="62" t="n"/>
      <c r="O1608" s="65">
        <f>IF(Z1608=1,L1608-W1608,"")</f>
        <v/>
      </c>
      <c r="P1608" s="66">
        <f>IF(V1608="","",IFERROR(INDEX(coa_Type,MATCH(V1608,coa_Name,0)),""))</f>
        <v/>
      </c>
      <c r="Q1608" s="66">
        <f>IF(Z1608=1,IF(U1608="In",K1608&amp;"",V1608),"")</f>
        <v/>
      </c>
      <c r="R1608" s="66">
        <f>IF(Z1608=1,IF(U1608="In",V1608,K1608&amp;""),"")</f>
        <v/>
      </c>
      <c r="S1608" s="66">
        <f>IF(X1608&lt;&gt;"","⛔ "&amp;X1608&amp;" — not posted",IF(Y1608&lt;&gt;"","⚠ "&amp;Y1608,IF(Z1608=1,"✓ OK","")))</f>
        <v/>
      </c>
      <c r="T1608" s="67">
        <f>IF(AND(C1608="",D1608="",E1608="",L1608="",K1608=""),1,0)</f>
        <v/>
      </c>
      <c r="U1608" s="67">
        <f>IFERROR(INDEX(tt_Dir,MATCH(D1608,tt_Type,0)),"")</f>
        <v/>
      </c>
      <c r="V1608" s="67">
        <f>IF(D1608="","",IFERROR(IF(INDEX(tt_Other,MATCH(D1608,tt_Type,0))="",E1608&amp;"",INDEX(tt_Other,MATCH(D1608,tt_Type,0))),""))</f>
        <v/>
      </c>
      <c r="W1608" s="68">
        <f>IF(OR(TaxOn&lt;&gt;"Yes",NOT(ISNUMBER(M1608))),0,IF(IFERROR(INDEX(tt_Tax,MATCH(D1608,tt_Type,0)),"No")="Yes",M1608,0))</f>
        <v/>
      </c>
      <c r="X1608" s="67">
        <f>IF(T1608=1,"",IF(C1608="","Missing transaction date",IF(NOT(ISNUMBER(C1608)),"Invalid date",IF(OR(C1608&lt;DATE(2000,1,1),C1608&gt;DATE(2099,12,31)),"Invalid date",IF(D1608="","Select a type",IF(U1608="","Unknown type: "&amp;D1608,IF(V1608="","Select an account (Category)",IF(ISNA(MATCH(V1608,coa_Name,0)),"Unknown account: "&amp;V1608,IF(K1608="","Select Paid From / Deposited To",IF(ISNA(MATCH(K1608,coa_Name,0)),"Unknown account: "&amp;K1608,IF(NOT(ISNUMBER(L1608)),"Enter an amount",IF(L1608=0,"Enter an amount",IF(ABS(W1608)&gt;ABS(L1608),"Tax is larger than the amount","")))))))))))))</f>
        <v/>
      </c>
      <c r="Y1608" s="67">
        <f>IF(OR(T1608=1,X1608&lt;&gt;""),"",IF(AND(B1608&lt;&gt;"",COUNTIF(tx_ID,B1608)&gt;1),"Duplicate transaction ID",IF(AND(L1608&lt;0,D1608&lt;&gt;"Adjustment"),"Negative amount — check this entry",IF(AND(D1608="Customer Payment",G1608=""),"Add the customer",IF(AND(D1608="Customer Payment",OR(J1608="",COUNTIF(ar_No,J1608&amp;"")=0)),"Invoice # in Reference not found on AR sheet",IF(AND(D1608="Bill Payment",H1608=""),"Add the vendor",IF(AND(D1608="Bill Payment",OR(J1608="",COUNTIFS(ap_No,J1608&amp;"",ap_Party,H1608&amp;"")=0)),"Bill # + vendor not found on AP sheet",IF(AND(ISNUMBER(M1608),N(M1608)&lt;&gt;0,W1608=0),"Tax ignored (tax tracking off, or not allowed for this type)",IF(V1608=K1608&amp;"","Same account on both sides",IF(AND(ISNUMBER(StartDate),C1608&lt;StartDate),"Date is before the accounting start date",IF(AND(D1608&lt;&gt;"Adjustment",IFERROR(INDEX(coa_Pay,MATCH(K1608&amp;"",coa_Name,0)),"")&lt;&gt;"Yes"),"Paid From / Deposited To is not a payment account","")))))))))))</f>
        <v/>
      </c>
      <c r="Z1608" s="67">
        <f>IF(AND(T1608=0,X1608=""),1,0)</f>
        <v/>
      </c>
      <c r="AA1608" s="68">
        <f>IF(Z1608=1,IF(U1608="In",L1608,L1608-W1608),0)</f>
        <v/>
      </c>
      <c r="AB1608" s="68">
        <f>IF(Z1608=1,IF(U1608="In",L1608-W1608,L1608),0)</f>
        <v/>
      </c>
      <c r="AC1608" s="68">
        <f>IF(AND(Z1608=1,U1608="Out"),W1608,0)</f>
        <v/>
      </c>
      <c r="AD1608" s="68">
        <f>IF(AND(Z1608=1,U1608="In"),W1608,0)</f>
        <v/>
      </c>
    </row>
    <row r="1609">
      <c r="B1609" s="62" t="inlineStr">
        <is>
          <t>TX-1603</t>
        </is>
      </c>
      <c r="C1609" s="63" t="n"/>
      <c r="D1609" s="62" t="n"/>
      <c r="E1609" s="62" t="n"/>
      <c r="F1609" s="62" t="n"/>
      <c r="G1609" s="62" t="n"/>
      <c r="H1609" s="62" t="n"/>
      <c r="I1609" s="62" t="n"/>
      <c r="J1609" s="62" t="n"/>
      <c r="K1609" s="62" t="n"/>
      <c r="L1609" s="64" t="n"/>
      <c r="M1609" s="64" t="n"/>
      <c r="N1609" s="62" t="n"/>
      <c r="O1609" s="65">
        <f>IF(Z1609=1,L1609-W1609,"")</f>
        <v/>
      </c>
      <c r="P1609" s="66">
        <f>IF(V1609="","",IFERROR(INDEX(coa_Type,MATCH(V1609,coa_Name,0)),""))</f>
        <v/>
      </c>
      <c r="Q1609" s="66">
        <f>IF(Z1609=1,IF(U1609="In",K1609&amp;"",V1609),"")</f>
        <v/>
      </c>
      <c r="R1609" s="66">
        <f>IF(Z1609=1,IF(U1609="In",V1609,K1609&amp;""),"")</f>
        <v/>
      </c>
      <c r="S1609" s="66">
        <f>IF(X1609&lt;&gt;"","⛔ "&amp;X1609&amp;" — not posted",IF(Y1609&lt;&gt;"","⚠ "&amp;Y1609,IF(Z1609=1,"✓ OK","")))</f>
        <v/>
      </c>
      <c r="T1609" s="67">
        <f>IF(AND(C1609="",D1609="",E1609="",L1609="",K1609=""),1,0)</f>
        <v/>
      </c>
      <c r="U1609" s="67">
        <f>IFERROR(INDEX(tt_Dir,MATCH(D1609,tt_Type,0)),"")</f>
        <v/>
      </c>
      <c r="V1609" s="67">
        <f>IF(D1609="","",IFERROR(IF(INDEX(tt_Other,MATCH(D1609,tt_Type,0))="",E1609&amp;"",INDEX(tt_Other,MATCH(D1609,tt_Type,0))),""))</f>
        <v/>
      </c>
      <c r="W1609" s="68">
        <f>IF(OR(TaxOn&lt;&gt;"Yes",NOT(ISNUMBER(M1609))),0,IF(IFERROR(INDEX(tt_Tax,MATCH(D1609,tt_Type,0)),"No")="Yes",M1609,0))</f>
        <v/>
      </c>
      <c r="X1609" s="67">
        <f>IF(T1609=1,"",IF(C1609="","Missing transaction date",IF(NOT(ISNUMBER(C1609)),"Invalid date",IF(OR(C1609&lt;DATE(2000,1,1),C1609&gt;DATE(2099,12,31)),"Invalid date",IF(D1609="","Select a type",IF(U1609="","Unknown type: "&amp;D1609,IF(V1609="","Select an account (Category)",IF(ISNA(MATCH(V1609,coa_Name,0)),"Unknown account: "&amp;V1609,IF(K1609="","Select Paid From / Deposited To",IF(ISNA(MATCH(K1609,coa_Name,0)),"Unknown account: "&amp;K1609,IF(NOT(ISNUMBER(L1609)),"Enter an amount",IF(L1609=0,"Enter an amount",IF(ABS(W1609)&gt;ABS(L1609),"Tax is larger than the amount","")))))))))))))</f>
        <v/>
      </c>
      <c r="Y1609" s="67">
        <f>IF(OR(T1609=1,X1609&lt;&gt;""),"",IF(AND(B1609&lt;&gt;"",COUNTIF(tx_ID,B1609)&gt;1),"Duplicate transaction ID",IF(AND(L1609&lt;0,D1609&lt;&gt;"Adjustment"),"Negative amount — check this entry",IF(AND(D1609="Customer Payment",G1609=""),"Add the customer",IF(AND(D1609="Customer Payment",OR(J1609="",COUNTIF(ar_No,J1609&amp;"")=0)),"Invoice # in Reference not found on AR sheet",IF(AND(D1609="Bill Payment",H1609=""),"Add the vendor",IF(AND(D1609="Bill Payment",OR(J1609="",COUNTIFS(ap_No,J1609&amp;"",ap_Party,H1609&amp;"")=0)),"Bill # + vendor not found on AP sheet",IF(AND(ISNUMBER(M1609),N(M1609)&lt;&gt;0,W1609=0),"Tax ignored (tax tracking off, or not allowed for this type)",IF(V1609=K1609&amp;"","Same account on both sides",IF(AND(ISNUMBER(StartDate),C1609&lt;StartDate),"Date is before the accounting start date",IF(AND(D1609&lt;&gt;"Adjustment",IFERROR(INDEX(coa_Pay,MATCH(K1609&amp;"",coa_Name,0)),"")&lt;&gt;"Yes"),"Paid From / Deposited To is not a payment account","")))))))))))</f>
        <v/>
      </c>
      <c r="Z1609" s="67">
        <f>IF(AND(T1609=0,X1609=""),1,0)</f>
        <v/>
      </c>
      <c r="AA1609" s="68">
        <f>IF(Z1609=1,IF(U1609="In",L1609,L1609-W1609),0)</f>
        <v/>
      </c>
      <c r="AB1609" s="68">
        <f>IF(Z1609=1,IF(U1609="In",L1609-W1609,L1609),0)</f>
        <v/>
      </c>
      <c r="AC1609" s="68">
        <f>IF(AND(Z1609=1,U1609="Out"),W1609,0)</f>
        <v/>
      </c>
      <c r="AD1609" s="68">
        <f>IF(AND(Z1609=1,U1609="In"),W1609,0)</f>
        <v/>
      </c>
    </row>
    <row r="1610">
      <c r="B1610" s="62" t="inlineStr">
        <is>
          <t>TX-1604</t>
        </is>
      </c>
      <c r="C1610" s="63" t="n"/>
      <c r="D1610" s="62" t="n"/>
      <c r="E1610" s="62" t="n"/>
      <c r="F1610" s="62" t="n"/>
      <c r="G1610" s="62" t="n"/>
      <c r="H1610" s="62" t="n"/>
      <c r="I1610" s="62" t="n"/>
      <c r="J1610" s="62" t="n"/>
      <c r="K1610" s="62" t="n"/>
      <c r="L1610" s="64" t="n"/>
      <c r="M1610" s="64" t="n"/>
      <c r="N1610" s="62" t="n"/>
      <c r="O1610" s="65">
        <f>IF(Z1610=1,L1610-W1610,"")</f>
        <v/>
      </c>
      <c r="P1610" s="66">
        <f>IF(V1610="","",IFERROR(INDEX(coa_Type,MATCH(V1610,coa_Name,0)),""))</f>
        <v/>
      </c>
      <c r="Q1610" s="66">
        <f>IF(Z1610=1,IF(U1610="In",K1610&amp;"",V1610),"")</f>
        <v/>
      </c>
      <c r="R1610" s="66">
        <f>IF(Z1610=1,IF(U1610="In",V1610,K1610&amp;""),"")</f>
        <v/>
      </c>
      <c r="S1610" s="66">
        <f>IF(X1610&lt;&gt;"","⛔ "&amp;X1610&amp;" — not posted",IF(Y1610&lt;&gt;"","⚠ "&amp;Y1610,IF(Z1610=1,"✓ OK","")))</f>
        <v/>
      </c>
      <c r="T1610" s="67">
        <f>IF(AND(C1610="",D1610="",E1610="",L1610="",K1610=""),1,0)</f>
        <v/>
      </c>
      <c r="U1610" s="67">
        <f>IFERROR(INDEX(tt_Dir,MATCH(D1610,tt_Type,0)),"")</f>
        <v/>
      </c>
      <c r="V1610" s="67">
        <f>IF(D1610="","",IFERROR(IF(INDEX(tt_Other,MATCH(D1610,tt_Type,0))="",E1610&amp;"",INDEX(tt_Other,MATCH(D1610,tt_Type,0))),""))</f>
        <v/>
      </c>
      <c r="W1610" s="68">
        <f>IF(OR(TaxOn&lt;&gt;"Yes",NOT(ISNUMBER(M1610))),0,IF(IFERROR(INDEX(tt_Tax,MATCH(D1610,tt_Type,0)),"No")="Yes",M1610,0))</f>
        <v/>
      </c>
      <c r="X1610" s="67">
        <f>IF(T1610=1,"",IF(C1610="","Missing transaction date",IF(NOT(ISNUMBER(C1610)),"Invalid date",IF(OR(C1610&lt;DATE(2000,1,1),C1610&gt;DATE(2099,12,31)),"Invalid date",IF(D1610="","Select a type",IF(U1610="","Unknown type: "&amp;D1610,IF(V1610="","Select an account (Category)",IF(ISNA(MATCH(V1610,coa_Name,0)),"Unknown account: "&amp;V1610,IF(K1610="","Select Paid From / Deposited To",IF(ISNA(MATCH(K1610,coa_Name,0)),"Unknown account: "&amp;K1610,IF(NOT(ISNUMBER(L1610)),"Enter an amount",IF(L1610=0,"Enter an amount",IF(ABS(W1610)&gt;ABS(L1610),"Tax is larger than the amount","")))))))))))))</f>
        <v/>
      </c>
      <c r="Y1610" s="67">
        <f>IF(OR(T1610=1,X1610&lt;&gt;""),"",IF(AND(B1610&lt;&gt;"",COUNTIF(tx_ID,B1610)&gt;1),"Duplicate transaction ID",IF(AND(L1610&lt;0,D1610&lt;&gt;"Adjustment"),"Negative amount — check this entry",IF(AND(D1610="Customer Payment",G1610=""),"Add the customer",IF(AND(D1610="Customer Payment",OR(J1610="",COUNTIF(ar_No,J1610&amp;"")=0)),"Invoice # in Reference not found on AR sheet",IF(AND(D1610="Bill Payment",H1610=""),"Add the vendor",IF(AND(D1610="Bill Payment",OR(J1610="",COUNTIFS(ap_No,J1610&amp;"",ap_Party,H1610&amp;"")=0)),"Bill # + vendor not found on AP sheet",IF(AND(ISNUMBER(M1610),N(M1610)&lt;&gt;0,W1610=0),"Tax ignored (tax tracking off, or not allowed for this type)",IF(V1610=K1610&amp;"","Same account on both sides",IF(AND(ISNUMBER(StartDate),C1610&lt;StartDate),"Date is before the accounting start date",IF(AND(D1610&lt;&gt;"Adjustment",IFERROR(INDEX(coa_Pay,MATCH(K1610&amp;"",coa_Name,0)),"")&lt;&gt;"Yes"),"Paid From / Deposited To is not a payment account","")))))))))))</f>
        <v/>
      </c>
      <c r="Z1610" s="67">
        <f>IF(AND(T1610=0,X1610=""),1,0)</f>
        <v/>
      </c>
      <c r="AA1610" s="68">
        <f>IF(Z1610=1,IF(U1610="In",L1610,L1610-W1610),0)</f>
        <v/>
      </c>
      <c r="AB1610" s="68">
        <f>IF(Z1610=1,IF(U1610="In",L1610-W1610,L1610),0)</f>
        <v/>
      </c>
      <c r="AC1610" s="68">
        <f>IF(AND(Z1610=1,U1610="Out"),W1610,0)</f>
        <v/>
      </c>
      <c r="AD1610" s="68">
        <f>IF(AND(Z1610=1,U1610="In"),W1610,0)</f>
        <v/>
      </c>
    </row>
    <row r="1611">
      <c r="B1611" s="62" t="inlineStr">
        <is>
          <t>TX-1605</t>
        </is>
      </c>
      <c r="C1611" s="63" t="n"/>
      <c r="D1611" s="62" t="n"/>
      <c r="E1611" s="62" t="n"/>
      <c r="F1611" s="62" t="n"/>
      <c r="G1611" s="62" t="n"/>
      <c r="H1611" s="62" t="n"/>
      <c r="I1611" s="62" t="n"/>
      <c r="J1611" s="62" t="n"/>
      <c r="K1611" s="62" t="n"/>
      <c r="L1611" s="64" t="n"/>
      <c r="M1611" s="64" t="n"/>
      <c r="N1611" s="62" t="n"/>
      <c r="O1611" s="65">
        <f>IF(Z1611=1,L1611-W1611,"")</f>
        <v/>
      </c>
      <c r="P1611" s="66">
        <f>IF(V1611="","",IFERROR(INDEX(coa_Type,MATCH(V1611,coa_Name,0)),""))</f>
        <v/>
      </c>
      <c r="Q1611" s="66">
        <f>IF(Z1611=1,IF(U1611="In",K1611&amp;"",V1611),"")</f>
        <v/>
      </c>
      <c r="R1611" s="66">
        <f>IF(Z1611=1,IF(U1611="In",V1611,K1611&amp;""),"")</f>
        <v/>
      </c>
      <c r="S1611" s="66">
        <f>IF(X1611&lt;&gt;"","⛔ "&amp;X1611&amp;" — not posted",IF(Y1611&lt;&gt;"","⚠ "&amp;Y1611,IF(Z1611=1,"✓ OK","")))</f>
        <v/>
      </c>
      <c r="T1611" s="67">
        <f>IF(AND(C1611="",D1611="",E1611="",L1611="",K1611=""),1,0)</f>
        <v/>
      </c>
      <c r="U1611" s="67">
        <f>IFERROR(INDEX(tt_Dir,MATCH(D1611,tt_Type,0)),"")</f>
        <v/>
      </c>
      <c r="V1611" s="67">
        <f>IF(D1611="","",IFERROR(IF(INDEX(tt_Other,MATCH(D1611,tt_Type,0))="",E1611&amp;"",INDEX(tt_Other,MATCH(D1611,tt_Type,0))),""))</f>
        <v/>
      </c>
      <c r="W1611" s="68">
        <f>IF(OR(TaxOn&lt;&gt;"Yes",NOT(ISNUMBER(M1611))),0,IF(IFERROR(INDEX(tt_Tax,MATCH(D1611,tt_Type,0)),"No")="Yes",M1611,0))</f>
        <v/>
      </c>
      <c r="X1611" s="67">
        <f>IF(T1611=1,"",IF(C1611="","Missing transaction date",IF(NOT(ISNUMBER(C1611)),"Invalid date",IF(OR(C1611&lt;DATE(2000,1,1),C1611&gt;DATE(2099,12,31)),"Invalid date",IF(D1611="","Select a type",IF(U1611="","Unknown type: "&amp;D1611,IF(V1611="","Select an account (Category)",IF(ISNA(MATCH(V1611,coa_Name,0)),"Unknown account: "&amp;V1611,IF(K1611="","Select Paid From / Deposited To",IF(ISNA(MATCH(K1611,coa_Name,0)),"Unknown account: "&amp;K1611,IF(NOT(ISNUMBER(L1611)),"Enter an amount",IF(L1611=0,"Enter an amount",IF(ABS(W1611)&gt;ABS(L1611),"Tax is larger than the amount","")))))))))))))</f>
        <v/>
      </c>
      <c r="Y1611" s="67">
        <f>IF(OR(T1611=1,X1611&lt;&gt;""),"",IF(AND(B1611&lt;&gt;"",COUNTIF(tx_ID,B1611)&gt;1),"Duplicate transaction ID",IF(AND(L1611&lt;0,D1611&lt;&gt;"Adjustment"),"Negative amount — check this entry",IF(AND(D1611="Customer Payment",G1611=""),"Add the customer",IF(AND(D1611="Customer Payment",OR(J1611="",COUNTIF(ar_No,J1611&amp;"")=0)),"Invoice # in Reference not found on AR sheet",IF(AND(D1611="Bill Payment",H1611=""),"Add the vendor",IF(AND(D1611="Bill Payment",OR(J1611="",COUNTIFS(ap_No,J1611&amp;"",ap_Party,H1611&amp;"")=0)),"Bill # + vendor not found on AP sheet",IF(AND(ISNUMBER(M1611),N(M1611)&lt;&gt;0,W1611=0),"Tax ignored (tax tracking off, or not allowed for this type)",IF(V1611=K1611&amp;"","Same account on both sides",IF(AND(ISNUMBER(StartDate),C1611&lt;StartDate),"Date is before the accounting start date",IF(AND(D1611&lt;&gt;"Adjustment",IFERROR(INDEX(coa_Pay,MATCH(K1611&amp;"",coa_Name,0)),"")&lt;&gt;"Yes"),"Paid From / Deposited To is not a payment account","")))))))))))</f>
        <v/>
      </c>
      <c r="Z1611" s="67">
        <f>IF(AND(T1611=0,X1611=""),1,0)</f>
        <v/>
      </c>
      <c r="AA1611" s="68">
        <f>IF(Z1611=1,IF(U1611="In",L1611,L1611-W1611),0)</f>
        <v/>
      </c>
      <c r="AB1611" s="68">
        <f>IF(Z1611=1,IF(U1611="In",L1611-W1611,L1611),0)</f>
        <v/>
      </c>
      <c r="AC1611" s="68">
        <f>IF(AND(Z1611=1,U1611="Out"),W1611,0)</f>
        <v/>
      </c>
      <c r="AD1611" s="68">
        <f>IF(AND(Z1611=1,U1611="In"),W1611,0)</f>
        <v/>
      </c>
    </row>
    <row r="1612">
      <c r="B1612" s="62" t="inlineStr">
        <is>
          <t>TX-1606</t>
        </is>
      </c>
      <c r="C1612" s="63" t="n"/>
      <c r="D1612" s="62" t="n"/>
      <c r="E1612" s="62" t="n"/>
      <c r="F1612" s="62" t="n"/>
      <c r="G1612" s="62" t="n"/>
      <c r="H1612" s="62" t="n"/>
      <c r="I1612" s="62" t="n"/>
      <c r="J1612" s="62" t="n"/>
      <c r="K1612" s="62" t="n"/>
      <c r="L1612" s="64" t="n"/>
      <c r="M1612" s="64" t="n"/>
      <c r="N1612" s="62" t="n"/>
      <c r="O1612" s="65">
        <f>IF(Z1612=1,L1612-W1612,"")</f>
        <v/>
      </c>
      <c r="P1612" s="66">
        <f>IF(V1612="","",IFERROR(INDEX(coa_Type,MATCH(V1612,coa_Name,0)),""))</f>
        <v/>
      </c>
      <c r="Q1612" s="66">
        <f>IF(Z1612=1,IF(U1612="In",K1612&amp;"",V1612),"")</f>
        <v/>
      </c>
      <c r="R1612" s="66">
        <f>IF(Z1612=1,IF(U1612="In",V1612,K1612&amp;""),"")</f>
        <v/>
      </c>
      <c r="S1612" s="66">
        <f>IF(X1612&lt;&gt;"","⛔ "&amp;X1612&amp;" — not posted",IF(Y1612&lt;&gt;"","⚠ "&amp;Y1612,IF(Z1612=1,"✓ OK","")))</f>
        <v/>
      </c>
      <c r="T1612" s="67">
        <f>IF(AND(C1612="",D1612="",E1612="",L1612="",K1612=""),1,0)</f>
        <v/>
      </c>
      <c r="U1612" s="67">
        <f>IFERROR(INDEX(tt_Dir,MATCH(D1612,tt_Type,0)),"")</f>
        <v/>
      </c>
      <c r="V1612" s="67">
        <f>IF(D1612="","",IFERROR(IF(INDEX(tt_Other,MATCH(D1612,tt_Type,0))="",E1612&amp;"",INDEX(tt_Other,MATCH(D1612,tt_Type,0))),""))</f>
        <v/>
      </c>
      <c r="W1612" s="68">
        <f>IF(OR(TaxOn&lt;&gt;"Yes",NOT(ISNUMBER(M1612))),0,IF(IFERROR(INDEX(tt_Tax,MATCH(D1612,tt_Type,0)),"No")="Yes",M1612,0))</f>
        <v/>
      </c>
      <c r="X1612" s="67">
        <f>IF(T1612=1,"",IF(C1612="","Missing transaction date",IF(NOT(ISNUMBER(C1612)),"Invalid date",IF(OR(C1612&lt;DATE(2000,1,1),C1612&gt;DATE(2099,12,31)),"Invalid date",IF(D1612="","Select a type",IF(U1612="","Unknown type: "&amp;D1612,IF(V1612="","Select an account (Category)",IF(ISNA(MATCH(V1612,coa_Name,0)),"Unknown account: "&amp;V1612,IF(K1612="","Select Paid From / Deposited To",IF(ISNA(MATCH(K1612,coa_Name,0)),"Unknown account: "&amp;K1612,IF(NOT(ISNUMBER(L1612)),"Enter an amount",IF(L1612=0,"Enter an amount",IF(ABS(W1612)&gt;ABS(L1612),"Tax is larger than the amount","")))))))))))))</f>
        <v/>
      </c>
      <c r="Y1612" s="67">
        <f>IF(OR(T1612=1,X1612&lt;&gt;""),"",IF(AND(B1612&lt;&gt;"",COUNTIF(tx_ID,B1612)&gt;1),"Duplicate transaction ID",IF(AND(L1612&lt;0,D1612&lt;&gt;"Adjustment"),"Negative amount — check this entry",IF(AND(D1612="Customer Payment",G1612=""),"Add the customer",IF(AND(D1612="Customer Payment",OR(J1612="",COUNTIF(ar_No,J1612&amp;"")=0)),"Invoice # in Reference not found on AR sheet",IF(AND(D1612="Bill Payment",H1612=""),"Add the vendor",IF(AND(D1612="Bill Payment",OR(J1612="",COUNTIFS(ap_No,J1612&amp;"",ap_Party,H1612&amp;"")=0)),"Bill # + vendor not found on AP sheet",IF(AND(ISNUMBER(M1612),N(M1612)&lt;&gt;0,W1612=0),"Tax ignored (tax tracking off, or not allowed for this type)",IF(V1612=K1612&amp;"","Same account on both sides",IF(AND(ISNUMBER(StartDate),C1612&lt;StartDate),"Date is before the accounting start date",IF(AND(D1612&lt;&gt;"Adjustment",IFERROR(INDEX(coa_Pay,MATCH(K1612&amp;"",coa_Name,0)),"")&lt;&gt;"Yes"),"Paid From / Deposited To is not a payment account","")))))))))))</f>
        <v/>
      </c>
      <c r="Z1612" s="67">
        <f>IF(AND(T1612=0,X1612=""),1,0)</f>
        <v/>
      </c>
      <c r="AA1612" s="68">
        <f>IF(Z1612=1,IF(U1612="In",L1612,L1612-W1612),0)</f>
        <v/>
      </c>
      <c r="AB1612" s="68">
        <f>IF(Z1612=1,IF(U1612="In",L1612-W1612,L1612),0)</f>
        <v/>
      </c>
      <c r="AC1612" s="68">
        <f>IF(AND(Z1612=1,U1612="Out"),W1612,0)</f>
        <v/>
      </c>
      <c r="AD1612" s="68">
        <f>IF(AND(Z1612=1,U1612="In"),W1612,0)</f>
        <v/>
      </c>
    </row>
    <row r="1613">
      <c r="B1613" s="62" t="inlineStr">
        <is>
          <t>TX-1607</t>
        </is>
      </c>
      <c r="C1613" s="63" t="n"/>
      <c r="D1613" s="62" t="n"/>
      <c r="E1613" s="62" t="n"/>
      <c r="F1613" s="62" t="n"/>
      <c r="G1613" s="62" t="n"/>
      <c r="H1613" s="62" t="n"/>
      <c r="I1613" s="62" t="n"/>
      <c r="J1613" s="62" t="n"/>
      <c r="K1613" s="62" t="n"/>
      <c r="L1613" s="64" t="n"/>
      <c r="M1613" s="64" t="n"/>
      <c r="N1613" s="62" t="n"/>
      <c r="O1613" s="65">
        <f>IF(Z1613=1,L1613-W1613,"")</f>
        <v/>
      </c>
      <c r="P1613" s="66">
        <f>IF(V1613="","",IFERROR(INDEX(coa_Type,MATCH(V1613,coa_Name,0)),""))</f>
        <v/>
      </c>
      <c r="Q1613" s="66">
        <f>IF(Z1613=1,IF(U1613="In",K1613&amp;"",V1613),"")</f>
        <v/>
      </c>
      <c r="R1613" s="66">
        <f>IF(Z1613=1,IF(U1613="In",V1613,K1613&amp;""),"")</f>
        <v/>
      </c>
      <c r="S1613" s="66">
        <f>IF(X1613&lt;&gt;"","⛔ "&amp;X1613&amp;" — not posted",IF(Y1613&lt;&gt;"","⚠ "&amp;Y1613,IF(Z1613=1,"✓ OK","")))</f>
        <v/>
      </c>
      <c r="T1613" s="67">
        <f>IF(AND(C1613="",D1613="",E1613="",L1613="",K1613=""),1,0)</f>
        <v/>
      </c>
      <c r="U1613" s="67">
        <f>IFERROR(INDEX(tt_Dir,MATCH(D1613,tt_Type,0)),"")</f>
        <v/>
      </c>
      <c r="V1613" s="67">
        <f>IF(D1613="","",IFERROR(IF(INDEX(tt_Other,MATCH(D1613,tt_Type,0))="",E1613&amp;"",INDEX(tt_Other,MATCH(D1613,tt_Type,0))),""))</f>
        <v/>
      </c>
      <c r="W1613" s="68">
        <f>IF(OR(TaxOn&lt;&gt;"Yes",NOT(ISNUMBER(M1613))),0,IF(IFERROR(INDEX(tt_Tax,MATCH(D1613,tt_Type,0)),"No")="Yes",M1613,0))</f>
        <v/>
      </c>
      <c r="X1613" s="67">
        <f>IF(T1613=1,"",IF(C1613="","Missing transaction date",IF(NOT(ISNUMBER(C1613)),"Invalid date",IF(OR(C1613&lt;DATE(2000,1,1),C1613&gt;DATE(2099,12,31)),"Invalid date",IF(D1613="","Select a type",IF(U1613="","Unknown type: "&amp;D1613,IF(V1613="","Select an account (Category)",IF(ISNA(MATCH(V1613,coa_Name,0)),"Unknown account: "&amp;V1613,IF(K1613="","Select Paid From / Deposited To",IF(ISNA(MATCH(K1613,coa_Name,0)),"Unknown account: "&amp;K1613,IF(NOT(ISNUMBER(L1613)),"Enter an amount",IF(L1613=0,"Enter an amount",IF(ABS(W1613)&gt;ABS(L1613),"Tax is larger than the amount","")))))))))))))</f>
        <v/>
      </c>
      <c r="Y1613" s="67">
        <f>IF(OR(T1613=1,X1613&lt;&gt;""),"",IF(AND(B1613&lt;&gt;"",COUNTIF(tx_ID,B1613)&gt;1),"Duplicate transaction ID",IF(AND(L1613&lt;0,D1613&lt;&gt;"Adjustment"),"Negative amount — check this entry",IF(AND(D1613="Customer Payment",G1613=""),"Add the customer",IF(AND(D1613="Customer Payment",OR(J1613="",COUNTIF(ar_No,J1613&amp;"")=0)),"Invoice # in Reference not found on AR sheet",IF(AND(D1613="Bill Payment",H1613=""),"Add the vendor",IF(AND(D1613="Bill Payment",OR(J1613="",COUNTIFS(ap_No,J1613&amp;"",ap_Party,H1613&amp;"")=0)),"Bill # + vendor not found on AP sheet",IF(AND(ISNUMBER(M1613),N(M1613)&lt;&gt;0,W1613=0),"Tax ignored (tax tracking off, or not allowed for this type)",IF(V1613=K1613&amp;"","Same account on both sides",IF(AND(ISNUMBER(StartDate),C1613&lt;StartDate),"Date is before the accounting start date",IF(AND(D1613&lt;&gt;"Adjustment",IFERROR(INDEX(coa_Pay,MATCH(K1613&amp;"",coa_Name,0)),"")&lt;&gt;"Yes"),"Paid From / Deposited To is not a payment account","")))))))))))</f>
        <v/>
      </c>
      <c r="Z1613" s="67">
        <f>IF(AND(T1613=0,X1613=""),1,0)</f>
        <v/>
      </c>
      <c r="AA1613" s="68">
        <f>IF(Z1613=1,IF(U1613="In",L1613,L1613-W1613),0)</f>
        <v/>
      </c>
      <c r="AB1613" s="68">
        <f>IF(Z1613=1,IF(U1613="In",L1613-W1613,L1613),0)</f>
        <v/>
      </c>
      <c r="AC1613" s="68">
        <f>IF(AND(Z1613=1,U1613="Out"),W1613,0)</f>
        <v/>
      </c>
      <c r="AD1613" s="68">
        <f>IF(AND(Z1613=1,U1613="In"),W1613,0)</f>
        <v/>
      </c>
    </row>
    <row r="1614">
      <c r="B1614" s="62" t="inlineStr">
        <is>
          <t>TX-1608</t>
        </is>
      </c>
      <c r="C1614" s="63" t="n"/>
      <c r="D1614" s="62" t="n"/>
      <c r="E1614" s="62" t="n"/>
      <c r="F1614" s="62" t="n"/>
      <c r="G1614" s="62" t="n"/>
      <c r="H1614" s="62" t="n"/>
      <c r="I1614" s="62" t="n"/>
      <c r="J1614" s="62" t="n"/>
      <c r="K1614" s="62" t="n"/>
      <c r="L1614" s="64" t="n"/>
      <c r="M1614" s="64" t="n"/>
      <c r="N1614" s="62" t="n"/>
      <c r="O1614" s="65">
        <f>IF(Z1614=1,L1614-W1614,"")</f>
        <v/>
      </c>
      <c r="P1614" s="66">
        <f>IF(V1614="","",IFERROR(INDEX(coa_Type,MATCH(V1614,coa_Name,0)),""))</f>
        <v/>
      </c>
      <c r="Q1614" s="66">
        <f>IF(Z1614=1,IF(U1614="In",K1614&amp;"",V1614),"")</f>
        <v/>
      </c>
      <c r="R1614" s="66">
        <f>IF(Z1614=1,IF(U1614="In",V1614,K1614&amp;""),"")</f>
        <v/>
      </c>
      <c r="S1614" s="66">
        <f>IF(X1614&lt;&gt;"","⛔ "&amp;X1614&amp;" — not posted",IF(Y1614&lt;&gt;"","⚠ "&amp;Y1614,IF(Z1614=1,"✓ OK","")))</f>
        <v/>
      </c>
      <c r="T1614" s="67">
        <f>IF(AND(C1614="",D1614="",E1614="",L1614="",K1614=""),1,0)</f>
        <v/>
      </c>
      <c r="U1614" s="67">
        <f>IFERROR(INDEX(tt_Dir,MATCH(D1614,tt_Type,0)),"")</f>
        <v/>
      </c>
      <c r="V1614" s="67">
        <f>IF(D1614="","",IFERROR(IF(INDEX(tt_Other,MATCH(D1614,tt_Type,0))="",E1614&amp;"",INDEX(tt_Other,MATCH(D1614,tt_Type,0))),""))</f>
        <v/>
      </c>
      <c r="W1614" s="68">
        <f>IF(OR(TaxOn&lt;&gt;"Yes",NOT(ISNUMBER(M1614))),0,IF(IFERROR(INDEX(tt_Tax,MATCH(D1614,tt_Type,0)),"No")="Yes",M1614,0))</f>
        <v/>
      </c>
      <c r="X1614" s="67">
        <f>IF(T1614=1,"",IF(C1614="","Missing transaction date",IF(NOT(ISNUMBER(C1614)),"Invalid date",IF(OR(C1614&lt;DATE(2000,1,1),C1614&gt;DATE(2099,12,31)),"Invalid date",IF(D1614="","Select a type",IF(U1614="","Unknown type: "&amp;D1614,IF(V1614="","Select an account (Category)",IF(ISNA(MATCH(V1614,coa_Name,0)),"Unknown account: "&amp;V1614,IF(K1614="","Select Paid From / Deposited To",IF(ISNA(MATCH(K1614,coa_Name,0)),"Unknown account: "&amp;K1614,IF(NOT(ISNUMBER(L1614)),"Enter an amount",IF(L1614=0,"Enter an amount",IF(ABS(W1614)&gt;ABS(L1614),"Tax is larger than the amount","")))))))))))))</f>
        <v/>
      </c>
      <c r="Y1614" s="67">
        <f>IF(OR(T1614=1,X1614&lt;&gt;""),"",IF(AND(B1614&lt;&gt;"",COUNTIF(tx_ID,B1614)&gt;1),"Duplicate transaction ID",IF(AND(L1614&lt;0,D1614&lt;&gt;"Adjustment"),"Negative amount — check this entry",IF(AND(D1614="Customer Payment",G1614=""),"Add the customer",IF(AND(D1614="Customer Payment",OR(J1614="",COUNTIF(ar_No,J1614&amp;"")=0)),"Invoice # in Reference not found on AR sheet",IF(AND(D1614="Bill Payment",H1614=""),"Add the vendor",IF(AND(D1614="Bill Payment",OR(J1614="",COUNTIFS(ap_No,J1614&amp;"",ap_Party,H1614&amp;"")=0)),"Bill # + vendor not found on AP sheet",IF(AND(ISNUMBER(M1614),N(M1614)&lt;&gt;0,W1614=0),"Tax ignored (tax tracking off, or not allowed for this type)",IF(V1614=K1614&amp;"","Same account on both sides",IF(AND(ISNUMBER(StartDate),C1614&lt;StartDate),"Date is before the accounting start date",IF(AND(D1614&lt;&gt;"Adjustment",IFERROR(INDEX(coa_Pay,MATCH(K1614&amp;"",coa_Name,0)),"")&lt;&gt;"Yes"),"Paid From / Deposited To is not a payment account","")))))))))))</f>
        <v/>
      </c>
      <c r="Z1614" s="67">
        <f>IF(AND(T1614=0,X1614=""),1,0)</f>
        <v/>
      </c>
      <c r="AA1614" s="68">
        <f>IF(Z1614=1,IF(U1614="In",L1614,L1614-W1614),0)</f>
        <v/>
      </c>
      <c r="AB1614" s="68">
        <f>IF(Z1614=1,IF(U1614="In",L1614-W1614,L1614),0)</f>
        <v/>
      </c>
      <c r="AC1614" s="68">
        <f>IF(AND(Z1614=1,U1614="Out"),W1614,0)</f>
        <v/>
      </c>
      <c r="AD1614" s="68">
        <f>IF(AND(Z1614=1,U1614="In"),W1614,0)</f>
        <v/>
      </c>
    </row>
    <row r="1615">
      <c r="B1615" s="62" t="inlineStr">
        <is>
          <t>TX-1609</t>
        </is>
      </c>
      <c r="C1615" s="63" t="n"/>
      <c r="D1615" s="62" t="n"/>
      <c r="E1615" s="62" t="n"/>
      <c r="F1615" s="62" t="n"/>
      <c r="G1615" s="62" t="n"/>
      <c r="H1615" s="62" t="n"/>
      <c r="I1615" s="62" t="n"/>
      <c r="J1615" s="62" t="n"/>
      <c r="K1615" s="62" t="n"/>
      <c r="L1615" s="64" t="n"/>
      <c r="M1615" s="64" t="n"/>
      <c r="N1615" s="62" t="n"/>
      <c r="O1615" s="65">
        <f>IF(Z1615=1,L1615-W1615,"")</f>
        <v/>
      </c>
      <c r="P1615" s="66">
        <f>IF(V1615="","",IFERROR(INDEX(coa_Type,MATCH(V1615,coa_Name,0)),""))</f>
        <v/>
      </c>
      <c r="Q1615" s="66">
        <f>IF(Z1615=1,IF(U1615="In",K1615&amp;"",V1615),"")</f>
        <v/>
      </c>
      <c r="R1615" s="66">
        <f>IF(Z1615=1,IF(U1615="In",V1615,K1615&amp;""),"")</f>
        <v/>
      </c>
      <c r="S1615" s="66">
        <f>IF(X1615&lt;&gt;"","⛔ "&amp;X1615&amp;" — not posted",IF(Y1615&lt;&gt;"","⚠ "&amp;Y1615,IF(Z1615=1,"✓ OK","")))</f>
        <v/>
      </c>
      <c r="T1615" s="67">
        <f>IF(AND(C1615="",D1615="",E1615="",L1615="",K1615=""),1,0)</f>
        <v/>
      </c>
      <c r="U1615" s="67">
        <f>IFERROR(INDEX(tt_Dir,MATCH(D1615,tt_Type,0)),"")</f>
        <v/>
      </c>
      <c r="V1615" s="67">
        <f>IF(D1615="","",IFERROR(IF(INDEX(tt_Other,MATCH(D1615,tt_Type,0))="",E1615&amp;"",INDEX(tt_Other,MATCH(D1615,tt_Type,0))),""))</f>
        <v/>
      </c>
      <c r="W1615" s="68">
        <f>IF(OR(TaxOn&lt;&gt;"Yes",NOT(ISNUMBER(M1615))),0,IF(IFERROR(INDEX(tt_Tax,MATCH(D1615,tt_Type,0)),"No")="Yes",M1615,0))</f>
        <v/>
      </c>
      <c r="X1615" s="67">
        <f>IF(T1615=1,"",IF(C1615="","Missing transaction date",IF(NOT(ISNUMBER(C1615)),"Invalid date",IF(OR(C1615&lt;DATE(2000,1,1),C1615&gt;DATE(2099,12,31)),"Invalid date",IF(D1615="","Select a type",IF(U1615="","Unknown type: "&amp;D1615,IF(V1615="","Select an account (Category)",IF(ISNA(MATCH(V1615,coa_Name,0)),"Unknown account: "&amp;V1615,IF(K1615="","Select Paid From / Deposited To",IF(ISNA(MATCH(K1615,coa_Name,0)),"Unknown account: "&amp;K1615,IF(NOT(ISNUMBER(L1615)),"Enter an amount",IF(L1615=0,"Enter an amount",IF(ABS(W1615)&gt;ABS(L1615),"Tax is larger than the amount","")))))))))))))</f>
        <v/>
      </c>
      <c r="Y1615" s="67">
        <f>IF(OR(T1615=1,X1615&lt;&gt;""),"",IF(AND(B1615&lt;&gt;"",COUNTIF(tx_ID,B1615)&gt;1),"Duplicate transaction ID",IF(AND(L1615&lt;0,D1615&lt;&gt;"Adjustment"),"Negative amount — check this entry",IF(AND(D1615="Customer Payment",G1615=""),"Add the customer",IF(AND(D1615="Customer Payment",OR(J1615="",COUNTIF(ar_No,J1615&amp;"")=0)),"Invoice # in Reference not found on AR sheet",IF(AND(D1615="Bill Payment",H1615=""),"Add the vendor",IF(AND(D1615="Bill Payment",OR(J1615="",COUNTIFS(ap_No,J1615&amp;"",ap_Party,H1615&amp;"")=0)),"Bill # + vendor not found on AP sheet",IF(AND(ISNUMBER(M1615),N(M1615)&lt;&gt;0,W1615=0),"Tax ignored (tax tracking off, or not allowed for this type)",IF(V1615=K1615&amp;"","Same account on both sides",IF(AND(ISNUMBER(StartDate),C1615&lt;StartDate),"Date is before the accounting start date",IF(AND(D1615&lt;&gt;"Adjustment",IFERROR(INDEX(coa_Pay,MATCH(K1615&amp;"",coa_Name,0)),"")&lt;&gt;"Yes"),"Paid From / Deposited To is not a payment account","")))))))))))</f>
        <v/>
      </c>
      <c r="Z1615" s="67">
        <f>IF(AND(T1615=0,X1615=""),1,0)</f>
        <v/>
      </c>
      <c r="AA1615" s="68">
        <f>IF(Z1615=1,IF(U1615="In",L1615,L1615-W1615),0)</f>
        <v/>
      </c>
      <c r="AB1615" s="68">
        <f>IF(Z1615=1,IF(U1615="In",L1615-W1615,L1615),0)</f>
        <v/>
      </c>
      <c r="AC1615" s="68">
        <f>IF(AND(Z1615=1,U1615="Out"),W1615,0)</f>
        <v/>
      </c>
      <c r="AD1615" s="68">
        <f>IF(AND(Z1615=1,U1615="In"),W1615,0)</f>
        <v/>
      </c>
    </row>
    <row r="1616">
      <c r="B1616" s="62" t="inlineStr">
        <is>
          <t>TX-1610</t>
        </is>
      </c>
      <c r="C1616" s="63" t="n"/>
      <c r="D1616" s="62" t="n"/>
      <c r="E1616" s="62" t="n"/>
      <c r="F1616" s="62" t="n"/>
      <c r="G1616" s="62" t="n"/>
      <c r="H1616" s="62" t="n"/>
      <c r="I1616" s="62" t="n"/>
      <c r="J1616" s="62" t="n"/>
      <c r="K1616" s="62" t="n"/>
      <c r="L1616" s="64" t="n"/>
      <c r="M1616" s="64" t="n"/>
      <c r="N1616" s="62" t="n"/>
      <c r="O1616" s="65">
        <f>IF(Z1616=1,L1616-W1616,"")</f>
        <v/>
      </c>
      <c r="P1616" s="66">
        <f>IF(V1616="","",IFERROR(INDEX(coa_Type,MATCH(V1616,coa_Name,0)),""))</f>
        <v/>
      </c>
      <c r="Q1616" s="66">
        <f>IF(Z1616=1,IF(U1616="In",K1616&amp;"",V1616),"")</f>
        <v/>
      </c>
      <c r="R1616" s="66">
        <f>IF(Z1616=1,IF(U1616="In",V1616,K1616&amp;""),"")</f>
        <v/>
      </c>
      <c r="S1616" s="66">
        <f>IF(X1616&lt;&gt;"","⛔ "&amp;X1616&amp;" — not posted",IF(Y1616&lt;&gt;"","⚠ "&amp;Y1616,IF(Z1616=1,"✓ OK","")))</f>
        <v/>
      </c>
      <c r="T1616" s="67">
        <f>IF(AND(C1616="",D1616="",E1616="",L1616="",K1616=""),1,0)</f>
        <v/>
      </c>
      <c r="U1616" s="67">
        <f>IFERROR(INDEX(tt_Dir,MATCH(D1616,tt_Type,0)),"")</f>
        <v/>
      </c>
      <c r="V1616" s="67">
        <f>IF(D1616="","",IFERROR(IF(INDEX(tt_Other,MATCH(D1616,tt_Type,0))="",E1616&amp;"",INDEX(tt_Other,MATCH(D1616,tt_Type,0))),""))</f>
        <v/>
      </c>
      <c r="W1616" s="68">
        <f>IF(OR(TaxOn&lt;&gt;"Yes",NOT(ISNUMBER(M1616))),0,IF(IFERROR(INDEX(tt_Tax,MATCH(D1616,tt_Type,0)),"No")="Yes",M1616,0))</f>
        <v/>
      </c>
      <c r="X1616" s="67">
        <f>IF(T1616=1,"",IF(C1616="","Missing transaction date",IF(NOT(ISNUMBER(C1616)),"Invalid date",IF(OR(C1616&lt;DATE(2000,1,1),C1616&gt;DATE(2099,12,31)),"Invalid date",IF(D1616="","Select a type",IF(U1616="","Unknown type: "&amp;D1616,IF(V1616="","Select an account (Category)",IF(ISNA(MATCH(V1616,coa_Name,0)),"Unknown account: "&amp;V1616,IF(K1616="","Select Paid From / Deposited To",IF(ISNA(MATCH(K1616,coa_Name,0)),"Unknown account: "&amp;K1616,IF(NOT(ISNUMBER(L1616)),"Enter an amount",IF(L1616=0,"Enter an amount",IF(ABS(W1616)&gt;ABS(L1616),"Tax is larger than the amount","")))))))))))))</f>
        <v/>
      </c>
      <c r="Y1616" s="67">
        <f>IF(OR(T1616=1,X1616&lt;&gt;""),"",IF(AND(B1616&lt;&gt;"",COUNTIF(tx_ID,B1616)&gt;1),"Duplicate transaction ID",IF(AND(L1616&lt;0,D1616&lt;&gt;"Adjustment"),"Negative amount — check this entry",IF(AND(D1616="Customer Payment",G1616=""),"Add the customer",IF(AND(D1616="Customer Payment",OR(J1616="",COUNTIF(ar_No,J1616&amp;"")=0)),"Invoice # in Reference not found on AR sheet",IF(AND(D1616="Bill Payment",H1616=""),"Add the vendor",IF(AND(D1616="Bill Payment",OR(J1616="",COUNTIFS(ap_No,J1616&amp;"",ap_Party,H1616&amp;"")=0)),"Bill # + vendor not found on AP sheet",IF(AND(ISNUMBER(M1616),N(M1616)&lt;&gt;0,W1616=0),"Tax ignored (tax tracking off, or not allowed for this type)",IF(V1616=K1616&amp;"","Same account on both sides",IF(AND(ISNUMBER(StartDate),C1616&lt;StartDate),"Date is before the accounting start date",IF(AND(D1616&lt;&gt;"Adjustment",IFERROR(INDEX(coa_Pay,MATCH(K1616&amp;"",coa_Name,0)),"")&lt;&gt;"Yes"),"Paid From / Deposited To is not a payment account","")))))))))))</f>
        <v/>
      </c>
      <c r="Z1616" s="67">
        <f>IF(AND(T1616=0,X1616=""),1,0)</f>
        <v/>
      </c>
      <c r="AA1616" s="68">
        <f>IF(Z1616=1,IF(U1616="In",L1616,L1616-W1616),0)</f>
        <v/>
      </c>
      <c r="AB1616" s="68">
        <f>IF(Z1616=1,IF(U1616="In",L1616-W1616,L1616),0)</f>
        <v/>
      </c>
      <c r="AC1616" s="68">
        <f>IF(AND(Z1616=1,U1616="Out"),W1616,0)</f>
        <v/>
      </c>
      <c r="AD1616" s="68">
        <f>IF(AND(Z1616=1,U1616="In"),W1616,0)</f>
        <v/>
      </c>
    </row>
    <row r="1617">
      <c r="B1617" s="62" t="inlineStr">
        <is>
          <t>TX-1611</t>
        </is>
      </c>
      <c r="C1617" s="63" t="n"/>
      <c r="D1617" s="62" t="n"/>
      <c r="E1617" s="62" t="n"/>
      <c r="F1617" s="62" t="n"/>
      <c r="G1617" s="62" t="n"/>
      <c r="H1617" s="62" t="n"/>
      <c r="I1617" s="62" t="n"/>
      <c r="J1617" s="62" t="n"/>
      <c r="K1617" s="62" t="n"/>
      <c r="L1617" s="64" t="n"/>
      <c r="M1617" s="64" t="n"/>
      <c r="N1617" s="62" t="n"/>
      <c r="O1617" s="65">
        <f>IF(Z1617=1,L1617-W1617,"")</f>
        <v/>
      </c>
      <c r="P1617" s="66">
        <f>IF(V1617="","",IFERROR(INDEX(coa_Type,MATCH(V1617,coa_Name,0)),""))</f>
        <v/>
      </c>
      <c r="Q1617" s="66">
        <f>IF(Z1617=1,IF(U1617="In",K1617&amp;"",V1617),"")</f>
        <v/>
      </c>
      <c r="R1617" s="66">
        <f>IF(Z1617=1,IF(U1617="In",V1617,K1617&amp;""),"")</f>
        <v/>
      </c>
      <c r="S1617" s="66">
        <f>IF(X1617&lt;&gt;"","⛔ "&amp;X1617&amp;" — not posted",IF(Y1617&lt;&gt;"","⚠ "&amp;Y1617,IF(Z1617=1,"✓ OK","")))</f>
        <v/>
      </c>
      <c r="T1617" s="67">
        <f>IF(AND(C1617="",D1617="",E1617="",L1617="",K1617=""),1,0)</f>
        <v/>
      </c>
      <c r="U1617" s="67">
        <f>IFERROR(INDEX(tt_Dir,MATCH(D1617,tt_Type,0)),"")</f>
        <v/>
      </c>
      <c r="V1617" s="67">
        <f>IF(D1617="","",IFERROR(IF(INDEX(tt_Other,MATCH(D1617,tt_Type,0))="",E1617&amp;"",INDEX(tt_Other,MATCH(D1617,tt_Type,0))),""))</f>
        <v/>
      </c>
      <c r="W1617" s="68">
        <f>IF(OR(TaxOn&lt;&gt;"Yes",NOT(ISNUMBER(M1617))),0,IF(IFERROR(INDEX(tt_Tax,MATCH(D1617,tt_Type,0)),"No")="Yes",M1617,0))</f>
        <v/>
      </c>
      <c r="X1617" s="67">
        <f>IF(T1617=1,"",IF(C1617="","Missing transaction date",IF(NOT(ISNUMBER(C1617)),"Invalid date",IF(OR(C1617&lt;DATE(2000,1,1),C1617&gt;DATE(2099,12,31)),"Invalid date",IF(D1617="","Select a type",IF(U1617="","Unknown type: "&amp;D1617,IF(V1617="","Select an account (Category)",IF(ISNA(MATCH(V1617,coa_Name,0)),"Unknown account: "&amp;V1617,IF(K1617="","Select Paid From / Deposited To",IF(ISNA(MATCH(K1617,coa_Name,0)),"Unknown account: "&amp;K1617,IF(NOT(ISNUMBER(L1617)),"Enter an amount",IF(L1617=0,"Enter an amount",IF(ABS(W1617)&gt;ABS(L1617),"Tax is larger than the amount","")))))))))))))</f>
        <v/>
      </c>
      <c r="Y1617" s="67">
        <f>IF(OR(T1617=1,X1617&lt;&gt;""),"",IF(AND(B1617&lt;&gt;"",COUNTIF(tx_ID,B1617)&gt;1),"Duplicate transaction ID",IF(AND(L1617&lt;0,D1617&lt;&gt;"Adjustment"),"Negative amount — check this entry",IF(AND(D1617="Customer Payment",G1617=""),"Add the customer",IF(AND(D1617="Customer Payment",OR(J1617="",COUNTIF(ar_No,J1617&amp;"")=0)),"Invoice # in Reference not found on AR sheet",IF(AND(D1617="Bill Payment",H1617=""),"Add the vendor",IF(AND(D1617="Bill Payment",OR(J1617="",COUNTIFS(ap_No,J1617&amp;"",ap_Party,H1617&amp;"")=0)),"Bill # + vendor not found on AP sheet",IF(AND(ISNUMBER(M1617),N(M1617)&lt;&gt;0,W1617=0),"Tax ignored (tax tracking off, or not allowed for this type)",IF(V1617=K1617&amp;"","Same account on both sides",IF(AND(ISNUMBER(StartDate),C1617&lt;StartDate),"Date is before the accounting start date",IF(AND(D1617&lt;&gt;"Adjustment",IFERROR(INDEX(coa_Pay,MATCH(K1617&amp;"",coa_Name,0)),"")&lt;&gt;"Yes"),"Paid From / Deposited To is not a payment account","")))))))))))</f>
        <v/>
      </c>
      <c r="Z1617" s="67">
        <f>IF(AND(T1617=0,X1617=""),1,0)</f>
        <v/>
      </c>
      <c r="AA1617" s="68">
        <f>IF(Z1617=1,IF(U1617="In",L1617,L1617-W1617),0)</f>
        <v/>
      </c>
      <c r="AB1617" s="68">
        <f>IF(Z1617=1,IF(U1617="In",L1617-W1617,L1617),0)</f>
        <v/>
      </c>
      <c r="AC1617" s="68">
        <f>IF(AND(Z1617=1,U1617="Out"),W1617,0)</f>
        <v/>
      </c>
      <c r="AD1617" s="68">
        <f>IF(AND(Z1617=1,U1617="In"),W1617,0)</f>
        <v/>
      </c>
    </row>
    <row r="1618">
      <c r="B1618" s="62" t="inlineStr">
        <is>
          <t>TX-1612</t>
        </is>
      </c>
      <c r="C1618" s="63" t="n"/>
      <c r="D1618" s="62" t="n"/>
      <c r="E1618" s="62" t="n"/>
      <c r="F1618" s="62" t="n"/>
      <c r="G1618" s="62" t="n"/>
      <c r="H1618" s="62" t="n"/>
      <c r="I1618" s="62" t="n"/>
      <c r="J1618" s="62" t="n"/>
      <c r="K1618" s="62" t="n"/>
      <c r="L1618" s="64" t="n"/>
      <c r="M1618" s="64" t="n"/>
      <c r="N1618" s="62" t="n"/>
      <c r="O1618" s="65">
        <f>IF(Z1618=1,L1618-W1618,"")</f>
        <v/>
      </c>
      <c r="P1618" s="66">
        <f>IF(V1618="","",IFERROR(INDEX(coa_Type,MATCH(V1618,coa_Name,0)),""))</f>
        <v/>
      </c>
      <c r="Q1618" s="66">
        <f>IF(Z1618=1,IF(U1618="In",K1618&amp;"",V1618),"")</f>
        <v/>
      </c>
      <c r="R1618" s="66">
        <f>IF(Z1618=1,IF(U1618="In",V1618,K1618&amp;""),"")</f>
        <v/>
      </c>
      <c r="S1618" s="66">
        <f>IF(X1618&lt;&gt;"","⛔ "&amp;X1618&amp;" — not posted",IF(Y1618&lt;&gt;"","⚠ "&amp;Y1618,IF(Z1618=1,"✓ OK","")))</f>
        <v/>
      </c>
      <c r="T1618" s="67">
        <f>IF(AND(C1618="",D1618="",E1618="",L1618="",K1618=""),1,0)</f>
        <v/>
      </c>
      <c r="U1618" s="67">
        <f>IFERROR(INDEX(tt_Dir,MATCH(D1618,tt_Type,0)),"")</f>
        <v/>
      </c>
      <c r="V1618" s="67">
        <f>IF(D1618="","",IFERROR(IF(INDEX(tt_Other,MATCH(D1618,tt_Type,0))="",E1618&amp;"",INDEX(tt_Other,MATCH(D1618,tt_Type,0))),""))</f>
        <v/>
      </c>
      <c r="W1618" s="68">
        <f>IF(OR(TaxOn&lt;&gt;"Yes",NOT(ISNUMBER(M1618))),0,IF(IFERROR(INDEX(tt_Tax,MATCH(D1618,tt_Type,0)),"No")="Yes",M1618,0))</f>
        <v/>
      </c>
      <c r="X1618" s="67">
        <f>IF(T1618=1,"",IF(C1618="","Missing transaction date",IF(NOT(ISNUMBER(C1618)),"Invalid date",IF(OR(C1618&lt;DATE(2000,1,1),C1618&gt;DATE(2099,12,31)),"Invalid date",IF(D1618="","Select a type",IF(U1618="","Unknown type: "&amp;D1618,IF(V1618="","Select an account (Category)",IF(ISNA(MATCH(V1618,coa_Name,0)),"Unknown account: "&amp;V1618,IF(K1618="","Select Paid From / Deposited To",IF(ISNA(MATCH(K1618,coa_Name,0)),"Unknown account: "&amp;K1618,IF(NOT(ISNUMBER(L1618)),"Enter an amount",IF(L1618=0,"Enter an amount",IF(ABS(W1618)&gt;ABS(L1618),"Tax is larger than the amount","")))))))))))))</f>
        <v/>
      </c>
      <c r="Y1618" s="67">
        <f>IF(OR(T1618=1,X1618&lt;&gt;""),"",IF(AND(B1618&lt;&gt;"",COUNTIF(tx_ID,B1618)&gt;1),"Duplicate transaction ID",IF(AND(L1618&lt;0,D1618&lt;&gt;"Adjustment"),"Negative amount — check this entry",IF(AND(D1618="Customer Payment",G1618=""),"Add the customer",IF(AND(D1618="Customer Payment",OR(J1618="",COUNTIF(ar_No,J1618&amp;"")=0)),"Invoice # in Reference not found on AR sheet",IF(AND(D1618="Bill Payment",H1618=""),"Add the vendor",IF(AND(D1618="Bill Payment",OR(J1618="",COUNTIFS(ap_No,J1618&amp;"",ap_Party,H1618&amp;"")=0)),"Bill # + vendor not found on AP sheet",IF(AND(ISNUMBER(M1618),N(M1618)&lt;&gt;0,W1618=0),"Tax ignored (tax tracking off, or not allowed for this type)",IF(V1618=K1618&amp;"","Same account on both sides",IF(AND(ISNUMBER(StartDate),C1618&lt;StartDate),"Date is before the accounting start date",IF(AND(D1618&lt;&gt;"Adjustment",IFERROR(INDEX(coa_Pay,MATCH(K1618&amp;"",coa_Name,0)),"")&lt;&gt;"Yes"),"Paid From / Deposited To is not a payment account","")))))))))))</f>
        <v/>
      </c>
      <c r="Z1618" s="67">
        <f>IF(AND(T1618=0,X1618=""),1,0)</f>
        <v/>
      </c>
      <c r="AA1618" s="68">
        <f>IF(Z1618=1,IF(U1618="In",L1618,L1618-W1618),0)</f>
        <v/>
      </c>
      <c r="AB1618" s="68">
        <f>IF(Z1618=1,IF(U1618="In",L1618-W1618,L1618),0)</f>
        <v/>
      </c>
      <c r="AC1618" s="68">
        <f>IF(AND(Z1618=1,U1618="Out"),W1618,0)</f>
        <v/>
      </c>
      <c r="AD1618" s="68">
        <f>IF(AND(Z1618=1,U1618="In"),W1618,0)</f>
        <v/>
      </c>
    </row>
    <row r="1619">
      <c r="B1619" s="62" t="inlineStr">
        <is>
          <t>TX-1613</t>
        </is>
      </c>
      <c r="C1619" s="63" t="n"/>
      <c r="D1619" s="62" t="n"/>
      <c r="E1619" s="62" t="n"/>
      <c r="F1619" s="62" t="n"/>
      <c r="G1619" s="62" t="n"/>
      <c r="H1619" s="62" t="n"/>
      <c r="I1619" s="62" t="n"/>
      <c r="J1619" s="62" t="n"/>
      <c r="K1619" s="62" t="n"/>
      <c r="L1619" s="64" t="n"/>
      <c r="M1619" s="64" t="n"/>
      <c r="N1619" s="62" t="n"/>
      <c r="O1619" s="65">
        <f>IF(Z1619=1,L1619-W1619,"")</f>
        <v/>
      </c>
      <c r="P1619" s="66">
        <f>IF(V1619="","",IFERROR(INDEX(coa_Type,MATCH(V1619,coa_Name,0)),""))</f>
        <v/>
      </c>
      <c r="Q1619" s="66">
        <f>IF(Z1619=1,IF(U1619="In",K1619&amp;"",V1619),"")</f>
        <v/>
      </c>
      <c r="R1619" s="66">
        <f>IF(Z1619=1,IF(U1619="In",V1619,K1619&amp;""),"")</f>
        <v/>
      </c>
      <c r="S1619" s="66">
        <f>IF(X1619&lt;&gt;"","⛔ "&amp;X1619&amp;" — not posted",IF(Y1619&lt;&gt;"","⚠ "&amp;Y1619,IF(Z1619=1,"✓ OK","")))</f>
        <v/>
      </c>
      <c r="T1619" s="67">
        <f>IF(AND(C1619="",D1619="",E1619="",L1619="",K1619=""),1,0)</f>
        <v/>
      </c>
      <c r="U1619" s="67">
        <f>IFERROR(INDEX(tt_Dir,MATCH(D1619,tt_Type,0)),"")</f>
        <v/>
      </c>
      <c r="V1619" s="67">
        <f>IF(D1619="","",IFERROR(IF(INDEX(tt_Other,MATCH(D1619,tt_Type,0))="",E1619&amp;"",INDEX(tt_Other,MATCH(D1619,tt_Type,0))),""))</f>
        <v/>
      </c>
      <c r="W1619" s="68">
        <f>IF(OR(TaxOn&lt;&gt;"Yes",NOT(ISNUMBER(M1619))),0,IF(IFERROR(INDEX(tt_Tax,MATCH(D1619,tt_Type,0)),"No")="Yes",M1619,0))</f>
        <v/>
      </c>
      <c r="X1619" s="67">
        <f>IF(T1619=1,"",IF(C1619="","Missing transaction date",IF(NOT(ISNUMBER(C1619)),"Invalid date",IF(OR(C1619&lt;DATE(2000,1,1),C1619&gt;DATE(2099,12,31)),"Invalid date",IF(D1619="","Select a type",IF(U1619="","Unknown type: "&amp;D1619,IF(V1619="","Select an account (Category)",IF(ISNA(MATCH(V1619,coa_Name,0)),"Unknown account: "&amp;V1619,IF(K1619="","Select Paid From / Deposited To",IF(ISNA(MATCH(K1619,coa_Name,0)),"Unknown account: "&amp;K1619,IF(NOT(ISNUMBER(L1619)),"Enter an amount",IF(L1619=0,"Enter an amount",IF(ABS(W1619)&gt;ABS(L1619),"Tax is larger than the amount","")))))))))))))</f>
        <v/>
      </c>
      <c r="Y1619" s="67">
        <f>IF(OR(T1619=1,X1619&lt;&gt;""),"",IF(AND(B1619&lt;&gt;"",COUNTIF(tx_ID,B1619)&gt;1),"Duplicate transaction ID",IF(AND(L1619&lt;0,D1619&lt;&gt;"Adjustment"),"Negative amount — check this entry",IF(AND(D1619="Customer Payment",G1619=""),"Add the customer",IF(AND(D1619="Customer Payment",OR(J1619="",COUNTIF(ar_No,J1619&amp;"")=0)),"Invoice # in Reference not found on AR sheet",IF(AND(D1619="Bill Payment",H1619=""),"Add the vendor",IF(AND(D1619="Bill Payment",OR(J1619="",COUNTIFS(ap_No,J1619&amp;"",ap_Party,H1619&amp;"")=0)),"Bill # + vendor not found on AP sheet",IF(AND(ISNUMBER(M1619),N(M1619)&lt;&gt;0,W1619=0),"Tax ignored (tax tracking off, or not allowed for this type)",IF(V1619=K1619&amp;"","Same account on both sides",IF(AND(ISNUMBER(StartDate),C1619&lt;StartDate),"Date is before the accounting start date",IF(AND(D1619&lt;&gt;"Adjustment",IFERROR(INDEX(coa_Pay,MATCH(K1619&amp;"",coa_Name,0)),"")&lt;&gt;"Yes"),"Paid From / Deposited To is not a payment account","")))))))))))</f>
        <v/>
      </c>
      <c r="Z1619" s="67">
        <f>IF(AND(T1619=0,X1619=""),1,0)</f>
        <v/>
      </c>
      <c r="AA1619" s="68">
        <f>IF(Z1619=1,IF(U1619="In",L1619,L1619-W1619),0)</f>
        <v/>
      </c>
      <c r="AB1619" s="68">
        <f>IF(Z1619=1,IF(U1619="In",L1619-W1619,L1619),0)</f>
        <v/>
      </c>
      <c r="AC1619" s="68">
        <f>IF(AND(Z1619=1,U1619="Out"),W1619,0)</f>
        <v/>
      </c>
      <c r="AD1619" s="68">
        <f>IF(AND(Z1619=1,U1619="In"),W1619,0)</f>
        <v/>
      </c>
    </row>
    <row r="1620">
      <c r="B1620" s="62" t="inlineStr">
        <is>
          <t>TX-1614</t>
        </is>
      </c>
      <c r="C1620" s="63" t="n"/>
      <c r="D1620" s="62" t="n"/>
      <c r="E1620" s="62" t="n"/>
      <c r="F1620" s="62" t="n"/>
      <c r="G1620" s="62" t="n"/>
      <c r="H1620" s="62" t="n"/>
      <c r="I1620" s="62" t="n"/>
      <c r="J1620" s="62" t="n"/>
      <c r="K1620" s="62" t="n"/>
      <c r="L1620" s="64" t="n"/>
      <c r="M1620" s="64" t="n"/>
      <c r="N1620" s="62" t="n"/>
      <c r="O1620" s="65">
        <f>IF(Z1620=1,L1620-W1620,"")</f>
        <v/>
      </c>
      <c r="P1620" s="66">
        <f>IF(V1620="","",IFERROR(INDEX(coa_Type,MATCH(V1620,coa_Name,0)),""))</f>
        <v/>
      </c>
      <c r="Q1620" s="66">
        <f>IF(Z1620=1,IF(U1620="In",K1620&amp;"",V1620),"")</f>
        <v/>
      </c>
      <c r="R1620" s="66">
        <f>IF(Z1620=1,IF(U1620="In",V1620,K1620&amp;""),"")</f>
        <v/>
      </c>
      <c r="S1620" s="66">
        <f>IF(X1620&lt;&gt;"","⛔ "&amp;X1620&amp;" — not posted",IF(Y1620&lt;&gt;"","⚠ "&amp;Y1620,IF(Z1620=1,"✓ OK","")))</f>
        <v/>
      </c>
      <c r="T1620" s="67">
        <f>IF(AND(C1620="",D1620="",E1620="",L1620="",K1620=""),1,0)</f>
        <v/>
      </c>
      <c r="U1620" s="67">
        <f>IFERROR(INDEX(tt_Dir,MATCH(D1620,tt_Type,0)),"")</f>
        <v/>
      </c>
      <c r="V1620" s="67">
        <f>IF(D1620="","",IFERROR(IF(INDEX(tt_Other,MATCH(D1620,tt_Type,0))="",E1620&amp;"",INDEX(tt_Other,MATCH(D1620,tt_Type,0))),""))</f>
        <v/>
      </c>
      <c r="W1620" s="68">
        <f>IF(OR(TaxOn&lt;&gt;"Yes",NOT(ISNUMBER(M1620))),0,IF(IFERROR(INDEX(tt_Tax,MATCH(D1620,tt_Type,0)),"No")="Yes",M1620,0))</f>
        <v/>
      </c>
      <c r="X1620" s="67">
        <f>IF(T1620=1,"",IF(C1620="","Missing transaction date",IF(NOT(ISNUMBER(C1620)),"Invalid date",IF(OR(C1620&lt;DATE(2000,1,1),C1620&gt;DATE(2099,12,31)),"Invalid date",IF(D1620="","Select a type",IF(U1620="","Unknown type: "&amp;D1620,IF(V1620="","Select an account (Category)",IF(ISNA(MATCH(V1620,coa_Name,0)),"Unknown account: "&amp;V1620,IF(K1620="","Select Paid From / Deposited To",IF(ISNA(MATCH(K1620,coa_Name,0)),"Unknown account: "&amp;K1620,IF(NOT(ISNUMBER(L1620)),"Enter an amount",IF(L1620=0,"Enter an amount",IF(ABS(W1620)&gt;ABS(L1620),"Tax is larger than the amount","")))))))))))))</f>
        <v/>
      </c>
      <c r="Y1620" s="67">
        <f>IF(OR(T1620=1,X1620&lt;&gt;""),"",IF(AND(B1620&lt;&gt;"",COUNTIF(tx_ID,B1620)&gt;1),"Duplicate transaction ID",IF(AND(L1620&lt;0,D1620&lt;&gt;"Adjustment"),"Negative amount — check this entry",IF(AND(D1620="Customer Payment",G1620=""),"Add the customer",IF(AND(D1620="Customer Payment",OR(J1620="",COUNTIF(ar_No,J1620&amp;"")=0)),"Invoice # in Reference not found on AR sheet",IF(AND(D1620="Bill Payment",H1620=""),"Add the vendor",IF(AND(D1620="Bill Payment",OR(J1620="",COUNTIFS(ap_No,J1620&amp;"",ap_Party,H1620&amp;"")=0)),"Bill # + vendor not found on AP sheet",IF(AND(ISNUMBER(M1620),N(M1620)&lt;&gt;0,W1620=0),"Tax ignored (tax tracking off, or not allowed for this type)",IF(V1620=K1620&amp;"","Same account on both sides",IF(AND(ISNUMBER(StartDate),C1620&lt;StartDate),"Date is before the accounting start date",IF(AND(D1620&lt;&gt;"Adjustment",IFERROR(INDEX(coa_Pay,MATCH(K1620&amp;"",coa_Name,0)),"")&lt;&gt;"Yes"),"Paid From / Deposited To is not a payment account","")))))))))))</f>
        <v/>
      </c>
      <c r="Z1620" s="67">
        <f>IF(AND(T1620=0,X1620=""),1,0)</f>
        <v/>
      </c>
      <c r="AA1620" s="68">
        <f>IF(Z1620=1,IF(U1620="In",L1620,L1620-W1620),0)</f>
        <v/>
      </c>
      <c r="AB1620" s="68">
        <f>IF(Z1620=1,IF(U1620="In",L1620-W1620,L1620),0)</f>
        <v/>
      </c>
      <c r="AC1620" s="68">
        <f>IF(AND(Z1620=1,U1620="Out"),W1620,0)</f>
        <v/>
      </c>
      <c r="AD1620" s="68">
        <f>IF(AND(Z1620=1,U1620="In"),W1620,0)</f>
        <v/>
      </c>
    </row>
    <row r="1621">
      <c r="B1621" s="62" t="inlineStr">
        <is>
          <t>TX-1615</t>
        </is>
      </c>
      <c r="C1621" s="63" t="n"/>
      <c r="D1621" s="62" t="n"/>
      <c r="E1621" s="62" t="n"/>
      <c r="F1621" s="62" t="n"/>
      <c r="G1621" s="62" t="n"/>
      <c r="H1621" s="62" t="n"/>
      <c r="I1621" s="62" t="n"/>
      <c r="J1621" s="62" t="n"/>
      <c r="K1621" s="62" t="n"/>
      <c r="L1621" s="64" t="n"/>
      <c r="M1621" s="64" t="n"/>
      <c r="N1621" s="62" t="n"/>
      <c r="O1621" s="65">
        <f>IF(Z1621=1,L1621-W1621,"")</f>
        <v/>
      </c>
      <c r="P1621" s="66">
        <f>IF(V1621="","",IFERROR(INDEX(coa_Type,MATCH(V1621,coa_Name,0)),""))</f>
        <v/>
      </c>
      <c r="Q1621" s="66">
        <f>IF(Z1621=1,IF(U1621="In",K1621&amp;"",V1621),"")</f>
        <v/>
      </c>
      <c r="R1621" s="66">
        <f>IF(Z1621=1,IF(U1621="In",V1621,K1621&amp;""),"")</f>
        <v/>
      </c>
      <c r="S1621" s="66">
        <f>IF(X1621&lt;&gt;"","⛔ "&amp;X1621&amp;" — not posted",IF(Y1621&lt;&gt;"","⚠ "&amp;Y1621,IF(Z1621=1,"✓ OK","")))</f>
        <v/>
      </c>
      <c r="T1621" s="67">
        <f>IF(AND(C1621="",D1621="",E1621="",L1621="",K1621=""),1,0)</f>
        <v/>
      </c>
      <c r="U1621" s="67">
        <f>IFERROR(INDEX(tt_Dir,MATCH(D1621,tt_Type,0)),"")</f>
        <v/>
      </c>
      <c r="V1621" s="67">
        <f>IF(D1621="","",IFERROR(IF(INDEX(tt_Other,MATCH(D1621,tt_Type,0))="",E1621&amp;"",INDEX(tt_Other,MATCH(D1621,tt_Type,0))),""))</f>
        <v/>
      </c>
      <c r="W1621" s="68">
        <f>IF(OR(TaxOn&lt;&gt;"Yes",NOT(ISNUMBER(M1621))),0,IF(IFERROR(INDEX(tt_Tax,MATCH(D1621,tt_Type,0)),"No")="Yes",M1621,0))</f>
        <v/>
      </c>
      <c r="X1621" s="67">
        <f>IF(T1621=1,"",IF(C1621="","Missing transaction date",IF(NOT(ISNUMBER(C1621)),"Invalid date",IF(OR(C1621&lt;DATE(2000,1,1),C1621&gt;DATE(2099,12,31)),"Invalid date",IF(D1621="","Select a type",IF(U1621="","Unknown type: "&amp;D1621,IF(V1621="","Select an account (Category)",IF(ISNA(MATCH(V1621,coa_Name,0)),"Unknown account: "&amp;V1621,IF(K1621="","Select Paid From / Deposited To",IF(ISNA(MATCH(K1621,coa_Name,0)),"Unknown account: "&amp;K1621,IF(NOT(ISNUMBER(L1621)),"Enter an amount",IF(L1621=0,"Enter an amount",IF(ABS(W1621)&gt;ABS(L1621),"Tax is larger than the amount","")))))))))))))</f>
        <v/>
      </c>
      <c r="Y1621" s="67">
        <f>IF(OR(T1621=1,X1621&lt;&gt;""),"",IF(AND(B1621&lt;&gt;"",COUNTIF(tx_ID,B1621)&gt;1),"Duplicate transaction ID",IF(AND(L1621&lt;0,D1621&lt;&gt;"Adjustment"),"Negative amount — check this entry",IF(AND(D1621="Customer Payment",G1621=""),"Add the customer",IF(AND(D1621="Customer Payment",OR(J1621="",COUNTIF(ar_No,J1621&amp;"")=0)),"Invoice # in Reference not found on AR sheet",IF(AND(D1621="Bill Payment",H1621=""),"Add the vendor",IF(AND(D1621="Bill Payment",OR(J1621="",COUNTIFS(ap_No,J1621&amp;"",ap_Party,H1621&amp;"")=0)),"Bill # + vendor not found on AP sheet",IF(AND(ISNUMBER(M1621),N(M1621)&lt;&gt;0,W1621=0),"Tax ignored (tax tracking off, or not allowed for this type)",IF(V1621=K1621&amp;"","Same account on both sides",IF(AND(ISNUMBER(StartDate),C1621&lt;StartDate),"Date is before the accounting start date",IF(AND(D1621&lt;&gt;"Adjustment",IFERROR(INDEX(coa_Pay,MATCH(K1621&amp;"",coa_Name,0)),"")&lt;&gt;"Yes"),"Paid From / Deposited To is not a payment account","")))))))))))</f>
        <v/>
      </c>
      <c r="Z1621" s="67">
        <f>IF(AND(T1621=0,X1621=""),1,0)</f>
        <v/>
      </c>
      <c r="AA1621" s="68">
        <f>IF(Z1621=1,IF(U1621="In",L1621,L1621-W1621),0)</f>
        <v/>
      </c>
      <c r="AB1621" s="68">
        <f>IF(Z1621=1,IF(U1621="In",L1621-W1621,L1621),0)</f>
        <v/>
      </c>
      <c r="AC1621" s="68">
        <f>IF(AND(Z1621=1,U1621="Out"),W1621,0)</f>
        <v/>
      </c>
      <c r="AD1621" s="68">
        <f>IF(AND(Z1621=1,U1621="In"),W1621,0)</f>
        <v/>
      </c>
    </row>
    <row r="1622">
      <c r="B1622" s="62" t="inlineStr">
        <is>
          <t>TX-1616</t>
        </is>
      </c>
      <c r="C1622" s="63" t="n"/>
      <c r="D1622" s="62" t="n"/>
      <c r="E1622" s="62" t="n"/>
      <c r="F1622" s="62" t="n"/>
      <c r="G1622" s="62" t="n"/>
      <c r="H1622" s="62" t="n"/>
      <c r="I1622" s="62" t="n"/>
      <c r="J1622" s="62" t="n"/>
      <c r="K1622" s="62" t="n"/>
      <c r="L1622" s="64" t="n"/>
      <c r="M1622" s="64" t="n"/>
      <c r="N1622" s="62" t="n"/>
      <c r="O1622" s="65">
        <f>IF(Z1622=1,L1622-W1622,"")</f>
        <v/>
      </c>
      <c r="P1622" s="66">
        <f>IF(V1622="","",IFERROR(INDEX(coa_Type,MATCH(V1622,coa_Name,0)),""))</f>
        <v/>
      </c>
      <c r="Q1622" s="66">
        <f>IF(Z1622=1,IF(U1622="In",K1622&amp;"",V1622),"")</f>
        <v/>
      </c>
      <c r="R1622" s="66">
        <f>IF(Z1622=1,IF(U1622="In",V1622,K1622&amp;""),"")</f>
        <v/>
      </c>
      <c r="S1622" s="66">
        <f>IF(X1622&lt;&gt;"","⛔ "&amp;X1622&amp;" — not posted",IF(Y1622&lt;&gt;"","⚠ "&amp;Y1622,IF(Z1622=1,"✓ OK","")))</f>
        <v/>
      </c>
      <c r="T1622" s="67">
        <f>IF(AND(C1622="",D1622="",E1622="",L1622="",K1622=""),1,0)</f>
        <v/>
      </c>
      <c r="U1622" s="67">
        <f>IFERROR(INDEX(tt_Dir,MATCH(D1622,tt_Type,0)),"")</f>
        <v/>
      </c>
      <c r="V1622" s="67">
        <f>IF(D1622="","",IFERROR(IF(INDEX(tt_Other,MATCH(D1622,tt_Type,0))="",E1622&amp;"",INDEX(tt_Other,MATCH(D1622,tt_Type,0))),""))</f>
        <v/>
      </c>
      <c r="W1622" s="68">
        <f>IF(OR(TaxOn&lt;&gt;"Yes",NOT(ISNUMBER(M1622))),0,IF(IFERROR(INDEX(tt_Tax,MATCH(D1622,tt_Type,0)),"No")="Yes",M1622,0))</f>
        <v/>
      </c>
      <c r="X1622" s="67">
        <f>IF(T1622=1,"",IF(C1622="","Missing transaction date",IF(NOT(ISNUMBER(C1622)),"Invalid date",IF(OR(C1622&lt;DATE(2000,1,1),C1622&gt;DATE(2099,12,31)),"Invalid date",IF(D1622="","Select a type",IF(U1622="","Unknown type: "&amp;D1622,IF(V1622="","Select an account (Category)",IF(ISNA(MATCH(V1622,coa_Name,0)),"Unknown account: "&amp;V1622,IF(K1622="","Select Paid From / Deposited To",IF(ISNA(MATCH(K1622,coa_Name,0)),"Unknown account: "&amp;K1622,IF(NOT(ISNUMBER(L1622)),"Enter an amount",IF(L1622=0,"Enter an amount",IF(ABS(W1622)&gt;ABS(L1622),"Tax is larger than the amount","")))))))))))))</f>
        <v/>
      </c>
      <c r="Y1622" s="67">
        <f>IF(OR(T1622=1,X1622&lt;&gt;""),"",IF(AND(B1622&lt;&gt;"",COUNTIF(tx_ID,B1622)&gt;1),"Duplicate transaction ID",IF(AND(L1622&lt;0,D1622&lt;&gt;"Adjustment"),"Negative amount — check this entry",IF(AND(D1622="Customer Payment",G1622=""),"Add the customer",IF(AND(D1622="Customer Payment",OR(J1622="",COUNTIF(ar_No,J1622&amp;"")=0)),"Invoice # in Reference not found on AR sheet",IF(AND(D1622="Bill Payment",H1622=""),"Add the vendor",IF(AND(D1622="Bill Payment",OR(J1622="",COUNTIFS(ap_No,J1622&amp;"",ap_Party,H1622&amp;"")=0)),"Bill # + vendor not found on AP sheet",IF(AND(ISNUMBER(M1622),N(M1622)&lt;&gt;0,W1622=0),"Tax ignored (tax tracking off, or not allowed for this type)",IF(V1622=K1622&amp;"","Same account on both sides",IF(AND(ISNUMBER(StartDate),C1622&lt;StartDate),"Date is before the accounting start date",IF(AND(D1622&lt;&gt;"Adjustment",IFERROR(INDEX(coa_Pay,MATCH(K1622&amp;"",coa_Name,0)),"")&lt;&gt;"Yes"),"Paid From / Deposited To is not a payment account","")))))))))))</f>
        <v/>
      </c>
      <c r="Z1622" s="67">
        <f>IF(AND(T1622=0,X1622=""),1,0)</f>
        <v/>
      </c>
      <c r="AA1622" s="68">
        <f>IF(Z1622=1,IF(U1622="In",L1622,L1622-W1622),0)</f>
        <v/>
      </c>
      <c r="AB1622" s="68">
        <f>IF(Z1622=1,IF(U1622="In",L1622-W1622,L1622),0)</f>
        <v/>
      </c>
      <c r="AC1622" s="68">
        <f>IF(AND(Z1622=1,U1622="Out"),W1622,0)</f>
        <v/>
      </c>
      <c r="AD1622" s="68">
        <f>IF(AND(Z1622=1,U1622="In"),W1622,0)</f>
        <v/>
      </c>
    </row>
    <row r="1623">
      <c r="B1623" s="62" t="inlineStr">
        <is>
          <t>TX-1617</t>
        </is>
      </c>
      <c r="C1623" s="63" t="n"/>
      <c r="D1623" s="62" t="n"/>
      <c r="E1623" s="62" t="n"/>
      <c r="F1623" s="62" t="n"/>
      <c r="G1623" s="62" t="n"/>
      <c r="H1623" s="62" t="n"/>
      <c r="I1623" s="62" t="n"/>
      <c r="J1623" s="62" t="n"/>
      <c r="K1623" s="62" t="n"/>
      <c r="L1623" s="64" t="n"/>
      <c r="M1623" s="64" t="n"/>
      <c r="N1623" s="62" t="n"/>
      <c r="O1623" s="65">
        <f>IF(Z1623=1,L1623-W1623,"")</f>
        <v/>
      </c>
      <c r="P1623" s="66">
        <f>IF(V1623="","",IFERROR(INDEX(coa_Type,MATCH(V1623,coa_Name,0)),""))</f>
        <v/>
      </c>
      <c r="Q1623" s="66">
        <f>IF(Z1623=1,IF(U1623="In",K1623&amp;"",V1623),"")</f>
        <v/>
      </c>
      <c r="R1623" s="66">
        <f>IF(Z1623=1,IF(U1623="In",V1623,K1623&amp;""),"")</f>
        <v/>
      </c>
      <c r="S1623" s="66">
        <f>IF(X1623&lt;&gt;"","⛔ "&amp;X1623&amp;" — not posted",IF(Y1623&lt;&gt;"","⚠ "&amp;Y1623,IF(Z1623=1,"✓ OK","")))</f>
        <v/>
      </c>
      <c r="T1623" s="67">
        <f>IF(AND(C1623="",D1623="",E1623="",L1623="",K1623=""),1,0)</f>
        <v/>
      </c>
      <c r="U1623" s="67">
        <f>IFERROR(INDEX(tt_Dir,MATCH(D1623,tt_Type,0)),"")</f>
        <v/>
      </c>
      <c r="V1623" s="67">
        <f>IF(D1623="","",IFERROR(IF(INDEX(tt_Other,MATCH(D1623,tt_Type,0))="",E1623&amp;"",INDEX(tt_Other,MATCH(D1623,tt_Type,0))),""))</f>
        <v/>
      </c>
      <c r="W1623" s="68">
        <f>IF(OR(TaxOn&lt;&gt;"Yes",NOT(ISNUMBER(M1623))),0,IF(IFERROR(INDEX(tt_Tax,MATCH(D1623,tt_Type,0)),"No")="Yes",M1623,0))</f>
        <v/>
      </c>
      <c r="X1623" s="67">
        <f>IF(T1623=1,"",IF(C1623="","Missing transaction date",IF(NOT(ISNUMBER(C1623)),"Invalid date",IF(OR(C1623&lt;DATE(2000,1,1),C1623&gt;DATE(2099,12,31)),"Invalid date",IF(D1623="","Select a type",IF(U1623="","Unknown type: "&amp;D1623,IF(V1623="","Select an account (Category)",IF(ISNA(MATCH(V1623,coa_Name,0)),"Unknown account: "&amp;V1623,IF(K1623="","Select Paid From / Deposited To",IF(ISNA(MATCH(K1623,coa_Name,0)),"Unknown account: "&amp;K1623,IF(NOT(ISNUMBER(L1623)),"Enter an amount",IF(L1623=0,"Enter an amount",IF(ABS(W1623)&gt;ABS(L1623),"Tax is larger than the amount","")))))))))))))</f>
        <v/>
      </c>
      <c r="Y1623" s="67">
        <f>IF(OR(T1623=1,X1623&lt;&gt;""),"",IF(AND(B1623&lt;&gt;"",COUNTIF(tx_ID,B1623)&gt;1),"Duplicate transaction ID",IF(AND(L1623&lt;0,D1623&lt;&gt;"Adjustment"),"Negative amount — check this entry",IF(AND(D1623="Customer Payment",G1623=""),"Add the customer",IF(AND(D1623="Customer Payment",OR(J1623="",COUNTIF(ar_No,J1623&amp;"")=0)),"Invoice # in Reference not found on AR sheet",IF(AND(D1623="Bill Payment",H1623=""),"Add the vendor",IF(AND(D1623="Bill Payment",OR(J1623="",COUNTIFS(ap_No,J1623&amp;"",ap_Party,H1623&amp;"")=0)),"Bill # + vendor not found on AP sheet",IF(AND(ISNUMBER(M1623),N(M1623)&lt;&gt;0,W1623=0),"Tax ignored (tax tracking off, or not allowed for this type)",IF(V1623=K1623&amp;"","Same account on both sides",IF(AND(ISNUMBER(StartDate),C1623&lt;StartDate),"Date is before the accounting start date",IF(AND(D1623&lt;&gt;"Adjustment",IFERROR(INDEX(coa_Pay,MATCH(K1623&amp;"",coa_Name,0)),"")&lt;&gt;"Yes"),"Paid From / Deposited To is not a payment account","")))))))))))</f>
        <v/>
      </c>
      <c r="Z1623" s="67">
        <f>IF(AND(T1623=0,X1623=""),1,0)</f>
        <v/>
      </c>
      <c r="AA1623" s="68">
        <f>IF(Z1623=1,IF(U1623="In",L1623,L1623-W1623),0)</f>
        <v/>
      </c>
      <c r="AB1623" s="68">
        <f>IF(Z1623=1,IF(U1623="In",L1623-W1623,L1623),0)</f>
        <v/>
      </c>
      <c r="AC1623" s="68">
        <f>IF(AND(Z1623=1,U1623="Out"),W1623,0)</f>
        <v/>
      </c>
      <c r="AD1623" s="68">
        <f>IF(AND(Z1623=1,U1623="In"),W1623,0)</f>
        <v/>
      </c>
    </row>
    <row r="1624">
      <c r="B1624" s="62" t="inlineStr">
        <is>
          <t>TX-1618</t>
        </is>
      </c>
      <c r="C1624" s="63" t="n"/>
      <c r="D1624" s="62" t="n"/>
      <c r="E1624" s="62" t="n"/>
      <c r="F1624" s="62" t="n"/>
      <c r="G1624" s="62" t="n"/>
      <c r="H1624" s="62" t="n"/>
      <c r="I1624" s="62" t="n"/>
      <c r="J1624" s="62" t="n"/>
      <c r="K1624" s="62" t="n"/>
      <c r="L1624" s="64" t="n"/>
      <c r="M1624" s="64" t="n"/>
      <c r="N1624" s="62" t="n"/>
      <c r="O1624" s="65">
        <f>IF(Z1624=1,L1624-W1624,"")</f>
        <v/>
      </c>
      <c r="P1624" s="66">
        <f>IF(V1624="","",IFERROR(INDEX(coa_Type,MATCH(V1624,coa_Name,0)),""))</f>
        <v/>
      </c>
      <c r="Q1624" s="66">
        <f>IF(Z1624=1,IF(U1624="In",K1624&amp;"",V1624),"")</f>
        <v/>
      </c>
      <c r="R1624" s="66">
        <f>IF(Z1624=1,IF(U1624="In",V1624,K1624&amp;""),"")</f>
        <v/>
      </c>
      <c r="S1624" s="66">
        <f>IF(X1624&lt;&gt;"","⛔ "&amp;X1624&amp;" — not posted",IF(Y1624&lt;&gt;"","⚠ "&amp;Y1624,IF(Z1624=1,"✓ OK","")))</f>
        <v/>
      </c>
      <c r="T1624" s="67">
        <f>IF(AND(C1624="",D1624="",E1624="",L1624="",K1624=""),1,0)</f>
        <v/>
      </c>
      <c r="U1624" s="67">
        <f>IFERROR(INDEX(tt_Dir,MATCH(D1624,tt_Type,0)),"")</f>
        <v/>
      </c>
      <c r="V1624" s="67">
        <f>IF(D1624="","",IFERROR(IF(INDEX(tt_Other,MATCH(D1624,tt_Type,0))="",E1624&amp;"",INDEX(tt_Other,MATCH(D1624,tt_Type,0))),""))</f>
        <v/>
      </c>
      <c r="W1624" s="68">
        <f>IF(OR(TaxOn&lt;&gt;"Yes",NOT(ISNUMBER(M1624))),0,IF(IFERROR(INDEX(tt_Tax,MATCH(D1624,tt_Type,0)),"No")="Yes",M1624,0))</f>
        <v/>
      </c>
      <c r="X1624" s="67">
        <f>IF(T1624=1,"",IF(C1624="","Missing transaction date",IF(NOT(ISNUMBER(C1624)),"Invalid date",IF(OR(C1624&lt;DATE(2000,1,1),C1624&gt;DATE(2099,12,31)),"Invalid date",IF(D1624="","Select a type",IF(U1624="","Unknown type: "&amp;D1624,IF(V1624="","Select an account (Category)",IF(ISNA(MATCH(V1624,coa_Name,0)),"Unknown account: "&amp;V1624,IF(K1624="","Select Paid From / Deposited To",IF(ISNA(MATCH(K1624,coa_Name,0)),"Unknown account: "&amp;K1624,IF(NOT(ISNUMBER(L1624)),"Enter an amount",IF(L1624=0,"Enter an amount",IF(ABS(W1624)&gt;ABS(L1624),"Tax is larger than the amount","")))))))))))))</f>
        <v/>
      </c>
      <c r="Y1624" s="67">
        <f>IF(OR(T1624=1,X1624&lt;&gt;""),"",IF(AND(B1624&lt;&gt;"",COUNTIF(tx_ID,B1624)&gt;1),"Duplicate transaction ID",IF(AND(L1624&lt;0,D1624&lt;&gt;"Adjustment"),"Negative amount — check this entry",IF(AND(D1624="Customer Payment",G1624=""),"Add the customer",IF(AND(D1624="Customer Payment",OR(J1624="",COUNTIF(ar_No,J1624&amp;"")=0)),"Invoice # in Reference not found on AR sheet",IF(AND(D1624="Bill Payment",H1624=""),"Add the vendor",IF(AND(D1624="Bill Payment",OR(J1624="",COUNTIFS(ap_No,J1624&amp;"",ap_Party,H1624&amp;"")=0)),"Bill # + vendor not found on AP sheet",IF(AND(ISNUMBER(M1624),N(M1624)&lt;&gt;0,W1624=0),"Tax ignored (tax tracking off, or not allowed for this type)",IF(V1624=K1624&amp;"","Same account on both sides",IF(AND(ISNUMBER(StartDate),C1624&lt;StartDate),"Date is before the accounting start date",IF(AND(D1624&lt;&gt;"Adjustment",IFERROR(INDEX(coa_Pay,MATCH(K1624&amp;"",coa_Name,0)),"")&lt;&gt;"Yes"),"Paid From / Deposited To is not a payment account","")))))))))))</f>
        <v/>
      </c>
      <c r="Z1624" s="67">
        <f>IF(AND(T1624=0,X1624=""),1,0)</f>
        <v/>
      </c>
      <c r="AA1624" s="68">
        <f>IF(Z1624=1,IF(U1624="In",L1624,L1624-W1624),0)</f>
        <v/>
      </c>
      <c r="AB1624" s="68">
        <f>IF(Z1624=1,IF(U1624="In",L1624-W1624,L1624),0)</f>
        <v/>
      </c>
      <c r="AC1624" s="68">
        <f>IF(AND(Z1624=1,U1624="Out"),W1624,0)</f>
        <v/>
      </c>
      <c r="AD1624" s="68">
        <f>IF(AND(Z1624=1,U1624="In"),W1624,0)</f>
        <v/>
      </c>
    </row>
    <row r="1625">
      <c r="B1625" s="62" t="inlineStr">
        <is>
          <t>TX-1619</t>
        </is>
      </c>
      <c r="C1625" s="63" t="n"/>
      <c r="D1625" s="62" t="n"/>
      <c r="E1625" s="62" t="n"/>
      <c r="F1625" s="62" t="n"/>
      <c r="G1625" s="62" t="n"/>
      <c r="H1625" s="62" t="n"/>
      <c r="I1625" s="62" t="n"/>
      <c r="J1625" s="62" t="n"/>
      <c r="K1625" s="62" t="n"/>
      <c r="L1625" s="64" t="n"/>
      <c r="M1625" s="64" t="n"/>
      <c r="N1625" s="62" t="n"/>
      <c r="O1625" s="65">
        <f>IF(Z1625=1,L1625-W1625,"")</f>
        <v/>
      </c>
      <c r="P1625" s="66">
        <f>IF(V1625="","",IFERROR(INDEX(coa_Type,MATCH(V1625,coa_Name,0)),""))</f>
        <v/>
      </c>
      <c r="Q1625" s="66">
        <f>IF(Z1625=1,IF(U1625="In",K1625&amp;"",V1625),"")</f>
        <v/>
      </c>
      <c r="R1625" s="66">
        <f>IF(Z1625=1,IF(U1625="In",V1625,K1625&amp;""),"")</f>
        <v/>
      </c>
      <c r="S1625" s="66">
        <f>IF(X1625&lt;&gt;"","⛔ "&amp;X1625&amp;" — not posted",IF(Y1625&lt;&gt;"","⚠ "&amp;Y1625,IF(Z1625=1,"✓ OK","")))</f>
        <v/>
      </c>
      <c r="T1625" s="67">
        <f>IF(AND(C1625="",D1625="",E1625="",L1625="",K1625=""),1,0)</f>
        <v/>
      </c>
      <c r="U1625" s="67">
        <f>IFERROR(INDEX(tt_Dir,MATCH(D1625,tt_Type,0)),"")</f>
        <v/>
      </c>
      <c r="V1625" s="67">
        <f>IF(D1625="","",IFERROR(IF(INDEX(tt_Other,MATCH(D1625,tt_Type,0))="",E1625&amp;"",INDEX(tt_Other,MATCH(D1625,tt_Type,0))),""))</f>
        <v/>
      </c>
      <c r="W1625" s="68">
        <f>IF(OR(TaxOn&lt;&gt;"Yes",NOT(ISNUMBER(M1625))),0,IF(IFERROR(INDEX(tt_Tax,MATCH(D1625,tt_Type,0)),"No")="Yes",M1625,0))</f>
        <v/>
      </c>
      <c r="X1625" s="67">
        <f>IF(T1625=1,"",IF(C1625="","Missing transaction date",IF(NOT(ISNUMBER(C1625)),"Invalid date",IF(OR(C1625&lt;DATE(2000,1,1),C1625&gt;DATE(2099,12,31)),"Invalid date",IF(D1625="","Select a type",IF(U1625="","Unknown type: "&amp;D1625,IF(V1625="","Select an account (Category)",IF(ISNA(MATCH(V1625,coa_Name,0)),"Unknown account: "&amp;V1625,IF(K1625="","Select Paid From / Deposited To",IF(ISNA(MATCH(K1625,coa_Name,0)),"Unknown account: "&amp;K1625,IF(NOT(ISNUMBER(L1625)),"Enter an amount",IF(L1625=0,"Enter an amount",IF(ABS(W1625)&gt;ABS(L1625),"Tax is larger than the amount","")))))))))))))</f>
        <v/>
      </c>
      <c r="Y1625" s="67">
        <f>IF(OR(T1625=1,X1625&lt;&gt;""),"",IF(AND(B1625&lt;&gt;"",COUNTIF(tx_ID,B1625)&gt;1),"Duplicate transaction ID",IF(AND(L1625&lt;0,D1625&lt;&gt;"Adjustment"),"Negative amount — check this entry",IF(AND(D1625="Customer Payment",G1625=""),"Add the customer",IF(AND(D1625="Customer Payment",OR(J1625="",COUNTIF(ar_No,J1625&amp;"")=0)),"Invoice # in Reference not found on AR sheet",IF(AND(D1625="Bill Payment",H1625=""),"Add the vendor",IF(AND(D1625="Bill Payment",OR(J1625="",COUNTIFS(ap_No,J1625&amp;"",ap_Party,H1625&amp;"")=0)),"Bill # + vendor not found on AP sheet",IF(AND(ISNUMBER(M1625),N(M1625)&lt;&gt;0,W1625=0),"Tax ignored (tax tracking off, or not allowed for this type)",IF(V1625=K1625&amp;"","Same account on both sides",IF(AND(ISNUMBER(StartDate),C1625&lt;StartDate),"Date is before the accounting start date",IF(AND(D1625&lt;&gt;"Adjustment",IFERROR(INDEX(coa_Pay,MATCH(K1625&amp;"",coa_Name,0)),"")&lt;&gt;"Yes"),"Paid From / Deposited To is not a payment account","")))))))))))</f>
        <v/>
      </c>
      <c r="Z1625" s="67">
        <f>IF(AND(T1625=0,X1625=""),1,0)</f>
        <v/>
      </c>
      <c r="AA1625" s="68">
        <f>IF(Z1625=1,IF(U1625="In",L1625,L1625-W1625),0)</f>
        <v/>
      </c>
      <c r="AB1625" s="68">
        <f>IF(Z1625=1,IF(U1625="In",L1625-W1625,L1625),0)</f>
        <v/>
      </c>
      <c r="AC1625" s="68">
        <f>IF(AND(Z1625=1,U1625="Out"),W1625,0)</f>
        <v/>
      </c>
      <c r="AD1625" s="68">
        <f>IF(AND(Z1625=1,U1625="In"),W1625,0)</f>
        <v/>
      </c>
    </row>
    <row r="1626">
      <c r="B1626" s="62" t="inlineStr">
        <is>
          <t>TX-1620</t>
        </is>
      </c>
      <c r="C1626" s="63" t="n"/>
      <c r="D1626" s="62" t="n"/>
      <c r="E1626" s="62" t="n"/>
      <c r="F1626" s="62" t="n"/>
      <c r="G1626" s="62" t="n"/>
      <c r="H1626" s="62" t="n"/>
      <c r="I1626" s="62" t="n"/>
      <c r="J1626" s="62" t="n"/>
      <c r="K1626" s="62" t="n"/>
      <c r="L1626" s="64" t="n"/>
      <c r="M1626" s="64" t="n"/>
      <c r="N1626" s="62" t="n"/>
      <c r="O1626" s="65">
        <f>IF(Z1626=1,L1626-W1626,"")</f>
        <v/>
      </c>
      <c r="P1626" s="66">
        <f>IF(V1626="","",IFERROR(INDEX(coa_Type,MATCH(V1626,coa_Name,0)),""))</f>
        <v/>
      </c>
      <c r="Q1626" s="66">
        <f>IF(Z1626=1,IF(U1626="In",K1626&amp;"",V1626),"")</f>
        <v/>
      </c>
      <c r="R1626" s="66">
        <f>IF(Z1626=1,IF(U1626="In",V1626,K1626&amp;""),"")</f>
        <v/>
      </c>
      <c r="S1626" s="66">
        <f>IF(X1626&lt;&gt;"","⛔ "&amp;X1626&amp;" — not posted",IF(Y1626&lt;&gt;"","⚠ "&amp;Y1626,IF(Z1626=1,"✓ OK","")))</f>
        <v/>
      </c>
      <c r="T1626" s="67">
        <f>IF(AND(C1626="",D1626="",E1626="",L1626="",K1626=""),1,0)</f>
        <v/>
      </c>
      <c r="U1626" s="67">
        <f>IFERROR(INDEX(tt_Dir,MATCH(D1626,tt_Type,0)),"")</f>
        <v/>
      </c>
      <c r="V1626" s="67">
        <f>IF(D1626="","",IFERROR(IF(INDEX(tt_Other,MATCH(D1626,tt_Type,0))="",E1626&amp;"",INDEX(tt_Other,MATCH(D1626,tt_Type,0))),""))</f>
        <v/>
      </c>
      <c r="W1626" s="68">
        <f>IF(OR(TaxOn&lt;&gt;"Yes",NOT(ISNUMBER(M1626))),0,IF(IFERROR(INDEX(tt_Tax,MATCH(D1626,tt_Type,0)),"No")="Yes",M1626,0))</f>
        <v/>
      </c>
      <c r="X1626" s="67">
        <f>IF(T1626=1,"",IF(C1626="","Missing transaction date",IF(NOT(ISNUMBER(C1626)),"Invalid date",IF(OR(C1626&lt;DATE(2000,1,1),C1626&gt;DATE(2099,12,31)),"Invalid date",IF(D1626="","Select a type",IF(U1626="","Unknown type: "&amp;D1626,IF(V1626="","Select an account (Category)",IF(ISNA(MATCH(V1626,coa_Name,0)),"Unknown account: "&amp;V1626,IF(K1626="","Select Paid From / Deposited To",IF(ISNA(MATCH(K1626,coa_Name,0)),"Unknown account: "&amp;K1626,IF(NOT(ISNUMBER(L1626)),"Enter an amount",IF(L1626=0,"Enter an amount",IF(ABS(W1626)&gt;ABS(L1626),"Tax is larger than the amount","")))))))))))))</f>
        <v/>
      </c>
      <c r="Y1626" s="67">
        <f>IF(OR(T1626=1,X1626&lt;&gt;""),"",IF(AND(B1626&lt;&gt;"",COUNTIF(tx_ID,B1626)&gt;1),"Duplicate transaction ID",IF(AND(L1626&lt;0,D1626&lt;&gt;"Adjustment"),"Negative amount — check this entry",IF(AND(D1626="Customer Payment",G1626=""),"Add the customer",IF(AND(D1626="Customer Payment",OR(J1626="",COUNTIF(ar_No,J1626&amp;"")=0)),"Invoice # in Reference not found on AR sheet",IF(AND(D1626="Bill Payment",H1626=""),"Add the vendor",IF(AND(D1626="Bill Payment",OR(J1626="",COUNTIFS(ap_No,J1626&amp;"",ap_Party,H1626&amp;"")=0)),"Bill # + vendor not found on AP sheet",IF(AND(ISNUMBER(M1626),N(M1626)&lt;&gt;0,W1626=0),"Tax ignored (tax tracking off, or not allowed for this type)",IF(V1626=K1626&amp;"","Same account on both sides",IF(AND(ISNUMBER(StartDate),C1626&lt;StartDate),"Date is before the accounting start date",IF(AND(D1626&lt;&gt;"Adjustment",IFERROR(INDEX(coa_Pay,MATCH(K1626&amp;"",coa_Name,0)),"")&lt;&gt;"Yes"),"Paid From / Deposited To is not a payment account","")))))))))))</f>
        <v/>
      </c>
      <c r="Z1626" s="67">
        <f>IF(AND(T1626=0,X1626=""),1,0)</f>
        <v/>
      </c>
      <c r="AA1626" s="68">
        <f>IF(Z1626=1,IF(U1626="In",L1626,L1626-W1626),0)</f>
        <v/>
      </c>
      <c r="AB1626" s="68">
        <f>IF(Z1626=1,IF(U1626="In",L1626-W1626,L1626),0)</f>
        <v/>
      </c>
      <c r="AC1626" s="68">
        <f>IF(AND(Z1626=1,U1626="Out"),W1626,0)</f>
        <v/>
      </c>
      <c r="AD1626" s="68">
        <f>IF(AND(Z1626=1,U1626="In"),W1626,0)</f>
        <v/>
      </c>
    </row>
    <row r="1627">
      <c r="B1627" s="62" t="inlineStr">
        <is>
          <t>TX-1621</t>
        </is>
      </c>
      <c r="C1627" s="63" t="n"/>
      <c r="D1627" s="62" t="n"/>
      <c r="E1627" s="62" t="n"/>
      <c r="F1627" s="62" t="n"/>
      <c r="G1627" s="62" t="n"/>
      <c r="H1627" s="62" t="n"/>
      <c r="I1627" s="62" t="n"/>
      <c r="J1627" s="62" t="n"/>
      <c r="K1627" s="62" t="n"/>
      <c r="L1627" s="64" t="n"/>
      <c r="M1627" s="64" t="n"/>
      <c r="N1627" s="62" t="n"/>
      <c r="O1627" s="65">
        <f>IF(Z1627=1,L1627-W1627,"")</f>
        <v/>
      </c>
      <c r="P1627" s="66">
        <f>IF(V1627="","",IFERROR(INDEX(coa_Type,MATCH(V1627,coa_Name,0)),""))</f>
        <v/>
      </c>
      <c r="Q1627" s="66">
        <f>IF(Z1627=1,IF(U1627="In",K1627&amp;"",V1627),"")</f>
        <v/>
      </c>
      <c r="R1627" s="66">
        <f>IF(Z1627=1,IF(U1627="In",V1627,K1627&amp;""),"")</f>
        <v/>
      </c>
      <c r="S1627" s="66">
        <f>IF(X1627&lt;&gt;"","⛔ "&amp;X1627&amp;" — not posted",IF(Y1627&lt;&gt;"","⚠ "&amp;Y1627,IF(Z1627=1,"✓ OK","")))</f>
        <v/>
      </c>
      <c r="T1627" s="67">
        <f>IF(AND(C1627="",D1627="",E1627="",L1627="",K1627=""),1,0)</f>
        <v/>
      </c>
      <c r="U1627" s="67">
        <f>IFERROR(INDEX(tt_Dir,MATCH(D1627,tt_Type,0)),"")</f>
        <v/>
      </c>
      <c r="V1627" s="67">
        <f>IF(D1627="","",IFERROR(IF(INDEX(tt_Other,MATCH(D1627,tt_Type,0))="",E1627&amp;"",INDEX(tt_Other,MATCH(D1627,tt_Type,0))),""))</f>
        <v/>
      </c>
      <c r="W1627" s="68">
        <f>IF(OR(TaxOn&lt;&gt;"Yes",NOT(ISNUMBER(M1627))),0,IF(IFERROR(INDEX(tt_Tax,MATCH(D1627,tt_Type,0)),"No")="Yes",M1627,0))</f>
        <v/>
      </c>
      <c r="X1627" s="67">
        <f>IF(T1627=1,"",IF(C1627="","Missing transaction date",IF(NOT(ISNUMBER(C1627)),"Invalid date",IF(OR(C1627&lt;DATE(2000,1,1),C1627&gt;DATE(2099,12,31)),"Invalid date",IF(D1627="","Select a type",IF(U1627="","Unknown type: "&amp;D1627,IF(V1627="","Select an account (Category)",IF(ISNA(MATCH(V1627,coa_Name,0)),"Unknown account: "&amp;V1627,IF(K1627="","Select Paid From / Deposited To",IF(ISNA(MATCH(K1627,coa_Name,0)),"Unknown account: "&amp;K1627,IF(NOT(ISNUMBER(L1627)),"Enter an amount",IF(L1627=0,"Enter an amount",IF(ABS(W1627)&gt;ABS(L1627),"Tax is larger than the amount","")))))))))))))</f>
        <v/>
      </c>
      <c r="Y1627" s="67">
        <f>IF(OR(T1627=1,X1627&lt;&gt;""),"",IF(AND(B1627&lt;&gt;"",COUNTIF(tx_ID,B1627)&gt;1),"Duplicate transaction ID",IF(AND(L1627&lt;0,D1627&lt;&gt;"Adjustment"),"Negative amount — check this entry",IF(AND(D1627="Customer Payment",G1627=""),"Add the customer",IF(AND(D1627="Customer Payment",OR(J1627="",COUNTIF(ar_No,J1627&amp;"")=0)),"Invoice # in Reference not found on AR sheet",IF(AND(D1627="Bill Payment",H1627=""),"Add the vendor",IF(AND(D1627="Bill Payment",OR(J1627="",COUNTIFS(ap_No,J1627&amp;"",ap_Party,H1627&amp;"")=0)),"Bill # + vendor not found on AP sheet",IF(AND(ISNUMBER(M1627),N(M1627)&lt;&gt;0,W1627=0),"Tax ignored (tax tracking off, or not allowed for this type)",IF(V1627=K1627&amp;"","Same account on both sides",IF(AND(ISNUMBER(StartDate),C1627&lt;StartDate),"Date is before the accounting start date",IF(AND(D1627&lt;&gt;"Adjustment",IFERROR(INDEX(coa_Pay,MATCH(K1627&amp;"",coa_Name,0)),"")&lt;&gt;"Yes"),"Paid From / Deposited To is not a payment account","")))))))))))</f>
        <v/>
      </c>
      <c r="Z1627" s="67">
        <f>IF(AND(T1627=0,X1627=""),1,0)</f>
        <v/>
      </c>
      <c r="AA1627" s="68">
        <f>IF(Z1627=1,IF(U1627="In",L1627,L1627-W1627),0)</f>
        <v/>
      </c>
      <c r="AB1627" s="68">
        <f>IF(Z1627=1,IF(U1627="In",L1627-W1627,L1627),0)</f>
        <v/>
      </c>
      <c r="AC1627" s="68">
        <f>IF(AND(Z1627=1,U1627="Out"),W1627,0)</f>
        <v/>
      </c>
      <c r="AD1627" s="68">
        <f>IF(AND(Z1627=1,U1627="In"),W1627,0)</f>
        <v/>
      </c>
    </row>
    <row r="1628">
      <c r="B1628" s="62" t="inlineStr">
        <is>
          <t>TX-1622</t>
        </is>
      </c>
      <c r="C1628" s="63" t="n"/>
      <c r="D1628" s="62" t="n"/>
      <c r="E1628" s="62" t="n"/>
      <c r="F1628" s="62" t="n"/>
      <c r="G1628" s="62" t="n"/>
      <c r="H1628" s="62" t="n"/>
      <c r="I1628" s="62" t="n"/>
      <c r="J1628" s="62" t="n"/>
      <c r="K1628" s="62" t="n"/>
      <c r="L1628" s="64" t="n"/>
      <c r="M1628" s="64" t="n"/>
      <c r="N1628" s="62" t="n"/>
      <c r="O1628" s="65">
        <f>IF(Z1628=1,L1628-W1628,"")</f>
        <v/>
      </c>
      <c r="P1628" s="66">
        <f>IF(V1628="","",IFERROR(INDEX(coa_Type,MATCH(V1628,coa_Name,0)),""))</f>
        <v/>
      </c>
      <c r="Q1628" s="66">
        <f>IF(Z1628=1,IF(U1628="In",K1628&amp;"",V1628),"")</f>
        <v/>
      </c>
      <c r="R1628" s="66">
        <f>IF(Z1628=1,IF(U1628="In",V1628,K1628&amp;""),"")</f>
        <v/>
      </c>
      <c r="S1628" s="66">
        <f>IF(X1628&lt;&gt;"","⛔ "&amp;X1628&amp;" — not posted",IF(Y1628&lt;&gt;"","⚠ "&amp;Y1628,IF(Z1628=1,"✓ OK","")))</f>
        <v/>
      </c>
      <c r="T1628" s="67">
        <f>IF(AND(C1628="",D1628="",E1628="",L1628="",K1628=""),1,0)</f>
        <v/>
      </c>
      <c r="U1628" s="67">
        <f>IFERROR(INDEX(tt_Dir,MATCH(D1628,tt_Type,0)),"")</f>
        <v/>
      </c>
      <c r="V1628" s="67">
        <f>IF(D1628="","",IFERROR(IF(INDEX(tt_Other,MATCH(D1628,tt_Type,0))="",E1628&amp;"",INDEX(tt_Other,MATCH(D1628,tt_Type,0))),""))</f>
        <v/>
      </c>
      <c r="W1628" s="68">
        <f>IF(OR(TaxOn&lt;&gt;"Yes",NOT(ISNUMBER(M1628))),0,IF(IFERROR(INDEX(tt_Tax,MATCH(D1628,tt_Type,0)),"No")="Yes",M1628,0))</f>
        <v/>
      </c>
      <c r="X1628" s="67">
        <f>IF(T1628=1,"",IF(C1628="","Missing transaction date",IF(NOT(ISNUMBER(C1628)),"Invalid date",IF(OR(C1628&lt;DATE(2000,1,1),C1628&gt;DATE(2099,12,31)),"Invalid date",IF(D1628="","Select a type",IF(U1628="","Unknown type: "&amp;D1628,IF(V1628="","Select an account (Category)",IF(ISNA(MATCH(V1628,coa_Name,0)),"Unknown account: "&amp;V1628,IF(K1628="","Select Paid From / Deposited To",IF(ISNA(MATCH(K1628,coa_Name,0)),"Unknown account: "&amp;K1628,IF(NOT(ISNUMBER(L1628)),"Enter an amount",IF(L1628=0,"Enter an amount",IF(ABS(W1628)&gt;ABS(L1628),"Tax is larger than the amount","")))))))))))))</f>
        <v/>
      </c>
      <c r="Y1628" s="67">
        <f>IF(OR(T1628=1,X1628&lt;&gt;""),"",IF(AND(B1628&lt;&gt;"",COUNTIF(tx_ID,B1628)&gt;1),"Duplicate transaction ID",IF(AND(L1628&lt;0,D1628&lt;&gt;"Adjustment"),"Negative amount — check this entry",IF(AND(D1628="Customer Payment",G1628=""),"Add the customer",IF(AND(D1628="Customer Payment",OR(J1628="",COUNTIF(ar_No,J1628&amp;"")=0)),"Invoice # in Reference not found on AR sheet",IF(AND(D1628="Bill Payment",H1628=""),"Add the vendor",IF(AND(D1628="Bill Payment",OR(J1628="",COUNTIFS(ap_No,J1628&amp;"",ap_Party,H1628&amp;"")=0)),"Bill # + vendor not found on AP sheet",IF(AND(ISNUMBER(M1628),N(M1628)&lt;&gt;0,W1628=0),"Tax ignored (tax tracking off, or not allowed for this type)",IF(V1628=K1628&amp;"","Same account on both sides",IF(AND(ISNUMBER(StartDate),C1628&lt;StartDate),"Date is before the accounting start date",IF(AND(D1628&lt;&gt;"Adjustment",IFERROR(INDEX(coa_Pay,MATCH(K1628&amp;"",coa_Name,0)),"")&lt;&gt;"Yes"),"Paid From / Deposited To is not a payment account","")))))))))))</f>
        <v/>
      </c>
      <c r="Z1628" s="67">
        <f>IF(AND(T1628=0,X1628=""),1,0)</f>
        <v/>
      </c>
      <c r="AA1628" s="68">
        <f>IF(Z1628=1,IF(U1628="In",L1628,L1628-W1628),0)</f>
        <v/>
      </c>
      <c r="AB1628" s="68">
        <f>IF(Z1628=1,IF(U1628="In",L1628-W1628,L1628),0)</f>
        <v/>
      </c>
      <c r="AC1628" s="68">
        <f>IF(AND(Z1628=1,U1628="Out"),W1628,0)</f>
        <v/>
      </c>
      <c r="AD1628" s="68">
        <f>IF(AND(Z1628=1,U1628="In"),W1628,0)</f>
        <v/>
      </c>
    </row>
    <row r="1629">
      <c r="B1629" s="62" t="inlineStr">
        <is>
          <t>TX-1623</t>
        </is>
      </c>
      <c r="C1629" s="63" t="n"/>
      <c r="D1629" s="62" t="n"/>
      <c r="E1629" s="62" t="n"/>
      <c r="F1629" s="62" t="n"/>
      <c r="G1629" s="62" t="n"/>
      <c r="H1629" s="62" t="n"/>
      <c r="I1629" s="62" t="n"/>
      <c r="J1629" s="62" t="n"/>
      <c r="K1629" s="62" t="n"/>
      <c r="L1629" s="64" t="n"/>
      <c r="M1629" s="64" t="n"/>
      <c r="N1629" s="62" t="n"/>
      <c r="O1629" s="65">
        <f>IF(Z1629=1,L1629-W1629,"")</f>
        <v/>
      </c>
      <c r="P1629" s="66">
        <f>IF(V1629="","",IFERROR(INDEX(coa_Type,MATCH(V1629,coa_Name,0)),""))</f>
        <v/>
      </c>
      <c r="Q1629" s="66">
        <f>IF(Z1629=1,IF(U1629="In",K1629&amp;"",V1629),"")</f>
        <v/>
      </c>
      <c r="R1629" s="66">
        <f>IF(Z1629=1,IF(U1629="In",V1629,K1629&amp;""),"")</f>
        <v/>
      </c>
      <c r="S1629" s="66">
        <f>IF(X1629&lt;&gt;"","⛔ "&amp;X1629&amp;" — not posted",IF(Y1629&lt;&gt;"","⚠ "&amp;Y1629,IF(Z1629=1,"✓ OK","")))</f>
        <v/>
      </c>
      <c r="T1629" s="67">
        <f>IF(AND(C1629="",D1629="",E1629="",L1629="",K1629=""),1,0)</f>
        <v/>
      </c>
      <c r="U1629" s="67">
        <f>IFERROR(INDEX(tt_Dir,MATCH(D1629,tt_Type,0)),"")</f>
        <v/>
      </c>
      <c r="V1629" s="67">
        <f>IF(D1629="","",IFERROR(IF(INDEX(tt_Other,MATCH(D1629,tt_Type,0))="",E1629&amp;"",INDEX(tt_Other,MATCH(D1629,tt_Type,0))),""))</f>
        <v/>
      </c>
      <c r="W1629" s="68">
        <f>IF(OR(TaxOn&lt;&gt;"Yes",NOT(ISNUMBER(M1629))),0,IF(IFERROR(INDEX(tt_Tax,MATCH(D1629,tt_Type,0)),"No")="Yes",M1629,0))</f>
        <v/>
      </c>
      <c r="X1629" s="67">
        <f>IF(T1629=1,"",IF(C1629="","Missing transaction date",IF(NOT(ISNUMBER(C1629)),"Invalid date",IF(OR(C1629&lt;DATE(2000,1,1),C1629&gt;DATE(2099,12,31)),"Invalid date",IF(D1629="","Select a type",IF(U1629="","Unknown type: "&amp;D1629,IF(V1629="","Select an account (Category)",IF(ISNA(MATCH(V1629,coa_Name,0)),"Unknown account: "&amp;V1629,IF(K1629="","Select Paid From / Deposited To",IF(ISNA(MATCH(K1629,coa_Name,0)),"Unknown account: "&amp;K1629,IF(NOT(ISNUMBER(L1629)),"Enter an amount",IF(L1629=0,"Enter an amount",IF(ABS(W1629)&gt;ABS(L1629),"Tax is larger than the amount","")))))))))))))</f>
        <v/>
      </c>
      <c r="Y1629" s="67">
        <f>IF(OR(T1629=1,X1629&lt;&gt;""),"",IF(AND(B1629&lt;&gt;"",COUNTIF(tx_ID,B1629)&gt;1),"Duplicate transaction ID",IF(AND(L1629&lt;0,D1629&lt;&gt;"Adjustment"),"Negative amount — check this entry",IF(AND(D1629="Customer Payment",G1629=""),"Add the customer",IF(AND(D1629="Customer Payment",OR(J1629="",COUNTIF(ar_No,J1629&amp;"")=0)),"Invoice # in Reference not found on AR sheet",IF(AND(D1629="Bill Payment",H1629=""),"Add the vendor",IF(AND(D1629="Bill Payment",OR(J1629="",COUNTIFS(ap_No,J1629&amp;"",ap_Party,H1629&amp;"")=0)),"Bill # + vendor not found on AP sheet",IF(AND(ISNUMBER(M1629),N(M1629)&lt;&gt;0,W1629=0),"Tax ignored (tax tracking off, or not allowed for this type)",IF(V1629=K1629&amp;"","Same account on both sides",IF(AND(ISNUMBER(StartDate),C1629&lt;StartDate),"Date is before the accounting start date",IF(AND(D1629&lt;&gt;"Adjustment",IFERROR(INDEX(coa_Pay,MATCH(K1629&amp;"",coa_Name,0)),"")&lt;&gt;"Yes"),"Paid From / Deposited To is not a payment account","")))))))))))</f>
        <v/>
      </c>
      <c r="Z1629" s="67">
        <f>IF(AND(T1629=0,X1629=""),1,0)</f>
        <v/>
      </c>
      <c r="AA1629" s="68">
        <f>IF(Z1629=1,IF(U1629="In",L1629,L1629-W1629),0)</f>
        <v/>
      </c>
      <c r="AB1629" s="68">
        <f>IF(Z1629=1,IF(U1629="In",L1629-W1629,L1629),0)</f>
        <v/>
      </c>
      <c r="AC1629" s="68">
        <f>IF(AND(Z1629=1,U1629="Out"),W1629,0)</f>
        <v/>
      </c>
      <c r="AD1629" s="68">
        <f>IF(AND(Z1629=1,U1629="In"),W1629,0)</f>
        <v/>
      </c>
    </row>
    <row r="1630">
      <c r="B1630" s="62" t="inlineStr">
        <is>
          <t>TX-1624</t>
        </is>
      </c>
      <c r="C1630" s="63" t="n"/>
      <c r="D1630" s="62" t="n"/>
      <c r="E1630" s="62" t="n"/>
      <c r="F1630" s="62" t="n"/>
      <c r="G1630" s="62" t="n"/>
      <c r="H1630" s="62" t="n"/>
      <c r="I1630" s="62" t="n"/>
      <c r="J1630" s="62" t="n"/>
      <c r="K1630" s="62" t="n"/>
      <c r="L1630" s="64" t="n"/>
      <c r="M1630" s="64" t="n"/>
      <c r="N1630" s="62" t="n"/>
      <c r="O1630" s="65">
        <f>IF(Z1630=1,L1630-W1630,"")</f>
        <v/>
      </c>
      <c r="P1630" s="66">
        <f>IF(V1630="","",IFERROR(INDEX(coa_Type,MATCH(V1630,coa_Name,0)),""))</f>
        <v/>
      </c>
      <c r="Q1630" s="66">
        <f>IF(Z1630=1,IF(U1630="In",K1630&amp;"",V1630),"")</f>
        <v/>
      </c>
      <c r="R1630" s="66">
        <f>IF(Z1630=1,IF(U1630="In",V1630,K1630&amp;""),"")</f>
        <v/>
      </c>
      <c r="S1630" s="66">
        <f>IF(X1630&lt;&gt;"","⛔ "&amp;X1630&amp;" — not posted",IF(Y1630&lt;&gt;"","⚠ "&amp;Y1630,IF(Z1630=1,"✓ OK","")))</f>
        <v/>
      </c>
      <c r="T1630" s="67">
        <f>IF(AND(C1630="",D1630="",E1630="",L1630="",K1630=""),1,0)</f>
        <v/>
      </c>
      <c r="U1630" s="67">
        <f>IFERROR(INDEX(tt_Dir,MATCH(D1630,tt_Type,0)),"")</f>
        <v/>
      </c>
      <c r="V1630" s="67">
        <f>IF(D1630="","",IFERROR(IF(INDEX(tt_Other,MATCH(D1630,tt_Type,0))="",E1630&amp;"",INDEX(tt_Other,MATCH(D1630,tt_Type,0))),""))</f>
        <v/>
      </c>
      <c r="W1630" s="68">
        <f>IF(OR(TaxOn&lt;&gt;"Yes",NOT(ISNUMBER(M1630))),0,IF(IFERROR(INDEX(tt_Tax,MATCH(D1630,tt_Type,0)),"No")="Yes",M1630,0))</f>
        <v/>
      </c>
      <c r="X1630" s="67">
        <f>IF(T1630=1,"",IF(C1630="","Missing transaction date",IF(NOT(ISNUMBER(C1630)),"Invalid date",IF(OR(C1630&lt;DATE(2000,1,1),C1630&gt;DATE(2099,12,31)),"Invalid date",IF(D1630="","Select a type",IF(U1630="","Unknown type: "&amp;D1630,IF(V1630="","Select an account (Category)",IF(ISNA(MATCH(V1630,coa_Name,0)),"Unknown account: "&amp;V1630,IF(K1630="","Select Paid From / Deposited To",IF(ISNA(MATCH(K1630,coa_Name,0)),"Unknown account: "&amp;K1630,IF(NOT(ISNUMBER(L1630)),"Enter an amount",IF(L1630=0,"Enter an amount",IF(ABS(W1630)&gt;ABS(L1630),"Tax is larger than the amount","")))))))))))))</f>
        <v/>
      </c>
      <c r="Y1630" s="67">
        <f>IF(OR(T1630=1,X1630&lt;&gt;""),"",IF(AND(B1630&lt;&gt;"",COUNTIF(tx_ID,B1630)&gt;1),"Duplicate transaction ID",IF(AND(L1630&lt;0,D1630&lt;&gt;"Adjustment"),"Negative amount — check this entry",IF(AND(D1630="Customer Payment",G1630=""),"Add the customer",IF(AND(D1630="Customer Payment",OR(J1630="",COUNTIF(ar_No,J1630&amp;"")=0)),"Invoice # in Reference not found on AR sheet",IF(AND(D1630="Bill Payment",H1630=""),"Add the vendor",IF(AND(D1630="Bill Payment",OR(J1630="",COUNTIFS(ap_No,J1630&amp;"",ap_Party,H1630&amp;"")=0)),"Bill # + vendor not found on AP sheet",IF(AND(ISNUMBER(M1630),N(M1630)&lt;&gt;0,W1630=0),"Tax ignored (tax tracking off, or not allowed for this type)",IF(V1630=K1630&amp;"","Same account on both sides",IF(AND(ISNUMBER(StartDate),C1630&lt;StartDate),"Date is before the accounting start date",IF(AND(D1630&lt;&gt;"Adjustment",IFERROR(INDEX(coa_Pay,MATCH(K1630&amp;"",coa_Name,0)),"")&lt;&gt;"Yes"),"Paid From / Deposited To is not a payment account","")))))))))))</f>
        <v/>
      </c>
      <c r="Z1630" s="67">
        <f>IF(AND(T1630=0,X1630=""),1,0)</f>
        <v/>
      </c>
      <c r="AA1630" s="68">
        <f>IF(Z1630=1,IF(U1630="In",L1630,L1630-W1630),0)</f>
        <v/>
      </c>
      <c r="AB1630" s="68">
        <f>IF(Z1630=1,IF(U1630="In",L1630-W1630,L1630),0)</f>
        <v/>
      </c>
      <c r="AC1630" s="68">
        <f>IF(AND(Z1630=1,U1630="Out"),W1630,0)</f>
        <v/>
      </c>
      <c r="AD1630" s="68">
        <f>IF(AND(Z1630=1,U1630="In"),W1630,0)</f>
        <v/>
      </c>
    </row>
    <row r="1631">
      <c r="B1631" s="62" t="inlineStr">
        <is>
          <t>TX-1625</t>
        </is>
      </c>
      <c r="C1631" s="63" t="n"/>
      <c r="D1631" s="62" t="n"/>
      <c r="E1631" s="62" t="n"/>
      <c r="F1631" s="62" t="n"/>
      <c r="G1631" s="62" t="n"/>
      <c r="H1631" s="62" t="n"/>
      <c r="I1631" s="62" t="n"/>
      <c r="J1631" s="62" t="n"/>
      <c r="K1631" s="62" t="n"/>
      <c r="L1631" s="64" t="n"/>
      <c r="M1631" s="64" t="n"/>
      <c r="N1631" s="62" t="n"/>
      <c r="O1631" s="65">
        <f>IF(Z1631=1,L1631-W1631,"")</f>
        <v/>
      </c>
      <c r="P1631" s="66">
        <f>IF(V1631="","",IFERROR(INDEX(coa_Type,MATCH(V1631,coa_Name,0)),""))</f>
        <v/>
      </c>
      <c r="Q1631" s="66">
        <f>IF(Z1631=1,IF(U1631="In",K1631&amp;"",V1631),"")</f>
        <v/>
      </c>
      <c r="R1631" s="66">
        <f>IF(Z1631=1,IF(U1631="In",V1631,K1631&amp;""),"")</f>
        <v/>
      </c>
      <c r="S1631" s="66">
        <f>IF(X1631&lt;&gt;"","⛔ "&amp;X1631&amp;" — not posted",IF(Y1631&lt;&gt;"","⚠ "&amp;Y1631,IF(Z1631=1,"✓ OK","")))</f>
        <v/>
      </c>
      <c r="T1631" s="67">
        <f>IF(AND(C1631="",D1631="",E1631="",L1631="",K1631=""),1,0)</f>
        <v/>
      </c>
      <c r="U1631" s="67">
        <f>IFERROR(INDEX(tt_Dir,MATCH(D1631,tt_Type,0)),"")</f>
        <v/>
      </c>
      <c r="V1631" s="67">
        <f>IF(D1631="","",IFERROR(IF(INDEX(tt_Other,MATCH(D1631,tt_Type,0))="",E1631&amp;"",INDEX(tt_Other,MATCH(D1631,tt_Type,0))),""))</f>
        <v/>
      </c>
      <c r="W1631" s="68">
        <f>IF(OR(TaxOn&lt;&gt;"Yes",NOT(ISNUMBER(M1631))),0,IF(IFERROR(INDEX(tt_Tax,MATCH(D1631,tt_Type,0)),"No")="Yes",M1631,0))</f>
        <v/>
      </c>
      <c r="X1631" s="67">
        <f>IF(T1631=1,"",IF(C1631="","Missing transaction date",IF(NOT(ISNUMBER(C1631)),"Invalid date",IF(OR(C1631&lt;DATE(2000,1,1),C1631&gt;DATE(2099,12,31)),"Invalid date",IF(D1631="","Select a type",IF(U1631="","Unknown type: "&amp;D1631,IF(V1631="","Select an account (Category)",IF(ISNA(MATCH(V1631,coa_Name,0)),"Unknown account: "&amp;V1631,IF(K1631="","Select Paid From / Deposited To",IF(ISNA(MATCH(K1631,coa_Name,0)),"Unknown account: "&amp;K1631,IF(NOT(ISNUMBER(L1631)),"Enter an amount",IF(L1631=0,"Enter an amount",IF(ABS(W1631)&gt;ABS(L1631),"Tax is larger than the amount","")))))))))))))</f>
        <v/>
      </c>
      <c r="Y1631" s="67">
        <f>IF(OR(T1631=1,X1631&lt;&gt;""),"",IF(AND(B1631&lt;&gt;"",COUNTIF(tx_ID,B1631)&gt;1),"Duplicate transaction ID",IF(AND(L1631&lt;0,D1631&lt;&gt;"Adjustment"),"Negative amount — check this entry",IF(AND(D1631="Customer Payment",G1631=""),"Add the customer",IF(AND(D1631="Customer Payment",OR(J1631="",COUNTIF(ar_No,J1631&amp;"")=0)),"Invoice # in Reference not found on AR sheet",IF(AND(D1631="Bill Payment",H1631=""),"Add the vendor",IF(AND(D1631="Bill Payment",OR(J1631="",COUNTIFS(ap_No,J1631&amp;"",ap_Party,H1631&amp;"")=0)),"Bill # + vendor not found on AP sheet",IF(AND(ISNUMBER(M1631),N(M1631)&lt;&gt;0,W1631=0),"Tax ignored (tax tracking off, or not allowed for this type)",IF(V1631=K1631&amp;"","Same account on both sides",IF(AND(ISNUMBER(StartDate),C1631&lt;StartDate),"Date is before the accounting start date",IF(AND(D1631&lt;&gt;"Adjustment",IFERROR(INDEX(coa_Pay,MATCH(K1631&amp;"",coa_Name,0)),"")&lt;&gt;"Yes"),"Paid From / Deposited To is not a payment account","")))))))))))</f>
        <v/>
      </c>
      <c r="Z1631" s="67">
        <f>IF(AND(T1631=0,X1631=""),1,0)</f>
        <v/>
      </c>
      <c r="AA1631" s="68">
        <f>IF(Z1631=1,IF(U1631="In",L1631,L1631-W1631),0)</f>
        <v/>
      </c>
      <c r="AB1631" s="68">
        <f>IF(Z1631=1,IF(U1631="In",L1631-W1631,L1631),0)</f>
        <v/>
      </c>
      <c r="AC1631" s="68">
        <f>IF(AND(Z1631=1,U1631="Out"),W1631,0)</f>
        <v/>
      </c>
      <c r="AD1631" s="68">
        <f>IF(AND(Z1631=1,U1631="In"),W1631,0)</f>
        <v/>
      </c>
    </row>
    <row r="1632">
      <c r="B1632" s="62" t="inlineStr">
        <is>
          <t>TX-1626</t>
        </is>
      </c>
      <c r="C1632" s="63" t="n"/>
      <c r="D1632" s="62" t="n"/>
      <c r="E1632" s="62" t="n"/>
      <c r="F1632" s="62" t="n"/>
      <c r="G1632" s="62" t="n"/>
      <c r="H1632" s="62" t="n"/>
      <c r="I1632" s="62" t="n"/>
      <c r="J1632" s="62" t="n"/>
      <c r="K1632" s="62" t="n"/>
      <c r="L1632" s="64" t="n"/>
      <c r="M1632" s="64" t="n"/>
      <c r="N1632" s="62" t="n"/>
      <c r="O1632" s="65">
        <f>IF(Z1632=1,L1632-W1632,"")</f>
        <v/>
      </c>
      <c r="P1632" s="66">
        <f>IF(V1632="","",IFERROR(INDEX(coa_Type,MATCH(V1632,coa_Name,0)),""))</f>
        <v/>
      </c>
      <c r="Q1632" s="66">
        <f>IF(Z1632=1,IF(U1632="In",K1632&amp;"",V1632),"")</f>
        <v/>
      </c>
      <c r="R1632" s="66">
        <f>IF(Z1632=1,IF(U1632="In",V1632,K1632&amp;""),"")</f>
        <v/>
      </c>
      <c r="S1632" s="66">
        <f>IF(X1632&lt;&gt;"","⛔ "&amp;X1632&amp;" — not posted",IF(Y1632&lt;&gt;"","⚠ "&amp;Y1632,IF(Z1632=1,"✓ OK","")))</f>
        <v/>
      </c>
      <c r="T1632" s="67">
        <f>IF(AND(C1632="",D1632="",E1632="",L1632="",K1632=""),1,0)</f>
        <v/>
      </c>
      <c r="U1632" s="67">
        <f>IFERROR(INDEX(tt_Dir,MATCH(D1632,tt_Type,0)),"")</f>
        <v/>
      </c>
      <c r="V1632" s="67">
        <f>IF(D1632="","",IFERROR(IF(INDEX(tt_Other,MATCH(D1632,tt_Type,0))="",E1632&amp;"",INDEX(tt_Other,MATCH(D1632,tt_Type,0))),""))</f>
        <v/>
      </c>
      <c r="W1632" s="68">
        <f>IF(OR(TaxOn&lt;&gt;"Yes",NOT(ISNUMBER(M1632))),0,IF(IFERROR(INDEX(tt_Tax,MATCH(D1632,tt_Type,0)),"No")="Yes",M1632,0))</f>
        <v/>
      </c>
      <c r="X1632" s="67">
        <f>IF(T1632=1,"",IF(C1632="","Missing transaction date",IF(NOT(ISNUMBER(C1632)),"Invalid date",IF(OR(C1632&lt;DATE(2000,1,1),C1632&gt;DATE(2099,12,31)),"Invalid date",IF(D1632="","Select a type",IF(U1632="","Unknown type: "&amp;D1632,IF(V1632="","Select an account (Category)",IF(ISNA(MATCH(V1632,coa_Name,0)),"Unknown account: "&amp;V1632,IF(K1632="","Select Paid From / Deposited To",IF(ISNA(MATCH(K1632,coa_Name,0)),"Unknown account: "&amp;K1632,IF(NOT(ISNUMBER(L1632)),"Enter an amount",IF(L1632=0,"Enter an amount",IF(ABS(W1632)&gt;ABS(L1632),"Tax is larger than the amount","")))))))))))))</f>
        <v/>
      </c>
      <c r="Y1632" s="67">
        <f>IF(OR(T1632=1,X1632&lt;&gt;""),"",IF(AND(B1632&lt;&gt;"",COUNTIF(tx_ID,B1632)&gt;1),"Duplicate transaction ID",IF(AND(L1632&lt;0,D1632&lt;&gt;"Adjustment"),"Negative amount — check this entry",IF(AND(D1632="Customer Payment",G1632=""),"Add the customer",IF(AND(D1632="Customer Payment",OR(J1632="",COUNTIF(ar_No,J1632&amp;"")=0)),"Invoice # in Reference not found on AR sheet",IF(AND(D1632="Bill Payment",H1632=""),"Add the vendor",IF(AND(D1632="Bill Payment",OR(J1632="",COUNTIFS(ap_No,J1632&amp;"",ap_Party,H1632&amp;"")=0)),"Bill # + vendor not found on AP sheet",IF(AND(ISNUMBER(M1632),N(M1632)&lt;&gt;0,W1632=0),"Tax ignored (tax tracking off, or not allowed for this type)",IF(V1632=K1632&amp;"","Same account on both sides",IF(AND(ISNUMBER(StartDate),C1632&lt;StartDate),"Date is before the accounting start date",IF(AND(D1632&lt;&gt;"Adjustment",IFERROR(INDEX(coa_Pay,MATCH(K1632&amp;"",coa_Name,0)),"")&lt;&gt;"Yes"),"Paid From / Deposited To is not a payment account","")))))))))))</f>
        <v/>
      </c>
      <c r="Z1632" s="67">
        <f>IF(AND(T1632=0,X1632=""),1,0)</f>
        <v/>
      </c>
      <c r="AA1632" s="68">
        <f>IF(Z1632=1,IF(U1632="In",L1632,L1632-W1632),0)</f>
        <v/>
      </c>
      <c r="AB1632" s="68">
        <f>IF(Z1632=1,IF(U1632="In",L1632-W1632,L1632),0)</f>
        <v/>
      </c>
      <c r="AC1632" s="68">
        <f>IF(AND(Z1632=1,U1632="Out"),W1632,0)</f>
        <v/>
      </c>
      <c r="AD1632" s="68">
        <f>IF(AND(Z1632=1,U1632="In"),W1632,0)</f>
        <v/>
      </c>
    </row>
    <row r="1633">
      <c r="B1633" s="62" t="inlineStr">
        <is>
          <t>TX-1627</t>
        </is>
      </c>
      <c r="C1633" s="63" t="n"/>
      <c r="D1633" s="62" t="n"/>
      <c r="E1633" s="62" t="n"/>
      <c r="F1633" s="62" t="n"/>
      <c r="G1633" s="62" t="n"/>
      <c r="H1633" s="62" t="n"/>
      <c r="I1633" s="62" t="n"/>
      <c r="J1633" s="62" t="n"/>
      <c r="K1633" s="62" t="n"/>
      <c r="L1633" s="64" t="n"/>
      <c r="M1633" s="64" t="n"/>
      <c r="N1633" s="62" t="n"/>
      <c r="O1633" s="65">
        <f>IF(Z1633=1,L1633-W1633,"")</f>
        <v/>
      </c>
      <c r="P1633" s="66">
        <f>IF(V1633="","",IFERROR(INDEX(coa_Type,MATCH(V1633,coa_Name,0)),""))</f>
        <v/>
      </c>
      <c r="Q1633" s="66">
        <f>IF(Z1633=1,IF(U1633="In",K1633&amp;"",V1633),"")</f>
        <v/>
      </c>
      <c r="R1633" s="66">
        <f>IF(Z1633=1,IF(U1633="In",V1633,K1633&amp;""),"")</f>
        <v/>
      </c>
      <c r="S1633" s="66">
        <f>IF(X1633&lt;&gt;"","⛔ "&amp;X1633&amp;" — not posted",IF(Y1633&lt;&gt;"","⚠ "&amp;Y1633,IF(Z1633=1,"✓ OK","")))</f>
        <v/>
      </c>
      <c r="T1633" s="67">
        <f>IF(AND(C1633="",D1633="",E1633="",L1633="",K1633=""),1,0)</f>
        <v/>
      </c>
      <c r="U1633" s="67">
        <f>IFERROR(INDEX(tt_Dir,MATCH(D1633,tt_Type,0)),"")</f>
        <v/>
      </c>
      <c r="V1633" s="67">
        <f>IF(D1633="","",IFERROR(IF(INDEX(tt_Other,MATCH(D1633,tt_Type,0))="",E1633&amp;"",INDEX(tt_Other,MATCH(D1633,tt_Type,0))),""))</f>
        <v/>
      </c>
      <c r="W1633" s="68">
        <f>IF(OR(TaxOn&lt;&gt;"Yes",NOT(ISNUMBER(M1633))),0,IF(IFERROR(INDEX(tt_Tax,MATCH(D1633,tt_Type,0)),"No")="Yes",M1633,0))</f>
        <v/>
      </c>
      <c r="X1633" s="67">
        <f>IF(T1633=1,"",IF(C1633="","Missing transaction date",IF(NOT(ISNUMBER(C1633)),"Invalid date",IF(OR(C1633&lt;DATE(2000,1,1),C1633&gt;DATE(2099,12,31)),"Invalid date",IF(D1633="","Select a type",IF(U1633="","Unknown type: "&amp;D1633,IF(V1633="","Select an account (Category)",IF(ISNA(MATCH(V1633,coa_Name,0)),"Unknown account: "&amp;V1633,IF(K1633="","Select Paid From / Deposited To",IF(ISNA(MATCH(K1633,coa_Name,0)),"Unknown account: "&amp;K1633,IF(NOT(ISNUMBER(L1633)),"Enter an amount",IF(L1633=0,"Enter an amount",IF(ABS(W1633)&gt;ABS(L1633),"Tax is larger than the amount","")))))))))))))</f>
        <v/>
      </c>
      <c r="Y1633" s="67">
        <f>IF(OR(T1633=1,X1633&lt;&gt;""),"",IF(AND(B1633&lt;&gt;"",COUNTIF(tx_ID,B1633)&gt;1),"Duplicate transaction ID",IF(AND(L1633&lt;0,D1633&lt;&gt;"Adjustment"),"Negative amount — check this entry",IF(AND(D1633="Customer Payment",G1633=""),"Add the customer",IF(AND(D1633="Customer Payment",OR(J1633="",COUNTIF(ar_No,J1633&amp;"")=0)),"Invoice # in Reference not found on AR sheet",IF(AND(D1633="Bill Payment",H1633=""),"Add the vendor",IF(AND(D1633="Bill Payment",OR(J1633="",COUNTIFS(ap_No,J1633&amp;"",ap_Party,H1633&amp;"")=0)),"Bill # + vendor not found on AP sheet",IF(AND(ISNUMBER(M1633),N(M1633)&lt;&gt;0,W1633=0),"Tax ignored (tax tracking off, or not allowed for this type)",IF(V1633=K1633&amp;"","Same account on both sides",IF(AND(ISNUMBER(StartDate),C1633&lt;StartDate),"Date is before the accounting start date",IF(AND(D1633&lt;&gt;"Adjustment",IFERROR(INDEX(coa_Pay,MATCH(K1633&amp;"",coa_Name,0)),"")&lt;&gt;"Yes"),"Paid From / Deposited To is not a payment account","")))))))))))</f>
        <v/>
      </c>
      <c r="Z1633" s="67">
        <f>IF(AND(T1633=0,X1633=""),1,0)</f>
        <v/>
      </c>
      <c r="AA1633" s="68">
        <f>IF(Z1633=1,IF(U1633="In",L1633,L1633-W1633),0)</f>
        <v/>
      </c>
      <c r="AB1633" s="68">
        <f>IF(Z1633=1,IF(U1633="In",L1633-W1633,L1633),0)</f>
        <v/>
      </c>
      <c r="AC1633" s="68">
        <f>IF(AND(Z1633=1,U1633="Out"),W1633,0)</f>
        <v/>
      </c>
      <c r="AD1633" s="68">
        <f>IF(AND(Z1633=1,U1633="In"),W1633,0)</f>
        <v/>
      </c>
    </row>
    <row r="1634">
      <c r="B1634" s="62" t="inlineStr">
        <is>
          <t>TX-1628</t>
        </is>
      </c>
      <c r="C1634" s="63" t="n"/>
      <c r="D1634" s="62" t="n"/>
      <c r="E1634" s="62" t="n"/>
      <c r="F1634" s="62" t="n"/>
      <c r="G1634" s="62" t="n"/>
      <c r="H1634" s="62" t="n"/>
      <c r="I1634" s="62" t="n"/>
      <c r="J1634" s="62" t="n"/>
      <c r="K1634" s="62" t="n"/>
      <c r="L1634" s="64" t="n"/>
      <c r="M1634" s="64" t="n"/>
      <c r="N1634" s="62" t="n"/>
      <c r="O1634" s="65">
        <f>IF(Z1634=1,L1634-W1634,"")</f>
        <v/>
      </c>
      <c r="P1634" s="66">
        <f>IF(V1634="","",IFERROR(INDEX(coa_Type,MATCH(V1634,coa_Name,0)),""))</f>
        <v/>
      </c>
      <c r="Q1634" s="66">
        <f>IF(Z1634=1,IF(U1634="In",K1634&amp;"",V1634),"")</f>
        <v/>
      </c>
      <c r="R1634" s="66">
        <f>IF(Z1634=1,IF(U1634="In",V1634,K1634&amp;""),"")</f>
        <v/>
      </c>
      <c r="S1634" s="66">
        <f>IF(X1634&lt;&gt;"","⛔ "&amp;X1634&amp;" — not posted",IF(Y1634&lt;&gt;"","⚠ "&amp;Y1634,IF(Z1634=1,"✓ OK","")))</f>
        <v/>
      </c>
      <c r="T1634" s="67">
        <f>IF(AND(C1634="",D1634="",E1634="",L1634="",K1634=""),1,0)</f>
        <v/>
      </c>
      <c r="U1634" s="67">
        <f>IFERROR(INDEX(tt_Dir,MATCH(D1634,tt_Type,0)),"")</f>
        <v/>
      </c>
      <c r="V1634" s="67">
        <f>IF(D1634="","",IFERROR(IF(INDEX(tt_Other,MATCH(D1634,tt_Type,0))="",E1634&amp;"",INDEX(tt_Other,MATCH(D1634,tt_Type,0))),""))</f>
        <v/>
      </c>
      <c r="W1634" s="68">
        <f>IF(OR(TaxOn&lt;&gt;"Yes",NOT(ISNUMBER(M1634))),0,IF(IFERROR(INDEX(tt_Tax,MATCH(D1634,tt_Type,0)),"No")="Yes",M1634,0))</f>
        <v/>
      </c>
      <c r="X1634" s="67">
        <f>IF(T1634=1,"",IF(C1634="","Missing transaction date",IF(NOT(ISNUMBER(C1634)),"Invalid date",IF(OR(C1634&lt;DATE(2000,1,1),C1634&gt;DATE(2099,12,31)),"Invalid date",IF(D1634="","Select a type",IF(U1634="","Unknown type: "&amp;D1634,IF(V1634="","Select an account (Category)",IF(ISNA(MATCH(V1634,coa_Name,0)),"Unknown account: "&amp;V1634,IF(K1634="","Select Paid From / Deposited To",IF(ISNA(MATCH(K1634,coa_Name,0)),"Unknown account: "&amp;K1634,IF(NOT(ISNUMBER(L1634)),"Enter an amount",IF(L1634=0,"Enter an amount",IF(ABS(W1634)&gt;ABS(L1634),"Tax is larger than the amount","")))))))))))))</f>
        <v/>
      </c>
      <c r="Y1634" s="67">
        <f>IF(OR(T1634=1,X1634&lt;&gt;""),"",IF(AND(B1634&lt;&gt;"",COUNTIF(tx_ID,B1634)&gt;1),"Duplicate transaction ID",IF(AND(L1634&lt;0,D1634&lt;&gt;"Adjustment"),"Negative amount — check this entry",IF(AND(D1634="Customer Payment",G1634=""),"Add the customer",IF(AND(D1634="Customer Payment",OR(J1634="",COUNTIF(ar_No,J1634&amp;"")=0)),"Invoice # in Reference not found on AR sheet",IF(AND(D1634="Bill Payment",H1634=""),"Add the vendor",IF(AND(D1634="Bill Payment",OR(J1634="",COUNTIFS(ap_No,J1634&amp;"",ap_Party,H1634&amp;"")=0)),"Bill # + vendor not found on AP sheet",IF(AND(ISNUMBER(M1634),N(M1634)&lt;&gt;0,W1634=0),"Tax ignored (tax tracking off, or not allowed for this type)",IF(V1634=K1634&amp;"","Same account on both sides",IF(AND(ISNUMBER(StartDate),C1634&lt;StartDate),"Date is before the accounting start date",IF(AND(D1634&lt;&gt;"Adjustment",IFERROR(INDEX(coa_Pay,MATCH(K1634&amp;"",coa_Name,0)),"")&lt;&gt;"Yes"),"Paid From / Deposited To is not a payment account","")))))))))))</f>
        <v/>
      </c>
      <c r="Z1634" s="67">
        <f>IF(AND(T1634=0,X1634=""),1,0)</f>
        <v/>
      </c>
      <c r="AA1634" s="68">
        <f>IF(Z1634=1,IF(U1634="In",L1634,L1634-W1634),0)</f>
        <v/>
      </c>
      <c r="AB1634" s="68">
        <f>IF(Z1634=1,IF(U1634="In",L1634-W1634,L1634),0)</f>
        <v/>
      </c>
      <c r="AC1634" s="68">
        <f>IF(AND(Z1634=1,U1634="Out"),W1634,0)</f>
        <v/>
      </c>
      <c r="AD1634" s="68">
        <f>IF(AND(Z1634=1,U1634="In"),W1634,0)</f>
        <v/>
      </c>
    </row>
    <row r="1635">
      <c r="B1635" s="62" t="inlineStr">
        <is>
          <t>TX-1629</t>
        </is>
      </c>
      <c r="C1635" s="63" t="n"/>
      <c r="D1635" s="62" t="n"/>
      <c r="E1635" s="62" t="n"/>
      <c r="F1635" s="62" t="n"/>
      <c r="G1635" s="62" t="n"/>
      <c r="H1635" s="62" t="n"/>
      <c r="I1635" s="62" t="n"/>
      <c r="J1635" s="62" t="n"/>
      <c r="K1635" s="62" t="n"/>
      <c r="L1635" s="64" t="n"/>
      <c r="M1635" s="64" t="n"/>
      <c r="N1635" s="62" t="n"/>
      <c r="O1635" s="65">
        <f>IF(Z1635=1,L1635-W1635,"")</f>
        <v/>
      </c>
      <c r="P1635" s="66">
        <f>IF(V1635="","",IFERROR(INDEX(coa_Type,MATCH(V1635,coa_Name,0)),""))</f>
        <v/>
      </c>
      <c r="Q1635" s="66">
        <f>IF(Z1635=1,IF(U1635="In",K1635&amp;"",V1635),"")</f>
        <v/>
      </c>
      <c r="R1635" s="66">
        <f>IF(Z1635=1,IF(U1635="In",V1635,K1635&amp;""),"")</f>
        <v/>
      </c>
      <c r="S1635" s="66">
        <f>IF(X1635&lt;&gt;"","⛔ "&amp;X1635&amp;" — not posted",IF(Y1635&lt;&gt;"","⚠ "&amp;Y1635,IF(Z1635=1,"✓ OK","")))</f>
        <v/>
      </c>
      <c r="T1635" s="67">
        <f>IF(AND(C1635="",D1635="",E1635="",L1635="",K1635=""),1,0)</f>
        <v/>
      </c>
      <c r="U1635" s="67">
        <f>IFERROR(INDEX(tt_Dir,MATCH(D1635,tt_Type,0)),"")</f>
        <v/>
      </c>
      <c r="V1635" s="67">
        <f>IF(D1635="","",IFERROR(IF(INDEX(tt_Other,MATCH(D1635,tt_Type,0))="",E1635&amp;"",INDEX(tt_Other,MATCH(D1635,tt_Type,0))),""))</f>
        <v/>
      </c>
      <c r="W1635" s="68">
        <f>IF(OR(TaxOn&lt;&gt;"Yes",NOT(ISNUMBER(M1635))),0,IF(IFERROR(INDEX(tt_Tax,MATCH(D1635,tt_Type,0)),"No")="Yes",M1635,0))</f>
        <v/>
      </c>
      <c r="X1635" s="67">
        <f>IF(T1635=1,"",IF(C1635="","Missing transaction date",IF(NOT(ISNUMBER(C1635)),"Invalid date",IF(OR(C1635&lt;DATE(2000,1,1),C1635&gt;DATE(2099,12,31)),"Invalid date",IF(D1635="","Select a type",IF(U1635="","Unknown type: "&amp;D1635,IF(V1635="","Select an account (Category)",IF(ISNA(MATCH(V1635,coa_Name,0)),"Unknown account: "&amp;V1635,IF(K1635="","Select Paid From / Deposited To",IF(ISNA(MATCH(K1635,coa_Name,0)),"Unknown account: "&amp;K1635,IF(NOT(ISNUMBER(L1635)),"Enter an amount",IF(L1635=0,"Enter an amount",IF(ABS(W1635)&gt;ABS(L1635),"Tax is larger than the amount","")))))))))))))</f>
        <v/>
      </c>
      <c r="Y1635" s="67">
        <f>IF(OR(T1635=1,X1635&lt;&gt;""),"",IF(AND(B1635&lt;&gt;"",COUNTIF(tx_ID,B1635)&gt;1),"Duplicate transaction ID",IF(AND(L1635&lt;0,D1635&lt;&gt;"Adjustment"),"Negative amount — check this entry",IF(AND(D1635="Customer Payment",G1635=""),"Add the customer",IF(AND(D1635="Customer Payment",OR(J1635="",COUNTIF(ar_No,J1635&amp;"")=0)),"Invoice # in Reference not found on AR sheet",IF(AND(D1635="Bill Payment",H1635=""),"Add the vendor",IF(AND(D1635="Bill Payment",OR(J1635="",COUNTIFS(ap_No,J1635&amp;"",ap_Party,H1635&amp;"")=0)),"Bill # + vendor not found on AP sheet",IF(AND(ISNUMBER(M1635),N(M1635)&lt;&gt;0,W1635=0),"Tax ignored (tax tracking off, or not allowed for this type)",IF(V1635=K1635&amp;"","Same account on both sides",IF(AND(ISNUMBER(StartDate),C1635&lt;StartDate),"Date is before the accounting start date",IF(AND(D1635&lt;&gt;"Adjustment",IFERROR(INDEX(coa_Pay,MATCH(K1635&amp;"",coa_Name,0)),"")&lt;&gt;"Yes"),"Paid From / Deposited To is not a payment account","")))))))))))</f>
        <v/>
      </c>
      <c r="Z1635" s="67">
        <f>IF(AND(T1635=0,X1635=""),1,0)</f>
        <v/>
      </c>
      <c r="AA1635" s="68">
        <f>IF(Z1635=1,IF(U1635="In",L1635,L1635-W1635),0)</f>
        <v/>
      </c>
      <c r="AB1635" s="68">
        <f>IF(Z1635=1,IF(U1635="In",L1635-W1635,L1635),0)</f>
        <v/>
      </c>
      <c r="AC1635" s="68">
        <f>IF(AND(Z1635=1,U1635="Out"),W1635,0)</f>
        <v/>
      </c>
      <c r="AD1635" s="68">
        <f>IF(AND(Z1635=1,U1635="In"),W1635,0)</f>
        <v/>
      </c>
    </row>
    <row r="1636">
      <c r="B1636" s="62" t="inlineStr">
        <is>
          <t>TX-1630</t>
        </is>
      </c>
      <c r="C1636" s="63" t="n"/>
      <c r="D1636" s="62" t="n"/>
      <c r="E1636" s="62" t="n"/>
      <c r="F1636" s="62" t="n"/>
      <c r="G1636" s="62" t="n"/>
      <c r="H1636" s="62" t="n"/>
      <c r="I1636" s="62" t="n"/>
      <c r="J1636" s="62" t="n"/>
      <c r="K1636" s="62" t="n"/>
      <c r="L1636" s="64" t="n"/>
      <c r="M1636" s="64" t="n"/>
      <c r="N1636" s="62" t="n"/>
      <c r="O1636" s="65">
        <f>IF(Z1636=1,L1636-W1636,"")</f>
        <v/>
      </c>
      <c r="P1636" s="66">
        <f>IF(V1636="","",IFERROR(INDEX(coa_Type,MATCH(V1636,coa_Name,0)),""))</f>
        <v/>
      </c>
      <c r="Q1636" s="66">
        <f>IF(Z1636=1,IF(U1636="In",K1636&amp;"",V1636),"")</f>
        <v/>
      </c>
      <c r="R1636" s="66">
        <f>IF(Z1636=1,IF(U1636="In",V1636,K1636&amp;""),"")</f>
        <v/>
      </c>
      <c r="S1636" s="66">
        <f>IF(X1636&lt;&gt;"","⛔ "&amp;X1636&amp;" — not posted",IF(Y1636&lt;&gt;"","⚠ "&amp;Y1636,IF(Z1636=1,"✓ OK","")))</f>
        <v/>
      </c>
      <c r="T1636" s="67">
        <f>IF(AND(C1636="",D1636="",E1636="",L1636="",K1636=""),1,0)</f>
        <v/>
      </c>
      <c r="U1636" s="67">
        <f>IFERROR(INDEX(tt_Dir,MATCH(D1636,tt_Type,0)),"")</f>
        <v/>
      </c>
      <c r="V1636" s="67">
        <f>IF(D1636="","",IFERROR(IF(INDEX(tt_Other,MATCH(D1636,tt_Type,0))="",E1636&amp;"",INDEX(tt_Other,MATCH(D1636,tt_Type,0))),""))</f>
        <v/>
      </c>
      <c r="W1636" s="68">
        <f>IF(OR(TaxOn&lt;&gt;"Yes",NOT(ISNUMBER(M1636))),0,IF(IFERROR(INDEX(tt_Tax,MATCH(D1636,tt_Type,0)),"No")="Yes",M1636,0))</f>
        <v/>
      </c>
      <c r="X1636" s="67">
        <f>IF(T1636=1,"",IF(C1636="","Missing transaction date",IF(NOT(ISNUMBER(C1636)),"Invalid date",IF(OR(C1636&lt;DATE(2000,1,1),C1636&gt;DATE(2099,12,31)),"Invalid date",IF(D1636="","Select a type",IF(U1636="","Unknown type: "&amp;D1636,IF(V1636="","Select an account (Category)",IF(ISNA(MATCH(V1636,coa_Name,0)),"Unknown account: "&amp;V1636,IF(K1636="","Select Paid From / Deposited To",IF(ISNA(MATCH(K1636,coa_Name,0)),"Unknown account: "&amp;K1636,IF(NOT(ISNUMBER(L1636)),"Enter an amount",IF(L1636=0,"Enter an amount",IF(ABS(W1636)&gt;ABS(L1636),"Tax is larger than the amount","")))))))))))))</f>
        <v/>
      </c>
      <c r="Y1636" s="67">
        <f>IF(OR(T1636=1,X1636&lt;&gt;""),"",IF(AND(B1636&lt;&gt;"",COUNTIF(tx_ID,B1636)&gt;1),"Duplicate transaction ID",IF(AND(L1636&lt;0,D1636&lt;&gt;"Adjustment"),"Negative amount — check this entry",IF(AND(D1636="Customer Payment",G1636=""),"Add the customer",IF(AND(D1636="Customer Payment",OR(J1636="",COUNTIF(ar_No,J1636&amp;"")=0)),"Invoice # in Reference not found on AR sheet",IF(AND(D1636="Bill Payment",H1636=""),"Add the vendor",IF(AND(D1636="Bill Payment",OR(J1636="",COUNTIFS(ap_No,J1636&amp;"",ap_Party,H1636&amp;"")=0)),"Bill # + vendor not found on AP sheet",IF(AND(ISNUMBER(M1636),N(M1636)&lt;&gt;0,W1636=0),"Tax ignored (tax tracking off, or not allowed for this type)",IF(V1636=K1636&amp;"","Same account on both sides",IF(AND(ISNUMBER(StartDate),C1636&lt;StartDate),"Date is before the accounting start date",IF(AND(D1636&lt;&gt;"Adjustment",IFERROR(INDEX(coa_Pay,MATCH(K1636&amp;"",coa_Name,0)),"")&lt;&gt;"Yes"),"Paid From / Deposited To is not a payment account","")))))))))))</f>
        <v/>
      </c>
      <c r="Z1636" s="67">
        <f>IF(AND(T1636=0,X1636=""),1,0)</f>
        <v/>
      </c>
      <c r="AA1636" s="68">
        <f>IF(Z1636=1,IF(U1636="In",L1636,L1636-W1636),0)</f>
        <v/>
      </c>
      <c r="AB1636" s="68">
        <f>IF(Z1636=1,IF(U1636="In",L1636-W1636,L1636),0)</f>
        <v/>
      </c>
      <c r="AC1636" s="68">
        <f>IF(AND(Z1636=1,U1636="Out"),W1636,0)</f>
        <v/>
      </c>
      <c r="AD1636" s="68">
        <f>IF(AND(Z1636=1,U1636="In"),W1636,0)</f>
        <v/>
      </c>
    </row>
    <row r="1637">
      <c r="B1637" s="62" t="inlineStr">
        <is>
          <t>TX-1631</t>
        </is>
      </c>
      <c r="C1637" s="63" t="n"/>
      <c r="D1637" s="62" t="n"/>
      <c r="E1637" s="62" t="n"/>
      <c r="F1637" s="62" t="n"/>
      <c r="G1637" s="62" t="n"/>
      <c r="H1637" s="62" t="n"/>
      <c r="I1637" s="62" t="n"/>
      <c r="J1637" s="62" t="n"/>
      <c r="K1637" s="62" t="n"/>
      <c r="L1637" s="64" t="n"/>
      <c r="M1637" s="64" t="n"/>
      <c r="N1637" s="62" t="n"/>
      <c r="O1637" s="65">
        <f>IF(Z1637=1,L1637-W1637,"")</f>
        <v/>
      </c>
      <c r="P1637" s="66">
        <f>IF(V1637="","",IFERROR(INDEX(coa_Type,MATCH(V1637,coa_Name,0)),""))</f>
        <v/>
      </c>
      <c r="Q1637" s="66">
        <f>IF(Z1637=1,IF(U1637="In",K1637&amp;"",V1637),"")</f>
        <v/>
      </c>
      <c r="R1637" s="66">
        <f>IF(Z1637=1,IF(U1637="In",V1637,K1637&amp;""),"")</f>
        <v/>
      </c>
      <c r="S1637" s="66">
        <f>IF(X1637&lt;&gt;"","⛔ "&amp;X1637&amp;" — not posted",IF(Y1637&lt;&gt;"","⚠ "&amp;Y1637,IF(Z1637=1,"✓ OK","")))</f>
        <v/>
      </c>
      <c r="T1637" s="67">
        <f>IF(AND(C1637="",D1637="",E1637="",L1637="",K1637=""),1,0)</f>
        <v/>
      </c>
      <c r="U1637" s="67">
        <f>IFERROR(INDEX(tt_Dir,MATCH(D1637,tt_Type,0)),"")</f>
        <v/>
      </c>
      <c r="V1637" s="67">
        <f>IF(D1637="","",IFERROR(IF(INDEX(tt_Other,MATCH(D1637,tt_Type,0))="",E1637&amp;"",INDEX(tt_Other,MATCH(D1637,tt_Type,0))),""))</f>
        <v/>
      </c>
      <c r="W1637" s="68">
        <f>IF(OR(TaxOn&lt;&gt;"Yes",NOT(ISNUMBER(M1637))),0,IF(IFERROR(INDEX(tt_Tax,MATCH(D1637,tt_Type,0)),"No")="Yes",M1637,0))</f>
        <v/>
      </c>
      <c r="X1637" s="67">
        <f>IF(T1637=1,"",IF(C1637="","Missing transaction date",IF(NOT(ISNUMBER(C1637)),"Invalid date",IF(OR(C1637&lt;DATE(2000,1,1),C1637&gt;DATE(2099,12,31)),"Invalid date",IF(D1637="","Select a type",IF(U1637="","Unknown type: "&amp;D1637,IF(V1637="","Select an account (Category)",IF(ISNA(MATCH(V1637,coa_Name,0)),"Unknown account: "&amp;V1637,IF(K1637="","Select Paid From / Deposited To",IF(ISNA(MATCH(K1637,coa_Name,0)),"Unknown account: "&amp;K1637,IF(NOT(ISNUMBER(L1637)),"Enter an amount",IF(L1637=0,"Enter an amount",IF(ABS(W1637)&gt;ABS(L1637),"Tax is larger than the amount","")))))))))))))</f>
        <v/>
      </c>
      <c r="Y1637" s="67">
        <f>IF(OR(T1637=1,X1637&lt;&gt;""),"",IF(AND(B1637&lt;&gt;"",COUNTIF(tx_ID,B1637)&gt;1),"Duplicate transaction ID",IF(AND(L1637&lt;0,D1637&lt;&gt;"Adjustment"),"Negative amount — check this entry",IF(AND(D1637="Customer Payment",G1637=""),"Add the customer",IF(AND(D1637="Customer Payment",OR(J1637="",COUNTIF(ar_No,J1637&amp;"")=0)),"Invoice # in Reference not found on AR sheet",IF(AND(D1637="Bill Payment",H1637=""),"Add the vendor",IF(AND(D1637="Bill Payment",OR(J1637="",COUNTIFS(ap_No,J1637&amp;"",ap_Party,H1637&amp;"")=0)),"Bill # + vendor not found on AP sheet",IF(AND(ISNUMBER(M1637),N(M1637)&lt;&gt;0,W1637=0),"Tax ignored (tax tracking off, or not allowed for this type)",IF(V1637=K1637&amp;"","Same account on both sides",IF(AND(ISNUMBER(StartDate),C1637&lt;StartDate),"Date is before the accounting start date",IF(AND(D1637&lt;&gt;"Adjustment",IFERROR(INDEX(coa_Pay,MATCH(K1637&amp;"",coa_Name,0)),"")&lt;&gt;"Yes"),"Paid From / Deposited To is not a payment account","")))))))))))</f>
        <v/>
      </c>
      <c r="Z1637" s="67">
        <f>IF(AND(T1637=0,X1637=""),1,0)</f>
        <v/>
      </c>
      <c r="AA1637" s="68">
        <f>IF(Z1637=1,IF(U1637="In",L1637,L1637-W1637),0)</f>
        <v/>
      </c>
      <c r="AB1637" s="68">
        <f>IF(Z1637=1,IF(U1637="In",L1637-W1637,L1637),0)</f>
        <v/>
      </c>
      <c r="AC1637" s="68">
        <f>IF(AND(Z1637=1,U1637="Out"),W1637,0)</f>
        <v/>
      </c>
      <c r="AD1637" s="68">
        <f>IF(AND(Z1637=1,U1637="In"),W1637,0)</f>
        <v/>
      </c>
    </row>
    <row r="1638">
      <c r="B1638" s="62" t="inlineStr">
        <is>
          <t>TX-1632</t>
        </is>
      </c>
      <c r="C1638" s="63" t="n"/>
      <c r="D1638" s="62" t="n"/>
      <c r="E1638" s="62" t="n"/>
      <c r="F1638" s="62" t="n"/>
      <c r="G1638" s="62" t="n"/>
      <c r="H1638" s="62" t="n"/>
      <c r="I1638" s="62" t="n"/>
      <c r="J1638" s="62" t="n"/>
      <c r="K1638" s="62" t="n"/>
      <c r="L1638" s="64" t="n"/>
      <c r="M1638" s="64" t="n"/>
      <c r="N1638" s="62" t="n"/>
      <c r="O1638" s="65">
        <f>IF(Z1638=1,L1638-W1638,"")</f>
        <v/>
      </c>
      <c r="P1638" s="66">
        <f>IF(V1638="","",IFERROR(INDEX(coa_Type,MATCH(V1638,coa_Name,0)),""))</f>
        <v/>
      </c>
      <c r="Q1638" s="66">
        <f>IF(Z1638=1,IF(U1638="In",K1638&amp;"",V1638),"")</f>
        <v/>
      </c>
      <c r="R1638" s="66">
        <f>IF(Z1638=1,IF(U1638="In",V1638,K1638&amp;""),"")</f>
        <v/>
      </c>
      <c r="S1638" s="66">
        <f>IF(X1638&lt;&gt;"","⛔ "&amp;X1638&amp;" — not posted",IF(Y1638&lt;&gt;"","⚠ "&amp;Y1638,IF(Z1638=1,"✓ OK","")))</f>
        <v/>
      </c>
      <c r="T1638" s="67">
        <f>IF(AND(C1638="",D1638="",E1638="",L1638="",K1638=""),1,0)</f>
        <v/>
      </c>
      <c r="U1638" s="67">
        <f>IFERROR(INDEX(tt_Dir,MATCH(D1638,tt_Type,0)),"")</f>
        <v/>
      </c>
      <c r="V1638" s="67">
        <f>IF(D1638="","",IFERROR(IF(INDEX(tt_Other,MATCH(D1638,tt_Type,0))="",E1638&amp;"",INDEX(tt_Other,MATCH(D1638,tt_Type,0))),""))</f>
        <v/>
      </c>
      <c r="W1638" s="68">
        <f>IF(OR(TaxOn&lt;&gt;"Yes",NOT(ISNUMBER(M1638))),0,IF(IFERROR(INDEX(tt_Tax,MATCH(D1638,tt_Type,0)),"No")="Yes",M1638,0))</f>
        <v/>
      </c>
      <c r="X1638" s="67">
        <f>IF(T1638=1,"",IF(C1638="","Missing transaction date",IF(NOT(ISNUMBER(C1638)),"Invalid date",IF(OR(C1638&lt;DATE(2000,1,1),C1638&gt;DATE(2099,12,31)),"Invalid date",IF(D1638="","Select a type",IF(U1638="","Unknown type: "&amp;D1638,IF(V1638="","Select an account (Category)",IF(ISNA(MATCH(V1638,coa_Name,0)),"Unknown account: "&amp;V1638,IF(K1638="","Select Paid From / Deposited To",IF(ISNA(MATCH(K1638,coa_Name,0)),"Unknown account: "&amp;K1638,IF(NOT(ISNUMBER(L1638)),"Enter an amount",IF(L1638=0,"Enter an amount",IF(ABS(W1638)&gt;ABS(L1638),"Tax is larger than the amount","")))))))))))))</f>
        <v/>
      </c>
      <c r="Y1638" s="67">
        <f>IF(OR(T1638=1,X1638&lt;&gt;""),"",IF(AND(B1638&lt;&gt;"",COUNTIF(tx_ID,B1638)&gt;1),"Duplicate transaction ID",IF(AND(L1638&lt;0,D1638&lt;&gt;"Adjustment"),"Negative amount — check this entry",IF(AND(D1638="Customer Payment",G1638=""),"Add the customer",IF(AND(D1638="Customer Payment",OR(J1638="",COUNTIF(ar_No,J1638&amp;"")=0)),"Invoice # in Reference not found on AR sheet",IF(AND(D1638="Bill Payment",H1638=""),"Add the vendor",IF(AND(D1638="Bill Payment",OR(J1638="",COUNTIFS(ap_No,J1638&amp;"",ap_Party,H1638&amp;"")=0)),"Bill # + vendor not found on AP sheet",IF(AND(ISNUMBER(M1638),N(M1638)&lt;&gt;0,W1638=0),"Tax ignored (tax tracking off, or not allowed for this type)",IF(V1638=K1638&amp;"","Same account on both sides",IF(AND(ISNUMBER(StartDate),C1638&lt;StartDate),"Date is before the accounting start date",IF(AND(D1638&lt;&gt;"Adjustment",IFERROR(INDEX(coa_Pay,MATCH(K1638&amp;"",coa_Name,0)),"")&lt;&gt;"Yes"),"Paid From / Deposited To is not a payment account","")))))))))))</f>
        <v/>
      </c>
      <c r="Z1638" s="67">
        <f>IF(AND(T1638=0,X1638=""),1,0)</f>
        <v/>
      </c>
      <c r="AA1638" s="68">
        <f>IF(Z1638=1,IF(U1638="In",L1638,L1638-W1638),0)</f>
        <v/>
      </c>
      <c r="AB1638" s="68">
        <f>IF(Z1638=1,IF(U1638="In",L1638-W1638,L1638),0)</f>
        <v/>
      </c>
      <c r="AC1638" s="68">
        <f>IF(AND(Z1638=1,U1638="Out"),W1638,0)</f>
        <v/>
      </c>
      <c r="AD1638" s="68">
        <f>IF(AND(Z1638=1,U1638="In"),W1638,0)</f>
        <v/>
      </c>
    </row>
    <row r="1639">
      <c r="B1639" s="62" t="inlineStr">
        <is>
          <t>TX-1633</t>
        </is>
      </c>
      <c r="C1639" s="63" t="n"/>
      <c r="D1639" s="62" t="n"/>
      <c r="E1639" s="62" t="n"/>
      <c r="F1639" s="62" t="n"/>
      <c r="G1639" s="62" t="n"/>
      <c r="H1639" s="62" t="n"/>
      <c r="I1639" s="62" t="n"/>
      <c r="J1639" s="62" t="n"/>
      <c r="K1639" s="62" t="n"/>
      <c r="L1639" s="64" t="n"/>
      <c r="M1639" s="64" t="n"/>
      <c r="N1639" s="62" t="n"/>
      <c r="O1639" s="65">
        <f>IF(Z1639=1,L1639-W1639,"")</f>
        <v/>
      </c>
      <c r="P1639" s="66">
        <f>IF(V1639="","",IFERROR(INDEX(coa_Type,MATCH(V1639,coa_Name,0)),""))</f>
        <v/>
      </c>
      <c r="Q1639" s="66">
        <f>IF(Z1639=1,IF(U1639="In",K1639&amp;"",V1639),"")</f>
        <v/>
      </c>
      <c r="R1639" s="66">
        <f>IF(Z1639=1,IF(U1639="In",V1639,K1639&amp;""),"")</f>
        <v/>
      </c>
      <c r="S1639" s="66">
        <f>IF(X1639&lt;&gt;"","⛔ "&amp;X1639&amp;" — not posted",IF(Y1639&lt;&gt;"","⚠ "&amp;Y1639,IF(Z1639=1,"✓ OK","")))</f>
        <v/>
      </c>
      <c r="T1639" s="67">
        <f>IF(AND(C1639="",D1639="",E1639="",L1639="",K1639=""),1,0)</f>
        <v/>
      </c>
      <c r="U1639" s="67">
        <f>IFERROR(INDEX(tt_Dir,MATCH(D1639,tt_Type,0)),"")</f>
        <v/>
      </c>
      <c r="V1639" s="67">
        <f>IF(D1639="","",IFERROR(IF(INDEX(tt_Other,MATCH(D1639,tt_Type,0))="",E1639&amp;"",INDEX(tt_Other,MATCH(D1639,tt_Type,0))),""))</f>
        <v/>
      </c>
      <c r="W1639" s="68">
        <f>IF(OR(TaxOn&lt;&gt;"Yes",NOT(ISNUMBER(M1639))),0,IF(IFERROR(INDEX(tt_Tax,MATCH(D1639,tt_Type,0)),"No")="Yes",M1639,0))</f>
        <v/>
      </c>
      <c r="X1639" s="67">
        <f>IF(T1639=1,"",IF(C1639="","Missing transaction date",IF(NOT(ISNUMBER(C1639)),"Invalid date",IF(OR(C1639&lt;DATE(2000,1,1),C1639&gt;DATE(2099,12,31)),"Invalid date",IF(D1639="","Select a type",IF(U1639="","Unknown type: "&amp;D1639,IF(V1639="","Select an account (Category)",IF(ISNA(MATCH(V1639,coa_Name,0)),"Unknown account: "&amp;V1639,IF(K1639="","Select Paid From / Deposited To",IF(ISNA(MATCH(K1639,coa_Name,0)),"Unknown account: "&amp;K1639,IF(NOT(ISNUMBER(L1639)),"Enter an amount",IF(L1639=0,"Enter an amount",IF(ABS(W1639)&gt;ABS(L1639),"Tax is larger than the amount","")))))))))))))</f>
        <v/>
      </c>
      <c r="Y1639" s="67">
        <f>IF(OR(T1639=1,X1639&lt;&gt;""),"",IF(AND(B1639&lt;&gt;"",COUNTIF(tx_ID,B1639)&gt;1),"Duplicate transaction ID",IF(AND(L1639&lt;0,D1639&lt;&gt;"Adjustment"),"Negative amount — check this entry",IF(AND(D1639="Customer Payment",G1639=""),"Add the customer",IF(AND(D1639="Customer Payment",OR(J1639="",COUNTIF(ar_No,J1639&amp;"")=0)),"Invoice # in Reference not found on AR sheet",IF(AND(D1639="Bill Payment",H1639=""),"Add the vendor",IF(AND(D1639="Bill Payment",OR(J1639="",COUNTIFS(ap_No,J1639&amp;"",ap_Party,H1639&amp;"")=0)),"Bill # + vendor not found on AP sheet",IF(AND(ISNUMBER(M1639),N(M1639)&lt;&gt;0,W1639=0),"Tax ignored (tax tracking off, or not allowed for this type)",IF(V1639=K1639&amp;"","Same account on both sides",IF(AND(ISNUMBER(StartDate),C1639&lt;StartDate),"Date is before the accounting start date",IF(AND(D1639&lt;&gt;"Adjustment",IFERROR(INDEX(coa_Pay,MATCH(K1639&amp;"",coa_Name,0)),"")&lt;&gt;"Yes"),"Paid From / Deposited To is not a payment account","")))))))))))</f>
        <v/>
      </c>
      <c r="Z1639" s="67">
        <f>IF(AND(T1639=0,X1639=""),1,0)</f>
        <v/>
      </c>
      <c r="AA1639" s="68">
        <f>IF(Z1639=1,IF(U1639="In",L1639,L1639-W1639),0)</f>
        <v/>
      </c>
      <c r="AB1639" s="68">
        <f>IF(Z1639=1,IF(U1639="In",L1639-W1639,L1639),0)</f>
        <v/>
      </c>
      <c r="AC1639" s="68">
        <f>IF(AND(Z1639=1,U1639="Out"),W1639,0)</f>
        <v/>
      </c>
      <c r="AD1639" s="68">
        <f>IF(AND(Z1639=1,U1639="In"),W1639,0)</f>
        <v/>
      </c>
    </row>
    <row r="1640">
      <c r="B1640" s="62" t="inlineStr">
        <is>
          <t>TX-1634</t>
        </is>
      </c>
      <c r="C1640" s="63" t="n"/>
      <c r="D1640" s="62" t="n"/>
      <c r="E1640" s="62" t="n"/>
      <c r="F1640" s="62" t="n"/>
      <c r="G1640" s="62" t="n"/>
      <c r="H1640" s="62" t="n"/>
      <c r="I1640" s="62" t="n"/>
      <c r="J1640" s="62" t="n"/>
      <c r="K1640" s="62" t="n"/>
      <c r="L1640" s="64" t="n"/>
      <c r="M1640" s="64" t="n"/>
      <c r="N1640" s="62" t="n"/>
      <c r="O1640" s="65">
        <f>IF(Z1640=1,L1640-W1640,"")</f>
        <v/>
      </c>
      <c r="P1640" s="66">
        <f>IF(V1640="","",IFERROR(INDEX(coa_Type,MATCH(V1640,coa_Name,0)),""))</f>
        <v/>
      </c>
      <c r="Q1640" s="66">
        <f>IF(Z1640=1,IF(U1640="In",K1640&amp;"",V1640),"")</f>
        <v/>
      </c>
      <c r="R1640" s="66">
        <f>IF(Z1640=1,IF(U1640="In",V1640,K1640&amp;""),"")</f>
        <v/>
      </c>
      <c r="S1640" s="66">
        <f>IF(X1640&lt;&gt;"","⛔ "&amp;X1640&amp;" — not posted",IF(Y1640&lt;&gt;"","⚠ "&amp;Y1640,IF(Z1640=1,"✓ OK","")))</f>
        <v/>
      </c>
      <c r="T1640" s="67">
        <f>IF(AND(C1640="",D1640="",E1640="",L1640="",K1640=""),1,0)</f>
        <v/>
      </c>
      <c r="U1640" s="67">
        <f>IFERROR(INDEX(tt_Dir,MATCH(D1640,tt_Type,0)),"")</f>
        <v/>
      </c>
      <c r="V1640" s="67">
        <f>IF(D1640="","",IFERROR(IF(INDEX(tt_Other,MATCH(D1640,tt_Type,0))="",E1640&amp;"",INDEX(tt_Other,MATCH(D1640,tt_Type,0))),""))</f>
        <v/>
      </c>
      <c r="W1640" s="68">
        <f>IF(OR(TaxOn&lt;&gt;"Yes",NOT(ISNUMBER(M1640))),0,IF(IFERROR(INDEX(tt_Tax,MATCH(D1640,tt_Type,0)),"No")="Yes",M1640,0))</f>
        <v/>
      </c>
      <c r="X1640" s="67">
        <f>IF(T1640=1,"",IF(C1640="","Missing transaction date",IF(NOT(ISNUMBER(C1640)),"Invalid date",IF(OR(C1640&lt;DATE(2000,1,1),C1640&gt;DATE(2099,12,31)),"Invalid date",IF(D1640="","Select a type",IF(U1640="","Unknown type: "&amp;D1640,IF(V1640="","Select an account (Category)",IF(ISNA(MATCH(V1640,coa_Name,0)),"Unknown account: "&amp;V1640,IF(K1640="","Select Paid From / Deposited To",IF(ISNA(MATCH(K1640,coa_Name,0)),"Unknown account: "&amp;K1640,IF(NOT(ISNUMBER(L1640)),"Enter an amount",IF(L1640=0,"Enter an amount",IF(ABS(W1640)&gt;ABS(L1640),"Tax is larger than the amount","")))))))))))))</f>
        <v/>
      </c>
      <c r="Y1640" s="67">
        <f>IF(OR(T1640=1,X1640&lt;&gt;""),"",IF(AND(B1640&lt;&gt;"",COUNTIF(tx_ID,B1640)&gt;1),"Duplicate transaction ID",IF(AND(L1640&lt;0,D1640&lt;&gt;"Adjustment"),"Negative amount — check this entry",IF(AND(D1640="Customer Payment",G1640=""),"Add the customer",IF(AND(D1640="Customer Payment",OR(J1640="",COUNTIF(ar_No,J1640&amp;"")=0)),"Invoice # in Reference not found on AR sheet",IF(AND(D1640="Bill Payment",H1640=""),"Add the vendor",IF(AND(D1640="Bill Payment",OR(J1640="",COUNTIFS(ap_No,J1640&amp;"",ap_Party,H1640&amp;"")=0)),"Bill # + vendor not found on AP sheet",IF(AND(ISNUMBER(M1640),N(M1640)&lt;&gt;0,W1640=0),"Tax ignored (tax tracking off, or not allowed for this type)",IF(V1640=K1640&amp;"","Same account on both sides",IF(AND(ISNUMBER(StartDate),C1640&lt;StartDate),"Date is before the accounting start date",IF(AND(D1640&lt;&gt;"Adjustment",IFERROR(INDEX(coa_Pay,MATCH(K1640&amp;"",coa_Name,0)),"")&lt;&gt;"Yes"),"Paid From / Deposited To is not a payment account","")))))))))))</f>
        <v/>
      </c>
      <c r="Z1640" s="67">
        <f>IF(AND(T1640=0,X1640=""),1,0)</f>
        <v/>
      </c>
      <c r="AA1640" s="68">
        <f>IF(Z1640=1,IF(U1640="In",L1640,L1640-W1640),0)</f>
        <v/>
      </c>
      <c r="AB1640" s="68">
        <f>IF(Z1640=1,IF(U1640="In",L1640-W1640,L1640),0)</f>
        <v/>
      </c>
      <c r="AC1640" s="68">
        <f>IF(AND(Z1640=1,U1640="Out"),W1640,0)</f>
        <v/>
      </c>
      <c r="AD1640" s="68">
        <f>IF(AND(Z1640=1,U1640="In"),W1640,0)</f>
        <v/>
      </c>
    </row>
    <row r="1641">
      <c r="B1641" s="62" t="inlineStr">
        <is>
          <t>TX-1635</t>
        </is>
      </c>
      <c r="C1641" s="63" t="n"/>
      <c r="D1641" s="62" t="n"/>
      <c r="E1641" s="62" t="n"/>
      <c r="F1641" s="62" t="n"/>
      <c r="G1641" s="62" t="n"/>
      <c r="H1641" s="62" t="n"/>
      <c r="I1641" s="62" t="n"/>
      <c r="J1641" s="62" t="n"/>
      <c r="K1641" s="62" t="n"/>
      <c r="L1641" s="64" t="n"/>
      <c r="M1641" s="64" t="n"/>
      <c r="N1641" s="62" t="n"/>
      <c r="O1641" s="65">
        <f>IF(Z1641=1,L1641-W1641,"")</f>
        <v/>
      </c>
      <c r="P1641" s="66">
        <f>IF(V1641="","",IFERROR(INDEX(coa_Type,MATCH(V1641,coa_Name,0)),""))</f>
        <v/>
      </c>
      <c r="Q1641" s="66">
        <f>IF(Z1641=1,IF(U1641="In",K1641&amp;"",V1641),"")</f>
        <v/>
      </c>
      <c r="R1641" s="66">
        <f>IF(Z1641=1,IF(U1641="In",V1641,K1641&amp;""),"")</f>
        <v/>
      </c>
      <c r="S1641" s="66">
        <f>IF(X1641&lt;&gt;"","⛔ "&amp;X1641&amp;" — not posted",IF(Y1641&lt;&gt;"","⚠ "&amp;Y1641,IF(Z1641=1,"✓ OK","")))</f>
        <v/>
      </c>
      <c r="T1641" s="67">
        <f>IF(AND(C1641="",D1641="",E1641="",L1641="",K1641=""),1,0)</f>
        <v/>
      </c>
      <c r="U1641" s="67">
        <f>IFERROR(INDEX(tt_Dir,MATCH(D1641,tt_Type,0)),"")</f>
        <v/>
      </c>
      <c r="V1641" s="67">
        <f>IF(D1641="","",IFERROR(IF(INDEX(tt_Other,MATCH(D1641,tt_Type,0))="",E1641&amp;"",INDEX(tt_Other,MATCH(D1641,tt_Type,0))),""))</f>
        <v/>
      </c>
      <c r="W1641" s="68">
        <f>IF(OR(TaxOn&lt;&gt;"Yes",NOT(ISNUMBER(M1641))),0,IF(IFERROR(INDEX(tt_Tax,MATCH(D1641,tt_Type,0)),"No")="Yes",M1641,0))</f>
        <v/>
      </c>
      <c r="X1641" s="67">
        <f>IF(T1641=1,"",IF(C1641="","Missing transaction date",IF(NOT(ISNUMBER(C1641)),"Invalid date",IF(OR(C1641&lt;DATE(2000,1,1),C1641&gt;DATE(2099,12,31)),"Invalid date",IF(D1641="","Select a type",IF(U1641="","Unknown type: "&amp;D1641,IF(V1641="","Select an account (Category)",IF(ISNA(MATCH(V1641,coa_Name,0)),"Unknown account: "&amp;V1641,IF(K1641="","Select Paid From / Deposited To",IF(ISNA(MATCH(K1641,coa_Name,0)),"Unknown account: "&amp;K1641,IF(NOT(ISNUMBER(L1641)),"Enter an amount",IF(L1641=0,"Enter an amount",IF(ABS(W1641)&gt;ABS(L1641),"Tax is larger than the amount","")))))))))))))</f>
        <v/>
      </c>
      <c r="Y1641" s="67">
        <f>IF(OR(T1641=1,X1641&lt;&gt;""),"",IF(AND(B1641&lt;&gt;"",COUNTIF(tx_ID,B1641)&gt;1),"Duplicate transaction ID",IF(AND(L1641&lt;0,D1641&lt;&gt;"Adjustment"),"Negative amount — check this entry",IF(AND(D1641="Customer Payment",G1641=""),"Add the customer",IF(AND(D1641="Customer Payment",OR(J1641="",COUNTIF(ar_No,J1641&amp;"")=0)),"Invoice # in Reference not found on AR sheet",IF(AND(D1641="Bill Payment",H1641=""),"Add the vendor",IF(AND(D1641="Bill Payment",OR(J1641="",COUNTIFS(ap_No,J1641&amp;"",ap_Party,H1641&amp;"")=0)),"Bill # + vendor not found on AP sheet",IF(AND(ISNUMBER(M1641),N(M1641)&lt;&gt;0,W1641=0),"Tax ignored (tax tracking off, or not allowed for this type)",IF(V1641=K1641&amp;"","Same account on both sides",IF(AND(ISNUMBER(StartDate),C1641&lt;StartDate),"Date is before the accounting start date",IF(AND(D1641&lt;&gt;"Adjustment",IFERROR(INDEX(coa_Pay,MATCH(K1641&amp;"",coa_Name,0)),"")&lt;&gt;"Yes"),"Paid From / Deposited To is not a payment account","")))))))))))</f>
        <v/>
      </c>
      <c r="Z1641" s="67">
        <f>IF(AND(T1641=0,X1641=""),1,0)</f>
        <v/>
      </c>
      <c r="AA1641" s="68">
        <f>IF(Z1641=1,IF(U1641="In",L1641,L1641-W1641),0)</f>
        <v/>
      </c>
      <c r="AB1641" s="68">
        <f>IF(Z1641=1,IF(U1641="In",L1641-W1641,L1641),0)</f>
        <v/>
      </c>
      <c r="AC1641" s="68">
        <f>IF(AND(Z1641=1,U1641="Out"),W1641,0)</f>
        <v/>
      </c>
      <c r="AD1641" s="68">
        <f>IF(AND(Z1641=1,U1641="In"),W1641,0)</f>
        <v/>
      </c>
    </row>
    <row r="1642">
      <c r="B1642" s="62" t="inlineStr">
        <is>
          <t>TX-1636</t>
        </is>
      </c>
      <c r="C1642" s="63" t="n"/>
      <c r="D1642" s="62" t="n"/>
      <c r="E1642" s="62" t="n"/>
      <c r="F1642" s="62" t="n"/>
      <c r="G1642" s="62" t="n"/>
      <c r="H1642" s="62" t="n"/>
      <c r="I1642" s="62" t="n"/>
      <c r="J1642" s="62" t="n"/>
      <c r="K1642" s="62" t="n"/>
      <c r="L1642" s="64" t="n"/>
      <c r="M1642" s="64" t="n"/>
      <c r="N1642" s="62" t="n"/>
      <c r="O1642" s="65">
        <f>IF(Z1642=1,L1642-W1642,"")</f>
        <v/>
      </c>
      <c r="P1642" s="66">
        <f>IF(V1642="","",IFERROR(INDEX(coa_Type,MATCH(V1642,coa_Name,0)),""))</f>
        <v/>
      </c>
      <c r="Q1642" s="66">
        <f>IF(Z1642=1,IF(U1642="In",K1642&amp;"",V1642),"")</f>
        <v/>
      </c>
      <c r="R1642" s="66">
        <f>IF(Z1642=1,IF(U1642="In",V1642,K1642&amp;""),"")</f>
        <v/>
      </c>
      <c r="S1642" s="66">
        <f>IF(X1642&lt;&gt;"","⛔ "&amp;X1642&amp;" — not posted",IF(Y1642&lt;&gt;"","⚠ "&amp;Y1642,IF(Z1642=1,"✓ OK","")))</f>
        <v/>
      </c>
      <c r="T1642" s="67">
        <f>IF(AND(C1642="",D1642="",E1642="",L1642="",K1642=""),1,0)</f>
        <v/>
      </c>
      <c r="U1642" s="67">
        <f>IFERROR(INDEX(tt_Dir,MATCH(D1642,tt_Type,0)),"")</f>
        <v/>
      </c>
      <c r="V1642" s="67">
        <f>IF(D1642="","",IFERROR(IF(INDEX(tt_Other,MATCH(D1642,tt_Type,0))="",E1642&amp;"",INDEX(tt_Other,MATCH(D1642,tt_Type,0))),""))</f>
        <v/>
      </c>
      <c r="W1642" s="68">
        <f>IF(OR(TaxOn&lt;&gt;"Yes",NOT(ISNUMBER(M1642))),0,IF(IFERROR(INDEX(tt_Tax,MATCH(D1642,tt_Type,0)),"No")="Yes",M1642,0))</f>
        <v/>
      </c>
      <c r="X1642" s="67">
        <f>IF(T1642=1,"",IF(C1642="","Missing transaction date",IF(NOT(ISNUMBER(C1642)),"Invalid date",IF(OR(C1642&lt;DATE(2000,1,1),C1642&gt;DATE(2099,12,31)),"Invalid date",IF(D1642="","Select a type",IF(U1642="","Unknown type: "&amp;D1642,IF(V1642="","Select an account (Category)",IF(ISNA(MATCH(V1642,coa_Name,0)),"Unknown account: "&amp;V1642,IF(K1642="","Select Paid From / Deposited To",IF(ISNA(MATCH(K1642,coa_Name,0)),"Unknown account: "&amp;K1642,IF(NOT(ISNUMBER(L1642)),"Enter an amount",IF(L1642=0,"Enter an amount",IF(ABS(W1642)&gt;ABS(L1642),"Tax is larger than the amount","")))))))))))))</f>
        <v/>
      </c>
      <c r="Y1642" s="67">
        <f>IF(OR(T1642=1,X1642&lt;&gt;""),"",IF(AND(B1642&lt;&gt;"",COUNTIF(tx_ID,B1642)&gt;1),"Duplicate transaction ID",IF(AND(L1642&lt;0,D1642&lt;&gt;"Adjustment"),"Negative amount — check this entry",IF(AND(D1642="Customer Payment",G1642=""),"Add the customer",IF(AND(D1642="Customer Payment",OR(J1642="",COUNTIF(ar_No,J1642&amp;"")=0)),"Invoice # in Reference not found on AR sheet",IF(AND(D1642="Bill Payment",H1642=""),"Add the vendor",IF(AND(D1642="Bill Payment",OR(J1642="",COUNTIFS(ap_No,J1642&amp;"",ap_Party,H1642&amp;"")=0)),"Bill # + vendor not found on AP sheet",IF(AND(ISNUMBER(M1642),N(M1642)&lt;&gt;0,W1642=0),"Tax ignored (tax tracking off, or not allowed for this type)",IF(V1642=K1642&amp;"","Same account on both sides",IF(AND(ISNUMBER(StartDate),C1642&lt;StartDate),"Date is before the accounting start date",IF(AND(D1642&lt;&gt;"Adjustment",IFERROR(INDEX(coa_Pay,MATCH(K1642&amp;"",coa_Name,0)),"")&lt;&gt;"Yes"),"Paid From / Deposited To is not a payment account","")))))))))))</f>
        <v/>
      </c>
      <c r="Z1642" s="67">
        <f>IF(AND(T1642=0,X1642=""),1,0)</f>
        <v/>
      </c>
      <c r="AA1642" s="68">
        <f>IF(Z1642=1,IF(U1642="In",L1642,L1642-W1642),0)</f>
        <v/>
      </c>
      <c r="AB1642" s="68">
        <f>IF(Z1642=1,IF(U1642="In",L1642-W1642,L1642),0)</f>
        <v/>
      </c>
      <c r="AC1642" s="68">
        <f>IF(AND(Z1642=1,U1642="Out"),W1642,0)</f>
        <v/>
      </c>
      <c r="AD1642" s="68">
        <f>IF(AND(Z1642=1,U1642="In"),W1642,0)</f>
        <v/>
      </c>
    </row>
    <row r="1643">
      <c r="B1643" s="62" t="inlineStr">
        <is>
          <t>TX-1637</t>
        </is>
      </c>
      <c r="C1643" s="63" t="n"/>
      <c r="D1643" s="62" t="n"/>
      <c r="E1643" s="62" t="n"/>
      <c r="F1643" s="62" t="n"/>
      <c r="G1643" s="62" t="n"/>
      <c r="H1643" s="62" t="n"/>
      <c r="I1643" s="62" t="n"/>
      <c r="J1643" s="62" t="n"/>
      <c r="K1643" s="62" t="n"/>
      <c r="L1643" s="64" t="n"/>
      <c r="M1643" s="64" t="n"/>
      <c r="N1643" s="62" t="n"/>
      <c r="O1643" s="65">
        <f>IF(Z1643=1,L1643-W1643,"")</f>
        <v/>
      </c>
      <c r="P1643" s="66">
        <f>IF(V1643="","",IFERROR(INDEX(coa_Type,MATCH(V1643,coa_Name,0)),""))</f>
        <v/>
      </c>
      <c r="Q1643" s="66">
        <f>IF(Z1643=1,IF(U1643="In",K1643&amp;"",V1643),"")</f>
        <v/>
      </c>
      <c r="R1643" s="66">
        <f>IF(Z1643=1,IF(U1643="In",V1643,K1643&amp;""),"")</f>
        <v/>
      </c>
      <c r="S1643" s="66">
        <f>IF(X1643&lt;&gt;"","⛔ "&amp;X1643&amp;" — not posted",IF(Y1643&lt;&gt;"","⚠ "&amp;Y1643,IF(Z1643=1,"✓ OK","")))</f>
        <v/>
      </c>
      <c r="T1643" s="67">
        <f>IF(AND(C1643="",D1643="",E1643="",L1643="",K1643=""),1,0)</f>
        <v/>
      </c>
      <c r="U1643" s="67">
        <f>IFERROR(INDEX(tt_Dir,MATCH(D1643,tt_Type,0)),"")</f>
        <v/>
      </c>
      <c r="V1643" s="67">
        <f>IF(D1643="","",IFERROR(IF(INDEX(tt_Other,MATCH(D1643,tt_Type,0))="",E1643&amp;"",INDEX(tt_Other,MATCH(D1643,tt_Type,0))),""))</f>
        <v/>
      </c>
      <c r="W1643" s="68">
        <f>IF(OR(TaxOn&lt;&gt;"Yes",NOT(ISNUMBER(M1643))),0,IF(IFERROR(INDEX(tt_Tax,MATCH(D1643,tt_Type,0)),"No")="Yes",M1643,0))</f>
        <v/>
      </c>
      <c r="X1643" s="67">
        <f>IF(T1643=1,"",IF(C1643="","Missing transaction date",IF(NOT(ISNUMBER(C1643)),"Invalid date",IF(OR(C1643&lt;DATE(2000,1,1),C1643&gt;DATE(2099,12,31)),"Invalid date",IF(D1643="","Select a type",IF(U1643="","Unknown type: "&amp;D1643,IF(V1643="","Select an account (Category)",IF(ISNA(MATCH(V1643,coa_Name,0)),"Unknown account: "&amp;V1643,IF(K1643="","Select Paid From / Deposited To",IF(ISNA(MATCH(K1643,coa_Name,0)),"Unknown account: "&amp;K1643,IF(NOT(ISNUMBER(L1643)),"Enter an amount",IF(L1643=0,"Enter an amount",IF(ABS(W1643)&gt;ABS(L1643),"Tax is larger than the amount","")))))))))))))</f>
        <v/>
      </c>
      <c r="Y1643" s="67">
        <f>IF(OR(T1643=1,X1643&lt;&gt;""),"",IF(AND(B1643&lt;&gt;"",COUNTIF(tx_ID,B1643)&gt;1),"Duplicate transaction ID",IF(AND(L1643&lt;0,D1643&lt;&gt;"Adjustment"),"Negative amount — check this entry",IF(AND(D1643="Customer Payment",G1643=""),"Add the customer",IF(AND(D1643="Customer Payment",OR(J1643="",COUNTIF(ar_No,J1643&amp;"")=0)),"Invoice # in Reference not found on AR sheet",IF(AND(D1643="Bill Payment",H1643=""),"Add the vendor",IF(AND(D1643="Bill Payment",OR(J1643="",COUNTIFS(ap_No,J1643&amp;"",ap_Party,H1643&amp;"")=0)),"Bill # + vendor not found on AP sheet",IF(AND(ISNUMBER(M1643),N(M1643)&lt;&gt;0,W1643=0),"Tax ignored (tax tracking off, or not allowed for this type)",IF(V1643=K1643&amp;"","Same account on both sides",IF(AND(ISNUMBER(StartDate),C1643&lt;StartDate),"Date is before the accounting start date",IF(AND(D1643&lt;&gt;"Adjustment",IFERROR(INDEX(coa_Pay,MATCH(K1643&amp;"",coa_Name,0)),"")&lt;&gt;"Yes"),"Paid From / Deposited To is not a payment account","")))))))))))</f>
        <v/>
      </c>
      <c r="Z1643" s="67">
        <f>IF(AND(T1643=0,X1643=""),1,0)</f>
        <v/>
      </c>
      <c r="AA1643" s="68">
        <f>IF(Z1643=1,IF(U1643="In",L1643,L1643-W1643),0)</f>
        <v/>
      </c>
      <c r="AB1643" s="68">
        <f>IF(Z1643=1,IF(U1643="In",L1643-W1643,L1643),0)</f>
        <v/>
      </c>
      <c r="AC1643" s="68">
        <f>IF(AND(Z1643=1,U1643="Out"),W1643,0)</f>
        <v/>
      </c>
      <c r="AD1643" s="68">
        <f>IF(AND(Z1643=1,U1643="In"),W1643,0)</f>
        <v/>
      </c>
    </row>
    <row r="1644">
      <c r="B1644" s="62" t="inlineStr">
        <is>
          <t>TX-1638</t>
        </is>
      </c>
      <c r="C1644" s="63" t="n"/>
      <c r="D1644" s="62" t="n"/>
      <c r="E1644" s="62" t="n"/>
      <c r="F1644" s="62" t="n"/>
      <c r="G1644" s="62" t="n"/>
      <c r="H1644" s="62" t="n"/>
      <c r="I1644" s="62" t="n"/>
      <c r="J1644" s="62" t="n"/>
      <c r="K1644" s="62" t="n"/>
      <c r="L1644" s="64" t="n"/>
      <c r="M1644" s="64" t="n"/>
      <c r="N1644" s="62" t="n"/>
      <c r="O1644" s="65">
        <f>IF(Z1644=1,L1644-W1644,"")</f>
        <v/>
      </c>
      <c r="P1644" s="66">
        <f>IF(V1644="","",IFERROR(INDEX(coa_Type,MATCH(V1644,coa_Name,0)),""))</f>
        <v/>
      </c>
      <c r="Q1644" s="66">
        <f>IF(Z1644=1,IF(U1644="In",K1644&amp;"",V1644),"")</f>
        <v/>
      </c>
      <c r="R1644" s="66">
        <f>IF(Z1644=1,IF(U1644="In",V1644,K1644&amp;""),"")</f>
        <v/>
      </c>
      <c r="S1644" s="66">
        <f>IF(X1644&lt;&gt;"","⛔ "&amp;X1644&amp;" — not posted",IF(Y1644&lt;&gt;"","⚠ "&amp;Y1644,IF(Z1644=1,"✓ OK","")))</f>
        <v/>
      </c>
      <c r="T1644" s="67">
        <f>IF(AND(C1644="",D1644="",E1644="",L1644="",K1644=""),1,0)</f>
        <v/>
      </c>
      <c r="U1644" s="67">
        <f>IFERROR(INDEX(tt_Dir,MATCH(D1644,tt_Type,0)),"")</f>
        <v/>
      </c>
      <c r="V1644" s="67">
        <f>IF(D1644="","",IFERROR(IF(INDEX(tt_Other,MATCH(D1644,tt_Type,0))="",E1644&amp;"",INDEX(tt_Other,MATCH(D1644,tt_Type,0))),""))</f>
        <v/>
      </c>
      <c r="W1644" s="68">
        <f>IF(OR(TaxOn&lt;&gt;"Yes",NOT(ISNUMBER(M1644))),0,IF(IFERROR(INDEX(tt_Tax,MATCH(D1644,tt_Type,0)),"No")="Yes",M1644,0))</f>
        <v/>
      </c>
      <c r="X1644" s="67">
        <f>IF(T1644=1,"",IF(C1644="","Missing transaction date",IF(NOT(ISNUMBER(C1644)),"Invalid date",IF(OR(C1644&lt;DATE(2000,1,1),C1644&gt;DATE(2099,12,31)),"Invalid date",IF(D1644="","Select a type",IF(U1644="","Unknown type: "&amp;D1644,IF(V1644="","Select an account (Category)",IF(ISNA(MATCH(V1644,coa_Name,0)),"Unknown account: "&amp;V1644,IF(K1644="","Select Paid From / Deposited To",IF(ISNA(MATCH(K1644,coa_Name,0)),"Unknown account: "&amp;K1644,IF(NOT(ISNUMBER(L1644)),"Enter an amount",IF(L1644=0,"Enter an amount",IF(ABS(W1644)&gt;ABS(L1644),"Tax is larger than the amount","")))))))))))))</f>
        <v/>
      </c>
      <c r="Y1644" s="67">
        <f>IF(OR(T1644=1,X1644&lt;&gt;""),"",IF(AND(B1644&lt;&gt;"",COUNTIF(tx_ID,B1644)&gt;1),"Duplicate transaction ID",IF(AND(L1644&lt;0,D1644&lt;&gt;"Adjustment"),"Negative amount — check this entry",IF(AND(D1644="Customer Payment",G1644=""),"Add the customer",IF(AND(D1644="Customer Payment",OR(J1644="",COUNTIF(ar_No,J1644&amp;"")=0)),"Invoice # in Reference not found on AR sheet",IF(AND(D1644="Bill Payment",H1644=""),"Add the vendor",IF(AND(D1644="Bill Payment",OR(J1644="",COUNTIFS(ap_No,J1644&amp;"",ap_Party,H1644&amp;"")=0)),"Bill # + vendor not found on AP sheet",IF(AND(ISNUMBER(M1644),N(M1644)&lt;&gt;0,W1644=0),"Tax ignored (tax tracking off, or not allowed for this type)",IF(V1644=K1644&amp;"","Same account on both sides",IF(AND(ISNUMBER(StartDate),C1644&lt;StartDate),"Date is before the accounting start date",IF(AND(D1644&lt;&gt;"Adjustment",IFERROR(INDEX(coa_Pay,MATCH(K1644&amp;"",coa_Name,0)),"")&lt;&gt;"Yes"),"Paid From / Deposited To is not a payment account","")))))))))))</f>
        <v/>
      </c>
      <c r="Z1644" s="67">
        <f>IF(AND(T1644=0,X1644=""),1,0)</f>
        <v/>
      </c>
      <c r="AA1644" s="68">
        <f>IF(Z1644=1,IF(U1644="In",L1644,L1644-W1644),0)</f>
        <v/>
      </c>
      <c r="AB1644" s="68">
        <f>IF(Z1644=1,IF(U1644="In",L1644-W1644,L1644),0)</f>
        <v/>
      </c>
      <c r="AC1644" s="68">
        <f>IF(AND(Z1644=1,U1644="Out"),W1644,0)</f>
        <v/>
      </c>
      <c r="AD1644" s="68">
        <f>IF(AND(Z1644=1,U1644="In"),W1644,0)</f>
        <v/>
      </c>
    </row>
    <row r="1645">
      <c r="B1645" s="62" t="inlineStr">
        <is>
          <t>TX-1639</t>
        </is>
      </c>
      <c r="C1645" s="63" t="n"/>
      <c r="D1645" s="62" t="n"/>
      <c r="E1645" s="62" t="n"/>
      <c r="F1645" s="62" t="n"/>
      <c r="G1645" s="62" t="n"/>
      <c r="H1645" s="62" t="n"/>
      <c r="I1645" s="62" t="n"/>
      <c r="J1645" s="62" t="n"/>
      <c r="K1645" s="62" t="n"/>
      <c r="L1645" s="64" t="n"/>
      <c r="M1645" s="64" t="n"/>
      <c r="N1645" s="62" t="n"/>
      <c r="O1645" s="65">
        <f>IF(Z1645=1,L1645-W1645,"")</f>
        <v/>
      </c>
      <c r="P1645" s="66">
        <f>IF(V1645="","",IFERROR(INDEX(coa_Type,MATCH(V1645,coa_Name,0)),""))</f>
        <v/>
      </c>
      <c r="Q1645" s="66">
        <f>IF(Z1645=1,IF(U1645="In",K1645&amp;"",V1645),"")</f>
        <v/>
      </c>
      <c r="R1645" s="66">
        <f>IF(Z1645=1,IF(U1645="In",V1645,K1645&amp;""),"")</f>
        <v/>
      </c>
      <c r="S1645" s="66">
        <f>IF(X1645&lt;&gt;"","⛔ "&amp;X1645&amp;" — not posted",IF(Y1645&lt;&gt;"","⚠ "&amp;Y1645,IF(Z1645=1,"✓ OK","")))</f>
        <v/>
      </c>
      <c r="T1645" s="67">
        <f>IF(AND(C1645="",D1645="",E1645="",L1645="",K1645=""),1,0)</f>
        <v/>
      </c>
      <c r="U1645" s="67">
        <f>IFERROR(INDEX(tt_Dir,MATCH(D1645,tt_Type,0)),"")</f>
        <v/>
      </c>
      <c r="V1645" s="67">
        <f>IF(D1645="","",IFERROR(IF(INDEX(tt_Other,MATCH(D1645,tt_Type,0))="",E1645&amp;"",INDEX(tt_Other,MATCH(D1645,tt_Type,0))),""))</f>
        <v/>
      </c>
      <c r="W1645" s="68">
        <f>IF(OR(TaxOn&lt;&gt;"Yes",NOT(ISNUMBER(M1645))),0,IF(IFERROR(INDEX(tt_Tax,MATCH(D1645,tt_Type,0)),"No")="Yes",M1645,0))</f>
        <v/>
      </c>
      <c r="X1645" s="67">
        <f>IF(T1645=1,"",IF(C1645="","Missing transaction date",IF(NOT(ISNUMBER(C1645)),"Invalid date",IF(OR(C1645&lt;DATE(2000,1,1),C1645&gt;DATE(2099,12,31)),"Invalid date",IF(D1645="","Select a type",IF(U1645="","Unknown type: "&amp;D1645,IF(V1645="","Select an account (Category)",IF(ISNA(MATCH(V1645,coa_Name,0)),"Unknown account: "&amp;V1645,IF(K1645="","Select Paid From / Deposited To",IF(ISNA(MATCH(K1645,coa_Name,0)),"Unknown account: "&amp;K1645,IF(NOT(ISNUMBER(L1645)),"Enter an amount",IF(L1645=0,"Enter an amount",IF(ABS(W1645)&gt;ABS(L1645),"Tax is larger than the amount","")))))))))))))</f>
        <v/>
      </c>
      <c r="Y1645" s="67">
        <f>IF(OR(T1645=1,X1645&lt;&gt;""),"",IF(AND(B1645&lt;&gt;"",COUNTIF(tx_ID,B1645)&gt;1),"Duplicate transaction ID",IF(AND(L1645&lt;0,D1645&lt;&gt;"Adjustment"),"Negative amount — check this entry",IF(AND(D1645="Customer Payment",G1645=""),"Add the customer",IF(AND(D1645="Customer Payment",OR(J1645="",COUNTIF(ar_No,J1645&amp;"")=0)),"Invoice # in Reference not found on AR sheet",IF(AND(D1645="Bill Payment",H1645=""),"Add the vendor",IF(AND(D1645="Bill Payment",OR(J1645="",COUNTIFS(ap_No,J1645&amp;"",ap_Party,H1645&amp;"")=0)),"Bill # + vendor not found on AP sheet",IF(AND(ISNUMBER(M1645),N(M1645)&lt;&gt;0,W1645=0),"Tax ignored (tax tracking off, or not allowed for this type)",IF(V1645=K1645&amp;"","Same account on both sides",IF(AND(ISNUMBER(StartDate),C1645&lt;StartDate),"Date is before the accounting start date",IF(AND(D1645&lt;&gt;"Adjustment",IFERROR(INDEX(coa_Pay,MATCH(K1645&amp;"",coa_Name,0)),"")&lt;&gt;"Yes"),"Paid From / Deposited To is not a payment account","")))))))))))</f>
        <v/>
      </c>
      <c r="Z1645" s="67">
        <f>IF(AND(T1645=0,X1645=""),1,0)</f>
        <v/>
      </c>
      <c r="AA1645" s="68">
        <f>IF(Z1645=1,IF(U1645="In",L1645,L1645-W1645),0)</f>
        <v/>
      </c>
      <c r="AB1645" s="68">
        <f>IF(Z1645=1,IF(U1645="In",L1645-W1645,L1645),0)</f>
        <v/>
      </c>
      <c r="AC1645" s="68">
        <f>IF(AND(Z1645=1,U1645="Out"),W1645,0)</f>
        <v/>
      </c>
      <c r="AD1645" s="68">
        <f>IF(AND(Z1645=1,U1645="In"),W1645,0)</f>
        <v/>
      </c>
    </row>
    <row r="1646">
      <c r="B1646" s="62" t="inlineStr">
        <is>
          <t>TX-1640</t>
        </is>
      </c>
      <c r="C1646" s="63" t="n"/>
      <c r="D1646" s="62" t="n"/>
      <c r="E1646" s="62" t="n"/>
      <c r="F1646" s="62" t="n"/>
      <c r="G1646" s="62" t="n"/>
      <c r="H1646" s="62" t="n"/>
      <c r="I1646" s="62" t="n"/>
      <c r="J1646" s="62" t="n"/>
      <c r="K1646" s="62" t="n"/>
      <c r="L1646" s="64" t="n"/>
      <c r="M1646" s="64" t="n"/>
      <c r="N1646" s="62" t="n"/>
      <c r="O1646" s="65">
        <f>IF(Z1646=1,L1646-W1646,"")</f>
        <v/>
      </c>
      <c r="P1646" s="66">
        <f>IF(V1646="","",IFERROR(INDEX(coa_Type,MATCH(V1646,coa_Name,0)),""))</f>
        <v/>
      </c>
      <c r="Q1646" s="66">
        <f>IF(Z1646=1,IF(U1646="In",K1646&amp;"",V1646),"")</f>
        <v/>
      </c>
      <c r="R1646" s="66">
        <f>IF(Z1646=1,IF(U1646="In",V1646,K1646&amp;""),"")</f>
        <v/>
      </c>
      <c r="S1646" s="66">
        <f>IF(X1646&lt;&gt;"","⛔ "&amp;X1646&amp;" — not posted",IF(Y1646&lt;&gt;"","⚠ "&amp;Y1646,IF(Z1646=1,"✓ OK","")))</f>
        <v/>
      </c>
      <c r="T1646" s="67">
        <f>IF(AND(C1646="",D1646="",E1646="",L1646="",K1646=""),1,0)</f>
        <v/>
      </c>
      <c r="U1646" s="67">
        <f>IFERROR(INDEX(tt_Dir,MATCH(D1646,tt_Type,0)),"")</f>
        <v/>
      </c>
      <c r="V1646" s="67">
        <f>IF(D1646="","",IFERROR(IF(INDEX(tt_Other,MATCH(D1646,tt_Type,0))="",E1646&amp;"",INDEX(tt_Other,MATCH(D1646,tt_Type,0))),""))</f>
        <v/>
      </c>
      <c r="W1646" s="68">
        <f>IF(OR(TaxOn&lt;&gt;"Yes",NOT(ISNUMBER(M1646))),0,IF(IFERROR(INDEX(tt_Tax,MATCH(D1646,tt_Type,0)),"No")="Yes",M1646,0))</f>
        <v/>
      </c>
      <c r="X1646" s="67">
        <f>IF(T1646=1,"",IF(C1646="","Missing transaction date",IF(NOT(ISNUMBER(C1646)),"Invalid date",IF(OR(C1646&lt;DATE(2000,1,1),C1646&gt;DATE(2099,12,31)),"Invalid date",IF(D1646="","Select a type",IF(U1646="","Unknown type: "&amp;D1646,IF(V1646="","Select an account (Category)",IF(ISNA(MATCH(V1646,coa_Name,0)),"Unknown account: "&amp;V1646,IF(K1646="","Select Paid From / Deposited To",IF(ISNA(MATCH(K1646,coa_Name,0)),"Unknown account: "&amp;K1646,IF(NOT(ISNUMBER(L1646)),"Enter an amount",IF(L1646=0,"Enter an amount",IF(ABS(W1646)&gt;ABS(L1646),"Tax is larger than the amount","")))))))))))))</f>
        <v/>
      </c>
      <c r="Y1646" s="67">
        <f>IF(OR(T1646=1,X1646&lt;&gt;""),"",IF(AND(B1646&lt;&gt;"",COUNTIF(tx_ID,B1646)&gt;1),"Duplicate transaction ID",IF(AND(L1646&lt;0,D1646&lt;&gt;"Adjustment"),"Negative amount — check this entry",IF(AND(D1646="Customer Payment",G1646=""),"Add the customer",IF(AND(D1646="Customer Payment",OR(J1646="",COUNTIF(ar_No,J1646&amp;"")=0)),"Invoice # in Reference not found on AR sheet",IF(AND(D1646="Bill Payment",H1646=""),"Add the vendor",IF(AND(D1646="Bill Payment",OR(J1646="",COUNTIFS(ap_No,J1646&amp;"",ap_Party,H1646&amp;"")=0)),"Bill # + vendor not found on AP sheet",IF(AND(ISNUMBER(M1646),N(M1646)&lt;&gt;0,W1646=0),"Tax ignored (tax tracking off, or not allowed for this type)",IF(V1646=K1646&amp;"","Same account on both sides",IF(AND(ISNUMBER(StartDate),C1646&lt;StartDate),"Date is before the accounting start date",IF(AND(D1646&lt;&gt;"Adjustment",IFERROR(INDEX(coa_Pay,MATCH(K1646&amp;"",coa_Name,0)),"")&lt;&gt;"Yes"),"Paid From / Deposited To is not a payment account","")))))))))))</f>
        <v/>
      </c>
      <c r="Z1646" s="67">
        <f>IF(AND(T1646=0,X1646=""),1,0)</f>
        <v/>
      </c>
      <c r="AA1646" s="68">
        <f>IF(Z1646=1,IF(U1646="In",L1646,L1646-W1646),0)</f>
        <v/>
      </c>
      <c r="AB1646" s="68">
        <f>IF(Z1646=1,IF(U1646="In",L1646-W1646,L1646),0)</f>
        <v/>
      </c>
      <c r="AC1646" s="68">
        <f>IF(AND(Z1646=1,U1646="Out"),W1646,0)</f>
        <v/>
      </c>
      <c r="AD1646" s="68">
        <f>IF(AND(Z1646=1,U1646="In"),W1646,0)</f>
        <v/>
      </c>
    </row>
    <row r="1647">
      <c r="B1647" s="62" t="inlineStr">
        <is>
          <t>TX-1641</t>
        </is>
      </c>
      <c r="C1647" s="63" t="n"/>
      <c r="D1647" s="62" t="n"/>
      <c r="E1647" s="62" t="n"/>
      <c r="F1647" s="62" t="n"/>
      <c r="G1647" s="62" t="n"/>
      <c r="H1647" s="62" t="n"/>
      <c r="I1647" s="62" t="n"/>
      <c r="J1647" s="62" t="n"/>
      <c r="K1647" s="62" t="n"/>
      <c r="L1647" s="64" t="n"/>
      <c r="M1647" s="64" t="n"/>
      <c r="N1647" s="62" t="n"/>
      <c r="O1647" s="65">
        <f>IF(Z1647=1,L1647-W1647,"")</f>
        <v/>
      </c>
      <c r="P1647" s="66">
        <f>IF(V1647="","",IFERROR(INDEX(coa_Type,MATCH(V1647,coa_Name,0)),""))</f>
        <v/>
      </c>
      <c r="Q1647" s="66">
        <f>IF(Z1647=1,IF(U1647="In",K1647&amp;"",V1647),"")</f>
        <v/>
      </c>
      <c r="R1647" s="66">
        <f>IF(Z1647=1,IF(U1647="In",V1647,K1647&amp;""),"")</f>
        <v/>
      </c>
      <c r="S1647" s="66">
        <f>IF(X1647&lt;&gt;"","⛔ "&amp;X1647&amp;" — not posted",IF(Y1647&lt;&gt;"","⚠ "&amp;Y1647,IF(Z1647=1,"✓ OK","")))</f>
        <v/>
      </c>
      <c r="T1647" s="67">
        <f>IF(AND(C1647="",D1647="",E1647="",L1647="",K1647=""),1,0)</f>
        <v/>
      </c>
      <c r="U1647" s="67">
        <f>IFERROR(INDEX(tt_Dir,MATCH(D1647,tt_Type,0)),"")</f>
        <v/>
      </c>
      <c r="V1647" s="67">
        <f>IF(D1647="","",IFERROR(IF(INDEX(tt_Other,MATCH(D1647,tt_Type,0))="",E1647&amp;"",INDEX(tt_Other,MATCH(D1647,tt_Type,0))),""))</f>
        <v/>
      </c>
      <c r="W1647" s="68">
        <f>IF(OR(TaxOn&lt;&gt;"Yes",NOT(ISNUMBER(M1647))),0,IF(IFERROR(INDEX(tt_Tax,MATCH(D1647,tt_Type,0)),"No")="Yes",M1647,0))</f>
        <v/>
      </c>
      <c r="X1647" s="67">
        <f>IF(T1647=1,"",IF(C1647="","Missing transaction date",IF(NOT(ISNUMBER(C1647)),"Invalid date",IF(OR(C1647&lt;DATE(2000,1,1),C1647&gt;DATE(2099,12,31)),"Invalid date",IF(D1647="","Select a type",IF(U1647="","Unknown type: "&amp;D1647,IF(V1647="","Select an account (Category)",IF(ISNA(MATCH(V1647,coa_Name,0)),"Unknown account: "&amp;V1647,IF(K1647="","Select Paid From / Deposited To",IF(ISNA(MATCH(K1647,coa_Name,0)),"Unknown account: "&amp;K1647,IF(NOT(ISNUMBER(L1647)),"Enter an amount",IF(L1647=0,"Enter an amount",IF(ABS(W1647)&gt;ABS(L1647),"Tax is larger than the amount","")))))))))))))</f>
        <v/>
      </c>
      <c r="Y1647" s="67">
        <f>IF(OR(T1647=1,X1647&lt;&gt;""),"",IF(AND(B1647&lt;&gt;"",COUNTIF(tx_ID,B1647)&gt;1),"Duplicate transaction ID",IF(AND(L1647&lt;0,D1647&lt;&gt;"Adjustment"),"Negative amount — check this entry",IF(AND(D1647="Customer Payment",G1647=""),"Add the customer",IF(AND(D1647="Customer Payment",OR(J1647="",COUNTIF(ar_No,J1647&amp;"")=0)),"Invoice # in Reference not found on AR sheet",IF(AND(D1647="Bill Payment",H1647=""),"Add the vendor",IF(AND(D1647="Bill Payment",OR(J1647="",COUNTIFS(ap_No,J1647&amp;"",ap_Party,H1647&amp;"")=0)),"Bill # + vendor not found on AP sheet",IF(AND(ISNUMBER(M1647),N(M1647)&lt;&gt;0,W1647=0),"Tax ignored (tax tracking off, or not allowed for this type)",IF(V1647=K1647&amp;"","Same account on both sides",IF(AND(ISNUMBER(StartDate),C1647&lt;StartDate),"Date is before the accounting start date",IF(AND(D1647&lt;&gt;"Adjustment",IFERROR(INDEX(coa_Pay,MATCH(K1647&amp;"",coa_Name,0)),"")&lt;&gt;"Yes"),"Paid From / Deposited To is not a payment account","")))))))))))</f>
        <v/>
      </c>
      <c r="Z1647" s="67">
        <f>IF(AND(T1647=0,X1647=""),1,0)</f>
        <v/>
      </c>
      <c r="AA1647" s="68">
        <f>IF(Z1647=1,IF(U1647="In",L1647,L1647-W1647),0)</f>
        <v/>
      </c>
      <c r="AB1647" s="68">
        <f>IF(Z1647=1,IF(U1647="In",L1647-W1647,L1647),0)</f>
        <v/>
      </c>
      <c r="AC1647" s="68">
        <f>IF(AND(Z1647=1,U1647="Out"),W1647,0)</f>
        <v/>
      </c>
      <c r="AD1647" s="68">
        <f>IF(AND(Z1647=1,U1647="In"),W1647,0)</f>
        <v/>
      </c>
    </row>
    <row r="1648">
      <c r="B1648" s="62" t="inlineStr">
        <is>
          <t>TX-1642</t>
        </is>
      </c>
      <c r="C1648" s="63" t="n"/>
      <c r="D1648" s="62" t="n"/>
      <c r="E1648" s="62" t="n"/>
      <c r="F1648" s="62" t="n"/>
      <c r="G1648" s="62" t="n"/>
      <c r="H1648" s="62" t="n"/>
      <c r="I1648" s="62" t="n"/>
      <c r="J1648" s="62" t="n"/>
      <c r="K1648" s="62" t="n"/>
      <c r="L1648" s="64" t="n"/>
      <c r="M1648" s="64" t="n"/>
      <c r="N1648" s="62" t="n"/>
      <c r="O1648" s="65">
        <f>IF(Z1648=1,L1648-W1648,"")</f>
        <v/>
      </c>
      <c r="P1648" s="66">
        <f>IF(V1648="","",IFERROR(INDEX(coa_Type,MATCH(V1648,coa_Name,0)),""))</f>
        <v/>
      </c>
      <c r="Q1648" s="66">
        <f>IF(Z1648=1,IF(U1648="In",K1648&amp;"",V1648),"")</f>
        <v/>
      </c>
      <c r="R1648" s="66">
        <f>IF(Z1648=1,IF(U1648="In",V1648,K1648&amp;""),"")</f>
        <v/>
      </c>
      <c r="S1648" s="66">
        <f>IF(X1648&lt;&gt;"","⛔ "&amp;X1648&amp;" — not posted",IF(Y1648&lt;&gt;"","⚠ "&amp;Y1648,IF(Z1648=1,"✓ OK","")))</f>
        <v/>
      </c>
      <c r="T1648" s="67">
        <f>IF(AND(C1648="",D1648="",E1648="",L1648="",K1648=""),1,0)</f>
        <v/>
      </c>
      <c r="U1648" s="67">
        <f>IFERROR(INDEX(tt_Dir,MATCH(D1648,tt_Type,0)),"")</f>
        <v/>
      </c>
      <c r="V1648" s="67">
        <f>IF(D1648="","",IFERROR(IF(INDEX(tt_Other,MATCH(D1648,tt_Type,0))="",E1648&amp;"",INDEX(tt_Other,MATCH(D1648,tt_Type,0))),""))</f>
        <v/>
      </c>
      <c r="W1648" s="68">
        <f>IF(OR(TaxOn&lt;&gt;"Yes",NOT(ISNUMBER(M1648))),0,IF(IFERROR(INDEX(tt_Tax,MATCH(D1648,tt_Type,0)),"No")="Yes",M1648,0))</f>
        <v/>
      </c>
      <c r="X1648" s="67">
        <f>IF(T1648=1,"",IF(C1648="","Missing transaction date",IF(NOT(ISNUMBER(C1648)),"Invalid date",IF(OR(C1648&lt;DATE(2000,1,1),C1648&gt;DATE(2099,12,31)),"Invalid date",IF(D1648="","Select a type",IF(U1648="","Unknown type: "&amp;D1648,IF(V1648="","Select an account (Category)",IF(ISNA(MATCH(V1648,coa_Name,0)),"Unknown account: "&amp;V1648,IF(K1648="","Select Paid From / Deposited To",IF(ISNA(MATCH(K1648,coa_Name,0)),"Unknown account: "&amp;K1648,IF(NOT(ISNUMBER(L1648)),"Enter an amount",IF(L1648=0,"Enter an amount",IF(ABS(W1648)&gt;ABS(L1648),"Tax is larger than the amount","")))))))))))))</f>
        <v/>
      </c>
      <c r="Y1648" s="67">
        <f>IF(OR(T1648=1,X1648&lt;&gt;""),"",IF(AND(B1648&lt;&gt;"",COUNTIF(tx_ID,B1648)&gt;1),"Duplicate transaction ID",IF(AND(L1648&lt;0,D1648&lt;&gt;"Adjustment"),"Negative amount — check this entry",IF(AND(D1648="Customer Payment",G1648=""),"Add the customer",IF(AND(D1648="Customer Payment",OR(J1648="",COUNTIF(ar_No,J1648&amp;"")=0)),"Invoice # in Reference not found on AR sheet",IF(AND(D1648="Bill Payment",H1648=""),"Add the vendor",IF(AND(D1648="Bill Payment",OR(J1648="",COUNTIFS(ap_No,J1648&amp;"",ap_Party,H1648&amp;"")=0)),"Bill # + vendor not found on AP sheet",IF(AND(ISNUMBER(M1648),N(M1648)&lt;&gt;0,W1648=0),"Tax ignored (tax tracking off, or not allowed for this type)",IF(V1648=K1648&amp;"","Same account on both sides",IF(AND(ISNUMBER(StartDate),C1648&lt;StartDate),"Date is before the accounting start date",IF(AND(D1648&lt;&gt;"Adjustment",IFERROR(INDEX(coa_Pay,MATCH(K1648&amp;"",coa_Name,0)),"")&lt;&gt;"Yes"),"Paid From / Deposited To is not a payment account","")))))))))))</f>
        <v/>
      </c>
      <c r="Z1648" s="67">
        <f>IF(AND(T1648=0,X1648=""),1,0)</f>
        <v/>
      </c>
      <c r="AA1648" s="68">
        <f>IF(Z1648=1,IF(U1648="In",L1648,L1648-W1648),0)</f>
        <v/>
      </c>
      <c r="AB1648" s="68">
        <f>IF(Z1648=1,IF(U1648="In",L1648-W1648,L1648),0)</f>
        <v/>
      </c>
      <c r="AC1648" s="68">
        <f>IF(AND(Z1648=1,U1648="Out"),W1648,0)</f>
        <v/>
      </c>
      <c r="AD1648" s="68">
        <f>IF(AND(Z1648=1,U1648="In"),W1648,0)</f>
        <v/>
      </c>
    </row>
    <row r="1649">
      <c r="B1649" s="62" t="inlineStr">
        <is>
          <t>TX-1643</t>
        </is>
      </c>
      <c r="C1649" s="63" t="n"/>
      <c r="D1649" s="62" t="n"/>
      <c r="E1649" s="62" t="n"/>
      <c r="F1649" s="62" t="n"/>
      <c r="G1649" s="62" t="n"/>
      <c r="H1649" s="62" t="n"/>
      <c r="I1649" s="62" t="n"/>
      <c r="J1649" s="62" t="n"/>
      <c r="K1649" s="62" t="n"/>
      <c r="L1649" s="64" t="n"/>
      <c r="M1649" s="64" t="n"/>
      <c r="N1649" s="62" t="n"/>
      <c r="O1649" s="65">
        <f>IF(Z1649=1,L1649-W1649,"")</f>
        <v/>
      </c>
      <c r="P1649" s="66">
        <f>IF(V1649="","",IFERROR(INDEX(coa_Type,MATCH(V1649,coa_Name,0)),""))</f>
        <v/>
      </c>
      <c r="Q1649" s="66">
        <f>IF(Z1649=1,IF(U1649="In",K1649&amp;"",V1649),"")</f>
        <v/>
      </c>
      <c r="R1649" s="66">
        <f>IF(Z1649=1,IF(U1649="In",V1649,K1649&amp;""),"")</f>
        <v/>
      </c>
      <c r="S1649" s="66">
        <f>IF(X1649&lt;&gt;"","⛔ "&amp;X1649&amp;" — not posted",IF(Y1649&lt;&gt;"","⚠ "&amp;Y1649,IF(Z1649=1,"✓ OK","")))</f>
        <v/>
      </c>
      <c r="T1649" s="67">
        <f>IF(AND(C1649="",D1649="",E1649="",L1649="",K1649=""),1,0)</f>
        <v/>
      </c>
      <c r="U1649" s="67">
        <f>IFERROR(INDEX(tt_Dir,MATCH(D1649,tt_Type,0)),"")</f>
        <v/>
      </c>
      <c r="V1649" s="67">
        <f>IF(D1649="","",IFERROR(IF(INDEX(tt_Other,MATCH(D1649,tt_Type,0))="",E1649&amp;"",INDEX(tt_Other,MATCH(D1649,tt_Type,0))),""))</f>
        <v/>
      </c>
      <c r="W1649" s="68">
        <f>IF(OR(TaxOn&lt;&gt;"Yes",NOT(ISNUMBER(M1649))),0,IF(IFERROR(INDEX(tt_Tax,MATCH(D1649,tt_Type,0)),"No")="Yes",M1649,0))</f>
        <v/>
      </c>
      <c r="X1649" s="67">
        <f>IF(T1649=1,"",IF(C1649="","Missing transaction date",IF(NOT(ISNUMBER(C1649)),"Invalid date",IF(OR(C1649&lt;DATE(2000,1,1),C1649&gt;DATE(2099,12,31)),"Invalid date",IF(D1649="","Select a type",IF(U1649="","Unknown type: "&amp;D1649,IF(V1649="","Select an account (Category)",IF(ISNA(MATCH(V1649,coa_Name,0)),"Unknown account: "&amp;V1649,IF(K1649="","Select Paid From / Deposited To",IF(ISNA(MATCH(K1649,coa_Name,0)),"Unknown account: "&amp;K1649,IF(NOT(ISNUMBER(L1649)),"Enter an amount",IF(L1649=0,"Enter an amount",IF(ABS(W1649)&gt;ABS(L1649),"Tax is larger than the amount","")))))))))))))</f>
        <v/>
      </c>
      <c r="Y1649" s="67">
        <f>IF(OR(T1649=1,X1649&lt;&gt;""),"",IF(AND(B1649&lt;&gt;"",COUNTIF(tx_ID,B1649)&gt;1),"Duplicate transaction ID",IF(AND(L1649&lt;0,D1649&lt;&gt;"Adjustment"),"Negative amount — check this entry",IF(AND(D1649="Customer Payment",G1649=""),"Add the customer",IF(AND(D1649="Customer Payment",OR(J1649="",COUNTIF(ar_No,J1649&amp;"")=0)),"Invoice # in Reference not found on AR sheet",IF(AND(D1649="Bill Payment",H1649=""),"Add the vendor",IF(AND(D1649="Bill Payment",OR(J1649="",COUNTIFS(ap_No,J1649&amp;"",ap_Party,H1649&amp;"")=0)),"Bill # + vendor not found on AP sheet",IF(AND(ISNUMBER(M1649),N(M1649)&lt;&gt;0,W1649=0),"Tax ignored (tax tracking off, or not allowed for this type)",IF(V1649=K1649&amp;"","Same account on both sides",IF(AND(ISNUMBER(StartDate),C1649&lt;StartDate),"Date is before the accounting start date",IF(AND(D1649&lt;&gt;"Adjustment",IFERROR(INDEX(coa_Pay,MATCH(K1649&amp;"",coa_Name,0)),"")&lt;&gt;"Yes"),"Paid From / Deposited To is not a payment account","")))))))))))</f>
        <v/>
      </c>
      <c r="Z1649" s="67">
        <f>IF(AND(T1649=0,X1649=""),1,0)</f>
        <v/>
      </c>
      <c r="AA1649" s="68">
        <f>IF(Z1649=1,IF(U1649="In",L1649,L1649-W1649),0)</f>
        <v/>
      </c>
      <c r="AB1649" s="68">
        <f>IF(Z1649=1,IF(U1649="In",L1649-W1649,L1649),0)</f>
        <v/>
      </c>
      <c r="AC1649" s="68">
        <f>IF(AND(Z1649=1,U1649="Out"),W1649,0)</f>
        <v/>
      </c>
      <c r="AD1649" s="68">
        <f>IF(AND(Z1649=1,U1649="In"),W1649,0)</f>
        <v/>
      </c>
    </row>
    <row r="1650">
      <c r="B1650" s="62" t="inlineStr">
        <is>
          <t>TX-1644</t>
        </is>
      </c>
      <c r="C1650" s="63" t="n"/>
      <c r="D1650" s="62" t="n"/>
      <c r="E1650" s="62" t="n"/>
      <c r="F1650" s="62" t="n"/>
      <c r="G1650" s="62" t="n"/>
      <c r="H1650" s="62" t="n"/>
      <c r="I1650" s="62" t="n"/>
      <c r="J1650" s="62" t="n"/>
      <c r="K1650" s="62" t="n"/>
      <c r="L1650" s="64" t="n"/>
      <c r="M1650" s="64" t="n"/>
      <c r="N1650" s="62" t="n"/>
      <c r="O1650" s="65">
        <f>IF(Z1650=1,L1650-W1650,"")</f>
        <v/>
      </c>
      <c r="P1650" s="66">
        <f>IF(V1650="","",IFERROR(INDEX(coa_Type,MATCH(V1650,coa_Name,0)),""))</f>
        <v/>
      </c>
      <c r="Q1650" s="66">
        <f>IF(Z1650=1,IF(U1650="In",K1650&amp;"",V1650),"")</f>
        <v/>
      </c>
      <c r="R1650" s="66">
        <f>IF(Z1650=1,IF(U1650="In",V1650,K1650&amp;""),"")</f>
        <v/>
      </c>
      <c r="S1650" s="66">
        <f>IF(X1650&lt;&gt;"","⛔ "&amp;X1650&amp;" — not posted",IF(Y1650&lt;&gt;"","⚠ "&amp;Y1650,IF(Z1650=1,"✓ OK","")))</f>
        <v/>
      </c>
      <c r="T1650" s="67">
        <f>IF(AND(C1650="",D1650="",E1650="",L1650="",K1650=""),1,0)</f>
        <v/>
      </c>
      <c r="U1650" s="67">
        <f>IFERROR(INDEX(tt_Dir,MATCH(D1650,tt_Type,0)),"")</f>
        <v/>
      </c>
      <c r="V1650" s="67">
        <f>IF(D1650="","",IFERROR(IF(INDEX(tt_Other,MATCH(D1650,tt_Type,0))="",E1650&amp;"",INDEX(tt_Other,MATCH(D1650,tt_Type,0))),""))</f>
        <v/>
      </c>
      <c r="W1650" s="68">
        <f>IF(OR(TaxOn&lt;&gt;"Yes",NOT(ISNUMBER(M1650))),0,IF(IFERROR(INDEX(tt_Tax,MATCH(D1650,tt_Type,0)),"No")="Yes",M1650,0))</f>
        <v/>
      </c>
      <c r="X1650" s="67">
        <f>IF(T1650=1,"",IF(C1650="","Missing transaction date",IF(NOT(ISNUMBER(C1650)),"Invalid date",IF(OR(C1650&lt;DATE(2000,1,1),C1650&gt;DATE(2099,12,31)),"Invalid date",IF(D1650="","Select a type",IF(U1650="","Unknown type: "&amp;D1650,IF(V1650="","Select an account (Category)",IF(ISNA(MATCH(V1650,coa_Name,0)),"Unknown account: "&amp;V1650,IF(K1650="","Select Paid From / Deposited To",IF(ISNA(MATCH(K1650,coa_Name,0)),"Unknown account: "&amp;K1650,IF(NOT(ISNUMBER(L1650)),"Enter an amount",IF(L1650=0,"Enter an amount",IF(ABS(W1650)&gt;ABS(L1650),"Tax is larger than the amount","")))))))))))))</f>
        <v/>
      </c>
      <c r="Y1650" s="67">
        <f>IF(OR(T1650=1,X1650&lt;&gt;""),"",IF(AND(B1650&lt;&gt;"",COUNTIF(tx_ID,B1650)&gt;1),"Duplicate transaction ID",IF(AND(L1650&lt;0,D1650&lt;&gt;"Adjustment"),"Negative amount — check this entry",IF(AND(D1650="Customer Payment",G1650=""),"Add the customer",IF(AND(D1650="Customer Payment",OR(J1650="",COUNTIF(ar_No,J1650&amp;"")=0)),"Invoice # in Reference not found on AR sheet",IF(AND(D1650="Bill Payment",H1650=""),"Add the vendor",IF(AND(D1650="Bill Payment",OR(J1650="",COUNTIFS(ap_No,J1650&amp;"",ap_Party,H1650&amp;"")=0)),"Bill # + vendor not found on AP sheet",IF(AND(ISNUMBER(M1650),N(M1650)&lt;&gt;0,W1650=0),"Tax ignored (tax tracking off, or not allowed for this type)",IF(V1650=K1650&amp;"","Same account on both sides",IF(AND(ISNUMBER(StartDate),C1650&lt;StartDate),"Date is before the accounting start date",IF(AND(D1650&lt;&gt;"Adjustment",IFERROR(INDEX(coa_Pay,MATCH(K1650&amp;"",coa_Name,0)),"")&lt;&gt;"Yes"),"Paid From / Deposited To is not a payment account","")))))))))))</f>
        <v/>
      </c>
      <c r="Z1650" s="67">
        <f>IF(AND(T1650=0,X1650=""),1,0)</f>
        <v/>
      </c>
      <c r="AA1650" s="68">
        <f>IF(Z1650=1,IF(U1650="In",L1650,L1650-W1650),0)</f>
        <v/>
      </c>
      <c r="AB1650" s="68">
        <f>IF(Z1650=1,IF(U1650="In",L1650-W1650,L1650),0)</f>
        <v/>
      </c>
      <c r="AC1650" s="68">
        <f>IF(AND(Z1650=1,U1650="Out"),W1650,0)</f>
        <v/>
      </c>
      <c r="AD1650" s="68">
        <f>IF(AND(Z1650=1,U1650="In"),W1650,0)</f>
        <v/>
      </c>
    </row>
    <row r="1651">
      <c r="B1651" s="62" t="inlineStr">
        <is>
          <t>TX-1645</t>
        </is>
      </c>
      <c r="C1651" s="63" t="n"/>
      <c r="D1651" s="62" t="n"/>
      <c r="E1651" s="62" t="n"/>
      <c r="F1651" s="62" t="n"/>
      <c r="G1651" s="62" t="n"/>
      <c r="H1651" s="62" t="n"/>
      <c r="I1651" s="62" t="n"/>
      <c r="J1651" s="62" t="n"/>
      <c r="K1651" s="62" t="n"/>
      <c r="L1651" s="64" t="n"/>
      <c r="M1651" s="64" t="n"/>
      <c r="N1651" s="62" t="n"/>
      <c r="O1651" s="65">
        <f>IF(Z1651=1,L1651-W1651,"")</f>
        <v/>
      </c>
      <c r="P1651" s="66">
        <f>IF(V1651="","",IFERROR(INDEX(coa_Type,MATCH(V1651,coa_Name,0)),""))</f>
        <v/>
      </c>
      <c r="Q1651" s="66">
        <f>IF(Z1651=1,IF(U1651="In",K1651&amp;"",V1651),"")</f>
        <v/>
      </c>
      <c r="R1651" s="66">
        <f>IF(Z1651=1,IF(U1651="In",V1651,K1651&amp;""),"")</f>
        <v/>
      </c>
      <c r="S1651" s="66">
        <f>IF(X1651&lt;&gt;"","⛔ "&amp;X1651&amp;" — not posted",IF(Y1651&lt;&gt;"","⚠ "&amp;Y1651,IF(Z1651=1,"✓ OK","")))</f>
        <v/>
      </c>
      <c r="T1651" s="67">
        <f>IF(AND(C1651="",D1651="",E1651="",L1651="",K1651=""),1,0)</f>
        <v/>
      </c>
      <c r="U1651" s="67">
        <f>IFERROR(INDEX(tt_Dir,MATCH(D1651,tt_Type,0)),"")</f>
        <v/>
      </c>
      <c r="V1651" s="67">
        <f>IF(D1651="","",IFERROR(IF(INDEX(tt_Other,MATCH(D1651,tt_Type,0))="",E1651&amp;"",INDEX(tt_Other,MATCH(D1651,tt_Type,0))),""))</f>
        <v/>
      </c>
      <c r="W1651" s="68">
        <f>IF(OR(TaxOn&lt;&gt;"Yes",NOT(ISNUMBER(M1651))),0,IF(IFERROR(INDEX(tt_Tax,MATCH(D1651,tt_Type,0)),"No")="Yes",M1651,0))</f>
        <v/>
      </c>
      <c r="X1651" s="67">
        <f>IF(T1651=1,"",IF(C1651="","Missing transaction date",IF(NOT(ISNUMBER(C1651)),"Invalid date",IF(OR(C1651&lt;DATE(2000,1,1),C1651&gt;DATE(2099,12,31)),"Invalid date",IF(D1651="","Select a type",IF(U1651="","Unknown type: "&amp;D1651,IF(V1651="","Select an account (Category)",IF(ISNA(MATCH(V1651,coa_Name,0)),"Unknown account: "&amp;V1651,IF(K1651="","Select Paid From / Deposited To",IF(ISNA(MATCH(K1651,coa_Name,0)),"Unknown account: "&amp;K1651,IF(NOT(ISNUMBER(L1651)),"Enter an amount",IF(L1651=0,"Enter an amount",IF(ABS(W1651)&gt;ABS(L1651),"Tax is larger than the amount","")))))))))))))</f>
        <v/>
      </c>
      <c r="Y1651" s="67">
        <f>IF(OR(T1651=1,X1651&lt;&gt;""),"",IF(AND(B1651&lt;&gt;"",COUNTIF(tx_ID,B1651)&gt;1),"Duplicate transaction ID",IF(AND(L1651&lt;0,D1651&lt;&gt;"Adjustment"),"Negative amount — check this entry",IF(AND(D1651="Customer Payment",G1651=""),"Add the customer",IF(AND(D1651="Customer Payment",OR(J1651="",COUNTIF(ar_No,J1651&amp;"")=0)),"Invoice # in Reference not found on AR sheet",IF(AND(D1651="Bill Payment",H1651=""),"Add the vendor",IF(AND(D1651="Bill Payment",OR(J1651="",COUNTIFS(ap_No,J1651&amp;"",ap_Party,H1651&amp;"")=0)),"Bill # + vendor not found on AP sheet",IF(AND(ISNUMBER(M1651),N(M1651)&lt;&gt;0,W1651=0),"Tax ignored (tax tracking off, or not allowed for this type)",IF(V1651=K1651&amp;"","Same account on both sides",IF(AND(ISNUMBER(StartDate),C1651&lt;StartDate),"Date is before the accounting start date",IF(AND(D1651&lt;&gt;"Adjustment",IFERROR(INDEX(coa_Pay,MATCH(K1651&amp;"",coa_Name,0)),"")&lt;&gt;"Yes"),"Paid From / Deposited To is not a payment account","")))))))))))</f>
        <v/>
      </c>
      <c r="Z1651" s="67">
        <f>IF(AND(T1651=0,X1651=""),1,0)</f>
        <v/>
      </c>
      <c r="AA1651" s="68">
        <f>IF(Z1651=1,IF(U1651="In",L1651,L1651-W1651),0)</f>
        <v/>
      </c>
      <c r="AB1651" s="68">
        <f>IF(Z1651=1,IF(U1651="In",L1651-W1651,L1651),0)</f>
        <v/>
      </c>
      <c r="AC1651" s="68">
        <f>IF(AND(Z1651=1,U1651="Out"),W1651,0)</f>
        <v/>
      </c>
      <c r="AD1651" s="68">
        <f>IF(AND(Z1651=1,U1651="In"),W1651,0)</f>
        <v/>
      </c>
    </row>
    <row r="1652">
      <c r="B1652" s="62" t="inlineStr">
        <is>
          <t>TX-1646</t>
        </is>
      </c>
      <c r="C1652" s="63" t="n"/>
      <c r="D1652" s="62" t="n"/>
      <c r="E1652" s="62" t="n"/>
      <c r="F1652" s="62" t="n"/>
      <c r="G1652" s="62" t="n"/>
      <c r="H1652" s="62" t="n"/>
      <c r="I1652" s="62" t="n"/>
      <c r="J1652" s="62" t="n"/>
      <c r="K1652" s="62" t="n"/>
      <c r="L1652" s="64" t="n"/>
      <c r="M1652" s="64" t="n"/>
      <c r="N1652" s="62" t="n"/>
      <c r="O1652" s="65">
        <f>IF(Z1652=1,L1652-W1652,"")</f>
        <v/>
      </c>
      <c r="P1652" s="66">
        <f>IF(V1652="","",IFERROR(INDEX(coa_Type,MATCH(V1652,coa_Name,0)),""))</f>
        <v/>
      </c>
      <c r="Q1652" s="66">
        <f>IF(Z1652=1,IF(U1652="In",K1652&amp;"",V1652),"")</f>
        <v/>
      </c>
      <c r="R1652" s="66">
        <f>IF(Z1652=1,IF(U1652="In",V1652,K1652&amp;""),"")</f>
        <v/>
      </c>
      <c r="S1652" s="66">
        <f>IF(X1652&lt;&gt;"","⛔ "&amp;X1652&amp;" — not posted",IF(Y1652&lt;&gt;"","⚠ "&amp;Y1652,IF(Z1652=1,"✓ OK","")))</f>
        <v/>
      </c>
      <c r="T1652" s="67">
        <f>IF(AND(C1652="",D1652="",E1652="",L1652="",K1652=""),1,0)</f>
        <v/>
      </c>
      <c r="U1652" s="67">
        <f>IFERROR(INDEX(tt_Dir,MATCH(D1652,tt_Type,0)),"")</f>
        <v/>
      </c>
      <c r="V1652" s="67">
        <f>IF(D1652="","",IFERROR(IF(INDEX(tt_Other,MATCH(D1652,tt_Type,0))="",E1652&amp;"",INDEX(tt_Other,MATCH(D1652,tt_Type,0))),""))</f>
        <v/>
      </c>
      <c r="W1652" s="68">
        <f>IF(OR(TaxOn&lt;&gt;"Yes",NOT(ISNUMBER(M1652))),0,IF(IFERROR(INDEX(tt_Tax,MATCH(D1652,tt_Type,0)),"No")="Yes",M1652,0))</f>
        <v/>
      </c>
      <c r="X1652" s="67">
        <f>IF(T1652=1,"",IF(C1652="","Missing transaction date",IF(NOT(ISNUMBER(C1652)),"Invalid date",IF(OR(C1652&lt;DATE(2000,1,1),C1652&gt;DATE(2099,12,31)),"Invalid date",IF(D1652="","Select a type",IF(U1652="","Unknown type: "&amp;D1652,IF(V1652="","Select an account (Category)",IF(ISNA(MATCH(V1652,coa_Name,0)),"Unknown account: "&amp;V1652,IF(K1652="","Select Paid From / Deposited To",IF(ISNA(MATCH(K1652,coa_Name,0)),"Unknown account: "&amp;K1652,IF(NOT(ISNUMBER(L1652)),"Enter an amount",IF(L1652=0,"Enter an amount",IF(ABS(W1652)&gt;ABS(L1652),"Tax is larger than the amount","")))))))))))))</f>
        <v/>
      </c>
      <c r="Y1652" s="67">
        <f>IF(OR(T1652=1,X1652&lt;&gt;""),"",IF(AND(B1652&lt;&gt;"",COUNTIF(tx_ID,B1652)&gt;1),"Duplicate transaction ID",IF(AND(L1652&lt;0,D1652&lt;&gt;"Adjustment"),"Negative amount — check this entry",IF(AND(D1652="Customer Payment",G1652=""),"Add the customer",IF(AND(D1652="Customer Payment",OR(J1652="",COUNTIF(ar_No,J1652&amp;"")=0)),"Invoice # in Reference not found on AR sheet",IF(AND(D1652="Bill Payment",H1652=""),"Add the vendor",IF(AND(D1652="Bill Payment",OR(J1652="",COUNTIFS(ap_No,J1652&amp;"",ap_Party,H1652&amp;"")=0)),"Bill # + vendor not found on AP sheet",IF(AND(ISNUMBER(M1652),N(M1652)&lt;&gt;0,W1652=0),"Tax ignored (tax tracking off, or not allowed for this type)",IF(V1652=K1652&amp;"","Same account on both sides",IF(AND(ISNUMBER(StartDate),C1652&lt;StartDate),"Date is before the accounting start date",IF(AND(D1652&lt;&gt;"Adjustment",IFERROR(INDEX(coa_Pay,MATCH(K1652&amp;"",coa_Name,0)),"")&lt;&gt;"Yes"),"Paid From / Deposited To is not a payment account","")))))))))))</f>
        <v/>
      </c>
      <c r="Z1652" s="67">
        <f>IF(AND(T1652=0,X1652=""),1,0)</f>
        <v/>
      </c>
      <c r="AA1652" s="68">
        <f>IF(Z1652=1,IF(U1652="In",L1652,L1652-W1652),0)</f>
        <v/>
      </c>
      <c r="AB1652" s="68">
        <f>IF(Z1652=1,IF(U1652="In",L1652-W1652,L1652),0)</f>
        <v/>
      </c>
      <c r="AC1652" s="68">
        <f>IF(AND(Z1652=1,U1652="Out"),W1652,0)</f>
        <v/>
      </c>
      <c r="AD1652" s="68">
        <f>IF(AND(Z1652=1,U1652="In"),W1652,0)</f>
        <v/>
      </c>
    </row>
    <row r="1653">
      <c r="B1653" s="62" t="inlineStr">
        <is>
          <t>TX-1647</t>
        </is>
      </c>
      <c r="C1653" s="63" t="n"/>
      <c r="D1653" s="62" t="n"/>
      <c r="E1653" s="62" t="n"/>
      <c r="F1653" s="62" t="n"/>
      <c r="G1653" s="62" t="n"/>
      <c r="H1653" s="62" t="n"/>
      <c r="I1653" s="62" t="n"/>
      <c r="J1653" s="62" t="n"/>
      <c r="K1653" s="62" t="n"/>
      <c r="L1653" s="64" t="n"/>
      <c r="M1653" s="64" t="n"/>
      <c r="N1653" s="62" t="n"/>
      <c r="O1653" s="65">
        <f>IF(Z1653=1,L1653-W1653,"")</f>
        <v/>
      </c>
      <c r="P1653" s="66">
        <f>IF(V1653="","",IFERROR(INDEX(coa_Type,MATCH(V1653,coa_Name,0)),""))</f>
        <v/>
      </c>
      <c r="Q1653" s="66">
        <f>IF(Z1653=1,IF(U1653="In",K1653&amp;"",V1653),"")</f>
        <v/>
      </c>
      <c r="R1653" s="66">
        <f>IF(Z1653=1,IF(U1653="In",V1653,K1653&amp;""),"")</f>
        <v/>
      </c>
      <c r="S1653" s="66">
        <f>IF(X1653&lt;&gt;"","⛔ "&amp;X1653&amp;" — not posted",IF(Y1653&lt;&gt;"","⚠ "&amp;Y1653,IF(Z1653=1,"✓ OK","")))</f>
        <v/>
      </c>
      <c r="T1653" s="67">
        <f>IF(AND(C1653="",D1653="",E1653="",L1653="",K1653=""),1,0)</f>
        <v/>
      </c>
      <c r="U1653" s="67">
        <f>IFERROR(INDEX(tt_Dir,MATCH(D1653,tt_Type,0)),"")</f>
        <v/>
      </c>
      <c r="V1653" s="67">
        <f>IF(D1653="","",IFERROR(IF(INDEX(tt_Other,MATCH(D1653,tt_Type,0))="",E1653&amp;"",INDEX(tt_Other,MATCH(D1653,tt_Type,0))),""))</f>
        <v/>
      </c>
      <c r="W1653" s="68">
        <f>IF(OR(TaxOn&lt;&gt;"Yes",NOT(ISNUMBER(M1653))),0,IF(IFERROR(INDEX(tt_Tax,MATCH(D1653,tt_Type,0)),"No")="Yes",M1653,0))</f>
        <v/>
      </c>
      <c r="X1653" s="67">
        <f>IF(T1653=1,"",IF(C1653="","Missing transaction date",IF(NOT(ISNUMBER(C1653)),"Invalid date",IF(OR(C1653&lt;DATE(2000,1,1),C1653&gt;DATE(2099,12,31)),"Invalid date",IF(D1653="","Select a type",IF(U1653="","Unknown type: "&amp;D1653,IF(V1653="","Select an account (Category)",IF(ISNA(MATCH(V1653,coa_Name,0)),"Unknown account: "&amp;V1653,IF(K1653="","Select Paid From / Deposited To",IF(ISNA(MATCH(K1653,coa_Name,0)),"Unknown account: "&amp;K1653,IF(NOT(ISNUMBER(L1653)),"Enter an amount",IF(L1653=0,"Enter an amount",IF(ABS(W1653)&gt;ABS(L1653),"Tax is larger than the amount","")))))))))))))</f>
        <v/>
      </c>
      <c r="Y1653" s="67">
        <f>IF(OR(T1653=1,X1653&lt;&gt;""),"",IF(AND(B1653&lt;&gt;"",COUNTIF(tx_ID,B1653)&gt;1),"Duplicate transaction ID",IF(AND(L1653&lt;0,D1653&lt;&gt;"Adjustment"),"Negative amount — check this entry",IF(AND(D1653="Customer Payment",G1653=""),"Add the customer",IF(AND(D1653="Customer Payment",OR(J1653="",COUNTIF(ar_No,J1653&amp;"")=0)),"Invoice # in Reference not found on AR sheet",IF(AND(D1653="Bill Payment",H1653=""),"Add the vendor",IF(AND(D1653="Bill Payment",OR(J1653="",COUNTIFS(ap_No,J1653&amp;"",ap_Party,H1653&amp;"")=0)),"Bill # + vendor not found on AP sheet",IF(AND(ISNUMBER(M1653),N(M1653)&lt;&gt;0,W1653=0),"Tax ignored (tax tracking off, or not allowed for this type)",IF(V1653=K1653&amp;"","Same account on both sides",IF(AND(ISNUMBER(StartDate),C1653&lt;StartDate),"Date is before the accounting start date",IF(AND(D1653&lt;&gt;"Adjustment",IFERROR(INDEX(coa_Pay,MATCH(K1653&amp;"",coa_Name,0)),"")&lt;&gt;"Yes"),"Paid From / Deposited To is not a payment account","")))))))))))</f>
        <v/>
      </c>
      <c r="Z1653" s="67">
        <f>IF(AND(T1653=0,X1653=""),1,0)</f>
        <v/>
      </c>
      <c r="AA1653" s="68">
        <f>IF(Z1653=1,IF(U1653="In",L1653,L1653-W1653),0)</f>
        <v/>
      </c>
      <c r="AB1653" s="68">
        <f>IF(Z1653=1,IF(U1653="In",L1653-W1653,L1653),0)</f>
        <v/>
      </c>
      <c r="AC1653" s="68">
        <f>IF(AND(Z1653=1,U1653="Out"),W1653,0)</f>
        <v/>
      </c>
      <c r="AD1653" s="68">
        <f>IF(AND(Z1653=1,U1653="In"),W1653,0)</f>
        <v/>
      </c>
    </row>
    <row r="1654">
      <c r="B1654" s="62" t="inlineStr">
        <is>
          <t>TX-1648</t>
        </is>
      </c>
      <c r="C1654" s="63" t="n"/>
      <c r="D1654" s="62" t="n"/>
      <c r="E1654" s="62" t="n"/>
      <c r="F1654" s="62" t="n"/>
      <c r="G1654" s="62" t="n"/>
      <c r="H1654" s="62" t="n"/>
      <c r="I1654" s="62" t="n"/>
      <c r="J1654" s="62" t="n"/>
      <c r="K1654" s="62" t="n"/>
      <c r="L1654" s="64" t="n"/>
      <c r="M1654" s="64" t="n"/>
      <c r="N1654" s="62" t="n"/>
      <c r="O1654" s="65">
        <f>IF(Z1654=1,L1654-W1654,"")</f>
        <v/>
      </c>
      <c r="P1654" s="66">
        <f>IF(V1654="","",IFERROR(INDEX(coa_Type,MATCH(V1654,coa_Name,0)),""))</f>
        <v/>
      </c>
      <c r="Q1654" s="66">
        <f>IF(Z1654=1,IF(U1654="In",K1654&amp;"",V1654),"")</f>
        <v/>
      </c>
      <c r="R1654" s="66">
        <f>IF(Z1654=1,IF(U1654="In",V1654,K1654&amp;""),"")</f>
        <v/>
      </c>
      <c r="S1654" s="66">
        <f>IF(X1654&lt;&gt;"","⛔ "&amp;X1654&amp;" — not posted",IF(Y1654&lt;&gt;"","⚠ "&amp;Y1654,IF(Z1654=1,"✓ OK","")))</f>
        <v/>
      </c>
      <c r="T1654" s="67">
        <f>IF(AND(C1654="",D1654="",E1654="",L1654="",K1654=""),1,0)</f>
        <v/>
      </c>
      <c r="U1654" s="67">
        <f>IFERROR(INDEX(tt_Dir,MATCH(D1654,tt_Type,0)),"")</f>
        <v/>
      </c>
      <c r="V1654" s="67">
        <f>IF(D1654="","",IFERROR(IF(INDEX(tt_Other,MATCH(D1654,tt_Type,0))="",E1654&amp;"",INDEX(tt_Other,MATCH(D1654,tt_Type,0))),""))</f>
        <v/>
      </c>
      <c r="W1654" s="68">
        <f>IF(OR(TaxOn&lt;&gt;"Yes",NOT(ISNUMBER(M1654))),0,IF(IFERROR(INDEX(tt_Tax,MATCH(D1654,tt_Type,0)),"No")="Yes",M1654,0))</f>
        <v/>
      </c>
      <c r="X1654" s="67">
        <f>IF(T1654=1,"",IF(C1654="","Missing transaction date",IF(NOT(ISNUMBER(C1654)),"Invalid date",IF(OR(C1654&lt;DATE(2000,1,1),C1654&gt;DATE(2099,12,31)),"Invalid date",IF(D1654="","Select a type",IF(U1654="","Unknown type: "&amp;D1654,IF(V1654="","Select an account (Category)",IF(ISNA(MATCH(V1654,coa_Name,0)),"Unknown account: "&amp;V1654,IF(K1654="","Select Paid From / Deposited To",IF(ISNA(MATCH(K1654,coa_Name,0)),"Unknown account: "&amp;K1654,IF(NOT(ISNUMBER(L1654)),"Enter an amount",IF(L1654=0,"Enter an amount",IF(ABS(W1654)&gt;ABS(L1654),"Tax is larger than the amount","")))))))))))))</f>
        <v/>
      </c>
      <c r="Y1654" s="67">
        <f>IF(OR(T1654=1,X1654&lt;&gt;""),"",IF(AND(B1654&lt;&gt;"",COUNTIF(tx_ID,B1654)&gt;1),"Duplicate transaction ID",IF(AND(L1654&lt;0,D1654&lt;&gt;"Adjustment"),"Negative amount — check this entry",IF(AND(D1654="Customer Payment",G1654=""),"Add the customer",IF(AND(D1654="Customer Payment",OR(J1654="",COUNTIF(ar_No,J1654&amp;"")=0)),"Invoice # in Reference not found on AR sheet",IF(AND(D1654="Bill Payment",H1654=""),"Add the vendor",IF(AND(D1654="Bill Payment",OR(J1654="",COUNTIFS(ap_No,J1654&amp;"",ap_Party,H1654&amp;"")=0)),"Bill # + vendor not found on AP sheet",IF(AND(ISNUMBER(M1654),N(M1654)&lt;&gt;0,W1654=0),"Tax ignored (tax tracking off, or not allowed for this type)",IF(V1654=K1654&amp;"","Same account on both sides",IF(AND(ISNUMBER(StartDate),C1654&lt;StartDate),"Date is before the accounting start date",IF(AND(D1654&lt;&gt;"Adjustment",IFERROR(INDEX(coa_Pay,MATCH(K1654&amp;"",coa_Name,0)),"")&lt;&gt;"Yes"),"Paid From / Deposited To is not a payment account","")))))))))))</f>
        <v/>
      </c>
      <c r="Z1654" s="67">
        <f>IF(AND(T1654=0,X1654=""),1,0)</f>
        <v/>
      </c>
      <c r="AA1654" s="68">
        <f>IF(Z1654=1,IF(U1654="In",L1654,L1654-W1654),0)</f>
        <v/>
      </c>
      <c r="AB1654" s="68">
        <f>IF(Z1654=1,IF(U1654="In",L1654-W1654,L1654),0)</f>
        <v/>
      </c>
      <c r="AC1654" s="68">
        <f>IF(AND(Z1654=1,U1654="Out"),W1654,0)</f>
        <v/>
      </c>
      <c r="AD1654" s="68">
        <f>IF(AND(Z1654=1,U1654="In"),W1654,0)</f>
        <v/>
      </c>
    </row>
    <row r="1655">
      <c r="B1655" s="62" t="inlineStr">
        <is>
          <t>TX-1649</t>
        </is>
      </c>
      <c r="C1655" s="63" t="n"/>
      <c r="D1655" s="62" t="n"/>
      <c r="E1655" s="62" t="n"/>
      <c r="F1655" s="62" t="n"/>
      <c r="G1655" s="62" t="n"/>
      <c r="H1655" s="62" t="n"/>
      <c r="I1655" s="62" t="n"/>
      <c r="J1655" s="62" t="n"/>
      <c r="K1655" s="62" t="n"/>
      <c r="L1655" s="64" t="n"/>
      <c r="M1655" s="64" t="n"/>
      <c r="N1655" s="62" t="n"/>
      <c r="O1655" s="65">
        <f>IF(Z1655=1,L1655-W1655,"")</f>
        <v/>
      </c>
      <c r="P1655" s="66">
        <f>IF(V1655="","",IFERROR(INDEX(coa_Type,MATCH(V1655,coa_Name,0)),""))</f>
        <v/>
      </c>
      <c r="Q1655" s="66">
        <f>IF(Z1655=1,IF(U1655="In",K1655&amp;"",V1655),"")</f>
        <v/>
      </c>
      <c r="R1655" s="66">
        <f>IF(Z1655=1,IF(U1655="In",V1655,K1655&amp;""),"")</f>
        <v/>
      </c>
      <c r="S1655" s="66">
        <f>IF(X1655&lt;&gt;"","⛔ "&amp;X1655&amp;" — not posted",IF(Y1655&lt;&gt;"","⚠ "&amp;Y1655,IF(Z1655=1,"✓ OK","")))</f>
        <v/>
      </c>
      <c r="T1655" s="67">
        <f>IF(AND(C1655="",D1655="",E1655="",L1655="",K1655=""),1,0)</f>
        <v/>
      </c>
      <c r="U1655" s="67">
        <f>IFERROR(INDEX(tt_Dir,MATCH(D1655,tt_Type,0)),"")</f>
        <v/>
      </c>
      <c r="V1655" s="67">
        <f>IF(D1655="","",IFERROR(IF(INDEX(tt_Other,MATCH(D1655,tt_Type,0))="",E1655&amp;"",INDEX(tt_Other,MATCH(D1655,tt_Type,0))),""))</f>
        <v/>
      </c>
      <c r="W1655" s="68">
        <f>IF(OR(TaxOn&lt;&gt;"Yes",NOT(ISNUMBER(M1655))),0,IF(IFERROR(INDEX(tt_Tax,MATCH(D1655,tt_Type,0)),"No")="Yes",M1655,0))</f>
        <v/>
      </c>
      <c r="X1655" s="67">
        <f>IF(T1655=1,"",IF(C1655="","Missing transaction date",IF(NOT(ISNUMBER(C1655)),"Invalid date",IF(OR(C1655&lt;DATE(2000,1,1),C1655&gt;DATE(2099,12,31)),"Invalid date",IF(D1655="","Select a type",IF(U1655="","Unknown type: "&amp;D1655,IF(V1655="","Select an account (Category)",IF(ISNA(MATCH(V1655,coa_Name,0)),"Unknown account: "&amp;V1655,IF(K1655="","Select Paid From / Deposited To",IF(ISNA(MATCH(K1655,coa_Name,0)),"Unknown account: "&amp;K1655,IF(NOT(ISNUMBER(L1655)),"Enter an amount",IF(L1655=0,"Enter an amount",IF(ABS(W1655)&gt;ABS(L1655),"Tax is larger than the amount","")))))))))))))</f>
        <v/>
      </c>
      <c r="Y1655" s="67">
        <f>IF(OR(T1655=1,X1655&lt;&gt;""),"",IF(AND(B1655&lt;&gt;"",COUNTIF(tx_ID,B1655)&gt;1),"Duplicate transaction ID",IF(AND(L1655&lt;0,D1655&lt;&gt;"Adjustment"),"Negative amount — check this entry",IF(AND(D1655="Customer Payment",G1655=""),"Add the customer",IF(AND(D1655="Customer Payment",OR(J1655="",COUNTIF(ar_No,J1655&amp;"")=0)),"Invoice # in Reference not found on AR sheet",IF(AND(D1655="Bill Payment",H1655=""),"Add the vendor",IF(AND(D1655="Bill Payment",OR(J1655="",COUNTIFS(ap_No,J1655&amp;"",ap_Party,H1655&amp;"")=0)),"Bill # + vendor not found on AP sheet",IF(AND(ISNUMBER(M1655),N(M1655)&lt;&gt;0,W1655=0),"Tax ignored (tax tracking off, or not allowed for this type)",IF(V1655=K1655&amp;"","Same account on both sides",IF(AND(ISNUMBER(StartDate),C1655&lt;StartDate),"Date is before the accounting start date",IF(AND(D1655&lt;&gt;"Adjustment",IFERROR(INDEX(coa_Pay,MATCH(K1655&amp;"",coa_Name,0)),"")&lt;&gt;"Yes"),"Paid From / Deposited To is not a payment account","")))))))))))</f>
        <v/>
      </c>
      <c r="Z1655" s="67">
        <f>IF(AND(T1655=0,X1655=""),1,0)</f>
        <v/>
      </c>
      <c r="AA1655" s="68">
        <f>IF(Z1655=1,IF(U1655="In",L1655,L1655-W1655),0)</f>
        <v/>
      </c>
      <c r="AB1655" s="68">
        <f>IF(Z1655=1,IF(U1655="In",L1655-W1655,L1655),0)</f>
        <v/>
      </c>
      <c r="AC1655" s="68">
        <f>IF(AND(Z1655=1,U1655="Out"),W1655,0)</f>
        <v/>
      </c>
      <c r="AD1655" s="68">
        <f>IF(AND(Z1655=1,U1655="In"),W1655,0)</f>
        <v/>
      </c>
    </row>
    <row r="1656">
      <c r="B1656" s="62" t="inlineStr">
        <is>
          <t>TX-1650</t>
        </is>
      </c>
      <c r="C1656" s="63" t="n"/>
      <c r="D1656" s="62" t="n"/>
      <c r="E1656" s="62" t="n"/>
      <c r="F1656" s="62" t="n"/>
      <c r="G1656" s="62" t="n"/>
      <c r="H1656" s="62" t="n"/>
      <c r="I1656" s="62" t="n"/>
      <c r="J1656" s="62" t="n"/>
      <c r="K1656" s="62" t="n"/>
      <c r="L1656" s="64" t="n"/>
      <c r="M1656" s="64" t="n"/>
      <c r="N1656" s="62" t="n"/>
      <c r="O1656" s="65">
        <f>IF(Z1656=1,L1656-W1656,"")</f>
        <v/>
      </c>
      <c r="P1656" s="66">
        <f>IF(V1656="","",IFERROR(INDEX(coa_Type,MATCH(V1656,coa_Name,0)),""))</f>
        <v/>
      </c>
      <c r="Q1656" s="66">
        <f>IF(Z1656=1,IF(U1656="In",K1656&amp;"",V1656),"")</f>
        <v/>
      </c>
      <c r="R1656" s="66">
        <f>IF(Z1656=1,IF(U1656="In",V1656,K1656&amp;""),"")</f>
        <v/>
      </c>
      <c r="S1656" s="66">
        <f>IF(X1656&lt;&gt;"","⛔ "&amp;X1656&amp;" — not posted",IF(Y1656&lt;&gt;"","⚠ "&amp;Y1656,IF(Z1656=1,"✓ OK","")))</f>
        <v/>
      </c>
      <c r="T1656" s="67">
        <f>IF(AND(C1656="",D1656="",E1656="",L1656="",K1656=""),1,0)</f>
        <v/>
      </c>
      <c r="U1656" s="67">
        <f>IFERROR(INDEX(tt_Dir,MATCH(D1656,tt_Type,0)),"")</f>
        <v/>
      </c>
      <c r="V1656" s="67">
        <f>IF(D1656="","",IFERROR(IF(INDEX(tt_Other,MATCH(D1656,tt_Type,0))="",E1656&amp;"",INDEX(tt_Other,MATCH(D1656,tt_Type,0))),""))</f>
        <v/>
      </c>
      <c r="W1656" s="68">
        <f>IF(OR(TaxOn&lt;&gt;"Yes",NOT(ISNUMBER(M1656))),0,IF(IFERROR(INDEX(tt_Tax,MATCH(D1656,tt_Type,0)),"No")="Yes",M1656,0))</f>
        <v/>
      </c>
      <c r="X1656" s="67">
        <f>IF(T1656=1,"",IF(C1656="","Missing transaction date",IF(NOT(ISNUMBER(C1656)),"Invalid date",IF(OR(C1656&lt;DATE(2000,1,1),C1656&gt;DATE(2099,12,31)),"Invalid date",IF(D1656="","Select a type",IF(U1656="","Unknown type: "&amp;D1656,IF(V1656="","Select an account (Category)",IF(ISNA(MATCH(V1656,coa_Name,0)),"Unknown account: "&amp;V1656,IF(K1656="","Select Paid From / Deposited To",IF(ISNA(MATCH(K1656,coa_Name,0)),"Unknown account: "&amp;K1656,IF(NOT(ISNUMBER(L1656)),"Enter an amount",IF(L1656=0,"Enter an amount",IF(ABS(W1656)&gt;ABS(L1656),"Tax is larger than the amount","")))))))))))))</f>
        <v/>
      </c>
      <c r="Y1656" s="67">
        <f>IF(OR(T1656=1,X1656&lt;&gt;""),"",IF(AND(B1656&lt;&gt;"",COUNTIF(tx_ID,B1656)&gt;1),"Duplicate transaction ID",IF(AND(L1656&lt;0,D1656&lt;&gt;"Adjustment"),"Negative amount — check this entry",IF(AND(D1656="Customer Payment",G1656=""),"Add the customer",IF(AND(D1656="Customer Payment",OR(J1656="",COUNTIF(ar_No,J1656&amp;"")=0)),"Invoice # in Reference not found on AR sheet",IF(AND(D1656="Bill Payment",H1656=""),"Add the vendor",IF(AND(D1656="Bill Payment",OR(J1656="",COUNTIFS(ap_No,J1656&amp;"",ap_Party,H1656&amp;"")=0)),"Bill # + vendor not found on AP sheet",IF(AND(ISNUMBER(M1656),N(M1656)&lt;&gt;0,W1656=0),"Tax ignored (tax tracking off, or not allowed for this type)",IF(V1656=K1656&amp;"","Same account on both sides",IF(AND(ISNUMBER(StartDate),C1656&lt;StartDate),"Date is before the accounting start date",IF(AND(D1656&lt;&gt;"Adjustment",IFERROR(INDEX(coa_Pay,MATCH(K1656&amp;"",coa_Name,0)),"")&lt;&gt;"Yes"),"Paid From / Deposited To is not a payment account","")))))))))))</f>
        <v/>
      </c>
      <c r="Z1656" s="67">
        <f>IF(AND(T1656=0,X1656=""),1,0)</f>
        <v/>
      </c>
      <c r="AA1656" s="68">
        <f>IF(Z1656=1,IF(U1656="In",L1656,L1656-W1656),0)</f>
        <v/>
      </c>
      <c r="AB1656" s="68">
        <f>IF(Z1656=1,IF(U1656="In",L1656-W1656,L1656),0)</f>
        <v/>
      </c>
      <c r="AC1656" s="68">
        <f>IF(AND(Z1656=1,U1656="Out"),W1656,0)</f>
        <v/>
      </c>
      <c r="AD1656" s="68">
        <f>IF(AND(Z1656=1,U1656="In"),W1656,0)</f>
        <v/>
      </c>
    </row>
    <row r="1657">
      <c r="B1657" s="62" t="inlineStr">
        <is>
          <t>TX-1651</t>
        </is>
      </c>
      <c r="C1657" s="63" t="n"/>
      <c r="D1657" s="62" t="n"/>
      <c r="E1657" s="62" t="n"/>
      <c r="F1657" s="62" t="n"/>
      <c r="G1657" s="62" t="n"/>
      <c r="H1657" s="62" t="n"/>
      <c r="I1657" s="62" t="n"/>
      <c r="J1657" s="62" t="n"/>
      <c r="K1657" s="62" t="n"/>
      <c r="L1657" s="64" t="n"/>
      <c r="M1657" s="64" t="n"/>
      <c r="N1657" s="62" t="n"/>
      <c r="O1657" s="65">
        <f>IF(Z1657=1,L1657-W1657,"")</f>
        <v/>
      </c>
      <c r="P1657" s="66">
        <f>IF(V1657="","",IFERROR(INDEX(coa_Type,MATCH(V1657,coa_Name,0)),""))</f>
        <v/>
      </c>
      <c r="Q1657" s="66">
        <f>IF(Z1657=1,IF(U1657="In",K1657&amp;"",V1657),"")</f>
        <v/>
      </c>
      <c r="R1657" s="66">
        <f>IF(Z1657=1,IF(U1657="In",V1657,K1657&amp;""),"")</f>
        <v/>
      </c>
      <c r="S1657" s="66">
        <f>IF(X1657&lt;&gt;"","⛔ "&amp;X1657&amp;" — not posted",IF(Y1657&lt;&gt;"","⚠ "&amp;Y1657,IF(Z1657=1,"✓ OK","")))</f>
        <v/>
      </c>
      <c r="T1657" s="67">
        <f>IF(AND(C1657="",D1657="",E1657="",L1657="",K1657=""),1,0)</f>
        <v/>
      </c>
      <c r="U1657" s="67">
        <f>IFERROR(INDEX(tt_Dir,MATCH(D1657,tt_Type,0)),"")</f>
        <v/>
      </c>
      <c r="V1657" s="67">
        <f>IF(D1657="","",IFERROR(IF(INDEX(tt_Other,MATCH(D1657,tt_Type,0))="",E1657&amp;"",INDEX(tt_Other,MATCH(D1657,tt_Type,0))),""))</f>
        <v/>
      </c>
      <c r="W1657" s="68">
        <f>IF(OR(TaxOn&lt;&gt;"Yes",NOT(ISNUMBER(M1657))),0,IF(IFERROR(INDEX(tt_Tax,MATCH(D1657,tt_Type,0)),"No")="Yes",M1657,0))</f>
        <v/>
      </c>
      <c r="X1657" s="67">
        <f>IF(T1657=1,"",IF(C1657="","Missing transaction date",IF(NOT(ISNUMBER(C1657)),"Invalid date",IF(OR(C1657&lt;DATE(2000,1,1),C1657&gt;DATE(2099,12,31)),"Invalid date",IF(D1657="","Select a type",IF(U1657="","Unknown type: "&amp;D1657,IF(V1657="","Select an account (Category)",IF(ISNA(MATCH(V1657,coa_Name,0)),"Unknown account: "&amp;V1657,IF(K1657="","Select Paid From / Deposited To",IF(ISNA(MATCH(K1657,coa_Name,0)),"Unknown account: "&amp;K1657,IF(NOT(ISNUMBER(L1657)),"Enter an amount",IF(L1657=0,"Enter an amount",IF(ABS(W1657)&gt;ABS(L1657),"Tax is larger than the amount","")))))))))))))</f>
        <v/>
      </c>
      <c r="Y1657" s="67">
        <f>IF(OR(T1657=1,X1657&lt;&gt;""),"",IF(AND(B1657&lt;&gt;"",COUNTIF(tx_ID,B1657)&gt;1),"Duplicate transaction ID",IF(AND(L1657&lt;0,D1657&lt;&gt;"Adjustment"),"Negative amount — check this entry",IF(AND(D1657="Customer Payment",G1657=""),"Add the customer",IF(AND(D1657="Customer Payment",OR(J1657="",COUNTIF(ar_No,J1657&amp;"")=0)),"Invoice # in Reference not found on AR sheet",IF(AND(D1657="Bill Payment",H1657=""),"Add the vendor",IF(AND(D1657="Bill Payment",OR(J1657="",COUNTIFS(ap_No,J1657&amp;"",ap_Party,H1657&amp;"")=0)),"Bill # + vendor not found on AP sheet",IF(AND(ISNUMBER(M1657),N(M1657)&lt;&gt;0,W1657=0),"Tax ignored (tax tracking off, or not allowed for this type)",IF(V1657=K1657&amp;"","Same account on both sides",IF(AND(ISNUMBER(StartDate),C1657&lt;StartDate),"Date is before the accounting start date",IF(AND(D1657&lt;&gt;"Adjustment",IFERROR(INDEX(coa_Pay,MATCH(K1657&amp;"",coa_Name,0)),"")&lt;&gt;"Yes"),"Paid From / Deposited To is not a payment account","")))))))))))</f>
        <v/>
      </c>
      <c r="Z1657" s="67">
        <f>IF(AND(T1657=0,X1657=""),1,0)</f>
        <v/>
      </c>
      <c r="AA1657" s="68">
        <f>IF(Z1657=1,IF(U1657="In",L1657,L1657-W1657),0)</f>
        <v/>
      </c>
      <c r="AB1657" s="68">
        <f>IF(Z1657=1,IF(U1657="In",L1657-W1657,L1657),0)</f>
        <v/>
      </c>
      <c r="AC1657" s="68">
        <f>IF(AND(Z1657=1,U1657="Out"),W1657,0)</f>
        <v/>
      </c>
      <c r="AD1657" s="68">
        <f>IF(AND(Z1657=1,U1657="In"),W1657,0)</f>
        <v/>
      </c>
    </row>
    <row r="1658">
      <c r="B1658" s="62" t="inlineStr">
        <is>
          <t>TX-1652</t>
        </is>
      </c>
      <c r="C1658" s="63" t="n"/>
      <c r="D1658" s="62" t="n"/>
      <c r="E1658" s="62" t="n"/>
      <c r="F1658" s="62" t="n"/>
      <c r="G1658" s="62" t="n"/>
      <c r="H1658" s="62" t="n"/>
      <c r="I1658" s="62" t="n"/>
      <c r="J1658" s="62" t="n"/>
      <c r="K1658" s="62" t="n"/>
      <c r="L1658" s="64" t="n"/>
      <c r="M1658" s="64" t="n"/>
      <c r="N1658" s="62" t="n"/>
      <c r="O1658" s="65">
        <f>IF(Z1658=1,L1658-W1658,"")</f>
        <v/>
      </c>
      <c r="P1658" s="66">
        <f>IF(V1658="","",IFERROR(INDEX(coa_Type,MATCH(V1658,coa_Name,0)),""))</f>
        <v/>
      </c>
      <c r="Q1658" s="66">
        <f>IF(Z1658=1,IF(U1658="In",K1658&amp;"",V1658),"")</f>
        <v/>
      </c>
      <c r="R1658" s="66">
        <f>IF(Z1658=1,IF(U1658="In",V1658,K1658&amp;""),"")</f>
        <v/>
      </c>
      <c r="S1658" s="66">
        <f>IF(X1658&lt;&gt;"","⛔ "&amp;X1658&amp;" — not posted",IF(Y1658&lt;&gt;"","⚠ "&amp;Y1658,IF(Z1658=1,"✓ OK","")))</f>
        <v/>
      </c>
      <c r="T1658" s="67">
        <f>IF(AND(C1658="",D1658="",E1658="",L1658="",K1658=""),1,0)</f>
        <v/>
      </c>
      <c r="U1658" s="67">
        <f>IFERROR(INDEX(tt_Dir,MATCH(D1658,tt_Type,0)),"")</f>
        <v/>
      </c>
      <c r="V1658" s="67">
        <f>IF(D1658="","",IFERROR(IF(INDEX(tt_Other,MATCH(D1658,tt_Type,0))="",E1658&amp;"",INDEX(tt_Other,MATCH(D1658,tt_Type,0))),""))</f>
        <v/>
      </c>
      <c r="W1658" s="68">
        <f>IF(OR(TaxOn&lt;&gt;"Yes",NOT(ISNUMBER(M1658))),0,IF(IFERROR(INDEX(tt_Tax,MATCH(D1658,tt_Type,0)),"No")="Yes",M1658,0))</f>
        <v/>
      </c>
      <c r="X1658" s="67">
        <f>IF(T1658=1,"",IF(C1658="","Missing transaction date",IF(NOT(ISNUMBER(C1658)),"Invalid date",IF(OR(C1658&lt;DATE(2000,1,1),C1658&gt;DATE(2099,12,31)),"Invalid date",IF(D1658="","Select a type",IF(U1658="","Unknown type: "&amp;D1658,IF(V1658="","Select an account (Category)",IF(ISNA(MATCH(V1658,coa_Name,0)),"Unknown account: "&amp;V1658,IF(K1658="","Select Paid From / Deposited To",IF(ISNA(MATCH(K1658,coa_Name,0)),"Unknown account: "&amp;K1658,IF(NOT(ISNUMBER(L1658)),"Enter an amount",IF(L1658=0,"Enter an amount",IF(ABS(W1658)&gt;ABS(L1658),"Tax is larger than the amount","")))))))))))))</f>
        <v/>
      </c>
      <c r="Y1658" s="67">
        <f>IF(OR(T1658=1,X1658&lt;&gt;""),"",IF(AND(B1658&lt;&gt;"",COUNTIF(tx_ID,B1658)&gt;1),"Duplicate transaction ID",IF(AND(L1658&lt;0,D1658&lt;&gt;"Adjustment"),"Negative amount — check this entry",IF(AND(D1658="Customer Payment",G1658=""),"Add the customer",IF(AND(D1658="Customer Payment",OR(J1658="",COUNTIF(ar_No,J1658&amp;"")=0)),"Invoice # in Reference not found on AR sheet",IF(AND(D1658="Bill Payment",H1658=""),"Add the vendor",IF(AND(D1658="Bill Payment",OR(J1658="",COUNTIFS(ap_No,J1658&amp;"",ap_Party,H1658&amp;"")=0)),"Bill # + vendor not found on AP sheet",IF(AND(ISNUMBER(M1658),N(M1658)&lt;&gt;0,W1658=0),"Tax ignored (tax tracking off, or not allowed for this type)",IF(V1658=K1658&amp;"","Same account on both sides",IF(AND(ISNUMBER(StartDate),C1658&lt;StartDate),"Date is before the accounting start date",IF(AND(D1658&lt;&gt;"Adjustment",IFERROR(INDEX(coa_Pay,MATCH(K1658&amp;"",coa_Name,0)),"")&lt;&gt;"Yes"),"Paid From / Deposited To is not a payment account","")))))))))))</f>
        <v/>
      </c>
      <c r="Z1658" s="67">
        <f>IF(AND(T1658=0,X1658=""),1,0)</f>
        <v/>
      </c>
      <c r="AA1658" s="68">
        <f>IF(Z1658=1,IF(U1658="In",L1658,L1658-W1658),0)</f>
        <v/>
      </c>
      <c r="AB1658" s="68">
        <f>IF(Z1658=1,IF(U1658="In",L1658-W1658,L1658),0)</f>
        <v/>
      </c>
      <c r="AC1658" s="68">
        <f>IF(AND(Z1658=1,U1658="Out"),W1658,0)</f>
        <v/>
      </c>
      <c r="AD1658" s="68">
        <f>IF(AND(Z1658=1,U1658="In"),W1658,0)</f>
        <v/>
      </c>
    </row>
    <row r="1659">
      <c r="B1659" s="62" t="inlineStr">
        <is>
          <t>TX-1653</t>
        </is>
      </c>
      <c r="C1659" s="63" t="n"/>
      <c r="D1659" s="62" t="n"/>
      <c r="E1659" s="62" t="n"/>
      <c r="F1659" s="62" t="n"/>
      <c r="G1659" s="62" t="n"/>
      <c r="H1659" s="62" t="n"/>
      <c r="I1659" s="62" t="n"/>
      <c r="J1659" s="62" t="n"/>
      <c r="K1659" s="62" t="n"/>
      <c r="L1659" s="64" t="n"/>
      <c r="M1659" s="64" t="n"/>
      <c r="N1659" s="62" t="n"/>
      <c r="O1659" s="65">
        <f>IF(Z1659=1,L1659-W1659,"")</f>
        <v/>
      </c>
      <c r="P1659" s="66">
        <f>IF(V1659="","",IFERROR(INDEX(coa_Type,MATCH(V1659,coa_Name,0)),""))</f>
        <v/>
      </c>
      <c r="Q1659" s="66">
        <f>IF(Z1659=1,IF(U1659="In",K1659&amp;"",V1659),"")</f>
        <v/>
      </c>
      <c r="R1659" s="66">
        <f>IF(Z1659=1,IF(U1659="In",V1659,K1659&amp;""),"")</f>
        <v/>
      </c>
      <c r="S1659" s="66">
        <f>IF(X1659&lt;&gt;"","⛔ "&amp;X1659&amp;" — not posted",IF(Y1659&lt;&gt;"","⚠ "&amp;Y1659,IF(Z1659=1,"✓ OK","")))</f>
        <v/>
      </c>
      <c r="T1659" s="67">
        <f>IF(AND(C1659="",D1659="",E1659="",L1659="",K1659=""),1,0)</f>
        <v/>
      </c>
      <c r="U1659" s="67">
        <f>IFERROR(INDEX(tt_Dir,MATCH(D1659,tt_Type,0)),"")</f>
        <v/>
      </c>
      <c r="V1659" s="67">
        <f>IF(D1659="","",IFERROR(IF(INDEX(tt_Other,MATCH(D1659,tt_Type,0))="",E1659&amp;"",INDEX(tt_Other,MATCH(D1659,tt_Type,0))),""))</f>
        <v/>
      </c>
      <c r="W1659" s="68">
        <f>IF(OR(TaxOn&lt;&gt;"Yes",NOT(ISNUMBER(M1659))),0,IF(IFERROR(INDEX(tt_Tax,MATCH(D1659,tt_Type,0)),"No")="Yes",M1659,0))</f>
        <v/>
      </c>
      <c r="X1659" s="67">
        <f>IF(T1659=1,"",IF(C1659="","Missing transaction date",IF(NOT(ISNUMBER(C1659)),"Invalid date",IF(OR(C1659&lt;DATE(2000,1,1),C1659&gt;DATE(2099,12,31)),"Invalid date",IF(D1659="","Select a type",IF(U1659="","Unknown type: "&amp;D1659,IF(V1659="","Select an account (Category)",IF(ISNA(MATCH(V1659,coa_Name,0)),"Unknown account: "&amp;V1659,IF(K1659="","Select Paid From / Deposited To",IF(ISNA(MATCH(K1659,coa_Name,0)),"Unknown account: "&amp;K1659,IF(NOT(ISNUMBER(L1659)),"Enter an amount",IF(L1659=0,"Enter an amount",IF(ABS(W1659)&gt;ABS(L1659),"Tax is larger than the amount","")))))))))))))</f>
        <v/>
      </c>
      <c r="Y1659" s="67">
        <f>IF(OR(T1659=1,X1659&lt;&gt;""),"",IF(AND(B1659&lt;&gt;"",COUNTIF(tx_ID,B1659)&gt;1),"Duplicate transaction ID",IF(AND(L1659&lt;0,D1659&lt;&gt;"Adjustment"),"Negative amount — check this entry",IF(AND(D1659="Customer Payment",G1659=""),"Add the customer",IF(AND(D1659="Customer Payment",OR(J1659="",COUNTIF(ar_No,J1659&amp;"")=0)),"Invoice # in Reference not found on AR sheet",IF(AND(D1659="Bill Payment",H1659=""),"Add the vendor",IF(AND(D1659="Bill Payment",OR(J1659="",COUNTIFS(ap_No,J1659&amp;"",ap_Party,H1659&amp;"")=0)),"Bill # + vendor not found on AP sheet",IF(AND(ISNUMBER(M1659),N(M1659)&lt;&gt;0,W1659=0),"Tax ignored (tax tracking off, or not allowed for this type)",IF(V1659=K1659&amp;"","Same account on both sides",IF(AND(ISNUMBER(StartDate),C1659&lt;StartDate),"Date is before the accounting start date",IF(AND(D1659&lt;&gt;"Adjustment",IFERROR(INDEX(coa_Pay,MATCH(K1659&amp;"",coa_Name,0)),"")&lt;&gt;"Yes"),"Paid From / Deposited To is not a payment account","")))))))))))</f>
        <v/>
      </c>
      <c r="Z1659" s="67">
        <f>IF(AND(T1659=0,X1659=""),1,0)</f>
        <v/>
      </c>
      <c r="AA1659" s="68">
        <f>IF(Z1659=1,IF(U1659="In",L1659,L1659-W1659),0)</f>
        <v/>
      </c>
      <c r="AB1659" s="68">
        <f>IF(Z1659=1,IF(U1659="In",L1659-W1659,L1659),0)</f>
        <v/>
      </c>
      <c r="AC1659" s="68">
        <f>IF(AND(Z1659=1,U1659="Out"),W1659,0)</f>
        <v/>
      </c>
      <c r="AD1659" s="68">
        <f>IF(AND(Z1659=1,U1659="In"),W1659,0)</f>
        <v/>
      </c>
    </row>
    <row r="1660">
      <c r="B1660" s="62" t="inlineStr">
        <is>
          <t>TX-1654</t>
        </is>
      </c>
      <c r="C1660" s="63" t="n"/>
      <c r="D1660" s="62" t="n"/>
      <c r="E1660" s="62" t="n"/>
      <c r="F1660" s="62" t="n"/>
      <c r="G1660" s="62" t="n"/>
      <c r="H1660" s="62" t="n"/>
      <c r="I1660" s="62" t="n"/>
      <c r="J1660" s="62" t="n"/>
      <c r="K1660" s="62" t="n"/>
      <c r="L1660" s="64" t="n"/>
      <c r="M1660" s="64" t="n"/>
      <c r="N1660" s="62" t="n"/>
      <c r="O1660" s="65">
        <f>IF(Z1660=1,L1660-W1660,"")</f>
        <v/>
      </c>
      <c r="P1660" s="66">
        <f>IF(V1660="","",IFERROR(INDEX(coa_Type,MATCH(V1660,coa_Name,0)),""))</f>
        <v/>
      </c>
      <c r="Q1660" s="66">
        <f>IF(Z1660=1,IF(U1660="In",K1660&amp;"",V1660),"")</f>
        <v/>
      </c>
      <c r="R1660" s="66">
        <f>IF(Z1660=1,IF(U1660="In",V1660,K1660&amp;""),"")</f>
        <v/>
      </c>
      <c r="S1660" s="66">
        <f>IF(X1660&lt;&gt;"","⛔ "&amp;X1660&amp;" — not posted",IF(Y1660&lt;&gt;"","⚠ "&amp;Y1660,IF(Z1660=1,"✓ OK","")))</f>
        <v/>
      </c>
      <c r="T1660" s="67">
        <f>IF(AND(C1660="",D1660="",E1660="",L1660="",K1660=""),1,0)</f>
        <v/>
      </c>
      <c r="U1660" s="67">
        <f>IFERROR(INDEX(tt_Dir,MATCH(D1660,tt_Type,0)),"")</f>
        <v/>
      </c>
      <c r="V1660" s="67">
        <f>IF(D1660="","",IFERROR(IF(INDEX(tt_Other,MATCH(D1660,tt_Type,0))="",E1660&amp;"",INDEX(tt_Other,MATCH(D1660,tt_Type,0))),""))</f>
        <v/>
      </c>
      <c r="W1660" s="68">
        <f>IF(OR(TaxOn&lt;&gt;"Yes",NOT(ISNUMBER(M1660))),0,IF(IFERROR(INDEX(tt_Tax,MATCH(D1660,tt_Type,0)),"No")="Yes",M1660,0))</f>
        <v/>
      </c>
      <c r="X1660" s="67">
        <f>IF(T1660=1,"",IF(C1660="","Missing transaction date",IF(NOT(ISNUMBER(C1660)),"Invalid date",IF(OR(C1660&lt;DATE(2000,1,1),C1660&gt;DATE(2099,12,31)),"Invalid date",IF(D1660="","Select a type",IF(U1660="","Unknown type: "&amp;D1660,IF(V1660="","Select an account (Category)",IF(ISNA(MATCH(V1660,coa_Name,0)),"Unknown account: "&amp;V1660,IF(K1660="","Select Paid From / Deposited To",IF(ISNA(MATCH(K1660,coa_Name,0)),"Unknown account: "&amp;K1660,IF(NOT(ISNUMBER(L1660)),"Enter an amount",IF(L1660=0,"Enter an amount",IF(ABS(W1660)&gt;ABS(L1660),"Tax is larger than the amount","")))))))))))))</f>
        <v/>
      </c>
      <c r="Y1660" s="67">
        <f>IF(OR(T1660=1,X1660&lt;&gt;""),"",IF(AND(B1660&lt;&gt;"",COUNTIF(tx_ID,B1660)&gt;1),"Duplicate transaction ID",IF(AND(L1660&lt;0,D1660&lt;&gt;"Adjustment"),"Negative amount — check this entry",IF(AND(D1660="Customer Payment",G1660=""),"Add the customer",IF(AND(D1660="Customer Payment",OR(J1660="",COUNTIF(ar_No,J1660&amp;"")=0)),"Invoice # in Reference not found on AR sheet",IF(AND(D1660="Bill Payment",H1660=""),"Add the vendor",IF(AND(D1660="Bill Payment",OR(J1660="",COUNTIFS(ap_No,J1660&amp;"",ap_Party,H1660&amp;"")=0)),"Bill # + vendor not found on AP sheet",IF(AND(ISNUMBER(M1660),N(M1660)&lt;&gt;0,W1660=0),"Tax ignored (tax tracking off, or not allowed for this type)",IF(V1660=K1660&amp;"","Same account on both sides",IF(AND(ISNUMBER(StartDate),C1660&lt;StartDate),"Date is before the accounting start date",IF(AND(D1660&lt;&gt;"Adjustment",IFERROR(INDEX(coa_Pay,MATCH(K1660&amp;"",coa_Name,0)),"")&lt;&gt;"Yes"),"Paid From / Deposited To is not a payment account","")))))))))))</f>
        <v/>
      </c>
      <c r="Z1660" s="67">
        <f>IF(AND(T1660=0,X1660=""),1,0)</f>
        <v/>
      </c>
      <c r="AA1660" s="68">
        <f>IF(Z1660=1,IF(U1660="In",L1660,L1660-W1660),0)</f>
        <v/>
      </c>
      <c r="AB1660" s="68">
        <f>IF(Z1660=1,IF(U1660="In",L1660-W1660,L1660),0)</f>
        <v/>
      </c>
      <c r="AC1660" s="68">
        <f>IF(AND(Z1660=1,U1660="Out"),W1660,0)</f>
        <v/>
      </c>
      <c r="AD1660" s="68">
        <f>IF(AND(Z1660=1,U1660="In"),W1660,0)</f>
        <v/>
      </c>
    </row>
    <row r="1661">
      <c r="B1661" s="62" t="inlineStr">
        <is>
          <t>TX-1655</t>
        </is>
      </c>
      <c r="C1661" s="63" t="n"/>
      <c r="D1661" s="62" t="n"/>
      <c r="E1661" s="62" t="n"/>
      <c r="F1661" s="62" t="n"/>
      <c r="G1661" s="62" t="n"/>
      <c r="H1661" s="62" t="n"/>
      <c r="I1661" s="62" t="n"/>
      <c r="J1661" s="62" t="n"/>
      <c r="K1661" s="62" t="n"/>
      <c r="L1661" s="64" t="n"/>
      <c r="M1661" s="64" t="n"/>
      <c r="N1661" s="62" t="n"/>
      <c r="O1661" s="65">
        <f>IF(Z1661=1,L1661-W1661,"")</f>
        <v/>
      </c>
      <c r="P1661" s="66">
        <f>IF(V1661="","",IFERROR(INDEX(coa_Type,MATCH(V1661,coa_Name,0)),""))</f>
        <v/>
      </c>
      <c r="Q1661" s="66">
        <f>IF(Z1661=1,IF(U1661="In",K1661&amp;"",V1661),"")</f>
        <v/>
      </c>
      <c r="R1661" s="66">
        <f>IF(Z1661=1,IF(U1661="In",V1661,K1661&amp;""),"")</f>
        <v/>
      </c>
      <c r="S1661" s="66">
        <f>IF(X1661&lt;&gt;"","⛔ "&amp;X1661&amp;" — not posted",IF(Y1661&lt;&gt;"","⚠ "&amp;Y1661,IF(Z1661=1,"✓ OK","")))</f>
        <v/>
      </c>
      <c r="T1661" s="67">
        <f>IF(AND(C1661="",D1661="",E1661="",L1661="",K1661=""),1,0)</f>
        <v/>
      </c>
      <c r="U1661" s="67">
        <f>IFERROR(INDEX(tt_Dir,MATCH(D1661,tt_Type,0)),"")</f>
        <v/>
      </c>
      <c r="V1661" s="67">
        <f>IF(D1661="","",IFERROR(IF(INDEX(tt_Other,MATCH(D1661,tt_Type,0))="",E1661&amp;"",INDEX(tt_Other,MATCH(D1661,tt_Type,0))),""))</f>
        <v/>
      </c>
      <c r="W1661" s="68">
        <f>IF(OR(TaxOn&lt;&gt;"Yes",NOT(ISNUMBER(M1661))),0,IF(IFERROR(INDEX(tt_Tax,MATCH(D1661,tt_Type,0)),"No")="Yes",M1661,0))</f>
        <v/>
      </c>
      <c r="X1661" s="67">
        <f>IF(T1661=1,"",IF(C1661="","Missing transaction date",IF(NOT(ISNUMBER(C1661)),"Invalid date",IF(OR(C1661&lt;DATE(2000,1,1),C1661&gt;DATE(2099,12,31)),"Invalid date",IF(D1661="","Select a type",IF(U1661="","Unknown type: "&amp;D1661,IF(V1661="","Select an account (Category)",IF(ISNA(MATCH(V1661,coa_Name,0)),"Unknown account: "&amp;V1661,IF(K1661="","Select Paid From / Deposited To",IF(ISNA(MATCH(K1661,coa_Name,0)),"Unknown account: "&amp;K1661,IF(NOT(ISNUMBER(L1661)),"Enter an amount",IF(L1661=0,"Enter an amount",IF(ABS(W1661)&gt;ABS(L1661),"Tax is larger than the amount","")))))))))))))</f>
        <v/>
      </c>
      <c r="Y1661" s="67">
        <f>IF(OR(T1661=1,X1661&lt;&gt;""),"",IF(AND(B1661&lt;&gt;"",COUNTIF(tx_ID,B1661)&gt;1),"Duplicate transaction ID",IF(AND(L1661&lt;0,D1661&lt;&gt;"Adjustment"),"Negative amount — check this entry",IF(AND(D1661="Customer Payment",G1661=""),"Add the customer",IF(AND(D1661="Customer Payment",OR(J1661="",COUNTIF(ar_No,J1661&amp;"")=0)),"Invoice # in Reference not found on AR sheet",IF(AND(D1661="Bill Payment",H1661=""),"Add the vendor",IF(AND(D1661="Bill Payment",OR(J1661="",COUNTIFS(ap_No,J1661&amp;"",ap_Party,H1661&amp;"")=0)),"Bill # + vendor not found on AP sheet",IF(AND(ISNUMBER(M1661),N(M1661)&lt;&gt;0,W1661=0),"Tax ignored (tax tracking off, or not allowed for this type)",IF(V1661=K1661&amp;"","Same account on both sides",IF(AND(ISNUMBER(StartDate),C1661&lt;StartDate),"Date is before the accounting start date",IF(AND(D1661&lt;&gt;"Adjustment",IFERROR(INDEX(coa_Pay,MATCH(K1661&amp;"",coa_Name,0)),"")&lt;&gt;"Yes"),"Paid From / Deposited To is not a payment account","")))))))))))</f>
        <v/>
      </c>
      <c r="Z1661" s="67">
        <f>IF(AND(T1661=0,X1661=""),1,0)</f>
        <v/>
      </c>
      <c r="AA1661" s="68">
        <f>IF(Z1661=1,IF(U1661="In",L1661,L1661-W1661),0)</f>
        <v/>
      </c>
      <c r="AB1661" s="68">
        <f>IF(Z1661=1,IF(U1661="In",L1661-W1661,L1661),0)</f>
        <v/>
      </c>
      <c r="AC1661" s="68">
        <f>IF(AND(Z1661=1,U1661="Out"),W1661,0)</f>
        <v/>
      </c>
      <c r="AD1661" s="68">
        <f>IF(AND(Z1661=1,U1661="In"),W1661,0)</f>
        <v/>
      </c>
    </row>
    <row r="1662">
      <c r="B1662" s="62" t="inlineStr">
        <is>
          <t>TX-1656</t>
        </is>
      </c>
      <c r="C1662" s="63" t="n"/>
      <c r="D1662" s="62" t="n"/>
      <c r="E1662" s="62" t="n"/>
      <c r="F1662" s="62" t="n"/>
      <c r="G1662" s="62" t="n"/>
      <c r="H1662" s="62" t="n"/>
      <c r="I1662" s="62" t="n"/>
      <c r="J1662" s="62" t="n"/>
      <c r="K1662" s="62" t="n"/>
      <c r="L1662" s="64" t="n"/>
      <c r="M1662" s="64" t="n"/>
      <c r="N1662" s="62" t="n"/>
      <c r="O1662" s="65">
        <f>IF(Z1662=1,L1662-W1662,"")</f>
        <v/>
      </c>
      <c r="P1662" s="66">
        <f>IF(V1662="","",IFERROR(INDEX(coa_Type,MATCH(V1662,coa_Name,0)),""))</f>
        <v/>
      </c>
      <c r="Q1662" s="66">
        <f>IF(Z1662=1,IF(U1662="In",K1662&amp;"",V1662),"")</f>
        <v/>
      </c>
      <c r="R1662" s="66">
        <f>IF(Z1662=1,IF(U1662="In",V1662,K1662&amp;""),"")</f>
        <v/>
      </c>
      <c r="S1662" s="66">
        <f>IF(X1662&lt;&gt;"","⛔ "&amp;X1662&amp;" — not posted",IF(Y1662&lt;&gt;"","⚠ "&amp;Y1662,IF(Z1662=1,"✓ OK","")))</f>
        <v/>
      </c>
      <c r="T1662" s="67">
        <f>IF(AND(C1662="",D1662="",E1662="",L1662="",K1662=""),1,0)</f>
        <v/>
      </c>
      <c r="U1662" s="67">
        <f>IFERROR(INDEX(tt_Dir,MATCH(D1662,tt_Type,0)),"")</f>
        <v/>
      </c>
      <c r="V1662" s="67">
        <f>IF(D1662="","",IFERROR(IF(INDEX(tt_Other,MATCH(D1662,tt_Type,0))="",E1662&amp;"",INDEX(tt_Other,MATCH(D1662,tt_Type,0))),""))</f>
        <v/>
      </c>
      <c r="W1662" s="68">
        <f>IF(OR(TaxOn&lt;&gt;"Yes",NOT(ISNUMBER(M1662))),0,IF(IFERROR(INDEX(tt_Tax,MATCH(D1662,tt_Type,0)),"No")="Yes",M1662,0))</f>
        <v/>
      </c>
      <c r="X1662" s="67">
        <f>IF(T1662=1,"",IF(C1662="","Missing transaction date",IF(NOT(ISNUMBER(C1662)),"Invalid date",IF(OR(C1662&lt;DATE(2000,1,1),C1662&gt;DATE(2099,12,31)),"Invalid date",IF(D1662="","Select a type",IF(U1662="","Unknown type: "&amp;D1662,IF(V1662="","Select an account (Category)",IF(ISNA(MATCH(V1662,coa_Name,0)),"Unknown account: "&amp;V1662,IF(K1662="","Select Paid From / Deposited To",IF(ISNA(MATCH(K1662,coa_Name,0)),"Unknown account: "&amp;K1662,IF(NOT(ISNUMBER(L1662)),"Enter an amount",IF(L1662=0,"Enter an amount",IF(ABS(W1662)&gt;ABS(L1662),"Tax is larger than the amount","")))))))))))))</f>
        <v/>
      </c>
      <c r="Y1662" s="67">
        <f>IF(OR(T1662=1,X1662&lt;&gt;""),"",IF(AND(B1662&lt;&gt;"",COUNTIF(tx_ID,B1662)&gt;1),"Duplicate transaction ID",IF(AND(L1662&lt;0,D1662&lt;&gt;"Adjustment"),"Negative amount — check this entry",IF(AND(D1662="Customer Payment",G1662=""),"Add the customer",IF(AND(D1662="Customer Payment",OR(J1662="",COUNTIF(ar_No,J1662&amp;"")=0)),"Invoice # in Reference not found on AR sheet",IF(AND(D1662="Bill Payment",H1662=""),"Add the vendor",IF(AND(D1662="Bill Payment",OR(J1662="",COUNTIFS(ap_No,J1662&amp;"",ap_Party,H1662&amp;"")=0)),"Bill # + vendor not found on AP sheet",IF(AND(ISNUMBER(M1662),N(M1662)&lt;&gt;0,W1662=0),"Tax ignored (tax tracking off, or not allowed for this type)",IF(V1662=K1662&amp;"","Same account on both sides",IF(AND(ISNUMBER(StartDate),C1662&lt;StartDate),"Date is before the accounting start date",IF(AND(D1662&lt;&gt;"Adjustment",IFERROR(INDEX(coa_Pay,MATCH(K1662&amp;"",coa_Name,0)),"")&lt;&gt;"Yes"),"Paid From / Deposited To is not a payment account","")))))))))))</f>
        <v/>
      </c>
      <c r="Z1662" s="67">
        <f>IF(AND(T1662=0,X1662=""),1,0)</f>
        <v/>
      </c>
      <c r="AA1662" s="68">
        <f>IF(Z1662=1,IF(U1662="In",L1662,L1662-W1662),0)</f>
        <v/>
      </c>
      <c r="AB1662" s="68">
        <f>IF(Z1662=1,IF(U1662="In",L1662-W1662,L1662),0)</f>
        <v/>
      </c>
      <c r="AC1662" s="68">
        <f>IF(AND(Z1662=1,U1662="Out"),W1662,0)</f>
        <v/>
      </c>
      <c r="AD1662" s="68">
        <f>IF(AND(Z1662=1,U1662="In"),W1662,0)</f>
        <v/>
      </c>
    </row>
    <row r="1663">
      <c r="B1663" s="62" t="inlineStr">
        <is>
          <t>TX-1657</t>
        </is>
      </c>
      <c r="C1663" s="63" t="n"/>
      <c r="D1663" s="62" t="n"/>
      <c r="E1663" s="62" t="n"/>
      <c r="F1663" s="62" t="n"/>
      <c r="G1663" s="62" t="n"/>
      <c r="H1663" s="62" t="n"/>
      <c r="I1663" s="62" t="n"/>
      <c r="J1663" s="62" t="n"/>
      <c r="K1663" s="62" t="n"/>
      <c r="L1663" s="64" t="n"/>
      <c r="M1663" s="64" t="n"/>
      <c r="N1663" s="62" t="n"/>
      <c r="O1663" s="65">
        <f>IF(Z1663=1,L1663-W1663,"")</f>
        <v/>
      </c>
      <c r="P1663" s="66">
        <f>IF(V1663="","",IFERROR(INDEX(coa_Type,MATCH(V1663,coa_Name,0)),""))</f>
        <v/>
      </c>
      <c r="Q1663" s="66">
        <f>IF(Z1663=1,IF(U1663="In",K1663&amp;"",V1663),"")</f>
        <v/>
      </c>
      <c r="R1663" s="66">
        <f>IF(Z1663=1,IF(U1663="In",V1663,K1663&amp;""),"")</f>
        <v/>
      </c>
      <c r="S1663" s="66">
        <f>IF(X1663&lt;&gt;"","⛔ "&amp;X1663&amp;" — not posted",IF(Y1663&lt;&gt;"","⚠ "&amp;Y1663,IF(Z1663=1,"✓ OK","")))</f>
        <v/>
      </c>
      <c r="T1663" s="67">
        <f>IF(AND(C1663="",D1663="",E1663="",L1663="",K1663=""),1,0)</f>
        <v/>
      </c>
      <c r="U1663" s="67">
        <f>IFERROR(INDEX(tt_Dir,MATCH(D1663,tt_Type,0)),"")</f>
        <v/>
      </c>
      <c r="V1663" s="67">
        <f>IF(D1663="","",IFERROR(IF(INDEX(tt_Other,MATCH(D1663,tt_Type,0))="",E1663&amp;"",INDEX(tt_Other,MATCH(D1663,tt_Type,0))),""))</f>
        <v/>
      </c>
      <c r="W1663" s="68">
        <f>IF(OR(TaxOn&lt;&gt;"Yes",NOT(ISNUMBER(M1663))),0,IF(IFERROR(INDEX(tt_Tax,MATCH(D1663,tt_Type,0)),"No")="Yes",M1663,0))</f>
        <v/>
      </c>
      <c r="X1663" s="67">
        <f>IF(T1663=1,"",IF(C1663="","Missing transaction date",IF(NOT(ISNUMBER(C1663)),"Invalid date",IF(OR(C1663&lt;DATE(2000,1,1),C1663&gt;DATE(2099,12,31)),"Invalid date",IF(D1663="","Select a type",IF(U1663="","Unknown type: "&amp;D1663,IF(V1663="","Select an account (Category)",IF(ISNA(MATCH(V1663,coa_Name,0)),"Unknown account: "&amp;V1663,IF(K1663="","Select Paid From / Deposited To",IF(ISNA(MATCH(K1663,coa_Name,0)),"Unknown account: "&amp;K1663,IF(NOT(ISNUMBER(L1663)),"Enter an amount",IF(L1663=0,"Enter an amount",IF(ABS(W1663)&gt;ABS(L1663),"Tax is larger than the amount","")))))))))))))</f>
        <v/>
      </c>
      <c r="Y1663" s="67">
        <f>IF(OR(T1663=1,X1663&lt;&gt;""),"",IF(AND(B1663&lt;&gt;"",COUNTIF(tx_ID,B1663)&gt;1),"Duplicate transaction ID",IF(AND(L1663&lt;0,D1663&lt;&gt;"Adjustment"),"Negative amount — check this entry",IF(AND(D1663="Customer Payment",G1663=""),"Add the customer",IF(AND(D1663="Customer Payment",OR(J1663="",COUNTIF(ar_No,J1663&amp;"")=0)),"Invoice # in Reference not found on AR sheet",IF(AND(D1663="Bill Payment",H1663=""),"Add the vendor",IF(AND(D1663="Bill Payment",OR(J1663="",COUNTIFS(ap_No,J1663&amp;"",ap_Party,H1663&amp;"")=0)),"Bill # + vendor not found on AP sheet",IF(AND(ISNUMBER(M1663),N(M1663)&lt;&gt;0,W1663=0),"Tax ignored (tax tracking off, or not allowed for this type)",IF(V1663=K1663&amp;"","Same account on both sides",IF(AND(ISNUMBER(StartDate),C1663&lt;StartDate),"Date is before the accounting start date",IF(AND(D1663&lt;&gt;"Adjustment",IFERROR(INDEX(coa_Pay,MATCH(K1663&amp;"",coa_Name,0)),"")&lt;&gt;"Yes"),"Paid From / Deposited To is not a payment account","")))))))))))</f>
        <v/>
      </c>
      <c r="Z1663" s="67">
        <f>IF(AND(T1663=0,X1663=""),1,0)</f>
        <v/>
      </c>
      <c r="AA1663" s="68">
        <f>IF(Z1663=1,IF(U1663="In",L1663,L1663-W1663),0)</f>
        <v/>
      </c>
      <c r="AB1663" s="68">
        <f>IF(Z1663=1,IF(U1663="In",L1663-W1663,L1663),0)</f>
        <v/>
      </c>
      <c r="AC1663" s="68">
        <f>IF(AND(Z1663=1,U1663="Out"),W1663,0)</f>
        <v/>
      </c>
      <c r="AD1663" s="68">
        <f>IF(AND(Z1663=1,U1663="In"),W1663,0)</f>
        <v/>
      </c>
    </row>
    <row r="1664">
      <c r="B1664" s="62" t="inlineStr">
        <is>
          <t>TX-1658</t>
        </is>
      </c>
      <c r="C1664" s="63" t="n"/>
      <c r="D1664" s="62" t="n"/>
      <c r="E1664" s="62" t="n"/>
      <c r="F1664" s="62" t="n"/>
      <c r="G1664" s="62" t="n"/>
      <c r="H1664" s="62" t="n"/>
      <c r="I1664" s="62" t="n"/>
      <c r="J1664" s="62" t="n"/>
      <c r="K1664" s="62" t="n"/>
      <c r="L1664" s="64" t="n"/>
      <c r="M1664" s="64" t="n"/>
      <c r="N1664" s="62" t="n"/>
      <c r="O1664" s="65">
        <f>IF(Z1664=1,L1664-W1664,"")</f>
        <v/>
      </c>
      <c r="P1664" s="66">
        <f>IF(V1664="","",IFERROR(INDEX(coa_Type,MATCH(V1664,coa_Name,0)),""))</f>
        <v/>
      </c>
      <c r="Q1664" s="66">
        <f>IF(Z1664=1,IF(U1664="In",K1664&amp;"",V1664),"")</f>
        <v/>
      </c>
      <c r="R1664" s="66">
        <f>IF(Z1664=1,IF(U1664="In",V1664,K1664&amp;""),"")</f>
        <v/>
      </c>
      <c r="S1664" s="66">
        <f>IF(X1664&lt;&gt;"","⛔ "&amp;X1664&amp;" — not posted",IF(Y1664&lt;&gt;"","⚠ "&amp;Y1664,IF(Z1664=1,"✓ OK","")))</f>
        <v/>
      </c>
      <c r="T1664" s="67">
        <f>IF(AND(C1664="",D1664="",E1664="",L1664="",K1664=""),1,0)</f>
        <v/>
      </c>
      <c r="U1664" s="67">
        <f>IFERROR(INDEX(tt_Dir,MATCH(D1664,tt_Type,0)),"")</f>
        <v/>
      </c>
      <c r="V1664" s="67">
        <f>IF(D1664="","",IFERROR(IF(INDEX(tt_Other,MATCH(D1664,tt_Type,0))="",E1664&amp;"",INDEX(tt_Other,MATCH(D1664,tt_Type,0))),""))</f>
        <v/>
      </c>
      <c r="W1664" s="68">
        <f>IF(OR(TaxOn&lt;&gt;"Yes",NOT(ISNUMBER(M1664))),0,IF(IFERROR(INDEX(tt_Tax,MATCH(D1664,tt_Type,0)),"No")="Yes",M1664,0))</f>
        <v/>
      </c>
      <c r="X1664" s="67">
        <f>IF(T1664=1,"",IF(C1664="","Missing transaction date",IF(NOT(ISNUMBER(C1664)),"Invalid date",IF(OR(C1664&lt;DATE(2000,1,1),C1664&gt;DATE(2099,12,31)),"Invalid date",IF(D1664="","Select a type",IF(U1664="","Unknown type: "&amp;D1664,IF(V1664="","Select an account (Category)",IF(ISNA(MATCH(V1664,coa_Name,0)),"Unknown account: "&amp;V1664,IF(K1664="","Select Paid From / Deposited To",IF(ISNA(MATCH(K1664,coa_Name,0)),"Unknown account: "&amp;K1664,IF(NOT(ISNUMBER(L1664)),"Enter an amount",IF(L1664=0,"Enter an amount",IF(ABS(W1664)&gt;ABS(L1664),"Tax is larger than the amount","")))))))))))))</f>
        <v/>
      </c>
      <c r="Y1664" s="67">
        <f>IF(OR(T1664=1,X1664&lt;&gt;""),"",IF(AND(B1664&lt;&gt;"",COUNTIF(tx_ID,B1664)&gt;1),"Duplicate transaction ID",IF(AND(L1664&lt;0,D1664&lt;&gt;"Adjustment"),"Negative amount — check this entry",IF(AND(D1664="Customer Payment",G1664=""),"Add the customer",IF(AND(D1664="Customer Payment",OR(J1664="",COUNTIF(ar_No,J1664&amp;"")=0)),"Invoice # in Reference not found on AR sheet",IF(AND(D1664="Bill Payment",H1664=""),"Add the vendor",IF(AND(D1664="Bill Payment",OR(J1664="",COUNTIFS(ap_No,J1664&amp;"",ap_Party,H1664&amp;"")=0)),"Bill # + vendor not found on AP sheet",IF(AND(ISNUMBER(M1664),N(M1664)&lt;&gt;0,W1664=0),"Tax ignored (tax tracking off, or not allowed for this type)",IF(V1664=K1664&amp;"","Same account on both sides",IF(AND(ISNUMBER(StartDate),C1664&lt;StartDate),"Date is before the accounting start date",IF(AND(D1664&lt;&gt;"Adjustment",IFERROR(INDEX(coa_Pay,MATCH(K1664&amp;"",coa_Name,0)),"")&lt;&gt;"Yes"),"Paid From / Deposited To is not a payment account","")))))))))))</f>
        <v/>
      </c>
      <c r="Z1664" s="67">
        <f>IF(AND(T1664=0,X1664=""),1,0)</f>
        <v/>
      </c>
      <c r="AA1664" s="68">
        <f>IF(Z1664=1,IF(U1664="In",L1664,L1664-W1664),0)</f>
        <v/>
      </c>
      <c r="AB1664" s="68">
        <f>IF(Z1664=1,IF(U1664="In",L1664-W1664,L1664),0)</f>
        <v/>
      </c>
      <c r="AC1664" s="68">
        <f>IF(AND(Z1664=1,U1664="Out"),W1664,0)</f>
        <v/>
      </c>
      <c r="AD1664" s="68">
        <f>IF(AND(Z1664=1,U1664="In"),W1664,0)</f>
        <v/>
      </c>
    </row>
    <row r="1665">
      <c r="B1665" s="62" t="inlineStr">
        <is>
          <t>TX-1659</t>
        </is>
      </c>
      <c r="C1665" s="63" t="n"/>
      <c r="D1665" s="62" t="n"/>
      <c r="E1665" s="62" t="n"/>
      <c r="F1665" s="62" t="n"/>
      <c r="G1665" s="62" t="n"/>
      <c r="H1665" s="62" t="n"/>
      <c r="I1665" s="62" t="n"/>
      <c r="J1665" s="62" t="n"/>
      <c r="K1665" s="62" t="n"/>
      <c r="L1665" s="64" t="n"/>
      <c r="M1665" s="64" t="n"/>
      <c r="N1665" s="62" t="n"/>
      <c r="O1665" s="65">
        <f>IF(Z1665=1,L1665-W1665,"")</f>
        <v/>
      </c>
      <c r="P1665" s="66">
        <f>IF(V1665="","",IFERROR(INDEX(coa_Type,MATCH(V1665,coa_Name,0)),""))</f>
        <v/>
      </c>
      <c r="Q1665" s="66">
        <f>IF(Z1665=1,IF(U1665="In",K1665&amp;"",V1665),"")</f>
        <v/>
      </c>
      <c r="R1665" s="66">
        <f>IF(Z1665=1,IF(U1665="In",V1665,K1665&amp;""),"")</f>
        <v/>
      </c>
      <c r="S1665" s="66">
        <f>IF(X1665&lt;&gt;"","⛔ "&amp;X1665&amp;" — not posted",IF(Y1665&lt;&gt;"","⚠ "&amp;Y1665,IF(Z1665=1,"✓ OK","")))</f>
        <v/>
      </c>
      <c r="T1665" s="67">
        <f>IF(AND(C1665="",D1665="",E1665="",L1665="",K1665=""),1,0)</f>
        <v/>
      </c>
      <c r="U1665" s="67">
        <f>IFERROR(INDEX(tt_Dir,MATCH(D1665,tt_Type,0)),"")</f>
        <v/>
      </c>
      <c r="V1665" s="67">
        <f>IF(D1665="","",IFERROR(IF(INDEX(tt_Other,MATCH(D1665,tt_Type,0))="",E1665&amp;"",INDEX(tt_Other,MATCH(D1665,tt_Type,0))),""))</f>
        <v/>
      </c>
      <c r="W1665" s="68">
        <f>IF(OR(TaxOn&lt;&gt;"Yes",NOT(ISNUMBER(M1665))),0,IF(IFERROR(INDEX(tt_Tax,MATCH(D1665,tt_Type,0)),"No")="Yes",M1665,0))</f>
        <v/>
      </c>
      <c r="X1665" s="67">
        <f>IF(T1665=1,"",IF(C1665="","Missing transaction date",IF(NOT(ISNUMBER(C1665)),"Invalid date",IF(OR(C1665&lt;DATE(2000,1,1),C1665&gt;DATE(2099,12,31)),"Invalid date",IF(D1665="","Select a type",IF(U1665="","Unknown type: "&amp;D1665,IF(V1665="","Select an account (Category)",IF(ISNA(MATCH(V1665,coa_Name,0)),"Unknown account: "&amp;V1665,IF(K1665="","Select Paid From / Deposited To",IF(ISNA(MATCH(K1665,coa_Name,0)),"Unknown account: "&amp;K1665,IF(NOT(ISNUMBER(L1665)),"Enter an amount",IF(L1665=0,"Enter an amount",IF(ABS(W1665)&gt;ABS(L1665),"Tax is larger than the amount","")))))))))))))</f>
        <v/>
      </c>
      <c r="Y1665" s="67">
        <f>IF(OR(T1665=1,X1665&lt;&gt;""),"",IF(AND(B1665&lt;&gt;"",COUNTIF(tx_ID,B1665)&gt;1),"Duplicate transaction ID",IF(AND(L1665&lt;0,D1665&lt;&gt;"Adjustment"),"Negative amount — check this entry",IF(AND(D1665="Customer Payment",G1665=""),"Add the customer",IF(AND(D1665="Customer Payment",OR(J1665="",COUNTIF(ar_No,J1665&amp;"")=0)),"Invoice # in Reference not found on AR sheet",IF(AND(D1665="Bill Payment",H1665=""),"Add the vendor",IF(AND(D1665="Bill Payment",OR(J1665="",COUNTIFS(ap_No,J1665&amp;"",ap_Party,H1665&amp;"")=0)),"Bill # + vendor not found on AP sheet",IF(AND(ISNUMBER(M1665),N(M1665)&lt;&gt;0,W1665=0),"Tax ignored (tax tracking off, or not allowed for this type)",IF(V1665=K1665&amp;"","Same account on both sides",IF(AND(ISNUMBER(StartDate),C1665&lt;StartDate),"Date is before the accounting start date",IF(AND(D1665&lt;&gt;"Adjustment",IFERROR(INDEX(coa_Pay,MATCH(K1665&amp;"",coa_Name,0)),"")&lt;&gt;"Yes"),"Paid From / Deposited To is not a payment account","")))))))))))</f>
        <v/>
      </c>
      <c r="Z1665" s="67">
        <f>IF(AND(T1665=0,X1665=""),1,0)</f>
        <v/>
      </c>
      <c r="AA1665" s="68">
        <f>IF(Z1665=1,IF(U1665="In",L1665,L1665-W1665),0)</f>
        <v/>
      </c>
      <c r="AB1665" s="68">
        <f>IF(Z1665=1,IF(U1665="In",L1665-W1665,L1665),0)</f>
        <v/>
      </c>
      <c r="AC1665" s="68">
        <f>IF(AND(Z1665=1,U1665="Out"),W1665,0)</f>
        <v/>
      </c>
      <c r="AD1665" s="68">
        <f>IF(AND(Z1665=1,U1665="In"),W1665,0)</f>
        <v/>
      </c>
    </row>
    <row r="1666">
      <c r="B1666" s="62" t="inlineStr">
        <is>
          <t>TX-1660</t>
        </is>
      </c>
      <c r="C1666" s="63" t="n"/>
      <c r="D1666" s="62" t="n"/>
      <c r="E1666" s="62" t="n"/>
      <c r="F1666" s="62" t="n"/>
      <c r="G1666" s="62" t="n"/>
      <c r="H1666" s="62" t="n"/>
      <c r="I1666" s="62" t="n"/>
      <c r="J1666" s="62" t="n"/>
      <c r="K1666" s="62" t="n"/>
      <c r="L1666" s="64" t="n"/>
      <c r="M1666" s="64" t="n"/>
      <c r="N1666" s="62" t="n"/>
      <c r="O1666" s="65">
        <f>IF(Z1666=1,L1666-W1666,"")</f>
        <v/>
      </c>
      <c r="P1666" s="66">
        <f>IF(V1666="","",IFERROR(INDEX(coa_Type,MATCH(V1666,coa_Name,0)),""))</f>
        <v/>
      </c>
      <c r="Q1666" s="66">
        <f>IF(Z1666=1,IF(U1666="In",K1666&amp;"",V1666),"")</f>
        <v/>
      </c>
      <c r="R1666" s="66">
        <f>IF(Z1666=1,IF(U1666="In",V1666,K1666&amp;""),"")</f>
        <v/>
      </c>
      <c r="S1666" s="66">
        <f>IF(X1666&lt;&gt;"","⛔ "&amp;X1666&amp;" — not posted",IF(Y1666&lt;&gt;"","⚠ "&amp;Y1666,IF(Z1666=1,"✓ OK","")))</f>
        <v/>
      </c>
      <c r="T1666" s="67">
        <f>IF(AND(C1666="",D1666="",E1666="",L1666="",K1666=""),1,0)</f>
        <v/>
      </c>
      <c r="U1666" s="67">
        <f>IFERROR(INDEX(tt_Dir,MATCH(D1666,tt_Type,0)),"")</f>
        <v/>
      </c>
      <c r="V1666" s="67">
        <f>IF(D1666="","",IFERROR(IF(INDEX(tt_Other,MATCH(D1666,tt_Type,0))="",E1666&amp;"",INDEX(tt_Other,MATCH(D1666,tt_Type,0))),""))</f>
        <v/>
      </c>
      <c r="W1666" s="68">
        <f>IF(OR(TaxOn&lt;&gt;"Yes",NOT(ISNUMBER(M1666))),0,IF(IFERROR(INDEX(tt_Tax,MATCH(D1666,tt_Type,0)),"No")="Yes",M1666,0))</f>
        <v/>
      </c>
      <c r="X1666" s="67">
        <f>IF(T1666=1,"",IF(C1666="","Missing transaction date",IF(NOT(ISNUMBER(C1666)),"Invalid date",IF(OR(C1666&lt;DATE(2000,1,1),C1666&gt;DATE(2099,12,31)),"Invalid date",IF(D1666="","Select a type",IF(U1666="","Unknown type: "&amp;D1666,IF(V1666="","Select an account (Category)",IF(ISNA(MATCH(V1666,coa_Name,0)),"Unknown account: "&amp;V1666,IF(K1666="","Select Paid From / Deposited To",IF(ISNA(MATCH(K1666,coa_Name,0)),"Unknown account: "&amp;K1666,IF(NOT(ISNUMBER(L1666)),"Enter an amount",IF(L1666=0,"Enter an amount",IF(ABS(W1666)&gt;ABS(L1666),"Tax is larger than the amount","")))))))))))))</f>
        <v/>
      </c>
      <c r="Y1666" s="67">
        <f>IF(OR(T1666=1,X1666&lt;&gt;""),"",IF(AND(B1666&lt;&gt;"",COUNTIF(tx_ID,B1666)&gt;1),"Duplicate transaction ID",IF(AND(L1666&lt;0,D1666&lt;&gt;"Adjustment"),"Negative amount — check this entry",IF(AND(D1666="Customer Payment",G1666=""),"Add the customer",IF(AND(D1666="Customer Payment",OR(J1666="",COUNTIF(ar_No,J1666&amp;"")=0)),"Invoice # in Reference not found on AR sheet",IF(AND(D1666="Bill Payment",H1666=""),"Add the vendor",IF(AND(D1666="Bill Payment",OR(J1666="",COUNTIFS(ap_No,J1666&amp;"",ap_Party,H1666&amp;"")=0)),"Bill # + vendor not found on AP sheet",IF(AND(ISNUMBER(M1666),N(M1666)&lt;&gt;0,W1666=0),"Tax ignored (tax tracking off, or not allowed for this type)",IF(V1666=K1666&amp;"","Same account on both sides",IF(AND(ISNUMBER(StartDate),C1666&lt;StartDate),"Date is before the accounting start date",IF(AND(D1666&lt;&gt;"Adjustment",IFERROR(INDEX(coa_Pay,MATCH(K1666&amp;"",coa_Name,0)),"")&lt;&gt;"Yes"),"Paid From / Deposited To is not a payment account","")))))))))))</f>
        <v/>
      </c>
      <c r="Z1666" s="67">
        <f>IF(AND(T1666=0,X1666=""),1,0)</f>
        <v/>
      </c>
      <c r="AA1666" s="68">
        <f>IF(Z1666=1,IF(U1666="In",L1666,L1666-W1666),0)</f>
        <v/>
      </c>
      <c r="AB1666" s="68">
        <f>IF(Z1666=1,IF(U1666="In",L1666-W1666,L1666),0)</f>
        <v/>
      </c>
      <c r="AC1666" s="68">
        <f>IF(AND(Z1666=1,U1666="Out"),W1666,0)</f>
        <v/>
      </c>
      <c r="AD1666" s="68">
        <f>IF(AND(Z1666=1,U1666="In"),W1666,0)</f>
        <v/>
      </c>
    </row>
    <row r="1667">
      <c r="B1667" s="62" t="inlineStr">
        <is>
          <t>TX-1661</t>
        </is>
      </c>
      <c r="C1667" s="63" t="n"/>
      <c r="D1667" s="62" t="n"/>
      <c r="E1667" s="62" t="n"/>
      <c r="F1667" s="62" t="n"/>
      <c r="G1667" s="62" t="n"/>
      <c r="H1667" s="62" t="n"/>
      <c r="I1667" s="62" t="n"/>
      <c r="J1667" s="62" t="n"/>
      <c r="K1667" s="62" t="n"/>
      <c r="L1667" s="64" t="n"/>
      <c r="M1667" s="64" t="n"/>
      <c r="N1667" s="62" t="n"/>
      <c r="O1667" s="65">
        <f>IF(Z1667=1,L1667-W1667,"")</f>
        <v/>
      </c>
      <c r="P1667" s="66">
        <f>IF(V1667="","",IFERROR(INDEX(coa_Type,MATCH(V1667,coa_Name,0)),""))</f>
        <v/>
      </c>
      <c r="Q1667" s="66">
        <f>IF(Z1667=1,IF(U1667="In",K1667&amp;"",V1667),"")</f>
        <v/>
      </c>
      <c r="R1667" s="66">
        <f>IF(Z1667=1,IF(U1667="In",V1667,K1667&amp;""),"")</f>
        <v/>
      </c>
      <c r="S1667" s="66">
        <f>IF(X1667&lt;&gt;"","⛔ "&amp;X1667&amp;" — not posted",IF(Y1667&lt;&gt;"","⚠ "&amp;Y1667,IF(Z1667=1,"✓ OK","")))</f>
        <v/>
      </c>
      <c r="T1667" s="67">
        <f>IF(AND(C1667="",D1667="",E1667="",L1667="",K1667=""),1,0)</f>
        <v/>
      </c>
      <c r="U1667" s="67">
        <f>IFERROR(INDEX(tt_Dir,MATCH(D1667,tt_Type,0)),"")</f>
        <v/>
      </c>
      <c r="V1667" s="67">
        <f>IF(D1667="","",IFERROR(IF(INDEX(tt_Other,MATCH(D1667,tt_Type,0))="",E1667&amp;"",INDEX(tt_Other,MATCH(D1667,tt_Type,0))),""))</f>
        <v/>
      </c>
      <c r="W1667" s="68">
        <f>IF(OR(TaxOn&lt;&gt;"Yes",NOT(ISNUMBER(M1667))),0,IF(IFERROR(INDEX(tt_Tax,MATCH(D1667,tt_Type,0)),"No")="Yes",M1667,0))</f>
        <v/>
      </c>
      <c r="X1667" s="67">
        <f>IF(T1667=1,"",IF(C1667="","Missing transaction date",IF(NOT(ISNUMBER(C1667)),"Invalid date",IF(OR(C1667&lt;DATE(2000,1,1),C1667&gt;DATE(2099,12,31)),"Invalid date",IF(D1667="","Select a type",IF(U1667="","Unknown type: "&amp;D1667,IF(V1667="","Select an account (Category)",IF(ISNA(MATCH(V1667,coa_Name,0)),"Unknown account: "&amp;V1667,IF(K1667="","Select Paid From / Deposited To",IF(ISNA(MATCH(K1667,coa_Name,0)),"Unknown account: "&amp;K1667,IF(NOT(ISNUMBER(L1667)),"Enter an amount",IF(L1667=0,"Enter an amount",IF(ABS(W1667)&gt;ABS(L1667),"Tax is larger than the amount","")))))))))))))</f>
        <v/>
      </c>
      <c r="Y1667" s="67">
        <f>IF(OR(T1667=1,X1667&lt;&gt;""),"",IF(AND(B1667&lt;&gt;"",COUNTIF(tx_ID,B1667)&gt;1),"Duplicate transaction ID",IF(AND(L1667&lt;0,D1667&lt;&gt;"Adjustment"),"Negative amount — check this entry",IF(AND(D1667="Customer Payment",G1667=""),"Add the customer",IF(AND(D1667="Customer Payment",OR(J1667="",COUNTIF(ar_No,J1667&amp;"")=0)),"Invoice # in Reference not found on AR sheet",IF(AND(D1667="Bill Payment",H1667=""),"Add the vendor",IF(AND(D1667="Bill Payment",OR(J1667="",COUNTIFS(ap_No,J1667&amp;"",ap_Party,H1667&amp;"")=0)),"Bill # + vendor not found on AP sheet",IF(AND(ISNUMBER(M1667),N(M1667)&lt;&gt;0,W1667=0),"Tax ignored (tax tracking off, or not allowed for this type)",IF(V1667=K1667&amp;"","Same account on both sides",IF(AND(ISNUMBER(StartDate),C1667&lt;StartDate),"Date is before the accounting start date",IF(AND(D1667&lt;&gt;"Adjustment",IFERROR(INDEX(coa_Pay,MATCH(K1667&amp;"",coa_Name,0)),"")&lt;&gt;"Yes"),"Paid From / Deposited To is not a payment account","")))))))))))</f>
        <v/>
      </c>
      <c r="Z1667" s="67">
        <f>IF(AND(T1667=0,X1667=""),1,0)</f>
        <v/>
      </c>
      <c r="AA1667" s="68">
        <f>IF(Z1667=1,IF(U1667="In",L1667,L1667-W1667),0)</f>
        <v/>
      </c>
      <c r="AB1667" s="68">
        <f>IF(Z1667=1,IF(U1667="In",L1667-W1667,L1667),0)</f>
        <v/>
      </c>
      <c r="AC1667" s="68">
        <f>IF(AND(Z1667=1,U1667="Out"),W1667,0)</f>
        <v/>
      </c>
      <c r="AD1667" s="68">
        <f>IF(AND(Z1667=1,U1667="In"),W1667,0)</f>
        <v/>
      </c>
    </row>
    <row r="1668">
      <c r="B1668" s="62" t="inlineStr">
        <is>
          <t>TX-1662</t>
        </is>
      </c>
      <c r="C1668" s="63" t="n"/>
      <c r="D1668" s="62" t="n"/>
      <c r="E1668" s="62" t="n"/>
      <c r="F1668" s="62" t="n"/>
      <c r="G1668" s="62" t="n"/>
      <c r="H1668" s="62" t="n"/>
      <c r="I1668" s="62" t="n"/>
      <c r="J1668" s="62" t="n"/>
      <c r="K1668" s="62" t="n"/>
      <c r="L1668" s="64" t="n"/>
      <c r="M1668" s="64" t="n"/>
      <c r="N1668" s="62" t="n"/>
      <c r="O1668" s="65">
        <f>IF(Z1668=1,L1668-W1668,"")</f>
        <v/>
      </c>
      <c r="P1668" s="66">
        <f>IF(V1668="","",IFERROR(INDEX(coa_Type,MATCH(V1668,coa_Name,0)),""))</f>
        <v/>
      </c>
      <c r="Q1668" s="66">
        <f>IF(Z1668=1,IF(U1668="In",K1668&amp;"",V1668),"")</f>
        <v/>
      </c>
      <c r="R1668" s="66">
        <f>IF(Z1668=1,IF(U1668="In",V1668,K1668&amp;""),"")</f>
        <v/>
      </c>
      <c r="S1668" s="66">
        <f>IF(X1668&lt;&gt;"","⛔ "&amp;X1668&amp;" — not posted",IF(Y1668&lt;&gt;"","⚠ "&amp;Y1668,IF(Z1668=1,"✓ OK","")))</f>
        <v/>
      </c>
      <c r="T1668" s="67">
        <f>IF(AND(C1668="",D1668="",E1668="",L1668="",K1668=""),1,0)</f>
        <v/>
      </c>
      <c r="U1668" s="67">
        <f>IFERROR(INDEX(tt_Dir,MATCH(D1668,tt_Type,0)),"")</f>
        <v/>
      </c>
      <c r="V1668" s="67">
        <f>IF(D1668="","",IFERROR(IF(INDEX(tt_Other,MATCH(D1668,tt_Type,0))="",E1668&amp;"",INDEX(tt_Other,MATCH(D1668,tt_Type,0))),""))</f>
        <v/>
      </c>
      <c r="W1668" s="68">
        <f>IF(OR(TaxOn&lt;&gt;"Yes",NOT(ISNUMBER(M1668))),0,IF(IFERROR(INDEX(tt_Tax,MATCH(D1668,tt_Type,0)),"No")="Yes",M1668,0))</f>
        <v/>
      </c>
      <c r="X1668" s="67">
        <f>IF(T1668=1,"",IF(C1668="","Missing transaction date",IF(NOT(ISNUMBER(C1668)),"Invalid date",IF(OR(C1668&lt;DATE(2000,1,1),C1668&gt;DATE(2099,12,31)),"Invalid date",IF(D1668="","Select a type",IF(U1668="","Unknown type: "&amp;D1668,IF(V1668="","Select an account (Category)",IF(ISNA(MATCH(V1668,coa_Name,0)),"Unknown account: "&amp;V1668,IF(K1668="","Select Paid From / Deposited To",IF(ISNA(MATCH(K1668,coa_Name,0)),"Unknown account: "&amp;K1668,IF(NOT(ISNUMBER(L1668)),"Enter an amount",IF(L1668=0,"Enter an amount",IF(ABS(W1668)&gt;ABS(L1668),"Tax is larger than the amount","")))))))))))))</f>
        <v/>
      </c>
      <c r="Y1668" s="67">
        <f>IF(OR(T1668=1,X1668&lt;&gt;""),"",IF(AND(B1668&lt;&gt;"",COUNTIF(tx_ID,B1668)&gt;1),"Duplicate transaction ID",IF(AND(L1668&lt;0,D1668&lt;&gt;"Adjustment"),"Negative amount — check this entry",IF(AND(D1668="Customer Payment",G1668=""),"Add the customer",IF(AND(D1668="Customer Payment",OR(J1668="",COUNTIF(ar_No,J1668&amp;"")=0)),"Invoice # in Reference not found on AR sheet",IF(AND(D1668="Bill Payment",H1668=""),"Add the vendor",IF(AND(D1668="Bill Payment",OR(J1668="",COUNTIFS(ap_No,J1668&amp;"",ap_Party,H1668&amp;"")=0)),"Bill # + vendor not found on AP sheet",IF(AND(ISNUMBER(M1668),N(M1668)&lt;&gt;0,W1668=0),"Tax ignored (tax tracking off, or not allowed for this type)",IF(V1668=K1668&amp;"","Same account on both sides",IF(AND(ISNUMBER(StartDate),C1668&lt;StartDate),"Date is before the accounting start date",IF(AND(D1668&lt;&gt;"Adjustment",IFERROR(INDEX(coa_Pay,MATCH(K1668&amp;"",coa_Name,0)),"")&lt;&gt;"Yes"),"Paid From / Deposited To is not a payment account","")))))))))))</f>
        <v/>
      </c>
      <c r="Z1668" s="67">
        <f>IF(AND(T1668=0,X1668=""),1,0)</f>
        <v/>
      </c>
      <c r="AA1668" s="68">
        <f>IF(Z1668=1,IF(U1668="In",L1668,L1668-W1668),0)</f>
        <v/>
      </c>
      <c r="AB1668" s="68">
        <f>IF(Z1668=1,IF(U1668="In",L1668-W1668,L1668),0)</f>
        <v/>
      </c>
      <c r="AC1668" s="68">
        <f>IF(AND(Z1668=1,U1668="Out"),W1668,0)</f>
        <v/>
      </c>
      <c r="AD1668" s="68">
        <f>IF(AND(Z1668=1,U1668="In"),W1668,0)</f>
        <v/>
      </c>
    </row>
    <row r="1669">
      <c r="B1669" s="62" t="inlineStr">
        <is>
          <t>TX-1663</t>
        </is>
      </c>
      <c r="C1669" s="63" t="n"/>
      <c r="D1669" s="62" t="n"/>
      <c r="E1669" s="62" t="n"/>
      <c r="F1669" s="62" t="n"/>
      <c r="G1669" s="62" t="n"/>
      <c r="H1669" s="62" t="n"/>
      <c r="I1669" s="62" t="n"/>
      <c r="J1669" s="62" t="n"/>
      <c r="K1669" s="62" t="n"/>
      <c r="L1669" s="64" t="n"/>
      <c r="M1669" s="64" t="n"/>
      <c r="N1669" s="62" t="n"/>
      <c r="O1669" s="65">
        <f>IF(Z1669=1,L1669-W1669,"")</f>
        <v/>
      </c>
      <c r="P1669" s="66">
        <f>IF(V1669="","",IFERROR(INDEX(coa_Type,MATCH(V1669,coa_Name,0)),""))</f>
        <v/>
      </c>
      <c r="Q1669" s="66">
        <f>IF(Z1669=1,IF(U1669="In",K1669&amp;"",V1669),"")</f>
        <v/>
      </c>
      <c r="R1669" s="66">
        <f>IF(Z1669=1,IF(U1669="In",V1669,K1669&amp;""),"")</f>
        <v/>
      </c>
      <c r="S1669" s="66">
        <f>IF(X1669&lt;&gt;"","⛔ "&amp;X1669&amp;" — not posted",IF(Y1669&lt;&gt;"","⚠ "&amp;Y1669,IF(Z1669=1,"✓ OK","")))</f>
        <v/>
      </c>
      <c r="T1669" s="67">
        <f>IF(AND(C1669="",D1669="",E1669="",L1669="",K1669=""),1,0)</f>
        <v/>
      </c>
      <c r="U1669" s="67">
        <f>IFERROR(INDEX(tt_Dir,MATCH(D1669,tt_Type,0)),"")</f>
        <v/>
      </c>
      <c r="V1669" s="67">
        <f>IF(D1669="","",IFERROR(IF(INDEX(tt_Other,MATCH(D1669,tt_Type,0))="",E1669&amp;"",INDEX(tt_Other,MATCH(D1669,tt_Type,0))),""))</f>
        <v/>
      </c>
      <c r="W1669" s="68">
        <f>IF(OR(TaxOn&lt;&gt;"Yes",NOT(ISNUMBER(M1669))),0,IF(IFERROR(INDEX(tt_Tax,MATCH(D1669,tt_Type,0)),"No")="Yes",M1669,0))</f>
        <v/>
      </c>
      <c r="X1669" s="67">
        <f>IF(T1669=1,"",IF(C1669="","Missing transaction date",IF(NOT(ISNUMBER(C1669)),"Invalid date",IF(OR(C1669&lt;DATE(2000,1,1),C1669&gt;DATE(2099,12,31)),"Invalid date",IF(D1669="","Select a type",IF(U1669="","Unknown type: "&amp;D1669,IF(V1669="","Select an account (Category)",IF(ISNA(MATCH(V1669,coa_Name,0)),"Unknown account: "&amp;V1669,IF(K1669="","Select Paid From / Deposited To",IF(ISNA(MATCH(K1669,coa_Name,0)),"Unknown account: "&amp;K1669,IF(NOT(ISNUMBER(L1669)),"Enter an amount",IF(L1669=0,"Enter an amount",IF(ABS(W1669)&gt;ABS(L1669),"Tax is larger than the amount","")))))))))))))</f>
        <v/>
      </c>
      <c r="Y1669" s="67">
        <f>IF(OR(T1669=1,X1669&lt;&gt;""),"",IF(AND(B1669&lt;&gt;"",COUNTIF(tx_ID,B1669)&gt;1),"Duplicate transaction ID",IF(AND(L1669&lt;0,D1669&lt;&gt;"Adjustment"),"Negative amount — check this entry",IF(AND(D1669="Customer Payment",G1669=""),"Add the customer",IF(AND(D1669="Customer Payment",OR(J1669="",COUNTIF(ar_No,J1669&amp;"")=0)),"Invoice # in Reference not found on AR sheet",IF(AND(D1669="Bill Payment",H1669=""),"Add the vendor",IF(AND(D1669="Bill Payment",OR(J1669="",COUNTIFS(ap_No,J1669&amp;"",ap_Party,H1669&amp;"")=0)),"Bill # + vendor not found on AP sheet",IF(AND(ISNUMBER(M1669),N(M1669)&lt;&gt;0,W1669=0),"Tax ignored (tax tracking off, or not allowed for this type)",IF(V1669=K1669&amp;"","Same account on both sides",IF(AND(ISNUMBER(StartDate),C1669&lt;StartDate),"Date is before the accounting start date",IF(AND(D1669&lt;&gt;"Adjustment",IFERROR(INDEX(coa_Pay,MATCH(K1669&amp;"",coa_Name,0)),"")&lt;&gt;"Yes"),"Paid From / Deposited To is not a payment account","")))))))))))</f>
        <v/>
      </c>
      <c r="Z1669" s="67">
        <f>IF(AND(T1669=0,X1669=""),1,0)</f>
        <v/>
      </c>
      <c r="AA1669" s="68">
        <f>IF(Z1669=1,IF(U1669="In",L1669,L1669-W1669),0)</f>
        <v/>
      </c>
      <c r="AB1669" s="68">
        <f>IF(Z1669=1,IF(U1669="In",L1669-W1669,L1669),0)</f>
        <v/>
      </c>
      <c r="AC1669" s="68">
        <f>IF(AND(Z1669=1,U1669="Out"),W1669,0)</f>
        <v/>
      </c>
      <c r="AD1669" s="68">
        <f>IF(AND(Z1669=1,U1669="In"),W1669,0)</f>
        <v/>
      </c>
    </row>
    <row r="1670">
      <c r="B1670" s="62" t="inlineStr">
        <is>
          <t>TX-1664</t>
        </is>
      </c>
      <c r="C1670" s="63" t="n"/>
      <c r="D1670" s="62" t="n"/>
      <c r="E1670" s="62" t="n"/>
      <c r="F1670" s="62" t="n"/>
      <c r="G1670" s="62" t="n"/>
      <c r="H1670" s="62" t="n"/>
      <c r="I1670" s="62" t="n"/>
      <c r="J1670" s="62" t="n"/>
      <c r="K1670" s="62" t="n"/>
      <c r="L1670" s="64" t="n"/>
      <c r="M1670" s="64" t="n"/>
      <c r="N1670" s="62" t="n"/>
      <c r="O1670" s="65">
        <f>IF(Z1670=1,L1670-W1670,"")</f>
        <v/>
      </c>
      <c r="P1670" s="66">
        <f>IF(V1670="","",IFERROR(INDEX(coa_Type,MATCH(V1670,coa_Name,0)),""))</f>
        <v/>
      </c>
      <c r="Q1670" s="66">
        <f>IF(Z1670=1,IF(U1670="In",K1670&amp;"",V1670),"")</f>
        <v/>
      </c>
      <c r="R1670" s="66">
        <f>IF(Z1670=1,IF(U1670="In",V1670,K1670&amp;""),"")</f>
        <v/>
      </c>
      <c r="S1670" s="66">
        <f>IF(X1670&lt;&gt;"","⛔ "&amp;X1670&amp;" — not posted",IF(Y1670&lt;&gt;"","⚠ "&amp;Y1670,IF(Z1670=1,"✓ OK","")))</f>
        <v/>
      </c>
      <c r="T1670" s="67">
        <f>IF(AND(C1670="",D1670="",E1670="",L1670="",K1670=""),1,0)</f>
        <v/>
      </c>
      <c r="U1670" s="67">
        <f>IFERROR(INDEX(tt_Dir,MATCH(D1670,tt_Type,0)),"")</f>
        <v/>
      </c>
      <c r="V1670" s="67">
        <f>IF(D1670="","",IFERROR(IF(INDEX(tt_Other,MATCH(D1670,tt_Type,0))="",E1670&amp;"",INDEX(tt_Other,MATCH(D1670,tt_Type,0))),""))</f>
        <v/>
      </c>
      <c r="W1670" s="68">
        <f>IF(OR(TaxOn&lt;&gt;"Yes",NOT(ISNUMBER(M1670))),0,IF(IFERROR(INDEX(tt_Tax,MATCH(D1670,tt_Type,0)),"No")="Yes",M1670,0))</f>
        <v/>
      </c>
      <c r="X1670" s="67">
        <f>IF(T1670=1,"",IF(C1670="","Missing transaction date",IF(NOT(ISNUMBER(C1670)),"Invalid date",IF(OR(C1670&lt;DATE(2000,1,1),C1670&gt;DATE(2099,12,31)),"Invalid date",IF(D1670="","Select a type",IF(U1670="","Unknown type: "&amp;D1670,IF(V1670="","Select an account (Category)",IF(ISNA(MATCH(V1670,coa_Name,0)),"Unknown account: "&amp;V1670,IF(K1670="","Select Paid From / Deposited To",IF(ISNA(MATCH(K1670,coa_Name,0)),"Unknown account: "&amp;K1670,IF(NOT(ISNUMBER(L1670)),"Enter an amount",IF(L1670=0,"Enter an amount",IF(ABS(W1670)&gt;ABS(L1670),"Tax is larger than the amount","")))))))))))))</f>
        <v/>
      </c>
      <c r="Y1670" s="67">
        <f>IF(OR(T1670=1,X1670&lt;&gt;""),"",IF(AND(B1670&lt;&gt;"",COUNTIF(tx_ID,B1670)&gt;1),"Duplicate transaction ID",IF(AND(L1670&lt;0,D1670&lt;&gt;"Adjustment"),"Negative amount — check this entry",IF(AND(D1670="Customer Payment",G1670=""),"Add the customer",IF(AND(D1670="Customer Payment",OR(J1670="",COUNTIF(ar_No,J1670&amp;"")=0)),"Invoice # in Reference not found on AR sheet",IF(AND(D1670="Bill Payment",H1670=""),"Add the vendor",IF(AND(D1670="Bill Payment",OR(J1670="",COUNTIFS(ap_No,J1670&amp;"",ap_Party,H1670&amp;"")=0)),"Bill # + vendor not found on AP sheet",IF(AND(ISNUMBER(M1670),N(M1670)&lt;&gt;0,W1670=0),"Tax ignored (tax tracking off, or not allowed for this type)",IF(V1670=K1670&amp;"","Same account on both sides",IF(AND(ISNUMBER(StartDate),C1670&lt;StartDate),"Date is before the accounting start date",IF(AND(D1670&lt;&gt;"Adjustment",IFERROR(INDEX(coa_Pay,MATCH(K1670&amp;"",coa_Name,0)),"")&lt;&gt;"Yes"),"Paid From / Deposited To is not a payment account","")))))))))))</f>
        <v/>
      </c>
      <c r="Z1670" s="67">
        <f>IF(AND(T1670=0,X1670=""),1,0)</f>
        <v/>
      </c>
      <c r="AA1670" s="68">
        <f>IF(Z1670=1,IF(U1670="In",L1670,L1670-W1670),0)</f>
        <v/>
      </c>
      <c r="AB1670" s="68">
        <f>IF(Z1670=1,IF(U1670="In",L1670-W1670,L1670),0)</f>
        <v/>
      </c>
      <c r="AC1670" s="68">
        <f>IF(AND(Z1670=1,U1670="Out"),W1670,0)</f>
        <v/>
      </c>
      <c r="AD1670" s="68">
        <f>IF(AND(Z1670=1,U1670="In"),W1670,0)</f>
        <v/>
      </c>
    </row>
    <row r="1671">
      <c r="B1671" s="62" t="inlineStr">
        <is>
          <t>TX-1665</t>
        </is>
      </c>
      <c r="C1671" s="63" t="n"/>
      <c r="D1671" s="62" t="n"/>
      <c r="E1671" s="62" t="n"/>
      <c r="F1671" s="62" t="n"/>
      <c r="G1671" s="62" t="n"/>
      <c r="H1671" s="62" t="n"/>
      <c r="I1671" s="62" t="n"/>
      <c r="J1671" s="62" t="n"/>
      <c r="K1671" s="62" t="n"/>
      <c r="L1671" s="64" t="n"/>
      <c r="M1671" s="64" t="n"/>
      <c r="N1671" s="62" t="n"/>
      <c r="O1671" s="65">
        <f>IF(Z1671=1,L1671-W1671,"")</f>
        <v/>
      </c>
      <c r="P1671" s="66">
        <f>IF(V1671="","",IFERROR(INDEX(coa_Type,MATCH(V1671,coa_Name,0)),""))</f>
        <v/>
      </c>
      <c r="Q1671" s="66">
        <f>IF(Z1671=1,IF(U1671="In",K1671&amp;"",V1671),"")</f>
        <v/>
      </c>
      <c r="R1671" s="66">
        <f>IF(Z1671=1,IF(U1671="In",V1671,K1671&amp;""),"")</f>
        <v/>
      </c>
      <c r="S1671" s="66">
        <f>IF(X1671&lt;&gt;"","⛔ "&amp;X1671&amp;" — not posted",IF(Y1671&lt;&gt;"","⚠ "&amp;Y1671,IF(Z1671=1,"✓ OK","")))</f>
        <v/>
      </c>
      <c r="T1671" s="67">
        <f>IF(AND(C1671="",D1671="",E1671="",L1671="",K1671=""),1,0)</f>
        <v/>
      </c>
      <c r="U1671" s="67">
        <f>IFERROR(INDEX(tt_Dir,MATCH(D1671,tt_Type,0)),"")</f>
        <v/>
      </c>
      <c r="V1671" s="67">
        <f>IF(D1671="","",IFERROR(IF(INDEX(tt_Other,MATCH(D1671,tt_Type,0))="",E1671&amp;"",INDEX(tt_Other,MATCH(D1671,tt_Type,0))),""))</f>
        <v/>
      </c>
      <c r="W1671" s="68">
        <f>IF(OR(TaxOn&lt;&gt;"Yes",NOT(ISNUMBER(M1671))),0,IF(IFERROR(INDEX(tt_Tax,MATCH(D1671,tt_Type,0)),"No")="Yes",M1671,0))</f>
        <v/>
      </c>
      <c r="X1671" s="67">
        <f>IF(T1671=1,"",IF(C1671="","Missing transaction date",IF(NOT(ISNUMBER(C1671)),"Invalid date",IF(OR(C1671&lt;DATE(2000,1,1),C1671&gt;DATE(2099,12,31)),"Invalid date",IF(D1671="","Select a type",IF(U1671="","Unknown type: "&amp;D1671,IF(V1671="","Select an account (Category)",IF(ISNA(MATCH(V1671,coa_Name,0)),"Unknown account: "&amp;V1671,IF(K1671="","Select Paid From / Deposited To",IF(ISNA(MATCH(K1671,coa_Name,0)),"Unknown account: "&amp;K1671,IF(NOT(ISNUMBER(L1671)),"Enter an amount",IF(L1671=0,"Enter an amount",IF(ABS(W1671)&gt;ABS(L1671),"Tax is larger than the amount","")))))))))))))</f>
        <v/>
      </c>
      <c r="Y1671" s="67">
        <f>IF(OR(T1671=1,X1671&lt;&gt;""),"",IF(AND(B1671&lt;&gt;"",COUNTIF(tx_ID,B1671)&gt;1),"Duplicate transaction ID",IF(AND(L1671&lt;0,D1671&lt;&gt;"Adjustment"),"Negative amount — check this entry",IF(AND(D1671="Customer Payment",G1671=""),"Add the customer",IF(AND(D1671="Customer Payment",OR(J1671="",COUNTIF(ar_No,J1671&amp;"")=0)),"Invoice # in Reference not found on AR sheet",IF(AND(D1671="Bill Payment",H1671=""),"Add the vendor",IF(AND(D1671="Bill Payment",OR(J1671="",COUNTIFS(ap_No,J1671&amp;"",ap_Party,H1671&amp;"")=0)),"Bill # + vendor not found on AP sheet",IF(AND(ISNUMBER(M1671),N(M1671)&lt;&gt;0,W1671=0),"Tax ignored (tax tracking off, or not allowed for this type)",IF(V1671=K1671&amp;"","Same account on both sides",IF(AND(ISNUMBER(StartDate),C1671&lt;StartDate),"Date is before the accounting start date",IF(AND(D1671&lt;&gt;"Adjustment",IFERROR(INDEX(coa_Pay,MATCH(K1671&amp;"",coa_Name,0)),"")&lt;&gt;"Yes"),"Paid From / Deposited To is not a payment account","")))))))))))</f>
        <v/>
      </c>
      <c r="Z1671" s="67">
        <f>IF(AND(T1671=0,X1671=""),1,0)</f>
        <v/>
      </c>
      <c r="AA1671" s="68">
        <f>IF(Z1671=1,IF(U1671="In",L1671,L1671-W1671),0)</f>
        <v/>
      </c>
      <c r="AB1671" s="68">
        <f>IF(Z1671=1,IF(U1671="In",L1671-W1671,L1671),0)</f>
        <v/>
      </c>
      <c r="AC1671" s="68">
        <f>IF(AND(Z1671=1,U1671="Out"),W1671,0)</f>
        <v/>
      </c>
      <c r="AD1671" s="68">
        <f>IF(AND(Z1671=1,U1671="In"),W1671,0)</f>
        <v/>
      </c>
    </row>
    <row r="1672">
      <c r="B1672" s="62" t="inlineStr">
        <is>
          <t>TX-1666</t>
        </is>
      </c>
      <c r="C1672" s="63" t="n"/>
      <c r="D1672" s="62" t="n"/>
      <c r="E1672" s="62" t="n"/>
      <c r="F1672" s="62" t="n"/>
      <c r="G1672" s="62" t="n"/>
      <c r="H1672" s="62" t="n"/>
      <c r="I1672" s="62" t="n"/>
      <c r="J1672" s="62" t="n"/>
      <c r="K1672" s="62" t="n"/>
      <c r="L1672" s="64" t="n"/>
      <c r="M1672" s="64" t="n"/>
      <c r="N1672" s="62" t="n"/>
      <c r="O1672" s="65">
        <f>IF(Z1672=1,L1672-W1672,"")</f>
        <v/>
      </c>
      <c r="P1672" s="66">
        <f>IF(V1672="","",IFERROR(INDEX(coa_Type,MATCH(V1672,coa_Name,0)),""))</f>
        <v/>
      </c>
      <c r="Q1672" s="66">
        <f>IF(Z1672=1,IF(U1672="In",K1672&amp;"",V1672),"")</f>
        <v/>
      </c>
      <c r="R1672" s="66">
        <f>IF(Z1672=1,IF(U1672="In",V1672,K1672&amp;""),"")</f>
        <v/>
      </c>
      <c r="S1672" s="66">
        <f>IF(X1672&lt;&gt;"","⛔ "&amp;X1672&amp;" — not posted",IF(Y1672&lt;&gt;"","⚠ "&amp;Y1672,IF(Z1672=1,"✓ OK","")))</f>
        <v/>
      </c>
      <c r="T1672" s="67">
        <f>IF(AND(C1672="",D1672="",E1672="",L1672="",K1672=""),1,0)</f>
        <v/>
      </c>
      <c r="U1672" s="67">
        <f>IFERROR(INDEX(tt_Dir,MATCH(D1672,tt_Type,0)),"")</f>
        <v/>
      </c>
      <c r="V1672" s="67">
        <f>IF(D1672="","",IFERROR(IF(INDEX(tt_Other,MATCH(D1672,tt_Type,0))="",E1672&amp;"",INDEX(tt_Other,MATCH(D1672,tt_Type,0))),""))</f>
        <v/>
      </c>
      <c r="W1672" s="68">
        <f>IF(OR(TaxOn&lt;&gt;"Yes",NOT(ISNUMBER(M1672))),0,IF(IFERROR(INDEX(tt_Tax,MATCH(D1672,tt_Type,0)),"No")="Yes",M1672,0))</f>
        <v/>
      </c>
      <c r="X1672" s="67">
        <f>IF(T1672=1,"",IF(C1672="","Missing transaction date",IF(NOT(ISNUMBER(C1672)),"Invalid date",IF(OR(C1672&lt;DATE(2000,1,1),C1672&gt;DATE(2099,12,31)),"Invalid date",IF(D1672="","Select a type",IF(U1672="","Unknown type: "&amp;D1672,IF(V1672="","Select an account (Category)",IF(ISNA(MATCH(V1672,coa_Name,0)),"Unknown account: "&amp;V1672,IF(K1672="","Select Paid From / Deposited To",IF(ISNA(MATCH(K1672,coa_Name,0)),"Unknown account: "&amp;K1672,IF(NOT(ISNUMBER(L1672)),"Enter an amount",IF(L1672=0,"Enter an amount",IF(ABS(W1672)&gt;ABS(L1672),"Tax is larger than the amount","")))))))))))))</f>
        <v/>
      </c>
      <c r="Y1672" s="67">
        <f>IF(OR(T1672=1,X1672&lt;&gt;""),"",IF(AND(B1672&lt;&gt;"",COUNTIF(tx_ID,B1672)&gt;1),"Duplicate transaction ID",IF(AND(L1672&lt;0,D1672&lt;&gt;"Adjustment"),"Negative amount — check this entry",IF(AND(D1672="Customer Payment",G1672=""),"Add the customer",IF(AND(D1672="Customer Payment",OR(J1672="",COUNTIF(ar_No,J1672&amp;"")=0)),"Invoice # in Reference not found on AR sheet",IF(AND(D1672="Bill Payment",H1672=""),"Add the vendor",IF(AND(D1672="Bill Payment",OR(J1672="",COUNTIFS(ap_No,J1672&amp;"",ap_Party,H1672&amp;"")=0)),"Bill # + vendor not found on AP sheet",IF(AND(ISNUMBER(M1672),N(M1672)&lt;&gt;0,W1672=0),"Tax ignored (tax tracking off, or not allowed for this type)",IF(V1672=K1672&amp;"","Same account on both sides",IF(AND(ISNUMBER(StartDate),C1672&lt;StartDate),"Date is before the accounting start date",IF(AND(D1672&lt;&gt;"Adjustment",IFERROR(INDEX(coa_Pay,MATCH(K1672&amp;"",coa_Name,0)),"")&lt;&gt;"Yes"),"Paid From / Deposited To is not a payment account","")))))))))))</f>
        <v/>
      </c>
      <c r="Z1672" s="67">
        <f>IF(AND(T1672=0,X1672=""),1,0)</f>
        <v/>
      </c>
      <c r="AA1672" s="68">
        <f>IF(Z1672=1,IF(U1672="In",L1672,L1672-W1672),0)</f>
        <v/>
      </c>
      <c r="AB1672" s="68">
        <f>IF(Z1672=1,IF(U1672="In",L1672-W1672,L1672),0)</f>
        <v/>
      </c>
      <c r="AC1672" s="68">
        <f>IF(AND(Z1672=1,U1672="Out"),W1672,0)</f>
        <v/>
      </c>
      <c r="AD1672" s="68">
        <f>IF(AND(Z1672=1,U1672="In"),W1672,0)</f>
        <v/>
      </c>
    </row>
    <row r="1673">
      <c r="B1673" s="62" t="inlineStr">
        <is>
          <t>TX-1667</t>
        </is>
      </c>
      <c r="C1673" s="63" t="n"/>
      <c r="D1673" s="62" t="n"/>
      <c r="E1673" s="62" t="n"/>
      <c r="F1673" s="62" t="n"/>
      <c r="G1673" s="62" t="n"/>
      <c r="H1673" s="62" t="n"/>
      <c r="I1673" s="62" t="n"/>
      <c r="J1673" s="62" t="n"/>
      <c r="K1673" s="62" t="n"/>
      <c r="L1673" s="64" t="n"/>
      <c r="M1673" s="64" t="n"/>
      <c r="N1673" s="62" t="n"/>
      <c r="O1673" s="65">
        <f>IF(Z1673=1,L1673-W1673,"")</f>
        <v/>
      </c>
      <c r="P1673" s="66">
        <f>IF(V1673="","",IFERROR(INDEX(coa_Type,MATCH(V1673,coa_Name,0)),""))</f>
        <v/>
      </c>
      <c r="Q1673" s="66">
        <f>IF(Z1673=1,IF(U1673="In",K1673&amp;"",V1673),"")</f>
        <v/>
      </c>
      <c r="R1673" s="66">
        <f>IF(Z1673=1,IF(U1673="In",V1673,K1673&amp;""),"")</f>
        <v/>
      </c>
      <c r="S1673" s="66">
        <f>IF(X1673&lt;&gt;"","⛔ "&amp;X1673&amp;" — not posted",IF(Y1673&lt;&gt;"","⚠ "&amp;Y1673,IF(Z1673=1,"✓ OK","")))</f>
        <v/>
      </c>
      <c r="T1673" s="67">
        <f>IF(AND(C1673="",D1673="",E1673="",L1673="",K1673=""),1,0)</f>
        <v/>
      </c>
      <c r="U1673" s="67">
        <f>IFERROR(INDEX(tt_Dir,MATCH(D1673,tt_Type,0)),"")</f>
        <v/>
      </c>
      <c r="V1673" s="67">
        <f>IF(D1673="","",IFERROR(IF(INDEX(tt_Other,MATCH(D1673,tt_Type,0))="",E1673&amp;"",INDEX(tt_Other,MATCH(D1673,tt_Type,0))),""))</f>
        <v/>
      </c>
      <c r="W1673" s="68">
        <f>IF(OR(TaxOn&lt;&gt;"Yes",NOT(ISNUMBER(M1673))),0,IF(IFERROR(INDEX(tt_Tax,MATCH(D1673,tt_Type,0)),"No")="Yes",M1673,0))</f>
        <v/>
      </c>
      <c r="X1673" s="67">
        <f>IF(T1673=1,"",IF(C1673="","Missing transaction date",IF(NOT(ISNUMBER(C1673)),"Invalid date",IF(OR(C1673&lt;DATE(2000,1,1),C1673&gt;DATE(2099,12,31)),"Invalid date",IF(D1673="","Select a type",IF(U1673="","Unknown type: "&amp;D1673,IF(V1673="","Select an account (Category)",IF(ISNA(MATCH(V1673,coa_Name,0)),"Unknown account: "&amp;V1673,IF(K1673="","Select Paid From / Deposited To",IF(ISNA(MATCH(K1673,coa_Name,0)),"Unknown account: "&amp;K1673,IF(NOT(ISNUMBER(L1673)),"Enter an amount",IF(L1673=0,"Enter an amount",IF(ABS(W1673)&gt;ABS(L1673),"Tax is larger than the amount","")))))))))))))</f>
        <v/>
      </c>
      <c r="Y1673" s="67">
        <f>IF(OR(T1673=1,X1673&lt;&gt;""),"",IF(AND(B1673&lt;&gt;"",COUNTIF(tx_ID,B1673)&gt;1),"Duplicate transaction ID",IF(AND(L1673&lt;0,D1673&lt;&gt;"Adjustment"),"Negative amount — check this entry",IF(AND(D1673="Customer Payment",G1673=""),"Add the customer",IF(AND(D1673="Customer Payment",OR(J1673="",COUNTIF(ar_No,J1673&amp;"")=0)),"Invoice # in Reference not found on AR sheet",IF(AND(D1673="Bill Payment",H1673=""),"Add the vendor",IF(AND(D1673="Bill Payment",OR(J1673="",COUNTIFS(ap_No,J1673&amp;"",ap_Party,H1673&amp;"")=0)),"Bill # + vendor not found on AP sheet",IF(AND(ISNUMBER(M1673),N(M1673)&lt;&gt;0,W1673=0),"Tax ignored (tax tracking off, or not allowed for this type)",IF(V1673=K1673&amp;"","Same account on both sides",IF(AND(ISNUMBER(StartDate),C1673&lt;StartDate),"Date is before the accounting start date",IF(AND(D1673&lt;&gt;"Adjustment",IFERROR(INDEX(coa_Pay,MATCH(K1673&amp;"",coa_Name,0)),"")&lt;&gt;"Yes"),"Paid From / Deposited To is not a payment account","")))))))))))</f>
        <v/>
      </c>
      <c r="Z1673" s="67">
        <f>IF(AND(T1673=0,X1673=""),1,0)</f>
        <v/>
      </c>
      <c r="AA1673" s="68">
        <f>IF(Z1673=1,IF(U1673="In",L1673,L1673-W1673),0)</f>
        <v/>
      </c>
      <c r="AB1673" s="68">
        <f>IF(Z1673=1,IF(U1673="In",L1673-W1673,L1673),0)</f>
        <v/>
      </c>
      <c r="AC1673" s="68">
        <f>IF(AND(Z1673=1,U1673="Out"),W1673,0)</f>
        <v/>
      </c>
      <c r="AD1673" s="68">
        <f>IF(AND(Z1673=1,U1673="In"),W1673,0)</f>
        <v/>
      </c>
    </row>
    <row r="1674">
      <c r="B1674" s="62" t="inlineStr">
        <is>
          <t>TX-1668</t>
        </is>
      </c>
      <c r="C1674" s="63" t="n"/>
      <c r="D1674" s="62" t="n"/>
      <c r="E1674" s="62" t="n"/>
      <c r="F1674" s="62" t="n"/>
      <c r="G1674" s="62" t="n"/>
      <c r="H1674" s="62" t="n"/>
      <c r="I1674" s="62" t="n"/>
      <c r="J1674" s="62" t="n"/>
      <c r="K1674" s="62" t="n"/>
      <c r="L1674" s="64" t="n"/>
      <c r="M1674" s="64" t="n"/>
      <c r="N1674" s="62" t="n"/>
      <c r="O1674" s="65">
        <f>IF(Z1674=1,L1674-W1674,"")</f>
        <v/>
      </c>
      <c r="P1674" s="66">
        <f>IF(V1674="","",IFERROR(INDEX(coa_Type,MATCH(V1674,coa_Name,0)),""))</f>
        <v/>
      </c>
      <c r="Q1674" s="66">
        <f>IF(Z1674=1,IF(U1674="In",K1674&amp;"",V1674),"")</f>
        <v/>
      </c>
      <c r="R1674" s="66">
        <f>IF(Z1674=1,IF(U1674="In",V1674,K1674&amp;""),"")</f>
        <v/>
      </c>
      <c r="S1674" s="66">
        <f>IF(X1674&lt;&gt;"","⛔ "&amp;X1674&amp;" — not posted",IF(Y1674&lt;&gt;"","⚠ "&amp;Y1674,IF(Z1674=1,"✓ OK","")))</f>
        <v/>
      </c>
      <c r="T1674" s="67">
        <f>IF(AND(C1674="",D1674="",E1674="",L1674="",K1674=""),1,0)</f>
        <v/>
      </c>
      <c r="U1674" s="67">
        <f>IFERROR(INDEX(tt_Dir,MATCH(D1674,tt_Type,0)),"")</f>
        <v/>
      </c>
      <c r="V1674" s="67">
        <f>IF(D1674="","",IFERROR(IF(INDEX(tt_Other,MATCH(D1674,tt_Type,0))="",E1674&amp;"",INDEX(tt_Other,MATCH(D1674,tt_Type,0))),""))</f>
        <v/>
      </c>
      <c r="W1674" s="68">
        <f>IF(OR(TaxOn&lt;&gt;"Yes",NOT(ISNUMBER(M1674))),0,IF(IFERROR(INDEX(tt_Tax,MATCH(D1674,tt_Type,0)),"No")="Yes",M1674,0))</f>
        <v/>
      </c>
      <c r="X1674" s="67">
        <f>IF(T1674=1,"",IF(C1674="","Missing transaction date",IF(NOT(ISNUMBER(C1674)),"Invalid date",IF(OR(C1674&lt;DATE(2000,1,1),C1674&gt;DATE(2099,12,31)),"Invalid date",IF(D1674="","Select a type",IF(U1674="","Unknown type: "&amp;D1674,IF(V1674="","Select an account (Category)",IF(ISNA(MATCH(V1674,coa_Name,0)),"Unknown account: "&amp;V1674,IF(K1674="","Select Paid From / Deposited To",IF(ISNA(MATCH(K1674,coa_Name,0)),"Unknown account: "&amp;K1674,IF(NOT(ISNUMBER(L1674)),"Enter an amount",IF(L1674=0,"Enter an amount",IF(ABS(W1674)&gt;ABS(L1674),"Tax is larger than the amount","")))))))))))))</f>
        <v/>
      </c>
      <c r="Y1674" s="67">
        <f>IF(OR(T1674=1,X1674&lt;&gt;""),"",IF(AND(B1674&lt;&gt;"",COUNTIF(tx_ID,B1674)&gt;1),"Duplicate transaction ID",IF(AND(L1674&lt;0,D1674&lt;&gt;"Adjustment"),"Negative amount — check this entry",IF(AND(D1674="Customer Payment",G1674=""),"Add the customer",IF(AND(D1674="Customer Payment",OR(J1674="",COUNTIF(ar_No,J1674&amp;"")=0)),"Invoice # in Reference not found on AR sheet",IF(AND(D1674="Bill Payment",H1674=""),"Add the vendor",IF(AND(D1674="Bill Payment",OR(J1674="",COUNTIFS(ap_No,J1674&amp;"",ap_Party,H1674&amp;"")=0)),"Bill # + vendor not found on AP sheet",IF(AND(ISNUMBER(M1674),N(M1674)&lt;&gt;0,W1674=0),"Tax ignored (tax tracking off, or not allowed for this type)",IF(V1674=K1674&amp;"","Same account on both sides",IF(AND(ISNUMBER(StartDate),C1674&lt;StartDate),"Date is before the accounting start date",IF(AND(D1674&lt;&gt;"Adjustment",IFERROR(INDEX(coa_Pay,MATCH(K1674&amp;"",coa_Name,0)),"")&lt;&gt;"Yes"),"Paid From / Deposited To is not a payment account","")))))))))))</f>
        <v/>
      </c>
      <c r="Z1674" s="67">
        <f>IF(AND(T1674=0,X1674=""),1,0)</f>
        <v/>
      </c>
      <c r="AA1674" s="68">
        <f>IF(Z1674=1,IF(U1674="In",L1674,L1674-W1674),0)</f>
        <v/>
      </c>
      <c r="AB1674" s="68">
        <f>IF(Z1674=1,IF(U1674="In",L1674-W1674,L1674),0)</f>
        <v/>
      </c>
      <c r="AC1674" s="68">
        <f>IF(AND(Z1674=1,U1674="Out"),W1674,0)</f>
        <v/>
      </c>
      <c r="AD1674" s="68">
        <f>IF(AND(Z1674=1,U1674="In"),W1674,0)</f>
        <v/>
      </c>
    </row>
    <row r="1675">
      <c r="B1675" s="62" t="inlineStr">
        <is>
          <t>TX-1669</t>
        </is>
      </c>
      <c r="C1675" s="63" t="n"/>
      <c r="D1675" s="62" t="n"/>
      <c r="E1675" s="62" t="n"/>
      <c r="F1675" s="62" t="n"/>
      <c r="G1675" s="62" t="n"/>
      <c r="H1675" s="62" t="n"/>
      <c r="I1675" s="62" t="n"/>
      <c r="J1675" s="62" t="n"/>
      <c r="K1675" s="62" t="n"/>
      <c r="L1675" s="64" t="n"/>
      <c r="M1675" s="64" t="n"/>
      <c r="N1675" s="62" t="n"/>
      <c r="O1675" s="65">
        <f>IF(Z1675=1,L1675-W1675,"")</f>
        <v/>
      </c>
      <c r="P1675" s="66">
        <f>IF(V1675="","",IFERROR(INDEX(coa_Type,MATCH(V1675,coa_Name,0)),""))</f>
        <v/>
      </c>
      <c r="Q1675" s="66">
        <f>IF(Z1675=1,IF(U1675="In",K1675&amp;"",V1675),"")</f>
        <v/>
      </c>
      <c r="R1675" s="66">
        <f>IF(Z1675=1,IF(U1675="In",V1675,K1675&amp;""),"")</f>
        <v/>
      </c>
      <c r="S1675" s="66">
        <f>IF(X1675&lt;&gt;"","⛔ "&amp;X1675&amp;" — not posted",IF(Y1675&lt;&gt;"","⚠ "&amp;Y1675,IF(Z1675=1,"✓ OK","")))</f>
        <v/>
      </c>
      <c r="T1675" s="67">
        <f>IF(AND(C1675="",D1675="",E1675="",L1675="",K1675=""),1,0)</f>
        <v/>
      </c>
      <c r="U1675" s="67">
        <f>IFERROR(INDEX(tt_Dir,MATCH(D1675,tt_Type,0)),"")</f>
        <v/>
      </c>
      <c r="V1675" s="67">
        <f>IF(D1675="","",IFERROR(IF(INDEX(tt_Other,MATCH(D1675,tt_Type,0))="",E1675&amp;"",INDEX(tt_Other,MATCH(D1675,tt_Type,0))),""))</f>
        <v/>
      </c>
      <c r="W1675" s="68">
        <f>IF(OR(TaxOn&lt;&gt;"Yes",NOT(ISNUMBER(M1675))),0,IF(IFERROR(INDEX(tt_Tax,MATCH(D1675,tt_Type,0)),"No")="Yes",M1675,0))</f>
        <v/>
      </c>
      <c r="X1675" s="67">
        <f>IF(T1675=1,"",IF(C1675="","Missing transaction date",IF(NOT(ISNUMBER(C1675)),"Invalid date",IF(OR(C1675&lt;DATE(2000,1,1),C1675&gt;DATE(2099,12,31)),"Invalid date",IF(D1675="","Select a type",IF(U1675="","Unknown type: "&amp;D1675,IF(V1675="","Select an account (Category)",IF(ISNA(MATCH(V1675,coa_Name,0)),"Unknown account: "&amp;V1675,IF(K1675="","Select Paid From / Deposited To",IF(ISNA(MATCH(K1675,coa_Name,0)),"Unknown account: "&amp;K1675,IF(NOT(ISNUMBER(L1675)),"Enter an amount",IF(L1675=0,"Enter an amount",IF(ABS(W1675)&gt;ABS(L1675),"Tax is larger than the amount","")))))))))))))</f>
        <v/>
      </c>
      <c r="Y1675" s="67">
        <f>IF(OR(T1675=1,X1675&lt;&gt;""),"",IF(AND(B1675&lt;&gt;"",COUNTIF(tx_ID,B1675)&gt;1),"Duplicate transaction ID",IF(AND(L1675&lt;0,D1675&lt;&gt;"Adjustment"),"Negative amount — check this entry",IF(AND(D1675="Customer Payment",G1675=""),"Add the customer",IF(AND(D1675="Customer Payment",OR(J1675="",COUNTIF(ar_No,J1675&amp;"")=0)),"Invoice # in Reference not found on AR sheet",IF(AND(D1675="Bill Payment",H1675=""),"Add the vendor",IF(AND(D1675="Bill Payment",OR(J1675="",COUNTIFS(ap_No,J1675&amp;"",ap_Party,H1675&amp;"")=0)),"Bill # + vendor not found on AP sheet",IF(AND(ISNUMBER(M1675),N(M1675)&lt;&gt;0,W1675=0),"Tax ignored (tax tracking off, or not allowed for this type)",IF(V1675=K1675&amp;"","Same account on both sides",IF(AND(ISNUMBER(StartDate),C1675&lt;StartDate),"Date is before the accounting start date",IF(AND(D1675&lt;&gt;"Adjustment",IFERROR(INDEX(coa_Pay,MATCH(K1675&amp;"",coa_Name,0)),"")&lt;&gt;"Yes"),"Paid From / Deposited To is not a payment account","")))))))))))</f>
        <v/>
      </c>
      <c r="Z1675" s="67">
        <f>IF(AND(T1675=0,X1675=""),1,0)</f>
        <v/>
      </c>
      <c r="AA1675" s="68">
        <f>IF(Z1675=1,IF(U1675="In",L1675,L1675-W1675),0)</f>
        <v/>
      </c>
      <c r="AB1675" s="68">
        <f>IF(Z1675=1,IF(U1675="In",L1675-W1675,L1675),0)</f>
        <v/>
      </c>
      <c r="AC1675" s="68">
        <f>IF(AND(Z1675=1,U1675="Out"),W1675,0)</f>
        <v/>
      </c>
      <c r="AD1675" s="68">
        <f>IF(AND(Z1675=1,U1675="In"),W1675,0)</f>
        <v/>
      </c>
    </row>
    <row r="1676">
      <c r="B1676" s="62" t="inlineStr">
        <is>
          <t>TX-1670</t>
        </is>
      </c>
      <c r="C1676" s="63" t="n"/>
      <c r="D1676" s="62" t="n"/>
      <c r="E1676" s="62" t="n"/>
      <c r="F1676" s="62" t="n"/>
      <c r="G1676" s="62" t="n"/>
      <c r="H1676" s="62" t="n"/>
      <c r="I1676" s="62" t="n"/>
      <c r="J1676" s="62" t="n"/>
      <c r="K1676" s="62" t="n"/>
      <c r="L1676" s="64" t="n"/>
      <c r="M1676" s="64" t="n"/>
      <c r="N1676" s="62" t="n"/>
      <c r="O1676" s="65">
        <f>IF(Z1676=1,L1676-W1676,"")</f>
        <v/>
      </c>
      <c r="P1676" s="66">
        <f>IF(V1676="","",IFERROR(INDEX(coa_Type,MATCH(V1676,coa_Name,0)),""))</f>
        <v/>
      </c>
      <c r="Q1676" s="66">
        <f>IF(Z1676=1,IF(U1676="In",K1676&amp;"",V1676),"")</f>
        <v/>
      </c>
      <c r="R1676" s="66">
        <f>IF(Z1676=1,IF(U1676="In",V1676,K1676&amp;""),"")</f>
        <v/>
      </c>
      <c r="S1676" s="66">
        <f>IF(X1676&lt;&gt;"","⛔ "&amp;X1676&amp;" — not posted",IF(Y1676&lt;&gt;"","⚠ "&amp;Y1676,IF(Z1676=1,"✓ OK","")))</f>
        <v/>
      </c>
      <c r="T1676" s="67">
        <f>IF(AND(C1676="",D1676="",E1676="",L1676="",K1676=""),1,0)</f>
        <v/>
      </c>
      <c r="U1676" s="67">
        <f>IFERROR(INDEX(tt_Dir,MATCH(D1676,tt_Type,0)),"")</f>
        <v/>
      </c>
      <c r="V1676" s="67">
        <f>IF(D1676="","",IFERROR(IF(INDEX(tt_Other,MATCH(D1676,tt_Type,0))="",E1676&amp;"",INDEX(tt_Other,MATCH(D1676,tt_Type,0))),""))</f>
        <v/>
      </c>
      <c r="W1676" s="68">
        <f>IF(OR(TaxOn&lt;&gt;"Yes",NOT(ISNUMBER(M1676))),0,IF(IFERROR(INDEX(tt_Tax,MATCH(D1676,tt_Type,0)),"No")="Yes",M1676,0))</f>
        <v/>
      </c>
      <c r="X1676" s="67">
        <f>IF(T1676=1,"",IF(C1676="","Missing transaction date",IF(NOT(ISNUMBER(C1676)),"Invalid date",IF(OR(C1676&lt;DATE(2000,1,1),C1676&gt;DATE(2099,12,31)),"Invalid date",IF(D1676="","Select a type",IF(U1676="","Unknown type: "&amp;D1676,IF(V1676="","Select an account (Category)",IF(ISNA(MATCH(V1676,coa_Name,0)),"Unknown account: "&amp;V1676,IF(K1676="","Select Paid From / Deposited To",IF(ISNA(MATCH(K1676,coa_Name,0)),"Unknown account: "&amp;K1676,IF(NOT(ISNUMBER(L1676)),"Enter an amount",IF(L1676=0,"Enter an amount",IF(ABS(W1676)&gt;ABS(L1676),"Tax is larger than the amount","")))))))))))))</f>
        <v/>
      </c>
      <c r="Y1676" s="67">
        <f>IF(OR(T1676=1,X1676&lt;&gt;""),"",IF(AND(B1676&lt;&gt;"",COUNTIF(tx_ID,B1676)&gt;1),"Duplicate transaction ID",IF(AND(L1676&lt;0,D1676&lt;&gt;"Adjustment"),"Negative amount — check this entry",IF(AND(D1676="Customer Payment",G1676=""),"Add the customer",IF(AND(D1676="Customer Payment",OR(J1676="",COUNTIF(ar_No,J1676&amp;"")=0)),"Invoice # in Reference not found on AR sheet",IF(AND(D1676="Bill Payment",H1676=""),"Add the vendor",IF(AND(D1676="Bill Payment",OR(J1676="",COUNTIFS(ap_No,J1676&amp;"",ap_Party,H1676&amp;"")=0)),"Bill # + vendor not found on AP sheet",IF(AND(ISNUMBER(M1676),N(M1676)&lt;&gt;0,W1676=0),"Tax ignored (tax tracking off, or not allowed for this type)",IF(V1676=K1676&amp;"","Same account on both sides",IF(AND(ISNUMBER(StartDate),C1676&lt;StartDate),"Date is before the accounting start date",IF(AND(D1676&lt;&gt;"Adjustment",IFERROR(INDEX(coa_Pay,MATCH(K1676&amp;"",coa_Name,0)),"")&lt;&gt;"Yes"),"Paid From / Deposited To is not a payment account","")))))))))))</f>
        <v/>
      </c>
      <c r="Z1676" s="67">
        <f>IF(AND(T1676=0,X1676=""),1,0)</f>
        <v/>
      </c>
      <c r="AA1676" s="68">
        <f>IF(Z1676=1,IF(U1676="In",L1676,L1676-W1676),0)</f>
        <v/>
      </c>
      <c r="AB1676" s="68">
        <f>IF(Z1676=1,IF(U1676="In",L1676-W1676,L1676),0)</f>
        <v/>
      </c>
      <c r="AC1676" s="68">
        <f>IF(AND(Z1676=1,U1676="Out"),W1676,0)</f>
        <v/>
      </c>
      <c r="AD1676" s="68">
        <f>IF(AND(Z1676=1,U1676="In"),W1676,0)</f>
        <v/>
      </c>
    </row>
    <row r="1677">
      <c r="B1677" s="62" t="inlineStr">
        <is>
          <t>TX-1671</t>
        </is>
      </c>
      <c r="C1677" s="63" t="n"/>
      <c r="D1677" s="62" t="n"/>
      <c r="E1677" s="62" t="n"/>
      <c r="F1677" s="62" t="n"/>
      <c r="G1677" s="62" t="n"/>
      <c r="H1677" s="62" t="n"/>
      <c r="I1677" s="62" t="n"/>
      <c r="J1677" s="62" t="n"/>
      <c r="K1677" s="62" t="n"/>
      <c r="L1677" s="64" t="n"/>
      <c r="M1677" s="64" t="n"/>
      <c r="N1677" s="62" t="n"/>
      <c r="O1677" s="65">
        <f>IF(Z1677=1,L1677-W1677,"")</f>
        <v/>
      </c>
      <c r="P1677" s="66">
        <f>IF(V1677="","",IFERROR(INDEX(coa_Type,MATCH(V1677,coa_Name,0)),""))</f>
        <v/>
      </c>
      <c r="Q1677" s="66">
        <f>IF(Z1677=1,IF(U1677="In",K1677&amp;"",V1677),"")</f>
        <v/>
      </c>
      <c r="R1677" s="66">
        <f>IF(Z1677=1,IF(U1677="In",V1677,K1677&amp;""),"")</f>
        <v/>
      </c>
      <c r="S1677" s="66">
        <f>IF(X1677&lt;&gt;"","⛔ "&amp;X1677&amp;" — not posted",IF(Y1677&lt;&gt;"","⚠ "&amp;Y1677,IF(Z1677=1,"✓ OK","")))</f>
        <v/>
      </c>
      <c r="T1677" s="67">
        <f>IF(AND(C1677="",D1677="",E1677="",L1677="",K1677=""),1,0)</f>
        <v/>
      </c>
      <c r="U1677" s="67">
        <f>IFERROR(INDEX(tt_Dir,MATCH(D1677,tt_Type,0)),"")</f>
        <v/>
      </c>
      <c r="V1677" s="67">
        <f>IF(D1677="","",IFERROR(IF(INDEX(tt_Other,MATCH(D1677,tt_Type,0))="",E1677&amp;"",INDEX(tt_Other,MATCH(D1677,tt_Type,0))),""))</f>
        <v/>
      </c>
      <c r="W1677" s="68">
        <f>IF(OR(TaxOn&lt;&gt;"Yes",NOT(ISNUMBER(M1677))),0,IF(IFERROR(INDEX(tt_Tax,MATCH(D1677,tt_Type,0)),"No")="Yes",M1677,0))</f>
        <v/>
      </c>
      <c r="X1677" s="67">
        <f>IF(T1677=1,"",IF(C1677="","Missing transaction date",IF(NOT(ISNUMBER(C1677)),"Invalid date",IF(OR(C1677&lt;DATE(2000,1,1),C1677&gt;DATE(2099,12,31)),"Invalid date",IF(D1677="","Select a type",IF(U1677="","Unknown type: "&amp;D1677,IF(V1677="","Select an account (Category)",IF(ISNA(MATCH(V1677,coa_Name,0)),"Unknown account: "&amp;V1677,IF(K1677="","Select Paid From / Deposited To",IF(ISNA(MATCH(K1677,coa_Name,0)),"Unknown account: "&amp;K1677,IF(NOT(ISNUMBER(L1677)),"Enter an amount",IF(L1677=0,"Enter an amount",IF(ABS(W1677)&gt;ABS(L1677),"Tax is larger than the amount","")))))))))))))</f>
        <v/>
      </c>
      <c r="Y1677" s="67">
        <f>IF(OR(T1677=1,X1677&lt;&gt;""),"",IF(AND(B1677&lt;&gt;"",COUNTIF(tx_ID,B1677)&gt;1),"Duplicate transaction ID",IF(AND(L1677&lt;0,D1677&lt;&gt;"Adjustment"),"Negative amount — check this entry",IF(AND(D1677="Customer Payment",G1677=""),"Add the customer",IF(AND(D1677="Customer Payment",OR(J1677="",COUNTIF(ar_No,J1677&amp;"")=0)),"Invoice # in Reference not found on AR sheet",IF(AND(D1677="Bill Payment",H1677=""),"Add the vendor",IF(AND(D1677="Bill Payment",OR(J1677="",COUNTIFS(ap_No,J1677&amp;"",ap_Party,H1677&amp;"")=0)),"Bill # + vendor not found on AP sheet",IF(AND(ISNUMBER(M1677),N(M1677)&lt;&gt;0,W1677=0),"Tax ignored (tax tracking off, or not allowed for this type)",IF(V1677=K1677&amp;"","Same account on both sides",IF(AND(ISNUMBER(StartDate),C1677&lt;StartDate),"Date is before the accounting start date",IF(AND(D1677&lt;&gt;"Adjustment",IFERROR(INDEX(coa_Pay,MATCH(K1677&amp;"",coa_Name,0)),"")&lt;&gt;"Yes"),"Paid From / Deposited To is not a payment account","")))))))))))</f>
        <v/>
      </c>
      <c r="Z1677" s="67">
        <f>IF(AND(T1677=0,X1677=""),1,0)</f>
        <v/>
      </c>
      <c r="AA1677" s="68">
        <f>IF(Z1677=1,IF(U1677="In",L1677,L1677-W1677),0)</f>
        <v/>
      </c>
      <c r="AB1677" s="68">
        <f>IF(Z1677=1,IF(U1677="In",L1677-W1677,L1677),0)</f>
        <v/>
      </c>
      <c r="AC1677" s="68">
        <f>IF(AND(Z1677=1,U1677="Out"),W1677,0)</f>
        <v/>
      </c>
      <c r="AD1677" s="68">
        <f>IF(AND(Z1677=1,U1677="In"),W1677,0)</f>
        <v/>
      </c>
    </row>
    <row r="1678">
      <c r="B1678" s="62" t="inlineStr">
        <is>
          <t>TX-1672</t>
        </is>
      </c>
      <c r="C1678" s="63" t="n"/>
      <c r="D1678" s="62" t="n"/>
      <c r="E1678" s="62" t="n"/>
      <c r="F1678" s="62" t="n"/>
      <c r="G1678" s="62" t="n"/>
      <c r="H1678" s="62" t="n"/>
      <c r="I1678" s="62" t="n"/>
      <c r="J1678" s="62" t="n"/>
      <c r="K1678" s="62" t="n"/>
      <c r="L1678" s="64" t="n"/>
      <c r="M1678" s="64" t="n"/>
      <c r="N1678" s="62" t="n"/>
      <c r="O1678" s="65">
        <f>IF(Z1678=1,L1678-W1678,"")</f>
        <v/>
      </c>
      <c r="P1678" s="66">
        <f>IF(V1678="","",IFERROR(INDEX(coa_Type,MATCH(V1678,coa_Name,0)),""))</f>
        <v/>
      </c>
      <c r="Q1678" s="66">
        <f>IF(Z1678=1,IF(U1678="In",K1678&amp;"",V1678),"")</f>
        <v/>
      </c>
      <c r="R1678" s="66">
        <f>IF(Z1678=1,IF(U1678="In",V1678,K1678&amp;""),"")</f>
        <v/>
      </c>
      <c r="S1678" s="66">
        <f>IF(X1678&lt;&gt;"","⛔ "&amp;X1678&amp;" — not posted",IF(Y1678&lt;&gt;"","⚠ "&amp;Y1678,IF(Z1678=1,"✓ OK","")))</f>
        <v/>
      </c>
      <c r="T1678" s="67">
        <f>IF(AND(C1678="",D1678="",E1678="",L1678="",K1678=""),1,0)</f>
        <v/>
      </c>
      <c r="U1678" s="67">
        <f>IFERROR(INDEX(tt_Dir,MATCH(D1678,tt_Type,0)),"")</f>
        <v/>
      </c>
      <c r="V1678" s="67">
        <f>IF(D1678="","",IFERROR(IF(INDEX(tt_Other,MATCH(D1678,tt_Type,0))="",E1678&amp;"",INDEX(tt_Other,MATCH(D1678,tt_Type,0))),""))</f>
        <v/>
      </c>
      <c r="W1678" s="68">
        <f>IF(OR(TaxOn&lt;&gt;"Yes",NOT(ISNUMBER(M1678))),0,IF(IFERROR(INDEX(tt_Tax,MATCH(D1678,tt_Type,0)),"No")="Yes",M1678,0))</f>
        <v/>
      </c>
      <c r="X1678" s="67">
        <f>IF(T1678=1,"",IF(C1678="","Missing transaction date",IF(NOT(ISNUMBER(C1678)),"Invalid date",IF(OR(C1678&lt;DATE(2000,1,1),C1678&gt;DATE(2099,12,31)),"Invalid date",IF(D1678="","Select a type",IF(U1678="","Unknown type: "&amp;D1678,IF(V1678="","Select an account (Category)",IF(ISNA(MATCH(V1678,coa_Name,0)),"Unknown account: "&amp;V1678,IF(K1678="","Select Paid From / Deposited To",IF(ISNA(MATCH(K1678,coa_Name,0)),"Unknown account: "&amp;K1678,IF(NOT(ISNUMBER(L1678)),"Enter an amount",IF(L1678=0,"Enter an amount",IF(ABS(W1678)&gt;ABS(L1678),"Tax is larger than the amount","")))))))))))))</f>
        <v/>
      </c>
      <c r="Y1678" s="67">
        <f>IF(OR(T1678=1,X1678&lt;&gt;""),"",IF(AND(B1678&lt;&gt;"",COUNTIF(tx_ID,B1678)&gt;1),"Duplicate transaction ID",IF(AND(L1678&lt;0,D1678&lt;&gt;"Adjustment"),"Negative amount — check this entry",IF(AND(D1678="Customer Payment",G1678=""),"Add the customer",IF(AND(D1678="Customer Payment",OR(J1678="",COUNTIF(ar_No,J1678&amp;"")=0)),"Invoice # in Reference not found on AR sheet",IF(AND(D1678="Bill Payment",H1678=""),"Add the vendor",IF(AND(D1678="Bill Payment",OR(J1678="",COUNTIFS(ap_No,J1678&amp;"",ap_Party,H1678&amp;"")=0)),"Bill # + vendor not found on AP sheet",IF(AND(ISNUMBER(M1678),N(M1678)&lt;&gt;0,W1678=0),"Tax ignored (tax tracking off, or not allowed for this type)",IF(V1678=K1678&amp;"","Same account on both sides",IF(AND(ISNUMBER(StartDate),C1678&lt;StartDate),"Date is before the accounting start date",IF(AND(D1678&lt;&gt;"Adjustment",IFERROR(INDEX(coa_Pay,MATCH(K1678&amp;"",coa_Name,0)),"")&lt;&gt;"Yes"),"Paid From / Deposited To is not a payment account","")))))))))))</f>
        <v/>
      </c>
      <c r="Z1678" s="67">
        <f>IF(AND(T1678=0,X1678=""),1,0)</f>
        <v/>
      </c>
      <c r="AA1678" s="68">
        <f>IF(Z1678=1,IF(U1678="In",L1678,L1678-W1678),0)</f>
        <v/>
      </c>
      <c r="AB1678" s="68">
        <f>IF(Z1678=1,IF(U1678="In",L1678-W1678,L1678),0)</f>
        <v/>
      </c>
      <c r="AC1678" s="68">
        <f>IF(AND(Z1678=1,U1678="Out"),W1678,0)</f>
        <v/>
      </c>
      <c r="AD1678" s="68">
        <f>IF(AND(Z1678=1,U1678="In"),W1678,0)</f>
        <v/>
      </c>
    </row>
    <row r="1679">
      <c r="B1679" s="62" t="inlineStr">
        <is>
          <t>TX-1673</t>
        </is>
      </c>
      <c r="C1679" s="63" t="n"/>
      <c r="D1679" s="62" t="n"/>
      <c r="E1679" s="62" t="n"/>
      <c r="F1679" s="62" t="n"/>
      <c r="G1679" s="62" t="n"/>
      <c r="H1679" s="62" t="n"/>
      <c r="I1679" s="62" t="n"/>
      <c r="J1679" s="62" t="n"/>
      <c r="K1679" s="62" t="n"/>
      <c r="L1679" s="64" t="n"/>
      <c r="M1679" s="64" t="n"/>
      <c r="N1679" s="62" t="n"/>
      <c r="O1679" s="65">
        <f>IF(Z1679=1,L1679-W1679,"")</f>
        <v/>
      </c>
      <c r="P1679" s="66">
        <f>IF(V1679="","",IFERROR(INDEX(coa_Type,MATCH(V1679,coa_Name,0)),""))</f>
        <v/>
      </c>
      <c r="Q1679" s="66">
        <f>IF(Z1679=1,IF(U1679="In",K1679&amp;"",V1679),"")</f>
        <v/>
      </c>
      <c r="R1679" s="66">
        <f>IF(Z1679=1,IF(U1679="In",V1679,K1679&amp;""),"")</f>
        <v/>
      </c>
      <c r="S1679" s="66">
        <f>IF(X1679&lt;&gt;"","⛔ "&amp;X1679&amp;" — not posted",IF(Y1679&lt;&gt;"","⚠ "&amp;Y1679,IF(Z1679=1,"✓ OK","")))</f>
        <v/>
      </c>
      <c r="T1679" s="67">
        <f>IF(AND(C1679="",D1679="",E1679="",L1679="",K1679=""),1,0)</f>
        <v/>
      </c>
      <c r="U1679" s="67">
        <f>IFERROR(INDEX(tt_Dir,MATCH(D1679,tt_Type,0)),"")</f>
        <v/>
      </c>
      <c r="V1679" s="67">
        <f>IF(D1679="","",IFERROR(IF(INDEX(tt_Other,MATCH(D1679,tt_Type,0))="",E1679&amp;"",INDEX(tt_Other,MATCH(D1679,tt_Type,0))),""))</f>
        <v/>
      </c>
      <c r="W1679" s="68">
        <f>IF(OR(TaxOn&lt;&gt;"Yes",NOT(ISNUMBER(M1679))),0,IF(IFERROR(INDEX(tt_Tax,MATCH(D1679,tt_Type,0)),"No")="Yes",M1679,0))</f>
        <v/>
      </c>
      <c r="X1679" s="67">
        <f>IF(T1679=1,"",IF(C1679="","Missing transaction date",IF(NOT(ISNUMBER(C1679)),"Invalid date",IF(OR(C1679&lt;DATE(2000,1,1),C1679&gt;DATE(2099,12,31)),"Invalid date",IF(D1679="","Select a type",IF(U1679="","Unknown type: "&amp;D1679,IF(V1679="","Select an account (Category)",IF(ISNA(MATCH(V1679,coa_Name,0)),"Unknown account: "&amp;V1679,IF(K1679="","Select Paid From / Deposited To",IF(ISNA(MATCH(K1679,coa_Name,0)),"Unknown account: "&amp;K1679,IF(NOT(ISNUMBER(L1679)),"Enter an amount",IF(L1679=0,"Enter an amount",IF(ABS(W1679)&gt;ABS(L1679),"Tax is larger than the amount","")))))))))))))</f>
        <v/>
      </c>
      <c r="Y1679" s="67">
        <f>IF(OR(T1679=1,X1679&lt;&gt;""),"",IF(AND(B1679&lt;&gt;"",COUNTIF(tx_ID,B1679)&gt;1),"Duplicate transaction ID",IF(AND(L1679&lt;0,D1679&lt;&gt;"Adjustment"),"Negative amount — check this entry",IF(AND(D1679="Customer Payment",G1679=""),"Add the customer",IF(AND(D1679="Customer Payment",OR(J1679="",COUNTIF(ar_No,J1679&amp;"")=0)),"Invoice # in Reference not found on AR sheet",IF(AND(D1679="Bill Payment",H1679=""),"Add the vendor",IF(AND(D1679="Bill Payment",OR(J1679="",COUNTIFS(ap_No,J1679&amp;"",ap_Party,H1679&amp;"")=0)),"Bill # + vendor not found on AP sheet",IF(AND(ISNUMBER(M1679),N(M1679)&lt;&gt;0,W1679=0),"Tax ignored (tax tracking off, or not allowed for this type)",IF(V1679=K1679&amp;"","Same account on both sides",IF(AND(ISNUMBER(StartDate),C1679&lt;StartDate),"Date is before the accounting start date",IF(AND(D1679&lt;&gt;"Adjustment",IFERROR(INDEX(coa_Pay,MATCH(K1679&amp;"",coa_Name,0)),"")&lt;&gt;"Yes"),"Paid From / Deposited To is not a payment account","")))))))))))</f>
        <v/>
      </c>
      <c r="Z1679" s="67">
        <f>IF(AND(T1679=0,X1679=""),1,0)</f>
        <v/>
      </c>
      <c r="AA1679" s="68">
        <f>IF(Z1679=1,IF(U1679="In",L1679,L1679-W1679),0)</f>
        <v/>
      </c>
      <c r="AB1679" s="68">
        <f>IF(Z1679=1,IF(U1679="In",L1679-W1679,L1679),0)</f>
        <v/>
      </c>
      <c r="AC1679" s="68">
        <f>IF(AND(Z1679=1,U1679="Out"),W1679,0)</f>
        <v/>
      </c>
      <c r="AD1679" s="68">
        <f>IF(AND(Z1679=1,U1679="In"),W1679,0)</f>
        <v/>
      </c>
    </row>
    <row r="1680">
      <c r="B1680" s="62" t="inlineStr">
        <is>
          <t>TX-1674</t>
        </is>
      </c>
      <c r="C1680" s="63" t="n"/>
      <c r="D1680" s="62" t="n"/>
      <c r="E1680" s="62" t="n"/>
      <c r="F1680" s="62" t="n"/>
      <c r="G1680" s="62" t="n"/>
      <c r="H1680" s="62" t="n"/>
      <c r="I1680" s="62" t="n"/>
      <c r="J1680" s="62" t="n"/>
      <c r="K1680" s="62" t="n"/>
      <c r="L1680" s="64" t="n"/>
      <c r="M1680" s="64" t="n"/>
      <c r="N1680" s="62" t="n"/>
      <c r="O1680" s="65">
        <f>IF(Z1680=1,L1680-W1680,"")</f>
        <v/>
      </c>
      <c r="P1680" s="66">
        <f>IF(V1680="","",IFERROR(INDEX(coa_Type,MATCH(V1680,coa_Name,0)),""))</f>
        <v/>
      </c>
      <c r="Q1680" s="66">
        <f>IF(Z1680=1,IF(U1680="In",K1680&amp;"",V1680),"")</f>
        <v/>
      </c>
      <c r="R1680" s="66">
        <f>IF(Z1680=1,IF(U1680="In",V1680,K1680&amp;""),"")</f>
        <v/>
      </c>
      <c r="S1680" s="66">
        <f>IF(X1680&lt;&gt;"","⛔ "&amp;X1680&amp;" — not posted",IF(Y1680&lt;&gt;"","⚠ "&amp;Y1680,IF(Z1680=1,"✓ OK","")))</f>
        <v/>
      </c>
      <c r="T1680" s="67">
        <f>IF(AND(C1680="",D1680="",E1680="",L1680="",K1680=""),1,0)</f>
        <v/>
      </c>
      <c r="U1680" s="67">
        <f>IFERROR(INDEX(tt_Dir,MATCH(D1680,tt_Type,0)),"")</f>
        <v/>
      </c>
      <c r="V1680" s="67">
        <f>IF(D1680="","",IFERROR(IF(INDEX(tt_Other,MATCH(D1680,tt_Type,0))="",E1680&amp;"",INDEX(tt_Other,MATCH(D1680,tt_Type,0))),""))</f>
        <v/>
      </c>
      <c r="W1680" s="68">
        <f>IF(OR(TaxOn&lt;&gt;"Yes",NOT(ISNUMBER(M1680))),0,IF(IFERROR(INDEX(tt_Tax,MATCH(D1680,tt_Type,0)),"No")="Yes",M1680,0))</f>
        <v/>
      </c>
      <c r="X1680" s="67">
        <f>IF(T1680=1,"",IF(C1680="","Missing transaction date",IF(NOT(ISNUMBER(C1680)),"Invalid date",IF(OR(C1680&lt;DATE(2000,1,1),C1680&gt;DATE(2099,12,31)),"Invalid date",IF(D1680="","Select a type",IF(U1680="","Unknown type: "&amp;D1680,IF(V1680="","Select an account (Category)",IF(ISNA(MATCH(V1680,coa_Name,0)),"Unknown account: "&amp;V1680,IF(K1680="","Select Paid From / Deposited To",IF(ISNA(MATCH(K1680,coa_Name,0)),"Unknown account: "&amp;K1680,IF(NOT(ISNUMBER(L1680)),"Enter an amount",IF(L1680=0,"Enter an amount",IF(ABS(W1680)&gt;ABS(L1680),"Tax is larger than the amount","")))))))))))))</f>
        <v/>
      </c>
      <c r="Y1680" s="67">
        <f>IF(OR(T1680=1,X1680&lt;&gt;""),"",IF(AND(B1680&lt;&gt;"",COUNTIF(tx_ID,B1680)&gt;1),"Duplicate transaction ID",IF(AND(L1680&lt;0,D1680&lt;&gt;"Adjustment"),"Negative amount — check this entry",IF(AND(D1680="Customer Payment",G1680=""),"Add the customer",IF(AND(D1680="Customer Payment",OR(J1680="",COUNTIF(ar_No,J1680&amp;"")=0)),"Invoice # in Reference not found on AR sheet",IF(AND(D1680="Bill Payment",H1680=""),"Add the vendor",IF(AND(D1680="Bill Payment",OR(J1680="",COUNTIFS(ap_No,J1680&amp;"",ap_Party,H1680&amp;"")=0)),"Bill # + vendor not found on AP sheet",IF(AND(ISNUMBER(M1680),N(M1680)&lt;&gt;0,W1680=0),"Tax ignored (tax tracking off, or not allowed for this type)",IF(V1680=K1680&amp;"","Same account on both sides",IF(AND(ISNUMBER(StartDate),C1680&lt;StartDate),"Date is before the accounting start date",IF(AND(D1680&lt;&gt;"Adjustment",IFERROR(INDEX(coa_Pay,MATCH(K1680&amp;"",coa_Name,0)),"")&lt;&gt;"Yes"),"Paid From / Deposited To is not a payment account","")))))))))))</f>
        <v/>
      </c>
      <c r="Z1680" s="67">
        <f>IF(AND(T1680=0,X1680=""),1,0)</f>
        <v/>
      </c>
      <c r="AA1680" s="68">
        <f>IF(Z1680=1,IF(U1680="In",L1680,L1680-W1680),0)</f>
        <v/>
      </c>
      <c r="AB1680" s="68">
        <f>IF(Z1680=1,IF(U1680="In",L1680-W1680,L1680),0)</f>
        <v/>
      </c>
      <c r="AC1680" s="68">
        <f>IF(AND(Z1680=1,U1680="Out"),W1680,0)</f>
        <v/>
      </c>
      <c r="AD1680" s="68">
        <f>IF(AND(Z1680=1,U1680="In"),W1680,0)</f>
        <v/>
      </c>
    </row>
    <row r="1681">
      <c r="B1681" s="62" t="inlineStr">
        <is>
          <t>TX-1675</t>
        </is>
      </c>
      <c r="C1681" s="63" t="n"/>
      <c r="D1681" s="62" t="n"/>
      <c r="E1681" s="62" t="n"/>
      <c r="F1681" s="62" t="n"/>
      <c r="G1681" s="62" t="n"/>
      <c r="H1681" s="62" t="n"/>
      <c r="I1681" s="62" t="n"/>
      <c r="J1681" s="62" t="n"/>
      <c r="K1681" s="62" t="n"/>
      <c r="L1681" s="64" t="n"/>
      <c r="M1681" s="64" t="n"/>
      <c r="N1681" s="62" t="n"/>
      <c r="O1681" s="65">
        <f>IF(Z1681=1,L1681-W1681,"")</f>
        <v/>
      </c>
      <c r="P1681" s="66">
        <f>IF(V1681="","",IFERROR(INDEX(coa_Type,MATCH(V1681,coa_Name,0)),""))</f>
        <v/>
      </c>
      <c r="Q1681" s="66">
        <f>IF(Z1681=1,IF(U1681="In",K1681&amp;"",V1681),"")</f>
        <v/>
      </c>
      <c r="R1681" s="66">
        <f>IF(Z1681=1,IF(U1681="In",V1681,K1681&amp;""),"")</f>
        <v/>
      </c>
      <c r="S1681" s="66">
        <f>IF(X1681&lt;&gt;"","⛔ "&amp;X1681&amp;" — not posted",IF(Y1681&lt;&gt;"","⚠ "&amp;Y1681,IF(Z1681=1,"✓ OK","")))</f>
        <v/>
      </c>
      <c r="T1681" s="67">
        <f>IF(AND(C1681="",D1681="",E1681="",L1681="",K1681=""),1,0)</f>
        <v/>
      </c>
      <c r="U1681" s="67">
        <f>IFERROR(INDEX(tt_Dir,MATCH(D1681,tt_Type,0)),"")</f>
        <v/>
      </c>
      <c r="V1681" s="67">
        <f>IF(D1681="","",IFERROR(IF(INDEX(tt_Other,MATCH(D1681,tt_Type,0))="",E1681&amp;"",INDEX(tt_Other,MATCH(D1681,tt_Type,0))),""))</f>
        <v/>
      </c>
      <c r="W1681" s="68">
        <f>IF(OR(TaxOn&lt;&gt;"Yes",NOT(ISNUMBER(M1681))),0,IF(IFERROR(INDEX(tt_Tax,MATCH(D1681,tt_Type,0)),"No")="Yes",M1681,0))</f>
        <v/>
      </c>
      <c r="X1681" s="67">
        <f>IF(T1681=1,"",IF(C1681="","Missing transaction date",IF(NOT(ISNUMBER(C1681)),"Invalid date",IF(OR(C1681&lt;DATE(2000,1,1),C1681&gt;DATE(2099,12,31)),"Invalid date",IF(D1681="","Select a type",IF(U1681="","Unknown type: "&amp;D1681,IF(V1681="","Select an account (Category)",IF(ISNA(MATCH(V1681,coa_Name,0)),"Unknown account: "&amp;V1681,IF(K1681="","Select Paid From / Deposited To",IF(ISNA(MATCH(K1681,coa_Name,0)),"Unknown account: "&amp;K1681,IF(NOT(ISNUMBER(L1681)),"Enter an amount",IF(L1681=0,"Enter an amount",IF(ABS(W1681)&gt;ABS(L1681),"Tax is larger than the amount","")))))))))))))</f>
        <v/>
      </c>
      <c r="Y1681" s="67">
        <f>IF(OR(T1681=1,X1681&lt;&gt;""),"",IF(AND(B1681&lt;&gt;"",COUNTIF(tx_ID,B1681)&gt;1),"Duplicate transaction ID",IF(AND(L1681&lt;0,D1681&lt;&gt;"Adjustment"),"Negative amount — check this entry",IF(AND(D1681="Customer Payment",G1681=""),"Add the customer",IF(AND(D1681="Customer Payment",OR(J1681="",COUNTIF(ar_No,J1681&amp;"")=0)),"Invoice # in Reference not found on AR sheet",IF(AND(D1681="Bill Payment",H1681=""),"Add the vendor",IF(AND(D1681="Bill Payment",OR(J1681="",COUNTIFS(ap_No,J1681&amp;"",ap_Party,H1681&amp;"")=0)),"Bill # + vendor not found on AP sheet",IF(AND(ISNUMBER(M1681),N(M1681)&lt;&gt;0,W1681=0),"Tax ignored (tax tracking off, or not allowed for this type)",IF(V1681=K1681&amp;"","Same account on both sides",IF(AND(ISNUMBER(StartDate),C1681&lt;StartDate),"Date is before the accounting start date",IF(AND(D1681&lt;&gt;"Adjustment",IFERROR(INDEX(coa_Pay,MATCH(K1681&amp;"",coa_Name,0)),"")&lt;&gt;"Yes"),"Paid From / Deposited To is not a payment account","")))))))))))</f>
        <v/>
      </c>
      <c r="Z1681" s="67">
        <f>IF(AND(T1681=0,X1681=""),1,0)</f>
        <v/>
      </c>
      <c r="AA1681" s="68">
        <f>IF(Z1681=1,IF(U1681="In",L1681,L1681-W1681),0)</f>
        <v/>
      </c>
      <c r="AB1681" s="68">
        <f>IF(Z1681=1,IF(U1681="In",L1681-W1681,L1681),0)</f>
        <v/>
      </c>
      <c r="AC1681" s="68">
        <f>IF(AND(Z1681=1,U1681="Out"),W1681,0)</f>
        <v/>
      </c>
      <c r="AD1681" s="68">
        <f>IF(AND(Z1681=1,U1681="In"),W1681,0)</f>
        <v/>
      </c>
    </row>
    <row r="1682">
      <c r="B1682" s="62" t="inlineStr">
        <is>
          <t>TX-1676</t>
        </is>
      </c>
      <c r="C1682" s="63" t="n"/>
      <c r="D1682" s="62" t="n"/>
      <c r="E1682" s="62" t="n"/>
      <c r="F1682" s="62" t="n"/>
      <c r="G1682" s="62" t="n"/>
      <c r="H1682" s="62" t="n"/>
      <c r="I1682" s="62" t="n"/>
      <c r="J1682" s="62" t="n"/>
      <c r="K1682" s="62" t="n"/>
      <c r="L1682" s="64" t="n"/>
      <c r="M1682" s="64" t="n"/>
      <c r="N1682" s="62" t="n"/>
      <c r="O1682" s="65">
        <f>IF(Z1682=1,L1682-W1682,"")</f>
        <v/>
      </c>
      <c r="P1682" s="66">
        <f>IF(V1682="","",IFERROR(INDEX(coa_Type,MATCH(V1682,coa_Name,0)),""))</f>
        <v/>
      </c>
      <c r="Q1682" s="66">
        <f>IF(Z1682=1,IF(U1682="In",K1682&amp;"",V1682),"")</f>
        <v/>
      </c>
      <c r="R1682" s="66">
        <f>IF(Z1682=1,IF(U1682="In",V1682,K1682&amp;""),"")</f>
        <v/>
      </c>
      <c r="S1682" s="66">
        <f>IF(X1682&lt;&gt;"","⛔ "&amp;X1682&amp;" — not posted",IF(Y1682&lt;&gt;"","⚠ "&amp;Y1682,IF(Z1682=1,"✓ OK","")))</f>
        <v/>
      </c>
      <c r="T1682" s="67">
        <f>IF(AND(C1682="",D1682="",E1682="",L1682="",K1682=""),1,0)</f>
        <v/>
      </c>
      <c r="U1682" s="67">
        <f>IFERROR(INDEX(tt_Dir,MATCH(D1682,tt_Type,0)),"")</f>
        <v/>
      </c>
      <c r="V1682" s="67">
        <f>IF(D1682="","",IFERROR(IF(INDEX(tt_Other,MATCH(D1682,tt_Type,0))="",E1682&amp;"",INDEX(tt_Other,MATCH(D1682,tt_Type,0))),""))</f>
        <v/>
      </c>
      <c r="W1682" s="68">
        <f>IF(OR(TaxOn&lt;&gt;"Yes",NOT(ISNUMBER(M1682))),0,IF(IFERROR(INDEX(tt_Tax,MATCH(D1682,tt_Type,0)),"No")="Yes",M1682,0))</f>
        <v/>
      </c>
      <c r="X1682" s="67">
        <f>IF(T1682=1,"",IF(C1682="","Missing transaction date",IF(NOT(ISNUMBER(C1682)),"Invalid date",IF(OR(C1682&lt;DATE(2000,1,1),C1682&gt;DATE(2099,12,31)),"Invalid date",IF(D1682="","Select a type",IF(U1682="","Unknown type: "&amp;D1682,IF(V1682="","Select an account (Category)",IF(ISNA(MATCH(V1682,coa_Name,0)),"Unknown account: "&amp;V1682,IF(K1682="","Select Paid From / Deposited To",IF(ISNA(MATCH(K1682,coa_Name,0)),"Unknown account: "&amp;K1682,IF(NOT(ISNUMBER(L1682)),"Enter an amount",IF(L1682=0,"Enter an amount",IF(ABS(W1682)&gt;ABS(L1682),"Tax is larger than the amount","")))))))))))))</f>
        <v/>
      </c>
      <c r="Y1682" s="67">
        <f>IF(OR(T1682=1,X1682&lt;&gt;""),"",IF(AND(B1682&lt;&gt;"",COUNTIF(tx_ID,B1682)&gt;1),"Duplicate transaction ID",IF(AND(L1682&lt;0,D1682&lt;&gt;"Adjustment"),"Negative amount — check this entry",IF(AND(D1682="Customer Payment",G1682=""),"Add the customer",IF(AND(D1682="Customer Payment",OR(J1682="",COUNTIF(ar_No,J1682&amp;"")=0)),"Invoice # in Reference not found on AR sheet",IF(AND(D1682="Bill Payment",H1682=""),"Add the vendor",IF(AND(D1682="Bill Payment",OR(J1682="",COUNTIFS(ap_No,J1682&amp;"",ap_Party,H1682&amp;"")=0)),"Bill # + vendor not found on AP sheet",IF(AND(ISNUMBER(M1682),N(M1682)&lt;&gt;0,W1682=0),"Tax ignored (tax tracking off, or not allowed for this type)",IF(V1682=K1682&amp;"","Same account on both sides",IF(AND(ISNUMBER(StartDate),C1682&lt;StartDate),"Date is before the accounting start date",IF(AND(D1682&lt;&gt;"Adjustment",IFERROR(INDEX(coa_Pay,MATCH(K1682&amp;"",coa_Name,0)),"")&lt;&gt;"Yes"),"Paid From / Deposited To is not a payment account","")))))))))))</f>
        <v/>
      </c>
      <c r="Z1682" s="67">
        <f>IF(AND(T1682=0,X1682=""),1,0)</f>
        <v/>
      </c>
      <c r="AA1682" s="68">
        <f>IF(Z1682=1,IF(U1682="In",L1682,L1682-W1682),0)</f>
        <v/>
      </c>
      <c r="AB1682" s="68">
        <f>IF(Z1682=1,IF(U1682="In",L1682-W1682,L1682),0)</f>
        <v/>
      </c>
      <c r="AC1682" s="68">
        <f>IF(AND(Z1682=1,U1682="Out"),W1682,0)</f>
        <v/>
      </c>
      <c r="AD1682" s="68">
        <f>IF(AND(Z1682=1,U1682="In"),W1682,0)</f>
        <v/>
      </c>
    </row>
    <row r="1683">
      <c r="B1683" s="62" t="inlineStr">
        <is>
          <t>TX-1677</t>
        </is>
      </c>
      <c r="C1683" s="63" t="n"/>
      <c r="D1683" s="62" t="n"/>
      <c r="E1683" s="62" t="n"/>
      <c r="F1683" s="62" t="n"/>
      <c r="G1683" s="62" t="n"/>
      <c r="H1683" s="62" t="n"/>
      <c r="I1683" s="62" t="n"/>
      <c r="J1683" s="62" t="n"/>
      <c r="K1683" s="62" t="n"/>
      <c r="L1683" s="64" t="n"/>
      <c r="M1683" s="64" t="n"/>
      <c r="N1683" s="62" t="n"/>
      <c r="O1683" s="65">
        <f>IF(Z1683=1,L1683-W1683,"")</f>
        <v/>
      </c>
      <c r="P1683" s="66">
        <f>IF(V1683="","",IFERROR(INDEX(coa_Type,MATCH(V1683,coa_Name,0)),""))</f>
        <v/>
      </c>
      <c r="Q1683" s="66">
        <f>IF(Z1683=1,IF(U1683="In",K1683&amp;"",V1683),"")</f>
        <v/>
      </c>
      <c r="R1683" s="66">
        <f>IF(Z1683=1,IF(U1683="In",V1683,K1683&amp;""),"")</f>
        <v/>
      </c>
      <c r="S1683" s="66">
        <f>IF(X1683&lt;&gt;"","⛔ "&amp;X1683&amp;" — not posted",IF(Y1683&lt;&gt;"","⚠ "&amp;Y1683,IF(Z1683=1,"✓ OK","")))</f>
        <v/>
      </c>
      <c r="T1683" s="67">
        <f>IF(AND(C1683="",D1683="",E1683="",L1683="",K1683=""),1,0)</f>
        <v/>
      </c>
      <c r="U1683" s="67">
        <f>IFERROR(INDEX(tt_Dir,MATCH(D1683,tt_Type,0)),"")</f>
        <v/>
      </c>
      <c r="V1683" s="67">
        <f>IF(D1683="","",IFERROR(IF(INDEX(tt_Other,MATCH(D1683,tt_Type,0))="",E1683&amp;"",INDEX(tt_Other,MATCH(D1683,tt_Type,0))),""))</f>
        <v/>
      </c>
      <c r="W1683" s="68">
        <f>IF(OR(TaxOn&lt;&gt;"Yes",NOT(ISNUMBER(M1683))),0,IF(IFERROR(INDEX(tt_Tax,MATCH(D1683,tt_Type,0)),"No")="Yes",M1683,0))</f>
        <v/>
      </c>
      <c r="X1683" s="67">
        <f>IF(T1683=1,"",IF(C1683="","Missing transaction date",IF(NOT(ISNUMBER(C1683)),"Invalid date",IF(OR(C1683&lt;DATE(2000,1,1),C1683&gt;DATE(2099,12,31)),"Invalid date",IF(D1683="","Select a type",IF(U1683="","Unknown type: "&amp;D1683,IF(V1683="","Select an account (Category)",IF(ISNA(MATCH(V1683,coa_Name,0)),"Unknown account: "&amp;V1683,IF(K1683="","Select Paid From / Deposited To",IF(ISNA(MATCH(K1683,coa_Name,0)),"Unknown account: "&amp;K1683,IF(NOT(ISNUMBER(L1683)),"Enter an amount",IF(L1683=0,"Enter an amount",IF(ABS(W1683)&gt;ABS(L1683),"Tax is larger than the amount","")))))))))))))</f>
        <v/>
      </c>
      <c r="Y1683" s="67">
        <f>IF(OR(T1683=1,X1683&lt;&gt;""),"",IF(AND(B1683&lt;&gt;"",COUNTIF(tx_ID,B1683)&gt;1),"Duplicate transaction ID",IF(AND(L1683&lt;0,D1683&lt;&gt;"Adjustment"),"Negative amount — check this entry",IF(AND(D1683="Customer Payment",G1683=""),"Add the customer",IF(AND(D1683="Customer Payment",OR(J1683="",COUNTIF(ar_No,J1683&amp;"")=0)),"Invoice # in Reference not found on AR sheet",IF(AND(D1683="Bill Payment",H1683=""),"Add the vendor",IF(AND(D1683="Bill Payment",OR(J1683="",COUNTIFS(ap_No,J1683&amp;"",ap_Party,H1683&amp;"")=0)),"Bill # + vendor not found on AP sheet",IF(AND(ISNUMBER(M1683),N(M1683)&lt;&gt;0,W1683=0),"Tax ignored (tax tracking off, or not allowed for this type)",IF(V1683=K1683&amp;"","Same account on both sides",IF(AND(ISNUMBER(StartDate),C1683&lt;StartDate),"Date is before the accounting start date",IF(AND(D1683&lt;&gt;"Adjustment",IFERROR(INDEX(coa_Pay,MATCH(K1683&amp;"",coa_Name,0)),"")&lt;&gt;"Yes"),"Paid From / Deposited To is not a payment account","")))))))))))</f>
        <v/>
      </c>
      <c r="Z1683" s="67">
        <f>IF(AND(T1683=0,X1683=""),1,0)</f>
        <v/>
      </c>
      <c r="AA1683" s="68">
        <f>IF(Z1683=1,IF(U1683="In",L1683,L1683-W1683),0)</f>
        <v/>
      </c>
      <c r="AB1683" s="68">
        <f>IF(Z1683=1,IF(U1683="In",L1683-W1683,L1683),0)</f>
        <v/>
      </c>
      <c r="AC1683" s="68">
        <f>IF(AND(Z1683=1,U1683="Out"),W1683,0)</f>
        <v/>
      </c>
      <c r="AD1683" s="68">
        <f>IF(AND(Z1683=1,U1683="In"),W1683,0)</f>
        <v/>
      </c>
    </row>
    <row r="1684">
      <c r="B1684" s="62" t="inlineStr">
        <is>
          <t>TX-1678</t>
        </is>
      </c>
      <c r="C1684" s="63" t="n"/>
      <c r="D1684" s="62" t="n"/>
      <c r="E1684" s="62" t="n"/>
      <c r="F1684" s="62" t="n"/>
      <c r="G1684" s="62" t="n"/>
      <c r="H1684" s="62" t="n"/>
      <c r="I1684" s="62" t="n"/>
      <c r="J1684" s="62" t="n"/>
      <c r="K1684" s="62" t="n"/>
      <c r="L1684" s="64" t="n"/>
      <c r="M1684" s="64" t="n"/>
      <c r="N1684" s="62" t="n"/>
      <c r="O1684" s="65">
        <f>IF(Z1684=1,L1684-W1684,"")</f>
        <v/>
      </c>
      <c r="P1684" s="66">
        <f>IF(V1684="","",IFERROR(INDEX(coa_Type,MATCH(V1684,coa_Name,0)),""))</f>
        <v/>
      </c>
      <c r="Q1684" s="66">
        <f>IF(Z1684=1,IF(U1684="In",K1684&amp;"",V1684),"")</f>
        <v/>
      </c>
      <c r="R1684" s="66">
        <f>IF(Z1684=1,IF(U1684="In",V1684,K1684&amp;""),"")</f>
        <v/>
      </c>
      <c r="S1684" s="66">
        <f>IF(X1684&lt;&gt;"","⛔ "&amp;X1684&amp;" — not posted",IF(Y1684&lt;&gt;"","⚠ "&amp;Y1684,IF(Z1684=1,"✓ OK","")))</f>
        <v/>
      </c>
      <c r="T1684" s="67">
        <f>IF(AND(C1684="",D1684="",E1684="",L1684="",K1684=""),1,0)</f>
        <v/>
      </c>
      <c r="U1684" s="67">
        <f>IFERROR(INDEX(tt_Dir,MATCH(D1684,tt_Type,0)),"")</f>
        <v/>
      </c>
      <c r="V1684" s="67">
        <f>IF(D1684="","",IFERROR(IF(INDEX(tt_Other,MATCH(D1684,tt_Type,0))="",E1684&amp;"",INDEX(tt_Other,MATCH(D1684,tt_Type,0))),""))</f>
        <v/>
      </c>
      <c r="W1684" s="68">
        <f>IF(OR(TaxOn&lt;&gt;"Yes",NOT(ISNUMBER(M1684))),0,IF(IFERROR(INDEX(tt_Tax,MATCH(D1684,tt_Type,0)),"No")="Yes",M1684,0))</f>
        <v/>
      </c>
      <c r="X1684" s="67">
        <f>IF(T1684=1,"",IF(C1684="","Missing transaction date",IF(NOT(ISNUMBER(C1684)),"Invalid date",IF(OR(C1684&lt;DATE(2000,1,1),C1684&gt;DATE(2099,12,31)),"Invalid date",IF(D1684="","Select a type",IF(U1684="","Unknown type: "&amp;D1684,IF(V1684="","Select an account (Category)",IF(ISNA(MATCH(V1684,coa_Name,0)),"Unknown account: "&amp;V1684,IF(K1684="","Select Paid From / Deposited To",IF(ISNA(MATCH(K1684,coa_Name,0)),"Unknown account: "&amp;K1684,IF(NOT(ISNUMBER(L1684)),"Enter an amount",IF(L1684=0,"Enter an amount",IF(ABS(W1684)&gt;ABS(L1684),"Tax is larger than the amount","")))))))))))))</f>
        <v/>
      </c>
      <c r="Y1684" s="67">
        <f>IF(OR(T1684=1,X1684&lt;&gt;""),"",IF(AND(B1684&lt;&gt;"",COUNTIF(tx_ID,B1684)&gt;1),"Duplicate transaction ID",IF(AND(L1684&lt;0,D1684&lt;&gt;"Adjustment"),"Negative amount — check this entry",IF(AND(D1684="Customer Payment",G1684=""),"Add the customer",IF(AND(D1684="Customer Payment",OR(J1684="",COUNTIF(ar_No,J1684&amp;"")=0)),"Invoice # in Reference not found on AR sheet",IF(AND(D1684="Bill Payment",H1684=""),"Add the vendor",IF(AND(D1684="Bill Payment",OR(J1684="",COUNTIFS(ap_No,J1684&amp;"",ap_Party,H1684&amp;"")=0)),"Bill # + vendor not found on AP sheet",IF(AND(ISNUMBER(M1684),N(M1684)&lt;&gt;0,W1684=0),"Tax ignored (tax tracking off, or not allowed for this type)",IF(V1684=K1684&amp;"","Same account on both sides",IF(AND(ISNUMBER(StartDate),C1684&lt;StartDate),"Date is before the accounting start date",IF(AND(D1684&lt;&gt;"Adjustment",IFERROR(INDEX(coa_Pay,MATCH(K1684&amp;"",coa_Name,0)),"")&lt;&gt;"Yes"),"Paid From / Deposited To is not a payment account","")))))))))))</f>
        <v/>
      </c>
      <c r="Z1684" s="67">
        <f>IF(AND(T1684=0,X1684=""),1,0)</f>
        <v/>
      </c>
      <c r="AA1684" s="68">
        <f>IF(Z1684=1,IF(U1684="In",L1684,L1684-W1684),0)</f>
        <v/>
      </c>
      <c r="AB1684" s="68">
        <f>IF(Z1684=1,IF(U1684="In",L1684-W1684,L1684),0)</f>
        <v/>
      </c>
      <c r="AC1684" s="68">
        <f>IF(AND(Z1684=1,U1684="Out"),W1684,0)</f>
        <v/>
      </c>
      <c r="AD1684" s="68">
        <f>IF(AND(Z1684=1,U1684="In"),W1684,0)</f>
        <v/>
      </c>
    </row>
    <row r="1685">
      <c r="B1685" s="62" t="inlineStr">
        <is>
          <t>TX-1679</t>
        </is>
      </c>
      <c r="C1685" s="63" t="n"/>
      <c r="D1685" s="62" t="n"/>
      <c r="E1685" s="62" t="n"/>
      <c r="F1685" s="62" t="n"/>
      <c r="G1685" s="62" t="n"/>
      <c r="H1685" s="62" t="n"/>
      <c r="I1685" s="62" t="n"/>
      <c r="J1685" s="62" t="n"/>
      <c r="K1685" s="62" t="n"/>
      <c r="L1685" s="64" t="n"/>
      <c r="M1685" s="64" t="n"/>
      <c r="N1685" s="62" t="n"/>
      <c r="O1685" s="65">
        <f>IF(Z1685=1,L1685-W1685,"")</f>
        <v/>
      </c>
      <c r="P1685" s="66">
        <f>IF(V1685="","",IFERROR(INDEX(coa_Type,MATCH(V1685,coa_Name,0)),""))</f>
        <v/>
      </c>
      <c r="Q1685" s="66">
        <f>IF(Z1685=1,IF(U1685="In",K1685&amp;"",V1685),"")</f>
        <v/>
      </c>
      <c r="R1685" s="66">
        <f>IF(Z1685=1,IF(U1685="In",V1685,K1685&amp;""),"")</f>
        <v/>
      </c>
      <c r="S1685" s="66">
        <f>IF(X1685&lt;&gt;"","⛔ "&amp;X1685&amp;" — not posted",IF(Y1685&lt;&gt;"","⚠ "&amp;Y1685,IF(Z1685=1,"✓ OK","")))</f>
        <v/>
      </c>
      <c r="T1685" s="67">
        <f>IF(AND(C1685="",D1685="",E1685="",L1685="",K1685=""),1,0)</f>
        <v/>
      </c>
      <c r="U1685" s="67">
        <f>IFERROR(INDEX(tt_Dir,MATCH(D1685,tt_Type,0)),"")</f>
        <v/>
      </c>
      <c r="V1685" s="67">
        <f>IF(D1685="","",IFERROR(IF(INDEX(tt_Other,MATCH(D1685,tt_Type,0))="",E1685&amp;"",INDEX(tt_Other,MATCH(D1685,tt_Type,0))),""))</f>
        <v/>
      </c>
      <c r="W1685" s="68">
        <f>IF(OR(TaxOn&lt;&gt;"Yes",NOT(ISNUMBER(M1685))),0,IF(IFERROR(INDEX(tt_Tax,MATCH(D1685,tt_Type,0)),"No")="Yes",M1685,0))</f>
        <v/>
      </c>
      <c r="X1685" s="67">
        <f>IF(T1685=1,"",IF(C1685="","Missing transaction date",IF(NOT(ISNUMBER(C1685)),"Invalid date",IF(OR(C1685&lt;DATE(2000,1,1),C1685&gt;DATE(2099,12,31)),"Invalid date",IF(D1685="","Select a type",IF(U1685="","Unknown type: "&amp;D1685,IF(V1685="","Select an account (Category)",IF(ISNA(MATCH(V1685,coa_Name,0)),"Unknown account: "&amp;V1685,IF(K1685="","Select Paid From / Deposited To",IF(ISNA(MATCH(K1685,coa_Name,0)),"Unknown account: "&amp;K1685,IF(NOT(ISNUMBER(L1685)),"Enter an amount",IF(L1685=0,"Enter an amount",IF(ABS(W1685)&gt;ABS(L1685),"Tax is larger than the amount","")))))))))))))</f>
        <v/>
      </c>
      <c r="Y1685" s="67">
        <f>IF(OR(T1685=1,X1685&lt;&gt;""),"",IF(AND(B1685&lt;&gt;"",COUNTIF(tx_ID,B1685)&gt;1),"Duplicate transaction ID",IF(AND(L1685&lt;0,D1685&lt;&gt;"Adjustment"),"Negative amount — check this entry",IF(AND(D1685="Customer Payment",G1685=""),"Add the customer",IF(AND(D1685="Customer Payment",OR(J1685="",COUNTIF(ar_No,J1685&amp;"")=0)),"Invoice # in Reference not found on AR sheet",IF(AND(D1685="Bill Payment",H1685=""),"Add the vendor",IF(AND(D1685="Bill Payment",OR(J1685="",COUNTIFS(ap_No,J1685&amp;"",ap_Party,H1685&amp;"")=0)),"Bill # + vendor not found on AP sheet",IF(AND(ISNUMBER(M1685),N(M1685)&lt;&gt;0,W1685=0),"Tax ignored (tax tracking off, or not allowed for this type)",IF(V1685=K1685&amp;"","Same account on both sides",IF(AND(ISNUMBER(StartDate),C1685&lt;StartDate),"Date is before the accounting start date",IF(AND(D1685&lt;&gt;"Adjustment",IFERROR(INDEX(coa_Pay,MATCH(K1685&amp;"",coa_Name,0)),"")&lt;&gt;"Yes"),"Paid From / Deposited To is not a payment account","")))))))))))</f>
        <v/>
      </c>
      <c r="Z1685" s="67">
        <f>IF(AND(T1685=0,X1685=""),1,0)</f>
        <v/>
      </c>
      <c r="AA1685" s="68">
        <f>IF(Z1685=1,IF(U1685="In",L1685,L1685-W1685),0)</f>
        <v/>
      </c>
      <c r="AB1685" s="68">
        <f>IF(Z1685=1,IF(U1685="In",L1685-W1685,L1685),0)</f>
        <v/>
      </c>
      <c r="AC1685" s="68">
        <f>IF(AND(Z1685=1,U1685="Out"),W1685,0)</f>
        <v/>
      </c>
      <c r="AD1685" s="68">
        <f>IF(AND(Z1685=1,U1685="In"),W1685,0)</f>
        <v/>
      </c>
    </row>
    <row r="1686">
      <c r="B1686" s="62" t="inlineStr">
        <is>
          <t>TX-1680</t>
        </is>
      </c>
      <c r="C1686" s="63" t="n"/>
      <c r="D1686" s="62" t="n"/>
      <c r="E1686" s="62" t="n"/>
      <c r="F1686" s="62" t="n"/>
      <c r="G1686" s="62" t="n"/>
      <c r="H1686" s="62" t="n"/>
      <c r="I1686" s="62" t="n"/>
      <c r="J1686" s="62" t="n"/>
      <c r="K1686" s="62" t="n"/>
      <c r="L1686" s="64" t="n"/>
      <c r="M1686" s="64" t="n"/>
      <c r="N1686" s="62" t="n"/>
      <c r="O1686" s="65">
        <f>IF(Z1686=1,L1686-W1686,"")</f>
        <v/>
      </c>
      <c r="P1686" s="66">
        <f>IF(V1686="","",IFERROR(INDEX(coa_Type,MATCH(V1686,coa_Name,0)),""))</f>
        <v/>
      </c>
      <c r="Q1686" s="66">
        <f>IF(Z1686=1,IF(U1686="In",K1686&amp;"",V1686),"")</f>
        <v/>
      </c>
      <c r="R1686" s="66">
        <f>IF(Z1686=1,IF(U1686="In",V1686,K1686&amp;""),"")</f>
        <v/>
      </c>
      <c r="S1686" s="66">
        <f>IF(X1686&lt;&gt;"","⛔ "&amp;X1686&amp;" — not posted",IF(Y1686&lt;&gt;"","⚠ "&amp;Y1686,IF(Z1686=1,"✓ OK","")))</f>
        <v/>
      </c>
      <c r="T1686" s="67">
        <f>IF(AND(C1686="",D1686="",E1686="",L1686="",K1686=""),1,0)</f>
        <v/>
      </c>
      <c r="U1686" s="67">
        <f>IFERROR(INDEX(tt_Dir,MATCH(D1686,tt_Type,0)),"")</f>
        <v/>
      </c>
      <c r="V1686" s="67">
        <f>IF(D1686="","",IFERROR(IF(INDEX(tt_Other,MATCH(D1686,tt_Type,0))="",E1686&amp;"",INDEX(tt_Other,MATCH(D1686,tt_Type,0))),""))</f>
        <v/>
      </c>
      <c r="W1686" s="68">
        <f>IF(OR(TaxOn&lt;&gt;"Yes",NOT(ISNUMBER(M1686))),0,IF(IFERROR(INDEX(tt_Tax,MATCH(D1686,tt_Type,0)),"No")="Yes",M1686,0))</f>
        <v/>
      </c>
      <c r="X1686" s="67">
        <f>IF(T1686=1,"",IF(C1686="","Missing transaction date",IF(NOT(ISNUMBER(C1686)),"Invalid date",IF(OR(C1686&lt;DATE(2000,1,1),C1686&gt;DATE(2099,12,31)),"Invalid date",IF(D1686="","Select a type",IF(U1686="","Unknown type: "&amp;D1686,IF(V1686="","Select an account (Category)",IF(ISNA(MATCH(V1686,coa_Name,0)),"Unknown account: "&amp;V1686,IF(K1686="","Select Paid From / Deposited To",IF(ISNA(MATCH(K1686,coa_Name,0)),"Unknown account: "&amp;K1686,IF(NOT(ISNUMBER(L1686)),"Enter an amount",IF(L1686=0,"Enter an amount",IF(ABS(W1686)&gt;ABS(L1686),"Tax is larger than the amount","")))))))))))))</f>
        <v/>
      </c>
      <c r="Y1686" s="67">
        <f>IF(OR(T1686=1,X1686&lt;&gt;""),"",IF(AND(B1686&lt;&gt;"",COUNTIF(tx_ID,B1686)&gt;1),"Duplicate transaction ID",IF(AND(L1686&lt;0,D1686&lt;&gt;"Adjustment"),"Negative amount — check this entry",IF(AND(D1686="Customer Payment",G1686=""),"Add the customer",IF(AND(D1686="Customer Payment",OR(J1686="",COUNTIF(ar_No,J1686&amp;"")=0)),"Invoice # in Reference not found on AR sheet",IF(AND(D1686="Bill Payment",H1686=""),"Add the vendor",IF(AND(D1686="Bill Payment",OR(J1686="",COUNTIFS(ap_No,J1686&amp;"",ap_Party,H1686&amp;"")=0)),"Bill # + vendor not found on AP sheet",IF(AND(ISNUMBER(M1686),N(M1686)&lt;&gt;0,W1686=0),"Tax ignored (tax tracking off, or not allowed for this type)",IF(V1686=K1686&amp;"","Same account on both sides",IF(AND(ISNUMBER(StartDate),C1686&lt;StartDate),"Date is before the accounting start date",IF(AND(D1686&lt;&gt;"Adjustment",IFERROR(INDEX(coa_Pay,MATCH(K1686&amp;"",coa_Name,0)),"")&lt;&gt;"Yes"),"Paid From / Deposited To is not a payment account","")))))))))))</f>
        <v/>
      </c>
      <c r="Z1686" s="67">
        <f>IF(AND(T1686=0,X1686=""),1,0)</f>
        <v/>
      </c>
      <c r="AA1686" s="68">
        <f>IF(Z1686=1,IF(U1686="In",L1686,L1686-W1686),0)</f>
        <v/>
      </c>
      <c r="AB1686" s="68">
        <f>IF(Z1686=1,IF(U1686="In",L1686-W1686,L1686),0)</f>
        <v/>
      </c>
      <c r="AC1686" s="68">
        <f>IF(AND(Z1686=1,U1686="Out"),W1686,0)</f>
        <v/>
      </c>
      <c r="AD1686" s="68">
        <f>IF(AND(Z1686=1,U1686="In"),W1686,0)</f>
        <v/>
      </c>
    </row>
    <row r="1687">
      <c r="B1687" s="62" t="inlineStr">
        <is>
          <t>TX-1681</t>
        </is>
      </c>
      <c r="C1687" s="63" t="n"/>
      <c r="D1687" s="62" t="n"/>
      <c r="E1687" s="62" t="n"/>
      <c r="F1687" s="62" t="n"/>
      <c r="G1687" s="62" t="n"/>
      <c r="H1687" s="62" t="n"/>
      <c r="I1687" s="62" t="n"/>
      <c r="J1687" s="62" t="n"/>
      <c r="K1687" s="62" t="n"/>
      <c r="L1687" s="64" t="n"/>
      <c r="M1687" s="64" t="n"/>
      <c r="N1687" s="62" t="n"/>
      <c r="O1687" s="65">
        <f>IF(Z1687=1,L1687-W1687,"")</f>
        <v/>
      </c>
      <c r="P1687" s="66">
        <f>IF(V1687="","",IFERROR(INDEX(coa_Type,MATCH(V1687,coa_Name,0)),""))</f>
        <v/>
      </c>
      <c r="Q1687" s="66">
        <f>IF(Z1687=1,IF(U1687="In",K1687&amp;"",V1687),"")</f>
        <v/>
      </c>
      <c r="R1687" s="66">
        <f>IF(Z1687=1,IF(U1687="In",V1687,K1687&amp;""),"")</f>
        <v/>
      </c>
      <c r="S1687" s="66">
        <f>IF(X1687&lt;&gt;"","⛔ "&amp;X1687&amp;" — not posted",IF(Y1687&lt;&gt;"","⚠ "&amp;Y1687,IF(Z1687=1,"✓ OK","")))</f>
        <v/>
      </c>
      <c r="T1687" s="67">
        <f>IF(AND(C1687="",D1687="",E1687="",L1687="",K1687=""),1,0)</f>
        <v/>
      </c>
      <c r="U1687" s="67">
        <f>IFERROR(INDEX(tt_Dir,MATCH(D1687,tt_Type,0)),"")</f>
        <v/>
      </c>
      <c r="V1687" s="67">
        <f>IF(D1687="","",IFERROR(IF(INDEX(tt_Other,MATCH(D1687,tt_Type,0))="",E1687&amp;"",INDEX(tt_Other,MATCH(D1687,tt_Type,0))),""))</f>
        <v/>
      </c>
      <c r="W1687" s="68">
        <f>IF(OR(TaxOn&lt;&gt;"Yes",NOT(ISNUMBER(M1687))),0,IF(IFERROR(INDEX(tt_Tax,MATCH(D1687,tt_Type,0)),"No")="Yes",M1687,0))</f>
        <v/>
      </c>
      <c r="X1687" s="67">
        <f>IF(T1687=1,"",IF(C1687="","Missing transaction date",IF(NOT(ISNUMBER(C1687)),"Invalid date",IF(OR(C1687&lt;DATE(2000,1,1),C1687&gt;DATE(2099,12,31)),"Invalid date",IF(D1687="","Select a type",IF(U1687="","Unknown type: "&amp;D1687,IF(V1687="","Select an account (Category)",IF(ISNA(MATCH(V1687,coa_Name,0)),"Unknown account: "&amp;V1687,IF(K1687="","Select Paid From / Deposited To",IF(ISNA(MATCH(K1687,coa_Name,0)),"Unknown account: "&amp;K1687,IF(NOT(ISNUMBER(L1687)),"Enter an amount",IF(L1687=0,"Enter an amount",IF(ABS(W1687)&gt;ABS(L1687),"Tax is larger than the amount","")))))))))))))</f>
        <v/>
      </c>
      <c r="Y1687" s="67">
        <f>IF(OR(T1687=1,X1687&lt;&gt;""),"",IF(AND(B1687&lt;&gt;"",COUNTIF(tx_ID,B1687)&gt;1),"Duplicate transaction ID",IF(AND(L1687&lt;0,D1687&lt;&gt;"Adjustment"),"Negative amount — check this entry",IF(AND(D1687="Customer Payment",G1687=""),"Add the customer",IF(AND(D1687="Customer Payment",OR(J1687="",COUNTIF(ar_No,J1687&amp;"")=0)),"Invoice # in Reference not found on AR sheet",IF(AND(D1687="Bill Payment",H1687=""),"Add the vendor",IF(AND(D1687="Bill Payment",OR(J1687="",COUNTIFS(ap_No,J1687&amp;"",ap_Party,H1687&amp;"")=0)),"Bill # + vendor not found on AP sheet",IF(AND(ISNUMBER(M1687),N(M1687)&lt;&gt;0,W1687=0),"Tax ignored (tax tracking off, or not allowed for this type)",IF(V1687=K1687&amp;"","Same account on both sides",IF(AND(ISNUMBER(StartDate),C1687&lt;StartDate),"Date is before the accounting start date",IF(AND(D1687&lt;&gt;"Adjustment",IFERROR(INDEX(coa_Pay,MATCH(K1687&amp;"",coa_Name,0)),"")&lt;&gt;"Yes"),"Paid From / Deposited To is not a payment account","")))))))))))</f>
        <v/>
      </c>
      <c r="Z1687" s="67">
        <f>IF(AND(T1687=0,X1687=""),1,0)</f>
        <v/>
      </c>
      <c r="AA1687" s="68">
        <f>IF(Z1687=1,IF(U1687="In",L1687,L1687-W1687),0)</f>
        <v/>
      </c>
      <c r="AB1687" s="68">
        <f>IF(Z1687=1,IF(U1687="In",L1687-W1687,L1687),0)</f>
        <v/>
      </c>
      <c r="AC1687" s="68">
        <f>IF(AND(Z1687=1,U1687="Out"),W1687,0)</f>
        <v/>
      </c>
      <c r="AD1687" s="68">
        <f>IF(AND(Z1687=1,U1687="In"),W1687,0)</f>
        <v/>
      </c>
    </row>
    <row r="1688">
      <c r="B1688" s="62" t="inlineStr">
        <is>
          <t>TX-1682</t>
        </is>
      </c>
      <c r="C1688" s="63" t="n"/>
      <c r="D1688" s="62" t="n"/>
      <c r="E1688" s="62" t="n"/>
      <c r="F1688" s="62" t="n"/>
      <c r="G1688" s="62" t="n"/>
      <c r="H1688" s="62" t="n"/>
      <c r="I1688" s="62" t="n"/>
      <c r="J1688" s="62" t="n"/>
      <c r="K1688" s="62" t="n"/>
      <c r="L1688" s="64" t="n"/>
      <c r="M1688" s="64" t="n"/>
      <c r="N1688" s="62" t="n"/>
      <c r="O1688" s="65">
        <f>IF(Z1688=1,L1688-W1688,"")</f>
        <v/>
      </c>
      <c r="P1688" s="66">
        <f>IF(V1688="","",IFERROR(INDEX(coa_Type,MATCH(V1688,coa_Name,0)),""))</f>
        <v/>
      </c>
      <c r="Q1688" s="66">
        <f>IF(Z1688=1,IF(U1688="In",K1688&amp;"",V1688),"")</f>
        <v/>
      </c>
      <c r="R1688" s="66">
        <f>IF(Z1688=1,IF(U1688="In",V1688,K1688&amp;""),"")</f>
        <v/>
      </c>
      <c r="S1688" s="66">
        <f>IF(X1688&lt;&gt;"","⛔ "&amp;X1688&amp;" — not posted",IF(Y1688&lt;&gt;"","⚠ "&amp;Y1688,IF(Z1688=1,"✓ OK","")))</f>
        <v/>
      </c>
      <c r="T1688" s="67">
        <f>IF(AND(C1688="",D1688="",E1688="",L1688="",K1688=""),1,0)</f>
        <v/>
      </c>
      <c r="U1688" s="67">
        <f>IFERROR(INDEX(tt_Dir,MATCH(D1688,tt_Type,0)),"")</f>
        <v/>
      </c>
      <c r="V1688" s="67">
        <f>IF(D1688="","",IFERROR(IF(INDEX(tt_Other,MATCH(D1688,tt_Type,0))="",E1688&amp;"",INDEX(tt_Other,MATCH(D1688,tt_Type,0))),""))</f>
        <v/>
      </c>
      <c r="W1688" s="68">
        <f>IF(OR(TaxOn&lt;&gt;"Yes",NOT(ISNUMBER(M1688))),0,IF(IFERROR(INDEX(tt_Tax,MATCH(D1688,tt_Type,0)),"No")="Yes",M1688,0))</f>
        <v/>
      </c>
      <c r="X1688" s="67">
        <f>IF(T1688=1,"",IF(C1688="","Missing transaction date",IF(NOT(ISNUMBER(C1688)),"Invalid date",IF(OR(C1688&lt;DATE(2000,1,1),C1688&gt;DATE(2099,12,31)),"Invalid date",IF(D1688="","Select a type",IF(U1688="","Unknown type: "&amp;D1688,IF(V1688="","Select an account (Category)",IF(ISNA(MATCH(V1688,coa_Name,0)),"Unknown account: "&amp;V1688,IF(K1688="","Select Paid From / Deposited To",IF(ISNA(MATCH(K1688,coa_Name,0)),"Unknown account: "&amp;K1688,IF(NOT(ISNUMBER(L1688)),"Enter an amount",IF(L1688=0,"Enter an amount",IF(ABS(W1688)&gt;ABS(L1688),"Tax is larger than the amount","")))))))))))))</f>
        <v/>
      </c>
      <c r="Y1688" s="67">
        <f>IF(OR(T1688=1,X1688&lt;&gt;""),"",IF(AND(B1688&lt;&gt;"",COUNTIF(tx_ID,B1688)&gt;1),"Duplicate transaction ID",IF(AND(L1688&lt;0,D1688&lt;&gt;"Adjustment"),"Negative amount — check this entry",IF(AND(D1688="Customer Payment",G1688=""),"Add the customer",IF(AND(D1688="Customer Payment",OR(J1688="",COUNTIF(ar_No,J1688&amp;"")=0)),"Invoice # in Reference not found on AR sheet",IF(AND(D1688="Bill Payment",H1688=""),"Add the vendor",IF(AND(D1688="Bill Payment",OR(J1688="",COUNTIFS(ap_No,J1688&amp;"",ap_Party,H1688&amp;"")=0)),"Bill # + vendor not found on AP sheet",IF(AND(ISNUMBER(M1688),N(M1688)&lt;&gt;0,W1688=0),"Tax ignored (tax tracking off, or not allowed for this type)",IF(V1688=K1688&amp;"","Same account on both sides",IF(AND(ISNUMBER(StartDate),C1688&lt;StartDate),"Date is before the accounting start date",IF(AND(D1688&lt;&gt;"Adjustment",IFERROR(INDEX(coa_Pay,MATCH(K1688&amp;"",coa_Name,0)),"")&lt;&gt;"Yes"),"Paid From / Deposited To is not a payment account","")))))))))))</f>
        <v/>
      </c>
      <c r="Z1688" s="67">
        <f>IF(AND(T1688=0,X1688=""),1,0)</f>
        <v/>
      </c>
      <c r="AA1688" s="68">
        <f>IF(Z1688=1,IF(U1688="In",L1688,L1688-W1688),0)</f>
        <v/>
      </c>
      <c r="AB1688" s="68">
        <f>IF(Z1688=1,IF(U1688="In",L1688-W1688,L1688),0)</f>
        <v/>
      </c>
      <c r="AC1688" s="68">
        <f>IF(AND(Z1688=1,U1688="Out"),W1688,0)</f>
        <v/>
      </c>
      <c r="AD1688" s="68">
        <f>IF(AND(Z1688=1,U1688="In"),W1688,0)</f>
        <v/>
      </c>
    </row>
    <row r="1689">
      <c r="B1689" s="62" t="inlineStr">
        <is>
          <t>TX-1683</t>
        </is>
      </c>
      <c r="C1689" s="63" t="n"/>
      <c r="D1689" s="62" t="n"/>
      <c r="E1689" s="62" t="n"/>
      <c r="F1689" s="62" t="n"/>
      <c r="G1689" s="62" t="n"/>
      <c r="H1689" s="62" t="n"/>
      <c r="I1689" s="62" t="n"/>
      <c r="J1689" s="62" t="n"/>
      <c r="K1689" s="62" t="n"/>
      <c r="L1689" s="64" t="n"/>
      <c r="M1689" s="64" t="n"/>
      <c r="N1689" s="62" t="n"/>
      <c r="O1689" s="65">
        <f>IF(Z1689=1,L1689-W1689,"")</f>
        <v/>
      </c>
      <c r="P1689" s="66">
        <f>IF(V1689="","",IFERROR(INDEX(coa_Type,MATCH(V1689,coa_Name,0)),""))</f>
        <v/>
      </c>
      <c r="Q1689" s="66">
        <f>IF(Z1689=1,IF(U1689="In",K1689&amp;"",V1689),"")</f>
        <v/>
      </c>
      <c r="R1689" s="66">
        <f>IF(Z1689=1,IF(U1689="In",V1689,K1689&amp;""),"")</f>
        <v/>
      </c>
      <c r="S1689" s="66">
        <f>IF(X1689&lt;&gt;"","⛔ "&amp;X1689&amp;" — not posted",IF(Y1689&lt;&gt;"","⚠ "&amp;Y1689,IF(Z1689=1,"✓ OK","")))</f>
        <v/>
      </c>
      <c r="T1689" s="67">
        <f>IF(AND(C1689="",D1689="",E1689="",L1689="",K1689=""),1,0)</f>
        <v/>
      </c>
      <c r="U1689" s="67">
        <f>IFERROR(INDEX(tt_Dir,MATCH(D1689,tt_Type,0)),"")</f>
        <v/>
      </c>
      <c r="V1689" s="67">
        <f>IF(D1689="","",IFERROR(IF(INDEX(tt_Other,MATCH(D1689,tt_Type,0))="",E1689&amp;"",INDEX(tt_Other,MATCH(D1689,tt_Type,0))),""))</f>
        <v/>
      </c>
      <c r="W1689" s="68">
        <f>IF(OR(TaxOn&lt;&gt;"Yes",NOT(ISNUMBER(M1689))),0,IF(IFERROR(INDEX(tt_Tax,MATCH(D1689,tt_Type,0)),"No")="Yes",M1689,0))</f>
        <v/>
      </c>
      <c r="X1689" s="67">
        <f>IF(T1689=1,"",IF(C1689="","Missing transaction date",IF(NOT(ISNUMBER(C1689)),"Invalid date",IF(OR(C1689&lt;DATE(2000,1,1),C1689&gt;DATE(2099,12,31)),"Invalid date",IF(D1689="","Select a type",IF(U1689="","Unknown type: "&amp;D1689,IF(V1689="","Select an account (Category)",IF(ISNA(MATCH(V1689,coa_Name,0)),"Unknown account: "&amp;V1689,IF(K1689="","Select Paid From / Deposited To",IF(ISNA(MATCH(K1689,coa_Name,0)),"Unknown account: "&amp;K1689,IF(NOT(ISNUMBER(L1689)),"Enter an amount",IF(L1689=0,"Enter an amount",IF(ABS(W1689)&gt;ABS(L1689),"Tax is larger than the amount","")))))))))))))</f>
        <v/>
      </c>
      <c r="Y1689" s="67">
        <f>IF(OR(T1689=1,X1689&lt;&gt;""),"",IF(AND(B1689&lt;&gt;"",COUNTIF(tx_ID,B1689)&gt;1),"Duplicate transaction ID",IF(AND(L1689&lt;0,D1689&lt;&gt;"Adjustment"),"Negative amount — check this entry",IF(AND(D1689="Customer Payment",G1689=""),"Add the customer",IF(AND(D1689="Customer Payment",OR(J1689="",COUNTIF(ar_No,J1689&amp;"")=0)),"Invoice # in Reference not found on AR sheet",IF(AND(D1689="Bill Payment",H1689=""),"Add the vendor",IF(AND(D1689="Bill Payment",OR(J1689="",COUNTIFS(ap_No,J1689&amp;"",ap_Party,H1689&amp;"")=0)),"Bill # + vendor not found on AP sheet",IF(AND(ISNUMBER(M1689),N(M1689)&lt;&gt;0,W1689=0),"Tax ignored (tax tracking off, or not allowed for this type)",IF(V1689=K1689&amp;"","Same account on both sides",IF(AND(ISNUMBER(StartDate),C1689&lt;StartDate),"Date is before the accounting start date",IF(AND(D1689&lt;&gt;"Adjustment",IFERROR(INDEX(coa_Pay,MATCH(K1689&amp;"",coa_Name,0)),"")&lt;&gt;"Yes"),"Paid From / Deposited To is not a payment account","")))))))))))</f>
        <v/>
      </c>
      <c r="Z1689" s="67">
        <f>IF(AND(T1689=0,X1689=""),1,0)</f>
        <v/>
      </c>
      <c r="AA1689" s="68">
        <f>IF(Z1689=1,IF(U1689="In",L1689,L1689-W1689),0)</f>
        <v/>
      </c>
      <c r="AB1689" s="68">
        <f>IF(Z1689=1,IF(U1689="In",L1689-W1689,L1689),0)</f>
        <v/>
      </c>
      <c r="AC1689" s="68">
        <f>IF(AND(Z1689=1,U1689="Out"),W1689,0)</f>
        <v/>
      </c>
      <c r="AD1689" s="68">
        <f>IF(AND(Z1689=1,U1689="In"),W1689,0)</f>
        <v/>
      </c>
    </row>
    <row r="1690">
      <c r="B1690" s="62" t="inlineStr">
        <is>
          <t>TX-1684</t>
        </is>
      </c>
      <c r="C1690" s="63" t="n"/>
      <c r="D1690" s="62" t="n"/>
      <c r="E1690" s="62" t="n"/>
      <c r="F1690" s="62" t="n"/>
      <c r="G1690" s="62" t="n"/>
      <c r="H1690" s="62" t="n"/>
      <c r="I1690" s="62" t="n"/>
      <c r="J1690" s="62" t="n"/>
      <c r="K1690" s="62" t="n"/>
      <c r="L1690" s="64" t="n"/>
      <c r="M1690" s="64" t="n"/>
      <c r="N1690" s="62" t="n"/>
      <c r="O1690" s="65">
        <f>IF(Z1690=1,L1690-W1690,"")</f>
        <v/>
      </c>
      <c r="P1690" s="66">
        <f>IF(V1690="","",IFERROR(INDEX(coa_Type,MATCH(V1690,coa_Name,0)),""))</f>
        <v/>
      </c>
      <c r="Q1690" s="66">
        <f>IF(Z1690=1,IF(U1690="In",K1690&amp;"",V1690),"")</f>
        <v/>
      </c>
      <c r="R1690" s="66">
        <f>IF(Z1690=1,IF(U1690="In",V1690,K1690&amp;""),"")</f>
        <v/>
      </c>
      <c r="S1690" s="66">
        <f>IF(X1690&lt;&gt;"","⛔ "&amp;X1690&amp;" — not posted",IF(Y1690&lt;&gt;"","⚠ "&amp;Y1690,IF(Z1690=1,"✓ OK","")))</f>
        <v/>
      </c>
      <c r="T1690" s="67">
        <f>IF(AND(C1690="",D1690="",E1690="",L1690="",K1690=""),1,0)</f>
        <v/>
      </c>
      <c r="U1690" s="67">
        <f>IFERROR(INDEX(tt_Dir,MATCH(D1690,tt_Type,0)),"")</f>
        <v/>
      </c>
      <c r="V1690" s="67">
        <f>IF(D1690="","",IFERROR(IF(INDEX(tt_Other,MATCH(D1690,tt_Type,0))="",E1690&amp;"",INDEX(tt_Other,MATCH(D1690,tt_Type,0))),""))</f>
        <v/>
      </c>
      <c r="W1690" s="68">
        <f>IF(OR(TaxOn&lt;&gt;"Yes",NOT(ISNUMBER(M1690))),0,IF(IFERROR(INDEX(tt_Tax,MATCH(D1690,tt_Type,0)),"No")="Yes",M1690,0))</f>
        <v/>
      </c>
      <c r="X1690" s="67">
        <f>IF(T1690=1,"",IF(C1690="","Missing transaction date",IF(NOT(ISNUMBER(C1690)),"Invalid date",IF(OR(C1690&lt;DATE(2000,1,1),C1690&gt;DATE(2099,12,31)),"Invalid date",IF(D1690="","Select a type",IF(U1690="","Unknown type: "&amp;D1690,IF(V1690="","Select an account (Category)",IF(ISNA(MATCH(V1690,coa_Name,0)),"Unknown account: "&amp;V1690,IF(K1690="","Select Paid From / Deposited To",IF(ISNA(MATCH(K1690,coa_Name,0)),"Unknown account: "&amp;K1690,IF(NOT(ISNUMBER(L1690)),"Enter an amount",IF(L1690=0,"Enter an amount",IF(ABS(W1690)&gt;ABS(L1690),"Tax is larger than the amount","")))))))))))))</f>
        <v/>
      </c>
      <c r="Y1690" s="67">
        <f>IF(OR(T1690=1,X1690&lt;&gt;""),"",IF(AND(B1690&lt;&gt;"",COUNTIF(tx_ID,B1690)&gt;1),"Duplicate transaction ID",IF(AND(L1690&lt;0,D1690&lt;&gt;"Adjustment"),"Negative amount — check this entry",IF(AND(D1690="Customer Payment",G1690=""),"Add the customer",IF(AND(D1690="Customer Payment",OR(J1690="",COUNTIF(ar_No,J1690&amp;"")=0)),"Invoice # in Reference not found on AR sheet",IF(AND(D1690="Bill Payment",H1690=""),"Add the vendor",IF(AND(D1690="Bill Payment",OR(J1690="",COUNTIFS(ap_No,J1690&amp;"",ap_Party,H1690&amp;"")=0)),"Bill # + vendor not found on AP sheet",IF(AND(ISNUMBER(M1690),N(M1690)&lt;&gt;0,W1690=0),"Tax ignored (tax tracking off, or not allowed for this type)",IF(V1690=K1690&amp;"","Same account on both sides",IF(AND(ISNUMBER(StartDate),C1690&lt;StartDate),"Date is before the accounting start date",IF(AND(D1690&lt;&gt;"Adjustment",IFERROR(INDEX(coa_Pay,MATCH(K1690&amp;"",coa_Name,0)),"")&lt;&gt;"Yes"),"Paid From / Deposited To is not a payment account","")))))))))))</f>
        <v/>
      </c>
      <c r="Z1690" s="67">
        <f>IF(AND(T1690=0,X1690=""),1,0)</f>
        <v/>
      </c>
      <c r="AA1690" s="68">
        <f>IF(Z1690=1,IF(U1690="In",L1690,L1690-W1690),0)</f>
        <v/>
      </c>
      <c r="AB1690" s="68">
        <f>IF(Z1690=1,IF(U1690="In",L1690-W1690,L1690),0)</f>
        <v/>
      </c>
      <c r="AC1690" s="68">
        <f>IF(AND(Z1690=1,U1690="Out"),W1690,0)</f>
        <v/>
      </c>
      <c r="AD1690" s="68">
        <f>IF(AND(Z1690=1,U1690="In"),W1690,0)</f>
        <v/>
      </c>
    </row>
    <row r="1691">
      <c r="B1691" s="62" t="inlineStr">
        <is>
          <t>TX-1685</t>
        </is>
      </c>
      <c r="C1691" s="63" t="n"/>
      <c r="D1691" s="62" t="n"/>
      <c r="E1691" s="62" t="n"/>
      <c r="F1691" s="62" t="n"/>
      <c r="G1691" s="62" t="n"/>
      <c r="H1691" s="62" t="n"/>
      <c r="I1691" s="62" t="n"/>
      <c r="J1691" s="62" t="n"/>
      <c r="K1691" s="62" t="n"/>
      <c r="L1691" s="64" t="n"/>
      <c r="M1691" s="64" t="n"/>
      <c r="N1691" s="62" t="n"/>
      <c r="O1691" s="65">
        <f>IF(Z1691=1,L1691-W1691,"")</f>
        <v/>
      </c>
      <c r="P1691" s="66">
        <f>IF(V1691="","",IFERROR(INDEX(coa_Type,MATCH(V1691,coa_Name,0)),""))</f>
        <v/>
      </c>
      <c r="Q1691" s="66">
        <f>IF(Z1691=1,IF(U1691="In",K1691&amp;"",V1691),"")</f>
        <v/>
      </c>
      <c r="R1691" s="66">
        <f>IF(Z1691=1,IF(U1691="In",V1691,K1691&amp;""),"")</f>
        <v/>
      </c>
      <c r="S1691" s="66">
        <f>IF(X1691&lt;&gt;"","⛔ "&amp;X1691&amp;" — not posted",IF(Y1691&lt;&gt;"","⚠ "&amp;Y1691,IF(Z1691=1,"✓ OK","")))</f>
        <v/>
      </c>
      <c r="T1691" s="67">
        <f>IF(AND(C1691="",D1691="",E1691="",L1691="",K1691=""),1,0)</f>
        <v/>
      </c>
      <c r="U1691" s="67">
        <f>IFERROR(INDEX(tt_Dir,MATCH(D1691,tt_Type,0)),"")</f>
        <v/>
      </c>
      <c r="V1691" s="67">
        <f>IF(D1691="","",IFERROR(IF(INDEX(tt_Other,MATCH(D1691,tt_Type,0))="",E1691&amp;"",INDEX(tt_Other,MATCH(D1691,tt_Type,0))),""))</f>
        <v/>
      </c>
      <c r="W1691" s="68">
        <f>IF(OR(TaxOn&lt;&gt;"Yes",NOT(ISNUMBER(M1691))),0,IF(IFERROR(INDEX(tt_Tax,MATCH(D1691,tt_Type,0)),"No")="Yes",M1691,0))</f>
        <v/>
      </c>
      <c r="X1691" s="67">
        <f>IF(T1691=1,"",IF(C1691="","Missing transaction date",IF(NOT(ISNUMBER(C1691)),"Invalid date",IF(OR(C1691&lt;DATE(2000,1,1),C1691&gt;DATE(2099,12,31)),"Invalid date",IF(D1691="","Select a type",IF(U1691="","Unknown type: "&amp;D1691,IF(V1691="","Select an account (Category)",IF(ISNA(MATCH(V1691,coa_Name,0)),"Unknown account: "&amp;V1691,IF(K1691="","Select Paid From / Deposited To",IF(ISNA(MATCH(K1691,coa_Name,0)),"Unknown account: "&amp;K1691,IF(NOT(ISNUMBER(L1691)),"Enter an amount",IF(L1691=0,"Enter an amount",IF(ABS(W1691)&gt;ABS(L1691),"Tax is larger than the amount","")))))))))))))</f>
        <v/>
      </c>
      <c r="Y1691" s="67">
        <f>IF(OR(T1691=1,X1691&lt;&gt;""),"",IF(AND(B1691&lt;&gt;"",COUNTIF(tx_ID,B1691)&gt;1),"Duplicate transaction ID",IF(AND(L1691&lt;0,D1691&lt;&gt;"Adjustment"),"Negative amount — check this entry",IF(AND(D1691="Customer Payment",G1691=""),"Add the customer",IF(AND(D1691="Customer Payment",OR(J1691="",COUNTIF(ar_No,J1691&amp;"")=0)),"Invoice # in Reference not found on AR sheet",IF(AND(D1691="Bill Payment",H1691=""),"Add the vendor",IF(AND(D1691="Bill Payment",OR(J1691="",COUNTIFS(ap_No,J1691&amp;"",ap_Party,H1691&amp;"")=0)),"Bill # + vendor not found on AP sheet",IF(AND(ISNUMBER(M1691),N(M1691)&lt;&gt;0,W1691=0),"Tax ignored (tax tracking off, or not allowed for this type)",IF(V1691=K1691&amp;"","Same account on both sides",IF(AND(ISNUMBER(StartDate),C1691&lt;StartDate),"Date is before the accounting start date",IF(AND(D1691&lt;&gt;"Adjustment",IFERROR(INDEX(coa_Pay,MATCH(K1691&amp;"",coa_Name,0)),"")&lt;&gt;"Yes"),"Paid From / Deposited To is not a payment account","")))))))))))</f>
        <v/>
      </c>
      <c r="Z1691" s="67">
        <f>IF(AND(T1691=0,X1691=""),1,0)</f>
        <v/>
      </c>
      <c r="AA1691" s="68">
        <f>IF(Z1691=1,IF(U1691="In",L1691,L1691-W1691),0)</f>
        <v/>
      </c>
      <c r="AB1691" s="68">
        <f>IF(Z1691=1,IF(U1691="In",L1691-W1691,L1691),0)</f>
        <v/>
      </c>
      <c r="AC1691" s="68">
        <f>IF(AND(Z1691=1,U1691="Out"),W1691,0)</f>
        <v/>
      </c>
      <c r="AD1691" s="68">
        <f>IF(AND(Z1691=1,U1691="In"),W1691,0)</f>
        <v/>
      </c>
    </row>
    <row r="1692">
      <c r="B1692" s="62" t="inlineStr">
        <is>
          <t>TX-1686</t>
        </is>
      </c>
      <c r="C1692" s="63" t="n"/>
      <c r="D1692" s="62" t="n"/>
      <c r="E1692" s="62" t="n"/>
      <c r="F1692" s="62" t="n"/>
      <c r="G1692" s="62" t="n"/>
      <c r="H1692" s="62" t="n"/>
      <c r="I1692" s="62" t="n"/>
      <c r="J1692" s="62" t="n"/>
      <c r="K1692" s="62" t="n"/>
      <c r="L1692" s="64" t="n"/>
      <c r="M1692" s="64" t="n"/>
      <c r="N1692" s="62" t="n"/>
      <c r="O1692" s="65">
        <f>IF(Z1692=1,L1692-W1692,"")</f>
        <v/>
      </c>
      <c r="P1692" s="66">
        <f>IF(V1692="","",IFERROR(INDEX(coa_Type,MATCH(V1692,coa_Name,0)),""))</f>
        <v/>
      </c>
      <c r="Q1692" s="66">
        <f>IF(Z1692=1,IF(U1692="In",K1692&amp;"",V1692),"")</f>
        <v/>
      </c>
      <c r="R1692" s="66">
        <f>IF(Z1692=1,IF(U1692="In",V1692,K1692&amp;""),"")</f>
        <v/>
      </c>
      <c r="S1692" s="66">
        <f>IF(X1692&lt;&gt;"","⛔ "&amp;X1692&amp;" — not posted",IF(Y1692&lt;&gt;"","⚠ "&amp;Y1692,IF(Z1692=1,"✓ OK","")))</f>
        <v/>
      </c>
      <c r="T1692" s="67">
        <f>IF(AND(C1692="",D1692="",E1692="",L1692="",K1692=""),1,0)</f>
        <v/>
      </c>
      <c r="U1692" s="67">
        <f>IFERROR(INDEX(tt_Dir,MATCH(D1692,tt_Type,0)),"")</f>
        <v/>
      </c>
      <c r="V1692" s="67">
        <f>IF(D1692="","",IFERROR(IF(INDEX(tt_Other,MATCH(D1692,tt_Type,0))="",E1692&amp;"",INDEX(tt_Other,MATCH(D1692,tt_Type,0))),""))</f>
        <v/>
      </c>
      <c r="W1692" s="68">
        <f>IF(OR(TaxOn&lt;&gt;"Yes",NOT(ISNUMBER(M1692))),0,IF(IFERROR(INDEX(tt_Tax,MATCH(D1692,tt_Type,0)),"No")="Yes",M1692,0))</f>
        <v/>
      </c>
      <c r="X1692" s="67">
        <f>IF(T1692=1,"",IF(C1692="","Missing transaction date",IF(NOT(ISNUMBER(C1692)),"Invalid date",IF(OR(C1692&lt;DATE(2000,1,1),C1692&gt;DATE(2099,12,31)),"Invalid date",IF(D1692="","Select a type",IF(U1692="","Unknown type: "&amp;D1692,IF(V1692="","Select an account (Category)",IF(ISNA(MATCH(V1692,coa_Name,0)),"Unknown account: "&amp;V1692,IF(K1692="","Select Paid From / Deposited To",IF(ISNA(MATCH(K1692,coa_Name,0)),"Unknown account: "&amp;K1692,IF(NOT(ISNUMBER(L1692)),"Enter an amount",IF(L1692=0,"Enter an amount",IF(ABS(W1692)&gt;ABS(L1692),"Tax is larger than the amount","")))))))))))))</f>
        <v/>
      </c>
      <c r="Y1692" s="67">
        <f>IF(OR(T1692=1,X1692&lt;&gt;""),"",IF(AND(B1692&lt;&gt;"",COUNTIF(tx_ID,B1692)&gt;1),"Duplicate transaction ID",IF(AND(L1692&lt;0,D1692&lt;&gt;"Adjustment"),"Negative amount — check this entry",IF(AND(D1692="Customer Payment",G1692=""),"Add the customer",IF(AND(D1692="Customer Payment",OR(J1692="",COUNTIF(ar_No,J1692&amp;"")=0)),"Invoice # in Reference not found on AR sheet",IF(AND(D1692="Bill Payment",H1692=""),"Add the vendor",IF(AND(D1692="Bill Payment",OR(J1692="",COUNTIFS(ap_No,J1692&amp;"",ap_Party,H1692&amp;"")=0)),"Bill # + vendor not found on AP sheet",IF(AND(ISNUMBER(M1692),N(M1692)&lt;&gt;0,W1692=0),"Tax ignored (tax tracking off, or not allowed for this type)",IF(V1692=K1692&amp;"","Same account on both sides",IF(AND(ISNUMBER(StartDate),C1692&lt;StartDate),"Date is before the accounting start date",IF(AND(D1692&lt;&gt;"Adjustment",IFERROR(INDEX(coa_Pay,MATCH(K1692&amp;"",coa_Name,0)),"")&lt;&gt;"Yes"),"Paid From / Deposited To is not a payment account","")))))))))))</f>
        <v/>
      </c>
      <c r="Z1692" s="67">
        <f>IF(AND(T1692=0,X1692=""),1,0)</f>
        <v/>
      </c>
      <c r="AA1692" s="68">
        <f>IF(Z1692=1,IF(U1692="In",L1692,L1692-W1692),0)</f>
        <v/>
      </c>
      <c r="AB1692" s="68">
        <f>IF(Z1692=1,IF(U1692="In",L1692-W1692,L1692),0)</f>
        <v/>
      </c>
      <c r="AC1692" s="68">
        <f>IF(AND(Z1692=1,U1692="Out"),W1692,0)</f>
        <v/>
      </c>
      <c r="AD1692" s="68">
        <f>IF(AND(Z1692=1,U1692="In"),W1692,0)</f>
        <v/>
      </c>
    </row>
    <row r="1693">
      <c r="B1693" s="62" t="inlineStr">
        <is>
          <t>TX-1687</t>
        </is>
      </c>
      <c r="C1693" s="63" t="n"/>
      <c r="D1693" s="62" t="n"/>
      <c r="E1693" s="62" t="n"/>
      <c r="F1693" s="62" t="n"/>
      <c r="G1693" s="62" t="n"/>
      <c r="H1693" s="62" t="n"/>
      <c r="I1693" s="62" t="n"/>
      <c r="J1693" s="62" t="n"/>
      <c r="K1693" s="62" t="n"/>
      <c r="L1693" s="64" t="n"/>
      <c r="M1693" s="64" t="n"/>
      <c r="N1693" s="62" t="n"/>
      <c r="O1693" s="65">
        <f>IF(Z1693=1,L1693-W1693,"")</f>
        <v/>
      </c>
      <c r="P1693" s="66">
        <f>IF(V1693="","",IFERROR(INDEX(coa_Type,MATCH(V1693,coa_Name,0)),""))</f>
        <v/>
      </c>
      <c r="Q1693" s="66">
        <f>IF(Z1693=1,IF(U1693="In",K1693&amp;"",V1693),"")</f>
        <v/>
      </c>
      <c r="R1693" s="66">
        <f>IF(Z1693=1,IF(U1693="In",V1693,K1693&amp;""),"")</f>
        <v/>
      </c>
      <c r="S1693" s="66">
        <f>IF(X1693&lt;&gt;"","⛔ "&amp;X1693&amp;" — not posted",IF(Y1693&lt;&gt;"","⚠ "&amp;Y1693,IF(Z1693=1,"✓ OK","")))</f>
        <v/>
      </c>
      <c r="T1693" s="67">
        <f>IF(AND(C1693="",D1693="",E1693="",L1693="",K1693=""),1,0)</f>
        <v/>
      </c>
      <c r="U1693" s="67">
        <f>IFERROR(INDEX(tt_Dir,MATCH(D1693,tt_Type,0)),"")</f>
        <v/>
      </c>
      <c r="V1693" s="67">
        <f>IF(D1693="","",IFERROR(IF(INDEX(tt_Other,MATCH(D1693,tt_Type,0))="",E1693&amp;"",INDEX(tt_Other,MATCH(D1693,tt_Type,0))),""))</f>
        <v/>
      </c>
      <c r="W1693" s="68">
        <f>IF(OR(TaxOn&lt;&gt;"Yes",NOT(ISNUMBER(M1693))),0,IF(IFERROR(INDEX(tt_Tax,MATCH(D1693,tt_Type,0)),"No")="Yes",M1693,0))</f>
        <v/>
      </c>
      <c r="X1693" s="67">
        <f>IF(T1693=1,"",IF(C1693="","Missing transaction date",IF(NOT(ISNUMBER(C1693)),"Invalid date",IF(OR(C1693&lt;DATE(2000,1,1),C1693&gt;DATE(2099,12,31)),"Invalid date",IF(D1693="","Select a type",IF(U1693="","Unknown type: "&amp;D1693,IF(V1693="","Select an account (Category)",IF(ISNA(MATCH(V1693,coa_Name,0)),"Unknown account: "&amp;V1693,IF(K1693="","Select Paid From / Deposited To",IF(ISNA(MATCH(K1693,coa_Name,0)),"Unknown account: "&amp;K1693,IF(NOT(ISNUMBER(L1693)),"Enter an amount",IF(L1693=0,"Enter an amount",IF(ABS(W1693)&gt;ABS(L1693),"Tax is larger than the amount","")))))))))))))</f>
        <v/>
      </c>
      <c r="Y1693" s="67">
        <f>IF(OR(T1693=1,X1693&lt;&gt;""),"",IF(AND(B1693&lt;&gt;"",COUNTIF(tx_ID,B1693)&gt;1),"Duplicate transaction ID",IF(AND(L1693&lt;0,D1693&lt;&gt;"Adjustment"),"Negative amount — check this entry",IF(AND(D1693="Customer Payment",G1693=""),"Add the customer",IF(AND(D1693="Customer Payment",OR(J1693="",COUNTIF(ar_No,J1693&amp;"")=0)),"Invoice # in Reference not found on AR sheet",IF(AND(D1693="Bill Payment",H1693=""),"Add the vendor",IF(AND(D1693="Bill Payment",OR(J1693="",COUNTIFS(ap_No,J1693&amp;"",ap_Party,H1693&amp;"")=0)),"Bill # + vendor not found on AP sheet",IF(AND(ISNUMBER(M1693),N(M1693)&lt;&gt;0,W1693=0),"Tax ignored (tax tracking off, or not allowed for this type)",IF(V1693=K1693&amp;"","Same account on both sides",IF(AND(ISNUMBER(StartDate),C1693&lt;StartDate),"Date is before the accounting start date",IF(AND(D1693&lt;&gt;"Adjustment",IFERROR(INDEX(coa_Pay,MATCH(K1693&amp;"",coa_Name,0)),"")&lt;&gt;"Yes"),"Paid From / Deposited To is not a payment account","")))))))))))</f>
        <v/>
      </c>
      <c r="Z1693" s="67">
        <f>IF(AND(T1693=0,X1693=""),1,0)</f>
        <v/>
      </c>
      <c r="AA1693" s="68">
        <f>IF(Z1693=1,IF(U1693="In",L1693,L1693-W1693),0)</f>
        <v/>
      </c>
      <c r="AB1693" s="68">
        <f>IF(Z1693=1,IF(U1693="In",L1693-W1693,L1693),0)</f>
        <v/>
      </c>
      <c r="AC1693" s="68">
        <f>IF(AND(Z1693=1,U1693="Out"),W1693,0)</f>
        <v/>
      </c>
      <c r="AD1693" s="68">
        <f>IF(AND(Z1693=1,U1693="In"),W1693,0)</f>
        <v/>
      </c>
    </row>
    <row r="1694">
      <c r="B1694" s="62" t="inlineStr">
        <is>
          <t>TX-1688</t>
        </is>
      </c>
      <c r="C1694" s="63" t="n"/>
      <c r="D1694" s="62" t="n"/>
      <c r="E1694" s="62" t="n"/>
      <c r="F1694" s="62" t="n"/>
      <c r="G1694" s="62" t="n"/>
      <c r="H1694" s="62" t="n"/>
      <c r="I1694" s="62" t="n"/>
      <c r="J1694" s="62" t="n"/>
      <c r="K1694" s="62" t="n"/>
      <c r="L1694" s="64" t="n"/>
      <c r="M1694" s="64" t="n"/>
      <c r="N1694" s="62" t="n"/>
      <c r="O1694" s="65">
        <f>IF(Z1694=1,L1694-W1694,"")</f>
        <v/>
      </c>
      <c r="P1694" s="66">
        <f>IF(V1694="","",IFERROR(INDEX(coa_Type,MATCH(V1694,coa_Name,0)),""))</f>
        <v/>
      </c>
      <c r="Q1694" s="66">
        <f>IF(Z1694=1,IF(U1694="In",K1694&amp;"",V1694),"")</f>
        <v/>
      </c>
      <c r="R1694" s="66">
        <f>IF(Z1694=1,IF(U1694="In",V1694,K1694&amp;""),"")</f>
        <v/>
      </c>
      <c r="S1694" s="66">
        <f>IF(X1694&lt;&gt;"","⛔ "&amp;X1694&amp;" — not posted",IF(Y1694&lt;&gt;"","⚠ "&amp;Y1694,IF(Z1694=1,"✓ OK","")))</f>
        <v/>
      </c>
      <c r="T1694" s="67">
        <f>IF(AND(C1694="",D1694="",E1694="",L1694="",K1694=""),1,0)</f>
        <v/>
      </c>
      <c r="U1694" s="67">
        <f>IFERROR(INDEX(tt_Dir,MATCH(D1694,tt_Type,0)),"")</f>
        <v/>
      </c>
      <c r="V1694" s="67">
        <f>IF(D1694="","",IFERROR(IF(INDEX(tt_Other,MATCH(D1694,tt_Type,0))="",E1694&amp;"",INDEX(tt_Other,MATCH(D1694,tt_Type,0))),""))</f>
        <v/>
      </c>
      <c r="W1694" s="68">
        <f>IF(OR(TaxOn&lt;&gt;"Yes",NOT(ISNUMBER(M1694))),0,IF(IFERROR(INDEX(tt_Tax,MATCH(D1694,tt_Type,0)),"No")="Yes",M1694,0))</f>
        <v/>
      </c>
      <c r="X1694" s="67">
        <f>IF(T1694=1,"",IF(C1694="","Missing transaction date",IF(NOT(ISNUMBER(C1694)),"Invalid date",IF(OR(C1694&lt;DATE(2000,1,1),C1694&gt;DATE(2099,12,31)),"Invalid date",IF(D1694="","Select a type",IF(U1694="","Unknown type: "&amp;D1694,IF(V1694="","Select an account (Category)",IF(ISNA(MATCH(V1694,coa_Name,0)),"Unknown account: "&amp;V1694,IF(K1694="","Select Paid From / Deposited To",IF(ISNA(MATCH(K1694,coa_Name,0)),"Unknown account: "&amp;K1694,IF(NOT(ISNUMBER(L1694)),"Enter an amount",IF(L1694=0,"Enter an amount",IF(ABS(W1694)&gt;ABS(L1694),"Tax is larger than the amount","")))))))))))))</f>
        <v/>
      </c>
      <c r="Y1694" s="67">
        <f>IF(OR(T1694=1,X1694&lt;&gt;""),"",IF(AND(B1694&lt;&gt;"",COUNTIF(tx_ID,B1694)&gt;1),"Duplicate transaction ID",IF(AND(L1694&lt;0,D1694&lt;&gt;"Adjustment"),"Negative amount — check this entry",IF(AND(D1694="Customer Payment",G1694=""),"Add the customer",IF(AND(D1694="Customer Payment",OR(J1694="",COUNTIF(ar_No,J1694&amp;"")=0)),"Invoice # in Reference not found on AR sheet",IF(AND(D1694="Bill Payment",H1694=""),"Add the vendor",IF(AND(D1694="Bill Payment",OR(J1694="",COUNTIFS(ap_No,J1694&amp;"",ap_Party,H1694&amp;"")=0)),"Bill # + vendor not found on AP sheet",IF(AND(ISNUMBER(M1694),N(M1694)&lt;&gt;0,W1694=0),"Tax ignored (tax tracking off, or not allowed for this type)",IF(V1694=K1694&amp;"","Same account on both sides",IF(AND(ISNUMBER(StartDate),C1694&lt;StartDate),"Date is before the accounting start date",IF(AND(D1694&lt;&gt;"Adjustment",IFERROR(INDEX(coa_Pay,MATCH(K1694&amp;"",coa_Name,0)),"")&lt;&gt;"Yes"),"Paid From / Deposited To is not a payment account","")))))))))))</f>
        <v/>
      </c>
      <c r="Z1694" s="67">
        <f>IF(AND(T1694=0,X1694=""),1,0)</f>
        <v/>
      </c>
      <c r="AA1694" s="68">
        <f>IF(Z1694=1,IF(U1694="In",L1694,L1694-W1694),0)</f>
        <v/>
      </c>
      <c r="AB1694" s="68">
        <f>IF(Z1694=1,IF(U1694="In",L1694-W1694,L1694),0)</f>
        <v/>
      </c>
      <c r="AC1694" s="68">
        <f>IF(AND(Z1694=1,U1694="Out"),W1694,0)</f>
        <v/>
      </c>
      <c r="AD1694" s="68">
        <f>IF(AND(Z1694=1,U1694="In"),W1694,0)</f>
        <v/>
      </c>
    </row>
    <row r="1695">
      <c r="B1695" s="62" t="inlineStr">
        <is>
          <t>TX-1689</t>
        </is>
      </c>
      <c r="C1695" s="63" t="n"/>
      <c r="D1695" s="62" t="n"/>
      <c r="E1695" s="62" t="n"/>
      <c r="F1695" s="62" t="n"/>
      <c r="G1695" s="62" t="n"/>
      <c r="H1695" s="62" t="n"/>
      <c r="I1695" s="62" t="n"/>
      <c r="J1695" s="62" t="n"/>
      <c r="K1695" s="62" t="n"/>
      <c r="L1695" s="64" t="n"/>
      <c r="M1695" s="64" t="n"/>
      <c r="N1695" s="62" t="n"/>
      <c r="O1695" s="65">
        <f>IF(Z1695=1,L1695-W1695,"")</f>
        <v/>
      </c>
      <c r="P1695" s="66">
        <f>IF(V1695="","",IFERROR(INDEX(coa_Type,MATCH(V1695,coa_Name,0)),""))</f>
        <v/>
      </c>
      <c r="Q1695" s="66">
        <f>IF(Z1695=1,IF(U1695="In",K1695&amp;"",V1695),"")</f>
        <v/>
      </c>
      <c r="R1695" s="66">
        <f>IF(Z1695=1,IF(U1695="In",V1695,K1695&amp;""),"")</f>
        <v/>
      </c>
      <c r="S1695" s="66">
        <f>IF(X1695&lt;&gt;"","⛔ "&amp;X1695&amp;" — not posted",IF(Y1695&lt;&gt;"","⚠ "&amp;Y1695,IF(Z1695=1,"✓ OK","")))</f>
        <v/>
      </c>
      <c r="T1695" s="67">
        <f>IF(AND(C1695="",D1695="",E1695="",L1695="",K1695=""),1,0)</f>
        <v/>
      </c>
      <c r="U1695" s="67">
        <f>IFERROR(INDEX(tt_Dir,MATCH(D1695,tt_Type,0)),"")</f>
        <v/>
      </c>
      <c r="V1695" s="67">
        <f>IF(D1695="","",IFERROR(IF(INDEX(tt_Other,MATCH(D1695,tt_Type,0))="",E1695&amp;"",INDEX(tt_Other,MATCH(D1695,tt_Type,0))),""))</f>
        <v/>
      </c>
      <c r="W1695" s="68">
        <f>IF(OR(TaxOn&lt;&gt;"Yes",NOT(ISNUMBER(M1695))),0,IF(IFERROR(INDEX(tt_Tax,MATCH(D1695,tt_Type,0)),"No")="Yes",M1695,0))</f>
        <v/>
      </c>
      <c r="X1695" s="67">
        <f>IF(T1695=1,"",IF(C1695="","Missing transaction date",IF(NOT(ISNUMBER(C1695)),"Invalid date",IF(OR(C1695&lt;DATE(2000,1,1),C1695&gt;DATE(2099,12,31)),"Invalid date",IF(D1695="","Select a type",IF(U1695="","Unknown type: "&amp;D1695,IF(V1695="","Select an account (Category)",IF(ISNA(MATCH(V1695,coa_Name,0)),"Unknown account: "&amp;V1695,IF(K1695="","Select Paid From / Deposited To",IF(ISNA(MATCH(K1695,coa_Name,0)),"Unknown account: "&amp;K1695,IF(NOT(ISNUMBER(L1695)),"Enter an amount",IF(L1695=0,"Enter an amount",IF(ABS(W1695)&gt;ABS(L1695),"Tax is larger than the amount","")))))))))))))</f>
        <v/>
      </c>
      <c r="Y1695" s="67">
        <f>IF(OR(T1695=1,X1695&lt;&gt;""),"",IF(AND(B1695&lt;&gt;"",COUNTIF(tx_ID,B1695)&gt;1),"Duplicate transaction ID",IF(AND(L1695&lt;0,D1695&lt;&gt;"Adjustment"),"Negative amount — check this entry",IF(AND(D1695="Customer Payment",G1695=""),"Add the customer",IF(AND(D1695="Customer Payment",OR(J1695="",COUNTIF(ar_No,J1695&amp;"")=0)),"Invoice # in Reference not found on AR sheet",IF(AND(D1695="Bill Payment",H1695=""),"Add the vendor",IF(AND(D1695="Bill Payment",OR(J1695="",COUNTIFS(ap_No,J1695&amp;"",ap_Party,H1695&amp;"")=0)),"Bill # + vendor not found on AP sheet",IF(AND(ISNUMBER(M1695),N(M1695)&lt;&gt;0,W1695=0),"Tax ignored (tax tracking off, or not allowed for this type)",IF(V1695=K1695&amp;"","Same account on both sides",IF(AND(ISNUMBER(StartDate),C1695&lt;StartDate),"Date is before the accounting start date",IF(AND(D1695&lt;&gt;"Adjustment",IFERROR(INDEX(coa_Pay,MATCH(K1695&amp;"",coa_Name,0)),"")&lt;&gt;"Yes"),"Paid From / Deposited To is not a payment account","")))))))))))</f>
        <v/>
      </c>
      <c r="Z1695" s="67">
        <f>IF(AND(T1695=0,X1695=""),1,0)</f>
        <v/>
      </c>
      <c r="AA1695" s="68">
        <f>IF(Z1695=1,IF(U1695="In",L1695,L1695-W1695),0)</f>
        <v/>
      </c>
      <c r="AB1695" s="68">
        <f>IF(Z1695=1,IF(U1695="In",L1695-W1695,L1695),0)</f>
        <v/>
      </c>
      <c r="AC1695" s="68">
        <f>IF(AND(Z1695=1,U1695="Out"),W1695,0)</f>
        <v/>
      </c>
      <c r="AD1695" s="68">
        <f>IF(AND(Z1695=1,U1695="In"),W1695,0)</f>
        <v/>
      </c>
    </row>
    <row r="1696">
      <c r="B1696" s="62" t="inlineStr">
        <is>
          <t>TX-1690</t>
        </is>
      </c>
      <c r="C1696" s="63" t="n"/>
      <c r="D1696" s="62" t="n"/>
      <c r="E1696" s="62" t="n"/>
      <c r="F1696" s="62" t="n"/>
      <c r="G1696" s="62" t="n"/>
      <c r="H1696" s="62" t="n"/>
      <c r="I1696" s="62" t="n"/>
      <c r="J1696" s="62" t="n"/>
      <c r="K1696" s="62" t="n"/>
      <c r="L1696" s="64" t="n"/>
      <c r="M1696" s="64" t="n"/>
      <c r="N1696" s="62" t="n"/>
      <c r="O1696" s="65">
        <f>IF(Z1696=1,L1696-W1696,"")</f>
        <v/>
      </c>
      <c r="P1696" s="66">
        <f>IF(V1696="","",IFERROR(INDEX(coa_Type,MATCH(V1696,coa_Name,0)),""))</f>
        <v/>
      </c>
      <c r="Q1696" s="66">
        <f>IF(Z1696=1,IF(U1696="In",K1696&amp;"",V1696),"")</f>
        <v/>
      </c>
      <c r="R1696" s="66">
        <f>IF(Z1696=1,IF(U1696="In",V1696,K1696&amp;""),"")</f>
        <v/>
      </c>
      <c r="S1696" s="66">
        <f>IF(X1696&lt;&gt;"","⛔ "&amp;X1696&amp;" — not posted",IF(Y1696&lt;&gt;"","⚠ "&amp;Y1696,IF(Z1696=1,"✓ OK","")))</f>
        <v/>
      </c>
      <c r="T1696" s="67">
        <f>IF(AND(C1696="",D1696="",E1696="",L1696="",K1696=""),1,0)</f>
        <v/>
      </c>
      <c r="U1696" s="67">
        <f>IFERROR(INDEX(tt_Dir,MATCH(D1696,tt_Type,0)),"")</f>
        <v/>
      </c>
      <c r="V1696" s="67">
        <f>IF(D1696="","",IFERROR(IF(INDEX(tt_Other,MATCH(D1696,tt_Type,0))="",E1696&amp;"",INDEX(tt_Other,MATCH(D1696,tt_Type,0))),""))</f>
        <v/>
      </c>
      <c r="W1696" s="68">
        <f>IF(OR(TaxOn&lt;&gt;"Yes",NOT(ISNUMBER(M1696))),0,IF(IFERROR(INDEX(tt_Tax,MATCH(D1696,tt_Type,0)),"No")="Yes",M1696,0))</f>
        <v/>
      </c>
      <c r="X1696" s="67">
        <f>IF(T1696=1,"",IF(C1696="","Missing transaction date",IF(NOT(ISNUMBER(C1696)),"Invalid date",IF(OR(C1696&lt;DATE(2000,1,1),C1696&gt;DATE(2099,12,31)),"Invalid date",IF(D1696="","Select a type",IF(U1696="","Unknown type: "&amp;D1696,IF(V1696="","Select an account (Category)",IF(ISNA(MATCH(V1696,coa_Name,0)),"Unknown account: "&amp;V1696,IF(K1696="","Select Paid From / Deposited To",IF(ISNA(MATCH(K1696,coa_Name,0)),"Unknown account: "&amp;K1696,IF(NOT(ISNUMBER(L1696)),"Enter an amount",IF(L1696=0,"Enter an amount",IF(ABS(W1696)&gt;ABS(L1696),"Tax is larger than the amount","")))))))))))))</f>
        <v/>
      </c>
      <c r="Y1696" s="67">
        <f>IF(OR(T1696=1,X1696&lt;&gt;""),"",IF(AND(B1696&lt;&gt;"",COUNTIF(tx_ID,B1696)&gt;1),"Duplicate transaction ID",IF(AND(L1696&lt;0,D1696&lt;&gt;"Adjustment"),"Negative amount — check this entry",IF(AND(D1696="Customer Payment",G1696=""),"Add the customer",IF(AND(D1696="Customer Payment",OR(J1696="",COUNTIF(ar_No,J1696&amp;"")=0)),"Invoice # in Reference not found on AR sheet",IF(AND(D1696="Bill Payment",H1696=""),"Add the vendor",IF(AND(D1696="Bill Payment",OR(J1696="",COUNTIFS(ap_No,J1696&amp;"",ap_Party,H1696&amp;"")=0)),"Bill # + vendor not found on AP sheet",IF(AND(ISNUMBER(M1696),N(M1696)&lt;&gt;0,W1696=0),"Tax ignored (tax tracking off, or not allowed for this type)",IF(V1696=K1696&amp;"","Same account on both sides",IF(AND(ISNUMBER(StartDate),C1696&lt;StartDate),"Date is before the accounting start date",IF(AND(D1696&lt;&gt;"Adjustment",IFERROR(INDEX(coa_Pay,MATCH(K1696&amp;"",coa_Name,0)),"")&lt;&gt;"Yes"),"Paid From / Deposited To is not a payment account","")))))))))))</f>
        <v/>
      </c>
      <c r="Z1696" s="67">
        <f>IF(AND(T1696=0,X1696=""),1,0)</f>
        <v/>
      </c>
      <c r="AA1696" s="68">
        <f>IF(Z1696=1,IF(U1696="In",L1696,L1696-W1696),0)</f>
        <v/>
      </c>
      <c r="AB1696" s="68">
        <f>IF(Z1696=1,IF(U1696="In",L1696-W1696,L1696),0)</f>
        <v/>
      </c>
      <c r="AC1696" s="68">
        <f>IF(AND(Z1696=1,U1696="Out"),W1696,0)</f>
        <v/>
      </c>
      <c r="AD1696" s="68">
        <f>IF(AND(Z1696=1,U1696="In"),W1696,0)</f>
        <v/>
      </c>
    </row>
    <row r="1697">
      <c r="B1697" s="62" t="inlineStr">
        <is>
          <t>TX-1691</t>
        </is>
      </c>
      <c r="C1697" s="63" t="n"/>
      <c r="D1697" s="62" t="n"/>
      <c r="E1697" s="62" t="n"/>
      <c r="F1697" s="62" t="n"/>
      <c r="G1697" s="62" t="n"/>
      <c r="H1697" s="62" t="n"/>
      <c r="I1697" s="62" t="n"/>
      <c r="J1697" s="62" t="n"/>
      <c r="K1697" s="62" t="n"/>
      <c r="L1697" s="64" t="n"/>
      <c r="M1697" s="64" t="n"/>
      <c r="N1697" s="62" t="n"/>
      <c r="O1697" s="65">
        <f>IF(Z1697=1,L1697-W1697,"")</f>
        <v/>
      </c>
      <c r="P1697" s="66">
        <f>IF(V1697="","",IFERROR(INDEX(coa_Type,MATCH(V1697,coa_Name,0)),""))</f>
        <v/>
      </c>
      <c r="Q1697" s="66">
        <f>IF(Z1697=1,IF(U1697="In",K1697&amp;"",V1697),"")</f>
        <v/>
      </c>
      <c r="R1697" s="66">
        <f>IF(Z1697=1,IF(U1697="In",V1697,K1697&amp;""),"")</f>
        <v/>
      </c>
      <c r="S1697" s="66">
        <f>IF(X1697&lt;&gt;"","⛔ "&amp;X1697&amp;" — not posted",IF(Y1697&lt;&gt;"","⚠ "&amp;Y1697,IF(Z1697=1,"✓ OK","")))</f>
        <v/>
      </c>
      <c r="T1697" s="67">
        <f>IF(AND(C1697="",D1697="",E1697="",L1697="",K1697=""),1,0)</f>
        <v/>
      </c>
      <c r="U1697" s="67">
        <f>IFERROR(INDEX(tt_Dir,MATCH(D1697,tt_Type,0)),"")</f>
        <v/>
      </c>
      <c r="V1697" s="67">
        <f>IF(D1697="","",IFERROR(IF(INDEX(tt_Other,MATCH(D1697,tt_Type,0))="",E1697&amp;"",INDEX(tt_Other,MATCH(D1697,tt_Type,0))),""))</f>
        <v/>
      </c>
      <c r="W1697" s="68">
        <f>IF(OR(TaxOn&lt;&gt;"Yes",NOT(ISNUMBER(M1697))),0,IF(IFERROR(INDEX(tt_Tax,MATCH(D1697,tt_Type,0)),"No")="Yes",M1697,0))</f>
        <v/>
      </c>
      <c r="X1697" s="67">
        <f>IF(T1697=1,"",IF(C1697="","Missing transaction date",IF(NOT(ISNUMBER(C1697)),"Invalid date",IF(OR(C1697&lt;DATE(2000,1,1),C1697&gt;DATE(2099,12,31)),"Invalid date",IF(D1697="","Select a type",IF(U1697="","Unknown type: "&amp;D1697,IF(V1697="","Select an account (Category)",IF(ISNA(MATCH(V1697,coa_Name,0)),"Unknown account: "&amp;V1697,IF(K1697="","Select Paid From / Deposited To",IF(ISNA(MATCH(K1697,coa_Name,0)),"Unknown account: "&amp;K1697,IF(NOT(ISNUMBER(L1697)),"Enter an amount",IF(L1697=0,"Enter an amount",IF(ABS(W1697)&gt;ABS(L1697),"Tax is larger than the amount","")))))))))))))</f>
        <v/>
      </c>
      <c r="Y1697" s="67">
        <f>IF(OR(T1697=1,X1697&lt;&gt;""),"",IF(AND(B1697&lt;&gt;"",COUNTIF(tx_ID,B1697)&gt;1),"Duplicate transaction ID",IF(AND(L1697&lt;0,D1697&lt;&gt;"Adjustment"),"Negative amount — check this entry",IF(AND(D1697="Customer Payment",G1697=""),"Add the customer",IF(AND(D1697="Customer Payment",OR(J1697="",COUNTIF(ar_No,J1697&amp;"")=0)),"Invoice # in Reference not found on AR sheet",IF(AND(D1697="Bill Payment",H1697=""),"Add the vendor",IF(AND(D1697="Bill Payment",OR(J1697="",COUNTIFS(ap_No,J1697&amp;"",ap_Party,H1697&amp;"")=0)),"Bill # + vendor not found on AP sheet",IF(AND(ISNUMBER(M1697),N(M1697)&lt;&gt;0,W1697=0),"Tax ignored (tax tracking off, or not allowed for this type)",IF(V1697=K1697&amp;"","Same account on both sides",IF(AND(ISNUMBER(StartDate),C1697&lt;StartDate),"Date is before the accounting start date",IF(AND(D1697&lt;&gt;"Adjustment",IFERROR(INDEX(coa_Pay,MATCH(K1697&amp;"",coa_Name,0)),"")&lt;&gt;"Yes"),"Paid From / Deposited To is not a payment account","")))))))))))</f>
        <v/>
      </c>
      <c r="Z1697" s="67">
        <f>IF(AND(T1697=0,X1697=""),1,0)</f>
        <v/>
      </c>
      <c r="AA1697" s="68">
        <f>IF(Z1697=1,IF(U1697="In",L1697,L1697-W1697),0)</f>
        <v/>
      </c>
      <c r="AB1697" s="68">
        <f>IF(Z1697=1,IF(U1697="In",L1697-W1697,L1697),0)</f>
        <v/>
      </c>
      <c r="AC1697" s="68">
        <f>IF(AND(Z1697=1,U1697="Out"),W1697,0)</f>
        <v/>
      </c>
      <c r="AD1697" s="68">
        <f>IF(AND(Z1697=1,U1697="In"),W1697,0)</f>
        <v/>
      </c>
    </row>
    <row r="1698">
      <c r="B1698" s="62" t="inlineStr">
        <is>
          <t>TX-1692</t>
        </is>
      </c>
      <c r="C1698" s="63" t="n"/>
      <c r="D1698" s="62" t="n"/>
      <c r="E1698" s="62" t="n"/>
      <c r="F1698" s="62" t="n"/>
      <c r="G1698" s="62" t="n"/>
      <c r="H1698" s="62" t="n"/>
      <c r="I1698" s="62" t="n"/>
      <c r="J1698" s="62" t="n"/>
      <c r="K1698" s="62" t="n"/>
      <c r="L1698" s="64" t="n"/>
      <c r="M1698" s="64" t="n"/>
      <c r="N1698" s="62" t="n"/>
      <c r="O1698" s="65">
        <f>IF(Z1698=1,L1698-W1698,"")</f>
        <v/>
      </c>
      <c r="P1698" s="66">
        <f>IF(V1698="","",IFERROR(INDEX(coa_Type,MATCH(V1698,coa_Name,0)),""))</f>
        <v/>
      </c>
      <c r="Q1698" s="66">
        <f>IF(Z1698=1,IF(U1698="In",K1698&amp;"",V1698),"")</f>
        <v/>
      </c>
      <c r="R1698" s="66">
        <f>IF(Z1698=1,IF(U1698="In",V1698,K1698&amp;""),"")</f>
        <v/>
      </c>
      <c r="S1698" s="66">
        <f>IF(X1698&lt;&gt;"","⛔ "&amp;X1698&amp;" — not posted",IF(Y1698&lt;&gt;"","⚠ "&amp;Y1698,IF(Z1698=1,"✓ OK","")))</f>
        <v/>
      </c>
      <c r="T1698" s="67">
        <f>IF(AND(C1698="",D1698="",E1698="",L1698="",K1698=""),1,0)</f>
        <v/>
      </c>
      <c r="U1698" s="67">
        <f>IFERROR(INDEX(tt_Dir,MATCH(D1698,tt_Type,0)),"")</f>
        <v/>
      </c>
      <c r="V1698" s="67">
        <f>IF(D1698="","",IFERROR(IF(INDEX(tt_Other,MATCH(D1698,tt_Type,0))="",E1698&amp;"",INDEX(tt_Other,MATCH(D1698,tt_Type,0))),""))</f>
        <v/>
      </c>
      <c r="W1698" s="68">
        <f>IF(OR(TaxOn&lt;&gt;"Yes",NOT(ISNUMBER(M1698))),0,IF(IFERROR(INDEX(tt_Tax,MATCH(D1698,tt_Type,0)),"No")="Yes",M1698,0))</f>
        <v/>
      </c>
      <c r="X1698" s="67">
        <f>IF(T1698=1,"",IF(C1698="","Missing transaction date",IF(NOT(ISNUMBER(C1698)),"Invalid date",IF(OR(C1698&lt;DATE(2000,1,1),C1698&gt;DATE(2099,12,31)),"Invalid date",IF(D1698="","Select a type",IF(U1698="","Unknown type: "&amp;D1698,IF(V1698="","Select an account (Category)",IF(ISNA(MATCH(V1698,coa_Name,0)),"Unknown account: "&amp;V1698,IF(K1698="","Select Paid From / Deposited To",IF(ISNA(MATCH(K1698,coa_Name,0)),"Unknown account: "&amp;K1698,IF(NOT(ISNUMBER(L1698)),"Enter an amount",IF(L1698=0,"Enter an amount",IF(ABS(W1698)&gt;ABS(L1698),"Tax is larger than the amount","")))))))))))))</f>
        <v/>
      </c>
      <c r="Y1698" s="67">
        <f>IF(OR(T1698=1,X1698&lt;&gt;""),"",IF(AND(B1698&lt;&gt;"",COUNTIF(tx_ID,B1698)&gt;1),"Duplicate transaction ID",IF(AND(L1698&lt;0,D1698&lt;&gt;"Adjustment"),"Negative amount — check this entry",IF(AND(D1698="Customer Payment",G1698=""),"Add the customer",IF(AND(D1698="Customer Payment",OR(J1698="",COUNTIF(ar_No,J1698&amp;"")=0)),"Invoice # in Reference not found on AR sheet",IF(AND(D1698="Bill Payment",H1698=""),"Add the vendor",IF(AND(D1698="Bill Payment",OR(J1698="",COUNTIFS(ap_No,J1698&amp;"",ap_Party,H1698&amp;"")=0)),"Bill # + vendor not found on AP sheet",IF(AND(ISNUMBER(M1698),N(M1698)&lt;&gt;0,W1698=0),"Tax ignored (tax tracking off, or not allowed for this type)",IF(V1698=K1698&amp;"","Same account on both sides",IF(AND(ISNUMBER(StartDate),C1698&lt;StartDate),"Date is before the accounting start date",IF(AND(D1698&lt;&gt;"Adjustment",IFERROR(INDEX(coa_Pay,MATCH(K1698&amp;"",coa_Name,0)),"")&lt;&gt;"Yes"),"Paid From / Deposited To is not a payment account","")))))))))))</f>
        <v/>
      </c>
      <c r="Z1698" s="67">
        <f>IF(AND(T1698=0,X1698=""),1,0)</f>
        <v/>
      </c>
      <c r="AA1698" s="68">
        <f>IF(Z1698=1,IF(U1698="In",L1698,L1698-W1698),0)</f>
        <v/>
      </c>
      <c r="AB1698" s="68">
        <f>IF(Z1698=1,IF(U1698="In",L1698-W1698,L1698),0)</f>
        <v/>
      </c>
      <c r="AC1698" s="68">
        <f>IF(AND(Z1698=1,U1698="Out"),W1698,0)</f>
        <v/>
      </c>
      <c r="AD1698" s="68">
        <f>IF(AND(Z1698=1,U1698="In"),W1698,0)</f>
        <v/>
      </c>
    </row>
    <row r="1699">
      <c r="B1699" s="62" t="inlineStr">
        <is>
          <t>TX-1693</t>
        </is>
      </c>
      <c r="C1699" s="63" t="n"/>
      <c r="D1699" s="62" t="n"/>
      <c r="E1699" s="62" t="n"/>
      <c r="F1699" s="62" t="n"/>
      <c r="G1699" s="62" t="n"/>
      <c r="H1699" s="62" t="n"/>
      <c r="I1699" s="62" t="n"/>
      <c r="J1699" s="62" t="n"/>
      <c r="K1699" s="62" t="n"/>
      <c r="L1699" s="64" t="n"/>
      <c r="M1699" s="64" t="n"/>
      <c r="N1699" s="62" t="n"/>
      <c r="O1699" s="65">
        <f>IF(Z1699=1,L1699-W1699,"")</f>
        <v/>
      </c>
      <c r="P1699" s="66">
        <f>IF(V1699="","",IFERROR(INDEX(coa_Type,MATCH(V1699,coa_Name,0)),""))</f>
        <v/>
      </c>
      <c r="Q1699" s="66">
        <f>IF(Z1699=1,IF(U1699="In",K1699&amp;"",V1699),"")</f>
        <v/>
      </c>
      <c r="R1699" s="66">
        <f>IF(Z1699=1,IF(U1699="In",V1699,K1699&amp;""),"")</f>
        <v/>
      </c>
      <c r="S1699" s="66">
        <f>IF(X1699&lt;&gt;"","⛔ "&amp;X1699&amp;" — not posted",IF(Y1699&lt;&gt;"","⚠ "&amp;Y1699,IF(Z1699=1,"✓ OK","")))</f>
        <v/>
      </c>
      <c r="T1699" s="67">
        <f>IF(AND(C1699="",D1699="",E1699="",L1699="",K1699=""),1,0)</f>
        <v/>
      </c>
      <c r="U1699" s="67">
        <f>IFERROR(INDEX(tt_Dir,MATCH(D1699,tt_Type,0)),"")</f>
        <v/>
      </c>
      <c r="V1699" s="67">
        <f>IF(D1699="","",IFERROR(IF(INDEX(tt_Other,MATCH(D1699,tt_Type,0))="",E1699&amp;"",INDEX(tt_Other,MATCH(D1699,tt_Type,0))),""))</f>
        <v/>
      </c>
      <c r="W1699" s="68">
        <f>IF(OR(TaxOn&lt;&gt;"Yes",NOT(ISNUMBER(M1699))),0,IF(IFERROR(INDEX(tt_Tax,MATCH(D1699,tt_Type,0)),"No")="Yes",M1699,0))</f>
        <v/>
      </c>
      <c r="X1699" s="67">
        <f>IF(T1699=1,"",IF(C1699="","Missing transaction date",IF(NOT(ISNUMBER(C1699)),"Invalid date",IF(OR(C1699&lt;DATE(2000,1,1),C1699&gt;DATE(2099,12,31)),"Invalid date",IF(D1699="","Select a type",IF(U1699="","Unknown type: "&amp;D1699,IF(V1699="","Select an account (Category)",IF(ISNA(MATCH(V1699,coa_Name,0)),"Unknown account: "&amp;V1699,IF(K1699="","Select Paid From / Deposited To",IF(ISNA(MATCH(K1699,coa_Name,0)),"Unknown account: "&amp;K1699,IF(NOT(ISNUMBER(L1699)),"Enter an amount",IF(L1699=0,"Enter an amount",IF(ABS(W1699)&gt;ABS(L1699),"Tax is larger than the amount","")))))))))))))</f>
        <v/>
      </c>
      <c r="Y1699" s="67">
        <f>IF(OR(T1699=1,X1699&lt;&gt;""),"",IF(AND(B1699&lt;&gt;"",COUNTIF(tx_ID,B1699)&gt;1),"Duplicate transaction ID",IF(AND(L1699&lt;0,D1699&lt;&gt;"Adjustment"),"Negative amount — check this entry",IF(AND(D1699="Customer Payment",G1699=""),"Add the customer",IF(AND(D1699="Customer Payment",OR(J1699="",COUNTIF(ar_No,J1699&amp;"")=0)),"Invoice # in Reference not found on AR sheet",IF(AND(D1699="Bill Payment",H1699=""),"Add the vendor",IF(AND(D1699="Bill Payment",OR(J1699="",COUNTIFS(ap_No,J1699&amp;"",ap_Party,H1699&amp;"")=0)),"Bill # + vendor not found on AP sheet",IF(AND(ISNUMBER(M1699),N(M1699)&lt;&gt;0,W1699=0),"Tax ignored (tax tracking off, or not allowed for this type)",IF(V1699=K1699&amp;"","Same account on both sides",IF(AND(ISNUMBER(StartDate),C1699&lt;StartDate),"Date is before the accounting start date",IF(AND(D1699&lt;&gt;"Adjustment",IFERROR(INDEX(coa_Pay,MATCH(K1699&amp;"",coa_Name,0)),"")&lt;&gt;"Yes"),"Paid From / Deposited To is not a payment account","")))))))))))</f>
        <v/>
      </c>
      <c r="Z1699" s="67">
        <f>IF(AND(T1699=0,X1699=""),1,0)</f>
        <v/>
      </c>
      <c r="AA1699" s="68">
        <f>IF(Z1699=1,IF(U1699="In",L1699,L1699-W1699),0)</f>
        <v/>
      </c>
      <c r="AB1699" s="68">
        <f>IF(Z1699=1,IF(U1699="In",L1699-W1699,L1699),0)</f>
        <v/>
      </c>
      <c r="AC1699" s="68">
        <f>IF(AND(Z1699=1,U1699="Out"),W1699,0)</f>
        <v/>
      </c>
      <c r="AD1699" s="68">
        <f>IF(AND(Z1699=1,U1699="In"),W1699,0)</f>
        <v/>
      </c>
    </row>
    <row r="1700">
      <c r="B1700" s="62" t="inlineStr">
        <is>
          <t>TX-1694</t>
        </is>
      </c>
      <c r="C1700" s="63" t="n"/>
      <c r="D1700" s="62" t="n"/>
      <c r="E1700" s="62" t="n"/>
      <c r="F1700" s="62" t="n"/>
      <c r="G1700" s="62" t="n"/>
      <c r="H1700" s="62" t="n"/>
      <c r="I1700" s="62" t="n"/>
      <c r="J1700" s="62" t="n"/>
      <c r="K1700" s="62" t="n"/>
      <c r="L1700" s="64" t="n"/>
      <c r="M1700" s="64" t="n"/>
      <c r="N1700" s="62" t="n"/>
      <c r="O1700" s="65">
        <f>IF(Z1700=1,L1700-W1700,"")</f>
        <v/>
      </c>
      <c r="P1700" s="66">
        <f>IF(V1700="","",IFERROR(INDEX(coa_Type,MATCH(V1700,coa_Name,0)),""))</f>
        <v/>
      </c>
      <c r="Q1700" s="66">
        <f>IF(Z1700=1,IF(U1700="In",K1700&amp;"",V1700),"")</f>
        <v/>
      </c>
      <c r="R1700" s="66">
        <f>IF(Z1700=1,IF(U1700="In",V1700,K1700&amp;""),"")</f>
        <v/>
      </c>
      <c r="S1700" s="66">
        <f>IF(X1700&lt;&gt;"","⛔ "&amp;X1700&amp;" — not posted",IF(Y1700&lt;&gt;"","⚠ "&amp;Y1700,IF(Z1700=1,"✓ OK","")))</f>
        <v/>
      </c>
      <c r="T1700" s="67">
        <f>IF(AND(C1700="",D1700="",E1700="",L1700="",K1700=""),1,0)</f>
        <v/>
      </c>
      <c r="U1700" s="67">
        <f>IFERROR(INDEX(tt_Dir,MATCH(D1700,tt_Type,0)),"")</f>
        <v/>
      </c>
      <c r="V1700" s="67">
        <f>IF(D1700="","",IFERROR(IF(INDEX(tt_Other,MATCH(D1700,tt_Type,0))="",E1700&amp;"",INDEX(tt_Other,MATCH(D1700,tt_Type,0))),""))</f>
        <v/>
      </c>
      <c r="W1700" s="68">
        <f>IF(OR(TaxOn&lt;&gt;"Yes",NOT(ISNUMBER(M1700))),0,IF(IFERROR(INDEX(tt_Tax,MATCH(D1700,tt_Type,0)),"No")="Yes",M1700,0))</f>
        <v/>
      </c>
      <c r="X1700" s="67">
        <f>IF(T1700=1,"",IF(C1700="","Missing transaction date",IF(NOT(ISNUMBER(C1700)),"Invalid date",IF(OR(C1700&lt;DATE(2000,1,1),C1700&gt;DATE(2099,12,31)),"Invalid date",IF(D1700="","Select a type",IF(U1700="","Unknown type: "&amp;D1700,IF(V1700="","Select an account (Category)",IF(ISNA(MATCH(V1700,coa_Name,0)),"Unknown account: "&amp;V1700,IF(K1700="","Select Paid From / Deposited To",IF(ISNA(MATCH(K1700,coa_Name,0)),"Unknown account: "&amp;K1700,IF(NOT(ISNUMBER(L1700)),"Enter an amount",IF(L1700=0,"Enter an amount",IF(ABS(W1700)&gt;ABS(L1700),"Tax is larger than the amount","")))))))))))))</f>
        <v/>
      </c>
      <c r="Y1700" s="67">
        <f>IF(OR(T1700=1,X1700&lt;&gt;""),"",IF(AND(B1700&lt;&gt;"",COUNTIF(tx_ID,B1700)&gt;1),"Duplicate transaction ID",IF(AND(L1700&lt;0,D1700&lt;&gt;"Adjustment"),"Negative amount — check this entry",IF(AND(D1700="Customer Payment",G1700=""),"Add the customer",IF(AND(D1700="Customer Payment",OR(J1700="",COUNTIF(ar_No,J1700&amp;"")=0)),"Invoice # in Reference not found on AR sheet",IF(AND(D1700="Bill Payment",H1700=""),"Add the vendor",IF(AND(D1700="Bill Payment",OR(J1700="",COUNTIFS(ap_No,J1700&amp;"",ap_Party,H1700&amp;"")=0)),"Bill # + vendor not found on AP sheet",IF(AND(ISNUMBER(M1700),N(M1700)&lt;&gt;0,W1700=0),"Tax ignored (tax tracking off, or not allowed for this type)",IF(V1700=K1700&amp;"","Same account on both sides",IF(AND(ISNUMBER(StartDate),C1700&lt;StartDate),"Date is before the accounting start date",IF(AND(D1700&lt;&gt;"Adjustment",IFERROR(INDEX(coa_Pay,MATCH(K1700&amp;"",coa_Name,0)),"")&lt;&gt;"Yes"),"Paid From / Deposited To is not a payment account","")))))))))))</f>
        <v/>
      </c>
      <c r="Z1700" s="67">
        <f>IF(AND(T1700=0,X1700=""),1,0)</f>
        <v/>
      </c>
      <c r="AA1700" s="68">
        <f>IF(Z1700=1,IF(U1700="In",L1700,L1700-W1700),0)</f>
        <v/>
      </c>
      <c r="AB1700" s="68">
        <f>IF(Z1700=1,IF(U1700="In",L1700-W1700,L1700),0)</f>
        <v/>
      </c>
      <c r="AC1700" s="68">
        <f>IF(AND(Z1700=1,U1700="Out"),W1700,0)</f>
        <v/>
      </c>
      <c r="AD1700" s="68">
        <f>IF(AND(Z1700=1,U1700="In"),W1700,0)</f>
        <v/>
      </c>
    </row>
    <row r="1701">
      <c r="B1701" s="62" t="inlineStr">
        <is>
          <t>TX-1695</t>
        </is>
      </c>
      <c r="C1701" s="63" t="n"/>
      <c r="D1701" s="62" t="n"/>
      <c r="E1701" s="62" t="n"/>
      <c r="F1701" s="62" t="n"/>
      <c r="G1701" s="62" t="n"/>
      <c r="H1701" s="62" t="n"/>
      <c r="I1701" s="62" t="n"/>
      <c r="J1701" s="62" t="n"/>
      <c r="K1701" s="62" t="n"/>
      <c r="L1701" s="64" t="n"/>
      <c r="M1701" s="64" t="n"/>
      <c r="N1701" s="62" t="n"/>
      <c r="O1701" s="65">
        <f>IF(Z1701=1,L1701-W1701,"")</f>
        <v/>
      </c>
      <c r="P1701" s="66">
        <f>IF(V1701="","",IFERROR(INDEX(coa_Type,MATCH(V1701,coa_Name,0)),""))</f>
        <v/>
      </c>
      <c r="Q1701" s="66">
        <f>IF(Z1701=1,IF(U1701="In",K1701&amp;"",V1701),"")</f>
        <v/>
      </c>
      <c r="R1701" s="66">
        <f>IF(Z1701=1,IF(U1701="In",V1701,K1701&amp;""),"")</f>
        <v/>
      </c>
      <c r="S1701" s="66">
        <f>IF(X1701&lt;&gt;"","⛔ "&amp;X1701&amp;" — not posted",IF(Y1701&lt;&gt;"","⚠ "&amp;Y1701,IF(Z1701=1,"✓ OK","")))</f>
        <v/>
      </c>
      <c r="T1701" s="67">
        <f>IF(AND(C1701="",D1701="",E1701="",L1701="",K1701=""),1,0)</f>
        <v/>
      </c>
      <c r="U1701" s="67">
        <f>IFERROR(INDEX(tt_Dir,MATCH(D1701,tt_Type,0)),"")</f>
        <v/>
      </c>
      <c r="V1701" s="67">
        <f>IF(D1701="","",IFERROR(IF(INDEX(tt_Other,MATCH(D1701,tt_Type,0))="",E1701&amp;"",INDEX(tt_Other,MATCH(D1701,tt_Type,0))),""))</f>
        <v/>
      </c>
      <c r="W1701" s="68">
        <f>IF(OR(TaxOn&lt;&gt;"Yes",NOT(ISNUMBER(M1701))),0,IF(IFERROR(INDEX(tt_Tax,MATCH(D1701,tt_Type,0)),"No")="Yes",M1701,0))</f>
        <v/>
      </c>
      <c r="X1701" s="67">
        <f>IF(T1701=1,"",IF(C1701="","Missing transaction date",IF(NOT(ISNUMBER(C1701)),"Invalid date",IF(OR(C1701&lt;DATE(2000,1,1),C1701&gt;DATE(2099,12,31)),"Invalid date",IF(D1701="","Select a type",IF(U1701="","Unknown type: "&amp;D1701,IF(V1701="","Select an account (Category)",IF(ISNA(MATCH(V1701,coa_Name,0)),"Unknown account: "&amp;V1701,IF(K1701="","Select Paid From / Deposited To",IF(ISNA(MATCH(K1701,coa_Name,0)),"Unknown account: "&amp;K1701,IF(NOT(ISNUMBER(L1701)),"Enter an amount",IF(L1701=0,"Enter an amount",IF(ABS(W1701)&gt;ABS(L1701),"Tax is larger than the amount","")))))))))))))</f>
        <v/>
      </c>
      <c r="Y1701" s="67">
        <f>IF(OR(T1701=1,X1701&lt;&gt;""),"",IF(AND(B1701&lt;&gt;"",COUNTIF(tx_ID,B1701)&gt;1),"Duplicate transaction ID",IF(AND(L1701&lt;0,D1701&lt;&gt;"Adjustment"),"Negative amount — check this entry",IF(AND(D1701="Customer Payment",G1701=""),"Add the customer",IF(AND(D1701="Customer Payment",OR(J1701="",COUNTIF(ar_No,J1701&amp;"")=0)),"Invoice # in Reference not found on AR sheet",IF(AND(D1701="Bill Payment",H1701=""),"Add the vendor",IF(AND(D1701="Bill Payment",OR(J1701="",COUNTIFS(ap_No,J1701&amp;"",ap_Party,H1701&amp;"")=0)),"Bill # + vendor not found on AP sheet",IF(AND(ISNUMBER(M1701),N(M1701)&lt;&gt;0,W1701=0),"Tax ignored (tax tracking off, or not allowed for this type)",IF(V1701=K1701&amp;"","Same account on both sides",IF(AND(ISNUMBER(StartDate),C1701&lt;StartDate),"Date is before the accounting start date",IF(AND(D1701&lt;&gt;"Adjustment",IFERROR(INDEX(coa_Pay,MATCH(K1701&amp;"",coa_Name,0)),"")&lt;&gt;"Yes"),"Paid From / Deposited To is not a payment account","")))))))))))</f>
        <v/>
      </c>
      <c r="Z1701" s="67">
        <f>IF(AND(T1701=0,X1701=""),1,0)</f>
        <v/>
      </c>
      <c r="AA1701" s="68">
        <f>IF(Z1701=1,IF(U1701="In",L1701,L1701-W1701),0)</f>
        <v/>
      </c>
      <c r="AB1701" s="68">
        <f>IF(Z1701=1,IF(U1701="In",L1701-W1701,L1701),0)</f>
        <v/>
      </c>
      <c r="AC1701" s="68">
        <f>IF(AND(Z1701=1,U1701="Out"),W1701,0)</f>
        <v/>
      </c>
      <c r="AD1701" s="68">
        <f>IF(AND(Z1701=1,U1701="In"),W1701,0)</f>
        <v/>
      </c>
    </row>
    <row r="1702">
      <c r="B1702" s="62" t="inlineStr">
        <is>
          <t>TX-1696</t>
        </is>
      </c>
      <c r="C1702" s="63" t="n"/>
      <c r="D1702" s="62" t="n"/>
      <c r="E1702" s="62" t="n"/>
      <c r="F1702" s="62" t="n"/>
      <c r="G1702" s="62" t="n"/>
      <c r="H1702" s="62" t="n"/>
      <c r="I1702" s="62" t="n"/>
      <c r="J1702" s="62" t="n"/>
      <c r="K1702" s="62" t="n"/>
      <c r="L1702" s="64" t="n"/>
      <c r="M1702" s="64" t="n"/>
      <c r="N1702" s="62" t="n"/>
      <c r="O1702" s="65">
        <f>IF(Z1702=1,L1702-W1702,"")</f>
        <v/>
      </c>
      <c r="P1702" s="66">
        <f>IF(V1702="","",IFERROR(INDEX(coa_Type,MATCH(V1702,coa_Name,0)),""))</f>
        <v/>
      </c>
      <c r="Q1702" s="66">
        <f>IF(Z1702=1,IF(U1702="In",K1702&amp;"",V1702),"")</f>
        <v/>
      </c>
      <c r="R1702" s="66">
        <f>IF(Z1702=1,IF(U1702="In",V1702,K1702&amp;""),"")</f>
        <v/>
      </c>
      <c r="S1702" s="66">
        <f>IF(X1702&lt;&gt;"","⛔ "&amp;X1702&amp;" — not posted",IF(Y1702&lt;&gt;"","⚠ "&amp;Y1702,IF(Z1702=1,"✓ OK","")))</f>
        <v/>
      </c>
      <c r="T1702" s="67">
        <f>IF(AND(C1702="",D1702="",E1702="",L1702="",K1702=""),1,0)</f>
        <v/>
      </c>
      <c r="U1702" s="67">
        <f>IFERROR(INDEX(tt_Dir,MATCH(D1702,tt_Type,0)),"")</f>
        <v/>
      </c>
      <c r="V1702" s="67">
        <f>IF(D1702="","",IFERROR(IF(INDEX(tt_Other,MATCH(D1702,tt_Type,0))="",E1702&amp;"",INDEX(tt_Other,MATCH(D1702,tt_Type,0))),""))</f>
        <v/>
      </c>
      <c r="W1702" s="68">
        <f>IF(OR(TaxOn&lt;&gt;"Yes",NOT(ISNUMBER(M1702))),0,IF(IFERROR(INDEX(tt_Tax,MATCH(D1702,tt_Type,0)),"No")="Yes",M1702,0))</f>
        <v/>
      </c>
      <c r="X1702" s="67">
        <f>IF(T1702=1,"",IF(C1702="","Missing transaction date",IF(NOT(ISNUMBER(C1702)),"Invalid date",IF(OR(C1702&lt;DATE(2000,1,1),C1702&gt;DATE(2099,12,31)),"Invalid date",IF(D1702="","Select a type",IF(U1702="","Unknown type: "&amp;D1702,IF(V1702="","Select an account (Category)",IF(ISNA(MATCH(V1702,coa_Name,0)),"Unknown account: "&amp;V1702,IF(K1702="","Select Paid From / Deposited To",IF(ISNA(MATCH(K1702,coa_Name,0)),"Unknown account: "&amp;K1702,IF(NOT(ISNUMBER(L1702)),"Enter an amount",IF(L1702=0,"Enter an amount",IF(ABS(W1702)&gt;ABS(L1702),"Tax is larger than the amount","")))))))))))))</f>
        <v/>
      </c>
      <c r="Y1702" s="67">
        <f>IF(OR(T1702=1,X1702&lt;&gt;""),"",IF(AND(B1702&lt;&gt;"",COUNTIF(tx_ID,B1702)&gt;1),"Duplicate transaction ID",IF(AND(L1702&lt;0,D1702&lt;&gt;"Adjustment"),"Negative amount — check this entry",IF(AND(D1702="Customer Payment",G1702=""),"Add the customer",IF(AND(D1702="Customer Payment",OR(J1702="",COUNTIF(ar_No,J1702&amp;"")=0)),"Invoice # in Reference not found on AR sheet",IF(AND(D1702="Bill Payment",H1702=""),"Add the vendor",IF(AND(D1702="Bill Payment",OR(J1702="",COUNTIFS(ap_No,J1702&amp;"",ap_Party,H1702&amp;"")=0)),"Bill # + vendor not found on AP sheet",IF(AND(ISNUMBER(M1702),N(M1702)&lt;&gt;0,W1702=0),"Tax ignored (tax tracking off, or not allowed for this type)",IF(V1702=K1702&amp;"","Same account on both sides",IF(AND(ISNUMBER(StartDate),C1702&lt;StartDate),"Date is before the accounting start date",IF(AND(D1702&lt;&gt;"Adjustment",IFERROR(INDEX(coa_Pay,MATCH(K1702&amp;"",coa_Name,0)),"")&lt;&gt;"Yes"),"Paid From / Deposited To is not a payment account","")))))))))))</f>
        <v/>
      </c>
      <c r="Z1702" s="67">
        <f>IF(AND(T1702=0,X1702=""),1,0)</f>
        <v/>
      </c>
      <c r="AA1702" s="68">
        <f>IF(Z1702=1,IF(U1702="In",L1702,L1702-W1702),0)</f>
        <v/>
      </c>
      <c r="AB1702" s="68">
        <f>IF(Z1702=1,IF(U1702="In",L1702-W1702,L1702),0)</f>
        <v/>
      </c>
      <c r="AC1702" s="68">
        <f>IF(AND(Z1702=1,U1702="Out"),W1702,0)</f>
        <v/>
      </c>
      <c r="AD1702" s="68">
        <f>IF(AND(Z1702=1,U1702="In"),W1702,0)</f>
        <v/>
      </c>
    </row>
    <row r="1703">
      <c r="B1703" s="62" t="inlineStr">
        <is>
          <t>TX-1697</t>
        </is>
      </c>
      <c r="C1703" s="63" t="n"/>
      <c r="D1703" s="62" t="n"/>
      <c r="E1703" s="62" t="n"/>
      <c r="F1703" s="62" t="n"/>
      <c r="G1703" s="62" t="n"/>
      <c r="H1703" s="62" t="n"/>
      <c r="I1703" s="62" t="n"/>
      <c r="J1703" s="62" t="n"/>
      <c r="K1703" s="62" t="n"/>
      <c r="L1703" s="64" t="n"/>
      <c r="M1703" s="64" t="n"/>
      <c r="N1703" s="62" t="n"/>
      <c r="O1703" s="65">
        <f>IF(Z1703=1,L1703-W1703,"")</f>
        <v/>
      </c>
      <c r="P1703" s="66">
        <f>IF(V1703="","",IFERROR(INDEX(coa_Type,MATCH(V1703,coa_Name,0)),""))</f>
        <v/>
      </c>
      <c r="Q1703" s="66">
        <f>IF(Z1703=1,IF(U1703="In",K1703&amp;"",V1703),"")</f>
        <v/>
      </c>
      <c r="R1703" s="66">
        <f>IF(Z1703=1,IF(U1703="In",V1703,K1703&amp;""),"")</f>
        <v/>
      </c>
      <c r="S1703" s="66">
        <f>IF(X1703&lt;&gt;"","⛔ "&amp;X1703&amp;" — not posted",IF(Y1703&lt;&gt;"","⚠ "&amp;Y1703,IF(Z1703=1,"✓ OK","")))</f>
        <v/>
      </c>
      <c r="T1703" s="67">
        <f>IF(AND(C1703="",D1703="",E1703="",L1703="",K1703=""),1,0)</f>
        <v/>
      </c>
      <c r="U1703" s="67">
        <f>IFERROR(INDEX(tt_Dir,MATCH(D1703,tt_Type,0)),"")</f>
        <v/>
      </c>
      <c r="V1703" s="67">
        <f>IF(D1703="","",IFERROR(IF(INDEX(tt_Other,MATCH(D1703,tt_Type,0))="",E1703&amp;"",INDEX(tt_Other,MATCH(D1703,tt_Type,0))),""))</f>
        <v/>
      </c>
      <c r="W1703" s="68">
        <f>IF(OR(TaxOn&lt;&gt;"Yes",NOT(ISNUMBER(M1703))),0,IF(IFERROR(INDEX(tt_Tax,MATCH(D1703,tt_Type,0)),"No")="Yes",M1703,0))</f>
        <v/>
      </c>
      <c r="X1703" s="67">
        <f>IF(T1703=1,"",IF(C1703="","Missing transaction date",IF(NOT(ISNUMBER(C1703)),"Invalid date",IF(OR(C1703&lt;DATE(2000,1,1),C1703&gt;DATE(2099,12,31)),"Invalid date",IF(D1703="","Select a type",IF(U1703="","Unknown type: "&amp;D1703,IF(V1703="","Select an account (Category)",IF(ISNA(MATCH(V1703,coa_Name,0)),"Unknown account: "&amp;V1703,IF(K1703="","Select Paid From / Deposited To",IF(ISNA(MATCH(K1703,coa_Name,0)),"Unknown account: "&amp;K1703,IF(NOT(ISNUMBER(L1703)),"Enter an amount",IF(L1703=0,"Enter an amount",IF(ABS(W1703)&gt;ABS(L1703),"Tax is larger than the amount","")))))))))))))</f>
        <v/>
      </c>
      <c r="Y1703" s="67">
        <f>IF(OR(T1703=1,X1703&lt;&gt;""),"",IF(AND(B1703&lt;&gt;"",COUNTIF(tx_ID,B1703)&gt;1),"Duplicate transaction ID",IF(AND(L1703&lt;0,D1703&lt;&gt;"Adjustment"),"Negative amount — check this entry",IF(AND(D1703="Customer Payment",G1703=""),"Add the customer",IF(AND(D1703="Customer Payment",OR(J1703="",COUNTIF(ar_No,J1703&amp;"")=0)),"Invoice # in Reference not found on AR sheet",IF(AND(D1703="Bill Payment",H1703=""),"Add the vendor",IF(AND(D1703="Bill Payment",OR(J1703="",COUNTIFS(ap_No,J1703&amp;"",ap_Party,H1703&amp;"")=0)),"Bill # + vendor not found on AP sheet",IF(AND(ISNUMBER(M1703),N(M1703)&lt;&gt;0,W1703=0),"Tax ignored (tax tracking off, or not allowed for this type)",IF(V1703=K1703&amp;"","Same account on both sides",IF(AND(ISNUMBER(StartDate),C1703&lt;StartDate),"Date is before the accounting start date",IF(AND(D1703&lt;&gt;"Adjustment",IFERROR(INDEX(coa_Pay,MATCH(K1703&amp;"",coa_Name,0)),"")&lt;&gt;"Yes"),"Paid From / Deposited To is not a payment account","")))))))))))</f>
        <v/>
      </c>
      <c r="Z1703" s="67">
        <f>IF(AND(T1703=0,X1703=""),1,0)</f>
        <v/>
      </c>
      <c r="AA1703" s="68">
        <f>IF(Z1703=1,IF(U1703="In",L1703,L1703-W1703),0)</f>
        <v/>
      </c>
      <c r="AB1703" s="68">
        <f>IF(Z1703=1,IF(U1703="In",L1703-W1703,L1703),0)</f>
        <v/>
      </c>
      <c r="AC1703" s="68">
        <f>IF(AND(Z1703=1,U1703="Out"),W1703,0)</f>
        <v/>
      </c>
      <c r="AD1703" s="68">
        <f>IF(AND(Z1703=1,U1703="In"),W1703,0)</f>
        <v/>
      </c>
    </row>
    <row r="1704">
      <c r="B1704" s="62" t="inlineStr">
        <is>
          <t>TX-1698</t>
        </is>
      </c>
      <c r="C1704" s="63" t="n"/>
      <c r="D1704" s="62" t="n"/>
      <c r="E1704" s="62" t="n"/>
      <c r="F1704" s="62" t="n"/>
      <c r="G1704" s="62" t="n"/>
      <c r="H1704" s="62" t="n"/>
      <c r="I1704" s="62" t="n"/>
      <c r="J1704" s="62" t="n"/>
      <c r="K1704" s="62" t="n"/>
      <c r="L1704" s="64" t="n"/>
      <c r="M1704" s="64" t="n"/>
      <c r="N1704" s="62" t="n"/>
      <c r="O1704" s="65">
        <f>IF(Z1704=1,L1704-W1704,"")</f>
        <v/>
      </c>
      <c r="P1704" s="66">
        <f>IF(V1704="","",IFERROR(INDEX(coa_Type,MATCH(V1704,coa_Name,0)),""))</f>
        <v/>
      </c>
      <c r="Q1704" s="66">
        <f>IF(Z1704=1,IF(U1704="In",K1704&amp;"",V1704),"")</f>
        <v/>
      </c>
      <c r="R1704" s="66">
        <f>IF(Z1704=1,IF(U1704="In",V1704,K1704&amp;""),"")</f>
        <v/>
      </c>
      <c r="S1704" s="66">
        <f>IF(X1704&lt;&gt;"","⛔ "&amp;X1704&amp;" — not posted",IF(Y1704&lt;&gt;"","⚠ "&amp;Y1704,IF(Z1704=1,"✓ OK","")))</f>
        <v/>
      </c>
      <c r="T1704" s="67">
        <f>IF(AND(C1704="",D1704="",E1704="",L1704="",K1704=""),1,0)</f>
        <v/>
      </c>
      <c r="U1704" s="67">
        <f>IFERROR(INDEX(tt_Dir,MATCH(D1704,tt_Type,0)),"")</f>
        <v/>
      </c>
      <c r="V1704" s="67">
        <f>IF(D1704="","",IFERROR(IF(INDEX(tt_Other,MATCH(D1704,tt_Type,0))="",E1704&amp;"",INDEX(tt_Other,MATCH(D1704,tt_Type,0))),""))</f>
        <v/>
      </c>
      <c r="W1704" s="68">
        <f>IF(OR(TaxOn&lt;&gt;"Yes",NOT(ISNUMBER(M1704))),0,IF(IFERROR(INDEX(tt_Tax,MATCH(D1704,tt_Type,0)),"No")="Yes",M1704,0))</f>
        <v/>
      </c>
      <c r="X1704" s="67">
        <f>IF(T1704=1,"",IF(C1704="","Missing transaction date",IF(NOT(ISNUMBER(C1704)),"Invalid date",IF(OR(C1704&lt;DATE(2000,1,1),C1704&gt;DATE(2099,12,31)),"Invalid date",IF(D1704="","Select a type",IF(U1704="","Unknown type: "&amp;D1704,IF(V1704="","Select an account (Category)",IF(ISNA(MATCH(V1704,coa_Name,0)),"Unknown account: "&amp;V1704,IF(K1704="","Select Paid From / Deposited To",IF(ISNA(MATCH(K1704,coa_Name,0)),"Unknown account: "&amp;K1704,IF(NOT(ISNUMBER(L1704)),"Enter an amount",IF(L1704=0,"Enter an amount",IF(ABS(W1704)&gt;ABS(L1704),"Tax is larger than the amount","")))))))))))))</f>
        <v/>
      </c>
      <c r="Y1704" s="67">
        <f>IF(OR(T1704=1,X1704&lt;&gt;""),"",IF(AND(B1704&lt;&gt;"",COUNTIF(tx_ID,B1704)&gt;1),"Duplicate transaction ID",IF(AND(L1704&lt;0,D1704&lt;&gt;"Adjustment"),"Negative amount — check this entry",IF(AND(D1704="Customer Payment",G1704=""),"Add the customer",IF(AND(D1704="Customer Payment",OR(J1704="",COUNTIF(ar_No,J1704&amp;"")=0)),"Invoice # in Reference not found on AR sheet",IF(AND(D1704="Bill Payment",H1704=""),"Add the vendor",IF(AND(D1704="Bill Payment",OR(J1704="",COUNTIFS(ap_No,J1704&amp;"",ap_Party,H1704&amp;"")=0)),"Bill # + vendor not found on AP sheet",IF(AND(ISNUMBER(M1704),N(M1704)&lt;&gt;0,W1704=0),"Tax ignored (tax tracking off, or not allowed for this type)",IF(V1704=K1704&amp;"","Same account on both sides",IF(AND(ISNUMBER(StartDate),C1704&lt;StartDate),"Date is before the accounting start date",IF(AND(D1704&lt;&gt;"Adjustment",IFERROR(INDEX(coa_Pay,MATCH(K1704&amp;"",coa_Name,0)),"")&lt;&gt;"Yes"),"Paid From / Deposited To is not a payment account","")))))))))))</f>
        <v/>
      </c>
      <c r="Z1704" s="67">
        <f>IF(AND(T1704=0,X1704=""),1,0)</f>
        <v/>
      </c>
      <c r="AA1704" s="68">
        <f>IF(Z1704=1,IF(U1704="In",L1704,L1704-W1704),0)</f>
        <v/>
      </c>
      <c r="AB1704" s="68">
        <f>IF(Z1704=1,IF(U1704="In",L1704-W1704,L1704),0)</f>
        <v/>
      </c>
      <c r="AC1704" s="68">
        <f>IF(AND(Z1704=1,U1704="Out"),W1704,0)</f>
        <v/>
      </c>
      <c r="AD1704" s="68">
        <f>IF(AND(Z1704=1,U1704="In"),W1704,0)</f>
        <v/>
      </c>
    </row>
    <row r="1705">
      <c r="B1705" s="62" t="inlineStr">
        <is>
          <t>TX-1699</t>
        </is>
      </c>
      <c r="C1705" s="63" t="n"/>
      <c r="D1705" s="62" t="n"/>
      <c r="E1705" s="62" t="n"/>
      <c r="F1705" s="62" t="n"/>
      <c r="G1705" s="62" t="n"/>
      <c r="H1705" s="62" t="n"/>
      <c r="I1705" s="62" t="n"/>
      <c r="J1705" s="62" t="n"/>
      <c r="K1705" s="62" t="n"/>
      <c r="L1705" s="64" t="n"/>
      <c r="M1705" s="64" t="n"/>
      <c r="N1705" s="62" t="n"/>
      <c r="O1705" s="65">
        <f>IF(Z1705=1,L1705-W1705,"")</f>
        <v/>
      </c>
      <c r="P1705" s="66">
        <f>IF(V1705="","",IFERROR(INDEX(coa_Type,MATCH(V1705,coa_Name,0)),""))</f>
        <v/>
      </c>
      <c r="Q1705" s="66">
        <f>IF(Z1705=1,IF(U1705="In",K1705&amp;"",V1705),"")</f>
        <v/>
      </c>
      <c r="R1705" s="66">
        <f>IF(Z1705=1,IF(U1705="In",V1705,K1705&amp;""),"")</f>
        <v/>
      </c>
      <c r="S1705" s="66">
        <f>IF(X1705&lt;&gt;"","⛔ "&amp;X1705&amp;" — not posted",IF(Y1705&lt;&gt;"","⚠ "&amp;Y1705,IF(Z1705=1,"✓ OK","")))</f>
        <v/>
      </c>
      <c r="T1705" s="67">
        <f>IF(AND(C1705="",D1705="",E1705="",L1705="",K1705=""),1,0)</f>
        <v/>
      </c>
      <c r="U1705" s="67">
        <f>IFERROR(INDEX(tt_Dir,MATCH(D1705,tt_Type,0)),"")</f>
        <v/>
      </c>
      <c r="V1705" s="67">
        <f>IF(D1705="","",IFERROR(IF(INDEX(tt_Other,MATCH(D1705,tt_Type,0))="",E1705&amp;"",INDEX(tt_Other,MATCH(D1705,tt_Type,0))),""))</f>
        <v/>
      </c>
      <c r="W1705" s="68">
        <f>IF(OR(TaxOn&lt;&gt;"Yes",NOT(ISNUMBER(M1705))),0,IF(IFERROR(INDEX(tt_Tax,MATCH(D1705,tt_Type,0)),"No")="Yes",M1705,0))</f>
        <v/>
      </c>
      <c r="X1705" s="67">
        <f>IF(T1705=1,"",IF(C1705="","Missing transaction date",IF(NOT(ISNUMBER(C1705)),"Invalid date",IF(OR(C1705&lt;DATE(2000,1,1),C1705&gt;DATE(2099,12,31)),"Invalid date",IF(D1705="","Select a type",IF(U1705="","Unknown type: "&amp;D1705,IF(V1705="","Select an account (Category)",IF(ISNA(MATCH(V1705,coa_Name,0)),"Unknown account: "&amp;V1705,IF(K1705="","Select Paid From / Deposited To",IF(ISNA(MATCH(K1705,coa_Name,0)),"Unknown account: "&amp;K1705,IF(NOT(ISNUMBER(L1705)),"Enter an amount",IF(L1705=0,"Enter an amount",IF(ABS(W1705)&gt;ABS(L1705),"Tax is larger than the amount","")))))))))))))</f>
        <v/>
      </c>
      <c r="Y1705" s="67">
        <f>IF(OR(T1705=1,X1705&lt;&gt;""),"",IF(AND(B1705&lt;&gt;"",COUNTIF(tx_ID,B1705)&gt;1),"Duplicate transaction ID",IF(AND(L1705&lt;0,D1705&lt;&gt;"Adjustment"),"Negative amount — check this entry",IF(AND(D1705="Customer Payment",G1705=""),"Add the customer",IF(AND(D1705="Customer Payment",OR(J1705="",COUNTIF(ar_No,J1705&amp;"")=0)),"Invoice # in Reference not found on AR sheet",IF(AND(D1705="Bill Payment",H1705=""),"Add the vendor",IF(AND(D1705="Bill Payment",OR(J1705="",COUNTIFS(ap_No,J1705&amp;"",ap_Party,H1705&amp;"")=0)),"Bill # + vendor not found on AP sheet",IF(AND(ISNUMBER(M1705),N(M1705)&lt;&gt;0,W1705=0),"Tax ignored (tax tracking off, or not allowed for this type)",IF(V1705=K1705&amp;"","Same account on both sides",IF(AND(ISNUMBER(StartDate),C1705&lt;StartDate),"Date is before the accounting start date",IF(AND(D1705&lt;&gt;"Adjustment",IFERROR(INDEX(coa_Pay,MATCH(K1705&amp;"",coa_Name,0)),"")&lt;&gt;"Yes"),"Paid From / Deposited To is not a payment account","")))))))))))</f>
        <v/>
      </c>
      <c r="Z1705" s="67">
        <f>IF(AND(T1705=0,X1705=""),1,0)</f>
        <v/>
      </c>
      <c r="AA1705" s="68">
        <f>IF(Z1705=1,IF(U1705="In",L1705,L1705-W1705),0)</f>
        <v/>
      </c>
      <c r="AB1705" s="68">
        <f>IF(Z1705=1,IF(U1705="In",L1705-W1705,L1705),0)</f>
        <v/>
      </c>
      <c r="AC1705" s="68">
        <f>IF(AND(Z1705=1,U1705="Out"),W1705,0)</f>
        <v/>
      </c>
      <c r="AD1705" s="68">
        <f>IF(AND(Z1705=1,U1705="In"),W1705,0)</f>
        <v/>
      </c>
    </row>
    <row r="1706">
      <c r="B1706" s="62" t="inlineStr">
        <is>
          <t>TX-1700</t>
        </is>
      </c>
      <c r="C1706" s="63" t="n"/>
      <c r="D1706" s="62" t="n"/>
      <c r="E1706" s="62" t="n"/>
      <c r="F1706" s="62" t="n"/>
      <c r="G1706" s="62" t="n"/>
      <c r="H1706" s="62" t="n"/>
      <c r="I1706" s="62" t="n"/>
      <c r="J1706" s="62" t="n"/>
      <c r="K1706" s="62" t="n"/>
      <c r="L1706" s="64" t="n"/>
      <c r="M1706" s="64" t="n"/>
      <c r="N1706" s="62" t="n"/>
      <c r="O1706" s="65">
        <f>IF(Z1706=1,L1706-W1706,"")</f>
        <v/>
      </c>
      <c r="P1706" s="66">
        <f>IF(V1706="","",IFERROR(INDEX(coa_Type,MATCH(V1706,coa_Name,0)),""))</f>
        <v/>
      </c>
      <c r="Q1706" s="66">
        <f>IF(Z1706=1,IF(U1706="In",K1706&amp;"",V1706),"")</f>
        <v/>
      </c>
      <c r="R1706" s="66">
        <f>IF(Z1706=1,IF(U1706="In",V1706,K1706&amp;""),"")</f>
        <v/>
      </c>
      <c r="S1706" s="66">
        <f>IF(X1706&lt;&gt;"","⛔ "&amp;X1706&amp;" — not posted",IF(Y1706&lt;&gt;"","⚠ "&amp;Y1706,IF(Z1706=1,"✓ OK","")))</f>
        <v/>
      </c>
      <c r="T1706" s="67">
        <f>IF(AND(C1706="",D1706="",E1706="",L1706="",K1706=""),1,0)</f>
        <v/>
      </c>
      <c r="U1706" s="67">
        <f>IFERROR(INDEX(tt_Dir,MATCH(D1706,tt_Type,0)),"")</f>
        <v/>
      </c>
      <c r="V1706" s="67">
        <f>IF(D1706="","",IFERROR(IF(INDEX(tt_Other,MATCH(D1706,tt_Type,0))="",E1706&amp;"",INDEX(tt_Other,MATCH(D1706,tt_Type,0))),""))</f>
        <v/>
      </c>
      <c r="W1706" s="68">
        <f>IF(OR(TaxOn&lt;&gt;"Yes",NOT(ISNUMBER(M1706))),0,IF(IFERROR(INDEX(tt_Tax,MATCH(D1706,tt_Type,0)),"No")="Yes",M1706,0))</f>
        <v/>
      </c>
      <c r="X1706" s="67">
        <f>IF(T1706=1,"",IF(C1706="","Missing transaction date",IF(NOT(ISNUMBER(C1706)),"Invalid date",IF(OR(C1706&lt;DATE(2000,1,1),C1706&gt;DATE(2099,12,31)),"Invalid date",IF(D1706="","Select a type",IF(U1706="","Unknown type: "&amp;D1706,IF(V1706="","Select an account (Category)",IF(ISNA(MATCH(V1706,coa_Name,0)),"Unknown account: "&amp;V1706,IF(K1706="","Select Paid From / Deposited To",IF(ISNA(MATCH(K1706,coa_Name,0)),"Unknown account: "&amp;K1706,IF(NOT(ISNUMBER(L1706)),"Enter an amount",IF(L1706=0,"Enter an amount",IF(ABS(W1706)&gt;ABS(L1706),"Tax is larger than the amount","")))))))))))))</f>
        <v/>
      </c>
      <c r="Y1706" s="67">
        <f>IF(OR(T1706=1,X1706&lt;&gt;""),"",IF(AND(B1706&lt;&gt;"",COUNTIF(tx_ID,B1706)&gt;1),"Duplicate transaction ID",IF(AND(L1706&lt;0,D1706&lt;&gt;"Adjustment"),"Negative amount — check this entry",IF(AND(D1706="Customer Payment",G1706=""),"Add the customer",IF(AND(D1706="Customer Payment",OR(J1706="",COUNTIF(ar_No,J1706&amp;"")=0)),"Invoice # in Reference not found on AR sheet",IF(AND(D1706="Bill Payment",H1706=""),"Add the vendor",IF(AND(D1706="Bill Payment",OR(J1706="",COUNTIFS(ap_No,J1706&amp;"",ap_Party,H1706&amp;"")=0)),"Bill # + vendor not found on AP sheet",IF(AND(ISNUMBER(M1706),N(M1706)&lt;&gt;0,W1706=0),"Tax ignored (tax tracking off, or not allowed for this type)",IF(V1706=K1706&amp;"","Same account on both sides",IF(AND(ISNUMBER(StartDate),C1706&lt;StartDate),"Date is before the accounting start date",IF(AND(D1706&lt;&gt;"Adjustment",IFERROR(INDEX(coa_Pay,MATCH(K1706&amp;"",coa_Name,0)),"")&lt;&gt;"Yes"),"Paid From / Deposited To is not a payment account","")))))))))))</f>
        <v/>
      </c>
      <c r="Z1706" s="67">
        <f>IF(AND(T1706=0,X1706=""),1,0)</f>
        <v/>
      </c>
      <c r="AA1706" s="68">
        <f>IF(Z1706=1,IF(U1706="In",L1706,L1706-W1706),0)</f>
        <v/>
      </c>
      <c r="AB1706" s="68">
        <f>IF(Z1706=1,IF(U1706="In",L1706-W1706,L1706),0)</f>
        <v/>
      </c>
      <c r="AC1706" s="68">
        <f>IF(AND(Z1706=1,U1706="Out"),W1706,0)</f>
        <v/>
      </c>
      <c r="AD1706" s="68">
        <f>IF(AND(Z1706=1,U1706="In"),W1706,0)</f>
        <v/>
      </c>
    </row>
    <row r="1707">
      <c r="B1707" s="62" t="inlineStr">
        <is>
          <t>TX-1701</t>
        </is>
      </c>
      <c r="C1707" s="63" t="n"/>
      <c r="D1707" s="62" t="n"/>
      <c r="E1707" s="62" t="n"/>
      <c r="F1707" s="62" t="n"/>
      <c r="G1707" s="62" t="n"/>
      <c r="H1707" s="62" t="n"/>
      <c r="I1707" s="62" t="n"/>
      <c r="J1707" s="62" t="n"/>
      <c r="K1707" s="62" t="n"/>
      <c r="L1707" s="64" t="n"/>
      <c r="M1707" s="64" t="n"/>
      <c r="N1707" s="62" t="n"/>
      <c r="O1707" s="65">
        <f>IF(Z1707=1,L1707-W1707,"")</f>
        <v/>
      </c>
      <c r="P1707" s="66">
        <f>IF(V1707="","",IFERROR(INDEX(coa_Type,MATCH(V1707,coa_Name,0)),""))</f>
        <v/>
      </c>
      <c r="Q1707" s="66">
        <f>IF(Z1707=1,IF(U1707="In",K1707&amp;"",V1707),"")</f>
        <v/>
      </c>
      <c r="R1707" s="66">
        <f>IF(Z1707=1,IF(U1707="In",V1707,K1707&amp;""),"")</f>
        <v/>
      </c>
      <c r="S1707" s="66">
        <f>IF(X1707&lt;&gt;"","⛔ "&amp;X1707&amp;" — not posted",IF(Y1707&lt;&gt;"","⚠ "&amp;Y1707,IF(Z1707=1,"✓ OK","")))</f>
        <v/>
      </c>
      <c r="T1707" s="67">
        <f>IF(AND(C1707="",D1707="",E1707="",L1707="",K1707=""),1,0)</f>
        <v/>
      </c>
      <c r="U1707" s="67">
        <f>IFERROR(INDEX(tt_Dir,MATCH(D1707,tt_Type,0)),"")</f>
        <v/>
      </c>
      <c r="V1707" s="67">
        <f>IF(D1707="","",IFERROR(IF(INDEX(tt_Other,MATCH(D1707,tt_Type,0))="",E1707&amp;"",INDEX(tt_Other,MATCH(D1707,tt_Type,0))),""))</f>
        <v/>
      </c>
      <c r="W1707" s="68">
        <f>IF(OR(TaxOn&lt;&gt;"Yes",NOT(ISNUMBER(M1707))),0,IF(IFERROR(INDEX(tt_Tax,MATCH(D1707,tt_Type,0)),"No")="Yes",M1707,0))</f>
        <v/>
      </c>
      <c r="X1707" s="67">
        <f>IF(T1707=1,"",IF(C1707="","Missing transaction date",IF(NOT(ISNUMBER(C1707)),"Invalid date",IF(OR(C1707&lt;DATE(2000,1,1),C1707&gt;DATE(2099,12,31)),"Invalid date",IF(D1707="","Select a type",IF(U1707="","Unknown type: "&amp;D1707,IF(V1707="","Select an account (Category)",IF(ISNA(MATCH(V1707,coa_Name,0)),"Unknown account: "&amp;V1707,IF(K1707="","Select Paid From / Deposited To",IF(ISNA(MATCH(K1707,coa_Name,0)),"Unknown account: "&amp;K1707,IF(NOT(ISNUMBER(L1707)),"Enter an amount",IF(L1707=0,"Enter an amount",IF(ABS(W1707)&gt;ABS(L1707),"Tax is larger than the amount","")))))))))))))</f>
        <v/>
      </c>
      <c r="Y1707" s="67">
        <f>IF(OR(T1707=1,X1707&lt;&gt;""),"",IF(AND(B1707&lt;&gt;"",COUNTIF(tx_ID,B1707)&gt;1),"Duplicate transaction ID",IF(AND(L1707&lt;0,D1707&lt;&gt;"Adjustment"),"Negative amount — check this entry",IF(AND(D1707="Customer Payment",G1707=""),"Add the customer",IF(AND(D1707="Customer Payment",OR(J1707="",COUNTIF(ar_No,J1707&amp;"")=0)),"Invoice # in Reference not found on AR sheet",IF(AND(D1707="Bill Payment",H1707=""),"Add the vendor",IF(AND(D1707="Bill Payment",OR(J1707="",COUNTIFS(ap_No,J1707&amp;"",ap_Party,H1707&amp;"")=0)),"Bill # + vendor not found on AP sheet",IF(AND(ISNUMBER(M1707),N(M1707)&lt;&gt;0,W1707=0),"Tax ignored (tax tracking off, or not allowed for this type)",IF(V1707=K1707&amp;"","Same account on both sides",IF(AND(ISNUMBER(StartDate),C1707&lt;StartDate),"Date is before the accounting start date",IF(AND(D1707&lt;&gt;"Adjustment",IFERROR(INDEX(coa_Pay,MATCH(K1707&amp;"",coa_Name,0)),"")&lt;&gt;"Yes"),"Paid From / Deposited To is not a payment account","")))))))))))</f>
        <v/>
      </c>
      <c r="Z1707" s="67">
        <f>IF(AND(T1707=0,X1707=""),1,0)</f>
        <v/>
      </c>
      <c r="AA1707" s="68">
        <f>IF(Z1707=1,IF(U1707="In",L1707,L1707-W1707),0)</f>
        <v/>
      </c>
      <c r="AB1707" s="68">
        <f>IF(Z1707=1,IF(U1707="In",L1707-W1707,L1707),0)</f>
        <v/>
      </c>
      <c r="AC1707" s="68">
        <f>IF(AND(Z1707=1,U1707="Out"),W1707,0)</f>
        <v/>
      </c>
      <c r="AD1707" s="68">
        <f>IF(AND(Z1707=1,U1707="In"),W1707,0)</f>
        <v/>
      </c>
    </row>
    <row r="1708">
      <c r="B1708" s="62" t="inlineStr">
        <is>
          <t>TX-1702</t>
        </is>
      </c>
      <c r="C1708" s="63" t="n"/>
      <c r="D1708" s="62" t="n"/>
      <c r="E1708" s="62" t="n"/>
      <c r="F1708" s="62" t="n"/>
      <c r="G1708" s="62" t="n"/>
      <c r="H1708" s="62" t="n"/>
      <c r="I1708" s="62" t="n"/>
      <c r="J1708" s="62" t="n"/>
      <c r="K1708" s="62" t="n"/>
      <c r="L1708" s="64" t="n"/>
      <c r="M1708" s="64" t="n"/>
      <c r="N1708" s="62" t="n"/>
      <c r="O1708" s="65">
        <f>IF(Z1708=1,L1708-W1708,"")</f>
        <v/>
      </c>
      <c r="P1708" s="66">
        <f>IF(V1708="","",IFERROR(INDEX(coa_Type,MATCH(V1708,coa_Name,0)),""))</f>
        <v/>
      </c>
      <c r="Q1708" s="66">
        <f>IF(Z1708=1,IF(U1708="In",K1708&amp;"",V1708),"")</f>
        <v/>
      </c>
      <c r="R1708" s="66">
        <f>IF(Z1708=1,IF(U1708="In",V1708,K1708&amp;""),"")</f>
        <v/>
      </c>
      <c r="S1708" s="66">
        <f>IF(X1708&lt;&gt;"","⛔ "&amp;X1708&amp;" — not posted",IF(Y1708&lt;&gt;"","⚠ "&amp;Y1708,IF(Z1708=1,"✓ OK","")))</f>
        <v/>
      </c>
      <c r="T1708" s="67">
        <f>IF(AND(C1708="",D1708="",E1708="",L1708="",K1708=""),1,0)</f>
        <v/>
      </c>
      <c r="U1708" s="67">
        <f>IFERROR(INDEX(tt_Dir,MATCH(D1708,tt_Type,0)),"")</f>
        <v/>
      </c>
      <c r="V1708" s="67">
        <f>IF(D1708="","",IFERROR(IF(INDEX(tt_Other,MATCH(D1708,tt_Type,0))="",E1708&amp;"",INDEX(tt_Other,MATCH(D1708,tt_Type,0))),""))</f>
        <v/>
      </c>
      <c r="W1708" s="68">
        <f>IF(OR(TaxOn&lt;&gt;"Yes",NOT(ISNUMBER(M1708))),0,IF(IFERROR(INDEX(tt_Tax,MATCH(D1708,tt_Type,0)),"No")="Yes",M1708,0))</f>
        <v/>
      </c>
      <c r="X1708" s="67">
        <f>IF(T1708=1,"",IF(C1708="","Missing transaction date",IF(NOT(ISNUMBER(C1708)),"Invalid date",IF(OR(C1708&lt;DATE(2000,1,1),C1708&gt;DATE(2099,12,31)),"Invalid date",IF(D1708="","Select a type",IF(U1708="","Unknown type: "&amp;D1708,IF(V1708="","Select an account (Category)",IF(ISNA(MATCH(V1708,coa_Name,0)),"Unknown account: "&amp;V1708,IF(K1708="","Select Paid From / Deposited To",IF(ISNA(MATCH(K1708,coa_Name,0)),"Unknown account: "&amp;K1708,IF(NOT(ISNUMBER(L1708)),"Enter an amount",IF(L1708=0,"Enter an amount",IF(ABS(W1708)&gt;ABS(L1708),"Tax is larger than the amount","")))))))))))))</f>
        <v/>
      </c>
      <c r="Y1708" s="67">
        <f>IF(OR(T1708=1,X1708&lt;&gt;""),"",IF(AND(B1708&lt;&gt;"",COUNTIF(tx_ID,B1708)&gt;1),"Duplicate transaction ID",IF(AND(L1708&lt;0,D1708&lt;&gt;"Adjustment"),"Negative amount — check this entry",IF(AND(D1708="Customer Payment",G1708=""),"Add the customer",IF(AND(D1708="Customer Payment",OR(J1708="",COUNTIF(ar_No,J1708&amp;"")=0)),"Invoice # in Reference not found on AR sheet",IF(AND(D1708="Bill Payment",H1708=""),"Add the vendor",IF(AND(D1708="Bill Payment",OR(J1708="",COUNTIFS(ap_No,J1708&amp;"",ap_Party,H1708&amp;"")=0)),"Bill # + vendor not found on AP sheet",IF(AND(ISNUMBER(M1708),N(M1708)&lt;&gt;0,W1708=0),"Tax ignored (tax tracking off, or not allowed for this type)",IF(V1708=K1708&amp;"","Same account on both sides",IF(AND(ISNUMBER(StartDate),C1708&lt;StartDate),"Date is before the accounting start date",IF(AND(D1708&lt;&gt;"Adjustment",IFERROR(INDEX(coa_Pay,MATCH(K1708&amp;"",coa_Name,0)),"")&lt;&gt;"Yes"),"Paid From / Deposited To is not a payment account","")))))))))))</f>
        <v/>
      </c>
      <c r="Z1708" s="67">
        <f>IF(AND(T1708=0,X1708=""),1,0)</f>
        <v/>
      </c>
      <c r="AA1708" s="68">
        <f>IF(Z1708=1,IF(U1708="In",L1708,L1708-W1708),0)</f>
        <v/>
      </c>
      <c r="AB1708" s="68">
        <f>IF(Z1708=1,IF(U1708="In",L1708-W1708,L1708),0)</f>
        <v/>
      </c>
      <c r="AC1708" s="68">
        <f>IF(AND(Z1708=1,U1708="Out"),W1708,0)</f>
        <v/>
      </c>
      <c r="AD1708" s="68">
        <f>IF(AND(Z1708=1,U1708="In"),W1708,0)</f>
        <v/>
      </c>
    </row>
    <row r="1709">
      <c r="B1709" s="62" t="inlineStr">
        <is>
          <t>TX-1703</t>
        </is>
      </c>
      <c r="C1709" s="63" t="n"/>
      <c r="D1709" s="62" t="n"/>
      <c r="E1709" s="62" t="n"/>
      <c r="F1709" s="62" t="n"/>
      <c r="G1709" s="62" t="n"/>
      <c r="H1709" s="62" t="n"/>
      <c r="I1709" s="62" t="n"/>
      <c r="J1709" s="62" t="n"/>
      <c r="K1709" s="62" t="n"/>
      <c r="L1709" s="64" t="n"/>
      <c r="M1709" s="64" t="n"/>
      <c r="N1709" s="62" t="n"/>
      <c r="O1709" s="65">
        <f>IF(Z1709=1,L1709-W1709,"")</f>
        <v/>
      </c>
      <c r="P1709" s="66">
        <f>IF(V1709="","",IFERROR(INDEX(coa_Type,MATCH(V1709,coa_Name,0)),""))</f>
        <v/>
      </c>
      <c r="Q1709" s="66">
        <f>IF(Z1709=1,IF(U1709="In",K1709&amp;"",V1709),"")</f>
        <v/>
      </c>
      <c r="R1709" s="66">
        <f>IF(Z1709=1,IF(U1709="In",V1709,K1709&amp;""),"")</f>
        <v/>
      </c>
      <c r="S1709" s="66">
        <f>IF(X1709&lt;&gt;"","⛔ "&amp;X1709&amp;" — not posted",IF(Y1709&lt;&gt;"","⚠ "&amp;Y1709,IF(Z1709=1,"✓ OK","")))</f>
        <v/>
      </c>
      <c r="T1709" s="67">
        <f>IF(AND(C1709="",D1709="",E1709="",L1709="",K1709=""),1,0)</f>
        <v/>
      </c>
      <c r="U1709" s="67">
        <f>IFERROR(INDEX(tt_Dir,MATCH(D1709,tt_Type,0)),"")</f>
        <v/>
      </c>
      <c r="V1709" s="67">
        <f>IF(D1709="","",IFERROR(IF(INDEX(tt_Other,MATCH(D1709,tt_Type,0))="",E1709&amp;"",INDEX(tt_Other,MATCH(D1709,tt_Type,0))),""))</f>
        <v/>
      </c>
      <c r="W1709" s="68">
        <f>IF(OR(TaxOn&lt;&gt;"Yes",NOT(ISNUMBER(M1709))),0,IF(IFERROR(INDEX(tt_Tax,MATCH(D1709,tt_Type,0)),"No")="Yes",M1709,0))</f>
        <v/>
      </c>
      <c r="X1709" s="67">
        <f>IF(T1709=1,"",IF(C1709="","Missing transaction date",IF(NOT(ISNUMBER(C1709)),"Invalid date",IF(OR(C1709&lt;DATE(2000,1,1),C1709&gt;DATE(2099,12,31)),"Invalid date",IF(D1709="","Select a type",IF(U1709="","Unknown type: "&amp;D1709,IF(V1709="","Select an account (Category)",IF(ISNA(MATCH(V1709,coa_Name,0)),"Unknown account: "&amp;V1709,IF(K1709="","Select Paid From / Deposited To",IF(ISNA(MATCH(K1709,coa_Name,0)),"Unknown account: "&amp;K1709,IF(NOT(ISNUMBER(L1709)),"Enter an amount",IF(L1709=0,"Enter an amount",IF(ABS(W1709)&gt;ABS(L1709),"Tax is larger than the amount","")))))))))))))</f>
        <v/>
      </c>
      <c r="Y1709" s="67">
        <f>IF(OR(T1709=1,X1709&lt;&gt;""),"",IF(AND(B1709&lt;&gt;"",COUNTIF(tx_ID,B1709)&gt;1),"Duplicate transaction ID",IF(AND(L1709&lt;0,D1709&lt;&gt;"Adjustment"),"Negative amount — check this entry",IF(AND(D1709="Customer Payment",G1709=""),"Add the customer",IF(AND(D1709="Customer Payment",OR(J1709="",COUNTIF(ar_No,J1709&amp;"")=0)),"Invoice # in Reference not found on AR sheet",IF(AND(D1709="Bill Payment",H1709=""),"Add the vendor",IF(AND(D1709="Bill Payment",OR(J1709="",COUNTIFS(ap_No,J1709&amp;"",ap_Party,H1709&amp;"")=0)),"Bill # + vendor not found on AP sheet",IF(AND(ISNUMBER(M1709),N(M1709)&lt;&gt;0,W1709=0),"Tax ignored (tax tracking off, or not allowed for this type)",IF(V1709=K1709&amp;"","Same account on both sides",IF(AND(ISNUMBER(StartDate),C1709&lt;StartDate),"Date is before the accounting start date",IF(AND(D1709&lt;&gt;"Adjustment",IFERROR(INDEX(coa_Pay,MATCH(K1709&amp;"",coa_Name,0)),"")&lt;&gt;"Yes"),"Paid From / Deposited To is not a payment account","")))))))))))</f>
        <v/>
      </c>
      <c r="Z1709" s="67">
        <f>IF(AND(T1709=0,X1709=""),1,0)</f>
        <v/>
      </c>
      <c r="AA1709" s="68">
        <f>IF(Z1709=1,IF(U1709="In",L1709,L1709-W1709),0)</f>
        <v/>
      </c>
      <c r="AB1709" s="68">
        <f>IF(Z1709=1,IF(U1709="In",L1709-W1709,L1709),0)</f>
        <v/>
      </c>
      <c r="AC1709" s="68">
        <f>IF(AND(Z1709=1,U1709="Out"),W1709,0)</f>
        <v/>
      </c>
      <c r="AD1709" s="68">
        <f>IF(AND(Z1709=1,U1709="In"),W1709,0)</f>
        <v/>
      </c>
    </row>
    <row r="1710">
      <c r="B1710" s="62" t="inlineStr">
        <is>
          <t>TX-1704</t>
        </is>
      </c>
      <c r="C1710" s="63" t="n"/>
      <c r="D1710" s="62" t="n"/>
      <c r="E1710" s="62" t="n"/>
      <c r="F1710" s="62" t="n"/>
      <c r="G1710" s="62" t="n"/>
      <c r="H1710" s="62" t="n"/>
      <c r="I1710" s="62" t="n"/>
      <c r="J1710" s="62" t="n"/>
      <c r="K1710" s="62" t="n"/>
      <c r="L1710" s="64" t="n"/>
      <c r="M1710" s="64" t="n"/>
      <c r="N1710" s="62" t="n"/>
      <c r="O1710" s="65">
        <f>IF(Z1710=1,L1710-W1710,"")</f>
        <v/>
      </c>
      <c r="P1710" s="66">
        <f>IF(V1710="","",IFERROR(INDEX(coa_Type,MATCH(V1710,coa_Name,0)),""))</f>
        <v/>
      </c>
      <c r="Q1710" s="66">
        <f>IF(Z1710=1,IF(U1710="In",K1710&amp;"",V1710),"")</f>
        <v/>
      </c>
      <c r="R1710" s="66">
        <f>IF(Z1710=1,IF(U1710="In",V1710,K1710&amp;""),"")</f>
        <v/>
      </c>
      <c r="S1710" s="66">
        <f>IF(X1710&lt;&gt;"","⛔ "&amp;X1710&amp;" — not posted",IF(Y1710&lt;&gt;"","⚠ "&amp;Y1710,IF(Z1710=1,"✓ OK","")))</f>
        <v/>
      </c>
      <c r="T1710" s="67">
        <f>IF(AND(C1710="",D1710="",E1710="",L1710="",K1710=""),1,0)</f>
        <v/>
      </c>
      <c r="U1710" s="67">
        <f>IFERROR(INDEX(tt_Dir,MATCH(D1710,tt_Type,0)),"")</f>
        <v/>
      </c>
      <c r="V1710" s="67">
        <f>IF(D1710="","",IFERROR(IF(INDEX(tt_Other,MATCH(D1710,tt_Type,0))="",E1710&amp;"",INDEX(tt_Other,MATCH(D1710,tt_Type,0))),""))</f>
        <v/>
      </c>
      <c r="W1710" s="68">
        <f>IF(OR(TaxOn&lt;&gt;"Yes",NOT(ISNUMBER(M1710))),0,IF(IFERROR(INDEX(tt_Tax,MATCH(D1710,tt_Type,0)),"No")="Yes",M1710,0))</f>
        <v/>
      </c>
      <c r="X1710" s="67">
        <f>IF(T1710=1,"",IF(C1710="","Missing transaction date",IF(NOT(ISNUMBER(C1710)),"Invalid date",IF(OR(C1710&lt;DATE(2000,1,1),C1710&gt;DATE(2099,12,31)),"Invalid date",IF(D1710="","Select a type",IF(U1710="","Unknown type: "&amp;D1710,IF(V1710="","Select an account (Category)",IF(ISNA(MATCH(V1710,coa_Name,0)),"Unknown account: "&amp;V1710,IF(K1710="","Select Paid From / Deposited To",IF(ISNA(MATCH(K1710,coa_Name,0)),"Unknown account: "&amp;K1710,IF(NOT(ISNUMBER(L1710)),"Enter an amount",IF(L1710=0,"Enter an amount",IF(ABS(W1710)&gt;ABS(L1710),"Tax is larger than the amount","")))))))))))))</f>
        <v/>
      </c>
      <c r="Y1710" s="67">
        <f>IF(OR(T1710=1,X1710&lt;&gt;""),"",IF(AND(B1710&lt;&gt;"",COUNTIF(tx_ID,B1710)&gt;1),"Duplicate transaction ID",IF(AND(L1710&lt;0,D1710&lt;&gt;"Adjustment"),"Negative amount — check this entry",IF(AND(D1710="Customer Payment",G1710=""),"Add the customer",IF(AND(D1710="Customer Payment",OR(J1710="",COUNTIF(ar_No,J1710&amp;"")=0)),"Invoice # in Reference not found on AR sheet",IF(AND(D1710="Bill Payment",H1710=""),"Add the vendor",IF(AND(D1710="Bill Payment",OR(J1710="",COUNTIFS(ap_No,J1710&amp;"",ap_Party,H1710&amp;"")=0)),"Bill # + vendor not found on AP sheet",IF(AND(ISNUMBER(M1710),N(M1710)&lt;&gt;0,W1710=0),"Tax ignored (tax tracking off, or not allowed for this type)",IF(V1710=K1710&amp;"","Same account on both sides",IF(AND(ISNUMBER(StartDate),C1710&lt;StartDate),"Date is before the accounting start date",IF(AND(D1710&lt;&gt;"Adjustment",IFERROR(INDEX(coa_Pay,MATCH(K1710&amp;"",coa_Name,0)),"")&lt;&gt;"Yes"),"Paid From / Deposited To is not a payment account","")))))))))))</f>
        <v/>
      </c>
      <c r="Z1710" s="67">
        <f>IF(AND(T1710=0,X1710=""),1,0)</f>
        <v/>
      </c>
      <c r="AA1710" s="68">
        <f>IF(Z1710=1,IF(U1710="In",L1710,L1710-W1710),0)</f>
        <v/>
      </c>
      <c r="AB1710" s="68">
        <f>IF(Z1710=1,IF(U1710="In",L1710-W1710,L1710),0)</f>
        <v/>
      </c>
      <c r="AC1710" s="68">
        <f>IF(AND(Z1710=1,U1710="Out"),W1710,0)</f>
        <v/>
      </c>
      <c r="AD1710" s="68">
        <f>IF(AND(Z1710=1,U1710="In"),W1710,0)</f>
        <v/>
      </c>
    </row>
    <row r="1711">
      <c r="B1711" s="62" t="inlineStr">
        <is>
          <t>TX-1705</t>
        </is>
      </c>
      <c r="C1711" s="63" t="n"/>
      <c r="D1711" s="62" t="n"/>
      <c r="E1711" s="62" t="n"/>
      <c r="F1711" s="62" t="n"/>
      <c r="G1711" s="62" t="n"/>
      <c r="H1711" s="62" t="n"/>
      <c r="I1711" s="62" t="n"/>
      <c r="J1711" s="62" t="n"/>
      <c r="K1711" s="62" t="n"/>
      <c r="L1711" s="64" t="n"/>
      <c r="M1711" s="64" t="n"/>
      <c r="N1711" s="62" t="n"/>
      <c r="O1711" s="65">
        <f>IF(Z1711=1,L1711-W1711,"")</f>
        <v/>
      </c>
      <c r="P1711" s="66">
        <f>IF(V1711="","",IFERROR(INDEX(coa_Type,MATCH(V1711,coa_Name,0)),""))</f>
        <v/>
      </c>
      <c r="Q1711" s="66">
        <f>IF(Z1711=1,IF(U1711="In",K1711&amp;"",V1711),"")</f>
        <v/>
      </c>
      <c r="R1711" s="66">
        <f>IF(Z1711=1,IF(U1711="In",V1711,K1711&amp;""),"")</f>
        <v/>
      </c>
      <c r="S1711" s="66">
        <f>IF(X1711&lt;&gt;"","⛔ "&amp;X1711&amp;" — not posted",IF(Y1711&lt;&gt;"","⚠ "&amp;Y1711,IF(Z1711=1,"✓ OK","")))</f>
        <v/>
      </c>
      <c r="T1711" s="67">
        <f>IF(AND(C1711="",D1711="",E1711="",L1711="",K1711=""),1,0)</f>
        <v/>
      </c>
      <c r="U1711" s="67">
        <f>IFERROR(INDEX(tt_Dir,MATCH(D1711,tt_Type,0)),"")</f>
        <v/>
      </c>
      <c r="V1711" s="67">
        <f>IF(D1711="","",IFERROR(IF(INDEX(tt_Other,MATCH(D1711,tt_Type,0))="",E1711&amp;"",INDEX(tt_Other,MATCH(D1711,tt_Type,0))),""))</f>
        <v/>
      </c>
      <c r="W1711" s="68">
        <f>IF(OR(TaxOn&lt;&gt;"Yes",NOT(ISNUMBER(M1711))),0,IF(IFERROR(INDEX(tt_Tax,MATCH(D1711,tt_Type,0)),"No")="Yes",M1711,0))</f>
        <v/>
      </c>
      <c r="X1711" s="67">
        <f>IF(T1711=1,"",IF(C1711="","Missing transaction date",IF(NOT(ISNUMBER(C1711)),"Invalid date",IF(OR(C1711&lt;DATE(2000,1,1),C1711&gt;DATE(2099,12,31)),"Invalid date",IF(D1711="","Select a type",IF(U1711="","Unknown type: "&amp;D1711,IF(V1711="","Select an account (Category)",IF(ISNA(MATCH(V1711,coa_Name,0)),"Unknown account: "&amp;V1711,IF(K1711="","Select Paid From / Deposited To",IF(ISNA(MATCH(K1711,coa_Name,0)),"Unknown account: "&amp;K1711,IF(NOT(ISNUMBER(L1711)),"Enter an amount",IF(L1711=0,"Enter an amount",IF(ABS(W1711)&gt;ABS(L1711),"Tax is larger than the amount","")))))))))))))</f>
        <v/>
      </c>
      <c r="Y1711" s="67">
        <f>IF(OR(T1711=1,X1711&lt;&gt;""),"",IF(AND(B1711&lt;&gt;"",COUNTIF(tx_ID,B1711)&gt;1),"Duplicate transaction ID",IF(AND(L1711&lt;0,D1711&lt;&gt;"Adjustment"),"Negative amount — check this entry",IF(AND(D1711="Customer Payment",G1711=""),"Add the customer",IF(AND(D1711="Customer Payment",OR(J1711="",COUNTIF(ar_No,J1711&amp;"")=0)),"Invoice # in Reference not found on AR sheet",IF(AND(D1711="Bill Payment",H1711=""),"Add the vendor",IF(AND(D1711="Bill Payment",OR(J1711="",COUNTIFS(ap_No,J1711&amp;"",ap_Party,H1711&amp;"")=0)),"Bill # + vendor not found on AP sheet",IF(AND(ISNUMBER(M1711),N(M1711)&lt;&gt;0,W1711=0),"Tax ignored (tax tracking off, or not allowed for this type)",IF(V1711=K1711&amp;"","Same account on both sides",IF(AND(ISNUMBER(StartDate),C1711&lt;StartDate),"Date is before the accounting start date",IF(AND(D1711&lt;&gt;"Adjustment",IFERROR(INDEX(coa_Pay,MATCH(K1711&amp;"",coa_Name,0)),"")&lt;&gt;"Yes"),"Paid From / Deposited To is not a payment account","")))))))))))</f>
        <v/>
      </c>
      <c r="Z1711" s="67">
        <f>IF(AND(T1711=0,X1711=""),1,0)</f>
        <v/>
      </c>
      <c r="AA1711" s="68">
        <f>IF(Z1711=1,IF(U1711="In",L1711,L1711-W1711),0)</f>
        <v/>
      </c>
      <c r="AB1711" s="68">
        <f>IF(Z1711=1,IF(U1711="In",L1711-W1711,L1711),0)</f>
        <v/>
      </c>
      <c r="AC1711" s="68">
        <f>IF(AND(Z1711=1,U1711="Out"),W1711,0)</f>
        <v/>
      </c>
      <c r="AD1711" s="68">
        <f>IF(AND(Z1711=1,U1711="In"),W1711,0)</f>
        <v/>
      </c>
    </row>
    <row r="1712">
      <c r="B1712" s="62" t="inlineStr">
        <is>
          <t>TX-1706</t>
        </is>
      </c>
      <c r="C1712" s="63" t="n"/>
      <c r="D1712" s="62" t="n"/>
      <c r="E1712" s="62" t="n"/>
      <c r="F1712" s="62" t="n"/>
      <c r="G1712" s="62" t="n"/>
      <c r="H1712" s="62" t="n"/>
      <c r="I1712" s="62" t="n"/>
      <c r="J1712" s="62" t="n"/>
      <c r="K1712" s="62" t="n"/>
      <c r="L1712" s="64" t="n"/>
      <c r="M1712" s="64" t="n"/>
      <c r="N1712" s="62" t="n"/>
      <c r="O1712" s="65">
        <f>IF(Z1712=1,L1712-W1712,"")</f>
        <v/>
      </c>
      <c r="P1712" s="66">
        <f>IF(V1712="","",IFERROR(INDEX(coa_Type,MATCH(V1712,coa_Name,0)),""))</f>
        <v/>
      </c>
      <c r="Q1712" s="66">
        <f>IF(Z1712=1,IF(U1712="In",K1712&amp;"",V1712),"")</f>
        <v/>
      </c>
      <c r="R1712" s="66">
        <f>IF(Z1712=1,IF(U1712="In",V1712,K1712&amp;""),"")</f>
        <v/>
      </c>
      <c r="S1712" s="66">
        <f>IF(X1712&lt;&gt;"","⛔ "&amp;X1712&amp;" — not posted",IF(Y1712&lt;&gt;"","⚠ "&amp;Y1712,IF(Z1712=1,"✓ OK","")))</f>
        <v/>
      </c>
      <c r="T1712" s="67">
        <f>IF(AND(C1712="",D1712="",E1712="",L1712="",K1712=""),1,0)</f>
        <v/>
      </c>
      <c r="U1712" s="67">
        <f>IFERROR(INDEX(tt_Dir,MATCH(D1712,tt_Type,0)),"")</f>
        <v/>
      </c>
      <c r="V1712" s="67">
        <f>IF(D1712="","",IFERROR(IF(INDEX(tt_Other,MATCH(D1712,tt_Type,0))="",E1712&amp;"",INDEX(tt_Other,MATCH(D1712,tt_Type,0))),""))</f>
        <v/>
      </c>
      <c r="W1712" s="68">
        <f>IF(OR(TaxOn&lt;&gt;"Yes",NOT(ISNUMBER(M1712))),0,IF(IFERROR(INDEX(tt_Tax,MATCH(D1712,tt_Type,0)),"No")="Yes",M1712,0))</f>
        <v/>
      </c>
      <c r="X1712" s="67">
        <f>IF(T1712=1,"",IF(C1712="","Missing transaction date",IF(NOT(ISNUMBER(C1712)),"Invalid date",IF(OR(C1712&lt;DATE(2000,1,1),C1712&gt;DATE(2099,12,31)),"Invalid date",IF(D1712="","Select a type",IF(U1712="","Unknown type: "&amp;D1712,IF(V1712="","Select an account (Category)",IF(ISNA(MATCH(V1712,coa_Name,0)),"Unknown account: "&amp;V1712,IF(K1712="","Select Paid From / Deposited To",IF(ISNA(MATCH(K1712,coa_Name,0)),"Unknown account: "&amp;K1712,IF(NOT(ISNUMBER(L1712)),"Enter an amount",IF(L1712=0,"Enter an amount",IF(ABS(W1712)&gt;ABS(L1712),"Tax is larger than the amount","")))))))))))))</f>
        <v/>
      </c>
      <c r="Y1712" s="67">
        <f>IF(OR(T1712=1,X1712&lt;&gt;""),"",IF(AND(B1712&lt;&gt;"",COUNTIF(tx_ID,B1712)&gt;1),"Duplicate transaction ID",IF(AND(L1712&lt;0,D1712&lt;&gt;"Adjustment"),"Negative amount — check this entry",IF(AND(D1712="Customer Payment",G1712=""),"Add the customer",IF(AND(D1712="Customer Payment",OR(J1712="",COUNTIF(ar_No,J1712&amp;"")=0)),"Invoice # in Reference not found on AR sheet",IF(AND(D1712="Bill Payment",H1712=""),"Add the vendor",IF(AND(D1712="Bill Payment",OR(J1712="",COUNTIFS(ap_No,J1712&amp;"",ap_Party,H1712&amp;"")=0)),"Bill # + vendor not found on AP sheet",IF(AND(ISNUMBER(M1712),N(M1712)&lt;&gt;0,W1712=0),"Tax ignored (tax tracking off, or not allowed for this type)",IF(V1712=K1712&amp;"","Same account on both sides",IF(AND(ISNUMBER(StartDate),C1712&lt;StartDate),"Date is before the accounting start date",IF(AND(D1712&lt;&gt;"Adjustment",IFERROR(INDEX(coa_Pay,MATCH(K1712&amp;"",coa_Name,0)),"")&lt;&gt;"Yes"),"Paid From / Deposited To is not a payment account","")))))))))))</f>
        <v/>
      </c>
      <c r="Z1712" s="67">
        <f>IF(AND(T1712=0,X1712=""),1,0)</f>
        <v/>
      </c>
      <c r="AA1712" s="68">
        <f>IF(Z1712=1,IF(U1712="In",L1712,L1712-W1712),0)</f>
        <v/>
      </c>
      <c r="AB1712" s="68">
        <f>IF(Z1712=1,IF(U1712="In",L1712-W1712,L1712),0)</f>
        <v/>
      </c>
      <c r="AC1712" s="68">
        <f>IF(AND(Z1712=1,U1712="Out"),W1712,0)</f>
        <v/>
      </c>
      <c r="AD1712" s="68">
        <f>IF(AND(Z1712=1,U1712="In"),W1712,0)</f>
        <v/>
      </c>
    </row>
    <row r="1713">
      <c r="B1713" s="62" t="inlineStr">
        <is>
          <t>TX-1707</t>
        </is>
      </c>
      <c r="C1713" s="63" t="n"/>
      <c r="D1713" s="62" t="n"/>
      <c r="E1713" s="62" t="n"/>
      <c r="F1713" s="62" t="n"/>
      <c r="G1713" s="62" t="n"/>
      <c r="H1713" s="62" t="n"/>
      <c r="I1713" s="62" t="n"/>
      <c r="J1713" s="62" t="n"/>
      <c r="K1713" s="62" t="n"/>
      <c r="L1713" s="64" t="n"/>
      <c r="M1713" s="64" t="n"/>
      <c r="N1713" s="62" t="n"/>
      <c r="O1713" s="65">
        <f>IF(Z1713=1,L1713-W1713,"")</f>
        <v/>
      </c>
      <c r="P1713" s="66">
        <f>IF(V1713="","",IFERROR(INDEX(coa_Type,MATCH(V1713,coa_Name,0)),""))</f>
        <v/>
      </c>
      <c r="Q1713" s="66">
        <f>IF(Z1713=1,IF(U1713="In",K1713&amp;"",V1713),"")</f>
        <v/>
      </c>
      <c r="R1713" s="66">
        <f>IF(Z1713=1,IF(U1713="In",V1713,K1713&amp;""),"")</f>
        <v/>
      </c>
      <c r="S1713" s="66">
        <f>IF(X1713&lt;&gt;"","⛔ "&amp;X1713&amp;" — not posted",IF(Y1713&lt;&gt;"","⚠ "&amp;Y1713,IF(Z1713=1,"✓ OK","")))</f>
        <v/>
      </c>
      <c r="T1713" s="67">
        <f>IF(AND(C1713="",D1713="",E1713="",L1713="",K1713=""),1,0)</f>
        <v/>
      </c>
      <c r="U1713" s="67">
        <f>IFERROR(INDEX(tt_Dir,MATCH(D1713,tt_Type,0)),"")</f>
        <v/>
      </c>
      <c r="V1713" s="67">
        <f>IF(D1713="","",IFERROR(IF(INDEX(tt_Other,MATCH(D1713,tt_Type,0))="",E1713&amp;"",INDEX(tt_Other,MATCH(D1713,tt_Type,0))),""))</f>
        <v/>
      </c>
      <c r="W1713" s="68">
        <f>IF(OR(TaxOn&lt;&gt;"Yes",NOT(ISNUMBER(M1713))),0,IF(IFERROR(INDEX(tt_Tax,MATCH(D1713,tt_Type,0)),"No")="Yes",M1713,0))</f>
        <v/>
      </c>
      <c r="X1713" s="67">
        <f>IF(T1713=1,"",IF(C1713="","Missing transaction date",IF(NOT(ISNUMBER(C1713)),"Invalid date",IF(OR(C1713&lt;DATE(2000,1,1),C1713&gt;DATE(2099,12,31)),"Invalid date",IF(D1713="","Select a type",IF(U1713="","Unknown type: "&amp;D1713,IF(V1713="","Select an account (Category)",IF(ISNA(MATCH(V1713,coa_Name,0)),"Unknown account: "&amp;V1713,IF(K1713="","Select Paid From / Deposited To",IF(ISNA(MATCH(K1713,coa_Name,0)),"Unknown account: "&amp;K1713,IF(NOT(ISNUMBER(L1713)),"Enter an amount",IF(L1713=0,"Enter an amount",IF(ABS(W1713)&gt;ABS(L1713),"Tax is larger than the amount","")))))))))))))</f>
        <v/>
      </c>
      <c r="Y1713" s="67">
        <f>IF(OR(T1713=1,X1713&lt;&gt;""),"",IF(AND(B1713&lt;&gt;"",COUNTIF(tx_ID,B1713)&gt;1),"Duplicate transaction ID",IF(AND(L1713&lt;0,D1713&lt;&gt;"Adjustment"),"Negative amount — check this entry",IF(AND(D1713="Customer Payment",G1713=""),"Add the customer",IF(AND(D1713="Customer Payment",OR(J1713="",COUNTIF(ar_No,J1713&amp;"")=0)),"Invoice # in Reference not found on AR sheet",IF(AND(D1713="Bill Payment",H1713=""),"Add the vendor",IF(AND(D1713="Bill Payment",OR(J1713="",COUNTIFS(ap_No,J1713&amp;"",ap_Party,H1713&amp;"")=0)),"Bill # + vendor not found on AP sheet",IF(AND(ISNUMBER(M1713),N(M1713)&lt;&gt;0,W1713=0),"Tax ignored (tax tracking off, or not allowed for this type)",IF(V1713=K1713&amp;"","Same account on both sides",IF(AND(ISNUMBER(StartDate),C1713&lt;StartDate),"Date is before the accounting start date",IF(AND(D1713&lt;&gt;"Adjustment",IFERROR(INDEX(coa_Pay,MATCH(K1713&amp;"",coa_Name,0)),"")&lt;&gt;"Yes"),"Paid From / Deposited To is not a payment account","")))))))))))</f>
        <v/>
      </c>
      <c r="Z1713" s="67">
        <f>IF(AND(T1713=0,X1713=""),1,0)</f>
        <v/>
      </c>
      <c r="AA1713" s="68">
        <f>IF(Z1713=1,IF(U1713="In",L1713,L1713-W1713),0)</f>
        <v/>
      </c>
      <c r="AB1713" s="68">
        <f>IF(Z1713=1,IF(U1713="In",L1713-W1713,L1713),0)</f>
        <v/>
      </c>
      <c r="AC1713" s="68">
        <f>IF(AND(Z1713=1,U1713="Out"),W1713,0)</f>
        <v/>
      </c>
      <c r="AD1713" s="68">
        <f>IF(AND(Z1713=1,U1713="In"),W1713,0)</f>
        <v/>
      </c>
    </row>
    <row r="1714">
      <c r="B1714" s="62" t="inlineStr">
        <is>
          <t>TX-1708</t>
        </is>
      </c>
      <c r="C1714" s="63" t="n"/>
      <c r="D1714" s="62" t="n"/>
      <c r="E1714" s="62" t="n"/>
      <c r="F1714" s="62" t="n"/>
      <c r="G1714" s="62" t="n"/>
      <c r="H1714" s="62" t="n"/>
      <c r="I1714" s="62" t="n"/>
      <c r="J1714" s="62" t="n"/>
      <c r="K1714" s="62" t="n"/>
      <c r="L1714" s="64" t="n"/>
      <c r="M1714" s="64" t="n"/>
      <c r="N1714" s="62" t="n"/>
      <c r="O1714" s="65">
        <f>IF(Z1714=1,L1714-W1714,"")</f>
        <v/>
      </c>
      <c r="P1714" s="66">
        <f>IF(V1714="","",IFERROR(INDEX(coa_Type,MATCH(V1714,coa_Name,0)),""))</f>
        <v/>
      </c>
      <c r="Q1714" s="66">
        <f>IF(Z1714=1,IF(U1714="In",K1714&amp;"",V1714),"")</f>
        <v/>
      </c>
      <c r="R1714" s="66">
        <f>IF(Z1714=1,IF(U1714="In",V1714,K1714&amp;""),"")</f>
        <v/>
      </c>
      <c r="S1714" s="66">
        <f>IF(X1714&lt;&gt;"","⛔ "&amp;X1714&amp;" — not posted",IF(Y1714&lt;&gt;"","⚠ "&amp;Y1714,IF(Z1714=1,"✓ OK","")))</f>
        <v/>
      </c>
      <c r="T1714" s="67">
        <f>IF(AND(C1714="",D1714="",E1714="",L1714="",K1714=""),1,0)</f>
        <v/>
      </c>
      <c r="U1714" s="67">
        <f>IFERROR(INDEX(tt_Dir,MATCH(D1714,tt_Type,0)),"")</f>
        <v/>
      </c>
      <c r="V1714" s="67">
        <f>IF(D1714="","",IFERROR(IF(INDEX(tt_Other,MATCH(D1714,tt_Type,0))="",E1714&amp;"",INDEX(tt_Other,MATCH(D1714,tt_Type,0))),""))</f>
        <v/>
      </c>
      <c r="W1714" s="68">
        <f>IF(OR(TaxOn&lt;&gt;"Yes",NOT(ISNUMBER(M1714))),0,IF(IFERROR(INDEX(tt_Tax,MATCH(D1714,tt_Type,0)),"No")="Yes",M1714,0))</f>
        <v/>
      </c>
      <c r="X1714" s="67">
        <f>IF(T1714=1,"",IF(C1714="","Missing transaction date",IF(NOT(ISNUMBER(C1714)),"Invalid date",IF(OR(C1714&lt;DATE(2000,1,1),C1714&gt;DATE(2099,12,31)),"Invalid date",IF(D1714="","Select a type",IF(U1714="","Unknown type: "&amp;D1714,IF(V1714="","Select an account (Category)",IF(ISNA(MATCH(V1714,coa_Name,0)),"Unknown account: "&amp;V1714,IF(K1714="","Select Paid From / Deposited To",IF(ISNA(MATCH(K1714,coa_Name,0)),"Unknown account: "&amp;K1714,IF(NOT(ISNUMBER(L1714)),"Enter an amount",IF(L1714=0,"Enter an amount",IF(ABS(W1714)&gt;ABS(L1714),"Tax is larger than the amount","")))))))))))))</f>
        <v/>
      </c>
      <c r="Y1714" s="67">
        <f>IF(OR(T1714=1,X1714&lt;&gt;""),"",IF(AND(B1714&lt;&gt;"",COUNTIF(tx_ID,B1714)&gt;1),"Duplicate transaction ID",IF(AND(L1714&lt;0,D1714&lt;&gt;"Adjustment"),"Negative amount — check this entry",IF(AND(D1714="Customer Payment",G1714=""),"Add the customer",IF(AND(D1714="Customer Payment",OR(J1714="",COUNTIF(ar_No,J1714&amp;"")=0)),"Invoice # in Reference not found on AR sheet",IF(AND(D1714="Bill Payment",H1714=""),"Add the vendor",IF(AND(D1714="Bill Payment",OR(J1714="",COUNTIFS(ap_No,J1714&amp;"",ap_Party,H1714&amp;"")=0)),"Bill # + vendor not found on AP sheet",IF(AND(ISNUMBER(M1714),N(M1714)&lt;&gt;0,W1714=0),"Tax ignored (tax tracking off, or not allowed for this type)",IF(V1714=K1714&amp;"","Same account on both sides",IF(AND(ISNUMBER(StartDate),C1714&lt;StartDate),"Date is before the accounting start date",IF(AND(D1714&lt;&gt;"Adjustment",IFERROR(INDEX(coa_Pay,MATCH(K1714&amp;"",coa_Name,0)),"")&lt;&gt;"Yes"),"Paid From / Deposited To is not a payment account","")))))))))))</f>
        <v/>
      </c>
      <c r="Z1714" s="67">
        <f>IF(AND(T1714=0,X1714=""),1,0)</f>
        <v/>
      </c>
      <c r="AA1714" s="68">
        <f>IF(Z1714=1,IF(U1714="In",L1714,L1714-W1714),0)</f>
        <v/>
      </c>
      <c r="AB1714" s="68">
        <f>IF(Z1714=1,IF(U1714="In",L1714-W1714,L1714),0)</f>
        <v/>
      </c>
      <c r="AC1714" s="68">
        <f>IF(AND(Z1714=1,U1714="Out"),W1714,0)</f>
        <v/>
      </c>
      <c r="AD1714" s="68">
        <f>IF(AND(Z1714=1,U1714="In"),W1714,0)</f>
        <v/>
      </c>
    </row>
    <row r="1715">
      <c r="B1715" s="62" t="inlineStr">
        <is>
          <t>TX-1709</t>
        </is>
      </c>
      <c r="C1715" s="63" t="n"/>
      <c r="D1715" s="62" t="n"/>
      <c r="E1715" s="62" t="n"/>
      <c r="F1715" s="62" t="n"/>
      <c r="G1715" s="62" t="n"/>
      <c r="H1715" s="62" t="n"/>
      <c r="I1715" s="62" t="n"/>
      <c r="J1715" s="62" t="n"/>
      <c r="K1715" s="62" t="n"/>
      <c r="L1715" s="64" t="n"/>
      <c r="M1715" s="64" t="n"/>
      <c r="N1715" s="62" t="n"/>
      <c r="O1715" s="65">
        <f>IF(Z1715=1,L1715-W1715,"")</f>
        <v/>
      </c>
      <c r="P1715" s="66">
        <f>IF(V1715="","",IFERROR(INDEX(coa_Type,MATCH(V1715,coa_Name,0)),""))</f>
        <v/>
      </c>
      <c r="Q1715" s="66">
        <f>IF(Z1715=1,IF(U1715="In",K1715&amp;"",V1715),"")</f>
        <v/>
      </c>
      <c r="R1715" s="66">
        <f>IF(Z1715=1,IF(U1715="In",V1715,K1715&amp;""),"")</f>
        <v/>
      </c>
      <c r="S1715" s="66">
        <f>IF(X1715&lt;&gt;"","⛔ "&amp;X1715&amp;" — not posted",IF(Y1715&lt;&gt;"","⚠ "&amp;Y1715,IF(Z1715=1,"✓ OK","")))</f>
        <v/>
      </c>
      <c r="T1715" s="67">
        <f>IF(AND(C1715="",D1715="",E1715="",L1715="",K1715=""),1,0)</f>
        <v/>
      </c>
      <c r="U1715" s="67">
        <f>IFERROR(INDEX(tt_Dir,MATCH(D1715,tt_Type,0)),"")</f>
        <v/>
      </c>
      <c r="V1715" s="67">
        <f>IF(D1715="","",IFERROR(IF(INDEX(tt_Other,MATCH(D1715,tt_Type,0))="",E1715&amp;"",INDEX(tt_Other,MATCH(D1715,tt_Type,0))),""))</f>
        <v/>
      </c>
      <c r="W1715" s="68">
        <f>IF(OR(TaxOn&lt;&gt;"Yes",NOT(ISNUMBER(M1715))),0,IF(IFERROR(INDEX(tt_Tax,MATCH(D1715,tt_Type,0)),"No")="Yes",M1715,0))</f>
        <v/>
      </c>
      <c r="X1715" s="67">
        <f>IF(T1715=1,"",IF(C1715="","Missing transaction date",IF(NOT(ISNUMBER(C1715)),"Invalid date",IF(OR(C1715&lt;DATE(2000,1,1),C1715&gt;DATE(2099,12,31)),"Invalid date",IF(D1715="","Select a type",IF(U1715="","Unknown type: "&amp;D1715,IF(V1715="","Select an account (Category)",IF(ISNA(MATCH(V1715,coa_Name,0)),"Unknown account: "&amp;V1715,IF(K1715="","Select Paid From / Deposited To",IF(ISNA(MATCH(K1715,coa_Name,0)),"Unknown account: "&amp;K1715,IF(NOT(ISNUMBER(L1715)),"Enter an amount",IF(L1715=0,"Enter an amount",IF(ABS(W1715)&gt;ABS(L1715),"Tax is larger than the amount","")))))))))))))</f>
        <v/>
      </c>
      <c r="Y1715" s="67">
        <f>IF(OR(T1715=1,X1715&lt;&gt;""),"",IF(AND(B1715&lt;&gt;"",COUNTIF(tx_ID,B1715)&gt;1),"Duplicate transaction ID",IF(AND(L1715&lt;0,D1715&lt;&gt;"Adjustment"),"Negative amount — check this entry",IF(AND(D1715="Customer Payment",G1715=""),"Add the customer",IF(AND(D1715="Customer Payment",OR(J1715="",COUNTIF(ar_No,J1715&amp;"")=0)),"Invoice # in Reference not found on AR sheet",IF(AND(D1715="Bill Payment",H1715=""),"Add the vendor",IF(AND(D1715="Bill Payment",OR(J1715="",COUNTIFS(ap_No,J1715&amp;"",ap_Party,H1715&amp;"")=0)),"Bill # + vendor not found on AP sheet",IF(AND(ISNUMBER(M1715),N(M1715)&lt;&gt;0,W1715=0),"Tax ignored (tax tracking off, or not allowed for this type)",IF(V1715=K1715&amp;"","Same account on both sides",IF(AND(ISNUMBER(StartDate),C1715&lt;StartDate),"Date is before the accounting start date",IF(AND(D1715&lt;&gt;"Adjustment",IFERROR(INDEX(coa_Pay,MATCH(K1715&amp;"",coa_Name,0)),"")&lt;&gt;"Yes"),"Paid From / Deposited To is not a payment account","")))))))))))</f>
        <v/>
      </c>
      <c r="Z1715" s="67">
        <f>IF(AND(T1715=0,X1715=""),1,0)</f>
        <v/>
      </c>
      <c r="AA1715" s="68">
        <f>IF(Z1715=1,IF(U1715="In",L1715,L1715-W1715),0)</f>
        <v/>
      </c>
      <c r="AB1715" s="68">
        <f>IF(Z1715=1,IF(U1715="In",L1715-W1715,L1715),0)</f>
        <v/>
      </c>
      <c r="AC1715" s="68">
        <f>IF(AND(Z1715=1,U1715="Out"),W1715,0)</f>
        <v/>
      </c>
      <c r="AD1715" s="68">
        <f>IF(AND(Z1715=1,U1715="In"),W1715,0)</f>
        <v/>
      </c>
    </row>
    <row r="1716">
      <c r="B1716" s="62" t="inlineStr">
        <is>
          <t>TX-1710</t>
        </is>
      </c>
      <c r="C1716" s="63" t="n"/>
      <c r="D1716" s="62" t="n"/>
      <c r="E1716" s="62" t="n"/>
      <c r="F1716" s="62" t="n"/>
      <c r="G1716" s="62" t="n"/>
      <c r="H1716" s="62" t="n"/>
      <c r="I1716" s="62" t="n"/>
      <c r="J1716" s="62" t="n"/>
      <c r="K1716" s="62" t="n"/>
      <c r="L1716" s="64" t="n"/>
      <c r="M1716" s="64" t="n"/>
      <c r="N1716" s="62" t="n"/>
      <c r="O1716" s="65">
        <f>IF(Z1716=1,L1716-W1716,"")</f>
        <v/>
      </c>
      <c r="P1716" s="66">
        <f>IF(V1716="","",IFERROR(INDEX(coa_Type,MATCH(V1716,coa_Name,0)),""))</f>
        <v/>
      </c>
      <c r="Q1716" s="66">
        <f>IF(Z1716=1,IF(U1716="In",K1716&amp;"",V1716),"")</f>
        <v/>
      </c>
      <c r="R1716" s="66">
        <f>IF(Z1716=1,IF(U1716="In",V1716,K1716&amp;""),"")</f>
        <v/>
      </c>
      <c r="S1716" s="66">
        <f>IF(X1716&lt;&gt;"","⛔ "&amp;X1716&amp;" — not posted",IF(Y1716&lt;&gt;"","⚠ "&amp;Y1716,IF(Z1716=1,"✓ OK","")))</f>
        <v/>
      </c>
      <c r="T1716" s="67">
        <f>IF(AND(C1716="",D1716="",E1716="",L1716="",K1716=""),1,0)</f>
        <v/>
      </c>
      <c r="U1716" s="67">
        <f>IFERROR(INDEX(tt_Dir,MATCH(D1716,tt_Type,0)),"")</f>
        <v/>
      </c>
      <c r="V1716" s="67">
        <f>IF(D1716="","",IFERROR(IF(INDEX(tt_Other,MATCH(D1716,tt_Type,0))="",E1716&amp;"",INDEX(tt_Other,MATCH(D1716,tt_Type,0))),""))</f>
        <v/>
      </c>
      <c r="W1716" s="68">
        <f>IF(OR(TaxOn&lt;&gt;"Yes",NOT(ISNUMBER(M1716))),0,IF(IFERROR(INDEX(tt_Tax,MATCH(D1716,tt_Type,0)),"No")="Yes",M1716,0))</f>
        <v/>
      </c>
      <c r="X1716" s="67">
        <f>IF(T1716=1,"",IF(C1716="","Missing transaction date",IF(NOT(ISNUMBER(C1716)),"Invalid date",IF(OR(C1716&lt;DATE(2000,1,1),C1716&gt;DATE(2099,12,31)),"Invalid date",IF(D1716="","Select a type",IF(U1716="","Unknown type: "&amp;D1716,IF(V1716="","Select an account (Category)",IF(ISNA(MATCH(V1716,coa_Name,0)),"Unknown account: "&amp;V1716,IF(K1716="","Select Paid From / Deposited To",IF(ISNA(MATCH(K1716,coa_Name,0)),"Unknown account: "&amp;K1716,IF(NOT(ISNUMBER(L1716)),"Enter an amount",IF(L1716=0,"Enter an amount",IF(ABS(W1716)&gt;ABS(L1716),"Tax is larger than the amount","")))))))))))))</f>
        <v/>
      </c>
      <c r="Y1716" s="67">
        <f>IF(OR(T1716=1,X1716&lt;&gt;""),"",IF(AND(B1716&lt;&gt;"",COUNTIF(tx_ID,B1716)&gt;1),"Duplicate transaction ID",IF(AND(L1716&lt;0,D1716&lt;&gt;"Adjustment"),"Negative amount — check this entry",IF(AND(D1716="Customer Payment",G1716=""),"Add the customer",IF(AND(D1716="Customer Payment",OR(J1716="",COUNTIF(ar_No,J1716&amp;"")=0)),"Invoice # in Reference not found on AR sheet",IF(AND(D1716="Bill Payment",H1716=""),"Add the vendor",IF(AND(D1716="Bill Payment",OR(J1716="",COUNTIFS(ap_No,J1716&amp;"",ap_Party,H1716&amp;"")=0)),"Bill # + vendor not found on AP sheet",IF(AND(ISNUMBER(M1716),N(M1716)&lt;&gt;0,W1716=0),"Tax ignored (tax tracking off, or not allowed for this type)",IF(V1716=K1716&amp;"","Same account on both sides",IF(AND(ISNUMBER(StartDate),C1716&lt;StartDate),"Date is before the accounting start date",IF(AND(D1716&lt;&gt;"Adjustment",IFERROR(INDEX(coa_Pay,MATCH(K1716&amp;"",coa_Name,0)),"")&lt;&gt;"Yes"),"Paid From / Deposited To is not a payment account","")))))))))))</f>
        <v/>
      </c>
      <c r="Z1716" s="67">
        <f>IF(AND(T1716=0,X1716=""),1,0)</f>
        <v/>
      </c>
      <c r="AA1716" s="68">
        <f>IF(Z1716=1,IF(U1716="In",L1716,L1716-W1716),0)</f>
        <v/>
      </c>
      <c r="AB1716" s="68">
        <f>IF(Z1716=1,IF(U1716="In",L1716-W1716,L1716),0)</f>
        <v/>
      </c>
      <c r="AC1716" s="68">
        <f>IF(AND(Z1716=1,U1716="Out"),W1716,0)</f>
        <v/>
      </c>
      <c r="AD1716" s="68">
        <f>IF(AND(Z1716=1,U1716="In"),W1716,0)</f>
        <v/>
      </c>
    </row>
    <row r="1717">
      <c r="B1717" s="62" t="inlineStr">
        <is>
          <t>TX-1711</t>
        </is>
      </c>
      <c r="C1717" s="63" t="n"/>
      <c r="D1717" s="62" t="n"/>
      <c r="E1717" s="62" t="n"/>
      <c r="F1717" s="62" t="n"/>
      <c r="G1717" s="62" t="n"/>
      <c r="H1717" s="62" t="n"/>
      <c r="I1717" s="62" t="n"/>
      <c r="J1717" s="62" t="n"/>
      <c r="K1717" s="62" t="n"/>
      <c r="L1717" s="64" t="n"/>
      <c r="M1717" s="64" t="n"/>
      <c r="N1717" s="62" t="n"/>
      <c r="O1717" s="65">
        <f>IF(Z1717=1,L1717-W1717,"")</f>
        <v/>
      </c>
      <c r="P1717" s="66">
        <f>IF(V1717="","",IFERROR(INDEX(coa_Type,MATCH(V1717,coa_Name,0)),""))</f>
        <v/>
      </c>
      <c r="Q1717" s="66">
        <f>IF(Z1717=1,IF(U1717="In",K1717&amp;"",V1717),"")</f>
        <v/>
      </c>
      <c r="R1717" s="66">
        <f>IF(Z1717=1,IF(U1717="In",V1717,K1717&amp;""),"")</f>
        <v/>
      </c>
      <c r="S1717" s="66">
        <f>IF(X1717&lt;&gt;"","⛔ "&amp;X1717&amp;" — not posted",IF(Y1717&lt;&gt;"","⚠ "&amp;Y1717,IF(Z1717=1,"✓ OK","")))</f>
        <v/>
      </c>
      <c r="T1717" s="67">
        <f>IF(AND(C1717="",D1717="",E1717="",L1717="",K1717=""),1,0)</f>
        <v/>
      </c>
      <c r="U1717" s="67">
        <f>IFERROR(INDEX(tt_Dir,MATCH(D1717,tt_Type,0)),"")</f>
        <v/>
      </c>
      <c r="V1717" s="67">
        <f>IF(D1717="","",IFERROR(IF(INDEX(tt_Other,MATCH(D1717,tt_Type,0))="",E1717&amp;"",INDEX(tt_Other,MATCH(D1717,tt_Type,0))),""))</f>
        <v/>
      </c>
      <c r="W1717" s="68">
        <f>IF(OR(TaxOn&lt;&gt;"Yes",NOT(ISNUMBER(M1717))),0,IF(IFERROR(INDEX(tt_Tax,MATCH(D1717,tt_Type,0)),"No")="Yes",M1717,0))</f>
        <v/>
      </c>
      <c r="X1717" s="67">
        <f>IF(T1717=1,"",IF(C1717="","Missing transaction date",IF(NOT(ISNUMBER(C1717)),"Invalid date",IF(OR(C1717&lt;DATE(2000,1,1),C1717&gt;DATE(2099,12,31)),"Invalid date",IF(D1717="","Select a type",IF(U1717="","Unknown type: "&amp;D1717,IF(V1717="","Select an account (Category)",IF(ISNA(MATCH(V1717,coa_Name,0)),"Unknown account: "&amp;V1717,IF(K1717="","Select Paid From / Deposited To",IF(ISNA(MATCH(K1717,coa_Name,0)),"Unknown account: "&amp;K1717,IF(NOT(ISNUMBER(L1717)),"Enter an amount",IF(L1717=0,"Enter an amount",IF(ABS(W1717)&gt;ABS(L1717),"Tax is larger than the amount","")))))))))))))</f>
        <v/>
      </c>
      <c r="Y1717" s="67">
        <f>IF(OR(T1717=1,X1717&lt;&gt;""),"",IF(AND(B1717&lt;&gt;"",COUNTIF(tx_ID,B1717)&gt;1),"Duplicate transaction ID",IF(AND(L1717&lt;0,D1717&lt;&gt;"Adjustment"),"Negative amount — check this entry",IF(AND(D1717="Customer Payment",G1717=""),"Add the customer",IF(AND(D1717="Customer Payment",OR(J1717="",COUNTIF(ar_No,J1717&amp;"")=0)),"Invoice # in Reference not found on AR sheet",IF(AND(D1717="Bill Payment",H1717=""),"Add the vendor",IF(AND(D1717="Bill Payment",OR(J1717="",COUNTIFS(ap_No,J1717&amp;"",ap_Party,H1717&amp;"")=0)),"Bill # + vendor not found on AP sheet",IF(AND(ISNUMBER(M1717),N(M1717)&lt;&gt;0,W1717=0),"Tax ignored (tax tracking off, or not allowed for this type)",IF(V1717=K1717&amp;"","Same account on both sides",IF(AND(ISNUMBER(StartDate),C1717&lt;StartDate),"Date is before the accounting start date",IF(AND(D1717&lt;&gt;"Adjustment",IFERROR(INDEX(coa_Pay,MATCH(K1717&amp;"",coa_Name,0)),"")&lt;&gt;"Yes"),"Paid From / Deposited To is not a payment account","")))))))))))</f>
        <v/>
      </c>
      <c r="Z1717" s="67">
        <f>IF(AND(T1717=0,X1717=""),1,0)</f>
        <v/>
      </c>
      <c r="AA1717" s="68">
        <f>IF(Z1717=1,IF(U1717="In",L1717,L1717-W1717),0)</f>
        <v/>
      </c>
      <c r="AB1717" s="68">
        <f>IF(Z1717=1,IF(U1717="In",L1717-W1717,L1717),0)</f>
        <v/>
      </c>
      <c r="AC1717" s="68">
        <f>IF(AND(Z1717=1,U1717="Out"),W1717,0)</f>
        <v/>
      </c>
      <c r="AD1717" s="68">
        <f>IF(AND(Z1717=1,U1717="In"),W1717,0)</f>
        <v/>
      </c>
    </row>
    <row r="1718">
      <c r="B1718" s="62" t="inlineStr">
        <is>
          <t>TX-1712</t>
        </is>
      </c>
      <c r="C1718" s="63" t="n"/>
      <c r="D1718" s="62" t="n"/>
      <c r="E1718" s="62" t="n"/>
      <c r="F1718" s="62" t="n"/>
      <c r="G1718" s="62" t="n"/>
      <c r="H1718" s="62" t="n"/>
      <c r="I1718" s="62" t="n"/>
      <c r="J1718" s="62" t="n"/>
      <c r="K1718" s="62" t="n"/>
      <c r="L1718" s="64" t="n"/>
      <c r="M1718" s="64" t="n"/>
      <c r="N1718" s="62" t="n"/>
      <c r="O1718" s="65">
        <f>IF(Z1718=1,L1718-W1718,"")</f>
        <v/>
      </c>
      <c r="P1718" s="66">
        <f>IF(V1718="","",IFERROR(INDEX(coa_Type,MATCH(V1718,coa_Name,0)),""))</f>
        <v/>
      </c>
      <c r="Q1718" s="66">
        <f>IF(Z1718=1,IF(U1718="In",K1718&amp;"",V1718),"")</f>
        <v/>
      </c>
      <c r="R1718" s="66">
        <f>IF(Z1718=1,IF(U1718="In",V1718,K1718&amp;""),"")</f>
        <v/>
      </c>
      <c r="S1718" s="66">
        <f>IF(X1718&lt;&gt;"","⛔ "&amp;X1718&amp;" — not posted",IF(Y1718&lt;&gt;"","⚠ "&amp;Y1718,IF(Z1718=1,"✓ OK","")))</f>
        <v/>
      </c>
      <c r="T1718" s="67">
        <f>IF(AND(C1718="",D1718="",E1718="",L1718="",K1718=""),1,0)</f>
        <v/>
      </c>
      <c r="U1718" s="67">
        <f>IFERROR(INDEX(tt_Dir,MATCH(D1718,tt_Type,0)),"")</f>
        <v/>
      </c>
      <c r="V1718" s="67">
        <f>IF(D1718="","",IFERROR(IF(INDEX(tt_Other,MATCH(D1718,tt_Type,0))="",E1718&amp;"",INDEX(tt_Other,MATCH(D1718,tt_Type,0))),""))</f>
        <v/>
      </c>
      <c r="W1718" s="68">
        <f>IF(OR(TaxOn&lt;&gt;"Yes",NOT(ISNUMBER(M1718))),0,IF(IFERROR(INDEX(tt_Tax,MATCH(D1718,tt_Type,0)),"No")="Yes",M1718,0))</f>
        <v/>
      </c>
      <c r="X1718" s="67">
        <f>IF(T1718=1,"",IF(C1718="","Missing transaction date",IF(NOT(ISNUMBER(C1718)),"Invalid date",IF(OR(C1718&lt;DATE(2000,1,1),C1718&gt;DATE(2099,12,31)),"Invalid date",IF(D1718="","Select a type",IF(U1718="","Unknown type: "&amp;D1718,IF(V1718="","Select an account (Category)",IF(ISNA(MATCH(V1718,coa_Name,0)),"Unknown account: "&amp;V1718,IF(K1718="","Select Paid From / Deposited To",IF(ISNA(MATCH(K1718,coa_Name,0)),"Unknown account: "&amp;K1718,IF(NOT(ISNUMBER(L1718)),"Enter an amount",IF(L1718=0,"Enter an amount",IF(ABS(W1718)&gt;ABS(L1718),"Tax is larger than the amount","")))))))))))))</f>
        <v/>
      </c>
      <c r="Y1718" s="67">
        <f>IF(OR(T1718=1,X1718&lt;&gt;""),"",IF(AND(B1718&lt;&gt;"",COUNTIF(tx_ID,B1718)&gt;1),"Duplicate transaction ID",IF(AND(L1718&lt;0,D1718&lt;&gt;"Adjustment"),"Negative amount — check this entry",IF(AND(D1718="Customer Payment",G1718=""),"Add the customer",IF(AND(D1718="Customer Payment",OR(J1718="",COUNTIF(ar_No,J1718&amp;"")=0)),"Invoice # in Reference not found on AR sheet",IF(AND(D1718="Bill Payment",H1718=""),"Add the vendor",IF(AND(D1718="Bill Payment",OR(J1718="",COUNTIFS(ap_No,J1718&amp;"",ap_Party,H1718&amp;"")=0)),"Bill # + vendor not found on AP sheet",IF(AND(ISNUMBER(M1718),N(M1718)&lt;&gt;0,W1718=0),"Tax ignored (tax tracking off, or not allowed for this type)",IF(V1718=K1718&amp;"","Same account on both sides",IF(AND(ISNUMBER(StartDate),C1718&lt;StartDate),"Date is before the accounting start date",IF(AND(D1718&lt;&gt;"Adjustment",IFERROR(INDEX(coa_Pay,MATCH(K1718&amp;"",coa_Name,0)),"")&lt;&gt;"Yes"),"Paid From / Deposited To is not a payment account","")))))))))))</f>
        <v/>
      </c>
      <c r="Z1718" s="67">
        <f>IF(AND(T1718=0,X1718=""),1,0)</f>
        <v/>
      </c>
      <c r="AA1718" s="68">
        <f>IF(Z1718=1,IF(U1718="In",L1718,L1718-W1718),0)</f>
        <v/>
      </c>
      <c r="AB1718" s="68">
        <f>IF(Z1718=1,IF(U1718="In",L1718-W1718,L1718),0)</f>
        <v/>
      </c>
      <c r="AC1718" s="68">
        <f>IF(AND(Z1718=1,U1718="Out"),W1718,0)</f>
        <v/>
      </c>
      <c r="AD1718" s="68">
        <f>IF(AND(Z1718=1,U1718="In"),W1718,0)</f>
        <v/>
      </c>
    </row>
    <row r="1719">
      <c r="B1719" s="62" t="inlineStr">
        <is>
          <t>TX-1713</t>
        </is>
      </c>
      <c r="C1719" s="63" t="n"/>
      <c r="D1719" s="62" t="n"/>
      <c r="E1719" s="62" t="n"/>
      <c r="F1719" s="62" t="n"/>
      <c r="G1719" s="62" t="n"/>
      <c r="H1719" s="62" t="n"/>
      <c r="I1719" s="62" t="n"/>
      <c r="J1719" s="62" t="n"/>
      <c r="K1719" s="62" t="n"/>
      <c r="L1719" s="64" t="n"/>
      <c r="M1719" s="64" t="n"/>
      <c r="N1719" s="62" t="n"/>
      <c r="O1719" s="65">
        <f>IF(Z1719=1,L1719-W1719,"")</f>
        <v/>
      </c>
      <c r="P1719" s="66">
        <f>IF(V1719="","",IFERROR(INDEX(coa_Type,MATCH(V1719,coa_Name,0)),""))</f>
        <v/>
      </c>
      <c r="Q1719" s="66">
        <f>IF(Z1719=1,IF(U1719="In",K1719&amp;"",V1719),"")</f>
        <v/>
      </c>
      <c r="R1719" s="66">
        <f>IF(Z1719=1,IF(U1719="In",V1719,K1719&amp;""),"")</f>
        <v/>
      </c>
      <c r="S1719" s="66">
        <f>IF(X1719&lt;&gt;"","⛔ "&amp;X1719&amp;" — not posted",IF(Y1719&lt;&gt;"","⚠ "&amp;Y1719,IF(Z1719=1,"✓ OK","")))</f>
        <v/>
      </c>
      <c r="T1719" s="67">
        <f>IF(AND(C1719="",D1719="",E1719="",L1719="",K1719=""),1,0)</f>
        <v/>
      </c>
      <c r="U1719" s="67">
        <f>IFERROR(INDEX(tt_Dir,MATCH(D1719,tt_Type,0)),"")</f>
        <v/>
      </c>
      <c r="V1719" s="67">
        <f>IF(D1719="","",IFERROR(IF(INDEX(tt_Other,MATCH(D1719,tt_Type,0))="",E1719&amp;"",INDEX(tt_Other,MATCH(D1719,tt_Type,0))),""))</f>
        <v/>
      </c>
      <c r="W1719" s="68">
        <f>IF(OR(TaxOn&lt;&gt;"Yes",NOT(ISNUMBER(M1719))),0,IF(IFERROR(INDEX(tt_Tax,MATCH(D1719,tt_Type,0)),"No")="Yes",M1719,0))</f>
        <v/>
      </c>
      <c r="X1719" s="67">
        <f>IF(T1719=1,"",IF(C1719="","Missing transaction date",IF(NOT(ISNUMBER(C1719)),"Invalid date",IF(OR(C1719&lt;DATE(2000,1,1),C1719&gt;DATE(2099,12,31)),"Invalid date",IF(D1719="","Select a type",IF(U1719="","Unknown type: "&amp;D1719,IF(V1719="","Select an account (Category)",IF(ISNA(MATCH(V1719,coa_Name,0)),"Unknown account: "&amp;V1719,IF(K1719="","Select Paid From / Deposited To",IF(ISNA(MATCH(K1719,coa_Name,0)),"Unknown account: "&amp;K1719,IF(NOT(ISNUMBER(L1719)),"Enter an amount",IF(L1719=0,"Enter an amount",IF(ABS(W1719)&gt;ABS(L1719),"Tax is larger than the amount","")))))))))))))</f>
        <v/>
      </c>
      <c r="Y1719" s="67">
        <f>IF(OR(T1719=1,X1719&lt;&gt;""),"",IF(AND(B1719&lt;&gt;"",COUNTIF(tx_ID,B1719)&gt;1),"Duplicate transaction ID",IF(AND(L1719&lt;0,D1719&lt;&gt;"Adjustment"),"Negative amount — check this entry",IF(AND(D1719="Customer Payment",G1719=""),"Add the customer",IF(AND(D1719="Customer Payment",OR(J1719="",COUNTIF(ar_No,J1719&amp;"")=0)),"Invoice # in Reference not found on AR sheet",IF(AND(D1719="Bill Payment",H1719=""),"Add the vendor",IF(AND(D1719="Bill Payment",OR(J1719="",COUNTIFS(ap_No,J1719&amp;"",ap_Party,H1719&amp;"")=0)),"Bill # + vendor not found on AP sheet",IF(AND(ISNUMBER(M1719),N(M1719)&lt;&gt;0,W1719=0),"Tax ignored (tax tracking off, or not allowed for this type)",IF(V1719=K1719&amp;"","Same account on both sides",IF(AND(ISNUMBER(StartDate),C1719&lt;StartDate),"Date is before the accounting start date",IF(AND(D1719&lt;&gt;"Adjustment",IFERROR(INDEX(coa_Pay,MATCH(K1719&amp;"",coa_Name,0)),"")&lt;&gt;"Yes"),"Paid From / Deposited To is not a payment account","")))))))))))</f>
        <v/>
      </c>
      <c r="Z1719" s="67">
        <f>IF(AND(T1719=0,X1719=""),1,0)</f>
        <v/>
      </c>
      <c r="AA1719" s="68">
        <f>IF(Z1719=1,IF(U1719="In",L1719,L1719-W1719),0)</f>
        <v/>
      </c>
      <c r="AB1719" s="68">
        <f>IF(Z1719=1,IF(U1719="In",L1719-W1719,L1719),0)</f>
        <v/>
      </c>
      <c r="AC1719" s="68">
        <f>IF(AND(Z1719=1,U1719="Out"),W1719,0)</f>
        <v/>
      </c>
      <c r="AD1719" s="68">
        <f>IF(AND(Z1719=1,U1719="In"),W1719,0)</f>
        <v/>
      </c>
    </row>
    <row r="1720">
      <c r="B1720" s="62" t="inlineStr">
        <is>
          <t>TX-1714</t>
        </is>
      </c>
      <c r="C1720" s="63" t="n"/>
      <c r="D1720" s="62" t="n"/>
      <c r="E1720" s="62" t="n"/>
      <c r="F1720" s="62" t="n"/>
      <c r="G1720" s="62" t="n"/>
      <c r="H1720" s="62" t="n"/>
      <c r="I1720" s="62" t="n"/>
      <c r="J1720" s="62" t="n"/>
      <c r="K1720" s="62" t="n"/>
      <c r="L1720" s="64" t="n"/>
      <c r="M1720" s="64" t="n"/>
      <c r="N1720" s="62" t="n"/>
      <c r="O1720" s="65">
        <f>IF(Z1720=1,L1720-W1720,"")</f>
        <v/>
      </c>
      <c r="P1720" s="66">
        <f>IF(V1720="","",IFERROR(INDEX(coa_Type,MATCH(V1720,coa_Name,0)),""))</f>
        <v/>
      </c>
      <c r="Q1720" s="66">
        <f>IF(Z1720=1,IF(U1720="In",K1720&amp;"",V1720),"")</f>
        <v/>
      </c>
      <c r="R1720" s="66">
        <f>IF(Z1720=1,IF(U1720="In",V1720,K1720&amp;""),"")</f>
        <v/>
      </c>
      <c r="S1720" s="66">
        <f>IF(X1720&lt;&gt;"","⛔ "&amp;X1720&amp;" — not posted",IF(Y1720&lt;&gt;"","⚠ "&amp;Y1720,IF(Z1720=1,"✓ OK","")))</f>
        <v/>
      </c>
      <c r="T1720" s="67">
        <f>IF(AND(C1720="",D1720="",E1720="",L1720="",K1720=""),1,0)</f>
        <v/>
      </c>
      <c r="U1720" s="67">
        <f>IFERROR(INDEX(tt_Dir,MATCH(D1720,tt_Type,0)),"")</f>
        <v/>
      </c>
      <c r="V1720" s="67">
        <f>IF(D1720="","",IFERROR(IF(INDEX(tt_Other,MATCH(D1720,tt_Type,0))="",E1720&amp;"",INDEX(tt_Other,MATCH(D1720,tt_Type,0))),""))</f>
        <v/>
      </c>
      <c r="W1720" s="68">
        <f>IF(OR(TaxOn&lt;&gt;"Yes",NOT(ISNUMBER(M1720))),0,IF(IFERROR(INDEX(tt_Tax,MATCH(D1720,tt_Type,0)),"No")="Yes",M1720,0))</f>
        <v/>
      </c>
      <c r="X1720" s="67">
        <f>IF(T1720=1,"",IF(C1720="","Missing transaction date",IF(NOT(ISNUMBER(C1720)),"Invalid date",IF(OR(C1720&lt;DATE(2000,1,1),C1720&gt;DATE(2099,12,31)),"Invalid date",IF(D1720="","Select a type",IF(U1720="","Unknown type: "&amp;D1720,IF(V1720="","Select an account (Category)",IF(ISNA(MATCH(V1720,coa_Name,0)),"Unknown account: "&amp;V1720,IF(K1720="","Select Paid From / Deposited To",IF(ISNA(MATCH(K1720,coa_Name,0)),"Unknown account: "&amp;K1720,IF(NOT(ISNUMBER(L1720)),"Enter an amount",IF(L1720=0,"Enter an amount",IF(ABS(W1720)&gt;ABS(L1720),"Tax is larger than the amount","")))))))))))))</f>
        <v/>
      </c>
      <c r="Y1720" s="67">
        <f>IF(OR(T1720=1,X1720&lt;&gt;""),"",IF(AND(B1720&lt;&gt;"",COUNTIF(tx_ID,B1720)&gt;1),"Duplicate transaction ID",IF(AND(L1720&lt;0,D1720&lt;&gt;"Adjustment"),"Negative amount — check this entry",IF(AND(D1720="Customer Payment",G1720=""),"Add the customer",IF(AND(D1720="Customer Payment",OR(J1720="",COUNTIF(ar_No,J1720&amp;"")=0)),"Invoice # in Reference not found on AR sheet",IF(AND(D1720="Bill Payment",H1720=""),"Add the vendor",IF(AND(D1720="Bill Payment",OR(J1720="",COUNTIFS(ap_No,J1720&amp;"",ap_Party,H1720&amp;"")=0)),"Bill # + vendor not found on AP sheet",IF(AND(ISNUMBER(M1720),N(M1720)&lt;&gt;0,W1720=0),"Tax ignored (tax tracking off, or not allowed for this type)",IF(V1720=K1720&amp;"","Same account on both sides",IF(AND(ISNUMBER(StartDate),C1720&lt;StartDate),"Date is before the accounting start date",IF(AND(D1720&lt;&gt;"Adjustment",IFERROR(INDEX(coa_Pay,MATCH(K1720&amp;"",coa_Name,0)),"")&lt;&gt;"Yes"),"Paid From / Deposited To is not a payment account","")))))))))))</f>
        <v/>
      </c>
      <c r="Z1720" s="67">
        <f>IF(AND(T1720=0,X1720=""),1,0)</f>
        <v/>
      </c>
      <c r="AA1720" s="68">
        <f>IF(Z1720=1,IF(U1720="In",L1720,L1720-W1720),0)</f>
        <v/>
      </c>
      <c r="AB1720" s="68">
        <f>IF(Z1720=1,IF(U1720="In",L1720-W1720,L1720),0)</f>
        <v/>
      </c>
      <c r="AC1720" s="68">
        <f>IF(AND(Z1720=1,U1720="Out"),W1720,0)</f>
        <v/>
      </c>
      <c r="AD1720" s="68">
        <f>IF(AND(Z1720=1,U1720="In"),W1720,0)</f>
        <v/>
      </c>
    </row>
    <row r="1721">
      <c r="B1721" s="62" t="inlineStr">
        <is>
          <t>TX-1715</t>
        </is>
      </c>
      <c r="C1721" s="63" t="n"/>
      <c r="D1721" s="62" t="n"/>
      <c r="E1721" s="62" t="n"/>
      <c r="F1721" s="62" t="n"/>
      <c r="G1721" s="62" t="n"/>
      <c r="H1721" s="62" t="n"/>
      <c r="I1721" s="62" t="n"/>
      <c r="J1721" s="62" t="n"/>
      <c r="K1721" s="62" t="n"/>
      <c r="L1721" s="64" t="n"/>
      <c r="M1721" s="64" t="n"/>
      <c r="N1721" s="62" t="n"/>
      <c r="O1721" s="65">
        <f>IF(Z1721=1,L1721-W1721,"")</f>
        <v/>
      </c>
      <c r="P1721" s="66">
        <f>IF(V1721="","",IFERROR(INDEX(coa_Type,MATCH(V1721,coa_Name,0)),""))</f>
        <v/>
      </c>
      <c r="Q1721" s="66">
        <f>IF(Z1721=1,IF(U1721="In",K1721&amp;"",V1721),"")</f>
        <v/>
      </c>
      <c r="R1721" s="66">
        <f>IF(Z1721=1,IF(U1721="In",V1721,K1721&amp;""),"")</f>
        <v/>
      </c>
      <c r="S1721" s="66">
        <f>IF(X1721&lt;&gt;"","⛔ "&amp;X1721&amp;" — not posted",IF(Y1721&lt;&gt;"","⚠ "&amp;Y1721,IF(Z1721=1,"✓ OK","")))</f>
        <v/>
      </c>
      <c r="T1721" s="67">
        <f>IF(AND(C1721="",D1721="",E1721="",L1721="",K1721=""),1,0)</f>
        <v/>
      </c>
      <c r="U1721" s="67">
        <f>IFERROR(INDEX(tt_Dir,MATCH(D1721,tt_Type,0)),"")</f>
        <v/>
      </c>
      <c r="V1721" s="67">
        <f>IF(D1721="","",IFERROR(IF(INDEX(tt_Other,MATCH(D1721,tt_Type,0))="",E1721&amp;"",INDEX(tt_Other,MATCH(D1721,tt_Type,0))),""))</f>
        <v/>
      </c>
      <c r="W1721" s="68">
        <f>IF(OR(TaxOn&lt;&gt;"Yes",NOT(ISNUMBER(M1721))),0,IF(IFERROR(INDEX(tt_Tax,MATCH(D1721,tt_Type,0)),"No")="Yes",M1721,0))</f>
        <v/>
      </c>
      <c r="X1721" s="67">
        <f>IF(T1721=1,"",IF(C1721="","Missing transaction date",IF(NOT(ISNUMBER(C1721)),"Invalid date",IF(OR(C1721&lt;DATE(2000,1,1),C1721&gt;DATE(2099,12,31)),"Invalid date",IF(D1721="","Select a type",IF(U1721="","Unknown type: "&amp;D1721,IF(V1721="","Select an account (Category)",IF(ISNA(MATCH(V1721,coa_Name,0)),"Unknown account: "&amp;V1721,IF(K1721="","Select Paid From / Deposited To",IF(ISNA(MATCH(K1721,coa_Name,0)),"Unknown account: "&amp;K1721,IF(NOT(ISNUMBER(L1721)),"Enter an amount",IF(L1721=0,"Enter an amount",IF(ABS(W1721)&gt;ABS(L1721),"Tax is larger than the amount","")))))))))))))</f>
        <v/>
      </c>
      <c r="Y1721" s="67">
        <f>IF(OR(T1721=1,X1721&lt;&gt;""),"",IF(AND(B1721&lt;&gt;"",COUNTIF(tx_ID,B1721)&gt;1),"Duplicate transaction ID",IF(AND(L1721&lt;0,D1721&lt;&gt;"Adjustment"),"Negative amount — check this entry",IF(AND(D1721="Customer Payment",G1721=""),"Add the customer",IF(AND(D1721="Customer Payment",OR(J1721="",COUNTIF(ar_No,J1721&amp;"")=0)),"Invoice # in Reference not found on AR sheet",IF(AND(D1721="Bill Payment",H1721=""),"Add the vendor",IF(AND(D1721="Bill Payment",OR(J1721="",COUNTIFS(ap_No,J1721&amp;"",ap_Party,H1721&amp;"")=0)),"Bill # + vendor not found on AP sheet",IF(AND(ISNUMBER(M1721),N(M1721)&lt;&gt;0,W1721=0),"Tax ignored (tax tracking off, or not allowed for this type)",IF(V1721=K1721&amp;"","Same account on both sides",IF(AND(ISNUMBER(StartDate),C1721&lt;StartDate),"Date is before the accounting start date",IF(AND(D1721&lt;&gt;"Adjustment",IFERROR(INDEX(coa_Pay,MATCH(K1721&amp;"",coa_Name,0)),"")&lt;&gt;"Yes"),"Paid From / Deposited To is not a payment account","")))))))))))</f>
        <v/>
      </c>
      <c r="Z1721" s="67">
        <f>IF(AND(T1721=0,X1721=""),1,0)</f>
        <v/>
      </c>
      <c r="AA1721" s="68">
        <f>IF(Z1721=1,IF(U1721="In",L1721,L1721-W1721),0)</f>
        <v/>
      </c>
      <c r="AB1721" s="68">
        <f>IF(Z1721=1,IF(U1721="In",L1721-W1721,L1721),0)</f>
        <v/>
      </c>
      <c r="AC1721" s="68">
        <f>IF(AND(Z1721=1,U1721="Out"),W1721,0)</f>
        <v/>
      </c>
      <c r="AD1721" s="68">
        <f>IF(AND(Z1721=1,U1721="In"),W1721,0)</f>
        <v/>
      </c>
    </row>
    <row r="1722">
      <c r="B1722" s="62" t="inlineStr">
        <is>
          <t>TX-1716</t>
        </is>
      </c>
      <c r="C1722" s="63" t="n"/>
      <c r="D1722" s="62" t="n"/>
      <c r="E1722" s="62" t="n"/>
      <c r="F1722" s="62" t="n"/>
      <c r="G1722" s="62" t="n"/>
      <c r="H1722" s="62" t="n"/>
      <c r="I1722" s="62" t="n"/>
      <c r="J1722" s="62" t="n"/>
      <c r="K1722" s="62" t="n"/>
      <c r="L1722" s="64" t="n"/>
      <c r="M1722" s="64" t="n"/>
      <c r="N1722" s="62" t="n"/>
      <c r="O1722" s="65">
        <f>IF(Z1722=1,L1722-W1722,"")</f>
        <v/>
      </c>
      <c r="P1722" s="66">
        <f>IF(V1722="","",IFERROR(INDEX(coa_Type,MATCH(V1722,coa_Name,0)),""))</f>
        <v/>
      </c>
      <c r="Q1722" s="66">
        <f>IF(Z1722=1,IF(U1722="In",K1722&amp;"",V1722),"")</f>
        <v/>
      </c>
      <c r="R1722" s="66">
        <f>IF(Z1722=1,IF(U1722="In",V1722,K1722&amp;""),"")</f>
        <v/>
      </c>
      <c r="S1722" s="66">
        <f>IF(X1722&lt;&gt;"","⛔ "&amp;X1722&amp;" — not posted",IF(Y1722&lt;&gt;"","⚠ "&amp;Y1722,IF(Z1722=1,"✓ OK","")))</f>
        <v/>
      </c>
      <c r="T1722" s="67">
        <f>IF(AND(C1722="",D1722="",E1722="",L1722="",K1722=""),1,0)</f>
        <v/>
      </c>
      <c r="U1722" s="67">
        <f>IFERROR(INDEX(tt_Dir,MATCH(D1722,tt_Type,0)),"")</f>
        <v/>
      </c>
      <c r="V1722" s="67">
        <f>IF(D1722="","",IFERROR(IF(INDEX(tt_Other,MATCH(D1722,tt_Type,0))="",E1722&amp;"",INDEX(tt_Other,MATCH(D1722,tt_Type,0))),""))</f>
        <v/>
      </c>
      <c r="W1722" s="68">
        <f>IF(OR(TaxOn&lt;&gt;"Yes",NOT(ISNUMBER(M1722))),0,IF(IFERROR(INDEX(tt_Tax,MATCH(D1722,tt_Type,0)),"No")="Yes",M1722,0))</f>
        <v/>
      </c>
      <c r="X1722" s="67">
        <f>IF(T1722=1,"",IF(C1722="","Missing transaction date",IF(NOT(ISNUMBER(C1722)),"Invalid date",IF(OR(C1722&lt;DATE(2000,1,1),C1722&gt;DATE(2099,12,31)),"Invalid date",IF(D1722="","Select a type",IF(U1722="","Unknown type: "&amp;D1722,IF(V1722="","Select an account (Category)",IF(ISNA(MATCH(V1722,coa_Name,0)),"Unknown account: "&amp;V1722,IF(K1722="","Select Paid From / Deposited To",IF(ISNA(MATCH(K1722,coa_Name,0)),"Unknown account: "&amp;K1722,IF(NOT(ISNUMBER(L1722)),"Enter an amount",IF(L1722=0,"Enter an amount",IF(ABS(W1722)&gt;ABS(L1722),"Tax is larger than the amount","")))))))))))))</f>
        <v/>
      </c>
      <c r="Y1722" s="67">
        <f>IF(OR(T1722=1,X1722&lt;&gt;""),"",IF(AND(B1722&lt;&gt;"",COUNTIF(tx_ID,B1722)&gt;1),"Duplicate transaction ID",IF(AND(L1722&lt;0,D1722&lt;&gt;"Adjustment"),"Negative amount — check this entry",IF(AND(D1722="Customer Payment",G1722=""),"Add the customer",IF(AND(D1722="Customer Payment",OR(J1722="",COUNTIF(ar_No,J1722&amp;"")=0)),"Invoice # in Reference not found on AR sheet",IF(AND(D1722="Bill Payment",H1722=""),"Add the vendor",IF(AND(D1722="Bill Payment",OR(J1722="",COUNTIFS(ap_No,J1722&amp;"",ap_Party,H1722&amp;"")=0)),"Bill # + vendor not found on AP sheet",IF(AND(ISNUMBER(M1722),N(M1722)&lt;&gt;0,W1722=0),"Tax ignored (tax tracking off, or not allowed for this type)",IF(V1722=K1722&amp;"","Same account on both sides",IF(AND(ISNUMBER(StartDate),C1722&lt;StartDate),"Date is before the accounting start date",IF(AND(D1722&lt;&gt;"Adjustment",IFERROR(INDEX(coa_Pay,MATCH(K1722&amp;"",coa_Name,0)),"")&lt;&gt;"Yes"),"Paid From / Deposited To is not a payment account","")))))))))))</f>
        <v/>
      </c>
      <c r="Z1722" s="67">
        <f>IF(AND(T1722=0,X1722=""),1,0)</f>
        <v/>
      </c>
      <c r="AA1722" s="68">
        <f>IF(Z1722=1,IF(U1722="In",L1722,L1722-W1722),0)</f>
        <v/>
      </c>
      <c r="AB1722" s="68">
        <f>IF(Z1722=1,IF(U1722="In",L1722-W1722,L1722),0)</f>
        <v/>
      </c>
      <c r="AC1722" s="68">
        <f>IF(AND(Z1722=1,U1722="Out"),W1722,0)</f>
        <v/>
      </c>
      <c r="AD1722" s="68">
        <f>IF(AND(Z1722=1,U1722="In"),W1722,0)</f>
        <v/>
      </c>
    </row>
    <row r="1723">
      <c r="B1723" s="62" t="inlineStr">
        <is>
          <t>TX-1717</t>
        </is>
      </c>
      <c r="C1723" s="63" t="n"/>
      <c r="D1723" s="62" t="n"/>
      <c r="E1723" s="62" t="n"/>
      <c r="F1723" s="62" t="n"/>
      <c r="G1723" s="62" t="n"/>
      <c r="H1723" s="62" t="n"/>
      <c r="I1723" s="62" t="n"/>
      <c r="J1723" s="62" t="n"/>
      <c r="K1723" s="62" t="n"/>
      <c r="L1723" s="64" t="n"/>
      <c r="M1723" s="64" t="n"/>
      <c r="N1723" s="62" t="n"/>
      <c r="O1723" s="65">
        <f>IF(Z1723=1,L1723-W1723,"")</f>
        <v/>
      </c>
      <c r="P1723" s="66">
        <f>IF(V1723="","",IFERROR(INDEX(coa_Type,MATCH(V1723,coa_Name,0)),""))</f>
        <v/>
      </c>
      <c r="Q1723" s="66">
        <f>IF(Z1723=1,IF(U1723="In",K1723&amp;"",V1723),"")</f>
        <v/>
      </c>
      <c r="R1723" s="66">
        <f>IF(Z1723=1,IF(U1723="In",V1723,K1723&amp;""),"")</f>
        <v/>
      </c>
      <c r="S1723" s="66">
        <f>IF(X1723&lt;&gt;"","⛔ "&amp;X1723&amp;" — not posted",IF(Y1723&lt;&gt;"","⚠ "&amp;Y1723,IF(Z1723=1,"✓ OK","")))</f>
        <v/>
      </c>
      <c r="T1723" s="67">
        <f>IF(AND(C1723="",D1723="",E1723="",L1723="",K1723=""),1,0)</f>
        <v/>
      </c>
      <c r="U1723" s="67">
        <f>IFERROR(INDEX(tt_Dir,MATCH(D1723,tt_Type,0)),"")</f>
        <v/>
      </c>
      <c r="V1723" s="67">
        <f>IF(D1723="","",IFERROR(IF(INDEX(tt_Other,MATCH(D1723,tt_Type,0))="",E1723&amp;"",INDEX(tt_Other,MATCH(D1723,tt_Type,0))),""))</f>
        <v/>
      </c>
      <c r="W1723" s="68">
        <f>IF(OR(TaxOn&lt;&gt;"Yes",NOT(ISNUMBER(M1723))),0,IF(IFERROR(INDEX(tt_Tax,MATCH(D1723,tt_Type,0)),"No")="Yes",M1723,0))</f>
        <v/>
      </c>
      <c r="X1723" s="67">
        <f>IF(T1723=1,"",IF(C1723="","Missing transaction date",IF(NOT(ISNUMBER(C1723)),"Invalid date",IF(OR(C1723&lt;DATE(2000,1,1),C1723&gt;DATE(2099,12,31)),"Invalid date",IF(D1723="","Select a type",IF(U1723="","Unknown type: "&amp;D1723,IF(V1723="","Select an account (Category)",IF(ISNA(MATCH(V1723,coa_Name,0)),"Unknown account: "&amp;V1723,IF(K1723="","Select Paid From / Deposited To",IF(ISNA(MATCH(K1723,coa_Name,0)),"Unknown account: "&amp;K1723,IF(NOT(ISNUMBER(L1723)),"Enter an amount",IF(L1723=0,"Enter an amount",IF(ABS(W1723)&gt;ABS(L1723),"Tax is larger than the amount","")))))))))))))</f>
        <v/>
      </c>
      <c r="Y1723" s="67">
        <f>IF(OR(T1723=1,X1723&lt;&gt;""),"",IF(AND(B1723&lt;&gt;"",COUNTIF(tx_ID,B1723)&gt;1),"Duplicate transaction ID",IF(AND(L1723&lt;0,D1723&lt;&gt;"Adjustment"),"Negative amount — check this entry",IF(AND(D1723="Customer Payment",G1723=""),"Add the customer",IF(AND(D1723="Customer Payment",OR(J1723="",COUNTIF(ar_No,J1723&amp;"")=0)),"Invoice # in Reference not found on AR sheet",IF(AND(D1723="Bill Payment",H1723=""),"Add the vendor",IF(AND(D1723="Bill Payment",OR(J1723="",COUNTIFS(ap_No,J1723&amp;"",ap_Party,H1723&amp;"")=0)),"Bill # + vendor not found on AP sheet",IF(AND(ISNUMBER(M1723),N(M1723)&lt;&gt;0,W1723=0),"Tax ignored (tax tracking off, or not allowed for this type)",IF(V1723=K1723&amp;"","Same account on both sides",IF(AND(ISNUMBER(StartDate),C1723&lt;StartDate),"Date is before the accounting start date",IF(AND(D1723&lt;&gt;"Adjustment",IFERROR(INDEX(coa_Pay,MATCH(K1723&amp;"",coa_Name,0)),"")&lt;&gt;"Yes"),"Paid From / Deposited To is not a payment account","")))))))))))</f>
        <v/>
      </c>
      <c r="Z1723" s="67">
        <f>IF(AND(T1723=0,X1723=""),1,0)</f>
        <v/>
      </c>
      <c r="AA1723" s="68">
        <f>IF(Z1723=1,IF(U1723="In",L1723,L1723-W1723),0)</f>
        <v/>
      </c>
      <c r="AB1723" s="68">
        <f>IF(Z1723=1,IF(U1723="In",L1723-W1723,L1723),0)</f>
        <v/>
      </c>
      <c r="AC1723" s="68">
        <f>IF(AND(Z1723=1,U1723="Out"),W1723,0)</f>
        <v/>
      </c>
      <c r="AD1723" s="68">
        <f>IF(AND(Z1723=1,U1723="In"),W1723,0)</f>
        <v/>
      </c>
    </row>
    <row r="1724">
      <c r="B1724" s="62" t="inlineStr">
        <is>
          <t>TX-1718</t>
        </is>
      </c>
      <c r="C1724" s="63" t="n"/>
      <c r="D1724" s="62" t="n"/>
      <c r="E1724" s="62" t="n"/>
      <c r="F1724" s="62" t="n"/>
      <c r="G1724" s="62" t="n"/>
      <c r="H1724" s="62" t="n"/>
      <c r="I1724" s="62" t="n"/>
      <c r="J1724" s="62" t="n"/>
      <c r="K1724" s="62" t="n"/>
      <c r="L1724" s="64" t="n"/>
      <c r="M1724" s="64" t="n"/>
      <c r="N1724" s="62" t="n"/>
      <c r="O1724" s="65">
        <f>IF(Z1724=1,L1724-W1724,"")</f>
        <v/>
      </c>
      <c r="P1724" s="66">
        <f>IF(V1724="","",IFERROR(INDEX(coa_Type,MATCH(V1724,coa_Name,0)),""))</f>
        <v/>
      </c>
      <c r="Q1724" s="66">
        <f>IF(Z1724=1,IF(U1724="In",K1724&amp;"",V1724),"")</f>
        <v/>
      </c>
      <c r="R1724" s="66">
        <f>IF(Z1724=1,IF(U1724="In",V1724,K1724&amp;""),"")</f>
        <v/>
      </c>
      <c r="S1724" s="66">
        <f>IF(X1724&lt;&gt;"","⛔ "&amp;X1724&amp;" — not posted",IF(Y1724&lt;&gt;"","⚠ "&amp;Y1724,IF(Z1724=1,"✓ OK","")))</f>
        <v/>
      </c>
      <c r="T1724" s="67">
        <f>IF(AND(C1724="",D1724="",E1724="",L1724="",K1724=""),1,0)</f>
        <v/>
      </c>
      <c r="U1724" s="67">
        <f>IFERROR(INDEX(tt_Dir,MATCH(D1724,tt_Type,0)),"")</f>
        <v/>
      </c>
      <c r="V1724" s="67">
        <f>IF(D1724="","",IFERROR(IF(INDEX(tt_Other,MATCH(D1724,tt_Type,0))="",E1724&amp;"",INDEX(tt_Other,MATCH(D1724,tt_Type,0))),""))</f>
        <v/>
      </c>
      <c r="W1724" s="68">
        <f>IF(OR(TaxOn&lt;&gt;"Yes",NOT(ISNUMBER(M1724))),0,IF(IFERROR(INDEX(tt_Tax,MATCH(D1724,tt_Type,0)),"No")="Yes",M1724,0))</f>
        <v/>
      </c>
      <c r="X1724" s="67">
        <f>IF(T1724=1,"",IF(C1724="","Missing transaction date",IF(NOT(ISNUMBER(C1724)),"Invalid date",IF(OR(C1724&lt;DATE(2000,1,1),C1724&gt;DATE(2099,12,31)),"Invalid date",IF(D1724="","Select a type",IF(U1724="","Unknown type: "&amp;D1724,IF(V1724="","Select an account (Category)",IF(ISNA(MATCH(V1724,coa_Name,0)),"Unknown account: "&amp;V1724,IF(K1724="","Select Paid From / Deposited To",IF(ISNA(MATCH(K1724,coa_Name,0)),"Unknown account: "&amp;K1724,IF(NOT(ISNUMBER(L1724)),"Enter an amount",IF(L1724=0,"Enter an amount",IF(ABS(W1724)&gt;ABS(L1724),"Tax is larger than the amount","")))))))))))))</f>
        <v/>
      </c>
      <c r="Y1724" s="67">
        <f>IF(OR(T1724=1,X1724&lt;&gt;""),"",IF(AND(B1724&lt;&gt;"",COUNTIF(tx_ID,B1724)&gt;1),"Duplicate transaction ID",IF(AND(L1724&lt;0,D1724&lt;&gt;"Adjustment"),"Negative amount — check this entry",IF(AND(D1724="Customer Payment",G1724=""),"Add the customer",IF(AND(D1724="Customer Payment",OR(J1724="",COUNTIF(ar_No,J1724&amp;"")=0)),"Invoice # in Reference not found on AR sheet",IF(AND(D1724="Bill Payment",H1724=""),"Add the vendor",IF(AND(D1724="Bill Payment",OR(J1724="",COUNTIFS(ap_No,J1724&amp;"",ap_Party,H1724&amp;"")=0)),"Bill # + vendor not found on AP sheet",IF(AND(ISNUMBER(M1724),N(M1724)&lt;&gt;0,W1724=0),"Tax ignored (tax tracking off, or not allowed for this type)",IF(V1724=K1724&amp;"","Same account on both sides",IF(AND(ISNUMBER(StartDate),C1724&lt;StartDate),"Date is before the accounting start date",IF(AND(D1724&lt;&gt;"Adjustment",IFERROR(INDEX(coa_Pay,MATCH(K1724&amp;"",coa_Name,0)),"")&lt;&gt;"Yes"),"Paid From / Deposited To is not a payment account","")))))))))))</f>
        <v/>
      </c>
      <c r="Z1724" s="67">
        <f>IF(AND(T1724=0,X1724=""),1,0)</f>
        <v/>
      </c>
      <c r="AA1724" s="68">
        <f>IF(Z1724=1,IF(U1724="In",L1724,L1724-W1724),0)</f>
        <v/>
      </c>
      <c r="AB1724" s="68">
        <f>IF(Z1724=1,IF(U1724="In",L1724-W1724,L1724),0)</f>
        <v/>
      </c>
      <c r="AC1724" s="68">
        <f>IF(AND(Z1724=1,U1724="Out"),W1724,0)</f>
        <v/>
      </c>
      <c r="AD1724" s="68">
        <f>IF(AND(Z1724=1,U1724="In"),W1724,0)</f>
        <v/>
      </c>
    </row>
    <row r="1725">
      <c r="B1725" s="62" t="inlineStr">
        <is>
          <t>TX-1719</t>
        </is>
      </c>
      <c r="C1725" s="63" t="n"/>
      <c r="D1725" s="62" t="n"/>
      <c r="E1725" s="62" t="n"/>
      <c r="F1725" s="62" t="n"/>
      <c r="G1725" s="62" t="n"/>
      <c r="H1725" s="62" t="n"/>
      <c r="I1725" s="62" t="n"/>
      <c r="J1725" s="62" t="n"/>
      <c r="K1725" s="62" t="n"/>
      <c r="L1725" s="64" t="n"/>
      <c r="M1725" s="64" t="n"/>
      <c r="N1725" s="62" t="n"/>
      <c r="O1725" s="65">
        <f>IF(Z1725=1,L1725-W1725,"")</f>
        <v/>
      </c>
      <c r="P1725" s="66">
        <f>IF(V1725="","",IFERROR(INDEX(coa_Type,MATCH(V1725,coa_Name,0)),""))</f>
        <v/>
      </c>
      <c r="Q1725" s="66">
        <f>IF(Z1725=1,IF(U1725="In",K1725&amp;"",V1725),"")</f>
        <v/>
      </c>
      <c r="R1725" s="66">
        <f>IF(Z1725=1,IF(U1725="In",V1725,K1725&amp;""),"")</f>
        <v/>
      </c>
      <c r="S1725" s="66">
        <f>IF(X1725&lt;&gt;"","⛔ "&amp;X1725&amp;" — not posted",IF(Y1725&lt;&gt;"","⚠ "&amp;Y1725,IF(Z1725=1,"✓ OK","")))</f>
        <v/>
      </c>
      <c r="T1725" s="67">
        <f>IF(AND(C1725="",D1725="",E1725="",L1725="",K1725=""),1,0)</f>
        <v/>
      </c>
      <c r="U1725" s="67">
        <f>IFERROR(INDEX(tt_Dir,MATCH(D1725,tt_Type,0)),"")</f>
        <v/>
      </c>
      <c r="V1725" s="67">
        <f>IF(D1725="","",IFERROR(IF(INDEX(tt_Other,MATCH(D1725,tt_Type,0))="",E1725&amp;"",INDEX(tt_Other,MATCH(D1725,tt_Type,0))),""))</f>
        <v/>
      </c>
      <c r="W1725" s="68">
        <f>IF(OR(TaxOn&lt;&gt;"Yes",NOT(ISNUMBER(M1725))),0,IF(IFERROR(INDEX(tt_Tax,MATCH(D1725,tt_Type,0)),"No")="Yes",M1725,0))</f>
        <v/>
      </c>
      <c r="X1725" s="67">
        <f>IF(T1725=1,"",IF(C1725="","Missing transaction date",IF(NOT(ISNUMBER(C1725)),"Invalid date",IF(OR(C1725&lt;DATE(2000,1,1),C1725&gt;DATE(2099,12,31)),"Invalid date",IF(D1725="","Select a type",IF(U1725="","Unknown type: "&amp;D1725,IF(V1725="","Select an account (Category)",IF(ISNA(MATCH(V1725,coa_Name,0)),"Unknown account: "&amp;V1725,IF(K1725="","Select Paid From / Deposited To",IF(ISNA(MATCH(K1725,coa_Name,0)),"Unknown account: "&amp;K1725,IF(NOT(ISNUMBER(L1725)),"Enter an amount",IF(L1725=0,"Enter an amount",IF(ABS(W1725)&gt;ABS(L1725),"Tax is larger than the amount","")))))))))))))</f>
        <v/>
      </c>
      <c r="Y1725" s="67">
        <f>IF(OR(T1725=1,X1725&lt;&gt;""),"",IF(AND(B1725&lt;&gt;"",COUNTIF(tx_ID,B1725)&gt;1),"Duplicate transaction ID",IF(AND(L1725&lt;0,D1725&lt;&gt;"Adjustment"),"Negative amount — check this entry",IF(AND(D1725="Customer Payment",G1725=""),"Add the customer",IF(AND(D1725="Customer Payment",OR(J1725="",COUNTIF(ar_No,J1725&amp;"")=0)),"Invoice # in Reference not found on AR sheet",IF(AND(D1725="Bill Payment",H1725=""),"Add the vendor",IF(AND(D1725="Bill Payment",OR(J1725="",COUNTIFS(ap_No,J1725&amp;"",ap_Party,H1725&amp;"")=0)),"Bill # + vendor not found on AP sheet",IF(AND(ISNUMBER(M1725),N(M1725)&lt;&gt;0,W1725=0),"Tax ignored (tax tracking off, or not allowed for this type)",IF(V1725=K1725&amp;"","Same account on both sides",IF(AND(ISNUMBER(StartDate),C1725&lt;StartDate),"Date is before the accounting start date",IF(AND(D1725&lt;&gt;"Adjustment",IFERROR(INDEX(coa_Pay,MATCH(K1725&amp;"",coa_Name,0)),"")&lt;&gt;"Yes"),"Paid From / Deposited To is not a payment account","")))))))))))</f>
        <v/>
      </c>
      <c r="Z1725" s="67">
        <f>IF(AND(T1725=0,X1725=""),1,0)</f>
        <v/>
      </c>
      <c r="AA1725" s="68">
        <f>IF(Z1725=1,IF(U1725="In",L1725,L1725-W1725),0)</f>
        <v/>
      </c>
      <c r="AB1725" s="68">
        <f>IF(Z1725=1,IF(U1725="In",L1725-W1725,L1725),0)</f>
        <v/>
      </c>
      <c r="AC1725" s="68">
        <f>IF(AND(Z1725=1,U1725="Out"),W1725,0)</f>
        <v/>
      </c>
      <c r="AD1725" s="68">
        <f>IF(AND(Z1725=1,U1725="In"),W1725,0)</f>
        <v/>
      </c>
    </row>
    <row r="1726">
      <c r="B1726" s="62" t="inlineStr">
        <is>
          <t>TX-1720</t>
        </is>
      </c>
      <c r="C1726" s="63" t="n"/>
      <c r="D1726" s="62" t="n"/>
      <c r="E1726" s="62" t="n"/>
      <c r="F1726" s="62" t="n"/>
      <c r="G1726" s="62" t="n"/>
      <c r="H1726" s="62" t="n"/>
      <c r="I1726" s="62" t="n"/>
      <c r="J1726" s="62" t="n"/>
      <c r="K1726" s="62" t="n"/>
      <c r="L1726" s="64" t="n"/>
      <c r="M1726" s="64" t="n"/>
      <c r="N1726" s="62" t="n"/>
      <c r="O1726" s="65">
        <f>IF(Z1726=1,L1726-W1726,"")</f>
        <v/>
      </c>
      <c r="P1726" s="66">
        <f>IF(V1726="","",IFERROR(INDEX(coa_Type,MATCH(V1726,coa_Name,0)),""))</f>
        <v/>
      </c>
      <c r="Q1726" s="66">
        <f>IF(Z1726=1,IF(U1726="In",K1726&amp;"",V1726),"")</f>
        <v/>
      </c>
      <c r="R1726" s="66">
        <f>IF(Z1726=1,IF(U1726="In",V1726,K1726&amp;""),"")</f>
        <v/>
      </c>
      <c r="S1726" s="66">
        <f>IF(X1726&lt;&gt;"","⛔ "&amp;X1726&amp;" — not posted",IF(Y1726&lt;&gt;"","⚠ "&amp;Y1726,IF(Z1726=1,"✓ OK","")))</f>
        <v/>
      </c>
      <c r="T1726" s="67">
        <f>IF(AND(C1726="",D1726="",E1726="",L1726="",K1726=""),1,0)</f>
        <v/>
      </c>
      <c r="U1726" s="67">
        <f>IFERROR(INDEX(tt_Dir,MATCH(D1726,tt_Type,0)),"")</f>
        <v/>
      </c>
      <c r="V1726" s="67">
        <f>IF(D1726="","",IFERROR(IF(INDEX(tt_Other,MATCH(D1726,tt_Type,0))="",E1726&amp;"",INDEX(tt_Other,MATCH(D1726,tt_Type,0))),""))</f>
        <v/>
      </c>
      <c r="W1726" s="68">
        <f>IF(OR(TaxOn&lt;&gt;"Yes",NOT(ISNUMBER(M1726))),0,IF(IFERROR(INDEX(tt_Tax,MATCH(D1726,tt_Type,0)),"No")="Yes",M1726,0))</f>
        <v/>
      </c>
      <c r="X1726" s="67">
        <f>IF(T1726=1,"",IF(C1726="","Missing transaction date",IF(NOT(ISNUMBER(C1726)),"Invalid date",IF(OR(C1726&lt;DATE(2000,1,1),C1726&gt;DATE(2099,12,31)),"Invalid date",IF(D1726="","Select a type",IF(U1726="","Unknown type: "&amp;D1726,IF(V1726="","Select an account (Category)",IF(ISNA(MATCH(V1726,coa_Name,0)),"Unknown account: "&amp;V1726,IF(K1726="","Select Paid From / Deposited To",IF(ISNA(MATCH(K1726,coa_Name,0)),"Unknown account: "&amp;K1726,IF(NOT(ISNUMBER(L1726)),"Enter an amount",IF(L1726=0,"Enter an amount",IF(ABS(W1726)&gt;ABS(L1726),"Tax is larger than the amount","")))))))))))))</f>
        <v/>
      </c>
      <c r="Y1726" s="67">
        <f>IF(OR(T1726=1,X1726&lt;&gt;""),"",IF(AND(B1726&lt;&gt;"",COUNTIF(tx_ID,B1726)&gt;1),"Duplicate transaction ID",IF(AND(L1726&lt;0,D1726&lt;&gt;"Adjustment"),"Negative amount — check this entry",IF(AND(D1726="Customer Payment",G1726=""),"Add the customer",IF(AND(D1726="Customer Payment",OR(J1726="",COUNTIF(ar_No,J1726&amp;"")=0)),"Invoice # in Reference not found on AR sheet",IF(AND(D1726="Bill Payment",H1726=""),"Add the vendor",IF(AND(D1726="Bill Payment",OR(J1726="",COUNTIFS(ap_No,J1726&amp;"",ap_Party,H1726&amp;"")=0)),"Bill # + vendor not found on AP sheet",IF(AND(ISNUMBER(M1726),N(M1726)&lt;&gt;0,W1726=0),"Tax ignored (tax tracking off, or not allowed for this type)",IF(V1726=K1726&amp;"","Same account on both sides",IF(AND(ISNUMBER(StartDate),C1726&lt;StartDate),"Date is before the accounting start date",IF(AND(D1726&lt;&gt;"Adjustment",IFERROR(INDEX(coa_Pay,MATCH(K1726&amp;"",coa_Name,0)),"")&lt;&gt;"Yes"),"Paid From / Deposited To is not a payment account","")))))))))))</f>
        <v/>
      </c>
      <c r="Z1726" s="67">
        <f>IF(AND(T1726=0,X1726=""),1,0)</f>
        <v/>
      </c>
      <c r="AA1726" s="68">
        <f>IF(Z1726=1,IF(U1726="In",L1726,L1726-W1726),0)</f>
        <v/>
      </c>
      <c r="AB1726" s="68">
        <f>IF(Z1726=1,IF(U1726="In",L1726-W1726,L1726),0)</f>
        <v/>
      </c>
      <c r="AC1726" s="68">
        <f>IF(AND(Z1726=1,U1726="Out"),W1726,0)</f>
        <v/>
      </c>
      <c r="AD1726" s="68">
        <f>IF(AND(Z1726=1,U1726="In"),W1726,0)</f>
        <v/>
      </c>
    </row>
    <row r="1727">
      <c r="B1727" s="62" t="inlineStr">
        <is>
          <t>TX-1721</t>
        </is>
      </c>
      <c r="C1727" s="63" t="n"/>
      <c r="D1727" s="62" t="n"/>
      <c r="E1727" s="62" t="n"/>
      <c r="F1727" s="62" t="n"/>
      <c r="G1727" s="62" t="n"/>
      <c r="H1727" s="62" t="n"/>
      <c r="I1727" s="62" t="n"/>
      <c r="J1727" s="62" t="n"/>
      <c r="K1727" s="62" t="n"/>
      <c r="L1727" s="64" t="n"/>
      <c r="M1727" s="64" t="n"/>
      <c r="N1727" s="62" t="n"/>
      <c r="O1727" s="65">
        <f>IF(Z1727=1,L1727-W1727,"")</f>
        <v/>
      </c>
      <c r="P1727" s="66">
        <f>IF(V1727="","",IFERROR(INDEX(coa_Type,MATCH(V1727,coa_Name,0)),""))</f>
        <v/>
      </c>
      <c r="Q1727" s="66">
        <f>IF(Z1727=1,IF(U1727="In",K1727&amp;"",V1727),"")</f>
        <v/>
      </c>
      <c r="R1727" s="66">
        <f>IF(Z1727=1,IF(U1727="In",V1727,K1727&amp;""),"")</f>
        <v/>
      </c>
      <c r="S1727" s="66">
        <f>IF(X1727&lt;&gt;"","⛔ "&amp;X1727&amp;" — not posted",IF(Y1727&lt;&gt;"","⚠ "&amp;Y1727,IF(Z1727=1,"✓ OK","")))</f>
        <v/>
      </c>
      <c r="T1727" s="67">
        <f>IF(AND(C1727="",D1727="",E1727="",L1727="",K1727=""),1,0)</f>
        <v/>
      </c>
      <c r="U1727" s="67">
        <f>IFERROR(INDEX(tt_Dir,MATCH(D1727,tt_Type,0)),"")</f>
        <v/>
      </c>
      <c r="V1727" s="67">
        <f>IF(D1727="","",IFERROR(IF(INDEX(tt_Other,MATCH(D1727,tt_Type,0))="",E1727&amp;"",INDEX(tt_Other,MATCH(D1727,tt_Type,0))),""))</f>
        <v/>
      </c>
      <c r="W1727" s="68">
        <f>IF(OR(TaxOn&lt;&gt;"Yes",NOT(ISNUMBER(M1727))),0,IF(IFERROR(INDEX(tt_Tax,MATCH(D1727,tt_Type,0)),"No")="Yes",M1727,0))</f>
        <v/>
      </c>
      <c r="X1727" s="67">
        <f>IF(T1727=1,"",IF(C1727="","Missing transaction date",IF(NOT(ISNUMBER(C1727)),"Invalid date",IF(OR(C1727&lt;DATE(2000,1,1),C1727&gt;DATE(2099,12,31)),"Invalid date",IF(D1727="","Select a type",IF(U1727="","Unknown type: "&amp;D1727,IF(V1727="","Select an account (Category)",IF(ISNA(MATCH(V1727,coa_Name,0)),"Unknown account: "&amp;V1727,IF(K1727="","Select Paid From / Deposited To",IF(ISNA(MATCH(K1727,coa_Name,0)),"Unknown account: "&amp;K1727,IF(NOT(ISNUMBER(L1727)),"Enter an amount",IF(L1727=0,"Enter an amount",IF(ABS(W1727)&gt;ABS(L1727),"Tax is larger than the amount","")))))))))))))</f>
        <v/>
      </c>
      <c r="Y1727" s="67">
        <f>IF(OR(T1727=1,X1727&lt;&gt;""),"",IF(AND(B1727&lt;&gt;"",COUNTIF(tx_ID,B1727)&gt;1),"Duplicate transaction ID",IF(AND(L1727&lt;0,D1727&lt;&gt;"Adjustment"),"Negative amount — check this entry",IF(AND(D1727="Customer Payment",G1727=""),"Add the customer",IF(AND(D1727="Customer Payment",OR(J1727="",COUNTIF(ar_No,J1727&amp;"")=0)),"Invoice # in Reference not found on AR sheet",IF(AND(D1727="Bill Payment",H1727=""),"Add the vendor",IF(AND(D1727="Bill Payment",OR(J1727="",COUNTIFS(ap_No,J1727&amp;"",ap_Party,H1727&amp;"")=0)),"Bill # + vendor not found on AP sheet",IF(AND(ISNUMBER(M1727),N(M1727)&lt;&gt;0,W1727=0),"Tax ignored (tax tracking off, or not allowed for this type)",IF(V1727=K1727&amp;"","Same account on both sides",IF(AND(ISNUMBER(StartDate),C1727&lt;StartDate),"Date is before the accounting start date",IF(AND(D1727&lt;&gt;"Adjustment",IFERROR(INDEX(coa_Pay,MATCH(K1727&amp;"",coa_Name,0)),"")&lt;&gt;"Yes"),"Paid From / Deposited To is not a payment account","")))))))))))</f>
        <v/>
      </c>
      <c r="Z1727" s="67">
        <f>IF(AND(T1727=0,X1727=""),1,0)</f>
        <v/>
      </c>
      <c r="AA1727" s="68">
        <f>IF(Z1727=1,IF(U1727="In",L1727,L1727-W1727),0)</f>
        <v/>
      </c>
      <c r="AB1727" s="68">
        <f>IF(Z1727=1,IF(U1727="In",L1727-W1727,L1727),0)</f>
        <v/>
      </c>
      <c r="AC1727" s="68">
        <f>IF(AND(Z1727=1,U1727="Out"),W1727,0)</f>
        <v/>
      </c>
      <c r="AD1727" s="68">
        <f>IF(AND(Z1727=1,U1727="In"),W1727,0)</f>
        <v/>
      </c>
    </row>
    <row r="1728">
      <c r="B1728" s="62" t="inlineStr">
        <is>
          <t>TX-1722</t>
        </is>
      </c>
      <c r="C1728" s="63" t="n"/>
      <c r="D1728" s="62" t="n"/>
      <c r="E1728" s="62" t="n"/>
      <c r="F1728" s="62" t="n"/>
      <c r="G1728" s="62" t="n"/>
      <c r="H1728" s="62" t="n"/>
      <c r="I1728" s="62" t="n"/>
      <c r="J1728" s="62" t="n"/>
      <c r="K1728" s="62" t="n"/>
      <c r="L1728" s="64" t="n"/>
      <c r="M1728" s="64" t="n"/>
      <c r="N1728" s="62" t="n"/>
      <c r="O1728" s="65">
        <f>IF(Z1728=1,L1728-W1728,"")</f>
        <v/>
      </c>
      <c r="P1728" s="66">
        <f>IF(V1728="","",IFERROR(INDEX(coa_Type,MATCH(V1728,coa_Name,0)),""))</f>
        <v/>
      </c>
      <c r="Q1728" s="66">
        <f>IF(Z1728=1,IF(U1728="In",K1728&amp;"",V1728),"")</f>
        <v/>
      </c>
      <c r="R1728" s="66">
        <f>IF(Z1728=1,IF(U1728="In",V1728,K1728&amp;""),"")</f>
        <v/>
      </c>
      <c r="S1728" s="66">
        <f>IF(X1728&lt;&gt;"","⛔ "&amp;X1728&amp;" — not posted",IF(Y1728&lt;&gt;"","⚠ "&amp;Y1728,IF(Z1728=1,"✓ OK","")))</f>
        <v/>
      </c>
      <c r="T1728" s="67">
        <f>IF(AND(C1728="",D1728="",E1728="",L1728="",K1728=""),1,0)</f>
        <v/>
      </c>
      <c r="U1728" s="67">
        <f>IFERROR(INDEX(tt_Dir,MATCH(D1728,tt_Type,0)),"")</f>
        <v/>
      </c>
      <c r="V1728" s="67">
        <f>IF(D1728="","",IFERROR(IF(INDEX(tt_Other,MATCH(D1728,tt_Type,0))="",E1728&amp;"",INDEX(tt_Other,MATCH(D1728,tt_Type,0))),""))</f>
        <v/>
      </c>
      <c r="W1728" s="68">
        <f>IF(OR(TaxOn&lt;&gt;"Yes",NOT(ISNUMBER(M1728))),0,IF(IFERROR(INDEX(tt_Tax,MATCH(D1728,tt_Type,0)),"No")="Yes",M1728,0))</f>
        <v/>
      </c>
      <c r="X1728" s="67">
        <f>IF(T1728=1,"",IF(C1728="","Missing transaction date",IF(NOT(ISNUMBER(C1728)),"Invalid date",IF(OR(C1728&lt;DATE(2000,1,1),C1728&gt;DATE(2099,12,31)),"Invalid date",IF(D1728="","Select a type",IF(U1728="","Unknown type: "&amp;D1728,IF(V1728="","Select an account (Category)",IF(ISNA(MATCH(V1728,coa_Name,0)),"Unknown account: "&amp;V1728,IF(K1728="","Select Paid From / Deposited To",IF(ISNA(MATCH(K1728,coa_Name,0)),"Unknown account: "&amp;K1728,IF(NOT(ISNUMBER(L1728)),"Enter an amount",IF(L1728=0,"Enter an amount",IF(ABS(W1728)&gt;ABS(L1728),"Tax is larger than the amount","")))))))))))))</f>
        <v/>
      </c>
      <c r="Y1728" s="67">
        <f>IF(OR(T1728=1,X1728&lt;&gt;""),"",IF(AND(B1728&lt;&gt;"",COUNTIF(tx_ID,B1728)&gt;1),"Duplicate transaction ID",IF(AND(L1728&lt;0,D1728&lt;&gt;"Adjustment"),"Negative amount — check this entry",IF(AND(D1728="Customer Payment",G1728=""),"Add the customer",IF(AND(D1728="Customer Payment",OR(J1728="",COUNTIF(ar_No,J1728&amp;"")=0)),"Invoice # in Reference not found on AR sheet",IF(AND(D1728="Bill Payment",H1728=""),"Add the vendor",IF(AND(D1728="Bill Payment",OR(J1728="",COUNTIFS(ap_No,J1728&amp;"",ap_Party,H1728&amp;"")=0)),"Bill # + vendor not found on AP sheet",IF(AND(ISNUMBER(M1728),N(M1728)&lt;&gt;0,W1728=0),"Tax ignored (tax tracking off, or not allowed for this type)",IF(V1728=K1728&amp;"","Same account on both sides",IF(AND(ISNUMBER(StartDate),C1728&lt;StartDate),"Date is before the accounting start date",IF(AND(D1728&lt;&gt;"Adjustment",IFERROR(INDEX(coa_Pay,MATCH(K1728&amp;"",coa_Name,0)),"")&lt;&gt;"Yes"),"Paid From / Deposited To is not a payment account","")))))))))))</f>
        <v/>
      </c>
      <c r="Z1728" s="67">
        <f>IF(AND(T1728=0,X1728=""),1,0)</f>
        <v/>
      </c>
      <c r="AA1728" s="68">
        <f>IF(Z1728=1,IF(U1728="In",L1728,L1728-W1728),0)</f>
        <v/>
      </c>
      <c r="AB1728" s="68">
        <f>IF(Z1728=1,IF(U1728="In",L1728-W1728,L1728),0)</f>
        <v/>
      </c>
      <c r="AC1728" s="68">
        <f>IF(AND(Z1728=1,U1728="Out"),W1728,0)</f>
        <v/>
      </c>
      <c r="AD1728" s="68">
        <f>IF(AND(Z1728=1,U1728="In"),W1728,0)</f>
        <v/>
      </c>
    </row>
    <row r="1729">
      <c r="B1729" s="62" t="inlineStr">
        <is>
          <t>TX-1723</t>
        </is>
      </c>
      <c r="C1729" s="63" t="n"/>
      <c r="D1729" s="62" t="n"/>
      <c r="E1729" s="62" t="n"/>
      <c r="F1729" s="62" t="n"/>
      <c r="G1729" s="62" t="n"/>
      <c r="H1729" s="62" t="n"/>
      <c r="I1729" s="62" t="n"/>
      <c r="J1729" s="62" t="n"/>
      <c r="K1729" s="62" t="n"/>
      <c r="L1729" s="64" t="n"/>
      <c r="M1729" s="64" t="n"/>
      <c r="N1729" s="62" t="n"/>
      <c r="O1729" s="65">
        <f>IF(Z1729=1,L1729-W1729,"")</f>
        <v/>
      </c>
      <c r="P1729" s="66">
        <f>IF(V1729="","",IFERROR(INDEX(coa_Type,MATCH(V1729,coa_Name,0)),""))</f>
        <v/>
      </c>
      <c r="Q1729" s="66">
        <f>IF(Z1729=1,IF(U1729="In",K1729&amp;"",V1729),"")</f>
        <v/>
      </c>
      <c r="R1729" s="66">
        <f>IF(Z1729=1,IF(U1729="In",V1729,K1729&amp;""),"")</f>
        <v/>
      </c>
      <c r="S1729" s="66">
        <f>IF(X1729&lt;&gt;"","⛔ "&amp;X1729&amp;" — not posted",IF(Y1729&lt;&gt;"","⚠ "&amp;Y1729,IF(Z1729=1,"✓ OK","")))</f>
        <v/>
      </c>
      <c r="T1729" s="67">
        <f>IF(AND(C1729="",D1729="",E1729="",L1729="",K1729=""),1,0)</f>
        <v/>
      </c>
      <c r="U1729" s="67">
        <f>IFERROR(INDEX(tt_Dir,MATCH(D1729,tt_Type,0)),"")</f>
        <v/>
      </c>
      <c r="V1729" s="67">
        <f>IF(D1729="","",IFERROR(IF(INDEX(tt_Other,MATCH(D1729,tt_Type,0))="",E1729&amp;"",INDEX(tt_Other,MATCH(D1729,tt_Type,0))),""))</f>
        <v/>
      </c>
      <c r="W1729" s="68">
        <f>IF(OR(TaxOn&lt;&gt;"Yes",NOT(ISNUMBER(M1729))),0,IF(IFERROR(INDEX(tt_Tax,MATCH(D1729,tt_Type,0)),"No")="Yes",M1729,0))</f>
        <v/>
      </c>
      <c r="X1729" s="67">
        <f>IF(T1729=1,"",IF(C1729="","Missing transaction date",IF(NOT(ISNUMBER(C1729)),"Invalid date",IF(OR(C1729&lt;DATE(2000,1,1),C1729&gt;DATE(2099,12,31)),"Invalid date",IF(D1729="","Select a type",IF(U1729="","Unknown type: "&amp;D1729,IF(V1729="","Select an account (Category)",IF(ISNA(MATCH(V1729,coa_Name,0)),"Unknown account: "&amp;V1729,IF(K1729="","Select Paid From / Deposited To",IF(ISNA(MATCH(K1729,coa_Name,0)),"Unknown account: "&amp;K1729,IF(NOT(ISNUMBER(L1729)),"Enter an amount",IF(L1729=0,"Enter an amount",IF(ABS(W1729)&gt;ABS(L1729),"Tax is larger than the amount","")))))))))))))</f>
        <v/>
      </c>
      <c r="Y1729" s="67">
        <f>IF(OR(T1729=1,X1729&lt;&gt;""),"",IF(AND(B1729&lt;&gt;"",COUNTIF(tx_ID,B1729)&gt;1),"Duplicate transaction ID",IF(AND(L1729&lt;0,D1729&lt;&gt;"Adjustment"),"Negative amount — check this entry",IF(AND(D1729="Customer Payment",G1729=""),"Add the customer",IF(AND(D1729="Customer Payment",OR(J1729="",COUNTIF(ar_No,J1729&amp;"")=0)),"Invoice # in Reference not found on AR sheet",IF(AND(D1729="Bill Payment",H1729=""),"Add the vendor",IF(AND(D1729="Bill Payment",OR(J1729="",COUNTIFS(ap_No,J1729&amp;"",ap_Party,H1729&amp;"")=0)),"Bill # + vendor not found on AP sheet",IF(AND(ISNUMBER(M1729),N(M1729)&lt;&gt;0,W1729=0),"Tax ignored (tax tracking off, or not allowed for this type)",IF(V1729=K1729&amp;"","Same account on both sides",IF(AND(ISNUMBER(StartDate),C1729&lt;StartDate),"Date is before the accounting start date",IF(AND(D1729&lt;&gt;"Adjustment",IFERROR(INDEX(coa_Pay,MATCH(K1729&amp;"",coa_Name,0)),"")&lt;&gt;"Yes"),"Paid From / Deposited To is not a payment account","")))))))))))</f>
        <v/>
      </c>
      <c r="Z1729" s="67">
        <f>IF(AND(T1729=0,X1729=""),1,0)</f>
        <v/>
      </c>
      <c r="AA1729" s="68">
        <f>IF(Z1729=1,IF(U1729="In",L1729,L1729-W1729),0)</f>
        <v/>
      </c>
      <c r="AB1729" s="68">
        <f>IF(Z1729=1,IF(U1729="In",L1729-W1729,L1729),0)</f>
        <v/>
      </c>
      <c r="AC1729" s="68">
        <f>IF(AND(Z1729=1,U1729="Out"),W1729,0)</f>
        <v/>
      </c>
      <c r="AD1729" s="68">
        <f>IF(AND(Z1729=1,U1729="In"),W1729,0)</f>
        <v/>
      </c>
    </row>
    <row r="1730">
      <c r="B1730" s="62" t="inlineStr">
        <is>
          <t>TX-1724</t>
        </is>
      </c>
      <c r="C1730" s="63" t="n"/>
      <c r="D1730" s="62" t="n"/>
      <c r="E1730" s="62" t="n"/>
      <c r="F1730" s="62" t="n"/>
      <c r="G1730" s="62" t="n"/>
      <c r="H1730" s="62" t="n"/>
      <c r="I1730" s="62" t="n"/>
      <c r="J1730" s="62" t="n"/>
      <c r="K1730" s="62" t="n"/>
      <c r="L1730" s="64" t="n"/>
      <c r="M1730" s="64" t="n"/>
      <c r="N1730" s="62" t="n"/>
      <c r="O1730" s="65">
        <f>IF(Z1730=1,L1730-W1730,"")</f>
        <v/>
      </c>
      <c r="P1730" s="66">
        <f>IF(V1730="","",IFERROR(INDEX(coa_Type,MATCH(V1730,coa_Name,0)),""))</f>
        <v/>
      </c>
      <c r="Q1730" s="66">
        <f>IF(Z1730=1,IF(U1730="In",K1730&amp;"",V1730),"")</f>
        <v/>
      </c>
      <c r="R1730" s="66">
        <f>IF(Z1730=1,IF(U1730="In",V1730,K1730&amp;""),"")</f>
        <v/>
      </c>
      <c r="S1730" s="66">
        <f>IF(X1730&lt;&gt;"","⛔ "&amp;X1730&amp;" — not posted",IF(Y1730&lt;&gt;"","⚠ "&amp;Y1730,IF(Z1730=1,"✓ OK","")))</f>
        <v/>
      </c>
      <c r="T1730" s="67">
        <f>IF(AND(C1730="",D1730="",E1730="",L1730="",K1730=""),1,0)</f>
        <v/>
      </c>
      <c r="U1730" s="67">
        <f>IFERROR(INDEX(tt_Dir,MATCH(D1730,tt_Type,0)),"")</f>
        <v/>
      </c>
      <c r="V1730" s="67">
        <f>IF(D1730="","",IFERROR(IF(INDEX(tt_Other,MATCH(D1730,tt_Type,0))="",E1730&amp;"",INDEX(tt_Other,MATCH(D1730,tt_Type,0))),""))</f>
        <v/>
      </c>
      <c r="W1730" s="68">
        <f>IF(OR(TaxOn&lt;&gt;"Yes",NOT(ISNUMBER(M1730))),0,IF(IFERROR(INDEX(tt_Tax,MATCH(D1730,tt_Type,0)),"No")="Yes",M1730,0))</f>
        <v/>
      </c>
      <c r="X1730" s="67">
        <f>IF(T1730=1,"",IF(C1730="","Missing transaction date",IF(NOT(ISNUMBER(C1730)),"Invalid date",IF(OR(C1730&lt;DATE(2000,1,1),C1730&gt;DATE(2099,12,31)),"Invalid date",IF(D1730="","Select a type",IF(U1730="","Unknown type: "&amp;D1730,IF(V1730="","Select an account (Category)",IF(ISNA(MATCH(V1730,coa_Name,0)),"Unknown account: "&amp;V1730,IF(K1730="","Select Paid From / Deposited To",IF(ISNA(MATCH(K1730,coa_Name,0)),"Unknown account: "&amp;K1730,IF(NOT(ISNUMBER(L1730)),"Enter an amount",IF(L1730=0,"Enter an amount",IF(ABS(W1730)&gt;ABS(L1730),"Tax is larger than the amount","")))))))))))))</f>
        <v/>
      </c>
      <c r="Y1730" s="67">
        <f>IF(OR(T1730=1,X1730&lt;&gt;""),"",IF(AND(B1730&lt;&gt;"",COUNTIF(tx_ID,B1730)&gt;1),"Duplicate transaction ID",IF(AND(L1730&lt;0,D1730&lt;&gt;"Adjustment"),"Negative amount — check this entry",IF(AND(D1730="Customer Payment",G1730=""),"Add the customer",IF(AND(D1730="Customer Payment",OR(J1730="",COUNTIF(ar_No,J1730&amp;"")=0)),"Invoice # in Reference not found on AR sheet",IF(AND(D1730="Bill Payment",H1730=""),"Add the vendor",IF(AND(D1730="Bill Payment",OR(J1730="",COUNTIFS(ap_No,J1730&amp;"",ap_Party,H1730&amp;"")=0)),"Bill # + vendor not found on AP sheet",IF(AND(ISNUMBER(M1730),N(M1730)&lt;&gt;0,W1730=0),"Tax ignored (tax tracking off, or not allowed for this type)",IF(V1730=K1730&amp;"","Same account on both sides",IF(AND(ISNUMBER(StartDate),C1730&lt;StartDate),"Date is before the accounting start date",IF(AND(D1730&lt;&gt;"Adjustment",IFERROR(INDEX(coa_Pay,MATCH(K1730&amp;"",coa_Name,0)),"")&lt;&gt;"Yes"),"Paid From / Deposited To is not a payment account","")))))))))))</f>
        <v/>
      </c>
      <c r="Z1730" s="67">
        <f>IF(AND(T1730=0,X1730=""),1,0)</f>
        <v/>
      </c>
      <c r="AA1730" s="68">
        <f>IF(Z1730=1,IF(U1730="In",L1730,L1730-W1730),0)</f>
        <v/>
      </c>
      <c r="AB1730" s="68">
        <f>IF(Z1730=1,IF(U1730="In",L1730-W1730,L1730),0)</f>
        <v/>
      </c>
      <c r="AC1730" s="68">
        <f>IF(AND(Z1730=1,U1730="Out"),W1730,0)</f>
        <v/>
      </c>
      <c r="AD1730" s="68">
        <f>IF(AND(Z1730=1,U1730="In"),W1730,0)</f>
        <v/>
      </c>
    </row>
    <row r="1731">
      <c r="B1731" s="62" t="inlineStr">
        <is>
          <t>TX-1725</t>
        </is>
      </c>
      <c r="C1731" s="63" t="n"/>
      <c r="D1731" s="62" t="n"/>
      <c r="E1731" s="62" t="n"/>
      <c r="F1731" s="62" t="n"/>
      <c r="G1731" s="62" t="n"/>
      <c r="H1731" s="62" t="n"/>
      <c r="I1731" s="62" t="n"/>
      <c r="J1731" s="62" t="n"/>
      <c r="K1731" s="62" t="n"/>
      <c r="L1731" s="64" t="n"/>
      <c r="M1731" s="64" t="n"/>
      <c r="N1731" s="62" t="n"/>
      <c r="O1731" s="65">
        <f>IF(Z1731=1,L1731-W1731,"")</f>
        <v/>
      </c>
      <c r="P1731" s="66">
        <f>IF(V1731="","",IFERROR(INDEX(coa_Type,MATCH(V1731,coa_Name,0)),""))</f>
        <v/>
      </c>
      <c r="Q1731" s="66">
        <f>IF(Z1731=1,IF(U1731="In",K1731&amp;"",V1731),"")</f>
        <v/>
      </c>
      <c r="R1731" s="66">
        <f>IF(Z1731=1,IF(U1731="In",V1731,K1731&amp;""),"")</f>
        <v/>
      </c>
      <c r="S1731" s="66">
        <f>IF(X1731&lt;&gt;"","⛔ "&amp;X1731&amp;" — not posted",IF(Y1731&lt;&gt;"","⚠ "&amp;Y1731,IF(Z1731=1,"✓ OK","")))</f>
        <v/>
      </c>
      <c r="T1731" s="67">
        <f>IF(AND(C1731="",D1731="",E1731="",L1731="",K1731=""),1,0)</f>
        <v/>
      </c>
      <c r="U1731" s="67">
        <f>IFERROR(INDEX(tt_Dir,MATCH(D1731,tt_Type,0)),"")</f>
        <v/>
      </c>
      <c r="V1731" s="67">
        <f>IF(D1731="","",IFERROR(IF(INDEX(tt_Other,MATCH(D1731,tt_Type,0))="",E1731&amp;"",INDEX(tt_Other,MATCH(D1731,tt_Type,0))),""))</f>
        <v/>
      </c>
      <c r="W1731" s="68">
        <f>IF(OR(TaxOn&lt;&gt;"Yes",NOT(ISNUMBER(M1731))),0,IF(IFERROR(INDEX(tt_Tax,MATCH(D1731,tt_Type,0)),"No")="Yes",M1731,0))</f>
        <v/>
      </c>
      <c r="X1731" s="67">
        <f>IF(T1731=1,"",IF(C1731="","Missing transaction date",IF(NOT(ISNUMBER(C1731)),"Invalid date",IF(OR(C1731&lt;DATE(2000,1,1),C1731&gt;DATE(2099,12,31)),"Invalid date",IF(D1731="","Select a type",IF(U1731="","Unknown type: "&amp;D1731,IF(V1731="","Select an account (Category)",IF(ISNA(MATCH(V1731,coa_Name,0)),"Unknown account: "&amp;V1731,IF(K1731="","Select Paid From / Deposited To",IF(ISNA(MATCH(K1731,coa_Name,0)),"Unknown account: "&amp;K1731,IF(NOT(ISNUMBER(L1731)),"Enter an amount",IF(L1731=0,"Enter an amount",IF(ABS(W1731)&gt;ABS(L1731),"Tax is larger than the amount","")))))))))))))</f>
        <v/>
      </c>
      <c r="Y1731" s="67">
        <f>IF(OR(T1731=1,X1731&lt;&gt;""),"",IF(AND(B1731&lt;&gt;"",COUNTIF(tx_ID,B1731)&gt;1),"Duplicate transaction ID",IF(AND(L1731&lt;0,D1731&lt;&gt;"Adjustment"),"Negative amount — check this entry",IF(AND(D1731="Customer Payment",G1731=""),"Add the customer",IF(AND(D1731="Customer Payment",OR(J1731="",COUNTIF(ar_No,J1731&amp;"")=0)),"Invoice # in Reference not found on AR sheet",IF(AND(D1731="Bill Payment",H1731=""),"Add the vendor",IF(AND(D1731="Bill Payment",OR(J1731="",COUNTIFS(ap_No,J1731&amp;"",ap_Party,H1731&amp;"")=0)),"Bill # + vendor not found on AP sheet",IF(AND(ISNUMBER(M1731),N(M1731)&lt;&gt;0,W1731=0),"Tax ignored (tax tracking off, or not allowed for this type)",IF(V1731=K1731&amp;"","Same account on both sides",IF(AND(ISNUMBER(StartDate),C1731&lt;StartDate),"Date is before the accounting start date",IF(AND(D1731&lt;&gt;"Adjustment",IFERROR(INDEX(coa_Pay,MATCH(K1731&amp;"",coa_Name,0)),"")&lt;&gt;"Yes"),"Paid From / Deposited To is not a payment account","")))))))))))</f>
        <v/>
      </c>
      <c r="Z1731" s="67">
        <f>IF(AND(T1731=0,X1731=""),1,0)</f>
        <v/>
      </c>
      <c r="AA1731" s="68">
        <f>IF(Z1731=1,IF(U1731="In",L1731,L1731-W1731),0)</f>
        <v/>
      </c>
      <c r="AB1731" s="68">
        <f>IF(Z1731=1,IF(U1731="In",L1731-W1731,L1731),0)</f>
        <v/>
      </c>
      <c r="AC1731" s="68">
        <f>IF(AND(Z1731=1,U1731="Out"),W1731,0)</f>
        <v/>
      </c>
      <c r="AD1731" s="68">
        <f>IF(AND(Z1731=1,U1731="In"),W1731,0)</f>
        <v/>
      </c>
    </row>
    <row r="1732">
      <c r="B1732" s="62" t="inlineStr">
        <is>
          <t>TX-1726</t>
        </is>
      </c>
      <c r="C1732" s="63" t="n"/>
      <c r="D1732" s="62" t="n"/>
      <c r="E1732" s="62" t="n"/>
      <c r="F1732" s="62" t="n"/>
      <c r="G1732" s="62" t="n"/>
      <c r="H1732" s="62" t="n"/>
      <c r="I1732" s="62" t="n"/>
      <c r="J1732" s="62" t="n"/>
      <c r="K1732" s="62" t="n"/>
      <c r="L1732" s="64" t="n"/>
      <c r="M1732" s="64" t="n"/>
      <c r="N1732" s="62" t="n"/>
      <c r="O1732" s="65">
        <f>IF(Z1732=1,L1732-W1732,"")</f>
        <v/>
      </c>
      <c r="P1732" s="66">
        <f>IF(V1732="","",IFERROR(INDEX(coa_Type,MATCH(V1732,coa_Name,0)),""))</f>
        <v/>
      </c>
      <c r="Q1732" s="66">
        <f>IF(Z1732=1,IF(U1732="In",K1732&amp;"",V1732),"")</f>
        <v/>
      </c>
      <c r="R1732" s="66">
        <f>IF(Z1732=1,IF(U1732="In",V1732,K1732&amp;""),"")</f>
        <v/>
      </c>
      <c r="S1732" s="66">
        <f>IF(X1732&lt;&gt;"","⛔ "&amp;X1732&amp;" — not posted",IF(Y1732&lt;&gt;"","⚠ "&amp;Y1732,IF(Z1732=1,"✓ OK","")))</f>
        <v/>
      </c>
      <c r="T1732" s="67">
        <f>IF(AND(C1732="",D1732="",E1732="",L1732="",K1732=""),1,0)</f>
        <v/>
      </c>
      <c r="U1732" s="67">
        <f>IFERROR(INDEX(tt_Dir,MATCH(D1732,tt_Type,0)),"")</f>
        <v/>
      </c>
      <c r="V1732" s="67">
        <f>IF(D1732="","",IFERROR(IF(INDEX(tt_Other,MATCH(D1732,tt_Type,0))="",E1732&amp;"",INDEX(tt_Other,MATCH(D1732,tt_Type,0))),""))</f>
        <v/>
      </c>
      <c r="W1732" s="68">
        <f>IF(OR(TaxOn&lt;&gt;"Yes",NOT(ISNUMBER(M1732))),0,IF(IFERROR(INDEX(tt_Tax,MATCH(D1732,tt_Type,0)),"No")="Yes",M1732,0))</f>
        <v/>
      </c>
      <c r="X1732" s="67">
        <f>IF(T1732=1,"",IF(C1732="","Missing transaction date",IF(NOT(ISNUMBER(C1732)),"Invalid date",IF(OR(C1732&lt;DATE(2000,1,1),C1732&gt;DATE(2099,12,31)),"Invalid date",IF(D1732="","Select a type",IF(U1732="","Unknown type: "&amp;D1732,IF(V1732="","Select an account (Category)",IF(ISNA(MATCH(V1732,coa_Name,0)),"Unknown account: "&amp;V1732,IF(K1732="","Select Paid From / Deposited To",IF(ISNA(MATCH(K1732,coa_Name,0)),"Unknown account: "&amp;K1732,IF(NOT(ISNUMBER(L1732)),"Enter an amount",IF(L1732=0,"Enter an amount",IF(ABS(W1732)&gt;ABS(L1732),"Tax is larger than the amount","")))))))))))))</f>
        <v/>
      </c>
      <c r="Y1732" s="67">
        <f>IF(OR(T1732=1,X1732&lt;&gt;""),"",IF(AND(B1732&lt;&gt;"",COUNTIF(tx_ID,B1732)&gt;1),"Duplicate transaction ID",IF(AND(L1732&lt;0,D1732&lt;&gt;"Adjustment"),"Negative amount — check this entry",IF(AND(D1732="Customer Payment",G1732=""),"Add the customer",IF(AND(D1732="Customer Payment",OR(J1732="",COUNTIF(ar_No,J1732&amp;"")=0)),"Invoice # in Reference not found on AR sheet",IF(AND(D1732="Bill Payment",H1732=""),"Add the vendor",IF(AND(D1732="Bill Payment",OR(J1732="",COUNTIFS(ap_No,J1732&amp;"",ap_Party,H1732&amp;"")=0)),"Bill # + vendor not found on AP sheet",IF(AND(ISNUMBER(M1732),N(M1732)&lt;&gt;0,W1732=0),"Tax ignored (tax tracking off, or not allowed for this type)",IF(V1732=K1732&amp;"","Same account on both sides",IF(AND(ISNUMBER(StartDate),C1732&lt;StartDate),"Date is before the accounting start date",IF(AND(D1732&lt;&gt;"Adjustment",IFERROR(INDEX(coa_Pay,MATCH(K1732&amp;"",coa_Name,0)),"")&lt;&gt;"Yes"),"Paid From / Deposited To is not a payment account","")))))))))))</f>
        <v/>
      </c>
      <c r="Z1732" s="67">
        <f>IF(AND(T1732=0,X1732=""),1,0)</f>
        <v/>
      </c>
      <c r="AA1732" s="68">
        <f>IF(Z1732=1,IF(U1732="In",L1732,L1732-W1732),0)</f>
        <v/>
      </c>
      <c r="AB1732" s="68">
        <f>IF(Z1732=1,IF(U1732="In",L1732-W1732,L1732),0)</f>
        <v/>
      </c>
      <c r="AC1732" s="68">
        <f>IF(AND(Z1732=1,U1732="Out"),W1732,0)</f>
        <v/>
      </c>
      <c r="AD1732" s="68">
        <f>IF(AND(Z1732=1,U1732="In"),W1732,0)</f>
        <v/>
      </c>
    </row>
    <row r="1733">
      <c r="B1733" s="62" t="inlineStr">
        <is>
          <t>TX-1727</t>
        </is>
      </c>
      <c r="C1733" s="63" t="n"/>
      <c r="D1733" s="62" t="n"/>
      <c r="E1733" s="62" t="n"/>
      <c r="F1733" s="62" t="n"/>
      <c r="G1733" s="62" t="n"/>
      <c r="H1733" s="62" t="n"/>
      <c r="I1733" s="62" t="n"/>
      <c r="J1733" s="62" t="n"/>
      <c r="K1733" s="62" t="n"/>
      <c r="L1733" s="64" t="n"/>
      <c r="M1733" s="64" t="n"/>
      <c r="N1733" s="62" t="n"/>
      <c r="O1733" s="65">
        <f>IF(Z1733=1,L1733-W1733,"")</f>
        <v/>
      </c>
      <c r="P1733" s="66">
        <f>IF(V1733="","",IFERROR(INDEX(coa_Type,MATCH(V1733,coa_Name,0)),""))</f>
        <v/>
      </c>
      <c r="Q1733" s="66">
        <f>IF(Z1733=1,IF(U1733="In",K1733&amp;"",V1733),"")</f>
        <v/>
      </c>
      <c r="R1733" s="66">
        <f>IF(Z1733=1,IF(U1733="In",V1733,K1733&amp;""),"")</f>
        <v/>
      </c>
      <c r="S1733" s="66">
        <f>IF(X1733&lt;&gt;"","⛔ "&amp;X1733&amp;" — not posted",IF(Y1733&lt;&gt;"","⚠ "&amp;Y1733,IF(Z1733=1,"✓ OK","")))</f>
        <v/>
      </c>
      <c r="T1733" s="67">
        <f>IF(AND(C1733="",D1733="",E1733="",L1733="",K1733=""),1,0)</f>
        <v/>
      </c>
      <c r="U1733" s="67">
        <f>IFERROR(INDEX(tt_Dir,MATCH(D1733,tt_Type,0)),"")</f>
        <v/>
      </c>
      <c r="V1733" s="67">
        <f>IF(D1733="","",IFERROR(IF(INDEX(tt_Other,MATCH(D1733,tt_Type,0))="",E1733&amp;"",INDEX(tt_Other,MATCH(D1733,tt_Type,0))),""))</f>
        <v/>
      </c>
      <c r="W1733" s="68">
        <f>IF(OR(TaxOn&lt;&gt;"Yes",NOT(ISNUMBER(M1733))),0,IF(IFERROR(INDEX(tt_Tax,MATCH(D1733,tt_Type,0)),"No")="Yes",M1733,0))</f>
        <v/>
      </c>
      <c r="X1733" s="67">
        <f>IF(T1733=1,"",IF(C1733="","Missing transaction date",IF(NOT(ISNUMBER(C1733)),"Invalid date",IF(OR(C1733&lt;DATE(2000,1,1),C1733&gt;DATE(2099,12,31)),"Invalid date",IF(D1733="","Select a type",IF(U1733="","Unknown type: "&amp;D1733,IF(V1733="","Select an account (Category)",IF(ISNA(MATCH(V1733,coa_Name,0)),"Unknown account: "&amp;V1733,IF(K1733="","Select Paid From / Deposited To",IF(ISNA(MATCH(K1733,coa_Name,0)),"Unknown account: "&amp;K1733,IF(NOT(ISNUMBER(L1733)),"Enter an amount",IF(L1733=0,"Enter an amount",IF(ABS(W1733)&gt;ABS(L1733),"Tax is larger than the amount","")))))))))))))</f>
        <v/>
      </c>
      <c r="Y1733" s="67">
        <f>IF(OR(T1733=1,X1733&lt;&gt;""),"",IF(AND(B1733&lt;&gt;"",COUNTIF(tx_ID,B1733)&gt;1),"Duplicate transaction ID",IF(AND(L1733&lt;0,D1733&lt;&gt;"Adjustment"),"Negative amount — check this entry",IF(AND(D1733="Customer Payment",G1733=""),"Add the customer",IF(AND(D1733="Customer Payment",OR(J1733="",COUNTIF(ar_No,J1733&amp;"")=0)),"Invoice # in Reference not found on AR sheet",IF(AND(D1733="Bill Payment",H1733=""),"Add the vendor",IF(AND(D1733="Bill Payment",OR(J1733="",COUNTIFS(ap_No,J1733&amp;"",ap_Party,H1733&amp;"")=0)),"Bill # + vendor not found on AP sheet",IF(AND(ISNUMBER(M1733),N(M1733)&lt;&gt;0,W1733=0),"Tax ignored (tax tracking off, or not allowed for this type)",IF(V1733=K1733&amp;"","Same account on both sides",IF(AND(ISNUMBER(StartDate),C1733&lt;StartDate),"Date is before the accounting start date",IF(AND(D1733&lt;&gt;"Adjustment",IFERROR(INDEX(coa_Pay,MATCH(K1733&amp;"",coa_Name,0)),"")&lt;&gt;"Yes"),"Paid From / Deposited To is not a payment account","")))))))))))</f>
        <v/>
      </c>
      <c r="Z1733" s="67">
        <f>IF(AND(T1733=0,X1733=""),1,0)</f>
        <v/>
      </c>
      <c r="AA1733" s="68">
        <f>IF(Z1733=1,IF(U1733="In",L1733,L1733-W1733),0)</f>
        <v/>
      </c>
      <c r="AB1733" s="68">
        <f>IF(Z1733=1,IF(U1733="In",L1733-W1733,L1733),0)</f>
        <v/>
      </c>
      <c r="AC1733" s="68">
        <f>IF(AND(Z1733=1,U1733="Out"),W1733,0)</f>
        <v/>
      </c>
      <c r="AD1733" s="68">
        <f>IF(AND(Z1733=1,U1733="In"),W1733,0)</f>
        <v/>
      </c>
    </row>
    <row r="1734">
      <c r="B1734" s="62" t="inlineStr">
        <is>
          <t>TX-1728</t>
        </is>
      </c>
      <c r="C1734" s="63" t="n"/>
      <c r="D1734" s="62" t="n"/>
      <c r="E1734" s="62" t="n"/>
      <c r="F1734" s="62" t="n"/>
      <c r="G1734" s="62" t="n"/>
      <c r="H1734" s="62" t="n"/>
      <c r="I1734" s="62" t="n"/>
      <c r="J1734" s="62" t="n"/>
      <c r="K1734" s="62" t="n"/>
      <c r="L1734" s="64" t="n"/>
      <c r="M1734" s="64" t="n"/>
      <c r="N1734" s="62" t="n"/>
      <c r="O1734" s="65">
        <f>IF(Z1734=1,L1734-W1734,"")</f>
        <v/>
      </c>
      <c r="P1734" s="66">
        <f>IF(V1734="","",IFERROR(INDEX(coa_Type,MATCH(V1734,coa_Name,0)),""))</f>
        <v/>
      </c>
      <c r="Q1734" s="66">
        <f>IF(Z1734=1,IF(U1734="In",K1734&amp;"",V1734),"")</f>
        <v/>
      </c>
      <c r="R1734" s="66">
        <f>IF(Z1734=1,IF(U1734="In",V1734,K1734&amp;""),"")</f>
        <v/>
      </c>
      <c r="S1734" s="66">
        <f>IF(X1734&lt;&gt;"","⛔ "&amp;X1734&amp;" — not posted",IF(Y1734&lt;&gt;"","⚠ "&amp;Y1734,IF(Z1734=1,"✓ OK","")))</f>
        <v/>
      </c>
      <c r="T1734" s="67">
        <f>IF(AND(C1734="",D1734="",E1734="",L1734="",K1734=""),1,0)</f>
        <v/>
      </c>
      <c r="U1734" s="67">
        <f>IFERROR(INDEX(tt_Dir,MATCH(D1734,tt_Type,0)),"")</f>
        <v/>
      </c>
      <c r="V1734" s="67">
        <f>IF(D1734="","",IFERROR(IF(INDEX(tt_Other,MATCH(D1734,tt_Type,0))="",E1734&amp;"",INDEX(tt_Other,MATCH(D1734,tt_Type,0))),""))</f>
        <v/>
      </c>
      <c r="W1734" s="68">
        <f>IF(OR(TaxOn&lt;&gt;"Yes",NOT(ISNUMBER(M1734))),0,IF(IFERROR(INDEX(tt_Tax,MATCH(D1734,tt_Type,0)),"No")="Yes",M1734,0))</f>
        <v/>
      </c>
      <c r="X1734" s="67">
        <f>IF(T1734=1,"",IF(C1734="","Missing transaction date",IF(NOT(ISNUMBER(C1734)),"Invalid date",IF(OR(C1734&lt;DATE(2000,1,1),C1734&gt;DATE(2099,12,31)),"Invalid date",IF(D1734="","Select a type",IF(U1734="","Unknown type: "&amp;D1734,IF(V1734="","Select an account (Category)",IF(ISNA(MATCH(V1734,coa_Name,0)),"Unknown account: "&amp;V1734,IF(K1734="","Select Paid From / Deposited To",IF(ISNA(MATCH(K1734,coa_Name,0)),"Unknown account: "&amp;K1734,IF(NOT(ISNUMBER(L1734)),"Enter an amount",IF(L1734=0,"Enter an amount",IF(ABS(W1734)&gt;ABS(L1734),"Tax is larger than the amount","")))))))))))))</f>
        <v/>
      </c>
      <c r="Y1734" s="67">
        <f>IF(OR(T1734=1,X1734&lt;&gt;""),"",IF(AND(B1734&lt;&gt;"",COUNTIF(tx_ID,B1734)&gt;1),"Duplicate transaction ID",IF(AND(L1734&lt;0,D1734&lt;&gt;"Adjustment"),"Negative amount — check this entry",IF(AND(D1734="Customer Payment",G1734=""),"Add the customer",IF(AND(D1734="Customer Payment",OR(J1734="",COUNTIF(ar_No,J1734&amp;"")=0)),"Invoice # in Reference not found on AR sheet",IF(AND(D1734="Bill Payment",H1734=""),"Add the vendor",IF(AND(D1734="Bill Payment",OR(J1734="",COUNTIFS(ap_No,J1734&amp;"",ap_Party,H1734&amp;"")=0)),"Bill # + vendor not found on AP sheet",IF(AND(ISNUMBER(M1734),N(M1734)&lt;&gt;0,W1734=0),"Tax ignored (tax tracking off, or not allowed for this type)",IF(V1734=K1734&amp;"","Same account on both sides",IF(AND(ISNUMBER(StartDate),C1734&lt;StartDate),"Date is before the accounting start date",IF(AND(D1734&lt;&gt;"Adjustment",IFERROR(INDEX(coa_Pay,MATCH(K1734&amp;"",coa_Name,0)),"")&lt;&gt;"Yes"),"Paid From / Deposited To is not a payment account","")))))))))))</f>
        <v/>
      </c>
      <c r="Z1734" s="67">
        <f>IF(AND(T1734=0,X1734=""),1,0)</f>
        <v/>
      </c>
      <c r="AA1734" s="68">
        <f>IF(Z1734=1,IF(U1734="In",L1734,L1734-W1734),0)</f>
        <v/>
      </c>
      <c r="AB1734" s="68">
        <f>IF(Z1734=1,IF(U1734="In",L1734-W1734,L1734),0)</f>
        <v/>
      </c>
      <c r="AC1734" s="68">
        <f>IF(AND(Z1734=1,U1734="Out"),W1734,0)</f>
        <v/>
      </c>
      <c r="AD1734" s="68">
        <f>IF(AND(Z1734=1,U1734="In"),W1734,0)</f>
        <v/>
      </c>
    </row>
    <row r="1735">
      <c r="B1735" s="62" t="inlineStr">
        <is>
          <t>TX-1729</t>
        </is>
      </c>
      <c r="C1735" s="63" t="n"/>
      <c r="D1735" s="62" t="n"/>
      <c r="E1735" s="62" t="n"/>
      <c r="F1735" s="62" t="n"/>
      <c r="G1735" s="62" t="n"/>
      <c r="H1735" s="62" t="n"/>
      <c r="I1735" s="62" t="n"/>
      <c r="J1735" s="62" t="n"/>
      <c r="K1735" s="62" t="n"/>
      <c r="L1735" s="64" t="n"/>
      <c r="M1735" s="64" t="n"/>
      <c r="N1735" s="62" t="n"/>
      <c r="O1735" s="65">
        <f>IF(Z1735=1,L1735-W1735,"")</f>
        <v/>
      </c>
      <c r="P1735" s="66">
        <f>IF(V1735="","",IFERROR(INDEX(coa_Type,MATCH(V1735,coa_Name,0)),""))</f>
        <v/>
      </c>
      <c r="Q1735" s="66">
        <f>IF(Z1735=1,IF(U1735="In",K1735&amp;"",V1735),"")</f>
        <v/>
      </c>
      <c r="R1735" s="66">
        <f>IF(Z1735=1,IF(U1735="In",V1735,K1735&amp;""),"")</f>
        <v/>
      </c>
      <c r="S1735" s="66">
        <f>IF(X1735&lt;&gt;"","⛔ "&amp;X1735&amp;" — not posted",IF(Y1735&lt;&gt;"","⚠ "&amp;Y1735,IF(Z1735=1,"✓ OK","")))</f>
        <v/>
      </c>
      <c r="T1735" s="67">
        <f>IF(AND(C1735="",D1735="",E1735="",L1735="",K1735=""),1,0)</f>
        <v/>
      </c>
      <c r="U1735" s="67">
        <f>IFERROR(INDEX(tt_Dir,MATCH(D1735,tt_Type,0)),"")</f>
        <v/>
      </c>
      <c r="V1735" s="67">
        <f>IF(D1735="","",IFERROR(IF(INDEX(tt_Other,MATCH(D1735,tt_Type,0))="",E1735&amp;"",INDEX(tt_Other,MATCH(D1735,tt_Type,0))),""))</f>
        <v/>
      </c>
      <c r="W1735" s="68">
        <f>IF(OR(TaxOn&lt;&gt;"Yes",NOT(ISNUMBER(M1735))),0,IF(IFERROR(INDEX(tt_Tax,MATCH(D1735,tt_Type,0)),"No")="Yes",M1735,0))</f>
        <v/>
      </c>
      <c r="X1735" s="67">
        <f>IF(T1735=1,"",IF(C1735="","Missing transaction date",IF(NOT(ISNUMBER(C1735)),"Invalid date",IF(OR(C1735&lt;DATE(2000,1,1),C1735&gt;DATE(2099,12,31)),"Invalid date",IF(D1735="","Select a type",IF(U1735="","Unknown type: "&amp;D1735,IF(V1735="","Select an account (Category)",IF(ISNA(MATCH(V1735,coa_Name,0)),"Unknown account: "&amp;V1735,IF(K1735="","Select Paid From / Deposited To",IF(ISNA(MATCH(K1735,coa_Name,0)),"Unknown account: "&amp;K1735,IF(NOT(ISNUMBER(L1735)),"Enter an amount",IF(L1735=0,"Enter an amount",IF(ABS(W1735)&gt;ABS(L1735),"Tax is larger than the amount","")))))))))))))</f>
        <v/>
      </c>
      <c r="Y1735" s="67">
        <f>IF(OR(T1735=1,X1735&lt;&gt;""),"",IF(AND(B1735&lt;&gt;"",COUNTIF(tx_ID,B1735)&gt;1),"Duplicate transaction ID",IF(AND(L1735&lt;0,D1735&lt;&gt;"Adjustment"),"Negative amount — check this entry",IF(AND(D1735="Customer Payment",G1735=""),"Add the customer",IF(AND(D1735="Customer Payment",OR(J1735="",COUNTIF(ar_No,J1735&amp;"")=0)),"Invoice # in Reference not found on AR sheet",IF(AND(D1735="Bill Payment",H1735=""),"Add the vendor",IF(AND(D1735="Bill Payment",OR(J1735="",COUNTIFS(ap_No,J1735&amp;"",ap_Party,H1735&amp;"")=0)),"Bill # + vendor not found on AP sheet",IF(AND(ISNUMBER(M1735),N(M1735)&lt;&gt;0,W1735=0),"Tax ignored (tax tracking off, or not allowed for this type)",IF(V1735=K1735&amp;"","Same account on both sides",IF(AND(ISNUMBER(StartDate),C1735&lt;StartDate),"Date is before the accounting start date",IF(AND(D1735&lt;&gt;"Adjustment",IFERROR(INDEX(coa_Pay,MATCH(K1735&amp;"",coa_Name,0)),"")&lt;&gt;"Yes"),"Paid From / Deposited To is not a payment account","")))))))))))</f>
        <v/>
      </c>
      <c r="Z1735" s="67">
        <f>IF(AND(T1735=0,X1735=""),1,0)</f>
        <v/>
      </c>
      <c r="AA1735" s="68">
        <f>IF(Z1735=1,IF(U1735="In",L1735,L1735-W1735),0)</f>
        <v/>
      </c>
      <c r="AB1735" s="68">
        <f>IF(Z1735=1,IF(U1735="In",L1735-W1735,L1735),0)</f>
        <v/>
      </c>
      <c r="AC1735" s="68">
        <f>IF(AND(Z1735=1,U1735="Out"),W1735,0)</f>
        <v/>
      </c>
      <c r="AD1735" s="68">
        <f>IF(AND(Z1735=1,U1735="In"),W1735,0)</f>
        <v/>
      </c>
    </row>
    <row r="1736">
      <c r="B1736" s="62" t="inlineStr">
        <is>
          <t>TX-1730</t>
        </is>
      </c>
      <c r="C1736" s="63" t="n"/>
      <c r="D1736" s="62" t="n"/>
      <c r="E1736" s="62" t="n"/>
      <c r="F1736" s="62" t="n"/>
      <c r="G1736" s="62" t="n"/>
      <c r="H1736" s="62" t="n"/>
      <c r="I1736" s="62" t="n"/>
      <c r="J1736" s="62" t="n"/>
      <c r="K1736" s="62" t="n"/>
      <c r="L1736" s="64" t="n"/>
      <c r="M1736" s="64" t="n"/>
      <c r="N1736" s="62" t="n"/>
      <c r="O1736" s="65">
        <f>IF(Z1736=1,L1736-W1736,"")</f>
        <v/>
      </c>
      <c r="P1736" s="66">
        <f>IF(V1736="","",IFERROR(INDEX(coa_Type,MATCH(V1736,coa_Name,0)),""))</f>
        <v/>
      </c>
      <c r="Q1736" s="66">
        <f>IF(Z1736=1,IF(U1736="In",K1736&amp;"",V1736),"")</f>
        <v/>
      </c>
      <c r="R1736" s="66">
        <f>IF(Z1736=1,IF(U1736="In",V1736,K1736&amp;""),"")</f>
        <v/>
      </c>
      <c r="S1736" s="66">
        <f>IF(X1736&lt;&gt;"","⛔ "&amp;X1736&amp;" — not posted",IF(Y1736&lt;&gt;"","⚠ "&amp;Y1736,IF(Z1736=1,"✓ OK","")))</f>
        <v/>
      </c>
      <c r="T1736" s="67">
        <f>IF(AND(C1736="",D1736="",E1736="",L1736="",K1736=""),1,0)</f>
        <v/>
      </c>
      <c r="U1736" s="67">
        <f>IFERROR(INDEX(tt_Dir,MATCH(D1736,tt_Type,0)),"")</f>
        <v/>
      </c>
      <c r="V1736" s="67">
        <f>IF(D1736="","",IFERROR(IF(INDEX(tt_Other,MATCH(D1736,tt_Type,0))="",E1736&amp;"",INDEX(tt_Other,MATCH(D1736,tt_Type,0))),""))</f>
        <v/>
      </c>
      <c r="W1736" s="68">
        <f>IF(OR(TaxOn&lt;&gt;"Yes",NOT(ISNUMBER(M1736))),0,IF(IFERROR(INDEX(tt_Tax,MATCH(D1736,tt_Type,0)),"No")="Yes",M1736,0))</f>
        <v/>
      </c>
      <c r="X1736" s="67">
        <f>IF(T1736=1,"",IF(C1736="","Missing transaction date",IF(NOT(ISNUMBER(C1736)),"Invalid date",IF(OR(C1736&lt;DATE(2000,1,1),C1736&gt;DATE(2099,12,31)),"Invalid date",IF(D1736="","Select a type",IF(U1736="","Unknown type: "&amp;D1736,IF(V1736="","Select an account (Category)",IF(ISNA(MATCH(V1736,coa_Name,0)),"Unknown account: "&amp;V1736,IF(K1736="","Select Paid From / Deposited To",IF(ISNA(MATCH(K1736,coa_Name,0)),"Unknown account: "&amp;K1736,IF(NOT(ISNUMBER(L1736)),"Enter an amount",IF(L1736=0,"Enter an amount",IF(ABS(W1736)&gt;ABS(L1736),"Tax is larger than the amount","")))))))))))))</f>
        <v/>
      </c>
      <c r="Y1736" s="67">
        <f>IF(OR(T1736=1,X1736&lt;&gt;""),"",IF(AND(B1736&lt;&gt;"",COUNTIF(tx_ID,B1736)&gt;1),"Duplicate transaction ID",IF(AND(L1736&lt;0,D1736&lt;&gt;"Adjustment"),"Negative amount — check this entry",IF(AND(D1736="Customer Payment",G1736=""),"Add the customer",IF(AND(D1736="Customer Payment",OR(J1736="",COUNTIF(ar_No,J1736&amp;"")=0)),"Invoice # in Reference not found on AR sheet",IF(AND(D1736="Bill Payment",H1736=""),"Add the vendor",IF(AND(D1736="Bill Payment",OR(J1736="",COUNTIFS(ap_No,J1736&amp;"",ap_Party,H1736&amp;"")=0)),"Bill # + vendor not found on AP sheet",IF(AND(ISNUMBER(M1736),N(M1736)&lt;&gt;0,W1736=0),"Tax ignored (tax tracking off, or not allowed for this type)",IF(V1736=K1736&amp;"","Same account on both sides",IF(AND(ISNUMBER(StartDate),C1736&lt;StartDate),"Date is before the accounting start date",IF(AND(D1736&lt;&gt;"Adjustment",IFERROR(INDEX(coa_Pay,MATCH(K1736&amp;"",coa_Name,0)),"")&lt;&gt;"Yes"),"Paid From / Deposited To is not a payment account","")))))))))))</f>
        <v/>
      </c>
      <c r="Z1736" s="67">
        <f>IF(AND(T1736=0,X1736=""),1,0)</f>
        <v/>
      </c>
      <c r="AA1736" s="68">
        <f>IF(Z1736=1,IF(U1736="In",L1736,L1736-W1736),0)</f>
        <v/>
      </c>
      <c r="AB1736" s="68">
        <f>IF(Z1736=1,IF(U1736="In",L1736-W1736,L1736),0)</f>
        <v/>
      </c>
      <c r="AC1736" s="68">
        <f>IF(AND(Z1736=1,U1736="Out"),W1736,0)</f>
        <v/>
      </c>
      <c r="AD1736" s="68">
        <f>IF(AND(Z1736=1,U1736="In"),W1736,0)</f>
        <v/>
      </c>
    </row>
    <row r="1737">
      <c r="B1737" s="62" t="inlineStr">
        <is>
          <t>TX-1731</t>
        </is>
      </c>
      <c r="C1737" s="63" t="n"/>
      <c r="D1737" s="62" t="n"/>
      <c r="E1737" s="62" t="n"/>
      <c r="F1737" s="62" t="n"/>
      <c r="G1737" s="62" t="n"/>
      <c r="H1737" s="62" t="n"/>
      <c r="I1737" s="62" t="n"/>
      <c r="J1737" s="62" t="n"/>
      <c r="K1737" s="62" t="n"/>
      <c r="L1737" s="64" t="n"/>
      <c r="M1737" s="64" t="n"/>
      <c r="N1737" s="62" t="n"/>
      <c r="O1737" s="65">
        <f>IF(Z1737=1,L1737-W1737,"")</f>
        <v/>
      </c>
      <c r="P1737" s="66">
        <f>IF(V1737="","",IFERROR(INDEX(coa_Type,MATCH(V1737,coa_Name,0)),""))</f>
        <v/>
      </c>
      <c r="Q1737" s="66">
        <f>IF(Z1737=1,IF(U1737="In",K1737&amp;"",V1737),"")</f>
        <v/>
      </c>
      <c r="R1737" s="66">
        <f>IF(Z1737=1,IF(U1737="In",V1737,K1737&amp;""),"")</f>
        <v/>
      </c>
      <c r="S1737" s="66">
        <f>IF(X1737&lt;&gt;"","⛔ "&amp;X1737&amp;" — not posted",IF(Y1737&lt;&gt;"","⚠ "&amp;Y1737,IF(Z1737=1,"✓ OK","")))</f>
        <v/>
      </c>
      <c r="T1737" s="67">
        <f>IF(AND(C1737="",D1737="",E1737="",L1737="",K1737=""),1,0)</f>
        <v/>
      </c>
      <c r="U1737" s="67">
        <f>IFERROR(INDEX(tt_Dir,MATCH(D1737,tt_Type,0)),"")</f>
        <v/>
      </c>
      <c r="V1737" s="67">
        <f>IF(D1737="","",IFERROR(IF(INDEX(tt_Other,MATCH(D1737,tt_Type,0))="",E1737&amp;"",INDEX(tt_Other,MATCH(D1737,tt_Type,0))),""))</f>
        <v/>
      </c>
      <c r="W1737" s="68">
        <f>IF(OR(TaxOn&lt;&gt;"Yes",NOT(ISNUMBER(M1737))),0,IF(IFERROR(INDEX(tt_Tax,MATCH(D1737,tt_Type,0)),"No")="Yes",M1737,0))</f>
        <v/>
      </c>
      <c r="X1737" s="67">
        <f>IF(T1737=1,"",IF(C1737="","Missing transaction date",IF(NOT(ISNUMBER(C1737)),"Invalid date",IF(OR(C1737&lt;DATE(2000,1,1),C1737&gt;DATE(2099,12,31)),"Invalid date",IF(D1737="","Select a type",IF(U1737="","Unknown type: "&amp;D1737,IF(V1737="","Select an account (Category)",IF(ISNA(MATCH(V1737,coa_Name,0)),"Unknown account: "&amp;V1737,IF(K1737="","Select Paid From / Deposited To",IF(ISNA(MATCH(K1737,coa_Name,0)),"Unknown account: "&amp;K1737,IF(NOT(ISNUMBER(L1737)),"Enter an amount",IF(L1737=0,"Enter an amount",IF(ABS(W1737)&gt;ABS(L1737),"Tax is larger than the amount","")))))))))))))</f>
        <v/>
      </c>
      <c r="Y1737" s="67">
        <f>IF(OR(T1737=1,X1737&lt;&gt;""),"",IF(AND(B1737&lt;&gt;"",COUNTIF(tx_ID,B1737)&gt;1),"Duplicate transaction ID",IF(AND(L1737&lt;0,D1737&lt;&gt;"Adjustment"),"Negative amount — check this entry",IF(AND(D1737="Customer Payment",G1737=""),"Add the customer",IF(AND(D1737="Customer Payment",OR(J1737="",COUNTIF(ar_No,J1737&amp;"")=0)),"Invoice # in Reference not found on AR sheet",IF(AND(D1737="Bill Payment",H1737=""),"Add the vendor",IF(AND(D1737="Bill Payment",OR(J1737="",COUNTIFS(ap_No,J1737&amp;"",ap_Party,H1737&amp;"")=0)),"Bill # + vendor not found on AP sheet",IF(AND(ISNUMBER(M1737),N(M1737)&lt;&gt;0,W1737=0),"Tax ignored (tax tracking off, or not allowed for this type)",IF(V1737=K1737&amp;"","Same account on both sides",IF(AND(ISNUMBER(StartDate),C1737&lt;StartDate),"Date is before the accounting start date",IF(AND(D1737&lt;&gt;"Adjustment",IFERROR(INDEX(coa_Pay,MATCH(K1737&amp;"",coa_Name,0)),"")&lt;&gt;"Yes"),"Paid From / Deposited To is not a payment account","")))))))))))</f>
        <v/>
      </c>
      <c r="Z1737" s="67">
        <f>IF(AND(T1737=0,X1737=""),1,0)</f>
        <v/>
      </c>
      <c r="AA1737" s="68">
        <f>IF(Z1737=1,IF(U1737="In",L1737,L1737-W1737),0)</f>
        <v/>
      </c>
      <c r="AB1737" s="68">
        <f>IF(Z1737=1,IF(U1737="In",L1737-W1737,L1737),0)</f>
        <v/>
      </c>
      <c r="AC1737" s="68">
        <f>IF(AND(Z1737=1,U1737="Out"),W1737,0)</f>
        <v/>
      </c>
      <c r="AD1737" s="68">
        <f>IF(AND(Z1737=1,U1737="In"),W1737,0)</f>
        <v/>
      </c>
    </row>
    <row r="1738">
      <c r="B1738" s="62" t="inlineStr">
        <is>
          <t>TX-1732</t>
        </is>
      </c>
      <c r="C1738" s="63" t="n"/>
      <c r="D1738" s="62" t="n"/>
      <c r="E1738" s="62" t="n"/>
      <c r="F1738" s="62" t="n"/>
      <c r="G1738" s="62" t="n"/>
      <c r="H1738" s="62" t="n"/>
      <c r="I1738" s="62" t="n"/>
      <c r="J1738" s="62" t="n"/>
      <c r="K1738" s="62" t="n"/>
      <c r="L1738" s="64" t="n"/>
      <c r="M1738" s="64" t="n"/>
      <c r="N1738" s="62" t="n"/>
      <c r="O1738" s="65">
        <f>IF(Z1738=1,L1738-W1738,"")</f>
        <v/>
      </c>
      <c r="P1738" s="66">
        <f>IF(V1738="","",IFERROR(INDEX(coa_Type,MATCH(V1738,coa_Name,0)),""))</f>
        <v/>
      </c>
      <c r="Q1738" s="66">
        <f>IF(Z1738=1,IF(U1738="In",K1738&amp;"",V1738),"")</f>
        <v/>
      </c>
      <c r="R1738" s="66">
        <f>IF(Z1738=1,IF(U1738="In",V1738,K1738&amp;""),"")</f>
        <v/>
      </c>
      <c r="S1738" s="66">
        <f>IF(X1738&lt;&gt;"","⛔ "&amp;X1738&amp;" — not posted",IF(Y1738&lt;&gt;"","⚠ "&amp;Y1738,IF(Z1738=1,"✓ OK","")))</f>
        <v/>
      </c>
      <c r="T1738" s="67">
        <f>IF(AND(C1738="",D1738="",E1738="",L1738="",K1738=""),1,0)</f>
        <v/>
      </c>
      <c r="U1738" s="67">
        <f>IFERROR(INDEX(tt_Dir,MATCH(D1738,tt_Type,0)),"")</f>
        <v/>
      </c>
      <c r="V1738" s="67">
        <f>IF(D1738="","",IFERROR(IF(INDEX(tt_Other,MATCH(D1738,tt_Type,0))="",E1738&amp;"",INDEX(tt_Other,MATCH(D1738,tt_Type,0))),""))</f>
        <v/>
      </c>
      <c r="W1738" s="68">
        <f>IF(OR(TaxOn&lt;&gt;"Yes",NOT(ISNUMBER(M1738))),0,IF(IFERROR(INDEX(tt_Tax,MATCH(D1738,tt_Type,0)),"No")="Yes",M1738,0))</f>
        <v/>
      </c>
      <c r="X1738" s="67">
        <f>IF(T1738=1,"",IF(C1738="","Missing transaction date",IF(NOT(ISNUMBER(C1738)),"Invalid date",IF(OR(C1738&lt;DATE(2000,1,1),C1738&gt;DATE(2099,12,31)),"Invalid date",IF(D1738="","Select a type",IF(U1738="","Unknown type: "&amp;D1738,IF(V1738="","Select an account (Category)",IF(ISNA(MATCH(V1738,coa_Name,0)),"Unknown account: "&amp;V1738,IF(K1738="","Select Paid From / Deposited To",IF(ISNA(MATCH(K1738,coa_Name,0)),"Unknown account: "&amp;K1738,IF(NOT(ISNUMBER(L1738)),"Enter an amount",IF(L1738=0,"Enter an amount",IF(ABS(W1738)&gt;ABS(L1738),"Tax is larger than the amount","")))))))))))))</f>
        <v/>
      </c>
      <c r="Y1738" s="67">
        <f>IF(OR(T1738=1,X1738&lt;&gt;""),"",IF(AND(B1738&lt;&gt;"",COUNTIF(tx_ID,B1738)&gt;1),"Duplicate transaction ID",IF(AND(L1738&lt;0,D1738&lt;&gt;"Adjustment"),"Negative amount — check this entry",IF(AND(D1738="Customer Payment",G1738=""),"Add the customer",IF(AND(D1738="Customer Payment",OR(J1738="",COUNTIF(ar_No,J1738&amp;"")=0)),"Invoice # in Reference not found on AR sheet",IF(AND(D1738="Bill Payment",H1738=""),"Add the vendor",IF(AND(D1738="Bill Payment",OR(J1738="",COUNTIFS(ap_No,J1738&amp;"",ap_Party,H1738&amp;"")=0)),"Bill # + vendor not found on AP sheet",IF(AND(ISNUMBER(M1738),N(M1738)&lt;&gt;0,W1738=0),"Tax ignored (tax tracking off, or not allowed for this type)",IF(V1738=K1738&amp;"","Same account on both sides",IF(AND(ISNUMBER(StartDate),C1738&lt;StartDate),"Date is before the accounting start date",IF(AND(D1738&lt;&gt;"Adjustment",IFERROR(INDEX(coa_Pay,MATCH(K1738&amp;"",coa_Name,0)),"")&lt;&gt;"Yes"),"Paid From / Deposited To is not a payment account","")))))))))))</f>
        <v/>
      </c>
      <c r="Z1738" s="67">
        <f>IF(AND(T1738=0,X1738=""),1,0)</f>
        <v/>
      </c>
      <c r="AA1738" s="68">
        <f>IF(Z1738=1,IF(U1738="In",L1738,L1738-W1738),0)</f>
        <v/>
      </c>
      <c r="AB1738" s="68">
        <f>IF(Z1738=1,IF(U1738="In",L1738-W1738,L1738),0)</f>
        <v/>
      </c>
      <c r="AC1738" s="68">
        <f>IF(AND(Z1738=1,U1738="Out"),W1738,0)</f>
        <v/>
      </c>
      <c r="AD1738" s="68">
        <f>IF(AND(Z1738=1,U1738="In"),W1738,0)</f>
        <v/>
      </c>
    </row>
    <row r="1739">
      <c r="B1739" s="62" t="inlineStr">
        <is>
          <t>TX-1733</t>
        </is>
      </c>
      <c r="C1739" s="63" t="n"/>
      <c r="D1739" s="62" t="n"/>
      <c r="E1739" s="62" t="n"/>
      <c r="F1739" s="62" t="n"/>
      <c r="G1739" s="62" t="n"/>
      <c r="H1739" s="62" t="n"/>
      <c r="I1739" s="62" t="n"/>
      <c r="J1739" s="62" t="n"/>
      <c r="K1739" s="62" t="n"/>
      <c r="L1739" s="64" t="n"/>
      <c r="M1739" s="64" t="n"/>
      <c r="N1739" s="62" t="n"/>
      <c r="O1739" s="65">
        <f>IF(Z1739=1,L1739-W1739,"")</f>
        <v/>
      </c>
      <c r="P1739" s="66">
        <f>IF(V1739="","",IFERROR(INDEX(coa_Type,MATCH(V1739,coa_Name,0)),""))</f>
        <v/>
      </c>
      <c r="Q1739" s="66">
        <f>IF(Z1739=1,IF(U1739="In",K1739&amp;"",V1739),"")</f>
        <v/>
      </c>
      <c r="R1739" s="66">
        <f>IF(Z1739=1,IF(U1739="In",V1739,K1739&amp;""),"")</f>
        <v/>
      </c>
      <c r="S1739" s="66">
        <f>IF(X1739&lt;&gt;"","⛔ "&amp;X1739&amp;" — not posted",IF(Y1739&lt;&gt;"","⚠ "&amp;Y1739,IF(Z1739=1,"✓ OK","")))</f>
        <v/>
      </c>
      <c r="T1739" s="67">
        <f>IF(AND(C1739="",D1739="",E1739="",L1739="",K1739=""),1,0)</f>
        <v/>
      </c>
      <c r="U1739" s="67">
        <f>IFERROR(INDEX(tt_Dir,MATCH(D1739,tt_Type,0)),"")</f>
        <v/>
      </c>
      <c r="V1739" s="67">
        <f>IF(D1739="","",IFERROR(IF(INDEX(tt_Other,MATCH(D1739,tt_Type,0))="",E1739&amp;"",INDEX(tt_Other,MATCH(D1739,tt_Type,0))),""))</f>
        <v/>
      </c>
      <c r="W1739" s="68">
        <f>IF(OR(TaxOn&lt;&gt;"Yes",NOT(ISNUMBER(M1739))),0,IF(IFERROR(INDEX(tt_Tax,MATCH(D1739,tt_Type,0)),"No")="Yes",M1739,0))</f>
        <v/>
      </c>
      <c r="X1739" s="67">
        <f>IF(T1739=1,"",IF(C1739="","Missing transaction date",IF(NOT(ISNUMBER(C1739)),"Invalid date",IF(OR(C1739&lt;DATE(2000,1,1),C1739&gt;DATE(2099,12,31)),"Invalid date",IF(D1739="","Select a type",IF(U1739="","Unknown type: "&amp;D1739,IF(V1739="","Select an account (Category)",IF(ISNA(MATCH(V1739,coa_Name,0)),"Unknown account: "&amp;V1739,IF(K1739="","Select Paid From / Deposited To",IF(ISNA(MATCH(K1739,coa_Name,0)),"Unknown account: "&amp;K1739,IF(NOT(ISNUMBER(L1739)),"Enter an amount",IF(L1739=0,"Enter an amount",IF(ABS(W1739)&gt;ABS(L1739),"Tax is larger than the amount","")))))))))))))</f>
        <v/>
      </c>
      <c r="Y1739" s="67">
        <f>IF(OR(T1739=1,X1739&lt;&gt;""),"",IF(AND(B1739&lt;&gt;"",COUNTIF(tx_ID,B1739)&gt;1),"Duplicate transaction ID",IF(AND(L1739&lt;0,D1739&lt;&gt;"Adjustment"),"Negative amount — check this entry",IF(AND(D1739="Customer Payment",G1739=""),"Add the customer",IF(AND(D1739="Customer Payment",OR(J1739="",COUNTIF(ar_No,J1739&amp;"")=0)),"Invoice # in Reference not found on AR sheet",IF(AND(D1739="Bill Payment",H1739=""),"Add the vendor",IF(AND(D1739="Bill Payment",OR(J1739="",COUNTIFS(ap_No,J1739&amp;"",ap_Party,H1739&amp;"")=0)),"Bill # + vendor not found on AP sheet",IF(AND(ISNUMBER(M1739),N(M1739)&lt;&gt;0,W1739=0),"Tax ignored (tax tracking off, or not allowed for this type)",IF(V1739=K1739&amp;"","Same account on both sides",IF(AND(ISNUMBER(StartDate),C1739&lt;StartDate),"Date is before the accounting start date",IF(AND(D1739&lt;&gt;"Adjustment",IFERROR(INDEX(coa_Pay,MATCH(K1739&amp;"",coa_Name,0)),"")&lt;&gt;"Yes"),"Paid From / Deposited To is not a payment account","")))))))))))</f>
        <v/>
      </c>
      <c r="Z1739" s="67">
        <f>IF(AND(T1739=0,X1739=""),1,0)</f>
        <v/>
      </c>
      <c r="AA1739" s="68">
        <f>IF(Z1739=1,IF(U1739="In",L1739,L1739-W1739),0)</f>
        <v/>
      </c>
      <c r="AB1739" s="68">
        <f>IF(Z1739=1,IF(U1739="In",L1739-W1739,L1739),0)</f>
        <v/>
      </c>
      <c r="AC1739" s="68">
        <f>IF(AND(Z1739=1,U1739="Out"),W1739,0)</f>
        <v/>
      </c>
      <c r="AD1739" s="68">
        <f>IF(AND(Z1739=1,U1739="In"),W1739,0)</f>
        <v/>
      </c>
    </row>
    <row r="1740">
      <c r="B1740" s="62" t="inlineStr">
        <is>
          <t>TX-1734</t>
        </is>
      </c>
      <c r="C1740" s="63" t="n"/>
      <c r="D1740" s="62" t="n"/>
      <c r="E1740" s="62" t="n"/>
      <c r="F1740" s="62" t="n"/>
      <c r="G1740" s="62" t="n"/>
      <c r="H1740" s="62" t="n"/>
      <c r="I1740" s="62" t="n"/>
      <c r="J1740" s="62" t="n"/>
      <c r="K1740" s="62" t="n"/>
      <c r="L1740" s="64" t="n"/>
      <c r="M1740" s="64" t="n"/>
      <c r="N1740" s="62" t="n"/>
      <c r="O1740" s="65">
        <f>IF(Z1740=1,L1740-W1740,"")</f>
        <v/>
      </c>
      <c r="P1740" s="66">
        <f>IF(V1740="","",IFERROR(INDEX(coa_Type,MATCH(V1740,coa_Name,0)),""))</f>
        <v/>
      </c>
      <c r="Q1740" s="66">
        <f>IF(Z1740=1,IF(U1740="In",K1740&amp;"",V1740),"")</f>
        <v/>
      </c>
      <c r="R1740" s="66">
        <f>IF(Z1740=1,IF(U1740="In",V1740,K1740&amp;""),"")</f>
        <v/>
      </c>
      <c r="S1740" s="66">
        <f>IF(X1740&lt;&gt;"","⛔ "&amp;X1740&amp;" — not posted",IF(Y1740&lt;&gt;"","⚠ "&amp;Y1740,IF(Z1740=1,"✓ OK","")))</f>
        <v/>
      </c>
      <c r="T1740" s="67">
        <f>IF(AND(C1740="",D1740="",E1740="",L1740="",K1740=""),1,0)</f>
        <v/>
      </c>
      <c r="U1740" s="67">
        <f>IFERROR(INDEX(tt_Dir,MATCH(D1740,tt_Type,0)),"")</f>
        <v/>
      </c>
      <c r="V1740" s="67">
        <f>IF(D1740="","",IFERROR(IF(INDEX(tt_Other,MATCH(D1740,tt_Type,0))="",E1740&amp;"",INDEX(tt_Other,MATCH(D1740,tt_Type,0))),""))</f>
        <v/>
      </c>
      <c r="W1740" s="68">
        <f>IF(OR(TaxOn&lt;&gt;"Yes",NOT(ISNUMBER(M1740))),0,IF(IFERROR(INDEX(tt_Tax,MATCH(D1740,tt_Type,0)),"No")="Yes",M1740,0))</f>
        <v/>
      </c>
      <c r="X1740" s="67">
        <f>IF(T1740=1,"",IF(C1740="","Missing transaction date",IF(NOT(ISNUMBER(C1740)),"Invalid date",IF(OR(C1740&lt;DATE(2000,1,1),C1740&gt;DATE(2099,12,31)),"Invalid date",IF(D1740="","Select a type",IF(U1740="","Unknown type: "&amp;D1740,IF(V1740="","Select an account (Category)",IF(ISNA(MATCH(V1740,coa_Name,0)),"Unknown account: "&amp;V1740,IF(K1740="","Select Paid From / Deposited To",IF(ISNA(MATCH(K1740,coa_Name,0)),"Unknown account: "&amp;K1740,IF(NOT(ISNUMBER(L1740)),"Enter an amount",IF(L1740=0,"Enter an amount",IF(ABS(W1740)&gt;ABS(L1740),"Tax is larger than the amount","")))))))))))))</f>
        <v/>
      </c>
      <c r="Y1740" s="67">
        <f>IF(OR(T1740=1,X1740&lt;&gt;""),"",IF(AND(B1740&lt;&gt;"",COUNTIF(tx_ID,B1740)&gt;1),"Duplicate transaction ID",IF(AND(L1740&lt;0,D1740&lt;&gt;"Adjustment"),"Negative amount — check this entry",IF(AND(D1740="Customer Payment",G1740=""),"Add the customer",IF(AND(D1740="Customer Payment",OR(J1740="",COUNTIF(ar_No,J1740&amp;"")=0)),"Invoice # in Reference not found on AR sheet",IF(AND(D1740="Bill Payment",H1740=""),"Add the vendor",IF(AND(D1740="Bill Payment",OR(J1740="",COUNTIFS(ap_No,J1740&amp;"",ap_Party,H1740&amp;"")=0)),"Bill # + vendor not found on AP sheet",IF(AND(ISNUMBER(M1740),N(M1740)&lt;&gt;0,W1740=0),"Tax ignored (tax tracking off, or not allowed for this type)",IF(V1740=K1740&amp;"","Same account on both sides",IF(AND(ISNUMBER(StartDate),C1740&lt;StartDate),"Date is before the accounting start date",IF(AND(D1740&lt;&gt;"Adjustment",IFERROR(INDEX(coa_Pay,MATCH(K1740&amp;"",coa_Name,0)),"")&lt;&gt;"Yes"),"Paid From / Deposited To is not a payment account","")))))))))))</f>
        <v/>
      </c>
      <c r="Z1740" s="67">
        <f>IF(AND(T1740=0,X1740=""),1,0)</f>
        <v/>
      </c>
      <c r="AA1740" s="68">
        <f>IF(Z1740=1,IF(U1740="In",L1740,L1740-W1740),0)</f>
        <v/>
      </c>
      <c r="AB1740" s="68">
        <f>IF(Z1740=1,IF(U1740="In",L1740-W1740,L1740),0)</f>
        <v/>
      </c>
      <c r="AC1740" s="68">
        <f>IF(AND(Z1740=1,U1740="Out"),W1740,0)</f>
        <v/>
      </c>
      <c r="AD1740" s="68">
        <f>IF(AND(Z1740=1,U1740="In"),W1740,0)</f>
        <v/>
      </c>
    </row>
    <row r="1741">
      <c r="B1741" s="62" t="inlineStr">
        <is>
          <t>TX-1735</t>
        </is>
      </c>
      <c r="C1741" s="63" t="n"/>
      <c r="D1741" s="62" t="n"/>
      <c r="E1741" s="62" t="n"/>
      <c r="F1741" s="62" t="n"/>
      <c r="G1741" s="62" t="n"/>
      <c r="H1741" s="62" t="n"/>
      <c r="I1741" s="62" t="n"/>
      <c r="J1741" s="62" t="n"/>
      <c r="K1741" s="62" t="n"/>
      <c r="L1741" s="64" t="n"/>
      <c r="M1741" s="64" t="n"/>
      <c r="N1741" s="62" t="n"/>
      <c r="O1741" s="65">
        <f>IF(Z1741=1,L1741-W1741,"")</f>
        <v/>
      </c>
      <c r="P1741" s="66">
        <f>IF(V1741="","",IFERROR(INDEX(coa_Type,MATCH(V1741,coa_Name,0)),""))</f>
        <v/>
      </c>
      <c r="Q1741" s="66">
        <f>IF(Z1741=1,IF(U1741="In",K1741&amp;"",V1741),"")</f>
        <v/>
      </c>
      <c r="R1741" s="66">
        <f>IF(Z1741=1,IF(U1741="In",V1741,K1741&amp;""),"")</f>
        <v/>
      </c>
      <c r="S1741" s="66">
        <f>IF(X1741&lt;&gt;"","⛔ "&amp;X1741&amp;" — not posted",IF(Y1741&lt;&gt;"","⚠ "&amp;Y1741,IF(Z1741=1,"✓ OK","")))</f>
        <v/>
      </c>
      <c r="T1741" s="67">
        <f>IF(AND(C1741="",D1741="",E1741="",L1741="",K1741=""),1,0)</f>
        <v/>
      </c>
      <c r="U1741" s="67">
        <f>IFERROR(INDEX(tt_Dir,MATCH(D1741,tt_Type,0)),"")</f>
        <v/>
      </c>
      <c r="V1741" s="67">
        <f>IF(D1741="","",IFERROR(IF(INDEX(tt_Other,MATCH(D1741,tt_Type,0))="",E1741&amp;"",INDEX(tt_Other,MATCH(D1741,tt_Type,0))),""))</f>
        <v/>
      </c>
      <c r="W1741" s="68">
        <f>IF(OR(TaxOn&lt;&gt;"Yes",NOT(ISNUMBER(M1741))),0,IF(IFERROR(INDEX(tt_Tax,MATCH(D1741,tt_Type,0)),"No")="Yes",M1741,0))</f>
        <v/>
      </c>
      <c r="X1741" s="67">
        <f>IF(T1741=1,"",IF(C1741="","Missing transaction date",IF(NOT(ISNUMBER(C1741)),"Invalid date",IF(OR(C1741&lt;DATE(2000,1,1),C1741&gt;DATE(2099,12,31)),"Invalid date",IF(D1741="","Select a type",IF(U1741="","Unknown type: "&amp;D1741,IF(V1741="","Select an account (Category)",IF(ISNA(MATCH(V1741,coa_Name,0)),"Unknown account: "&amp;V1741,IF(K1741="","Select Paid From / Deposited To",IF(ISNA(MATCH(K1741,coa_Name,0)),"Unknown account: "&amp;K1741,IF(NOT(ISNUMBER(L1741)),"Enter an amount",IF(L1741=0,"Enter an amount",IF(ABS(W1741)&gt;ABS(L1741),"Tax is larger than the amount","")))))))))))))</f>
        <v/>
      </c>
      <c r="Y1741" s="67">
        <f>IF(OR(T1741=1,X1741&lt;&gt;""),"",IF(AND(B1741&lt;&gt;"",COUNTIF(tx_ID,B1741)&gt;1),"Duplicate transaction ID",IF(AND(L1741&lt;0,D1741&lt;&gt;"Adjustment"),"Negative amount — check this entry",IF(AND(D1741="Customer Payment",G1741=""),"Add the customer",IF(AND(D1741="Customer Payment",OR(J1741="",COUNTIF(ar_No,J1741&amp;"")=0)),"Invoice # in Reference not found on AR sheet",IF(AND(D1741="Bill Payment",H1741=""),"Add the vendor",IF(AND(D1741="Bill Payment",OR(J1741="",COUNTIFS(ap_No,J1741&amp;"",ap_Party,H1741&amp;"")=0)),"Bill # + vendor not found on AP sheet",IF(AND(ISNUMBER(M1741),N(M1741)&lt;&gt;0,W1741=0),"Tax ignored (tax tracking off, or not allowed for this type)",IF(V1741=K1741&amp;"","Same account on both sides",IF(AND(ISNUMBER(StartDate),C1741&lt;StartDate),"Date is before the accounting start date",IF(AND(D1741&lt;&gt;"Adjustment",IFERROR(INDEX(coa_Pay,MATCH(K1741&amp;"",coa_Name,0)),"")&lt;&gt;"Yes"),"Paid From / Deposited To is not a payment account","")))))))))))</f>
        <v/>
      </c>
      <c r="Z1741" s="67">
        <f>IF(AND(T1741=0,X1741=""),1,0)</f>
        <v/>
      </c>
      <c r="AA1741" s="68">
        <f>IF(Z1741=1,IF(U1741="In",L1741,L1741-W1741),0)</f>
        <v/>
      </c>
      <c r="AB1741" s="68">
        <f>IF(Z1741=1,IF(U1741="In",L1741-W1741,L1741),0)</f>
        <v/>
      </c>
      <c r="AC1741" s="68">
        <f>IF(AND(Z1741=1,U1741="Out"),W1741,0)</f>
        <v/>
      </c>
      <c r="AD1741" s="68">
        <f>IF(AND(Z1741=1,U1741="In"),W1741,0)</f>
        <v/>
      </c>
    </row>
    <row r="1742">
      <c r="B1742" s="62" t="inlineStr">
        <is>
          <t>TX-1736</t>
        </is>
      </c>
      <c r="C1742" s="63" t="n"/>
      <c r="D1742" s="62" t="n"/>
      <c r="E1742" s="62" t="n"/>
      <c r="F1742" s="62" t="n"/>
      <c r="G1742" s="62" t="n"/>
      <c r="H1742" s="62" t="n"/>
      <c r="I1742" s="62" t="n"/>
      <c r="J1742" s="62" t="n"/>
      <c r="K1742" s="62" t="n"/>
      <c r="L1742" s="64" t="n"/>
      <c r="M1742" s="64" t="n"/>
      <c r="N1742" s="62" t="n"/>
      <c r="O1742" s="65">
        <f>IF(Z1742=1,L1742-W1742,"")</f>
        <v/>
      </c>
      <c r="P1742" s="66">
        <f>IF(V1742="","",IFERROR(INDEX(coa_Type,MATCH(V1742,coa_Name,0)),""))</f>
        <v/>
      </c>
      <c r="Q1742" s="66">
        <f>IF(Z1742=1,IF(U1742="In",K1742&amp;"",V1742),"")</f>
        <v/>
      </c>
      <c r="R1742" s="66">
        <f>IF(Z1742=1,IF(U1742="In",V1742,K1742&amp;""),"")</f>
        <v/>
      </c>
      <c r="S1742" s="66">
        <f>IF(X1742&lt;&gt;"","⛔ "&amp;X1742&amp;" — not posted",IF(Y1742&lt;&gt;"","⚠ "&amp;Y1742,IF(Z1742=1,"✓ OK","")))</f>
        <v/>
      </c>
      <c r="T1742" s="67">
        <f>IF(AND(C1742="",D1742="",E1742="",L1742="",K1742=""),1,0)</f>
        <v/>
      </c>
      <c r="U1742" s="67">
        <f>IFERROR(INDEX(tt_Dir,MATCH(D1742,tt_Type,0)),"")</f>
        <v/>
      </c>
      <c r="V1742" s="67">
        <f>IF(D1742="","",IFERROR(IF(INDEX(tt_Other,MATCH(D1742,tt_Type,0))="",E1742&amp;"",INDEX(tt_Other,MATCH(D1742,tt_Type,0))),""))</f>
        <v/>
      </c>
      <c r="W1742" s="68">
        <f>IF(OR(TaxOn&lt;&gt;"Yes",NOT(ISNUMBER(M1742))),0,IF(IFERROR(INDEX(tt_Tax,MATCH(D1742,tt_Type,0)),"No")="Yes",M1742,0))</f>
        <v/>
      </c>
      <c r="X1742" s="67">
        <f>IF(T1742=1,"",IF(C1742="","Missing transaction date",IF(NOT(ISNUMBER(C1742)),"Invalid date",IF(OR(C1742&lt;DATE(2000,1,1),C1742&gt;DATE(2099,12,31)),"Invalid date",IF(D1742="","Select a type",IF(U1742="","Unknown type: "&amp;D1742,IF(V1742="","Select an account (Category)",IF(ISNA(MATCH(V1742,coa_Name,0)),"Unknown account: "&amp;V1742,IF(K1742="","Select Paid From / Deposited To",IF(ISNA(MATCH(K1742,coa_Name,0)),"Unknown account: "&amp;K1742,IF(NOT(ISNUMBER(L1742)),"Enter an amount",IF(L1742=0,"Enter an amount",IF(ABS(W1742)&gt;ABS(L1742),"Tax is larger than the amount","")))))))))))))</f>
        <v/>
      </c>
      <c r="Y1742" s="67">
        <f>IF(OR(T1742=1,X1742&lt;&gt;""),"",IF(AND(B1742&lt;&gt;"",COUNTIF(tx_ID,B1742)&gt;1),"Duplicate transaction ID",IF(AND(L1742&lt;0,D1742&lt;&gt;"Adjustment"),"Negative amount — check this entry",IF(AND(D1742="Customer Payment",G1742=""),"Add the customer",IF(AND(D1742="Customer Payment",OR(J1742="",COUNTIF(ar_No,J1742&amp;"")=0)),"Invoice # in Reference not found on AR sheet",IF(AND(D1742="Bill Payment",H1742=""),"Add the vendor",IF(AND(D1742="Bill Payment",OR(J1742="",COUNTIFS(ap_No,J1742&amp;"",ap_Party,H1742&amp;"")=0)),"Bill # + vendor not found on AP sheet",IF(AND(ISNUMBER(M1742),N(M1742)&lt;&gt;0,W1742=0),"Tax ignored (tax tracking off, or not allowed for this type)",IF(V1742=K1742&amp;"","Same account on both sides",IF(AND(ISNUMBER(StartDate),C1742&lt;StartDate),"Date is before the accounting start date",IF(AND(D1742&lt;&gt;"Adjustment",IFERROR(INDEX(coa_Pay,MATCH(K1742&amp;"",coa_Name,0)),"")&lt;&gt;"Yes"),"Paid From / Deposited To is not a payment account","")))))))))))</f>
        <v/>
      </c>
      <c r="Z1742" s="67">
        <f>IF(AND(T1742=0,X1742=""),1,0)</f>
        <v/>
      </c>
      <c r="AA1742" s="68">
        <f>IF(Z1742=1,IF(U1742="In",L1742,L1742-W1742),0)</f>
        <v/>
      </c>
      <c r="AB1742" s="68">
        <f>IF(Z1742=1,IF(U1742="In",L1742-W1742,L1742),0)</f>
        <v/>
      </c>
      <c r="AC1742" s="68">
        <f>IF(AND(Z1742=1,U1742="Out"),W1742,0)</f>
        <v/>
      </c>
      <c r="AD1742" s="68">
        <f>IF(AND(Z1742=1,U1742="In"),W1742,0)</f>
        <v/>
      </c>
    </row>
    <row r="1743">
      <c r="B1743" s="62" t="inlineStr">
        <is>
          <t>TX-1737</t>
        </is>
      </c>
      <c r="C1743" s="63" t="n"/>
      <c r="D1743" s="62" t="n"/>
      <c r="E1743" s="62" t="n"/>
      <c r="F1743" s="62" t="n"/>
      <c r="G1743" s="62" t="n"/>
      <c r="H1743" s="62" t="n"/>
      <c r="I1743" s="62" t="n"/>
      <c r="J1743" s="62" t="n"/>
      <c r="K1743" s="62" t="n"/>
      <c r="L1743" s="64" t="n"/>
      <c r="M1743" s="64" t="n"/>
      <c r="N1743" s="62" t="n"/>
      <c r="O1743" s="65">
        <f>IF(Z1743=1,L1743-W1743,"")</f>
        <v/>
      </c>
      <c r="P1743" s="66">
        <f>IF(V1743="","",IFERROR(INDEX(coa_Type,MATCH(V1743,coa_Name,0)),""))</f>
        <v/>
      </c>
      <c r="Q1743" s="66">
        <f>IF(Z1743=1,IF(U1743="In",K1743&amp;"",V1743),"")</f>
        <v/>
      </c>
      <c r="R1743" s="66">
        <f>IF(Z1743=1,IF(U1743="In",V1743,K1743&amp;""),"")</f>
        <v/>
      </c>
      <c r="S1743" s="66">
        <f>IF(X1743&lt;&gt;"","⛔ "&amp;X1743&amp;" — not posted",IF(Y1743&lt;&gt;"","⚠ "&amp;Y1743,IF(Z1743=1,"✓ OK","")))</f>
        <v/>
      </c>
      <c r="T1743" s="67">
        <f>IF(AND(C1743="",D1743="",E1743="",L1743="",K1743=""),1,0)</f>
        <v/>
      </c>
      <c r="U1743" s="67">
        <f>IFERROR(INDEX(tt_Dir,MATCH(D1743,tt_Type,0)),"")</f>
        <v/>
      </c>
      <c r="V1743" s="67">
        <f>IF(D1743="","",IFERROR(IF(INDEX(tt_Other,MATCH(D1743,tt_Type,0))="",E1743&amp;"",INDEX(tt_Other,MATCH(D1743,tt_Type,0))),""))</f>
        <v/>
      </c>
      <c r="W1743" s="68">
        <f>IF(OR(TaxOn&lt;&gt;"Yes",NOT(ISNUMBER(M1743))),0,IF(IFERROR(INDEX(tt_Tax,MATCH(D1743,tt_Type,0)),"No")="Yes",M1743,0))</f>
        <v/>
      </c>
      <c r="X1743" s="67">
        <f>IF(T1743=1,"",IF(C1743="","Missing transaction date",IF(NOT(ISNUMBER(C1743)),"Invalid date",IF(OR(C1743&lt;DATE(2000,1,1),C1743&gt;DATE(2099,12,31)),"Invalid date",IF(D1743="","Select a type",IF(U1743="","Unknown type: "&amp;D1743,IF(V1743="","Select an account (Category)",IF(ISNA(MATCH(V1743,coa_Name,0)),"Unknown account: "&amp;V1743,IF(K1743="","Select Paid From / Deposited To",IF(ISNA(MATCH(K1743,coa_Name,0)),"Unknown account: "&amp;K1743,IF(NOT(ISNUMBER(L1743)),"Enter an amount",IF(L1743=0,"Enter an amount",IF(ABS(W1743)&gt;ABS(L1743),"Tax is larger than the amount","")))))))))))))</f>
        <v/>
      </c>
      <c r="Y1743" s="67">
        <f>IF(OR(T1743=1,X1743&lt;&gt;""),"",IF(AND(B1743&lt;&gt;"",COUNTIF(tx_ID,B1743)&gt;1),"Duplicate transaction ID",IF(AND(L1743&lt;0,D1743&lt;&gt;"Adjustment"),"Negative amount — check this entry",IF(AND(D1743="Customer Payment",G1743=""),"Add the customer",IF(AND(D1743="Customer Payment",OR(J1743="",COUNTIF(ar_No,J1743&amp;"")=0)),"Invoice # in Reference not found on AR sheet",IF(AND(D1743="Bill Payment",H1743=""),"Add the vendor",IF(AND(D1743="Bill Payment",OR(J1743="",COUNTIFS(ap_No,J1743&amp;"",ap_Party,H1743&amp;"")=0)),"Bill # + vendor not found on AP sheet",IF(AND(ISNUMBER(M1743),N(M1743)&lt;&gt;0,W1743=0),"Tax ignored (tax tracking off, or not allowed for this type)",IF(V1743=K1743&amp;"","Same account on both sides",IF(AND(ISNUMBER(StartDate),C1743&lt;StartDate),"Date is before the accounting start date",IF(AND(D1743&lt;&gt;"Adjustment",IFERROR(INDEX(coa_Pay,MATCH(K1743&amp;"",coa_Name,0)),"")&lt;&gt;"Yes"),"Paid From / Deposited To is not a payment account","")))))))))))</f>
        <v/>
      </c>
      <c r="Z1743" s="67">
        <f>IF(AND(T1743=0,X1743=""),1,0)</f>
        <v/>
      </c>
      <c r="AA1743" s="68">
        <f>IF(Z1743=1,IF(U1743="In",L1743,L1743-W1743),0)</f>
        <v/>
      </c>
      <c r="AB1743" s="68">
        <f>IF(Z1743=1,IF(U1743="In",L1743-W1743,L1743),0)</f>
        <v/>
      </c>
      <c r="AC1743" s="68">
        <f>IF(AND(Z1743=1,U1743="Out"),W1743,0)</f>
        <v/>
      </c>
      <c r="AD1743" s="68">
        <f>IF(AND(Z1743=1,U1743="In"),W1743,0)</f>
        <v/>
      </c>
    </row>
    <row r="1744">
      <c r="B1744" s="62" t="inlineStr">
        <is>
          <t>TX-1738</t>
        </is>
      </c>
      <c r="C1744" s="63" t="n"/>
      <c r="D1744" s="62" t="n"/>
      <c r="E1744" s="62" t="n"/>
      <c r="F1744" s="62" t="n"/>
      <c r="G1744" s="62" t="n"/>
      <c r="H1744" s="62" t="n"/>
      <c r="I1744" s="62" t="n"/>
      <c r="J1744" s="62" t="n"/>
      <c r="K1744" s="62" t="n"/>
      <c r="L1744" s="64" t="n"/>
      <c r="M1744" s="64" t="n"/>
      <c r="N1744" s="62" t="n"/>
      <c r="O1744" s="65">
        <f>IF(Z1744=1,L1744-W1744,"")</f>
        <v/>
      </c>
      <c r="P1744" s="66">
        <f>IF(V1744="","",IFERROR(INDEX(coa_Type,MATCH(V1744,coa_Name,0)),""))</f>
        <v/>
      </c>
      <c r="Q1744" s="66">
        <f>IF(Z1744=1,IF(U1744="In",K1744&amp;"",V1744),"")</f>
        <v/>
      </c>
      <c r="R1744" s="66">
        <f>IF(Z1744=1,IF(U1744="In",V1744,K1744&amp;""),"")</f>
        <v/>
      </c>
      <c r="S1744" s="66">
        <f>IF(X1744&lt;&gt;"","⛔ "&amp;X1744&amp;" — not posted",IF(Y1744&lt;&gt;"","⚠ "&amp;Y1744,IF(Z1744=1,"✓ OK","")))</f>
        <v/>
      </c>
      <c r="T1744" s="67">
        <f>IF(AND(C1744="",D1744="",E1744="",L1744="",K1744=""),1,0)</f>
        <v/>
      </c>
      <c r="U1744" s="67">
        <f>IFERROR(INDEX(tt_Dir,MATCH(D1744,tt_Type,0)),"")</f>
        <v/>
      </c>
      <c r="V1744" s="67">
        <f>IF(D1744="","",IFERROR(IF(INDEX(tt_Other,MATCH(D1744,tt_Type,0))="",E1744&amp;"",INDEX(tt_Other,MATCH(D1744,tt_Type,0))),""))</f>
        <v/>
      </c>
      <c r="W1744" s="68">
        <f>IF(OR(TaxOn&lt;&gt;"Yes",NOT(ISNUMBER(M1744))),0,IF(IFERROR(INDEX(tt_Tax,MATCH(D1744,tt_Type,0)),"No")="Yes",M1744,0))</f>
        <v/>
      </c>
      <c r="X1744" s="67">
        <f>IF(T1744=1,"",IF(C1744="","Missing transaction date",IF(NOT(ISNUMBER(C1744)),"Invalid date",IF(OR(C1744&lt;DATE(2000,1,1),C1744&gt;DATE(2099,12,31)),"Invalid date",IF(D1744="","Select a type",IF(U1744="","Unknown type: "&amp;D1744,IF(V1744="","Select an account (Category)",IF(ISNA(MATCH(V1744,coa_Name,0)),"Unknown account: "&amp;V1744,IF(K1744="","Select Paid From / Deposited To",IF(ISNA(MATCH(K1744,coa_Name,0)),"Unknown account: "&amp;K1744,IF(NOT(ISNUMBER(L1744)),"Enter an amount",IF(L1744=0,"Enter an amount",IF(ABS(W1744)&gt;ABS(L1744),"Tax is larger than the amount","")))))))))))))</f>
        <v/>
      </c>
      <c r="Y1744" s="67">
        <f>IF(OR(T1744=1,X1744&lt;&gt;""),"",IF(AND(B1744&lt;&gt;"",COUNTIF(tx_ID,B1744)&gt;1),"Duplicate transaction ID",IF(AND(L1744&lt;0,D1744&lt;&gt;"Adjustment"),"Negative amount — check this entry",IF(AND(D1744="Customer Payment",G1744=""),"Add the customer",IF(AND(D1744="Customer Payment",OR(J1744="",COUNTIF(ar_No,J1744&amp;"")=0)),"Invoice # in Reference not found on AR sheet",IF(AND(D1744="Bill Payment",H1744=""),"Add the vendor",IF(AND(D1744="Bill Payment",OR(J1744="",COUNTIFS(ap_No,J1744&amp;"",ap_Party,H1744&amp;"")=0)),"Bill # + vendor not found on AP sheet",IF(AND(ISNUMBER(M1744),N(M1744)&lt;&gt;0,W1744=0),"Tax ignored (tax tracking off, or not allowed for this type)",IF(V1744=K1744&amp;"","Same account on both sides",IF(AND(ISNUMBER(StartDate),C1744&lt;StartDate),"Date is before the accounting start date",IF(AND(D1744&lt;&gt;"Adjustment",IFERROR(INDEX(coa_Pay,MATCH(K1744&amp;"",coa_Name,0)),"")&lt;&gt;"Yes"),"Paid From / Deposited To is not a payment account","")))))))))))</f>
        <v/>
      </c>
      <c r="Z1744" s="67">
        <f>IF(AND(T1744=0,X1744=""),1,0)</f>
        <v/>
      </c>
      <c r="AA1744" s="68">
        <f>IF(Z1744=1,IF(U1744="In",L1744,L1744-W1744),0)</f>
        <v/>
      </c>
      <c r="AB1744" s="68">
        <f>IF(Z1744=1,IF(U1744="In",L1744-W1744,L1744),0)</f>
        <v/>
      </c>
      <c r="AC1744" s="68">
        <f>IF(AND(Z1744=1,U1744="Out"),W1744,0)</f>
        <v/>
      </c>
      <c r="AD1744" s="68">
        <f>IF(AND(Z1744=1,U1744="In"),W1744,0)</f>
        <v/>
      </c>
    </row>
    <row r="1745">
      <c r="B1745" s="62" t="inlineStr">
        <is>
          <t>TX-1739</t>
        </is>
      </c>
      <c r="C1745" s="63" t="n"/>
      <c r="D1745" s="62" t="n"/>
      <c r="E1745" s="62" t="n"/>
      <c r="F1745" s="62" t="n"/>
      <c r="G1745" s="62" t="n"/>
      <c r="H1745" s="62" t="n"/>
      <c r="I1745" s="62" t="n"/>
      <c r="J1745" s="62" t="n"/>
      <c r="K1745" s="62" t="n"/>
      <c r="L1745" s="64" t="n"/>
      <c r="M1745" s="64" t="n"/>
      <c r="N1745" s="62" t="n"/>
      <c r="O1745" s="65">
        <f>IF(Z1745=1,L1745-W1745,"")</f>
        <v/>
      </c>
      <c r="P1745" s="66">
        <f>IF(V1745="","",IFERROR(INDEX(coa_Type,MATCH(V1745,coa_Name,0)),""))</f>
        <v/>
      </c>
      <c r="Q1745" s="66">
        <f>IF(Z1745=1,IF(U1745="In",K1745&amp;"",V1745),"")</f>
        <v/>
      </c>
      <c r="R1745" s="66">
        <f>IF(Z1745=1,IF(U1745="In",V1745,K1745&amp;""),"")</f>
        <v/>
      </c>
      <c r="S1745" s="66">
        <f>IF(X1745&lt;&gt;"","⛔ "&amp;X1745&amp;" — not posted",IF(Y1745&lt;&gt;"","⚠ "&amp;Y1745,IF(Z1745=1,"✓ OK","")))</f>
        <v/>
      </c>
      <c r="T1745" s="67">
        <f>IF(AND(C1745="",D1745="",E1745="",L1745="",K1745=""),1,0)</f>
        <v/>
      </c>
      <c r="U1745" s="67">
        <f>IFERROR(INDEX(tt_Dir,MATCH(D1745,tt_Type,0)),"")</f>
        <v/>
      </c>
      <c r="V1745" s="67">
        <f>IF(D1745="","",IFERROR(IF(INDEX(tt_Other,MATCH(D1745,tt_Type,0))="",E1745&amp;"",INDEX(tt_Other,MATCH(D1745,tt_Type,0))),""))</f>
        <v/>
      </c>
      <c r="W1745" s="68">
        <f>IF(OR(TaxOn&lt;&gt;"Yes",NOT(ISNUMBER(M1745))),0,IF(IFERROR(INDEX(tt_Tax,MATCH(D1745,tt_Type,0)),"No")="Yes",M1745,0))</f>
        <v/>
      </c>
      <c r="X1745" s="67">
        <f>IF(T1745=1,"",IF(C1745="","Missing transaction date",IF(NOT(ISNUMBER(C1745)),"Invalid date",IF(OR(C1745&lt;DATE(2000,1,1),C1745&gt;DATE(2099,12,31)),"Invalid date",IF(D1745="","Select a type",IF(U1745="","Unknown type: "&amp;D1745,IF(V1745="","Select an account (Category)",IF(ISNA(MATCH(V1745,coa_Name,0)),"Unknown account: "&amp;V1745,IF(K1745="","Select Paid From / Deposited To",IF(ISNA(MATCH(K1745,coa_Name,0)),"Unknown account: "&amp;K1745,IF(NOT(ISNUMBER(L1745)),"Enter an amount",IF(L1745=0,"Enter an amount",IF(ABS(W1745)&gt;ABS(L1745),"Tax is larger than the amount","")))))))))))))</f>
        <v/>
      </c>
      <c r="Y1745" s="67">
        <f>IF(OR(T1745=1,X1745&lt;&gt;""),"",IF(AND(B1745&lt;&gt;"",COUNTIF(tx_ID,B1745)&gt;1),"Duplicate transaction ID",IF(AND(L1745&lt;0,D1745&lt;&gt;"Adjustment"),"Negative amount — check this entry",IF(AND(D1745="Customer Payment",G1745=""),"Add the customer",IF(AND(D1745="Customer Payment",OR(J1745="",COUNTIF(ar_No,J1745&amp;"")=0)),"Invoice # in Reference not found on AR sheet",IF(AND(D1745="Bill Payment",H1745=""),"Add the vendor",IF(AND(D1745="Bill Payment",OR(J1745="",COUNTIFS(ap_No,J1745&amp;"",ap_Party,H1745&amp;"")=0)),"Bill # + vendor not found on AP sheet",IF(AND(ISNUMBER(M1745),N(M1745)&lt;&gt;0,W1745=0),"Tax ignored (tax tracking off, or not allowed for this type)",IF(V1745=K1745&amp;"","Same account on both sides",IF(AND(ISNUMBER(StartDate),C1745&lt;StartDate),"Date is before the accounting start date",IF(AND(D1745&lt;&gt;"Adjustment",IFERROR(INDEX(coa_Pay,MATCH(K1745&amp;"",coa_Name,0)),"")&lt;&gt;"Yes"),"Paid From / Deposited To is not a payment account","")))))))))))</f>
        <v/>
      </c>
      <c r="Z1745" s="67">
        <f>IF(AND(T1745=0,X1745=""),1,0)</f>
        <v/>
      </c>
      <c r="AA1745" s="68">
        <f>IF(Z1745=1,IF(U1745="In",L1745,L1745-W1745),0)</f>
        <v/>
      </c>
      <c r="AB1745" s="68">
        <f>IF(Z1745=1,IF(U1745="In",L1745-W1745,L1745),0)</f>
        <v/>
      </c>
      <c r="AC1745" s="68">
        <f>IF(AND(Z1745=1,U1745="Out"),W1745,0)</f>
        <v/>
      </c>
      <c r="AD1745" s="68">
        <f>IF(AND(Z1745=1,U1745="In"),W1745,0)</f>
        <v/>
      </c>
    </row>
    <row r="1746">
      <c r="B1746" s="62" t="inlineStr">
        <is>
          <t>TX-1740</t>
        </is>
      </c>
      <c r="C1746" s="63" t="n"/>
      <c r="D1746" s="62" t="n"/>
      <c r="E1746" s="62" t="n"/>
      <c r="F1746" s="62" t="n"/>
      <c r="G1746" s="62" t="n"/>
      <c r="H1746" s="62" t="n"/>
      <c r="I1746" s="62" t="n"/>
      <c r="J1746" s="62" t="n"/>
      <c r="K1746" s="62" t="n"/>
      <c r="L1746" s="64" t="n"/>
      <c r="M1746" s="64" t="n"/>
      <c r="N1746" s="62" t="n"/>
      <c r="O1746" s="65">
        <f>IF(Z1746=1,L1746-W1746,"")</f>
        <v/>
      </c>
      <c r="P1746" s="66">
        <f>IF(V1746="","",IFERROR(INDEX(coa_Type,MATCH(V1746,coa_Name,0)),""))</f>
        <v/>
      </c>
      <c r="Q1746" s="66">
        <f>IF(Z1746=1,IF(U1746="In",K1746&amp;"",V1746),"")</f>
        <v/>
      </c>
      <c r="R1746" s="66">
        <f>IF(Z1746=1,IF(U1746="In",V1746,K1746&amp;""),"")</f>
        <v/>
      </c>
      <c r="S1746" s="66">
        <f>IF(X1746&lt;&gt;"","⛔ "&amp;X1746&amp;" — not posted",IF(Y1746&lt;&gt;"","⚠ "&amp;Y1746,IF(Z1746=1,"✓ OK","")))</f>
        <v/>
      </c>
      <c r="T1746" s="67">
        <f>IF(AND(C1746="",D1746="",E1746="",L1746="",K1746=""),1,0)</f>
        <v/>
      </c>
      <c r="U1746" s="67">
        <f>IFERROR(INDEX(tt_Dir,MATCH(D1746,tt_Type,0)),"")</f>
        <v/>
      </c>
      <c r="V1746" s="67">
        <f>IF(D1746="","",IFERROR(IF(INDEX(tt_Other,MATCH(D1746,tt_Type,0))="",E1746&amp;"",INDEX(tt_Other,MATCH(D1746,tt_Type,0))),""))</f>
        <v/>
      </c>
      <c r="W1746" s="68">
        <f>IF(OR(TaxOn&lt;&gt;"Yes",NOT(ISNUMBER(M1746))),0,IF(IFERROR(INDEX(tt_Tax,MATCH(D1746,tt_Type,0)),"No")="Yes",M1746,0))</f>
        <v/>
      </c>
      <c r="X1746" s="67">
        <f>IF(T1746=1,"",IF(C1746="","Missing transaction date",IF(NOT(ISNUMBER(C1746)),"Invalid date",IF(OR(C1746&lt;DATE(2000,1,1),C1746&gt;DATE(2099,12,31)),"Invalid date",IF(D1746="","Select a type",IF(U1746="","Unknown type: "&amp;D1746,IF(V1746="","Select an account (Category)",IF(ISNA(MATCH(V1746,coa_Name,0)),"Unknown account: "&amp;V1746,IF(K1746="","Select Paid From / Deposited To",IF(ISNA(MATCH(K1746,coa_Name,0)),"Unknown account: "&amp;K1746,IF(NOT(ISNUMBER(L1746)),"Enter an amount",IF(L1746=0,"Enter an amount",IF(ABS(W1746)&gt;ABS(L1746),"Tax is larger than the amount","")))))))))))))</f>
        <v/>
      </c>
      <c r="Y1746" s="67">
        <f>IF(OR(T1746=1,X1746&lt;&gt;""),"",IF(AND(B1746&lt;&gt;"",COUNTIF(tx_ID,B1746)&gt;1),"Duplicate transaction ID",IF(AND(L1746&lt;0,D1746&lt;&gt;"Adjustment"),"Negative amount — check this entry",IF(AND(D1746="Customer Payment",G1746=""),"Add the customer",IF(AND(D1746="Customer Payment",OR(J1746="",COUNTIF(ar_No,J1746&amp;"")=0)),"Invoice # in Reference not found on AR sheet",IF(AND(D1746="Bill Payment",H1746=""),"Add the vendor",IF(AND(D1746="Bill Payment",OR(J1746="",COUNTIFS(ap_No,J1746&amp;"",ap_Party,H1746&amp;"")=0)),"Bill # + vendor not found on AP sheet",IF(AND(ISNUMBER(M1746),N(M1746)&lt;&gt;0,W1746=0),"Tax ignored (tax tracking off, or not allowed for this type)",IF(V1746=K1746&amp;"","Same account on both sides",IF(AND(ISNUMBER(StartDate),C1746&lt;StartDate),"Date is before the accounting start date",IF(AND(D1746&lt;&gt;"Adjustment",IFERROR(INDEX(coa_Pay,MATCH(K1746&amp;"",coa_Name,0)),"")&lt;&gt;"Yes"),"Paid From / Deposited To is not a payment account","")))))))))))</f>
        <v/>
      </c>
      <c r="Z1746" s="67">
        <f>IF(AND(T1746=0,X1746=""),1,0)</f>
        <v/>
      </c>
      <c r="AA1746" s="68">
        <f>IF(Z1746=1,IF(U1746="In",L1746,L1746-W1746),0)</f>
        <v/>
      </c>
      <c r="AB1746" s="68">
        <f>IF(Z1746=1,IF(U1746="In",L1746-W1746,L1746),0)</f>
        <v/>
      </c>
      <c r="AC1746" s="68">
        <f>IF(AND(Z1746=1,U1746="Out"),W1746,0)</f>
        <v/>
      </c>
      <c r="AD1746" s="68">
        <f>IF(AND(Z1746=1,U1746="In"),W1746,0)</f>
        <v/>
      </c>
    </row>
    <row r="1747">
      <c r="B1747" s="62" t="inlineStr">
        <is>
          <t>TX-1741</t>
        </is>
      </c>
      <c r="C1747" s="63" t="n"/>
      <c r="D1747" s="62" t="n"/>
      <c r="E1747" s="62" t="n"/>
      <c r="F1747" s="62" t="n"/>
      <c r="G1747" s="62" t="n"/>
      <c r="H1747" s="62" t="n"/>
      <c r="I1747" s="62" t="n"/>
      <c r="J1747" s="62" t="n"/>
      <c r="K1747" s="62" t="n"/>
      <c r="L1747" s="64" t="n"/>
      <c r="M1747" s="64" t="n"/>
      <c r="N1747" s="62" t="n"/>
      <c r="O1747" s="65">
        <f>IF(Z1747=1,L1747-W1747,"")</f>
        <v/>
      </c>
      <c r="P1747" s="66">
        <f>IF(V1747="","",IFERROR(INDEX(coa_Type,MATCH(V1747,coa_Name,0)),""))</f>
        <v/>
      </c>
      <c r="Q1747" s="66">
        <f>IF(Z1747=1,IF(U1747="In",K1747&amp;"",V1747),"")</f>
        <v/>
      </c>
      <c r="R1747" s="66">
        <f>IF(Z1747=1,IF(U1747="In",V1747,K1747&amp;""),"")</f>
        <v/>
      </c>
      <c r="S1747" s="66">
        <f>IF(X1747&lt;&gt;"","⛔ "&amp;X1747&amp;" — not posted",IF(Y1747&lt;&gt;"","⚠ "&amp;Y1747,IF(Z1747=1,"✓ OK","")))</f>
        <v/>
      </c>
      <c r="T1747" s="67">
        <f>IF(AND(C1747="",D1747="",E1747="",L1747="",K1747=""),1,0)</f>
        <v/>
      </c>
      <c r="U1747" s="67">
        <f>IFERROR(INDEX(tt_Dir,MATCH(D1747,tt_Type,0)),"")</f>
        <v/>
      </c>
      <c r="V1747" s="67">
        <f>IF(D1747="","",IFERROR(IF(INDEX(tt_Other,MATCH(D1747,tt_Type,0))="",E1747&amp;"",INDEX(tt_Other,MATCH(D1747,tt_Type,0))),""))</f>
        <v/>
      </c>
      <c r="W1747" s="68">
        <f>IF(OR(TaxOn&lt;&gt;"Yes",NOT(ISNUMBER(M1747))),0,IF(IFERROR(INDEX(tt_Tax,MATCH(D1747,tt_Type,0)),"No")="Yes",M1747,0))</f>
        <v/>
      </c>
      <c r="X1747" s="67">
        <f>IF(T1747=1,"",IF(C1747="","Missing transaction date",IF(NOT(ISNUMBER(C1747)),"Invalid date",IF(OR(C1747&lt;DATE(2000,1,1),C1747&gt;DATE(2099,12,31)),"Invalid date",IF(D1747="","Select a type",IF(U1747="","Unknown type: "&amp;D1747,IF(V1747="","Select an account (Category)",IF(ISNA(MATCH(V1747,coa_Name,0)),"Unknown account: "&amp;V1747,IF(K1747="","Select Paid From / Deposited To",IF(ISNA(MATCH(K1747,coa_Name,0)),"Unknown account: "&amp;K1747,IF(NOT(ISNUMBER(L1747)),"Enter an amount",IF(L1747=0,"Enter an amount",IF(ABS(W1747)&gt;ABS(L1747),"Tax is larger than the amount","")))))))))))))</f>
        <v/>
      </c>
      <c r="Y1747" s="67">
        <f>IF(OR(T1747=1,X1747&lt;&gt;""),"",IF(AND(B1747&lt;&gt;"",COUNTIF(tx_ID,B1747)&gt;1),"Duplicate transaction ID",IF(AND(L1747&lt;0,D1747&lt;&gt;"Adjustment"),"Negative amount — check this entry",IF(AND(D1747="Customer Payment",G1747=""),"Add the customer",IF(AND(D1747="Customer Payment",OR(J1747="",COUNTIF(ar_No,J1747&amp;"")=0)),"Invoice # in Reference not found on AR sheet",IF(AND(D1747="Bill Payment",H1747=""),"Add the vendor",IF(AND(D1747="Bill Payment",OR(J1747="",COUNTIFS(ap_No,J1747&amp;"",ap_Party,H1747&amp;"")=0)),"Bill # + vendor not found on AP sheet",IF(AND(ISNUMBER(M1747),N(M1747)&lt;&gt;0,W1747=0),"Tax ignored (tax tracking off, or not allowed for this type)",IF(V1747=K1747&amp;"","Same account on both sides",IF(AND(ISNUMBER(StartDate),C1747&lt;StartDate),"Date is before the accounting start date",IF(AND(D1747&lt;&gt;"Adjustment",IFERROR(INDEX(coa_Pay,MATCH(K1747&amp;"",coa_Name,0)),"")&lt;&gt;"Yes"),"Paid From / Deposited To is not a payment account","")))))))))))</f>
        <v/>
      </c>
      <c r="Z1747" s="67">
        <f>IF(AND(T1747=0,X1747=""),1,0)</f>
        <v/>
      </c>
      <c r="AA1747" s="68">
        <f>IF(Z1747=1,IF(U1747="In",L1747,L1747-W1747),0)</f>
        <v/>
      </c>
      <c r="AB1747" s="68">
        <f>IF(Z1747=1,IF(U1747="In",L1747-W1747,L1747),0)</f>
        <v/>
      </c>
      <c r="AC1747" s="68">
        <f>IF(AND(Z1747=1,U1747="Out"),W1747,0)</f>
        <v/>
      </c>
      <c r="AD1747" s="68">
        <f>IF(AND(Z1747=1,U1747="In"),W1747,0)</f>
        <v/>
      </c>
    </row>
    <row r="1748">
      <c r="B1748" s="62" t="inlineStr">
        <is>
          <t>TX-1742</t>
        </is>
      </c>
      <c r="C1748" s="63" t="n"/>
      <c r="D1748" s="62" t="n"/>
      <c r="E1748" s="62" t="n"/>
      <c r="F1748" s="62" t="n"/>
      <c r="G1748" s="62" t="n"/>
      <c r="H1748" s="62" t="n"/>
      <c r="I1748" s="62" t="n"/>
      <c r="J1748" s="62" t="n"/>
      <c r="K1748" s="62" t="n"/>
      <c r="L1748" s="64" t="n"/>
      <c r="M1748" s="64" t="n"/>
      <c r="N1748" s="62" t="n"/>
      <c r="O1748" s="65">
        <f>IF(Z1748=1,L1748-W1748,"")</f>
        <v/>
      </c>
      <c r="P1748" s="66">
        <f>IF(V1748="","",IFERROR(INDEX(coa_Type,MATCH(V1748,coa_Name,0)),""))</f>
        <v/>
      </c>
      <c r="Q1748" s="66">
        <f>IF(Z1748=1,IF(U1748="In",K1748&amp;"",V1748),"")</f>
        <v/>
      </c>
      <c r="R1748" s="66">
        <f>IF(Z1748=1,IF(U1748="In",V1748,K1748&amp;""),"")</f>
        <v/>
      </c>
      <c r="S1748" s="66">
        <f>IF(X1748&lt;&gt;"","⛔ "&amp;X1748&amp;" — not posted",IF(Y1748&lt;&gt;"","⚠ "&amp;Y1748,IF(Z1748=1,"✓ OK","")))</f>
        <v/>
      </c>
      <c r="T1748" s="67">
        <f>IF(AND(C1748="",D1748="",E1748="",L1748="",K1748=""),1,0)</f>
        <v/>
      </c>
      <c r="U1748" s="67">
        <f>IFERROR(INDEX(tt_Dir,MATCH(D1748,tt_Type,0)),"")</f>
        <v/>
      </c>
      <c r="V1748" s="67">
        <f>IF(D1748="","",IFERROR(IF(INDEX(tt_Other,MATCH(D1748,tt_Type,0))="",E1748&amp;"",INDEX(tt_Other,MATCH(D1748,tt_Type,0))),""))</f>
        <v/>
      </c>
      <c r="W1748" s="68">
        <f>IF(OR(TaxOn&lt;&gt;"Yes",NOT(ISNUMBER(M1748))),0,IF(IFERROR(INDEX(tt_Tax,MATCH(D1748,tt_Type,0)),"No")="Yes",M1748,0))</f>
        <v/>
      </c>
      <c r="X1748" s="67">
        <f>IF(T1748=1,"",IF(C1748="","Missing transaction date",IF(NOT(ISNUMBER(C1748)),"Invalid date",IF(OR(C1748&lt;DATE(2000,1,1),C1748&gt;DATE(2099,12,31)),"Invalid date",IF(D1748="","Select a type",IF(U1748="","Unknown type: "&amp;D1748,IF(V1748="","Select an account (Category)",IF(ISNA(MATCH(V1748,coa_Name,0)),"Unknown account: "&amp;V1748,IF(K1748="","Select Paid From / Deposited To",IF(ISNA(MATCH(K1748,coa_Name,0)),"Unknown account: "&amp;K1748,IF(NOT(ISNUMBER(L1748)),"Enter an amount",IF(L1748=0,"Enter an amount",IF(ABS(W1748)&gt;ABS(L1748),"Tax is larger than the amount","")))))))))))))</f>
        <v/>
      </c>
      <c r="Y1748" s="67">
        <f>IF(OR(T1748=1,X1748&lt;&gt;""),"",IF(AND(B1748&lt;&gt;"",COUNTIF(tx_ID,B1748)&gt;1),"Duplicate transaction ID",IF(AND(L1748&lt;0,D1748&lt;&gt;"Adjustment"),"Negative amount — check this entry",IF(AND(D1748="Customer Payment",G1748=""),"Add the customer",IF(AND(D1748="Customer Payment",OR(J1748="",COUNTIF(ar_No,J1748&amp;"")=0)),"Invoice # in Reference not found on AR sheet",IF(AND(D1748="Bill Payment",H1748=""),"Add the vendor",IF(AND(D1748="Bill Payment",OR(J1748="",COUNTIFS(ap_No,J1748&amp;"",ap_Party,H1748&amp;"")=0)),"Bill # + vendor not found on AP sheet",IF(AND(ISNUMBER(M1748),N(M1748)&lt;&gt;0,W1748=0),"Tax ignored (tax tracking off, or not allowed for this type)",IF(V1748=K1748&amp;"","Same account on both sides",IF(AND(ISNUMBER(StartDate),C1748&lt;StartDate),"Date is before the accounting start date",IF(AND(D1748&lt;&gt;"Adjustment",IFERROR(INDEX(coa_Pay,MATCH(K1748&amp;"",coa_Name,0)),"")&lt;&gt;"Yes"),"Paid From / Deposited To is not a payment account","")))))))))))</f>
        <v/>
      </c>
      <c r="Z1748" s="67">
        <f>IF(AND(T1748=0,X1748=""),1,0)</f>
        <v/>
      </c>
      <c r="AA1748" s="68">
        <f>IF(Z1748=1,IF(U1748="In",L1748,L1748-W1748),0)</f>
        <v/>
      </c>
      <c r="AB1748" s="68">
        <f>IF(Z1748=1,IF(U1748="In",L1748-W1748,L1748),0)</f>
        <v/>
      </c>
      <c r="AC1748" s="68">
        <f>IF(AND(Z1748=1,U1748="Out"),W1748,0)</f>
        <v/>
      </c>
      <c r="AD1748" s="68">
        <f>IF(AND(Z1748=1,U1748="In"),W1748,0)</f>
        <v/>
      </c>
    </row>
    <row r="1749">
      <c r="B1749" s="62" t="inlineStr">
        <is>
          <t>TX-1743</t>
        </is>
      </c>
      <c r="C1749" s="63" t="n"/>
      <c r="D1749" s="62" t="n"/>
      <c r="E1749" s="62" t="n"/>
      <c r="F1749" s="62" t="n"/>
      <c r="G1749" s="62" t="n"/>
      <c r="H1749" s="62" t="n"/>
      <c r="I1749" s="62" t="n"/>
      <c r="J1749" s="62" t="n"/>
      <c r="K1749" s="62" t="n"/>
      <c r="L1749" s="64" t="n"/>
      <c r="M1749" s="64" t="n"/>
      <c r="N1749" s="62" t="n"/>
      <c r="O1749" s="65">
        <f>IF(Z1749=1,L1749-W1749,"")</f>
        <v/>
      </c>
      <c r="P1749" s="66">
        <f>IF(V1749="","",IFERROR(INDEX(coa_Type,MATCH(V1749,coa_Name,0)),""))</f>
        <v/>
      </c>
      <c r="Q1749" s="66">
        <f>IF(Z1749=1,IF(U1749="In",K1749&amp;"",V1749),"")</f>
        <v/>
      </c>
      <c r="R1749" s="66">
        <f>IF(Z1749=1,IF(U1749="In",V1749,K1749&amp;""),"")</f>
        <v/>
      </c>
      <c r="S1749" s="66">
        <f>IF(X1749&lt;&gt;"","⛔ "&amp;X1749&amp;" — not posted",IF(Y1749&lt;&gt;"","⚠ "&amp;Y1749,IF(Z1749=1,"✓ OK","")))</f>
        <v/>
      </c>
      <c r="T1749" s="67">
        <f>IF(AND(C1749="",D1749="",E1749="",L1749="",K1749=""),1,0)</f>
        <v/>
      </c>
      <c r="U1749" s="67">
        <f>IFERROR(INDEX(tt_Dir,MATCH(D1749,tt_Type,0)),"")</f>
        <v/>
      </c>
      <c r="V1749" s="67">
        <f>IF(D1749="","",IFERROR(IF(INDEX(tt_Other,MATCH(D1749,tt_Type,0))="",E1749&amp;"",INDEX(tt_Other,MATCH(D1749,tt_Type,0))),""))</f>
        <v/>
      </c>
      <c r="W1749" s="68">
        <f>IF(OR(TaxOn&lt;&gt;"Yes",NOT(ISNUMBER(M1749))),0,IF(IFERROR(INDEX(tt_Tax,MATCH(D1749,tt_Type,0)),"No")="Yes",M1749,0))</f>
        <v/>
      </c>
      <c r="X1749" s="67">
        <f>IF(T1749=1,"",IF(C1749="","Missing transaction date",IF(NOT(ISNUMBER(C1749)),"Invalid date",IF(OR(C1749&lt;DATE(2000,1,1),C1749&gt;DATE(2099,12,31)),"Invalid date",IF(D1749="","Select a type",IF(U1749="","Unknown type: "&amp;D1749,IF(V1749="","Select an account (Category)",IF(ISNA(MATCH(V1749,coa_Name,0)),"Unknown account: "&amp;V1749,IF(K1749="","Select Paid From / Deposited To",IF(ISNA(MATCH(K1749,coa_Name,0)),"Unknown account: "&amp;K1749,IF(NOT(ISNUMBER(L1749)),"Enter an amount",IF(L1749=0,"Enter an amount",IF(ABS(W1749)&gt;ABS(L1749),"Tax is larger than the amount","")))))))))))))</f>
        <v/>
      </c>
      <c r="Y1749" s="67">
        <f>IF(OR(T1749=1,X1749&lt;&gt;""),"",IF(AND(B1749&lt;&gt;"",COUNTIF(tx_ID,B1749)&gt;1),"Duplicate transaction ID",IF(AND(L1749&lt;0,D1749&lt;&gt;"Adjustment"),"Negative amount — check this entry",IF(AND(D1749="Customer Payment",G1749=""),"Add the customer",IF(AND(D1749="Customer Payment",OR(J1749="",COUNTIF(ar_No,J1749&amp;"")=0)),"Invoice # in Reference not found on AR sheet",IF(AND(D1749="Bill Payment",H1749=""),"Add the vendor",IF(AND(D1749="Bill Payment",OR(J1749="",COUNTIFS(ap_No,J1749&amp;"",ap_Party,H1749&amp;"")=0)),"Bill # + vendor not found on AP sheet",IF(AND(ISNUMBER(M1749),N(M1749)&lt;&gt;0,W1749=0),"Tax ignored (tax tracking off, or not allowed for this type)",IF(V1749=K1749&amp;"","Same account on both sides",IF(AND(ISNUMBER(StartDate),C1749&lt;StartDate),"Date is before the accounting start date",IF(AND(D1749&lt;&gt;"Adjustment",IFERROR(INDEX(coa_Pay,MATCH(K1749&amp;"",coa_Name,0)),"")&lt;&gt;"Yes"),"Paid From / Deposited To is not a payment account","")))))))))))</f>
        <v/>
      </c>
      <c r="Z1749" s="67">
        <f>IF(AND(T1749=0,X1749=""),1,0)</f>
        <v/>
      </c>
      <c r="AA1749" s="68">
        <f>IF(Z1749=1,IF(U1749="In",L1749,L1749-W1749),0)</f>
        <v/>
      </c>
      <c r="AB1749" s="68">
        <f>IF(Z1749=1,IF(U1749="In",L1749-W1749,L1749),0)</f>
        <v/>
      </c>
      <c r="AC1749" s="68">
        <f>IF(AND(Z1749=1,U1749="Out"),W1749,0)</f>
        <v/>
      </c>
      <c r="AD1749" s="68">
        <f>IF(AND(Z1749=1,U1749="In"),W1749,0)</f>
        <v/>
      </c>
    </row>
    <row r="1750">
      <c r="B1750" s="62" t="inlineStr">
        <is>
          <t>TX-1744</t>
        </is>
      </c>
      <c r="C1750" s="63" t="n"/>
      <c r="D1750" s="62" t="n"/>
      <c r="E1750" s="62" t="n"/>
      <c r="F1750" s="62" t="n"/>
      <c r="G1750" s="62" t="n"/>
      <c r="H1750" s="62" t="n"/>
      <c r="I1750" s="62" t="n"/>
      <c r="J1750" s="62" t="n"/>
      <c r="K1750" s="62" t="n"/>
      <c r="L1750" s="64" t="n"/>
      <c r="M1750" s="64" t="n"/>
      <c r="N1750" s="62" t="n"/>
      <c r="O1750" s="65">
        <f>IF(Z1750=1,L1750-W1750,"")</f>
        <v/>
      </c>
      <c r="P1750" s="66">
        <f>IF(V1750="","",IFERROR(INDEX(coa_Type,MATCH(V1750,coa_Name,0)),""))</f>
        <v/>
      </c>
      <c r="Q1750" s="66">
        <f>IF(Z1750=1,IF(U1750="In",K1750&amp;"",V1750),"")</f>
        <v/>
      </c>
      <c r="R1750" s="66">
        <f>IF(Z1750=1,IF(U1750="In",V1750,K1750&amp;""),"")</f>
        <v/>
      </c>
      <c r="S1750" s="66">
        <f>IF(X1750&lt;&gt;"","⛔ "&amp;X1750&amp;" — not posted",IF(Y1750&lt;&gt;"","⚠ "&amp;Y1750,IF(Z1750=1,"✓ OK","")))</f>
        <v/>
      </c>
      <c r="T1750" s="67">
        <f>IF(AND(C1750="",D1750="",E1750="",L1750="",K1750=""),1,0)</f>
        <v/>
      </c>
      <c r="U1750" s="67">
        <f>IFERROR(INDEX(tt_Dir,MATCH(D1750,tt_Type,0)),"")</f>
        <v/>
      </c>
      <c r="V1750" s="67">
        <f>IF(D1750="","",IFERROR(IF(INDEX(tt_Other,MATCH(D1750,tt_Type,0))="",E1750&amp;"",INDEX(tt_Other,MATCH(D1750,tt_Type,0))),""))</f>
        <v/>
      </c>
      <c r="W1750" s="68">
        <f>IF(OR(TaxOn&lt;&gt;"Yes",NOT(ISNUMBER(M1750))),0,IF(IFERROR(INDEX(tt_Tax,MATCH(D1750,tt_Type,0)),"No")="Yes",M1750,0))</f>
        <v/>
      </c>
      <c r="X1750" s="67">
        <f>IF(T1750=1,"",IF(C1750="","Missing transaction date",IF(NOT(ISNUMBER(C1750)),"Invalid date",IF(OR(C1750&lt;DATE(2000,1,1),C1750&gt;DATE(2099,12,31)),"Invalid date",IF(D1750="","Select a type",IF(U1750="","Unknown type: "&amp;D1750,IF(V1750="","Select an account (Category)",IF(ISNA(MATCH(V1750,coa_Name,0)),"Unknown account: "&amp;V1750,IF(K1750="","Select Paid From / Deposited To",IF(ISNA(MATCH(K1750,coa_Name,0)),"Unknown account: "&amp;K1750,IF(NOT(ISNUMBER(L1750)),"Enter an amount",IF(L1750=0,"Enter an amount",IF(ABS(W1750)&gt;ABS(L1750),"Tax is larger than the amount","")))))))))))))</f>
        <v/>
      </c>
      <c r="Y1750" s="67">
        <f>IF(OR(T1750=1,X1750&lt;&gt;""),"",IF(AND(B1750&lt;&gt;"",COUNTIF(tx_ID,B1750)&gt;1),"Duplicate transaction ID",IF(AND(L1750&lt;0,D1750&lt;&gt;"Adjustment"),"Negative amount — check this entry",IF(AND(D1750="Customer Payment",G1750=""),"Add the customer",IF(AND(D1750="Customer Payment",OR(J1750="",COUNTIF(ar_No,J1750&amp;"")=0)),"Invoice # in Reference not found on AR sheet",IF(AND(D1750="Bill Payment",H1750=""),"Add the vendor",IF(AND(D1750="Bill Payment",OR(J1750="",COUNTIFS(ap_No,J1750&amp;"",ap_Party,H1750&amp;"")=0)),"Bill # + vendor not found on AP sheet",IF(AND(ISNUMBER(M1750),N(M1750)&lt;&gt;0,W1750=0),"Tax ignored (tax tracking off, or not allowed for this type)",IF(V1750=K1750&amp;"","Same account on both sides",IF(AND(ISNUMBER(StartDate),C1750&lt;StartDate),"Date is before the accounting start date",IF(AND(D1750&lt;&gt;"Adjustment",IFERROR(INDEX(coa_Pay,MATCH(K1750&amp;"",coa_Name,0)),"")&lt;&gt;"Yes"),"Paid From / Deposited To is not a payment account","")))))))))))</f>
        <v/>
      </c>
      <c r="Z1750" s="67">
        <f>IF(AND(T1750=0,X1750=""),1,0)</f>
        <v/>
      </c>
      <c r="AA1750" s="68">
        <f>IF(Z1750=1,IF(U1750="In",L1750,L1750-W1750),0)</f>
        <v/>
      </c>
      <c r="AB1750" s="68">
        <f>IF(Z1750=1,IF(U1750="In",L1750-W1750,L1750),0)</f>
        <v/>
      </c>
      <c r="AC1750" s="68">
        <f>IF(AND(Z1750=1,U1750="Out"),W1750,0)</f>
        <v/>
      </c>
      <c r="AD1750" s="68">
        <f>IF(AND(Z1750=1,U1750="In"),W1750,0)</f>
        <v/>
      </c>
    </row>
    <row r="1751">
      <c r="B1751" s="62" t="inlineStr">
        <is>
          <t>TX-1745</t>
        </is>
      </c>
      <c r="C1751" s="63" t="n"/>
      <c r="D1751" s="62" t="n"/>
      <c r="E1751" s="62" t="n"/>
      <c r="F1751" s="62" t="n"/>
      <c r="G1751" s="62" t="n"/>
      <c r="H1751" s="62" t="n"/>
      <c r="I1751" s="62" t="n"/>
      <c r="J1751" s="62" t="n"/>
      <c r="K1751" s="62" t="n"/>
      <c r="L1751" s="64" t="n"/>
      <c r="M1751" s="64" t="n"/>
      <c r="N1751" s="62" t="n"/>
      <c r="O1751" s="65">
        <f>IF(Z1751=1,L1751-W1751,"")</f>
        <v/>
      </c>
      <c r="P1751" s="66">
        <f>IF(V1751="","",IFERROR(INDEX(coa_Type,MATCH(V1751,coa_Name,0)),""))</f>
        <v/>
      </c>
      <c r="Q1751" s="66">
        <f>IF(Z1751=1,IF(U1751="In",K1751&amp;"",V1751),"")</f>
        <v/>
      </c>
      <c r="R1751" s="66">
        <f>IF(Z1751=1,IF(U1751="In",V1751,K1751&amp;""),"")</f>
        <v/>
      </c>
      <c r="S1751" s="66">
        <f>IF(X1751&lt;&gt;"","⛔ "&amp;X1751&amp;" — not posted",IF(Y1751&lt;&gt;"","⚠ "&amp;Y1751,IF(Z1751=1,"✓ OK","")))</f>
        <v/>
      </c>
      <c r="T1751" s="67">
        <f>IF(AND(C1751="",D1751="",E1751="",L1751="",K1751=""),1,0)</f>
        <v/>
      </c>
      <c r="U1751" s="67">
        <f>IFERROR(INDEX(tt_Dir,MATCH(D1751,tt_Type,0)),"")</f>
        <v/>
      </c>
      <c r="V1751" s="67">
        <f>IF(D1751="","",IFERROR(IF(INDEX(tt_Other,MATCH(D1751,tt_Type,0))="",E1751&amp;"",INDEX(tt_Other,MATCH(D1751,tt_Type,0))),""))</f>
        <v/>
      </c>
      <c r="W1751" s="68">
        <f>IF(OR(TaxOn&lt;&gt;"Yes",NOT(ISNUMBER(M1751))),0,IF(IFERROR(INDEX(tt_Tax,MATCH(D1751,tt_Type,0)),"No")="Yes",M1751,0))</f>
        <v/>
      </c>
      <c r="X1751" s="67">
        <f>IF(T1751=1,"",IF(C1751="","Missing transaction date",IF(NOT(ISNUMBER(C1751)),"Invalid date",IF(OR(C1751&lt;DATE(2000,1,1),C1751&gt;DATE(2099,12,31)),"Invalid date",IF(D1751="","Select a type",IF(U1751="","Unknown type: "&amp;D1751,IF(V1751="","Select an account (Category)",IF(ISNA(MATCH(V1751,coa_Name,0)),"Unknown account: "&amp;V1751,IF(K1751="","Select Paid From / Deposited To",IF(ISNA(MATCH(K1751,coa_Name,0)),"Unknown account: "&amp;K1751,IF(NOT(ISNUMBER(L1751)),"Enter an amount",IF(L1751=0,"Enter an amount",IF(ABS(W1751)&gt;ABS(L1751),"Tax is larger than the amount","")))))))))))))</f>
        <v/>
      </c>
      <c r="Y1751" s="67">
        <f>IF(OR(T1751=1,X1751&lt;&gt;""),"",IF(AND(B1751&lt;&gt;"",COUNTIF(tx_ID,B1751)&gt;1),"Duplicate transaction ID",IF(AND(L1751&lt;0,D1751&lt;&gt;"Adjustment"),"Negative amount — check this entry",IF(AND(D1751="Customer Payment",G1751=""),"Add the customer",IF(AND(D1751="Customer Payment",OR(J1751="",COUNTIF(ar_No,J1751&amp;"")=0)),"Invoice # in Reference not found on AR sheet",IF(AND(D1751="Bill Payment",H1751=""),"Add the vendor",IF(AND(D1751="Bill Payment",OR(J1751="",COUNTIFS(ap_No,J1751&amp;"",ap_Party,H1751&amp;"")=0)),"Bill # + vendor not found on AP sheet",IF(AND(ISNUMBER(M1751),N(M1751)&lt;&gt;0,W1751=0),"Tax ignored (tax tracking off, or not allowed for this type)",IF(V1751=K1751&amp;"","Same account on both sides",IF(AND(ISNUMBER(StartDate),C1751&lt;StartDate),"Date is before the accounting start date",IF(AND(D1751&lt;&gt;"Adjustment",IFERROR(INDEX(coa_Pay,MATCH(K1751&amp;"",coa_Name,0)),"")&lt;&gt;"Yes"),"Paid From / Deposited To is not a payment account","")))))))))))</f>
        <v/>
      </c>
      <c r="Z1751" s="67">
        <f>IF(AND(T1751=0,X1751=""),1,0)</f>
        <v/>
      </c>
      <c r="AA1751" s="68">
        <f>IF(Z1751=1,IF(U1751="In",L1751,L1751-W1751),0)</f>
        <v/>
      </c>
      <c r="AB1751" s="68">
        <f>IF(Z1751=1,IF(U1751="In",L1751-W1751,L1751),0)</f>
        <v/>
      </c>
      <c r="AC1751" s="68">
        <f>IF(AND(Z1751=1,U1751="Out"),W1751,0)</f>
        <v/>
      </c>
      <c r="AD1751" s="68">
        <f>IF(AND(Z1751=1,U1751="In"),W1751,0)</f>
        <v/>
      </c>
    </row>
    <row r="1752">
      <c r="B1752" s="62" t="inlineStr">
        <is>
          <t>TX-1746</t>
        </is>
      </c>
      <c r="C1752" s="63" t="n"/>
      <c r="D1752" s="62" t="n"/>
      <c r="E1752" s="62" t="n"/>
      <c r="F1752" s="62" t="n"/>
      <c r="G1752" s="62" t="n"/>
      <c r="H1752" s="62" t="n"/>
      <c r="I1752" s="62" t="n"/>
      <c r="J1752" s="62" t="n"/>
      <c r="K1752" s="62" t="n"/>
      <c r="L1752" s="64" t="n"/>
      <c r="M1752" s="64" t="n"/>
      <c r="N1752" s="62" t="n"/>
      <c r="O1752" s="65">
        <f>IF(Z1752=1,L1752-W1752,"")</f>
        <v/>
      </c>
      <c r="P1752" s="66">
        <f>IF(V1752="","",IFERROR(INDEX(coa_Type,MATCH(V1752,coa_Name,0)),""))</f>
        <v/>
      </c>
      <c r="Q1752" s="66">
        <f>IF(Z1752=1,IF(U1752="In",K1752&amp;"",V1752),"")</f>
        <v/>
      </c>
      <c r="R1752" s="66">
        <f>IF(Z1752=1,IF(U1752="In",V1752,K1752&amp;""),"")</f>
        <v/>
      </c>
      <c r="S1752" s="66">
        <f>IF(X1752&lt;&gt;"","⛔ "&amp;X1752&amp;" — not posted",IF(Y1752&lt;&gt;"","⚠ "&amp;Y1752,IF(Z1752=1,"✓ OK","")))</f>
        <v/>
      </c>
      <c r="T1752" s="67">
        <f>IF(AND(C1752="",D1752="",E1752="",L1752="",K1752=""),1,0)</f>
        <v/>
      </c>
      <c r="U1752" s="67">
        <f>IFERROR(INDEX(tt_Dir,MATCH(D1752,tt_Type,0)),"")</f>
        <v/>
      </c>
      <c r="V1752" s="67">
        <f>IF(D1752="","",IFERROR(IF(INDEX(tt_Other,MATCH(D1752,tt_Type,0))="",E1752&amp;"",INDEX(tt_Other,MATCH(D1752,tt_Type,0))),""))</f>
        <v/>
      </c>
      <c r="W1752" s="68">
        <f>IF(OR(TaxOn&lt;&gt;"Yes",NOT(ISNUMBER(M1752))),0,IF(IFERROR(INDEX(tt_Tax,MATCH(D1752,tt_Type,0)),"No")="Yes",M1752,0))</f>
        <v/>
      </c>
      <c r="X1752" s="67">
        <f>IF(T1752=1,"",IF(C1752="","Missing transaction date",IF(NOT(ISNUMBER(C1752)),"Invalid date",IF(OR(C1752&lt;DATE(2000,1,1),C1752&gt;DATE(2099,12,31)),"Invalid date",IF(D1752="","Select a type",IF(U1752="","Unknown type: "&amp;D1752,IF(V1752="","Select an account (Category)",IF(ISNA(MATCH(V1752,coa_Name,0)),"Unknown account: "&amp;V1752,IF(K1752="","Select Paid From / Deposited To",IF(ISNA(MATCH(K1752,coa_Name,0)),"Unknown account: "&amp;K1752,IF(NOT(ISNUMBER(L1752)),"Enter an amount",IF(L1752=0,"Enter an amount",IF(ABS(W1752)&gt;ABS(L1752),"Tax is larger than the amount","")))))))))))))</f>
        <v/>
      </c>
      <c r="Y1752" s="67">
        <f>IF(OR(T1752=1,X1752&lt;&gt;""),"",IF(AND(B1752&lt;&gt;"",COUNTIF(tx_ID,B1752)&gt;1),"Duplicate transaction ID",IF(AND(L1752&lt;0,D1752&lt;&gt;"Adjustment"),"Negative amount — check this entry",IF(AND(D1752="Customer Payment",G1752=""),"Add the customer",IF(AND(D1752="Customer Payment",OR(J1752="",COUNTIF(ar_No,J1752&amp;"")=0)),"Invoice # in Reference not found on AR sheet",IF(AND(D1752="Bill Payment",H1752=""),"Add the vendor",IF(AND(D1752="Bill Payment",OR(J1752="",COUNTIFS(ap_No,J1752&amp;"",ap_Party,H1752&amp;"")=0)),"Bill # + vendor not found on AP sheet",IF(AND(ISNUMBER(M1752),N(M1752)&lt;&gt;0,W1752=0),"Tax ignored (tax tracking off, or not allowed for this type)",IF(V1752=K1752&amp;"","Same account on both sides",IF(AND(ISNUMBER(StartDate),C1752&lt;StartDate),"Date is before the accounting start date",IF(AND(D1752&lt;&gt;"Adjustment",IFERROR(INDEX(coa_Pay,MATCH(K1752&amp;"",coa_Name,0)),"")&lt;&gt;"Yes"),"Paid From / Deposited To is not a payment account","")))))))))))</f>
        <v/>
      </c>
      <c r="Z1752" s="67">
        <f>IF(AND(T1752=0,X1752=""),1,0)</f>
        <v/>
      </c>
      <c r="AA1752" s="68">
        <f>IF(Z1752=1,IF(U1752="In",L1752,L1752-W1752),0)</f>
        <v/>
      </c>
      <c r="AB1752" s="68">
        <f>IF(Z1752=1,IF(U1752="In",L1752-W1752,L1752),0)</f>
        <v/>
      </c>
      <c r="AC1752" s="68">
        <f>IF(AND(Z1752=1,U1752="Out"),W1752,0)</f>
        <v/>
      </c>
      <c r="AD1752" s="68">
        <f>IF(AND(Z1752=1,U1752="In"),W1752,0)</f>
        <v/>
      </c>
    </row>
    <row r="1753">
      <c r="B1753" s="62" t="inlineStr">
        <is>
          <t>TX-1747</t>
        </is>
      </c>
      <c r="C1753" s="63" t="n"/>
      <c r="D1753" s="62" t="n"/>
      <c r="E1753" s="62" t="n"/>
      <c r="F1753" s="62" t="n"/>
      <c r="G1753" s="62" t="n"/>
      <c r="H1753" s="62" t="n"/>
      <c r="I1753" s="62" t="n"/>
      <c r="J1753" s="62" t="n"/>
      <c r="K1753" s="62" t="n"/>
      <c r="L1753" s="64" t="n"/>
      <c r="M1753" s="64" t="n"/>
      <c r="N1753" s="62" t="n"/>
      <c r="O1753" s="65">
        <f>IF(Z1753=1,L1753-W1753,"")</f>
        <v/>
      </c>
      <c r="P1753" s="66">
        <f>IF(V1753="","",IFERROR(INDEX(coa_Type,MATCH(V1753,coa_Name,0)),""))</f>
        <v/>
      </c>
      <c r="Q1753" s="66">
        <f>IF(Z1753=1,IF(U1753="In",K1753&amp;"",V1753),"")</f>
        <v/>
      </c>
      <c r="R1753" s="66">
        <f>IF(Z1753=1,IF(U1753="In",V1753,K1753&amp;""),"")</f>
        <v/>
      </c>
      <c r="S1753" s="66">
        <f>IF(X1753&lt;&gt;"","⛔ "&amp;X1753&amp;" — not posted",IF(Y1753&lt;&gt;"","⚠ "&amp;Y1753,IF(Z1753=1,"✓ OK","")))</f>
        <v/>
      </c>
      <c r="T1753" s="67">
        <f>IF(AND(C1753="",D1753="",E1753="",L1753="",K1753=""),1,0)</f>
        <v/>
      </c>
      <c r="U1753" s="67">
        <f>IFERROR(INDEX(tt_Dir,MATCH(D1753,tt_Type,0)),"")</f>
        <v/>
      </c>
      <c r="V1753" s="67">
        <f>IF(D1753="","",IFERROR(IF(INDEX(tt_Other,MATCH(D1753,tt_Type,0))="",E1753&amp;"",INDEX(tt_Other,MATCH(D1753,tt_Type,0))),""))</f>
        <v/>
      </c>
      <c r="W1753" s="68">
        <f>IF(OR(TaxOn&lt;&gt;"Yes",NOT(ISNUMBER(M1753))),0,IF(IFERROR(INDEX(tt_Tax,MATCH(D1753,tt_Type,0)),"No")="Yes",M1753,0))</f>
        <v/>
      </c>
      <c r="X1753" s="67">
        <f>IF(T1753=1,"",IF(C1753="","Missing transaction date",IF(NOT(ISNUMBER(C1753)),"Invalid date",IF(OR(C1753&lt;DATE(2000,1,1),C1753&gt;DATE(2099,12,31)),"Invalid date",IF(D1753="","Select a type",IF(U1753="","Unknown type: "&amp;D1753,IF(V1753="","Select an account (Category)",IF(ISNA(MATCH(V1753,coa_Name,0)),"Unknown account: "&amp;V1753,IF(K1753="","Select Paid From / Deposited To",IF(ISNA(MATCH(K1753,coa_Name,0)),"Unknown account: "&amp;K1753,IF(NOT(ISNUMBER(L1753)),"Enter an amount",IF(L1753=0,"Enter an amount",IF(ABS(W1753)&gt;ABS(L1753),"Tax is larger than the amount","")))))))))))))</f>
        <v/>
      </c>
      <c r="Y1753" s="67">
        <f>IF(OR(T1753=1,X1753&lt;&gt;""),"",IF(AND(B1753&lt;&gt;"",COUNTIF(tx_ID,B1753)&gt;1),"Duplicate transaction ID",IF(AND(L1753&lt;0,D1753&lt;&gt;"Adjustment"),"Negative amount — check this entry",IF(AND(D1753="Customer Payment",G1753=""),"Add the customer",IF(AND(D1753="Customer Payment",OR(J1753="",COUNTIF(ar_No,J1753&amp;"")=0)),"Invoice # in Reference not found on AR sheet",IF(AND(D1753="Bill Payment",H1753=""),"Add the vendor",IF(AND(D1753="Bill Payment",OR(J1753="",COUNTIFS(ap_No,J1753&amp;"",ap_Party,H1753&amp;"")=0)),"Bill # + vendor not found on AP sheet",IF(AND(ISNUMBER(M1753),N(M1753)&lt;&gt;0,W1753=0),"Tax ignored (tax tracking off, or not allowed for this type)",IF(V1753=K1753&amp;"","Same account on both sides",IF(AND(ISNUMBER(StartDate),C1753&lt;StartDate),"Date is before the accounting start date",IF(AND(D1753&lt;&gt;"Adjustment",IFERROR(INDEX(coa_Pay,MATCH(K1753&amp;"",coa_Name,0)),"")&lt;&gt;"Yes"),"Paid From / Deposited To is not a payment account","")))))))))))</f>
        <v/>
      </c>
      <c r="Z1753" s="67">
        <f>IF(AND(T1753=0,X1753=""),1,0)</f>
        <v/>
      </c>
      <c r="AA1753" s="68">
        <f>IF(Z1753=1,IF(U1753="In",L1753,L1753-W1753),0)</f>
        <v/>
      </c>
      <c r="AB1753" s="68">
        <f>IF(Z1753=1,IF(U1753="In",L1753-W1753,L1753),0)</f>
        <v/>
      </c>
      <c r="AC1753" s="68">
        <f>IF(AND(Z1753=1,U1753="Out"),W1753,0)</f>
        <v/>
      </c>
      <c r="AD1753" s="68">
        <f>IF(AND(Z1753=1,U1753="In"),W1753,0)</f>
        <v/>
      </c>
    </row>
    <row r="1754">
      <c r="B1754" s="62" t="inlineStr">
        <is>
          <t>TX-1748</t>
        </is>
      </c>
      <c r="C1754" s="63" t="n"/>
      <c r="D1754" s="62" t="n"/>
      <c r="E1754" s="62" t="n"/>
      <c r="F1754" s="62" t="n"/>
      <c r="G1754" s="62" t="n"/>
      <c r="H1754" s="62" t="n"/>
      <c r="I1754" s="62" t="n"/>
      <c r="J1754" s="62" t="n"/>
      <c r="K1754" s="62" t="n"/>
      <c r="L1754" s="64" t="n"/>
      <c r="M1754" s="64" t="n"/>
      <c r="N1754" s="62" t="n"/>
      <c r="O1754" s="65">
        <f>IF(Z1754=1,L1754-W1754,"")</f>
        <v/>
      </c>
      <c r="P1754" s="66">
        <f>IF(V1754="","",IFERROR(INDEX(coa_Type,MATCH(V1754,coa_Name,0)),""))</f>
        <v/>
      </c>
      <c r="Q1754" s="66">
        <f>IF(Z1754=1,IF(U1754="In",K1754&amp;"",V1754),"")</f>
        <v/>
      </c>
      <c r="R1754" s="66">
        <f>IF(Z1754=1,IF(U1754="In",V1754,K1754&amp;""),"")</f>
        <v/>
      </c>
      <c r="S1754" s="66">
        <f>IF(X1754&lt;&gt;"","⛔ "&amp;X1754&amp;" — not posted",IF(Y1754&lt;&gt;"","⚠ "&amp;Y1754,IF(Z1754=1,"✓ OK","")))</f>
        <v/>
      </c>
      <c r="T1754" s="67">
        <f>IF(AND(C1754="",D1754="",E1754="",L1754="",K1754=""),1,0)</f>
        <v/>
      </c>
      <c r="U1754" s="67">
        <f>IFERROR(INDEX(tt_Dir,MATCH(D1754,tt_Type,0)),"")</f>
        <v/>
      </c>
      <c r="V1754" s="67">
        <f>IF(D1754="","",IFERROR(IF(INDEX(tt_Other,MATCH(D1754,tt_Type,0))="",E1754&amp;"",INDEX(tt_Other,MATCH(D1754,tt_Type,0))),""))</f>
        <v/>
      </c>
      <c r="W1754" s="68">
        <f>IF(OR(TaxOn&lt;&gt;"Yes",NOT(ISNUMBER(M1754))),0,IF(IFERROR(INDEX(tt_Tax,MATCH(D1754,tt_Type,0)),"No")="Yes",M1754,0))</f>
        <v/>
      </c>
      <c r="X1754" s="67">
        <f>IF(T1754=1,"",IF(C1754="","Missing transaction date",IF(NOT(ISNUMBER(C1754)),"Invalid date",IF(OR(C1754&lt;DATE(2000,1,1),C1754&gt;DATE(2099,12,31)),"Invalid date",IF(D1754="","Select a type",IF(U1754="","Unknown type: "&amp;D1754,IF(V1754="","Select an account (Category)",IF(ISNA(MATCH(V1754,coa_Name,0)),"Unknown account: "&amp;V1754,IF(K1754="","Select Paid From / Deposited To",IF(ISNA(MATCH(K1754,coa_Name,0)),"Unknown account: "&amp;K1754,IF(NOT(ISNUMBER(L1754)),"Enter an amount",IF(L1754=0,"Enter an amount",IF(ABS(W1754)&gt;ABS(L1754),"Tax is larger than the amount","")))))))))))))</f>
        <v/>
      </c>
      <c r="Y1754" s="67">
        <f>IF(OR(T1754=1,X1754&lt;&gt;""),"",IF(AND(B1754&lt;&gt;"",COUNTIF(tx_ID,B1754)&gt;1),"Duplicate transaction ID",IF(AND(L1754&lt;0,D1754&lt;&gt;"Adjustment"),"Negative amount — check this entry",IF(AND(D1754="Customer Payment",G1754=""),"Add the customer",IF(AND(D1754="Customer Payment",OR(J1754="",COUNTIF(ar_No,J1754&amp;"")=0)),"Invoice # in Reference not found on AR sheet",IF(AND(D1754="Bill Payment",H1754=""),"Add the vendor",IF(AND(D1754="Bill Payment",OR(J1754="",COUNTIFS(ap_No,J1754&amp;"",ap_Party,H1754&amp;"")=0)),"Bill # + vendor not found on AP sheet",IF(AND(ISNUMBER(M1754),N(M1754)&lt;&gt;0,W1754=0),"Tax ignored (tax tracking off, or not allowed for this type)",IF(V1754=K1754&amp;"","Same account on both sides",IF(AND(ISNUMBER(StartDate),C1754&lt;StartDate),"Date is before the accounting start date",IF(AND(D1754&lt;&gt;"Adjustment",IFERROR(INDEX(coa_Pay,MATCH(K1754&amp;"",coa_Name,0)),"")&lt;&gt;"Yes"),"Paid From / Deposited To is not a payment account","")))))))))))</f>
        <v/>
      </c>
      <c r="Z1754" s="67">
        <f>IF(AND(T1754=0,X1754=""),1,0)</f>
        <v/>
      </c>
      <c r="AA1754" s="68">
        <f>IF(Z1754=1,IF(U1754="In",L1754,L1754-W1754),0)</f>
        <v/>
      </c>
      <c r="AB1754" s="68">
        <f>IF(Z1754=1,IF(U1754="In",L1754-W1754,L1754),0)</f>
        <v/>
      </c>
      <c r="AC1754" s="68">
        <f>IF(AND(Z1754=1,U1754="Out"),W1754,0)</f>
        <v/>
      </c>
      <c r="AD1754" s="68">
        <f>IF(AND(Z1754=1,U1754="In"),W1754,0)</f>
        <v/>
      </c>
    </row>
    <row r="1755">
      <c r="B1755" s="62" t="inlineStr">
        <is>
          <t>TX-1749</t>
        </is>
      </c>
      <c r="C1755" s="63" t="n"/>
      <c r="D1755" s="62" t="n"/>
      <c r="E1755" s="62" t="n"/>
      <c r="F1755" s="62" t="n"/>
      <c r="G1755" s="62" t="n"/>
      <c r="H1755" s="62" t="n"/>
      <c r="I1755" s="62" t="n"/>
      <c r="J1755" s="62" t="n"/>
      <c r="K1755" s="62" t="n"/>
      <c r="L1755" s="64" t="n"/>
      <c r="M1755" s="64" t="n"/>
      <c r="N1755" s="62" t="n"/>
      <c r="O1755" s="65">
        <f>IF(Z1755=1,L1755-W1755,"")</f>
        <v/>
      </c>
      <c r="P1755" s="66">
        <f>IF(V1755="","",IFERROR(INDEX(coa_Type,MATCH(V1755,coa_Name,0)),""))</f>
        <v/>
      </c>
      <c r="Q1755" s="66">
        <f>IF(Z1755=1,IF(U1755="In",K1755&amp;"",V1755),"")</f>
        <v/>
      </c>
      <c r="R1755" s="66">
        <f>IF(Z1755=1,IF(U1755="In",V1755,K1755&amp;""),"")</f>
        <v/>
      </c>
      <c r="S1755" s="66">
        <f>IF(X1755&lt;&gt;"","⛔ "&amp;X1755&amp;" — not posted",IF(Y1755&lt;&gt;"","⚠ "&amp;Y1755,IF(Z1755=1,"✓ OK","")))</f>
        <v/>
      </c>
      <c r="T1755" s="67">
        <f>IF(AND(C1755="",D1755="",E1755="",L1755="",K1755=""),1,0)</f>
        <v/>
      </c>
      <c r="U1755" s="67">
        <f>IFERROR(INDEX(tt_Dir,MATCH(D1755,tt_Type,0)),"")</f>
        <v/>
      </c>
      <c r="V1755" s="67">
        <f>IF(D1755="","",IFERROR(IF(INDEX(tt_Other,MATCH(D1755,tt_Type,0))="",E1755&amp;"",INDEX(tt_Other,MATCH(D1755,tt_Type,0))),""))</f>
        <v/>
      </c>
      <c r="W1755" s="68">
        <f>IF(OR(TaxOn&lt;&gt;"Yes",NOT(ISNUMBER(M1755))),0,IF(IFERROR(INDEX(tt_Tax,MATCH(D1755,tt_Type,0)),"No")="Yes",M1755,0))</f>
        <v/>
      </c>
      <c r="X1755" s="67">
        <f>IF(T1755=1,"",IF(C1755="","Missing transaction date",IF(NOT(ISNUMBER(C1755)),"Invalid date",IF(OR(C1755&lt;DATE(2000,1,1),C1755&gt;DATE(2099,12,31)),"Invalid date",IF(D1755="","Select a type",IF(U1755="","Unknown type: "&amp;D1755,IF(V1755="","Select an account (Category)",IF(ISNA(MATCH(V1755,coa_Name,0)),"Unknown account: "&amp;V1755,IF(K1755="","Select Paid From / Deposited To",IF(ISNA(MATCH(K1755,coa_Name,0)),"Unknown account: "&amp;K1755,IF(NOT(ISNUMBER(L1755)),"Enter an amount",IF(L1755=0,"Enter an amount",IF(ABS(W1755)&gt;ABS(L1755),"Tax is larger than the amount","")))))))))))))</f>
        <v/>
      </c>
      <c r="Y1755" s="67">
        <f>IF(OR(T1755=1,X1755&lt;&gt;""),"",IF(AND(B1755&lt;&gt;"",COUNTIF(tx_ID,B1755)&gt;1),"Duplicate transaction ID",IF(AND(L1755&lt;0,D1755&lt;&gt;"Adjustment"),"Negative amount — check this entry",IF(AND(D1755="Customer Payment",G1755=""),"Add the customer",IF(AND(D1755="Customer Payment",OR(J1755="",COUNTIF(ar_No,J1755&amp;"")=0)),"Invoice # in Reference not found on AR sheet",IF(AND(D1755="Bill Payment",H1755=""),"Add the vendor",IF(AND(D1755="Bill Payment",OR(J1755="",COUNTIFS(ap_No,J1755&amp;"",ap_Party,H1755&amp;"")=0)),"Bill # + vendor not found on AP sheet",IF(AND(ISNUMBER(M1755),N(M1755)&lt;&gt;0,W1755=0),"Tax ignored (tax tracking off, or not allowed for this type)",IF(V1755=K1755&amp;"","Same account on both sides",IF(AND(ISNUMBER(StartDate),C1755&lt;StartDate),"Date is before the accounting start date",IF(AND(D1755&lt;&gt;"Adjustment",IFERROR(INDEX(coa_Pay,MATCH(K1755&amp;"",coa_Name,0)),"")&lt;&gt;"Yes"),"Paid From / Deposited To is not a payment account","")))))))))))</f>
        <v/>
      </c>
      <c r="Z1755" s="67">
        <f>IF(AND(T1755=0,X1755=""),1,0)</f>
        <v/>
      </c>
      <c r="AA1755" s="68">
        <f>IF(Z1755=1,IF(U1755="In",L1755,L1755-W1755),0)</f>
        <v/>
      </c>
      <c r="AB1755" s="68">
        <f>IF(Z1755=1,IF(U1755="In",L1755-W1755,L1755),0)</f>
        <v/>
      </c>
      <c r="AC1755" s="68">
        <f>IF(AND(Z1755=1,U1755="Out"),W1755,0)</f>
        <v/>
      </c>
      <c r="AD1755" s="68">
        <f>IF(AND(Z1755=1,U1755="In"),W1755,0)</f>
        <v/>
      </c>
    </row>
    <row r="1756">
      <c r="B1756" s="62" t="inlineStr">
        <is>
          <t>TX-1750</t>
        </is>
      </c>
      <c r="C1756" s="63" t="n"/>
      <c r="D1756" s="62" t="n"/>
      <c r="E1756" s="62" t="n"/>
      <c r="F1756" s="62" t="n"/>
      <c r="G1756" s="62" t="n"/>
      <c r="H1756" s="62" t="n"/>
      <c r="I1756" s="62" t="n"/>
      <c r="J1756" s="62" t="n"/>
      <c r="K1756" s="62" t="n"/>
      <c r="L1756" s="64" t="n"/>
      <c r="M1756" s="64" t="n"/>
      <c r="N1756" s="62" t="n"/>
      <c r="O1756" s="65">
        <f>IF(Z1756=1,L1756-W1756,"")</f>
        <v/>
      </c>
      <c r="P1756" s="66">
        <f>IF(V1756="","",IFERROR(INDEX(coa_Type,MATCH(V1756,coa_Name,0)),""))</f>
        <v/>
      </c>
      <c r="Q1756" s="66">
        <f>IF(Z1756=1,IF(U1756="In",K1756&amp;"",V1756),"")</f>
        <v/>
      </c>
      <c r="R1756" s="66">
        <f>IF(Z1756=1,IF(U1756="In",V1756,K1756&amp;""),"")</f>
        <v/>
      </c>
      <c r="S1756" s="66">
        <f>IF(X1756&lt;&gt;"","⛔ "&amp;X1756&amp;" — not posted",IF(Y1756&lt;&gt;"","⚠ "&amp;Y1756,IF(Z1756=1,"✓ OK","")))</f>
        <v/>
      </c>
      <c r="T1756" s="67">
        <f>IF(AND(C1756="",D1756="",E1756="",L1756="",K1756=""),1,0)</f>
        <v/>
      </c>
      <c r="U1756" s="67">
        <f>IFERROR(INDEX(tt_Dir,MATCH(D1756,tt_Type,0)),"")</f>
        <v/>
      </c>
      <c r="V1756" s="67">
        <f>IF(D1756="","",IFERROR(IF(INDEX(tt_Other,MATCH(D1756,tt_Type,0))="",E1756&amp;"",INDEX(tt_Other,MATCH(D1756,tt_Type,0))),""))</f>
        <v/>
      </c>
      <c r="W1756" s="68">
        <f>IF(OR(TaxOn&lt;&gt;"Yes",NOT(ISNUMBER(M1756))),0,IF(IFERROR(INDEX(tt_Tax,MATCH(D1756,tt_Type,0)),"No")="Yes",M1756,0))</f>
        <v/>
      </c>
      <c r="X1756" s="67">
        <f>IF(T1756=1,"",IF(C1756="","Missing transaction date",IF(NOT(ISNUMBER(C1756)),"Invalid date",IF(OR(C1756&lt;DATE(2000,1,1),C1756&gt;DATE(2099,12,31)),"Invalid date",IF(D1756="","Select a type",IF(U1756="","Unknown type: "&amp;D1756,IF(V1756="","Select an account (Category)",IF(ISNA(MATCH(V1756,coa_Name,0)),"Unknown account: "&amp;V1756,IF(K1756="","Select Paid From / Deposited To",IF(ISNA(MATCH(K1756,coa_Name,0)),"Unknown account: "&amp;K1756,IF(NOT(ISNUMBER(L1756)),"Enter an amount",IF(L1756=0,"Enter an amount",IF(ABS(W1756)&gt;ABS(L1756),"Tax is larger than the amount","")))))))))))))</f>
        <v/>
      </c>
      <c r="Y1756" s="67">
        <f>IF(OR(T1756=1,X1756&lt;&gt;""),"",IF(AND(B1756&lt;&gt;"",COUNTIF(tx_ID,B1756)&gt;1),"Duplicate transaction ID",IF(AND(L1756&lt;0,D1756&lt;&gt;"Adjustment"),"Negative amount — check this entry",IF(AND(D1756="Customer Payment",G1756=""),"Add the customer",IF(AND(D1756="Customer Payment",OR(J1756="",COUNTIF(ar_No,J1756&amp;"")=0)),"Invoice # in Reference not found on AR sheet",IF(AND(D1756="Bill Payment",H1756=""),"Add the vendor",IF(AND(D1756="Bill Payment",OR(J1756="",COUNTIFS(ap_No,J1756&amp;"",ap_Party,H1756&amp;"")=0)),"Bill # + vendor not found on AP sheet",IF(AND(ISNUMBER(M1756),N(M1756)&lt;&gt;0,W1756=0),"Tax ignored (tax tracking off, or not allowed for this type)",IF(V1756=K1756&amp;"","Same account on both sides",IF(AND(ISNUMBER(StartDate),C1756&lt;StartDate),"Date is before the accounting start date",IF(AND(D1756&lt;&gt;"Adjustment",IFERROR(INDEX(coa_Pay,MATCH(K1756&amp;"",coa_Name,0)),"")&lt;&gt;"Yes"),"Paid From / Deposited To is not a payment account","")))))))))))</f>
        <v/>
      </c>
      <c r="Z1756" s="67">
        <f>IF(AND(T1756=0,X1756=""),1,0)</f>
        <v/>
      </c>
      <c r="AA1756" s="68">
        <f>IF(Z1756=1,IF(U1756="In",L1756,L1756-W1756),0)</f>
        <v/>
      </c>
      <c r="AB1756" s="68">
        <f>IF(Z1756=1,IF(U1756="In",L1756-W1756,L1756),0)</f>
        <v/>
      </c>
      <c r="AC1756" s="68">
        <f>IF(AND(Z1756=1,U1756="Out"),W1756,0)</f>
        <v/>
      </c>
      <c r="AD1756" s="68">
        <f>IF(AND(Z1756=1,U1756="In"),W1756,0)</f>
        <v/>
      </c>
    </row>
    <row r="1757">
      <c r="B1757" s="62" t="inlineStr">
        <is>
          <t>TX-1751</t>
        </is>
      </c>
      <c r="C1757" s="63" t="n"/>
      <c r="D1757" s="62" t="n"/>
      <c r="E1757" s="62" t="n"/>
      <c r="F1757" s="62" t="n"/>
      <c r="G1757" s="62" t="n"/>
      <c r="H1757" s="62" t="n"/>
      <c r="I1757" s="62" t="n"/>
      <c r="J1757" s="62" t="n"/>
      <c r="K1757" s="62" t="n"/>
      <c r="L1757" s="64" t="n"/>
      <c r="M1757" s="64" t="n"/>
      <c r="N1757" s="62" t="n"/>
      <c r="O1757" s="65">
        <f>IF(Z1757=1,L1757-W1757,"")</f>
        <v/>
      </c>
      <c r="P1757" s="66">
        <f>IF(V1757="","",IFERROR(INDEX(coa_Type,MATCH(V1757,coa_Name,0)),""))</f>
        <v/>
      </c>
      <c r="Q1757" s="66">
        <f>IF(Z1757=1,IF(U1757="In",K1757&amp;"",V1757),"")</f>
        <v/>
      </c>
      <c r="R1757" s="66">
        <f>IF(Z1757=1,IF(U1757="In",V1757,K1757&amp;""),"")</f>
        <v/>
      </c>
      <c r="S1757" s="66">
        <f>IF(X1757&lt;&gt;"","⛔ "&amp;X1757&amp;" — not posted",IF(Y1757&lt;&gt;"","⚠ "&amp;Y1757,IF(Z1757=1,"✓ OK","")))</f>
        <v/>
      </c>
      <c r="T1757" s="67">
        <f>IF(AND(C1757="",D1757="",E1757="",L1757="",K1757=""),1,0)</f>
        <v/>
      </c>
      <c r="U1757" s="67">
        <f>IFERROR(INDEX(tt_Dir,MATCH(D1757,tt_Type,0)),"")</f>
        <v/>
      </c>
      <c r="V1757" s="67">
        <f>IF(D1757="","",IFERROR(IF(INDEX(tt_Other,MATCH(D1757,tt_Type,0))="",E1757&amp;"",INDEX(tt_Other,MATCH(D1757,tt_Type,0))),""))</f>
        <v/>
      </c>
      <c r="W1757" s="68">
        <f>IF(OR(TaxOn&lt;&gt;"Yes",NOT(ISNUMBER(M1757))),0,IF(IFERROR(INDEX(tt_Tax,MATCH(D1757,tt_Type,0)),"No")="Yes",M1757,0))</f>
        <v/>
      </c>
      <c r="X1757" s="67">
        <f>IF(T1757=1,"",IF(C1757="","Missing transaction date",IF(NOT(ISNUMBER(C1757)),"Invalid date",IF(OR(C1757&lt;DATE(2000,1,1),C1757&gt;DATE(2099,12,31)),"Invalid date",IF(D1757="","Select a type",IF(U1757="","Unknown type: "&amp;D1757,IF(V1757="","Select an account (Category)",IF(ISNA(MATCH(V1757,coa_Name,0)),"Unknown account: "&amp;V1757,IF(K1757="","Select Paid From / Deposited To",IF(ISNA(MATCH(K1757,coa_Name,0)),"Unknown account: "&amp;K1757,IF(NOT(ISNUMBER(L1757)),"Enter an amount",IF(L1757=0,"Enter an amount",IF(ABS(W1757)&gt;ABS(L1757),"Tax is larger than the amount","")))))))))))))</f>
        <v/>
      </c>
      <c r="Y1757" s="67">
        <f>IF(OR(T1757=1,X1757&lt;&gt;""),"",IF(AND(B1757&lt;&gt;"",COUNTIF(tx_ID,B1757)&gt;1),"Duplicate transaction ID",IF(AND(L1757&lt;0,D1757&lt;&gt;"Adjustment"),"Negative amount — check this entry",IF(AND(D1757="Customer Payment",G1757=""),"Add the customer",IF(AND(D1757="Customer Payment",OR(J1757="",COUNTIF(ar_No,J1757&amp;"")=0)),"Invoice # in Reference not found on AR sheet",IF(AND(D1757="Bill Payment",H1757=""),"Add the vendor",IF(AND(D1757="Bill Payment",OR(J1757="",COUNTIFS(ap_No,J1757&amp;"",ap_Party,H1757&amp;"")=0)),"Bill # + vendor not found on AP sheet",IF(AND(ISNUMBER(M1757),N(M1757)&lt;&gt;0,W1757=0),"Tax ignored (tax tracking off, or not allowed for this type)",IF(V1757=K1757&amp;"","Same account on both sides",IF(AND(ISNUMBER(StartDate),C1757&lt;StartDate),"Date is before the accounting start date",IF(AND(D1757&lt;&gt;"Adjustment",IFERROR(INDEX(coa_Pay,MATCH(K1757&amp;"",coa_Name,0)),"")&lt;&gt;"Yes"),"Paid From / Deposited To is not a payment account","")))))))))))</f>
        <v/>
      </c>
      <c r="Z1757" s="67">
        <f>IF(AND(T1757=0,X1757=""),1,0)</f>
        <v/>
      </c>
      <c r="AA1757" s="68">
        <f>IF(Z1757=1,IF(U1757="In",L1757,L1757-W1757),0)</f>
        <v/>
      </c>
      <c r="AB1757" s="68">
        <f>IF(Z1757=1,IF(U1757="In",L1757-W1757,L1757),0)</f>
        <v/>
      </c>
      <c r="AC1757" s="68">
        <f>IF(AND(Z1757=1,U1757="Out"),W1757,0)</f>
        <v/>
      </c>
      <c r="AD1757" s="68">
        <f>IF(AND(Z1757=1,U1757="In"),W1757,0)</f>
        <v/>
      </c>
    </row>
    <row r="1758">
      <c r="B1758" s="62" t="inlineStr">
        <is>
          <t>TX-1752</t>
        </is>
      </c>
      <c r="C1758" s="63" t="n"/>
      <c r="D1758" s="62" t="n"/>
      <c r="E1758" s="62" t="n"/>
      <c r="F1758" s="62" t="n"/>
      <c r="G1758" s="62" t="n"/>
      <c r="H1758" s="62" t="n"/>
      <c r="I1758" s="62" t="n"/>
      <c r="J1758" s="62" t="n"/>
      <c r="K1758" s="62" t="n"/>
      <c r="L1758" s="64" t="n"/>
      <c r="M1758" s="64" t="n"/>
      <c r="N1758" s="62" t="n"/>
      <c r="O1758" s="65">
        <f>IF(Z1758=1,L1758-W1758,"")</f>
        <v/>
      </c>
      <c r="P1758" s="66">
        <f>IF(V1758="","",IFERROR(INDEX(coa_Type,MATCH(V1758,coa_Name,0)),""))</f>
        <v/>
      </c>
      <c r="Q1758" s="66">
        <f>IF(Z1758=1,IF(U1758="In",K1758&amp;"",V1758),"")</f>
        <v/>
      </c>
      <c r="R1758" s="66">
        <f>IF(Z1758=1,IF(U1758="In",V1758,K1758&amp;""),"")</f>
        <v/>
      </c>
      <c r="S1758" s="66">
        <f>IF(X1758&lt;&gt;"","⛔ "&amp;X1758&amp;" — not posted",IF(Y1758&lt;&gt;"","⚠ "&amp;Y1758,IF(Z1758=1,"✓ OK","")))</f>
        <v/>
      </c>
      <c r="T1758" s="67">
        <f>IF(AND(C1758="",D1758="",E1758="",L1758="",K1758=""),1,0)</f>
        <v/>
      </c>
      <c r="U1758" s="67">
        <f>IFERROR(INDEX(tt_Dir,MATCH(D1758,tt_Type,0)),"")</f>
        <v/>
      </c>
      <c r="V1758" s="67">
        <f>IF(D1758="","",IFERROR(IF(INDEX(tt_Other,MATCH(D1758,tt_Type,0))="",E1758&amp;"",INDEX(tt_Other,MATCH(D1758,tt_Type,0))),""))</f>
        <v/>
      </c>
      <c r="W1758" s="68">
        <f>IF(OR(TaxOn&lt;&gt;"Yes",NOT(ISNUMBER(M1758))),0,IF(IFERROR(INDEX(tt_Tax,MATCH(D1758,tt_Type,0)),"No")="Yes",M1758,0))</f>
        <v/>
      </c>
      <c r="X1758" s="67">
        <f>IF(T1758=1,"",IF(C1758="","Missing transaction date",IF(NOT(ISNUMBER(C1758)),"Invalid date",IF(OR(C1758&lt;DATE(2000,1,1),C1758&gt;DATE(2099,12,31)),"Invalid date",IF(D1758="","Select a type",IF(U1758="","Unknown type: "&amp;D1758,IF(V1758="","Select an account (Category)",IF(ISNA(MATCH(V1758,coa_Name,0)),"Unknown account: "&amp;V1758,IF(K1758="","Select Paid From / Deposited To",IF(ISNA(MATCH(K1758,coa_Name,0)),"Unknown account: "&amp;K1758,IF(NOT(ISNUMBER(L1758)),"Enter an amount",IF(L1758=0,"Enter an amount",IF(ABS(W1758)&gt;ABS(L1758),"Tax is larger than the amount","")))))))))))))</f>
        <v/>
      </c>
      <c r="Y1758" s="67">
        <f>IF(OR(T1758=1,X1758&lt;&gt;""),"",IF(AND(B1758&lt;&gt;"",COUNTIF(tx_ID,B1758)&gt;1),"Duplicate transaction ID",IF(AND(L1758&lt;0,D1758&lt;&gt;"Adjustment"),"Negative amount — check this entry",IF(AND(D1758="Customer Payment",G1758=""),"Add the customer",IF(AND(D1758="Customer Payment",OR(J1758="",COUNTIF(ar_No,J1758&amp;"")=0)),"Invoice # in Reference not found on AR sheet",IF(AND(D1758="Bill Payment",H1758=""),"Add the vendor",IF(AND(D1758="Bill Payment",OR(J1758="",COUNTIFS(ap_No,J1758&amp;"",ap_Party,H1758&amp;"")=0)),"Bill # + vendor not found on AP sheet",IF(AND(ISNUMBER(M1758),N(M1758)&lt;&gt;0,W1758=0),"Tax ignored (tax tracking off, or not allowed for this type)",IF(V1758=K1758&amp;"","Same account on both sides",IF(AND(ISNUMBER(StartDate),C1758&lt;StartDate),"Date is before the accounting start date",IF(AND(D1758&lt;&gt;"Adjustment",IFERROR(INDEX(coa_Pay,MATCH(K1758&amp;"",coa_Name,0)),"")&lt;&gt;"Yes"),"Paid From / Deposited To is not a payment account","")))))))))))</f>
        <v/>
      </c>
      <c r="Z1758" s="67">
        <f>IF(AND(T1758=0,X1758=""),1,0)</f>
        <v/>
      </c>
      <c r="AA1758" s="68">
        <f>IF(Z1758=1,IF(U1758="In",L1758,L1758-W1758),0)</f>
        <v/>
      </c>
      <c r="AB1758" s="68">
        <f>IF(Z1758=1,IF(U1758="In",L1758-W1758,L1758),0)</f>
        <v/>
      </c>
      <c r="AC1758" s="68">
        <f>IF(AND(Z1758=1,U1758="Out"),W1758,0)</f>
        <v/>
      </c>
      <c r="AD1758" s="68">
        <f>IF(AND(Z1758=1,U1758="In"),W1758,0)</f>
        <v/>
      </c>
    </row>
    <row r="1759">
      <c r="B1759" s="62" t="inlineStr">
        <is>
          <t>TX-1753</t>
        </is>
      </c>
      <c r="C1759" s="63" t="n"/>
      <c r="D1759" s="62" t="n"/>
      <c r="E1759" s="62" t="n"/>
      <c r="F1759" s="62" t="n"/>
      <c r="G1759" s="62" t="n"/>
      <c r="H1759" s="62" t="n"/>
      <c r="I1759" s="62" t="n"/>
      <c r="J1759" s="62" t="n"/>
      <c r="K1759" s="62" t="n"/>
      <c r="L1759" s="64" t="n"/>
      <c r="M1759" s="64" t="n"/>
      <c r="N1759" s="62" t="n"/>
      <c r="O1759" s="65">
        <f>IF(Z1759=1,L1759-W1759,"")</f>
        <v/>
      </c>
      <c r="P1759" s="66">
        <f>IF(V1759="","",IFERROR(INDEX(coa_Type,MATCH(V1759,coa_Name,0)),""))</f>
        <v/>
      </c>
      <c r="Q1759" s="66">
        <f>IF(Z1759=1,IF(U1759="In",K1759&amp;"",V1759),"")</f>
        <v/>
      </c>
      <c r="R1759" s="66">
        <f>IF(Z1759=1,IF(U1759="In",V1759,K1759&amp;""),"")</f>
        <v/>
      </c>
      <c r="S1759" s="66">
        <f>IF(X1759&lt;&gt;"","⛔ "&amp;X1759&amp;" — not posted",IF(Y1759&lt;&gt;"","⚠ "&amp;Y1759,IF(Z1759=1,"✓ OK","")))</f>
        <v/>
      </c>
      <c r="T1759" s="67">
        <f>IF(AND(C1759="",D1759="",E1759="",L1759="",K1759=""),1,0)</f>
        <v/>
      </c>
      <c r="U1759" s="67">
        <f>IFERROR(INDEX(tt_Dir,MATCH(D1759,tt_Type,0)),"")</f>
        <v/>
      </c>
      <c r="V1759" s="67">
        <f>IF(D1759="","",IFERROR(IF(INDEX(tt_Other,MATCH(D1759,tt_Type,0))="",E1759&amp;"",INDEX(tt_Other,MATCH(D1759,tt_Type,0))),""))</f>
        <v/>
      </c>
      <c r="W1759" s="68">
        <f>IF(OR(TaxOn&lt;&gt;"Yes",NOT(ISNUMBER(M1759))),0,IF(IFERROR(INDEX(tt_Tax,MATCH(D1759,tt_Type,0)),"No")="Yes",M1759,0))</f>
        <v/>
      </c>
      <c r="X1759" s="67">
        <f>IF(T1759=1,"",IF(C1759="","Missing transaction date",IF(NOT(ISNUMBER(C1759)),"Invalid date",IF(OR(C1759&lt;DATE(2000,1,1),C1759&gt;DATE(2099,12,31)),"Invalid date",IF(D1759="","Select a type",IF(U1759="","Unknown type: "&amp;D1759,IF(V1759="","Select an account (Category)",IF(ISNA(MATCH(V1759,coa_Name,0)),"Unknown account: "&amp;V1759,IF(K1759="","Select Paid From / Deposited To",IF(ISNA(MATCH(K1759,coa_Name,0)),"Unknown account: "&amp;K1759,IF(NOT(ISNUMBER(L1759)),"Enter an amount",IF(L1759=0,"Enter an amount",IF(ABS(W1759)&gt;ABS(L1759),"Tax is larger than the amount","")))))))))))))</f>
        <v/>
      </c>
      <c r="Y1759" s="67">
        <f>IF(OR(T1759=1,X1759&lt;&gt;""),"",IF(AND(B1759&lt;&gt;"",COUNTIF(tx_ID,B1759)&gt;1),"Duplicate transaction ID",IF(AND(L1759&lt;0,D1759&lt;&gt;"Adjustment"),"Negative amount — check this entry",IF(AND(D1759="Customer Payment",G1759=""),"Add the customer",IF(AND(D1759="Customer Payment",OR(J1759="",COUNTIF(ar_No,J1759&amp;"")=0)),"Invoice # in Reference not found on AR sheet",IF(AND(D1759="Bill Payment",H1759=""),"Add the vendor",IF(AND(D1759="Bill Payment",OR(J1759="",COUNTIFS(ap_No,J1759&amp;"",ap_Party,H1759&amp;"")=0)),"Bill # + vendor not found on AP sheet",IF(AND(ISNUMBER(M1759),N(M1759)&lt;&gt;0,W1759=0),"Tax ignored (tax tracking off, or not allowed for this type)",IF(V1759=K1759&amp;"","Same account on both sides",IF(AND(ISNUMBER(StartDate),C1759&lt;StartDate),"Date is before the accounting start date",IF(AND(D1759&lt;&gt;"Adjustment",IFERROR(INDEX(coa_Pay,MATCH(K1759&amp;"",coa_Name,0)),"")&lt;&gt;"Yes"),"Paid From / Deposited To is not a payment account","")))))))))))</f>
        <v/>
      </c>
      <c r="Z1759" s="67">
        <f>IF(AND(T1759=0,X1759=""),1,0)</f>
        <v/>
      </c>
      <c r="AA1759" s="68">
        <f>IF(Z1759=1,IF(U1759="In",L1759,L1759-W1759),0)</f>
        <v/>
      </c>
      <c r="AB1759" s="68">
        <f>IF(Z1759=1,IF(U1759="In",L1759-W1759,L1759),0)</f>
        <v/>
      </c>
      <c r="AC1759" s="68">
        <f>IF(AND(Z1759=1,U1759="Out"),W1759,0)</f>
        <v/>
      </c>
      <c r="AD1759" s="68">
        <f>IF(AND(Z1759=1,U1759="In"),W1759,0)</f>
        <v/>
      </c>
    </row>
    <row r="1760">
      <c r="B1760" s="62" t="inlineStr">
        <is>
          <t>TX-1754</t>
        </is>
      </c>
      <c r="C1760" s="63" t="n"/>
      <c r="D1760" s="62" t="n"/>
      <c r="E1760" s="62" t="n"/>
      <c r="F1760" s="62" t="n"/>
      <c r="G1760" s="62" t="n"/>
      <c r="H1760" s="62" t="n"/>
      <c r="I1760" s="62" t="n"/>
      <c r="J1760" s="62" t="n"/>
      <c r="K1760" s="62" t="n"/>
      <c r="L1760" s="64" t="n"/>
      <c r="M1760" s="64" t="n"/>
      <c r="N1760" s="62" t="n"/>
      <c r="O1760" s="65">
        <f>IF(Z1760=1,L1760-W1760,"")</f>
        <v/>
      </c>
      <c r="P1760" s="66">
        <f>IF(V1760="","",IFERROR(INDEX(coa_Type,MATCH(V1760,coa_Name,0)),""))</f>
        <v/>
      </c>
      <c r="Q1760" s="66">
        <f>IF(Z1760=1,IF(U1760="In",K1760&amp;"",V1760),"")</f>
        <v/>
      </c>
      <c r="R1760" s="66">
        <f>IF(Z1760=1,IF(U1760="In",V1760,K1760&amp;""),"")</f>
        <v/>
      </c>
      <c r="S1760" s="66">
        <f>IF(X1760&lt;&gt;"","⛔ "&amp;X1760&amp;" — not posted",IF(Y1760&lt;&gt;"","⚠ "&amp;Y1760,IF(Z1760=1,"✓ OK","")))</f>
        <v/>
      </c>
      <c r="T1760" s="67">
        <f>IF(AND(C1760="",D1760="",E1760="",L1760="",K1760=""),1,0)</f>
        <v/>
      </c>
      <c r="U1760" s="67">
        <f>IFERROR(INDEX(tt_Dir,MATCH(D1760,tt_Type,0)),"")</f>
        <v/>
      </c>
      <c r="V1760" s="67">
        <f>IF(D1760="","",IFERROR(IF(INDEX(tt_Other,MATCH(D1760,tt_Type,0))="",E1760&amp;"",INDEX(tt_Other,MATCH(D1760,tt_Type,0))),""))</f>
        <v/>
      </c>
      <c r="W1760" s="68">
        <f>IF(OR(TaxOn&lt;&gt;"Yes",NOT(ISNUMBER(M1760))),0,IF(IFERROR(INDEX(tt_Tax,MATCH(D1760,tt_Type,0)),"No")="Yes",M1760,0))</f>
        <v/>
      </c>
      <c r="X1760" s="67">
        <f>IF(T1760=1,"",IF(C1760="","Missing transaction date",IF(NOT(ISNUMBER(C1760)),"Invalid date",IF(OR(C1760&lt;DATE(2000,1,1),C1760&gt;DATE(2099,12,31)),"Invalid date",IF(D1760="","Select a type",IF(U1760="","Unknown type: "&amp;D1760,IF(V1760="","Select an account (Category)",IF(ISNA(MATCH(V1760,coa_Name,0)),"Unknown account: "&amp;V1760,IF(K1760="","Select Paid From / Deposited To",IF(ISNA(MATCH(K1760,coa_Name,0)),"Unknown account: "&amp;K1760,IF(NOT(ISNUMBER(L1760)),"Enter an amount",IF(L1760=0,"Enter an amount",IF(ABS(W1760)&gt;ABS(L1760),"Tax is larger than the amount","")))))))))))))</f>
        <v/>
      </c>
      <c r="Y1760" s="67">
        <f>IF(OR(T1760=1,X1760&lt;&gt;""),"",IF(AND(B1760&lt;&gt;"",COUNTIF(tx_ID,B1760)&gt;1),"Duplicate transaction ID",IF(AND(L1760&lt;0,D1760&lt;&gt;"Adjustment"),"Negative amount — check this entry",IF(AND(D1760="Customer Payment",G1760=""),"Add the customer",IF(AND(D1760="Customer Payment",OR(J1760="",COUNTIF(ar_No,J1760&amp;"")=0)),"Invoice # in Reference not found on AR sheet",IF(AND(D1760="Bill Payment",H1760=""),"Add the vendor",IF(AND(D1760="Bill Payment",OR(J1760="",COUNTIFS(ap_No,J1760&amp;"",ap_Party,H1760&amp;"")=0)),"Bill # + vendor not found on AP sheet",IF(AND(ISNUMBER(M1760),N(M1760)&lt;&gt;0,W1760=0),"Tax ignored (tax tracking off, or not allowed for this type)",IF(V1760=K1760&amp;"","Same account on both sides",IF(AND(ISNUMBER(StartDate),C1760&lt;StartDate),"Date is before the accounting start date",IF(AND(D1760&lt;&gt;"Adjustment",IFERROR(INDEX(coa_Pay,MATCH(K1760&amp;"",coa_Name,0)),"")&lt;&gt;"Yes"),"Paid From / Deposited To is not a payment account","")))))))))))</f>
        <v/>
      </c>
      <c r="Z1760" s="67">
        <f>IF(AND(T1760=0,X1760=""),1,0)</f>
        <v/>
      </c>
      <c r="AA1760" s="68">
        <f>IF(Z1760=1,IF(U1760="In",L1760,L1760-W1760),0)</f>
        <v/>
      </c>
      <c r="AB1760" s="68">
        <f>IF(Z1760=1,IF(U1760="In",L1760-W1760,L1760),0)</f>
        <v/>
      </c>
      <c r="AC1760" s="68">
        <f>IF(AND(Z1760=1,U1760="Out"),W1760,0)</f>
        <v/>
      </c>
      <c r="AD1760" s="68">
        <f>IF(AND(Z1760=1,U1760="In"),W1760,0)</f>
        <v/>
      </c>
    </row>
    <row r="1761">
      <c r="B1761" s="62" t="inlineStr">
        <is>
          <t>TX-1755</t>
        </is>
      </c>
      <c r="C1761" s="63" t="n"/>
      <c r="D1761" s="62" t="n"/>
      <c r="E1761" s="62" t="n"/>
      <c r="F1761" s="62" t="n"/>
      <c r="G1761" s="62" t="n"/>
      <c r="H1761" s="62" t="n"/>
      <c r="I1761" s="62" t="n"/>
      <c r="J1761" s="62" t="n"/>
      <c r="K1761" s="62" t="n"/>
      <c r="L1761" s="64" t="n"/>
      <c r="M1761" s="64" t="n"/>
      <c r="N1761" s="62" t="n"/>
      <c r="O1761" s="65">
        <f>IF(Z1761=1,L1761-W1761,"")</f>
        <v/>
      </c>
      <c r="P1761" s="66">
        <f>IF(V1761="","",IFERROR(INDEX(coa_Type,MATCH(V1761,coa_Name,0)),""))</f>
        <v/>
      </c>
      <c r="Q1761" s="66">
        <f>IF(Z1761=1,IF(U1761="In",K1761&amp;"",V1761),"")</f>
        <v/>
      </c>
      <c r="R1761" s="66">
        <f>IF(Z1761=1,IF(U1761="In",V1761,K1761&amp;""),"")</f>
        <v/>
      </c>
      <c r="S1761" s="66">
        <f>IF(X1761&lt;&gt;"","⛔ "&amp;X1761&amp;" — not posted",IF(Y1761&lt;&gt;"","⚠ "&amp;Y1761,IF(Z1761=1,"✓ OK","")))</f>
        <v/>
      </c>
      <c r="T1761" s="67">
        <f>IF(AND(C1761="",D1761="",E1761="",L1761="",K1761=""),1,0)</f>
        <v/>
      </c>
      <c r="U1761" s="67">
        <f>IFERROR(INDEX(tt_Dir,MATCH(D1761,tt_Type,0)),"")</f>
        <v/>
      </c>
      <c r="V1761" s="67">
        <f>IF(D1761="","",IFERROR(IF(INDEX(tt_Other,MATCH(D1761,tt_Type,0))="",E1761&amp;"",INDEX(tt_Other,MATCH(D1761,tt_Type,0))),""))</f>
        <v/>
      </c>
      <c r="W1761" s="68">
        <f>IF(OR(TaxOn&lt;&gt;"Yes",NOT(ISNUMBER(M1761))),0,IF(IFERROR(INDEX(tt_Tax,MATCH(D1761,tt_Type,0)),"No")="Yes",M1761,0))</f>
        <v/>
      </c>
      <c r="X1761" s="67">
        <f>IF(T1761=1,"",IF(C1761="","Missing transaction date",IF(NOT(ISNUMBER(C1761)),"Invalid date",IF(OR(C1761&lt;DATE(2000,1,1),C1761&gt;DATE(2099,12,31)),"Invalid date",IF(D1761="","Select a type",IF(U1761="","Unknown type: "&amp;D1761,IF(V1761="","Select an account (Category)",IF(ISNA(MATCH(V1761,coa_Name,0)),"Unknown account: "&amp;V1761,IF(K1761="","Select Paid From / Deposited To",IF(ISNA(MATCH(K1761,coa_Name,0)),"Unknown account: "&amp;K1761,IF(NOT(ISNUMBER(L1761)),"Enter an amount",IF(L1761=0,"Enter an amount",IF(ABS(W1761)&gt;ABS(L1761),"Tax is larger than the amount","")))))))))))))</f>
        <v/>
      </c>
      <c r="Y1761" s="67">
        <f>IF(OR(T1761=1,X1761&lt;&gt;""),"",IF(AND(B1761&lt;&gt;"",COUNTIF(tx_ID,B1761)&gt;1),"Duplicate transaction ID",IF(AND(L1761&lt;0,D1761&lt;&gt;"Adjustment"),"Negative amount — check this entry",IF(AND(D1761="Customer Payment",G1761=""),"Add the customer",IF(AND(D1761="Customer Payment",OR(J1761="",COUNTIF(ar_No,J1761&amp;"")=0)),"Invoice # in Reference not found on AR sheet",IF(AND(D1761="Bill Payment",H1761=""),"Add the vendor",IF(AND(D1761="Bill Payment",OR(J1761="",COUNTIFS(ap_No,J1761&amp;"",ap_Party,H1761&amp;"")=0)),"Bill # + vendor not found on AP sheet",IF(AND(ISNUMBER(M1761),N(M1761)&lt;&gt;0,W1761=0),"Tax ignored (tax tracking off, or not allowed for this type)",IF(V1761=K1761&amp;"","Same account on both sides",IF(AND(ISNUMBER(StartDate),C1761&lt;StartDate),"Date is before the accounting start date",IF(AND(D1761&lt;&gt;"Adjustment",IFERROR(INDEX(coa_Pay,MATCH(K1761&amp;"",coa_Name,0)),"")&lt;&gt;"Yes"),"Paid From / Deposited To is not a payment account","")))))))))))</f>
        <v/>
      </c>
      <c r="Z1761" s="67">
        <f>IF(AND(T1761=0,X1761=""),1,0)</f>
        <v/>
      </c>
      <c r="AA1761" s="68">
        <f>IF(Z1761=1,IF(U1761="In",L1761,L1761-W1761),0)</f>
        <v/>
      </c>
      <c r="AB1761" s="68">
        <f>IF(Z1761=1,IF(U1761="In",L1761-W1761,L1761),0)</f>
        <v/>
      </c>
      <c r="AC1761" s="68">
        <f>IF(AND(Z1761=1,U1761="Out"),W1761,0)</f>
        <v/>
      </c>
      <c r="AD1761" s="68">
        <f>IF(AND(Z1761=1,U1761="In"),W1761,0)</f>
        <v/>
      </c>
    </row>
    <row r="1762">
      <c r="B1762" s="62" t="inlineStr">
        <is>
          <t>TX-1756</t>
        </is>
      </c>
      <c r="C1762" s="63" t="n"/>
      <c r="D1762" s="62" t="n"/>
      <c r="E1762" s="62" t="n"/>
      <c r="F1762" s="62" t="n"/>
      <c r="G1762" s="62" t="n"/>
      <c r="H1762" s="62" t="n"/>
      <c r="I1762" s="62" t="n"/>
      <c r="J1762" s="62" t="n"/>
      <c r="K1762" s="62" t="n"/>
      <c r="L1762" s="64" t="n"/>
      <c r="M1762" s="64" t="n"/>
      <c r="N1762" s="62" t="n"/>
      <c r="O1762" s="65">
        <f>IF(Z1762=1,L1762-W1762,"")</f>
        <v/>
      </c>
      <c r="P1762" s="66">
        <f>IF(V1762="","",IFERROR(INDEX(coa_Type,MATCH(V1762,coa_Name,0)),""))</f>
        <v/>
      </c>
      <c r="Q1762" s="66">
        <f>IF(Z1762=1,IF(U1762="In",K1762&amp;"",V1762),"")</f>
        <v/>
      </c>
      <c r="R1762" s="66">
        <f>IF(Z1762=1,IF(U1762="In",V1762,K1762&amp;""),"")</f>
        <v/>
      </c>
      <c r="S1762" s="66">
        <f>IF(X1762&lt;&gt;"","⛔ "&amp;X1762&amp;" — not posted",IF(Y1762&lt;&gt;"","⚠ "&amp;Y1762,IF(Z1762=1,"✓ OK","")))</f>
        <v/>
      </c>
      <c r="T1762" s="67">
        <f>IF(AND(C1762="",D1762="",E1762="",L1762="",K1762=""),1,0)</f>
        <v/>
      </c>
      <c r="U1762" s="67">
        <f>IFERROR(INDEX(tt_Dir,MATCH(D1762,tt_Type,0)),"")</f>
        <v/>
      </c>
      <c r="V1762" s="67">
        <f>IF(D1762="","",IFERROR(IF(INDEX(tt_Other,MATCH(D1762,tt_Type,0))="",E1762&amp;"",INDEX(tt_Other,MATCH(D1762,tt_Type,0))),""))</f>
        <v/>
      </c>
      <c r="W1762" s="68">
        <f>IF(OR(TaxOn&lt;&gt;"Yes",NOT(ISNUMBER(M1762))),0,IF(IFERROR(INDEX(tt_Tax,MATCH(D1762,tt_Type,0)),"No")="Yes",M1762,0))</f>
        <v/>
      </c>
      <c r="X1762" s="67">
        <f>IF(T1762=1,"",IF(C1762="","Missing transaction date",IF(NOT(ISNUMBER(C1762)),"Invalid date",IF(OR(C1762&lt;DATE(2000,1,1),C1762&gt;DATE(2099,12,31)),"Invalid date",IF(D1762="","Select a type",IF(U1762="","Unknown type: "&amp;D1762,IF(V1762="","Select an account (Category)",IF(ISNA(MATCH(V1762,coa_Name,0)),"Unknown account: "&amp;V1762,IF(K1762="","Select Paid From / Deposited To",IF(ISNA(MATCH(K1762,coa_Name,0)),"Unknown account: "&amp;K1762,IF(NOT(ISNUMBER(L1762)),"Enter an amount",IF(L1762=0,"Enter an amount",IF(ABS(W1762)&gt;ABS(L1762),"Tax is larger than the amount","")))))))))))))</f>
        <v/>
      </c>
      <c r="Y1762" s="67">
        <f>IF(OR(T1762=1,X1762&lt;&gt;""),"",IF(AND(B1762&lt;&gt;"",COUNTIF(tx_ID,B1762)&gt;1),"Duplicate transaction ID",IF(AND(L1762&lt;0,D1762&lt;&gt;"Adjustment"),"Negative amount — check this entry",IF(AND(D1762="Customer Payment",G1762=""),"Add the customer",IF(AND(D1762="Customer Payment",OR(J1762="",COUNTIF(ar_No,J1762&amp;"")=0)),"Invoice # in Reference not found on AR sheet",IF(AND(D1762="Bill Payment",H1762=""),"Add the vendor",IF(AND(D1762="Bill Payment",OR(J1762="",COUNTIFS(ap_No,J1762&amp;"",ap_Party,H1762&amp;"")=0)),"Bill # + vendor not found on AP sheet",IF(AND(ISNUMBER(M1762),N(M1762)&lt;&gt;0,W1762=0),"Tax ignored (tax tracking off, or not allowed for this type)",IF(V1762=K1762&amp;"","Same account on both sides",IF(AND(ISNUMBER(StartDate),C1762&lt;StartDate),"Date is before the accounting start date",IF(AND(D1762&lt;&gt;"Adjustment",IFERROR(INDEX(coa_Pay,MATCH(K1762&amp;"",coa_Name,0)),"")&lt;&gt;"Yes"),"Paid From / Deposited To is not a payment account","")))))))))))</f>
        <v/>
      </c>
      <c r="Z1762" s="67">
        <f>IF(AND(T1762=0,X1762=""),1,0)</f>
        <v/>
      </c>
      <c r="AA1762" s="68">
        <f>IF(Z1762=1,IF(U1762="In",L1762,L1762-W1762),0)</f>
        <v/>
      </c>
      <c r="AB1762" s="68">
        <f>IF(Z1762=1,IF(U1762="In",L1762-W1762,L1762),0)</f>
        <v/>
      </c>
      <c r="AC1762" s="68">
        <f>IF(AND(Z1762=1,U1762="Out"),W1762,0)</f>
        <v/>
      </c>
      <c r="AD1762" s="68">
        <f>IF(AND(Z1762=1,U1762="In"),W1762,0)</f>
        <v/>
      </c>
    </row>
    <row r="1763">
      <c r="B1763" s="62" t="inlineStr">
        <is>
          <t>TX-1757</t>
        </is>
      </c>
      <c r="C1763" s="63" t="n"/>
      <c r="D1763" s="62" t="n"/>
      <c r="E1763" s="62" t="n"/>
      <c r="F1763" s="62" t="n"/>
      <c r="G1763" s="62" t="n"/>
      <c r="H1763" s="62" t="n"/>
      <c r="I1763" s="62" t="n"/>
      <c r="J1763" s="62" t="n"/>
      <c r="K1763" s="62" t="n"/>
      <c r="L1763" s="64" t="n"/>
      <c r="M1763" s="64" t="n"/>
      <c r="N1763" s="62" t="n"/>
      <c r="O1763" s="65">
        <f>IF(Z1763=1,L1763-W1763,"")</f>
        <v/>
      </c>
      <c r="P1763" s="66">
        <f>IF(V1763="","",IFERROR(INDEX(coa_Type,MATCH(V1763,coa_Name,0)),""))</f>
        <v/>
      </c>
      <c r="Q1763" s="66">
        <f>IF(Z1763=1,IF(U1763="In",K1763&amp;"",V1763),"")</f>
        <v/>
      </c>
      <c r="R1763" s="66">
        <f>IF(Z1763=1,IF(U1763="In",V1763,K1763&amp;""),"")</f>
        <v/>
      </c>
      <c r="S1763" s="66">
        <f>IF(X1763&lt;&gt;"","⛔ "&amp;X1763&amp;" — not posted",IF(Y1763&lt;&gt;"","⚠ "&amp;Y1763,IF(Z1763=1,"✓ OK","")))</f>
        <v/>
      </c>
      <c r="T1763" s="67">
        <f>IF(AND(C1763="",D1763="",E1763="",L1763="",K1763=""),1,0)</f>
        <v/>
      </c>
      <c r="U1763" s="67">
        <f>IFERROR(INDEX(tt_Dir,MATCH(D1763,tt_Type,0)),"")</f>
        <v/>
      </c>
      <c r="V1763" s="67">
        <f>IF(D1763="","",IFERROR(IF(INDEX(tt_Other,MATCH(D1763,tt_Type,0))="",E1763&amp;"",INDEX(tt_Other,MATCH(D1763,tt_Type,0))),""))</f>
        <v/>
      </c>
      <c r="W1763" s="68">
        <f>IF(OR(TaxOn&lt;&gt;"Yes",NOT(ISNUMBER(M1763))),0,IF(IFERROR(INDEX(tt_Tax,MATCH(D1763,tt_Type,0)),"No")="Yes",M1763,0))</f>
        <v/>
      </c>
      <c r="X1763" s="67">
        <f>IF(T1763=1,"",IF(C1763="","Missing transaction date",IF(NOT(ISNUMBER(C1763)),"Invalid date",IF(OR(C1763&lt;DATE(2000,1,1),C1763&gt;DATE(2099,12,31)),"Invalid date",IF(D1763="","Select a type",IF(U1763="","Unknown type: "&amp;D1763,IF(V1763="","Select an account (Category)",IF(ISNA(MATCH(V1763,coa_Name,0)),"Unknown account: "&amp;V1763,IF(K1763="","Select Paid From / Deposited To",IF(ISNA(MATCH(K1763,coa_Name,0)),"Unknown account: "&amp;K1763,IF(NOT(ISNUMBER(L1763)),"Enter an amount",IF(L1763=0,"Enter an amount",IF(ABS(W1763)&gt;ABS(L1763),"Tax is larger than the amount","")))))))))))))</f>
        <v/>
      </c>
      <c r="Y1763" s="67">
        <f>IF(OR(T1763=1,X1763&lt;&gt;""),"",IF(AND(B1763&lt;&gt;"",COUNTIF(tx_ID,B1763)&gt;1),"Duplicate transaction ID",IF(AND(L1763&lt;0,D1763&lt;&gt;"Adjustment"),"Negative amount — check this entry",IF(AND(D1763="Customer Payment",G1763=""),"Add the customer",IF(AND(D1763="Customer Payment",OR(J1763="",COUNTIF(ar_No,J1763&amp;"")=0)),"Invoice # in Reference not found on AR sheet",IF(AND(D1763="Bill Payment",H1763=""),"Add the vendor",IF(AND(D1763="Bill Payment",OR(J1763="",COUNTIFS(ap_No,J1763&amp;"",ap_Party,H1763&amp;"")=0)),"Bill # + vendor not found on AP sheet",IF(AND(ISNUMBER(M1763),N(M1763)&lt;&gt;0,W1763=0),"Tax ignored (tax tracking off, or not allowed for this type)",IF(V1763=K1763&amp;"","Same account on both sides",IF(AND(ISNUMBER(StartDate),C1763&lt;StartDate),"Date is before the accounting start date",IF(AND(D1763&lt;&gt;"Adjustment",IFERROR(INDEX(coa_Pay,MATCH(K1763&amp;"",coa_Name,0)),"")&lt;&gt;"Yes"),"Paid From / Deposited To is not a payment account","")))))))))))</f>
        <v/>
      </c>
      <c r="Z1763" s="67">
        <f>IF(AND(T1763=0,X1763=""),1,0)</f>
        <v/>
      </c>
      <c r="AA1763" s="68">
        <f>IF(Z1763=1,IF(U1763="In",L1763,L1763-W1763),0)</f>
        <v/>
      </c>
      <c r="AB1763" s="68">
        <f>IF(Z1763=1,IF(U1763="In",L1763-W1763,L1763),0)</f>
        <v/>
      </c>
      <c r="AC1763" s="68">
        <f>IF(AND(Z1763=1,U1763="Out"),W1763,0)</f>
        <v/>
      </c>
      <c r="AD1763" s="68">
        <f>IF(AND(Z1763=1,U1763="In"),W1763,0)</f>
        <v/>
      </c>
    </row>
    <row r="1764">
      <c r="B1764" s="62" t="inlineStr">
        <is>
          <t>TX-1758</t>
        </is>
      </c>
      <c r="C1764" s="63" t="n"/>
      <c r="D1764" s="62" t="n"/>
      <c r="E1764" s="62" t="n"/>
      <c r="F1764" s="62" t="n"/>
      <c r="G1764" s="62" t="n"/>
      <c r="H1764" s="62" t="n"/>
      <c r="I1764" s="62" t="n"/>
      <c r="J1764" s="62" t="n"/>
      <c r="K1764" s="62" t="n"/>
      <c r="L1764" s="64" t="n"/>
      <c r="M1764" s="64" t="n"/>
      <c r="N1764" s="62" t="n"/>
      <c r="O1764" s="65">
        <f>IF(Z1764=1,L1764-W1764,"")</f>
        <v/>
      </c>
      <c r="P1764" s="66">
        <f>IF(V1764="","",IFERROR(INDEX(coa_Type,MATCH(V1764,coa_Name,0)),""))</f>
        <v/>
      </c>
      <c r="Q1764" s="66">
        <f>IF(Z1764=1,IF(U1764="In",K1764&amp;"",V1764),"")</f>
        <v/>
      </c>
      <c r="R1764" s="66">
        <f>IF(Z1764=1,IF(U1764="In",V1764,K1764&amp;""),"")</f>
        <v/>
      </c>
      <c r="S1764" s="66">
        <f>IF(X1764&lt;&gt;"","⛔ "&amp;X1764&amp;" — not posted",IF(Y1764&lt;&gt;"","⚠ "&amp;Y1764,IF(Z1764=1,"✓ OK","")))</f>
        <v/>
      </c>
      <c r="T1764" s="67">
        <f>IF(AND(C1764="",D1764="",E1764="",L1764="",K1764=""),1,0)</f>
        <v/>
      </c>
      <c r="U1764" s="67">
        <f>IFERROR(INDEX(tt_Dir,MATCH(D1764,tt_Type,0)),"")</f>
        <v/>
      </c>
      <c r="V1764" s="67">
        <f>IF(D1764="","",IFERROR(IF(INDEX(tt_Other,MATCH(D1764,tt_Type,0))="",E1764&amp;"",INDEX(tt_Other,MATCH(D1764,tt_Type,0))),""))</f>
        <v/>
      </c>
      <c r="W1764" s="68">
        <f>IF(OR(TaxOn&lt;&gt;"Yes",NOT(ISNUMBER(M1764))),0,IF(IFERROR(INDEX(tt_Tax,MATCH(D1764,tt_Type,0)),"No")="Yes",M1764,0))</f>
        <v/>
      </c>
      <c r="X1764" s="67">
        <f>IF(T1764=1,"",IF(C1764="","Missing transaction date",IF(NOT(ISNUMBER(C1764)),"Invalid date",IF(OR(C1764&lt;DATE(2000,1,1),C1764&gt;DATE(2099,12,31)),"Invalid date",IF(D1764="","Select a type",IF(U1764="","Unknown type: "&amp;D1764,IF(V1764="","Select an account (Category)",IF(ISNA(MATCH(V1764,coa_Name,0)),"Unknown account: "&amp;V1764,IF(K1764="","Select Paid From / Deposited To",IF(ISNA(MATCH(K1764,coa_Name,0)),"Unknown account: "&amp;K1764,IF(NOT(ISNUMBER(L1764)),"Enter an amount",IF(L1764=0,"Enter an amount",IF(ABS(W1764)&gt;ABS(L1764),"Tax is larger than the amount","")))))))))))))</f>
        <v/>
      </c>
      <c r="Y1764" s="67">
        <f>IF(OR(T1764=1,X1764&lt;&gt;""),"",IF(AND(B1764&lt;&gt;"",COUNTIF(tx_ID,B1764)&gt;1),"Duplicate transaction ID",IF(AND(L1764&lt;0,D1764&lt;&gt;"Adjustment"),"Negative amount — check this entry",IF(AND(D1764="Customer Payment",G1764=""),"Add the customer",IF(AND(D1764="Customer Payment",OR(J1764="",COUNTIF(ar_No,J1764&amp;"")=0)),"Invoice # in Reference not found on AR sheet",IF(AND(D1764="Bill Payment",H1764=""),"Add the vendor",IF(AND(D1764="Bill Payment",OR(J1764="",COUNTIFS(ap_No,J1764&amp;"",ap_Party,H1764&amp;"")=0)),"Bill # + vendor not found on AP sheet",IF(AND(ISNUMBER(M1764),N(M1764)&lt;&gt;0,W1764=0),"Tax ignored (tax tracking off, or not allowed for this type)",IF(V1764=K1764&amp;"","Same account on both sides",IF(AND(ISNUMBER(StartDate),C1764&lt;StartDate),"Date is before the accounting start date",IF(AND(D1764&lt;&gt;"Adjustment",IFERROR(INDEX(coa_Pay,MATCH(K1764&amp;"",coa_Name,0)),"")&lt;&gt;"Yes"),"Paid From / Deposited To is not a payment account","")))))))))))</f>
        <v/>
      </c>
      <c r="Z1764" s="67">
        <f>IF(AND(T1764=0,X1764=""),1,0)</f>
        <v/>
      </c>
      <c r="AA1764" s="68">
        <f>IF(Z1764=1,IF(U1764="In",L1764,L1764-W1764),0)</f>
        <v/>
      </c>
      <c r="AB1764" s="68">
        <f>IF(Z1764=1,IF(U1764="In",L1764-W1764,L1764),0)</f>
        <v/>
      </c>
      <c r="AC1764" s="68">
        <f>IF(AND(Z1764=1,U1764="Out"),W1764,0)</f>
        <v/>
      </c>
      <c r="AD1764" s="68">
        <f>IF(AND(Z1764=1,U1764="In"),W1764,0)</f>
        <v/>
      </c>
    </row>
    <row r="1765">
      <c r="B1765" s="62" t="inlineStr">
        <is>
          <t>TX-1759</t>
        </is>
      </c>
      <c r="C1765" s="63" t="n"/>
      <c r="D1765" s="62" t="n"/>
      <c r="E1765" s="62" t="n"/>
      <c r="F1765" s="62" t="n"/>
      <c r="G1765" s="62" t="n"/>
      <c r="H1765" s="62" t="n"/>
      <c r="I1765" s="62" t="n"/>
      <c r="J1765" s="62" t="n"/>
      <c r="K1765" s="62" t="n"/>
      <c r="L1765" s="64" t="n"/>
      <c r="M1765" s="64" t="n"/>
      <c r="N1765" s="62" t="n"/>
      <c r="O1765" s="65">
        <f>IF(Z1765=1,L1765-W1765,"")</f>
        <v/>
      </c>
      <c r="P1765" s="66">
        <f>IF(V1765="","",IFERROR(INDEX(coa_Type,MATCH(V1765,coa_Name,0)),""))</f>
        <v/>
      </c>
      <c r="Q1765" s="66">
        <f>IF(Z1765=1,IF(U1765="In",K1765&amp;"",V1765),"")</f>
        <v/>
      </c>
      <c r="R1765" s="66">
        <f>IF(Z1765=1,IF(U1765="In",V1765,K1765&amp;""),"")</f>
        <v/>
      </c>
      <c r="S1765" s="66">
        <f>IF(X1765&lt;&gt;"","⛔ "&amp;X1765&amp;" — not posted",IF(Y1765&lt;&gt;"","⚠ "&amp;Y1765,IF(Z1765=1,"✓ OK","")))</f>
        <v/>
      </c>
      <c r="T1765" s="67">
        <f>IF(AND(C1765="",D1765="",E1765="",L1765="",K1765=""),1,0)</f>
        <v/>
      </c>
      <c r="U1765" s="67">
        <f>IFERROR(INDEX(tt_Dir,MATCH(D1765,tt_Type,0)),"")</f>
        <v/>
      </c>
      <c r="V1765" s="67">
        <f>IF(D1765="","",IFERROR(IF(INDEX(tt_Other,MATCH(D1765,tt_Type,0))="",E1765&amp;"",INDEX(tt_Other,MATCH(D1765,tt_Type,0))),""))</f>
        <v/>
      </c>
      <c r="W1765" s="68">
        <f>IF(OR(TaxOn&lt;&gt;"Yes",NOT(ISNUMBER(M1765))),0,IF(IFERROR(INDEX(tt_Tax,MATCH(D1765,tt_Type,0)),"No")="Yes",M1765,0))</f>
        <v/>
      </c>
      <c r="X1765" s="67">
        <f>IF(T1765=1,"",IF(C1765="","Missing transaction date",IF(NOT(ISNUMBER(C1765)),"Invalid date",IF(OR(C1765&lt;DATE(2000,1,1),C1765&gt;DATE(2099,12,31)),"Invalid date",IF(D1765="","Select a type",IF(U1765="","Unknown type: "&amp;D1765,IF(V1765="","Select an account (Category)",IF(ISNA(MATCH(V1765,coa_Name,0)),"Unknown account: "&amp;V1765,IF(K1765="","Select Paid From / Deposited To",IF(ISNA(MATCH(K1765,coa_Name,0)),"Unknown account: "&amp;K1765,IF(NOT(ISNUMBER(L1765)),"Enter an amount",IF(L1765=0,"Enter an amount",IF(ABS(W1765)&gt;ABS(L1765),"Tax is larger than the amount","")))))))))))))</f>
        <v/>
      </c>
      <c r="Y1765" s="67">
        <f>IF(OR(T1765=1,X1765&lt;&gt;""),"",IF(AND(B1765&lt;&gt;"",COUNTIF(tx_ID,B1765)&gt;1),"Duplicate transaction ID",IF(AND(L1765&lt;0,D1765&lt;&gt;"Adjustment"),"Negative amount — check this entry",IF(AND(D1765="Customer Payment",G1765=""),"Add the customer",IF(AND(D1765="Customer Payment",OR(J1765="",COUNTIF(ar_No,J1765&amp;"")=0)),"Invoice # in Reference not found on AR sheet",IF(AND(D1765="Bill Payment",H1765=""),"Add the vendor",IF(AND(D1765="Bill Payment",OR(J1765="",COUNTIFS(ap_No,J1765&amp;"",ap_Party,H1765&amp;"")=0)),"Bill # + vendor not found on AP sheet",IF(AND(ISNUMBER(M1765),N(M1765)&lt;&gt;0,W1765=0),"Tax ignored (tax tracking off, or not allowed for this type)",IF(V1765=K1765&amp;"","Same account on both sides",IF(AND(ISNUMBER(StartDate),C1765&lt;StartDate),"Date is before the accounting start date",IF(AND(D1765&lt;&gt;"Adjustment",IFERROR(INDEX(coa_Pay,MATCH(K1765&amp;"",coa_Name,0)),"")&lt;&gt;"Yes"),"Paid From / Deposited To is not a payment account","")))))))))))</f>
        <v/>
      </c>
      <c r="Z1765" s="67">
        <f>IF(AND(T1765=0,X1765=""),1,0)</f>
        <v/>
      </c>
      <c r="AA1765" s="68">
        <f>IF(Z1765=1,IF(U1765="In",L1765,L1765-W1765),0)</f>
        <v/>
      </c>
      <c r="AB1765" s="68">
        <f>IF(Z1765=1,IF(U1765="In",L1765-W1765,L1765),0)</f>
        <v/>
      </c>
      <c r="AC1765" s="68">
        <f>IF(AND(Z1765=1,U1765="Out"),W1765,0)</f>
        <v/>
      </c>
      <c r="AD1765" s="68">
        <f>IF(AND(Z1765=1,U1765="In"),W1765,0)</f>
        <v/>
      </c>
    </row>
    <row r="1766">
      <c r="B1766" s="62" t="inlineStr">
        <is>
          <t>TX-1760</t>
        </is>
      </c>
      <c r="C1766" s="63" t="n"/>
      <c r="D1766" s="62" t="n"/>
      <c r="E1766" s="62" t="n"/>
      <c r="F1766" s="62" t="n"/>
      <c r="G1766" s="62" t="n"/>
      <c r="H1766" s="62" t="n"/>
      <c r="I1766" s="62" t="n"/>
      <c r="J1766" s="62" t="n"/>
      <c r="K1766" s="62" t="n"/>
      <c r="L1766" s="64" t="n"/>
      <c r="M1766" s="64" t="n"/>
      <c r="N1766" s="62" t="n"/>
      <c r="O1766" s="65">
        <f>IF(Z1766=1,L1766-W1766,"")</f>
        <v/>
      </c>
      <c r="P1766" s="66">
        <f>IF(V1766="","",IFERROR(INDEX(coa_Type,MATCH(V1766,coa_Name,0)),""))</f>
        <v/>
      </c>
      <c r="Q1766" s="66">
        <f>IF(Z1766=1,IF(U1766="In",K1766&amp;"",V1766),"")</f>
        <v/>
      </c>
      <c r="R1766" s="66">
        <f>IF(Z1766=1,IF(U1766="In",V1766,K1766&amp;""),"")</f>
        <v/>
      </c>
      <c r="S1766" s="66">
        <f>IF(X1766&lt;&gt;"","⛔ "&amp;X1766&amp;" — not posted",IF(Y1766&lt;&gt;"","⚠ "&amp;Y1766,IF(Z1766=1,"✓ OK","")))</f>
        <v/>
      </c>
      <c r="T1766" s="67">
        <f>IF(AND(C1766="",D1766="",E1766="",L1766="",K1766=""),1,0)</f>
        <v/>
      </c>
      <c r="U1766" s="67">
        <f>IFERROR(INDEX(tt_Dir,MATCH(D1766,tt_Type,0)),"")</f>
        <v/>
      </c>
      <c r="V1766" s="67">
        <f>IF(D1766="","",IFERROR(IF(INDEX(tt_Other,MATCH(D1766,tt_Type,0))="",E1766&amp;"",INDEX(tt_Other,MATCH(D1766,tt_Type,0))),""))</f>
        <v/>
      </c>
      <c r="W1766" s="68">
        <f>IF(OR(TaxOn&lt;&gt;"Yes",NOT(ISNUMBER(M1766))),0,IF(IFERROR(INDEX(tt_Tax,MATCH(D1766,tt_Type,0)),"No")="Yes",M1766,0))</f>
        <v/>
      </c>
      <c r="X1766" s="67">
        <f>IF(T1766=1,"",IF(C1766="","Missing transaction date",IF(NOT(ISNUMBER(C1766)),"Invalid date",IF(OR(C1766&lt;DATE(2000,1,1),C1766&gt;DATE(2099,12,31)),"Invalid date",IF(D1766="","Select a type",IF(U1766="","Unknown type: "&amp;D1766,IF(V1766="","Select an account (Category)",IF(ISNA(MATCH(V1766,coa_Name,0)),"Unknown account: "&amp;V1766,IF(K1766="","Select Paid From / Deposited To",IF(ISNA(MATCH(K1766,coa_Name,0)),"Unknown account: "&amp;K1766,IF(NOT(ISNUMBER(L1766)),"Enter an amount",IF(L1766=0,"Enter an amount",IF(ABS(W1766)&gt;ABS(L1766),"Tax is larger than the amount","")))))))))))))</f>
        <v/>
      </c>
      <c r="Y1766" s="67">
        <f>IF(OR(T1766=1,X1766&lt;&gt;""),"",IF(AND(B1766&lt;&gt;"",COUNTIF(tx_ID,B1766)&gt;1),"Duplicate transaction ID",IF(AND(L1766&lt;0,D1766&lt;&gt;"Adjustment"),"Negative amount — check this entry",IF(AND(D1766="Customer Payment",G1766=""),"Add the customer",IF(AND(D1766="Customer Payment",OR(J1766="",COUNTIF(ar_No,J1766&amp;"")=0)),"Invoice # in Reference not found on AR sheet",IF(AND(D1766="Bill Payment",H1766=""),"Add the vendor",IF(AND(D1766="Bill Payment",OR(J1766="",COUNTIFS(ap_No,J1766&amp;"",ap_Party,H1766&amp;"")=0)),"Bill # + vendor not found on AP sheet",IF(AND(ISNUMBER(M1766),N(M1766)&lt;&gt;0,W1766=0),"Tax ignored (tax tracking off, or not allowed for this type)",IF(V1766=K1766&amp;"","Same account on both sides",IF(AND(ISNUMBER(StartDate),C1766&lt;StartDate),"Date is before the accounting start date",IF(AND(D1766&lt;&gt;"Adjustment",IFERROR(INDEX(coa_Pay,MATCH(K1766&amp;"",coa_Name,0)),"")&lt;&gt;"Yes"),"Paid From / Deposited To is not a payment account","")))))))))))</f>
        <v/>
      </c>
      <c r="Z1766" s="67">
        <f>IF(AND(T1766=0,X1766=""),1,0)</f>
        <v/>
      </c>
      <c r="AA1766" s="68">
        <f>IF(Z1766=1,IF(U1766="In",L1766,L1766-W1766),0)</f>
        <v/>
      </c>
      <c r="AB1766" s="68">
        <f>IF(Z1766=1,IF(U1766="In",L1766-W1766,L1766),0)</f>
        <v/>
      </c>
      <c r="AC1766" s="68">
        <f>IF(AND(Z1766=1,U1766="Out"),W1766,0)</f>
        <v/>
      </c>
      <c r="AD1766" s="68">
        <f>IF(AND(Z1766=1,U1766="In"),W1766,0)</f>
        <v/>
      </c>
    </row>
    <row r="1767">
      <c r="B1767" s="62" t="inlineStr">
        <is>
          <t>TX-1761</t>
        </is>
      </c>
      <c r="C1767" s="63" t="n"/>
      <c r="D1767" s="62" t="n"/>
      <c r="E1767" s="62" t="n"/>
      <c r="F1767" s="62" t="n"/>
      <c r="G1767" s="62" t="n"/>
      <c r="H1767" s="62" t="n"/>
      <c r="I1767" s="62" t="n"/>
      <c r="J1767" s="62" t="n"/>
      <c r="K1767" s="62" t="n"/>
      <c r="L1767" s="64" t="n"/>
      <c r="M1767" s="64" t="n"/>
      <c r="N1767" s="62" t="n"/>
      <c r="O1767" s="65">
        <f>IF(Z1767=1,L1767-W1767,"")</f>
        <v/>
      </c>
      <c r="P1767" s="66">
        <f>IF(V1767="","",IFERROR(INDEX(coa_Type,MATCH(V1767,coa_Name,0)),""))</f>
        <v/>
      </c>
      <c r="Q1767" s="66">
        <f>IF(Z1767=1,IF(U1767="In",K1767&amp;"",V1767),"")</f>
        <v/>
      </c>
      <c r="R1767" s="66">
        <f>IF(Z1767=1,IF(U1767="In",V1767,K1767&amp;""),"")</f>
        <v/>
      </c>
      <c r="S1767" s="66">
        <f>IF(X1767&lt;&gt;"","⛔ "&amp;X1767&amp;" — not posted",IF(Y1767&lt;&gt;"","⚠ "&amp;Y1767,IF(Z1767=1,"✓ OK","")))</f>
        <v/>
      </c>
      <c r="T1767" s="67">
        <f>IF(AND(C1767="",D1767="",E1767="",L1767="",K1767=""),1,0)</f>
        <v/>
      </c>
      <c r="U1767" s="67">
        <f>IFERROR(INDEX(tt_Dir,MATCH(D1767,tt_Type,0)),"")</f>
        <v/>
      </c>
      <c r="V1767" s="67">
        <f>IF(D1767="","",IFERROR(IF(INDEX(tt_Other,MATCH(D1767,tt_Type,0))="",E1767&amp;"",INDEX(tt_Other,MATCH(D1767,tt_Type,0))),""))</f>
        <v/>
      </c>
      <c r="W1767" s="68">
        <f>IF(OR(TaxOn&lt;&gt;"Yes",NOT(ISNUMBER(M1767))),0,IF(IFERROR(INDEX(tt_Tax,MATCH(D1767,tt_Type,0)),"No")="Yes",M1767,0))</f>
        <v/>
      </c>
      <c r="X1767" s="67">
        <f>IF(T1767=1,"",IF(C1767="","Missing transaction date",IF(NOT(ISNUMBER(C1767)),"Invalid date",IF(OR(C1767&lt;DATE(2000,1,1),C1767&gt;DATE(2099,12,31)),"Invalid date",IF(D1767="","Select a type",IF(U1767="","Unknown type: "&amp;D1767,IF(V1767="","Select an account (Category)",IF(ISNA(MATCH(V1767,coa_Name,0)),"Unknown account: "&amp;V1767,IF(K1767="","Select Paid From / Deposited To",IF(ISNA(MATCH(K1767,coa_Name,0)),"Unknown account: "&amp;K1767,IF(NOT(ISNUMBER(L1767)),"Enter an amount",IF(L1767=0,"Enter an amount",IF(ABS(W1767)&gt;ABS(L1767),"Tax is larger than the amount","")))))))))))))</f>
        <v/>
      </c>
      <c r="Y1767" s="67">
        <f>IF(OR(T1767=1,X1767&lt;&gt;""),"",IF(AND(B1767&lt;&gt;"",COUNTIF(tx_ID,B1767)&gt;1),"Duplicate transaction ID",IF(AND(L1767&lt;0,D1767&lt;&gt;"Adjustment"),"Negative amount — check this entry",IF(AND(D1767="Customer Payment",G1767=""),"Add the customer",IF(AND(D1767="Customer Payment",OR(J1767="",COUNTIF(ar_No,J1767&amp;"")=0)),"Invoice # in Reference not found on AR sheet",IF(AND(D1767="Bill Payment",H1767=""),"Add the vendor",IF(AND(D1767="Bill Payment",OR(J1767="",COUNTIFS(ap_No,J1767&amp;"",ap_Party,H1767&amp;"")=0)),"Bill # + vendor not found on AP sheet",IF(AND(ISNUMBER(M1767),N(M1767)&lt;&gt;0,W1767=0),"Tax ignored (tax tracking off, or not allowed for this type)",IF(V1767=K1767&amp;"","Same account on both sides",IF(AND(ISNUMBER(StartDate),C1767&lt;StartDate),"Date is before the accounting start date",IF(AND(D1767&lt;&gt;"Adjustment",IFERROR(INDEX(coa_Pay,MATCH(K1767&amp;"",coa_Name,0)),"")&lt;&gt;"Yes"),"Paid From / Deposited To is not a payment account","")))))))))))</f>
        <v/>
      </c>
      <c r="Z1767" s="67">
        <f>IF(AND(T1767=0,X1767=""),1,0)</f>
        <v/>
      </c>
      <c r="AA1767" s="68">
        <f>IF(Z1767=1,IF(U1767="In",L1767,L1767-W1767),0)</f>
        <v/>
      </c>
      <c r="AB1767" s="68">
        <f>IF(Z1767=1,IF(U1767="In",L1767-W1767,L1767),0)</f>
        <v/>
      </c>
      <c r="AC1767" s="68">
        <f>IF(AND(Z1767=1,U1767="Out"),W1767,0)</f>
        <v/>
      </c>
      <c r="AD1767" s="68">
        <f>IF(AND(Z1767=1,U1767="In"),W1767,0)</f>
        <v/>
      </c>
    </row>
    <row r="1768">
      <c r="B1768" s="62" t="inlineStr">
        <is>
          <t>TX-1762</t>
        </is>
      </c>
      <c r="C1768" s="63" t="n"/>
      <c r="D1768" s="62" t="n"/>
      <c r="E1768" s="62" t="n"/>
      <c r="F1768" s="62" t="n"/>
      <c r="G1768" s="62" t="n"/>
      <c r="H1768" s="62" t="n"/>
      <c r="I1768" s="62" t="n"/>
      <c r="J1768" s="62" t="n"/>
      <c r="K1768" s="62" t="n"/>
      <c r="L1768" s="64" t="n"/>
      <c r="M1768" s="64" t="n"/>
      <c r="N1768" s="62" t="n"/>
      <c r="O1768" s="65">
        <f>IF(Z1768=1,L1768-W1768,"")</f>
        <v/>
      </c>
      <c r="P1768" s="66">
        <f>IF(V1768="","",IFERROR(INDEX(coa_Type,MATCH(V1768,coa_Name,0)),""))</f>
        <v/>
      </c>
      <c r="Q1768" s="66">
        <f>IF(Z1768=1,IF(U1768="In",K1768&amp;"",V1768),"")</f>
        <v/>
      </c>
      <c r="R1768" s="66">
        <f>IF(Z1768=1,IF(U1768="In",V1768,K1768&amp;""),"")</f>
        <v/>
      </c>
      <c r="S1768" s="66">
        <f>IF(X1768&lt;&gt;"","⛔ "&amp;X1768&amp;" — not posted",IF(Y1768&lt;&gt;"","⚠ "&amp;Y1768,IF(Z1768=1,"✓ OK","")))</f>
        <v/>
      </c>
      <c r="T1768" s="67">
        <f>IF(AND(C1768="",D1768="",E1768="",L1768="",K1768=""),1,0)</f>
        <v/>
      </c>
      <c r="U1768" s="67">
        <f>IFERROR(INDEX(tt_Dir,MATCH(D1768,tt_Type,0)),"")</f>
        <v/>
      </c>
      <c r="V1768" s="67">
        <f>IF(D1768="","",IFERROR(IF(INDEX(tt_Other,MATCH(D1768,tt_Type,0))="",E1768&amp;"",INDEX(tt_Other,MATCH(D1768,tt_Type,0))),""))</f>
        <v/>
      </c>
      <c r="W1768" s="68">
        <f>IF(OR(TaxOn&lt;&gt;"Yes",NOT(ISNUMBER(M1768))),0,IF(IFERROR(INDEX(tt_Tax,MATCH(D1768,tt_Type,0)),"No")="Yes",M1768,0))</f>
        <v/>
      </c>
      <c r="X1768" s="67">
        <f>IF(T1768=1,"",IF(C1768="","Missing transaction date",IF(NOT(ISNUMBER(C1768)),"Invalid date",IF(OR(C1768&lt;DATE(2000,1,1),C1768&gt;DATE(2099,12,31)),"Invalid date",IF(D1768="","Select a type",IF(U1768="","Unknown type: "&amp;D1768,IF(V1768="","Select an account (Category)",IF(ISNA(MATCH(V1768,coa_Name,0)),"Unknown account: "&amp;V1768,IF(K1768="","Select Paid From / Deposited To",IF(ISNA(MATCH(K1768,coa_Name,0)),"Unknown account: "&amp;K1768,IF(NOT(ISNUMBER(L1768)),"Enter an amount",IF(L1768=0,"Enter an amount",IF(ABS(W1768)&gt;ABS(L1768),"Tax is larger than the amount","")))))))))))))</f>
        <v/>
      </c>
      <c r="Y1768" s="67">
        <f>IF(OR(T1768=1,X1768&lt;&gt;""),"",IF(AND(B1768&lt;&gt;"",COUNTIF(tx_ID,B1768)&gt;1),"Duplicate transaction ID",IF(AND(L1768&lt;0,D1768&lt;&gt;"Adjustment"),"Negative amount — check this entry",IF(AND(D1768="Customer Payment",G1768=""),"Add the customer",IF(AND(D1768="Customer Payment",OR(J1768="",COUNTIF(ar_No,J1768&amp;"")=0)),"Invoice # in Reference not found on AR sheet",IF(AND(D1768="Bill Payment",H1768=""),"Add the vendor",IF(AND(D1768="Bill Payment",OR(J1768="",COUNTIFS(ap_No,J1768&amp;"",ap_Party,H1768&amp;"")=0)),"Bill # + vendor not found on AP sheet",IF(AND(ISNUMBER(M1768),N(M1768)&lt;&gt;0,W1768=0),"Tax ignored (tax tracking off, or not allowed for this type)",IF(V1768=K1768&amp;"","Same account on both sides",IF(AND(ISNUMBER(StartDate),C1768&lt;StartDate),"Date is before the accounting start date",IF(AND(D1768&lt;&gt;"Adjustment",IFERROR(INDEX(coa_Pay,MATCH(K1768&amp;"",coa_Name,0)),"")&lt;&gt;"Yes"),"Paid From / Deposited To is not a payment account","")))))))))))</f>
        <v/>
      </c>
      <c r="Z1768" s="67">
        <f>IF(AND(T1768=0,X1768=""),1,0)</f>
        <v/>
      </c>
      <c r="AA1768" s="68">
        <f>IF(Z1768=1,IF(U1768="In",L1768,L1768-W1768),0)</f>
        <v/>
      </c>
      <c r="AB1768" s="68">
        <f>IF(Z1768=1,IF(U1768="In",L1768-W1768,L1768),0)</f>
        <v/>
      </c>
      <c r="AC1768" s="68">
        <f>IF(AND(Z1768=1,U1768="Out"),W1768,0)</f>
        <v/>
      </c>
      <c r="AD1768" s="68">
        <f>IF(AND(Z1768=1,U1768="In"),W1768,0)</f>
        <v/>
      </c>
    </row>
    <row r="1769">
      <c r="B1769" s="62" t="inlineStr">
        <is>
          <t>TX-1763</t>
        </is>
      </c>
      <c r="C1769" s="63" t="n"/>
      <c r="D1769" s="62" t="n"/>
      <c r="E1769" s="62" t="n"/>
      <c r="F1769" s="62" t="n"/>
      <c r="G1769" s="62" t="n"/>
      <c r="H1769" s="62" t="n"/>
      <c r="I1769" s="62" t="n"/>
      <c r="J1769" s="62" t="n"/>
      <c r="K1769" s="62" t="n"/>
      <c r="L1769" s="64" t="n"/>
      <c r="M1769" s="64" t="n"/>
      <c r="N1769" s="62" t="n"/>
      <c r="O1769" s="65">
        <f>IF(Z1769=1,L1769-W1769,"")</f>
        <v/>
      </c>
      <c r="P1769" s="66">
        <f>IF(V1769="","",IFERROR(INDEX(coa_Type,MATCH(V1769,coa_Name,0)),""))</f>
        <v/>
      </c>
      <c r="Q1769" s="66">
        <f>IF(Z1769=1,IF(U1769="In",K1769&amp;"",V1769),"")</f>
        <v/>
      </c>
      <c r="R1769" s="66">
        <f>IF(Z1769=1,IF(U1769="In",V1769,K1769&amp;""),"")</f>
        <v/>
      </c>
      <c r="S1769" s="66">
        <f>IF(X1769&lt;&gt;"","⛔ "&amp;X1769&amp;" — not posted",IF(Y1769&lt;&gt;"","⚠ "&amp;Y1769,IF(Z1769=1,"✓ OK","")))</f>
        <v/>
      </c>
      <c r="T1769" s="67">
        <f>IF(AND(C1769="",D1769="",E1769="",L1769="",K1769=""),1,0)</f>
        <v/>
      </c>
      <c r="U1769" s="67">
        <f>IFERROR(INDEX(tt_Dir,MATCH(D1769,tt_Type,0)),"")</f>
        <v/>
      </c>
      <c r="V1769" s="67">
        <f>IF(D1769="","",IFERROR(IF(INDEX(tt_Other,MATCH(D1769,tt_Type,0))="",E1769&amp;"",INDEX(tt_Other,MATCH(D1769,tt_Type,0))),""))</f>
        <v/>
      </c>
      <c r="W1769" s="68">
        <f>IF(OR(TaxOn&lt;&gt;"Yes",NOT(ISNUMBER(M1769))),0,IF(IFERROR(INDEX(tt_Tax,MATCH(D1769,tt_Type,0)),"No")="Yes",M1769,0))</f>
        <v/>
      </c>
      <c r="X1769" s="67">
        <f>IF(T1769=1,"",IF(C1769="","Missing transaction date",IF(NOT(ISNUMBER(C1769)),"Invalid date",IF(OR(C1769&lt;DATE(2000,1,1),C1769&gt;DATE(2099,12,31)),"Invalid date",IF(D1769="","Select a type",IF(U1769="","Unknown type: "&amp;D1769,IF(V1769="","Select an account (Category)",IF(ISNA(MATCH(V1769,coa_Name,0)),"Unknown account: "&amp;V1769,IF(K1769="","Select Paid From / Deposited To",IF(ISNA(MATCH(K1769,coa_Name,0)),"Unknown account: "&amp;K1769,IF(NOT(ISNUMBER(L1769)),"Enter an amount",IF(L1769=0,"Enter an amount",IF(ABS(W1769)&gt;ABS(L1769),"Tax is larger than the amount","")))))))))))))</f>
        <v/>
      </c>
      <c r="Y1769" s="67">
        <f>IF(OR(T1769=1,X1769&lt;&gt;""),"",IF(AND(B1769&lt;&gt;"",COUNTIF(tx_ID,B1769)&gt;1),"Duplicate transaction ID",IF(AND(L1769&lt;0,D1769&lt;&gt;"Adjustment"),"Negative amount — check this entry",IF(AND(D1769="Customer Payment",G1769=""),"Add the customer",IF(AND(D1769="Customer Payment",OR(J1769="",COUNTIF(ar_No,J1769&amp;"")=0)),"Invoice # in Reference not found on AR sheet",IF(AND(D1769="Bill Payment",H1769=""),"Add the vendor",IF(AND(D1769="Bill Payment",OR(J1769="",COUNTIFS(ap_No,J1769&amp;"",ap_Party,H1769&amp;"")=0)),"Bill # + vendor not found on AP sheet",IF(AND(ISNUMBER(M1769),N(M1769)&lt;&gt;0,W1769=0),"Tax ignored (tax tracking off, or not allowed for this type)",IF(V1769=K1769&amp;"","Same account on both sides",IF(AND(ISNUMBER(StartDate),C1769&lt;StartDate),"Date is before the accounting start date",IF(AND(D1769&lt;&gt;"Adjustment",IFERROR(INDEX(coa_Pay,MATCH(K1769&amp;"",coa_Name,0)),"")&lt;&gt;"Yes"),"Paid From / Deposited To is not a payment account","")))))))))))</f>
        <v/>
      </c>
      <c r="Z1769" s="67">
        <f>IF(AND(T1769=0,X1769=""),1,0)</f>
        <v/>
      </c>
      <c r="AA1769" s="68">
        <f>IF(Z1769=1,IF(U1769="In",L1769,L1769-W1769),0)</f>
        <v/>
      </c>
      <c r="AB1769" s="68">
        <f>IF(Z1769=1,IF(U1769="In",L1769-W1769,L1769),0)</f>
        <v/>
      </c>
      <c r="AC1769" s="68">
        <f>IF(AND(Z1769=1,U1769="Out"),W1769,0)</f>
        <v/>
      </c>
      <c r="AD1769" s="68">
        <f>IF(AND(Z1769=1,U1769="In"),W1769,0)</f>
        <v/>
      </c>
    </row>
    <row r="1770">
      <c r="B1770" s="62" t="inlineStr">
        <is>
          <t>TX-1764</t>
        </is>
      </c>
      <c r="C1770" s="63" t="n"/>
      <c r="D1770" s="62" t="n"/>
      <c r="E1770" s="62" t="n"/>
      <c r="F1770" s="62" t="n"/>
      <c r="G1770" s="62" t="n"/>
      <c r="H1770" s="62" t="n"/>
      <c r="I1770" s="62" t="n"/>
      <c r="J1770" s="62" t="n"/>
      <c r="K1770" s="62" t="n"/>
      <c r="L1770" s="64" t="n"/>
      <c r="M1770" s="64" t="n"/>
      <c r="N1770" s="62" t="n"/>
      <c r="O1770" s="65">
        <f>IF(Z1770=1,L1770-W1770,"")</f>
        <v/>
      </c>
      <c r="P1770" s="66">
        <f>IF(V1770="","",IFERROR(INDEX(coa_Type,MATCH(V1770,coa_Name,0)),""))</f>
        <v/>
      </c>
      <c r="Q1770" s="66">
        <f>IF(Z1770=1,IF(U1770="In",K1770&amp;"",V1770),"")</f>
        <v/>
      </c>
      <c r="R1770" s="66">
        <f>IF(Z1770=1,IF(U1770="In",V1770,K1770&amp;""),"")</f>
        <v/>
      </c>
      <c r="S1770" s="66">
        <f>IF(X1770&lt;&gt;"","⛔ "&amp;X1770&amp;" — not posted",IF(Y1770&lt;&gt;"","⚠ "&amp;Y1770,IF(Z1770=1,"✓ OK","")))</f>
        <v/>
      </c>
      <c r="T1770" s="67">
        <f>IF(AND(C1770="",D1770="",E1770="",L1770="",K1770=""),1,0)</f>
        <v/>
      </c>
      <c r="U1770" s="67">
        <f>IFERROR(INDEX(tt_Dir,MATCH(D1770,tt_Type,0)),"")</f>
        <v/>
      </c>
      <c r="V1770" s="67">
        <f>IF(D1770="","",IFERROR(IF(INDEX(tt_Other,MATCH(D1770,tt_Type,0))="",E1770&amp;"",INDEX(tt_Other,MATCH(D1770,tt_Type,0))),""))</f>
        <v/>
      </c>
      <c r="W1770" s="68">
        <f>IF(OR(TaxOn&lt;&gt;"Yes",NOT(ISNUMBER(M1770))),0,IF(IFERROR(INDEX(tt_Tax,MATCH(D1770,tt_Type,0)),"No")="Yes",M1770,0))</f>
        <v/>
      </c>
      <c r="X1770" s="67">
        <f>IF(T1770=1,"",IF(C1770="","Missing transaction date",IF(NOT(ISNUMBER(C1770)),"Invalid date",IF(OR(C1770&lt;DATE(2000,1,1),C1770&gt;DATE(2099,12,31)),"Invalid date",IF(D1770="","Select a type",IF(U1770="","Unknown type: "&amp;D1770,IF(V1770="","Select an account (Category)",IF(ISNA(MATCH(V1770,coa_Name,0)),"Unknown account: "&amp;V1770,IF(K1770="","Select Paid From / Deposited To",IF(ISNA(MATCH(K1770,coa_Name,0)),"Unknown account: "&amp;K1770,IF(NOT(ISNUMBER(L1770)),"Enter an amount",IF(L1770=0,"Enter an amount",IF(ABS(W1770)&gt;ABS(L1770),"Tax is larger than the amount","")))))))))))))</f>
        <v/>
      </c>
      <c r="Y1770" s="67">
        <f>IF(OR(T1770=1,X1770&lt;&gt;""),"",IF(AND(B1770&lt;&gt;"",COUNTIF(tx_ID,B1770)&gt;1),"Duplicate transaction ID",IF(AND(L1770&lt;0,D1770&lt;&gt;"Adjustment"),"Negative amount — check this entry",IF(AND(D1770="Customer Payment",G1770=""),"Add the customer",IF(AND(D1770="Customer Payment",OR(J1770="",COUNTIF(ar_No,J1770&amp;"")=0)),"Invoice # in Reference not found on AR sheet",IF(AND(D1770="Bill Payment",H1770=""),"Add the vendor",IF(AND(D1770="Bill Payment",OR(J1770="",COUNTIFS(ap_No,J1770&amp;"",ap_Party,H1770&amp;"")=0)),"Bill # + vendor not found on AP sheet",IF(AND(ISNUMBER(M1770),N(M1770)&lt;&gt;0,W1770=0),"Tax ignored (tax tracking off, or not allowed for this type)",IF(V1770=K1770&amp;"","Same account on both sides",IF(AND(ISNUMBER(StartDate),C1770&lt;StartDate),"Date is before the accounting start date",IF(AND(D1770&lt;&gt;"Adjustment",IFERROR(INDEX(coa_Pay,MATCH(K1770&amp;"",coa_Name,0)),"")&lt;&gt;"Yes"),"Paid From / Deposited To is not a payment account","")))))))))))</f>
        <v/>
      </c>
      <c r="Z1770" s="67">
        <f>IF(AND(T1770=0,X1770=""),1,0)</f>
        <v/>
      </c>
      <c r="AA1770" s="68">
        <f>IF(Z1770=1,IF(U1770="In",L1770,L1770-W1770),0)</f>
        <v/>
      </c>
      <c r="AB1770" s="68">
        <f>IF(Z1770=1,IF(U1770="In",L1770-W1770,L1770),0)</f>
        <v/>
      </c>
      <c r="AC1770" s="68">
        <f>IF(AND(Z1770=1,U1770="Out"),W1770,0)</f>
        <v/>
      </c>
      <c r="AD1770" s="68">
        <f>IF(AND(Z1770=1,U1770="In"),W1770,0)</f>
        <v/>
      </c>
    </row>
    <row r="1771">
      <c r="B1771" s="62" t="inlineStr">
        <is>
          <t>TX-1765</t>
        </is>
      </c>
      <c r="C1771" s="63" t="n"/>
      <c r="D1771" s="62" t="n"/>
      <c r="E1771" s="62" t="n"/>
      <c r="F1771" s="62" t="n"/>
      <c r="G1771" s="62" t="n"/>
      <c r="H1771" s="62" t="n"/>
      <c r="I1771" s="62" t="n"/>
      <c r="J1771" s="62" t="n"/>
      <c r="K1771" s="62" t="n"/>
      <c r="L1771" s="64" t="n"/>
      <c r="M1771" s="64" t="n"/>
      <c r="N1771" s="62" t="n"/>
      <c r="O1771" s="65">
        <f>IF(Z1771=1,L1771-W1771,"")</f>
        <v/>
      </c>
      <c r="P1771" s="66">
        <f>IF(V1771="","",IFERROR(INDEX(coa_Type,MATCH(V1771,coa_Name,0)),""))</f>
        <v/>
      </c>
      <c r="Q1771" s="66">
        <f>IF(Z1771=1,IF(U1771="In",K1771&amp;"",V1771),"")</f>
        <v/>
      </c>
      <c r="R1771" s="66">
        <f>IF(Z1771=1,IF(U1771="In",V1771,K1771&amp;""),"")</f>
        <v/>
      </c>
      <c r="S1771" s="66">
        <f>IF(X1771&lt;&gt;"","⛔ "&amp;X1771&amp;" — not posted",IF(Y1771&lt;&gt;"","⚠ "&amp;Y1771,IF(Z1771=1,"✓ OK","")))</f>
        <v/>
      </c>
      <c r="T1771" s="67">
        <f>IF(AND(C1771="",D1771="",E1771="",L1771="",K1771=""),1,0)</f>
        <v/>
      </c>
      <c r="U1771" s="67">
        <f>IFERROR(INDEX(tt_Dir,MATCH(D1771,tt_Type,0)),"")</f>
        <v/>
      </c>
      <c r="V1771" s="67">
        <f>IF(D1771="","",IFERROR(IF(INDEX(tt_Other,MATCH(D1771,tt_Type,0))="",E1771&amp;"",INDEX(tt_Other,MATCH(D1771,tt_Type,0))),""))</f>
        <v/>
      </c>
      <c r="W1771" s="68">
        <f>IF(OR(TaxOn&lt;&gt;"Yes",NOT(ISNUMBER(M1771))),0,IF(IFERROR(INDEX(tt_Tax,MATCH(D1771,tt_Type,0)),"No")="Yes",M1771,0))</f>
        <v/>
      </c>
      <c r="X1771" s="67">
        <f>IF(T1771=1,"",IF(C1771="","Missing transaction date",IF(NOT(ISNUMBER(C1771)),"Invalid date",IF(OR(C1771&lt;DATE(2000,1,1),C1771&gt;DATE(2099,12,31)),"Invalid date",IF(D1771="","Select a type",IF(U1771="","Unknown type: "&amp;D1771,IF(V1771="","Select an account (Category)",IF(ISNA(MATCH(V1771,coa_Name,0)),"Unknown account: "&amp;V1771,IF(K1771="","Select Paid From / Deposited To",IF(ISNA(MATCH(K1771,coa_Name,0)),"Unknown account: "&amp;K1771,IF(NOT(ISNUMBER(L1771)),"Enter an amount",IF(L1771=0,"Enter an amount",IF(ABS(W1771)&gt;ABS(L1771),"Tax is larger than the amount","")))))))))))))</f>
        <v/>
      </c>
      <c r="Y1771" s="67">
        <f>IF(OR(T1771=1,X1771&lt;&gt;""),"",IF(AND(B1771&lt;&gt;"",COUNTIF(tx_ID,B1771)&gt;1),"Duplicate transaction ID",IF(AND(L1771&lt;0,D1771&lt;&gt;"Adjustment"),"Negative amount — check this entry",IF(AND(D1771="Customer Payment",G1771=""),"Add the customer",IF(AND(D1771="Customer Payment",OR(J1771="",COUNTIF(ar_No,J1771&amp;"")=0)),"Invoice # in Reference not found on AR sheet",IF(AND(D1771="Bill Payment",H1771=""),"Add the vendor",IF(AND(D1771="Bill Payment",OR(J1771="",COUNTIFS(ap_No,J1771&amp;"",ap_Party,H1771&amp;"")=0)),"Bill # + vendor not found on AP sheet",IF(AND(ISNUMBER(M1771),N(M1771)&lt;&gt;0,W1771=0),"Tax ignored (tax tracking off, or not allowed for this type)",IF(V1771=K1771&amp;"","Same account on both sides",IF(AND(ISNUMBER(StartDate),C1771&lt;StartDate),"Date is before the accounting start date",IF(AND(D1771&lt;&gt;"Adjustment",IFERROR(INDEX(coa_Pay,MATCH(K1771&amp;"",coa_Name,0)),"")&lt;&gt;"Yes"),"Paid From / Deposited To is not a payment account","")))))))))))</f>
        <v/>
      </c>
      <c r="Z1771" s="67">
        <f>IF(AND(T1771=0,X1771=""),1,0)</f>
        <v/>
      </c>
      <c r="AA1771" s="68">
        <f>IF(Z1771=1,IF(U1771="In",L1771,L1771-W1771),0)</f>
        <v/>
      </c>
      <c r="AB1771" s="68">
        <f>IF(Z1771=1,IF(U1771="In",L1771-W1771,L1771),0)</f>
        <v/>
      </c>
      <c r="AC1771" s="68">
        <f>IF(AND(Z1771=1,U1771="Out"),W1771,0)</f>
        <v/>
      </c>
      <c r="AD1771" s="68">
        <f>IF(AND(Z1771=1,U1771="In"),W1771,0)</f>
        <v/>
      </c>
    </row>
    <row r="1772">
      <c r="B1772" s="62" t="inlineStr">
        <is>
          <t>TX-1766</t>
        </is>
      </c>
      <c r="C1772" s="63" t="n"/>
      <c r="D1772" s="62" t="n"/>
      <c r="E1772" s="62" t="n"/>
      <c r="F1772" s="62" t="n"/>
      <c r="G1772" s="62" t="n"/>
      <c r="H1772" s="62" t="n"/>
      <c r="I1772" s="62" t="n"/>
      <c r="J1772" s="62" t="n"/>
      <c r="K1772" s="62" t="n"/>
      <c r="L1772" s="64" t="n"/>
      <c r="M1772" s="64" t="n"/>
      <c r="N1772" s="62" t="n"/>
      <c r="O1772" s="65">
        <f>IF(Z1772=1,L1772-W1772,"")</f>
        <v/>
      </c>
      <c r="P1772" s="66">
        <f>IF(V1772="","",IFERROR(INDEX(coa_Type,MATCH(V1772,coa_Name,0)),""))</f>
        <v/>
      </c>
      <c r="Q1772" s="66">
        <f>IF(Z1772=1,IF(U1772="In",K1772&amp;"",V1772),"")</f>
        <v/>
      </c>
      <c r="R1772" s="66">
        <f>IF(Z1772=1,IF(U1772="In",V1772,K1772&amp;""),"")</f>
        <v/>
      </c>
      <c r="S1772" s="66">
        <f>IF(X1772&lt;&gt;"","⛔ "&amp;X1772&amp;" — not posted",IF(Y1772&lt;&gt;"","⚠ "&amp;Y1772,IF(Z1772=1,"✓ OK","")))</f>
        <v/>
      </c>
      <c r="T1772" s="67">
        <f>IF(AND(C1772="",D1772="",E1772="",L1772="",K1772=""),1,0)</f>
        <v/>
      </c>
      <c r="U1772" s="67">
        <f>IFERROR(INDEX(tt_Dir,MATCH(D1772,tt_Type,0)),"")</f>
        <v/>
      </c>
      <c r="V1772" s="67">
        <f>IF(D1772="","",IFERROR(IF(INDEX(tt_Other,MATCH(D1772,tt_Type,0))="",E1772&amp;"",INDEX(tt_Other,MATCH(D1772,tt_Type,0))),""))</f>
        <v/>
      </c>
      <c r="W1772" s="68">
        <f>IF(OR(TaxOn&lt;&gt;"Yes",NOT(ISNUMBER(M1772))),0,IF(IFERROR(INDEX(tt_Tax,MATCH(D1772,tt_Type,0)),"No")="Yes",M1772,0))</f>
        <v/>
      </c>
      <c r="X1772" s="67">
        <f>IF(T1772=1,"",IF(C1772="","Missing transaction date",IF(NOT(ISNUMBER(C1772)),"Invalid date",IF(OR(C1772&lt;DATE(2000,1,1),C1772&gt;DATE(2099,12,31)),"Invalid date",IF(D1772="","Select a type",IF(U1772="","Unknown type: "&amp;D1772,IF(V1772="","Select an account (Category)",IF(ISNA(MATCH(V1772,coa_Name,0)),"Unknown account: "&amp;V1772,IF(K1772="","Select Paid From / Deposited To",IF(ISNA(MATCH(K1772,coa_Name,0)),"Unknown account: "&amp;K1772,IF(NOT(ISNUMBER(L1772)),"Enter an amount",IF(L1772=0,"Enter an amount",IF(ABS(W1772)&gt;ABS(L1772),"Tax is larger than the amount","")))))))))))))</f>
        <v/>
      </c>
      <c r="Y1772" s="67">
        <f>IF(OR(T1772=1,X1772&lt;&gt;""),"",IF(AND(B1772&lt;&gt;"",COUNTIF(tx_ID,B1772)&gt;1),"Duplicate transaction ID",IF(AND(L1772&lt;0,D1772&lt;&gt;"Adjustment"),"Negative amount — check this entry",IF(AND(D1772="Customer Payment",G1772=""),"Add the customer",IF(AND(D1772="Customer Payment",OR(J1772="",COUNTIF(ar_No,J1772&amp;"")=0)),"Invoice # in Reference not found on AR sheet",IF(AND(D1772="Bill Payment",H1772=""),"Add the vendor",IF(AND(D1772="Bill Payment",OR(J1772="",COUNTIFS(ap_No,J1772&amp;"",ap_Party,H1772&amp;"")=0)),"Bill # + vendor not found on AP sheet",IF(AND(ISNUMBER(M1772),N(M1772)&lt;&gt;0,W1772=0),"Tax ignored (tax tracking off, or not allowed for this type)",IF(V1772=K1772&amp;"","Same account on both sides",IF(AND(ISNUMBER(StartDate),C1772&lt;StartDate),"Date is before the accounting start date",IF(AND(D1772&lt;&gt;"Adjustment",IFERROR(INDEX(coa_Pay,MATCH(K1772&amp;"",coa_Name,0)),"")&lt;&gt;"Yes"),"Paid From / Deposited To is not a payment account","")))))))))))</f>
        <v/>
      </c>
      <c r="Z1772" s="67">
        <f>IF(AND(T1772=0,X1772=""),1,0)</f>
        <v/>
      </c>
      <c r="AA1772" s="68">
        <f>IF(Z1772=1,IF(U1772="In",L1772,L1772-W1772),0)</f>
        <v/>
      </c>
      <c r="AB1772" s="68">
        <f>IF(Z1772=1,IF(U1772="In",L1772-W1772,L1772),0)</f>
        <v/>
      </c>
      <c r="AC1772" s="68">
        <f>IF(AND(Z1772=1,U1772="Out"),W1772,0)</f>
        <v/>
      </c>
      <c r="AD1772" s="68">
        <f>IF(AND(Z1772=1,U1772="In"),W1772,0)</f>
        <v/>
      </c>
    </row>
    <row r="1773">
      <c r="B1773" s="62" t="inlineStr">
        <is>
          <t>TX-1767</t>
        </is>
      </c>
      <c r="C1773" s="63" t="n"/>
      <c r="D1773" s="62" t="n"/>
      <c r="E1773" s="62" t="n"/>
      <c r="F1773" s="62" t="n"/>
      <c r="G1773" s="62" t="n"/>
      <c r="H1773" s="62" t="n"/>
      <c r="I1773" s="62" t="n"/>
      <c r="J1773" s="62" t="n"/>
      <c r="K1773" s="62" t="n"/>
      <c r="L1773" s="64" t="n"/>
      <c r="M1773" s="64" t="n"/>
      <c r="N1773" s="62" t="n"/>
      <c r="O1773" s="65">
        <f>IF(Z1773=1,L1773-W1773,"")</f>
        <v/>
      </c>
      <c r="P1773" s="66">
        <f>IF(V1773="","",IFERROR(INDEX(coa_Type,MATCH(V1773,coa_Name,0)),""))</f>
        <v/>
      </c>
      <c r="Q1773" s="66">
        <f>IF(Z1773=1,IF(U1773="In",K1773&amp;"",V1773),"")</f>
        <v/>
      </c>
      <c r="R1773" s="66">
        <f>IF(Z1773=1,IF(U1773="In",V1773,K1773&amp;""),"")</f>
        <v/>
      </c>
      <c r="S1773" s="66">
        <f>IF(X1773&lt;&gt;"","⛔ "&amp;X1773&amp;" — not posted",IF(Y1773&lt;&gt;"","⚠ "&amp;Y1773,IF(Z1773=1,"✓ OK","")))</f>
        <v/>
      </c>
      <c r="T1773" s="67">
        <f>IF(AND(C1773="",D1773="",E1773="",L1773="",K1773=""),1,0)</f>
        <v/>
      </c>
      <c r="U1773" s="67">
        <f>IFERROR(INDEX(tt_Dir,MATCH(D1773,tt_Type,0)),"")</f>
        <v/>
      </c>
      <c r="V1773" s="67">
        <f>IF(D1773="","",IFERROR(IF(INDEX(tt_Other,MATCH(D1773,tt_Type,0))="",E1773&amp;"",INDEX(tt_Other,MATCH(D1773,tt_Type,0))),""))</f>
        <v/>
      </c>
      <c r="W1773" s="68">
        <f>IF(OR(TaxOn&lt;&gt;"Yes",NOT(ISNUMBER(M1773))),0,IF(IFERROR(INDEX(tt_Tax,MATCH(D1773,tt_Type,0)),"No")="Yes",M1773,0))</f>
        <v/>
      </c>
      <c r="X1773" s="67">
        <f>IF(T1773=1,"",IF(C1773="","Missing transaction date",IF(NOT(ISNUMBER(C1773)),"Invalid date",IF(OR(C1773&lt;DATE(2000,1,1),C1773&gt;DATE(2099,12,31)),"Invalid date",IF(D1773="","Select a type",IF(U1773="","Unknown type: "&amp;D1773,IF(V1773="","Select an account (Category)",IF(ISNA(MATCH(V1773,coa_Name,0)),"Unknown account: "&amp;V1773,IF(K1773="","Select Paid From / Deposited To",IF(ISNA(MATCH(K1773,coa_Name,0)),"Unknown account: "&amp;K1773,IF(NOT(ISNUMBER(L1773)),"Enter an amount",IF(L1773=0,"Enter an amount",IF(ABS(W1773)&gt;ABS(L1773),"Tax is larger than the amount","")))))))))))))</f>
        <v/>
      </c>
      <c r="Y1773" s="67">
        <f>IF(OR(T1773=1,X1773&lt;&gt;""),"",IF(AND(B1773&lt;&gt;"",COUNTIF(tx_ID,B1773)&gt;1),"Duplicate transaction ID",IF(AND(L1773&lt;0,D1773&lt;&gt;"Adjustment"),"Negative amount — check this entry",IF(AND(D1773="Customer Payment",G1773=""),"Add the customer",IF(AND(D1773="Customer Payment",OR(J1773="",COUNTIF(ar_No,J1773&amp;"")=0)),"Invoice # in Reference not found on AR sheet",IF(AND(D1773="Bill Payment",H1773=""),"Add the vendor",IF(AND(D1773="Bill Payment",OR(J1773="",COUNTIFS(ap_No,J1773&amp;"",ap_Party,H1773&amp;"")=0)),"Bill # + vendor not found on AP sheet",IF(AND(ISNUMBER(M1773),N(M1773)&lt;&gt;0,W1773=0),"Tax ignored (tax tracking off, or not allowed for this type)",IF(V1773=K1773&amp;"","Same account on both sides",IF(AND(ISNUMBER(StartDate),C1773&lt;StartDate),"Date is before the accounting start date",IF(AND(D1773&lt;&gt;"Adjustment",IFERROR(INDEX(coa_Pay,MATCH(K1773&amp;"",coa_Name,0)),"")&lt;&gt;"Yes"),"Paid From / Deposited To is not a payment account","")))))))))))</f>
        <v/>
      </c>
      <c r="Z1773" s="67">
        <f>IF(AND(T1773=0,X1773=""),1,0)</f>
        <v/>
      </c>
      <c r="AA1773" s="68">
        <f>IF(Z1773=1,IF(U1773="In",L1773,L1773-W1773),0)</f>
        <v/>
      </c>
      <c r="AB1773" s="68">
        <f>IF(Z1773=1,IF(U1773="In",L1773-W1773,L1773),0)</f>
        <v/>
      </c>
      <c r="AC1773" s="68">
        <f>IF(AND(Z1773=1,U1773="Out"),W1773,0)</f>
        <v/>
      </c>
      <c r="AD1773" s="68">
        <f>IF(AND(Z1773=1,U1773="In"),W1773,0)</f>
        <v/>
      </c>
    </row>
    <row r="1774">
      <c r="B1774" s="62" t="inlineStr">
        <is>
          <t>TX-1768</t>
        </is>
      </c>
      <c r="C1774" s="63" t="n"/>
      <c r="D1774" s="62" t="n"/>
      <c r="E1774" s="62" t="n"/>
      <c r="F1774" s="62" t="n"/>
      <c r="G1774" s="62" t="n"/>
      <c r="H1774" s="62" t="n"/>
      <c r="I1774" s="62" t="n"/>
      <c r="J1774" s="62" t="n"/>
      <c r="K1774" s="62" t="n"/>
      <c r="L1774" s="64" t="n"/>
      <c r="M1774" s="64" t="n"/>
      <c r="N1774" s="62" t="n"/>
      <c r="O1774" s="65">
        <f>IF(Z1774=1,L1774-W1774,"")</f>
        <v/>
      </c>
      <c r="P1774" s="66">
        <f>IF(V1774="","",IFERROR(INDEX(coa_Type,MATCH(V1774,coa_Name,0)),""))</f>
        <v/>
      </c>
      <c r="Q1774" s="66">
        <f>IF(Z1774=1,IF(U1774="In",K1774&amp;"",V1774),"")</f>
        <v/>
      </c>
      <c r="R1774" s="66">
        <f>IF(Z1774=1,IF(U1774="In",V1774,K1774&amp;""),"")</f>
        <v/>
      </c>
      <c r="S1774" s="66">
        <f>IF(X1774&lt;&gt;"","⛔ "&amp;X1774&amp;" — not posted",IF(Y1774&lt;&gt;"","⚠ "&amp;Y1774,IF(Z1774=1,"✓ OK","")))</f>
        <v/>
      </c>
      <c r="T1774" s="67">
        <f>IF(AND(C1774="",D1774="",E1774="",L1774="",K1774=""),1,0)</f>
        <v/>
      </c>
      <c r="U1774" s="67">
        <f>IFERROR(INDEX(tt_Dir,MATCH(D1774,tt_Type,0)),"")</f>
        <v/>
      </c>
      <c r="V1774" s="67">
        <f>IF(D1774="","",IFERROR(IF(INDEX(tt_Other,MATCH(D1774,tt_Type,0))="",E1774&amp;"",INDEX(tt_Other,MATCH(D1774,tt_Type,0))),""))</f>
        <v/>
      </c>
      <c r="W1774" s="68">
        <f>IF(OR(TaxOn&lt;&gt;"Yes",NOT(ISNUMBER(M1774))),0,IF(IFERROR(INDEX(tt_Tax,MATCH(D1774,tt_Type,0)),"No")="Yes",M1774,0))</f>
        <v/>
      </c>
      <c r="X1774" s="67">
        <f>IF(T1774=1,"",IF(C1774="","Missing transaction date",IF(NOT(ISNUMBER(C1774)),"Invalid date",IF(OR(C1774&lt;DATE(2000,1,1),C1774&gt;DATE(2099,12,31)),"Invalid date",IF(D1774="","Select a type",IF(U1774="","Unknown type: "&amp;D1774,IF(V1774="","Select an account (Category)",IF(ISNA(MATCH(V1774,coa_Name,0)),"Unknown account: "&amp;V1774,IF(K1774="","Select Paid From / Deposited To",IF(ISNA(MATCH(K1774,coa_Name,0)),"Unknown account: "&amp;K1774,IF(NOT(ISNUMBER(L1774)),"Enter an amount",IF(L1774=0,"Enter an amount",IF(ABS(W1774)&gt;ABS(L1774),"Tax is larger than the amount","")))))))))))))</f>
        <v/>
      </c>
      <c r="Y1774" s="67">
        <f>IF(OR(T1774=1,X1774&lt;&gt;""),"",IF(AND(B1774&lt;&gt;"",COUNTIF(tx_ID,B1774)&gt;1),"Duplicate transaction ID",IF(AND(L1774&lt;0,D1774&lt;&gt;"Adjustment"),"Negative amount — check this entry",IF(AND(D1774="Customer Payment",G1774=""),"Add the customer",IF(AND(D1774="Customer Payment",OR(J1774="",COUNTIF(ar_No,J1774&amp;"")=0)),"Invoice # in Reference not found on AR sheet",IF(AND(D1774="Bill Payment",H1774=""),"Add the vendor",IF(AND(D1774="Bill Payment",OR(J1774="",COUNTIFS(ap_No,J1774&amp;"",ap_Party,H1774&amp;"")=0)),"Bill # + vendor not found on AP sheet",IF(AND(ISNUMBER(M1774),N(M1774)&lt;&gt;0,W1774=0),"Tax ignored (tax tracking off, or not allowed for this type)",IF(V1774=K1774&amp;"","Same account on both sides",IF(AND(ISNUMBER(StartDate),C1774&lt;StartDate),"Date is before the accounting start date",IF(AND(D1774&lt;&gt;"Adjustment",IFERROR(INDEX(coa_Pay,MATCH(K1774&amp;"",coa_Name,0)),"")&lt;&gt;"Yes"),"Paid From / Deposited To is not a payment account","")))))))))))</f>
        <v/>
      </c>
      <c r="Z1774" s="67">
        <f>IF(AND(T1774=0,X1774=""),1,0)</f>
        <v/>
      </c>
      <c r="AA1774" s="68">
        <f>IF(Z1774=1,IF(U1774="In",L1774,L1774-W1774),0)</f>
        <v/>
      </c>
      <c r="AB1774" s="68">
        <f>IF(Z1774=1,IF(U1774="In",L1774-W1774,L1774),0)</f>
        <v/>
      </c>
      <c r="AC1774" s="68">
        <f>IF(AND(Z1774=1,U1774="Out"),W1774,0)</f>
        <v/>
      </c>
      <c r="AD1774" s="68">
        <f>IF(AND(Z1774=1,U1774="In"),W1774,0)</f>
        <v/>
      </c>
    </row>
    <row r="1775">
      <c r="B1775" s="62" t="inlineStr">
        <is>
          <t>TX-1769</t>
        </is>
      </c>
      <c r="C1775" s="63" t="n"/>
      <c r="D1775" s="62" t="n"/>
      <c r="E1775" s="62" t="n"/>
      <c r="F1775" s="62" t="n"/>
      <c r="G1775" s="62" t="n"/>
      <c r="H1775" s="62" t="n"/>
      <c r="I1775" s="62" t="n"/>
      <c r="J1775" s="62" t="n"/>
      <c r="K1775" s="62" t="n"/>
      <c r="L1775" s="64" t="n"/>
      <c r="M1775" s="64" t="n"/>
      <c r="N1775" s="62" t="n"/>
      <c r="O1775" s="65">
        <f>IF(Z1775=1,L1775-W1775,"")</f>
        <v/>
      </c>
      <c r="P1775" s="66">
        <f>IF(V1775="","",IFERROR(INDEX(coa_Type,MATCH(V1775,coa_Name,0)),""))</f>
        <v/>
      </c>
      <c r="Q1775" s="66">
        <f>IF(Z1775=1,IF(U1775="In",K1775&amp;"",V1775),"")</f>
        <v/>
      </c>
      <c r="R1775" s="66">
        <f>IF(Z1775=1,IF(U1775="In",V1775,K1775&amp;""),"")</f>
        <v/>
      </c>
      <c r="S1775" s="66">
        <f>IF(X1775&lt;&gt;"","⛔ "&amp;X1775&amp;" — not posted",IF(Y1775&lt;&gt;"","⚠ "&amp;Y1775,IF(Z1775=1,"✓ OK","")))</f>
        <v/>
      </c>
      <c r="T1775" s="67">
        <f>IF(AND(C1775="",D1775="",E1775="",L1775="",K1775=""),1,0)</f>
        <v/>
      </c>
      <c r="U1775" s="67">
        <f>IFERROR(INDEX(tt_Dir,MATCH(D1775,tt_Type,0)),"")</f>
        <v/>
      </c>
      <c r="V1775" s="67">
        <f>IF(D1775="","",IFERROR(IF(INDEX(tt_Other,MATCH(D1775,tt_Type,0))="",E1775&amp;"",INDEX(tt_Other,MATCH(D1775,tt_Type,0))),""))</f>
        <v/>
      </c>
      <c r="W1775" s="68">
        <f>IF(OR(TaxOn&lt;&gt;"Yes",NOT(ISNUMBER(M1775))),0,IF(IFERROR(INDEX(tt_Tax,MATCH(D1775,tt_Type,0)),"No")="Yes",M1775,0))</f>
        <v/>
      </c>
      <c r="X1775" s="67">
        <f>IF(T1775=1,"",IF(C1775="","Missing transaction date",IF(NOT(ISNUMBER(C1775)),"Invalid date",IF(OR(C1775&lt;DATE(2000,1,1),C1775&gt;DATE(2099,12,31)),"Invalid date",IF(D1775="","Select a type",IF(U1775="","Unknown type: "&amp;D1775,IF(V1775="","Select an account (Category)",IF(ISNA(MATCH(V1775,coa_Name,0)),"Unknown account: "&amp;V1775,IF(K1775="","Select Paid From / Deposited To",IF(ISNA(MATCH(K1775,coa_Name,0)),"Unknown account: "&amp;K1775,IF(NOT(ISNUMBER(L1775)),"Enter an amount",IF(L1775=0,"Enter an amount",IF(ABS(W1775)&gt;ABS(L1775),"Tax is larger than the amount","")))))))))))))</f>
        <v/>
      </c>
      <c r="Y1775" s="67">
        <f>IF(OR(T1775=1,X1775&lt;&gt;""),"",IF(AND(B1775&lt;&gt;"",COUNTIF(tx_ID,B1775)&gt;1),"Duplicate transaction ID",IF(AND(L1775&lt;0,D1775&lt;&gt;"Adjustment"),"Negative amount — check this entry",IF(AND(D1775="Customer Payment",G1775=""),"Add the customer",IF(AND(D1775="Customer Payment",OR(J1775="",COUNTIF(ar_No,J1775&amp;"")=0)),"Invoice # in Reference not found on AR sheet",IF(AND(D1775="Bill Payment",H1775=""),"Add the vendor",IF(AND(D1775="Bill Payment",OR(J1775="",COUNTIFS(ap_No,J1775&amp;"",ap_Party,H1775&amp;"")=0)),"Bill # + vendor not found on AP sheet",IF(AND(ISNUMBER(M1775),N(M1775)&lt;&gt;0,W1775=0),"Tax ignored (tax tracking off, or not allowed for this type)",IF(V1775=K1775&amp;"","Same account on both sides",IF(AND(ISNUMBER(StartDate),C1775&lt;StartDate),"Date is before the accounting start date",IF(AND(D1775&lt;&gt;"Adjustment",IFERROR(INDEX(coa_Pay,MATCH(K1775&amp;"",coa_Name,0)),"")&lt;&gt;"Yes"),"Paid From / Deposited To is not a payment account","")))))))))))</f>
        <v/>
      </c>
      <c r="Z1775" s="67">
        <f>IF(AND(T1775=0,X1775=""),1,0)</f>
        <v/>
      </c>
      <c r="AA1775" s="68">
        <f>IF(Z1775=1,IF(U1775="In",L1775,L1775-W1775),0)</f>
        <v/>
      </c>
      <c r="AB1775" s="68">
        <f>IF(Z1775=1,IF(U1775="In",L1775-W1775,L1775),0)</f>
        <v/>
      </c>
      <c r="AC1775" s="68">
        <f>IF(AND(Z1775=1,U1775="Out"),W1775,0)</f>
        <v/>
      </c>
      <c r="AD1775" s="68">
        <f>IF(AND(Z1775=1,U1775="In"),W1775,0)</f>
        <v/>
      </c>
    </row>
    <row r="1776">
      <c r="B1776" s="62" t="inlineStr">
        <is>
          <t>TX-1770</t>
        </is>
      </c>
      <c r="C1776" s="63" t="n"/>
      <c r="D1776" s="62" t="n"/>
      <c r="E1776" s="62" t="n"/>
      <c r="F1776" s="62" t="n"/>
      <c r="G1776" s="62" t="n"/>
      <c r="H1776" s="62" t="n"/>
      <c r="I1776" s="62" t="n"/>
      <c r="J1776" s="62" t="n"/>
      <c r="K1776" s="62" t="n"/>
      <c r="L1776" s="64" t="n"/>
      <c r="M1776" s="64" t="n"/>
      <c r="N1776" s="62" t="n"/>
      <c r="O1776" s="65">
        <f>IF(Z1776=1,L1776-W1776,"")</f>
        <v/>
      </c>
      <c r="P1776" s="66">
        <f>IF(V1776="","",IFERROR(INDEX(coa_Type,MATCH(V1776,coa_Name,0)),""))</f>
        <v/>
      </c>
      <c r="Q1776" s="66">
        <f>IF(Z1776=1,IF(U1776="In",K1776&amp;"",V1776),"")</f>
        <v/>
      </c>
      <c r="R1776" s="66">
        <f>IF(Z1776=1,IF(U1776="In",V1776,K1776&amp;""),"")</f>
        <v/>
      </c>
      <c r="S1776" s="66">
        <f>IF(X1776&lt;&gt;"","⛔ "&amp;X1776&amp;" — not posted",IF(Y1776&lt;&gt;"","⚠ "&amp;Y1776,IF(Z1776=1,"✓ OK","")))</f>
        <v/>
      </c>
      <c r="T1776" s="67">
        <f>IF(AND(C1776="",D1776="",E1776="",L1776="",K1776=""),1,0)</f>
        <v/>
      </c>
      <c r="U1776" s="67">
        <f>IFERROR(INDEX(tt_Dir,MATCH(D1776,tt_Type,0)),"")</f>
        <v/>
      </c>
      <c r="V1776" s="67">
        <f>IF(D1776="","",IFERROR(IF(INDEX(tt_Other,MATCH(D1776,tt_Type,0))="",E1776&amp;"",INDEX(tt_Other,MATCH(D1776,tt_Type,0))),""))</f>
        <v/>
      </c>
      <c r="W1776" s="68">
        <f>IF(OR(TaxOn&lt;&gt;"Yes",NOT(ISNUMBER(M1776))),0,IF(IFERROR(INDEX(tt_Tax,MATCH(D1776,tt_Type,0)),"No")="Yes",M1776,0))</f>
        <v/>
      </c>
      <c r="X1776" s="67">
        <f>IF(T1776=1,"",IF(C1776="","Missing transaction date",IF(NOT(ISNUMBER(C1776)),"Invalid date",IF(OR(C1776&lt;DATE(2000,1,1),C1776&gt;DATE(2099,12,31)),"Invalid date",IF(D1776="","Select a type",IF(U1776="","Unknown type: "&amp;D1776,IF(V1776="","Select an account (Category)",IF(ISNA(MATCH(V1776,coa_Name,0)),"Unknown account: "&amp;V1776,IF(K1776="","Select Paid From / Deposited To",IF(ISNA(MATCH(K1776,coa_Name,0)),"Unknown account: "&amp;K1776,IF(NOT(ISNUMBER(L1776)),"Enter an amount",IF(L1776=0,"Enter an amount",IF(ABS(W1776)&gt;ABS(L1776),"Tax is larger than the amount","")))))))))))))</f>
        <v/>
      </c>
      <c r="Y1776" s="67">
        <f>IF(OR(T1776=1,X1776&lt;&gt;""),"",IF(AND(B1776&lt;&gt;"",COUNTIF(tx_ID,B1776)&gt;1),"Duplicate transaction ID",IF(AND(L1776&lt;0,D1776&lt;&gt;"Adjustment"),"Negative amount — check this entry",IF(AND(D1776="Customer Payment",G1776=""),"Add the customer",IF(AND(D1776="Customer Payment",OR(J1776="",COUNTIF(ar_No,J1776&amp;"")=0)),"Invoice # in Reference not found on AR sheet",IF(AND(D1776="Bill Payment",H1776=""),"Add the vendor",IF(AND(D1776="Bill Payment",OR(J1776="",COUNTIFS(ap_No,J1776&amp;"",ap_Party,H1776&amp;"")=0)),"Bill # + vendor not found on AP sheet",IF(AND(ISNUMBER(M1776),N(M1776)&lt;&gt;0,W1776=0),"Tax ignored (tax tracking off, or not allowed for this type)",IF(V1776=K1776&amp;"","Same account on both sides",IF(AND(ISNUMBER(StartDate),C1776&lt;StartDate),"Date is before the accounting start date",IF(AND(D1776&lt;&gt;"Adjustment",IFERROR(INDEX(coa_Pay,MATCH(K1776&amp;"",coa_Name,0)),"")&lt;&gt;"Yes"),"Paid From / Deposited To is not a payment account","")))))))))))</f>
        <v/>
      </c>
      <c r="Z1776" s="67">
        <f>IF(AND(T1776=0,X1776=""),1,0)</f>
        <v/>
      </c>
      <c r="AA1776" s="68">
        <f>IF(Z1776=1,IF(U1776="In",L1776,L1776-W1776),0)</f>
        <v/>
      </c>
      <c r="AB1776" s="68">
        <f>IF(Z1776=1,IF(U1776="In",L1776-W1776,L1776),0)</f>
        <v/>
      </c>
      <c r="AC1776" s="68">
        <f>IF(AND(Z1776=1,U1776="Out"),W1776,0)</f>
        <v/>
      </c>
      <c r="AD1776" s="68">
        <f>IF(AND(Z1776=1,U1776="In"),W1776,0)</f>
        <v/>
      </c>
    </row>
    <row r="1777">
      <c r="B1777" s="62" t="inlineStr">
        <is>
          <t>TX-1771</t>
        </is>
      </c>
      <c r="C1777" s="63" t="n"/>
      <c r="D1777" s="62" t="n"/>
      <c r="E1777" s="62" t="n"/>
      <c r="F1777" s="62" t="n"/>
      <c r="G1777" s="62" t="n"/>
      <c r="H1777" s="62" t="n"/>
      <c r="I1777" s="62" t="n"/>
      <c r="J1777" s="62" t="n"/>
      <c r="K1777" s="62" t="n"/>
      <c r="L1777" s="64" t="n"/>
      <c r="M1777" s="64" t="n"/>
      <c r="N1777" s="62" t="n"/>
      <c r="O1777" s="65">
        <f>IF(Z1777=1,L1777-W1777,"")</f>
        <v/>
      </c>
      <c r="P1777" s="66">
        <f>IF(V1777="","",IFERROR(INDEX(coa_Type,MATCH(V1777,coa_Name,0)),""))</f>
        <v/>
      </c>
      <c r="Q1777" s="66">
        <f>IF(Z1777=1,IF(U1777="In",K1777&amp;"",V1777),"")</f>
        <v/>
      </c>
      <c r="R1777" s="66">
        <f>IF(Z1777=1,IF(U1777="In",V1777,K1777&amp;""),"")</f>
        <v/>
      </c>
      <c r="S1777" s="66">
        <f>IF(X1777&lt;&gt;"","⛔ "&amp;X1777&amp;" — not posted",IF(Y1777&lt;&gt;"","⚠ "&amp;Y1777,IF(Z1777=1,"✓ OK","")))</f>
        <v/>
      </c>
      <c r="T1777" s="67">
        <f>IF(AND(C1777="",D1777="",E1777="",L1777="",K1777=""),1,0)</f>
        <v/>
      </c>
      <c r="U1777" s="67">
        <f>IFERROR(INDEX(tt_Dir,MATCH(D1777,tt_Type,0)),"")</f>
        <v/>
      </c>
      <c r="V1777" s="67">
        <f>IF(D1777="","",IFERROR(IF(INDEX(tt_Other,MATCH(D1777,tt_Type,0))="",E1777&amp;"",INDEX(tt_Other,MATCH(D1777,tt_Type,0))),""))</f>
        <v/>
      </c>
      <c r="W1777" s="68">
        <f>IF(OR(TaxOn&lt;&gt;"Yes",NOT(ISNUMBER(M1777))),0,IF(IFERROR(INDEX(tt_Tax,MATCH(D1777,tt_Type,0)),"No")="Yes",M1777,0))</f>
        <v/>
      </c>
      <c r="X1777" s="67">
        <f>IF(T1777=1,"",IF(C1777="","Missing transaction date",IF(NOT(ISNUMBER(C1777)),"Invalid date",IF(OR(C1777&lt;DATE(2000,1,1),C1777&gt;DATE(2099,12,31)),"Invalid date",IF(D1777="","Select a type",IF(U1777="","Unknown type: "&amp;D1777,IF(V1777="","Select an account (Category)",IF(ISNA(MATCH(V1777,coa_Name,0)),"Unknown account: "&amp;V1777,IF(K1777="","Select Paid From / Deposited To",IF(ISNA(MATCH(K1777,coa_Name,0)),"Unknown account: "&amp;K1777,IF(NOT(ISNUMBER(L1777)),"Enter an amount",IF(L1777=0,"Enter an amount",IF(ABS(W1777)&gt;ABS(L1777),"Tax is larger than the amount","")))))))))))))</f>
        <v/>
      </c>
      <c r="Y1777" s="67">
        <f>IF(OR(T1777=1,X1777&lt;&gt;""),"",IF(AND(B1777&lt;&gt;"",COUNTIF(tx_ID,B1777)&gt;1),"Duplicate transaction ID",IF(AND(L1777&lt;0,D1777&lt;&gt;"Adjustment"),"Negative amount — check this entry",IF(AND(D1777="Customer Payment",G1777=""),"Add the customer",IF(AND(D1777="Customer Payment",OR(J1777="",COUNTIF(ar_No,J1777&amp;"")=0)),"Invoice # in Reference not found on AR sheet",IF(AND(D1777="Bill Payment",H1777=""),"Add the vendor",IF(AND(D1777="Bill Payment",OR(J1777="",COUNTIFS(ap_No,J1777&amp;"",ap_Party,H1777&amp;"")=0)),"Bill # + vendor not found on AP sheet",IF(AND(ISNUMBER(M1777),N(M1777)&lt;&gt;0,W1777=0),"Tax ignored (tax tracking off, or not allowed for this type)",IF(V1777=K1777&amp;"","Same account on both sides",IF(AND(ISNUMBER(StartDate),C1777&lt;StartDate),"Date is before the accounting start date",IF(AND(D1777&lt;&gt;"Adjustment",IFERROR(INDEX(coa_Pay,MATCH(K1777&amp;"",coa_Name,0)),"")&lt;&gt;"Yes"),"Paid From / Deposited To is not a payment account","")))))))))))</f>
        <v/>
      </c>
      <c r="Z1777" s="67">
        <f>IF(AND(T1777=0,X1777=""),1,0)</f>
        <v/>
      </c>
      <c r="AA1777" s="68">
        <f>IF(Z1777=1,IF(U1777="In",L1777,L1777-W1777),0)</f>
        <v/>
      </c>
      <c r="AB1777" s="68">
        <f>IF(Z1777=1,IF(U1777="In",L1777-W1777,L1777),0)</f>
        <v/>
      </c>
      <c r="AC1777" s="68">
        <f>IF(AND(Z1777=1,U1777="Out"),W1777,0)</f>
        <v/>
      </c>
      <c r="AD1777" s="68">
        <f>IF(AND(Z1777=1,U1777="In"),W1777,0)</f>
        <v/>
      </c>
    </row>
    <row r="1778">
      <c r="B1778" s="62" t="inlineStr">
        <is>
          <t>TX-1772</t>
        </is>
      </c>
      <c r="C1778" s="63" t="n"/>
      <c r="D1778" s="62" t="n"/>
      <c r="E1778" s="62" t="n"/>
      <c r="F1778" s="62" t="n"/>
      <c r="G1778" s="62" t="n"/>
      <c r="H1778" s="62" t="n"/>
      <c r="I1778" s="62" t="n"/>
      <c r="J1778" s="62" t="n"/>
      <c r="K1778" s="62" t="n"/>
      <c r="L1778" s="64" t="n"/>
      <c r="M1778" s="64" t="n"/>
      <c r="N1778" s="62" t="n"/>
      <c r="O1778" s="65">
        <f>IF(Z1778=1,L1778-W1778,"")</f>
        <v/>
      </c>
      <c r="P1778" s="66">
        <f>IF(V1778="","",IFERROR(INDEX(coa_Type,MATCH(V1778,coa_Name,0)),""))</f>
        <v/>
      </c>
      <c r="Q1778" s="66">
        <f>IF(Z1778=1,IF(U1778="In",K1778&amp;"",V1778),"")</f>
        <v/>
      </c>
      <c r="R1778" s="66">
        <f>IF(Z1778=1,IF(U1778="In",V1778,K1778&amp;""),"")</f>
        <v/>
      </c>
      <c r="S1778" s="66">
        <f>IF(X1778&lt;&gt;"","⛔ "&amp;X1778&amp;" — not posted",IF(Y1778&lt;&gt;"","⚠ "&amp;Y1778,IF(Z1778=1,"✓ OK","")))</f>
        <v/>
      </c>
      <c r="T1778" s="67">
        <f>IF(AND(C1778="",D1778="",E1778="",L1778="",K1778=""),1,0)</f>
        <v/>
      </c>
      <c r="U1778" s="67">
        <f>IFERROR(INDEX(tt_Dir,MATCH(D1778,tt_Type,0)),"")</f>
        <v/>
      </c>
      <c r="V1778" s="67">
        <f>IF(D1778="","",IFERROR(IF(INDEX(tt_Other,MATCH(D1778,tt_Type,0))="",E1778&amp;"",INDEX(tt_Other,MATCH(D1778,tt_Type,0))),""))</f>
        <v/>
      </c>
      <c r="W1778" s="68">
        <f>IF(OR(TaxOn&lt;&gt;"Yes",NOT(ISNUMBER(M1778))),0,IF(IFERROR(INDEX(tt_Tax,MATCH(D1778,tt_Type,0)),"No")="Yes",M1778,0))</f>
        <v/>
      </c>
      <c r="X1778" s="67">
        <f>IF(T1778=1,"",IF(C1778="","Missing transaction date",IF(NOT(ISNUMBER(C1778)),"Invalid date",IF(OR(C1778&lt;DATE(2000,1,1),C1778&gt;DATE(2099,12,31)),"Invalid date",IF(D1778="","Select a type",IF(U1778="","Unknown type: "&amp;D1778,IF(V1778="","Select an account (Category)",IF(ISNA(MATCH(V1778,coa_Name,0)),"Unknown account: "&amp;V1778,IF(K1778="","Select Paid From / Deposited To",IF(ISNA(MATCH(K1778,coa_Name,0)),"Unknown account: "&amp;K1778,IF(NOT(ISNUMBER(L1778)),"Enter an amount",IF(L1778=0,"Enter an amount",IF(ABS(W1778)&gt;ABS(L1778),"Tax is larger than the amount","")))))))))))))</f>
        <v/>
      </c>
      <c r="Y1778" s="67">
        <f>IF(OR(T1778=1,X1778&lt;&gt;""),"",IF(AND(B1778&lt;&gt;"",COUNTIF(tx_ID,B1778)&gt;1),"Duplicate transaction ID",IF(AND(L1778&lt;0,D1778&lt;&gt;"Adjustment"),"Negative amount — check this entry",IF(AND(D1778="Customer Payment",G1778=""),"Add the customer",IF(AND(D1778="Customer Payment",OR(J1778="",COUNTIF(ar_No,J1778&amp;"")=0)),"Invoice # in Reference not found on AR sheet",IF(AND(D1778="Bill Payment",H1778=""),"Add the vendor",IF(AND(D1778="Bill Payment",OR(J1778="",COUNTIFS(ap_No,J1778&amp;"",ap_Party,H1778&amp;"")=0)),"Bill # + vendor not found on AP sheet",IF(AND(ISNUMBER(M1778),N(M1778)&lt;&gt;0,W1778=0),"Tax ignored (tax tracking off, or not allowed for this type)",IF(V1778=K1778&amp;"","Same account on both sides",IF(AND(ISNUMBER(StartDate),C1778&lt;StartDate),"Date is before the accounting start date",IF(AND(D1778&lt;&gt;"Adjustment",IFERROR(INDEX(coa_Pay,MATCH(K1778&amp;"",coa_Name,0)),"")&lt;&gt;"Yes"),"Paid From / Deposited To is not a payment account","")))))))))))</f>
        <v/>
      </c>
      <c r="Z1778" s="67">
        <f>IF(AND(T1778=0,X1778=""),1,0)</f>
        <v/>
      </c>
      <c r="AA1778" s="68">
        <f>IF(Z1778=1,IF(U1778="In",L1778,L1778-W1778),0)</f>
        <v/>
      </c>
      <c r="AB1778" s="68">
        <f>IF(Z1778=1,IF(U1778="In",L1778-W1778,L1778),0)</f>
        <v/>
      </c>
      <c r="AC1778" s="68">
        <f>IF(AND(Z1778=1,U1778="Out"),W1778,0)</f>
        <v/>
      </c>
      <c r="AD1778" s="68">
        <f>IF(AND(Z1778=1,U1778="In"),W1778,0)</f>
        <v/>
      </c>
    </row>
    <row r="1779">
      <c r="B1779" s="62" t="inlineStr">
        <is>
          <t>TX-1773</t>
        </is>
      </c>
      <c r="C1779" s="63" t="n"/>
      <c r="D1779" s="62" t="n"/>
      <c r="E1779" s="62" t="n"/>
      <c r="F1779" s="62" t="n"/>
      <c r="G1779" s="62" t="n"/>
      <c r="H1779" s="62" t="n"/>
      <c r="I1779" s="62" t="n"/>
      <c r="J1779" s="62" t="n"/>
      <c r="K1779" s="62" t="n"/>
      <c r="L1779" s="64" t="n"/>
      <c r="M1779" s="64" t="n"/>
      <c r="N1779" s="62" t="n"/>
      <c r="O1779" s="65">
        <f>IF(Z1779=1,L1779-W1779,"")</f>
        <v/>
      </c>
      <c r="P1779" s="66">
        <f>IF(V1779="","",IFERROR(INDEX(coa_Type,MATCH(V1779,coa_Name,0)),""))</f>
        <v/>
      </c>
      <c r="Q1779" s="66">
        <f>IF(Z1779=1,IF(U1779="In",K1779&amp;"",V1779),"")</f>
        <v/>
      </c>
      <c r="R1779" s="66">
        <f>IF(Z1779=1,IF(U1779="In",V1779,K1779&amp;""),"")</f>
        <v/>
      </c>
      <c r="S1779" s="66">
        <f>IF(X1779&lt;&gt;"","⛔ "&amp;X1779&amp;" — not posted",IF(Y1779&lt;&gt;"","⚠ "&amp;Y1779,IF(Z1779=1,"✓ OK","")))</f>
        <v/>
      </c>
      <c r="T1779" s="67">
        <f>IF(AND(C1779="",D1779="",E1779="",L1779="",K1779=""),1,0)</f>
        <v/>
      </c>
      <c r="U1779" s="67">
        <f>IFERROR(INDEX(tt_Dir,MATCH(D1779,tt_Type,0)),"")</f>
        <v/>
      </c>
      <c r="V1779" s="67">
        <f>IF(D1779="","",IFERROR(IF(INDEX(tt_Other,MATCH(D1779,tt_Type,0))="",E1779&amp;"",INDEX(tt_Other,MATCH(D1779,tt_Type,0))),""))</f>
        <v/>
      </c>
      <c r="W1779" s="68">
        <f>IF(OR(TaxOn&lt;&gt;"Yes",NOT(ISNUMBER(M1779))),0,IF(IFERROR(INDEX(tt_Tax,MATCH(D1779,tt_Type,0)),"No")="Yes",M1779,0))</f>
        <v/>
      </c>
      <c r="X1779" s="67">
        <f>IF(T1779=1,"",IF(C1779="","Missing transaction date",IF(NOT(ISNUMBER(C1779)),"Invalid date",IF(OR(C1779&lt;DATE(2000,1,1),C1779&gt;DATE(2099,12,31)),"Invalid date",IF(D1779="","Select a type",IF(U1779="","Unknown type: "&amp;D1779,IF(V1779="","Select an account (Category)",IF(ISNA(MATCH(V1779,coa_Name,0)),"Unknown account: "&amp;V1779,IF(K1779="","Select Paid From / Deposited To",IF(ISNA(MATCH(K1779,coa_Name,0)),"Unknown account: "&amp;K1779,IF(NOT(ISNUMBER(L1779)),"Enter an amount",IF(L1779=0,"Enter an amount",IF(ABS(W1779)&gt;ABS(L1779),"Tax is larger than the amount","")))))))))))))</f>
        <v/>
      </c>
      <c r="Y1779" s="67">
        <f>IF(OR(T1779=1,X1779&lt;&gt;""),"",IF(AND(B1779&lt;&gt;"",COUNTIF(tx_ID,B1779)&gt;1),"Duplicate transaction ID",IF(AND(L1779&lt;0,D1779&lt;&gt;"Adjustment"),"Negative amount — check this entry",IF(AND(D1779="Customer Payment",G1779=""),"Add the customer",IF(AND(D1779="Customer Payment",OR(J1779="",COUNTIF(ar_No,J1779&amp;"")=0)),"Invoice # in Reference not found on AR sheet",IF(AND(D1779="Bill Payment",H1779=""),"Add the vendor",IF(AND(D1779="Bill Payment",OR(J1779="",COUNTIFS(ap_No,J1779&amp;"",ap_Party,H1779&amp;"")=0)),"Bill # + vendor not found on AP sheet",IF(AND(ISNUMBER(M1779),N(M1779)&lt;&gt;0,W1779=0),"Tax ignored (tax tracking off, or not allowed for this type)",IF(V1779=K1779&amp;"","Same account on both sides",IF(AND(ISNUMBER(StartDate),C1779&lt;StartDate),"Date is before the accounting start date",IF(AND(D1779&lt;&gt;"Adjustment",IFERROR(INDEX(coa_Pay,MATCH(K1779&amp;"",coa_Name,0)),"")&lt;&gt;"Yes"),"Paid From / Deposited To is not a payment account","")))))))))))</f>
        <v/>
      </c>
      <c r="Z1779" s="67">
        <f>IF(AND(T1779=0,X1779=""),1,0)</f>
        <v/>
      </c>
      <c r="AA1779" s="68">
        <f>IF(Z1779=1,IF(U1779="In",L1779,L1779-W1779),0)</f>
        <v/>
      </c>
      <c r="AB1779" s="68">
        <f>IF(Z1779=1,IF(U1779="In",L1779-W1779,L1779),0)</f>
        <v/>
      </c>
      <c r="AC1779" s="68">
        <f>IF(AND(Z1779=1,U1779="Out"),W1779,0)</f>
        <v/>
      </c>
      <c r="AD1779" s="68">
        <f>IF(AND(Z1779=1,U1779="In"),W1779,0)</f>
        <v/>
      </c>
    </row>
    <row r="1780">
      <c r="B1780" s="62" t="inlineStr">
        <is>
          <t>TX-1774</t>
        </is>
      </c>
      <c r="C1780" s="63" t="n"/>
      <c r="D1780" s="62" t="n"/>
      <c r="E1780" s="62" t="n"/>
      <c r="F1780" s="62" t="n"/>
      <c r="G1780" s="62" t="n"/>
      <c r="H1780" s="62" t="n"/>
      <c r="I1780" s="62" t="n"/>
      <c r="J1780" s="62" t="n"/>
      <c r="K1780" s="62" t="n"/>
      <c r="L1780" s="64" t="n"/>
      <c r="M1780" s="64" t="n"/>
      <c r="N1780" s="62" t="n"/>
      <c r="O1780" s="65">
        <f>IF(Z1780=1,L1780-W1780,"")</f>
        <v/>
      </c>
      <c r="P1780" s="66">
        <f>IF(V1780="","",IFERROR(INDEX(coa_Type,MATCH(V1780,coa_Name,0)),""))</f>
        <v/>
      </c>
      <c r="Q1780" s="66">
        <f>IF(Z1780=1,IF(U1780="In",K1780&amp;"",V1780),"")</f>
        <v/>
      </c>
      <c r="R1780" s="66">
        <f>IF(Z1780=1,IF(U1780="In",V1780,K1780&amp;""),"")</f>
        <v/>
      </c>
      <c r="S1780" s="66">
        <f>IF(X1780&lt;&gt;"","⛔ "&amp;X1780&amp;" — not posted",IF(Y1780&lt;&gt;"","⚠ "&amp;Y1780,IF(Z1780=1,"✓ OK","")))</f>
        <v/>
      </c>
      <c r="T1780" s="67">
        <f>IF(AND(C1780="",D1780="",E1780="",L1780="",K1780=""),1,0)</f>
        <v/>
      </c>
      <c r="U1780" s="67">
        <f>IFERROR(INDEX(tt_Dir,MATCH(D1780,tt_Type,0)),"")</f>
        <v/>
      </c>
      <c r="V1780" s="67">
        <f>IF(D1780="","",IFERROR(IF(INDEX(tt_Other,MATCH(D1780,tt_Type,0))="",E1780&amp;"",INDEX(tt_Other,MATCH(D1780,tt_Type,0))),""))</f>
        <v/>
      </c>
      <c r="W1780" s="68">
        <f>IF(OR(TaxOn&lt;&gt;"Yes",NOT(ISNUMBER(M1780))),0,IF(IFERROR(INDEX(tt_Tax,MATCH(D1780,tt_Type,0)),"No")="Yes",M1780,0))</f>
        <v/>
      </c>
      <c r="X1780" s="67">
        <f>IF(T1780=1,"",IF(C1780="","Missing transaction date",IF(NOT(ISNUMBER(C1780)),"Invalid date",IF(OR(C1780&lt;DATE(2000,1,1),C1780&gt;DATE(2099,12,31)),"Invalid date",IF(D1780="","Select a type",IF(U1780="","Unknown type: "&amp;D1780,IF(V1780="","Select an account (Category)",IF(ISNA(MATCH(V1780,coa_Name,0)),"Unknown account: "&amp;V1780,IF(K1780="","Select Paid From / Deposited To",IF(ISNA(MATCH(K1780,coa_Name,0)),"Unknown account: "&amp;K1780,IF(NOT(ISNUMBER(L1780)),"Enter an amount",IF(L1780=0,"Enter an amount",IF(ABS(W1780)&gt;ABS(L1780),"Tax is larger than the amount","")))))))))))))</f>
        <v/>
      </c>
      <c r="Y1780" s="67">
        <f>IF(OR(T1780=1,X1780&lt;&gt;""),"",IF(AND(B1780&lt;&gt;"",COUNTIF(tx_ID,B1780)&gt;1),"Duplicate transaction ID",IF(AND(L1780&lt;0,D1780&lt;&gt;"Adjustment"),"Negative amount — check this entry",IF(AND(D1780="Customer Payment",G1780=""),"Add the customer",IF(AND(D1780="Customer Payment",OR(J1780="",COUNTIF(ar_No,J1780&amp;"")=0)),"Invoice # in Reference not found on AR sheet",IF(AND(D1780="Bill Payment",H1780=""),"Add the vendor",IF(AND(D1780="Bill Payment",OR(J1780="",COUNTIFS(ap_No,J1780&amp;"",ap_Party,H1780&amp;"")=0)),"Bill # + vendor not found on AP sheet",IF(AND(ISNUMBER(M1780),N(M1780)&lt;&gt;0,W1780=0),"Tax ignored (tax tracking off, or not allowed for this type)",IF(V1780=K1780&amp;"","Same account on both sides",IF(AND(ISNUMBER(StartDate),C1780&lt;StartDate),"Date is before the accounting start date",IF(AND(D1780&lt;&gt;"Adjustment",IFERROR(INDEX(coa_Pay,MATCH(K1780&amp;"",coa_Name,0)),"")&lt;&gt;"Yes"),"Paid From / Deposited To is not a payment account","")))))))))))</f>
        <v/>
      </c>
      <c r="Z1780" s="67">
        <f>IF(AND(T1780=0,X1780=""),1,0)</f>
        <v/>
      </c>
      <c r="AA1780" s="68">
        <f>IF(Z1780=1,IF(U1780="In",L1780,L1780-W1780),0)</f>
        <v/>
      </c>
      <c r="AB1780" s="68">
        <f>IF(Z1780=1,IF(U1780="In",L1780-W1780,L1780),0)</f>
        <v/>
      </c>
      <c r="AC1780" s="68">
        <f>IF(AND(Z1780=1,U1780="Out"),W1780,0)</f>
        <v/>
      </c>
      <c r="AD1780" s="68">
        <f>IF(AND(Z1780=1,U1780="In"),W1780,0)</f>
        <v/>
      </c>
    </row>
    <row r="1781">
      <c r="B1781" s="62" t="inlineStr">
        <is>
          <t>TX-1775</t>
        </is>
      </c>
      <c r="C1781" s="63" t="n"/>
      <c r="D1781" s="62" t="n"/>
      <c r="E1781" s="62" t="n"/>
      <c r="F1781" s="62" t="n"/>
      <c r="G1781" s="62" t="n"/>
      <c r="H1781" s="62" t="n"/>
      <c r="I1781" s="62" t="n"/>
      <c r="J1781" s="62" t="n"/>
      <c r="K1781" s="62" t="n"/>
      <c r="L1781" s="64" t="n"/>
      <c r="M1781" s="64" t="n"/>
      <c r="N1781" s="62" t="n"/>
      <c r="O1781" s="65">
        <f>IF(Z1781=1,L1781-W1781,"")</f>
        <v/>
      </c>
      <c r="P1781" s="66">
        <f>IF(V1781="","",IFERROR(INDEX(coa_Type,MATCH(V1781,coa_Name,0)),""))</f>
        <v/>
      </c>
      <c r="Q1781" s="66">
        <f>IF(Z1781=1,IF(U1781="In",K1781&amp;"",V1781),"")</f>
        <v/>
      </c>
      <c r="R1781" s="66">
        <f>IF(Z1781=1,IF(U1781="In",V1781,K1781&amp;""),"")</f>
        <v/>
      </c>
      <c r="S1781" s="66">
        <f>IF(X1781&lt;&gt;"","⛔ "&amp;X1781&amp;" — not posted",IF(Y1781&lt;&gt;"","⚠ "&amp;Y1781,IF(Z1781=1,"✓ OK","")))</f>
        <v/>
      </c>
      <c r="T1781" s="67">
        <f>IF(AND(C1781="",D1781="",E1781="",L1781="",K1781=""),1,0)</f>
        <v/>
      </c>
      <c r="U1781" s="67">
        <f>IFERROR(INDEX(tt_Dir,MATCH(D1781,tt_Type,0)),"")</f>
        <v/>
      </c>
      <c r="V1781" s="67">
        <f>IF(D1781="","",IFERROR(IF(INDEX(tt_Other,MATCH(D1781,tt_Type,0))="",E1781&amp;"",INDEX(tt_Other,MATCH(D1781,tt_Type,0))),""))</f>
        <v/>
      </c>
      <c r="W1781" s="68">
        <f>IF(OR(TaxOn&lt;&gt;"Yes",NOT(ISNUMBER(M1781))),0,IF(IFERROR(INDEX(tt_Tax,MATCH(D1781,tt_Type,0)),"No")="Yes",M1781,0))</f>
        <v/>
      </c>
      <c r="X1781" s="67">
        <f>IF(T1781=1,"",IF(C1781="","Missing transaction date",IF(NOT(ISNUMBER(C1781)),"Invalid date",IF(OR(C1781&lt;DATE(2000,1,1),C1781&gt;DATE(2099,12,31)),"Invalid date",IF(D1781="","Select a type",IF(U1781="","Unknown type: "&amp;D1781,IF(V1781="","Select an account (Category)",IF(ISNA(MATCH(V1781,coa_Name,0)),"Unknown account: "&amp;V1781,IF(K1781="","Select Paid From / Deposited To",IF(ISNA(MATCH(K1781,coa_Name,0)),"Unknown account: "&amp;K1781,IF(NOT(ISNUMBER(L1781)),"Enter an amount",IF(L1781=0,"Enter an amount",IF(ABS(W1781)&gt;ABS(L1781),"Tax is larger than the amount","")))))))))))))</f>
        <v/>
      </c>
      <c r="Y1781" s="67">
        <f>IF(OR(T1781=1,X1781&lt;&gt;""),"",IF(AND(B1781&lt;&gt;"",COUNTIF(tx_ID,B1781)&gt;1),"Duplicate transaction ID",IF(AND(L1781&lt;0,D1781&lt;&gt;"Adjustment"),"Negative amount — check this entry",IF(AND(D1781="Customer Payment",G1781=""),"Add the customer",IF(AND(D1781="Customer Payment",OR(J1781="",COUNTIF(ar_No,J1781&amp;"")=0)),"Invoice # in Reference not found on AR sheet",IF(AND(D1781="Bill Payment",H1781=""),"Add the vendor",IF(AND(D1781="Bill Payment",OR(J1781="",COUNTIFS(ap_No,J1781&amp;"",ap_Party,H1781&amp;"")=0)),"Bill # + vendor not found on AP sheet",IF(AND(ISNUMBER(M1781),N(M1781)&lt;&gt;0,W1781=0),"Tax ignored (tax tracking off, or not allowed for this type)",IF(V1781=K1781&amp;"","Same account on both sides",IF(AND(ISNUMBER(StartDate),C1781&lt;StartDate),"Date is before the accounting start date",IF(AND(D1781&lt;&gt;"Adjustment",IFERROR(INDEX(coa_Pay,MATCH(K1781&amp;"",coa_Name,0)),"")&lt;&gt;"Yes"),"Paid From / Deposited To is not a payment account","")))))))))))</f>
        <v/>
      </c>
      <c r="Z1781" s="67">
        <f>IF(AND(T1781=0,X1781=""),1,0)</f>
        <v/>
      </c>
      <c r="AA1781" s="68">
        <f>IF(Z1781=1,IF(U1781="In",L1781,L1781-W1781),0)</f>
        <v/>
      </c>
      <c r="AB1781" s="68">
        <f>IF(Z1781=1,IF(U1781="In",L1781-W1781,L1781),0)</f>
        <v/>
      </c>
      <c r="AC1781" s="68">
        <f>IF(AND(Z1781=1,U1781="Out"),W1781,0)</f>
        <v/>
      </c>
      <c r="AD1781" s="68">
        <f>IF(AND(Z1781=1,U1781="In"),W1781,0)</f>
        <v/>
      </c>
    </row>
    <row r="1782">
      <c r="B1782" s="62" t="inlineStr">
        <is>
          <t>TX-1776</t>
        </is>
      </c>
      <c r="C1782" s="63" t="n"/>
      <c r="D1782" s="62" t="n"/>
      <c r="E1782" s="62" t="n"/>
      <c r="F1782" s="62" t="n"/>
      <c r="G1782" s="62" t="n"/>
      <c r="H1782" s="62" t="n"/>
      <c r="I1782" s="62" t="n"/>
      <c r="J1782" s="62" t="n"/>
      <c r="K1782" s="62" t="n"/>
      <c r="L1782" s="64" t="n"/>
      <c r="M1782" s="64" t="n"/>
      <c r="N1782" s="62" t="n"/>
      <c r="O1782" s="65">
        <f>IF(Z1782=1,L1782-W1782,"")</f>
        <v/>
      </c>
      <c r="P1782" s="66">
        <f>IF(V1782="","",IFERROR(INDEX(coa_Type,MATCH(V1782,coa_Name,0)),""))</f>
        <v/>
      </c>
      <c r="Q1782" s="66">
        <f>IF(Z1782=1,IF(U1782="In",K1782&amp;"",V1782),"")</f>
        <v/>
      </c>
      <c r="R1782" s="66">
        <f>IF(Z1782=1,IF(U1782="In",V1782,K1782&amp;""),"")</f>
        <v/>
      </c>
      <c r="S1782" s="66">
        <f>IF(X1782&lt;&gt;"","⛔ "&amp;X1782&amp;" — not posted",IF(Y1782&lt;&gt;"","⚠ "&amp;Y1782,IF(Z1782=1,"✓ OK","")))</f>
        <v/>
      </c>
      <c r="T1782" s="67">
        <f>IF(AND(C1782="",D1782="",E1782="",L1782="",K1782=""),1,0)</f>
        <v/>
      </c>
      <c r="U1782" s="67">
        <f>IFERROR(INDEX(tt_Dir,MATCH(D1782,tt_Type,0)),"")</f>
        <v/>
      </c>
      <c r="V1782" s="67">
        <f>IF(D1782="","",IFERROR(IF(INDEX(tt_Other,MATCH(D1782,tt_Type,0))="",E1782&amp;"",INDEX(tt_Other,MATCH(D1782,tt_Type,0))),""))</f>
        <v/>
      </c>
      <c r="W1782" s="68">
        <f>IF(OR(TaxOn&lt;&gt;"Yes",NOT(ISNUMBER(M1782))),0,IF(IFERROR(INDEX(tt_Tax,MATCH(D1782,tt_Type,0)),"No")="Yes",M1782,0))</f>
        <v/>
      </c>
      <c r="X1782" s="67">
        <f>IF(T1782=1,"",IF(C1782="","Missing transaction date",IF(NOT(ISNUMBER(C1782)),"Invalid date",IF(OR(C1782&lt;DATE(2000,1,1),C1782&gt;DATE(2099,12,31)),"Invalid date",IF(D1782="","Select a type",IF(U1782="","Unknown type: "&amp;D1782,IF(V1782="","Select an account (Category)",IF(ISNA(MATCH(V1782,coa_Name,0)),"Unknown account: "&amp;V1782,IF(K1782="","Select Paid From / Deposited To",IF(ISNA(MATCH(K1782,coa_Name,0)),"Unknown account: "&amp;K1782,IF(NOT(ISNUMBER(L1782)),"Enter an amount",IF(L1782=0,"Enter an amount",IF(ABS(W1782)&gt;ABS(L1782),"Tax is larger than the amount","")))))))))))))</f>
        <v/>
      </c>
      <c r="Y1782" s="67">
        <f>IF(OR(T1782=1,X1782&lt;&gt;""),"",IF(AND(B1782&lt;&gt;"",COUNTIF(tx_ID,B1782)&gt;1),"Duplicate transaction ID",IF(AND(L1782&lt;0,D1782&lt;&gt;"Adjustment"),"Negative amount — check this entry",IF(AND(D1782="Customer Payment",G1782=""),"Add the customer",IF(AND(D1782="Customer Payment",OR(J1782="",COUNTIF(ar_No,J1782&amp;"")=0)),"Invoice # in Reference not found on AR sheet",IF(AND(D1782="Bill Payment",H1782=""),"Add the vendor",IF(AND(D1782="Bill Payment",OR(J1782="",COUNTIFS(ap_No,J1782&amp;"",ap_Party,H1782&amp;"")=0)),"Bill # + vendor not found on AP sheet",IF(AND(ISNUMBER(M1782),N(M1782)&lt;&gt;0,W1782=0),"Tax ignored (tax tracking off, or not allowed for this type)",IF(V1782=K1782&amp;"","Same account on both sides",IF(AND(ISNUMBER(StartDate),C1782&lt;StartDate),"Date is before the accounting start date",IF(AND(D1782&lt;&gt;"Adjustment",IFERROR(INDEX(coa_Pay,MATCH(K1782&amp;"",coa_Name,0)),"")&lt;&gt;"Yes"),"Paid From / Deposited To is not a payment account","")))))))))))</f>
        <v/>
      </c>
      <c r="Z1782" s="67">
        <f>IF(AND(T1782=0,X1782=""),1,0)</f>
        <v/>
      </c>
      <c r="AA1782" s="68">
        <f>IF(Z1782=1,IF(U1782="In",L1782,L1782-W1782),0)</f>
        <v/>
      </c>
      <c r="AB1782" s="68">
        <f>IF(Z1782=1,IF(U1782="In",L1782-W1782,L1782),0)</f>
        <v/>
      </c>
      <c r="AC1782" s="68">
        <f>IF(AND(Z1782=1,U1782="Out"),W1782,0)</f>
        <v/>
      </c>
      <c r="AD1782" s="68">
        <f>IF(AND(Z1782=1,U1782="In"),W1782,0)</f>
        <v/>
      </c>
    </row>
    <row r="1783">
      <c r="B1783" s="62" t="inlineStr">
        <is>
          <t>TX-1777</t>
        </is>
      </c>
      <c r="C1783" s="63" t="n"/>
      <c r="D1783" s="62" t="n"/>
      <c r="E1783" s="62" t="n"/>
      <c r="F1783" s="62" t="n"/>
      <c r="G1783" s="62" t="n"/>
      <c r="H1783" s="62" t="n"/>
      <c r="I1783" s="62" t="n"/>
      <c r="J1783" s="62" t="n"/>
      <c r="K1783" s="62" t="n"/>
      <c r="L1783" s="64" t="n"/>
      <c r="M1783" s="64" t="n"/>
      <c r="N1783" s="62" t="n"/>
      <c r="O1783" s="65">
        <f>IF(Z1783=1,L1783-W1783,"")</f>
        <v/>
      </c>
      <c r="P1783" s="66">
        <f>IF(V1783="","",IFERROR(INDEX(coa_Type,MATCH(V1783,coa_Name,0)),""))</f>
        <v/>
      </c>
      <c r="Q1783" s="66">
        <f>IF(Z1783=1,IF(U1783="In",K1783&amp;"",V1783),"")</f>
        <v/>
      </c>
      <c r="R1783" s="66">
        <f>IF(Z1783=1,IF(U1783="In",V1783,K1783&amp;""),"")</f>
        <v/>
      </c>
      <c r="S1783" s="66">
        <f>IF(X1783&lt;&gt;"","⛔ "&amp;X1783&amp;" — not posted",IF(Y1783&lt;&gt;"","⚠ "&amp;Y1783,IF(Z1783=1,"✓ OK","")))</f>
        <v/>
      </c>
      <c r="T1783" s="67">
        <f>IF(AND(C1783="",D1783="",E1783="",L1783="",K1783=""),1,0)</f>
        <v/>
      </c>
      <c r="U1783" s="67">
        <f>IFERROR(INDEX(tt_Dir,MATCH(D1783,tt_Type,0)),"")</f>
        <v/>
      </c>
      <c r="V1783" s="67">
        <f>IF(D1783="","",IFERROR(IF(INDEX(tt_Other,MATCH(D1783,tt_Type,0))="",E1783&amp;"",INDEX(tt_Other,MATCH(D1783,tt_Type,0))),""))</f>
        <v/>
      </c>
      <c r="W1783" s="68">
        <f>IF(OR(TaxOn&lt;&gt;"Yes",NOT(ISNUMBER(M1783))),0,IF(IFERROR(INDEX(tt_Tax,MATCH(D1783,tt_Type,0)),"No")="Yes",M1783,0))</f>
        <v/>
      </c>
      <c r="X1783" s="67">
        <f>IF(T1783=1,"",IF(C1783="","Missing transaction date",IF(NOT(ISNUMBER(C1783)),"Invalid date",IF(OR(C1783&lt;DATE(2000,1,1),C1783&gt;DATE(2099,12,31)),"Invalid date",IF(D1783="","Select a type",IF(U1783="","Unknown type: "&amp;D1783,IF(V1783="","Select an account (Category)",IF(ISNA(MATCH(V1783,coa_Name,0)),"Unknown account: "&amp;V1783,IF(K1783="","Select Paid From / Deposited To",IF(ISNA(MATCH(K1783,coa_Name,0)),"Unknown account: "&amp;K1783,IF(NOT(ISNUMBER(L1783)),"Enter an amount",IF(L1783=0,"Enter an amount",IF(ABS(W1783)&gt;ABS(L1783),"Tax is larger than the amount","")))))))))))))</f>
        <v/>
      </c>
      <c r="Y1783" s="67">
        <f>IF(OR(T1783=1,X1783&lt;&gt;""),"",IF(AND(B1783&lt;&gt;"",COUNTIF(tx_ID,B1783)&gt;1),"Duplicate transaction ID",IF(AND(L1783&lt;0,D1783&lt;&gt;"Adjustment"),"Negative amount — check this entry",IF(AND(D1783="Customer Payment",G1783=""),"Add the customer",IF(AND(D1783="Customer Payment",OR(J1783="",COUNTIF(ar_No,J1783&amp;"")=0)),"Invoice # in Reference not found on AR sheet",IF(AND(D1783="Bill Payment",H1783=""),"Add the vendor",IF(AND(D1783="Bill Payment",OR(J1783="",COUNTIFS(ap_No,J1783&amp;"",ap_Party,H1783&amp;"")=0)),"Bill # + vendor not found on AP sheet",IF(AND(ISNUMBER(M1783),N(M1783)&lt;&gt;0,W1783=0),"Tax ignored (tax tracking off, or not allowed for this type)",IF(V1783=K1783&amp;"","Same account on both sides",IF(AND(ISNUMBER(StartDate),C1783&lt;StartDate),"Date is before the accounting start date",IF(AND(D1783&lt;&gt;"Adjustment",IFERROR(INDEX(coa_Pay,MATCH(K1783&amp;"",coa_Name,0)),"")&lt;&gt;"Yes"),"Paid From / Deposited To is not a payment account","")))))))))))</f>
        <v/>
      </c>
      <c r="Z1783" s="67">
        <f>IF(AND(T1783=0,X1783=""),1,0)</f>
        <v/>
      </c>
      <c r="AA1783" s="68">
        <f>IF(Z1783=1,IF(U1783="In",L1783,L1783-W1783),0)</f>
        <v/>
      </c>
      <c r="AB1783" s="68">
        <f>IF(Z1783=1,IF(U1783="In",L1783-W1783,L1783),0)</f>
        <v/>
      </c>
      <c r="AC1783" s="68">
        <f>IF(AND(Z1783=1,U1783="Out"),W1783,0)</f>
        <v/>
      </c>
      <c r="AD1783" s="68">
        <f>IF(AND(Z1783=1,U1783="In"),W1783,0)</f>
        <v/>
      </c>
    </row>
    <row r="1784">
      <c r="B1784" s="62" t="inlineStr">
        <is>
          <t>TX-1778</t>
        </is>
      </c>
      <c r="C1784" s="63" t="n"/>
      <c r="D1784" s="62" t="n"/>
      <c r="E1784" s="62" t="n"/>
      <c r="F1784" s="62" t="n"/>
      <c r="G1784" s="62" t="n"/>
      <c r="H1784" s="62" t="n"/>
      <c r="I1784" s="62" t="n"/>
      <c r="J1784" s="62" t="n"/>
      <c r="K1784" s="62" t="n"/>
      <c r="L1784" s="64" t="n"/>
      <c r="M1784" s="64" t="n"/>
      <c r="N1784" s="62" t="n"/>
      <c r="O1784" s="65">
        <f>IF(Z1784=1,L1784-W1784,"")</f>
        <v/>
      </c>
      <c r="P1784" s="66">
        <f>IF(V1784="","",IFERROR(INDEX(coa_Type,MATCH(V1784,coa_Name,0)),""))</f>
        <v/>
      </c>
      <c r="Q1784" s="66">
        <f>IF(Z1784=1,IF(U1784="In",K1784&amp;"",V1784),"")</f>
        <v/>
      </c>
      <c r="R1784" s="66">
        <f>IF(Z1784=1,IF(U1784="In",V1784,K1784&amp;""),"")</f>
        <v/>
      </c>
      <c r="S1784" s="66">
        <f>IF(X1784&lt;&gt;"","⛔ "&amp;X1784&amp;" — not posted",IF(Y1784&lt;&gt;"","⚠ "&amp;Y1784,IF(Z1784=1,"✓ OK","")))</f>
        <v/>
      </c>
      <c r="T1784" s="67">
        <f>IF(AND(C1784="",D1784="",E1784="",L1784="",K1784=""),1,0)</f>
        <v/>
      </c>
      <c r="U1784" s="67">
        <f>IFERROR(INDEX(tt_Dir,MATCH(D1784,tt_Type,0)),"")</f>
        <v/>
      </c>
      <c r="V1784" s="67">
        <f>IF(D1784="","",IFERROR(IF(INDEX(tt_Other,MATCH(D1784,tt_Type,0))="",E1784&amp;"",INDEX(tt_Other,MATCH(D1784,tt_Type,0))),""))</f>
        <v/>
      </c>
      <c r="W1784" s="68">
        <f>IF(OR(TaxOn&lt;&gt;"Yes",NOT(ISNUMBER(M1784))),0,IF(IFERROR(INDEX(tt_Tax,MATCH(D1784,tt_Type,0)),"No")="Yes",M1784,0))</f>
        <v/>
      </c>
      <c r="X1784" s="67">
        <f>IF(T1784=1,"",IF(C1784="","Missing transaction date",IF(NOT(ISNUMBER(C1784)),"Invalid date",IF(OR(C1784&lt;DATE(2000,1,1),C1784&gt;DATE(2099,12,31)),"Invalid date",IF(D1784="","Select a type",IF(U1784="","Unknown type: "&amp;D1784,IF(V1784="","Select an account (Category)",IF(ISNA(MATCH(V1784,coa_Name,0)),"Unknown account: "&amp;V1784,IF(K1784="","Select Paid From / Deposited To",IF(ISNA(MATCH(K1784,coa_Name,0)),"Unknown account: "&amp;K1784,IF(NOT(ISNUMBER(L1784)),"Enter an amount",IF(L1784=0,"Enter an amount",IF(ABS(W1784)&gt;ABS(L1784),"Tax is larger than the amount","")))))))))))))</f>
        <v/>
      </c>
      <c r="Y1784" s="67">
        <f>IF(OR(T1784=1,X1784&lt;&gt;""),"",IF(AND(B1784&lt;&gt;"",COUNTIF(tx_ID,B1784)&gt;1),"Duplicate transaction ID",IF(AND(L1784&lt;0,D1784&lt;&gt;"Adjustment"),"Negative amount — check this entry",IF(AND(D1784="Customer Payment",G1784=""),"Add the customer",IF(AND(D1784="Customer Payment",OR(J1784="",COUNTIF(ar_No,J1784&amp;"")=0)),"Invoice # in Reference not found on AR sheet",IF(AND(D1784="Bill Payment",H1784=""),"Add the vendor",IF(AND(D1784="Bill Payment",OR(J1784="",COUNTIFS(ap_No,J1784&amp;"",ap_Party,H1784&amp;"")=0)),"Bill # + vendor not found on AP sheet",IF(AND(ISNUMBER(M1784),N(M1784)&lt;&gt;0,W1784=0),"Tax ignored (tax tracking off, or not allowed for this type)",IF(V1784=K1784&amp;"","Same account on both sides",IF(AND(ISNUMBER(StartDate),C1784&lt;StartDate),"Date is before the accounting start date",IF(AND(D1784&lt;&gt;"Adjustment",IFERROR(INDEX(coa_Pay,MATCH(K1784&amp;"",coa_Name,0)),"")&lt;&gt;"Yes"),"Paid From / Deposited To is not a payment account","")))))))))))</f>
        <v/>
      </c>
      <c r="Z1784" s="67">
        <f>IF(AND(T1784=0,X1784=""),1,0)</f>
        <v/>
      </c>
      <c r="AA1784" s="68">
        <f>IF(Z1784=1,IF(U1784="In",L1784,L1784-W1784),0)</f>
        <v/>
      </c>
      <c r="AB1784" s="68">
        <f>IF(Z1784=1,IF(U1784="In",L1784-W1784,L1784),0)</f>
        <v/>
      </c>
      <c r="AC1784" s="68">
        <f>IF(AND(Z1784=1,U1784="Out"),W1784,0)</f>
        <v/>
      </c>
      <c r="AD1784" s="68">
        <f>IF(AND(Z1784=1,U1784="In"),W1784,0)</f>
        <v/>
      </c>
    </row>
    <row r="1785">
      <c r="B1785" s="62" t="inlineStr">
        <is>
          <t>TX-1779</t>
        </is>
      </c>
      <c r="C1785" s="63" t="n"/>
      <c r="D1785" s="62" t="n"/>
      <c r="E1785" s="62" t="n"/>
      <c r="F1785" s="62" t="n"/>
      <c r="G1785" s="62" t="n"/>
      <c r="H1785" s="62" t="n"/>
      <c r="I1785" s="62" t="n"/>
      <c r="J1785" s="62" t="n"/>
      <c r="K1785" s="62" t="n"/>
      <c r="L1785" s="64" t="n"/>
      <c r="M1785" s="64" t="n"/>
      <c r="N1785" s="62" t="n"/>
      <c r="O1785" s="65">
        <f>IF(Z1785=1,L1785-W1785,"")</f>
        <v/>
      </c>
      <c r="P1785" s="66">
        <f>IF(V1785="","",IFERROR(INDEX(coa_Type,MATCH(V1785,coa_Name,0)),""))</f>
        <v/>
      </c>
      <c r="Q1785" s="66">
        <f>IF(Z1785=1,IF(U1785="In",K1785&amp;"",V1785),"")</f>
        <v/>
      </c>
      <c r="R1785" s="66">
        <f>IF(Z1785=1,IF(U1785="In",V1785,K1785&amp;""),"")</f>
        <v/>
      </c>
      <c r="S1785" s="66">
        <f>IF(X1785&lt;&gt;"","⛔ "&amp;X1785&amp;" — not posted",IF(Y1785&lt;&gt;"","⚠ "&amp;Y1785,IF(Z1785=1,"✓ OK","")))</f>
        <v/>
      </c>
      <c r="T1785" s="67">
        <f>IF(AND(C1785="",D1785="",E1785="",L1785="",K1785=""),1,0)</f>
        <v/>
      </c>
      <c r="U1785" s="67">
        <f>IFERROR(INDEX(tt_Dir,MATCH(D1785,tt_Type,0)),"")</f>
        <v/>
      </c>
      <c r="V1785" s="67">
        <f>IF(D1785="","",IFERROR(IF(INDEX(tt_Other,MATCH(D1785,tt_Type,0))="",E1785&amp;"",INDEX(tt_Other,MATCH(D1785,tt_Type,0))),""))</f>
        <v/>
      </c>
      <c r="W1785" s="68">
        <f>IF(OR(TaxOn&lt;&gt;"Yes",NOT(ISNUMBER(M1785))),0,IF(IFERROR(INDEX(tt_Tax,MATCH(D1785,tt_Type,0)),"No")="Yes",M1785,0))</f>
        <v/>
      </c>
      <c r="X1785" s="67">
        <f>IF(T1785=1,"",IF(C1785="","Missing transaction date",IF(NOT(ISNUMBER(C1785)),"Invalid date",IF(OR(C1785&lt;DATE(2000,1,1),C1785&gt;DATE(2099,12,31)),"Invalid date",IF(D1785="","Select a type",IF(U1785="","Unknown type: "&amp;D1785,IF(V1785="","Select an account (Category)",IF(ISNA(MATCH(V1785,coa_Name,0)),"Unknown account: "&amp;V1785,IF(K1785="","Select Paid From / Deposited To",IF(ISNA(MATCH(K1785,coa_Name,0)),"Unknown account: "&amp;K1785,IF(NOT(ISNUMBER(L1785)),"Enter an amount",IF(L1785=0,"Enter an amount",IF(ABS(W1785)&gt;ABS(L1785),"Tax is larger than the amount","")))))))))))))</f>
        <v/>
      </c>
      <c r="Y1785" s="67">
        <f>IF(OR(T1785=1,X1785&lt;&gt;""),"",IF(AND(B1785&lt;&gt;"",COUNTIF(tx_ID,B1785)&gt;1),"Duplicate transaction ID",IF(AND(L1785&lt;0,D1785&lt;&gt;"Adjustment"),"Negative amount — check this entry",IF(AND(D1785="Customer Payment",G1785=""),"Add the customer",IF(AND(D1785="Customer Payment",OR(J1785="",COUNTIF(ar_No,J1785&amp;"")=0)),"Invoice # in Reference not found on AR sheet",IF(AND(D1785="Bill Payment",H1785=""),"Add the vendor",IF(AND(D1785="Bill Payment",OR(J1785="",COUNTIFS(ap_No,J1785&amp;"",ap_Party,H1785&amp;"")=0)),"Bill # + vendor not found on AP sheet",IF(AND(ISNUMBER(M1785),N(M1785)&lt;&gt;0,W1785=0),"Tax ignored (tax tracking off, or not allowed for this type)",IF(V1785=K1785&amp;"","Same account on both sides",IF(AND(ISNUMBER(StartDate),C1785&lt;StartDate),"Date is before the accounting start date",IF(AND(D1785&lt;&gt;"Adjustment",IFERROR(INDEX(coa_Pay,MATCH(K1785&amp;"",coa_Name,0)),"")&lt;&gt;"Yes"),"Paid From / Deposited To is not a payment account","")))))))))))</f>
        <v/>
      </c>
      <c r="Z1785" s="67">
        <f>IF(AND(T1785=0,X1785=""),1,0)</f>
        <v/>
      </c>
      <c r="AA1785" s="68">
        <f>IF(Z1785=1,IF(U1785="In",L1785,L1785-W1785),0)</f>
        <v/>
      </c>
      <c r="AB1785" s="68">
        <f>IF(Z1785=1,IF(U1785="In",L1785-W1785,L1785),0)</f>
        <v/>
      </c>
      <c r="AC1785" s="68">
        <f>IF(AND(Z1785=1,U1785="Out"),W1785,0)</f>
        <v/>
      </c>
      <c r="AD1785" s="68">
        <f>IF(AND(Z1785=1,U1785="In"),W1785,0)</f>
        <v/>
      </c>
    </row>
    <row r="1786">
      <c r="B1786" s="62" t="inlineStr">
        <is>
          <t>TX-1780</t>
        </is>
      </c>
      <c r="C1786" s="63" t="n"/>
      <c r="D1786" s="62" t="n"/>
      <c r="E1786" s="62" t="n"/>
      <c r="F1786" s="62" t="n"/>
      <c r="G1786" s="62" t="n"/>
      <c r="H1786" s="62" t="n"/>
      <c r="I1786" s="62" t="n"/>
      <c r="J1786" s="62" t="n"/>
      <c r="K1786" s="62" t="n"/>
      <c r="L1786" s="64" t="n"/>
      <c r="M1786" s="64" t="n"/>
      <c r="N1786" s="62" t="n"/>
      <c r="O1786" s="65">
        <f>IF(Z1786=1,L1786-W1786,"")</f>
        <v/>
      </c>
      <c r="P1786" s="66">
        <f>IF(V1786="","",IFERROR(INDEX(coa_Type,MATCH(V1786,coa_Name,0)),""))</f>
        <v/>
      </c>
      <c r="Q1786" s="66">
        <f>IF(Z1786=1,IF(U1786="In",K1786&amp;"",V1786),"")</f>
        <v/>
      </c>
      <c r="R1786" s="66">
        <f>IF(Z1786=1,IF(U1786="In",V1786,K1786&amp;""),"")</f>
        <v/>
      </c>
      <c r="S1786" s="66">
        <f>IF(X1786&lt;&gt;"","⛔ "&amp;X1786&amp;" — not posted",IF(Y1786&lt;&gt;"","⚠ "&amp;Y1786,IF(Z1786=1,"✓ OK","")))</f>
        <v/>
      </c>
      <c r="T1786" s="67">
        <f>IF(AND(C1786="",D1786="",E1786="",L1786="",K1786=""),1,0)</f>
        <v/>
      </c>
      <c r="U1786" s="67">
        <f>IFERROR(INDEX(tt_Dir,MATCH(D1786,tt_Type,0)),"")</f>
        <v/>
      </c>
      <c r="V1786" s="67">
        <f>IF(D1786="","",IFERROR(IF(INDEX(tt_Other,MATCH(D1786,tt_Type,0))="",E1786&amp;"",INDEX(tt_Other,MATCH(D1786,tt_Type,0))),""))</f>
        <v/>
      </c>
      <c r="W1786" s="68">
        <f>IF(OR(TaxOn&lt;&gt;"Yes",NOT(ISNUMBER(M1786))),0,IF(IFERROR(INDEX(tt_Tax,MATCH(D1786,tt_Type,0)),"No")="Yes",M1786,0))</f>
        <v/>
      </c>
      <c r="X1786" s="67">
        <f>IF(T1786=1,"",IF(C1786="","Missing transaction date",IF(NOT(ISNUMBER(C1786)),"Invalid date",IF(OR(C1786&lt;DATE(2000,1,1),C1786&gt;DATE(2099,12,31)),"Invalid date",IF(D1786="","Select a type",IF(U1786="","Unknown type: "&amp;D1786,IF(V1786="","Select an account (Category)",IF(ISNA(MATCH(V1786,coa_Name,0)),"Unknown account: "&amp;V1786,IF(K1786="","Select Paid From / Deposited To",IF(ISNA(MATCH(K1786,coa_Name,0)),"Unknown account: "&amp;K1786,IF(NOT(ISNUMBER(L1786)),"Enter an amount",IF(L1786=0,"Enter an amount",IF(ABS(W1786)&gt;ABS(L1786),"Tax is larger than the amount","")))))))))))))</f>
        <v/>
      </c>
      <c r="Y1786" s="67">
        <f>IF(OR(T1786=1,X1786&lt;&gt;""),"",IF(AND(B1786&lt;&gt;"",COUNTIF(tx_ID,B1786)&gt;1),"Duplicate transaction ID",IF(AND(L1786&lt;0,D1786&lt;&gt;"Adjustment"),"Negative amount — check this entry",IF(AND(D1786="Customer Payment",G1786=""),"Add the customer",IF(AND(D1786="Customer Payment",OR(J1786="",COUNTIF(ar_No,J1786&amp;"")=0)),"Invoice # in Reference not found on AR sheet",IF(AND(D1786="Bill Payment",H1786=""),"Add the vendor",IF(AND(D1786="Bill Payment",OR(J1786="",COUNTIFS(ap_No,J1786&amp;"",ap_Party,H1786&amp;"")=0)),"Bill # + vendor not found on AP sheet",IF(AND(ISNUMBER(M1786),N(M1786)&lt;&gt;0,W1786=0),"Tax ignored (tax tracking off, or not allowed for this type)",IF(V1786=K1786&amp;"","Same account on both sides",IF(AND(ISNUMBER(StartDate),C1786&lt;StartDate),"Date is before the accounting start date",IF(AND(D1786&lt;&gt;"Adjustment",IFERROR(INDEX(coa_Pay,MATCH(K1786&amp;"",coa_Name,0)),"")&lt;&gt;"Yes"),"Paid From / Deposited To is not a payment account","")))))))))))</f>
        <v/>
      </c>
      <c r="Z1786" s="67">
        <f>IF(AND(T1786=0,X1786=""),1,0)</f>
        <v/>
      </c>
      <c r="AA1786" s="68">
        <f>IF(Z1786=1,IF(U1786="In",L1786,L1786-W1786),0)</f>
        <v/>
      </c>
      <c r="AB1786" s="68">
        <f>IF(Z1786=1,IF(U1786="In",L1786-W1786,L1786),0)</f>
        <v/>
      </c>
      <c r="AC1786" s="68">
        <f>IF(AND(Z1786=1,U1786="Out"),W1786,0)</f>
        <v/>
      </c>
      <c r="AD1786" s="68">
        <f>IF(AND(Z1786=1,U1786="In"),W1786,0)</f>
        <v/>
      </c>
    </row>
    <row r="1787">
      <c r="B1787" s="62" t="inlineStr">
        <is>
          <t>TX-1781</t>
        </is>
      </c>
      <c r="C1787" s="63" t="n"/>
      <c r="D1787" s="62" t="n"/>
      <c r="E1787" s="62" t="n"/>
      <c r="F1787" s="62" t="n"/>
      <c r="G1787" s="62" t="n"/>
      <c r="H1787" s="62" t="n"/>
      <c r="I1787" s="62" t="n"/>
      <c r="J1787" s="62" t="n"/>
      <c r="K1787" s="62" t="n"/>
      <c r="L1787" s="64" t="n"/>
      <c r="M1787" s="64" t="n"/>
      <c r="N1787" s="62" t="n"/>
      <c r="O1787" s="65">
        <f>IF(Z1787=1,L1787-W1787,"")</f>
        <v/>
      </c>
      <c r="P1787" s="66">
        <f>IF(V1787="","",IFERROR(INDEX(coa_Type,MATCH(V1787,coa_Name,0)),""))</f>
        <v/>
      </c>
      <c r="Q1787" s="66">
        <f>IF(Z1787=1,IF(U1787="In",K1787&amp;"",V1787),"")</f>
        <v/>
      </c>
      <c r="R1787" s="66">
        <f>IF(Z1787=1,IF(U1787="In",V1787,K1787&amp;""),"")</f>
        <v/>
      </c>
      <c r="S1787" s="66">
        <f>IF(X1787&lt;&gt;"","⛔ "&amp;X1787&amp;" — not posted",IF(Y1787&lt;&gt;"","⚠ "&amp;Y1787,IF(Z1787=1,"✓ OK","")))</f>
        <v/>
      </c>
      <c r="T1787" s="67">
        <f>IF(AND(C1787="",D1787="",E1787="",L1787="",K1787=""),1,0)</f>
        <v/>
      </c>
      <c r="U1787" s="67">
        <f>IFERROR(INDEX(tt_Dir,MATCH(D1787,tt_Type,0)),"")</f>
        <v/>
      </c>
      <c r="V1787" s="67">
        <f>IF(D1787="","",IFERROR(IF(INDEX(tt_Other,MATCH(D1787,tt_Type,0))="",E1787&amp;"",INDEX(tt_Other,MATCH(D1787,tt_Type,0))),""))</f>
        <v/>
      </c>
      <c r="W1787" s="68">
        <f>IF(OR(TaxOn&lt;&gt;"Yes",NOT(ISNUMBER(M1787))),0,IF(IFERROR(INDEX(tt_Tax,MATCH(D1787,tt_Type,0)),"No")="Yes",M1787,0))</f>
        <v/>
      </c>
      <c r="X1787" s="67">
        <f>IF(T1787=1,"",IF(C1787="","Missing transaction date",IF(NOT(ISNUMBER(C1787)),"Invalid date",IF(OR(C1787&lt;DATE(2000,1,1),C1787&gt;DATE(2099,12,31)),"Invalid date",IF(D1787="","Select a type",IF(U1787="","Unknown type: "&amp;D1787,IF(V1787="","Select an account (Category)",IF(ISNA(MATCH(V1787,coa_Name,0)),"Unknown account: "&amp;V1787,IF(K1787="","Select Paid From / Deposited To",IF(ISNA(MATCH(K1787,coa_Name,0)),"Unknown account: "&amp;K1787,IF(NOT(ISNUMBER(L1787)),"Enter an amount",IF(L1787=0,"Enter an amount",IF(ABS(W1787)&gt;ABS(L1787),"Tax is larger than the amount","")))))))))))))</f>
        <v/>
      </c>
      <c r="Y1787" s="67">
        <f>IF(OR(T1787=1,X1787&lt;&gt;""),"",IF(AND(B1787&lt;&gt;"",COUNTIF(tx_ID,B1787)&gt;1),"Duplicate transaction ID",IF(AND(L1787&lt;0,D1787&lt;&gt;"Adjustment"),"Negative amount — check this entry",IF(AND(D1787="Customer Payment",G1787=""),"Add the customer",IF(AND(D1787="Customer Payment",OR(J1787="",COUNTIF(ar_No,J1787&amp;"")=0)),"Invoice # in Reference not found on AR sheet",IF(AND(D1787="Bill Payment",H1787=""),"Add the vendor",IF(AND(D1787="Bill Payment",OR(J1787="",COUNTIFS(ap_No,J1787&amp;"",ap_Party,H1787&amp;"")=0)),"Bill # + vendor not found on AP sheet",IF(AND(ISNUMBER(M1787),N(M1787)&lt;&gt;0,W1787=0),"Tax ignored (tax tracking off, or not allowed for this type)",IF(V1787=K1787&amp;"","Same account on both sides",IF(AND(ISNUMBER(StartDate),C1787&lt;StartDate),"Date is before the accounting start date",IF(AND(D1787&lt;&gt;"Adjustment",IFERROR(INDEX(coa_Pay,MATCH(K1787&amp;"",coa_Name,0)),"")&lt;&gt;"Yes"),"Paid From / Deposited To is not a payment account","")))))))))))</f>
        <v/>
      </c>
      <c r="Z1787" s="67">
        <f>IF(AND(T1787=0,X1787=""),1,0)</f>
        <v/>
      </c>
      <c r="AA1787" s="68">
        <f>IF(Z1787=1,IF(U1787="In",L1787,L1787-W1787),0)</f>
        <v/>
      </c>
      <c r="AB1787" s="68">
        <f>IF(Z1787=1,IF(U1787="In",L1787-W1787,L1787),0)</f>
        <v/>
      </c>
      <c r="AC1787" s="68">
        <f>IF(AND(Z1787=1,U1787="Out"),W1787,0)</f>
        <v/>
      </c>
      <c r="AD1787" s="68">
        <f>IF(AND(Z1787=1,U1787="In"),W1787,0)</f>
        <v/>
      </c>
    </row>
    <row r="1788">
      <c r="B1788" s="62" t="inlineStr">
        <is>
          <t>TX-1782</t>
        </is>
      </c>
      <c r="C1788" s="63" t="n"/>
      <c r="D1788" s="62" t="n"/>
      <c r="E1788" s="62" t="n"/>
      <c r="F1788" s="62" t="n"/>
      <c r="G1788" s="62" t="n"/>
      <c r="H1788" s="62" t="n"/>
      <c r="I1788" s="62" t="n"/>
      <c r="J1788" s="62" t="n"/>
      <c r="K1788" s="62" t="n"/>
      <c r="L1788" s="64" t="n"/>
      <c r="M1788" s="64" t="n"/>
      <c r="N1788" s="62" t="n"/>
      <c r="O1788" s="65">
        <f>IF(Z1788=1,L1788-W1788,"")</f>
        <v/>
      </c>
      <c r="P1788" s="66">
        <f>IF(V1788="","",IFERROR(INDEX(coa_Type,MATCH(V1788,coa_Name,0)),""))</f>
        <v/>
      </c>
      <c r="Q1788" s="66">
        <f>IF(Z1788=1,IF(U1788="In",K1788&amp;"",V1788),"")</f>
        <v/>
      </c>
      <c r="R1788" s="66">
        <f>IF(Z1788=1,IF(U1788="In",V1788,K1788&amp;""),"")</f>
        <v/>
      </c>
      <c r="S1788" s="66">
        <f>IF(X1788&lt;&gt;"","⛔ "&amp;X1788&amp;" — not posted",IF(Y1788&lt;&gt;"","⚠ "&amp;Y1788,IF(Z1788=1,"✓ OK","")))</f>
        <v/>
      </c>
      <c r="T1788" s="67">
        <f>IF(AND(C1788="",D1788="",E1788="",L1788="",K1788=""),1,0)</f>
        <v/>
      </c>
      <c r="U1788" s="67">
        <f>IFERROR(INDEX(tt_Dir,MATCH(D1788,tt_Type,0)),"")</f>
        <v/>
      </c>
      <c r="V1788" s="67">
        <f>IF(D1788="","",IFERROR(IF(INDEX(tt_Other,MATCH(D1788,tt_Type,0))="",E1788&amp;"",INDEX(tt_Other,MATCH(D1788,tt_Type,0))),""))</f>
        <v/>
      </c>
      <c r="W1788" s="68">
        <f>IF(OR(TaxOn&lt;&gt;"Yes",NOT(ISNUMBER(M1788))),0,IF(IFERROR(INDEX(tt_Tax,MATCH(D1788,tt_Type,0)),"No")="Yes",M1788,0))</f>
        <v/>
      </c>
      <c r="X1788" s="67">
        <f>IF(T1788=1,"",IF(C1788="","Missing transaction date",IF(NOT(ISNUMBER(C1788)),"Invalid date",IF(OR(C1788&lt;DATE(2000,1,1),C1788&gt;DATE(2099,12,31)),"Invalid date",IF(D1788="","Select a type",IF(U1788="","Unknown type: "&amp;D1788,IF(V1788="","Select an account (Category)",IF(ISNA(MATCH(V1788,coa_Name,0)),"Unknown account: "&amp;V1788,IF(K1788="","Select Paid From / Deposited To",IF(ISNA(MATCH(K1788,coa_Name,0)),"Unknown account: "&amp;K1788,IF(NOT(ISNUMBER(L1788)),"Enter an amount",IF(L1788=0,"Enter an amount",IF(ABS(W1788)&gt;ABS(L1788),"Tax is larger than the amount","")))))))))))))</f>
        <v/>
      </c>
      <c r="Y1788" s="67">
        <f>IF(OR(T1788=1,X1788&lt;&gt;""),"",IF(AND(B1788&lt;&gt;"",COUNTIF(tx_ID,B1788)&gt;1),"Duplicate transaction ID",IF(AND(L1788&lt;0,D1788&lt;&gt;"Adjustment"),"Negative amount — check this entry",IF(AND(D1788="Customer Payment",G1788=""),"Add the customer",IF(AND(D1788="Customer Payment",OR(J1788="",COUNTIF(ar_No,J1788&amp;"")=0)),"Invoice # in Reference not found on AR sheet",IF(AND(D1788="Bill Payment",H1788=""),"Add the vendor",IF(AND(D1788="Bill Payment",OR(J1788="",COUNTIFS(ap_No,J1788&amp;"",ap_Party,H1788&amp;"")=0)),"Bill # + vendor not found on AP sheet",IF(AND(ISNUMBER(M1788),N(M1788)&lt;&gt;0,W1788=0),"Tax ignored (tax tracking off, or not allowed for this type)",IF(V1788=K1788&amp;"","Same account on both sides",IF(AND(ISNUMBER(StartDate),C1788&lt;StartDate),"Date is before the accounting start date",IF(AND(D1788&lt;&gt;"Adjustment",IFERROR(INDEX(coa_Pay,MATCH(K1788&amp;"",coa_Name,0)),"")&lt;&gt;"Yes"),"Paid From / Deposited To is not a payment account","")))))))))))</f>
        <v/>
      </c>
      <c r="Z1788" s="67">
        <f>IF(AND(T1788=0,X1788=""),1,0)</f>
        <v/>
      </c>
      <c r="AA1788" s="68">
        <f>IF(Z1788=1,IF(U1788="In",L1788,L1788-W1788),0)</f>
        <v/>
      </c>
      <c r="AB1788" s="68">
        <f>IF(Z1788=1,IF(U1788="In",L1788-W1788,L1788),0)</f>
        <v/>
      </c>
      <c r="AC1788" s="68">
        <f>IF(AND(Z1788=1,U1788="Out"),W1788,0)</f>
        <v/>
      </c>
      <c r="AD1788" s="68">
        <f>IF(AND(Z1788=1,U1788="In"),W1788,0)</f>
        <v/>
      </c>
    </row>
    <row r="1789">
      <c r="B1789" s="62" t="inlineStr">
        <is>
          <t>TX-1783</t>
        </is>
      </c>
      <c r="C1789" s="63" t="n"/>
      <c r="D1789" s="62" t="n"/>
      <c r="E1789" s="62" t="n"/>
      <c r="F1789" s="62" t="n"/>
      <c r="G1789" s="62" t="n"/>
      <c r="H1789" s="62" t="n"/>
      <c r="I1789" s="62" t="n"/>
      <c r="J1789" s="62" t="n"/>
      <c r="K1789" s="62" t="n"/>
      <c r="L1789" s="64" t="n"/>
      <c r="M1789" s="64" t="n"/>
      <c r="N1789" s="62" t="n"/>
      <c r="O1789" s="65">
        <f>IF(Z1789=1,L1789-W1789,"")</f>
        <v/>
      </c>
      <c r="P1789" s="66">
        <f>IF(V1789="","",IFERROR(INDEX(coa_Type,MATCH(V1789,coa_Name,0)),""))</f>
        <v/>
      </c>
      <c r="Q1789" s="66">
        <f>IF(Z1789=1,IF(U1789="In",K1789&amp;"",V1789),"")</f>
        <v/>
      </c>
      <c r="R1789" s="66">
        <f>IF(Z1789=1,IF(U1789="In",V1789,K1789&amp;""),"")</f>
        <v/>
      </c>
      <c r="S1789" s="66">
        <f>IF(X1789&lt;&gt;"","⛔ "&amp;X1789&amp;" — not posted",IF(Y1789&lt;&gt;"","⚠ "&amp;Y1789,IF(Z1789=1,"✓ OK","")))</f>
        <v/>
      </c>
      <c r="T1789" s="67">
        <f>IF(AND(C1789="",D1789="",E1789="",L1789="",K1789=""),1,0)</f>
        <v/>
      </c>
      <c r="U1789" s="67">
        <f>IFERROR(INDEX(tt_Dir,MATCH(D1789,tt_Type,0)),"")</f>
        <v/>
      </c>
      <c r="V1789" s="67">
        <f>IF(D1789="","",IFERROR(IF(INDEX(tt_Other,MATCH(D1789,tt_Type,0))="",E1789&amp;"",INDEX(tt_Other,MATCH(D1789,tt_Type,0))),""))</f>
        <v/>
      </c>
      <c r="W1789" s="68">
        <f>IF(OR(TaxOn&lt;&gt;"Yes",NOT(ISNUMBER(M1789))),0,IF(IFERROR(INDEX(tt_Tax,MATCH(D1789,tt_Type,0)),"No")="Yes",M1789,0))</f>
        <v/>
      </c>
      <c r="X1789" s="67">
        <f>IF(T1789=1,"",IF(C1789="","Missing transaction date",IF(NOT(ISNUMBER(C1789)),"Invalid date",IF(OR(C1789&lt;DATE(2000,1,1),C1789&gt;DATE(2099,12,31)),"Invalid date",IF(D1789="","Select a type",IF(U1789="","Unknown type: "&amp;D1789,IF(V1789="","Select an account (Category)",IF(ISNA(MATCH(V1789,coa_Name,0)),"Unknown account: "&amp;V1789,IF(K1789="","Select Paid From / Deposited To",IF(ISNA(MATCH(K1789,coa_Name,0)),"Unknown account: "&amp;K1789,IF(NOT(ISNUMBER(L1789)),"Enter an amount",IF(L1789=0,"Enter an amount",IF(ABS(W1789)&gt;ABS(L1789),"Tax is larger than the amount","")))))))))))))</f>
        <v/>
      </c>
      <c r="Y1789" s="67">
        <f>IF(OR(T1789=1,X1789&lt;&gt;""),"",IF(AND(B1789&lt;&gt;"",COUNTIF(tx_ID,B1789)&gt;1),"Duplicate transaction ID",IF(AND(L1789&lt;0,D1789&lt;&gt;"Adjustment"),"Negative amount — check this entry",IF(AND(D1789="Customer Payment",G1789=""),"Add the customer",IF(AND(D1789="Customer Payment",OR(J1789="",COUNTIF(ar_No,J1789&amp;"")=0)),"Invoice # in Reference not found on AR sheet",IF(AND(D1789="Bill Payment",H1789=""),"Add the vendor",IF(AND(D1789="Bill Payment",OR(J1789="",COUNTIFS(ap_No,J1789&amp;"",ap_Party,H1789&amp;"")=0)),"Bill # + vendor not found on AP sheet",IF(AND(ISNUMBER(M1789),N(M1789)&lt;&gt;0,W1789=0),"Tax ignored (tax tracking off, or not allowed for this type)",IF(V1789=K1789&amp;"","Same account on both sides",IF(AND(ISNUMBER(StartDate),C1789&lt;StartDate),"Date is before the accounting start date",IF(AND(D1789&lt;&gt;"Adjustment",IFERROR(INDEX(coa_Pay,MATCH(K1789&amp;"",coa_Name,0)),"")&lt;&gt;"Yes"),"Paid From / Deposited To is not a payment account","")))))))))))</f>
        <v/>
      </c>
      <c r="Z1789" s="67">
        <f>IF(AND(T1789=0,X1789=""),1,0)</f>
        <v/>
      </c>
      <c r="AA1789" s="68">
        <f>IF(Z1789=1,IF(U1789="In",L1789,L1789-W1789),0)</f>
        <v/>
      </c>
      <c r="AB1789" s="68">
        <f>IF(Z1789=1,IF(U1789="In",L1789-W1789,L1789),0)</f>
        <v/>
      </c>
      <c r="AC1789" s="68">
        <f>IF(AND(Z1789=1,U1789="Out"),W1789,0)</f>
        <v/>
      </c>
      <c r="AD1789" s="68">
        <f>IF(AND(Z1789=1,U1789="In"),W1789,0)</f>
        <v/>
      </c>
    </row>
    <row r="1790">
      <c r="B1790" s="62" t="inlineStr">
        <is>
          <t>TX-1784</t>
        </is>
      </c>
      <c r="C1790" s="63" t="n"/>
      <c r="D1790" s="62" t="n"/>
      <c r="E1790" s="62" t="n"/>
      <c r="F1790" s="62" t="n"/>
      <c r="G1790" s="62" t="n"/>
      <c r="H1790" s="62" t="n"/>
      <c r="I1790" s="62" t="n"/>
      <c r="J1790" s="62" t="n"/>
      <c r="K1790" s="62" t="n"/>
      <c r="L1790" s="64" t="n"/>
      <c r="M1790" s="64" t="n"/>
      <c r="N1790" s="62" t="n"/>
      <c r="O1790" s="65">
        <f>IF(Z1790=1,L1790-W1790,"")</f>
        <v/>
      </c>
      <c r="P1790" s="66">
        <f>IF(V1790="","",IFERROR(INDEX(coa_Type,MATCH(V1790,coa_Name,0)),""))</f>
        <v/>
      </c>
      <c r="Q1790" s="66">
        <f>IF(Z1790=1,IF(U1790="In",K1790&amp;"",V1790),"")</f>
        <v/>
      </c>
      <c r="R1790" s="66">
        <f>IF(Z1790=1,IF(U1790="In",V1790,K1790&amp;""),"")</f>
        <v/>
      </c>
      <c r="S1790" s="66">
        <f>IF(X1790&lt;&gt;"","⛔ "&amp;X1790&amp;" — not posted",IF(Y1790&lt;&gt;"","⚠ "&amp;Y1790,IF(Z1790=1,"✓ OK","")))</f>
        <v/>
      </c>
      <c r="T1790" s="67">
        <f>IF(AND(C1790="",D1790="",E1790="",L1790="",K1790=""),1,0)</f>
        <v/>
      </c>
      <c r="U1790" s="67">
        <f>IFERROR(INDEX(tt_Dir,MATCH(D1790,tt_Type,0)),"")</f>
        <v/>
      </c>
      <c r="V1790" s="67">
        <f>IF(D1790="","",IFERROR(IF(INDEX(tt_Other,MATCH(D1790,tt_Type,0))="",E1790&amp;"",INDEX(tt_Other,MATCH(D1790,tt_Type,0))),""))</f>
        <v/>
      </c>
      <c r="W1790" s="68">
        <f>IF(OR(TaxOn&lt;&gt;"Yes",NOT(ISNUMBER(M1790))),0,IF(IFERROR(INDEX(tt_Tax,MATCH(D1790,tt_Type,0)),"No")="Yes",M1790,0))</f>
        <v/>
      </c>
      <c r="X1790" s="67">
        <f>IF(T1790=1,"",IF(C1790="","Missing transaction date",IF(NOT(ISNUMBER(C1790)),"Invalid date",IF(OR(C1790&lt;DATE(2000,1,1),C1790&gt;DATE(2099,12,31)),"Invalid date",IF(D1790="","Select a type",IF(U1790="","Unknown type: "&amp;D1790,IF(V1790="","Select an account (Category)",IF(ISNA(MATCH(V1790,coa_Name,0)),"Unknown account: "&amp;V1790,IF(K1790="","Select Paid From / Deposited To",IF(ISNA(MATCH(K1790,coa_Name,0)),"Unknown account: "&amp;K1790,IF(NOT(ISNUMBER(L1790)),"Enter an amount",IF(L1790=0,"Enter an amount",IF(ABS(W1790)&gt;ABS(L1790),"Tax is larger than the amount","")))))))))))))</f>
        <v/>
      </c>
      <c r="Y1790" s="67">
        <f>IF(OR(T1790=1,X1790&lt;&gt;""),"",IF(AND(B1790&lt;&gt;"",COUNTIF(tx_ID,B1790)&gt;1),"Duplicate transaction ID",IF(AND(L1790&lt;0,D1790&lt;&gt;"Adjustment"),"Negative amount — check this entry",IF(AND(D1790="Customer Payment",G1790=""),"Add the customer",IF(AND(D1790="Customer Payment",OR(J1790="",COUNTIF(ar_No,J1790&amp;"")=0)),"Invoice # in Reference not found on AR sheet",IF(AND(D1790="Bill Payment",H1790=""),"Add the vendor",IF(AND(D1790="Bill Payment",OR(J1790="",COUNTIFS(ap_No,J1790&amp;"",ap_Party,H1790&amp;"")=0)),"Bill # + vendor not found on AP sheet",IF(AND(ISNUMBER(M1790),N(M1790)&lt;&gt;0,W1790=0),"Tax ignored (tax tracking off, or not allowed for this type)",IF(V1790=K1790&amp;"","Same account on both sides",IF(AND(ISNUMBER(StartDate),C1790&lt;StartDate),"Date is before the accounting start date",IF(AND(D1790&lt;&gt;"Adjustment",IFERROR(INDEX(coa_Pay,MATCH(K1790&amp;"",coa_Name,0)),"")&lt;&gt;"Yes"),"Paid From / Deposited To is not a payment account","")))))))))))</f>
        <v/>
      </c>
      <c r="Z1790" s="67">
        <f>IF(AND(T1790=0,X1790=""),1,0)</f>
        <v/>
      </c>
      <c r="AA1790" s="68">
        <f>IF(Z1790=1,IF(U1790="In",L1790,L1790-W1790),0)</f>
        <v/>
      </c>
      <c r="AB1790" s="68">
        <f>IF(Z1790=1,IF(U1790="In",L1790-W1790,L1790),0)</f>
        <v/>
      </c>
      <c r="AC1790" s="68">
        <f>IF(AND(Z1790=1,U1790="Out"),W1790,0)</f>
        <v/>
      </c>
      <c r="AD1790" s="68">
        <f>IF(AND(Z1790=1,U1790="In"),W1790,0)</f>
        <v/>
      </c>
    </row>
    <row r="1791">
      <c r="B1791" s="62" t="inlineStr">
        <is>
          <t>TX-1785</t>
        </is>
      </c>
      <c r="C1791" s="63" t="n"/>
      <c r="D1791" s="62" t="n"/>
      <c r="E1791" s="62" t="n"/>
      <c r="F1791" s="62" t="n"/>
      <c r="G1791" s="62" t="n"/>
      <c r="H1791" s="62" t="n"/>
      <c r="I1791" s="62" t="n"/>
      <c r="J1791" s="62" t="n"/>
      <c r="K1791" s="62" t="n"/>
      <c r="L1791" s="64" t="n"/>
      <c r="M1791" s="64" t="n"/>
      <c r="N1791" s="62" t="n"/>
      <c r="O1791" s="65">
        <f>IF(Z1791=1,L1791-W1791,"")</f>
        <v/>
      </c>
      <c r="P1791" s="66">
        <f>IF(V1791="","",IFERROR(INDEX(coa_Type,MATCH(V1791,coa_Name,0)),""))</f>
        <v/>
      </c>
      <c r="Q1791" s="66">
        <f>IF(Z1791=1,IF(U1791="In",K1791&amp;"",V1791),"")</f>
        <v/>
      </c>
      <c r="R1791" s="66">
        <f>IF(Z1791=1,IF(U1791="In",V1791,K1791&amp;""),"")</f>
        <v/>
      </c>
      <c r="S1791" s="66">
        <f>IF(X1791&lt;&gt;"","⛔ "&amp;X1791&amp;" — not posted",IF(Y1791&lt;&gt;"","⚠ "&amp;Y1791,IF(Z1791=1,"✓ OK","")))</f>
        <v/>
      </c>
      <c r="T1791" s="67">
        <f>IF(AND(C1791="",D1791="",E1791="",L1791="",K1791=""),1,0)</f>
        <v/>
      </c>
      <c r="U1791" s="67">
        <f>IFERROR(INDEX(tt_Dir,MATCH(D1791,tt_Type,0)),"")</f>
        <v/>
      </c>
      <c r="V1791" s="67">
        <f>IF(D1791="","",IFERROR(IF(INDEX(tt_Other,MATCH(D1791,tt_Type,0))="",E1791&amp;"",INDEX(tt_Other,MATCH(D1791,tt_Type,0))),""))</f>
        <v/>
      </c>
      <c r="W1791" s="68">
        <f>IF(OR(TaxOn&lt;&gt;"Yes",NOT(ISNUMBER(M1791))),0,IF(IFERROR(INDEX(tt_Tax,MATCH(D1791,tt_Type,0)),"No")="Yes",M1791,0))</f>
        <v/>
      </c>
      <c r="X1791" s="67">
        <f>IF(T1791=1,"",IF(C1791="","Missing transaction date",IF(NOT(ISNUMBER(C1791)),"Invalid date",IF(OR(C1791&lt;DATE(2000,1,1),C1791&gt;DATE(2099,12,31)),"Invalid date",IF(D1791="","Select a type",IF(U1791="","Unknown type: "&amp;D1791,IF(V1791="","Select an account (Category)",IF(ISNA(MATCH(V1791,coa_Name,0)),"Unknown account: "&amp;V1791,IF(K1791="","Select Paid From / Deposited To",IF(ISNA(MATCH(K1791,coa_Name,0)),"Unknown account: "&amp;K1791,IF(NOT(ISNUMBER(L1791)),"Enter an amount",IF(L1791=0,"Enter an amount",IF(ABS(W1791)&gt;ABS(L1791),"Tax is larger than the amount","")))))))))))))</f>
        <v/>
      </c>
      <c r="Y1791" s="67">
        <f>IF(OR(T1791=1,X1791&lt;&gt;""),"",IF(AND(B1791&lt;&gt;"",COUNTIF(tx_ID,B1791)&gt;1),"Duplicate transaction ID",IF(AND(L1791&lt;0,D1791&lt;&gt;"Adjustment"),"Negative amount — check this entry",IF(AND(D1791="Customer Payment",G1791=""),"Add the customer",IF(AND(D1791="Customer Payment",OR(J1791="",COUNTIF(ar_No,J1791&amp;"")=0)),"Invoice # in Reference not found on AR sheet",IF(AND(D1791="Bill Payment",H1791=""),"Add the vendor",IF(AND(D1791="Bill Payment",OR(J1791="",COUNTIFS(ap_No,J1791&amp;"",ap_Party,H1791&amp;"")=0)),"Bill # + vendor not found on AP sheet",IF(AND(ISNUMBER(M1791),N(M1791)&lt;&gt;0,W1791=0),"Tax ignored (tax tracking off, or not allowed for this type)",IF(V1791=K1791&amp;"","Same account on both sides",IF(AND(ISNUMBER(StartDate),C1791&lt;StartDate),"Date is before the accounting start date",IF(AND(D1791&lt;&gt;"Adjustment",IFERROR(INDEX(coa_Pay,MATCH(K1791&amp;"",coa_Name,0)),"")&lt;&gt;"Yes"),"Paid From / Deposited To is not a payment account","")))))))))))</f>
        <v/>
      </c>
      <c r="Z1791" s="67">
        <f>IF(AND(T1791=0,X1791=""),1,0)</f>
        <v/>
      </c>
      <c r="AA1791" s="68">
        <f>IF(Z1791=1,IF(U1791="In",L1791,L1791-W1791),0)</f>
        <v/>
      </c>
      <c r="AB1791" s="68">
        <f>IF(Z1791=1,IF(U1791="In",L1791-W1791,L1791),0)</f>
        <v/>
      </c>
      <c r="AC1791" s="68">
        <f>IF(AND(Z1791=1,U1791="Out"),W1791,0)</f>
        <v/>
      </c>
      <c r="AD1791" s="68">
        <f>IF(AND(Z1791=1,U1791="In"),W1791,0)</f>
        <v/>
      </c>
    </row>
    <row r="1792">
      <c r="B1792" s="62" t="inlineStr">
        <is>
          <t>TX-1786</t>
        </is>
      </c>
      <c r="C1792" s="63" t="n"/>
      <c r="D1792" s="62" t="n"/>
      <c r="E1792" s="62" t="n"/>
      <c r="F1792" s="62" t="n"/>
      <c r="G1792" s="62" t="n"/>
      <c r="H1792" s="62" t="n"/>
      <c r="I1792" s="62" t="n"/>
      <c r="J1792" s="62" t="n"/>
      <c r="K1792" s="62" t="n"/>
      <c r="L1792" s="64" t="n"/>
      <c r="M1792" s="64" t="n"/>
      <c r="N1792" s="62" t="n"/>
      <c r="O1792" s="65">
        <f>IF(Z1792=1,L1792-W1792,"")</f>
        <v/>
      </c>
      <c r="P1792" s="66">
        <f>IF(V1792="","",IFERROR(INDEX(coa_Type,MATCH(V1792,coa_Name,0)),""))</f>
        <v/>
      </c>
      <c r="Q1792" s="66">
        <f>IF(Z1792=1,IF(U1792="In",K1792&amp;"",V1792),"")</f>
        <v/>
      </c>
      <c r="R1792" s="66">
        <f>IF(Z1792=1,IF(U1792="In",V1792,K1792&amp;""),"")</f>
        <v/>
      </c>
      <c r="S1792" s="66">
        <f>IF(X1792&lt;&gt;"","⛔ "&amp;X1792&amp;" — not posted",IF(Y1792&lt;&gt;"","⚠ "&amp;Y1792,IF(Z1792=1,"✓ OK","")))</f>
        <v/>
      </c>
      <c r="T1792" s="67">
        <f>IF(AND(C1792="",D1792="",E1792="",L1792="",K1792=""),1,0)</f>
        <v/>
      </c>
      <c r="U1792" s="67">
        <f>IFERROR(INDEX(tt_Dir,MATCH(D1792,tt_Type,0)),"")</f>
        <v/>
      </c>
      <c r="V1792" s="67">
        <f>IF(D1792="","",IFERROR(IF(INDEX(tt_Other,MATCH(D1792,tt_Type,0))="",E1792&amp;"",INDEX(tt_Other,MATCH(D1792,tt_Type,0))),""))</f>
        <v/>
      </c>
      <c r="W1792" s="68">
        <f>IF(OR(TaxOn&lt;&gt;"Yes",NOT(ISNUMBER(M1792))),0,IF(IFERROR(INDEX(tt_Tax,MATCH(D1792,tt_Type,0)),"No")="Yes",M1792,0))</f>
        <v/>
      </c>
      <c r="X1792" s="67">
        <f>IF(T1792=1,"",IF(C1792="","Missing transaction date",IF(NOT(ISNUMBER(C1792)),"Invalid date",IF(OR(C1792&lt;DATE(2000,1,1),C1792&gt;DATE(2099,12,31)),"Invalid date",IF(D1792="","Select a type",IF(U1792="","Unknown type: "&amp;D1792,IF(V1792="","Select an account (Category)",IF(ISNA(MATCH(V1792,coa_Name,0)),"Unknown account: "&amp;V1792,IF(K1792="","Select Paid From / Deposited To",IF(ISNA(MATCH(K1792,coa_Name,0)),"Unknown account: "&amp;K1792,IF(NOT(ISNUMBER(L1792)),"Enter an amount",IF(L1792=0,"Enter an amount",IF(ABS(W1792)&gt;ABS(L1792),"Tax is larger than the amount","")))))))))))))</f>
        <v/>
      </c>
      <c r="Y1792" s="67">
        <f>IF(OR(T1792=1,X1792&lt;&gt;""),"",IF(AND(B1792&lt;&gt;"",COUNTIF(tx_ID,B1792)&gt;1),"Duplicate transaction ID",IF(AND(L1792&lt;0,D1792&lt;&gt;"Adjustment"),"Negative amount — check this entry",IF(AND(D1792="Customer Payment",G1792=""),"Add the customer",IF(AND(D1792="Customer Payment",OR(J1792="",COUNTIF(ar_No,J1792&amp;"")=0)),"Invoice # in Reference not found on AR sheet",IF(AND(D1792="Bill Payment",H1792=""),"Add the vendor",IF(AND(D1792="Bill Payment",OR(J1792="",COUNTIFS(ap_No,J1792&amp;"",ap_Party,H1792&amp;"")=0)),"Bill # + vendor not found on AP sheet",IF(AND(ISNUMBER(M1792),N(M1792)&lt;&gt;0,W1792=0),"Tax ignored (tax tracking off, or not allowed for this type)",IF(V1792=K1792&amp;"","Same account on both sides",IF(AND(ISNUMBER(StartDate),C1792&lt;StartDate),"Date is before the accounting start date",IF(AND(D1792&lt;&gt;"Adjustment",IFERROR(INDEX(coa_Pay,MATCH(K1792&amp;"",coa_Name,0)),"")&lt;&gt;"Yes"),"Paid From / Deposited To is not a payment account","")))))))))))</f>
        <v/>
      </c>
      <c r="Z1792" s="67">
        <f>IF(AND(T1792=0,X1792=""),1,0)</f>
        <v/>
      </c>
      <c r="AA1792" s="68">
        <f>IF(Z1792=1,IF(U1792="In",L1792,L1792-W1792),0)</f>
        <v/>
      </c>
      <c r="AB1792" s="68">
        <f>IF(Z1792=1,IF(U1792="In",L1792-W1792,L1792),0)</f>
        <v/>
      </c>
      <c r="AC1792" s="68">
        <f>IF(AND(Z1792=1,U1792="Out"),W1792,0)</f>
        <v/>
      </c>
      <c r="AD1792" s="68">
        <f>IF(AND(Z1792=1,U1792="In"),W1792,0)</f>
        <v/>
      </c>
    </row>
    <row r="1793">
      <c r="B1793" s="62" t="inlineStr">
        <is>
          <t>TX-1787</t>
        </is>
      </c>
      <c r="C1793" s="63" t="n"/>
      <c r="D1793" s="62" t="n"/>
      <c r="E1793" s="62" t="n"/>
      <c r="F1793" s="62" t="n"/>
      <c r="G1793" s="62" t="n"/>
      <c r="H1793" s="62" t="n"/>
      <c r="I1793" s="62" t="n"/>
      <c r="J1793" s="62" t="n"/>
      <c r="K1793" s="62" t="n"/>
      <c r="L1793" s="64" t="n"/>
      <c r="M1793" s="64" t="n"/>
      <c r="N1793" s="62" t="n"/>
      <c r="O1793" s="65">
        <f>IF(Z1793=1,L1793-W1793,"")</f>
        <v/>
      </c>
      <c r="P1793" s="66">
        <f>IF(V1793="","",IFERROR(INDEX(coa_Type,MATCH(V1793,coa_Name,0)),""))</f>
        <v/>
      </c>
      <c r="Q1793" s="66">
        <f>IF(Z1793=1,IF(U1793="In",K1793&amp;"",V1793),"")</f>
        <v/>
      </c>
      <c r="R1793" s="66">
        <f>IF(Z1793=1,IF(U1793="In",V1793,K1793&amp;""),"")</f>
        <v/>
      </c>
      <c r="S1793" s="66">
        <f>IF(X1793&lt;&gt;"","⛔ "&amp;X1793&amp;" — not posted",IF(Y1793&lt;&gt;"","⚠ "&amp;Y1793,IF(Z1793=1,"✓ OK","")))</f>
        <v/>
      </c>
      <c r="T1793" s="67">
        <f>IF(AND(C1793="",D1793="",E1793="",L1793="",K1793=""),1,0)</f>
        <v/>
      </c>
      <c r="U1793" s="67">
        <f>IFERROR(INDEX(tt_Dir,MATCH(D1793,tt_Type,0)),"")</f>
        <v/>
      </c>
      <c r="V1793" s="67">
        <f>IF(D1793="","",IFERROR(IF(INDEX(tt_Other,MATCH(D1793,tt_Type,0))="",E1793&amp;"",INDEX(tt_Other,MATCH(D1793,tt_Type,0))),""))</f>
        <v/>
      </c>
      <c r="W1793" s="68">
        <f>IF(OR(TaxOn&lt;&gt;"Yes",NOT(ISNUMBER(M1793))),0,IF(IFERROR(INDEX(tt_Tax,MATCH(D1793,tt_Type,0)),"No")="Yes",M1793,0))</f>
        <v/>
      </c>
      <c r="X1793" s="67">
        <f>IF(T1793=1,"",IF(C1793="","Missing transaction date",IF(NOT(ISNUMBER(C1793)),"Invalid date",IF(OR(C1793&lt;DATE(2000,1,1),C1793&gt;DATE(2099,12,31)),"Invalid date",IF(D1793="","Select a type",IF(U1793="","Unknown type: "&amp;D1793,IF(V1793="","Select an account (Category)",IF(ISNA(MATCH(V1793,coa_Name,0)),"Unknown account: "&amp;V1793,IF(K1793="","Select Paid From / Deposited To",IF(ISNA(MATCH(K1793,coa_Name,0)),"Unknown account: "&amp;K1793,IF(NOT(ISNUMBER(L1793)),"Enter an amount",IF(L1793=0,"Enter an amount",IF(ABS(W1793)&gt;ABS(L1793),"Tax is larger than the amount","")))))))))))))</f>
        <v/>
      </c>
      <c r="Y1793" s="67">
        <f>IF(OR(T1793=1,X1793&lt;&gt;""),"",IF(AND(B1793&lt;&gt;"",COUNTIF(tx_ID,B1793)&gt;1),"Duplicate transaction ID",IF(AND(L1793&lt;0,D1793&lt;&gt;"Adjustment"),"Negative amount — check this entry",IF(AND(D1793="Customer Payment",G1793=""),"Add the customer",IF(AND(D1793="Customer Payment",OR(J1793="",COUNTIF(ar_No,J1793&amp;"")=0)),"Invoice # in Reference not found on AR sheet",IF(AND(D1793="Bill Payment",H1793=""),"Add the vendor",IF(AND(D1793="Bill Payment",OR(J1793="",COUNTIFS(ap_No,J1793&amp;"",ap_Party,H1793&amp;"")=0)),"Bill # + vendor not found on AP sheet",IF(AND(ISNUMBER(M1793),N(M1793)&lt;&gt;0,W1793=0),"Tax ignored (tax tracking off, or not allowed for this type)",IF(V1793=K1793&amp;"","Same account on both sides",IF(AND(ISNUMBER(StartDate),C1793&lt;StartDate),"Date is before the accounting start date",IF(AND(D1793&lt;&gt;"Adjustment",IFERROR(INDEX(coa_Pay,MATCH(K1793&amp;"",coa_Name,0)),"")&lt;&gt;"Yes"),"Paid From / Deposited To is not a payment account","")))))))))))</f>
        <v/>
      </c>
      <c r="Z1793" s="67">
        <f>IF(AND(T1793=0,X1793=""),1,0)</f>
        <v/>
      </c>
      <c r="AA1793" s="68">
        <f>IF(Z1793=1,IF(U1793="In",L1793,L1793-W1793),0)</f>
        <v/>
      </c>
      <c r="AB1793" s="68">
        <f>IF(Z1793=1,IF(U1793="In",L1793-W1793,L1793),0)</f>
        <v/>
      </c>
      <c r="AC1793" s="68">
        <f>IF(AND(Z1793=1,U1793="Out"),W1793,0)</f>
        <v/>
      </c>
      <c r="AD1793" s="68">
        <f>IF(AND(Z1793=1,U1793="In"),W1793,0)</f>
        <v/>
      </c>
    </row>
    <row r="1794">
      <c r="B1794" s="62" t="inlineStr">
        <is>
          <t>TX-1788</t>
        </is>
      </c>
      <c r="C1794" s="63" t="n"/>
      <c r="D1794" s="62" t="n"/>
      <c r="E1794" s="62" t="n"/>
      <c r="F1794" s="62" t="n"/>
      <c r="G1794" s="62" t="n"/>
      <c r="H1794" s="62" t="n"/>
      <c r="I1794" s="62" t="n"/>
      <c r="J1794" s="62" t="n"/>
      <c r="K1794" s="62" t="n"/>
      <c r="L1794" s="64" t="n"/>
      <c r="M1794" s="64" t="n"/>
      <c r="N1794" s="62" t="n"/>
      <c r="O1794" s="65">
        <f>IF(Z1794=1,L1794-W1794,"")</f>
        <v/>
      </c>
      <c r="P1794" s="66">
        <f>IF(V1794="","",IFERROR(INDEX(coa_Type,MATCH(V1794,coa_Name,0)),""))</f>
        <v/>
      </c>
      <c r="Q1794" s="66">
        <f>IF(Z1794=1,IF(U1794="In",K1794&amp;"",V1794),"")</f>
        <v/>
      </c>
      <c r="R1794" s="66">
        <f>IF(Z1794=1,IF(U1794="In",V1794,K1794&amp;""),"")</f>
        <v/>
      </c>
      <c r="S1794" s="66">
        <f>IF(X1794&lt;&gt;"","⛔ "&amp;X1794&amp;" — not posted",IF(Y1794&lt;&gt;"","⚠ "&amp;Y1794,IF(Z1794=1,"✓ OK","")))</f>
        <v/>
      </c>
      <c r="T1794" s="67">
        <f>IF(AND(C1794="",D1794="",E1794="",L1794="",K1794=""),1,0)</f>
        <v/>
      </c>
      <c r="U1794" s="67">
        <f>IFERROR(INDEX(tt_Dir,MATCH(D1794,tt_Type,0)),"")</f>
        <v/>
      </c>
      <c r="V1794" s="67">
        <f>IF(D1794="","",IFERROR(IF(INDEX(tt_Other,MATCH(D1794,tt_Type,0))="",E1794&amp;"",INDEX(tt_Other,MATCH(D1794,tt_Type,0))),""))</f>
        <v/>
      </c>
      <c r="W1794" s="68">
        <f>IF(OR(TaxOn&lt;&gt;"Yes",NOT(ISNUMBER(M1794))),0,IF(IFERROR(INDEX(tt_Tax,MATCH(D1794,tt_Type,0)),"No")="Yes",M1794,0))</f>
        <v/>
      </c>
      <c r="X1794" s="67">
        <f>IF(T1794=1,"",IF(C1794="","Missing transaction date",IF(NOT(ISNUMBER(C1794)),"Invalid date",IF(OR(C1794&lt;DATE(2000,1,1),C1794&gt;DATE(2099,12,31)),"Invalid date",IF(D1794="","Select a type",IF(U1794="","Unknown type: "&amp;D1794,IF(V1794="","Select an account (Category)",IF(ISNA(MATCH(V1794,coa_Name,0)),"Unknown account: "&amp;V1794,IF(K1794="","Select Paid From / Deposited To",IF(ISNA(MATCH(K1794,coa_Name,0)),"Unknown account: "&amp;K1794,IF(NOT(ISNUMBER(L1794)),"Enter an amount",IF(L1794=0,"Enter an amount",IF(ABS(W1794)&gt;ABS(L1794),"Tax is larger than the amount","")))))))))))))</f>
        <v/>
      </c>
      <c r="Y1794" s="67">
        <f>IF(OR(T1794=1,X1794&lt;&gt;""),"",IF(AND(B1794&lt;&gt;"",COUNTIF(tx_ID,B1794)&gt;1),"Duplicate transaction ID",IF(AND(L1794&lt;0,D1794&lt;&gt;"Adjustment"),"Negative amount — check this entry",IF(AND(D1794="Customer Payment",G1794=""),"Add the customer",IF(AND(D1794="Customer Payment",OR(J1794="",COUNTIF(ar_No,J1794&amp;"")=0)),"Invoice # in Reference not found on AR sheet",IF(AND(D1794="Bill Payment",H1794=""),"Add the vendor",IF(AND(D1794="Bill Payment",OR(J1794="",COUNTIFS(ap_No,J1794&amp;"",ap_Party,H1794&amp;"")=0)),"Bill # + vendor not found on AP sheet",IF(AND(ISNUMBER(M1794),N(M1794)&lt;&gt;0,W1794=0),"Tax ignored (tax tracking off, or not allowed for this type)",IF(V1794=K1794&amp;"","Same account on both sides",IF(AND(ISNUMBER(StartDate),C1794&lt;StartDate),"Date is before the accounting start date",IF(AND(D1794&lt;&gt;"Adjustment",IFERROR(INDEX(coa_Pay,MATCH(K1794&amp;"",coa_Name,0)),"")&lt;&gt;"Yes"),"Paid From / Deposited To is not a payment account","")))))))))))</f>
        <v/>
      </c>
      <c r="Z1794" s="67">
        <f>IF(AND(T1794=0,X1794=""),1,0)</f>
        <v/>
      </c>
      <c r="AA1794" s="68">
        <f>IF(Z1794=1,IF(U1794="In",L1794,L1794-W1794),0)</f>
        <v/>
      </c>
      <c r="AB1794" s="68">
        <f>IF(Z1794=1,IF(U1794="In",L1794-W1794,L1794),0)</f>
        <v/>
      </c>
      <c r="AC1794" s="68">
        <f>IF(AND(Z1794=1,U1794="Out"),W1794,0)</f>
        <v/>
      </c>
      <c r="AD1794" s="68">
        <f>IF(AND(Z1794=1,U1794="In"),W1794,0)</f>
        <v/>
      </c>
    </row>
    <row r="1795">
      <c r="B1795" s="62" t="inlineStr">
        <is>
          <t>TX-1789</t>
        </is>
      </c>
      <c r="C1795" s="63" t="n"/>
      <c r="D1795" s="62" t="n"/>
      <c r="E1795" s="62" t="n"/>
      <c r="F1795" s="62" t="n"/>
      <c r="G1795" s="62" t="n"/>
      <c r="H1795" s="62" t="n"/>
      <c r="I1795" s="62" t="n"/>
      <c r="J1795" s="62" t="n"/>
      <c r="K1795" s="62" t="n"/>
      <c r="L1795" s="64" t="n"/>
      <c r="M1795" s="64" t="n"/>
      <c r="N1795" s="62" t="n"/>
      <c r="O1795" s="65">
        <f>IF(Z1795=1,L1795-W1795,"")</f>
        <v/>
      </c>
      <c r="P1795" s="66">
        <f>IF(V1795="","",IFERROR(INDEX(coa_Type,MATCH(V1795,coa_Name,0)),""))</f>
        <v/>
      </c>
      <c r="Q1795" s="66">
        <f>IF(Z1795=1,IF(U1795="In",K1795&amp;"",V1795),"")</f>
        <v/>
      </c>
      <c r="R1795" s="66">
        <f>IF(Z1795=1,IF(U1795="In",V1795,K1795&amp;""),"")</f>
        <v/>
      </c>
      <c r="S1795" s="66">
        <f>IF(X1795&lt;&gt;"","⛔ "&amp;X1795&amp;" — not posted",IF(Y1795&lt;&gt;"","⚠ "&amp;Y1795,IF(Z1795=1,"✓ OK","")))</f>
        <v/>
      </c>
      <c r="T1795" s="67">
        <f>IF(AND(C1795="",D1795="",E1795="",L1795="",K1795=""),1,0)</f>
        <v/>
      </c>
      <c r="U1795" s="67">
        <f>IFERROR(INDEX(tt_Dir,MATCH(D1795,tt_Type,0)),"")</f>
        <v/>
      </c>
      <c r="V1795" s="67">
        <f>IF(D1795="","",IFERROR(IF(INDEX(tt_Other,MATCH(D1795,tt_Type,0))="",E1795&amp;"",INDEX(tt_Other,MATCH(D1795,tt_Type,0))),""))</f>
        <v/>
      </c>
      <c r="W1795" s="68">
        <f>IF(OR(TaxOn&lt;&gt;"Yes",NOT(ISNUMBER(M1795))),0,IF(IFERROR(INDEX(tt_Tax,MATCH(D1795,tt_Type,0)),"No")="Yes",M1795,0))</f>
        <v/>
      </c>
      <c r="X1795" s="67">
        <f>IF(T1795=1,"",IF(C1795="","Missing transaction date",IF(NOT(ISNUMBER(C1795)),"Invalid date",IF(OR(C1795&lt;DATE(2000,1,1),C1795&gt;DATE(2099,12,31)),"Invalid date",IF(D1795="","Select a type",IF(U1795="","Unknown type: "&amp;D1795,IF(V1795="","Select an account (Category)",IF(ISNA(MATCH(V1795,coa_Name,0)),"Unknown account: "&amp;V1795,IF(K1795="","Select Paid From / Deposited To",IF(ISNA(MATCH(K1795,coa_Name,0)),"Unknown account: "&amp;K1795,IF(NOT(ISNUMBER(L1795)),"Enter an amount",IF(L1795=0,"Enter an amount",IF(ABS(W1795)&gt;ABS(L1795),"Tax is larger than the amount","")))))))))))))</f>
        <v/>
      </c>
      <c r="Y1795" s="67">
        <f>IF(OR(T1795=1,X1795&lt;&gt;""),"",IF(AND(B1795&lt;&gt;"",COUNTIF(tx_ID,B1795)&gt;1),"Duplicate transaction ID",IF(AND(L1795&lt;0,D1795&lt;&gt;"Adjustment"),"Negative amount — check this entry",IF(AND(D1795="Customer Payment",G1795=""),"Add the customer",IF(AND(D1795="Customer Payment",OR(J1795="",COUNTIF(ar_No,J1795&amp;"")=0)),"Invoice # in Reference not found on AR sheet",IF(AND(D1795="Bill Payment",H1795=""),"Add the vendor",IF(AND(D1795="Bill Payment",OR(J1795="",COUNTIFS(ap_No,J1795&amp;"",ap_Party,H1795&amp;"")=0)),"Bill # + vendor not found on AP sheet",IF(AND(ISNUMBER(M1795),N(M1795)&lt;&gt;0,W1795=0),"Tax ignored (tax tracking off, or not allowed for this type)",IF(V1795=K1795&amp;"","Same account on both sides",IF(AND(ISNUMBER(StartDate),C1795&lt;StartDate),"Date is before the accounting start date",IF(AND(D1795&lt;&gt;"Adjustment",IFERROR(INDEX(coa_Pay,MATCH(K1795&amp;"",coa_Name,0)),"")&lt;&gt;"Yes"),"Paid From / Deposited To is not a payment account","")))))))))))</f>
        <v/>
      </c>
      <c r="Z1795" s="67">
        <f>IF(AND(T1795=0,X1795=""),1,0)</f>
        <v/>
      </c>
      <c r="AA1795" s="68">
        <f>IF(Z1795=1,IF(U1795="In",L1795,L1795-W1795),0)</f>
        <v/>
      </c>
      <c r="AB1795" s="68">
        <f>IF(Z1795=1,IF(U1795="In",L1795-W1795,L1795),0)</f>
        <v/>
      </c>
      <c r="AC1795" s="68">
        <f>IF(AND(Z1795=1,U1795="Out"),W1795,0)</f>
        <v/>
      </c>
      <c r="AD1795" s="68">
        <f>IF(AND(Z1795=1,U1795="In"),W1795,0)</f>
        <v/>
      </c>
    </row>
    <row r="1796">
      <c r="B1796" s="62" t="inlineStr">
        <is>
          <t>TX-1790</t>
        </is>
      </c>
      <c r="C1796" s="63" t="n"/>
      <c r="D1796" s="62" t="n"/>
      <c r="E1796" s="62" t="n"/>
      <c r="F1796" s="62" t="n"/>
      <c r="G1796" s="62" t="n"/>
      <c r="H1796" s="62" t="n"/>
      <c r="I1796" s="62" t="n"/>
      <c r="J1796" s="62" t="n"/>
      <c r="K1796" s="62" t="n"/>
      <c r="L1796" s="64" t="n"/>
      <c r="M1796" s="64" t="n"/>
      <c r="N1796" s="62" t="n"/>
      <c r="O1796" s="65">
        <f>IF(Z1796=1,L1796-W1796,"")</f>
        <v/>
      </c>
      <c r="P1796" s="66">
        <f>IF(V1796="","",IFERROR(INDEX(coa_Type,MATCH(V1796,coa_Name,0)),""))</f>
        <v/>
      </c>
      <c r="Q1796" s="66">
        <f>IF(Z1796=1,IF(U1796="In",K1796&amp;"",V1796),"")</f>
        <v/>
      </c>
      <c r="R1796" s="66">
        <f>IF(Z1796=1,IF(U1796="In",V1796,K1796&amp;""),"")</f>
        <v/>
      </c>
      <c r="S1796" s="66">
        <f>IF(X1796&lt;&gt;"","⛔ "&amp;X1796&amp;" — not posted",IF(Y1796&lt;&gt;"","⚠ "&amp;Y1796,IF(Z1796=1,"✓ OK","")))</f>
        <v/>
      </c>
      <c r="T1796" s="67">
        <f>IF(AND(C1796="",D1796="",E1796="",L1796="",K1796=""),1,0)</f>
        <v/>
      </c>
      <c r="U1796" s="67">
        <f>IFERROR(INDEX(tt_Dir,MATCH(D1796,tt_Type,0)),"")</f>
        <v/>
      </c>
      <c r="V1796" s="67">
        <f>IF(D1796="","",IFERROR(IF(INDEX(tt_Other,MATCH(D1796,tt_Type,0))="",E1796&amp;"",INDEX(tt_Other,MATCH(D1796,tt_Type,0))),""))</f>
        <v/>
      </c>
      <c r="W1796" s="68">
        <f>IF(OR(TaxOn&lt;&gt;"Yes",NOT(ISNUMBER(M1796))),0,IF(IFERROR(INDEX(tt_Tax,MATCH(D1796,tt_Type,0)),"No")="Yes",M1796,0))</f>
        <v/>
      </c>
      <c r="X1796" s="67">
        <f>IF(T1796=1,"",IF(C1796="","Missing transaction date",IF(NOT(ISNUMBER(C1796)),"Invalid date",IF(OR(C1796&lt;DATE(2000,1,1),C1796&gt;DATE(2099,12,31)),"Invalid date",IF(D1796="","Select a type",IF(U1796="","Unknown type: "&amp;D1796,IF(V1796="","Select an account (Category)",IF(ISNA(MATCH(V1796,coa_Name,0)),"Unknown account: "&amp;V1796,IF(K1796="","Select Paid From / Deposited To",IF(ISNA(MATCH(K1796,coa_Name,0)),"Unknown account: "&amp;K1796,IF(NOT(ISNUMBER(L1796)),"Enter an amount",IF(L1796=0,"Enter an amount",IF(ABS(W1796)&gt;ABS(L1796),"Tax is larger than the amount","")))))))))))))</f>
        <v/>
      </c>
      <c r="Y1796" s="67">
        <f>IF(OR(T1796=1,X1796&lt;&gt;""),"",IF(AND(B1796&lt;&gt;"",COUNTIF(tx_ID,B1796)&gt;1),"Duplicate transaction ID",IF(AND(L1796&lt;0,D1796&lt;&gt;"Adjustment"),"Negative amount — check this entry",IF(AND(D1796="Customer Payment",G1796=""),"Add the customer",IF(AND(D1796="Customer Payment",OR(J1796="",COUNTIF(ar_No,J1796&amp;"")=0)),"Invoice # in Reference not found on AR sheet",IF(AND(D1796="Bill Payment",H1796=""),"Add the vendor",IF(AND(D1796="Bill Payment",OR(J1796="",COUNTIFS(ap_No,J1796&amp;"",ap_Party,H1796&amp;"")=0)),"Bill # + vendor not found on AP sheet",IF(AND(ISNUMBER(M1796),N(M1796)&lt;&gt;0,W1796=0),"Tax ignored (tax tracking off, or not allowed for this type)",IF(V1796=K1796&amp;"","Same account on both sides",IF(AND(ISNUMBER(StartDate),C1796&lt;StartDate),"Date is before the accounting start date",IF(AND(D1796&lt;&gt;"Adjustment",IFERROR(INDEX(coa_Pay,MATCH(K1796&amp;"",coa_Name,0)),"")&lt;&gt;"Yes"),"Paid From / Deposited To is not a payment account","")))))))))))</f>
        <v/>
      </c>
      <c r="Z1796" s="67">
        <f>IF(AND(T1796=0,X1796=""),1,0)</f>
        <v/>
      </c>
      <c r="AA1796" s="68">
        <f>IF(Z1796=1,IF(U1796="In",L1796,L1796-W1796),0)</f>
        <v/>
      </c>
      <c r="AB1796" s="68">
        <f>IF(Z1796=1,IF(U1796="In",L1796-W1796,L1796),0)</f>
        <v/>
      </c>
      <c r="AC1796" s="68">
        <f>IF(AND(Z1796=1,U1796="Out"),W1796,0)</f>
        <v/>
      </c>
      <c r="AD1796" s="68">
        <f>IF(AND(Z1796=1,U1796="In"),W1796,0)</f>
        <v/>
      </c>
    </row>
    <row r="1797">
      <c r="B1797" s="62" t="inlineStr">
        <is>
          <t>TX-1791</t>
        </is>
      </c>
      <c r="C1797" s="63" t="n"/>
      <c r="D1797" s="62" t="n"/>
      <c r="E1797" s="62" t="n"/>
      <c r="F1797" s="62" t="n"/>
      <c r="G1797" s="62" t="n"/>
      <c r="H1797" s="62" t="n"/>
      <c r="I1797" s="62" t="n"/>
      <c r="J1797" s="62" t="n"/>
      <c r="K1797" s="62" t="n"/>
      <c r="L1797" s="64" t="n"/>
      <c r="M1797" s="64" t="n"/>
      <c r="N1797" s="62" t="n"/>
      <c r="O1797" s="65">
        <f>IF(Z1797=1,L1797-W1797,"")</f>
        <v/>
      </c>
      <c r="P1797" s="66">
        <f>IF(V1797="","",IFERROR(INDEX(coa_Type,MATCH(V1797,coa_Name,0)),""))</f>
        <v/>
      </c>
      <c r="Q1797" s="66">
        <f>IF(Z1797=1,IF(U1797="In",K1797&amp;"",V1797),"")</f>
        <v/>
      </c>
      <c r="R1797" s="66">
        <f>IF(Z1797=1,IF(U1797="In",V1797,K1797&amp;""),"")</f>
        <v/>
      </c>
      <c r="S1797" s="66">
        <f>IF(X1797&lt;&gt;"","⛔ "&amp;X1797&amp;" — not posted",IF(Y1797&lt;&gt;"","⚠ "&amp;Y1797,IF(Z1797=1,"✓ OK","")))</f>
        <v/>
      </c>
      <c r="T1797" s="67">
        <f>IF(AND(C1797="",D1797="",E1797="",L1797="",K1797=""),1,0)</f>
        <v/>
      </c>
      <c r="U1797" s="67">
        <f>IFERROR(INDEX(tt_Dir,MATCH(D1797,tt_Type,0)),"")</f>
        <v/>
      </c>
      <c r="V1797" s="67">
        <f>IF(D1797="","",IFERROR(IF(INDEX(tt_Other,MATCH(D1797,tt_Type,0))="",E1797&amp;"",INDEX(tt_Other,MATCH(D1797,tt_Type,0))),""))</f>
        <v/>
      </c>
      <c r="W1797" s="68">
        <f>IF(OR(TaxOn&lt;&gt;"Yes",NOT(ISNUMBER(M1797))),0,IF(IFERROR(INDEX(tt_Tax,MATCH(D1797,tt_Type,0)),"No")="Yes",M1797,0))</f>
        <v/>
      </c>
      <c r="X1797" s="67">
        <f>IF(T1797=1,"",IF(C1797="","Missing transaction date",IF(NOT(ISNUMBER(C1797)),"Invalid date",IF(OR(C1797&lt;DATE(2000,1,1),C1797&gt;DATE(2099,12,31)),"Invalid date",IF(D1797="","Select a type",IF(U1797="","Unknown type: "&amp;D1797,IF(V1797="","Select an account (Category)",IF(ISNA(MATCH(V1797,coa_Name,0)),"Unknown account: "&amp;V1797,IF(K1797="","Select Paid From / Deposited To",IF(ISNA(MATCH(K1797,coa_Name,0)),"Unknown account: "&amp;K1797,IF(NOT(ISNUMBER(L1797)),"Enter an amount",IF(L1797=0,"Enter an amount",IF(ABS(W1797)&gt;ABS(L1797),"Tax is larger than the amount","")))))))))))))</f>
        <v/>
      </c>
      <c r="Y1797" s="67">
        <f>IF(OR(T1797=1,X1797&lt;&gt;""),"",IF(AND(B1797&lt;&gt;"",COUNTIF(tx_ID,B1797)&gt;1),"Duplicate transaction ID",IF(AND(L1797&lt;0,D1797&lt;&gt;"Adjustment"),"Negative amount — check this entry",IF(AND(D1797="Customer Payment",G1797=""),"Add the customer",IF(AND(D1797="Customer Payment",OR(J1797="",COUNTIF(ar_No,J1797&amp;"")=0)),"Invoice # in Reference not found on AR sheet",IF(AND(D1797="Bill Payment",H1797=""),"Add the vendor",IF(AND(D1797="Bill Payment",OR(J1797="",COUNTIFS(ap_No,J1797&amp;"",ap_Party,H1797&amp;"")=0)),"Bill # + vendor not found on AP sheet",IF(AND(ISNUMBER(M1797),N(M1797)&lt;&gt;0,W1797=0),"Tax ignored (tax tracking off, or not allowed for this type)",IF(V1797=K1797&amp;"","Same account on both sides",IF(AND(ISNUMBER(StartDate),C1797&lt;StartDate),"Date is before the accounting start date",IF(AND(D1797&lt;&gt;"Adjustment",IFERROR(INDEX(coa_Pay,MATCH(K1797&amp;"",coa_Name,0)),"")&lt;&gt;"Yes"),"Paid From / Deposited To is not a payment account","")))))))))))</f>
        <v/>
      </c>
      <c r="Z1797" s="67">
        <f>IF(AND(T1797=0,X1797=""),1,0)</f>
        <v/>
      </c>
      <c r="AA1797" s="68">
        <f>IF(Z1797=1,IF(U1797="In",L1797,L1797-W1797),0)</f>
        <v/>
      </c>
      <c r="AB1797" s="68">
        <f>IF(Z1797=1,IF(U1797="In",L1797-W1797,L1797),0)</f>
        <v/>
      </c>
      <c r="AC1797" s="68">
        <f>IF(AND(Z1797=1,U1797="Out"),W1797,0)</f>
        <v/>
      </c>
      <c r="AD1797" s="68">
        <f>IF(AND(Z1797=1,U1797="In"),W1797,0)</f>
        <v/>
      </c>
    </row>
    <row r="1798">
      <c r="B1798" s="62" t="inlineStr">
        <is>
          <t>TX-1792</t>
        </is>
      </c>
      <c r="C1798" s="63" t="n"/>
      <c r="D1798" s="62" t="n"/>
      <c r="E1798" s="62" t="n"/>
      <c r="F1798" s="62" t="n"/>
      <c r="G1798" s="62" t="n"/>
      <c r="H1798" s="62" t="n"/>
      <c r="I1798" s="62" t="n"/>
      <c r="J1798" s="62" t="n"/>
      <c r="K1798" s="62" t="n"/>
      <c r="L1798" s="64" t="n"/>
      <c r="M1798" s="64" t="n"/>
      <c r="N1798" s="62" t="n"/>
      <c r="O1798" s="65">
        <f>IF(Z1798=1,L1798-W1798,"")</f>
        <v/>
      </c>
      <c r="P1798" s="66">
        <f>IF(V1798="","",IFERROR(INDEX(coa_Type,MATCH(V1798,coa_Name,0)),""))</f>
        <v/>
      </c>
      <c r="Q1798" s="66">
        <f>IF(Z1798=1,IF(U1798="In",K1798&amp;"",V1798),"")</f>
        <v/>
      </c>
      <c r="R1798" s="66">
        <f>IF(Z1798=1,IF(U1798="In",V1798,K1798&amp;""),"")</f>
        <v/>
      </c>
      <c r="S1798" s="66">
        <f>IF(X1798&lt;&gt;"","⛔ "&amp;X1798&amp;" — not posted",IF(Y1798&lt;&gt;"","⚠ "&amp;Y1798,IF(Z1798=1,"✓ OK","")))</f>
        <v/>
      </c>
      <c r="T1798" s="67">
        <f>IF(AND(C1798="",D1798="",E1798="",L1798="",K1798=""),1,0)</f>
        <v/>
      </c>
      <c r="U1798" s="67">
        <f>IFERROR(INDEX(tt_Dir,MATCH(D1798,tt_Type,0)),"")</f>
        <v/>
      </c>
      <c r="V1798" s="67">
        <f>IF(D1798="","",IFERROR(IF(INDEX(tt_Other,MATCH(D1798,tt_Type,0))="",E1798&amp;"",INDEX(tt_Other,MATCH(D1798,tt_Type,0))),""))</f>
        <v/>
      </c>
      <c r="W1798" s="68">
        <f>IF(OR(TaxOn&lt;&gt;"Yes",NOT(ISNUMBER(M1798))),0,IF(IFERROR(INDEX(tt_Tax,MATCH(D1798,tt_Type,0)),"No")="Yes",M1798,0))</f>
        <v/>
      </c>
      <c r="X1798" s="67">
        <f>IF(T1798=1,"",IF(C1798="","Missing transaction date",IF(NOT(ISNUMBER(C1798)),"Invalid date",IF(OR(C1798&lt;DATE(2000,1,1),C1798&gt;DATE(2099,12,31)),"Invalid date",IF(D1798="","Select a type",IF(U1798="","Unknown type: "&amp;D1798,IF(V1798="","Select an account (Category)",IF(ISNA(MATCH(V1798,coa_Name,0)),"Unknown account: "&amp;V1798,IF(K1798="","Select Paid From / Deposited To",IF(ISNA(MATCH(K1798,coa_Name,0)),"Unknown account: "&amp;K1798,IF(NOT(ISNUMBER(L1798)),"Enter an amount",IF(L1798=0,"Enter an amount",IF(ABS(W1798)&gt;ABS(L1798),"Tax is larger than the amount","")))))))))))))</f>
        <v/>
      </c>
      <c r="Y1798" s="67">
        <f>IF(OR(T1798=1,X1798&lt;&gt;""),"",IF(AND(B1798&lt;&gt;"",COUNTIF(tx_ID,B1798)&gt;1),"Duplicate transaction ID",IF(AND(L1798&lt;0,D1798&lt;&gt;"Adjustment"),"Negative amount — check this entry",IF(AND(D1798="Customer Payment",G1798=""),"Add the customer",IF(AND(D1798="Customer Payment",OR(J1798="",COUNTIF(ar_No,J1798&amp;"")=0)),"Invoice # in Reference not found on AR sheet",IF(AND(D1798="Bill Payment",H1798=""),"Add the vendor",IF(AND(D1798="Bill Payment",OR(J1798="",COUNTIFS(ap_No,J1798&amp;"",ap_Party,H1798&amp;"")=0)),"Bill # + vendor not found on AP sheet",IF(AND(ISNUMBER(M1798),N(M1798)&lt;&gt;0,W1798=0),"Tax ignored (tax tracking off, or not allowed for this type)",IF(V1798=K1798&amp;"","Same account on both sides",IF(AND(ISNUMBER(StartDate),C1798&lt;StartDate),"Date is before the accounting start date",IF(AND(D1798&lt;&gt;"Adjustment",IFERROR(INDEX(coa_Pay,MATCH(K1798&amp;"",coa_Name,0)),"")&lt;&gt;"Yes"),"Paid From / Deposited To is not a payment account","")))))))))))</f>
        <v/>
      </c>
      <c r="Z1798" s="67">
        <f>IF(AND(T1798=0,X1798=""),1,0)</f>
        <v/>
      </c>
      <c r="AA1798" s="68">
        <f>IF(Z1798=1,IF(U1798="In",L1798,L1798-W1798),0)</f>
        <v/>
      </c>
      <c r="AB1798" s="68">
        <f>IF(Z1798=1,IF(U1798="In",L1798-W1798,L1798),0)</f>
        <v/>
      </c>
      <c r="AC1798" s="68">
        <f>IF(AND(Z1798=1,U1798="Out"),W1798,0)</f>
        <v/>
      </c>
      <c r="AD1798" s="68">
        <f>IF(AND(Z1798=1,U1798="In"),W1798,0)</f>
        <v/>
      </c>
    </row>
    <row r="1799">
      <c r="B1799" s="62" t="inlineStr">
        <is>
          <t>TX-1793</t>
        </is>
      </c>
      <c r="C1799" s="63" t="n"/>
      <c r="D1799" s="62" t="n"/>
      <c r="E1799" s="62" t="n"/>
      <c r="F1799" s="62" t="n"/>
      <c r="G1799" s="62" t="n"/>
      <c r="H1799" s="62" t="n"/>
      <c r="I1799" s="62" t="n"/>
      <c r="J1799" s="62" t="n"/>
      <c r="K1799" s="62" t="n"/>
      <c r="L1799" s="64" t="n"/>
      <c r="M1799" s="64" t="n"/>
      <c r="N1799" s="62" t="n"/>
      <c r="O1799" s="65">
        <f>IF(Z1799=1,L1799-W1799,"")</f>
        <v/>
      </c>
      <c r="P1799" s="66">
        <f>IF(V1799="","",IFERROR(INDEX(coa_Type,MATCH(V1799,coa_Name,0)),""))</f>
        <v/>
      </c>
      <c r="Q1799" s="66">
        <f>IF(Z1799=1,IF(U1799="In",K1799&amp;"",V1799),"")</f>
        <v/>
      </c>
      <c r="R1799" s="66">
        <f>IF(Z1799=1,IF(U1799="In",V1799,K1799&amp;""),"")</f>
        <v/>
      </c>
      <c r="S1799" s="66">
        <f>IF(X1799&lt;&gt;"","⛔ "&amp;X1799&amp;" — not posted",IF(Y1799&lt;&gt;"","⚠ "&amp;Y1799,IF(Z1799=1,"✓ OK","")))</f>
        <v/>
      </c>
      <c r="T1799" s="67">
        <f>IF(AND(C1799="",D1799="",E1799="",L1799="",K1799=""),1,0)</f>
        <v/>
      </c>
      <c r="U1799" s="67">
        <f>IFERROR(INDEX(tt_Dir,MATCH(D1799,tt_Type,0)),"")</f>
        <v/>
      </c>
      <c r="V1799" s="67">
        <f>IF(D1799="","",IFERROR(IF(INDEX(tt_Other,MATCH(D1799,tt_Type,0))="",E1799&amp;"",INDEX(tt_Other,MATCH(D1799,tt_Type,0))),""))</f>
        <v/>
      </c>
      <c r="W1799" s="68">
        <f>IF(OR(TaxOn&lt;&gt;"Yes",NOT(ISNUMBER(M1799))),0,IF(IFERROR(INDEX(tt_Tax,MATCH(D1799,tt_Type,0)),"No")="Yes",M1799,0))</f>
        <v/>
      </c>
      <c r="X1799" s="67">
        <f>IF(T1799=1,"",IF(C1799="","Missing transaction date",IF(NOT(ISNUMBER(C1799)),"Invalid date",IF(OR(C1799&lt;DATE(2000,1,1),C1799&gt;DATE(2099,12,31)),"Invalid date",IF(D1799="","Select a type",IF(U1799="","Unknown type: "&amp;D1799,IF(V1799="","Select an account (Category)",IF(ISNA(MATCH(V1799,coa_Name,0)),"Unknown account: "&amp;V1799,IF(K1799="","Select Paid From / Deposited To",IF(ISNA(MATCH(K1799,coa_Name,0)),"Unknown account: "&amp;K1799,IF(NOT(ISNUMBER(L1799)),"Enter an amount",IF(L1799=0,"Enter an amount",IF(ABS(W1799)&gt;ABS(L1799),"Tax is larger than the amount","")))))))))))))</f>
        <v/>
      </c>
      <c r="Y1799" s="67">
        <f>IF(OR(T1799=1,X1799&lt;&gt;""),"",IF(AND(B1799&lt;&gt;"",COUNTIF(tx_ID,B1799)&gt;1),"Duplicate transaction ID",IF(AND(L1799&lt;0,D1799&lt;&gt;"Adjustment"),"Negative amount — check this entry",IF(AND(D1799="Customer Payment",G1799=""),"Add the customer",IF(AND(D1799="Customer Payment",OR(J1799="",COUNTIF(ar_No,J1799&amp;"")=0)),"Invoice # in Reference not found on AR sheet",IF(AND(D1799="Bill Payment",H1799=""),"Add the vendor",IF(AND(D1799="Bill Payment",OR(J1799="",COUNTIFS(ap_No,J1799&amp;"",ap_Party,H1799&amp;"")=0)),"Bill # + vendor not found on AP sheet",IF(AND(ISNUMBER(M1799),N(M1799)&lt;&gt;0,W1799=0),"Tax ignored (tax tracking off, or not allowed for this type)",IF(V1799=K1799&amp;"","Same account on both sides",IF(AND(ISNUMBER(StartDate),C1799&lt;StartDate),"Date is before the accounting start date",IF(AND(D1799&lt;&gt;"Adjustment",IFERROR(INDEX(coa_Pay,MATCH(K1799&amp;"",coa_Name,0)),"")&lt;&gt;"Yes"),"Paid From / Deposited To is not a payment account","")))))))))))</f>
        <v/>
      </c>
      <c r="Z1799" s="67">
        <f>IF(AND(T1799=0,X1799=""),1,0)</f>
        <v/>
      </c>
      <c r="AA1799" s="68">
        <f>IF(Z1799=1,IF(U1799="In",L1799,L1799-W1799),0)</f>
        <v/>
      </c>
      <c r="AB1799" s="68">
        <f>IF(Z1799=1,IF(U1799="In",L1799-W1799,L1799),0)</f>
        <v/>
      </c>
      <c r="AC1799" s="68">
        <f>IF(AND(Z1799=1,U1799="Out"),W1799,0)</f>
        <v/>
      </c>
      <c r="AD1799" s="68">
        <f>IF(AND(Z1799=1,U1799="In"),W1799,0)</f>
        <v/>
      </c>
    </row>
    <row r="1800">
      <c r="B1800" s="62" t="inlineStr">
        <is>
          <t>TX-1794</t>
        </is>
      </c>
      <c r="C1800" s="63" t="n"/>
      <c r="D1800" s="62" t="n"/>
      <c r="E1800" s="62" t="n"/>
      <c r="F1800" s="62" t="n"/>
      <c r="G1800" s="62" t="n"/>
      <c r="H1800" s="62" t="n"/>
      <c r="I1800" s="62" t="n"/>
      <c r="J1800" s="62" t="n"/>
      <c r="K1800" s="62" t="n"/>
      <c r="L1800" s="64" t="n"/>
      <c r="M1800" s="64" t="n"/>
      <c r="N1800" s="62" t="n"/>
      <c r="O1800" s="65">
        <f>IF(Z1800=1,L1800-W1800,"")</f>
        <v/>
      </c>
      <c r="P1800" s="66">
        <f>IF(V1800="","",IFERROR(INDEX(coa_Type,MATCH(V1800,coa_Name,0)),""))</f>
        <v/>
      </c>
      <c r="Q1800" s="66">
        <f>IF(Z1800=1,IF(U1800="In",K1800&amp;"",V1800),"")</f>
        <v/>
      </c>
      <c r="R1800" s="66">
        <f>IF(Z1800=1,IF(U1800="In",V1800,K1800&amp;""),"")</f>
        <v/>
      </c>
      <c r="S1800" s="66">
        <f>IF(X1800&lt;&gt;"","⛔ "&amp;X1800&amp;" — not posted",IF(Y1800&lt;&gt;"","⚠ "&amp;Y1800,IF(Z1800=1,"✓ OK","")))</f>
        <v/>
      </c>
      <c r="T1800" s="67">
        <f>IF(AND(C1800="",D1800="",E1800="",L1800="",K1800=""),1,0)</f>
        <v/>
      </c>
      <c r="U1800" s="67">
        <f>IFERROR(INDEX(tt_Dir,MATCH(D1800,tt_Type,0)),"")</f>
        <v/>
      </c>
      <c r="V1800" s="67">
        <f>IF(D1800="","",IFERROR(IF(INDEX(tt_Other,MATCH(D1800,tt_Type,0))="",E1800&amp;"",INDEX(tt_Other,MATCH(D1800,tt_Type,0))),""))</f>
        <v/>
      </c>
      <c r="W1800" s="68">
        <f>IF(OR(TaxOn&lt;&gt;"Yes",NOT(ISNUMBER(M1800))),0,IF(IFERROR(INDEX(tt_Tax,MATCH(D1800,tt_Type,0)),"No")="Yes",M1800,0))</f>
        <v/>
      </c>
      <c r="X1800" s="67">
        <f>IF(T1800=1,"",IF(C1800="","Missing transaction date",IF(NOT(ISNUMBER(C1800)),"Invalid date",IF(OR(C1800&lt;DATE(2000,1,1),C1800&gt;DATE(2099,12,31)),"Invalid date",IF(D1800="","Select a type",IF(U1800="","Unknown type: "&amp;D1800,IF(V1800="","Select an account (Category)",IF(ISNA(MATCH(V1800,coa_Name,0)),"Unknown account: "&amp;V1800,IF(K1800="","Select Paid From / Deposited To",IF(ISNA(MATCH(K1800,coa_Name,0)),"Unknown account: "&amp;K1800,IF(NOT(ISNUMBER(L1800)),"Enter an amount",IF(L1800=0,"Enter an amount",IF(ABS(W1800)&gt;ABS(L1800),"Tax is larger than the amount","")))))))))))))</f>
        <v/>
      </c>
      <c r="Y1800" s="67">
        <f>IF(OR(T1800=1,X1800&lt;&gt;""),"",IF(AND(B1800&lt;&gt;"",COUNTIF(tx_ID,B1800)&gt;1),"Duplicate transaction ID",IF(AND(L1800&lt;0,D1800&lt;&gt;"Adjustment"),"Negative amount — check this entry",IF(AND(D1800="Customer Payment",G1800=""),"Add the customer",IF(AND(D1800="Customer Payment",OR(J1800="",COUNTIF(ar_No,J1800&amp;"")=0)),"Invoice # in Reference not found on AR sheet",IF(AND(D1800="Bill Payment",H1800=""),"Add the vendor",IF(AND(D1800="Bill Payment",OR(J1800="",COUNTIFS(ap_No,J1800&amp;"",ap_Party,H1800&amp;"")=0)),"Bill # + vendor not found on AP sheet",IF(AND(ISNUMBER(M1800),N(M1800)&lt;&gt;0,W1800=0),"Tax ignored (tax tracking off, or not allowed for this type)",IF(V1800=K1800&amp;"","Same account on both sides",IF(AND(ISNUMBER(StartDate),C1800&lt;StartDate),"Date is before the accounting start date",IF(AND(D1800&lt;&gt;"Adjustment",IFERROR(INDEX(coa_Pay,MATCH(K1800&amp;"",coa_Name,0)),"")&lt;&gt;"Yes"),"Paid From / Deposited To is not a payment account","")))))))))))</f>
        <v/>
      </c>
      <c r="Z1800" s="67">
        <f>IF(AND(T1800=0,X1800=""),1,0)</f>
        <v/>
      </c>
      <c r="AA1800" s="68">
        <f>IF(Z1800=1,IF(U1800="In",L1800,L1800-W1800),0)</f>
        <v/>
      </c>
      <c r="AB1800" s="68">
        <f>IF(Z1800=1,IF(U1800="In",L1800-W1800,L1800),0)</f>
        <v/>
      </c>
      <c r="AC1800" s="68">
        <f>IF(AND(Z1800=1,U1800="Out"),W1800,0)</f>
        <v/>
      </c>
      <c r="AD1800" s="68">
        <f>IF(AND(Z1800=1,U1800="In"),W1800,0)</f>
        <v/>
      </c>
    </row>
    <row r="1801">
      <c r="B1801" s="62" t="inlineStr">
        <is>
          <t>TX-1795</t>
        </is>
      </c>
      <c r="C1801" s="63" t="n"/>
      <c r="D1801" s="62" t="n"/>
      <c r="E1801" s="62" t="n"/>
      <c r="F1801" s="62" t="n"/>
      <c r="G1801" s="62" t="n"/>
      <c r="H1801" s="62" t="n"/>
      <c r="I1801" s="62" t="n"/>
      <c r="J1801" s="62" t="n"/>
      <c r="K1801" s="62" t="n"/>
      <c r="L1801" s="64" t="n"/>
      <c r="M1801" s="64" t="n"/>
      <c r="N1801" s="62" t="n"/>
      <c r="O1801" s="65">
        <f>IF(Z1801=1,L1801-W1801,"")</f>
        <v/>
      </c>
      <c r="P1801" s="66">
        <f>IF(V1801="","",IFERROR(INDEX(coa_Type,MATCH(V1801,coa_Name,0)),""))</f>
        <v/>
      </c>
      <c r="Q1801" s="66">
        <f>IF(Z1801=1,IF(U1801="In",K1801&amp;"",V1801),"")</f>
        <v/>
      </c>
      <c r="R1801" s="66">
        <f>IF(Z1801=1,IF(U1801="In",V1801,K1801&amp;""),"")</f>
        <v/>
      </c>
      <c r="S1801" s="66">
        <f>IF(X1801&lt;&gt;"","⛔ "&amp;X1801&amp;" — not posted",IF(Y1801&lt;&gt;"","⚠ "&amp;Y1801,IF(Z1801=1,"✓ OK","")))</f>
        <v/>
      </c>
      <c r="T1801" s="67">
        <f>IF(AND(C1801="",D1801="",E1801="",L1801="",K1801=""),1,0)</f>
        <v/>
      </c>
      <c r="U1801" s="67">
        <f>IFERROR(INDEX(tt_Dir,MATCH(D1801,tt_Type,0)),"")</f>
        <v/>
      </c>
      <c r="V1801" s="67">
        <f>IF(D1801="","",IFERROR(IF(INDEX(tt_Other,MATCH(D1801,tt_Type,0))="",E1801&amp;"",INDEX(tt_Other,MATCH(D1801,tt_Type,0))),""))</f>
        <v/>
      </c>
      <c r="W1801" s="68">
        <f>IF(OR(TaxOn&lt;&gt;"Yes",NOT(ISNUMBER(M1801))),0,IF(IFERROR(INDEX(tt_Tax,MATCH(D1801,tt_Type,0)),"No")="Yes",M1801,0))</f>
        <v/>
      </c>
      <c r="X1801" s="67">
        <f>IF(T1801=1,"",IF(C1801="","Missing transaction date",IF(NOT(ISNUMBER(C1801)),"Invalid date",IF(OR(C1801&lt;DATE(2000,1,1),C1801&gt;DATE(2099,12,31)),"Invalid date",IF(D1801="","Select a type",IF(U1801="","Unknown type: "&amp;D1801,IF(V1801="","Select an account (Category)",IF(ISNA(MATCH(V1801,coa_Name,0)),"Unknown account: "&amp;V1801,IF(K1801="","Select Paid From / Deposited To",IF(ISNA(MATCH(K1801,coa_Name,0)),"Unknown account: "&amp;K1801,IF(NOT(ISNUMBER(L1801)),"Enter an amount",IF(L1801=0,"Enter an amount",IF(ABS(W1801)&gt;ABS(L1801),"Tax is larger than the amount","")))))))))))))</f>
        <v/>
      </c>
      <c r="Y1801" s="67">
        <f>IF(OR(T1801=1,X1801&lt;&gt;""),"",IF(AND(B1801&lt;&gt;"",COUNTIF(tx_ID,B1801)&gt;1),"Duplicate transaction ID",IF(AND(L1801&lt;0,D1801&lt;&gt;"Adjustment"),"Negative amount — check this entry",IF(AND(D1801="Customer Payment",G1801=""),"Add the customer",IF(AND(D1801="Customer Payment",OR(J1801="",COUNTIF(ar_No,J1801&amp;"")=0)),"Invoice # in Reference not found on AR sheet",IF(AND(D1801="Bill Payment",H1801=""),"Add the vendor",IF(AND(D1801="Bill Payment",OR(J1801="",COUNTIFS(ap_No,J1801&amp;"",ap_Party,H1801&amp;"")=0)),"Bill # + vendor not found on AP sheet",IF(AND(ISNUMBER(M1801),N(M1801)&lt;&gt;0,W1801=0),"Tax ignored (tax tracking off, or not allowed for this type)",IF(V1801=K1801&amp;"","Same account on both sides",IF(AND(ISNUMBER(StartDate),C1801&lt;StartDate),"Date is before the accounting start date",IF(AND(D1801&lt;&gt;"Adjustment",IFERROR(INDEX(coa_Pay,MATCH(K1801&amp;"",coa_Name,0)),"")&lt;&gt;"Yes"),"Paid From / Deposited To is not a payment account","")))))))))))</f>
        <v/>
      </c>
      <c r="Z1801" s="67">
        <f>IF(AND(T1801=0,X1801=""),1,0)</f>
        <v/>
      </c>
      <c r="AA1801" s="68">
        <f>IF(Z1801=1,IF(U1801="In",L1801,L1801-W1801),0)</f>
        <v/>
      </c>
      <c r="AB1801" s="68">
        <f>IF(Z1801=1,IF(U1801="In",L1801-W1801,L1801),0)</f>
        <v/>
      </c>
      <c r="AC1801" s="68">
        <f>IF(AND(Z1801=1,U1801="Out"),W1801,0)</f>
        <v/>
      </c>
      <c r="AD1801" s="68">
        <f>IF(AND(Z1801=1,U1801="In"),W1801,0)</f>
        <v/>
      </c>
    </row>
    <row r="1802">
      <c r="B1802" s="62" t="inlineStr">
        <is>
          <t>TX-1796</t>
        </is>
      </c>
      <c r="C1802" s="63" t="n"/>
      <c r="D1802" s="62" t="n"/>
      <c r="E1802" s="62" t="n"/>
      <c r="F1802" s="62" t="n"/>
      <c r="G1802" s="62" t="n"/>
      <c r="H1802" s="62" t="n"/>
      <c r="I1802" s="62" t="n"/>
      <c r="J1802" s="62" t="n"/>
      <c r="K1802" s="62" t="n"/>
      <c r="L1802" s="64" t="n"/>
      <c r="M1802" s="64" t="n"/>
      <c r="N1802" s="62" t="n"/>
      <c r="O1802" s="65">
        <f>IF(Z1802=1,L1802-W1802,"")</f>
        <v/>
      </c>
      <c r="P1802" s="66">
        <f>IF(V1802="","",IFERROR(INDEX(coa_Type,MATCH(V1802,coa_Name,0)),""))</f>
        <v/>
      </c>
      <c r="Q1802" s="66">
        <f>IF(Z1802=1,IF(U1802="In",K1802&amp;"",V1802),"")</f>
        <v/>
      </c>
      <c r="R1802" s="66">
        <f>IF(Z1802=1,IF(U1802="In",V1802,K1802&amp;""),"")</f>
        <v/>
      </c>
      <c r="S1802" s="66">
        <f>IF(X1802&lt;&gt;"","⛔ "&amp;X1802&amp;" — not posted",IF(Y1802&lt;&gt;"","⚠ "&amp;Y1802,IF(Z1802=1,"✓ OK","")))</f>
        <v/>
      </c>
      <c r="T1802" s="67">
        <f>IF(AND(C1802="",D1802="",E1802="",L1802="",K1802=""),1,0)</f>
        <v/>
      </c>
      <c r="U1802" s="67">
        <f>IFERROR(INDEX(tt_Dir,MATCH(D1802,tt_Type,0)),"")</f>
        <v/>
      </c>
      <c r="V1802" s="67">
        <f>IF(D1802="","",IFERROR(IF(INDEX(tt_Other,MATCH(D1802,tt_Type,0))="",E1802&amp;"",INDEX(tt_Other,MATCH(D1802,tt_Type,0))),""))</f>
        <v/>
      </c>
      <c r="W1802" s="68">
        <f>IF(OR(TaxOn&lt;&gt;"Yes",NOT(ISNUMBER(M1802))),0,IF(IFERROR(INDEX(tt_Tax,MATCH(D1802,tt_Type,0)),"No")="Yes",M1802,0))</f>
        <v/>
      </c>
      <c r="X1802" s="67">
        <f>IF(T1802=1,"",IF(C1802="","Missing transaction date",IF(NOT(ISNUMBER(C1802)),"Invalid date",IF(OR(C1802&lt;DATE(2000,1,1),C1802&gt;DATE(2099,12,31)),"Invalid date",IF(D1802="","Select a type",IF(U1802="","Unknown type: "&amp;D1802,IF(V1802="","Select an account (Category)",IF(ISNA(MATCH(V1802,coa_Name,0)),"Unknown account: "&amp;V1802,IF(K1802="","Select Paid From / Deposited To",IF(ISNA(MATCH(K1802,coa_Name,0)),"Unknown account: "&amp;K1802,IF(NOT(ISNUMBER(L1802)),"Enter an amount",IF(L1802=0,"Enter an amount",IF(ABS(W1802)&gt;ABS(L1802),"Tax is larger than the amount","")))))))))))))</f>
        <v/>
      </c>
      <c r="Y1802" s="67">
        <f>IF(OR(T1802=1,X1802&lt;&gt;""),"",IF(AND(B1802&lt;&gt;"",COUNTIF(tx_ID,B1802)&gt;1),"Duplicate transaction ID",IF(AND(L1802&lt;0,D1802&lt;&gt;"Adjustment"),"Negative amount — check this entry",IF(AND(D1802="Customer Payment",G1802=""),"Add the customer",IF(AND(D1802="Customer Payment",OR(J1802="",COUNTIF(ar_No,J1802&amp;"")=0)),"Invoice # in Reference not found on AR sheet",IF(AND(D1802="Bill Payment",H1802=""),"Add the vendor",IF(AND(D1802="Bill Payment",OR(J1802="",COUNTIFS(ap_No,J1802&amp;"",ap_Party,H1802&amp;"")=0)),"Bill # + vendor not found on AP sheet",IF(AND(ISNUMBER(M1802),N(M1802)&lt;&gt;0,W1802=0),"Tax ignored (tax tracking off, or not allowed for this type)",IF(V1802=K1802&amp;"","Same account on both sides",IF(AND(ISNUMBER(StartDate),C1802&lt;StartDate),"Date is before the accounting start date",IF(AND(D1802&lt;&gt;"Adjustment",IFERROR(INDEX(coa_Pay,MATCH(K1802&amp;"",coa_Name,0)),"")&lt;&gt;"Yes"),"Paid From / Deposited To is not a payment account","")))))))))))</f>
        <v/>
      </c>
      <c r="Z1802" s="67">
        <f>IF(AND(T1802=0,X1802=""),1,0)</f>
        <v/>
      </c>
      <c r="AA1802" s="68">
        <f>IF(Z1802=1,IF(U1802="In",L1802,L1802-W1802),0)</f>
        <v/>
      </c>
      <c r="AB1802" s="68">
        <f>IF(Z1802=1,IF(U1802="In",L1802-W1802,L1802),0)</f>
        <v/>
      </c>
      <c r="AC1802" s="68">
        <f>IF(AND(Z1802=1,U1802="Out"),W1802,0)</f>
        <v/>
      </c>
      <c r="AD1802" s="68">
        <f>IF(AND(Z1802=1,U1802="In"),W1802,0)</f>
        <v/>
      </c>
    </row>
    <row r="1803">
      <c r="B1803" s="62" t="inlineStr">
        <is>
          <t>TX-1797</t>
        </is>
      </c>
      <c r="C1803" s="63" t="n"/>
      <c r="D1803" s="62" t="n"/>
      <c r="E1803" s="62" t="n"/>
      <c r="F1803" s="62" t="n"/>
      <c r="G1803" s="62" t="n"/>
      <c r="H1803" s="62" t="n"/>
      <c r="I1803" s="62" t="n"/>
      <c r="J1803" s="62" t="n"/>
      <c r="K1803" s="62" t="n"/>
      <c r="L1803" s="64" t="n"/>
      <c r="M1803" s="64" t="n"/>
      <c r="N1803" s="62" t="n"/>
      <c r="O1803" s="65">
        <f>IF(Z1803=1,L1803-W1803,"")</f>
        <v/>
      </c>
      <c r="P1803" s="66">
        <f>IF(V1803="","",IFERROR(INDEX(coa_Type,MATCH(V1803,coa_Name,0)),""))</f>
        <v/>
      </c>
      <c r="Q1803" s="66">
        <f>IF(Z1803=1,IF(U1803="In",K1803&amp;"",V1803),"")</f>
        <v/>
      </c>
      <c r="R1803" s="66">
        <f>IF(Z1803=1,IF(U1803="In",V1803,K1803&amp;""),"")</f>
        <v/>
      </c>
      <c r="S1803" s="66">
        <f>IF(X1803&lt;&gt;"","⛔ "&amp;X1803&amp;" — not posted",IF(Y1803&lt;&gt;"","⚠ "&amp;Y1803,IF(Z1803=1,"✓ OK","")))</f>
        <v/>
      </c>
      <c r="T1803" s="67">
        <f>IF(AND(C1803="",D1803="",E1803="",L1803="",K1803=""),1,0)</f>
        <v/>
      </c>
      <c r="U1803" s="67">
        <f>IFERROR(INDEX(tt_Dir,MATCH(D1803,tt_Type,0)),"")</f>
        <v/>
      </c>
      <c r="V1803" s="67">
        <f>IF(D1803="","",IFERROR(IF(INDEX(tt_Other,MATCH(D1803,tt_Type,0))="",E1803&amp;"",INDEX(tt_Other,MATCH(D1803,tt_Type,0))),""))</f>
        <v/>
      </c>
      <c r="W1803" s="68">
        <f>IF(OR(TaxOn&lt;&gt;"Yes",NOT(ISNUMBER(M1803))),0,IF(IFERROR(INDEX(tt_Tax,MATCH(D1803,tt_Type,0)),"No")="Yes",M1803,0))</f>
        <v/>
      </c>
      <c r="X1803" s="67">
        <f>IF(T1803=1,"",IF(C1803="","Missing transaction date",IF(NOT(ISNUMBER(C1803)),"Invalid date",IF(OR(C1803&lt;DATE(2000,1,1),C1803&gt;DATE(2099,12,31)),"Invalid date",IF(D1803="","Select a type",IF(U1803="","Unknown type: "&amp;D1803,IF(V1803="","Select an account (Category)",IF(ISNA(MATCH(V1803,coa_Name,0)),"Unknown account: "&amp;V1803,IF(K1803="","Select Paid From / Deposited To",IF(ISNA(MATCH(K1803,coa_Name,0)),"Unknown account: "&amp;K1803,IF(NOT(ISNUMBER(L1803)),"Enter an amount",IF(L1803=0,"Enter an amount",IF(ABS(W1803)&gt;ABS(L1803),"Tax is larger than the amount","")))))))))))))</f>
        <v/>
      </c>
      <c r="Y1803" s="67">
        <f>IF(OR(T1803=1,X1803&lt;&gt;""),"",IF(AND(B1803&lt;&gt;"",COUNTIF(tx_ID,B1803)&gt;1),"Duplicate transaction ID",IF(AND(L1803&lt;0,D1803&lt;&gt;"Adjustment"),"Negative amount — check this entry",IF(AND(D1803="Customer Payment",G1803=""),"Add the customer",IF(AND(D1803="Customer Payment",OR(J1803="",COUNTIF(ar_No,J1803&amp;"")=0)),"Invoice # in Reference not found on AR sheet",IF(AND(D1803="Bill Payment",H1803=""),"Add the vendor",IF(AND(D1803="Bill Payment",OR(J1803="",COUNTIFS(ap_No,J1803&amp;"",ap_Party,H1803&amp;"")=0)),"Bill # + vendor not found on AP sheet",IF(AND(ISNUMBER(M1803),N(M1803)&lt;&gt;0,W1803=0),"Tax ignored (tax tracking off, or not allowed for this type)",IF(V1803=K1803&amp;"","Same account on both sides",IF(AND(ISNUMBER(StartDate),C1803&lt;StartDate),"Date is before the accounting start date",IF(AND(D1803&lt;&gt;"Adjustment",IFERROR(INDEX(coa_Pay,MATCH(K1803&amp;"",coa_Name,0)),"")&lt;&gt;"Yes"),"Paid From / Deposited To is not a payment account","")))))))))))</f>
        <v/>
      </c>
      <c r="Z1803" s="67">
        <f>IF(AND(T1803=0,X1803=""),1,0)</f>
        <v/>
      </c>
      <c r="AA1803" s="68">
        <f>IF(Z1803=1,IF(U1803="In",L1803,L1803-W1803),0)</f>
        <v/>
      </c>
      <c r="AB1803" s="68">
        <f>IF(Z1803=1,IF(U1803="In",L1803-W1803,L1803),0)</f>
        <v/>
      </c>
      <c r="AC1803" s="68">
        <f>IF(AND(Z1803=1,U1803="Out"),W1803,0)</f>
        <v/>
      </c>
      <c r="AD1803" s="68">
        <f>IF(AND(Z1803=1,U1803="In"),W1803,0)</f>
        <v/>
      </c>
    </row>
    <row r="1804">
      <c r="B1804" s="62" t="inlineStr">
        <is>
          <t>TX-1798</t>
        </is>
      </c>
      <c r="C1804" s="63" t="n"/>
      <c r="D1804" s="62" t="n"/>
      <c r="E1804" s="62" t="n"/>
      <c r="F1804" s="62" t="n"/>
      <c r="G1804" s="62" t="n"/>
      <c r="H1804" s="62" t="n"/>
      <c r="I1804" s="62" t="n"/>
      <c r="J1804" s="62" t="n"/>
      <c r="K1804" s="62" t="n"/>
      <c r="L1804" s="64" t="n"/>
      <c r="M1804" s="64" t="n"/>
      <c r="N1804" s="62" t="n"/>
      <c r="O1804" s="65">
        <f>IF(Z1804=1,L1804-W1804,"")</f>
        <v/>
      </c>
      <c r="P1804" s="66">
        <f>IF(V1804="","",IFERROR(INDEX(coa_Type,MATCH(V1804,coa_Name,0)),""))</f>
        <v/>
      </c>
      <c r="Q1804" s="66">
        <f>IF(Z1804=1,IF(U1804="In",K1804&amp;"",V1804),"")</f>
        <v/>
      </c>
      <c r="R1804" s="66">
        <f>IF(Z1804=1,IF(U1804="In",V1804,K1804&amp;""),"")</f>
        <v/>
      </c>
      <c r="S1804" s="66">
        <f>IF(X1804&lt;&gt;"","⛔ "&amp;X1804&amp;" — not posted",IF(Y1804&lt;&gt;"","⚠ "&amp;Y1804,IF(Z1804=1,"✓ OK","")))</f>
        <v/>
      </c>
      <c r="T1804" s="67">
        <f>IF(AND(C1804="",D1804="",E1804="",L1804="",K1804=""),1,0)</f>
        <v/>
      </c>
      <c r="U1804" s="67">
        <f>IFERROR(INDEX(tt_Dir,MATCH(D1804,tt_Type,0)),"")</f>
        <v/>
      </c>
      <c r="V1804" s="67">
        <f>IF(D1804="","",IFERROR(IF(INDEX(tt_Other,MATCH(D1804,tt_Type,0))="",E1804&amp;"",INDEX(tt_Other,MATCH(D1804,tt_Type,0))),""))</f>
        <v/>
      </c>
      <c r="W1804" s="68">
        <f>IF(OR(TaxOn&lt;&gt;"Yes",NOT(ISNUMBER(M1804))),0,IF(IFERROR(INDEX(tt_Tax,MATCH(D1804,tt_Type,0)),"No")="Yes",M1804,0))</f>
        <v/>
      </c>
      <c r="X1804" s="67">
        <f>IF(T1804=1,"",IF(C1804="","Missing transaction date",IF(NOT(ISNUMBER(C1804)),"Invalid date",IF(OR(C1804&lt;DATE(2000,1,1),C1804&gt;DATE(2099,12,31)),"Invalid date",IF(D1804="","Select a type",IF(U1804="","Unknown type: "&amp;D1804,IF(V1804="","Select an account (Category)",IF(ISNA(MATCH(V1804,coa_Name,0)),"Unknown account: "&amp;V1804,IF(K1804="","Select Paid From / Deposited To",IF(ISNA(MATCH(K1804,coa_Name,0)),"Unknown account: "&amp;K1804,IF(NOT(ISNUMBER(L1804)),"Enter an amount",IF(L1804=0,"Enter an amount",IF(ABS(W1804)&gt;ABS(L1804),"Tax is larger than the amount","")))))))))))))</f>
        <v/>
      </c>
      <c r="Y1804" s="67">
        <f>IF(OR(T1804=1,X1804&lt;&gt;""),"",IF(AND(B1804&lt;&gt;"",COUNTIF(tx_ID,B1804)&gt;1),"Duplicate transaction ID",IF(AND(L1804&lt;0,D1804&lt;&gt;"Adjustment"),"Negative amount — check this entry",IF(AND(D1804="Customer Payment",G1804=""),"Add the customer",IF(AND(D1804="Customer Payment",OR(J1804="",COUNTIF(ar_No,J1804&amp;"")=0)),"Invoice # in Reference not found on AR sheet",IF(AND(D1804="Bill Payment",H1804=""),"Add the vendor",IF(AND(D1804="Bill Payment",OR(J1804="",COUNTIFS(ap_No,J1804&amp;"",ap_Party,H1804&amp;"")=0)),"Bill # + vendor not found on AP sheet",IF(AND(ISNUMBER(M1804),N(M1804)&lt;&gt;0,W1804=0),"Tax ignored (tax tracking off, or not allowed for this type)",IF(V1804=K1804&amp;"","Same account on both sides",IF(AND(ISNUMBER(StartDate),C1804&lt;StartDate),"Date is before the accounting start date",IF(AND(D1804&lt;&gt;"Adjustment",IFERROR(INDEX(coa_Pay,MATCH(K1804&amp;"",coa_Name,0)),"")&lt;&gt;"Yes"),"Paid From / Deposited To is not a payment account","")))))))))))</f>
        <v/>
      </c>
      <c r="Z1804" s="67">
        <f>IF(AND(T1804=0,X1804=""),1,0)</f>
        <v/>
      </c>
      <c r="AA1804" s="68">
        <f>IF(Z1804=1,IF(U1804="In",L1804,L1804-W1804),0)</f>
        <v/>
      </c>
      <c r="AB1804" s="68">
        <f>IF(Z1804=1,IF(U1804="In",L1804-W1804,L1804),0)</f>
        <v/>
      </c>
      <c r="AC1804" s="68">
        <f>IF(AND(Z1804=1,U1804="Out"),W1804,0)</f>
        <v/>
      </c>
      <c r="AD1804" s="68">
        <f>IF(AND(Z1804=1,U1804="In"),W1804,0)</f>
        <v/>
      </c>
    </row>
    <row r="1805">
      <c r="B1805" s="62" t="inlineStr">
        <is>
          <t>TX-1799</t>
        </is>
      </c>
      <c r="C1805" s="63" t="n"/>
      <c r="D1805" s="62" t="n"/>
      <c r="E1805" s="62" t="n"/>
      <c r="F1805" s="62" t="n"/>
      <c r="G1805" s="62" t="n"/>
      <c r="H1805" s="62" t="n"/>
      <c r="I1805" s="62" t="n"/>
      <c r="J1805" s="62" t="n"/>
      <c r="K1805" s="62" t="n"/>
      <c r="L1805" s="64" t="n"/>
      <c r="M1805" s="64" t="n"/>
      <c r="N1805" s="62" t="n"/>
      <c r="O1805" s="65">
        <f>IF(Z1805=1,L1805-W1805,"")</f>
        <v/>
      </c>
      <c r="P1805" s="66">
        <f>IF(V1805="","",IFERROR(INDEX(coa_Type,MATCH(V1805,coa_Name,0)),""))</f>
        <v/>
      </c>
      <c r="Q1805" s="66">
        <f>IF(Z1805=1,IF(U1805="In",K1805&amp;"",V1805),"")</f>
        <v/>
      </c>
      <c r="R1805" s="66">
        <f>IF(Z1805=1,IF(U1805="In",V1805,K1805&amp;""),"")</f>
        <v/>
      </c>
      <c r="S1805" s="66">
        <f>IF(X1805&lt;&gt;"","⛔ "&amp;X1805&amp;" — not posted",IF(Y1805&lt;&gt;"","⚠ "&amp;Y1805,IF(Z1805=1,"✓ OK","")))</f>
        <v/>
      </c>
      <c r="T1805" s="67">
        <f>IF(AND(C1805="",D1805="",E1805="",L1805="",K1805=""),1,0)</f>
        <v/>
      </c>
      <c r="U1805" s="67">
        <f>IFERROR(INDEX(tt_Dir,MATCH(D1805,tt_Type,0)),"")</f>
        <v/>
      </c>
      <c r="V1805" s="67">
        <f>IF(D1805="","",IFERROR(IF(INDEX(tt_Other,MATCH(D1805,tt_Type,0))="",E1805&amp;"",INDEX(tt_Other,MATCH(D1805,tt_Type,0))),""))</f>
        <v/>
      </c>
      <c r="W1805" s="68">
        <f>IF(OR(TaxOn&lt;&gt;"Yes",NOT(ISNUMBER(M1805))),0,IF(IFERROR(INDEX(tt_Tax,MATCH(D1805,tt_Type,0)),"No")="Yes",M1805,0))</f>
        <v/>
      </c>
      <c r="X1805" s="67">
        <f>IF(T1805=1,"",IF(C1805="","Missing transaction date",IF(NOT(ISNUMBER(C1805)),"Invalid date",IF(OR(C1805&lt;DATE(2000,1,1),C1805&gt;DATE(2099,12,31)),"Invalid date",IF(D1805="","Select a type",IF(U1805="","Unknown type: "&amp;D1805,IF(V1805="","Select an account (Category)",IF(ISNA(MATCH(V1805,coa_Name,0)),"Unknown account: "&amp;V1805,IF(K1805="","Select Paid From / Deposited To",IF(ISNA(MATCH(K1805,coa_Name,0)),"Unknown account: "&amp;K1805,IF(NOT(ISNUMBER(L1805)),"Enter an amount",IF(L1805=0,"Enter an amount",IF(ABS(W1805)&gt;ABS(L1805),"Tax is larger than the amount","")))))))))))))</f>
        <v/>
      </c>
      <c r="Y1805" s="67">
        <f>IF(OR(T1805=1,X1805&lt;&gt;""),"",IF(AND(B1805&lt;&gt;"",COUNTIF(tx_ID,B1805)&gt;1),"Duplicate transaction ID",IF(AND(L1805&lt;0,D1805&lt;&gt;"Adjustment"),"Negative amount — check this entry",IF(AND(D1805="Customer Payment",G1805=""),"Add the customer",IF(AND(D1805="Customer Payment",OR(J1805="",COUNTIF(ar_No,J1805&amp;"")=0)),"Invoice # in Reference not found on AR sheet",IF(AND(D1805="Bill Payment",H1805=""),"Add the vendor",IF(AND(D1805="Bill Payment",OR(J1805="",COUNTIFS(ap_No,J1805&amp;"",ap_Party,H1805&amp;"")=0)),"Bill # + vendor not found on AP sheet",IF(AND(ISNUMBER(M1805),N(M1805)&lt;&gt;0,W1805=0),"Tax ignored (tax tracking off, or not allowed for this type)",IF(V1805=K1805&amp;"","Same account on both sides",IF(AND(ISNUMBER(StartDate),C1805&lt;StartDate),"Date is before the accounting start date",IF(AND(D1805&lt;&gt;"Adjustment",IFERROR(INDEX(coa_Pay,MATCH(K1805&amp;"",coa_Name,0)),"")&lt;&gt;"Yes"),"Paid From / Deposited To is not a payment account","")))))))))))</f>
        <v/>
      </c>
      <c r="Z1805" s="67">
        <f>IF(AND(T1805=0,X1805=""),1,0)</f>
        <v/>
      </c>
      <c r="AA1805" s="68">
        <f>IF(Z1805=1,IF(U1805="In",L1805,L1805-W1805),0)</f>
        <v/>
      </c>
      <c r="AB1805" s="68">
        <f>IF(Z1805=1,IF(U1805="In",L1805-W1805,L1805),0)</f>
        <v/>
      </c>
      <c r="AC1805" s="68">
        <f>IF(AND(Z1805=1,U1805="Out"),W1805,0)</f>
        <v/>
      </c>
      <c r="AD1805" s="68">
        <f>IF(AND(Z1805=1,U1805="In"),W1805,0)</f>
        <v/>
      </c>
    </row>
    <row r="1806">
      <c r="B1806" s="62" t="inlineStr">
        <is>
          <t>TX-1800</t>
        </is>
      </c>
      <c r="C1806" s="63" t="n"/>
      <c r="D1806" s="62" t="n"/>
      <c r="E1806" s="62" t="n"/>
      <c r="F1806" s="62" t="n"/>
      <c r="G1806" s="62" t="n"/>
      <c r="H1806" s="62" t="n"/>
      <c r="I1806" s="62" t="n"/>
      <c r="J1806" s="62" t="n"/>
      <c r="K1806" s="62" t="n"/>
      <c r="L1806" s="64" t="n"/>
      <c r="M1806" s="64" t="n"/>
      <c r="N1806" s="62" t="n"/>
      <c r="O1806" s="65">
        <f>IF(Z1806=1,L1806-W1806,"")</f>
        <v/>
      </c>
      <c r="P1806" s="66">
        <f>IF(V1806="","",IFERROR(INDEX(coa_Type,MATCH(V1806,coa_Name,0)),""))</f>
        <v/>
      </c>
      <c r="Q1806" s="66">
        <f>IF(Z1806=1,IF(U1806="In",K1806&amp;"",V1806),"")</f>
        <v/>
      </c>
      <c r="R1806" s="66">
        <f>IF(Z1806=1,IF(U1806="In",V1806,K1806&amp;""),"")</f>
        <v/>
      </c>
      <c r="S1806" s="66">
        <f>IF(X1806&lt;&gt;"","⛔ "&amp;X1806&amp;" — not posted",IF(Y1806&lt;&gt;"","⚠ "&amp;Y1806,IF(Z1806=1,"✓ OK","")))</f>
        <v/>
      </c>
      <c r="T1806" s="67">
        <f>IF(AND(C1806="",D1806="",E1806="",L1806="",K1806=""),1,0)</f>
        <v/>
      </c>
      <c r="U1806" s="67">
        <f>IFERROR(INDEX(tt_Dir,MATCH(D1806,tt_Type,0)),"")</f>
        <v/>
      </c>
      <c r="V1806" s="67">
        <f>IF(D1806="","",IFERROR(IF(INDEX(tt_Other,MATCH(D1806,tt_Type,0))="",E1806&amp;"",INDEX(tt_Other,MATCH(D1806,tt_Type,0))),""))</f>
        <v/>
      </c>
      <c r="W1806" s="68">
        <f>IF(OR(TaxOn&lt;&gt;"Yes",NOT(ISNUMBER(M1806))),0,IF(IFERROR(INDEX(tt_Tax,MATCH(D1806,tt_Type,0)),"No")="Yes",M1806,0))</f>
        <v/>
      </c>
      <c r="X1806" s="67">
        <f>IF(T1806=1,"",IF(C1806="","Missing transaction date",IF(NOT(ISNUMBER(C1806)),"Invalid date",IF(OR(C1806&lt;DATE(2000,1,1),C1806&gt;DATE(2099,12,31)),"Invalid date",IF(D1806="","Select a type",IF(U1806="","Unknown type: "&amp;D1806,IF(V1806="","Select an account (Category)",IF(ISNA(MATCH(V1806,coa_Name,0)),"Unknown account: "&amp;V1806,IF(K1806="","Select Paid From / Deposited To",IF(ISNA(MATCH(K1806,coa_Name,0)),"Unknown account: "&amp;K1806,IF(NOT(ISNUMBER(L1806)),"Enter an amount",IF(L1806=0,"Enter an amount",IF(ABS(W1806)&gt;ABS(L1806),"Tax is larger than the amount","")))))))))))))</f>
        <v/>
      </c>
      <c r="Y1806" s="67">
        <f>IF(OR(T1806=1,X1806&lt;&gt;""),"",IF(AND(B1806&lt;&gt;"",COUNTIF(tx_ID,B1806)&gt;1),"Duplicate transaction ID",IF(AND(L1806&lt;0,D1806&lt;&gt;"Adjustment"),"Negative amount — check this entry",IF(AND(D1806="Customer Payment",G1806=""),"Add the customer",IF(AND(D1806="Customer Payment",OR(J1806="",COUNTIF(ar_No,J1806&amp;"")=0)),"Invoice # in Reference not found on AR sheet",IF(AND(D1806="Bill Payment",H1806=""),"Add the vendor",IF(AND(D1806="Bill Payment",OR(J1806="",COUNTIFS(ap_No,J1806&amp;"",ap_Party,H1806&amp;"")=0)),"Bill # + vendor not found on AP sheet",IF(AND(ISNUMBER(M1806),N(M1806)&lt;&gt;0,W1806=0),"Tax ignored (tax tracking off, or not allowed for this type)",IF(V1806=K1806&amp;"","Same account on both sides",IF(AND(ISNUMBER(StartDate),C1806&lt;StartDate),"Date is before the accounting start date",IF(AND(D1806&lt;&gt;"Adjustment",IFERROR(INDEX(coa_Pay,MATCH(K1806&amp;"",coa_Name,0)),"")&lt;&gt;"Yes"),"Paid From / Deposited To is not a payment account","")))))))))))</f>
        <v/>
      </c>
      <c r="Z1806" s="67">
        <f>IF(AND(T1806=0,X1806=""),1,0)</f>
        <v/>
      </c>
      <c r="AA1806" s="68">
        <f>IF(Z1806=1,IF(U1806="In",L1806,L1806-W1806),0)</f>
        <v/>
      </c>
      <c r="AB1806" s="68">
        <f>IF(Z1806=1,IF(U1806="In",L1806-W1806,L1806),0)</f>
        <v/>
      </c>
      <c r="AC1806" s="68">
        <f>IF(AND(Z1806=1,U1806="Out"),W1806,0)</f>
        <v/>
      </c>
      <c r="AD1806" s="68">
        <f>IF(AND(Z1806=1,U1806="In"),W1806,0)</f>
        <v/>
      </c>
    </row>
    <row r="1807">
      <c r="B1807" s="62" t="inlineStr">
        <is>
          <t>TX-1801</t>
        </is>
      </c>
      <c r="C1807" s="63" t="n"/>
      <c r="D1807" s="62" t="n"/>
      <c r="E1807" s="62" t="n"/>
      <c r="F1807" s="62" t="n"/>
      <c r="G1807" s="62" t="n"/>
      <c r="H1807" s="62" t="n"/>
      <c r="I1807" s="62" t="n"/>
      <c r="J1807" s="62" t="n"/>
      <c r="K1807" s="62" t="n"/>
      <c r="L1807" s="64" t="n"/>
      <c r="M1807" s="64" t="n"/>
      <c r="N1807" s="62" t="n"/>
      <c r="O1807" s="65">
        <f>IF(Z1807=1,L1807-W1807,"")</f>
        <v/>
      </c>
      <c r="P1807" s="66">
        <f>IF(V1807="","",IFERROR(INDEX(coa_Type,MATCH(V1807,coa_Name,0)),""))</f>
        <v/>
      </c>
      <c r="Q1807" s="66">
        <f>IF(Z1807=1,IF(U1807="In",K1807&amp;"",V1807),"")</f>
        <v/>
      </c>
      <c r="R1807" s="66">
        <f>IF(Z1807=1,IF(U1807="In",V1807,K1807&amp;""),"")</f>
        <v/>
      </c>
      <c r="S1807" s="66">
        <f>IF(X1807&lt;&gt;"","⛔ "&amp;X1807&amp;" — not posted",IF(Y1807&lt;&gt;"","⚠ "&amp;Y1807,IF(Z1807=1,"✓ OK","")))</f>
        <v/>
      </c>
      <c r="T1807" s="67">
        <f>IF(AND(C1807="",D1807="",E1807="",L1807="",K1807=""),1,0)</f>
        <v/>
      </c>
      <c r="U1807" s="67">
        <f>IFERROR(INDEX(tt_Dir,MATCH(D1807,tt_Type,0)),"")</f>
        <v/>
      </c>
      <c r="V1807" s="67">
        <f>IF(D1807="","",IFERROR(IF(INDEX(tt_Other,MATCH(D1807,tt_Type,0))="",E1807&amp;"",INDEX(tt_Other,MATCH(D1807,tt_Type,0))),""))</f>
        <v/>
      </c>
      <c r="W1807" s="68">
        <f>IF(OR(TaxOn&lt;&gt;"Yes",NOT(ISNUMBER(M1807))),0,IF(IFERROR(INDEX(tt_Tax,MATCH(D1807,tt_Type,0)),"No")="Yes",M1807,0))</f>
        <v/>
      </c>
      <c r="X1807" s="67">
        <f>IF(T1807=1,"",IF(C1807="","Missing transaction date",IF(NOT(ISNUMBER(C1807)),"Invalid date",IF(OR(C1807&lt;DATE(2000,1,1),C1807&gt;DATE(2099,12,31)),"Invalid date",IF(D1807="","Select a type",IF(U1807="","Unknown type: "&amp;D1807,IF(V1807="","Select an account (Category)",IF(ISNA(MATCH(V1807,coa_Name,0)),"Unknown account: "&amp;V1807,IF(K1807="","Select Paid From / Deposited To",IF(ISNA(MATCH(K1807,coa_Name,0)),"Unknown account: "&amp;K1807,IF(NOT(ISNUMBER(L1807)),"Enter an amount",IF(L1807=0,"Enter an amount",IF(ABS(W1807)&gt;ABS(L1807),"Tax is larger than the amount","")))))))))))))</f>
        <v/>
      </c>
      <c r="Y1807" s="67">
        <f>IF(OR(T1807=1,X1807&lt;&gt;""),"",IF(AND(B1807&lt;&gt;"",COUNTIF(tx_ID,B1807)&gt;1),"Duplicate transaction ID",IF(AND(L1807&lt;0,D1807&lt;&gt;"Adjustment"),"Negative amount — check this entry",IF(AND(D1807="Customer Payment",G1807=""),"Add the customer",IF(AND(D1807="Customer Payment",OR(J1807="",COUNTIF(ar_No,J1807&amp;"")=0)),"Invoice # in Reference not found on AR sheet",IF(AND(D1807="Bill Payment",H1807=""),"Add the vendor",IF(AND(D1807="Bill Payment",OR(J1807="",COUNTIFS(ap_No,J1807&amp;"",ap_Party,H1807&amp;"")=0)),"Bill # + vendor not found on AP sheet",IF(AND(ISNUMBER(M1807),N(M1807)&lt;&gt;0,W1807=0),"Tax ignored (tax tracking off, or not allowed for this type)",IF(V1807=K1807&amp;"","Same account on both sides",IF(AND(ISNUMBER(StartDate),C1807&lt;StartDate),"Date is before the accounting start date",IF(AND(D1807&lt;&gt;"Adjustment",IFERROR(INDEX(coa_Pay,MATCH(K1807&amp;"",coa_Name,0)),"")&lt;&gt;"Yes"),"Paid From / Deposited To is not a payment account","")))))))))))</f>
        <v/>
      </c>
      <c r="Z1807" s="67">
        <f>IF(AND(T1807=0,X1807=""),1,0)</f>
        <v/>
      </c>
      <c r="AA1807" s="68">
        <f>IF(Z1807=1,IF(U1807="In",L1807,L1807-W1807),0)</f>
        <v/>
      </c>
      <c r="AB1807" s="68">
        <f>IF(Z1807=1,IF(U1807="In",L1807-W1807,L1807),0)</f>
        <v/>
      </c>
      <c r="AC1807" s="68">
        <f>IF(AND(Z1807=1,U1807="Out"),W1807,0)</f>
        <v/>
      </c>
      <c r="AD1807" s="68">
        <f>IF(AND(Z1807=1,U1807="In"),W1807,0)</f>
        <v/>
      </c>
    </row>
    <row r="1808">
      <c r="B1808" s="62" t="inlineStr">
        <is>
          <t>TX-1802</t>
        </is>
      </c>
      <c r="C1808" s="63" t="n"/>
      <c r="D1808" s="62" t="n"/>
      <c r="E1808" s="62" t="n"/>
      <c r="F1808" s="62" t="n"/>
      <c r="G1808" s="62" t="n"/>
      <c r="H1808" s="62" t="n"/>
      <c r="I1808" s="62" t="n"/>
      <c r="J1808" s="62" t="n"/>
      <c r="K1808" s="62" t="n"/>
      <c r="L1808" s="64" t="n"/>
      <c r="M1808" s="64" t="n"/>
      <c r="N1808" s="62" t="n"/>
      <c r="O1808" s="65">
        <f>IF(Z1808=1,L1808-W1808,"")</f>
        <v/>
      </c>
      <c r="P1808" s="66">
        <f>IF(V1808="","",IFERROR(INDEX(coa_Type,MATCH(V1808,coa_Name,0)),""))</f>
        <v/>
      </c>
      <c r="Q1808" s="66">
        <f>IF(Z1808=1,IF(U1808="In",K1808&amp;"",V1808),"")</f>
        <v/>
      </c>
      <c r="R1808" s="66">
        <f>IF(Z1808=1,IF(U1808="In",V1808,K1808&amp;""),"")</f>
        <v/>
      </c>
      <c r="S1808" s="66">
        <f>IF(X1808&lt;&gt;"","⛔ "&amp;X1808&amp;" — not posted",IF(Y1808&lt;&gt;"","⚠ "&amp;Y1808,IF(Z1808=1,"✓ OK","")))</f>
        <v/>
      </c>
      <c r="T1808" s="67">
        <f>IF(AND(C1808="",D1808="",E1808="",L1808="",K1808=""),1,0)</f>
        <v/>
      </c>
      <c r="U1808" s="67">
        <f>IFERROR(INDEX(tt_Dir,MATCH(D1808,tt_Type,0)),"")</f>
        <v/>
      </c>
      <c r="V1808" s="67">
        <f>IF(D1808="","",IFERROR(IF(INDEX(tt_Other,MATCH(D1808,tt_Type,0))="",E1808&amp;"",INDEX(tt_Other,MATCH(D1808,tt_Type,0))),""))</f>
        <v/>
      </c>
      <c r="W1808" s="68">
        <f>IF(OR(TaxOn&lt;&gt;"Yes",NOT(ISNUMBER(M1808))),0,IF(IFERROR(INDEX(tt_Tax,MATCH(D1808,tt_Type,0)),"No")="Yes",M1808,0))</f>
        <v/>
      </c>
      <c r="X1808" s="67">
        <f>IF(T1808=1,"",IF(C1808="","Missing transaction date",IF(NOT(ISNUMBER(C1808)),"Invalid date",IF(OR(C1808&lt;DATE(2000,1,1),C1808&gt;DATE(2099,12,31)),"Invalid date",IF(D1808="","Select a type",IF(U1808="","Unknown type: "&amp;D1808,IF(V1808="","Select an account (Category)",IF(ISNA(MATCH(V1808,coa_Name,0)),"Unknown account: "&amp;V1808,IF(K1808="","Select Paid From / Deposited To",IF(ISNA(MATCH(K1808,coa_Name,0)),"Unknown account: "&amp;K1808,IF(NOT(ISNUMBER(L1808)),"Enter an amount",IF(L1808=0,"Enter an amount",IF(ABS(W1808)&gt;ABS(L1808),"Tax is larger than the amount","")))))))))))))</f>
        <v/>
      </c>
      <c r="Y1808" s="67">
        <f>IF(OR(T1808=1,X1808&lt;&gt;""),"",IF(AND(B1808&lt;&gt;"",COUNTIF(tx_ID,B1808)&gt;1),"Duplicate transaction ID",IF(AND(L1808&lt;0,D1808&lt;&gt;"Adjustment"),"Negative amount — check this entry",IF(AND(D1808="Customer Payment",G1808=""),"Add the customer",IF(AND(D1808="Customer Payment",OR(J1808="",COUNTIF(ar_No,J1808&amp;"")=0)),"Invoice # in Reference not found on AR sheet",IF(AND(D1808="Bill Payment",H1808=""),"Add the vendor",IF(AND(D1808="Bill Payment",OR(J1808="",COUNTIFS(ap_No,J1808&amp;"",ap_Party,H1808&amp;"")=0)),"Bill # + vendor not found on AP sheet",IF(AND(ISNUMBER(M1808),N(M1808)&lt;&gt;0,W1808=0),"Tax ignored (tax tracking off, or not allowed for this type)",IF(V1808=K1808&amp;"","Same account on both sides",IF(AND(ISNUMBER(StartDate),C1808&lt;StartDate),"Date is before the accounting start date",IF(AND(D1808&lt;&gt;"Adjustment",IFERROR(INDEX(coa_Pay,MATCH(K1808&amp;"",coa_Name,0)),"")&lt;&gt;"Yes"),"Paid From / Deposited To is not a payment account","")))))))))))</f>
        <v/>
      </c>
      <c r="Z1808" s="67">
        <f>IF(AND(T1808=0,X1808=""),1,0)</f>
        <v/>
      </c>
      <c r="AA1808" s="68">
        <f>IF(Z1808=1,IF(U1808="In",L1808,L1808-W1808),0)</f>
        <v/>
      </c>
      <c r="AB1808" s="68">
        <f>IF(Z1808=1,IF(U1808="In",L1808-W1808,L1808),0)</f>
        <v/>
      </c>
      <c r="AC1808" s="68">
        <f>IF(AND(Z1808=1,U1808="Out"),W1808,0)</f>
        <v/>
      </c>
      <c r="AD1808" s="68">
        <f>IF(AND(Z1808=1,U1808="In"),W1808,0)</f>
        <v/>
      </c>
    </row>
    <row r="1809">
      <c r="B1809" s="62" t="inlineStr">
        <is>
          <t>TX-1803</t>
        </is>
      </c>
      <c r="C1809" s="63" t="n"/>
      <c r="D1809" s="62" t="n"/>
      <c r="E1809" s="62" t="n"/>
      <c r="F1809" s="62" t="n"/>
      <c r="G1809" s="62" t="n"/>
      <c r="H1809" s="62" t="n"/>
      <c r="I1809" s="62" t="n"/>
      <c r="J1809" s="62" t="n"/>
      <c r="K1809" s="62" t="n"/>
      <c r="L1809" s="64" t="n"/>
      <c r="M1809" s="64" t="n"/>
      <c r="N1809" s="62" t="n"/>
      <c r="O1809" s="65">
        <f>IF(Z1809=1,L1809-W1809,"")</f>
        <v/>
      </c>
      <c r="P1809" s="66">
        <f>IF(V1809="","",IFERROR(INDEX(coa_Type,MATCH(V1809,coa_Name,0)),""))</f>
        <v/>
      </c>
      <c r="Q1809" s="66">
        <f>IF(Z1809=1,IF(U1809="In",K1809&amp;"",V1809),"")</f>
        <v/>
      </c>
      <c r="R1809" s="66">
        <f>IF(Z1809=1,IF(U1809="In",V1809,K1809&amp;""),"")</f>
        <v/>
      </c>
      <c r="S1809" s="66">
        <f>IF(X1809&lt;&gt;"","⛔ "&amp;X1809&amp;" — not posted",IF(Y1809&lt;&gt;"","⚠ "&amp;Y1809,IF(Z1809=1,"✓ OK","")))</f>
        <v/>
      </c>
      <c r="T1809" s="67">
        <f>IF(AND(C1809="",D1809="",E1809="",L1809="",K1809=""),1,0)</f>
        <v/>
      </c>
      <c r="U1809" s="67">
        <f>IFERROR(INDEX(tt_Dir,MATCH(D1809,tt_Type,0)),"")</f>
        <v/>
      </c>
      <c r="V1809" s="67">
        <f>IF(D1809="","",IFERROR(IF(INDEX(tt_Other,MATCH(D1809,tt_Type,0))="",E1809&amp;"",INDEX(tt_Other,MATCH(D1809,tt_Type,0))),""))</f>
        <v/>
      </c>
      <c r="W1809" s="68">
        <f>IF(OR(TaxOn&lt;&gt;"Yes",NOT(ISNUMBER(M1809))),0,IF(IFERROR(INDEX(tt_Tax,MATCH(D1809,tt_Type,0)),"No")="Yes",M1809,0))</f>
        <v/>
      </c>
      <c r="X1809" s="67">
        <f>IF(T1809=1,"",IF(C1809="","Missing transaction date",IF(NOT(ISNUMBER(C1809)),"Invalid date",IF(OR(C1809&lt;DATE(2000,1,1),C1809&gt;DATE(2099,12,31)),"Invalid date",IF(D1809="","Select a type",IF(U1809="","Unknown type: "&amp;D1809,IF(V1809="","Select an account (Category)",IF(ISNA(MATCH(V1809,coa_Name,0)),"Unknown account: "&amp;V1809,IF(K1809="","Select Paid From / Deposited To",IF(ISNA(MATCH(K1809,coa_Name,0)),"Unknown account: "&amp;K1809,IF(NOT(ISNUMBER(L1809)),"Enter an amount",IF(L1809=0,"Enter an amount",IF(ABS(W1809)&gt;ABS(L1809),"Tax is larger than the amount","")))))))))))))</f>
        <v/>
      </c>
      <c r="Y1809" s="67">
        <f>IF(OR(T1809=1,X1809&lt;&gt;""),"",IF(AND(B1809&lt;&gt;"",COUNTIF(tx_ID,B1809)&gt;1),"Duplicate transaction ID",IF(AND(L1809&lt;0,D1809&lt;&gt;"Adjustment"),"Negative amount — check this entry",IF(AND(D1809="Customer Payment",G1809=""),"Add the customer",IF(AND(D1809="Customer Payment",OR(J1809="",COUNTIF(ar_No,J1809&amp;"")=0)),"Invoice # in Reference not found on AR sheet",IF(AND(D1809="Bill Payment",H1809=""),"Add the vendor",IF(AND(D1809="Bill Payment",OR(J1809="",COUNTIFS(ap_No,J1809&amp;"",ap_Party,H1809&amp;"")=0)),"Bill # + vendor not found on AP sheet",IF(AND(ISNUMBER(M1809),N(M1809)&lt;&gt;0,W1809=0),"Tax ignored (tax tracking off, or not allowed for this type)",IF(V1809=K1809&amp;"","Same account on both sides",IF(AND(ISNUMBER(StartDate),C1809&lt;StartDate),"Date is before the accounting start date",IF(AND(D1809&lt;&gt;"Adjustment",IFERROR(INDEX(coa_Pay,MATCH(K1809&amp;"",coa_Name,0)),"")&lt;&gt;"Yes"),"Paid From / Deposited To is not a payment account","")))))))))))</f>
        <v/>
      </c>
      <c r="Z1809" s="67">
        <f>IF(AND(T1809=0,X1809=""),1,0)</f>
        <v/>
      </c>
      <c r="AA1809" s="68">
        <f>IF(Z1809=1,IF(U1809="In",L1809,L1809-W1809),0)</f>
        <v/>
      </c>
      <c r="AB1809" s="68">
        <f>IF(Z1809=1,IF(U1809="In",L1809-W1809,L1809),0)</f>
        <v/>
      </c>
      <c r="AC1809" s="68">
        <f>IF(AND(Z1809=1,U1809="Out"),W1809,0)</f>
        <v/>
      </c>
      <c r="AD1809" s="68">
        <f>IF(AND(Z1809=1,U1809="In"),W1809,0)</f>
        <v/>
      </c>
    </row>
    <row r="1810">
      <c r="B1810" s="62" t="inlineStr">
        <is>
          <t>TX-1804</t>
        </is>
      </c>
      <c r="C1810" s="63" t="n"/>
      <c r="D1810" s="62" t="n"/>
      <c r="E1810" s="62" t="n"/>
      <c r="F1810" s="62" t="n"/>
      <c r="G1810" s="62" t="n"/>
      <c r="H1810" s="62" t="n"/>
      <c r="I1810" s="62" t="n"/>
      <c r="J1810" s="62" t="n"/>
      <c r="K1810" s="62" t="n"/>
      <c r="L1810" s="64" t="n"/>
      <c r="M1810" s="64" t="n"/>
      <c r="N1810" s="62" t="n"/>
      <c r="O1810" s="65">
        <f>IF(Z1810=1,L1810-W1810,"")</f>
        <v/>
      </c>
      <c r="P1810" s="66">
        <f>IF(V1810="","",IFERROR(INDEX(coa_Type,MATCH(V1810,coa_Name,0)),""))</f>
        <v/>
      </c>
      <c r="Q1810" s="66">
        <f>IF(Z1810=1,IF(U1810="In",K1810&amp;"",V1810),"")</f>
        <v/>
      </c>
      <c r="R1810" s="66">
        <f>IF(Z1810=1,IF(U1810="In",V1810,K1810&amp;""),"")</f>
        <v/>
      </c>
      <c r="S1810" s="66">
        <f>IF(X1810&lt;&gt;"","⛔ "&amp;X1810&amp;" — not posted",IF(Y1810&lt;&gt;"","⚠ "&amp;Y1810,IF(Z1810=1,"✓ OK","")))</f>
        <v/>
      </c>
      <c r="T1810" s="67">
        <f>IF(AND(C1810="",D1810="",E1810="",L1810="",K1810=""),1,0)</f>
        <v/>
      </c>
      <c r="U1810" s="67">
        <f>IFERROR(INDEX(tt_Dir,MATCH(D1810,tt_Type,0)),"")</f>
        <v/>
      </c>
      <c r="V1810" s="67">
        <f>IF(D1810="","",IFERROR(IF(INDEX(tt_Other,MATCH(D1810,tt_Type,0))="",E1810&amp;"",INDEX(tt_Other,MATCH(D1810,tt_Type,0))),""))</f>
        <v/>
      </c>
      <c r="W1810" s="68">
        <f>IF(OR(TaxOn&lt;&gt;"Yes",NOT(ISNUMBER(M1810))),0,IF(IFERROR(INDEX(tt_Tax,MATCH(D1810,tt_Type,0)),"No")="Yes",M1810,0))</f>
        <v/>
      </c>
      <c r="X1810" s="67">
        <f>IF(T1810=1,"",IF(C1810="","Missing transaction date",IF(NOT(ISNUMBER(C1810)),"Invalid date",IF(OR(C1810&lt;DATE(2000,1,1),C1810&gt;DATE(2099,12,31)),"Invalid date",IF(D1810="","Select a type",IF(U1810="","Unknown type: "&amp;D1810,IF(V1810="","Select an account (Category)",IF(ISNA(MATCH(V1810,coa_Name,0)),"Unknown account: "&amp;V1810,IF(K1810="","Select Paid From / Deposited To",IF(ISNA(MATCH(K1810,coa_Name,0)),"Unknown account: "&amp;K1810,IF(NOT(ISNUMBER(L1810)),"Enter an amount",IF(L1810=0,"Enter an amount",IF(ABS(W1810)&gt;ABS(L1810),"Tax is larger than the amount","")))))))))))))</f>
        <v/>
      </c>
      <c r="Y1810" s="67">
        <f>IF(OR(T1810=1,X1810&lt;&gt;""),"",IF(AND(B1810&lt;&gt;"",COUNTIF(tx_ID,B1810)&gt;1),"Duplicate transaction ID",IF(AND(L1810&lt;0,D1810&lt;&gt;"Adjustment"),"Negative amount — check this entry",IF(AND(D1810="Customer Payment",G1810=""),"Add the customer",IF(AND(D1810="Customer Payment",OR(J1810="",COUNTIF(ar_No,J1810&amp;"")=0)),"Invoice # in Reference not found on AR sheet",IF(AND(D1810="Bill Payment",H1810=""),"Add the vendor",IF(AND(D1810="Bill Payment",OR(J1810="",COUNTIFS(ap_No,J1810&amp;"",ap_Party,H1810&amp;"")=0)),"Bill # + vendor not found on AP sheet",IF(AND(ISNUMBER(M1810),N(M1810)&lt;&gt;0,W1810=0),"Tax ignored (tax tracking off, or not allowed for this type)",IF(V1810=K1810&amp;"","Same account on both sides",IF(AND(ISNUMBER(StartDate),C1810&lt;StartDate),"Date is before the accounting start date",IF(AND(D1810&lt;&gt;"Adjustment",IFERROR(INDEX(coa_Pay,MATCH(K1810&amp;"",coa_Name,0)),"")&lt;&gt;"Yes"),"Paid From / Deposited To is not a payment account","")))))))))))</f>
        <v/>
      </c>
      <c r="Z1810" s="67">
        <f>IF(AND(T1810=0,X1810=""),1,0)</f>
        <v/>
      </c>
      <c r="AA1810" s="68">
        <f>IF(Z1810=1,IF(U1810="In",L1810,L1810-W1810),0)</f>
        <v/>
      </c>
      <c r="AB1810" s="68">
        <f>IF(Z1810=1,IF(U1810="In",L1810-W1810,L1810),0)</f>
        <v/>
      </c>
      <c r="AC1810" s="68">
        <f>IF(AND(Z1810=1,U1810="Out"),W1810,0)</f>
        <v/>
      </c>
      <c r="AD1810" s="68">
        <f>IF(AND(Z1810=1,U1810="In"),W1810,0)</f>
        <v/>
      </c>
    </row>
    <row r="1811">
      <c r="B1811" s="62" t="inlineStr">
        <is>
          <t>TX-1805</t>
        </is>
      </c>
      <c r="C1811" s="63" t="n"/>
      <c r="D1811" s="62" t="n"/>
      <c r="E1811" s="62" t="n"/>
      <c r="F1811" s="62" t="n"/>
      <c r="G1811" s="62" t="n"/>
      <c r="H1811" s="62" t="n"/>
      <c r="I1811" s="62" t="n"/>
      <c r="J1811" s="62" t="n"/>
      <c r="K1811" s="62" t="n"/>
      <c r="L1811" s="64" t="n"/>
      <c r="M1811" s="64" t="n"/>
      <c r="N1811" s="62" t="n"/>
      <c r="O1811" s="65">
        <f>IF(Z1811=1,L1811-W1811,"")</f>
        <v/>
      </c>
      <c r="P1811" s="66">
        <f>IF(V1811="","",IFERROR(INDEX(coa_Type,MATCH(V1811,coa_Name,0)),""))</f>
        <v/>
      </c>
      <c r="Q1811" s="66">
        <f>IF(Z1811=1,IF(U1811="In",K1811&amp;"",V1811),"")</f>
        <v/>
      </c>
      <c r="R1811" s="66">
        <f>IF(Z1811=1,IF(U1811="In",V1811,K1811&amp;""),"")</f>
        <v/>
      </c>
      <c r="S1811" s="66">
        <f>IF(X1811&lt;&gt;"","⛔ "&amp;X1811&amp;" — not posted",IF(Y1811&lt;&gt;"","⚠ "&amp;Y1811,IF(Z1811=1,"✓ OK","")))</f>
        <v/>
      </c>
      <c r="T1811" s="67">
        <f>IF(AND(C1811="",D1811="",E1811="",L1811="",K1811=""),1,0)</f>
        <v/>
      </c>
      <c r="U1811" s="67">
        <f>IFERROR(INDEX(tt_Dir,MATCH(D1811,tt_Type,0)),"")</f>
        <v/>
      </c>
      <c r="V1811" s="67">
        <f>IF(D1811="","",IFERROR(IF(INDEX(tt_Other,MATCH(D1811,tt_Type,0))="",E1811&amp;"",INDEX(tt_Other,MATCH(D1811,tt_Type,0))),""))</f>
        <v/>
      </c>
      <c r="W1811" s="68">
        <f>IF(OR(TaxOn&lt;&gt;"Yes",NOT(ISNUMBER(M1811))),0,IF(IFERROR(INDEX(tt_Tax,MATCH(D1811,tt_Type,0)),"No")="Yes",M1811,0))</f>
        <v/>
      </c>
      <c r="X1811" s="67">
        <f>IF(T1811=1,"",IF(C1811="","Missing transaction date",IF(NOT(ISNUMBER(C1811)),"Invalid date",IF(OR(C1811&lt;DATE(2000,1,1),C1811&gt;DATE(2099,12,31)),"Invalid date",IF(D1811="","Select a type",IF(U1811="","Unknown type: "&amp;D1811,IF(V1811="","Select an account (Category)",IF(ISNA(MATCH(V1811,coa_Name,0)),"Unknown account: "&amp;V1811,IF(K1811="","Select Paid From / Deposited To",IF(ISNA(MATCH(K1811,coa_Name,0)),"Unknown account: "&amp;K1811,IF(NOT(ISNUMBER(L1811)),"Enter an amount",IF(L1811=0,"Enter an amount",IF(ABS(W1811)&gt;ABS(L1811),"Tax is larger than the amount","")))))))))))))</f>
        <v/>
      </c>
      <c r="Y1811" s="67">
        <f>IF(OR(T1811=1,X1811&lt;&gt;""),"",IF(AND(B1811&lt;&gt;"",COUNTIF(tx_ID,B1811)&gt;1),"Duplicate transaction ID",IF(AND(L1811&lt;0,D1811&lt;&gt;"Adjustment"),"Negative amount — check this entry",IF(AND(D1811="Customer Payment",G1811=""),"Add the customer",IF(AND(D1811="Customer Payment",OR(J1811="",COUNTIF(ar_No,J1811&amp;"")=0)),"Invoice # in Reference not found on AR sheet",IF(AND(D1811="Bill Payment",H1811=""),"Add the vendor",IF(AND(D1811="Bill Payment",OR(J1811="",COUNTIFS(ap_No,J1811&amp;"",ap_Party,H1811&amp;"")=0)),"Bill # + vendor not found on AP sheet",IF(AND(ISNUMBER(M1811),N(M1811)&lt;&gt;0,W1811=0),"Tax ignored (tax tracking off, or not allowed for this type)",IF(V1811=K1811&amp;"","Same account on both sides",IF(AND(ISNUMBER(StartDate),C1811&lt;StartDate),"Date is before the accounting start date",IF(AND(D1811&lt;&gt;"Adjustment",IFERROR(INDEX(coa_Pay,MATCH(K1811&amp;"",coa_Name,0)),"")&lt;&gt;"Yes"),"Paid From / Deposited To is not a payment account","")))))))))))</f>
        <v/>
      </c>
      <c r="Z1811" s="67">
        <f>IF(AND(T1811=0,X1811=""),1,0)</f>
        <v/>
      </c>
      <c r="AA1811" s="68">
        <f>IF(Z1811=1,IF(U1811="In",L1811,L1811-W1811),0)</f>
        <v/>
      </c>
      <c r="AB1811" s="68">
        <f>IF(Z1811=1,IF(U1811="In",L1811-W1811,L1811),0)</f>
        <v/>
      </c>
      <c r="AC1811" s="68">
        <f>IF(AND(Z1811=1,U1811="Out"),W1811,0)</f>
        <v/>
      </c>
      <c r="AD1811" s="68">
        <f>IF(AND(Z1811=1,U1811="In"),W1811,0)</f>
        <v/>
      </c>
    </row>
    <row r="1812">
      <c r="B1812" s="62" t="inlineStr">
        <is>
          <t>TX-1806</t>
        </is>
      </c>
      <c r="C1812" s="63" t="n"/>
      <c r="D1812" s="62" t="n"/>
      <c r="E1812" s="62" t="n"/>
      <c r="F1812" s="62" t="n"/>
      <c r="G1812" s="62" t="n"/>
      <c r="H1812" s="62" t="n"/>
      <c r="I1812" s="62" t="n"/>
      <c r="J1812" s="62" t="n"/>
      <c r="K1812" s="62" t="n"/>
      <c r="L1812" s="64" t="n"/>
      <c r="M1812" s="64" t="n"/>
      <c r="N1812" s="62" t="n"/>
      <c r="O1812" s="65">
        <f>IF(Z1812=1,L1812-W1812,"")</f>
        <v/>
      </c>
      <c r="P1812" s="66">
        <f>IF(V1812="","",IFERROR(INDEX(coa_Type,MATCH(V1812,coa_Name,0)),""))</f>
        <v/>
      </c>
      <c r="Q1812" s="66">
        <f>IF(Z1812=1,IF(U1812="In",K1812&amp;"",V1812),"")</f>
        <v/>
      </c>
      <c r="R1812" s="66">
        <f>IF(Z1812=1,IF(U1812="In",V1812,K1812&amp;""),"")</f>
        <v/>
      </c>
      <c r="S1812" s="66">
        <f>IF(X1812&lt;&gt;"","⛔ "&amp;X1812&amp;" — not posted",IF(Y1812&lt;&gt;"","⚠ "&amp;Y1812,IF(Z1812=1,"✓ OK","")))</f>
        <v/>
      </c>
      <c r="T1812" s="67">
        <f>IF(AND(C1812="",D1812="",E1812="",L1812="",K1812=""),1,0)</f>
        <v/>
      </c>
      <c r="U1812" s="67">
        <f>IFERROR(INDEX(tt_Dir,MATCH(D1812,tt_Type,0)),"")</f>
        <v/>
      </c>
      <c r="V1812" s="67">
        <f>IF(D1812="","",IFERROR(IF(INDEX(tt_Other,MATCH(D1812,tt_Type,0))="",E1812&amp;"",INDEX(tt_Other,MATCH(D1812,tt_Type,0))),""))</f>
        <v/>
      </c>
      <c r="W1812" s="68">
        <f>IF(OR(TaxOn&lt;&gt;"Yes",NOT(ISNUMBER(M1812))),0,IF(IFERROR(INDEX(tt_Tax,MATCH(D1812,tt_Type,0)),"No")="Yes",M1812,0))</f>
        <v/>
      </c>
      <c r="X1812" s="67">
        <f>IF(T1812=1,"",IF(C1812="","Missing transaction date",IF(NOT(ISNUMBER(C1812)),"Invalid date",IF(OR(C1812&lt;DATE(2000,1,1),C1812&gt;DATE(2099,12,31)),"Invalid date",IF(D1812="","Select a type",IF(U1812="","Unknown type: "&amp;D1812,IF(V1812="","Select an account (Category)",IF(ISNA(MATCH(V1812,coa_Name,0)),"Unknown account: "&amp;V1812,IF(K1812="","Select Paid From / Deposited To",IF(ISNA(MATCH(K1812,coa_Name,0)),"Unknown account: "&amp;K1812,IF(NOT(ISNUMBER(L1812)),"Enter an amount",IF(L1812=0,"Enter an amount",IF(ABS(W1812)&gt;ABS(L1812),"Tax is larger than the amount","")))))))))))))</f>
        <v/>
      </c>
      <c r="Y1812" s="67">
        <f>IF(OR(T1812=1,X1812&lt;&gt;""),"",IF(AND(B1812&lt;&gt;"",COUNTIF(tx_ID,B1812)&gt;1),"Duplicate transaction ID",IF(AND(L1812&lt;0,D1812&lt;&gt;"Adjustment"),"Negative amount — check this entry",IF(AND(D1812="Customer Payment",G1812=""),"Add the customer",IF(AND(D1812="Customer Payment",OR(J1812="",COUNTIF(ar_No,J1812&amp;"")=0)),"Invoice # in Reference not found on AR sheet",IF(AND(D1812="Bill Payment",H1812=""),"Add the vendor",IF(AND(D1812="Bill Payment",OR(J1812="",COUNTIFS(ap_No,J1812&amp;"",ap_Party,H1812&amp;"")=0)),"Bill # + vendor not found on AP sheet",IF(AND(ISNUMBER(M1812),N(M1812)&lt;&gt;0,W1812=0),"Tax ignored (tax tracking off, or not allowed for this type)",IF(V1812=K1812&amp;"","Same account on both sides",IF(AND(ISNUMBER(StartDate),C1812&lt;StartDate),"Date is before the accounting start date",IF(AND(D1812&lt;&gt;"Adjustment",IFERROR(INDEX(coa_Pay,MATCH(K1812&amp;"",coa_Name,0)),"")&lt;&gt;"Yes"),"Paid From / Deposited To is not a payment account","")))))))))))</f>
        <v/>
      </c>
      <c r="Z1812" s="67">
        <f>IF(AND(T1812=0,X1812=""),1,0)</f>
        <v/>
      </c>
      <c r="AA1812" s="68">
        <f>IF(Z1812=1,IF(U1812="In",L1812,L1812-W1812),0)</f>
        <v/>
      </c>
      <c r="AB1812" s="68">
        <f>IF(Z1812=1,IF(U1812="In",L1812-W1812,L1812),0)</f>
        <v/>
      </c>
      <c r="AC1812" s="68">
        <f>IF(AND(Z1812=1,U1812="Out"),W1812,0)</f>
        <v/>
      </c>
      <c r="AD1812" s="68">
        <f>IF(AND(Z1812=1,U1812="In"),W1812,0)</f>
        <v/>
      </c>
    </row>
    <row r="1813">
      <c r="B1813" s="62" t="inlineStr">
        <is>
          <t>TX-1807</t>
        </is>
      </c>
      <c r="C1813" s="63" t="n"/>
      <c r="D1813" s="62" t="n"/>
      <c r="E1813" s="62" t="n"/>
      <c r="F1813" s="62" t="n"/>
      <c r="G1813" s="62" t="n"/>
      <c r="H1813" s="62" t="n"/>
      <c r="I1813" s="62" t="n"/>
      <c r="J1813" s="62" t="n"/>
      <c r="K1813" s="62" t="n"/>
      <c r="L1813" s="64" t="n"/>
      <c r="M1813" s="64" t="n"/>
      <c r="N1813" s="62" t="n"/>
      <c r="O1813" s="65">
        <f>IF(Z1813=1,L1813-W1813,"")</f>
        <v/>
      </c>
      <c r="P1813" s="66">
        <f>IF(V1813="","",IFERROR(INDEX(coa_Type,MATCH(V1813,coa_Name,0)),""))</f>
        <v/>
      </c>
      <c r="Q1813" s="66">
        <f>IF(Z1813=1,IF(U1813="In",K1813&amp;"",V1813),"")</f>
        <v/>
      </c>
      <c r="R1813" s="66">
        <f>IF(Z1813=1,IF(U1813="In",V1813,K1813&amp;""),"")</f>
        <v/>
      </c>
      <c r="S1813" s="66">
        <f>IF(X1813&lt;&gt;"","⛔ "&amp;X1813&amp;" — not posted",IF(Y1813&lt;&gt;"","⚠ "&amp;Y1813,IF(Z1813=1,"✓ OK","")))</f>
        <v/>
      </c>
      <c r="T1813" s="67">
        <f>IF(AND(C1813="",D1813="",E1813="",L1813="",K1813=""),1,0)</f>
        <v/>
      </c>
      <c r="U1813" s="67">
        <f>IFERROR(INDEX(tt_Dir,MATCH(D1813,tt_Type,0)),"")</f>
        <v/>
      </c>
      <c r="V1813" s="67">
        <f>IF(D1813="","",IFERROR(IF(INDEX(tt_Other,MATCH(D1813,tt_Type,0))="",E1813&amp;"",INDEX(tt_Other,MATCH(D1813,tt_Type,0))),""))</f>
        <v/>
      </c>
      <c r="W1813" s="68">
        <f>IF(OR(TaxOn&lt;&gt;"Yes",NOT(ISNUMBER(M1813))),0,IF(IFERROR(INDEX(tt_Tax,MATCH(D1813,tt_Type,0)),"No")="Yes",M1813,0))</f>
        <v/>
      </c>
      <c r="X1813" s="67">
        <f>IF(T1813=1,"",IF(C1813="","Missing transaction date",IF(NOT(ISNUMBER(C1813)),"Invalid date",IF(OR(C1813&lt;DATE(2000,1,1),C1813&gt;DATE(2099,12,31)),"Invalid date",IF(D1813="","Select a type",IF(U1813="","Unknown type: "&amp;D1813,IF(V1813="","Select an account (Category)",IF(ISNA(MATCH(V1813,coa_Name,0)),"Unknown account: "&amp;V1813,IF(K1813="","Select Paid From / Deposited To",IF(ISNA(MATCH(K1813,coa_Name,0)),"Unknown account: "&amp;K1813,IF(NOT(ISNUMBER(L1813)),"Enter an amount",IF(L1813=0,"Enter an amount",IF(ABS(W1813)&gt;ABS(L1813),"Tax is larger than the amount","")))))))))))))</f>
        <v/>
      </c>
      <c r="Y1813" s="67">
        <f>IF(OR(T1813=1,X1813&lt;&gt;""),"",IF(AND(B1813&lt;&gt;"",COUNTIF(tx_ID,B1813)&gt;1),"Duplicate transaction ID",IF(AND(L1813&lt;0,D1813&lt;&gt;"Adjustment"),"Negative amount — check this entry",IF(AND(D1813="Customer Payment",G1813=""),"Add the customer",IF(AND(D1813="Customer Payment",OR(J1813="",COUNTIF(ar_No,J1813&amp;"")=0)),"Invoice # in Reference not found on AR sheet",IF(AND(D1813="Bill Payment",H1813=""),"Add the vendor",IF(AND(D1813="Bill Payment",OR(J1813="",COUNTIFS(ap_No,J1813&amp;"",ap_Party,H1813&amp;"")=0)),"Bill # + vendor not found on AP sheet",IF(AND(ISNUMBER(M1813),N(M1813)&lt;&gt;0,W1813=0),"Tax ignored (tax tracking off, or not allowed for this type)",IF(V1813=K1813&amp;"","Same account on both sides",IF(AND(ISNUMBER(StartDate),C1813&lt;StartDate),"Date is before the accounting start date",IF(AND(D1813&lt;&gt;"Adjustment",IFERROR(INDEX(coa_Pay,MATCH(K1813&amp;"",coa_Name,0)),"")&lt;&gt;"Yes"),"Paid From / Deposited To is not a payment account","")))))))))))</f>
        <v/>
      </c>
      <c r="Z1813" s="67">
        <f>IF(AND(T1813=0,X1813=""),1,0)</f>
        <v/>
      </c>
      <c r="AA1813" s="68">
        <f>IF(Z1813=1,IF(U1813="In",L1813,L1813-W1813),0)</f>
        <v/>
      </c>
      <c r="AB1813" s="68">
        <f>IF(Z1813=1,IF(U1813="In",L1813-W1813,L1813),0)</f>
        <v/>
      </c>
      <c r="AC1813" s="68">
        <f>IF(AND(Z1813=1,U1813="Out"),W1813,0)</f>
        <v/>
      </c>
      <c r="AD1813" s="68">
        <f>IF(AND(Z1813=1,U1813="In"),W1813,0)</f>
        <v/>
      </c>
    </row>
    <row r="1814">
      <c r="B1814" s="62" t="inlineStr">
        <is>
          <t>TX-1808</t>
        </is>
      </c>
      <c r="C1814" s="63" t="n"/>
      <c r="D1814" s="62" t="n"/>
      <c r="E1814" s="62" t="n"/>
      <c r="F1814" s="62" t="n"/>
      <c r="G1814" s="62" t="n"/>
      <c r="H1814" s="62" t="n"/>
      <c r="I1814" s="62" t="n"/>
      <c r="J1814" s="62" t="n"/>
      <c r="K1814" s="62" t="n"/>
      <c r="L1814" s="64" t="n"/>
      <c r="M1814" s="64" t="n"/>
      <c r="N1814" s="62" t="n"/>
      <c r="O1814" s="65">
        <f>IF(Z1814=1,L1814-W1814,"")</f>
        <v/>
      </c>
      <c r="P1814" s="66">
        <f>IF(V1814="","",IFERROR(INDEX(coa_Type,MATCH(V1814,coa_Name,0)),""))</f>
        <v/>
      </c>
      <c r="Q1814" s="66">
        <f>IF(Z1814=1,IF(U1814="In",K1814&amp;"",V1814),"")</f>
        <v/>
      </c>
      <c r="R1814" s="66">
        <f>IF(Z1814=1,IF(U1814="In",V1814,K1814&amp;""),"")</f>
        <v/>
      </c>
      <c r="S1814" s="66">
        <f>IF(X1814&lt;&gt;"","⛔ "&amp;X1814&amp;" — not posted",IF(Y1814&lt;&gt;"","⚠ "&amp;Y1814,IF(Z1814=1,"✓ OK","")))</f>
        <v/>
      </c>
      <c r="T1814" s="67">
        <f>IF(AND(C1814="",D1814="",E1814="",L1814="",K1814=""),1,0)</f>
        <v/>
      </c>
      <c r="U1814" s="67">
        <f>IFERROR(INDEX(tt_Dir,MATCH(D1814,tt_Type,0)),"")</f>
        <v/>
      </c>
      <c r="V1814" s="67">
        <f>IF(D1814="","",IFERROR(IF(INDEX(tt_Other,MATCH(D1814,tt_Type,0))="",E1814&amp;"",INDEX(tt_Other,MATCH(D1814,tt_Type,0))),""))</f>
        <v/>
      </c>
      <c r="W1814" s="68">
        <f>IF(OR(TaxOn&lt;&gt;"Yes",NOT(ISNUMBER(M1814))),0,IF(IFERROR(INDEX(tt_Tax,MATCH(D1814,tt_Type,0)),"No")="Yes",M1814,0))</f>
        <v/>
      </c>
      <c r="X1814" s="67">
        <f>IF(T1814=1,"",IF(C1814="","Missing transaction date",IF(NOT(ISNUMBER(C1814)),"Invalid date",IF(OR(C1814&lt;DATE(2000,1,1),C1814&gt;DATE(2099,12,31)),"Invalid date",IF(D1814="","Select a type",IF(U1814="","Unknown type: "&amp;D1814,IF(V1814="","Select an account (Category)",IF(ISNA(MATCH(V1814,coa_Name,0)),"Unknown account: "&amp;V1814,IF(K1814="","Select Paid From / Deposited To",IF(ISNA(MATCH(K1814,coa_Name,0)),"Unknown account: "&amp;K1814,IF(NOT(ISNUMBER(L1814)),"Enter an amount",IF(L1814=0,"Enter an amount",IF(ABS(W1814)&gt;ABS(L1814),"Tax is larger than the amount","")))))))))))))</f>
        <v/>
      </c>
      <c r="Y1814" s="67">
        <f>IF(OR(T1814=1,X1814&lt;&gt;""),"",IF(AND(B1814&lt;&gt;"",COUNTIF(tx_ID,B1814)&gt;1),"Duplicate transaction ID",IF(AND(L1814&lt;0,D1814&lt;&gt;"Adjustment"),"Negative amount — check this entry",IF(AND(D1814="Customer Payment",G1814=""),"Add the customer",IF(AND(D1814="Customer Payment",OR(J1814="",COUNTIF(ar_No,J1814&amp;"")=0)),"Invoice # in Reference not found on AR sheet",IF(AND(D1814="Bill Payment",H1814=""),"Add the vendor",IF(AND(D1814="Bill Payment",OR(J1814="",COUNTIFS(ap_No,J1814&amp;"",ap_Party,H1814&amp;"")=0)),"Bill # + vendor not found on AP sheet",IF(AND(ISNUMBER(M1814),N(M1814)&lt;&gt;0,W1814=0),"Tax ignored (tax tracking off, or not allowed for this type)",IF(V1814=K1814&amp;"","Same account on both sides",IF(AND(ISNUMBER(StartDate),C1814&lt;StartDate),"Date is before the accounting start date",IF(AND(D1814&lt;&gt;"Adjustment",IFERROR(INDEX(coa_Pay,MATCH(K1814&amp;"",coa_Name,0)),"")&lt;&gt;"Yes"),"Paid From / Deposited To is not a payment account","")))))))))))</f>
        <v/>
      </c>
      <c r="Z1814" s="67">
        <f>IF(AND(T1814=0,X1814=""),1,0)</f>
        <v/>
      </c>
      <c r="AA1814" s="68">
        <f>IF(Z1814=1,IF(U1814="In",L1814,L1814-W1814),0)</f>
        <v/>
      </c>
      <c r="AB1814" s="68">
        <f>IF(Z1814=1,IF(U1814="In",L1814-W1814,L1814),0)</f>
        <v/>
      </c>
      <c r="AC1814" s="68">
        <f>IF(AND(Z1814=1,U1814="Out"),W1814,0)</f>
        <v/>
      </c>
      <c r="AD1814" s="68">
        <f>IF(AND(Z1814=1,U1814="In"),W1814,0)</f>
        <v/>
      </c>
    </row>
    <row r="1815">
      <c r="B1815" s="62" t="inlineStr">
        <is>
          <t>TX-1809</t>
        </is>
      </c>
      <c r="C1815" s="63" t="n"/>
      <c r="D1815" s="62" t="n"/>
      <c r="E1815" s="62" t="n"/>
      <c r="F1815" s="62" t="n"/>
      <c r="G1815" s="62" t="n"/>
      <c r="H1815" s="62" t="n"/>
      <c r="I1815" s="62" t="n"/>
      <c r="J1815" s="62" t="n"/>
      <c r="K1815" s="62" t="n"/>
      <c r="L1815" s="64" t="n"/>
      <c r="M1815" s="64" t="n"/>
      <c r="N1815" s="62" t="n"/>
      <c r="O1815" s="65">
        <f>IF(Z1815=1,L1815-W1815,"")</f>
        <v/>
      </c>
      <c r="P1815" s="66">
        <f>IF(V1815="","",IFERROR(INDEX(coa_Type,MATCH(V1815,coa_Name,0)),""))</f>
        <v/>
      </c>
      <c r="Q1815" s="66">
        <f>IF(Z1815=1,IF(U1815="In",K1815&amp;"",V1815),"")</f>
        <v/>
      </c>
      <c r="R1815" s="66">
        <f>IF(Z1815=1,IF(U1815="In",V1815,K1815&amp;""),"")</f>
        <v/>
      </c>
      <c r="S1815" s="66">
        <f>IF(X1815&lt;&gt;"","⛔ "&amp;X1815&amp;" — not posted",IF(Y1815&lt;&gt;"","⚠ "&amp;Y1815,IF(Z1815=1,"✓ OK","")))</f>
        <v/>
      </c>
      <c r="T1815" s="67">
        <f>IF(AND(C1815="",D1815="",E1815="",L1815="",K1815=""),1,0)</f>
        <v/>
      </c>
      <c r="U1815" s="67">
        <f>IFERROR(INDEX(tt_Dir,MATCH(D1815,tt_Type,0)),"")</f>
        <v/>
      </c>
      <c r="V1815" s="67">
        <f>IF(D1815="","",IFERROR(IF(INDEX(tt_Other,MATCH(D1815,tt_Type,0))="",E1815&amp;"",INDEX(tt_Other,MATCH(D1815,tt_Type,0))),""))</f>
        <v/>
      </c>
      <c r="W1815" s="68">
        <f>IF(OR(TaxOn&lt;&gt;"Yes",NOT(ISNUMBER(M1815))),0,IF(IFERROR(INDEX(tt_Tax,MATCH(D1815,tt_Type,0)),"No")="Yes",M1815,0))</f>
        <v/>
      </c>
      <c r="X1815" s="67">
        <f>IF(T1815=1,"",IF(C1815="","Missing transaction date",IF(NOT(ISNUMBER(C1815)),"Invalid date",IF(OR(C1815&lt;DATE(2000,1,1),C1815&gt;DATE(2099,12,31)),"Invalid date",IF(D1815="","Select a type",IF(U1815="","Unknown type: "&amp;D1815,IF(V1815="","Select an account (Category)",IF(ISNA(MATCH(V1815,coa_Name,0)),"Unknown account: "&amp;V1815,IF(K1815="","Select Paid From / Deposited To",IF(ISNA(MATCH(K1815,coa_Name,0)),"Unknown account: "&amp;K1815,IF(NOT(ISNUMBER(L1815)),"Enter an amount",IF(L1815=0,"Enter an amount",IF(ABS(W1815)&gt;ABS(L1815),"Tax is larger than the amount","")))))))))))))</f>
        <v/>
      </c>
      <c r="Y1815" s="67">
        <f>IF(OR(T1815=1,X1815&lt;&gt;""),"",IF(AND(B1815&lt;&gt;"",COUNTIF(tx_ID,B1815)&gt;1),"Duplicate transaction ID",IF(AND(L1815&lt;0,D1815&lt;&gt;"Adjustment"),"Negative amount — check this entry",IF(AND(D1815="Customer Payment",G1815=""),"Add the customer",IF(AND(D1815="Customer Payment",OR(J1815="",COUNTIF(ar_No,J1815&amp;"")=0)),"Invoice # in Reference not found on AR sheet",IF(AND(D1815="Bill Payment",H1815=""),"Add the vendor",IF(AND(D1815="Bill Payment",OR(J1815="",COUNTIFS(ap_No,J1815&amp;"",ap_Party,H1815&amp;"")=0)),"Bill # + vendor not found on AP sheet",IF(AND(ISNUMBER(M1815),N(M1815)&lt;&gt;0,W1815=0),"Tax ignored (tax tracking off, or not allowed for this type)",IF(V1815=K1815&amp;"","Same account on both sides",IF(AND(ISNUMBER(StartDate),C1815&lt;StartDate),"Date is before the accounting start date",IF(AND(D1815&lt;&gt;"Adjustment",IFERROR(INDEX(coa_Pay,MATCH(K1815&amp;"",coa_Name,0)),"")&lt;&gt;"Yes"),"Paid From / Deposited To is not a payment account","")))))))))))</f>
        <v/>
      </c>
      <c r="Z1815" s="67">
        <f>IF(AND(T1815=0,X1815=""),1,0)</f>
        <v/>
      </c>
      <c r="AA1815" s="68">
        <f>IF(Z1815=1,IF(U1815="In",L1815,L1815-W1815),0)</f>
        <v/>
      </c>
      <c r="AB1815" s="68">
        <f>IF(Z1815=1,IF(U1815="In",L1815-W1815,L1815),0)</f>
        <v/>
      </c>
      <c r="AC1815" s="68">
        <f>IF(AND(Z1815=1,U1815="Out"),W1815,0)</f>
        <v/>
      </c>
      <c r="AD1815" s="68">
        <f>IF(AND(Z1815=1,U1815="In"),W1815,0)</f>
        <v/>
      </c>
    </row>
    <row r="1816">
      <c r="B1816" s="62" t="inlineStr">
        <is>
          <t>TX-1810</t>
        </is>
      </c>
      <c r="C1816" s="63" t="n"/>
      <c r="D1816" s="62" t="n"/>
      <c r="E1816" s="62" t="n"/>
      <c r="F1816" s="62" t="n"/>
      <c r="G1816" s="62" t="n"/>
      <c r="H1816" s="62" t="n"/>
      <c r="I1816" s="62" t="n"/>
      <c r="J1816" s="62" t="n"/>
      <c r="K1816" s="62" t="n"/>
      <c r="L1816" s="64" t="n"/>
      <c r="M1816" s="64" t="n"/>
      <c r="N1816" s="62" t="n"/>
      <c r="O1816" s="65">
        <f>IF(Z1816=1,L1816-W1816,"")</f>
        <v/>
      </c>
      <c r="P1816" s="66">
        <f>IF(V1816="","",IFERROR(INDEX(coa_Type,MATCH(V1816,coa_Name,0)),""))</f>
        <v/>
      </c>
      <c r="Q1816" s="66">
        <f>IF(Z1816=1,IF(U1816="In",K1816&amp;"",V1816),"")</f>
        <v/>
      </c>
      <c r="R1816" s="66">
        <f>IF(Z1816=1,IF(U1816="In",V1816,K1816&amp;""),"")</f>
        <v/>
      </c>
      <c r="S1816" s="66">
        <f>IF(X1816&lt;&gt;"","⛔ "&amp;X1816&amp;" — not posted",IF(Y1816&lt;&gt;"","⚠ "&amp;Y1816,IF(Z1816=1,"✓ OK","")))</f>
        <v/>
      </c>
      <c r="T1816" s="67">
        <f>IF(AND(C1816="",D1816="",E1816="",L1816="",K1816=""),1,0)</f>
        <v/>
      </c>
      <c r="U1816" s="67">
        <f>IFERROR(INDEX(tt_Dir,MATCH(D1816,tt_Type,0)),"")</f>
        <v/>
      </c>
      <c r="V1816" s="67">
        <f>IF(D1816="","",IFERROR(IF(INDEX(tt_Other,MATCH(D1816,tt_Type,0))="",E1816&amp;"",INDEX(tt_Other,MATCH(D1816,tt_Type,0))),""))</f>
        <v/>
      </c>
      <c r="W1816" s="68">
        <f>IF(OR(TaxOn&lt;&gt;"Yes",NOT(ISNUMBER(M1816))),0,IF(IFERROR(INDEX(tt_Tax,MATCH(D1816,tt_Type,0)),"No")="Yes",M1816,0))</f>
        <v/>
      </c>
      <c r="X1816" s="67">
        <f>IF(T1816=1,"",IF(C1816="","Missing transaction date",IF(NOT(ISNUMBER(C1816)),"Invalid date",IF(OR(C1816&lt;DATE(2000,1,1),C1816&gt;DATE(2099,12,31)),"Invalid date",IF(D1816="","Select a type",IF(U1816="","Unknown type: "&amp;D1816,IF(V1816="","Select an account (Category)",IF(ISNA(MATCH(V1816,coa_Name,0)),"Unknown account: "&amp;V1816,IF(K1816="","Select Paid From / Deposited To",IF(ISNA(MATCH(K1816,coa_Name,0)),"Unknown account: "&amp;K1816,IF(NOT(ISNUMBER(L1816)),"Enter an amount",IF(L1816=0,"Enter an amount",IF(ABS(W1816)&gt;ABS(L1816),"Tax is larger than the amount","")))))))))))))</f>
        <v/>
      </c>
      <c r="Y1816" s="67">
        <f>IF(OR(T1816=1,X1816&lt;&gt;""),"",IF(AND(B1816&lt;&gt;"",COUNTIF(tx_ID,B1816)&gt;1),"Duplicate transaction ID",IF(AND(L1816&lt;0,D1816&lt;&gt;"Adjustment"),"Negative amount — check this entry",IF(AND(D1816="Customer Payment",G1816=""),"Add the customer",IF(AND(D1816="Customer Payment",OR(J1816="",COUNTIF(ar_No,J1816&amp;"")=0)),"Invoice # in Reference not found on AR sheet",IF(AND(D1816="Bill Payment",H1816=""),"Add the vendor",IF(AND(D1816="Bill Payment",OR(J1816="",COUNTIFS(ap_No,J1816&amp;"",ap_Party,H1816&amp;"")=0)),"Bill # + vendor not found on AP sheet",IF(AND(ISNUMBER(M1816),N(M1816)&lt;&gt;0,W1816=0),"Tax ignored (tax tracking off, or not allowed for this type)",IF(V1816=K1816&amp;"","Same account on both sides",IF(AND(ISNUMBER(StartDate),C1816&lt;StartDate),"Date is before the accounting start date",IF(AND(D1816&lt;&gt;"Adjustment",IFERROR(INDEX(coa_Pay,MATCH(K1816&amp;"",coa_Name,0)),"")&lt;&gt;"Yes"),"Paid From / Deposited To is not a payment account","")))))))))))</f>
        <v/>
      </c>
      <c r="Z1816" s="67">
        <f>IF(AND(T1816=0,X1816=""),1,0)</f>
        <v/>
      </c>
      <c r="AA1816" s="68">
        <f>IF(Z1816=1,IF(U1816="In",L1816,L1816-W1816),0)</f>
        <v/>
      </c>
      <c r="AB1816" s="68">
        <f>IF(Z1816=1,IF(U1816="In",L1816-W1816,L1816),0)</f>
        <v/>
      </c>
      <c r="AC1816" s="68">
        <f>IF(AND(Z1816=1,U1816="Out"),W1816,0)</f>
        <v/>
      </c>
      <c r="AD1816" s="68">
        <f>IF(AND(Z1816=1,U1816="In"),W1816,0)</f>
        <v/>
      </c>
    </row>
    <row r="1817">
      <c r="B1817" s="62" t="inlineStr">
        <is>
          <t>TX-1811</t>
        </is>
      </c>
      <c r="C1817" s="63" t="n"/>
      <c r="D1817" s="62" t="n"/>
      <c r="E1817" s="62" t="n"/>
      <c r="F1817" s="62" t="n"/>
      <c r="G1817" s="62" t="n"/>
      <c r="H1817" s="62" t="n"/>
      <c r="I1817" s="62" t="n"/>
      <c r="J1817" s="62" t="n"/>
      <c r="K1817" s="62" t="n"/>
      <c r="L1817" s="64" t="n"/>
      <c r="M1817" s="64" t="n"/>
      <c r="N1817" s="62" t="n"/>
      <c r="O1817" s="65">
        <f>IF(Z1817=1,L1817-W1817,"")</f>
        <v/>
      </c>
      <c r="P1817" s="66">
        <f>IF(V1817="","",IFERROR(INDEX(coa_Type,MATCH(V1817,coa_Name,0)),""))</f>
        <v/>
      </c>
      <c r="Q1817" s="66">
        <f>IF(Z1817=1,IF(U1817="In",K1817&amp;"",V1817),"")</f>
        <v/>
      </c>
      <c r="R1817" s="66">
        <f>IF(Z1817=1,IF(U1817="In",V1817,K1817&amp;""),"")</f>
        <v/>
      </c>
      <c r="S1817" s="66">
        <f>IF(X1817&lt;&gt;"","⛔ "&amp;X1817&amp;" — not posted",IF(Y1817&lt;&gt;"","⚠ "&amp;Y1817,IF(Z1817=1,"✓ OK","")))</f>
        <v/>
      </c>
      <c r="T1817" s="67">
        <f>IF(AND(C1817="",D1817="",E1817="",L1817="",K1817=""),1,0)</f>
        <v/>
      </c>
      <c r="U1817" s="67">
        <f>IFERROR(INDEX(tt_Dir,MATCH(D1817,tt_Type,0)),"")</f>
        <v/>
      </c>
      <c r="V1817" s="67">
        <f>IF(D1817="","",IFERROR(IF(INDEX(tt_Other,MATCH(D1817,tt_Type,0))="",E1817&amp;"",INDEX(tt_Other,MATCH(D1817,tt_Type,0))),""))</f>
        <v/>
      </c>
      <c r="W1817" s="68">
        <f>IF(OR(TaxOn&lt;&gt;"Yes",NOT(ISNUMBER(M1817))),0,IF(IFERROR(INDEX(tt_Tax,MATCH(D1817,tt_Type,0)),"No")="Yes",M1817,0))</f>
        <v/>
      </c>
      <c r="X1817" s="67">
        <f>IF(T1817=1,"",IF(C1817="","Missing transaction date",IF(NOT(ISNUMBER(C1817)),"Invalid date",IF(OR(C1817&lt;DATE(2000,1,1),C1817&gt;DATE(2099,12,31)),"Invalid date",IF(D1817="","Select a type",IF(U1817="","Unknown type: "&amp;D1817,IF(V1817="","Select an account (Category)",IF(ISNA(MATCH(V1817,coa_Name,0)),"Unknown account: "&amp;V1817,IF(K1817="","Select Paid From / Deposited To",IF(ISNA(MATCH(K1817,coa_Name,0)),"Unknown account: "&amp;K1817,IF(NOT(ISNUMBER(L1817)),"Enter an amount",IF(L1817=0,"Enter an amount",IF(ABS(W1817)&gt;ABS(L1817),"Tax is larger than the amount","")))))))))))))</f>
        <v/>
      </c>
      <c r="Y1817" s="67">
        <f>IF(OR(T1817=1,X1817&lt;&gt;""),"",IF(AND(B1817&lt;&gt;"",COUNTIF(tx_ID,B1817)&gt;1),"Duplicate transaction ID",IF(AND(L1817&lt;0,D1817&lt;&gt;"Adjustment"),"Negative amount — check this entry",IF(AND(D1817="Customer Payment",G1817=""),"Add the customer",IF(AND(D1817="Customer Payment",OR(J1817="",COUNTIF(ar_No,J1817&amp;"")=0)),"Invoice # in Reference not found on AR sheet",IF(AND(D1817="Bill Payment",H1817=""),"Add the vendor",IF(AND(D1817="Bill Payment",OR(J1817="",COUNTIFS(ap_No,J1817&amp;"",ap_Party,H1817&amp;"")=0)),"Bill # + vendor not found on AP sheet",IF(AND(ISNUMBER(M1817),N(M1817)&lt;&gt;0,W1817=0),"Tax ignored (tax tracking off, or not allowed for this type)",IF(V1817=K1817&amp;"","Same account on both sides",IF(AND(ISNUMBER(StartDate),C1817&lt;StartDate),"Date is before the accounting start date",IF(AND(D1817&lt;&gt;"Adjustment",IFERROR(INDEX(coa_Pay,MATCH(K1817&amp;"",coa_Name,0)),"")&lt;&gt;"Yes"),"Paid From / Deposited To is not a payment account","")))))))))))</f>
        <v/>
      </c>
      <c r="Z1817" s="67">
        <f>IF(AND(T1817=0,X1817=""),1,0)</f>
        <v/>
      </c>
      <c r="AA1817" s="68">
        <f>IF(Z1817=1,IF(U1817="In",L1817,L1817-W1817),0)</f>
        <v/>
      </c>
      <c r="AB1817" s="68">
        <f>IF(Z1817=1,IF(U1817="In",L1817-W1817,L1817),0)</f>
        <v/>
      </c>
      <c r="AC1817" s="68">
        <f>IF(AND(Z1817=1,U1817="Out"),W1817,0)</f>
        <v/>
      </c>
      <c r="AD1817" s="68">
        <f>IF(AND(Z1817=1,U1817="In"),W1817,0)</f>
        <v/>
      </c>
    </row>
    <row r="1818">
      <c r="B1818" s="62" t="inlineStr">
        <is>
          <t>TX-1812</t>
        </is>
      </c>
      <c r="C1818" s="63" t="n"/>
      <c r="D1818" s="62" t="n"/>
      <c r="E1818" s="62" t="n"/>
      <c r="F1818" s="62" t="n"/>
      <c r="G1818" s="62" t="n"/>
      <c r="H1818" s="62" t="n"/>
      <c r="I1818" s="62" t="n"/>
      <c r="J1818" s="62" t="n"/>
      <c r="K1818" s="62" t="n"/>
      <c r="L1818" s="64" t="n"/>
      <c r="M1818" s="64" t="n"/>
      <c r="N1818" s="62" t="n"/>
      <c r="O1818" s="65">
        <f>IF(Z1818=1,L1818-W1818,"")</f>
        <v/>
      </c>
      <c r="P1818" s="66">
        <f>IF(V1818="","",IFERROR(INDEX(coa_Type,MATCH(V1818,coa_Name,0)),""))</f>
        <v/>
      </c>
      <c r="Q1818" s="66">
        <f>IF(Z1818=1,IF(U1818="In",K1818&amp;"",V1818),"")</f>
        <v/>
      </c>
      <c r="R1818" s="66">
        <f>IF(Z1818=1,IF(U1818="In",V1818,K1818&amp;""),"")</f>
        <v/>
      </c>
      <c r="S1818" s="66">
        <f>IF(X1818&lt;&gt;"","⛔ "&amp;X1818&amp;" — not posted",IF(Y1818&lt;&gt;"","⚠ "&amp;Y1818,IF(Z1818=1,"✓ OK","")))</f>
        <v/>
      </c>
      <c r="T1818" s="67">
        <f>IF(AND(C1818="",D1818="",E1818="",L1818="",K1818=""),1,0)</f>
        <v/>
      </c>
      <c r="U1818" s="67">
        <f>IFERROR(INDEX(tt_Dir,MATCH(D1818,tt_Type,0)),"")</f>
        <v/>
      </c>
      <c r="V1818" s="67">
        <f>IF(D1818="","",IFERROR(IF(INDEX(tt_Other,MATCH(D1818,tt_Type,0))="",E1818&amp;"",INDEX(tt_Other,MATCH(D1818,tt_Type,0))),""))</f>
        <v/>
      </c>
      <c r="W1818" s="68">
        <f>IF(OR(TaxOn&lt;&gt;"Yes",NOT(ISNUMBER(M1818))),0,IF(IFERROR(INDEX(tt_Tax,MATCH(D1818,tt_Type,0)),"No")="Yes",M1818,0))</f>
        <v/>
      </c>
      <c r="X1818" s="67">
        <f>IF(T1818=1,"",IF(C1818="","Missing transaction date",IF(NOT(ISNUMBER(C1818)),"Invalid date",IF(OR(C1818&lt;DATE(2000,1,1),C1818&gt;DATE(2099,12,31)),"Invalid date",IF(D1818="","Select a type",IF(U1818="","Unknown type: "&amp;D1818,IF(V1818="","Select an account (Category)",IF(ISNA(MATCH(V1818,coa_Name,0)),"Unknown account: "&amp;V1818,IF(K1818="","Select Paid From / Deposited To",IF(ISNA(MATCH(K1818,coa_Name,0)),"Unknown account: "&amp;K1818,IF(NOT(ISNUMBER(L1818)),"Enter an amount",IF(L1818=0,"Enter an amount",IF(ABS(W1818)&gt;ABS(L1818),"Tax is larger than the amount","")))))))))))))</f>
        <v/>
      </c>
      <c r="Y1818" s="67">
        <f>IF(OR(T1818=1,X1818&lt;&gt;""),"",IF(AND(B1818&lt;&gt;"",COUNTIF(tx_ID,B1818)&gt;1),"Duplicate transaction ID",IF(AND(L1818&lt;0,D1818&lt;&gt;"Adjustment"),"Negative amount — check this entry",IF(AND(D1818="Customer Payment",G1818=""),"Add the customer",IF(AND(D1818="Customer Payment",OR(J1818="",COUNTIF(ar_No,J1818&amp;"")=0)),"Invoice # in Reference not found on AR sheet",IF(AND(D1818="Bill Payment",H1818=""),"Add the vendor",IF(AND(D1818="Bill Payment",OR(J1818="",COUNTIFS(ap_No,J1818&amp;"",ap_Party,H1818&amp;"")=0)),"Bill # + vendor not found on AP sheet",IF(AND(ISNUMBER(M1818),N(M1818)&lt;&gt;0,W1818=0),"Tax ignored (tax tracking off, or not allowed for this type)",IF(V1818=K1818&amp;"","Same account on both sides",IF(AND(ISNUMBER(StartDate),C1818&lt;StartDate),"Date is before the accounting start date",IF(AND(D1818&lt;&gt;"Adjustment",IFERROR(INDEX(coa_Pay,MATCH(K1818&amp;"",coa_Name,0)),"")&lt;&gt;"Yes"),"Paid From / Deposited To is not a payment account","")))))))))))</f>
        <v/>
      </c>
      <c r="Z1818" s="67">
        <f>IF(AND(T1818=0,X1818=""),1,0)</f>
        <v/>
      </c>
      <c r="AA1818" s="68">
        <f>IF(Z1818=1,IF(U1818="In",L1818,L1818-W1818),0)</f>
        <v/>
      </c>
      <c r="AB1818" s="68">
        <f>IF(Z1818=1,IF(U1818="In",L1818-W1818,L1818),0)</f>
        <v/>
      </c>
      <c r="AC1818" s="68">
        <f>IF(AND(Z1818=1,U1818="Out"),W1818,0)</f>
        <v/>
      </c>
      <c r="AD1818" s="68">
        <f>IF(AND(Z1818=1,U1818="In"),W1818,0)</f>
        <v/>
      </c>
    </row>
    <row r="1819">
      <c r="B1819" s="62" t="inlineStr">
        <is>
          <t>TX-1813</t>
        </is>
      </c>
      <c r="C1819" s="63" t="n"/>
      <c r="D1819" s="62" t="n"/>
      <c r="E1819" s="62" t="n"/>
      <c r="F1819" s="62" t="n"/>
      <c r="G1819" s="62" t="n"/>
      <c r="H1819" s="62" t="n"/>
      <c r="I1819" s="62" t="n"/>
      <c r="J1819" s="62" t="n"/>
      <c r="K1819" s="62" t="n"/>
      <c r="L1819" s="64" t="n"/>
      <c r="M1819" s="64" t="n"/>
      <c r="N1819" s="62" t="n"/>
      <c r="O1819" s="65">
        <f>IF(Z1819=1,L1819-W1819,"")</f>
        <v/>
      </c>
      <c r="P1819" s="66">
        <f>IF(V1819="","",IFERROR(INDEX(coa_Type,MATCH(V1819,coa_Name,0)),""))</f>
        <v/>
      </c>
      <c r="Q1819" s="66">
        <f>IF(Z1819=1,IF(U1819="In",K1819&amp;"",V1819),"")</f>
        <v/>
      </c>
      <c r="R1819" s="66">
        <f>IF(Z1819=1,IF(U1819="In",V1819,K1819&amp;""),"")</f>
        <v/>
      </c>
      <c r="S1819" s="66">
        <f>IF(X1819&lt;&gt;"","⛔ "&amp;X1819&amp;" — not posted",IF(Y1819&lt;&gt;"","⚠ "&amp;Y1819,IF(Z1819=1,"✓ OK","")))</f>
        <v/>
      </c>
      <c r="T1819" s="67">
        <f>IF(AND(C1819="",D1819="",E1819="",L1819="",K1819=""),1,0)</f>
        <v/>
      </c>
      <c r="U1819" s="67">
        <f>IFERROR(INDEX(tt_Dir,MATCH(D1819,tt_Type,0)),"")</f>
        <v/>
      </c>
      <c r="V1819" s="67">
        <f>IF(D1819="","",IFERROR(IF(INDEX(tt_Other,MATCH(D1819,tt_Type,0))="",E1819&amp;"",INDEX(tt_Other,MATCH(D1819,tt_Type,0))),""))</f>
        <v/>
      </c>
      <c r="W1819" s="68">
        <f>IF(OR(TaxOn&lt;&gt;"Yes",NOT(ISNUMBER(M1819))),0,IF(IFERROR(INDEX(tt_Tax,MATCH(D1819,tt_Type,0)),"No")="Yes",M1819,0))</f>
        <v/>
      </c>
      <c r="X1819" s="67">
        <f>IF(T1819=1,"",IF(C1819="","Missing transaction date",IF(NOT(ISNUMBER(C1819)),"Invalid date",IF(OR(C1819&lt;DATE(2000,1,1),C1819&gt;DATE(2099,12,31)),"Invalid date",IF(D1819="","Select a type",IF(U1819="","Unknown type: "&amp;D1819,IF(V1819="","Select an account (Category)",IF(ISNA(MATCH(V1819,coa_Name,0)),"Unknown account: "&amp;V1819,IF(K1819="","Select Paid From / Deposited To",IF(ISNA(MATCH(K1819,coa_Name,0)),"Unknown account: "&amp;K1819,IF(NOT(ISNUMBER(L1819)),"Enter an amount",IF(L1819=0,"Enter an amount",IF(ABS(W1819)&gt;ABS(L1819),"Tax is larger than the amount","")))))))))))))</f>
        <v/>
      </c>
      <c r="Y1819" s="67">
        <f>IF(OR(T1819=1,X1819&lt;&gt;""),"",IF(AND(B1819&lt;&gt;"",COUNTIF(tx_ID,B1819)&gt;1),"Duplicate transaction ID",IF(AND(L1819&lt;0,D1819&lt;&gt;"Adjustment"),"Negative amount — check this entry",IF(AND(D1819="Customer Payment",G1819=""),"Add the customer",IF(AND(D1819="Customer Payment",OR(J1819="",COUNTIF(ar_No,J1819&amp;"")=0)),"Invoice # in Reference not found on AR sheet",IF(AND(D1819="Bill Payment",H1819=""),"Add the vendor",IF(AND(D1819="Bill Payment",OR(J1819="",COUNTIFS(ap_No,J1819&amp;"",ap_Party,H1819&amp;"")=0)),"Bill # + vendor not found on AP sheet",IF(AND(ISNUMBER(M1819),N(M1819)&lt;&gt;0,W1819=0),"Tax ignored (tax tracking off, or not allowed for this type)",IF(V1819=K1819&amp;"","Same account on both sides",IF(AND(ISNUMBER(StartDate),C1819&lt;StartDate),"Date is before the accounting start date",IF(AND(D1819&lt;&gt;"Adjustment",IFERROR(INDEX(coa_Pay,MATCH(K1819&amp;"",coa_Name,0)),"")&lt;&gt;"Yes"),"Paid From / Deposited To is not a payment account","")))))))))))</f>
        <v/>
      </c>
      <c r="Z1819" s="67">
        <f>IF(AND(T1819=0,X1819=""),1,0)</f>
        <v/>
      </c>
      <c r="AA1819" s="68">
        <f>IF(Z1819=1,IF(U1819="In",L1819,L1819-W1819),0)</f>
        <v/>
      </c>
      <c r="AB1819" s="68">
        <f>IF(Z1819=1,IF(U1819="In",L1819-W1819,L1819),0)</f>
        <v/>
      </c>
      <c r="AC1819" s="68">
        <f>IF(AND(Z1819=1,U1819="Out"),W1819,0)</f>
        <v/>
      </c>
      <c r="AD1819" s="68">
        <f>IF(AND(Z1819=1,U1819="In"),W1819,0)</f>
        <v/>
      </c>
    </row>
    <row r="1820">
      <c r="B1820" s="62" t="inlineStr">
        <is>
          <t>TX-1814</t>
        </is>
      </c>
      <c r="C1820" s="63" t="n"/>
      <c r="D1820" s="62" t="n"/>
      <c r="E1820" s="62" t="n"/>
      <c r="F1820" s="62" t="n"/>
      <c r="G1820" s="62" t="n"/>
      <c r="H1820" s="62" t="n"/>
      <c r="I1820" s="62" t="n"/>
      <c r="J1820" s="62" t="n"/>
      <c r="K1820" s="62" t="n"/>
      <c r="L1820" s="64" t="n"/>
      <c r="M1820" s="64" t="n"/>
      <c r="N1820" s="62" t="n"/>
      <c r="O1820" s="65">
        <f>IF(Z1820=1,L1820-W1820,"")</f>
        <v/>
      </c>
      <c r="P1820" s="66">
        <f>IF(V1820="","",IFERROR(INDEX(coa_Type,MATCH(V1820,coa_Name,0)),""))</f>
        <v/>
      </c>
      <c r="Q1820" s="66">
        <f>IF(Z1820=1,IF(U1820="In",K1820&amp;"",V1820),"")</f>
        <v/>
      </c>
      <c r="R1820" s="66">
        <f>IF(Z1820=1,IF(U1820="In",V1820,K1820&amp;""),"")</f>
        <v/>
      </c>
      <c r="S1820" s="66">
        <f>IF(X1820&lt;&gt;"","⛔ "&amp;X1820&amp;" — not posted",IF(Y1820&lt;&gt;"","⚠ "&amp;Y1820,IF(Z1820=1,"✓ OK","")))</f>
        <v/>
      </c>
      <c r="T1820" s="67">
        <f>IF(AND(C1820="",D1820="",E1820="",L1820="",K1820=""),1,0)</f>
        <v/>
      </c>
      <c r="U1820" s="67">
        <f>IFERROR(INDEX(tt_Dir,MATCH(D1820,tt_Type,0)),"")</f>
        <v/>
      </c>
      <c r="V1820" s="67">
        <f>IF(D1820="","",IFERROR(IF(INDEX(tt_Other,MATCH(D1820,tt_Type,0))="",E1820&amp;"",INDEX(tt_Other,MATCH(D1820,tt_Type,0))),""))</f>
        <v/>
      </c>
      <c r="W1820" s="68">
        <f>IF(OR(TaxOn&lt;&gt;"Yes",NOT(ISNUMBER(M1820))),0,IF(IFERROR(INDEX(tt_Tax,MATCH(D1820,tt_Type,0)),"No")="Yes",M1820,0))</f>
        <v/>
      </c>
      <c r="X1820" s="67">
        <f>IF(T1820=1,"",IF(C1820="","Missing transaction date",IF(NOT(ISNUMBER(C1820)),"Invalid date",IF(OR(C1820&lt;DATE(2000,1,1),C1820&gt;DATE(2099,12,31)),"Invalid date",IF(D1820="","Select a type",IF(U1820="","Unknown type: "&amp;D1820,IF(V1820="","Select an account (Category)",IF(ISNA(MATCH(V1820,coa_Name,0)),"Unknown account: "&amp;V1820,IF(K1820="","Select Paid From / Deposited To",IF(ISNA(MATCH(K1820,coa_Name,0)),"Unknown account: "&amp;K1820,IF(NOT(ISNUMBER(L1820)),"Enter an amount",IF(L1820=0,"Enter an amount",IF(ABS(W1820)&gt;ABS(L1820),"Tax is larger than the amount","")))))))))))))</f>
        <v/>
      </c>
      <c r="Y1820" s="67">
        <f>IF(OR(T1820=1,X1820&lt;&gt;""),"",IF(AND(B1820&lt;&gt;"",COUNTIF(tx_ID,B1820)&gt;1),"Duplicate transaction ID",IF(AND(L1820&lt;0,D1820&lt;&gt;"Adjustment"),"Negative amount — check this entry",IF(AND(D1820="Customer Payment",G1820=""),"Add the customer",IF(AND(D1820="Customer Payment",OR(J1820="",COUNTIF(ar_No,J1820&amp;"")=0)),"Invoice # in Reference not found on AR sheet",IF(AND(D1820="Bill Payment",H1820=""),"Add the vendor",IF(AND(D1820="Bill Payment",OR(J1820="",COUNTIFS(ap_No,J1820&amp;"",ap_Party,H1820&amp;"")=0)),"Bill # + vendor not found on AP sheet",IF(AND(ISNUMBER(M1820),N(M1820)&lt;&gt;0,W1820=0),"Tax ignored (tax tracking off, or not allowed for this type)",IF(V1820=K1820&amp;"","Same account on both sides",IF(AND(ISNUMBER(StartDate),C1820&lt;StartDate),"Date is before the accounting start date",IF(AND(D1820&lt;&gt;"Adjustment",IFERROR(INDEX(coa_Pay,MATCH(K1820&amp;"",coa_Name,0)),"")&lt;&gt;"Yes"),"Paid From / Deposited To is not a payment account","")))))))))))</f>
        <v/>
      </c>
      <c r="Z1820" s="67">
        <f>IF(AND(T1820=0,X1820=""),1,0)</f>
        <v/>
      </c>
      <c r="AA1820" s="68">
        <f>IF(Z1820=1,IF(U1820="In",L1820,L1820-W1820),0)</f>
        <v/>
      </c>
      <c r="AB1820" s="68">
        <f>IF(Z1820=1,IF(U1820="In",L1820-W1820,L1820),0)</f>
        <v/>
      </c>
      <c r="AC1820" s="68">
        <f>IF(AND(Z1820=1,U1820="Out"),W1820,0)</f>
        <v/>
      </c>
      <c r="AD1820" s="68">
        <f>IF(AND(Z1820=1,U1820="In"),W1820,0)</f>
        <v/>
      </c>
    </row>
    <row r="1821">
      <c r="B1821" s="62" t="inlineStr">
        <is>
          <t>TX-1815</t>
        </is>
      </c>
      <c r="C1821" s="63" t="n"/>
      <c r="D1821" s="62" t="n"/>
      <c r="E1821" s="62" t="n"/>
      <c r="F1821" s="62" t="n"/>
      <c r="G1821" s="62" t="n"/>
      <c r="H1821" s="62" t="n"/>
      <c r="I1821" s="62" t="n"/>
      <c r="J1821" s="62" t="n"/>
      <c r="K1821" s="62" t="n"/>
      <c r="L1821" s="64" t="n"/>
      <c r="M1821" s="64" t="n"/>
      <c r="N1821" s="62" t="n"/>
      <c r="O1821" s="65">
        <f>IF(Z1821=1,L1821-W1821,"")</f>
        <v/>
      </c>
      <c r="P1821" s="66">
        <f>IF(V1821="","",IFERROR(INDEX(coa_Type,MATCH(V1821,coa_Name,0)),""))</f>
        <v/>
      </c>
      <c r="Q1821" s="66">
        <f>IF(Z1821=1,IF(U1821="In",K1821&amp;"",V1821),"")</f>
        <v/>
      </c>
      <c r="R1821" s="66">
        <f>IF(Z1821=1,IF(U1821="In",V1821,K1821&amp;""),"")</f>
        <v/>
      </c>
      <c r="S1821" s="66">
        <f>IF(X1821&lt;&gt;"","⛔ "&amp;X1821&amp;" — not posted",IF(Y1821&lt;&gt;"","⚠ "&amp;Y1821,IF(Z1821=1,"✓ OK","")))</f>
        <v/>
      </c>
      <c r="T1821" s="67">
        <f>IF(AND(C1821="",D1821="",E1821="",L1821="",K1821=""),1,0)</f>
        <v/>
      </c>
      <c r="U1821" s="67">
        <f>IFERROR(INDEX(tt_Dir,MATCH(D1821,tt_Type,0)),"")</f>
        <v/>
      </c>
      <c r="V1821" s="67">
        <f>IF(D1821="","",IFERROR(IF(INDEX(tt_Other,MATCH(D1821,tt_Type,0))="",E1821&amp;"",INDEX(tt_Other,MATCH(D1821,tt_Type,0))),""))</f>
        <v/>
      </c>
      <c r="W1821" s="68">
        <f>IF(OR(TaxOn&lt;&gt;"Yes",NOT(ISNUMBER(M1821))),0,IF(IFERROR(INDEX(tt_Tax,MATCH(D1821,tt_Type,0)),"No")="Yes",M1821,0))</f>
        <v/>
      </c>
      <c r="X1821" s="67">
        <f>IF(T1821=1,"",IF(C1821="","Missing transaction date",IF(NOT(ISNUMBER(C1821)),"Invalid date",IF(OR(C1821&lt;DATE(2000,1,1),C1821&gt;DATE(2099,12,31)),"Invalid date",IF(D1821="","Select a type",IF(U1821="","Unknown type: "&amp;D1821,IF(V1821="","Select an account (Category)",IF(ISNA(MATCH(V1821,coa_Name,0)),"Unknown account: "&amp;V1821,IF(K1821="","Select Paid From / Deposited To",IF(ISNA(MATCH(K1821,coa_Name,0)),"Unknown account: "&amp;K1821,IF(NOT(ISNUMBER(L1821)),"Enter an amount",IF(L1821=0,"Enter an amount",IF(ABS(W1821)&gt;ABS(L1821),"Tax is larger than the amount","")))))))))))))</f>
        <v/>
      </c>
      <c r="Y1821" s="67">
        <f>IF(OR(T1821=1,X1821&lt;&gt;""),"",IF(AND(B1821&lt;&gt;"",COUNTIF(tx_ID,B1821)&gt;1),"Duplicate transaction ID",IF(AND(L1821&lt;0,D1821&lt;&gt;"Adjustment"),"Negative amount — check this entry",IF(AND(D1821="Customer Payment",G1821=""),"Add the customer",IF(AND(D1821="Customer Payment",OR(J1821="",COUNTIF(ar_No,J1821&amp;"")=0)),"Invoice # in Reference not found on AR sheet",IF(AND(D1821="Bill Payment",H1821=""),"Add the vendor",IF(AND(D1821="Bill Payment",OR(J1821="",COUNTIFS(ap_No,J1821&amp;"",ap_Party,H1821&amp;"")=0)),"Bill # + vendor not found on AP sheet",IF(AND(ISNUMBER(M1821),N(M1821)&lt;&gt;0,W1821=0),"Tax ignored (tax tracking off, or not allowed for this type)",IF(V1821=K1821&amp;"","Same account on both sides",IF(AND(ISNUMBER(StartDate),C1821&lt;StartDate),"Date is before the accounting start date",IF(AND(D1821&lt;&gt;"Adjustment",IFERROR(INDEX(coa_Pay,MATCH(K1821&amp;"",coa_Name,0)),"")&lt;&gt;"Yes"),"Paid From / Deposited To is not a payment account","")))))))))))</f>
        <v/>
      </c>
      <c r="Z1821" s="67">
        <f>IF(AND(T1821=0,X1821=""),1,0)</f>
        <v/>
      </c>
      <c r="AA1821" s="68">
        <f>IF(Z1821=1,IF(U1821="In",L1821,L1821-W1821),0)</f>
        <v/>
      </c>
      <c r="AB1821" s="68">
        <f>IF(Z1821=1,IF(U1821="In",L1821-W1821,L1821),0)</f>
        <v/>
      </c>
      <c r="AC1821" s="68">
        <f>IF(AND(Z1821=1,U1821="Out"),W1821,0)</f>
        <v/>
      </c>
      <c r="AD1821" s="68">
        <f>IF(AND(Z1821=1,U1821="In"),W1821,0)</f>
        <v/>
      </c>
    </row>
    <row r="1822">
      <c r="B1822" s="62" t="inlineStr">
        <is>
          <t>TX-1816</t>
        </is>
      </c>
      <c r="C1822" s="63" t="n"/>
      <c r="D1822" s="62" t="n"/>
      <c r="E1822" s="62" t="n"/>
      <c r="F1822" s="62" t="n"/>
      <c r="G1822" s="62" t="n"/>
      <c r="H1822" s="62" t="n"/>
      <c r="I1822" s="62" t="n"/>
      <c r="J1822" s="62" t="n"/>
      <c r="K1822" s="62" t="n"/>
      <c r="L1822" s="64" t="n"/>
      <c r="M1822" s="64" t="n"/>
      <c r="N1822" s="62" t="n"/>
      <c r="O1822" s="65">
        <f>IF(Z1822=1,L1822-W1822,"")</f>
        <v/>
      </c>
      <c r="P1822" s="66">
        <f>IF(V1822="","",IFERROR(INDEX(coa_Type,MATCH(V1822,coa_Name,0)),""))</f>
        <v/>
      </c>
      <c r="Q1822" s="66">
        <f>IF(Z1822=1,IF(U1822="In",K1822&amp;"",V1822),"")</f>
        <v/>
      </c>
      <c r="R1822" s="66">
        <f>IF(Z1822=1,IF(U1822="In",V1822,K1822&amp;""),"")</f>
        <v/>
      </c>
      <c r="S1822" s="66">
        <f>IF(X1822&lt;&gt;"","⛔ "&amp;X1822&amp;" — not posted",IF(Y1822&lt;&gt;"","⚠ "&amp;Y1822,IF(Z1822=1,"✓ OK","")))</f>
        <v/>
      </c>
      <c r="T1822" s="67">
        <f>IF(AND(C1822="",D1822="",E1822="",L1822="",K1822=""),1,0)</f>
        <v/>
      </c>
      <c r="U1822" s="67">
        <f>IFERROR(INDEX(tt_Dir,MATCH(D1822,tt_Type,0)),"")</f>
        <v/>
      </c>
      <c r="V1822" s="67">
        <f>IF(D1822="","",IFERROR(IF(INDEX(tt_Other,MATCH(D1822,tt_Type,0))="",E1822&amp;"",INDEX(tt_Other,MATCH(D1822,tt_Type,0))),""))</f>
        <v/>
      </c>
      <c r="W1822" s="68">
        <f>IF(OR(TaxOn&lt;&gt;"Yes",NOT(ISNUMBER(M1822))),0,IF(IFERROR(INDEX(tt_Tax,MATCH(D1822,tt_Type,0)),"No")="Yes",M1822,0))</f>
        <v/>
      </c>
      <c r="X1822" s="67">
        <f>IF(T1822=1,"",IF(C1822="","Missing transaction date",IF(NOT(ISNUMBER(C1822)),"Invalid date",IF(OR(C1822&lt;DATE(2000,1,1),C1822&gt;DATE(2099,12,31)),"Invalid date",IF(D1822="","Select a type",IF(U1822="","Unknown type: "&amp;D1822,IF(V1822="","Select an account (Category)",IF(ISNA(MATCH(V1822,coa_Name,0)),"Unknown account: "&amp;V1822,IF(K1822="","Select Paid From / Deposited To",IF(ISNA(MATCH(K1822,coa_Name,0)),"Unknown account: "&amp;K1822,IF(NOT(ISNUMBER(L1822)),"Enter an amount",IF(L1822=0,"Enter an amount",IF(ABS(W1822)&gt;ABS(L1822),"Tax is larger than the amount","")))))))))))))</f>
        <v/>
      </c>
      <c r="Y1822" s="67">
        <f>IF(OR(T1822=1,X1822&lt;&gt;""),"",IF(AND(B1822&lt;&gt;"",COUNTIF(tx_ID,B1822)&gt;1),"Duplicate transaction ID",IF(AND(L1822&lt;0,D1822&lt;&gt;"Adjustment"),"Negative amount — check this entry",IF(AND(D1822="Customer Payment",G1822=""),"Add the customer",IF(AND(D1822="Customer Payment",OR(J1822="",COUNTIF(ar_No,J1822&amp;"")=0)),"Invoice # in Reference not found on AR sheet",IF(AND(D1822="Bill Payment",H1822=""),"Add the vendor",IF(AND(D1822="Bill Payment",OR(J1822="",COUNTIFS(ap_No,J1822&amp;"",ap_Party,H1822&amp;"")=0)),"Bill # + vendor not found on AP sheet",IF(AND(ISNUMBER(M1822),N(M1822)&lt;&gt;0,W1822=0),"Tax ignored (tax tracking off, or not allowed for this type)",IF(V1822=K1822&amp;"","Same account on both sides",IF(AND(ISNUMBER(StartDate),C1822&lt;StartDate),"Date is before the accounting start date",IF(AND(D1822&lt;&gt;"Adjustment",IFERROR(INDEX(coa_Pay,MATCH(K1822&amp;"",coa_Name,0)),"")&lt;&gt;"Yes"),"Paid From / Deposited To is not a payment account","")))))))))))</f>
        <v/>
      </c>
      <c r="Z1822" s="67">
        <f>IF(AND(T1822=0,X1822=""),1,0)</f>
        <v/>
      </c>
      <c r="AA1822" s="68">
        <f>IF(Z1822=1,IF(U1822="In",L1822,L1822-W1822),0)</f>
        <v/>
      </c>
      <c r="AB1822" s="68">
        <f>IF(Z1822=1,IF(U1822="In",L1822-W1822,L1822),0)</f>
        <v/>
      </c>
      <c r="AC1822" s="68">
        <f>IF(AND(Z1822=1,U1822="Out"),W1822,0)</f>
        <v/>
      </c>
      <c r="AD1822" s="68">
        <f>IF(AND(Z1822=1,U1822="In"),W1822,0)</f>
        <v/>
      </c>
    </row>
    <row r="1823">
      <c r="B1823" s="62" t="inlineStr">
        <is>
          <t>TX-1817</t>
        </is>
      </c>
      <c r="C1823" s="63" t="n"/>
      <c r="D1823" s="62" t="n"/>
      <c r="E1823" s="62" t="n"/>
      <c r="F1823" s="62" t="n"/>
      <c r="G1823" s="62" t="n"/>
      <c r="H1823" s="62" t="n"/>
      <c r="I1823" s="62" t="n"/>
      <c r="J1823" s="62" t="n"/>
      <c r="K1823" s="62" t="n"/>
      <c r="L1823" s="64" t="n"/>
      <c r="M1823" s="64" t="n"/>
      <c r="N1823" s="62" t="n"/>
      <c r="O1823" s="65">
        <f>IF(Z1823=1,L1823-W1823,"")</f>
        <v/>
      </c>
      <c r="P1823" s="66">
        <f>IF(V1823="","",IFERROR(INDEX(coa_Type,MATCH(V1823,coa_Name,0)),""))</f>
        <v/>
      </c>
      <c r="Q1823" s="66">
        <f>IF(Z1823=1,IF(U1823="In",K1823&amp;"",V1823),"")</f>
        <v/>
      </c>
      <c r="R1823" s="66">
        <f>IF(Z1823=1,IF(U1823="In",V1823,K1823&amp;""),"")</f>
        <v/>
      </c>
      <c r="S1823" s="66">
        <f>IF(X1823&lt;&gt;"","⛔ "&amp;X1823&amp;" — not posted",IF(Y1823&lt;&gt;"","⚠ "&amp;Y1823,IF(Z1823=1,"✓ OK","")))</f>
        <v/>
      </c>
      <c r="T1823" s="67">
        <f>IF(AND(C1823="",D1823="",E1823="",L1823="",K1823=""),1,0)</f>
        <v/>
      </c>
      <c r="U1823" s="67">
        <f>IFERROR(INDEX(tt_Dir,MATCH(D1823,tt_Type,0)),"")</f>
        <v/>
      </c>
      <c r="V1823" s="67">
        <f>IF(D1823="","",IFERROR(IF(INDEX(tt_Other,MATCH(D1823,tt_Type,0))="",E1823&amp;"",INDEX(tt_Other,MATCH(D1823,tt_Type,0))),""))</f>
        <v/>
      </c>
      <c r="W1823" s="68">
        <f>IF(OR(TaxOn&lt;&gt;"Yes",NOT(ISNUMBER(M1823))),0,IF(IFERROR(INDEX(tt_Tax,MATCH(D1823,tt_Type,0)),"No")="Yes",M1823,0))</f>
        <v/>
      </c>
      <c r="X1823" s="67">
        <f>IF(T1823=1,"",IF(C1823="","Missing transaction date",IF(NOT(ISNUMBER(C1823)),"Invalid date",IF(OR(C1823&lt;DATE(2000,1,1),C1823&gt;DATE(2099,12,31)),"Invalid date",IF(D1823="","Select a type",IF(U1823="","Unknown type: "&amp;D1823,IF(V1823="","Select an account (Category)",IF(ISNA(MATCH(V1823,coa_Name,0)),"Unknown account: "&amp;V1823,IF(K1823="","Select Paid From / Deposited To",IF(ISNA(MATCH(K1823,coa_Name,0)),"Unknown account: "&amp;K1823,IF(NOT(ISNUMBER(L1823)),"Enter an amount",IF(L1823=0,"Enter an amount",IF(ABS(W1823)&gt;ABS(L1823),"Tax is larger than the amount","")))))))))))))</f>
        <v/>
      </c>
      <c r="Y1823" s="67">
        <f>IF(OR(T1823=1,X1823&lt;&gt;""),"",IF(AND(B1823&lt;&gt;"",COUNTIF(tx_ID,B1823)&gt;1),"Duplicate transaction ID",IF(AND(L1823&lt;0,D1823&lt;&gt;"Adjustment"),"Negative amount — check this entry",IF(AND(D1823="Customer Payment",G1823=""),"Add the customer",IF(AND(D1823="Customer Payment",OR(J1823="",COUNTIF(ar_No,J1823&amp;"")=0)),"Invoice # in Reference not found on AR sheet",IF(AND(D1823="Bill Payment",H1823=""),"Add the vendor",IF(AND(D1823="Bill Payment",OR(J1823="",COUNTIFS(ap_No,J1823&amp;"",ap_Party,H1823&amp;"")=0)),"Bill # + vendor not found on AP sheet",IF(AND(ISNUMBER(M1823),N(M1823)&lt;&gt;0,W1823=0),"Tax ignored (tax tracking off, or not allowed for this type)",IF(V1823=K1823&amp;"","Same account on both sides",IF(AND(ISNUMBER(StartDate),C1823&lt;StartDate),"Date is before the accounting start date",IF(AND(D1823&lt;&gt;"Adjustment",IFERROR(INDEX(coa_Pay,MATCH(K1823&amp;"",coa_Name,0)),"")&lt;&gt;"Yes"),"Paid From / Deposited To is not a payment account","")))))))))))</f>
        <v/>
      </c>
      <c r="Z1823" s="67">
        <f>IF(AND(T1823=0,X1823=""),1,0)</f>
        <v/>
      </c>
      <c r="AA1823" s="68">
        <f>IF(Z1823=1,IF(U1823="In",L1823,L1823-W1823),0)</f>
        <v/>
      </c>
      <c r="AB1823" s="68">
        <f>IF(Z1823=1,IF(U1823="In",L1823-W1823,L1823),0)</f>
        <v/>
      </c>
      <c r="AC1823" s="68">
        <f>IF(AND(Z1823=1,U1823="Out"),W1823,0)</f>
        <v/>
      </c>
      <c r="AD1823" s="68">
        <f>IF(AND(Z1823=1,U1823="In"),W1823,0)</f>
        <v/>
      </c>
    </row>
    <row r="1824">
      <c r="B1824" s="62" t="inlineStr">
        <is>
          <t>TX-1818</t>
        </is>
      </c>
      <c r="C1824" s="63" t="n"/>
      <c r="D1824" s="62" t="n"/>
      <c r="E1824" s="62" t="n"/>
      <c r="F1824" s="62" t="n"/>
      <c r="G1824" s="62" t="n"/>
      <c r="H1824" s="62" t="n"/>
      <c r="I1824" s="62" t="n"/>
      <c r="J1824" s="62" t="n"/>
      <c r="K1824" s="62" t="n"/>
      <c r="L1824" s="64" t="n"/>
      <c r="M1824" s="64" t="n"/>
      <c r="N1824" s="62" t="n"/>
      <c r="O1824" s="65">
        <f>IF(Z1824=1,L1824-W1824,"")</f>
        <v/>
      </c>
      <c r="P1824" s="66">
        <f>IF(V1824="","",IFERROR(INDEX(coa_Type,MATCH(V1824,coa_Name,0)),""))</f>
        <v/>
      </c>
      <c r="Q1824" s="66">
        <f>IF(Z1824=1,IF(U1824="In",K1824&amp;"",V1824),"")</f>
        <v/>
      </c>
      <c r="R1824" s="66">
        <f>IF(Z1824=1,IF(U1824="In",V1824,K1824&amp;""),"")</f>
        <v/>
      </c>
      <c r="S1824" s="66">
        <f>IF(X1824&lt;&gt;"","⛔ "&amp;X1824&amp;" — not posted",IF(Y1824&lt;&gt;"","⚠ "&amp;Y1824,IF(Z1824=1,"✓ OK","")))</f>
        <v/>
      </c>
      <c r="T1824" s="67">
        <f>IF(AND(C1824="",D1824="",E1824="",L1824="",K1824=""),1,0)</f>
        <v/>
      </c>
      <c r="U1824" s="67">
        <f>IFERROR(INDEX(tt_Dir,MATCH(D1824,tt_Type,0)),"")</f>
        <v/>
      </c>
      <c r="V1824" s="67">
        <f>IF(D1824="","",IFERROR(IF(INDEX(tt_Other,MATCH(D1824,tt_Type,0))="",E1824&amp;"",INDEX(tt_Other,MATCH(D1824,tt_Type,0))),""))</f>
        <v/>
      </c>
      <c r="W1824" s="68">
        <f>IF(OR(TaxOn&lt;&gt;"Yes",NOT(ISNUMBER(M1824))),0,IF(IFERROR(INDEX(tt_Tax,MATCH(D1824,tt_Type,0)),"No")="Yes",M1824,0))</f>
        <v/>
      </c>
      <c r="X1824" s="67">
        <f>IF(T1824=1,"",IF(C1824="","Missing transaction date",IF(NOT(ISNUMBER(C1824)),"Invalid date",IF(OR(C1824&lt;DATE(2000,1,1),C1824&gt;DATE(2099,12,31)),"Invalid date",IF(D1824="","Select a type",IF(U1824="","Unknown type: "&amp;D1824,IF(V1824="","Select an account (Category)",IF(ISNA(MATCH(V1824,coa_Name,0)),"Unknown account: "&amp;V1824,IF(K1824="","Select Paid From / Deposited To",IF(ISNA(MATCH(K1824,coa_Name,0)),"Unknown account: "&amp;K1824,IF(NOT(ISNUMBER(L1824)),"Enter an amount",IF(L1824=0,"Enter an amount",IF(ABS(W1824)&gt;ABS(L1824),"Tax is larger than the amount","")))))))))))))</f>
        <v/>
      </c>
      <c r="Y1824" s="67">
        <f>IF(OR(T1824=1,X1824&lt;&gt;""),"",IF(AND(B1824&lt;&gt;"",COUNTIF(tx_ID,B1824)&gt;1),"Duplicate transaction ID",IF(AND(L1824&lt;0,D1824&lt;&gt;"Adjustment"),"Negative amount — check this entry",IF(AND(D1824="Customer Payment",G1824=""),"Add the customer",IF(AND(D1824="Customer Payment",OR(J1824="",COUNTIF(ar_No,J1824&amp;"")=0)),"Invoice # in Reference not found on AR sheet",IF(AND(D1824="Bill Payment",H1824=""),"Add the vendor",IF(AND(D1824="Bill Payment",OR(J1824="",COUNTIFS(ap_No,J1824&amp;"",ap_Party,H1824&amp;"")=0)),"Bill # + vendor not found on AP sheet",IF(AND(ISNUMBER(M1824),N(M1824)&lt;&gt;0,W1824=0),"Tax ignored (tax tracking off, or not allowed for this type)",IF(V1824=K1824&amp;"","Same account on both sides",IF(AND(ISNUMBER(StartDate),C1824&lt;StartDate),"Date is before the accounting start date",IF(AND(D1824&lt;&gt;"Adjustment",IFERROR(INDEX(coa_Pay,MATCH(K1824&amp;"",coa_Name,0)),"")&lt;&gt;"Yes"),"Paid From / Deposited To is not a payment account","")))))))))))</f>
        <v/>
      </c>
      <c r="Z1824" s="67">
        <f>IF(AND(T1824=0,X1824=""),1,0)</f>
        <v/>
      </c>
      <c r="AA1824" s="68">
        <f>IF(Z1824=1,IF(U1824="In",L1824,L1824-W1824),0)</f>
        <v/>
      </c>
      <c r="AB1824" s="68">
        <f>IF(Z1824=1,IF(U1824="In",L1824-W1824,L1824),0)</f>
        <v/>
      </c>
      <c r="AC1824" s="68">
        <f>IF(AND(Z1824=1,U1824="Out"),W1824,0)</f>
        <v/>
      </c>
      <c r="AD1824" s="68">
        <f>IF(AND(Z1824=1,U1824="In"),W1824,0)</f>
        <v/>
      </c>
    </row>
    <row r="1825">
      <c r="B1825" s="62" t="inlineStr">
        <is>
          <t>TX-1819</t>
        </is>
      </c>
      <c r="C1825" s="63" t="n"/>
      <c r="D1825" s="62" t="n"/>
      <c r="E1825" s="62" t="n"/>
      <c r="F1825" s="62" t="n"/>
      <c r="G1825" s="62" t="n"/>
      <c r="H1825" s="62" t="n"/>
      <c r="I1825" s="62" t="n"/>
      <c r="J1825" s="62" t="n"/>
      <c r="K1825" s="62" t="n"/>
      <c r="L1825" s="64" t="n"/>
      <c r="M1825" s="64" t="n"/>
      <c r="N1825" s="62" t="n"/>
      <c r="O1825" s="65">
        <f>IF(Z1825=1,L1825-W1825,"")</f>
        <v/>
      </c>
      <c r="P1825" s="66">
        <f>IF(V1825="","",IFERROR(INDEX(coa_Type,MATCH(V1825,coa_Name,0)),""))</f>
        <v/>
      </c>
      <c r="Q1825" s="66">
        <f>IF(Z1825=1,IF(U1825="In",K1825&amp;"",V1825),"")</f>
        <v/>
      </c>
      <c r="R1825" s="66">
        <f>IF(Z1825=1,IF(U1825="In",V1825,K1825&amp;""),"")</f>
        <v/>
      </c>
      <c r="S1825" s="66">
        <f>IF(X1825&lt;&gt;"","⛔ "&amp;X1825&amp;" — not posted",IF(Y1825&lt;&gt;"","⚠ "&amp;Y1825,IF(Z1825=1,"✓ OK","")))</f>
        <v/>
      </c>
      <c r="T1825" s="67">
        <f>IF(AND(C1825="",D1825="",E1825="",L1825="",K1825=""),1,0)</f>
        <v/>
      </c>
      <c r="U1825" s="67">
        <f>IFERROR(INDEX(tt_Dir,MATCH(D1825,tt_Type,0)),"")</f>
        <v/>
      </c>
      <c r="V1825" s="67">
        <f>IF(D1825="","",IFERROR(IF(INDEX(tt_Other,MATCH(D1825,tt_Type,0))="",E1825&amp;"",INDEX(tt_Other,MATCH(D1825,tt_Type,0))),""))</f>
        <v/>
      </c>
      <c r="W1825" s="68">
        <f>IF(OR(TaxOn&lt;&gt;"Yes",NOT(ISNUMBER(M1825))),0,IF(IFERROR(INDEX(tt_Tax,MATCH(D1825,tt_Type,0)),"No")="Yes",M1825,0))</f>
        <v/>
      </c>
      <c r="X1825" s="67">
        <f>IF(T1825=1,"",IF(C1825="","Missing transaction date",IF(NOT(ISNUMBER(C1825)),"Invalid date",IF(OR(C1825&lt;DATE(2000,1,1),C1825&gt;DATE(2099,12,31)),"Invalid date",IF(D1825="","Select a type",IF(U1825="","Unknown type: "&amp;D1825,IF(V1825="","Select an account (Category)",IF(ISNA(MATCH(V1825,coa_Name,0)),"Unknown account: "&amp;V1825,IF(K1825="","Select Paid From / Deposited To",IF(ISNA(MATCH(K1825,coa_Name,0)),"Unknown account: "&amp;K1825,IF(NOT(ISNUMBER(L1825)),"Enter an amount",IF(L1825=0,"Enter an amount",IF(ABS(W1825)&gt;ABS(L1825),"Tax is larger than the amount","")))))))))))))</f>
        <v/>
      </c>
      <c r="Y1825" s="67">
        <f>IF(OR(T1825=1,X1825&lt;&gt;""),"",IF(AND(B1825&lt;&gt;"",COUNTIF(tx_ID,B1825)&gt;1),"Duplicate transaction ID",IF(AND(L1825&lt;0,D1825&lt;&gt;"Adjustment"),"Negative amount — check this entry",IF(AND(D1825="Customer Payment",G1825=""),"Add the customer",IF(AND(D1825="Customer Payment",OR(J1825="",COUNTIF(ar_No,J1825&amp;"")=0)),"Invoice # in Reference not found on AR sheet",IF(AND(D1825="Bill Payment",H1825=""),"Add the vendor",IF(AND(D1825="Bill Payment",OR(J1825="",COUNTIFS(ap_No,J1825&amp;"",ap_Party,H1825&amp;"")=0)),"Bill # + vendor not found on AP sheet",IF(AND(ISNUMBER(M1825),N(M1825)&lt;&gt;0,W1825=0),"Tax ignored (tax tracking off, or not allowed for this type)",IF(V1825=K1825&amp;"","Same account on both sides",IF(AND(ISNUMBER(StartDate),C1825&lt;StartDate),"Date is before the accounting start date",IF(AND(D1825&lt;&gt;"Adjustment",IFERROR(INDEX(coa_Pay,MATCH(K1825&amp;"",coa_Name,0)),"")&lt;&gt;"Yes"),"Paid From / Deposited To is not a payment account","")))))))))))</f>
        <v/>
      </c>
      <c r="Z1825" s="67">
        <f>IF(AND(T1825=0,X1825=""),1,0)</f>
        <v/>
      </c>
      <c r="AA1825" s="68">
        <f>IF(Z1825=1,IF(U1825="In",L1825,L1825-W1825),0)</f>
        <v/>
      </c>
      <c r="AB1825" s="68">
        <f>IF(Z1825=1,IF(U1825="In",L1825-W1825,L1825),0)</f>
        <v/>
      </c>
      <c r="AC1825" s="68">
        <f>IF(AND(Z1825=1,U1825="Out"),W1825,0)</f>
        <v/>
      </c>
      <c r="AD1825" s="68">
        <f>IF(AND(Z1825=1,U1825="In"),W1825,0)</f>
        <v/>
      </c>
    </row>
    <row r="1826">
      <c r="B1826" s="62" t="inlineStr">
        <is>
          <t>TX-1820</t>
        </is>
      </c>
      <c r="C1826" s="63" t="n"/>
      <c r="D1826" s="62" t="n"/>
      <c r="E1826" s="62" t="n"/>
      <c r="F1826" s="62" t="n"/>
      <c r="G1826" s="62" t="n"/>
      <c r="H1826" s="62" t="n"/>
      <c r="I1826" s="62" t="n"/>
      <c r="J1826" s="62" t="n"/>
      <c r="K1826" s="62" t="n"/>
      <c r="L1826" s="64" t="n"/>
      <c r="M1826" s="64" t="n"/>
      <c r="N1826" s="62" t="n"/>
      <c r="O1826" s="65">
        <f>IF(Z1826=1,L1826-W1826,"")</f>
        <v/>
      </c>
      <c r="P1826" s="66">
        <f>IF(V1826="","",IFERROR(INDEX(coa_Type,MATCH(V1826,coa_Name,0)),""))</f>
        <v/>
      </c>
      <c r="Q1826" s="66">
        <f>IF(Z1826=1,IF(U1826="In",K1826&amp;"",V1826),"")</f>
        <v/>
      </c>
      <c r="R1826" s="66">
        <f>IF(Z1826=1,IF(U1826="In",V1826,K1826&amp;""),"")</f>
        <v/>
      </c>
      <c r="S1826" s="66">
        <f>IF(X1826&lt;&gt;"","⛔ "&amp;X1826&amp;" — not posted",IF(Y1826&lt;&gt;"","⚠ "&amp;Y1826,IF(Z1826=1,"✓ OK","")))</f>
        <v/>
      </c>
      <c r="T1826" s="67">
        <f>IF(AND(C1826="",D1826="",E1826="",L1826="",K1826=""),1,0)</f>
        <v/>
      </c>
      <c r="U1826" s="67">
        <f>IFERROR(INDEX(tt_Dir,MATCH(D1826,tt_Type,0)),"")</f>
        <v/>
      </c>
      <c r="V1826" s="67">
        <f>IF(D1826="","",IFERROR(IF(INDEX(tt_Other,MATCH(D1826,tt_Type,0))="",E1826&amp;"",INDEX(tt_Other,MATCH(D1826,tt_Type,0))),""))</f>
        <v/>
      </c>
      <c r="W1826" s="68">
        <f>IF(OR(TaxOn&lt;&gt;"Yes",NOT(ISNUMBER(M1826))),0,IF(IFERROR(INDEX(tt_Tax,MATCH(D1826,tt_Type,0)),"No")="Yes",M1826,0))</f>
        <v/>
      </c>
      <c r="X1826" s="67">
        <f>IF(T1826=1,"",IF(C1826="","Missing transaction date",IF(NOT(ISNUMBER(C1826)),"Invalid date",IF(OR(C1826&lt;DATE(2000,1,1),C1826&gt;DATE(2099,12,31)),"Invalid date",IF(D1826="","Select a type",IF(U1826="","Unknown type: "&amp;D1826,IF(V1826="","Select an account (Category)",IF(ISNA(MATCH(V1826,coa_Name,0)),"Unknown account: "&amp;V1826,IF(K1826="","Select Paid From / Deposited To",IF(ISNA(MATCH(K1826,coa_Name,0)),"Unknown account: "&amp;K1826,IF(NOT(ISNUMBER(L1826)),"Enter an amount",IF(L1826=0,"Enter an amount",IF(ABS(W1826)&gt;ABS(L1826),"Tax is larger than the amount","")))))))))))))</f>
        <v/>
      </c>
      <c r="Y1826" s="67">
        <f>IF(OR(T1826=1,X1826&lt;&gt;""),"",IF(AND(B1826&lt;&gt;"",COUNTIF(tx_ID,B1826)&gt;1),"Duplicate transaction ID",IF(AND(L1826&lt;0,D1826&lt;&gt;"Adjustment"),"Negative amount — check this entry",IF(AND(D1826="Customer Payment",G1826=""),"Add the customer",IF(AND(D1826="Customer Payment",OR(J1826="",COUNTIF(ar_No,J1826&amp;"")=0)),"Invoice # in Reference not found on AR sheet",IF(AND(D1826="Bill Payment",H1826=""),"Add the vendor",IF(AND(D1826="Bill Payment",OR(J1826="",COUNTIFS(ap_No,J1826&amp;"",ap_Party,H1826&amp;"")=0)),"Bill # + vendor not found on AP sheet",IF(AND(ISNUMBER(M1826),N(M1826)&lt;&gt;0,W1826=0),"Tax ignored (tax tracking off, or not allowed for this type)",IF(V1826=K1826&amp;"","Same account on both sides",IF(AND(ISNUMBER(StartDate),C1826&lt;StartDate),"Date is before the accounting start date",IF(AND(D1826&lt;&gt;"Adjustment",IFERROR(INDEX(coa_Pay,MATCH(K1826&amp;"",coa_Name,0)),"")&lt;&gt;"Yes"),"Paid From / Deposited To is not a payment account","")))))))))))</f>
        <v/>
      </c>
      <c r="Z1826" s="67">
        <f>IF(AND(T1826=0,X1826=""),1,0)</f>
        <v/>
      </c>
      <c r="AA1826" s="68">
        <f>IF(Z1826=1,IF(U1826="In",L1826,L1826-W1826),0)</f>
        <v/>
      </c>
      <c r="AB1826" s="68">
        <f>IF(Z1826=1,IF(U1826="In",L1826-W1826,L1826),0)</f>
        <v/>
      </c>
      <c r="AC1826" s="68">
        <f>IF(AND(Z1826=1,U1826="Out"),W1826,0)</f>
        <v/>
      </c>
      <c r="AD1826" s="68">
        <f>IF(AND(Z1826=1,U1826="In"),W1826,0)</f>
        <v/>
      </c>
    </row>
    <row r="1827">
      <c r="B1827" s="62" t="inlineStr">
        <is>
          <t>TX-1821</t>
        </is>
      </c>
      <c r="C1827" s="63" t="n"/>
      <c r="D1827" s="62" t="n"/>
      <c r="E1827" s="62" t="n"/>
      <c r="F1827" s="62" t="n"/>
      <c r="G1827" s="62" t="n"/>
      <c r="H1827" s="62" t="n"/>
      <c r="I1827" s="62" t="n"/>
      <c r="J1827" s="62" t="n"/>
      <c r="K1827" s="62" t="n"/>
      <c r="L1827" s="64" t="n"/>
      <c r="M1827" s="64" t="n"/>
      <c r="N1827" s="62" t="n"/>
      <c r="O1827" s="65">
        <f>IF(Z1827=1,L1827-W1827,"")</f>
        <v/>
      </c>
      <c r="P1827" s="66">
        <f>IF(V1827="","",IFERROR(INDEX(coa_Type,MATCH(V1827,coa_Name,0)),""))</f>
        <v/>
      </c>
      <c r="Q1827" s="66">
        <f>IF(Z1827=1,IF(U1827="In",K1827&amp;"",V1827),"")</f>
        <v/>
      </c>
      <c r="R1827" s="66">
        <f>IF(Z1827=1,IF(U1827="In",V1827,K1827&amp;""),"")</f>
        <v/>
      </c>
      <c r="S1827" s="66">
        <f>IF(X1827&lt;&gt;"","⛔ "&amp;X1827&amp;" — not posted",IF(Y1827&lt;&gt;"","⚠ "&amp;Y1827,IF(Z1827=1,"✓ OK","")))</f>
        <v/>
      </c>
      <c r="T1827" s="67">
        <f>IF(AND(C1827="",D1827="",E1827="",L1827="",K1827=""),1,0)</f>
        <v/>
      </c>
      <c r="U1827" s="67">
        <f>IFERROR(INDEX(tt_Dir,MATCH(D1827,tt_Type,0)),"")</f>
        <v/>
      </c>
      <c r="V1827" s="67">
        <f>IF(D1827="","",IFERROR(IF(INDEX(tt_Other,MATCH(D1827,tt_Type,0))="",E1827&amp;"",INDEX(tt_Other,MATCH(D1827,tt_Type,0))),""))</f>
        <v/>
      </c>
      <c r="W1827" s="68">
        <f>IF(OR(TaxOn&lt;&gt;"Yes",NOT(ISNUMBER(M1827))),0,IF(IFERROR(INDEX(tt_Tax,MATCH(D1827,tt_Type,0)),"No")="Yes",M1827,0))</f>
        <v/>
      </c>
      <c r="X1827" s="67">
        <f>IF(T1827=1,"",IF(C1827="","Missing transaction date",IF(NOT(ISNUMBER(C1827)),"Invalid date",IF(OR(C1827&lt;DATE(2000,1,1),C1827&gt;DATE(2099,12,31)),"Invalid date",IF(D1827="","Select a type",IF(U1827="","Unknown type: "&amp;D1827,IF(V1827="","Select an account (Category)",IF(ISNA(MATCH(V1827,coa_Name,0)),"Unknown account: "&amp;V1827,IF(K1827="","Select Paid From / Deposited To",IF(ISNA(MATCH(K1827,coa_Name,0)),"Unknown account: "&amp;K1827,IF(NOT(ISNUMBER(L1827)),"Enter an amount",IF(L1827=0,"Enter an amount",IF(ABS(W1827)&gt;ABS(L1827),"Tax is larger than the amount","")))))))))))))</f>
        <v/>
      </c>
      <c r="Y1827" s="67">
        <f>IF(OR(T1827=1,X1827&lt;&gt;""),"",IF(AND(B1827&lt;&gt;"",COUNTIF(tx_ID,B1827)&gt;1),"Duplicate transaction ID",IF(AND(L1827&lt;0,D1827&lt;&gt;"Adjustment"),"Negative amount — check this entry",IF(AND(D1827="Customer Payment",G1827=""),"Add the customer",IF(AND(D1827="Customer Payment",OR(J1827="",COUNTIF(ar_No,J1827&amp;"")=0)),"Invoice # in Reference not found on AR sheet",IF(AND(D1827="Bill Payment",H1827=""),"Add the vendor",IF(AND(D1827="Bill Payment",OR(J1827="",COUNTIFS(ap_No,J1827&amp;"",ap_Party,H1827&amp;"")=0)),"Bill # + vendor not found on AP sheet",IF(AND(ISNUMBER(M1827),N(M1827)&lt;&gt;0,W1827=0),"Tax ignored (tax tracking off, or not allowed for this type)",IF(V1827=K1827&amp;"","Same account on both sides",IF(AND(ISNUMBER(StartDate),C1827&lt;StartDate),"Date is before the accounting start date",IF(AND(D1827&lt;&gt;"Adjustment",IFERROR(INDEX(coa_Pay,MATCH(K1827&amp;"",coa_Name,0)),"")&lt;&gt;"Yes"),"Paid From / Deposited To is not a payment account","")))))))))))</f>
        <v/>
      </c>
      <c r="Z1827" s="67">
        <f>IF(AND(T1827=0,X1827=""),1,0)</f>
        <v/>
      </c>
      <c r="AA1827" s="68">
        <f>IF(Z1827=1,IF(U1827="In",L1827,L1827-W1827),0)</f>
        <v/>
      </c>
      <c r="AB1827" s="68">
        <f>IF(Z1827=1,IF(U1827="In",L1827-W1827,L1827),0)</f>
        <v/>
      </c>
      <c r="AC1827" s="68">
        <f>IF(AND(Z1827=1,U1827="Out"),W1827,0)</f>
        <v/>
      </c>
      <c r="AD1827" s="68">
        <f>IF(AND(Z1827=1,U1827="In"),W1827,0)</f>
        <v/>
      </c>
    </row>
    <row r="1828">
      <c r="B1828" s="62" t="inlineStr">
        <is>
          <t>TX-1822</t>
        </is>
      </c>
      <c r="C1828" s="63" t="n"/>
      <c r="D1828" s="62" t="n"/>
      <c r="E1828" s="62" t="n"/>
      <c r="F1828" s="62" t="n"/>
      <c r="G1828" s="62" t="n"/>
      <c r="H1828" s="62" t="n"/>
      <c r="I1828" s="62" t="n"/>
      <c r="J1828" s="62" t="n"/>
      <c r="K1828" s="62" t="n"/>
      <c r="L1828" s="64" t="n"/>
      <c r="M1828" s="64" t="n"/>
      <c r="N1828" s="62" t="n"/>
      <c r="O1828" s="65">
        <f>IF(Z1828=1,L1828-W1828,"")</f>
        <v/>
      </c>
      <c r="P1828" s="66">
        <f>IF(V1828="","",IFERROR(INDEX(coa_Type,MATCH(V1828,coa_Name,0)),""))</f>
        <v/>
      </c>
      <c r="Q1828" s="66">
        <f>IF(Z1828=1,IF(U1828="In",K1828&amp;"",V1828),"")</f>
        <v/>
      </c>
      <c r="R1828" s="66">
        <f>IF(Z1828=1,IF(U1828="In",V1828,K1828&amp;""),"")</f>
        <v/>
      </c>
      <c r="S1828" s="66">
        <f>IF(X1828&lt;&gt;"","⛔ "&amp;X1828&amp;" — not posted",IF(Y1828&lt;&gt;"","⚠ "&amp;Y1828,IF(Z1828=1,"✓ OK","")))</f>
        <v/>
      </c>
      <c r="T1828" s="67">
        <f>IF(AND(C1828="",D1828="",E1828="",L1828="",K1828=""),1,0)</f>
        <v/>
      </c>
      <c r="U1828" s="67">
        <f>IFERROR(INDEX(tt_Dir,MATCH(D1828,tt_Type,0)),"")</f>
        <v/>
      </c>
      <c r="V1828" s="67">
        <f>IF(D1828="","",IFERROR(IF(INDEX(tt_Other,MATCH(D1828,tt_Type,0))="",E1828&amp;"",INDEX(tt_Other,MATCH(D1828,tt_Type,0))),""))</f>
        <v/>
      </c>
      <c r="W1828" s="68">
        <f>IF(OR(TaxOn&lt;&gt;"Yes",NOT(ISNUMBER(M1828))),0,IF(IFERROR(INDEX(tt_Tax,MATCH(D1828,tt_Type,0)),"No")="Yes",M1828,0))</f>
        <v/>
      </c>
      <c r="X1828" s="67">
        <f>IF(T1828=1,"",IF(C1828="","Missing transaction date",IF(NOT(ISNUMBER(C1828)),"Invalid date",IF(OR(C1828&lt;DATE(2000,1,1),C1828&gt;DATE(2099,12,31)),"Invalid date",IF(D1828="","Select a type",IF(U1828="","Unknown type: "&amp;D1828,IF(V1828="","Select an account (Category)",IF(ISNA(MATCH(V1828,coa_Name,0)),"Unknown account: "&amp;V1828,IF(K1828="","Select Paid From / Deposited To",IF(ISNA(MATCH(K1828,coa_Name,0)),"Unknown account: "&amp;K1828,IF(NOT(ISNUMBER(L1828)),"Enter an amount",IF(L1828=0,"Enter an amount",IF(ABS(W1828)&gt;ABS(L1828),"Tax is larger than the amount","")))))))))))))</f>
        <v/>
      </c>
      <c r="Y1828" s="67">
        <f>IF(OR(T1828=1,X1828&lt;&gt;""),"",IF(AND(B1828&lt;&gt;"",COUNTIF(tx_ID,B1828)&gt;1),"Duplicate transaction ID",IF(AND(L1828&lt;0,D1828&lt;&gt;"Adjustment"),"Negative amount — check this entry",IF(AND(D1828="Customer Payment",G1828=""),"Add the customer",IF(AND(D1828="Customer Payment",OR(J1828="",COUNTIF(ar_No,J1828&amp;"")=0)),"Invoice # in Reference not found on AR sheet",IF(AND(D1828="Bill Payment",H1828=""),"Add the vendor",IF(AND(D1828="Bill Payment",OR(J1828="",COUNTIFS(ap_No,J1828&amp;"",ap_Party,H1828&amp;"")=0)),"Bill # + vendor not found on AP sheet",IF(AND(ISNUMBER(M1828),N(M1828)&lt;&gt;0,W1828=0),"Tax ignored (tax tracking off, or not allowed for this type)",IF(V1828=K1828&amp;"","Same account on both sides",IF(AND(ISNUMBER(StartDate),C1828&lt;StartDate),"Date is before the accounting start date",IF(AND(D1828&lt;&gt;"Adjustment",IFERROR(INDEX(coa_Pay,MATCH(K1828&amp;"",coa_Name,0)),"")&lt;&gt;"Yes"),"Paid From / Deposited To is not a payment account","")))))))))))</f>
        <v/>
      </c>
      <c r="Z1828" s="67">
        <f>IF(AND(T1828=0,X1828=""),1,0)</f>
        <v/>
      </c>
      <c r="AA1828" s="68">
        <f>IF(Z1828=1,IF(U1828="In",L1828,L1828-W1828),0)</f>
        <v/>
      </c>
      <c r="AB1828" s="68">
        <f>IF(Z1828=1,IF(U1828="In",L1828-W1828,L1828),0)</f>
        <v/>
      </c>
      <c r="AC1828" s="68">
        <f>IF(AND(Z1828=1,U1828="Out"),W1828,0)</f>
        <v/>
      </c>
      <c r="AD1828" s="68">
        <f>IF(AND(Z1828=1,U1828="In"),W1828,0)</f>
        <v/>
      </c>
    </row>
    <row r="1829">
      <c r="B1829" s="62" t="inlineStr">
        <is>
          <t>TX-1823</t>
        </is>
      </c>
      <c r="C1829" s="63" t="n"/>
      <c r="D1829" s="62" t="n"/>
      <c r="E1829" s="62" t="n"/>
      <c r="F1829" s="62" t="n"/>
      <c r="G1829" s="62" t="n"/>
      <c r="H1829" s="62" t="n"/>
      <c r="I1829" s="62" t="n"/>
      <c r="J1829" s="62" t="n"/>
      <c r="K1829" s="62" t="n"/>
      <c r="L1829" s="64" t="n"/>
      <c r="M1829" s="64" t="n"/>
      <c r="N1829" s="62" t="n"/>
      <c r="O1829" s="65">
        <f>IF(Z1829=1,L1829-W1829,"")</f>
        <v/>
      </c>
      <c r="P1829" s="66">
        <f>IF(V1829="","",IFERROR(INDEX(coa_Type,MATCH(V1829,coa_Name,0)),""))</f>
        <v/>
      </c>
      <c r="Q1829" s="66">
        <f>IF(Z1829=1,IF(U1829="In",K1829&amp;"",V1829),"")</f>
        <v/>
      </c>
      <c r="R1829" s="66">
        <f>IF(Z1829=1,IF(U1829="In",V1829,K1829&amp;""),"")</f>
        <v/>
      </c>
      <c r="S1829" s="66">
        <f>IF(X1829&lt;&gt;"","⛔ "&amp;X1829&amp;" — not posted",IF(Y1829&lt;&gt;"","⚠ "&amp;Y1829,IF(Z1829=1,"✓ OK","")))</f>
        <v/>
      </c>
      <c r="T1829" s="67">
        <f>IF(AND(C1829="",D1829="",E1829="",L1829="",K1829=""),1,0)</f>
        <v/>
      </c>
      <c r="U1829" s="67">
        <f>IFERROR(INDEX(tt_Dir,MATCH(D1829,tt_Type,0)),"")</f>
        <v/>
      </c>
      <c r="V1829" s="67">
        <f>IF(D1829="","",IFERROR(IF(INDEX(tt_Other,MATCH(D1829,tt_Type,0))="",E1829&amp;"",INDEX(tt_Other,MATCH(D1829,tt_Type,0))),""))</f>
        <v/>
      </c>
      <c r="W1829" s="68">
        <f>IF(OR(TaxOn&lt;&gt;"Yes",NOT(ISNUMBER(M1829))),0,IF(IFERROR(INDEX(tt_Tax,MATCH(D1829,tt_Type,0)),"No")="Yes",M1829,0))</f>
        <v/>
      </c>
      <c r="X1829" s="67">
        <f>IF(T1829=1,"",IF(C1829="","Missing transaction date",IF(NOT(ISNUMBER(C1829)),"Invalid date",IF(OR(C1829&lt;DATE(2000,1,1),C1829&gt;DATE(2099,12,31)),"Invalid date",IF(D1829="","Select a type",IF(U1829="","Unknown type: "&amp;D1829,IF(V1829="","Select an account (Category)",IF(ISNA(MATCH(V1829,coa_Name,0)),"Unknown account: "&amp;V1829,IF(K1829="","Select Paid From / Deposited To",IF(ISNA(MATCH(K1829,coa_Name,0)),"Unknown account: "&amp;K1829,IF(NOT(ISNUMBER(L1829)),"Enter an amount",IF(L1829=0,"Enter an amount",IF(ABS(W1829)&gt;ABS(L1829),"Tax is larger than the amount","")))))))))))))</f>
        <v/>
      </c>
      <c r="Y1829" s="67">
        <f>IF(OR(T1829=1,X1829&lt;&gt;""),"",IF(AND(B1829&lt;&gt;"",COUNTIF(tx_ID,B1829)&gt;1),"Duplicate transaction ID",IF(AND(L1829&lt;0,D1829&lt;&gt;"Adjustment"),"Negative amount — check this entry",IF(AND(D1829="Customer Payment",G1829=""),"Add the customer",IF(AND(D1829="Customer Payment",OR(J1829="",COUNTIF(ar_No,J1829&amp;"")=0)),"Invoice # in Reference not found on AR sheet",IF(AND(D1829="Bill Payment",H1829=""),"Add the vendor",IF(AND(D1829="Bill Payment",OR(J1829="",COUNTIFS(ap_No,J1829&amp;"",ap_Party,H1829&amp;"")=0)),"Bill # + vendor not found on AP sheet",IF(AND(ISNUMBER(M1829),N(M1829)&lt;&gt;0,W1829=0),"Tax ignored (tax tracking off, or not allowed for this type)",IF(V1829=K1829&amp;"","Same account on both sides",IF(AND(ISNUMBER(StartDate),C1829&lt;StartDate),"Date is before the accounting start date",IF(AND(D1829&lt;&gt;"Adjustment",IFERROR(INDEX(coa_Pay,MATCH(K1829&amp;"",coa_Name,0)),"")&lt;&gt;"Yes"),"Paid From / Deposited To is not a payment account","")))))))))))</f>
        <v/>
      </c>
      <c r="Z1829" s="67">
        <f>IF(AND(T1829=0,X1829=""),1,0)</f>
        <v/>
      </c>
      <c r="AA1829" s="68">
        <f>IF(Z1829=1,IF(U1829="In",L1829,L1829-W1829),0)</f>
        <v/>
      </c>
      <c r="AB1829" s="68">
        <f>IF(Z1829=1,IF(U1829="In",L1829-W1829,L1829),0)</f>
        <v/>
      </c>
      <c r="AC1829" s="68">
        <f>IF(AND(Z1829=1,U1829="Out"),W1829,0)</f>
        <v/>
      </c>
      <c r="AD1829" s="68">
        <f>IF(AND(Z1829=1,U1829="In"),W1829,0)</f>
        <v/>
      </c>
    </row>
    <row r="1830">
      <c r="B1830" s="62" t="inlineStr">
        <is>
          <t>TX-1824</t>
        </is>
      </c>
      <c r="C1830" s="63" t="n"/>
      <c r="D1830" s="62" t="n"/>
      <c r="E1830" s="62" t="n"/>
      <c r="F1830" s="62" t="n"/>
      <c r="G1830" s="62" t="n"/>
      <c r="H1830" s="62" t="n"/>
      <c r="I1830" s="62" t="n"/>
      <c r="J1830" s="62" t="n"/>
      <c r="K1830" s="62" t="n"/>
      <c r="L1830" s="64" t="n"/>
      <c r="M1830" s="64" t="n"/>
      <c r="N1830" s="62" t="n"/>
      <c r="O1830" s="65">
        <f>IF(Z1830=1,L1830-W1830,"")</f>
        <v/>
      </c>
      <c r="P1830" s="66">
        <f>IF(V1830="","",IFERROR(INDEX(coa_Type,MATCH(V1830,coa_Name,0)),""))</f>
        <v/>
      </c>
      <c r="Q1830" s="66">
        <f>IF(Z1830=1,IF(U1830="In",K1830&amp;"",V1830),"")</f>
        <v/>
      </c>
      <c r="R1830" s="66">
        <f>IF(Z1830=1,IF(U1830="In",V1830,K1830&amp;""),"")</f>
        <v/>
      </c>
      <c r="S1830" s="66">
        <f>IF(X1830&lt;&gt;"","⛔ "&amp;X1830&amp;" — not posted",IF(Y1830&lt;&gt;"","⚠ "&amp;Y1830,IF(Z1830=1,"✓ OK","")))</f>
        <v/>
      </c>
      <c r="T1830" s="67">
        <f>IF(AND(C1830="",D1830="",E1830="",L1830="",K1830=""),1,0)</f>
        <v/>
      </c>
      <c r="U1830" s="67">
        <f>IFERROR(INDEX(tt_Dir,MATCH(D1830,tt_Type,0)),"")</f>
        <v/>
      </c>
      <c r="V1830" s="67">
        <f>IF(D1830="","",IFERROR(IF(INDEX(tt_Other,MATCH(D1830,tt_Type,0))="",E1830&amp;"",INDEX(tt_Other,MATCH(D1830,tt_Type,0))),""))</f>
        <v/>
      </c>
      <c r="W1830" s="68">
        <f>IF(OR(TaxOn&lt;&gt;"Yes",NOT(ISNUMBER(M1830))),0,IF(IFERROR(INDEX(tt_Tax,MATCH(D1830,tt_Type,0)),"No")="Yes",M1830,0))</f>
        <v/>
      </c>
      <c r="X1830" s="67">
        <f>IF(T1830=1,"",IF(C1830="","Missing transaction date",IF(NOT(ISNUMBER(C1830)),"Invalid date",IF(OR(C1830&lt;DATE(2000,1,1),C1830&gt;DATE(2099,12,31)),"Invalid date",IF(D1830="","Select a type",IF(U1830="","Unknown type: "&amp;D1830,IF(V1830="","Select an account (Category)",IF(ISNA(MATCH(V1830,coa_Name,0)),"Unknown account: "&amp;V1830,IF(K1830="","Select Paid From / Deposited To",IF(ISNA(MATCH(K1830,coa_Name,0)),"Unknown account: "&amp;K1830,IF(NOT(ISNUMBER(L1830)),"Enter an amount",IF(L1830=0,"Enter an amount",IF(ABS(W1830)&gt;ABS(L1830),"Tax is larger than the amount","")))))))))))))</f>
        <v/>
      </c>
      <c r="Y1830" s="67">
        <f>IF(OR(T1830=1,X1830&lt;&gt;""),"",IF(AND(B1830&lt;&gt;"",COUNTIF(tx_ID,B1830)&gt;1),"Duplicate transaction ID",IF(AND(L1830&lt;0,D1830&lt;&gt;"Adjustment"),"Negative amount — check this entry",IF(AND(D1830="Customer Payment",G1830=""),"Add the customer",IF(AND(D1830="Customer Payment",OR(J1830="",COUNTIF(ar_No,J1830&amp;"")=0)),"Invoice # in Reference not found on AR sheet",IF(AND(D1830="Bill Payment",H1830=""),"Add the vendor",IF(AND(D1830="Bill Payment",OR(J1830="",COUNTIFS(ap_No,J1830&amp;"",ap_Party,H1830&amp;"")=0)),"Bill # + vendor not found on AP sheet",IF(AND(ISNUMBER(M1830),N(M1830)&lt;&gt;0,W1830=0),"Tax ignored (tax tracking off, or not allowed for this type)",IF(V1830=K1830&amp;"","Same account on both sides",IF(AND(ISNUMBER(StartDate),C1830&lt;StartDate),"Date is before the accounting start date",IF(AND(D1830&lt;&gt;"Adjustment",IFERROR(INDEX(coa_Pay,MATCH(K1830&amp;"",coa_Name,0)),"")&lt;&gt;"Yes"),"Paid From / Deposited To is not a payment account","")))))))))))</f>
        <v/>
      </c>
      <c r="Z1830" s="67">
        <f>IF(AND(T1830=0,X1830=""),1,0)</f>
        <v/>
      </c>
      <c r="AA1830" s="68">
        <f>IF(Z1830=1,IF(U1830="In",L1830,L1830-W1830),0)</f>
        <v/>
      </c>
      <c r="AB1830" s="68">
        <f>IF(Z1830=1,IF(U1830="In",L1830-W1830,L1830),0)</f>
        <v/>
      </c>
      <c r="AC1830" s="68">
        <f>IF(AND(Z1830=1,U1830="Out"),W1830,0)</f>
        <v/>
      </c>
      <c r="AD1830" s="68">
        <f>IF(AND(Z1830=1,U1830="In"),W1830,0)</f>
        <v/>
      </c>
    </row>
    <row r="1831">
      <c r="B1831" s="62" t="inlineStr">
        <is>
          <t>TX-1825</t>
        </is>
      </c>
      <c r="C1831" s="63" t="n"/>
      <c r="D1831" s="62" t="n"/>
      <c r="E1831" s="62" t="n"/>
      <c r="F1831" s="62" t="n"/>
      <c r="G1831" s="62" t="n"/>
      <c r="H1831" s="62" t="n"/>
      <c r="I1831" s="62" t="n"/>
      <c r="J1831" s="62" t="n"/>
      <c r="K1831" s="62" t="n"/>
      <c r="L1831" s="64" t="n"/>
      <c r="M1831" s="64" t="n"/>
      <c r="N1831" s="62" t="n"/>
      <c r="O1831" s="65">
        <f>IF(Z1831=1,L1831-W1831,"")</f>
        <v/>
      </c>
      <c r="P1831" s="66">
        <f>IF(V1831="","",IFERROR(INDEX(coa_Type,MATCH(V1831,coa_Name,0)),""))</f>
        <v/>
      </c>
      <c r="Q1831" s="66">
        <f>IF(Z1831=1,IF(U1831="In",K1831&amp;"",V1831),"")</f>
        <v/>
      </c>
      <c r="R1831" s="66">
        <f>IF(Z1831=1,IF(U1831="In",V1831,K1831&amp;""),"")</f>
        <v/>
      </c>
      <c r="S1831" s="66">
        <f>IF(X1831&lt;&gt;"","⛔ "&amp;X1831&amp;" — not posted",IF(Y1831&lt;&gt;"","⚠ "&amp;Y1831,IF(Z1831=1,"✓ OK","")))</f>
        <v/>
      </c>
      <c r="T1831" s="67">
        <f>IF(AND(C1831="",D1831="",E1831="",L1831="",K1831=""),1,0)</f>
        <v/>
      </c>
      <c r="U1831" s="67">
        <f>IFERROR(INDEX(tt_Dir,MATCH(D1831,tt_Type,0)),"")</f>
        <v/>
      </c>
      <c r="V1831" s="67">
        <f>IF(D1831="","",IFERROR(IF(INDEX(tt_Other,MATCH(D1831,tt_Type,0))="",E1831&amp;"",INDEX(tt_Other,MATCH(D1831,tt_Type,0))),""))</f>
        <v/>
      </c>
      <c r="W1831" s="68">
        <f>IF(OR(TaxOn&lt;&gt;"Yes",NOT(ISNUMBER(M1831))),0,IF(IFERROR(INDEX(tt_Tax,MATCH(D1831,tt_Type,0)),"No")="Yes",M1831,0))</f>
        <v/>
      </c>
      <c r="X1831" s="67">
        <f>IF(T1831=1,"",IF(C1831="","Missing transaction date",IF(NOT(ISNUMBER(C1831)),"Invalid date",IF(OR(C1831&lt;DATE(2000,1,1),C1831&gt;DATE(2099,12,31)),"Invalid date",IF(D1831="","Select a type",IF(U1831="","Unknown type: "&amp;D1831,IF(V1831="","Select an account (Category)",IF(ISNA(MATCH(V1831,coa_Name,0)),"Unknown account: "&amp;V1831,IF(K1831="","Select Paid From / Deposited To",IF(ISNA(MATCH(K1831,coa_Name,0)),"Unknown account: "&amp;K1831,IF(NOT(ISNUMBER(L1831)),"Enter an amount",IF(L1831=0,"Enter an amount",IF(ABS(W1831)&gt;ABS(L1831),"Tax is larger than the amount","")))))))))))))</f>
        <v/>
      </c>
      <c r="Y1831" s="67">
        <f>IF(OR(T1831=1,X1831&lt;&gt;""),"",IF(AND(B1831&lt;&gt;"",COUNTIF(tx_ID,B1831)&gt;1),"Duplicate transaction ID",IF(AND(L1831&lt;0,D1831&lt;&gt;"Adjustment"),"Negative amount — check this entry",IF(AND(D1831="Customer Payment",G1831=""),"Add the customer",IF(AND(D1831="Customer Payment",OR(J1831="",COUNTIF(ar_No,J1831&amp;"")=0)),"Invoice # in Reference not found on AR sheet",IF(AND(D1831="Bill Payment",H1831=""),"Add the vendor",IF(AND(D1831="Bill Payment",OR(J1831="",COUNTIFS(ap_No,J1831&amp;"",ap_Party,H1831&amp;"")=0)),"Bill # + vendor not found on AP sheet",IF(AND(ISNUMBER(M1831),N(M1831)&lt;&gt;0,W1831=0),"Tax ignored (tax tracking off, or not allowed for this type)",IF(V1831=K1831&amp;"","Same account on both sides",IF(AND(ISNUMBER(StartDate),C1831&lt;StartDate),"Date is before the accounting start date",IF(AND(D1831&lt;&gt;"Adjustment",IFERROR(INDEX(coa_Pay,MATCH(K1831&amp;"",coa_Name,0)),"")&lt;&gt;"Yes"),"Paid From / Deposited To is not a payment account","")))))))))))</f>
        <v/>
      </c>
      <c r="Z1831" s="67">
        <f>IF(AND(T1831=0,X1831=""),1,0)</f>
        <v/>
      </c>
      <c r="AA1831" s="68">
        <f>IF(Z1831=1,IF(U1831="In",L1831,L1831-W1831),0)</f>
        <v/>
      </c>
      <c r="AB1831" s="68">
        <f>IF(Z1831=1,IF(U1831="In",L1831-W1831,L1831),0)</f>
        <v/>
      </c>
      <c r="AC1831" s="68">
        <f>IF(AND(Z1831=1,U1831="Out"),W1831,0)</f>
        <v/>
      </c>
      <c r="AD1831" s="68">
        <f>IF(AND(Z1831=1,U1831="In"),W1831,0)</f>
        <v/>
      </c>
    </row>
    <row r="1832">
      <c r="B1832" s="62" t="inlineStr">
        <is>
          <t>TX-1826</t>
        </is>
      </c>
      <c r="C1832" s="63" t="n"/>
      <c r="D1832" s="62" t="n"/>
      <c r="E1832" s="62" t="n"/>
      <c r="F1832" s="62" t="n"/>
      <c r="G1832" s="62" t="n"/>
      <c r="H1832" s="62" t="n"/>
      <c r="I1832" s="62" t="n"/>
      <c r="J1832" s="62" t="n"/>
      <c r="K1832" s="62" t="n"/>
      <c r="L1832" s="64" t="n"/>
      <c r="M1832" s="64" t="n"/>
      <c r="N1832" s="62" t="n"/>
      <c r="O1832" s="65">
        <f>IF(Z1832=1,L1832-W1832,"")</f>
        <v/>
      </c>
      <c r="P1832" s="66">
        <f>IF(V1832="","",IFERROR(INDEX(coa_Type,MATCH(V1832,coa_Name,0)),""))</f>
        <v/>
      </c>
      <c r="Q1832" s="66">
        <f>IF(Z1832=1,IF(U1832="In",K1832&amp;"",V1832),"")</f>
        <v/>
      </c>
      <c r="R1832" s="66">
        <f>IF(Z1832=1,IF(U1832="In",V1832,K1832&amp;""),"")</f>
        <v/>
      </c>
      <c r="S1832" s="66">
        <f>IF(X1832&lt;&gt;"","⛔ "&amp;X1832&amp;" — not posted",IF(Y1832&lt;&gt;"","⚠ "&amp;Y1832,IF(Z1832=1,"✓ OK","")))</f>
        <v/>
      </c>
      <c r="T1832" s="67">
        <f>IF(AND(C1832="",D1832="",E1832="",L1832="",K1832=""),1,0)</f>
        <v/>
      </c>
      <c r="U1832" s="67">
        <f>IFERROR(INDEX(tt_Dir,MATCH(D1832,tt_Type,0)),"")</f>
        <v/>
      </c>
      <c r="V1832" s="67">
        <f>IF(D1832="","",IFERROR(IF(INDEX(tt_Other,MATCH(D1832,tt_Type,0))="",E1832&amp;"",INDEX(tt_Other,MATCH(D1832,tt_Type,0))),""))</f>
        <v/>
      </c>
      <c r="W1832" s="68">
        <f>IF(OR(TaxOn&lt;&gt;"Yes",NOT(ISNUMBER(M1832))),0,IF(IFERROR(INDEX(tt_Tax,MATCH(D1832,tt_Type,0)),"No")="Yes",M1832,0))</f>
        <v/>
      </c>
      <c r="X1832" s="67">
        <f>IF(T1832=1,"",IF(C1832="","Missing transaction date",IF(NOT(ISNUMBER(C1832)),"Invalid date",IF(OR(C1832&lt;DATE(2000,1,1),C1832&gt;DATE(2099,12,31)),"Invalid date",IF(D1832="","Select a type",IF(U1832="","Unknown type: "&amp;D1832,IF(V1832="","Select an account (Category)",IF(ISNA(MATCH(V1832,coa_Name,0)),"Unknown account: "&amp;V1832,IF(K1832="","Select Paid From / Deposited To",IF(ISNA(MATCH(K1832,coa_Name,0)),"Unknown account: "&amp;K1832,IF(NOT(ISNUMBER(L1832)),"Enter an amount",IF(L1832=0,"Enter an amount",IF(ABS(W1832)&gt;ABS(L1832),"Tax is larger than the amount","")))))))))))))</f>
        <v/>
      </c>
      <c r="Y1832" s="67">
        <f>IF(OR(T1832=1,X1832&lt;&gt;""),"",IF(AND(B1832&lt;&gt;"",COUNTIF(tx_ID,B1832)&gt;1),"Duplicate transaction ID",IF(AND(L1832&lt;0,D1832&lt;&gt;"Adjustment"),"Negative amount — check this entry",IF(AND(D1832="Customer Payment",G1832=""),"Add the customer",IF(AND(D1832="Customer Payment",OR(J1832="",COUNTIF(ar_No,J1832&amp;"")=0)),"Invoice # in Reference not found on AR sheet",IF(AND(D1832="Bill Payment",H1832=""),"Add the vendor",IF(AND(D1832="Bill Payment",OR(J1832="",COUNTIFS(ap_No,J1832&amp;"",ap_Party,H1832&amp;"")=0)),"Bill # + vendor not found on AP sheet",IF(AND(ISNUMBER(M1832),N(M1832)&lt;&gt;0,W1832=0),"Tax ignored (tax tracking off, or not allowed for this type)",IF(V1832=K1832&amp;"","Same account on both sides",IF(AND(ISNUMBER(StartDate),C1832&lt;StartDate),"Date is before the accounting start date",IF(AND(D1832&lt;&gt;"Adjustment",IFERROR(INDEX(coa_Pay,MATCH(K1832&amp;"",coa_Name,0)),"")&lt;&gt;"Yes"),"Paid From / Deposited To is not a payment account","")))))))))))</f>
        <v/>
      </c>
      <c r="Z1832" s="67">
        <f>IF(AND(T1832=0,X1832=""),1,0)</f>
        <v/>
      </c>
      <c r="AA1832" s="68">
        <f>IF(Z1832=1,IF(U1832="In",L1832,L1832-W1832),0)</f>
        <v/>
      </c>
      <c r="AB1832" s="68">
        <f>IF(Z1832=1,IF(U1832="In",L1832-W1832,L1832),0)</f>
        <v/>
      </c>
      <c r="AC1832" s="68">
        <f>IF(AND(Z1832=1,U1832="Out"),W1832,0)</f>
        <v/>
      </c>
      <c r="AD1832" s="68">
        <f>IF(AND(Z1832=1,U1832="In"),W1832,0)</f>
        <v/>
      </c>
    </row>
    <row r="1833">
      <c r="B1833" s="62" t="inlineStr">
        <is>
          <t>TX-1827</t>
        </is>
      </c>
      <c r="C1833" s="63" t="n"/>
      <c r="D1833" s="62" t="n"/>
      <c r="E1833" s="62" t="n"/>
      <c r="F1833" s="62" t="n"/>
      <c r="G1833" s="62" t="n"/>
      <c r="H1833" s="62" t="n"/>
      <c r="I1833" s="62" t="n"/>
      <c r="J1833" s="62" t="n"/>
      <c r="K1833" s="62" t="n"/>
      <c r="L1833" s="64" t="n"/>
      <c r="M1833" s="64" t="n"/>
      <c r="N1833" s="62" t="n"/>
      <c r="O1833" s="65">
        <f>IF(Z1833=1,L1833-W1833,"")</f>
        <v/>
      </c>
      <c r="P1833" s="66">
        <f>IF(V1833="","",IFERROR(INDEX(coa_Type,MATCH(V1833,coa_Name,0)),""))</f>
        <v/>
      </c>
      <c r="Q1833" s="66">
        <f>IF(Z1833=1,IF(U1833="In",K1833&amp;"",V1833),"")</f>
        <v/>
      </c>
      <c r="R1833" s="66">
        <f>IF(Z1833=1,IF(U1833="In",V1833,K1833&amp;""),"")</f>
        <v/>
      </c>
      <c r="S1833" s="66">
        <f>IF(X1833&lt;&gt;"","⛔ "&amp;X1833&amp;" — not posted",IF(Y1833&lt;&gt;"","⚠ "&amp;Y1833,IF(Z1833=1,"✓ OK","")))</f>
        <v/>
      </c>
      <c r="T1833" s="67">
        <f>IF(AND(C1833="",D1833="",E1833="",L1833="",K1833=""),1,0)</f>
        <v/>
      </c>
      <c r="U1833" s="67">
        <f>IFERROR(INDEX(tt_Dir,MATCH(D1833,tt_Type,0)),"")</f>
        <v/>
      </c>
      <c r="V1833" s="67">
        <f>IF(D1833="","",IFERROR(IF(INDEX(tt_Other,MATCH(D1833,tt_Type,0))="",E1833&amp;"",INDEX(tt_Other,MATCH(D1833,tt_Type,0))),""))</f>
        <v/>
      </c>
      <c r="W1833" s="68">
        <f>IF(OR(TaxOn&lt;&gt;"Yes",NOT(ISNUMBER(M1833))),0,IF(IFERROR(INDEX(tt_Tax,MATCH(D1833,tt_Type,0)),"No")="Yes",M1833,0))</f>
        <v/>
      </c>
      <c r="X1833" s="67">
        <f>IF(T1833=1,"",IF(C1833="","Missing transaction date",IF(NOT(ISNUMBER(C1833)),"Invalid date",IF(OR(C1833&lt;DATE(2000,1,1),C1833&gt;DATE(2099,12,31)),"Invalid date",IF(D1833="","Select a type",IF(U1833="","Unknown type: "&amp;D1833,IF(V1833="","Select an account (Category)",IF(ISNA(MATCH(V1833,coa_Name,0)),"Unknown account: "&amp;V1833,IF(K1833="","Select Paid From / Deposited To",IF(ISNA(MATCH(K1833,coa_Name,0)),"Unknown account: "&amp;K1833,IF(NOT(ISNUMBER(L1833)),"Enter an amount",IF(L1833=0,"Enter an amount",IF(ABS(W1833)&gt;ABS(L1833),"Tax is larger than the amount","")))))))))))))</f>
        <v/>
      </c>
      <c r="Y1833" s="67">
        <f>IF(OR(T1833=1,X1833&lt;&gt;""),"",IF(AND(B1833&lt;&gt;"",COUNTIF(tx_ID,B1833)&gt;1),"Duplicate transaction ID",IF(AND(L1833&lt;0,D1833&lt;&gt;"Adjustment"),"Negative amount — check this entry",IF(AND(D1833="Customer Payment",G1833=""),"Add the customer",IF(AND(D1833="Customer Payment",OR(J1833="",COUNTIF(ar_No,J1833&amp;"")=0)),"Invoice # in Reference not found on AR sheet",IF(AND(D1833="Bill Payment",H1833=""),"Add the vendor",IF(AND(D1833="Bill Payment",OR(J1833="",COUNTIFS(ap_No,J1833&amp;"",ap_Party,H1833&amp;"")=0)),"Bill # + vendor not found on AP sheet",IF(AND(ISNUMBER(M1833),N(M1833)&lt;&gt;0,W1833=0),"Tax ignored (tax tracking off, or not allowed for this type)",IF(V1833=K1833&amp;"","Same account on both sides",IF(AND(ISNUMBER(StartDate),C1833&lt;StartDate),"Date is before the accounting start date",IF(AND(D1833&lt;&gt;"Adjustment",IFERROR(INDEX(coa_Pay,MATCH(K1833&amp;"",coa_Name,0)),"")&lt;&gt;"Yes"),"Paid From / Deposited To is not a payment account","")))))))))))</f>
        <v/>
      </c>
      <c r="Z1833" s="67">
        <f>IF(AND(T1833=0,X1833=""),1,0)</f>
        <v/>
      </c>
      <c r="AA1833" s="68">
        <f>IF(Z1833=1,IF(U1833="In",L1833,L1833-W1833),0)</f>
        <v/>
      </c>
      <c r="AB1833" s="68">
        <f>IF(Z1833=1,IF(U1833="In",L1833-W1833,L1833),0)</f>
        <v/>
      </c>
      <c r="AC1833" s="68">
        <f>IF(AND(Z1833=1,U1833="Out"),W1833,0)</f>
        <v/>
      </c>
      <c r="AD1833" s="68">
        <f>IF(AND(Z1833=1,U1833="In"),W1833,0)</f>
        <v/>
      </c>
    </row>
    <row r="1834">
      <c r="B1834" s="62" t="inlineStr">
        <is>
          <t>TX-1828</t>
        </is>
      </c>
      <c r="C1834" s="63" t="n"/>
      <c r="D1834" s="62" t="n"/>
      <c r="E1834" s="62" t="n"/>
      <c r="F1834" s="62" t="n"/>
      <c r="G1834" s="62" t="n"/>
      <c r="H1834" s="62" t="n"/>
      <c r="I1834" s="62" t="n"/>
      <c r="J1834" s="62" t="n"/>
      <c r="K1834" s="62" t="n"/>
      <c r="L1834" s="64" t="n"/>
      <c r="M1834" s="64" t="n"/>
      <c r="N1834" s="62" t="n"/>
      <c r="O1834" s="65">
        <f>IF(Z1834=1,L1834-W1834,"")</f>
        <v/>
      </c>
      <c r="P1834" s="66">
        <f>IF(V1834="","",IFERROR(INDEX(coa_Type,MATCH(V1834,coa_Name,0)),""))</f>
        <v/>
      </c>
      <c r="Q1834" s="66">
        <f>IF(Z1834=1,IF(U1834="In",K1834&amp;"",V1834),"")</f>
        <v/>
      </c>
      <c r="R1834" s="66">
        <f>IF(Z1834=1,IF(U1834="In",V1834,K1834&amp;""),"")</f>
        <v/>
      </c>
      <c r="S1834" s="66">
        <f>IF(X1834&lt;&gt;"","⛔ "&amp;X1834&amp;" — not posted",IF(Y1834&lt;&gt;"","⚠ "&amp;Y1834,IF(Z1834=1,"✓ OK","")))</f>
        <v/>
      </c>
      <c r="T1834" s="67">
        <f>IF(AND(C1834="",D1834="",E1834="",L1834="",K1834=""),1,0)</f>
        <v/>
      </c>
      <c r="U1834" s="67">
        <f>IFERROR(INDEX(tt_Dir,MATCH(D1834,tt_Type,0)),"")</f>
        <v/>
      </c>
      <c r="V1834" s="67">
        <f>IF(D1834="","",IFERROR(IF(INDEX(tt_Other,MATCH(D1834,tt_Type,0))="",E1834&amp;"",INDEX(tt_Other,MATCH(D1834,tt_Type,0))),""))</f>
        <v/>
      </c>
      <c r="W1834" s="68">
        <f>IF(OR(TaxOn&lt;&gt;"Yes",NOT(ISNUMBER(M1834))),0,IF(IFERROR(INDEX(tt_Tax,MATCH(D1834,tt_Type,0)),"No")="Yes",M1834,0))</f>
        <v/>
      </c>
      <c r="X1834" s="67">
        <f>IF(T1834=1,"",IF(C1834="","Missing transaction date",IF(NOT(ISNUMBER(C1834)),"Invalid date",IF(OR(C1834&lt;DATE(2000,1,1),C1834&gt;DATE(2099,12,31)),"Invalid date",IF(D1834="","Select a type",IF(U1834="","Unknown type: "&amp;D1834,IF(V1834="","Select an account (Category)",IF(ISNA(MATCH(V1834,coa_Name,0)),"Unknown account: "&amp;V1834,IF(K1834="","Select Paid From / Deposited To",IF(ISNA(MATCH(K1834,coa_Name,0)),"Unknown account: "&amp;K1834,IF(NOT(ISNUMBER(L1834)),"Enter an amount",IF(L1834=0,"Enter an amount",IF(ABS(W1834)&gt;ABS(L1834),"Tax is larger than the amount","")))))))))))))</f>
        <v/>
      </c>
      <c r="Y1834" s="67">
        <f>IF(OR(T1834=1,X1834&lt;&gt;""),"",IF(AND(B1834&lt;&gt;"",COUNTIF(tx_ID,B1834)&gt;1),"Duplicate transaction ID",IF(AND(L1834&lt;0,D1834&lt;&gt;"Adjustment"),"Negative amount — check this entry",IF(AND(D1834="Customer Payment",G1834=""),"Add the customer",IF(AND(D1834="Customer Payment",OR(J1834="",COUNTIF(ar_No,J1834&amp;"")=0)),"Invoice # in Reference not found on AR sheet",IF(AND(D1834="Bill Payment",H1834=""),"Add the vendor",IF(AND(D1834="Bill Payment",OR(J1834="",COUNTIFS(ap_No,J1834&amp;"",ap_Party,H1834&amp;"")=0)),"Bill # + vendor not found on AP sheet",IF(AND(ISNUMBER(M1834),N(M1834)&lt;&gt;0,W1834=0),"Tax ignored (tax tracking off, or not allowed for this type)",IF(V1834=K1834&amp;"","Same account on both sides",IF(AND(ISNUMBER(StartDate),C1834&lt;StartDate),"Date is before the accounting start date",IF(AND(D1834&lt;&gt;"Adjustment",IFERROR(INDEX(coa_Pay,MATCH(K1834&amp;"",coa_Name,0)),"")&lt;&gt;"Yes"),"Paid From / Deposited To is not a payment account","")))))))))))</f>
        <v/>
      </c>
      <c r="Z1834" s="67">
        <f>IF(AND(T1834=0,X1834=""),1,0)</f>
        <v/>
      </c>
      <c r="AA1834" s="68">
        <f>IF(Z1834=1,IF(U1834="In",L1834,L1834-W1834),0)</f>
        <v/>
      </c>
      <c r="AB1834" s="68">
        <f>IF(Z1834=1,IF(U1834="In",L1834-W1834,L1834),0)</f>
        <v/>
      </c>
      <c r="AC1834" s="68">
        <f>IF(AND(Z1834=1,U1834="Out"),W1834,0)</f>
        <v/>
      </c>
      <c r="AD1834" s="68">
        <f>IF(AND(Z1834=1,U1834="In"),W1834,0)</f>
        <v/>
      </c>
    </row>
    <row r="1835">
      <c r="B1835" s="62" t="inlineStr">
        <is>
          <t>TX-1829</t>
        </is>
      </c>
      <c r="C1835" s="63" t="n"/>
      <c r="D1835" s="62" t="n"/>
      <c r="E1835" s="62" t="n"/>
      <c r="F1835" s="62" t="n"/>
      <c r="G1835" s="62" t="n"/>
      <c r="H1835" s="62" t="n"/>
      <c r="I1835" s="62" t="n"/>
      <c r="J1835" s="62" t="n"/>
      <c r="K1835" s="62" t="n"/>
      <c r="L1835" s="64" t="n"/>
      <c r="M1835" s="64" t="n"/>
      <c r="N1835" s="62" t="n"/>
      <c r="O1835" s="65">
        <f>IF(Z1835=1,L1835-W1835,"")</f>
        <v/>
      </c>
      <c r="P1835" s="66">
        <f>IF(V1835="","",IFERROR(INDEX(coa_Type,MATCH(V1835,coa_Name,0)),""))</f>
        <v/>
      </c>
      <c r="Q1835" s="66">
        <f>IF(Z1835=1,IF(U1835="In",K1835&amp;"",V1835),"")</f>
        <v/>
      </c>
      <c r="R1835" s="66">
        <f>IF(Z1835=1,IF(U1835="In",V1835,K1835&amp;""),"")</f>
        <v/>
      </c>
      <c r="S1835" s="66">
        <f>IF(X1835&lt;&gt;"","⛔ "&amp;X1835&amp;" — not posted",IF(Y1835&lt;&gt;"","⚠ "&amp;Y1835,IF(Z1835=1,"✓ OK","")))</f>
        <v/>
      </c>
      <c r="T1835" s="67">
        <f>IF(AND(C1835="",D1835="",E1835="",L1835="",K1835=""),1,0)</f>
        <v/>
      </c>
      <c r="U1835" s="67">
        <f>IFERROR(INDEX(tt_Dir,MATCH(D1835,tt_Type,0)),"")</f>
        <v/>
      </c>
      <c r="V1835" s="67">
        <f>IF(D1835="","",IFERROR(IF(INDEX(tt_Other,MATCH(D1835,tt_Type,0))="",E1835&amp;"",INDEX(tt_Other,MATCH(D1835,tt_Type,0))),""))</f>
        <v/>
      </c>
      <c r="W1835" s="68">
        <f>IF(OR(TaxOn&lt;&gt;"Yes",NOT(ISNUMBER(M1835))),0,IF(IFERROR(INDEX(tt_Tax,MATCH(D1835,tt_Type,0)),"No")="Yes",M1835,0))</f>
        <v/>
      </c>
      <c r="X1835" s="67">
        <f>IF(T1835=1,"",IF(C1835="","Missing transaction date",IF(NOT(ISNUMBER(C1835)),"Invalid date",IF(OR(C1835&lt;DATE(2000,1,1),C1835&gt;DATE(2099,12,31)),"Invalid date",IF(D1835="","Select a type",IF(U1835="","Unknown type: "&amp;D1835,IF(V1835="","Select an account (Category)",IF(ISNA(MATCH(V1835,coa_Name,0)),"Unknown account: "&amp;V1835,IF(K1835="","Select Paid From / Deposited To",IF(ISNA(MATCH(K1835,coa_Name,0)),"Unknown account: "&amp;K1835,IF(NOT(ISNUMBER(L1835)),"Enter an amount",IF(L1835=0,"Enter an amount",IF(ABS(W1835)&gt;ABS(L1835),"Tax is larger than the amount","")))))))))))))</f>
        <v/>
      </c>
      <c r="Y1835" s="67">
        <f>IF(OR(T1835=1,X1835&lt;&gt;""),"",IF(AND(B1835&lt;&gt;"",COUNTIF(tx_ID,B1835)&gt;1),"Duplicate transaction ID",IF(AND(L1835&lt;0,D1835&lt;&gt;"Adjustment"),"Negative amount — check this entry",IF(AND(D1835="Customer Payment",G1835=""),"Add the customer",IF(AND(D1835="Customer Payment",OR(J1835="",COUNTIF(ar_No,J1835&amp;"")=0)),"Invoice # in Reference not found on AR sheet",IF(AND(D1835="Bill Payment",H1835=""),"Add the vendor",IF(AND(D1835="Bill Payment",OR(J1835="",COUNTIFS(ap_No,J1835&amp;"",ap_Party,H1835&amp;"")=0)),"Bill # + vendor not found on AP sheet",IF(AND(ISNUMBER(M1835),N(M1835)&lt;&gt;0,W1835=0),"Tax ignored (tax tracking off, or not allowed for this type)",IF(V1835=K1835&amp;"","Same account on both sides",IF(AND(ISNUMBER(StartDate),C1835&lt;StartDate),"Date is before the accounting start date",IF(AND(D1835&lt;&gt;"Adjustment",IFERROR(INDEX(coa_Pay,MATCH(K1835&amp;"",coa_Name,0)),"")&lt;&gt;"Yes"),"Paid From / Deposited To is not a payment account","")))))))))))</f>
        <v/>
      </c>
      <c r="Z1835" s="67">
        <f>IF(AND(T1835=0,X1835=""),1,0)</f>
        <v/>
      </c>
      <c r="AA1835" s="68">
        <f>IF(Z1835=1,IF(U1835="In",L1835,L1835-W1835),0)</f>
        <v/>
      </c>
      <c r="AB1835" s="68">
        <f>IF(Z1835=1,IF(U1835="In",L1835-W1835,L1835),0)</f>
        <v/>
      </c>
      <c r="AC1835" s="68">
        <f>IF(AND(Z1835=1,U1835="Out"),W1835,0)</f>
        <v/>
      </c>
      <c r="AD1835" s="68">
        <f>IF(AND(Z1835=1,U1835="In"),W1835,0)</f>
        <v/>
      </c>
    </row>
    <row r="1836">
      <c r="B1836" s="62" t="inlineStr">
        <is>
          <t>TX-1830</t>
        </is>
      </c>
      <c r="C1836" s="63" t="n"/>
      <c r="D1836" s="62" t="n"/>
      <c r="E1836" s="62" t="n"/>
      <c r="F1836" s="62" t="n"/>
      <c r="G1836" s="62" t="n"/>
      <c r="H1836" s="62" t="n"/>
      <c r="I1836" s="62" t="n"/>
      <c r="J1836" s="62" t="n"/>
      <c r="K1836" s="62" t="n"/>
      <c r="L1836" s="64" t="n"/>
      <c r="M1836" s="64" t="n"/>
      <c r="N1836" s="62" t="n"/>
      <c r="O1836" s="65">
        <f>IF(Z1836=1,L1836-W1836,"")</f>
        <v/>
      </c>
      <c r="P1836" s="66">
        <f>IF(V1836="","",IFERROR(INDEX(coa_Type,MATCH(V1836,coa_Name,0)),""))</f>
        <v/>
      </c>
      <c r="Q1836" s="66">
        <f>IF(Z1836=1,IF(U1836="In",K1836&amp;"",V1836),"")</f>
        <v/>
      </c>
      <c r="R1836" s="66">
        <f>IF(Z1836=1,IF(U1836="In",V1836,K1836&amp;""),"")</f>
        <v/>
      </c>
      <c r="S1836" s="66">
        <f>IF(X1836&lt;&gt;"","⛔ "&amp;X1836&amp;" — not posted",IF(Y1836&lt;&gt;"","⚠ "&amp;Y1836,IF(Z1836=1,"✓ OK","")))</f>
        <v/>
      </c>
      <c r="T1836" s="67">
        <f>IF(AND(C1836="",D1836="",E1836="",L1836="",K1836=""),1,0)</f>
        <v/>
      </c>
      <c r="U1836" s="67">
        <f>IFERROR(INDEX(tt_Dir,MATCH(D1836,tt_Type,0)),"")</f>
        <v/>
      </c>
      <c r="V1836" s="67">
        <f>IF(D1836="","",IFERROR(IF(INDEX(tt_Other,MATCH(D1836,tt_Type,0))="",E1836&amp;"",INDEX(tt_Other,MATCH(D1836,tt_Type,0))),""))</f>
        <v/>
      </c>
      <c r="W1836" s="68">
        <f>IF(OR(TaxOn&lt;&gt;"Yes",NOT(ISNUMBER(M1836))),0,IF(IFERROR(INDEX(tt_Tax,MATCH(D1836,tt_Type,0)),"No")="Yes",M1836,0))</f>
        <v/>
      </c>
      <c r="X1836" s="67">
        <f>IF(T1836=1,"",IF(C1836="","Missing transaction date",IF(NOT(ISNUMBER(C1836)),"Invalid date",IF(OR(C1836&lt;DATE(2000,1,1),C1836&gt;DATE(2099,12,31)),"Invalid date",IF(D1836="","Select a type",IF(U1836="","Unknown type: "&amp;D1836,IF(V1836="","Select an account (Category)",IF(ISNA(MATCH(V1836,coa_Name,0)),"Unknown account: "&amp;V1836,IF(K1836="","Select Paid From / Deposited To",IF(ISNA(MATCH(K1836,coa_Name,0)),"Unknown account: "&amp;K1836,IF(NOT(ISNUMBER(L1836)),"Enter an amount",IF(L1836=0,"Enter an amount",IF(ABS(W1836)&gt;ABS(L1836),"Tax is larger than the amount","")))))))))))))</f>
        <v/>
      </c>
      <c r="Y1836" s="67">
        <f>IF(OR(T1836=1,X1836&lt;&gt;""),"",IF(AND(B1836&lt;&gt;"",COUNTIF(tx_ID,B1836)&gt;1),"Duplicate transaction ID",IF(AND(L1836&lt;0,D1836&lt;&gt;"Adjustment"),"Negative amount — check this entry",IF(AND(D1836="Customer Payment",G1836=""),"Add the customer",IF(AND(D1836="Customer Payment",OR(J1836="",COUNTIF(ar_No,J1836&amp;"")=0)),"Invoice # in Reference not found on AR sheet",IF(AND(D1836="Bill Payment",H1836=""),"Add the vendor",IF(AND(D1836="Bill Payment",OR(J1836="",COUNTIFS(ap_No,J1836&amp;"",ap_Party,H1836&amp;"")=0)),"Bill # + vendor not found on AP sheet",IF(AND(ISNUMBER(M1836),N(M1836)&lt;&gt;0,W1836=0),"Tax ignored (tax tracking off, or not allowed for this type)",IF(V1836=K1836&amp;"","Same account on both sides",IF(AND(ISNUMBER(StartDate),C1836&lt;StartDate),"Date is before the accounting start date",IF(AND(D1836&lt;&gt;"Adjustment",IFERROR(INDEX(coa_Pay,MATCH(K1836&amp;"",coa_Name,0)),"")&lt;&gt;"Yes"),"Paid From / Deposited To is not a payment account","")))))))))))</f>
        <v/>
      </c>
      <c r="Z1836" s="67">
        <f>IF(AND(T1836=0,X1836=""),1,0)</f>
        <v/>
      </c>
      <c r="AA1836" s="68">
        <f>IF(Z1836=1,IF(U1836="In",L1836,L1836-W1836),0)</f>
        <v/>
      </c>
      <c r="AB1836" s="68">
        <f>IF(Z1836=1,IF(U1836="In",L1836-W1836,L1836),0)</f>
        <v/>
      </c>
      <c r="AC1836" s="68">
        <f>IF(AND(Z1836=1,U1836="Out"),W1836,0)</f>
        <v/>
      </c>
      <c r="AD1836" s="68">
        <f>IF(AND(Z1836=1,U1836="In"),W1836,0)</f>
        <v/>
      </c>
    </row>
    <row r="1837">
      <c r="B1837" s="62" t="inlineStr">
        <is>
          <t>TX-1831</t>
        </is>
      </c>
      <c r="C1837" s="63" t="n"/>
      <c r="D1837" s="62" t="n"/>
      <c r="E1837" s="62" t="n"/>
      <c r="F1837" s="62" t="n"/>
      <c r="G1837" s="62" t="n"/>
      <c r="H1837" s="62" t="n"/>
      <c r="I1837" s="62" t="n"/>
      <c r="J1837" s="62" t="n"/>
      <c r="K1837" s="62" t="n"/>
      <c r="L1837" s="64" t="n"/>
      <c r="M1837" s="64" t="n"/>
      <c r="N1837" s="62" t="n"/>
      <c r="O1837" s="65">
        <f>IF(Z1837=1,L1837-W1837,"")</f>
        <v/>
      </c>
      <c r="P1837" s="66">
        <f>IF(V1837="","",IFERROR(INDEX(coa_Type,MATCH(V1837,coa_Name,0)),""))</f>
        <v/>
      </c>
      <c r="Q1837" s="66">
        <f>IF(Z1837=1,IF(U1837="In",K1837&amp;"",V1837),"")</f>
        <v/>
      </c>
      <c r="R1837" s="66">
        <f>IF(Z1837=1,IF(U1837="In",V1837,K1837&amp;""),"")</f>
        <v/>
      </c>
      <c r="S1837" s="66">
        <f>IF(X1837&lt;&gt;"","⛔ "&amp;X1837&amp;" — not posted",IF(Y1837&lt;&gt;"","⚠ "&amp;Y1837,IF(Z1837=1,"✓ OK","")))</f>
        <v/>
      </c>
      <c r="T1837" s="67">
        <f>IF(AND(C1837="",D1837="",E1837="",L1837="",K1837=""),1,0)</f>
        <v/>
      </c>
      <c r="U1837" s="67">
        <f>IFERROR(INDEX(tt_Dir,MATCH(D1837,tt_Type,0)),"")</f>
        <v/>
      </c>
      <c r="V1837" s="67">
        <f>IF(D1837="","",IFERROR(IF(INDEX(tt_Other,MATCH(D1837,tt_Type,0))="",E1837&amp;"",INDEX(tt_Other,MATCH(D1837,tt_Type,0))),""))</f>
        <v/>
      </c>
      <c r="W1837" s="68">
        <f>IF(OR(TaxOn&lt;&gt;"Yes",NOT(ISNUMBER(M1837))),0,IF(IFERROR(INDEX(tt_Tax,MATCH(D1837,tt_Type,0)),"No")="Yes",M1837,0))</f>
        <v/>
      </c>
      <c r="X1837" s="67">
        <f>IF(T1837=1,"",IF(C1837="","Missing transaction date",IF(NOT(ISNUMBER(C1837)),"Invalid date",IF(OR(C1837&lt;DATE(2000,1,1),C1837&gt;DATE(2099,12,31)),"Invalid date",IF(D1837="","Select a type",IF(U1837="","Unknown type: "&amp;D1837,IF(V1837="","Select an account (Category)",IF(ISNA(MATCH(V1837,coa_Name,0)),"Unknown account: "&amp;V1837,IF(K1837="","Select Paid From / Deposited To",IF(ISNA(MATCH(K1837,coa_Name,0)),"Unknown account: "&amp;K1837,IF(NOT(ISNUMBER(L1837)),"Enter an amount",IF(L1837=0,"Enter an amount",IF(ABS(W1837)&gt;ABS(L1837),"Tax is larger than the amount","")))))))))))))</f>
        <v/>
      </c>
      <c r="Y1837" s="67">
        <f>IF(OR(T1837=1,X1837&lt;&gt;""),"",IF(AND(B1837&lt;&gt;"",COUNTIF(tx_ID,B1837)&gt;1),"Duplicate transaction ID",IF(AND(L1837&lt;0,D1837&lt;&gt;"Adjustment"),"Negative amount — check this entry",IF(AND(D1837="Customer Payment",G1837=""),"Add the customer",IF(AND(D1837="Customer Payment",OR(J1837="",COUNTIF(ar_No,J1837&amp;"")=0)),"Invoice # in Reference not found on AR sheet",IF(AND(D1837="Bill Payment",H1837=""),"Add the vendor",IF(AND(D1837="Bill Payment",OR(J1837="",COUNTIFS(ap_No,J1837&amp;"",ap_Party,H1837&amp;"")=0)),"Bill # + vendor not found on AP sheet",IF(AND(ISNUMBER(M1837),N(M1837)&lt;&gt;0,W1837=0),"Tax ignored (tax tracking off, or not allowed for this type)",IF(V1837=K1837&amp;"","Same account on both sides",IF(AND(ISNUMBER(StartDate),C1837&lt;StartDate),"Date is before the accounting start date",IF(AND(D1837&lt;&gt;"Adjustment",IFERROR(INDEX(coa_Pay,MATCH(K1837&amp;"",coa_Name,0)),"")&lt;&gt;"Yes"),"Paid From / Deposited To is not a payment account","")))))))))))</f>
        <v/>
      </c>
      <c r="Z1837" s="67">
        <f>IF(AND(T1837=0,X1837=""),1,0)</f>
        <v/>
      </c>
      <c r="AA1837" s="68">
        <f>IF(Z1837=1,IF(U1837="In",L1837,L1837-W1837),0)</f>
        <v/>
      </c>
      <c r="AB1837" s="68">
        <f>IF(Z1837=1,IF(U1837="In",L1837-W1837,L1837),0)</f>
        <v/>
      </c>
      <c r="AC1837" s="68">
        <f>IF(AND(Z1837=1,U1837="Out"),W1837,0)</f>
        <v/>
      </c>
      <c r="AD1837" s="68">
        <f>IF(AND(Z1837=1,U1837="In"),W1837,0)</f>
        <v/>
      </c>
    </row>
    <row r="1838">
      <c r="B1838" s="62" t="inlineStr">
        <is>
          <t>TX-1832</t>
        </is>
      </c>
      <c r="C1838" s="63" t="n"/>
      <c r="D1838" s="62" t="n"/>
      <c r="E1838" s="62" t="n"/>
      <c r="F1838" s="62" t="n"/>
      <c r="G1838" s="62" t="n"/>
      <c r="H1838" s="62" t="n"/>
      <c r="I1838" s="62" t="n"/>
      <c r="J1838" s="62" t="n"/>
      <c r="K1838" s="62" t="n"/>
      <c r="L1838" s="64" t="n"/>
      <c r="M1838" s="64" t="n"/>
      <c r="N1838" s="62" t="n"/>
      <c r="O1838" s="65">
        <f>IF(Z1838=1,L1838-W1838,"")</f>
        <v/>
      </c>
      <c r="P1838" s="66">
        <f>IF(V1838="","",IFERROR(INDEX(coa_Type,MATCH(V1838,coa_Name,0)),""))</f>
        <v/>
      </c>
      <c r="Q1838" s="66">
        <f>IF(Z1838=1,IF(U1838="In",K1838&amp;"",V1838),"")</f>
        <v/>
      </c>
      <c r="R1838" s="66">
        <f>IF(Z1838=1,IF(U1838="In",V1838,K1838&amp;""),"")</f>
        <v/>
      </c>
      <c r="S1838" s="66">
        <f>IF(X1838&lt;&gt;"","⛔ "&amp;X1838&amp;" — not posted",IF(Y1838&lt;&gt;"","⚠ "&amp;Y1838,IF(Z1838=1,"✓ OK","")))</f>
        <v/>
      </c>
      <c r="T1838" s="67">
        <f>IF(AND(C1838="",D1838="",E1838="",L1838="",K1838=""),1,0)</f>
        <v/>
      </c>
      <c r="U1838" s="67">
        <f>IFERROR(INDEX(tt_Dir,MATCH(D1838,tt_Type,0)),"")</f>
        <v/>
      </c>
      <c r="V1838" s="67">
        <f>IF(D1838="","",IFERROR(IF(INDEX(tt_Other,MATCH(D1838,tt_Type,0))="",E1838&amp;"",INDEX(tt_Other,MATCH(D1838,tt_Type,0))),""))</f>
        <v/>
      </c>
      <c r="W1838" s="68">
        <f>IF(OR(TaxOn&lt;&gt;"Yes",NOT(ISNUMBER(M1838))),0,IF(IFERROR(INDEX(tt_Tax,MATCH(D1838,tt_Type,0)),"No")="Yes",M1838,0))</f>
        <v/>
      </c>
      <c r="X1838" s="67">
        <f>IF(T1838=1,"",IF(C1838="","Missing transaction date",IF(NOT(ISNUMBER(C1838)),"Invalid date",IF(OR(C1838&lt;DATE(2000,1,1),C1838&gt;DATE(2099,12,31)),"Invalid date",IF(D1838="","Select a type",IF(U1838="","Unknown type: "&amp;D1838,IF(V1838="","Select an account (Category)",IF(ISNA(MATCH(V1838,coa_Name,0)),"Unknown account: "&amp;V1838,IF(K1838="","Select Paid From / Deposited To",IF(ISNA(MATCH(K1838,coa_Name,0)),"Unknown account: "&amp;K1838,IF(NOT(ISNUMBER(L1838)),"Enter an amount",IF(L1838=0,"Enter an amount",IF(ABS(W1838)&gt;ABS(L1838),"Tax is larger than the amount","")))))))))))))</f>
        <v/>
      </c>
      <c r="Y1838" s="67">
        <f>IF(OR(T1838=1,X1838&lt;&gt;""),"",IF(AND(B1838&lt;&gt;"",COUNTIF(tx_ID,B1838)&gt;1),"Duplicate transaction ID",IF(AND(L1838&lt;0,D1838&lt;&gt;"Adjustment"),"Negative amount — check this entry",IF(AND(D1838="Customer Payment",G1838=""),"Add the customer",IF(AND(D1838="Customer Payment",OR(J1838="",COUNTIF(ar_No,J1838&amp;"")=0)),"Invoice # in Reference not found on AR sheet",IF(AND(D1838="Bill Payment",H1838=""),"Add the vendor",IF(AND(D1838="Bill Payment",OR(J1838="",COUNTIFS(ap_No,J1838&amp;"",ap_Party,H1838&amp;"")=0)),"Bill # + vendor not found on AP sheet",IF(AND(ISNUMBER(M1838),N(M1838)&lt;&gt;0,W1838=0),"Tax ignored (tax tracking off, or not allowed for this type)",IF(V1838=K1838&amp;"","Same account on both sides",IF(AND(ISNUMBER(StartDate),C1838&lt;StartDate),"Date is before the accounting start date",IF(AND(D1838&lt;&gt;"Adjustment",IFERROR(INDEX(coa_Pay,MATCH(K1838&amp;"",coa_Name,0)),"")&lt;&gt;"Yes"),"Paid From / Deposited To is not a payment account","")))))))))))</f>
        <v/>
      </c>
      <c r="Z1838" s="67">
        <f>IF(AND(T1838=0,X1838=""),1,0)</f>
        <v/>
      </c>
      <c r="AA1838" s="68">
        <f>IF(Z1838=1,IF(U1838="In",L1838,L1838-W1838),0)</f>
        <v/>
      </c>
      <c r="AB1838" s="68">
        <f>IF(Z1838=1,IF(U1838="In",L1838-W1838,L1838),0)</f>
        <v/>
      </c>
      <c r="AC1838" s="68">
        <f>IF(AND(Z1838=1,U1838="Out"),W1838,0)</f>
        <v/>
      </c>
      <c r="AD1838" s="68">
        <f>IF(AND(Z1838=1,U1838="In"),W1838,0)</f>
        <v/>
      </c>
    </row>
    <row r="1839">
      <c r="B1839" s="62" t="inlineStr">
        <is>
          <t>TX-1833</t>
        </is>
      </c>
      <c r="C1839" s="63" t="n"/>
      <c r="D1839" s="62" t="n"/>
      <c r="E1839" s="62" t="n"/>
      <c r="F1839" s="62" t="n"/>
      <c r="G1839" s="62" t="n"/>
      <c r="H1839" s="62" t="n"/>
      <c r="I1839" s="62" t="n"/>
      <c r="J1839" s="62" t="n"/>
      <c r="K1839" s="62" t="n"/>
      <c r="L1839" s="64" t="n"/>
      <c r="M1839" s="64" t="n"/>
      <c r="N1839" s="62" t="n"/>
      <c r="O1839" s="65">
        <f>IF(Z1839=1,L1839-W1839,"")</f>
        <v/>
      </c>
      <c r="P1839" s="66">
        <f>IF(V1839="","",IFERROR(INDEX(coa_Type,MATCH(V1839,coa_Name,0)),""))</f>
        <v/>
      </c>
      <c r="Q1839" s="66">
        <f>IF(Z1839=1,IF(U1839="In",K1839&amp;"",V1839),"")</f>
        <v/>
      </c>
      <c r="R1839" s="66">
        <f>IF(Z1839=1,IF(U1839="In",V1839,K1839&amp;""),"")</f>
        <v/>
      </c>
      <c r="S1839" s="66">
        <f>IF(X1839&lt;&gt;"","⛔ "&amp;X1839&amp;" — not posted",IF(Y1839&lt;&gt;"","⚠ "&amp;Y1839,IF(Z1839=1,"✓ OK","")))</f>
        <v/>
      </c>
      <c r="T1839" s="67">
        <f>IF(AND(C1839="",D1839="",E1839="",L1839="",K1839=""),1,0)</f>
        <v/>
      </c>
      <c r="U1839" s="67">
        <f>IFERROR(INDEX(tt_Dir,MATCH(D1839,tt_Type,0)),"")</f>
        <v/>
      </c>
      <c r="V1839" s="67">
        <f>IF(D1839="","",IFERROR(IF(INDEX(tt_Other,MATCH(D1839,tt_Type,0))="",E1839&amp;"",INDEX(tt_Other,MATCH(D1839,tt_Type,0))),""))</f>
        <v/>
      </c>
      <c r="W1839" s="68">
        <f>IF(OR(TaxOn&lt;&gt;"Yes",NOT(ISNUMBER(M1839))),0,IF(IFERROR(INDEX(tt_Tax,MATCH(D1839,tt_Type,0)),"No")="Yes",M1839,0))</f>
        <v/>
      </c>
      <c r="X1839" s="67">
        <f>IF(T1839=1,"",IF(C1839="","Missing transaction date",IF(NOT(ISNUMBER(C1839)),"Invalid date",IF(OR(C1839&lt;DATE(2000,1,1),C1839&gt;DATE(2099,12,31)),"Invalid date",IF(D1839="","Select a type",IF(U1839="","Unknown type: "&amp;D1839,IF(V1839="","Select an account (Category)",IF(ISNA(MATCH(V1839,coa_Name,0)),"Unknown account: "&amp;V1839,IF(K1839="","Select Paid From / Deposited To",IF(ISNA(MATCH(K1839,coa_Name,0)),"Unknown account: "&amp;K1839,IF(NOT(ISNUMBER(L1839)),"Enter an amount",IF(L1839=0,"Enter an amount",IF(ABS(W1839)&gt;ABS(L1839),"Tax is larger than the amount","")))))))))))))</f>
        <v/>
      </c>
      <c r="Y1839" s="67">
        <f>IF(OR(T1839=1,X1839&lt;&gt;""),"",IF(AND(B1839&lt;&gt;"",COUNTIF(tx_ID,B1839)&gt;1),"Duplicate transaction ID",IF(AND(L1839&lt;0,D1839&lt;&gt;"Adjustment"),"Negative amount — check this entry",IF(AND(D1839="Customer Payment",G1839=""),"Add the customer",IF(AND(D1839="Customer Payment",OR(J1839="",COUNTIF(ar_No,J1839&amp;"")=0)),"Invoice # in Reference not found on AR sheet",IF(AND(D1839="Bill Payment",H1839=""),"Add the vendor",IF(AND(D1839="Bill Payment",OR(J1839="",COUNTIFS(ap_No,J1839&amp;"",ap_Party,H1839&amp;"")=0)),"Bill # + vendor not found on AP sheet",IF(AND(ISNUMBER(M1839),N(M1839)&lt;&gt;0,W1839=0),"Tax ignored (tax tracking off, or not allowed for this type)",IF(V1839=K1839&amp;"","Same account on both sides",IF(AND(ISNUMBER(StartDate),C1839&lt;StartDate),"Date is before the accounting start date",IF(AND(D1839&lt;&gt;"Adjustment",IFERROR(INDEX(coa_Pay,MATCH(K1839&amp;"",coa_Name,0)),"")&lt;&gt;"Yes"),"Paid From / Deposited To is not a payment account","")))))))))))</f>
        <v/>
      </c>
      <c r="Z1839" s="67">
        <f>IF(AND(T1839=0,X1839=""),1,0)</f>
        <v/>
      </c>
      <c r="AA1839" s="68">
        <f>IF(Z1839=1,IF(U1839="In",L1839,L1839-W1839),0)</f>
        <v/>
      </c>
      <c r="AB1839" s="68">
        <f>IF(Z1839=1,IF(U1839="In",L1839-W1839,L1839),0)</f>
        <v/>
      </c>
      <c r="AC1839" s="68">
        <f>IF(AND(Z1839=1,U1839="Out"),W1839,0)</f>
        <v/>
      </c>
      <c r="AD1839" s="68">
        <f>IF(AND(Z1839=1,U1839="In"),W1839,0)</f>
        <v/>
      </c>
    </row>
    <row r="1840">
      <c r="B1840" s="62" t="inlineStr">
        <is>
          <t>TX-1834</t>
        </is>
      </c>
      <c r="C1840" s="63" t="n"/>
      <c r="D1840" s="62" t="n"/>
      <c r="E1840" s="62" t="n"/>
      <c r="F1840" s="62" t="n"/>
      <c r="G1840" s="62" t="n"/>
      <c r="H1840" s="62" t="n"/>
      <c r="I1840" s="62" t="n"/>
      <c r="J1840" s="62" t="n"/>
      <c r="K1840" s="62" t="n"/>
      <c r="L1840" s="64" t="n"/>
      <c r="M1840" s="64" t="n"/>
      <c r="N1840" s="62" t="n"/>
      <c r="O1840" s="65">
        <f>IF(Z1840=1,L1840-W1840,"")</f>
        <v/>
      </c>
      <c r="P1840" s="66">
        <f>IF(V1840="","",IFERROR(INDEX(coa_Type,MATCH(V1840,coa_Name,0)),""))</f>
        <v/>
      </c>
      <c r="Q1840" s="66">
        <f>IF(Z1840=1,IF(U1840="In",K1840&amp;"",V1840),"")</f>
        <v/>
      </c>
      <c r="R1840" s="66">
        <f>IF(Z1840=1,IF(U1840="In",V1840,K1840&amp;""),"")</f>
        <v/>
      </c>
      <c r="S1840" s="66">
        <f>IF(X1840&lt;&gt;"","⛔ "&amp;X1840&amp;" — not posted",IF(Y1840&lt;&gt;"","⚠ "&amp;Y1840,IF(Z1840=1,"✓ OK","")))</f>
        <v/>
      </c>
      <c r="T1840" s="67">
        <f>IF(AND(C1840="",D1840="",E1840="",L1840="",K1840=""),1,0)</f>
        <v/>
      </c>
      <c r="U1840" s="67">
        <f>IFERROR(INDEX(tt_Dir,MATCH(D1840,tt_Type,0)),"")</f>
        <v/>
      </c>
      <c r="V1840" s="67">
        <f>IF(D1840="","",IFERROR(IF(INDEX(tt_Other,MATCH(D1840,tt_Type,0))="",E1840&amp;"",INDEX(tt_Other,MATCH(D1840,tt_Type,0))),""))</f>
        <v/>
      </c>
      <c r="W1840" s="68">
        <f>IF(OR(TaxOn&lt;&gt;"Yes",NOT(ISNUMBER(M1840))),0,IF(IFERROR(INDEX(tt_Tax,MATCH(D1840,tt_Type,0)),"No")="Yes",M1840,0))</f>
        <v/>
      </c>
      <c r="X1840" s="67">
        <f>IF(T1840=1,"",IF(C1840="","Missing transaction date",IF(NOT(ISNUMBER(C1840)),"Invalid date",IF(OR(C1840&lt;DATE(2000,1,1),C1840&gt;DATE(2099,12,31)),"Invalid date",IF(D1840="","Select a type",IF(U1840="","Unknown type: "&amp;D1840,IF(V1840="","Select an account (Category)",IF(ISNA(MATCH(V1840,coa_Name,0)),"Unknown account: "&amp;V1840,IF(K1840="","Select Paid From / Deposited To",IF(ISNA(MATCH(K1840,coa_Name,0)),"Unknown account: "&amp;K1840,IF(NOT(ISNUMBER(L1840)),"Enter an amount",IF(L1840=0,"Enter an amount",IF(ABS(W1840)&gt;ABS(L1840),"Tax is larger than the amount","")))))))))))))</f>
        <v/>
      </c>
      <c r="Y1840" s="67">
        <f>IF(OR(T1840=1,X1840&lt;&gt;""),"",IF(AND(B1840&lt;&gt;"",COUNTIF(tx_ID,B1840)&gt;1),"Duplicate transaction ID",IF(AND(L1840&lt;0,D1840&lt;&gt;"Adjustment"),"Negative amount — check this entry",IF(AND(D1840="Customer Payment",G1840=""),"Add the customer",IF(AND(D1840="Customer Payment",OR(J1840="",COUNTIF(ar_No,J1840&amp;"")=0)),"Invoice # in Reference not found on AR sheet",IF(AND(D1840="Bill Payment",H1840=""),"Add the vendor",IF(AND(D1840="Bill Payment",OR(J1840="",COUNTIFS(ap_No,J1840&amp;"",ap_Party,H1840&amp;"")=0)),"Bill # + vendor not found on AP sheet",IF(AND(ISNUMBER(M1840),N(M1840)&lt;&gt;0,W1840=0),"Tax ignored (tax tracking off, or not allowed for this type)",IF(V1840=K1840&amp;"","Same account on both sides",IF(AND(ISNUMBER(StartDate),C1840&lt;StartDate),"Date is before the accounting start date",IF(AND(D1840&lt;&gt;"Adjustment",IFERROR(INDEX(coa_Pay,MATCH(K1840&amp;"",coa_Name,0)),"")&lt;&gt;"Yes"),"Paid From / Deposited To is not a payment account","")))))))))))</f>
        <v/>
      </c>
      <c r="Z1840" s="67">
        <f>IF(AND(T1840=0,X1840=""),1,0)</f>
        <v/>
      </c>
      <c r="AA1840" s="68">
        <f>IF(Z1840=1,IF(U1840="In",L1840,L1840-W1840),0)</f>
        <v/>
      </c>
      <c r="AB1840" s="68">
        <f>IF(Z1840=1,IF(U1840="In",L1840-W1840,L1840),0)</f>
        <v/>
      </c>
      <c r="AC1840" s="68">
        <f>IF(AND(Z1840=1,U1840="Out"),W1840,0)</f>
        <v/>
      </c>
      <c r="AD1840" s="68">
        <f>IF(AND(Z1840=1,U1840="In"),W1840,0)</f>
        <v/>
      </c>
    </row>
    <row r="1841">
      <c r="B1841" s="62" t="inlineStr">
        <is>
          <t>TX-1835</t>
        </is>
      </c>
      <c r="C1841" s="63" t="n"/>
      <c r="D1841" s="62" t="n"/>
      <c r="E1841" s="62" t="n"/>
      <c r="F1841" s="62" t="n"/>
      <c r="G1841" s="62" t="n"/>
      <c r="H1841" s="62" t="n"/>
      <c r="I1841" s="62" t="n"/>
      <c r="J1841" s="62" t="n"/>
      <c r="K1841" s="62" t="n"/>
      <c r="L1841" s="64" t="n"/>
      <c r="M1841" s="64" t="n"/>
      <c r="N1841" s="62" t="n"/>
      <c r="O1841" s="65">
        <f>IF(Z1841=1,L1841-W1841,"")</f>
        <v/>
      </c>
      <c r="P1841" s="66">
        <f>IF(V1841="","",IFERROR(INDEX(coa_Type,MATCH(V1841,coa_Name,0)),""))</f>
        <v/>
      </c>
      <c r="Q1841" s="66">
        <f>IF(Z1841=1,IF(U1841="In",K1841&amp;"",V1841),"")</f>
        <v/>
      </c>
      <c r="R1841" s="66">
        <f>IF(Z1841=1,IF(U1841="In",V1841,K1841&amp;""),"")</f>
        <v/>
      </c>
      <c r="S1841" s="66">
        <f>IF(X1841&lt;&gt;"","⛔ "&amp;X1841&amp;" — not posted",IF(Y1841&lt;&gt;"","⚠ "&amp;Y1841,IF(Z1841=1,"✓ OK","")))</f>
        <v/>
      </c>
      <c r="T1841" s="67">
        <f>IF(AND(C1841="",D1841="",E1841="",L1841="",K1841=""),1,0)</f>
        <v/>
      </c>
      <c r="U1841" s="67">
        <f>IFERROR(INDEX(tt_Dir,MATCH(D1841,tt_Type,0)),"")</f>
        <v/>
      </c>
      <c r="V1841" s="67">
        <f>IF(D1841="","",IFERROR(IF(INDEX(tt_Other,MATCH(D1841,tt_Type,0))="",E1841&amp;"",INDEX(tt_Other,MATCH(D1841,tt_Type,0))),""))</f>
        <v/>
      </c>
      <c r="W1841" s="68">
        <f>IF(OR(TaxOn&lt;&gt;"Yes",NOT(ISNUMBER(M1841))),0,IF(IFERROR(INDEX(tt_Tax,MATCH(D1841,tt_Type,0)),"No")="Yes",M1841,0))</f>
        <v/>
      </c>
      <c r="X1841" s="67">
        <f>IF(T1841=1,"",IF(C1841="","Missing transaction date",IF(NOT(ISNUMBER(C1841)),"Invalid date",IF(OR(C1841&lt;DATE(2000,1,1),C1841&gt;DATE(2099,12,31)),"Invalid date",IF(D1841="","Select a type",IF(U1841="","Unknown type: "&amp;D1841,IF(V1841="","Select an account (Category)",IF(ISNA(MATCH(V1841,coa_Name,0)),"Unknown account: "&amp;V1841,IF(K1841="","Select Paid From / Deposited To",IF(ISNA(MATCH(K1841,coa_Name,0)),"Unknown account: "&amp;K1841,IF(NOT(ISNUMBER(L1841)),"Enter an amount",IF(L1841=0,"Enter an amount",IF(ABS(W1841)&gt;ABS(L1841),"Tax is larger than the amount","")))))))))))))</f>
        <v/>
      </c>
      <c r="Y1841" s="67">
        <f>IF(OR(T1841=1,X1841&lt;&gt;""),"",IF(AND(B1841&lt;&gt;"",COUNTIF(tx_ID,B1841)&gt;1),"Duplicate transaction ID",IF(AND(L1841&lt;0,D1841&lt;&gt;"Adjustment"),"Negative amount — check this entry",IF(AND(D1841="Customer Payment",G1841=""),"Add the customer",IF(AND(D1841="Customer Payment",OR(J1841="",COUNTIF(ar_No,J1841&amp;"")=0)),"Invoice # in Reference not found on AR sheet",IF(AND(D1841="Bill Payment",H1841=""),"Add the vendor",IF(AND(D1841="Bill Payment",OR(J1841="",COUNTIFS(ap_No,J1841&amp;"",ap_Party,H1841&amp;"")=0)),"Bill # + vendor not found on AP sheet",IF(AND(ISNUMBER(M1841),N(M1841)&lt;&gt;0,W1841=0),"Tax ignored (tax tracking off, or not allowed for this type)",IF(V1841=K1841&amp;"","Same account on both sides",IF(AND(ISNUMBER(StartDate),C1841&lt;StartDate),"Date is before the accounting start date",IF(AND(D1841&lt;&gt;"Adjustment",IFERROR(INDEX(coa_Pay,MATCH(K1841&amp;"",coa_Name,0)),"")&lt;&gt;"Yes"),"Paid From / Deposited To is not a payment account","")))))))))))</f>
        <v/>
      </c>
      <c r="Z1841" s="67">
        <f>IF(AND(T1841=0,X1841=""),1,0)</f>
        <v/>
      </c>
      <c r="AA1841" s="68">
        <f>IF(Z1841=1,IF(U1841="In",L1841,L1841-W1841),0)</f>
        <v/>
      </c>
      <c r="AB1841" s="68">
        <f>IF(Z1841=1,IF(U1841="In",L1841-W1841,L1841),0)</f>
        <v/>
      </c>
      <c r="AC1841" s="68">
        <f>IF(AND(Z1841=1,U1841="Out"),W1841,0)</f>
        <v/>
      </c>
      <c r="AD1841" s="68">
        <f>IF(AND(Z1841=1,U1841="In"),W1841,0)</f>
        <v/>
      </c>
    </row>
    <row r="1842">
      <c r="B1842" s="62" t="inlineStr">
        <is>
          <t>TX-1836</t>
        </is>
      </c>
      <c r="C1842" s="63" t="n"/>
      <c r="D1842" s="62" t="n"/>
      <c r="E1842" s="62" t="n"/>
      <c r="F1842" s="62" t="n"/>
      <c r="G1842" s="62" t="n"/>
      <c r="H1842" s="62" t="n"/>
      <c r="I1842" s="62" t="n"/>
      <c r="J1842" s="62" t="n"/>
      <c r="K1842" s="62" t="n"/>
      <c r="L1842" s="64" t="n"/>
      <c r="M1842" s="64" t="n"/>
      <c r="N1842" s="62" t="n"/>
      <c r="O1842" s="65">
        <f>IF(Z1842=1,L1842-W1842,"")</f>
        <v/>
      </c>
      <c r="P1842" s="66">
        <f>IF(V1842="","",IFERROR(INDEX(coa_Type,MATCH(V1842,coa_Name,0)),""))</f>
        <v/>
      </c>
      <c r="Q1842" s="66">
        <f>IF(Z1842=1,IF(U1842="In",K1842&amp;"",V1842),"")</f>
        <v/>
      </c>
      <c r="R1842" s="66">
        <f>IF(Z1842=1,IF(U1842="In",V1842,K1842&amp;""),"")</f>
        <v/>
      </c>
      <c r="S1842" s="66">
        <f>IF(X1842&lt;&gt;"","⛔ "&amp;X1842&amp;" — not posted",IF(Y1842&lt;&gt;"","⚠ "&amp;Y1842,IF(Z1842=1,"✓ OK","")))</f>
        <v/>
      </c>
      <c r="T1842" s="67">
        <f>IF(AND(C1842="",D1842="",E1842="",L1842="",K1842=""),1,0)</f>
        <v/>
      </c>
      <c r="U1842" s="67">
        <f>IFERROR(INDEX(tt_Dir,MATCH(D1842,tt_Type,0)),"")</f>
        <v/>
      </c>
      <c r="V1842" s="67">
        <f>IF(D1842="","",IFERROR(IF(INDEX(tt_Other,MATCH(D1842,tt_Type,0))="",E1842&amp;"",INDEX(tt_Other,MATCH(D1842,tt_Type,0))),""))</f>
        <v/>
      </c>
      <c r="W1842" s="68">
        <f>IF(OR(TaxOn&lt;&gt;"Yes",NOT(ISNUMBER(M1842))),0,IF(IFERROR(INDEX(tt_Tax,MATCH(D1842,tt_Type,0)),"No")="Yes",M1842,0))</f>
        <v/>
      </c>
      <c r="X1842" s="67">
        <f>IF(T1842=1,"",IF(C1842="","Missing transaction date",IF(NOT(ISNUMBER(C1842)),"Invalid date",IF(OR(C1842&lt;DATE(2000,1,1),C1842&gt;DATE(2099,12,31)),"Invalid date",IF(D1842="","Select a type",IF(U1842="","Unknown type: "&amp;D1842,IF(V1842="","Select an account (Category)",IF(ISNA(MATCH(V1842,coa_Name,0)),"Unknown account: "&amp;V1842,IF(K1842="","Select Paid From / Deposited To",IF(ISNA(MATCH(K1842,coa_Name,0)),"Unknown account: "&amp;K1842,IF(NOT(ISNUMBER(L1842)),"Enter an amount",IF(L1842=0,"Enter an amount",IF(ABS(W1842)&gt;ABS(L1842),"Tax is larger than the amount","")))))))))))))</f>
        <v/>
      </c>
      <c r="Y1842" s="67">
        <f>IF(OR(T1842=1,X1842&lt;&gt;""),"",IF(AND(B1842&lt;&gt;"",COUNTIF(tx_ID,B1842)&gt;1),"Duplicate transaction ID",IF(AND(L1842&lt;0,D1842&lt;&gt;"Adjustment"),"Negative amount — check this entry",IF(AND(D1842="Customer Payment",G1842=""),"Add the customer",IF(AND(D1842="Customer Payment",OR(J1842="",COUNTIF(ar_No,J1842&amp;"")=0)),"Invoice # in Reference not found on AR sheet",IF(AND(D1842="Bill Payment",H1842=""),"Add the vendor",IF(AND(D1842="Bill Payment",OR(J1842="",COUNTIFS(ap_No,J1842&amp;"",ap_Party,H1842&amp;"")=0)),"Bill # + vendor not found on AP sheet",IF(AND(ISNUMBER(M1842),N(M1842)&lt;&gt;0,W1842=0),"Tax ignored (tax tracking off, or not allowed for this type)",IF(V1842=K1842&amp;"","Same account on both sides",IF(AND(ISNUMBER(StartDate),C1842&lt;StartDate),"Date is before the accounting start date",IF(AND(D1842&lt;&gt;"Adjustment",IFERROR(INDEX(coa_Pay,MATCH(K1842&amp;"",coa_Name,0)),"")&lt;&gt;"Yes"),"Paid From / Deposited To is not a payment account","")))))))))))</f>
        <v/>
      </c>
      <c r="Z1842" s="67">
        <f>IF(AND(T1842=0,X1842=""),1,0)</f>
        <v/>
      </c>
      <c r="AA1842" s="68">
        <f>IF(Z1842=1,IF(U1842="In",L1842,L1842-W1842),0)</f>
        <v/>
      </c>
      <c r="AB1842" s="68">
        <f>IF(Z1842=1,IF(U1842="In",L1842-W1842,L1842),0)</f>
        <v/>
      </c>
      <c r="AC1842" s="68">
        <f>IF(AND(Z1842=1,U1842="Out"),W1842,0)</f>
        <v/>
      </c>
      <c r="AD1842" s="68">
        <f>IF(AND(Z1842=1,U1842="In"),W1842,0)</f>
        <v/>
      </c>
    </row>
    <row r="1843">
      <c r="B1843" s="62" t="inlineStr">
        <is>
          <t>TX-1837</t>
        </is>
      </c>
      <c r="C1843" s="63" t="n"/>
      <c r="D1843" s="62" t="n"/>
      <c r="E1843" s="62" t="n"/>
      <c r="F1843" s="62" t="n"/>
      <c r="G1843" s="62" t="n"/>
      <c r="H1843" s="62" t="n"/>
      <c r="I1843" s="62" t="n"/>
      <c r="J1843" s="62" t="n"/>
      <c r="K1843" s="62" t="n"/>
      <c r="L1843" s="64" t="n"/>
      <c r="M1843" s="64" t="n"/>
      <c r="N1843" s="62" t="n"/>
      <c r="O1843" s="65">
        <f>IF(Z1843=1,L1843-W1843,"")</f>
        <v/>
      </c>
      <c r="P1843" s="66">
        <f>IF(V1843="","",IFERROR(INDEX(coa_Type,MATCH(V1843,coa_Name,0)),""))</f>
        <v/>
      </c>
      <c r="Q1843" s="66">
        <f>IF(Z1843=1,IF(U1843="In",K1843&amp;"",V1843),"")</f>
        <v/>
      </c>
      <c r="R1843" s="66">
        <f>IF(Z1843=1,IF(U1843="In",V1843,K1843&amp;""),"")</f>
        <v/>
      </c>
      <c r="S1843" s="66">
        <f>IF(X1843&lt;&gt;"","⛔ "&amp;X1843&amp;" — not posted",IF(Y1843&lt;&gt;"","⚠ "&amp;Y1843,IF(Z1843=1,"✓ OK","")))</f>
        <v/>
      </c>
      <c r="T1843" s="67">
        <f>IF(AND(C1843="",D1843="",E1843="",L1843="",K1843=""),1,0)</f>
        <v/>
      </c>
      <c r="U1843" s="67">
        <f>IFERROR(INDEX(tt_Dir,MATCH(D1843,tt_Type,0)),"")</f>
        <v/>
      </c>
      <c r="V1843" s="67">
        <f>IF(D1843="","",IFERROR(IF(INDEX(tt_Other,MATCH(D1843,tt_Type,0))="",E1843&amp;"",INDEX(tt_Other,MATCH(D1843,tt_Type,0))),""))</f>
        <v/>
      </c>
      <c r="W1843" s="68">
        <f>IF(OR(TaxOn&lt;&gt;"Yes",NOT(ISNUMBER(M1843))),0,IF(IFERROR(INDEX(tt_Tax,MATCH(D1843,tt_Type,0)),"No")="Yes",M1843,0))</f>
        <v/>
      </c>
      <c r="X1843" s="67">
        <f>IF(T1843=1,"",IF(C1843="","Missing transaction date",IF(NOT(ISNUMBER(C1843)),"Invalid date",IF(OR(C1843&lt;DATE(2000,1,1),C1843&gt;DATE(2099,12,31)),"Invalid date",IF(D1843="","Select a type",IF(U1843="","Unknown type: "&amp;D1843,IF(V1843="","Select an account (Category)",IF(ISNA(MATCH(V1843,coa_Name,0)),"Unknown account: "&amp;V1843,IF(K1843="","Select Paid From / Deposited To",IF(ISNA(MATCH(K1843,coa_Name,0)),"Unknown account: "&amp;K1843,IF(NOT(ISNUMBER(L1843)),"Enter an amount",IF(L1843=0,"Enter an amount",IF(ABS(W1843)&gt;ABS(L1843),"Tax is larger than the amount","")))))))))))))</f>
        <v/>
      </c>
      <c r="Y1843" s="67">
        <f>IF(OR(T1843=1,X1843&lt;&gt;""),"",IF(AND(B1843&lt;&gt;"",COUNTIF(tx_ID,B1843)&gt;1),"Duplicate transaction ID",IF(AND(L1843&lt;0,D1843&lt;&gt;"Adjustment"),"Negative amount — check this entry",IF(AND(D1843="Customer Payment",G1843=""),"Add the customer",IF(AND(D1843="Customer Payment",OR(J1843="",COUNTIF(ar_No,J1843&amp;"")=0)),"Invoice # in Reference not found on AR sheet",IF(AND(D1843="Bill Payment",H1843=""),"Add the vendor",IF(AND(D1843="Bill Payment",OR(J1843="",COUNTIFS(ap_No,J1843&amp;"",ap_Party,H1843&amp;"")=0)),"Bill # + vendor not found on AP sheet",IF(AND(ISNUMBER(M1843),N(M1843)&lt;&gt;0,W1843=0),"Tax ignored (tax tracking off, or not allowed for this type)",IF(V1843=K1843&amp;"","Same account on both sides",IF(AND(ISNUMBER(StartDate),C1843&lt;StartDate),"Date is before the accounting start date",IF(AND(D1843&lt;&gt;"Adjustment",IFERROR(INDEX(coa_Pay,MATCH(K1843&amp;"",coa_Name,0)),"")&lt;&gt;"Yes"),"Paid From / Deposited To is not a payment account","")))))))))))</f>
        <v/>
      </c>
      <c r="Z1843" s="67">
        <f>IF(AND(T1843=0,X1843=""),1,0)</f>
        <v/>
      </c>
      <c r="AA1843" s="68">
        <f>IF(Z1843=1,IF(U1843="In",L1843,L1843-W1843),0)</f>
        <v/>
      </c>
      <c r="AB1843" s="68">
        <f>IF(Z1843=1,IF(U1843="In",L1843-W1843,L1843),0)</f>
        <v/>
      </c>
      <c r="AC1843" s="68">
        <f>IF(AND(Z1843=1,U1843="Out"),W1843,0)</f>
        <v/>
      </c>
      <c r="AD1843" s="68">
        <f>IF(AND(Z1843=1,U1843="In"),W1843,0)</f>
        <v/>
      </c>
    </row>
    <row r="1844">
      <c r="B1844" s="62" t="inlineStr">
        <is>
          <t>TX-1838</t>
        </is>
      </c>
      <c r="C1844" s="63" t="n"/>
      <c r="D1844" s="62" t="n"/>
      <c r="E1844" s="62" t="n"/>
      <c r="F1844" s="62" t="n"/>
      <c r="G1844" s="62" t="n"/>
      <c r="H1844" s="62" t="n"/>
      <c r="I1844" s="62" t="n"/>
      <c r="J1844" s="62" t="n"/>
      <c r="K1844" s="62" t="n"/>
      <c r="L1844" s="64" t="n"/>
      <c r="M1844" s="64" t="n"/>
      <c r="N1844" s="62" t="n"/>
      <c r="O1844" s="65">
        <f>IF(Z1844=1,L1844-W1844,"")</f>
        <v/>
      </c>
      <c r="P1844" s="66">
        <f>IF(V1844="","",IFERROR(INDEX(coa_Type,MATCH(V1844,coa_Name,0)),""))</f>
        <v/>
      </c>
      <c r="Q1844" s="66">
        <f>IF(Z1844=1,IF(U1844="In",K1844&amp;"",V1844),"")</f>
        <v/>
      </c>
      <c r="R1844" s="66">
        <f>IF(Z1844=1,IF(U1844="In",V1844,K1844&amp;""),"")</f>
        <v/>
      </c>
      <c r="S1844" s="66">
        <f>IF(X1844&lt;&gt;"","⛔ "&amp;X1844&amp;" — not posted",IF(Y1844&lt;&gt;"","⚠ "&amp;Y1844,IF(Z1844=1,"✓ OK","")))</f>
        <v/>
      </c>
      <c r="T1844" s="67">
        <f>IF(AND(C1844="",D1844="",E1844="",L1844="",K1844=""),1,0)</f>
        <v/>
      </c>
      <c r="U1844" s="67">
        <f>IFERROR(INDEX(tt_Dir,MATCH(D1844,tt_Type,0)),"")</f>
        <v/>
      </c>
      <c r="V1844" s="67">
        <f>IF(D1844="","",IFERROR(IF(INDEX(tt_Other,MATCH(D1844,tt_Type,0))="",E1844&amp;"",INDEX(tt_Other,MATCH(D1844,tt_Type,0))),""))</f>
        <v/>
      </c>
      <c r="W1844" s="68">
        <f>IF(OR(TaxOn&lt;&gt;"Yes",NOT(ISNUMBER(M1844))),0,IF(IFERROR(INDEX(tt_Tax,MATCH(D1844,tt_Type,0)),"No")="Yes",M1844,0))</f>
        <v/>
      </c>
      <c r="X1844" s="67">
        <f>IF(T1844=1,"",IF(C1844="","Missing transaction date",IF(NOT(ISNUMBER(C1844)),"Invalid date",IF(OR(C1844&lt;DATE(2000,1,1),C1844&gt;DATE(2099,12,31)),"Invalid date",IF(D1844="","Select a type",IF(U1844="","Unknown type: "&amp;D1844,IF(V1844="","Select an account (Category)",IF(ISNA(MATCH(V1844,coa_Name,0)),"Unknown account: "&amp;V1844,IF(K1844="","Select Paid From / Deposited To",IF(ISNA(MATCH(K1844,coa_Name,0)),"Unknown account: "&amp;K1844,IF(NOT(ISNUMBER(L1844)),"Enter an amount",IF(L1844=0,"Enter an amount",IF(ABS(W1844)&gt;ABS(L1844),"Tax is larger than the amount","")))))))))))))</f>
        <v/>
      </c>
      <c r="Y1844" s="67">
        <f>IF(OR(T1844=1,X1844&lt;&gt;""),"",IF(AND(B1844&lt;&gt;"",COUNTIF(tx_ID,B1844)&gt;1),"Duplicate transaction ID",IF(AND(L1844&lt;0,D1844&lt;&gt;"Adjustment"),"Negative amount — check this entry",IF(AND(D1844="Customer Payment",G1844=""),"Add the customer",IF(AND(D1844="Customer Payment",OR(J1844="",COUNTIF(ar_No,J1844&amp;"")=0)),"Invoice # in Reference not found on AR sheet",IF(AND(D1844="Bill Payment",H1844=""),"Add the vendor",IF(AND(D1844="Bill Payment",OR(J1844="",COUNTIFS(ap_No,J1844&amp;"",ap_Party,H1844&amp;"")=0)),"Bill # + vendor not found on AP sheet",IF(AND(ISNUMBER(M1844),N(M1844)&lt;&gt;0,W1844=0),"Tax ignored (tax tracking off, or not allowed for this type)",IF(V1844=K1844&amp;"","Same account on both sides",IF(AND(ISNUMBER(StartDate),C1844&lt;StartDate),"Date is before the accounting start date",IF(AND(D1844&lt;&gt;"Adjustment",IFERROR(INDEX(coa_Pay,MATCH(K1844&amp;"",coa_Name,0)),"")&lt;&gt;"Yes"),"Paid From / Deposited To is not a payment account","")))))))))))</f>
        <v/>
      </c>
      <c r="Z1844" s="67">
        <f>IF(AND(T1844=0,X1844=""),1,0)</f>
        <v/>
      </c>
      <c r="AA1844" s="68">
        <f>IF(Z1844=1,IF(U1844="In",L1844,L1844-W1844),0)</f>
        <v/>
      </c>
      <c r="AB1844" s="68">
        <f>IF(Z1844=1,IF(U1844="In",L1844-W1844,L1844),0)</f>
        <v/>
      </c>
      <c r="AC1844" s="68">
        <f>IF(AND(Z1844=1,U1844="Out"),W1844,0)</f>
        <v/>
      </c>
      <c r="AD1844" s="68">
        <f>IF(AND(Z1844=1,U1844="In"),W1844,0)</f>
        <v/>
      </c>
    </row>
    <row r="1845">
      <c r="B1845" s="62" t="inlineStr">
        <is>
          <t>TX-1839</t>
        </is>
      </c>
      <c r="C1845" s="63" t="n"/>
      <c r="D1845" s="62" t="n"/>
      <c r="E1845" s="62" t="n"/>
      <c r="F1845" s="62" t="n"/>
      <c r="G1845" s="62" t="n"/>
      <c r="H1845" s="62" t="n"/>
      <c r="I1845" s="62" t="n"/>
      <c r="J1845" s="62" t="n"/>
      <c r="K1845" s="62" t="n"/>
      <c r="L1845" s="64" t="n"/>
      <c r="M1845" s="64" t="n"/>
      <c r="N1845" s="62" t="n"/>
      <c r="O1845" s="65">
        <f>IF(Z1845=1,L1845-W1845,"")</f>
        <v/>
      </c>
      <c r="P1845" s="66">
        <f>IF(V1845="","",IFERROR(INDEX(coa_Type,MATCH(V1845,coa_Name,0)),""))</f>
        <v/>
      </c>
      <c r="Q1845" s="66">
        <f>IF(Z1845=1,IF(U1845="In",K1845&amp;"",V1845),"")</f>
        <v/>
      </c>
      <c r="R1845" s="66">
        <f>IF(Z1845=1,IF(U1845="In",V1845,K1845&amp;""),"")</f>
        <v/>
      </c>
      <c r="S1845" s="66">
        <f>IF(X1845&lt;&gt;"","⛔ "&amp;X1845&amp;" — not posted",IF(Y1845&lt;&gt;"","⚠ "&amp;Y1845,IF(Z1845=1,"✓ OK","")))</f>
        <v/>
      </c>
      <c r="T1845" s="67">
        <f>IF(AND(C1845="",D1845="",E1845="",L1845="",K1845=""),1,0)</f>
        <v/>
      </c>
      <c r="U1845" s="67">
        <f>IFERROR(INDEX(tt_Dir,MATCH(D1845,tt_Type,0)),"")</f>
        <v/>
      </c>
      <c r="V1845" s="67">
        <f>IF(D1845="","",IFERROR(IF(INDEX(tt_Other,MATCH(D1845,tt_Type,0))="",E1845&amp;"",INDEX(tt_Other,MATCH(D1845,tt_Type,0))),""))</f>
        <v/>
      </c>
      <c r="W1845" s="68">
        <f>IF(OR(TaxOn&lt;&gt;"Yes",NOT(ISNUMBER(M1845))),0,IF(IFERROR(INDEX(tt_Tax,MATCH(D1845,tt_Type,0)),"No")="Yes",M1845,0))</f>
        <v/>
      </c>
      <c r="X1845" s="67">
        <f>IF(T1845=1,"",IF(C1845="","Missing transaction date",IF(NOT(ISNUMBER(C1845)),"Invalid date",IF(OR(C1845&lt;DATE(2000,1,1),C1845&gt;DATE(2099,12,31)),"Invalid date",IF(D1845="","Select a type",IF(U1845="","Unknown type: "&amp;D1845,IF(V1845="","Select an account (Category)",IF(ISNA(MATCH(V1845,coa_Name,0)),"Unknown account: "&amp;V1845,IF(K1845="","Select Paid From / Deposited To",IF(ISNA(MATCH(K1845,coa_Name,0)),"Unknown account: "&amp;K1845,IF(NOT(ISNUMBER(L1845)),"Enter an amount",IF(L1845=0,"Enter an amount",IF(ABS(W1845)&gt;ABS(L1845),"Tax is larger than the amount","")))))))))))))</f>
        <v/>
      </c>
      <c r="Y1845" s="67">
        <f>IF(OR(T1845=1,X1845&lt;&gt;""),"",IF(AND(B1845&lt;&gt;"",COUNTIF(tx_ID,B1845)&gt;1),"Duplicate transaction ID",IF(AND(L1845&lt;0,D1845&lt;&gt;"Adjustment"),"Negative amount — check this entry",IF(AND(D1845="Customer Payment",G1845=""),"Add the customer",IF(AND(D1845="Customer Payment",OR(J1845="",COUNTIF(ar_No,J1845&amp;"")=0)),"Invoice # in Reference not found on AR sheet",IF(AND(D1845="Bill Payment",H1845=""),"Add the vendor",IF(AND(D1845="Bill Payment",OR(J1845="",COUNTIFS(ap_No,J1845&amp;"",ap_Party,H1845&amp;"")=0)),"Bill # + vendor not found on AP sheet",IF(AND(ISNUMBER(M1845),N(M1845)&lt;&gt;0,W1845=0),"Tax ignored (tax tracking off, or not allowed for this type)",IF(V1845=K1845&amp;"","Same account on both sides",IF(AND(ISNUMBER(StartDate),C1845&lt;StartDate),"Date is before the accounting start date",IF(AND(D1845&lt;&gt;"Adjustment",IFERROR(INDEX(coa_Pay,MATCH(K1845&amp;"",coa_Name,0)),"")&lt;&gt;"Yes"),"Paid From / Deposited To is not a payment account","")))))))))))</f>
        <v/>
      </c>
      <c r="Z1845" s="67">
        <f>IF(AND(T1845=0,X1845=""),1,0)</f>
        <v/>
      </c>
      <c r="AA1845" s="68">
        <f>IF(Z1845=1,IF(U1845="In",L1845,L1845-W1845),0)</f>
        <v/>
      </c>
      <c r="AB1845" s="68">
        <f>IF(Z1845=1,IF(U1845="In",L1845-W1845,L1845),0)</f>
        <v/>
      </c>
      <c r="AC1845" s="68">
        <f>IF(AND(Z1845=1,U1845="Out"),W1845,0)</f>
        <v/>
      </c>
      <c r="AD1845" s="68">
        <f>IF(AND(Z1845=1,U1845="In"),W1845,0)</f>
        <v/>
      </c>
    </row>
    <row r="1846">
      <c r="B1846" s="62" t="inlineStr">
        <is>
          <t>TX-1840</t>
        </is>
      </c>
      <c r="C1846" s="63" t="n"/>
      <c r="D1846" s="62" t="n"/>
      <c r="E1846" s="62" t="n"/>
      <c r="F1846" s="62" t="n"/>
      <c r="G1846" s="62" t="n"/>
      <c r="H1846" s="62" t="n"/>
      <c r="I1846" s="62" t="n"/>
      <c r="J1846" s="62" t="n"/>
      <c r="K1846" s="62" t="n"/>
      <c r="L1846" s="64" t="n"/>
      <c r="M1846" s="64" t="n"/>
      <c r="N1846" s="62" t="n"/>
      <c r="O1846" s="65">
        <f>IF(Z1846=1,L1846-W1846,"")</f>
        <v/>
      </c>
      <c r="P1846" s="66">
        <f>IF(V1846="","",IFERROR(INDEX(coa_Type,MATCH(V1846,coa_Name,0)),""))</f>
        <v/>
      </c>
      <c r="Q1846" s="66">
        <f>IF(Z1846=1,IF(U1846="In",K1846&amp;"",V1846),"")</f>
        <v/>
      </c>
      <c r="R1846" s="66">
        <f>IF(Z1846=1,IF(U1846="In",V1846,K1846&amp;""),"")</f>
        <v/>
      </c>
      <c r="S1846" s="66">
        <f>IF(X1846&lt;&gt;"","⛔ "&amp;X1846&amp;" — not posted",IF(Y1846&lt;&gt;"","⚠ "&amp;Y1846,IF(Z1846=1,"✓ OK","")))</f>
        <v/>
      </c>
      <c r="T1846" s="67">
        <f>IF(AND(C1846="",D1846="",E1846="",L1846="",K1846=""),1,0)</f>
        <v/>
      </c>
      <c r="U1846" s="67">
        <f>IFERROR(INDEX(tt_Dir,MATCH(D1846,tt_Type,0)),"")</f>
        <v/>
      </c>
      <c r="V1846" s="67">
        <f>IF(D1846="","",IFERROR(IF(INDEX(tt_Other,MATCH(D1846,tt_Type,0))="",E1846&amp;"",INDEX(tt_Other,MATCH(D1846,tt_Type,0))),""))</f>
        <v/>
      </c>
      <c r="W1846" s="68">
        <f>IF(OR(TaxOn&lt;&gt;"Yes",NOT(ISNUMBER(M1846))),0,IF(IFERROR(INDEX(tt_Tax,MATCH(D1846,tt_Type,0)),"No")="Yes",M1846,0))</f>
        <v/>
      </c>
      <c r="X1846" s="67">
        <f>IF(T1846=1,"",IF(C1846="","Missing transaction date",IF(NOT(ISNUMBER(C1846)),"Invalid date",IF(OR(C1846&lt;DATE(2000,1,1),C1846&gt;DATE(2099,12,31)),"Invalid date",IF(D1846="","Select a type",IF(U1846="","Unknown type: "&amp;D1846,IF(V1846="","Select an account (Category)",IF(ISNA(MATCH(V1846,coa_Name,0)),"Unknown account: "&amp;V1846,IF(K1846="","Select Paid From / Deposited To",IF(ISNA(MATCH(K1846,coa_Name,0)),"Unknown account: "&amp;K1846,IF(NOT(ISNUMBER(L1846)),"Enter an amount",IF(L1846=0,"Enter an amount",IF(ABS(W1846)&gt;ABS(L1846),"Tax is larger than the amount","")))))))))))))</f>
        <v/>
      </c>
      <c r="Y1846" s="67">
        <f>IF(OR(T1846=1,X1846&lt;&gt;""),"",IF(AND(B1846&lt;&gt;"",COUNTIF(tx_ID,B1846)&gt;1),"Duplicate transaction ID",IF(AND(L1846&lt;0,D1846&lt;&gt;"Adjustment"),"Negative amount — check this entry",IF(AND(D1846="Customer Payment",G1846=""),"Add the customer",IF(AND(D1846="Customer Payment",OR(J1846="",COUNTIF(ar_No,J1846&amp;"")=0)),"Invoice # in Reference not found on AR sheet",IF(AND(D1846="Bill Payment",H1846=""),"Add the vendor",IF(AND(D1846="Bill Payment",OR(J1846="",COUNTIFS(ap_No,J1846&amp;"",ap_Party,H1846&amp;"")=0)),"Bill # + vendor not found on AP sheet",IF(AND(ISNUMBER(M1846),N(M1846)&lt;&gt;0,W1846=0),"Tax ignored (tax tracking off, or not allowed for this type)",IF(V1846=K1846&amp;"","Same account on both sides",IF(AND(ISNUMBER(StartDate),C1846&lt;StartDate),"Date is before the accounting start date",IF(AND(D1846&lt;&gt;"Adjustment",IFERROR(INDEX(coa_Pay,MATCH(K1846&amp;"",coa_Name,0)),"")&lt;&gt;"Yes"),"Paid From / Deposited To is not a payment account","")))))))))))</f>
        <v/>
      </c>
      <c r="Z1846" s="67">
        <f>IF(AND(T1846=0,X1846=""),1,0)</f>
        <v/>
      </c>
      <c r="AA1846" s="68">
        <f>IF(Z1846=1,IF(U1846="In",L1846,L1846-W1846),0)</f>
        <v/>
      </c>
      <c r="AB1846" s="68">
        <f>IF(Z1846=1,IF(U1846="In",L1846-W1846,L1846),0)</f>
        <v/>
      </c>
      <c r="AC1846" s="68">
        <f>IF(AND(Z1846=1,U1846="Out"),W1846,0)</f>
        <v/>
      </c>
      <c r="AD1846" s="68">
        <f>IF(AND(Z1846=1,U1846="In"),W1846,0)</f>
        <v/>
      </c>
    </row>
    <row r="1847">
      <c r="B1847" s="62" t="inlineStr">
        <is>
          <t>TX-1841</t>
        </is>
      </c>
      <c r="C1847" s="63" t="n"/>
      <c r="D1847" s="62" t="n"/>
      <c r="E1847" s="62" t="n"/>
      <c r="F1847" s="62" t="n"/>
      <c r="G1847" s="62" t="n"/>
      <c r="H1847" s="62" t="n"/>
      <c r="I1847" s="62" t="n"/>
      <c r="J1847" s="62" t="n"/>
      <c r="K1847" s="62" t="n"/>
      <c r="L1847" s="64" t="n"/>
      <c r="M1847" s="64" t="n"/>
      <c r="N1847" s="62" t="n"/>
      <c r="O1847" s="65">
        <f>IF(Z1847=1,L1847-W1847,"")</f>
        <v/>
      </c>
      <c r="P1847" s="66">
        <f>IF(V1847="","",IFERROR(INDEX(coa_Type,MATCH(V1847,coa_Name,0)),""))</f>
        <v/>
      </c>
      <c r="Q1847" s="66">
        <f>IF(Z1847=1,IF(U1847="In",K1847&amp;"",V1847),"")</f>
        <v/>
      </c>
      <c r="R1847" s="66">
        <f>IF(Z1847=1,IF(U1847="In",V1847,K1847&amp;""),"")</f>
        <v/>
      </c>
      <c r="S1847" s="66">
        <f>IF(X1847&lt;&gt;"","⛔ "&amp;X1847&amp;" — not posted",IF(Y1847&lt;&gt;"","⚠ "&amp;Y1847,IF(Z1847=1,"✓ OK","")))</f>
        <v/>
      </c>
      <c r="T1847" s="67">
        <f>IF(AND(C1847="",D1847="",E1847="",L1847="",K1847=""),1,0)</f>
        <v/>
      </c>
      <c r="U1847" s="67">
        <f>IFERROR(INDEX(tt_Dir,MATCH(D1847,tt_Type,0)),"")</f>
        <v/>
      </c>
      <c r="V1847" s="67">
        <f>IF(D1847="","",IFERROR(IF(INDEX(tt_Other,MATCH(D1847,tt_Type,0))="",E1847&amp;"",INDEX(tt_Other,MATCH(D1847,tt_Type,0))),""))</f>
        <v/>
      </c>
      <c r="W1847" s="68">
        <f>IF(OR(TaxOn&lt;&gt;"Yes",NOT(ISNUMBER(M1847))),0,IF(IFERROR(INDEX(tt_Tax,MATCH(D1847,tt_Type,0)),"No")="Yes",M1847,0))</f>
        <v/>
      </c>
      <c r="X1847" s="67">
        <f>IF(T1847=1,"",IF(C1847="","Missing transaction date",IF(NOT(ISNUMBER(C1847)),"Invalid date",IF(OR(C1847&lt;DATE(2000,1,1),C1847&gt;DATE(2099,12,31)),"Invalid date",IF(D1847="","Select a type",IF(U1847="","Unknown type: "&amp;D1847,IF(V1847="","Select an account (Category)",IF(ISNA(MATCH(V1847,coa_Name,0)),"Unknown account: "&amp;V1847,IF(K1847="","Select Paid From / Deposited To",IF(ISNA(MATCH(K1847,coa_Name,0)),"Unknown account: "&amp;K1847,IF(NOT(ISNUMBER(L1847)),"Enter an amount",IF(L1847=0,"Enter an amount",IF(ABS(W1847)&gt;ABS(L1847),"Tax is larger than the amount","")))))))))))))</f>
        <v/>
      </c>
      <c r="Y1847" s="67">
        <f>IF(OR(T1847=1,X1847&lt;&gt;""),"",IF(AND(B1847&lt;&gt;"",COUNTIF(tx_ID,B1847)&gt;1),"Duplicate transaction ID",IF(AND(L1847&lt;0,D1847&lt;&gt;"Adjustment"),"Negative amount — check this entry",IF(AND(D1847="Customer Payment",G1847=""),"Add the customer",IF(AND(D1847="Customer Payment",OR(J1847="",COUNTIF(ar_No,J1847&amp;"")=0)),"Invoice # in Reference not found on AR sheet",IF(AND(D1847="Bill Payment",H1847=""),"Add the vendor",IF(AND(D1847="Bill Payment",OR(J1847="",COUNTIFS(ap_No,J1847&amp;"",ap_Party,H1847&amp;"")=0)),"Bill # + vendor not found on AP sheet",IF(AND(ISNUMBER(M1847),N(M1847)&lt;&gt;0,W1847=0),"Tax ignored (tax tracking off, or not allowed for this type)",IF(V1847=K1847&amp;"","Same account on both sides",IF(AND(ISNUMBER(StartDate),C1847&lt;StartDate),"Date is before the accounting start date",IF(AND(D1847&lt;&gt;"Adjustment",IFERROR(INDEX(coa_Pay,MATCH(K1847&amp;"",coa_Name,0)),"")&lt;&gt;"Yes"),"Paid From / Deposited To is not a payment account","")))))))))))</f>
        <v/>
      </c>
      <c r="Z1847" s="67">
        <f>IF(AND(T1847=0,X1847=""),1,0)</f>
        <v/>
      </c>
      <c r="AA1847" s="68">
        <f>IF(Z1847=1,IF(U1847="In",L1847,L1847-W1847),0)</f>
        <v/>
      </c>
      <c r="AB1847" s="68">
        <f>IF(Z1847=1,IF(U1847="In",L1847-W1847,L1847),0)</f>
        <v/>
      </c>
      <c r="AC1847" s="68">
        <f>IF(AND(Z1847=1,U1847="Out"),W1847,0)</f>
        <v/>
      </c>
      <c r="AD1847" s="68">
        <f>IF(AND(Z1847=1,U1847="In"),W1847,0)</f>
        <v/>
      </c>
    </row>
    <row r="1848">
      <c r="B1848" s="62" t="inlineStr">
        <is>
          <t>TX-1842</t>
        </is>
      </c>
      <c r="C1848" s="63" t="n"/>
      <c r="D1848" s="62" t="n"/>
      <c r="E1848" s="62" t="n"/>
      <c r="F1848" s="62" t="n"/>
      <c r="G1848" s="62" t="n"/>
      <c r="H1848" s="62" t="n"/>
      <c r="I1848" s="62" t="n"/>
      <c r="J1848" s="62" t="n"/>
      <c r="K1848" s="62" t="n"/>
      <c r="L1848" s="64" t="n"/>
      <c r="M1848" s="64" t="n"/>
      <c r="N1848" s="62" t="n"/>
      <c r="O1848" s="65">
        <f>IF(Z1848=1,L1848-W1848,"")</f>
        <v/>
      </c>
      <c r="P1848" s="66">
        <f>IF(V1848="","",IFERROR(INDEX(coa_Type,MATCH(V1848,coa_Name,0)),""))</f>
        <v/>
      </c>
      <c r="Q1848" s="66">
        <f>IF(Z1848=1,IF(U1848="In",K1848&amp;"",V1848),"")</f>
        <v/>
      </c>
      <c r="R1848" s="66">
        <f>IF(Z1848=1,IF(U1848="In",V1848,K1848&amp;""),"")</f>
        <v/>
      </c>
      <c r="S1848" s="66">
        <f>IF(X1848&lt;&gt;"","⛔ "&amp;X1848&amp;" — not posted",IF(Y1848&lt;&gt;"","⚠ "&amp;Y1848,IF(Z1848=1,"✓ OK","")))</f>
        <v/>
      </c>
      <c r="T1848" s="67">
        <f>IF(AND(C1848="",D1848="",E1848="",L1848="",K1848=""),1,0)</f>
        <v/>
      </c>
      <c r="U1848" s="67">
        <f>IFERROR(INDEX(tt_Dir,MATCH(D1848,tt_Type,0)),"")</f>
        <v/>
      </c>
      <c r="V1848" s="67">
        <f>IF(D1848="","",IFERROR(IF(INDEX(tt_Other,MATCH(D1848,tt_Type,0))="",E1848&amp;"",INDEX(tt_Other,MATCH(D1848,tt_Type,0))),""))</f>
        <v/>
      </c>
      <c r="W1848" s="68">
        <f>IF(OR(TaxOn&lt;&gt;"Yes",NOT(ISNUMBER(M1848))),0,IF(IFERROR(INDEX(tt_Tax,MATCH(D1848,tt_Type,0)),"No")="Yes",M1848,0))</f>
        <v/>
      </c>
      <c r="X1848" s="67">
        <f>IF(T1848=1,"",IF(C1848="","Missing transaction date",IF(NOT(ISNUMBER(C1848)),"Invalid date",IF(OR(C1848&lt;DATE(2000,1,1),C1848&gt;DATE(2099,12,31)),"Invalid date",IF(D1848="","Select a type",IF(U1848="","Unknown type: "&amp;D1848,IF(V1848="","Select an account (Category)",IF(ISNA(MATCH(V1848,coa_Name,0)),"Unknown account: "&amp;V1848,IF(K1848="","Select Paid From / Deposited To",IF(ISNA(MATCH(K1848,coa_Name,0)),"Unknown account: "&amp;K1848,IF(NOT(ISNUMBER(L1848)),"Enter an amount",IF(L1848=0,"Enter an amount",IF(ABS(W1848)&gt;ABS(L1848),"Tax is larger than the amount","")))))))))))))</f>
        <v/>
      </c>
      <c r="Y1848" s="67">
        <f>IF(OR(T1848=1,X1848&lt;&gt;""),"",IF(AND(B1848&lt;&gt;"",COUNTIF(tx_ID,B1848)&gt;1),"Duplicate transaction ID",IF(AND(L1848&lt;0,D1848&lt;&gt;"Adjustment"),"Negative amount — check this entry",IF(AND(D1848="Customer Payment",G1848=""),"Add the customer",IF(AND(D1848="Customer Payment",OR(J1848="",COUNTIF(ar_No,J1848&amp;"")=0)),"Invoice # in Reference not found on AR sheet",IF(AND(D1848="Bill Payment",H1848=""),"Add the vendor",IF(AND(D1848="Bill Payment",OR(J1848="",COUNTIFS(ap_No,J1848&amp;"",ap_Party,H1848&amp;"")=0)),"Bill # + vendor not found on AP sheet",IF(AND(ISNUMBER(M1848),N(M1848)&lt;&gt;0,W1848=0),"Tax ignored (tax tracking off, or not allowed for this type)",IF(V1848=K1848&amp;"","Same account on both sides",IF(AND(ISNUMBER(StartDate),C1848&lt;StartDate),"Date is before the accounting start date",IF(AND(D1848&lt;&gt;"Adjustment",IFERROR(INDEX(coa_Pay,MATCH(K1848&amp;"",coa_Name,0)),"")&lt;&gt;"Yes"),"Paid From / Deposited To is not a payment account","")))))))))))</f>
        <v/>
      </c>
      <c r="Z1848" s="67">
        <f>IF(AND(T1848=0,X1848=""),1,0)</f>
        <v/>
      </c>
      <c r="AA1848" s="68">
        <f>IF(Z1848=1,IF(U1848="In",L1848,L1848-W1848),0)</f>
        <v/>
      </c>
      <c r="AB1848" s="68">
        <f>IF(Z1848=1,IF(U1848="In",L1848-W1848,L1848),0)</f>
        <v/>
      </c>
      <c r="AC1848" s="68">
        <f>IF(AND(Z1848=1,U1848="Out"),W1848,0)</f>
        <v/>
      </c>
      <c r="AD1848" s="68">
        <f>IF(AND(Z1848=1,U1848="In"),W1848,0)</f>
        <v/>
      </c>
    </row>
    <row r="1849">
      <c r="B1849" s="62" t="inlineStr">
        <is>
          <t>TX-1843</t>
        </is>
      </c>
      <c r="C1849" s="63" t="n"/>
      <c r="D1849" s="62" t="n"/>
      <c r="E1849" s="62" t="n"/>
      <c r="F1849" s="62" t="n"/>
      <c r="G1849" s="62" t="n"/>
      <c r="H1849" s="62" t="n"/>
      <c r="I1849" s="62" t="n"/>
      <c r="J1849" s="62" t="n"/>
      <c r="K1849" s="62" t="n"/>
      <c r="L1849" s="64" t="n"/>
      <c r="M1849" s="64" t="n"/>
      <c r="N1849" s="62" t="n"/>
      <c r="O1849" s="65">
        <f>IF(Z1849=1,L1849-W1849,"")</f>
        <v/>
      </c>
      <c r="P1849" s="66">
        <f>IF(V1849="","",IFERROR(INDEX(coa_Type,MATCH(V1849,coa_Name,0)),""))</f>
        <v/>
      </c>
      <c r="Q1849" s="66">
        <f>IF(Z1849=1,IF(U1849="In",K1849&amp;"",V1849),"")</f>
        <v/>
      </c>
      <c r="R1849" s="66">
        <f>IF(Z1849=1,IF(U1849="In",V1849,K1849&amp;""),"")</f>
        <v/>
      </c>
      <c r="S1849" s="66">
        <f>IF(X1849&lt;&gt;"","⛔ "&amp;X1849&amp;" — not posted",IF(Y1849&lt;&gt;"","⚠ "&amp;Y1849,IF(Z1849=1,"✓ OK","")))</f>
        <v/>
      </c>
      <c r="T1849" s="67">
        <f>IF(AND(C1849="",D1849="",E1849="",L1849="",K1849=""),1,0)</f>
        <v/>
      </c>
      <c r="U1849" s="67">
        <f>IFERROR(INDEX(tt_Dir,MATCH(D1849,tt_Type,0)),"")</f>
        <v/>
      </c>
      <c r="V1849" s="67">
        <f>IF(D1849="","",IFERROR(IF(INDEX(tt_Other,MATCH(D1849,tt_Type,0))="",E1849&amp;"",INDEX(tt_Other,MATCH(D1849,tt_Type,0))),""))</f>
        <v/>
      </c>
      <c r="W1849" s="68">
        <f>IF(OR(TaxOn&lt;&gt;"Yes",NOT(ISNUMBER(M1849))),0,IF(IFERROR(INDEX(tt_Tax,MATCH(D1849,tt_Type,0)),"No")="Yes",M1849,0))</f>
        <v/>
      </c>
      <c r="X1849" s="67">
        <f>IF(T1849=1,"",IF(C1849="","Missing transaction date",IF(NOT(ISNUMBER(C1849)),"Invalid date",IF(OR(C1849&lt;DATE(2000,1,1),C1849&gt;DATE(2099,12,31)),"Invalid date",IF(D1849="","Select a type",IF(U1849="","Unknown type: "&amp;D1849,IF(V1849="","Select an account (Category)",IF(ISNA(MATCH(V1849,coa_Name,0)),"Unknown account: "&amp;V1849,IF(K1849="","Select Paid From / Deposited To",IF(ISNA(MATCH(K1849,coa_Name,0)),"Unknown account: "&amp;K1849,IF(NOT(ISNUMBER(L1849)),"Enter an amount",IF(L1849=0,"Enter an amount",IF(ABS(W1849)&gt;ABS(L1849),"Tax is larger than the amount","")))))))))))))</f>
        <v/>
      </c>
      <c r="Y1849" s="67">
        <f>IF(OR(T1849=1,X1849&lt;&gt;""),"",IF(AND(B1849&lt;&gt;"",COUNTIF(tx_ID,B1849)&gt;1),"Duplicate transaction ID",IF(AND(L1849&lt;0,D1849&lt;&gt;"Adjustment"),"Negative amount — check this entry",IF(AND(D1849="Customer Payment",G1849=""),"Add the customer",IF(AND(D1849="Customer Payment",OR(J1849="",COUNTIF(ar_No,J1849&amp;"")=0)),"Invoice # in Reference not found on AR sheet",IF(AND(D1849="Bill Payment",H1849=""),"Add the vendor",IF(AND(D1849="Bill Payment",OR(J1849="",COUNTIFS(ap_No,J1849&amp;"",ap_Party,H1849&amp;"")=0)),"Bill # + vendor not found on AP sheet",IF(AND(ISNUMBER(M1849),N(M1849)&lt;&gt;0,W1849=0),"Tax ignored (tax tracking off, or not allowed for this type)",IF(V1849=K1849&amp;"","Same account on both sides",IF(AND(ISNUMBER(StartDate),C1849&lt;StartDate),"Date is before the accounting start date",IF(AND(D1849&lt;&gt;"Adjustment",IFERROR(INDEX(coa_Pay,MATCH(K1849&amp;"",coa_Name,0)),"")&lt;&gt;"Yes"),"Paid From / Deposited To is not a payment account","")))))))))))</f>
        <v/>
      </c>
      <c r="Z1849" s="67">
        <f>IF(AND(T1849=0,X1849=""),1,0)</f>
        <v/>
      </c>
      <c r="AA1849" s="68">
        <f>IF(Z1849=1,IF(U1849="In",L1849,L1849-W1849),0)</f>
        <v/>
      </c>
      <c r="AB1849" s="68">
        <f>IF(Z1849=1,IF(U1849="In",L1849-W1849,L1849),0)</f>
        <v/>
      </c>
      <c r="AC1849" s="68">
        <f>IF(AND(Z1849=1,U1849="Out"),W1849,0)</f>
        <v/>
      </c>
      <c r="AD1849" s="68">
        <f>IF(AND(Z1849=1,U1849="In"),W1849,0)</f>
        <v/>
      </c>
    </row>
    <row r="1850">
      <c r="B1850" s="62" t="inlineStr">
        <is>
          <t>TX-1844</t>
        </is>
      </c>
      <c r="C1850" s="63" t="n"/>
      <c r="D1850" s="62" t="n"/>
      <c r="E1850" s="62" t="n"/>
      <c r="F1850" s="62" t="n"/>
      <c r="G1850" s="62" t="n"/>
      <c r="H1850" s="62" t="n"/>
      <c r="I1850" s="62" t="n"/>
      <c r="J1850" s="62" t="n"/>
      <c r="K1850" s="62" t="n"/>
      <c r="L1850" s="64" t="n"/>
      <c r="M1850" s="64" t="n"/>
      <c r="N1850" s="62" t="n"/>
      <c r="O1850" s="65">
        <f>IF(Z1850=1,L1850-W1850,"")</f>
        <v/>
      </c>
      <c r="P1850" s="66">
        <f>IF(V1850="","",IFERROR(INDEX(coa_Type,MATCH(V1850,coa_Name,0)),""))</f>
        <v/>
      </c>
      <c r="Q1850" s="66">
        <f>IF(Z1850=1,IF(U1850="In",K1850&amp;"",V1850),"")</f>
        <v/>
      </c>
      <c r="R1850" s="66">
        <f>IF(Z1850=1,IF(U1850="In",V1850,K1850&amp;""),"")</f>
        <v/>
      </c>
      <c r="S1850" s="66">
        <f>IF(X1850&lt;&gt;"","⛔ "&amp;X1850&amp;" — not posted",IF(Y1850&lt;&gt;"","⚠ "&amp;Y1850,IF(Z1850=1,"✓ OK","")))</f>
        <v/>
      </c>
      <c r="T1850" s="67">
        <f>IF(AND(C1850="",D1850="",E1850="",L1850="",K1850=""),1,0)</f>
        <v/>
      </c>
      <c r="U1850" s="67">
        <f>IFERROR(INDEX(tt_Dir,MATCH(D1850,tt_Type,0)),"")</f>
        <v/>
      </c>
      <c r="V1850" s="67">
        <f>IF(D1850="","",IFERROR(IF(INDEX(tt_Other,MATCH(D1850,tt_Type,0))="",E1850&amp;"",INDEX(tt_Other,MATCH(D1850,tt_Type,0))),""))</f>
        <v/>
      </c>
      <c r="W1850" s="68">
        <f>IF(OR(TaxOn&lt;&gt;"Yes",NOT(ISNUMBER(M1850))),0,IF(IFERROR(INDEX(tt_Tax,MATCH(D1850,tt_Type,0)),"No")="Yes",M1850,0))</f>
        <v/>
      </c>
      <c r="X1850" s="67">
        <f>IF(T1850=1,"",IF(C1850="","Missing transaction date",IF(NOT(ISNUMBER(C1850)),"Invalid date",IF(OR(C1850&lt;DATE(2000,1,1),C1850&gt;DATE(2099,12,31)),"Invalid date",IF(D1850="","Select a type",IF(U1850="","Unknown type: "&amp;D1850,IF(V1850="","Select an account (Category)",IF(ISNA(MATCH(V1850,coa_Name,0)),"Unknown account: "&amp;V1850,IF(K1850="","Select Paid From / Deposited To",IF(ISNA(MATCH(K1850,coa_Name,0)),"Unknown account: "&amp;K1850,IF(NOT(ISNUMBER(L1850)),"Enter an amount",IF(L1850=0,"Enter an amount",IF(ABS(W1850)&gt;ABS(L1850),"Tax is larger than the amount","")))))))))))))</f>
        <v/>
      </c>
      <c r="Y1850" s="67">
        <f>IF(OR(T1850=1,X1850&lt;&gt;""),"",IF(AND(B1850&lt;&gt;"",COUNTIF(tx_ID,B1850)&gt;1),"Duplicate transaction ID",IF(AND(L1850&lt;0,D1850&lt;&gt;"Adjustment"),"Negative amount — check this entry",IF(AND(D1850="Customer Payment",G1850=""),"Add the customer",IF(AND(D1850="Customer Payment",OR(J1850="",COUNTIF(ar_No,J1850&amp;"")=0)),"Invoice # in Reference not found on AR sheet",IF(AND(D1850="Bill Payment",H1850=""),"Add the vendor",IF(AND(D1850="Bill Payment",OR(J1850="",COUNTIFS(ap_No,J1850&amp;"",ap_Party,H1850&amp;"")=0)),"Bill # + vendor not found on AP sheet",IF(AND(ISNUMBER(M1850),N(M1850)&lt;&gt;0,W1850=0),"Tax ignored (tax tracking off, or not allowed for this type)",IF(V1850=K1850&amp;"","Same account on both sides",IF(AND(ISNUMBER(StartDate),C1850&lt;StartDate),"Date is before the accounting start date",IF(AND(D1850&lt;&gt;"Adjustment",IFERROR(INDEX(coa_Pay,MATCH(K1850&amp;"",coa_Name,0)),"")&lt;&gt;"Yes"),"Paid From / Deposited To is not a payment account","")))))))))))</f>
        <v/>
      </c>
      <c r="Z1850" s="67">
        <f>IF(AND(T1850=0,X1850=""),1,0)</f>
        <v/>
      </c>
      <c r="AA1850" s="68">
        <f>IF(Z1850=1,IF(U1850="In",L1850,L1850-W1850),0)</f>
        <v/>
      </c>
      <c r="AB1850" s="68">
        <f>IF(Z1850=1,IF(U1850="In",L1850-W1850,L1850),0)</f>
        <v/>
      </c>
      <c r="AC1850" s="68">
        <f>IF(AND(Z1850=1,U1850="Out"),W1850,0)</f>
        <v/>
      </c>
      <c r="AD1850" s="68">
        <f>IF(AND(Z1850=1,U1850="In"),W1850,0)</f>
        <v/>
      </c>
    </row>
    <row r="1851">
      <c r="B1851" s="62" t="inlineStr">
        <is>
          <t>TX-1845</t>
        </is>
      </c>
      <c r="C1851" s="63" t="n"/>
      <c r="D1851" s="62" t="n"/>
      <c r="E1851" s="62" t="n"/>
      <c r="F1851" s="62" t="n"/>
      <c r="G1851" s="62" t="n"/>
      <c r="H1851" s="62" t="n"/>
      <c r="I1851" s="62" t="n"/>
      <c r="J1851" s="62" t="n"/>
      <c r="K1851" s="62" t="n"/>
      <c r="L1851" s="64" t="n"/>
      <c r="M1851" s="64" t="n"/>
      <c r="N1851" s="62" t="n"/>
      <c r="O1851" s="65">
        <f>IF(Z1851=1,L1851-W1851,"")</f>
        <v/>
      </c>
      <c r="P1851" s="66">
        <f>IF(V1851="","",IFERROR(INDEX(coa_Type,MATCH(V1851,coa_Name,0)),""))</f>
        <v/>
      </c>
      <c r="Q1851" s="66">
        <f>IF(Z1851=1,IF(U1851="In",K1851&amp;"",V1851),"")</f>
        <v/>
      </c>
      <c r="R1851" s="66">
        <f>IF(Z1851=1,IF(U1851="In",V1851,K1851&amp;""),"")</f>
        <v/>
      </c>
      <c r="S1851" s="66">
        <f>IF(X1851&lt;&gt;"","⛔ "&amp;X1851&amp;" — not posted",IF(Y1851&lt;&gt;"","⚠ "&amp;Y1851,IF(Z1851=1,"✓ OK","")))</f>
        <v/>
      </c>
      <c r="T1851" s="67">
        <f>IF(AND(C1851="",D1851="",E1851="",L1851="",K1851=""),1,0)</f>
        <v/>
      </c>
      <c r="U1851" s="67">
        <f>IFERROR(INDEX(tt_Dir,MATCH(D1851,tt_Type,0)),"")</f>
        <v/>
      </c>
      <c r="V1851" s="67">
        <f>IF(D1851="","",IFERROR(IF(INDEX(tt_Other,MATCH(D1851,tt_Type,0))="",E1851&amp;"",INDEX(tt_Other,MATCH(D1851,tt_Type,0))),""))</f>
        <v/>
      </c>
      <c r="W1851" s="68">
        <f>IF(OR(TaxOn&lt;&gt;"Yes",NOT(ISNUMBER(M1851))),0,IF(IFERROR(INDEX(tt_Tax,MATCH(D1851,tt_Type,0)),"No")="Yes",M1851,0))</f>
        <v/>
      </c>
      <c r="X1851" s="67">
        <f>IF(T1851=1,"",IF(C1851="","Missing transaction date",IF(NOT(ISNUMBER(C1851)),"Invalid date",IF(OR(C1851&lt;DATE(2000,1,1),C1851&gt;DATE(2099,12,31)),"Invalid date",IF(D1851="","Select a type",IF(U1851="","Unknown type: "&amp;D1851,IF(V1851="","Select an account (Category)",IF(ISNA(MATCH(V1851,coa_Name,0)),"Unknown account: "&amp;V1851,IF(K1851="","Select Paid From / Deposited To",IF(ISNA(MATCH(K1851,coa_Name,0)),"Unknown account: "&amp;K1851,IF(NOT(ISNUMBER(L1851)),"Enter an amount",IF(L1851=0,"Enter an amount",IF(ABS(W1851)&gt;ABS(L1851),"Tax is larger than the amount","")))))))))))))</f>
        <v/>
      </c>
      <c r="Y1851" s="67">
        <f>IF(OR(T1851=1,X1851&lt;&gt;""),"",IF(AND(B1851&lt;&gt;"",COUNTIF(tx_ID,B1851)&gt;1),"Duplicate transaction ID",IF(AND(L1851&lt;0,D1851&lt;&gt;"Adjustment"),"Negative amount — check this entry",IF(AND(D1851="Customer Payment",G1851=""),"Add the customer",IF(AND(D1851="Customer Payment",OR(J1851="",COUNTIF(ar_No,J1851&amp;"")=0)),"Invoice # in Reference not found on AR sheet",IF(AND(D1851="Bill Payment",H1851=""),"Add the vendor",IF(AND(D1851="Bill Payment",OR(J1851="",COUNTIFS(ap_No,J1851&amp;"",ap_Party,H1851&amp;"")=0)),"Bill # + vendor not found on AP sheet",IF(AND(ISNUMBER(M1851),N(M1851)&lt;&gt;0,W1851=0),"Tax ignored (tax tracking off, or not allowed for this type)",IF(V1851=K1851&amp;"","Same account on both sides",IF(AND(ISNUMBER(StartDate),C1851&lt;StartDate),"Date is before the accounting start date",IF(AND(D1851&lt;&gt;"Adjustment",IFERROR(INDEX(coa_Pay,MATCH(K1851&amp;"",coa_Name,0)),"")&lt;&gt;"Yes"),"Paid From / Deposited To is not a payment account","")))))))))))</f>
        <v/>
      </c>
      <c r="Z1851" s="67">
        <f>IF(AND(T1851=0,X1851=""),1,0)</f>
        <v/>
      </c>
      <c r="AA1851" s="68">
        <f>IF(Z1851=1,IF(U1851="In",L1851,L1851-W1851),0)</f>
        <v/>
      </c>
      <c r="AB1851" s="68">
        <f>IF(Z1851=1,IF(U1851="In",L1851-W1851,L1851),0)</f>
        <v/>
      </c>
      <c r="AC1851" s="68">
        <f>IF(AND(Z1851=1,U1851="Out"),W1851,0)</f>
        <v/>
      </c>
      <c r="AD1851" s="68">
        <f>IF(AND(Z1851=1,U1851="In"),W1851,0)</f>
        <v/>
      </c>
    </row>
    <row r="1852">
      <c r="B1852" s="62" t="inlineStr">
        <is>
          <t>TX-1846</t>
        </is>
      </c>
      <c r="C1852" s="63" t="n"/>
      <c r="D1852" s="62" t="n"/>
      <c r="E1852" s="62" t="n"/>
      <c r="F1852" s="62" t="n"/>
      <c r="G1852" s="62" t="n"/>
      <c r="H1852" s="62" t="n"/>
      <c r="I1852" s="62" t="n"/>
      <c r="J1852" s="62" t="n"/>
      <c r="K1852" s="62" t="n"/>
      <c r="L1852" s="64" t="n"/>
      <c r="M1852" s="64" t="n"/>
      <c r="N1852" s="62" t="n"/>
      <c r="O1852" s="65">
        <f>IF(Z1852=1,L1852-W1852,"")</f>
        <v/>
      </c>
      <c r="P1852" s="66">
        <f>IF(V1852="","",IFERROR(INDEX(coa_Type,MATCH(V1852,coa_Name,0)),""))</f>
        <v/>
      </c>
      <c r="Q1852" s="66">
        <f>IF(Z1852=1,IF(U1852="In",K1852&amp;"",V1852),"")</f>
        <v/>
      </c>
      <c r="R1852" s="66">
        <f>IF(Z1852=1,IF(U1852="In",V1852,K1852&amp;""),"")</f>
        <v/>
      </c>
      <c r="S1852" s="66">
        <f>IF(X1852&lt;&gt;"","⛔ "&amp;X1852&amp;" — not posted",IF(Y1852&lt;&gt;"","⚠ "&amp;Y1852,IF(Z1852=1,"✓ OK","")))</f>
        <v/>
      </c>
      <c r="T1852" s="67">
        <f>IF(AND(C1852="",D1852="",E1852="",L1852="",K1852=""),1,0)</f>
        <v/>
      </c>
      <c r="U1852" s="67">
        <f>IFERROR(INDEX(tt_Dir,MATCH(D1852,tt_Type,0)),"")</f>
        <v/>
      </c>
      <c r="V1852" s="67">
        <f>IF(D1852="","",IFERROR(IF(INDEX(tt_Other,MATCH(D1852,tt_Type,0))="",E1852&amp;"",INDEX(tt_Other,MATCH(D1852,tt_Type,0))),""))</f>
        <v/>
      </c>
      <c r="W1852" s="68">
        <f>IF(OR(TaxOn&lt;&gt;"Yes",NOT(ISNUMBER(M1852))),0,IF(IFERROR(INDEX(tt_Tax,MATCH(D1852,tt_Type,0)),"No")="Yes",M1852,0))</f>
        <v/>
      </c>
      <c r="X1852" s="67">
        <f>IF(T1852=1,"",IF(C1852="","Missing transaction date",IF(NOT(ISNUMBER(C1852)),"Invalid date",IF(OR(C1852&lt;DATE(2000,1,1),C1852&gt;DATE(2099,12,31)),"Invalid date",IF(D1852="","Select a type",IF(U1852="","Unknown type: "&amp;D1852,IF(V1852="","Select an account (Category)",IF(ISNA(MATCH(V1852,coa_Name,0)),"Unknown account: "&amp;V1852,IF(K1852="","Select Paid From / Deposited To",IF(ISNA(MATCH(K1852,coa_Name,0)),"Unknown account: "&amp;K1852,IF(NOT(ISNUMBER(L1852)),"Enter an amount",IF(L1852=0,"Enter an amount",IF(ABS(W1852)&gt;ABS(L1852),"Tax is larger than the amount","")))))))))))))</f>
        <v/>
      </c>
      <c r="Y1852" s="67">
        <f>IF(OR(T1852=1,X1852&lt;&gt;""),"",IF(AND(B1852&lt;&gt;"",COUNTIF(tx_ID,B1852)&gt;1),"Duplicate transaction ID",IF(AND(L1852&lt;0,D1852&lt;&gt;"Adjustment"),"Negative amount — check this entry",IF(AND(D1852="Customer Payment",G1852=""),"Add the customer",IF(AND(D1852="Customer Payment",OR(J1852="",COUNTIF(ar_No,J1852&amp;"")=0)),"Invoice # in Reference not found on AR sheet",IF(AND(D1852="Bill Payment",H1852=""),"Add the vendor",IF(AND(D1852="Bill Payment",OR(J1852="",COUNTIFS(ap_No,J1852&amp;"",ap_Party,H1852&amp;"")=0)),"Bill # + vendor not found on AP sheet",IF(AND(ISNUMBER(M1852),N(M1852)&lt;&gt;0,W1852=0),"Tax ignored (tax tracking off, or not allowed for this type)",IF(V1852=K1852&amp;"","Same account on both sides",IF(AND(ISNUMBER(StartDate),C1852&lt;StartDate),"Date is before the accounting start date",IF(AND(D1852&lt;&gt;"Adjustment",IFERROR(INDEX(coa_Pay,MATCH(K1852&amp;"",coa_Name,0)),"")&lt;&gt;"Yes"),"Paid From / Deposited To is not a payment account","")))))))))))</f>
        <v/>
      </c>
      <c r="Z1852" s="67">
        <f>IF(AND(T1852=0,X1852=""),1,0)</f>
        <v/>
      </c>
      <c r="AA1852" s="68">
        <f>IF(Z1852=1,IF(U1852="In",L1852,L1852-W1852),0)</f>
        <v/>
      </c>
      <c r="AB1852" s="68">
        <f>IF(Z1852=1,IF(U1852="In",L1852-W1852,L1852),0)</f>
        <v/>
      </c>
      <c r="AC1852" s="68">
        <f>IF(AND(Z1852=1,U1852="Out"),W1852,0)</f>
        <v/>
      </c>
      <c r="AD1852" s="68">
        <f>IF(AND(Z1852=1,U1852="In"),W1852,0)</f>
        <v/>
      </c>
    </row>
    <row r="1853">
      <c r="B1853" s="62" t="inlineStr">
        <is>
          <t>TX-1847</t>
        </is>
      </c>
      <c r="C1853" s="63" t="n"/>
      <c r="D1853" s="62" t="n"/>
      <c r="E1853" s="62" t="n"/>
      <c r="F1853" s="62" t="n"/>
      <c r="G1853" s="62" t="n"/>
      <c r="H1853" s="62" t="n"/>
      <c r="I1853" s="62" t="n"/>
      <c r="J1853" s="62" t="n"/>
      <c r="K1853" s="62" t="n"/>
      <c r="L1853" s="64" t="n"/>
      <c r="M1853" s="64" t="n"/>
      <c r="N1853" s="62" t="n"/>
      <c r="O1853" s="65">
        <f>IF(Z1853=1,L1853-W1853,"")</f>
        <v/>
      </c>
      <c r="P1853" s="66">
        <f>IF(V1853="","",IFERROR(INDEX(coa_Type,MATCH(V1853,coa_Name,0)),""))</f>
        <v/>
      </c>
      <c r="Q1853" s="66">
        <f>IF(Z1853=1,IF(U1853="In",K1853&amp;"",V1853),"")</f>
        <v/>
      </c>
      <c r="R1853" s="66">
        <f>IF(Z1853=1,IF(U1853="In",V1853,K1853&amp;""),"")</f>
        <v/>
      </c>
      <c r="S1853" s="66">
        <f>IF(X1853&lt;&gt;"","⛔ "&amp;X1853&amp;" — not posted",IF(Y1853&lt;&gt;"","⚠ "&amp;Y1853,IF(Z1853=1,"✓ OK","")))</f>
        <v/>
      </c>
      <c r="T1853" s="67">
        <f>IF(AND(C1853="",D1853="",E1853="",L1853="",K1853=""),1,0)</f>
        <v/>
      </c>
      <c r="U1853" s="67">
        <f>IFERROR(INDEX(tt_Dir,MATCH(D1853,tt_Type,0)),"")</f>
        <v/>
      </c>
      <c r="V1853" s="67">
        <f>IF(D1853="","",IFERROR(IF(INDEX(tt_Other,MATCH(D1853,tt_Type,0))="",E1853&amp;"",INDEX(tt_Other,MATCH(D1853,tt_Type,0))),""))</f>
        <v/>
      </c>
      <c r="W1853" s="68">
        <f>IF(OR(TaxOn&lt;&gt;"Yes",NOT(ISNUMBER(M1853))),0,IF(IFERROR(INDEX(tt_Tax,MATCH(D1853,tt_Type,0)),"No")="Yes",M1853,0))</f>
        <v/>
      </c>
      <c r="X1853" s="67">
        <f>IF(T1853=1,"",IF(C1853="","Missing transaction date",IF(NOT(ISNUMBER(C1853)),"Invalid date",IF(OR(C1853&lt;DATE(2000,1,1),C1853&gt;DATE(2099,12,31)),"Invalid date",IF(D1853="","Select a type",IF(U1853="","Unknown type: "&amp;D1853,IF(V1853="","Select an account (Category)",IF(ISNA(MATCH(V1853,coa_Name,0)),"Unknown account: "&amp;V1853,IF(K1853="","Select Paid From / Deposited To",IF(ISNA(MATCH(K1853,coa_Name,0)),"Unknown account: "&amp;K1853,IF(NOT(ISNUMBER(L1853)),"Enter an amount",IF(L1853=0,"Enter an amount",IF(ABS(W1853)&gt;ABS(L1853),"Tax is larger than the amount","")))))))))))))</f>
        <v/>
      </c>
      <c r="Y1853" s="67">
        <f>IF(OR(T1853=1,X1853&lt;&gt;""),"",IF(AND(B1853&lt;&gt;"",COUNTIF(tx_ID,B1853)&gt;1),"Duplicate transaction ID",IF(AND(L1853&lt;0,D1853&lt;&gt;"Adjustment"),"Negative amount — check this entry",IF(AND(D1853="Customer Payment",G1853=""),"Add the customer",IF(AND(D1853="Customer Payment",OR(J1853="",COUNTIF(ar_No,J1853&amp;"")=0)),"Invoice # in Reference not found on AR sheet",IF(AND(D1853="Bill Payment",H1853=""),"Add the vendor",IF(AND(D1853="Bill Payment",OR(J1853="",COUNTIFS(ap_No,J1853&amp;"",ap_Party,H1853&amp;"")=0)),"Bill # + vendor not found on AP sheet",IF(AND(ISNUMBER(M1853),N(M1853)&lt;&gt;0,W1853=0),"Tax ignored (tax tracking off, or not allowed for this type)",IF(V1853=K1853&amp;"","Same account on both sides",IF(AND(ISNUMBER(StartDate),C1853&lt;StartDate),"Date is before the accounting start date",IF(AND(D1853&lt;&gt;"Adjustment",IFERROR(INDEX(coa_Pay,MATCH(K1853&amp;"",coa_Name,0)),"")&lt;&gt;"Yes"),"Paid From / Deposited To is not a payment account","")))))))))))</f>
        <v/>
      </c>
      <c r="Z1853" s="67">
        <f>IF(AND(T1853=0,X1853=""),1,0)</f>
        <v/>
      </c>
      <c r="AA1853" s="68">
        <f>IF(Z1853=1,IF(U1853="In",L1853,L1853-W1853),0)</f>
        <v/>
      </c>
      <c r="AB1853" s="68">
        <f>IF(Z1853=1,IF(U1853="In",L1853-W1853,L1853),0)</f>
        <v/>
      </c>
      <c r="AC1853" s="68">
        <f>IF(AND(Z1853=1,U1853="Out"),W1853,0)</f>
        <v/>
      </c>
      <c r="AD1853" s="68">
        <f>IF(AND(Z1853=1,U1853="In"),W1853,0)</f>
        <v/>
      </c>
    </row>
    <row r="1854">
      <c r="B1854" s="62" t="inlineStr">
        <is>
          <t>TX-1848</t>
        </is>
      </c>
      <c r="C1854" s="63" t="n"/>
      <c r="D1854" s="62" t="n"/>
      <c r="E1854" s="62" t="n"/>
      <c r="F1854" s="62" t="n"/>
      <c r="G1854" s="62" t="n"/>
      <c r="H1854" s="62" t="n"/>
      <c r="I1854" s="62" t="n"/>
      <c r="J1854" s="62" t="n"/>
      <c r="K1854" s="62" t="n"/>
      <c r="L1854" s="64" t="n"/>
      <c r="M1854" s="64" t="n"/>
      <c r="N1854" s="62" t="n"/>
      <c r="O1854" s="65">
        <f>IF(Z1854=1,L1854-W1854,"")</f>
        <v/>
      </c>
      <c r="P1854" s="66">
        <f>IF(V1854="","",IFERROR(INDEX(coa_Type,MATCH(V1854,coa_Name,0)),""))</f>
        <v/>
      </c>
      <c r="Q1854" s="66">
        <f>IF(Z1854=1,IF(U1854="In",K1854&amp;"",V1854),"")</f>
        <v/>
      </c>
      <c r="R1854" s="66">
        <f>IF(Z1854=1,IF(U1854="In",V1854,K1854&amp;""),"")</f>
        <v/>
      </c>
      <c r="S1854" s="66">
        <f>IF(X1854&lt;&gt;"","⛔ "&amp;X1854&amp;" — not posted",IF(Y1854&lt;&gt;"","⚠ "&amp;Y1854,IF(Z1854=1,"✓ OK","")))</f>
        <v/>
      </c>
      <c r="T1854" s="67">
        <f>IF(AND(C1854="",D1854="",E1854="",L1854="",K1854=""),1,0)</f>
        <v/>
      </c>
      <c r="U1854" s="67">
        <f>IFERROR(INDEX(tt_Dir,MATCH(D1854,tt_Type,0)),"")</f>
        <v/>
      </c>
      <c r="V1854" s="67">
        <f>IF(D1854="","",IFERROR(IF(INDEX(tt_Other,MATCH(D1854,tt_Type,0))="",E1854&amp;"",INDEX(tt_Other,MATCH(D1854,tt_Type,0))),""))</f>
        <v/>
      </c>
      <c r="W1854" s="68">
        <f>IF(OR(TaxOn&lt;&gt;"Yes",NOT(ISNUMBER(M1854))),0,IF(IFERROR(INDEX(tt_Tax,MATCH(D1854,tt_Type,0)),"No")="Yes",M1854,0))</f>
        <v/>
      </c>
      <c r="X1854" s="67">
        <f>IF(T1854=1,"",IF(C1854="","Missing transaction date",IF(NOT(ISNUMBER(C1854)),"Invalid date",IF(OR(C1854&lt;DATE(2000,1,1),C1854&gt;DATE(2099,12,31)),"Invalid date",IF(D1854="","Select a type",IF(U1854="","Unknown type: "&amp;D1854,IF(V1854="","Select an account (Category)",IF(ISNA(MATCH(V1854,coa_Name,0)),"Unknown account: "&amp;V1854,IF(K1854="","Select Paid From / Deposited To",IF(ISNA(MATCH(K1854,coa_Name,0)),"Unknown account: "&amp;K1854,IF(NOT(ISNUMBER(L1854)),"Enter an amount",IF(L1854=0,"Enter an amount",IF(ABS(W1854)&gt;ABS(L1854),"Tax is larger than the amount","")))))))))))))</f>
        <v/>
      </c>
      <c r="Y1854" s="67">
        <f>IF(OR(T1854=1,X1854&lt;&gt;""),"",IF(AND(B1854&lt;&gt;"",COUNTIF(tx_ID,B1854)&gt;1),"Duplicate transaction ID",IF(AND(L1854&lt;0,D1854&lt;&gt;"Adjustment"),"Negative amount — check this entry",IF(AND(D1854="Customer Payment",G1854=""),"Add the customer",IF(AND(D1854="Customer Payment",OR(J1854="",COUNTIF(ar_No,J1854&amp;"")=0)),"Invoice # in Reference not found on AR sheet",IF(AND(D1854="Bill Payment",H1854=""),"Add the vendor",IF(AND(D1854="Bill Payment",OR(J1854="",COUNTIFS(ap_No,J1854&amp;"",ap_Party,H1854&amp;"")=0)),"Bill # + vendor not found on AP sheet",IF(AND(ISNUMBER(M1854),N(M1854)&lt;&gt;0,W1854=0),"Tax ignored (tax tracking off, or not allowed for this type)",IF(V1854=K1854&amp;"","Same account on both sides",IF(AND(ISNUMBER(StartDate),C1854&lt;StartDate),"Date is before the accounting start date",IF(AND(D1854&lt;&gt;"Adjustment",IFERROR(INDEX(coa_Pay,MATCH(K1854&amp;"",coa_Name,0)),"")&lt;&gt;"Yes"),"Paid From / Deposited To is not a payment account","")))))))))))</f>
        <v/>
      </c>
      <c r="Z1854" s="67">
        <f>IF(AND(T1854=0,X1854=""),1,0)</f>
        <v/>
      </c>
      <c r="AA1854" s="68">
        <f>IF(Z1854=1,IF(U1854="In",L1854,L1854-W1854),0)</f>
        <v/>
      </c>
      <c r="AB1854" s="68">
        <f>IF(Z1854=1,IF(U1854="In",L1854-W1854,L1854),0)</f>
        <v/>
      </c>
      <c r="AC1854" s="68">
        <f>IF(AND(Z1854=1,U1854="Out"),W1854,0)</f>
        <v/>
      </c>
      <c r="AD1854" s="68">
        <f>IF(AND(Z1854=1,U1854="In"),W1854,0)</f>
        <v/>
      </c>
    </row>
    <row r="1855">
      <c r="B1855" s="62" t="inlineStr">
        <is>
          <t>TX-1849</t>
        </is>
      </c>
      <c r="C1855" s="63" t="n"/>
      <c r="D1855" s="62" t="n"/>
      <c r="E1855" s="62" t="n"/>
      <c r="F1855" s="62" t="n"/>
      <c r="G1855" s="62" t="n"/>
      <c r="H1855" s="62" t="n"/>
      <c r="I1855" s="62" t="n"/>
      <c r="J1855" s="62" t="n"/>
      <c r="K1855" s="62" t="n"/>
      <c r="L1855" s="64" t="n"/>
      <c r="M1855" s="64" t="n"/>
      <c r="N1855" s="62" t="n"/>
      <c r="O1855" s="65">
        <f>IF(Z1855=1,L1855-W1855,"")</f>
        <v/>
      </c>
      <c r="P1855" s="66">
        <f>IF(V1855="","",IFERROR(INDEX(coa_Type,MATCH(V1855,coa_Name,0)),""))</f>
        <v/>
      </c>
      <c r="Q1855" s="66">
        <f>IF(Z1855=1,IF(U1855="In",K1855&amp;"",V1855),"")</f>
        <v/>
      </c>
      <c r="R1855" s="66">
        <f>IF(Z1855=1,IF(U1855="In",V1855,K1855&amp;""),"")</f>
        <v/>
      </c>
      <c r="S1855" s="66">
        <f>IF(X1855&lt;&gt;"","⛔ "&amp;X1855&amp;" — not posted",IF(Y1855&lt;&gt;"","⚠ "&amp;Y1855,IF(Z1855=1,"✓ OK","")))</f>
        <v/>
      </c>
      <c r="T1855" s="67">
        <f>IF(AND(C1855="",D1855="",E1855="",L1855="",K1855=""),1,0)</f>
        <v/>
      </c>
      <c r="U1855" s="67">
        <f>IFERROR(INDEX(tt_Dir,MATCH(D1855,tt_Type,0)),"")</f>
        <v/>
      </c>
      <c r="V1855" s="67">
        <f>IF(D1855="","",IFERROR(IF(INDEX(tt_Other,MATCH(D1855,tt_Type,0))="",E1855&amp;"",INDEX(tt_Other,MATCH(D1855,tt_Type,0))),""))</f>
        <v/>
      </c>
      <c r="W1855" s="68">
        <f>IF(OR(TaxOn&lt;&gt;"Yes",NOT(ISNUMBER(M1855))),0,IF(IFERROR(INDEX(tt_Tax,MATCH(D1855,tt_Type,0)),"No")="Yes",M1855,0))</f>
        <v/>
      </c>
      <c r="X1855" s="67">
        <f>IF(T1855=1,"",IF(C1855="","Missing transaction date",IF(NOT(ISNUMBER(C1855)),"Invalid date",IF(OR(C1855&lt;DATE(2000,1,1),C1855&gt;DATE(2099,12,31)),"Invalid date",IF(D1855="","Select a type",IF(U1855="","Unknown type: "&amp;D1855,IF(V1855="","Select an account (Category)",IF(ISNA(MATCH(V1855,coa_Name,0)),"Unknown account: "&amp;V1855,IF(K1855="","Select Paid From / Deposited To",IF(ISNA(MATCH(K1855,coa_Name,0)),"Unknown account: "&amp;K1855,IF(NOT(ISNUMBER(L1855)),"Enter an amount",IF(L1855=0,"Enter an amount",IF(ABS(W1855)&gt;ABS(L1855),"Tax is larger than the amount","")))))))))))))</f>
        <v/>
      </c>
      <c r="Y1855" s="67">
        <f>IF(OR(T1855=1,X1855&lt;&gt;""),"",IF(AND(B1855&lt;&gt;"",COUNTIF(tx_ID,B1855)&gt;1),"Duplicate transaction ID",IF(AND(L1855&lt;0,D1855&lt;&gt;"Adjustment"),"Negative amount — check this entry",IF(AND(D1855="Customer Payment",G1855=""),"Add the customer",IF(AND(D1855="Customer Payment",OR(J1855="",COUNTIF(ar_No,J1855&amp;"")=0)),"Invoice # in Reference not found on AR sheet",IF(AND(D1855="Bill Payment",H1855=""),"Add the vendor",IF(AND(D1855="Bill Payment",OR(J1855="",COUNTIFS(ap_No,J1855&amp;"",ap_Party,H1855&amp;"")=0)),"Bill # + vendor not found on AP sheet",IF(AND(ISNUMBER(M1855),N(M1855)&lt;&gt;0,W1855=0),"Tax ignored (tax tracking off, or not allowed for this type)",IF(V1855=K1855&amp;"","Same account on both sides",IF(AND(ISNUMBER(StartDate),C1855&lt;StartDate),"Date is before the accounting start date",IF(AND(D1855&lt;&gt;"Adjustment",IFERROR(INDEX(coa_Pay,MATCH(K1855&amp;"",coa_Name,0)),"")&lt;&gt;"Yes"),"Paid From / Deposited To is not a payment account","")))))))))))</f>
        <v/>
      </c>
      <c r="Z1855" s="67">
        <f>IF(AND(T1855=0,X1855=""),1,0)</f>
        <v/>
      </c>
      <c r="AA1855" s="68">
        <f>IF(Z1855=1,IF(U1855="In",L1855,L1855-W1855),0)</f>
        <v/>
      </c>
      <c r="AB1855" s="68">
        <f>IF(Z1855=1,IF(U1855="In",L1855-W1855,L1855),0)</f>
        <v/>
      </c>
      <c r="AC1855" s="68">
        <f>IF(AND(Z1855=1,U1855="Out"),W1855,0)</f>
        <v/>
      </c>
      <c r="AD1855" s="68">
        <f>IF(AND(Z1855=1,U1855="In"),W1855,0)</f>
        <v/>
      </c>
    </row>
    <row r="1856">
      <c r="B1856" s="62" t="inlineStr">
        <is>
          <t>TX-1850</t>
        </is>
      </c>
      <c r="C1856" s="63" t="n"/>
      <c r="D1856" s="62" t="n"/>
      <c r="E1856" s="62" t="n"/>
      <c r="F1856" s="62" t="n"/>
      <c r="G1856" s="62" t="n"/>
      <c r="H1856" s="62" t="n"/>
      <c r="I1856" s="62" t="n"/>
      <c r="J1856" s="62" t="n"/>
      <c r="K1856" s="62" t="n"/>
      <c r="L1856" s="64" t="n"/>
      <c r="M1856" s="64" t="n"/>
      <c r="N1856" s="62" t="n"/>
      <c r="O1856" s="65">
        <f>IF(Z1856=1,L1856-W1856,"")</f>
        <v/>
      </c>
      <c r="P1856" s="66">
        <f>IF(V1856="","",IFERROR(INDEX(coa_Type,MATCH(V1856,coa_Name,0)),""))</f>
        <v/>
      </c>
      <c r="Q1856" s="66">
        <f>IF(Z1856=1,IF(U1856="In",K1856&amp;"",V1856),"")</f>
        <v/>
      </c>
      <c r="R1856" s="66">
        <f>IF(Z1856=1,IF(U1856="In",V1856,K1856&amp;""),"")</f>
        <v/>
      </c>
      <c r="S1856" s="66">
        <f>IF(X1856&lt;&gt;"","⛔ "&amp;X1856&amp;" — not posted",IF(Y1856&lt;&gt;"","⚠ "&amp;Y1856,IF(Z1856=1,"✓ OK","")))</f>
        <v/>
      </c>
      <c r="T1856" s="67">
        <f>IF(AND(C1856="",D1856="",E1856="",L1856="",K1856=""),1,0)</f>
        <v/>
      </c>
      <c r="U1856" s="67">
        <f>IFERROR(INDEX(tt_Dir,MATCH(D1856,tt_Type,0)),"")</f>
        <v/>
      </c>
      <c r="V1856" s="67">
        <f>IF(D1856="","",IFERROR(IF(INDEX(tt_Other,MATCH(D1856,tt_Type,0))="",E1856&amp;"",INDEX(tt_Other,MATCH(D1856,tt_Type,0))),""))</f>
        <v/>
      </c>
      <c r="W1856" s="68">
        <f>IF(OR(TaxOn&lt;&gt;"Yes",NOT(ISNUMBER(M1856))),0,IF(IFERROR(INDEX(tt_Tax,MATCH(D1856,tt_Type,0)),"No")="Yes",M1856,0))</f>
        <v/>
      </c>
      <c r="X1856" s="67">
        <f>IF(T1856=1,"",IF(C1856="","Missing transaction date",IF(NOT(ISNUMBER(C1856)),"Invalid date",IF(OR(C1856&lt;DATE(2000,1,1),C1856&gt;DATE(2099,12,31)),"Invalid date",IF(D1856="","Select a type",IF(U1856="","Unknown type: "&amp;D1856,IF(V1856="","Select an account (Category)",IF(ISNA(MATCH(V1856,coa_Name,0)),"Unknown account: "&amp;V1856,IF(K1856="","Select Paid From / Deposited To",IF(ISNA(MATCH(K1856,coa_Name,0)),"Unknown account: "&amp;K1856,IF(NOT(ISNUMBER(L1856)),"Enter an amount",IF(L1856=0,"Enter an amount",IF(ABS(W1856)&gt;ABS(L1856),"Tax is larger than the amount","")))))))))))))</f>
        <v/>
      </c>
      <c r="Y1856" s="67">
        <f>IF(OR(T1856=1,X1856&lt;&gt;""),"",IF(AND(B1856&lt;&gt;"",COUNTIF(tx_ID,B1856)&gt;1),"Duplicate transaction ID",IF(AND(L1856&lt;0,D1856&lt;&gt;"Adjustment"),"Negative amount — check this entry",IF(AND(D1856="Customer Payment",G1856=""),"Add the customer",IF(AND(D1856="Customer Payment",OR(J1856="",COUNTIF(ar_No,J1856&amp;"")=0)),"Invoice # in Reference not found on AR sheet",IF(AND(D1856="Bill Payment",H1856=""),"Add the vendor",IF(AND(D1856="Bill Payment",OR(J1856="",COUNTIFS(ap_No,J1856&amp;"",ap_Party,H1856&amp;"")=0)),"Bill # + vendor not found on AP sheet",IF(AND(ISNUMBER(M1856),N(M1856)&lt;&gt;0,W1856=0),"Tax ignored (tax tracking off, or not allowed for this type)",IF(V1856=K1856&amp;"","Same account on both sides",IF(AND(ISNUMBER(StartDate),C1856&lt;StartDate),"Date is before the accounting start date",IF(AND(D1856&lt;&gt;"Adjustment",IFERROR(INDEX(coa_Pay,MATCH(K1856&amp;"",coa_Name,0)),"")&lt;&gt;"Yes"),"Paid From / Deposited To is not a payment account","")))))))))))</f>
        <v/>
      </c>
      <c r="Z1856" s="67">
        <f>IF(AND(T1856=0,X1856=""),1,0)</f>
        <v/>
      </c>
      <c r="AA1856" s="68">
        <f>IF(Z1856=1,IF(U1856="In",L1856,L1856-W1856),0)</f>
        <v/>
      </c>
      <c r="AB1856" s="68">
        <f>IF(Z1856=1,IF(U1856="In",L1856-W1856,L1856),0)</f>
        <v/>
      </c>
      <c r="AC1856" s="68">
        <f>IF(AND(Z1856=1,U1856="Out"),W1856,0)</f>
        <v/>
      </c>
      <c r="AD1856" s="68">
        <f>IF(AND(Z1856=1,U1856="In"),W1856,0)</f>
        <v/>
      </c>
    </row>
    <row r="1857">
      <c r="B1857" s="62" t="inlineStr">
        <is>
          <t>TX-1851</t>
        </is>
      </c>
      <c r="C1857" s="63" t="n"/>
      <c r="D1857" s="62" t="n"/>
      <c r="E1857" s="62" t="n"/>
      <c r="F1857" s="62" t="n"/>
      <c r="G1857" s="62" t="n"/>
      <c r="H1857" s="62" t="n"/>
      <c r="I1857" s="62" t="n"/>
      <c r="J1857" s="62" t="n"/>
      <c r="K1857" s="62" t="n"/>
      <c r="L1857" s="64" t="n"/>
      <c r="M1857" s="64" t="n"/>
      <c r="N1857" s="62" t="n"/>
      <c r="O1857" s="65">
        <f>IF(Z1857=1,L1857-W1857,"")</f>
        <v/>
      </c>
      <c r="P1857" s="66">
        <f>IF(V1857="","",IFERROR(INDEX(coa_Type,MATCH(V1857,coa_Name,0)),""))</f>
        <v/>
      </c>
      <c r="Q1857" s="66">
        <f>IF(Z1857=1,IF(U1857="In",K1857&amp;"",V1857),"")</f>
        <v/>
      </c>
      <c r="R1857" s="66">
        <f>IF(Z1857=1,IF(U1857="In",V1857,K1857&amp;""),"")</f>
        <v/>
      </c>
      <c r="S1857" s="66">
        <f>IF(X1857&lt;&gt;"","⛔ "&amp;X1857&amp;" — not posted",IF(Y1857&lt;&gt;"","⚠ "&amp;Y1857,IF(Z1857=1,"✓ OK","")))</f>
        <v/>
      </c>
      <c r="T1857" s="67">
        <f>IF(AND(C1857="",D1857="",E1857="",L1857="",K1857=""),1,0)</f>
        <v/>
      </c>
      <c r="U1857" s="67">
        <f>IFERROR(INDEX(tt_Dir,MATCH(D1857,tt_Type,0)),"")</f>
        <v/>
      </c>
      <c r="V1857" s="67">
        <f>IF(D1857="","",IFERROR(IF(INDEX(tt_Other,MATCH(D1857,tt_Type,0))="",E1857&amp;"",INDEX(tt_Other,MATCH(D1857,tt_Type,0))),""))</f>
        <v/>
      </c>
      <c r="W1857" s="68">
        <f>IF(OR(TaxOn&lt;&gt;"Yes",NOT(ISNUMBER(M1857))),0,IF(IFERROR(INDEX(tt_Tax,MATCH(D1857,tt_Type,0)),"No")="Yes",M1857,0))</f>
        <v/>
      </c>
      <c r="X1857" s="67">
        <f>IF(T1857=1,"",IF(C1857="","Missing transaction date",IF(NOT(ISNUMBER(C1857)),"Invalid date",IF(OR(C1857&lt;DATE(2000,1,1),C1857&gt;DATE(2099,12,31)),"Invalid date",IF(D1857="","Select a type",IF(U1857="","Unknown type: "&amp;D1857,IF(V1857="","Select an account (Category)",IF(ISNA(MATCH(V1857,coa_Name,0)),"Unknown account: "&amp;V1857,IF(K1857="","Select Paid From / Deposited To",IF(ISNA(MATCH(K1857,coa_Name,0)),"Unknown account: "&amp;K1857,IF(NOT(ISNUMBER(L1857)),"Enter an amount",IF(L1857=0,"Enter an amount",IF(ABS(W1857)&gt;ABS(L1857),"Tax is larger than the amount","")))))))))))))</f>
        <v/>
      </c>
      <c r="Y1857" s="67">
        <f>IF(OR(T1857=1,X1857&lt;&gt;""),"",IF(AND(B1857&lt;&gt;"",COUNTIF(tx_ID,B1857)&gt;1),"Duplicate transaction ID",IF(AND(L1857&lt;0,D1857&lt;&gt;"Adjustment"),"Negative amount — check this entry",IF(AND(D1857="Customer Payment",G1857=""),"Add the customer",IF(AND(D1857="Customer Payment",OR(J1857="",COUNTIF(ar_No,J1857&amp;"")=0)),"Invoice # in Reference not found on AR sheet",IF(AND(D1857="Bill Payment",H1857=""),"Add the vendor",IF(AND(D1857="Bill Payment",OR(J1857="",COUNTIFS(ap_No,J1857&amp;"",ap_Party,H1857&amp;"")=0)),"Bill # + vendor not found on AP sheet",IF(AND(ISNUMBER(M1857),N(M1857)&lt;&gt;0,W1857=0),"Tax ignored (tax tracking off, or not allowed for this type)",IF(V1857=K1857&amp;"","Same account on both sides",IF(AND(ISNUMBER(StartDate),C1857&lt;StartDate),"Date is before the accounting start date",IF(AND(D1857&lt;&gt;"Adjustment",IFERROR(INDEX(coa_Pay,MATCH(K1857&amp;"",coa_Name,0)),"")&lt;&gt;"Yes"),"Paid From / Deposited To is not a payment account","")))))))))))</f>
        <v/>
      </c>
      <c r="Z1857" s="67">
        <f>IF(AND(T1857=0,X1857=""),1,0)</f>
        <v/>
      </c>
      <c r="AA1857" s="68">
        <f>IF(Z1857=1,IF(U1857="In",L1857,L1857-W1857),0)</f>
        <v/>
      </c>
      <c r="AB1857" s="68">
        <f>IF(Z1857=1,IF(U1857="In",L1857-W1857,L1857),0)</f>
        <v/>
      </c>
      <c r="AC1857" s="68">
        <f>IF(AND(Z1857=1,U1857="Out"),W1857,0)</f>
        <v/>
      </c>
      <c r="AD1857" s="68">
        <f>IF(AND(Z1857=1,U1857="In"),W1857,0)</f>
        <v/>
      </c>
    </row>
    <row r="1858">
      <c r="B1858" s="62" t="inlineStr">
        <is>
          <t>TX-1852</t>
        </is>
      </c>
      <c r="C1858" s="63" t="n"/>
      <c r="D1858" s="62" t="n"/>
      <c r="E1858" s="62" t="n"/>
      <c r="F1858" s="62" t="n"/>
      <c r="G1858" s="62" t="n"/>
      <c r="H1858" s="62" t="n"/>
      <c r="I1858" s="62" t="n"/>
      <c r="J1858" s="62" t="n"/>
      <c r="K1858" s="62" t="n"/>
      <c r="L1858" s="64" t="n"/>
      <c r="M1858" s="64" t="n"/>
      <c r="N1858" s="62" t="n"/>
      <c r="O1858" s="65">
        <f>IF(Z1858=1,L1858-W1858,"")</f>
        <v/>
      </c>
      <c r="P1858" s="66">
        <f>IF(V1858="","",IFERROR(INDEX(coa_Type,MATCH(V1858,coa_Name,0)),""))</f>
        <v/>
      </c>
      <c r="Q1858" s="66">
        <f>IF(Z1858=1,IF(U1858="In",K1858&amp;"",V1858),"")</f>
        <v/>
      </c>
      <c r="R1858" s="66">
        <f>IF(Z1858=1,IF(U1858="In",V1858,K1858&amp;""),"")</f>
        <v/>
      </c>
      <c r="S1858" s="66">
        <f>IF(X1858&lt;&gt;"","⛔ "&amp;X1858&amp;" — not posted",IF(Y1858&lt;&gt;"","⚠ "&amp;Y1858,IF(Z1858=1,"✓ OK","")))</f>
        <v/>
      </c>
      <c r="T1858" s="67">
        <f>IF(AND(C1858="",D1858="",E1858="",L1858="",K1858=""),1,0)</f>
        <v/>
      </c>
      <c r="U1858" s="67">
        <f>IFERROR(INDEX(tt_Dir,MATCH(D1858,tt_Type,0)),"")</f>
        <v/>
      </c>
      <c r="V1858" s="67">
        <f>IF(D1858="","",IFERROR(IF(INDEX(tt_Other,MATCH(D1858,tt_Type,0))="",E1858&amp;"",INDEX(tt_Other,MATCH(D1858,tt_Type,0))),""))</f>
        <v/>
      </c>
      <c r="W1858" s="68">
        <f>IF(OR(TaxOn&lt;&gt;"Yes",NOT(ISNUMBER(M1858))),0,IF(IFERROR(INDEX(tt_Tax,MATCH(D1858,tt_Type,0)),"No")="Yes",M1858,0))</f>
        <v/>
      </c>
      <c r="X1858" s="67">
        <f>IF(T1858=1,"",IF(C1858="","Missing transaction date",IF(NOT(ISNUMBER(C1858)),"Invalid date",IF(OR(C1858&lt;DATE(2000,1,1),C1858&gt;DATE(2099,12,31)),"Invalid date",IF(D1858="","Select a type",IF(U1858="","Unknown type: "&amp;D1858,IF(V1858="","Select an account (Category)",IF(ISNA(MATCH(V1858,coa_Name,0)),"Unknown account: "&amp;V1858,IF(K1858="","Select Paid From / Deposited To",IF(ISNA(MATCH(K1858,coa_Name,0)),"Unknown account: "&amp;K1858,IF(NOT(ISNUMBER(L1858)),"Enter an amount",IF(L1858=0,"Enter an amount",IF(ABS(W1858)&gt;ABS(L1858),"Tax is larger than the amount","")))))))))))))</f>
        <v/>
      </c>
      <c r="Y1858" s="67">
        <f>IF(OR(T1858=1,X1858&lt;&gt;""),"",IF(AND(B1858&lt;&gt;"",COUNTIF(tx_ID,B1858)&gt;1),"Duplicate transaction ID",IF(AND(L1858&lt;0,D1858&lt;&gt;"Adjustment"),"Negative amount — check this entry",IF(AND(D1858="Customer Payment",G1858=""),"Add the customer",IF(AND(D1858="Customer Payment",OR(J1858="",COUNTIF(ar_No,J1858&amp;"")=0)),"Invoice # in Reference not found on AR sheet",IF(AND(D1858="Bill Payment",H1858=""),"Add the vendor",IF(AND(D1858="Bill Payment",OR(J1858="",COUNTIFS(ap_No,J1858&amp;"",ap_Party,H1858&amp;"")=0)),"Bill # + vendor not found on AP sheet",IF(AND(ISNUMBER(M1858),N(M1858)&lt;&gt;0,W1858=0),"Tax ignored (tax tracking off, or not allowed for this type)",IF(V1858=K1858&amp;"","Same account on both sides",IF(AND(ISNUMBER(StartDate),C1858&lt;StartDate),"Date is before the accounting start date",IF(AND(D1858&lt;&gt;"Adjustment",IFERROR(INDEX(coa_Pay,MATCH(K1858&amp;"",coa_Name,0)),"")&lt;&gt;"Yes"),"Paid From / Deposited To is not a payment account","")))))))))))</f>
        <v/>
      </c>
      <c r="Z1858" s="67">
        <f>IF(AND(T1858=0,X1858=""),1,0)</f>
        <v/>
      </c>
      <c r="AA1858" s="68">
        <f>IF(Z1858=1,IF(U1858="In",L1858,L1858-W1858),0)</f>
        <v/>
      </c>
      <c r="AB1858" s="68">
        <f>IF(Z1858=1,IF(U1858="In",L1858-W1858,L1858),0)</f>
        <v/>
      </c>
      <c r="AC1858" s="68">
        <f>IF(AND(Z1858=1,U1858="Out"),W1858,0)</f>
        <v/>
      </c>
      <c r="AD1858" s="68">
        <f>IF(AND(Z1858=1,U1858="In"),W1858,0)</f>
        <v/>
      </c>
    </row>
    <row r="1859">
      <c r="B1859" s="62" t="inlineStr">
        <is>
          <t>TX-1853</t>
        </is>
      </c>
      <c r="C1859" s="63" t="n"/>
      <c r="D1859" s="62" t="n"/>
      <c r="E1859" s="62" t="n"/>
      <c r="F1859" s="62" t="n"/>
      <c r="G1859" s="62" t="n"/>
      <c r="H1859" s="62" t="n"/>
      <c r="I1859" s="62" t="n"/>
      <c r="J1859" s="62" t="n"/>
      <c r="K1859" s="62" t="n"/>
      <c r="L1859" s="64" t="n"/>
      <c r="M1859" s="64" t="n"/>
      <c r="N1859" s="62" t="n"/>
      <c r="O1859" s="65">
        <f>IF(Z1859=1,L1859-W1859,"")</f>
        <v/>
      </c>
      <c r="P1859" s="66">
        <f>IF(V1859="","",IFERROR(INDEX(coa_Type,MATCH(V1859,coa_Name,0)),""))</f>
        <v/>
      </c>
      <c r="Q1859" s="66">
        <f>IF(Z1859=1,IF(U1859="In",K1859&amp;"",V1859),"")</f>
        <v/>
      </c>
      <c r="R1859" s="66">
        <f>IF(Z1859=1,IF(U1859="In",V1859,K1859&amp;""),"")</f>
        <v/>
      </c>
      <c r="S1859" s="66">
        <f>IF(X1859&lt;&gt;"","⛔ "&amp;X1859&amp;" — not posted",IF(Y1859&lt;&gt;"","⚠ "&amp;Y1859,IF(Z1859=1,"✓ OK","")))</f>
        <v/>
      </c>
      <c r="T1859" s="67">
        <f>IF(AND(C1859="",D1859="",E1859="",L1859="",K1859=""),1,0)</f>
        <v/>
      </c>
      <c r="U1859" s="67">
        <f>IFERROR(INDEX(tt_Dir,MATCH(D1859,tt_Type,0)),"")</f>
        <v/>
      </c>
      <c r="V1859" s="67">
        <f>IF(D1859="","",IFERROR(IF(INDEX(tt_Other,MATCH(D1859,tt_Type,0))="",E1859&amp;"",INDEX(tt_Other,MATCH(D1859,tt_Type,0))),""))</f>
        <v/>
      </c>
      <c r="W1859" s="68">
        <f>IF(OR(TaxOn&lt;&gt;"Yes",NOT(ISNUMBER(M1859))),0,IF(IFERROR(INDEX(tt_Tax,MATCH(D1859,tt_Type,0)),"No")="Yes",M1859,0))</f>
        <v/>
      </c>
      <c r="X1859" s="67">
        <f>IF(T1859=1,"",IF(C1859="","Missing transaction date",IF(NOT(ISNUMBER(C1859)),"Invalid date",IF(OR(C1859&lt;DATE(2000,1,1),C1859&gt;DATE(2099,12,31)),"Invalid date",IF(D1859="","Select a type",IF(U1859="","Unknown type: "&amp;D1859,IF(V1859="","Select an account (Category)",IF(ISNA(MATCH(V1859,coa_Name,0)),"Unknown account: "&amp;V1859,IF(K1859="","Select Paid From / Deposited To",IF(ISNA(MATCH(K1859,coa_Name,0)),"Unknown account: "&amp;K1859,IF(NOT(ISNUMBER(L1859)),"Enter an amount",IF(L1859=0,"Enter an amount",IF(ABS(W1859)&gt;ABS(L1859),"Tax is larger than the amount","")))))))))))))</f>
        <v/>
      </c>
      <c r="Y1859" s="67">
        <f>IF(OR(T1859=1,X1859&lt;&gt;""),"",IF(AND(B1859&lt;&gt;"",COUNTIF(tx_ID,B1859)&gt;1),"Duplicate transaction ID",IF(AND(L1859&lt;0,D1859&lt;&gt;"Adjustment"),"Negative amount — check this entry",IF(AND(D1859="Customer Payment",G1859=""),"Add the customer",IF(AND(D1859="Customer Payment",OR(J1859="",COUNTIF(ar_No,J1859&amp;"")=0)),"Invoice # in Reference not found on AR sheet",IF(AND(D1859="Bill Payment",H1859=""),"Add the vendor",IF(AND(D1859="Bill Payment",OR(J1859="",COUNTIFS(ap_No,J1859&amp;"",ap_Party,H1859&amp;"")=0)),"Bill # + vendor not found on AP sheet",IF(AND(ISNUMBER(M1859),N(M1859)&lt;&gt;0,W1859=0),"Tax ignored (tax tracking off, or not allowed for this type)",IF(V1859=K1859&amp;"","Same account on both sides",IF(AND(ISNUMBER(StartDate),C1859&lt;StartDate),"Date is before the accounting start date",IF(AND(D1859&lt;&gt;"Adjustment",IFERROR(INDEX(coa_Pay,MATCH(K1859&amp;"",coa_Name,0)),"")&lt;&gt;"Yes"),"Paid From / Deposited To is not a payment account","")))))))))))</f>
        <v/>
      </c>
      <c r="Z1859" s="67">
        <f>IF(AND(T1859=0,X1859=""),1,0)</f>
        <v/>
      </c>
      <c r="AA1859" s="68">
        <f>IF(Z1859=1,IF(U1859="In",L1859,L1859-W1859),0)</f>
        <v/>
      </c>
      <c r="AB1859" s="68">
        <f>IF(Z1859=1,IF(U1859="In",L1859-W1859,L1859),0)</f>
        <v/>
      </c>
      <c r="AC1859" s="68">
        <f>IF(AND(Z1859=1,U1859="Out"),W1859,0)</f>
        <v/>
      </c>
      <c r="AD1859" s="68">
        <f>IF(AND(Z1859=1,U1859="In"),W1859,0)</f>
        <v/>
      </c>
    </row>
    <row r="1860">
      <c r="B1860" s="62" t="inlineStr">
        <is>
          <t>TX-1854</t>
        </is>
      </c>
      <c r="C1860" s="63" t="n"/>
      <c r="D1860" s="62" t="n"/>
      <c r="E1860" s="62" t="n"/>
      <c r="F1860" s="62" t="n"/>
      <c r="G1860" s="62" t="n"/>
      <c r="H1860" s="62" t="n"/>
      <c r="I1860" s="62" t="n"/>
      <c r="J1860" s="62" t="n"/>
      <c r="K1860" s="62" t="n"/>
      <c r="L1860" s="64" t="n"/>
      <c r="M1860" s="64" t="n"/>
      <c r="N1860" s="62" t="n"/>
      <c r="O1860" s="65">
        <f>IF(Z1860=1,L1860-W1860,"")</f>
        <v/>
      </c>
      <c r="P1860" s="66">
        <f>IF(V1860="","",IFERROR(INDEX(coa_Type,MATCH(V1860,coa_Name,0)),""))</f>
        <v/>
      </c>
      <c r="Q1860" s="66">
        <f>IF(Z1860=1,IF(U1860="In",K1860&amp;"",V1860),"")</f>
        <v/>
      </c>
      <c r="R1860" s="66">
        <f>IF(Z1860=1,IF(U1860="In",V1860,K1860&amp;""),"")</f>
        <v/>
      </c>
      <c r="S1860" s="66">
        <f>IF(X1860&lt;&gt;"","⛔ "&amp;X1860&amp;" — not posted",IF(Y1860&lt;&gt;"","⚠ "&amp;Y1860,IF(Z1860=1,"✓ OK","")))</f>
        <v/>
      </c>
      <c r="T1860" s="67">
        <f>IF(AND(C1860="",D1860="",E1860="",L1860="",K1860=""),1,0)</f>
        <v/>
      </c>
      <c r="U1860" s="67">
        <f>IFERROR(INDEX(tt_Dir,MATCH(D1860,tt_Type,0)),"")</f>
        <v/>
      </c>
      <c r="V1860" s="67">
        <f>IF(D1860="","",IFERROR(IF(INDEX(tt_Other,MATCH(D1860,tt_Type,0))="",E1860&amp;"",INDEX(tt_Other,MATCH(D1860,tt_Type,0))),""))</f>
        <v/>
      </c>
      <c r="W1860" s="68">
        <f>IF(OR(TaxOn&lt;&gt;"Yes",NOT(ISNUMBER(M1860))),0,IF(IFERROR(INDEX(tt_Tax,MATCH(D1860,tt_Type,0)),"No")="Yes",M1860,0))</f>
        <v/>
      </c>
      <c r="X1860" s="67">
        <f>IF(T1860=1,"",IF(C1860="","Missing transaction date",IF(NOT(ISNUMBER(C1860)),"Invalid date",IF(OR(C1860&lt;DATE(2000,1,1),C1860&gt;DATE(2099,12,31)),"Invalid date",IF(D1860="","Select a type",IF(U1860="","Unknown type: "&amp;D1860,IF(V1860="","Select an account (Category)",IF(ISNA(MATCH(V1860,coa_Name,0)),"Unknown account: "&amp;V1860,IF(K1860="","Select Paid From / Deposited To",IF(ISNA(MATCH(K1860,coa_Name,0)),"Unknown account: "&amp;K1860,IF(NOT(ISNUMBER(L1860)),"Enter an amount",IF(L1860=0,"Enter an amount",IF(ABS(W1860)&gt;ABS(L1860),"Tax is larger than the amount","")))))))))))))</f>
        <v/>
      </c>
      <c r="Y1860" s="67">
        <f>IF(OR(T1860=1,X1860&lt;&gt;""),"",IF(AND(B1860&lt;&gt;"",COUNTIF(tx_ID,B1860)&gt;1),"Duplicate transaction ID",IF(AND(L1860&lt;0,D1860&lt;&gt;"Adjustment"),"Negative amount — check this entry",IF(AND(D1860="Customer Payment",G1860=""),"Add the customer",IF(AND(D1860="Customer Payment",OR(J1860="",COUNTIF(ar_No,J1860&amp;"")=0)),"Invoice # in Reference not found on AR sheet",IF(AND(D1860="Bill Payment",H1860=""),"Add the vendor",IF(AND(D1860="Bill Payment",OR(J1860="",COUNTIFS(ap_No,J1860&amp;"",ap_Party,H1860&amp;"")=0)),"Bill # + vendor not found on AP sheet",IF(AND(ISNUMBER(M1860),N(M1860)&lt;&gt;0,W1860=0),"Tax ignored (tax tracking off, or not allowed for this type)",IF(V1860=K1860&amp;"","Same account on both sides",IF(AND(ISNUMBER(StartDate),C1860&lt;StartDate),"Date is before the accounting start date",IF(AND(D1860&lt;&gt;"Adjustment",IFERROR(INDEX(coa_Pay,MATCH(K1860&amp;"",coa_Name,0)),"")&lt;&gt;"Yes"),"Paid From / Deposited To is not a payment account","")))))))))))</f>
        <v/>
      </c>
      <c r="Z1860" s="67">
        <f>IF(AND(T1860=0,X1860=""),1,0)</f>
        <v/>
      </c>
      <c r="AA1860" s="68">
        <f>IF(Z1860=1,IF(U1860="In",L1860,L1860-W1860),0)</f>
        <v/>
      </c>
      <c r="AB1860" s="68">
        <f>IF(Z1860=1,IF(U1860="In",L1860-W1860,L1860),0)</f>
        <v/>
      </c>
      <c r="AC1860" s="68">
        <f>IF(AND(Z1860=1,U1860="Out"),W1860,0)</f>
        <v/>
      </c>
      <c r="AD1860" s="68">
        <f>IF(AND(Z1860=1,U1860="In"),W1860,0)</f>
        <v/>
      </c>
    </row>
    <row r="1861">
      <c r="B1861" s="62" t="inlineStr">
        <is>
          <t>TX-1855</t>
        </is>
      </c>
      <c r="C1861" s="63" t="n"/>
      <c r="D1861" s="62" t="n"/>
      <c r="E1861" s="62" t="n"/>
      <c r="F1861" s="62" t="n"/>
      <c r="G1861" s="62" t="n"/>
      <c r="H1861" s="62" t="n"/>
      <c r="I1861" s="62" t="n"/>
      <c r="J1861" s="62" t="n"/>
      <c r="K1861" s="62" t="n"/>
      <c r="L1861" s="64" t="n"/>
      <c r="M1861" s="64" t="n"/>
      <c r="N1861" s="62" t="n"/>
      <c r="O1861" s="65">
        <f>IF(Z1861=1,L1861-W1861,"")</f>
        <v/>
      </c>
      <c r="P1861" s="66">
        <f>IF(V1861="","",IFERROR(INDEX(coa_Type,MATCH(V1861,coa_Name,0)),""))</f>
        <v/>
      </c>
      <c r="Q1861" s="66">
        <f>IF(Z1861=1,IF(U1861="In",K1861&amp;"",V1861),"")</f>
        <v/>
      </c>
      <c r="R1861" s="66">
        <f>IF(Z1861=1,IF(U1861="In",V1861,K1861&amp;""),"")</f>
        <v/>
      </c>
      <c r="S1861" s="66">
        <f>IF(X1861&lt;&gt;"","⛔ "&amp;X1861&amp;" — not posted",IF(Y1861&lt;&gt;"","⚠ "&amp;Y1861,IF(Z1861=1,"✓ OK","")))</f>
        <v/>
      </c>
      <c r="T1861" s="67">
        <f>IF(AND(C1861="",D1861="",E1861="",L1861="",K1861=""),1,0)</f>
        <v/>
      </c>
      <c r="U1861" s="67">
        <f>IFERROR(INDEX(tt_Dir,MATCH(D1861,tt_Type,0)),"")</f>
        <v/>
      </c>
      <c r="V1861" s="67">
        <f>IF(D1861="","",IFERROR(IF(INDEX(tt_Other,MATCH(D1861,tt_Type,0))="",E1861&amp;"",INDEX(tt_Other,MATCH(D1861,tt_Type,0))),""))</f>
        <v/>
      </c>
      <c r="W1861" s="68">
        <f>IF(OR(TaxOn&lt;&gt;"Yes",NOT(ISNUMBER(M1861))),0,IF(IFERROR(INDEX(tt_Tax,MATCH(D1861,tt_Type,0)),"No")="Yes",M1861,0))</f>
        <v/>
      </c>
      <c r="X1861" s="67">
        <f>IF(T1861=1,"",IF(C1861="","Missing transaction date",IF(NOT(ISNUMBER(C1861)),"Invalid date",IF(OR(C1861&lt;DATE(2000,1,1),C1861&gt;DATE(2099,12,31)),"Invalid date",IF(D1861="","Select a type",IF(U1861="","Unknown type: "&amp;D1861,IF(V1861="","Select an account (Category)",IF(ISNA(MATCH(V1861,coa_Name,0)),"Unknown account: "&amp;V1861,IF(K1861="","Select Paid From / Deposited To",IF(ISNA(MATCH(K1861,coa_Name,0)),"Unknown account: "&amp;K1861,IF(NOT(ISNUMBER(L1861)),"Enter an amount",IF(L1861=0,"Enter an amount",IF(ABS(W1861)&gt;ABS(L1861),"Tax is larger than the amount","")))))))))))))</f>
        <v/>
      </c>
      <c r="Y1861" s="67">
        <f>IF(OR(T1861=1,X1861&lt;&gt;""),"",IF(AND(B1861&lt;&gt;"",COUNTIF(tx_ID,B1861)&gt;1),"Duplicate transaction ID",IF(AND(L1861&lt;0,D1861&lt;&gt;"Adjustment"),"Negative amount — check this entry",IF(AND(D1861="Customer Payment",G1861=""),"Add the customer",IF(AND(D1861="Customer Payment",OR(J1861="",COUNTIF(ar_No,J1861&amp;"")=0)),"Invoice # in Reference not found on AR sheet",IF(AND(D1861="Bill Payment",H1861=""),"Add the vendor",IF(AND(D1861="Bill Payment",OR(J1861="",COUNTIFS(ap_No,J1861&amp;"",ap_Party,H1861&amp;"")=0)),"Bill # + vendor not found on AP sheet",IF(AND(ISNUMBER(M1861),N(M1861)&lt;&gt;0,W1861=0),"Tax ignored (tax tracking off, or not allowed for this type)",IF(V1861=K1861&amp;"","Same account on both sides",IF(AND(ISNUMBER(StartDate),C1861&lt;StartDate),"Date is before the accounting start date",IF(AND(D1861&lt;&gt;"Adjustment",IFERROR(INDEX(coa_Pay,MATCH(K1861&amp;"",coa_Name,0)),"")&lt;&gt;"Yes"),"Paid From / Deposited To is not a payment account","")))))))))))</f>
        <v/>
      </c>
      <c r="Z1861" s="67">
        <f>IF(AND(T1861=0,X1861=""),1,0)</f>
        <v/>
      </c>
      <c r="AA1861" s="68">
        <f>IF(Z1861=1,IF(U1861="In",L1861,L1861-W1861),0)</f>
        <v/>
      </c>
      <c r="AB1861" s="68">
        <f>IF(Z1861=1,IF(U1861="In",L1861-W1861,L1861),0)</f>
        <v/>
      </c>
      <c r="AC1861" s="68">
        <f>IF(AND(Z1861=1,U1861="Out"),W1861,0)</f>
        <v/>
      </c>
      <c r="AD1861" s="68">
        <f>IF(AND(Z1861=1,U1861="In"),W1861,0)</f>
        <v/>
      </c>
    </row>
    <row r="1862">
      <c r="B1862" s="62" t="inlineStr">
        <is>
          <t>TX-1856</t>
        </is>
      </c>
      <c r="C1862" s="63" t="n"/>
      <c r="D1862" s="62" t="n"/>
      <c r="E1862" s="62" t="n"/>
      <c r="F1862" s="62" t="n"/>
      <c r="G1862" s="62" t="n"/>
      <c r="H1862" s="62" t="n"/>
      <c r="I1862" s="62" t="n"/>
      <c r="J1862" s="62" t="n"/>
      <c r="K1862" s="62" t="n"/>
      <c r="L1862" s="64" t="n"/>
      <c r="M1862" s="64" t="n"/>
      <c r="N1862" s="62" t="n"/>
      <c r="O1862" s="65">
        <f>IF(Z1862=1,L1862-W1862,"")</f>
        <v/>
      </c>
      <c r="P1862" s="66">
        <f>IF(V1862="","",IFERROR(INDEX(coa_Type,MATCH(V1862,coa_Name,0)),""))</f>
        <v/>
      </c>
      <c r="Q1862" s="66">
        <f>IF(Z1862=1,IF(U1862="In",K1862&amp;"",V1862),"")</f>
        <v/>
      </c>
      <c r="R1862" s="66">
        <f>IF(Z1862=1,IF(U1862="In",V1862,K1862&amp;""),"")</f>
        <v/>
      </c>
      <c r="S1862" s="66">
        <f>IF(X1862&lt;&gt;"","⛔ "&amp;X1862&amp;" — not posted",IF(Y1862&lt;&gt;"","⚠ "&amp;Y1862,IF(Z1862=1,"✓ OK","")))</f>
        <v/>
      </c>
      <c r="T1862" s="67">
        <f>IF(AND(C1862="",D1862="",E1862="",L1862="",K1862=""),1,0)</f>
        <v/>
      </c>
      <c r="U1862" s="67">
        <f>IFERROR(INDEX(tt_Dir,MATCH(D1862,tt_Type,0)),"")</f>
        <v/>
      </c>
      <c r="V1862" s="67">
        <f>IF(D1862="","",IFERROR(IF(INDEX(tt_Other,MATCH(D1862,tt_Type,0))="",E1862&amp;"",INDEX(tt_Other,MATCH(D1862,tt_Type,0))),""))</f>
        <v/>
      </c>
      <c r="W1862" s="68">
        <f>IF(OR(TaxOn&lt;&gt;"Yes",NOT(ISNUMBER(M1862))),0,IF(IFERROR(INDEX(tt_Tax,MATCH(D1862,tt_Type,0)),"No")="Yes",M1862,0))</f>
        <v/>
      </c>
      <c r="X1862" s="67">
        <f>IF(T1862=1,"",IF(C1862="","Missing transaction date",IF(NOT(ISNUMBER(C1862)),"Invalid date",IF(OR(C1862&lt;DATE(2000,1,1),C1862&gt;DATE(2099,12,31)),"Invalid date",IF(D1862="","Select a type",IF(U1862="","Unknown type: "&amp;D1862,IF(V1862="","Select an account (Category)",IF(ISNA(MATCH(V1862,coa_Name,0)),"Unknown account: "&amp;V1862,IF(K1862="","Select Paid From / Deposited To",IF(ISNA(MATCH(K1862,coa_Name,0)),"Unknown account: "&amp;K1862,IF(NOT(ISNUMBER(L1862)),"Enter an amount",IF(L1862=0,"Enter an amount",IF(ABS(W1862)&gt;ABS(L1862),"Tax is larger than the amount","")))))))))))))</f>
        <v/>
      </c>
      <c r="Y1862" s="67">
        <f>IF(OR(T1862=1,X1862&lt;&gt;""),"",IF(AND(B1862&lt;&gt;"",COUNTIF(tx_ID,B1862)&gt;1),"Duplicate transaction ID",IF(AND(L1862&lt;0,D1862&lt;&gt;"Adjustment"),"Negative amount — check this entry",IF(AND(D1862="Customer Payment",G1862=""),"Add the customer",IF(AND(D1862="Customer Payment",OR(J1862="",COUNTIF(ar_No,J1862&amp;"")=0)),"Invoice # in Reference not found on AR sheet",IF(AND(D1862="Bill Payment",H1862=""),"Add the vendor",IF(AND(D1862="Bill Payment",OR(J1862="",COUNTIFS(ap_No,J1862&amp;"",ap_Party,H1862&amp;"")=0)),"Bill # + vendor not found on AP sheet",IF(AND(ISNUMBER(M1862),N(M1862)&lt;&gt;0,W1862=0),"Tax ignored (tax tracking off, or not allowed for this type)",IF(V1862=K1862&amp;"","Same account on both sides",IF(AND(ISNUMBER(StartDate),C1862&lt;StartDate),"Date is before the accounting start date",IF(AND(D1862&lt;&gt;"Adjustment",IFERROR(INDEX(coa_Pay,MATCH(K1862&amp;"",coa_Name,0)),"")&lt;&gt;"Yes"),"Paid From / Deposited To is not a payment account","")))))))))))</f>
        <v/>
      </c>
      <c r="Z1862" s="67">
        <f>IF(AND(T1862=0,X1862=""),1,0)</f>
        <v/>
      </c>
      <c r="AA1862" s="68">
        <f>IF(Z1862=1,IF(U1862="In",L1862,L1862-W1862),0)</f>
        <v/>
      </c>
      <c r="AB1862" s="68">
        <f>IF(Z1862=1,IF(U1862="In",L1862-W1862,L1862),0)</f>
        <v/>
      </c>
      <c r="AC1862" s="68">
        <f>IF(AND(Z1862=1,U1862="Out"),W1862,0)</f>
        <v/>
      </c>
      <c r="AD1862" s="68">
        <f>IF(AND(Z1862=1,U1862="In"),W1862,0)</f>
        <v/>
      </c>
    </row>
    <row r="1863">
      <c r="B1863" s="62" t="inlineStr">
        <is>
          <t>TX-1857</t>
        </is>
      </c>
      <c r="C1863" s="63" t="n"/>
      <c r="D1863" s="62" t="n"/>
      <c r="E1863" s="62" t="n"/>
      <c r="F1863" s="62" t="n"/>
      <c r="G1863" s="62" t="n"/>
      <c r="H1863" s="62" t="n"/>
      <c r="I1863" s="62" t="n"/>
      <c r="J1863" s="62" t="n"/>
      <c r="K1863" s="62" t="n"/>
      <c r="L1863" s="64" t="n"/>
      <c r="M1863" s="64" t="n"/>
      <c r="N1863" s="62" t="n"/>
      <c r="O1863" s="65">
        <f>IF(Z1863=1,L1863-W1863,"")</f>
        <v/>
      </c>
      <c r="P1863" s="66">
        <f>IF(V1863="","",IFERROR(INDEX(coa_Type,MATCH(V1863,coa_Name,0)),""))</f>
        <v/>
      </c>
      <c r="Q1863" s="66">
        <f>IF(Z1863=1,IF(U1863="In",K1863&amp;"",V1863),"")</f>
        <v/>
      </c>
      <c r="R1863" s="66">
        <f>IF(Z1863=1,IF(U1863="In",V1863,K1863&amp;""),"")</f>
        <v/>
      </c>
      <c r="S1863" s="66">
        <f>IF(X1863&lt;&gt;"","⛔ "&amp;X1863&amp;" — not posted",IF(Y1863&lt;&gt;"","⚠ "&amp;Y1863,IF(Z1863=1,"✓ OK","")))</f>
        <v/>
      </c>
      <c r="T1863" s="67">
        <f>IF(AND(C1863="",D1863="",E1863="",L1863="",K1863=""),1,0)</f>
        <v/>
      </c>
      <c r="U1863" s="67">
        <f>IFERROR(INDEX(tt_Dir,MATCH(D1863,tt_Type,0)),"")</f>
        <v/>
      </c>
      <c r="V1863" s="67">
        <f>IF(D1863="","",IFERROR(IF(INDEX(tt_Other,MATCH(D1863,tt_Type,0))="",E1863&amp;"",INDEX(tt_Other,MATCH(D1863,tt_Type,0))),""))</f>
        <v/>
      </c>
      <c r="W1863" s="68">
        <f>IF(OR(TaxOn&lt;&gt;"Yes",NOT(ISNUMBER(M1863))),0,IF(IFERROR(INDEX(tt_Tax,MATCH(D1863,tt_Type,0)),"No")="Yes",M1863,0))</f>
        <v/>
      </c>
      <c r="X1863" s="67">
        <f>IF(T1863=1,"",IF(C1863="","Missing transaction date",IF(NOT(ISNUMBER(C1863)),"Invalid date",IF(OR(C1863&lt;DATE(2000,1,1),C1863&gt;DATE(2099,12,31)),"Invalid date",IF(D1863="","Select a type",IF(U1863="","Unknown type: "&amp;D1863,IF(V1863="","Select an account (Category)",IF(ISNA(MATCH(V1863,coa_Name,0)),"Unknown account: "&amp;V1863,IF(K1863="","Select Paid From / Deposited To",IF(ISNA(MATCH(K1863,coa_Name,0)),"Unknown account: "&amp;K1863,IF(NOT(ISNUMBER(L1863)),"Enter an amount",IF(L1863=0,"Enter an amount",IF(ABS(W1863)&gt;ABS(L1863),"Tax is larger than the amount","")))))))))))))</f>
        <v/>
      </c>
      <c r="Y1863" s="67">
        <f>IF(OR(T1863=1,X1863&lt;&gt;""),"",IF(AND(B1863&lt;&gt;"",COUNTIF(tx_ID,B1863)&gt;1),"Duplicate transaction ID",IF(AND(L1863&lt;0,D1863&lt;&gt;"Adjustment"),"Negative amount — check this entry",IF(AND(D1863="Customer Payment",G1863=""),"Add the customer",IF(AND(D1863="Customer Payment",OR(J1863="",COUNTIF(ar_No,J1863&amp;"")=0)),"Invoice # in Reference not found on AR sheet",IF(AND(D1863="Bill Payment",H1863=""),"Add the vendor",IF(AND(D1863="Bill Payment",OR(J1863="",COUNTIFS(ap_No,J1863&amp;"",ap_Party,H1863&amp;"")=0)),"Bill # + vendor not found on AP sheet",IF(AND(ISNUMBER(M1863),N(M1863)&lt;&gt;0,W1863=0),"Tax ignored (tax tracking off, or not allowed for this type)",IF(V1863=K1863&amp;"","Same account on both sides",IF(AND(ISNUMBER(StartDate),C1863&lt;StartDate),"Date is before the accounting start date",IF(AND(D1863&lt;&gt;"Adjustment",IFERROR(INDEX(coa_Pay,MATCH(K1863&amp;"",coa_Name,0)),"")&lt;&gt;"Yes"),"Paid From / Deposited To is not a payment account","")))))))))))</f>
        <v/>
      </c>
      <c r="Z1863" s="67">
        <f>IF(AND(T1863=0,X1863=""),1,0)</f>
        <v/>
      </c>
      <c r="AA1863" s="68">
        <f>IF(Z1863=1,IF(U1863="In",L1863,L1863-W1863),0)</f>
        <v/>
      </c>
      <c r="AB1863" s="68">
        <f>IF(Z1863=1,IF(U1863="In",L1863-W1863,L1863),0)</f>
        <v/>
      </c>
      <c r="AC1863" s="68">
        <f>IF(AND(Z1863=1,U1863="Out"),W1863,0)</f>
        <v/>
      </c>
      <c r="AD1863" s="68">
        <f>IF(AND(Z1863=1,U1863="In"),W1863,0)</f>
        <v/>
      </c>
    </row>
    <row r="1864">
      <c r="B1864" s="62" t="inlineStr">
        <is>
          <t>TX-1858</t>
        </is>
      </c>
      <c r="C1864" s="63" t="n"/>
      <c r="D1864" s="62" t="n"/>
      <c r="E1864" s="62" t="n"/>
      <c r="F1864" s="62" t="n"/>
      <c r="G1864" s="62" t="n"/>
      <c r="H1864" s="62" t="n"/>
      <c r="I1864" s="62" t="n"/>
      <c r="J1864" s="62" t="n"/>
      <c r="K1864" s="62" t="n"/>
      <c r="L1864" s="64" t="n"/>
      <c r="M1864" s="64" t="n"/>
      <c r="N1864" s="62" t="n"/>
      <c r="O1864" s="65">
        <f>IF(Z1864=1,L1864-W1864,"")</f>
        <v/>
      </c>
      <c r="P1864" s="66">
        <f>IF(V1864="","",IFERROR(INDEX(coa_Type,MATCH(V1864,coa_Name,0)),""))</f>
        <v/>
      </c>
      <c r="Q1864" s="66">
        <f>IF(Z1864=1,IF(U1864="In",K1864&amp;"",V1864),"")</f>
        <v/>
      </c>
      <c r="R1864" s="66">
        <f>IF(Z1864=1,IF(U1864="In",V1864,K1864&amp;""),"")</f>
        <v/>
      </c>
      <c r="S1864" s="66">
        <f>IF(X1864&lt;&gt;"","⛔ "&amp;X1864&amp;" — not posted",IF(Y1864&lt;&gt;"","⚠ "&amp;Y1864,IF(Z1864=1,"✓ OK","")))</f>
        <v/>
      </c>
      <c r="T1864" s="67">
        <f>IF(AND(C1864="",D1864="",E1864="",L1864="",K1864=""),1,0)</f>
        <v/>
      </c>
      <c r="U1864" s="67">
        <f>IFERROR(INDEX(tt_Dir,MATCH(D1864,tt_Type,0)),"")</f>
        <v/>
      </c>
      <c r="V1864" s="67">
        <f>IF(D1864="","",IFERROR(IF(INDEX(tt_Other,MATCH(D1864,tt_Type,0))="",E1864&amp;"",INDEX(tt_Other,MATCH(D1864,tt_Type,0))),""))</f>
        <v/>
      </c>
      <c r="W1864" s="68">
        <f>IF(OR(TaxOn&lt;&gt;"Yes",NOT(ISNUMBER(M1864))),0,IF(IFERROR(INDEX(tt_Tax,MATCH(D1864,tt_Type,0)),"No")="Yes",M1864,0))</f>
        <v/>
      </c>
      <c r="X1864" s="67">
        <f>IF(T1864=1,"",IF(C1864="","Missing transaction date",IF(NOT(ISNUMBER(C1864)),"Invalid date",IF(OR(C1864&lt;DATE(2000,1,1),C1864&gt;DATE(2099,12,31)),"Invalid date",IF(D1864="","Select a type",IF(U1864="","Unknown type: "&amp;D1864,IF(V1864="","Select an account (Category)",IF(ISNA(MATCH(V1864,coa_Name,0)),"Unknown account: "&amp;V1864,IF(K1864="","Select Paid From / Deposited To",IF(ISNA(MATCH(K1864,coa_Name,0)),"Unknown account: "&amp;K1864,IF(NOT(ISNUMBER(L1864)),"Enter an amount",IF(L1864=0,"Enter an amount",IF(ABS(W1864)&gt;ABS(L1864),"Tax is larger than the amount","")))))))))))))</f>
        <v/>
      </c>
      <c r="Y1864" s="67">
        <f>IF(OR(T1864=1,X1864&lt;&gt;""),"",IF(AND(B1864&lt;&gt;"",COUNTIF(tx_ID,B1864)&gt;1),"Duplicate transaction ID",IF(AND(L1864&lt;0,D1864&lt;&gt;"Adjustment"),"Negative amount — check this entry",IF(AND(D1864="Customer Payment",G1864=""),"Add the customer",IF(AND(D1864="Customer Payment",OR(J1864="",COUNTIF(ar_No,J1864&amp;"")=0)),"Invoice # in Reference not found on AR sheet",IF(AND(D1864="Bill Payment",H1864=""),"Add the vendor",IF(AND(D1864="Bill Payment",OR(J1864="",COUNTIFS(ap_No,J1864&amp;"",ap_Party,H1864&amp;"")=0)),"Bill # + vendor not found on AP sheet",IF(AND(ISNUMBER(M1864),N(M1864)&lt;&gt;0,W1864=0),"Tax ignored (tax tracking off, or not allowed for this type)",IF(V1864=K1864&amp;"","Same account on both sides",IF(AND(ISNUMBER(StartDate),C1864&lt;StartDate),"Date is before the accounting start date",IF(AND(D1864&lt;&gt;"Adjustment",IFERROR(INDEX(coa_Pay,MATCH(K1864&amp;"",coa_Name,0)),"")&lt;&gt;"Yes"),"Paid From / Deposited To is not a payment account","")))))))))))</f>
        <v/>
      </c>
      <c r="Z1864" s="67">
        <f>IF(AND(T1864=0,X1864=""),1,0)</f>
        <v/>
      </c>
      <c r="AA1864" s="68">
        <f>IF(Z1864=1,IF(U1864="In",L1864,L1864-W1864),0)</f>
        <v/>
      </c>
      <c r="AB1864" s="68">
        <f>IF(Z1864=1,IF(U1864="In",L1864-W1864,L1864),0)</f>
        <v/>
      </c>
      <c r="AC1864" s="68">
        <f>IF(AND(Z1864=1,U1864="Out"),W1864,0)</f>
        <v/>
      </c>
      <c r="AD1864" s="68">
        <f>IF(AND(Z1864=1,U1864="In"),W1864,0)</f>
        <v/>
      </c>
    </row>
    <row r="1865">
      <c r="B1865" s="62" t="inlineStr">
        <is>
          <t>TX-1859</t>
        </is>
      </c>
      <c r="C1865" s="63" t="n"/>
      <c r="D1865" s="62" t="n"/>
      <c r="E1865" s="62" t="n"/>
      <c r="F1865" s="62" t="n"/>
      <c r="G1865" s="62" t="n"/>
      <c r="H1865" s="62" t="n"/>
      <c r="I1865" s="62" t="n"/>
      <c r="J1865" s="62" t="n"/>
      <c r="K1865" s="62" t="n"/>
      <c r="L1865" s="64" t="n"/>
      <c r="M1865" s="64" t="n"/>
      <c r="N1865" s="62" t="n"/>
      <c r="O1865" s="65">
        <f>IF(Z1865=1,L1865-W1865,"")</f>
        <v/>
      </c>
      <c r="P1865" s="66">
        <f>IF(V1865="","",IFERROR(INDEX(coa_Type,MATCH(V1865,coa_Name,0)),""))</f>
        <v/>
      </c>
      <c r="Q1865" s="66">
        <f>IF(Z1865=1,IF(U1865="In",K1865&amp;"",V1865),"")</f>
        <v/>
      </c>
      <c r="R1865" s="66">
        <f>IF(Z1865=1,IF(U1865="In",V1865,K1865&amp;""),"")</f>
        <v/>
      </c>
      <c r="S1865" s="66">
        <f>IF(X1865&lt;&gt;"","⛔ "&amp;X1865&amp;" — not posted",IF(Y1865&lt;&gt;"","⚠ "&amp;Y1865,IF(Z1865=1,"✓ OK","")))</f>
        <v/>
      </c>
      <c r="T1865" s="67">
        <f>IF(AND(C1865="",D1865="",E1865="",L1865="",K1865=""),1,0)</f>
        <v/>
      </c>
      <c r="U1865" s="67">
        <f>IFERROR(INDEX(tt_Dir,MATCH(D1865,tt_Type,0)),"")</f>
        <v/>
      </c>
      <c r="V1865" s="67">
        <f>IF(D1865="","",IFERROR(IF(INDEX(tt_Other,MATCH(D1865,tt_Type,0))="",E1865&amp;"",INDEX(tt_Other,MATCH(D1865,tt_Type,0))),""))</f>
        <v/>
      </c>
      <c r="W1865" s="68">
        <f>IF(OR(TaxOn&lt;&gt;"Yes",NOT(ISNUMBER(M1865))),0,IF(IFERROR(INDEX(tt_Tax,MATCH(D1865,tt_Type,0)),"No")="Yes",M1865,0))</f>
        <v/>
      </c>
      <c r="X1865" s="67">
        <f>IF(T1865=1,"",IF(C1865="","Missing transaction date",IF(NOT(ISNUMBER(C1865)),"Invalid date",IF(OR(C1865&lt;DATE(2000,1,1),C1865&gt;DATE(2099,12,31)),"Invalid date",IF(D1865="","Select a type",IF(U1865="","Unknown type: "&amp;D1865,IF(V1865="","Select an account (Category)",IF(ISNA(MATCH(V1865,coa_Name,0)),"Unknown account: "&amp;V1865,IF(K1865="","Select Paid From / Deposited To",IF(ISNA(MATCH(K1865,coa_Name,0)),"Unknown account: "&amp;K1865,IF(NOT(ISNUMBER(L1865)),"Enter an amount",IF(L1865=0,"Enter an amount",IF(ABS(W1865)&gt;ABS(L1865),"Tax is larger than the amount","")))))))))))))</f>
        <v/>
      </c>
      <c r="Y1865" s="67">
        <f>IF(OR(T1865=1,X1865&lt;&gt;""),"",IF(AND(B1865&lt;&gt;"",COUNTIF(tx_ID,B1865)&gt;1),"Duplicate transaction ID",IF(AND(L1865&lt;0,D1865&lt;&gt;"Adjustment"),"Negative amount — check this entry",IF(AND(D1865="Customer Payment",G1865=""),"Add the customer",IF(AND(D1865="Customer Payment",OR(J1865="",COUNTIF(ar_No,J1865&amp;"")=0)),"Invoice # in Reference not found on AR sheet",IF(AND(D1865="Bill Payment",H1865=""),"Add the vendor",IF(AND(D1865="Bill Payment",OR(J1865="",COUNTIFS(ap_No,J1865&amp;"",ap_Party,H1865&amp;"")=0)),"Bill # + vendor not found on AP sheet",IF(AND(ISNUMBER(M1865),N(M1865)&lt;&gt;0,W1865=0),"Tax ignored (tax tracking off, or not allowed for this type)",IF(V1865=K1865&amp;"","Same account on both sides",IF(AND(ISNUMBER(StartDate),C1865&lt;StartDate),"Date is before the accounting start date",IF(AND(D1865&lt;&gt;"Adjustment",IFERROR(INDEX(coa_Pay,MATCH(K1865&amp;"",coa_Name,0)),"")&lt;&gt;"Yes"),"Paid From / Deposited To is not a payment account","")))))))))))</f>
        <v/>
      </c>
      <c r="Z1865" s="67">
        <f>IF(AND(T1865=0,X1865=""),1,0)</f>
        <v/>
      </c>
      <c r="AA1865" s="68">
        <f>IF(Z1865=1,IF(U1865="In",L1865,L1865-W1865),0)</f>
        <v/>
      </c>
      <c r="AB1865" s="68">
        <f>IF(Z1865=1,IF(U1865="In",L1865-W1865,L1865),0)</f>
        <v/>
      </c>
      <c r="AC1865" s="68">
        <f>IF(AND(Z1865=1,U1865="Out"),W1865,0)</f>
        <v/>
      </c>
      <c r="AD1865" s="68">
        <f>IF(AND(Z1865=1,U1865="In"),W1865,0)</f>
        <v/>
      </c>
    </row>
    <row r="1866">
      <c r="B1866" s="62" t="inlineStr">
        <is>
          <t>TX-1860</t>
        </is>
      </c>
      <c r="C1866" s="63" t="n"/>
      <c r="D1866" s="62" t="n"/>
      <c r="E1866" s="62" t="n"/>
      <c r="F1866" s="62" t="n"/>
      <c r="G1866" s="62" t="n"/>
      <c r="H1866" s="62" t="n"/>
      <c r="I1866" s="62" t="n"/>
      <c r="J1866" s="62" t="n"/>
      <c r="K1866" s="62" t="n"/>
      <c r="L1866" s="64" t="n"/>
      <c r="M1866" s="64" t="n"/>
      <c r="N1866" s="62" t="n"/>
      <c r="O1866" s="65">
        <f>IF(Z1866=1,L1866-W1866,"")</f>
        <v/>
      </c>
      <c r="P1866" s="66">
        <f>IF(V1866="","",IFERROR(INDEX(coa_Type,MATCH(V1866,coa_Name,0)),""))</f>
        <v/>
      </c>
      <c r="Q1866" s="66">
        <f>IF(Z1866=1,IF(U1866="In",K1866&amp;"",V1866),"")</f>
        <v/>
      </c>
      <c r="R1866" s="66">
        <f>IF(Z1866=1,IF(U1866="In",V1866,K1866&amp;""),"")</f>
        <v/>
      </c>
      <c r="S1866" s="66">
        <f>IF(X1866&lt;&gt;"","⛔ "&amp;X1866&amp;" — not posted",IF(Y1866&lt;&gt;"","⚠ "&amp;Y1866,IF(Z1866=1,"✓ OK","")))</f>
        <v/>
      </c>
      <c r="T1866" s="67">
        <f>IF(AND(C1866="",D1866="",E1866="",L1866="",K1866=""),1,0)</f>
        <v/>
      </c>
      <c r="U1866" s="67">
        <f>IFERROR(INDEX(tt_Dir,MATCH(D1866,tt_Type,0)),"")</f>
        <v/>
      </c>
      <c r="V1866" s="67">
        <f>IF(D1866="","",IFERROR(IF(INDEX(tt_Other,MATCH(D1866,tt_Type,0))="",E1866&amp;"",INDEX(tt_Other,MATCH(D1866,tt_Type,0))),""))</f>
        <v/>
      </c>
      <c r="W1866" s="68">
        <f>IF(OR(TaxOn&lt;&gt;"Yes",NOT(ISNUMBER(M1866))),0,IF(IFERROR(INDEX(tt_Tax,MATCH(D1866,tt_Type,0)),"No")="Yes",M1866,0))</f>
        <v/>
      </c>
      <c r="X1866" s="67">
        <f>IF(T1866=1,"",IF(C1866="","Missing transaction date",IF(NOT(ISNUMBER(C1866)),"Invalid date",IF(OR(C1866&lt;DATE(2000,1,1),C1866&gt;DATE(2099,12,31)),"Invalid date",IF(D1866="","Select a type",IF(U1866="","Unknown type: "&amp;D1866,IF(V1866="","Select an account (Category)",IF(ISNA(MATCH(V1866,coa_Name,0)),"Unknown account: "&amp;V1866,IF(K1866="","Select Paid From / Deposited To",IF(ISNA(MATCH(K1866,coa_Name,0)),"Unknown account: "&amp;K1866,IF(NOT(ISNUMBER(L1866)),"Enter an amount",IF(L1866=0,"Enter an amount",IF(ABS(W1866)&gt;ABS(L1866),"Tax is larger than the amount","")))))))))))))</f>
        <v/>
      </c>
      <c r="Y1866" s="67">
        <f>IF(OR(T1866=1,X1866&lt;&gt;""),"",IF(AND(B1866&lt;&gt;"",COUNTIF(tx_ID,B1866)&gt;1),"Duplicate transaction ID",IF(AND(L1866&lt;0,D1866&lt;&gt;"Adjustment"),"Negative amount — check this entry",IF(AND(D1866="Customer Payment",G1866=""),"Add the customer",IF(AND(D1866="Customer Payment",OR(J1866="",COUNTIF(ar_No,J1866&amp;"")=0)),"Invoice # in Reference not found on AR sheet",IF(AND(D1866="Bill Payment",H1866=""),"Add the vendor",IF(AND(D1866="Bill Payment",OR(J1866="",COUNTIFS(ap_No,J1866&amp;"",ap_Party,H1866&amp;"")=0)),"Bill # + vendor not found on AP sheet",IF(AND(ISNUMBER(M1866),N(M1866)&lt;&gt;0,W1866=0),"Tax ignored (tax tracking off, or not allowed for this type)",IF(V1866=K1866&amp;"","Same account on both sides",IF(AND(ISNUMBER(StartDate),C1866&lt;StartDate),"Date is before the accounting start date",IF(AND(D1866&lt;&gt;"Adjustment",IFERROR(INDEX(coa_Pay,MATCH(K1866&amp;"",coa_Name,0)),"")&lt;&gt;"Yes"),"Paid From / Deposited To is not a payment account","")))))))))))</f>
        <v/>
      </c>
      <c r="Z1866" s="67">
        <f>IF(AND(T1866=0,X1866=""),1,0)</f>
        <v/>
      </c>
      <c r="AA1866" s="68">
        <f>IF(Z1866=1,IF(U1866="In",L1866,L1866-W1866),0)</f>
        <v/>
      </c>
      <c r="AB1866" s="68">
        <f>IF(Z1866=1,IF(U1866="In",L1866-W1866,L1866),0)</f>
        <v/>
      </c>
      <c r="AC1866" s="68">
        <f>IF(AND(Z1866=1,U1866="Out"),W1866,0)</f>
        <v/>
      </c>
      <c r="AD1866" s="68">
        <f>IF(AND(Z1866=1,U1866="In"),W1866,0)</f>
        <v/>
      </c>
    </row>
    <row r="1867">
      <c r="B1867" s="62" t="inlineStr">
        <is>
          <t>TX-1861</t>
        </is>
      </c>
      <c r="C1867" s="63" t="n"/>
      <c r="D1867" s="62" t="n"/>
      <c r="E1867" s="62" t="n"/>
      <c r="F1867" s="62" t="n"/>
      <c r="G1867" s="62" t="n"/>
      <c r="H1867" s="62" t="n"/>
      <c r="I1867" s="62" t="n"/>
      <c r="J1867" s="62" t="n"/>
      <c r="K1867" s="62" t="n"/>
      <c r="L1867" s="64" t="n"/>
      <c r="M1867" s="64" t="n"/>
      <c r="N1867" s="62" t="n"/>
      <c r="O1867" s="65">
        <f>IF(Z1867=1,L1867-W1867,"")</f>
        <v/>
      </c>
      <c r="P1867" s="66">
        <f>IF(V1867="","",IFERROR(INDEX(coa_Type,MATCH(V1867,coa_Name,0)),""))</f>
        <v/>
      </c>
      <c r="Q1867" s="66">
        <f>IF(Z1867=1,IF(U1867="In",K1867&amp;"",V1867),"")</f>
        <v/>
      </c>
      <c r="R1867" s="66">
        <f>IF(Z1867=1,IF(U1867="In",V1867,K1867&amp;""),"")</f>
        <v/>
      </c>
      <c r="S1867" s="66">
        <f>IF(X1867&lt;&gt;"","⛔ "&amp;X1867&amp;" — not posted",IF(Y1867&lt;&gt;"","⚠ "&amp;Y1867,IF(Z1867=1,"✓ OK","")))</f>
        <v/>
      </c>
      <c r="T1867" s="67">
        <f>IF(AND(C1867="",D1867="",E1867="",L1867="",K1867=""),1,0)</f>
        <v/>
      </c>
      <c r="U1867" s="67">
        <f>IFERROR(INDEX(tt_Dir,MATCH(D1867,tt_Type,0)),"")</f>
        <v/>
      </c>
      <c r="V1867" s="67">
        <f>IF(D1867="","",IFERROR(IF(INDEX(tt_Other,MATCH(D1867,tt_Type,0))="",E1867&amp;"",INDEX(tt_Other,MATCH(D1867,tt_Type,0))),""))</f>
        <v/>
      </c>
      <c r="W1867" s="68">
        <f>IF(OR(TaxOn&lt;&gt;"Yes",NOT(ISNUMBER(M1867))),0,IF(IFERROR(INDEX(tt_Tax,MATCH(D1867,tt_Type,0)),"No")="Yes",M1867,0))</f>
        <v/>
      </c>
      <c r="X1867" s="67">
        <f>IF(T1867=1,"",IF(C1867="","Missing transaction date",IF(NOT(ISNUMBER(C1867)),"Invalid date",IF(OR(C1867&lt;DATE(2000,1,1),C1867&gt;DATE(2099,12,31)),"Invalid date",IF(D1867="","Select a type",IF(U1867="","Unknown type: "&amp;D1867,IF(V1867="","Select an account (Category)",IF(ISNA(MATCH(V1867,coa_Name,0)),"Unknown account: "&amp;V1867,IF(K1867="","Select Paid From / Deposited To",IF(ISNA(MATCH(K1867,coa_Name,0)),"Unknown account: "&amp;K1867,IF(NOT(ISNUMBER(L1867)),"Enter an amount",IF(L1867=0,"Enter an amount",IF(ABS(W1867)&gt;ABS(L1867),"Tax is larger than the amount","")))))))))))))</f>
        <v/>
      </c>
      <c r="Y1867" s="67">
        <f>IF(OR(T1867=1,X1867&lt;&gt;""),"",IF(AND(B1867&lt;&gt;"",COUNTIF(tx_ID,B1867)&gt;1),"Duplicate transaction ID",IF(AND(L1867&lt;0,D1867&lt;&gt;"Adjustment"),"Negative amount — check this entry",IF(AND(D1867="Customer Payment",G1867=""),"Add the customer",IF(AND(D1867="Customer Payment",OR(J1867="",COUNTIF(ar_No,J1867&amp;"")=0)),"Invoice # in Reference not found on AR sheet",IF(AND(D1867="Bill Payment",H1867=""),"Add the vendor",IF(AND(D1867="Bill Payment",OR(J1867="",COUNTIFS(ap_No,J1867&amp;"",ap_Party,H1867&amp;"")=0)),"Bill # + vendor not found on AP sheet",IF(AND(ISNUMBER(M1867),N(M1867)&lt;&gt;0,W1867=0),"Tax ignored (tax tracking off, or not allowed for this type)",IF(V1867=K1867&amp;"","Same account on both sides",IF(AND(ISNUMBER(StartDate),C1867&lt;StartDate),"Date is before the accounting start date",IF(AND(D1867&lt;&gt;"Adjustment",IFERROR(INDEX(coa_Pay,MATCH(K1867&amp;"",coa_Name,0)),"")&lt;&gt;"Yes"),"Paid From / Deposited To is not a payment account","")))))))))))</f>
        <v/>
      </c>
      <c r="Z1867" s="67">
        <f>IF(AND(T1867=0,X1867=""),1,0)</f>
        <v/>
      </c>
      <c r="AA1867" s="68">
        <f>IF(Z1867=1,IF(U1867="In",L1867,L1867-W1867),0)</f>
        <v/>
      </c>
      <c r="AB1867" s="68">
        <f>IF(Z1867=1,IF(U1867="In",L1867-W1867,L1867),0)</f>
        <v/>
      </c>
      <c r="AC1867" s="68">
        <f>IF(AND(Z1867=1,U1867="Out"),W1867,0)</f>
        <v/>
      </c>
      <c r="AD1867" s="68">
        <f>IF(AND(Z1867=1,U1867="In"),W1867,0)</f>
        <v/>
      </c>
    </row>
    <row r="1868">
      <c r="B1868" s="62" t="inlineStr">
        <is>
          <t>TX-1862</t>
        </is>
      </c>
      <c r="C1868" s="63" t="n"/>
      <c r="D1868" s="62" t="n"/>
      <c r="E1868" s="62" t="n"/>
      <c r="F1868" s="62" t="n"/>
      <c r="G1868" s="62" t="n"/>
      <c r="H1868" s="62" t="n"/>
      <c r="I1868" s="62" t="n"/>
      <c r="J1868" s="62" t="n"/>
      <c r="K1868" s="62" t="n"/>
      <c r="L1868" s="64" t="n"/>
      <c r="M1868" s="64" t="n"/>
      <c r="N1868" s="62" t="n"/>
      <c r="O1868" s="65">
        <f>IF(Z1868=1,L1868-W1868,"")</f>
        <v/>
      </c>
      <c r="P1868" s="66">
        <f>IF(V1868="","",IFERROR(INDEX(coa_Type,MATCH(V1868,coa_Name,0)),""))</f>
        <v/>
      </c>
      <c r="Q1868" s="66">
        <f>IF(Z1868=1,IF(U1868="In",K1868&amp;"",V1868),"")</f>
        <v/>
      </c>
      <c r="R1868" s="66">
        <f>IF(Z1868=1,IF(U1868="In",V1868,K1868&amp;""),"")</f>
        <v/>
      </c>
      <c r="S1868" s="66">
        <f>IF(X1868&lt;&gt;"","⛔ "&amp;X1868&amp;" — not posted",IF(Y1868&lt;&gt;"","⚠ "&amp;Y1868,IF(Z1868=1,"✓ OK","")))</f>
        <v/>
      </c>
      <c r="T1868" s="67">
        <f>IF(AND(C1868="",D1868="",E1868="",L1868="",K1868=""),1,0)</f>
        <v/>
      </c>
      <c r="U1868" s="67">
        <f>IFERROR(INDEX(tt_Dir,MATCH(D1868,tt_Type,0)),"")</f>
        <v/>
      </c>
      <c r="V1868" s="67">
        <f>IF(D1868="","",IFERROR(IF(INDEX(tt_Other,MATCH(D1868,tt_Type,0))="",E1868&amp;"",INDEX(tt_Other,MATCH(D1868,tt_Type,0))),""))</f>
        <v/>
      </c>
      <c r="W1868" s="68">
        <f>IF(OR(TaxOn&lt;&gt;"Yes",NOT(ISNUMBER(M1868))),0,IF(IFERROR(INDEX(tt_Tax,MATCH(D1868,tt_Type,0)),"No")="Yes",M1868,0))</f>
        <v/>
      </c>
      <c r="X1868" s="67">
        <f>IF(T1868=1,"",IF(C1868="","Missing transaction date",IF(NOT(ISNUMBER(C1868)),"Invalid date",IF(OR(C1868&lt;DATE(2000,1,1),C1868&gt;DATE(2099,12,31)),"Invalid date",IF(D1868="","Select a type",IF(U1868="","Unknown type: "&amp;D1868,IF(V1868="","Select an account (Category)",IF(ISNA(MATCH(V1868,coa_Name,0)),"Unknown account: "&amp;V1868,IF(K1868="","Select Paid From / Deposited To",IF(ISNA(MATCH(K1868,coa_Name,0)),"Unknown account: "&amp;K1868,IF(NOT(ISNUMBER(L1868)),"Enter an amount",IF(L1868=0,"Enter an amount",IF(ABS(W1868)&gt;ABS(L1868),"Tax is larger than the amount","")))))))))))))</f>
        <v/>
      </c>
      <c r="Y1868" s="67">
        <f>IF(OR(T1868=1,X1868&lt;&gt;""),"",IF(AND(B1868&lt;&gt;"",COUNTIF(tx_ID,B1868)&gt;1),"Duplicate transaction ID",IF(AND(L1868&lt;0,D1868&lt;&gt;"Adjustment"),"Negative amount — check this entry",IF(AND(D1868="Customer Payment",G1868=""),"Add the customer",IF(AND(D1868="Customer Payment",OR(J1868="",COUNTIF(ar_No,J1868&amp;"")=0)),"Invoice # in Reference not found on AR sheet",IF(AND(D1868="Bill Payment",H1868=""),"Add the vendor",IF(AND(D1868="Bill Payment",OR(J1868="",COUNTIFS(ap_No,J1868&amp;"",ap_Party,H1868&amp;"")=0)),"Bill # + vendor not found on AP sheet",IF(AND(ISNUMBER(M1868),N(M1868)&lt;&gt;0,W1868=0),"Tax ignored (tax tracking off, or not allowed for this type)",IF(V1868=K1868&amp;"","Same account on both sides",IF(AND(ISNUMBER(StartDate),C1868&lt;StartDate),"Date is before the accounting start date",IF(AND(D1868&lt;&gt;"Adjustment",IFERROR(INDEX(coa_Pay,MATCH(K1868&amp;"",coa_Name,0)),"")&lt;&gt;"Yes"),"Paid From / Deposited To is not a payment account","")))))))))))</f>
        <v/>
      </c>
      <c r="Z1868" s="67">
        <f>IF(AND(T1868=0,X1868=""),1,0)</f>
        <v/>
      </c>
      <c r="AA1868" s="68">
        <f>IF(Z1868=1,IF(U1868="In",L1868,L1868-W1868),0)</f>
        <v/>
      </c>
      <c r="AB1868" s="68">
        <f>IF(Z1868=1,IF(U1868="In",L1868-W1868,L1868),0)</f>
        <v/>
      </c>
      <c r="AC1868" s="68">
        <f>IF(AND(Z1868=1,U1868="Out"),W1868,0)</f>
        <v/>
      </c>
      <c r="AD1868" s="68">
        <f>IF(AND(Z1868=1,U1868="In"),W1868,0)</f>
        <v/>
      </c>
    </row>
    <row r="1869">
      <c r="B1869" s="62" t="inlineStr">
        <is>
          <t>TX-1863</t>
        </is>
      </c>
      <c r="C1869" s="63" t="n"/>
      <c r="D1869" s="62" t="n"/>
      <c r="E1869" s="62" t="n"/>
      <c r="F1869" s="62" t="n"/>
      <c r="G1869" s="62" t="n"/>
      <c r="H1869" s="62" t="n"/>
      <c r="I1869" s="62" t="n"/>
      <c r="J1869" s="62" t="n"/>
      <c r="K1869" s="62" t="n"/>
      <c r="L1869" s="64" t="n"/>
      <c r="M1869" s="64" t="n"/>
      <c r="N1869" s="62" t="n"/>
      <c r="O1869" s="65">
        <f>IF(Z1869=1,L1869-W1869,"")</f>
        <v/>
      </c>
      <c r="P1869" s="66">
        <f>IF(V1869="","",IFERROR(INDEX(coa_Type,MATCH(V1869,coa_Name,0)),""))</f>
        <v/>
      </c>
      <c r="Q1869" s="66">
        <f>IF(Z1869=1,IF(U1869="In",K1869&amp;"",V1869),"")</f>
        <v/>
      </c>
      <c r="R1869" s="66">
        <f>IF(Z1869=1,IF(U1869="In",V1869,K1869&amp;""),"")</f>
        <v/>
      </c>
      <c r="S1869" s="66">
        <f>IF(X1869&lt;&gt;"","⛔ "&amp;X1869&amp;" — not posted",IF(Y1869&lt;&gt;"","⚠ "&amp;Y1869,IF(Z1869=1,"✓ OK","")))</f>
        <v/>
      </c>
      <c r="T1869" s="67">
        <f>IF(AND(C1869="",D1869="",E1869="",L1869="",K1869=""),1,0)</f>
        <v/>
      </c>
      <c r="U1869" s="67">
        <f>IFERROR(INDEX(tt_Dir,MATCH(D1869,tt_Type,0)),"")</f>
        <v/>
      </c>
      <c r="V1869" s="67">
        <f>IF(D1869="","",IFERROR(IF(INDEX(tt_Other,MATCH(D1869,tt_Type,0))="",E1869&amp;"",INDEX(tt_Other,MATCH(D1869,tt_Type,0))),""))</f>
        <v/>
      </c>
      <c r="W1869" s="68">
        <f>IF(OR(TaxOn&lt;&gt;"Yes",NOT(ISNUMBER(M1869))),0,IF(IFERROR(INDEX(tt_Tax,MATCH(D1869,tt_Type,0)),"No")="Yes",M1869,0))</f>
        <v/>
      </c>
      <c r="X1869" s="67">
        <f>IF(T1869=1,"",IF(C1869="","Missing transaction date",IF(NOT(ISNUMBER(C1869)),"Invalid date",IF(OR(C1869&lt;DATE(2000,1,1),C1869&gt;DATE(2099,12,31)),"Invalid date",IF(D1869="","Select a type",IF(U1869="","Unknown type: "&amp;D1869,IF(V1869="","Select an account (Category)",IF(ISNA(MATCH(V1869,coa_Name,0)),"Unknown account: "&amp;V1869,IF(K1869="","Select Paid From / Deposited To",IF(ISNA(MATCH(K1869,coa_Name,0)),"Unknown account: "&amp;K1869,IF(NOT(ISNUMBER(L1869)),"Enter an amount",IF(L1869=0,"Enter an amount",IF(ABS(W1869)&gt;ABS(L1869),"Tax is larger than the amount","")))))))))))))</f>
        <v/>
      </c>
      <c r="Y1869" s="67">
        <f>IF(OR(T1869=1,X1869&lt;&gt;""),"",IF(AND(B1869&lt;&gt;"",COUNTIF(tx_ID,B1869)&gt;1),"Duplicate transaction ID",IF(AND(L1869&lt;0,D1869&lt;&gt;"Adjustment"),"Negative amount — check this entry",IF(AND(D1869="Customer Payment",G1869=""),"Add the customer",IF(AND(D1869="Customer Payment",OR(J1869="",COUNTIF(ar_No,J1869&amp;"")=0)),"Invoice # in Reference not found on AR sheet",IF(AND(D1869="Bill Payment",H1869=""),"Add the vendor",IF(AND(D1869="Bill Payment",OR(J1869="",COUNTIFS(ap_No,J1869&amp;"",ap_Party,H1869&amp;"")=0)),"Bill # + vendor not found on AP sheet",IF(AND(ISNUMBER(M1869),N(M1869)&lt;&gt;0,W1869=0),"Tax ignored (tax tracking off, or not allowed for this type)",IF(V1869=K1869&amp;"","Same account on both sides",IF(AND(ISNUMBER(StartDate),C1869&lt;StartDate),"Date is before the accounting start date",IF(AND(D1869&lt;&gt;"Adjustment",IFERROR(INDEX(coa_Pay,MATCH(K1869&amp;"",coa_Name,0)),"")&lt;&gt;"Yes"),"Paid From / Deposited To is not a payment account","")))))))))))</f>
        <v/>
      </c>
      <c r="Z1869" s="67">
        <f>IF(AND(T1869=0,X1869=""),1,0)</f>
        <v/>
      </c>
      <c r="AA1869" s="68">
        <f>IF(Z1869=1,IF(U1869="In",L1869,L1869-W1869),0)</f>
        <v/>
      </c>
      <c r="AB1869" s="68">
        <f>IF(Z1869=1,IF(U1869="In",L1869-W1869,L1869),0)</f>
        <v/>
      </c>
      <c r="AC1869" s="68">
        <f>IF(AND(Z1869=1,U1869="Out"),W1869,0)</f>
        <v/>
      </c>
      <c r="AD1869" s="68">
        <f>IF(AND(Z1869=1,U1869="In"),W1869,0)</f>
        <v/>
      </c>
    </row>
    <row r="1870">
      <c r="B1870" s="62" t="inlineStr">
        <is>
          <t>TX-1864</t>
        </is>
      </c>
      <c r="C1870" s="63" t="n"/>
      <c r="D1870" s="62" t="n"/>
      <c r="E1870" s="62" t="n"/>
      <c r="F1870" s="62" t="n"/>
      <c r="G1870" s="62" t="n"/>
      <c r="H1870" s="62" t="n"/>
      <c r="I1870" s="62" t="n"/>
      <c r="J1870" s="62" t="n"/>
      <c r="K1870" s="62" t="n"/>
      <c r="L1870" s="64" t="n"/>
      <c r="M1870" s="64" t="n"/>
      <c r="N1870" s="62" t="n"/>
      <c r="O1870" s="65">
        <f>IF(Z1870=1,L1870-W1870,"")</f>
        <v/>
      </c>
      <c r="P1870" s="66">
        <f>IF(V1870="","",IFERROR(INDEX(coa_Type,MATCH(V1870,coa_Name,0)),""))</f>
        <v/>
      </c>
      <c r="Q1870" s="66">
        <f>IF(Z1870=1,IF(U1870="In",K1870&amp;"",V1870),"")</f>
        <v/>
      </c>
      <c r="R1870" s="66">
        <f>IF(Z1870=1,IF(U1870="In",V1870,K1870&amp;""),"")</f>
        <v/>
      </c>
      <c r="S1870" s="66">
        <f>IF(X1870&lt;&gt;"","⛔ "&amp;X1870&amp;" — not posted",IF(Y1870&lt;&gt;"","⚠ "&amp;Y1870,IF(Z1870=1,"✓ OK","")))</f>
        <v/>
      </c>
      <c r="T1870" s="67">
        <f>IF(AND(C1870="",D1870="",E1870="",L1870="",K1870=""),1,0)</f>
        <v/>
      </c>
      <c r="U1870" s="67">
        <f>IFERROR(INDEX(tt_Dir,MATCH(D1870,tt_Type,0)),"")</f>
        <v/>
      </c>
      <c r="V1870" s="67">
        <f>IF(D1870="","",IFERROR(IF(INDEX(tt_Other,MATCH(D1870,tt_Type,0))="",E1870&amp;"",INDEX(tt_Other,MATCH(D1870,tt_Type,0))),""))</f>
        <v/>
      </c>
      <c r="W1870" s="68">
        <f>IF(OR(TaxOn&lt;&gt;"Yes",NOT(ISNUMBER(M1870))),0,IF(IFERROR(INDEX(tt_Tax,MATCH(D1870,tt_Type,0)),"No")="Yes",M1870,0))</f>
        <v/>
      </c>
      <c r="X1870" s="67">
        <f>IF(T1870=1,"",IF(C1870="","Missing transaction date",IF(NOT(ISNUMBER(C1870)),"Invalid date",IF(OR(C1870&lt;DATE(2000,1,1),C1870&gt;DATE(2099,12,31)),"Invalid date",IF(D1870="","Select a type",IF(U1870="","Unknown type: "&amp;D1870,IF(V1870="","Select an account (Category)",IF(ISNA(MATCH(V1870,coa_Name,0)),"Unknown account: "&amp;V1870,IF(K1870="","Select Paid From / Deposited To",IF(ISNA(MATCH(K1870,coa_Name,0)),"Unknown account: "&amp;K1870,IF(NOT(ISNUMBER(L1870)),"Enter an amount",IF(L1870=0,"Enter an amount",IF(ABS(W1870)&gt;ABS(L1870),"Tax is larger than the amount","")))))))))))))</f>
        <v/>
      </c>
      <c r="Y1870" s="67">
        <f>IF(OR(T1870=1,X1870&lt;&gt;""),"",IF(AND(B1870&lt;&gt;"",COUNTIF(tx_ID,B1870)&gt;1),"Duplicate transaction ID",IF(AND(L1870&lt;0,D1870&lt;&gt;"Adjustment"),"Negative amount — check this entry",IF(AND(D1870="Customer Payment",G1870=""),"Add the customer",IF(AND(D1870="Customer Payment",OR(J1870="",COUNTIF(ar_No,J1870&amp;"")=0)),"Invoice # in Reference not found on AR sheet",IF(AND(D1870="Bill Payment",H1870=""),"Add the vendor",IF(AND(D1870="Bill Payment",OR(J1870="",COUNTIFS(ap_No,J1870&amp;"",ap_Party,H1870&amp;"")=0)),"Bill # + vendor not found on AP sheet",IF(AND(ISNUMBER(M1870),N(M1870)&lt;&gt;0,W1870=0),"Tax ignored (tax tracking off, or not allowed for this type)",IF(V1870=K1870&amp;"","Same account on both sides",IF(AND(ISNUMBER(StartDate),C1870&lt;StartDate),"Date is before the accounting start date",IF(AND(D1870&lt;&gt;"Adjustment",IFERROR(INDEX(coa_Pay,MATCH(K1870&amp;"",coa_Name,0)),"")&lt;&gt;"Yes"),"Paid From / Deposited To is not a payment account","")))))))))))</f>
        <v/>
      </c>
      <c r="Z1870" s="67">
        <f>IF(AND(T1870=0,X1870=""),1,0)</f>
        <v/>
      </c>
      <c r="AA1870" s="68">
        <f>IF(Z1870=1,IF(U1870="In",L1870,L1870-W1870),0)</f>
        <v/>
      </c>
      <c r="AB1870" s="68">
        <f>IF(Z1870=1,IF(U1870="In",L1870-W1870,L1870),0)</f>
        <v/>
      </c>
      <c r="AC1870" s="68">
        <f>IF(AND(Z1870=1,U1870="Out"),W1870,0)</f>
        <v/>
      </c>
      <c r="AD1870" s="68">
        <f>IF(AND(Z1870=1,U1870="In"),W1870,0)</f>
        <v/>
      </c>
    </row>
    <row r="1871">
      <c r="B1871" s="62" t="inlineStr">
        <is>
          <t>TX-1865</t>
        </is>
      </c>
      <c r="C1871" s="63" t="n"/>
      <c r="D1871" s="62" t="n"/>
      <c r="E1871" s="62" t="n"/>
      <c r="F1871" s="62" t="n"/>
      <c r="G1871" s="62" t="n"/>
      <c r="H1871" s="62" t="n"/>
      <c r="I1871" s="62" t="n"/>
      <c r="J1871" s="62" t="n"/>
      <c r="K1871" s="62" t="n"/>
      <c r="L1871" s="64" t="n"/>
      <c r="M1871" s="64" t="n"/>
      <c r="N1871" s="62" t="n"/>
      <c r="O1871" s="65">
        <f>IF(Z1871=1,L1871-W1871,"")</f>
        <v/>
      </c>
      <c r="P1871" s="66">
        <f>IF(V1871="","",IFERROR(INDEX(coa_Type,MATCH(V1871,coa_Name,0)),""))</f>
        <v/>
      </c>
      <c r="Q1871" s="66">
        <f>IF(Z1871=1,IF(U1871="In",K1871&amp;"",V1871),"")</f>
        <v/>
      </c>
      <c r="R1871" s="66">
        <f>IF(Z1871=1,IF(U1871="In",V1871,K1871&amp;""),"")</f>
        <v/>
      </c>
      <c r="S1871" s="66">
        <f>IF(X1871&lt;&gt;"","⛔ "&amp;X1871&amp;" — not posted",IF(Y1871&lt;&gt;"","⚠ "&amp;Y1871,IF(Z1871=1,"✓ OK","")))</f>
        <v/>
      </c>
      <c r="T1871" s="67">
        <f>IF(AND(C1871="",D1871="",E1871="",L1871="",K1871=""),1,0)</f>
        <v/>
      </c>
      <c r="U1871" s="67">
        <f>IFERROR(INDEX(tt_Dir,MATCH(D1871,tt_Type,0)),"")</f>
        <v/>
      </c>
      <c r="V1871" s="67">
        <f>IF(D1871="","",IFERROR(IF(INDEX(tt_Other,MATCH(D1871,tt_Type,0))="",E1871&amp;"",INDEX(tt_Other,MATCH(D1871,tt_Type,0))),""))</f>
        <v/>
      </c>
      <c r="W1871" s="68">
        <f>IF(OR(TaxOn&lt;&gt;"Yes",NOT(ISNUMBER(M1871))),0,IF(IFERROR(INDEX(tt_Tax,MATCH(D1871,tt_Type,0)),"No")="Yes",M1871,0))</f>
        <v/>
      </c>
      <c r="X1871" s="67">
        <f>IF(T1871=1,"",IF(C1871="","Missing transaction date",IF(NOT(ISNUMBER(C1871)),"Invalid date",IF(OR(C1871&lt;DATE(2000,1,1),C1871&gt;DATE(2099,12,31)),"Invalid date",IF(D1871="","Select a type",IF(U1871="","Unknown type: "&amp;D1871,IF(V1871="","Select an account (Category)",IF(ISNA(MATCH(V1871,coa_Name,0)),"Unknown account: "&amp;V1871,IF(K1871="","Select Paid From / Deposited To",IF(ISNA(MATCH(K1871,coa_Name,0)),"Unknown account: "&amp;K1871,IF(NOT(ISNUMBER(L1871)),"Enter an amount",IF(L1871=0,"Enter an amount",IF(ABS(W1871)&gt;ABS(L1871),"Tax is larger than the amount","")))))))))))))</f>
        <v/>
      </c>
      <c r="Y1871" s="67">
        <f>IF(OR(T1871=1,X1871&lt;&gt;""),"",IF(AND(B1871&lt;&gt;"",COUNTIF(tx_ID,B1871)&gt;1),"Duplicate transaction ID",IF(AND(L1871&lt;0,D1871&lt;&gt;"Adjustment"),"Negative amount — check this entry",IF(AND(D1871="Customer Payment",G1871=""),"Add the customer",IF(AND(D1871="Customer Payment",OR(J1871="",COUNTIF(ar_No,J1871&amp;"")=0)),"Invoice # in Reference not found on AR sheet",IF(AND(D1871="Bill Payment",H1871=""),"Add the vendor",IF(AND(D1871="Bill Payment",OR(J1871="",COUNTIFS(ap_No,J1871&amp;"",ap_Party,H1871&amp;"")=0)),"Bill # + vendor not found on AP sheet",IF(AND(ISNUMBER(M1871),N(M1871)&lt;&gt;0,W1871=0),"Tax ignored (tax tracking off, or not allowed for this type)",IF(V1871=K1871&amp;"","Same account on both sides",IF(AND(ISNUMBER(StartDate),C1871&lt;StartDate),"Date is before the accounting start date",IF(AND(D1871&lt;&gt;"Adjustment",IFERROR(INDEX(coa_Pay,MATCH(K1871&amp;"",coa_Name,0)),"")&lt;&gt;"Yes"),"Paid From / Deposited To is not a payment account","")))))))))))</f>
        <v/>
      </c>
      <c r="Z1871" s="67">
        <f>IF(AND(T1871=0,X1871=""),1,0)</f>
        <v/>
      </c>
      <c r="AA1871" s="68">
        <f>IF(Z1871=1,IF(U1871="In",L1871,L1871-W1871),0)</f>
        <v/>
      </c>
      <c r="AB1871" s="68">
        <f>IF(Z1871=1,IF(U1871="In",L1871-W1871,L1871),0)</f>
        <v/>
      </c>
      <c r="AC1871" s="68">
        <f>IF(AND(Z1871=1,U1871="Out"),W1871,0)</f>
        <v/>
      </c>
      <c r="AD1871" s="68">
        <f>IF(AND(Z1871=1,U1871="In"),W1871,0)</f>
        <v/>
      </c>
    </row>
    <row r="1872">
      <c r="B1872" s="62" t="inlineStr">
        <is>
          <t>TX-1866</t>
        </is>
      </c>
      <c r="C1872" s="63" t="n"/>
      <c r="D1872" s="62" t="n"/>
      <c r="E1872" s="62" t="n"/>
      <c r="F1872" s="62" t="n"/>
      <c r="G1872" s="62" t="n"/>
      <c r="H1872" s="62" t="n"/>
      <c r="I1872" s="62" t="n"/>
      <c r="J1872" s="62" t="n"/>
      <c r="K1872" s="62" t="n"/>
      <c r="L1872" s="64" t="n"/>
      <c r="M1872" s="64" t="n"/>
      <c r="N1872" s="62" t="n"/>
      <c r="O1872" s="65">
        <f>IF(Z1872=1,L1872-W1872,"")</f>
        <v/>
      </c>
      <c r="P1872" s="66">
        <f>IF(V1872="","",IFERROR(INDEX(coa_Type,MATCH(V1872,coa_Name,0)),""))</f>
        <v/>
      </c>
      <c r="Q1872" s="66">
        <f>IF(Z1872=1,IF(U1872="In",K1872&amp;"",V1872),"")</f>
        <v/>
      </c>
      <c r="R1872" s="66">
        <f>IF(Z1872=1,IF(U1872="In",V1872,K1872&amp;""),"")</f>
        <v/>
      </c>
      <c r="S1872" s="66">
        <f>IF(X1872&lt;&gt;"","⛔ "&amp;X1872&amp;" — not posted",IF(Y1872&lt;&gt;"","⚠ "&amp;Y1872,IF(Z1872=1,"✓ OK","")))</f>
        <v/>
      </c>
      <c r="T1872" s="67">
        <f>IF(AND(C1872="",D1872="",E1872="",L1872="",K1872=""),1,0)</f>
        <v/>
      </c>
      <c r="U1872" s="67">
        <f>IFERROR(INDEX(tt_Dir,MATCH(D1872,tt_Type,0)),"")</f>
        <v/>
      </c>
      <c r="V1872" s="67">
        <f>IF(D1872="","",IFERROR(IF(INDEX(tt_Other,MATCH(D1872,tt_Type,0))="",E1872&amp;"",INDEX(tt_Other,MATCH(D1872,tt_Type,0))),""))</f>
        <v/>
      </c>
      <c r="W1872" s="68">
        <f>IF(OR(TaxOn&lt;&gt;"Yes",NOT(ISNUMBER(M1872))),0,IF(IFERROR(INDEX(tt_Tax,MATCH(D1872,tt_Type,0)),"No")="Yes",M1872,0))</f>
        <v/>
      </c>
      <c r="X1872" s="67">
        <f>IF(T1872=1,"",IF(C1872="","Missing transaction date",IF(NOT(ISNUMBER(C1872)),"Invalid date",IF(OR(C1872&lt;DATE(2000,1,1),C1872&gt;DATE(2099,12,31)),"Invalid date",IF(D1872="","Select a type",IF(U1872="","Unknown type: "&amp;D1872,IF(V1872="","Select an account (Category)",IF(ISNA(MATCH(V1872,coa_Name,0)),"Unknown account: "&amp;V1872,IF(K1872="","Select Paid From / Deposited To",IF(ISNA(MATCH(K1872,coa_Name,0)),"Unknown account: "&amp;K1872,IF(NOT(ISNUMBER(L1872)),"Enter an amount",IF(L1872=0,"Enter an amount",IF(ABS(W1872)&gt;ABS(L1872),"Tax is larger than the amount","")))))))))))))</f>
        <v/>
      </c>
      <c r="Y1872" s="67">
        <f>IF(OR(T1872=1,X1872&lt;&gt;""),"",IF(AND(B1872&lt;&gt;"",COUNTIF(tx_ID,B1872)&gt;1),"Duplicate transaction ID",IF(AND(L1872&lt;0,D1872&lt;&gt;"Adjustment"),"Negative amount — check this entry",IF(AND(D1872="Customer Payment",G1872=""),"Add the customer",IF(AND(D1872="Customer Payment",OR(J1872="",COUNTIF(ar_No,J1872&amp;"")=0)),"Invoice # in Reference not found on AR sheet",IF(AND(D1872="Bill Payment",H1872=""),"Add the vendor",IF(AND(D1872="Bill Payment",OR(J1872="",COUNTIFS(ap_No,J1872&amp;"",ap_Party,H1872&amp;"")=0)),"Bill # + vendor not found on AP sheet",IF(AND(ISNUMBER(M1872),N(M1872)&lt;&gt;0,W1872=0),"Tax ignored (tax tracking off, or not allowed for this type)",IF(V1872=K1872&amp;"","Same account on both sides",IF(AND(ISNUMBER(StartDate),C1872&lt;StartDate),"Date is before the accounting start date",IF(AND(D1872&lt;&gt;"Adjustment",IFERROR(INDEX(coa_Pay,MATCH(K1872&amp;"",coa_Name,0)),"")&lt;&gt;"Yes"),"Paid From / Deposited To is not a payment account","")))))))))))</f>
        <v/>
      </c>
      <c r="Z1872" s="67">
        <f>IF(AND(T1872=0,X1872=""),1,0)</f>
        <v/>
      </c>
      <c r="AA1872" s="68">
        <f>IF(Z1872=1,IF(U1872="In",L1872,L1872-W1872),0)</f>
        <v/>
      </c>
      <c r="AB1872" s="68">
        <f>IF(Z1872=1,IF(U1872="In",L1872-W1872,L1872),0)</f>
        <v/>
      </c>
      <c r="AC1872" s="68">
        <f>IF(AND(Z1872=1,U1872="Out"),W1872,0)</f>
        <v/>
      </c>
      <c r="AD1872" s="68">
        <f>IF(AND(Z1872=1,U1872="In"),W1872,0)</f>
        <v/>
      </c>
    </row>
    <row r="1873">
      <c r="B1873" s="62" t="inlineStr">
        <is>
          <t>TX-1867</t>
        </is>
      </c>
      <c r="C1873" s="63" t="n"/>
      <c r="D1873" s="62" t="n"/>
      <c r="E1873" s="62" t="n"/>
      <c r="F1873" s="62" t="n"/>
      <c r="G1873" s="62" t="n"/>
      <c r="H1873" s="62" t="n"/>
      <c r="I1873" s="62" t="n"/>
      <c r="J1873" s="62" t="n"/>
      <c r="K1873" s="62" t="n"/>
      <c r="L1873" s="64" t="n"/>
      <c r="M1873" s="64" t="n"/>
      <c r="N1873" s="62" t="n"/>
      <c r="O1873" s="65">
        <f>IF(Z1873=1,L1873-W1873,"")</f>
        <v/>
      </c>
      <c r="P1873" s="66">
        <f>IF(V1873="","",IFERROR(INDEX(coa_Type,MATCH(V1873,coa_Name,0)),""))</f>
        <v/>
      </c>
      <c r="Q1873" s="66">
        <f>IF(Z1873=1,IF(U1873="In",K1873&amp;"",V1873),"")</f>
        <v/>
      </c>
      <c r="R1873" s="66">
        <f>IF(Z1873=1,IF(U1873="In",V1873,K1873&amp;""),"")</f>
        <v/>
      </c>
      <c r="S1873" s="66">
        <f>IF(X1873&lt;&gt;"","⛔ "&amp;X1873&amp;" — not posted",IF(Y1873&lt;&gt;"","⚠ "&amp;Y1873,IF(Z1873=1,"✓ OK","")))</f>
        <v/>
      </c>
      <c r="T1873" s="67">
        <f>IF(AND(C1873="",D1873="",E1873="",L1873="",K1873=""),1,0)</f>
        <v/>
      </c>
      <c r="U1873" s="67">
        <f>IFERROR(INDEX(tt_Dir,MATCH(D1873,tt_Type,0)),"")</f>
        <v/>
      </c>
      <c r="V1873" s="67">
        <f>IF(D1873="","",IFERROR(IF(INDEX(tt_Other,MATCH(D1873,tt_Type,0))="",E1873&amp;"",INDEX(tt_Other,MATCH(D1873,tt_Type,0))),""))</f>
        <v/>
      </c>
      <c r="W1873" s="68">
        <f>IF(OR(TaxOn&lt;&gt;"Yes",NOT(ISNUMBER(M1873))),0,IF(IFERROR(INDEX(tt_Tax,MATCH(D1873,tt_Type,0)),"No")="Yes",M1873,0))</f>
        <v/>
      </c>
      <c r="X1873" s="67">
        <f>IF(T1873=1,"",IF(C1873="","Missing transaction date",IF(NOT(ISNUMBER(C1873)),"Invalid date",IF(OR(C1873&lt;DATE(2000,1,1),C1873&gt;DATE(2099,12,31)),"Invalid date",IF(D1873="","Select a type",IF(U1873="","Unknown type: "&amp;D1873,IF(V1873="","Select an account (Category)",IF(ISNA(MATCH(V1873,coa_Name,0)),"Unknown account: "&amp;V1873,IF(K1873="","Select Paid From / Deposited To",IF(ISNA(MATCH(K1873,coa_Name,0)),"Unknown account: "&amp;K1873,IF(NOT(ISNUMBER(L1873)),"Enter an amount",IF(L1873=0,"Enter an amount",IF(ABS(W1873)&gt;ABS(L1873),"Tax is larger than the amount","")))))))))))))</f>
        <v/>
      </c>
      <c r="Y1873" s="67">
        <f>IF(OR(T1873=1,X1873&lt;&gt;""),"",IF(AND(B1873&lt;&gt;"",COUNTIF(tx_ID,B1873)&gt;1),"Duplicate transaction ID",IF(AND(L1873&lt;0,D1873&lt;&gt;"Adjustment"),"Negative amount — check this entry",IF(AND(D1873="Customer Payment",G1873=""),"Add the customer",IF(AND(D1873="Customer Payment",OR(J1873="",COUNTIF(ar_No,J1873&amp;"")=0)),"Invoice # in Reference not found on AR sheet",IF(AND(D1873="Bill Payment",H1873=""),"Add the vendor",IF(AND(D1873="Bill Payment",OR(J1873="",COUNTIFS(ap_No,J1873&amp;"",ap_Party,H1873&amp;"")=0)),"Bill # + vendor not found on AP sheet",IF(AND(ISNUMBER(M1873),N(M1873)&lt;&gt;0,W1873=0),"Tax ignored (tax tracking off, or not allowed for this type)",IF(V1873=K1873&amp;"","Same account on both sides",IF(AND(ISNUMBER(StartDate),C1873&lt;StartDate),"Date is before the accounting start date",IF(AND(D1873&lt;&gt;"Adjustment",IFERROR(INDEX(coa_Pay,MATCH(K1873&amp;"",coa_Name,0)),"")&lt;&gt;"Yes"),"Paid From / Deposited To is not a payment account","")))))))))))</f>
        <v/>
      </c>
      <c r="Z1873" s="67">
        <f>IF(AND(T1873=0,X1873=""),1,0)</f>
        <v/>
      </c>
      <c r="AA1873" s="68">
        <f>IF(Z1873=1,IF(U1873="In",L1873,L1873-W1873),0)</f>
        <v/>
      </c>
      <c r="AB1873" s="68">
        <f>IF(Z1873=1,IF(U1873="In",L1873-W1873,L1873),0)</f>
        <v/>
      </c>
      <c r="AC1873" s="68">
        <f>IF(AND(Z1873=1,U1873="Out"),W1873,0)</f>
        <v/>
      </c>
      <c r="AD1873" s="68">
        <f>IF(AND(Z1873=1,U1873="In"),W1873,0)</f>
        <v/>
      </c>
    </row>
    <row r="1874">
      <c r="B1874" s="62" t="inlineStr">
        <is>
          <t>TX-1868</t>
        </is>
      </c>
      <c r="C1874" s="63" t="n"/>
      <c r="D1874" s="62" t="n"/>
      <c r="E1874" s="62" t="n"/>
      <c r="F1874" s="62" t="n"/>
      <c r="G1874" s="62" t="n"/>
      <c r="H1874" s="62" t="n"/>
      <c r="I1874" s="62" t="n"/>
      <c r="J1874" s="62" t="n"/>
      <c r="K1874" s="62" t="n"/>
      <c r="L1874" s="64" t="n"/>
      <c r="M1874" s="64" t="n"/>
      <c r="N1874" s="62" t="n"/>
      <c r="O1874" s="65">
        <f>IF(Z1874=1,L1874-W1874,"")</f>
        <v/>
      </c>
      <c r="P1874" s="66">
        <f>IF(V1874="","",IFERROR(INDEX(coa_Type,MATCH(V1874,coa_Name,0)),""))</f>
        <v/>
      </c>
      <c r="Q1874" s="66">
        <f>IF(Z1874=1,IF(U1874="In",K1874&amp;"",V1874),"")</f>
        <v/>
      </c>
      <c r="R1874" s="66">
        <f>IF(Z1874=1,IF(U1874="In",V1874,K1874&amp;""),"")</f>
        <v/>
      </c>
      <c r="S1874" s="66">
        <f>IF(X1874&lt;&gt;"","⛔ "&amp;X1874&amp;" — not posted",IF(Y1874&lt;&gt;"","⚠ "&amp;Y1874,IF(Z1874=1,"✓ OK","")))</f>
        <v/>
      </c>
      <c r="T1874" s="67">
        <f>IF(AND(C1874="",D1874="",E1874="",L1874="",K1874=""),1,0)</f>
        <v/>
      </c>
      <c r="U1874" s="67">
        <f>IFERROR(INDEX(tt_Dir,MATCH(D1874,tt_Type,0)),"")</f>
        <v/>
      </c>
      <c r="V1874" s="67">
        <f>IF(D1874="","",IFERROR(IF(INDEX(tt_Other,MATCH(D1874,tt_Type,0))="",E1874&amp;"",INDEX(tt_Other,MATCH(D1874,tt_Type,0))),""))</f>
        <v/>
      </c>
      <c r="W1874" s="68">
        <f>IF(OR(TaxOn&lt;&gt;"Yes",NOT(ISNUMBER(M1874))),0,IF(IFERROR(INDEX(tt_Tax,MATCH(D1874,tt_Type,0)),"No")="Yes",M1874,0))</f>
        <v/>
      </c>
      <c r="X1874" s="67">
        <f>IF(T1874=1,"",IF(C1874="","Missing transaction date",IF(NOT(ISNUMBER(C1874)),"Invalid date",IF(OR(C1874&lt;DATE(2000,1,1),C1874&gt;DATE(2099,12,31)),"Invalid date",IF(D1874="","Select a type",IF(U1874="","Unknown type: "&amp;D1874,IF(V1874="","Select an account (Category)",IF(ISNA(MATCH(V1874,coa_Name,0)),"Unknown account: "&amp;V1874,IF(K1874="","Select Paid From / Deposited To",IF(ISNA(MATCH(K1874,coa_Name,0)),"Unknown account: "&amp;K1874,IF(NOT(ISNUMBER(L1874)),"Enter an amount",IF(L1874=0,"Enter an amount",IF(ABS(W1874)&gt;ABS(L1874),"Tax is larger than the amount","")))))))))))))</f>
        <v/>
      </c>
      <c r="Y1874" s="67">
        <f>IF(OR(T1874=1,X1874&lt;&gt;""),"",IF(AND(B1874&lt;&gt;"",COUNTIF(tx_ID,B1874)&gt;1),"Duplicate transaction ID",IF(AND(L1874&lt;0,D1874&lt;&gt;"Adjustment"),"Negative amount — check this entry",IF(AND(D1874="Customer Payment",G1874=""),"Add the customer",IF(AND(D1874="Customer Payment",OR(J1874="",COUNTIF(ar_No,J1874&amp;"")=0)),"Invoice # in Reference not found on AR sheet",IF(AND(D1874="Bill Payment",H1874=""),"Add the vendor",IF(AND(D1874="Bill Payment",OR(J1874="",COUNTIFS(ap_No,J1874&amp;"",ap_Party,H1874&amp;"")=0)),"Bill # + vendor not found on AP sheet",IF(AND(ISNUMBER(M1874),N(M1874)&lt;&gt;0,W1874=0),"Tax ignored (tax tracking off, or not allowed for this type)",IF(V1874=K1874&amp;"","Same account on both sides",IF(AND(ISNUMBER(StartDate),C1874&lt;StartDate),"Date is before the accounting start date",IF(AND(D1874&lt;&gt;"Adjustment",IFERROR(INDEX(coa_Pay,MATCH(K1874&amp;"",coa_Name,0)),"")&lt;&gt;"Yes"),"Paid From / Deposited To is not a payment account","")))))))))))</f>
        <v/>
      </c>
      <c r="Z1874" s="67">
        <f>IF(AND(T1874=0,X1874=""),1,0)</f>
        <v/>
      </c>
      <c r="AA1874" s="68">
        <f>IF(Z1874=1,IF(U1874="In",L1874,L1874-W1874),0)</f>
        <v/>
      </c>
      <c r="AB1874" s="68">
        <f>IF(Z1874=1,IF(U1874="In",L1874-W1874,L1874),0)</f>
        <v/>
      </c>
      <c r="AC1874" s="68">
        <f>IF(AND(Z1874=1,U1874="Out"),W1874,0)</f>
        <v/>
      </c>
      <c r="AD1874" s="68">
        <f>IF(AND(Z1874=1,U1874="In"),W1874,0)</f>
        <v/>
      </c>
    </row>
    <row r="1875">
      <c r="B1875" s="62" t="inlineStr">
        <is>
          <t>TX-1869</t>
        </is>
      </c>
      <c r="C1875" s="63" t="n"/>
      <c r="D1875" s="62" t="n"/>
      <c r="E1875" s="62" t="n"/>
      <c r="F1875" s="62" t="n"/>
      <c r="G1875" s="62" t="n"/>
      <c r="H1875" s="62" t="n"/>
      <c r="I1875" s="62" t="n"/>
      <c r="J1875" s="62" t="n"/>
      <c r="K1875" s="62" t="n"/>
      <c r="L1875" s="64" t="n"/>
      <c r="M1875" s="64" t="n"/>
      <c r="N1875" s="62" t="n"/>
      <c r="O1875" s="65">
        <f>IF(Z1875=1,L1875-W1875,"")</f>
        <v/>
      </c>
      <c r="P1875" s="66">
        <f>IF(V1875="","",IFERROR(INDEX(coa_Type,MATCH(V1875,coa_Name,0)),""))</f>
        <v/>
      </c>
      <c r="Q1875" s="66">
        <f>IF(Z1875=1,IF(U1875="In",K1875&amp;"",V1875),"")</f>
        <v/>
      </c>
      <c r="R1875" s="66">
        <f>IF(Z1875=1,IF(U1875="In",V1875,K1875&amp;""),"")</f>
        <v/>
      </c>
      <c r="S1875" s="66">
        <f>IF(X1875&lt;&gt;"","⛔ "&amp;X1875&amp;" — not posted",IF(Y1875&lt;&gt;"","⚠ "&amp;Y1875,IF(Z1875=1,"✓ OK","")))</f>
        <v/>
      </c>
      <c r="T1875" s="67">
        <f>IF(AND(C1875="",D1875="",E1875="",L1875="",K1875=""),1,0)</f>
        <v/>
      </c>
      <c r="U1875" s="67">
        <f>IFERROR(INDEX(tt_Dir,MATCH(D1875,tt_Type,0)),"")</f>
        <v/>
      </c>
      <c r="V1875" s="67">
        <f>IF(D1875="","",IFERROR(IF(INDEX(tt_Other,MATCH(D1875,tt_Type,0))="",E1875&amp;"",INDEX(tt_Other,MATCH(D1875,tt_Type,0))),""))</f>
        <v/>
      </c>
      <c r="W1875" s="68">
        <f>IF(OR(TaxOn&lt;&gt;"Yes",NOT(ISNUMBER(M1875))),0,IF(IFERROR(INDEX(tt_Tax,MATCH(D1875,tt_Type,0)),"No")="Yes",M1875,0))</f>
        <v/>
      </c>
      <c r="X1875" s="67">
        <f>IF(T1875=1,"",IF(C1875="","Missing transaction date",IF(NOT(ISNUMBER(C1875)),"Invalid date",IF(OR(C1875&lt;DATE(2000,1,1),C1875&gt;DATE(2099,12,31)),"Invalid date",IF(D1875="","Select a type",IF(U1875="","Unknown type: "&amp;D1875,IF(V1875="","Select an account (Category)",IF(ISNA(MATCH(V1875,coa_Name,0)),"Unknown account: "&amp;V1875,IF(K1875="","Select Paid From / Deposited To",IF(ISNA(MATCH(K1875,coa_Name,0)),"Unknown account: "&amp;K1875,IF(NOT(ISNUMBER(L1875)),"Enter an amount",IF(L1875=0,"Enter an amount",IF(ABS(W1875)&gt;ABS(L1875),"Tax is larger than the amount","")))))))))))))</f>
        <v/>
      </c>
      <c r="Y1875" s="67">
        <f>IF(OR(T1875=1,X1875&lt;&gt;""),"",IF(AND(B1875&lt;&gt;"",COUNTIF(tx_ID,B1875)&gt;1),"Duplicate transaction ID",IF(AND(L1875&lt;0,D1875&lt;&gt;"Adjustment"),"Negative amount — check this entry",IF(AND(D1875="Customer Payment",G1875=""),"Add the customer",IF(AND(D1875="Customer Payment",OR(J1875="",COUNTIF(ar_No,J1875&amp;"")=0)),"Invoice # in Reference not found on AR sheet",IF(AND(D1875="Bill Payment",H1875=""),"Add the vendor",IF(AND(D1875="Bill Payment",OR(J1875="",COUNTIFS(ap_No,J1875&amp;"",ap_Party,H1875&amp;"")=0)),"Bill # + vendor not found on AP sheet",IF(AND(ISNUMBER(M1875),N(M1875)&lt;&gt;0,W1875=0),"Tax ignored (tax tracking off, or not allowed for this type)",IF(V1875=K1875&amp;"","Same account on both sides",IF(AND(ISNUMBER(StartDate),C1875&lt;StartDate),"Date is before the accounting start date",IF(AND(D1875&lt;&gt;"Adjustment",IFERROR(INDEX(coa_Pay,MATCH(K1875&amp;"",coa_Name,0)),"")&lt;&gt;"Yes"),"Paid From / Deposited To is not a payment account","")))))))))))</f>
        <v/>
      </c>
      <c r="Z1875" s="67">
        <f>IF(AND(T1875=0,X1875=""),1,0)</f>
        <v/>
      </c>
      <c r="AA1875" s="68">
        <f>IF(Z1875=1,IF(U1875="In",L1875,L1875-W1875),0)</f>
        <v/>
      </c>
      <c r="AB1875" s="68">
        <f>IF(Z1875=1,IF(U1875="In",L1875-W1875,L1875),0)</f>
        <v/>
      </c>
      <c r="AC1875" s="68">
        <f>IF(AND(Z1875=1,U1875="Out"),W1875,0)</f>
        <v/>
      </c>
      <c r="AD1875" s="68">
        <f>IF(AND(Z1875=1,U1875="In"),W1875,0)</f>
        <v/>
      </c>
    </row>
    <row r="1876">
      <c r="B1876" s="62" t="inlineStr">
        <is>
          <t>TX-1870</t>
        </is>
      </c>
      <c r="C1876" s="63" t="n"/>
      <c r="D1876" s="62" t="n"/>
      <c r="E1876" s="62" t="n"/>
      <c r="F1876" s="62" t="n"/>
      <c r="G1876" s="62" t="n"/>
      <c r="H1876" s="62" t="n"/>
      <c r="I1876" s="62" t="n"/>
      <c r="J1876" s="62" t="n"/>
      <c r="K1876" s="62" t="n"/>
      <c r="L1876" s="64" t="n"/>
      <c r="M1876" s="64" t="n"/>
      <c r="N1876" s="62" t="n"/>
      <c r="O1876" s="65">
        <f>IF(Z1876=1,L1876-W1876,"")</f>
        <v/>
      </c>
      <c r="P1876" s="66">
        <f>IF(V1876="","",IFERROR(INDEX(coa_Type,MATCH(V1876,coa_Name,0)),""))</f>
        <v/>
      </c>
      <c r="Q1876" s="66">
        <f>IF(Z1876=1,IF(U1876="In",K1876&amp;"",V1876),"")</f>
        <v/>
      </c>
      <c r="R1876" s="66">
        <f>IF(Z1876=1,IF(U1876="In",V1876,K1876&amp;""),"")</f>
        <v/>
      </c>
      <c r="S1876" s="66">
        <f>IF(X1876&lt;&gt;"","⛔ "&amp;X1876&amp;" — not posted",IF(Y1876&lt;&gt;"","⚠ "&amp;Y1876,IF(Z1876=1,"✓ OK","")))</f>
        <v/>
      </c>
      <c r="T1876" s="67">
        <f>IF(AND(C1876="",D1876="",E1876="",L1876="",K1876=""),1,0)</f>
        <v/>
      </c>
      <c r="U1876" s="67">
        <f>IFERROR(INDEX(tt_Dir,MATCH(D1876,tt_Type,0)),"")</f>
        <v/>
      </c>
      <c r="V1876" s="67">
        <f>IF(D1876="","",IFERROR(IF(INDEX(tt_Other,MATCH(D1876,tt_Type,0))="",E1876&amp;"",INDEX(tt_Other,MATCH(D1876,tt_Type,0))),""))</f>
        <v/>
      </c>
      <c r="W1876" s="68">
        <f>IF(OR(TaxOn&lt;&gt;"Yes",NOT(ISNUMBER(M1876))),0,IF(IFERROR(INDEX(tt_Tax,MATCH(D1876,tt_Type,0)),"No")="Yes",M1876,0))</f>
        <v/>
      </c>
      <c r="X1876" s="67">
        <f>IF(T1876=1,"",IF(C1876="","Missing transaction date",IF(NOT(ISNUMBER(C1876)),"Invalid date",IF(OR(C1876&lt;DATE(2000,1,1),C1876&gt;DATE(2099,12,31)),"Invalid date",IF(D1876="","Select a type",IF(U1876="","Unknown type: "&amp;D1876,IF(V1876="","Select an account (Category)",IF(ISNA(MATCH(V1876,coa_Name,0)),"Unknown account: "&amp;V1876,IF(K1876="","Select Paid From / Deposited To",IF(ISNA(MATCH(K1876,coa_Name,0)),"Unknown account: "&amp;K1876,IF(NOT(ISNUMBER(L1876)),"Enter an amount",IF(L1876=0,"Enter an amount",IF(ABS(W1876)&gt;ABS(L1876),"Tax is larger than the amount","")))))))))))))</f>
        <v/>
      </c>
      <c r="Y1876" s="67">
        <f>IF(OR(T1876=1,X1876&lt;&gt;""),"",IF(AND(B1876&lt;&gt;"",COUNTIF(tx_ID,B1876)&gt;1),"Duplicate transaction ID",IF(AND(L1876&lt;0,D1876&lt;&gt;"Adjustment"),"Negative amount — check this entry",IF(AND(D1876="Customer Payment",G1876=""),"Add the customer",IF(AND(D1876="Customer Payment",OR(J1876="",COUNTIF(ar_No,J1876&amp;"")=0)),"Invoice # in Reference not found on AR sheet",IF(AND(D1876="Bill Payment",H1876=""),"Add the vendor",IF(AND(D1876="Bill Payment",OR(J1876="",COUNTIFS(ap_No,J1876&amp;"",ap_Party,H1876&amp;"")=0)),"Bill # + vendor not found on AP sheet",IF(AND(ISNUMBER(M1876),N(M1876)&lt;&gt;0,W1876=0),"Tax ignored (tax tracking off, or not allowed for this type)",IF(V1876=K1876&amp;"","Same account on both sides",IF(AND(ISNUMBER(StartDate),C1876&lt;StartDate),"Date is before the accounting start date",IF(AND(D1876&lt;&gt;"Adjustment",IFERROR(INDEX(coa_Pay,MATCH(K1876&amp;"",coa_Name,0)),"")&lt;&gt;"Yes"),"Paid From / Deposited To is not a payment account","")))))))))))</f>
        <v/>
      </c>
      <c r="Z1876" s="67">
        <f>IF(AND(T1876=0,X1876=""),1,0)</f>
        <v/>
      </c>
      <c r="AA1876" s="68">
        <f>IF(Z1876=1,IF(U1876="In",L1876,L1876-W1876),0)</f>
        <v/>
      </c>
      <c r="AB1876" s="68">
        <f>IF(Z1876=1,IF(U1876="In",L1876-W1876,L1876),0)</f>
        <v/>
      </c>
      <c r="AC1876" s="68">
        <f>IF(AND(Z1876=1,U1876="Out"),W1876,0)</f>
        <v/>
      </c>
      <c r="AD1876" s="68">
        <f>IF(AND(Z1876=1,U1876="In"),W1876,0)</f>
        <v/>
      </c>
    </row>
    <row r="1877">
      <c r="B1877" s="62" t="inlineStr">
        <is>
          <t>TX-1871</t>
        </is>
      </c>
      <c r="C1877" s="63" t="n"/>
      <c r="D1877" s="62" t="n"/>
      <c r="E1877" s="62" t="n"/>
      <c r="F1877" s="62" t="n"/>
      <c r="G1877" s="62" t="n"/>
      <c r="H1877" s="62" t="n"/>
      <c r="I1877" s="62" t="n"/>
      <c r="J1877" s="62" t="n"/>
      <c r="K1877" s="62" t="n"/>
      <c r="L1877" s="64" t="n"/>
      <c r="M1877" s="64" t="n"/>
      <c r="N1877" s="62" t="n"/>
      <c r="O1877" s="65">
        <f>IF(Z1877=1,L1877-W1877,"")</f>
        <v/>
      </c>
      <c r="P1877" s="66">
        <f>IF(V1877="","",IFERROR(INDEX(coa_Type,MATCH(V1877,coa_Name,0)),""))</f>
        <v/>
      </c>
      <c r="Q1877" s="66">
        <f>IF(Z1877=1,IF(U1877="In",K1877&amp;"",V1877),"")</f>
        <v/>
      </c>
      <c r="R1877" s="66">
        <f>IF(Z1877=1,IF(U1877="In",V1877,K1877&amp;""),"")</f>
        <v/>
      </c>
      <c r="S1877" s="66">
        <f>IF(X1877&lt;&gt;"","⛔ "&amp;X1877&amp;" — not posted",IF(Y1877&lt;&gt;"","⚠ "&amp;Y1877,IF(Z1877=1,"✓ OK","")))</f>
        <v/>
      </c>
      <c r="T1877" s="67">
        <f>IF(AND(C1877="",D1877="",E1877="",L1877="",K1877=""),1,0)</f>
        <v/>
      </c>
      <c r="U1877" s="67">
        <f>IFERROR(INDEX(tt_Dir,MATCH(D1877,tt_Type,0)),"")</f>
        <v/>
      </c>
      <c r="V1877" s="67">
        <f>IF(D1877="","",IFERROR(IF(INDEX(tt_Other,MATCH(D1877,tt_Type,0))="",E1877&amp;"",INDEX(tt_Other,MATCH(D1877,tt_Type,0))),""))</f>
        <v/>
      </c>
      <c r="W1877" s="68">
        <f>IF(OR(TaxOn&lt;&gt;"Yes",NOT(ISNUMBER(M1877))),0,IF(IFERROR(INDEX(tt_Tax,MATCH(D1877,tt_Type,0)),"No")="Yes",M1877,0))</f>
        <v/>
      </c>
      <c r="X1877" s="67">
        <f>IF(T1877=1,"",IF(C1877="","Missing transaction date",IF(NOT(ISNUMBER(C1877)),"Invalid date",IF(OR(C1877&lt;DATE(2000,1,1),C1877&gt;DATE(2099,12,31)),"Invalid date",IF(D1877="","Select a type",IF(U1877="","Unknown type: "&amp;D1877,IF(V1877="","Select an account (Category)",IF(ISNA(MATCH(V1877,coa_Name,0)),"Unknown account: "&amp;V1877,IF(K1877="","Select Paid From / Deposited To",IF(ISNA(MATCH(K1877,coa_Name,0)),"Unknown account: "&amp;K1877,IF(NOT(ISNUMBER(L1877)),"Enter an amount",IF(L1877=0,"Enter an amount",IF(ABS(W1877)&gt;ABS(L1877),"Tax is larger than the amount","")))))))))))))</f>
        <v/>
      </c>
      <c r="Y1877" s="67">
        <f>IF(OR(T1877=1,X1877&lt;&gt;""),"",IF(AND(B1877&lt;&gt;"",COUNTIF(tx_ID,B1877)&gt;1),"Duplicate transaction ID",IF(AND(L1877&lt;0,D1877&lt;&gt;"Adjustment"),"Negative amount — check this entry",IF(AND(D1877="Customer Payment",G1877=""),"Add the customer",IF(AND(D1877="Customer Payment",OR(J1877="",COUNTIF(ar_No,J1877&amp;"")=0)),"Invoice # in Reference not found on AR sheet",IF(AND(D1877="Bill Payment",H1877=""),"Add the vendor",IF(AND(D1877="Bill Payment",OR(J1877="",COUNTIFS(ap_No,J1877&amp;"",ap_Party,H1877&amp;"")=0)),"Bill # + vendor not found on AP sheet",IF(AND(ISNUMBER(M1877),N(M1877)&lt;&gt;0,W1877=0),"Tax ignored (tax tracking off, or not allowed for this type)",IF(V1877=K1877&amp;"","Same account on both sides",IF(AND(ISNUMBER(StartDate),C1877&lt;StartDate),"Date is before the accounting start date",IF(AND(D1877&lt;&gt;"Adjustment",IFERROR(INDEX(coa_Pay,MATCH(K1877&amp;"",coa_Name,0)),"")&lt;&gt;"Yes"),"Paid From / Deposited To is not a payment account","")))))))))))</f>
        <v/>
      </c>
      <c r="Z1877" s="67">
        <f>IF(AND(T1877=0,X1877=""),1,0)</f>
        <v/>
      </c>
      <c r="AA1877" s="68">
        <f>IF(Z1877=1,IF(U1877="In",L1877,L1877-W1877),0)</f>
        <v/>
      </c>
      <c r="AB1877" s="68">
        <f>IF(Z1877=1,IF(U1877="In",L1877-W1877,L1877),0)</f>
        <v/>
      </c>
      <c r="AC1877" s="68">
        <f>IF(AND(Z1877=1,U1877="Out"),W1877,0)</f>
        <v/>
      </c>
      <c r="AD1877" s="68">
        <f>IF(AND(Z1877=1,U1877="In"),W1877,0)</f>
        <v/>
      </c>
    </row>
    <row r="1878">
      <c r="B1878" s="62" t="inlineStr">
        <is>
          <t>TX-1872</t>
        </is>
      </c>
      <c r="C1878" s="63" t="n"/>
      <c r="D1878" s="62" t="n"/>
      <c r="E1878" s="62" t="n"/>
      <c r="F1878" s="62" t="n"/>
      <c r="G1878" s="62" t="n"/>
      <c r="H1878" s="62" t="n"/>
      <c r="I1878" s="62" t="n"/>
      <c r="J1878" s="62" t="n"/>
      <c r="K1878" s="62" t="n"/>
      <c r="L1878" s="64" t="n"/>
      <c r="M1878" s="64" t="n"/>
      <c r="N1878" s="62" t="n"/>
      <c r="O1878" s="65">
        <f>IF(Z1878=1,L1878-W1878,"")</f>
        <v/>
      </c>
      <c r="P1878" s="66">
        <f>IF(V1878="","",IFERROR(INDEX(coa_Type,MATCH(V1878,coa_Name,0)),""))</f>
        <v/>
      </c>
      <c r="Q1878" s="66">
        <f>IF(Z1878=1,IF(U1878="In",K1878&amp;"",V1878),"")</f>
        <v/>
      </c>
      <c r="R1878" s="66">
        <f>IF(Z1878=1,IF(U1878="In",V1878,K1878&amp;""),"")</f>
        <v/>
      </c>
      <c r="S1878" s="66">
        <f>IF(X1878&lt;&gt;"","⛔ "&amp;X1878&amp;" — not posted",IF(Y1878&lt;&gt;"","⚠ "&amp;Y1878,IF(Z1878=1,"✓ OK","")))</f>
        <v/>
      </c>
      <c r="T1878" s="67">
        <f>IF(AND(C1878="",D1878="",E1878="",L1878="",K1878=""),1,0)</f>
        <v/>
      </c>
      <c r="U1878" s="67">
        <f>IFERROR(INDEX(tt_Dir,MATCH(D1878,tt_Type,0)),"")</f>
        <v/>
      </c>
      <c r="V1878" s="67">
        <f>IF(D1878="","",IFERROR(IF(INDEX(tt_Other,MATCH(D1878,tt_Type,0))="",E1878&amp;"",INDEX(tt_Other,MATCH(D1878,tt_Type,0))),""))</f>
        <v/>
      </c>
      <c r="W1878" s="68">
        <f>IF(OR(TaxOn&lt;&gt;"Yes",NOT(ISNUMBER(M1878))),0,IF(IFERROR(INDEX(tt_Tax,MATCH(D1878,tt_Type,0)),"No")="Yes",M1878,0))</f>
        <v/>
      </c>
      <c r="X1878" s="67">
        <f>IF(T1878=1,"",IF(C1878="","Missing transaction date",IF(NOT(ISNUMBER(C1878)),"Invalid date",IF(OR(C1878&lt;DATE(2000,1,1),C1878&gt;DATE(2099,12,31)),"Invalid date",IF(D1878="","Select a type",IF(U1878="","Unknown type: "&amp;D1878,IF(V1878="","Select an account (Category)",IF(ISNA(MATCH(V1878,coa_Name,0)),"Unknown account: "&amp;V1878,IF(K1878="","Select Paid From / Deposited To",IF(ISNA(MATCH(K1878,coa_Name,0)),"Unknown account: "&amp;K1878,IF(NOT(ISNUMBER(L1878)),"Enter an amount",IF(L1878=0,"Enter an amount",IF(ABS(W1878)&gt;ABS(L1878),"Tax is larger than the amount","")))))))))))))</f>
        <v/>
      </c>
      <c r="Y1878" s="67">
        <f>IF(OR(T1878=1,X1878&lt;&gt;""),"",IF(AND(B1878&lt;&gt;"",COUNTIF(tx_ID,B1878)&gt;1),"Duplicate transaction ID",IF(AND(L1878&lt;0,D1878&lt;&gt;"Adjustment"),"Negative amount — check this entry",IF(AND(D1878="Customer Payment",G1878=""),"Add the customer",IF(AND(D1878="Customer Payment",OR(J1878="",COUNTIF(ar_No,J1878&amp;"")=0)),"Invoice # in Reference not found on AR sheet",IF(AND(D1878="Bill Payment",H1878=""),"Add the vendor",IF(AND(D1878="Bill Payment",OR(J1878="",COUNTIFS(ap_No,J1878&amp;"",ap_Party,H1878&amp;"")=0)),"Bill # + vendor not found on AP sheet",IF(AND(ISNUMBER(M1878),N(M1878)&lt;&gt;0,W1878=0),"Tax ignored (tax tracking off, or not allowed for this type)",IF(V1878=K1878&amp;"","Same account on both sides",IF(AND(ISNUMBER(StartDate),C1878&lt;StartDate),"Date is before the accounting start date",IF(AND(D1878&lt;&gt;"Adjustment",IFERROR(INDEX(coa_Pay,MATCH(K1878&amp;"",coa_Name,0)),"")&lt;&gt;"Yes"),"Paid From / Deposited To is not a payment account","")))))))))))</f>
        <v/>
      </c>
      <c r="Z1878" s="67">
        <f>IF(AND(T1878=0,X1878=""),1,0)</f>
        <v/>
      </c>
      <c r="AA1878" s="68">
        <f>IF(Z1878=1,IF(U1878="In",L1878,L1878-W1878),0)</f>
        <v/>
      </c>
      <c r="AB1878" s="68">
        <f>IF(Z1878=1,IF(U1878="In",L1878-W1878,L1878),0)</f>
        <v/>
      </c>
      <c r="AC1878" s="68">
        <f>IF(AND(Z1878=1,U1878="Out"),W1878,0)</f>
        <v/>
      </c>
      <c r="AD1878" s="68">
        <f>IF(AND(Z1878=1,U1878="In"),W1878,0)</f>
        <v/>
      </c>
    </row>
    <row r="1879">
      <c r="B1879" s="62" t="inlineStr">
        <is>
          <t>TX-1873</t>
        </is>
      </c>
      <c r="C1879" s="63" t="n"/>
      <c r="D1879" s="62" t="n"/>
      <c r="E1879" s="62" t="n"/>
      <c r="F1879" s="62" t="n"/>
      <c r="G1879" s="62" t="n"/>
      <c r="H1879" s="62" t="n"/>
      <c r="I1879" s="62" t="n"/>
      <c r="J1879" s="62" t="n"/>
      <c r="K1879" s="62" t="n"/>
      <c r="L1879" s="64" t="n"/>
      <c r="M1879" s="64" t="n"/>
      <c r="N1879" s="62" t="n"/>
      <c r="O1879" s="65">
        <f>IF(Z1879=1,L1879-W1879,"")</f>
        <v/>
      </c>
      <c r="P1879" s="66">
        <f>IF(V1879="","",IFERROR(INDEX(coa_Type,MATCH(V1879,coa_Name,0)),""))</f>
        <v/>
      </c>
      <c r="Q1879" s="66">
        <f>IF(Z1879=1,IF(U1879="In",K1879&amp;"",V1879),"")</f>
        <v/>
      </c>
      <c r="R1879" s="66">
        <f>IF(Z1879=1,IF(U1879="In",V1879,K1879&amp;""),"")</f>
        <v/>
      </c>
      <c r="S1879" s="66">
        <f>IF(X1879&lt;&gt;"","⛔ "&amp;X1879&amp;" — not posted",IF(Y1879&lt;&gt;"","⚠ "&amp;Y1879,IF(Z1879=1,"✓ OK","")))</f>
        <v/>
      </c>
      <c r="T1879" s="67">
        <f>IF(AND(C1879="",D1879="",E1879="",L1879="",K1879=""),1,0)</f>
        <v/>
      </c>
      <c r="U1879" s="67">
        <f>IFERROR(INDEX(tt_Dir,MATCH(D1879,tt_Type,0)),"")</f>
        <v/>
      </c>
      <c r="V1879" s="67">
        <f>IF(D1879="","",IFERROR(IF(INDEX(tt_Other,MATCH(D1879,tt_Type,0))="",E1879&amp;"",INDEX(tt_Other,MATCH(D1879,tt_Type,0))),""))</f>
        <v/>
      </c>
      <c r="W1879" s="68">
        <f>IF(OR(TaxOn&lt;&gt;"Yes",NOT(ISNUMBER(M1879))),0,IF(IFERROR(INDEX(tt_Tax,MATCH(D1879,tt_Type,0)),"No")="Yes",M1879,0))</f>
        <v/>
      </c>
      <c r="X1879" s="67">
        <f>IF(T1879=1,"",IF(C1879="","Missing transaction date",IF(NOT(ISNUMBER(C1879)),"Invalid date",IF(OR(C1879&lt;DATE(2000,1,1),C1879&gt;DATE(2099,12,31)),"Invalid date",IF(D1879="","Select a type",IF(U1879="","Unknown type: "&amp;D1879,IF(V1879="","Select an account (Category)",IF(ISNA(MATCH(V1879,coa_Name,0)),"Unknown account: "&amp;V1879,IF(K1879="","Select Paid From / Deposited To",IF(ISNA(MATCH(K1879,coa_Name,0)),"Unknown account: "&amp;K1879,IF(NOT(ISNUMBER(L1879)),"Enter an amount",IF(L1879=0,"Enter an amount",IF(ABS(W1879)&gt;ABS(L1879),"Tax is larger than the amount","")))))))))))))</f>
        <v/>
      </c>
      <c r="Y1879" s="67">
        <f>IF(OR(T1879=1,X1879&lt;&gt;""),"",IF(AND(B1879&lt;&gt;"",COUNTIF(tx_ID,B1879)&gt;1),"Duplicate transaction ID",IF(AND(L1879&lt;0,D1879&lt;&gt;"Adjustment"),"Negative amount — check this entry",IF(AND(D1879="Customer Payment",G1879=""),"Add the customer",IF(AND(D1879="Customer Payment",OR(J1879="",COUNTIF(ar_No,J1879&amp;"")=0)),"Invoice # in Reference not found on AR sheet",IF(AND(D1879="Bill Payment",H1879=""),"Add the vendor",IF(AND(D1879="Bill Payment",OR(J1879="",COUNTIFS(ap_No,J1879&amp;"",ap_Party,H1879&amp;"")=0)),"Bill # + vendor not found on AP sheet",IF(AND(ISNUMBER(M1879),N(M1879)&lt;&gt;0,W1879=0),"Tax ignored (tax tracking off, or not allowed for this type)",IF(V1879=K1879&amp;"","Same account on both sides",IF(AND(ISNUMBER(StartDate),C1879&lt;StartDate),"Date is before the accounting start date",IF(AND(D1879&lt;&gt;"Adjustment",IFERROR(INDEX(coa_Pay,MATCH(K1879&amp;"",coa_Name,0)),"")&lt;&gt;"Yes"),"Paid From / Deposited To is not a payment account","")))))))))))</f>
        <v/>
      </c>
      <c r="Z1879" s="67">
        <f>IF(AND(T1879=0,X1879=""),1,0)</f>
        <v/>
      </c>
      <c r="AA1879" s="68">
        <f>IF(Z1879=1,IF(U1879="In",L1879,L1879-W1879),0)</f>
        <v/>
      </c>
      <c r="AB1879" s="68">
        <f>IF(Z1879=1,IF(U1879="In",L1879-W1879,L1879),0)</f>
        <v/>
      </c>
      <c r="AC1879" s="68">
        <f>IF(AND(Z1879=1,U1879="Out"),W1879,0)</f>
        <v/>
      </c>
      <c r="AD1879" s="68">
        <f>IF(AND(Z1879=1,U1879="In"),W1879,0)</f>
        <v/>
      </c>
    </row>
    <row r="1880">
      <c r="B1880" s="62" t="inlineStr">
        <is>
          <t>TX-1874</t>
        </is>
      </c>
      <c r="C1880" s="63" t="n"/>
      <c r="D1880" s="62" t="n"/>
      <c r="E1880" s="62" t="n"/>
      <c r="F1880" s="62" t="n"/>
      <c r="G1880" s="62" t="n"/>
      <c r="H1880" s="62" t="n"/>
      <c r="I1880" s="62" t="n"/>
      <c r="J1880" s="62" t="n"/>
      <c r="K1880" s="62" t="n"/>
      <c r="L1880" s="64" t="n"/>
      <c r="M1880" s="64" t="n"/>
      <c r="N1880" s="62" t="n"/>
      <c r="O1880" s="65">
        <f>IF(Z1880=1,L1880-W1880,"")</f>
        <v/>
      </c>
      <c r="P1880" s="66">
        <f>IF(V1880="","",IFERROR(INDEX(coa_Type,MATCH(V1880,coa_Name,0)),""))</f>
        <v/>
      </c>
      <c r="Q1880" s="66">
        <f>IF(Z1880=1,IF(U1880="In",K1880&amp;"",V1880),"")</f>
        <v/>
      </c>
      <c r="R1880" s="66">
        <f>IF(Z1880=1,IF(U1880="In",V1880,K1880&amp;""),"")</f>
        <v/>
      </c>
      <c r="S1880" s="66">
        <f>IF(X1880&lt;&gt;"","⛔ "&amp;X1880&amp;" — not posted",IF(Y1880&lt;&gt;"","⚠ "&amp;Y1880,IF(Z1880=1,"✓ OK","")))</f>
        <v/>
      </c>
      <c r="T1880" s="67">
        <f>IF(AND(C1880="",D1880="",E1880="",L1880="",K1880=""),1,0)</f>
        <v/>
      </c>
      <c r="U1880" s="67">
        <f>IFERROR(INDEX(tt_Dir,MATCH(D1880,tt_Type,0)),"")</f>
        <v/>
      </c>
      <c r="V1880" s="67">
        <f>IF(D1880="","",IFERROR(IF(INDEX(tt_Other,MATCH(D1880,tt_Type,0))="",E1880&amp;"",INDEX(tt_Other,MATCH(D1880,tt_Type,0))),""))</f>
        <v/>
      </c>
      <c r="W1880" s="68">
        <f>IF(OR(TaxOn&lt;&gt;"Yes",NOT(ISNUMBER(M1880))),0,IF(IFERROR(INDEX(tt_Tax,MATCH(D1880,tt_Type,0)),"No")="Yes",M1880,0))</f>
        <v/>
      </c>
      <c r="X1880" s="67">
        <f>IF(T1880=1,"",IF(C1880="","Missing transaction date",IF(NOT(ISNUMBER(C1880)),"Invalid date",IF(OR(C1880&lt;DATE(2000,1,1),C1880&gt;DATE(2099,12,31)),"Invalid date",IF(D1880="","Select a type",IF(U1880="","Unknown type: "&amp;D1880,IF(V1880="","Select an account (Category)",IF(ISNA(MATCH(V1880,coa_Name,0)),"Unknown account: "&amp;V1880,IF(K1880="","Select Paid From / Deposited To",IF(ISNA(MATCH(K1880,coa_Name,0)),"Unknown account: "&amp;K1880,IF(NOT(ISNUMBER(L1880)),"Enter an amount",IF(L1880=0,"Enter an amount",IF(ABS(W1880)&gt;ABS(L1880),"Tax is larger than the amount","")))))))))))))</f>
        <v/>
      </c>
      <c r="Y1880" s="67">
        <f>IF(OR(T1880=1,X1880&lt;&gt;""),"",IF(AND(B1880&lt;&gt;"",COUNTIF(tx_ID,B1880)&gt;1),"Duplicate transaction ID",IF(AND(L1880&lt;0,D1880&lt;&gt;"Adjustment"),"Negative amount — check this entry",IF(AND(D1880="Customer Payment",G1880=""),"Add the customer",IF(AND(D1880="Customer Payment",OR(J1880="",COUNTIF(ar_No,J1880&amp;"")=0)),"Invoice # in Reference not found on AR sheet",IF(AND(D1880="Bill Payment",H1880=""),"Add the vendor",IF(AND(D1880="Bill Payment",OR(J1880="",COUNTIFS(ap_No,J1880&amp;"",ap_Party,H1880&amp;"")=0)),"Bill # + vendor not found on AP sheet",IF(AND(ISNUMBER(M1880),N(M1880)&lt;&gt;0,W1880=0),"Tax ignored (tax tracking off, or not allowed for this type)",IF(V1880=K1880&amp;"","Same account on both sides",IF(AND(ISNUMBER(StartDate),C1880&lt;StartDate),"Date is before the accounting start date",IF(AND(D1880&lt;&gt;"Adjustment",IFERROR(INDEX(coa_Pay,MATCH(K1880&amp;"",coa_Name,0)),"")&lt;&gt;"Yes"),"Paid From / Deposited To is not a payment account","")))))))))))</f>
        <v/>
      </c>
      <c r="Z1880" s="67">
        <f>IF(AND(T1880=0,X1880=""),1,0)</f>
        <v/>
      </c>
      <c r="AA1880" s="68">
        <f>IF(Z1880=1,IF(U1880="In",L1880,L1880-W1880),0)</f>
        <v/>
      </c>
      <c r="AB1880" s="68">
        <f>IF(Z1880=1,IF(U1880="In",L1880-W1880,L1880),0)</f>
        <v/>
      </c>
      <c r="AC1880" s="68">
        <f>IF(AND(Z1880=1,U1880="Out"),W1880,0)</f>
        <v/>
      </c>
      <c r="AD1880" s="68">
        <f>IF(AND(Z1880=1,U1880="In"),W1880,0)</f>
        <v/>
      </c>
    </row>
    <row r="1881">
      <c r="B1881" s="62" t="inlineStr">
        <is>
          <t>TX-1875</t>
        </is>
      </c>
      <c r="C1881" s="63" t="n"/>
      <c r="D1881" s="62" t="n"/>
      <c r="E1881" s="62" t="n"/>
      <c r="F1881" s="62" t="n"/>
      <c r="G1881" s="62" t="n"/>
      <c r="H1881" s="62" t="n"/>
      <c r="I1881" s="62" t="n"/>
      <c r="J1881" s="62" t="n"/>
      <c r="K1881" s="62" t="n"/>
      <c r="L1881" s="64" t="n"/>
      <c r="M1881" s="64" t="n"/>
      <c r="N1881" s="62" t="n"/>
      <c r="O1881" s="65">
        <f>IF(Z1881=1,L1881-W1881,"")</f>
        <v/>
      </c>
      <c r="P1881" s="66">
        <f>IF(V1881="","",IFERROR(INDEX(coa_Type,MATCH(V1881,coa_Name,0)),""))</f>
        <v/>
      </c>
      <c r="Q1881" s="66">
        <f>IF(Z1881=1,IF(U1881="In",K1881&amp;"",V1881),"")</f>
        <v/>
      </c>
      <c r="R1881" s="66">
        <f>IF(Z1881=1,IF(U1881="In",V1881,K1881&amp;""),"")</f>
        <v/>
      </c>
      <c r="S1881" s="66">
        <f>IF(X1881&lt;&gt;"","⛔ "&amp;X1881&amp;" — not posted",IF(Y1881&lt;&gt;"","⚠ "&amp;Y1881,IF(Z1881=1,"✓ OK","")))</f>
        <v/>
      </c>
      <c r="T1881" s="67">
        <f>IF(AND(C1881="",D1881="",E1881="",L1881="",K1881=""),1,0)</f>
        <v/>
      </c>
      <c r="U1881" s="67">
        <f>IFERROR(INDEX(tt_Dir,MATCH(D1881,tt_Type,0)),"")</f>
        <v/>
      </c>
      <c r="V1881" s="67">
        <f>IF(D1881="","",IFERROR(IF(INDEX(tt_Other,MATCH(D1881,tt_Type,0))="",E1881&amp;"",INDEX(tt_Other,MATCH(D1881,tt_Type,0))),""))</f>
        <v/>
      </c>
      <c r="W1881" s="68">
        <f>IF(OR(TaxOn&lt;&gt;"Yes",NOT(ISNUMBER(M1881))),0,IF(IFERROR(INDEX(tt_Tax,MATCH(D1881,tt_Type,0)),"No")="Yes",M1881,0))</f>
        <v/>
      </c>
      <c r="X1881" s="67">
        <f>IF(T1881=1,"",IF(C1881="","Missing transaction date",IF(NOT(ISNUMBER(C1881)),"Invalid date",IF(OR(C1881&lt;DATE(2000,1,1),C1881&gt;DATE(2099,12,31)),"Invalid date",IF(D1881="","Select a type",IF(U1881="","Unknown type: "&amp;D1881,IF(V1881="","Select an account (Category)",IF(ISNA(MATCH(V1881,coa_Name,0)),"Unknown account: "&amp;V1881,IF(K1881="","Select Paid From / Deposited To",IF(ISNA(MATCH(K1881,coa_Name,0)),"Unknown account: "&amp;K1881,IF(NOT(ISNUMBER(L1881)),"Enter an amount",IF(L1881=0,"Enter an amount",IF(ABS(W1881)&gt;ABS(L1881),"Tax is larger than the amount","")))))))))))))</f>
        <v/>
      </c>
      <c r="Y1881" s="67">
        <f>IF(OR(T1881=1,X1881&lt;&gt;""),"",IF(AND(B1881&lt;&gt;"",COUNTIF(tx_ID,B1881)&gt;1),"Duplicate transaction ID",IF(AND(L1881&lt;0,D1881&lt;&gt;"Adjustment"),"Negative amount — check this entry",IF(AND(D1881="Customer Payment",G1881=""),"Add the customer",IF(AND(D1881="Customer Payment",OR(J1881="",COUNTIF(ar_No,J1881&amp;"")=0)),"Invoice # in Reference not found on AR sheet",IF(AND(D1881="Bill Payment",H1881=""),"Add the vendor",IF(AND(D1881="Bill Payment",OR(J1881="",COUNTIFS(ap_No,J1881&amp;"",ap_Party,H1881&amp;"")=0)),"Bill # + vendor not found on AP sheet",IF(AND(ISNUMBER(M1881),N(M1881)&lt;&gt;0,W1881=0),"Tax ignored (tax tracking off, or not allowed for this type)",IF(V1881=K1881&amp;"","Same account on both sides",IF(AND(ISNUMBER(StartDate),C1881&lt;StartDate),"Date is before the accounting start date",IF(AND(D1881&lt;&gt;"Adjustment",IFERROR(INDEX(coa_Pay,MATCH(K1881&amp;"",coa_Name,0)),"")&lt;&gt;"Yes"),"Paid From / Deposited To is not a payment account","")))))))))))</f>
        <v/>
      </c>
      <c r="Z1881" s="67">
        <f>IF(AND(T1881=0,X1881=""),1,0)</f>
        <v/>
      </c>
      <c r="AA1881" s="68">
        <f>IF(Z1881=1,IF(U1881="In",L1881,L1881-W1881),0)</f>
        <v/>
      </c>
      <c r="AB1881" s="68">
        <f>IF(Z1881=1,IF(U1881="In",L1881-W1881,L1881),0)</f>
        <v/>
      </c>
      <c r="AC1881" s="68">
        <f>IF(AND(Z1881=1,U1881="Out"),W1881,0)</f>
        <v/>
      </c>
      <c r="AD1881" s="68">
        <f>IF(AND(Z1881=1,U1881="In"),W1881,0)</f>
        <v/>
      </c>
    </row>
    <row r="1882">
      <c r="B1882" s="62" t="inlineStr">
        <is>
          <t>TX-1876</t>
        </is>
      </c>
      <c r="C1882" s="63" t="n"/>
      <c r="D1882" s="62" t="n"/>
      <c r="E1882" s="62" t="n"/>
      <c r="F1882" s="62" t="n"/>
      <c r="G1882" s="62" t="n"/>
      <c r="H1882" s="62" t="n"/>
      <c r="I1882" s="62" t="n"/>
      <c r="J1882" s="62" t="n"/>
      <c r="K1882" s="62" t="n"/>
      <c r="L1882" s="64" t="n"/>
      <c r="M1882" s="64" t="n"/>
      <c r="N1882" s="62" t="n"/>
      <c r="O1882" s="65">
        <f>IF(Z1882=1,L1882-W1882,"")</f>
        <v/>
      </c>
      <c r="P1882" s="66">
        <f>IF(V1882="","",IFERROR(INDEX(coa_Type,MATCH(V1882,coa_Name,0)),""))</f>
        <v/>
      </c>
      <c r="Q1882" s="66">
        <f>IF(Z1882=1,IF(U1882="In",K1882&amp;"",V1882),"")</f>
        <v/>
      </c>
      <c r="R1882" s="66">
        <f>IF(Z1882=1,IF(U1882="In",V1882,K1882&amp;""),"")</f>
        <v/>
      </c>
      <c r="S1882" s="66">
        <f>IF(X1882&lt;&gt;"","⛔ "&amp;X1882&amp;" — not posted",IF(Y1882&lt;&gt;"","⚠ "&amp;Y1882,IF(Z1882=1,"✓ OK","")))</f>
        <v/>
      </c>
      <c r="T1882" s="67">
        <f>IF(AND(C1882="",D1882="",E1882="",L1882="",K1882=""),1,0)</f>
        <v/>
      </c>
      <c r="U1882" s="67">
        <f>IFERROR(INDEX(tt_Dir,MATCH(D1882,tt_Type,0)),"")</f>
        <v/>
      </c>
      <c r="V1882" s="67">
        <f>IF(D1882="","",IFERROR(IF(INDEX(tt_Other,MATCH(D1882,tt_Type,0))="",E1882&amp;"",INDEX(tt_Other,MATCH(D1882,tt_Type,0))),""))</f>
        <v/>
      </c>
      <c r="W1882" s="68">
        <f>IF(OR(TaxOn&lt;&gt;"Yes",NOT(ISNUMBER(M1882))),0,IF(IFERROR(INDEX(tt_Tax,MATCH(D1882,tt_Type,0)),"No")="Yes",M1882,0))</f>
        <v/>
      </c>
      <c r="X1882" s="67">
        <f>IF(T1882=1,"",IF(C1882="","Missing transaction date",IF(NOT(ISNUMBER(C1882)),"Invalid date",IF(OR(C1882&lt;DATE(2000,1,1),C1882&gt;DATE(2099,12,31)),"Invalid date",IF(D1882="","Select a type",IF(U1882="","Unknown type: "&amp;D1882,IF(V1882="","Select an account (Category)",IF(ISNA(MATCH(V1882,coa_Name,0)),"Unknown account: "&amp;V1882,IF(K1882="","Select Paid From / Deposited To",IF(ISNA(MATCH(K1882,coa_Name,0)),"Unknown account: "&amp;K1882,IF(NOT(ISNUMBER(L1882)),"Enter an amount",IF(L1882=0,"Enter an amount",IF(ABS(W1882)&gt;ABS(L1882),"Tax is larger than the amount","")))))))))))))</f>
        <v/>
      </c>
      <c r="Y1882" s="67">
        <f>IF(OR(T1882=1,X1882&lt;&gt;""),"",IF(AND(B1882&lt;&gt;"",COUNTIF(tx_ID,B1882)&gt;1),"Duplicate transaction ID",IF(AND(L1882&lt;0,D1882&lt;&gt;"Adjustment"),"Negative amount — check this entry",IF(AND(D1882="Customer Payment",G1882=""),"Add the customer",IF(AND(D1882="Customer Payment",OR(J1882="",COUNTIF(ar_No,J1882&amp;"")=0)),"Invoice # in Reference not found on AR sheet",IF(AND(D1882="Bill Payment",H1882=""),"Add the vendor",IF(AND(D1882="Bill Payment",OR(J1882="",COUNTIFS(ap_No,J1882&amp;"",ap_Party,H1882&amp;"")=0)),"Bill # + vendor not found on AP sheet",IF(AND(ISNUMBER(M1882),N(M1882)&lt;&gt;0,W1882=0),"Tax ignored (tax tracking off, or not allowed for this type)",IF(V1882=K1882&amp;"","Same account on both sides",IF(AND(ISNUMBER(StartDate),C1882&lt;StartDate),"Date is before the accounting start date",IF(AND(D1882&lt;&gt;"Adjustment",IFERROR(INDEX(coa_Pay,MATCH(K1882&amp;"",coa_Name,0)),"")&lt;&gt;"Yes"),"Paid From / Deposited To is not a payment account","")))))))))))</f>
        <v/>
      </c>
      <c r="Z1882" s="67">
        <f>IF(AND(T1882=0,X1882=""),1,0)</f>
        <v/>
      </c>
      <c r="AA1882" s="68">
        <f>IF(Z1882=1,IF(U1882="In",L1882,L1882-W1882),0)</f>
        <v/>
      </c>
      <c r="AB1882" s="68">
        <f>IF(Z1882=1,IF(U1882="In",L1882-W1882,L1882),0)</f>
        <v/>
      </c>
      <c r="AC1882" s="68">
        <f>IF(AND(Z1882=1,U1882="Out"),W1882,0)</f>
        <v/>
      </c>
      <c r="AD1882" s="68">
        <f>IF(AND(Z1882=1,U1882="In"),W1882,0)</f>
        <v/>
      </c>
    </row>
    <row r="1883">
      <c r="B1883" s="62" t="inlineStr">
        <is>
          <t>TX-1877</t>
        </is>
      </c>
      <c r="C1883" s="63" t="n"/>
      <c r="D1883" s="62" t="n"/>
      <c r="E1883" s="62" t="n"/>
      <c r="F1883" s="62" t="n"/>
      <c r="G1883" s="62" t="n"/>
      <c r="H1883" s="62" t="n"/>
      <c r="I1883" s="62" t="n"/>
      <c r="J1883" s="62" t="n"/>
      <c r="K1883" s="62" t="n"/>
      <c r="L1883" s="64" t="n"/>
      <c r="M1883" s="64" t="n"/>
      <c r="N1883" s="62" t="n"/>
      <c r="O1883" s="65">
        <f>IF(Z1883=1,L1883-W1883,"")</f>
        <v/>
      </c>
      <c r="P1883" s="66">
        <f>IF(V1883="","",IFERROR(INDEX(coa_Type,MATCH(V1883,coa_Name,0)),""))</f>
        <v/>
      </c>
      <c r="Q1883" s="66">
        <f>IF(Z1883=1,IF(U1883="In",K1883&amp;"",V1883),"")</f>
        <v/>
      </c>
      <c r="R1883" s="66">
        <f>IF(Z1883=1,IF(U1883="In",V1883,K1883&amp;""),"")</f>
        <v/>
      </c>
      <c r="S1883" s="66">
        <f>IF(X1883&lt;&gt;"","⛔ "&amp;X1883&amp;" — not posted",IF(Y1883&lt;&gt;"","⚠ "&amp;Y1883,IF(Z1883=1,"✓ OK","")))</f>
        <v/>
      </c>
      <c r="T1883" s="67">
        <f>IF(AND(C1883="",D1883="",E1883="",L1883="",K1883=""),1,0)</f>
        <v/>
      </c>
      <c r="U1883" s="67">
        <f>IFERROR(INDEX(tt_Dir,MATCH(D1883,tt_Type,0)),"")</f>
        <v/>
      </c>
      <c r="V1883" s="67">
        <f>IF(D1883="","",IFERROR(IF(INDEX(tt_Other,MATCH(D1883,tt_Type,0))="",E1883&amp;"",INDEX(tt_Other,MATCH(D1883,tt_Type,0))),""))</f>
        <v/>
      </c>
      <c r="W1883" s="68">
        <f>IF(OR(TaxOn&lt;&gt;"Yes",NOT(ISNUMBER(M1883))),0,IF(IFERROR(INDEX(tt_Tax,MATCH(D1883,tt_Type,0)),"No")="Yes",M1883,0))</f>
        <v/>
      </c>
      <c r="X1883" s="67">
        <f>IF(T1883=1,"",IF(C1883="","Missing transaction date",IF(NOT(ISNUMBER(C1883)),"Invalid date",IF(OR(C1883&lt;DATE(2000,1,1),C1883&gt;DATE(2099,12,31)),"Invalid date",IF(D1883="","Select a type",IF(U1883="","Unknown type: "&amp;D1883,IF(V1883="","Select an account (Category)",IF(ISNA(MATCH(V1883,coa_Name,0)),"Unknown account: "&amp;V1883,IF(K1883="","Select Paid From / Deposited To",IF(ISNA(MATCH(K1883,coa_Name,0)),"Unknown account: "&amp;K1883,IF(NOT(ISNUMBER(L1883)),"Enter an amount",IF(L1883=0,"Enter an amount",IF(ABS(W1883)&gt;ABS(L1883),"Tax is larger than the amount","")))))))))))))</f>
        <v/>
      </c>
      <c r="Y1883" s="67">
        <f>IF(OR(T1883=1,X1883&lt;&gt;""),"",IF(AND(B1883&lt;&gt;"",COUNTIF(tx_ID,B1883)&gt;1),"Duplicate transaction ID",IF(AND(L1883&lt;0,D1883&lt;&gt;"Adjustment"),"Negative amount — check this entry",IF(AND(D1883="Customer Payment",G1883=""),"Add the customer",IF(AND(D1883="Customer Payment",OR(J1883="",COUNTIF(ar_No,J1883&amp;"")=0)),"Invoice # in Reference not found on AR sheet",IF(AND(D1883="Bill Payment",H1883=""),"Add the vendor",IF(AND(D1883="Bill Payment",OR(J1883="",COUNTIFS(ap_No,J1883&amp;"",ap_Party,H1883&amp;"")=0)),"Bill # + vendor not found on AP sheet",IF(AND(ISNUMBER(M1883),N(M1883)&lt;&gt;0,W1883=0),"Tax ignored (tax tracking off, or not allowed for this type)",IF(V1883=K1883&amp;"","Same account on both sides",IF(AND(ISNUMBER(StartDate),C1883&lt;StartDate),"Date is before the accounting start date",IF(AND(D1883&lt;&gt;"Adjustment",IFERROR(INDEX(coa_Pay,MATCH(K1883&amp;"",coa_Name,0)),"")&lt;&gt;"Yes"),"Paid From / Deposited To is not a payment account","")))))))))))</f>
        <v/>
      </c>
      <c r="Z1883" s="67">
        <f>IF(AND(T1883=0,X1883=""),1,0)</f>
        <v/>
      </c>
      <c r="AA1883" s="68">
        <f>IF(Z1883=1,IF(U1883="In",L1883,L1883-W1883),0)</f>
        <v/>
      </c>
      <c r="AB1883" s="68">
        <f>IF(Z1883=1,IF(U1883="In",L1883-W1883,L1883),0)</f>
        <v/>
      </c>
      <c r="AC1883" s="68">
        <f>IF(AND(Z1883=1,U1883="Out"),W1883,0)</f>
        <v/>
      </c>
      <c r="AD1883" s="68">
        <f>IF(AND(Z1883=1,U1883="In"),W1883,0)</f>
        <v/>
      </c>
    </row>
    <row r="1884">
      <c r="B1884" s="62" t="inlineStr">
        <is>
          <t>TX-1878</t>
        </is>
      </c>
      <c r="C1884" s="63" t="n"/>
      <c r="D1884" s="62" t="n"/>
      <c r="E1884" s="62" t="n"/>
      <c r="F1884" s="62" t="n"/>
      <c r="G1884" s="62" t="n"/>
      <c r="H1884" s="62" t="n"/>
      <c r="I1884" s="62" t="n"/>
      <c r="J1884" s="62" t="n"/>
      <c r="K1884" s="62" t="n"/>
      <c r="L1884" s="64" t="n"/>
      <c r="M1884" s="64" t="n"/>
      <c r="N1884" s="62" t="n"/>
      <c r="O1884" s="65">
        <f>IF(Z1884=1,L1884-W1884,"")</f>
        <v/>
      </c>
      <c r="P1884" s="66">
        <f>IF(V1884="","",IFERROR(INDEX(coa_Type,MATCH(V1884,coa_Name,0)),""))</f>
        <v/>
      </c>
      <c r="Q1884" s="66">
        <f>IF(Z1884=1,IF(U1884="In",K1884&amp;"",V1884),"")</f>
        <v/>
      </c>
      <c r="R1884" s="66">
        <f>IF(Z1884=1,IF(U1884="In",V1884,K1884&amp;""),"")</f>
        <v/>
      </c>
      <c r="S1884" s="66">
        <f>IF(X1884&lt;&gt;"","⛔ "&amp;X1884&amp;" — not posted",IF(Y1884&lt;&gt;"","⚠ "&amp;Y1884,IF(Z1884=1,"✓ OK","")))</f>
        <v/>
      </c>
      <c r="T1884" s="67">
        <f>IF(AND(C1884="",D1884="",E1884="",L1884="",K1884=""),1,0)</f>
        <v/>
      </c>
      <c r="U1884" s="67">
        <f>IFERROR(INDEX(tt_Dir,MATCH(D1884,tt_Type,0)),"")</f>
        <v/>
      </c>
      <c r="V1884" s="67">
        <f>IF(D1884="","",IFERROR(IF(INDEX(tt_Other,MATCH(D1884,tt_Type,0))="",E1884&amp;"",INDEX(tt_Other,MATCH(D1884,tt_Type,0))),""))</f>
        <v/>
      </c>
      <c r="W1884" s="68">
        <f>IF(OR(TaxOn&lt;&gt;"Yes",NOT(ISNUMBER(M1884))),0,IF(IFERROR(INDEX(tt_Tax,MATCH(D1884,tt_Type,0)),"No")="Yes",M1884,0))</f>
        <v/>
      </c>
      <c r="X1884" s="67">
        <f>IF(T1884=1,"",IF(C1884="","Missing transaction date",IF(NOT(ISNUMBER(C1884)),"Invalid date",IF(OR(C1884&lt;DATE(2000,1,1),C1884&gt;DATE(2099,12,31)),"Invalid date",IF(D1884="","Select a type",IF(U1884="","Unknown type: "&amp;D1884,IF(V1884="","Select an account (Category)",IF(ISNA(MATCH(V1884,coa_Name,0)),"Unknown account: "&amp;V1884,IF(K1884="","Select Paid From / Deposited To",IF(ISNA(MATCH(K1884,coa_Name,0)),"Unknown account: "&amp;K1884,IF(NOT(ISNUMBER(L1884)),"Enter an amount",IF(L1884=0,"Enter an amount",IF(ABS(W1884)&gt;ABS(L1884),"Tax is larger than the amount","")))))))))))))</f>
        <v/>
      </c>
      <c r="Y1884" s="67">
        <f>IF(OR(T1884=1,X1884&lt;&gt;""),"",IF(AND(B1884&lt;&gt;"",COUNTIF(tx_ID,B1884)&gt;1),"Duplicate transaction ID",IF(AND(L1884&lt;0,D1884&lt;&gt;"Adjustment"),"Negative amount — check this entry",IF(AND(D1884="Customer Payment",G1884=""),"Add the customer",IF(AND(D1884="Customer Payment",OR(J1884="",COUNTIF(ar_No,J1884&amp;"")=0)),"Invoice # in Reference not found on AR sheet",IF(AND(D1884="Bill Payment",H1884=""),"Add the vendor",IF(AND(D1884="Bill Payment",OR(J1884="",COUNTIFS(ap_No,J1884&amp;"",ap_Party,H1884&amp;"")=0)),"Bill # + vendor not found on AP sheet",IF(AND(ISNUMBER(M1884),N(M1884)&lt;&gt;0,W1884=0),"Tax ignored (tax tracking off, or not allowed for this type)",IF(V1884=K1884&amp;"","Same account on both sides",IF(AND(ISNUMBER(StartDate),C1884&lt;StartDate),"Date is before the accounting start date",IF(AND(D1884&lt;&gt;"Adjustment",IFERROR(INDEX(coa_Pay,MATCH(K1884&amp;"",coa_Name,0)),"")&lt;&gt;"Yes"),"Paid From / Deposited To is not a payment account","")))))))))))</f>
        <v/>
      </c>
      <c r="Z1884" s="67">
        <f>IF(AND(T1884=0,X1884=""),1,0)</f>
        <v/>
      </c>
      <c r="AA1884" s="68">
        <f>IF(Z1884=1,IF(U1884="In",L1884,L1884-W1884),0)</f>
        <v/>
      </c>
      <c r="AB1884" s="68">
        <f>IF(Z1884=1,IF(U1884="In",L1884-W1884,L1884),0)</f>
        <v/>
      </c>
      <c r="AC1884" s="68">
        <f>IF(AND(Z1884=1,U1884="Out"),W1884,0)</f>
        <v/>
      </c>
      <c r="AD1884" s="68">
        <f>IF(AND(Z1884=1,U1884="In"),W1884,0)</f>
        <v/>
      </c>
    </row>
    <row r="1885">
      <c r="B1885" s="62" t="inlineStr">
        <is>
          <t>TX-1879</t>
        </is>
      </c>
      <c r="C1885" s="63" t="n"/>
      <c r="D1885" s="62" t="n"/>
      <c r="E1885" s="62" t="n"/>
      <c r="F1885" s="62" t="n"/>
      <c r="G1885" s="62" t="n"/>
      <c r="H1885" s="62" t="n"/>
      <c r="I1885" s="62" t="n"/>
      <c r="J1885" s="62" t="n"/>
      <c r="K1885" s="62" t="n"/>
      <c r="L1885" s="64" t="n"/>
      <c r="M1885" s="64" t="n"/>
      <c r="N1885" s="62" t="n"/>
      <c r="O1885" s="65">
        <f>IF(Z1885=1,L1885-W1885,"")</f>
        <v/>
      </c>
      <c r="P1885" s="66">
        <f>IF(V1885="","",IFERROR(INDEX(coa_Type,MATCH(V1885,coa_Name,0)),""))</f>
        <v/>
      </c>
      <c r="Q1885" s="66">
        <f>IF(Z1885=1,IF(U1885="In",K1885&amp;"",V1885),"")</f>
        <v/>
      </c>
      <c r="R1885" s="66">
        <f>IF(Z1885=1,IF(U1885="In",V1885,K1885&amp;""),"")</f>
        <v/>
      </c>
      <c r="S1885" s="66">
        <f>IF(X1885&lt;&gt;"","⛔ "&amp;X1885&amp;" — not posted",IF(Y1885&lt;&gt;"","⚠ "&amp;Y1885,IF(Z1885=1,"✓ OK","")))</f>
        <v/>
      </c>
      <c r="T1885" s="67">
        <f>IF(AND(C1885="",D1885="",E1885="",L1885="",K1885=""),1,0)</f>
        <v/>
      </c>
      <c r="U1885" s="67">
        <f>IFERROR(INDEX(tt_Dir,MATCH(D1885,tt_Type,0)),"")</f>
        <v/>
      </c>
      <c r="V1885" s="67">
        <f>IF(D1885="","",IFERROR(IF(INDEX(tt_Other,MATCH(D1885,tt_Type,0))="",E1885&amp;"",INDEX(tt_Other,MATCH(D1885,tt_Type,0))),""))</f>
        <v/>
      </c>
      <c r="W1885" s="68">
        <f>IF(OR(TaxOn&lt;&gt;"Yes",NOT(ISNUMBER(M1885))),0,IF(IFERROR(INDEX(tt_Tax,MATCH(D1885,tt_Type,0)),"No")="Yes",M1885,0))</f>
        <v/>
      </c>
      <c r="X1885" s="67">
        <f>IF(T1885=1,"",IF(C1885="","Missing transaction date",IF(NOT(ISNUMBER(C1885)),"Invalid date",IF(OR(C1885&lt;DATE(2000,1,1),C1885&gt;DATE(2099,12,31)),"Invalid date",IF(D1885="","Select a type",IF(U1885="","Unknown type: "&amp;D1885,IF(V1885="","Select an account (Category)",IF(ISNA(MATCH(V1885,coa_Name,0)),"Unknown account: "&amp;V1885,IF(K1885="","Select Paid From / Deposited To",IF(ISNA(MATCH(K1885,coa_Name,0)),"Unknown account: "&amp;K1885,IF(NOT(ISNUMBER(L1885)),"Enter an amount",IF(L1885=0,"Enter an amount",IF(ABS(W1885)&gt;ABS(L1885),"Tax is larger than the amount","")))))))))))))</f>
        <v/>
      </c>
      <c r="Y1885" s="67">
        <f>IF(OR(T1885=1,X1885&lt;&gt;""),"",IF(AND(B1885&lt;&gt;"",COUNTIF(tx_ID,B1885)&gt;1),"Duplicate transaction ID",IF(AND(L1885&lt;0,D1885&lt;&gt;"Adjustment"),"Negative amount — check this entry",IF(AND(D1885="Customer Payment",G1885=""),"Add the customer",IF(AND(D1885="Customer Payment",OR(J1885="",COUNTIF(ar_No,J1885&amp;"")=0)),"Invoice # in Reference not found on AR sheet",IF(AND(D1885="Bill Payment",H1885=""),"Add the vendor",IF(AND(D1885="Bill Payment",OR(J1885="",COUNTIFS(ap_No,J1885&amp;"",ap_Party,H1885&amp;"")=0)),"Bill # + vendor not found on AP sheet",IF(AND(ISNUMBER(M1885),N(M1885)&lt;&gt;0,W1885=0),"Tax ignored (tax tracking off, or not allowed for this type)",IF(V1885=K1885&amp;"","Same account on both sides",IF(AND(ISNUMBER(StartDate),C1885&lt;StartDate),"Date is before the accounting start date",IF(AND(D1885&lt;&gt;"Adjustment",IFERROR(INDEX(coa_Pay,MATCH(K1885&amp;"",coa_Name,0)),"")&lt;&gt;"Yes"),"Paid From / Deposited To is not a payment account","")))))))))))</f>
        <v/>
      </c>
      <c r="Z1885" s="67">
        <f>IF(AND(T1885=0,X1885=""),1,0)</f>
        <v/>
      </c>
      <c r="AA1885" s="68">
        <f>IF(Z1885=1,IF(U1885="In",L1885,L1885-W1885),0)</f>
        <v/>
      </c>
      <c r="AB1885" s="68">
        <f>IF(Z1885=1,IF(U1885="In",L1885-W1885,L1885),0)</f>
        <v/>
      </c>
      <c r="AC1885" s="68">
        <f>IF(AND(Z1885=1,U1885="Out"),W1885,0)</f>
        <v/>
      </c>
      <c r="AD1885" s="68">
        <f>IF(AND(Z1885=1,U1885="In"),W1885,0)</f>
        <v/>
      </c>
    </row>
    <row r="1886">
      <c r="B1886" s="62" t="inlineStr">
        <is>
          <t>TX-1880</t>
        </is>
      </c>
      <c r="C1886" s="63" t="n"/>
      <c r="D1886" s="62" t="n"/>
      <c r="E1886" s="62" t="n"/>
      <c r="F1886" s="62" t="n"/>
      <c r="G1886" s="62" t="n"/>
      <c r="H1886" s="62" t="n"/>
      <c r="I1886" s="62" t="n"/>
      <c r="J1886" s="62" t="n"/>
      <c r="K1886" s="62" t="n"/>
      <c r="L1886" s="64" t="n"/>
      <c r="M1886" s="64" t="n"/>
      <c r="N1886" s="62" t="n"/>
      <c r="O1886" s="65">
        <f>IF(Z1886=1,L1886-W1886,"")</f>
        <v/>
      </c>
      <c r="P1886" s="66">
        <f>IF(V1886="","",IFERROR(INDEX(coa_Type,MATCH(V1886,coa_Name,0)),""))</f>
        <v/>
      </c>
      <c r="Q1886" s="66">
        <f>IF(Z1886=1,IF(U1886="In",K1886&amp;"",V1886),"")</f>
        <v/>
      </c>
      <c r="R1886" s="66">
        <f>IF(Z1886=1,IF(U1886="In",V1886,K1886&amp;""),"")</f>
        <v/>
      </c>
      <c r="S1886" s="66">
        <f>IF(X1886&lt;&gt;"","⛔ "&amp;X1886&amp;" — not posted",IF(Y1886&lt;&gt;"","⚠ "&amp;Y1886,IF(Z1886=1,"✓ OK","")))</f>
        <v/>
      </c>
      <c r="T1886" s="67">
        <f>IF(AND(C1886="",D1886="",E1886="",L1886="",K1886=""),1,0)</f>
        <v/>
      </c>
      <c r="U1886" s="67">
        <f>IFERROR(INDEX(tt_Dir,MATCH(D1886,tt_Type,0)),"")</f>
        <v/>
      </c>
      <c r="V1886" s="67">
        <f>IF(D1886="","",IFERROR(IF(INDEX(tt_Other,MATCH(D1886,tt_Type,0))="",E1886&amp;"",INDEX(tt_Other,MATCH(D1886,tt_Type,0))),""))</f>
        <v/>
      </c>
      <c r="W1886" s="68">
        <f>IF(OR(TaxOn&lt;&gt;"Yes",NOT(ISNUMBER(M1886))),0,IF(IFERROR(INDEX(tt_Tax,MATCH(D1886,tt_Type,0)),"No")="Yes",M1886,0))</f>
        <v/>
      </c>
      <c r="X1886" s="67">
        <f>IF(T1886=1,"",IF(C1886="","Missing transaction date",IF(NOT(ISNUMBER(C1886)),"Invalid date",IF(OR(C1886&lt;DATE(2000,1,1),C1886&gt;DATE(2099,12,31)),"Invalid date",IF(D1886="","Select a type",IF(U1886="","Unknown type: "&amp;D1886,IF(V1886="","Select an account (Category)",IF(ISNA(MATCH(V1886,coa_Name,0)),"Unknown account: "&amp;V1886,IF(K1886="","Select Paid From / Deposited To",IF(ISNA(MATCH(K1886,coa_Name,0)),"Unknown account: "&amp;K1886,IF(NOT(ISNUMBER(L1886)),"Enter an amount",IF(L1886=0,"Enter an amount",IF(ABS(W1886)&gt;ABS(L1886),"Tax is larger than the amount","")))))))))))))</f>
        <v/>
      </c>
      <c r="Y1886" s="67">
        <f>IF(OR(T1886=1,X1886&lt;&gt;""),"",IF(AND(B1886&lt;&gt;"",COUNTIF(tx_ID,B1886)&gt;1),"Duplicate transaction ID",IF(AND(L1886&lt;0,D1886&lt;&gt;"Adjustment"),"Negative amount — check this entry",IF(AND(D1886="Customer Payment",G1886=""),"Add the customer",IF(AND(D1886="Customer Payment",OR(J1886="",COUNTIF(ar_No,J1886&amp;"")=0)),"Invoice # in Reference not found on AR sheet",IF(AND(D1886="Bill Payment",H1886=""),"Add the vendor",IF(AND(D1886="Bill Payment",OR(J1886="",COUNTIFS(ap_No,J1886&amp;"",ap_Party,H1886&amp;"")=0)),"Bill # + vendor not found on AP sheet",IF(AND(ISNUMBER(M1886),N(M1886)&lt;&gt;0,W1886=0),"Tax ignored (tax tracking off, or not allowed for this type)",IF(V1886=K1886&amp;"","Same account on both sides",IF(AND(ISNUMBER(StartDate),C1886&lt;StartDate),"Date is before the accounting start date",IF(AND(D1886&lt;&gt;"Adjustment",IFERROR(INDEX(coa_Pay,MATCH(K1886&amp;"",coa_Name,0)),"")&lt;&gt;"Yes"),"Paid From / Deposited To is not a payment account","")))))))))))</f>
        <v/>
      </c>
      <c r="Z1886" s="67">
        <f>IF(AND(T1886=0,X1886=""),1,0)</f>
        <v/>
      </c>
      <c r="AA1886" s="68">
        <f>IF(Z1886=1,IF(U1886="In",L1886,L1886-W1886),0)</f>
        <v/>
      </c>
      <c r="AB1886" s="68">
        <f>IF(Z1886=1,IF(U1886="In",L1886-W1886,L1886),0)</f>
        <v/>
      </c>
      <c r="AC1886" s="68">
        <f>IF(AND(Z1886=1,U1886="Out"),W1886,0)</f>
        <v/>
      </c>
      <c r="AD1886" s="68">
        <f>IF(AND(Z1886=1,U1886="In"),W1886,0)</f>
        <v/>
      </c>
    </row>
    <row r="1887">
      <c r="B1887" s="62" t="inlineStr">
        <is>
          <t>TX-1881</t>
        </is>
      </c>
      <c r="C1887" s="63" t="n"/>
      <c r="D1887" s="62" t="n"/>
      <c r="E1887" s="62" t="n"/>
      <c r="F1887" s="62" t="n"/>
      <c r="G1887" s="62" t="n"/>
      <c r="H1887" s="62" t="n"/>
      <c r="I1887" s="62" t="n"/>
      <c r="J1887" s="62" t="n"/>
      <c r="K1887" s="62" t="n"/>
      <c r="L1887" s="64" t="n"/>
      <c r="M1887" s="64" t="n"/>
      <c r="N1887" s="62" t="n"/>
      <c r="O1887" s="65">
        <f>IF(Z1887=1,L1887-W1887,"")</f>
        <v/>
      </c>
      <c r="P1887" s="66">
        <f>IF(V1887="","",IFERROR(INDEX(coa_Type,MATCH(V1887,coa_Name,0)),""))</f>
        <v/>
      </c>
      <c r="Q1887" s="66">
        <f>IF(Z1887=1,IF(U1887="In",K1887&amp;"",V1887),"")</f>
        <v/>
      </c>
      <c r="R1887" s="66">
        <f>IF(Z1887=1,IF(U1887="In",V1887,K1887&amp;""),"")</f>
        <v/>
      </c>
      <c r="S1887" s="66">
        <f>IF(X1887&lt;&gt;"","⛔ "&amp;X1887&amp;" — not posted",IF(Y1887&lt;&gt;"","⚠ "&amp;Y1887,IF(Z1887=1,"✓ OK","")))</f>
        <v/>
      </c>
      <c r="T1887" s="67">
        <f>IF(AND(C1887="",D1887="",E1887="",L1887="",K1887=""),1,0)</f>
        <v/>
      </c>
      <c r="U1887" s="67">
        <f>IFERROR(INDEX(tt_Dir,MATCH(D1887,tt_Type,0)),"")</f>
        <v/>
      </c>
      <c r="V1887" s="67">
        <f>IF(D1887="","",IFERROR(IF(INDEX(tt_Other,MATCH(D1887,tt_Type,0))="",E1887&amp;"",INDEX(tt_Other,MATCH(D1887,tt_Type,0))),""))</f>
        <v/>
      </c>
      <c r="W1887" s="68">
        <f>IF(OR(TaxOn&lt;&gt;"Yes",NOT(ISNUMBER(M1887))),0,IF(IFERROR(INDEX(tt_Tax,MATCH(D1887,tt_Type,0)),"No")="Yes",M1887,0))</f>
        <v/>
      </c>
      <c r="X1887" s="67">
        <f>IF(T1887=1,"",IF(C1887="","Missing transaction date",IF(NOT(ISNUMBER(C1887)),"Invalid date",IF(OR(C1887&lt;DATE(2000,1,1),C1887&gt;DATE(2099,12,31)),"Invalid date",IF(D1887="","Select a type",IF(U1887="","Unknown type: "&amp;D1887,IF(V1887="","Select an account (Category)",IF(ISNA(MATCH(V1887,coa_Name,0)),"Unknown account: "&amp;V1887,IF(K1887="","Select Paid From / Deposited To",IF(ISNA(MATCH(K1887,coa_Name,0)),"Unknown account: "&amp;K1887,IF(NOT(ISNUMBER(L1887)),"Enter an amount",IF(L1887=0,"Enter an amount",IF(ABS(W1887)&gt;ABS(L1887),"Tax is larger than the amount","")))))))))))))</f>
        <v/>
      </c>
      <c r="Y1887" s="67">
        <f>IF(OR(T1887=1,X1887&lt;&gt;""),"",IF(AND(B1887&lt;&gt;"",COUNTIF(tx_ID,B1887)&gt;1),"Duplicate transaction ID",IF(AND(L1887&lt;0,D1887&lt;&gt;"Adjustment"),"Negative amount — check this entry",IF(AND(D1887="Customer Payment",G1887=""),"Add the customer",IF(AND(D1887="Customer Payment",OR(J1887="",COUNTIF(ar_No,J1887&amp;"")=0)),"Invoice # in Reference not found on AR sheet",IF(AND(D1887="Bill Payment",H1887=""),"Add the vendor",IF(AND(D1887="Bill Payment",OR(J1887="",COUNTIFS(ap_No,J1887&amp;"",ap_Party,H1887&amp;"")=0)),"Bill # + vendor not found on AP sheet",IF(AND(ISNUMBER(M1887),N(M1887)&lt;&gt;0,W1887=0),"Tax ignored (tax tracking off, or not allowed for this type)",IF(V1887=K1887&amp;"","Same account on both sides",IF(AND(ISNUMBER(StartDate),C1887&lt;StartDate),"Date is before the accounting start date",IF(AND(D1887&lt;&gt;"Adjustment",IFERROR(INDEX(coa_Pay,MATCH(K1887&amp;"",coa_Name,0)),"")&lt;&gt;"Yes"),"Paid From / Deposited To is not a payment account","")))))))))))</f>
        <v/>
      </c>
      <c r="Z1887" s="67">
        <f>IF(AND(T1887=0,X1887=""),1,0)</f>
        <v/>
      </c>
      <c r="AA1887" s="68">
        <f>IF(Z1887=1,IF(U1887="In",L1887,L1887-W1887),0)</f>
        <v/>
      </c>
      <c r="AB1887" s="68">
        <f>IF(Z1887=1,IF(U1887="In",L1887-W1887,L1887),0)</f>
        <v/>
      </c>
      <c r="AC1887" s="68">
        <f>IF(AND(Z1887=1,U1887="Out"),W1887,0)</f>
        <v/>
      </c>
      <c r="AD1887" s="68">
        <f>IF(AND(Z1887=1,U1887="In"),W1887,0)</f>
        <v/>
      </c>
    </row>
    <row r="1888">
      <c r="B1888" s="62" t="inlineStr">
        <is>
          <t>TX-1882</t>
        </is>
      </c>
      <c r="C1888" s="63" t="n"/>
      <c r="D1888" s="62" t="n"/>
      <c r="E1888" s="62" t="n"/>
      <c r="F1888" s="62" t="n"/>
      <c r="G1888" s="62" t="n"/>
      <c r="H1888" s="62" t="n"/>
      <c r="I1888" s="62" t="n"/>
      <c r="J1888" s="62" t="n"/>
      <c r="K1888" s="62" t="n"/>
      <c r="L1888" s="64" t="n"/>
      <c r="M1888" s="64" t="n"/>
      <c r="N1888" s="62" t="n"/>
      <c r="O1888" s="65">
        <f>IF(Z1888=1,L1888-W1888,"")</f>
        <v/>
      </c>
      <c r="P1888" s="66">
        <f>IF(V1888="","",IFERROR(INDEX(coa_Type,MATCH(V1888,coa_Name,0)),""))</f>
        <v/>
      </c>
      <c r="Q1888" s="66">
        <f>IF(Z1888=1,IF(U1888="In",K1888&amp;"",V1888),"")</f>
        <v/>
      </c>
      <c r="R1888" s="66">
        <f>IF(Z1888=1,IF(U1888="In",V1888,K1888&amp;""),"")</f>
        <v/>
      </c>
      <c r="S1888" s="66">
        <f>IF(X1888&lt;&gt;"","⛔ "&amp;X1888&amp;" — not posted",IF(Y1888&lt;&gt;"","⚠ "&amp;Y1888,IF(Z1888=1,"✓ OK","")))</f>
        <v/>
      </c>
      <c r="T1888" s="67">
        <f>IF(AND(C1888="",D1888="",E1888="",L1888="",K1888=""),1,0)</f>
        <v/>
      </c>
      <c r="U1888" s="67">
        <f>IFERROR(INDEX(tt_Dir,MATCH(D1888,tt_Type,0)),"")</f>
        <v/>
      </c>
      <c r="V1888" s="67">
        <f>IF(D1888="","",IFERROR(IF(INDEX(tt_Other,MATCH(D1888,tt_Type,0))="",E1888&amp;"",INDEX(tt_Other,MATCH(D1888,tt_Type,0))),""))</f>
        <v/>
      </c>
      <c r="W1888" s="68">
        <f>IF(OR(TaxOn&lt;&gt;"Yes",NOT(ISNUMBER(M1888))),0,IF(IFERROR(INDEX(tt_Tax,MATCH(D1888,tt_Type,0)),"No")="Yes",M1888,0))</f>
        <v/>
      </c>
      <c r="X1888" s="67">
        <f>IF(T1888=1,"",IF(C1888="","Missing transaction date",IF(NOT(ISNUMBER(C1888)),"Invalid date",IF(OR(C1888&lt;DATE(2000,1,1),C1888&gt;DATE(2099,12,31)),"Invalid date",IF(D1888="","Select a type",IF(U1888="","Unknown type: "&amp;D1888,IF(V1888="","Select an account (Category)",IF(ISNA(MATCH(V1888,coa_Name,0)),"Unknown account: "&amp;V1888,IF(K1888="","Select Paid From / Deposited To",IF(ISNA(MATCH(K1888,coa_Name,0)),"Unknown account: "&amp;K1888,IF(NOT(ISNUMBER(L1888)),"Enter an amount",IF(L1888=0,"Enter an amount",IF(ABS(W1888)&gt;ABS(L1888),"Tax is larger than the amount","")))))))))))))</f>
        <v/>
      </c>
      <c r="Y1888" s="67">
        <f>IF(OR(T1888=1,X1888&lt;&gt;""),"",IF(AND(B1888&lt;&gt;"",COUNTIF(tx_ID,B1888)&gt;1),"Duplicate transaction ID",IF(AND(L1888&lt;0,D1888&lt;&gt;"Adjustment"),"Negative amount — check this entry",IF(AND(D1888="Customer Payment",G1888=""),"Add the customer",IF(AND(D1888="Customer Payment",OR(J1888="",COUNTIF(ar_No,J1888&amp;"")=0)),"Invoice # in Reference not found on AR sheet",IF(AND(D1888="Bill Payment",H1888=""),"Add the vendor",IF(AND(D1888="Bill Payment",OR(J1888="",COUNTIFS(ap_No,J1888&amp;"",ap_Party,H1888&amp;"")=0)),"Bill # + vendor not found on AP sheet",IF(AND(ISNUMBER(M1888),N(M1888)&lt;&gt;0,W1888=0),"Tax ignored (tax tracking off, or not allowed for this type)",IF(V1888=K1888&amp;"","Same account on both sides",IF(AND(ISNUMBER(StartDate),C1888&lt;StartDate),"Date is before the accounting start date",IF(AND(D1888&lt;&gt;"Adjustment",IFERROR(INDEX(coa_Pay,MATCH(K1888&amp;"",coa_Name,0)),"")&lt;&gt;"Yes"),"Paid From / Deposited To is not a payment account","")))))))))))</f>
        <v/>
      </c>
      <c r="Z1888" s="67">
        <f>IF(AND(T1888=0,X1888=""),1,0)</f>
        <v/>
      </c>
      <c r="AA1888" s="68">
        <f>IF(Z1888=1,IF(U1888="In",L1888,L1888-W1888),0)</f>
        <v/>
      </c>
      <c r="AB1888" s="68">
        <f>IF(Z1888=1,IF(U1888="In",L1888-W1888,L1888),0)</f>
        <v/>
      </c>
      <c r="AC1888" s="68">
        <f>IF(AND(Z1888=1,U1888="Out"),W1888,0)</f>
        <v/>
      </c>
      <c r="AD1888" s="68">
        <f>IF(AND(Z1888=1,U1888="In"),W1888,0)</f>
        <v/>
      </c>
    </row>
    <row r="1889">
      <c r="B1889" s="62" t="inlineStr">
        <is>
          <t>TX-1883</t>
        </is>
      </c>
      <c r="C1889" s="63" t="n"/>
      <c r="D1889" s="62" t="n"/>
      <c r="E1889" s="62" t="n"/>
      <c r="F1889" s="62" t="n"/>
      <c r="G1889" s="62" t="n"/>
      <c r="H1889" s="62" t="n"/>
      <c r="I1889" s="62" t="n"/>
      <c r="J1889" s="62" t="n"/>
      <c r="K1889" s="62" t="n"/>
      <c r="L1889" s="64" t="n"/>
      <c r="M1889" s="64" t="n"/>
      <c r="N1889" s="62" t="n"/>
      <c r="O1889" s="65">
        <f>IF(Z1889=1,L1889-W1889,"")</f>
        <v/>
      </c>
      <c r="P1889" s="66">
        <f>IF(V1889="","",IFERROR(INDEX(coa_Type,MATCH(V1889,coa_Name,0)),""))</f>
        <v/>
      </c>
      <c r="Q1889" s="66">
        <f>IF(Z1889=1,IF(U1889="In",K1889&amp;"",V1889),"")</f>
        <v/>
      </c>
      <c r="R1889" s="66">
        <f>IF(Z1889=1,IF(U1889="In",V1889,K1889&amp;""),"")</f>
        <v/>
      </c>
      <c r="S1889" s="66">
        <f>IF(X1889&lt;&gt;"","⛔ "&amp;X1889&amp;" — not posted",IF(Y1889&lt;&gt;"","⚠ "&amp;Y1889,IF(Z1889=1,"✓ OK","")))</f>
        <v/>
      </c>
      <c r="T1889" s="67">
        <f>IF(AND(C1889="",D1889="",E1889="",L1889="",K1889=""),1,0)</f>
        <v/>
      </c>
      <c r="U1889" s="67">
        <f>IFERROR(INDEX(tt_Dir,MATCH(D1889,tt_Type,0)),"")</f>
        <v/>
      </c>
      <c r="V1889" s="67">
        <f>IF(D1889="","",IFERROR(IF(INDEX(tt_Other,MATCH(D1889,tt_Type,0))="",E1889&amp;"",INDEX(tt_Other,MATCH(D1889,tt_Type,0))),""))</f>
        <v/>
      </c>
      <c r="W1889" s="68">
        <f>IF(OR(TaxOn&lt;&gt;"Yes",NOT(ISNUMBER(M1889))),0,IF(IFERROR(INDEX(tt_Tax,MATCH(D1889,tt_Type,0)),"No")="Yes",M1889,0))</f>
        <v/>
      </c>
      <c r="X1889" s="67">
        <f>IF(T1889=1,"",IF(C1889="","Missing transaction date",IF(NOT(ISNUMBER(C1889)),"Invalid date",IF(OR(C1889&lt;DATE(2000,1,1),C1889&gt;DATE(2099,12,31)),"Invalid date",IF(D1889="","Select a type",IF(U1889="","Unknown type: "&amp;D1889,IF(V1889="","Select an account (Category)",IF(ISNA(MATCH(V1889,coa_Name,0)),"Unknown account: "&amp;V1889,IF(K1889="","Select Paid From / Deposited To",IF(ISNA(MATCH(K1889,coa_Name,0)),"Unknown account: "&amp;K1889,IF(NOT(ISNUMBER(L1889)),"Enter an amount",IF(L1889=0,"Enter an amount",IF(ABS(W1889)&gt;ABS(L1889),"Tax is larger than the amount","")))))))))))))</f>
        <v/>
      </c>
      <c r="Y1889" s="67">
        <f>IF(OR(T1889=1,X1889&lt;&gt;""),"",IF(AND(B1889&lt;&gt;"",COUNTIF(tx_ID,B1889)&gt;1),"Duplicate transaction ID",IF(AND(L1889&lt;0,D1889&lt;&gt;"Adjustment"),"Negative amount — check this entry",IF(AND(D1889="Customer Payment",G1889=""),"Add the customer",IF(AND(D1889="Customer Payment",OR(J1889="",COUNTIF(ar_No,J1889&amp;"")=0)),"Invoice # in Reference not found on AR sheet",IF(AND(D1889="Bill Payment",H1889=""),"Add the vendor",IF(AND(D1889="Bill Payment",OR(J1889="",COUNTIFS(ap_No,J1889&amp;"",ap_Party,H1889&amp;"")=0)),"Bill # + vendor not found on AP sheet",IF(AND(ISNUMBER(M1889),N(M1889)&lt;&gt;0,W1889=0),"Tax ignored (tax tracking off, or not allowed for this type)",IF(V1889=K1889&amp;"","Same account on both sides",IF(AND(ISNUMBER(StartDate),C1889&lt;StartDate),"Date is before the accounting start date",IF(AND(D1889&lt;&gt;"Adjustment",IFERROR(INDEX(coa_Pay,MATCH(K1889&amp;"",coa_Name,0)),"")&lt;&gt;"Yes"),"Paid From / Deposited To is not a payment account","")))))))))))</f>
        <v/>
      </c>
      <c r="Z1889" s="67">
        <f>IF(AND(T1889=0,X1889=""),1,0)</f>
        <v/>
      </c>
      <c r="AA1889" s="68">
        <f>IF(Z1889=1,IF(U1889="In",L1889,L1889-W1889),0)</f>
        <v/>
      </c>
      <c r="AB1889" s="68">
        <f>IF(Z1889=1,IF(U1889="In",L1889-W1889,L1889),0)</f>
        <v/>
      </c>
      <c r="AC1889" s="68">
        <f>IF(AND(Z1889=1,U1889="Out"),W1889,0)</f>
        <v/>
      </c>
      <c r="AD1889" s="68">
        <f>IF(AND(Z1889=1,U1889="In"),W1889,0)</f>
        <v/>
      </c>
    </row>
    <row r="1890">
      <c r="B1890" s="62" t="inlineStr">
        <is>
          <t>TX-1884</t>
        </is>
      </c>
      <c r="C1890" s="63" t="n"/>
      <c r="D1890" s="62" t="n"/>
      <c r="E1890" s="62" t="n"/>
      <c r="F1890" s="62" t="n"/>
      <c r="G1890" s="62" t="n"/>
      <c r="H1890" s="62" t="n"/>
      <c r="I1890" s="62" t="n"/>
      <c r="J1890" s="62" t="n"/>
      <c r="K1890" s="62" t="n"/>
      <c r="L1890" s="64" t="n"/>
      <c r="M1890" s="64" t="n"/>
      <c r="N1890" s="62" t="n"/>
      <c r="O1890" s="65">
        <f>IF(Z1890=1,L1890-W1890,"")</f>
        <v/>
      </c>
      <c r="P1890" s="66">
        <f>IF(V1890="","",IFERROR(INDEX(coa_Type,MATCH(V1890,coa_Name,0)),""))</f>
        <v/>
      </c>
      <c r="Q1890" s="66">
        <f>IF(Z1890=1,IF(U1890="In",K1890&amp;"",V1890),"")</f>
        <v/>
      </c>
      <c r="R1890" s="66">
        <f>IF(Z1890=1,IF(U1890="In",V1890,K1890&amp;""),"")</f>
        <v/>
      </c>
      <c r="S1890" s="66">
        <f>IF(X1890&lt;&gt;"","⛔ "&amp;X1890&amp;" — not posted",IF(Y1890&lt;&gt;"","⚠ "&amp;Y1890,IF(Z1890=1,"✓ OK","")))</f>
        <v/>
      </c>
      <c r="T1890" s="67">
        <f>IF(AND(C1890="",D1890="",E1890="",L1890="",K1890=""),1,0)</f>
        <v/>
      </c>
      <c r="U1890" s="67">
        <f>IFERROR(INDEX(tt_Dir,MATCH(D1890,tt_Type,0)),"")</f>
        <v/>
      </c>
      <c r="V1890" s="67">
        <f>IF(D1890="","",IFERROR(IF(INDEX(tt_Other,MATCH(D1890,tt_Type,0))="",E1890&amp;"",INDEX(tt_Other,MATCH(D1890,tt_Type,0))),""))</f>
        <v/>
      </c>
      <c r="W1890" s="68">
        <f>IF(OR(TaxOn&lt;&gt;"Yes",NOT(ISNUMBER(M1890))),0,IF(IFERROR(INDEX(tt_Tax,MATCH(D1890,tt_Type,0)),"No")="Yes",M1890,0))</f>
        <v/>
      </c>
      <c r="X1890" s="67">
        <f>IF(T1890=1,"",IF(C1890="","Missing transaction date",IF(NOT(ISNUMBER(C1890)),"Invalid date",IF(OR(C1890&lt;DATE(2000,1,1),C1890&gt;DATE(2099,12,31)),"Invalid date",IF(D1890="","Select a type",IF(U1890="","Unknown type: "&amp;D1890,IF(V1890="","Select an account (Category)",IF(ISNA(MATCH(V1890,coa_Name,0)),"Unknown account: "&amp;V1890,IF(K1890="","Select Paid From / Deposited To",IF(ISNA(MATCH(K1890,coa_Name,0)),"Unknown account: "&amp;K1890,IF(NOT(ISNUMBER(L1890)),"Enter an amount",IF(L1890=0,"Enter an amount",IF(ABS(W1890)&gt;ABS(L1890),"Tax is larger than the amount","")))))))))))))</f>
        <v/>
      </c>
      <c r="Y1890" s="67">
        <f>IF(OR(T1890=1,X1890&lt;&gt;""),"",IF(AND(B1890&lt;&gt;"",COUNTIF(tx_ID,B1890)&gt;1),"Duplicate transaction ID",IF(AND(L1890&lt;0,D1890&lt;&gt;"Adjustment"),"Negative amount — check this entry",IF(AND(D1890="Customer Payment",G1890=""),"Add the customer",IF(AND(D1890="Customer Payment",OR(J1890="",COUNTIF(ar_No,J1890&amp;"")=0)),"Invoice # in Reference not found on AR sheet",IF(AND(D1890="Bill Payment",H1890=""),"Add the vendor",IF(AND(D1890="Bill Payment",OR(J1890="",COUNTIFS(ap_No,J1890&amp;"",ap_Party,H1890&amp;"")=0)),"Bill # + vendor not found on AP sheet",IF(AND(ISNUMBER(M1890),N(M1890)&lt;&gt;0,W1890=0),"Tax ignored (tax tracking off, or not allowed for this type)",IF(V1890=K1890&amp;"","Same account on both sides",IF(AND(ISNUMBER(StartDate),C1890&lt;StartDate),"Date is before the accounting start date",IF(AND(D1890&lt;&gt;"Adjustment",IFERROR(INDEX(coa_Pay,MATCH(K1890&amp;"",coa_Name,0)),"")&lt;&gt;"Yes"),"Paid From / Deposited To is not a payment account","")))))))))))</f>
        <v/>
      </c>
      <c r="Z1890" s="67">
        <f>IF(AND(T1890=0,X1890=""),1,0)</f>
        <v/>
      </c>
      <c r="AA1890" s="68">
        <f>IF(Z1890=1,IF(U1890="In",L1890,L1890-W1890),0)</f>
        <v/>
      </c>
      <c r="AB1890" s="68">
        <f>IF(Z1890=1,IF(U1890="In",L1890-W1890,L1890),0)</f>
        <v/>
      </c>
      <c r="AC1890" s="68">
        <f>IF(AND(Z1890=1,U1890="Out"),W1890,0)</f>
        <v/>
      </c>
      <c r="AD1890" s="68">
        <f>IF(AND(Z1890=1,U1890="In"),W1890,0)</f>
        <v/>
      </c>
    </row>
    <row r="1891">
      <c r="B1891" s="62" t="inlineStr">
        <is>
          <t>TX-1885</t>
        </is>
      </c>
      <c r="C1891" s="63" t="n"/>
      <c r="D1891" s="62" t="n"/>
      <c r="E1891" s="62" t="n"/>
      <c r="F1891" s="62" t="n"/>
      <c r="G1891" s="62" t="n"/>
      <c r="H1891" s="62" t="n"/>
      <c r="I1891" s="62" t="n"/>
      <c r="J1891" s="62" t="n"/>
      <c r="K1891" s="62" t="n"/>
      <c r="L1891" s="64" t="n"/>
      <c r="M1891" s="64" t="n"/>
      <c r="N1891" s="62" t="n"/>
      <c r="O1891" s="65">
        <f>IF(Z1891=1,L1891-W1891,"")</f>
        <v/>
      </c>
      <c r="P1891" s="66">
        <f>IF(V1891="","",IFERROR(INDEX(coa_Type,MATCH(V1891,coa_Name,0)),""))</f>
        <v/>
      </c>
      <c r="Q1891" s="66">
        <f>IF(Z1891=1,IF(U1891="In",K1891&amp;"",V1891),"")</f>
        <v/>
      </c>
      <c r="R1891" s="66">
        <f>IF(Z1891=1,IF(U1891="In",V1891,K1891&amp;""),"")</f>
        <v/>
      </c>
      <c r="S1891" s="66">
        <f>IF(X1891&lt;&gt;"","⛔ "&amp;X1891&amp;" — not posted",IF(Y1891&lt;&gt;"","⚠ "&amp;Y1891,IF(Z1891=1,"✓ OK","")))</f>
        <v/>
      </c>
      <c r="T1891" s="67">
        <f>IF(AND(C1891="",D1891="",E1891="",L1891="",K1891=""),1,0)</f>
        <v/>
      </c>
      <c r="U1891" s="67">
        <f>IFERROR(INDEX(tt_Dir,MATCH(D1891,tt_Type,0)),"")</f>
        <v/>
      </c>
      <c r="V1891" s="67">
        <f>IF(D1891="","",IFERROR(IF(INDEX(tt_Other,MATCH(D1891,tt_Type,0))="",E1891&amp;"",INDEX(tt_Other,MATCH(D1891,tt_Type,0))),""))</f>
        <v/>
      </c>
      <c r="W1891" s="68">
        <f>IF(OR(TaxOn&lt;&gt;"Yes",NOT(ISNUMBER(M1891))),0,IF(IFERROR(INDEX(tt_Tax,MATCH(D1891,tt_Type,0)),"No")="Yes",M1891,0))</f>
        <v/>
      </c>
      <c r="X1891" s="67">
        <f>IF(T1891=1,"",IF(C1891="","Missing transaction date",IF(NOT(ISNUMBER(C1891)),"Invalid date",IF(OR(C1891&lt;DATE(2000,1,1),C1891&gt;DATE(2099,12,31)),"Invalid date",IF(D1891="","Select a type",IF(U1891="","Unknown type: "&amp;D1891,IF(V1891="","Select an account (Category)",IF(ISNA(MATCH(V1891,coa_Name,0)),"Unknown account: "&amp;V1891,IF(K1891="","Select Paid From / Deposited To",IF(ISNA(MATCH(K1891,coa_Name,0)),"Unknown account: "&amp;K1891,IF(NOT(ISNUMBER(L1891)),"Enter an amount",IF(L1891=0,"Enter an amount",IF(ABS(W1891)&gt;ABS(L1891),"Tax is larger than the amount","")))))))))))))</f>
        <v/>
      </c>
      <c r="Y1891" s="67">
        <f>IF(OR(T1891=1,X1891&lt;&gt;""),"",IF(AND(B1891&lt;&gt;"",COUNTIF(tx_ID,B1891)&gt;1),"Duplicate transaction ID",IF(AND(L1891&lt;0,D1891&lt;&gt;"Adjustment"),"Negative amount — check this entry",IF(AND(D1891="Customer Payment",G1891=""),"Add the customer",IF(AND(D1891="Customer Payment",OR(J1891="",COUNTIF(ar_No,J1891&amp;"")=0)),"Invoice # in Reference not found on AR sheet",IF(AND(D1891="Bill Payment",H1891=""),"Add the vendor",IF(AND(D1891="Bill Payment",OR(J1891="",COUNTIFS(ap_No,J1891&amp;"",ap_Party,H1891&amp;"")=0)),"Bill # + vendor not found on AP sheet",IF(AND(ISNUMBER(M1891),N(M1891)&lt;&gt;0,W1891=0),"Tax ignored (tax tracking off, or not allowed for this type)",IF(V1891=K1891&amp;"","Same account on both sides",IF(AND(ISNUMBER(StartDate),C1891&lt;StartDate),"Date is before the accounting start date",IF(AND(D1891&lt;&gt;"Adjustment",IFERROR(INDEX(coa_Pay,MATCH(K1891&amp;"",coa_Name,0)),"")&lt;&gt;"Yes"),"Paid From / Deposited To is not a payment account","")))))))))))</f>
        <v/>
      </c>
      <c r="Z1891" s="67">
        <f>IF(AND(T1891=0,X1891=""),1,0)</f>
        <v/>
      </c>
      <c r="AA1891" s="68">
        <f>IF(Z1891=1,IF(U1891="In",L1891,L1891-W1891),0)</f>
        <v/>
      </c>
      <c r="AB1891" s="68">
        <f>IF(Z1891=1,IF(U1891="In",L1891-W1891,L1891),0)</f>
        <v/>
      </c>
      <c r="AC1891" s="68">
        <f>IF(AND(Z1891=1,U1891="Out"),W1891,0)</f>
        <v/>
      </c>
      <c r="AD1891" s="68">
        <f>IF(AND(Z1891=1,U1891="In"),W1891,0)</f>
        <v/>
      </c>
    </row>
    <row r="1892">
      <c r="B1892" s="62" t="inlineStr">
        <is>
          <t>TX-1886</t>
        </is>
      </c>
      <c r="C1892" s="63" t="n"/>
      <c r="D1892" s="62" t="n"/>
      <c r="E1892" s="62" t="n"/>
      <c r="F1892" s="62" t="n"/>
      <c r="G1892" s="62" t="n"/>
      <c r="H1892" s="62" t="n"/>
      <c r="I1892" s="62" t="n"/>
      <c r="J1892" s="62" t="n"/>
      <c r="K1892" s="62" t="n"/>
      <c r="L1892" s="64" t="n"/>
      <c r="M1892" s="64" t="n"/>
      <c r="N1892" s="62" t="n"/>
      <c r="O1892" s="65">
        <f>IF(Z1892=1,L1892-W1892,"")</f>
        <v/>
      </c>
      <c r="P1892" s="66">
        <f>IF(V1892="","",IFERROR(INDEX(coa_Type,MATCH(V1892,coa_Name,0)),""))</f>
        <v/>
      </c>
      <c r="Q1892" s="66">
        <f>IF(Z1892=1,IF(U1892="In",K1892&amp;"",V1892),"")</f>
        <v/>
      </c>
      <c r="R1892" s="66">
        <f>IF(Z1892=1,IF(U1892="In",V1892,K1892&amp;""),"")</f>
        <v/>
      </c>
      <c r="S1892" s="66">
        <f>IF(X1892&lt;&gt;"","⛔ "&amp;X1892&amp;" — not posted",IF(Y1892&lt;&gt;"","⚠ "&amp;Y1892,IF(Z1892=1,"✓ OK","")))</f>
        <v/>
      </c>
      <c r="T1892" s="67">
        <f>IF(AND(C1892="",D1892="",E1892="",L1892="",K1892=""),1,0)</f>
        <v/>
      </c>
      <c r="U1892" s="67">
        <f>IFERROR(INDEX(tt_Dir,MATCH(D1892,tt_Type,0)),"")</f>
        <v/>
      </c>
      <c r="V1892" s="67">
        <f>IF(D1892="","",IFERROR(IF(INDEX(tt_Other,MATCH(D1892,tt_Type,0))="",E1892&amp;"",INDEX(tt_Other,MATCH(D1892,tt_Type,0))),""))</f>
        <v/>
      </c>
      <c r="W1892" s="68">
        <f>IF(OR(TaxOn&lt;&gt;"Yes",NOT(ISNUMBER(M1892))),0,IF(IFERROR(INDEX(tt_Tax,MATCH(D1892,tt_Type,0)),"No")="Yes",M1892,0))</f>
        <v/>
      </c>
      <c r="X1892" s="67">
        <f>IF(T1892=1,"",IF(C1892="","Missing transaction date",IF(NOT(ISNUMBER(C1892)),"Invalid date",IF(OR(C1892&lt;DATE(2000,1,1),C1892&gt;DATE(2099,12,31)),"Invalid date",IF(D1892="","Select a type",IF(U1892="","Unknown type: "&amp;D1892,IF(V1892="","Select an account (Category)",IF(ISNA(MATCH(V1892,coa_Name,0)),"Unknown account: "&amp;V1892,IF(K1892="","Select Paid From / Deposited To",IF(ISNA(MATCH(K1892,coa_Name,0)),"Unknown account: "&amp;K1892,IF(NOT(ISNUMBER(L1892)),"Enter an amount",IF(L1892=0,"Enter an amount",IF(ABS(W1892)&gt;ABS(L1892),"Tax is larger than the amount","")))))))))))))</f>
        <v/>
      </c>
      <c r="Y1892" s="67">
        <f>IF(OR(T1892=1,X1892&lt;&gt;""),"",IF(AND(B1892&lt;&gt;"",COUNTIF(tx_ID,B1892)&gt;1),"Duplicate transaction ID",IF(AND(L1892&lt;0,D1892&lt;&gt;"Adjustment"),"Negative amount — check this entry",IF(AND(D1892="Customer Payment",G1892=""),"Add the customer",IF(AND(D1892="Customer Payment",OR(J1892="",COUNTIF(ar_No,J1892&amp;"")=0)),"Invoice # in Reference not found on AR sheet",IF(AND(D1892="Bill Payment",H1892=""),"Add the vendor",IF(AND(D1892="Bill Payment",OR(J1892="",COUNTIFS(ap_No,J1892&amp;"",ap_Party,H1892&amp;"")=0)),"Bill # + vendor not found on AP sheet",IF(AND(ISNUMBER(M1892),N(M1892)&lt;&gt;0,W1892=0),"Tax ignored (tax tracking off, or not allowed for this type)",IF(V1892=K1892&amp;"","Same account on both sides",IF(AND(ISNUMBER(StartDate),C1892&lt;StartDate),"Date is before the accounting start date",IF(AND(D1892&lt;&gt;"Adjustment",IFERROR(INDEX(coa_Pay,MATCH(K1892&amp;"",coa_Name,0)),"")&lt;&gt;"Yes"),"Paid From / Deposited To is not a payment account","")))))))))))</f>
        <v/>
      </c>
      <c r="Z1892" s="67">
        <f>IF(AND(T1892=0,X1892=""),1,0)</f>
        <v/>
      </c>
      <c r="AA1892" s="68">
        <f>IF(Z1892=1,IF(U1892="In",L1892,L1892-W1892),0)</f>
        <v/>
      </c>
      <c r="AB1892" s="68">
        <f>IF(Z1892=1,IF(U1892="In",L1892-W1892,L1892),0)</f>
        <v/>
      </c>
      <c r="AC1892" s="68">
        <f>IF(AND(Z1892=1,U1892="Out"),W1892,0)</f>
        <v/>
      </c>
      <c r="AD1892" s="68">
        <f>IF(AND(Z1892=1,U1892="In"),W1892,0)</f>
        <v/>
      </c>
    </row>
    <row r="1893">
      <c r="B1893" s="62" t="inlineStr">
        <is>
          <t>TX-1887</t>
        </is>
      </c>
      <c r="C1893" s="63" t="n"/>
      <c r="D1893" s="62" t="n"/>
      <c r="E1893" s="62" t="n"/>
      <c r="F1893" s="62" t="n"/>
      <c r="G1893" s="62" t="n"/>
      <c r="H1893" s="62" t="n"/>
      <c r="I1893" s="62" t="n"/>
      <c r="J1893" s="62" t="n"/>
      <c r="K1893" s="62" t="n"/>
      <c r="L1893" s="64" t="n"/>
      <c r="M1893" s="64" t="n"/>
      <c r="N1893" s="62" t="n"/>
      <c r="O1893" s="65">
        <f>IF(Z1893=1,L1893-W1893,"")</f>
        <v/>
      </c>
      <c r="P1893" s="66">
        <f>IF(V1893="","",IFERROR(INDEX(coa_Type,MATCH(V1893,coa_Name,0)),""))</f>
        <v/>
      </c>
      <c r="Q1893" s="66">
        <f>IF(Z1893=1,IF(U1893="In",K1893&amp;"",V1893),"")</f>
        <v/>
      </c>
      <c r="R1893" s="66">
        <f>IF(Z1893=1,IF(U1893="In",V1893,K1893&amp;""),"")</f>
        <v/>
      </c>
      <c r="S1893" s="66">
        <f>IF(X1893&lt;&gt;"","⛔ "&amp;X1893&amp;" — not posted",IF(Y1893&lt;&gt;"","⚠ "&amp;Y1893,IF(Z1893=1,"✓ OK","")))</f>
        <v/>
      </c>
      <c r="T1893" s="67">
        <f>IF(AND(C1893="",D1893="",E1893="",L1893="",K1893=""),1,0)</f>
        <v/>
      </c>
      <c r="U1893" s="67">
        <f>IFERROR(INDEX(tt_Dir,MATCH(D1893,tt_Type,0)),"")</f>
        <v/>
      </c>
      <c r="V1893" s="67">
        <f>IF(D1893="","",IFERROR(IF(INDEX(tt_Other,MATCH(D1893,tt_Type,0))="",E1893&amp;"",INDEX(tt_Other,MATCH(D1893,tt_Type,0))),""))</f>
        <v/>
      </c>
      <c r="W1893" s="68">
        <f>IF(OR(TaxOn&lt;&gt;"Yes",NOT(ISNUMBER(M1893))),0,IF(IFERROR(INDEX(tt_Tax,MATCH(D1893,tt_Type,0)),"No")="Yes",M1893,0))</f>
        <v/>
      </c>
      <c r="X1893" s="67">
        <f>IF(T1893=1,"",IF(C1893="","Missing transaction date",IF(NOT(ISNUMBER(C1893)),"Invalid date",IF(OR(C1893&lt;DATE(2000,1,1),C1893&gt;DATE(2099,12,31)),"Invalid date",IF(D1893="","Select a type",IF(U1893="","Unknown type: "&amp;D1893,IF(V1893="","Select an account (Category)",IF(ISNA(MATCH(V1893,coa_Name,0)),"Unknown account: "&amp;V1893,IF(K1893="","Select Paid From / Deposited To",IF(ISNA(MATCH(K1893,coa_Name,0)),"Unknown account: "&amp;K1893,IF(NOT(ISNUMBER(L1893)),"Enter an amount",IF(L1893=0,"Enter an amount",IF(ABS(W1893)&gt;ABS(L1893),"Tax is larger than the amount","")))))))))))))</f>
        <v/>
      </c>
      <c r="Y1893" s="67">
        <f>IF(OR(T1893=1,X1893&lt;&gt;""),"",IF(AND(B1893&lt;&gt;"",COUNTIF(tx_ID,B1893)&gt;1),"Duplicate transaction ID",IF(AND(L1893&lt;0,D1893&lt;&gt;"Adjustment"),"Negative amount — check this entry",IF(AND(D1893="Customer Payment",G1893=""),"Add the customer",IF(AND(D1893="Customer Payment",OR(J1893="",COUNTIF(ar_No,J1893&amp;"")=0)),"Invoice # in Reference not found on AR sheet",IF(AND(D1893="Bill Payment",H1893=""),"Add the vendor",IF(AND(D1893="Bill Payment",OR(J1893="",COUNTIFS(ap_No,J1893&amp;"",ap_Party,H1893&amp;"")=0)),"Bill # + vendor not found on AP sheet",IF(AND(ISNUMBER(M1893),N(M1893)&lt;&gt;0,W1893=0),"Tax ignored (tax tracking off, or not allowed for this type)",IF(V1893=K1893&amp;"","Same account on both sides",IF(AND(ISNUMBER(StartDate),C1893&lt;StartDate),"Date is before the accounting start date",IF(AND(D1893&lt;&gt;"Adjustment",IFERROR(INDEX(coa_Pay,MATCH(K1893&amp;"",coa_Name,0)),"")&lt;&gt;"Yes"),"Paid From / Deposited To is not a payment account","")))))))))))</f>
        <v/>
      </c>
      <c r="Z1893" s="67">
        <f>IF(AND(T1893=0,X1893=""),1,0)</f>
        <v/>
      </c>
      <c r="AA1893" s="68">
        <f>IF(Z1893=1,IF(U1893="In",L1893,L1893-W1893),0)</f>
        <v/>
      </c>
      <c r="AB1893" s="68">
        <f>IF(Z1893=1,IF(U1893="In",L1893-W1893,L1893),0)</f>
        <v/>
      </c>
      <c r="AC1893" s="68">
        <f>IF(AND(Z1893=1,U1893="Out"),W1893,0)</f>
        <v/>
      </c>
      <c r="AD1893" s="68">
        <f>IF(AND(Z1893=1,U1893="In"),W1893,0)</f>
        <v/>
      </c>
    </row>
    <row r="1894">
      <c r="B1894" s="62" t="inlineStr">
        <is>
          <t>TX-1888</t>
        </is>
      </c>
      <c r="C1894" s="63" t="n"/>
      <c r="D1894" s="62" t="n"/>
      <c r="E1894" s="62" t="n"/>
      <c r="F1894" s="62" t="n"/>
      <c r="G1894" s="62" t="n"/>
      <c r="H1894" s="62" t="n"/>
      <c r="I1894" s="62" t="n"/>
      <c r="J1894" s="62" t="n"/>
      <c r="K1894" s="62" t="n"/>
      <c r="L1894" s="64" t="n"/>
      <c r="M1894" s="64" t="n"/>
      <c r="N1894" s="62" t="n"/>
      <c r="O1894" s="65">
        <f>IF(Z1894=1,L1894-W1894,"")</f>
        <v/>
      </c>
      <c r="P1894" s="66">
        <f>IF(V1894="","",IFERROR(INDEX(coa_Type,MATCH(V1894,coa_Name,0)),""))</f>
        <v/>
      </c>
      <c r="Q1894" s="66">
        <f>IF(Z1894=1,IF(U1894="In",K1894&amp;"",V1894),"")</f>
        <v/>
      </c>
      <c r="R1894" s="66">
        <f>IF(Z1894=1,IF(U1894="In",V1894,K1894&amp;""),"")</f>
        <v/>
      </c>
      <c r="S1894" s="66">
        <f>IF(X1894&lt;&gt;"","⛔ "&amp;X1894&amp;" — not posted",IF(Y1894&lt;&gt;"","⚠ "&amp;Y1894,IF(Z1894=1,"✓ OK","")))</f>
        <v/>
      </c>
      <c r="T1894" s="67">
        <f>IF(AND(C1894="",D1894="",E1894="",L1894="",K1894=""),1,0)</f>
        <v/>
      </c>
      <c r="U1894" s="67">
        <f>IFERROR(INDEX(tt_Dir,MATCH(D1894,tt_Type,0)),"")</f>
        <v/>
      </c>
      <c r="V1894" s="67">
        <f>IF(D1894="","",IFERROR(IF(INDEX(tt_Other,MATCH(D1894,tt_Type,0))="",E1894&amp;"",INDEX(tt_Other,MATCH(D1894,tt_Type,0))),""))</f>
        <v/>
      </c>
      <c r="W1894" s="68">
        <f>IF(OR(TaxOn&lt;&gt;"Yes",NOT(ISNUMBER(M1894))),0,IF(IFERROR(INDEX(tt_Tax,MATCH(D1894,tt_Type,0)),"No")="Yes",M1894,0))</f>
        <v/>
      </c>
      <c r="X1894" s="67">
        <f>IF(T1894=1,"",IF(C1894="","Missing transaction date",IF(NOT(ISNUMBER(C1894)),"Invalid date",IF(OR(C1894&lt;DATE(2000,1,1),C1894&gt;DATE(2099,12,31)),"Invalid date",IF(D1894="","Select a type",IF(U1894="","Unknown type: "&amp;D1894,IF(V1894="","Select an account (Category)",IF(ISNA(MATCH(V1894,coa_Name,0)),"Unknown account: "&amp;V1894,IF(K1894="","Select Paid From / Deposited To",IF(ISNA(MATCH(K1894,coa_Name,0)),"Unknown account: "&amp;K1894,IF(NOT(ISNUMBER(L1894)),"Enter an amount",IF(L1894=0,"Enter an amount",IF(ABS(W1894)&gt;ABS(L1894),"Tax is larger than the amount","")))))))))))))</f>
        <v/>
      </c>
      <c r="Y1894" s="67">
        <f>IF(OR(T1894=1,X1894&lt;&gt;""),"",IF(AND(B1894&lt;&gt;"",COUNTIF(tx_ID,B1894)&gt;1),"Duplicate transaction ID",IF(AND(L1894&lt;0,D1894&lt;&gt;"Adjustment"),"Negative amount — check this entry",IF(AND(D1894="Customer Payment",G1894=""),"Add the customer",IF(AND(D1894="Customer Payment",OR(J1894="",COUNTIF(ar_No,J1894&amp;"")=0)),"Invoice # in Reference not found on AR sheet",IF(AND(D1894="Bill Payment",H1894=""),"Add the vendor",IF(AND(D1894="Bill Payment",OR(J1894="",COUNTIFS(ap_No,J1894&amp;"",ap_Party,H1894&amp;"")=0)),"Bill # + vendor not found on AP sheet",IF(AND(ISNUMBER(M1894),N(M1894)&lt;&gt;0,W1894=0),"Tax ignored (tax tracking off, or not allowed for this type)",IF(V1894=K1894&amp;"","Same account on both sides",IF(AND(ISNUMBER(StartDate),C1894&lt;StartDate),"Date is before the accounting start date",IF(AND(D1894&lt;&gt;"Adjustment",IFERROR(INDEX(coa_Pay,MATCH(K1894&amp;"",coa_Name,0)),"")&lt;&gt;"Yes"),"Paid From / Deposited To is not a payment account","")))))))))))</f>
        <v/>
      </c>
      <c r="Z1894" s="67">
        <f>IF(AND(T1894=0,X1894=""),1,0)</f>
        <v/>
      </c>
      <c r="AA1894" s="68">
        <f>IF(Z1894=1,IF(U1894="In",L1894,L1894-W1894),0)</f>
        <v/>
      </c>
      <c r="AB1894" s="68">
        <f>IF(Z1894=1,IF(U1894="In",L1894-W1894,L1894),0)</f>
        <v/>
      </c>
      <c r="AC1894" s="68">
        <f>IF(AND(Z1894=1,U1894="Out"),W1894,0)</f>
        <v/>
      </c>
      <c r="AD1894" s="68">
        <f>IF(AND(Z1894=1,U1894="In"),W1894,0)</f>
        <v/>
      </c>
    </row>
    <row r="1895">
      <c r="B1895" s="62" t="inlineStr">
        <is>
          <t>TX-1889</t>
        </is>
      </c>
      <c r="C1895" s="63" t="n"/>
      <c r="D1895" s="62" t="n"/>
      <c r="E1895" s="62" t="n"/>
      <c r="F1895" s="62" t="n"/>
      <c r="G1895" s="62" t="n"/>
      <c r="H1895" s="62" t="n"/>
      <c r="I1895" s="62" t="n"/>
      <c r="J1895" s="62" t="n"/>
      <c r="K1895" s="62" t="n"/>
      <c r="L1895" s="64" t="n"/>
      <c r="M1895" s="64" t="n"/>
      <c r="N1895" s="62" t="n"/>
      <c r="O1895" s="65">
        <f>IF(Z1895=1,L1895-W1895,"")</f>
        <v/>
      </c>
      <c r="P1895" s="66">
        <f>IF(V1895="","",IFERROR(INDEX(coa_Type,MATCH(V1895,coa_Name,0)),""))</f>
        <v/>
      </c>
      <c r="Q1895" s="66">
        <f>IF(Z1895=1,IF(U1895="In",K1895&amp;"",V1895),"")</f>
        <v/>
      </c>
      <c r="R1895" s="66">
        <f>IF(Z1895=1,IF(U1895="In",V1895,K1895&amp;""),"")</f>
        <v/>
      </c>
      <c r="S1895" s="66">
        <f>IF(X1895&lt;&gt;"","⛔ "&amp;X1895&amp;" — not posted",IF(Y1895&lt;&gt;"","⚠ "&amp;Y1895,IF(Z1895=1,"✓ OK","")))</f>
        <v/>
      </c>
      <c r="T1895" s="67">
        <f>IF(AND(C1895="",D1895="",E1895="",L1895="",K1895=""),1,0)</f>
        <v/>
      </c>
      <c r="U1895" s="67">
        <f>IFERROR(INDEX(tt_Dir,MATCH(D1895,tt_Type,0)),"")</f>
        <v/>
      </c>
      <c r="V1895" s="67">
        <f>IF(D1895="","",IFERROR(IF(INDEX(tt_Other,MATCH(D1895,tt_Type,0))="",E1895&amp;"",INDEX(tt_Other,MATCH(D1895,tt_Type,0))),""))</f>
        <v/>
      </c>
      <c r="W1895" s="68">
        <f>IF(OR(TaxOn&lt;&gt;"Yes",NOT(ISNUMBER(M1895))),0,IF(IFERROR(INDEX(tt_Tax,MATCH(D1895,tt_Type,0)),"No")="Yes",M1895,0))</f>
        <v/>
      </c>
      <c r="X1895" s="67">
        <f>IF(T1895=1,"",IF(C1895="","Missing transaction date",IF(NOT(ISNUMBER(C1895)),"Invalid date",IF(OR(C1895&lt;DATE(2000,1,1),C1895&gt;DATE(2099,12,31)),"Invalid date",IF(D1895="","Select a type",IF(U1895="","Unknown type: "&amp;D1895,IF(V1895="","Select an account (Category)",IF(ISNA(MATCH(V1895,coa_Name,0)),"Unknown account: "&amp;V1895,IF(K1895="","Select Paid From / Deposited To",IF(ISNA(MATCH(K1895,coa_Name,0)),"Unknown account: "&amp;K1895,IF(NOT(ISNUMBER(L1895)),"Enter an amount",IF(L1895=0,"Enter an amount",IF(ABS(W1895)&gt;ABS(L1895),"Tax is larger than the amount","")))))))))))))</f>
        <v/>
      </c>
      <c r="Y1895" s="67">
        <f>IF(OR(T1895=1,X1895&lt;&gt;""),"",IF(AND(B1895&lt;&gt;"",COUNTIF(tx_ID,B1895)&gt;1),"Duplicate transaction ID",IF(AND(L1895&lt;0,D1895&lt;&gt;"Adjustment"),"Negative amount — check this entry",IF(AND(D1895="Customer Payment",G1895=""),"Add the customer",IF(AND(D1895="Customer Payment",OR(J1895="",COUNTIF(ar_No,J1895&amp;"")=0)),"Invoice # in Reference not found on AR sheet",IF(AND(D1895="Bill Payment",H1895=""),"Add the vendor",IF(AND(D1895="Bill Payment",OR(J1895="",COUNTIFS(ap_No,J1895&amp;"",ap_Party,H1895&amp;"")=0)),"Bill # + vendor not found on AP sheet",IF(AND(ISNUMBER(M1895),N(M1895)&lt;&gt;0,W1895=0),"Tax ignored (tax tracking off, or not allowed for this type)",IF(V1895=K1895&amp;"","Same account on both sides",IF(AND(ISNUMBER(StartDate),C1895&lt;StartDate),"Date is before the accounting start date",IF(AND(D1895&lt;&gt;"Adjustment",IFERROR(INDEX(coa_Pay,MATCH(K1895&amp;"",coa_Name,0)),"")&lt;&gt;"Yes"),"Paid From / Deposited To is not a payment account","")))))))))))</f>
        <v/>
      </c>
      <c r="Z1895" s="67">
        <f>IF(AND(T1895=0,X1895=""),1,0)</f>
        <v/>
      </c>
      <c r="AA1895" s="68">
        <f>IF(Z1895=1,IF(U1895="In",L1895,L1895-W1895),0)</f>
        <v/>
      </c>
      <c r="AB1895" s="68">
        <f>IF(Z1895=1,IF(U1895="In",L1895-W1895,L1895),0)</f>
        <v/>
      </c>
      <c r="AC1895" s="68">
        <f>IF(AND(Z1895=1,U1895="Out"),W1895,0)</f>
        <v/>
      </c>
      <c r="AD1895" s="68">
        <f>IF(AND(Z1895=1,U1895="In"),W1895,0)</f>
        <v/>
      </c>
    </row>
    <row r="1896">
      <c r="B1896" s="62" t="inlineStr">
        <is>
          <t>TX-1890</t>
        </is>
      </c>
      <c r="C1896" s="63" t="n"/>
      <c r="D1896" s="62" t="n"/>
      <c r="E1896" s="62" t="n"/>
      <c r="F1896" s="62" t="n"/>
      <c r="G1896" s="62" t="n"/>
      <c r="H1896" s="62" t="n"/>
      <c r="I1896" s="62" t="n"/>
      <c r="J1896" s="62" t="n"/>
      <c r="K1896" s="62" t="n"/>
      <c r="L1896" s="64" t="n"/>
      <c r="M1896" s="64" t="n"/>
      <c r="N1896" s="62" t="n"/>
      <c r="O1896" s="65">
        <f>IF(Z1896=1,L1896-W1896,"")</f>
        <v/>
      </c>
      <c r="P1896" s="66">
        <f>IF(V1896="","",IFERROR(INDEX(coa_Type,MATCH(V1896,coa_Name,0)),""))</f>
        <v/>
      </c>
      <c r="Q1896" s="66">
        <f>IF(Z1896=1,IF(U1896="In",K1896&amp;"",V1896),"")</f>
        <v/>
      </c>
      <c r="R1896" s="66">
        <f>IF(Z1896=1,IF(U1896="In",V1896,K1896&amp;""),"")</f>
        <v/>
      </c>
      <c r="S1896" s="66">
        <f>IF(X1896&lt;&gt;"","⛔ "&amp;X1896&amp;" — not posted",IF(Y1896&lt;&gt;"","⚠ "&amp;Y1896,IF(Z1896=1,"✓ OK","")))</f>
        <v/>
      </c>
      <c r="T1896" s="67">
        <f>IF(AND(C1896="",D1896="",E1896="",L1896="",K1896=""),1,0)</f>
        <v/>
      </c>
      <c r="U1896" s="67">
        <f>IFERROR(INDEX(tt_Dir,MATCH(D1896,tt_Type,0)),"")</f>
        <v/>
      </c>
      <c r="V1896" s="67">
        <f>IF(D1896="","",IFERROR(IF(INDEX(tt_Other,MATCH(D1896,tt_Type,0))="",E1896&amp;"",INDEX(tt_Other,MATCH(D1896,tt_Type,0))),""))</f>
        <v/>
      </c>
      <c r="W1896" s="68">
        <f>IF(OR(TaxOn&lt;&gt;"Yes",NOT(ISNUMBER(M1896))),0,IF(IFERROR(INDEX(tt_Tax,MATCH(D1896,tt_Type,0)),"No")="Yes",M1896,0))</f>
        <v/>
      </c>
      <c r="X1896" s="67">
        <f>IF(T1896=1,"",IF(C1896="","Missing transaction date",IF(NOT(ISNUMBER(C1896)),"Invalid date",IF(OR(C1896&lt;DATE(2000,1,1),C1896&gt;DATE(2099,12,31)),"Invalid date",IF(D1896="","Select a type",IF(U1896="","Unknown type: "&amp;D1896,IF(V1896="","Select an account (Category)",IF(ISNA(MATCH(V1896,coa_Name,0)),"Unknown account: "&amp;V1896,IF(K1896="","Select Paid From / Deposited To",IF(ISNA(MATCH(K1896,coa_Name,0)),"Unknown account: "&amp;K1896,IF(NOT(ISNUMBER(L1896)),"Enter an amount",IF(L1896=0,"Enter an amount",IF(ABS(W1896)&gt;ABS(L1896),"Tax is larger than the amount","")))))))))))))</f>
        <v/>
      </c>
      <c r="Y1896" s="67">
        <f>IF(OR(T1896=1,X1896&lt;&gt;""),"",IF(AND(B1896&lt;&gt;"",COUNTIF(tx_ID,B1896)&gt;1),"Duplicate transaction ID",IF(AND(L1896&lt;0,D1896&lt;&gt;"Adjustment"),"Negative amount — check this entry",IF(AND(D1896="Customer Payment",G1896=""),"Add the customer",IF(AND(D1896="Customer Payment",OR(J1896="",COUNTIF(ar_No,J1896&amp;"")=0)),"Invoice # in Reference not found on AR sheet",IF(AND(D1896="Bill Payment",H1896=""),"Add the vendor",IF(AND(D1896="Bill Payment",OR(J1896="",COUNTIFS(ap_No,J1896&amp;"",ap_Party,H1896&amp;"")=0)),"Bill # + vendor not found on AP sheet",IF(AND(ISNUMBER(M1896),N(M1896)&lt;&gt;0,W1896=0),"Tax ignored (tax tracking off, or not allowed for this type)",IF(V1896=K1896&amp;"","Same account on both sides",IF(AND(ISNUMBER(StartDate),C1896&lt;StartDate),"Date is before the accounting start date",IF(AND(D1896&lt;&gt;"Adjustment",IFERROR(INDEX(coa_Pay,MATCH(K1896&amp;"",coa_Name,0)),"")&lt;&gt;"Yes"),"Paid From / Deposited To is not a payment account","")))))))))))</f>
        <v/>
      </c>
      <c r="Z1896" s="67">
        <f>IF(AND(T1896=0,X1896=""),1,0)</f>
        <v/>
      </c>
      <c r="AA1896" s="68">
        <f>IF(Z1896=1,IF(U1896="In",L1896,L1896-W1896),0)</f>
        <v/>
      </c>
      <c r="AB1896" s="68">
        <f>IF(Z1896=1,IF(U1896="In",L1896-W1896,L1896),0)</f>
        <v/>
      </c>
      <c r="AC1896" s="68">
        <f>IF(AND(Z1896=1,U1896="Out"),W1896,0)</f>
        <v/>
      </c>
      <c r="AD1896" s="68">
        <f>IF(AND(Z1896=1,U1896="In"),W1896,0)</f>
        <v/>
      </c>
    </row>
    <row r="1897">
      <c r="B1897" s="62" t="inlineStr">
        <is>
          <t>TX-1891</t>
        </is>
      </c>
      <c r="C1897" s="63" t="n"/>
      <c r="D1897" s="62" t="n"/>
      <c r="E1897" s="62" t="n"/>
      <c r="F1897" s="62" t="n"/>
      <c r="G1897" s="62" t="n"/>
      <c r="H1897" s="62" t="n"/>
      <c r="I1897" s="62" t="n"/>
      <c r="J1897" s="62" t="n"/>
      <c r="K1897" s="62" t="n"/>
      <c r="L1897" s="64" t="n"/>
      <c r="M1897" s="64" t="n"/>
      <c r="N1897" s="62" t="n"/>
      <c r="O1897" s="65">
        <f>IF(Z1897=1,L1897-W1897,"")</f>
        <v/>
      </c>
      <c r="P1897" s="66">
        <f>IF(V1897="","",IFERROR(INDEX(coa_Type,MATCH(V1897,coa_Name,0)),""))</f>
        <v/>
      </c>
      <c r="Q1897" s="66">
        <f>IF(Z1897=1,IF(U1897="In",K1897&amp;"",V1897),"")</f>
        <v/>
      </c>
      <c r="R1897" s="66">
        <f>IF(Z1897=1,IF(U1897="In",V1897,K1897&amp;""),"")</f>
        <v/>
      </c>
      <c r="S1897" s="66">
        <f>IF(X1897&lt;&gt;"","⛔ "&amp;X1897&amp;" — not posted",IF(Y1897&lt;&gt;"","⚠ "&amp;Y1897,IF(Z1897=1,"✓ OK","")))</f>
        <v/>
      </c>
      <c r="T1897" s="67">
        <f>IF(AND(C1897="",D1897="",E1897="",L1897="",K1897=""),1,0)</f>
        <v/>
      </c>
      <c r="U1897" s="67">
        <f>IFERROR(INDEX(tt_Dir,MATCH(D1897,tt_Type,0)),"")</f>
        <v/>
      </c>
      <c r="V1897" s="67">
        <f>IF(D1897="","",IFERROR(IF(INDEX(tt_Other,MATCH(D1897,tt_Type,0))="",E1897&amp;"",INDEX(tt_Other,MATCH(D1897,tt_Type,0))),""))</f>
        <v/>
      </c>
      <c r="W1897" s="68">
        <f>IF(OR(TaxOn&lt;&gt;"Yes",NOT(ISNUMBER(M1897))),0,IF(IFERROR(INDEX(tt_Tax,MATCH(D1897,tt_Type,0)),"No")="Yes",M1897,0))</f>
        <v/>
      </c>
      <c r="X1897" s="67">
        <f>IF(T1897=1,"",IF(C1897="","Missing transaction date",IF(NOT(ISNUMBER(C1897)),"Invalid date",IF(OR(C1897&lt;DATE(2000,1,1),C1897&gt;DATE(2099,12,31)),"Invalid date",IF(D1897="","Select a type",IF(U1897="","Unknown type: "&amp;D1897,IF(V1897="","Select an account (Category)",IF(ISNA(MATCH(V1897,coa_Name,0)),"Unknown account: "&amp;V1897,IF(K1897="","Select Paid From / Deposited To",IF(ISNA(MATCH(K1897,coa_Name,0)),"Unknown account: "&amp;K1897,IF(NOT(ISNUMBER(L1897)),"Enter an amount",IF(L1897=0,"Enter an amount",IF(ABS(W1897)&gt;ABS(L1897),"Tax is larger than the amount","")))))))))))))</f>
        <v/>
      </c>
      <c r="Y1897" s="67">
        <f>IF(OR(T1897=1,X1897&lt;&gt;""),"",IF(AND(B1897&lt;&gt;"",COUNTIF(tx_ID,B1897)&gt;1),"Duplicate transaction ID",IF(AND(L1897&lt;0,D1897&lt;&gt;"Adjustment"),"Negative amount — check this entry",IF(AND(D1897="Customer Payment",G1897=""),"Add the customer",IF(AND(D1897="Customer Payment",OR(J1897="",COUNTIF(ar_No,J1897&amp;"")=0)),"Invoice # in Reference not found on AR sheet",IF(AND(D1897="Bill Payment",H1897=""),"Add the vendor",IF(AND(D1897="Bill Payment",OR(J1897="",COUNTIFS(ap_No,J1897&amp;"",ap_Party,H1897&amp;"")=0)),"Bill # + vendor not found on AP sheet",IF(AND(ISNUMBER(M1897),N(M1897)&lt;&gt;0,W1897=0),"Tax ignored (tax tracking off, or not allowed for this type)",IF(V1897=K1897&amp;"","Same account on both sides",IF(AND(ISNUMBER(StartDate),C1897&lt;StartDate),"Date is before the accounting start date",IF(AND(D1897&lt;&gt;"Adjustment",IFERROR(INDEX(coa_Pay,MATCH(K1897&amp;"",coa_Name,0)),"")&lt;&gt;"Yes"),"Paid From / Deposited To is not a payment account","")))))))))))</f>
        <v/>
      </c>
      <c r="Z1897" s="67">
        <f>IF(AND(T1897=0,X1897=""),1,0)</f>
        <v/>
      </c>
      <c r="AA1897" s="68">
        <f>IF(Z1897=1,IF(U1897="In",L1897,L1897-W1897),0)</f>
        <v/>
      </c>
      <c r="AB1897" s="68">
        <f>IF(Z1897=1,IF(U1897="In",L1897-W1897,L1897),0)</f>
        <v/>
      </c>
      <c r="AC1897" s="68">
        <f>IF(AND(Z1897=1,U1897="Out"),W1897,0)</f>
        <v/>
      </c>
      <c r="AD1897" s="68">
        <f>IF(AND(Z1897=1,U1897="In"),W1897,0)</f>
        <v/>
      </c>
    </row>
    <row r="1898">
      <c r="B1898" s="62" t="inlineStr">
        <is>
          <t>TX-1892</t>
        </is>
      </c>
      <c r="C1898" s="63" t="n"/>
      <c r="D1898" s="62" t="n"/>
      <c r="E1898" s="62" t="n"/>
      <c r="F1898" s="62" t="n"/>
      <c r="G1898" s="62" t="n"/>
      <c r="H1898" s="62" t="n"/>
      <c r="I1898" s="62" t="n"/>
      <c r="J1898" s="62" t="n"/>
      <c r="K1898" s="62" t="n"/>
      <c r="L1898" s="64" t="n"/>
      <c r="M1898" s="64" t="n"/>
      <c r="N1898" s="62" t="n"/>
      <c r="O1898" s="65">
        <f>IF(Z1898=1,L1898-W1898,"")</f>
        <v/>
      </c>
      <c r="P1898" s="66">
        <f>IF(V1898="","",IFERROR(INDEX(coa_Type,MATCH(V1898,coa_Name,0)),""))</f>
        <v/>
      </c>
      <c r="Q1898" s="66">
        <f>IF(Z1898=1,IF(U1898="In",K1898&amp;"",V1898),"")</f>
        <v/>
      </c>
      <c r="R1898" s="66">
        <f>IF(Z1898=1,IF(U1898="In",V1898,K1898&amp;""),"")</f>
        <v/>
      </c>
      <c r="S1898" s="66">
        <f>IF(X1898&lt;&gt;"","⛔ "&amp;X1898&amp;" — not posted",IF(Y1898&lt;&gt;"","⚠ "&amp;Y1898,IF(Z1898=1,"✓ OK","")))</f>
        <v/>
      </c>
      <c r="T1898" s="67">
        <f>IF(AND(C1898="",D1898="",E1898="",L1898="",K1898=""),1,0)</f>
        <v/>
      </c>
      <c r="U1898" s="67">
        <f>IFERROR(INDEX(tt_Dir,MATCH(D1898,tt_Type,0)),"")</f>
        <v/>
      </c>
      <c r="V1898" s="67">
        <f>IF(D1898="","",IFERROR(IF(INDEX(tt_Other,MATCH(D1898,tt_Type,0))="",E1898&amp;"",INDEX(tt_Other,MATCH(D1898,tt_Type,0))),""))</f>
        <v/>
      </c>
      <c r="W1898" s="68">
        <f>IF(OR(TaxOn&lt;&gt;"Yes",NOT(ISNUMBER(M1898))),0,IF(IFERROR(INDEX(tt_Tax,MATCH(D1898,tt_Type,0)),"No")="Yes",M1898,0))</f>
        <v/>
      </c>
      <c r="X1898" s="67">
        <f>IF(T1898=1,"",IF(C1898="","Missing transaction date",IF(NOT(ISNUMBER(C1898)),"Invalid date",IF(OR(C1898&lt;DATE(2000,1,1),C1898&gt;DATE(2099,12,31)),"Invalid date",IF(D1898="","Select a type",IF(U1898="","Unknown type: "&amp;D1898,IF(V1898="","Select an account (Category)",IF(ISNA(MATCH(V1898,coa_Name,0)),"Unknown account: "&amp;V1898,IF(K1898="","Select Paid From / Deposited To",IF(ISNA(MATCH(K1898,coa_Name,0)),"Unknown account: "&amp;K1898,IF(NOT(ISNUMBER(L1898)),"Enter an amount",IF(L1898=0,"Enter an amount",IF(ABS(W1898)&gt;ABS(L1898),"Tax is larger than the amount","")))))))))))))</f>
        <v/>
      </c>
      <c r="Y1898" s="67">
        <f>IF(OR(T1898=1,X1898&lt;&gt;""),"",IF(AND(B1898&lt;&gt;"",COUNTIF(tx_ID,B1898)&gt;1),"Duplicate transaction ID",IF(AND(L1898&lt;0,D1898&lt;&gt;"Adjustment"),"Negative amount — check this entry",IF(AND(D1898="Customer Payment",G1898=""),"Add the customer",IF(AND(D1898="Customer Payment",OR(J1898="",COUNTIF(ar_No,J1898&amp;"")=0)),"Invoice # in Reference not found on AR sheet",IF(AND(D1898="Bill Payment",H1898=""),"Add the vendor",IF(AND(D1898="Bill Payment",OR(J1898="",COUNTIFS(ap_No,J1898&amp;"",ap_Party,H1898&amp;"")=0)),"Bill # + vendor not found on AP sheet",IF(AND(ISNUMBER(M1898),N(M1898)&lt;&gt;0,W1898=0),"Tax ignored (tax tracking off, or not allowed for this type)",IF(V1898=K1898&amp;"","Same account on both sides",IF(AND(ISNUMBER(StartDate),C1898&lt;StartDate),"Date is before the accounting start date",IF(AND(D1898&lt;&gt;"Adjustment",IFERROR(INDEX(coa_Pay,MATCH(K1898&amp;"",coa_Name,0)),"")&lt;&gt;"Yes"),"Paid From / Deposited To is not a payment account","")))))))))))</f>
        <v/>
      </c>
      <c r="Z1898" s="67">
        <f>IF(AND(T1898=0,X1898=""),1,0)</f>
        <v/>
      </c>
      <c r="AA1898" s="68">
        <f>IF(Z1898=1,IF(U1898="In",L1898,L1898-W1898),0)</f>
        <v/>
      </c>
      <c r="AB1898" s="68">
        <f>IF(Z1898=1,IF(U1898="In",L1898-W1898,L1898),0)</f>
        <v/>
      </c>
      <c r="AC1898" s="68">
        <f>IF(AND(Z1898=1,U1898="Out"),W1898,0)</f>
        <v/>
      </c>
      <c r="AD1898" s="68">
        <f>IF(AND(Z1898=1,U1898="In"),W1898,0)</f>
        <v/>
      </c>
    </row>
    <row r="1899">
      <c r="B1899" s="62" t="inlineStr">
        <is>
          <t>TX-1893</t>
        </is>
      </c>
      <c r="C1899" s="63" t="n"/>
      <c r="D1899" s="62" t="n"/>
      <c r="E1899" s="62" t="n"/>
      <c r="F1899" s="62" t="n"/>
      <c r="G1899" s="62" t="n"/>
      <c r="H1899" s="62" t="n"/>
      <c r="I1899" s="62" t="n"/>
      <c r="J1899" s="62" t="n"/>
      <c r="K1899" s="62" t="n"/>
      <c r="L1899" s="64" t="n"/>
      <c r="M1899" s="64" t="n"/>
      <c r="N1899" s="62" t="n"/>
      <c r="O1899" s="65">
        <f>IF(Z1899=1,L1899-W1899,"")</f>
        <v/>
      </c>
      <c r="P1899" s="66">
        <f>IF(V1899="","",IFERROR(INDEX(coa_Type,MATCH(V1899,coa_Name,0)),""))</f>
        <v/>
      </c>
      <c r="Q1899" s="66">
        <f>IF(Z1899=1,IF(U1899="In",K1899&amp;"",V1899),"")</f>
        <v/>
      </c>
      <c r="R1899" s="66">
        <f>IF(Z1899=1,IF(U1899="In",V1899,K1899&amp;""),"")</f>
        <v/>
      </c>
      <c r="S1899" s="66">
        <f>IF(X1899&lt;&gt;"","⛔ "&amp;X1899&amp;" — not posted",IF(Y1899&lt;&gt;"","⚠ "&amp;Y1899,IF(Z1899=1,"✓ OK","")))</f>
        <v/>
      </c>
      <c r="T1899" s="67">
        <f>IF(AND(C1899="",D1899="",E1899="",L1899="",K1899=""),1,0)</f>
        <v/>
      </c>
      <c r="U1899" s="67">
        <f>IFERROR(INDEX(tt_Dir,MATCH(D1899,tt_Type,0)),"")</f>
        <v/>
      </c>
      <c r="V1899" s="67">
        <f>IF(D1899="","",IFERROR(IF(INDEX(tt_Other,MATCH(D1899,tt_Type,0))="",E1899&amp;"",INDEX(tt_Other,MATCH(D1899,tt_Type,0))),""))</f>
        <v/>
      </c>
      <c r="W1899" s="68">
        <f>IF(OR(TaxOn&lt;&gt;"Yes",NOT(ISNUMBER(M1899))),0,IF(IFERROR(INDEX(tt_Tax,MATCH(D1899,tt_Type,0)),"No")="Yes",M1899,0))</f>
        <v/>
      </c>
      <c r="X1899" s="67">
        <f>IF(T1899=1,"",IF(C1899="","Missing transaction date",IF(NOT(ISNUMBER(C1899)),"Invalid date",IF(OR(C1899&lt;DATE(2000,1,1),C1899&gt;DATE(2099,12,31)),"Invalid date",IF(D1899="","Select a type",IF(U1899="","Unknown type: "&amp;D1899,IF(V1899="","Select an account (Category)",IF(ISNA(MATCH(V1899,coa_Name,0)),"Unknown account: "&amp;V1899,IF(K1899="","Select Paid From / Deposited To",IF(ISNA(MATCH(K1899,coa_Name,0)),"Unknown account: "&amp;K1899,IF(NOT(ISNUMBER(L1899)),"Enter an amount",IF(L1899=0,"Enter an amount",IF(ABS(W1899)&gt;ABS(L1899),"Tax is larger than the amount","")))))))))))))</f>
        <v/>
      </c>
      <c r="Y1899" s="67">
        <f>IF(OR(T1899=1,X1899&lt;&gt;""),"",IF(AND(B1899&lt;&gt;"",COUNTIF(tx_ID,B1899)&gt;1),"Duplicate transaction ID",IF(AND(L1899&lt;0,D1899&lt;&gt;"Adjustment"),"Negative amount — check this entry",IF(AND(D1899="Customer Payment",G1899=""),"Add the customer",IF(AND(D1899="Customer Payment",OR(J1899="",COUNTIF(ar_No,J1899&amp;"")=0)),"Invoice # in Reference not found on AR sheet",IF(AND(D1899="Bill Payment",H1899=""),"Add the vendor",IF(AND(D1899="Bill Payment",OR(J1899="",COUNTIFS(ap_No,J1899&amp;"",ap_Party,H1899&amp;"")=0)),"Bill # + vendor not found on AP sheet",IF(AND(ISNUMBER(M1899),N(M1899)&lt;&gt;0,W1899=0),"Tax ignored (tax tracking off, or not allowed for this type)",IF(V1899=K1899&amp;"","Same account on both sides",IF(AND(ISNUMBER(StartDate),C1899&lt;StartDate),"Date is before the accounting start date",IF(AND(D1899&lt;&gt;"Adjustment",IFERROR(INDEX(coa_Pay,MATCH(K1899&amp;"",coa_Name,0)),"")&lt;&gt;"Yes"),"Paid From / Deposited To is not a payment account","")))))))))))</f>
        <v/>
      </c>
      <c r="Z1899" s="67">
        <f>IF(AND(T1899=0,X1899=""),1,0)</f>
        <v/>
      </c>
      <c r="AA1899" s="68">
        <f>IF(Z1899=1,IF(U1899="In",L1899,L1899-W1899),0)</f>
        <v/>
      </c>
      <c r="AB1899" s="68">
        <f>IF(Z1899=1,IF(U1899="In",L1899-W1899,L1899),0)</f>
        <v/>
      </c>
      <c r="AC1899" s="68">
        <f>IF(AND(Z1899=1,U1899="Out"),W1899,0)</f>
        <v/>
      </c>
      <c r="AD1899" s="68">
        <f>IF(AND(Z1899=1,U1899="In"),W1899,0)</f>
        <v/>
      </c>
    </row>
    <row r="1900">
      <c r="B1900" s="62" t="inlineStr">
        <is>
          <t>TX-1894</t>
        </is>
      </c>
      <c r="C1900" s="63" t="n"/>
      <c r="D1900" s="62" t="n"/>
      <c r="E1900" s="62" t="n"/>
      <c r="F1900" s="62" t="n"/>
      <c r="G1900" s="62" t="n"/>
      <c r="H1900" s="62" t="n"/>
      <c r="I1900" s="62" t="n"/>
      <c r="J1900" s="62" t="n"/>
      <c r="K1900" s="62" t="n"/>
      <c r="L1900" s="64" t="n"/>
      <c r="M1900" s="64" t="n"/>
      <c r="N1900" s="62" t="n"/>
      <c r="O1900" s="65">
        <f>IF(Z1900=1,L1900-W1900,"")</f>
        <v/>
      </c>
      <c r="P1900" s="66">
        <f>IF(V1900="","",IFERROR(INDEX(coa_Type,MATCH(V1900,coa_Name,0)),""))</f>
        <v/>
      </c>
      <c r="Q1900" s="66">
        <f>IF(Z1900=1,IF(U1900="In",K1900&amp;"",V1900),"")</f>
        <v/>
      </c>
      <c r="R1900" s="66">
        <f>IF(Z1900=1,IF(U1900="In",V1900,K1900&amp;""),"")</f>
        <v/>
      </c>
      <c r="S1900" s="66">
        <f>IF(X1900&lt;&gt;"","⛔ "&amp;X1900&amp;" — not posted",IF(Y1900&lt;&gt;"","⚠ "&amp;Y1900,IF(Z1900=1,"✓ OK","")))</f>
        <v/>
      </c>
      <c r="T1900" s="67">
        <f>IF(AND(C1900="",D1900="",E1900="",L1900="",K1900=""),1,0)</f>
        <v/>
      </c>
      <c r="U1900" s="67">
        <f>IFERROR(INDEX(tt_Dir,MATCH(D1900,tt_Type,0)),"")</f>
        <v/>
      </c>
      <c r="V1900" s="67">
        <f>IF(D1900="","",IFERROR(IF(INDEX(tt_Other,MATCH(D1900,tt_Type,0))="",E1900&amp;"",INDEX(tt_Other,MATCH(D1900,tt_Type,0))),""))</f>
        <v/>
      </c>
      <c r="W1900" s="68">
        <f>IF(OR(TaxOn&lt;&gt;"Yes",NOT(ISNUMBER(M1900))),0,IF(IFERROR(INDEX(tt_Tax,MATCH(D1900,tt_Type,0)),"No")="Yes",M1900,0))</f>
        <v/>
      </c>
      <c r="X1900" s="67">
        <f>IF(T1900=1,"",IF(C1900="","Missing transaction date",IF(NOT(ISNUMBER(C1900)),"Invalid date",IF(OR(C1900&lt;DATE(2000,1,1),C1900&gt;DATE(2099,12,31)),"Invalid date",IF(D1900="","Select a type",IF(U1900="","Unknown type: "&amp;D1900,IF(V1900="","Select an account (Category)",IF(ISNA(MATCH(V1900,coa_Name,0)),"Unknown account: "&amp;V1900,IF(K1900="","Select Paid From / Deposited To",IF(ISNA(MATCH(K1900,coa_Name,0)),"Unknown account: "&amp;K1900,IF(NOT(ISNUMBER(L1900)),"Enter an amount",IF(L1900=0,"Enter an amount",IF(ABS(W1900)&gt;ABS(L1900),"Tax is larger than the amount","")))))))))))))</f>
        <v/>
      </c>
      <c r="Y1900" s="67">
        <f>IF(OR(T1900=1,X1900&lt;&gt;""),"",IF(AND(B1900&lt;&gt;"",COUNTIF(tx_ID,B1900)&gt;1),"Duplicate transaction ID",IF(AND(L1900&lt;0,D1900&lt;&gt;"Adjustment"),"Negative amount — check this entry",IF(AND(D1900="Customer Payment",G1900=""),"Add the customer",IF(AND(D1900="Customer Payment",OR(J1900="",COUNTIF(ar_No,J1900&amp;"")=0)),"Invoice # in Reference not found on AR sheet",IF(AND(D1900="Bill Payment",H1900=""),"Add the vendor",IF(AND(D1900="Bill Payment",OR(J1900="",COUNTIFS(ap_No,J1900&amp;"",ap_Party,H1900&amp;"")=0)),"Bill # + vendor not found on AP sheet",IF(AND(ISNUMBER(M1900),N(M1900)&lt;&gt;0,W1900=0),"Tax ignored (tax tracking off, or not allowed for this type)",IF(V1900=K1900&amp;"","Same account on both sides",IF(AND(ISNUMBER(StartDate),C1900&lt;StartDate),"Date is before the accounting start date",IF(AND(D1900&lt;&gt;"Adjustment",IFERROR(INDEX(coa_Pay,MATCH(K1900&amp;"",coa_Name,0)),"")&lt;&gt;"Yes"),"Paid From / Deposited To is not a payment account","")))))))))))</f>
        <v/>
      </c>
      <c r="Z1900" s="67">
        <f>IF(AND(T1900=0,X1900=""),1,0)</f>
        <v/>
      </c>
      <c r="AA1900" s="68">
        <f>IF(Z1900=1,IF(U1900="In",L1900,L1900-W1900),0)</f>
        <v/>
      </c>
      <c r="AB1900" s="68">
        <f>IF(Z1900=1,IF(U1900="In",L1900-W1900,L1900),0)</f>
        <v/>
      </c>
      <c r="AC1900" s="68">
        <f>IF(AND(Z1900=1,U1900="Out"),W1900,0)</f>
        <v/>
      </c>
      <c r="AD1900" s="68">
        <f>IF(AND(Z1900=1,U1900="In"),W1900,0)</f>
        <v/>
      </c>
    </row>
    <row r="1901">
      <c r="B1901" s="62" t="inlineStr">
        <is>
          <t>TX-1895</t>
        </is>
      </c>
      <c r="C1901" s="63" t="n"/>
      <c r="D1901" s="62" t="n"/>
      <c r="E1901" s="62" t="n"/>
      <c r="F1901" s="62" t="n"/>
      <c r="G1901" s="62" t="n"/>
      <c r="H1901" s="62" t="n"/>
      <c r="I1901" s="62" t="n"/>
      <c r="J1901" s="62" t="n"/>
      <c r="K1901" s="62" t="n"/>
      <c r="L1901" s="64" t="n"/>
      <c r="M1901" s="64" t="n"/>
      <c r="N1901" s="62" t="n"/>
      <c r="O1901" s="65">
        <f>IF(Z1901=1,L1901-W1901,"")</f>
        <v/>
      </c>
      <c r="P1901" s="66">
        <f>IF(V1901="","",IFERROR(INDEX(coa_Type,MATCH(V1901,coa_Name,0)),""))</f>
        <v/>
      </c>
      <c r="Q1901" s="66">
        <f>IF(Z1901=1,IF(U1901="In",K1901&amp;"",V1901),"")</f>
        <v/>
      </c>
      <c r="R1901" s="66">
        <f>IF(Z1901=1,IF(U1901="In",V1901,K1901&amp;""),"")</f>
        <v/>
      </c>
      <c r="S1901" s="66">
        <f>IF(X1901&lt;&gt;"","⛔ "&amp;X1901&amp;" — not posted",IF(Y1901&lt;&gt;"","⚠ "&amp;Y1901,IF(Z1901=1,"✓ OK","")))</f>
        <v/>
      </c>
      <c r="T1901" s="67">
        <f>IF(AND(C1901="",D1901="",E1901="",L1901="",K1901=""),1,0)</f>
        <v/>
      </c>
      <c r="U1901" s="67">
        <f>IFERROR(INDEX(tt_Dir,MATCH(D1901,tt_Type,0)),"")</f>
        <v/>
      </c>
      <c r="V1901" s="67">
        <f>IF(D1901="","",IFERROR(IF(INDEX(tt_Other,MATCH(D1901,tt_Type,0))="",E1901&amp;"",INDEX(tt_Other,MATCH(D1901,tt_Type,0))),""))</f>
        <v/>
      </c>
      <c r="W1901" s="68">
        <f>IF(OR(TaxOn&lt;&gt;"Yes",NOT(ISNUMBER(M1901))),0,IF(IFERROR(INDEX(tt_Tax,MATCH(D1901,tt_Type,0)),"No")="Yes",M1901,0))</f>
        <v/>
      </c>
      <c r="X1901" s="67">
        <f>IF(T1901=1,"",IF(C1901="","Missing transaction date",IF(NOT(ISNUMBER(C1901)),"Invalid date",IF(OR(C1901&lt;DATE(2000,1,1),C1901&gt;DATE(2099,12,31)),"Invalid date",IF(D1901="","Select a type",IF(U1901="","Unknown type: "&amp;D1901,IF(V1901="","Select an account (Category)",IF(ISNA(MATCH(V1901,coa_Name,0)),"Unknown account: "&amp;V1901,IF(K1901="","Select Paid From / Deposited To",IF(ISNA(MATCH(K1901,coa_Name,0)),"Unknown account: "&amp;K1901,IF(NOT(ISNUMBER(L1901)),"Enter an amount",IF(L1901=0,"Enter an amount",IF(ABS(W1901)&gt;ABS(L1901),"Tax is larger than the amount","")))))))))))))</f>
        <v/>
      </c>
      <c r="Y1901" s="67">
        <f>IF(OR(T1901=1,X1901&lt;&gt;""),"",IF(AND(B1901&lt;&gt;"",COUNTIF(tx_ID,B1901)&gt;1),"Duplicate transaction ID",IF(AND(L1901&lt;0,D1901&lt;&gt;"Adjustment"),"Negative amount — check this entry",IF(AND(D1901="Customer Payment",G1901=""),"Add the customer",IF(AND(D1901="Customer Payment",OR(J1901="",COUNTIF(ar_No,J1901&amp;"")=0)),"Invoice # in Reference not found on AR sheet",IF(AND(D1901="Bill Payment",H1901=""),"Add the vendor",IF(AND(D1901="Bill Payment",OR(J1901="",COUNTIFS(ap_No,J1901&amp;"",ap_Party,H1901&amp;"")=0)),"Bill # + vendor not found on AP sheet",IF(AND(ISNUMBER(M1901),N(M1901)&lt;&gt;0,W1901=0),"Tax ignored (tax tracking off, or not allowed for this type)",IF(V1901=K1901&amp;"","Same account on both sides",IF(AND(ISNUMBER(StartDate),C1901&lt;StartDate),"Date is before the accounting start date",IF(AND(D1901&lt;&gt;"Adjustment",IFERROR(INDEX(coa_Pay,MATCH(K1901&amp;"",coa_Name,0)),"")&lt;&gt;"Yes"),"Paid From / Deposited To is not a payment account","")))))))))))</f>
        <v/>
      </c>
      <c r="Z1901" s="67">
        <f>IF(AND(T1901=0,X1901=""),1,0)</f>
        <v/>
      </c>
      <c r="AA1901" s="68">
        <f>IF(Z1901=1,IF(U1901="In",L1901,L1901-W1901),0)</f>
        <v/>
      </c>
      <c r="AB1901" s="68">
        <f>IF(Z1901=1,IF(U1901="In",L1901-W1901,L1901),0)</f>
        <v/>
      </c>
      <c r="AC1901" s="68">
        <f>IF(AND(Z1901=1,U1901="Out"),W1901,0)</f>
        <v/>
      </c>
      <c r="AD1901" s="68">
        <f>IF(AND(Z1901=1,U1901="In"),W1901,0)</f>
        <v/>
      </c>
    </row>
    <row r="1902">
      <c r="B1902" s="62" t="inlineStr">
        <is>
          <t>TX-1896</t>
        </is>
      </c>
      <c r="C1902" s="63" t="n"/>
      <c r="D1902" s="62" t="n"/>
      <c r="E1902" s="62" t="n"/>
      <c r="F1902" s="62" t="n"/>
      <c r="G1902" s="62" t="n"/>
      <c r="H1902" s="62" t="n"/>
      <c r="I1902" s="62" t="n"/>
      <c r="J1902" s="62" t="n"/>
      <c r="K1902" s="62" t="n"/>
      <c r="L1902" s="64" t="n"/>
      <c r="M1902" s="64" t="n"/>
      <c r="N1902" s="62" t="n"/>
      <c r="O1902" s="65">
        <f>IF(Z1902=1,L1902-W1902,"")</f>
        <v/>
      </c>
      <c r="P1902" s="66">
        <f>IF(V1902="","",IFERROR(INDEX(coa_Type,MATCH(V1902,coa_Name,0)),""))</f>
        <v/>
      </c>
      <c r="Q1902" s="66">
        <f>IF(Z1902=1,IF(U1902="In",K1902&amp;"",V1902),"")</f>
        <v/>
      </c>
      <c r="R1902" s="66">
        <f>IF(Z1902=1,IF(U1902="In",V1902,K1902&amp;""),"")</f>
        <v/>
      </c>
      <c r="S1902" s="66">
        <f>IF(X1902&lt;&gt;"","⛔ "&amp;X1902&amp;" — not posted",IF(Y1902&lt;&gt;"","⚠ "&amp;Y1902,IF(Z1902=1,"✓ OK","")))</f>
        <v/>
      </c>
      <c r="T1902" s="67">
        <f>IF(AND(C1902="",D1902="",E1902="",L1902="",K1902=""),1,0)</f>
        <v/>
      </c>
      <c r="U1902" s="67">
        <f>IFERROR(INDEX(tt_Dir,MATCH(D1902,tt_Type,0)),"")</f>
        <v/>
      </c>
      <c r="V1902" s="67">
        <f>IF(D1902="","",IFERROR(IF(INDEX(tt_Other,MATCH(D1902,tt_Type,0))="",E1902&amp;"",INDEX(tt_Other,MATCH(D1902,tt_Type,0))),""))</f>
        <v/>
      </c>
      <c r="W1902" s="68">
        <f>IF(OR(TaxOn&lt;&gt;"Yes",NOT(ISNUMBER(M1902))),0,IF(IFERROR(INDEX(tt_Tax,MATCH(D1902,tt_Type,0)),"No")="Yes",M1902,0))</f>
        <v/>
      </c>
      <c r="X1902" s="67">
        <f>IF(T1902=1,"",IF(C1902="","Missing transaction date",IF(NOT(ISNUMBER(C1902)),"Invalid date",IF(OR(C1902&lt;DATE(2000,1,1),C1902&gt;DATE(2099,12,31)),"Invalid date",IF(D1902="","Select a type",IF(U1902="","Unknown type: "&amp;D1902,IF(V1902="","Select an account (Category)",IF(ISNA(MATCH(V1902,coa_Name,0)),"Unknown account: "&amp;V1902,IF(K1902="","Select Paid From / Deposited To",IF(ISNA(MATCH(K1902,coa_Name,0)),"Unknown account: "&amp;K1902,IF(NOT(ISNUMBER(L1902)),"Enter an amount",IF(L1902=0,"Enter an amount",IF(ABS(W1902)&gt;ABS(L1902),"Tax is larger than the amount","")))))))))))))</f>
        <v/>
      </c>
      <c r="Y1902" s="67">
        <f>IF(OR(T1902=1,X1902&lt;&gt;""),"",IF(AND(B1902&lt;&gt;"",COUNTIF(tx_ID,B1902)&gt;1),"Duplicate transaction ID",IF(AND(L1902&lt;0,D1902&lt;&gt;"Adjustment"),"Negative amount — check this entry",IF(AND(D1902="Customer Payment",G1902=""),"Add the customer",IF(AND(D1902="Customer Payment",OR(J1902="",COUNTIF(ar_No,J1902&amp;"")=0)),"Invoice # in Reference not found on AR sheet",IF(AND(D1902="Bill Payment",H1902=""),"Add the vendor",IF(AND(D1902="Bill Payment",OR(J1902="",COUNTIFS(ap_No,J1902&amp;"",ap_Party,H1902&amp;"")=0)),"Bill # + vendor not found on AP sheet",IF(AND(ISNUMBER(M1902),N(M1902)&lt;&gt;0,W1902=0),"Tax ignored (tax tracking off, or not allowed for this type)",IF(V1902=K1902&amp;"","Same account on both sides",IF(AND(ISNUMBER(StartDate),C1902&lt;StartDate),"Date is before the accounting start date",IF(AND(D1902&lt;&gt;"Adjustment",IFERROR(INDEX(coa_Pay,MATCH(K1902&amp;"",coa_Name,0)),"")&lt;&gt;"Yes"),"Paid From / Deposited To is not a payment account","")))))))))))</f>
        <v/>
      </c>
      <c r="Z1902" s="67">
        <f>IF(AND(T1902=0,X1902=""),1,0)</f>
        <v/>
      </c>
      <c r="AA1902" s="68">
        <f>IF(Z1902=1,IF(U1902="In",L1902,L1902-W1902),0)</f>
        <v/>
      </c>
      <c r="AB1902" s="68">
        <f>IF(Z1902=1,IF(U1902="In",L1902-W1902,L1902),0)</f>
        <v/>
      </c>
      <c r="AC1902" s="68">
        <f>IF(AND(Z1902=1,U1902="Out"),W1902,0)</f>
        <v/>
      </c>
      <c r="AD1902" s="68">
        <f>IF(AND(Z1902=1,U1902="In"),W1902,0)</f>
        <v/>
      </c>
    </row>
    <row r="1903">
      <c r="B1903" s="62" t="inlineStr">
        <is>
          <t>TX-1897</t>
        </is>
      </c>
      <c r="C1903" s="63" t="n"/>
      <c r="D1903" s="62" t="n"/>
      <c r="E1903" s="62" t="n"/>
      <c r="F1903" s="62" t="n"/>
      <c r="G1903" s="62" t="n"/>
      <c r="H1903" s="62" t="n"/>
      <c r="I1903" s="62" t="n"/>
      <c r="J1903" s="62" t="n"/>
      <c r="K1903" s="62" t="n"/>
      <c r="L1903" s="64" t="n"/>
      <c r="M1903" s="64" t="n"/>
      <c r="N1903" s="62" t="n"/>
      <c r="O1903" s="65">
        <f>IF(Z1903=1,L1903-W1903,"")</f>
        <v/>
      </c>
      <c r="P1903" s="66">
        <f>IF(V1903="","",IFERROR(INDEX(coa_Type,MATCH(V1903,coa_Name,0)),""))</f>
        <v/>
      </c>
      <c r="Q1903" s="66">
        <f>IF(Z1903=1,IF(U1903="In",K1903&amp;"",V1903),"")</f>
        <v/>
      </c>
      <c r="R1903" s="66">
        <f>IF(Z1903=1,IF(U1903="In",V1903,K1903&amp;""),"")</f>
        <v/>
      </c>
      <c r="S1903" s="66">
        <f>IF(X1903&lt;&gt;"","⛔ "&amp;X1903&amp;" — not posted",IF(Y1903&lt;&gt;"","⚠ "&amp;Y1903,IF(Z1903=1,"✓ OK","")))</f>
        <v/>
      </c>
      <c r="T1903" s="67">
        <f>IF(AND(C1903="",D1903="",E1903="",L1903="",K1903=""),1,0)</f>
        <v/>
      </c>
      <c r="U1903" s="67">
        <f>IFERROR(INDEX(tt_Dir,MATCH(D1903,tt_Type,0)),"")</f>
        <v/>
      </c>
      <c r="V1903" s="67">
        <f>IF(D1903="","",IFERROR(IF(INDEX(tt_Other,MATCH(D1903,tt_Type,0))="",E1903&amp;"",INDEX(tt_Other,MATCH(D1903,tt_Type,0))),""))</f>
        <v/>
      </c>
      <c r="W1903" s="68">
        <f>IF(OR(TaxOn&lt;&gt;"Yes",NOT(ISNUMBER(M1903))),0,IF(IFERROR(INDEX(tt_Tax,MATCH(D1903,tt_Type,0)),"No")="Yes",M1903,0))</f>
        <v/>
      </c>
      <c r="X1903" s="67">
        <f>IF(T1903=1,"",IF(C1903="","Missing transaction date",IF(NOT(ISNUMBER(C1903)),"Invalid date",IF(OR(C1903&lt;DATE(2000,1,1),C1903&gt;DATE(2099,12,31)),"Invalid date",IF(D1903="","Select a type",IF(U1903="","Unknown type: "&amp;D1903,IF(V1903="","Select an account (Category)",IF(ISNA(MATCH(V1903,coa_Name,0)),"Unknown account: "&amp;V1903,IF(K1903="","Select Paid From / Deposited To",IF(ISNA(MATCH(K1903,coa_Name,0)),"Unknown account: "&amp;K1903,IF(NOT(ISNUMBER(L1903)),"Enter an amount",IF(L1903=0,"Enter an amount",IF(ABS(W1903)&gt;ABS(L1903),"Tax is larger than the amount","")))))))))))))</f>
        <v/>
      </c>
      <c r="Y1903" s="67">
        <f>IF(OR(T1903=1,X1903&lt;&gt;""),"",IF(AND(B1903&lt;&gt;"",COUNTIF(tx_ID,B1903)&gt;1),"Duplicate transaction ID",IF(AND(L1903&lt;0,D1903&lt;&gt;"Adjustment"),"Negative amount — check this entry",IF(AND(D1903="Customer Payment",G1903=""),"Add the customer",IF(AND(D1903="Customer Payment",OR(J1903="",COUNTIF(ar_No,J1903&amp;"")=0)),"Invoice # in Reference not found on AR sheet",IF(AND(D1903="Bill Payment",H1903=""),"Add the vendor",IF(AND(D1903="Bill Payment",OR(J1903="",COUNTIFS(ap_No,J1903&amp;"",ap_Party,H1903&amp;"")=0)),"Bill # + vendor not found on AP sheet",IF(AND(ISNUMBER(M1903),N(M1903)&lt;&gt;0,W1903=0),"Tax ignored (tax tracking off, or not allowed for this type)",IF(V1903=K1903&amp;"","Same account on both sides",IF(AND(ISNUMBER(StartDate),C1903&lt;StartDate),"Date is before the accounting start date",IF(AND(D1903&lt;&gt;"Adjustment",IFERROR(INDEX(coa_Pay,MATCH(K1903&amp;"",coa_Name,0)),"")&lt;&gt;"Yes"),"Paid From / Deposited To is not a payment account","")))))))))))</f>
        <v/>
      </c>
      <c r="Z1903" s="67">
        <f>IF(AND(T1903=0,X1903=""),1,0)</f>
        <v/>
      </c>
      <c r="AA1903" s="68">
        <f>IF(Z1903=1,IF(U1903="In",L1903,L1903-W1903),0)</f>
        <v/>
      </c>
      <c r="AB1903" s="68">
        <f>IF(Z1903=1,IF(U1903="In",L1903-W1903,L1903),0)</f>
        <v/>
      </c>
      <c r="AC1903" s="68">
        <f>IF(AND(Z1903=1,U1903="Out"),W1903,0)</f>
        <v/>
      </c>
      <c r="AD1903" s="68">
        <f>IF(AND(Z1903=1,U1903="In"),W1903,0)</f>
        <v/>
      </c>
    </row>
    <row r="1904">
      <c r="B1904" s="62" t="inlineStr">
        <is>
          <t>TX-1898</t>
        </is>
      </c>
      <c r="C1904" s="63" t="n"/>
      <c r="D1904" s="62" t="n"/>
      <c r="E1904" s="62" t="n"/>
      <c r="F1904" s="62" t="n"/>
      <c r="G1904" s="62" t="n"/>
      <c r="H1904" s="62" t="n"/>
      <c r="I1904" s="62" t="n"/>
      <c r="J1904" s="62" t="n"/>
      <c r="K1904" s="62" t="n"/>
      <c r="L1904" s="64" t="n"/>
      <c r="M1904" s="64" t="n"/>
      <c r="N1904" s="62" t="n"/>
      <c r="O1904" s="65">
        <f>IF(Z1904=1,L1904-W1904,"")</f>
        <v/>
      </c>
      <c r="P1904" s="66">
        <f>IF(V1904="","",IFERROR(INDEX(coa_Type,MATCH(V1904,coa_Name,0)),""))</f>
        <v/>
      </c>
      <c r="Q1904" s="66">
        <f>IF(Z1904=1,IF(U1904="In",K1904&amp;"",V1904),"")</f>
        <v/>
      </c>
      <c r="R1904" s="66">
        <f>IF(Z1904=1,IF(U1904="In",V1904,K1904&amp;""),"")</f>
        <v/>
      </c>
      <c r="S1904" s="66">
        <f>IF(X1904&lt;&gt;"","⛔ "&amp;X1904&amp;" — not posted",IF(Y1904&lt;&gt;"","⚠ "&amp;Y1904,IF(Z1904=1,"✓ OK","")))</f>
        <v/>
      </c>
      <c r="T1904" s="67">
        <f>IF(AND(C1904="",D1904="",E1904="",L1904="",K1904=""),1,0)</f>
        <v/>
      </c>
      <c r="U1904" s="67">
        <f>IFERROR(INDEX(tt_Dir,MATCH(D1904,tt_Type,0)),"")</f>
        <v/>
      </c>
      <c r="V1904" s="67">
        <f>IF(D1904="","",IFERROR(IF(INDEX(tt_Other,MATCH(D1904,tt_Type,0))="",E1904&amp;"",INDEX(tt_Other,MATCH(D1904,tt_Type,0))),""))</f>
        <v/>
      </c>
      <c r="W1904" s="68">
        <f>IF(OR(TaxOn&lt;&gt;"Yes",NOT(ISNUMBER(M1904))),0,IF(IFERROR(INDEX(tt_Tax,MATCH(D1904,tt_Type,0)),"No")="Yes",M1904,0))</f>
        <v/>
      </c>
      <c r="X1904" s="67">
        <f>IF(T1904=1,"",IF(C1904="","Missing transaction date",IF(NOT(ISNUMBER(C1904)),"Invalid date",IF(OR(C1904&lt;DATE(2000,1,1),C1904&gt;DATE(2099,12,31)),"Invalid date",IF(D1904="","Select a type",IF(U1904="","Unknown type: "&amp;D1904,IF(V1904="","Select an account (Category)",IF(ISNA(MATCH(V1904,coa_Name,0)),"Unknown account: "&amp;V1904,IF(K1904="","Select Paid From / Deposited To",IF(ISNA(MATCH(K1904,coa_Name,0)),"Unknown account: "&amp;K1904,IF(NOT(ISNUMBER(L1904)),"Enter an amount",IF(L1904=0,"Enter an amount",IF(ABS(W1904)&gt;ABS(L1904),"Tax is larger than the amount","")))))))))))))</f>
        <v/>
      </c>
      <c r="Y1904" s="67">
        <f>IF(OR(T1904=1,X1904&lt;&gt;""),"",IF(AND(B1904&lt;&gt;"",COUNTIF(tx_ID,B1904)&gt;1),"Duplicate transaction ID",IF(AND(L1904&lt;0,D1904&lt;&gt;"Adjustment"),"Negative amount — check this entry",IF(AND(D1904="Customer Payment",G1904=""),"Add the customer",IF(AND(D1904="Customer Payment",OR(J1904="",COUNTIF(ar_No,J1904&amp;"")=0)),"Invoice # in Reference not found on AR sheet",IF(AND(D1904="Bill Payment",H1904=""),"Add the vendor",IF(AND(D1904="Bill Payment",OR(J1904="",COUNTIFS(ap_No,J1904&amp;"",ap_Party,H1904&amp;"")=0)),"Bill # + vendor not found on AP sheet",IF(AND(ISNUMBER(M1904),N(M1904)&lt;&gt;0,W1904=0),"Tax ignored (tax tracking off, or not allowed for this type)",IF(V1904=K1904&amp;"","Same account on both sides",IF(AND(ISNUMBER(StartDate),C1904&lt;StartDate),"Date is before the accounting start date",IF(AND(D1904&lt;&gt;"Adjustment",IFERROR(INDEX(coa_Pay,MATCH(K1904&amp;"",coa_Name,0)),"")&lt;&gt;"Yes"),"Paid From / Deposited To is not a payment account","")))))))))))</f>
        <v/>
      </c>
      <c r="Z1904" s="67">
        <f>IF(AND(T1904=0,X1904=""),1,0)</f>
        <v/>
      </c>
      <c r="AA1904" s="68">
        <f>IF(Z1904=1,IF(U1904="In",L1904,L1904-W1904),0)</f>
        <v/>
      </c>
      <c r="AB1904" s="68">
        <f>IF(Z1904=1,IF(U1904="In",L1904-W1904,L1904),0)</f>
        <v/>
      </c>
      <c r="AC1904" s="68">
        <f>IF(AND(Z1904=1,U1904="Out"),W1904,0)</f>
        <v/>
      </c>
      <c r="AD1904" s="68">
        <f>IF(AND(Z1904=1,U1904="In"),W1904,0)</f>
        <v/>
      </c>
    </row>
    <row r="1905">
      <c r="B1905" s="62" t="inlineStr">
        <is>
          <t>TX-1899</t>
        </is>
      </c>
      <c r="C1905" s="63" t="n"/>
      <c r="D1905" s="62" t="n"/>
      <c r="E1905" s="62" t="n"/>
      <c r="F1905" s="62" t="n"/>
      <c r="G1905" s="62" t="n"/>
      <c r="H1905" s="62" t="n"/>
      <c r="I1905" s="62" t="n"/>
      <c r="J1905" s="62" t="n"/>
      <c r="K1905" s="62" t="n"/>
      <c r="L1905" s="64" t="n"/>
      <c r="M1905" s="64" t="n"/>
      <c r="N1905" s="62" t="n"/>
      <c r="O1905" s="65">
        <f>IF(Z1905=1,L1905-W1905,"")</f>
        <v/>
      </c>
      <c r="P1905" s="66">
        <f>IF(V1905="","",IFERROR(INDEX(coa_Type,MATCH(V1905,coa_Name,0)),""))</f>
        <v/>
      </c>
      <c r="Q1905" s="66">
        <f>IF(Z1905=1,IF(U1905="In",K1905&amp;"",V1905),"")</f>
        <v/>
      </c>
      <c r="R1905" s="66">
        <f>IF(Z1905=1,IF(U1905="In",V1905,K1905&amp;""),"")</f>
        <v/>
      </c>
      <c r="S1905" s="66">
        <f>IF(X1905&lt;&gt;"","⛔ "&amp;X1905&amp;" — not posted",IF(Y1905&lt;&gt;"","⚠ "&amp;Y1905,IF(Z1905=1,"✓ OK","")))</f>
        <v/>
      </c>
      <c r="T1905" s="67">
        <f>IF(AND(C1905="",D1905="",E1905="",L1905="",K1905=""),1,0)</f>
        <v/>
      </c>
      <c r="U1905" s="67">
        <f>IFERROR(INDEX(tt_Dir,MATCH(D1905,tt_Type,0)),"")</f>
        <v/>
      </c>
      <c r="V1905" s="67">
        <f>IF(D1905="","",IFERROR(IF(INDEX(tt_Other,MATCH(D1905,tt_Type,0))="",E1905&amp;"",INDEX(tt_Other,MATCH(D1905,tt_Type,0))),""))</f>
        <v/>
      </c>
      <c r="W1905" s="68">
        <f>IF(OR(TaxOn&lt;&gt;"Yes",NOT(ISNUMBER(M1905))),0,IF(IFERROR(INDEX(tt_Tax,MATCH(D1905,tt_Type,0)),"No")="Yes",M1905,0))</f>
        <v/>
      </c>
      <c r="X1905" s="67">
        <f>IF(T1905=1,"",IF(C1905="","Missing transaction date",IF(NOT(ISNUMBER(C1905)),"Invalid date",IF(OR(C1905&lt;DATE(2000,1,1),C1905&gt;DATE(2099,12,31)),"Invalid date",IF(D1905="","Select a type",IF(U1905="","Unknown type: "&amp;D1905,IF(V1905="","Select an account (Category)",IF(ISNA(MATCH(V1905,coa_Name,0)),"Unknown account: "&amp;V1905,IF(K1905="","Select Paid From / Deposited To",IF(ISNA(MATCH(K1905,coa_Name,0)),"Unknown account: "&amp;K1905,IF(NOT(ISNUMBER(L1905)),"Enter an amount",IF(L1905=0,"Enter an amount",IF(ABS(W1905)&gt;ABS(L1905),"Tax is larger than the amount","")))))))))))))</f>
        <v/>
      </c>
      <c r="Y1905" s="67">
        <f>IF(OR(T1905=1,X1905&lt;&gt;""),"",IF(AND(B1905&lt;&gt;"",COUNTIF(tx_ID,B1905)&gt;1),"Duplicate transaction ID",IF(AND(L1905&lt;0,D1905&lt;&gt;"Adjustment"),"Negative amount — check this entry",IF(AND(D1905="Customer Payment",G1905=""),"Add the customer",IF(AND(D1905="Customer Payment",OR(J1905="",COUNTIF(ar_No,J1905&amp;"")=0)),"Invoice # in Reference not found on AR sheet",IF(AND(D1905="Bill Payment",H1905=""),"Add the vendor",IF(AND(D1905="Bill Payment",OR(J1905="",COUNTIFS(ap_No,J1905&amp;"",ap_Party,H1905&amp;"")=0)),"Bill # + vendor not found on AP sheet",IF(AND(ISNUMBER(M1905),N(M1905)&lt;&gt;0,W1905=0),"Tax ignored (tax tracking off, or not allowed for this type)",IF(V1905=K1905&amp;"","Same account on both sides",IF(AND(ISNUMBER(StartDate),C1905&lt;StartDate),"Date is before the accounting start date",IF(AND(D1905&lt;&gt;"Adjustment",IFERROR(INDEX(coa_Pay,MATCH(K1905&amp;"",coa_Name,0)),"")&lt;&gt;"Yes"),"Paid From / Deposited To is not a payment account","")))))))))))</f>
        <v/>
      </c>
      <c r="Z1905" s="67">
        <f>IF(AND(T1905=0,X1905=""),1,0)</f>
        <v/>
      </c>
      <c r="AA1905" s="68">
        <f>IF(Z1905=1,IF(U1905="In",L1905,L1905-W1905),0)</f>
        <v/>
      </c>
      <c r="AB1905" s="68">
        <f>IF(Z1905=1,IF(U1905="In",L1905-W1905,L1905),0)</f>
        <v/>
      </c>
      <c r="AC1905" s="68">
        <f>IF(AND(Z1905=1,U1905="Out"),W1905,0)</f>
        <v/>
      </c>
      <c r="AD1905" s="68">
        <f>IF(AND(Z1905=1,U1905="In"),W1905,0)</f>
        <v/>
      </c>
    </row>
    <row r="1906">
      <c r="B1906" s="62" t="inlineStr">
        <is>
          <t>TX-1900</t>
        </is>
      </c>
      <c r="C1906" s="63" t="n"/>
      <c r="D1906" s="62" t="n"/>
      <c r="E1906" s="62" t="n"/>
      <c r="F1906" s="62" t="n"/>
      <c r="G1906" s="62" t="n"/>
      <c r="H1906" s="62" t="n"/>
      <c r="I1906" s="62" t="n"/>
      <c r="J1906" s="62" t="n"/>
      <c r="K1906" s="62" t="n"/>
      <c r="L1906" s="64" t="n"/>
      <c r="M1906" s="64" t="n"/>
      <c r="N1906" s="62" t="n"/>
      <c r="O1906" s="65">
        <f>IF(Z1906=1,L1906-W1906,"")</f>
        <v/>
      </c>
      <c r="P1906" s="66">
        <f>IF(V1906="","",IFERROR(INDEX(coa_Type,MATCH(V1906,coa_Name,0)),""))</f>
        <v/>
      </c>
      <c r="Q1906" s="66">
        <f>IF(Z1906=1,IF(U1906="In",K1906&amp;"",V1906),"")</f>
        <v/>
      </c>
      <c r="R1906" s="66">
        <f>IF(Z1906=1,IF(U1906="In",V1906,K1906&amp;""),"")</f>
        <v/>
      </c>
      <c r="S1906" s="66">
        <f>IF(X1906&lt;&gt;"","⛔ "&amp;X1906&amp;" — not posted",IF(Y1906&lt;&gt;"","⚠ "&amp;Y1906,IF(Z1906=1,"✓ OK","")))</f>
        <v/>
      </c>
      <c r="T1906" s="67">
        <f>IF(AND(C1906="",D1906="",E1906="",L1906="",K1906=""),1,0)</f>
        <v/>
      </c>
      <c r="U1906" s="67">
        <f>IFERROR(INDEX(tt_Dir,MATCH(D1906,tt_Type,0)),"")</f>
        <v/>
      </c>
      <c r="V1906" s="67">
        <f>IF(D1906="","",IFERROR(IF(INDEX(tt_Other,MATCH(D1906,tt_Type,0))="",E1906&amp;"",INDEX(tt_Other,MATCH(D1906,tt_Type,0))),""))</f>
        <v/>
      </c>
      <c r="W1906" s="68">
        <f>IF(OR(TaxOn&lt;&gt;"Yes",NOT(ISNUMBER(M1906))),0,IF(IFERROR(INDEX(tt_Tax,MATCH(D1906,tt_Type,0)),"No")="Yes",M1906,0))</f>
        <v/>
      </c>
      <c r="X1906" s="67">
        <f>IF(T1906=1,"",IF(C1906="","Missing transaction date",IF(NOT(ISNUMBER(C1906)),"Invalid date",IF(OR(C1906&lt;DATE(2000,1,1),C1906&gt;DATE(2099,12,31)),"Invalid date",IF(D1906="","Select a type",IF(U1906="","Unknown type: "&amp;D1906,IF(V1906="","Select an account (Category)",IF(ISNA(MATCH(V1906,coa_Name,0)),"Unknown account: "&amp;V1906,IF(K1906="","Select Paid From / Deposited To",IF(ISNA(MATCH(K1906,coa_Name,0)),"Unknown account: "&amp;K1906,IF(NOT(ISNUMBER(L1906)),"Enter an amount",IF(L1906=0,"Enter an amount",IF(ABS(W1906)&gt;ABS(L1906),"Tax is larger than the amount","")))))))))))))</f>
        <v/>
      </c>
      <c r="Y1906" s="67">
        <f>IF(OR(T1906=1,X1906&lt;&gt;""),"",IF(AND(B1906&lt;&gt;"",COUNTIF(tx_ID,B1906)&gt;1),"Duplicate transaction ID",IF(AND(L1906&lt;0,D1906&lt;&gt;"Adjustment"),"Negative amount — check this entry",IF(AND(D1906="Customer Payment",G1906=""),"Add the customer",IF(AND(D1906="Customer Payment",OR(J1906="",COUNTIF(ar_No,J1906&amp;"")=0)),"Invoice # in Reference not found on AR sheet",IF(AND(D1906="Bill Payment",H1906=""),"Add the vendor",IF(AND(D1906="Bill Payment",OR(J1906="",COUNTIFS(ap_No,J1906&amp;"",ap_Party,H1906&amp;"")=0)),"Bill # + vendor not found on AP sheet",IF(AND(ISNUMBER(M1906),N(M1906)&lt;&gt;0,W1906=0),"Tax ignored (tax tracking off, or not allowed for this type)",IF(V1906=K1906&amp;"","Same account on both sides",IF(AND(ISNUMBER(StartDate),C1906&lt;StartDate),"Date is before the accounting start date",IF(AND(D1906&lt;&gt;"Adjustment",IFERROR(INDEX(coa_Pay,MATCH(K1906&amp;"",coa_Name,0)),"")&lt;&gt;"Yes"),"Paid From / Deposited To is not a payment account","")))))))))))</f>
        <v/>
      </c>
      <c r="Z1906" s="67">
        <f>IF(AND(T1906=0,X1906=""),1,0)</f>
        <v/>
      </c>
      <c r="AA1906" s="68">
        <f>IF(Z1906=1,IF(U1906="In",L1906,L1906-W1906),0)</f>
        <v/>
      </c>
      <c r="AB1906" s="68">
        <f>IF(Z1906=1,IF(U1906="In",L1906-W1906,L1906),0)</f>
        <v/>
      </c>
      <c r="AC1906" s="68">
        <f>IF(AND(Z1906=1,U1906="Out"),W1906,0)</f>
        <v/>
      </c>
      <c r="AD1906" s="68">
        <f>IF(AND(Z1906=1,U1906="In"),W1906,0)</f>
        <v/>
      </c>
    </row>
    <row r="1907">
      <c r="B1907" s="62" t="inlineStr">
        <is>
          <t>TX-1901</t>
        </is>
      </c>
      <c r="C1907" s="63" t="n"/>
      <c r="D1907" s="62" t="n"/>
      <c r="E1907" s="62" t="n"/>
      <c r="F1907" s="62" t="n"/>
      <c r="G1907" s="62" t="n"/>
      <c r="H1907" s="62" t="n"/>
      <c r="I1907" s="62" t="n"/>
      <c r="J1907" s="62" t="n"/>
      <c r="K1907" s="62" t="n"/>
      <c r="L1907" s="64" t="n"/>
      <c r="M1907" s="64" t="n"/>
      <c r="N1907" s="62" t="n"/>
      <c r="O1907" s="65">
        <f>IF(Z1907=1,L1907-W1907,"")</f>
        <v/>
      </c>
      <c r="P1907" s="66">
        <f>IF(V1907="","",IFERROR(INDEX(coa_Type,MATCH(V1907,coa_Name,0)),""))</f>
        <v/>
      </c>
      <c r="Q1907" s="66">
        <f>IF(Z1907=1,IF(U1907="In",K1907&amp;"",V1907),"")</f>
        <v/>
      </c>
      <c r="R1907" s="66">
        <f>IF(Z1907=1,IF(U1907="In",V1907,K1907&amp;""),"")</f>
        <v/>
      </c>
      <c r="S1907" s="66">
        <f>IF(X1907&lt;&gt;"","⛔ "&amp;X1907&amp;" — not posted",IF(Y1907&lt;&gt;"","⚠ "&amp;Y1907,IF(Z1907=1,"✓ OK","")))</f>
        <v/>
      </c>
      <c r="T1907" s="67">
        <f>IF(AND(C1907="",D1907="",E1907="",L1907="",K1907=""),1,0)</f>
        <v/>
      </c>
      <c r="U1907" s="67">
        <f>IFERROR(INDEX(tt_Dir,MATCH(D1907,tt_Type,0)),"")</f>
        <v/>
      </c>
      <c r="V1907" s="67">
        <f>IF(D1907="","",IFERROR(IF(INDEX(tt_Other,MATCH(D1907,tt_Type,0))="",E1907&amp;"",INDEX(tt_Other,MATCH(D1907,tt_Type,0))),""))</f>
        <v/>
      </c>
      <c r="W1907" s="68">
        <f>IF(OR(TaxOn&lt;&gt;"Yes",NOT(ISNUMBER(M1907))),0,IF(IFERROR(INDEX(tt_Tax,MATCH(D1907,tt_Type,0)),"No")="Yes",M1907,0))</f>
        <v/>
      </c>
      <c r="X1907" s="67">
        <f>IF(T1907=1,"",IF(C1907="","Missing transaction date",IF(NOT(ISNUMBER(C1907)),"Invalid date",IF(OR(C1907&lt;DATE(2000,1,1),C1907&gt;DATE(2099,12,31)),"Invalid date",IF(D1907="","Select a type",IF(U1907="","Unknown type: "&amp;D1907,IF(V1907="","Select an account (Category)",IF(ISNA(MATCH(V1907,coa_Name,0)),"Unknown account: "&amp;V1907,IF(K1907="","Select Paid From / Deposited To",IF(ISNA(MATCH(K1907,coa_Name,0)),"Unknown account: "&amp;K1907,IF(NOT(ISNUMBER(L1907)),"Enter an amount",IF(L1907=0,"Enter an amount",IF(ABS(W1907)&gt;ABS(L1907),"Tax is larger than the amount","")))))))))))))</f>
        <v/>
      </c>
      <c r="Y1907" s="67">
        <f>IF(OR(T1907=1,X1907&lt;&gt;""),"",IF(AND(B1907&lt;&gt;"",COUNTIF(tx_ID,B1907)&gt;1),"Duplicate transaction ID",IF(AND(L1907&lt;0,D1907&lt;&gt;"Adjustment"),"Negative amount — check this entry",IF(AND(D1907="Customer Payment",G1907=""),"Add the customer",IF(AND(D1907="Customer Payment",OR(J1907="",COUNTIF(ar_No,J1907&amp;"")=0)),"Invoice # in Reference not found on AR sheet",IF(AND(D1907="Bill Payment",H1907=""),"Add the vendor",IF(AND(D1907="Bill Payment",OR(J1907="",COUNTIFS(ap_No,J1907&amp;"",ap_Party,H1907&amp;"")=0)),"Bill # + vendor not found on AP sheet",IF(AND(ISNUMBER(M1907),N(M1907)&lt;&gt;0,W1907=0),"Tax ignored (tax tracking off, or not allowed for this type)",IF(V1907=K1907&amp;"","Same account on both sides",IF(AND(ISNUMBER(StartDate),C1907&lt;StartDate),"Date is before the accounting start date",IF(AND(D1907&lt;&gt;"Adjustment",IFERROR(INDEX(coa_Pay,MATCH(K1907&amp;"",coa_Name,0)),"")&lt;&gt;"Yes"),"Paid From / Deposited To is not a payment account","")))))))))))</f>
        <v/>
      </c>
      <c r="Z1907" s="67">
        <f>IF(AND(T1907=0,X1907=""),1,0)</f>
        <v/>
      </c>
      <c r="AA1907" s="68">
        <f>IF(Z1907=1,IF(U1907="In",L1907,L1907-W1907),0)</f>
        <v/>
      </c>
      <c r="AB1907" s="68">
        <f>IF(Z1907=1,IF(U1907="In",L1907-W1907,L1907),0)</f>
        <v/>
      </c>
      <c r="AC1907" s="68">
        <f>IF(AND(Z1907=1,U1907="Out"),W1907,0)</f>
        <v/>
      </c>
      <c r="AD1907" s="68">
        <f>IF(AND(Z1907=1,U1907="In"),W1907,0)</f>
        <v/>
      </c>
    </row>
    <row r="1908">
      <c r="B1908" s="62" t="inlineStr">
        <is>
          <t>TX-1902</t>
        </is>
      </c>
      <c r="C1908" s="63" t="n"/>
      <c r="D1908" s="62" t="n"/>
      <c r="E1908" s="62" t="n"/>
      <c r="F1908" s="62" t="n"/>
      <c r="G1908" s="62" t="n"/>
      <c r="H1908" s="62" t="n"/>
      <c r="I1908" s="62" t="n"/>
      <c r="J1908" s="62" t="n"/>
      <c r="K1908" s="62" t="n"/>
      <c r="L1908" s="64" t="n"/>
      <c r="M1908" s="64" t="n"/>
      <c r="N1908" s="62" t="n"/>
      <c r="O1908" s="65">
        <f>IF(Z1908=1,L1908-W1908,"")</f>
        <v/>
      </c>
      <c r="P1908" s="66">
        <f>IF(V1908="","",IFERROR(INDEX(coa_Type,MATCH(V1908,coa_Name,0)),""))</f>
        <v/>
      </c>
      <c r="Q1908" s="66">
        <f>IF(Z1908=1,IF(U1908="In",K1908&amp;"",V1908),"")</f>
        <v/>
      </c>
      <c r="R1908" s="66">
        <f>IF(Z1908=1,IF(U1908="In",V1908,K1908&amp;""),"")</f>
        <v/>
      </c>
      <c r="S1908" s="66">
        <f>IF(X1908&lt;&gt;"","⛔ "&amp;X1908&amp;" — not posted",IF(Y1908&lt;&gt;"","⚠ "&amp;Y1908,IF(Z1908=1,"✓ OK","")))</f>
        <v/>
      </c>
      <c r="T1908" s="67">
        <f>IF(AND(C1908="",D1908="",E1908="",L1908="",K1908=""),1,0)</f>
        <v/>
      </c>
      <c r="U1908" s="67">
        <f>IFERROR(INDEX(tt_Dir,MATCH(D1908,tt_Type,0)),"")</f>
        <v/>
      </c>
      <c r="V1908" s="67">
        <f>IF(D1908="","",IFERROR(IF(INDEX(tt_Other,MATCH(D1908,tt_Type,0))="",E1908&amp;"",INDEX(tt_Other,MATCH(D1908,tt_Type,0))),""))</f>
        <v/>
      </c>
      <c r="W1908" s="68">
        <f>IF(OR(TaxOn&lt;&gt;"Yes",NOT(ISNUMBER(M1908))),0,IF(IFERROR(INDEX(tt_Tax,MATCH(D1908,tt_Type,0)),"No")="Yes",M1908,0))</f>
        <v/>
      </c>
      <c r="X1908" s="67">
        <f>IF(T1908=1,"",IF(C1908="","Missing transaction date",IF(NOT(ISNUMBER(C1908)),"Invalid date",IF(OR(C1908&lt;DATE(2000,1,1),C1908&gt;DATE(2099,12,31)),"Invalid date",IF(D1908="","Select a type",IF(U1908="","Unknown type: "&amp;D1908,IF(V1908="","Select an account (Category)",IF(ISNA(MATCH(V1908,coa_Name,0)),"Unknown account: "&amp;V1908,IF(K1908="","Select Paid From / Deposited To",IF(ISNA(MATCH(K1908,coa_Name,0)),"Unknown account: "&amp;K1908,IF(NOT(ISNUMBER(L1908)),"Enter an amount",IF(L1908=0,"Enter an amount",IF(ABS(W1908)&gt;ABS(L1908),"Tax is larger than the amount","")))))))))))))</f>
        <v/>
      </c>
      <c r="Y1908" s="67">
        <f>IF(OR(T1908=1,X1908&lt;&gt;""),"",IF(AND(B1908&lt;&gt;"",COUNTIF(tx_ID,B1908)&gt;1),"Duplicate transaction ID",IF(AND(L1908&lt;0,D1908&lt;&gt;"Adjustment"),"Negative amount — check this entry",IF(AND(D1908="Customer Payment",G1908=""),"Add the customer",IF(AND(D1908="Customer Payment",OR(J1908="",COUNTIF(ar_No,J1908&amp;"")=0)),"Invoice # in Reference not found on AR sheet",IF(AND(D1908="Bill Payment",H1908=""),"Add the vendor",IF(AND(D1908="Bill Payment",OR(J1908="",COUNTIFS(ap_No,J1908&amp;"",ap_Party,H1908&amp;"")=0)),"Bill # + vendor not found on AP sheet",IF(AND(ISNUMBER(M1908),N(M1908)&lt;&gt;0,W1908=0),"Tax ignored (tax tracking off, or not allowed for this type)",IF(V1908=K1908&amp;"","Same account on both sides",IF(AND(ISNUMBER(StartDate),C1908&lt;StartDate),"Date is before the accounting start date",IF(AND(D1908&lt;&gt;"Adjustment",IFERROR(INDEX(coa_Pay,MATCH(K1908&amp;"",coa_Name,0)),"")&lt;&gt;"Yes"),"Paid From / Deposited To is not a payment account","")))))))))))</f>
        <v/>
      </c>
      <c r="Z1908" s="67">
        <f>IF(AND(T1908=0,X1908=""),1,0)</f>
        <v/>
      </c>
      <c r="AA1908" s="68">
        <f>IF(Z1908=1,IF(U1908="In",L1908,L1908-W1908),0)</f>
        <v/>
      </c>
      <c r="AB1908" s="68">
        <f>IF(Z1908=1,IF(U1908="In",L1908-W1908,L1908),0)</f>
        <v/>
      </c>
      <c r="AC1908" s="68">
        <f>IF(AND(Z1908=1,U1908="Out"),W1908,0)</f>
        <v/>
      </c>
      <c r="AD1908" s="68">
        <f>IF(AND(Z1908=1,U1908="In"),W1908,0)</f>
        <v/>
      </c>
    </row>
    <row r="1909">
      <c r="B1909" s="62" t="inlineStr">
        <is>
          <t>TX-1903</t>
        </is>
      </c>
      <c r="C1909" s="63" t="n"/>
      <c r="D1909" s="62" t="n"/>
      <c r="E1909" s="62" t="n"/>
      <c r="F1909" s="62" t="n"/>
      <c r="G1909" s="62" t="n"/>
      <c r="H1909" s="62" t="n"/>
      <c r="I1909" s="62" t="n"/>
      <c r="J1909" s="62" t="n"/>
      <c r="K1909" s="62" t="n"/>
      <c r="L1909" s="64" t="n"/>
      <c r="M1909" s="64" t="n"/>
      <c r="N1909" s="62" t="n"/>
      <c r="O1909" s="65">
        <f>IF(Z1909=1,L1909-W1909,"")</f>
        <v/>
      </c>
      <c r="P1909" s="66">
        <f>IF(V1909="","",IFERROR(INDEX(coa_Type,MATCH(V1909,coa_Name,0)),""))</f>
        <v/>
      </c>
      <c r="Q1909" s="66">
        <f>IF(Z1909=1,IF(U1909="In",K1909&amp;"",V1909),"")</f>
        <v/>
      </c>
      <c r="R1909" s="66">
        <f>IF(Z1909=1,IF(U1909="In",V1909,K1909&amp;""),"")</f>
        <v/>
      </c>
      <c r="S1909" s="66">
        <f>IF(X1909&lt;&gt;"","⛔ "&amp;X1909&amp;" — not posted",IF(Y1909&lt;&gt;"","⚠ "&amp;Y1909,IF(Z1909=1,"✓ OK","")))</f>
        <v/>
      </c>
      <c r="T1909" s="67">
        <f>IF(AND(C1909="",D1909="",E1909="",L1909="",K1909=""),1,0)</f>
        <v/>
      </c>
      <c r="U1909" s="67">
        <f>IFERROR(INDEX(tt_Dir,MATCH(D1909,tt_Type,0)),"")</f>
        <v/>
      </c>
      <c r="V1909" s="67">
        <f>IF(D1909="","",IFERROR(IF(INDEX(tt_Other,MATCH(D1909,tt_Type,0))="",E1909&amp;"",INDEX(tt_Other,MATCH(D1909,tt_Type,0))),""))</f>
        <v/>
      </c>
      <c r="W1909" s="68">
        <f>IF(OR(TaxOn&lt;&gt;"Yes",NOT(ISNUMBER(M1909))),0,IF(IFERROR(INDEX(tt_Tax,MATCH(D1909,tt_Type,0)),"No")="Yes",M1909,0))</f>
        <v/>
      </c>
      <c r="X1909" s="67">
        <f>IF(T1909=1,"",IF(C1909="","Missing transaction date",IF(NOT(ISNUMBER(C1909)),"Invalid date",IF(OR(C1909&lt;DATE(2000,1,1),C1909&gt;DATE(2099,12,31)),"Invalid date",IF(D1909="","Select a type",IF(U1909="","Unknown type: "&amp;D1909,IF(V1909="","Select an account (Category)",IF(ISNA(MATCH(V1909,coa_Name,0)),"Unknown account: "&amp;V1909,IF(K1909="","Select Paid From / Deposited To",IF(ISNA(MATCH(K1909,coa_Name,0)),"Unknown account: "&amp;K1909,IF(NOT(ISNUMBER(L1909)),"Enter an amount",IF(L1909=0,"Enter an amount",IF(ABS(W1909)&gt;ABS(L1909),"Tax is larger than the amount","")))))))))))))</f>
        <v/>
      </c>
      <c r="Y1909" s="67">
        <f>IF(OR(T1909=1,X1909&lt;&gt;""),"",IF(AND(B1909&lt;&gt;"",COUNTIF(tx_ID,B1909)&gt;1),"Duplicate transaction ID",IF(AND(L1909&lt;0,D1909&lt;&gt;"Adjustment"),"Negative amount — check this entry",IF(AND(D1909="Customer Payment",G1909=""),"Add the customer",IF(AND(D1909="Customer Payment",OR(J1909="",COUNTIF(ar_No,J1909&amp;"")=0)),"Invoice # in Reference not found on AR sheet",IF(AND(D1909="Bill Payment",H1909=""),"Add the vendor",IF(AND(D1909="Bill Payment",OR(J1909="",COUNTIFS(ap_No,J1909&amp;"",ap_Party,H1909&amp;"")=0)),"Bill # + vendor not found on AP sheet",IF(AND(ISNUMBER(M1909),N(M1909)&lt;&gt;0,W1909=0),"Tax ignored (tax tracking off, or not allowed for this type)",IF(V1909=K1909&amp;"","Same account on both sides",IF(AND(ISNUMBER(StartDate),C1909&lt;StartDate),"Date is before the accounting start date",IF(AND(D1909&lt;&gt;"Adjustment",IFERROR(INDEX(coa_Pay,MATCH(K1909&amp;"",coa_Name,0)),"")&lt;&gt;"Yes"),"Paid From / Deposited To is not a payment account","")))))))))))</f>
        <v/>
      </c>
      <c r="Z1909" s="67">
        <f>IF(AND(T1909=0,X1909=""),1,0)</f>
        <v/>
      </c>
      <c r="AA1909" s="68">
        <f>IF(Z1909=1,IF(U1909="In",L1909,L1909-W1909),0)</f>
        <v/>
      </c>
      <c r="AB1909" s="68">
        <f>IF(Z1909=1,IF(U1909="In",L1909-W1909,L1909),0)</f>
        <v/>
      </c>
      <c r="AC1909" s="68">
        <f>IF(AND(Z1909=1,U1909="Out"),W1909,0)</f>
        <v/>
      </c>
      <c r="AD1909" s="68">
        <f>IF(AND(Z1909=1,U1909="In"),W1909,0)</f>
        <v/>
      </c>
    </row>
    <row r="1910">
      <c r="B1910" s="62" t="inlineStr">
        <is>
          <t>TX-1904</t>
        </is>
      </c>
      <c r="C1910" s="63" t="n"/>
      <c r="D1910" s="62" t="n"/>
      <c r="E1910" s="62" t="n"/>
      <c r="F1910" s="62" t="n"/>
      <c r="G1910" s="62" t="n"/>
      <c r="H1910" s="62" t="n"/>
      <c r="I1910" s="62" t="n"/>
      <c r="J1910" s="62" t="n"/>
      <c r="K1910" s="62" t="n"/>
      <c r="L1910" s="64" t="n"/>
      <c r="M1910" s="64" t="n"/>
      <c r="N1910" s="62" t="n"/>
      <c r="O1910" s="65">
        <f>IF(Z1910=1,L1910-W1910,"")</f>
        <v/>
      </c>
      <c r="P1910" s="66">
        <f>IF(V1910="","",IFERROR(INDEX(coa_Type,MATCH(V1910,coa_Name,0)),""))</f>
        <v/>
      </c>
      <c r="Q1910" s="66">
        <f>IF(Z1910=1,IF(U1910="In",K1910&amp;"",V1910),"")</f>
        <v/>
      </c>
      <c r="R1910" s="66">
        <f>IF(Z1910=1,IF(U1910="In",V1910,K1910&amp;""),"")</f>
        <v/>
      </c>
      <c r="S1910" s="66">
        <f>IF(X1910&lt;&gt;"","⛔ "&amp;X1910&amp;" — not posted",IF(Y1910&lt;&gt;"","⚠ "&amp;Y1910,IF(Z1910=1,"✓ OK","")))</f>
        <v/>
      </c>
      <c r="T1910" s="67">
        <f>IF(AND(C1910="",D1910="",E1910="",L1910="",K1910=""),1,0)</f>
        <v/>
      </c>
      <c r="U1910" s="67">
        <f>IFERROR(INDEX(tt_Dir,MATCH(D1910,tt_Type,0)),"")</f>
        <v/>
      </c>
      <c r="V1910" s="67">
        <f>IF(D1910="","",IFERROR(IF(INDEX(tt_Other,MATCH(D1910,tt_Type,0))="",E1910&amp;"",INDEX(tt_Other,MATCH(D1910,tt_Type,0))),""))</f>
        <v/>
      </c>
      <c r="W1910" s="68">
        <f>IF(OR(TaxOn&lt;&gt;"Yes",NOT(ISNUMBER(M1910))),0,IF(IFERROR(INDEX(tt_Tax,MATCH(D1910,tt_Type,0)),"No")="Yes",M1910,0))</f>
        <v/>
      </c>
      <c r="X1910" s="67">
        <f>IF(T1910=1,"",IF(C1910="","Missing transaction date",IF(NOT(ISNUMBER(C1910)),"Invalid date",IF(OR(C1910&lt;DATE(2000,1,1),C1910&gt;DATE(2099,12,31)),"Invalid date",IF(D1910="","Select a type",IF(U1910="","Unknown type: "&amp;D1910,IF(V1910="","Select an account (Category)",IF(ISNA(MATCH(V1910,coa_Name,0)),"Unknown account: "&amp;V1910,IF(K1910="","Select Paid From / Deposited To",IF(ISNA(MATCH(K1910,coa_Name,0)),"Unknown account: "&amp;K1910,IF(NOT(ISNUMBER(L1910)),"Enter an amount",IF(L1910=0,"Enter an amount",IF(ABS(W1910)&gt;ABS(L1910),"Tax is larger than the amount","")))))))))))))</f>
        <v/>
      </c>
      <c r="Y1910" s="67">
        <f>IF(OR(T1910=1,X1910&lt;&gt;""),"",IF(AND(B1910&lt;&gt;"",COUNTIF(tx_ID,B1910)&gt;1),"Duplicate transaction ID",IF(AND(L1910&lt;0,D1910&lt;&gt;"Adjustment"),"Negative amount — check this entry",IF(AND(D1910="Customer Payment",G1910=""),"Add the customer",IF(AND(D1910="Customer Payment",OR(J1910="",COUNTIF(ar_No,J1910&amp;"")=0)),"Invoice # in Reference not found on AR sheet",IF(AND(D1910="Bill Payment",H1910=""),"Add the vendor",IF(AND(D1910="Bill Payment",OR(J1910="",COUNTIFS(ap_No,J1910&amp;"",ap_Party,H1910&amp;"")=0)),"Bill # + vendor not found on AP sheet",IF(AND(ISNUMBER(M1910),N(M1910)&lt;&gt;0,W1910=0),"Tax ignored (tax tracking off, or not allowed for this type)",IF(V1910=K1910&amp;"","Same account on both sides",IF(AND(ISNUMBER(StartDate),C1910&lt;StartDate),"Date is before the accounting start date",IF(AND(D1910&lt;&gt;"Adjustment",IFERROR(INDEX(coa_Pay,MATCH(K1910&amp;"",coa_Name,0)),"")&lt;&gt;"Yes"),"Paid From / Deposited To is not a payment account","")))))))))))</f>
        <v/>
      </c>
      <c r="Z1910" s="67">
        <f>IF(AND(T1910=0,X1910=""),1,0)</f>
        <v/>
      </c>
      <c r="AA1910" s="68">
        <f>IF(Z1910=1,IF(U1910="In",L1910,L1910-W1910),0)</f>
        <v/>
      </c>
      <c r="AB1910" s="68">
        <f>IF(Z1910=1,IF(U1910="In",L1910-W1910,L1910),0)</f>
        <v/>
      </c>
      <c r="AC1910" s="68">
        <f>IF(AND(Z1910=1,U1910="Out"),W1910,0)</f>
        <v/>
      </c>
      <c r="AD1910" s="68">
        <f>IF(AND(Z1910=1,U1910="In"),W1910,0)</f>
        <v/>
      </c>
    </row>
    <row r="1911">
      <c r="B1911" s="62" t="inlineStr">
        <is>
          <t>TX-1905</t>
        </is>
      </c>
      <c r="C1911" s="63" t="n"/>
      <c r="D1911" s="62" t="n"/>
      <c r="E1911" s="62" t="n"/>
      <c r="F1911" s="62" t="n"/>
      <c r="G1911" s="62" t="n"/>
      <c r="H1911" s="62" t="n"/>
      <c r="I1911" s="62" t="n"/>
      <c r="J1911" s="62" t="n"/>
      <c r="K1911" s="62" t="n"/>
      <c r="L1911" s="64" t="n"/>
      <c r="M1911" s="64" t="n"/>
      <c r="N1911" s="62" t="n"/>
      <c r="O1911" s="65">
        <f>IF(Z1911=1,L1911-W1911,"")</f>
        <v/>
      </c>
      <c r="P1911" s="66">
        <f>IF(V1911="","",IFERROR(INDEX(coa_Type,MATCH(V1911,coa_Name,0)),""))</f>
        <v/>
      </c>
      <c r="Q1911" s="66">
        <f>IF(Z1911=1,IF(U1911="In",K1911&amp;"",V1911),"")</f>
        <v/>
      </c>
      <c r="R1911" s="66">
        <f>IF(Z1911=1,IF(U1911="In",V1911,K1911&amp;""),"")</f>
        <v/>
      </c>
      <c r="S1911" s="66">
        <f>IF(X1911&lt;&gt;"","⛔ "&amp;X1911&amp;" — not posted",IF(Y1911&lt;&gt;"","⚠ "&amp;Y1911,IF(Z1911=1,"✓ OK","")))</f>
        <v/>
      </c>
      <c r="T1911" s="67">
        <f>IF(AND(C1911="",D1911="",E1911="",L1911="",K1911=""),1,0)</f>
        <v/>
      </c>
      <c r="U1911" s="67">
        <f>IFERROR(INDEX(tt_Dir,MATCH(D1911,tt_Type,0)),"")</f>
        <v/>
      </c>
      <c r="V1911" s="67">
        <f>IF(D1911="","",IFERROR(IF(INDEX(tt_Other,MATCH(D1911,tt_Type,0))="",E1911&amp;"",INDEX(tt_Other,MATCH(D1911,tt_Type,0))),""))</f>
        <v/>
      </c>
      <c r="W1911" s="68">
        <f>IF(OR(TaxOn&lt;&gt;"Yes",NOT(ISNUMBER(M1911))),0,IF(IFERROR(INDEX(tt_Tax,MATCH(D1911,tt_Type,0)),"No")="Yes",M1911,0))</f>
        <v/>
      </c>
      <c r="X1911" s="67">
        <f>IF(T1911=1,"",IF(C1911="","Missing transaction date",IF(NOT(ISNUMBER(C1911)),"Invalid date",IF(OR(C1911&lt;DATE(2000,1,1),C1911&gt;DATE(2099,12,31)),"Invalid date",IF(D1911="","Select a type",IF(U1911="","Unknown type: "&amp;D1911,IF(V1911="","Select an account (Category)",IF(ISNA(MATCH(V1911,coa_Name,0)),"Unknown account: "&amp;V1911,IF(K1911="","Select Paid From / Deposited To",IF(ISNA(MATCH(K1911,coa_Name,0)),"Unknown account: "&amp;K1911,IF(NOT(ISNUMBER(L1911)),"Enter an amount",IF(L1911=0,"Enter an amount",IF(ABS(W1911)&gt;ABS(L1911),"Tax is larger than the amount","")))))))))))))</f>
        <v/>
      </c>
      <c r="Y1911" s="67">
        <f>IF(OR(T1911=1,X1911&lt;&gt;""),"",IF(AND(B1911&lt;&gt;"",COUNTIF(tx_ID,B1911)&gt;1),"Duplicate transaction ID",IF(AND(L1911&lt;0,D1911&lt;&gt;"Adjustment"),"Negative amount — check this entry",IF(AND(D1911="Customer Payment",G1911=""),"Add the customer",IF(AND(D1911="Customer Payment",OR(J1911="",COUNTIF(ar_No,J1911&amp;"")=0)),"Invoice # in Reference not found on AR sheet",IF(AND(D1911="Bill Payment",H1911=""),"Add the vendor",IF(AND(D1911="Bill Payment",OR(J1911="",COUNTIFS(ap_No,J1911&amp;"",ap_Party,H1911&amp;"")=0)),"Bill # + vendor not found on AP sheet",IF(AND(ISNUMBER(M1911),N(M1911)&lt;&gt;0,W1911=0),"Tax ignored (tax tracking off, or not allowed for this type)",IF(V1911=K1911&amp;"","Same account on both sides",IF(AND(ISNUMBER(StartDate),C1911&lt;StartDate),"Date is before the accounting start date",IF(AND(D1911&lt;&gt;"Adjustment",IFERROR(INDEX(coa_Pay,MATCH(K1911&amp;"",coa_Name,0)),"")&lt;&gt;"Yes"),"Paid From / Deposited To is not a payment account","")))))))))))</f>
        <v/>
      </c>
      <c r="Z1911" s="67">
        <f>IF(AND(T1911=0,X1911=""),1,0)</f>
        <v/>
      </c>
      <c r="AA1911" s="68">
        <f>IF(Z1911=1,IF(U1911="In",L1911,L1911-W1911),0)</f>
        <v/>
      </c>
      <c r="AB1911" s="68">
        <f>IF(Z1911=1,IF(U1911="In",L1911-W1911,L1911),0)</f>
        <v/>
      </c>
      <c r="AC1911" s="68">
        <f>IF(AND(Z1911=1,U1911="Out"),W1911,0)</f>
        <v/>
      </c>
      <c r="AD1911" s="68">
        <f>IF(AND(Z1911=1,U1911="In"),W1911,0)</f>
        <v/>
      </c>
    </row>
    <row r="1912">
      <c r="B1912" s="62" t="inlineStr">
        <is>
          <t>TX-1906</t>
        </is>
      </c>
      <c r="C1912" s="63" t="n"/>
      <c r="D1912" s="62" t="n"/>
      <c r="E1912" s="62" t="n"/>
      <c r="F1912" s="62" t="n"/>
      <c r="G1912" s="62" t="n"/>
      <c r="H1912" s="62" t="n"/>
      <c r="I1912" s="62" t="n"/>
      <c r="J1912" s="62" t="n"/>
      <c r="K1912" s="62" t="n"/>
      <c r="L1912" s="64" t="n"/>
      <c r="M1912" s="64" t="n"/>
      <c r="N1912" s="62" t="n"/>
      <c r="O1912" s="65">
        <f>IF(Z1912=1,L1912-W1912,"")</f>
        <v/>
      </c>
      <c r="P1912" s="66">
        <f>IF(V1912="","",IFERROR(INDEX(coa_Type,MATCH(V1912,coa_Name,0)),""))</f>
        <v/>
      </c>
      <c r="Q1912" s="66">
        <f>IF(Z1912=1,IF(U1912="In",K1912&amp;"",V1912),"")</f>
        <v/>
      </c>
      <c r="R1912" s="66">
        <f>IF(Z1912=1,IF(U1912="In",V1912,K1912&amp;""),"")</f>
        <v/>
      </c>
      <c r="S1912" s="66">
        <f>IF(X1912&lt;&gt;"","⛔ "&amp;X1912&amp;" — not posted",IF(Y1912&lt;&gt;"","⚠ "&amp;Y1912,IF(Z1912=1,"✓ OK","")))</f>
        <v/>
      </c>
      <c r="T1912" s="67">
        <f>IF(AND(C1912="",D1912="",E1912="",L1912="",K1912=""),1,0)</f>
        <v/>
      </c>
      <c r="U1912" s="67">
        <f>IFERROR(INDEX(tt_Dir,MATCH(D1912,tt_Type,0)),"")</f>
        <v/>
      </c>
      <c r="V1912" s="67">
        <f>IF(D1912="","",IFERROR(IF(INDEX(tt_Other,MATCH(D1912,tt_Type,0))="",E1912&amp;"",INDEX(tt_Other,MATCH(D1912,tt_Type,0))),""))</f>
        <v/>
      </c>
      <c r="W1912" s="68">
        <f>IF(OR(TaxOn&lt;&gt;"Yes",NOT(ISNUMBER(M1912))),0,IF(IFERROR(INDEX(tt_Tax,MATCH(D1912,tt_Type,0)),"No")="Yes",M1912,0))</f>
        <v/>
      </c>
      <c r="X1912" s="67">
        <f>IF(T1912=1,"",IF(C1912="","Missing transaction date",IF(NOT(ISNUMBER(C1912)),"Invalid date",IF(OR(C1912&lt;DATE(2000,1,1),C1912&gt;DATE(2099,12,31)),"Invalid date",IF(D1912="","Select a type",IF(U1912="","Unknown type: "&amp;D1912,IF(V1912="","Select an account (Category)",IF(ISNA(MATCH(V1912,coa_Name,0)),"Unknown account: "&amp;V1912,IF(K1912="","Select Paid From / Deposited To",IF(ISNA(MATCH(K1912,coa_Name,0)),"Unknown account: "&amp;K1912,IF(NOT(ISNUMBER(L1912)),"Enter an amount",IF(L1912=0,"Enter an amount",IF(ABS(W1912)&gt;ABS(L1912),"Tax is larger than the amount","")))))))))))))</f>
        <v/>
      </c>
      <c r="Y1912" s="67">
        <f>IF(OR(T1912=1,X1912&lt;&gt;""),"",IF(AND(B1912&lt;&gt;"",COUNTIF(tx_ID,B1912)&gt;1),"Duplicate transaction ID",IF(AND(L1912&lt;0,D1912&lt;&gt;"Adjustment"),"Negative amount — check this entry",IF(AND(D1912="Customer Payment",G1912=""),"Add the customer",IF(AND(D1912="Customer Payment",OR(J1912="",COUNTIF(ar_No,J1912&amp;"")=0)),"Invoice # in Reference not found on AR sheet",IF(AND(D1912="Bill Payment",H1912=""),"Add the vendor",IF(AND(D1912="Bill Payment",OR(J1912="",COUNTIFS(ap_No,J1912&amp;"",ap_Party,H1912&amp;"")=0)),"Bill # + vendor not found on AP sheet",IF(AND(ISNUMBER(M1912),N(M1912)&lt;&gt;0,W1912=0),"Tax ignored (tax tracking off, or not allowed for this type)",IF(V1912=K1912&amp;"","Same account on both sides",IF(AND(ISNUMBER(StartDate),C1912&lt;StartDate),"Date is before the accounting start date",IF(AND(D1912&lt;&gt;"Adjustment",IFERROR(INDEX(coa_Pay,MATCH(K1912&amp;"",coa_Name,0)),"")&lt;&gt;"Yes"),"Paid From / Deposited To is not a payment account","")))))))))))</f>
        <v/>
      </c>
      <c r="Z1912" s="67">
        <f>IF(AND(T1912=0,X1912=""),1,0)</f>
        <v/>
      </c>
      <c r="AA1912" s="68">
        <f>IF(Z1912=1,IF(U1912="In",L1912,L1912-W1912),0)</f>
        <v/>
      </c>
      <c r="AB1912" s="68">
        <f>IF(Z1912=1,IF(U1912="In",L1912-W1912,L1912),0)</f>
        <v/>
      </c>
      <c r="AC1912" s="68">
        <f>IF(AND(Z1912=1,U1912="Out"),W1912,0)</f>
        <v/>
      </c>
      <c r="AD1912" s="68">
        <f>IF(AND(Z1912=1,U1912="In"),W1912,0)</f>
        <v/>
      </c>
    </row>
    <row r="1913">
      <c r="B1913" s="62" t="inlineStr">
        <is>
          <t>TX-1907</t>
        </is>
      </c>
      <c r="C1913" s="63" t="n"/>
      <c r="D1913" s="62" t="n"/>
      <c r="E1913" s="62" t="n"/>
      <c r="F1913" s="62" t="n"/>
      <c r="G1913" s="62" t="n"/>
      <c r="H1913" s="62" t="n"/>
      <c r="I1913" s="62" t="n"/>
      <c r="J1913" s="62" t="n"/>
      <c r="K1913" s="62" t="n"/>
      <c r="L1913" s="64" t="n"/>
      <c r="M1913" s="64" t="n"/>
      <c r="N1913" s="62" t="n"/>
      <c r="O1913" s="65">
        <f>IF(Z1913=1,L1913-W1913,"")</f>
        <v/>
      </c>
      <c r="P1913" s="66">
        <f>IF(V1913="","",IFERROR(INDEX(coa_Type,MATCH(V1913,coa_Name,0)),""))</f>
        <v/>
      </c>
      <c r="Q1913" s="66">
        <f>IF(Z1913=1,IF(U1913="In",K1913&amp;"",V1913),"")</f>
        <v/>
      </c>
      <c r="R1913" s="66">
        <f>IF(Z1913=1,IF(U1913="In",V1913,K1913&amp;""),"")</f>
        <v/>
      </c>
      <c r="S1913" s="66">
        <f>IF(X1913&lt;&gt;"","⛔ "&amp;X1913&amp;" — not posted",IF(Y1913&lt;&gt;"","⚠ "&amp;Y1913,IF(Z1913=1,"✓ OK","")))</f>
        <v/>
      </c>
      <c r="T1913" s="67">
        <f>IF(AND(C1913="",D1913="",E1913="",L1913="",K1913=""),1,0)</f>
        <v/>
      </c>
      <c r="U1913" s="67">
        <f>IFERROR(INDEX(tt_Dir,MATCH(D1913,tt_Type,0)),"")</f>
        <v/>
      </c>
      <c r="V1913" s="67">
        <f>IF(D1913="","",IFERROR(IF(INDEX(tt_Other,MATCH(D1913,tt_Type,0))="",E1913&amp;"",INDEX(tt_Other,MATCH(D1913,tt_Type,0))),""))</f>
        <v/>
      </c>
      <c r="W1913" s="68">
        <f>IF(OR(TaxOn&lt;&gt;"Yes",NOT(ISNUMBER(M1913))),0,IF(IFERROR(INDEX(tt_Tax,MATCH(D1913,tt_Type,0)),"No")="Yes",M1913,0))</f>
        <v/>
      </c>
      <c r="X1913" s="67">
        <f>IF(T1913=1,"",IF(C1913="","Missing transaction date",IF(NOT(ISNUMBER(C1913)),"Invalid date",IF(OR(C1913&lt;DATE(2000,1,1),C1913&gt;DATE(2099,12,31)),"Invalid date",IF(D1913="","Select a type",IF(U1913="","Unknown type: "&amp;D1913,IF(V1913="","Select an account (Category)",IF(ISNA(MATCH(V1913,coa_Name,0)),"Unknown account: "&amp;V1913,IF(K1913="","Select Paid From / Deposited To",IF(ISNA(MATCH(K1913,coa_Name,0)),"Unknown account: "&amp;K1913,IF(NOT(ISNUMBER(L1913)),"Enter an amount",IF(L1913=0,"Enter an amount",IF(ABS(W1913)&gt;ABS(L1913),"Tax is larger than the amount","")))))))))))))</f>
        <v/>
      </c>
      <c r="Y1913" s="67">
        <f>IF(OR(T1913=1,X1913&lt;&gt;""),"",IF(AND(B1913&lt;&gt;"",COUNTIF(tx_ID,B1913)&gt;1),"Duplicate transaction ID",IF(AND(L1913&lt;0,D1913&lt;&gt;"Adjustment"),"Negative amount — check this entry",IF(AND(D1913="Customer Payment",G1913=""),"Add the customer",IF(AND(D1913="Customer Payment",OR(J1913="",COUNTIF(ar_No,J1913&amp;"")=0)),"Invoice # in Reference not found on AR sheet",IF(AND(D1913="Bill Payment",H1913=""),"Add the vendor",IF(AND(D1913="Bill Payment",OR(J1913="",COUNTIFS(ap_No,J1913&amp;"",ap_Party,H1913&amp;"")=0)),"Bill # + vendor not found on AP sheet",IF(AND(ISNUMBER(M1913),N(M1913)&lt;&gt;0,W1913=0),"Tax ignored (tax tracking off, or not allowed for this type)",IF(V1913=K1913&amp;"","Same account on both sides",IF(AND(ISNUMBER(StartDate),C1913&lt;StartDate),"Date is before the accounting start date",IF(AND(D1913&lt;&gt;"Adjustment",IFERROR(INDEX(coa_Pay,MATCH(K1913&amp;"",coa_Name,0)),"")&lt;&gt;"Yes"),"Paid From / Deposited To is not a payment account","")))))))))))</f>
        <v/>
      </c>
      <c r="Z1913" s="67">
        <f>IF(AND(T1913=0,X1913=""),1,0)</f>
        <v/>
      </c>
      <c r="AA1913" s="68">
        <f>IF(Z1913=1,IF(U1913="In",L1913,L1913-W1913),0)</f>
        <v/>
      </c>
      <c r="AB1913" s="68">
        <f>IF(Z1913=1,IF(U1913="In",L1913-W1913,L1913),0)</f>
        <v/>
      </c>
      <c r="AC1913" s="68">
        <f>IF(AND(Z1913=1,U1913="Out"),W1913,0)</f>
        <v/>
      </c>
      <c r="AD1913" s="68">
        <f>IF(AND(Z1913=1,U1913="In"),W1913,0)</f>
        <v/>
      </c>
    </row>
    <row r="1914">
      <c r="B1914" s="62" t="inlineStr">
        <is>
          <t>TX-1908</t>
        </is>
      </c>
      <c r="C1914" s="63" t="n"/>
      <c r="D1914" s="62" t="n"/>
      <c r="E1914" s="62" t="n"/>
      <c r="F1914" s="62" t="n"/>
      <c r="G1914" s="62" t="n"/>
      <c r="H1914" s="62" t="n"/>
      <c r="I1914" s="62" t="n"/>
      <c r="J1914" s="62" t="n"/>
      <c r="K1914" s="62" t="n"/>
      <c r="L1914" s="64" t="n"/>
      <c r="M1914" s="64" t="n"/>
      <c r="N1914" s="62" t="n"/>
      <c r="O1914" s="65">
        <f>IF(Z1914=1,L1914-W1914,"")</f>
        <v/>
      </c>
      <c r="P1914" s="66">
        <f>IF(V1914="","",IFERROR(INDEX(coa_Type,MATCH(V1914,coa_Name,0)),""))</f>
        <v/>
      </c>
      <c r="Q1914" s="66">
        <f>IF(Z1914=1,IF(U1914="In",K1914&amp;"",V1914),"")</f>
        <v/>
      </c>
      <c r="R1914" s="66">
        <f>IF(Z1914=1,IF(U1914="In",V1914,K1914&amp;""),"")</f>
        <v/>
      </c>
      <c r="S1914" s="66">
        <f>IF(X1914&lt;&gt;"","⛔ "&amp;X1914&amp;" — not posted",IF(Y1914&lt;&gt;"","⚠ "&amp;Y1914,IF(Z1914=1,"✓ OK","")))</f>
        <v/>
      </c>
      <c r="T1914" s="67">
        <f>IF(AND(C1914="",D1914="",E1914="",L1914="",K1914=""),1,0)</f>
        <v/>
      </c>
      <c r="U1914" s="67">
        <f>IFERROR(INDEX(tt_Dir,MATCH(D1914,tt_Type,0)),"")</f>
        <v/>
      </c>
      <c r="V1914" s="67">
        <f>IF(D1914="","",IFERROR(IF(INDEX(tt_Other,MATCH(D1914,tt_Type,0))="",E1914&amp;"",INDEX(tt_Other,MATCH(D1914,tt_Type,0))),""))</f>
        <v/>
      </c>
      <c r="W1914" s="68">
        <f>IF(OR(TaxOn&lt;&gt;"Yes",NOT(ISNUMBER(M1914))),0,IF(IFERROR(INDEX(tt_Tax,MATCH(D1914,tt_Type,0)),"No")="Yes",M1914,0))</f>
        <v/>
      </c>
      <c r="X1914" s="67">
        <f>IF(T1914=1,"",IF(C1914="","Missing transaction date",IF(NOT(ISNUMBER(C1914)),"Invalid date",IF(OR(C1914&lt;DATE(2000,1,1),C1914&gt;DATE(2099,12,31)),"Invalid date",IF(D1914="","Select a type",IF(U1914="","Unknown type: "&amp;D1914,IF(V1914="","Select an account (Category)",IF(ISNA(MATCH(V1914,coa_Name,0)),"Unknown account: "&amp;V1914,IF(K1914="","Select Paid From / Deposited To",IF(ISNA(MATCH(K1914,coa_Name,0)),"Unknown account: "&amp;K1914,IF(NOT(ISNUMBER(L1914)),"Enter an amount",IF(L1914=0,"Enter an amount",IF(ABS(W1914)&gt;ABS(L1914),"Tax is larger than the amount","")))))))))))))</f>
        <v/>
      </c>
      <c r="Y1914" s="67">
        <f>IF(OR(T1914=1,X1914&lt;&gt;""),"",IF(AND(B1914&lt;&gt;"",COUNTIF(tx_ID,B1914)&gt;1),"Duplicate transaction ID",IF(AND(L1914&lt;0,D1914&lt;&gt;"Adjustment"),"Negative amount — check this entry",IF(AND(D1914="Customer Payment",G1914=""),"Add the customer",IF(AND(D1914="Customer Payment",OR(J1914="",COUNTIF(ar_No,J1914&amp;"")=0)),"Invoice # in Reference not found on AR sheet",IF(AND(D1914="Bill Payment",H1914=""),"Add the vendor",IF(AND(D1914="Bill Payment",OR(J1914="",COUNTIFS(ap_No,J1914&amp;"",ap_Party,H1914&amp;"")=0)),"Bill # + vendor not found on AP sheet",IF(AND(ISNUMBER(M1914),N(M1914)&lt;&gt;0,W1914=0),"Tax ignored (tax tracking off, or not allowed for this type)",IF(V1914=K1914&amp;"","Same account on both sides",IF(AND(ISNUMBER(StartDate),C1914&lt;StartDate),"Date is before the accounting start date",IF(AND(D1914&lt;&gt;"Adjustment",IFERROR(INDEX(coa_Pay,MATCH(K1914&amp;"",coa_Name,0)),"")&lt;&gt;"Yes"),"Paid From / Deposited To is not a payment account","")))))))))))</f>
        <v/>
      </c>
      <c r="Z1914" s="67">
        <f>IF(AND(T1914=0,X1914=""),1,0)</f>
        <v/>
      </c>
      <c r="AA1914" s="68">
        <f>IF(Z1914=1,IF(U1914="In",L1914,L1914-W1914),0)</f>
        <v/>
      </c>
      <c r="AB1914" s="68">
        <f>IF(Z1914=1,IF(U1914="In",L1914-W1914,L1914),0)</f>
        <v/>
      </c>
      <c r="AC1914" s="68">
        <f>IF(AND(Z1914=1,U1914="Out"),W1914,0)</f>
        <v/>
      </c>
      <c r="AD1914" s="68">
        <f>IF(AND(Z1914=1,U1914="In"),W1914,0)</f>
        <v/>
      </c>
    </row>
    <row r="1915">
      <c r="B1915" s="62" t="inlineStr">
        <is>
          <t>TX-1909</t>
        </is>
      </c>
      <c r="C1915" s="63" t="n"/>
      <c r="D1915" s="62" t="n"/>
      <c r="E1915" s="62" t="n"/>
      <c r="F1915" s="62" t="n"/>
      <c r="G1915" s="62" t="n"/>
      <c r="H1915" s="62" t="n"/>
      <c r="I1915" s="62" t="n"/>
      <c r="J1915" s="62" t="n"/>
      <c r="K1915" s="62" t="n"/>
      <c r="L1915" s="64" t="n"/>
      <c r="M1915" s="64" t="n"/>
      <c r="N1915" s="62" t="n"/>
      <c r="O1915" s="65">
        <f>IF(Z1915=1,L1915-W1915,"")</f>
        <v/>
      </c>
      <c r="P1915" s="66">
        <f>IF(V1915="","",IFERROR(INDEX(coa_Type,MATCH(V1915,coa_Name,0)),""))</f>
        <v/>
      </c>
      <c r="Q1915" s="66">
        <f>IF(Z1915=1,IF(U1915="In",K1915&amp;"",V1915),"")</f>
        <v/>
      </c>
      <c r="R1915" s="66">
        <f>IF(Z1915=1,IF(U1915="In",V1915,K1915&amp;""),"")</f>
        <v/>
      </c>
      <c r="S1915" s="66">
        <f>IF(X1915&lt;&gt;"","⛔ "&amp;X1915&amp;" — not posted",IF(Y1915&lt;&gt;"","⚠ "&amp;Y1915,IF(Z1915=1,"✓ OK","")))</f>
        <v/>
      </c>
      <c r="T1915" s="67">
        <f>IF(AND(C1915="",D1915="",E1915="",L1915="",K1915=""),1,0)</f>
        <v/>
      </c>
      <c r="U1915" s="67">
        <f>IFERROR(INDEX(tt_Dir,MATCH(D1915,tt_Type,0)),"")</f>
        <v/>
      </c>
      <c r="V1915" s="67">
        <f>IF(D1915="","",IFERROR(IF(INDEX(tt_Other,MATCH(D1915,tt_Type,0))="",E1915&amp;"",INDEX(tt_Other,MATCH(D1915,tt_Type,0))),""))</f>
        <v/>
      </c>
      <c r="W1915" s="68">
        <f>IF(OR(TaxOn&lt;&gt;"Yes",NOT(ISNUMBER(M1915))),0,IF(IFERROR(INDEX(tt_Tax,MATCH(D1915,tt_Type,0)),"No")="Yes",M1915,0))</f>
        <v/>
      </c>
      <c r="X1915" s="67">
        <f>IF(T1915=1,"",IF(C1915="","Missing transaction date",IF(NOT(ISNUMBER(C1915)),"Invalid date",IF(OR(C1915&lt;DATE(2000,1,1),C1915&gt;DATE(2099,12,31)),"Invalid date",IF(D1915="","Select a type",IF(U1915="","Unknown type: "&amp;D1915,IF(V1915="","Select an account (Category)",IF(ISNA(MATCH(V1915,coa_Name,0)),"Unknown account: "&amp;V1915,IF(K1915="","Select Paid From / Deposited To",IF(ISNA(MATCH(K1915,coa_Name,0)),"Unknown account: "&amp;K1915,IF(NOT(ISNUMBER(L1915)),"Enter an amount",IF(L1915=0,"Enter an amount",IF(ABS(W1915)&gt;ABS(L1915),"Tax is larger than the amount","")))))))))))))</f>
        <v/>
      </c>
      <c r="Y1915" s="67">
        <f>IF(OR(T1915=1,X1915&lt;&gt;""),"",IF(AND(B1915&lt;&gt;"",COUNTIF(tx_ID,B1915)&gt;1),"Duplicate transaction ID",IF(AND(L1915&lt;0,D1915&lt;&gt;"Adjustment"),"Negative amount — check this entry",IF(AND(D1915="Customer Payment",G1915=""),"Add the customer",IF(AND(D1915="Customer Payment",OR(J1915="",COUNTIF(ar_No,J1915&amp;"")=0)),"Invoice # in Reference not found on AR sheet",IF(AND(D1915="Bill Payment",H1915=""),"Add the vendor",IF(AND(D1915="Bill Payment",OR(J1915="",COUNTIFS(ap_No,J1915&amp;"",ap_Party,H1915&amp;"")=0)),"Bill # + vendor not found on AP sheet",IF(AND(ISNUMBER(M1915),N(M1915)&lt;&gt;0,W1915=0),"Tax ignored (tax tracking off, or not allowed for this type)",IF(V1915=K1915&amp;"","Same account on both sides",IF(AND(ISNUMBER(StartDate),C1915&lt;StartDate),"Date is before the accounting start date",IF(AND(D1915&lt;&gt;"Adjustment",IFERROR(INDEX(coa_Pay,MATCH(K1915&amp;"",coa_Name,0)),"")&lt;&gt;"Yes"),"Paid From / Deposited To is not a payment account","")))))))))))</f>
        <v/>
      </c>
      <c r="Z1915" s="67">
        <f>IF(AND(T1915=0,X1915=""),1,0)</f>
        <v/>
      </c>
      <c r="AA1915" s="68">
        <f>IF(Z1915=1,IF(U1915="In",L1915,L1915-W1915),0)</f>
        <v/>
      </c>
      <c r="AB1915" s="68">
        <f>IF(Z1915=1,IF(U1915="In",L1915-W1915,L1915),0)</f>
        <v/>
      </c>
      <c r="AC1915" s="68">
        <f>IF(AND(Z1915=1,U1915="Out"),W1915,0)</f>
        <v/>
      </c>
      <c r="AD1915" s="68">
        <f>IF(AND(Z1915=1,U1915="In"),W1915,0)</f>
        <v/>
      </c>
    </row>
    <row r="1916">
      <c r="B1916" s="62" t="inlineStr">
        <is>
          <t>TX-1910</t>
        </is>
      </c>
      <c r="C1916" s="63" t="n"/>
      <c r="D1916" s="62" t="n"/>
      <c r="E1916" s="62" t="n"/>
      <c r="F1916" s="62" t="n"/>
      <c r="G1916" s="62" t="n"/>
      <c r="H1916" s="62" t="n"/>
      <c r="I1916" s="62" t="n"/>
      <c r="J1916" s="62" t="n"/>
      <c r="K1916" s="62" t="n"/>
      <c r="L1916" s="64" t="n"/>
      <c r="M1916" s="64" t="n"/>
      <c r="N1916" s="62" t="n"/>
      <c r="O1916" s="65">
        <f>IF(Z1916=1,L1916-W1916,"")</f>
        <v/>
      </c>
      <c r="P1916" s="66">
        <f>IF(V1916="","",IFERROR(INDEX(coa_Type,MATCH(V1916,coa_Name,0)),""))</f>
        <v/>
      </c>
      <c r="Q1916" s="66">
        <f>IF(Z1916=1,IF(U1916="In",K1916&amp;"",V1916),"")</f>
        <v/>
      </c>
      <c r="R1916" s="66">
        <f>IF(Z1916=1,IF(U1916="In",V1916,K1916&amp;""),"")</f>
        <v/>
      </c>
      <c r="S1916" s="66">
        <f>IF(X1916&lt;&gt;"","⛔ "&amp;X1916&amp;" — not posted",IF(Y1916&lt;&gt;"","⚠ "&amp;Y1916,IF(Z1916=1,"✓ OK","")))</f>
        <v/>
      </c>
      <c r="T1916" s="67">
        <f>IF(AND(C1916="",D1916="",E1916="",L1916="",K1916=""),1,0)</f>
        <v/>
      </c>
      <c r="U1916" s="67">
        <f>IFERROR(INDEX(tt_Dir,MATCH(D1916,tt_Type,0)),"")</f>
        <v/>
      </c>
      <c r="V1916" s="67">
        <f>IF(D1916="","",IFERROR(IF(INDEX(tt_Other,MATCH(D1916,tt_Type,0))="",E1916&amp;"",INDEX(tt_Other,MATCH(D1916,tt_Type,0))),""))</f>
        <v/>
      </c>
      <c r="W1916" s="68">
        <f>IF(OR(TaxOn&lt;&gt;"Yes",NOT(ISNUMBER(M1916))),0,IF(IFERROR(INDEX(tt_Tax,MATCH(D1916,tt_Type,0)),"No")="Yes",M1916,0))</f>
        <v/>
      </c>
      <c r="X1916" s="67">
        <f>IF(T1916=1,"",IF(C1916="","Missing transaction date",IF(NOT(ISNUMBER(C1916)),"Invalid date",IF(OR(C1916&lt;DATE(2000,1,1),C1916&gt;DATE(2099,12,31)),"Invalid date",IF(D1916="","Select a type",IF(U1916="","Unknown type: "&amp;D1916,IF(V1916="","Select an account (Category)",IF(ISNA(MATCH(V1916,coa_Name,0)),"Unknown account: "&amp;V1916,IF(K1916="","Select Paid From / Deposited To",IF(ISNA(MATCH(K1916,coa_Name,0)),"Unknown account: "&amp;K1916,IF(NOT(ISNUMBER(L1916)),"Enter an amount",IF(L1916=0,"Enter an amount",IF(ABS(W1916)&gt;ABS(L1916),"Tax is larger than the amount","")))))))))))))</f>
        <v/>
      </c>
      <c r="Y1916" s="67">
        <f>IF(OR(T1916=1,X1916&lt;&gt;""),"",IF(AND(B1916&lt;&gt;"",COUNTIF(tx_ID,B1916)&gt;1),"Duplicate transaction ID",IF(AND(L1916&lt;0,D1916&lt;&gt;"Adjustment"),"Negative amount — check this entry",IF(AND(D1916="Customer Payment",G1916=""),"Add the customer",IF(AND(D1916="Customer Payment",OR(J1916="",COUNTIF(ar_No,J1916&amp;"")=0)),"Invoice # in Reference not found on AR sheet",IF(AND(D1916="Bill Payment",H1916=""),"Add the vendor",IF(AND(D1916="Bill Payment",OR(J1916="",COUNTIFS(ap_No,J1916&amp;"",ap_Party,H1916&amp;"")=0)),"Bill # + vendor not found on AP sheet",IF(AND(ISNUMBER(M1916),N(M1916)&lt;&gt;0,W1916=0),"Tax ignored (tax tracking off, or not allowed for this type)",IF(V1916=K1916&amp;"","Same account on both sides",IF(AND(ISNUMBER(StartDate),C1916&lt;StartDate),"Date is before the accounting start date",IF(AND(D1916&lt;&gt;"Adjustment",IFERROR(INDEX(coa_Pay,MATCH(K1916&amp;"",coa_Name,0)),"")&lt;&gt;"Yes"),"Paid From / Deposited To is not a payment account","")))))))))))</f>
        <v/>
      </c>
      <c r="Z1916" s="67">
        <f>IF(AND(T1916=0,X1916=""),1,0)</f>
        <v/>
      </c>
      <c r="AA1916" s="68">
        <f>IF(Z1916=1,IF(U1916="In",L1916,L1916-W1916),0)</f>
        <v/>
      </c>
      <c r="AB1916" s="68">
        <f>IF(Z1916=1,IF(U1916="In",L1916-W1916,L1916),0)</f>
        <v/>
      </c>
      <c r="AC1916" s="68">
        <f>IF(AND(Z1916=1,U1916="Out"),W1916,0)</f>
        <v/>
      </c>
      <c r="AD1916" s="68">
        <f>IF(AND(Z1916=1,U1916="In"),W1916,0)</f>
        <v/>
      </c>
    </row>
    <row r="1917">
      <c r="B1917" s="62" t="inlineStr">
        <is>
          <t>TX-1911</t>
        </is>
      </c>
      <c r="C1917" s="63" t="n"/>
      <c r="D1917" s="62" t="n"/>
      <c r="E1917" s="62" t="n"/>
      <c r="F1917" s="62" t="n"/>
      <c r="G1917" s="62" t="n"/>
      <c r="H1917" s="62" t="n"/>
      <c r="I1917" s="62" t="n"/>
      <c r="J1917" s="62" t="n"/>
      <c r="K1917" s="62" t="n"/>
      <c r="L1917" s="64" t="n"/>
      <c r="M1917" s="64" t="n"/>
      <c r="N1917" s="62" t="n"/>
      <c r="O1917" s="65">
        <f>IF(Z1917=1,L1917-W1917,"")</f>
        <v/>
      </c>
      <c r="P1917" s="66">
        <f>IF(V1917="","",IFERROR(INDEX(coa_Type,MATCH(V1917,coa_Name,0)),""))</f>
        <v/>
      </c>
      <c r="Q1917" s="66">
        <f>IF(Z1917=1,IF(U1917="In",K1917&amp;"",V1917),"")</f>
        <v/>
      </c>
      <c r="R1917" s="66">
        <f>IF(Z1917=1,IF(U1917="In",V1917,K1917&amp;""),"")</f>
        <v/>
      </c>
      <c r="S1917" s="66">
        <f>IF(X1917&lt;&gt;"","⛔ "&amp;X1917&amp;" — not posted",IF(Y1917&lt;&gt;"","⚠ "&amp;Y1917,IF(Z1917=1,"✓ OK","")))</f>
        <v/>
      </c>
      <c r="T1917" s="67">
        <f>IF(AND(C1917="",D1917="",E1917="",L1917="",K1917=""),1,0)</f>
        <v/>
      </c>
      <c r="U1917" s="67">
        <f>IFERROR(INDEX(tt_Dir,MATCH(D1917,tt_Type,0)),"")</f>
        <v/>
      </c>
      <c r="V1917" s="67">
        <f>IF(D1917="","",IFERROR(IF(INDEX(tt_Other,MATCH(D1917,tt_Type,0))="",E1917&amp;"",INDEX(tt_Other,MATCH(D1917,tt_Type,0))),""))</f>
        <v/>
      </c>
      <c r="W1917" s="68">
        <f>IF(OR(TaxOn&lt;&gt;"Yes",NOT(ISNUMBER(M1917))),0,IF(IFERROR(INDEX(tt_Tax,MATCH(D1917,tt_Type,0)),"No")="Yes",M1917,0))</f>
        <v/>
      </c>
      <c r="X1917" s="67">
        <f>IF(T1917=1,"",IF(C1917="","Missing transaction date",IF(NOT(ISNUMBER(C1917)),"Invalid date",IF(OR(C1917&lt;DATE(2000,1,1),C1917&gt;DATE(2099,12,31)),"Invalid date",IF(D1917="","Select a type",IF(U1917="","Unknown type: "&amp;D1917,IF(V1917="","Select an account (Category)",IF(ISNA(MATCH(V1917,coa_Name,0)),"Unknown account: "&amp;V1917,IF(K1917="","Select Paid From / Deposited To",IF(ISNA(MATCH(K1917,coa_Name,0)),"Unknown account: "&amp;K1917,IF(NOT(ISNUMBER(L1917)),"Enter an amount",IF(L1917=0,"Enter an amount",IF(ABS(W1917)&gt;ABS(L1917),"Tax is larger than the amount","")))))))))))))</f>
        <v/>
      </c>
      <c r="Y1917" s="67">
        <f>IF(OR(T1917=1,X1917&lt;&gt;""),"",IF(AND(B1917&lt;&gt;"",COUNTIF(tx_ID,B1917)&gt;1),"Duplicate transaction ID",IF(AND(L1917&lt;0,D1917&lt;&gt;"Adjustment"),"Negative amount — check this entry",IF(AND(D1917="Customer Payment",G1917=""),"Add the customer",IF(AND(D1917="Customer Payment",OR(J1917="",COUNTIF(ar_No,J1917&amp;"")=0)),"Invoice # in Reference not found on AR sheet",IF(AND(D1917="Bill Payment",H1917=""),"Add the vendor",IF(AND(D1917="Bill Payment",OR(J1917="",COUNTIFS(ap_No,J1917&amp;"",ap_Party,H1917&amp;"")=0)),"Bill # + vendor not found on AP sheet",IF(AND(ISNUMBER(M1917),N(M1917)&lt;&gt;0,W1917=0),"Tax ignored (tax tracking off, or not allowed for this type)",IF(V1917=K1917&amp;"","Same account on both sides",IF(AND(ISNUMBER(StartDate),C1917&lt;StartDate),"Date is before the accounting start date",IF(AND(D1917&lt;&gt;"Adjustment",IFERROR(INDEX(coa_Pay,MATCH(K1917&amp;"",coa_Name,0)),"")&lt;&gt;"Yes"),"Paid From / Deposited To is not a payment account","")))))))))))</f>
        <v/>
      </c>
      <c r="Z1917" s="67">
        <f>IF(AND(T1917=0,X1917=""),1,0)</f>
        <v/>
      </c>
      <c r="AA1917" s="68">
        <f>IF(Z1917=1,IF(U1917="In",L1917,L1917-W1917),0)</f>
        <v/>
      </c>
      <c r="AB1917" s="68">
        <f>IF(Z1917=1,IF(U1917="In",L1917-W1917,L1917),0)</f>
        <v/>
      </c>
      <c r="AC1917" s="68">
        <f>IF(AND(Z1917=1,U1917="Out"),W1917,0)</f>
        <v/>
      </c>
      <c r="AD1917" s="68">
        <f>IF(AND(Z1917=1,U1917="In"),W1917,0)</f>
        <v/>
      </c>
    </row>
    <row r="1918">
      <c r="B1918" s="62" t="inlineStr">
        <is>
          <t>TX-1912</t>
        </is>
      </c>
      <c r="C1918" s="63" t="n"/>
      <c r="D1918" s="62" t="n"/>
      <c r="E1918" s="62" t="n"/>
      <c r="F1918" s="62" t="n"/>
      <c r="G1918" s="62" t="n"/>
      <c r="H1918" s="62" t="n"/>
      <c r="I1918" s="62" t="n"/>
      <c r="J1918" s="62" t="n"/>
      <c r="K1918" s="62" t="n"/>
      <c r="L1918" s="64" t="n"/>
      <c r="M1918" s="64" t="n"/>
      <c r="N1918" s="62" t="n"/>
      <c r="O1918" s="65">
        <f>IF(Z1918=1,L1918-W1918,"")</f>
        <v/>
      </c>
      <c r="P1918" s="66">
        <f>IF(V1918="","",IFERROR(INDEX(coa_Type,MATCH(V1918,coa_Name,0)),""))</f>
        <v/>
      </c>
      <c r="Q1918" s="66">
        <f>IF(Z1918=1,IF(U1918="In",K1918&amp;"",V1918),"")</f>
        <v/>
      </c>
      <c r="R1918" s="66">
        <f>IF(Z1918=1,IF(U1918="In",V1918,K1918&amp;""),"")</f>
        <v/>
      </c>
      <c r="S1918" s="66">
        <f>IF(X1918&lt;&gt;"","⛔ "&amp;X1918&amp;" — not posted",IF(Y1918&lt;&gt;"","⚠ "&amp;Y1918,IF(Z1918=1,"✓ OK","")))</f>
        <v/>
      </c>
      <c r="T1918" s="67">
        <f>IF(AND(C1918="",D1918="",E1918="",L1918="",K1918=""),1,0)</f>
        <v/>
      </c>
      <c r="U1918" s="67">
        <f>IFERROR(INDEX(tt_Dir,MATCH(D1918,tt_Type,0)),"")</f>
        <v/>
      </c>
      <c r="V1918" s="67">
        <f>IF(D1918="","",IFERROR(IF(INDEX(tt_Other,MATCH(D1918,tt_Type,0))="",E1918&amp;"",INDEX(tt_Other,MATCH(D1918,tt_Type,0))),""))</f>
        <v/>
      </c>
      <c r="W1918" s="68">
        <f>IF(OR(TaxOn&lt;&gt;"Yes",NOT(ISNUMBER(M1918))),0,IF(IFERROR(INDEX(tt_Tax,MATCH(D1918,tt_Type,0)),"No")="Yes",M1918,0))</f>
        <v/>
      </c>
      <c r="X1918" s="67">
        <f>IF(T1918=1,"",IF(C1918="","Missing transaction date",IF(NOT(ISNUMBER(C1918)),"Invalid date",IF(OR(C1918&lt;DATE(2000,1,1),C1918&gt;DATE(2099,12,31)),"Invalid date",IF(D1918="","Select a type",IF(U1918="","Unknown type: "&amp;D1918,IF(V1918="","Select an account (Category)",IF(ISNA(MATCH(V1918,coa_Name,0)),"Unknown account: "&amp;V1918,IF(K1918="","Select Paid From / Deposited To",IF(ISNA(MATCH(K1918,coa_Name,0)),"Unknown account: "&amp;K1918,IF(NOT(ISNUMBER(L1918)),"Enter an amount",IF(L1918=0,"Enter an amount",IF(ABS(W1918)&gt;ABS(L1918),"Tax is larger than the amount","")))))))))))))</f>
        <v/>
      </c>
      <c r="Y1918" s="67">
        <f>IF(OR(T1918=1,X1918&lt;&gt;""),"",IF(AND(B1918&lt;&gt;"",COUNTIF(tx_ID,B1918)&gt;1),"Duplicate transaction ID",IF(AND(L1918&lt;0,D1918&lt;&gt;"Adjustment"),"Negative amount — check this entry",IF(AND(D1918="Customer Payment",G1918=""),"Add the customer",IF(AND(D1918="Customer Payment",OR(J1918="",COUNTIF(ar_No,J1918&amp;"")=0)),"Invoice # in Reference not found on AR sheet",IF(AND(D1918="Bill Payment",H1918=""),"Add the vendor",IF(AND(D1918="Bill Payment",OR(J1918="",COUNTIFS(ap_No,J1918&amp;"",ap_Party,H1918&amp;"")=0)),"Bill # + vendor not found on AP sheet",IF(AND(ISNUMBER(M1918),N(M1918)&lt;&gt;0,W1918=0),"Tax ignored (tax tracking off, or not allowed for this type)",IF(V1918=K1918&amp;"","Same account on both sides",IF(AND(ISNUMBER(StartDate),C1918&lt;StartDate),"Date is before the accounting start date",IF(AND(D1918&lt;&gt;"Adjustment",IFERROR(INDEX(coa_Pay,MATCH(K1918&amp;"",coa_Name,0)),"")&lt;&gt;"Yes"),"Paid From / Deposited To is not a payment account","")))))))))))</f>
        <v/>
      </c>
      <c r="Z1918" s="67">
        <f>IF(AND(T1918=0,X1918=""),1,0)</f>
        <v/>
      </c>
      <c r="AA1918" s="68">
        <f>IF(Z1918=1,IF(U1918="In",L1918,L1918-W1918),0)</f>
        <v/>
      </c>
      <c r="AB1918" s="68">
        <f>IF(Z1918=1,IF(U1918="In",L1918-W1918,L1918),0)</f>
        <v/>
      </c>
      <c r="AC1918" s="68">
        <f>IF(AND(Z1918=1,U1918="Out"),W1918,0)</f>
        <v/>
      </c>
      <c r="AD1918" s="68">
        <f>IF(AND(Z1918=1,U1918="In"),W1918,0)</f>
        <v/>
      </c>
    </row>
    <row r="1919">
      <c r="B1919" s="62" t="inlineStr">
        <is>
          <t>TX-1913</t>
        </is>
      </c>
      <c r="C1919" s="63" t="n"/>
      <c r="D1919" s="62" t="n"/>
      <c r="E1919" s="62" t="n"/>
      <c r="F1919" s="62" t="n"/>
      <c r="G1919" s="62" t="n"/>
      <c r="H1919" s="62" t="n"/>
      <c r="I1919" s="62" t="n"/>
      <c r="J1919" s="62" t="n"/>
      <c r="K1919" s="62" t="n"/>
      <c r="L1919" s="64" t="n"/>
      <c r="M1919" s="64" t="n"/>
      <c r="N1919" s="62" t="n"/>
      <c r="O1919" s="65">
        <f>IF(Z1919=1,L1919-W1919,"")</f>
        <v/>
      </c>
      <c r="P1919" s="66">
        <f>IF(V1919="","",IFERROR(INDEX(coa_Type,MATCH(V1919,coa_Name,0)),""))</f>
        <v/>
      </c>
      <c r="Q1919" s="66">
        <f>IF(Z1919=1,IF(U1919="In",K1919&amp;"",V1919),"")</f>
        <v/>
      </c>
      <c r="R1919" s="66">
        <f>IF(Z1919=1,IF(U1919="In",V1919,K1919&amp;""),"")</f>
        <v/>
      </c>
      <c r="S1919" s="66">
        <f>IF(X1919&lt;&gt;"","⛔ "&amp;X1919&amp;" — not posted",IF(Y1919&lt;&gt;"","⚠ "&amp;Y1919,IF(Z1919=1,"✓ OK","")))</f>
        <v/>
      </c>
      <c r="T1919" s="67">
        <f>IF(AND(C1919="",D1919="",E1919="",L1919="",K1919=""),1,0)</f>
        <v/>
      </c>
      <c r="U1919" s="67">
        <f>IFERROR(INDEX(tt_Dir,MATCH(D1919,tt_Type,0)),"")</f>
        <v/>
      </c>
      <c r="V1919" s="67">
        <f>IF(D1919="","",IFERROR(IF(INDEX(tt_Other,MATCH(D1919,tt_Type,0))="",E1919&amp;"",INDEX(tt_Other,MATCH(D1919,tt_Type,0))),""))</f>
        <v/>
      </c>
      <c r="W1919" s="68">
        <f>IF(OR(TaxOn&lt;&gt;"Yes",NOT(ISNUMBER(M1919))),0,IF(IFERROR(INDEX(tt_Tax,MATCH(D1919,tt_Type,0)),"No")="Yes",M1919,0))</f>
        <v/>
      </c>
      <c r="X1919" s="67">
        <f>IF(T1919=1,"",IF(C1919="","Missing transaction date",IF(NOT(ISNUMBER(C1919)),"Invalid date",IF(OR(C1919&lt;DATE(2000,1,1),C1919&gt;DATE(2099,12,31)),"Invalid date",IF(D1919="","Select a type",IF(U1919="","Unknown type: "&amp;D1919,IF(V1919="","Select an account (Category)",IF(ISNA(MATCH(V1919,coa_Name,0)),"Unknown account: "&amp;V1919,IF(K1919="","Select Paid From / Deposited To",IF(ISNA(MATCH(K1919,coa_Name,0)),"Unknown account: "&amp;K1919,IF(NOT(ISNUMBER(L1919)),"Enter an amount",IF(L1919=0,"Enter an amount",IF(ABS(W1919)&gt;ABS(L1919),"Tax is larger than the amount","")))))))))))))</f>
        <v/>
      </c>
      <c r="Y1919" s="67">
        <f>IF(OR(T1919=1,X1919&lt;&gt;""),"",IF(AND(B1919&lt;&gt;"",COUNTIF(tx_ID,B1919)&gt;1),"Duplicate transaction ID",IF(AND(L1919&lt;0,D1919&lt;&gt;"Adjustment"),"Negative amount — check this entry",IF(AND(D1919="Customer Payment",G1919=""),"Add the customer",IF(AND(D1919="Customer Payment",OR(J1919="",COUNTIF(ar_No,J1919&amp;"")=0)),"Invoice # in Reference not found on AR sheet",IF(AND(D1919="Bill Payment",H1919=""),"Add the vendor",IF(AND(D1919="Bill Payment",OR(J1919="",COUNTIFS(ap_No,J1919&amp;"",ap_Party,H1919&amp;"")=0)),"Bill # + vendor not found on AP sheet",IF(AND(ISNUMBER(M1919),N(M1919)&lt;&gt;0,W1919=0),"Tax ignored (tax tracking off, or not allowed for this type)",IF(V1919=K1919&amp;"","Same account on both sides",IF(AND(ISNUMBER(StartDate),C1919&lt;StartDate),"Date is before the accounting start date",IF(AND(D1919&lt;&gt;"Adjustment",IFERROR(INDEX(coa_Pay,MATCH(K1919&amp;"",coa_Name,0)),"")&lt;&gt;"Yes"),"Paid From / Deposited To is not a payment account","")))))))))))</f>
        <v/>
      </c>
      <c r="Z1919" s="67">
        <f>IF(AND(T1919=0,X1919=""),1,0)</f>
        <v/>
      </c>
      <c r="AA1919" s="68">
        <f>IF(Z1919=1,IF(U1919="In",L1919,L1919-W1919),0)</f>
        <v/>
      </c>
      <c r="AB1919" s="68">
        <f>IF(Z1919=1,IF(U1919="In",L1919-W1919,L1919),0)</f>
        <v/>
      </c>
      <c r="AC1919" s="68">
        <f>IF(AND(Z1919=1,U1919="Out"),W1919,0)</f>
        <v/>
      </c>
      <c r="AD1919" s="68">
        <f>IF(AND(Z1919=1,U1919="In"),W1919,0)</f>
        <v/>
      </c>
    </row>
    <row r="1920">
      <c r="B1920" s="62" t="inlineStr">
        <is>
          <t>TX-1914</t>
        </is>
      </c>
      <c r="C1920" s="63" t="n"/>
      <c r="D1920" s="62" t="n"/>
      <c r="E1920" s="62" t="n"/>
      <c r="F1920" s="62" t="n"/>
      <c r="G1920" s="62" t="n"/>
      <c r="H1920" s="62" t="n"/>
      <c r="I1920" s="62" t="n"/>
      <c r="J1920" s="62" t="n"/>
      <c r="K1920" s="62" t="n"/>
      <c r="L1920" s="64" t="n"/>
      <c r="M1920" s="64" t="n"/>
      <c r="N1920" s="62" t="n"/>
      <c r="O1920" s="65">
        <f>IF(Z1920=1,L1920-W1920,"")</f>
        <v/>
      </c>
      <c r="P1920" s="66">
        <f>IF(V1920="","",IFERROR(INDEX(coa_Type,MATCH(V1920,coa_Name,0)),""))</f>
        <v/>
      </c>
      <c r="Q1920" s="66">
        <f>IF(Z1920=1,IF(U1920="In",K1920&amp;"",V1920),"")</f>
        <v/>
      </c>
      <c r="R1920" s="66">
        <f>IF(Z1920=1,IF(U1920="In",V1920,K1920&amp;""),"")</f>
        <v/>
      </c>
      <c r="S1920" s="66">
        <f>IF(X1920&lt;&gt;"","⛔ "&amp;X1920&amp;" — not posted",IF(Y1920&lt;&gt;"","⚠ "&amp;Y1920,IF(Z1920=1,"✓ OK","")))</f>
        <v/>
      </c>
      <c r="T1920" s="67">
        <f>IF(AND(C1920="",D1920="",E1920="",L1920="",K1920=""),1,0)</f>
        <v/>
      </c>
      <c r="U1920" s="67">
        <f>IFERROR(INDEX(tt_Dir,MATCH(D1920,tt_Type,0)),"")</f>
        <v/>
      </c>
      <c r="V1920" s="67">
        <f>IF(D1920="","",IFERROR(IF(INDEX(tt_Other,MATCH(D1920,tt_Type,0))="",E1920&amp;"",INDEX(tt_Other,MATCH(D1920,tt_Type,0))),""))</f>
        <v/>
      </c>
      <c r="W1920" s="68">
        <f>IF(OR(TaxOn&lt;&gt;"Yes",NOT(ISNUMBER(M1920))),0,IF(IFERROR(INDEX(tt_Tax,MATCH(D1920,tt_Type,0)),"No")="Yes",M1920,0))</f>
        <v/>
      </c>
      <c r="X1920" s="67">
        <f>IF(T1920=1,"",IF(C1920="","Missing transaction date",IF(NOT(ISNUMBER(C1920)),"Invalid date",IF(OR(C1920&lt;DATE(2000,1,1),C1920&gt;DATE(2099,12,31)),"Invalid date",IF(D1920="","Select a type",IF(U1920="","Unknown type: "&amp;D1920,IF(V1920="","Select an account (Category)",IF(ISNA(MATCH(V1920,coa_Name,0)),"Unknown account: "&amp;V1920,IF(K1920="","Select Paid From / Deposited To",IF(ISNA(MATCH(K1920,coa_Name,0)),"Unknown account: "&amp;K1920,IF(NOT(ISNUMBER(L1920)),"Enter an amount",IF(L1920=0,"Enter an amount",IF(ABS(W1920)&gt;ABS(L1920),"Tax is larger than the amount","")))))))))))))</f>
        <v/>
      </c>
      <c r="Y1920" s="67">
        <f>IF(OR(T1920=1,X1920&lt;&gt;""),"",IF(AND(B1920&lt;&gt;"",COUNTIF(tx_ID,B1920)&gt;1),"Duplicate transaction ID",IF(AND(L1920&lt;0,D1920&lt;&gt;"Adjustment"),"Negative amount — check this entry",IF(AND(D1920="Customer Payment",G1920=""),"Add the customer",IF(AND(D1920="Customer Payment",OR(J1920="",COUNTIF(ar_No,J1920&amp;"")=0)),"Invoice # in Reference not found on AR sheet",IF(AND(D1920="Bill Payment",H1920=""),"Add the vendor",IF(AND(D1920="Bill Payment",OR(J1920="",COUNTIFS(ap_No,J1920&amp;"",ap_Party,H1920&amp;"")=0)),"Bill # + vendor not found on AP sheet",IF(AND(ISNUMBER(M1920),N(M1920)&lt;&gt;0,W1920=0),"Tax ignored (tax tracking off, or not allowed for this type)",IF(V1920=K1920&amp;"","Same account on both sides",IF(AND(ISNUMBER(StartDate),C1920&lt;StartDate),"Date is before the accounting start date",IF(AND(D1920&lt;&gt;"Adjustment",IFERROR(INDEX(coa_Pay,MATCH(K1920&amp;"",coa_Name,0)),"")&lt;&gt;"Yes"),"Paid From / Deposited To is not a payment account","")))))))))))</f>
        <v/>
      </c>
      <c r="Z1920" s="67">
        <f>IF(AND(T1920=0,X1920=""),1,0)</f>
        <v/>
      </c>
      <c r="AA1920" s="68">
        <f>IF(Z1920=1,IF(U1920="In",L1920,L1920-W1920),0)</f>
        <v/>
      </c>
      <c r="AB1920" s="68">
        <f>IF(Z1920=1,IF(U1920="In",L1920-W1920,L1920),0)</f>
        <v/>
      </c>
      <c r="AC1920" s="68">
        <f>IF(AND(Z1920=1,U1920="Out"),W1920,0)</f>
        <v/>
      </c>
      <c r="AD1920" s="68">
        <f>IF(AND(Z1920=1,U1920="In"),W1920,0)</f>
        <v/>
      </c>
    </row>
    <row r="1921">
      <c r="B1921" s="62" t="inlineStr">
        <is>
          <t>TX-1915</t>
        </is>
      </c>
      <c r="C1921" s="63" t="n"/>
      <c r="D1921" s="62" t="n"/>
      <c r="E1921" s="62" t="n"/>
      <c r="F1921" s="62" t="n"/>
      <c r="G1921" s="62" t="n"/>
      <c r="H1921" s="62" t="n"/>
      <c r="I1921" s="62" t="n"/>
      <c r="J1921" s="62" t="n"/>
      <c r="K1921" s="62" t="n"/>
      <c r="L1921" s="64" t="n"/>
      <c r="M1921" s="64" t="n"/>
      <c r="N1921" s="62" t="n"/>
      <c r="O1921" s="65">
        <f>IF(Z1921=1,L1921-W1921,"")</f>
        <v/>
      </c>
      <c r="P1921" s="66">
        <f>IF(V1921="","",IFERROR(INDEX(coa_Type,MATCH(V1921,coa_Name,0)),""))</f>
        <v/>
      </c>
      <c r="Q1921" s="66">
        <f>IF(Z1921=1,IF(U1921="In",K1921&amp;"",V1921),"")</f>
        <v/>
      </c>
      <c r="R1921" s="66">
        <f>IF(Z1921=1,IF(U1921="In",V1921,K1921&amp;""),"")</f>
        <v/>
      </c>
      <c r="S1921" s="66">
        <f>IF(X1921&lt;&gt;"","⛔ "&amp;X1921&amp;" — not posted",IF(Y1921&lt;&gt;"","⚠ "&amp;Y1921,IF(Z1921=1,"✓ OK","")))</f>
        <v/>
      </c>
      <c r="T1921" s="67">
        <f>IF(AND(C1921="",D1921="",E1921="",L1921="",K1921=""),1,0)</f>
        <v/>
      </c>
      <c r="U1921" s="67">
        <f>IFERROR(INDEX(tt_Dir,MATCH(D1921,tt_Type,0)),"")</f>
        <v/>
      </c>
      <c r="V1921" s="67">
        <f>IF(D1921="","",IFERROR(IF(INDEX(tt_Other,MATCH(D1921,tt_Type,0))="",E1921&amp;"",INDEX(tt_Other,MATCH(D1921,tt_Type,0))),""))</f>
        <v/>
      </c>
      <c r="W1921" s="68">
        <f>IF(OR(TaxOn&lt;&gt;"Yes",NOT(ISNUMBER(M1921))),0,IF(IFERROR(INDEX(tt_Tax,MATCH(D1921,tt_Type,0)),"No")="Yes",M1921,0))</f>
        <v/>
      </c>
      <c r="X1921" s="67">
        <f>IF(T1921=1,"",IF(C1921="","Missing transaction date",IF(NOT(ISNUMBER(C1921)),"Invalid date",IF(OR(C1921&lt;DATE(2000,1,1),C1921&gt;DATE(2099,12,31)),"Invalid date",IF(D1921="","Select a type",IF(U1921="","Unknown type: "&amp;D1921,IF(V1921="","Select an account (Category)",IF(ISNA(MATCH(V1921,coa_Name,0)),"Unknown account: "&amp;V1921,IF(K1921="","Select Paid From / Deposited To",IF(ISNA(MATCH(K1921,coa_Name,0)),"Unknown account: "&amp;K1921,IF(NOT(ISNUMBER(L1921)),"Enter an amount",IF(L1921=0,"Enter an amount",IF(ABS(W1921)&gt;ABS(L1921),"Tax is larger than the amount","")))))))))))))</f>
        <v/>
      </c>
      <c r="Y1921" s="67">
        <f>IF(OR(T1921=1,X1921&lt;&gt;""),"",IF(AND(B1921&lt;&gt;"",COUNTIF(tx_ID,B1921)&gt;1),"Duplicate transaction ID",IF(AND(L1921&lt;0,D1921&lt;&gt;"Adjustment"),"Negative amount — check this entry",IF(AND(D1921="Customer Payment",G1921=""),"Add the customer",IF(AND(D1921="Customer Payment",OR(J1921="",COUNTIF(ar_No,J1921&amp;"")=0)),"Invoice # in Reference not found on AR sheet",IF(AND(D1921="Bill Payment",H1921=""),"Add the vendor",IF(AND(D1921="Bill Payment",OR(J1921="",COUNTIFS(ap_No,J1921&amp;"",ap_Party,H1921&amp;"")=0)),"Bill # + vendor not found on AP sheet",IF(AND(ISNUMBER(M1921),N(M1921)&lt;&gt;0,W1921=0),"Tax ignored (tax tracking off, or not allowed for this type)",IF(V1921=K1921&amp;"","Same account on both sides",IF(AND(ISNUMBER(StartDate),C1921&lt;StartDate),"Date is before the accounting start date",IF(AND(D1921&lt;&gt;"Adjustment",IFERROR(INDEX(coa_Pay,MATCH(K1921&amp;"",coa_Name,0)),"")&lt;&gt;"Yes"),"Paid From / Deposited To is not a payment account","")))))))))))</f>
        <v/>
      </c>
      <c r="Z1921" s="67">
        <f>IF(AND(T1921=0,X1921=""),1,0)</f>
        <v/>
      </c>
      <c r="AA1921" s="68">
        <f>IF(Z1921=1,IF(U1921="In",L1921,L1921-W1921),0)</f>
        <v/>
      </c>
      <c r="AB1921" s="68">
        <f>IF(Z1921=1,IF(U1921="In",L1921-W1921,L1921),0)</f>
        <v/>
      </c>
      <c r="AC1921" s="68">
        <f>IF(AND(Z1921=1,U1921="Out"),W1921,0)</f>
        <v/>
      </c>
      <c r="AD1921" s="68">
        <f>IF(AND(Z1921=1,U1921="In"),W1921,0)</f>
        <v/>
      </c>
    </row>
    <row r="1922">
      <c r="B1922" s="62" t="inlineStr">
        <is>
          <t>TX-1916</t>
        </is>
      </c>
      <c r="C1922" s="63" t="n"/>
      <c r="D1922" s="62" t="n"/>
      <c r="E1922" s="62" t="n"/>
      <c r="F1922" s="62" t="n"/>
      <c r="G1922" s="62" t="n"/>
      <c r="H1922" s="62" t="n"/>
      <c r="I1922" s="62" t="n"/>
      <c r="J1922" s="62" t="n"/>
      <c r="K1922" s="62" t="n"/>
      <c r="L1922" s="64" t="n"/>
      <c r="M1922" s="64" t="n"/>
      <c r="N1922" s="62" t="n"/>
      <c r="O1922" s="65">
        <f>IF(Z1922=1,L1922-W1922,"")</f>
        <v/>
      </c>
      <c r="P1922" s="66">
        <f>IF(V1922="","",IFERROR(INDEX(coa_Type,MATCH(V1922,coa_Name,0)),""))</f>
        <v/>
      </c>
      <c r="Q1922" s="66">
        <f>IF(Z1922=1,IF(U1922="In",K1922&amp;"",V1922),"")</f>
        <v/>
      </c>
      <c r="R1922" s="66">
        <f>IF(Z1922=1,IF(U1922="In",V1922,K1922&amp;""),"")</f>
        <v/>
      </c>
      <c r="S1922" s="66">
        <f>IF(X1922&lt;&gt;"","⛔ "&amp;X1922&amp;" — not posted",IF(Y1922&lt;&gt;"","⚠ "&amp;Y1922,IF(Z1922=1,"✓ OK","")))</f>
        <v/>
      </c>
      <c r="T1922" s="67">
        <f>IF(AND(C1922="",D1922="",E1922="",L1922="",K1922=""),1,0)</f>
        <v/>
      </c>
      <c r="U1922" s="67">
        <f>IFERROR(INDEX(tt_Dir,MATCH(D1922,tt_Type,0)),"")</f>
        <v/>
      </c>
      <c r="V1922" s="67">
        <f>IF(D1922="","",IFERROR(IF(INDEX(tt_Other,MATCH(D1922,tt_Type,0))="",E1922&amp;"",INDEX(tt_Other,MATCH(D1922,tt_Type,0))),""))</f>
        <v/>
      </c>
      <c r="W1922" s="68">
        <f>IF(OR(TaxOn&lt;&gt;"Yes",NOT(ISNUMBER(M1922))),0,IF(IFERROR(INDEX(tt_Tax,MATCH(D1922,tt_Type,0)),"No")="Yes",M1922,0))</f>
        <v/>
      </c>
      <c r="X1922" s="67">
        <f>IF(T1922=1,"",IF(C1922="","Missing transaction date",IF(NOT(ISNUMBER(C1922)),"Invalid date",IF(OR(C1922&lt;DATE(2000,1,1),C1922&gt;DATE(2099,12,31)),"Invalid date",IF(D1922="","Select a type",IF(U1922="","Unknown type: "&amp;D1922,IF(V1922="","Select an account (Category)",IF(ISNA(MATCH(V1922,coa_Name,0)),"Unknown account: "&amp;V1922,IF(K1922="","Select Paid From / Deposited To",IF(ISNA(MATCH(K1922,coa_Name,0)),"Unknown account: "&amp;K1922,IF(NOT(ISNUMBER(L1922)),"Enter an amount",IF(L1922=0,"Enter an amount",IF(ABS(W1922)&gt;ABS(L1922),"Tax is larger than the amount","")))))))))))))</f>
        <v/>
      </c>
      <c r="Y1922" s="67">
        <f>IF(OR(T1922=1,X1922&lt;&gt;""),"",IF(AND(B1922&lt;&gt;"",COUNTIF(tx_ID,B1922)&gt;1),"Duplicate transaction ID",IF(AND(L1922&lt;0,D1922&lt;&gt;"Adjustment"),"Negative amount — check this entry",IF(AND(D1922="Customer Payment",G1922=""),"Add the customer",IF(AND(D1922="Customer Payment",OR(J1922="",COUNTIF(ar_No,J1922&amp;"")=0)),"Invoice # in Reference not found on AR sheet",IF(AND(D1922="Bill Payment",H1922=""),"Add the vendor",IF(AND(D1922="Bill Payment",OR(J1922="",COUNTIFS(ap_No,J1922&amp;"",ap_Party,H1922&amp;"")=0)),"Bill # + vendor not found on AP sheet",IF(AND(ISNUMBER(M1922),N(M1922)&lt;&gt;0,W1922=0),"Tax ignored (tax tracking off, or not allowed for this type)",IF(V1922=K1922&amp;"","Same account on both sides",IF(AND(ISNUMBER(StartDate),C1922&lt;StartDate),"Date is before the accounting start date",IF(AND(D1922&lt;&gt;"Adjustment",IFERROR(INDEX(coa_Pay,MATCH(K1922&amp;"",coa_Name,0)),"")&lt;&gt;"Yes"),"Paid From / Deposited To is not a payment account","")))))))))))</f>
        <v/>
      </c>
      <c r="Z1922" s="67">
        <f>IF(AND(T1922=0,X1922=""),1,0)</f>
        <v/>
      </c>
      <c r="AA1922" s="68">
        <f>IF(Z1922=1,IF(U1922="In",L1922,L1922-W1922),0)</f>
        <v/>
      </c>
      <c r="AB1922" s="68">
        <f>IF(Z1922=1,IF(U1922="In",L1922-W1922,L1922),0)</f>
        <v/>
      </c>
      <c r="AC1922" s="68">
        <f>IF(AND(Z1922=1,U1922="Out"),W1922,0)</f>
        <v/>
      </c>
      <c r="AD1922" s="68">
        <f>IF(AND(Z1922=1,U1922="In"),W1922,0)</f>
        <v/>
      </c>
    </row>
    <row r="1923">
      <c r="B1923" s="62" t="inlineStr">
        <is>
          <t>TX-1917</t>
        </is>
      </c>
      <c r="C1923" s="63" t="n"/>
      <c r="D1923" s="62" t="n"/>
      <c r="E1923" s="62" t="n"/>
      <c r="F1923" s="62" t="n"/>
      <c r="G1923" s="62" t="n"/>
      <c r="H1923" s="62" t="n"/>
      <c r="I1923" s="62" t="n"/>
      <c r="J1923" s="62" t="n"/>
      <c r="K1923" s="62" t="n"/>
      <c r="L1923" s="64" t="n"/>
      <c r="M1923" s="64" t="n"/>
      <c r="N1923" s="62" t="n"/>
      <c r="O1923" s="65">
        <f>IF(Z1923=1,L1923-W1923,"")</f>
        <v/>
      </c>
      <c r="P1923" s="66">
        <f>IF(V1923="","",IFERROR(INDEX(coa_Type,MATCH(V1923,coa_Name,0)),""))</f>
        <v/>
      </c>
      <c r="Q1923" s="66">
        <f>IF(Z1923=1,IF(U1923="In",K1923&amp;"",V1923),"")</f>
        <v/>
      </c>
      <c r="R1923" s="66">
        <f>IF(Z1923=1,IF(U1923="In",V1923,K1923&amp;""),"")</f>
        <v/>
      </c>
      <c r="S1923" s="66">
        <f>IF(X1923&lt;&gt;"","⛔ "&amp;X1923&amp;" — not posted",IF(Y1923&lt;&gt;"","⚠ "&amp;Y1923,IF(Z1923=1,"✓ OK","")))</f>
        <v/>
      </c>
      <c r="T1923" s="67">
        <f>IF(AND(C1923="",D1923="",E1923="",L1923="",K1923=""),1,0)</f>
        <v/>
      </c>
      <c r="U1923" s="67">
        <f>IFERROR(INDEX(tt_Dir,MATCH(D1923,tt_Type,0)),"")</f>
        <v/>
      </c>
      <c r="V1923" s="67">
        <f>IF(D1923="","",IFERROR(IF(INDEX(tt_Other,MATCH(D1923,tt_Type,0))="",E1923&amp;"",INDEX(tt_Other,MATCH(D1923,tt_Type,0))),""))</f>
        <v/>
      </c>
      <c r="W1923" s="68">
        <f>IF(OR(TaxOn&lt;&gt;"Yes",NOT(ISNUMBER(M1923))),0,IF(IFERROR(INDEX(tt_Tax,MATCH(D1923,tt_Type,0)),"No")="Yes",M1923,0))</f>
        <v/>
      </c>
      <c r="X1923" s="67">
        <f>IF(T1923=1,"",IF(C1923="","Missing transaction date",IF(NOT(ISNUMBER(C1923)),"Invalid date",IF(OR(C1923&lt;DATE(2000,1,1),C1923&gt;DATE(2099,12,31)),"Invalid date",IF(D1923="","Select a type",IF(U1923="","Unknown type: "&amp;D1923,IF(V1923="","Select an account (Category)",IF(ISNA(MATCH(V1923,coa_Name,0)),"Unknown account: "&amp;V1923,IF(K1923="","Select Paid From / Deposited To",IF(ISNA(MATCH(K1923,coa_Name,0)),"Unknown account: "&amp;K1923,IF(NOT(ISNUMBER(L1923)),"Enter an amount",IF(L1923=0,"Enter an amount",IF(ABS(W1923)&gt;ABS(L1923),"Tax is larger than the amount","")))))))))))))</f>
        <v/>
      </c>
      <c r="Y1923" s="67">
        <f>IF(OR(T1923=1,X1923&lt;&gt;""),"",IF(AND(B1923&lt;&gt;"",COUNTIF(tx_ID,B1923)&gt;1),"Duplicate transaction ID",IF(AND(L1923&lt;0,D1923&lt;&gt;"Adjustment"),"Negative amount — check this entry",IF(AND(D1923="Customer Payment",G1923=""),"Add the customer",IF(AND(D1923="Customer Payment",OR(J1923="",COUNTIF(ar_No,J1923&amp;"")=0)),"Invoice # in Reference not found on AR sheet",IF(AND(D1923="Bill Payment",H1923=""),"Add the vendor",IF(AND(D1923="Bill Payment",OR(J1923="",COUNTIFS(ap_No,J1923&amp;"",ap_Party,H1923&amp;"")=0)),"Bill # + vendor not found on AP sheet",IF(AND(ISNUMBER(M1923),N(M1923)&lt;&gt;0,W1923=0),"Tax ignored (tax tracking off, or not allowed for this type)",IF(V1923=K1923&amp;"","Same account on both sides",IF(AND(ISNUMBER(StartDate),C1923&lt;StartDate),"Date is before the accounting start date",IF(AND(D1923&lt;&gt;"Adjustment",IFERROR(INDEX(coa_Pay,MATCH(K1923&amp;"",coa_Name,0)),"")&lt;&gt;"Yes"),"Paid From / Deposited To is not a payment account","")))))))))))</f>
        <v/>
      </c>
      <c r="Z1923" s="67">
        <f>IF(AND(T1923=0,X1923=""),1,0)</f>
        <v/>
      </c>
      <c r="AA1923" s="68">
        <f>IF(Z1923=1,IF(U1923="In",L1923,L1923-W1923),0)</f>
        <v/>
      </c>
      <c r="AB1923" s="68">
        <f>IF(Z1923=1,IF(U1923="In",L1923-W1923,L1923),0)</f>
        <v/>
      </c>
      <c r="AC1923" s="68">
        <f>IF(AND(Z1923=1,U1923="Out"),W1923,0)</f>
        <v/>
      </c>
      <c r="AD1923" s="68">
        <f>IF(AND(Z1923=1,U1923="In"),W1923,0)</f>
        <v/>
      </c>
    </row>
    <row r="1924">
      <c r="B1924" s="62" t="inlineStr">
        <is>
          <t>TX-1918</t>
        </is>
      </c>
      <c r="C1924" s="63" t="n"/>
      <c r="D1924" s="62" t="n"/>
      <c r="E1924" s="62" t="n"/>
      <c r="F1924" s="62" t="n"/>
      <c r="G1924" s="62" t="n"/>
      <c r="H1924" s="62" t="n"/>
      <c r="I1924" s="62" t="n"/>
      <c r="J1924" s="62" t="n"/>
      <c r="K1924" s="62" t="n"/>
      <c r="L1924" s="64" t="n"/>
      <c r="M1924" s="64" t="n"/>
      <c r="N1924" s="62" t="n"/>
      <c r="O1924" s="65">
        <f>IF(Z1924=1,L1924-W1924,"")</f>
        <v/>
      </c>
      <c r="P1924" s="66">
        <f>IF(V1924="","",IFERROR(INDEX(coa_Type,MATCH(V1924,coa_Name,0)),""))</f>
        <v/>
      </c>
      <c r="Q1924" s="66">
        <f>IF(Z1924=1,IF(U1924="In",K1924&amp;"",V1924),"")</f>
        <v/>
      </c>
      <c r="R1924" s="66">
        <f>IF(Z1924=1,IF(U1924="In",V1924,K1924&amp;""),"")</f>
        <v/>
      </c>
      <c r="S1924" s="66">
        <f>IF(X1924&lt;&gt;"","⛔ "&amp;X1924&amp;" — not posted",IF(Y1924&lt;&gt;"","⚠ "&amp;Y1924,IF(Z1924=1,"✓ OK","")))</f>
        <v/>
      </c>
      <c r="T1924" s="67">
        <f>IF(AND(C1924="",D1924="",E1924="",L1924="",K1924=""),1,0)</f>
        <v/>
      </c>
      <c r="U1924" s="67">
        <f>IFERROR(INDEX(tt_Dir,MATCH(D1924,tt_Type,0)),"")</f>
        <v/>
      </c>
      <c r="V1924" s="67">
        <f>IF(D1924="","",IFERROR(IF(INDEX(tt_Other,MATCH(D1924,tt_Type,0))="",E1924&amp;"",INDEX(tt_Other,MATCH(D1924,tt_Type,0))),""))</f>
        <v/>
      </c>
      <c r="W1924" s="68">
        <f>IF(OR(TaxOn&lt;&gt;"Yes",NOT(ISNUMBER(M1924))),0,IF(IFERROR(INDEX(tt_Tax,MATCH(D1924,tt_Type,0)),"No")="Yes",M1924,0))</f>
        <v/>
      </c>
      <c r="X1924" s="67">
        <f>IF(T1924=1,"",IF(C1924="","Missing transaction date",IF(NOT(ISNUMBER(C1924)),"Invalid date",IF(OR(C1924&lt;DATE(2000,1,1),C1924&gt;DATE(2099,12,31)),"Invalid date",IF(D1924="","Select a type",IF(U1924="","Unknown type: "&amp;D1924,IF(V1924="","Select an account (Category)",IF(ISNA(MATCH(V1924,coa_Name,0)),"Unknown account: "&amp;V1924,IF(K1924="","Select Paid From / Deposited To",IF(ISNA(MATCH(K1924,coa_Name,0)),"Unknown account: "&amp;K1924,IF(NOT(ISNUMBER(L1924)),"Enter an amount",IF(L1924=0,"Enter an amount",IF(ABS(W1924)&gt;ABS(L1924),"Tax is larger than the amount","")))))))))))))</f>
        <v/>
      </c>
      <c r="Y1924" s="67">
        <f>IF(OR(T1924=1,X1924&lt;&gt;""),"",IF(AND(B1924&lt;&gt;"",COUNTIF(tx_ID,B1924)&gt;1),"Duplicate transaction ID",IF(AND(L1924&lt;0,D1924&lt;&gt;"Adjustment"),"Negative amount — check this entry",IF(AND(D1924="Customer Payment",G1924=""),"Add the customer",IF(AND(D1924="Customer Payment",OR(J1924="",COUNTIF(ar_No,J1924&amp;"")=0)),"Invoice # in Reference not found on AR sheet",IF(AND(D1924="Bill Payment",H1924=""),"Add the vendor",IF(AND(D1924="Bill Payment",OR(J1924="",COUNTIFS(ap_No,J1924&amp;"",ap_Party,H1924&amp;"")=0)),"Bill # + vendor not found on AP sheet",IF(AND(ISNUMBER(M1924),N(M1924)&lt;&gt;0,W1924=0),"Tax ignored (tax tracking off, or not allowed for this type)",IF(V1924=K1924&amp;"","Same account on both sides",IF(AND(ISNUMBER(StartDate),C1924&lt;StartDate),"Date is before the accounting start date",IF(AND(D1924&lt;&gt;"Adjustment",IFERROR(INDEX(coa_Pay,MATCH(K1924&amp;"",coa_Name,0)),"")&lt;&gt;"Yes"),"Paid From / Deposited To is not a payment account","")))))))))))</f>
        <v/>
      </c>
      <c r="Z1924" s="67">
        <f>IF(AND(T1924=0,X1924=""),1,0)</f>
        <v/>
      </c>
      <c r="AA1924" s="68">
        <f>IF(Z1924=1,IF(U1924="In",L1924,L1924-W1924),0)</f>
        <v/>
      </c>
      <c r="AB1924" s="68">
        <f>IF(Z1924=1,IF(U1924="In",L1924-W1924,L1924),0)</f>
        <v/>
      </c>
      <c r="AC1924" s="68">
        <f>IF(AND(Z1924=1,U1924="Out"),W1924,0)</f>
        <v/>
      </c>
      <c r="AD1924" s="68">
        <f>IF(AND(Z1924=1,U1924="In"),W1924,0)</f>
        <v/>
      </c>
    </row>
    <row r="1925">
      <c r="B1925" s="62" t="inlineStr">
        <is>
          <t>TX-1919</t>
        </is>
      </c>
      <c r="C1925" s="63" t="n"/>
      <c r="D1925" s="62" t="n"/>
      <c r="E1925" s="62" t="n"/>
      <c r="F1925" s="62" t="n"/>
      <c r="G1925" s="62" t="n"/>
      <c r="H1925" s="62" t="n"/>
      <c r="I1925" s="62" t="n"/>
      <c r="J1925" s="62" t="n"/>
      <c r="K1925" s="62" t="n"/>
      <c r="L1925" s="64" t="n"/>
      <c r="M1925" s="64" t="n"/>
      <c r="N1925" s="62" t="n"/>
      <c r="O1925" s="65">
        <f>IF(Z1925=1,L1925-W1925,"")</f>
        <v/>
      </c>
      <c r="P1925" s="66">
        <f>IF(V1925="","",IFERROR(INDEX(coa_Type,MATCH(V1925,coa_Name,0)),""))</f>
        <v/>
      </c>
      <c r="Q1925" s="66">
        <f>IF(Z1925=1,IF(U1925="In",K1925&amp;"",V1925),"")</f>
        <v/>
      </c>
      <c r="R1925" s="66">
        <f>IF(Z1925=1,IF(U1925="In",V1925,K1925&amp;""),"")</f>
        <v/>
      </c>
      <c r="S1925" s="66">
        <f>IF(X1925&lt;&gt;"","⛔ "&amp;X1925&amp;" — not posted",IF(Y1925&lt;&gt;"","⚠ "&amp;Y1925,IF(Z1925=1,"✓ OK","")))</f>
        <v/>
      </c>
      <c r="T1925" s="67">
        <f>IF(AND(C1925="",D1925="",E1925="",L1925="",K1925=""),1,0)</f>
        <v/>
      </c>
      <c r="U1925" s="67">
        <f>IFERROR(INDEX(tt_Dir,MATCH(D1925,tt_Type,0)),"")</f>
        <v/>
      </c>
      <c r="V1925" s="67">
        <f>IF(D1925="","",IFERROR(IF(INDEX(tt_Other,MATCH(D1925,tt_Type,0))="",E1925&amp;"",INDEX(tt_Other,MATCH(D1925,tt_Type,0))),""))</f>
        <v/>
      </c>
      <c r="W1925" s="68">
        <f>IF(OR(TaxOn&lt;&gt;"Yes",NOT(ISNUMBER(M1925))),0,IF(IFERROR(INDEX(tt_Tax,MATCH(D1925,tt_Type,0)),"No")="Yes",M1925,0))</f>
        <v/>
      </c>
      <c r="X1925" s="67">
        <f>IF(T1925=1,"",IF(C1925="","Missing transaction date",IF(NOT(ISNUMBER(C1925)),"Invalid date",IF(OR(C1925&lt;DATE(2000,1,1),C1925&gt;DATE(2099,12,31)),"Invalid date",IF(D1925="","Select a type",IF(U1925="","Unknown type: "&amp;D1925,IF(V1925="","Select an account (Category)",IF(ISNA(MATCH(V1925,coa_Name,0)),"Unknown account: "&amp;V1925,IF(K1925="","Select Paid From / Deposited To",IF(ISNA(MATCH(K1925,coa_Name,0)),"Unknown account: "&amp;K1925,IF(NOT(ISNUMBER(L1925)),"Enter an amount",IF(L1925=0,"Enter an amount",IF(ABS(W1925)&gt;ABS(L1925),"Tax is larger than the amount","")))))))))))))</f>
        <v/>
      </c>
      <c r="Y1925" s="67">
        <f>IF(OR(T1925=1,X1925&lt;&gt;""),"",IF(AND(B1925&lt;&gt;"",COUNTIF(tx_ID,B1925)&gt;1),"Duplicate transaction ID",IF(AND(L1925&lt;0,D1925&lt;&gt;"Adjustment"),"Negative amount — check this entry",IF(AND(D1925="Customer Payment",G1925=""),"Add the customer",IF(AND(D1925="Customer Payment",OR(J1925="",COUNTIF(ar_No,J1925&amp;"")=0)),"Invoice # in Reference not found on AR sheet",IF(AND(D1925="Bill Payment",H1925=""),"Add the vendor",IF(AND(D1925="Bill Payment",OR(J1925="",COUNTIFS(ap_No,J1925&amp;"",ap_Party,H1925&amp;"")=0)),"Bill # + vendor not found on AP sheet",IF(AND(ISNUMBER(M1925),N(M1925)&lt;&gt;0,W1925=0),"Tax ignored (tax tracking off, or not allowed for this type)",IF(V1925=K1925&amp;"","Same account on both sides",IF(AND(ISNUMBER(StartDate),C1925&lt;StartDate),"Date is before the accounting start date",IF(AND(D1925&lt;&gt;"Adjustment",IFERROR(INDEX(coa_Pay,MATCH(K1925&amp;"",coa_Name,0)),"")&lt;&gt;"Yes"),"Paid From / Deposited To is not a payment account","")))))))))))</f>
        <v/>
      </c>
      <c r="Z1925" s="67">
        <f>IF(AND(T1925=0,X1925=""),1,0)</f>
        <v/>
      </c>
      <c r="AA1925" s="68">
        <f>IF(Z1925=1,IF(U1925="In",L1925,L1925-W1925),0)</f>
        <v/>
      </c>
      <c r="AB1925" s="68">
        <f>IF(Z1925=1,IF(U1925="In",L1925-W1925,L1925),0)</f>
        <v/>
      </c>
      <c r="AC1925" s="68">
        <f>IF(AND(Z1925=1,U1925="Out"),W1925,0)</f>
        <v/>
      </c>
      <c r="AD1925" s="68">
        <f>IF(AND(Z1925=1,U1925="In"),W1925,0)</f>
        <v/>
      </c>
    </row>
    <row r="1926">
      <c r="B1926" s="62" t="inlineStr">
        <is>
          <t>TX-1920</t>
        </is>
      </c>
      <c r="C1926" s="63" t="n"/>
      <c r="D1926" s="62" t="n"/>
      <c r="E1926" s="62" t="n"/>
      <c r="F1926" s="62" t="n"/>
      <c r="G1926" s="62" t="n"/>
      <c r="H1926" s="62" t="n"/>
      <c r="I1926" s="62" t="n"/>
      <c r="J1926" s="62" t="n"/>
      <c r="K1926" s="62" t="n"/>
      <c r="L1926" s="64" t="n"/>
      <c r="M1926" s="64" t="n"/>
      <c r="N1926" s="62" t="n"/>
      <c r="O1926" s="65">
        <f>IF(Z1926=1,L1926-W1926,"")</f>
        <v/>
      </c>
      <c r="P1926" s="66">
        <f>IF(V1926="","",IFERROR(INDEX(coa_Type,MATCH(V1926,coa_Name,0)),""))</f>
        <v/>
      </c>
      <c r="Q1926" s="66">
        <f>IF(Z1926=1,IF(U1926="In",K1926&amp;"",V1926),"")</f>
        <v/>
      </c>
      <c r="R1926" s="66">
        <f>IF(Z1926=1,IF(U1926="In",V1926,K1926&amp;""),"")</f>
        <v/>
      </c>
      <c r="S1926" s="66">
        <f>IF(X1926&lt;&gt;"","⛔ "&amp;X1926&amp;" — not posted",IF(Y1926&lt;&gt;"","⚠ "&amp;Y1926,IF(Z1926=1,"✓ OK","")))</f>
        <v/>
      </c>
      <c r="T1926" s="67">
        <f>IF(AND(C1926="",D1926="",E1926="",L1926="",K1926=""),1,0)</f>
        <v/>
      </c>
      <c r="U1926" s="67">
        <f>IFERROR(INDEX(tt_Dir,MATCH(D1926,tt_Type,0)),"")</f>
        <v/>
      </c>
      <c r="V1926" s="67">
        <f>IF(D1926="","",IFERROR(IF(INDEX(tt_Other,MATCH(D1926,tt_Type,0))="",E1926&amp;"",INDEX(tt_Other,MATCH(D1926,tt_Type,0))),""))</f>
        <v/>
      </c>
      <c r="W1926" s="68">
        <f>IF(OR(TaxOn&lt;&gt;"Yes",NOT(ISNUMBER(M1926))),0,IF(IFERROR(INDEX(tt_Tax,MATCH(D1926,tt_Type,0)),"No")="Yes",M1926,0))</f>
        <v/>
      </c>
      <c r="X1926" s="67">
        <f>IF(T1926=1,"",IF(C1926="","Missing transaction date",IF(NOT(ISNUMBER(C1926)),"Invalid date",IF(OR(C1926&lt;DATE(2000,1,1),C1926&gt;DATE(2099,12,31)),"Invalid date",IF(D1926="","Select a type",IF(U1926="","Unknown type: "&amp;D1926,IF(V1926="","Select an account (Category)",IF(ISNA(MATCH(V1926,coa_Name,0)),"Unknown account: "&amp;V1926,IF(K1926="","Select Paid From / Deposited To",IF(ISNA(MATCH(K1926,coa_Name,0)),"Unknown account: "&amp;K1926,IF(NOT(ISNUMBER(L1926)),"Enter an amount",IF(L1926=0,"Enter an amount",IF(ABS(W1926)&gt;ABS(L1926),"Tax is larger than the amount","")))))))))))))</f>
        <v/>
      </c>
      <c r="Y1926" s="67">
        <f>IF(OR(T1926=1,X1926&lt;&gt;""),"",IF(AND(B1926&lt;&gt;"",COUNTIF(tx_ID,B1926)&gt;1),"Duplicate transaction ID",IF(AND(L1926&lt;0,D1926&lt;&gt;"Adjustment"),"Negative amount — check this entry",IF(AND(D1926="Customer Payment",G1926=""),"Add the customer",IF(AND(D1926="Customer Payment",OR(J1926="",COUNTIF(ar_No,J1926&amp;"")=0)),"Invoice # in Reference not found on AR sheet",IF(AND(D1926="Bill Payment",H1926=""),"Add the vendor",IF(AND(D1926="Bill Payment",OR(J1926="",COUNTIFS(ap_No,J1926&amp;"",ap_Party,H1926&amp;"")=0)),"Bill # + vendor not found on AP sheet",IF(AND(ISNUMBER(M1926),N(M1926)&lt;&gt;0,W1926=0),"Tax ignored (tax tracking off, or not allowed for this type)",IF(V1926=K1926&amp;"","Same account on both sides",IF(AND(ISNUMBER(StartDate),C1926&lt;StartDate),"Date is before the accounting start date",IF(AND(D1926&lt;&gt;"Adjustment",IFERROR(INDEX(coa_Pay,MATCH(K1926&amp;"",coa_Name,0)),"")&lt;&gt;"Yes"),"Paid From / Deposited To is not a payment account","")))))))))))</f>
        <v/>
      </c>
      <c r="Z1926" s="67">
        <f>IF(AND(T1926=0,X1926=""),1,0)</f>
        <v/>
      </c>
      <c r="AA1926" s="68">
        <f>IF(Z1926=1,IF(U1926="In",L1926,L1926-W1926),0)</f>
        <v/>
      </c>
      <c r="AB1926" s="68">
        <f>IF(Z1926=1,IF(U1926="In",L1926-W1926,L1926),0)</f>
        <v/>
      </c>
      <c r="AC1926" s="68">
        <f>IF(AND(Z1926=1,U1926="Out"),W1926,0)</f>
        <v/>
      </c>
      <c r="AD1926" s="68">
        <f>IF(AND(Z1926=1,U1926="In"),W1926,0)</f>
        <v/>
      </c>
    </row>
    <row r="1927">
      <c r="B1927" s="62" t="inlineStr">
        <is>
          <t>TX-1921</t>
        </is>
      </c>
      <c r="C1927" s="63" t="n"/>
      <c r="D1927" s="62" t="n"/>
      <c r="E1927" s="62" t="n"/>
      <c r="F1927" s="62" t="n"/>
      <c r="G1927" s="62" t="n"/>
      <c r="H1927" s="62" t="n"/>
      <c r="I1927" s="62" t="n"/>
      <c r="J1927" s="62" t="n"/>
      <c r="K1927" s="62" t="n"/>
      <c r="L1927" s="64" t="n"/>
      <c r="M1927" s="64" t="n"/>
      <c r="N1927" s="62" t="n"/>
      <c r="O1927" s="65">
        <f>IF(Z1927=1,L1927-W1927,"")</f>
        <v/>
      </c>
      <c r="P1927" s="66">
        <f>IF(V1927="","",IFERROR(INDEX(coa_Type,MATCH(V1927,coa_Name,0)),""))</f>
        <v/>
      </c>
      <c r="Q1927" s="66">
        <f>IF(Z1927=1,IF(U1927="In",K1927&amp;"",V1927),"")</f>
        <v/>
      </c>
      <c r="R1927" s="66">
        <f>IF(Z1927=1,IF(U1927="In",V1927,K1927&amp;""),"")</f>
        <v/>
      </c>
      <c r="S1927" s="66">
        <f>IF(X1927&lt;&gt;"","⛔ "&amp;X1927&amp;" — not posted",IF(Y1927&lt;&gt;"","⚠ "&amp;Y1927,IF(Z1927=1,"✓ OK","")))</f>
        <v/>
      </c>
      <c r="T1927" s="67">
        <f>IF(AND(C1927="",D1927="",E1927="",L1927="",K1927=""),1,0)</f>
        <v/>
      </c>
      <c r="U1927" s="67">
        <f>IFERROR(INDEX(tt_Dir,MATCH(D1927,tt_Type,0)),"")</f>
        <v/>
      </c>
      <c r="V1927" s="67">
        <f>IF(D1927="","",IFERROR(IF(INDEX(tt_Other,MATCH(D1927,tt_Type,0))="",E1927&amp;"",INDEX(tt_Other,MATCH(D1927,tt_Type,0))),""))</f>
        <v/>
      </c>
      <c r="W1927" s="68">
        <f>IF(OR(TaxOn&lt;&gt;"Yes",NOT(ISNUMBER(M1927))),0,IF(IFERROR(INDEX(tt_Tax,MATCH(D1927,tt_Type,0)),"No")="Yes",M1927,0))</f>
        <v/>
      </c>
      <c r="X1927" s="67">
        <f>IF(T1927=1,"",IF(C1927="","Missing transaction date",IF(NOT(ISNUMBER(C1927)),"Invalid date",IF(OR(C1927&lt;DATE(2000,1,1),C1927&gt;DATE(2099,12,31)),"Invalid date",IF(D1927="","Select a type",IF(U1927="","Unknown type: "&amp;D1927,IF(V1927="","Select an account (Category)",IF(ISNA(MATCH(V1927,coa_Name,0)),"Unknown account: "&amp;V1927,IF(K1927="","Select Paid From / Deposited To",IF(ISNA(MATCH(K1927,coa_Name,0)),"Unknown account: "&amp;K1927,IF(NOT(ISNUMBER(L1927)),"Enter an amount",IF(L1927=0,"Enter an amount",IF(ABS(W1927)&gt;ABS(L1927),"Tax is larger than the amount","")))))))))))))</f>
        <v/>
      </c>
      <c r="Y1927" s="67">
        <f>IF(OR(T1927=1,X1927&lt;&gt;""),"",IF(AND(B1927&lt;&gt;"",COUNTIF(tx_ID,B1927)&gt;1),"Duplicate transaction ID",IF(AND(L1927&lt;0,D1927&lt;&gt;"Adjustment"),"Negative amount — check this entry",IF(AND(D1927="Customer Payment",G1927=""),"Add the customer",IF(AND(D1927="Customer Payment",OR(J1927="",COUNTIF(ar_No,J1927&amp;"")=0)),"Invoice # in Reference not found on AR sheet",IF(AND(D1927="Bill Payment",H1927=""),"Add the vendor",IF(AND(D1927="Bill Payment",OR(J1927="",COUNTIFS(ap_No,J1927&amp;"",ap_Party,H1927&amp;"")=0)),"Bill # + vendor not found on AP sheet",IF(AND(ISNUMBER(M1927),N(M1927)&lt;&gt;0,W1927=0),"Tax ignored (tax tracking off, or not allowed for this type)",IF(V1927=K1927&amp;"","Same account on both sides",IF(AND(ISNUMBER(StartDate),C1927&lt;StartDate),"Date is before the accounting start date",IF(AND(D1927&lt;&gt;"Adjustment",IFERROR(INDEX(coa_Pay,MATCH(K1927&amp;"",coa_Name,0)),"")&lt;&gt;"Yes"),"Paid From / Deposited To is not a payment account","")))))))))))</f>
        <v/>
      </c>
      <c r="Z1927" s="67">
        <f>IF(AND(T1927=0,X1927=""),1,0)</f>
        <v/>
      </c>
      <c r="AA1927" s="68">
        <f>IF(Z1927=1,IF(U1927="In",L1927,L1927-W1927),0)</f>
        <v/>
      </c>
      <c r="AB1927" s="68">
        <f>IF(Z1927=1,IF(U1927="In",L1927-W1927,L1927),0)</f>
        <v/>
      </c>
      <c r="AC1927" s="68">
        <f>IF(AND(Z1927=1,U1927="Out"),W1927,0)</f>
        <v/>
      </c>
      <c r="AD1927" s="68">
        <f>IF(AND(Z1927=1,U1927="In"),W1927,0)</f>
        <v/>
      </c>
    </row>
    <row r="1928">
      <c r="B1928" s="62" t="inlineStr">
        <is>
          <t>TX-1922</t>
        </is>
      </c>
      <c r="C1928" s="63" t="n"/>
      <c r="D1928" s="62" t="n"/>
      <c r="E1928" s="62" t="n"/>
      <c r="F1928" s="62" t="n"/>
      <c r="G1928" s="62" t="n"/>
      <c r="H1928" s="62" t="n"/>
      <c r="I1928" s="62" t="n"/>
      <c r="J1928" s="62" t="n"/>
      <c r="K1928" s="62" t="n"/>
      <c r="L1928" s="64" t="n"/>
      <c r="M1928" s="64" t="n"/>
      <c r="N1928" s="62" t="n"/>
      <c r="O1928" s="65">
        <f>IF(Z1928=1,L1928-W1928,"")</f>
        <v/>
      </c>
      <c r="P1928" s="66">
        <f>IF(V1928="","",IFERROR(INDEX(coa_Type,MATCH(V1928,coa_Name,0)),""))</f>
        <v/>
      </c>
      <c r="Q1928" s="66">
        <f>IF(Z1928=1,IF(U1928="In",K1928&amp;"",V1928),"")</f>
        <v/>
      </c>
      <c r="R1928" s="66">
        <f>IF(Z1928=1,IF(U1928="In",V1928,K1928&amp;""),"")</f>
        <v/>
      </c>
      <c r="S1928" s="66">
        <f>IF(X1928&lt;&gt;"","⛔ "&amp;X1928&amp;" — not posted",IF(Y1928&lt;&gt;"","⚠ "&amp;Y1928,IF(Z1928=1,"✓ OK","")))</f>
        <v/>
      </c>
      <c r="T1928" s="67">
        <f>IF(AND(C1928="",D1928="",E1928="",L1928="",K1928=""),1,0)</f>
        <v/>
      </c>
      <c r="U1928" s="67">
        <f>IFERROR(INDEX(tt_Dir,MATCH(D1928,tt_Type,0)),"")</f>
        <v/>
      </c>
      <c r="V1928" s="67">
        <f>IF(D1928="","",IFERROR(IF(INDEX(tt_Other,MATCH(D1928,tt_Type,0))="",E1928&amp;"",INDEX(tt_Other,MATCH(D1928,tt_Type,0))),""))</f>
        <v/>
      </c>
      <c r="W1928" s="68">
        <f>IF(OR(TaxOn&lt;&gt;"Yes",NOT(ISNUMBER(M1928))),0,IF(IFERROR(INDEX(tt_Tax,MATCH(D1928,tt_Type,0)),"No")="Yes",M1928,0))</f>
        <v/>
      </c>
      <c r="X1928" s="67">
        <f>IF(T1928=1,"",IF(C1928="","Missing transaction date",IF(NOT(ISNUMBER(C1928)),"Invalid date",IF(OR(C1928&lt;DATE(2000,1,1),C1928&gt;DATE(2099,12,31)),"Invalid date",IF(D1928="","Select a type",IF(U1928="","Unknown type: "&amp;D1928,IF(V1928="","Select an account (Category)",IF(ISNA(MATCH(V1928,coa_Name,0)),"Unknown account: "&amp;V1928,IF(K1928="","Select Paid From / Deposited To",IF(ISNA(MATCH(K1928,coa_Name,0)),"Unknown account: "&amp;K1928,IF(NOT(ISNUMBER(L1928)),"Enter an amount",IF(L1928=0,"Enter an amount",IF(ABS(W1928)&gt;ABS(L1928),"Tax is larger than the amount","")))))))))))))</f>
        <v/>
      </c>
      <c r="Y1928" s="67">
        <f>IF(OR(T1928=1,X1928&lt;&gt;""),"",IF(AND(B1928&lt;&gt;"",COUNTIF(tx_ID,B1928)&gt;1),"Duplicate transaction ID",IF(AND(L1928&lt;0,D1928&lt;&gt;"Adjustment"),"Negative amount — check this entry",IF(AND(D1928="Customer Payment",G1928=""),"Add the customer",IF(AND(D1928="Customer Payment",OR(J1928="",COUNTIF(ar_No,J1928&amp;"")=0)),"Invoice # in Reference not found on AR sheet",IF(AND(D1928="Bill Payment",H1928=""),"Add the vendor",IF(AND(D1928="Bill Payment",OR(J1928="",COUNTIFS(ap_No,J1928&amp;"",ap_Party,H1928&amp;"")=0)),"Bill # + vendor not found on AP sheet",IF(AND(ISNUMBER(M1928),N(M1928)&lt;&gt;0,W1928=0),"Tax ignored (tax tracking off, or not allowed for this type)",IF(V1928=K1928&amp;"","Same account on both sides",IF(AND(ISNUMBER(StartDate),C1928&lt;StartDate),"Date is before the accounting start date",IF(AND(D1928&lt;&gt;"Adjustment",IFERROR(INDEX(coa_Pay,MATCH(K1928&amp;"",coa_Name,0)),"")&lt;&gt;"Yes"),"Paid From / Deposited To is not a payment account","")))))))))))</f>
        <v/>
      </c>
      <c r="Z1928" s="67">
        <f>IF(AND(T1928=0,X1928=""),1,0)</f>
        <v/>
      </c>
      <c r="AA1928" s="68">
        <f>IF(Z1928=1,IF(U1928="In",L1928,L1928-W1928),0)</f>
        <v/>
      </c>
      <c r="AB1928" s="68">
        <f>IF(Z1928=1,IF(U1928="In",L1928-W1928,L1928),0)</f>
        <v/>
      </c>
      <c r="AC1928" s="68">
        <f>IF(AND(Z1928=1,U1928="Out"),W1928,0)</f>
        <v/>
      </c>
      <c r="AD1928" s="68">
        <f>IF(AND(Z1928=1,U1928="In"),W1928,0)</f>
        <v/>
      </c>
    </row>
    <row r="1929">
      <c r="B1929" s="62" t="inlineStr">
        <is>
          <t>TX-1923</t>
        </is>
      </c>
      <c r="C1929" s="63" t="n"/>
      <c r="D1929" s="62" t="n"/>
      <c r="E1929" s="62" t="n"/>
      <c r="F1929" s="62" t="n"/>
      <c r="G1929" s="62" t="n"/>
      <c r="H1929" s="62" t="n"/>
      <c r="I1929" s="62" t="n"/>
      <c r="J1929" s="62" t="n"/>
      <c r="K1929" s="62" t="n"/>
      <c r="L1929" s="64" t="n"/>
      <c r="M1929" s="64" t="n"/>
      <c r="N1929" s="62" t="n"/>
      <c r="O1929" s="65">
        <f>IF(Z1929=1,L1929-W1929,"")</f>
        <v/>
      </c>
      <c r="P1929" s="66">
        <f>IF(V1929="","",IFERROR(INDEX(coa_Type,MATCH(V1929,coa_Name,0)),""))</f>
        <v/>
      </c>
      <c r="Q1929" s="66">
        <f>IF(Z1929=1,IF(U1929="In",K1929&amp;"",V1929),"")</f>
        <v/>
      </c>
      <c r="R1929" s="66">
        <f>IF(Z1929=1,IF(U1929="In",V1929,K1929&amp;""),"")</f>
        <v/>
      </c>
      <c r="S1929" s="66">
        <f>IF(X1929&lt;&gt;"","⛔ "&amp;X1929&amp;" — not posted",IF(Y1929&lt;&gt;"","⚠ "&amp;Y1929,IF(Z1929=1,"✓ OK","")))</f>
        <v/>
      </c>
      <c r="T1929" s="67">
        <f>IF(AND(C1929="",D1929="",E1929="",L1929="",K1929=""),1,0)</f>
        <v/>
      </c>
      <c r="U1929" s="67">
        <f>IFERROR(INDEX(tt_Dir,MATCH(D1929,tt_Type,0)),"")</f>
        <v/>
      </c>
      <c r="V1929" s="67">
        <f>IF(D1929="","",IFERROR(IF(INDEX(tt_Other,MATCH(D1929,tt_Type,0))="",E1929&amp;"",INDEX(tt_Other,MATCH(D1929,tt_Type,0))),""))</f>
        <v/>
      </c>
      <c r="W1929" s="68">
        <f>IF(OR(TaxOn&lt;&gt;"Yes",NOT(ISNUMBER(M1929))),0,IF(IFERROR(INDEX(tt_Tax,MATCH(D1929,tt_Type,0)),"No")="Yes",M1929,0))</f>
        <v/>
      </c>
      <c r="X1929" s="67">
        <f>IF(T1929=1,"",IF(C1929="","Missing transaction date",IF(NOT(ISNUMBER(C1929)),"Invalid date",IF(OR(C1929&lt;DATE(2000,1,1),C1929&gt;DATE(2099,12,31)),"Invalid date",IF(D1929="","Select a type",IF(U1929="","Unknown type: "&amp;D1929,IF(V1929="","Select an account (Category)",IF(ISNA(MATCH(V1929,coa_Name,0)),"Unknown account: "&amp;V1929,IF(K1929="","Select Paid From / Deposited To",IF(ISNA(MATCH(K1929,coa_Name,0)),"Unknown account: "&amp;K1929,IF(NOT(ISNUMBER(L1929)),"Enter an amount",IF(L1929=0,"Enter an amount",IF(ABS(W1929)&gt;ABS(L1929),"Tax is larger than the amount","")))))))))))))</f>
        <v/>
      </c>
      <c r="Y1929" s="67">
        <f>IF(OR(T1929=1,X1929&lt;&gt;""),"",IF(AND(B1929&lt;&gt;"",COUNTIF(tx_ID,B1929)&gt;1),"Duplicate transaction ID",IF(AND(L1929&lt;0,D1929&lt;&gt;"Adjustment"),"Negative amount — check this entry",IF(AND(D1929="Customer Payment",G1929=""),"Add the customer",IF(AND(D1929="Customer Payment",OR(J1929="",COUNTIF(ar_No,J1929&amp;"")=0)),"Invoice # in Reference not found on AR sheet",IF(AND(D1929="Bill Payment",H1929=""),"Add the vendor",IF(AND(D1929="Bill Payment",OR(J1929="",COUNTIFS(ap_No,J1929&amp;"",ap_Party,H1929&amp;"")=0)),"Bill # + vendor not found on AP sheet",IF(AND(ISNUMBER(M1929),N(M1929)&lt;&gt;0,W1929=0),"Tax ignored (tax tracking off, or not allowed for this type)",IF(V1929=K1929&amp;"","Same account on both sides",IF(AND(ISNUMBER(StartDate),C1929&lt;StartDate),"Date is before the accounting start date",IF(AND(D1929&lt;&gt;"Adjustment",IFERROR(INDEX(coa_Pay,MATCH(K1929&amp;"",coa_Name,0)),"")&lt;&gt;"Yes"),"Paid From / Deposited To is not a payment account","")))))))))))</f>
        <v/>
      </c>
      <c r="Z1929" s="67">
        <f>IF(AND(T1929=0,X1929=""),1,0)</f>
        <v/>
      </c>
      <c r="AA1929" s="68">
        <f>IF(Z1929=1,IF(U1929="In",L1929,L1929-W1929),0)</f>
        <v/>
      </c>
      <c r="AB1929" s="68">
        <f>IF(Z1929=1,IF(U1929="In",L1929-W1929,L1929),0)</f>
        <v/>
      </c>
      <c r="AC1929" s="68">
        <f>IF(AND(Z1929=1,U1929="Out"),W1929,0)</f>
        <v/>
      </c>
      <c r="AD1929" s="68">
        <f>IF(AND(Z1929=1,U1929="In"),W1929,0)</f>
        <v/>
      </c>
    </row>
    <row r="1930">
      <c r="B1930" s="62" t="inlineStr">
        <is>
          <t>TX-1924</t>
        </is>
      </c>
      <c r="C1930" s="63" t="n"/>
      <c r="D1930" s="62" t="n"/>
      <c r="E1930" s="62" t="n"/>
      <c r="F1930" s="62" t="n"/>
      <c r="G1930" s="62" t="n"/>
      <c r="H1930" s="62" t="n"/>
      <c r="I1930" s="62" t="n"/>
      <c r="J1930" s="62" t="n"/>
      <c r="K1930" s="62" t="n"/>
      <c r="L1930" s="64" t="n"/>
      <c r="M1930" s="64" t="n"/>
      <c r="N1930" s="62" t="n"/>
      <c r="O1930" s="65">
        <f>IF(Z1930=1,L1930-W1930,"")</f>
        <v/>
      </c>
      <c r="P1930" s="66">
        <f>IF(V1930="","",IFERROR(INDEX(coa_Type,MATCH(V1930,coa_Name,0)),""))</f>
        <v/>
      </c>
      <c r="Q1930" s="66">
        <f>IF(Z1930=1,IF(U1930="In",K1930&amp;"",V1930),"")</f>
        <v/>
      </c>
      <c r="R1930" s="66">
        <f>IF(Z1930=1,IF(U1930="In",V1930,K1930&amp;""),"")</f>
        <v/>
      </c>
      <c r="S1930" s="66">
        <f>IF(X1930&lt;&gt;"","⛔ "&amp;X1930&amp;" — not posted",IF(Y1930&lt;&gt;"","⚠ "&amp;Y1930,IF(Z1930=1,"✓ OK","")))</f>
        <v/>
      </c>
      <c r="T1930" s="67">
        <f>IF(AND(C1930="",D1930="",E1930="",L1930="",K1930=""),1,0)</f>
        <v/>
      </c>
      <c r="U1930" s="67">
        <f>IFERROR(INDEX(tt_Dir,MATCH(D1930,tt_Type,0)),"")</f>
        <v/>
      </c>
      <c r="V1930" s="67">
        <f>IF(D1930="","",IFERROR(IF(INDEX(tt_Other,MATCH(D1930,tt_Type,0))="",E1930&amp;"",INDEX(tt_Other,MATCH(D1930,tt_Type,0))),""))</f>
        <v/>
      </c>
      <c r="W1930" s="68">
        <f>IF(OR(TaxOn&lt;&gt;"Yes",NOT(ISNUMBER(M1930))),0,IF(IFERROR(INDEX(tt_Tax,MATCH(D1930,tt_Type,0)),"No")="Yes",M1930,0))</f>
        <v/>
      </c>
      <c r="X1930" s="67">
        <f>IF(T1930=1,"",IF(C1930="","Missing transaction date",IF(NOT(ISNUMBER(C1930)),"Invalid date",IF(OR(C1930&lt;DATE(2000,1,1),C1930&gt;DATE(2099,12,31)),"Invalid date",IF(D1930="","Select a type",IF(U1930="","Unknown type: "&amp;D1930,IF(V1930="","Select an account (Category)",IF(ISNA(MATCH(V1930,coa_Name,0)),"Unknown account: "&amp;V1930,IF(K1930="","Select Paid From / Deposited To",IF(ISNA(MATCH(K1930,coa_Name,0)),"Unknown account: "&amp;K1930,IF(NOT(ISNUMBER(L1930)),"Enter an amount",IF(L1930=0,"Enter an amount",IF(ABS(W1930)&gt;ABS(L1930),"Tax is larger than the amount","")))))))))))))</f>
        <v/>
      </c>
      <c r="Y1930" s="67">
        <f>IF(OR(T1930=1,X1930&lt;&gt;""),"",IF(AND(B1930&lt;&gt;"",COUNTIF(tx_ID,B1930)&gt;1),"Duplicate transaction ID",IF(AND(L1930&lt;0,D1930&lt;&gt;"Adjustment"),"Negative amount — check this entry",IF(AND(D1930="Customer Payment",G1930=""),"Add the customer",IF(AND(D1930="Customer Payment",OR(J1930="",COUNTIF(ar_No,J1930&amp;"")=0)),"Invoice # in Reference not found on AR sheet",IF(AND(D1930="Bill Payment",H1930=""),"Add the vendor",IF(AND(D1930="Bill Payment",OR(J1930="",COUNTIFS(ap_No,J1930&amp;"",ap_Party,H1930&amp;"")=0)),"Bill # + vendor not found on AP sheet",IF(AND(ISNUMBER(M1930),N(M1930)&lt;&gt;0,W1930=0),"Tax ignored (tax tracking off, or not allowed for this type)",IF(V1930=K1930&amp;"","Same account on both sides",IF(AND(ISNUMBER(StartDate),C1930&lt;StartDate),"Date is before the accounting start date",IF(AND(D1930&lt;&gt;"Adjustment",IFERROR(INDEX(coa_Pay,MATCH(K1930&amp;"",coa_Name,0)),"")&lt;&gt;"Yes"),"Paid From / Deposited To is not a payment account","")))))))))))</f>
        <v/>
      </c>
      <c r="Z1930" s="67">
        <f>IF(AND(T1930=0,X1930=""),1,0)</f>
        <v/>
      </c>
      <c r="AA1930" s="68">
        <f>IF(Z1930=1,IF(U1930="In",L1930,L1930-W1930),0)</f>
        <v/>
      </c>
      <c r="AB1930" s="68">
        <f>IF(Z1930=1,IF(U1930="In",L1930-W1930,L1930),0)</f>
        <v/>
      </c>
      <c r="AC1930" s="68">
        <f>IF(AND(Z1930=1,U1930="Out"),W1930,0)</f>
        <v/>
      </c>
      <c r="AD1930" s="68">
        <f>IF(AND(Z1930=1,U1930="In"),W1930,0)</f>
        <v/>
      </c>
    </row>
    <row r="1931">
      <c r="B1931" s="62" t="inlineStr">
        <is>
          <t>TX-1925</t>
        </is>
      </c>
      <c r="C1931" s="63" t="n"/>
      <c r="D1931" s="62" t="n"/>
      <c r="E1931" s="62" t="n"/>
      <c r="F1931" s="62" t="n"/>
      <c r="G1931" s="62" t="n"/>
      <c r="H1931" s="62" t="n"/>
      <c r="I1931" s="62" t="n"/>
      <c r="J1931" s="62" t="n"/>
      <c r="K1931" s="62" t="n"/>
      <c r="L1931" s="64" t="n"/>
      <c r="M1931" s="64" t="n"/>
      <c r="N1931" s="62" t="n"/>
      <c r="O1931" s="65">
        <f>IF(Z1931=1,L1931-W1931,"")</f>
        <v/>
      </c>
      <c r="P1931" s="66">
        <f>IF(V1931="","",IFERROR(INDEX(coa_Type,MATCH(V1931,coa_Name,0)),""))</f>
        <v/>
      </c>
      <c r="Q1931" s="66">
        <f>IF(Z1931=1,IF(U1931="In",K1931&amp;"",V1931),"")</f>
        <v/>
      </c>
      <c r="R1931" s="66">
        <f>IF(Z1931=1,IF(U1931="In",V1931,K1931&amp;""),"")</f>
        <v/>
      </c>
      <c r="S1931" s="66">
        <f>IF(X1931&lt;&gt;"","⛔ "&amp;X1931&amp;" — not posted",IF(Y1931&lt;&gt;"","⚠ "&amp;Y1931,IF(Z1931=1,"✓ OK","")))</f>
        <v/>
      </c>
      <c r="T1931" s="67">
        <f>IF(AND(C1931="",D1931="",E1931="",L1931="",K1931=""),1,0)</f>
        <v/>
      </c>
      <c r="U1931" s="67">
        <f>IFERROR(INDEX(tt_Dir,MATCH(D1931,tt_Type,0)),"")</f>
        <v/>
      </c>
      <c r="V1931" s="67">
        <f>IF(D1931="","",IFERROR(IF(INDEX(tt_Other,MATCH(D1931,tt_Type,0))="",E1931&amp;"",INDEX(tt_Other,MATCH(D1931,tt_Type,0))),""))</f>
        <v/>
      </c>
      <c r="W1931" s="68">
        <f>IF(OR(TaxOn&lt;&gt;"Yes",NOT(ISNUMBER(M1931))),0,IF(IFERROR(INDEX(tt_Tax,MATCH(D1931,tt_Type,0)),"No")="Yes",M1931,0))</f>
        <v/>
      </c>
      <c r="X1931" s="67">
        <f>IF(T1931=1,"",IF(C1931="","Missing transaction date",IF(NOT(ISNUMBER(C1931)),"Invalid date",IF(OR(C1931&lt;DATE(2000,1,1),C1931&gt;DATE(2099,12,31)),"Invalid date",IF(D1931="","Select a type",IF(U1931="","Unknown type: "&amp;D1931,IF(V1931="","Select an account (Category)",IF(ISNA(MATCH(V1931,coa_Name,0)),"Unknown account: "&amp;V1931,IF(K1931="","Select Paid From / Deposited To",IF(ISNA(MATCH(K1931,coa_Name,0)),"Unknown account: "&amp;K1931,IF(NOT(ISNUMBER(L1931)),"Enter an amount",IF(L1931=0,"Enter an amount",IF(ABS(W1931)&gt;ABS(L1931),"Tax is larger than the amount","")))))))))))))</f>
        <v/>
      </c>
      <c r="Y1931" s="67">
        <f>IF(OR(T1931=1,X1931&lt;&gt;""),"",IF(AND(B1931&lt;&gt;"",COUNTIF(tx_ID,B1931)&gt;1),"Duplicate transaction ID",IF(AND(L1931&lt;0,D1931&lt;&gt;"Adjustment"),"Negative amount — check this entry",IF(AND(D1931="Customer Payment",G1931=""),"Add the customer",IF(AND(D1931="Customer Payment",OR(J1931="",COUNTIF(ar_No,J1931&amp;"")=0)),"Invoice # in Reference not found on AR sheet",IF(AND(D1931="Bill Payment",H1931=""),"Add the vendor",IF(AND(D1931="Bill Payment",OR(J1931="",COUNTIFS(ap_No,J1931&amp;"",ap_Party,H1931&amp;"")=0)),"Bill # + vendor not found on AP sheet",IF(AND(ISNUMBER(M1931),N(M1931)&lt;&gt;0,W1931=0),"Tax ignored (tax tracking off, or not allowed for this type)",IF(V1931=K1931&amp;"","Same account on both sides",IF(AND(ISNUMBER(StartDate),C1931&lt;StartDate),"Date is before the accounting start date",IF(AND(D1931&lt;&gt;"Adjustment",IFERROR(INDEX(coa_Pay,MATCH(K1931&amp;"",coa_Name,0)),"")&lt;&gt;"Yes"),"Paid From / Deposited To is not a payment account","")))))))))))</f>
        <v/>
      </c>
      <c r="Z1931" s="67">
        <f>IF(AND(T1931=0,X1931=""),1,0)</f>
        <v/>
      </c>
      <c r="AA1931" s="68">
        <f>IF(Z1931=1,IF(U1931="In",L1931,L1931-W1931),0)</f>
        <v/>
      </c>
      <c r="AB1931" s="68">
        <f>IF(Z1931=1,IF(U1931="In",L1931-W1931,L1931),0)</f>
        <v/>
      </c>
      <c r="AC1931" s="68">
        <f>IF(AND(Z1931=1,U1931="Out"),W1931,0)</f>
        <v/>
      </c>
      <c r="AD1931" s="68">
        <f>IF(AND(Z1931=1,U1931="In"),W1931,0)</f>
        <v/>
      </c>
    </row>
    <row r="1932">
      <c r="B1932" s="62" t="inlineStr">
        <is>
          <t>TX-1926</t>
        </is>
      </c>
      <c r="C1932" s="63" t="n"/>
      <c r="D1932" s="62" t="n"/>
      <c r="E1932" s="62" t="n"/>
      <c r="F1932" s="62" t="n"/>
      <c r="G1932" s="62" t="n"/>
      <c r="H1932" s="62" t="n"/>
      <c r="I1932" s="62" t="n"/>
      <c r="J1932" s="62" t="n"/>
      <c r="K1932" s="62" t="n"/>
      <c r="L1932" s="64" t="n"/>
      <c r="M1932" s="64" t="n"/>
      <c r="N1932" s="62" t="n"/>
      <c r="O1932" s="65">
        <f>IF(Z1932=1,L1932-W1932,"")</f>
        <v/>
      </c>
      <c r="P1932" s="66">
        <f>IF(V1932="","",IFERROR(INDEX(coa_Type,MATCH(V1932,coa_Name,0)),""))</f>
        <v/>
      </c>
      <c r="Q1932" s="66">
        <f>IF(Z1932=1,IF(U1932="In",K1932&amp;"",V1932),"")</f>
        <v/>
      </c>
      <c r="R1932" s="66">
        <f>IF(Z1932=1,IF(U1932="In",V1932,K1932&amp;""),"")</f>
        <v/>
      </c>
      <c r="S1932" s="66">
        <f>IF(X1932&lt;&gt;"","⛔ "&amp;X1932&amp;" — not posted",IF(Y1932&lt;&gt;"","⚠ "&amp;Y1932,IF(Z1932=1,"✓ OK","")))</f>
        <v/>
      </c>
      <c r="T1932" s="67">
        <f>IF(AND(C1932="",D1932="",E1932="",L1932="",K1932=""),1,0)</f>
        <v/>
      </c>
      <c r="U1932" s="67">
        <f>IFERROR(INDEX(tt_Dir,MATCH(D1932,tt_Type,0)),"")</f>
        <v/>
      </c>
      <c r="V1932" s="67">
        <f>IF(D1932="","",IFERROR(IF(INDEX(tt_Other,MATCH(D1932,tt_Type,0))="",E1932&amp;"",INDEX(tt_Other,MATCH(D1932,tt_Type,0))),""))</f>
        <v/>
      </c>
      <c r="W1932" s="68">
        <f>IF(OR(TaxOn&lt;&gt;"Yes",NOT(ISNUMBER(M1932))),0,IF(IFERROR(INDEX(tt_Tax,MATCH(D1932,tt_Type,0)),"No")="Yes",M1932,0))</f>
        <v/>
      </c>
      <c r="X1932" s="67">
        <f>IF(T1932=1,"",IF(C1932="","Missing transaction date",IF(NOT(ISNUMBER(C1932)),"Invalid date",IF(OR(C1932&lt;DATE(2000,1,1),C1932&gt;DATE(2099,12,31)),"Invalid date",IF(D1932="","Select a type",IF(U1932="","Unknown type: "&amp;D1932,IF(V1932="","Select an account (Category)",IF(ISNA(MATCH(V1932,coa_Name,0)),"Unknown account: "&amp;V1932,IF(K1932="","Select Paid From / Deposited To",IF(ISNA(MATCH(K1932,coa_Name,0)),"Unknown account: "&amp;K1932,IF(NOT(ISNUMBER(L1932)),"Enter an amount",IF(L1932=0,"Enter an amount",IF(ABS(W1932)&gt;ABS(L1932),"Tax is larger than the amount","")))))))))))))</f>
        <v/>
      </c>
      <c r="Y1932" s="67">
        <f>IF(OR(T1932=1,X1932&lt;&gt;""),"",IF(AND(B1932&lt;&gt;"",COUNTIF(tx_ID,B1932)&gt;1),"Duplicate transaction ID",IF(AND(L1932&lt;0,D1932&lt;&gt;"Adjustment"),"Negative amount — check this entry",IF(AND(D1932="Customer Payment",G1932=""),"Add the customer",IF(AND(D1932="Customer Payment",OR(J1932="",COUNTIF(ar_No,J1932&amp;"")=0)),"Invoice # in Reference not found on AR sheet",IF(AND(D1932="Bill Payment",H1932=""),"Add the vendor",IF(AND(D1932="Bill Payment",OR(J1932="",COUNTIFS(ap_No,J1932&amp;"",ap_Party,H1932&amp;"")=0)),"Bill # + vendor not found on AP sheet",IF(AND(ISNUMBER(M1932),N(M1932)&lt;&gt;0,W1932=0),"Tax ignored (tax tracking off, or not allowed for this type)",IF(V1932=K1932&amp;"","Same account on both sides",IF(AND(ISNUMBER(StartDate),C1932&lt;StartDate),"Date is before the accounting start date",IF(AND(D1932&lt;&gt;"Adjustment",IFERROR(INDEX(coa_Pay,MATCH(K1932&amp;"",coa_Name,0)),"")&lt;&gt;"Yes"),"Paid From / Deposited To is not a payment account","")))))))))))</f>
        <v/>
      </c>
      <c r="Z1932" s="67">
        <f>IF(AND(T1932=0,X1932=""),1,0)</f>
        <v/>
      </c>
      <c r="AA1932" s="68">
        <f>IF(Z1932=1,IF(U1932="In",L1932,L1932-W1932),0)</f>
        <v/>
      </c>
      <c r="AB1932" s="68">
        <f>IF(Z1932=1,IF(U1932="In",L1932-W1932,L1932),0)</f>
        <v/>
      </c>
      <c r="AC1932" s="68">
        <f>IF(AND(Z1932=1,U1932="Out"),W1932,0)</f>
        <v/>
      </c>
      <c r="AD1932" s="68">
        <f>IF(AND(Z1932=1,U1932="In"),W1932,0)</f>
        <v/>
      </c>
    </row>
    <row r="1933">
      <c r="B1933" s="62" t="inlineStr">
        <is>
          <t>TX-1927</t>
        </is>
      </c>
      <c r="C1933" s="63" t="n"/>
      <c r="D1933" s="62" t="n"/>
      <c r="E1933" s="62" t="n"/>
      <c r="F1933" s="62" t="n"/>
      <c r="G1933" s="62" t="n"/>
      <c r="H1933" s="62" t="n"/>
      <c r="I1933" s="62" t="n"/>
      <c r="J1933" s="62" t="n"/>
      <c r="K1933" s="62" t="n"/>
      <c r="L1933" s="64" t="n"/>
      <c r="M1933" s="64" t="n"/>
      <c r="N1933" s="62" t="n"/>
      <c r="O1933" s="65">
        <f>IF(Z1933=1,L1933-W1933,"")</f>
        <v/>
      </c>
      <c r="P1933" s="66">
        <f>IF(V1933="","",IFERROR(INDEX(coa_Type,MATCH(V1933,coa_Name,0)),""))</f>
        <v/>
      </c>
      <c r="Q1933" s="66">
        <f>IF(Z1933=1,IF(U1933="In",K1933&amp;"",V1933),"")</f>
        <v/>
      </c>
      <c r="R1933" s="66">
        <f>IF(Z1933=1,IF(U1933="In",V1933,K1933&amp;""),"")</f>
        <v/>
      </c>
      <c r="S1933" s="66">
        <f>IF(X1933&lt;&gt;"","⛔ "&amp;X1933&amp;" — not posted",IF(Y1933&lt;&gt;"","⚠ "&amp;Y1933,IF(Z1933=1,"✓ OK","")))</f>
        <v/>
      </c>
      <c r="T1933" s="67">
        <f>IF(AND(C1933="",D1933="",E1933="",L1933="",K1933=""),1,0)</f>
        <v/>
      </c>
      <c r="U1933" s="67">
        <f>IFERROR(INDEX(tt_Dir,MATCH(D1933,tt_Type,0)),"")</f>
        <v/>
      </c>
      <c r="V1933" s="67">
        <f>IF(D1933="","",IFERROR(IF(INDEX(tt_Other,MATCH(D1933,tt_Type,0))="",E1933&amp;"",INDEX(tt_Other,MATCH(D1933,tt_Type,0))),""))</f>
        <v/>
      </c>
      <c r="W1933" s="68">
        <f>IF(OR(TaxOn&lt;&gt;"Yes",NOT(ISNUMBER(M1933))),0,IF(IFERROR(INDEX(tt_Tax,MATCH(D1933,tt_Type,0)),"No")="Yes",M1933,0))</f>
        <v/>
      </c>
      <c r="X1933" s="67">
        <f>IF(T1933=1,"",IF(C1933="","Missing transaction date",IF(NOT(ISNUMBER(C1933)),"Invalid date",IF(OR(C1933&lt;DATE(2000,1,1),C1933&gt;DATE(2099,12,31)),"Invalid date",IF(D1933="","Select a type",IF(U1933="","Unknown type: "&amp;D1933,IF(V1933="","Select an account (Category)",IF(ISNA(MATCH(V1933,coa_Name,0)),"Unknown account: "&amp;V1933,IF(K1933="","Select Paid From / Deposited To",IF(ISNA(MATCH(K1933,coa_Name,0)),"Unknown account: "&amp;K1933,IF(NOT(ISNUMBER(L1933)),"Enter an amount",IF(L1933=0,"Enter an amount",IF(ABS(W1933)&gt;ABS(L1933),"Tax is larger than the amount","")))))))))))))</f>
        <v/>
      </c>
      <c r="Y1933" s="67">
        <f>IF(OR(T1933=1,X1933&lt;&gt;""),"",IF(AND(B1933&lt;&gt;"",COUNTIF(tx_ID,B1933)&gt;1),"Duplicate transaction ID",IF(AND(L1933&lt;0,D1933&lt;&gt;"Adjustment"),"Negative amount — check this entry",IF(AND(D1933="Customer Payment",G1933=""),"Add the customer",IF(AND(D1933="Customer Payment",OR(J1933="",COUNTIF(ar_No,J1933&amp;"")=0)),"Invoice # in Reference not found on AR sheet",IF(AND(D1933="Bill Payment",H1933=""),"Add the vendor",IF(AND(D1933="Bill Payment",OR(J1933="",COUNTIFS(ap_No,J1933&amp;"",ap_Party,H1933&amp;"")=0)),"Bill # + vendor not found on AP sheet",IF(AND(ISNUMBER(M1933),N(M1933)&lt;&gt;0,W1933=0),"Tax ignored (tax tracking off, or not allowed for this type)",IF(V1933=K1933&amp;"","Same account on both sides",IF(AND(ISNUMBER(StartDate),C1933&lt;StartDate),"Date is before the accounting start date",IF(AND(D1933&lt;&gt;"Adjustment",IFERROR(INDEX(coa_Pay,MATCH(K1933&amp;"",coa_Name,0)),"")&lt;&gt;"Yes"),"Paid From / Deposited To is not a payment account","")))))))))))</f>
        <v/>
      </c>
      <c r="Z1933" s="67">
        <f>IF(AND(T1933=0,X1933=""),1,0)</f>
        <v/>
      </c>
      <c r="AA1933" s="68">
        <f>IF(Z1933=1,IF(U1933="In",L1933,L1933-W1933),0)</f>
        <v/>
      </c>
      <c r="AB1933" s="68">
        <f>IF(Z1933=1,IF(U1933="In",L1933-W1933,L1933),0)</f>
        <v/>
      </c>
      <c r="AC1933" s="68">
        <f>IF(AND(Z1933=1,U1933="Out"),W1933,0)</f>
        <v/>
      </c>
      <c r="AD1933" s="68">
        <f>IF(AND(Z1933=1,U1933="In"),W1933,0)</f>
        <v/>
      </c>
    </row>
    <row r="1934">
      <c r="B1934" s="62" t="inlineStr">
        <is>
          <t>TX-1928</t>
        </is>
      </c>
      <c r="C1934" s="63" t="n"/>
      <c r="D1934" s="62" t="n"/>
      <c r="E1934" s="62" t="n"/>
      <c r="F1934" s="62" t="n"/>
      <c r="G1934" s="62" t="n"/>
      <c r="H1934" s="62" t="n"/>
      <c r="I1934" s="62" t="n"/>
      <c r="J1934" s="62" t="n"/>
      <c r="K1934" s="62" t="n"/>
      <c r="L1934" s="64" t="n"/>
      <c r="M1934" s="64" t="n"/>
      <c r="N1934" s="62" t="n"/>
      <c r="O1934" s="65">
        <f>IF(Z1934=1,L1934-W1934,"")</f>
        <v/>
      </c>
      <c r="P1934" s="66">
        <f>IF(V1934="","",IFERROR(INDEX(coa_Type,MATCH(V1934,coa_Name,0)),""))</f>
        <v/>
      </c>
      <c r="Q1934" s="66">
        <f>IF(Z1934=1,IF(U1934="In",K1934&amp;"",V1934),"")</f>
        <v/>
      </c>
      <c r="R1934" s="66">
        <f>IF(Z1934=1,IF(U1934="In",V1934,K1934&amp;""),"")</f>
        <v/>
      </c>
      <c r="S1934" s="66">
        <f>IF(X1934&lt;&gt;"","⛔ "&amp;X1934&amp;" — not posted",IF(Y1934&lt;&gt;"","⚠ "&amp;Y1934,IF(Z1934=1,"✓ OK","")))</f>
        <v/>
      </c>
      <c r="T1934" s="67">
        <f>IF(AND(C1934="",D1934="",E1934="",L1934="",K1934=""),1,0)</f>
        <v/>
      </c>
      <c r="U1934" s="67">
        <f>IFERROR(INDEX(tt_Dir,MATCH(D1934,tt_Type,0)),"")</f>
        <v/>
      </c>
      <c r="V1934" s="67">
        <f>IF(D1934="","",IFERROR(IF(INDEX(tt_Other,MATCH(D1934,tt_Type,0))="",E1934&amp;"",INDEX(tt_Other,MATCH(D1934,tt_Type,0))),""))</f>
        <v/>
      </c>
      <c r="W1934" s="68">
        <f>IF(OR(TaxOn&lt;&gt;"Yes",NOT(ISNUMBER(M1934))),0,IF(IFERROR(INDEX(tt_Tax,MATCH(D1934,tt_Type,0)),"No")="Yes",M1934,0))</f>
        <v/>
      </c>
      <c r="X1934" s="67">
        <f>IF(T1934=1,"",IF(C1934="","Missing transaction date",IF(NOT(ISNUMBER(C1934)),"Invalid date",IF(OR(C1934&lt;DATE(2000,1,1),C1934&gt;DATE(2099,12,31)),"Invalid date",IF(D1934="","Select a type",IF(U1934="","Unknown type: "&amp;D1934,IF(V1934="","Select an account (Category)",IF(ISNA(MATCH(V1934,coa_Name,0)),"Unknown account: "&amp;V1934,IF(K1934="","Select Paid From / Deposited To",IF(ISNA(MATCH(K1934,coa_Name,0)),"Unknown account: "&amp;K1934,IF(NOT(ISNUMBER(L1934)),"Enter an amount",IF(L1934=0,"Enter an amount",IF(ABS(W1934)&gt;ABS(L1934),"Tax is larger than the amount","")))))))))))))</f>
        <v/>
      </c>
      <c r="Y1934" s="67">
        <f>IF(OR(T1934=1,X1934&lt;&gt;""),"",IF(AND(B1934&lt;&gt;"",COUNTIF(tx_ID,B1934)&gt;1),"Duplicate transaction ID",IF(AND(L1934&lt;0,D1934&lt;&gt;"Adjustment"),"Negative amount — check this entry",IF(AND(D1934="Customer Payment",G1934=""),"Add the customer",IF(AND(D1934="Customer Payment",OR(J1934="",COUNTIF(ar_No,J1934&amp;"")=0)),"Invoice # in Reference not found on AR sheet",IF(AND(D1934="Bill Payment",H1934=""),"Add the vendor",IF(AND(D1934="Bill Payment",OR(J1934="",COUNTIFS(ap_No,J1934&amp;"",ap_Party,H1934&amp;"")=0)),"Bill # + vendor not found on AP sheet",IF(AND(ISNUMBER(M1934),N(M1934)&lt;&gt;0,W1934=0),"Tax ignored (tax tracking off, or not allowed for this type)",IF(V1934=K1934&amp;"","Same account on both sides",IF(AND(ISNUMBER(StartDate),C1934&lt;StartDate),"Date is before the accounting start date",IF(AND(D1934&lt;&gt;"Adjustment",IFERROR(INDEX(coa_Pay,MATCH(K1934&amp;"",coa_Name,0)),"")&lt;&gt;"Yes"),"Paid From / Deposited To is not a payment account","")))))))))))</f>
        <v/>
      </c>
      <c r="Z1934" s="67">
        <f>IF(AND(T1934=0,X1934=""),1,0)</f>
        <v/>
      </c>
      <c r="AA1934" s="68">
        <f>IF(Z1934=1,IF(U1934="In",L1934,L1934-W1934),0)</f>
        <v/>
      </c>
      <c r="AB1934" s="68">
        <f>IF(Z1934=1,IF(U1934="In",L1934-W1934,L1934),0)</f>
        <v/>
      </c>
      <c r="AC1934" s="68">
        <f>IF(AND(Z1934=1,U1934="Out"),W1934,0)</f>
        <v/>
      </c>
      <c r="AD1934" s="68">
        <f>IF(AND(Z1934=1,U1934="In"),W1934,0)</f>
        <v/>
      </c>
    </row>
    <row r="1935">
      <c r="B1935" s="62" t="inlineStr">
        <is>
          <t>TX-1929</t>
        </is>
      </c>
      <c r="C1935" s="63" t="n"/>
      <c r="D1935" s="62" t="n"/>
      <c r="E1935" s="62" t="n"/>
      <c r="F1935" s="62" t="n"/>
      <c r="G1935" s="62" t="n"/>
      <c r="H1935" s="62" t="n"/>
      <c r="I1935" s="62" t="n"/>
      <c r="J1935" s="62" t="n"/>
      <c r="K1935" s="62" t="n"/>
      <c r="L1935" s="64" t="n"/>
      <c r="M1935" s="64" t="n"/>
      <c r="N1935" s="62" t="n"/>
      <c r="O1935" s="65">
        <f>IF(Z1935=1,L1935-W1935,"")</f>
        <v/>
      </c>
      <c r="P1935" s="66">
        <f>IF(V1935="","",IFERROR(INDEX(coa_Type,MATCH(V1935,coa_Name,0)),""))</f>
        <v/>
      </c>
      <c r="Q1935" s="66">
        <f>IF(Z1935=1,IF(U1935="In",K1935&amp;"",V1935),"")</f>
        <v/>
      </c>
      <c r="R1935" s="66">
        <f>IF(Z1935=1,IF(U1935="In",V1935,K1935&amp;""),"")</f>
        <v/>
      </c>
      <c r="S1935" s="66">
        <f>IF(X1935&lt;&gt;"","⛔ "&amp;X1935&amp;" — not posted",IF(Y1935&lt;&gt;"","⚠ "&amp;Y1935,IF(Z1935=1,"✓ OK","")))</f>
        <v/>
      </c>
      <c r="T1935" s="67">
        <f>IF(AND(C1935="",D1935="",E1935="",L1935="",K1935=""),1,0)</f>
        <v/>
      </c>
      <c r="U1935" s="67">
        <f>IFERROR(INDEX(tt_Dir,MATCH(D1935,tt_Type,0)),"")</f>
        <v/>
      </c>
      <c r="V1935" s="67">
        <f>IF(D1935="","",IFERROR(IF(INDEX(tt_Other,MATCH(D1935,tt_Type,0))="",E1935&amp;"",INDEX(tt_Other,MATCH(D1935,tt_Type,0))),""))</f>
        <v/>
      </c>
      <c r="W1935" s="68">
        <f>IF(OR(TaxOn&lt;&gt;"Yes",NOT(ISNUMBER(M1935))),0,IF(IFERROR(INDEX(tt_Tax,MATCH(D1935,tt_Type,0)),"No")="Yes",M1935,0))</f>
        <v/>
      </c>
      <c r="X1935" s="67">
        <f>IF(T1935=1,"",IF(C1935="","Missing transaction date",IF(NOT(ISNUMBER(C1935)),"Invalid date",IF(OR(C1935&lt;DATE(2000,1,1),C1935&gt;DATE(2099,12,31)),"Invalid date",IF(D1935="","Select a type",IF(U1935="","Unknown type: "&amp;D1935,IF(V1935="","Select an account (Category)",IF(ISNA(MATCH(V1935,coa_Name,0)),"Unknown account: "&amp;V1935,IF(K1935="","Select Paid From / Deposited To",IF(ISNA(MATCH(K1935,coa_Name,0)),"Unknown account: "&amp;K1935,IF(NOT(ISNUMBER(L1935)),"Enter an amount",IF(L1935=0,"Enter an amount",IF(ABS(W1935)&gt;ABS(L1935),"Tax is larger than the amount","")))))))))))))</f>
        <v/>
      </c>
      <c r="Y1935" s="67">
        <f>IF(OR(T1935=1,X1935&lt;&gt;""),"",IF(AND(B1935&lt;&gt;"",COUNTIF(tx_ID,B1935)&gt;1),"Duplicate transaction ID",IF(AND(L1935&lt;0,D1935&lt;&gt;"Adjustment"),"Negative amount — check this entry",IF(AND(D1935="Customer Payment",G1935=""),"Add the customer",IF(AND(D1935="Customer Payment",OR(J1935="",COUNTIF(ar_No,J1935&amp;"")=0)),"Invoice # in Reference not found on AR sheet",IF(AND(D1935="Bill Payment",H1935=""),"Add the vendor",IF(AND(D1935="Bill Payment",OR(J1935="",COUNTIFS(ap_No,J1935&amp;"",ap_Party,H1935&amp;"")=0)),"Bill # + vendor not found on AP sheet",IF(AND(ISNUMBER(M1935),N(M1935)&lt;&gt;0,W1935=0),"Tax ignored (tax tracking off, or not allowed for this type)",IF(V1935=K1935&amp;"","Same account on both sides",IF(AND(ISNUMBER(StartDate),C1935&lt;StartDate),"Date is before the accounting start date",IF(AND(D1935&lt;&gt;"Adjustment",IFERROR(INDEX(coa_Pay,MATCH(K1935&amp;"",coa_Name,0)),"")&lt;&gt;"Yes"),"Paid From / Deposited To is not a payment account","")))))))))))</f>
        <v/>
      </c>
      <c r="Z1935" s="67">
        <f>IF(AND(T1935=0,X1935=""),1,0)</f>
        <v/>
      </c>
      <c r="AA1935" s="68">
        <f>IF(Z1935=1,IF(U1935="In",L1935,L1935-W1935),0)</f>
        <v/>
      </c>
      <c r="AB1935" s="68">
        <f>IF(Z1935=1,IF(U1935="In",L1935-W1935,L1935),0)</f>
        <v/>
      </c>
      <c r="AC1935" s="68">
        <f>IF(AND(Z1935=1,U1935="Out"),W1935,0)</f>
        <v/>
      </c>
      <c r="AD1935" s="68">
        <f>IF(AND(Z1935=1,U1935="In"),W1935,0)</f>
        <v/>
      </c>
    </row>
    <row r="1936">
      <c r="B1936" s="62" t="inlineStr">
        <is>
          <t>TX-1930</t>
        </is>
      </c>
      <c r="C1936" s="63" t="n"/>
      <c r="D1936" s="62" t="n"/>
      <c r="E1936" s="62" t="n"/>
      <c r="F1936" s="62" t="n"/>
      <c r="G1936" s="62" t="n"/>
      <c r="H1936" s="62" t="n"/>
      <c r="I1936" s="62" t="n"/>
      <c r="J1936" s="62" t="n"/>
      <c r="K1936" s="62" t="n"/>
      <c r="L1936" s="64" t="n"/>
      <c r="M1936" s="64" t="n"/>
      <c r="N1936" s="62" t="n"/>
      <c r="O1936" s="65">
        <f>IF(Z1936=1,L1936-W1936,"")</f>
        <v/>
      </c>
      <c r="P1936" s="66">
        <f>IF(V1936="","",IFERROR(INDEX(coa_Type,MATCH(V1936,coa_Name,0)),""))</f>
        <v/>
      </c>
      <c r="Q1936" s="66">
        <f>IF(Z1936=1,IF(U1936="In",K1936&amp;"",V1936),"")</f>
        <v/>
      </c>
      <c r="R1936" s="66">
        <f>IF(Z1936=1,IF(U1936="In",V1936,K1936&amp;""),"")</f>
        <v/>
      </c>
      <c r="S1936" s="66">
        <f>IF(X1936&lt;&gt;"","⛔ "&amp;X1936&amp;" — not posted",IF(Y1936&lt;&gt;"","⚠ "&amp;Y1936,IF(Z1936=1,"✓ OK","")))</f>
        <v/>
      </c>
      <c r="T1936" s="67">
        <f>IF(AND(C1936="",D1936="",E1936="",L1936="",K1936=""),1,0)</f>
        <v/>
      </c>
      <c r="U1936" s="67">
        <f>IFERROR(INDEX(tt_Dir,MATCH(D1936,tt_Type,0)),"")</f>
        <v/>
      </c>
      <c r="V1936" s="67">
        <f>IF(D1936="","",IFERROR(IF(INDEX(tt_Other,MATCH(D1936,tt_Type,0))="",E1936&amp;"",INDEX(tt_Other,MATCH(D1936,tt_Type,0))),""))</f>
        <v/>
      </c>
      <c r="W1936" s="68">
        <f>IF(OR(TaxOn&lt;&gt;"Yes",NOT(ISNUMBER(M1936))),0,IF(IFERROR(INDEX(tt_Tax,MATCH(D1936,tt_Type,0)),"No")="Yes",M1936,0))</f>
        <v/>
      </c>
      <c r="X1936" s="67">
        <f>IF(T1936=1,"",IF(C1936="","Missing transaction date",IF(NOT(ISNUMBER(C1936)),"Invalid date",IF(OR(C1936&lt;DATE(2000,1,1),C1936&gt;DATE(2099,12,31)),"Invalid date",IF(D1936="","Select a type",IF(U1936="","Unknown type: "&amp;D1936,IF(V1936="","Select an account (Category)",IF(ISNA(MATCH(V1936,coa_Name,0)),"Unknown account: "&amp;V1936,IF(K1936="","Select Paid From / Deposited To",IF(ISNA(MATCH(K1936,coa_Name,0)),"Unknown account: "&amp;K1936,IF(NOT(ISNUMBER(L1936)),"Enter an amount",IF(L1936=0,"Enter an amount",IF(ABS(W1936)&gt;ABS(L1936),"Tax is larger than the amount","")))))))))))))</f>
        <v/>
      </c>
      <c r="Y1936" s="67">
        <f>IF(OR(T1936=1,X1936&lt;&gt;""),"",IF(AND(B1936&lt;&gt;"",COUNTIF(tx_ID,B1936)&gt;1),"Duplicate transaction ID",IF(AND(L1936&lt;0,D1936&lt;&gt;"Adjustment"),"Negative amount — check this entry",IF(AND(D1936="Customer Payment",G1936=""),"Add the customer",IF(AND(D1936="Customer Payment",OR(J1936="",COUNTIF(ar_No,J1936&amp;"")=0)),"Invoice # in Reference not found on AR sheet",IF(AND(D1936="Bill Payment",H1936=""),"Add the vendor",IF(AND(D1936="Bill Payment",OR(J1936="",COUNTIFS(ap_No,J1936&amp;"",ap_Party,H1936&amp;"")=0)),"Bill # + vendor not found on AP sheet",IF(AND(ISNUMBER(M1936),N(M1936)&lt;&gt;0,W1936=0),"Tax ignored (tax tracking off, or not allowed for this type)",IF(V1936=K1936&amp;"","Same account on both sides",IF(AND(ISNUMBER(StartDate),C1936&lt;StartDate),"Date is before the accounting start date",IF(AND(D1936&lt;&gt;"Adjustment",IFERROR(INDEX(coa_Pay,MATCH(K1936&amp;"",coa_Name,0)),"")&lt;&gt;"Yes"),"Paid From / Deposited To is not a payment account","")))))))))))</f>
        <v/>
      </c>
      <c r="Z1936" s="67">
        <f>IF(AND(T1936=0,X1936=""),1,0)</f>
        <v/>
      </c>
      <c r="AA1936" s="68">
        <f>IF(Z1936=1,IF(U1936="In",L1936,L1936-W1936),0)</f>
        <v/>
      </c>
      <c r="AB1936" s="68">
        <f>IF(Z1936=1,IF(U1936="In",L1936-W1936,L1936),0)</f>
        <v/>
      </c>
      <c r="AC1936" s="68">
        <f>IF(AND(Z1936=1,U1936="Out"),W1936,0)</f>
        <v/>
      </c>
      <c r="AD1936" s="68">
        <f>IF(AND(Z1936=1,U1936="In"),W1936,0)</f>
        <v/>
      </c>
    </row>
    <row r="1937">
      <c r="B1937" s="62" t="inlineStr">
        <is>
          <t>TX-1931</t>
        </is>
      </c>
      <c r="C1937" s="63" t="n"/>
      <c r="D1937" s="62" t="n"/>
      <c r="E1937" s="62" t="n"/>
      <c r="F1937" s="62" t="n"/>
      <c r="G1937" s="62" t="n"/>
      <c r="H1937" s="62" t="n"/>
      <c r="I1937" s="62" t="n"/>
      <c r="J1937" s="62" t="n"/>
      <c r="K1937" s="62" t="n"/>
      <c r="L1937" s="64" t="n"/>
      <c r="M1937" s="64" t="n"/>
      <c r="N1937" s="62" t="n"/>
      <c r="O1937" s="65">
        <f>IF(Z1937=1,L1937-W1937,"")</f>
        <v/>
      </c>
      <c r="P1937" s="66">
        <f>IF(V1937="","",IFERROR(INDEX(coa_Type,MATCH(V1937,coa_Name,0)),""))</f>
        <v/>
      </c>
      <c r="Q1937" s="66">
        <f>IF(Z1937=1,IF(U1937="In",K1937&amp;"",V1937),"")</f>
        <v/>
      </c>
      <c r="R1937" s="66">
        <f>IF(Z1937=1,IF(U1937="In",V1937,K1937&amp;""),"")</f>
        <v/>
      </c>
      <c r="S1937" s="66">
        <f>IF(X1937&lt;&gt;"","⛔ "&amp;X1937&amp;" — not posted",IF(Y1937&lt;&gt;"","⚠ "&amp;Y1937,IF(Z1937=1,"✓ OK","")))</f>
        <v/>
      </c>
      <c r="T1937" s="67">
        <f>IF(AND(C1937="",D1937="",E1937="",L1937="",K1937=""),1,0)</f>
        <v/>
      </c>
      <c r="U1937" s="67">
        <f>IFERROR(INDEX(tt_Dir,MATCH(D1937,tt_Type,0)),"")</f>
        <v/>
      </c>
      <c r="V1937" s="67">
        <f>IF(D1937="","",IFERROR(IF(INDEX(tt_Other,MATCH(D1937,tt_Type,0))="",E1937&amp;"",INDEX(tt_Other,MATCH(D1937,tt_Type,0))),""))</f>
        <v/>
      </c>
      <c r="W1937" s="68">
        <f>IF(OR(TaxOn&lt;&gt;"Yes",NOT(ISNUMBER(M1937))),0,IF(IFERROR(INDEX(tt_Tax,MATCH(D1937,tt_Type,0)),"No")="Yes",M1937,0))</f>
        <v/>
      </c>
      <c r="X1937" s="67">
        <f>IF(T1937=1,"",IF(C1937="","Missing transaction date",IF(NOT(ISNUMBER(C1937)),"Invalid date",IF(OR(C1937&lt;DATE(2000,1,1),C1937&gt;DATE(2099,12,31)),"Invalid date",IF(D1937="","Select a type",IF(U1937="","Unknown type: "&amp;D1937,IF(V1937="","Select an account (Category)",IF(ISNA(MATCH(V1937,coa_Name,0)),"Unknown account: "&amp;V1937,IF(K1937="","Select Paid From / Deposited To",IF(ISNA(MATCH(K1937,coa_Name,0)),"Unknown account: "&amp;K1937,IF(NOT(ISNUMBER(L1937)),"Enter an amount",IF(L1937=0,"Enter an amount",IF(ABS(W1937)&gt;ABS(L1937),"Tax is larger than the amount","")))))))))))))</f>
        <v/>
      </c>
      <c r="Y1937" s="67">
        <f>IF(OR(T1937=1,X1937&lt;&gt;""),"",IF(AND(B1937&lt;&gt;"",COUNTIF(tx_ID,B1937)&gt;1),"Duplicate transaction ID",IF(AND(L1937&lt;0,D1937&lt;&gt;"Adjustment"),"Negative amount — check this entry",IF(AND(D1937="Customer Payment",G1937=""),"Add the customer",IF(AND(D1937="Customer Payment",OR(J1937="",COUNTIF(ar_No,J1937&amp;"")=0)),"Invoice # in Reference not found on AR sheet",IF(AND(D1937="Bill Payment",H1937=""),"Add the vendor",IF(AND(D1937="Bill Payment",OR(J1937="",COUNTIFS(ap_No,J1937&amp;"",ap_Party,H1937&amp;"")=0)),"Bill # + vendor not found on AP sheet",IF(AND(ISNUMBER(M1937),N(M1937)&lt;&gt;0,W1937=0),"Tax ignored (tax tracking off, or not allowed for this type)",IF(V1937=K1937&amp;"","Same account on both sides",IF(AND(ISNUMBER(StartDate),C1937&lt;StartDate),"Date is before the accounting start date",IF(AND(D1937&lt;&gt;"Adjustment",IFERROR(INDEX(coa_Pay,MATCH(K1937&amp;"",coa_Name,0)),"")&lt;&gt;"Yes"),"Paid From / Deposited To is not a payment account","")))))))))))</f>
        <v/>
      </c>
      <c r="Z1937" s="67">
        <f>IF(AND(T1937=0,X1937=""),1,0)</f>
        <v/>
      </c>
      <c r="AA1937" s="68">
        <f>IF(Z1937=1,IF(U1937="In",L1937,L1937-W1937),0)</f>
        <v/>
      </c>
      <c r="AB1937" s="68">
        <f>IF(Z1937=1,IF(U1937="In",L1937-W1937,L1937),0)</f>
        <v/>
      </c>
      <c r="AC1937" s="68">
        <f>IF(AND(Z1937=1,U1937="Out"),W1937,0)</f>
        <v/>
      </c>
      <c r="AD1937" s="68">
        <f>IF(AND(Z1937=1,U1937="In"),W1937,0)</f>
        <v/>
      </c>
    </row>
    <row r="1938">
      <c r="B1938" s="62" t="inlineStr">
        <is>
          <t>TX-1932</t>
        </is>
      </c>
      <c r="C1938" s="63" t="n"/>
      <c r="D1938" s="62" t="n"/>
      <c r="E1938" s="62" t="n"/>
      <c r="F1938" s="62" t="n"/>
      <c r="G1938" s="62" t="n"/>
      <c r="H1938" s="62" t="n"/>
      <c r="I1938" s="62" t="n"/>
      <c r="J1938" s="62" t="n"/>
      <c r="K1938" s="62" t="n"/>
      <c r="L1938" s="64" t="n"/>
      <c r="M1938" s="64" t="n"/>
      <c r="N1938" s="62" t="n"/>
      <c r="O1938" s="65">
        <f>IF(Z1938=1,L1938-W1938,"")</f>
        <v/>
      </c>
      <c r="P1938" s="66">
        <f>IF(V1938="","",IFERROR(INDEX(coa_Type,MATCH(V1938,coa_Name,0)),""))</f>
        <v/>
      </c>
      <c r="Q1938" s="66">
        <f>IF(Z1938=1,IF(U1938="In",K1938&amp;"",V1938),"")</f>
        <v/>
      </c>
      <c r="R1938" s="66">
        <f>IF(Z1938=1,IF(U1938="In",V1938,K1938&amp;""),"")</f>
        <v/>
      </c>
      <c r="S1938" s="66">
        <f>IF(X1938&lt;&gt;"","⛔ "&amp;X1938&amp;" — not posted",IF(Y1938&lt;&gt;"","⚠ "&amp;Y1938,IF(Z1938=1,"✓ OK","")))</f>
        <v/>
      </c>
      <c r="T1938" s="67">
        <f>IF(AND(C1938="",D1938="",E1938="",L1938="",K1938=""),1,0)</f>
        <v/>
      </c>
      <c r="U1938" s="67">
        <f>IFERROR(INDEX(tt_Dir,MATCH(D1938,tt_Type,0)),"")</f>
        <v/>
      </c>
      <c r="V1938" s="67">
        <f>IF(D1938="","",IFERROR(IF(INDEX(tt_Other,MATCH(D1938,tt_Type,0))="",E1938&amp;"",INDEX(tt_Other,MATCH(D1938,tt_Type,0))),""))</f>
        <v/>
      </c>
      <c r="W1938" s="68">
        <f>IF(OR(TaxOn&lt;&gt;"Yes",NOT(ISNUMBER(M1938))),0,IF(IFERROR(INDEX(tt_Tax,MATCH(D1938,tt_Type,0)),"No")="Yes",M1938,0))</f>
        <v/>
      </c>
      <c r="X1938" s="67">
        <f>IF(T1938=1,"",IF(C1938="","Missing transaction date",IF(NOT(ISNUMBER(C1938)),"Invalid date",IF(OR(C1938&lt;DATE(2000,1,1),C1938&gt;DATE(2099,12,31)),"Invalid date",IF(D1938="","Select a type",IF(U1938="","Unknown type: "&amp;D1938,IF(V1938="","Select an account (Category)",IF(ISNA(MATCH(V1938,coa_Name,0)),"Unknown account: "&amp;V1938,IF(K1938="","Select Paid From / Deposited To",IF(ISNA(MATCH(K1938,coa_Name,0)),"Unknown account: "&amp;K1938,IF(NOT(ISNUMBER(L1938)),"Enter an amount",IF(L1938=0,"Enter an amount",IF(ABS(W1938)&gt;ABS(L1938),"Tax is larger than the amount","")))))))))))))</f>
        <v/>
      </c>
      <c r="Y1938" s="67">
        <f>IF(OR(T1938=1,X1938&lt;&gt;""),"",IF(AND(B1938&lt;&gt;"",COUNTIF(tx_ID,B1938)&gt;1),"Duplicate transaction ID",IF(AND(L1938&lt;0,D1938&lt;&gt;"Adjustment"),"Negative amount — check this entry",IF(AND(D1938="Customer Payment",G1938=""),"Add the customer",IF(AND(D1938="Customer Payment",OR(J1938="",COUNTIF(ar_No,J1938&amp;"")=0)),"Invoice # in Reference not found on AR sheet",IF(AND(D1938="Bill Payment",H1938=""),"Add the vendor",IF(AND(D1938="Bill Payment",OR(J1938="",COUNTIFS(ap_No,J1938&amp;"",ap_Party,H1938&amp;"")=0)),"Bill # + vendor not found on AP sheet",IF(AND(ISNUMBER(M1938),N(M1938)&lt;&gt;0,W1938=0),"Tax ignored (tax tracking off, or not allowed for this type)",IF(V1938=K1938&amp;"","Same account on both sides",IF(AND(ISNUMBER(StartDate),C1938&lt;StartDate),"Date is before the accounting start date",IF(AND(D1938&lt;&gt;"Adjustment",IFERROR(INDEX(coa_Pay,MATCH(K1938&amp;"",coa_Name,0)),"")&lt;&gt;"Yes"),"Paid From / Deposited To is not a payment account","")))))))))))</f>
        <v/>
      </c>
      <c r="Z1938" s="67">
        <f>IF(AND(T1938=0,X1938=""),1,0)</f>
        <v/>
      </c>
      <c r="AA1938" s="68">
        <f>IF(Z1938=1,IF(U1938="In",L1938,L1938-W1938),0)</f>
        <v/>
      </c>
      <c r="AB1938" s="68">
        <f>IF(Z1938=1,IF(U1938="In",L1938-W1938,L1938),0)</f>
        <v/>
      </c>
      <c r="AC1938" s="68">
        <f>IF(AND(Z1938=1,U1938="Out"),W1938,0)</f>
        <v/>
      </c>
      <c r="AD1938" s="68">
        <f>IF(AND(Z1938=1,U1938="In"),W1938,0)</f>
        <v/>
      </c>
    </row>
    <row r="1939">
      <c r="B1939" s="62" t="inlineStr">
        <is>
          <t>TX-1933</t>
        </is>
      </c>
      <c r="C1939" s="63" t="n"/>
      <c r="D1939" s="62" t="n"/>
      <c r="E1939" s="62" t="n"/>
      <c r="F1939" s="62" t="n"/>
      <c r="G1939" s="62" t="n"/>
      <c r="H1939" s="62" t="n"/>
      <c r="I1939" s="62" t="n"/>
      <c r="J1939" s="62" t="n"/>
      <c r="K1939" s="62" t="n"/>
      <c r="L1939" s="64" t="n"/>
      <c r="M1939" s="64" t="n"/>
      <c r="N1939" s="62" t="n"/>
      <c r="O1939" s="65">
        <f>IF(Z1939=1,L1939-W1939,"")</f>
        <v/>
      </c>
      <c r="P1939" s="66">
        <f>IF(V1939="","",IFERROR(INDEX(coa_Type,MATCH(V1939,coa_Name,0)),""))</f>
        <v/>
      </c>
      <c r="Q1939" s="66">
        <f>IF(Z1939=1,IF(U1939="In",K1939&amp;"",V1939),"")</f>
        <v/>
      </c>
      <c r="R1939" s="66">
        <f>IF(Z1939=1,IF(U1939="In",V1939,K1939&amp;""),"")</f>
        <v/>
      </c>
      <c r="S1939" s="66">
        <f>IF(X1939&lt;&gt;"","⛔ "&amp;X1939&amp;" — not posted",IF(Y1939&lt;&gt;"","⚠ "&amp;Y1939,IF(Z1939=1,"✓ OK","")))</f>
        <v/>
      </c>
      <c r="T1939" s="67">
        <f>IF(AND(C1939="",D1939="",E1939="",L1939="",K1939=""),1,0)</f>
        <v/>
      </c>
      <c r="U1939" s="67">
        <f>IFERROR(INDEX(tt_Dir,MATCH(D1939,tt_Type,0)),"")</f>
        <v/>
      </c>
      <c r="V1939" s="67">
        <f>IF(D1939="","",IFERROR(IF(INDEX(tt_Other,MATCH(D1939,tt_Type,0))="",E1939&amp;"",INDEX(tt_Other,MATCH(D1939,tt_Type,0))),""))</f>
        <v/>
      </c>
      <c r="W1939" s="68">
        <f>IF(OR(TaxOn&lt;&gt;"Yes",NOT(ISNUMBER(M1939))),0,IF(IFERROR(INDEX(tt_Tax,MATCH(D1939,tt_Type,0)),"No")="Yes",M1939,0))</f>
        <v/>
      </c>
      <c r="X1939" s="67">
        <f>IF(T1939=1,"",IF(C1939="","Missing transaction date",IF(NOT(ISNUMBER(C1939)),"Invalid date",IF(OR(C1939&lt;DATE(2000,1,1),C1939&gt;DATE(2099,12,31)),"Invalid date",IF(D1939="","Select a type",IF(U1939="","Unknown type: "&amp;D1939,IF(V1939="","Select an account (Category)",IF(ISNA(MATCH(V1939,coa_Name,0)),"Unknown account: "&amp;V1939,IF(K1939="","Select Paid From / Deposited To",IF(ISNA(MATCH(K1939,coa_Name,0)),"Unknown account: "&amp;K1939,IF(NOT(ISNUMBER(L1939)),"Enter an amount",IF(L1939=0,"Enter an amount",IF(ABS(W1939)&gt;ABS(L1939),"Tax is larger than the amount","")))))))))))))</f>
        <v/>
      </c>
      <c r="Y1939" s="67">
        <f>IF(OR(T1939=1,X1939&lt;&gt;""),"",IF(AND(B1939&lt;&gt;"",COUNTIF(tx_ID,B1939)&gt;1),"Duplicate transaction ID",IF(AND(L1939&lt;0,D1939&lt;&gt;"Adjustment"),"Negative amount — check this entry",IF(AND(D1939="Customer Payment",G1939=""),"Add the customer",IF(AND(D1939="Customer Payment",OR(J1939="",COUNTIF(ar_No,J1939&amp;"")=0)),"Invoice # in Reference not found on AR sheet",IF(AND(D1939="Bill Payment",H1939=""),"Add the vendor",IF(AND(D1939="Bill Payment",OR(J1939="",COUNTIFS(ap_No,J1939&amp;"",ap_Party,H1939&amp;"")=0)),"Bill # + vendor not found on AP sheet",IF(AND(ISNUMBER(M1939),N(M1939)&lt;&gt;0,W1939=0),"Tax ignored (tax tracking off, or not allowed for this type)",IF(V1939=K1939&amp;"","Same account on both sides",IF(AND(ISNUMBER(StartDate),C1939&lt;StartDate),"Date is before the accounting start date",IF(AND(D1939&lt;&gt;"Adjustment",IFERROR(INDEX(coa_Pay,MATCH(K1939&amp;"",coa_Name,0)),"")&lt;&gt;"Yes"),"Paid From / Deposited To is not a payment account","")))))))))))</f>
        <v/>
      </c>
      <c r="Z1939" s="67">
        <f>IF(AND(T1939=0,X1939=""),1,0)</f>
        <v/>
      </c>
      <c r="AA1939" s="68">
        <f>IF(Z1939=1,IF(U1939="In",L1939,L1939-W1939),0)</f>
        <v/>
      </c>
      <c r="AB1939" s="68">
        <f>IF(Z1939=1,IF(U1939="In",L1939-W1939,L1939),0)</f>
        <v/>
      </c>
      <c r="AC1939" s="68">
        <f>IF(AND(Z1939=1,U1939="Out"),W1939,0)</f>
        <v/>
      </c>
      <c r="AD1939" s="68">
        <f>IF(AND(Z1939=1,U1939="In"),W1939,0)</f>
        <v/>
      </c>
    </row>
    <row r="1940">
      <c r="B1940" s="62" t="inlineStr">
        <is>
          <t>TX-1934</t>
        </is>
      </c>
      <c r="C1940" s="63" t="n"/>
      <c r="D1940" s="62" t="n"/>
      <c r="E1940" s="62" t="n"/>
      <c r="F1940" s="62" t="n"/>
      <c r="G1940" s="62" t="n"/>
      <c r="H1940" s="62" t="n"/>
      <c r="I1940" s="62" t="n"/>
      <c r="J1940" s="62" t="n"/>
      <c r="K1940" s="62" t="n"/>
      <c r="L1940" s="64" t="n"/>
      <c r="M1940" s="64" t="n"/>
      <c r="N1940" s="62" t="n"/>
      <c r="O1940" s="65">
        <f>IF(Z1940=1,L1940-W1940,"")</f>
        <v/>
      </c>
      <c r="P1940" s="66">
        <f>IF(V1940="","",IFERROR(INDEX(coa_Type,MATCH(V1940,coa_Name,0)),""))</f>
        <v/>
      </c>
      <c r="Q1940" s="66">
        <f>IF(Z1940=1,IF(U1940="In",K1940&amp;"",V1940),"")</f>
        <v/>
      </c>
      <c r="R1940" s="66">
        <f>IF(Z1940=1,IF(U1940="In",V1940,K1940&amp;""),"")</f>
        <v/>
      </c>
      <c r="S1940" s="66">
        <f>IF(X1940&lt;&gt;"","⛔ "&amp;X1940&amp;" — not posted",IF(Y1940&lt;&gt;"","⚠ "&amp;Y1940,IF(Z1940=1,"✓ OK","")))</f>
        <v/>
      </c>
      <c r="T1940" s="67">
        <f>IF(AND(C1940="",D1940="",E1940="",L1940="",K1940=""),1,0)</f>
        <v/>
      </c>
      <c r="U1940" s="67">
        <f>IFERROR(INDEX(tt_Dir,MATCH(D1940,tt_Type,0)),"")</f>
        <v/>
      </c>
      <c r="V1940" s="67">
        <f>IF(D1940="","",IFERROR(IF(INDEX(tt_Other,MATCH(D1940,tt_Type,0))="",E1940&amp;"",INDEX(tt_Other,MATCH(D1940,tt_Type,0))),""))</f>
        <v/>
      </c>
      <c r="W1940" s="68">
        <f>IF(OR(TaxOn&lt;&gt;"Yes",NOT(ISNUMBER(M1940))),0,IF(IFERROR(INDEX(tt_Tax,MATCH(D1940,tt_Type,0)),"No")="Yes",M1940,0))</f>
        <v/>
      </c>
      <c r="X1940" s="67">
        <f>IF(T1940=1,"",IF(C1940="","Missing transaction date",IF(NOT(ISNUMBER(C1940)),"Invalid date",IF(OR(C1940&lt;DATE(2000,1,1),C1940&gt;DATE(2099,12,31)),"Invalid date",IF(D1940="","Select a type",IF(U1940="","Unknown type: "&amp;D1940,IF(V1940="","Select an account (Category)",IF(ISNA(MATCH(V1940,coa_Name,0)),"Unknown account: "&amp;V1940,IF(K1940="","Select Paid From / Deposited To",IF(ISNA(MATCH(K1940,coa_Name,0)),"Unknown account: "&amp;K1940,IF(NOT(ISNUMBER(L1940)),"Enter an amount",IF(L1940=0,"Enter an amount",IF(ABS(W1940)&gt;ABS(L1940),"Tax is larger than the amount","")))))))))))))</f>
        <v/>
      </c>
      <c r="Y1940" s="67">
        <f>IF(OR(T1940=1,X1940&lt;&gt;""),"",IF(AND(B1940&lt;&gt;"",COUNTIF(tx_ID,B1940)&gt;1),"Duplicate transaction ID",IF(AND(L1940&lt;0,D1940&lt;&gt;"Adjustment"),"Negative amount — check this entry",IF(AND(D1940="Customer Payment",G1940=""),"Add the customer",IF(AND(D1940="Customer Payment",OR(J1940="",COUNTIF(ar_No,J1940&amp;"")=0)),"Invoice # in Reference not found on AR sheet",IF(AND(D1940="Bill Payment",H1940=""),"Add the vendor",IF(AND(D1940="Bill Payment",OR(J1940="",COUNTIFS(ap_No,J1940&amp;"",ap_Party,H1940&amp;"")=0)),"Bill # + vendor not found on AP sheet",IF(AND(ISNUMBER(M1940),N(M1940)&lt;&gt;0,W1940=0),"Tax ignored (tax tracking off, or not allowed for this type)",IF(V1940=K1940&amp;"","Same account on both sides",IF(AND(ISNUMBER(StartDate),C1940&lt;StartDate),"Date is before the accounting start date",IF(AND(D1940&lt;&gt;"Adjustment",IFERROR(INDEX(coa_Pay,MATCH(K1940&amp;"",coa_Name,0)),"")&lt;&gt;"Yes"),"Paid From / Deposited To is not a payment account","")))))))))))</f>
        <v/>
      </c>
      <c r="Z1940" s="67">
        <f>IF(AND(T1940=0,X1940=""),1,0)</f>
        <v/>
      </c>
      <c r="AA1940" s="68">
        <f>IF(Z1940=1,IF(U1940="In",L1940,L1940-W1940),0)</f>
        <v/>
      </c>
      <c r="AB1940" s="68">
        <f>IF(Z1940=1,IF(U1940="In",L1940-W1940,L1940),0)</f>
        <v/>
      </c>
      <c r="AC1940" s="68">
        <f>IF(AND(Z1940=1,U1940="Out"),W1940,0)</f>
        <v/>
      </c>
      <c r="AD1940" s="68">
        <f>IF(AND(Z1940=1,U1940="In"),W1940,0)</f>
        <v/>
      </c>
    </row>
    <row r="1941">
      <c r="B1941" s="62" t="inlineStr">
        <is>
          <t>TX-1935</t>
        </is>
      </c>
      <c r="C1941" s="63" t="n"/>
      <c r="D1941" s="62" t="n"/>
      <c r="E1941" s="62" t="n"/>
      <c r="F1941" s="62" t="n"/>
      <c r="G1941" s="62" t="n"/>
      <c r="H1941" s="62" t="n"/>
      <c r="I1941" s="62" t="n"/>
      <c r="J1941" s="62" t="n"/>
      <c r="K1941" s="62" t="n"/>
      <c r="L1941" s="64" t="n"/>
      <c r="M1941" s="64" t="n"/>
      <c r="N1941" s="62" t="n"/>
      <c r="O1941" s="65">
        <f>IF(Z1941=1,L1941-W1941,"")</f>
        <v/>
      </c>
      <c r="P1941" s="66">
        <f>IF(V1941="","",IFERROR(INDEX(coa_Type,MATCH(V1941,coa_Name,0)),""))</f>
        <v/>
      </c>
      <c r="Q1941" s="66">
        <f>IF(Z1941=1,IF(U1941="In",K1941&amp;"",V1941),"")</f>
        <v/>
      </c>
      <c r="R1941" s="66">
        <f>IF(Z1941=1,IF(U1941="In",V1941,K1941&amp;""),"")</f>
        <v/>
      </c>
      <c r="S1941" s="66">
        <f>IF(X1941&lt;&gt;"","⛔ "&amp;X1941&amp;" — not posted",IF(Y1941&lt;&gt;"","⚠ "&amp;Y1941,IF(Z1941=1,"✓ OK","")))</f>
        <v/>
      </c>
      <c r="T1941" s="67">
        <f>IF(AND(C1941="",D1941="",E1941="",L1941="",K1941=""),1,0)</f>
        <v/>
      </c>
      <c r="U1941" s="67">
        <f>IFERROR(INDEX(tt_Dir,MATCH(D1941,tt_Type,0)),"")</f>
        <v/>
      </c>
      <c r="V1941" s="67">
        <f>IF(D1941="","",IFERROR(IF(INDEX(tt_Other,MATCH(D1941,tt_Type,0))="",E1941&amp;"",INDEX(tt_Other,MATCH(D1941,tt_Type,0))),""))</f>
        <v/>
      </c>
      <c r="W1941" s="68">
        <f>IF(OR(TaxOn&lt;&gt;"Yes",NOT(ISNUMBER(M1941))),0,IF(IFERROR(INDEX(tt_Tax,MATCH(D1941,tt_Type,0)),"No")="Yes",M1941,0))</f>
        <v/>
      </c>
      <c r="X1941" s="67">
        <f>IF(T1941=1,"",IF(C1941="","Missing transaction date",IF(NOT(ISNUMBER(C1941)),"Invalid date",IF(OR(C1941&lt;DATE(2000,1,1),C1941&gt;DATE(2099,12,31)),"Invalid date",IF(D1941="","Select a type",IF(U1941="","Unknown type: "&amp;D1941,IF(V1941="","Select an account (Category)",IF(ISNA(MATCH(V1941,coa_Name,0)),"Unknown account: "&amp;V1941,IF(K1941="","Select Paid From / Deposited To",IF(ISNA(MATCH(K1941,coa_Name,0)),"Unknown account: "&amp;K1941,IF(NOT(ISNUMBER(L1941)),"Enter an amount",IF(L1941=0,"Enter an amount",IF(ABS(W1941)&gt;ABS(L1941),"Tax is larger than the amount","")))))))))))))</f>
        <v/>
      </c>
      <c r="Y1941" s="67">
        <f>IF(OR(T1941=1,X1941&lt;&gt;""),"",IF(AND(B1941&lt;&gt;"",COUNTIF(tx_ID,B1941)&gt;1),"Duplicate transaction ID",IF(AND(L1941&lt;0,D1941&lt;&gt;"Adjustment"),"Negative amount — check this entry",IF(AND(D1941="Customer Payment",G1941=""),"Add the customer",IF(AND(D1941="Customer Payment",OR(J1941="",COUNTIF(ar_No,J1941&amp;"")=0)),"Invoice # in Reference not found on AR sheet",IF(AND(D1941="Bill Payment",H1941=""),"Add the vendor",IF(AND(D1941="Bill Payment",OR(J1941="",COUNTIFS(ap_No,J1941&amp;"",ap_Party,H1941&amp;"")=0)),"Bill # + vendor not found on AP sheet",IF(AND(ISNUMBER(M1941),N(M1941)&lt;&gt;0,W1941=0),"Tax ignored (tax tracking off, or not allowed for this type)",IF(V1941=K1941&amp;"","Same account on both sides",IF(AND(ISNUMBER(StartDate),C1941&lt;StartDate),"Date is before the accounting start date",IF(AND(D1941&lt;&gt;"Adjustment",IFERROR(INDEX(coa_Pay,MATCH(K1941&amp;"",coa_Name,0)),"")&lt;&gt;"Yes"),"Paid From / Deposited To is not a payment account","")))))))))))</f>
        <v/>
      </c>
      <c r="Z1941" s="67">
        <f>IF(AND(T1941=0,X1941=""),1,0)</f>
        <v/>
      </c>
      <c r="AA1941" s="68">
        <f>IF(Z1941=1,IF(U1941="In",L1941,L1941-W1941),0)</f>
        <v/>
      </c>
      <c r="AB1941" s="68">
        <f>IF(Z1941=1,IF(U1941="In",L1941-W1941,L1941),0)</f>
        <v/>
      </c>
      <c r="AC1941" s="68">
        <f>IF(AND(Z1941=1,U1941="Out"),W1941,0)</f>
        <v/>
      </c>
      <c r="AD1941" s="68">
        <f>IF(AND(Z1941=1,U1941="In"),W1941,0)</f>
        <v/>
      </c>
    </row>
    <row r="1942">
      <c r="B1942" s="62" t="inlineStr">
        <is>
          <t>TX-1936</t>
        </is>
      </c>
      <c r="C1942" s="63" t="n"/>
      <c r="D1942" s="62" t="n"/>
      <c r="E1942" s="62" t="n"/>
      <c r="F1942" s="62" t="n"/>
      <c r="G1942" s="62" t="n"/>
      <c r="H1942" s="62" t="n"/>
      <c r="I1942" s="62" t="n"/>
      <c r="J1942" s="62" t="n"/>
      <c r="K1942" s="62" t="n"/>
      <c r="L1942" s="64" t="n"/>
      <c r="M1942" s="64" t="n"/>
      <c r="N1942" s="62" t="n"/>
      <c r="O1942" s="65">
        <f>IF(Z1942=1,L1942-W1942,"")</f>
        <v/>
      </c>
      <c r="P1942" s="66">
        <f>IF(V1942="","",IFERROR(INDEX(coa_Type,MATCH(V1942,coa_Name,0)),""))</f>
        <v/>
      </c>
      <c r="Q1942" s="66">
        <f>IF(Z1942=1,IF(U1942="In",K1942&amp;"",V1942),"")</f>
        <v/>
      </c>
      <c r="R1942" s="66">
        <f>IF(Z1942=1,IF(U1942="In",V1942,K1942&amp;""),"")</f>
        <v/>
      </c>
      <c r="S1942" s="66">
        <f>IF(X1942&lt;&gt;"","⛔ "&amp;X1942&amp;" — not posted",IF(Y1942&lt;&gt;"","⚠ "&amp;Y1942,IF(Z1942=1,"✓ OK","")))</f>
        <v/>
      </c>
      <c r="T1942" s="67">
        <f>IF(AND(C1942="",D1942="",E1942="",L1942="",K1942=""),1,0)</f>
        <v/>
      </c>
      <c r="U1942" s="67">
        <f>IFERROR(INDEX(tt_Dir,MATCH(D1942,tt_Type,0)),"")</f>
        <v/>
      </c>
      <c r="V1942" s="67">
        <f>IF(D1942="","",IFERROR(IF(INDEX(tt_Other,MATCH(D1942,tt_Type,0))="",E1942&amp;"",INDEX(tt_Other,MATCH(D1942,tt_Type,0))),""))</f>
        <v/>
      </c>
      <c r="W1942" s="68">
        <f>IF(OR(TaxOn&lt;&gt;"Yes",NOT(ISNUMBER(M1942))),0,IF(IFERROR(INDEX(tt_Tax,MATCH(D1942,tt_Type,0)),"No")="Yes",M1942,0))</f>
        <v/>
      </c>
      <c r="X1942" s="67">
        <f>IF(T1942=1,"",IF(C1942="","Missing transaction date",IF(NOT(ISNUMBER(C1942)),"Invalid date",IF(OR(C1942&lt;DATE(2000,1,1),C1942&gt;DATE(2099,12,31)),"Invalid date",IF(D1942="","Select a type",IF(U1942="","Unknown type: "&amp;D1942,IF(V1942="","Select an account (Category)",IF(ISNA(MATCH(V1942,coa_Name,0)),"Unknown account: "&amp;V1942,IF(K1942="","Select Paid From / Deposited To",IF(ISNA(MATCH(K1942,coa_Name,0)),"Unknown account: "&amp;K1942,IF(NOT(ISNUMBER(L1942)),"Enter an amount",IF(L1942=0,"Enter an amount",IF(ABS(W1942)&gt;ABS(L1942),"Tax is larger than the amount","")))))))))))))</f>
        <v/>
      </c>
      <c r="Y1942" s="67">
        <f>IF(OR(T1942=1,X1942&lt;&gt;""),"",IF(AND(B1942&lt;&gt;"",COUNTIF(tx_ID,B1942)&gt;1),"Duplicate transaction ID",IF(AND(L1942&lt;0,D1942&lt;&gt;"Adjustment"),"Negative amount — check this entry",IF(AND(D1942="Customer Payment",G1942=""),"Add the customer",IF(AND(D1942="Customer Payment",OR(J1942="",COUNTIF(ar_No,J1942&amp;"")=0)),"Invoice # in Reference not found on AR sheet",IF(AND(D1942="Bill Payment",H1942=""),"Add the vendor",IF(AND(D1942="Bill Payment",OR(J1942="",COUNTIFS(ap_No,J1942&amp;"",ap_Party,H1942&amp;"")=0)),"Bill # + vendor not found on AP sheet",IF(AND(ISNUMBER(M1942),N(M1942)&lt;&gt;0,W1942=0),"Tax ignored (tax tracking off, or not allowed for this type)",IF(V1942=K1942&amp;"","Same account on both sides",IF(AND(ISNUMBER(StartDate),C1942&lt;StartDate),"Date is before the accounting start date",IF(AND(D1942&lt;&gt;"Adjustment",IFERROR(INDEX(coa_Pay,MATCH(K1942&amp;"",coa_Name,0)),"")&lt;&gt;"Yes"),"Paid From / Deposited To is not a payment account","")))))))))))</f>
        <v/>
      </c>
      <c r="Z1942" s="67">
        <f>IF(AND(T1942=0,X1942=""),1,0)</f>
        <v/>
      </c>
      <c r="AA1942" s="68">
        <f>IF(Z1942=1,IF(U1942="In",L1942,L1942-W1942),0)</f>
        <v/>
      </c>
      <c r="AB1942" s="68">
        <f>IF(Z1942=1,IF(U1942="In",L1942-W1942,L1942),0)</f>
        <v/>
      </c>
      <c r="AC1942" s="68">
        <f>IF(AND(Z1942=1,U1942="Out"),W1942,0)</f>
        <v/>
      </c>
      <c r="AD1942" s="68">
        <f>IF(AND(Z1942=1,U1942="In"),W1942,0)</f>
        <v/>
      </c>
    </row>
    <row r="1943">
      <c r="B1943" s="62" t="inlineStr">
        <is>
          <t>TX-1937</t>
        </is>
      </c>
      <c r="C1943" s="63" t="n"/>
      <c r="D1943" s="62" t="n"/>
      <c r="E1943" s="62" t="n"/>
      <c r="F1943" s="62" t="n"/>
      <c r="G1943" s="62" t="n"/>
      <c r="H1943" s="62" t="n"/>
      <c r="I1943" s="62" t="n"/>
      <c r="J1943" s="62" t="n"/>
      <c r="K1943" s="62" t="n"/>
      <c r="L1943" s="64" t="n"/>
      <c r="M1943" s="64" t="n"/>
      <c r="N1943" s="62" t="n"/>
      <c r="O1943" s="65">
        <f>IF(Z1943=1,L1943-W1943,"")</f>
        <v/>
      </c>
      <c r="P1943" s="66">
        <f>IF(V1943="","",IFERROR(INDEX(coa_Type,MATCH(V1943,coa_Name,0)),""))</f>
        <v/>
      </c>
      <c r="Q1943" s="66">
        <f>IF(Z1943=1,IF(U1943="In",K1943&amp;"",V1943),"")</f>
        <v/>
      </c>
      <c r="R1943" s="66">
        <f>IF(Z1943=1,IF(U1943="In",V1943,K1943&amp;""),"")</f>
        <v/>
      </c>
      <c r="S1943" s="66">
        <f>IF(X1943&lt;&gt;"","⛔ "&amp;X1943&amp;" — not posted",IF(Y1943&lt;&gt;"","⚠ "&amp;Y1943,IF(Z1943=1,"✓ OK","")))</f>
        <v/>
      </c>
      <c r="T1943" s="67">
        <f>IF(AND(C1943="",D1943="",E1943="",L1943="",K1943=""),1,0)</f>
        <v/>
      </c>
      <c r="U1943" s="67">
        <f>IFERROR(INDEX(tt_Dir,MATCH(D1943,tt_Type,0)),"")</f>
        <v/>
      </c>
      <c r="V1943" s="67">
        <f>IF(D1943="","",IFERROR(IF(INDEX(tt_Other,MATCH(D1943,tt_Type,0))="",E1943&amp;"",INDEX(tt_Other,MATCH(D1943,tt_Type,0))),""))</f>
        <v/>
      </c>
      <c r="W1943" s="68">
        <f>IF(OR(TaxOn&lt;&gt;"Yes",NOT(ISNUMBER(M1943))),0,IF(IFERROR(INDEX(tt_Tax,MATCH(D1943,tt_Type,0)),"No")="Yes",M1943,0))</f>
        <v/>
      </c>
      <c r="X1943" s="67">
        <f>IF(T1943=1,"",IF(C1943="","Missing transaction date",IF(NOT(ISNUMBER(C1943)),"Invalid date",IF(OR(C1943&lt;DATE(2000,1,1),C1943&gt;DATE(2099,12,31)),"Invalid date",IF(D1943="","Select a type",IF(U1943="","Unknown type: "&amp;D1943,IF(V1943="","Select an account (Category)",IF(ISNA(MATCH(V1943,coa_Name,0)),"Unknown account: "&amp;V1943,IF(K1943="","Select Paid From / Deposited To",IF(ISNA(MATCH(K1943,coa_Name,0)),"Unknown account: "&amp;K1943,IF(NOT(ISNUMBER(L1943)),"Enter an amount",IF(L1943=0,"Enter an amount",IF(ABS(W1943)&gt;ABS(L1943),"Tax is larger than the amount","")))))))))))))</f>
        <v/>
      </c>
      <c r="Y1943" s="67">
        <f>IF(OR(T1943=1,X1943&lt;&gt;""),"",IF(AND(B1943&lt;&gt;"",COUNTIF(tx_ID,B1943)&gt;1),"Duplicate transaction ID",IF(AND(L1943&lt;0,D1943&lt;&gt;"Adjustment"),"Negative amount — check this entry",IF(AND(D1943="Customer Payment",G1943=""),"Add the customer",IF(AND(D1943="Customer Payment",OR(J1943="",COUNTIF(ar_No,J1943&amp;"")=0)),"Invoice # in Reference not found on AR sheet",IF(AND(D1943="Bill Payment",H1943=""),"Add the vendor",IF(AND(D1943="Bill Payment",OR(J1943="",COUNTIFS(ap_No,J1943&amp;"",ap_Party,H1943&amp;"")=0)),"Bill # + vendor not found on AP sheet",IF(AND(ISNUMBER(M1943),N(M1943)&lt;&gt;0,W1943=0),"Tax ignored (tax tracking off, or not allowed for this type)",IF(V1943=K1943&amp;"","Same account on both sides",IF(AND(ISNUMBER(StartDate),C1943&lt;StartDate),"Date is before the accounting start date",IF(AND(D1943&lt;&gt;"Adjustment",IFERROR(INDEX(coa_Pay,MATCH(K1943&amp;"",coa_Name,0)),"")&lt;&gt;"Yes"),"Paid From / Deposited To is not a payment account","")))))))))))</f>
        <v/>
      </c>
      <c r="Z1943" s="67">
        <f>IF(AND(T1943=0,X1943=""),1,0)</f>
        <v/>
      </c>
      <c r="AA1943" s="68">
        <f>IF(Z1943=1,IF(U1943="In",L1943,L1943-W1943),0)</f>
        <v/>
      </c>
      <c r="AB1943" s="68">
        <f>IF(Z1943=1,IF(U1943="In",L1943-W1943,L1943),0)</f>
        <v/>
      </c>
      <c r="AC1943" s="68">
        <f>IF(AND(Z1943=1,U1943="Out"),W1943,0)</f>
        <v/>
      </c>
      <c r="AD1943" s="68">
        <f>IF(AND(Z1943=1,U1943="In"),W1943,0)</f>
        <v/>
      </c>
    </row>
    <row r="1944">
      <c r="B1944" s="62" t="inlineStr">
        <is>
          <t>TX-1938</t>
        </is>
      </c>
      <c r="C1944" s="63" t="n"/>
      <c r="D1944" s="62" t="n"/>
      <c r="E1944" s="62" t="n"/>
      <c r="F1944" s="62" t="n"/>
      <c r="G1944" s="62" t="n"/>
      <c r="H1944" s="62" t="n"/>
      <c r="I1944" s="62" t="n"/>
      <c r="J1944" s="62" t="n"/>
      <c r="K1944" s="62" t="n"/>
      <c r="L1944" s="64" t="n"/>
      <c r="M1944" s="64" t="n"/>
      <c r="N1944" s="62" t="n"/>
      <c r="O1944" s="65">
        <f>IF(Z1944=1,L1944-W1944,"")</f>
        <v/>
      </c>
      <c r="P1944" s="66">
        <f>IF(V1944="","",IFERROR(INDEX(coa_Type,MATCH(V1944,coa_Name,0)),""))</f>
        <v/>
      </c>
      <c r="Q1944" s="66">
        <f>IF(Z1944=1,IF(U1944="In",K1944&amp;"",V1944),"")</f>
        <v/>
      </c>
      <c r="R1944" s="66">
        <f>IF(Z1944=1,IF(U1944="In",V1944,K1944&amp;""),"")</f>
        <v/>
      </c>
      <c r="S1944" s="66">
        <f>IF(X1944&lt;&gt;"","⛔ "&amp;X1944&amp;" — not posted",IF(Y1944&lt;&gt;"","⚠ "&amp;Y1944,IF(Z1944=1,"✓ OK","")))</f>
        <v/>
      </c>
      <c r="T1944" s="67">
        <f>IF(AND(C1944="",D1944="",E1944="",L1944="",K1944=""),1,0)</f>
        <v/>
      </c>
      <c r="U1944" s="67">
        <f>IFERROR(INDEX(tt_Dir,MATCH(D1944,tt_Type,0)),"")</f>
        <v/>
      </c>
      <c r="V1944" s="67">
        <f>IF(D1944="","",IFERROR(IF(INDEX(tt_Other,MATCH(D1944,tt_Type,0))="",E1944&amp;"",INDEX(tt_Other,MATCH(D1944,tt_Type,0))),""))</f>
        <v/>
      </c>
      <c r="W1944" s="68">
        <f>IF(OR(TaxOn&lt;&gt;"Yes",NOT(ISNUMBER(M1944))),0,IF(IFERROR(INDEX(tt_Tax,MATCH(D1944,tt_Type,0)),"No")="Yes",M1944,0))</f>
        <v/>
      </c>
      <c r="X1944" s="67">
        <f>IF(T1944=1,"",IF(C1944="","Missing transaction date",IF(NOT(ISNUMBER(C1944)),"Invalid date",IF(OR(C1944&lt;DATE(2000,1,1),C1944&gt;DATE(2099,12,31)),"Invalid date",IF(D1944="","Select a type",IF(U1944="","Unknown type: "&amp;D1944,IF(V1944="","Select an account (Category)",IF(ISNA(MATCH(V1944,coa_Name,0)),"Unknown account: "&amp;V1944,IF(K1944="","Select Paid From / Deposited To",IF(ISNA(MATCH(K1944,coa_Name,0)),"Unknown account: "&amp;K1944,IF(NOT(ISNUMBER(L1944)),"Enter an amount",IF(L1944=0,"Enter an amount",IF(ABS(W1944)&gt;ABS(L1944),"Tax is larger than the amount","")))))))))))))</f>
        <v/>
      </c>
      <c r="Y1944" s="67">
        <f>IF(OR(T1944=1,X1944&lt;&gt;""),"",IF(AND(B1944&lt;&gt;"",COUNTIF(tx_ID,B1944)&gt;1),"Duplicate transaction ID",IF(AND(L1944&lt;0,D1944&lt;&gt;"Adjustment"),"Negative amount — check this entry",IF(AND(D1944="Customer Payment",G1944=""),"Add the customer",IF(AND(D1944="Customer Payment",OR(J1944="",COUNTIF(ar_No,J1944&amp;"")=0)),"Invoice # in Reference not found on AR sheet",IF(AND(D1944="Bill Payment",H1944=""),"Add the vendor",IF(AND(D1944="Bill Payment",OR(J1944="",COUNTIFS(ap_No,J1944&amp;"",ap_Party,H1944&amp;"")=0)),"Bill # + vendor not found on AP sheet",IF(AND(ISNUMBER(M1944),N(M1944)&lt;&gt;0,W1944=0),"Tax ignored (tax tracking off, or not allowed for this type)",IF(V1944=K1944&amp;"","Same account on both sides",IF(AND(ISNUMBER(StartDate),C1944&lt;StartDate),"Date is before the accounting start date",IF(AND(D1944&lt;&gt;"Adjustment",IFERROR(INDEX(coa_Pay,MATCH(K1944&amp;"",coa_Name,0)),"")&lt;&gt;"Yes"),"Paid From / Deposited To is not a payment account","")))))))))))</f>
        <v/>
      </c>
      <c r="Z1944" s="67">
        <f>IF(AND(T1944=0,X1944=""),1,0)</f>
        <v/>
      </c>
      <c r="AA1944" s="68">
        <f>IF(Z1944=1,IF(U1944="In",L1944,L1944-W1944),0)</f>
        <v/>
      </c>
      <c r="AB1944" s="68">
        <f>IF(Z1944=1,IF(U1944="In",L1944-W1944,L1944),0)</f>
        <v/>
      </c>
      <c r="AC1944" s="68">
        <f>IF(AND(Z1944=1,U1944="Out"),W1944,0)</f>
        <v/>
      </c>
      <c r="AD1944" s="68">
        <f>IF(AND(Z1944=1,U1944="In"),W1944,0)</f>
        <v/>
      </c>
    </row>
    <row r="1945">
      <c r="B1945" s="62" t="inlineStr">
        <is>
          <t>TX-1939</t>
        </is>
      </c>
      <c r="C1945" s="63" t="n"/>
      <c r="D1945" s="62" t="n"/>
      <c r="E1945" s="62" t="n"/>
      <c r="F1945" s="62" t="n"/>
      <c r="G1945" s="62" t="n"/>
      <c r="H1945" s="62" t="n"/>
      <c r="I1945" s="62" t="n"/>
      <c r="J1945" s="62" t="n"/>
      <c r="K1945" s="62" t="n"/>
      <c r="L1945" s="64" t="n"/>
      <c r="M1945" s="64" t="n"/>
      <c r="N1945" s="62" t="n"/>
      <c r="O1945" s="65">
        <f>IF(Z1945=1,L1945-W1945,"")</f>
        <v/>
      </c>
      <c r="P1945" s="66">
        <f>IF(V1945="","",IFERROR(INDEX(coa_Type,MATCH(V1945,coa_Name,0)),""))</f>
        <v/>
      </c>
      <c r="Q1945" s="66">
        <f>IF(Z1945=1,IF(U1945="In",K1945&amp;"",V1945),"")</f>
        <v/>
      </c>
      <c r="R1945" s="66">
        <f>IF(Z1945=1,IF(U1945="In",V1945,K1945&amp;""),"")</f>
        <v/>
      </c>
      <c r="S1945" s="66">
        <f>IF(X1945&lt;&gt;"","⛔ "&amp;X1945&amp;" — not posted",IF(Y1945&lt;&gt;"","⚠ "&amp;Y1945,IF(Z1945=1,"✓ OK","")))</f>
        <v/>
      </c>
      <c r="T1945" s="67">
        <f>IF(AND(C1945="",D1945="",E1945="",L1945="",K1945=""),1,0)</f>
        <v/>
      </c>
      <c r="U1945" s="67">
        <f>IFERROR(INDEX(tt_Dir,MATCH(D1945,tt_Type,0)),"")</f>
        <v/>
      </c>
      <c r="V1945" s="67">
        <f>IF(D1945="","",IFERROR(IF(INDEX(tt_Other,MATCH(D1945,tt_Type,0))="",E1945&amp;"",INDEX(tt_Other,MATCH(D1945,tt_Type,0))),""))</f>
        <v/>
      </c>
      <c r="W1945" s="68">
        <f>IF(OR(TaxOn&lt;&gt;"Yes",NOT(ISNUMBER(M1945))),0,IF(IFERROR(INDEX(tt_Tax,MATCH(D1945,tt_Type,0)),"No")="Yes",M1945,0))</f>
        <v/>
      </c>
      <c r="X1945" s="67">
        <f>IF(T1945=1,"",IF(C1945="","Missing transaction date",IF(NOT(ISNUMBER(C1945)),"Invalid date",IF(OR(C1945&lt;DATE(2000,1,1),C1945&gt;DATE(2099,12,31)),"Invalid date",IF(D1945="","Select a type",IF(U1945="","Unknown type: "&amp;D1945,IF(V1945="","Select an account (Category)",IF(ISNA(MATCH(V1945,coa_Name,0)),"Unknown account: "&amp;V1945,IF(K1945="","Select Paid From / Deposited To",IF(ISNA(MATCH(K1945,coa_Name,0)),"Unknown account: "&amp;K1945,IF(NOT(ISNUMBER(L1945)),"Enter an amount",IF(L1945=0,"Enter an amount",IF(ABS(W1945)&gt;ABS(L1945),"Tax is larger than the amount","")))))))))))))</f>
        <v/>
      </c>
      <c r="Y1945" s="67">
        <f>IF(OR(T1945=1,X1945&lt;&gt;""),"",IF(AND(B1945&lt;&gt;"",COUNTIF(tx_ID,B1945)&gt;1),"Duplicate transaction ID",IF(AND(L1945&lt;0,D1945&lt;&gt;"Adjustment"),"Negative amount — check this entry",IF(AND(D1945="Customer Payment",G1945=""),"Add the customer",IF(AND(D1945="Customer Payment",OR(J1945="",COUNTIF(ar_No,J1945&amp;"")=0)),"Invoice # in Reference not found on AR sheet",IF(AND(D1945="Bill Payment",H1945=""),"Add the vendor",IF(AND(D1945="Bill Payment",OR(J1945="",COUNTIFS(ap_No,J1945&amp;"",ap_Party,H1945&amp;"")=0)),"Bill # + vendor not found on AP sheet",IF(AND(ISNUMBER(M1945),N(M1945)&lt;&gt;0,W1945=0),"Tax ignored (tax tracking off, or not allowed for this type)",IF(V1945=K1945&amp;"","Same account on both sides",IF(AND(ISNUMBER(StartDate),C1945&lt;StartDate),"Date is before the accounting start date",IF(AND(D1945&lt;&gt;"Adjustment",IFERROR(INDEX(coa_Pay,MATCH(K1945&amp;"",coa_Name,0)),"")&lt;&gt;"Yes"),"Paid From / Deposited To is not a payment account","")))))))))))</f>
        <v/>
      </c>
      <c r="Z1945" s="67">
        <f>IF(AND(T1945=0,X1945=""),1,0)</f>
        <v/>
      </c>
      <c r="AA1945" s="68">
        <f>IF(Z1945=1,IF(U1945="In",L1945,L1945-W1945),0)</f>
        <v/>
      </c>
      <c r="AB1945" s="68">
        <f>IF(Z1945=1,IF(U1945="In",L1945-W1945,L1945),0)</f>
        <v/>
      </c>
      <c r="AC1945" s="68">
        <f>IF(AND(Z1945=1,U1945="Out"),W1945,0)</f>
        <v/>
      </c>
      <c r="AD1945" s="68">
        <f>IF(AND(Z1945=1,U1945="In"),W1945,0)</f>
        <v/>
      </c>
    </row>
    <row r="1946">
      <c r="B1946" s="62" t="inlineStr">
        <is>
          <t>TX-1940</t>
        </is>
      </c>
      <c r="C1946" s="63" t="n"/>
      <c r="D1946" s="62" t="n"/>
      <c r="E1946" s="62" t="n"/>
      <c r="F1946" s="62" t="n"/>
      <c r="G1946" s="62" t="n"/>
      <c r="H1946" s="62" t="n"/>
      <c r="I1946" s="62" t="n"/>
      <c r="J1946" s="62" t="n"/>
      <c r="K1946" s="62" t="n"/>
      <c r="L1946" s="64" t="n"/>
      <c r="M1946" s="64" t="n"/>
      <c r="N1946" s="62" t="n"/>
      <c r="O1946" s="65">
        <f>IF(Z1946=1,L1946-W1946,"")</f>
        <v/>
      </c>
      <c r="P1946" s="66">
        <f>IF(V1946="","",IFERROR(INDEX(coa_Type,MATCH(V1946,coa_Name,0)),""))</f>
        <v/>
      </c>
      <c r="Q1946" s="66">
        <f>IF(Z1946=1,IF(U1946="In",K1946&amp;"",V1946),"")</f>
        <v/>
      </c>
      <c r="R1946" s="66">
        <f>IF(Z1946=1,IF(U1946="In",V1946,K1946&amp;""),"")</f>
        <v/>
      </c>
      <c r="S1946" s="66">
        <f>IF(X1946&lt;&gt;"","⛔ "&amp;X1946&amp;" — not posted",IF(Y1946&lt;&gt;"","⚠ "&amp;Y1946,IF(Z1946=1,"✓ OK","")))</f>
        <v/>
      </c>
      <c r="T1946" s="67">
        <f>IF(AND(C1946="",D1946="",E1946="",L1946="",K1946=""),1,0)</f>
        <v/>
      </c>
      <c r="U1946" s="67">
        <f>IFERROR(INDEX(tt_Dir,MATCH(D1946,tt_Type,0)),"")</f>
        <v/>
      </c>
      <c r="V1946" s="67">
        <f>IF(D1946="","",IFERROR(IF(INDEX(tt_Other,MATCH(D1946,tt_Type,0))="",E1946&amp;"",INDEX(tt_Other,MATCH(D1946,tt_Type,0))),""))</f>
        <v/>
      </c>
      <c r="W1946" s="68">
        <f>IF(OR(TaxOn&lt;&gt;"Yes",NOT(ISNUMBER(M1946))),0,IF(IFERROR(INDEX(tt_Tax,MATCH(D1946,tt_Type,0)),"No")="Yes",M1946,0))</f>
        <v/>
      </c>
      <c r="X1946" s="67">
        <f>IF(T1946=1,"",IF(C1946="","Missing transaction date",IF(NOT(ISNUMBER(C1946)),"Invalid date",IF(OR(C1946&lt;DATE(2000,1,1),C1946&gt;DATE(2099,12,31)),"Invalid date",IF(D1946="","Select a type",IF(U1946="","Unknown type: "&amp;D1946,IF(V1946="","Select an account (Category)",IF(ISNA(MATCH(V1946,coa_Name,0)),"Unknown account: "&amp;V1946,IF(K1946="","Select Paid From / Deposited To",IF(ISNA(MATCH(K1946,coa_Name,0)),"Unknown account: "&amp;K1946,IF(NOT(ISNUMBER(L1946)),"Enter an amount",IF(L1946=0,"Enter an amount",IF(ABS(W1946)&gt;ABS(L1946),"Tax is larger than the amount","")))))))))))))</f>
        <v/>
      </c>
      <c r="Y1946" s="67">
        <f>IF(OR(T1946=1,X1946&lt;&gt;""),"",IF(AND(B1946&lt;&gt;"",COUNTIF(tx_ID,B1946)&gt;1),"Duplicate transaction ID",IF(AND(L1946&lt;0,D1946&lt;&gt;"Adjustment"),"Negative amount — check this entry",IF(AND(D1946="Customer Payment",G1946=""),"Add the customer",IF(AND(D1946="Customer Payment",OR(J1946="",COUNTIF(ar_No,J1946&amp;"")=0)),"Invoice # in Reference not found on AR sheet",IF(AND(D1946="Bill Payment",H1946=""),"Add the vendor",IF(AND(D1946="Bill Payment",OR(J1946="",COUNTIFS(ap_No,J1946&amp;"",ap_Party,H1946&amp;"")=0)),"Bill # + vendor not found on AP sheet",IF(AND(ISNUMBER(M1946),N(M1946)&lt;&gt;0,W1946=0),"Tax ignored (tax tracking off, or not allowed for this type)",IF(V1946=K1946&amp;"","Same account on both sides",IF(AND(ISNUMBER(StartDate),C1946&lt;StartDate),"Date is before the accounting start date",IF(AND(D1946&lt;&gt;"Adjustment",IFERROR(INDEX(coa_Pay,MATCH(K1946&amp;"",coa_Name,0)),"")&lt;&gt;"Yes"),"Paid From / Deposited To is not a payment account","")))))))))))</f>
        <v/>
      </c>
      <c r="Z1946" s="67">
        <f>IF(AND(T1946=0,X1946=""),1,0)</f>
        <v/>
      </c>
      <c r="AA1946" s="68">
        <f>IF(Z1946=1,IF(U1946="In",L1946,L1946-W1946),0)</f>
        <v/>
      </c>
      <c r="AB1946" s="68">
        <f>IF(Z1946=1,IF(U1946="In",L1946-W1946,L1946),0)</f>
        <v/>
      </c>
      <c r="AC1946" s="68">
        <f>IF(AND(Z1946=1,U1946="Out"),W1946,0)</f>
        <v/>
      </c>
      <c r="AD1946" s="68">
        <f>IF(AND(Z1946=1,U1946="In"),W1946,0)</f>
        <v/>
      </c>
    </row>
    <row r="1947">
      <c r="B1947" s="62" t="inlineStr">
        <is>
          <t>TX-1941</t>
        </is>
      </c>
      <c r="C1947" s="63" t="n"/>
      <c r="D1947" s="62" t="n"/>
      <c r="E1947" s="62" t="n"/>
      <c r="F1947" s="62" t="n"/>
      <c r="G1947" s="62" t="n"/>
      <c r="H1947" s="62" t="n"/>
      <c r="I1947" s="62" t="n"/>
      <c r="J1947" s="62" t="n"/>
      <c r="K1947" s="62" t="n"/>
      <c r="L1947" s="64" t="n"/>
      <c r="M1947" s="64" t="n"/>
      <c r="N1947" s="62" t="n"/>
      <c r="O1947" s="65">
        <f>IF(Z1947=1,L1947-W1947,"")</f>
        <v/>
      </c>
      <c r="P1947" s="66">
        <f>IF(V1947="","",IFERROR(INDEX(coa_Type,MATCH(V1947,coa_Name,0)),""))</f>
        <v/>
      </c>
      <c r="Q1947" s="66">
        <f>IF(Z1947=1,IF(U1947="In",K1947&amp;"",V1947),"")</f>
        <v/>
      </c>
      <c r="R1947" s="66">
        <f>IF(Z1947=1,IF(U1947="In",V1947,K1947&amp;""),"")</f>
        <v/>
      </c>
      <c r="S1947" s="66">
        <f>IF(X1947&lt;&gt;"","⛔ "&amp;X1947&amp;" — not posted",IF(Y1947&lt;&gt;"","⚠ "&amp;Y1947,IF(Z1947=1,"✓ OK","")))</f>
        <v/>
      </c>
      <c r="T1947" s="67">
        <f>IF(AND(C1947="",D1947="",E1947="",L1947="",K1947=""),1,0)</f>
        <v/>
      </c>
      <c r="U1947" s="67">
        <f>IFERROR(INDEX(tt_Dir,MATCH(D1947,tt_Type,0)),"")</f>
        <v/>
      </c>
      <c r="V1947" s="67">
        <f>IF(D1947="","",IFERROR(IF(INDEX(tt_Other,MATCH(D1947,tt_Type,0))="",E1947&amp;"",INDEX(tt_Other,MATCH(D1947,tt_Type,0))),""))</f>
        <v/>
      </c>
      <c r="W1947" s="68">
        <f>IF(OR(TaxOn&lt;&gt;"Yes",NOT(ISNUMBER(M1947))),0,IF(IFERROR(INDEX(tt_Tax,MATCH(D1947,tt_Type,0)),"No")="Yes",M1947,0))</f>
        <v/>
      </c>
      <c r="X1947" s="67">
        <f>IF(T1947=1,"",IF(C1947="","Missing transaction date",IF(NOT(ISNUMBER(C1947)),"Invalid date",IF(OR(C1947&lt;DATE(2000,1,1),C1947&gt;DATE(2099,12,31)),"Invalid date",IF(D1947="","Select a type",IF(U1947="","Unknown type: "&amp;D1947,IF(V1947="","Select an account (Category)",IF(ISNA(MATCH(V1947,coa_Name,0)),"Unknown account: "&amp;V1947,IF(K1947="","Select Paid From / Deposited To",IF(ISNA(MATCH(K1947,coa_Name,0)),"Unknown account: "&amp;K1947,IF(NOT(ISNUMBER(L1947)),"Enter an amount",IF(L1947=0,"Enter an amount",IF(ABS(W1947)&gt;ABS(L1947),"Tax is larger than the amount","")))))))))))))</f>
        <v/>
      </c>
      <c r="Y1947" s="67">
        <f>IF(OR(T1947=1,X1947&lt;&gt;""),"",IF(AND(B1947&lt;&gt;"",COUNTIF(tx_ID,B1947)&gt;1),"Duplicate transaction ID",IF(AND(L1947&lt;0,D1947&lt;&gt;"Adjustment"),"Negative amount — check this entry",IF(AND(D1947="Customer Payment",G1947=""),"Add the customer",IF(AND(D1947="Customer Payment",OR(J1947="",COUNTIF(ar_No,J1947&amp;"")=0)),"Invoice # in Reference not found on AR sheet",IF(AND(D1947="Bill Payment",H1947=""),"Add the vendor",IF(AND(D1947="Bill Payment",OR(J1947="",COUNTIFS(ap_No,J1947&amp;"",ap_Party,H1947&amp;"")=0)),"Bill # + vendor not found on AP sheet",IF(AND(ISNUMBER(M1947),N(M1947)&lt;&gt;0,W1947=0),"Tax ignored (tax tracking off, or not allowed for this type)",IF(V1947=K1947&amp;"","Same account on both sides",IF(AND(ISNUMBER(StartDate),C1947&lt;StartDate),"Date is before the accounting start date",IF(AND(D1947&lt;&gt;"Adjustment",IFERROR(INDEX(coa_Pay,MATCH(K1947&amp;"",coa_Name,0)),"")&lt;&gt;"Yes"),"Paid From / Deposited To is not a payment account","")))))))))))</f>
        <v/>
      </c>
      <c r="Z1947" s="67">
        <f>IF(AND(T1947=0,X1947=""),1,0)</f>
        <v/>
      </c>
      <c r="AA1947" s="68">
        <f>IF(Z1947=1,IF(U1947="In",L1947,L1947-W1947),0)</f>
        <v/>
      </c>
      <c r="AB1947" s="68">
        <f>IF(Z1947=1,IF(U1947="In",L1947-W1947,L1947),0)</f>
        <v/>
      </c>
      <c r="AC1947" s="68">
        <f>IF(AND(Z1947=1,U1947="Out"),W1947,0)</f>
        <v/>
      </c>
      <c r="AD1947" s="68">
        <f>IF(AND(Z1947=1,U1947="In"),W1947,0)</f>
        <v/>
      </c>
    </row>
    <row r="1948">
      <c r="B1948" s="62" t="inlineStr">
        <is>
          <t>TX-1942</t>
        </is>
      </c>
      <c r="C1948" s="63" t="n"/>
      <c r="D1948" s="62" t="n"/>
      <c r="E1948" s="62" t="n"/>
      <c r="F1948" s="62" t="n"/>
      <c r="G1948" s="62" t="n"/>
      <c r="H1948" s="62" t="n"/>
      <c r="I1948" s="62" t="n"/>
      <c r="J1948" s="62" t="n"/>
      <c r="K1948" s="62" t="n"/>
      <c r="L1948" s="64" t="n"/>
      <c r="M1948" s="64" t="n"/>
      <c r="N1948" s="62" t="n"/>
      <c r="O1948" s="65">
        <f>IF(Z1948=1,L1948-W1948,"")</f>
        <v/>
      </c>
      <c r="P1948" s="66">
        <f>IF(V1948="","",IFERROR(INDEX(coa_Type,MATCH(V1948,coa_Name,0)),""))</f>
        <v/>
      </c>
      <c r="Q1948" s="66">
        <f>IF(Z1948=1,IF(U1948="In",K1948&amp;"",V1948),"")</f>
        <v/>
      </c>
      <c r="R1948" s="66">
        <f>IF(Z1948=1,IF(U1948="In",V1948,K1948&amp;""),"")</f>
        <v/>
      </c>
      <c r="S1948" s="66">
        <f>IF(X1948&lt;&gt;"","⛔ "&amp;X1948&amp;" — not posted",IF(Y1948&lt;&gt;"","⚠ "&amp;Y1948,IF(Z1948=1,"✓ OK","")))</f>
        <v/>
      </c>
      <c r="T1948" s="67">
        <f>IF(AND(C1948="",D1948="",E1948="",L1948="",K1948=""),1,0)</f>
        <v/>
      </c>
      <c r="U1948" s="67">
        <f>IFERROR(INDEX(tt_Dir,MATCH(D1948,tt_Type,0)),"")</f>
        <v/>
      </c>
      <c r="V1948" s="67">
        <f>IF(D1948="","",IFERROR(IF(INDEX(tt_Other,MATCH(D1948,tt_Type,0))="",E1948&amp;"",INDEX(tt_Other,MATCH(D1948,tt_Type,0))),""))</f>
        <v/>
      </c>
      <c r="W1948" s="68">
        <f>IF(OR(TaxOn&lt;&gt;"Yes",NOT(ISNUMBER(M1948))),0,IF(IFERROR(INDEX(tt_Tax,MATCH(D1948,tt_Type,0)),"No")="Yes",M1948,0))</f>
        <v/>
      </c>
      <c r="X1948" s="67">
        <f>IF(T1948=1,"",IF(C1948="","Missing transaction date",IF(NOT(ISNUMBER(C1948)),"Invalid date",IF(OR(C1948&lt;DATE(2000,1,1),C1948&gt;DATE(2099,12,31)),"Invalid date",IF(D1948="","Select a type",IF(U1948="","Unknown type: "&amp;D1948,IF(V1948="","Select an account (Category)",IF(ISNA(MATCH(V1948,coa_Name,0)),"Unknown account: "&amp;V1948,IF(K1948="","Select Paid From / Deposited To",IF(ISNA(MATCH(K1948,coa_Name,0)),"Unknown account: "&amp;K1948,IF(NOT(ISNUMBER(L1948)),"Enter an amount",IF(L1948=0,"Enter an amount",IF(ABS(W1948)&gt;ABS(L1948),"Tax is larger than the amount","")))))))))))))</f>
        <v/>
      </c>
      <c r="Y1948" s="67">
        <f>IF(OR(T1948=1,X1948&lt;&gt;""),"",IF(AND(B1948&lt;&gt;"",COUNTIF(tx_ID,B1948)&gt;1),"Duplicate transaction ID",IF(AND(L1948&lt;0,D1948&lt;&gt;"Adjustment"),"Negative amount — check this entry",IF(AND(D1948="Customer Payment",G1948=""),"Add the customer",IF(AND(D1948="Customer Payment",OR(J1948="",COUNTIF(ar_No,J1948&amp;"")=0)),"Invoice # in Reference not found on AR sheet",IF(AND(D1948="Bill Payment",H1948=""),"Add the vendor",IF(AND(D1948="Bill Payment",OR(J1948="",COUNTIFS(ap_No,J1948&amp;"",ap_Party,H1948&amp;"")=0)),"Bill # + vendor not found on AP sheet",IF(AND(ISNUMBER(M1948),N(M1948)&lt;&gt;0,W1948=0),"Tax ignored (tax tracking off, or not allowed for this type)",IF(V1948=K1948&amp;"","Same account on both sides",IF(AND(ISNUMBER(StartDate),C1948&lt;StartDate),"Date is before the accounting start date",IF(AND(D1948&lt;&gt;"Adjustment",IFERROR(INDEX(coa_Pay,MATCH(K1948&amp;"",coa_Name,0)),"")&lt;&gt;"Yes"),"Paid From / Deposited To is not a payment account","")))))))))))</f>
        <v/>
      </c>
      <c r="Z1948" s="67">
        <f>IF(AND(T1948=0,X1948=""),1,0)</f>
        <v/>
      </c>
      <c r="AA1948" s="68">
        <f>IF(Z1948=1,IF(U1948="In",L1948,L1948-W1948),0)</f>
        <v/>
      </c>
      <c r="AB1948" s="68">
        <f>IF(Z1948=1,IF(U1948="In",L1948-W1948,L1948),0)</f>
        <v/>
      </c>
      <c r="AC1948" s="68">
        <f>IF(AND(Z1948=1,U1948="Out"),W1948,0)</f>
        <v/>
      </c>
      <c r="AD1948" s="68">
        <f>IF(AND(Z1948=1,U1948="In"),W1948,0)</f>
        <v/>
      </c>
    </row>
    <row r="1949">
      <c r="B1949" s="62" t="inlineStr">
        <is>
          <t>TX-1943</t>
        </is>
      </c>
      <c r="C1949" s="63" t="n"/>
      <c r="D1949" s="62" t="n"/>
      <c r="E1949" s="62" t="n"/>
      <c r="F1949" s="62" t="n"/>
      <c r="G1949" s="62" t="n"/>
      <c r="H1949" s="62" t="n"/>
      <c r="I1949" s="62" t="n"/>
      <c r="J1949" s="62" t="n"/>
      <c r="K1949" s="62" t="n"/>
      <c r="L1949" s="64" t="n"/>
      <c r="M1949" s="64" t="n"/>
      <c r="N1949" s="62" t="n"/>
      <c r="O1949" s="65">
        <f>IF(Z1949=1,L1949-W1949,"")</f>
        <v/>
      </c>
      <c r="P1949" s="66">
        <f>IF(V1949="","",IFERROR(INDEX(coa_Type,MATCH(V1949,coa_Name,0)),""))</f>
        <v/>
      </c>
      <c r="Q1949" s="66">
        <f>IF(Z1949=1,IF(U1949="In",K1949&amp;"",V1949),"")</f>
        <v/>
      </c>
      <c r="R1949" s="66">
        <f>IF(Z1949=1,IF(U1949="In",V1949,K1949&amp;""),"")</f>
        <v/>
      </c>
      <c r="S1949" s="66">
        <f>IF(X1949&lt;&gt;"","⛔ "&amp;X1949&amp;" — not posted",IF(Y1949&lt;&gt;"","⚠ "&amp;Y1949,IF(Z1949=1,"✓ OK","")))</f>
        <v/>
      </c>
      <c r="T1949" s="67">
        <f>IF(AND(C1949="",D1949="",E1949="",L1949="",K1949=""),1,0)</f>
        <v/>
      </c>
      <c r="U1949" s="67">
        <f>IFERROR(INDEX(tt_Dir,MATCH(D1949,tt_Type,0)),"")</f>
        <v/>
      </c>
      <c r="V1949" s="67">
        <f>IF(D1949="","",IFERROR(IF(INDEX(tt_Other,MATCH(D1949,tt_Type,0))="",E1949&amp;"",INDEX(tt_Other,MATCH(D1949,tt_Type,0))),""))</f>
        <v/>
      </c>
      <c r="W1949" s="68">
        <f>IF(OR(TaxOn&lt;&gt;"Yes",NOT(ISNUMBER(M1949))),0,IF(IFERROR(INDEX(tt_Tax,MATCH(D1949,tt_Type,0)),"No")="Yes",M1949,0))</f>
        <v/>
      </c>
      <c r="X1949" s="67">
        <f>IF(T1949=1,"",IF(C1949="","Missing transaction date",IF(NOT(ISNUMBER(C1949)),"Invalid date",IF(OR(C1949&lt;DATE(2000,1,1),C1949&gt;DATE(2099,12,31)),"Invalid date",IF(D1949="","Select a type",IF(U1949="","Unknown type: "&amp;D1949,IF(V1949="","Select an account (Category)",IF(ISNA(MATCH(V1949,coa_Name,0)),"Unknown account: "&amp;V1949,IF(K1949="","Select Paid From / Deposited To",IF(ISNA(MATCH(K1949,coa_Name,0)),"Unknown account: "&amp;K1949,IF(NOT(ISNUMBER(L1949)),"Enter an amount",IF(L1949=0,"Enter an amount",IF(ABS(W1949)&gt;ABS(L1949),"Tax is larger than the amount","")))))))))))))</f>
        <v/>
      </c>
      <c r="Y1949" s="67">
        <f>IF(OR(T1949=1,X1949&lt;&gt;""),"",IF(AND(B1949&lt;&gt;"",COUNTIF(tx_ID,B1949)&gt;1),"Duplicate transaction ID",IF(AND(L1949&lt;0,D1949&lt;&gt;"Adjustment"),"Negative amount — check this entry",IF(AND(D1949="Customer Payment",G1949=""),"Add the customer",IF(AND(D1949="Customer Payment",OR(J1949="",COUNTIF(ar_No,J1949&amp;"")=0)),"Invoice # in Reference not found on AR sheet",IF(AND(D1949="Bill Payment",H1949=""),"Add the vendor",IF(AND(D1949="Bill Payment",OR(J1949="",COUNTIFS(ap_No,J1949&amp;"",ap_Party,H1949&amp;"")=0)),"Bill # + vendor not found on AP sheet",IF(AND(ISNUMBER(M1949),N(M1949)&lt;&gt;0,W1949=0),"Tax ignored (tax tracking off, or not allowed for this type)",IF(V1949=K1949&amp;"","Same account on both sides",IF(AND(ISNUMBER(StartDate),C1949&lt;StartDate),"Date is before the accounting start date",IF(AND(D1949&lt;&gt;"Adjustment",IFERROR(INDEX(coa_Pay,MATCH(K1949&amp;"",coa_Name,0)),"")&lt;&gt;"Yes"),"Paid From / Deposited To is not a payment account","")))))))))))</f>
        <v/>
      </c>
      <c r="Z1949" s="67">
        <f>IF(AND(T1949=0,X1949=""),1,0)</f>
        <v/>
      </c>
      <c r="AA1949" s="68">
        <f>IF(Z1949=1,IF(U1949="In",L1949,L1949-W1949),0)</f>
        <v/>
      </c>
      <c r="AB1949" s="68">
        <f>IF(Z1949=1,IF(U1949="In",L1949-W1949,L1949),0)</f>
        <v/>
      </c>
      <c r="AC1949" s="68">
        <f>IF(AND(Z1949=1,U1949="Out"),W1949,0)</f>
        <v/>
      </c>
      <c r="AD1949" s="68">
        <f>IF(AND(Z1949=1,U1949="In"),W1949,0)</f>
        <v/>
      </c>
    </row>
    <row r="1950">
      <c r="B1950" s="62" t="inlineStr">
        <is>
          <t>TX-1944</t>
        </is>
      </c>
      <c r="C1950" s="63" t="n"/>
      <c r="D1950" s="62" t="n"/>
      <c r="E1950" s="62" t="n"/>
      <c r="F1950" s="62" t="n"/>
      <c r="G1950" s="62" t="n"/>
      <c r="H1950" s="62" t="n"/>
      <c r="I1950" s="62" t="n"/>
      <c r="J1950" s="62" t="n"/>
      <c r="K1950" s="62" t="n"/>
      <c r="L1950" s="64" t="n"/>
      <c r="M1950" s="64" t="n"/>
      <c r="N1950" s="62" t="n"/>
      <c r="O1950" s="65">
        <f>IF(Z1950=1,L1950-W1950,"")</f>
        <v/>
      </c>
      <c r="P1950" s="66">
        <f>IF(V1950="","",IFERROR(INDEX(coa_Type,MATCH(V1950,coa_Name,0)),""))</f>
        <v/>
      </c>
      <c r="Q1950" s="66">
        <f>IF(Z1950=1,IF(U1950="In",K1950&amp;"",V1950),"")</f>
        <v/>
      </c>
      <c r="R1950" s="66">
        <f>IF(Z1950=1,IF(U1950="In",V1950,K1950&amp;""),"")</f>
        <v/>
      </c>
      <c r="S1950" s="66">
        <f>IF(X1950&lt;&gt;"","⛔ "&amp;X1950&amp;" — not posted",IF(Y1950&lt;&gt;"","⚠ "&amp;Y1950,IF(Z1950=1,"✓ OK","")))</f>
        <v/>
      </c>
      <c r="T1950" s="67">
        <f>IF(AND(C1950="",D1950="",E1950="",L1950="",K1950=""),1,0)</f>
        <v/>
      </c>
      <c r="U1950" s="67">
        <f>IFERROR(INDEX(tt_Dir,MATCH(D1950,tt_Type,0)),"")</f>
        <v/>
      </c>
      <c r="V1950" s="67">
        <f>IF(D1950="","",IFERROR(IF(INDEX(tt_Other,MATCH(D1950,tt_Type,0))="",E1950&amp;"",INDEX(tt_Other,MATCH(D1950,tt_Type,0))),""))</f>
        <v/>
      </c>
      <c r="W1950" s="68">
        <f>IF(OR(TaxOn&lt;&gt;"Yes",NOT(ISNUMBER(M1950))),0,IF(IFERROR(INDEX(tt_Tax,MATCH(D1950,tt_Type,0)),"No")="Yes",M1950,0))</f>
        <v/>
      </c>
      <c r="X1950" s="67">
        <f>IF(T1950=1,"",IF(C1950="","Missing transaction date",IF(NOT(ISNUMBER(C1950)),"Invalid date",IF(OR(C1950&lt;DATE(2000,1,1),C1950&gt;DATE(2099,12,31)),"Invalid date",IF(D1950="","Select a type",IF(U1950="","Unknown type: "&amp;D1950,IF(V1950="","Select an account (Category)",IF(ISNA(MATCH(V1950,coa_Name,0)),"Unknown account: "&amp;V1950,IF(K1950="","Select Paid From / Deposited To",IF(ISNA(MATCH(K1950,coa_Name,0)),"Unknown account: "&amp;K1950,IF(NOT(ISNUMBER(L1950)),"Enter an amount",IF(L1950=0,"Enter an amount",IF(ABS(W1950)&gt;ABS(L1950),"Tax is larger than the amount","")))))))))))))</f>
        <v/>
      </c>
      <c r="Y1950" s="67">
        <f>IF(OR(T1950=1,X1950&lt;&gt;""),"",IF(AND(B1950&lt;&gt;"",COUNTIF(tx_ID,B1950)&gt;1),"Duplicate transaction ID",IF(AND(L1950&lt;0,D1950&lt;&gt;"Adjustment"),"Negative amount — check this entry",IF(AND(D1950="Customer Payment",G1950=""),"Add the customer",IF(AND(D1950="Customer Payment",OR(J1950="",COUNTIF(ar_No,J1950&amp;"")=0)),"Invoice # in Reference not found on AR sheet",IF(AND(D1950="Bill Payment",H1950=""),"Add the vendor",IF(AND(D1950="Bill Payment",OR(J1950="",COUNTIFS(ap_No,J1950&amp;"",ap_Party,H1950&amp;"")=0)),"Bill # + vendor not found on AP sheet",IF(AND(ISNUMBER(M1950),N(M1950)&lt;&gt;0,W1950=0),"Tax ignored (tax tracking off, or not allowed for this type)",IF(V1950=K1950&amp;"","Same account on both sides",IF(AND(ISNUMBER(StartDate),C1950&lt;StartDate),"Date is before the accounting start date",IF(AND(D1950&lt;&gt;"Adjustment",IFERROR(INDEX(coa_Pay,MATCH(K1950&amp;"",coa_Name,0)),"")&lt;&gt;"Yes"),"Paid From / Deposited To is not a payment account","")))))))))))</f>
        <v/>
      </c>
      <c r="Z1950" s="67">
        <f>IF(AND(T1950=0,X1950=""),1,0)</f>
        <v/>
      </c>
      <c r="AA1950" s="68">
        <f>IF(Z1950=1,IF(U1950="In",L1950,L1950-W1950),0)</f>
        <v/>
      </c>
      <c r="AB1950" s="68">
        <f>IF(Z1950=1,IF(U1950="In",L1950-W1950,L1950),0)</f>
        <v/>
      </c>
      <c r="AC1950" s="68">
        <f>IF(AND(Z1950=1,U1950="Out"),W1950,0)</f>
        <v/>
      </c>
      <c r="AD1950" s="68">
        <f>IF(AND(Z1950=1,U1950="In"),W1950,0)</f>
        <v/>
      </c>
    </row>
    <row r="1951">
      <c r="B1951" s="62" t="inlineStr">
        <is>
          <t>TX-1945</t>
        </is>
      </c>
      <c r="C1951" s="63" t="n"/>
      <c r="D1951" s="62" t="n"/>
      <c r="E1951" s="62" t="n"/>
      <c r="F1951" s="62" t="n"/>
      <c r="G1951" s="62" t="n"/>
      <c r="H1951" s="62" t="n"/>
      <c r="I1951" s="62" t="n"/>
      <c r="J1951" s="62" t="n"/>
      <c r="K1951" s="62" t="n"/>
      <c r="L1951" s="64" t="n"/>
      <c r="M1951" s="64" t="n"/>
      <c r="N1951" s="62" t="n"/>
      <c r="O1951" s="65">
        <f>IF(Z1951=1,L1951-W1951,"")</f>
        <v/>
      </c>
      <c r="P1951" s="66">
        <f>IF(V1951="","",IFERROR(INDEX(coa_Type,MATCH(V1951,coa_Name,0)),""))</f>
        <v/>
      </c>
      <c r="Q1951" s="66">
        <f>IF(Z1951=1,IF(U1951="In",K1951&amp;"",V1951),"")</f>
        <v/>
      </c>
      <c r="R1951" s="66">
        <f>IF(Z1951=1,IF(U1951="In",V1951,K1951&amp;""),"")</f>
        <v/>
      </c>
      <c r="S1951" s="66">
        <f>IF(X1951&lt;&gt;"","⛔ "&amp;X1951&amp;" — not posted",IF(Y1951&lt;&gt;"","⚠ "&amp;Y1951,IF(Z1951=1,"✓ OK","")))</f>
        <v/>
      </c>
      <c r="T1951" s="67">
        <f>IF(AND(C1951="",D1951="",E1951="",L1951="",K1951=""),1,0)</f>
        <v/>
      </c>
      <c r="U1951" s="67">
        <f>IFERROR(INDEX(tt_Dir,MATCH(D1951,tt_Type,0)),"")</f>
        <v/>
      </c>
      <c r="V1951" s="67">
        <f>IF(D1951="","",IFERROR(IF(INDEX(tt_Other,MATCH(D1951,tt_Type,0))="",E1951&amp;"",INDEX(tt_Other,MATCH(D1951,tt_Type,0))),""))</f>
        <v/>
      </c>
      <c r="W1951" s="68">
        <f>IF(OR(TaxOn&lt;&gt;"Yes",NOT(ISNUMBER(M1951))),0,IF(IFERROR(INDEX(tt_Tax,MATCH(D1951,tt_Type,0)),"No")="Yes",M1951,0))</f>
        <v/>
      </c>
      <c r="X1951" s="67">
        <f>IF(T1951=1,"",IF(C1951="","Missing transaction date",IF(NOT(ISNUMBER(C1951)),"Invalid date",IF(OR(C1951&lt;DATE(2000,1,1),C1951&gt;DATE(2099,12,31)),"Invalid date",IF(D1951="","Select a type",IF(U1951="","Unknown type: "&amp;D1951,IF(V1951="","Select an account (Category)",IF(ISNA(MATCH(V1951,coa_Name,0)),"Unknown account: "&amp;V1951,IF(K1951="","Select Paid From / Deposited To",IF(ISNA(MATCH(K1951,coa_Name,0)),"Unknown account: "&amp;K1951,IF(NOT(ISNUMBER(L1951)),"Enter an amount",IF(L1951=0,"Enter an amount",IF(ABS(W1951)&gt;ABS(L1951),"Tax is larger than the amount","")))))))))))))</f>
        <v/>
      </c>
      <c r="Y1951" s="67">
        <f>IF(OR(T1951=1,X1951&lt;&gt;""),"",IF(AND(B1951&lt;&gt;"",COUNTIF(tx_ID,B1951)&gt;1),"Duplicate transaction ID",IF(AND(L1951&lt;0,D1951&lt;&gt;"Adjustment"),"Negative amount — check this entry",IF(AND(D1951="Customer Payment",G1951=""),"Add the customer",IF(AND(D1951="Customer Payment",OR(J1951="",COUNTIF(ar_No,J1951&amp;"")=0)),"Invoice # in Reference not found on AR sheet",IF(AND(D1951="Bill Payment",H1951=""),"Add the vendor",IF(AND(D1951="Bill Payment",OR(J1951="",COUNTIFS(ap_No,J1951&amp;"",ap_Party,H1951&amp;"")=0)),"Bill # + vendor not found on AP sheet",IF(AND(ISNUMBER(M1951),N(M1951)&lt;&gt;0,W1951=0),"Tax ignored (tax tracking off, or not allowed for this type)",IF(V1951=K1951&amp;"","Same account on both sides",IF(AND(ISNUMBER(StartDate),C1951&lt;StartDate),"Date is before the accounting start date",IF(AND(D1951&lt;&gt;"Adjustment",IFERROR(INDEX(coa_Pay,MATCH(K1951&amp;"",coa_Name,0)),"")&lt;&gt;"Yes"),"Paid From / Deposited To is not a payment account","")))))))))))</f>
        <v/>
      </c>
      <c r="Z1951" s="67">
        <f>IF(AND(T1951=0,X1951=""),1,0)</f>
        <v/>
      </c>
      <c r="AA1951" s="68">
        <f>IF(Z1951=1,IF(U1951="In",L1951,L1951-W1951),0)</f>
        <v/>
      </c>
      <c r="AB1951" s="68">
        <f>IF(Z1951=1,IF(U1951="In",L1951-W1951,L1951),0)</f>
        <v/>
      </c>
      <c r="AC1951" s="68">
        <f>IF(AND(Z1951=1,U1951="Out"),W1951,0)</f>
        <v/>
      </c>
      <c r="AD1951" s="68">
        <f>IF(AND(Z1951=1,U1951="In"),W1951,0)</f>
        <v/>
      </c>
    </row>
    <row r="1952">
      <c r="B1952" s="62" t="inlineStr">
        <is>
          <t>TX-1946</t>
        </is>
      </c>
      <c r="C1952" s="63" t="n"/>
      <c r="D1952" s="62" t="n"/>
      <c r="E1952" s="62" t="n"/>
      <c r="F1952" s="62" t="n"/>
      <c r="G1952" s="62" t="n"/>
      <c r="H1952" s="62" t="n"/>
      <c r="I1952" s="62" t="n"/>
      <c r="J1952" s="62" t="n"/>
      <c r="K1952" s="62" t="n"/>
      <c r="L1952" s="64" t="n"/>
      <c r="M1952" s="64" t="n"/>
      <c r="N1952" s="62" t="n"/>
      <c r="O1952" s="65">
        <f>IF(Z1952=1,L1952-W1952,"")</f>
        <v/>
      </c>
      <c r="P1952" s="66">
        <f>IF(V1952="","",IFERROR(INDEX(coa_Type,MATCH(V1952,coa_Name,0)),""))</f>
        <v/>
      </c>
      <c r="Q1952" s="66">
        <f>IF(Z1952=1,IF(U1952="In",K1952&amp;"",V1952),"")</f>
        <v/>
      </c>
      <c r="R1952" s="66">
        <f>IF(Z1952=1,IF(U1952="In",V1952,K1952&amp;""),"")</f>
        <v/>
      </c>
      <c r="S1952" s="66">
        <f>IF(X1952&lt;&gt;"","⛔ "&amp;X1952&amp;" — not posted",IF(Y1952&lt;&gt;"","⚠ "&amp;Y1952,IF(Z1952=1,"✓ OK","")))</f>
        <v/>
      </c>
      <c r="T1952" s="67">
        <f>IF(AND(C1952="",D1952="",E1952="",L1952="",K1952=""),1,0)</f>
        <v/>
      </c>
      <c r="U1952" s="67">
        <f>IFERROR(INDEX(tt_Dir,MATCH(D1952,tt_Type,0)),"")</f>
        <v/>
      </c>
      <c r="V1952" s="67">
        <f>IF(D1952="","",IFERROR(IF(INDEX(tt_Other,MATCH(D1952,tt_Type,0))="",E1952&amp;"",INDEX(tt_Other,MATCH(D1952,tt_Type,0))),""))</f>
        <v/>
      </c>
      <c r="W1952" s="68">
        <f>IF(OR(TaxOn&lt;&gt;"Yes",NOT(ISNUMBER(M1952))),0,IF(IFERROR(INDEX(tt_Tax,MATCH(D1952,tt_Type,0)),"No")="Yes",M1952,0))</f>
        <v/>
      </c>
      <c r="X1952" s="67">
        <f>IF(T1952=1,"",IF(C1952="","Missing transaction date",IF(NOT(ISNUMBER(C1952)),"Invalid date",IF(OR(C1952&lt;DATE(2000,1,1),C1952&gt;DATE(2099,12,31)),"Invalid date",IF(D1952="","Select a type",IF(U1952="","Unknown type: "&amp;D1952,IF(V1952="","Select an account (Category)",IF(ISNA(MATCH(V1952,coa_Name,0)),"Unknown account: "&amp;V1952,IF(K1952="","Select Paid From / Deposited To",IF(ISNA(MATCH(K1952,coa_Name,0)),"Unknown account: "&amp;K1952,IF(NOT(ISNUMBER(L1952)),"Enter an amount",IF(L1952=0,"Enter an amount",IF(ABS(W1952)&gt;ABS(L1952),"Tax is larger than the amount","")))))))))))))</f>
        <v/>
      </c>
      <c r="Y1952" s="67">
        <f>IF(OR(T1952=1,X1952&lt;&gt;""),"",IF(AND(B1952&lt;&gt;"",COUNTIF(tx_ID,B1952)&gt;1),"Duplicate transaction ID",IF(AND(L1952&lt;0,D1952&lt;&gt;"Adjustment"),"Negative amount — check this entry",IF(AND(D1952="Customer Payment",G1952=""),"Add the customer",IF(AND(D1952="Customer Payment",OR(J1952="",COUNTIF(ar_No,J1952&amp;"")=0)),"Invoice # in Reference not found on AR sheet",IF(AND(D1952="Bill Payment",H1952=""),"Add the vendor",IF(AND(D1952="Bill Payment",OR(J1952="",COUNTIFS(ap_No,J1952&amp;"",ap_Party,H1952&amp;"")=0)),"Bill # + vendor not found on AP sheet",IF(AND(ISNUMBER(M1952),N(M1952)&lt;&gt;0,W1952=0),"Tax ignored (tax tracking off, or not allowed for this type)",IF(V1952=K1952&amp;"","Same account on both sides",IF(AND(ISNUMBER(StartDate),C1952&lt;StartDate),"Date is before the accounting start date",IF(AND(D1952&lt;&gt;"Adjustment",IFERROR(INDEX(coa_Pay,MATCH(K1952&amp;"",coa_Name,0)),"")&lt;&gt;"Yes"),"Paid From / Deposited To is not a payment account","")))))))))))</f>
        <v/>
      </c>
      <c r="Z1952" s="67">
        <f>IF(AND(T1952=0,X1952=""),1,0)</f>
        <v/>
      </c>
      <c r="AA1952" s="68">
        <f>IF(Z1952=1,IF(U1952="In",L1952,L1952-W1952),0)</f>
        <v/>
      </c>
      <c r="AB1952" s="68">
        <f>IF(Z1952=1,IF(U1952="In",L1952-W1952,L1952),0)</f>
        <v/>
      </c>
      <c r="AC1952" s="68">
        <f>IF(AND(Z1952=1,U1952="Out"),W1952,0)</f>
        <v/>
      </c>
      <c r="AD1952" s="68">
        <f>IF(AND(Z1952=1,U1952="In"),W1952,0)</f>
        <v/>
      </c>
    </row>
    <row r="1953">
      <c r="B1953" s="62" t="inlineStr">
        <is>
          <t>TX-1947</t>
        </is>
      </c>
      <c r="C1953" s="63" t="n"/>
      <c r="D1953" s="62" t="n"/>
      <c r="E1953" s="62" t="n"/>
      <c r="F1953" s="62" t="n"/>
      <c r="G1953" s="62" t="n"/>
      <c r="H1953" s="62" t="n"/>
      <c r="I1953" s="62" t="n"/>
      <c r="J1953" s="62" t="n"/>
      <c r="K1953" s="62" t="n"/>
      <c r="L1953" s="64" t="n"/>
      <c r="M1953" s="64" t="n"/>
      <c r="N1953" s="62" t="n"/>
      <c r="O1953" s="65">
        <f>IF(Z1953=1,L1953-W1953,"")</f>
        <v/>
      </c>
      <c r="P1953" s="66">
        <f>IF(V1953="","",IFERROR(INDEX(coa_Type,MATCH(V1953,coa_Name,0)),""))</f>
        <v/>
      </c>
      <c r="Q1953" s="66">
        <f>IF(Z1953=1,IF(U1953="In",K1953&amp;"",V1953),"")</f>
        <v/>
      </c>
      <c r="R1953" s="66">
        <f>IF(Z1953=1,IF(U1953="In",V1953,K1953&amp;""),"")</f>
        <v/>
      </c>
      <c r="S1953" s="66">
        <f>IF(X1953&lt;&gt;"","⛔ "&amp;X1953&amp;" — not posted",IF(Y1953&lt;&gt;"","⚠ "&amp;Y1953,IF(Z1953=1,"✓ OK","")))</f>
        <v/>
      </c>
      <c r="T1953" s="67">
        <f>IF(AND(C1953="",D1953="",E1953="",L1953="",K1953=""),1,0)</f>
        <v/>
      </c>
      <c r="U1953" s="67">
        <f>IFERROR(INDEX(tt_Dir,MATCH(D1953,tt_Type,0)),"")</f>
        <v/>
      </c>
      <c r="V1953" s="67">
        <f>IF(D1953="","",IFERROR(IF(INDEX(tt_Other,MATCH(D1953,tt_Type,0))="",E1953&amp;"",INDEX(tt_Other,MATCH(D1953,tt_Type,0))),""))</f>
        <v/>
      </c>
      <c r="W1953" s="68">
        <f>IF(OR(TaxOn&lt;&gt;"Yes",NOT(ISNUMBER(M1953))),0,IF(IFERROR(INDEX(tt_Tax,MATCH(D1953,tt_Type,0)),"No")="Yes",M1953,0))</f>
        <v/>
      </c>
      <c r="X1953" s="67">
        <f>IF(T1953=1,"",IF(C1953="","Missing transaction date",IF(NOT(ISNUMBER(C1953)),"Invalid date",IF(OR(C1953&lt;DATE(2000,1,1),C1953&gt;DATE(2099,12,31)),"Invalid date",IF(D1953="","Select a type",IF(U1953="","Unknown type: "&amp;D1953,IF(V1953="","Select an account (Category)",IF(ISNA(MATCH(V1953,coa_Name,0)),"Unknown account: "&amp;V1953,IF(K1953="","Select Paid From / Deposited To",IF(ISNA(MATCH(K1953,coa_Name,0)),"Unknown account: "&amp;K1953,IF(NOT(ISNUMBER(L1953)),"Enter an amount",IF(L1953=0,"Enter an amount",IF(ABS(W1953)&gt;ABS(L1953),"Tax is larger than the amount","")))))))))))))</f>
        <v/>
      </c>
      <c r="Y1953" s="67">
        <f>IF(OR(T1953=1,X1953&lt;&gt;""),"",IF(AND(B1953&lt;&gt;"",COUNTIF(tx_ID,B1953)&gt;1),"Duplicate transaction ID",IF(AND(L1953&lt;0,D1953&lt;&gt;"Adjustment"),"Negative amount — check this entry",IF(AND(D1953="Customer Payment",G1953=""),"Add the customer",IF(AND(D1953="Customer Payment",OR(J1953="",COUNTIF(ar_No,J1953&amp;"")=0)),"Invoice # in Reference not found on AR sheet",IF(AND(D1953="Bill Payment",H1953=""),"Add the vendor",IF(AND(D1953="Bill Payment",OR(J1953="",COUNTIFS(ap_No,J1953&amp;"",ap_Party,H1953&amp;"")=0)),"Bill # + vendor not found on AP sheet",IF(AND(ISNUMBER(M1953),N(M1953)&lt;&gt;0,W1953=0),"Tax ignored (tax tracking off, or not allowed for this type)",IF(V1953=K1953&amp;"","Same account on both sides",IF(AND(ISNUMBER(StartDate),C1953&lt;StartDate),"Date is before the accounting start date",IF(AND(D1953&lt;&gt;"Adjustment",IFERROR(INDEX(coa_Pay,MATCH(K1953&amp;"",coa_Name,0)),"")&lt;&gt;"Yes"),"Paid From / Deposited To is not a payment account","")))))))))))</f>
        <v/>
      </c>
      <c r="Z1953" s="67">
        <f>IF(AND(T1953=0,X1953=""),1,0)</f>
        <v/>
      </c>
      <c r="AA1953" s="68">
        <f>IF(Z1953=1,IF(U1953="In",L1953,L1953-W1953),0)</f>
        <v/>
      </c>
      <c r="AB1953" s="68">
        <f>IF(Z1953=1,IF(U1953="In",L1953-W1953,L1953),0)</f>
        <v/>
      </c>
      <c r="AC1953" s="68">
        <f>IF(AND(Z1953=1,U1953="Out"),W1953,0)</f>
        <v/>
      </c>
      <c r="AD1953" s="68">
        <f>IF(AND(Z1953=1,U1953="In"),W1953,0)</f>
        <v/>
      </c>
    </row>
    <row r="1954">
      <c r="B1954" s="62" t="inlineStr">
        <is>
          <t>TX-1948</t>
        </is>
      </c>
      <c r="C1954" s="63" t="n"/>
      <c r="D1954" s="62" t="n"/>
      <c r="E1954" s="62" t="n"/>
      <c r="F1954" s="62" t="n"/>
      <c r="G1954" s="62" t="n"/>
      <c r="H1954" s="62" t="n"/>
      <c r="I1954" s="62" t="n"/>
      <c r="J1954" s="62" t="n"/>
      <c r="K1954" s="62" t="n"/>
      <c r="L1954" s="64" t="n"/>
      <c r="M1954" s="64" t="n"/>
      <c r="N1954" s="62" t="n"/>
      <c r="O1954" s="65">
        <f>IF(Z1954=1,L1954-W1954,"")</f>
        <v/>
      </c>
      <c r="P1954" s="66">
        <f>IF(V1954="","",IFERROR(INDEX(coa_Type,MATCH(V1954,coa_Name,0)),""))</f>
        <v/>
      </c>
      <c r="Q1954" s="66">
        <f>IF(Z1954=1,IF(U1954="In",K1954&amp;"",V1954),"")</f>
        <v/>
      </c>
      <c r="R1954" s="66">
        <f>IF(Z1954=1,IF(U1954="In",V1954,K1954&amp;""),"")</f>
        <v/>
      </c>
      <c r="S1954" s="66">
        <f>IF(X1954&lt;&gt;"","⛔ "&amp;X1954&amp;" — not posted",IF(Y1954&lt;&gt;"","⚠ "&amp;Y1954,IF(Z1954=1,"✓ OK","")))</f>
        <v/>
      </c>
      <c r="T1954" s="67">
        <f>IF(AND(C1954="",D1954="",E1954="",L1954="",K1954=""),1,0)</f>
        <v/>
      </c>
      <c r="U1954" s="67">
        <f>IFERROR(INDEX(tt_Dir,MATCH(D1954,tt_Type,0)),"")</f>
        <v/>
      </c>
      <c r="V1954" s="67">
        <f>IF(D1954="","",IFERROR(IF(INDEX(tt_Other,MATCH(D1954,tt_Type,0))="",E1954&amp;"",INDEX(tt_Other,MATCH(D1954,tt_Type,0))),""))</f>
        <v/>
      </c>
      <c r="W1954" s="68">
        <f>IF(OR(TaxOn&lt;&gt;"Yes",NOT(ISNUMBER(M1954))),0,IF(IFERROR(INDEX(tt_Tax,MATCH(D1954,tt_Type,0)),"No")="Yes",M1954,0))</f>
        <v/>
      </c>
      <c r="X1954" s="67">
        <f>IF(T1954=1,"",IF(C1954="","Missing transaction date",IF(NOT(ISNUMBER(C1954)),"Invalid date",IF(OR(C1954&lt;DATE(2000,1,1),C1954&gt;DATE(2099,12,31)),"Invalid date",IF(D1954="","Select a type",IF(U1954="","Unknown type: "&amp;D1954,IF(V1954="","Select an account (Category)",IF(ISNA(MATCH(V1954,coa_Name,0)),"Unknown account: "&amp;V1954,IF(K1954="","Select Paid From / Deposited To",IF(ISNA(MATCH(K1954,coa_Name,0)),"Unknown account: "&amp;K1954,IF(NOT(ISNUMBER(L1954)),"Enter an amount",IF(L1954=0,"Enter an amount",IF(ABS(W1954)&gt;ABS(L1954),"Tax is larger than the amount","")))))))))))))</f>
        <v/>
      </c>
      <c r="Y1954" s="67">
        <f>IF(OR(T1954=1,X1954&lt;&gt;""),"",IF(AND(B1954&lt;&gt;"",COUNTIF(tx_ID,B1954)&gt;1),"Duplicate transaction ID",IF(AND(L1954&lt;0,D1954&lt;&gt;"Adjustment"),"Negative amount — check this entry",IF(AND(D1954="Customer Payment",G1954=""),"Add the customer",IF(AND(D1954="Customer Payment",OR(J1954="",COUNTIF(ar_No,J1954&amp;"")=0)),"Invoice # in Reference not found on AR sheet",IF(AND(D1954="Bill Payment",H1954=""),"Add the vendor",IF(AND(D1954="Bill Payment",OR(J1954="",COUNTIFS(ap_No,J1954&amp;"",ap_Party,H1954&amp;"")=0)),"Bill # + vendor not found on AP sheet",IF(AND(ISNUMBER(M1954),N(M1954)&lt;&gt;0,W1954=0),"Tax ignored (tax tracking off, or not allowed for this type)",IF(V1954=K1954&amp;"","Same account on both sides",IF(AND(ISNUMBER(StartDate),C1954&lt;StartDate),"Date is before the accounting start date",IF(AND(D1954&lt;&gt;"Adjustment",IFERROR(INDEX(coa_Pay,MATCH(K1954&amp;"",coa_Name,0)),"")&lt;&gt;"Yes"),"Paid From / Deposited To is not a payment account","")))))))))))</f>
        <v/>
      </c>
      <c r="Z1954" s="67">
        <f>IF(AND(T1954=0,X1954=""),1,0)</f>
        <v/>
      </c>
      <c r="AA1954" s="68">
        <f>IF(Z1954=1,IF(U1954="In",L1954,L1954-W1954),0)</f>
        <v/>
      </c>
      <c r="AB1954" s="68">
        <f>IF(Z1954=1,IF(U1954="In",L1954-W1954,L1954),0)</f>
        <v/>
      </c>
      <c r="AC1954" s="68">
        <f>IF(AND(Z1954=1,U1954="Out"),W1954,0)</f>
        <v/>
      </c>
      <c r="AD1954" s="68">
        <f>IF(AND(Z1954=1,U1954="In"),W1954,0)</f>
        <v/>
      </c>
    </row>
    <row r="1955">
      <c r="B1955" s="62" t="inlineStr">
        <is>
          <t>TX-1949</t>
        </is>
      </c>
      <c r="C1955" s="63" t="n"/>
      <c r="D1955" s="62" t="n"/>
      <c r="E1955" s="62" t="n"/>
      <c r="F1955" s="62" t="n"/>
      <c r="G1955" s="62" t="n"/>
      <c r="H1955" s="62" t="n"/>
      <c r="I1955" s="62" t="n"/>
      <c r="J1955" s="62" t="n"/>
      <c r="K1955" s="62" t="n"/>
      <c r="L1955" s="64" t="n"/>
      <c r="M1955" s="64" t="n"/>
      <c r="N1955" s="62" t="n"/>
      <c r="O1955" s="65">
        <f>IF(Z1955=1,L1955-W1955,"")</f>
        <v/>
      </c>
      <c r="P1955" s="66">
        <f>IF(V1955="","",IFERROR(INDEX(coa_Type,MATCH(V1955,coa_Name,0)),""))</f>
        <v/>
      </c>
      <c r="Q1955" s="66">
        <f>IF(Z1955=1,IF(U1955="In",K1955&amp;"",V1955),"")</f>
        <v/>
      </c>
      <c r="R1955" s="66">
        <f>IF(Z1955=1,IF(U1955="In",V1955,K1955&amp;""),"")</f>
        <v/>
      </c>
      <c r="S1955" s="66">
        <f>IF(X1955&lt;&gt;"","⛔ "&amp;X1955&amp;" — not posted",IF(Y1955&lt;&gt;"","⚠ "&amp;Y1955,IF(Z1955=1,"✓ OK","")))</f>
        <v/>
      </c>
      <c r="T1955" s="67">
        <f>IF(AND(C1955="",D1955="",E1955="",L1955="",K1955=""),1,0)</f>
        <v/>
      </c>
      <c r="U1955" s="67">
        <f>IFERROR(INDEX(tt_Dir,MATCH(D1955,tt_Type,0)),"")</f>
        <v/>
      </c>
      <c r="V1955" s="67">
        <f>IF(D1955="","",IFERROR(IF(INDEX(tt_Other,MATCH(D1955,tt_Type,0))="",E1955&amp;"",INDEX(tt_Other,MATCH(D1955,tt_Type,0))),""))</f>
        <v/>
      </c>
      <c r="W1955" s="68">
        <f>IF(OR(TaxOn&lt;&gt;"Yes",NOT(ISNUMBER(M1955))),0,IF(IFERROR(INDEX(tt_Tax,MATCH(D1955,tt_Type,0)),"No")="Yes",M1955,0))</f>
        <v/>
      </c>
      <c r="X1955" s="67">
        <f>IF(T1955=1,"",IF(C1955="","Missing transaction date",IF(NOT(ISNUMBER(C1955)),"Invalid date",IF(OR(C1955&lt;DATE(2000,1,1),C1955&gt;DATE(2099,12,31)),"Invalid date",IF(D1955="","Select a type",IF(U1955="","Unknown type: "&amp;D1955,IF(V1955="","Select an account (Category)",IF(ISNA(MATCH(V1955,coa_Name,0)),"Unknown account: "&amp;V1955,IF(K1955="","Select Paid From / Deposited To",IF(ISNA(MATCH(K1955,coa_Name,0)),"Unknown account: "&amp;K1955,IF(NOT(ISNUMBER(L1955)),"Enter an amount",IF(L1955=0,"Enter an amount",IF(ABS(W1955)&gt;ABS(L1955),"Tax is larger than the amount","")))))))))))))</f>
        <v/>
      </c>
      <c r="Y1955" s="67">
        <f>IF(OR(T1955=1,X1955&lt;&gt;""),"",IF(AND(B1955&lt;&gt;"",COUNTIF(tx_ID,B1955)&gt;1),"Duplicate transaction ID",IF(AND(L1955&lt;0,D1955&lt;&gt;"Adjustment"),"Negative amount — check this entry",IF(AND(D1955="Customer Payment",G1955=""),"Add the customer",IF(AND(D1955="Customer Payment",OR(J1955="",COUNTIF(ar_No,J1955&amp;"")=0)),"Invoice # in Reference not found on AR sheet",IF(AND(D1955="Bill Payment",H1955=""),"Add the vendor",IF(AND(D1955="Bill Payment",OR(J1955="",COUNTIFS(ap_No,J1955&amp;"",ap_Party,H1955&amp;"")=0)),"Bill # + vendor not found on AP sheet",IF(AND(ISNUMBER(M1955),N(M1955)&lt;&gt;0,W1955=0),"Tax ignored (tax tracking off, or not allowed for this type)",IF(V1955=K1955&amp;"","Same account on both sides",IF(AND(ISNUMBER(StartDate),C1955&lt;StartDate),"Date is before the accounting start date",IF(AND(D1955&lt;&gt;"Adjustment",IFERROR(INDEX(coa_Pay,MATCH(K1955&amp;"",coa_Name,0)),"")&lt;&gt;"Yes"),"Paid From / Deposited To is not a payment account","")))))))))))</f>
        <v/>
      </c>
      <c r="Z1955" s="67">
        <f>IF(AND(T1955=0,X1955=""),1,0)</f>
        <v/>
      </c>
      <c r="AA1955" s="68">
        <f>IF(Z1955=1,IF(U1955="In",L1955,L1955-W1955),0)</f>
        <v/>
      </c>
      <c r="AB1955" s="68">
        <f>IF(Z1955=1,IF(U1955="In",L1955-W1955,L1955),0)</f>
        <v/>
      </c>
      <c r="AC1955" s="68">
        <f>IF(AND(Z1955=1,U1955="Out"),W1955,0)</f>
        <v/>
      </c>
      <c r="AD1955" s="68">
        <f>IF(AND(Z1955=1,U1955="In"),W1955,0)</f>
        <v/>
      </c>
    </row>
    <row r="1956">
      <c r="B1956" s="62" t="inlineStr">
        <is>
          <t>TX-1950</t>
        </is>
      </c>
      <c r="C1956" s="63" t="n"/>
      <c r="D1956" s="62" t="n"/>
      <c r="E1956" s="62" t="n"/>
      <c r="F1956" s="62" t="n"/>
      <c r="G1956" s="62" t="n"/>
      <c r="H1956" s="62" t="n"/>
      <c r="I1956" s="62" t="n"/>
      <c r="J1956" s="62" t="n"/>
      <c r="K1956" s="62" t="n"/>
      <c r="L1956" s="64" t="n"/>
      <c r="M1956" s="64" t="n"/>
      <c r="N1956" s="62" t="n"/>
      <c r="O1956" s="65">
        <f>IF(Z1956=1,L1956-W1956,"")</f>
        <v/>
      </c>
      <c r="P1956" s="66">
        <f>IF(V1956="","",IFERROR(INDEX(coa_Type,MATCH(V1956,coa_Name,0)),""))</f>
        <v/>
      </c>
      <c r="Q1956" s="66">
        <f>IF(Z1956=1,IF(U1956="In",K1956&amp;"",V1956),"")</f>
        <v/>
      </c>
      <c r="R1956" s="66">
        <f>IF(Z1956=1,IF(U1956="In",V1956,K1956&amp;""),"")</f>
        <v/>
      </c>
      <c r="S1956" s="66">
        <f>IF(X1956&lt;&gt;"","⛔ "&amp;X1956&amp;" — not posted",IF(Y1956&lt;&gt;"","⚠ "&amp;Y1956,IF(Z1956=1,"✓ OK","")))</f>
        <v/>
      </c>
      <c r="T1956" s="67">
        <f>IF(AND(C1956="",D1956="",E1956="",L1956="",K1956=""),1,0)</f>
        <v/>
      </c>
      <c r="U1956" s="67">
        <f>IFERROR(INDEX(tt_Dir,MATCH(D1956,tt_Type,0)),"")</f>
        <v/>
      </c>
      <c r="V1956" s="67">
        <f>IF(D1956="","",IFERROR(IF(INDEX(tt_Other,MATCH(D1956,tt_Type,0))="",E1956&amp;"",INDEX(tt_Other,MATCH(D1956,tt_Type,0))),""))</f>
        <v/>
      </c>
      <c r="W1956" s="68">
        <f>IF(OR(TaxOn&lt;&gt;"Yes",NOT(ISNUMBER(M1956))),0,IF(IFERROR(INDEX(tt_Tax,MATCH(D1956,tt_Type,0)),"No")="Yes",M1956,0))</f>
        <v/>
      </c>
      <c r="X1956" s="67">
        <f>IF(T1956=1,"",IF(C1956="","Missing transaction date",IF(NOT(ISNUMBER(C1956)),"Invalid date",IF(OR(C1956&lt;DATE(2000,1,1),C1956&gt;DATE(2099,12,31)),"Invalid date",IF(D1956="","Select a type",IF(U1956="","Unknown type: "&amp;D1956,IF(V1956="","Select an account (Category)",IF(ISNA(MATCH(V1956,coa_Name,0)),"Unknown account: "&amp;V1956,IF(K1956="","Select Paid From / Deposited To",IF(ISNA(MATCH(K1956,coa_Name,0)),"Unknown account: "&amp;K1956,IF(NOT(ISNUMBER(L1956)),"Enter an amount",IF(L1956=0,"Enter an amount",IF(ABS(W1956)&gt;ABS(L1956),"Tax is larger than the amount","")))))))))))))</f>
        <v/>
      </c>
      <c r="Y1956" s="67">
        <f>IF(OR(T1956=1,X1956&lt;&gt;""),"",IF(AND(B1956&lt;&gt;"",COUNTIF(tx_ID,B1956)&gt;1),"Duplicate transaction ID",IF(AND(L1956&lt;0,D1956&lt;&gt;"Adjustment"),"Negative amount — check this entry",IF(AND(D1956="Customer Payment",G1956=""),"Add the customer",IF(AND(D1956="Customer Payment",OR(J1956="",COUNTIF(ar_No,J1956&amp;"")=0)),"Invoice # in Reference not found on AR sheet",IF(AND(D1956="Bill Payment",H1956=""),"Add the vendor",IF(AND(D1956="Bill Payment",OR(J1956="",COUNTIFS(ap_No,J1956&amp;"",ap_Party,H1956&amp;"")=0)),"Bill # + vendor not found on AP sheet",IF(AND(ISNUMBER(M1956),N(M1956)&lt;&gt;0,W1956=0),"Tax ignored (tax tracking off, or not allowed for this type)",IF(V1956=K1956&amp;"","Same account on both sides",IF(AND(ISNUMBER(StartDate),C1956&lt;StartDate),"Date is before the accounting start date",IF(AND(D1956&lt;&gt;"Adjustment",IFERROR(INDEX(coa_Pay,MATCH(K1956&amp;"",coa_Name,0)),"")&lt;&gt;"Yes"),"Paid From / Deposited To is not a payment account","")))))))))))</f>
        <v/>
      </c>
      <c r="Z1956" s="67">
        <f>IF(AND(T1956=0,X1956=""),1,0)</f>
        <v/>
      </c>
      <c r="AA1956" s="68">
        <f>IF(Z1956=1,IF(U1956="In",L1956,L1956-W1956),0)</f>
        <v/>
      </c>
      <c r="AB1956" s="68">
        <f>IF(Z1956=1,IF(U1956="In",L1956-W1956,L1956),0)</f>
        <v/>
      </c>
      <c r="AC1956" s="68">
        <f>IF(AND(Z1956=1,U1956="Out"),W1956,0)</f>
        <v/>
      </c>
      <c r="AD1956" s="68">
        <f>IF(AND(Z1956=1,U1956="In"),W1956,0)</f>
        <v/>
      </c>
    </row>
    <row r="1957">
      <c r="B1957" s="62" t="inlineStr">
        <is>
          <t>TX-1951</t>
        </is>
      </c>
      <c r="C1957" s="63" t="n"/>
      <c r="D1957" s="62" t="n"/>
      <c r="E1957" s="62" t="n"/>
      <c r="F1957" s="62" t="n"/>
      <c r="G1957" s="62" t="n"/>
      <c r="H1957" s="62" t="n"/>
      <c r="I1957" s="62" t="n"/>
      <c r="J1957" s="62" t="n"/>
      <c r="K1957" s="62" t="n"/>
      <c r="L1957" s="64" t="n"/>
      <c r="M1957" s="64" t="n"/>
      <c r="N1957" s="62" t="n"/>
      <c r="O1957" s="65">
        <f>IF(Z1957=1,L1957-W1957,"")</f>
        <v/>
      </c>
      <c r="P1957" s="66">
        <f>IF(V1957="","",IFERROR(INDEX(coa_Type,MATCH(V1957,coa_Name,0)),""))</f>
        <v/>
      </c>
      <c r="Q1957" s="66">
        <f>IF(Z1957=1,IF(U1957="In",K1957&amp;"",V1957),"")</f>
        <v/>
      </c>
      <c r="R1957" s="66">
        <f>IF(Z1957=1,IF(U1957="In",V1957,K1957&amp;""),"")</f>
        <v/>
      </c>
      <c r="S1957" s="66">
        <f>IF(X1957&lt;&gt;"","⛔ "&amp;X1957&amp;" — not posted",IF(Y1957&lt;&gt;"","⚠ "&amp;Y1957,IF(Z1957=1,"✓ OK","")))</f>
        <v/>
      </c>
      <c r="T1957" s="67">
        <f>IF(AND(C1957="",D1957="",E1957="",L1957="",K1957=""),1,0)</f>
        <v/>
      </c>
      <c r="U1957" s="67">
        <f>IFERROR(INDEX(tt_Dir,MATCH(D1957,tt_Type,0)),"")</f>
        <v/>
      </c>
      <c r="V1957" s="67">
        <f>IF(D1957="","",IFERROR(IF(INDEX(tt_Other,MATCH(D1957,tt_Type,0))="",E1957&amp;"",INDEX(tt_Other,MATCH(D1957,tt_Type,0))),""))</f>
        <v/>
      </c>
      <c r="W1957" s="68">
        <f>IF(OR(TaxOn&lt;&gt;"Yes",NOT(ISNUMBER(M1957))),0,IF(IFERROR(INDEX(tt_Tax,MATCH(D1957,tt_Type,0)),"No")="Yes",M1957,0))</f>
        <v/>
      </c>
      <c r="X1957" s="67">
        <f>IF(T1957=1,"",IF(C1957="","Missing transaction date",IF(NOT(ISNUMBER(C1957)),"Invalid date",IF(OR(C1957&lt;DATE(2000,1,1),C1957&gt;DATE(2099,12,31)),"Invalid date",IF(D1957="","Select a type",IF(U1957="","Unknown type: "&amp;D1957,IF(V1957="","Select an account (Category)",IF(ISNA(MATCH(V1957,coa_Name,0)),"Unknown account: "&amp;V1957,IF(K1957="","Select Paid From / Deposited To",IF(ISNA(MATCH(K1957,coa_Name,0)),"Unknown account: "&amp;K1957,IF(NOT(ISNUMBER(L1957)),"Enter an amount",IF(L1957=0,"Enter an amount",IF(ABS(W1957)&gt;ABS(L1957),"Tax is larger than the amount","")))))))))))))</f>
        <v/>
      </c>
      <c r="Y1957" s="67">
        <f>IF(OR(T1957=1,X1957&lt;&gt;""),"",IF(AND(B1957&lt;&gt;"",COUNTIF(tx_ID,B1957)&gt;1),"Duplicate transaction ID",IF(AND(L1957&lt;0,D1957&lt;&gt;"Adjustment"),"Negative amount — check this entry",IF(AND(D1957="Customer Payment",G1957=""),"Add the customer",IF(AND(D1957="Customer Payment",OR(J1957="",COUNTIF(ar_No,J1957&amp;"")=0)),"Invoice # in Reference not found on AR sheet",IF(AND(D1957="Bill Payment",H1957=""),"Add the vendor",IF(AND(D1957="Bill Payment",OR(J1957="",COUNTIFS(ap_No,J1957&amp;"",ap_Party,H1957&amp;"")=0)),"Bill # + vendor not found on AP sheet",IF(AND(ISNUMBER(M1957),N(M1957)&lt;&gt;0,W1957=0),"Tax ignored (tax tracking off, or not allowed for this type)",IF(V1957=K1957&amp;"","Same account on both sides",IF(AND(ISNUMBER(StartDate),C1957&lt;StartDate),"Date is before the accounting start date",IF(AND(D1957&lt;&gt;"Adjustment",IFERROR(INDEX(coa_Pay,MATCH(K1957&amp;"",coa_Name,0)),"")&lt;&gt;"Yes"),"Paid From / Deposited To is not a payment account","")))))))))))</f>
        <v/>
      </c>
      <c r="Z1957" s="67">
        <f>IF(AND(T1957=0,X1957=""),1,0)</f>
        <v/>
      </c>
      <c r="AA1957" s="68">
        <f>IF(Z1957=1,IF(U1957="In",L1957,L1957-W1957),0)</f>
        <v/>
      </c>
      <c r="AB1957" s="68">
        <f>IF(Z1957=1,IF(U1957="In",L1957-W1957,L1957),0)</f>
        <v/>
      </c>
      <c r="AC1957" s="68">
        <f>IF(AND(Z1957=1,U1957="Out"),W1957,0)</f>
        <v/>
      </c>
      <c r="AD1957" s="68">
        <f>IF(AND(Z1957=1,U1957="In"),W1957,0)</f>
        <v/>
      </c>
    </row>
    <row r="1958">
      <c r="B1958" s="62" t="inlineStr">
        <is>
          <t>TX-1952</t>
        </is>
      </c>
      <c r="C1958" s="63" t="n"/>
      <c r="D1958" s="62" t="n"/>
      <c r="E1958" s="62" t="n"/>
      <c r="F1958" s="62" t="n"/>
      <c r="G1958" s="62" t="n"/>
      <c r="H1958" s="62" t="n"/>
      <c r="I1958" s="62" t="n"/>
      <c r="J1958" s="62" t="n"/>
      <c r="K1958" s="62" t="n"/>
      <c r="L1958" s="64" t="n"/>
      <c r="M1958" s="64" t="n"/>
      <c r="N1958" s="62" t="n"/>
      <c r="O1958" s="65">
        <f>IF(Z1958=1,L1958-W1958,"")</f>
        <v/>
      </c>
      <c r="P1958" s="66">
        <f>IF(V1958="","",IFERROR(INDEX(coa_Type,MATCH(V1958,coa_Name,0)),""))</f>
        <v/>
      </c>
      <c r="Q1958" s="66">
        <f>IF(Z1958=1,IF(U1958="In",K1958&amp;"",V1958),"")</f>
        <v/>
      </c>
      <c r="R1958" s="66">
        <f>IF(Z1958=1,IF(U1958="In",V1958,K1958&amp;""),"")</f>
        <v/>
      </c>
      <c r="S1958" s="66">
        <f>IF(X1958&lt;&gt;"","⛔ "&amp;X1958&amp;" — not posted",IF(Y1958&lt;&gt;"","⚠ "&amp;Y1958,IF(Z1958=1,"✓ OK","")))</f>
        <v/>
      </c>
      <c r="T1958" s="67">
        <f>IF(AND(C1958="",D1958="",E1958="",L1958="",K1958=""),1,0)</f>
        <v/>
      </c>
      <c r="U1958" s="67">
        <f>IFERROR(INDEX(tt_Dir,MATCH(D1958,tt_Type,0)),"")</f>
        <v/>
      </c>
      <c r="V1958" s="67">
        <f>IF(D1958="","",IFERROR(IF(INDEX(tt_Other,MATCH(D1958,tt_Type,0))="",E1958&amp;"",INDEX(tt_Other,MATCH(D1958,tt_Type,0))),""))</f>
        <v/>
      </c>
      <c r="W1958" s="68">
        <f>IF(OR(TaxOn&lt;&gt;"Yes",NOT(ISNUMBER(M1958))),0,IF(IFERROR(INDEX(tt_Tax,MATCH(D1958,tt_Type,0)),"No")="Yes",M1958,0))</f>
        <v/>
      </c>
      <c r="X1958" s="67">
        <f>IF(T1958=1,"",IF(C1958="","Missing transaction date",IF(NOT(ISNUMBER(C1958)),"Invalid date",IF(OR(C1958&lt;DATE(2000,1,1),C1958&gt;DATE(2099,12,31)),"Invalid date",IF(D1958="","Select a type",IF(U1958="","Unknown type: "&amp;D1958,IF(V1958="","Select an account (Category)",IF(ISNA(MATCH(V1958,coa_Name,0)),"Unknown account: "&amp;V1958,IF(K1958="","Select Paid From / Deposited To",IF(ISNA(MATCH(K1958,coa_Name,0)),"Unknown account: "&amp;K1958,IF(NOT(ISNUMBER(L1958)),"Enter an amount",IF(L1958=0,"Enter an amount",IF(ABS(W1958)&gt;ABS(L1958),"Tax is larger than the amount","")))))))))))))</f>
        <v/>
      </c>
      <c r="Y1958" s="67">
        <f>IF(OR(T1958=1,X1958&lt;&gt;""),"",IF(AND(B1958&lt;&gt;"",COUNTIF(tx_ID,B1958)&gt;1),"Duplicate transaction ID",IF(AND(L1958&lt;0,D1958&lt;&gt;"Adjustment"),"Negative amount — check this entry",IF(AND(D1958="Customer Payment",G1958=""),"Add the customer",IF(AND(D1958="Customer Payment",OR(J1958="",COUNTIF(ar_No,J1958&amp;"")=0)),"Invoice # in Reference not found on AR sheet",IF(AND(D1958="Bill Payment",H1958=""),"Add the vendor",IF(AND(D1958="Bill Payment",OR(J1958="",COUNTIFS(ap_No,J1958&amp;"",ap_Party,H1958&amp;"")=0)),"Bill # + vendor not found on AP sheet",IF(AND(ISNUMBER(M1958),N(M1958)&lt;&gt;0,W1958=0),"Tax ignored (tax tracking off, or not allowed for this type)",IF(V1958=K1958&amp;"","Same account on both sides",IF(AND(ISNUMBER(StartDate),C1958&lt;StartDate),"Date is before the accounting start date",IF(AND(D1958&lt;&gt;"Adjustment",IFERROR(INDEX(coa_Pay,MATCH(K1958&amp;"",coa_Name,0)),"")&lt;&gt;"Yes"),"Paid From / Deposited To is not a payment account","")))))))))))</f>
        <v/>
      </c>
      <c r="Z1958" s="67">
        <f>IF(AND(T1958=0,X1958=""),1,0)</f>
        <v/>
      </c>
      <c r="AA1958" s="68">
        <f>IF(Z1958=1,IF(U1958="In",L1958,L1958-W1958),0)</f>
        <v/>
      </c>
      <c r="AB1958" s="68">
        <f>IF(Z1958=1,IF(U1958="In",L1958-W1958,L1958),0)</f>
        <v/>
      </c>
      <c r="AC1958" s="68">
        <f>IF(AND(Z1958=1,U1958="Out"),W1958,0)</f>
        <v/>
      </c>
      <c r="AD1958" s="68">
        <f>IF(AND(Z1958=1,U1958="In"),W1958,0)</f>
        <v/>
      </c>
    </row>
    <row r="1959">
      <c r="B1959" s="62" t="inlineStr">
        <is>
          <t>TX-1953</t>
        </is>
      </c>
      <c r="C1959" s="63" t="n"/>
      <c r="D1959" s="62" t="n"/>
      <c r="E1959" s="62" t="n"/>
      <c r="F1959" s="62" t="n"/>
      <c r="G1959" s="62" t="n"/>
      <c r="H1959" s="62" t="n"/>
      <c r="I1959" s="62" t="n"/>
      <c r="J1959" s="62" t="n"/>
      <c r="K1959" s="62" t="n"/>
      <c r="L1959" s="64" t="n"/>
      <c r="M1959" s="64" t="n"/>
      <c r="N1959" s="62" t="n"/>
      <c r="O1959" s="65">
        <f>IF(Z1959=1,L1959-W1959,"")</f>
        <v/>
      </c>
      <c r="P1959" s="66">
        <f>IF(V1959="","",IFERROR(INDEX(coa_Type,MATCH(V1959,coa_Name,0)),""))</f>
        <v/>
      </c>
      <c r="Q1959" s="66">
        <f>IF(Z1959=1,IF(U1959="In",K1959&amp;"",V1959),"")</f>
        <v/>
      </c>
      <c r="R1959" s="66">
        <f>IF(Z1959=1,IF(U1959="In",V1959,K1959&amp;""),"")</f>
        <v/>
      </c>
      <c r="S1959" s="66">
        <f>IF(X1959&lt;&gt;"","⛔ "&amp;X1959&amp;" — not posted",IF(Y1959&lt;&gt;"","⚠ "&amp;Y1959,IF(Z1959=1,"✓ OK","")))</f>
        <v/>
      </c>
      <c r="T1959" s="67">
        <f>IF(AND(C1959="",D1959="",E1959="",L1959="",K1959=""),1,0)</f>
        <v/>
      </c>
      <c r="U1959" s="67">
        <f>IFERROR(INDEX(tt_Dir,MATCH(D1959,tt_Type,0)),"")</f>
        <v/>
      </c>
      <c r="V1959" s="67">
        <f>IF(D1959="","",IFERROR(IF(INDEX(tt_Other,MATCH(D1959,tt_Type,0))="",E1959&amp;"",INDEX(tt_Other,MATCH(D1959,tt_Type,0))),""))</f>
        <v/>
      </c>
      <c r="W1959" s="68">
        <f>IF(OR(TaxOn&lt;&gt;"Yes",NOT(ISNUMBER(M1959))),0,IF(IFERROR(INDEX(tt_Tax,MATCH(D1959,tt_Type,0)),"No")="Yes",M1959,0))</f>
        <v/>
      </c>
      <c r="X1959" s="67">
        <f>IF(T1959=1,"",IF(C1959="","Missing transaction date",IF(NOT(ISNUMBER(C1959)),"Invalid date",IF(OR(C1959&lt;DATE(2000,1,1),C1959&gt;DATE(2099,12,31)),"Invalid date",IF(D1959="","Select a type",IF(U1959="","Unknown type: "&amp;D1959,IF(V1959="","Select an account (Category)",IF(ISNA(MATCH(V1959,coa_Name,0)),"Unknown account: "&amp;V1959,IF(K1959="","Select Paid From / Deposited To",IF(ISNA(MATCH(K1959,coa_Name,0)),"Unknown account: "&amp;K1959,IF(NOT(ISNUMBER(L1959)),"Enter an amount",IF(L1959=0,"Enter an amount",IF(ABS(W1959)&gt;ABS(L1959),"Tax is larger than the amount","")))))))))))))</f>
        <v/>
      </c>
      <c r="Y1959" s="67">
        <f>IF(OR(T1959=1,X1959&lt;&gt;""),"",IF(AND(B1959&lt;&gt;"",COUNTIF(tx_ID,B1959)&gt;1),"Duplicate transaction ID",IF(AND(L1959&lt;0,D1959&lt;&gt;"Adjustment"),"Negative amount — check this entry",IF(AND(D1959="Customer Payment",G1959=""),"Add the customer",IF(AND(D1959="Customer Payment",OR(J1959="",COUNTIF(ar_No,J1959&amp;"")=0)),"Invoice # in Reference not found on AR sheet",IF(AND(D1959="Bill Payment",H1959=""),"Add the vendor",IF(AND(D1959="Bill Payment",OR(J1959="",COUNTIFS(ap_No,J1959&amp;"",ap_Party,H1959&amp;"")=0)),"Bill # + vendor not found on AP sheet",IF(AND(ISNUMBER(M1959),N(M1959)&lt;&gt;0,W1959=0),"Tax ignored (tax tracking off, or not allowed for this type)",IF(V1959=K1959&amp;"","Same account on both sides",IF(AND(ISNUMBER(StartDate),C1959&lt;StartDate),"Date is before the accounting start date",IF(AND(D1959&lt;&gt;"Adjustment",IFERROR(INDEX(coa_Pay,MATCH(K1959&amp;"",coa_Name,0)),"")&lt;&gt;"Yes"),"Paid From / Deposited To is not a payment account","")))))))))))</f>
        <v/>
      </c>
      <c r="Z1959" s="67">
        <f>IF(AND(T1959=0,X1959=""),1,0)</f>
        <v/>
      </c>
      <c r="AA1959" s="68">
        <f>IF(Z1959=1,IF(U1959="In",L1959,L1959-W1959),0)</f>
        <v/>
      </c>
      <c r="AB1959" s="68">
        <f>IF(Z1959=1,IF(U1959="In",L1959-W1959,L1959),0)</f>
        <v/>
      </c>
      <c r="AC1959" s="68">
        <f>IF(AND(Z1959=1,U1959="Out"),W1959,0)</f>
        <v/>
      </c>
      <c r="AD1959" s="68">
        <f>IF(AND(Z1959=1,U1959="In"),W1959,0)</f>
        <v/>
      </c>
    </row>
    <row r="1960">
      <c r="B1960" s="62" t="inlineStr">
        <is>
          <t>TX-1954</t>
        </is>
      </c>
      <c r="C1960" s="63" t="n"/>
      <c r="D1960" s="62" t="n"/>
      <c r="E1960" s="62" t="n"/>
      <c r="F1960" s="62" t="n"/>
      <c r="G1960" s="62" t="n"/>
      <c r="H1960" s="62" t="n"/>
      <c r="I1960" s="62" t="n"/>
      <c r="J1960" s="62" t="n"/>
      <c r="K1960" s="62" t="n"/>
      <c r="L1960" s="64" t="n"/>
      <c r="M1960" s="64" t="n"/>
      <c r="N1960" s="62" t="n"/>
      <c r="O1960" s="65">
        <f>IF(Z1960=1,L1960-W1960,"")</f>
        <v/>
      </c>
      <c r="P1960" s="66">
        <f>IF(V1960="","",IFERROR(INDEX(coa_Type,MATCH(V1960,coa_Name,0)),""))</f>
        <v/>
      </c>
      <c r="Q1960" s="66">
        <f>IF(Z1960=1,IF(U1960="In",K1960&amp;"",V1960),"")</f>
        <v/>
      </c>
      <c r="R1960" s="66">
        <f>IF(Z1960=1,IF(U1960="In",V1960,K1960&amp;""),"")</f>
        <v/>
      </c>
      <c r="S1960" s="66">
        <f>IF(X1960&lt;&gt;"","⛔ "&amp;X1960&amp;" — not posted",IF(Y1960&lt;&gt;"","⚠ "&amp;Y1960,IF(Z1960=1,"✓ OK","")))</f>
        <v/>
      </c>
      <c r="T1960" s="67">
        <f>IF(AND(C1960="",D1960="",E1960="",L1960="",K1960=""),1,0)</f>
        <v/>
      </c>
      <c r="U1960" s="67">
        <f>IFERROR(INDEX(tt_Dir,MATCH(D1960,tt_Type,0)),"")</f>
        <v/>
      </c>
      <c r="V1960" s="67">
        <f>IF(D1960="","",IFERROR(IF(INDEX(tt_Other,MATCH(D1960,tt_Type,0))="",E1960&amp;"",INDEX(tt_Other,MATCH(D1960,tt_Type,0))),""))</f>
        <v/>
      </c>
      <c r="W1960" s="68">
        <f>IF(OR(TaxOn&lt;&gt;"Yes",NOT(ISNUMBER(M1960))),0,IF(IFERROR(INDEX(tt_Tax,MATCH(D1960,tt_Type,0)),"No")="Yes",M1960,0))</f>
        <v/>
      </c>
      <c r="X1960" s="67">
        <f>IF(T1960=1,"",IF(C1960="","Missing transaction date",IF(NOT(ISNUMBER(C1960)),"Invalid date",IF(OR(C1960&lt;DATE(2000,1,1),C1960&gt;DATE(2099,12,31)),"Invalid date",IF(D1960="","Select a type",IF(U1960="","Unknown type: "&amp;D1960,IF(V1960="","Select an account (Category)",IF(ISNA(MATCH(V1960,coa_Name,0)),"Unknown account: "&amp;V1960,IF(K1960="","Select Paid From / Deposited To",IF(ISNA(MATCH(K1960,coa_Name,0)),"Unknown account: "&amp;K1960,IF(NOT(ISNUMBER(L1960)),"Enter an amount",IF(L1960=0,"Enter an amount",IF(ABS(W1960)&gt;ABS(L1960),"Tax is larger than the amount","")))))))))))))</f>
        <v/>
      </c>
      <c r="Y1960" s="67">
        <f>IF(OR(T1960=1,X1960&lt;&gt;""),"",IF(AND(B1960&lt;&gt;"",COUNTIF(tx_ID,B1960)&gt;1),"Duplicate transaction ID",IF(AND(L1960&lt;0,D1960&lt;&gt;"Adjustment"),"Negative amount — check this entry",IF(AND(D1960="Customer Payment",G1960=""),"Add the customer",IF(AND(D1960="Customer Payment",OR(J1960="",COUNTIF(ar_No,J1960&amp;"")=0)),"Invoice # in Reference not found on AR sheet",IF(AND(D1960="Bill Payment",H1960=""),"Add the vendor",IF(AND(D1960="Bill Payment",OR(J1960="",COUNTIFS(ap_No,J1960&amp;"",ap_Party,H1960&amp;"")=0)),"Bill # + vendor not found on AP sheet",IF(AND(ISNUMBER(M1960),N(M1960)&lt;&gt;0,W1960=0),"Tax ignored (tax tracking off, or not allowed for this type)",IF(V1960=K1960&amp;"","Same account on both sides",IF(AND(ISNUMBER(StartDate),C1960&lt;StartDate),"Date is before the accounting start date",IF(AND(D1960&lt;&gt;"Adjustment",IFERROR(INDEX(coa_Pay,MATCH(K1960&amp;"",coa_Name,0)),"")&lt;&gt;"Yes"),"Paid From / Deposited To is not a payment account","")))))))))))</f>
        <v/>
      </c>
      <c r="Z1960" s="67">
        <f>IF(AND(T1960=0,X1960=""),1,0)</f>
        <v/>
      </c>
      <c r="AA1960" s="68">
        <f>IF(Z1960=1,IF(U1960="In",L1960,L1960-W1960),0)</f>
        <v/>
      </c>
      <c r="AB1960" s="68">
        <f>IF(Z1960=1,IF(U1960="In",L1960-W1960,L1960),0)</f>
        <v/>
      </c>
      <c r="AC1960" s="68">
        <f>IF(AND(Z1960=1,U1960="Out"),W1960,0)</f>
        <v/>
      </c>
      <c r="AD1960" s="68">
        <f>IF(AND(Z1960=1,U1960="In"),W1960,0)</f>
        <v/>
      </c>
    </row>
    <row r="1961">
      <c r="B1961" s="62" t="inlineStr">
        <is>
          <t>TX-1955</t>
        </is>
      </c>
      <c r="C1961" s="63" t="n"/>
      <c r="D1961" s="62" t="n"/>
      <c r="E1961" s="62" t="n"/>
      <c r="F1961" s="62" t="n"/>
      <c r="G1961" s="62" t="n"/>
      <c r="H1961" s="62" t="n"/>
      <c r="I1961" s="62" t="n"/>
      <c r="J1961" s="62" t="n"/>
      <c r="K1961" s="62" t="n"/>
      <c r="L1961" s="64" t="n"/>
      <c r="M1961" s="64" t="n"/>
      <c r="N1961" s="62" t="n"/>
      <c r="O1961" s="65">
        <f>IF(Z1961=1,L1961-W1961,"")</f>
        <v/>
      </c>
      <c r="P1961" s="66">
        <f>IF(V1961="","",IFERROR(INDEX(coa_Type,MATCH(V1961,coa_Name,0)),""))</f>
        <v/>
      </c>
      <c r="Q1961" s="66">
        <f>IF(Z1961=1,IF(U1961="In",K1961&amp;"",V1961),"")</f>
        <v/>
      </c>
      <c r="R1961" s="66">
        <f>IF(Z1961=1,IF(U1961="In",V1961,K1961&amp;""),"")</f>
        <v/>
      </c>
      <c r="S1961" s="66">
        <f>IF(X1961&lt;&gt;"","⛔ "&amp;X1961&amp;" — not posted",IF(Y1961&lt;&gt;"","⚠ "&amp;Y1961,IF(Z1961=1,"✓ OK","")))</f>
        <v/>
      </c>
      <c r="T1961" s="67">
        <f>IF(AND(C1961="",D1961="",E1961="",L1961="",K1961=""),1,0)</f>
        <v/>
      </c>
      <c r="U1961" s="67">
        <f>IFERROR(INDEX(tt_Dir,MATCH(D1961,tt_Type,0)),"")</f>
        <v/>
      </c>
      <c r="V1961" s="67">
        <f>IF(D1961="","",IFERROR(IF(INDEX(tt_Other,MATCH(D1961,tt_Type,0))="",E1961&amp;"",INDEX(tt_Other,MATCH(D1961,tt_Type,0))),""))</f>
        <v/>
      </c>
      <c r="W1961" s="68">
        <f>IF(OR(TaxOn&lt;&gt;"Yes",NOT(ISNUMBER(M1961))),0,IF(IFERROR(INDEX(tt_Tax,MATCH(D1961,tt_Type,0)),"No")="Yes",M1961,0))</f>
        <v/>
      </c>
      <c r="X1961" s="67">
        <f>IF(T1961=1,"",IF(C1961="","Missing transaction date",IF(NOT(ISNUMBER(C1961)),"Invalid date",IF(OR(C1961&lt;DATE(2000,1,1),C1961&gt;DATE(2099,12,31)),"Invalid date",IF(D1961="","Select a type",IF(U1961="","Unknown type: "&amp;D1961,IF(V1961="","Select an account (Category)",IF(ISNA(MATCH(V1961,coa_Name,0)),"Unknown account: "&amp;V1961,IF(K1961="","Select Paid From / Deposited To",IF(ISNA(MATCH(K1961,coa_Name,0)),"Unknown account: "&amp;K1961,IF(NOT(ISNUMBER(L1961)),"Enter an amount",IF(L1961=0,"Enter an amount",IF(ABS(W1961)&gt;ABS(L1961),"Tax is larger than the amount","")))))))))))))</f>
        <v/>
      </c>
      <c r="Y1961" s="67">
        <f>IF(OR(T1961=1,X1961&lt;&gt;""),"",IF(AND(B1961&lt;&gt;"",COUNTIF(tx_ID,B1961)&gt;1),"Duplicate transaction ID",IF(AND(L1961&lt;0,D1961&lt;&gt;"Adjustment"),"Negative amount — check this entry",IF(AND(D1961="Customer Payment",G1961=""),"Add the customer",IF(AND(D1961="Customer Payment",OR(J1961="",COUNTIF(ar_No,J1961&amp;"")=0)),"Invoice # in Reference not found on AR sheet",IF(AND(D1961="Bill Payment",H1961=""),"Add the vendor",IF(AND(D1961="Bill Payment",OR(J1961="",COUNTIFS(ap_No,J1961&amp;"",ap_Party,H1961&amp;"")=0)),"Bill # + vendor not found on AP sheet",IF(AND(ISNUMBER(M1961),N(M1961)&lt;&gt;0,W1961=0),"Tax ignored (tax tracking off, or not allowed for this type)",IF(V1961=K1961&amp;"","Same account on both sides",IF(AND(ISNUMBER(StartDate),C1961&lt;StartDate),"Date is before the accounting start date",IF(AND(D1961&lt;&gt;"Adjustment",IFERROR(INDEX(coa_Pay,MATCH(K1961&amp;"",coa_Name,0)),"")&lt;&gt;"Yes"),"Paid From / Deposited To is not a payment account","")))))))))))</f>
        <v/>
      </c>
      <c r="Z1961" s="67">
        <f>IF(AND(T1961=0,X1961=""),1,0)</f>
        <v/>
      </c>
      <c r="AA1961" s="68">
        <f>IF(Z1961=1,IF(U1961="In",L1961,L1961-W1961),0)</f>
        <v/>
      </c>
      <c r="AB1961" s="68">
        <f>IF(Z1961=1,IF(U1961="In",L1961-W1961,L1961),0)</f>
        <v/>
      </c>
      <c r="AC1961" s="68">
        <f>IF(AND(Z1961=1,U1961="Out"),W1961,0)</f>
        <v/>
      </c>
      <c r="AD1961" s="68">
        <f>IF(AND(Z1961=1,U1961="In"),W1961,0)</f>
        <v/>
      </c>
    </row>
    <row r="1962">
      <c r="B1962" s="62" t="inlineStr">
        <is>
          <t>TX-1956</t>
        </is>
      </c>
      <c r="C1962" s="63" t="n"/>
      <c r="D1962" s="62" t="n"/>
      <c r="E1962" s="62" t="n"/>
      <c r="F1962" s="62" t="n"/>
      <c r="G1962" s="62" t="n"/>
      <c r="H1962" s="62" t="n"/>
      <c r="I1962" s="62" t="n"/>
      <c r="J1962" s="62" t="n"/>
      <c r="K1962" s="62" t="n"/>
      <c r="L1962" s="64" t="n"/>
      <c r="M1962" s="64" t="n"/>
      <c r="N1962" s="62" t="n"/>
      <c r="O1962" s="65">
        <f>IF(Z1962=1,L1962-W1962,"")</f>
        <v/>
      </c>
      <c r="P1962" s="66">
        <f>IF(V1962="","",IFERROR(INDEX(coa_Type,MATCH(V1962,coa_Name,0)),""))</f>
        <v/>
      </c>
      <c r="Q1962" s="66">
        <f>IF(Z1962=1,IF(U1962="In",K1962&amp;"",V1962),"")</f>
        <v/>
      </c>
      <c r="R1962" s="66">
        <f>IF(Z1962=1,IF(U1962="In",V1962,K1962&amp;""),"")</f>
        <v/>
      </c>
      <c r="S1962" s="66">
        <f>IF(X1962&lt;&gt;"","⛔ "&amp;X1962&amp;" — not posted",IF(Y1962&lt;&gt;"","⚠ "&amp;Y1962,IF(Z1962=1,"✓ OK","")))</f>
        <v/>
      </c>
      <c r="T1962" s="67">
        <f>IF(AND(C1962="",D1962="",E1962="",L1962="",K1962=""),1,0)</f>
        <v/>
      </c>
      <c r="U1962" s="67">
        <f>IFERROR(INDEX(tt_Dir,MATCH(D1962,tt_Type,0)),"")</f>
        <v/>
      </c>
      <c r="V1962" s="67">
        <f>IF(D1962="","",IFERROR(IF(INDEX(tt_Other,MATCH(D1962,tt_Type,0))="",E1962&amp;"",INDEX(tt_Other,MATCH(D1962,tt_Type,0))),""))</f>
        <v/>
      </c>
      <c r="W1962" s="68">
        <f>IF(OR(TaxOn&lt;&gt;"Yes",NOT(ISNUMBER(M1962))),0,IF(IFERROR(INDEX(tt_Tax,MATCH(D1962,tt_Type,0)),"No")="Yes",M1962,0))</f>
        <v/>
      </c>
      <c r="X1962" s="67">
        <f>IF(T1962=1,"",IF(C1962="","Missing transaction date",IF(NOT(ISNUMBER(C1962)),"Invalid date",IF(OR(C1962&lt;DATE(2000,1,1),C1962&gt;DATE(2099,12,31)),"Invalid date",IF(D1962="","Select a type",IF(U1962="","Unknown type: "&amp;D1962,IF(V1962="","Select an account (Category)",IF(ISNA(MATCH(V1962,coa_Name,0)),"Unknown account: "&amp;V1962,IF(K1962="","Select Paid From / Deposited To",IF(ISNA(MATCH(K1962,coa_Name,0)),"Unknown account: "&amp;K1962,IF(NOT(ISNUMBER(L1962)),"Enter an amount",IF(L1962=0,"Enter an amount",IF(ABS(W1962)&gt;ABS(L1962),"Tax is larger than the amount","")))))))))))))</f>
        <v/>
      </c>
      <c r="Y1962" s="67">
        <f>IF(OR(T1962=1,X1962&lt;&gt;""),"",IF(AND(B1962&lt;&gt;"",COUNTIF(tx_ID,B1962)&gt;1),"Duplicate transaction ID",IF(AND(L1962&lt;0,D1962&lt;&gt;"Adjustment"),"Negative amount — check this entry",IF(AND(D1962="Customer Payment",G1962=""),"Add the customer",IF(AND(D1962="Customer Payment",OR(J1962="",COUNTIF(ar_No,J1962&amp;"")=0)),"Invoice # in Reference not found on AR sheet",IF(AND(D1962="Bill Payment",H1962=""),"Add the vendor",IF(AND(D1962="Bill Payment",OR(J1962="",COUNTIFS(ap_No,J1962&amp;"",ap_Party,H1962&amp;"")=0)),"Bill # + vendor not found on AP sheet",IF(AND(ISNUMBER(M1962),N(M1962)&lt;&gt;0,W1962=0),"Tax ignored (tax tracking off, or not allowed for this type)",IF(V1962=K1962&amp;"","Same account on both sides",IF(AND(ISNUMBER(StartDate),C1962&lt;StartDate),"Date is before the accounting start date",IF(AND(D1962&lt;&gt;"Adjustment",IFERROR(INDEX(coa_Pay,MATCH(K1962&amp;"",coa_Name,0)),"")&lt;&gt;"Yes"),"Paid From / Deposited To is not a payment account","")))))))))))</f>
        <v/>
      </c>
      <c r="Z1962" s="67">
        <f>IF(AND(T1962=0,X1962=""),1,0)</f>
        <v/>
      </c>
      <c r="AA1962" s="68">
        <f>IF(Z1962=1,IF(U1962="In",L1962,L1962-W1962),0)</f>
        <v/>
      </c>
      <c r="AB1962" s="68">
        <f>IF(Z1962=1,IF(U1962="In",L1962-W1962,L1962),0)</f>
        <v/>
      </c>
      <c r="AC1962" s="68">
        <f>IF(AND(Z1962=1,U1962="Out"),W1962,0)</f>
        <v/>
      </c>
      <c r="AD1962" s="68">
        <f>IF(AND(Z1962=1,U1962="In"),W1962,0)</f>
        <v/>
      </c>
    </row>
    <row r="1963">
      <c r="B1963" s="62" t="inlineStr">
        <is>
          <t>TX-1957</t>
        </is>
      </c>
      <c r="C1963" s="63" t="n"/>
      <c r="D1963" s="62" t="n"/>
      <c r="E1963" s="62" t="n"/>
      <c r="F1963" s="62" t="n"/>
      <c r="G1963" s="62" t="n"/>
      <c r="H1963" s="62" t="n"/>
      <c r="I1963" s="62" t="n"/>
      <c r="J1963" s="62" t="n"/>
      <c r="K1963" s="62" t="n"/>
      <c r="L1963" s="64" t="n"/>
      <c r="M1963" s="64" t="n"/>
      <c r="N1963" s="62" t="n"/>
      <c r="O1963" s="65">
        <f>IF(Z1963=1,L1963-W1963,"")</f>
        <v/>
      </c>
      <c r="P1963" s="66">
        <f>IF(V1963="","",IFERROR(INDEX(coa_Type,MATCH(V1963,coa_Name,0)),""))</f>
        <v/>
      </c>
      <c r="Q1963" s="66">
        <f>IF(Z1963=1,IF(U1963="In",K1963&amp;"",V1963),"")</f>
        <v/>
      </c>
      <c r="R1963" s="66">
        <f>IF(Z1963=1,IF(U1963="In",V1963,K1963&amp;""),"")</f>
        <v/>
      </c>
      <c r="S1963" s="66">
        <f>IF(X1963&lt;&gt;"","⛔ "&amp;X1963&amp;" — not posted",IF(Y1963&lt;&gt;"","⚠ "&amp;Y1963,IF(Z1963=1,"✓ OK","")))</f>
        <v/>
      </c>
      <c r="T1963" s="67">
        <f>IF(AND(C1963="",D1963="",E1963="",L1963="",K1963=""),1,0)</f>
        <v/>
      </c>
      <c r="U1963" s="67">
        <f>IFERROR(INDEX(tt_Dir,MATCH(D1963,tt_Type,0)),"")</f>
        <v/>
      </c>
      <c r="V1963" s="67">
        <f>IF(D1963="","",IFERROR(IF(INDEX(tt_Other,MATCH(D1963,tt_Type,0))="",E1963&amp;"",INDEX(tt_Other,MATCH(D1963,tt_Type,0))),""))</f>
        <v/>
      </c>
      <c r="W1963" s="68">
        <f>IF(OR(TaxOn&lt;&gt;"Yes",NOT(ISNUMBER(M1963))),0,IF(IFERROR(INDEX(tt_Tax,MATCH(D1963,tt_Type,0)),"No")="Yes",M1963,0))</f>
        <v/>
      </c>
      <c r="X1963" s="67">
        <f>IF(T1963=1,"",IF(C1963="","Missing transaction date",IF(NOT(ISNUMBER(C1963)),"Invalid date",IF(OR(C1963&lt;DATE(2000,1,1),C1963&gt;DATE(2099,12,31)),"Invalid date",IF(D1963="","Select a type",IF(U1963="","Unknown type: "&amp;D1963,IF(V1963="","Select an account (Category)",IF(ISNA(MATCH(V1963,coa_Name,0)),"Unknown account: "&amp;V1963,IF(K1963="","Select Paid From / Deposited To",IF(ISNA(MATCH(K1963,coa_Name,0)),"Unknown account: "&amp;K1963,IF(NOT(ISNUMBER(L1963)),"Enter an amount",IF(L1963=0,"Enter an amount",IF(ABS(W1963)&gt;ABS(L1963),"Tax is larger than the amount","")))))))))))))</f>
        <v/>
      </c>
      <c r="Y1963" s="67">
        <f>IF(OR(T1963=1,X1963&lt;&gt;""),"",IF(AND(B1963&lt;&gt;"",COUNTIF(tx_ID,B1963)&gt;1),"Duplicate transaction ID",IF(AND(L1963&lt;0,D1963&lt;&gt;"Adjustment"),"Negative amount — check this entry",IF(AND(D1963="Customer Payment",G1963=""),"Add the customer",IF(AND(D1963="Customer Payment",OR(J1963="",COUNTIF(ar_No,J1963&amp;"")=0)),"Invoice # in Reference not found on AR sheet",IF(AND(D1963="Bill Payment",H1963=""),"Add the vendor",IF(AND(D1963="Bill Payment",OR(J1963="",COUNTIFS(ap_No,J1963&amp;"",ap_Party,H1963&amp;"")=0)),"Bill # + vendor not found on AP sheet",IF(AND(ISNUMBER(M1963),N(M1963)&lt;&gt;0,W1963=0),"Tax ignored (tax tracking off, or not allowed for this type)",IF(V1963=K1963&amp;"","Same account on both sides",IF(AND(ISNUMBER(StartDate),C1963&lt;StartDate),"Date is before the accounting start date",IF(AND(D1963&lt;&gt;"Adjustment",IFERROR(INDEX(coa_Pay,MATCH(K1963&amp;"",coa_Name,0)),"")&lt;&gt;"Yes"),"Paid From / Deposited To is not a payment account","")))))))))))</f>
        <v/>
      </c>
      <c r="Z1963" s="67">
        <f>IF(AND(T1963=0,X1963=""),1,0)</f>
        <v/>
      </c>
      <c r="AA1963" s="68">
        <f>IF(Z1963=1,IF(U1963="In",L1963,L1963-W1963),0)</f>
        <v/>
      </c>
      <c r="AB1963" s="68">
        <f>IF(Z1963=1,IF(U1963="In",L1963-W1963,L1963),0)</f>
        <v/>
      </c>
      <c r="AC1963" s="68">
        <f>IF(AND(Z1963=1,U1963="Out"),W1963,0)</f>
        <v/>
      </c>
      <c r="AD1963" s="68">
        <f>IF(AND(Z1963=1,U1963="In"),W1963,0)</f>
        <v/>
      </c>
    </row>
    <row r="1964">
      <c r="B1964" s="62" t="inlineStr">
        <is>
          <t>TX-1958</t>
        </is>
      </c>
      <c r="C1964" s="63" t="n"/>
      <c r="D1964" s="62" t="n"/>
      <c r="E1964" s="62" t="n"/>
      <c r="F1964" s="62" t="n"/>
      <c r="G1964" s="62" t="n"/>
      <c r="H1964" s="62" t="n"/>
      <c r="I1964" s="62" t="n"/>
      <c r="J1964" s="62" t="n"/>
      <c r="K1964" s="62" t="n"/>
      <c r="L1964" s="64" t="n"/>
      <c r="M1964" s="64" t="n"/>
      <c r="N1964" s="62" t="n"/>
      <c r="O1964" s="65">
        <f>IF(Z1964=1,L1964-W1964,"")</f>
        <v/>
      </c>
      <c r="P1964" s="66">
        <f>IF(V1964="","",IFERROR(INDEX(coa_Type,MATCH(V1964,coa_Name,0)),""))</f>
        <v/>
      </c>
      <c r="Q1964" s="66">
        <f>IF(Z1964=1,IF(U1964="In",K1964&amp;"",V1964),"")</f>
        <v/>
      </c>
      <c r="R1964" s="66">
        <f>IF(Z1964=1,IF(U1964="In",V1964,K1964&amp;""),"")</f>
        <v/>
      </c>
      <c r="S1964" s="66">
        <f>IF(X1964&lt;&gt;"","⛔ "&amp;X1964&amp;" — not posted",IF(Y1964&lt;&gt;"","⚠ "&amp;Y1964,IF(Z1964=1,"✓ OK","")))</f>
        <v/>
      </c>
      <c r="T1964" s="67">
        <f>IF(AND(C1964="",D1964="",E1964="",L1964="",K1964=""),1,0)</f>
        <v/>
      </c>
      <c r="U1964" s="67">
        <f>IFERROR(INDEX(tt_Dir,MATCH(D1964,tt_Type,0)),"")</f>
        <v/>
      </c>
      <c r="V1964" s="67">
        <f>IF(D1964="","",IFERROR(IF(INDEX(tt_Other,MATCH(D1964,tt_Type,0))="",E1964&amp;"",INDEX(tt_Other,MATCH(D1964,tt_Type,0))),""))</f>
        <v/>
      </c>
      <c r="W1964" s="68">
        <f>IF(OR(TaxOn&lt;&gt;"Yes",NOT(ISNUMBER(M1964))),0,IF(IFERROR(INDEX(tt_Tax,MATCH(D1964,tt_Type,0)),"No")="Yes",M1964,0))</f>
        <v/>
      </c>
      <c r="X1964" s="67">
        <f>IF(T1964=1,"",IF(C1964="","Missing transaction date",IF(NOT(ISNUMBER(C1964)),"Invalid date",IF(OR(C1964&lt;DATE(2000,1,1),C1964&gt;DATE(2099,12,31)),"Invalid date",IF(D1964="","Select a type",IF(U1964="","Unknown type: "&amp;D1964,IF(V1964="","Select an account (Category)",IF(ISNA(MATCH(V1964,coa_Name,0)),"Unknown account: "&amp;V1964,IF(K1964="","Select Paid From / Deposited To",IF(ISNA(MATCH(K1964,coa_Name,0)),"Unknown account: "&amp;K1964,IF(NOT(ISNUMBER(L1964)),"Enter an amount",IF(L1964=0,"Enter an amount",IF(ABS(W1964)&gt;ABS(L1964),"Tax is larger than the amount","")))))))))))))</f>
        <v/>
      </c>
      <c r="Y1964" s="67">
        <f>IF(OR(T1964=1,X1964&lt;&gt;""),"",IF(AND(B1964&lt;&gt;"",COUNTIF(tx_ID,B1964)&gt;1),"Duplicate transaction ID",IF(AND(L1964&lt;0,D1964&lt;&gt;"Adjustment"),"Negative amount — check this entry",IF(AND(D1964="Customer Payment",G1964=""),"Add the customer",IF(AND(D1964="Customer Payment",OR(J1964="",COUNTIF(ar_No,J1964&amp;"")=0)),"Invoice # in Reference not found on AR sheet",IF(AND(D1964="Bill Payment",H1964=""),"Add the vendor",IF(AND(D1964="Bill Payment",OR(J1964="",COUNTIFS(ap_No,J1964&amp;"",ap_Party,H1964&amp;"")=0)),"Bill # + vendor not found on AP sheet",IF(AND(ISNUMBER(M1964),N(M1964)&lt;&gt;0,W1964=0),"Tax ignored (tax tracking off, or not allowed for this type)",IF(V1964=K1964&amp;"","Same account on both sides",IF(AND(ISNUMBER(StartDate),C1964&lt;StartDate),"Date is before the accounting start date",IF(AND(D1964&lt;&gt;"Adjustment",IFERROR(INDEX(coa_Pay,MATCH(K1964&amp;"",coa_Name,0)),"")&lt;&gt;"Yes"),"Paid From / Deposited To is not a payment account","")))))))))))</f>
        <v/>
      </c>
      <c r="Z1964" s="67">
        <f>IF(AND(T1964=0,X1964=""),1,0)</f>
        <v/>
      </c>
      <c r="AA1964" s="68">
        <f>IF(Z1964=1,IF(U1964="In",L1964,L1964-W1964),0)</f>
        <v/>
      </c>
      <c r="AB1964" s="68">
        <f>IF(Z1964=1,IF(U1964="In",L1964-W1964,L1964),0)</f>
        <v/>
      </c>
      <c r="AC1964" s="68">
        <f>IF(AND(Z1964=1,U1964="Out"),W1964,0)</f>
        <v/>
      </c>
      <c r="AD1964" s="68">
        <f>IF(AND(Z1964=1,U1964="In"),W1964,0)</f>
        <v/>
      </c>
    </row>
    <row r="1965">
      <c r="B1965" s="62" t="inlineStr">
        <is>
          <t>TX-1959</t>
        </is>
      </c>
      <c r="C1965" s="63" t="n"/>
      <c r="D1965" s="62" t="n"/>
      <c r="E1965" s="62" t="n"/>
      <c r="F1965" s="62" t="n"/>
      <c r="G1965" s="62" t="n"/>
      <c r="H1965" s="62" t="n"/>
      <c r="I1965" s="62" t="n"/>
      <c r="J1965" s="62" t="n"/>
      <c r="K1965" s="62" t="n"/>
      <c r="L1965" s="64" t="n"/>
      <c r="M1965" s="64" t="n"/>
      <c r="N1965" s="62" t="n"/>
      <c r="O1965" s="65">
        <f>IF(Z1965=1,L1965-W1965,"")</f>
        <v/>
      </c>
      <c r="P1965" s="66">
        <f>IF(V1965="","",IFERROR(INDEX(coa_Type,MATCH(V1965,coa_Name,0)),""))</f>
        <v/>
      </c>
      <c r="Q1965" s="66">
        <f>IF(Z1965=1,IF(U1965="In",K1965&amp;"",V1965),"")</f>
        <v/>
      </c>
      <c r="R1965" s="66">
        <f>IF(Z1965=1,IF(U1965="In",V1965,K1965&amp;""),"")</f>
        <v/>
      </c>
      <c r="S1965" s="66">
        <f>IF(X1965&lt;&gt;"","⛔ "&amp;X1965&amp;" — not posted",IF(Y1965&lt;&gt;"","⚠ "&amp;Y1965,IF(Z1965=1,"✓ OK","")))</f>
        <v/>
      </c>
      <c r="T1965" s="67">
        <f>IF(AND(C1965="",D1965="",E1965="",L1965="",K1965=""),1,0)</f>
        <v/>
      </c>
      <c r="U1965" s="67">
        <f>IFERROR(INDEX(tt_Dir,MATCH(D1965,tt_Type,0)),"")</f>
        <v/>
      </c>
      <c r="V1965" s="67">
        <f>IF(D1965="","",IFERROR(IF(INDEX(tt_Other,MATCH(D1965,tt_Type,0))="",E1965&amp;"",INDEX(tt_Other,MATCH(D1965,tt_Type,0))),""))</f>
        <v/>
      </c>
      <c r="W1965" s="68">
        <f>IF(OR(TaxOn&lt;&gt;"Yes",NOT(ISNUMBER(M1965))),0,IF(IFERROR(INDEX(tt_Tax,MATCH(D1965,tt_Type,0)),"No")="Yes",M1965,0))</f>
        <v/>
      </c>
      <c r="X1965" s="67">
        <f>IF(T1965=1,"",IF(C1965="","Missing transaction date",IF(NOT(ISNUMBER(C1965)),"Invalid date",IF(OR(C1965&lt;DATE(2000,1,1),C1965&gt;DATE(2099,12,31)),"Invalid date",IF(D1965="","Select a type",IF(U1965="","Unknown type: "&amp;D1965,IF(V1965="","Select an account (Category)",IF(ISNA(MATCH(V1965,coa_Name,0)),"Unknown account: "&amp;V1965,IF(K1965="","Select Paid From / Deposited To",IF(ISNA(MATCH(K1965,coa_Name,0)),"Unknown account: "&amp;K1965,IF(NOT(ISNUMBER(L1965)),"Enter an amount",IF(L1965=0,"Enter an amount",IF(ABS(W1965)&gt;ABS(L1965),"Tax is larger than the amount","")))))))))))))</f>
        <v/>
      </c>
      <c r="Y1965" s="67">
        <f>IF(OR(T1965=1,X1965&lt;&gt;""),"",IF(AND(B1965&lt;&gt;"",COUNTIF(tx_ID,B1965)&gt;1),"Duplicate transaction ID",IF(AND(L1965&lt;0,D1965&lt;&gt;"Adjustment"),"Negative amount — check this entry",IF(AND(D1965="Customer Payment",G1965=""),"Add the customer",IF(AND(D1965="Customer Payment",OR(J1965="",COUNTIF(ar_No,J1965&amp;"")=0)),"Invoice # in Reference not found on AR sheet",IF(AND(D1965="Bill Payment",H1965=""),"Add the vendor",IF(AND(D1965="Bill Payment",OR(J1965="",COUNTIFS(ap_No,J1965&amp;"",ap_Party,H1965&amp;"")=0)),"Bill # + vendor not found on AP sheet",IF(AND(ISNUMBER(M1965),N(M1965)&lt;&gt;0,W1965=0),"Tax ignored (tax tracking off, or not allowed for this type)",IF(V1965=K1965&amp;"","Same account on both sides",IF(AND(ISNUMBER(StartDate),C1965&lt;StartDate),"Date is before the accounting start date",IF(AND(D1965&lt;&gt;"Adjustment",IFERROR(INDEX(coa_Pay,MATCH(K1965&amp;"",coa_Name,0)),"")&lt;&gt;"Yes"),"Paid From / Deposited To is not a payment account","")))))))))))</f>
        <v/>
      </c>
      <c r="Z1965" s="67">
        <f>IF(AND(T1965=0,X1965=""),1,0)</f>
        <v/>
      </c>
      <c r="AA1965" s="68">
        <f>IF(Z1965=1,IF(U1965="In",L1965,L1965-W1965),0)</f>
        <v/>
      </c>
      <c r="AB1965" s="68">
        <f>IF(Z1965=1,IF(U1965="In",L1965-W1965,L1965),0)</f>
        <v/>
      </c>
      <c r="AC1965" s="68">
        <f>IF(AND(Z1965=1,U1965="Out"),W1965,0)</f>
        <v/>
      </c>
      <c r="AD1965" s="68">
        <f>IF(AND(Z1965=1,U1965="In"),W1965,0)</f>
        <v/>
      </c>
    </row>
    <row r="1966">
      <c r="B1966" s="62" t="inlineStr">
        <is>
          <t>TX-1960</t>
        </is>
      </c>
      <c r="C1966" s="63" t="n"/>
      <c r="D1966" s="62" t="n"/>
      <c r="E1966" s="62" t="n"/>
      <c r="F1966" s="62" t="n"/>
      <c r="G1966" s="62" t="n"/>
      <c r="H1966" s="62" t="n"/>
      <c r="I1966" s="62" t="n"/>
      <c r="J1966" s="62" t="n"/>
      <c r="K1966" s="62" t="n"/>
      <c r="L1966" s="64" t="n"/>
      <c r="M1966" s="64" t="n"/>
      <c r="N1966" s="62" t="n"/>
      <c r="O1966" s="65">
        <f>IF(Z1966=1,L1966-W1966,"")</f>
        <v/>
      </c>
      <c r="P1966" s="66">
        <f>IF(V1966="","",IFERROR(INDEX(coa_Type,MATCH(V1966,coa_Name,0)),""))</f>
        <v/>
      </c>
      <c r="Q1966" s="66">
        <f>IF(Z1966=1,IF(U1966="In",K1966&amp;"",V1966),"")</f>
        <v/>
      </c>
      <c r="R1966" s="66">
        <f>IF(Z1966=1,IF(U1966="In",V1966,K1966&amp;""),"")</f>
        <v/>
      </c>
      <c r="S1966" s="66">
        <f>IF(X1966&lt;&gt;"","⛔ "&amp;X1966&amp;" — not posted",IF(Y1966&lt;&gt;"","⚠ "&amp;Y1966,IF(Z1966=1,"✓ OK","")))</f>
        <v/>
      </c>
      <c r="T1966" s="67">
        <f>IF(AND(C1966="",D1966="",E1966="",L1966="",K1966=""),1,0)</f>
        <v/>
      </c>
      <c r="U1966" s="67">
        <f>IFERROR(INDEX(tt_Dir,MATCH(D1966,tt_Type,0)),"")</f>
        <v/>
      </c>
      <c r="V1966" s="67">
        <f>IF(D1966="","",IFERROR(IF(INDEX(tt_Other,MATCH(D1966,tt_Type,0))="",E1966&amp;"",INDEX(tt_Other,MATCH(D1966,tt_Type,0))),""))</f>
        <v/>
      </c>
      <c r="W1966" s="68">
        <f>IF(OR(TaxOn&lt;&gt;"Yes",NOT(ISNUMBER(M1966))),0,IF(IFERROR(INDEX(tt_Tax,MATCH(D1966,tt_Type,0)),"No")="Yes",M1966,0))</f>
        <v/>
      </c>
      <c r="X1966" s="67">
        <f>IF(T1966=1,"",IF(C1966="","Missing transaction date",IF(NOT(ISNUMBER(C1966)),"Invalid date",IF(OR(C1966&lt;DATE(2000,1,1),C1966&gt;DATE(2099,12,31)),"Invalid date",IF(D1966="","Select a type",IF(U1966="","Unknown type: "&amp;D1966,IF(V1966="","Select an account (Category)",IF(ISNA(MATCH(V1966,coa_Name,0)),"Unknown account: "&amp;V1966,IF(K1966="","Select Paid From / Deposited To",IF(ISNA(MATCH(K1966,coa_Name,0)),"Unknown account: "&amp;K1966,IF(NOT(ISNUMBER(L1966)),"Enter an amount",IF(L1966=0,"Enter an amount",IF(ABS(W1966)&gt;ABS(L1966),"Tax is larger than the amount","")))))))))))))</f>
        <v/>
      </c>
      <c r="Y1966" s="67">
        <f>IF(OR(T1966=1,X1966&lt;&gt;""),"",IF(AND(B1966&lt;&gt;"",COUNTIF(tx_ID,B1966)&gt;1),"Duplicate transaction ID",IF(AND(L1966&lt;0,D1966&lt;&gt;"Adjustment"),"Negative amount — check this entry",IF(AND(D1966="Customer Payment",G1966=""),"Add the customer",IF(AND(D1966="Customer Payment",OR(J1966="",COUNTIF(ar_No,J1966&amp;"")=0)),"Invoice # in Reference not found on AR sheet",IF(AND(D1966="Bill Payment",H1966=""),"Add the vendor",IF(AND(D1966="Bill Payment",OR(J1966="",COUNTIFS(ap_No,J1966&amp;"",ap_Party,H1966&amp;"")=0)),"Bill # + vendor not found on AP sheet",IF(AND(ISNUMBER(M1966),N(M1966)&lt;&gt;0,W1966=0),"Tax ignored (tax tracking off, or not allowed for this type)",IF(V1966=K1966&amp;"","Same account on both sides",IF(AND(ISNUMBER(StartDate),C1966&lt;StartDate),"Date is before the accounting start date",IF(AND(D1966&lt;&gt;"Adjustment",IFERROR(INDEX(coa_Pay,MATCH(K1966&amp;"",coa_Name,0)),"")&lt;&gt;"Yes"),"Paid From / Deposited To is not a payment account","")))))))))))</f>
        <v/>
      </c>
      <c r="Z1966" s="67">
        <f>IF(AND(T1966=0,X1966=""),1,0)</f>
        <v/>
      </c>
      <c r="AA1966" s="68">
        <f>IF(Z1966=1,IF(U1966="In",L1966,L1966-W1966),0)</f>
        <v/>
      </c>
      <c r="AB1966" s="68">
        <f>IF(Z1966=1,IF(U1966="In",L1966-W1966,L1966),0)</f>
        <v/>
      </c>
      <c r="AC1966" s="68">
        <f>IF(AND(Z1966=1,U1966="Out"),W1966,0)</f>
        <v/>
      </c>
      <c r="AD1966" s="68">
        <f>IF(AND(Z1966=1,U1966="In"),W1966,0)</f>
        <v/>
      </c>
    </row>
    <row r="1967">
      <c r="B1967" s="62" t="inlineStr">
        <is>
          <t>TX-1961</t>
        </is>
      </c>
      <c r="C1967" s="63" t="n"/>
      <c r="D1967" s="62" t="n"/>
      <c r="E1967" s="62" t="n"/>
      <c r="F1967" s="62" t="n"/>
      <c r="G1967" s="62" t="n"/>
      <c r="H1967" s="62" t="n"/>
      <c r="I1967" s="62" t="n"/>
      <c r="J1967" s="62" t="n"/>
      <c r="K1967" s="62" t="n"/>
      <c r="L1967" s="64" t="n"/>
      <c r="M1967" s="64" t="n"/>
      <c r="N1967" s="62" t="n"/>
      <c r="O1967" s="65">
        <f>IF(Z1967=1,L1967-W1967,"")</f>
        <v/>
      </c>
      <c r="P1967" s="66">
        <f>IF(V1967="","",IFERROR(INDEX(coa_Type,MATCH(V1967,coa_Name,0)),""))</f>
        <v/>
      </c>
      <c r="Q1967" s="66">
        <f>IF(Z1967=1,IF(U1967="In",K1967&amp;"",V1967),"")</f>
        <v/>
      </c>
      <c r="R1967" s="66">
        <f>IF(Z1967=1,IF(U1967="In",V1967,K1967&amp;""),"")</f>
        <v/>
      </c>
      <c r="S1967" s="66">
        <f>IF(X1967&lt;&gt;"","⛔ "&amp;X1967&amp;" — not posted",IF(Y1967&lt;&gt;"","⚠ "&amp;Y1967,IF(Z1967=1,"✓ OK","")))</f>
        <v/>
      </c>
      <c r="T1967" s="67">
        <f>IF(AND(C1967="",D1967="",E1967="",L1967="",K1967=""),1,0)</f>
        <v/>
      </c>
      <c r="U1967" s="67">
        <f>IFERROR(INDEX(tt_Dir,MATCH(D1967,tt_Type,0)),"")</f>
        <v/>
      </c>
      <c r="V1967" s="67">
        <f>IF(D1967="","",IFERROR(IF(INDEX(tt_Other,MATCH(D1967,tt_Type,0))="",E1967&amp;"",INDEX(tt_Other,MATCH(D1967,tt_Type,0))),""))</f>
        <v/>
      </c>
      <c r="W1967" s="68">
        <f>IF(OR(TaxOn&lt;&gt;"Yes",NOT(ISNUMBER(M1967))),0,IF(IFERROR(INDEX(tt_Tax,MATCH(D1967,tt_Type,0)),"No")="Yes",M1967,0))</f>
        <v/>
      </c>
      <c r="X1967" s="67">
        <f>IF(T1967=1,"",IF(C1967="","Missing transaction date",IF(NOT(ISNUMBER(C1967)),"Invalid date",IF(OR(C1967&lt;DATE(2000,1,1),C1967&gt;DATE(2099,12,31)),"Invalid date",IF(D1967="","Select a type",IF(U1967="","Unknown type: "&amp;D1967,IF(V1967="","Select an account (Category)",IF(ISNA(MATCH(V1967,coa_Name,0)),"Unknown account: "&amp;V1967,IF(K1967="","Select Paid From / Deposited To",IF(ISNA(MATCH(K1967,coa_Name,0)),"Unknown account: "&amp;K1967,IF(NOT(ISNUMBER(L1967)),"Enter an amount",IF(L1967=0,"Enter an amount",IF(ABS(W1967)&gt;ABS(L1967),"Tax is larger than the amount","")))))))))))))</f>
        <v/>
      </c>
      <c r="Y1967" s="67">
        <f>IF(OR(T1967=1,X1967&lt;&gt;""),"",IF(AND(B1967&lt;&gt;"",COUNTIF(tx_ID,B1967)&gt;1),"Duplicate transaction ID",IF(AND(L1967&lt;0,D1967&lt;&gt;"Adjustment"),"Negative amount — check this entry",IF(AND(D1967="Customer Payment",G1967=""),"Add the customer",IF(AND(D1967="Customer Payment",OR(J1967="",COUNTIF(ar_No,J1967&amp;"")=0)),"Invoice # in Reference not found on AR sheet",IF(AND(D1967="Bill Payment",H1967=""),"Add the vendor",IF(AND(D1967="Bill Payment",OR(J1967="",COUNTIFS(ap_No,J1967&amp;"",ap_Party,H1967&amp;"")=0)),"Bill # + vendor not found on AP sheet",IF(AND(ISNUMBER(M1967),N(M1967)&lt;&gt;0,W1967=0),"Tax ignored (tax tracking off, or not allowed for this type)",IF(V1967=K1967&amp;"","Same account on both sides",IF(AND(ISNUMBER(StartDate),C1967&lt;StartDate),"Date is before the accounting start date",IF(AND(D1967&lt;&gt;"Adjustment",IFERROR(INDEX(coa_Pay,MATCH(K1967&amp;"",coa_Name,0)),"")&lt;&gt;"Yes"),"Paid From / Deposited To is not a payment account","")))))))))))</f>
        <v/>
      </c>
      <c r="Z1967" s="67">
        <f>IF(AND(T1967=0,X1967=""),1,0)</f>
        <v/>
      </c>
      <c r="AA1967" s="68">
        <f>IF(Z1967=1,IF(U1967="In",L1967,L1967-W1967),0)</f>
        <v/>
      </c>
      <c r="AB1967" s="68">
        <f>IF(Z1967=1,IF(U1967="In",L1967-W1967,L1967),0)</f>
        <v/>
      </c>
      <c r="AC1967" s="68">
        <f>IF(AND(Z1967=1,U1967="Out"),W1967,0)</f>
        <v/>
      </c>
      <c r="AD1967" s="68">
        <f>IF(AND(Z1967=1,U1967="In"),W1967,0)</f>
        <v/>
      </c>
    </row>
    <row r="1968">
      <c r="B1968" s="62" t="inlineStr">
        <is>
          <t>TX-1962</t>
        </is>
      </c>
      <c r="C1968" s="63" t="n"/>
      <c r="D1968" s="62" t="n"/>
      <c r="E1968" s="62" t="n"/>
      <c r="F1968" s="62" t="n"/>
      <c r="G1968" s="62" t="n"/>
      <c r="H1968" s="62" t="n"/>
      <c r="I1968" s="62" t="n"/>
      <c r="J1968" s="62" t="n"/>
      <c r="K1968" s="62" t="n"/>
      <c r="L1968" s="64" t="n"/>
      <c r="M1968" s="64" t="n"/>
      <c r="N1968" s="62" t="n"/>
      <c r="O1968" s="65">
        <f>IF(Z1968=1,L1968-W1968,"")</f>
        <v/>
      </c>
      <c r="P1968" s="66">
        <f>IF(V1968="","",IFERROR(INDEX(coa_Type,MATCH(V1968,coa_Name,0)),""))</f>
        <v/>
      </c>
      <c r="Q1968" s="66">
        <f>IF(Z1968=1,IF(U1968="In",K1968&amp;"",V1968),"")</f>
        <v/>
      </c>
      <c r="R1968" s="66">
        <f>IF(Z1968=1,IF(U1968="In",V1968,K1968&amp;""),"")</f>
        <v/>
      </c>
      <c r="S1968" s="66">
        <f>IF(X1968&lt;&gt;"","⛔ "&amp;X1968&amp;" — not posted",IF(Y1968&lt;&gt;"","⚠ "&amp;Y1968,IF(Z1968=1,"✓ OK","")))</f>
        <v/>
      </c>
      <c r="T1968" s="67">
        <f>IF(AND(C1968="",D1968="",E1968="",L1968="",K1968=""),1,0)</f>
        <v/>
      </c>
      <c r="U1968" s="67">
        <f>IFERROR(INDEX(tt_Dir,MATCH(D1968,tt_Type,0)),"")</f>
        <v/>
      </c>
      <c r="V1968" s="67">
        <f>IF(D1968="","",IFERROR(IF(INDEX(tt_Other,MATCH(D1968,tt_Type,0))="",E1968&amp;"",INDEX(tt_Other,MATCH(D1968,tt_Type,0))),""))</f>
        <v/>
      </c>
      <c r="W1968" s="68">
        <f>IF(OR(TaxOn&lt;&gt;"Yes",NOT(ISNUMBER(M1968))),0,IF(IFERROR(INDEX(tt_Tax,MATCH(D1968,tt_Type,0)),"No")="Yes",M1968,0))</f>
        <v/>
      </c>
      <c r="X1968" s="67">
        <f>IF(T1968=1,"",IF(C1968="","Missing transaction date",IF(NOT(ISNUMBER(C1968)),"Invalid date",IF(OR(C1968&lt;DATE(2000,1,1),C1968&gt;DATE(2099,12,31)),"Invalid date",IF(D1968="","Select a type",IF(U1968="","Unknown type: "&amp;D1968,IF(V1968="","Select an account (Category)",IF(ISNA(MATCH(V1968,coa_Name,0)),"Unknown account: "&amp;V1968,IF(K1968="","Select Paid From / Deposited To",IF(ISNA(MATCH(K1968,coa_Name,0)),"Unknown account: "&amp;K1968,IF(NOT(ISNUMBER(L1968)),"Enter an amount",IF(L1968=0,"Enter an amount",IF(ABS(W1968)&gt;ABS(L1968),"Tax is larger than the amount","")))))))))))))</f>
        <v/>
      </c>
      <c r="Y1968" s="67">
        <f>IF(OR(T1968=1,X1968&lt;&gt;""),"",IF(AND(B1968&lt;&gt;"",COUNTIF(tx_ID,B1968)&gt;1),"Duplicate transaction ID",IF(AND(L1968&lt;0,D1968&lt;&gt;"Adjustment"),"Negative amount — check this entry",IF(AND(D1968="Customer Payment",G1968=""),"Add the customer",IF(AND(D1968="Customer Payment",OR(J1968="",COUNTIF(ar_No,J1968&amp;"")=0)),"Invoice # in Reference not found on AR sheet",IF(AND(D1968="Bill Payment",H1968=""),"Add the vendor",IF(AND(D1968="Bill Payment",OR(J1968="",COUNTIFS(ap_No,J1968&amp;"",ap_Party,H1968&amp;"")=0)),"Bill # + vendor not found on AP sheet",IF(AND(ISNUMBER(M1968),N(M1968)&lt;&gt;0,W1968=0),"Tax ignored (tax tracking off, or not allowed for this type)",IF(V1968=K1968&amp;"","Same account on both sides",IF(AND(ISNUMBER(StartDate),C1968&lt;StartDate),"Date is before the accounting start date",IF(AND(D1968&lt;&gt;"Adjustment",IFERROR(INDEX(coa_Pay,MATCH(K1968&amp;"",coa_Name,0)),"")&lt;&gt;"Yes"),"Paid From / Deposited To is not a payment account","")))))))))))</f>
        <v/>
      </c>
      <c r="Z1968" s="67">
        <f>IF(AND(T1968=0,X1968=""),1,0)</f>
        <v/>
      </c>
      <c r="AA1968" s="68">
        <f>IF(Z1968=1,IF(U1968="In",L1968,L1968-W1968),0)</f>
        <v/>
      </c>
      <c r="AB1968" s="68">
        <f>IF(Z1968=1,IF(U1968="In",L1968-W1968,L1968),0)</f>
        <v/>
      </c>
      <c r="AC1968" s="68">
        <f>IF(AND(Z1968=1,U1968="Out"),W1968,0)</f>
        <v/>
      </c>
      <c r="AD1968" s="68">
        <f>IF(AND(Z1968=1,U1968="In"),W1968,0)</f>
        <v/>
      </c>
    </row>
    <row r="1969">
      <c r="B1969" s="62" t="inlineStr">
        <is>
          <t>TX-1963</t>
        </is>
      </c>
      <c r="C1969" s="63" t="n"/>
      <c r="D1969" s="62" t="n"/>
      <c r="E1969" s="62" t="n"/>
      <c r="F1969" s="62" t="n"/>
      <c r="G1969" s="62" t="n"/>
      <c r="H1969" s="62" t="n"/>
      <c r="I1969" s="62" t="n"/>
      <c r="J1969" s="62" t="n"/>
      <c r="K1969" s="62" t="n"/>
      <c r="L1969" s="64" t="n"/>
      <c r="M1969" s="64" t="n"/>
      <c r="N1969" s="62" t="n"/>
      <c r="O1969" s="65">
        <f>IF(Z1969=1,L1969-W1969,"")</f>
        <v/>
      </c>
      <c r="P1969" s="66">
        <f>IF(V1969="","",IFERROR(INDEX(coa_Type,MATCH(V1969,coa_Name,0)),""))</f>
        <v/>
      </c>
      <c r="Q1969" s="66">
        <f>IF(Z1969=1,IF(U1969="In",K1969&amp;"",V1969),"")</f>
        <v/>
      </c>
      <c r="R1969" s="66">
        <f>IF(Z1969=1,IF(U1969="In",V1969,K1969&amp;""),"")</f>
        <v/>
      </c>
      <c r="S1969" s="66">
        <f>IF(X1969&lt;&gt;"","⛔ "&amp;X1969&amp;" — not posted",IF(Y1969&lt;&gt;"","⚠ "&amp;Y1969,IF(Z1969=1,"✓ OK","")))</f>
        <v/>
      </c>
      <c r="T1969" s="67">
        <f>IF(AND(C1969="",D1969="",E1969="",L1969="",K1969=""),1,0)</f>
        <v/>
      </c>
      <c r="U1969" s="67">
        <f>IFERROR(INDEX(tt_Dir,MATCH(D1969,tt_Type,0)),"")</f>
        <v/>
      </c>
      <c r="V1969" s="67">
        <f>IF(D1969="","",IFERROR(IF(INDEX(tt_Other,MATCH(D1969,tt_Type,0))="",E1969&amp;"",INDEX(tt_Other,MATCH(D1969,tt_Type,0))),""))</f>
        <v/>
      </c>
      <c r="W1969" s="68">
        <f>IF(OR(TaxOn&lt;&gt;"Yes",NOT(ISNUMBER(M1969))),0,IF(IFERROR(INDEX(tt_Tax,MATCH(D1969,tt_Type,0)),"No")="Yes",M1969,0))</f>
        <v/>
      </c>
      <c r="X1969" s="67">
        <f>IF(T1969=1,"",IF(C1969="","Missing transaction date",IF(NOT(ISNUMBER(C1969)),"Invalid date",IF(OR(C1969&lt;DATE(2000,1,1),C1969&gt;DATE(2099,12,31)),"Invalid date",IF(D1969="","Select a type",IF(U1969="","Unknown type: "&amp;D1969,IF(V1969="","Select an account (Category)",IF(ISNA(MATCH(V1969,coa_Name,0)),"Unknown account: "&amp;V1969,IF(K1969="","Select Paid From / Deposited To",IF(ISNA(MATCH(K1969,coa_Name,0)),"Unknown account: "&amp;K1969,IF(NOT(ISNUMBER(L1969)),"Enter an amount",IF(L1969=0,"Enter an amount",IF(ABS(W1969)&gt;ABS(L1969),"Tax is larger than the amount","")))))))))))))</f>
        <v/>
      </c>
      <c r="Y1969" s="67">
        <f>IF(OR(T1969=1,X1969&lt;&gt;""),"",IF(AND(B1969&lt;&gt;"",COUNTIF(tx_ID,B1969)&gt;1),"Duplicate transaction ID",IF(AND(L1969&lt;0,D1969&lt;&gt;"Adjustment"),"Negative amount — check this entry",IF(AND(D1969="Customer Payment",G1969=""),"Add the customer",IF(AND(D1969="Customer Payment",OR(J1969="",COUNTIF(ar_No,J1969&amp;"")=0)),"Invoice # in Reference not found on AR sheet",IF(AND(D1969="Bill Payment",H1969=""),"Add the vendor",IF(AND(D1969="Bill Payment",OR(J1969="",COUNTIFS(ap_No,J1969&amp;"",ap_Party,H1969&amp;"")=0)),"Bill # + vendor not found on AP sheet",IF(AND(ISNUMBER(M1969),N(M1969)&lt;&gt;0,W1969=0),"Tax ignored (tax tracking off, or not allowed for this type)",IF(V1969=K1969&amp;"","Same account on both sides",IF(AND(ISNUMBER(StartDate),C1969&lt;StartDate),"Date is before the accounting start date",IF(AND(D1969&lt;&gt;"Adjustment",IFERROR(INDEX(coa_Pay,MATCH(K1969&amp;"",coa_Name,0)),"")&lt;&gt;"Yes"),"Paid From / Deposited To is not a payment account","")))))))))))</f>
        <v/>
      </c>
      <c r="Z1969" s="67">
        <f>IF(AND(T1969=0,X1969=""),1,0)</f>
        <v/>
      </c>
      <c r="AA1969" s="68">
        <f>IF(Z1969=1,IF(U1969="In",L1969,L1969-W1969),0)</f>
        <v/>
      </c>
      <c r="AB1969" s="68">
        <f>IF(Z1969=1,IF(U1969="In",L1969-W1969,L1969),0)</f>
        <v/>
      </c>
      <c r="AC1969" s="68">
        <f>IF(AND(Z1969=1,U1969="Out"),W1969,0)</f>
        <v/>
      </c>
      <c r="AD1969" s="68">
        <f>IF(AND(Z1969=1,U1969="In"),W1969,0)</f>
        <v/>
      </c>
    </row>
    <row r="1970">
      <c r="B1970" s="62" t="inlineStr">
        <is>
          <t>TX-1964</t>
        </is>
      </c>
      <c r="C1970" s="63" t="n"/>
      <c r="D1970" s="62" t="n"/>
      <c r="E1970" s="62" t="n"/>
      <c r="F1970" s="62" t="n"/>
      <c r="G1970" s="62" t="n"/>
      <c r="H1970" s="62" t="n"/>
      <c r="I1970" s="62" t="n"/>
      <c r="J1970" s="62" t="n"/>
      <c r="K1970" s="62" t="n"/>
      <c r="L1970" s="64" t="n"/>
      <c r="M1970" s="64" t="n"/>
      <c r="N1970" s="62" t="n"/>
      <c r="O1970" s="65">
        <f>IF(Z1970=1,L1970-W1970,"")</f>
        <v/>
      </c>
      <c r="P1970" s="66">
        <f>IF(V1970="","",IFERROR(INDEX(coa_Type,MATCH(V1970,coa_Name,0)),""))</f>
        <v/>
      </c>
      <c r="Q1970" s="66">
        <f>IF(Z1970=1,IF(U1970="In",K1970&amp;"",V1970),"")</f>
        <v/>
      </c>
      <c r="R1970" s="66">
        <f>IF(Z1970=1,IF(U1970="In",V1970,K1970&amp;""),"")</f>
        <v/>
      </c>
      <c r="S1970" s="66">
        <f>IF(X1970&lt;&gt;"","⛔ "&amp;X1970&amp;" — not posted",IF(Y1970&lt;&gt;"","⚠ "&amp;Y1970,IF(Z1970=1,"✓ OK","")))</f>
        <v/>
      </c>
      <c r="T1970" s="67">
        <f>IF(AND(C1970="",D1970="",E1970="",L1970="",K1970=""),1,0)</f>
        <v/>
      </c>
      <c r="U1970" s="67">
        <f>IFERROR(INDEX(tt_Dir,MATCH(D1970,tt_Type,0)),"")</f>
        <v/>
      </c>
      <c r="V1970" s="67">
        <f>IF(D1970="","",IFERROR(IF(INDEX(tt_Other,MATCH(D1970,tt_Type,0))="",E1970&amp;"",INDEX(tt_Other,MATCH(D1970,tt_Type,0))),""))</f>
        <v/>
      </c>
      <c r="W1970" s="68">
        <f>IF(OR(TaxOn&lt;&gt;"Yes",NOT(ISNUMBER(M1970))),0,IF(IFERROR(INDEX(tt_Tax,MATCH(D1970,tt_Type,0)),"No")="Yes",M1970,0))</f>
        <v/>
      </c>
      <c r="X1970" s="67">
        <f>IF(T1970=1,"",IF(C1970="","Missing transaction date",IF(NOT(ISNUMBER(C1970)),"Invalid date",IF(OR(C1970&lt;DATE(2000,1,1),C1970&gt;DATE(2099,12,31)),"Invalid date",IF(D1970="","Select a type",IF(U1970="","Unknown type: "&amp;D1970,IF(V1970="","Select an account (Category)",IF(ISNA(MATCH(V1970,coa_Name,0)),"Unknown account: "&amp;V1970,IF(K1970="","Select Paid From / Deposited To",IF(ISNA(MATCH(K1970,coa_Name,0)),"Unknown account: "&amp;K1970,IF(NOT(ISNUMBER(L1970)),"Enter an amount",IF(L1970=0,"Enter an amount",IF(ABS(W1970)&gt;ABS(L1970),"Tax is larger than the amount","")))))))))))))</f>
        <v/>
      </c>
      <c r="Y1970" s="67">
        <f>IF(OR(T1970=1,X1970&lt;&gt;""),"",IF(AND(B1970&lt;&gt;"",COUNTIF(tx_ID,B1970)&gt;1),"Duplicate transaction ID",IF(AND(L1970&lt;0,D1970&lt;&gt;"Adjustment"),"Negative amount — check this entry",IF(AND(D1970="Customer Payment",G1970=""),"Add the customer",IF(AND(D1970="Customer Payment",OR(J1970="",COUNTIF(ar_No,J1970&amp;"")=0)),"Invoice # in Reference not found on AR sheet",IF(AND(D1970="Bill Payment",H1970=""),"Add the vendor",IF(AND(D1970="Bill Payment",OR(J1970="",COUNTIFS(ap_No,J1970&amp;"",ap_Party,H1970&amp;"")=0)),"Bill # + vendor not found on AP sheet",IF(AND(ISNUMBER(M1970),N(M1970)&lt;&gt;0,W1970=0),"Tax ignored (tax tracking off, or not allowed for this type)",IF(V1970=K1970&amp;"","Same account on both sides",IF(AND(ISNUMBER(StartDate),C1970&lt;StartDate),"Date is before the accounting start date",IF(AND(D1970&lt;&gt;"Adjustment",IFERROR(INDEX(coa_Pay,MATCH(K1970&amp;"",coa_Name,0)),"")&lt;&gt;"Yes"),"Paid From / Deposited To is not a payment account","")))))))))))</f>
        <v/>
      </c>
      <c r="Z1970" s="67">
        <f>IF(AND(T1970=0,X1970=""),1,0)</f>
        <v/>
      </c>
      <c r="AA1970" s="68">
        <f>IF(Z1970=1,IF(U1970="In",L1970,L1970-W1970),0)</f>
        <v/>
      </c>
      <c r="AB1970" s="68">
        <f>IF(Z1970=1,IF(U1970="In",L1970-W1970,L1970),0)</f>
        <v/>
      </c>
      <c r="AC1970" s="68">
        <f>IF(AND(Z1970=1,U1970="Out"),W1970,0)</f>
        <v/>
      </c>
      <c r="AD1970" s="68">
        <f>IF(AND(Z1970=1,U1970="In"),W1970,0)</f>
        <v/>
      </c>
    </row>
    <row r="1971">
      <c r="B1971" s="62" t="inlineStr">
        <is>
          <t>TX-1965</t>
        </is>
      </c>
      <c r="C1971" s="63" t="n"/>
      <c r="D1971" s="62" t="n"/>
      <c r="E1971" s="62" t="n"/>
      <c r="F1971" s="62" t="n"/>
      <c r="G1971" s="62" t="n"/>
      <c r="H1971" s="62" t="n"/>
      <c r="I1971" s="62" t="n"/>
      <c r="J1971" s="62" t="n"/>
      <c r="K1971" s="62" t="n"/>
      <c r="L1971" s="64" t="n"/>
      <c r="M1971" s="64" t="n"/>
      <c r="N1971" s="62" t="n"/>
      <c r="O1971" s="65">
        <f>IF(Z1971=1,L1971-W1971,"")</f>
        <v/>
      </c>
      <c r="P1971" s="66">
        <f>IF(V1971="","",IFERROR(INDEX(coa_Type,MATCH(V1971,coa_Name,0)),""))</f>
        <v/>
      </c>
      <c r="Q1971" s="66">
        <f>IF(Z1971=1,IF(U1971="In",K1971&amp;"",V1971),"")</f>
        <v/>
      </c>
      <c r="R1971" s="66">
        <f>IF(Z1971=1,IF(U1971="In",V1971,K1971&amp;""),"")</f>
        <v/>
      </c>
      <c r="S1971" s="66">
        <f>IF(X1971&lt;&gt;"","⛔ "&amp;X1971&amp;" — not posted",IF(Y1971&lt;&gt;"","⚠ "&amp;Y1971,IF(Z1971=1,"✓ OK","")))</f>
        <v/>
      </c>
      <c r="T1971" s="67">
        <f>IF(AND(C1971="",D1971="",E1971="",L1971="",K1971=""),1,0)</f>
        <v/>
      </c>
      <c r="U1971" s="67">
        <f>IFERROR(INDEX(tt_Dir,MATCH(D1971,tt_Type,0)),"")</f>
        <v/>
      </c>
      <c r="V1971" s="67">
        <f>IF(D1971="","",IFERROR(IF(INDEX(tt_Other,MATCH(D1971,tt_Type,0))="",E1971&amp;"",INDEX(tt_Other,MATCH(D1971,tt_Type,0))),""))</f>
        <v/>
      </c>
      <c r="W1971" s="68">
        <f>IF(OR(TaxOn&lt;&gt;"Yes",NOT(ISNUMBER(M1971))),0,IF(IFERROR(INDEX(tt_Tax,MATCH(D1971,tt_Type,0)),"No")="Yes",M1971,0))</f>
        <v/>
      </c>
      <c r="X1971" s="67">
        <f>IF(T1971=1,"",IF(C1971="","Missing transaction date",IF(NOT(ISNUMBER(C1971)),"Invalid date",IF(OR(C1971&lt;DATE(2000,1,1),C1971&gt;DATE(2099,12,31)),"Invalid date",IF(D1971="","Select a type",IF(U1971="","Unknown type: "&amp;D1971,IF(V1971="","Select an account (Category)",IF(ISNA(MATCH(V1971,coa_Name,0)),"Unknown account: "&amp;V1971,IF(K1971="","Select Paid From / Deposited To",IF(ISNA(MATCH(K1971,coa_Name,0)),"Unknown account: "&amp;K1971,IF(NOT(ISNUMBER(L1971)),"Enter an amount",IF(L1971=0,"Enter an amount",IF(ABS(W1971)&gt;ABS(L1971),"Tax is larger than the amount","")))))))))))))</f>
        <v/>
      </c>
      <c r="Y1971" s="67">
        <f>IF(OR(T1971=1,X1971&lt;&gt;""),"",IF(AND(B1971&lt;&gt;"",COUNTIF(tx_ID,B1971)&gt;1),"Duplicate transaction ID",IF(AND(L1971&lt;0,D1971&lt;&gt;"Adjustment"),"Negative amount — check this entry",IF(AND(D1971="Customer Payment",G1971=""),"Add the customer",IF(AND(D1971="Customer Payment",OR(J1971="",COUNTIF(ar_No,J1971&amp;"")=0)),"Invoice # in Reference not found on AR sheet",IF(AND(D1971="Bill Payment",H1971=""),"Add the vendor",IF(AND(D1971="Bill Payment",OR(J1971="",COUNTIFS(ap_No,J1971&amp;"",ap_Party,H1971&amp;"")=0)),"Bill # + vendor not found on AP sheet",IF(AND(ISNUMBER(M1971),N(M1971)&lt;&gt;0,W1971=0),"Tax ignored (tax tracking off, or not allowed for this type)",IF(V1971=K1971&amp;"","Same account on both sides",IF(AND(ISNUMBER(StartDate),C1971&lt;StartDate),"Date is before the accounting start date",IF(AND(D1971&lt;&gt;"Adjustment",IFERROR(INDEX(coa_Pay,MATCH(K1971&amp;"",coa_Name,0)),"")&lt;&gt;"Yes"),"Paid From / Deposited To is not a payment account","")))))))))))</f>
        <v/>
      </c>
      <c r="Z1971" s="67">
        <f>IF(AND(T1971=0,X1971=""),1,0)</f>
        <v/>
      </c>
      <c r="AA1971" s="68">
        <f>IF(Z1971=1,IF(U1971="In",L1971,L1971-W1971),0)</f>
        <v/>
      </c>
      <c r="AB1971" s="68">
        <f>IF(Z1971=1,IF(U1971="In",L1971-W1971,L1971),0)</f>
        <v/>
      </c>
      <c r="AC1971" s="68">
        <f>IF(AND(Z1971=1,U1971="Out"),W1971,0)</f>
        <v/>
      </c>
      <c r="AD1971" s="68">
        <f>IF(AND(Z1971=1,U1971="In"),W1971,0)</f>
        <v/>
      </c>
    </row>
    <row r="1972">
      <c r="B1972" s="62" t="inlineStr">
        <is>
          <t>TX-1966</t>
        </is>
      </c>
      <c r="C1972" s="63" t="n"/>
      <c r="D1972" s="62" t="n"/>
      <c r="E1972" s="62" t="n"/>
      <c r="F1972" s="62" t="n"/>
      <c r="G1972" s="62" t="n"/>
      <c r="H1972" s="62" t="n"/>
      <c r="I1972" s="62" t="n"/>
      <c r="J1972" s="62" t="n"/>
      <c r="K1972" s="62" t="n"/>
      <c r="L1972" s="64" t="n"/>
      <c r="M1972" s="64" t="n"/>
      <c r="N1972" s="62" t="n"/>
      <c r="O1972" s="65">
        <f>IF(Z1972=1,L1972-W1972,"")</f>
        <v/>
      </c>
      <c r="P1972" s="66">
        <f>IF(V1972="","",IFERROR(INDEX(coa_Type,MATCH(V1972,coa_Name,0)),""))</f>
        <v/>
      </c>
      <c r="Q1972" s="66">
        <f>IF(Z1972=1,IF(U1972="In",K1972&amp;"",V1972),"")</f>
        <v/>
      </c>
      <c r="R1972" s="66">
        <f>IF(Z1972=1,IF(U1972="In",V1972,K1972&amp;""),"")</f>
        <v/>
      </c>
      <c r="S1972" s="66">
        <f>IF(X1972&lt;&gt;"","⛔ "&amp;X1972&amp;" — not posted",IF(Y1972&lt;&gt;"","⚠ "&amp;Y1972,IF(Z1972=1,"✓ OK","")))</f>
        <v/>
      </c>
      <c r="T1972" s="67">
        <f>IF(AND(C1972="",D1972="",E1972="",L1972="",K1972=""),1,0)</f>
        <v/>
      </c>
      <c r="U1972" s="67">
        <f>IFERROR(INDEX(tt_Dir,MATCH(D1972,tt_Type,0)),"")</f>
        <v/>
      </c>
      <c r="V1972" s="67">
        <f>IF(D1972="","",IFERROR(IF(INDEX(tt_Other,MATCH(D1972,tt_Type,0))="",E1972&amp;"",INDEX(tt_Other,MATCH(D1972,tt_Type,0))),""))</f>
        <v/>
      </c>
      <c r="W1972" s="68">
        <f>IF(OR(TaxOn&lt;&gt;"Yes",NOT(ISNUMBER(M1972))),0,IF(IFERROR(INDEX(tt_Tax,MATCH(D1972,tt_Type,0)),"No")="Yes",M1972,0))</f>
        <v/>
      </c>
      <c r="X1972" s="67">
        <f>IF(T1972=1,"",IF(C1972="","Missing transaction date",IF(NOT(ISNUMBER(C1972)),"Invalid date",IF(OR(C1972&lt;DATE(2000,1,1),C1972&gt;DATE(2099,12,31)),"Invalid date",IF(D1972="","Select a type",IF(U1972="","Unknown type: "&amp;D1972,IF(V1972="","Select an account (Category)",IF(ISNA(MATCH(V1972,coa_Name,0)),"Unknown account: "&amp;V1972,IF(K1972="","Select Paid From / Deposited To",IF(ISNA(MATCH(K1972,coa_Name,0)),"Unknown account: "&amp;K1972,IF(NOT(ISNUMBER(L1972)),"Enter an amount",IF(L1972=0,"Enter an amount",IF(ABS(W1972)&gt;ABS(L1972),"Tax is larger than the amount","")))))))))))))</f>
        <v/>
      </c>
      <c r="Y1972" s="67">
        <f>IF(OR(T1972=1,X1972&lt;&gt;""),"",IF(AND(B1972&lt;&gt;"",COUNTIF(tx_ID,B1972)&gt;1),"Duplicate transaction ID",IF(AND(L1972&lt;0,D1972&lt;&gt;"Adjustment"),"Negative amount — check this entry",IF(AND(D1972="Customer Payment",G1972=""),"Add the customer",IF(AND(D1972="Customer Payment",OR(J1972="",COUNTIF(ar_No,J1972&amp;"")=0)),"Invoice # in Reference not found on AR sheet",IF(AND(D1972="Bill Payment",H1972=""),"Add the vendor",IF(AND(D1972="Bill Payment",OR(J1972="",COUNTIFS(ap_No,J1972&amp;"",ap_Party,H1972&amp;"")=0)),"Bill # + vendor not found on AP sheet",IF(AND(ISNUMBER(M1972),N(M1972)&lt;&gt;0,W1972=0),"Tax ignored (tax tracking off, or not allowed for this type)",IF(V1972=K1972&amp;"","Same account on both sides",IF(AND(ISNUMBER(StartDate),C1972&lt;StartDate),"Date is before the accounting start date",IF(AND(D1972&lt;&gt;"Adjustment",IFERROR(INDEX(coa_Pay,MATCH(K1972&amp;"",coa_Name,0)),"")&lt;&gt;"Yes"),"Paid From / Deposited To is not a payment account","")))))))))))</f>
        <v/>
      </c>
      <c r="Z1972" s="67">
        <f>IF(AND(T1972=0,X1972=""),1,0)</f>
        <v/>
      </c>
      <c r="AA1972" s="68">
        <f>IF(Z1972=1,IF(U1972="In",L1972,L1972-W1972),0)</f>
        <v/>
      </c>
      <c r="AB1972" s="68">
        <f>IF(Z1972=1,IF(U1972="In",L1972-W1972,L1972),0)</f>
        <v/>
      </c>
      <c r="AC1972" s="68">
        <f>IF(AND(Z1972=1,U1972="Out"),W1972,0)</f>
        <v/>
      </c>
      <c r="AD1972" s="68">
        <f>IF(AND(Z1972=1,U1972="In"),W1972,0)</f>
        <v/>
      </c>
    </row>
    <row r="1973">
      <c r="B1973" s="62" t="inlineStr">
        <is>
          <t>TX-1967</t>
        </is>
      </c>
      <c r="C1973" s="63" t="n"/>
      <c r="D1973" s="62" t="n"/>
      <c r="E1973" s="62" t="n"/>
      <c r="F1973" s="62" t="n"/>
      <c r="G1973" s="62" t="n"/>
      <c r="H1973" s="62" t="n"/>
      <c r="I1973" s="62" t="n"/>
      <c r="J1973" s="62" t="n"/>
      <c r="K1973" s="62" t="n"/>
      <c r="L1973" s="64" t="n"/>
      <c r="M1973" s="64" t="n"/>
      <c r="N1973" s="62" t="n"/>
      <c r="O1973" s="65">
        <f>IF(Z1973=1,L1973-W1973,"")</f>
        <v/>
      </c>
      <c r="P1973" s="66">
        <f>IF(V1973="","",IFERROR(INDEX(coa_Type,MATCH(V1973,coa_Name,0)),""))</f>
        <v/>
      </c>
      <c r="Q1973" s="66">
        <f>IF(Z1973=1,IF(U1973="In",K1973&amp;"",V1973),"")</f>
        <v/>
      </c>
      <c r="R1973" s="66">
        <f>IF(Z1973=1,IF(U1973="In",V1973,K1973&amp;""),"")</f>
        <v/>
      </c>
      <c r="S1973" s="66">
        <f>IF(X1973&lt;&gt;"","⛔ "&amp;X1973&amp;" — not posted",IF(Y1973&lt;&gt;"","⚠ "&amp;Y1973,IF(Z1973=1,"✓ OK","")))</f>
        <v/>
      </c>
      <c r="T1973" s="67">
        <f>IF(AND(C1973="",D1973="",E1973="",L1973="",K1973=""),1,0)</f>
        <v/>
      </c>
      <c r="U1973" s="67">
        <f>IFERROR(INDEX(tt_Dir,MATCH(D1973,tt_Type,0)),"")</f>
        <v/>
      </c>
      <c r="V1973" s="67">
        <f>IF(D1973="","",IFERROR(IF(INDEX(tt_Other,MATCH(D1973,tt_Type,0))="",E1973&amp;"",INDEX(tt_Other,MATCH(D1973,tt_Type,0))),""))</f>
        <v/>
      </c>
      <c r="W1973" s="68">
        <f>IF(OR(TaxOn&lt;&gt;"Yes",NOT(ISNUMBER(M1973))),0,IF(IFERROR(INDEX(tt_Tax,MATCH(D1973,tt_Type,0)),"No")="Yes",M1973,0))</f>
        <v/>
      </c>
      <c r="X1973" s="67">
        <f>IF(T1973=1,"",IF(C1973="","Missing transaction date",IF(NOT(ISNUMBER(C1973)),"Invalid date",IF(OR(C1973&lt;DATE(2000,1,1),C1973&gt;DATE(2099,12,31)),"Invalid date",IF(D1973="","Select a type",IF(U1973="","Unknown type: "&amp;D1973,IF(V1973="","Select an account (Category)",IF(ISNA(MATCH(V1973,coa_Name,0)),"Unknown account: "&amp;V1973,IF(K1973="","Select Paid From / Deposited To",IF(ISNA(MATCH(K1973,coa_Name,0)),"Unknown account: "&amp;K1973,IF(NOT(ISNUMBER(L1973)),"Enter an amount",IF(L1973=0,"Enter an amount",IF(ABS(W1973)&gt;ABS(L1973),"Tax is larger than the amount","")))))))))))))</f>
        <v/>
      </c>
      <c r="Y1973" s="67">
        <f>IF(OR(T1973=1,X1973&lt;&gt;""),"",IF(AND(B1973&lt;&gt;"",COUNTIF(tx_ID,B1973)&gt;1),"Duplicate transaction ID",IF(AND(L1973&lt;0,D1973&lt;&gt;"Adjustment"),"Negative amount — check this entry",IF(AND(D1973="Customer Payment",G1973=""),"Add the customer",IF(AND(D1973="Customer Payment",OR(J1973="",COUNTIF(ar_No,J1973&amp;"")=0)),"Invoice # in Reference not found on AR sheet",IF(AND(D1973="Bill Payment",H1973=""),"Add the vendor",IF(AND(D1973="Bill Payment",OR(J1973="",COUNTIFS(ap_No,J1973&amp;"",ap_Party,H1973&amp;"")=0)),"Bill # + vendor not found on AP sheet",IF(AND(ISNUMBER(M1973),N(M1973)&lt;&gt;0,W1973=0),"Tax ignored (tax tracking off, or not allowed for this type)",IF(V1973=K1973&amp;"","Same account on both sides",IF(AND(ISNUMBER(StartDate),C1973&lt;StartDate),"Date is before the accounting start date",IF(AND(D1973&lt;&gt;"Adjustment",IFERROR(INDEX(coa_Pay,MATCH(K1973&amp;"",coa_Name,0)),"")&lt;&gt;"Yes"),"Paid From / Deposited To is not a payment account","")))))))))))</f>
        <v/>
      </c>
      <c r="Z1973" s="67">
        <f>IF(AND(T1973=0,X1973=""),1,0)</f>
        <v/>
      </c>
      <c r="AA1973" s="68">
        <f>IF(Z1973=1,IF(U1973="In",L1973,L1973-W1973),0)</f>
        <v/>
      </c>
      <c r="AB1973" s="68">
        <f>IF(Z1973=1,IF(U1973="In",L1973-W1973,L1973),0)</f>
        <v/>
      </c>
      <c r="AC1973" s="68">
        <f>IF(AND(Z1973=1,U1973="Out"),W1973,0)</f>
        <v/>
      </c>
      <c r="AD1973" s="68">
        <f>IF(AND(Z1973=1,U1973="In"),W1973,0)</f>
        <v/>
      </c>
    </row>
    <row r="1974">
      <c r="B1974" s="62" t="inlineStr">
        <is>
          <t>TX-1968</t>
        </is>
      </c>
      <c r="C1974" s="63" t="n"/>
      <c r="D1974" s="62" t="n"/>
      <c r="E1974" s="62" t="n"/>
      <c r="F1974" s="62" t="n"/>
      <c r="G1974" s="62" t="n"/>
      <c r="H1974" s="62" t="n"/>
      <c r="I1974" s="62" t="n"/>
      <c r="J1974" s="62" t="n"/>
      <c r="K1974" s="62" t="n"/>
      <c r="L1974" s="64" t="n"/>
      <c r="M1974" s="64" t="n"/>
      <c r="N1974" s="62" t="n"/>
      <c r="O1974" s="65">
        <f>IF(Z1974=1,L1974-W1974,"")</f>
        <v/>
      </c>
      <c r="P1974" s="66">
        <f>IF(V1974="","",IFERROR(INDEX(coa_Type,MATCH(V1974,coa_Name,0)),""))</f>
        <v/>
      </c>
      <c r="Q1974" s="66">
        <f>IF(Z1974=1,IF(U1974="In",K1974&amp;"",V1974),"")</f>
        <v/>
      </c>
      <c r="R1974" s="66">
        <f>IF(Z1974=1,IF(U1974="In",V1974,K1974&amp;""),"")</f>
        <v/>
      </c>
      <c r="S1974" s="66">
        <f>IF(X1974&lt;&gt;"","⛔ "&amp;X1974&amp;" — not posted",IF(Y1974&lt;&gt;"","⚠ "&amp;Y1974,IF(Z1974=1,"✓ OK","")))</f>
        <v/>
      </c>
      <c r="T1974" s="67">
        <f>IF(AND(C1974="",D1974="",E1974="",L1974="",K1974=""),1,0)</f>
        <v/>
      </c>
      <c r="U1974" s="67">
        <f>IFERROR(INDEX(tt_Dir,MATCH(D1974,tt_Type,0)),"")</f>
        <v/>
      </c>
      <c r="V1974" s="67">
        <f>IF(D1974="","",IFERROR(IF(INDEX(tt_Other,MATCH(D1974,tt_Type,0))="",E1974&amp;"",INDEX(tt_Other,MATCH(D1974,tt_Type,0))),""))</f>
        <v/>
      </c>
      <c r="W1974" s="68">
        <f>IF(OR(TaxOn&lt;&gt;"Yes",NOT(ISNUMBER(M1974))),0,IF(IFERROR(INDEX(tt_Tax,MATCH(D1974,tt_Type,0)),"No")="Yes",M1974,0))</f>
        <v/>
      </c>
      <c r="X1974" s="67">
        <f>IF(T1974=1,"",IF(C1974="","Missing transaction date",IF(NOT(ISNUMBER(C1974)),"Invalid date",IF(OR(C1974&lt;DATE(2000,1,1),C1974&gt;DATE(2099,12,31)),"Invalid date",IF(D1974="","Select a type",IF(U1974="","Unknown type: "&amp;D1974,IF(V1974="","Select an account (Category)",IF(ISNA(MATCH(V1974,coa_Name,0)),"Unknown account: "&amp;V1974,IF(K1974="","Select Paid From / Deposited To",IF(ISNA(MATCH(K1974,coa_Name,0)),"Unknown account: "&amp;K1974,IF(NOT(ISNUMBER(L1974)),"Enter an amount",IF(L1974=0,"Enter an amount",IF(ABS(W1974)&gt;ABS(L1974),"Tax is larger than the amount","")))))))))))))</f>
        <v/>
      </c>
      <c r="Y1974" s="67">
        <f>IF(OR(T1974=1,X1974&lt;&gt;""),"",IF(AND(B1974&lt;&gt;"",COUNTIF(tx_ID,B1974)&gt;1),"Duplicate transaction ID",IF(AND(L1974&lt;0,D1974&lt;&gt;"Adjustment"),"Negative amount — check this entry",IF(AND(D1974="Customer Payment",G1974=""),"Add the customer",IF(AND(D1974="Customer Payment",OR(J1974="",COUNTIF(ar_No,J1974&amp;"")=0)),"Invoice # in Reference not found on AR sheet",IF(AND(D1974="Bill Payment",H1974=""),"Add the vendor",IF(AND(D1974="Bill Payment",OR(J1974="",COUNTIFS(ap_No,J1974&amp;"",ap_Party,H1974&amp;"")=0)),"Bill # + vendor not found on AP sheet",IF(AND(ISNUMBER(M1974),N(M1974)&lt;&gt;0,W1974=0),"Tax ignored (tax tracking off, or not allowed for this type)",IF(V1974=K1974&amp;"","Same account on both sides",IF(AND(ISNUMBER(StartDate),C1974&lt;StartDate),"Date is before the accounting start date",IF(AND(D1974&lt;&gt;"Adjustment",IFERROR(INDEX(coa_Pay,MATCH(K1974&amp;"",coa_Name,0)),"")&lt;&gt;"Yes"),"Paid From / Deposited To is not a payment account","")))))))))))</f>
        <v/>
      </c>
      <c r="Z1974" s="67">
        <f>IF(AND(T1974=0,X1974=""),1,0)</f>
        <v/>
      </c>
      <c r="AA1974" s="68">
        <f>IF(Z1974=1,IF(U1974="In",L1974,L1974-W1974),0)</f>
        <v/>
      </c>
      <c r="AB1974" s="68">
        <f>IF(Z1974=1,IF(U1974="In",L1974-W1974,L1974),0)</f>
        <v/>
      </c>
      <c r="AC1974" s="68">
        <f>IF(AND(Z1974=1,U1974="Out"),W1974,0)</f>
        <v/>
      </c>
      <c r="AD1974" s="68">
        <f>IF(AND(Z1974=1,U1974="In"),W1974,0)</f>
        <v/>
      </c>
    </row>
    <row r="1975">
      <c r="B1975" s="62" t="inlineStr">
        <is>
          <t>TX-1969</t>
        </is>
      </c>
      <c r="C1975" s="63" t="n"/>
      <c r="D1975" s="62" t="n"/>
      <c r="E1975" s="62" t="n"/>
      <c r="F1975" s="62" t="n"/>
      <c r="G1975" s="62" t="n"/>
      <c r="H1975" s="62" t="n"/>
      <c r="I1975" s="62" t="n"/>
      <c r="J1975" s="62" t="n"/>
      <c r="K1975" s="62" t="n"/>
      <c r="L1975" s="64" t="n"/>
      <c r="M1975" s="64" t="n"/>
      <c r="N1975" s="62" t="n"/>
      <c r="O1975" s="65">
        <f>IF(Z1975=1,L1975-W1975,"")</f>
        <v/>
      </c>
      <c r="P1975" s="66">
        <f>IF(V1975="","",IFERROR(INDEX(coa_Type,MATCH(V1975,coa_Name,0)),""))</f>
        <v/>
      </c>
      <c r="Q1975" s="66">
        <f>IF(Z1975=1,IF(U1975="In",K1975&amp;"",V1975),"")</f>
        <v/>
      </c>
      <c r="R1975" s="66">
        <f>IF(Z1975=1,IF(U1975="In",V1975,K1975&amp;""),"")</f>
        <v/>
      </c>
      <c r="S1975" s="66">
        <f>IF(X1975&lt;&gt;"","⛔ "&amp;X1975&amp;" — not posted",IF(Y1975&lt;&gt;"","⚠ "&amp;Y1975,IF(Z1975=1,"✓ OK","")))</f>
        <v/>
      </c>
      <c r="T1975" s="67">
        <f>IF(AND(C1975="",D1975="",E1975="",L1975="",K1975=""),1,0)</f>
        <v/>
      </c>
      <c r="U1975" s="67">
        <f>IFERROR(INDEX(tt_Dir,MATCH(D1975,tt_Type,0)),"")</f>
        <v/>
      </c>
      <c r="V1975" s="67">
        <f>IF(D1975="","",IFERROR(IF(INDEX(tt_Other,MATCH(D1975,tt_Type,0))="",E1975&amp;"",INDEX(tt_Other,MATCH(D1975,tt_Type,0))),""))</f>
        <v/>
      </c>
      <c r="W1975" s="68">
        <f>IF(OR(TaxOn&lt;&gt;"Yes",NOT(ISNUMBER(M1975))),0,IF(IFERROR(INDEX(tt_Tax,MATCH(D1975,tt_Type,0)),"No")="Yes",M1975,0))</f>
        <v/>
      </c>
      <c r="X1975" s="67">
        <f>IF(T1975=1,"",IF(C1975="","Missing transaction date",IF(NOT(ISNUMBER(C1975)),"Invalid date",IF(OR(C1975&lt;DATE(2000,1,1),C1975&gt;DATE(2099,12,31)),"Invalid date",IF(D1975="","Select a type",IF(U1975="","Unknown type: "&amp;D1975,IF(V1975="","Select an account (Category)",IF(ISNA(MATCH(V1975,coa_Name,0)),"Unknown account: "&amp;V1975,IF(K1975="","Select Paid From / Deposited To",IF(ISNA(MATCH(K1975,coa_Name,0)),"Unknown account: "&amp;K1975,IF(NOT(ISNUMBER(L1975)),"Enter an amount",IF(L1975=0,"Enter an amount",IF(ABS(W1975)&gt;ABS(L1975),"Tax is larger than the amount","")))))))))))))</f>
        <v/>
      </c>
      <c r="Y1975" s="67">
        <f>IF(OR(T1975=1,X1975&lt;&gt;""),"",IF(AND(B1975&lt;&gt;"",COUNTIF(tx_ID,B1975)&gt;1),"Duplicate transaction ID",IF(AND(L1975&lt;0,D1975&lt;&gt;"Adjustment"),"Negative amount — check this entry",IF(AND(D1975="Customer Payment",G1975=""),"Add the customer",IF(AND(D1975="Customer Payment",OR(J1975="",COUNTIF(ar_No,J1975&amp;"")=0)),"Invoice # in Reference not found on AR sheet",IF(AND(D1975="Bill Payment",H1975=""),"Add the vendor",IF(AND(D1975="Bill Payment",OR(J1975="",COUNTIFS(ap_No,J1975&amp;"",ap_Party,H1975&amp;"")=0)),"Bill # + vendor not found on AP sheet",IF(AND(ISNUMBER(M1975),N(M1975)&lt;&gt;0,W1975=0),"Tax ignored (tax tracking off, or not allowed for this type)",IF(V1975=K1975&amp;"","Same account on both sides",IF(AND(ISNUMBER(StartDate),C1975&lt;StartDate),"Date is before the accounting start date",IF(AND(D1975&lt;&gt;"Adjustment",IFERROR(INDEX(coa_Pay,MATCH(K1975&amp;"",coa_Name,0)),"")&lt;&gt;"Yes"),"Paid From / Deposited To is not a payment account","")))))))))))</f>
        <v/>
      </c>
      <c r="Z1975" s="67">
        <f>IF(AND(T1975=0,X1975=""),1,0)</f>
        <v/>
      </c>
      <c r="AA1975" s="68">
        <f>IF(Z1975=1,IF(U1975="In",L1975,L1975-W1975),0)</f>
        <v/>
      </c>
      <c r="AB1975" s="68">
        <f>IF(Z1975=1,IF(U1975="In",L1975-W1975,L1975),0)</f>
        <v/>
      </c>
      <c r="AC1975" s="68">
        <f>IF(AND(Z1975=1,U1975="Out"),W1975,0)</f>
        <v/>
      </c>
      <c r="AD1975" s="68">
        <f>IF(AND(Z1975=1,U1975="In"),W1975,0)</f>
        <v/>
      </c>
    </row>
    <row r="1976">
      <c r="B1976" s="62" t="inlineStr">
        <is>
          <t>TX-1970</t>
        </is>
      </c>
      <c r="C1976" s="63" t="n"/>
      <c r="D1976" s="62" t="n"/>
      <c r="E1976" s="62" t="n"/>
      <c r="F1976" s="62" t="n"/>
      <c r="G1976" s="62" t="n"/>
      <c r="H1976" s="62" t="n"/>
      <c r="I1976" s="62" t="n"/>
      <c r="J1976" s="62" t="n"/>
      <c r="K1976" s="62" t="n"/>
      <c r="L1976" s="64" t="n"/>
      <c r="M1976" s="64" t="n"/>
      <c r="N1976" s="62" t="n"/>
      <c r="O1976" s="65">
        <f>IF(Z1976=1,L1976-W1976,"")</f>
        <v/>
      </c>
      <c r="P1976" s="66">
        <f>IF(V1976="","",IFERROR(INDEX(coa_Type,MATCH(V1976,coa_Name,0)),""))</f>
        <v/>
      </c>
      <c r="Q1976" s="66">
        <f>IF(Z1976=1,IF(U1976="In",K1976&amp;"",V1976),"")</f>
        <v/>
      </c>
      <c r="R1976" s="66">
        <f>IF(Z1976=1,IF(U1976="In",V1976,K1976&amp;""),"")</f>
        <v/>
      </c>
      <c r="S1976" s="66">
        <f>IF(X1976&lt;&gt;"","⛔ "&amp;X1976&amp;" — not posted",IF(Y1976&lt;&gt;"","⚠ "&amp;Y1976,IF(Z1976=1,"✓ OK","")))</f>
        <v/>
      </c>
      <c r="T1976" s="67">
        <f>IF(AND(C1976="",D1976="",E1976="",L1976="",K1976=""),1,0)</f>
        <v/>
      </c>
      <c r="U1976" s="67">
        <f>IFERROR(INDEX(tt_Dir,MATCH(D1976,tt_Type,0)),"")</f>
        <v/>
      </c>
      <c r="V1976" s="67">
        <f>IF(D1976="","",IFERROR(IF(INDEX(tt_Other,MATCH(D1976,tt_Type,0))="",E1976&amp;"",INDEX(tt_Other,MATCH(D1976,tt_Type,0))),""))</f>
        <v/>
      </c>
      <c r="W1976" s="68">
        <f>IF(OR(TaxOn&lt;&gt;"Yes",NOT(ISNUMBER(M1976))),0,IF(IFERROR(INDEX(tt_Tax,MATCH(D1976,tt_Type,0)),"No")="Yes",M1976,0))</f>
        <v/>
      </c>
      <c r="X1976" s="67">
        <f>IF(T1976=1,"",IF(C1976="","Missing transaction date",IF(NOT(ISNUMBER(C1976)),"Invalid date",IF(OR(C1976&lt;DATE(2000,1,1),C1976&gt;DATE(2099,12,31)),"Invalid date",IF(D1976="","Select a type",IF(U1976="","Unknown type: "&amp;D1976,IF(V1976="","Select an account (Category)",IF(ISNA(MATCH(V1976,coa_Name,0)),"Unknown account: "&amp;V1976,IF(K1976="","Select Paid From / Deposited To",IF(ISNA(MATCH(K1976,coa_Name,0)),"Unknown account: "&amp;K1976,IF(NOT(ISNUMBER(L1976)),"Enter an amount",IF(L1976=0,"Enter an amount",IF(ABS(W1976)&gt;ABS(L1976),"Tax is larger than the amount","")))))))))))))</f>
        <v/>
      </c>
      <c r="Y1976" s="67">
        <f>IF(OR(T1976=1,X1976&lt;&gt;""),"",IF(AND(B1976&lt;&gt;"",COUNTIF(tx_ID,B1976)&gt;1),"Duplicate transaction ID",IF(AND(L1976&lt;0,D1976&lt;&gt;"Adjustment"),"Negative amount — check this entry",IF(AND(D1976="Customer Payment",G1976=""),"Add the customer",IF(AND(D1976="Customer Payment",OR(J1976="",COUNTIF(ar_No,J1976&amp;"")=0)),"Invoice # in Reference not found on AR sheet",IF(AND(D1976="Bill Payment",H1976=""),"Add the vendor",IF(AND(D1976="Bill Payment",OR(J1976="",COUNTIFS(ap_No,J1976&amp;"",ap_Party,H1976&amp;"")=0)),"Bill # + vendor not found on AP sheet",IF(AND(ISNUMBER(M1976),N(M1976)&lt;&gt;0,W1976=0),"Tax ignored (tax tracking off, or not allowed for this type)",IF(V1976=K1976&amp;"","Same account on both sides",IF(AND(ISNUMBER(StartDate),C1976&lt;StartDate),"Date is before the accounting start date",IF(AND(D1976&lt;&gt;"Adjustment",IFERROR(INDEX(coa_Pay,MATCH(K1976&amp;"",coa_Name,0)),"")&lt;&gt;"Yes"),"Paid From / Deposited To is not a payment account","")))))))))))</f>
        <v/>
      </c>
      <c r="Z1976" s="67">
        <f>IF(AND(T1976=0,X1976=""),1,0)</f>
        <v/>
      </c>
      <c r="AA1976" s="68">
        <f>IF(Z1976=1,IF(U1976="In",L1976,L1976-W1976),0)</f>
        <v/>
      </c>
      <c r="AB1976" s="68">
        <f>IF(Z1976=1,IF(U1976="In",L1976-W1976,L1976),0)</f>
        <v/>
      </c>
      <c r="AC1976" s="68">
        <f>IF(AND(Z1976=1,U1976="Out"),W1976,0)</f>
        <v/>
      </c>
      <c r="AD1976" s="68">
        <f>IF(AND(Z1976=1,U1976="In"),W1976,0)</f>
        <v/>
      </c>
    </row>
    <row r="1977">
      <c r="B1977" s="62" t="inlineStr">
        <is>
          <t>TX-1971</t>
        </is>
      </c>
      <c r="C1977" s="63" t="n"/>
      <c r="D1977" s="62" t="n"/>
      <c r="E1977" s="62" t="n"/>
      <c r="F1977" s="62" t="n"/>
      <c r="G1977" s="62" t="n"/>
      <c r="H1977" s="62" t="n"/>
      <c r="I1977" s="62" t="n"/>
      <c r="J1977" s="62" t="n"/>
      <c r="K1977" s="62" t="n"/>
      <c r="L1977" s="64" t="n"/>
      <c r="M1977" s="64" t="n"/>
      <c r="N1977" s="62" t="n"/>
      <c r="O1977" s="65">
        <f>IF(Z1977=1,L1977-W1977,"")</f>
        <v/>
      </c>
      <c r="P1977" s="66">
        <f>IF(V1977="","",IFERROR(INDEX(coa_Type,MATCH(V1977,coa_Name,0)),""))</f>
        <v/>
      </c>
      <c r="Q1977" s="66">
        <f>IF(Z1977=1,IF(U1977="In",K1977&amp;"",V1977),"")</f>
        <v/>
      </c>
      <c r="R1977" s="66">
        <f>IF(Z1977=1,IF(U1977="In",V1977,K1977&amp;""),"")</f>
        <v/>
      </c>
      <c r="S1977" s="66">
        <f>IF(X1977&lt;&gt;"","⛔ "&amp;X1977&amp;" — not posted",IF(Y1977&lt;&gt;"","⚠ "&amp;Y1977,IF(Z1977=1,"✓ OK","")))</f>
        <v/>
      </c>
      <c r="T1977" s="67">
        <f>IF(AND(C1977="",D1977="",E1977="",L1977="",K1977=""),1,0)</f>
        <v/>
      </c>
      <c r="U1977" s="67">
        <f>IFERROR(INDEX(tt_Dir,MATCH(D1977,tt_Type,0)),"")</f>
        <v/>
      </c>
      <c r="V1977" s="67">
        <f>IF(D1977="","",IFERROR(IF(INDEX(tt_Other,MATCH(D1977,tt_Type,0))="",E1977&amp;"",INDEX(tt_Other,MATCH(D1977,tt_Type,0))),""))</f>
        <v/>
      </c>
      <c r="W1977" s="68">
        <f>IF(OR(TaxOn&lt;&gt;"Yes",NOT(ISNUMBER(M1977))),0,IF(IFERROR(INDEX(tt_Tax,MATCH(D1977,tt_Type,0)),"No")="Yes",M1977,0))</f>
        <v/>
      </c>
      <c r="X1977" s="67">
        <f>IF(T1977=1,"",IF(C1977="","Missing transaction date",IF(NOT(ISNUMBER(C1977)),"Invalid date",IF(OR(C1977&lt;DATE(2000,1,1),C1977&gt;DATE(2099,12,31)),"Invalid date",IF(D1977="","Select a type",IF(U1977="","Unknown type: "&amp;D1977,IF(V1977="","Select an account (Category)",IF(ISNA(MATCH(V1977,coa_Name,0)),"Unknown account: "&amp;V1977,IF(K1977="","Select Paid From / Deposited To",IF(ISNA(MATCH(K1977,coa_Name,0)),"Unknown account: "&amp;K1977,IF(NOT(ISNUMBER(L1977)),"Enter an amount",IF(L1977=0,"Enter an amount",IF(ABS(W1977)&gt;ABS(L1977),"Tax is larger than the amount","")))))))))))))</f>
        <v/>
      </c>
      <c r="Y1977" s="67">
        <f>IF(OR(T1977=1,X1977&lt;&gt;""),"",IF(AND(B1977&lt;&gt;"",COUNTIF(tx_ID,B1977)&gt;1),"Duplicate transaction ID",IF(AND(L1977&lt;0,D1977&lt;&gt;"Adjustment"),"Negative amount — check this entry",IF(AND(D1977="Customer Payment",G1977=""),"Add the customer",IF(AND(D1977="Customer Payment",OR(J1977="",COUNTIF(ar_No,J1977&amp;"")=0)),"Invoice # in Reference not found on AR sheet",IF(AND(D1977="Bill Payment",H1977=""),"Add the vendor",IF(AND(D1977="Bill Payment",OR(J1977="",COUNTIFS(ap_No,J1977&amp;"",ap_Party,H1977&amp;"")=0)),"Bill # + vendor not found on AP sheet",IF(AND(ISNUMBER(M1977),N(M1977)&lt;&gt;0,W1977=0),"Tax ignored (tax tracking off, or not allowed for this type)",IF(V1977=K1977&amp;"","Same account on both sides",IF(AND(ISNUMBER(StartDate),C1977&lt;StartDate),"Date is before the accounting start date",IF(AND(D1977&lt;&gt;"Adjustment",IFERROR(INDEX(coa_Pay,MATCH(K1977&amp;"",coa_Name,0)),"")&lt;&gt;"Yes"),"Paid From / Deposited To is not a payment account","")))))))))))</f>
        <v/>
      </c>
      <c r="Z1977" s="67">
        <f>IF(AND(T1977=0,X1977=""),1,0)</f>
        <v/>
      </c>
      <c r="AA1977" s="68">
        <f>IF(Z1977=1,IF(U1977="In",L1977,L1977-W1977),0)</f>
        <v/>
      </c>
      <c r="AB1977" s="68">
        <f>IF(Z1977=1,IF(U1977="In",L1977-W1977,L1977),0)</f>
        <v/>
      </c>
      <c r="AC1977" s="68">
        <f>IF(AND(Z1977=1,U1977="Out"),W1977,0)</f>
        <v/>
      </c>
      <c r="AD1977" s="68">
        <f>IF(AND(Z1977=1,U1977="In"),W1977,0)</f>
        <v/>
      </c>
    </row>
    <row r="1978">
      <c r="B1978" s="62" t="inlineStr">
        <is>
          <t>TX-1972</t>
        </is>
      </c>
      <c r="C1978" s="63" t="n"/>
      <c r="D1978" s="62" t="n"/>
      <c r="E1978" s="62" t="n"/>
      <c r="F1978" s="62" t="n"/>
      <c r="G1978" s="62" t="n"/>
      <c r="H1978" s="62" t="n"/>
      <c r="I1978" s="62" t="n"/>
      <c r="J1978" s="62" t="n"/>
      <c r="K1978" s="62" t="n"/>
      <c r="L1978" s="64" t="n"/>
      <c r="M1978" s="64" t="n"/>
      <c r="N1978" s="62" t="n"/>
      <c r="O1978" s="65">
        <f>IF(Z1978=1,L1978-W1978,"")</f>
        <v/>
      </c>
      <c r="P1978" s="66">
        <f>IF(V1978="","",IFERROR(INDEX(coa_Type,MATCH(V1978,coa_Name,0)),""))</f>
        <v/>
      </c>
      <c r="Q1978" s="66">
        <f>IF(Z1978=1,IF(U1978="In",K1978&amp;"",V1978),"")</f>
        <v/>
      </c>
      <c r="R1978" s="66">
        <f>IF(Z1978=1,IF(U1978="In",V1978,K1978&amp;""),"")</f>
        <v/>
      </c>
      <c r="S1978" s="66">
        <f>IF(X1978&lt;&gt;"","⛔ "&amp;X1978&amp;" — not posted",IF(Y1978&lt;&gt;"","⚠ "&amp;Y1978,IF(Z1978=1,"✓ OK","")))</f>
        <v/>
      </c>
      <c r="T1978" s="67">
        <f>IF(AND(C1978="",D1978="",E1978="",L1978="",K1978=""),1,0)</f>
        <v/>
      </c>
      <c r="U1978" s="67">
        <f>IFERROR(INDEX(tt_Dir,MATCH(D1978,tt_Type,0)),"")</f>
        <v/>
      </c>
      <c r="V1978" s="67">
        <f>IF(D1978="","",IFERROR(IF(INDEX(tt_Other,MATCH(D1978,tt_Type,0))="",E1978&amp;"",INDEX(tt_Other,MATCH(D1978,tt_Type,0))),""))</f>
        <v/>
      </c>
      <c r="W1978" s="68">
        <f>IF(OR(TaxOn&lt;&gt;"Yes",NOT(ISNUMBER(M1978))),0,IF(IFERROR(INDEX(tt_Tax,MATCH(D1978,tt_Type,0)),"No")="Yes",M1978,0))</f>
        <v/>
      </c>
      <c r="X1978" s="67">
        <f>IF(T1978=1,"",IF(C1978="","Missing transaction date",IF(NOT(ISNUMBER(C1978)),"Invalid date",IF(OR(C1978&lt;DATE(2000,1,1),C1978&gt;DATE(2099,12,31)),"Invalid date",IF(D1978="","Select a type",IF(U1978="","Unknown type: "&amp;D1978,IF(V1978="","Select an account (Category)",IF(ISNA(MATCH(V1978,coa_Name,0)),"Unknown account: "&amp;V1978,IF(K1978="","Select Paid From / Deposited To",IF(ISNA(MATCH(K1978,coa_Name,0)),"Unknown account: "&amp;K1978,IF(NOT(ISNUMBER(L1978)),"Enter an amount",IF(L1978=0,"Enter an amount",IF(ABS(W1978)&gt;ABS(L1978),"Tax is larger than the amount","")))))))))))))</f>
        <v/>
      </c>
      <c r="Y1978" s="67">
        <f>IF(OR(T1978=1,X1978&lt;&gt;""),"",IF(AND(B1978&lt;&gt;"",COUNTIF(tx_ID,B1978)&gt;1),"Duplicate transaction ID",IF(AND(L1978&lt;0,D1978&lt;&gt;"Adjustment"),"Negative amount — check this entry",IF(AND(D1978="Customer Payment",G1978=""),"Add the customer",IF(AND(D1978="Customer Payment",OR(J1978="",COUNTIF(ar_No,J1978&amp;"")=0)),"Invoice # in Reference not found on AR sheet",IF(AND(D1978="Bill Payment",H1978=""),"Add the vendor",IF(AND(D1978="Bill Payment",OR(J1978="",COUNTIFS(ap_No,J1978&amp;"",ap_Party,H1978&amp;"")=0)),"Bill # + vendor not found on AP sheet",IF(AND(ISNUMBER(M1978),N(M1978)&lt;&gt;0,W1978=0),"Tax ignored (tax tracking off, or not allowed for this type)",IF(V1978=K1978&amp;"","Same account on both sides",IF(AND(ISNUMBER(StartDate),C1978&lt;StartDate),"Date is before the accounting start date",IF(AND(D1978&lt;&gt;"Adjustment",IFERROR(INDEX(coa_Pay,MATCH(K1978&amp;"",coa_Name,0)),"")&lt;&gt;"Yes"),"Paid From / Deposited To is not a payment account","")))))))))))</f>
        <v/>
      </c>
      <c r="Z1978" s="67">
        <f>IF(AND(T1978=0,X1978=""),1,0)</f>
        <v/>
      </c>
      <c r="AA1978" s="68">
        <f>IF(Z1978=1,IF(U1978="In",L1978,L1978-W1978),0)</f>
        <v/>
      </c>
      <c r="AB1978" s="68">
        <f>IF(Z1978=1,IF(U1978="In",L1978-W1978,L1978),0)</f>
        <v/>
      </c>
      <c r="AC1978" s="68">
        <f>IF(AND(Z1978=1,U1978="Out"),W1978,0)</f>
        <v/>
      </c>
      <c r="AD1978" s="68">
        <f>IF(AND(Z1978=1,U1978="In"),W1978,0)</f>
        <v/>
      </c>
    </row>
    <row r="1979">
      <c r="B1979" s="62" t="inlineStr">
        <is>
          <t>TX-1973</t>
        </is>
      </c>
      <c r="C1979" s="63" t="n"/>
      <c r="D1979" s="62" t="n"/>
      <c r="E1979" s="62" t="n"/>
      <c r="F1979" s="62" t="n"/>
      <c r="G1979" s="62" t="n"/>
      <c r="H1979" s="62" t="n"/>
      <c r="I1979" s="62" t="n"/>
      <c r="J1979" s="62" t="n"/>
      <c r="K1979" s="62" t="n"/>
      <c r="L1979" s="64" t="n"/>
      <c r="M1979" s="64" t="n"/>
      <c r="N1979" s="62" t="n"/>
      <c r="O1979" s="65">
        <f>IF(Z1979=1,L1979-W1979,"")</f>
        <v/>
      </c>
      <c r="P1979" s="66">
        <f>IF(V1979="","",IFERROR(INDEX(coa_Type,MATCH(V1979,coa_Name,0)),""))</f>
        <v/>
      </c>
      <c r="Q1979" s="66">
        <f>IF(Z1979=1,IF(U1979="In",K1979&amp;"",V1979),"")</f>
        <v/>
      </c>
      <c r="R1979" s="66">
        <f>IF(Z1979=1,IF(U1979="In",V1979,K1979&amp;""),"")</f>
        <v/>
      </c>
      <c r="S1979" s="66">
        <f>IF(X1979&lt;&gt;"","⛔ "&amp;X1979&amp;" — not posted",IF(Y1979&lt;&gt;"","⚠ "&amp;Y1979,IF(Z1979=1,"✓ OK","")))</f>
        <v/>
      </c>
      <c r="T1979" s="67">
        <f>IF(AND(C1979="",D1979="",E1979="",L1979="",K1979=""),1,0)</f>
        <v/>
      </c>
      <c r="U1979" s="67">
        <f>IFERROR(INDEX(tt_Dir,MATCH(D1979,tt_Type,0)),"")</f>
        <v/>
      </c>
      <c r="V1979" s="67">
        <f>IF(D1979="","",IFERROR(IF(INDEX(tt_Other,MATCH(D1979,tt_Type,0))="",E1979&amp;"",INDEX(tt_Other,MATCH(D1979,tt_Type,0))),""))</f>
        <v/>
      </c>
      <c r="W1979" s="68">
        <f>IF(OR(TaxOn&lt;&gt;"Yes",NOT(ISNUMBER(M1979))),0,IF(IFERROR(INDEX(tt_Tax,MATCH(D1979,tt_Type,0)),"No")="Yes",M1979,0))</f>
        <v/>
      </c>
      <c r="X1979" s="67">
        <f>IF(T1979=1,"",IF(C1979="","Missing transaction date",IF(NOT(ISNUMBER(C1979)),"Invalid date",IF(OR(C1979&lt;DATE(2000,1,1),C1979&gt;DATE(2099,12,31)),"Invalid date",IF(D1979="","Select a type",IF(U1979="","Unknown type: "&amp;D1979,IF(V1979="","Select an account (Category)",IF(ISNA(MATCH(V1979,coa_Name,0)),"Unknown account: "&amp;V1979,IF(K1979="","Select Paid From / Deposited To",IF(ISNA(MATCH(K1979,coa_Name,0)),"Unknown account: "&amp;K1979,IF(NOT(ISNUMBER(L1979)),"Enter an amount",IF(L1979=0,"Enter an amount",IF(ABS(W1979)&gt;ABS(L1979),"Tax is larger than the amount","")))))))))))))</f>
        <v/>
      </c>
      <c r="Y1979" s="67">
        <f>IF(OR(T1979=1,X1979&lt;&gt;""),"",IF(AND(B1979&lt;&gt;"",COUNTIF(tx_ID,B1979)&gt;1),"Duplicate transaction ID",IF(AND(L1979&lt;0,D1979&lt;&gt;"Adjustment"),"Negative amount — check this entry",IF(AND(D1979="Customer Payment",G1979=""),"Add the customer",IF(AND(D1979="Customer Payment",OR(J1979="",COUNTIF(ar_No,J1979&amp;"")=0)),"Invoice # in Reference not found on AR sheet",IF(AND(D1979="Bill Payment",H1979=""),"Add the vendor",IF(AND(D1979="Bill Payment",OR(J1979="",COUNTIFS(ap_No,J1979&amp;"",ap_Party,H1979&amp;"")=0)),"Bill # + vendor not found on AP sheet",IF(AND(ISNUMBER(M1979),N(M1979)&lt;&gt;0,W1979=0),"Tax ignored (tax tracking off, or not allowed for this type)",IF(V1979=K1979&amp;"","Same account on both sides",IF(AND(ISNUMBER(StartDate),C1979&lt;StartDate),"Date is before the accounting start date",IF(AND(D1979&lt;&gt;"Adjustment",IFERROR(INDEX(coa_Pay,MATCH(K1979&amp;"",coa_Name,0)),"")&lt;&gt;"Yes"),"Paid From / Deposited To is not a payment account","")))))))))))</f>
        <v/>
      </c>
      <c r="Z1979" s="67">
        <f>IF(AND(T1979=0,X1979=""),1,0)</f>
        <v/>
      </c>
      <c r="AA1979" s="68">
        <f>IF(Z1979=1,IF(U1979="In",L1979,L1979-W1979),0)</f>
        <v/>
      </c>
      <c r="AB1979" s="68">
        <f>IF(Z1979=1,IF(U1979="In",L1979-W1979,L1979),0)</f>
        <v/>
      </c>
      <c r="AC1979" s="68">
        <f>IF(AND(Z1979=1,U1979="Out"),W1979,0)</f>
        <v/>
      </c>
      <c r="AD1979" s="68">
        <f>IF(AND(Z1979=1,U1979="In"),W1979,0)</f>
        <v/>
      </c>
    </row>
    <row r="1980">
      <c r="B1980" s="62" t="inlineStr">
        <is>
          <t>TX-1974</t>
        </is>
      </c>
      <c r="C1980" s="63" t="n"/>
      <c r="D1980" s="62" t="n"/>
      <c r="E1980" s="62" t="n"/>
      <c r="F1980" s="62" t="n"/>
      <c r="G1980" s="62" t="n"/>
      <c r="H1980" s="62" t="n"/>
      <c r="I1980" s="62" t="n"/>
      <c r="J1980" s="62" t="n"/>
      <c r="K1980" s="62" t="n"/>
      <c r="L1980" s="64" t="n"/>
      <c r="M1980" s="64" t="n"/>
      <c r="N1980" s="62" t="n"/>
      <c r="O1980" s="65">
        <f>IF(Z1980=1,L1980-W1980,"")</f>
        <v/>
      </c>
      <c r="P1980" s="66">
        <f>IF(V1980="","",IFERROR(INDEX(coa_Type,MATCH(V1980,coa_Name,0)),""))</f>
        <v/>
      </c>
      <c r="Q1980" s="66">
        <f>IF(Z1980=1,IF(U1980="In",K1980&amp;"",V1980),"")</f>
        <v/>
      </c>
      <c r="R1980" s="66">
        <f>IF(Z1980=1,IF(U1980="In",V1980,K1980&amp;""),"")</f>
        <v/>
      </c>
      <c r="S1980" s="66">
        <f>IF(X1980&lt;&gt;"","⛔ "&amp;X1980&amp;" — not posted",IF(Y1980&lt;&gt;"","⚠ "&amp;Y1980,IF(Z1980=1,"✓ OK","")))</f>
        <v/>
      </c>
      <c r="T1980" s="67">
        <f>IF(AND(C1980="",D1980="",E1980="",L1980="",K1980=""),1,0)</f>
        <v/>
      </c>
      <c r="U1980" s="67">
        <f>IFERROR(INDEX(tt_Dir,MATCH(D1980,tt_Type,0)),"")</f>
        <v/>
      </c>
      <c r="V1980" s="67">
        <f>IF(D1980="","",IFERROR(IF(INDEX(tt_Other,MATCH(D1980,tt_Type,0))="",E1980&amp;"",INDEX(tt_Other,MATCH(D1980,tt_Type,0))),""))</f>
        <v/>
      </c>
      <c r="W1980" s="68">
        <f>IF(OR(TaxOn&lt;&gt;"Yes",NOT(ISNUMBER(M1980))),0,IF(IFERROR(INDEX(tt_Tax,MATCH(D1980,tt_Type,0)),"No")="Yes",M1980,0))</f>
        <v/>
      </c>
      <c r="X1980" s="67">
        <f>IF(T1980=1,"",IF(C1980="","Missing transaction date",IF(NOT(ISNUMBER(C1980)),"Invalid date",IF(OR(C1980&lt;DATE(2000,1,1),C1980&gt;DATE(2099,12,31)),"Invalid date",IF(D1980="","Select a type",IF(U1980="","Unknown type: "&amp;D1980,IF(V1980="","Select an account (Category)",IF(ISNA(MATCH(V1980,coa_Name,0)),"Unknown account: "&amp;V1980,IF(K1980="","Select Paid From / Deposited To",IF(ISNA(MATCH(K1980,coa_Name,0)),"Unknown account: "&amp;K1980,IF(NOT(ISNUMBER(L1980)),"Enter an amount",IF(L1980=0,"Enter an amount",IF(ABS(W1980)&gt;ABS(L1980),"Tax is larger than the amount","")))))))))))))</f>
        <v/>
      </c>
      <c r="Y1980" s="67">
        <f>IF(OR(T1980=1,X1980&lt;&gt;""),"",IF(AND(B1980&lt;&gt;"",COUNTIF(tx_ID,B1980)&gt;1),"Duplicate transaction ID",IF(AND(L1980&lt;0,D1980&lt;&gt;"Adjustment"),"Negative amount — check this entry",IF(AND(D1980="Customer Payment",G1980=""),"Add the customer",IF(AND(D1980="Customer Payment",OR(J1980="",COUNTIF(ar_No,J1980&amp;"")=0)),"Invoice # in Reference not found on AR sheet",IF(AND(D1980="Bill Payment",H1980=""),"Add the vendor",IF(AND(D1980="Bill Payment",OR(J1980="",COUNTIFS(ap_No,J1980&amp;"",ap_Party,H1980&amp;"")=0)),"Bill # + vendor not found on AP sheet",IF(AND(ISNUMBER(M1980),N(M1980)&lt;&gt;0,W1980=0),"Tax ignored (tax tracking off, or not allowed for this type)",IF(V1980=K1980&amp;"","Same account on both sides",IF(AND(ISNUMBER(StartDate),C1980&lt;StartDate),"Date is before the accounting start date",IF(AND(D1980&lt;&gt;"Adjustment",IFERROR(INDEX(coa_Pay,MATCH(K1980&amp;"",coa_Name,0)),"")&lt;&gt;"Yes"),"Paid From / Deposited To is not a payment account","")))))))))))</f>
        <v/>
      </c>
      <c r="Z1980" s="67">
        <f>IF(AND(T1980=0,X1980=""),1,0)</f>
        <v/>
      </c>
      <c r="AA1980" s="68">
        <f>IF(Z1980=1,IF(U1980="In",L1980,L1980-W1980),0)</f>
        <v/>
      </c>
      <c r="AB1980" s="68">
        <f>IF(Z1980=1,IF(U1980="In",L1980-W1980,L1980),0)</f>
        <v/>
      </c>
      <c r="AC1980" s="68">
        <f>IF(AND(Z1980=1,U1980="Out"),W1980,0)</f>
        <v/>
      </c>
      <c r="AD1980" s="68">
        <f>IF(AND(Z1980=1,U1980="In"),W1980,0)</f>
        <v/>
      </c>
    </row>
    <row r="1981">
      <c r="B1981" s="62" t="inlineStr">
        <is>
          <t>TX-1975</t>
        </is>
      </c>
      <c r="C1981" s="63" t="n"/>
      <c r="D1981" s="62" t="n"/>
      <c r="E1981" s="62" t="n"/>
      <c r="F1981" s="62" t="n"/>
      <c r="G1981" s="62" t="n"/>
      <c r="H1981" s="62" t="n"/>
      <c r="I1981" s="62" t="n"/>
      <c r="J1981" s="62" t="n"/>
      <c r="K1981" s="62" t="n"/>
      <c r="L1981" s="64" t="n"/>
      <c r="M1981" s="64" t="n"/>
      <c r="N1981" s="62" t="n"/>
      <c r="O1981" s="65">
        <f>IF(Z1981=1,L1981-W1981,"")</f>
        <v/>
      </c>
      <c r="P1981" s="66">
        <f>IF(V1981="","",IFERROR(INDEX(coa_Type,MATCH(V1981,coa_Name,0)),""))</f>
        <v/>
      </c>
      <c r="Q1981" s="66">
        <f>IF(Z1981=1,IF(U1981="In",K1981&amp;"",V1981),"")</f>
        <v/>
      </c>
      <c r="R1981" s="66">
        <f>IF(Z1981=1,IF(U1981="In",V1981,K1981&amp;""),"")</f>
        <v/>
      </c>
      <c r="S1981" s="66">
        <f>IF(X1981&lt;&gt;"","⛔ "&amp;X1981&amp;" — not posted",IF(Y1981&lt;&gt;"","⚠ "&amp;Y1981,IF(Z1981=1,"✓ OK","")))</f>
        <v/>
      </c>
      <c r="T1981" s="67">
        <f>IF(AND(C1981="",D1981="",E1981="",L1981="",K1981=""),1,0)</f>
        <v/>
      </c>
      <c r="U1981" s="67">
        <f>IFERROR(INDEX(tt_Dir,MATCH(D1981,tt_Type,0)),"")</f>
        <v/>
      </c>
      <c r="V1981" s="67">
        <f>IF(D1981="","",IFERROR(IF(INDEX(tt_Other,MATCH(D1981,tt_Type,0))="",E1981&amp;"",INDEX(tt_Other,MATCH(D1981,tt_Type,0))),""))</f>
        <v/>
      </c>
      <c r="W1981" s="68">
        <f>IF(OR(TaxOn&lt;&gt;"Yes",NOT(ISNUMBER(M1981))),0,IF(IFERROR(INDEX(tt_Tax,MATCH(D1981,tt_Type,0)),"No")="Yes",M1981,0))</f>
        <v/>
      </c>
      <c r="X1981" s="67">
        <f>IF(T1981=1,"",IF(C1981="","Missing transaction date",IF(NOT(ISNUMBER(C1981)),"Invalid date",IF(OR(C1981&lt;DATE(2000,1,1),C1981&gt;DATE(2099,12,31)),"Invalid date",IF(D1981="","Select a type",IF(U1981="","Unknown type: "&amp;D1981,IF(V1981="","Select an account (Category)",IF(ISNA(MATCH(V1981,coa_Name,0)),"Unknown account: "&amp;V1981,IF(K1981="","Select Paid From / Deposited To",IF(ISNA(MATCH(K1981,coa_Name,0)),"Unknown account: "&amp;K1981,IF(NOT(ISNUMBER(L1981)),"Enter an amount",IF(L1981=0,"Enter an amount",IF(ABS(W1981)&gt;ABS(L1981),"Tax is larger than the amount","")))))))))))))</f>
        <v/>
      </c>
      <c r="Y1981" s="67">
        <f>IF(OR(T1981=1,X1981&lt;&gt;""),"",IF(AND(B1981&lt;&gt;"",COUNTIF(tx_ID,B1981)&gt;1),"Duplicate transaction ID",IF(AND(L1981&lt;0,D1981&lt;&gt;"Adjustment"),"Negative amount — check this entry",IF(AND(D1981="Customer Payment",G1981=""),"Add the customer",IF(AND(D1981="Customer Payment",OR(J1981="",COUNTIF(ar_No,J1981&amp;"")=0)),"Invoice # in Reference not found on AR sheet",IF(AND(D1981="Bill Payment",H1981=""),"Add the vendor",IF(AND(D1981="Bill Payment",OR(J1981="",COUNTIFS(ap_No,J1981&amp;"",ap_Party,H1981&amp;"")=0)),"Bill # + vendor not found on AP sheet",IF(AND(ISNUMBER(M1981),N(M1981)&lt;&gt;0,W1981=0),"Tax ignored (tax tracking off, or not allowed for this type)",IF(V1981=K1981&amp;"","Same account on both sides",IF(AND(ISNUMBER(StartDate),C1981&lt;StartDate),"Date is before the accounting start date",IF(AND(D1981&lt;&gt;"Adjustment",IFERROR(INDEX(coa_Pay,MATCH(K1981&amp;"",coa_Name,0)),"")&lt;&gt;"Yes"),"Paid From / Deposited To is not a payment account","")))))))))))</f>
        <v/>
      </c>
      <c r="Z1981" s="67">
        <f>IF(AND(T1981=0,X1981=""),1,0)</f>
        <v/>
      </c>
      <c r="AA1981" s="68">
        <f>IF(Z1981=1,IF(U1981="In",L1981,L1981-W1981),0)</f>
        <v/>
      </c>
      <c r="AB1981" s="68">
        <f>IF(Z1981=1,IF(U1981="In",L1981-W1981,L1981),0)</f>
        <v/>
      </c>
      <c r="AC1981" s="68">
        <f>IF(AND(Z1981=1,U1981="Out"),W1981,0)</f>
        <v/>
      </c>
      <c r="AD1981" s="68">
        <f>IF(AND(Z1981=1,U1981="In"),W1981,0)</f>
        <v/>
      </c>
    </row>
    <row r="1982">
      <c r="B1982" s="62" t="inlineStr">
        <is>
          <t>TX-1976</t>
        </is>
      </c>
      <c r="C1982" s="63" t="n"/>
      <c r="D1982" s="62" t="n"/>
      <c r="E1982" s="62" t="n"/>
      <c r="F1982" s="62" t="n"/>
      <c r="G1982" s="62" t="n"/>
      <c r="H1982" s="62" t="n"/>
      <c r="I1982" s="62" t="n"/>
      <c r="J1982" s="62" t="n"/>
      <c r="K1982" s="62" t="n"/>
      <c r="L1982" s="64" t="n"/>
      <c r="M1982" s="64" t="n"/>
      <c r="N1982" s="62" t="n"/>
      <c r="O1982" s="65">
        <f>IF(Z1982=1,L1982-W1982,"")</f>
        <v/>
      </c>
      <c r="P1982" s="66">
        <f>IF(V1982="","",IFERROR(INDEX(coa_Type,MATCH(V1982,coa_Name,0)),""))</f>
        <v/>
      </c>
      <c r="Q1982" s="66">
        <f>IF(Z1982=1,IF(U1982="In",K1982&amp;"",V1982),"")</f>
        <v/>
      </c>
      <c r="R1982" s="66">
        <f>IF(Z1982=1,IF(U1982="In",V1982,K1982&amp;""),"")</f>
        <v/>
      </c>
      <c r="S1982" s="66">
        <f>IF(X1982&lt;&gt;"","⛔ "&amp;X1982&amp;" — not posted",IF(Y1982&lt;&gt;"","⚠ "&amp;Y1982,IF(Z1982=1,"✓ OK","")))</f>
        <v/>
      </c>
      <c r="T1982" s="67">
        <f>IF(AND(C1982="",D1982="",E1982="",L1982="",K1982=""),1,0)</f>
        <v/>
      </c>
      <c r="U1982" s="67">
        <f>IFERROR(INDEX(tt_Dir,MATCH(D1982,tt_Type,0)),"")</f>
        <v/>
      </c>
      <c r="V1982" s="67">
        <f>IF(D1982="","",IFERROR(IF(INDEX(tt_Other,MATCH(D1982,tt_Type,0))="",E1982&amp;"",INDEX(tt_Other,MATCH(D1982,tt_Type,0))),""))</f>
        <v/>
      </c>
      <c r="W1982" s="68">
        <f>IF(OR(TaxOn&lt;&gt;"Yes",NOT(ISNUMBER(M1982))),0,IF(IFERROR(INDEX(tt_Tax,MATCH(D1982,tt_Type,0)),"No")="Yes",M1982,0))</f>
        <v/>
      </c>
      <c r="X1982" s="67">
        <f>IF(T1982=1,"",IF(C1982="","Missing transaction date",IF(NOT(ISNUMBER(C1982)),"Invalid date",IF(OR(C1982&lt;DATE(2000,1,1),C1982&gt;DATE(2099,12,31)),"Invalid date",IF(D1982="","Select a type",IF(U1982="","Unknown type: "&amp;D1982,IF(V1982="","Select an account (Category)",IF(ISNA(MATCH(V1982,coa_Name,0)),"Unknown account: "&amp;V1982,IF(K1982="","Select Paid From / Deposited To",IF(ISNA(MATCH(K1982,coa_Name,0)),"Unknown account: "&amp;K1982,IF(NOT(ISNUMBER(L1982)),"Enter an amount",IF(L1982=0,"Enter an amount",IF(ABS(W1982)&gt;ABS(L1982),"Tax is larger than the amount","")))))))))))))</f>
        <v/>
      </c>
      <c r="Y1982" s="67">
        <f>IF(OR(T1982=1,X1982&lt;&gt;""),"",IF(AND(B1982&lt;&gt;"",COUNTIF(tx_ID,B1982)&gt;1),"Duplicate transaction ID",IF(AND(L1982&lt;0,D1982&lt;&gt;"Adjustment"),"Negative amount — check this entry",IF(AND(D1982="Customer Payment",G1982=""),"Add the customer",IF(AND(D1982="Customer Payment",OR(J1982="",COUNTIF(ar_No,J1982&amp;"")=0)),"Invoice # in Reference not found on AR sheet",IF(AND(D1982="Bill Payment",H1982=""),"Add the vendor",IF(AND(D1982="Bill Payment",OR(J1982="",COUNTIFS(ap_No,J1982&amp;"",ap_Party,H1982&amp;"")=0)),"Bill # + vendor not found on AP sheet",IF(AND(ISNUMBER(M1982),N(M1982)&lt;&gt;0,W1982=0),"Tax ignored (tax tracking off, or not allowed for this type)",IF(V1982=K1982&amp;"","Same account on both sides",IF(AND(ISNUMBER(StartDate),C1982&lt;StartDate),"Date is before the accounting start date",IF(AND(D1982&lt;&gt;"Adjustment",IFERROR(INDEX(coa_Pay,MATCH(K1982&amp;"",coa_Name,0)),"")&lt;&gt;"Yes"),"Paid From / Deposited To is not a payment account","")))))))))))</f>
        <v/>
      </c>
      <c r="Z1982" s="67">
        <f>IF(AND(T1982=0,X1982=""),1,0)</f>
        <v/>
      </c>
      <c r="AA1982" s="68">
        <f>IF(Z1982=1,IF(U1982="In",L1982,L1982-W1982),0)</f>
        <v/>
      </c>
      <c r="AB1982" s="68">
        <f>IF(Z1982=1,IF(U1982="In",L1982-W1982,L1982),0)</f>
        <v/>
      </c>
      <c r="AC1982" s="68">
        <f>IF(AND(Z1982=1,U1982="Out"),W1982,0)</f>
        <v/>
      </c>
      <c r="AD1982" s="68">
        <f>IF(AND(Z1982=1,U1982="In"),W1982,0)</f>
        <v/>
      </c>
    </row>
    <row r="1983">
      <c r="B1983" s="62" t="inlineStr">
        <is>
          <t>TX-1977</t>
        </is>
      </c>
      <c r="C1983" s="63" t="n"/>
      <c r="D1983" s="62" t="n"/>
      <c r="E1983" s="62" t="n"/>
      <c r="F1983" s="62" t="n"/>
      <c r="G1983" s="62" t="n"/>
      <c r="H1983" s="62" t="n"/>
      <c r="I1983" s="62" t="n"/>
      <c r="J1983" s="62" t="n"/>
      <c r="K1983" s="62" t="n"/>
      <c r="L1983" s="64" t="n"/>
      <c r="M1983" s="64" t="n"/>
      <c r="N1983" s="62" t="n"/>
      <c r="O1983" s="65">
        <f>IF(Z1983=1,L1983-W1983,"")</f>
        <v/>
      </c>
      <c r="P1983" s="66">
        <f>IF(V1983="","",IFERROR(INDEX(coa_Type,MATCH(V1983,coa_Name,0)),""))</f>
        <v/>
      </c>
      <c r="Q1983" s="66">
        <f>IF(Z1983=1,IF(U1983="In",K1983&amp;"",V1983),"")</f>
        <v/>
      </c>
      <c r="R1983" s="66">
        <f>IF(Z1983=1,IF(U1983="In",V1983,K1983&amp;""),"")</f>
        <v/>
      </c>
      <c r="S1983" s="66">
        <f>IF(X1983&lt;&gt;"","⛔ "&amp;X1983&amp;" — not posted",IF(Y1983&lt;&gt;"","⚠ "&amp;Y1983,IF(Z1983=1,"✓ OK","")))</f>
        <v/>
      </c>
      <c r="T1983" s="67">
        <f>IF(AND(C1983="",D1983="",E1983="",L1983="",K1983=""),1,0)</f>
        <v/>
      </c>
      <c r="U1983" s="67">
        <f>IFERROR(INDEX(tt_Dir,MATCH(D1983,tt_Type,0)),"")</f>
        <v/>
      </c>
      <c r="V1983" s="67">
        <f>IF(D1983="","",IFERROR(IF(INDEX(tt_Other,MATCH(D1983,tt_Type,0))="",E1983&amp;"",INDEX(tt_Other,MATCH(D1983,tt_Type,0))),""))</f>
        <v/>
      </c>
      <c r="W1983" s="68">
        <f>IF(OR(TaxOn&lt;&gt;"Yes",NOT(ISNUMBER(M1983))),0,IF(IFERROR(INDEX(tt_Tax,MATCH(D1983,tt_Type,0)),"No")="Yes",M1983,0))</f>
        <v/>
      </c>
      <c r="X1983" s="67">
        <f>IF(T1983=1,"",IF(C1983="","Missing transaction date",IF(NOT(ISNUMBER(C1983)),"Invalid date",IF(OR(C1983&lt;DATE(2000,1,1),C1983&gt;DATE(2099,12,31)),"Invalid date",IF(D1983="","Select a type",IF(U1983="","Unknown type: "&amp;D1983,IF(V1983="","Select an account (Category)",IF(ISNA(MATCH(V1983,coa_Name,0)),"Unknown account: "&amp;V1983,IF(K1983="","Select Paid From / Deposited To",IF(ISNA(MATCH(K1983,coa_Name,0)),"Unknown account: "&amp;K1983,IF(NOT(ISNUMBER(L1983)),"Enter an amount",IF(L1983=0,"Enter an amount",IF(ABS(W1983)&gt;ABS(L1983),"Tax is larger than the amount","")))))))))))))</f>
        <v/>
      </c>
      <c r="Y1983" s="67">
        <f>IF(OR(T1983=1,X1983&lt;&gt;""),"",IF(AND(B1983&lt;&gt;"",COUNTIF(tx_ID,B1983)&gt;1),"Duplicate transaction ID",IF(AND(L1983&lt;0,D1983&lt;&gt;"Adjustment"),"Negative amount — check this entry",IF(AND(D1983="Customer Payment",G1983=""),"Add the customer",IF(AND(D1983="Customer Payment",OR(J1983="",COUNTIF(ar_No,J1983&amp;"")=0)),"Invoice # in Reference not found on AR sheet",IF(AND(D1983="Bill Payment",H1983=""),"Add the vendor",IF(AND(D1983="Bill Payment",OR(J1983="",COUNTIFS(ap_No,J1983&amp;"",ap_Party,H1983&amp;"")=0)),"Bill # + vendor not found on AP sheet",IF(AND(ISNUMBER(M1983),N(M1983)&lt;&gt;0,W1983=0),"Tax ignored (tax tracking off, or not allowed for this type)",IF(V1983=K1983&amp;"","Same account on both sides",IF(AND(ISNUMBER(StartDate),C1983&lt;StartDate),"Date is before the accounting start date",IF(AND(D1983&lt;&gt;"Adjustment",IFERROR(INDEX(coa_Pay,MATCH(K1983&amp;"",coa_Name,0)),"")&lt;&gt;"Yes"),"Paid From / Deposited To is not a payment account","")))))))))))</f>
        <v/>
      </c>
      <c r="Z1983" s="67">
        <f>IF(AND(T1983=0,X1983=""),1,0)</f>
        <v/>
      </c>
      <c r="AA1983" s="68">
        <f>IF(Z1983=1,IF(U1983="In",L1983,L1983-W1983),0)</f>
        <v/>
      </c>
      <c r="AB1983" s="68">
        <f>IF(Z1983=1,IF(U1983="In",L1983-W1983,L1983),0)</f>
        <v/>
      </c>
      <c r="AC1983" s="68">
        <f>IF(AND(Z1983=1,U1983="Out"),W1983,0)</f>
        <v/>
      </c>
      <c r="AD1983" s="68">
        <f>IF(AND(Z1983=1,U1983="In"),W1983,0)</f>
        <v/>
      </c>
    </row>
    <row r="1984">
      <c r="B1984" s="62" t="inlineStr">
        <is>
          <t>TX-1978</t>
        </is>
      </c>
      <c r="C1984" s="63" t="n"/>
      <c r="D1984" s="62" t="n"/>
      <c r="E1984" s="62" t="n"/>
      <c r="F1984" s="62" t="n"/>
      <c r="G1984" s="62" t="n"/>
      <c r="H1984" s="62" t="n"/>
      <c r="I1984" s="62" t="n"/>
      <c r="J1984" s="62" t="n"/>
      <c r="K1984" s="62" t="n"/>
      <c r="L1984" s="64" t="n"/>
      <c r="M1984" s="64" t="n"/>
      <c r="N1984" s="62" t="n"/>
      <c r="O1984" s="65">
        <f>IF(Z1984=1,L1984-W1984,"")</f>
        <v/>
      </c>
      <c r="P1984" s="66">
        <f>IF(V1984="","",IFERROR(INDEX(coa_Type,MATCH(V1984,coa_Name,0)),""))</f>
        <v/>
      </c>
      <c r="Q1984" s="66">
        <f>IF(Z1984=1,IF(U1984="In",K1984&amp;"",V1984),"")</f>
        <v/>
      </c>
      <c r="R1984" s="66">
        <f>IF(Z1984=1,IF(U1984="In",V1984,K1984&amp;""),"")</f>
        <v/>
      </c>
      <c r="S1984" s="66">
        <f>IF(X1984&lt;&gt;"","⛔ "&amp;X1984&amp;" — not posted",IF(Y1984&lt;&gt;"","⚠ "&amp;Y1984,IF(Z1984=1,"✓ OK","")))</f>
        <v/>
      </c>
      <c r="T1984" s="67">
        <f>IF(AND(C1984="",D1984="",E1984="",L1984="",K1984=""),1,0)</f>
        <v/>
      </c>
      <c r="U1984" s="67">
        <f>IFERROR(INDEX(tt_Dir,MATCH(D1984,tt_Type,0)),"")</f>
        <v/>
      </c>
      <c r="V1984" s="67">
        <f>IF(D1984="","",IFERROR(IF(INDEX(tt_Other,MATCH(D1984,tt_Type,0))="",E1984&amp;"",INDEX(tt_Other,MATCH(D1984,tt_Type,0))),""))</f>
        <v/>
      </c>
      <c r="W1984" s="68">
        <f>IF(OR(TaxOn&lt;&gt;"Yes",NOT(ISNUMBER(M1984))),0,IF(IFERROR(INDEX(tt_Tax,MATCH(D1984,tt_Type,0)),"No")="Yes",M1984,0))</f>
        <v/>
      </c>
      <c r="X1984" s="67">
        <f>IF(T1984=1,"",IF(C1984="","Missing transaction date",IF(NOT(ISNUMBER(C1984)),"Invalid date",IF(OR(C1984&lt;DATE(2000,1,1),C1984&gt;DATE(2099,12,31)),"Invalid date",IF(D1984="","Select a type",IF(U1984="","Unknown type: "&amp;D1984,IF(V1984="","Select an account (Category)",IF(ISNA(MATCH(V1984,coa_Name,0)),"Unknown account: "&amp;V1984,IF(K1984="","Select Paid From / Deposited To",IF(ISNA(MATCH(K1984,coa_Name,0)),"Unknown account: "&amp;K1984,IF(NOT(ISNUMBER(L1984)),"Enter an amount",IF(L1984=0,"Enter an amount",IF(ABS(W1984)&gt;ABS(L1984),"Tax is larger than the amount","")))))))))))))</f>
        <v/>
      </c>
      <c r="Y1984" s="67">
        <f>IF(OR(T1984=1,X1984&lt;&gt;""),"",IF(AND(B1984&lt;&gt;"",COUNTIF(tx_ID,B1984)&gt;1),"Duplicate transaction ID",IF(AND(L1984&lt;0,D1984&lt;&gt;"Adjustment"),"Negative amount — check this entry",IF(AND(D1984="Customer Payment",G1984=""),"Add the customer",IF(AND(D1984="Customer Payment",OR(J1984="",COUNTIF(ar_No,J1984&amp;"")=0)),"Invoice # in Reference not found on AR sheet",IF(AND(D1984="Bill Payment",H1984=""),"Add the vendor",IF(AND(D1984="Bill Payment",OR(J1984="",COUNTIFS(ap_No,J1984&amp;"",ap_Party,H1984&amp;"")=0)),"Bill # + vendor not found on AP sheet",IF(AND(ISNUMBER(M1984),N(M1984)&lt;&gt;0,W1984=0),"Tax ignored (tax tracking off, or not allowed for this type)",IF(V1984=K1984&amp;"","Same account on both sides",IF(AND(ISNUMBER(StartDate),C1984&lt;StartDate),"Date is before the accounting start date",IF(AND(D1984&lt;&gt;"Adjustment",IFERROR(INDEX(coa_Pay,MATCH(K1984&amp;"",coa_Name,0)),"")&lt;&gt;"Yes"),"Paid From / Deposited To is not a payment account","")))))))))))</f>
        <v/>
      </c>
      <c r="Z1984" s="67">
        <f>IF(AND(T1984=0,X1984=""),1,0)</f>
        <v/>
      </c>
      <c r="AA1984" s="68">
        <f>IF(Z1984=1,IF(U1984="In",L1984,L1984-W1984),0)</f>
        <v/>
      </c>
      <c r="AB1984" s="68">
        <f>IF(Z1984=1,IF(U1984="In",L1984-W1984,L1984),0)</f>
        <v/>
      </c>
      <c r="AC1984" s="68">
        <f>IF(AND(Z1984=1,U1984="Out"),W1984,0)</f>
        <v/>
      </c>
      <c r="AD1984" s="68">
        <f>IF(AND(Z1984=1,U1984="In"),W1984,0)</f>
        <v/>
      </c>
    </row>
    <row r="1985">
      <c r="B1985" s="62" t="inlineStr">
        <is>
          <t>TX-1979</t>
        </is>
      </c>
      <c r="C1985" s="63" t="n"/>
      <c r="D1985" s="62" t="n"/>
      <c r="E1985" s="62" t="n"/>
      <c r="F1985" s="62" t="n"/>
      <c r="G1985" s="62" t="n"/>
      <c r="H1985" s="62" t="n"/>
      <c r="I1985" s="62" t="n"/>
      <c r="J1985" s="62" t="n"/>
      <c r="K1985" s="62" t="n"/>
      <c r="L1985" s="64" t="n"/>
      <c r="M1985" s="64" t="n"/>
      <c r="N1985" s="62" t="n"/>
      <c r="O1985" s="65">
        <f>IF(Z1985=1,L1985-W1985,"")</f>
        <v/>
      </c>
      <c r="P1985" s="66">
        <f>IF(V1985="","",IFERROR(INDEX(coa_Type,MATCH(V1985,coa_Name,0)),""))</f>
        <v/>
      </c>
      <c r="Q1985" s="66">
        <f>IF(Z1985=1,IF(U1985="In",K1985&amp;"",V1985),"")</f>
        <v/>
      </c>
      <c r="R1985" s="66">
        <f>IF(Z1985=1,IF(U1985="In",V1985,K1985&amp;""),"")</f>
        <v/>
      </c>
      <c r="S1985" s="66">
        <f>IF(X1985&lt;&gt;"","⛔ "&amp;X1985&amp;" — not posted",IF(Y1985&lt;&gt;"","⚠ "&amp;Y1985,IF(Z1985=1,"✓ OK","")))</f>
        <v/>
      </c>
      <c r="T1985" s="67">
        <f>IF(AND(C1985="",D1985="",E1985="",L1985="",K1985=""),1,0)</f>
        <v/>
      </c>
      <c r="U1985" s="67">
        <f>IFERROR(INDEX(tt_Dir,MATCH(D1985,tt_Type,0)),"")</f>
        <v/>
      </c>
      <c r="V1985" s="67">
        <f>IF(D1985="","",IFERROR(IF(INDEX(tt_Other,MATCH(D1985,tt_Type,0))="",E1985&amp;"",INDEX(tt_Other,MATCH(D1985,tt_Type,0))),""))</f>
        <v/>
      </c>
      <c r="W1985" s="68">
        <f>IF(OR(TaxOn&lt;&gt;"Yes",NOT(ISNUMBER(M1985))),0,IF(IFERROR(INDEX(tt_Tax,MATCH(D1985,tt_Type,0)),"No")="Yes",M1985,0))</f>
        <v/>
      </c>
      <c r="X1985" s="67">
        <f>IF(T1985=1,"",IF(C1985="","Missing transaction date",IF(NOT(ISNUMBER(C1985)),"Invalid date",IF(OR(C1985&lt;DATE(2000,1,1),C1985&gt;DATE(2099,12,31)),"Invalid date",IF(D1985="","Select a type",IF(U1985="","Unknown type: "&amp;D1985,IF(V1985="","Select an account (Category)",IF(ISNA(MATCH(V1985,coa_Name,0)),"Unknown account: "&amp;V1985,IF(K1985="","Select Paid From / Deposited To",IF(ISNA(MATCH(K1985,coa_Name,0)),"Unknown account: "&amp;K1985,IF(NOT(ISNUMBER(L1985)),"Enter an amount",IF(L1985=0,"Enter an amount",IF(ABS(W1985)&gt;ABS(L1985),"Tax is larger than the amount","")))))))))))))</f>
        <v/>
      </c>
      <c r="Y1985" s="67">
        <f>IF(OR(T1985=1,X1985&lt;&gt;""),"",IF(AND(B1985&lt;&gt;"",COUNTIF(tx_ID,B1985)&gt;1),"Duplicate transaction ID",IF(AND(L1985&lt;0,D1985&lt;&gt;"Adjustment"),"Negative amount — check this entry",IF(AND(D1985="Customer Payment",G1985=""),"Add the customer",IF(AND(D1985="Customer Payment",OR(J1985="",COUNTIF(ar_No,J1985&amp;"")=0)),"Invoice # in Reference not found on AR sheet",IF(AND(D1985="Bill Payment",H1985=""),"Add the vendor",IF(AND(D1985="Bill Payment",OR(J1985="",COUNTIFS(ap_No,J1985&amp;"",ap_Party,H1985&amp;"")=0)),"Bill # + vendor not found on AP sheet",IF(AND(ISNUMBER(M1985),N(M1985)&lt;&gt;0,W1985=0),"Tax ignored (tax tracking off, or not allowed for this type)",IF(V1985=K1985&amp;"","Same account on both sides",IF(AND(ISNUMBER(StartDate),C1985&lt;StartDate),"Date is before the accounting start date",IF(AND(D1985&lt;&gt;"Adjustment",IFERROR(INDEX(coa_Pay,MATCH(K1985&amp;"",coa_Name,0)),"")&lt;&gt;"Yes"),"Paid From / Deposited To is not a payment account","")))))))))))</f>
        <v/>
      </c>
      <c r="Z1985" s="67">
        <f>IF(AND(T1985=0,X1985=""),1,0)</f>
        <v/>
      </c>
      <c r="AA1985" s="68">
        <f>IF(Z1985=1,IF(U1985="In",L1985,L1985-W1985),0)</f>
        <v/>
      </c>
      <c r="AB1985" s="68">
        <f>IF(Z1985=1,IF(U1985="In",L1985-W1985,L1985),0)</f>
        <v/>
      </c>
      <c r="AC1985" s="68">
        <f>IF(AND(Z1985=1,U1985="Out"),W1985,0)</f>
        <v/>
      </c>
      <c r="AD1985" s="68">
        <f>IF(AND(Z1985=1,U1985="In"),W1985,0)</f>
        <v/>
      </c>
    </row>
    <row r="1986">
      <c r="B1986" s="62" t="inlineStr">
        <is>
          <t>TX-1980</t>
        </is>
      </c>
      <c r="C1986" s="63" t="n"/>
      <c r="D1986" s="62" t="n"/>
      <c r="E1986" s="62" t="n"/>
      <c r="F1986" s="62" t="n"/>
      <c r="G1986" s="62" t="n"/>
      <c r="H1986" s="62" t="n"/>
      <c r="I1986" s="62" t="n"/>
      <c r="J1986" s="62" t="n"/>
      <c r="K1986" s="62" t="n"/>
      <c r="L1986" s="64" t="n"/>
      <c r="M1986" s="64" t="n"/>
      <c r="N1986" s="62" t="n"/>
      <c r="O1986" s="65">
        <f>IF(Z1986=1,L1986-W1986,"")</f>
        <v/>
      </c>
      <c r="P1986" s="66">
        <f>IF(V1986="","",IFERROR(INDEX(coa_Type,MATCH(V1986,coa_Name,0)),""))</f>
        <v/>
      </c>
      <c r="Q1986" s="66">
        <f>IF(Z1986=1,IF(U1986="In",K1986&amp;"",V1986),"")</f>
        <v/>
      </c>
      <c r="R1986" s="66">
        <f>IF(Z1986=1,IF(U1986="In",V1986,K1986&amp;""),"")</f>
        <v/>
      </c>
      <c r="S1986" s="66">
        <f>IF(X1986&lt;&gt;"","⛔ "&amp;X1986&amp;" — not posted",IF(Y1986&lt;&gt;"","⚠ "&amp;Y1986,IF(Z1986=1,"✓ OK","")))</f>
        <v/>
      </c>
      <c r="T1986" s="67">
        <f>IF(AND(C1986="",D1986="",E1986="",L1986="",K1986=""),1,0)</f>
        <v/>
      </c>
      <c r="U1986" s="67">
        <f>IFERROR(INDEX(tt_Dir,MATCH(D1986,tt_Type,0)),"")</f>
        <v/>
      </c>
      <c r="V1986" s="67">
        <f>IF(D1986="","",IFERROR(IF(INDEX(tt_Other,MATCH(D1986,tt_Type,0))="",E1986&amp;"",INDEX(tt_Other,MATCH(D1986,tt_Type,0))),""))</f>
        <v/>
      </c>
      <c r="W1986" s="68">
        <f>IF(OR(TaxOn&lt;&gt;"Yes",NOT(ISNUMBER(M1986))),0,IF(IFERROR(INDEX(tt_Tax,MATCH(D1986,tt_Type,0)),"No")="Yes",M1986,0))</f>
        <v/>
      </c>
      <c r="X1986" s="67">
        <f>IF(T1986=1,"",IF(C1986="","Missing transaction date",IF(NOT(ISNUMBER(C1986)),"Invalid date",IF(OR(C1986&lt;DATE(2000,1,1),C1986&gt;DATE(2099,12,31)),"Invalid date",IF(D1986="","Select a type",IF(U1986="","Unknown type: "&amp;D1986,IF(V1986="","Select an account (Category)",IF(ISNA(MATCH(V1986,coa_Name,0)),"Unknown account: "&amp;V1986,IF(K1986="","Select Paid From / Deposited To",IF(ISNA(MATCH(K1986,coa_Name,0)),"Unknown account: "&amp;K1986,IF(NOT(ISNUMBER(L1986)),"Enter an amount",IF(L1986=0,"Enter an amount",IF(ABS(W1986)&gt;ABS(L1986),"Tax is larger than the amount","")))))))))))))</f>
        <v/>
      </c>
      <c r="Y1986" s="67">
        <f>IF(OR(T1986=1,X1986&lt;&gt;""),"",IF(AND(B1986&lt;&gt;"",COUNTIF(tx_ID,B1986)&gt;1),"Duplicate transaction ID",IF(AND(L1986&lt;0,D1986&lt;&gt;"Adjustment"),"Negative amount — check this entry",IF(AND(D1986="Customer Payment",G1986=""),"Add the customer",IF(AND(D1986="Customer Payment",OR(J1986="",COUNTIF(ar_No,J1986&amp;"")=0)),"Invoice # in Reference not found on AR sheet",IF(AND(D1986="Bill Payment",H1986=""),"Add the vendor",IF(AND(D1986="Bill Payment",OR(J1986="",COUNTIFS(ap_No,J1986&amp;"",ap_Party,H1986&amp;"")=0)),"Bill # + vendor not found on AP sheet",IF(AND(ISNUMBER(M1986),N(M1986)&lt;&gt;0,W1986=0),"Tax ignored (tax tracking off, or not allowed for this type)",IF(V1986=K1986&amp;"","Same account on both sides",IF(AND(ISNUMBER(StartDate),C1986&lt;StartDate),"Date is before the accounting start date",IF(AND(D1986&lt;&gt;"Adjustment",IFERROR(INDEX(coa_Pay,MATCH(K1986&amp;"",coa_Name,0)),"")&lt;&gt;"Yes"),"Paid From / Deposited To is not a payment account","")))))))))))</f>
        <v/>
      </c>
      <c r="Z1986" s="67">
        <f>IF(AND(T1986=0,X1986=""),1,0)</f>
        <v/>
      </c>
      <c r="AA1986" s="68">
        <f>IF(Z1986=1,IF(U1986="In",L1986,L1986-W1986),0)</f>
        <v/>
      </c>
      <c r="AB1986" s="68">
        <f>IF(Z1986=1,IF(U1986="In",L1986-W1986,L1986),0)</f>
        <v/>
      </c>
      <c r="AC1986" s="68">
        <f>IF(AND(Z1986=1,U1986="Out"),W1986,0)</f>
        <v/>
      </c>
      <c r="AD1986" s="68">
        <f>IF(AND(Z1986=1,U1986="In"),W1986,0)</f>
        <v/>
      </c>
    </row>
    <row r="1987">
      <c r="B1987" s="62" t="inlineStr">
        <is>
          <t>TX-1981</t>
        </is>
      </c>
      <c r="C1987" s="63" t="n"/>
      <c r="D1987" s="62" t="n"/>
      <c r="E1987" s="62" t="n"/>
      <c r="F1987" s="62" t="n"/>
      <c r="G1987" s="62" t="n"/>
      <c r="H1987" s="62" t="n"/>
      <c r="I1987" s="62" t="n"/>
      <c r="J1987" s="62" t="n"/>
      <c r="K1987" s="62" t="n"/>
      <c r="L1987" s="64" t="n"/>
      <c r="M1987" s="64" t="n"/>
      <c r="N1987" s="62" t="n"/>
      <c r="O1987" s="65">
        <f>IF(Z1987=1,L1987-W1987,"")</f>
        <v/>
      </c>
      <c r="P1987" s="66">
        <f>IF(V1987="","",IFERROR(INDEX(coa_Type,MATCH(V1987,coa_Name,0)),""))</f>
        <v/>
      </c>
      <c r="Q1987" s="66">
        <f>IF(Z1987=1,IF(U1987="In",K1987&amp;"",V1987),"")</f>
        <v/>
      </c>
      <c r="R1987" s="66">
        <f>IF(Z1987=1,IF(U1987="In",V1987,K1987&amp;""),"")</f>
        <v/>
      </c>
      <c r="S1987" s="66">
        <f>IF(X1987&lt;&gt;"","⛔ "&amp;X1987&amp;" — not posted",IF(Y1987&lt;&gt;"","⚠ "&amp;Y1987,IF(Z1987=1,"✓ OK","")))</f>
        <v/>
      </c>
      <c r="T1987" s="67">
        <f>IF(AND(C1987="",D1987="",E1987="",L1987="",K1987=""),1,0)</f>
        <v/>
      </c>
      <c r="U1987" s="67">
        <f>IFERROR(INDEX(tt_Dir,MATCH(D1987,tt_Type,0)),"")</f>
        <v/>
      </c>
      <c r="V1987" s="67">
        <f>IF(D1987="","",IFERROR(IF(INDEX(tt_Other,MATCH(D1987,tt_Type,0))="",E1987&amp;"",INDEX(tt_Other,MATCH(D1987,tt_Type,0))),""))</f>
        <v/>
      </c>
      <c r="W1987" s="68">
        <f>IF(OR(TaxOn&lt;&gt;"Yes",NOT(ISNUMBER(M1987))),0,IF(IFERROR(INDEX(tt_Tax,MATCH(D1987,tt_Type,0)),"No")="Yes",M1987,0))</f>
        <v/>
      </c>
      <c r="X1987" s="67">
        <f>IF(T1987=1,"",IF(C1987="","Missing transaction date",IF(NOT(ISNUMBER(C1987)),"Invalid date",IF(OR(C1987&lt;DATE(2000,1,1),C1987&gt;DATE(2099,12,31)),"Invalid date",IF(D1987="","Select a type",IF(U1987="","Unknown type: "&amp;D1987,IF(V1987="","Select an account (Category)",IF(ISNA(MATCH(V1987,coa_Name,0)),"Unknown account: "&amp;V1987,IF(K1987="","Select Paid From / Deposited To",IF(ISNA(MATCH(K1987,coa_Name,0)),"Unknown account: "&amp;K1987,IF(NOT(ISNUMBER(L1987)),"Enter an amount",IF(L1987=0,"Enter an amount",IF(ABS(W1987)&gt;ABS(L1987),"Tax is larger than the amount","")))))))))))))</f>
        <v/>
      </c>
      <c r="Y1987" s="67">
        <f>IF(OR(T1987=1,X1987&lt;&gt;""),"",IF(AND(B1987&lt;&gt;"",COUNTIF(tx_ID,B1987)&gt;1),"Duplicate transaction ID",IF(AND(L1987&lt;0,D1987&lt;&gt;"Adjustment"),"Negative amount — check this entry",IF(AND(D1987="Customer Payment",G1987=""),"Add the customer",IF(AND(D1987="Customer Payment",OR(J1987="",COUNTIF(ar_No,J1987&amp;"")=0)),"Invoice # in Reference not found on AR sheet",IF(AND(D1987="Bill Payment",H1987=""),"Add the vendor",IF(AND(D1987="Bill Payment",OR(J1987="",COUNTIFS(ap_No,J1987&amp;"",ap_Party,H1987&amp;"")=0)),"Bill # + vendor not found on AP sheet",IF(AND(ISNUMBER(M1987),N(M1987)&lt;&gt;0,W1987=0),"Tax ignored (tax tracking off, or not allowed for this type)",IF(V1987=K1987&amp;"","Same account on both sides",IF(AND(ISNUMBER(StartDate),C1987&lt;StartDate),"Date is before the accounting start date",IF(AND(D1987&lt;&gt;"Adjustment",IFERROR(INDEX(coa_Pay,MATCH(K1987&amp;"",coa_Name,0)),"")&lt;&gt;"Yes"),"Paid From / Deposited To is not a payment account","")))))))))))</f>
        <v/>
      </c>
      <c r="Z1987" s="67">
        <f>IF(AND(T1987=0,X1987=""),1,0)</f>
        <v/>
      </c>
      <c r="AA1987" s="68">
        <f>IF(Z1987=1,IF(U1987="In",L1987,L1987-W1987),0)</f>
        <v/>
      </c>
      <c r="AB1987" s="68">
        <f>IF(Z1987=1,IF(U1987="In",L1987-W1987,L1987),0)</f>
        <v/>
      </c>
      <c r="AC1987" s="68">
        <f>IF(AND(Z1987=1,U1987="Out"),W1987,0)</f>
        <v/>
      </c>
      <c r="AD1987" s="68">
        <f>IF(AND(Z1987=1,U1987="In"),W1987,0)</f>
        <v/>
      </c>
    </row>
    <row r="1988">
      <c r="B1988" s="62" t="inlineStr">
        <is>
          <t>TX-1982</t>
        </is>
      </c>
      <c r="C1988" s="63" t="n"/>
      <c r="D1988" s="62" t="n"/>
      <c r="E1988" s="62" t="n"/>
      <c r="F1988" s="62" t="n"/>
      <c r="G1988" s="62" t="n"/>
      <c r="H1988" s="62" t="n"/>
      <c r="I1988" s="62" t="n"/>
      <c r="J1988" s="62" t="n"/>
      <c r="K1988" s="62" t="n"/>
      <c r="L1988" s="64" t="n"/>
      <c r="M1988" s="64" t="n"/>
      <c r="N1988" s="62" t="n"/>
      <c r="O1988" s="65">
        <f>IF(Z1988=1,L1988-W1988,"")</f>
        <v/>
      </c>
      <c r="P1988" s="66">
        <f>IF(V1988="","",IFERROR(INDEX(coa_Type,MATCH(V1988,coa_Name,0)),""))</f>
        <v/>
      </c>
      <c r="Q1988" s="66">
        <f>IF(Z1988=1,IF(U1988="In",K1988&amp;"",V1988),"")</f>
        <v/>
      </c>
      <c r="R1988" s="66">
        <f>IF(Z1988=1,IF(U1988="In",V1988,K1988&amp;""),"")</f>
        <v/>
      </c>
      <c r="S1988" s="66">
        <f>IF(X1988&lt;&gt;"","⛔ "&amp;X1988&amp;" — not posted",IF(Y1988&lt;&gt;"","⚠ "&amp;Y1988,IF(Z1988=1,"✓ OK","")))</f>
        <v/>
      </c>
      <c r="T1988" s="67">
        <f>IF(AND(C1988="",D1988="",E1988="",L1988="",K1988=""),1,0)</f>
        <v/>
      </c>
      <c r="U1988" s="67">
        <f>IFERROR(INDEX(tt_Dir,MATCH(D1988,tt_Type,0)),"")</f>
        <v/>
      </c>
      <c r="V1988" s="67">
        <f>IF(D1988="","",IFERROR(IF(INDEX(tt_Other,MATCH(D1988,tt_Type,0))="",E1988&amp;"",INDEX(tt_Other,MATCH(D1988,tt_Type,0))),""))</f>
        <v/>
      </c>
      <c r="W1988" s="68">
        <f>IF(OR(TaxOn&lt;&gt;"Yes",NOT(ISNUMBER(M1988))),0,IF(IFERROR(INDEX(tt_Tax,MATCH(D1988,tt_Type,0)),"No")="Yes",M1988,0))</f>
        <v/>
      </c>
      <c r="X1988" s="67">
        <f>IF(T1988=1,"",IF(C1988="","Missing transaction date",IF(NOT(ISNUMBER(C1988)),"Invalid date",IF(OR(C1988&lt;DATE(2000,1,1),C1988&gt;DATE(2099,12,31)),"Invalid date",IF(D1988="","Select a type",IF(U1988="","Unknown type: "&amp;D1988,IF(V1988="","Select an account (Category)",IF(ISNA(MATCH(V1988,coa_Name,0)),"Unknown account: "&amp;V1988,IF(K1988="","Select Paid From / Deposited To",IF(ISNA(MATCH(K1988,coa_Name,0)),"Unknown account: "&amp;K1988,IF(NOT(ISNUMBER(L1988)),"Enter an amount",IF(L1988=0,"Enter an amount",IF(ABS(W1988)&gt;ABS(L1988),"Tax is larger than the amount","")))))))))))))</f>
        <v/>
      </c>
      <c r="Y1988" s="67">
        <f>IF(OR(T1988=1,X1988&lt;&gt;""),"",IF(AND(B1988&lt;&gt;"",COUNTIF(tx_ID,B1988)&gt;1),"Duplicate transaction ID",IF(AND(L1988&lt;0,D1988&lt;&gt;"Adjustment"),"Negative amount — check this entry",IF(AND(D1988="Customer Payment",G1988=""),"Add the customer",IF(AND(D1988="Customer Payment",OR(J1988="",COUNTIF(ar_No,J1988&amp;"")=0)),"Invoice # in Reference not found on AR sheet",IF(AND(D1988="Bill Payment",H1988=""),"Add the vendor",IF(AND(D1988="Bill Payment",OR(J1988="",COUNTIFS(ap_No,J1988&amp;"",ap_Party,H1988&amp;"")=0)),"Bill # + vendor not found on AP sheet",IF(AND(ISNUMBER(M1988),N(M1988)&lt;&gt;0,W1988=0),"Tax ignored (tax tracking off, or not allowed for this type)",IF(V1988=K1988&amp;"","Same account on both sides",IF(AND(ISNUMBER(StartDate),C1988&lt;StartDate),"Date is before the accounting start date",IF(AND(D1988&lt;&gt;"Adjustment",IFERROR(INDEX(coa_Pay,MATCH(K1988&amp;"",coa_Name,0)),"")&lt;&gt;"Yes"),"Paid From / Deposited To is not a payment account","")))))))))))</f>
        <v/>
      </c>
      <c r="Z1988" s="67">
        <f>IF(AND(T1988=0,X1988=""),1,0)</f>
        <v/>
      </c>
      <c r="AA1988" s="68">
        <f>IF(Z1988=1,IF(U1988="In",L1988,L1988-W1988),0)</f>
        <v/>
      </c>
      <c r="AB1988" s="68">
        <f>IF(Z1988=1,IF(U1988="In",L1988-W1988,L1988),0)</f>
        <v/>
      </c>
      <c r="AC1988" s="68">
        <f>IF(AND(Z1988=1,U1988="Out"),W1988,0)</f>
        <v/>
      </c>
      <c r="AD1988" s="68">
        <f>IF(AND(Z1988=1,U1988="In"),W1988,0)</f>
        <v/>
      </c>
    </row>
    <row r="1989">
      <c r="B1989" s="62" t="inlineStr">
        <is>
          <t>TX-1983</t>
        </is>
      </c>
      <c r="C1989" s="63" t="n"/>
      <c r="D1989" s="62" t="n"/>
      <c r="E1989" s="62" t="n"/>
      <c r="F1989" s="62" t="n"/>
      <c r="G1989" s="62" t="n"/>
      <c r="H1989" s="62" t="n"/>
      <c r="I1989" s="62" t="n"/>
      <c r="J1989" s="62" t="n"/>
      <c r="K1989" s="62" t="n"/>
      <c r="L1989" s="64" t="n"/>
      <c r="M1989" s="64" t="n"/>
      <c r="N1989" s="62" t="n"/>
      <c r="O1989" s="65">
        <f>IF(Z1989=1,L1989-W1989,"")</f>
        <v/>
      </c>
      <c r="P1989" s="66">
        <f>IF(V1989="","",IFERROR(INDEX(coa_Type,MATCH(V1989,coa_Name,0)),""))</f>
        <v/>
      </c>
      <c r="Q1989" s="66">
        <f>IF(Z1989=1,IF(U1989="In",K1989&amp;"",V1989),"")</f>
        <v/>
      </c>
      <c r="R1989" s="66">
        <f>IF(Z1989=1,IF(U1989="In",V1989,K1989&amp;""),"")</f>
        <v/>
      </c>
      <c r="S1989" s="66">
        <f>IF(X1989&lt;&gt;"","⛔ "&amp;X1989&amp;" — not posted",IF(Y1989&lt;&gt;"","⚠ "&amp;Y1989,IF(Z1989=1,"✓ OK","")))</f>
        <v/>
      </c>
      <c r="T1989" s="67">
        <f>IF(AND(C1989="",D1989="",E1989="",L1989="",K1989=""),1,0)</f>
        <v/>
      </c>
      <c r="U1989" s="67">
        <f>IFERROR(INDEX(tt_Dir,MATCH(D1989,tt_Type,0)),"")</f>
        <v/>
      </c>
      <c r="V1989" s="67">
        <f>IF(D1989="","",IFERROR(IF(INDEX(tt_Other,MATCH(D1989,tt_Type,0))="",E1989&amp;"",INDEX(tt_Other,MATCH(D1989,tt_Type,0))),""))</f>
        <v/>
      </c>
      <c r="W1989" s="68">
        <f>IF(OR(TaxOn&lt;&gt;"Yes",NOT(ISNUMBER(M1989))),0,IF(IFERROR(INDEX(tt_Tax,MATCH(D1989,tt_Type,0)),"No")="Yes",M1989,0))</f>
        <v/>
      </c>
      <c r="X1989" s="67">
        <f>IF(T1989=1,"",IF(C1989="","Missing transaction date",IF(NOT(ISNUMBER(C1989)),"Invalid date",IF(OR(C1989&lt;DATE(2000,1,1),C1989&gt;DATE(2099,12,31)),"Invalid date",IF(D1989="","Select a type",IF(U1989="","Unknown type: "&amp;D1989,IF(V1989="","Select an account (Category)",IF(ISNA(MATCH(V1989,coa_Name,0)),"Unknown account: "&amp;V1989,IF(K1989="","Select Paid From / Deposited To",IF(ISNA(MATCH(K1989,coa_Name,0)),"Unknown account: "&amp;K1989,IF(NOT(ISNUMBER(L1989)),"Enter an amount",IF(L1989=0,"Enter an amount",IF(ABS(W1989)&gt;ABS(L1989),"Tax is larger than the amount","")))))))))))))</f>
        <v/>
      </c>
      <c r="Y1989" s="67">
        <f>IF(OR(T1989=1,X1989&lt;&gt;""),"",IF(AND(B1989&lt;&gt;"",COUNTIF(tx_ID,B1989)&gt;1),"Duplicate transaction ID",IF(AND(L1989&lt;0,D1989&lt;&gt;"Adjustment"),"Negative amount — check this entry",IF(AND(D1989="Customer Payment",G1989=""),"Add the customer",IF(AND(D1989="Customer Payment",OR(J1989="",COUNTIF(ar_No,J1989&amp;"")=0)),"Invoice # in Reference not found on AR sheet",IF(AND(D1989="Bill Payment",H1989=""),"Add the vendor",IF(AND(D1989="Bill Payment",OR(J1989="",COUNTIFS(ap_No,J1989&amp;"",ap_Party,H1989&amp;"")=0)),"Bill # + vendor not found on AP sheet",IF(AND(ISNUMBER(M1989),N(M1989)&lt;&gt;0,W1989=0),"Tax ignored (tax tracking off, or not allowed for this type)",IF(V1989=K1989&amp;"","Same account on both sides",IF(AND(ISNUMBER(StartDate),C1989&lt;StartDate),"Date is before the accounting start date",IF(AND(D1989&lt;&gt;"Adjustment",IFERROR(INDEX(coa_Pay,MATCH(K1989&amp;"",coa_Name,0)),"")&lt;&gt;"Yes"),"Paid From / Deposited To is not a payment account","")))))))))))</f>
        <v/>
      </c>
      <c r="Z1989" s="67">
        <f>IF(AND(T1989=0,X1989=""),1,0)</f>
        <v/>
      </c>
      <c r="AA1989" s="68">
        <f>IF(Z1989=1,IF(U1989="In",L1989,L1989-W1989),0)</f>
        <v/>
      </c>
      <c r="AB1989" s="68">
        <f>IF(Z1989=1,IF(U1989="In",L1989-W1989,L1989),0)</f>
        <v/>
      </c>
      <c r="AC1989" s="68">
        <f>IF(AND(Z1989=1,U1989="Out"),W1989,0)</f>
        <v/>
      </c>
      <c r="AD1989" s="68">
        <f>IF(AND(Z1989=1,U1989="In"),W1989,0)</f>
        <v/>
      </c>
    </row>
    <row r="1990">
      <c r="B1990" s="62" t="inlineStr">
        <is>
          <t>TX-1984</t>
        </is>
      </c>
      <c r="C1990" s="63" t="n"/>
      <c r="D1990" s="62" t="n"/>
      <c r="E1990" s="62" t="n"/>
      <c r="F1990" s="62" t="n"/>
      <c r="G1990" s="62" t="n"/>
      <c r="H1990" s="62" t="n"/>
      <c r="I1990" s="62" t="n"/>
      <c r="J1990" s="62" t="n"/>
      <c r="K1990" s="62" t="n"/>
      <c r="L1990" s="64" t="n"/>
      <c r="M1990" s="64" t="n"/>
      <c r="N1990" s="62" t="n"/>
      <c r="O1990" s="65">
        <f>IF(Z1990=1,L1990-W1990,"")</f>
        <v/>
      </c>
      <c r="P1990" s="66">
        <f>IF(V1990="","",IFERROR(INDEX(coa_Type,MATCH(V1990,coa_Name,0)),""))</f>
        <v/>
      </c>
      <c r="Q1990" s="66">
        <f>IF(Z1990=1,IF(U1990="In",K1990&amp;"",V1990),"")</f>
        <v/>
      </c>
      <c r="R1990" s="66">
        <f>IF(Z1990=1,IF(U1990="In",V1990,K1990&amp;""),"")</f>
        <v/>
      </c>
      <c r="S1990" s="66">
        <f>IF(X1990&lt;&gt;"","⛔ "&amp;X1990&amp;" — not posted",IF(Y1990&lt;&gt;"","⚠ "&amp;Y1990,IF(Z1990=1,"✓ OK","")))</f>
        <v/>
      </c>
      <c r="T1990" s="67">
        <f>IF(AND(C1990="",D1990="",E1990="",L1990="",K1990=""),1,0)</f>
        <v/>
      </c>
      <c r="U1990" s="67">
        <f>IFERROR(INDEX(tt_Dir,MATCH(D1990,tt_Type,0)),"")</f>
        <v/>
      </c>
      <c r="V1990" s="67">
        <f>IF(D1990="","",IFERROR(IF(INDEX(tt_Other,MATCH(D1990,tt_Type,0))="",E1990&amp;"",INDEX(tt_Other,MATCH(D1990,tt_Type,0))),""))</f>
        <v/>
      </c>
      <c r="W1990" s="68">
        <f>IF(OR(TaxOn&lt;&gt;"Yes",NOT(ISNUMBER(M1990))),0,IF(IFERROR(INDEX(tt_Tax,MATCH(D1990,tt_Type,0)),"No")="Yes",M1990,0))</f>
        <v/>
      </c>
      <c r="X1990" s="67">
        <f>IF(T1990=1,"",IF(C1990="","Missing transaction date",IF(NOT(ISNUMBER(C1990)),"Invalid date",IF(OR(C1990&lt;DATE(2000,1,1),C1990&gt;DATE(2099,12,31)),"Invalid date",IF(D1990="","Select a type",IF(U1990="","Unknown type: "&amp;D1990,IF(V1990="","Select an account (Category)",IF(ISNA(MATCH(V1990,coa_Name,0)),"Unknown account: "&amp;V1990,IF(K1990="","Select Paid From / Deposited To",IF(ISNA(MATCH(K1990,coa_Name,0)),"Unknown account: "&amp;K1990,IF(NOT(ISNUMBER(L1990)),"Enter an amount",IF(L1990=0,"Enter an amount",IF(ABS(W1990)&gt;ABS(L1990),"Tax is larger than the amount","")))))))))))))</f>
        <v/>
      </c>
      <c r="Y1990" s="67">
        <f>IF(OR(T1990=1,X1990&lt;&gt;""),"",IF(AND(B1990&lt;&gt;"",COUNTIF(tx_ID,B1990)&gt;1),"Duplicate transaction ID",IF(AND(L1990&lt;0,D1990&lt;&gt;"Adjustment"),"Negative amount — check this entry",IF(AND(D1990="Customer Payment",G1990=""),"Add the customer",IF(AND(D1990="Customer Payment",OR(J1990="",COUNTIF(ar_No,J1990&amp;"")=0)),"Invoice # in Reference not found on AR sheet",IF(AND(D1990="Bill Payment",H1990=""),"Add the vendor",IF(AND(D1990="Bill Payment",OR(J1990="",COUNTIFS(ap_No,J1990&amp;"",ap_Party,H1990&amp;"")=0)),"Bill # + vendor not found on AP sheet",IF(AND(ISNUMBER(M1990),N(M1990)&lt;&gt;0,W1990=0),"Tax ignored (tax tracking off, or not allowed for this type)",IF(V1990=K1990&amp;"","Same account on both sides",IF(AND(ISNUMBER(StartDate),C1990&lt;StartDate),"Date is before the accounting start date",IF(AND(D1990&lt;&gt;"Adjustment",IFERROR(INDEX(coa_Pay,MATCH(K1990&amp;"",coa_Name,0)),"")&lt;&gt;"Yes"),"Paid From / Deposited To is not a payment account","")))))))))))</f>
        <v/>
      </c>
      <c r="Z1990" s="67">
        <f>IF(AND(T1990=0,X1990=""),1,0)</f>
        <v/>
      </c>
      <c r="AA1990" s="68">
        <f>IF(Z1990=1,IF(U1990="In",L1990,L1990-W1990),0)</f>
        <v/>
      </c>
      <c r="AB1990" s="68">
        <f>IF(Z1990=1,IF(U1990="In",L1990-W1990,L1990),0)</f>
        <v/>
      </c>
      <c r="AC1990" s="68">
        <f>IF(AND(Z1990=1,U1990="Out"),W1990,0)</f>
        <v/>
      </c>
      <c r="AD1990" s="68">
        <f>IF(AND(Z1990=1,U1990="In"),W1990,0)</f>
        <v/>
      </c>
    </row>
    <row r="1991">
      <c r="B1991" s="62" t="inlineStr">
        <is>
          <t>TX-1985</t>
        </is>
      </c>
      <c r="C1991" s="63" t="n"/>
      <c r="D1991" s="62" t="n"/>
      <c r="E1991" s="62" t="n"/>
      <c r="F1991" s="62" t="n"/>
      <c r="G1991" s="62" t="n"/>
      <c r="H1991" s="62" t="n"/>
      <c r="I1991" s="62" t="n"/>
      <c r="J1991" s="62" t="n"/>
      <c r="K1991" s="62" t="n"/>
      <c r="L1991" s="64" t="n"/>
      <c r="M1991" s="64" t="n"/>
      <c r="N1991" s="62" t="n"/>
      <c r="O1991" s="65">
        <f>IF(Z1991=1,L1991-W1991,"")</f>
        <v/>
      </c>
      <c r="P1991" s="66">
        <f>IF(V1991="","",IFERROR(INDEX(coa_Type,MATCH(V1991,coa_Name,0)),""))</f>
        <v/>
      </c>
      <c r="Q1991" s="66">
        <f>IF(Z1991=1,IF(U1991="In",K1991&amp;"",V1991),"")</f>
        <v/>
      </c>
      <c r="R1991" s="66">
        <f>IF(Z1991=1,IF(U1991="In",V1991,K1991&amp;""),"")</f>
        <v/>
      </c>
      <c r="S1991" s="66">
        <f>IF(X1991&lt;&gt;"","⛔ "&amp;X1991&amp;" — not posted",IF(Y1991&lt;&gt;"","⚠ "&amp;Y1991,IF(Z1991=1,"✓ OK","")))</f>
        <v/>
      </c>
      <c r="T1991" s="67">
        <f>IF(AND(C1991="",D1991="",E1991="",L1991="",K1991=""),1,0)</f>
        <v/>
      </c>
      <c r="U1991" s="67">
        <f>IFERROR(INDEX(tt_Dir,MATCH(D1991,tt_Type,0)),"")</f>
        <v/>
      </c>
      <c r="V1991" s="67">
        <f>IF(D1991="","",IFERROR(IF(INDEX(tt_Other,MATCH(D1991,tt_Type,0))="",E1991&amp;"",INDEX(tt_Other,MATCH(D1991,tt_Type,0))),""))</f>
        <v/>
      </c>
      <c r="W1991" s="68">
        <f>IF(OR(TaxOn&lt;&gt;"Yes",NOT(ISNUMBER(M1991))),0,IF(IFERROR(INDEX(tt_Tax,MATCH(D1991,tt_Type,0)),"No")="Yes",M1991,0))</f>
        <v/>
      </c>
      <c r="X1991" s="67">
        <f>IF(T1991=1,"",IF(C1991="","Missing transaction date",IF(NOT(ISNUMBER(C1991)),"Invalid date",IF(OR(C1991&lt;DATE(2000,1,1),C1991&gt;DATE(2099,12,31)),"Invalid date",IF(D1991="","Select a type",IF(U1991="","Unknown type: "&amp;D1991,IF(V1991="","Select an account (Category)",IF(ISNA(MATCH(V1991,coa_Name,0)),"Unknown account: "&amp;V1991,IF(K1991="","Select Paid From / Deposited To",IF(ISNA(MATCH(K1991,coa_Name,0)),"Unknown account: "&amp;K1991,IF(NOT(ISNUMBER(L1991)),"Enter an amount",IF(L1991=0,"Enter an amount",IF(ABS(W1991)&gt;ABS(L1991),"Tax is larger than the amount","")))))))))))))</f>
        <v/>
      </c>
      <c r="Y1991" s="67">
        <f>IF(OR(T1991=1,X1991&lt;&gt;""),"",IF(AND(B1991&lt;&gt;"",COUNTIF(tx_ID,B1991)&gt;1),"Duplicate transaction ID",IF(AND(L1991&lt;0,D1991&lt;&gt;"Adjustment"),"Negative amount — check this entry",IF(AND(D1991="Customer Payment",G1991=""),"Add the customer",IF(AND(D1991="Customer Payment",OR(J1991="",COUNTIF(ar_No,J1991&amp;"")=0)),"Invoice # in Reference not found on AR sheet",IF(AND(D1991="Bill Payment",H1991=""),"Add the vendor",IF(AND(D1991="Bill Payment",OR(J1991="",COUNTIFS(ap_No,J1991&amp;"",ap_Party,H1991&amp;"")=0)),"Bill # + vendor not found on AP sheet",IF(AND(ISNUMBER(M1991),N(M1991)&lt;&gt;0,W1991=0),"Tax ignored (tax tracking off, or not allowed for this type)",IF(V1991=K1991&amp;"","Same account on both sides",IF(AND(ISNUMBER(StartDate),C1991&lt;StartDate),"Date is before the accounting start date",IF(AND(D1991&lt;&gt;"Adjustment",IFERROR(INDEX(coa_Pay,MATCH(K1991&amp;"",coa_Name,0)),"")&lt;&gt;"Yes"),"Paid From / Deposited To is not a payment account","")))))))))))</f>
        <v/>
      </c>
      <c r="Z1991" s="67">
        <f>IF(AND(T1991=0,X1991=""),1,0)</f>
        <v/>
      </c>
      <c r="AA1991" s="68">
        <f>IF(Z1991=1,IF(U1991="In",L1991,L1991-W1991),0)</f>
        <v/>
      </c>
      <c r="AB1991" s="68">
        <f>IF(Z1991=1,IF(U1991="In",L1991-W1991,L1991),0)</f>
        <v/>
      </c>
      <c r="AC1991" s="68">
        <f>IF(AND(Z1991=1,U1991="Out"),W1991,0)</f>
        <v/>
      </c>
      <c r="AD1991" s="68">
        <f>IF(AND(Z1991=1,U1991="In"),W1991,0)</f>
        <v/>
      </c>
    </row>
    <row r="1992">
      <c r="B1992" s="62" t="inlineStr">
        <is>
          <t>TX-1986</t>
        </is>
      </c>
      <c r="C1992" s="63" t="n"/>
      <c r="D1992" s="62" t="n"/>
      <c r="E1992" s="62" t="n"/>
      <c r="F1992" s="62" t="n"/>
      <c r="G1992" s="62" t="n"/>
      <c r="H1992" s="62" t="n"/>
      <c r="I1992" s="62" t="n"/>
      <c r="J1992" s="62" t="n"/>
      <c r="K1992" s="62" t="n"/>
      <c r="L1992" s="64" t="n"/>
      <c r="M1992" s="64" t="n"/>
      <c r="N1992" s="62" t="n"/>
      <c r="O1992" s="65">
        <f>IF(Z1992=1,L1992-W1992,"")</f>
        <v/>
      </c>
      <c r="P1992" s="66">
        <f>IF(V1992="","",IFERROR(INDEX(coa_Type,MATCH(V1992,coa_Name,0)),""))</f>
        <v/>
      </c>
      <c r="Q1992" s="66">
        <f>IF(Z1992=1,IF(U1992="In",K1992&amp;"",V1992),"")</f>
        <v/>
      </c>
      <c r="R1992" s="66">
        <f>IF(Z1992=1,IF(U1992="In",V1992,K1992&amp;""),"")</f>
        <v/>
      </c>
      <c r="S1992" s="66">
        <f>IF(X1992&lt;&gt;"","⛔ "&amp;X1992&amp;" — not posted",IF(Y1992&lt;&gt;"","⚠ "&amp;Y1992,IF(Z1992=1,"✓ OK","")))</f>
        <v/>
      </c>
      <c r="T1992" s="67">
        <f>IF(AND(C1992="",D1992="",E1992="",L1992="",K1992=""),1,0)</f>
        <v/>
      </c>
      <c r="U1992" s="67">
        <f>IFERROR(INDEX(tt_Dir,MATCH(D1992,tt_Type,0)),"")</f>
        <v/>
      </c>
      <c r="V1992" s="67">
        <f>IF(D1992="","",IFERROR(IF(INDEX(tt_Other,MATCH(D1992,tt_Type,0))="",E1992&amp;"",INDEX(tt_Other,MATCH(D1992,tt_Type,0))),""))</f>
        <v/>
      </c>
      <c r="W1992" s="68">
        <f>IF(OR(TaxOn&lt;&gt;"Yes",NOT(ISNUMBER(M1992))),0,IF(IFERROR(INDEX(tt_Tax,MATCH(D1992,tt_Type,0)),"No")="Yes",M1992,0))</f>
        <v/>
      </c>
      <c r="X1992" s="67">
        <f>IF(T1992=1,"",IF(C1992="","Missing transaction date",IF(NOT(ISNUMBER(C1992)),"Invalid date",IF(OR(C1992&lt;DATE(2000,1,1),C1992&gt;DATE(2099,12,31)),"Invalid date",IF(D1992="","Select a type",IF(U1992="","Unknown type: "&amp;D1992,IF(V1992="","Select an account (Category)",IF(ISNA(MATCH(V1992,coa_Name,0)),"Unknown account: "&amp;V1992,IF(K1992="","Select Paid From / Deposited To",IF(ISNA(MATCH(K1992,coa_Name,0)),"Unknown account: "&amp;K1992,IF(NOT(ISNUMBER(L1992)),"Enter an amount",IF(L1992=0,"Enter an amount",IF(ABS(W1992)&gt;ABS(L1992),"Tax is larger than the amount","")))))))))))))</f>
        <v/>
      </c>
      <c r="Y1992" s="67">
        <f>IF(OR(T1992=1,X1992&lt;&gt;""),"",IF(AND(B1992&lt;&gt;"",COUNTIF(tx_ID,B1992)&gt;1),"Duplicate transaction ID",IF(AND(L1992&lt;0,D1992&lt;&gt;"Adjustment"),"Negative amount — check this entry",IF(AND(D1992="Customer Payment",G1992=""),"Add the customer",IF(AND(D1992="Customer Payment",OR(J1992="",COUNTIF(ar_No,J1992&amp;"")=0)),"Invoice # in Reference not found on AR sheet",IF(AND(D1992="Bill Payment",H1992=""),"Add the vendor",IF(AND(D1992="Bill Payment",OR(J1992="",COUNTIFS(ap_No,J1992&amp;"",ap_Party,H1992&amp;"")=0)),"Bill # + vendor not found on AP sheet",IF(AND(ISNUMBER(M1992),N(M1992)&lt;&gt;0,W1992=0),"Tax ignored (tax tracking off, or not allowed for this type)",IF(V1992=K1992&amp;"","Same account on both sides",IF(AND(ISNUMBER(StartDate),C1992&lt;StartDate),"Date is before the accounting start date",IF(AND(D1992&lt;&gt;"Adjustment",IFERROR(INDEX(coa_Pay,MATCH(K1992&amp;"",coa_Name,0)),"")&lt;&gt;"Yes"),"Paid From / Deposited To is not a payment account","")))))))))))</f>
        <v/>
      </c>
      <c r="Z1992" s="67">
        <f>IF(AND(T1992=0,X1992=""),1,0)</f>
        <v/>
      </c>
      <c r="AA1992" s="68">
        <f>IF(Z1992=1,IF(U1992="In",L1992,L1992-W1992),0)</f>
        <v/>
      </c>
      <c r="AB1992" s="68">
        <f>IF(Z1992=1,IF(U1992="In",L1992-W1992,L1992),0)</f>
        <v/>
      </c>
      <c r="AC1992" s="68">
        <f>IF(AND(Z1992=1,U1992="Out"),W1992,0)</f>
        <v/>
      </c>
      <c r="AD1992" s="68">
        <f>IF(AND(Z1992=1,U1992="In"),W1992,0)</f>
        <v/>
      </c>
    </row>
    <row r="1993">
      <c r="B1993" s="62" t="inlineStr">
        <is>
          <t>TX-1987</t>
        </is>
      </c>
      <c r="C1993" s="63" t="n"/>
      <c r="D1993" s="62" t="n"/>
      <c r="E1993" s="62" t="n"/>
      <c r="F1993" s="62" t="n"/>
      <c r="G1993" s="62" t="n"/>
      <c r="H1993" s="62" t="n"/>
      <c r="I1993" s="62" t="n"/>
      <c r="J1993" s="62" t="n"/>
      <c r="K1993" s="62" t="n"/>
      <c r="L1993" s="64" t="n"/>
      <c r="M1993" s="64" t="n"/>
      <c r="N1993" s="62" t="n"/>
      <c r="O1993" s="65">
        <f>IF(Z1993=1,L1993-W1993,"")</f>
        <v/>
      </c>
      <c r="P1993" s="66">
        <f>IF(V1993="","",IFERROR(INDEX(coa_Type,MATCH(V1993,coa_Name,0)),""))</f>
        <v/>
      </c>
      <c r="Q1993" s="66">
        <f>IF(Z1993=1,IF(U1993="In",K1993&amp;"",V1993),"")</f>
        <v/>
      </c>
      <c r="R1993" s="66">
        <f>IF(Z1993=1,IF(U1993="In",V1993,K1993&amp;""),"")</f>
        <v/>
      </c>
      <c r="S1993" s="66">
        <f>IF(X1993&lt;&gt;"","⛔ "&amp;X1993&amp;" — not posted",IF(Y1993&lt;&gt;"","⚠ "&amp;Y1993,IF(Z1993=1,"✓ OK","")))</f>
        <v/>
      </c>
      <c r="T1993" s="67">
        <f>IF(AND(C1993="",D1993="",E1993="",L1993="",K1993=""),1,0)</f>
        <v/>
      </c>
      <c r="U1993" s="67">
        <f>IFERROR(INDEX(tt_Dir,MATCH(D1993,tt_Type,0)),"")</f>
        <v/>
      </c>
      <c r="V1993" s="67">
        <f>IF(D1993="","",IFERROR(IF(INDEX(tt_Other,MATCH(D1993,tt_Type,0))="",E1993&amp;"",INDEX(tt_Other,MATCH(D1993,tt_Type,0))),""))</f>
        <v/>
      </c>
      <c r="W1993" s="68">
        <f>IF(OR(TaxOn&lt;&gt;"Yes",NOT(ISNUMBER(M1993))),0,IF(IFERROR(INDEX(tt_Tax,MATCH(D1993,tt_Type,0)),"No")="Yes",M1993,0))</f>
        <v/>
      </c>
      <c r="X1993" s="67">
        <f>IF(T1993=1,"",IF(C1993="","Missing transaction date",IF(NOT(ISNUMBER(C1993)),"Invalid date",IF(OR(C1993&lt;DATE(2000,1,1),C1993&gt;DATE(2099,12,31)),"Invalid date",IF(D1993="","Select a type",IF(U1993="","Unknown type: "&amp;D1993,IF(V1993="","Select an account (Category)",IF(ISNA(MATCH(V1993,coa_Name,0)),"Unknown account: "&amp;V1993,IF(K1993="","Select Paid From / Deposited To",IF(ISNA(MATCH(K1993,coa_Name,0)),"Unknown account: "&amp;K1993,IF(NOT(ISNUMBER(L1993)),"Enter an amount",IF(L1993=0,"Enter an amount",IF(ABS(W1993)&gt;ABS(L1993),"Tax is larger than the amount","")))))))))))))</f>
        <v/>
      </c>
      <c r="Y1993" s="67">
        <f>IF(OR(T1993=1,X1993&lt;&gt;""),"",IF(AND(B1993&lt;&gt;"",COUNTIF(tx_ID,B1993)&gt;1),"Duplicate transaction ID",IF(AND(L1993&lt;0,D1993&lt;&gt;"Adjustment"),"Negative amount — check this entry",IF(AND(D1993="Customer Payment",G1993=""),"Add the customer",IF(AND(D1993="Customer Payment",OR(J1993="",COUNTIF(ar_No,J1993&amp;"")=0)),"Invoice # in Reference not found on AR sheet",IF(AND(D1993="Bill Payment",H1993=""),"Add the vendor",IF(AND(D1993="Bill Payment",OR(J1993="",COUNTIFS(ap_No,J1993&amp;"",ap_Party,H1993&amp;"")=0)),"Bill # + vendor not found on AP sheet",IF(AND(ISNUMBER(M1993),N(M1993)&lt;&gt;0,W1993=0),"Tax ignored (tax tracking off, or not allowed for this type)",IF(V1993=K1993&amp;"","Same account on both sides",IF(AND(ISNUMBER(StartDate),C1993&lt;StartDate),"Date is before the accounting start date",IF(AND(D1993&lt;&gt;"Adjustment",IFERROR(INDEX(coa_Pay,MATCH(K1993&amp;"",coa_Name,0)),"")&lt;&gt;"Yes"),"Paid From / Deposited To is not a payment account","")))))))))))</f>
        <v/>
      </c>
      <c r="Z1993" s="67">
        <f>IF(AND(T1993=0,X1993=""),1,0)</f>
        <v/>
      </c>
      <c r="AA1993" s="68">
        <f>IF(Z1993=1,IF(U1993="In",L1993,L1993-W1993),0)</f>
        <v/>
      </c>
      <c r="AB1993" s="68">
        <f>IF(Z1993=1,IF(U1993="In",L1993-W1993,L1993),0)</f>
        <v/>
      </c>
      <c r="AC1993" s="68">
        <f>IF(AND(Z1993=1,U1993="Out"),W1993,0)</f>
        <v/>
      </c>
      <c r="AD1993" s="68">
        <f>IF(AND(Z1993=1,U1993="In"),W1993,0)</f>
        <v/>
      </c>
    </row>
    <row r="1994">
      <c r="B1994" s="62" t="inlineStr">
        <is>
          <t>TX-1988</t>
        </is>
      </c>
      <c r="C1994" s="63" t="n"/>
      <c r="D1994" s="62" t="n"/>
      <c r="E1994" s="62" t="n"/>
      <c r="F1994" s="62" t="n"/>
      <c r="G1994" s="62" t="n"/>
      <c r="H1994" s="62" t="n"/>
      <c r="I1994" s="62" t="n"/>
      <c r="J1994" s="62" t="n"/>
      <c r="K1994" s="62" t="n"/>
      <c r="L1994" s="64" t="n"/>
      <c r="M1994" s="64" t="n"/>
      <c r="N1994" s="62" t="n"/>
      <c r="O1994" s="65">
        <f>IF(Z1994=1,L1994-W1994,"")</f>
        <v/>
      </c>
      <c r="P1994" s="66">
        <f>IF(V1994="","",IFERROR(INDEX(coa_Type,MATCH(V1994,coa_Name,0)),""))</f>
        <v/>
      </c>
      <c r="Q1994" s="66">
        <f>IF(Z1994=1,IF(U1994="In",K1994&amp;"",V1994),"")</f>
        <v/>
      </c>
      <c r="R1994" s="66">
        <f>IF(Z1994=1,IF(U1994="In",V1994,K1994&amp;""),"")</f>
        <v/>
      </c>
      <c r="S1994" s="66">
        <f>IF(X1994&lt;&gt;"","⛔ "&amp;X1994&amp;" — not posted",IF(Y1994&lt;&gt;"","⚠ "&amp;Y1994,IF(Z1994=1,"✓ OK","")))</f>
        <v/>
      </c>
      <c r="T1994" s="67">
        <f>IF(AND(C1994="",D1994="",E1994="",L1994="",K1994=""),1,0)</f>
        <v/>
      </c>
      <c r="U1994" s="67">
        <f>IFERROR(INDEX(tt_Dir,MATCH(D1994,tt_Type,0)),"")</f>
        <v/>
      </c>
      <c r="V1994" s="67">
        <f>IF(D1994="","",IFERROR(IF(INDEX(tt_Other,MATCH(D1994,tt_Type,0))="",E1994&amp;"",INDEX(tt_Other,MATCH(D1994,tt_Type,0))),""))</f>
        <v/>
      </c>
      <c r="W1994" s="68">
        <f>IF(OR(TaxOn&lt;&gt;"Yes",NOT(ISNUMBER(M1994))),0,IF(IFERROR(INDEX(tt_Tax,MATCH(D1994,tt_Type,0)),"No")="Yes",M1994,0))</f>
        <v/>
      </c>
      <c r="X1994" s="67">
        <f>IF(T1994=1,"",IF(C1994="","Missing transaction date",IF(NOT(ISNUMBER(C1994)),"Invalid date",IF(OR(C1994&lt;DATE(2000,1,1),C1994&gt;DATE(2099,12,31)),"Invalid date",IF(D1994="","Select a type",IF(U1994="","Unknown type: "&amp;D1994,IF(V1994="","Select an account (Category)",IF(ISNA(MATCH(V1994,coa_Name,0)),"Unknown account: "&amp;V1994,IF(K1994="","Select Paid From / Deposited To",IF(ISNA(MATCH(K1994,coa_Name,0)),"Unknown account: "&amp;K1994,IF(NOT(ISNUMBER(L1994)),"Enter an amount",IF(L1994=0,"Enter an amount",IF(ABS(W1994)&gt;ABS(L1994),"Tax is larger than the amount","")))))))))))))</f>
        <v/>
      </c>
      <c r="Y1994" s="67">
        <f>IF(OR(T1994=1,X1994&lt;&gt;""),"",IF(AND(B1994&lt;&gt;"",COUNTIF(tx_ID,B1994)&gt;1),"Duplicate transaction ID",IF(AND(L1994&lt;0,D1994&lt;&gt;"Adjustment"),"Negative amount — check this entry",IF(AND(D1994="Customer Payment",G1994=""),"Add the customer",IF(AND(D1994="Customer Payment",OR(J1994="",COUNTIF(ar_No,J1994&amp;"")=0)),"Invoice # in Reference not found on AR sheet",IF(AND(D1994="Bill Payment",H1994=""),"Add the vendor",IF(AND(D1994="Bill Payment",OR(J1994="",COUNTIFS(ap_No,J1994&amp;"",ap_Party,H1994&amp;"")=0)),"Bill # + vendor not found on AP sheet",IF(AND(ISNUMBER(M1994),N(M1994)&lt;&gt;0,W1994=0),"Tax ignored (tax tracking off, or not allowed for this type)",IF(V1994=K1994&amp;"","Same account on both sides",IF(AND(ISNUMBER(StartDate),C1994&lt;StartDate),"Date is before the accounting start date",IF(AND(D1994&lt;&gt;"Adjustment",IFERROR(INDEX(coa_Pay,MATCH(K1994&amp;"",coa_Name,0)),"")&lt;&gt;"Yes"),"Paid From / Deposited To is not a payment account","")))))))))))</f>
        <v/>
      </c>
      <c r="Z1994" s="67">
        <f>IF(AND(T1994=0,X1994=""),1,0)</f>
        <v/>
      </c>
      <c r="AA1994" s="68">
        <f>IF(Z1994=1,IF(U1994="In",L1994,L1994-W1994),0)</f>
        <v/>
      </c>
      <c r="AB1994" s="68">
        <f>IF(Z1994=1,IF(U1994="In",L1994-W1994,L1994),0)</f>
        <v/>
      </c>
      <c r="AC1994" s="68">
        <f>IF(AND(Z1994=1,U1994="Out"),W1994,0)</f>
        <v/>
      </c>
      <c r="AD1994" s="68">
        <f>IF(AND(Z1994=1,U1994="In"),W1994,0)</f>
        <v/>
      </c>
    </row>
    <row r="1995">
      <c r="B1995" s="62" t="inlineStr">
        <is>
          <t>TX-1989</t>
        </is>
      </c>
      <c r="C1995" s="63" t="n"/>
      <c r="D1995" s="62" t="n"/>
      <c r="E1995" s="62" t="n"/>
      <c r="F1995" s="62" t="n"/>
      <c r="G1995" s="62" t="n"/>
      <c r="H1995" s="62" t="n"/>
      <c r="I1995" s="62" t="n"/>
      <c r="J1995" s="62" t="n"/>
      <c r="K1995" s="62" t="n"/>
      <c r="L1995" s="64" t="n"/>
      <c r="M1995" s="64" t="n"/>
      <c r="N1995" s="62" t="n"/>
      <c r="O1995" s="65">
        <f>IF(Z1995=1,L1995-W1995,"")</f>
        <v/>
      </c>
      <c r="P1995" s="66">
        <f>IF(V1995="","",IFERROR(INDEX(coa_Type,MATCH(V1995,coa_Name,0)),""))</f>
        <v/>
      </c>
      <c r="Q1995" s="66">
        <f>IF(Z1995=1,IF(U1995="In",K1995&amp;"",V1995),"")</f>
        <v/>
      </c>
      <c r="R1995" s="66">
        <f>IF(Z1995=1,IF(U1995="In",V1995,K1995&amp;""),"")</f>
        <v/>
      </c>
      <c r="S1995" s="66">
        <f>IF(X1995&lt;&gt;"","⛔ "&amp;X1995&amp;" — not posted",IF(Y1995&lt;&gt;"","⚠ "&amp;Y1995,IF(Z1995=1,"✓ OK","")))</f>
        <v/>
      </c>
      <c r="T1995" s="67">
        <f>IF(AND(C1995="",D1995="",E1995="",L1995="",K1995=""),1,0)</f>
        <v/>
      </c>
      <c r="U1995" s="67">
        <f>IFERROR(INDEX(tt_Dir,MATCH(D1995,tt_Type,0)),"")</f>
        <v/>
      </c>
      <c r="V1995" s="67">
        <f>IF(D1995="","",IFERROR(IF(INDEX(tt_Other,MATCH(D1995,tt_Type,0))="",E1995&amp;"",INDEX(tt_Other,MATCH(D1995,tt_Type,0))),""))</f>
        <v/>
      </c>
      <c r="W1995" s="68">
        <f>IF(OR(TaxOn&lt;&gt;"Yes",NOT(ISNUMBER(M1995))),0,IF(IFERROR(INDEX(tt_Tax,MATCH(D1995,tt_Type,0)),"No")="Yes",M1995,0))</f>
        <v/>
      </c>
      <c r="X1995" s="67">
        <f>IF(T1995=1,"",IF(C1995="","Missing transaction date",IF(NOT(ISNUMBER(C1995)),"Invalid date",IF(OR(C1995&lt;DATE(2000,1,1),C1995&gt;DATE(2099,12,31)),"Invalid date",IF(D1995="","Select a type",IF(U1995="","Unknown type: "&amp;D1995,IF(V1995="","Select an account (Category)",IF(ISNA(MATCH(V1995,coa_Name,0)),"Unknown account: "&amp;V1995,IF(K1995="","Select Paid From / Deposited To",IF(ISNA(MATCH(K1995,coa_Name,0)),"Unknown account: "&amp;K1995,IF(NOT(ISNUMBER(L1995)),"Enter an amount",IF(L1995=0,"Enter an amount",IF(ABS(W1995)&gt;ABS(L1995),"Tax is larger than the amount","")))))))))))))</f>
        <v/>
      </c>
      <c r="Y1995" s="67">
        <f>IF(OR(T1995=1,X1995&lt;&gt;""),"",IF(AND(B1995&lt;&gt;"",COUNTIF(tx_ID,B1995)&gt;1),"Duplicate transaction ID",IF(AND(L1995&lt;0,D1995&lt;&gt;"Adjustment"),"Negative amount — check this entry",IF(AND(D1995="Customer Payment",G1995=""),"Add the customer",IF(AND(D1995="Customer Payment",OR(J1995="",COUNTIF(ar_No,J1995&amp;"")=0)),"Invoice # in Reference not found on AR sheet",IF(AND(D1995="Bill Payment",H1995=""),"Add the vendor",IF(AND(D1995="Bill Payment",OR(J1995="",COUNTIFS(ap_No,J1995&amp;"",ap_Party,H1995&amp;"")=0)),"Bill # + vendor not found on AP sheet",IF(AND(ISNUMBER(M1995),N(M1995)&lt;&gt;0,W1995=0),"Tax ignored (tax tracking off, or not allowed for this type)",IF(V1995=K1995&amp;"","Same account on both sides",IF(AND(ISNUMBER(StartDate),C1995&lt;StartDate),"Date is before the accounting start date",IF(AND(D1995&lt;&gt;"Adjustment",IFERROR(INDEX(coa_Pay,MATCH(K1995&amp;"",coa_Name,0)),"")&lt;&gt;"Yes"),"Paid From / Deposited To is not a payment account","")))))))))))</f>
        <v/>
      </c>
      <c r="Z1995" s="67">
        <f>IF(AND(T1995=0,X1995=""),1,0)</f>
        <v/>
      </c>
      <c r="AA1995" s="68">
        <f>IF(Z1995=1,IF(U1995="In",L1995,L1995-W1995),0)</f>
        <v/>
      </c>
      <c r="AB1995" s="68">
        <f>IF(Z1995=1,IF(U1995="In",L1995-W1995,L1995),0)</f>
        <v/>
      </c>
      <c r="AC1995" s="68">
        <f>IF(AND(Z1995=1,U1995="Out"),W1995,0)</f>
        <v/>
      </c>
      <c r="AD1995" s="68">
        <f>IF(AND(Z1995=1,U1995="In"),W1995,0)</f>
        <v/>
      </c>
    </row>
    <row r="1996">
      <c r="B1996" s="62" t="inlineStr">
        <is>
          <t>TX-1990</t>
        </is>
      </c>
      <c r="C1996" s="63" t="n"/>
      <c r="D1996" s="62" t="n"/>
      <c r="E1996" s="62" t="n"/>
      <c r="F1996" s="62" t="n"/>
      <c r="G1996" s="62" t="n"/>
      <c r="H1996" s="62" t="n"/>
      <c r="I1996" s="62" t="n"/>
      <c r="J1996" s="62" t="n"/>
      <c r="K1996" s="62" t="n"/>
      <c r="L1996" s="64" t="n"/>
      <c r="M1996" s="64" t="n"/>
      <c r="N1996" s="62" t="n"/>
      <c r="O1996" s="65">
        <f>IF(Z1996=1,L1996-W1996,"")</f>
        <v/>
      </c>
      <c r="P1996" s="66">
        <f>IF(V1996="","",IFERROR(INDEX(coa_Type,MATCH(V1996,coa_Name,0)),""))</f>
        <v/>
      </c>
      <c r="Q1996" s="66">
        <f>IF(Z1996=1,IF(U1996="In",K1996&amp;"",V1996),"")</f>
        <v/>
      </c>
      <c r="R1996" s="66">
        <f>IF(Z1996=1,IF(U1996="In",V1996,K1996&amp;""),"")</f>
        <v/>
      </c>
      <c r="S1996" s="66">
        <f>IF(X1996&lt;&gt;"","⛔ "&amp;X1996&amp;" — not posted",IF(Y1996&lt;&gt;"","⚠ "&amp;Y1996,IF(Z1996=1,"✓ OK","")))</f>
        <v/>
      </c>
      <c r="T1996" s="67">
        <f>IF(AND(C1996="",D1996="",E1996="",L1996="",K1996=""),1,0)</f>
        <v/>
      </c>
      <c r="U1996" s="67">
        <f>IFERROR(INDEX(tt_Dir,MATCH(D1996,tt_Type,0)),"")</f>
        <v/>
      </c>
      <c r="V1996" s="67">
        <f>IF(D1996="","",IFERROR(IF(INDEX(tt_Other,MATCH(D1996,tt_Type,0))="",E1996&amp;"",INDEX(tt_Other,MATCH(D1996,tt_Type,0))),""))</f>
        <v/>
      </c>
      <c r="W1996" s="68">
        <f>IF(OR(TaxOn&lt;&gt;"Yes",NOT(ISNUMBER(M1996))),0,IF(IFERROR(INDEX(tt_Tax,MATCH(D1996,tt_Type,0)),"No")="Yes",M1996,0))</f>
        <v/>
      </c>
      <c r="X1996" s="67">
        <f>IF(T1996=1,"",IF(C1996="","Missing transaction date",IF(NOT(ISNUMBER(C1996)),"Invalid date",IF(OR(C1996&lt;DATE(2000,1,1),C1996&gt;DATE(2099,12,31)),"Invalid date",IF(D1996="","Select a type",IF(U1996="","Unknown type: "&amp;D1996,IF(V1996="","Select an account (Category)",IF(ISNA(MATCH(V1996,coa_Name,0)),"Unknown account: "&amp;V1996,IF(K1996="","Select Paid From / Deposited To",IF(ISNA(MATCH(K1996,coa_Name,0)),"Unknown account: "&amp;K1996,IF(NOT(ISNUMBER(L1996)),"Enter an amount",IF(L1996=0,"Enter an amount",IF(ABS(W1996)&gt;ABS(L1996),"Tax is larger than the amount","")))))))))))))</f>
        <v/>
      </c>
      <c r="Y1996" s="67">
        <f>IF(OR(T1996=1,X1996&lt;&gt;""),"",IF(AND(B1996&lt;&gt;"",COUNTIF(tx_ID,B1996)&gt;1),"Duplicate transaction ID",IF(AND(L1996&lt;0,D1996&lt;&gt;"Adjustment"),"Negative amount — check this entry",IF(AND(D1996="Customer Payment",G1996=""),"Add the customer",IF(AND(D1996="Customer Payment",OR(J1996="",COUNTIF(ar_No,J1996&amp;"")=0)),"Invoice # in Reference not found on AR sheet",IF(AND(D1996="Bill Payment",H1996=""),"Add the vendor",IF(AND(D1996="Bill Payment",OR(J1996="",COUNTIFS(ap_No,J1996&amp;"",ap_Party,H1996&amp;"")=0)),"Bill # + vendor not found on AP sheet",IF(AND(ISNUMBER(M1996),N(M1996)&lt;&gt;0,W1996=0),"Tax ignored (tax tracking off, or not allowed for this type)",IF(V1996=K1996&amp;"","Same account on both sides",IF(AND(ISNUMBER(StartDate),C1996&lt;StartDate),"Date is before the accounting start date",IF(AND(D1996&lt;&gt;"Adjustment",IFERROR(INDEX(coa_Pay,MATCH(K1996&amp;"",coa_Name,0)),"")&lt;&gt;"Yes"),"Paid From / Deposited To is not a payment account","")))))))))))</f>
        <v/>
      </c>
      <c r="Z1996" s="67">
        <f>IF(AND(T1996=0,X1996=""),1,0)</f>
        <v/>
      </c>
      <c r="AA1996" s="68">
        <f>IF(Z1996=1,IF(U1996="In",L1996,L1996-W1996),0)</f>
        <v/>
      </c>
      <c r="AB1996" s="68">
        <f>IF(Z1996=1,IF(U1996="In",L1996-W1996,L1996),0)</f>
        <v/>
      </c>
      <c r="AC1996" s="68">
        <f>IF(AND(Z1996=1,U1996="Out"),W1996,0)</f>
        <v/>
      </c>
      <c r="AD1996" s="68">
        <f>IF(AND(Z1996=1,U1996="In"),W1996,0)</f>
        <v/>
      </c>
    </row>
    <row r="1997">
      <c r="B1997" s="62" t="inlineStr">
        <is>
          <t>TX-1991</t>
        </is>
      </c>
      <c r="C1997" s="63" t="n"/>
      <c r="D1997" s="62" t="n"/>
      <c r="E1997" s="62" t="n"/>
      <c r="F1997" s="62" t="n"/>
      <c r="G1997" s="62" t="n"/>
      <c r="H1997" s="62" t="n"/>
      <c r="I1997" s="62" t="n"/>
      <c r="J1997" s="62" t="n"/>
      <c r="K1997" s="62" t="n"/>
      <c r="L1997" s="64" t="n"/>
      <c r="M1997" s="64" t="n"/>
      <c r="N1997" s="62" t="n"/>
      <c r="O1997" s="65">
        <f>IF(Z1997=1,L1997-W1997,"")</f>
        <v/>
      </c>
      <c r="P1997" s="66">
        <f>IF(V1997="","",IFERROR(INDEX(coa_Type,MATCH(V1997,coa_Name,0)),""))</f>
        <v/>
      </c>
      <c r="Q1997" s="66">
        <f>IF(Z1997=1,IF(U1997="In",K1997&amp;"",V1997),"")</f>
        <v/>
      </c>
      <c r="R1997" s="66">
        <f>IF(Z1997=1,IF(U1997="In",V1997,K1997&amp;""),"")</f>
        <v/>
      </c>
      <c r="S1997" s="66">
        <f>IF(X1997&lt;&gt;"","⛔ "&amp;X1997&amp;" — not posted",IF(Y1997&lt;&gt;"","⚠ "&amp;Y1997,IF(Z1997=1,"✓ OK","")))</f>
        <v/>
      </c>
      <c r="T1997" s="67">
        <f>IF(AND(C1997="",D1997="",E1997="",L1997="",K1997=""),1,0)</f>
        <v/>
      </c>
      <c r="U1997" s="67">
        <f>IFERROR(INDEX(tt_Dir,MATCH(D1997,tt_Type,0)),"")</f>
        <v/>
      </c>
      <c r="V1997" s="67">
        <f>IF(D1997="","",IFERROR(IF(INDEX(tt_Other,MATCH(D1997,tt_Type,0))="",E1997&amp;"",INDEX(tt_Other,MATCH(D1997,tt_Type,0))),""))</f>
        <v/>
      </c>
      <c r="W1997" s="68">
        <f>IF(OR(TaxOn&lt;&gt;"Yes",NOT(ISNUMBER(M1997))),0,IF(IFERROR(INDEX(tt_Tax,MATCH(D1997,tt_Type,0)),"No")="Yes",M1997,0))</f>
        <v/>
      </c>
      <c r="X1997" s="67">
        <f>IF(T1997=1,"",IF(C1997="","Missing transaction date",IF(NOT(ISNUMBER(C1997)),"Invalid date",IF(OR(C1997&lt;DATE(2000,1,1),C1997&gt;DATE(2099,12,31)),"Invalid date",IF(D1997="","Select a type",IF(U1997="","Unknown type: "&amp;D1997,IF(V1997="","Select an account (Category)",IF(ISNA(MATCH(V1997,coa_Name,0)),"Unknown account: "&amp;V1997,IF(K1997="","Select Paid From / Deposited To",IF(ISNA(MATCH(K1997,coa_Name,0)),"Unknown account: "&amp;K1997,IF(NOT(ISNUMBER(L1997)),"Enter an amount",IF(L1997=0,"Enter an amount",IF(ABS(W1997)&gt;ABS(L1997),"Tax is larger than the amount","")))))))))))))</f>
        <v/>
      </c>
      <c r="Y1997" s="67">
        <f>IF(OR(T1997=1,X1997&lt;&gt;""),"",IF(AND(B1997&lt;&gt;"",COUNTIF(tx_ID,B1997)&gt;1),"Duplicate transaction ID",IF(AND(L1997&lt;0,D1997&lt;&gt;"Adjustment"),"Negative amount — check this entry",IF(AND(D1997="Customer Payment",G1997=""),"Add the customer",IF(AND(D1997="Customer Payment",OR(J1997="",COUNTIF(ar_No,J1997&amp;"")=0)),"Invoice # in Reference not found on AR sheet",IF(AND(D1997="Bill Payment",H1997=""),"Add the vendor",IF(AND(D1997="Bill Payment",OR(J1997="",COUNTIFS(ap_No,J1997&amp;"",ap_Party,H1997&amp;"")=0)),"Bill # + vendor not found on AP sheet",IF(AND(ISNUMBER(M1997),N(M1997)&lt;&gt;0,W1997=0),"Tax ignored (tax tracking off, or not allowed for this type)",IF(V1997=K1997&amp;"","Same account on both sides",IF(AND(ISNUMBER(StartDate),C1997&lt;StartDate),"Date is before the accounting start date",IF(AND(D1997&lt;&gt;"Adjustment",IFERROR(INDEX(coa_Pay,MATCH(K1997&amp;"",coa_Name,0)),"")&lt;&gt;"Yes"),"Paid From / Deposited To is not a payment account","")))))))))))</f>
        <v/>
      </c>
      <c r="Z1997" s="67">
        <f>IF(AND(T1997=0,X1997=""),1,0)</f>
        <v/>
      </c>
      <c r="AA1997" s="68">
        <f>IF(Z1997=1,IF(U1997="In",L1997,L1997-W1997),0)</f>
        <v/>
      </c>
      <c r="AB1997" s="68">
        <f>IF(Z1997=1,IF(U1997="In",L1997-W1997,L1997),0)</f>
        <v/>
      </c>
      <c r="AC1997" s="68">
        <f>IF(AND(Z1997=1,U1997="Out"),W1997,0)</f>
        <v/>
      </c>
      <c r="AD1997" s="68">
        <f>IF(AND(Z1997=1,U1997="In"),W1997,0)</f>
        <v/>
      </c>
    </row>
    <row r="1998">
      <c r="B1998" s="62" t="inlineStr">
        <is>
          <t>TX-1992</t>
        </is>
      </c>
      <c r="C1998" s="63" t="n"/>
      <c r="D1998" s="62" t="n"/>
      <c r="E1998" s="62" t="n"/>
      <c r="F1998" s="62" t="n"/>
      <c r="G1998" s="62" t="n"/>
      <c r="H1998" s="62" t="n"/>
      <c r="I1998" s="62" t="n"/>
      <c r="J1998" s="62" t="n"/>
      <c r="K1998" s="62" t="n"/>
      <c r="L1998" s="64" t="n"/>
      <c r="M1998" s="64" t="n"/>
      <c r="N1998" s="62" t="n"/>
      <c r="O1998" s="65">
        <f>IF(Z1998=1,L1998-W1998,"")</f>
        <v/>
      </c>
      <c r="P1998" s="66">
        <f>IF(V1998="","",IFERROR(INDEX(coa_Type,MATCH(V1998,coa_Name,0)),""))</f>
        <v/>
      </c>
      <c r="Q1998" s="66">
        <f>IF(Z1998=1,IF(U1998="In",K1998&amp;"",V1998),"")</f>
        <v/>
      </c>
      <c r="R1998" s="66">
        <f>IF(Z1998=1,IF(U1998="In",V1998,K1998&amp;""),"")</f>
        <v/>
      </c>
      <c r="S1998" s="66">
        <f>IF(X1998&lt;&gt;"","⛔ "&amp;X1998&amp;" — not posted",IF(Y1998&lt;&gt;"","⚠ "&amp;Y1998,IF(Z1998=1,"✓ OK","")))</f>
        <v/>
      </c>
      <c r="T1998" s="67">
        <f>IF(AND(C1998="",D1998="",E1998="",L1998="",K1998=""),1,0)</f>
        <v/>
      </c>
      <c r="U1998" s="67">
        <f>IFERROR(INDEX(tt_Dir,MATCH(D1998,tt_Type,0)),"")</f>
        <v/>
      </c>
      <c r="V1998" s="67">
        <f>IF(D1998="","",IFERROR(IF(INDEX(tt_Other,MATCH(D1998,tt_Type,0))="",E1998&amp;"",INDEX(tt_Other,MATCH(D1998,tt_Type,0))),""))</f>
        <v/>
      </c>
      <c r="W1998" s="68">
        <f>IF(OR(TaxOn&lt;&gt;"Yes",NOT(ISNUMBER(M1998))),0,IF(IFERROR(INDEX(tt_Tax,MATCH(D1998,tt_Type,0)),"No")="Yes",M1998,0))</f>
        <v/>
      </c>
      <c r="X1998" s="67">
        <f>IF(T1998=1,"",IF(C1998="","Missing transaction date",IF(NOT(ISNUMBER(C1998)),"Invalid date",IF(OR(C1998&lt;DATE(2000,1,1),C1998&gt;DATE(2099,12,31)),"Invalid date",IF(D1998="","Select a type",IF(U1998="","Unknown type: "&amp;D1998,IF(V1998="","Select an account (Category)",IF(ISNA(MATCH(V1998,coa_Name,0)),"Unknown account: "&amp;V1998,IF(K1998="","Select Paid From / Deposited To",IF(ISNA(MATCH(K1998,coa_Name,0)),"Unknown account: "&amp;K1998,IF(NOT(ISNUMBER(L1998)),"Enter an amount",IF(L1998=0,"Enter an amount",IF(ABS(W1998)&gt;ABS(L1998),"Tax is larger than the amount","")))))))))))))</f>
        <v/>
      </c>
      <c r="Y1998" s="67">
        <f>IF(OR(T1998=1,X1998&lt;&gt;""),"",IF(AND(B1998&lt;&gt;"",COUNTIF(tx_ID,B1998)&gt;1),"Duplicate transaction ID",IF(AND(L1998&lt;0,D1998&lt;&gt;"Adjustment"),"Negative amount — check this entry",IF(AND(D1998="Customer Payment",G1998=""),"Add the customer",IF(AND(D1998="Customer Payment",OR(J1998="",COUNTIF(ar_No,J1998&amp;"")=0)),"Invoice # in Reference not found on AR sheet",IF(AND(D1998="Bill Payment",H1998=""),"Add the vendor",IF(AND(D1998="Bill Payment",OR(J1998="",COUNTIFS(ap_No,J1998&amp;"",ap_Party,H1998&amp;"")=0)),"Bill # + vendor not found on AP sheet",IF(AND(ISNUMBER(M1998),N(M1998)&lt;&gt;0,W1998=0),"Tax ignored (tax tracking off, or not allowed for this type)",IF(V1998=K1998&amp;"","Same account on both sides",IF(AND(ISNUMBER(StartDate),C1998&lt;StartDate),"Date is before the accounting start date",IF(AND(D1998&lt;&gt;"Adjustment",IFERROR(INDEX(coa_Pay,MATCH(K1998&amp;"",coa_Name,0)),"")&lt;&gt;"Yes"),"Paid From / Deposited To is not a payment account","")))))))))))</f>
        <v/>
      </c>
      <c r="Z1998" s="67">
        <f>IF(AND(T1998=0,X1998=""),1,0)</f>
        <v/>
      </c>
      <c r="AA1998" s="68">
        <f>IF(Z1998=1,IF(U1998="In",L1998,L1998-W1998),0)</f>
        <v/>
      </c>
      <c r="AB1998" s="68">
        <f>IF(Z1998=1,IF(U1998="In",L1998-W1998,L1998),0)</f>
        <v/>
      </c>
      <c r="AC1998" s="68">
        <f>IF(AND(Z1998=1,U1998="Out"),W1998,0)</f>
        <v/>
      </c>
      <c r="AD1998" s="68">
        <f>IF(AND(Z1998=1,U1998="In"),W1998,0)</f>
        <v/>
      </c>
    </row>
    <row r="1999">
      <c r="B1999" s="62" t="inlineStr">
        <is>
          <t>TX-1993</t>
        </is>
      </c>
      <c r="C1999" s="63" t="n"/>
      <c r="D1999" s="62" t="n"/>
      <c r="E1999" s="62" t="n"/>
      <c r="F1999" s="62" t="n"/>
      <c r="G1999" s="62" t="n"/>
      <c r="H1999" s="62" t="n"/>
      <c r="I1999" s="62" t="n"/>
      <c r="J1999" s="62" t="n"/>
      <c r="K1999" s="62" t="n"/>
      <c r="L1999" s="64" t="n"/>
      <c r="M1999" s="64" t="n"/>
      <c r="N1999" s="62" t="n"/>
      <c r="O1999" s="65">
        <f>IF(Z1999=1,L1999-W1999,"")</f>
        <v/>
      </c>
      <c r="P1999" s="66">
        <f>IF(V1999="","",IFERROR(INDEX(coa_Type,MATCH(V1999,coa_Name,0)),""))</f>
        <v/>
      </c>
      <c r="Q1999" s="66">
        <f>IF(Z1999=1,IF(U1999="In",K1999&amp;"",V1999),"")</f>
        <v/>
      </c>
      <c r="R1999" s="66">
        <f>IF(Z1999=1,IF(U1999="In",V1999,K1999&amp;""),"")</f>
        <v/>
      </c>
      <c r="S1999" s="66">
        <f>IF(X1999&lt;&gt;"","⛔ "&amp;X1999&amp;" — not posted",IF(Y1999&lt;&gt;"","⚠ "&amp;Y1999,IF(Z1999=1,"✓ OK","")))</f>
        <v/>
      </c>
      <c r="T1999" s="67">
        <f>IF(AND(C1999="",D1999="",E1999="",L1999="",K1999=""),1,0)</f>
        <v/>
      </c>
      <c r="U1999" s="67">
        <f>IFERROR(INDEX(tt_Dir,MATCH(D1999,tt_Type,0)),"")</f>
        <v/>
      </c>
      <c r="V1999" s="67">
        <f>IF(D1999="","",IFERROR(IF(INDEX(tt_Other,MATCH(D1999,tt_Type,0))="",E1999&amp;"",INDEX(tt_Other,MATCH(D1999,tt_Type,0))),""))</f>
        <v/>
      </c>
      <c r="W1999" s="68">
        <f>IF(OR(TaxOn&lt;&gt;"Yes",NOT(ISNUMBER(M1999))),0,IF(IFERROR(INDEX(tt_Tax,MATCH(D1999,tt_Type,0)),"No")="Yes",M1999,0))</f>
        <v/>
      </c>
      <c r="X1999" s="67">
        <f>IF(T1999=1,"",IF(C1999="","Missing transaction date",IF(NOT(ISNUMBER(C1999)),"Invalid date",IF(OR(C1999&lt;DATE(2000,1,1),C1999&gt;DATE(2099,12,31)),"Invalid date",IF(D1999="","Select a type",IF(U1999="","Unknown type: "&amp;D1999,IF(V1999="","Select an account (Category)",IF(ISNA(MATCH(V1999,coa_Name,0)),"Unknown account: "&amp;V1999,IF(K1999="","Select Paid From / Deposited To",IF(ISNA(MATCH(K1999,coa_Name,0)),"Unknown account: "&amp;K1999,IF(NOT(ISNUMBER(L1999)),"Enter an amount",IF(L1999=0,"Enter an amount",IF(ABS(W1999)&gt;ABS(L1999),"Tax is larger than the amount","")))))))))))))</f>
        <v/>
      </c>
      <c r="Y1999" s="67">
        <f>IF(OR(T1999=1,X1999&lt;&gt;""),"",IF(AND(B1999&lt;&gt;"",COUNTIF(tx_ID,B1999)&gt;1),"Duplicate transaction ID",IF(AND(L1999&lt;0,D1999&lt;&gt;"Adjustment"),"Negative amount — check this entry",IF(AND(D1999="Customer Payment",G1999=""),"Add the customer",IF(AND(D1999="Customer Payment",OR(J1999="",COUNTIF(ar_No,J1999&amp;"")=0)),"Invoice # in Reference not found on AR sheet",IF(AND(D1999="Bill Payment",H1999=""),"Add the vendor",IF(AND(D1999="Bill Payment",OR(J1999="",COUNTIFS(ap_No,J1999&amp;"",ap_Party,H1999&amp;"")=0)),"Bill # + vendor not found on AP sheet",IF(AND(ISNUMBER(M1999),N(M1999)&lt;&gt;0,W1999=0),"Tax ignored (tax tracking off, or not allowed for this type)",IF(V1999=K1999&amp;"","Same account on both sides",IF(AND(ISNUMBER(StartDate),C1999&lt;StartDate),"Date is before the accounting start date",IF(AND(D1999&lt;&gt;"Adjustment",IFERROR(INDEX(coa_Pay,MATCH(K1999&amp;"",coa_Name,0)),"")&lt;&gt;"Yes"),"Paid From / Deposited To is not a payment account","")))))))))))</f>
        <v/>
      </c>
      <c r="Z1999" s="67">
        <f>IF(AND(T1999=0,X1999=""),1,0)</f>
        <v/>
      </c>
      <c r="AA1999" s="68">
        <f>IF(Z1999=1,IF(U1999="In",L1999,L1999-W1999),0)</f>
        <v/>
      </c>
      <c r="AB1999" s="68">
        <f>IF(Z1999=1,IF(U1999="In",L1999-W1999,L1999),0)</f>
        <v/>
      </c>
      <c r="AC1999" s="68">
        <f>IF(AND(Z1999=1,U1999="Out"),W1999,0)</f>
        <v/>
      </c>
      <c r="AD1999" s="68">
        <f>IF(AND(Z1999=1,U1999="In"),W1999,0)</f>
        <v/>
      </c>
    </row>
    <row r="2000">
      <c r="B2000" s="62" t="inlineStr">
        <is>
          <t>TX-1994</t>
        </is>
      </c>
      <c r="C2000" s="63" t="n"/>
      <c r="D2000" s="62" t="n"/>
      <c r="E2000" s="62" t="n"/>
      <c r="F2000" s="62" t="n"/>
      <c r="G2000" s="62" t="n"/>
      <c r="H2000" s="62" t="n"/>
      <c r="I2000" s="62" t="n"/>
      <c r="J2000" s="62" t="n"/>
      <c r="K2000" s="62" t="n"/>
      <c r="L2000" s="64" t="n"/>
      <c r="M2000" s="64" t="n"/>
      <c r="N2000" s="62" t="n"/>
      <c r="O2000" s="65">
        <f>IF(Z2000=1,L2000-W2000,"")</f>
        <v/>
      </c>
      <c r="P2000" s="66">
        <f>IF(V2000="","",IFERROR(INDEX(coa_Type,MATCH(V2000,coa_Name,0)),""))</f>
        <v/>
      </c>
      <c r="Q2000" s="66">
        <f>IF(Z2000=1,IF(U2000="In",K2000&amp;"",V2000),"")</f>
        <v/>
      </c>
      <c r="R2000" s="66">
        <f>IF(Z2000=1,IF(U2000="In",V2000,K2000&amp;""),"")</f>
        <v/>
      </c>
      <c r="S2000" s="66">
        <f>IF(X2000&lt;&gt;"","⛔ "&amp;X2000&amp;" — not posted",IF(Y2000&lt;&gt;"","⚠ "&amp;Y2000,IF(Z2000=1,"✓ OK","")))</f>
        <v/>
      </c>
      <c r="T2000" s="67">
        <f>IF(AND(C2000="",D2000="",E2000="",L2000="",K2000=""),1,0)</f>
        <v/>
      </c>
      <c r="U2000" s="67">
        <f>IFERROR(INDEX(tt_Dir,MATCH(D2000,tt_Type,0)),"")</f>
        <v/>
      </c>
      <c r="V2000" s="67">
        <f>IF(D2000="","",IFERROR(IF(INDEX(tt_Other,MATCH(D2000,tt_Type,0))="",E2000&amp;"",INDEX(tt_Other,MATCH(D2000,tt_Type,0))),""))</f>
        <v/>
      </c>
      <c r="W2000" s="68">
        <f>IF(OR(TaxOn&lt;&gt;"Yes",NOT(ISNUMBER(M2000))),0,IF(IFERROR(INDEX(tt_Tax,MATCH(D2000,tt_Type,0)),"No")="Yes",M2000,0))</f>
        <v/>
      </c>
      <c r="X2000" s="67">
        <f>IF(T2000=1,"",IF(C2000="","Missing transaction date",IF(NOT(ISNUMBER(C2000)),"Invalid date",IF(OR(C2000&lt;DATE(2000,1,1),C2000&gt;DATE(2099,12,31)),"Invalid date",IF(D2000="","Select a type",IF(U2000="","Unknown type: "&amp;D2000,IF(V2000="","Select an account (Category)",IF(ISNA(MATCH(V2000,coa_Name,0)),"Unknown account: "&amp;V2000,IF(K2000="","Select Paid From / Deposited To",IF(ISNA(MATCH(K2000,coa_Name,0)),"Unknown account: "&amp;K2000,IF(NOT(ISNUMBER(L2000)),"Enter an amount",IF(L2000=0,"Enter an amount",IF(ABS(W2000)&gt;ABS(L2000),"Tax is larger than the amount","")))))))))))))</f>
        <v/>
      </c>
      <c r="Y2000" s="67">
        <f>IF(OR(T2000=1,X2000&lt;&gt;""),"",IF(AND(B2000&lt;&gt;"",COUNTIF(tx_ID,B2000)&gt;1),"Duplicate transaction ID",IF(AND(L2000&lt;0,D2000&lt;&gt;"Adjustment"),"Negative amount — check this entry",IF(AND(D2000="Customer Payment",G2000=""),"Add the customer",IF(AND(D2000="Customer Payment",OR(J2000="",COUNTIF(ar_No,J2000&amp;"")=0)),"Invoice # in Reference not found on AR sheet",IF(AND(D2000="Bill Payment",H2000=""),"Add the vendor",IF(AND(D2000="Bill Payment",OR(J2000="",COUNTIFS(ap_No,J2000&amp;"",ap_Party,H2000&amp;"")=0)),"Bill # + vendor not found on AP sheet",IF(AND(ISNUMBER(M2000),N(M2000)&lt;&gt;0,W2000=0),"Tax ignored (tax tracking off, or not allowed for this type)",IF(V2000=K2000&amp;"","Same account on both sides",IF(AND(ISNUMBER(StartDate),C2000&lt;StartDate),"Date is before the accounting start date",IF(AND(D2000&lt;&gt;"Adjustment",IFERROR(INDEX(coa_Pay,MATCH(K2000&amp;"",coa_Name,0)),"")&lt;&gt;"Yes"),"Paid From / Deposited To is not a payment account","")))))))))))</f>
        <v/>
      </c>
      <c r="Z2000" s="67">
        <f>IF(AND(T2000=0,X2000=""),1,0)</f>
        <v/>
      </c>
      <c r="AA2000" s="68">
        <f>IF(Z2000=1,IF(U2000="In",L2000,L2000-W2000),0)</f>
        <v/>
      </c>
      <c r="AB2000" s="68">
        <f>IF(Z2000=1,IF(U2000="In",L2000-W2000,L2000),0)</f>
        <v/>
      </c>
      <c r="AC2000" s="68">
        <f>IF(AND(Z2000=1,U2000="Out"),W2000,0)</f>
        <v/>
      </c>
      <c r="AD2000" s="68">
        <f>IF(AND(Z2000=1,U2000="In"),W2000,0)</f>
        <v/>
      </c>
    </row>
    <row r="2001">
      <c r="B2001" s="62" t="inlineStr">
        <is>
          <t>TX-1995</t>
        </is>
      </c>
      <c r="C2001" s="63" t="n"/>
      <c r="D2001" s="62" t="n"/>
      <c r="E2001" s="62" t="n"/>
      <c r="F2001" s="62" t="n"/>
      <c r="G2001" s="62" t="n"/>
      <c r="H2001" s="62" t="n"/>
      <c r="I2001" s="62" t="n"/>
      <c r="J2001" s="62" t="n"/>
      <c r="K2001" s="62" t="n"/>
      <c r="L2001" s="64" t="n"/>
      <c r="M2001" s="64" t="n"/>
      <c r="N2001" s="62" t="n"/>
      <c r="O2001" s="65">
        <f>IF(Z2001=1,L2001-W2001,"")</f>
        <v/>
      </c>
      <c r="P2001" s="66">
        <f>IF(V2001="","",IFERROR(INDEX(coa_Type,MATCH(V2001,coa_Name,0)),""))</f>
        <v/>
      </c>
      <c r="Q2001" s="66">
        <f>IF(Z2001=1,IF(U2001="In",K2001&amp;"",V2001),"")</f>
        <v/>
      </c>
      <c r="R2001" s="66">
        <f>IF(Z2001=1,IF(U2001="In",V2001,K2001&amp;""),"")</f>
        <v/>
      </c>
      <c r="S2001" s="66">
        <f>IF(X2001&lt;&gt;"","⛔ "&amp;X2001&amp;" — not posted",IF(Y2001&lt;&gt;"","⚠ "&amp;Y2001,IF(Z2001=1,"✓ OK","")))</f>
        <v/>
      </c>
      <c r="T2001" s="67">
        <f>IF(AND(C2001="",D2001="",E2001="",L2001="",K2001=""),1,0)</f>
        <v/>
      </c>
      <c r="U2001" s="67">
        <f>IFERROR(INDEX(tt_Dir,MATCH(D2001,tt_Type,0)),"")</f>
        <v/>
      </c>
      <c r="V2001" s="67">
        <f>IF(D2001="","",IFERROR(IF(INDEX(tt_Other,MATCH(D2001,tt_Type,0))="",E2001&amp;"",INDEX(tt_Other,MATCH(D2001,tt_Type,0))),""))</f>
        <v/>
      </c>
      <c r="W2001" s="68">
        <f>IF(OR(TaxOn&lt;&gt;"Yes",NOT(ISNUMBER(M2001))),0,IF(IFERROR(INDEX(tt_Tax,MATCH(D2001,tt_Type,0)),"No")="Yes",M2001,0))</f>
        <v/>
      </c>
      <c r="X2001" s="67">
        <f>IF(T2001=1,"",IF(C2001="","Missing transaction date",IF(NOT(ISNUMBER(C2001)),"Invalid date",IF(OR(C2001&lt;DATE(2000,1,1),C2001&gt;DATE(2099,12,31)),"Invalid date",IF(D2001="","Select a type",IF(U2001="","Unknown type: "&amp;D2001,IF(V2001="","Select an account (Category)",IF(ISNA(MATCH(V2001,coa_Name,0)),"Unknown account: "&amp;V2001,IF(K2001="","Select Paid From / Deposited To",IF(ISNA(MATCH(K2001,coa_Name,0)),"Unknown account: "&amp;K2001,IF(NOT(ISNUMBER(L2001)),"Enter an amount",IF(L2001=0,"Enter an amount",IF(ABS(W2001)&gt;ABS(L2001),"Tax is larger than the amount","")))))))))))))</f>
        <v/>
      </c>
      <c r="Y2001" s="67">
        <f>IF(OR(T2001=1,X2001&lt;&gt;""),"",IF(AND(B2001&lt;&gt;"",COUNTIF(tx_ID,B2001)&gt;1),"Duplicate transaction ID",IF(AND(L2001&lt;0,D2001&lt;&gt;"Adjustment"),"Negative amount — check this entry",IF(AND(D2001="Customer Payment",G2001=""),"Add the customer",IF(AND(D2001="Customer Payment",OR(J2001="",COUNTIF(ar_No,J2001&amp;"")=0)),"Invoice # in Reference not found on AR sheet",IF(AND(D2001="Bill Payment",H2001=""),"Add the vendor",IF(AND(D2001="Bill Payment",OR(J2001="",COUNTIFS(ap_No,J2001&amp;"",ap_Party,H2001&amp;"")=0)),"Bill # + vendor not found on AP sheet",IF(AND(ISNUMBER(M2001),N(M2001)&lt;&gt;0,W2001=0),"Tax ignored (tax tracking off, or not allowed for this type)",IF(V2001=K2001&amp;"","Same account on both sides",IF(AND(ISNUMBER(StartDate),C2001&lt;StartDate),"Date is before the accounting start date",IF(AND(D2001&lt;&gt;"Adjustment",IFERROR(INDEX(coa_Pay,MATCH(K2001&amp;"",coa_Name,0)),"")&lt;&gt;"Yes"),"Paid From / Deposited To is not a payment account","")))))))))))</f>
        <v/>
      </c>
      <c r="Z2001" s="67">
        <f>IF(AND(T2001=0,X2001=""),1,0)</f>
        <v/>
      </c>
      <c r="AA2001" s="68">
        <f>IF(Z2001=1,IF(U2001="In",L2001,L2001-W2001),0)</f>
        <v/>
      </c>
      <c r="AB2001" s="68">
        <f>IF(Z2001=1,IF(U2001="In",L2001-W2001,L2001),0)</f>
        <v/>
      </c>
      <c r="AC2001" s="68">
        <f>IF(AND(Z2001=1,U2001="Out"),W2001,0)</f>
        <v/>
      </c>
      <c r="AD2001" s="68">
        <f>IF(AND(Z2001=1,U2001="In"),W2001,0)</f>
        <v/>
      </c>
    </row>
    <row r="2002">
      <c r="B2002" s="62" t="inlineStr">
        <is>
          <t>TX-1996</t>
        </is>
      </c>
      <c r="C2002" s="63" t="n"/>
      <c r="D2002" s="62" t="n"/>
      <c r="E2002" s="62" t="n"/>
      <c r="F2002" s="62" t="n"/>
      <c r="G2002" s="62" t="n"/>
      <c r="H2002" s="62" t="n"/>
      <c r="I2002" s="62" t="n"/>
      <c r="J2002" s="62" t="n"/>
      <c r="K2002" s="62" t="n"/>
      <c r="L2002" s="64" t="n"/>
      <c r="M2002" s="64" t="n"/>
      <c r="N2002" s="62" t="n"/>
      <c r="O2002" s="65">
        <f>IF(Z2002=1,L2002-W2002,"")</f>
        <v/>
      </c>
      <c r="P2002" s="66">
        <f>IF(V2002="","",IFERROR(INDEX(coa_Type,MATCH(V2002,coa_Name,0)),""))</f>
        <v/>
      </c>
      <c r="Q2002" s="66">
        <f>IF(Z2002=1,IF(U2002="In",K2002&amp;"",V2002),"")</f>
        <v/>
      </c>
      <c r="R2002" s="66">
        <f>IF(Z2002=1,IF(U2002="In",V2002,K2002&amp;""),"")</f>
        <v/>
      </c>
      <c r="S2002" s="66">
        <f>IF(X2002&lt;&gt;"","⛔ "&amp;X2002&amp;" — not posted",IF(Y2002&lt;&gt;"","⚠ "&amp;Y2002,IF(Z2002=1,"✓ OK","")))</f>
        <v/>
      </c>
      <c r="T2002" s="67">
        <f>IF(AND(C2002="",D2002="",E2002="",L2002="",K2002=""),1,0)</f>
        <v/>
      </c>
      <c r="U2002" s="67">
        <f>IFERROR(INDEX(tt_Dir,MATCH(D2002,tt_Type,0)),"")</f>
        <v/>
      </c>
      <c r="V2002" s="67">
        <f>IF(D2002="","",IFERROR(IF(INDEX(tt_Other,MATCH(D2002,tt_Type,0))="",E2002&amp;"",INDEX(tt_Other,MATCH(D2002,tt_Type,0))),""))</f>
        <v/>
      </c>
      <c r="W2002" s="68">
        <f>IF(OR(TaxOn&lt;&gt;"Yes",NOT(ISNUMBER(M2002))),0,IF(IFERROR(INDEX(tt_Tax,MATCH(D2002,tt_Type,0)),"No")="Yes",M2002,0))</f>
        <v/>
      </c>
      <c r="X2002" s="67">
        <f>IF(T2002=1,"",IF(C2002="","Missing transaction date",IF(NOT(ISNUMBER(C2002)),"Invalid date",IF(OR(C2002&lt;DATE(2000,1,1),C2002&gt;DATE(2099,12,31)),"Invalid date",IF(D2002="","Select a type",IF(U2002="","Unknown type: "&amp;D2002,IF(V2002="","Select an account (Category)",IF(ISNA(MATCH(V2002,coa_Name,0)),"Unknown account: "&amp;V2002,IF(K2002="","Select Paid From / Deposited To",IF(ISNA(MATCH(K2002,coa_Name,0)),"Unknown account: "&amp;K2002,IF(NOT(ISNUMBER(L2002)),"Enter an amount",IF(L2002=0,"Enter an amount",IF(ABS(W2002)&gt;ABS(L2002),"Tax is larger than the amount","")))))))))))))</f>
        <v/>
      </c>
      <c r="Y2002" s="67">
        <f>IF(OR(T2002=1,X2002&lt;&gt;""),"",IF(AND(B2002&lt;&gt;"",COUNTIF(tx_ID,B2002)&gt;1),"Duplicate transaction ID",IF(AND(L2002&lt;0,D2002&lt;&gt;"Adjustment"),"Negative amount — check this entry",IF(AND(D2002="Customer Payment",G2002=""),"Add the customer",IF(AND(D2002="Customer Payment",OR(J2002="",COUNTIF(ar_No,J2002&amp;"")=0)),"Invoice # in Reference not found on AR sheet",IF(AND(D2002="Bill Payment",H2002=""),"Add the vendor",IF(AND(D2002="Bill Payment",OR(J2002="",COUNTIFS(ap_No,J2002&amp;"",ap_Party,H2002&amp;"")=0)),"Bill # + vendor not found on AP sheet",IF(AND(ISNUMBER(M2002),N(M2002)&lt;&gt;0,W2002=0),"Tax ignored (tax tracking off, or not allowed for this type)",IF(V2002=K2002&amp;"","Same account on both sides",IF(AND(ISNUMBER(StartDate),C2002&lt;StartDate),"Date is before the accounting start date",IF(AND(D2002&lt;&gt;"Adjustment",IFERROR(INDEX(coa_Pay,MATCH(K2002&amp;"",coa_Name,0)),"")&lt;&gt;"Yes"),"Paid From / Deposited To is not a payment account","")))))))))))</f>
        <v/>
      </c>
      <c r="Z2002" s="67">
        <f>IF(AND(T2002=0,X2002=""),1,0)</f>
        <v/>
      </c>
      <c r="AA2002" s="68">
        <f>IF(Z2002=1,IF(U2002="In",L2002,L2002-W2002),0)</f>
        <v/>
      </c>
      <c r="AB2002" s="68">
        <f>IF(Z2002=1,IF(U2002="In",L2002-W2002,L2002),0)</f>
        <v/>
      </c>
      <c r="AC2002" s="68">
        <f>IF(AND(Z2002=1,U2002="Out"),W2002,0)</f>
        <v/>
      </c>
      <c r="AD2002" s="68">
        <f>IF(AND(Z2002=1,U2002="In"),W2002,0)</f>
        <v/>
      </c>
    </row>
    <row r="2003">
      <c r="B2003" s="62" t="inlineStr">
        <is>
          <t>TX-1997</t>
        </is>
      </c>
      <c r="C2003" s="63" t="n"/>
      <c r="D2003" s="62" t="n"/>
      <c r="E2003" s="62" t="n"/>
      <c r="F2003" s="62" t="n"/>
      <c r="G2003" s="62" t="n"/>
      <c r="H2003" s="62" t="n"/>
      <c r="I2003" s="62" t="n"/>
      <c r="J2003" s="62" t="n"/>
      <c r="K2003" s="62" t="n"/>
      <c r="L2003" s="64" t="n"/>
      <c r="M2003" s="64" t="n"/>
      <c r="N2003" s="62" t="n"/>
      <c r="O2003" s="65">
        <f>IF(Z2003=1,L2003-W2003,"")</f>
        <v/>
      </c>
      <c r="P2003" s="66">
        <f>IF(V2003="","",IFERROR(INDEX(coa_Type,MATCH(V2003,coa_Name,0)),""))</f>
        <v/>
      </c>
      <c r="Q2003" s="66">
        <f>IF(Z2003=1,IF(U2003="In",K2003&amp;"",V2003),"")</f>
        <v/>
      </c>
      <c r="R2003" s="66">
        <f>IF(Z2003=1,IF(U2003="In",V2003,K2003&amp;""),"")</f>
        <v/>
      </c>
      <c r="S2003" s="66">
        <f>IF(X2003&lt;&gt;"","⛔ "&amp;X2003&amp;" — not posted",IF(Y2003&lt;&gt;"","⚠ "&amp;Y2003,IF(Z2003=1,"✓ OK","")))</f>
        <v/>
      </c>
      <c r="T2003" s="67">
        <f>IF(AND(C2003="",D2003="",E2003="",L2003="",K2003=""),1,0)</f>
        <v/>
      </c>
      <c r="U2003" s="67">
        <f>IFERROR(INDEX(tt_Dir,MATCH(D2003,tt_Type,0)),"")</f>
        <v/>
      </c>
      <c r="V2003" s="67">
        <f>IF(D2003="","",IFERROR(IF(INDEX(tt_Other,MATCH(D2003,tt_Type,0))="",E2003&amp;"",INDEX(tt_Other,MATCH(D2003,tt_Type,0))),""))</f>
        <v/>
      </c>
      <c r="W2003" s="68">
        <f>IF(OR(TaxOn&lt;&gt;"Yes",NOT(ISNUMBER(M2003))),0,IF(IFERROR(INDEX(tt_Tax,MATCH(D2003,tt_Type,0)),"No")="Yes",M2003,0))</f>
        <v/>
      </c>
      <c r="X2003" s="67">
        <f>IF(T2003=1,"",IF(C2003="","Missing transaction date",IF(NOT(ISNUMBER(C2003)),"Invalid date",IF(OR(C2003&lt;DATE(2000,1,1),C2003&gt;DATE(2099,12,31)),"Invalid date",IF(D2003="","Select a type",IF(U2003="","Unknown type: "&amp;D2003,IF(V2003="","Select an account (Category)",IF(ISNA(MATCH(V2003,coa_Name,0)),"Unknown account: "&amp;V2003,IF(K2003="","Select Paid From / Deposited To",IF(ISNA(MATCH(K2003,coa_Name,0)),"Unknown account: "&amp;K2003,IF(NOT(ISNUMBER(L2003)),"Enter an amount",IF(L2003=0,"Enter an amount",IF(ABS(W2003)&gt;ABS(L2003),"Tax is larger than the amount","")))))))))))))</f>
        <v/>
      </c>
      <c r="Y2003" s="67">
        <f>IF(OR(T2003=1,X2003&lt;&gt;""),"",IF(AND(B2003&lt;&gt;"",COUNTIF(tx_ID,B2003)&gt;1),"Duplicate transaction ID",IF(AND(L2003&lt;0,D2003&lt;&gt;"Adjustment"),"Negative amount — check this entry",IF(AND(D2003="Customer Payment",G2003=""),"Add the customer",IF(AND(D2003="Customer Payment",OR(J2003="",COUNTIF(ar_No,J2003&amp;"")=0)),"Invoice # in Reference not found on AR sheet",IF(AND(D2003="Bill Payment",H2003=""),"Add the vendor",IF(AND(D2003="Bill Payment",OR(J2003="",COUNTIFS(ap_No,J2003&amp;"",ap_Party,H2003&amp;"")=0)),"Bill # + vendor not found on AP sheet",IF(AND(ISNUMBER(M2003),N(M2003)&lt;&gt;0,W2003=0),"Tax ignored (tax tracking off, or not allowed for this type)",IF(V2003=K2003&amp;"","Same account on both sides",IF(AND(ISNUMBER(StartDate),C2003&lt;StartDate),"Date is before the accounting start date",IF(AND(D2003&lt;&gt;"Adjustment",IFERROR(INDEX(coa_Pay,MATCH(K2003&amp;"",coa_Name,0)),"")&lt;&gt;"Yes"),"Paid From / Deposited To is not a payment account","")))))))))))</f>
        <v/>
      </c>
      <c r="Z2003" s="67">
        <f>IF(AND(T2003=0,X2003=""),1,0)</f>
        <v/>
      </c>
      <c r="AA2003" s="68">
        <f>IF(Z2003=1,IF(U2003="In",L2003,L2003-W2003),0)</f>
        <v/>
      </c>
      <c r="AB2003" s="68">
        <f>IF(Z2003=1,IF(U2003="In",L2003-W2003,L2003),0)</f>
        <v/>
      </c>
      <c r="AC2003" s="68">
        <f>IF(AND(Z2003=1,U2003="Out"),W2003,0)</f>
        <v/>
      </c>
      <c r="AD2003" s="68">
        <f>IF(AND(Z2003=1,U2003="In"),W2003,0)</f>
        <v/>
      </c>
    </row>
    <row r="2004">
      <c r="B2004" s="62" t="inlineStr">
        <is>
          <t>TX-1998</t>
        </is>
      </c>
      <c r="C2004" s="63" t="n"/>
      <c r="D2004" s="62" t="n"/>
      <c r="E2004" s="62" t="n"/>
      <c r="F2004" s="62" t="n"/>
      <c r="G2004" s="62" t="n"/>
      <c r="H2004" s="62" t="n"/>
      <c r="I2004" s="62" t="n"/>
      <c r="J2004" s="62" t="n"/>
      <c r="K2004" s="62" t="n"/>
      <c r="L2004" s="64" t="n"/>
      <c r="M2004" s="64" t="n"/>
      <c r="N2004" s="62" t="n"/>
      <c r="O2004" s="65">
        <f>IF(Z2004=1,L2004-W2004,"")</f>
        <v/>
      </c>
      <c r="P2004" s="66">
        <f>IF(V2004="","",IFERROR(INDEX(coa_Type,MATCH(V2004,coa_Name,0)),""))</f>
        <v/>
      </c>
      <c r="Q2004" s="66">
        <f>IF(Z2004=1,IF(U2004="In",K2004&amp;"",V2004),"")</f>
        <v/>
      </c>
      <c r="R2004" s="66">
        <f>IF(Z2004=1,IF(U2004="In",V2004,K2004&amp;""),"")</f>
        <v/>
      </c>
      <c r="S2004" s="66">
        <f>IF(X2004&lt;&gt;"","⛔ "&amp;X2004&amp;" — not posted",IF(Y2004&lt;&gt;"","⚠ "&amp;Y2004,IF(Z2004=1,"✓ OK","")))</f>
        <v/>
      </c>
      <c r="T2004" s="67">
        <f>IF(AND(C2004="",D2004="",E2004="",L2004="",K2004=""),1,0)</f>
        <v/>
      </c>
      <c r="U2004" s="67">
        <f>IFERROR(INDEX(tt_Dir,MATCH(D2004,tt_Type,0)),"")</f>
        <v/>
      </c>
      <c r="V2004" s="67">
        <f>IF(D2004="","",IFERROR(IF(INDEX(tt_Other,MATCH(D2004,tt_Type,0))="",E2004&amp;"",INDEX(tt_Other,MATCH(D2004,tt_Type,0))),""))</f>
        <v/>
      </c>
      <c r="W2004" s="68">
        <f>IF(OR(TaxOn&lt;&gt;"Yes",NOT(ISNUMBER(M2004))),0,IF(IFERROR(INDEX(tt_Tax,MATCH(D2004,tt_Type,0)),"No")="Yes",M2004,0))</f>
        <v/>
      </c>
      <c r="X2004" s="67">
        <f>IF(T2004=1,"",IF(C2004="","Missing transaction date",IF(NOT(ISNUMBER(C2004)),"Invalid date",IF(OR(C2004&lt;DATE(2000,1,1),C2004&gt;DATE(2099,12,31)),"Invalid date",IF(D2004="","Select a type",IF(U2004="","Unknown type: "&amp;D2004,IF(V2004="","Select an account (Category)",IF(ISNA(MATCH(V2004,coa_Name,0)),"Unknown account: "&amp;V2004,IF(K2004="","Select Paid From / Deposited To",IF(ISNA(MATCH(K2004,coa_Name,0)),"Unknown account: "&amp;K2004,IF(NOT(ISNUMBER(L2004)),"Enter an amount",IF(L2004=0,"Enter an amount",IF(ABS(W2004)&gt;ABS(L2004),"Tax is larger than the amount","")))))))))))))</f>
        <v/>
      </c>
      <c r="Y2004" s="67">
        <f>IF(OR(T2004=1,X2004&lt;&gt;""),"",IF(AND(B2004&lt;&gt;"",COUNTIF(tx_ID,B2004)&gt;1),"Duplicate transaction ID",IF(AND(L2004&lt;0,D2004&lt;&gt;"Adjustment"),"Negative amount — check this entry",IF(AND(D2004="Customer Payment",G2004=""),"Add the customer",IF(AND(D2004="Customer Payment",OR(J2004="",COUNTIF(ar_No,J2004&amp;"")=0)),"Invoice # in Reference not found on AR sheet",IF(AND(D2004="Bill Payment",H2004=""),"Add the vendor",IF(AND(D2004="Bill Payment",OR(J2004="",COUNTIFS(ap_No,J2004&amp;"",ap_Party,H2004&amp;"")=0)),"Bill # + vendor not found on AP sheet",IF(AND(ISNUMBER(M2004),N(M2004)&lt;&gt;0,W2004=0),"Tax ignored (tax tracking off, or not allowed for this type)",IF(V2004=K2004&amp;"","Same account on both sides",IF(AND(ISNUMBER(StartDate),C2004&lt;StartDate),"Date is before the accounting start date",IF(AND(D2004&lt;&gt;"Adjustment",IFERROR(INDEX(coa_Pay,MATCH(K2004&amp;"",coa_Name,0)),"")&lt;&gt;"Yes"),"Paid From / Deposited To is not a payment account","")))))))))))</f>
        <v/>
      </c>
      <c r="Z2004" s="67">
        <f>IF(AND(T2004=0,X2004=""),1,0)</f>
        <v/>
      </c>
      <c r="AA2004" s="68">
        <f>IF(Z2004=1,IF(U2004="In",L2004,L2004-W2004),0)</f>
        <v/>
      </c>
      <c r="AB2004" s="68">
        <f>IF(Z2004=1,IF(U2004="In",L2004-W2004,L2004),0)</f>
        <v/>
      </c>
      <c r="AC2004" s="68">
        <f>IF(AND(Z2004=1,U2004="Out"),W2004,0)</f>
        <v/>
      </c>
      <c r="AD2004" s="68">
        <f>IF(AND(Z2004=1,U2004="In"),W2004,0)</f>
        <v/>
      </c>
    </row>
    <row r="2005">
      <c r="B2005" s="62" t="inlineStr">
        <is>
          <t>TX-1999</t>
        </is>
      </c>
      <c r="C2005" s="63" t="n"/>
      <c r="D2005" s="62" t="n"/>
      <c r="E2005" s="62" t="n"/>
      <c r="F2005" s="62" t="n"/>
      <c r="G2005" s="62" t="n"/>
      <c r="H2005" s="62" t="n"/>
      <c r="I2005" s="62" t="n"/>
      <c r="J2005" s="62" t="n"/>
      <c r="K2005" s="62" t="n"/>
      <c r="L2005" s="64" t="n"/>
      <c r="M2005" s="64" t="n"/>
      <c r="N2005" s="62" t="n"/>
      <c r="O2005" s="65">
        <f>IF(Z2005=1,L2005-W2005,"")</f>
        <v/>
      </c>
      <c r="P2005" s="66">
        <f>IF(V2005="","",IFERROR(INDEX(coa_Type,MATCH(V2005,coa_Name,0)),""))</f>
        <v/>
      </c>
      <c r="Q2005" s="66">
        <f>IF(Z2005=1,IF(U2005="In",K2005&amp;"",V2005),"")</f>
        <v/>
      </c>
      <c r="R2005" s="66">
        <f>IF(Z2005=1,IF(U2005="In",V2005,K2005&amp;""),"")</f>
        <v/>
      </c>
      <c r="S2005" s="66">
        <f>IF(X2005&lt;&gt;"","⛔ "&amp;X2005&amp;" — not posted",IF(Y2005&lt;&gt;"","⚠ "&amp;Y2005,IF(Z2005=1,"✓ OK","")))</f>
        <v/>
      </c>
      <c r="T2005" s="67">
        <f>IF(AND(C2005="",D2005="",E2005="",L2005="",K2005=""),1,0)</f>
        <v/>
      </c>
      <c r="U2005" s="67">
        <f>IFERROR(INDEX(tt_Dir,MATCH(D2005,tt_Type,0)),"")</f>
        <v/>
      </c>
      <c r="V2005" s="67">
        <f>IF(D2005="","",IFERROR(IF(INDEX(tt_Other,MATCH(D2005,tt_Type,0))="",E2005&amp;"",INDEX(tt_Other,MATCH(D2005,tt_Type,0))),""))</f>
        <v/>
      </c>
      <c r="W2005" s="68">
        <f>IF(OR(TaxOn&lt;&gt;"Yes",NOT(ISNUMBER(M2005))),0,IF(IFERROR(INDEX(tt_Tax,MATCH(D2005,tt_Type,0)),"No")="Yes",M2005,0))</f>
        <v/>
      </c>
      <c r="X2005" s="67">
        <f>IF(T2005=1,"",IF(C2005="","Missing transaction date",IF(NOT(ISNUMBER(C2005)),"Invalid date",IF(OR(C2005&lt;DATE(2000,1,1),C2005&gt;DATE(2099,12,31)),"Invalid date",IF(D2005="","Select a type",IF(U2005="","Unknown type: "&amp;D2005,IF(V2005="","Select an account (Category)",IF(ISNA(MATCH(V2005,coa_Name,0)),"Unknown account: "&amp;V2005,IF(K2005="","Select Paid From / Deposited To",IF(ISNA(MATCH(K2005,coa_Name,0)),"Unknown account: "&amp;K2005,IF(NOT(ISNUMBER(L2005)),"Enter an amount",IF(L2005=0,"Enter an amount",IF(ABS(W2005)&gt;ABS(L2005),"Tax is larger than the amount","")))))))))))))</f>
        <v/>
      </c>
      <c r="Y2005" s="67">
        <f>IF(OR(T2005=1,X2005&lt;&gt;""),"",IF(AND(B2005&lt;&gt;"",COUNTIF(tx_ID,B2005)&gt;1),"Duplicate transaction ID",IF(AND(L2005&lt;0,D2005&lt;&gt;"Adjustment"),"Negative amount — check this entry",IF(AND(D2005="Customer Payment",G2005=""),"Add the customer",IF(AND(D2005="Customer Payment",OR(J2005="",COUNTIF(ar_No,J2005&amp;"")=0)),"Invoice # in Reference not found on AR sheet",IF(AND(D2005="Bill Payment",H2005=""),"Add the vendor",IF(AND(D2005="Bill Payment",OR(J2005="",COUNTIFS(ap_No,J2005&amp;"",ap_Party,H2005&amp;"")=0)),"Bill # + vendor not found on AP sheet",IF(AND(ISNUMBER(M2005),N(M2005)&lt;&gt;0,W2005=0),"Tax ignored (tax tracking off, or not allowed for this type)",IF(V2005=K2005&amp;"","Same account on both sides",IF(AND(ISNUMBER(StartDate),C2005&lt;StartDate),"Date is before the accounting start date",IF(AND(D2005&lt;&gt;"Adjustment",IFERROR(INDEX(coa_Pay,MATCH(K2005&amp;"",coa_Name,0)),"")&lt;&gt;"Yes"),"Paid From / Deposited To is not a payment account","")))))))))))</f>
        <v/>
      </c>
      <c r="Z2005" s="67">
        <f>IF(AND(T2005=0,X2005=""),1,0)</f>
        <v/>
      </c>
      <c r="AA2005" s="68">
        <f>IF(Z2005=1,IF(U2005="In",L2005,L2005-W2005),0)</f>
        <v/>
      </c>
      <c r="AB2005" s="68">
        <f>IF(Z2005=1,IF(U2005="In",L2005-W2005,L2005),0)</f>
        <v/>
      </c>
      <c r="AC2005" s="68">
        <f>IF(AND(Z2005=1,U2005="Out"),W2005,0)</f>
        <v/>
      </c>
      <c r="AD2005" s="68">
        <f>IF(AND(Z2005=1,U2005="In"),W2005,0)</f>
        <v/>
      </c>
    </row>
    <row r="2006">
      <c r="B2006" s="62" t="inlineStr">
        <is>
          <t>TX-2000</t>
        </is>
      </c>
      <c r="C2006" s="63" t="n"/>
      <c r="D2006" s="62" t="n"/>
      <c r="E2006" s="62" t="n"/>
      <c r="F2006" s="62" t="n"/>
      <c r="G2006" s="62" t="n"/>
      <c r="H2006" s="62" t="n"/>
      <c r="I2006" s="62" t="n"/>
      <c r="J2006" s="62" t="n"/>
      <c r="K2006" s="62" t="n"/>
      <c r="L2006" s="64" t="n"/>
      <c r="M2006" s="64" t="n"/>
      <c r="N2006" s="62" t="n"/>
      <c r="O2006" s="65">
        <f>IF(Z2006=1,L2006-W2006,"")</f>
        <v/>
      </c>
      <c r="P2006" s="66">
        <f>IF(V2006="","",IFERROR(INDEX(coa_Type,MATCH(V2006,coa_Name,0)),""))</f>
        <v/>
      </c>
      <c r="Q2006" s="66">
        <f>IF(Z2006=1,IF(U2006="In",K2006&amp;"",V2006),"")</f>
        <v/>
      </c>
      <c r="R2006" s="66">
        <f>IF(Z2006=1,IF(U2006="In",V2006,K2006&amp;""),"")</f>
        <v/>
      </c>
      <c r="S2006" s="66">
        <f>IF(X2006&lt;&gt;"","⛔ "&amp;X2006&amp;" — not posted",IF(Y2006&lt;&gt;"","⚠ "&amp;Y2006,IF(Z2006=1,"✓ OK","")))</f>
        <v/>
      </c>
      <c r="T2006" s="67">
        <f>IF(AND(C2006="",D2006="",E2006="",L2006="",K2006=""),1,0)</f>
        <v/>
      </c>
      <c r="U2006" s="67">
        <f>IFERROR(INDEX(tt_Dir,MATCH(D2006,tt_Type,0)),"")</f>
        <v/>
      </c>
      <c r="V2006" s="67">
        <f>IF(D2006="","",IFERROR(IF(INDEX(tt_Other,MATCH(D2006,tt_Type,0))="",E2006&amp;"",INDEX(tt_Other,MATCH(D2006,tt_Type,0))),""))</f>
        <v/>
      </c>
      <c r="W2006" s="68">
        <f>IF(OR(TaxOn&lt;&gt;"Yes",NOT(ISNUMBER(M2006))),0,IF(IFERROR(INDEX(tt_Tax,MATCH(D2006,tt_Type,0)),"No")="Yes",M2006,0))</f>
        <v/>
      </c>
      <c r="X2006" s="67">
        <f>IF(T2006=1,"",IF(C2006="","Missing transaction date",IF(NOT(ISNUMBER(C2006)),"Invalid date",IF(OR(C2006&lt;DATE(2000,1,1),C2006&gt;DATE(2099,12,31)),"Invalid date",IF(D2006="","Select a type",IF(U2006="","Unknown type: "&amp;D2006,IF(V2006="","Select an account (Category)",IF(ISNA(MATCH(V2006,coa_Name,0)),"Unknown account: "&amp;V2006,IF(K2006="","Select Paid From / Deposited To",IF(ISNA(MATCH(K2006,coa_Name,0)),"Unknown account: "&amp;K2006,IF(NOT(ISNUMBER(L2006)),"Enter an amount",IF(L2006=0,"Enter an amount",IF(ABS(W2006)&gt;ABS(L2006),"Tax is larger than the amount","")))))))))))))</f>
        <v/>
      </c>
      <c r="Y2006" s="67">
        <f>IF(OR(T2006=1,X2006&lt;&gt;""),"",IF(AND(B2006&lt;&gt;"",COUNTIF(tx_ID,B2006)&gt;1),"Duplicate transaction ID",IF(AND(L2006&lt;0,D2006&lt;&gt;"Adjustment"),"Negative amount — check this entry",IF(AND(D2006="Customer Payment",G2006=""),"Add the customer",IF(AND(D2006="Customer Payment",OR(J2006="",COUNTIF(ar_No,J2006&amp;"")=0)),"Invoice # in Reference not found on AR sheet",IF(AND(D2006="Bill Payment",H2006=""),"Add the vendor",IF(AND(D2006="Bill Payment",OR(J2006="",COUNTIFS(ap_No,J2006&amp;"",ap_Party,H2006&amp;"")=0)),"Bill # + vendor not found on AP sheet",IF(AND(ISNUMBER(M2006),N(M2006)&lt;&gt;0,W2006=0),"Tax ignored (tax tracking off, or not allowed for this type)",IF(V2006=K2006&amp;"","Same account on both sides",IF(AND(ISNUMBER(StartDate),C2006&lt;StartDate),"Date is before the accounting start date",IF(AND(D2006&lt;&gt;"Adjustment",IFERROR(INDEX(coa_Pay,MATCH(K2006&amp;"",coa_Name,0)),"")&lt;&gt;"Yes"),"Paid From / Deposited To is not a payment account","")))))))))))</f>
        <v/>
      </c>
      <c r="Z2006" s="67">
        <f>IF(AND(T2006=0,X2006=""),1,0)</f>
        <v/>
      </c>
      <c r="AA2006" s="68">
        <f>IF(Z2006=1,IF(U2006="In",L2006,L2006-W2006),0)</f>
        <v/>
      </c>
      <c r="AB2006" s="68">
        <f>IF(Z2006=1,IF(U2006="In",L2006-W2006,L2006),0)</f>
        <v/>
      </c>
      <c r="AC2006" s="68">
        <f>IF(AND(Z2006=1,U2006="Out"),W2006,0)</f>
        <v/>
      </c>
      <c r="AD2006" s="68">
        <f>IF(AND(Z2006=1,U2006="In"),W2006,0)</f>
        <v/>
      </c>
    </row>
  </sheetData>
  <conditionalFormatting sqref="S7:S2006">
    <cfRule type="expression" priority="1" dxfId="0">
      <formula>LEFT(S7,1)="⛔"</formula>
    </cfRule>
    <cfRule type="expression" priority="2" dxfId="1">
      <formula>LEFT(S7,1)="⚠"</formula>
    </cfRule>
    <cfRule type="expression" priority="3" dxfId="2">
      <formula>LEFT(S7,1)="✓"</formula>
    </cfRule>
  </conditionalFormatting>
  <dataValidations count="9">
    <dataValidation sqref="C7:C2006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D7:D2006" showDropDown="0" showInputMessage="1" showErrorMessage="1" allowBlank="1" errorTitle="Please pick from the list" error="Choose a value from the dropdown." promptTitle="Type" prompt="Money In / Money Out cover most entries. Use Customer Payment / Bill Payment for AR/AP." type="list" errorStyle="stop">
      <formula1>=lstTypes</formula1>
    </dataValidation>
    <dataValidation sqref="E7:E2006" showDropDown="0" showInputMessage="1" showErrorMessage="1" allowBlank="1" errorTitle="Please pick from the list" error="This value is not in the list. Add it to its master list first, or press Yes to keep it." promptTitle="Category" prompt="What was it for? (Revenue or expense account.) Leave blank for Customer/Bill Payment and Owner Investment/Draw." type="list" errorStyle="warning">
      <formula1>=lstAccounts</formula1>
    </dataValidation>
    <dataValidation sqref="G7:G2006" showDropDown="0" showInputMessage="0" showErrorMessage="1" allowBlank="1" errorTitle="Please pick from the list" error="This value is not in the list. Add it to its master list first, or press Yes to keep it." type="list" errorStyle="warning">
      <formula1>=cust_Name</formula1>
    </dataValidation>
    <dataValidation sqref="H7:H2006" showDropDown="0" showInputMessage="0" showErrorMessage="1" allowBlank="1" errorTitle="Please pick from the list" error="This value is not in the list. Add it to its master list first, or press Yes to keep it." type="list" errorStyle="warning">
      <formula1>=vend_Name</formula1>
    </dataValidation>
    <dataValidation sqref="I7:I2006" showDropDown="0" showInputMessage="0" showErrorMessage="1" allowBlank="1" errorTitle="Please pick from the list" error="This value is not in the list. Add it to its master list first, or press Yes to keep it." type="list" errorStyle="warning">
      <formula1>=lstPayMethods</formula1>
    </dataValidation>
    <dataValidation sqref="K7:K2006" showDropDown="0" showInputMessage="1" showErrorMessage="1" allowBlank="1" errorTitle="Please pick from the list" error="This value is not in the list. Add it to its master list first, or press Yes to keep it." promptTitle="Paid From / Deposited To" prompt="Where the money came from / went to: Cash on Hand, Bank Account, Credit Card …" type="list" errorStyle="warning">
      <formula1>=lstPayAccts</formula1>
    </dataValidation>
    <dataValidation sqref="L7:L2006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M7:M2006" showDropDown="0" showInputMessage="0" showErrorMessage="1" allowBlank="1" errorTitle="Numbers only" error="Enter a number without currency symbols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2" customWidth="1" min="4" max="4"/>
    <col width="28" customWidth="1" min="5" max="5"/>
    <col width="22" customWidth="1" min="6" max="6"/>
    <col width="14" customWidth="1" min="7" max="7"/>
    <col width="11" customWidth="1" min="8" max="8"/>
    <col width="12" customWidth="1" min="9" max="9"/>
    <col width="12" customWidth="1" min="10" max="10"/>
    <col width="13" customWidth="1" min="11" max="11"/>
    <col width="13" customWidth="1" min="12" max="12"/>
    <col width="10" customWidth="1" min="13" max="13"/>
    <col width="11" customWidth="1" min="14" max="14"/>
    <col width="10" customWidth="1" min="15" max="15"/>
    <col width="10" customWidth="1" min="16" max="16"/>
    <col width="36" customWidth="1" min="17" max="17"/>
    <col hidden="1" outlineLevel="1" width="6" customWidth="1" min="18" max="27"/>
  </cols>
  <sheetData>
    <row r="1" ht="26" customHeight="1">
      <c r="B1" s="19" t="inlineStr">
        <is>
          <t>Accounts Receivable — Customer Invoices</t>
        </is>
      </c>
    </row>
    <row r="2">
      <c r="B2" s="20" t="inlineStr">
        <is>
          <t>Sales you made on credit. When the customer pays, record a 'Customer Payment' on Transactions with the invoice # in Reference.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J5" s="31" t="inlineStr">
        <is>
          <t>▼ AUTOMATIC  (grey columns — calculated, do not type)</t>
        </is>
      </c>
    </row>
    <row r="6" ht="30" customHeight="1">
      <c r="B6" s="7" t="inlineStr">
        <is>
          <t>Invoice #</t>
        </is>
      </c>
      <c r="C6" s="7" t="inlineStr">
        <is>
          <t>Invoice Date</t>
        </is>
      </c>
      <c r="D6" s="7" t="inlineStr">
        <is>
          <t>Customer</t>
        </is>
      </c>
      <c r="E6" s="7" t="inlineStr">
        <is>
          <t>Description</t>
        </is>
      </c>
      <c r="F6" s="7" t="inlineStr">
        <is>
          <t>Revenue Account</t>
        </is>
      </c>
      <c r="G6" s="7" t="inlineStr">
        <is>
          <t>Amount (incl. tax)</t>
        </is>
      </c>
      <c r="H6" s="7" t="inlineStr">
        <is>
          <t>Tax</t>
        </is>
      </c>
      <c r="I6" s="7" t="inlineStr">
        <is>
          <t>Due Date (optional)</t>
        </is>
      </c>
      <c r="J6" s="61" t="inlineStr">
        <is>
          <t>Due Date Used</t>
        </is>
      </c>
      <c r="K6" s="61" t="inlineStr">
        <is>
          <t>Paid Amount</t>
        </is>
      </c>
      <c r="L6" s="61" t="inlineStr">
        <is>
          <t>Balance</t>
        </is>
      </c>
      <c r="M6" s="61" t="inlineStr">
        <is>
          <t>Status</t>
        </is>
      </c>
      <c r="N6" s="61" t="inlineStr">
        <is>
          <t>Days Outstanding</t>
        </is>
      </c>
      <c r="O6" s="61" t="inlineStr">
        <is>
          <t>Days Overdue</t>
        </is>
      </c>
      <c r="P6" s="61" t="inlineStr">
        <is>
          <t>Aging Bucket</t>
        </is>
      </c>
      <c r="Q6" s="61" t="inlineStr">
        <is>
          <t>Check</t>
        </is>
      </c>
      <c r="R6" s="61" t="inlineStr">
        <is>
          <t>Blank?</t>
        </is>
      </c>
      <c r="S6" s="61" t="inlineStr">
        <is>
          <t>Tax used</t>
        </is>
      </c>
      <c r="T6" s="61" t="inlineStr">
        <is>
          <t>Error</t>
        </is>
      </c>
      <c r="U6" s="61" t="inlineStr">
        <is>
          <t>Warning</t>
        </is>
      </c>
      <c r="V6" s="61" t="inlineStr">
        <is>
          <t>Posted</t>
        </is>
      </c>
      <c r="W6" s="61" t="inlineStr">
        <is>
          <t>Debit Account</t>
        </is>
      </c>
      <c r="X6" s="61" t="inlineStr">
        <is>
          <t>Credit Account</t>
        </is>
      </c>
      <c r="Y6" s="61" t="inlineStr">
        <is>
          <t>Debit Amt</t>
        </is>
      </c>
      <c r="Z6" s="61" t="inlineStr">
        <is>
          <t>Credit Amt</t>
        </is>
      </c>
      <c r="AA6" s="61" t="inlineStr">
        <is>
          <t>Tax Amt</t>
        </is>
      </c>
    </row>
    <row r="7">
      <c r="B7" s="62" t="inlineStr">
        <is>
          <t>INV-1001</t>
        </is>
      </c>
      <c r="C7" s="63" t="n">
        <v>46032</v>
      </c>
      <c r="D7" s="62" t="inlineStr">
        <is>
          <t>Northwind Offices</t>
        </is>
      </c>
      <c r="E7" s="62" t="inlineStr">
        <is>
          <t>Catering order</t>
        </is>
      </c>
      <c r="F7" s="62" t="inlineStr">
        <is>
          <t>Service Income</t>
        </is>
      </c>
      <c r="G7" s="64" t="n">
        <v>23665.51</v>
      </c>
      <c r="H7" s="64" t="n">
        <v>2535.59</v>
      </c>
      <c r="I7" s="63" t="n"/>
      <c r="J7" s="29">
        <f>IF(V7=1,IF(ISNUMBER(I7),I7,C7+IF(ISNUMBER(IFERROR(INDEX(cust_Terms,MATCH(D7,cust_Name,0)),"")),INDEX(cust_Terms,MATCH(D7,cust_Name,0)),TermsDays)),"")</f>
        <v/>
      </c>
      <c r="K7" s="65">
        <f>IF(V7=1,SUMIFS(tx_DrAmt,tx_Type,"Customer Payment",tx_Ref,B7&amp;"",tx_Date,"&lt;="&amp;AsOf),"")</f>
        <v/>
      </c>
      <c r="L7" s="65">
        <f>IF(V7=1,IF(C7&gt;AsOf,0,ROUND(G7-K7,2)),"")</f>
        <v/>
      </c>
      <c r="M7" s="66">
        <f>IF(V7&lt;&gt;1,"",IF(C7&gt;AsOf,"Future",IF(L7&lt;0,"Overpaid",IF(L7=0,"Paid",IF(AsOf&gt;J7,"Overdue",IF(K7&gt;0,"Partial","Unpaid"))))))</f>
        <v/>
      </c>
      <c r="N7" s="28">
        <f>IF(AND(V7=1,N(L7)&gt;0),AsOf-C7,"")</f>
        <v/>
      </c>
      <c r="O7" s="28">
        <f>IF(N7="","",MAX(0,AsOf-J7))</f>
        <v/>
      </c>
      <c r="P7" s="66">
        <f>IF(O7="","",IF(O7=0,"Current",IF(O7&lt;=30,"1-30",IF(O7&lt;=60,"31-60",IF(O7&lt;=90,"61-90","90+")))))</f>
        <v/>
      </c>
      <c r="Q7" s="66">
        <f>IF(T7&lt;&gt;"","⛔ "&amp;T7&amp;" — not posted",IF(U7&lt;&gt;"","⚠ "&amp;U7,IF(V7=1,"✓ OK","")))</f>
        <v/>
      </c>
      <c r="R7" s="67">
        <f>IF(AND(B7="",C7="",D7="",G7="",F7=""),1,0)</f>
        <v/>
      </c>
      <c r="S7" s="68">
        <f>IF(AND(TaxOn="Yes",ISNUMBER(H7)),H7,0)</f>
        <v/>
      </c>
      <c r="T7" s="67">
        <f>IF(R7=1,"",IF(B7="","Enter an invoice #",IF(C7="","Missing invoice date",IF(NOT(ISNUMBER(C7)),"Invalid date",IF(OR(C7&lt;DATE(2000,1,1),C7&gt;DATE(2099,12,31)),"Invalid date",IF(F7="","Select a revenue account",IF(ISNA(MATCH(F7,coa_Name,0)),"Unknown account: "&amp;F7,IF(NOT(ISNUMBER(G7)),"Enter an amount",IF(G7&lt;=0,"Amount must be positive",IF(S7&gt;G7,"Tax is larger than the amount",""))))))))))</f>
        <v/>
      </c>
      <c r="U7" s="67">
        <f>IF(OR(R7=1,T7&lt;&gt;""),"",IF(COUNTIF(ar_No,B7)&gt;1,"Duplicate invoice #",IF(D7="","Select a customer",IF(N(L7)&lt;0,"Overpaid by "&amp;TEXT(-L7,"#,##0.00"),IF(AND(ISNUMBER(H7),N(H7)&lt;&gt;0,S7=0),"Tax ignored (tax tracking is off)",IF(AND(ISNUMBER(StartDate),C7&lt;StartDate),"Date is before the accounting start date",IF(AND(IFERROR(INDEX(coa_Type,MATCH(F7,coa_Name,0)),"")&lt;&gt;"Revenue",IFERROR(INDEX(coa_Type,MATCH(F7,coa_Name,0)),"")&lt;&gt;"Other Income"),"Account is not a revenue account","")))))))</f>
        <v/>
      </c>
      <c r="V7" s="67">
        <f>IF(AND(R7=0,T7=""),1,0)</f>
        <v/>
      </c>
      <c r="W7" s="67">
        <f>IF(V7=1,acctAR,"")</f>
        <v/>
      </c>
      <c r="X7" s="67">
        <f>IF(V7=1,F7,"")</f>
        <v/>
      </c>
      <c r="Y7" s="68">
        <f>IF(V7=1,G7,0)</f>
        <v/>
      </c>
      <c r="Z7" s="68">
        <f>IF(V7=1,G7-S7,0)</f>
        <v/>
      </c>
      <c r="AA7" s="68">
        <f>IF(V7=1,S7,0)</f>
        <v/>
      </c>
    </row>
    <row r="8">
      <c r="B8" s="62" t="inlineStr">
        <is>
          <t>INV-1002</t>
        </is>
      </c>
      <c r="C8" s="63" t="n">
        <v>46044</v>
      </c>
      <c r="D8" s="62" t="inlineStr">
        <is>
          <t>Brightpath Academy</t>
        </is>
      </c>
      <c r="E8" s="62" t="inlineStr">
        <is>
          <t>Catering order</t>
        </is>
      </c>
      <c r="F8" s="62" t="inlineStr">
        <is>
          <t>Service Income</t>
        </is>
      </c>
      <c r="G8" s="64" t="n">
        <v>40547.67</v>
      </c>
      <c r="H8" s="64" t="n">
        <v>4344.39</v>
      </c>
      <c r="I8" s="63" t="n"/>
      <c r="J8" s="29">
        <f>IF(V8=1,IF(ISNUMBER(I8),I8,C8+IF(ISNUMBER(IFERROR(INDEX(cust_Terms,MATCH(D8,cust_Name,0)),"")),INDEX(cust_Terms,MATCH(D8,cust_Name,0)),TermsDays)),"")</f>
        <v/>
      </c>
      <c r="K8" s="65">
        <f>IF(V8=1,SUMIFS(tx_DrAmt,tx_Type,"Customer Payment",tx_Ref,B8&amp;"",tx_Date,"&lt;="&amp;AsOf),"")</f>
        <v/>
      </c>
      <c r="L8" s="65">
        <f>IF(V8=1,IF(C8&gt;AsOf,0,ROUND(G8-K8,2)),"")</f>
        <v/>
      </c>
      <c r="M8" s="66">
        <f>IF(V8&lt;&gt;1,"",IF(C8&gt;AsOf,"Future",IF(L8&lt;0,"Overpaid",IF(L8=0,"Paid",IF(AsOf&gt;J8,"Overdue",IF(K8&gt;0,"Partial","Unpaid"))))))</f>
        <v/>
      </c>
      <c r="N8" s="28">
        <f>IF(AND(V8=1,N(L8)&gt;0),AsOf-C8,"")</f>
        <v/>
      </c>
      <c r="O8" s="28">
        <f>IF(N8="","",MAX(0,AsOf-J8))</f>
        <v/>
      </c>
      <c r="P8" s="66">
        <f>IF(O8="","",IF(O8=0,"Current",IF(O8&lt;=30,"1-30",IF(O8&lt;=60,"31-60",IF(O8&lt;=90,"61-90","90+")))))</f>
        <v/>
      </c>
      <c r="Q8" s="66">
        <f>IF(T8&lt;&gt;"","⛔ "&amp;T8&amp;" — not posted",IF(U8&lt;&gt;"","⚠ "&amp;U8,IF(V8=1,"✓ OK","")))</f>
        <v/>
      </c>
      <c r="R8" s="67">
        <f>IF(AND(B8="",C8="",D8="",G8="",F8=""),1,0)</f>
        <v/>
      </c>
      <c r="S8" s="68">
        <f>IF(AND(TaxOn="Yes",ISNUMBER(H8)),H8,0)</f>
        <v/>
      </c>
      <c r="T8" s="67">
        <f>IF(R8=1,"",IF(B8="","Enter an invoice #",IF(C8="","Missing invoice date",IF(NOT(ISNUMBER(C8)),"Invalid date",IF(OR(C8&lt;DATE(2000,1,1),C8&gt;DATE(2099,12,31)),"Invalid date",IF(F8="","Select a revenue account",IF(ISNA(MATCH(F8,coa_Name,0)),"Unknown account: "&amp;F8,IF(NOT(ISNUMBER(G8)),"Enter an amount",IF(G8&lt;=0,"Amount must be positive",IF(S8&gt;G8,"Tax is larger than the amount",""))))))))))</f>
        <v/>
      </c>
      <c r="U8" s="67">
        <f>IF(OR(R8=1,T8&lt;&gt;""),"",IF(COUNTIF(ar_No,B8)&gt;1,"Duplicate invoice #",IF(D8="","Select a customer",IF(N(L8)&lt;0,"Overpaid by "&amp;TEXT(-L8,"#,##0.00"),IF(AND(ISNUMBER(H8),N(H8)&lt;&gt;0,S8=0),"Tax ignored (tax tracking is off)",IF(AND(ISNUMBER(StartDate),C8&lt;StartDate),"Date is before the accounting start date",IF(AND(IFERROR(INDEX(coa_Type,MATCH(F8,coa_Name,0)),"")&lt;&gt;"Revenue",IFERROR(INDEX(coa_Type,MATCH(F8,coa_Name,0)),"")&lt;&gt;"Other Income"),"Account is not a revenue account","")))))))</f>
        <v/>
      </c>
      <c r="V8" s="67">
        <f>IF(AND(R8=0,T8=""),1,0)</f>
        <v/>
      </c>
      <c r="W8" s="67">
        <f>IF(V8=1,acctAR,"")</f>
        <v/>
      </c>
      <c r="X8" s="67">
        <f>IF(V8=1,F8,"")</f>
        <v/>
      </c>
      <c r="Y8" s="68">
        <f>IF(V8=1,G8,0)</f>
        <v/>
      </c>
      <c r="Z8" s="68">
        <f>IF(V8=1,G8-S8,0)</f>
        <v/>
      </c>
      <c r="AA8" s="68">
        <f>IF(V8=1,S8,0)</f>
        <v/>
      </c>
    </row>
    <row r="9">
      <c r="B9" s="62" t="inlineStr">
        <is>
          <t>INV-1003</t>
        </is>
      </c>
      <c r="C9" s="63" t="n">
        <v>46044</v>
      </c>
      <c r="D9" s="62" t="inlineStr">
        <is>
          <t>Northwind Offices</t>
        </is>
      </c>
      <c r="E9" s="62" t="inlineStr">
        <is>
          <t>Catering order</t>
        </is>
      </c>
      <c r="F9" s="62" t="inlineStr">
        <is>
          <t>Service Income</t>
        </is>
      </c>
      <c r="G9" s="64" t="n">
        <v>35728.47</v>
      </c>
      <c r="H9" s="64" t="n">
        <v>3828.05</v>
      </c>
      <c r="I9" s="63" t="n"/>
      <c r="J9" s="29">
        <f>IF(V9=1,IF(ISNUMBER(I9),I9,C9+IF(ISNUMBER(IFERROR(INDEX(cust_Terms,MATCH(D9,cust_Name,0)),"")),INDEX(cust_Terms,MATCH(D9,cust_Name,0)),TermsDays)),"")</f>
        <v/>
      </c>
      <c r="K9" s="65">
        <f>IF(V9=1,SUMIFS(tx_DrAmt,tx_Type,"Customer Payment",tx_Ref,B9&amp;"",tx_Date,"&lt;="&amp;AsOf),"")</f>
        <v/>
      </c>
      <c r="L9" s="65">
        <f>IF(V9=1,IF(C9&gt;AsOf,0,ROUND(G9-K9,2)),"")</f>
        <v/>
      </c>
      <c r="M9" s="66">
        <f>IF(V9&lt;&gt;1,"",IF(C9&gt;AsOf,"Future",IF(L9&lt;0,"Overpaid",IF(L9=0,"Paid",IF(AsOf&gt;J9,"Overdue",IF(K9&gt;0,"Partial","Unpaid"))))))</f>
        <v/>
      </c>
      <c r="N9" s="28">
        <f>IF(AND(V9=1,N(L9)&gt;0),AsOf-C9,"")</f>
        <v/>
      </c>
      <c r="O9" s="28">
        <f>IF(N9="","",MAX(0,AsOf-J9))</f>
        <v/>
      </c>
      <c r="P9" s="66">
        <f>IF(O9="","",IF(O9=0,"Current",IF(O9&lt;=30,"1-30",IF(O9&lt;=60,"31-60",IF(O9&lt;=90,"61-90","90+")))))</f>
        <v/>
      </c>
      <c r="Q9" s="66">
        <f>IF(T9&lt;&gt;"","⛔ "&amp;T9&amp;" — not posted",IF(U9&lt;&gt;"","⚠ "&amp;U9,IF(V9=1,"✓ OK","")))</f>
        <v/>
      </c>
      <c r="R9" s="67">
        <f>IF(AND(B9="",C9="",D9="",G9="",F9=""),1,0)</f>
        <v/>
      </c>
      <c r="S9" s="68">
        <f>IF(AND(TaxOn="Yes",ISNUMBER(H9)),H9,0)</f>
        <v/>
      </c>
      <c r="T9" s="67">
        <f>IF(R9=1,"",IF(B9="","Enter an invoice #",IF(C9="","Missing invoice date",IF(NOT(ISNUMBER(C9)),"Invalid date",IF(OR(C9&lt;DATE(2000,1,1),C9&gt;DATE(2099,12,31)),"Invalid date",IF(F9="","Select a revenue account",IF(ISNA(MATCH(F9,coa_Name,0)),"Unknown account: "&amp;F9,IF(NOT(ISNUMBER(G9)),"Enter an amount",IF(G9&lt;=0,"Amount must be positive",IF(S9&gt;G9,"Tax is larger than the amount",""))))))))))</f>
        <v/>
      </c>
      <c r="U9" s="67">
        <f>IF(OR(R9=1,T9&lt;&gt;""),"",IF(COUNTIF(ar_No,B9)&gt;1,"Duplicate invoice #",IF(D9="","Select a customer",IF(N(L9)&lt;0,"Overpaid by "&amp;TEXT(-L9,"#,##0.00"),IF(AND(ISNUMBER(H9),N(H9)&lt;&gt;0,S9=0),"Tax ignored (tax tracking is off)",IF(AND(ISNUMBER(StartDate),C9&lt;StartDate),"Date is before the accounting start date",IF(AND(IFERROR(INDEX(coa_Type,MATCH(F9,coa_Name,0)),"")&lt;&gt;"Revenue",IFERROR(INDEX(coa_Type,MATCH(F9,coa_Name,0)),"")&lt;&gt;"Other Income"),"Account is not a revenue account","")))))))</f>
        <v/>
      </c>
      <c r="V9" s="67">
        <f>IF(AND(R9=0,T9=""),1,0)</f>
        <v/>
      </c>
      <c r="W9" s="67">
        <f>IF(V9=1,acctAR,"")</f>
        <v/>
      </c>
      <c r="X9" s="67">
        <f>IF(V9=1,F9,"")</f>
        <v/>
      </c>
      <c r="Y9" s="68">
        <f>IF(V9=1,G9,0)</f>
        <v/>
      </c>
      <c r="Z9" s="68">
        <f>IF(V9=1,G9-S9,0)</f>
        <v/>
      </c>
      <c r="AA9" s="68">
        <f>IF(V9=1,S9,0)</f>
        <v/>
      </c>
    </row>
    <row r="10">
      <c r="B10" s="62" t="inlineStr">
        <is>
          <t>INV-1004</t>
        </is>
      </c>
      <c r="C10" s="63" t="n">
        <v>46067</v>
      </c>
      <c r="D10" s="62" t="inlineStr">
        <is>
          <t>St. Jude Clinic</t>
        </is>
      </c>
      <c r="E10" s="62" t="inlineStr">
        <is>
          <t>Catering order</t>
        </is>
      </c>
      <c r="F10" s="62" t="inlineStr">
        <is>
          <t>Service Income</t>
        </is>
      </c>
      <c r="G10" s="64" t="n">
        <v>29856.65</v>
      </c>
      <c r="H10" s="64" t="n">
        <v>3198.93</v>
      </c>
      <c r="I10" s="63" t="n"/>
      <c r="J10" s="29">
        <f>IF(V10=1,IF(ISNUMBER(I10),I10,C10+IF(ISNUMBER(IFERROR(INDEX(cust_Terms,MATCH(D10,cust_Name,0)),"")),INDEX(cust_Terms,MATCH(D10,cust_Name,0)),TermsDays)),"")</f>
        <v/>
      </c>
      <c r="K10" s="65">
        <f>IF(V10=1,SUMIFS(tx_DrAmt,tx_Type,"Customer Payment",tx_Ref,B10&amp;"",tx_Date,"&lt;="&amp;AsOf),"")</f>
        <v/>
      </c>
      <c r="L10" s="65">
        <f>IF(V10=1,IF(C10&gt;AsOf,0,ROUND(G10-K10,2)),"")</f>
        <v/>
      </c>
      <c r="M10" s="66">
        <f>IF(V10&lt;&gt;1,"",IF(C10&gt;AsOf,"Future",IF(L10&lt;0,"Overpaid",IF(L10=0,"Paid",IF(AsOf&gt;J10,"Overdue",IF(K10&gt;0,"Partial","Unpaid"))))))</f>
        <v/>
      </c>
      <c r="N10" s="28">
        <f>IF(AND(V10=1,N(L10)&gt;0),AsOf-C10,"")</f>
        <v/>
      </c>
      <c r="O10" s="28">
        <f>IF(N10="","",MAX(0,AsOf-J10))</f>
        <v/>
      </c>
      <c r="P10" s="66">
        <f>IF(O10="","",IF(O10=0,"Current",IF(O10&lt;=30,"1-30",IF(O10&lt;=60,"31-60",IF(O10&lt;=90,"61-90","90+")))))</f>
        <v/>
      </c>
      <c r="Q10" s="66">
        <f>IF(T10&lt;&gt;"","⛔ "&amp;T10&amp;" — not posted",IF(U10&lt;&gt;"","⚠ "&amp;U10,IF(V10=1,"✓ OK","")))</f>
        <v/>
      </c>
      <c r="R10" s="67">
        <f>IF(AND(B10="",C10="",D10="",G10="",F10=""),1,0)</f>
        <v/>
      </c>
      <c r="S10" s="68">
        <f>IF(AND(TaxOn="Yes",ISNUMBER(H10)),H10,0)</f>
        <v/>
      </c>
      <c r="T10" s="67">
        <f>IF(R10=1,"",IF(B10="","Enter an invoice #",IF(C10="","Missing invoice date",IF(NOT(ISNUMBER(C10)),"Invalid date",IF(OR(C10&lt;DATE(2000,1,1),C10&gt;DATE(2099,12,31)),"Invalid date",IF(F10="","Select a revenue account",IF(ISNA(MATCH(F10,coa_Name,0)),"Unknown account: "&amp;F10,IF(NOT(ISNUMBER(G10)),"Enter an amount",IF(G10&lt;=0,"Amount must be positive",IF(S10&gt;G10,"Tax is larger than the amount",""))))))))))</f>
        <v/>
      </c>
      <c r="U10" s="67">
        <f>IF(OR(R10=1,T10&lt;&gt;""),"",IF(COUNTIF(ar_No,B10)&gt;1,"Duplicate invoice #",IF(D10="","Select a customer",IF(N(L10)&lt;0,"Overpaid by "&amp;TEXT(-L10,"#,##0.00"),IF(AND(ISNUMBER(H10),N(H10)&lt;&gt;0,S10=0),"Tax ignored (tax tracking is off)",IF(AND(ISNUMBER(StartDate),C10&lt;StartDate),"Date is before the accounting start date",IF(AND(IFERROR(INDEX(coa_Type,MATCH(F10,coa_Name,0)),"")&lt;&gt;"Revenue",IFERROR(INDEX(coa_Type,MATCH(F10,coa_Name,0)),"")&lt;&gt;"Other Income"),"Account is not a revenue account","")))))))</f>
        <v/>
      </c>
      <c r="V10" s="67">
        <f>IF(AND(R10=0,T10=""),1,0)</f>
        <v/>
      </c>
      <c r="W10" s="67">
        <f>IF(V10=1,acctAR,"")</f>
        <v/>
      </c>
      <c r="X10" s="67">
        <f>IF(V10=1,F10,"")</f>
        <v/>
      </c>
      <c r="Y10" s="68">
        <f>IF(V10=1,G10,0)</f>
        <v/>
      </c>
      <c r="Z10" s="68">
        <f>IF(V10=1,G10-S10,0)</f>
        <v/>
      </c>
      <c r="AA10" s="68">
        <f>IF(V10=1,S10,0)</f>
        <v/>
      </c>
    </row>
    <row r="11">
      <c r="B11" s="62" t="inlineStr">
        <is>
          <t>INV-1005</t>
        </is>
      </c>
      <c r="C11" s="63" t="n">
        <v>46065</v>
      </c>
      <c r="D11" s="62" t="inlineStr">
        <is>
          <t>Brightpath Academy</t>
        </is>
      </c>
      <c r="E11" s="62" t="inlineStr">
        <is>
          <t>Catering order</t>
        </is>
      </c>
      <c r="F11" s="62" t="inlineStr">
        <is>
          <t>Service Income</t>
        </is>
      </c>
      <c r="G11" s="64" t="n">
        <v>21310.46</v>
      </c>
      <c r="H11" s="64" t="n">
        <v>2283.26</v>
      </c>
      <c r="I11" s="63" t="n"/>
      <c r="J11" s="29">
        <f>IF(V11=1,IF(ISNUMBER(I11),I11,C11+IF(ISNUMBER(IFERROR(INDEX(cust_Terms,MATCH(D11,cust_Name,0)),"")),INDEX(cust_Terms,MATCH(D11,cust_Name,0)),TermsDays)),"")</f>
        <v/>
      </c>
      <c r="K11" s="65">
        <f>IF(V11=1,SUMIFS(tx_DrAmt,tx_Type,"Customer Payment",tx_Ref,B11&amp;"",tx_Date,"&lt;="&amp;AsOf),"")</f>
        <v/>
      </c>
      <c r="L11" s="65">
        <f>IF(V11=1,IF(C11&gt;AsOf,0,ROUND(G11-K11,2)),"")</f>
        <v/>
      </c>
      <c r="M11" s="66">
        <f>IF(V11&lt;&gt;1,"",IF(C11&gt;AsOf,"Future",IF(L11&lt;0,"Overpaid",IF(L11=0,"Paid",IF(AsOf&gt;J11,"Overdue",IF(K11&gt;0,"Partial","Unpaid"))))))</f>
        <v/>
      </c>
      <c r="N11" s="28">
        <f>IF(AND(V11=1,N(L11)&gt;0),AsOf-C11,"")</f>
        <v/>
      </c>
      <c r="O11" s="28">
        <f>IF(N11="","",MAX(0,AsOf-J11))</f>
        <v/>
      </c>
      <c r="P11" s="66">
        <f>IF(O11="","",IF(O11=0,"Current",IF(O11&lt;=30,"1-30",IF(O11&lt;=60,"31-60",IF(O11&lt;=90,"61-90","90+")))))</f>
        <v/>
      </c>
      <c r="Q11" s="66">
        <f>IF(T11&lt;&gt;"","⛔ "&amp;T11&amp;" — not posted",IF(U11&lt;&gt;"","⚠ "&amp;U11,IF(V11=1,"✓ OK","")))</f>
        <v/>
      </c>
      <c r="R11" s="67">
        <f>IF(AND(B11="",C11="",D11="",G11="",F11=""),1,0)</f>
        <v/>
      </c>
      <c r="S11" s="68">
        <f>IF(AND(TaxOn="Yes",ISNUMBER(H11)),H11,0)</f>
        <v/>
      </c>
      <c r="T11" s="67">
        <f>IF(R11=1,"",IF(B11="","Enter an invoice #",IF(C11="","Missing invoice date",IF(NOT(ISNUMBER(C11)),"Invalid date",IF(OR(C11&lt;DATE(2000,1,1),C11&gt;DATE(2099,12,31)),"Invalid date",IF(F11="","Select a revenue account",IF(ISNA(MATCH(F11,coa_Name,0)),"Unknown account: "&amp;F11,IF(NOT(ISNUMBER(G11)),"Enter an amount",IF(G11&lt;=0,"Amount must be positive",IF(S11&gt;G11,"Tax is larger than the amount",""))))))))))</f>
        <v/>
      </c>
      <c r="U11" s="67">
        <f>IF(OR(R11=1,T11&lt;&gt;""),"",IF(COUNTIF(ar_No,B11)&gt;1,"Duplicate invoice #",IF(D11="","Select a customer",IF(N(L11)&lt;0,"Overpaid by "&amp;TEXT(-L11,"#,##0.00"),IF(AND(ISNUMBER(H11),N(H11)&lt;&gt;0,S11=0),"Tax ignored (tax tracking is off)",IF(AND(ISNUMBER(StartDate),C11&lt;StartDate),"Date is before the accounting start date",IF(AND(IFERROR(INDEX(coa_Type,MATCH(F11,coa_Name,0)),"")&lt;&gt;"Revenue",IFERROR(INDEX(coa_Type,MATCH(F11,coa_Name,0)),"")&lt;&gt;"Other Income"),"Account is not a revenue account","")))))))</f>
        <v/>
      </c>
      <c r="V11" s="67">
        <f>IF(AND(R11=0,T11=""),1,0)</f>
        <v/>
      </c>
      <c r="W11" s="67">
        <f>IF(V11=1,acctAR,"")</f>
        <v/>
      </c>
      <c r="X11" s="67">
        <f>IF(V11=1,F11,"")</f>
        <v/>
      </c>
      <c r="Y11" s="68">
        <f>IF(V11=1,G11,0)</f>
        <v/>
      </c>
      <c r="Z11" s="68">
        <f>IF(V11=1,G11-S11,0)</f>
        <v/>
      </c>
      <c r="AA11" s="68">
        <f>IF(V11=1,S11,0)</f>
        <v/>
      </c>
    </row>
    <row r="12">
      <c r="B12" s="62" t="inlineStr">
        <is>
          <t>INV-1006</t>
        </is>
      </c>
      <c r="C12" s="63" t="n">
        <v>46083</v>
      </c>
      <c r="D12" s="62" t="inlineStr">
        <is>
          <t>Casa Verde Events</t>
        </is>
      </c>
      <c r="E12" s="62" t="inlineStr">
        <is>
          <t>Catering order</t>
        </is>
      </c>
      <c r="F12" s="62" t="inlineStr">
        <is>
          <t>Service Income</t>
        </is>
      </c>
      <c r="G12" s="64" t="n">
        <v>38801.41</v>
      </c>
      <c r="H12" s="64" t="n">
        <v>4157.29</v>
      </c>
      <c r="I12" s="63" t="n"/>
      <c r="J12" s="29">
        <f>IF(V12=1,IF(ISNUMBER(I12),I12,C12+IF(ISNUMBER(IFERROR(INDEX(cust_Terms,MATCH(D12,cust_Name,0)),"")),INDEX(cust_Terms,MATCH(D12,cust_Name,0)),TermsDays)),"")</f>
        <v/>
      </c>
      <c r="K12" s="65">
        <f>IF(V12=1,SUMIFS(tx_DrAmt,tx_Type,"Customer Payment",tx_Ref,B12&amp;"",tx_Date,"&lt;="&amp;AsOf),"")</f>
        <v/>
      </c>
      <c r="L12" s="65">
        <f>IF(V12=1,IF(C12&gt;AsOf,0,ROUND(G12-K12,2)),"")</f>
        <v/>
      </c>
      <c r="M12" s="66">
        <f>IF(V12&lt;&gt;1,"",IF(C12&gt;AsOf,"Future",IF(L12&lt;0,"Overpaid",IF(L12=0,"Paid",IF(AsOf&gt;J12,"Overdue",IF(K12&gt;0,"Partial","Unpaid"))))))</f>
        <v/>
      </c>
      <c r="N12" s="28">
        <f>IF(AND(V12=1,N(L12)&gt;0),AsOf-C12,"")</f>
        <v/>
      </c>
      <c r="O12" s="28">
        <f>IF(N12="","",MAX(0,AsOf-J12))</f>
        <v/>
      </c>
      <c r="P12" s="66">
        <f>IF(O12="","",IF(O12=0,"Current",IF(O12&lt;=30,"1-30",IF(O12&lt;=60,"31-60",IF(O12&lt;=90,"61-90","90+")))))</f>
        <v/>
      </c>
      <c r="Q12" s="66">
        <f>IF(T12&lt;&gt;"","⛔ "&amp;T12&amp;" — not posted",IF(U12&lt;&gt;"","⚠ "&amp;U12,IF(V12=1,"✓ OK","")))</f>
        <v/>
      </c>
      <c r="R12" s="67">
        <f>IF(AND(B12="",C12="",D12="",G12="",F12=""),1,0)</f>
        <v/>
      </c>
      <c r="S12" s="68">
        <f>IF(AND(TaxOn="Yes",ISNUMBER(H12)),H12,0)</f>
        <v/>
      </c>
      <c r="T12" s="67">
        <f>IF(R12=1,"",IF(B12="","Enter an invoice #",IF(C12="","Missing invoice date",IF(NOT(ISNUMBER(C12)),"Invalid date",IF(OR(C12&lt;DATE(2000,1,1),C12&gt;DATE(2099,12,31)),"Invalid date",IF(F12="","Select a revenue account",IF(ISNA(MATCH(F12,coa_Name,0)),"Unknown account: "&amp;F12,IF(NOT(ISNUMBER(G12)),"Enter an amount",IF(G12&lt;=0,"Amount must be positive",IF(S12&gt;G12,"Tax is larger than the amount",""))))))))))</f>
        <v/>
      </c>
      <c r="U12" s="67">
        <f>IF(OR(R12=1,T12&lt;&gt;""),"",IF(COUNTIF(ar_No,B12)&gt;1,"Duplicate invoice #",IF(D12="","Select a customer",IF(N(L12)&lt;0,"Overpaid by "&amp;TEXT(-L12,"#,##0.00"),IF(AND(ISNUMBER(H12),N(H12)&lt;&gt;0,S12=0),"Tax ignored (tax tracking is off)",IF(AND(ISNUMBER(StartDate),C12&lt;StartDate),"Date is before the accounting start date",IF(AND(IFERROR(INDEX(coa_Type,MATCH(F12,coa_Name,0)),"")&lt;&gt;"Revenue",IFERROR(INDEX(coa_Type,MATCH(F12,coa_Name,0)),"")&lt;&gt;"Other Income"),"Account is not a revenue account","")))))))</f>
        <v/>
      </c>
      <c r="V12" s="67">
        <f>IF(AND(R12=0,T12=""),1,0)</f>
        <v/>
      </c>
      <c r="W12" s="67">
        <f>IF(V12=1,acctAR,"")</f>
        <v/>
      </c>
      <c r="X12" s="67">
        <f>IF(V12=1,F12,"")</f>
        <v/>
      </c>
      <c r="Y12" s="68">
        <f>IF(V12=1,G12,0)</f>
        <v/>
      </c>
      <c r="Z12" s="68">
        <f>IF(V12=1,G12-S12,0)</f>
        <v/>
      </c>
      <c r="AA12" s="68">
        <f>IF(V12=1,S12,0)</f>
        <v/>
      </c>
    </row>
    <row r="13">
      <c r="B13" s="62" t="inlineStr">
        <is>
          <t>INV-1007</t>
        </is>
      </c>
      <c r="C13" s="63" t="n">
        <v>46107</v>
      </c>
      <c r="D13" s="62" t="inlineStr">
        <is>
          <t>Luntian Coworking</t>
        </is>
      </c>
      <c r="E13" s="62" t="inlineStr">
        <is>
          <t>Catering order</t>
        </is>
      </c>
      <c r="F13" s="62" t="inlineStr">
        <is>
          <t>Service Income</t>
        </is>
      </c>
      <c r="G13" s="64" t="n">
        <v>24998.54</v>
      </c>
      <c r="H13" s="64" t="n">
        <v>2678.41</v>
      </c>
      <c r="I13" s="63" t="n"/>
      <c r="J13" s="29">
        <f>IF(V13=1,IF(ISNUMBER(I13),I13,C13+IF(ISNUMBER(IFERROR(INDEX(cust_Terms,MATCH(D13,cust_Name,0)),"")),INDEX(cust_Terms,MATCH(D13,cust_Name,0)),TermsDays)),"")</f>
        <v/>
      </c>
      <c r="K13" s="65">
        <f>IF(V13=1,SUMIFS(tx_DrAmt,tx_Type,"Customer Payment",tx_Ref,B13&amp;"",tx_Date,"&lt;="&amp;AsOf),"")</f>
        <v/>
      </c>
      <c r="L13" s="65">
        <f>IF(V13=1,IF(C13&gt;AsOf,0,ROUND(G13-K13,2)),"")</f>
        <v/>
      </c>
      <c r="M13" s="66">
        <f>IF(V13&lt;&gt;1,"",IF(C13&gt;AsOf,"Future",IF(L13&lt;0,"Overpaid",IF(L13=0,"Paid",IF(AsOf&gt;J13,"Overdue",IF(K13&gt;0,"Partial","Unpaid"))))))</f>
        <v/>
      </c>
      <c r="N13" s="28">
        <f>IF(AND(V13=1,N(L13)&gt;0),AsOf-C13,"")</f>
        <v/>
      </c>
      <c r="O13" s="28">
        <f>IF(N13="","",MAX(0,AsOf-J13))</f>
        <v/>
      </c>
      <c r="P13" s="66">
        <f>IF(O13="","",IF(O13=0,"Current",IF(O13&lt;=30,"1-30",IF(O13&lt;=60,"31-60",IF(O13&lt;=90,"61-90","90+")))))</f>
        <v/>
      </c>
      <c r="Q13" s="66">
        <f>IF(T13&lt;&gt;"","⛔ "&amp;T13&amp;" — not posted",IF(U13&lt;&gt;"","⚠ "&amp;U13,IF(V13=1,"✓ OK","")))</f>
        <v/>
      </c>
      <c r="R13" s="67">
        <f>IF(AND(B13="",C13="",D13="",G13="",F13=""),1,0)</f>
        <v/>
      </c>
      <c r="S13" s="68">
        <f>IF(AND(TaxOn="Yes",ISNUMBER(H13)),H13,0)</f>
        <v/>
      </c>
      <c r="T13" s="67">
        <f>IF(R13=1,"",IF(B13="","Enter an invoice #",IF(C13="","Missing invoice date",IF(NOT(ISNUMBER(C13)),"Invalid date",IF(OR(C13&lt;DATE(2000,1,1),C13&gt;DATE(2099,12,31)),"Invalid date",IF(F13="","Select a revenue account",IF(ISNA(MATCH(F13,coa_Name,0)),"Unknown account: "&amp;F13,IF(NOT(ISNUMBER(G13)),"Enter an amount",IF(G13&lt;=0,"Amount must be positive",IF(S13&gt;G13,"Tax is larger than the amount",""))))))))))</f>
        <v/>
      </c>
      <c r="U13" s="67">
        <f>IF(OR(R13=1,T13&lt;&gt;""),"",IF(COUNTIF(ar_No,B13)&gt;1,"Duplicate invoice #",IF(D13="","Select a customer",IF(N(L13)&lt;0,"Overpaid by "&amp;TEXT(-L13,"#,##0.00"),IF(AND(ISNUMBER(H13),N(H13)&lt;&gt;0,S13=0),"Tax ignored (tax tracking is off)",IF(AND(ISNUMBER(StartDate),C13&lt;StartDate),"Date is before the accounting start date",IF(AND(IFERROR(INDEX(coa_Type,MATCH(F13,coa_Name,0)),"")&lt;&gt;"Revenue",IFERROR(INDEX(coa_Type,MATCH(F13,coa_Name,0)),"")&lt;&gt;"Other Income"),"Account is not a revenue account","")))))))</f>
        <v/>
      </c>
      <c r="V13" s="67">
        <f>IF(AND(R13=0,T13=""),1,0)</f>
        <v/>
      </c>
      <c r="W13" s="67">
        <f>IF(V13=1,acctAR,"")</f>
        <v/>
      </c>
      <c r="X13" s="67">
        <f>IF(V13=1,F13,"")</f>
        <v/>
      </c>
      <c r="Y13" s="68">
        <f>IF(V13=1,G13,0)</f>
        <v/>
      </c>
      <c r="Z13" s="68">
        <f>IF(V13=1,G13-S13,0)</f>
        <v/>
      </c>
      <c r="AA13" s="68">
        <f>IF(V13=1,S13,0)</f>
        <v/>
      </c>
    </row>
    <row r="14">
      <c r="B14" s="62" t="inlineStr">
        <is>
          <t>INV-1008</t>
        </is>
      </c>
      <c r="C14" s="63" t="n">
        <v>46135</v>
      </c>
      <c r="D14" s="62" t="inlineStr">
        <is>
          <t>Brightpath Academy</t>
        </is>
      </c>
      <c r="E14" s="62" t="inlineStr">
        <is>
          <t>Catering order</t>
        </is>
      </c>
      <c r="F14" s="62" t="inlineStr">
        <is>
          <t>Service Income</t>
        </is>
      </c>
      <c r="G14" s="64" t="n">
        <v>14868.38</v>
      </c>
      <c r="H14" s="64" t="n">
        <v>1593.04</v>
      </c>
      <c r="I14" s="63" t="n"/>
      <c r="J14" s="29">
        <f>IF(V14=1,IF(ISNUMBER(I14),I14,C14+IF(ISNUMBER(IFERROR(INDEX(cust_Terms,MATCH(D14,cust_Name,0)),"")),INDEX(cust_Terms,MATCH(D14,cust_Name,0)),TermsDays)),"")</f>
        <v/>
      </c>
      <c r="K14" s="65">
        <f>IF(V14=1,SUMIFS(tx_DrAmt,tx_Type,"Customer Payment",tx_Ref,B14&amp;"",tx_Date,"&lt;="&amp;AsOf),"")</f>
        <v/>
      </c>
      <c r="L14" s="65">
        <f>IF(V14=1,IF(C14&gt;AsOf,0,ROUND(G14-K14,2)),"")</f>
        <v/>
      </c>
      <c r="M14" s="66">
        <f>IF(V14&lt;&gt;1,"",IF(C14&gt;AsOf,"Future",IF(L14&lt;0,"Overpaid",IF(L14=0,"Paid",IF(AsOf&gt;J14,"Overdue",IF(K14&gt;0,"Partial","Unpaid"))))))</f>
        <v/>
      </c>
      <c r="N14" s="28">
        <f>IF(AND(V14=1,N(L14)&gt;0),AsOf-C14,"")</f>
        <v/>
      </c>
      <c r="O14" s="28">
        <f>IF(N14="","",MAX(0,AsOf-J14))</f>
        <v/>
      </c>
      <c r="P14" s="66">
        <f>IF(O14="","",IF(O14=0,"Current",IF(O14&lt;=30,"1-30",IF(O14&lt;=60,"31-60",IF(O14&lt;=90,"61-90","90+")))))</f>
        <v/>
      </c>
      <c r="Q14" s="66">
        <f>IF(T14&lt;&gt;"","⛔ "&amp;T14&amp;" — not posted",IF(U14&lt;&gt;"","⚠ "&amp;U14,IF(V14=1,"✓ OK","")))</f>
        <v/>
      </c>
      <c r="R14" s="67">
        <f>IF(AND(B14="",C14="",D14="",G14="",F14=""),1,0)</f>
        <v/>
      </c>
      <c r="S14" s="68">
        <f>IF(AND(TaxOn="Yes",ISNUMBER(H14)),H14,0)</f>
        <v/>
      </c>
      <c r="T14" s="67">
        <f>IF(R14=1,"",IF(B14="","Enter an invoice #",IF(C14="","Missing invoice date",IF(NOT(ISNUMBER(C14)),"Invalid date",IF(OR(C14&lt;DATE(2000,1,1),C14&gt;DATE(2099,12,31)),"Invalid date",IF(F14="","Select a revenue account",IF(ISNA(MATCH(F14,coa_Name,0)),"Unknown account: "&amp;F14,IF(NOT(ISNUMBER(G14)),"Enter an amount",IF(G14&lt;=0,"Amount must be positive",IF(S14&gt;G14,"Tax is larger than the amount",""))))))))))</f>
        <v/>
      </c>
      <c r="U14" s="67">
        <f>IF(OR(R14=1,T14&lt;&gt;""),"",IF(COUNTIF(ar_No,B14)&gt;1,"Duplicate invoice #",IF(D14="","Select a customer",IF(N(L14)&lt;0,"Overpaid by "&amp;TEXT(-L14,"#,##0.00"),IF(AND(ISNUMBER(H14),N(H14)&lt;&gt;0,S14=0),"Tax ignored (tax tracking is off)",IF(AND(ISNUMBER(StartDate),C14&lt;StartDate),"Date is before the accounting start date",IF(AND(IFERROR(INDEX(coa_Type,MATCH(F14,coa_Name,0)),"")&lt;&gt;"Revenue",IFERROR(INDEX(coa_Type,MATCH(F14,coa_Name,0)),"")&lt;&gt;"Other Income"),"Account is not a revenue account","")))))))</f>
        <v/>
      </c>
      <c r="V14" s="67">
        <f>IF(AND(R14=0,T14=""),1,0)</f>
        <v/>
      </c>
      <c r="W14" s="67">
        <f>IF(V14=1,acctAR,"")</f>
        <v/>
      </c>
      <c r="X14" s="67">
        <f>IF(V14=1,F14,"")</f>
        <v/>
      </c>
      <c r="Y14" s="68">
        <f>IF(V14=1,G14,0)</f>
        <v/>
      </c>
      <c r="Z14" s="68">
        <f>IF(V14=1,G14-S14,0)</f>
        <v/>
      </c>
      <c r="AA14" s="68">
        <f>IF(V14=1,S14,0)</f>
        <v/>
      </c>
    </row>
    <row r="15">
      <c r="B15" s="62" t="inlineStr">
        <is>
          <t>INV-1009</t>
        </is>
      </c>
      <c r="C15" s="63" t="n">
        <v>46126</v>
      </c>
      <c r="D15" s="62" t="inlineStr">
        <is>
          <t>St. Jude Clinic</t>
        </is>
      </c>
      <c r="E15" s="62" t="inlineStr">
        <is>
          <t>Catering order</t>
        </is>
      </c>
      <c r="F15" s="62" t="inlineStr">
        <is>
          <t>Service Income</t>
        </is>
      </c>
      <c r="G15" s="64" t="n">
        <v>13390.41</v>
      </c>
      <c r="H15" s="64" t="n">
        <v>1434.69</v>
      </c>
      <c r="I15" s="63" t="n"/>
      <c r="J15" s="29">
        <f>IF(V15=1,IF(ISNUMBER(I15),I15,C15+IF(ISNUMBER(IFERROR(INDEX(cust_Terms,MATCH(D15,cust_Name,0)),"")),INDEX(cust_Terms,MATCH(D15,cust_Name,0)),TermsDays)),"")</f>
        <v/>
      </c>
      <c r="K15" s="65">
        <f>IF(V15=1,SUMIFS(tx_DrAmt,tx_Type,"Customer Payment",tx_Ref,B15&amp;"",tx_Date,"&lt;="&amp;AsOf),"")</f>
        <v/>
      </c>
      <c r="L15" s="65">
        <f>IF(V15=1,IF(C15&gt;AsOf,0,ROUND(G15-K15,2)),"")</f>
        <v/>
      </c>
      <c r="M15" s="66">
        <f>IF(V15&lt;&gt;1,"",IF(C15&gt;AsOf,"Future",IF(L15&lt;0,"Overpaid",IF(L15=0,"Paid",IF(AsOf&gt;J15,"Overdue",IF(K15&gt;0,"Partial","Unpaid"))))))</f>
        <v/>
      </c>
      <c r="N15" s="28">
        <f>IF(AND(V15=1,N(L15)&gt;0),AsOf-C15,"")</f>
        <v/>
      </c>
      <c r="O15" s="28">
        <f>IF(N15="","",MAX(0,AsOf-J15))</f>
        <v/>
      </c>
      <c r="P15" s="66">
        <f>IF(O15="","",IF(O15=0,"Current",IF(O15&lt;=30,"1-30",IF(O15&lt;=60,"31-60",IF(O15&lt;=90,"61-90","90+")))))</f>
        <v/>
      </c>
      <c r="Q15" s="66">
        <f>IF(T15&lt;&gt;"","⛔ "&amp;T15&amp;" — not posted",IF(U15&lt;&gt;"","⚠ "&amp;U15,IF(V15=1,"✓ OK","")))</f>
        <v/>
      </c>
      <c r="R15" s="67">
        <f>IF(AND(B15="",C15="",D15="",G15="",F15=""),1,0)</f>
        <v/>
      </c>
      <c r="S15" s="68">
        <f>IF(AND(TaxOn="Yes",ISNUMBER(H15)),H15,0)</f>
        <v/>
      </c>
      <c r="T15" s="67">
        <f>IF(R15=1,"",IF(B15="","Enter an invoice #",IF(C15="","Missing invoice date",IF(NOT(ISNUMBER(C15)),"Invalid date",IF(OR(C15&lt;DATE(2000,1,1),C15&gt;DATE(2099,12,31)),"Invalid date",IF(F15="","Select a revenue account",IF(ISNA(MATCH(F15,coa_Name,0)),"Unknown account: "&amp;F15,IF(NOT(ISNUMBER(G15)),"Enter an amount",IF(G15&lt;=0,"Amount must be positive",IF(S15&gt;G15,"Tax is larger than the amount",""))))))))))</f>
        <v/>
      </c>
      <c r="U15" s="67">
        <f>IF(OR(R15=1,T15&lt;&gt;""),"",IF(COUNTIF(ar_No,B15)&gt;1,"Duplicate invoice #",IF(D15="","Select a customer",IF(N(L15)&lt;0,"Overpaid by "&amp;TEXT(-L15,"#,##0.00"),IF(AND(ISNUMBER(H15),N(H15)&lt;&gt;0,S15=0),"Tax ignored (tax tracking is off)",IF(AND(ISNUMBER(StartDate),C15&lt;StartDate),"Date is before the accounting start date",IF(AND(IFERROR(INDEX(coa_Type,MATCH(F15,coa_Name,0)),"")&lt;&gt;"Revenue",IFERROR(INDEX(coa_Type,MATCH(F15,coa_Name,0)),"")&lt;&gt;"Other Income"),"Account is not a revenue account","")))))))</f>
        <v/>
      </c>
      <c r="V15" s="67">
        <f>IF(AND(R15=0,T15=""),1,0)</f>
        <v/>
      </c>
      <c r="W15" s="67">
        <f>IF(V15=1,acctAR,"")</f>
        <v/>
      </c>
      <c r="X15" s="67">
        <f>IF(V15=1,F15,"")</f>
        <v/>
      </c>
      <c r="Y15" s="68">
        <f>IF(V15=1,G15,0)</f>
        <v/>
      </c>
      <c r="Z15" s="68">
        <f>IF(V15=1,G15-S15,0)</f>
        <v/>
      </c>
      <c r="AA15" s="68">
        <f>IF(V15=1,S15,0)</f>
        <v/>
      </c>
    </row>
    <row r="16">
      <c r="B16" s="62" t="inlineStr">
        <is>
          <t>INV-1010</t>
        </is>
      </c>
      <c r="C16" s="63" t="n">
        <v>46168</v>
      </c>
      <c r="D16" s="62" t="inlineStr">
        <is>
          <t>Northwind Offices</t>
        </is>
      </c>
      <c r="E16" s="62" t="inlineStr">
        <is>
          <t>Catering order</t>
        </is>
      </c>
      <c r="F16" s="62" t="inlineStr">
        <is>
          <t>Service Income</t>
        </is>
      </c>
      <c r="G16" s="64" t="n">
        <v>38993.36</v>
      </c>
      <c r="H16" s="64" t="n">
        <v>4177.86</v>
      </c>
      <c r="I16" s="63" t="n"/>
      <c r="J16" s="29">
        <f>IF(V16=1,IF(ISNUMBER(I16),I16,C16+IF(ISNUMBER(IFERROR(INDEX(cust_Terms,MATCH(D16,cust_Name,0)),"")),INDEX(cust_Terms,MATCH(D16,cust_Name,0)),TermsDays)),"")</f>
        <v/>
      </c>
      <c r="K16" s="65">
        <f>IF(V16=1,SUMIFS(tx_DrAmt,tx_Type,"Customer Payment",tx_Ref,B16&amp;"",tx_Date,"&lt;="&amp;AsOf),"")</f>
        <v/>
      </c>
      <c r="L16" s="65">
        <f>IF(V16=1,IF(C16&gt;AsOf,0,ROUND(G16-K16,2)),"")</f>
        <v/>
      </c>
      <c r="M16" s="66">
        <f>IF(V16&lt;&gt;1,"",IF(C16&gt;AsOf,"Future",IF(L16&lt;0,"Overpaid",IF(L16=0,"Paid",IF(AsOf&gt;J16,"Overdue",IF(K16&gt;0,"Partial","Unpaid"))))))</f>
        <v/>
      </c>
      <c r="N16" s="28">
        <f>IF(AND(V16=1,N(L16)&gt;0),AsOf-C16,"")</f>
        <v/>
      </c>
      <c r="O16" s="28">
        <f>IF(N16="","",MAX(0,AsOf-J16))</f>
        <v/>
      </c>
      <c r="P16" s="66">
        <f>IF(O16="","",IF(O16=0,"Current",IF(O16&lt;=30,"1-30",IF(O16&lt;=60,"31-60",IF(O16&lt;=90,"61-90","90+")))))</f>
        <v/>
      </c>
      <c r="Q16" s="66">
        <f>IF(T16&lt;&gt;"","⛔ "&amp;T16&amp;" — not posted",IF(U16&lt;&gt;"","⚠ "&amp;U16,IF(V16=1,"✓ OK","")))</f>
        <v/>
      </c>
      <c r="R16" s="67">
        <f>IF(AND(B16="",C16="",D16="",G16="",F16=""),1,0)</f>
        <v/>
      </c>
      <c r="S16" s="68">
        <f>IF(AND(TaxOn="Yes",ISNUMBER(H16)),H16,0)</f>
        <v/>
      </c>
      <c r="T16" s="67">
        <f>IF(R16=1,"",IF(B16="","Enter an invoice #",IF(C16="","Missing invoice date",IF(NOT(ISNUMBER(C16)),"Invalid date",IF(OR(C16&lt;DATE(2000,1,1),C16&gt;DATE(2099,12,31)),"Invalid date",IF(F16="","Select a revenue account",IF(ISNA(MATCH(F16,coa_Name,0)),"Unknown account: "&amp;F16,IF(NOT(ISNUMBER(G16)),"Enter an amount",IF(G16&lt;=0,"Amount must be positive",IF(S16&gt;G16,"Tax is larger than the amount",""))))))))))</f>
        <v/>
      </c>
      <c r="U16" s="67">
        <f>IF(OR(R16=1,T16&lt;&gt;""),"",IF(COUNTIF(ar_No,B16)&gt;1,"Duplicate invoice #",IF(D16="","Select a customer",IF(N(L16)&lt;0,"Overpaid by "&amp;TEXT(-L16,"#,##0.00"),IF(AND(ISNUMBER(H16),N(H16)&lt;&gt;0,S16=0),"Tax ignored (tax tracking is off)",IF(AND(ISNUMBER(StartDate),C16&lt;StartDate),"Date is before the accounting start date",IF(AND(IFERROR(INDEX(coa_Type,MATCH(F16,coa_Name,0)),"")&lt;&gt;"Revenue",IFERROR(INDEX(coa_Type,MATCH(F16,coa_Name,0)),"")&lt;&gt;"Other Income"),"Account is not a revenue account","")))))))</f>
        <v/>
      </c>
      <c r="V16" s="67">
        <f>IF(AND(R16=0,T16=""),1,0)</f>
        <v/>
      </c>
      <c r="W16" s="67">
        <f>IF(V16=1,acctAR,"")</f>
        <v/>
      </c>
      <c r="X16" s="67">
        <f>IF(V16=1,F16,"")</f>
        <v/>
      </c>
      <c r="Y16" s="68">
        <f>IF(V16=1,G16,0)</f>
        <v/>
      </c>
      <c r="Z16" s="68">
        <f>IF(V16=1,G16-S16,0)</f>
        <v/>
      </c>
      <c r="AA16" s="68">
        <f>IF(V16=1,S16,0)</f>
        <v/>
      </c>
    </row>
    <row r="17">
      <c r="B17" s="62" t="inlineStr">
        <is>
          <t>INV-1011</t>
        </is>
      </c>
      <c r="C17" s="63" t="n">
        <v>46166</v>
      </c>
      <c r="D17" s="62" t="inlineStr">
        <is>
          <t>Casa Verde Events</t>
        </is>
      </c>
      <c r="E17" s="62" t="inlineStr">
        <is>
          <t>Catering order</t>
        </is>
      </c>
      <c r="F17" s="62" t="inlineStr">
        <is>
          <t>Service Income</t>
        </is>
      </c>
      <c r="G17" s="64" t="n">
        <v>28239.26</v>
      </c>
      <c r="H17" s="64" t="n">
        <v>3025.63</v>
      </c>
      <c r="I17" s="63" t="n"/>
      <c r="J17" s="29">
        <f>IF(V17=1,IF(ISNUMBER(I17),I17,C17+IF(ISNUMBER(IFERROR(INDEX(cust_Terms,MATCH(D17,cust_Name,0)),"")),INDEX(cust_Terms,MATCH(D17,cust_Name,0)),TermsDays)),"")</f>
        <v/>
      </c>
      <c r="K17" s="65">
        <f>IF(V17=1,SUMIFS(tx_DrAmt,tx_Type,"Customer Payment",tx_Ref,B17&amp;"",tx_Date,"&lt;="&amp;AsOf),"")</f>
        <v/>
      </c>
      <c r="L17" s="65">
        <f>IF(V17=1,IF(C17&gt;AsOf,0,ROUND(G17-K17,2)),"")</f>
        <v/>
      </c>
      <c r="M17" s="66">
        <f>IF(V17&lt;&gt;1,"",IF(C17&gt;AsOf,"Future",IF(L17&lt;0,"Overpaid",IF(L17=0,"Paid",IF(AsOf&gt;J17,"Overdue",IF(K17&gt;0,"Partial","Unpaid"))))))</f>
        <v/>
      </c>
      <c r="N17" s="28">
        <f>IF(AND(V17=1,N(L17)&gt;0),AsOf-C17,"")</f>
        <v/>
      </c>
      <c r="O17" s="28">
        <f>IF(N17="","",MAX(0,AsOf-J17))</f>
        <v/>
      </c>
      <c r="P17" s="66">
        <f>IF(O17="","",IF(O17=0,"Current",IF(O17&lt;=30,"1-30",IF(O17&lt;=60,"31-60",IF(O17&lt;=90,"61-90","90+")))))</f>
        <v/>
      </c>
      <c r="Q17" s="66">
        <f>IF(T17&lt;&gt;"","⛔ "&amp;T17&amp;" — not posted",IF(U17&lt;&gt;"","⚠ "&amp;U17,IF(V17=1,"✓ OK","")))</f>
        <v/>
      </c>
      <c r="R17" s="67">
        <f>IF(AND(B17="",C17="",D17="",G17="",F17=""),1,0)</f>
        <v/>
      </c>
      <c r="S17" s="68">
        <f>IF(AND(TaxOn="Yes",ISNUMBER(H17)),H17,0)</f>
        <v/>
      </c>
      <c r="T17" s="67">
        <f>IF(R17=1,"",IF(B17="","Enter an invoice #",IF(C17="","Missing invoice date",IF(NOT(ISNUMBER(C17)),"Invalid date",IF(OR(C17&lt;DATE(2000,1,1),C17&gt;DATE(2099,12,31)),"Invalid date",IF(F17="","Select a revenue account",IF(ISNA(MATCH(F17,coa_Name,0)),"Unknown account: "&amp;F17,IF(NOT(ISNUMBER(G17)),"Enter an amount",IF(G17&lt;=0,"Amount must be positive",IF(S17&gt;G17,"Tax is larger than the amount",""))))))))))</f>
        <v/>
      </c>
      <c r="U17" s="67">
        <f>IF(OR(R17=1,T17&lt;&gt;""),"",IF(COUNTIF(ar_No,B17)&gt;1,"Duplicate invoice #",IF(D17="","Select a customer",IF(N(L17)&lt;0,"Overpaid by "&amp;TEXT(-L17,"#,##0.00"),IF(AND(ISNUMBER(H17),N(H17)&lt;&gt;0,S17=0),"Tax ignored (tax tracking is off)",IF(AND(ISNUMBER(StartDate),C17&lt;StartDate),"Date is before the accounting start date",IF(AND(IFERROR(INDEX(coa_Type,MATCH(F17,coa_Name,0)),"")&lt;&gt;"Revenue",IFERROR(INDEX(coa_Type,MATCH(F17,coa_Name,0)),"")&lt;&gt;"Other Income"),"Account is not a revenue account","")))))))</f>
        <v/>
      </c>
      <c r="V17" s="67">
        <f>IF(AND(R17=0,T17=""),1,0)</f>
        <v/>
      </c>
      <c r="W17" s="67">
        <f>IF(V17=1,acctAR,"")</f>
        <v/>
      </c>
      <c r="X17" s="67">
        <f>IF(V17=1,F17,"")</f>
        <v/>
      </c>
      <c r="Y17" s="68">
        <f>IF(V17=1,G17,0)</f>
        <v/>
      </c>
      <c r="Z17" s="68">
        <f>IF(V17=1,G17-S17,0)</f>
        <v/>
      </c>
      <c r="AA17" s="68">
        <f>IF(V17=1,S17,0)</f>
        <v/>
      </c>
    </row>
    <row r="18">
      <c r="B18" s="62" t="inlineStr">
        <is>
          <t>INV-1012</t>
        </is>
      </c>
      <c r="C18" s="63" t="n">
        <v>46164</v>
      </c>
      <c r="D18" s="62" t="inlineStr">
        <is>
          <t>Casa Verde Events</t>
        </is>
      </c>
      <c r="E18" s="62" t="inlineStr">
        <is>
          <t>Catering order</t>
        </is>
      </c>
      <c r="F18" s="62" t="inlineStr">
        <is>
          <t>Service Income</t>
        </is>
      </c>
      <c r="G18" s="64" t="n">
        <v>38768.09</v>
      </c>
      <c r="H18" s="64" t="n">
        <v>4153.72</v>
      </c>
      <c r="I18" s="63" t="n"/>
      <c r="J18" s="29">
        <f>IF(V18=1,IF(ISNUMBER(I18),I18,C18+IF(ISNUMBER(IFERROR(INDEX(cust_Terms,MATCH(D18,cust_Name,0)),"")),INDEX(cust_Terms,MATCH(D18,cust_Name,0)),TermsDays)),"")</f>
        <v/>
      </c>
      <c r="K18" s="65">
        <f>IF(V18=1,SUMIFS(tx_DrAmt,tx_Type,"Customer Payment",tx_Ref,B18&amp;"",tx_Date,"&lt;="&amp;AsOf),"")</f>
        <v/>
      </c>
      <c r="L18" s="65">
        <f>IF(V18=1,IF(C18&gt;AsOf,0,ROUND(G18-K18,2)),"")</f>
        <v/>
      </c>
      <c r="M18" s="66">
        <f>IF(V18&lt;&gt;1,"",IF(C18&gt;AsOf,"Future",IF(L18&lt;0,"Overpaid",IF(L18=0,"Paid",IF(AsOf&gt;J18,"Overdue",IF(K18&gt;0,"Partial","Unpaid"))))))</f>
        <v/>
      </c>
      <c r="N18" s="28">
        <f>IF(AND(V18=1,N(L18)&gt;0),AsOf-C18,"")</f>
        <v/>
      </c>
      <c r="O18" s="28">
        <f>IF(N18="","",MAX(0,AsOf-J18))</f>
        <v/>
      </c>
      <c r="P18" s="66">
        <f>IF(O18="","",IF(O18=0,"Current",IF(O18&lt;=30,"1-30",IF(O18&lt;=60,"31-60",IF(O18&lt;=90,"61-90","90+")))))</f>
        <v/>
      </c>
      <c r="Q18" s="66">
        <f>IF(T18&lt;&gt;"","⛔ "&amp;T18&amp;" — not posted",IF(U18&lt;&gt;"","⚠ "&amp;U18,IF(V18=1,"✓ OK","")))</f>
        <v/>
      </c>
      <c r="R18" s="67">
        <f>IF(AND(B18="",C18="",D18="",G18="",F18=""),1,0)</f>
        <v/>
      </c>
      <c r="S18" s="68">
        <f>IF(AND(TaxOn="Yes",ISNUMBER(H18)),H18,0)</f>
        <v/>
      </c>
      <c r="T18" s="67">
        <f>IF(R18=1,"",IF(B18="","Enter an invoice #",IF(C18="","Missing invoice date",IF(NOT(ISNUMBER(C18)),"Invalid date",IF(OR(C18&lt;DATE(2000,1,1),C18&gt;DATE(2099,12,31)),"Invalid date",IF(F18="","Select a revenue account",IF(ISNA(MATCH(F18,coa_Name,0)),"Unknown account: "&amp;F18,IF(NOT(ISNUMBER(G18)),"Enter an amount",IF(G18&lt;=0,"Amount must be positive",IF(S18&gt;G18,"Tax is larger than the amount",""))))))))))</f>
        <v/>
      </c>
      <c r="U18" s="67">
        <f>IF(OR(R18=1,T18&lt;&gt;""),"",IF(COUNTIF(ar_No,B18)&gt;1,"Duplicate invoice #",IF(D18="","Select a customer",IF(N(L18)&lt;0,"Overpaid by "&amp;TEXT(-L18,"#,##0.00"),IF(AND(ISNUMBER(H18),N(H18)&lt;&gt;0,S18=0),"Tax ignored (tax tracking is off)",IF(AND(ISNUMBER(StartDate),C18&lt;StartDate),"Date is before the accounting start date",IF(AND(IFERROR(INDEX(coa_Type,MATCH(F18,coa_Name,0)),"")&lt;&gt;"Revenue",IFERROR(INDEX(coa_Type,MATCH(F18,coa_Name,0)),"")&lt;&gt;"Other Income"),"Account is not a revenue account","")))))))</f>
        <v/>
      </c>
      <c r="V18" s="67">
        <f>IF(AND(R18=0,T18=""),1,0)</f>
        <v/>
      </c>
      <c r="W18" s="67">
        <f>IF(V18=1,acctAR,"")</f>
        <v/>
      </c>
      <c r="X18" s="67">
        <f>IF(V18=1,F18,"")</f>
        <v/>
      </c>
      <c r="Y18" s="68">
        <f>IF(V18=1,G18,0)</f>
        <v/>
      </c>
      <c r="Z18" s="68">
        <f>IF(V18=1,G18-S18,0)</f>
        <v/>
      </c>
      <c r="AA18" s="68">
        <f>IF(V18=1,S18,0)</f>
        <v/>
      </c>
    </row>
    <row r="19">
      <c r="B19" s="62" t="inlineStr">
        <is>
          <t>INV-1013</t>
        </is>
      </c>
      <c r="C19" s="63" t="n">
        <v>46194</v>
      </c>
      <c r="D19" s="62" t="inlineStr">
        <is>
          <t>St. Jude Clinic</t>
        </is>
      </c>
      <c r="E19" s="62" t="inlineStr">
        <is>
          <t>Catering order</t>
        </is>
      </c>
      <c r="F19" s="62" t="inlineStr">
        <is>
          <t>Service Income</t>
        </is>
      </c>
      <c r="G19" s="64" t="n">
        <v>30856.26</v>
      </c>
      <c r="H19" s="64" t="n">
        <v>3306.03</v>
      </c>
      <c r="I19" s="63" t="n"/>
      <c r="J19" s="29">
        <f>IF(V19=1,IF(ISNUMBER(I19),I19,C19+IF(ISNUMBER(IFERROR(INDEX(cust_Terms,MATCH(D19,cust_Name,0)),"")),INDEX(cust_Terms,MATCH(D19,cust_Name,0)),TermsDays)),"")</f>
        <v/>
      </c>
      <c r="K19" s="65">
        <f>IF(V19=1,SUMIFS(tx_DrAmt,tx_Type,"Customer Payment",tx_Ref,B19&amp;"",tx_Date,"&lt;="&amp;AsOf),"")</f>
        <v/>
      </c>
      <c r="L19" s="65">
        <f>IF(V19=1,IF(C19&gt;AsOf,0,ROUND(G19-K19,2)),"")</f>
        <v/>
      </c>
      <c r="M19" s="66">
        <f>IF(V19&lt;&gt;1,"",IF(C19&gt;AsOf,"Future",IF(L19&lt;0,"Overpaid",IF(L19=0,"Paid",IF(AsOf&gt;J19,"Overdue",IF(K19&gt;0,"Partial","Unpaid"))))))</f>
        <v/>
      </c>
      <c r="N19" s="28">
        <f>IF(AND(V19=1,N(L19)&gt;0),AsOf-C19,"")</f>
        <v/>
      </c>
      <c r="O19" s="28">
        <f>IF(N19="","",MAX(0,AsOf-J19))</f>
        <v/>
      </c>
      <c r="P19" s="66">
        <f>IF(O19="","",IF(O19=0,"Current",IF(O19&lt;=30,"1-30",IF(O19&lt;=60,"31-60",IF(O19&lt;=90,"61-90","90+")))))</f>
        <v/>
      </c>
      <c r="Q19" s="66">
        <f>IF(T19&lt;&gt;"","⛔ "&amp;T19&amp;" — not posted",IF(U19&lt;&gt;"","⚠ "&amp;U19,IF(V19=1,"✓ OK","")))</f>
        <v/>
      </c>
      <c r="R19" s="67">
        <f>IF(AND(B19="",C19="",D19="",G19="",F19=""),1,0)</f>
        <v/>
      </c>
      <c r="S19" s="68">
        <f>IF(AND(TaxOn="Yes",ISNUMBER(H19)),H19,0)</f>
        <v/>
      </c>
      <c r="T19" s="67">
        <f>IF(R19=1,"",IF(B19="","Enter an invoice #",IF(C19="","Missing invoice date",IF(NOT(ISNUMBER(C19)),"Invalid date",IF(OR(C19&lt;DATE(2000,1,1),C19&gt;DATE(2099,12,31)),"Invalid date",IF(F19="","Select a revenue account",IF(ISNA(MATCH(F19,coa_Name,0)),"Unknown account: "&amp;F19,IF(NOT(ISNUMBER(G19)),"Enter an amount",IF(G19&lt;=0,"Amount must be positive",IF(S19&gt;G19,"Tax is larger than the amount",""))))))))))</f>
        <v/>
      </c>
      <c r="U19" s="67">
        <f>IF(OR(R19=1,T19&lt;&gt;""),"",IF(COUNTIF(ar_No,B19)&gt;1,"Duplicate invoice #",IF(D19="","Select a customer",IF(N(L19)&lt;0,"Overpaid by "&amp;TEXT(-L19,"#,##0.00"),IF(AND(ISNUMBER(H19),N(H19)&lt;&gt;0,S19=0),"Tax ignored (tax tracking is off)",IF(AND(ISNUMBER(StartDate),C19&lt;StartDate),"Date is before the accounting start date",IF(AND(IFERROR(INDEX(coa_Type,MATCH(F19,coa_Name,0)),"")&lt;&gt;"Revenue",IFERROR(INDEX(coa_Type,MATCH(F19,coa_Name,0)),"")&lt;&gt;"Other Income"),"Account is not a revenue account","")))))))</f>
        <v/>
      </c>
      <c r="V19" s="67">
        <f>IF(AND(R19=0,T19=""),1,0)</f>
        <v/>
      </c>
      <c r="W19" s="67">
        <f>IF(V19=1,acctAR,"")</f>
        <v/>
      </c>
      <c r="X19" s="67">
        <f>IF(V19=1,F19,"")</f>
        <v/>
      </c>
      <c r="Y19" s="68">
        <f>IF(V19=1,G19,0)</f>
        <v/>
      </c>
      <c r="Z19" s="68">
        <f>IF(V19=1,G19-S19,0)</f>
        <v/>
      </c>
      <c r="AA19" s="68">
        <f>IF(V19=1,S19,0)</f>
        <v/>
      </c>
    </row>
    <row r="20">
      <c r="B20" s="62" t="inlineStr">
        <is>
          <t>INV-1014</t>
        </is>
      </c>
      <c r="C20" s="63" t="n">
        <v>46175</v>
      </c>
      <c r="D20" s="62" t="inlineStr">
        <is>
          <t>Brightpath Academy</t>
        </is>
      </c>
      <c r="E20" s="62" t="inlineStr">
        <is>
          <t>Catering order</t>
        </is>
      </c>
      <c r="F20" s="62" t="inlineStr">
        <is>
          <t>Service Income</t>
        </is>
      </c>
      <c r="G20" s="64" t="n">
        <v>36581.91</v>
      </c>
      <c r="H20" s="64" t="n">
        <v>3919.49</v>
      </c>
      <c r="I20" s="63" t="n"/>
      <c r="J20" s="29">
        <f>IF(V20=1,IF(ISNUMBER(I20),I20,C20+IF(ISNUMBER(IFERROR(INDEX(cust_Terms,MATCH(D20,cust_Name,0)),"")),INDEX(cust_Terms,MATCH(D20,cust_Name,0)),TermsDays)),"")</f>
        <v/>
      </c>
      <c r="K20" s="65">
        <f>IF(V20=1,SUMIFS(tx_DrAmt,tx_Type,"Customer Payment",tx_Ref,B20&amp;"",tx_Date,"&lt;="&amp;AsOf),"")</f>
        <v/>
      </c>
      <c r="L20" s="65">
        <f>IF(V20=1,IF(C20&gt;AsOf,0,ROUND(G20-K20,2)),"")</f>
        <v/>
      </c>
      <c r="M20" s="66">
        <f>IF(V20&lt;&gt;1,"",IF(C20&gt;AsOf,"Future",IF(L20&lt;0,"Overpaid",IF(L20=0,"Paid",IF(AsOf&gt;J20,"Overdue",IF(K20&gt;0,"Partial","Unpaid"))))))</f>
        <v/>
      </c>
      <c r="N20" s="28">
        <f>IF(AND(V20=1,N(L20)&gt;0),AsOf-C20,"")</f>
        <v/>
      </c>
      <c r="O20" s="28">
        <f>IF(N20="","",MAX(0,AsOf-J20))</f>
        <v/>
      </c>
      <c r="P20" s="66">
        <f>IF(O20="","",IF(O20=0,"Current",IF(O20&lt;=30,"1-30",IF(O20&lt;=60,"31-60",IF(O20&lt;=90,"61-90","90+")))))</f>
        <v/>
      </c>
      <c r="Q20" s="66">
        <f>IF(T20&lt;&gt;"","⛔ "&amp;T20&amp;" — not posted",IF(U20&lt;&gt;"","⚠ "&amp;U20,IF(V20=1,"✓ OK","")))</f>
        <v/>
      </c>
      <c r="R20" s="67">
        <f>IF(AND(B20="",C20="",D20="",G20="",F20=""),1,0)</f>
        <v/>
      </c>
      <c r="S20" s="68">
        <f>IF(AND(TaxOn="Yes",ISNUMBER(H20)),H20,0)</f>
        <v/>
      </c>
      <c r="T20" s="67">
        <f>IF(R20=1,"",IF(B20="","Enter an invoice #",IF(C20="","Missing invoice date",IF(NOT(ISNUMBER(C20)),"Invalid date",IF(OR(C20&lt;DATE(2000,1,1),C20&gt;DATE(2099,12,31)),"Invalid date",IF(F20="","Select a revenue account",IF(ISNA(MATCH(F20,coa_Name,0)),"Unknown account: "&amp;F20,IF(NOT(ISNUMBER(G20)),"Enter an amount",IF(G20&lt;=0,"Amount must be positive",IF(S20&gt;G20,"Tax is larger than the amount",""))))))))))</f>
        <v/>
      </c>
      <c r="U20" s="67">
        <f>IF(OR(R20=1,T20&lt;&gt;""),"",IF(COUNTIF(ar_No,B20)&gt;1,"Duplicate invoice #",IF(D20="","Select a customer",IF(N(L20)&lt;0,"Overpaid by "&amp;TEXT(-L20,"#,##0.00"),IF(AND(ISNUMBER(H20),N(H20)&lt;&gt;0,S20=0),"Tax ignored (tax tracking is off)",IF(AND(ISNUMBER(StartDate),C20&lt;StartDate),"Date is before the accounting start date",IF(AND(IFERROR(INDEX(coa_Type,MATCH(F20,coa_Name,0)),"")&lt;&gt;"Revenue",IFERROR(INDEX(coa_Type,MATCH(F20,coa_Name,0)),"")&lt;&gt;"Other Income"),"Account is not a revenue account","")))))))</f>
        <v/>
      </c>
      <c r="V20" s="67">
        <f>IF(AND(R20=0,T20=""),1,0)</f>
        <v/>
      </c>
      <c r="W20" s="67">
        <f>IF(V20=1,acctAR,"")</f>
        <v/>
      </c>
      <c r="X20" s="67">
        <f>IF(V20=1,F20,"")</f>
        <v/>
      </c>
      <c r="Y20" s="68">
        <f>IF(V20=1,G20,0)</f>
        <v/>
      </c>
      <c r="Z20" s="68">
        <f>IF(V20=1,G20-S20,0)</f>
        <v/>
      </c>
      <c r="AA20" s="68">
        <f>IF(V20=1,S20,0)</f>
        <v/>
      </c>
    </row>
    <row r="21">
      <c r="B21" s="62" t="inlineStr">
        <is>
          <t>INV-1015</t>
        </is>
      </c>
      <c r="C21" s="63" t="n">
        <v>46184</v>
      </c>
      <c r="D21" s="62" t="inlineStr">
        <is>
          <t>Northwind Offices</t>
        </is>
      </c>
      <c r="E21" s="62" t="inlineStr">
        <is>
          <t>Catering order</t>
        </is>
      </c>
      <c r="F21" s="62" t="inlineStr">
        <is>
          <t>Service Income</t>
        </is>
      </c>
      <c r="G21" s="64" t="n">
        <v>41106.95</v>
      </c>
      <c r="H21" s="64" t="n">
        <v>4404.32</v>
      </c>
      <c r="I21" s="63" t="n"/>
      <c r="J21" s="29">
        <f>IF(V21=1,IF(ISNUMBER(I21),I21,C21+IF(ISNUMBER(IFERROR(INDEX(cust_Terms,MATCH(D21,cust_Name,0)),"")),INDEX(cust_Terms,MATCH(D21,cust_Name,0)),TermsDays)),"")</f>
        <v/>
      </c>
      <c r="K21" s="65">
        <f>IF(V21=1,SUMIFS(tx_DrAmt,tx_Type,"Customer Payment",tx_Ref,B21&amp;"",tx_Date,"&lt;="&amp;AsOf),"")</f>
        <v/>
      </c>
      <c r="L21" s="65">
        <f>IF(V21=1,IF(C21&gt;AsOf,0,ROUND(G21-K21,2)),"")</f>
        <v/>
      </c>
      <c r="M21" s="66">
        <f>IF(V21&lt;&gt;1,"",IF(C21&gt;AsOf,"Future",IF(L21&lt;0,"Overpaid",IF(L21=0,"Paid",IF(AsOf&gt;J21,"Overdue",IF(K21&gt;0,"Partial","Unpaid"))))))</f>
        <v/>
      </c>
      <c r="N21" s="28">
        <f>IF(AND(V21=1,N(L21)&gt;0),AsOf-C21,"")</f>
        <v/>
      </c>
      <c r="O21" s="28">
        <f>IF(N21="","",MAX(0,AsOf-J21))</f>
        <v/>
      </c>
      <c r="P21" s="66">
        <f>IF(O21="","",IF(O21=0,"Current",IF(O21&lt;=30,"1-30",IF(O21&lt;=60,"31-60",IF(O21&lt;=90,"61-90","90+")))))</f>
        <v/>
      </c>
      <c r="Q21" s="66">
        <f>IF(T21&lt;&gt;"","⛔ "&amp;T21&amp;" — not posted",IF(U21&lt;&gt;"","⚠ "&amp;U21,IF(V21=1,"✓ OK","")))</f>
        <v/>
      </c>
      <c r="R21" s="67">
        <f>IF(AND(B21="",C21="",D21="",G21="",F21=""),1,0)</f>
        <v/>
      </c>
      <c r="S21" s="68">
        <f>IF(AND(TaxOn="Yes",ISNUMBER(H21)),H21,0)</f>
        <v/>
      </c>
      <c r="T21" s="67">
        <f>IF(R21=1,"",IF(B21="","Enter an invoice #",IF(C21="","Missing invoice date",IF(NOT(ISNUMBER(C21)),"Invalid date",IF(OR(C21&lt;DATE(2000,1,1),C21&gt;DATE(2099,12,31)),"Invalid date",IF(F21="","Select a revenue account",IF(ISNA(MATCH(F21,coa_Name,0)),"Unknown account: "&amp;F21,IF(NOT(ISNUMBER(G21)),"Enter an amount",IF(G21&lt;=0,"Amount must be positive",IF(S21&gt;G21,"Tax is larger than the amount",""))))))))))</f>
        <v/>
      </c>
      <c r="U21" s="67">
        <f>IF(OR(R21=1,T21&lt;&gt;""),"",IF(COUNTIF(ar_No,B21)&gt;1,"Duplicate invoice #",IF(D21="","Select a customer",IF(N(L21)&lt;0,"Overpaid by "&amp;TEXT(-L21,"#,##0.00"),IF(AND(ISNUMBER(H21),N(H21)&lt;&gt;0,S21=0),"Tax ignored (tax tracking is off)",IF(AND(ISNUMBER(StartDate),C21&lt;StartDate),"Date is before the accounting start date",IF(AND(IFERROR(INDEX(coa_Type,MATCH(F21,coa_Name,0)),"")&lt;&gt;"Revenue",IFERROR(INDEX(coa_Type,MATCH(F21,coa_Name,0)),"")&lt;&gt;"Other Income"),"Account is not a revenue account","")))))))</f>
        <v/>
      </c>
      <c r="V21" s="67">
        <f>IF(AND(R21=0,T21=""),1,0)</f>
        <v/>
      </c>
      <c r="W21" s="67">
        <f>IF(V21=1,acctAR,"")</f>
        <v/>
      </c>
      <c r="X21" s="67">
        <f>IF(V21=1,F21,"")</f>
        <v/>
      </c>
      <c r="Y21" s="68">
        <f>IF(V21=1,G21,0)</f>
        <v/>
      </c>
      <c r="Z21" s="68">
        <f>IF(V21=1,G21-S21,0)</f>
        <v/>
      </c>
      <c r="AA21" s="68">
        <f>IF(V21=1,S21,0)</f>
        <v/>
      </c>
    </row>
    <row r="22">
      <c r="B22" s="62" t="inlineStr">
        <is>
          <t>INV-1016</t>
        </is>
      </c>
      <c r="C22" s="63" t="n">
        <v>46227</v>
      </c>
      <c r="D22" s="62" t="inlineStr">
        <is>
          <t>Northwind Offices</t>
        </is>
      </c>
      <c r="E22" s="62" t="inlineStr">
        <is>
          <t>Catering order</t>
        </is>
      </c>
      <c r="F22" s="62" t="inlineStr">
        <is>
          <t>Service Income</t>
        </is>
      </c>
      <c r="G22" s="64" t="n">
        <v>32512.92</v>
      </c>
      <c r="H22" s="64" t="n">
        <v>3483.53</v>
      </c>
      <c r="I22" s="63" t="n"/>
      <c r="J22" s="29">
        <f>IF(V22=1,IF(ISNUMBER(I22),I22,C22+IF(ISNUMBER(IFERROR(INDEX(cust_Terms,MATCH(D22,cust_Name,0)),"")),INDEX(cust_Terms,MATCH(D22,cust_Name,0)),TermsDays)),"")</f>
        <v/>
      </c>
      <c r="K22" s="65">
        <f>IF(V22=1,SUMIFS(tx_DrAmt,tx_Type,"Customer Payment",tx_Ref,B22&amp;"",tx_Date,"&lt;="&amp;AsOf),"")</f>
        <v/>
      </c>
      <c r="L22" s="65">
        <f>IF(V22=1,IF(C22&gt;AsOf,0,ROUND(G22-K22,2)),"")</f>
        <v/>
      </c>
      <c r="M22" s="66">
        <f>IF(V22&lt;&gt;1,"",IF(C22&gt;AsOf,"Future",IF(L22&lt;0,"Overpaid",IF(L22=0,"Paid",IF(AsOf&gt;J22,"Overdue",IF(K22&gt;0,"Partial","Unpaid"))))))</f>
        <v/>
      </c>
      <c r="N22" s="28">
        <f>IF(AND(V22=1,N(L22)&gt;0),AsOf-C22,"")</f>
        <v/>
      </c>
      <c r="O22" s="28">
        <f>IF(N22="","",MAX(0,AsOf-J22))</f>
        <v/>
      </c>
      <c r="P22" s="66">
        <f>IF(O22="","",IF(O22=0,"Current",IF(O22&lt;=30,"1-30",IF(O22&lt;=60,"31-60",IF(O22&lt;=90,"61-90","90+")))))</f>
        <v/>
      </c>
      <c r="Q22" s="66">
        <f>IF(T22&lt;&gt;"","⛔ "&amp;T22&amp;" — not posted",IF(U22&lt;&gt;"","⚠ "&amp;U22,IF(V22=1,"✓ OK","")))</f>
        <v/>
      </c>
      <c r="R22" s="67">
        <f>IF(AND(B22="",C22="",D22="",G22="",F22=""),1,0)</f>
        <v/>
      </c>
      <c r="S22" s="68">
        <f>IF(AND(TaxOn="Yes",ISNUMBER(H22)),H22,0)</f>
        <v/>
      </c>
      <c r="T22" s="67">
        <f>IF(R22=1,"",IF(B22="","Enter an invoice #",IF(C22="","Missing invoice date",IF(NOT(ISNUMBER(C22)),"Invalid date",IF(OR(C22&lt;DATE(2000,1,1),C22&gt;DATE(2099,12,31)),"Invalid date",IF(F22="","Select a revenue account",IF(ISNA(MATCH(F22,coa_Name,0)),"Unknown account: "&amp;F22,IF(NOT(ISNUMBER(G22)),"Enter an amount",IF(G22&lt;=0,"Amount must be positive",IF(S22&gt;G22,"Tax is larger than the amount",""))))))))))</f>
        <v/>
      </c>
      <c r="U22" s="67">
        <f>IF(OR(R22=1,T22&lt;&gt;""),"",IF(COUNTIF(ar_No,B22)&gt;1,"Duplicate invoice #",IF(D22="","Select a customer",IF(N(L22)&lt;0,"Overpaid by "&amp;TEXT(-L22,"#,##0.00"),IF(AND(ISNUMBER(H22),N(H22)&lt;&gt;0,S22=0),"Tax ignored (tax tracking is off)",IF(AND(ISNUMBER(StartDate),C22&lt;StartDate),"Date is before the accounting start date",IF(AND(IFERROR(INDEX(coa_Type,MATCH(F22,coa_Name,0)),"")&lt;&gt;"Revenue",IFERROR(INDEX(coa_Type,MATCH(F22,coa_Name,0)),"")&lt;&gt;"Other Income"),"Account is not a revenue account","")))))))</f>
        <v/>
      </c>
      <c r="V22" s="67">
        <f>IF(AND(R22=0,T22=""),1,0)</f>
        <v/>
      </c>
      <c r="W22" s="67">
        <f>IF(V22=1,acctAR,"")</f>
        <v/>
      </c>
      <c r="X22" s="67">
        <f>IF(V22=1,F22,"")</f>
        <v/>
      </c>
      <c r="Y22" s="68">
        <f>IF(V22=1,G22,0)</f>
        <v/>
      </c>
      <c r="Z22" s="68">
        <f>IF(V22=1,G22-S22,0)</f>
        <v/>
      </c>
      <c r="AA22" s="68">
        <f>IF(V22=1,S22,0)</f>
        <v/>
      </c>
    </row>
    <row r="23">
      <c r="B23" s="62" t="inlineStr">
        <is>
          <t>INV-1017</t>
        </is>
      </c>
      <c r="C23" s="63" t="n">
        <v>46219</v>
      </c>
      <c r="D23" s="62" t="inlineStr">
        <is>
          <t>St. Jude Clinic</t>
        </is>
      </c>
      <c r="E23" s="62" t="inlineStr">
        <is>
          <t>Catering order</t>
        </is>
      </c>
      <c r="F23" s="62" t="inlineStr">
        <is>
          <t>Service Income</t>
        </is>
      </c>
      <c r="G23" s="64" t="n">
        <v>13130.45</v>
      </c>
      <c r="H23" s="64" t="n">
        <v>1406.83</v>
      </c>
      <c r="I23" s="63" t="n"/>
      <c r="J23" s="29">
        <f>IF(V23=1,IF(ISNUMBER(I23),I23,C23+IF(ISNUMBER(IFERROR(INDEX(cust_Terms,MATCH(D23,cust_Name,0)),"")),INDEX(cust_Terms,MATCH(D23,cust_Name,0)),TermsDays)),"")</f>
        <v/>
      </c>
      <c r="K23" s="65">
        <f>IF(V23=1,SUMIFS(tx_DrAmt,tx_Type,"Customer Payment",tx_Ref,B23&amp;"",tx_Date,"&lt;="&amp;AsOf),"")</f>
        <v/>
      </c>
      <c r="L23" s="65">
        <f>IF(V23=1,IF(C23&gt;AsOf,0,ROUND(G23-K23,2)),"")</f>
        <v/>
      </c>
      <c r="M23" s="66">
        <f>IF(V23&lt;&gt;1,"",IF(C23&gt;AsOf,"Future",IF(L23&lt;0,"Overpaid",IF(L23=0,"Paid",IF(AsOf&gt;J23,"Overdue",IF(K23&gt;0,"Partial","Unpaid"))))))</f>
        <v/>
      </c>
      <c r="N23" s="28">
        <f>IF(AND(V23=1,N(L23)&gt;0),AsOf-C23,"")</f>
        <v/>
      </c>
      <c r="O23" s="28">
        <f>IF(N23="","",MAX(0,AsOf-J23))</f>
        <v/>
      </c>
      <c r="P23" s="66">
        <f>IF(O23="","",IF(O23=0,"Current",IF(O23&lt;=30,"1-30",IF(O23&lt;=60,"31-60",IF(O23&lt;=90,"61-90","90+")))))</f>
        <v/>
      </c>
      <c r="Q23" s="66">
        <f>IF(T23&lt;&gt;"","⛔ "&amp;T23&amp;" — not posted",IF(U23&lt;&gt;"","⚠ "&amp;U23,IF(V23=1,"✓ OK","")))</f>
        <v/>
      </c>
      <c r="R23" s="67">
        <f>IF(AND(B23="",C23="",D23="",G23="",F23=""),1,0)</f>
        <v/>
      </c>
      <c r="S23" s="68">
        <f>IF(AND(TaxOn="Yes",ISNUMBER(H23)),H23,0)</f>
        <v/>
      </c>
      <c r="T23" s="67">
        <f>IF(R23=1,"",IF(B23="","Enter an invoice #",IF(C23="","Missing invoice date",IF(NOT(ISNUMBER(C23)),"Invalid date",IF(OR(C23&lt;DATE(2000,1,1),C23&gt;DATE(2099,12,31)),"Invalid date",IF(F23="","Select a revenue account",IF(ISNA(MATCH(F23,coa_Name,0)),"Unknown account: "&amp;F23,IF(NOT(ISNUMBER(G23)),"Enter an amount",IF(G23&lt;=0,"Amount must be positive",IF(S23&gt;G23,"Tax is larger than the amount",""))))))))))</f>
        <v/>
      </c>
      <c r="U23" s="67">
        <f>IF(OR(R23=1,T23&lt;&gt;""),"",IF(COUNTIF(ar_No,B23)&gt;1,"Duplicate invoice #",IF(D23="","Select a customer",IF(N(L23)&lt;0,"Overpaid by "&amp;TEXT(-L23,"#,##0.00"),IF(AND(ISNUMBER(H23),N(H23)&lt;&gt;0,S23=0),"Tax ignored (tax tracking is off)",IF(AND(ISNUMBER(StartDate),C23&lt;StartDate),"Date is before the accounting start date",IF(AND(IFERROR(INDEX(coa_Type,MATCH(F23,coa_Name,0)),"")&lt;&gt;"Revenue",IFERROR(INDEX(coa_Type,MATCH(F23,coa_Name,0)),"")&lt;&gt;"Other Income"),"Account is not a revenue account","")))))))</f>
        <v/>
      </c>
      <c r="V23" s="67">
        <f>IF(AND(R23=0,T23=""),1,0)</f>
        <v/>
      </c>
      <c r="W23" s="67">
        <f>IF(V23=1,acctAR,"")</f>
        <v/>
      </c>
      <c r="X23" s="67">
        <f>IF(V23=1,F23,"")</f>
        <v/>
      </c>
      <c r="Y23" s="68">
        <f>IF(V23=1,G23,0)</f>
        <v/>
      </c>
      <c r="Z23" s="68">
        <f>IF(V23=1,G23-S23,0)</f>
        <v/>
      </c>
      <c r="AA23" s="68">
        <f>IF(V23=1,S23,0)</f>
        <v/>
      </c>
    </row>
    <row r="24">
      <c r="B24" s="62" t="inlineStr">
        <is>
          <t>INV-1018</t>
        </is>
      </c>
      <c r="C24" s="63" t="n">
        <v>46240</v>
      </c>
      <c r="D24" s="62" t="inlineStr">
        <is>
          <t>Northwind Offices</t>
        </is>
      </c>
      <c r="E24" s="62" t="inlineStr">
        <is>
          <t>Catering order</t>
        </is>
      </c>
      <c r="F24" s="62" t="inlineStr">
        <is>
          <t>Service Income</t>
        </is>
      </c>
      <c r="G24" s="64" t="n">
        <v>37907.57</v>
      </c>
      <c r="H24" s="64" t="n">
        <v>4061.53</v>
      </c>
      <c r="I24" s="63" t="n"/>
      <c r="J24" s="29">
        <f>IF(V24=1,IF(ISNUMBER(I24),I24,C24+IF(ISNUMBER(IFERROR(INDEX(cust_Terms,MATCH(D24,cust_Name,0)),"")),INDEX(cust_Terms,MATCH(D24,cust_Name,0)),TermsDays)),"")</f>
        <v/>
      </c>
      <c r="K24" s="65">
        <f>IF(V24=1,SUMIFS(tx_DrAmt,tx_Type,"Customer Payment",tx_Ref,B24&amp;"",tx_Date,"&lt;="&amp;AsOf),"")</f>
        <v/>
      </c>
      <c r="L24" s="65">
        <f>IF(V24=1,IF(C24&gt;AsOf,0,ROUND(G24-K24,2)),"")</f>
        <v/>
      </c>
      <c r="M24" s="66">
        <f>IF(V24&lt;&gt;1,"",IF(C24&gt;AsOf,"Future",IF(L24&lt;0,"Overpaid",IF(L24=0,"Paid",IF(AsOf&gt;J24,"Overdue",IF(K24&gt;0,"Partial","Unpaid"))))))</f>
        <v/>
      </c>
      <c r="N24" s="28">
        <f>IF(AND(V24=1,N(L24)&gt;0),AsOf-C24,"")</f>
        <v/>
      </c>
      <c r="O24" s="28">
        <f>IF(N24="","",MAX(0,AsOf-J24))</f>
        <v/>
      </c>
      <c r="P24" s="66">
        <f>IF(O24="","",IF(O24=0,"Current",IF(O24&lt;=30,"1-30",IF(O24&lt;=60,"31-60",IF(O24&lt;=90,"61-90","90+")))))</f>
        <v/>
      </c>
      <c r="Q24" s="66">
        <f>IF(T24&lt;&gt;"","⛔ "&amp;T24&amp;" — not posted",IF(U24&lt;&gt;"","⚠ "&amp;U24,IF(V24=1,"✓ OK","")))</f>
        <v/>
      </c>
      <c r="R24" s="67">
        <f>IF(AND(B24="",C24="",D24="",G24="",F24=""),1,0)</f>
        <v/>
      </c>
      <c r="S24" s="68">
        <f>IF(AND(TaxOn="Yes",ISNUMBER(H24)),H24,0)</f>
        <v/>
      </c>
      <c r="T24" s="67">
        <f>IF(R24=1,"",IF(B24="","Enter an invoice #",IF(C24="","Missing invoice date",IF(NOT(ISNUMBER(C24)),"Invalid date",IF(OR(C24&lt;DATE(2000,1,1),C24&gt;DATE(2099,12,31)),"Invalid date",IF(F24="","Select a revenue account",IF(ISNA(MATCH(F24,coa_Name,0)),"Unknown account: "&amp;F24,IF(NOT(ISNUMBER(G24)),"Enter an amount",IF(G24&lt;=0,"Amount must be positive",IF(S24&gt;G24,"Tax is larger than the amount",""))))))))))</f>
        <v/>
      </c>
      <c r="U24" s="67">
        <f>IF(OR(R24=1,T24&lt;&gt;""),"",IF(COUNTIF(ar_No,B24)&gt;1,"Duplicate invoice #",IF(D24="","Select a customer",IF(N(L24)&lt;0,"Overpaid by "&amp;TEXT(-L24,"#,##0.00"),IF(AND(ISNUMBER(H24),N(H24)&lt;&gt;0,S24=0),"Tax ignored (tax tracking is off)",IF(AND(ISNUMBER(StartDate),C24&lt;StartDate),"Date is before the accounting start date",IF(AND(IFERROR(INDEX(coa_Type,MATCH(F24,coa_Name,0)),"")&lt;&gt;"Revenue",IFERROR(INDEX(coa_Type,MATCH(F24,coa_Name,0)),"")&lt;&gt;"Other Income"),"Account is not a revenue account","")))))))</f>
        <v/>
      </c>
      <c r="V24" s="67">
        <f>IF(AND(R24=0,T24=""),1,0)</f>
        <v/>
      </c>
      <c r="W24" s="67">
        <f>IF(V24=1,acctAR,"")</f>
        <v/>
      </c>
      <c r="X24" s="67">
        <f>IF(V24=1,F24,"")</f>
        <v/>
      </c>
      <c r="Y24" s="68">
        <f>IF(V24=1,G24,0)</f>
        <v/>
      </c>
      <c r="Z24" s="68">
        <f>IF(V24=1,G24-S24,0)</f>
        <v/>
      </c>
      <c r="AA24" s="68">
        <f>IF(V24=1,S24,0)</f>
        <v/>
      </c>
    </row>
    <row r="25">
      <c r="B25" s="62" t="inlineStr">
        <is>
          <t>INV-1019</t>
        </is>
      </c>
      <c r="C25" s="63" t="n">
        <v>46251</v>
      </c>
      <c r="D25" s="62" t="inlineStr">
        <is>
          <t>Brightpath Academy</t>
        </is>
      </c>
      <c r="E25" s="62" t="inlineStr">
        <is>
          <t>Catering order</t>
        </is>
      </c>
      <c r="F25" s="62" t="inlineStr">
        <is>
          <t>Service Income</t>
        </is>
      </c>
      <c r="G25" s="64" t="n">
        <v>39529.41</v>
      </c>
      <c r="H25" s="64" t="n">
        <v>4235.29</v>
      </c>
      <c r="I25" s="63" t="n"/>
      <c r="J25" s="29">
        <f>IF(V25=1,IF(ISNUMBER(I25),I25,C25+IF(ISNUMBER(IFERROR(INDEX(cust_Terms,MATCH(D25,cust_Name,0)),"")),INDEX(cust_Terms,MATCH(D25,cust_Name,0)),TermsDays)),"")</f>
        <v/>
      </c>
      <c r="K25" s="65">
        <f>IF(V25=1,SUMIFS(tx_DrAmt,tx_Type,"Customer Payment",tx_Ref,B25&amp;"",tx_Date,"&lt;="&amp;AsOf),"")</f>
        <v/>
      </c>
      <c r="L25" s="65">
        <f>IF(V25=1,IF(C25&gt;AsOf,0,ROUND(G25-K25,2)),"")</f>
        <v/>
      </c>
      <c r="M25" s="66">
        <f>IF(V25&lt;&gt;1,"",IF(C25&gt;AsOf,"Future",IF(L25&lt;0,"Overpaid",IF(L25=0,"Paid",IF(AsOf&gt;J25,"Overdue",IF(K25&gt;0,"Partial","Unpaid"))))))</f>
        <v/>
      </c>
      <c r="N25" s="28">
        <f>IF(AND(V25=1,N(L25)&gt;0),AsOf-C25,"")</f>
        <v/>
      </c>
      <c r="O25" s="28">
        <f>IF(N25="","",MAX(0,AsOf-J25))</f>
        <v/>
      </c>
      <c r="P25" s="66">
        <f>IF(O25="","",IF(O25=0,"Current",IF(O25&lt;=30,"1-30",IF(O25&lt;=60,"31-60",IF(O25&lt;=90,"61-90","90+")))))</f>
        <v/>
      </c>
      <c r="Q25" s="66">
        <f>IF(T25&lt;&gt;"","⛔ "&amp;T25&amp;" — not posted",IF(U25&lt;&gt;"","⚠ "&amp;U25,IF(V25=1,"✓ OK","")))</f>
        <v/>
      </c>
      <c r="R25" s="67">
        <f>IF(AND(B25="",C25="",D25="",G25="",F25=""),1,0)</f>
        <v/>
      </c>
      <c r="S25" s="68">
        <f>IF(AND(TaxOn="Yes",ISNUMBER(H25)),H25,0)</f>
        <v/>
      </c>
      <c r="T25" s="67">
        <f>IF(R25=1,"",IF(B25="","Enter an invoice #",IF(C25="","Missing invoice date",IF(NOT(ISNUMBER(C25)),"Invalid date",IF(OR(C25&lt;DATE(2000,1,1),C25&gt;DATE(2099,12,31)),"Invalid date",IF(F25="","Select a revenue account",IF(ISNA(MATCH(F25,coa_Name,0)),"Unknown account: "&amp;F25,IF(NOT(ISNUMBER(G25)),"Enter an amount",IF(G25&lt;=0,"Amount must be positive",IF(S25&gt;G25,"Tax is larger than the amount",""))))))))))</f>
        <v/>
      </c>
      <c r="U25" s="67">
        <f>IF(OR(R25=1,T25&lt;&gt;""),"",IF(COUNTIF(ar_No,B25)&gt;1,"Duplicate invoice #",IF(D25="","Select a customer",IF(N(L25)&lt;0,"Overpaid by "&amp;TEXT(-L25,"#,##0.00"),IF(AND(ISNUMBER(H25),N(H25)&lt;&gt;0,S25=0),"Tax ignored (tax tracking is off)",IF(AND(ISNUMBER(StartDate),C25&lt;StartDate),"Date is before the accounting start date",IF(AND(IFERROR(INDEX(coa_Type,MATCH(F25,coa_Name,0)),"")&lt;&gt;"Revenue",IFERROR(INDEX(coa_Type,MATCH(F25,coa_Name,0)),"")&lt;&gt;"Other Income"),"Account is not a revenue account","")))))))</f>
        <v/>
      </c>
      <c r="V25" s="67">
        <f>IF(AND(R25=0,T25=""),1,0)</f>
        <v/>
      </c>
      <c r="W25" s="67">
        <f>IF(V25=1,acctAR,"")</f>
        <v/>
      </c>
      <c r="X25" s="67">
        <f>IF(V25=1,F25,"")</f>
        <v/>
      </c>
      <c r="Y25" s="68">
        <f>IF(V25=1,G25,0)</f>
        <v/>
      </c>
      <c r="Z25" s="68">
        <f>IF(V25=1,G25-S25,0)</f>
        <v/>
      </c>
      <c r="AA25" s="68">
        <f>IF(V25=1,S25,0)</f>
        <v/>
      </c>
    </row>
    <row r="26">
      <c r="B26" s="62" t="inlineStr">
        <is>
          <t>INV-1020</t>
        </is>
      </c>
      <c r="C26" s="63" t="n">
        <v>46280</v>
      </c>
      <c r="D26" s="62" t="inlineStr">
        <is>
          <t>St. Jude Clinic</t>
        </is>
      </c>
      <c r="E26" s="62" t="inlineStr">
        <is>
          <t>Catering order</t>
        </is>
      </c>
      <c r="F26" s="62" t="inlineStr">
        <is>
          <t>Service Income</t>
        </is>
      </c>
      <c r="G26" s="64" t="n">
        <v>14215.98</v>
      </c>
      <c r="H26" s="64" t="n">
        <v>1523.14</v>
      </c>
      <c r="I26" s="63" t="n"/>
      <c r="J26" s="29">
        <f>IF(V26=1,IF(ISNUMBER(I26),I26,C26+IF(ISNUMBER(IFERROR(INDEX(cust_Terms,MATCH(D26,cust_Name,0)),"")),INDEX(cust_Terms,MATCH(D26,cust_Name,0)),TermsDays)),"")</f>
        <v/>
      </c>
      <c r="K26" s="65">
        <f>IF(V26=1,SUMIFS(tx_DrAmt,tx_Type,"Customer Payment",tx_Ref,B26&amp;"",tx_Date,"&lt;="&amp;AsOf),"")</f>
        <v/>
      </c>
      <c r="L26" s="65">
        <f>IF(V26=1,IF(C26&gt;AsOf,0,ROUND(G26-K26,2)),"")</f>
        <v/>
      </c>
      <c r="M26" s="66">
        <f>IF(V26&lt;&gt;1,"",IF(C26&gt;AsOf,"Future",IF(L26&lt;0,"Overpaid",IF(L26=0,"Paid",IF(AsOf&gt;J26,"Overdue",IF(K26&gt;0,"Partial","Unpaid"))))))</f>
        <v/>
      </c>
      <c r="N26" s="28">
        <f>IF(AND(V26=1,N(L26)&gt;0),AsOf-C26,"")</f>
        <v/>
      </c>
      <c r="O26" s="28">
        <f>IF(N26="","",MAX(0,AsOf-J26))</f>
        <v/>
      </c>
      <c r="P26" s="66">
        <f>IF(O26="","",IF(O26=0,"Current",IF(O26&lt;=30,"1-30",IF(O26&lt;=60,"31-60",IF(O26&lt;=90,"61-90","90+")))))</f>
        <v/>
      </c>
      <c r="Q26" s="66">
        <f>IF(T26&lt;&gt;"","⛔ "&amp;T26&amp;" — not posted",IF(U26&lt;&gt;"","⚠ "&amp;U26,IF(V26=1,"✓ OK","")))</f>
        <v/>
      </c>
      <c r="R26" s="67">
        <f>IF(AND(B26="",C26="",D26="",G26="",F26=""),1,0)</f>
        <v/>
      </c>
      <c r="S26" s="68">
        <f>IF(AND(TaxOn="Yes",ISNUMBER(H26)),H26,0)</f>
        <v/>
      </c>
      <c r="T26" s="67">
        <f>IF(R26=1,"",IF(B26="","Enter an invoice #",IF(C26="","Missing invoice date",IF(NOT(ISNUMBER(C26)),"Invalid date",IF(OR(C26&lt;DATE(2000,1,1),C26&gt;DATE(2099,12,31)),"Invalid date",IF(F26="","Select a revenue account",IF(ISNA(MATCH(F26,coa_Name,0)),"Unknown account: "&amp;F26,IF(NOT(ISNUMBER(G26)),"Enter an amount",IF(G26&lt;=0,"Amount must be positive",IF(S26&gt;G26,"Tax is larger than the amount",""))))))))))</f>
        <v/>
      </c>
      <c r="U26" s="67">
        <f>IF(OR(R26=1,T26&lt;&gt;""),"",IF(COUNTIF(ar_No,B26)&gt;1,"Duplicate invoice #",IF(D26="","Select a customer",IF(N(L26)&lt;0,"Overpaid by "&amp;TEXT(-L26,"#,##0.00"),IF(AND(ISNUMBER(H26),N(H26)&lt;&gt;0,S26=0),"Tax ignored (tax tracking is off)",IF(AND(ISNUMBER(StartDate),C26&lt;StartDate),"Date is before the accounting start date",IF(AND(IFERROR(INDEX(coa_Type,MATCH(F26,coa_Name,0)),"")&lt;&gt;"Revenue",IFERROR(INDEX(coa_Type,MATCH(F26,coa_Name,0)),"")&lt;&gt;"Other Income"),"Account is not a revenue account","")))))))</f>
        <v/>
      </c>
      <c r="V26" s="67">
        <f>IF(AND(R26=0,T26=""),1,0)</f>
        <v/>
      </c>
      <c r="W26" s="67">
        <f>IF(V26=1,acctAR,"")</f>
        <v/>
      </c>
      <c r="X26" s="67">
        <f>IF(V26=1,F26,"")</f>
        <v/>
      </c>
      <c r="Y26" s="68">
        <f>IF(V26=1,G26,0)</f>
        <v/>
      </c>
      <c r="Z26" s="68">
        <f>IF(V26=1,G26-S26,0)</f>
        <v/>
      </c>
      <c r="AA26" s="68">
        <f>IF(V26=1,S26,0)</f>
        <v/>
      </c>
    </row>
    <row r="27">
      <c r="B27" s="62" t="inlineStr">
        <is>
          <t>INV-1021</t>
        </is>
      </c>
      <c r="C27" s="63" t="n">
        <v>46273</v>
      </c>
      <c r="D27" s="62" t="inlineStr">
        <is>
          <t>Brightpath Academy</t>
        </is>
      </c>
      <c r="E27" s="62" t="inlineStr">
        <is>
          <t>Catering order</t>
        </is>
      </c>
      <c r="F27" s="62" t="inlineStr">
        <is>
          <t>Service Income</t>
        </is>
      </c>
      <c r="G27" s="64" t="n">
        <v>44610.18</v>
      </c>
      <c r="H27" s="64" t="n">
        <v>4779.66</v>
      </c>
      <c r="I27" s="63" t="n"/>
      <c r="J27" s="29">
        <f>IF(V27=1,IF(ISNUMBER(I27),I27,C27+IF(ISNUMBER(IFERROR(INDEX(cust_Terms,MATCH(D27,cust_Name,0)),"")),INDEX(cust_Terms,MATCH(D27,cust_Name,0)),TermsDays)),"")</f>
        <v/>
      </c>
      <c r="K27" s="65">
        <f>IF(V27=1,SUMIFS(tx_DrAmt,tx_Type,"Customer Payment",tx_Ref,B27&amp;"",tx_Date,"&lt;="&amp;AsOf),"")</f>
        <v/>
      </c>
      <c r="L27" s="65">
        <f>IF(V27=1,IF(C27&gt;AsOf,0,ROUND(G27-K27,2)),"")</f>
        <v/>
      </c>
      <c r="M27" s="66">
        <f>IF(V27&lt;&gt;1,"",IF(C27&gt;AsOf,"Future",IF(L27&lt;0,"Overpaid",IF(L27=0,"Paid",IF(AsOf&gt;J27,"Overdue",IF(K27&gt;0,"Partial","Unpaid"))))))</f>
        <v/>
      </c>
      <c r="N27" s="28">
        <f>IF(AND(V27=1,N(L27)&gt;0),AsOf-C27,"")</f>
        <v/>
      </c>
      <c r="O27" s="28">
        <f>IF(N27="","",MAX(0,AsOf-J27))</f>
        <v/>
      </c>
      <c r="P27" s="66">
        <f>IF(O27="","",IF(O27=0,"Current",IF(O27&lt;=30,"1-30",IF(O27&lt;=60,"31-60",IF(O27&lt;=90,"61-90","90+")))))</f>
        <v/>
      </c>
      <c r="Q27" s="66">
        <f>IF(T27&lt;&gt;"","⛔ "&amp;T27&amp;" — not posted",IF(U27&lt;&gt;"","⚠ "&amp;U27,IF(V27=1,"✓ OK","")))</f>
        <v/>
      </c>
      <c r="R27" s="67">
        <f>IF(AND(B27="",C27="",D27="",G27="",F27=""),1,0)</f>
        <v/>
      </c>
      <c r="S27" s="68">
        <f>IF(AND(TaxOn="Yes",ISNUMBER(H27)),H27,0)</f>
        <v/>
      </c>
      <c r="T27" s="67">
        <f>IF(R27=1,"",IF(B27="","Enter an invoice #",IF(C27="","Missing invoice date",IF(NOT(ISNUMBER(C27)),"Invalid date",IF(OR(C27&lt;DATE(2000,1,1),C27&gt;DATE(2099,12,31)),"Invalid date",IF(F27="","Select a revenue account",IF(ISNA(MATCH(F27,coa_Name,0)),"Unknown account: "&amp;F27,IF(NOT(ISNUMBER(G27)),"Enter an amount",IF(G27&lt;=0,"Amount must be positive",IF(S27&gt;G27,"Tax is larger than the amount",""))))))))))</f>
        <v/>
      </c>
      <c r="U27" s="67">
        <f>IF(OR(R27=1,T27&lt;&gt;""),"",IF(COUNTIF(ar_No,B27)&gt;1,"Duplicate invoice #",IF(D27="","Select a customer",IF(N(L27)&lt;0,"Overpaid by "&amp;TEXT(-L27,"#,##0.00"),IF(AND(ISNUMBER(H27),N(H27)&lt;&gt;0,S27=0),"Tax ignored (tax tracking is off)",IF(AND(ISNUMBER(StartDate),C27&lt;StartDate),"Date is before the accounting start date",IF(AND(IFERROR(INDEX(coa_Type,MATCH(F27,coa_Name,0)),"")&lt;&gt;"Revenue",IFERROR(INDEX(coa_Type,MATCH(F27,coa_Name,0)),"")&lt;&gt;"Other Income"),"Account is not a revenue account","")))))))</f>
        <v/>
      </c>
      <c r="V27" s="67">
        <f>IF(AND(R27=0,T27=""),1,0)</f>
        <v/>
      </c>
      <c r="W27" s="67">
        <f>IF(V27=1,acctAR,"")</f>
        <v/>
      </c>
      <c r="X27" s="67">
        <f>IF(V27=1,F27,"")</f>
        <v/>
      </c>
      <c r="Y27" s="68">
        <f>IF(V27=1,G27,0)</f>
        <v/>
      </c>
      <c r="Z27" s="68">
        <f>IF(V27=1,G27-S27,0)</f>
        <v/>
      </c>
      <c r="AA27" s="68">
        <f>IF(V27=1,S27,0)</f>
        <v/>
      </c>
    </row>
    <row r="28">
      <c r="B28" s="62" t="inlineStr">
        <is>
          <t>INV-1022</t>
        </is>
      </c>
      <c r="C28" s="63" t="n">
        <v>46269</v>
      </c>
      <c r="D28" s="62" t="inlineStr">
        <is>
          <t>Northwind Offices</t>
        </is>
      </c>
      <c r="E28" s="62" t="inlineStr">
        <is>
          <t>Catering order</t>
        </is>
      </c>
      <c r="F28" s="62" t="inlineStr">
        <is>
          <t>Service Income</t>
        </is>
      </c>
      <c r="G28" s="64" t="n">
        <v>19955.56</v>
      </c>
      <c r="H28" s="64" t="n">
        <v>2138.1</v>
      </c>
      <c r="I28" s="63" t="n"/>
      <c r="J28" s="29">
        <f>IF(V28=1,IF(ISNUMBER(I28),I28,C28+IF(ISNUMBER(IFERROR(INDEX(cust_Terms,MATCH(D28,cust_Name,0)),"")),INDEX(cust_Terms,MATCH(D28,cust_Name,0)),TermsDays)),"")</f>
        <v/>
      </c>
      <c r="K28" s="65">
        <f>IF(V28=1,SUMIFS(tx_DrAmt,tx_Type,"Customer Payment",tx_Ref,B28&amp;"",tx_Date,"&lt;="&amp;AsOf),"")</f>
        <v/>
      </c>
      <c r="L28" s="65">
        <f>IF(V28=1,IF(C28&gt;AsOf,0,ROUND(G28-K28,2)),"")</f>
        <v/>
      </c>
      <c r="M28" s="66">
        <f>IF(V28&lt;&gt;1,"",IF(C28&gt;AsOf,"Future",IF(L28&lt;0,"Overpaid",IF(L28=0,"Paid",IF(AsOf&gt;J28,"Overdue",IF(K28&gt;0,"Partial","Unpaid"))))))</f>
        <v/>
      </c>
      <c r="N28" s="28">
        <f>IF(AND(V28=1,N(L28)&gt;0),AsOf-C28,"")</f>
        <v/>
      </c>
      <c r="O28" s="28">
        <f>IF(N28="","",MAX(0,AsOf-J28))</f>
        <v/>
      </c>
      <c r="P28" s="66">
        <f>IF(O28="","",IF(O28=0,"Current",IF(O28&lt;=30,"1-30",IF(O28&lt;=60,"31-60",IF(O28&lt;=90,"61-90","90+")))))</f>
        <v/>
      </c>
      <c r="Q28" s="66">
        <f>IF(T28&lt;&gt;"","⛔ "&amp;T28&amp;" — not posted",IF(U28&lt;&gt;"","⚠ "&amp;U28,IF(V28=1,"✓ OK","")))</f>
        <v/>
      </c>
      <c r="R28" s="67">
        <f>IF(AND(B28="",C28="",D28="",G28="",F28=""),1,0)</f>
        <v/>
      </c>
      <c r="S28" s="68">
        <f>IF(AND(TaxOn="Yes",ISNUMBER(H28)),H28,0)</f>
        <v/>
      </c>
      <c r="T28" s="67">
        <f>IF(R28=1,"",IF(B28="","Enter an invoice #",IF(C28="","Missing invoice date",IF(NOT(ISNUMBER(C28)),"Invalid date",IF(OR(C28&lt;DATE(2000,1,1),C28&gt;DATE(2099,12,31)),"Invalid date",IF(F28="","Select a revenue account",IF(ISNA(MATCH(F28,coa_Name,0)),"Unknown account: "&amp;F28,IF(NOT(ISNUMBER(G28)),"Enter an amount",IF(G28&lt;=0,"Amount must be positive",IF(S28&gt;G28,"Tax is larger than the amount",""))))))))))</f>
        <v/>
      </c>
      <c r="U28" s="67">
        <f>IF(OR(R28=1,T28&lt;&gt;""),"",IF(COUNTIF(ar_No,B28)&gt;1,"Duplicate invoice #",IF(D28="","Select a customer",IF(N(L28)&lt;0,"Overpaid by "&amp;TEXT(-L28,"#,##0.00"),IF(AND(ISNUMBER(H28),N(H28)&lt;&gt;0,S28=0),"Tax ignored (tax tracking is off)",IF(AND(ISNUMBER(StartDate),C28&lt;StartDate),"Date is before the accounting start date",IF(AND(IFERROR(INDEX(coa_Type,MATCH(F28,coa_Name,0)),"")&lt;&gt;"Revenue",IFERROR(INDEX(coa_Type,MATCH(F28,coa_Name,0)),"")&lt;&gt;"Other Income"),"Account is not a revenue account","")))))))</f>
        <v/>
      </c>
      <c r="V28" s="67">
        <f>IF(AND(R28=0,T28=""),1,0)</f>
        <v/>
      </c>
      <c r="W28" s="67">
        <f>IF(V28=1,acctAR,"")</f>
        <v/>
      </c>
      <c r="X28" s="67">
        <f>IF(V28=1,F28,"")</f>
        <v/>
      </c>
      <c r="Y28" s="68">
        <f>IF(V28=1,G28,0)</f>
        <v/>
      </c>
      <c r="Z28" s="68">
        <f>IF(V28=1,G28-S28,0)</f>
        <v/>
      </c>
      <c r="AA28" s="68">
        <f>IF(V28=1,S28,0)</f>
        <v/>
      </c>
    </row>
    <row r="29">
      <c r="B29" s="62" t="n"/>
      <c r="C29" s="63" t="n"/>
      <c r="D29" s="62" t="n"/>
      <c r="E29" s="62" t="n"/>
      <c r="F29" s="62" t="n"/>
      <c r="G29" s="64" t="n"/>
      <c r="H29" s="64" t="n"/>
      <c r="I29" s="63" t="n"/>
      <c r="J29" s="29">
        <f>IF(V29=1,IF(ISNUMBER(I29),I29,C29+IF(ISNUMBER(IFERROR(INDEX(cust_Terms,MATCH(D29,cust_Name,0)),"")),INDEX(cust_Terms,MATCH(D29,cust_Name,0)),TermsDays)),"")</f>
        <v/>
      </c>
      <c r="K29" s="65">
        <f>IF(V29=1,SUMIFS(tx_DrAmt,tx_Type,"Customer Payment",tx_Ref,B29&amp;"",tx_Date,"&lt;="&amp;AsOf),"")</f>
        <v/>
      </c>
      <c r="L29" s="65">
        <f>IF(V29=1,IF(C29&gt;AsOf,0,ROUND(G29-K29,2)),"")</f>
        <v/>
      </c>
      <c r="M29" s="66">
        <f>IF(V29&lt;&gt;1,"",IF(C29&gt;AsOf,"Future",IF(L29&lt;0,"Overpaid",IF(L29=0,"Paid",IF(AsOf&gt;J29,"Overdue",IF(K29&gt;0,"Partial","Unpaid"))))))</f>
        <v/>
      </c>
      <c r="N29" s="28">
        <f>IF(AND(V29=1,N(L29)&gt;0),AsOf-C29,"")</f>
        <v/>
      </c>
      <c r="O29" s="28">
        <f>IF(N29="","",MAX(0,AsOf-J29))</f>
        <v/>
      </c>
      <c r="P29" s="66">
        <f>IF(O29="","",IF(O29=0,"Current",IF(O29&lt;=30,"1-30",IF(O29&lt;=60,"31-60",IF(O29&lt;=90,"61-90","90+")))))</f>
        <v/>
      </c>
      <c r="Q29" s="66">
        <f>IF(T29&lt;&gt;"","⛔ "&amp;T29&amp;" — not posted",IF(U29&lt;&gt;"","⚠ "&amp;U29,IF(V29=1,"✓ OK","")))</f>
        <v/>
      </c>
      <c r="R29" s="67">
        <f>IF(AND(B29="",C29="",D29="",G29="",F29=""),1,0)</f>
        <v/>
      </c>
      <c r="S29" s="68">
        <f>IF(AND(TaxOn="Yes",ISNUMBER(H29)),H29,0)</f>
        <v/>
      </c>
      <c r="T29" s="67">
        <f>IF(R29=1,"",IF(B29="","Enter an invoice #",IF(C29="","Missing invoice date",IF(NOT(ISNUMBER(C29)),"Invalid date",IF(OR(C29&lt;DATE(2000,1,1),C29&gt;DATE(2099,12,31)),"Invalid date",IF(F29="","Select a revenue account",IF(ISNA(MATCH(F29,coa_Name,0)),"Unknown account: "&amp;F29,IF(NOT(ISNUMBER(G29)),"Enter an amount",IF(G29&lt;=0,"Amount must be positive",IF(S29&gt;G29,"Tax is larger than the amount",""))))))))))</f>
        <v/>
      </c>
      <c r="U29" s="67">
        <f>IF(OR(R29=1,T29&lt;&gt;""),"",IF(COUNTIF(ar_No,B29)&gt;1,"Duplicate invoice #",IF(D29="","Select a customer",IF(N(L29)&lt;0,"Overpaid by "&amp;TEXT(-L29,"#,##0.00"),IF(AND(ISNUMBER(H29),N(H29)&lt;&gt;0,S29=0),"Tax ignored (tax tracking is off)",IF(AND(ISNUMBER(StartDate),C29&lt;StartDate),"Date is before the accounting start date",IF(AND(IFERROR(INDEX(coa_Type,MATCH(F29,coa_Name,0)),"")&lt;&gt;"Revenue",IFERROR(INDEX(coa_Type,MATCH(F29,coa_Name,0)),"")&lt;&gt;"Other Income"),"Account is not a revenue account","")))))))</f>
        <v/>
      </c>
      <c r="V29" s="67">
        <f>IF(AND(R29=0,T29=""),1,0)</f>
        <v/>
      </c>
      <c r="W29" s="67">
        <f>IF(V29=1,acctAR,"")</f>
        <v/>
      </c>
      <c r="X29" s="67">
        <f>IF(V29=1,F29,"")</f>
        <v/>
      </c>
      <c r="Y29" s="68">
        <f>IF(V29=1,G29,0)</f>
        <v/>
      </c>
      <c r="Z29" s="68">
        <f>IF(V29=1,G29-S29,0)</f>
        <v/>
      </c>
      <c r="AA29" s="68">
        <f>IF(V29=1,S29,0)</f>
        <v/>
      </c>
    </row>
    <row r="30">
      <c r="B30" s="62" t="n"/>
      <c r="C30" s="63" t="n"/>
      <c r="D30" s="62" t="n"/>
      <c r="E30" s="62" t="n"/>
      <c r="F30" s="62" t="n"/>
      <c r="G30" s="64" t="n"/>
      <c r="H30" s="64" t="n"/>
      <c r="I30" s="63" t="n"/>
      <c r="J30" s="29">
        <f>IF(V30=1,IF(ISNUMBER(I30),I30,C30+IF(ISNUMBER(IFERROR(INDEX(cust_Terms,MATCH(D30,cust_Name,0)),"")),INDEX(cust_Terms,MATCH(D30,cust_Name,0)),TermsDays)),"")</f>
        <v/>
      </c>
      <c r="K30" s="65">
        <f>IF(V30=1,SUMIFS(tx_DrAmt,tx_Type,"Customer Payment",tx_Ref,B30&amp;"",tx_Date,"&lt;="&amp;AsOf),"")</f>
        <v/>
      </c>
      <c r="L30" s="65">
        <f>IF(V30=1,IF(C30&gt;AsOf,0,ROUND(G30-K30,2)),"")</f>
        <v/>
      </c>
      <c r="M30" s="66">
        <f>IF(V30&lt;&gt;1,"",IF(C30&gt;AsOf,"Future",IF(L30&lt;0,"Overpaid",IF(L30=0,"Paid",IF(AsOf&gt;J30,"Overdue",IF(K30&gt;0,"Partial","Unpaid"))))))</f>
        <v/>
      </c>
      <c r="N30" s="28">
        <f>IF(AND(V30=1,N(L30)&gt;0),AsOf-C30,"")</f>
        <v/>
      </c>
      <c r="O30" s="28">
        <f>IF(N30="","",MAX(0,AsOf-J30))</f>
        <v/>
      </c>
      <c r="P30" s="66">
        <f>IF(O30="","",IF(O30=0,"Current",IF(O30&lt;=30,"1-30",IF(O30&lt;=60,"31-60",IF(O30&lt;=90,"61-90","90+")))))</f>
        <v/>
      </c>
      <c r="Q30" s="66">
        <f>IF(T30&lt;&gt;"","⛔ "&amp;T30&amp;" — not posted",IF(U30&lt;&gt;"","⚠ "&amp;U30,IF(V30=1,"✓ OK","")))</f>
        <v/>
      </c>
      <c r="R30" s="67">
        <f>IF(AND(B30="",C30="",D30="",G30="",F30=""),1,0)</f>
        <v/>
      </c>
      <c r="S30" s="68">
        <f>IF(AND(TaxOn="Yes",ISNUMBER(H30)),H30,0)</f>
        <v/>
      </c>
      <c r="T30" s="67">
        <f>IF(R30=1,"",IF(B30="","Enter an invoice #",IF(C30="","Missing invoice date",IF(NOT(ISNUMBER(C30)),"Invalid date",IF(OR(C30&lt;DATE(2000,1,1),C30&gt;DATE(2099,12,31)),"Invalid date",IF(F30="","Select a revenue account",IF(ISNA(MATCH(F30,coa_Name,0)),"Unknown account: "&amp;F30,IF(NOT(ISNUMBER(G30)),"Enter an amount",IF(G30&lt;=0,"Amount must be positive",IF(S30&gt;G30,"Tax is larger than the amount",""))))))))))</f>
        <v/>
      </c>
      <c r="U30" s="67">
        <f>IF(OR(R30=1,T30&lt;&gt;""),"",IF(COUNTIF(ar_No,B30)&gt;1,"Duplicate invoice #",IF(D30="","Select a customer",IF(N(L30)&lt;0,"Overpaid by "&amp;TEXT(-L30,"#,##0.00"),IF(AND(ISNUMBER(H30),N(H30)&lt;&gt;0,S30=0),"Tax ignored (tax tracking is off)",IF(AND(ISNUMBER(StartDate),C30&lt;StartDate),"Date is before the accounting start date",IF(AND(IFERROR(INDEX(coa_Type,MATCH(F30,coa_Name,0)),"")&lt;&gt;"Revenue",IFERROR(INDEX(coa_Type,MATCH(F30,coa_Name,0)),"")&lt;&gt;"Other Income"),"Account is not a revenue account","")))))))</f>
        <v/>
      </c>
      <c r="V30" s="67">
        <f>IF(AND(R30=0,T30=""),1,0)</f>
        <v/>
      </c>
      <c r="W30" s="67">
        <f>IF(V30=1,acctAR,"")</f>
        <v/>
      </c>
      <c r="X30" s="67">
        <f>IF(V30=1,F30,"")</f>
        <v/>
      </c>
      <c r="Y30" s="68">
        <f>IF(V30=1,G30,0)</f>
        <v/>
      </c>
      <c r="Z30" s="68">
        <f>IF(V30=1,G30-S30,0)</f>
        <v/>
      </c>
      <c r="AA30" s="68">
        <f>IF(V30=1,S30,0)</f>
        <v/>
      </c>
    </row>
    <row r="31">
      <c r="B31" s="62" t="n"/>
      <c r="C31" s="63" t="n"/>
      <c r="D31" s="62" t="n"/>
      <c r="E31" s="62" t="n"/>
      <c r="F31" s="62" t="n"/>
      <c r="G31" s="64" t="n"/>
      <c r="H31" s="64" t="n"/>
      <c r="I31" s="63" t="n"/>
      <c r="J31" s="29">
        <f>IF(V31=1,IF(ISNUMBER(I31),I31,C31+IF(ISNUMBER(IFERROR(INDEX(cust_Terms,MATCH(D31,cust_Name,0)),"")),INDEX(cust_Terms,MATCH(D31,cust_Name,0)),TermsDays)),"")</f>
        <v/>
      </c>
      <c r="K31" s="65">
        <f>IF(V31=1,SUMIFS(tx_DrAmt,tx_Type,"Customer Payment",tx_Ref,B31&amp;"",tx_Date,"&lt;="&amp;AsOf),"")</f>
        <v/>
      </c>
      <c r="L31" s="65">
        <f>IF(V31=1,IF(C31&gt;AsOf,0,ROUND(G31-K31,2)),"")</f>
        <v/>
      </c>
      <c r="M31" s="66">
        <f>IF(V31&lt;&gt;1,"",IF(C31&gt;AsOf,"Future",IF(L31&lt;0,"Overpaid",IF(L31=0,"Paid",IF(AsOf&gt;J31,"Overdue",IF(K31&gt;0,"Partial","Unpaid"))))))</f>
        <v/>
      </c>
      <c r="N31" s="28">
        <f>IF(AND(V31=1,N(L31)&gt;0),AsOf-C31,"")</f>
        <v/>
      </c>
      <c r="O31" s="28">
        <f>IF(N31="","",MAX(0,AsOf-J31))</f>
        <v/>
      </c>
      <c r="P31" s="66">
        <f>IF(O31="","",IF(O31=0,"Current",IF(O31&lt;=30,"1-30",IF(O31&lt;=60,"31-60",IF(O31&lt;=90,"61-90","90+")))))</f>
        <v/>
      </c>
      <c r="Q31" s="66">
        <f>IF(T31&lt;&gt;"","⛔ "&amp;T31&amp;" — not posted",IF(U31&lt;&gt;"","⚠ "&amp;U31,IF(V31=1,"✓ OK","")))</f>
        <v/>
      </c>
      <c r="R31" s="67">
        <f>IF(AND(B31="",C31="",D31="",G31="",F31=""),1,0)</f>
        <v/>
      </c>
      <c r="S31" s="68">
        <f>IF(AND(TaxOn="Yes",ISNUMBER(H31)),H31,0)</f>
        <v/>
      </c>
      <c r="T31" s="67">
        <f>IF(R31=1,"",IF(B31="","Enter an invoice #",IF(C31="","Missing invoice date",IF(NOT(ISNUMBER(C31)),"Invalid date",IF(OR(C31&lt;DATE(2000,1,1),C31&gt;DATE(2099,12,31)),"Invalid date",IF(F31="","Select a revenue account",IF(ISNA(MATCH(F31,coa_Name,0)),"Unknown account: "&amp;F31,IF(NOT(ISNUMBER(G31)),"Enter an amount",IF(G31&lt;=0,"Amount must be positive",IF(S31&gt;G31,"Tax is larger than the amount",""))))))))))</f>
        <v/>
      </c>
      <c r="U31" s="67">
        <f>IF(OR(R31=1,T31&lt;&gt;""),"",IF(COUNTIF(ar_No,B31)&gt;1,"Duplicate invoice #",IF(D31="","Select a customer",IF(N(L31)&lt;0,"Overpaid by "&amp;TEXT(-L31,"#,##0.00"),IF(AND(ISNUMBER(H31),N(H31)&lt;&gt;0,S31=0),"Tax ignored (tax tracking is off)",IF(AND(ISNUMBER(StartDate),C31&lt;StartDate),"Date is before the accounting start date",IF(AND(IFERROR(INDEX(coa_Type,MATCH(F31,coa_Name,0)),"")&lt;&gt;"Revenue",IFERROR(INDEX(coa_Type,MATCH(F31,coa_Name,0)),"")&lt;&gt;"Other Income"),"Account is not a revenue account","")))))))</f>
        <v/>
      </c>
      <c r="V31" s="67">
        <f>IF(AND(R31=0,T31=""),1,0)</f>
        <v/>
      </c>
      <c r="W31" s="67">
        <f>IF(V31=1,acctAR,"")</f>
        <v/>
      </c>
      <c r="X31" s="67">
        <f>IF(V31=1,F31,"")</f>
        <v/>
      </c>
      <c r="Y31" s="68">
        <f>IF(V31=1,G31,0)</f>
        <v/>
      </c>
      <c r="Z31" s="68">
        <f>IF(V31=1,G31-S31,0)</f>
        <v/>
      </c>
      <c r="AA31" s="68">
        <f>IF(V31=1,S31,0)</f>
        <v/>
      </c>
    </row>
    <row r="32">
      <c r="B32" s="62" t="n"/>
      <c r="C32" s="63" t="n"/>
      <c r="D32" s="62" t="n"/>
      <c r="E32" s="62" t="n"/>
      <c r="F32" s="62" t="n"/>
      <c r="G32" s="64" t="n"/>
      <c r="H32" s="64" t="n"/>
      <c r="I32" s="63" t="n"/>
      <c r="J32" s="29">
        <f>IF(V32=1,IF(ISNUMBER(I32),I32,C32+IF(ISNUMBER(IFERROR(INDEX(cust_Terms,MATCH(D32,cust_Name,0)),"")),INDEX(cust_Terms,MATCH(D32,cust_Name,0)),TermsDays)),"")</f>
        <v/>
      </c>
      <c r="K32" s="65">
        <f>IF(V32=1,SUMIFS(tx_DrAmt,tx_Type,"Customer Payment",tx_Ref,B32&amp;"",tx_Date,"&lt;="&amp;AsOf),"")</f>
        <v/>
      </c>
      <c r="L32" s="65">
        <f>IF(V32=1,IF(C32&gt;AsOf,0,ROUND(G32-K32,2)),"")</f>
        <v/>
      </c>
      <c r="M32" s="66">
        <f>IF(V32&lt;&gt;1,"",IF(C32&gt;AsOf,"Future",IF(L32&lt;0,"Overpaid",IF(L32=0,"Paid",IF(AsOf&gt;J32,"Overdue",IF(K32&gt;0,"Partial","Unpaid"))))))</f>
        <v/>
      </c>
      <c r="N32" s="28">
        <f>IF(AND(V32=1,N(L32)&gt;0),AsOf-C32,"")</f>
        <v/>
      </c>
      <c r="O32" s="28">
        <f>IF(N32="","",MAX(0,AsOf-J32))</f>
        <v/>
      </c>
      <c r="P32" s="66">
        <f>IF(O32="","",IF(O32=0,"Current",IF(O32&lt;=30,"1-30",IF(O32&lt;=60,"31-60",IF(O32&lt;=90,"61-90","90+")))))</f>
        <v/>
      </c>
      <c r="Q32" s="66">
        <f>IF(T32&lt;&gt;"","⛔ "&amp;T32&amp;" — not posted",IF(U32&lt;&gt;"","⚠ "&amp;U32,IF(V32=1,"✓ OK","")))</f>
        <v/>
      </c>
      <c r="R32" s="67">
        <f>IF(AND(B32="",C32="",D32="",G32="",F32=""),1,0)</f>
        <v/>
      </c>
      <c r="S32" s="68">
        <f>IF(AND(TaxOn="Yes",ISNUMBER(H32)),H32,0)</f>
        <v/>
      </c>
      <c r="T32" s="67">
        <f>IF(R32=1,"",IF(B32="","Enter an invoice #",IF(C32="","Missing invoice date",IF(NOT(ISNUMBER(C32)),"Invalid date",IF(OR(C32&lt;DATE(2000,1,1),C32&gt;DATE(2099,12,31)),"Invalid date",IF(F32="","Select a revenue account",IF(ISNA(MATCH(F32,coa_Name,0)),"Unknown account: "&amp;F32,IF(NOT(ISNUMBER(G32)),"Enter an amount",IF(G32&lt;=0,"Amount must be positive",IF(S32&gt;G32,"Tax is larger than the amount",""))))))))))</f>
        <v/>
      </c>
      <c r="U32" s="67">
        <f>IF(OR(R32=1,T32&lt;&gt;""),"",IF(COUNTIF(ar_No,B32)&gt;1,"Duplicate invoice #",IF(D32="","Select a customer",IF(N(L32)&lt;0,"Overpaid by "&amp;TEXT(-L32,"#,##0.00"),IF(AND(ISNUMBER(H32),N(H32)&lt;&gt;0,S32=0),"Tax ignored (tax tracking is off)",IF(AND(ISNUMBER(StartDate),C32&lt;StartDate),"Date is before the accounting start date",IF(AND(IFERROR(INDEX(coa_Type,MATCH(F32,coa_Name,0)),"")&lt;&gt;"Revenue",IFERROR(INDEX(coa_Type,MATCH(F32,coa_Name,0)),"")&lt;&gt;"Other Income"),"Account is not a revenue account","")))))))</f>
        <v/>
      </c>
      <c r="V32" s="67">
        <f>IF(AND(R32=0,T32=""),1,0)</f>
        <v/>
      </c>
      <c r="W32" s="67">
        <f>IF(V32=1,acctAR,"")</f>
        <v/>
      </c>
      <c r="X32" s="67">
        <f>IF(V32=1,F32,"")</f>
        <v/>
      </c>
      <c r="Y32" s="68">
        <f>IF(V32=1,G32,0)</f>
        <v/>
      </c>
      <c r="Z32" s="68">
        <f>IF(V32=1,G32-S32,0)</f>
        <v/>
      </c>
      <c r="AA32" s="68">
        <f>IF(V32=1,S32,0)</f>
        <v/>
      </c>
    </row>
    <row r="33">
      <c r="B33" s="62" t="n"/>
      <c r="C33" s="63" t="n"/>
      <c r="D33" s="62" t="n"/>
      <c r="E33" s="62" t="n"/>
      <c r="F33" s="62" t="n"/>
      <c r="G33" s="64" t="n"/>
      <c r="H33" s="64" t="n"/>
      <c r="I33" s="63" t="n"/>
      <c r="J33" s="29">
        <f>IF(V33=1,IF(ISNUMBER(I33),I33,C33+IF(ISNUMBER(IFERROR(INDEX(cust_Terms,MATCH(D33,cust_Name,0)),"")),INDEX(cust_Terms,MATCH(D33,cust_Name,0)),TermsDays)),"")</f>
        <v/>
      </c>
      <c r="K33" s="65">
        <f>IF(V33=1,SUMIFS(tx_DrAmt,tx_Type,"Customer Payment",tx_Ref,B33&amp;"",tx_Date,"&lt;="&amp;AsOf),"")</f>
        <v/>
      </c>
      <c r="L33" s="65">
        <f>IF(V33=1,IF(C33&gt;AsOf,0,ROUND(G33-K33,2)),"")</f>
        <v/>
      </c>
      <c r="M33" s="66">
        <f>IF(V33&lt;&gt;1,"",IF(C33&gt;AsOf,"Future",IF(L33&lt;0,"Overpaid",IF(L33=0,"Paid",IF(AsOf&gt;J33,"Overdue",IF(K33&gt;0,"Partial","Unpaid"))))))</f>
        <v/>
      </c>
      <c r="N33" s="28">
        <f>IF(AND(V33=1,N(L33)&gt;0),AsOf-C33,"")</f>
        <v/>
      </c>
      <c r="O33" s="28">
        <f>IF(N33="","",MAX(0,AsOf-J33))</f>
        <v/>
      </c>
      <c r="P33" s="66">
        <f>IF(O33="","",IF(O33=0,"Current",IF(O33&lt;=30,"1-30",IF(O33&lt;=60,"31-60",IF(O33&lt;=90,"61-90","90+")))))</f>
        <v/>
      </c>
      <c r="Q33" s="66">
        <f>IF(T33&lt;&gt;"","⛔ "&amp;T33&amp;" — not posted",IF(U33&lt;&gt;"","⚠ "&amp;U33,IF(V33=1,"✓ OK","")))</f>
        <v/>
      </c>
      <c r="R33" s="67">
        <f>IF(AND(B33="",C33="",D33="",G33="",F33=""),1,0)</f>
        <v/>
      </c>
      <c r="S33" s="68">
        <f>IF(AND(TaxOn="Yes",ISNUMBER(H33)),H33,0)</f>
        <v/>
      </c>
      <c r="T33" s="67">
        <f>IF(R33=1,"",IF(B33="","Enter an invoice #",IF(C33="","Missing invoice date",IF(NOT(ISNUMBER(C33)),"Invalid date",IF(OR(C33&lt;DATE(2000,1,1),C33&gt;DATE(2099,12,31)),"Invalid date",IF(F33="","Select a revenue account",IF(ISNA(MATCH(F33,coa_Name,0)),"Unknown account: "&amp;F33,IF(NOT(ISNUMBER(G33)),"Enter an amount",IF(G33&lt;=0,"Amount must be positive",IF(S33&gt;G33,"Tax is larger than the amount",""))))))))))</f>
        <v/>
      </c>
      <c r="U33" s="67">
        <f>IF(OR(R33=1,T33&lt;&gt;""),"",IF(COUNTIF(ar_No,B33)&gt;1,"Duplicate invoice #",IF(D33="","Select a customer",IF(N(L33)&lt;0,"Overpaid by "&amp;TEXT(-L33,"#,##0.00"),IF(AND(ISNUMBER(H33),N(H33)&lt;&gt;0,S33=0),"Tax ignored (tax tracking is off)",IF(AND(ISNUMBER(StartDate),C33&lt;StartDate),"Date is before the accounting start date",IF(AND(IFERROR(INDEX(coa_Type,MATCH(F33,coa_Name,0)),"")&lt;&gt;"Revenue",IFERROR(INDEX(coa_Type,MATCH(F33,coa_Name,0)),"")&lt;&gt;"Other Income"),"Account is not a revenue account","")))))))</f>
        <v/>
      </c>
      <c r="V33" s="67">
        <f>IF(AND(R33=0,T33=""),1,0)</f>
        <v/>
      </c>
      <c r="W33" s="67">
        <f>IF(V33=1,acctAR,"")</f>
        <v/>
      </c>
      <c r="X33" s="67">
        <f>IF(V33=1,F33,"")</f>
        <v/>
      </c>
      <c r="Y33" s="68">
        <f>IF(V33=1,G33,0)</f>
        <v/>
      </c>
      <c r="Z33" s="68">
        <f>IF(V33=1,G33-S33,0)</f>
        <v/>
      </c>
      <c r="AA33" s="68">
        <f>IF(V33=1,S33,0)</f>
        <v/>
      </c>
    </row>
    <row r="34">
      <c r="B34" s="62" t="n"/>
      <c r="C34" s="63" t="n"/>
      <c r="D34" s="62" t="n"/>
      <c r="E34" s="62" t="n"/>
      <c r="F34" s="62" t="n"/>
      <c r="G34" s="64" t="n"/>
      <c r="H34" s="64" t="n"/>
      <c r="I34" s="63" t="n"/>
      <c r="J34" s="29">
        <f>IF(V34=1,IF(ISNUMBER(I34),I34,C34+IF(ISNUMBER(IFERROR(INDEX(cust_Terms,MATCH(D34,cust_Name,0)),"")),INDEX(cust_Terms,MATCH(D34,cust_Name,0)),TermsDays)),"")</f>
        <v/>
      </c>
      <c r="K34" s="65">
        <f>IF(V34=1,SUMIFS(tx_DrAmt,tx_Type,"Customer Payment",tx_Ref,B34&amp;"",tx_Date,"&lt;="&amp;AsOf),"")</f>
        <v/>
      </c>
      <c r="L34" s="65">
        <f>IF(V34=1,IF(C34&gt;AsOf,0,ROUND(G34-K34,2)),"")</f>
        <v/>
      </c>
      <c r="M34" s="66">
        <f>IF(V34&lt;&gt;1,"",IF(C34&gt;AsOf,"Future",IF(L34&lt;0,"Overpaid",IF(L34=0,"Paid",IF(AsOf&gt;J34,"Overdue",IF(K34&gt;0,"Partial","Unpaid"))))))</f>
        <v/>
      </c>
      <c r="N34" s="28">
        <f>IF(AND(V34=1,N(L34)&gt;0),AsOf-C34,"")</f>
        <v/>
      </c>
      <c r="O34" s="28">
        <f>IF(N34="","",MAX(0,AsOf-J34))</f>
        <v/>
      </c>
      <c r="P34" s="66">
        <f>IF(O34="","",IF(O34=0,"Current",IF(O34&lt;=30,"1-30",IF(O34&lt;=60,"31-60",IF(O34&lt;=90,"61-90","90+")))))</f>
        <v/>
      </c>
      <c r="Q34" s="66">
        <f>IF(T34&lt;&gt;"","⛔ "&amp;T34&amp;" — not posted",IF(U34&lt;&gt;"","⚠ "&amp;U34,IF(V34=1,"✓ OK","")))</f>
        <v/>
      </c>
      <c r="R34" s="67">
        <f>IF(AND(B34="",C34="",D34="",G34="",F34=""),1,0)</f>
        <v/>
      </c>
      <c r="S34" s="68">
        <f>IF(AND(TaxOn="Yes",ISNUMBER(H34)),H34,0)</f>
        <v/>
      </c>
      <c r="T34" s="67">
        <f>IF(R34=1,"",IF(B34="","Enter an invoice #",IF(C34="","Missing invoice date",IF(NOT(ISNUMBER(C34)),"Invalid date",IF(OR(C34&lt;DATE(2000,1,1),C34&gt;DATE(2099,12,31)),"Invalid date",IF(F34="","Select a revenue account",IF(ISNA(MATCH(F34,coa_Name,0)),"Unknown account: "&amp;F34,IF(NOT(ISNUMBER(G34)),"Enter an amount",IF(G34&lt;=0,"Amount must be positive",IF(S34&gt;G34,"Tax is larger than the amount",""))))))))))</f>
        <v/>
      </c>
      <c r="U34" s="67">
        <f>IF(OR(R34=1,T34&lt;&gt;""),"",IF(COUNTIF(ar_No,B34)&gt;1,"Duplicate invoice #",IF(D34="","Select a customer",IF(N(L34)&lt;0,"Overpaid by "&amp;TEXT(-L34,"#,##0.00"),IF(AND(ISNUMBER(H34),N(H34)&lt;&gt;0,S34=0),"Tax ignored (tax tracking is off)",IF(AND(ISNUMBER(StartDate),C34&lt;StartDate),"Date is before the accounting start date",IF(AND(IFERROR(INDEX(coa_Type,MATCH(F34,coa_Name,0)),"")&lt;&gt;"Revenue",IFERROR(INDEX(coa_Type,MATCH(F34,coa_Name,0)),"")&lt;&gt;"Other Income"),"Account is not a revenue account","")))))))</f>
        <v/>
      </c>
      <c r="V34" s="67">
        <f>IF(AND(R34=0,T34=""),1,0)</f>
        <v/>
      </c>
      <c r="W34" s="67">
        <f>IF(V34=1,acctAR,"")</f>
        <v/>
      </c>
      <c r="X34" s="67">
        <f>IF(V34=1,F34,"")</f>
        <v/>
      </c>
      <c r="Y34" s="68">
        <f>IF(V34=1,G34,0)</f>
        <v/>
      </c>
      <c r="Z34" s="68">
        <f>IF(V34=1,G34-S34,0)</f>
        <v/>
      </c>
      <c r="AA34" s="68">
        <f>IF(V34=1,S34,0)</f>
        <v/>
      </c>
    </row>
    <row r="35">
      <c r="B35" s="62" t="n"/>
      <c r="C35" s="63" t="n"/>
      <c r="D35" s="62" t="n"/>
      <c r="E35" s="62" t="n"/>
      <c r="F35" s="62" t="n"/>
      <c r="G35" s="64" t="n"/>
      <c r="H35" s="64" t="n"/>
      <c r="I35" s="63" t="n"/>
      <c r="J35" s="29">
        <f>IF(V35=1,IF(ISNUMBER(I35),I35,C35+IF(ISNUMBER(IFERROR(INDEX(cust_Terms,MATCH(D35,cust_Name,0)),"")),INDEX(cust_Terms,MATCH(D35,cust_Name,0)),TermsDays)),"")</f>
        <v/>
      </c>
      <c r="K35" s="65">
        <f>IF(V35=1,SUMIFS(tx_DrAmt,tx_Type,"Customer Payment",tx_Ref,B35&amp;"",tx_Date,"&lt;="&amp;AsOf),"")</f>
        <v/>
      </c>
      <c r="L35" s="65">
        <f>IF(V35=1,IF(C35&gt;AsOf,0,ROUND(G35-K35,2)),"")</f>
        <v/>
      </c>
      <c r="M35" s="66">
        <f>IF(V35&lt;&gt;1,"",IF(C35&gt;AsOf,"Future",IF(L35&lt;0,"Overpaid",IF(L35=0,"Paid",IF(AsOf&gt;J35,"Overdue",IF(K35&gt;0,"Partial","Unpaid"))))))</f>
        <v/>
      </c>
      <c r="N35" s="28">
        <f>IF(AND(V35=1,N(L35)&gt;0),AsOf-C35,"")</f>
        <v/>
      </c>
      <c r="O35" s="28">
        <f>IF(N35="","",MAX(0,AsOf-J35))</f>
        <v/>
      </c>
      <c r="P35" s="66">
        <f>IF(O35="","",IF(O35=0,"Current",IF(O35&lt;=30,"1-30",IF(O35&lt;=60,"31-60",IF(O35&lt;=90,"61-90","90+")))))</f>
        <v/>
      </c>
      <c r="Q35" s="66">
        <f>IF(T35&lt;&gt;"","⛔ "&amp;T35&amp;" — not posted",IF(U35&lt;&gt;"","⚠ "&amp;U35,IF(V35=1,"✓ OK","")))</f>
        <v/>
      </c>
      <c r="R35" s="67">
        <f>IF(AND(B35="",C35="",D35="",G35="",F35=""),1,0)</f>
        <v/>
      </c>
      <c r="S35" s="68">
        <f>IF(AND(TaxOn="Yes",ISNUMBER(H35)),H35,0)</f>
        <v/>
      </c>
      <c r="T35" s="67">
        <f>IF(R35=1,"",IF(B35="","Enter an invoice #",IF(C35="","Missing invoice date",IF(NOT(ISNUMBER(C35)),"Invalid date",IF(OR(C35&lt;DATE(2000,1,1),C35&gt;DATE(2099,12,31)),"Invalid date",IF(F35="","Select a revenue account",IF(ISNA(MATCH(F35,coa_Name,0)),"Unknown account: "&amp;F35,IF(NOT(ISNUMBER(G35)),"Enter an amount",IF(G35&lt;=0,"Amount must be positive",IF(S35&gt;G35,"Tax is larger than the amount",""))))))))))</f>
        <v/>
      </c>
      <c r="U35" s="67">
        <f>IF(OR(R35=1,T35&lt;&gt;""),"",IF(COUNTIF(ar_No,B35)&gt;1,"Duplicate invoice #",IF(D35="","Select a customer",IF(N(L35)&lt;0,"Overpaid by "&amp;TEXT(-L35,"#,##0.00"),IF(AND(ISNUMBER(H35),N(H35)&lt;&gt;0,S35=0),"Tax ignored (tax tracking is off)",IF(AND(ISNUMBER(StartDate),C35&lt;StartDate),"Date is before the accounting start date",IF(AND(IFERROR(INDEX(coa_Type,MATCH(F35,coa_Name,0)),"")&lt;&gt;"Revenue",IFERROR(INDEX(coa_Type,MATCH(F35,coa_Name,0)),"")&lt;&gt;"Other Income"),"Account is not a revenue account","")))))))</f>
        <v/>
      </c>
      <c r="V35" s="67">
        <f>IF(AND(R35=0,T35=""),1,0)</f>
        <v/>
      </c>
      <c r="W35" s="67">
        <f>IF(V35=1,acctAR,"")</f>
        <v/>
      </c>
      <c r="X35" s="67">
        <f>IF(V35=1,F35,"")</f>
        <v/>
      </c>
      <c r="Y35" s="68">
        <f>IF(V35=1,G35,0)</f>
        <v/>
      </c>
      <c r="Z35" s="68">
        <f>IF(V35=1,G35-S35,0)</f>
        <v/>
      </c>
      <c r="AA35" s="68">
        <f>IF(V35=1,S35,0)</f>
        <v/>
      </c>
    </row>
    <row r="36">
      <c r="B36" s="62" t="n"/>
      <c r="C36" s="63" t="n"/>
      <c r="D36" s="62" t="n"/>
      <c r="E36" s="62" t="n"/>
      <c r="F36" s="62" t="n"/>
      <c r="G36" s="64" t="n"/>
      <c r="H36" s="64" t="n"/>
      <c r="I36" s="63" t="n"/>
      <c r="J36" s="29">
        <f>IF(V36=1,IF(ISNUMBER(I36),I36,C36+IF(ISNUMBER(IFERROR(INDEX(cust_Terms,MATCH(D36,cust_Name,0)),"")),INDEX(cust_Terms,MATCH(D36,cust_Name,0)),TermsDays)),"")</f>
        <v/>
      </c>
      <c r="K36" s="65">
        <f>IF(V36=1,SUMIFS(tx_DrAmt,tx_Type,"Customer Payment",tx_Ref,B36&amp;"",tx_Date,"&lt;="&amp;AsOf),"")</f>
        <v/>
      </c>
      <c r="L36" s="65">
        <f>IF(V36=1,IF(C36&gt;AsOf,0,ROUND(G36-K36,2)),"")</f>
        <v/>
      </c>
      <c r="M36" s="66">
        <f>IF(V36&lt;&gt;1,"",IF(C36&gt;AsOf,"Future",IF(L36&lt;0,"Overpaid",IF(L36=0,"Paid",IF(AsOf&gt;J36,"Overdue",IF(K36&gt;0,"Partial","Unpaid"))))))</f>
        <v/>
      </c>
      <c r="N36" s="28">
        <f>IF(AND(V36=1,N(L36)&gt;0),AsOf-C36,"")</f>
        <v/>
      </c>
      <c r="O36" s="28">
        <f>IF(N36="","",MAX(0,AsOf-J36))</f>
        <v/>
      </c>
      <c r="P36" s="66">
        <f>IF(O36="","",IF(O36=0,"Current",IF(O36&lt;=30,"1-30",IF(O36&lt;=60,"31-60",IF(O36&lt;=90,"61-90","90+")))))</f>
        <v/>
      </c>
      <c r="Q36" s="66">
        <f>IF(T36&lt;&gt;"","⛔ "&amp;T36&amp;" — not posted",IF(U36&lt;&gt;"","⚠ "&amp;U36,IF(V36=1,"✓ OK","")))</f>
        <v/>
      </c>
      <c r="R36" s="67">
        <f>IF(AND(B36="",C36="",D36="",G36="",F36=""),1,0)</f>
        <v/>
      </c>
      <c r="S36" s="68">
        <f>IF(AND(TaxOn="Yes",ISNUMBER(H36)),H36,0)</f>
        <v/>
      </c>
      <c r="T36" s="67">
        <f>IF(R36=1,"",IF(B36="","Enter an invoice #",IF(C36="","Missing invoice date",IF(NOT(ISNUMBER(C36)),"Invalid date",IF(OR(C36&lt;DATE(2000,1,1),C36&gt;DATE(2099,12,31)),"Invalid date",IF(F36="","Select a revenue account",IF(ISNA(MATCH(F36,coa_Name,0)),"Unknown account: "&amp;F36,IF(NOT(ISNUMBER(G36)),"Enter an amount",IF(G36&lt;=0,"Amount must be positive",IF(S36&gt;G36,"Tax is larger than the amount",""))))))))))</f>
        <v/>
      </c>
      <c r="U36" s="67">
        <f>IF(OR(R36=1,T36&lt;&gt;""),"",IF(COUNTIF(ar_No,B36)&gt;1,"Duplicate invoice #",IF(D36="","Select a customer",IF(N(L36)&lt;0,"Overpaid by "&amp;TEXT(-L36,"#,##0.00"),IF(AND(ISNUMBER(H36),N(H36)&lt;&gt;0,S36=0),"Tax ignored (tax tracking is off)",IF(AND(ISNUMBER(StartDate),C36&lt;StartDate),"Date is before the accounting start date",IF(AND(IFERROR(INDEX(coa_Type,MATCH(F36,coa_Name,0)),"")&lt;&gt;"Revenue",IFERROR(INDEX(coa_Type,MATCH(F36,coa_Name,0)),"")&lt;&gt;"Other Income"),"Account is not a revenue account","")))))))</f>
        <v/>
      </c>
      <c r="V36" s="67">
        <f>IF(AND(R36=0,T36=""),1,0)</f>
        <v/>
      </c>
      <c r="W36" s="67">
        <f>IF(V36=1,acctAR,"")</f>
        <v/>
      </c>
      <c r="X36" s="67">
        <f>IF(V36=1,F36,"")</f>
        <v/>
      </c>
      <c r="Y36" s="68">
        <f>IF(V36=1,G36,0)</f>
        <v/>
      </c>
      <c r="Z36" s="68">
        <f>IF(V36=1,G36-S36,0)</f>
        <v/>
      </c>
      <c r="AA36" s="68">
        <f>IF(V36=1,S36,0)</f>
        <v/>
      </c>
    </row>
    <row r="37">
      <c r="B37" s="62" t="n"/>
      <c r="C37" s="63" t="n"/>
      <c r="D37" s="62" t="n"/>
      <c r="E37" s="62" t="n"/>
      <c r="F37" s="62" t="n"/>
      <c r="G37" s="64" t="n"/>
      <c r="H37" s="64" t="n"/>
      <c r="I37" s="63" t="n"/>
      <c r="J37" s="29">
        <f>IF(V37=1,IF(ISNUMBER(I37),I37,C37+IF(ISNUMBER(IFERROR(INDEX(cust_Terms,MATCH(D37,cust_Name,0)),"")),INDEX(cust_Terms,MATCH(D37,cust_Name,0)),TermsDays)),"")</f>
        <v/>
      </c>
      <c r="K37" s="65">
        <f>IF(V37=1,SUMIFS(tx_DrAmt,tx_Type,"Customer Payment",tx_Ref,B37&amp;"",tx_Date,"&lt;="&amp;AsOf),"")</f>
        <v/>
      </c>
      <c r="L37" s="65">
        <f>IF(V37=1,IF(C37&gt;AsOf,0,ROUND(G37-K37,2)),"")</f>
        <v/>
      </c>
      <c r="M37" s="66">
        <f>IF(V37&lt;&gt;1,"",IF(C37&gt;AsOf,"Future",IF(L37&lt;0,"Overpaid",IF(L37=0,"Paid",IF(AsOf&gt;J37,"Overdue",IF(K37&gt;0,"Partial","Unpaid"))))))</f>
        <v/>
      </c>
      <c r="N37" s="28">
        <f>IF(AND(V37=1,N(L37)&gt;0),AsOf-C37,"")</f>
        <v/>
      </c>
      <c r="O37" s="28">
        <f>IF(N37="","",MAX(0,AsOf-J37))</f>
        <v/>
      </c>
      <c r="P37" s="66">
        <f>IF(O37="","",IF(O37=0,"Current",IF(O37&lt;=30,"1-30",IF(O37&lt;=60,"31-60",IF(O37&lt;=90,"61-90","90+")))))</f>
        <v/>
      </c>
      <c r="Q37" s="66">
        <f>IF(T37&lt;&gt;"","⛔ "&amp;T37&amp;" — not posted",IF(U37&lt;&gt;"","⚠ "&amp;U37,IF(V37=1,"✓ OK","")))</f>
        <v/>
      </c>
      <c r="R37" s="67">
        <f>IF(AND(B37="",C37="",D37="",G37="",F37=""),1,0)</f>
        <v/>
      </c>
      <c r="S37" s="68">
        <f>IF(AND(TaxOn="Yes",ISNUMBER(H37)),H37,0)</f>
        <v/>
      </c>
      <c r="T37" s="67">
        <f>IF(R37=1,"",IF(B37="","Enter an invoice #",IF(C37="","Missing invoice date",IF(NOT(ISNUMBER(C37)),"Invalid date",IF(OR(C37&lt;DATE(2000,1,1),C37&gt;DATE(2099,12,31)),"Invalid date",IF(F37="","Select a revenue account",IF(ISNA(MATCH(F37,coa_Name,0)),"Unknown account: "&amp;F37,IF(NOT(ISNUMBER(G37)),"Enter an amount",IF(G37&lt;=0,"Amount must be positive",IF(S37&gt;G37,"Tax is larger than the amount",""))))))))))</f>
        <v/>
      </c>
      <c r="U37" s="67">
        <f>IF(OR(R37=1,T37&lt;&gt;""),"",IF(COUNTIF(ar_No,B37)&gt;1,"Duplicate invoice #",IF(D37="","Select a customer",IF(N(L37)&lt;0,"Overpaid by "&amp;TEXT(-L37,"#,##0.00"),IF(AND(ISNUMBER(H37),N(H37)&lt;&gt;0,S37=0),"Tax ignored (tax tracking is off)",IF(AND(ISNUMBER(StartDate),C37&lt;StartDate),"Date is before the accounting start date",IF(AND(IFERROR(INDEX(coa_Type,MATCH(F37,coa_Name,0)),"")&lt;&gt;"Revenue",IFERROR(INDEX(coa_Type,MATCH(F37,coa_Name,0)),"")&lt;&gt;"Other Income"),"Account is not a revenue account","")))))))</f>
        <v/>
      </c>
      <c r="V37" s="67">
        <f>IF(AND(R37=0,T37=""),1,0)</f>
        <v/>
      </c>
      <c r="W37" s="67">
        <f>IF(V37=1,acctAR,"")</f>
        <v/>
      </c>
      <c r="X37" s="67">
        <f>IF(V37=1,F37,"")</f>
        <v/>
      </c>
      <c r="Y37" s="68">
        <f>IF(V37=1,G37,0)</f>
        <v/>
      </c>
      <c r="Z37" s="68">
        <f>IF(V37=1,G37-S37,0)</f>
        <v/>
      </c>
      <c r="AA37" s="68">
        <f>IF(V37=1,S37,0)</f>
        <v/>
      </c>
    </row>
    <row r="38">
      <c r="B38" s="62" t="n"/>
      <c r="C38" s="63" t="n"/>
      <c r="D38" s="62" t="n"/>
      <c r="E38" s="62" t="n"/>
      <c r="F38" s="62" t="n"/>
      <c r="G38" s="64" t="n"/>
      <c r="H38" s="64" t="n"/>
      <c r="I38" s="63" t="n"/>
      <c r="J38" s="29">
        <f>IF(V38=1,IF(ISNUMBER(I38),I38,C38+IF(ISNUMBER(IFERROR(INDEX(cust_Terms,MATCH(D38,cust_Name,0)),"")),INDEX(cust_Terms,MATCH(D38,cust_Name,0)),TermsDays)),"")</f>
        <v/>
      </c>
      <c r="K38" s="65">
        <f>IF(V38=1,SUMIFS(tx_DrAmt,tx_Type,"Customer Payment",tx_Ref,B38&amp;"",tx_Date,"&lt;="&amp;AsOf),"")</f>
        <v/>
      </c>
      <c r="L38" s="65">
        <f>IF(V38=1,IF(C38&gt;AsOf,0,ROUND(G38-K38,2)),"")</f>
        <v/>
      </c>
      <c r="M38" s="66">
        <f>IF(V38&lt;&gt;1,"",IF(C38&gt;AsOf,"Future",IF(L38&lt;0,"Overpaid",IF(L38=0,"Paid",IF(AsOf&gt;J38,"Overdue",IF(K38&gt;0,"Partial","Unpaid"))))))</f>
        <v/>
      </c>
      <c r="N38" s="28">
        <f>IF(AND(V38=1,N(L38)&gt;0),AsOf-C38,"")</f>
        <v/>
      </c>
      <c r="O38" s="28">
        <f>IF(N38="","",MAX(0,AsOf-J38))</f>
        <v/>
      </c>
      <c r="P38" s="66">
        <f>IF(O38="","",IF(O38=0,"Current",IF(O38&lt;=30,"1-30",IF(O38&lt;=60,"31-60",IF(O38&lt;=90,"61-90","90+")))))</f>
        <v/>
      </c>
      <c r="Q38" s="66">
        <f>IF(T38&lt;&gt;"","⛔ "&amp;T38&amp;" — not posted",IF(U38&lt;&gt;"","⚠ "&amp;U38,IF(V38=1,"✓ OK","")))</f>
        <v/>
      </c>
      <c r="R38" s="67">
        <f>IF(AND(B38="",C38="",D38="",G38="",F38=""),1,0)</f>
        <v/>
      </c>
      <c r="S38" s="68">
        <f>IF(AND(TaxOn="Yes",ISNUMBER(H38)),H38,0)</f>
        <v/>
      </c>
      <c r="T38" s="67">
        <f>IF(R38=1,"",IF(B38="","Enter an invoice #",IF(C38="","Missing invoice date",IF(NOT(ISNUMBER(C38)),"Invalid date",IF(OR(C38&lt;DATE(2000,1,1),C38&gt;DATE(2099,12,31)),"Invalid date",IF(F38="","Select a revenue account",IF(ISNA(MATCH(F38,coa_Name,0)),"Unknown account: "&amp;F38,IF(NOT(ISNUMBER(G38)),"Enter an amount",IF(G38&lt;=0,"Amount must be positive",IF(S38&gt;G38,"Tax is larger than the amount",""))))))))))</f>
        <v/>
      </c>
      <c r="U38" s="67">
        <f>IF(OR(R38=1,T38&lt;&gt;""),"",IF(COUNTIF(ar_No,B38)&gt;1,"Duplicate invoice #",IF(D38="","Select a customer",IF(N(L38)&lt;0,"Overpaid by "&amp;TEXT(-L38,"#,##0.00"),IF(AND(ISNUMBER(H38),N(H38)&lt;&gt;0,S38=0),"Tax ignored (tax tracking is off)",IF(AND(ISNUMBER(StartDate),C38&lt;StartDate),"Date is before the accounting start date",IF(AND(IFERROR(INDEX(coa_Type,MATCH(F38,coa_Name,0)),"")&lt;&gt;"Revenue",IFERROR(INDEX(coa_Type,MATCH(F38,coa_Name,0)),"")&lt;&gt;"Other Income"),"Account is not a revenue account","")))))))</f>
        <v/>
      </c>
      <c r="V38" s="67">
        <f>IF(AND(R38=0,T38=""),1,0)</f>
        <v/>
      </c>
      <c r="W38" s="67">
        <f>IF(V38=1,acctAR,"")</f>
        <v/>
      </c>
      <c r="X38" s="67">
        <f>IF(V38=1,F38,"")</f>
        <v/>
      </c>
      <c r="Y38" s="68">
        <f>IF(V38=1,G38,0)</f>
        <v/>
      </c>
      <c r="Z38" s="68">
        <f>IF(V38=1,G38-S38,0)</f>
        <v/>
      </c>
      <c r="AA38" s="68">
        <f>IF(V38=1,S38,0)</f>
        <v/>
      </c>
    </row>
    <row r="39">
      <c r="B39" s="62" t="n"/>
      <c r="C39" s="63" t="n"/>
      <c r="D39" s="62" t="n"/>
      <c r="E39" s="62" t="n"/>
      <c r="F39" s="62" t="n"/>
      <c r="G39" s="64" t="n"/>
      <c r="H39" s="64" t="n"/>
      <c r="I39" s="63" t="n"/>
      <c r="J39" s="29">
        <f>IF(V39=1,IF(ISNUMBER(I39),I39,C39+IF(ISNUMBER(IFERROR(INDEX(cust_Terms,MATCH(D39,cust_Name,0)),"")),INDEX(cust_Terms,MATCH(D39,cust_Name,0)),TermsDays)),"")</f>
        <v/>
      </c>
      <c r="K39" s="65">
        <f>IF(V39=1,SUMIFS(tx_DrAmt,tx_Type,"Customer Payment",tx_Ref,B39&amp;"",tx_Date,"&lt;="&amp;AsOf),"")</f>
        <v/>
      </c>
      <c r="L39" s="65">
        <f>IF(V39=1,IF(C39&gt;AsOf,0,ROUND(G39-K39,2)),"")</f>
        <v/>
      </c>
      <c r="M39" s="66">
        <f>IF(V39&lt;&gt;1,"",IF(C39&gt;AsOf,"Future",IF(L39&lt;0,"Overpaid",IF(L39=0,"Paid",IF(AsOf&gt;J39,"Overdue",IF(K39&gt;0,"Partial","Unpaid"))))))</f>
        <v/>
      </c>
      <c r="N39" s="28">
        <f>IF(AND(V39=1,N(L39)&gt;0),AsOf-C39,"")</f>
        <v/>
      </c>
      <c r="O39" s="28">
        <f>IF(N39="","",MAX(0,AsOf-J39))</f>
        <v/>
      </c>
      <c r="P39" s="66">
        <f>IF(O39="","",IF(O39=0,"Current",IF(O39&lt;=30,"1-30",IF(O39&lt;=60,"31-60",IF(O39&lt;=90,"61-90","90+")))))</f>
        <v/>
      </c>
      <c r="Q39" s="66">
        <f>IF(T39&lt;&gt;"","⛔ "&amp;T39&amp;" — not posted",IF(U39&lt;&gt;"","⚠ "&amp;U39,IF(V39=1,"✓ OK","")))</f>
        <v/>
      </c>
      <c r="R39" s="67">
        <f>IF(AND(B39="",C39="",D39="",G39="",F39=""),1,0)</f>
        <v/>
      </c>
      <c r="S39" s="68">
        <f>IF(AND(TaxOn="Yes",ISNUMBER(H39)),H39,0)</f>
        <v/>
      </c>
      <c r="T39" s="67">
        <f>IF(R39=1,"",IF(B39="","Enter an invoice #",IF(C39="","Missing invoice date",IF(NOT(ISNUMBER(C39)),"Invalid date",IF(OR(C39&lt;DATE(2000,1,1),C39&gt;DATE(2099,12,31)),"Invalid date",IF(F39="","Select a revenue account",IF(ISNA(MATCH(F39,coa_Name,0)),"Unknown account: "&amp;F39,IF(NOT(ISNUMBER(G39)),"Enter an amount",IF(G39&lt;=0,"Amount must be positive",IF(S39&gt;G39,"Tax is larger than the amount",""))))))))))</f>
        <v/>
      </c>
      <c r="U39" s="67">
        <f>IF(OR(R39=1,T39&lt;&gt;""),"",IF(COUNTIF(ar_No,B39)&gt;1,"Duplicate invoice #",IF(D39="","Select a customer",IF(N(L39)&lt;0,"Overpaid by "&amp;TEXT(-L39,"#,##0.00"),IF(AND(ISNUMBER(H39),N(H39)&lt;&gt;0,S39=0),"Tax ignored (tax tracking is off)",IF(AND(ISNUMBER(StartDate),C39&lt;StartDate),"Date is before the accounting start date",IF(AND(IFERROR(INDEX(coa_Type,MATCH(F39,coa_Name,0)),"")&lt;&gt;"Revenue",IFERROR(INDEX(coa_Type,MATCH(F39,coa_Name,0)),"")&lt;&gt;"Other Income"),"Account is not a revenue account","")))))))</f>
        <v/>
      </c>
      <c r="V39" s="67">
        <f>IF(AND(R39=0,T39=""),1,0)</f>
        <v/>
      </c>
      <c r="W39" s="67">
        <f>IF(V39=1,acctAR,"")</f>
        <v/>
      </c>
      <c r="X39" s="67">
        <f>IF(V39=1,F39,"")</f>
        <v/>
      </c>
      <c r="Y39" s="68">
        <f>IF(V39=1,G39,0)</f>
        <v/>
      </c>
      <c r="Z39" s="68">
        <f>IF(V39=1,G39-S39,0)</f>
        <v/>
      </c>
      <c r="AA39" s="68">
        <f>IF(V39=1,S39,0)</f>
        <v/>
      </c>
    </row>
    <row r="40">
      <c r="B40" s="62" t="n"/>
      <c r="C40" s="63" t="n"/>
      <c r="D40" s="62" t="n"/>
      <c r="E40" s="62" t="n"/>
      <c r="F40" s="62" t="n"/>
      <c r="G40" s="64" t="n"/>
      <c r="H40" s="64" t="n"/>
      <c r="I40" s="63" t="n"/>
      <c r="J40" s="29">
        <f>IF(V40=1,IF(ISNUMBER(I40),I40,C40+IF(ISNUMBER(IFERROR(INDEX(cust_Terms,MATCH(D40,cust_Name,0)),"")),INDEX(cust_Terms,MATCH(D40,cust_Name,0)),TermsDays)),"")</f>
        <v/>
      </c>
      <c r="K40" s="65">
        <f>IF(V40=1,SUMIFS(tx_DrAmt,tx_Type,"Customer Payment",tx_Ref,B40&amp;"",tx_Date,"&lt;="&amp;AsOf),"")</f>
        <v/>
      </c>
      <c r="L40" s="65">
        <f>IF(V40=1,IF(C40&gt;AsOf,0,ROUND(G40-K40,2)),"")</f>
        <v/>
      </c>
      <c r="M40" s="66">
        <f>IF(V40&lt;&gt;1,"",IF(C40&gt;AsOf,"Future",IF(L40&lt;0,"Overpaid",IF(L40=0,"Paid",IF(AsOf&gt;J40,"Overdue",IF(K40&gt;0,"Partial","Unpaid"))))))</f>
        <v/>
      </c>
      <c r="N40" s="28">
        <f>IF(AND(V40=1,N(L40)&gt;0),AsOf-C40,"")</f>
        <v/>
      </c>
      <c r="O40" s="28">
        <f>IF(N40="","",MAX(0,AsOf-J40))</f>
        <v/>
      </c>
      <c r="P40" s="66">
        <f>IF(O40="","",IF(O40=0,"Current",IF(O40&lt;=30,"1-30",IF(O40&lt;=60,"31-60",IF(O40&lt;=90,"61-90","90+")))))</f>
        <v/>
      </c>
      <c r="Q40" s="66">
        <f>IF(T40&lt;&gt;"","⛔ "&amp;T40&amp;" — not posted",IF(U40&lt;&gt;"","⚠ "&amp;U40,IF(V40=1,"✓ OK","")))</f>
        <v/>
      </c>
      <c r="R40" s="67">
        <f>IF(AND(B40="",C40="",D40="",G40="",F40=""),1,0)</f>
        <v/>
      </c>
      <c r="S40" s="68">
        <f>IF(AND(TaxOn="Yes",ISNUMBER(H40)),H40,0)</f>
        <v/>
      </c>
      <c r="T40" s="67">
        <f>IF(R40=1,"",IF(B40="","Enter an invoice #",IF(C40="","Missing invoice date",IF(NOT(ISNUMBER(C40)),"Invalid date",IF(OR(C40&lt;DATE(2000,1,1),C40&gt;DATE(2099,12,31)),"Invalid date",IF(F40="","Select a revenue account",IF(ISNA(MATCH(F40,coa_Name,0)),"Unknown account: "&amp;F40,IF(NOT(ISNUMBER(G40)),"Enter an amount",IF(G40&lt;=0,"Amount must be positive",IF(S40&gt;G40,"Tax is larger than the amount",""))))))))))</f>
        <v/>
      </c>
      <c r="U40" s="67">
        <f>IF(OR(R40=1,T40&lt;&gt;""),"",IF(COUNTIF(ar_No,B40)&gt;1,"Duplicate invoice #",IF(D40="","Select a customer",IF(N(L40)&lt;0,"Overpaid by "&amp;TEXT(-L40,"#,##0.00"),IF(AND(ISNUMBER(H40),N(H40)&lt;&gt;0,S40=0),"Tax ignored (tax tracking is off)",IF(AND(ISNUMBER(StartDate),C40&lt;StartDate),"Date is before the accounting start date",IF(AND(IFERROR(INDEX(coa_Type,MATCH(F40,coa_Name,0)),"")&lt;&gt;"Revenue",IFERROR(INDEX(coa_Type,MATCH(F40,coa_Name,0)),"")&lt;&gt;"Other Income"),"Account is not a revenue account","")))))))</f>
        <v/>
      </c>
      <c r="V40" s="67">
        <f>IF(AND(R40=0,T40=""),1,0)</f>
        <v/>
      </c>
      <c r="W40" s="67">
        <f>IF(V40=1,acctAR,"")</f>
        <v/>
      </c>
      <c r="X40" s="67">
        <f>IF(V40=1,F40,"")</f>
        <v/>
      </c>
      <c r="Y40" s="68">
        <f>IF(V40=1,G40,0)</f>
        <v/>
      </c>
      <c r="Z40" s="68">
        <f>IF(V40=1,G40-S40,0)</f>
        <v/>
      </c>
      <c r="AA40" s="68">
        <f>IF(V40=1,S40,0)</f>
        <v/>
      </c>
    </row>
    <row r="41">
      <c r="B41" s="62" t="n"/>
      <c r="C41" s="63" t="n"/>
      <c r="D41" s="62" t="n"/>
      <c r="E41" s="62" t="n"/>
      <c r="F41" s="62" t="n"/>
      <c r="G41" s="64" t="n"/>
      <c r="H41" s="64" t="n"/>
      <c r="I41" s="63" t="n"/>
      <c r="J41" s="29">
        <f>IF(V41=1,IF(ISNUMBER(I41),I41,C41+IF(ISNUMBER(IFERROR(INDEX(cust_Terms,MATCH(D41,cust_Name,0)),"")),INDEX(cust_Terms,MATCH(D41,cust_Name,0)),TermsDays)),"")</f>
        <v/>
      </c>
      <c r="K41" s="65">
        <f>IF(V41=1,SUMIFS(tx_DrAmt,tx_Type,"Customer Payment",tx_Ref,B41&amp;"",tx_Date,"&lt;="&amp;AsOf),"")</f>
        <v/>
      </c>
      <c r="L41" s="65">
        <f>IF(V41=1,IF(C41&gt;AsOf,0,ROUND(G41-K41,2)),"")</f>
        <v/>
      </c>
      <c r="M41" s="66">
        <f>IF(V41&lt;&gt;1,"",IF(C41&gt;AsOf,"Future",IF(L41&lt;0,"Overpaid",IF(L41=0,"Paid",IF(AsOf&gt;J41,"Overdue",IF(K41&gt;0,"Partial","Unpaid"))))))</f>
        <v/>
      </c>
      <c r="N41" s="28">
        <f>IF(AND(V41=1,N(L41)&gt;0),AsOf-C41,"")</f>
        <v/>
      </c>
      <c r="O41" s="28">
        <f>IF(N41="","",MAX(0,AsOf-J41))</f>
        <v/>
      </c>
      <c r="P41" s="66">
        <f>IF(O41="","",IF(O41=0,"Current",IF(O41&lt;=30,"1-30",IF(O41&lt;=60,"31-60",IF(O41&lt;=90,"61-90","90+")))))</f>
        <v/>
      </c>
      <c r="Q41" s="66">
        <f>IF(T41&lt;&gt;"","⛔ "&amp;T41&amp;" — not posted",IF(U41&lt;&gt;"","⚠ "&amp;U41,IF(V41=1,"✓ OK","")))</f>
        <v/>
      </c>
      <c r="R41" s="67">
        <f>IF(AND(B41="",C41="",D41="",G41="",F41=""),1,0)</f>
        <v/>
      </c>
      <c r="S41" s="68">
        <f>IF(AND(TaxOn="Yes",ISNUMBER(H41)),H41,0)</f>
        <v/>
      </c>
      <c r="T41" s="67">
        <f>IF(R41=1,"",IF(B41="","Enter an invoice #",IF(C41="","Missing invoice date",IF(NOT(ISNUMBER(C41)),"Invalid date",IF(OR(C41&lt;DATE(2000,1,1),C41&gt;DATE(2099,12,31)),"Invalid date",IF(F41="","Select a revenue account",IF(ISNA(MATCH(F41,coa_Name,0)),"Unknown account: "&amp;F41,IF(NOT(ISNUMBER(G41)),"Enter an amount",IF(G41&lt;=0,"Amount must be positive",IF(S41&gt;G41,"Tax is larger than the amount",""))))))))))</f>
        <v/>
      </c>
      <c r="U41" s="67">
        <f>IF(OR(R41=1,T41&lt;&gt;""),"",IF(COUNTIF(ar_No,B41)&gt;1,"Duplicate invoice #",IF(D41="","Select a customer",IF(N(L41)&lt;0,"Overpaid by "&amp;TEXT(-L41,"#,##0.00"),IF(AND(ISNUMBER(H41),N(H41)&lt;&gt;0,S41=0),"Tax ignored (tax tracking is off)",IF(AND(ISNUMBER(StartDate),C41&lt;StartDate),"Date is before the accounting start date",IF(AND(IFERROR(INDEX(coa_Type,MATCH(F41,coa_Name,0)),"")&lt;&gt;"Revenue",IFERROR(INDEX(coa_Type,MATCH(F41,coa_Name,0)),"")&lt;&gt;"Other Income"),"Account is not a revenue account","")))))))</f>
        <v/>
      </c>
      <c r="V41" s="67">
        <f>IF(AND(R41=0,T41=""),1,0)</f>
        <v/>
      </c>
      <c r="W41" s="67">
        <f>IF(V41=1,acctAR,"")</f>
        <v/>
      </c>
      <c r="X41" s="67">
        <f>IF(V41=1,F41,"")</f>
        <v/>
      </c>
      <c r="Y41" s="68">
        <f>IF(V41=1,G41,0)</f>
        <v/>
      </c>
      <c r="Z41" s="68">
        <f>IF(V41=1,G41-S41,0)</f>
        <v/>
      </c>
      <c r="AA41" s="68">
        <f>IF(V41=1,S41,0)</f>
        <v/>
      </c>
    </row>
    <row r="42">
      <c r="B42" s="62" t="n"/>
      <c r="C42" s="63" t="n"/>
      <c r="D42" s="62" t="n"/>
      <c r="E42" s="62" t="n"/>
      <c r="F42" s="62" t="n"/>
      <c r="G42" s="64" t="n"/>
      <c r="H42" s="64" t="n"/>
      <c r="I42" s="63" t="n"/>
      <c r="J42" s="29">
        <f>IF(V42=1,IF(ISNUMBER(I42),I42,C42+IF(ISNUMBER(IFERROR(INDEX(cust_Terms,MATCH(D42,cust_Name,0)),"")),INDEX(cust_Terms,MATCH(D42,cust_Name,0)),TermsDays)),"")</f>
        <v/>
      </c>
      <c r="K42" s="65">
        <f>IF(V42=1,SUMIFS(tx_DrAmt,tx_Type,"Customer Payment",tx_Ref,B42&amp;"",tx_Date,"&lt;="&amp;AsOf),"")</f>
        <v/>
      </c>
      <c r="L42" s="65">
        <f>IF(V42=1,IF(C42&gt;AsOf,0,ROUND(G42-K42,2)),"")</f>
        <v/>
      </c>
      <c r="M42" s="66">
        <f>IF(V42&lt;&gt;1,"",IF(C42&gt;AsOf,"Future",IF(L42&lt;0,"Overpaid",IF(L42=0,"Paid",IF(AsOf&gt;J42,"Overdue",IF(K42&gt;0,"Partial","Unpaid"))))))</f>
        <v/>
      </c>
      <c r="N42" s="28">
        <f>IF(AND(V42=1,N(L42)&gt;0),AsOf-C42,"")</f>
        <v/>
      </c>
      <c r="O42" s="28">
        <f>IF(N42="","",MAX(0,AsOf-J42))</f>
        <v/>
      </c>
      <c r="P42" s="66">
        <f>IF(O42="","",IF(O42=0,"Current",IF(O42&lt;=30,"1-30",IF(O42&lt;=60,"31-60",IF(O42&lt;=90,"61-90","90+")))))</f>
        <v/>
      </c>
      <c r="Q42" s="66">
        <f>IF(T42&lt;&gt;"","⛔ "&amp;T42&amp;" — not posted",IF(U42&lt;&gt;"","⚠ "&amp;U42,IF(V42=1,"✓ OK","")))</f>
        <v/>
      </c>
      <c r="R42" s="67">
        <f>IF(AND(B42="",C42="",D42="",G42="",F42=""),1,0)</f>
        <v/>
      </c>
      <c r="S42" s="68">
        <f>IF(AND(TaxOn="Yes",ISNUMBER(H42)),H42,0)</f>
        <v/>
      </c>
      <c r="T42" s="67">
        <f>IF(R42=1,"",IF(B42="","Enter an invoice #",IF(C42="","Missing invoice date",IF(NOT(ISNUMBER(C42)),"Invalid date",IF(OR(C42&lt;DATE(2000,1,1),C42&gt;DATE(2099,12,31)),"Invalid date",IF(F42="","Select a revenue account",IF(ISNA(MATCH(F42,coa_Name,0)),"Unknown account: "&amp;F42,IF(NOT(ISNUMBER(G42)),"Enter an amount",IF(G42&lt;=0,"Amount must be positive",IF(S42&gt;G42,"Tax is larger than the amount",""))))))))))</f>
        <v/>
      </c>
      <c r="U42" s="67">
        <f>IF(OR(R42=1,T42&lt;&gt;""),"",IF(COUNTIF(ar_No,B42)&gt;1,"Duplicate invoice #",IF(D42="","Select a customer",IF(N(L42)&lt;0,"Overpaid by "&amp;TEXT(-L42,"#,##0.00"),IF(AND(ISNUMBER(H42),N(H42)&lt;&gt;0,S42=0),"Tax ignored (tax tracking is off)",IF(AND(ISNUMBER(StartDate),C42&lt;StartDate),"Date is before the accounting start date",IF(AND(IFERROR(INDEX(coa_Type,MATCH(F42,coa_Name,0)),"")&lt;&gt;"Revenue",IFERROR(INDEX(coa_Type,MATCH(F42,coa_Name,0)),"")&lt;&gt;"Other Income"),"Account is not a revenue account","")))))))</f>
        <v/>
      </c>
      <c r="V42" s="67">
        <f>IF(AND(R42=0,T42=""),1,0)</f>
        <v/>
      </c>
      <c r="W42" s="67">
        <f>IF(V42=1,acctAR,"")</f>
        <v/>
      </c>
      <c r="X42" s="67">
        <f>IF(V42=1,F42,"")</f>
        <v/>
      </c>
      <c r="Y42" s="68">
        <f>IF(V42=1,G42,0)</f>
        <v/>
      </c>
      <c r="Z42" s="68">
        <f>IF(V42=1,G42-S42,0)</f>
        <v/>
      </c>
      <c r="AA42" s="68">
        <f>IF(V42=1,S42,0)</f>
        <v/>
      </c>
    </row>
    <row r="43">
      <c r="B43" s="62" t="n"/>
      <c r="C43" s="63" t="n"/>
      <c r="D43" s="62" t="n"/>
      <c r="E43" s="62" t="n"/>
      <c r="F43" s="62" t="n"/>
      <c r="G43" s="64" t="n"/>
      <c r="H43" s="64" t="n"/>
      <c r="I43" s="63" t="n"/>
      <c r="J43" s="29">
        <f>IF(V43=1,IF(ISNUMBER(I43),I43,C43+IF(ISNUMBER(IFERROR(INDEX(cust_Terms,MATCH(D43,cust_Name,0)),"")),INDEX(cust_Terms,MATCH(D43,cust_Name,0)),TermsDays)),"")</f>
        <v/>
      </c>
      <c r="K43" s="65">
        <f>IF(V43=1,SUMIFS(tx_DrAmt,tx_Type,"Customer Payment",tx_Ref,B43&amp;"",tx_Date,"&lt;="&amp;AsOf),"")</f>
        <v/>
      </c>
      <c r="L43" s="65">
        <f>IF(V43=1,IF(C43&gt;AsOf,0,ROUND(G43-K43,2)),"")</f>
        <v/>
      </c>
      <c r="M43" s="66">
        <f>IF(V43&lt;&gt;1,"",IF(C43&gt;AsOf,"Future",IF(L43&lt;0,"Overpaid",IF(L43=0,"Paid",IF(AsOf&gt;J43,"Overdue",IF(K43&gt;0,"Partial","Unpaid"))))))</f>
        <v/>
      </c>
      <c r="N43" s="28">
        <f>IF(AND(V43=1,N(L43)&gt;0),AsOf-C43,"")</f>
        <v/>
      </c>
      <c r="O43" s="28">
        <f>IF(N43="","",MAX(0,AsOf-J43))</f>
        <v/>
      </c>
      <c r="P43" s="66">
        <f>IF(O43="","",IF(O43=0,"Current",IF(O43&lt;=30,"1-30",IF(O43&lt;=60,"31-60",IF(O43&lt;=90,"61-90","90+")))))</f>
        <v/>
      </c>
      <c r="Q43" s="66">
        <f>IF(T43&lt;&gt;"","⛔ "&amp;T43&amp;" — not posted",IF(U43&lt;&gt;"","⚠ "&amp;U43,IF(V43=1,"✓ OK","")))</f>
        <v/>
      </c>
      <c r="R43" s="67">
        <f>IF(AND(B43="",C43="",D43="",G43="",F43=""),1,0)</f>
        <v/>
      </c>
      <c r="S43" s="68">
        <f>IF(AND(TaxOn="Yes",ISNUMBER(H43)),H43,0)</f>
        <v/>
      </c>
      <c r="T43" s="67">
        <f>IF(R43=1,"",IF(B43="","Enter an invoice #",IF(C43="","Missing invoice date",IF(NOT(ISNUMBER(C43)),"Invalid date",IF(OR(C43&lt;DATE(2000,1,1),C43&gt;DATE(2099,12,31)),"Invalid date",IF(F43="","Select a revenue account",IF(ISNA(MATCH(F43,coa_Name,0)),"Unknown account: "&amp;F43,IF(NOT(ISNUMBER(G43)),"Enter an amount",IF(G43&lt;=0,"Amount must be positive",IF(S43&gt;G43,"Tax is larger than the amount",""))))))))))</f>
        <v/>
      </c>
      <c r="U43" s="67">
        <f>IF(OR(R43=1,T43&lt;&gt;""),"",IF(COUNTIF(ar_No,B43)&gt;1,"Duplicate invoice #",IF(D43="","Select a customer",IF(N(L43)&lt;0,"Overpaid by "&amp;TEXT(-L43,"#,##0.00"),IF(AND(ISNUMBER(H43),N(H43)&lt;&gt;0,S43=0),"Tax ignored (tax tracking is off)",IF(AND(ISNUMBER(StartDate),C43&lt;StartDate),"Date is before the accounting start date",IF(AND(IFERROR(INDEX(coa_Type,MATCH(F43,coa_Name,0)),"")&lt;&gt;"Revenue",IFERROR(INDEX(coa_Type,MATCH(F43,coa_Name,0)),"")&lt;&gt;"Other Income"),"Account is not a revenue account","")))))))</f>
        <v/>
      </c>
      <c r="V43" s="67">
        <f>IF(AND(R43=0,T43=""),1,0)</f>
        <v/>
      </c>
      <c r="W43" s="67">
        <f>IF(V43=1,acctAR,"")</f>
        <v/>
      </c>
      <c r="X43" s="67">
        <f>IF(V43=1,F43,"")</f>
        <v/>
      </c>
      <c r="Y43" s="68">
        <f>IF(V43=1,G43,0)</f>
        <v/>
      </c>
      <c r="Z43" s="68">
        <f>IF(V43=1,G43-S43,0)</f>
        <v/>
      </c>
      <c r="AA43" s="68">
        <f>IF(V43=1,S43,0)</f>
        <v/>
      </c>
    </row>
    <row r="44">
      <c r="B44" s="62" t="n"/>
      <c r="C44" s="63" t="n"/>
      <c r="D44" s="62" t="n"/>
      <c r="E44" s="62" t="n"/>
      <c r="F44" s="62" t="n"/>
      <c r="G44" s="64" t="n"/>
      <c r="H44" s="64" t="n"/>
      <c r="I44" s="63" t="n"/>
      <c r="J44" s="29">
        <f>IF(V44=1,IF(ISNUMBER(I44),I44,C44+IF(ISNUMBER(IFERROR(INDEX(cust_Terms,MATCH(D44,cust_Name,0)),"")),INDEX(cust_Terms,MATCH(D44,cust_Name,0)),TermsDays)),"")</f>
        <v/>
      </c>
      <c r="K44" s="65">
        <f>IF(V44=1,SUMIFS(tx_DrAmt,tx_Type,"Customer Payment",tx_Ref,B44&amp;"",tx_Date,"&lt;="&amp;AsOf),"")</f>
        <v/>
      </c>
      <c r="L44" s="65">
        <f>IF(V44=1,IF(C44&gt;AsOf,0,ROUND(G44-K44,2)),"")</f>
        <v/>
      </c>
      <c r="M44" s="66">
        <f>IF(V44&lt;&gt;1,"",IF(C44&gt;AsOf,"Future",IF(L44&lt;0,"Overpaid",IF(L44=0,"Paid",IF(AsOf&gt;J44,"Overdue",IF(K44&gt;0,"Partial","Unpaid"))))))</f>
        <v/>
      </c>
      <c r="N44" s="28">
        <f>IF(AND(V44=1,N(L44)&gt;0),AsOf-C44,"")</f>
        <v/>
      </c>
      <c r="O44" s="28">
        <f>IF(N44="","",MAX(0,AsOf-J44))</f>
        <v/>
      </c>
      <c r="P44" s="66">
        <f>IF(O44="","",IF(O44=0,"Current",IF(O44&lt;=30,"1-30",IF(O44&lt;=60,"31-60",IF(O44&lt;=90,"61-90","90+")))))</f>
        <v/>
      </c>
      <c r="Q44" s="66">
        <f>IF(T44&lt;&gt;"","⛔ "&amp;T44&amp;" — not posted",IF(U44&lt;&gt;"","⚠ "&amp;U44,IF(V44=1,"✓ OK","")))</f>
        <v/>
      </c>
      <c r="R44" s="67">
        <f>IF(AND(B44="",C44="",D44="",G44="",F44=""),1,0)</f>
        <v/>
      </c>
      <c r="S44" s="68">
        <f>IF(AND(TaxOn="Yes",ISNUMBER(H44)),H44,0)</f>
        <v/>
      </c>
      <c r="T44" s="67">
        <f>IF(R44=1,"",IF(B44="","Enter an invoice #",IF(C44="","Missing invoice date",IF(NOT(ISNUMBER(C44)),"Invalid date",IF(OR(C44&lt;DATE(2000,1,1),C44&gt;DATE(2099,12,31)),"Invalid date",IF(F44="","Select a revenue account",IF(ISNA(MATCH(F44,coa_Name,0)),"Unknown account: "&amp;F44,IF(NOT(ISNUMBER(G44)),"Enter an amount",IF(G44&lt;=0,"Amount must be positive",IF(S44&gt;G44,"Tax is larger than the amount",""))))))))))</f>
        <v/>
      </c>
      <c r="U44" s="67">
        <f>IF(OR(R44=1,T44&lt;&gt;""),"",IF(COUNTIF(ar_No,B44)&gt;1,"Duplicate invoice #",IF(D44="","Select a customer",IF(N(L44)&lt;0,"Overpaid by "&amp;TEXT(-L44,"#,##0.00"),IF(AND(ISNUMBER(H44),N(H44)&lt;&gt;0,S44=0),"Tax ignored (tax tracking is off)",IF(AND(ISNUMBER(StartDate),C44&lt;StartDate),"Date is before the accounting start date",IF(AND(IFERROR(INDEX(coa_Type,MATCH(F44,coa_Name,0)),"")&lt;&gt;"Revenue",IFERROR(INDEX(coa_Type,MATCH(F44,coa_Name,0)),"")&lt;&gt;"Other Income"),"Account is not a revenue account","")))))))</f>
        <v/>
      </c>
      <c r="V44" s="67">
        <f>IF(AND(R44=0,T44=""),1,0)</f>
        <v/>
      </c>
      <c r="W44" s="67">
        <f>IF(V44=1,acctAR,"")</f>
        <v/>
      </c>
      <c r="X44" s="67">
        <f>IF(V44=1,F44,"")</f>
        <v/>
      </c>
      <c r="Y44" s="68">
        <f>IF(V44=1,G44,0)</f>
        <v/>
      </c>
      <c r="Z44" s="68">
        <f>IF(V44=1,G44-S44,0)</f>
        <v/>
      </c>
      <c r="AA44" s="68">
        <f>IF(V44=1,S44,0)</f>
        <v/>
      </c>
    </row>
    <row r="45">
      <c r="B45" s="62" t="n"/>
      <c r="C45" s="63" t="n"/>
      <c r="D45" s="62" t="n"/>
      <c r="E45" s="62" t="n"/>
      <c r="F45" s="62" t="n"/>
      <c r="G45" s="64" t="n"/>
      <c r="H45" s="64" t="n"/>
      <c r="I45" s="63" t="n"/>
      <c r="J45" s="29">
        <f>IF(V45=1,IF(ISNUMBER(I45),I45,C45+IF(ISNUMBER(IFERROR(INDEX(cust_Terms,MATCH(D45,cust_Name,0)),"")),INDEX(cust_Terms,MATCH(D45,cust_Name,0)),TermsDays)),"")</f>
        <v/>
      </c>
      <c r="K45" s="65">
        <f>IF(V45=1,SUMIFS(tx_DrAmt,tx_Type,"Customer Payment",tx_Ref,B45&amp;"",tx_Date,"&lt;="&amp;AsOf),"")</f>
        <v/>
      </c>
      <c r="L45" s="65">
        <f>IF(V45=1,IF(C45&gt;AsOf,0,ROUND(G45-K45,2)),"")</f>
        <v/>
      </c>
      <c r="M45" s="66">
        <f>IF(V45&lt;&gt;1,"",IF(C45&gt;AsOf,"Future",IF(L45&lt;0,"Overpaid",IF(L45=0,"Paid",IF(AsOf&gt;J45,"Overdue",IF(K45&gt;0,"Partial","Unpaid"))))))</f>
        <v/>
      </c>
      <c r="N45" s="28">
        <f>IF(AND(V45=1,N(L45)&gt;0),AsOf-C45,"")</f>
        <v/>
      </c>
      <c r="O45" s="28">
        <f>IF(N45="","",MAX(0,AsOf-J45))</f>
        <v/>
      </c>
      <c r="P45" s="66">
        <f>IF(O45="","",IF(O45=0,"Current",IF(O45&lt;=30,"1-30",IF(O45&lt;=60,"31-60",IF(O45&lt;=90,"61-90","90+")))))</f>
        <v/>
      </c>
      <c r="Q45" s="66">
        <f>IF(T45&lt;&gt;"","⛔ "&amp;T45&amp;" — not posted",IF(U45&lt;&gt;"","⚠ "&amp;U45,IF(V45=1,"✓ OK","")))</f>
        <v/>
      </c>
      <c r="R45" s="67">
        <f>IF(AND(B45="",C45="",D45="",G45="",F45=""),1,0)</f>
        <v/>
      </c>
      <c r="S45" s="68">
        <f>IF(AND(TaxOn="Yes",ISNUMBER(H45)),H45,0)</f>
        <v/>
      </c>
      <c r="T45" s="67">
        <f>IF(R45=1,"",IF(B45="","Enter an invoice #",IF(C45="","Missing invoice date",IF(NOT(ISNUMBER(C45)),"Invalid date",IF(OR(C45&lt;DATE(2000,1,1),C45&gt;DATE(2099,12,31)),"Invalid date",IF(F45="","Select a revenue account",IF(ISNA(MATCH(F45,coa_Name,0)),"Unknown account: "&amp;F45,IF(NOT(ISNUMBER(G45)),"Enter an amount",IF(G45&lt;=0,"Amount must be positive",IF(S45&gt;G45,"Tax is larger than the amount",""))))))))))</f>
        <v/>
      </c>
      <c r="U45" s="67">
        <f>IF(OR(R45=1,T45&lt;&gt;""),"",IF(COUNTIF(ar_No,B45)&gt;1,"Duplicate invoice #",IF(D45="","Select a customer",IF(N(L45)&lt;0,"Overpaid by "&amp;TEXT(-L45,"#,##0.00"),IF(AND(ISNUMBER(H45),N(H45)&lt;&gt;0,S45=0),"Tax ignored (tax tracking is off)",IF(AND(ISNUMBER(StartDate),C45&lt;StartDate),"Date is before the accounting start date",IF(AND(IFERROR(INDEX(coa_Type,MATCH(F45,coa_Name,0)),"")&lt;&gt;"Revenue",IFERROR(INDEX(coa_Type,MATCH(F45,coa_Name,0)),"")&lt;&gt;"Other Income"),"Account is not a revenue account","")))))))</f>
        <v/>
      </c>
      <c r="V45" s="67">
        <f>IF(AND(R45=0,T45=""),1,0)</f>
        <v/>
      </c>
      <c r="W45" s="67">
        <f>IF(V45=1,acctAR,"")</f>
        <v/>
      </c>
      <c r="X45" s="67">
        <f>IF(V45=1,F45,"")</f>
        <v/>
      </c>
      <c r="Y45" s="68">
        <f>IF(V45=1,G45,0)</f>
        <v/>
      </c>
      <c r="Z45" s="68">
        <f>IF(V45=1,G45-S45,0)</f>
        <v/>
      </c>
      <c r="AA45" s="68">
        <f>IF(V45=1,S45,0)</f>
        <v/>
      </c>
    </row>
    <row r="46">
      <c r="B46" s="62" t="n"/>
      <c r="C46" s="63" t="n"/>
      <c r="D46" s="62" t="n"/>
      <c r="E46" s="62" t="n"/>
      <c r="F46" s="62" t="n"/>
      <c r="G46" s="64" t="n"/>
      <c r="H46" s="64" t="n"/>
      <c r="I46" s="63" t="n"/>
      <c r="J46" s="29">
        <f>IF(V46=1,IF(ISNUMBER(I46),I46,C46+IF(ISNUMBER(IFERROR(INDEX(cust_Terms,MATCH(D46,cust_Name,0)),"")),INDEX(cust_Terms,MATCH(D46,cust_Name,0)),TermsDays)),"")</f>
        <v/>
      </c>
      <c r="K46" s="65">
        <f>IF(V46=1,SUMIFS(tx_DrAmt,tx_Type,"Customer Payment",tx_Ref,B46&amp;"",tx_Date,"&lt;="&amp;AsOf),"")</f>
        <v/>
      </c>
      <c r="L46" s="65">
        <f>IF(V46=1,IF(C46&gt;AsOf,0,ROUND(G46-K46,2)),"")</f>
        <v/>
      </c>
      <c r="M46" s="66">
        <f>IF(V46&lt;&gt;1,"",IF(C46&gt;AsOf,"Future",IF(L46&lt;0,"Overpaid",IF(L46=0,"Paid",IF(AsOf&gt;J46,"Overdue",IF(K46&gt;0,"Partial","Unpaid"))))))</f>
        <v/>
      </c>
      <c r="N46" s="28">
        <f>IF(AND(V46=1,N(L46)&gt;0),AsOf-C46,"")</f>
        <v/>
      </c>
      <c r="O46" s="28">
        <f>IF(N46="","",MAX(0,AsOf-J46))</f>
        <v/>
      </c>
      <c r="P46" s="66">
        <f>IF(O46="","",IF(O46=0,"Current",IF(O46&lt;=30,"1-30",IF(O46&lt;=60,"31-60",IF(O46&lt;=90,"61-90","90+")))))</f>
        <v/>
      </c>
      <c r="Q46" s="66">
        <f>IF(T46&lt;&gt;"","⛔ "&amp;T46&amp;" — not posted",IF(U46&lt;&gt;"","⚠ "&amp;U46,IF(V46=1,"✓ OK","")))</f>
        <v/>
      </c>
      <c r="R46" s="67">
        <f>IF(AND(B46="",C46="",D46="",G46="",F46=""),1,0)</f>
        <v/>
      </c>
      <c r="S46" s="68">
        <f>IF(AND(TaxOn="Yes",ISNUMBER(H46)),H46,0)</f>
        <v/>
      </c>
      <c r="T46" s="67">
        <f>IF(R46=1,"",IF(B46="","Enter an invoice #",IF(C46="","Missing invoice date",IF(NOT(ISNUMBER(C46)),"Invalid date",IF(OR(C46&lt;DATE(2000,1,1),C46&gt;DATE(2099,12,31)),"Invalid date",IF(F46="","Select a revenue account",IF(ISNA(MATCH(F46,coa_Name,0)),"Unknown account: "&amp;F46,IF(NOT(ISNUMBER(G46)),"Enter an amount",IF(G46&lt;=0,"Amount must be positive",IF(S46&gt;G46,"Tax is larger than the amount",""))))))))))</f>
        <v/>
      </c>
      <c r="U46" s="67">
        <f>IF(OR(R46=1,T46&lt;&gt;""),"",IF(COUNTIF(ar_No,B46)&gt;1,"Duplicate invoice #",IF(D46="","Select a customer",IF(N(L46)&lt;0,"Overpaid by "&amp;TEXT(-L46,"#,##0.00"),IF(AND(ISNUMBER(H46),N(H46)&lt;&gt;0,S46=0),"Tax ignored (tax tracking is off)",IF(AND(ISNUMBER(StartDate),C46&lt;StartDate),"Date is before the accounting start date",IF(AND(IFERROR(INDEX(coa_Type,MATCH(F46,coa_Name,0)),"")&lt;&gt;"Revenue",IFERROR(INDEX(coa_Type,MATCH(F46,coa_Name,0)),"")&lt;&gt;"Other Income"),"Account is not a revenue account","")))))))</f>
        <v/>
      </c>
      <c r="V46" s="67">
        <f>IF(AND(R46=0,T46=""),1,0)</f>
        <v/>
      </c>
      <c r="W46" s="67">
        <f>IF(V46=1,acctAR,"")</f>
        <v/>
      </c>
      <c r="X46" s="67">
        <f>IF(V46=1,F46,"")</f>
        <v/>
      </c>
      <c r="Y46" s="68">
        <f>IF(V46=1,G46,0)</f>
        <v/>
      </c>
      <c r="Z46" s="68">
        <f>IF(V46=1,G46-S46,0)</f>
        <v/>
      </c>
      <c r="AA46" s="68">
        <f>IF(V46=1,S46,0)</f>
        <v/>
      </c>
    </row>
    <row r="47">
      <c r="B47" s="62" t="n"/>
      <c r="C47" s="63" t="n"/>
      <c r="D47" s="62" t="n"/>
      <c r="E47" s="62" t="n"/>
      <c r="F47" s="62" t="n"/>
      <c r="G47" s="64" t="n"/>
      <c r="H47" s="64" t="n"/>
      <c r="I47" s="63" t="n"/>
      <c r="J47" s="29">
        <f>IF(V47=1,IF(ISNUMBER(I47),I47,C47+IF(ISNUMBER(IFERROR(INDEX(cust_Terms,MATCH(D47,cust_Name,0)),"")),INDEX(cust_Terms,MATCH(D47,cust_Name,0)),TermsDays)),"")</f>
        <v/>
      </c>
      <c r="K47" s="65">
        <f>IF(V47=1,SUMIFS(tx_DrAmt,tx_Type,"Customer Payment",tx_Ref,B47&amp;"",tx_Date,"&lt;="&amp;AsOf),"")</f>
        <v/>
      </c>
      <c r="L47" s="65">
        <f>IF(V47=1,IF(C47&gt;AsOf,0,ROUND(G47-K47,2)),"")</f>
        <v/>
      </c>
      <c r="M47" s="66">
        <f>IF(V47&lt;&gt;1,"",IF(C47&gt;AsOf,"Future",IF(L47&lt;0,"Overpaid",IF(L47=0,"Paid",IF(AsOf&gt;J47,"Overdue",IF(K47&gt;0,"Partial","Unpaid"))))))</f>
        <v/>
      </c>
      <c r="N47" s="28">
        <f>IF(AND(V47=1,N(L47)&gt;0),AsOf-C47,"")</f>
        <v/>
      </c>
      <c r="O47" s="28">
        <f>IF(N47="","",MAX(0,AsOf-J47))</f>
        <v/>
      </c>
      <c r="P47" s="66">
        <f>IF(O47="","",IF(O47=0,"Current",IF(O47&lt;=30,"1-30",IF(O47&lt;=60,"31-60",IF(O47&lt;=90,"61-90","90+")))))</f>
        <v/>
      </c>
      <c r="Q47" s="66">
        <f>IF(T47&lt;&gt;"","⛔ "&amp;T47&amp;" — not posted",IF(U47&lt;&gt;"","⚠ "&amp;U47,IF(V47=1,"✓ OK","")))</f>
        <v/>
      </c>
      <c r="R47" s="67">
        <f>IF(AND(B47="",C47="",D47="",G47="",F47=""),1,0)</f>
        <v/>
      </c>
      <c r="S47" s="68">
        <f>IF(AND(TaxOn="Yes",ISNUMBER(H47)),H47,0)</f>
        <v/>
      </c>
      <c r="T47" s="67">
        <f>IF(R47=1,"",IF(B47="","Enter an invoice #",IF(C47="","Missing invoice date",IF(NOT(ISNUMBER(C47)),"Invalid date",IF(OR(C47&lt;DATE(2000,1,1),C47&gt;DATE(2099,12,31)),"Invalid date",IF(F47="","Select a revenue account",IF(ISNA(MATCH(F47,coa_Name,0)),"Unknown account: "&amp;F47,IF(NOT(ISNUMBER(G47)),"Enter an amount",IF(G47&lt;=0,"Amount must be positive",IF(S47&gt;G47,"Tax is larger than the amount",""))))))))))</f>
        <v/>
      </c>
      <c r="U47" s="67">
        <f>IF(OR(R47=1,T47&lt;&gt;""),"",IF(COUNTIF(ar_No,B47)&gt;1,"Duplicate invoice #",IF(D47="","Select a customer",IF(N(L47)&lt;0,"Overpaid by "&amp;TEXT(-L47,"#,##0.00"),IF(AND(ISNUMBER(H47),N(H47)&lt;&gt;0,S47=0),"Tax ignored (tax tracking is off)",IF(AND(ISNUMBER(StartDate),C47&lt;StartDate),"Date is before the accounting start date",IF(AND(IFERROR(INDEX(coa_Type,MATCH(F47,coa_Name,0)),"")&lt;&gt;"Revenue",IFERROR(INDEX(coa_Type,MATCH(F47,coa_Name,0)),"")&lt;&gt;"Other Income"),"Account is not a revenue account","")))))))</f>
        <v/>
      </c>
      <c r="V47" s="67">
        <f>IF(AND(R47=0,T47=""),1,0)</f>
        <v/>
      </c>
      <c r="W47" s="67">
        <f>IF(V47=1,acctAR,"")</f>
        <v/>
      </c>
      <c r="X47" s="67">
        <f>IF(V47=1,F47,"")</f>
        <v/>
      </c>
      <c r="Y47" s="68">
        <f>IF(V47=1,G47,0)</f>
        <v/>
      </c>
      <c r="Z47" s="68">
        <f>IF(V47=1,G47-S47,0)</f>
        <v/>
      </c>
      <c r="AA47" s="68">
        <f>IF(V47=1,S47,0)</f>
        <v/>
      </c>
    </row>
    <row r="48">
      <c r="B48" s="62" t="n"/>
      <c r="C48" s="63" t="n"/>
      <c r="D48" s="62" t="n"/>
      <c r="E48" s="62" t="n"/>
      <c r="F48" s="62" t="n"/>
      <c r="G48" s="64" t="n"/>
      <c r="H48" s="64" t="n"/>
      <c r="I48" s="63" t="n"/>
      <c r="J48" s="29">
        <f>IF(V48=1,IF(ISNUMBER(I48),I48,C48+IF(ISNUMBER(IFERROR(INDEX(cust_Terms,MATCH(D48,cust_Name,0)),"")),INDEX(cust_Terms,MATCH(D48,cust_Name,0)),TermsDays)),"")</f>
        <v/>
      </c>
      <c r="K48" s="65">
        <f>IF(V48=1,SUMIFS(tx_DrAmt,tx_Type,"Customer Payment",tx_Ref,B48&amp;"",tx_Date,"&lt;="&amp;AsOf),"")</f>
        <v/>
      </c>
      <c r="L48" s="65">
        <f>IF(V48=1,IF(C48&gt;AsOf,0,ROUND(G48-K48,2)),"")</f>
        <v/>
      </c>
      <c r="M48" s="66">
        <f>IF(V48&lt;&gt;1,"",IF(C48&gt;AsOf,"Future",IF(L48&lt;0,"Overpaid",IF(L48=0,"Paid",IF(AsOf&gt;J48,"Overdue",IF(K48&gt;0,"Partial","Unpaid"))))))</f>
        <v/>
      </c>
      <c r="N48" s="28">
        <f>IF(AND(V48=1,N(L48)&gt;0),AsOf-C48,"")</f>
        <v/>
      </c>
      <c r="O48" s="28">
        <f>IF(N48="","",MAX(0,AsOf-J48))</f>
        <v/>
      </c>
      <c r="P48" s="66">
        <f>IF(O48="","",IF(O48=0,"Current",IF(O48&lt;=30,"1-30",IF(O48&lt;=60,"31-60",IF(O48&lt;=90,"61-90","90+")))))</f>
        <v/>
      </c>
      <c r="Q48" s="66">
        <f>IF(T48&lt;&gt;"","⛔ "&amp;T48&amp;" — not posted",IF(U48&lt;&gt;"","⚠ "&amp;U48,IF(V48=1,"✓ OK","")))</f>
        <v/>
      </c>
      <c r="R48" s="67">
        <f>IF(AND(B48="",C48="",D48="",G48="",F48=""),1,0)</f>
        <v/>
      </c>
      <c r="S48" s="68">
        <f>IF(AND(TaxOn="Yes",ISNUMBER(H48)),H48,0)</f>
        <v/>
      </c>
      <c r="T48" s="67">
        <f>IF(R48=1,"",IF(B48="","Enter an invoice #",IF(C48="","Missing invoice date",IF(NOT(ISNUMBER(C48)),"Invalid date",IF(OR(C48&lt;DATE(2000,1,1),C48&gt;DATE(2099,12,31)),"Invalid date",IF(F48="","Select a revenue account",IF(ISNA(MATCH(F48,coa_Name,0)),"Unknown account: "&amp;F48,IF(NOT(ISNUMBER(G48)),"Enter an amount",IF(G48&lt;=0,"Amount must be positive",IF(S48&gt;G48,"Tax is larger than the amount",""))))))))))</f>
        <v/>
      </c>
      <c r="U48" s="67">
        <f>IF(OR(R48=1,T48&lt;&gt;""),"",IF(COUNTIF(ar_No,B48)&gt;1,"Duplicate invoice #",IF(D48="","Select a customer",IF(N(L48)&lt;0,"Overpaid by "&amp;TEXT(-L48,"#,##0.00"),IF(AND(ISNUMBER(H48),N(H48)&lt;&gt;0,S48=0),"Tax ignored (tax tracking is off)",IF(AND(ISNUMBER(StartDate),C48&lt;StartDate),"Date is before the accounting start date",IF(AND(IFERROR(INDEX(coa_Type,MATCH(F48,coa_Name,0)),"")&lt;&gt;"Revenue",IFERROR(INDEX(coa_Type,MATCH(F48,coa_Name,0)),"")&lt;&gt;"Other Income"),"Account is not a revenue account","")))))))</f>
        <v/>
      </c>
      <c r="V48" s="67">
        <f>IF(AND(R48=0,T48=""),1,0)</f>
        <v/>
      </c>
      <c r="W48" s="67">
        <f>IF(V48=1,acctAR,"")</f>
        <v/>
      </c>
      <c r="X48" s="67">
        <f>IF(V48=1,F48,"")</f>
        <v/>
      </c>
      <c r="Y48" s="68">
        <f>IF(V48=1,G48,0)</f>
        <v/>
      </c>
      <c r="Z48" s="68">
        <f>IF(V48=1,G48-S48,0)</f>
        <v/>
      </c>
      <c r="AA48" s="68">
        <f>IF(V48=1,S48,0)</f>
        <v/>
      </c>
    </row>
    <row r="49">
      <c r="B49" s="62" t="n"/>
      <c r="C49" s="63" t="n"/>
      <c r="D49" s="62" t="n"/>
      <c r="E49" s="62" t="n"/>
      <c r="F49" s="62" t="n"/>
      <c r="G49" s="64" t="n"/>
      <c r="H49" s="64" t="n"/>
      <c r="I49" s="63" t="n"/>
      <c r="J49" s="29">
        <f>IF(V49=1,IF(ISNUMBER(I49),I49,C49+IF(ISNUMBER(IFERROR(INDEX(cust_Terms,MATCH(D49,cust_Name,0)),"")),INDEX(cust_Terms,MATCH(D49,cust_Name,0)),TermsDays)),"")</f>
        <v/>
      </c>
      <c r="K49" s="65">
        <f>IF(V49=1,SUMIFS(tx_DrAmt,tx_Type,"Customer Payment",tx_Ref,B49&amp;"",tx_Date,"&lt;="&amp;AsOf),"")</f>
        <v/>
      </c>
      <c r="L49" s="65">
        <f>IF(V49=1,IF(C49&gt;AsOf,0,ROUND(G49-K49,2)),"")</f>
        <v/>
      </c>
      <c r="M49" s="66">
        <f>IF(V49&lt;&gt;1,"",IF(C49&gt;AsOf,"Future",IF(L49&lt;0,"Overpaid",IF(L49=0,"Paid",IF(AsOf&gt;J49,"Overdue",IF(K49&gt;0,"Partial","Unpaid"))))))</f>
        <v/>
      </c>
      <c r="N49" s="28">
        <f>IF(AND(V49=1,N(L49)&gt;0),AsOf-C49,"")</f>
        <v/>
      </c>
      <c r="O49" s="28">
        <f>IF(N49="","",MAX(0,AsOf-J49))</f>
        <v/>
      </c>
      <c r="P49" s="66">
        <f>IF(O49="","",IF(O49=0,"Current",IF(O49&lt;=30,"1-30",IF(O49&lt;=60,"31-60",IF(O49&lt;=90,"61-90","90+")))))</f>
        <v/>
      </c>
      <c r="Q49" s="66">
        <f>IF(T49&lt;&gt;"","⛔ "&amp;T49&amp;" — not posted",IF(U49&lt;&gt;"","⚠ "&amp;U49,IF(V49=1,"✓ OK","")))</f>
        <v/>
      </c>
      <c r="R49" s="67">
        <f>IF(AND(B49="",C49="",D49="",G49="",F49=""),1,0)</f>
        <v/>
      </c>
      <c r="S49" s="68">
        <f>IF(AND(TaxOn="Yes",ISNUMBER(H49)),H49,0)</f>
        <v/>
      </c>
      <c r="T49" s="67">
        <f>IF(R49=1,"",IF(B49="","Enter an invoice #",IF(C49="","Missing invoice date",IF(NOT(ISNUMBER(C49)),"Invalid date",IF(OR(C49&lt;DATE(2000,1,1),C49&gt;DATE(2099,12,31)),"Invalid date",IF(F49="","Select a revenue account",IF(ISNA(MATCH(F49,coa_Name,0)),"Unknown account: "&amp;F49,IF(NOT(ISNUMBER(G49)),"Enter an amount",IF(G49&lt;=0,"Amount must be positive",IF(S49&gt;G49,"Tax is larger than the amount",""))))))))))</f>
        <v/>
      </c>
      <c r="U49" s="67">
        <f>IF(OR(R49=1,T49&lt;&gt;""),"",IF(COUNTIF(ar_No,B49)&gt;1,"Duplicate invoice #",IF(D49="","Select a customer",IF(N(L49)&lt;0,"Overpaid by "&amp;TEXT(-L49,"#,##0.00"),IF(AND(ISNUMBER(H49),N(H49)&lt;&gt;0,S49=0),"Tax ignored (tax tracking is off)",IF(AND(ISNUMBER(StartDate),C49&lt;StartDate),"Date is before the accounting start date",IF(AND(IFERROR(INDEX(coa_Type,MATCH(F49,coa_Name,0)),"")&lt;&gt;"Revenue",IFERROR(INDEX(coa_Type,MATCH(F49,coa_Name,0)),"")&lt;&gt;"Other Income"),"Account is not a revenue account","")))))))</f>
        <v/>
      </c>
      <c r="V49" s="67">
        <f>IF(AND(R49=0,T49=""),1,0)</f>
        <v/>
      </c>
      <c r="W49" s="67">
        <f>IF(V49=1,acctAR,"")</f>
        <v/>
      </c>
      <c r="X49" s="67">
        <f>IF(V49=1,F49,"")</f>
        <v/>
      </c>
      <c r="Y49" s="68">
        <f>IF(V49=1,G49,0)</f>
        <v/>
      </c>
      <c r="Z49" s="68">
        <f>IF(V49=1,G49-S49,0)</f>
        <v/>
      </c>
      <c r="AA49" s="68">
        <f>IF(V49=1,S49,0)</f>
        <v/>
      </c>
    </row>
    <row r="50">
      <c r="B50" s="62" t="n"/>
      <c r="C50" s="63" t="n"/>
      <c r="D50" s="62" t="n"/>
      <c r="E50" s="62" t="n"/>
      <c r="F50" s="62" t="n"/>
      <c r="G50" s="64" t="n"/>
      <c r="H50" s="64" t="n"/>
      <c r="I50" s="63" t="n"/>
      <c r="J50" s="29">
        <f>IF(V50=1,IF(ISNUMBER(I50),I50,C50+IF(ISNUMBER(IFERROR(INDEX(cust_Terms,MATCH(D50,cust_Name,0)),"")),INDEX(cust_Terms,MATCH(D50,cust_Name,0)),TermsDays)),"")</f>
        <v/>
      </c>
      <c r="K50" s="65">
        <f>IF(V50=1,SUMIFS(tx_DrAmt,tx_Type,"Customer Payment",tx_Ref,B50&amp;"",tx_Date,"&lt;="&amp;AsOf),"")</f>
        <v/>
      </c>
      <c r="L50" s="65">
        <f>IF(V50=1,IF(C50&gt;AsOf,0,ROUND(G50-K50,2)),"")</f>
        <v/>
      </c>
      <c r="M50" s="66">
        <f>IF(V50&lt;&gt;1,"",IF(C50&gt;AsOf,"Future",IF(L50&lt;0,"Overpaid",IF(L50=0,"Paid",IF(AsOf&gt;J50,"Overdue",IF(K50&gt;0,"Partial","Unpaid"))))))</f>
        <v/>
      </c>
      <c r="N50" s="28">
        <f>IF(AND(V50=1,N(L50)&gt;0),AsOf-C50,"")</f>
        <v/>
      </c>
      <c r="O50" s="28">
        <f>IF(N50="","",MAX(0,AsOf-J50))</f>
        <v/>
      </c>
      <c r="P50" s="66">
        <f>IF(O50="","",IF(O50=0,"Current",IF(O50&lt;=30,"1-30",IF(O50&lt;=60,"31-60",IF(O50&lt;=90,"61-90","90+")))))</f>
        <v/>
      </c>
      <c r="Q50" s="66">
        <f>IF(T50&lt;&gt;"","⛔ "&amp;T50&amp;" — not posted",IF(U50&lt;&gt;"","⚠ "&amp;U50,IF(V50=1,"✓ OK","")))</f>
        <v/>
      </c>
      <c r="R50" s="67">
        <f>IF(AND(B50="",C50="",D50="",G50="",F50=""),1,0)</f>
        <v/>
      </c>
      <c r="S50" s="68">
        <f>IF(AND(TaxOn="Yes",ISNUMBER(H50)),H50,0)</f>
        <v/>
      </c>
      <c r="T50" s="67">
        <f>IF(R50=1,"",IF(B50="","Enter an invoice #",IF(C50="","Missing invoice date",IF(NOT(ISNUMBER(C50)),"Invalid date",IF(OR(C50&lt;DATE(2000,1,1),C50&gt;DATE(2099,12,31)),"Invalid date",IF(F50="","Select a revenue account",IF(ISNA(MATCH(F50,coa_Name,0)),"Unknown account: "&amp;F50,IF(NOT(ISNUMBER(G50)),"Enter an amount",IF(G50&lt;=0,"Amount must be positive",IF(S50&gt;G50,"Tax is larger than the amount",""))))))))))</f>
        <v/>
      </c>
      <c r="U50" s="67">
        <f>IF(OR(R50=1,T50&lt;&gt;""),"",IF(COUNTIF(ar_No,B50)&gt;1,"Duplicate invoice #",IF(D50="","Select a customer",IF(N(L50)&lt;0,"Overpaid by "&amp;TEXT(-L50,"#,##0.00"),IF(AND(ISNUMBER(H50),N(H50)&lt;&gt;0,S50=0),"Tax ignored (tax tracking is off)",IF(AND(ISNUMBER(StartDate),C50&lt;StartDate),"Date is before the accounting start date",IF(AND(IFERROR(INDEX(coa_Type,MATCH(F50,coa_Name,0)),"")&lt;&gt;"Revenue",IFERROR(INDEX(coa_Type,MATCH(F50,coa_Name,0)),"")&lt;&gt;"Other Income"),"Account is not a revenue account","")))))))</f>
        <v/>
      </c>
      <c r="V50" s="67">
        <f>IF(AND(R50=0,T50=""),1,0)</f>
        <v/>
      </c>
      <c r="W50" s="67">
        <f>IF(V50=1,acctAR,"")</f>
        <v/>
      </c>
      <c r="X50" s="67">
        <f>IF(V50=1,F50,"")</f>
        <v/>
      </c>
      <c r="Y50" s="68">
        <f>IF(V50=1,G50,0)</f>
        <v/>
      </c>
      <c r="Z50" s="68">
        <f>IF(V50=1,G50-S50,0)</f>
        <v/>
      </c>
      <c r="AA50" s="68">
        <f>IF(V50=1,S50,0)</f>
        <v/>
      </c>
    </row>
    <row r="51">
      <c r="B51" s="62" t="n"/>
      <c r="C51" s="63" t="n"/>
      <c r="D51" s="62" t="n"/>
      <c r="E51" s="62" t="n"/>
      <c r="F51" s="62" t="n"/>
      <c r="G51" s="64" t="n"/>
      <c r="H51" s="64" t="n"/>
      <c r="I51" s="63" t="n"/>
      <c r="J51" s="29">
        <f>IF(V51=1,IF(ISNUMBER(I51),I51,C51+IF(ISNUMBER(IFERROR(INDEX(cust_Terms,MATCH(D51,cust_Name,0)),"")),INDEX(cust_Terms,MATCH(D51,cust_Name,0)),TermsDays)),"")</f>
        <v/>
      </c>
      <c r="K51" s="65">
        <f>IF(V51=1,SUMIFS(tx_DrAmt,tx_Type,"Customer Payment",tx_Ref,B51&amp;"",tx_Date,"&lt;="&amp;AsOf),"")</f>
        <v/>
      </c>
      <c r="L51" s="65">
        <f>IF(V51=1,IF(C51&gt;AsOf,0,ROUND(G51-K51,2)),"")</f>
        <v/>
      </c>
      <c r="M51" s="66">
        <f>IF(V51&lt;&gt;1,"",IF(C51&gt;AsOf,"Future",IF(L51&lt;0,"Overpaid",IF(L51=0,"Paid",IF(AsOf&gt;J51,"Overdue",IF(K51&gt;0,"Partial","Unpaid"))))))</f>
        <v/>
      </c>
      <c r="N51" s="28">
        <f>IF(AND(V51=1,N(L51)&gt;0),AsOf-C51,"")</f>
        <v/>
      </c>
      <c r="O51" s="28">
        <f>IF(N51="","",MAX(0,AsOf-J51))</f>
        <v/>
      </c>
      <c r="P51" s="66">
        <f>IF(O51="","",IF(O51=0,"Current",IF(O51&lt;=30,"1-30",IF(O51&lt;=60,"31-60",IF(O51&lt;=90,"61-90","90+")))))</f>
        <v/>
      </c>
      <c r="Q51" s="66">
        <f>IF(T51&lt;&gt;"","⛔ "&amp;T51&amp;" — not posted",IF(U51&lt;&gt;"","⚠ "&amp;U51,IF(V51=1,"✓ OK","")))</f>
        <v/>
      </c>
      <c r="R51" s="67">
        <f>IF(AND(B51="",C51="",D51="",G51="",F51=""),1,0)</f>
        <v/>
      </c>
      <c r="S51" s="68">
        <f>IF(AND(TaxOn="Yes",ISNUMBER(H51)),H51,0)</f>
        <v/>
      </c>
      <c r="T51" s="67">
        <f>IF(R51=1,"",IF(B51="","Enter an invoice #",IF(C51="","Missing invoice date",IF(NOT(ISNUMBER(C51)),"Invalid date",IF(OR(C51&lt;DATE(2000,1,1),C51&gt;DATE(2099,12,31)),"Invalid date",IF(F51="","Select a revenue account",IF(ISNA(MATCH(F51,coa_Name,0)),"Unknown account: "&amp;F51,IF(NOT(ISNUMBER(G51)),"Enter an amount",IF(G51&lt;=0,"Amount must be positive",IF(S51&gt;G51,"Tax is larger than the amount",""))))))))))</f>
        <v/>
      </c>
      <c r="U51" s="67">
        <f>IF(OR(R51=1,T51&lt;&gt;""),"",IF(COUNTIF(ar_No,B51)&gt;1,"Duplicate invoice #",IF(D51="","Select a customer",IF(N(L51)&lt;0,"Overpaid by "&amp;TEXT(-L51,"#,##0.00"),IF(AND(ISNUMBER(H51),N(H51)&lt;&gt;0,S51=0),"Tax ignored (tax tracking is off)",IF(AND(ISNUMBER(StartDate),C51&lt;StartDate),"Date is before the accounting start date",IF(AND(IFERROR(INDEX(coa_Type,MATCH(F51,coa_Name,0)),"")&lt;&gt;"Revenue",IFERROR(INDEX(coa_Type,MATCH(F51,coa_Name,0)),"")&lt;&gt;"Other Income"),"Account is not a revenue account","")))))))</f>
        <v/>
      </c>
      <c r="V51" s="67">
        <f>IF(AND(R51=0,T51=""),1,0)</f>
        <v/>
      </c>
      <c r="W51" s="67">
        <f>IF(V51=1,acctAR,"")</f>
        <v/>
      </c>
      <c r="X51" s="67">
        <f>IF(V51=1,F51,"")</f>
        <v/>
      </c>
      <c r="Y51" s="68">
        <f>IF(V51=1,G51,0)</f>
        <v/>
      </c>
      <c r="Z51" s="68">
        <f>IF(V51=1,G51-S51,0)</f>
        <v/>
      </c>
      <c r="AA51" s="68">
        <f>IF(V51=1,S51,0)</f>
        <v/>
      </c>
    </row>
    <row r="52">
      <c r="B52" s="62" t="n"/>
      <c r="C52" s="63" t="n"/>
      <c r="D52" s="62" t="n"/>
      <c r="E52" s="62" t="n"/>
      <c r="F52" s="62" t="n"/>
      <c r="G52" s="64" t="n"/>
      <c r="H52" s="64" t="n"/>
      <c r="I52" s="63" t="n"/>
      <c r="J52" s="29">
        <f>IF(V52=1,IF(ISNUMBER(I52),I52,C52+IF(ISNUMBER(IFERROR(INDEX(cust_Terms,MATCH(D52,cust_Name,0)),"")),INDEX(cust_Terms,MATCH(D52,cust_Name,0)),TermsDays)),"")</f>
        <v/>
      </c>
      <c r="K52" s="65">
        <f>IF(V52=1,SUMIFS(tx_DrAmt,tx_Type,"Customer Payment",tx_Ref,B52&amp;"",tx_Date,"&lt;="&amp;AsOf),"")</f>
        <v/>
      </c>
      <c r="L52" s="65">
        <f>IF(V52=1,IF(C52&gt;AsOf,0,ROUND(G52-K52,2)),"")</f>
        <v/>
      </c>
      <c r="M52" s="66">
        <f>IF(V52&lt;&gt;1,"",IF(C52&gt;AsOf,"Future",IF(L52&lt;0,"Overpaid",IF(L52=0,"Paid",IF(AsOf&gt;J52,"Overdue",IF(K52&gt;0,"Partial","Unpaid"))))))</f>
        <v/>
      </c>
      <c r="N52" s="28">
        <f>IF(AND(V52=1,N(L52)&gt;0),AsOf-C52,"")</f>
        <v/>
      </c>
      <c r="O52" s="28">
        <f>IF(N52="","",MAX(0,AsOf-J52))</f>
        <v/>
      </c>
      <c r="P52" s="66">
        <f>IF(O52="","",IF(O52=0,"Current",IF(O52&lt;=30,"1-30",IF(O52&lt;=60,"31-60",IF(O52&lt;=90,"61-90","90+")))))</f>
        <v/>
      </c>
      <c r="Q52" s="66">
        <f>IF(T52&lt;&gt;"","⛔ "&amp;T52&amp;" — not posted",IF(U52&lt;&gt;"","⚠ "&amp;U52,IF(V52=1,"✓ OK","")))</f>
        <v/>
      </c>
      <c r="R52" s="67">
        <f>IF(AND(B52="",C52="",D52="",G52="",F52=""),1,0)</f>
        <v/>
      </c>
      <c r="S52" s="68">
        <f>IF(AND(TaxOn="Yes",ISNUMBER(H52)),H52,0)</f>
        <v/>
      </c>
      <c r="T52" s="67">
        <f>IF(R52=1,"",IF(B52="","Enter an invoice #",IF(C52="","Missing invoice date",IF(NOT(ISNUMBER(C52)),"Invalid date",IF(OR(C52&lt;DATE(2000,1,1),C52&gt;DATE(2099,12,31)),"Invalid date",IF(F52="","Select a revenue account",IF(ISNA(MATCH(F52,coa_Name,0)),"Unknown account: "&amp;F52,IF(NOT(ISNUMBER(G52)),"Enter an amount",IF(G52&lt;=0,"Amount must be positive",IF(S52&gt;G52,"Tax is larger than the amount",""))))))))))</f>
        <v/>
      </c>
      <c r="U52" s="67">
        <f>IF(OR(R52=1,T52&lt;&gt;""),"",IF(COUNTIF(ar_No,B52)&gt;1,"Duplicate invoice #",IF(D52="","Select a customer",IF(N(L52)&lt;0,"Overpaid by "&amp;TEXT(-L52,"#,##0.00"),IF(AND(ISNUMBER(H52),N(H52)&lt;&gt;0,S52=0),"Tax ignored (tax tracking is off)",IF(AND(ISNUMBER(StartDate),C52&lt;StartDate),"Date is before the accounting start date",IF(AND(IFERROR(INDEX(coa_Type,MATCH(F52,coa_Name,0)),"")&lt;&gt;"Revenue",IFERROR(INDEX(coa_Type,MATCH(F52,coa_Name,0)),"")&lt;&gt;"Other Income"),"Account is not a revenue account","")))))))</f>
        <v/>
      </c>
      <c r="V52" s="67">
        <f>IF(AND(R52=0,T52=""),1,0)</f>
        <v/>
      </c>
      <c r="W52" s="67">
        <f>IF(V52=1,acctAR,"")</f>
        <v/>
      </c>
      <c r="X52" s="67">
        <f>IF(V52=1,F52,"")</f>
        <v/>
      </c>
      <c r="Y52" s="68">
        <f>IF(V52=1,G52,0)</f>
        <v/>
      </c>
      <c r="Z52" s="68">
        <f>IF(V52=1,G52-S52,0)</f>
        <v/>
      </c>
      <c r="AA52" s="68">
        <f>IF(V52=1,S52,0)</f>
        <v/>
      </c>
    </row>
    <row r="53">
      <c r="B53" s="62" t="n"/>
      <c r="C53" s="63" t="n"/>
      <c r="D53" s="62" t="n"/>
      <c r="E53" s="62" t="n"/>
      <c r="F53" s="62" t="n"/>
      <c r="G53" s="64" t="n"/>
      <c r="H53" s="64" t="n"/>
      <c r="I53" s="63" t="n"/>
      <c r="J53" s="29">
        <f>IF(V53=1,IF(ISNUMBER(I53),I53,C53+IF(ISNUMBER(IFERROR(INDEX(cust_Terms,MATCH(D53,cust_Name,0)),"")),INDEX(cust_Terms,MATCH(D53,cust_Name,0)),TermsDays)),"")</f>
        <v/>
      </c>
      <c r="K53" s="65">
        <f>IF(V53=1,SUMIFS(tx_DrAmt,tx_Type,"Customer Payment",tx_Ref,B53&amp;"",tx_Date,"&lt;="&amp;AsOf),"")</f>
        <v/>
      </c>
      <c r="L53" s="65">
        <f>IF(V53=1,IF(C53&gt;AsOf,0,ROUND(G53-K53,2)),"")</f>
        <v/>
      </c>
      <c r="M53" s="66">
        <f>IF(V53&lt;&gt;1,"",IF(C53&gt;AsOf,"Future",IF(L53&lt;0,"Overpaid",IF(L53=0,"Paid",IF(AsOf&gt;J53,"Overdue",IF(K53&gt;0,"Partial","Unpaid"))))))</f>
        <v/>
      </c>
      <c r="N53" s="28">
        <f>IF(AND(V53=1,N(L53)&gt;0),AsOf-C53,"")</f>
        <v/>
      </c>
      <c r="O53" s="28">
        <f>IF(N53="","",MAX(0,AsOf-J53))</f>
        <v/>
      </c>
      <c r="P53" s="66">
        <f>IF(O53="","",IF(O53=0,"Current",IF(O53&lt;=30,"1-30",IF(O53&lt;=60,"31-60",IF(O53&lt;=90,"61-90","90+")))))</f>
        <v/>
      </c>
      <c r="Q53" s="66">
        <f>IF(T53&lt;&gt;"","⛔ "&amp;T53&amp;" — not posted",IF(U53&lt;&gt;"","⚠ "&amp;U53,IF(V53=1,"✓ OK","")))</f>
        <v/>
      </c>
      <c r="R53" s="67">
        <f>IF(AND(B53="",C53="",D53="",G53="",F53=""),1,0)</f>
        <v/>
      </c>
      <c r="S53" s="68">
        <f>IF(AND(TaxOn="Yes",ISNUMBER(H53)),H53,0)</f>
        <v/>
      </c>
      <c r="T53" s="67">
        <f>IF(R53=1,"",IF(B53="","Enter an invoice #",IF(C53="","Missing invoice date",IF(NOT(ISNUMBER(C53)),"Invalid date",IF(OR(C53&lt;DATE(2000,1,1),C53&gt;DATE(2099,12,31)),"Invalid date",IF(F53="","Select a revenue account",IF(ISNA(MATCH(F53,coa_Name,0)),"Unknown account: "&amp;F53,IF(NOT(ISNUMBER(G53)),"Enter an amount",IF(G53&lt;=0,"Amount must be positive",IF(S53&gt;G53,"Tax is larger than the amount",""))))))))))</f>
        <v/>
      </c>
      <c r="U53" s="67">
        <f>IF(OR(R53=1,T53&lt;&gt;""),"",IF(COUNTIF(ar_No,B53)&gt;1,"Duplicate invoice #",IF(D53="","Select a customer",IF(N(L53)&lt;0,"Overpaid by "&amp;TEXT(-L53,"#,##0.00"),IF(AND(ISNUMBER(H53),N(H53)&lt;&gt;0,S53=0),"Tax ignored (tax tracking is off)",IF(AND(ISNUMBER(StartDate),C53&lt;StartDate),"Date is before the accounting start date",IF(AND(IFERROR(INDEX(coa_Type,MATCH(F53,coa_Name,0)),"")&lt;&gt;"Revenue",IFERROR(INDEX(coa_Type,MATCH(F53,coa_Name,0)),"")&lt;&gt;"Other Income"),"Account is not a revenue account","")))))))</f>
        <v/>
      </c>
      <c r="V53" s="67">
        <f>IF(AND(R53=0,T53=""),1,0)</f>
        <v/>
      </c>
      <c r="W53" s="67">
        <f>IF(V53=1,acctAR,"")</f>
        <v/>
      </c>
      <c r="X53" s="67">
        <f>IF(V53=1,F53,"")</f>
        <v/>
      </c>
      <c r="Y53" s="68">
        <f>IF(V53=1,G53,0)</f>
        <v/>
      </c>
      <c r="Z53" s="68">
        <f>IF(V53=1,G53-S53,0)</f>
        <v/>
      </c>
      <c r="AA53" s="68">
        <f>IF(V53=1,S53,0)</f>
        <v/>
      </c>
    </row>
    <row r="54">
      <c r="B54" s="62" t="n"/>
      <c r="C54" s="63" t="n"/>
      <c r="D54" s="62" t="n"/>
      <c r="E54" s="62" t="n"/>
      <c r="F54" s="62" t="n"/>
      <c r="G54" s="64" t="n"/>
      <c r="H54" s="64" t="n"/>
      <c r="I54" s="63" t="n"/>
      <c r="J54" s="29">
        <f>IF(V54=1,IF(ISNUMBER(I54),I54,C54+IF(ISNUMBER(IFERROR(INDEX(cust_Terms,MATCH(D54,cust_Name,0)),"")),INDEX(cust_Terms,MATCH(D54,cust_Name,0)),TermsDays)),"")</f>
        <v/>
      </c>
      <c r="K54" s="65">
        <f>IF(V54=1,SUMIFS(tx_DrAmt,tx_Type,"Customer Payment",tx_Ref,B54&amp;"",tx_Date,"&lt;="&amp;AsOf),"")</f>
        <v/>
      </c>
      <c r="L54" s="65">
        <f>IF(V54=1,IF(C54&gt;AsOf,0,ROUND(G54-K54,2)),"")</f>
        <v/>
      </c>
      <c r="M54" s="66">
        <f>IF(V54&lt;&gt;1,"",IF(C54&gt;AsOf,"Future",IF(L54&lt;0,"Overpaid",IF(L54=0,"Paid",IF(AsOf&gt;J54,"Overdue",IF(K54&gt;0,"Partial","Unpaid"))))))</f>
        <v/>
      </c>
      <c r="N54" s="28">
        <f>IF(AND(V54=1,N(L54)&gt;0),AsOf-C54,"")</f>
        <v/>
      </c>
      <c r="O54" s="28">
        <f>IF(N54="","",MAX(0,AsOf-J54))</f>
        <v/>
      </c>
      <c r="P54" s="66">
        <f>IF(O54="","",IF(O54=0,"Current",IF(O54&lt;=30,"1-30",IF(O54&lt;=60,"31-60",IF(O54&lt;=90,"61-90","90+")))))</f>
        <v/>
      </c>
      <c r="Q54" s="66">
        <f>IF(T54&lt;&gt;"","⛔ "&amp;T54&amp;" — not posted",IF(U54&lt;&gt;"","⚠ "&amp;U54,IF(V54=1,"✓ OK","")))</f>
        <v/>
      </c>
      <c r="R54" s="67">
        <f>IF(AND(B54="",C54="",D54="",G54="",F54=""),1,0)</f>
        <v/>
      </c>
      <c r="S54" s="68">
        <f>IF(AND(TaxOn="Yes",ISNUMBER(H54)),H54,0)</f>
        <v/>
      </c>
      <c r="T54" s="67">
        <f>IF(R54=1,"",IF(B54="","Enter an invoice #",IF(C54="","Missing invoice date",IF(NOT(ISNUMBER(C54)),"Invalid date",IF(OR(C54&lt;DATE(2000,1,1),C54&gt;DATE(2099,12,31)),"Invalid date",IF(F54="","Select a revenue account",IF(ISNA(MATCH(F54,coa_Name,0)),"Unknown account: "&amp;F54,IF(NOT(ISNUMBER(G54)),"Enter an amount",IF(G54&lt;=0,"Amount must be positive",IF(S54&gt;G54,"Tax is larger than the amount",""))))))))))</f>
        <v/>
      </c>
      <c r="U54" s="67">
        <f>IF(OR(R54=1,T54&lt;&gt;""),"",IF(COUNTIF(ar_No,B54)&gt;1,"Duplicate invoice #",IF(D54="","Select a customer",IF(N(L54)&lt;0,"Overpaid by "&amp;TEXT(-L54,"#,##0.00"),IF(AND(ISNUMBER(H54),N(H54)&lt;&gt;0,S54=0),"Tax ignored (tax tracking is off)",IF(AND(ISNUMBER(StartDate),C54&lt;StartDate),"Date is before the accounting start date",IF(AND(IFERROR(INDEX(coa_Type,MATCH(F54,coa_Name,0)),"")&lt;&gt;"Revenue",IFERROR(INDEX(coa_Type,MATCH(F54,coa_Name,0)),"")&lt;&gt;"Other Income"),"Account is not a revenue account","")))))))</f>
        <v/>
      </c>
      <c r="V54" s="67">
        <f>IF(AND(R54=0,T54=""),1,0)</f>
        <v/>
      </c>
      <c r="W54" s="67">
        <f>IF(V54=1,acctAR,"")</f>
        <v/>
      </c>
      <c r="X54" s="67">
        <f>IF(V54=1,F54,"")</f>
        <v/>
      </c>
      <c r="Y54" s="68">
        <f>IF(V54=1,G54,0)</f>
        <v/>
      </c>
      <c r="Z54" s="68">
        <f>IF(V54=1,G54-S54,0)</f>
        <v/>
      </c>
      <c r="AA54" s="68">
        <f>IF(V54=1,S54,0)</f>
        <v/>
      </c>
    </row>
    <row r="55">
      <c r="B55" s="62" t="n"/>
      <c r="C55" s="63" t="n"/>
      <c r="D55" s="62" t="n"/>
      <c r="E55" s="62" t="n"/>
      <c r="F55" s="62" t="n"/>
      <c r="G55" s="64" t="n"/>
      <c r="H55" s="64" t="n"/>
      <c r="I55" s="63" t="n"/>
      <c r="J55" s="29">
        <f>IF(V55=1,IF(ISNUMBER(I55),I55,C55+IF(ISNUMBER(IFERROR(INDEX(cust_Terms,MATCH(D55,cust_Name,0)),"")),INDEX(cust_Terms,MATCH(D55,cust_Name,0)),TermsDays)),"")</f>
        <v/>
      </c>
      <c r="K55" s="65">
        <f>IF(V55=1,SUMIFS(tx_DrAmt,tx_Type,"Customer Payment",tx_Ref,B55&amp;"",tx_Date,"&lt;="&amp;AsOf),"")</f>
        <v/>
      </c>
      <c r="L55" s="65">
        <f>IF(V55=1,IF(C55&gt;AsOf,0,ROUND(G55-K55,2)),"")</f>
        <v/>
      </c>
      <c r="M55" s="66">
        <f>IF(V55&lt;&gt;1,"",IF(C55&gt;AsOf,"Future",IF(L55&lt;0,"Overpaid",IF(L55=0,"Paid",IF(AsOf&gt;J55,"Overdue",IF(K55&gt;0,"Partial","Unpaid"))))))</f>
        <v/>
      </c>
      <c r="N55" s="28">
        <f>IF(AND(V55=1,N(L55)&gt;0),AsOf-C55,"")</f>
        <v/>
      </c>
      <c r="O55" s="28">
        <f>IF(N55="","",MAX(0,AsOf-J55))</f>
        <v/>
      </c>
      <c r="P55" s="66">
        <f>IF(O55="","",IF(O55=0,"Current",IF(O55&lt;=30,"1-30",IF(O55&lt;=60,"31-60",IF(O55&lt;=90,"61-90","90+")))))</f>
        <v/>
      </c>
      <c r="Q55" s="66">
        <f>IF(T55&lt;&gt;"","⛔ "&amp;T55&amp;" — not posted",IF(U55&lt;&gt;"","⚠ "&amp;U55,IF(V55=1,"✓ OK","")))</f>
        <v/>
      </c>
      <c r="R55" s="67">
        <f>IF(AND(B55="",C55="",D55="",G55="",F55=""),1,0)</f>
        <v/>
      </c>
      <c r="S55" s="68">
        <f>IF(AND(TaxOn="Yes",ISNUMBER(H55)),H55,0)</f>
        <v/>
      </c>
      <c r="T55" s="67">
        <f>IF(R55=1,"",IF(B55="","Enter an invoice #",IF(C55="","Missing invoice date",IF(NOT(ISNUMBER(C55)),"Invalid date",IF(OR(C55&lt;DATE(2000,1,1),C55&gt;DATE(2099,12,31)),"Invalid date",IF(F55="","Select a revenue account",IF(ISNA(MATCH(F55,coa_Name,0)),"Unknown account: "&amp;F55,IF(NOT(ISNUMBER(G55)),"Enter an amount",IF(G55&lt;=0,"Amount must be positive",IF(S55&gt;G55,"Tax is larger than the amount",""))))))))))</f>
        <v/>
      </c>
      <c r="U55" s="67">
        <f>IF(OR(R55=1,T55&lt;&gt;""),"",IF(COUNTIF(ar_No,B55)&gt;1,"Duplicate invoice #",IF(D55="","Select a customer",IF(N(L55)&lt;0,"Overpaid by "&amp;TEXT(-L55,"#,##0.00"),IF(AND(ISNUMBER(H55),N(H55)&lt;&gt;0,S55=0),"Tax ignored (tax tracking is off)",IF(AND(ISNUMBER(StartDate),C55&lt;StartDate),"Date is before the accounting start date",IF(AND(IFERROR(INDEX(coa_Type,MATCH(F55,coa_Name,0)),"")&lt;&gt;"Revenue",IFERROR(INDEX(coa_Type,MATCH(F55,coa_Name,0)),"")&lt;&gt;"Other Income"),"Account is not a revenue account","")))))))</f>
        <v/>
      </c>
      <c r="V55" s="67">
        <f>IF(AND(R55=0,T55=""),1,0)</f>
        <v/>
      </c>
      <c r="W55" s="67">
        <f>IF(V55=1,acctAR,"")</f>
        <v/>
      </c>
      <c r="X55" s="67">
        <f>IF(V55=1,F55,"")</f>
        <v/>
      </c>
      <c r="Y55" s="68">
        <f>IF(V55=1,G55,0)</f>
        <v/>
      </c>
      <c r="Z55" s="68">
        <f>IF(V55=1,G55-S55,0)</f>
        <v/>
      </c>
      <c r="AA55" s="68">
        <f>IF(V55=1,S55,0)</f>
        <v/>
      </c>
    </row>
    <row r="56">
      <c r="B56" s="62" t="n"/>
      <c r="C56" s="63" t="n"/>
      <c r="D56" s="62" t="n"/>
      <c r="E56" s="62" t="n"/>
      <c r="F56" s="62" t="n"/>
      <c r="G56" s="64" t="n"/>
      <c r="H56" s="64" t="n"/>
      <c r="I56" s="63" t="n"/>
      <c r="J56" s="29">
        <f>IF(V56=1,IF(ISNUMBER(I56),I56,C56+IF(ISNUMBER(IFERROR(INDEX(cust_Terms,MATCH(D56,cust_Name,0)),"")),INDEX(cust_Terms,MATCH(D56,cust_Name,0)),TermsDays)),"")</f>
        <v/>
      </c>
      <c r="K56" s="65">
        <f>IF(V56=1,SUMIFS(tx_DrAmt,tx_Type,"Customer Payment",tx_Ref,B56&amp;"",tx_Date,"&lt;="&amp;AsOf),"")</f>
        <v/>
      </c>
      <c r="L56" s="65">
        <f>IF(V56=1,IF(C56&gt;AsOf,0,ROUND(G56-K56,2)),"")</f>
        <v/>
      </c>
      <c r="M56" s="66">
        <f>IF(V56&lt;&gt;1,"",IF(C56&gt;AsOf,"Future",IF(L56&lt;0,"Overpaid",IF(L56=0,"Paid",IF(AsOf&gt;J56,"Overdue",IF(K56&gt;0,"Partial","Unpaid"))))))</f>
        <v/>
      </c>
      <c r="N56" s="28">
        <f>IF(AND(V56=1,N(L56)&gt;0),AsOf-C56,"")</f>
        <v/>
      </c>
      <c r="O56" s="28">
        <f>IF(N56="","",MAX(0,AsOf-J56))</f>
        <v/>
      </c>
      <c r="P56" s="66">
        <f>IF(O56="","",IF(O56=0,"Current",IF(O56&lt;=30,"1-30",IF(O56&lt;=60,"31-60",IF(O56&lt;=90,"61-90","90+")))))</f>
        <v/>
      </c>
      <c r="Q56" s="66">
        <f>IF(T56&lt;&gt;"","⛔ "&amp;T56&amp;" — not posted",IF(U56&lt;&gt;"","⚠ "&amp;U56,IF(V56=1,"✓ OK","")))</f>
        <v/>
      </c>
      <c r="R56" s="67">
        <f>IF(AND(B56="",C56="",D56="",G56="",F56=""),1,0)</f>
        <v/>
      </c>
      <c r="S56" s="68">
        <f>IF(AND(TaxOn="Yes",ISNUMBER(H56)),H56,0)</f>
        <v/>
      </c>
      <c r="T56" s="67">
        <f>IF(R56=1,"",IF(B56="","Enter an invoice #",IF(C56="","Missing invoice date",IF(NOT(ISNUMBER(C56)),"Invalid date",IF(OR(C56&lt;DATE(2000,1,1),C56&gt;DATE(2099,12,31)),"Invalid date",IF(F56="","Select a revenue account",IF(ISNA(MATCH(F56,coa_Name,0)),"Unknown account: "&amp;F56,IF(NOT(ISNUMBER(G56)),"Enter an amount",IF(G56&lt;=0,"Amount must be positive",IF(S56&gt;G56,"Tax is larger than the amount",""))))))))))</f>
        <v/>
      </c>
      <c r="U56" s="67">
        <f>IF(OR(R56=1,T56&lt;&gt;""),"",IF(COUNTIF(ar_No,B56)&gt;1,"Duplicate invoice #",IF(D56="","Select a customer",IF(N(L56)&lt;0,"Overpaid by "&amp;TEXT(-L56,"#,##0.00"),IF(AND(ISNUMBER(H56),N(H56)&lt;&gt;0,S56=0),"Tax ignored (tax tracking is off)",IF(AND(ISNUMBER(StartDate),C56&lt;StartDate),"Date is before the accounting start date",IF(AND(IFERROR(INDEX(coa_Type,MATCH(F56,coa_Name,0)),"")&lt;&gt;"Revenue",IFERROR(INDEX(coa_Type,MATCH(F56,coa_Name,0)),"")&lt;&gt;"Other Income"),"Account is not a revenue account","")))))))</f>
        <v/>
      </c>
      <c r="V56" s="67">
        <f>IF(AND(R56=0,T56=""),1,0)</f>
        <v/>
      </c>
      <c r="W56" s="67">
        <f>IF(V56=1,acctAR,"")</f>
        <v/>
      </c>
      <c r="X56" s="67">
        <f>IF(V56=1,F56,"")</f>
        <v/>
      </c>
      <c r="Y56" s="68">
        <f>IF(V56=1,G56,0)</f>
        <v/>
      </c>
      <c r="Z56" s="68">
        <f>IF(V56=1,G56-S56,0)</f>
        <v/>
      </c>
      <c r="AA56" s="68">
        <f>IF(V56=1,S56,0)</f>
        <v/>
      </c>
    </row>
    <row r="57">
      <c r="B57" s="62" t="n"/>
      <c r="C57" s="63" t="n"/>
      <c r="D57" s="62" t="n"/>
      <c r="E57" s="62" t="n"/>
      <c r="F57" s="62" t="n"/>
      <c r="G57" s="64" t="n"/>
      <c r="H57" s="64" t="n"/>
      <c r="I57" s="63" t="n"/>
      <c r="J57" s="29">
        <f>IF(V57=1,IF(ISNUMBER(I57),I57,C57+IF(ISNUMBER(IFERROR(INDEX(cust_Terms,MATCH(D57,cust_Name,0)),"")),INDEX(cust_Terms,MATCH(D57,cust_Name,0)),TermsDays)),"")</f>
        <v/>
      </c>
      <c r="K57" s="65">
        <f>IF(V57=1,SUMIFS(tx_DrAmt,tx_Type,"Customer Payment",tx_Ref,B57&amp;"",tx_Date,"&lt;="&amp;AsOf),"")</f>
        <v/>
      </c>
      <c r="L57" s="65">
        <f>IF(V57=1,IF(C57&gt;AsOf,0,ROUND(G57-K57,2)),"")</f>
        <v/>
      </c>
      <c r="M57" s="66">
        <f>IF(V57&lt;&gt;1,"",IF(C57&gt;AsOf,"Future",IF(L57&lt;0,"Overpaid",IF(L57=0,"Paid",IF(AsOf&gt;J57,"Overdue",IF(K57&gt;0,"Partial","Unpaid"))))))</f>
        <v/>
      </c>
      <c r="N57" s="28">
        <f>IF(AND(V57=1,N(L57)&gt;0),AsOf-C57,"")</f>
        <v/>
      </c>
      <c r="O57" s="28">
        <f>IF(N57="","",MAX(0,AsOf-J57))</f>
        <v/>
      </c>
      <c r="P57" s="66">
        <f>IF(O57="","",IF(O57=0,"Current",IF(O57&lt;=30,"1-30",IF(O57&lt;=60,"31-60",IF(O57&lt;=90,"61-90","90+")))))</f>
        <v/>
      </c>
      <c r="Q57" s="66">
        <f>IF(T57&lt;&gt;"","⛔ "&amp;T57&amp;" — not posted",IF(U57&lt;&gt;"","⚠ "&amp;U57,IF(V57=1,"✓ OK","")))</f>
        <v/>
      </c>
      <c r="R57" s="67">
        <f>IF(AND(B57="",C57="",D57="",G57="",F57=""),1,0)</f>
        <v/>
      </c>
      <c r="S57" s="68">
        <f>IF(AND(TaxOn="Yes",ISNUMBER(H57)),H57,0)</f>
        <v/>
      </c>
      <c r="T57" s="67">
        <f>IF(R57=1,"",IF(B57="","Enter an invoice #",IF(C57="","Missing invoice date",IF(NOT(ISNUMBER(C57)),"Invalid date",IF(OR(C57&lt;DATE(2000,1,1),C57&gt;DATE(2099,12,31)),"Invalid date",IF(F57="","Select a revenue account",IF(ISNA(MATCH(F57,coa_Name,0)),"Unknown account: "&amp;F57,IF(NOT(ISNUMBER(G57)),"Enter an amount",IF(G57&lt;=0,"Amount must be positive",IF(S57&gt;G57,"Tax is larger than the amount",""))))))))))</f>
        <v/>
      </c>
      <c r="U57" s="67">
        <f>IF(OR(R57=1,T57&lt;&gt;""),"",IF(COUNTIF(ar_No,B57)&gt;1,"Duplicate invoice #",IF(D57="","Select a customer",IF(N(L57)&lt;0,"Overpaid by "&amp;TEXT(-L57,"#,##0.00"),IF(AND(ISNUMBER(H57),N(H57)&lt;&gt;0,S57=0),"Tax ignored (tax tracking is off)",IF(AND(ISNUMBER(StartDate),C57&lt;StartDate),"Date is before the accounting start date",IF(AND(IFERROR(INDEX(coa_Type,MATCH(F57,coa_Name,0)),"")&lt;&gt;"Revenue",IFERROR(INDEX(coa_Type,MATCH(F57,coa_Name,0)),"")&lt;&gt;"Other Income"),"Account is not a revenue account","")))))))</f>
        <v/>
      </c>
      <c r="V57" s="67">
        <f>IF(AND(R57=0,T57=""),1,0)</f>
        <v/>
      </c>
      <c r="W57" s="67">
        <f>IF(V57=1,acctAR,"")</f>
        <v/>
      </c>
      <c r="X57" s="67">
        <f>IF(V57=1,F57,"")</f>
        <v/>
      </c>
      <c r="Y57" s="68">
        <f>IF(V57=1,G57,0)</f>
        <v/>
      </c>
      <c r="Z57" s="68">
        <f>IF(V57=1,G57-S57,0)</f>
        <v/>
      </c>
      <c r="AA57" s="68">
        <f>IF(V57=1,S57,0)</f>
        <v/>
      </c>
    </row>
    <row r="58">
      <c r="B58" s="62" t="n"/>
      <c r="C58" s="63" t="n"/>
      <c r="D58" s="62" t="n"/>
      <c r="E58" s="62" t="n"/>
      <c r="F58" s="62" t="n"/>
      <c r="G58" s="64" t="n"/>
      <c r="H58" s="64" t="n"/>
      <c r="I58" s="63" t="n"/>
      <c r="J58" s="29">
        <f>IF(V58=1,IF(ISNUMBER(I58),I58,C58+IF(ISNUMBER(IFERROR(INDEX(cust_Terms,MATCH(D58,cust_Name,0)),"")),INDEX(cust_Terms,MATCH(D58,cust_Name,0)),TermsDays)),"")</f>
        <v/>
      </c>
      <c r="K58" s="65">
        <f>IF(V58=1,SUMIFS(tx_DrAmt,tx_Type,"Customer Payment",tx_Ref,B58&amp;"",tx_Date,"&lt;="&amp;AsOf),"")</f>
        <v/>
      </c>
      <c r="L58" s="65">
        <f>IF(V58=1,IF(C58&gt;AsOf,0,ROUND(G58-K58,2)),"")</f>
        <v/>
      </c>
      <c r="M58" s="66">
        <f>IF(V58&lt;&gt;1,"",IF(C58&gt;AsOf,"Future",IF(L58&lt;0,"Overpaid",IF(L58=0,"Paid",IF(AsOf&gt;J58,"Overdue",IF(K58&gt;0,"Partial","Unpaid"))))))</f>
        <v/>
      </c>
      <c r="N58" s="28">
        <f>IF(AND(V58=1,N(L58)&gt;0),AsOf-C58,"")</f>
        <v/>
      </c>
      <c r="O58" s="28">
        <f>IF(N58="","",MAX(0,AsOf-J58))</f>
        <v/>
      </c>
      <c r="P58" s="66">
        <f>IF(O58="","",IF(O58=0,"Current",IF(O58&lt;=30,"1-30",IF(O58&lt;=60,"31-60",IF(O58&lt;=90,"61-90","90+")))))</f>
        <v/>
      </c>
      <c r="Q58" s="66">
        <f>IF(T58&lt;&gt;"","⛔ "&amp;T58&amp;" — not posted",IF(U58&lt;&gt;"","⚠ "&amp;U58,IF(V58=1,"✓ OK","")))</f>
        <v/>
      </c>
      <c r="R58" s="67">
        <f>IF(AND(B58="",C58="",D58="",G58="",F58=""),1,0)</f>
        <v/>
      </c>
      <c r="S58" s="68">
        <f>IF(AND(TaxOn="Yes",ISNUMBER(H58)),H58,0)</f>
        <v/>
      </c>
      <c r="T58" s="67">
        <f>IF(R58=1,"",IF(B58="","Enter an invoice #",IF(C58="","Missing invoice date",IF(NOT(ISNUMBER(C58)),"Invalid date",IF(OR(C58&lt;DATE(2000,1,1),C58&gt;DATE(2099,12,31)),"Invalid date",IF(F58="","Select a revenue account",IF(ISNA(MATCH(F58,coa_Name,0)),"Unknown account: "&amp;F58,IF(NOT(ISNUMBER(G58)),"Enter an amount",IF(G58&lt;=0,"Amount must be positive",IF(S58&gt;G58,"Tax is larger than the amount",""))))))))))</f>
        <v/>
      </c>
      <c r="U58" s="67">
        <f>IF(OR(R58=1,T58&lt;&gt;""),"",IF(COUNTIF(ar_No,B58)&gt;1,"Duplicate invoice #",IF(D58="","Select a customer",IF(N(L58)&lt;0,"Overpaid by "&amp;TEXT(-L58,"#,##0.00"),IF(AND(ISNUMBER(H58),N(H58)&lt;&gt;0,S58=0),"Tax ignored (tax tracking is off)",IF(AND(ISNUMBER(StartDate),C58&lt;StartDate),"Date is before the accounting start date",IF(AND(IFERROR(INDEX(coa_Type,MATCH(F58,coa_Name,0)),"")&lt;&gt;"Revenue",IFERROR(INDEX(coa_Type,MATCH(F58,coa_Name,0)),"")&lt;&gt;"Other Income"),"Account is not a revenue account","")))))))</f>
        <v/>
      </c>
      <c r="V58" s="67">
        <f>IF(AND(R58=0,T58=""),1,0)</f>
        <v/>
      </c>
      <c r="W58" s="67">
        <f>IF(V58=1,acctAR,"")</f>
        <v/>
      </c>
      <c r="X58" s="67">
        <f>IF(V58=1,F58,"")</f>
        <v/>
      </c>
      <c r="Y58" s="68">
        <f>IF(V58=1,G58,0)</f>
        <v/>
      </c>
      <c r="Z58" s="68">
        <f>IF(V58=1,G58-S58,0)</f>
        <v/>
      </c>
      <c r="AA58" s="68">
        <f>IF(V58=1,S58,0)</f>
        <v/>
      </c>
    </row>
    <row r="59">
      <c r="B59" s="62" t="n"/>
      <c r="C59" s="63" t="n"/>
      <c r="D59" s="62" t="n"/>
      <c r="E59" s="62" t="n"/>
      <c r="F59" s="62" t="n"/>
      <c r="G59" s="64" t="n"/>
      <c r="H59" s="64" t="n"/>
      <c r="I59" s="63" t="n"/>
      <c r="J59" s="29">
        <f>IF(V59=1,IF(ISNUMBER(I59),I59,C59+IF(ISNUMBER(IFERROR(INDEX(cust_Terms,MATCH(D59,cust_Name,0)),"")),INDEX(cust_Terms,MATCH(D59,cust_Name,0)),TermsDays)),"")</f>
        <v/>
      </c>
      <c r="K59" s="65">
        <f>IF(V59=1,SUMIFS(tx_DrAmt,tx_Type,"Customer Payment",tx_Ref,B59&amp;"",tx_Date,"&lt;="&amp;AsOf),"")</f>
        <v/>
      </c>
      <c r="L59" s="65">
        <f>IF(V59=1,IF(C59&gt;AsOf,0,ROUND(G59-K59,2)),"")</f>
        <v/>
      </c>
      <c r="M59" s="66">
        <f>IF(V59&lt;&gt;1,"",IF(C59&gt;AsOf,"Future",IF(L59&lt;0,"Overpaid",IF(L59=0,"Paid",IF(AsOf&gt;J59,"Overdue",IF(K59&gt;0,"Partial","Unpaid"))))))</f>
        <v/>
      </c>
      <c r="N59" s="28">
        <f>IF(AND(V59=1,N(L59)&gt;0),AsOf-C59,"")</f>
        <v/>
      </c>
      <c r="O59" s="28">
        <f>IF(N59="","",MAX(0,AsOf-J59))</f>
        <v/>
      </c>
      <c r="P59" s="66">
        <f>IF(O59="","",IF(O59=0,"Current",IF(O59&lt;=30,"1-30",IF(O59&lt;=60,"31-60",IF(O59&lt;=90,"61-90","90+")))))</f>
        <v/>
      </c>
      <c r="Q59" s="66">
        <f>IF(T59&lt;&gt;"","⛔ "&amp;T59&amp;" — not posted",IF(U59&lt;&gt;"","⚠ "&amp;U59,IF(V59=1,"✓ OK","")))</f>
        <v/>
      </c>
      <c r="R59" s="67">
        <f>IF(AND(B59="",C59="",D59="",G59="",F59=""),1,0)</f>
        <v/>
      </c>
      <c r="S59" s="68">
        <f>IF(AND(TaxOn="Yes",ISNUMBER(H59)),H59,0)</f>
        <v/>
      </c>
      <c r="T59" s="67">
        <f>IF(R59=1,"",IF(B59="","Enter an invoice #",IF(C59="","Missing invoice date",IF(NOT(ISNUMBER(C59)),"Invalid date",IF(OR(C59&lt;DATE(2000,1,1),C59&gt;DATE(2099,12,31)),"Invalid date",IF(F59="","Select a revenue account",IF(ISNA(MATCH(F59,coa_Name,0)),"Unknown account: "&amp;F59,IF(NOT(ISNUMBER(G59)),"Enter an amount",IF(G59&lt;=0,"Amount must be positive",IF(S59&gt;G59,"Tax is larger than the amount",""))))))))))</f>
        <v/>
      </c>
      <c r="U59" s="67">
        <f>IF(OR(R59=1,T59&lt;&gt;""),"",IF(COUNTIF(ar_No,B59)&gt;1,"Duplicate invoice #",IF(D59="","Select a customer",IF(N(L59)&lt;0,"Overpaid by "&amp;TEXT(-L59,"#,##0.00"),IF(AND(ISNUMBER(H59),N(H59)&lt;&gt;0,S59=0),"Tax ignored (tax tracking is off)",IF(AND(ISNUMBER(StartDate),C59&lt;StartDate),"Date is before the accounting start date",IF(AND(IFERROR(INDEX(coa_Type,MATCH(F59,coa_Name,0)),"")&lt;&gt;"Revenue",IFERROR(INDEX(coa_Type,MATCH(F59,coa_Name,0)),"")&lt;&gt;"Other Income"),"Account is not a revenue account","")))))))</f>
        <v/>
      </c>
      <c r="V59" s="67">
        <f>IF(AND(R59=0,T59=""),1,0)</f>
        <v/>
      </c>
      <c r="W59" s="67">
        <f>IF(V59=1,acctAR,"")</f>
        <v/>
      </c>
      <c r="X59" s="67">
        <f>IF(V59=1,F59,"")</f>
        <v/>
      </c>
      <c r="Y59" s="68">
        <f>IF(V59=1,G59,0)</f>
        <v/>
      </c>
      <c r="Z59" s="68">
        <f>IF(V59=1,G59-S59,0)</f>
        <v/>
      </c>
      <c r="AA59" s="68">
        <f>IF(V59=1,S59,0)</f>
        <v/>
      </c>
    </row>
    <row r="60">
      <c r="B60" s="62" t="n"/>
      <c r="C60" s="63" t="n"/>
      <c r="D60" s="62" t="n"/>
      <c r="E60" s="62" t="n"/>
      <c r="F60" s="62" t="n"/>
      <c r="G60" s="64" t="n"/>
      <c r="H60" s="64" t="n"/>
      <c r="I60" s="63" t="n"/>
      <c r="J60" s="29">
        <f>IF(V60=1,IF(ISNUMBER(I60),I60,C60+IF(ISNUMBER(IFERROR(INDEX(cust_Terms,MATCH(D60,cust_Name,0)),"")),INDEX(cust_Terms,MATCH(D60,cust_Name,0)),TermsDays)),"")</f>
        <v/>
      </c>
      <c r="K60" s="65">
        <f>IF(V60=1,SUMIFS(tx_DrAmt,tx_Type,"Customer Payment",tx_Ref,B60&amp;"",tx_Date,"&lt;="&amp;AsOf),"")</f>
        <v/>
      </c>
      <c r="L60" s="65">
        <f>IF(V60=1,IF(C60&gt;AsOf,0,ROUND(G60-K60,2)),"")</f>
        <v/>
      </c>
      <c r="M60" s="66">
        <f>IF(V60&lt;&gt;1,"",IF(C60&gt;AsOf,"Future",IF(L60&lt;0,"Overpaid",IF(L60=0,"Paid",IF(AsOf&gt;J60,"Overdue",IF(K60&gt;0,"Partial","Unpaid"))))))</f>
        <v/>
      </c>
      <c r="N60" s="28">
        <f>IF(AND(V60=1,N(L60)&gt;0),AsOf-C60,"")</f>
        <v/>
      </c>
      <c r="O60" s="28">
        <f>IF(N60="","",MAX(0,AsOf-J60))</f>
        <v/>
      </c>
      <c r="P60" s="66">
        <f>IF(O60="","",IF(O60=0,"Current",IF(O60&lt;=30,"1-30",IF(O60&lt;=60,"31-60",IF(O60&lt;=90,"61-90","90+")))))</f>
        <v/>
      </c>
      <c r="Q60" s="66">
        <f>IF(T60&lt;&gt;"","⛔ "&amp;T60&amp;" — not posted",IF(U60&lt;&gt;"","⚠ "&amp;U60,IF(V60=1,"✓ OK","")))</f>
        <v/>
      </c>
      <c r="R60" s="67">
        <f>IF(AND(B60="",C60="",D60="",G60="",F60=""),1,0)</f>
        <v/>
      </c>
      <c r="S60" s="68">
        <f>IF(AND(TaxOn="Yes",ISNUMBER(H60)),H60,0)</f>
        <v/>
      </c>
      <c r="T60" s="67">
        <f>IF(R60=1,"",IF(B60="","Enter an invoice #",IF(C60="","Missing invoice date",IF(NOT(ISNUMBER(C60)),"Invalid date",IF(OR(C60&lt;DATE(2000,1,1),C60&gt;DATE(2099,12,31)),"Invalid date",IF(F60="","Select a revenue account",IF(ISNA(MATCH(F60,coa_Name,0)),"Unknown account: "&amp;F60,IF(NOT(ISNUMBER(G60)),"Enter an amount",IF(G60&lt;=0,"Amount must be positive",IF(S60&gt;G60,"Tax is larger than the amount",""))))))))))</f>
        <v/>
      </c>
      <c r="U60" s="67">
        <f>IF(OR(R60=1,T60&lt;&gt;""),"",IF(COUNTIF(ar_No,B60)&gt;1,"Duplicate invoice #",IF(D60="","Select a customer",IF(N(L60)&lt;0,"Overpaid by "&amp;TEXT(-L60,"#,##0.00"),IF(AND(ISNUMBER(H60),N(H60)&lt;&gt;0,S60=0),"Tax ignored (tax tracking is off)",IF(AND(ISNUMBER(StartDate),C60&lt;StartDate),"Date is before the accounting start date",IF(AND(IFERROR(INDEX(coa_Type,MATCH(F60,coa_Name,0)),"")&lt;&gt;"Revenue",IFERROR(INDEX(coa_Type,MATCH(F60,coa_Name,0)),"")&lt;&gt;"Other Income"),"Account is not a revenue account","")))))))</f>
        <v/>
      </c>
      <c r="V60" s="67">
        <f>IF(AND(R60=0,T60=""),1,0)</f>
        <v/>
      </c>
      <c r="W60" s="67">
        <f>IF(V60=1,acctAR,"")</f>
        <v/>
      </c>
      <c r="X60" s="67">
        <f>IF(V60=1,F60,"")</f>
        <v/>
      </c>
      <c r="Y60" s="68">
        <f>IF(V60=1,G60,0)</f>
        <v/>
      </c>
      <c r="Z60" s="68">
        <f>IF(V60=1,G60-S60,0)</f>
        <v/>
      </c>
      <c r="AA60" s="68">
        <f>IF(V60=1,S60,0)</f>
        <v/>
      </c>
    </row>
    <row r="61">
      <c r="B61" s="62" t="n"/>
      <c r="C61" s="63" t="n"/>
      <c r="D61" s="62" t="n"/>
      <c r="E61" s="62" t="n"/>
      <c r="F61" s="62" t="n"/>
      <c r="G61" s="64" t="n"/>
      <c r="H61" s="64" t="n"/>
      <c r="I61" s="63" t="n"/>
      <c r="J61" s="29">
        <f>IF(V61=1,IF(ISNUMBER(I61),I61,C61+IF(ISNUMBER(IFERROR(INDEX(cust_Terms,MATCH(D61,cust_Name,0)),"")),INDEX(cust_Terms,MATCH(D61,cust_Name,0)),TermsDays)),"")</f>
        <v/>
      </c>
      <c r="K61" s="65">
        <f>IF(V61=1,SUMIFS(tx_DrAmt,tx_Type,"Customer Payment",tx_Ref,B61&amp;"",tx_Date,"&lt;="&amp;AsOf),"")</f>
        <v/>
      </c>
      <c r="L61" s="65">
        <f>IF(V61=1,IF(C61&gt;AsOf,0,ROUND(G61-K61,2)),"")</f>
        <v/>
      </c>
      <c r="M61" s="66">
        <f>IF(V61&lt;&gt;1,"",IF(C61&gt;AsOf,"Future",IF(L61&lt;0,"Overpaid",IF(L61=0,"Paid",IF(AsOf&gt;J61,"Overdue",IF(K61&gt;0,"Partial","Unpaid"))))))</f>
        <v/>
      </c>
      <c r="N61" s="28">
        <f>IF(AND(V61=1,N(L61)&gt;0),AsOf-C61,"")</f>
        <v/>
      </c>
      <c r="O61" s="28">
        <f>IF(N61="","",MAX(0,AsOf-J61))</f>
        <v/>
      </c>
      <c r="P61" s="66">
        <f>IF(O61="","",IF(O61=0,"Current",IF(O61&lt;=30,"1-30",IF(O61&lt;=60,"31-60",IF(O61&lt;=90,"61-90","90+")))))</f>
        <v/>
      </c>
      <c r="Q61" s="66">
        <f>IF(T61&lt;&gt;"","⛔ "&amp;T61&amp;" — not posted",IF(U61&lt;&gt;"","⚠ "&amp;U61,IF(V61=1,"✓ OK","")))</f>
        <v/>
      </c>
      <c r="R61" s="67">
        <f>IF(AND(B61="",C61="",D61="",G61="",F61=""),1,0)</f>
        <v/>
      </c>
      <c r="S61" s="68">
        <f>IF(AND(TaxOn="Yes",ISNUMBER(H61)),H61,0)</f>
        <v/>
      </c>
      <c r="T61" s="67">
        <f>IF(R61=1,"",IF(B61="","Enter an invoice #",IF(C61="","Missing invoice date",IF(NOT(ISNUMBER(C61)),"Invalid date",IF(OR(C61&lt;DATE(2000,1,1),C61&gt;DATE(2099,12,31)),"Invalid date",IF(F61="","Select a revenue account",IF(ISNA(MATCH(F61,coa_Name,0)),"Unknown account: "&amp;F61,IF(NOT(ISNUMBER(G61)),"Enter an amount",IF(G61&lt;=0,"Amount must be positive",IF(S61&gt;G61,"Tax is larger than the amount",""))))))))))</f>
        <v/>
      </c>
      <c r="U61" s="67">
        <f>IF(OR(R61=1,T61&lt;&gt;""),"",IF(COUNTIF(ar_No,B61)&gt;1,"Duplicate invoice #",IF(D61="","Select a customer",IF(N(L61)&lt;0,"Overpaid by "&amp;TEXT(-L61,"#,##0.00"),IF(AND(ISNUMBER(H61),N(H61)&lt;&gt;0,S61=0),"Tax ignored (tax tracking is off)",IF(AND(ISNUMBER(StartDate),C61&lt;StartDate),"Date is before the accounting start date",IF(AND(IFERROR(INDEX(coa_Type,MATCH(F61,coa_Name,0)),"")&lt;&gt;"Revenue",IFERROR(INDEX(coa_Type,MATCH(F61,coa_Name,0)),"")&lt;&gt;"Other Income"),"Account is not a revenue account","")))))))</f>
        <v/>
      </c>
      <c r="V61" s="67">
        <f>IF(AND(R61=0,T61=""),1,0)</f>
        <v/>
      </c>
      <c r="W61" s="67">
        <f>IF(V61=1,acctAR,"")</f>
        <v/>
      </c>
      <c r="X61" s="67">
        <f>IF(V61=1,F61,"")</f>
        <v/>
      </c>
      <c r="Y61" s="68">
        <f>IF(V61=1,G61,0)</f>
        <v/>
      </c>
      <c r="Z61" s="68">
        <f>IF(V61=1,G61-S61,0)</f>
        <v/>
      </c>
      <c r="AA61" s="68">
        <f>IF(V61=1,S61,0)</f>
        <v/>
      </c>
    </row>
    <row r="62">
      <c r="B62" s="62" t="n"/>
      <c r="C62" s="63" t="n"/>
      <c r="D62" s="62" t="n"/>
      <c r="E62" s="62" t="n"/>
      <c r="F62" s="62" t="n"/>
      <c r="G62" s="64" t="n"/>
      <c r="H62" s="64" t="n"/>
      <c r="I62" s="63" t="n"/>
      <c r="J62" s="29">
        <f>IF(V62=1,IF(ISNUMBER(I62),I62,C62+IF(ISNUMBER(IFERROR(INDEX(cust_Terms,MATCH(D62,cust_Name,0)),"")),INDEX(cust_Terms,MATCH(D62,cust_Name,0)),TermsDays)),"")</f>
        <v/>
      </c>
      <c r="K62" s="65">
        <f>IF(V62=1,SUMIFS(tx_DrAmt,tx_Type,"Customer Payment",tx_Ref,B62&amp;"",tx_Date,"&lt;="&amp;AsOf),"")</f>
        <v/>
      </c>
      <c r="L62" s="65">
        <f>IF(V62=1,IF(C62&gt;AsOf,0,ROUND(G62-K62,2)),"")</f>
        <v/>
      </c>
      <c r="M62" s="66">
        <f>IF(V62&lt;&gt;1,"",IF(C62&gt;AsOf,"Future",IF(L62&lt;0,"Overpaid",IF(L62=0,"Paid",IF(AsOf&gt;J62,"Overdue",IF(K62&gt;0,"Partial","Unpaid"))))))</f>
        <v/>
      </c>
      <c r="N62" s="28">
        <f>IF(AND(V62=1,N(L62)&gt;0),AsOf-C62,"")</f>
        <v/>
      </c>
      <c r="O62" s="28">
        <f>IF(N62="","",MAX(0,AsOf-J62))</f>
        <v/>
      </c>
      <c r="P62" s="66">
        <f>IF(O62="","",IF(O62=0,"Current",IF(O62&lt;=30,"1-30",IF(O62&lt;=60,"31-60",IF(O62&lt;=90,"61-90","90+")))))</f>
        <v/>
      </c>
      <c r="Q62" s="66">
        <f>IF(T62&lt;&gt;"","⛔ "&amp;T62&amp;" — not posted",IF(U62&lt;&gt;"","⚠ "&amp;U62,IF(V62=1,"✓ OK","")))</f>
        <v/>
      </c>
      <c r="R62" s="67">
        <f>IF(AND(B62="",C62="",D62="",G62="",F62=""),1,0)</f>
        <v/>
      </c>
      <c r="S62" s="68">
        <f>IF(AND(TaxOn="Yes",ISNUMBER(H62)),H62,0)</f>
        <v/>
      </c>
      <c r="T62" s="67">
        <f>IF(R62=1,"",IF(B62="","Enter an invoice #",IF(C62="","Missing invoice date",IF(NOT(ISNUMBER(C62)),"Invalid date",IF(OR(C62&lt;DATE(2000,1,1),C62&gt;DATE(2099,12,31)),"Invalid date",IF(F62="","Select a revenue account",IF(ISNA(MATCH(F62,coa_Name,0)),"Unknown account: "&amp;F62,IF(NOT(ISNUMBER(G62)),"Enter an amount",IF(G62&lt;=0,"Amount must be positive",IF(S62&gt;G62,"Tax is larger than the amount",""))))))))))</f>
        <v/>
      </c>
      <c r="U62" s="67">
        <f>IF(OR(R62=1,T62&lt;&gt;""),"",IF(COUNTIF(ar_No,B62)&gt;1,"Duplicate invoice #",IF(D62="","Select a customer",IF(N(L62)&lt;0,"Overpaid by "&amp;TEXT(-L62,"#,##0.00"),IF(AND(ISNUMBER(H62),N(H62)&lt;&gt;0,S62=0),"Tax ignored (tax tracking is off)",IF(AND(ISNUMBER(StartDate),C62&lt;StartDate),"Date is before the accounting start date",IF(AND(IFERROR(INDEX(coa_Type,MATCH(F62,coa_Name,0)),"")&lt;&gt;"Revenue",IFERROR(INDEX(coa_Type,MATCH(F62,coa_Name,0)),"")&lt;&gt;"Other Income"),"Account is not a revenue account","")))))))</f>
        <v/>
      </c>
      <c r="V62" s="67">
        <f>IF(AND(R62=0,T62=""),1,0)</f>
        <v/>
      </c>
      <c r="W62" s="67">
        <f>IF(V62=1,acctAR,"")</f>
        <v/>
      </c>
      <c r="X62" s="67">
        <f>IF(V62=1,F62,"")</f>
        <v/>
      </c>
      <c r="Y62" s="68">
        <f>IF(V62=1,G62,0)</f>
        <v/>
      </c>
      <c r="Z62" s="68">
        <f>IF(V62=1,G62-S62,0)</f>
        <v/>
      </c>
      <c r="AA62" s="68">
        <f>IF(V62=1,S62,0)</f>
        <v/>
      </c>
    </row>
    <row r="63">
      <c r="B63" s="62" t="n"/>
      <c r="C63" s="63" t="n"/>
      <c r="D63" s="62" t="n"/>
      <c r="E63" s="62" t="n"/>
      <c r="F63" s="62" t="n"/>
      <c r="G63" s="64" t="n"/>
      <c r="H63" s="64" t="n"/>
      <c r="I63" s="63" t="n"/>
      <c r="J63" s="29">
        <f>IF(V63=1,IF(ISNUMBER(I63),I63,C63+IF(ISNUMBER(IFERROR(INDEX(cust_Terms,MATCH(D63,cust_Name,0)),"")),INDEX(cust_Terms,MATCH(D63,cust_Name,0)),TermsDays)),"")</f>
        <v/>
      </c>
      <c r="K63" s="65">
        <f>IF(V63=1,SUMIFS(tx_DrAmt,tx_Type,"Customer Payment",tx_Ref,B63&amp;"",tx_Date,"&lt;="&amp;AsOf),"")</f>
        <v/>
      </c>
      <c r="L63" s="65">
        <f>IF(V63=1,IF(C63&gt;AsOf,0,ROUND(G63-K63,2)),"")</f>
        <v/>
      </c>
      <c r="M63" s="66">
        <f>IF(V63&lt;&gt;1,"",IF(C63&gt;AsOf,"Future",IF(L63&lt;0,"Overpaid",IF(L63=0,"Paid",IF(AsOf&gt;J63,"Overdue",IF(K63&gt;0,"Partial","Unpaid"))))))</f>
        <v/>
      </c>
      <c r="N63" s="28">
        <f>IF(AND(V63=1,N(L63)&gt;0),AsOf-C63,"")</f>
        <v/>
      </c>
      <c r="O63" s="28">
        <f>IF(N63="","",MAX(0,AsOf-J63))</f>
        <v/>
      </c>
      <c r="P63" s="66">
        <f>IF(O63="","",IF(O63=0,"Current",IF(O63&lt;=30,"1-30",IF(O63&lt;=60,"31-60",IF(O63&lt;=90,"61-90","90+")))))</f>
        <v/>
      </c>
      <c r="Q63" s="66">
        <f>IF(T63&lt;&gt;"","⛔ "&amp;T63&amp;" — not posted",IF(U63&lt;&gt;"","⚠ "&amp;U63,IF(V63=1,"✓ OK","")))</f>
        <v/>
      </c>
      <c r="R63" s="67">
        <f>IF(AND(B63="",C63="",D63="",G63="",F63=""),1,0)</f>
        <v/>
      </c>
      <c r="S63" s="68">
        <f>IF(AND(TaxOn="Yes",ISNUMBER(H63)),H63,0)</f>
        <v/>
      </c>
      <c r="T63" s="67">
        <f>IF(R63=1,"",IF(B63="","Enter an invoice #",IF(C63="","Missing invoice date",IF(NOT(ISNUMBER(C63)),"Invalid date",IF(OR(C63&lt;DATE(2000,1,1),C63&gt;DATE(2099,12,31)),"Invalid date",IF(F63="","Select a revenue account",IF(ISNA(MATCH(F63,coa_Name,0)),"Unknown account: "&amp;F63,IF(NOT(ISNUMBER(G63)),"Enter an amount",IF(G63&lt;=0,"Amount must be positive",IF(S63&gt;G63,"Tax is larger than the amount",""))))))))))</f>
        <v/>
      </c>
      <c r="U63" s="67">
        <f>IF(OR(R63=1,T63&lt;&gt;""),"",IF(COUNTIF(ar_No,B63)&gt;1,"Duplicate invoice #",IF(D63="","Select a customer",IF(N(L63)&lt;0,"Overpaid by "&amp;TEXT(-L63,"#,##0.00"),IF(AND(ISNUMBER(H63),N(H63)&lt;&gt;0,S63=0),"Tax ignored (tax tracking is off)",IF(AND(ISNUMBER(StartDate),C63&lt;StartDate),"Date is before the accounting start date",IF(AND(IFERROR(INDEX(coa_Type,MATCH(F63,coa_Name,0)),"")&lt;&gt;"Revenue",IFERROR(INDEX(coa_Type,MATCH(F63,coa_Name,0)),"")&lt;&gt;"Other Income"),"Account is not a revenue account","")))))))</f>
        <v/>
      </c>
      <c r="V63" s="67">
        <f>IF(AND(R63=0,T63=""),1,0)</f>
        <v/>
      </c>
      <c r="W63" s="67">
        <f>IF(V63=1,acctAR,"")</f>
        <v/>
      </c>
      <c r="X63" s="67">
        <f>IF(V63=1,F63,"")</f>
        <v/>
      </c>
      <c r="Y63" s="68">
        <f>IF(V63=1,G63,0)</f>
        <v/>
      </c>
      <c r="Z63" s="68">
        <f>IF(V63=1,G63-S63,0)</f>
        <v/>
      </c>
      <c r="AA63" s="68">
        <f>IF(V63=1,S63,0)</f>
        <v/>
      </c>
    </row>
    <row r="64">
      <c r="B64" s="62" t="n"/>
      <c r="C64" s="63" t="n"/>
      <c r="D64" s="62" t="n"/>
      <c r="E64" s="62" t="n"/>
      <c r="F64" s="62" t="n"/>
      <c r="G64" s="64" t="n"/>
      <c r="H64" s="64" t="n"/>
      <c r="I64" s="63" t="n"/>
      <c r="J64" s="29">
        <f>IF(V64=1,IF(ISNUMBER(I64),I64,C64+IF(ISNUMBER(IFERROR(INDEX(cust_Terms,MATCH(D64,cust_Name,0)),"")),INDEX(cust_Terms,MATCH(D64,cust_Name,0)),TermsDays)),"")</f>
        <v/>
      </c>
      <c r="K64" s="65">
        <f>IF(V64=1,SUMIFS(tx_DrAmt,tx_Type,"Customer Payment",tx_Ref,B64&amp;"",tx_Date,"&lt;="&amp;AsOf),"")</f>
        <v/>
      </c>
      <c r="L64" s="65">
        <f>IF(V64=1,IF(C64&gt;AsOf,0,ROUND(G64-K64,2)),"")</f>
        <v/>
      </c>
      <c r="M64" s="66">
        <f>IF(V64&lt;&gt;1,"",IF(C64&gt;AsOf,"Future",IF(L64&lt;0,"Overpaid",IF(L64=0,"Paid",IF(AsOf&gt;J64,"Overdue",IF(K64&gt;0,"Partial","Unpaid"))))))</f>
        <v/>
      </c>
      <c r="N64" s="28">
        <f>IF(AND(V64=1,N(L64)&gt;0),AsOf-C64,"")</f>
        <v/>
      </c>
      <c r="O64" s="28">
        <f>IF(N64="","",MAX(0,AsOf-J64))</f>
        <v/>
      </c>
      <c r="P64" s="66">
        <f>IF(O64="","",IF(O64=0,"Current",IF(O64&lt;=30,"1-30",IF(O64&lt;=60,"31-60",IF(O64&lt;=90,"61-90","90+")))))</f>
        <v/>
      </c>
      <c r="Q64" s="66">
        <f>IF(T64&lt;&gt;"","⛔ "&amp;T64&amp;" — not posted",IF(U64&lt;&gt;"","⚠ "&amp;U64,IF(V64=1,"✓ OK","")))</f>
        <v/>
      </c>
      <c r="R64" s="67">
        <f>IF(AND(B64="",C64="",D64="",G64="",F64=""),1,0)</f>
        <v/>
      </c>
      <c r="S64" s="68">
        <f>IF(AND(TaxOn="Yes",ISNUMBER(H64)),H64,0)</f>
        <v/>
      </c>
      <c r="T64" s="67">
        <f>IF(R64=1,"",IF(B64="","Enter an invoice #",IF(C64="","Missing invoice date",IF(NOT(ISNUMBER(C64)),"Invalid date",IF(OR(C64&lt;DATE(2000,1,1),C64&gt;DATE(2099,12,31)),"Invalid date",IF(F64="","Select a revenue account",IF(ISNA(MATCH(F64,coa_Name,0)),"Unknown account: "&amp;F64,IF(NOT(ISNUMBER(G64)),"Enter an amount",IF(G64&lt;=0,"Amount must be positive",IF(S64&gt;G64,"Tax is larger than the amount",""))))))))))</f>
        <v/>
      </c>
      <c r="U64" s="67">
        <f>IF(OR(R64=1,T64&lt;&gt;""),"",IF(COUNTIF(ar_No,B64)&gt;1,"Duplicate invoice #",IF(D64="","Select a customer",IF(N(L64)&lt;0,"Overpaid by "&amp;TEXT(-L64,"#,##0.00"),IF(AND(ISNUMBER(H64),N(H64)&lt;&gt;0,S64=0),"Tax ignored (tax tracking is off)",IF(AND(ISNUMBER(StartDate),C64&lt;StartDate),"Date is before the accounting start date",IF(AND(IFERROR(INDEX(coa_Type,MATCH(F64,coa_Name,0)),"")&lt;&gt;"Revenue",IFERROR(INDEX(coa_Type,MATCH(F64,coa_Name,0)),"")&lt;&gt;"Other Income"),"Account is not a revenue account","")))))))</f>
        <v/>
      </c>
      <c r="V64" s="67">
        <f>IF(AND(R64=0,T64=""),1,0)</f>
        <v/>
      </c>
      <c r="W64" s="67">
        <f>IF(V64=1,acctAR,"")</f>
        <v/>
      </c>
      <c r="X64" s="67">
        <f>IF(V64=1,F64,"")</f>
        <v/>
      </c>
      <c r="Y64" s="68">
        <f>IF(V64=1,G64,0)</f>
        <v/>
      </c>
      <c r="Z64" s="68">
        <f>IF(V64=1,G64-S64,0)</f>
        <v/>
      </c>
      <c r="AA64" s="68">
        <f>IF(V64=1,S64,0)</f>
        <v/>
      </c>
    </row>
    <row r="65">
      <c r="B65" s="62" t="n"/>
      <c r="C65" s="63" t="n"/>
      <c r="D65" s="62" t="n"/>
      <c r="E65" s="62" t="n"/>
      <c r="F65" s="62" t="n"/>
      <c r="G65" s="64" t="n"/>
      <c r="H65" s="64" t="n"/>
      <c r="I65" s="63" t="n"/>
      <c r="J65" s="29">
        <f>IF(V65=1,IF(ISNUMBER(I65),I65,C65+IF(ISNUMBER(IFERROR(INDEX(cust_Terms,MATCH(D65,cust_Name,0)),"")),INDEX(cust_Terms,MATCH(D65,cust_Name,0)),TermsDays)),"")</f>
        <v/>
      </c>
      <c r="K65" s="65">
        <f>IF(V65=1,SUMIFS(tx_DrAmt,tx_Type,"Customer Payment",tx_Ref,B65&amp;"",tx_Date,"&lt;="&amp;AsOf),"")</f>
        <v/>
      </c>
      <c r="L65" s="65">
        <f>IF(V65=1,IF(C65&gt;AsOf,0,ROUND(G65-K65,2)),"")</f>
        <v/>
      </c>
      <c r="M65" s="66">
        <f>IF(V65&lt;&gt;1,"",IF(C65&gt;AsOf,"Future",IF(L65&lt;0,"Overpaid",IF(L65=0,"Paid",IF(AsOf&gt;J65,"Overdue",IF(K65&gt;0,"Partial","Unpaid"))))))</f>
        <v/>
      </c>
      <c r="N65" s="28">
        <f>IF(AND(V65=1,N(L65)&gt;0),AsOf-C65,"")</f>
        <v/>
      </c>
      <c r="O65" s="28">
        <f>IF(N65="","",MAX(0,AsOf-J65))</f>
        <v/>
      </c>
      <c r="P65" s="66">
        <f>IF(O65="","",IF(O65=0,"Current",IF(O65&lt;=30,"1-30",IF(O65&lt;=60,"31-60",IF(O65&lt;=90,"61-90","90+")))))</f>
        <v/>
      </c>
      <c r="Q65" s="66">
        <f>IF(T65&lt;&gt;"","⛔ "&amp;T65&amp;" — not posted",IF(U65&lt;&gt;"","⚠ "&amp;U65,IF(V65=1,"✓ OK","")))</f>
        <v/>
      </c>
      <c r="R65" s="67">
        <f>IF(AND(B65="",C65="",D65="",G65="",F65=""),1,0)</f>
        <v/>
      </c>
      <c r="S65" s="68">
        <f>IF(AND(TaxOn="Yes",ISNUMBER(H65)),H65,0)</f>
        <v/>
      </c>
      <c r="T65" s="67">
        <f>IF(R65=1,"",IF(B65="","Enter an invoice #",IF(C65="","Missing invoice date",IF(NOT(ISNUMBER(C65)),"Invalid date",IF(OR(C65&lt;DATE(2000,1,1),C65&gt;DATE(2099,12,31)),"Invalid date",IF(F65="","Select a revenue account",IF(ISNA(MATCH(F65,coa_Name,0)),"Unknown account: "&amp;F65,IF(NOT(ISNUMBER(G65)),"Enter an amount",IF(G65&lt;=0,"Amount must be positive",IF(S65&gt;G65,"Tax is larger than the amount",""))))))))))</f>
        <v/>
      </c>
      <c r="U65" s="67">
        <f>IF(OR(R65=1,T65&lt;&gt;""),"",IF(COUNTIF(ar_No,B65)&gt;1,"Duplicate invoice #",IF(D65="","Select a customer",IF(N(L65)&lt;0,"Overpaid by "&amp;TEXT(-L65,"#,##0.00"),IF(AND(ISNUMBER(H65),N(H65)&lt;&gt;0,S65=0),"Tax ignored (tax tracking is off)",IF(AND(ISNUMBER(StartDate),C65&lt;StartDate),"Date is before the accounting start date",IF(AND(IFERROR(INDEX(coa_Type,MATCH(F65,coa_Name,0)),"")&lt;&gt;"Revenue",IFERROR(INDEX(coa_Type,MATCH(F65,coa_Name,0)),"")&lt;&gt;"Other Income"),"Account is not a revenue account","")))))))</f>
        <v/>
      </c>
      <c r="V65" s="67">
        <f>IF(AND(R65=0,T65=""),1,0)</f>
        <v/>
      </c>
      <c r="W65" s="67">
        <f>IF(V65=1,acctAR,"")</f>
        <v/>
      </c>
      <c r="X65" s="67">
        <f>IF(V65=1,F65,"")</f>
        <v/>
      </c>
      <c r="Y65" s="68">
        <f>IF(V65=1,G65,0)</f>
        <v/>
      </c>
      <c r="Z65" s="68">
        <f>IF(V65=1,G65-S65,0)</f>
        <v/>
      </c>
      <c r="AA65" s="68">
        <f>IF(V65=1,S65,0)</f>
        <v/>
      </c>
    </row>
    <row r="66">
      <c r="B66" s="62" t="n"/>
      <c r="C66" s="63" t="n"/>
      <c r="D66" s="62" t="n"/>
      <c r="E66" s="62" t="n"/>
      <c r="F66" s="62" t="n"/>
      <c r="G66" s="64" t="n"/>
      <c r="H66" s="64" t="n"/>
      <c r="I66" s="63" t="n"/>
      <c r="J66" s="29">
        <f>IF(V66=1,IF(ISNUMBER(I66),I66,C66+IF(ISNUMBER(IFERROR(INDEX(cust_Terms,MATCH(D66,cust_Name,0)),"")),INDEX(cust_Terms,MATCH(D66,cust_Name,0)),TermsDays)),"")</f>
        <v/>
      </c>
      <c r="K66" s="65">
        <f>IF(V66=1,SUMIFS(tx_DrAmt,tx_Type,"Customer Payment",tx_Ref,B66&amp;"",tx_Date,"&lt;="&amp;AsOf),"")</f>
        <v/>
      </c>
      <c r="L66" s="65">
        <f>IF(V66=1,IF(C66&gt;AsOf,0,ROUND(G66-K66,2)),"")</f>
        <v/>
      </c>
      <c r="M66" s="66">
        <f>IF(V66&lt;&gt;1,"",IF(C66&gt;AsOf,"Future",IF(L66&lt;0,"Overpaid",IF(L66=0,"Paid",IF(AsOf&gt;J66,"Overdue",IF(K66&gt;0,"Partial","Unpaid"))))))</f>
        <v/>
      </c>
      <c r="N66" s="28">
        <f>IF(AND(V66=1,N(L66)&gt;0),AsOf-C66,"")</f>
        <v/>
      </c>
      <c r="O66" s="28">
        <f>IF(N66="","",MAX(0,AsOf-J66))</f>
        <v/>
      </c>
      <c r="P66" s="66">
        <f>IF(O66="","",IF(O66=0,"Current",IF(O66&lt;=30,"1-30",IF(O66&lt;=60,"31-60",IF(O66&lt;=90,"61-90","90+")))))</f>
        <v/>
      </c>
      <c r="Q66" s="66">
        <f>IF(T66&lt;&gt;"","⛔ "&amp;T66&amp;" — not posted",IF(U66&lt;&gt;"","⚠ "&amp;U66,IF(V66=1,"✓ OK","")))</f>
        <v/>
      </c>
      <c r="R66" s="67">
        <f>IF(AND(B66="",C66="",D66="",G66="",F66=""),1,0)</f>
        <v/>
      </c>
      <c r="S66" s="68">
        <f>IF(AND(TaxOn="Yes",ISNUMBER(H66)),H66,0)</f>
        <v/>
      </c>
      <c r="T66" s="67">
        <f>IF(R66=1,"",IF(B66="","Enter an invoice #",IF(C66="","Missing invoice date",IF(NOT(ISNUMBER(C66)),"Invalid date",IF(OR(C66&lt;DATE(2000,1,1),C66&gt;DATE(2099,12,31)),"Invalid date",IF(F66="","Select a revenue account",IF(ISNA(MATCH(F66,coa_Name,0)),"Unknown account: "&amp;F66,IF(NOT(ISNUMBER(G66)),"Enter an amount",IF(G66&lt;=0,"Amount must be positive",IF(S66&gt;G66,"Tax is larger than the amount",""))))))))))</f>
        <v/>
      </c>
      <c r="U66" s="67">
        <f>IF(OR(R66=1,T66&lt;&gt;""),"",IF(COUNTIF(ar_No,B66)&gt;1,"Duplicate invoice #",IF(D66="","Select a customer",IF(N(L66)&lt;0,"Overpaid by "&amp;TEXT(-L66,"#,##0.00"),IF(AND(ISNUMBER(H66),N(H66)&lt;&gt;0,S66=0),"Tax ignored (tax tracking is off)",IF(AND(ISNUMBER(StartDate),C66&lt;StartDate),"Date is before the accounting start date",IF(AND(IFERROR(INDEX(coa_Type,MATCH(F66,coa_Name,0)),"")&lt;&gt;"Revenue",IFERROR(INDEX(coa_Type,MATCH(F66,coa_Name,0)),"")&lt;&gt;"Other Income"),"Account is not a revenue account","")))))))</f>
        <v/>
      </c>
      <c r="V66" s="67">
        <f>IF(AND(R66=0,T66=""),1,0)</f>
        <v/>
      </c>
      <c r="W66" s="67">
        <f>IF(V66=1,acctAR,"")</f>
        <v/>
      </c>
      <c r="X66" s="67">
        <f>IF(V66=1,F66,"")</f>
        <v/>
      </c>
      <c r="Y66" s="68">
        <f>IF(V66=1,G66,0)</f>
        <v/>
      </c>
      <c r="Z66" s="68">
        <f>IF(V66=1,G66-S66,0)</f>
        <v/>
      </c>
      <c r="AA66" s="68">
        <f>IF(V66=1,S66,0)</f>
        <v/>
      </c>
    </row>
    <row r="67">
      <c r="B67" s="62" t="n"/>
      <c r="C67" s="63" t="n"/>
      <c r="D67" s="62" t="n"/>
      <c r="E67" s="62" t="n"/>
      <c r="F67" s="62" t="n"/>
      <c r="G67" s="64" t="n"/>
      <c r="H67" s="64" t="n"/>
      <c r="I67" s="63" t="n"/>
      <c r="J67" s="29">
        <f>IF(V67=1,IF(ISNUMBER(I67),I67,C67+IF(ISNUMBER(IFERROR(INDEX(cust_Terms,MATCH(D67,cust_Name,0)),"")),INDEX(cust_Terms,MATCH(D67,cust_Name,0)),TermsDays)),"")</f>
        <v/>
      </c>
      <c r="K67" s="65">
        <f>IF(V67=1,SUMIFS(tx_DrAmt,tx_Type,"Customer Payment",tx_Ref,B67&amp;"",tx_Date,"&lt;="&amp;AsOf),"")</f>
        <v/>
      </c>
      <c r="L67" s="65">
        <f>IF(V67=1,IF(C67&gt;AsOf,0,ROUND(G67-K67,2)),"")</f>
        <v/>
      </c>
      <c r="M67" s="66">
        <f>IF(V67&lt;&gt;1,"",IF(C67&gt;AsOf,"Future",IF(L67&lt;0,"Overpaid",IF(L67=0,"Paid",IF(AsOf&gt;J67,"Overdue",IF(K67&gt;0,"Partial","Unpaid"))))))</f>
        <v/>
      </c>
      <c r="N67" s="28">
        <f>IF(AND(V67=1,N(L67)&gt;0),AsOf-C67,"")</f>
        <v/>
      </c>
      <c r="O67" s="28">
        <f>IF(N67="","",MAX(0,AsOf-J67))</f>
        <v/>
      </c>
      <c r="P67" s="66">
        <f>IF(O67="","",IF(O67=0,"Current",IF(O67&lt;=30,"1-30",IF(O67&lt;=60,"31-60",IF(O67&lt;=90,"61-90","90+")))))</f>
        <v/>
      </c>
      <c r="Q67" s="66">
        <f>IF(T67&lt;&gt;"","⛔ "&amp;T67&amp;" — not posted",IF(U67&lt;&gt;"","⚠ "&amp;U67,IF(V67=1,"✓ OK","")))</f>
        <v/>
      </c>
      <c r="R67" s="67">
        <f>IF(AND(B67="",C67="",D67="",G67="",F67=""),1,0)</f>
        <v/>
      </c>
      <c r="S67" s="68">
        <f>IF(AND(TaxOn="Yes",ISNUMBER(H67)),H67,0)</f>
        <v/>
      </c>
      <c r="T67" s="67">
        <f>IF(R67=1,"",IF(B67="","Enter an invoice #",IF(C67="","Missing invoice date",IF(NOT(ISNUMBER(C67)),"Invalid date",IF(OR(C67&lt;DATE(2000,1,1),C67&gt;DATE(2099,12,31)),"Invalid date",IF(F67="","Select a revenue account",IF(ISNA(MATCH(F67,coa_Name,0)),"Unknown account: "&amp;F67,IF(NOT(ISNUMBER(G67)),"Enter an amount",IF(G67&lt;=0,"Amount must be positive",IF(S67&gt;G67,"Tax is larger than the amount",""))))))))))</f>
        <v/>
      </c>
      <c r="U67" s="67">
        <f>IF(OR(R67=1,T67&lt;&gt;""),"",IF(COUNTIF(ar_No,B67)&gt;1,"Duplicate invoice #",IF(D67="","Select a customer",IF(N(L67)&lt;0,"Overpaid by "&amp;TEXT(-L67,"#,##0.00"),IF(AND(ISNUMBER(H67),N(H67)&lt;&gt;0,S67=0),"Tax ignored (tax tracking is off)",IF(AND(ISNUMBER(StartDate),C67&lt;StartDate),"Date is before the accounting start date",IF(AND(IFERROR(INDEX(coa_Type,MATCH(F67,coa_Name,0)),"")&lt;&gt;"Revenue",IFERROR(INDEX(coa_Type,MATCH(F67,coa_Name,0)),"")&lt;&gt;"Other Income"),"Account is not a revenue account","")))))))</f>
        <v/>
      </c>
      <c r="V67" s="67">
        <f>IF(AND(R67=0,T67=""),1,0)</f>
        <v/>
      </c>
      <c r="W67" s="67">
        <f>IF(V67=1,acctAR,"")</f>
        <v/>
      </c>
      <c r="X67" s="67">
        <f>IF(V67=1,F67,"")</f>
        <v/>
      </c>
      <c r="Y67" s="68">
        <f>IF(V67=1,G67,0)</f>
        <v/>
      </c>
      <c r="Z67" s="68">
        <f>IF(V67=1,G67-S67,0)</f>
        <v/>
      </c>
      <c r="AA67" s="68">
        <f>IF(V67=1,S67,0)</f>
        <v/>
      </c>
    </row>
    <row r="68">
      <c r="B68" s="62" t="n"/>
      <c r="C68" s="63" t="n"/>
      <c r="D68" s="62" t="n"/>
      <c r="E68" s="62" t="n"/>
      <c r="F68" s="62" t="n"/>
      <c r="G68" s="64" t="n"/>
      <c r="H68" s="64" t="n"/>
      <c r="I68" s="63" t="n"/>
      <c r="J68" s="29">
        <f>IF(V68=1,IF(ISNUMBER(I68),I68,C68+IF(ISNUMBER(IFERROR(INDEX(cust_Terms,MATCH(D68,cust_Name,0)),"")),INDEX(cust_Terms,MATCH(D68,cust_Name,0)),TermsDays)),"")</f>
        <v/>
      </c>
      <c r="K68" s="65">
        <f>IF(V68=1,SUMIFS(tx_DrAmt,tx_Type,"Customer Payment",tx_Ref,B68&amp;"",tx_Date,"&lt;="&amp;AsOf),"")</f>
        <v/>
      </c>
      <c r="L68" s="65">
        <f>IF(V68=1,IF(C68&gt;AsOf,0,ROUND(G68-K68,2)),"")</f>
        <v/>
      </c>
      <c r="M68" s="66">
        <f>IF(V68&lt;&gt;1,"",IF(C68&gt;AsOf,"Future",IF(L68&lt;0,"Overpaid",IF(L68=0,"Paid",IF(AsOf&gt;J68,"Overdue",IF(K68&gt;0,"Partial","Unpaid"))))))</f>
        <v/>
      </c>
      <c r="N68" s="28">
        <f>IF(AND(V68=1,N(L68)&gt;0),AsOf-C68,"")</f>
        <v/>
      </c>
      <c r="O68" s="28">
        <f>IF(N68="","",MAX(0,AsOf-J68))</f>
        <v/>
      </c>
      <c r="P68" s="66">
        <f>IF(O68="","",IF(O68=0,"Current",IF(O68&lt;=30,"1-30",IF(O68&lt;=60,"31-60",IF(O68&lt;=90,"61-90","90+")))))</f>
        <v/>
      </c>
      <c r="Q68" s="66">
        <f>IF(T68&lt;&gt;"","⛔ "&amp;T68&amp;" — not posted",IF(U68&lt;&gt;"","⚠ "&amp;U68,IF(V68=1,"✓ OK","")))</f>
        <v/>
      </c>
      <c r="R68" s="67">
        <f>IF(AND(B68="",C68="",D68="",G68="",F68=""),1,0)</f>
        <v/>
      </c>
      <c r="S68" s="68">
        <f>IF(AND(TaxOn="Yes",ISNUMBER(H68)),H68,0)</f>
        <v/>
      </c>
      <c r="T68" s="67">
        <f>IF(R68=1,"",IF(B68="","Enter an invoice #",IF(C68="","Missing invoice date",IF(NOT(ISNUMBER(C68)),"Invalid date",IF(OR(C68&lt;DATE(2000,1,1),C68&gt;DATE(2099,12,31)),"Invalid date",IF(F68="","Select a revenue account",IF(ISNA(MATCH(F68,coa_Name,0)),"Unknown account: "&amp;F68,IF(NOT(ISNUMBER(G68)),"Enter an amount",IF(G68&lt;=0,"Amount must be positive",IF(S68&gt;G68,"Tax is larger than the amount",""))))))))))</f>
        <v/>
      </c>
      <c r="U68" s="67">
        <f>IF(OR(R68=1,T68&lt;&gt;""),"",IF(COUNTIF(ar_No,B68)&gt;1,"Duplicate invoice #",IF(D68="","Select a customer",IF(N(L68)&lt;0,"Overpaid by "&amp;TEXT(-L68,"#,##0.00"),IF(AND(ISNUMBER(H68),N(H68)&lt;&gt;0,S68=0),"Tax ignored (tax tracking is off)",IF(AND(ISNUMBER(StartDate),C68&lt;StartDate),"Date is before the accounting start date",IF(AND(IFERROR(INDEX(coa_Type,MATCH(F68,coa_Name,0)),"")&lt;&gt;"Revenue",IFERROR(INDEX(coa_Type,MATCH(F68,coa_Name,0)),"")&lt;&gt;"Other Income"),"Account is not a revenue account","")))))))</f>
        <v/>
      </c>
      <c r="V68" s="67">
        <f>IF(AND(R68=0,T68=""),1,0)</f>
        <v/>
      </c>
      <c r="W68" s="67">
        <f>IF(V68=1,acctAR,"")</f>
        <v/>
      </c>
      <c r="X68" s="67">
        <f>IF(V68=1,F68,"")</f>
        <v/>
      </c>
      <c r="Y68" s="68">
        <f>IF(V68=1,G68,0)</f>
        <v/>
      </c>
      <c r="Z68" s="68">
        <f>IF(V68=1,G68-S68,0)</f>
        <v/>
      </c>
      <c r="AA68" s="68">
        <f>IF(V68=1,S68,0)</f>
        <v/>
      </c>
    </row>
    <row r="69">
      <c r="B69" s="62" t="n"/>
      <c r="C69" s="63" t="n"/>
      <c r="D69" s="62" t="n"/>
      <c r="E69" s="62" t="n"/>
      <c r="F69" s="62" t="n"/>
      <c r="G69" s="64" t="n"/>
      <c r="H69" s="64" t="n"/>
      <c r="I69" s="63" t="n"/>
      <c r="J69" s="29">
        <f>IF(V69=1,IF(ISNUMBER(I69),I69,C69+IF(ISNUMBER(IFERROR(INDEX(cust_Terms,MATCH(D69,cust_Name,0)),"")),INDEX(cust_Terms,MATCH(D69,cust_Name,0)),TermsDays)),"")</f>
        <v/>
      </c>
      <c r="K69" s="65">
        <f>IF(V69=1,SUMIFS(tx_DrAmt,tx_Type,"Customer Payment",tx_Ref,B69&amp;"",tx_Date,"&lt;="&amp;AsOf),"")</f>
        <v/>
      </c>
      <c r="L69" s="65">
        <f>IF(V69=1,IF(C69&gt;AsOf,0,ROUND(G69-K69,2)),"")</f>
        <v/>
      </c>
      <c r="M69" s="66">
        <f>IF(V69&lt;&gt;1,"",IF(C69&gt;AsOf,"Future",IF(L69&lt;0,"Overpaid",IF(L69=0,"Paid",IF(AsOf&gt;J69,"Overdue",IF(K69&gt;0,"Partial","Unpaid"))))))</f>
        <v/>
      </c>
      <c r="N69" s="28">
        <f>IF(AND(V69=1,N(L69)&gt;0),AsOf-C69,"")</f>
        <v/>
      </c>
      <c r="O69" s="28">
        <f>IF(N69="","",MAX(0,AsOf-J69))</f>
        <v/>
      </c>
      <c r="P69" s="66">
        <f>IF(O69="","",IF(O69=0,"Current",IF(O69&lt;=30,"1-30",IF(O69&lt;=60,"31-60",IF(O69&lt;=90,"61-90","90+")))))</f>
        <v/>
      </c>
      <c r="Q69" s="66">
        <f>IF(T69&lt;&gt;"","⛔ "&amp;T69&amp;" — not posted",IF(U69&lt;&gt;"","⚠ "&amp;U69,IF(V69=1,"✓ OK","")))</f>
        <v/>
      </c>
      <c r="R69" s="67">
        <f>IF(AND(B69="",C69="",D69="",G69="",F69=""),1,0)</f>
        <v/>
      </c>
      <c r="S69" s="68">
        <f>IF(AND(TaxOn="Yes",ISNUMBER(H69)),H69,0)</f>
        <v/>
      </c>
      <c r="T69" s="67">
        <f>IF(R69=1,"",IF(B69="","Enter an invoice #",IF(C69="","Missing invoice date",IF(NOT(ISNUMBER(C69)),"Invalid date",IF(OR(C69&lt;DATE(2000,1,1),C69&gt;DATE(2099,12,31)),"Invalid date",IF(F69="","Select a revenue account",IF(ISNA(MATCH(F69,coa_Name,0)),"Unknown account: "&amp;F69,IF(NOT(ISNUMBER(G69)),"Enter an amount",IF(G69&lt;=0,"Amount must be positive",IF(S69&gt;G69,"Tax is larger than the amount",""))))))))))</f>
        <v/>
      </c>
      <c r="U69" s="67">
        <f>IF(OR(R69=1,T69&lt;&gt;""),"",IF(COUNTIF(ar_No,B69)&gt;1,"Duplicate invoice #",IF(D69="","Select a customer",IF(N(L69)&lt;0,"Overpaid by "&amp;TEXT(-L69,"#,##0.00"),IF(AND(ISNUMBER(H69),N(H69)&lt;&gt;0,S69=0),"Tax ignored (tax tracking is off)",IF(AND(ISNUMBER(StartDate),C69&lt;StartDate),"Date is before the accounting start date",IF(AND(IFERROR(INDEX(coa_Type,MATCH(F69,coa_Name,0)),"")&lt;&gt;"Revenue",IFERROR(INDEX(coa_Type,MATCH(F69,coa_Name,0)),"")&lt;&gt;"Other Income"),"Account is not a revenue account","")))))))</f>
        <v/>
      </c>
      <c r="V69" s="67">
        <f>IF(AND(R69=0,T69=""),1,0)</f>
        <v/>
      </c>
      <c r="W69" s="67">
        <f>IF(V69=1,acctAR,"")</f>
        <v/>
      </c>
      <c r="X69" s="67">
        <f>IF(V69=1,F69,"")</f>
        <v/>
      </c>
      <c r="Y69" s="68">
        <f>IF(V69=1,G69,0)</f>
        <v/>
      </c>
      <c r="Z69" s="68">
        <f>IF(V69=1,G69-S69,0)</f>
        <v/>
      </c>
      <c r="AA69" s="68">
        <f>IF(V69=1,S69,0)</f>
        <v/>
      </c>
    </row>
    <row r="70">
      <c r="B70" s="62" t="n"/>
      <c r="C70" s="63" t="n"/>
      <c r="D70" s="62" t="n"/>
      <c r="E70" s="62" t="n"/>
      <c r="F70" s="62" t="n"/>
      <c r="G70" s="64" t="n"/>
      <c r="H70" s="64" t="n"/>
      <c r="I70" s="63" t="n"/>
      <c r="J70" s="29">
        <f>IF(V70=1,IF(ISNUMBER(I70),I70,C70+IF(ISNUMBER(IFERROR(INDEX(cust_Terms,MATCH(D70,cust_Name,0)),"")),INDEX(cust_Terms,MATCH(D70,cust_Name,0)),TermsDays)),"")</f>
        <v/>
      </c>
      <c r="K70" s="65">
        <f>IF(V70=1,SUMIFS(tx_DrAmt,tx_Type,"Customer Payment",tx_Ref,B70&amp;"",tx_Date,"&lt;="&amp;AsOf),"")</f>
        <v/>
      </c>
      <c r="L70" s="65">
        <f>IF(V70=1,IF(C70&gt;AsOf,0,ROUND(G70-K70,2)),"")</f>
        <v/>
      </c>
      <c r="M70" s="66">
        <f>IF(V70&lt;&gt;1,"",IF(C70&gt;AsOf,"Future",IF(L70&lt;0,"Overpaid",IF(L70=0,"Paid",IF(AsOf&gt;J70,"Overdue",IF(K70&gt;0,"Partial","Unpaid"))))))</f>
        <v/>
      </c>
      <c r="N70" s="28">
        <f>IF(AND(V70=1,N(L70)&gt;0),AsOf-C70,"")</f>
        <v/>
      </c>
      <c r="O70" s="28">
        <f>IF(N70="","",MAX(0,AsOf-J70))</f>
        <v/>
      </c>
      <c r="P70" s="66">
        <f>IF(O70="","",IF(O70=0,"Current",IF(O70&lt;=30,"1-30",IF(O70&lt;=60,"31-60",IF(O70&lt;=90,"61-90","90+")))))</f>
        <v/>
      </c>
      <c r="Q70" s="66">
        <f>IF(T70&lt;&gt;"","⛔ "&amp;T70&amp;" — not posted",IF(U70&lt;&gt;"","⚠ "&amp;U70,IF(V70=1,"✓ OK","")))</f>
        <v/>
      </c>
      <c r="R70" s="67">
        <f>IF(AND(B70="",C70="",D70="",G70="",F70=""),1,0)</f>
        <v/>
      </c>
      <c r="S70" s="68">
        <f>IF(AND(TaxOn="Yes",ISNUMBER(H70)),H70,0)</f>
        <v/>
      </c>
      <c r="T70" s="67">
        <f>IF(R70=1,"",IF(B70="","Enter an invoice #",IF(C70="","Missing invoice date",IF(NOT(ISNUMBER(C70)),"Invalid date",IF(OR(C70&lt;DATE(2000,1,1),C70&gt;DATE(2099,12,31)),"Invalid date",IF(F70="","Select a revenue account",IF(ISNA(MATCH(F70,coa_Name,0)),"Unknown account: "&amp;F70,IF(NOT(ISNUMBER(G70)),"Enter an amount",IF(G70&lt;=0,"Amount must be positive",IF(S70&gt;G70,"Tax is larger than the amount",""))))))))))</f>
        <v/>
      </c>
      <c r="U70" s="67">
        <f>IF(OR(R70=1,T70&lt;&gt;""),"",IF(COUNTIF(ar_No,B70)&gt;1,"Duplicate invoice #",IF(D70="","Select a customer",IF(N(L70)&lt;0,"Overpaid by "&amp;TEXT(-L70,"#,##0.00"),IF(AND(ISNUMBER(H70),N(H70)&lt;&gt;0,S70=0),"Tax ignored (tax tracking is off)",IF(AND(ISNUMBER(StartDate),C70&lt;StartDate),"Date is before the accounting start date",IF(AND(IFERROR(INDEX(coa_Type,MATCH(F70,coa_Name,0)),"")&lt;&gt;"Revenue",IFERROR(INDEX(coa_Type,MATCH(F70,coa_Name,0)),"")&lt;&gt;"Other Income"),"Account is not a revenue account","")))))))</f>
        <v/>
      </c>
      <c r="V70" s="67">
        <f>IF(AND(R70=0,T70=""),1,0)</f>
        <v/>
      </c>
      <c r="W70" s="67">
        <f>IF(V70=1,acctAR,"")</f>
        <v/>
      </c>
      <c r="X70" s="67">
        <f>IF(V70=1,F70,"")</f>
        <v/>
      </c>
      <c r="Y70" s="68">
        <f>IF(V70=1,G70,0)</f>
        <v/>
      </c>
      <c r="Z70" s="68">
        <f>IF(V70=1,G70-S70,0)</f>
        <v/>
      </c>
      <c r="AA70" s="68">
        <f>IF(V70=1,S70,0)</f>
        <v/>
      </c>
    </row>
    <row r="71">
      <c r="B71" s="62" t="n"/>
      <c r="C71" s="63" t="n"/>
      <c r="D71" s="62" t="n"/>
      <c r="E71" s="62" t="n"/>
      <c r="F71" s="62" t="n"/>
      <c r="G71" s="64" t="n"/>
      <c r="H71" s="64" t="n"/>
      <c r="I71" s="63" t="n"/>
      <c r="J71" s="29">
        <f>IF(V71=1,IF(ISNUMBER(I71),I71,C71+IF(ISNUMBER(IFERROR(INDEX(cust_Terms,MATCH(D71,cust_Name,0)),"")),INDEX(cust_Terms,MATCH(D71,cust_Name,0)),TermsDays)),"")</f>
        <v/>
      </c>
      <c r="K71" s="65">
        <f>IF(V71=1,SUMIFS(tx_DrAmt,tx_Type,"Customer Payment",tx_Ref,B71&amp;"",tx_Date,"&lt;="&amp;AsOf),"")</f>
        <v/>
      </c>
      <c r="L71" s="65">
        <f>IF(V71=1,IF(C71&gt;AsOf,0,ROUND(G71-K71,2)),"")</f>
        <v/>
      </c>
      <c r="M71" s="66">
        <f>IF(V71&lt;&gt;1,"",IF(C71&gt;AsOf,"Future",IF(L71&lt;0,"Overpaid",IF(L71=0,"Paid",IF(AsOf&gt;J71,"Overdue",IF(K71&gt;0,"Partial","Unpaid"))))))</f>
        <v/>
      </c>
      <c r="N71" s="28">
        <f>IF(AND(V71=1,N(L71)&gt;0),AsOf-C71,"")</f>
        <v/>
      </c>
      <c r="O71" s="28">
        <f>IF(N71="","",MAX(0,AsOf-J71))</f>
        <v/>
      </c>
      <c r="P71" s="66">
        <f>IF(O71="","",IF(O71=0,"Current",IF(O71&lt;=30,"1-30",IF(O71&lt;=60,"31-60",IF(O71&lt;=90,"61-90","90+")))))</f>
        <v/>
      </c>
      <c r="Q71" s="66">
        <f>IF(T71&lt;&gt;"","⛔ "&amp;T71&amp;" — not posted",IF(U71&lt;&gt;"","⚠ "&amp;U71,IF(V71=1,"✓ OK","")))</f>
        <v/>
      </c>
      <c r="R71" s="67">
        <f>IF(AND(B71="",C71="",D71="",G71="",F71=""),1,0)</f>
        <v/>
      </c>
      <c r="S71" s="68">
        <f>IF(AND(TaxOn="Yes",ISNUMBER(H71)),H71,0)</f>
        <v/>
      </c>
      <c r="T71" s="67">
        <f>IF(R71=1,"",IF(B71="","Enter an invoice #",IF(C71="","Missing invoice date",IF(NOT(ISNUMBER(C71)),"Invalid date",IF(OR(C71&lt;DATE(2000,1,1),C71&gt;DATE(2099,12,31)),"Invalid date",IF(F71="","Select a revenue account",IF(ISNA(MATCH(F71,coa_Name,0)),"Unknown account: "&amp;F71,IF(NOT(ISNUMBER(G71)),"Enter an amount",IF(G71&lt;=0,"Amount must be positive",IF(S71&gt;G71,"Tax is larger than the amount",""))))))))))</f>
        <v/>
      </c>
      <c r="U71" s="67">
        <f>IF(OR(R71=1,T71&lt;&gt;""),"",IF(COUNTIF(ar_No,B71)&gt;1,"Duplicate invoice #",IF(D71="","Select a customer",IF(N(L71)&lt;0,"Overpaid by "&amp;TEXT(-L71,"#,##0.00"),IF(AND(ISNUMBER(H71),N(H71)&lt;&gt;0,S71=0),"Tax ignored (tax tracking is off)",IF(AND(ISNUMBER(StartDate),C71&lt;StartDate),"Date is before the accounting start date",IF(AND(IFERROR(INDEX(coa_Type,MATCH(F71,coa_Name,0)),"")&lt;&gt;"Revenue",IFERROR(INDEX(coa_Type,MATCH(F71,coa_Name,0)),"")&lt;&gt;"Other Income"),"Account is not a revenue account","")))))))</f>
        <v/>
      </c>
      <c r="V71" s="67">
        <f>IF(AND(R71=0,T71=""),1,0)</f>
        <v/>
      </c>
      <c r="W71" s="67">
        <f>IF(V71=1,acctAR,"")</f>
        <v/>
      </c>
      <c r="X71" s="67">
        <f>IF(V71=1,F71,"")</f>
        <v/>
      </c>
      <c r="Y71" s="68">
        <f>IF(V71=1,G71,0)</f>
        <v/>
      </c>
      <c r="Z71" s="68">
        <f>IF(V71=1,G71-S71,0)</f>
        <v/>
      </c>
      <c r="AA71" s="68">
        <f>IF(V71=1,S71,0)</f>
        <v/>
      </c>
    </row>
    <row r="72">
      <c r="B72" s="62" t="n"/>
      <c r="C72" s="63" t="n"/>
      <c r="D72" s="62" t="n"/>
      <c r="E72" s="62" t="n"/>
      <c r="F72" s="62" t="n"/>
      <c r="G72" s="64" t="n"/>
      <c r="H72" s="64" t="n"/>
      <c r="I72" s="63" t="n"/>
      <c r="J72" s="29">
        <f>IF(V72=1,IF(ISNUMBER(I72),I72,C72+IF(ISNUMBER(IFERROR(INDEX(cust_Terms,MATCH(D72,cust_Name,0)),"")),INDEX(cust_Terms,MATCH(D72,cust_Name,0)),TermsDays)),"")</f>
        <v/>
      </c>
      <c r="K72" s="65">
        <f>IF(V72=1,SUMIFS(tx_DrAmt,tx_Type,"Customer Payment",tx_Ref,B72&amp;"",tx_Date,"&lt;="&amp;AsOf),"")</f>
        <v/>
      </c>
      <c r="L72" s="65">
        <f>IF(V72=1,IF(C72&gt;AsOf,0,ROUND(G72-K72,2)),"")</f>
        <v/>
      </c>
      <c r="M72" s="66">
        <f>IF(V72&lt;&gt;1,"",IF(C72&gt;AsOf,"Future",IF(L72&lt;0,"Overpaid",IF(L72=0,"Paid",IF(AsOf&gt;J72,"Overdue",IF(K72&gt;0,"Partial","Unpaid"))))))</f>
        <v/>
      </c>
      <c r="N72" s="28">
        <f>IF(AND(V72=1,N(L72)&gt;0),AsOf-C72,"")</f>
        <v/>
      </c>
      <c r="O72" s="28">
        <f>IF(N72="","",MAX(0,AsOf-J72))</f>
        <v/>
      </c>
      <c r="P72" s="66">
        <f>IF(O72="","",IF(O72=0,"Current",IF(O72&lt;=30,"1-30",IF(O72&lt;=60,"31-60",IF(O72&lt;=90,"61-90","90+")))))</f>
        <v/>
      </c>
      <c r="Q72" s="66">
        <f>IF(T72&lt;&gt;"","⛔ "&amp;T72&amp;" — not posted",IF(U72&lt;&gt;"","⚠ "&amp;U72,IF(V72=1,"✓ OK","")))</f>
        <v/>
      </c>
      <c r="R72" s="67">
        <f>IF(AND(B72="",C72="",D72="",G72="",F72=""),1,0)</f>
        <v/>
      </c>
      <c r="S72" s="68">
        <f>IF(AND(TaxOn="Yes",ISNUMBER(H72)),H72,0)</f>
        <v/>
      </c>
      <c r="T72" s="67">
        <f>IF(R72=1,"",IF(B72="","Enter an invoice #",IF(C72="","Missing invoice date",IF(NOT(ISNUMBER(C72)),"Invalid date",IF(OR(C72&lt;DATE(2000,1,1),C72&gt;DATE(2099,12,31)),"Invalid date",IF(F72="","Select a revenue account",IF(ISNA(MATCH(F72,coa_Name,0)),"Unknown account: "&amp;F72,IF(NOT(ISNUMBER(G72)),"Enter an amount",IF(G72&lt;=0,"Amount must be positive",IF(S72&gt;G72,"Tax is larger than the amount",""))))))))))</f>
        <v/>
      </c>
      <c r="U72" s="67">
        <f>IF(OR(R72=1,T72&lt;&gt;""),"",IF(COUNTIF(ar_No,B72)&gt;1,"Duplicate invoice #",IF(D72="","Select a customer",IF(N(L72)&lt;0,"Overpaid by "&amp;TEXT(-L72,"#,##0.00"),IF(AND(ISNUMBER(H72),N(H72)&lt;&gt;0,S72=0),"Tax ignored (tax tracking is off)",IF(AND(ISNUMBER(StartDate),C72&lt;StartDate),"Date is before the accounting start date",IF(AND(IFERROR(INDEX(coa_Type,MATCH(F72,coa_Name,0)),"")&lt;&gt;"Revenue",IFERROR(INDEX(coa_Type,MATCH(F72,coa_Name,0)),"")&lt;&gt;"Other Income"),"Account is not a revenue account","")))))))</f>
        <v/>
      </c>
      <c r="V72" s="67">
        <f>IF(AND(R72=0,T72=""),1,0)</f>
        <v/>
      </c>
      <c r="W72" s="67">
        <f>IF(V72=1,acctAR,"")</f>
        <v/>
      </c>
      <c r="X72" s="67">
        <f>IF(V72=1,F72,"")</f>
        <v/>
      </c>
      <c r="Y72" s="68">
        <f>IF(V72=1,G72,0)</f>
        <v/>
      </c>
      <c r="Z72" s="68">
        <f>IF(V72=1,G72-S72,0)</f>
        <v/>
      </c>
      <c r="AA72" s="68">
        <f>IF(V72=1,S72,0)</f>
        <v/>
      </c>
    </row>
    <row r="73">
      <c r="B73" s="62" t="n"/>
      <c r="C73" s="63" t="n"/>
      <c r="D73" s="62" t="n"/>
      <c r="E73" s="62" t="n"/>
      <c r="F73" s="62" t="n"/>
      <c r="G73" s="64" t="n"/>
      <c r="H73" s="64" t="n"/>
      <c r="I73" s="63" t="n"/>
      <c r="J73" s="29">
        <f>IF(V73=1,IF(ISNUMBER(I73),I73,C73+IF(ISNUMBER(IFERROR(INDEX(cust_Terms,MATCH(D73,cust_Name,0)),"")),INDEX(cust_Terms,MATCH(D73,cust_Name,0)),TermsDays)),"")</f>
        <v/>
      </c>
      <c r="K73" s="65">
        <f>IF(V73=1,SUMIFS(tx_DrAmt,tx_Type,"Customer Payment",tx_Ref,B73&amp;"",tx_Date,"&lt;="&amp;AsOf),"")</f>
        <v/>
      </c>
      <c r="L73" s="65">
        <f>IF(V73=1,IF(C73&gt;AsOf,0,ROUND(G73-K73,2)),"")</f>
        <v/>
      </c>
      <c r="M73" s="66">
        <f>IF(V73&lt;&gt;1,"",IF(C73&gt;AsOf,"Future",IF(L73&lt;0,"Overpaid",IF(L73=0,"Paid",IF(AsOf&gt;J73,"Overdue",IF(K73&gt;0,"Partial","Unpaid"))))))</f>
        <v/>
      </c>
      <c r="N73" s="28">
        <f>IF(AND(V73=1,N(L73)&gt;0),AsOf-C73,"")</f>
        <v/>
      </c>
      <c r="O73" s="28">
        <f>IF(N73="","",MAX(0,AsOf-J73))</f>
        <v/>
      </c>
      <c r="P73" s="66">
        <f>IF(O73="","",IF(O73=0,"Current",IF(O73&lt;=30,"1-30",IF(O73&lt;=60,"31-60",IF(O73&lt;=90,"61-90","90+")))))</f>
        <v/>
      </c>
      <c r="Q73" s="66">
        <f>IF(T73&lt;&gt;"","⛔ "&amp;T73&amp;" — not posted",IF(U73&lt;&gt;"","⚠ "&amp;U73,IF(V73=1,"✓ OK","")))</f>
        <v/>
      </c>
      <c r="R73" s="67">
        <f>IF(AND(B73="",C73="",D73="",G73="",F73=""),1,0)</f>
        <v/>
      </c>
      <c r="S73" s="68">
        <f>IF(AND(TaxOn="Yes",ISNUMBER(H73)),H73,0)</f>
        <v/>
      </c>
      <c r="T73" s="67">
        <f>IF(R73=1,"",IF(B73="","Enter an invoice #",IF(C73="","Missing invoice date",IF(NOT(ISNUMBER(C73)),"Invalid date",IF(OR(C73&lt;DATE(2000,1,1),C73&gt;DATE(2099,12,31)),"Invalid date",IF(F73="","Select a revenue account",IF(ISNA(MATCH(F73,coa_Name,0)),"Unknown account: "&amp;F73,IF(NOT(ISNUMBER(G73)),"Enter an amount",IF(G73&lt;=0,"Amount must be positive",IF(S73&gt;G73,"Tax is larger than the amount",""))))))))))</f>
        <v/>
      </c>
      <c r="U73" s="67">
        <f>IF(OR(R73=1,T73&lt;&gt;""),"",IF(COUNTIF(ar_No,B73)&gt;1,"Duplicate invoice #",IF(D73="","Select a customer",IF(N(L73)&lt;0,"Overpaid by "&amp;TEXT(-L73,"#,##0.00"),IF(AND(ISNUMBER(H73),N(H73)&lt;&gt;0,S73=0),"Tax ignored (tax tracking is off)",IF(AND(ISNUMBER(StartDate),C73&lt;StartDate),"Date is before the accounting start date",IF(AND(IFERROR(INDEX(coa_Type,MATCH(F73,coa_Name,0)),"")&lt;&gt;"Revenue",IFERROR(INDEX(coa_Type,MATCH(F73,coa_Name,0)),"")&lt;&gt;"Other Income"),"Account is not a revenue account","")))))))</f>
        <v/>
      </c>
      <c r="V73" s="67">
        <f>IF(AND(R73=0,T73=""),1,0)</f>
        <v/>
      </c>
      <c r="W73" s="67">
        <f>IF(V73=1,acctAR,"")</f>
        <v/>
      </c>
      <c r="X73" s="67">
        <f>IF(V73=1,F73,"")</f>
        <v/>
      </c>
      <c r="Y73" s="68">
        <f>IF(V73=1,G73,0)</f>
        <v/>
      </c>
      <c r="Z73" s="68">
        <f>IF(V73=1,G73-S73,0)</f>
        <v/>
      </c>
      <c r="AA73" s="68">
        <f>IF(V73=1,S73,0)</f>
        <v/>
      </c>
    </row>
    <row r="74">
      <c r="B74" s="62" t="n"/>
      <c r="C74" s="63" t="n"/>
      <c r="D74" s="62" t="n"/>
      <c r="E74" s="62" t="n"/>
      <c r="F74" s="62" t="n"/>
      <c r="G74" s="64" t="n"/>
      <c r="H74" s="64" t="n"/>
      <c r="I74" s="63" t="n"/>
      <c r="J74" s="29">
        <f>IF(V74=1,IF(ISNUMBER(I74),I74,C74+IF(ISNUMBER(IFERROR(INDEX(cust_Terms,MATCH(D74,cust_Name,0)),"")),INDEX(cust_Terms,MATCH(D74,cust_Name,0)),TermsDays)),"")</f>
        <v/>
      </c>
      <c r="K74" s="65">
        <f>IF(V74=1,SUMIFS(tx_DrAmt,tx_Type,"Customer Payment",tx_Ref,B74&amp;"",tx_Date,"&lt;="&amp;AsOf),"")</f>
        <v/>
      </c>
      <c r="L74" s="65">
        <f>IF(V74=1,IF(C74&gt;AsOf,0,ROUND(G74-K74,2)),"")</f>
        <v/>
      </c>
      <c r="M74" s="66">
        <f>IF(V74&lt;&gt;1,"",IF(C74&gt;AsOf,"Future",IF(L74&lt;0,"Overpaid",IF(L74=0,"Paid",IF(AsOf&gt;J74,"Overdue",IF(K74&gt;0,"Partial","Unpaid"))))))</f>
        <v/>
      </c>
      <c r="N74" s="28">
        <f>IF(AND(V74=1,N(L74)&gt;0),AsOf-C74,"")</f>
        <v/>
      </c>
      <c r="O74" s="28">
        <f>IF(N74="","",MAX(0,AsOf-J74))</f>
        <v/>
      </c>
      <c r="P74" s="66">
        <f>IF(O74="","",IF(O74=0,"Current",IF(O74&lt;=30,"1-30",IF(O74&lt;=60,"31-60",IF(O74&lt;=90,"61-90","90+")))))</f>
        <v/>
      </c>
      <c r="Q74" s="66">
        <f>IF(T74&lt;&gt;"","⛔ "&amp;T74&amp;" — not posted",IF(U74&lt;&gt;"","⚠ "&amp;U74,IF(V74=1,"✓ OK","")))</f>
        <v/>
      </c>
      <c r="R74" s="67">
        <f>IF(AND(B74="",C74="",D74="",G74="",F74=""),1,0)</f>
        <v/>
      </c>
      <c r="S74" s="68">
        <f>IF(AND(TaxOn="Yes",ISNUMBER(H74)),H74,0)</f>
        <v/>
      </c>
      <c r="T74" s="67">
        <f>IF(R74=1,"",IF(B74="","Enter an invoice #",IF(C74="","Missing invoice date",IF(NOT(ISNUMBER(C74)),"Invalid date",IF(OR(C74&lt;DATE(2000,1,1),C74&gt;DATE(2099,12,31)),"Invalid date",IF(F74="","Select a revenue account",IF(ISNA(MATCH(F74,coa_Name,0)),"Unknown account: "&amp;F74,IF(NOT(ISNUMBER(G74)),"Enter an amount",IF(G74&lt;=0,"Amount must be positive",IF(S74&gt;G74,"Tax is larger than the amount",""))))))))))</f>
        <v/>
      </c>
      <c r="U74" s="67">
        <f>IF(OR(R74=1,T74&lt;&gt;""),"",IF(COUNTIF(ar_No,B74)&gt;1,"Duplicate invoice #",IF(D74="","Select a customer",IF(N(L74)&lt;0,"Overpaid by "&amp;TEXT(-L74,"#,##0.00"),IF(AND(ISNUMBER(H74),N(H74)&lt;&gt;0,S74=0),"Tax ignored (tax tracking is off)",IF(AND(ISNUMBER(StartDate),C74&lt;StartDate),"Date is before the accounting start date",IF(AND(IFERROR(INDEX(coa_Type,MATCH(F74,coa_Name,0)),"")&lt;&gt;"Revenue",IFERROR(INDEX(coa_Type,MATCH(F74,coa_Name,0)),"")&lt;&gt;"Other Income"),"Account is not a revenue account","")))))))</f>
        <v/>
      </c>
      <c r="V74" s="67">
        <f>IF(AND(R74=0,T74=""),1,0)</f>
        <v/>
      </c>
      <c r="W74" s="67">
        <f>IF(V74=1,acctAR,"")</f>
        <v/>
      </c>
      <c r="X74" s="67">
        <f>IF(V74=1,F74,"")</f>
        <v/>
      </c>
      <c r="Y74" s="68">
        <f>IF(V74=1,G74,0)</f>
        <v/>
      </c>
      <c r="Z74" s="68">
        <f>IF(V74=1,G74-S74,0)</f>
        <v/>
      </c>
      <c r="AA74" s="68">
        <f>IF(V74=1,S74,0)</f>
        <v/>
      </c>
    </row>
    <row r="75">
      <c r="B75" s="62" t="n"/>
      <c r="C75" s="63" t="n"/>
      <c r="D75" s="62" t="n"/>
      <c r="E75" s="62" t="n"/>
      <c r="F75" s="62" t="n"/>
      <c r="G75" s="64" t="n"/>
      <c r="H75" s="64" t="n"/>
      <c r="I75" s="63" t="n"/>
      <c r="J75" s="29">
        <f>IF(V75=1,IF(ISNUMBER(I75),I75,C75+IF(ISNUMBER(IFERROR(INDEX(cust_Terms,MATCH(D75,cust_Name,0)),"")),INDEX(cust_Terms,MATCH(D75,cust_Name,0)),TermsDays)),"")</f>
        <v/>
      </c>
      <c r="K75" s="65">
        <f>IF(V75=1,SUMIFS(tx_DrAmt,tx_Type,"Customer Payment",tx_Ref,B75&amp;"",tx_Date,"&lt;="&amp;AsOf),"")</f>
        <v/>
      </c>
      <c r="L75" s="65">
        <f>IF(V75=1,IF(C75&gt;AsOf,0,ROUND(G75-K75,2)),"")</f>
        <v/>
      </c>
      <c r="M75" s="66">
        <f>IF(V75&lt;&gt;1,"",IF(C75&gt;AsOf,"Future",IF(L75&lt;0,"Overpaid",IF(L75=0,"Paid",IF(AsOf&gt;J75,"Overdue",IF(K75&gt;0,"Partial","Unpaid"))))))</f>
        <v/>
      </c>
      <c r="N75" s="28">
        <f>IF(AND(V75=1,N(L75)&gt;0),AsOf-C75,"")</f>
        <v/>
      </c>
      <c r="O75" s="28">
        <f>IF(N75="","",MAX(0,AsOf-J75))</f>
        <v/>
      </c>
      <c r="P75" s="66">
        <f>IF(O75="","",IF(O75=0,"Current",IF(O75&lt;=30,"1-30",IF(O75&lt;=60,"31-60",IF(O75&lt;=90,"61-90","90+")))))</f>
        <v/>
      </c>
      <c r="Q75" s="66">
        <f>IF(T75&lt;&gt;"","⛔ "&amp;T75&amp;" — not posted",IF(U75&lt;&gt;"","⚠ "&amp;U75,IF(V75=1,"✓ OK","")))</f>
        <v/>
      </c>
      <c r="R75" s="67">
        <f>IF(AND(B75="",C75="",D75="",G75="",F75=""),1,0)</f>
        <v/>
      </c>
      <c r="S75" s="68">
        <f>IF(AND(TaxOn="Yes",ISNUMBER(H75)),H75,0)</f>
        <v/>
      </c>
      <c r="T75" s="67">
        <f>IF(R75=1,"",IF(B75="","Enter an invoice #",IF(C75="","Missing invoice date",IF(NOT(ISNUMBER(C75)),"Invalid date",IF(OR(C75&lt;DATE(2000,1,1),C75&gt;DATE(2099,12,31)),"Invalid date",IF(F75="","Select a revenue account",IF(ISNA(MATCH(F75,coa_Name,0)),"Unknown account: "&amp;F75,IF(NOT(ISNUMBER(G75)),"Enter an amount",IF(G75&lt;=0,"Amount must be positive",IF(S75&gt;G75,"Tax is larger than the amount",""))))))))))</f>
        <v/>
      </c>
      <c r="U75" s="67">
        <f>IF(OR(R75=1,T75&lt;&gt;""),"",IF(COUNTIF(ar_No,B75)&gt;1,"Duplicate invoice #",IF(D75="","Select a customer",IF(N(L75)&lt;0,"Overpaid by "&amp;TEXT(-L75,"#,##0.00"),IF(AND(ISNUMBER(H75),N(H75)&lt;&gt;0,S75=0),"Tax ignored (tax tracking is off)",IF(AND(ISNUMBER(StartDate),C75&lt;StartDate),"Date is before the accounting start date",IF(AND(IFERROR(INDEX(coa_Type,MATCH(F75,coa_Name,0)),"")&lt;&gt;"Revenue",IFERROR(INDEX(coa_Type,MATCH(F75,coa_Name,0)),"")&lt;&gt;"Other Income"),"Account is not a revenue account","")))))))</f>
        <v/>
      </c>
      <c r="V75" s="67">
        <f>IF(AND(R75=0,T75=""),1,0)</f>
        <v/>
      </c>
      <c r="W75" s="67">
        <f>IF(V75=1,acctAR,"")</f>
        <v/>
      </c>
      <c r="X75" s="67">
        <f>IF(V75=1,F75,"")</f>
        <v/>
      </c>
      <c r="Y75" s="68">
        <f>IF(V75=1,G75,0)</f>
        <v/>
      </c>
      <c r="Z75" s="68">
        <f>IF(V75=1,G75-S75,0)</f>
        <v/>
      </c>
      <c r="AA75" s="68">
        <f>IF(V75=1,S75,0)</f>
        <v/>
      </c>
    </row>
    <row r="76">
      <c r="B76" s="62" t="n"/>
      <c r="C76" s="63" t="n"/>
      <c r="D76" s="62" t="n"/>
      <c r="E76" s="62" t="n"/>
      <c r="F76" s="62" t="n"/>
      <c r="G76" s="64" t="n"/>
      <c r="H76" s="64" t="n"/>
      <c r="I76" s="63" t="n"/>
      <c r="J76" s="29">
        <f>IF(V76=1,IF(ISNUMBER(I76),I76,C76+IF(ISNUMBER(IFERROR(INDEX(cust_Terms,MATCH(D76,cust_Name,0)),"")),INDEX(cust_Terms,MATCH(D76,cust_Name,0)),TermsDays)),"")</f>
        <v/>
      </c>
      <c r="K76" s="65">
        <f>IF(V76=1,SUMIFS(tx_DrAmt,tx_Type,"Customer Payment",tx_Ref,B76&amp;"",tx_Date,"&lt;="&amp;AsOf),"")</f>
        <v/>
      </c>
      <c r="L76" s="65">
        <f>IF(V76=1,IF(C76&gt;AsOf,0,ROUND(G76-K76,2)),"")</f>
        <v/>
      </c>
      <c r="M76" s="66">
        <f>IF(V76&lt;&gt;1,"",IF(C76&gt;AsOf,"Future",IF(L76&lt;0,"Overpaid",IF(L76=0,"Paid",IF(AsOf&gt;J76,"Overdue",IF(K76&gt;0,"Partial","Unpaid"))))))</f>
        <v/>
      </c>
      <c r="N76" s="28">
        <f>IF(AND(V76=1,N(L76)&gt;0),AsOf-C76,"")</f>
        <v/>
      </c>
      <c r="O76" s="28">
        <f>IF(N76="","",MAX(0,AsOf-J76))</f>
        <v/>
      </c>
      <c r="P76" s="66">
        <f>IF(O76="","",IF(O76=0,"Current",IF(O76&lt;=30,"1-30",IF(O76&lt;=60,"31-60",IF(O76&lt;=90,"61-90","90+")))))</f>
        <v/>
      </c>
      <c r="Q76" s="66">
        <f>IF(T76&lt;&gt;"","⛔ "&amp;T76&amp;" — not posted",IF(U76&lt;&gt;"","⚠ "&amp;U76,IF(V76=1,"✓ OK","")))</f>
        <v/>
      </c>
      <c r="R76" s="67">
        <f>IF(AND(B76="",C76="",D76="",G76="",F76=""),1,0)</f>
        <v/>
      </c>
      <c r="S76" s="68">
        <f>IF(AND(TaxOn="Yes",ISNUMBER(H76)),H76,0)</f>
        <v/>
      </c>
      <c r="T76" s="67">
        <f>IF(R76=1,"",IF(B76="","Enter an invoice #",IF(C76="","Missing invoice date",IF(NOT(ISNUMBER(C76)),"Invalid date",IF(OR(C76&lt;DATE(2000,1,1),C76&gt;DATE(2099,12,31)),"Invalid date",IF(F76="","Select a revenue account",IF(ISNA(MATCH(F76,coa_Name,0)),"Unknown account: "&amp;F76,IF(NOT(ISNUMBER(G76)),"Enter an amount",IF(G76&lt;=0,"Amount must be positive",IF(S76&gt;G76,"Tax is larger than the amount",""))))))))))</f>
        <v/>
      </c>
      <c r="U76" s="67">
        <f>IF(OR(R76=1,T76&lt;&gt;""),"",IF(COUNTIF(ar_No,B76)&gt;1,"Duplicate invoice #",IF(D76="","Select a customer",IF(N(L76)&lt;0,"Overpaid by "&amp;TEXT(-L76,"#,##0.00"),IF(AND(ISNUMBER(H76),N(H76)&lt;&gt;0,S76=0),"Tax ignored (tax tracking is off)",IF(AND(ISNUMBER(StartDate),C76&lt;StartDate),"Date is before the accounting start date",IF(AND(IFERROR(INDEX(coa_Type,MATCH(F76,coa_Name,0)),"")&lt;&gt;"Revenue",IFERROR(INDEX(coa_Type,MATCH(F76,coa_Name,0)),"")&lt;&gt;"Other Income"),"Account is not a revenue account","")))))))</f>
        <v/>
      </c>
      <c r="V76" s="67">
        <f>IF(AND(R76=0,T76=""),1,0)</f>
        <v/>
      </c>
      <c r="W76" s="67">
        <f>IF(V76=1,acctAR,"")</f>
        <v/>
      </c>
      <c r="X76" s="67">
        <f>IF(V76=1,F76,"")</f>
        <v/>
      </c>
      <c r="Y76" s="68">
        <f>IF(V76=1,G76,0)</f>
        <v/>
      </c>
      <c r="Z76" s="68">
        <f>IF(V76=1,G76-S76,0)</f>
        <v/>
      </c>
      <c r="AA76" s="68">
        <f>IF(V76=1,S76,0)</f>
        <v/>
      </c>
    </row>
    <row r="77">
      <c r="B77" s="62" t="n"/>
      <c r="C77" s="63" t="n"/>
      <c r="D77" s="62" t="n"/>
      <c r="E77" s="62" t="n"/>
      <c r="F77" s="62" t="n"/>
      <c r="G77" s="64" t="n"/>
      <c r="H77" s="64" t="n"/>
      <c r="I77" s="63" t="n"/>
      <c r="J77" s="29">
        <f>IF(V77=1,IF(ISNUMBER(I77),I77,C77+IF(ISNUMBER(IFERROR(INDEX(cust_Terms,MATCH(D77,cust_Name,0)),"")),INDEX(cust_Terms,MATCH(D77,cust_Name,0)),TermsDays)),"")</f>
        <v/>
      </c>
      <c r="K77" s="65">
        <f>IF(V77=1,SUMIFS(tx_DrAmt,tx_Type,"Customer Payment",tx_Ref,B77&amp;"",tx_Date,"&lt;="&amp;AsOf),"")</f>
        <v/>
      </c>
      <c r="L77" s="65">
        <f>IF(V77=1,IF(C77&gt;AsOf,0,ROUND(G77-K77,2)),"")</f>
        <v/>
      </c>
      <c r="M77" s="66">
        <f>IF(V77&lt;&gt;1,"",IF(C77&gt;AsOf,"Future",IF(L77&lt;0,"Overpaid",IF(L77=0,"Paid",IF(AsOf&gt;J77,"Overdue",IF(K77&gt;0,"Partial","Unpaid"))))))</f>
        <v/>
      </c>
      <c r="N77" s="28">
        <f>IF(AND(V77=1,N(L77)&gt;0),AsOf-C77,"")</f>
        <v/>
      </c>
      <c r="O77" s="28">
        <f>IF(N77="","",MAX(0,AsOf-J77))</f>
        <v/>
      </c>
      <c r="P77" s="66">
        <f>IF(O77="","",IF(O77=0,"Current",IF(O77&lt;=30,"1-30",IF(O77&lt;=60,"31-60",IF(O77&lt;=90,"61-90","90+")))))</f>
        <v/>
      </c>
      <c r="Q77" s="66">
        <f>IF(T77&lt;&gt;"","⛔ "&amp;T77&amp;" — not posted",IF(U77&lt;&gt;"","⚠ "&amp;U77,IF(V77=1,"✓ OK","")))</f>
        <v/>
      </c>
      <c r="R77" s="67">
        <f>IF(AND(B77="",C77="",D77="",G77="",F77=""),1,0)</f>
        <v/>
      </c>
      <c r="S77" s="68">
        <f>IF(AND(TaxOn="Yes",ISNUMBER(H77)),H77,0)</f>
        <v/>
      </c>
      <c r="T77" s="67">
        <f>IF(R77=1,"",IF(B77="","Enter an invoice #",IF(C77="","Missing invoice date",IF(NOT(ISNUMBER(C77)),"Invalid date",IF(OR(C77&lt;DATE(2000,1,1),C77&gt;DATE(2099,12,31)),"Invalid date",IF(F77="","Select a revenue account",IF(ISNA(MATCH(F77,coa_Name,0)),"Unknown account: "&amp;F77,IF(NOT(ISNUMBER(G77)),"Enter an amount",IF(G77&lt;=0,"Amount must be positive",IF(S77&gt;G77,"Tax is larger than the amount",""))))))))))</f>
        <v/>
      </c>
      <c r="U77" s="67">
        <f>IF(OR(R77=1,T77&lt;&gt;""),"",IF(COUNTIF(ar_No,B77)&gt;1,"Duplicate invoice #",IF(D77="","Select a customer",IF(N(L77)&lt;0,"Overpaid by "&amp;TEXT(-L77,"#,##0.00"),IF(AND(ISNUMBER(H77),N(H77)&lt;&gt;0,S77=0),"Tax ignored (tax tracking is off)",IF(AND(ISNUMBER(StartDate),C77&lt;StartDate),"Date is before the accounting start date",IF(AND(IFERROR(INDEX(coa_Type,MATCH(F77,coa_Name,0)),"")&lt;&gt;"Revenue",IFERROR(INDEX(coa_Type,MATCH(F77,coa_Name,0)),"")&lt;&gt;"Other Income"),"Account is not a revenue account","")))))))</f>
        <v/>
      </c>
      <c r="V77" s="67">
        <f>IF(AND(R77=0,T77=""),1,0)</f>
        <v/>
      </c>
      <c r="W77" s="67">
        <f>IF(V77=1,acctAR,"")</f>
        <v/>
      </c>
      <c r="X77" s="67">
        <f>IF(V77=1,F77,"")</f>
        <v/>
      </c>
      <c r="Y77" s="68">
        <f>IF(V77=1,G77,0)</f>
        <v/>
      </c>
      <c r="Z77" s="68">
        <f>IF(V77=1,G77-S77,0)</f>
        <v/>
      </c>
      <c r="AA77" s="68">
        <f>IF(V77=1,S77,0)</f>
        <v/>
      </c>
    </row>
    <row r="78">
      <c r="B78" s="62" t="n"/>
      <c r="C78" s="63" t="n"/>
      <c r="D78" s="62" t="n"/>
      <c r="E78" s="62" t="n"/>
      <c r="F78" s="62" t="n"/>
      <c r="G78" s="64" t="n"/>
      <c r="H78" s="64" t="n"/>
      <c r="I78" s="63" t="n"/>
      <c r="J78" s="29">
        <f>IF(V78=1,IF(ISNUMBER(I78),I78,C78+IF(ISNUMBER(IFERROR(INDEX(cust_Terms,MATCH(D78,cust_Name,0)),"")),INDEX(cust_Terms,MATCH(D78,cust_Name,0)),TermsDays)),"")</f>
        <v/>
      </c>
      <c r="K78" s="65">
        <f>IF(V78=1,SUMIFS(tx_DrAmt,tx_Type,"Customer Payment",tx_Ref,B78&amp;"",tx_Date,"&lt;="&amp;AsOf),"")</f>
        <v/>
      </c>
      <c r="L78" s="65">
        <f>IF(V78=1,IF(C78&gt;AsOf,0,ROUND(G78-K78,2)),"")</f>
        <v/>
      </c>
      <c r="M78" s="66">
        <f>IF(V78&lt;&gt;1,"",IF(C78&gt;AsOf,"Future",IF(L78&lt;0,"Overpaid",IF(L78=0,"Paid",IF(AsOf&gt;J78,"Overdue",IF(K78&gt;0,"Partial","Unpaid"))))))</f>
        <v/>
      </c>
      <c r="N78" s="28">
        <f>IF(AND(V78=1,N(L78)&gt;0),AsOf-C78,"")</f>
        <v/>
      </c>
      <c r="O78" s="28">
        <f>IF(N78="","",MAX(0,AsOf-J78))</f>
        <v/>
      </c>
      <c r="P78" s="66">
        <f>IF(O78="","",IF(O78=0,"Current",IF(O78&lt;=30,"1-30",IF(O78&lt;=60,"31-60",IF(O78&lt;=90,"61-90","90+")))))</f>
        <v/>
      </c>
      <c r="Q78" s="66">
        <f>IF(T78&lt;&gt;"","⛔ "&amp;T78&amp;" — not posted",IF(U78&lt;&gt;"","⚠ "&amp;U78,IF(V78=1,"✓ OK","")))</f>
        <v/>
      </c>
      <c r="R78" s="67">
        <f>IF(AND(B78="",C78="",D78="",G78="",F78=""),1,0)</f>
        <v/>
      </c>
      <c r="S78" s="68">
        <f>IF(AND(TaxOn="Yes",ISNUMBER(H78)),H78,0)</f>
        <v/>
      </c>
      <c r="T78" s="67">
        <f>IF(R78=1,"",IF(B78="","Enter an invoice #",IF(C78="","Missing invoice date",IF(NOT(ISNUMBER(C78)),"Invalid date",IF(OR(C78&lt;DATE(2000,1,1),C78&gt;DATE(2099,12,31)),"Invalid date",IF(F78="","Select a revenue account",IF(ISNA(MATCH(F78,coa_Name,0)),"Unknown account: "&amp;F78,IF(NOT(ISNUMBER(G78)),"Enter an amount",IF(G78&lt;=0,"Amount must be positive",IF(S78&gt;G78,"Tax is larger than the amount",""))))))))))</f>
        <v/>
      </c>
      <c r="U78" s="67">
        <f>IF(OR(R78=1,T78&lt;&gt;""),"",IF(COUNTIF(ar_No,B78)&gt;1,"Duplicate invoice #",IF(D78="","Select a customer",IF(N(L78)&lt;0,"Overpaid by "&amp;TEXT(-L78,"#,##0.00"),IF(AND(ISNUMBER(H78),N(H78)&lt;&gt;0,S78=0),"Tax ignored (tax tracking is off)",IF(AND(ISNUMBER(StartDate),C78&lt;StartDate),"Date is before the accounting start date",IF(AND(IFERROR(INDEX(coa_Type,MATCH(F78,coa_Name,0)),"")&lt;&gt;"Revenue",IFERROR(INDEX(coa_Type,MATCH(F78,coa_Name,0)),"")&lt;&gt;"Other Income"),"Account is not a revenue account","")))))))</f>
        <v/>
      </c>
      <c r="V78" s="67">
        <f>IF(AND(R78=0,T78=""),1,0)</f>
        <v/>
      </c>
      <c r="W78" s="67">
        <f>IF(V78=1,acctAR,"")</f>
        <v/>
      </c>
      <c r="X78" s="67">
        <f>IF(V78=1,F78,"")</f>
        <v/>
      </c>
      <c r="Y78" s="68">
        <f>IF(V78=1,G78,0)</f>
        <v/>
      </c>
      <c r="Z78" s="68">
        <f>IF(V78=1,G78-S78,0)</f>
        <v/>
      </c>
      <c r="AA78" s="68">
        <f>IF(V78=1,S78,0)</f>
        <v/>
      </c>
    </row>
    <row r="79">
      <c r="B79" s="62" t="n"/>
      <c r="C79" s="63" t="n"/>
      <c r="D79" s="62" t="n"/>
      <c r="E79" s="62" t="n"/>
      <c r="F79" s="62" t="n"/>
      <c r="G79" s="64" t="n"/>
      <c r="H79" s="64" t="n"/>
      <c r="I79" s="63" t="n"/>
      <c r="J79" s="29">
        <f>IF(V79=1,IF(ISNUMBER(I79),I79,C79+IF(ISNUMBER(IFERROR(INDEX(cust_Terms,MATCH(D79,cust_Name,0)),"")),INDEX(cust_Terms,MATCH(D79,cust_Name,0)),TermsDays)),"")</f>
        <v/>
      </c>
      <c r="K79" s="65">
        <f>IF(V79=1,SUMIFS(tx_DrAmt,tx_Type,"Customer Payment",tx_Ref,B79&amp;"",tx_Date,"&lt;="&amp;AsOf),"")</f>
        <v/>
      </c>
      <c r="L79" s="65">
        <f>IF(V79=1,IF(C79&gt;AsOf,0,ROUND(G79-K79,2)),"")</f>
        <v/>
      </c>
      <c r="M79" s="66">
        <f>IF(V79&lt;&gt;1,"",IF(C79&gt;AsOf,"Future",IF(L79&lt;0,"Overpaid",IF(L79=0,"Paid",IF(AsOf&gt;J79,"Overdue",IF(K79&gt;0,"Partial","Unpaid"))))))</f>
        <v/>
      </c>
      <c r="N79" s="28">
        <f>IF(AND(V79=1,N(L79)&gt;0),AsOf-C79,"")</f>
        <v/>
      </c>
      <c r="O79" s="28">
        <f>IF(N79="","",MAX(0,AsOf-J79))</f>
        <v/>
      </c>
      <c r="P79" s="66">
        <f>IF(O79="","",IF(O79=0,"Current",IF(O79&lt;=30,"1-30",IF(O79&lt;=60,"31-60",IF(O79&lt;=90,"61-90","90+")))))</f>
        <v/>
      </c>
      <c r="Q79" s="66">
        <f>IF(T79&lt;&gt;"","⛔ "&amp;T79&amp;" — not posted",IF(U79&lt;&gt;"","⚠ "&amp;U79,IF(V79=1,"✓ OK","")))</f>
        <v/>
      </c>
      <c r="R79" s="67">
        <f>IF(AND(B79="",C79="",D79="",G79="",F79=""),1,0)</f>
        <v/>
      </c>
      <c r="S79" s="68">
        <f>IF(AND(TaxOn="Yes",ISNUMBER(H79)),H79,0)</f>
        <v/>
      </c>
      <c r="T79" s="67">
        <f>IF(R79=1,"",IF(B79="","Enter an invoice #",IF(C79="","Missing invoice date",IF(NOT(ISNUMBER(C79)),"Invalid date",IF(OR(C79&lt;DATE(2000,1,1),C79&gt;DATE(2099,12,31)),"Invalid date",IF(F79="","Select a revenue account",IF(ISNA(MATCH(F79,coa_Name,0)),"Unknown account: "&amp;F79,IF(NOT(ISNUMBER(G79)),"Enter an amount",IF(G79&lt;=0,"Amount must be positive",IF(S79&gt;G79,"Tax is larger than the amount",""))))))))))</f>
        <v/>
      </c>
      <c r="U79" s="67">
        <f>IF(OR(R79=1,T79&lt;&gt;""),"",IF(COUNTIF(ar_No,B79)&gt;1,"Duplicate invoice #",IF(D79="","Select a customer",IF(N(L79)&lt;0,"Overpaid by "&amp;TEXT(-L79,"#,##0.00"),IF(AND(ISNUMBER(H79),N(H79)&lt;&gt;0,S79=0),"Tax ignored (tax tracking is off)",IF(AND(ISNUMBER(StartDate),C79&lt;StartDate),"Date is before the accounting start date",IF(AND(IFERROR(INDEX(coa_Type,MATCH(F79,coa_Name,0)),"")&lt;&gt;"Revenue",IFERROR(INDEX(coa_Type,MATCH(F79,coa_Name,0)),"")&lt;&gt;"Other Income"),"Account is not a revenue account","")))))))</f>
        <v/>
      </c>
      <c r="V79" s="67">
        <f>IF(AND(R79=0,T79=""),1,0)</f>
        <v/>
      </c>
      <c r="W79" s="67">
        <f>IF(V79=1,acctAR,"")</f>
        <v/>
      </c>
      <c r="X79" s="67">
        <f>IF(V79=1,F79,"")</f>
        <v/>
      </c>
      <c r="Y79" s="68">
        <f>IF(V79=1,G79,0)</f>
        <v/>
      </c>
      <c r="Z79" s="68">
        <f>IF(V79=1,G79-S79,0)</f>
        <v/>
      </c>
      <c r="AA79" s="68">
        <f>IF(V79=1,S79,0)</f>
        <v/>
      </c>
    </row>
    <row r="80">
      <c r="B80" s="62" t="n"/>
      <c r="C80" s="63" t="n"/>
      <c r="D80" s="62" t="n"/>
      <c r="E80" s="62" t="n"/>
      <c r="F80" s="62" t="n"/>
      <c r="G80" s="64" t="n"/>
      <c r="H80" s="64" t="n"/>
      <c r="I80" s="63" t="n"/>
      <c r="J80" s="29">
        <f>IF(V80=1,IF(ISNUMBER(I80),I80,C80+IF(ISNUMBER(IFERROR(INDEX(cust_Terms,MATCH(D80,cust_Name,0)),"")),INDEX(cust_Terms,MATCH(D80,cust_Name,0)),TermsDays)),"")</f>
        <v/>
      </c>
      <c r="K80" s="65">
        <f>IF(V80=1,SUMIFS(tx_DrAmt,tx_Type,"Customer Payment",tx_Ref,B80&amp;"",tx_Date,"&lt;="&amp;AsOf),"")</f>
        <v/>
      </c>
      <c r="L80" s="65">
        <f>IF(V80=1,IF(C80&gt;AsOf,0,ROUND(G80-K80,2)),"")</f>
        <v/>
      </c>
      <c r="M80" s="66">
        <f>IF(V80&lt;&gt;1,"",IF(C80&gt;AsOf,"Future",IF(L80&lt;0,"Overpaid",IF(L80=0,"Paid",IF(AsOf&gt;J80,"Overdue",IF(K80&gt;0,"Partial","Unpaid"))))))</f>
        <v/>
      </c>
      <c r="N80" s="28">
        <f>IF(AND(V80=1,N(L80)&gt;0),AsOf-C80,"")</f>
        <v/>
      </c>
      <c r="O80" s="28">
        <f>IF(N80="","",MAX(0,AsOf-J80))</f>
        <v/>
      </c>
      <c r="P80" s="66">
        <f>IF(O80="","",IF(O80=0,"Current",IF(O80&lt;=30,"1-30",IF(O80&lt;=60,"31-60",IF(O80&lt;=90,"61-90","90+")))))</f>
        <v/>
      </c>
      <c r="Q80" s="66">
        <f>IF(T80&lt;&gt;"","⛔ "&amp;T80&amp;" — not posted",IF(U80&lt;&gt;"","⚠ "&amp;U80,IF(V80=1,"✓ OK","")))</f>
        <v/>
      </c>
      <c r="R80" s="67">
        <f>IF(AND(B80="",C80="",D80="",G80="",F80=""),1,0)</f>
        <v/>
      </c>
      <c r="S80" s="68">
        <f>IF(AND(TaxOn="Yes",ISNUMBER(H80)),H80,0)</f>
        <v/>
      </c>
      <c r="T80" s="67">
        <f>IF(R80=1,"",IF(B80="","Enter an invoice #",IF(C80="","Missing invoice date",IF(NOT(ISNUMBER(C80)),"Invalid date",IF(OR(C80&lt;DATE(2000,1,1),C80&gt;DATE(2099,12,31)),"Invalid date",IF(F80="","Select a revenue account",IF(ISNA(MATCH(F80,coa_Name,0)),"Unknown account: "&amp;F80,IF(NOT(ISNUMBER(G80)),"Enter an amount",IF(G80&lt;=0,"Amount must be positive",IF(S80&gt;G80,"Tax is larger than the amount",""))))))))))</f>
        <v/>
      </c>
      <c r="U80" s="67">
        <f>IF(OR(R80=1,T80&lt;&gt;""),"",IF(COUNTIF(ar_No,B80)&gt;1,"Duplicate invoice #",IF(D80="","Select a customer",IF(N(L80)&lt;0,"Overpaid by "&amp;TEXT(-L80,"#,##0.00"),IF(AND(ISNUMBER(H80),N(H80)&lt;&gt;0,S80=0),"Tax ignored (tax tracking is off)",IF(AND(ISNUMBER(StartDate),C80&lt;StartDate),"Date is before the accounting start date",IF(AND(IFERROR(INDEX(coa_Type,MATCH(F80,coa_Name,0)),"")&lt;&gt;"Revenue",IFERROR(INDEX(coa_Type,MATCH(F80,coa_Name,0)),"")&lt;&gt;"Other Income"),"Account is not a revenue account","")))))))</f>
        <v/>
      </c>
      <c r="V80" s="67">
        <f>IF(AND(R80=0,T80=""),1,0)</f>
        <v/>
      </c>
      <c r="W80" s="67">
        <f>IF(V80=1,acctAR,"")</f>
        <v/>
      </c>
      <c r="X80" s="67">
        <f>IF(V80=1,F80,"")</f>
        <v/>
      </c>
      <c r="Y80" s="68">
        <f>IF(V80=1,G80,0)</f>
        <v/>
      </c>
      <c r="Z80" s="68">
        <f>IF(V80=1,G80-S80,0)</f>
        <v/>
      </c>
      <c r="AA80" s="68">
        <f>IF(V80=1,S80,0)</f>
        <v/>
      </c>
    </row>
    <row r="81">
      <c r="B81" s="62" t="n"/>
      <c r="C81" s="63" t="n"/>
      <c r="D81" s="62" t="n"/>
      <c r="E81" s="62" t="n"/>
      <c r="F81" s="62" t="n"/>
      <c r="G81" s="64" t="n"/>
      <c r="H81" s="64" t="n"/>
      <c r="I81" s="63" t="n"/>
      <c r="J81" s="29">
        <f>IF(V81=1,IF(ISNUMBER(I81),I81,C81+IF(ISNUMBER(IFERROR(INDEX(cust_Terms,MATCH(D81,cust_Name,0)),"")),INDEX(cust_Terms,MATCH(D81,cust_Name,0)),TermsDays)),"")</f>
        <v/>
      </c>
      <c r="K81" s="65">
        <f>IF(V81=1,SUMIFS(tx_DrAmt,tx_Type,"Customer Payment",tx_Ref,B81&amp;"",tx_Date,"&lt;="&amp;AsOf),"")</f>
        <v/>
      </c>
      <c r="L81" s="65">
        <f>IF(V81=1,IF(C81&gt;AsOf,0,ROUND(G81-K81,2)),"")</f>
        <v/>
      </c>
      <c r="M81" s="66">
        <f>IF(V81&lt;&gt;1,"",IF(C81&gt;AsOf,"Future",IF(L81&lt;0,"Overpaid",IF(L81=0,"Paid",IF(AsOf&gt;J81,"Overdue",IF(K81&gt;0,"Partial","Unpaid"))))))</f>
        <v/>
      </c>
      <c r="N81" s="28">
        <f>IF(AND(V81=1,N(L81)&gt;0),AsOf-C81,"")</f>
        <v/>
      </c>
      <c r="O81" s="28">
        <f>IF(N81="","",MAX(0,AsOf-J81))</f>
        <v/>
      </c>
      <c r="P81" s="66">
        <f>IF(O81="","",IF(O81=0,"Current",IF(O81&lt;=30,"1-30",IF(O81&lt;=60,"31-60",IF(O81&lt;=90,"61-90","90+")))))</f>
        <v/>
      </c>
      <c r="Q81" s="66">
        <f>IF(T81&lt;&gt;"","⛔ "&amp;T81&amp;" — not posted",IF(U81&lt;&gt;"","⚠ "&amp;U81,IF(V81=1,"✓ OK","")))</f>
        <v/>
      </c>
      <c r="R81" s="67">
        <f>IF(AND(B81="",C81="",D81="",G81="",F81=""),1,0)</f>
        <v/>
      </c>
      <c r="S81" s="68">
        <f>IF(AND(TaxOn="Yes",ISNUMBER(H81)),H81,0)</f>
        <v/>
      </c>
      <c r="T81" s="67">
        <f>IF(R81=1,"",IF(B81="","Enter an invoice #",IF(C81="","Missing invoice date",IF(NOT(ISNUMBER(C81)),"Invalid date",IF(OR(C81&lt;DATE(2000,1,1),C81&gt;DATE(2099,12,31)),"Invalid date",IF(F81="","Select a revenue account",IF(ISNA(MATCH(F81,coa_Name,0)),"Unknown account: "&amp;F81,IF(NOT(ISNUMBER(G81)),"Enter an amount",IF(G81&lt;=0,"Amount must be positive",IF(S81&gt;G81,"Tax is larger than the amount",""))))))))))</f>
        <v/>
      </c>
      <c r="U81" s="67">
        <f>IF(OR(R81=1,T81&lt;&gt;""),"",IF(COUNTIF(ar_No,B81)&gt;1,"Duplicate invoice #",IF(D81="","Select a customer",IF(N(L81)&lt;0,"Overpaid by "&amp;TEXT(-L81,"#,##0.00"),IF(AND(ISNUMBER(H81),N(H81)&lt;&gt;0,S81=0),"Tax ignored (tax tracking is off)",IF(AND(ISNUMBER(StartDate),C81&lt;StartDate),"Date is before the accounting start date",IF(AND(IFERROR(INDEX(coa_Type,MATCH(F81,coa_Name,0)),"")&lt;&gt;"Revenue",IFERROR(INDEX(coa_Type,MATCH(F81,coa_Name,0)),"")&lt;&gt;"Other Income"),"Account is not a revenue account","")))))))</f>
        <v/>
      </c>
      <c r="V81" s="67">
        <f>IF(AND(R81=0,T81=""),1,0)</f>
        <v/>
      </c>
      <c r="W81" s="67">
        <f>IF(V81=1,acctAR,"")</f>
        <v/>
      </c>
      <c r="X81" s="67">
        <f>IF(V81=1,F81,"")</f>
        <v/>
      </c>
      <c r="Y81" s="68">
        <f>IF(V81=1,G81,0)</f>
        <v/>
      </c>
      <c r="Z81" s="68">
        <f>IF(V81=1,G81-S81,0)</f>
        <v/>
      </c>
      <c r="AA81" s="68">
        <f>IF(V81=1,S81,0)</f>
        <v/>
      </c>
    </row>
    <row r="82">
      <c r="B82" s="62" t="n"/>
      <c r="C82" s="63" t="n"/>
      <c r="D82" s="62" t="n"/>
      <c r="E82" s="62" t="n"/>
      <c r="F82" s="62" t="n"/>
      <c r="G82" s="64" t="n"/>
      <c r="H82" s="64" t="n"/>
      <c r="I82" s="63" t="n"/>
      <c r="J82" s="29">
        <f>IF(V82=1,IF(ISNUMBER(I82),I82,C82+IF(ISNUMBER(IFERROR(INDEX(cust_Terms,MATCH(D82,cust_Name,0)),"")),INDEX(cust_Terms,MATCH(D82,cust_Name,0)),TermsDays)),"")</f>
        <v/>
      </c>
      <c r="K82" s="65">
        <f>IF(V82=1,SUMIFS(tx_DrAmt,tx_Type,"Customer Payment",tx_Ref,B82&amp;"",tx_Date,"&lt;="&amp;AsOf),"")</f>
        <v/>
      </c>
      <c r="L82" s="65">
        <f>IF(V82=1,IF(C82&gt;AsOf,0,ROUND(G82-K82,2)),"")</f>
        <v/>
      </c>
      <c r="M82" s="66">
        <f>IF(V82&lt;&gt;1,"",IF(C82&gt;AsOf,"Future",IF(L82&lt;0,"Overpaid",IF(L82=0,"Paid",IF(AsOf&gt;J82,"Overdue",IF(K82&gt;0,"Partial","Unpaid"))))))</f>
        <v/>
      </c>
      <c r="N82" s="28">
        <f>IF(AND(V82=1,N(L82)&gt;0),AsOf-C82,"")</f>
        <v/>
      </c>
      <c r="O82" s="28">
        <f>IF(N82="","",MAX(0,AsOf-J82))</f>
        <v/>
      </c>
      <c r="P82" s="66">
        <f>IF(O82="","",IF(O82=0,"Current",IF(O82&lt;=30,"1-30",IF(O82&lt;=60,"31-60",IF(O82&lt;=90,"61-90","90+")))))</f>
        <v/>
      </c>
      <c r="Q82" s="66">
        <f>IF(T82&lt;&gt;"","⛔ "&amp;T82&amp;" — not posted",IF(U82&lt;&gt;"","⚠ "&amp;U82,IF(V82=1,"✓ OK","")))</f>
        <v/>
      </c>
      <c r="R82" s="67">
        <f>IF(AND(B82="",C82="",D82="",G82="",F82=""),1,0)</f>
        <v/>
      </c>
      <c r="S82" s="68">
        <f>IF(AND(TaxOn="Yes",ISNUMBER(H82)),H82,0)</f>
        <v/>
      </c>
      <c r="T82" s="67">
        <f>IF(R82=1,"",IF(B82="","Enter an invoice #",IF(C82="","Missing invoice date",IF(NOT(ISNUMBER(C82)),"Invalid date",IF(OR(C82&lt;DATE(2000,1,1),C82&gt;DATE(2099,12,31)),"Invalid date",IF(F82="","Select a revenue account",IF(ISNA(MATCH(F82,coa_Name,0)),"Unknown account: "&amp;F82,IF(NOT(ISNUMBER(G82)),"Enter an amount",IF(G82&lt;=0,"Amount must be positive",IF(S82&gt;G82,"Tax is larger than the amount",""))))))))))</f>
        <v/>
      </c>
      <c r="U82" s="67">
        <f>IF(OR(R82=1,T82&lt;&gt;""),"",IF(COUNTIF(ar_No,B82)&gt;1,"Duplicate invoice #",IF(D82="","Select a customer",IF(N(L82)&lt;0,"Overpaid by "&amp;TEXT(-L82,"#,##0.00"),IF(AND(ISNUMBER(H82),N(H82)&lt;&gt;0,S82=0),"Tax ignored (tax tracking is off)",IF(AND(ISNUMBER(StartDate),C82&lt;StartDate),"Date is before the accounting start date",IF(AND(IFERROR(INDEX(coa_Type,MATCH(F82,coa_Name,0)),"")&lt;&gt;"Revenue",IFERROR(INDEX(coa_Type,MATCH(F82,coa_Name,0)),"")&lt;&gt;"Other Income"),"Account is not a revenue account","")))))))</f>
        <v/>
      </c>
      <c r="V82" s="67">
        <f>IF(AND(R82=0,T82=""),1,0)</f>
        <v/>
      </c>
      <c r="W82" s="67">
        <f>IF(V82=1,acctAR,"")</f>
        <v/>
      </c>
      <c r="X82" s="67">
        <f>IF(V82=1,F82,"")</f>
        <v/>
      </c>
      <c r="Y82" s="68">
        <f>IF(V82=1,G82,0)</f>
        <v/>
      </c>
      <c r="Z82" s="68">
        <f>IF(V82=1,G82-S82,0)</f>
        <v/>
      </c>
      <c r="AA82" s="68">
        <f>IF(V82=1,S82,0)</f>
        <v/>
      </c>
    </row>
    <row r="83">
      <c r="B83" s="62" t="n"/>
      <c r="C83" s="63" t="n"/>
      <c r="D83" s="62" t="n"/>
      <c r="E83" s="62" t="n"/>
      <c r="F83" s="62" t="n"/>
      <c r="G83" s="64" t="n"/>
      <c r="H83" s="64" t="n"/>
      <c r="I83" s="63" t="n"/>
      <c r="J83" s="29">
        <f>IF(V83=1,IF(ISNUMBER(I83),I83,C83+IF(ISNUMBER(IFERROR(INDEX(cust_Terms,MATCH(D83,cust_Name,0)),"")),INDEX(cust_Terms,MATCH(D83,cust_Name,0)),TermsDays)),"")</f>
        <v/>
      </c>
      <c r="K83" s="65">
        <f>IF(V83=1,SUMIFS(tx_DrAmt,tx_Type,"Customer Payment",tx_Ref,B83&amp;"",tx_Date,"&lt;="&amp;AsOf),"")</f>
        <v/>
      </c>
      <c r="L83" s="65">
        <f>IF(V83=1,IF(C83&gt;AsOf,0,ROUND(G83-K83,2)),"")</f>
        <v/>
      </c>
      <c r="M83" s="66">
        <f>IF(V83&lt;&gt;1,"",IF(C83&gt;AsOf,"Future",IF(L83&lt;0,"Overpaid",IF(L83=0,"Paid",IF(AsOf&gt;J83,"Overdue",IF(K83&gt;0,"Partial","Unpaid"))))))</f>
        <v/>
      </c>
      <c r="N83" s="28">
        <f>IF(AND(V83=1,N(L83)&gt;0),AsOf-C83,"")</f>
        <v/>
      </c>
      <c r="O83" s="28">
        <f>IF(N83="","",MAX(0,AsOf-J83))</f>
        <v/>
      </c>
      <c r="P83" s="66">
        <f>IF(O83="","",IF(O83=0,"Current",IF(O83&lt;=30,"1-30",IF(O83&lt;=60,"31-60",IF(O83&lt;=90,"61-90","90+")))))</f>
        <v/>
      </c>
      <c r="Q83" s="66">
        <f>IF(T83&lt;&gt;"","⛔ "&amp;T83&amp;" — not posted",IF(U83&lt;&gt;"","⚠ "&amp;U83,IF(V83=1,"✓ OK","")))</f>
        <v/>
      </c>
      <c r="R83" s="67">
        <f>IF(AND(B83="",C83="",D83="",G83="",F83=""),1,0)</f>
        <v/>
      </c>
      <c r="S83" s="68">
        <f>IF(AND(TaxOn="Yes",ISNUMBER(H83)),H83,0)</f>
        <v/>
      </c>
      <c r="T83" s="67">
        <f>IF(R83=1,"",IF(B83="","Enter an invoice #",IF(C83="","Missing invoice date",IF(NOT(ISNUMBER(C83)),"Invalid date",IF(OR(C83&lt;DATE(2000,1,1),C83&gt;DATE(2099,12,31)),"Invalid date",IF(F83="","Select a revenue account",IF(ISNA(MATCH(F83,coa_Name,0)),"Unknown account: "&amp;F83,IF(NOT(ISNUMBER(G83)),"Enter an amount",IF(G83&lt;=0,"Amount must be positive",IF(S83&gt;G83,"Tax is larger than the amount",""))))))))))</f>
        <v/>
      </c>
      <c r="U83" s="67">
        <f>IF(OR(R83=1,T83&lt;&gt;""),"",IF(COUNTIF(ar_No,B83)&gt;1,"Duplicate invoice #",IF(D83="","Select a customer",IF(N(L83)&lt;0,"Overpaid by "&amp;TEXT(-L83,"#,##0.00"),IF(AND(ISNUMBER(H83),N(H83)&lt;&gt;0,S83=0),"Tax ignored (tax tracking is off)",IF(AND(ISNUMBER(StartDate),C83&lt;StartDate),"Date is before the accounting start date",IF(AND(IFERROR(INDEX(coa_Type,MATCH(F83,coa_Name,0)),"")&lt;&gt;"Revenue",IFERROR(INDEX(coa_Type,MATCH(F83,coa_Name,0)),"")&lt;&gt;"Other Income"),"Account is not a revenue account","")))))))</f>
        <v/>
      </c>
      <c r="V83" s="67">
        <f>IF(AND(R83=0,T83=""),1,0)</f>
        <v/>
      </c>
      <c r="W83" s="67">
        <f>IF(V83=1,acctAR,"")</f>
        <v/>
      </c>
      <c r="X83" s="67">
        <f>IF(V83=1,F83,"")</f>
        <v/>
      </c>
      <c r="Y83" s="68">
        <f>IF(V83=1,G83,0)</f>
        <v/>
      </c>
      <c r="Z83" s="68">
        <f>IF(V83=1,G83-S83,0)</f>
        <v/>
      </c>
      <c r="AA83" s="68">
        <f>IF(V83=1,S83,0)</f>
        <v/>
      </c>
    </row>
    <row r="84">
      <c r="B84" s="62" t="n"/>
      <c r="C84" s="63" t="n"/>
      <c r="D84" s="62" t="n"/>
      <c r="E84" s="62" t="n"/>
      <c r="F84" s="62" t="n"/>
      <c r="G84" s="64" t="n"/>
      <c r="H84" s="64" t="n"/>
      <c r="I84" s="63" t="n"/>
      <c r="J84" s="29">
        <f>IF(V84=1,IF(ISNUMBER(I84),I84,C84+IF(ISNUMBER(IFERROR(INDEX(cust_Terms,MATCH(D84,cust_Name,0)),"")),INDEX(cust_Terms,MATCH(D84,cust_Name,0)),TermsDays)),"")</f>
        <v/>
      </c>
      <c r="K84" s="65">
        <f>IF(V84=1,SUMIFS(tx_DrAmt,tx_Type,"Customer Payment",tx_Ref,B84&amp;"",tx_Date,"&lt;="&amp;AsOf),"")</f>
        <v/>
      </c>
      <c r="L84" s="65">
        <f>IF(V84=1,IF(C84&gt;AsOf,0,ROUND(G84-K84,2)),"")</f>
        <v/>
      </c>
      <c r="M84" s="66">
        <f>IF(V84&lt;&gt;1,"",IF(C84&gt;AsOf,"Future",IF(L84&lt;0,"Overpaid",IF(L84=0,"Paid",IF(AsOf&gt;J84,"Overdue",IF(K84&gt;0,"Partial","Unpaid"))))))</f>
        <v/>
      </c>
      <c r="N84" s="28">
        <f>IF(AND(V84=1,N(L84)&gt;0),AsOf-C84,"")</f>
        <v/>
      </c>
      <c r="O84" s="28">
        <f>IF(N84="","",MAX(0,AsOf-J84))</f>
        <v/>
      </c>
      <c r="P84" s="66">
        <f>IF(O84="","",IF(O84=0,"Current",IF(O84&lt;=30,"1-30",IF(O84&lt;=60,"31-60",IF(O84&lt;=90,"61-90","90+")))))</f>
        <v/>
      </c>
      <c r="Q84" s="66">
        <f>IF(T84&lt;&gt;"","⛔ "&amp;T84&amp;" — not posted",IF(U84&lt;&gt;"","⚠ "&amp;U84,IF(V84=1,"✓ OK","")))</f>
        <v/>
      </c>
      <c r="R84" s="67">
        <f>IF(AND(B84="",C84="",D84="",G84="",F84=""),1,0)</f>
        <v/>
      </c>
      <c r="S84" s="68">
        <f>IF(AND(TaxOn="Yes",ISNUMBER(H84)),H84,0)</f>
        <v/>
      </c>
      <c r="T84" s="67">
        <f>IF(R84=1,"",IF(B84="","Enter an invoice #",IF(C84="","Missing invoice date",IF(NOT(ISNUMBER(C84)),"Invalid date",IF(OR(C84&lt;DATE(2000,1,1),C84&gt;DATE(2099,12,31)),"Invalid date",IF(F84="","Select a revenue account",IF(ISNA(MATCH(F84,coa_Name,0)),"Unknown account: "&amp;F84,IF(NOT(ISNUMBER(G84)),"Enter an amount",IF(G84&lt;=0,"Amount must be positive",IF(S84&gt;G84,"Tax is larger than the amount",""))))))))))</f>
        <v/>
      </c>
      <c r="U84" s="67">
        <f>IF(OR(R84=1,T84&lt;&gt;""),"",IF(COUNTIF(ar_No,B84)&gt;1,"Duplicate invoice #",IF(D84="","Select a customer",IF(N(L84)&lt;0,"Overpaid by "&amp;TEXT(-L84,"#,##0.00"),IF(AND(ISNUMBER(H84),N(H84)&lt;&gt;0,S84=0),"Tax ignored (tax tracking is off)",IF(AND(ISNUMBER(StartDate),C84&lt;StartDate),"Date is before the accounting start date",IF(AND(IFERROR(INDEX(coa_Type,MATCH(F84,coa_Name,0)),"")&lt;&gt;"Revenue",IFERROR(INDEX(coa_Type,MATCH(F84,coa_Name,0)),"")&lt;&gt;"Other Income"),"Account is not a revenue account","")))))))</f>
        <v/>
      </c>
      <c r="V84" s="67">
        <f>IF(AND(R84=0,T84=""),1,0)</f>
        <v/>
      </c>
      <c r="W84" s="67">
        <f>IF(V84=1,acctAR,"")</f>
        <v/>
      </c>
      <c r="X84" s="67">
        <f>IF(V84=1,F84,"")</f>
        <v/>
      </c>
      <c r="Y84" s="68">
        <f>IF(V84=1,G84,0)</f>
        <v/>
      </c>
      <c r="Z84" s="68">
        <f>IF(V84=1,G84-S84,0)</f>
        <v/>
      </c>
      <c r="AA84" s="68">
        <f>IF(V84=1,S84,0)</f>
        <v/>
      </c>
    </row>
    <row r="85">
      <c r="B85" s="62" t="n"/>
      <c r="C85" s="63" t="n"/>
      <c r="D85" s="62" t="n"/>
      <c r="E85" s="62" t="n"/>
      <c r="F85" s="62" t="n"/>
      <c r="G85" s="64" t="n"/>
      <c r="H85" s="64" t="n"/>
      <c r="I85" s="63" t="n"/>
      <c r="J85" s="29">
        <f>IF(V85=1,IF(ISNUMBER(I85),I85,C85+IF(ISNUMBER(IFERROR(INDEX(cust_Terms,MATCH(D85,cust_Name,0)),"")),INDEX(cust_Terms,MATCH(D85,cust_Name,0)),TermsDays)),"")</f>
        <v/>
      </c>
      <c r="K85" s="65">
        <f>IF(V85=1,SUMIFS(tx_DrAmt,tx_Type,"Customer Payment",tx_Ref,B85&amp;"",tx_Date,"&lt;="&amp;AsOf),"")</f>
        <v/>
      </c>
      <c r="L85" s="65">
        <f>IF(V85=1,IF(C85&gt;AsOf,0,ROUND(G85-K85,2)),"")</f>
        <v/>
      </c>
      <c r="M85" s="66">
        <f>IF(V85&lt;&gt;1,"",IF(C85&gt;AsOf,"Future",IF(L85&lt;0,"Overpaid",IF(L85=0,"Paid",IF(AsOf&gt;J85,"Overdue",IF(K85&gt;0,"Partial","Unpaid"))))))</f>
        <v/>
      </c>
      <c r="N85" s="28">
        <f>IF(AND(V85=1,N(L85)&gt;0),AsOf-C85,"")</f>
        <v/>
      </c>
      <c r="O85" s="28">
        <f>IF(N85="","",MAX(0,AsOf-J85))</f>
        <v/>
      </c>
      <c r="P85" s="66">
        <f>IF(O85="","",IF(O85=0,"Current",IF(O85&lt;=30,"1-30",IF(O85&lt;=60,"31-60",IF(O85&lt;=90,"61-90","90+")))))</f>
        <v/>
      </c>
      <c r="Q85" s="66">
        <f>IF(T85&lt;&gt;"","⛔ "&amp;T85&amp;" — not posted",IF(U85&lt;&gt;"","⚠ "&amp;U85,IF(V85=1,"✓ OK","")))</f>
        <v/>
      </c>
      <c r="R85" s="67">
        <f>IF(AND(B85="",C85="",D85="",G85="",F85=""),1,0)</f>
        <v/>
      </c>
      <c r="S85" s="68">
        <f>IF(AND(TaxOn="Yes",ISNUMBER(H85)),H85,0)</f>
        <v/>
      </c>
      <c r="T85" s="67">
        <f>IF(R85=1,"",IF(B85="","Enter an invoice #",IF(C85="","Missing invoice date",IF(NOT(ISNUMBER(C85)),"Invalid date",IF(OR(C85&lt;DATE(2000,1,1),C85&gt;DATE(2099,12,31)),"Invalid date",IF(F85="","Select a revenue account",IF(ISNA(MATCH(F85,coa_Name,0)),"Unknown account: "&amp;F85,IF(NOT(ISNUMBER(G85)),"Enter an amount",IF(G85&lt;=0,"Amount must be positive",IF(S85&gt;G85,"Tax is larger than the amount",""))))))))))</f>
        <v/>
      </c>
      <c r="U85" s="67">
        <f>IF(OR(R85=1,T85&lt;&gt;""),"",IF(COUNTIF(ar_No,B85)&gt;1,"Duplicate invoice #",IF(D85="","Select a customer",IF(N(L85)&lt;0,"Overpaid by "&amp;TEXT(-L85,"#,##0.00"),IF(AND(ISNUMBER(H85),N(H85)&lt;&gt;0,S85=0),"Tax ignored (tax tracking is off)",IF(AND(ISNUMBER(StartDate),C85&lt;StartDate),"Date is before the accounting start date",IF(AND(IFERROR(INDEX(coa_Type,MATCH(F85,coa_Name,0)),"")&lt;&gt;"Revenue",IFERROR(INDEX(coa_Type,MATCH(F85,coa_Name,0)),"")&lt;&gt;"Other Income"),"Account is not a revenue account","")))))))</f>
        <v/>
      </c>
      <c r="V85" s="67">
        <f>IF(AND(R85=0,T85=""),1,0)</f>
        <v/>
      </c>
      <c r="W85" s="67">
        <f>IF(V85=1,acctAR,"")</f>
        <v/>
      </c>
      <c r="X85" s="67">
        <f>IF(V85=1,F85,"")</f>
        <v/>
      </c>
      <c r="Y85" s="68">
        <f>IF(V85=1,G85,0)</f>
        <v/>
      </c>
      <c r="Z85" s="68">
        <f>IF(V85=1,G85-S85,0)</f>
        <v/>
      </c>
      <c r="AA85" s="68">
        <f>IF(V85=1,S85,0)</f>
        <v/>
      </c>
    </row>
    <row r="86">
      <c r="B86" s="62" t="n"/>
      <c r="C86" s="63" t="n"/>
      <c r="D86" s="62" t="n"/>
      <c r="E86" s="62" t="n"/>
      <c r="F86" s="62" t="n"/>
      <c r="G86" s="64" t="n"/>
      <c r="H86" s="64" t="n"/>
      <c r="I86" s="63" t="n"/>
      <c r="J86" s="29">
        <f>IF(V86=1,IF(ISNUMBER(I86),I86,C86+IF(ISNUMBER(IFERROR(INDEX(cust_Terms,MATCH(D86,cust_Name,0)),"")),INDEX(cust_Terms,MATCH(D86,cust_Name,0)),TermsDays)),"")</f>
        <v/>
      </c>
      <c r="K86" s="65">
        <f>IF(V86=1,SUMIFS(tx_DrAmt,tx_Type,"Customer Payment",tx_Ref,B86&amp;"",tx_Date,"&lt;="&amp;AsOf),"")</f>
        <v/>
      </c>
      <c r="L86" s="65">
        <f>IF(V86=1,IF(C86&gt;AsOf,0,ROUND(G86-K86,2)),"")</f>
        <v/>
      </c>
      <c r="M86" s="66">
        <f>IF(V86&lt;&gt;1,"",IF(C86&gt;AsOf,"Future",IF(L86&lt;0,"Overpaid",IF(L86=0,"Paid",IF(AsOf&gt;J86,"Overdue",IF(K86&gt;0,"Partial","Unpaid"))))))</f>
        <v/>
      </c>
      <c r="N86" s="28">
        <f>IF(AND(V86=1,N(L86)&gt;0),AsOf-C86,"")</f>
        <v/>
      </c>
      <c r="O86" s="28">
        <f>IF(N86="","",MAX(0,AsOf-J86))</f>
        <v/>
      </c>
      <c r="P86" s="66">
        <f>IF(O86="","",IF(O86=0,"Current",IF(O86&lt;=30,"1-30",IF(O86&lt;=60,"31-60",IF(O86&lt;=90,"61-90","90+")))))</f>
        <v/>
      </c>
      <c r="Q86" s="66">
        <f>IF(T86&lt;&gt;"","⛔ "&amp;T86&amp;" — not posted",IF(U86&lt;&gt;"","⚠ "&amp;U86,IF(V86=1,"✓ OK","")))</f>
        <v/>
      </c>
      <c r="R86" s="67">
        <f>IF(AND(B86="",C86="",D86="",G86="",F86=""),1,0)</f>
        <v/>
      </c>
      <c r="S86" s="68">
        <f>IF(AND(TaxOn="Yes",ISNUMBER(H86)),H86,0)</f>
        <v/>
      </c>
      <c r="T86" s="67">
        <f>IF(R86=1,"",IF(B86="","Enter an invoice #",IF(C86="","Missing invoice date",IF(NOT(ISNUMBER(C86)),"Invalid date",IF(OR(C86&lt;DATE(2000,1,1),C86&gt;DATE(2099,12,31)),"Invalid date",IF(F86="","Select a revenue account",IF(ISNA(MATCH(F86,coa_Name,0)),"Unknown account: "&amp;F86,IF(NOT(ISNUMBER(G86)),"Enter an amount",IF(G86&lt;=0,"Amount must be positive",IF(S86&gt;G86,"Tax is larger than the amount",""))))))))))</f>
        <v/>
      </c>
      <c r="U86" s="67">
        <f>IF(OR(R86=1,T86&lt;&gt;""),"",IF(COUNTIF(ar_No,B86)&gt;1,"Duplicate invoice #",IF(D86="","Select a customer",IF(N(L86)&lt;0,"Overpaid by "&amp;TEXT(-L86,"#,##0.00"),IF(AND(ISNUMBER(H86),N(H86)&lt;&gt;0,S86=0),"Tax ignored (tax tracking is off)",IF(AND(ISNUMBER(StartDate),C86&lt;StartDate),"Date is before the accounting start date",IF(AND(IFERROR(INDEX(coa_Type,MATCH(F86,coa_Name,0)),"")&lt;&gt;"Revenue",IFERROR(INDEX(coa_Type,MATCH(F86,coa_Name,0)),"")&lt;&gt;"Other Income"),"Account is not a revenue account","")))))))</f>
        <v/>
      </c>
      <c r="V86" s="67">
        <f>IF(AND(R86=0,T86=""),1,0)</f>
        <v/>
      </c>
      <c r="W86" s="67">
        <f>IF(V86=1,acctAR,"")</f>
        <v/>
      </c>
      <c r="X86" s="67">
        <f>IF(V86=1,F86,"")</f>
        <v/>
      </c>
      <c r="Y86" s="68">
        <f>IF(V86=1,G86,0)</f>
        <v/>
      </c>
      <c r="Z86" s="68">
        <f>IF(V86=1,G86-S86,0)</f>
        <v/>
      </c>
      <c r="AA86" s="68">
        <f>IF(V86=1,S86,0)</f>
        <v/>
      </c>
    </row>
    <row r="87">
      <c r="B87" s="62" t="n"/>
      <c r="C87" s="63" t="n"/>
      <c r="D87" s="62" t="n"/>
      <c r="E87" s="62" t="n"/>
      <c r="F87" s="62" t="n"/>
      <c r="G87" s="64" t="n"/>
      <c r="H87" s="64" t="n"/>
      <c r="I87" s="63" t="n"/>
      <c r="J87" s="29">
        <f>IF(V87=1,IF(ISNUMBER(I87),I87,C87+IF(ISNUMBER(IFERROR(INDEX(cust_Terms,MATCH(D87,cust_Name,0)),"")),INDEX(cust_Terms,MATCH(D87,cust_Name,0)),TermsDays)),"")</f>
        <v/>
      </c>
      <c r="K87" s="65">
        <f>IF(V87=1,SUMIFS(tx_DrAmt,tx_Type,"Customer Payment",tx_Ref,B87&amp;"",tx_Date,"&lt;="&amp;AsOf),"")</f>
        <v/>
      </c>
      <c r="L87" s="65">
        <f>IF(V87=1,IF(C87&gt;AsOf,0,ROUND(G87-K87,2)),"")</f>
        <v/>
      </c>
      <c r="M87" s="66">
        <f>IF(V87&lt;&gt;1,"",IF(C87&gt;AsOf,"Future",IF(L87&lt;0,"Overpaid",IF(L87=0,"Paid",IF(AsOf&gt;J87,"Overdue",IF(K87&gt;0,"Partial","Unpaid"))))))</f>
        <v/>
      </c>
      <c r="N87" s="28">
        <f>IF(AND(V87=1,N(L87)&gt;0),AsOf-C87,"")</f>
        <v/>
      </c>
      <c r="O87" s="28">
        <f>IF(N87="","",MAX(0,AsOf-J87))</f>
        <v/>
      </c>
      <c r="P87" s="66">
        <f>IF(O87="","",IF(O87=0,"Current",IF(O87&lt;=30,"1-30",IF(O87&lt;=60,"31-60",IF(O87&lt;=90,"61-90","90+")))))</f>
        <v/>
      </c>
      <c r="Q87" s="66">
        <f>IF(T87&lt;&gt;"","⛔ "&amp;T87&amp;" — not posted",IF(U87&lt;&gt;"","⚠ "&amp;U87,IF(V87=1,"✓ OK","")))</f>
        <v/>
      </c>
      <c r="R87" s="67">
        <f>IF(AND(B87="",C87="",D87="",G87="",F87=""),1,0)</f>
        <v/>
      </c>
      <c r="S87" s="68">
        <f>IF(AND(TaxOn="Yes",ISNUMBER(H87)),H87,0)</f>
        <v/>
      </c>
      <c r="T87" s="67">
        <f>IF(R87=1,"",IF(B87="","Enter an invoice #",IF(C87="","Missing invoice date",IF(NOT(ISNUMBER(C87)),"Invalid date",IF(OR(C87&lt;DATE(2000,1,1),C87&gt;DATE(2099,12,31)),"Invalid date",IF(F87="","Select a revenue account",IF(ISNA(MATCH(F87,coa_Name,0)),"Unknown account: "&amp;F87,IF(NOT(ISNUMBER(G87)),"Enter an amount",IF(G87&lt;=0,"Amount must be positive",IF(S87&gt;G87,"Tax is larger than the amount",""))))))))))</f>
        <v/>
      </c>
      <c r="U87" s="67">
        <f>IF(OR(R87=1,T87&lt;&gt;""),"",IF(COUNTIF(ar_No,B87)&gt;1,"Duplicate invoice #",IF(D87="","Select a customer",IF(N(L87)&lt;0,"Overpaid by "&amp;TEXT(-L87,"#,##0.00"),IF(AND(ISNUMBER(H87),N(H87)&lt;&gt;0,S87=0),"Tax ignored (tax tracking is off)",IF(AND(ISNUMBER(StartDate),C87&lt;StartDate),"Date is before the accounting start date",IF(AND(IFERROR(INDEX(coa_Type,MATCH(F87,coa_Name,0)),"")&lt;&gt;"Revenue",IFERROR(INDEX(coa_Type,MATCH(F87,coa_Name,0)),"")&lt;&gt;"Other Income"),"Account is not a revenue account","")))))))</f>
        <v/>
      </c>
      <c r="V87" s="67">
        <f>IF(AND(R87=0,T87=""),1,0)</f>
        <v/>
      </c>
      <c r="W87" s="67">
        <f>IF(V87=1,acctAR,"")</f>
        <v/>
      </c>
      <c r="X87" s="67">
        <f>IF(V87=1,F87,"")</f>
        <v/>
      </c>
      <c r="Y87" s="68">
        <f>IF(V87=1,G87,0)</f>
        <v/>
      </c>
      <c r="Z87" s="68">
        <f>IF(V87=1,G87-S87,0)</f>
        <v/>
      </c>
      <c r="AA87" s="68">
        <f>IF(V87=1,S87,0)</f>
        <v/>
      </c>
    </row>
    <row r="88">
      <c r="B88" s="62" t="n"/>
      <c r="C88" s="63" t="n"/>
      <c r="D88" s="62" t="n"/>
      <c r="E88" s="62" t="n"/>
      <c r="F88" s="62" t="n"/>
      <c r="G88" s="64" t="n"/>
      <c r="H88" s="64" t="n"/>
      <c r="I88" s="63" t="n"/>
      <c r="J88" s="29">
        <f>IF(V88=1,IF(ISNUMBER(I88),I88,C88+IF(ISNUMBER(IFERROR(INDEX(cust_Terms,MATCH(D88,cust_Name,0)),"")),INDEX(cust_Terms,MATCH(D88,cust_Name,0)),TermsDays)),"")</f>
        <v/>
      </c>
      <c r="K88" s="65">
        <f>IF(V88=1,SUMIFS(tx_DrAmt,tx_Type,"Customer Payment",tx_Ref,B88&amp;"",tx_Date,"&lt;="&amp;AsOf),"")</f>
        <v/>
      </c>
      <c r="L88" s="65">
        <f>IF(V88=1,IF(C88&gt;AsOf,0,ROUND(G88-K88,2)),"")</f>
        <v/>
      </c>
      <c r="M88" s="66">
        <f>IF(V88&lt;&gt;1,"",IF(C88&gt;AsOf,"Future",IF(L88&lt;0,"Overpaid",IF(L88=0,"Paid",IF(AsOf&gt;J88,"Overdue",IF(K88&gt;0,"Partial","Unpaid"))))))</f>
        <v/>
      </c>
      <c r="N88" s="28">
        <f>IF(AND(V88=1,N(L88)&gt;0),AsOf-C88,"")</f>
        <v/>
      </c>
      <c r="O88" s="28">
        <f>IF(N88="","",MAX(0,AsOf-J88))</f>
        <v/>
      </c>
      <c r="P88" s="66">
        <f>IF(O88="","",IF(O88=0,"Current",IF(O88&lt;=30,"1-30",IF(O88&lt;=60,"31-60",IF(O88&lt;=90,"61-90","90+")))))</f>
        <v/>
      </c>
      <c r="Q88" s="66">
        <f>IF(T88&lt;&gt;"","⛔ "&amp;T88&amp;" — not posted",IF(U88&lt;&gt;"","⚠ "&amp;U88,IF(V88=1,"✓ OK","")))</f>
        <v/>
      </c>
      <c r="R88" s="67">
        <f>IF(AND(B88="",C88="",D88="",G88="",F88=""),1,0)</f>
        <v/>
      </c>
      <c r="S88" s="68">
        <f>IF(AND(TaxOn="Yes",ISNUMBER(H88)),H88,0)</f>
        <v/>
      </c>
      <c r="T88" s="67">
        <f>IF(R88=1,"",IF(B88="","Enter an invoice #",IF(C88="","Missing invoice date",IF(NOT(ISNUMBER(C88)),"Invalid date",IF(OR(C88&lt;DATE(2000,1,1),C88&gt;DATE(2099,12,31)),"Invalid date",IF(F88="","Select a revenue account",IF(ISNA(MATCH(F88,coa_Name,0)),"Unknown account: "&amp;F88,IF(NOT(ISNUMBER(G88)),"Enter an amount",IF(G88&lt;=0,"Amount must be positive",IF(S88&gt;G88,"Tax is larger than the amount",""))))))))))</f>
        <v/>
      </c>
      <c r="U88" s="67">
        <f>IF(OR(R88=1,T88&lt;&gt;""),"",IF(COUNTIF(ar_No,B88)&gt;1,"Duplicate invoice #",IF(D88="","Select a customer",IF(N(L88)&lt;0,"Overpaid by "&amp;TEXT(-L88,"#,##0.00"),IF(AND(ISNUMBER(H88),N(H88)&lt;&gt;0,S88=0),"Tax ignored (tax tracking is off)",IF(AND(ISNUMBER(StartDate),C88&lt;StartDate),"Date is before the accounting start date",IF(AND(IFERROR(INDEX(coa_Type,MATCH(F88,coa_Name,0)),"")&lt;&gt;"Revenue",IFERROR(INDEX(coa_Type,MATCH(F88,coa_Name,0)),"")&lt;&gt;"Other Income"),"Account is not a revenue account","")))))))</f>
        <v/>
      </c>
      <c r="V88" s="67">
        <f>IF(AND(R88=0,T88=""),1,0)</f>
        <v/>
      </c>
      <c r="W88" s="67">
        <f>IF(V88=1,acctAR,"")</f>
        <v/>
      </c>
      <c r="X88" s="67">
        <f>IF(V88=1,F88,"")</f>
        <v/>
      </c>
      <c r="Y88" s="68">
        <f>IF(V88=1,G88,0)</f>
        <v/>
      </c>
      <c r="Z88" s="68">
        <f>IF(V88=1,G88-S88,0)</f>
        <v/>
      </c>
      <c r="AA88" s="68">
        <f>IF(V88=1,S88,0)</f>
        <v/>
      </c>
    </row>
    <row r="89">
      <c r="B89" s="62" t="n"/>
      <c r="C89" s="63" t="n"/>
      <c r="D89" s="62" t="n"/>
      <c r="E89" s="62" t="n"/>
      <c r="F89" s="62" t="n"/>
      <c r="G89" s="64" t="n"/>
      <c r="H89" s="64" t="n"/>
      <c r="I89" s="63" t="n"/>
      <c r="J89" s="29">
        <f>IF(V89=1,IF(ISNUMBER(I89),I89,C89+IF(ISNUMBER(IFERROR(INDEX(cust_Terms,MATCH(D89,cust_Name,0)),"")),INDEX(cust_Terms,MATCH(D89,cust_Name,0)),TermsDays)),"")</f>
        <v/>
      </c>
      <c r="K89" s="65">
        <f>IF(V89=1,SUMIFS(tx_DrAmt,tx_Type,"Customer Payment",tx_Ref,B89&amp;"",tx_Date,"&lt;="&amp;AsOf),"")</f>
        <v/>
      </c>
      <c r="L89" s="65">
        <f>IF(V89=1,IF(C89&gt;AsOf,0,ROUND(G89-K89,2)),"")</f>
        <v/>
      </c>
      <c r="M89" s="66">
        <f>IF(V89&lt;&gt;1,"",IF(C89&gt;AsOf,"Future",IF(L89&lt;0,"Overpaid",IF(L89=0,"Paid",IF(AsOf&gt;J89,"Overdue",IF(K89&gt;0,"Partial","Unpaid"))))))</f>
        <v/>
      </c>
      <c r="N89" s="28">
        <f>IF(AND(V89=1,N(L89)&gt;0),AsOf-C89,"")</f>
        <v/>
      </c>
      <c r="O89" s="28">
        <f>IF(N89="","",MAX(0,AsOf-J89))</f>
        <v/>
      </c>
      <c r="P89" s="66">
        <f>IF(O89="","",IF(O89=0,"Current",IF(O89&lt;=30,"1-30",IF(O89&lt;=60,"31-60",IF(O89&lt;=90,"61-90","90+")))))</f>
        <v/>
      </c>
      <c r="Q89" s="66">
        <f>IF(T89&lt;&gt;"","⛔ "&amp;T89&amp;" — not posted",IF(U89&lt;&gt;"","⚠ "&amp;U89,IF(V89=1,"✓ OK","")))</f>
        <v/>
      </c>
      <c r="R89" s="67">
        <f>IF(AND(B89="",C89="",D89="",G89="",F89=""),1,0)</f>
        <v/>
      </c>
      <c r="S89" s="68">
        <f>IF(AND(TaxOn="Yes",ISNUMBER(H89)),H89,0)</f>
        <v/>
      </c>
      <c r="T89" s="67">
        <f>IF(R89=1,"",IF(B89="","Enter an invoice #",IF(C89="","Missing invoice date",IF(NOT(ISNUMBER(C89)),"Invalid date",IF(OR(C89&lt;DATE(2000,1,1),C89&gt;DATE(2099,12,31)),"Invalid date",IF(F89="","Select a revenue account",IF(ISNA(MATCH(F89,coa_Name,0)),"Unknown account: "&amp;F89,IF(NOT(ISNUMBER(G89)),"Enter an amount",IF(G89&lt;=0,"Amount must be positive",IF(S89&gt;G89,"Tax is larger than the amount",""))))))))))</f>
        <v/>
      </c>
      <c r="U89" s="67">
        <f>IF(OR(R89=1,T89&lt;&gt;""),"",IF(COUNTIF(ar_No,B89)&gt;1,"Duplicate invoice #",IF(D89="","Select a customer",IF(N(L89)&lt;0,"Overpaid by "&amp;TEXT(-L89,"#,##0.00"),IF(AND(ISNUMBER(H89),N(H89)&lt;&gt;0,S89=0),"Tax ignored (tax tracking is off)",IF(AND(ISNUMBER(StartDate),C89&lt;StartDate),"Date is before the accounting start date",IF(AND(IFERROR(INDEX(coa_Type,MATCH(F89,coa_Name,0)),"")&lt;&gt;"Revenue",IFERROR(INDEX(coa_Type,MATCH(F89,coa_Name,0)),"")&lt;&gt;"Other Income"),"Account is not a revenue account","")))))))</f>
        <v/>
      </c>
      <c r="V89" s="67">
        <f>IF(AND(R89=0,T89=""),1,0)</f>
        <v/>
      </c>
      <c r="W89" s="67">
        <f>IF(V89=1,acctAR,"")</f>
        <v/>
      </c>
      <c r="X89" s="67">
        <f>IF(V89=1,F89,"")</f>
        <v/>
      </c>
      <c r="Y89" s="68">
        <f>IF(V89=1,G89,0)</f>
        <v/>
      </c>
      <c r="Z89" s="68">
        <f>IF(V89=1,G89-S89,0)</f>
        <v/>
      </c>
      <c r="AA89" s="68">
        <f>IF(V89=1,S89,0)</f>
        <v/>
      </c>
    </row>
    <row r="90">
      <c r="B90" s="62" t="n"/>
      <c r="C90" s="63" t="n"/>
      <c r="D90" s="62" t="n"/>
      <c r="E90" s="62" t="n"/>
      <c r="F90" s="62" t="n"/>
      <c r="G90" s="64" t="n"/>
      <c r="H90" s="64" t="n"/>
      <c r="I90" s="63" t="n"/>
      <c r="J90" s="29">
        <f>IF(V90=1,IF(ISNUMBER(I90),I90,C90+IF(ISNUMBER(IFERROR(INDEX(cust_Terms,MATCH(D90,cust_Name,0)),"")),INDEX(cust_Terms,MATCH(D90,cust_Name,0)),TermsDays)),"")</f>
        <v/>
      </c>
      <c r="K90" s="65">
        <f>IF(V90=1,SUMIFS(tx_DrAmt,tx_Type,"Customer Payment",tx_Ref,B90&amp;"",tx_Date,"&lt;="&amp;AsOf),"")</f>
        <v/>
      </c>
      <c r="L90" s="65">
        <f>IF(V90=1,IF(C90&gt;AsOf,0,ROUND(G90-K90,2)),"")</f>
        <v/>
      </c>
      <c r="M90" s="66">
        <f>IF(V90&lt;&gt;1,"",IF(C90&gt;AsOf,"Future",IF(L90&lt;0,"Overpaid",IF(L90=0,"Paid",IF(AsOf&gt;J90,"Overdue",IF(K90&gt;0,"Partial","Unpaid"))))))</f>
        <v/>
      </c>
      <c r="N90" s="28">
        <f>IF(AND(V90=1,N(L90)&gt;0),AsOf-C90,"")</f>
        <v/>
      </c>
      <c r="O90" s="28">
        <f>IF(N90="","",MAX(0,AsOf-J90))</f>
        <v/>
      </c>
      <c r="P90" s="66">
        <f>IF(O90="","",IF(O90=0,"Current",IF(O90&lt;=30,"1-30",IF(O90&lt;=60,"31-60",IF(O90&lt;=90,"61-90","90+")))))</f>
        <v/>
      </c>
      <c r="Q90" s="66">
        <f>IF(T90&lt;&gt;"","⛔ "&amp;T90&amp;" — not posted",IF(U90&lt;&gt;"","⚠ "&amp;U90,IF(V90=1,"✓ OK","")))</f>
        <v/>
      </c>
      <c r="R90" s="67">
        <f>IF(AND(B90="",C90="",D90="",G90="",F90=""),1,0)</f>
        <v/>
      </c>
      <c r="S90" s="68">
        <f>IF(AND(TaxOn="Yes",ISNUMBER(H90)),H90,0)</f>
        <v/>
      </c>
      <c r="T90" s="67">
        <f>IF(R90=1,"",IF(B90="","Enter an invoice #",IF(C90="","Missing invoice date",IF(NOT(ISNUMBER(C90)),"Invalid date",IF(OR(C90&lt;DATE(2000,1,1),C90&gt;DATE(2099,12,31)),"Invalid date",IF(F90="","Select a revenue account",IF(ISNA(MATCH(F90,coa_Name,0)),"Unknown account: "&amp;F90,IF(NOT(ISNUMBER(G90)),"Enter an amount",IF(G90&lt;=0,"Amount must be positive",IF(S90&gt;G90,"Tax is larger than the amount",""))))))))))</f>
        <v/>
      </c>
      <c r="U90" s="67">
        <f>IF(OR(R90=1,T90&lt;&gt;""),"",IF(COUNTIF(ar_No,B90)&gt;1,"Duplicate invoice #",IF(D90="","Select a customer",IF(N(L90)&lt;0,"Overpaid by "&amp;TEXT(-L90,"#,##0.00"),IF(AND(ISNUMBER(H90),N(H90)&lt;&gt;0,S90=0),"Tax ignored (tax tracking is off)",IF(AND(ISNUMBER(StartDate),C90&lt;StartDate),"Date is before the accounting start date",IF(AND(IFERROR(INDEX(coa_Type,MATCH(F90,coa_Name,0)),"")&lt;&gt;"Revenue",IFERROR(INDEX(coa_Type,MATCH(F90,coa_Name,0)),"")&lt;&gt;"Other Income"),"Account is not a revenue account","")))))))</f>
        <v/>
      </c>
      <c r="V90" s="67">
        <f>IF(AND(R90=0,T90=""),1,0)</f>
        <v/>
      </c>
      <c r="W90" s="67">
        <f>IF(V90=1,acctAR,"")</f>
        <v/>
      </c>
      <c r="X90" s="67">
        <f>IF(V90=1,F90,"")</f>
        <v/>
      </c>
      <c r="Y90" s="68">
        <f>IF(V90=1,G90,0)</f>
        <v/>
      </c>
      <c r="Z90" s="68">
        <f>IF(V90=1,G90-S90,0)</f>
        <v/>
      </c>
      <c r="AA90" s="68">
        <f>IF(V90=1,S90,0)</f>
        <v/>
      </c>
    </row>
    <row r="91">
      <c r="B91" s="62" t="n"/>
      <c r="C91" s="63" t="n"/>
      <c r="D91" s="62" t="n"/>
      <c r="E91" s="62" t="n"/>
      <c r="F91" s="62" t="n"/>
      <c r="G91" s="64" t="n"/>
      <c r="H91" s="64" t="n"/>
      <c r="I91" s="63" t="n"/>
      <c r="J91" s="29">
        <f>IF(V91=1,IF(ISNUMBER(I91),I91,C91+IF(ISNUMBER(IFERROR(INDEX(cust_Terms,MATCH(D91,cust_Name,0)),"")),INDEX(cust_Terms,MATCH(D91,cust_Name,0)),TermsDays)),"")</f>
        <v/>
      </c>
      <c r="K91" s="65">
        <f>IF(V91=1,SUMIFS(tx_DrAmt,tx_Type,"Customer Payment",tx_Ref,B91&amp;"",tx_Date,"&lt;="&amp;AsOf),"")</f>
        <v/>
      </c>
      <c r="L91" s="65">
        <f>IF(V91=1,IF(C91&gt;AsOf,0,ROUND(G91-K91,2)),"")</f>
        <v/>
      </c>
      <c r="M91" s="66">
        <f>IF(V91&lt;&gt;1,"",IF(C91&gt;AsOf,"Future",IF(L91&lt;0,"Overpaid",IF(L91=0,"Paid",IF(AsOf&gt;J91,"Overdue",IF(K91&gt;0,"Partial","Unpaid"))))))</f>
        <v/>
      </c>
      <c r="N91" s="28">
        <f>IF(AND(V91=1,N(L91)&gt;0),AsOf-C91,"")</f>
        <v/>
      </c>
      <c r="O91" s="28">
        <f>IF(N91="","",MAX(0,AsOf-J91))</f>
        <v/>
      </c>
      <c r="P91" s="66">
        <f>IF(O91="","",IF(O91=0,"Current",IF(O91&lt;=30,"1-30",IF(O91&lt;=60,"31-60",IF(O91&lt;=90,"61-90","90+")))))</f>
        <v/>
      </c>
      <c r="Q91" s="66">
        <f>IF(T91&lt;&gt;"","⛔ "&amp;T91&amp;" — not posted",IF(U91&lt;&gt;"","⚠ "&amp;U91,IF(V91=1,"✓ OK","")))</f>
        <v/>
      </c>
      <c r="R91" s="67">
        <f>IF(AND(B91="",C91="",D91="",G91="",F91=""),1,0)</f>
        <v/>
      </c>
      <c r="S91" s="68">
        <f>IF(AND(TaxOn="Yes",ISNUMBER(H91)),H91,0)</f>
        <v/>
      </c>
      <c r="T91" s="67">
        <f>IF(R91=1,"",IF(B91="","Enter an invoice #",IF(C91="","Missing invoice date",IF(NOT(ISNUMBER(C91)),"Invalid date",IF(OR(C91&lt;DATE(2000,1,1),C91&gt;DATE(2099,12,31)),"Invalid date",IF(F91="","Select a revenue account",IF(ISNA(MATCH(F91,coa_Name,0)),"Unknown account: "&amp;F91,IF(NOT(ISNUMBER(G91)),"Enter an amount",IF(G91&lt;=0,"Amount must be positive",IF(S91&gt;G91,"Tax is larger than the amount",""))))))))))</f>
        <v/>
      </c>
      <c r="U91" s="67">
        <f>IF(OR(R91=1,T91&lt;&gt;""),"",IF(COUNTIF(ar_No,B91)&gt;1,"Duplicate invoice #",IF(D91="","Select a customer",IF(N(L91)&lt;0,"Overpaid by "&amp;TEXT(-L91,"#,##0.00"),IF(AND(ISNUMBER(H91),N(H91)&lt;&gt;0,S91=0),"Tax ignored (tax tracking is off)",IF(AND(ISNUMBER(StartDate),C91&lt;StartDate),"Date is before the accounting start date",IF(AND(IFERROR(INDEX(coa_Type,MATCH(F91,coa_Name,0)),"")&lt;&gt;"Revenue",IFERROR(INDEX(coa_Type,MATCH(F91,coa_Name,0)),"")&lt;&gt;"Other Income"),"Account is not a revenue account","")))))))</f>
        <v/>
      </c>
      <c r="V91" s="67">
        <f>IF(AND(R91=0,T91=""),1,0)</f>
        <v/>
      </c>
      <c r="W91" s="67">
        <f>IF(V91=1,acctAR,"")</f>
        <v/>
      </c>
      <c r="X91" s="67">
        <f>IF(V91=1,F91,"")</f>
        <v/>
      </c>
      <c r="Y91" s="68">
        <f>IF(V91=1,G91,0)</f>
        <v/>
      </c>
      <c r="Z91" s="68">
        <f>IF(V91=1,G91-S91,0)</f>
        <v/>
      </c>
      <c r="AA91" s="68">
        <f>IF(V91=1,S91,0)</f>
        <v/>
      </c>
    </row>
    <row r="92">
      <c r="B92" s="62" t="n"/>
      <c r="C92" s="63" t="n"/>
      <c r="D92" s="62" t="n"/>
      <c r="E92" s="62" t="n"/>
      <c r="F92" s="62" t="n"/>
      <c r="G92" s="64" t="n"/>
      <c r="H92" s="64" t="n"/>
      <c r="I92" s="63" t="n"/>
      <c r="J92" s="29">
        <f>IF(V92=1,IF(ISNUMBER(I92),I92,C92+IF(ISNUMBER(IFERROR(INDEX(cust_Terms,MATCH(D92,cust_Name,0)),"")),INDEX(cust_Terms,MATCH(D92,cust_Name,0)),TermsDays)),"")</f>
        <v/>
      </c>
      <c r="K92" s="65">
        <f>IF(V92=1,SUMIFS(tx_DrAmt,tx_Type,"Customer Payment",tx_Ref,B92&amp;"",tx_Date,"&lt;="&amp;AsOf),"")</f>
        <v/>
      </c>
      <c r="L92" s="65">
        <f>IF(V92=1,IF(C92&gt;AsOf,0,ROUND(G92-K92,2)),"")</f>
        <v/>
      </c>
      <c r="M92" s="66">
        <f>IF(V92&lt;&gt;1,"",IF(C92&gt;AsOf,"Future",IF(L92&lt;0,"Overpaid",IF(L92=0,"Paid",IF(AsOf&gt;J92,"Overdue",IF(K92&gt;0,"Partial","Unpaid"))))))</f>
        <v/>
      </c>
      <c r="N92" s="28">
        <f>IF(AND(V92=1,N(L92)&gt;0),AsOf-C92,"")</f>
        <v/>
      </c>
      <c r="O92" s="28">
        <f>IF(N92="","",MAX(0,AsOf-J92))</f>
        <v/>
      </c>
      <c r="P92" s="66">
        <f>IF(O92="","",IF(O92=0,"Current",IF(O92&lt;=30,"1-30",IF(O92&lt;=60,"31-60",IF(O92&lt;=90,"61-90","90+")))))</f>
        <v/>
      </c>
      <c r="Q92" s="66">
        <f>IF(T92&lt;&gt;"","⛔ "&amp;T92&amp;" — not posted",IF(U92&lt;&gt;"","⚠ "&amp;U92,IF(V92=1,"✓ OK","")))</f>
        <v/>
      </c>
      <c r="R92" s="67">
        <f>IF(AND(B92="",C92="",D92="",G92="",F92=""),1,0)</f>
        <v/>
      </c>
      <c r="S92" s="68">
        <f>IF(AND(TaxOn="Yes",ISNUMBER(H92)),H92,0)</f>
        <v/>
      </c>
      <c r="T92" s="67">
        <f>IF(R92=1,"",IF(B92="","Enter an invoice #",IF(C92="","Missing invoice date",IF(NOT(ISNUMBER(C92)),"Invalid date",IF(OR(C92&lt;DATE(2000,1,1),C92&gt;DATE(2099,12,31)),"Invalid date",IF(F92="","Select a revenue account",IF(ISNA(MATCH(F92,coa_Name,0)),"Unknown account: "&amp;F92,IF(NOT(ISNUMBER(G92)),"Enter an amount",IF(G92&lt;=0,"Amount must be positive",IF(S92&gt;G92,"Tax is larger than the amount",""))))))))))</f>
        <v/>
      </c>
      <c r="U92" s="67">
        <f>IF(OR(R92=1,T92&lt;&gt;""),"",IF(COUNTIF(ar_No,B92)&gt;1,"Duplicate invoice #",IF(D92="","Select a customer",IF(N(L92)&lt;0,"Overpaid by "&amp;TEXT(-L92,"#,##0.00"),IF(AND(ISNUMBER(H92),N(H92)&lt;&gt;0,S92=0),"Tax ignored (tax tracking is off)",IF(AND(ISNUMBER(StartDate),C92&lt;StartDate),"Date is before the accounting start date",IF(AND(IFERROR(INDEX(coa_Type,MATCH(F92,coa_Name,0)),"")&lt;&gt;"Revenue",IFERROR(INDEX(coa_Type,MATCH(F92,coa_Name,0)),"")&lt;&gt;"Other Income"),"Account is not a revenue account","")))))))</f>
        <v/>
      </c>
      <c r="V92" s="67">
        <f>IF(AND(R92=0,T92=""),1,0)</f>
        <v/>
      </c>
      <c r="W92" s="67">
        <f>IF(V92=1,acctAR,"")</f>
        <v/>
      </c>
      <c r="X92" s="67">
        <f>IF(V92=1,F92,"")</f>
        <v/>
      </c>
      <c r="Y92" s="68">
        <f>IF(V92=1,G92,0)</f>
        <v/>
      </c>
      <c r="Z92" s="68">
        <f>IF(V92=1,G92-S92,0)</f>
        <v/>
      </c>
      <c r="AA92" s="68">
        <f>IF(V92=1,S92,0)</f>
        <v/>
      </c>
    </row>
    <row r="93">
      <c r="B93" s="62" t="n"/>
      <c r="C93" s="63" t="n"/>
      <c r="D93" s="62" t="n"/>
      <c r="E93" s="62" t="n"/>
      <c r="F93" s="62" t="n"/>
      <c r="G93" s="64" t="n"/>
      <c r="H93" s="64" t="n"/>
      <c r="I93" s="63" t="n"/>
      <c r="J93" s="29">
        <f>IF(V93=1,IF(ISNUMBER(I93),I93,C93+IF(ISNUMBER(IFERROR(INDEX(cust_Terms,MATCH(D93,cust_Name,0)),"")),INDEX(cust_Terms,MATCH(D93,cust_Name,0)),TermsDays)),"")</f>
        <v/>
      </c>
      <c r="K93" s="65">
        <f>IF(V93=1,SUMIFS(tx_DrAmt,tx_Type,"Customer Payment",tx_Ref,B93&amp;"",tx_Date,"&lt;="&amp;AsOf),"")</f>
        <v/>
      </c>
      <c r="L93" s="65">
        <f>IF(V93=1,IF(C93&gt;AsOf,0,ROUND(G93-K93,2)),"")</f>
        <v/>
      </c>
      <c r="M93" s="66">
        <f>IF(V93&lt;&gt;1,"",IF(C93&gt;AsOf,"Future",IF(L93&lt;0,"Overpaid",IF(L93=0,"Paid",IF(AsOf&gt;J93,"Overdue",IF(K93&gt;0,"Partial","Unpaid"))))))</f>
        <v/>
      </c>
      <c r="N93" s="28">
        <f>IF(AND(V93=1,N(L93)&gt;0),AsOf-C93,"")</f>
        <v/>
      </c>
      <c r="O93" s="28">
        <f>IF(N93="","",MAX(0,AsOf-J93))</f>
        <v/>
      </c>
      <c r="P93" s="66">
        <f>IF(O93="","",IF(O93=0,"Current",IF(O93&lt;=30,"1-30",IF(O93&lt;=60,"31-60",IF(O93&lt;=90,"61-90","90+")))))</f>
        <v/>
      </c>
      <c r="Q93" s="66">
        <f>IF(T93&lt;&gt;"","⛔ "&amp;T93&amp;" — not posted",IF(U93&lt;&gt;"","⚠ "&amp;U93,IF(V93=1,"✓ OK","")))</f>
        <v/>
      </c>
      <c r="R93" s="67">
        <f>IF(AND(B93="",C93="",D93="",G93="",F93=""),1,0)</f>
        <v/>
      </c>
      <c r="S93" s="68">
        <f>IF(AND(TaxOn="Yes",ISNUMBER(H93)),H93,0)</f>
        <v/>
      </c>
      <c r="T93" s="67">
        <f>IF(R93=1,"",IF(B93="","Enter an invoice #",IF(C93="","Missing invoice date",IF(NOT(ISNUMBER(C93)),"Invalid date",IF(OR(C93&lt;DATE(2000,1,1),C93&gt;DATE(2099,12,31)),"Invalid date",IF(F93="","Select a revenue account",IF(ISNA(MATCH(F93,coa_Name,0)),"Unknown account: "&amp;F93,IF(NOT(ISNUMBER(G93)),"Enter an amount",IF(G93&lt;=0,"Amount must be positive",IF(S93&gt;G93,"Tax is larger than the amount",""))))))))))</f>
        <v/>
      </c>
      <c r="U93" s="67">
        <f>IF(OR(R93=1,T93&lt;&gt;""),"",IF(COUNTIF(ar_No,B93)&gt;1,"Duplicate invoice #",IF(D93="","Select a customer",IF(N(L93)&lt;0,"Overpaid by "&amp;TEXT(-L93,"#,##0.00"),IF(AND(ISNUMBER(H93),N(H93)&lt;&gt;0,S93=0),"Tax ignored (tax tracking is off)",IF(AND(ISNUMBER(StartDate),C93&lt;StartDate),"Date is before the accounting start date",IF(AND(IFERROR(INDEX(coa_Type,MATCH(F93,coa_Name,0)),"")&lt;&gt;"Revenue",IFERROR(INDEX(coa_Type,MATCH(F93,coa_Name,0)),"")&lt;&gt;"Other Income"),"Account is not a revenue account","")))))))</f>
        <v/>
      </c>
      <c r="V93" s="67">
        <f>IF(AND(R93=0,T93=""),1,0)</f>
        <v/>
      </c>
      <c r="W93" s="67">
        <f>IF(V93=1,acctAR,"")</f>
        <v/>
      </c>
      <c r="X93" s="67">
        <f>IF(V93=1,F93,"")</f>
        <v/>
      </c>
      <c r="Y93" s="68">
        <f>IF(V93=1,G93,0)</f>
        <v/>
      </c>
      <c r="Z93" s="68">
        <f>IF(V93=1,G93-S93,0)</f>
        <v/>
      </c>
      <c r="AA93" s="68">
        <f>IF(V93=1,S93,0)</f>
        <v/>
      </c>
    </row>
    <row r="94">
      <c r="B94" s="62" t="n"/>
      <c r="C94" s="63" t="n"/>
      <c r="D94" s="62" t="n"/>
      <c r="E94" s="62" t="n"/>
      <c r="F94" s="62" t="n"/>
      <c r="G94" s="64" t="n"/>
      <c r="H94" s="64" t="n"/>
      <c r="I94" s="63" t="n"/>
      <c r="J94" s="29">
        <f>IF(V94=1,IF(ISNUMBER(I94),I94,C94+IF(ISNUMBER(IFERROR(INDEX(cust_Terms,MATCH(D94,cust_Name,0)),"")),INDEX(cust_Terms,MATCH(D94,cust_Name,0)),TermsDays)),"")</f>
        <v/>
      </c>
      <c r="K94" s="65">
        <f>IF(V94=1,SUMIFS(tx_DrAmt,tx_Type,"Customer Payment",tx_Ref,B94&amp;"",tx_Date,"&lt;="&amp;AsOf),"")</f>
        <v/>
      </c>
      <c r="L94" s="65">
        <f>IF(V94=1,IF(C94&gt;AsOf,0,ROUND(G94-K94,2)),"")</f>
        <v/>
      </c>
      <c r="M94" s="66">
        <f>IF(V94&lt;&gt;1,"",IF(C94&gt;AsOf,"Future",IF(L94&lt;0,"Overpaid",IF(L94=0,"Paid",IF(AsOf&gt;J94,"Overdue",IF(K94&gt;0,"Partial","Unpaid"))))))</f>
        <v/>
      </c>
      <c r="N94" s="28">
        <f>IF(AND(V94=1,N(L94)&gt;0),AsOf-C94,"")</f>
        <v/>
      </c>
      <c r="O94" s="28">
        <f>IF(N94="","",MAX(0,AsOf-J94))</f>
        <v/>
      </c>
      <c r="P94" s="66">
        <f>IF(O94="","",IF(O94=0,"Current",IF(O94&lt;=30,"1-30",IF(O94&lt;=60,"31-60",IF(O94&lt;=90,"61-90","90+")))))</f>
        <v/>
      </c>
      <c r="Q94" s="66">
        <f>IF(T94&lt;&gt;"","⛔ "&amp;T94&amp;" — not posted",IF(U94&lt;&gt;"","⚠ "&amp;U94,IF(V94=1,"✓ OK","")))</f>
        <v/>
      </c>
      <c r="R94" s="67">
        <f>IF(AND(B94="",C94="",D94="",G94="",F94=""),1,0)</f>
        <v/>
      </c>
      <c r="S94" s="68">
        <f>IF(AND(TaxOn="Yes",ISNUMBER(H94)),H94,0)</f>
        <v/>
      </c>
      <c r="T94" s="67">
        <f>IF(R94=1,"",IF(B94="","Enter an invoice #",IF(C94="","Missing invoice date",IF(NOT(ISNUMBER(C94)),"Invalid date",IF(OR(C94&lt;DATE(2000,1,1),C94&gt;DATE(2099,12,31)),"Invalid date",IF(F94="","Select a revenue account",IF(ISNA(MATCH(F94,coa_Name,0)),"Unknown account: "&amp;F94,IF(NOT(ISNUMBER(G94)),"Enter an amount",IF(G94&lt;=0,"Amount must be positive",IF(S94&gt;G94,"Tax is larger than the amount",""))))))))))</f>
        <v/>
      </c>
      <c r="U94" s="67">
        <f>IF(OR(R94=1,T94&lt;&gt;""),"",IF(COUNTIF(ar_No,B94)&gt;1,"Duplicate invoice #",IF(D94="","Select a customer",IF(N(L94)&lt;0,"Overpaid by "&amp;TEXT(-L94,"#,##0.00"),IF(AND(ISNUMBER(H94),N(H94)&lt;&gt;0,S94=0),"Tax ignored (tax tracking is off)",IF(AND(ISNUMBER(StartDate),C94&lt;StartDate),"Date is before the accounting start date",IF(AND(IFERROR(INDEX(coa_Type,MATCH(F94,coa_Name,0)),"")&lt;&gt;"Revenue",IFERROR(INDEX(coa_Type,MATCH(F94,coa_Name,0)),"")&lt;&gt;"Other Income"),"Account is not a revenue account","")))))))</f>
        <v/>
      </c>
      <c r="V94" s="67">
        <f>IF(AND(R94=0,T94=""),1,0)</f>
        <v/>
      </c>
      <c r="W94" s="67">
        <f>IF(V94=1,acctAR,"")</f>
        <v/>
      </c>
      <c r="X94" s="67">
        <f>IF(V94=1,F94,"")</f>
        <v/>
      </c>
      <c r="Y94" s="68">
        <f>IF(V94=1,G94,0)</f>
        <v/>
      </c>
      <c r="Z94" s="68">
        <f>IF(V94=1,G94-S94,0)</f>
        <v/>
      </c>
      <c r="AA94" s="68">
        <f>IF(V94=1,S94,0)</f>
        <v/>
      </c>
    </row>
    <row r="95">
      <c r="B95" s="62" t="n"/>
      <c r="C95" s="63" t="n"/>
      <c r="D95" s="62" t="n"/>
      <c r="E95" s="62" t="n"/>
      <c r="F95" s="62" t="n"/>
      <c r="G95" s="64" t="n"/>
      <c r="H95" s="64" t="n"/>
      <c r="I95" s="63" t="n"/>
      <c r="J95" s="29">
        <f>IF(V95=1,IF(ISNUMBER(I95),I95,C95+IF(ISNUMBER(IFERROR(INDEX(cust_Terms,MATCH(D95,cust_Name,0)),"")),INDEX(cust_Terms,MATCH(D95,cust_Name,0)),TermsDays)),"")</f>
        <v/>
      </c>
      <c r="K95" s="65">
        <f>IF(V95=1,SUMIFS(tx_DrAmt,tx_Type,"Customer Payment",tx_Ref,B95&amp;"",tx_Date,"&lt;="&amp;AsOf),"")</f>
        <v/>
      </c>
      <c r="L95" s="65">
        <f>IF(V95=1,IF(C95&gt;AsOf,0,ROUND(G95-K95,2)),"")</f>
        <v/>
      </c>
      <c r="M95" s="66">
        <f>IF(V95&lt;&gt;1,"",IF(C95&gt;AsOf,"Future",IF(L95&lt;0,"Overpaid",IF(L95=0,"Paid",IF(AsOf&gt;J95,"Overdue",IF(K95&gt;0,"Partial","Unpaid"))))))</f>
        <v/>
      </c>
      <c r="N95" s="28">
        <f>IF(AND(V95=1,N(L95)&gt;0),AsOf-C95,"")</f>
        <v/>
      </c>
      <c r="O95" s="28">
        <f>IF(N95="","",MAX(0,AsOf-J95))</f>
        <v/>
      </c>
      <c r="P95" s="66">
        <f>IF(O95="","",IF(O95=0,"Current",IF(O95&lt;=30,"1-30",IF(O95&lt;=60,"31-60",IF(O95&lt;=90,"61-90","90+")))))</f>
        <v/>
      </c>
      <c r="Q95" s="66">
        <f>IF(T95&lt;&gt;"","⛔ "&amp;T95&amp;" — not posted",IF(U95&lt;&gt;"","⚠ "&amp;U95,IF(V95=1,"✓ OK","")))</f>
        <v/>
      </c>
      <c r="R95" s="67">
        <f>IF(AND(B95="",C95="",D95="",G95="",F95=""),1,0)</f>
        <v/>
      </c>
      <c r="S95" s="68">
        <f>IF(AND(TaxOn="Yes",ISNUMBER(H95)),H95,0)</f>
        <v/>
      </c>
      <c r="T95" s="67">
        <f>IF(R95=1,"",IF(B95="","Enter an invoice #",IF(C95="","Missing invoice date",IF(NOT(ISNUMBER(C95)),"Invalid date",IF(OR(C95&lt;DATE(2000,1,1),C95&gt;DATE(2099,12,31)),"Invalid date",IF(F95="","Select a revenue account",IF(ISNA(MATCH(F95,coa_Name,0)),"Unknown account: "&amp;F95,IF(NOT(ISNUMBER(G95)),"Enter an amount",IF(G95&lt;=0,"Amount must be positive",IF(S95&gt;G95,"Tax is larger than the amount",""))))))))))</f>
        <v/>
      </c>
      <c r="U95" s="67">
        <f>IF(OR(R95=1,T95&lt;&gt;""),"",IF(COUNTIF(ar_No,B95)&gt;1,"Duplicate invoice #",IF(D95="","Select a customer",IF(N(L95)&lt;0,"Overpaid by "&amp;TEXT(-L95,"#,##0.00"),IF(AND(ISNUMBER(H95),N(H95)&lt;&gt;0,S95=0),"Tax ignored (tax tracking is off)",IF(AND(ISNUMBER(StartDate),C95&lt;StartDate),"Date is before the accounting start date",IF(AND(IFERROR(INDEX(coa_Type,MATCH(F95,coa_Name,0)),"")&lt;&gt;"Revenue",IFERROR(INDEX(coa_Type,MATCH(F95,coa_Name,0)),"")&lt;&gt;"Other Income"),"Account is not a revenue account","")))))))</f>
        <v/>
      </c>
      <c r="V95" s="67">
        <f>IF(AND(R95=0,T95=""),1,0)</f>
        <v/>
      </c>
      <c r="W95" s="67">
        <f>IF(V95=1,acctAR,"")</f>
        <v/>
      </c>
      <c r="X95" s="67">
        <f>IF(V95=1,F95,"")</f>
        <v/>
      </c>
      <c r="Y95" s="68">
        <f>IF(V95=1,G95,0)</f>
        <v/>
      </c>
      <c r="Z95" s="68">
        <f>IF(V95=1,G95-S95,0)</f>
        <v/>
      </c>
      <c r="AA95" s="68">
        <f>IF(V95=1,S95,0)</f>
        <v/>
      </c>
    </row>
    <row r="96">
      <c r="B96" s="62" t="n"/>
      <c r="C96" s="63" t="n"/>
      <c r="D96" s="62" t="n"/>
      <c r="E96" s="62" t="n"/>
      <c r="F96" s="62" t="n"/>
      <c r="G96" s="64" t="n"/>
      <c r="H96" s="64" t="n"/>
      <c r="I96" s="63" t="n"/>
      <c r="J96" s="29">
        <f>IF(V96=1,IF(ISNUMBER(I96),I96,C96+IF(ISNUMBER(IFERROR(INDEX(cust_Terms,MATCH(D96,cust_Name,0)),"")),INDEX(cust_Terms,MATCH(D96,cust_Name,0)),TermsDays)),"")</f>
        <v/>
      </c>
      <c r="K96" s="65">
        <f>IF(V96=1,SUMIFS(tx_DrAmt,tx_Type,"Customer Payment",tx_Ref,B96&amp;"",tx_Date,"&lt;="&amp;AsOf),"")</f>
        <v/>
      </c>
      <c r="L96" s="65">
        <f>IF(V96=1,IF(C96&gt;AsOf,0,ROUND(G96-K96,2)),"")</f>
        <v/>
      </c>
      <c r="M96" s="66">
        <f>IF(V96&lt;&gt;1,"",IF(C96&gt;AsOf,"Future",IF(L96&lt;0,"Overpaid",IF(L96=0,"Paid",IF(AsOf&gt;J96,"Overdue",IF(K96&gt;0,"Partial","Unpaid"))))))</f>
        <v/>
      </c>
      <c r="N96" s="28">
        <f>IF(AND(V96=1,N(L96)&gt;0),AsOf-C96,"")</f>
        <v/>
      </c>
      <c r="O96" s="28">
        <f>IF(N96="","",MAX(0,AsOf-J96))</f>
        <v/>
      </c>
      <c r="P96" s="66">
        <f>IF(O96="","",IF(O96=0,"Current",IF(O96&lt;=30,"1-30",IF(O96&lt;=60,"31-60",IF(O96&lt;=90,"61-90","90+")))))</f>
        <v/>
      </c>
      <c r="Q96" s="66">
        <f>IF(T96&lt;&gt;"","⛔ "&amp;T96&amp;" — not posted",IF(U96&lt;&gt;"","⚠ "&amp;U96,IF(V96=1,"✓ OK","")))</f>
        <v/>
      </c>
      <c r="R96" s="67">
        <f>IF(AND(B96="",C96="",D96="",G96="",F96=""),1,0)</f>
        <v/>
      </c>
      <c r="S96" s="68">
        <f>IF(AND(TaxOn="Yes",ISNUMBER(H96)),H96,0)</f>
        <v/>
      </c>
      <c r="T96" s="67">
        <f>IF(R96=1,"",IF(B96="","Enter an invoice #",IF(C96="","Missing invoice date",IF(NOT(ISNUMBER(C96)),"Invalid date",IF(OR(C96&lt;DATE(2000,1,1),C96&gt;DATE(2099,12,31)),"Invalid date",IF(F96="","Select a revenue account",IF(ISNA(MATCH(F96,coa_Name,0)),"Unknown account: "&amp;F96,IF(NOT(ISNUMBER(G96)),"Enter an amount",IF(G96&lt;=0,"Amount must be positive",IF(S96&gt;G96,"Tax is larger than the amount",""))))))))))</f>
        <v/>
      </c>
      <c r="U96" s="67">
        <f>IF(OR(R96=1,T96&lt;&gt;""),"",IF(COUNTIF(ar_No,B96)&gt;1,"Duplicate invoice #",IF(D96="","Select a customer",IF(N(L96)&lt;0,"Overpaid by "&amp;TEXT(-L96,"#,##0.00"),IF(AND(ISNUMBER(H96),N(H96)&lt;&gt;0,S96=0),"Tax ignored (tax tracking is off)",IF(AND(ISNUMBER(StartDate),C96&lt;StartDate),"Date is before the accounting start date",IF(AND(IFERROR(INDEX(coa_Type,MATCH(F96,coa_Name,0)),"")&lt;&gt;"Revenue",IFERROR(INDEX(coa_Type,MATCH(F96,coa_Name,0)),"")&lt;&gt;"Other Income"),"Account is not a revenue account","")))))))</f>
        <v/>
      </c>
      <c r="V96" s="67">
        <f>IF(AND(R96=0,T96=""),1,0)</f>
        <v/>
      </c>
      <c r="W96" s="67">
        <f>IF(V96=1,acctAR,"")</f>
        <v/>
      </c>
      <c r="X96" s="67">
        <f>IF(V96=1,F96,"")</f>
        <v/>
      </c>
      <c r="Y96" s="68">
        <f>IF(V96=1,G96,0)</f>
        <v/>
      </c>
      <c r="Z96" s="68">
        <f>IF(V96=1,G96-S96,0)</f>
        <v/>
      </c>
      <c r="AA96" s="68">
        <f>IF(V96=1,S96,0)</f>
        <v/>
      </c>
    </row>
    <row r="97">
      <c r="B97" s="62" t="n"/>
      <c r="C97" s="63" t="n"/>
      <c r="D97" s="62" t="n"/>
      <c r="E97" s="62" t="n"/>
      <c r="F97" s="62" t="n"/>
      <c r="G97" s="64" t="n"/>
      <c r="H97" s="64" t="n"/>
      <c r="I97" s="63" t="n"/>
      <c r="J97" s="29">
        <f>IF(V97=1,IF(ISNUMBER(I97),I97,C97+IF(ISNUMBER(IFERROR(INDEX(cust_Terms,MATCH(D97,cust_Name,0)),"")),INDEX(cust_Terms,MATCH(D97,cust_Name,0)),TermsDays)),"")</f>
        <v/>
      </c>
      <c r="K97" s="65">
        <f>IF(V97=1,SUMIFS(tx_DrAmt,tx_Type,"Customer Payment",tx_Ref,B97&amp;"",tx_Date,"&lt;="&amp;AsOf),"")</f>
        <v/>
      </c>
      <c r="L97" s="65">
        <f>IF(V97=1,IF(C97&gt;AsOf,0,ROUND(G97-K97,2)),"")</f>
        <v/>
      </c>
      <c r="M97" s="66">
        <f>IF(V97&lt;&gt;1,"",IF(C97&gt;AsOf,"Future",IF(L97&lt;0,"Overpaid",IF(L97=0,"Paid",IF(AsOf&gt;J97,"Overdue",IF(K97&gt;0,"Partial","Unpaid"))))))</f>
        <v/>
      </c>
      <c r="N97" s="28">
        <f>IF(AND(V97=1,N(L97)&gt;0),AsOf-C97,"")</f>
        <v/>
      </c>
      <c r="O97" s="28">
        <f>IF(N97="","",MAX(0,AsOf-J97))</f>
        <v/>
      </c>
      <c r="P97" s="66">
        <f>IF(O97="","",IF(O97=0,"Current",IF(O97&lt;=30,"1-30",IF(O97&lt;=60,"31-60",IF(O97&lt;=90,"61-90","90+")))))</f>
        <v/>
      </c>
      <c r="Q97" s="66">
        <f>IF(T97&lt;&gt;"","⛔ "&amp;T97&amp;" — not posted",IF(U97&lt;&gt;"","⚠ "&amp;U97,IF(V97=1,"✓ OK","")))</f>
        <v/>
      </c>
      <c r="R97" s="67">
        <f>IF(AND(B97="",C97="",D97="",G97="",F97=""),1,0)</f>
        <v/>
      </c>
      <c r="S97" s="68">
        <f>IF(AND(TaxOn="Yes",ISNUMBER(H97)),H97,0)</f>
        <v/>
      </c>
      <c r="T97" s="67">
        <f>IF(R97=1,"",IF(B97="","Enter an invoice #",IF(C97="","Missing invoice date",IF(NOT(ISNUMBER(C97)),"Invalid date",IF(OR(C97&lt;DATE(2000,1,1),C97&gt;DATE(2099,12,31)),"Invalid date",IF(F97="","Select a revenue account",IF(ISNA(MATCH(F97,coa_Name,0)),"Unknown account: "&amp;F97,IF(NOT(ISNUMBER(G97)),"Enter an amount",IF(G97&lt;=0,"Amount must be positive",IF(S97&gt;G97,"Tax is larger than the amount",""))))))))))</f>
        <v/>
      </c>
      <c r="U97" s="67">
        <f>IF(OR(R97=1,T97&lt;&gt;""),"",IF(COUNTIF(ar_No,B97)&gt;1,"Duplicate invoice #",IF(D97="","Select a customer",IF(N(L97)&lt;0,"Overpaid by "&amp;TEXT(-L97,"#,##0.00"),IF(AND(ISNUMBER(H97),N(H97)&lt;&gt;0,S97=0),"Tax ignored (tax tracking is off)",IF(AND(ISNUMBER(StartDate),C97&lt;StartDate),"Date is before the accounting start date",IF(AND(IFERROR(INDEX(coa_Type,MATCH(F97,coa_Name,0)),"")&lt;&gt;"Revenue",IFERROR(INDEX(coa_Type,MATCH(F97,coa_Name,0)),"")&lt;&gt;"Other Income"),"Account is not a revenue account","")))))))</f>
        <v/>
      </c>
      <c r="V97" s="67">
        <f>IF(AND(R97=0,T97=""),1,0)</f>
        <v/>
      </c>
      <c r="W97" s="67">
        <f>IF(V97=1,acctAR,"")</f>
        <v/>
      </c>
      <c r="X97" s="67">
        <f>IF(V97=1,F97,"")</f>
        <v/>
      </c>
      <c r="Y97" s="68">
        <f>IF(V97=1,G97,0)</f>
        <v/>
      </c>
      <c r="Z97" s="68">
        <f>IF(V97=1,G97-S97,0)</f>
        <v/>
      </c>
      <c r="AA97" s="68">
        <f>IF(V97=1,S97,0)</f>
        <v/>
      </c>
    </row>
    <row r="98">
      <c r="B98" s="62" t="n"/>
      <c r="C98" s="63" t="n"/>
      <c r="D98" s="62" t="n"/>
      <c r="E98" s="62" t="n"/>
      <c r="F98" s="62" t="n"/>
      <c r="G98" s="64" t="n"/>
      <c r="H98" s="64" t="n"/>
      <c r="I98" s="63" t="n"/>
      <c r="J98" s="29">
        <f>IF(V98=1,IF(ISNUMBER(I98),I98,C98+IF(ISNUMBER(IFERROR(INDEX(cust_Terms,MATCH(D98,cust_Name,0)),"")),INDEX(cust_Terms,MATCH(D98,cust_Name,0)),TermsDays)),"")</f>
        <v/>
      </c>
      <c r="K98" s="65">
        <f>IF(V98=1,SUMIFS(tx_DrAmt,tx_Type,"Customer Payment",tx_Ref,B98&amp;"",tx_Date,"&lt;="&amp;AsOf),"")</f>
        <v/>
      </c>
      <c r="L98" s="65">
        <f>IF(V98=1,IF(C98&gt;AsOf,0,ROUND(G98-K98,2)),"")</f>
        <v/>
      </c>
      <c r="M98" s="66">
        <f>IF(V98&lt;&gt;1,"",IF(C98&gt;AsOf,"Future",IF(L98&lt;0,"Overpaid",IF(L98=0,"Paid",IF(AsOf&gt;J98,"Overdue",IF(K98&gt;0,"Partial","Unpaid"))))))</f>
        <v/>
      </c>
      <c r="N98" s="28">
        <f>IF(AND(V98=1,N(L98)&gt;0),AsOf-C98,"")</f>
        <v/>
      </c>
      <c r="O98" s="28">
        <f>IF(N98="","",MAX(0,AsOf-J98))</f>
        <v/>
      </c>
      <c r="P98" s="66">
        <f>IF(O98="","",IF(O98=0,"Current",IF(O98&lt;=30,"1-30",IF(O98&lt;=60,"31-60",IF(O98&lt;=90,"61-90","90+")))))</f>
        <v/>
      </c>
      <c r="Q98" s="66">
        <f>IF(T98&lt;&gt;"","⛔ "&amp;T98&amp;" — not posted",IF(U98&lt;&gt;"","⚠ "&amp;U98,IF(V98=1,"✓ OK","")))</f>
        <v/>
      </c>
      <c r="R98" s="67">
        <f>IF(AND(B98="",C98="",D98="",G98="",F98=""),1,0)</f>
        <v/>
      </c>
      <c r="S98" s="68">
        <f>IF(AND(TaxOn="Yes",ISNUMBER(H98)),H98,0)</f>
        <v/>
      </c>
      <c r="T98" s="67">
        <f>IF(R98=1,"",IF(B98="","Enter an invoice #",IF(C98="","Missing invoice date",IF(NOT(ISNUMBER(C98)),"Invalid date",IF(OR(C98&lt;DATE(2000,1,1),C98&gt;DATE(2099,12,31)),"Invalid date",IF(F98="","Select a revenue account",IF(ISNA(MATCH(F98,coa_Name,0)),"Unknown account: "&amp;F98,IF(NOT(ISNUMBER(G98)),"Enter an amount",IF(G98&lt;=0,"Amount must be positive",IF(S98&gt;G98,"Tax is larger than the amount",""))))))))))</f>
        <v/>
      </c>
      <c r="U98" s="67">
        <f>IF(OR(R98=1,T98&lt;&gt;""),"",IF(COUNTIF(ar_No,B98)&gt;1,"Duplicate invoice #",IF(D98="","Select a customer",IF(N(L98)&lt;0,"Overpaid by "&amp;TEXT(-L98,"#,##0.00"),IF(AND(ISNUMBER(H98),N(H98)&lt;&gt;0,S98=0),"Tax ignored (tax tracking is off)",IF(AND(ISNUMBER(StartDate),C98&lt;StartDate),"Date is before the accounting start date",IF(AND(IFERROR(INDEX(coa_Type,MATCH(F98,coa_Name,0)),"")&lt;&gt;"Revenue",IFERROR(INDEX(coa_Type,MATCH(F98,coa_Name,0)),"")&lt;&gt;"Other Income"),"Account is not a revenue account","")))))))</f>
        <v/>
      </c>
      <c r="V98" s="67">
        <f>IF(AND(R98=0,T98=""),1,0)</f>
        <v/>
      </c>
      <c r="W98" s="67">
        <f>IF(V98=1,acctAR,"")</f>
        <v/>
      </c>
      <c r="X98" s="67">
        <f>IF(V98=1,F98,"")</f>
        <v/>
      </c>
      <c r="Y98" s="68">
        <f>IF(V98=1,G98,0)</f>
        <v/>
      </c>
      <c r="Z98" s="68">
        <f>IF(V98=1,G98-S98,0)</f>
        <v/>
      </c>
      <c r="AA98" s="68">
        <f>IF(V98=1,S98,0)</f>
        <v/>
      </c>
    </row>
    <row r="99">
      <c r="B99" s="62" t="n"/>
      <c r="C99" s="63" t="n"/>
      <c r="D99" s="62" t="n"/>
      <c r="E99" s="62" t="n"/>
      <c r="F99" s="62" t="n"/>
      <c r="G99" s="64" t="n"/>
      <c r="H99" s="64" t="n"/>
      <c r="I99" s="63" t="n"/>
      <c r="J99" s="29">
        <f>IF(V99=1,IF(ISNUMBER(I99),I99,C99+IF(ISNUMBER(IFERROR(INDEX(cust_Terms,MATCH(D99,cust_Name,0)),"")),INDEX(cust_Terms,MATCH(D99,cust_Name,0)),TermsDays)),"")</f>
        <v/>
      </c>
      <c r="K99" s="65">
        <f>IF(V99=1,SUMIFS(tx_DrAmt,tx_Type,"Customer Payment",tx_Ref,B99&amp;"",tx_Date,"&lt;="&amp;AsOf),"")</f>
        <v/>
      </c>
      <c r="L99" s="65">
        <f>IF(V99=1,IF(C99&gt;AsOf,0,ROUND(G99-K99,2)),"")</f>
        <v/>
      </c>
      <c r="M99" s="66">
        <f>IF(V99&lt;&gt;1,"",IF(C99&gt;AsOf,"Future",IF(L99&lt;0,"Overpaid",IF(L99=0,"Paid",IF(AsOf&gt;J99,"Overdue",IF(K99&gt;0,"Partial","Unpaid"))))))</f>
        <v/>
      </c>
      <c r="N99" s="28">
        <f>IF(AND(V99=1,N(L99)&gt;0),AsOf-C99,"")</f>
        <v/>
      </c>
      <c r="O99" s="28">
        <f>IF(N99="","",MAX(0,AsOf-J99))</f>
        <v/>
      </c>
      <c r="P99" s="66">
        <f>IF(O99="","",IF(O99=0,"Current",IF(O99&lt;=30,"1-30",IF(O99&lt;=60,"31-60",IF(O99&lt;=90,"61-90","90+")))))</f>
        <v/>
      </c>
      <c r="Q99" s="66">
        <f>IF(T99&lt;&gt;"","⛔ "&amp;T99&amp;" — not posted",IF(U99&lt;&gt;"","⚠ "&amp;U99,IF(V99=1,"✓ OK","")))</f>
        <v/>
      </c>
      <c r="R99" s="67">
        <f>IF(AND(B99="",C99="",D99="",G99="",F99=""),1,0)</f>
        <v/>
      </c>
      <c r="S99" s="68">
        <f>IF(AND(TaxOn="Yes",ISNUMBER(H99)),H99,0)</f>
        <v/>
      </c>
      <c r="T99" s="67">
        <f>IF(R99=1,"",IF(B99="","Enter an invoice #",IF(C99="","Missing invoice date",IF(NOT(ISNUMBER(C99)),"Invalid date",IF(OR(C99&lt;DATE(2000,1,1),C99&gt;DATE(2099,12,31)),"Invalid date",IF(F99="","Select a revenue account",IF(ISNA(MATCH(F99,coa_Name,0)),"Unknown account: "&amp;F99,IF(NOT(ISNUMBER(G99)),"Enter an amount",IF(G99&lt;=0,"Amount must be positive",IF(S99&gt;G99,"Tax is larger than the amount",""))))))))))</f>
        <v/>
      </c>
      <c r="U99" s="67">
        <f>IF(OR(R99=1,T99&lt;&gt;""),"",IF(COUNTIF(ar_No,B99)&gt;1,"Duplicate invoice #",IF(D99="","Select a customer",IF(N(L99)&lt;0,"Overpaid by "&amp;TEXT(-L99,"#,##0.00"),IF(AND(ISNUMBER(H99),N(H99)&lt;&gt;0,S99=0),"Tax ignored (tax tracking is off)",IF(AND(ISNUMBER(StartDate),C99&lt;StartDate),"Date is before the accounting start date",IF(AND(IFERROR(INDEX(coa_Type,MATCH(F99,coa_Name,0)),"")&lt;&gt;"Revenue",IFERROR(INDEX(coa_Type,MATCH(F99,coa_Name,0)),"")&lt;&gt;"Other Income"),"Account is not a revenue account","")))))))</f>
        <v/>
      </c>
      <c r="V99" s="67">
        <f>IF(AND(R99=0,T99=""),1,0)</f>
        <v/>
      </c>
      <c r="W99" s="67">
        <f>IF(V99=1,acctAR,"")</f>
        <v/>
      </c>
      <c r="X99" s="67">
        <f>IF(V99=1,F99,"")</f>
        <v/>
      </c>
      <c r="Y99" s="68">
        <f>IF(V99=1,G99,0)</f>
        <v/>
      </c>
      <c r="Z99" s="68">
        <f>IF(V99=1,G99-S99,0)</f>
        <v/>
      </c>
      <c r="AA99" s="68">
        <f>IF(V99=1,S99,0)</f>
        <v/>
      </c>
    </row>
    <row r="100">
      <c r="B100" s="62" t="n"/>
      <c r="C100" s="63" t="n"/>
      <c r="D100" s="62" t="n"/>
      <c r="E100" s="62" t="n"/>
      <c r="F100" s="62" t="n"/>
      <c r="G100" s="64" t="n"/>
      <c r="H100" s="64" t="n"/>
      <c r="I100" s="63" t="n"/>
      <c r="J100" s="29">
        <f>IF(V100=1,IF(ISNUMBER(I100),I100,C100+IF(ISNUMBER(IFERROR(INDEX(cust_Terms,MATCH(D100,cust_Name,0)),"")),INDEX(cust_Terms,MATCH(D100,cust_Name,0)),TermsDays)),"")</f>
        <v/>
      </c>
      <c r="K100" s="65">
        <f>IF(V100=1,SUMIFS(tx_DrAmt,tx_Type,"Customer Payment",tx_Ref,B100&amp;"",tx_Date,"&lt;="&amp;AsOf),"")</f>
        <v/>
      </c>
      <c r="L100" s="65">
        <f>IF(V100=1,IF(C100&gt;AsOf,0,ROUND(G100-K100,2)),"")</f>
        <v/>
      </c>
      <c r="M100" s="66">
        <f>IF(V100&lt;&gt;1,"",IF(C100&gt;AsOf,"Future",IF(L100&lt;0,"Overpaid",IF(L100=0,"Paid",IF(AsOf&gt;J100,"Overdue",IF(K100&gt;0,"Partial","Unpaid"))))))</f>
        <v/>
      </c>
      <c r="N100" s="28">
        <f>IF(AND(V100=1,N(L100)&gt;0),AsOf-C100,"")</f>
        <v/>
      </c>
      <c r="O100" s="28">
        <f>IF(N100="","",MAX(0,AsOf-J100))</f>
        <v/>
      </c>
      <c r="P100" s="66">
        <f>IF(O100="","",IF(O100=0,"Current",IF(O100&lt;=30,"1-30",IF(O100&lt;=60,"31-60",IF(O100&lt;=90,"61-90","90+")))))</f>
        <v/>
      </c>
      <c r="Q100" s="66">
        <f>IF(T100&lt;&gt;"","⛔ "&amp;T100&amp;" — not posted",IF(U100&lt;&gt;"","⚠ "&amp;U100,IF(V100=1,"✓ OK","")))</f>
        <v/>
      </c>
      <c r="R100" s="67">
        <f>IF(AND(B100="",C100="",D100="",G100="",F100=""),1,0)</f>
        <v/>
      </c>
      <c r="S100" s="68">
        <f>IF(AND(TaxOn="Yes",ISNUMBER(H100)),H100,0)</f>
        <v/>
      </c>
      <c r="T100" s="67">
        <f>IF(R100=1,"",IF(B100="","Enter an invoice #",IF(C100="","Missing invoice date",IF(NOT(ISNUMBER(C100)),"Invalid date",IF(OR(C100&lt;DATE(2000,1,1),C100&gt;DATE(2099,12,31)),"Invalid date",IF(F100="","Select a revenue account",IF(ISNA(MATCH(F100,coa_Name,0)),"Unknown account: "&amp;F100,IF(NOT(ISNUMBER(G100)),"Enter an amount",IF(G100&lt;=0,"Amount must be positive",IF(S100&gt;G100,"Tax is larger than the amount",""))))))))))</f>
        <v/>
      </c>
      <c r="U100" s="67">
        <f>IF(OR(R100=1,T100&lt;&gt;""),"",IF(COUNTIF(ar_No,B100)&gt;1,"Duplicate invoice #",IF(D100="","Select a customer",IF(N(L100)&lt;0,"Overpaid by "&amp;TEXT(-L100,"#,##0.00"),IF(AND(ISNUMBER(H100),N(H100)&lt;&gt;0,S100=0),"Tax ignored (tax tracking is off)",IF(AND(ISNUMBER(StartDate),C100&lt;StartDate),"Date is before the accounting start date",IF(AND(IFERROR(INDEX(coa_Type,MATCH(F100,coa_Name,0)),"")&lt;&gt;"Revenue",IFERROR(INDEX(coa_Type,MATCH(F100,coa_Name,0)),"")&lt;&gt;"Other Income"),"Account is not a revenue account","")))))))</f>
        <v/>
      </c>
      <c r="V100" s="67">
        <f>IF(AND(R100=0,T100=""),1,0)</f>
        <v/>
      </c>
      <c r="W100" s="67">
        <f>IF(V100=1,acctAR,"")</f>
        <v/>
      </c>
      <c r="X100" s="67">
        <f>IF(V100=1,F100,"")</f>
        <v/>
      </c>
      <c r="Y100" s="68">
        <f>IF(V100=1,G100,0)</f>
        <v/>
      </c>
      <c r="Z100" s="68">
        <f>IF(V100=1,G100-S100,0)</f>
        <v/>
      </c>
      <c r="AA100" s="68">
        <f>IF(V100=1,S100,0)</f>
        <v/>
      </c>
    </row>
    <row r="101">
      <c r="B101" s="62" t="n"/>
      <c r="C101" s="63" t="n"/>
      <c r="D101" s="62" t="n"/>
      <c r="E101" s="62" t="n"/>
      <c r="F101" s="62" t="n"/>
      <c r="G101" s="64" t="n"/>
      <c r="H101" s="64" t="n"/>
      <c r="I101" s="63" t="n"/>
      <c r="J101" s="29">
        <f>IF(V101=1,IF(ISNUMBER(I101),I101,C101+IF(ISNUMBER(IFERROR(INDEX(cust_Terms,MATCH(D101,cust_Name,0)),"")),INDEX(cust_Terms,MATCH(D101,cust_Name,0)),TermsDays)),"")</f>
        <v/>
      </c>
      <c r="K101" s="65">
        <f>IF(V101=1,SUMIFS(tx_DrAmt,tx_Type,"Customer Payment",tx_Ref,B101&amp;"",tx_Date,"&lt;="&amp;AsOf),"")</f>
        <v/>
      </c>
      <c r="L101" s="65">
        <f>IF(V101=1,IF(C101&gt;AsOf,0,ROUND(G101-K101,2)),"")</f>
        <v/>
      </c>
      <c r="M101" s="66">
        <f>IF(V101&lt;&gt;1,"",IF(C101&gt;AsOf,"Future",IF(L101&lt;0,"Overpaid",IF(L101=0,"Paid",IF(AsOf&gt;J101,"Overdue",IF(K101&gt;0,"Partial","Unpaid"))))))</f>
        <v/>
      </c>
      <c r="N101" s="28">
        <f>IF(AND(V101=1,N(L101)&gt;0),AsOf-C101,"")</f>
        <v/>
      </c>
      <c r="O101" s="28">
        <f>IF(N101="","",MAX(0,AsOf-J101))</f>
        <v/>
      </c>
      <c r="P101" s="66">
        <f>IF(O101="","",IF(O101=0,"Current",IF(O101&lt;=30,"1-30",IF(O101&lt;=60,"31-60",IF(O101&lt;=90,"61-90","90+")))))</f>
        <v/>
      </c>
      <c r="Q101" s="66">
        <f>IF(T101&lt;&gt;"","⛔ "&amp;T101&amp;" — not posted",IF(U101&lt;&gt;"","⚠ "&amp;U101,IF(V101=1,"✓ OK","")))</f>
        <v/>
      </c>
      <c r="R101" s="67">
        <f>IF(AND(B101="",C101="",D101="",G101="",F101=""),1,0)</f>
        <v/>
      </c>
      <c r="S101" s="68">
        <f>IF(AND(TaxOn="Yes",ISNUMBER(H101)),H101,0)</f>
        <v/>
      </c>
      <c r="T101" s="67">
        <f>IF(R101=1,"",IF(B101="","Enter an invoice #",IF(C101="","Missing invoice date",IF(NOT(ISNUMBER(C101)),"Invalid date",IF(OR(C101&lt;DATE(2000,1,1),C101&gt;DATE(2099,12,31)),"Invalid date",IF(F101="","Select a revenue account",IF(ISNA(MATCH(F101,coa_Name,0)),"Unknown account: "&amp;F101,IF(NOT(ISNUMBER(G101)),"Enter an amount",IF(G101&lt;=0,"Amount must be positive",IF(S101&gt;G101,"Tax is larger than the amount",""))))))))))</f>
        <v/>
      </c>
      <c r="U101" s="67">
        <f>IF(OR(R101=1,T101&lt;&gt;""),"",IF(COUNTIF(ar_No,B101)&gt;1,"Duplicate invoice #",IF(D101="","Select a customer",IF(N(L101)&lt;0,"Overpaid by "&amp;TEXT(-L101,"#,##0.00"),IF(AND(ISNUMBER(H101),N(H101)&lt;&gt;0,S101=0),"Tax ignored (tax tracking is off)",IF(AND(ISNUMBER(StartDate),C101&lt;StartDate),"Date is before the accounting start date",IF(AND(IFERROR(INDEX(coa_Type,MATCH(F101,coa_Name,0)),"")&lt;&gt;"Revenue",IFERROR(INDEX(coa_Type,MATCH(F101,coa_Name,0)),"")&lt;&gt;"Other Income"),"Account is not a revenue account","")))))))</f>
        <v/>
      </c>
      <c r="V101" s="67">
        <f>IF(AND(R101=0,T101=""),1,0)</f>
        <v/>
      </c>
      <c r="W101" s="67">
        <f>IF(V101=1,acctAR,"")</f>
        <v/>
      </c>
      <c r="X101" s="67">
        <f>IF(V101=1,F101,"")</f>
        <v/>
      </c>
      <c r="Y101" s="68">
        <f>IF(V101=1,G101,0)</f>
        <v/>
      </c>
      <c r="Z101" s="68">
        <f>IF(V101=1,G101-S101,0)</f>
        <v/>
      </c>
      <c r="AA101" s="68">
        <f>IF(V101=1,S101,0)</f>
        <v/>
      </c>
    </row>
    <row r="102">
      <c r="B102" s="62" t="n"/>
      <c r="C102" s="63" t="n"/>
      <c r="D102" s="62" t="n"/>
      <c r="E102" s="62" t="n"/>
      <c r="F102" s="62" t="n"/>
      <c r="G102" s="64" t="n"/>
      <c r="H102" s="64" t="n"/>
      <c r="I102" s="63" t="n"/>
      <c r="J102" s="29">
        <f>IF(V102=1,IF(ISNUMBER(I102),I102,C102+IF(ISNUMBER(IFERROR(INDEX(cust_Terms,MATCH(D102,cust_Name,0)),"")),INDEX(cust_Terms,MATCH(D102,cust_Name,0)),TermsDays)),"")</f>
        <v/>
      </c>
      <c r="K102" s="65">
        <f>IF(V102=1,SUMIFS(tx_DrAmt,tx_Type,"Customer Payment",tx_Ref,B102&amp;"",tx_Date,"&lt;="&amp;AsOf),"")</f>
        <v/>
      </c>
      <c r="L102" s="65">
        <f>IF(V102=1,IF(C102&gt;AsOf,0,ROUND(G102-K102,2)),"")</f>
        <v/>
      </c>
      <c r="M102" s="66">
        <f>IF(V102&lt;&gt;1,"",IF(C102&gt;AsOf,"Future",IF(L102&lt;0,"Overpaid",IF(L102=0,"Paid",IF(AsOf&gt;J102,"Overdue",IF(K102&gt;0,"Partial","Unpaid"))))))</f>
        <v/>
      </c>
      <c r="N102" s="28">
        <f>IF(AND(V102=1,N(L102)&gt;0),AsOf-C102,"")</f>
        <v/>
      </c>
      <c r="O102" s="28">
        <f>IF(N102="","",MAX(0,AsOf-J102))</f>
        <v/>
      </c>
      <c r="P102" s="66">
        <f>IF(O102="","",IF(O102=0,"Current",IF(O102&lt;=30,"1-30",IF(O102&lt;=60,"31-60",IF(O102&lt;=90,"61-90","90+")))))</f>
        <v/>
      </c>
      <c r="Q102" s="66">
        <f>IF(T102&lt;&gt;"","⛔ "&amp;T102&amp;" — not posted",IF(U102&lt;&gt;"","⚠ "&amp;U102,IF(V102=1,"✓ OK","")))</f>
        <v/>
      </c>
      <c r="R102" s="67">
        <f>IF(AND(B102="",C102="",D102="",G102="",F102=""),1,0)</f>
        <v/>
      </c>
      <c r="S102" s="68">
        <f>IF(AND(TaxOn="Yes",ISNUMBER(H102)),H102,0)</f>
        <v/>
      </c>
      <c r="T102" s="67">
        <f>IF(R102=1,"",IF(B102="","Enter an invoice #",IF(C102="","Missing invoice date",IF(NOT(ISNUMBER(C102)),"Invalid date",IF(OR(C102&lt;DATE(2000,1,1),C102&gt;DATE(2099,12,31)),"Invalid date",IF(F102="","Select a revenue account",IF(ISNA(MATCH(F102,coa_Name,0)),"Unknown account: "&amp;F102,IF(NOT(ISNUMBER(G102)),"Enter an amount",IF(G102&lt;=0,"Amount must be positive",IF(S102&gt;G102,"Tax is larger than the amount",""))))))))))</f>
        <v/>
      </c>
      <c r="U102" s="67">
        <f>IF(OR(R102=1,T102&lt;&gt;""),"",IF(COUNTIF(ar_No,B102)&gt;1,"Duplicate invoice #",IF(D102="","Select a customer",IF(N(L102)&lt;0,"Overpaid by "&amp;TEXT(-L102,"#,##0.00"),IF(AND(ISNUMBER(H102),N(H102)&lt;&gt;0,S102=0),"Tax ignored (tax tracking is off)",IF(AND(ISNUMBER(StartDate),C102&lt;StartDate),"Date is before the accounting start date",IF(AND(IFERROR(INDEX(coa_Type,MATCH(F102,coa_Name,0)),"")&lt;&gt;"Revenue",IFERROR(INDEX(coa_Type,MATCH(F102,coa_Name,0)),"")&lt;&gt;"Other Income"),"Account is not a revenue account","")))))))</f>
        <v/>
      </c>
      <c r="V102" s="67">
        <f>IF(AND(R102=0,T102=""),1,0)</f>
        <v/>
      </c>
      <c r="W102" s="67">
        <f>IF(V102=1,acctAR,"")</f>
        <v/>
      </c>
      <c r="X102" s="67">
        <f>IF(V102=1,F102,"")</f>
        <v/>
      </c>
      <c r="Y102" s="68">
        <f>IF(V102=1,G102,0)</f>
        <v/>
      </c>
      <c r="Z102" s="68">
        <f>IF(V102=1,G102-S102,0)</f>
        <v/>
      </c>
      <c r="AA102" s="68">
        <f>IF(V102=1,S102,0)</f>
        <v/>
      </c>
    </row>
    <row r="103">
      <c r="B103" s="62" t="n"/>
      <c r="C103" s="63" t="n"/>
      <c r="D103" s="62" t="n"/>
      <c r="E103" s="62" t="n"/>
      <c r="F103" s="62" t="n"/>
      <c r="G103" s="64" t="n"/>
      <c r="H103" s="64" t="n"/>
      <c r="I103" s="63" t="n"/>
      <c r="J103" s="29">
        <f>IF(V103=1,IF(ISNUMBER(I103),I103,C103+IF(ISNUMBER(IFERROR(INDEX(cust_Terms,MATCH(D103,cust_Name,0)),"")),INDEX(cust_Terms,MATCH(D103,cust_Name,0)),TermsDays)),"")</f>
        <v/>
      </c>
      <c r="K103" s="65">
        <f>IF(V103=1,SUMIFS(tx_DrAmt,tx_Type,"Customer Payment",tx_Ref,B103&amp;"",tx_Date,"&lt;="&amp;AsOf),"")</f>
        <v/>
      </c>
      <c r="L103" s="65">
        <f>IF(V103=1,IF(C103&gt;AsOf,0,ROUND(G103-K103,2)),"")</f>
        <v/>
      </c>
      <c r="M103" s="66">
        <f>IF(V103&lt;&gt;1,"",IF(C103&gt;AsOf,"Future",IF(L103&lt;0,"Overpaid",IF(L103=0,"Paid",IF(AsOf&gt;J103,"Overdue",IF(K103&gt;0,"Partial","Unpaid"))))))</f>
        <v/>
      </c>
      <c r="N103" s="28">
        <f>IF(AND(V103=1,N(L103)&gt;0),AsOf-C103,"")</f>
        <v/>
      </c>
      <c r="O103" s="28">
        <f>IF(N103="","",MAX(0,AsOf-J103))</f>
        <v/>
      </c>
      <c r="P103" s="66">
        <f>IF(O103="","",IF(O103=0,"Current",IF(O103&lt;=30,"1-30",IF(O103&lt;=60,"31-60",IF(O103&lt;=90,"61-90","90+")))))</f>
        <v/>
      </c>
      <c r="Q103" s="66">
        <f>IF(T103&lt;&gt;"","⛔ "&amp;T103&amp;" — not posted",IF(U103&lt;&gt;"","⚠ "&amp;U103,IF(V103=1,"✓ OK","")))</f>
        <v/>
      </c>
      <c r="R103" s="67">
        <f>IF(AND(B103="",C103="",D103="",G103="",F103=""),1,0)</f>
        <v/>
      </c>
      <c r="S103" s="68">
        <f>IF(AND(TaxOn="Yes",ISNUMBER(H103)),H103,0)</f>
        <v/>
      </c>
      <c r="T103" s="67">
        <f>IF(R103=1,"",IF(B103="","Enter an invoice #",IF(C103="","Missing invoice date",IF(NOT(ISNUMBER(C103)),"Invalid date",IF(OR(C103&lt;DATE(2000,1,1),C103&gt;DATE(2099,12,31)),"Invalid date",IF(F103="","Select a revenue account",IF(ISNA(MATCH(F103,coa_Name,0)),"Unknown account: "&amp;F103,IF(NOT(ISNUMBER(G103)),"Enter an amount",IF(G103&lt;=0,"Amount must be positive",IF(S103&gt;G103,"Tax is larger than the amount",""))))))))))</f>
        <v/>
      </c>
      <c r="U103" s="67">
        <f>IF(OR(R103=1,T103&lt;&gt;""),"",IF(COUNTIF(ar_No,B103)&gt;1,"Duplicate invoice #",IF(D103="","Select a customer",IF(N(L103)&lt;0,"Overpaid by "&amp;TEXT(-L103,"#,##0.00"),IF(AND(ISNUMBER(H103),N(H103)&lt;&gt;0,S103=0),"Tax ignored (tax tracking is off)",IF(AND(ISNUMBER(StartDate),C103&lt;StartDate),"Date is before the accounting start date",IF(AND(IFERROR(INDEX(coa_Type,MATCH(F103,coa_Name,0)),"")&lt;&gt;"Revenue",IFERROR(INDEX(coa_Type,MATCH(F103,coa_Name,0)),"")&lt;&gt;"Other Income"),"Account is not a revenue account","")))))))</f>
        <v/>
      </c>
      <c r="V103" s="67">
        <f>IF(AND(R103=0,T103=""),1,0)</f>
        <v/>
      </c>
      <c r="W103" s="67">
        <f>IF(V103=1,acctAR,"")</f>
        <v/>
      </c>
      <c r="X103" s="67">
        <f>IF(V103=1,F103,"")</f>
        <v/>
      </c>
      <c r="Y103" s="68">
        <f>IF(V103=1,G103,0)</f>
        <v/>
      </c>
      <c r="Z103" s="68">
        <f>IF(V103=1,G103-S103,0)</f>
        <v/>
      </c>
      <c r="AA103" s="68">
        <f>IF(V103=1,S103,0)</f>
        <v/>
      </c>
    </row>
    <row r="104">
      <c r="B104" s="62" t="n"/>
      <c r="C104" s="63" t="n"/>
      <c r="D104" s="62" t="n"/>
      <c r="E104" s="62" t="n"/>
      <c r="F104" s="62" t="n"/>
      <c r="G104" s="64" t="n"/>
      <c r="H104" s="64" t="n"/>
      <c r="I104" s="63" t="n"/>
      <c r="J104" s="29">
        <f>IF(V104=1,IF(ISNUMBER(I104),I104,C104+IF(ISNUMBER(IFERROR(INDEX(cust_Terms,MATCH(D104,cust_Name,0)),"")),INDEX(cust_Terms,MATCH(D104,cust_Name,0)),TermsDays)),"")</f>
        <v/>
      </c>
      <c r="K104" s="65">
        <f>IF(V104=1,SUMIFS(tx_DrAmt,tx_Type,"Customer Payment",tx_Ref,B104&amp;"",tx_Date,"&lt;="&amp;AsOf),"")</f>
        <v/>
      </c>
      <c r="L104" s="65">
        <f>IF(V104=1,IF(C104&gt;AsOf,0,ROUND(G104-K104,2)),"")</f>
        <v/>
      </c>
      <c r="M104" s="66">
        <f>IF(V104&lt;&gt;1,"",IF(C104&gt;AsOf,"Future",IF(L104&lt;0,"Overpaid",IF(L104=0,"Paid",IF(AsOf&gt;J104,"Overdue",IF(K104&gt;0,"Partial","Unpaid"))))))</f>
        <v/>
      </c>
      <c r="N104" s="28">
        <f>IF(AND(V104=1,N(L104)&gt;0),AsOf-C104,"")</f>
        <v/>
      </c>
      <c r="O104" s="28">
        <f>IF(N104="","",MAX(0,AsOf-J104))</f>
        <v/>
      </c>
      <c r="P104" s="66">
        <f>IF(O104="","",IF(O104=0,"Current",IF(O104&lt;=30,"1-30",IF(O104&lt;=60,"31-60",IF(O104&lt;=90,"61-90","90+")))))</f>
        <v/>
      </c>
      <c r="Q104" s="66">
        <f>IF(T104&lt;&gt;"","⛔ "&amp;T104&amp;" — not posted",IF(U104&lt;&gt;"","⚠ "&amp;U104,IF(V104=1,"✓ OK","")))</f>
        <v/>
      </c>
      <c r="R104" s="67">
        <f>IF(AND(B104="",C104="",D104="",G104="",F104=""),1,0)</f>
        <v/>
      </c>
      <c r="S104" s="68">
        <f>IF(AND(TaxOn="Yes",ISNUMBER(H104)),H104,0)</f>
        <v/>
      </c>
      <c r="T104" s="67">
        <f>IF(R104=1,"",IF(B104="","Enter an invoice #",IF(C104="","Missing invoice date",IF(NOT(ISNUMBER(C104)),"Invalid date",IF(OR(C104&lt;DATE(2000,1,1),C104&gt;DATE(2099,12,31)),"Invalid date",IF(F104="","Select a revenue account",IF(ISNA(MATCH(F104,coa_Name,0)),"Unknown account: "&amp;F104,IF(NOT(ISNUMBER(G104)),"Enter an amount",IF(G104&lt;=0,"Amount must be positive",IF(S104&gt;G104,"Tax is larger than the amount",""))))))))))</f>
        <v/>
      </c>
      <c r="U104" s="67">
        <f>IF(OR(R104=1,T104&lt;&gt;""),"",IF(COUNTIF(ar_No,B104)&gt;1,"Duplicate invoice #",IF(D104="","Select a customer",IF(N(L104)&lt;0,"Overpaid by "&amp;TEXT(-L104,"#,##0.00"),IF(AND(ISNUMBER(H104),N(H104)&lt;&gt;0,S104=0),"Tax ignored (tax tracking is off)",IF(AND(ISNUMBER(StartDate),C104&lt;StartDate),"Date is before the accounting start date",IF(AND(IFERROR(INDEX(coa_Type,MATCH(F104,coa_Name,0)),"")&lt;&gt;"Revenue",IFERROR(INDEX(coa_Type,MATCH(F104,coa_Name,0)),"")&lt;&gt;"Other Income"),"Account is not a revenue account","")))))))</f>
        <v/>
      </c>
      <c r="V104" s="67">
        <f>IF(AND(R104=0,T104=""),1,0)</f>
        <v/>
      </c>
      <c r="W104" s="67">
        <f>IF(V104=1,acctAR,"")</f>
        <v/>
      </c>
      <c r="X104" s="67">
        <f>IF(V104=1,F104,"")</f>
        <v/>
      </c>
      <c r="Y104" s="68">
        <f>IF(V104=1,G104,0)</f>
        <v/>
      </c>
      <c r="Z104" s="68">
        <f>IF(V104=1,G104-S104,0)</f>
        <v/>
      </c>
      <c r="AA104" s="68">
        <f>IF(V104=1,S104,0)</f>
        <v/>
      </c>
    </row>
    <row r="105">
      <c r="B105" s="62" t="n"/>
      <c r="C105" s="63" t="n"/>
      <c r="D105" s="62" t="n"/>
      <c r="E105" s="62" t="n"/>
      <c r="F105" s="62" t="n"/>
      <c r="G105" s="64" t="n"/>
      <c r="H105" s="64" t="n"/>
      <c r="I105" s="63" t="n"/>
      <c r="J105" s="29">
        <f>IF(V105=1,IF(ISNUMBER(I105),I105,C105+IF(ISNUMBER(IFERROR(INDEX(cust_Terms,MATCH(D105,cust_Name,0)),"")),INDEX(cust_Terms,MATCH(D105,cust_Name,0)),TermsDays)),"")</f>
        <v/>
      </c>
      <c r="K105" s="65">
        <f>IF(V105=1,SUMIFS(tx_DrAmt,tx_Type,"Customer Payment",tx_Ref,B105&amp;"",tx_Date,"&lt;="&amp;AsOf),"")</f>
        <v/>
      </c>
      <c r="L105" s="65">
        <f>IF(V105=1,IF(C105&gt;AsOf,0,ROUND(G105-K105,2)),"")</f>
        <v/>
      </c>
      <c r="M105" s="66">
        <f>IF(V105&lt;&gt;1,"",IF(C105&gt;AsOf,"Future",IF(L105&lt;0,"Overpaid",IF(L105=0,"Paid",IF(AsOf&gt;J105,"Overdue",IF(K105&gt;0,"Partial","Unpaid"))))))</f>
        <v/>
      </c>
      <c r="N105" s="28">
        <f>IF(AND(V105=1,N(L105)&gt;0),AsOf-C105,"")</f>
        <v/>
      </c>
      <c r="O105" s="28">
        <f>IF(N105="","",MAX(0,AsOf-J105))</f>
        <v/>
      </c>
      <c r="P105" s="66">
        <f>IF(O105="","",IF(O105=0,"Current",IF(O105&lt;=30,"1-30",IF(O105&lt;=60,"31-60",IF(O105&lt;=90,"61-90","90+")))))</f>
        <v/>
      </c>
      <c r="Q105" s="66">
        <f>IF(T105&lt;&gt;"","⛔ "&amp;T105&amp;" — not posted",IF(U105&lt;&gt;"","⚠ "&amp;U105,IF(V105=1,"✓ OK","")))</f>
        <v/>
      </c>
      <c r="R105" s="67">
        <f>IF(AND(B105="",C105="",D105="",G105="",F105=""),1,0)</f>
        <v/>
      </c>
      <c r="S105" s="68">
        <f>IF(AND(TaxOn="Yes",ISNUMBER(H105)),H105,0)</f>
        <v/>
      </c>
      <c r="T105" s="67">
        <f>IF(R105=1,"",IF(B105="","Enter an invoice #",IF(C105="","Missing invoice date",IF(NOT(ISNUMBER(C105)),"Invalid date",IF(OR(C105&lt;DATE(2000,1,1),C105&gt;DATE(2099,12,31)),"Invalid date",IF(F105="","Select a revenue account",IF(ISNA(MATCH(F105,coa_Name,0)),"Unknown account: "&amp;F105,IF(NOT(ISNUMBER(G105)),"Enter an amount",IF(G105&lt;=0,"Amount must be positive",IF(S105&gt;G105,"Tax is larger than the amount",""))))))))))</f>
        <v/>
      </c>
      <c r="U105" s="67">
        <f>IF(OR(R105=1,T105&lt;&gt;""),"",IF(COUNTIF(ar_No,B105)&gt;1,"Duplicate invoice #",IF(D105="","Select a customer",IF(N(L105)&lt;0,"Overpaid by "&amp;TEXT(-L105,"#,##0.00"),IF(AND(ISNUMBER(H105),N(H105)&lt;&gt;0,S105=0),"Tax ignored (tax tracking is off)",IF(AND(ISNUMBER(StartDate),C105&lt;StartDate),"Date is before the accounting start date",IF(AND(IFERROR(INDEX(coa_Type,MATCH(F105,coa_Name,0)),"")&lt;&gt;"Revenue",IFERROR(INDEX(coa_Type,MATCH(F105,coa_Name,0)),"")&lt;&gt;"Other Income"),"Account is not a revenue account","")))))))</f>
        <v/>
      </c>
      <c r="V105" s="67">
        <f>IF(AND(R105=0,T105=""),1,0)</f>
        <v/>
      </c>
      <c r="W105" s="67">
        <f>IF(V105=1,acctAR,"")</f>
        <v/>
      </c>
      <c r="X105" s="67">
        <f>IF(V105=1,F105,"")</f>
        <v/>
      </c>
      <c r="Y105" s="68">
        <f>IF(V105=1,G105,0)</f>
        <v/>
      </c>
      <c r="Z105" s="68">
        <f>IF(V105=1,G105-S105,0)</f>
        <v/>
      </c>
      <c r="AA105" s="68">
        <f>IF(V105=1,S105,0)</f>
        <v/>
      </c>
    </row>
    <row r="106">
      <c r="B106" s="62" t="n"/>
      <c r="C106" s="63" t="n"/>
      <c r="D106" s="62" t="n"/>
      <c r="E106" s="62" t="n"/>
      <c r="F106" s="62" t="n"/>
      <c r="G106" s="64" t="n"/>
      <c r="H106" s="64" t="n"/>
      <c r="I106" s="63" t="n"/>
      <c r="J106" s="29">
        <f>IF(V106=1,IF(ISNUMBER(I106),I106,C106+IF(ISNUMBER(IFERROR(INDEX(cust_Terms,MATCH(D106,cust_Name,0)),"")),INDEX(cust_Terms,MATCH(D106,cust_Name,0)),TermsDays)),"")</f>
        <v/>
      </c>
      <c r="K106" s="65">
        <f>IF(V106=1,SUMIFS(tx_DrAmt,tx_Type,"Customer Payment",tx_Ref,B106&amp;"",tx_Date,"&lt;="&amp;AsOf),"")</f>
        <v/>
      </c>
      <c r="L106" s="65">
        <f>IF(V106=1,IF(C106&gt;AsOf,0,ROUND(G106-K106,2)),"")</f>
        <v/>
      </c>
      <c r="M106" s="66">
        <f>IF(V106&lt;&gt;1,"",IF(C106&gt;AsOf,"Future",IF(L106&lt;0,"Overpaid",IF(L106=0,"Paid",IF(AsOf&gt;J106,"Overdue",IF(K106&gt;0,"Partial","Unpaid"))))))</f>
        <v/>
      </c>
      <c r="N106" s="28">
        <f>IF(AND(V106=1,N(L106)&gt;0),AsOf-C106,"")</f>
        <v/>
      </c>
      <c r="O106" s="28">
        <f>IF(N106="","",MAX(0,AsOf-J106))</f>
        <v/>
      </c>
      <c r="P106" s="66">
        <f>IF(O106="","",IF(O106=0,"Current",IF(O106&lt;=30,"1-30",IF(O106&lt;=60,"31-60",IF(O106&lt;=90,"61-90","90+")))))</f>
        <v/>
      </c>
      <c r="Q106" s="66">
        <f>IF(T106&lt;&gt;"","⛔ "&amp;T106&amp;" — not posted",IF(U106&lt;&gt;"","⚠ "&amp;U106,IF(V106=1,"✓ OK","")))</f>
        <v/>
      </c>
      <c r="R106" s="67">
        <f>IF(AND(B106="",C106="",D106="",G106="",F106=""),1,0)</f>
        <v/>
      </c>
      <c r="S106" s="68">
        <f>IF(AND(TaxOn="Yes",ISNUMBER(H106)),H106,0)</f>
        <v/>
      </c>
      <c r="T106" s="67">
        <f>IF(R106=1,"",IF(B106="","Enter an invoice #",IF(C106="","Missing invoice date",IF(NOT(ISNUMBER(C106)),"Invalid date",IF(OR(C106&lt;DATE(2000,1,1),C106&gt;DATE(2099,12,31)),"Invalid date",IF(F106="","Select a revenue account",IF(ISNA(MATCH(F106,coa_Name,0)),"Unknown account: "&amp;F106,IF(NOT(ISNUMBER(G106)),"Enter an amount",IF(G106&lt;=0,"Amount must be positive",IF(S106&gt;G106,"Tax is larger than the amount",""))))))))))</f>
        <v/>
      </c>
      <c r="U106" s="67">
        <f>IF(OR(R106=1,T106&lt;&gt;""),"",IF(COUNTIF(ar_No,B106)&gt;1,"Duplicate invoice #",IF(D106="","Select a customer",IF(N(L106)&lt;0,"Overpaid by "&amp;TEXT(-L106,"#,##0.00"),IF(AND(ISNUMBER(H106),N(H106)&lt;&gt;0,S106=0),"Tax ignored (tax tracking is off)",IF(AND(ISNUMBER(StartDate),C106&lt;StartDate),"Date is before the accounting start date",IF(AND(IFERROR(INDEX(coa_Type,MATCH(F106,coa_Name,0)),"")&lt;&gt;"Revenue",IFERROR(INDEX(coa_Type,MATCH(F106,coa_Name,0)),"")&lt;&gt;"Other Income"),"Account is not a revenue account","")))))))</f>
        <v/>
      </c>
      <c r="V106" s="67">
        <f>IF(AND(R106=0,T106=""),1,0)</f>
        <v/>
      </c>
      <c r="W106" s="67">
        <f>IF(V106=1,acctAR,"")</f>
        <v/>
      </c>
      <c r="X106" s="67">
        <f>IF(V106=1,F106,"")</f>
        <v/>
      </c>
      <c r="Y106" s="68">
        <f>IF(V106=1,G106,0)</f>
        <v/>
      </c>
      <c r="Z106" s="68">
        <f>IF(V106=1,G106-S106,0)</f>
        <v/>
      </c>
      <c r="AA106" s="68">
        <f>IF(V106=1,S106,0)</f>
        <v/>
      </c>
    </row>
    <row r="107">
      <c r="B107" s="62" t="n"/>
      <c r="C107" s="63" t="n"/>
      <c r="D107" s="62" t="n"/>
      <c r="E107" s="62" t="n"/>
      <c r="F107" s="62" t="n"/>
      <c r="G107" s="64" t="n"/>
      <c r="H107" s="64" t="n"/>
      <c r="I107" s="63" t="n"/>
      <c r="J107" s="29">
        <f>IF(V107=1,IF(ISNUMBER(I107),I107,C107+IF(ISNUMBER(IFERROR(INDEX(cust_Terms,MATCH(D107,cust_Name,0)),"")),INDEX(cust_Terms,MATCH(D107,cust_Name,0)),TermsDays)),"")</f>
        <v/>
      </c>
      <c r="K107" s="65">
        <f>IF(V107=1,SUMIFS(tx_DrAmt,tx_Type,"Customer Payment",tx_Ref,B107&amp;"",tx_Date,"&lt;="&amp;AsOf),"")</f>
        <v/>
      </c>
      <c r="L107" s="65">
        <f>IF(V107=1,IF(C107&gt;AsOf,0,ROUND(G107-K107,2)),"")</f>
        <v/>
      </c>
      <c r="M107" s="66">
        <f>IF(V107&lt;&gt;1,"",IF(C107&gt;AsOf,"Future",IF(L107&lt;0,"Overpaid",IF(L107=0,"Paid",IF(AsOf&gt;J107,"Overdue",IF(K107&gt;0,"Partial","Unpaid"))))))</f>
        <v/>
      </c>
      <c r="N107" s="28">
        <f>IF(AND(V107=1,N(L107)&gt;0),AsOf-C107,"")</f>
        <v/>
      </c>
      <c r="O107" s="28">
        <f>IF(N107="","",MAX(0,AsOf-J107))</f>
        <v/>
      </c>
      <c r="P107" s="66">
        <f>IF(O107="","",IF(O107=0,"Current",IF(O107&lt;=30,"1-30",IF(O107&lt;=60,"31-60",IF(O107&lt;=90,"61-90","90+")))))</f>
        <v/>
      </c>
      <c r="Q107" s="66">
        <f>IF(T107&lt;&gt;"","⛔ "&amp;T107&amp;" — not posted",IF(U107&lt;&gt;"","⚠ "&amp;U107,IF(V107=1,"✓ OK","")))</f>
        <v/>
      </c>
      <c r="R107" s="67">
        <f>IF(AND(B107="",C107="",D107="",G107="",F107=""),1,0)</f>
        <v/>
      </c>
      <c r="S107" s="68">
        <f>IF(AND(TaxOn="Yes",ISNUMBER(H107)),H107,0)</f>
        <v/>
      </c>
      <c r="T107" s="67">
        <f>IF(R107=1,"",IF(B107="","Enter an invoice #",IF(C107="","Missing invoice date",IF(NOT(ISNUMBER(C107)),"Invalid date",IF(OR(C107&lt;DATE(2000,1,1),C107&gt;DATE(2099,12,31)),"Invalid date",IF(F107="","Select a revenue account",IF(ISNA(MATCH(F107,coa_Name,0)),"Unknown account: "&amp;F107,IF(NOT(ISNUMBER(G107)),"Enter an amount",IF(G107&lt;=0,"Amount must be positive",IF(S107&gt;G107,"Tax is larger than the amount",""))))))))))</f>
        <v/>
      </c>
      <c r="U107" s="67">
        <f>IF(OR(R107=1,T107&lt;&gt;""),"",IF(COUNTIF(ar_No,B107)&gt;1,"Duplicate invoice #",IF(D107="","Select a customer",IF(N(L107)&lt;0,"Overpaid by "&amp;TEXT(-L107,"#,##0.00"),IF(AND(ISNUMBER(H107),N(H107)&lt;&gt;0,S107=0),"Tax ignored (tax tracking is off)",IF(AND(ISNUMBER(StartDate),C107&lt;StartDate),"Date is before the accounting start date",IF(AND(IFERROR(INDEX(coa_Type,MATCH(F107,coa_Name,0)),"")&lt;&gt;"Revenue",IFERROR(INDEX(coa_Type,MATCH(F107,coa_Name,0)),"")&lt;&gt;"Other Income"),"Account is not a revenue account","")))))))</f>
        <v/>
      </c>
      <c r="V107" s="67">
        <f>IF(AND(R107=0,T107=""),1,0)</f>
        <v/>
      </c>
      <c r="W107" s="67">
        <f>IF(V107=1,acctAR,"")</f>
        <v/>
      </c>
      <c r="X107" s="67">
        <f>IF(V107=1,F107,"")</f>
        <v/>
      </c>
      <c r="Y107" s="68">
        <f>IF(V107=1,G107,0)</f>
        <v/>
      </c>
      <c r="Z107" s="68">
        <f>IF(V107=1,G107-S107,0)</f>
        <v/>
      </c>
      <c r="AA107" s="68">
        <f>IF(V107=1,S107,0)</f>
        <v/>
      </c>
    </row>
    <row r="108">
      <c r="B108" s="62" t="n"/>
      <c r="C108" s="63" t="n"/>
      <c r="D108" s="62" t="n"/>
      <c r="E108" s="62" t="n"/>
      <c r="F108" s="62" t="n"/>
      <c r="G108" s="64" t="n"/>
      <c r="H108" s="64" t="n"/>
      <c r="I108" s="63" t="n"/>
      <c r="J108" s="29">
        <f>IF(V108=1,IF(ISNUMBER(I108),I108,C108+IF(ISNUMBER(IFERROR(INDEX(cust_Terms,MATCH(D108,cust_Name,0)),"")),INDEX(cust_Terms,MATCH(D108,cust_Name,0)),TermsDays)),"")</f>
        <v/>
      </c>
      <c r="K108" s="65">
        <f>IF(V108=1,SUMIFS(tx_DrAmt,tx_Type,"Customer Payment",tx_Ref,B108&amp;"",tx_Date,"&lt;="&amp;AsOf),"")</f>
        <v/>
      </c>
      <c r="L108" s="65">
        <f>IF(V108=1,IF(C108&gt;AsOf,0,ROUND(G108-K108,2)),"")</f>
        <v/>
      </c>
      <c r="M108" s="66">
        <f>IF(V108&lt;&gt;1,"",IF(C108&gt;AsOf,"Future",IF(L108&lt;0,"Overpaid",IF(L108=0,"Paid",IF(AsOf&gt;J108,"Overdue",IF(K108&gt;0,"Partial","Unpaid"))))))</f>
        <v/>
      </c>
      <c r="N108" s="28">
        <f>IF(AND(V108=1,N(L108)&gt;0),AsOf-C108,"")</f>
        <v/>
      </c>
      <c r="O108" s="28">
        <f>IF(N108="","",MAX(0,AsOf-J108))</f>
        <v/>
      </c>
      <c r="P108" s="66">
        <f>IF(O108="","",IF(O108=0,"Current",IF(O108&lt;=30,"1-30",IF(O108&lt;=60,"31-60",IF(O108&lt;=90,"61-90","90+")))))</f>
        <v/>
      </c>
      <c r="Q108" s="66">
        <f>IF(T108&lt;&gt;"","⛔ "&amp;T108&amp;" — not posted",IF(U108&lt;&gt;"","⚠ "&amp;U108,IF(V108=1,"✓ OK","")))</f>
        <v/>
      </c>
      <c r="R108" s="67">
        <f>IF(AND(B108="",C108="",D108="",G108="",F108=""),1,0)</f>
        <v/>
      </c>
      <c r="S108" s="68">
        <f>IF(AND(TaxOn="Yes",ISNUMBER(H108)),H108,0)</f>
        <v/>
      </c>
      <c r="T108" s="67">
        <f>IF(R108=1,"",IF(B108="","Enter an invoice #",IF(C108="","Missing invoice date",IF(NOT(ISNUMBER(C108)),"Invalid date",IF(OR(C108&lt;DATE(2000,1,1),C108&gt;DATE(2099,12,31)),"Invalid date",IF(F108="","Select a revenue account",IF(ISNA(MATCH(F108,coa_Name,0)),"Unknown account: "&amp;F108,IF(NOT(ISNUMBER(G108)),"Enter an amount",IF(G108&lt;=0,"Amount must be positive",IF(S108&gt;G108,"Tax is larger than the amount",""))))))))))</f>
        <v/>
      </c>
      <c r="U108" s="67">
        <f>IF(OR(R108=1,T108&lt;&gt;""),"",IF(COUNTIF(ar_No,B108)&gt;1,"Duplicate invoice #",IF(D108="","Select a customer",IF(N(L108)&lt;0,"Overpaid by "&amp;TEXT(-L108,"#,##0.00"),IF(AND(ISNUMBER(H108),N(H108)&lt;&gt;0,S108=0),"Tax ignored (tax tracking is off)",IF(AND(ISNUMBER(StartDate),C108&lt;StartDate),"Date is before the accounting start date",IF(AND(IFERROR(INDEX(coa_Type,MATCH(F108,coa_Name,0)),"")&lt;&gt;"Revenue",IFERROR(INDEX(coa_Type,MATCH(F108,coa_Name,0)),"")&lt;&gt;"Other Income"),"Account is not a revenue account","")))))))</f>
        <v/>
      </c>
      <c r="V108" s="67">
        <f>IF(AND(R108=0,T108=""),1,0)</f>
        <v/>
      </c>
      <c r="W108" s="67">
        <f>IF(V108=1,acctAR,"")</f>
        <v/>
      </c>
      <c r="X108" s="67">
        <f>IF(V108=1,F108,"")</f>
        <v/>
      </c>
      <c r="Y108" s="68">
        <f>IF(V108=1,G108,0)</f>
        <v/>
      </c>
      <c r="Z108" s="68">
        <f>IF(V108=1,G108-S108,0)</f>
        <v/>
      </c>
      <c r="AA108" s="68">
        <f>IF(V108=1,S108,0)</f>
        <v/>
      </c>
    </row>
    <row r="109">
      <c r="B109" s="62" t="n"/>
      <c r="C109" s="63" t="n"/>
      <c r="D109" s="62" t="n"/>
      <c r="E109" s="62" t="n"/>
      <c r="F109" s="62" t="n"/>
      <c r="G109" s="64" t="n"/>
      <c r="H109" s="64" t="n"/>
      <c r="I109" s="63" t="n"/>
      <c r="J109" s="29">
        <f>IF(V109=1,IF(ISNUMBER(I109),I109,C109+IF(ISNUMBER(IFERROR(INDEX(cust_Terms,MATCH(D109,cust_Name,0)),"")),INDEX(cust_Terms,MATCH(D109,cust_Name,0)),TermsDays)),"")</f>
        <v/>
      </c>
      <c r="K109" s="65">
        <f>IF(V109=1,SUMIFS(tx_DrAmt,tx_Type,"Customer Payment",tx_Ref,B109&amp;"",tx_Date,"&lt;="&amp;AsOf),"")</f>
        <v/>
      </c>
      <c r="L109" s="65">
        <f>IF(V109=1,IF(C109&gt;AsOf,0,ROUND(G109-K109,2)),"")</f>
        <v/>
      </c>
      <c r="M109" s="66">
        <f>IF(V109&lt;&gt;1,"",IF(C109&gt;AsOf,"Future",IF(L109&lt;0,"Overpaid",IF(L109=0,"Paid",IF(AsOf&gt;J109,"Overdue",IF(K109&gt;0,"Partial","Unpaid"))))))</f>
        <v/>
      </c>
      <c r="N109" s="28">
        <f>IF(AND(V109=1,N(L109)&gt;0),AsOf-C109,"")</f>
        <v/>
      </c>
      <c r="O109" s="28">
        <f>IF(N109="","",MAX(0,AsOf-J109))</f>
        <v/>
      </c>
      <c r="P109" s="66">
        <f>IF(O109="","",IF(O109=0,"Current",IF(O109&lt;=30,"1-30",IF(O109&lt;=60,"31-60",IF(O109&lt;=90,"61-90","90+")))))</f>
        <v/>
      </c>
      <c r="Q109" s="66">
        <f>IF(T109&lt;&gt;"","⛔ "&amp;T109&amp;" — not posted",IF(U109&lt;&gt;"","⚠ "&amp;U109,IF(V109=1,"✓ OK","")))</f>
        <v/>
      </c>
      <c r="R109" s="67">
        <f>IF(AND(B109="",C109="",D109="",G109="",F109=""),1,0)</f>
        <v/>
      </c>
      <c r="S109" s="68">
        <f>IF(AND(TaxOn="Yes",ISNUMBER(H109)),H109,0)</f>
        <v/>
      </c>
      <c r="T109" s="67">
        <f>IF(R109=1,"",IF(B109="","Enter an invoice #",IF(C109="","Missing invoice date",IF(NOT(ISNUMBER(C109)),"Invalid date",IF(OR(C109&lt;DATE(2000,1,1),C109&gt;DATE(2099,12,31)),"Invalid date",IF(F109="","Select a revenue account",IF(ISNA(MATCH(F109,coa_Name,0)),"Unknown account: "&amp;F109,IF(NOT(ISNUMBER(G109)),"Enter an amount",IF(G109&lt;=0,"Amount must be positive",IF(S109&gt;G109,"Tax is larger than the amount",""))))))))))</f>
        <v/>
      </c>
      <c r="U109" s="67">
        <f>IF(OR(R109=1,T109&lt;&gt;""),"",IF(COUNTIF(ar_No,B109)&gt;1,"Duplicate invoice #",IF(D109="","Select a customer",IF(N(L109)&lt;0,"Overpaid by "&amp;TEXT(-L109,"#,##0.00"),IF(AND(ISNUMBER(H109),N(H109)&lt;&gt;0,S109=0),"Tax ignored (tax tracking is off)",IF(AND(ISNUMBER(StartDate),C109&lt;StartDate),"Date is before the accounting start date",IF(AND(IFERROR(INDEX(coa_Type,MATCH(F109,coa_Name,0)),"")&lt;&gt;"Revenue",IFERROR(INDEX(coa_Type,MATCH(F109,coa_Name,0)),"")&lt;&gt;"Other Income"),"Account is not a revenue account","")))))))</f>
        <v/>
      </c>
      <c r="V109" s="67">
        <f>IF(AND(R109=0,T109=""),1,0)</f>
        <v/>
      </c>
      <c r="W109" s="67">
        <f>IF(V109=1,acctAR,"")</f>
        <v/>
      </c>
      <c r="X109" s="67">
        <f>IF(V109=1,F109,"")</f>
        <v/>
      </c>
      <c r="Y109" s="68">
        <f>IF(V109=1,G109,0)</f>
        <v/>
      </c>
      <c r="Z109" s="68">
        <f>IF(V109=1,G109-S109,0)</f>
        <v/>
      </c>
      <c r="AA109" s="68">
        <f>IF(V109=1,S109,0)</f>
        <v/>
      </c>
    </row>
    <row r="110">
      <c r="B110" s="62" t="n"/>
      <c r="C110" s="63" t="n"/>
      <c r="D110" s="62" t="n"/>
      <c r="E110" s="62" t="n"/>
      <c r="F110" s="62" t="n"/>
      <c r="G110" s="64" t="n"/>
      <c r="H110" s="64" t="n"/>
      <c r="I110" s="63" t="n"/>
      <c r="J110" s="29">
        <f>IF(V110=1,IF(ISNUMBER(I110),I110,C110+IF(ISNUMBER(IFERROR(INDEX(cust_Terms,MATCH(D110,cust_Name,0)),"")),INDEX(cust_Terms,MATCH(D110,cust_Name,0)),TermsDays)),"")</f>
        <v/>
      </c>
      <c r="K110" s="65">
        <f>IF(V110=1,SUMIFS(tx_DrAmt,tx_Type,"Customer Payment",tx_Ref,B110&amp;"",tx_Date,"&lt;="&amp;AsOf),"")</f>
        <v/>
      </c>
      <c r="L110" s="65">
        <f>IF(V110=1,IF(C110&gt;AsOf,0,ROUND(G110-K110,2)),"")</f>
        <v/>
      </c>
      <c r="M110" s="66">
        <f>IF(V110&lt;&gt;1,"",IF(C110&gt;AsOf,"Future",IF(L110&lt;0,"Overpaid",IF(L110=0,"Paid",IF(AsOf&gt;J110,"Overdue",IF(K110&gt;0,"Partial","Unpaid"))))))</f>
        <v/>
      </c>
      <c r="N110" s="28">
        <f>IF(AND(V110=1,N(L110)&gt;0),AsOf-C110,"")</f>
        <v/>
      </c>
      <c r="O110" s="28">
        <f>IF(N110="","",MAX(0,AsOf-J110))</f>
        <v/>
      </c>
      <c r="P110" s="66">
        <f>IF(O110="","",IF(O110=0,"Current",IF(O110&lt;=30,"1-30",IF(O110&lt;=60,"31-60",IF(O110&lt;=90,"61-90","90+")))))</f>
        <v/>
      </c>
      <c r="Q110" s="66">
        <f>IF(T110&lt;&gt;"","⛔ "&amp;T110&amp;" — not posted",IF(U110&lt;&gt;"","⚠ "&amp;U110,IF(V110=1,"✓ OK","")))</f>
        <v/>
      </c>
      <c r="R110" s="67">
        <f>IF(AND(B110="",C110="",D110="",G110="",F110=""),1,0)</f>
        <v/>
      </c>
      <c r="S110" s="68">
        <f>IF(AND(TaxOn="Yes",ISNUMBER(H110)),H110,0)</f>
        <v/>
      </c>
      <c r="T110" s="67">
        <f>IF(R110=1,"",IF(B110="","Enter an invoice #",IF(C110="","Missing invoice date",IF(NOT(ISNUMBER(C110)),"Invalid date",IF(OR(C110&lt;DATE(2000,1,1),C110&gt;DATE(2099,12,31)),"Invalid date",IF(F110="","Select a revenue account",IF(ISNA(MATCH(F110,coa_Name,0)),"Unknown account: "&amp;F110,IF(NOT(ISNUMBER(G110)),"Enter an amount",IF(G110&lt;=0,"Amount must be positive",IF(S110&gt;G110,"Tax is larger than the amount",""))))))))))</f>
        <v/>
      </c>
      <c r="U110" s="67">
        <f>IF(OR(R110=1,T110&lt;&gt;""),"",IF(COUNTIF(ar_No,B110)&gt;1,"Duplicate invoice #",IF(D110="","Select a customer",IF(N(L110)&lt;0,"Overpaid by "&amp;TEXT(-L110,"#,##0.00"),IF(AND(ISNUMBER(H110),N(H110)&lt;&gt;0,S110=0),"Tax ignored (tax tracking is off)",IF(AND(ISNUMBER(StartDate),C110&lt;StartDate),"Date is before the accounting start date",IF(AND(IFERROR(INDEX(coa_Type,MATCH(F110,coa_Name,0)),"")&lt;&gt;"Revenue",IFERROR(INDEX(coa_Type,MATCH(F110,coa_Name,0)),"")&lt;&gt;"Other Income"),"Account is not a revenue account","")))))))</f>
        <v/>
      </c>
      <c r="V110" s="67">
        <f>IF(AND(R110=0,T110=""),1,0)</f>
        <v/>
      </c>
      <c r="W110" s="67">
        <f>IF(V110=1,acctAR,"")</f>
        <v/>
      </c>
      <c r="X110" s="67">
        <f>IF(V110=1,F110,"")</f>
        <v/>
      </c>
      <c r="Y110" s="68">
        <f>IF(V110=1,G110,0)</f>
        <v/>
      </c>
      <c r="Z110" s="68">
        <f>IF(V110=1,G110-S110,0)</f>
        <v/>
      </c>
      <c r="AA110" s="68">
        <f>IF(V110=1,S110,0)</f>
        <v/>
      </c>
    </row>
    <row r="111">
      <c r="B111" s="62" t="n"/>
      <c r="C111" s="63" t="n"/>
      <c r="D111" s="62" t="n"/>
      <c r="E111" s="62" t="n"/>
      <c r="F111" s="62" t="n"/>
      <c r="G111" s="64" t="n"/>
      <c r="H111" s="64" t="n"/>
      <c r="I111" s="63" t="n"/>
      <c r="J111" s="29">
        <f>IF(V111=1,IF(ISNUMBER(I111),I111,C111+IF(ISNUMBER(IFERROR(INDEX(cust_Terms,MATCH(D111,cust_Name,0)),"")),INDEX(cust_Terms,MATCH(D111,cust_Name,0)),TermsDays)),"")</f>
        <v/>
      </c>
      <c r="K111" s="65">
        <f>IF(V111=1,SUMIFS(tx_DrAmt,tx_Type,"Customer Payment",tx_Ref,B111&amp;"",tx_Date,"&lt;="&amp;AsOf),"")</f>
        <v/>
      </c>
      <c r="L111" s="65">
        <f>IF(V111=1,IF(C111&gt;AsOf,0,ROUND(G111-K111,2)),"")</f>
        <v/>
      </c>
      <c r="M111" s="66">
        <f>IF(V111&lt;&gt;1,"",IF(C111&gt;AsOf,"Future",IF(L111&lt;0,"Overpaid",IF(L111=0,"Paid",IF(AsOf&gt;J111,"Overdue",IF(K111&gt;0,"Partial","Unpaid"))))))</f>
        <v/>
      </c>
      <c r="N111" s="28">
        <f>IF(AND(V111=1,N(L111)&gt;0),AsOf-C111,"")</f>
        <v/>
      </c>
      <c r="O111" s="28">
        <f>IF(N111="","",MAX(0,AsOf-J111))</f>
        <v/>
      </c>
      <c r="P111" s="66">
        <f>IF(O111="","",IF(O111=0,"Current",IF(O111&lt;=30,"1-30",IF(O111&lt;=60,"31-60",IF(O111&lt;=90,"61-90","90+")))))</f>
        <v/>
      </c>
      <c r="Q111" s="66">
        <f>IF(T111&lt;&gt;"","⛔ "&amp;T111&amp;" — not posted",IF(U111&lt;&gt;"","⚠ "&amp;U111,IF(V111=1,"✓ OK","")))</f>
        <v/>
      </c>
      <c r="R111" s="67">
        <f>IF(AND(B111="",C111="",D111="",G111="",F111=""),1,0)</f>
        <v/>
      </c>
      <c r="S111" s="68">
        <f>IF(AND(TaxOn="Yes",ISNUMBER(H111)),H111,0)</f>
        <v/>
      </c>
      <c r="T111" s="67">
        <f>IF(R111=1,"",IF(B111="","Enter an invoice #",IF(C111="","Missing invoice date",IF(NOT(ISNUMBER(C111)),"Invalid date",IF(OR(C111&lt;DATE(2000,1,1),C111&gt;DATE(2099,12,31)),"Invalid date",IF(F111="","Select a revenue account",IF(ISNA(MATCH(F111,coa_Name,0)),"Unknown account: "&amp;F111,IF(NOT(ISNUMBER(G111)),"Enter an amount",IF(G111&lt;=0,"Amount must be positive",IF(S111&gt;G111,"Tax is larger than the amount",""))))))))))</f>
        <v/>
      </c>
      <c r="U111" s="67">
        <f>IF(OR(R111=1,T111&lt;&gt;""),"",IF(COUNTIF(ar_No,B111)&gt;1,"Duplicate invoice #",IF(D111="","Select a customer",IF(N(L111)&lt;0,"Overpaid by "&amp;TEXT(-L111,"#,##0.00"),IF(AND(ISNUMBER(H111),N(H111)&lt;&gt;0,S111=0),"Tax ignored (tax tracking is off)",IF(AND(ISNUMBER(StartDate),C111&lt;StartDate),"Date is before the accounting start date",IF(AND(IFERROR(INDEX(coa_Type,MATCH(F111,coa_Name,0)),"")&lt;&gt;"Revenue",IFERROR(INDEX(coa_Type,MATCH(F111,coa_Name,0)),"")&lt;&gt;"Other Income"),"Account is not a revenue account","")))))))</f>
        <v/>
      </c>
      <c r="V111" s="67">
        <f>IF(AND(R111=0,T111=""),1,0)</f>
        <v/>
      </c>
      <c r="W111" s="67">
        <f>IF(V111=1,acctAR,"")</f>
        <v/>
      </c>
      <c r="X111" s="67">
        <f>IF(V111=1,F111,"")</f>
        <v/>
      </c>
      <c r="Y111" s="68">
        <f>IF(V111=1,G111,0)</f>
        <v/>
      </c>
      <c r="Z111" s="68">
        <f>IF(V111=1,G111-S111,0)</f>
        <v/>
      </c>
      <c r="AA111" s="68">
        <f>IF(V111=1,S111,0)</f>
        <v/>
      </c>
    </row>
    <row r="112">
      <c r="B112" s="62" t="n"/>
      <c r="C112" s="63" t="n"/>
      <c r="D112" s="62" t="n"/>
      <c r="E112" s="62" t="n"/>
      <c r="F112" s="62" t="n"/>
      <c r="G112" s="64" t="n"/>
      <c r="H112" s="64" t="n"/>
      <c r="I112" s="63" t="n"/>
      <c r="J112" s="29">
        <f>IF(V112=1,IF(ISNUMBER(I112),I112,C112+IF(ISNUMBER(IFERROR(INDEX(cust_Terms,MATCH(D112,cust_Name,0)),"")),INDEX(cust_Terms,MATCH(D112,cust_Name,0)),TermsDays)),"")</f>
        <v/>
      </c>
      <c r="K112" s="65">
        <f>IF(V112=1,SUMIFS(tx_DrAmt,tx_Type,"Customer Payment",tx_Ref,B112&amp;"",tx_Date,"&lt;="&amp;AsOf),"")</f>
        <v/>
      </c>
      <c r="L112" s="65">
        <f>IF(V112=1,IF(C112&gt;AsOf,0,ROUND(G112-K112,2)),"")</f>
        <v/>
      </c>
      <c r="M112" s="66">
        <f>IF(V112&lt;&gt;1,"",IF(C112&gt;AsOf,"Future",IF(L112&lt;0,"Overpaid",IF(L112=0,"Paid",IF(AsOf&gt;J112,"Overdue",IF(K112&gt;0,"Partial","Unpaid"))))))</f>
        <v/>
      </c>
      <c r="N112" s="28">
        <f>IF(AND(V112=1,N(L112)&gt;0),AsOf-C112,"")</f>
        <v/>
      </c>
      <c r="O112" s="28">
        <f>IF(N112="","",MAX(0,AsOf-J112))</f>
        <v/>
      </c>
      <c r="P112" s="66">
        <f>IF(O112="","",IF(O112=0,"Current",IF(O112&lt;=30,"1-30",IF(O112&lt;=60,"31-60",IF(O112&lt;=90,"61-90","90+")))))</f>
        <v/>
      </c>
      <c r="Q112" s="66">
        <f>IF(T112&lt;&gt;"","⛔ "&amp;T112&amp;" — not posted",IF(U112&lt;&gt;"","⚠ "&amp;U112,IF(V112=1,"✓ OK","")))</f>
        <v/>
      </c>
      <c r="R112" s="67">
        <f>IF(AND(B112="",C112="",D112="",G112="",F112=""),1,0)</f>
        <v/>
      </c>
      <c r="S112" s="68">
        <f>IF(AND(TaxOn="Yes",ISNUMBER(H112)),H112,0)</f>
        <v/>
      </c>
      <c r="T112" s="67">
        <f>IF(R112=1,"",IF(B112="","Enter an invoice #",IF(C112="","Missing invoice date",IF(NOT(ISNUMBER(C112)),"Invalid date",IF(OR(C112&lt;DATE(2000,1,1),C112&gt;DATE(2099,12,31)),"Invalid date",IF(F112="","Select a revenue account",IF(ISNA(MATCH(F112,coa_Name,0)),"Unknown account: "&amp;F112,IF(NOT(ISNUMBER(G112)),"Enter an amount",IF(G112&lt;=0,"Amount must be positive",IF(S112&gt;G112,"Tax is larger than the amount",""))))))))))</f>
        <v/>
      </c>
      <c r="U112" s="67">
        <f>IF(OR(R112=1,T112&lt;&gt;""),"",IF(COUNTIF(ar_No,B112)&gt;1,"Duplicate invoice #",IF(D112="","Select a customer",IF(N(L112)&lt;0,"Overpaid by "&amp;TEXT(-L112,"#,##0.00"),IF(AND(ISNUMBER(H112),N(H112)&lt;&gt;0,S112=0),"Tax ignored (tax tracking is off)",IF(AND(ISNUMBER(StartDate),C112&lt;StartDate),"Date is before the accounting start date",IF(AND(IFERROR(INDEX(coa_Type,MATCH(F112,coa_Name,0)),"")&lt;&gt;"Revenue",IFERROR(INDEX(coa_Type,MATCH(F112,coa_Name,0)),"")&lt;&gt;"Other Income"),"Account is not a revenue account","")))))))</f>
        <v/>
      </c>
      <c r="V112" s="67">
        <f>IF(AND(R112=0,T112=""),1,0)</f>
        <v/>
      </c>
      <c r="W112" s="67">
        <f>IF(V112=1,acctAR,"")</f>
        <v/>
      </c>
      <c r="X112" s="67">
        <f>IF(V112=1,F112,"")</f>
        <v/>
      </c>
      <c r="Y112" s="68">
        <f>IF(V112=1,G112,0)</f>
        <v/>
      </c>
      <c r="Z112" s="68">
        <f>IF(V112=1,G112-S112,0)</f>
        <v/>
      </c>
      <c r="AA112" s="68">
        <f>IF(V112=1,S112,0)</f>
        <v/>
      </c>
    </row>
    <row r="113">
      <c r="B113" s="62" t="n"/>
      <c r="C113" s="63" t="n"/>
      <c r="D113" s="62" t="n"/>
      <c r="E113" s="62" t="n"/>
      <c r="F113" s="62" t="n"/>
      <c r="G113" s="64" t="n"/>
      <c r="H113" s="64" t="n"/>
      <c r="I113" s="63" t="n"/>
      <c r="J113" s="29">
        <f>IF(V113=1,IF(ISNUMBER(I113),I113,C113+IF(ISNUMBER(IFERROR(INDEX(cust_Terms,MATCH(D113,cust_Name,0)),"")),INDEX(cust_Terms,MATCH(D113,cust_Name,0)),TermsDays)),"")</f>
        <v/>
      </c>
      <c r="K113" s="65">
        <f>IF(V113=1,SUMIFS(tx_DrAmt,tx_Type,"Customer Payment",tx_Ref,B113&amp;"",tx_Date,"&lt;="&amp;AsOf),"")</f>
        <v/>
      </c>
      <c r="L113" s="65">
        <f>IF(V113=1,IF(C113&gt;AsOf,0,ROUND(G113-K113,2)),"")</f>
        <v/>
      </c>
      <c r="M113" s="66">
        <f>IF(V113&lt;&gt;1,"",IF(C113&gt;AsOf,"Future",IF(L113&lt;0,"Overpaid",IF(L113=0,"Paid",IF(AsOf&gt;J113,"Overdue",IF(K113&gt;0,"Partial","Unpaid"))))))</f>
        <v/>
      </c>
      <c r="N113" s="28">
        <f>IF(AND(V113=1,N(L113)&gt;0),AsOf-C113,"")</f>
        <v/>
      </c>
      <c r="O113" s="28">
        <f>IF(N113="","",MAX(0,AsOf-J113))</f>
        <v/>
      </c>
      <c r="P113" s="66">
        <f>IF(O113="","",IF(O113=0,"Current",IF(O113&lt;=30,"1-30",IF(O113&lt;=60,"31-60",IF(O113&lt;=90,"61-90","90+")))))</f>
        <v/>
      </c>
      <c r="Q113" s="66">
        <f>IF(T113&lt;&gt;"","⛔ "&amp;T113&amp;" — not posted",IF(U113&lt;&gt;"","⚠ "&amp;U113,IF(V113=1,"✓ OK","")))</f>
        <v/>
      </c>
      <c r="R113" s="67">
        <f>IF(AND(B113="",C113="",D113="",G113="",F113=""),1,0)</f>
        <v/>
      </c>
      <c r="S113" s="68">
        <f>IF(AND(TaxOn="Yes",ISNUMBER(H113)),H113,0)</f>
        <v/>
      </c>
      <c r="T113" s="67">
        <f>IF(R113=1,"",IF(B113="","Enter an invoice #",IF(C113="","Missing invoice date",IF(NOT(ISNUMBER(C113)),"Invalid date",IF(OR(C113&lt;DATE(2000,1,1),C113&gt;DATE(2099,12,31)),"Invalid date",IF(F113="","Select a revenue account",IF(ISNA(MATCH(F113,coa_Name,0)),"Unknown account: "&amp;F113,IF(NOT(ISNUMBER(G113)),"Enter an amount",IF(G113&lt;=0,"Amount must be positive",IF(S113&gt;G113,"Tax is larger than the amount",""))))))))))</f>
        <v/>
      </c>
      <c r="U113" s="67">
        <f>IF(OR(R113=1,T113&lt;&gt;""),"",IF(COUNTIF(ar_No,B113)&gt;1,"Duplicate invoice #",IF(D113="","Select a customer",IF(N(L113)&lt;0,"Overpaid by "&amp;TEXT(-L113,"#,##0.00"),IF(AND(ISNUMBER(H113),N(H113)&lt;&gt;0,S113=0),"Tax ignored (tax tracking is off)",IF(AND(ISNUMBER(StartDate),C113&lt;StartDate),"Date is before the accounting start date",IF(AND(IFERROR(INDEX(coa_Type,MATCH(F113,coa_Name,0)),"")&lt;&gt;"Revenue",IFERROR(INDEX(coa_Type,MATCH(F113,coa_Name,0)),"")&lt;&gt;"Other Income"),"Account is not a revenue account","")))))))</f>
        <v/>
      </c>
      <c r="V113" s="67">
        <f>IF(AND(R113=0,T113=""),1,0)</f>
        <v/>
      </c>
      <c r="W113" s="67">
        <f>IF(V113=1,acctAR,"")</f>
        <v/>
      </c>
      <c r="X113" s="67">
        <f>IF(V113=1,F113,"")</f>
        <v/>
      </c>
      <c r="Y113" s="68">
        <f>IF(V113=1,G113,0)</f>
        <v/>
      </c>
      <c r="Z113" s="68">
        <f>IF(V113=1,G113-S113,0)</f>
        <v/>
      </c>
      <c r="AA113" s="68">
        <f>IF(V113=1,S113,0)</f>
        <v/>
      </c>
    </row>
    <row r="114">
      <c r="B114" s="62" t="n"/>
      <c r="C114" s="63" t="n"/>
      <c r="D114" s="62" t="n"/>
      <c r="E114" s="62" t="n"/>
      <c r="F114" s="62" t="n"/>
      <c r="G114" s="64" t="n"/>
      <c r="H114" s="64" t="n"/>
      <c r="I114" s="63" t="n"/>
      <c r="J114" s="29">
        <f>IF(V114=1,IF(ISNUMBER(I114),I114,C114+IF(ISNUMBER(IFERROR(INDEX(cust_Terms,MATCH(D114,cust_Name,0)),"")),INDEX(cust_Terms,MATCH(D114,cust_Name,0)),TermsDays)),"")</f>
        <v/>
      </c>
      <c r="K114" s="65">
        <f>IF(V114=1,SUMIFS(tx_DrAmt,tx_Type,"Customer Payment",tx_Ref,B114&amp;"",tx_Date,"&lt;="&amp;AsOf),"")</f>
        <v/>
      </c>
      <c r="L114" s="65">
        <f>IF(V114=1,IF(C114&gt;AsOf,0,ROUND(G114-K114,2)),"")</f>
        <v/>
      </c>
      <c r="M114" s="66">
        <f>IF(V114&lt;&gt;1,"",IF(C114&gt;AsOf,"Future",IF(L114&lt;0,"Overpaid",IF(L114=0,"Paid",IF(AsOf&gt;J114,"Overdue",IF(K114&gt;0,"Partial","Unpaid"))))))</f>
        <v/>
      </c>
      <c r="N114" s="28">
        <f>IF(AND(V114=1,N(L114)&gt;0),AsOf-C114,"")</f>
        <v/>
      </c>
      <c r="O114" s="28">
        <f>IF(N114="","",MAX(0,AsOf-J114))</f>
        <v/>
      </c>
      <c r="P114" s="66">
        <f>IF(O114="","",IF(O114=0,"Current",IF(O114&lt;=30,"1-30",IF(O114&lt;=60,"31-60",IF(O114&lt;=90,"61-90","90+")))))</f>
        <v/>
      </c>
      <c r="Q114" s="66">
        <f>IF(T114&lt;&gt;"","⛔ "&amp;T114&amp;" — not posted",IF(U114&lt;&gt;"","⚠ "&amp;U114,IF(V114=1,"✓ OK","")))</f>
        <v/>
      </c>
      <c r="R114" s="67">
        <f>IF(AND(B114="",C114="",D114="",G114="",F114=""),1,0)</f>
        <v/>
      </c>
      <c r="S114" s="68">
        <f>IF(AND(TaxOn="Yes",ISNUMBER(H114)),H114,0)</f>
        <v/>
      </c>
      <c r="T114" s="67">
        <f>IF(R114=1,"",IF(B114="","Enter an invoice #",IF(C114="","Missing invoice date",IF(NOT(ISNUMBER(C114)),"Invalid date",IF(OR(C114&lt;DATE(2000,1,1),C114&gt;DATE(2099,12,31)),"Invalid date",IF(F114="","Select a revenue account",IF(ISNA(MATCH(F114,coa_Name,0)),"Unknown account: "&amp;F114,IF(NOT(ISNUMBER(G114)),"Enter an amount",IF(G114&lt;=0,"Amount must be positive",IF(S114&gt;G114,"Tax is larger than the amount",""))))))))))</f>
        <v/>
      </c>
      <c r="U114" s="67">
        <f>IF(OR(R114=1,T114&lt;&gt;""),"",IF(COUNTIF(ar_No,B114)&gt;1,"Duplicate invoice #",IF(D114="","Select a customer",IF(N(L114)&lt;0,"Overpaid by "&amp;TEXT(-L114,"#,##0.00"),IF(AND(ISNUMBER(H114),N(H114)&lt;&gt;0,S114=0),"Tax ignored (tax tracking is off)",IF(AND(ISNUMBER(StartDate),C114&lt;StartDate),"Date is before the accounting start date",IF(AND(IFERROR(INDEX(coa_Type,MATCH(F114,coa_Name,0)),"")&lt;&gt;"Revenue",IFERROR(INDEX(coa_Type,MATCH(F114,coa_Name,0)),"")&lt;&gt;"Other Income"),"Account is not a revenue account","")))))))</f>
        <v/>
      </c>
      <c r="V114" s="67">
        <f>IF(AND(R114=0,T114=""),1,0)</f>
        <v/>
      </c>
      <c r="W114" s="67">
        <f>IF(V114=1,acctAR,"")</f>
        <v/>
      </c>
      <c r="X114" s="67">
        <f>IF(V114=1,F114,"")</f>
        <v/>
      </c>
      <c r="Y114" s="68">
        <f>IF(V114=1,G114,0)</f>
        <v/>
      </c>
      <c r="Z114" s="68">
        <f>IF(V114=1,G114-S114,0)</f>
        <v/>
      </c>
      <c r="AA114" s="68">
        <f>IF(V114=1,S114,0)</f>
        <v/>
      </c>
    </row>
    <row r="115">
      <c r="B115" s="62" t="n"/>
      <c r="C115" s="63" t="n"/>
      <c r="D115" s="62" t="n"/>
      <c r="E115" s="62" t="n"/>
      <c r="F115" s="62" t="n"/>
      <c r="G115" s="64" t="n"/>
      <c r="H115" s="64" t="n"/>
      <c r="I115" s="63" t="n"/>
      <c r="J115" s="29">
        <f>IF(V115=1,IF(ISNUMBER(I115),I115,C115+IF(ISNUMBER(IFERROR(INDEX(cust_Terms,MATCH(D115,cust_Name,0)),"")),INDEX(cust_Terms,MATCH(D115,cust_Name,0)),TermsDays)),"")</f>
        <v/>
      </c>
      <c r="K115" s="65">
        <f>IF(V115=1,SUMIFS(tx_DrAmt,tx_Type,"Customer Payment",tx_Ref,B115&amp;"",tx_Date,"&lt;="&amp;AsOf),"")</f>
        <v/>
      </c>
      <c r="L115" s="65">
        <f>IF(V115=1,IF(C115&gt;AsOf,0,ROUND(G115-K115,2)),"")</f>
        <v/>
      </c>
      <c r="M115" s="66">
        <f>IF(V115&lt;&gt;1,"",IF(C115&gt;AsOf,"Future",IF(L115&lt;0,"Overpaid",IF(L115=0,"Paid",IF(AsOf&gt;J115,"Overdue",IF(K115&gt;0,"Partial","Unpaid"))))))</f>
        <v/>
      </c>
      <c r="N115" s="28">
        <f>IF(AND(V115=1,N(L115)&gt;0),AsOf-C115,"")</f>
        <v/>
      </c>
      <c r="O115" s="28">
        <f>IF(N115="","",MAX(0,AsOf-J115))</f>
        <v/>
      </c>
      <c r="P115" s="66">
        <f>IF(O115="","",IF(O115=0,"Current",IF(O115&lt;=30,"1-30",IF(O115&lt;=60,"31-60",IF(O115&lt;=90,"61-90","90+")))))</f>
        <v/>
      </c>
      <c r="Q115" s="66">
        <f>IF(T115&lt;&gt;"","⛔ "&amp;T115&amp;" — not posted",IF(U115&lt;&gt;"","⚠ "&amp;U115,IF(V115=1,"✓ OK","")))</f>
        <v/>
      </c>
      <c r="R115" s="67">
        <f>IF(AND(B115="",C115="",D115="",G115="",F115=""),1,0)</f>
        <v/>
      </c>
      <c r="S115" s="68">
        <f>IF(AND(TaxOn="Yes",ISNUMBER(H115)),H115,0)</f>
        <v/>
      </c>
      <c r="T115" s="67">
        <f>IF(R115=1,"",IF(B115="","Enter an invoice #",IF(C115="","Missing invoice date",IF(NOT(ISNUMBER(C115)),"Invalid date",IF(OR(C115&lt;DATE(2000,1,1),C115&gt;DATE(2099,12,31)),"Invalid date",IF(F115="","Select a revenue account",IF(ISNA(MATCH(F115,coa_Name,0)),"Unknown account: "&amp;F115,IF(NOT(ISNUMBER(G115)),"Enter an amount",IF(G115&lt;=0,"Amount must be positive",IF(S115&gt;G115,"Tax is larger than the amount",""))))))))))</f>
        <v/>
      </c>
      <c r="U115" s="67">
        <f>IF(OR(R115=1,T115&lt;&gt;""),"",IF(COUNTIF(ar_No,B115)&gt;1,"Duplicate invoice #",IF(D115="","Select a customer",IF(N(L115)&lt;0,"Overpaid by "&amp;TEXT(-L115,"#,##0.00"),IF(AND(ISNUMBER(H115),N(H115)&lt;&gt;0,S115=0),"Tax ignored (tax tracking is off)",IF(AND(ISNUMBER(StartDate),C115&lt;StartDate),"Date is before the accounting start date",IF(AND(IFERROR(INDEX(coa_Type,MATCH(F115,coa_Name,0)),"")&lt;&gt;"Revenue",IFERROR(INDEX(coa_Type,MATCH(F115,coa_Name,0)),"")&lt;&gt;"Other Income"),"Account is not a revenue account","")))))))</f>
        <v/>
      </c>
      <c r="V115" s="67">
        <f>IF(AND(R115=0,T115=""),1,0)</f>
        <v/>
      </c>
      <c r="W115" s="67">
        <f>IF(V115=1,acctAR,"")</f>
        <v/>
      </c>
      <c r="X115" s="67">
        <f>IF(V115=1,F115,"")</f>
        <v/>
      </c>
      <c r="Y115" s="68">
        <f>IF(V115=1,G115,0)</f>
        <v/>
      </c>
      <c r="Z115" s="68">
        <f>IF(V115=1,G115-S115,0)</f>
        <v/>
      </c>
      <c r="AA115" s="68">
        <f>IF(V115=1,S115,0)</f>
        <v/>
      </c>
    </row>
    <row r="116">
      <c r="B116" s="62" t="n"/>
      <c r="C116" s="63" t="n"/>
      <c r="D116" s="62" t="n"/>
      <c r="E116" s="62" t="n"/>
      <c r="F116" s="62" t="n"/>
      <c r="G116" s="64" t="n"/>
      <c r="H116" s="64" t="n"/>
      <c r="I116" s="63" t="n"/>
      <c r="J116" s="29">
        <f>IF(V116=1,IF(ISNUMBER(I116),I116,C116+IF(ISNUMBER(IFERROR(INDEX(cust_Terms,MATCH(D116,cust_Name,0)),"")),INDEX(cust_Terms,MATCH(D116,cust_Name,0)),TermsDays)),"")</f>
        <v/>
      </c>
      <c r="K116" s="65">
        <f>IF(V116=1,SUMIFS(tx_DrAmt,tx_Type,"Customer Payment",tx_Ref,B116&amp;"",tx_Date,"&lt;="&amp;AsOf),"")</f>
        <v/>
      </c>
      <c r="L116" s="65">
        <f>IF(V116=1,IF(C116&gt;AsOf,0,ROUND(G116-K116,2)),"")</f>
        <v/>
      </c>
      <c r="M116" s="66">
        <f>IF(V116&lt;&gt;1,"",IF(C116&gt;AsOf,"Future",IF(L116&lt;0,"Overpaid",IF(L116=0,"Paid",IF(AsOf&gt;J116,"Overdue",IF(K116&gt;0,"Partial","Unpaid"))))))</f>
        <v/>
      </c>
      <c r="N116" s="28">
        <f>IF(AND(V116=1,N(L116)&gt;0),AsOf-C116,"")</f>
        <v/>
      </c>
      <c r="O116" s="28">
        <f>IF(N116="","",MAX(0,AsOf-J116))</f>
        <v/>
      </c>
      <c r="P116" s="66">
        <f>IF(O116="","",IF(O116=0,"Current",IF(O116&lt;=30,"1-30",IF(O116&lt;=60,"31-60",IF(O116&lt;=90,"61-90","90+")))))</f>
        <v/>
      </c>
      <c r="Q116" s="66">
        <f>IF(T116&lt;&gt;"","⛔ "&amp;T116&amp;" — not posted",IF(U116&lt;&gt;"","⚠ "&amp;U116,IF(V116=1,"✓ OK","")))</f>
        <v/>
      </c>
      <c r="R116" s="67">
        <f>IF(AND(B116="",C116="",D116="",G116="",F116=""),1,0)</f>
        <v/>
      </c>
      <c r="S116" s="68">
        <f>IF(AND(TaxOn="Yes",ISNUMBER(H116)),H116,0)</f>
        <v/>
      </c>
      <c r="T116" s="67">
        <f>IF(R116=1,"",IF(B116="","Enter an invoice #",IF(C116="","Missing invoice date",IF(NOT(ISNUMBER(C116)),"Invalid date",IF(OR(C116&lt;DATE(2000,1,1),C116&gt;DATE(2099,12,31)),"Invalid date",IF(F116="","Select a revenue account",IF(ISNA(MATCH(F116,coa_Name,0)),"Unknown account: "&amp;F116,IF(NOT(ISNUMBER(G116)),"Enter an amount",IF(G116&lt;=0,"Amount must be positive",IF(S116&gt;G116,"Tax is larger than the amount",""))))))))))</f>
        <v/>
      </c>
      <c r="U116" s="67">
        <f>IF(OR(R116=1,T116&lt;&gt;""),"",IF(COUNTIF(ar_No,B116)&gt;1,"Duplicate invoice #",IF(D116="","Select a customer",IF(N(L116)&lt;0,"Overpaid by "&amp;TEXT(-L116,"#,##0.00"),IF(AND(ISNUMBER(H116),N(H116)&lt;&gt;0,S116=0),"Tax ignored (tax tracking is off)",IF(AND(ISNUMBER(StartDate),C116&lt;StartDate),"Date is before the accounting start date",IF(AND(IFERROR(INDEX(coa_Type,MATCH(F116,coa_Name,0)),"")&lt;&gt;"Revenue",IFERROR(INDEX(coa_Type,MATCH(F116,coa_Name,0)),"")&lt;&gt;"Other Income"),"Account is not a revenue account","")))))))</f>
        <v/>
      </c>
      <c r="V116" s="67">
        <f>IF(AND(R116=0,T116=""),1,0)</f>
        <v/>
      </c>
      <c r="W116" s="67">
        <f>IF(V116=1,acctAR,"")</f>
        <v/>
      </c>
      <c r="X116" s="67">
        <f>IF(V116=1,F116,"")</f>
        <v/>
      </c>
      <c r="Y116" s="68">
        <f>IF(V116=1,G116,0)</f>
        <v/>
      </c>
      <c r="Z116" s="68">
        <f>IF(V116=1,G116-S116,0)</f>
        <v/>
      </c>
      <c r="AA116" s="68">
        <f>IF(V116=1,S116,0)</f>
        <v/>
      </c>
    </row>
    <row r="117">
      <c r="B117" s="62" t="n"/>
      <c r="C117" s="63" t="n"/>
      <c r="D117" s="62" t="n"/>
      <c r="E117" s="62" t="n"/>
      <c r="F117" s="62" t="n"/>
      <c r="G117" s="64" t="n"/>
      <c r="H117" s="64" t="n"/>
      <c r="I117" s="63" t="n"/>
      <c r="J117" s="29">
        <f>IF(V117=1,IF(ISNUMBER(I117),I117,C117+IF(ISNUMBER(IFERROR(INDEX(cust_Terms,MATCH(D117,cust_Name,0)),"")),INDEX(cust_Terms,MATCH(D117,cust_Name,0)),TermsDays)),"")</f>
        <v/>
      </c>
      <c r="K117" s="65">
        <f>IF(V117=1,SUMIFS(tx_DrAmt,tx_Type,"Customer Payment",tx_Ref,B117&amp;"",tx_Date,"&lt;="&amp;AsOf),"")</f>
        <v/>
      </c>
      <c r="L117" s="65">
        <f>IF(V117=1,IF(C117&gt;AsOf,0,ROUND(G117-K117,2)),"")</f>
        <v/>
      </c>
      <c r="M117" s="66">
        <f>IF(V117&lt;&gt;1,"",IF(C117&gt;AsOf,"Future",IF(L117&lt;0,"Overpaid",IF(L117=0,"Paid",IF(AsOf&gt;J117,"Overdue",IF(K117&gt;0,"Partial","Unpaid"))))))</f>
        <v/>
      </c>
      <c r="N117" s="28">
        <f>IF(AND(V117=1,N(L117)&gt;0),AsOf-C117,"")</f>
        <v/>
      </c>
      <c r="O117" s="28">
        <f>IF(N117="","",MAX(0,AsOf-J117))</f>
        <v/>
      </c>
      <c r="P117" s="66">
        <f>IF(O117="","",IF(O117=0,"Current",IF(O117&lt;=30,"1-30",IF(O117&lt;=60,"31-60",IF(O117&lt;=90,"61-90","90+")))))</f>
        <v/>
      </c>
      <c r="Q117" s="66">
        <f>IF(T117&lt;&gt;"","⛔ "&amp;T117&amp;" — not posted",IF(U117&lt;&gt;"","⚠ "&amp;U117,IF(V117=1,"✓ OK","")))</f>
        <v/>
      </c>
      <c r="R117" s="67">
        <f>IF(AND(B117="",C117="",D117="",G117="",F117=""),1,0)</f>
        <v/>
      </c>
      <c r="S117" s="68">
        <f>IF(AND(TaxOn="Yes",ISNUMBER(H117)),H117,0)</f>
        <v/>
      </c>
      <c r="T117" s="67">
        <f>IF(R117=1,"",IF(B117="","Enter an invoice #",IF(C117="","Missing invoice date",IF(NOT(ISNUMBER(C117)),"Invalid date",IF(OR(C117&lt;DATE(2000,1,1),C117&gt;DATE(2099,12,31)),"Invalid date",IF(F117="","Select a revenue account",IF(ISNA(MATCH(F117,coa_Name,0)),"Unknown account: "&amp;F117,IF(NOT(ISNUMBER(G117)),"Enter an amount",IF(G117&lt;=0,"Amount must be positive",IF(S117&gt;G117,"Tax is larger than the amount",""))))))))))</f>
        <v/>
      </c>
      <c r="U117" s="67">
        <f>IF(OR(R117=1,T117&lt;&gt;""),"",IF(COUNTIF(ar_No,B117)&gt;1,"Duplicate invoice #",IF(D117="","Select a customer",IF(N(L117)&lt;0,"Overpaid by "&amp;TEXT(-L117,"#,##0.00"),IF(AND(ISNUMBER(H117),N(H117)&lt;&gt;0,S117=0),"Tax ignored (tax tracking is off)",IF(AND(ISNUMBER(StartDate),C117&lt;StartDate),"Date is before the accounting start date",IF(AND(IFERROR(INDEX(coa_Type,MATCH(F117,coa_Name,0)),"")&lt;&gt;"Revenue",IFERROR(INDEX(coa_Type,MATCH(F117,coa_Name,0)),"")&lt;&gt;"Other Income"),"Account is not a revenue account","")))))))</f>
        <v/>
      </c>
      <c r="V117" s="67">
        <f>IF(AND(R117=0,T117=""),1,0)</f>
        <v/>
      </c>
      <c r="W117" s="67">
        <f>IF(V117=1,acctAR,"")</f>
        <v/>
      </c>
      <c r="X117" s="67">
        <f>IF(V117=1,F117,"")</f>
        <v/>
      </c>
      <c r="Y117" s="68">
        <f>IF(V117=1,G117,0)</f>
        <v/>
      </c>
      <c r="Z117" s="68">
        <f>IF(V117=1,G117-S117,0)</f>
        <v/>
      </c>
      <c r="AA117" s="68">
        <f>IF(V117=1,S117,0)</f>
        <v/>
      </c>
    </row>
    <row r="118">
      <c r="B118" s="62" t="n"/>
      <c r="C118" s="63" t="n"/>
      <c r="D118" s="62" t="n"/>
      <c r="E118" s="62" t="n"/>
      <c r="F118" s="62" t="n"/>
      <c r="G118" s="64" t="n"/>
      <c r="H118" s="64" t="n"/>
      <c r="I118" s="63" t="n"/>
      <c r="J118" s="29">
        <f>IF(V118=1,IF(ISNUMBER(I118),I118,C118+IF(ISNUMBER(IFERROR(INDEX(cust_Terms,MATCH(D118,cust_Name,0)),"")),INDEX(cust_Terms,MATCH(D118,cust_Name,0)),TermsDays)),"")</f>
        <v/>
      </c>
      <c r="K118" s="65">
        <f>IF(V118=1,SUMIFS(tx_DrAmt,tx_Type,"Customer Payment",tx_Ref,B118&amp;"",tx_Date,"&lt;="&amp;AsOf),"")</f>
        <v/>
      </c>
      <c r="L118" s="65">
        <f>IF(V118=1,IF(C118&gt;AsOf,0,ROUND(G118-K118,2)),"")</f>
        <v/>
      </c>
      <c r="M118" s="66">
        <f>IF(V118&lt;&gt;1,"",IF(C118&gt;AsOf,"Future",IF(L118&lt;0,"Overpaid",IF(L118=0,"Paid",IF(AsOf&gt;J118,"Overdue",IF(K118&gt;0,"Partial","Unpaid"))))))</f>
        <v/>
      </c>
      <c r="N118" s="28">
        <f>IF(AND(V118=1,N(L118)&gt;0),AsOf-C118,"")</f>
        <v/>
      </c>
      <c r="O118" s="28">
        <f>IF(N118="","",MAX(0,AsOf-J118))</f>
        <v/>
      </c>
      <c r="P118" s="66">
        <f>IF(O118="","",IF(O118=0,"Current",IF(O118&lt;=30,"1-30",IF(O118&lt;=60,"31-60",IF(O118&lt;=90,"61-90","90+")))))</f>
        <v/>
      </c>
      <c r="Q118" s="66">
        <f>IF(T118&lt;&gt;"","⛔ "&amp;T118&amp;" — not posted",IF(U118&lt;&gt;"","⚠ "&amp;U118,IF(V118=1,"✓ OK","")))</f>
        <v/>
      </c>
      <c r="R118" s="67">
        <f>IF(AND(B118="",C118="",D118="",G118="",F118=""),1,0)</f>
        <v/>
      </c>
      <c r="S118" s="68">
        <f>IF(AND(TaxOn="Yes",ISNUMBER(H118)),H118,0)</f>
        <v/>
      </c>
      <c r="T118" s="67">
        <f>IF(R118=1,"",IF(B118="","Enter an invoice #",IF(C118="","Missing invoice date",IF(NOT(ISNUMBER(C118)),"Invalid date",IF(OR(C118&lt;DATE(2000,1,1),C118&gt;DATE(2099,12,31)),"Invalid date",IF(F118="","Select a revenue account",IF(ISNA(MATCH(F118,coa_Name,0)),"Unknown account: "&amp;F118,IF(NOT(ISNUMBER(G118)),"Enter an amount",IF(G118&lt;=0,"Amount must be positive",IF(S118&gt;G118,"Tax is larger than the amount",""))))))))))</f>
        <v/>
      </c>
      <c r="U118" s="67">
        <f>IF(OR(R118=1,T118&lt;&gt;""),"",IF(COUNTIF(ar_No,B118)&gt;1,"Duplicate invoice #",IF(D118="","Select a customer",IF(N(L118)&lt;0,"Overpaid by "&amp;TEXT(-L118,"#,##0.00"),IF(AND(ISNUMBER(H118),N(H118)&lt;&gt;0,S118=0),"Tax ignored (tax tracking is off)",IF(AND(ISNUMBER(StartDate),C118&lt;StartDate),"Date is before the accounting start date",IF(AND(IFERROR(INDEX(coa_Type,MATCH(F118,coa_Name,0)),"")&lt;&gt;"Revenue",IFERROR(INDEX(coa_Type,MATCH(F118,coa_Name,0)),"")&lt;&gt;"Other Income"),"Account is not a revenue account","")))))))</f>
        <v/>
      </c>
      <c r="V118" s="67">
        <f>IF(AND(R118=0,T118=""),1,0)</f>
        <v/>
      </c>
      <c r="W118" s="67">
        <f>IF(V118=1,acctAR,"")</f>
        <v/>
      </c>
      <c r="X118" s="67">
        <f>IF(V118=1,F118,"")</f>
        <v/>
      </c>
      <c r="Y118" s="68">
        <f>IF(V118=1,G118,0)</f>
        <v/>
      </c>
      <c r="Z118" s="68">
        <f>IF(V118=1,G118-S118,0)</f>
        <v/>
      </c>
      <c r="AA118" s="68">
        <f>IF(V118=1,S118,0)</f>
        <v/>
      </c>
    </row>
    <row r="119">
      <c r="B119" s="62" t="n"/>
      <c r="C119" s="63" t="n"/>
      <c r="D119" s="62" t="n"/>
      <c r="E119" s="62" t="n"/>
      <c r="F119" s="62" t="n"/>
      <c r="G119" s="64" t="n"/>
      <c r="H119" s="64" t="n"/>
      <c r="I119" s="63" t="n"/>
      <c r="J119" s="29">
        <f>IF(V119=1,IF(ISNUMBER(I119),I119,C119+IF(ISNUMBER(IFERROR(INDEX(cust_Terms,MATCH(D119,cust_Name,0)),"")),INDEX(cust_Terms,MATCH(D119,cust_Name,0)),TermsDays)),"")</f>
        <v/>
      </c>
      <c r="K119" s="65">
        <f>IF(V119=1,SUMIFS(tx_DrAmt,tx_Type,"Customer Payment",tx_Ref,B119&amp;"",tx_Date,"&lt;="&amp;AsOf),"")</f>
        <v/>
      </c>
      <c r="L119" s="65">
        <f>IF(V119=1,IF(C119&gt;AsOf,0,ROUND(G119-K119,2)),"")</f>
        <v/>
      </c>
      <c r="M119" s="66">
        <f>IF(V119&lt;&gt;1,"",IF(C119&gt;AsOf,"Future",IF(L119&lt;0,"Overpaid",IF(L119=0,"Paid",IF(AsOf&gt;J119,"Overdue",IF(K119&gt;0,"Partial","Unpaid"))))))</f>
        <v/>
      </c>
      <c r="N119" s="28">
        <f>IF(AND(V119=1,N(L119)&gt;0),AsOf-C119,"")</f>
        <v/>
      </c>
      <c r="O119" s="28">
        <f>IF(N119="","",MAX(0,AsOf-J119))</f>
        <v/>
      </c>
      <c r="P119" s="66">
        <f>IF(O119="","",IF(O119=0,"Current",IF(O119&lt;=30,"1-30",IF(O119&lt;=60,"31-60",IF(O119&lt;=90,"61-90","90+")))))</f>
        <v/>
      </c>
      <c r="Q119" s="66">
        <f>IF(T119&lt;&gt;"","⛔ "&amp;T119&amp;" — not posted",IF(U119&lt;&gt;"","⚠ "&amp;U119,IF(V119=1,"✓ OK","")))</f>
        <v/>
      </c>
      <c r="R119" s="67">
        <f>IF(AND(B119="",C119="",D119="",G119="",F119=""),1,0)</f>
        <v/>
      </c>
      <c r="S119" s="68">
        <f>IF(AND(TaxOn="Yes",ISNUMBER(H119)),H119,0)</f>
        <v/>
      </c>
      <c r="T119" s="67">
        <f>IF(R119=1,"",IF(B119="","Enter an invoice #",IF(C119="","Missing invoice date",IF(NOT(ISNUMBER(C119)),"Invalid date",IF(OR(C119&lt;DATE(2000,1,1),C119&gt;DATE(2099,12,31)),"Invalid date",IF(F119="","Select a revenue account",IF(ISNA(MATCH(F119,coa_Name,0)),"Unknown account: "&amp;F119,IF(NOT(ISNUMBER(G119)),"Enter an amount",IF(G119&lt;=0,"Amount must be positive",IF(S119&gt;G119,"Tax is larger than the amount",""))))))))))</f>
        <v/>
      </c>
      <c r="U119" s="67">
        <f>IF(OR(R119=1,T119&lt;&gt;""),"",IF(COUNTIF(ar_No,B119)&gt;1,"Duplicate invoice #",IF(D119="","Select a customer",IF(N(L119)&lt;0,"Overpaid by "&amp;TEXT(-L119,"#,##0.00"),IF(AND(ISNUMBER(H119),N(H119)&lt;&gt;0,S119=0),"Tax ignored (tax tracking is off)",IF(AND(ISNUMBER(StartDate),C119&lt;StartDate),"Date is before the accounting start date",IF(AND(IFERROR(INDEX(coa_Type,MATCH(F119,coa_Name,0)),"")&lt;&gt;"Revenue",IFERROR(INDEX(coa_Type,MATCH(F119,coa_Name,0)),"")&lt;&gt;"Other Income"),"Account is not a revenue account","")))))))</f>
        <v/>
      </c>
      <c r="V119" s="67">
        <f>IF(AND(R119=0,T119=""),1,0)</f>
        <v/>
      </c>
      <c r="W119" s="67">
        <f>IF(V119=1,acctAR,"")</f>
        <v/>
      </c>
      <c r="X119" s="67">
        <f>IF(V119=1,F119,"")</f>
        <v/>
      </c>
      <c r="Y119" s="68">
        <f>IF(V119=1,G119,0)</f>
        <v/>
      </c>
      <c r="Z119" s="68">
        <f>IF(V119=1,G119-S119,0)</f>
        <v/>
      </c>
      <c r="AA119" s="68">
        <f>IF(V119=1,S119,0)</f>
        <v/>
      </c>
    </row>
    <row r="120">
      <c r="B120" s="62" t="n"/>
      <c r="C120" s="63" t="n"/>
      <c r="D120" s="62" t="n"/>
      <c r="E120" s="62" t="n"/>
      <c r="F120" s="62" t="n"/>
      <c r="G120" s="64" t="n"/>
      <c r="H120" s="64" t="n"/>
      <c r="I120" s="63" t="n"/>
      <c r="J120" s="29">
        <f>IF(V120=1,IF(ISNUMBER(I120),I120,C120+IF(ISNUMBER(IFERROR(INDEX(cust_Terms,MATCH(D120,cust_Name,0)),"")),INDEX(cust_Terms,MATCH(D120,cust_Name,0)),TermsDays)),"")</f>
        <v/>
      </c>
      <c r="K120" s="65">
        <f>IF(V120=1,SUMIFS(tx_DrAmt,tx_Type,"Customer Payment",tx_Ref,B120&amp;"",tx_Date,"&lt;="&amp;AsOf),"")</f>
        <v/>
      </c>
      <c r="L120" s="65">
        <f>IF(V120=1,IF(C120&gt;AsOf,0,ROUND(G120-K120,2)),"")</f>
        <v/>
      </c>
      <c r="M120" s="66">
        <f>IF(V120&lt;&gt;1,"",IF(C120&gt;AsOf,"Future",IF(L120&lt;0,"Overpaid",IF(L120=0,"Paid",IF(AsOf&gt;J120,"Overdue",IF(K120&gt;0,"Partial","Unpaid"))))))</f>
        <v/>
      </c>
      <c r="N120" s="28">
        <f>IF(AND(V120=1,N(L120)&gt;0),AsOf-C120,"")</f>
        <v/>
      </c>
      <c r="O120" s="28">
        <f>IF(N120="","",MAX(0,AsOf-J120))</f>
        <v/>
      </c>
      <c r="P120" s="66">
        <f>IF(O120="","",IF(O120=0,"Current",IF(O120&lt;=30,"1-30",IF(O120&lt;=60,"31-60",IF(O120&lt;=90,"61-90","90+")))))</f>
        <v/>
      </c>
      <c r="Q120" s="66">
        <f>IF(T120&lt;&gt;"","⛔ "&amp;T120&amp;" — not posted",IF(U120&lt;&gt;"","⚠ "&amp;U120,IF(V120=1,"✓ OK","")))</f>
        <v/>
      </c>
      <c r="R120" s="67">
        <f>IF(AND(B120="",C120="",D120="",G120="",F120=""),1,0)</f>
        <v/>
      </c>
      <c r="S120" s="68">
        <f>IF(AND(TaxOn="Yes",ISNUMBER(H120)),H120,0)</f>
        <v/>
      </c>
      <c r="T120" s="67">
        <f>IF(R120=1,"",IF(B120="","Enter an invoice #",IF(C120="","Missing invoice date",IF(NOT(ISNUMBER(C120)),"Invalid date",IF(OR(C120&lt;DATE(2000,1,1),C120&gt;DATE(2099,12,31)),"Invalid date",IF(F120="","Select a revenue account",IF(ISNA(MATCH(F120,coa_Name,0)),"Unknown account: "&amp;F120,IF(NOT(ISNUMBER(G120)),"Enter an amount",IF(G120&lt;=0,"Amount must be positive",IF(S120&gt;G120,"Tax is larger than the amount",""))))))))))</f>
        <v/>
      </c>
      <c r="U120" s="67">
        <f>IF(OR(R120=1,T120&lt;&gt;""),"",IF(COUNTIF(ar_No,B120)&gt;1,"Duplicate invoice #",IF(D120="","Select a customer",IF(N(L120)&lt;0,"Overpaid by "&amp;TEXT(-L120,"#,##0.00"),IF(AND(ISNUMBER(H120),N(H120)&lt;&gt;0,S120=0),"Tax ignored (tax tracking is off)",IF(AND(ISNUMBER(StartDate),C120&lt;StartDate),"Date is before the accounting start date",IF(AND(IFERROR(INDEX(coa_Type,MATCH(F120,coa_Name,0)),"")&lt;&gt;"Revenue",IFERROR(INDEX(coa_Type,MATCH(F120,coa_Name,0)),"")&lt;&gt;"Other Income"),"Account is not a revenue account","")))))))</f>
        <v/>
      </c>
      <c r="V120" s="67">
        <f>IF(AND(R120=0,T120=""),1,0)</f>
        <v/>
      </c>
      <c r="W120" s="67">
        <f>IF(V120=1,acctAR,"")</f>
        <v/>
      </c>
      <c r="X120" s="67">
        <f>IF(V120=1,F120,"")</f>
        <v/>
      </c>
      <c r="Y120" s="68">
        <f>IF(V120=1,G120,0)</f>
        <v/>
      </c>
      <c r="Z120" s="68">
        <f>IF(V120=1,G120-S120,0)</f>
        <v/>
      </c>
      <c r="AA120" s="68">
        <f>IF(V120=1,S120,0)</f>
        <v/>
      </c>
    </row>
    <row r="121">
      <c r="B121" s="62" t="n"/>
      <c r="C121" s="63" t="n"/>
      <c r="D121" s="62" t="n"/>
      <c r="E121" s="62" t="n"/>
      <c r="F121" s="62" t="n"/>
      <c r="G121" s="64" t="n"/>
      <c r="H121" s="64" t="n"/>
      <c r="I121" s="63" t="n"/>
      <c r="J121" s="29">
        <f>IF(V121=1,IF(ISNUMBER(I121),I121,C121+IF(ISNUMBER(IFERROR(INDEX(cust_Terms,MATCH(D121,cust_Name,0)),"")),INDEX(cust_Terms,MATCH(D121,cust_Name,0)),TermsDays)),"")</f>
        <v/>
      </c>
      <c r="K121" s="65">
        <f>IF(V121=1,SUMIFS(tx_DrAmt,tx_Type,"Customer Payment",tx_Ref,B121&amp;"",tx_Date,"&lt;="&amp;AsOf),"")</f>
        <v/>
      </c>
      <c r="L121" s="65">
        <f>IF(V121=1,IF(C121&gt;AsOf,0,ROUND(G121-K121,2)),"")</f>
        <v/>
      </c>
      <c r="M121" s="66">
        <f>IF(V121&lt;&gt;1,"",IF(C121&gt;AsOf,"Future",IF(L121&lt;0,"Overpaid",IF(L121=0,"Paid",IF(AsOf&gt;J121,"Overdue",IF(K121&gt;0,"Partial","Unpaid"))))))</f>
        <v/>
      </c>
      <c r="N121" s="28">
        <f>IF(AND(V121=1,N(L121)&gt;0),AsOf-C121,"")</f>
        <v/>
      </c>
      <c r="O121" s="28">
        <f>IF(N121="","",MAX(0,AsOf-J121))</f>
        <v/>
      </c>
      <c r="P121" s="66">
        <f>IF(O121="","",IF(O121=0,"Current",IF(O121&lt;=30,"1-30",IF(O121&lt;=60,"31-60",IF(O121&lt;=90,"61-90","90+")))))</f>
        <v/>
      </c>
      <c r="Q121" s="66">
        <f>IF(T121&lt;&gt;"","⛔ "&amp;T121&amp;" — not posted",IF(U121&lt;&gt;"","⚠ "&amp;U121,IF(V121=1,"✓ OK","")))</f>
        <v/>
      </c>
      <c r="R121" s="67">
        <f>IF(AND(B121="",C121="",D121="",G121="",F121=""),1,0)</f>
        <v/>
      </c>
      <c r="S121" s="68">
        <f>IF(AND(TaxOn="Yes",ISNUMBER(H121)),H121,0)</f>
        <v/>
      </c>
      <c r="T121" s="67">
        <f>IF(R121=1,"",IF(B121="","Enter an invoice #",IF(C121="","Missing invoice date",IF(NOT(ISNUMBER(C121)),"Invalid date",IF(OR(C121&lt;DATE(2000,1,1),C121&gt;DATE(2099,12,31)),"Invalid date",IF(F121="","Select a revenue account",IF(ISNA(MATCH(F121,coa_Name,0)),"Unknown account: "&amp;F121,IF(NOT(ISNUMBER(G121)),"Enter an amount",IF(G121&lt;=0,"Amount must be positive",IF(S121&gt;G121,"Tax is larger than the amount",""))))))))))</f>
        <v/>
      </c>
      <c r="U121" s="67">
        <f>IF(OR(R121=1,T121&lt;&gt;""),"",IF(COUNTIF(ar_No,B121)&gt;1,"Duplicate invoice #",IF(D121="","Select a customer",IF(N(L121)&lt;0,"Overpaid by "&amp;TEXT(-L121,"#,##0.00"),IF(AND(ISNUMBER(H121),N(H121)&lt;&gt;0,S121=0),"Tax ignored (tax tracking is off)",IF(AND(ISNUMBER(StartDate),C121&lt;StartDate),"Date is before the accounting start date",IF(AND(IFERROR(INDEX(coa_Type,MATCH(F121,coa_Name,0)),"")&lt;&gt;"Revenue",IFERROR(INDEX(coa_Type,MATCH(F121,coa_Name,0)),"")&lt;&gt;"Other Income"),"Account is not a revenue account","")))))))</f>
        <v/>
      </c>
      <c r="V121" s="67">
        <f>IF(AND(R121=0,T121=""),1,0)</f>
        <v/>
      </c>
      <c r="W121" s="67">
        <f>IF(V121=1,acctAR,"")</f>
        <v/>
      </c>
      <c r="X121" s="67">
        <f>IF(V121=1,F121,"")</f>
        <v/>
      </c>
      <c r="Y121" s="68">
        <f>IF(V121=1,G121,0)</f>
        <v/>
      </c>
      <c r="Z121" s="68">
        <f>IF(V121=1,G121-S121,0)</f>
        <v/>
      </c>
      <c r="AA121" s="68">
        <f>IF(V121=1,S121,0)</f>
        <v/>
      </c>
    </row>
    <row r="122">
      <c r="B122" s="62" t="n"/>
      <c r="C122" s="63" t="n"/>
      <c r="D122" s="62" t="n"/>
      <c r="E122" s="62" t="n"/>
      <c r="F122" s="62" t="n"/>
      <c r="G122" s="64" t="n"/>
      <c r="H122" s="64" t="n"/>
      <c r="I122" s="63" t="n"/>
      <c r="J122" s="29">
        <f>IF(V122=1,IF(ISNUMBER(I122),I122,C122+IF(ISNUMBER(IFERROR(INDEX(cust_Terms,MATCH(D122,cust_Name,0)),"")),INDEX(cust_Terms,MATCH(D122,cust_Name,0)),TermsDays)),"")</f>
        <v/>
      </c>
      <c r="K122" s="65">
        <f>IF(V122=1,SUMIFS(tx_DrAmt,tx_Type,"Customer Payment",tx_Ref,B122&amp;"",tx_Date,"&lt;="&amp;AsOf),"")</f>
        <v/>
      </c>
      <c r="L122" s="65">
        <f>IF(V122=1,IF(C122&gt;AsOf,0,ROUND(G122-K122,2)),"")</f>
        <v/>
      </c>
      <c r="M122" s="66">
        <f>IF(V122&lt;&gt;1,"",IF(C122&gt;AsOf,"Future",IF(L122&lt;0,"Overpaid",IF(L122=0,"Paid",IF(AsOf&gt;J122,"Overdue",IF(K122&gt;0,"Partial","Unpaid"))))))</f>
        <v/>
      </c>
      <c r="N122" s="28">
        <f>IF(AND(V122=1,N(L122)&gt;0),AsOf-C122,"")</f>
        <v/>
      </c>
      <c r="O122" s="28">
        <f>IF(N122="","",MAX(0,AsOf-J122))</f>
        <v/>
      </c>
      <c r="P122" s="66">
        <f>IF(O122="","",IF(O122=0,"Current",IF(O122&lt;=30,"1-30",IF(O122&lt;=60,"31-60",IF(O122&lt;=90,"61-90","90+")))))</f>
        <v/>
      </c>
      <c r="Q122" s="66">
        <f>IF(T122&lt;&gt;"","⛔ "&amp;T122&amp;" — not posted",IF(U122&lt;&gt;"","⚠ "&amp;U122,IF(V122=1,"✓ OK","")))</f>
        <v/>
      </c>
      <c r="R122" s="67">
        <f>IF(AND(B122="",C122="",D122="",G122="",F122=""),1,0)</f>
        <v/>
      </c>
      <c r="S122" s="68">
        <f>IF(AND(TaxOn="Yes",ISNUMBER(H122)),H122,0)</f>
        <v/>
      </c>
      <c r="T122" s="67">
        <f>IF(R122=1,"",IF(B122="","Enter an invoice #",IF(C122="","Missing invoice date",IF(NOT(ISNUMBER(C122)),"Invalid date",IF(OR(C122&lt;DATE(2000,1,1),C122&gt;DATE(2099,12,31)),"Invalid date",IF(F122="","Select a revenue account",IF(ISNA(MATCH(F122,coa_Name,0)),"Unknown account: "&amp;F122,IF(NOT(ISNUMBER(G122)),"Enter an amount",IF(G122&lt;=0,"Amount must be positive",IF(S122&gt;G122,"Tax is larger than the amount",""))))))))))</f>
        <v/>
      </c>
      <c r="U122" s="67">
        <f>IF(OR(R122=1,T122&lt;&gt;""),"",IF(COUNTIF(ar_No,B122)&gt;1,"Duplicate invoice #",IF(D122="","Select a customer",IF(N(L122)&lt;0,"Overpaid by "&amp;TEXT(-L122,"#,##0.00"),IF(AND(ISNUMBER(H122),N(H122)&lt;&gt;0,S122=0),"Tax ignored (tax tracking is off)",IF(AND(ISNUMBER(StartDate),C122&lt;StartDate),"Date is before the accounting start date",IF(AND(IFERROR(INDEX(coa_Type,MATCH(F122,coa_Name,0)),"")&lt;&gt;"Revenue",IFERROR(INDEX(coa_Type,MATCH(F122,coa_Name,0)),"")&lt;&gt;"Other Income"),"Account is not a revenue account","")))))))</f>
        <v/>
      </c>
      <c r="V122" s="67">
        <f>IF(AND(R122=0,T122=""),1,0)</f>
        <v/>
      </c>
      <c r="W122" s="67">
        <f>IF(V122=1,acctAR,"")</f>
        <v/>
      </c>
      <c r="X122" s="67">
        <f>IF(V122=1,F122,"")</f>
        <v/>
      </c>
      <c r="Y122" s="68">
        <f>IF(V122=1,G122,0)</f>
        <v/>
      </c>
      <c r="Z122" s="68">
        <f>IF(V122=1,G122-S122,0)</f>
        <v/>
      </c>
      <c r="AA122" s="68">
        <f>IF(V122=1,S122,0)</f>
        <v/>
      </c>
    </row>
    <row r="123">
      <c r="B123" s="62" t="n"/>
      <c r="C123" s="63" t="n"/>
      <c r="D123" s="62" t="n"/>
      <c r="E123" s="62" t="n"/>
      <c r="F123" s="62" t="n"/>
      <c r="G123" s="64" t="n"/>
      <c r="H123" s="64" t="n"/>
      <c r="I123" s="63" t="n"/>
      <c r="J123" s="29">
        <f>IF(V123=1,IF(ISNUMBER(I123),I123,C123+IF(ISNUMBER(IFERROR(INDEX(cust_Terms,MATCH(D123,cust_Name,0)),"")),INDEX(cust_Terms,MATCH(D123,cust_Name,0)),TermsDays)),"")</f>
        <v/>
      </c>
      <c r="K123" s="65">
        <f>IF(V123=1,SUMIFS(tx_DrAmt,tx_Type,"Customer Payment",tx_Ref,B123&amp;"",tx_Date,"&lt;="&amp;AsOf),"")</f>
        <v/>
      </c>
      <c r="L123" s="65">
        <f>IF(V123=1,IF(C123&gt;AsOf,0,ROUND(G123-K123,2)),"")</f>
        <v/>
      </c>
      <c r="M123" s="66">
        <f>IF(V123&lt;&gt;1,"",IF(C123&gt;AsOf,"Future",IF(L123&lt;0,"Overpaid",IF(L123=0,"Paid",IF(AsOf&gt;J123,"Overdue",IF(K123&gt;0,"Partial","Unpaid"))))))</f>
        <v/>
      </c>
      <c r="N123" s="28">
        <f>IF(AND(V123=1,N(L123)&gt;0),AsOf-C123,"")</f>
        <v/>
      </c>
      <c r="O123" s="28">
        <f>IF(N123="","",MAX(0,AsOf-J123))</f>
        <v/>
      </c>
      <c r="P123" s="66">
        <f>IF(O123="","",IF(O123=0,"Current",IF(O123&lt;=30,"1-30",IF(O123&lt;=60,"31-60",IF(O123&lt;=90,"61-90","90+")))))</f>
        <v/>
      </c>
      <c r="Q123" s="66">
        <f>IF(T123&lt;&gt;"","⛔ "&amp;T123&amp;" — not posted",IF(U123&lt;&gt;"","⚠ "&amp;U123,IF(V123=1,"✓ OK","")))</f>
        <v/>
      </c>
      <c r="R123" s="67">
        <f>IF(AND(B123="",C123="",D123="",G123="",F123=""),1,0)</f>
        <v/>
      </c>
      <c r="S123" s="68">
        <f>IF(AND(TaxOn="Yes",ISNUMBER(H123)),H123,0)</f>
        <v/>
      </c>
      <c r="T123" s="67">
        <f>IF(R123=1,"",IF(B123="","Enter an invoice #",IF(C123="","Missing invoice date",IF(NOT(ISNUMBER(C123)),"Invalid date",IF(OR(C123&lt;DATE(2000,1,1),C123&gt;DATE(2099,12,31)),"Invalid date",IF(F123="","Select a revenue account",IF(ISNA(MATCH(F123,coa_Name,0)),"Unknown account: "&amp;F123,IF(NOT(ISNUMBER(G123)),"Enter an amount",IF(G123&lt;=0,"Amount must be positive",IF(S123&gt;G123,"Tax is larger than the amount",""))))))))))</f>
        <v/>
      </c>
      <c r="U123" s="67">
        <f>IF(OR(R123=1,T123&lt;&gt;""),"",IF(COUNTIF(ar_No,B123)&gt;1,"Duplicate invoice #",IF(D123="","Select a customer",IF(N(L123)&lt;0,"Overpaid by "&amp;TEXT(-L123,"#,##0.00"),IF(AND(ISNUMBER(H123),N(H123)&lt;&gt;0,S123=0),"Tax ignored (tax tracking is off)",IF(AND(ISNUMBER(StartDate),C123&lt;StartDate),"Date is before the accounting start date",IF(AND(IFERROR(INDEX(coa_Type,MATCH(F123,coa_Name,0)),"")&lt;&gt;"Revenue",IFERROR(INDEX(coa_Type,MATCH(F123,coa_Name,0)),"")&lt;&gt;"Other Income"),"Account is not a revenue account","")))))))</f>
        <v/>
      </c>
      <c r="V123" s="67">
        <f>IF(AND(R123=0,T123=""),1,0)</f>
        <v/>
      </c>
      <c r="W123" s="67">
        <f>IF(V123=1,acctAR,"")</f>
        <v/>
      </c>
      <c r="X123" s="67">
        <f>IF(V123=1,F123,"")</f>
        <v/>
      </c>
      <c r="Y123" s="68">
        <f>IF(V123=1,G123,0)</f>
        <v/>
      </c>
      <c r="Z123" s="68">
        <f>IF(V123=1,G123-S123,0)</f>
        <v/>
      </c>
      <c r="AA123" s="68">
        <f>IF(V123=1,S123,0)</f>
        <v/>
      </c>
    </row>
    <row r="124">
      <c r="B124" s="62" t="n"/>
      <c r="C124" s="63" t="n"/>
      <c r="D124" s="62" t="n"/>
      <c r="E124" s="62" t="n"/>
      <c r="F124" s="62" t="n"/>
      <c r="G124" s="64" t="n"/>
      <c r="H124" s="64" t="n"/>
      <c r="I124" s="63" t="n"/>
      <c r="J124" s="29">
        <f>IF(V124=1,IF(ISNUMBER(I124),I124,C124+IF(ISNUMBER(IFERROR(INDEX(cust_Terms,MATCH(D124,cust_Name,0)),"")),INDEX(cust_Terms,MATCH(D124,cust_Name,0)),TermsDays)),"")</f>
        <v/>
      </c>
      <c r="K124" s="65">
        <f>IF(V124=1,SUMIFS(tx_DrAmt,tx_Type,"Customer Payment",tx_Ref,B124&amp;"",tx_Date,"&lt;="&amp;AsOf),"")</f>
        <v/>
      </c>
      <c r="L124" s="65">
        <f>IF(V124=1,IF(C124&gt;AsOf,0,ROUND(G124-K124,2)),"")</f>
        <v/>
      </c>
      <c r="M124" s="66">
        <f>IF(V124&lt;&gt;1,"",IF(C124&gt;AsOf,"Future",IF(L124&lt;0,"Overpaid",IF(L124=0,"Paid",IF(AsOf&gt;J124,"Overdue",IF(K124&gt;0,"Partial","Unpaid"))))))</f>
        <v/>
      </c>
      <c r="N124" s="28">
        <f>IF(AND(V124=1,N(L124)&gt;0),AsOf-C124,"")</f>
        <v/>
      </c>
      <c r="O124" s="28">
        <f>IF(N124="","",MAX(0,AsOf-J124))</f>
        <v/>
      </c>
      <c r="P124" s="66">
        <f>IF(O124="","",IF(O124=0,"Current",IF(O124&lt;=30,"1-30",IF(O124&lt;=60,"31-60",IF(O124&lt;=90,"61-90","90+")))))</f>
        <v/>
      </c>
      <c r="Q124" s="66">
        <f>IF(T124&lt;&gt;"","⛔ "&amp;T124&amp;" — not posted",IF(U124&lt;&gt;"","⚠ "&amp;U124,IF(V124=1,"✓ OK","")))</f>
        <v/>
      </c>
      <c r="R124" s="67">
        <f>IF(AND(B124="",C124="",D124="",G124="",F124=""),1,0)</f>
        <v/>
      </c>
      <c r="S124" s="68">
        <f>IF(AND(TaxOn="Yes",ISNUMBER(H124)),H124,0)</f>
        <v/>
      </c>
      <c r="T124" s="67">
        <f>IF(R124=1,"",IF(B124="","Enter an invoice #",IF(C124="","Missing invoice date",IF(NOT(ISNUMBER(C124)),"Invalid date",IF(OR(C124&lt;DATE(2000,1,1),C124&gt;DATE(2099,12,31)),"Invalid date",IF(F124="","Select a revenue account",IF(ISNA(MATCH(F124,coa_Name,0)),"Unknown account: "&amp;F124,IF(NOT(ISNUMBER(G124)),"Enter an amount",IF(G124&lt;=0,"Amount must be positive",IF(S124&gt;G124,"Tax is larger than the amount",""))))))))))</f>
        <v/>
      </c>
      <c r="U124" s="67">
        <f>IF(OR(R124=1,T124&lt;&gt;""),"",IF(COUNTIF(ar_No,B124)&gt;1,"Duplicate invoice #",IF(D124="","Select a customer",IF(N(L124)&lt;0,"Overpaid by "&amp;TEXT(-L124,"#,##0.00"),IF(AND(ISNUMBER(H124),N(H124)&lt;&gt;0,S124=0),"Tax ignored (tax tracking is off)",IF(AND(ISNUMBER(StartDate),C124&lt;StartDate),"Date is before the accounting start date",IF(AND(IFERROR(INDEX(coa_Type,MATCH(F124,coa_Name,0)),"")&lt;&gt;"Revenue",IFERROR(INDEX(coa_Type,MATCH(F124,coa_Name,0)),"")&lt;&gt;"Other Income"),"Account is not a revenue account","")))))))</f>
        <v/>
      </c>
      <c r="V124" s="67">
        <f>IF(AND(R124=0,T124=""),1,0)</f>
        <v/>
      </c>
      <c r="W124" s="67">
        <f>IF(V124=1,acctAR,"")</f>
        <v/>
      </c>
      <c r="X124" s="67">
        <f>IF(V124=1,F124,"")</f>
        <v/>
      </c>
      <c r="Y124" s="68">
        <f>IF(V124=1,G124,0)</f>
        <v/>
      </c>
      <c r="Z124" s="68">
        <f>IF(V124=1,G124-S124,0)</f>
        <v/>
      </c>
      <c r="AA124" s="68">
        <f>IF(V124=1,S124,0)</f>
        <v/>
      </c>
    </row>
    <row r="125">
      <c r="B125" s="62" t="n"/>
      <c r="C125" s="63" t="n"/>
      <c r="D125" s="62" t="n"/>
      <c r="E125" s="62" t="n"/>
      <c r="F125" s="62" t="n"/>
      <c r="G125" s="64" t="n"/>
      <c r="H125" s="64" t="n"/>
      <c r="I125" s="63" t="n"/>
      <c r="J125" s="29">
        <f>IF(V125=1,IF(ISNUMBER(I125),I125,C125+IF(ISNUMBER(IFERROR(INDEX(cust_Terms,MATCH(D125,cust_Name,0)),"")),INDEX(cust_Terms,MATCH(D125,cust_Name,0)),TermsDays)),"")</f>
        <v/>
      </c>
      <c r="K125" s="65">
        <f>IF(V125=1,SUMIFS(tx_DrAmt,tx_Type,"Customer Payment",tx_Ref,B125&amp;"",tx_Date,"&lt;="&amp;AsOf),"")</f>
        <v/>
      </c>
      <c r="L125" s="65">
        <f>IF(V125=1,IF(C125&gt;AsOf,0,ROUND(G125-K125,2)),"")</f>
        <v/>
      </c>
      <c r="M125" s="66">
        <f>IF(V125&lt;&gt;1,"",IF(C125&gt;AsOf,"Future",IF(L125&lt;0,"Overpaid",IF(L125=0,"Paid",IF(AsOf&gt;J125,"Overdue",IF(K125&gt;0,"Partial","Unpaid"))))))</f>
        <v/>
      </c>
      <c r="N125" s="28">
        <f>IF(AND(V125=1,N(L125)&gt;0),AsOf-C125,"")</f>
        <v/>
      </c>
      <c r="O125" s="28">
        <f>IF(N125="","",MAX(0,AsOf-J125))</f>
        <v/>
      </c>
      <c r="P125" s="66">
        <f>IF(O125="","",IF(O125=0,"Current",IF(O125&lt;=30,"1-30",IF(O125&lt;=60,"31-60",IF(O125&lt;=90,"61-90","90+")))))</f>
        <v/>
      </c>
      <c r="Q125" s="66">
        <f>IF(T125&lt;&gt;"","⛔ "&amp;T125&amp;" — not posted",IF(U125&lt;&gt;"","⚠ "&amp;U125,IF(V125=1,"✓ OK","")))</f>
        <v/>
      </c>
      <c r="R125" s="67">
        <f>IF(AND(B125="",C125="",D125="",G125="",F125=""),1,0)</f>
        <v/>
      </c>
      <c r="S125" s="68">
        <f>IF(AND(TaxOn="Yes",ISNUMBER(H125)),H125,0)</f>
        <v/>
      </c>
      <c r="T125" s="67">
        <f>IF(R125=1,"",IF(B125="","Enter an invoice #",IF(C125="","Missing invoice date",IF(NOT(ISNUMBER(C125)),"Invalid date",IF(OR(C125&lt;DATE(2000,1,1),C125&gt;DATE(2099,12,31)),"Invalid date",IF(F125="","Select a revenue account",IF(ISNA(MATCH(F125,coa_Name,0)),"Unknown account: "&amp;F125,IF(NOT(ISNUMBER(G125)),"Enter an amount",IF(G125&lt;=0,"Amount must be positive",IF(S125&gt;G125,"Tax is larger than the amount",""))))))))))</f>
        <v/>
      </c>
      <c r="U125" s="67">
        <f>IF(OR(R125=1,T125&lt;&gt;""),"",IF(COUNTIF(ar_No,B125)&gt;1,"Duplicate invoice #",IF(D125="","Select a customer",IF(N(L125)&lt;0,"Overpaid by "&amp;TEXT(-L125,"#,##0.00"),IF(AND(ISNUMBER(H125),N(H125)&lt;&gt;0,S125=0),"Tax ignored (tax tracking is off)",IF(AND(ISNUMBER(StartDate),C125&lt;StartDate),"Date is before the accounting start date",IF(AND(IFERROR(INDEX(coa_Type,MATCH(F125,coa_Name,0)),"")&lt;&gt;"Revenue",IFERROR(INDEX(coa_Type,MATCH(F125,coa_Name,0)),"")&lt;&gt;"Other Income"),"Account is not a revenue account","")))))))</f>
        <v/>
      </c>
      <c r="V125" s="67">
        <f>IF(AND(R125=0,T125=""),1,0)</f>
        <v/>
      </c>
      <c r="W125" s="67">
        <f>IF(V125=1,acctAR,"")</f>
        <v/>
      </c>
      <c r="X125" s="67">
        <f>IF(V125=1,F125,"")</f>
        <v/>
      </c>
      <c r="Y125" s="68">
        <f>IF(V125=1,G125,0)</f>
        <v/>
      </c>
      <c r="Z125" s="68">
        <f>IF(V125=1,G125-S125,0)</f>
        <v/>
      </c>
      <c r="AA125" s="68">
        <f>IF(V125=1,S125,0)</f>
        <v/>
      </c>
    </row>
    <row r="126">
      <c r="B126" s="62" t="n"/>
      <c r="C126" s="63" t="n"/>
      <c r="D126" s="62" t="n"/>
      <c r="E126" s="62" t="n"/>
      <c r="F126" s="62" t="n"/>
      <c r="G126" s="64" t="n"/>
      <c r="H126" s="64" t="n"/>
      <c r="I126" s="63" t="n"/>
      <c r="J126" s="29">
        <f>IF(V126=1,IF(ISNUMBER(I126),I126,C126+IF(ISNUMBER(IFERROR(INDEX(cust_Terms,MATCH(D126,cust_Name,0)),"")),INDEX(cust_Terms,MATCH(D126,cust_Name,0)),TermsDays)),"")</f>
        <v/>
      </c>
      <c r="K126" s="65">
        <f>IF(V126=1,SUMIFS(tx_DrAmt,tx_Type,"Customer Payment",tx_Ref,B126&amp;"",tx_Date,"&lt;="&amp;AsOf),"")</f>
        <v/>
      </c>
      <c r="L126" s="65">
        <f>IF(V126=1,IF(C126&gt;AsOf,0,ROUND(G126-K126,2)),"")</f>
        <v/>
      </c>
      <c r="M126" s="66">
        <f>IF(V126&lt;&gt;1,"",IF(C126&gt;AsOf,"Future",IF(L126&lt;0,"Overpaid",IF(L126=0,"Paid",IF(AsOf&gt;J126,"Overdue",IF(K126&gt;0,"Partial","Unpaid"))))))</f>
        <v/>
      </c>
      <c r="N126" s="28">
        <f>IF(AND(V126=1,N(L126)&gt;0),AsOf-C126,"")</f>
        <v/>
      </c>
      <c r="O126" s="28">
        <f>IF(N126="","",MAX(0,AsOf-J126))</f>
        <v/>
      </c>
      <c r="P126" s="66">
        <f>IF(O126="","",IF(O126=0,"Current",IF(O126&lt;=30,"1-30",IF(O126&lt;=60,"31-60",IF(O126&lt;=90,"61-90","90+")))))</f>
        <v/>
      </c>
      <c r="Q126" s="66">
        <f>IF(T126&lt;&gt;"","⛔ "&amp;T126&amp;" — not posted",IF(U126&lt;&gt;"","⚠ "&amp;U126,IF(V126=1,"✓ OK","")))</f>
        <v/>
      </c>
      <c r="R126" s="67">
        <f>IF(AND(B126="",C126="",D126="",G126="",F126=""),1,0)</f>
        <v/>
      </c>
      <c r="S126" s="68">
        <f>IF(AND(TaxOn="Yes",ISNUMBER(H126)),H126,0)</f>
        <v/>
      </c>
      <c r="T126" s="67">
        <f>IF(R126=1,"",IF(B126="","Enter an invoice #",IF(C126="","Missing invoice date",IF(NOT(ISNUMBER(C126)),"Invalid date",IF(OR(C126&lt;DATE(2000,1,1),C126&gt;DATE(2099,12,31)),"Invalid date",IF(F126="","Select a revenue account",IF(ISNA(MATCH(F126,coa_Name,0)),"Unknown account: "&amp;F126,IF(NOT(ISNUMBER(G126)),"Enter an amount",IF(G126&lt;=0,"Amount must be positive",IF(S126&gt;G126,"Tax is larger than the amount",""))))))))))</f>
        <v/>
      </c>
      <c r="U126" s="67">
        <f>IF(OR(R126=1,T126&lt;&gt;""),"",IF(COUNTIF(ar_No,B126)&gt;1,"Duplicate invoice #",IF(D126="","Select a customer",IF(N(L126)&lt;0,"Overpaid by "&amp;TEXT(-L126,"#,##0.00"),IF(AND(ISNUMBER(H126),N(H126)&lt;&gt;0,S126=0),"Tax ignored (tax tracking is off)",IF(AND(ISNUMBER(StartDate),C126&lt;StartDate),"Date is before the accounting start date",IF(AND(IFERROR(INDEX(coa_Type,MATCH(F126,coa_Name,0)),"")&lt;&gt;"Revenue",IFERROR(INDEX(coa_Type,MATCH(F126,coa_Name,0)),"")&lt;&gt;"Other Income"),"Account is not a revenue account","")))))))</f>
        <v/>
      </c>
      <c r="V126" s="67">
        <f>IF(AND(R126=0,T126=""),1,0)</f>
        <v/>
      </c>
      <c r="W126" s="67">
        <f>IF(V126=1,acctAR,"")</f>
        <v/>
      </c>
      <c r="X126" s="67">
        <f>IF(V126=1,F126,"")</f>
        <v/>
      </c>
      <c r="Y126" s="68">
        <f>IF(V126=1,G126,0)</f>
        <v/>
      </c>
      <c r="Z126" s="68">
        <f>IF(V126=1,G126-S126,0)</f>
        <v/>
      </c>
      <c r="AA126" s="68">
        <f>IF(V126=1,S126,0)</f>
        <v/>
      </c>
    </row>
    <row r="127">
      <c r="B127" s="62" t="n"/>
      <c r="C127" s="63" t="n"/>
      <c r="D127" s="62" t="n"/>
      <c r="E127" s="62" t="n"/>
      <c r="F127" s="62" t="n"/>
      <c r="G127" s="64" t="n"/>
      <c r="H127" s="64" t="n"/>
      <c r="I127" s="63" t="n"/>
      <c r="J127" s="29">
        <f>IF(V127=1,IF(ISNUMBER(I127),I127,C127+IF(ISNUMBER(IFERROR(INDEX(cust_Terms,MATCH(D127,cust_Name,0)),"")),INDEX(cust_Terms,MATCH(D127,cust_Name,0)),TermsDays)),"")</f>
        <v/>
      </c>
      <c r="K127" s="65">
        <f>IF(V127=1,SUMIFS(tx_DrAmt,tx_Type,"Customer Payment",tx_Ref,B127&amp;"",tx_Date,"&lt;="&amp;AsOf),"")</f>
        <v/>
      </c>
      <c r="L127" s="65">
        <f>IF(V127=1,IF(C127&gt;AsOf,0,ROUND(G127-K127,2)),"")</f>
        <v/>
      </c>
      <c r="M127" s="66">
        <f>IF(V127&lt;&gt;1,"",IF(C127&gt;AsOf,"Future",IF(L127&lt;0,"Overpaid",IF(L127=0,"Paid",IF(AsOf&gt;J127,"Overdue",IF(K127&gt;0,"Partial","Unpaid"))))))</f>
        <v/>
      </c>
      <c r="N127" s="28">
        <f>IF(AND(V127=1,N(L127)&gt;0),AsOf-C127,"")</f>
        <v/>
      </c>
      <c r="O127" s="28">
        <f>IF(N127="","",MAX(0,AsOf-J127))</f>
        <v/>
      </c>
      <c r="P127" s="66">
        <f>IF(O127="","",IF(O127=0,"Current",IF(O127&lt;=30,"1-30",IF(O127&lt;=60,"31-60",IF(O127&lt;=90,"61-90","90+")))))</f>
        <v/>
      </c>
      <c r="Q127" s="66">
        <f>IF(T127&lt;&gt;"","⛔ "&amp;T127&amp;" — not posted",IF(U127&lt;&gt;"","⚠ "&amp;U127,IF(V127=1,"✓ OK","")))</f>
        <v/>
      </c>
      <c r="R127" s="67">
        <f>IF(AND(B127="",C127="",D127="",G127="",F127=""),1,0)</f>
        <v/>
      </c>
      <c r="S127" s="68">
        <f>IF(AND(TaxOn="Yes",ISNUMBER(H127)),H127,0)</f>
        <v/>
      </c>
      <c r="T127" s="67">
        <f>IF(R127=1,"",IF(B127="","Enter an invoice #",IF(C127="","Missing invoice date",IF(NOT(ISNUMBER(C127)),"Invalid date",IF(OR(C127&lt;DATE(2000,1,1),C127&gt;DATE(2099,12,31)),"Invalid date",IF(F127="","Select a revenue account",IF(ISNA(MATCH(F127,coa_Name,0)),"Unknown account: "&amp;F127,IF(NOT(ISNUMBER(G127)),"Enter an amount",IF(G127&lt;=0,"Amount must be positive",IF(S127&gt;G127,"Tax is larger than the amount",""))))))))))</f>
        <v/>
      </c>
      <c r="U127" s="67">
        <f>IF(OR(R127=1,T127&lt;&gt;""),"",IF(COUNTIF(ar_No,B127)&gt;1,"Duplicate invoice #",IF(D127="","Select a customer",IF(N(L127)&lt;0,"Overpaid by "&amp;TEXT(-L127,"#,##0.00"),IF(AND(ISNUMBER(H127),N(H127)&lt;&gt;0,S127=0),"Tax ignored (tax tracking is off)",IF(AND(ISNUMBER(StartDate),C127&lt;StartDate),"Date is before the accounting start date",IF(AND(IFERROR(INDEX(coa_Type,MATCH(F127,coa_Name,0)),"")&lt;&gt;"Revenue",IFERROR(INDEX(coa_Type,MATCH(F127,coa_Name,0)),"")&lt;&gt;"Other Income"),"Account is not a revenue account","")))))))</f>
        <v/>
      </c>
      <c r="V127" s="67">
        <f>IF(AND(R127=0,T127=""),1,0)</f>
        <v/>
      </c>
      <c r="W127" s="67">
        <f>IF(V127=1,acctAR,"")</f>
        <v/>
      </c>
      <c r="X127" s="67">
        <f>IF(V127=1,F127,"")</f>
        <v/>
      </c>
      <c r="Y127" s="68">
        <f>IF(V127=1,G127,0)</f>
        <v/>
      </c>
      <c r="Z127" s="68">
        <f>IF(V127=1,G127-S127,0)</f>
        <v/>
      </c>
      <c r="AA127" s="68">
        <f>IF(V127=1,S127,0)</f>
        <v/>
      </c>
    </row>
    <row r="128">
      <c r="B128" s="62" t="n"/>
      <c r="C128" s="63" t="n"/>
      <c r="D128" s="62" t="n"/>
      <c r="E128" s="62" t="n"/>
      <c r="F128" s="62" t="n"/>
      <c r="G128" s="64" t="n"/>
      <c r="H128" s="64" t="n"/>
      <c r="I128" s="63" t="n"/>
      <c r="J128" s="29">
        <f>IF(V128=1,IF(ISNUMBER(I128),I128,C128+IF(ISNUMBER(IFERROR(INDEX(cust_Terms,MATCH(D128,cust_Name,0)),"")),INDEX(cust_Terms,MATCH(D128,cust_Name,0)),TermsDays)),"")</f>
        <v/>
      </c>
      <c r="K128" s="65">
        <f>IF(V128=1,SUMIFS(tx_DrAmt,tx_Type,"Customer Payment",tx_Ref,B128&amp;"",tx_Date,"&lt;="&amp;AsOf),"")</f>
        <v/>
      </c>
      <c r="L128" s="65">
        <f>IF(V128=1,IF(C128&gt;AsOf,0,ROUND(G128-K128,2)),"")</f>
        <v/>
      </c>
      <c r="M128" s="66">
        <f>IF(V128&lt;&gt;1,"",IF(C128&gt;AsOf,"Future",IF(L128&lt;0,"Overpaid",IF(L128=0,"Paid",IF(AsOf&gt;J128,"Overdue",IF(K128&gt;0,"Partial","Unpaid"))))))</f>
        <v/>
      </c>
      <c r="N128" s="28">
        <f>IF(AND(V128=1,N(L128)&gt;0),AsOf-C128,"")</f>
        <v/>
      </c>
      <c r="O128" s="28">
        <f>IF(N128="","",MAX(0,AsOf-J128))</f>
        <v/>
      </c>
      <c r="P128" s="66">
        <f>IF(O128="","",IF(O128=0,"Current",IF(O128&lt;=30,"1-30",IF(O128&lt;=60,"31-60",IF(O128&lt;=90,"61-90","90+")))))</f>
        <v/>
      </c>
      <c r="Q128" s="66">
        <f>IF(T128&lt;&gt;"","⛔ "&amp;T128&amp;" — not posted",IF(U128&lt;&gt;"","⚠ "&amp;U128,IF(V128=1,"✓ OK","")))</f>
        <v/>
      </c>
      <c r="R128" s="67">
        <f>IF(AND(B128="",C128="",D128="",G128="",F128=""),1,0)</f>
        <v/>
      </c>
      <c r="S128" s="68">
        <f>IF(AND(TaxOn="Yes",ISNUMBER(H128)),H128,0)</f>
        <v/>
      </c>
      <c r="T128" s="67">
        <f>IF(R128=1,"",IF(B128="","Enter an invoice #",IF(C128="","Missing invoice date",IF(NOT(ISNUMBER(C128)),"Invalid date",IF(OR(C128&lt;DATE(2000,1,1),C128&gt;DATE(2099,12,31)),"Invalid date",IF(F128="","Select a revenue account",IF(ISNA(MATCH(F128,coa_Name,0)),"Unknown account: "&amp;F128,IF(NOT(ISNUMBER(G128)),"Enter an amount",IF(G128&lt;=0,"Amount must be positive",IF(S128&gt;G128,"Tax is larger than the amount",""))))))))))</f>
        <v/>
      </c>
      <c r="U128" s="67">
        <f>IF(OR(R128=1,T128&lt;&gt;""),"",IF(COUNTIF(ar_No,B128)&gt;1,"Duplicate invoice #",IF(D128="","Select a customer",IF(N(L128)&lt;0,"Overpaid by "&amp;TEXT(-L128,"#,##0.00"),IF(AND(ISNUMBER(H128),N(H128)&lt;&gt;0,S128=0),"Tax ignored (tax tracking is off)",IF(AND(ISNUMBER(StartDate),C128&lt;StartDate),"Date is before the accounting start date",IF(AND(IFERROR(INDEX(coa_Type,MATCH(F128,coa_Name,0)),"")&lt;&gt;"Revenue",IFERROR(INDEX(coa_Type,MATCH(F128,coa_Name,0)),"")&lt;&gt;"Other Income"),"Account is not a revenue account","")))))))</f>
        <v/>
      </c>
      <c r="V128" s="67">
        <f>IF(AND(R128=0,T128=""),1,0)</f>
        <v/>
      </c>
      <c r="W128" s="67">
        <f>IF(V128=1,acctAR,"")</f>
        <v/>
      </c>
      <c r="X128" s="67">
        <f>IF(V128=1,F128,"")</f>
        <v/>
      </c>
      <c r="Y128" s="68">
        <f>IF(V128=1,G128,0)</f>
        <v/>
      </c>
      <c r="Z128" s="68">
        <f>IF(V128=1,G128-S128,0)</f>
        <v/>
      </c>
      <c r="AA128" s="68">
        <f>IF(V128=1,S128,0)</f>
        <v/>
      </c>
    </row>
    <row r="129">
      <c r="B129" s="62" t="n"/>
      <c r="C129" s="63" t="n"/>
      <c r="D129" s="62" t="n"/>
      <c r="E129" s="62" t="n"/>
      <c r="F129" s="62" t="n"/>
      <c r="G129" s="64" t="n"/>
      <c r="H129" s="64" t="n"/>
      <c r="I129" s="63" t="n"/>
      <c r="J129" s="29">
        <f>IF(V129=1,IF(ISNUMBER(I129),I129,C129+IF(ISNUMBER(IFERROR(INDEX(cust_Terms,MATCH(D129,cust_Name,0)),"")),INDEX(cust_Terms,MATCH(D129,cust_Name,0)),TermsDays)),"")</f>
        <v/>
      </c>
      <c r="K129" s="65">
        <f>IF(V129=1,SUMIFS(tx_DrAmt,tx_Type,"Customer Payment",tx_Ref,B129&amp;"",tx_Date,"&lt;="&amp;AsOf),"")</f>
        <v/>
      </c>
      <c r="L129" s="65">
        <f>IF(V129=1,IF(C129&gt;AsOf,0,ROUND(G129-K129,2)),"")</f>
        <v/>
      </c>
      <c r="M129" s="66">
        <f>IF(V129&lt;&gt;1,"",IF(C129&gt;AsOf,"Future",IF(L129&lt;0,"Overpaid",IF(L129=0,"Paid",IF(AsOf&gt;J129,"Overdue",IF(K129&gt;0,"Partial","Unpaid"))))))</f>
        <v/>
      </c>
      <c r="N129" s="28">
        <f>IF(AND(V129=1,N(L129)&gt;0),AsOf-C129,"")</f>
        <v/>
      </c>
      <c r="O129" s="28">
        <f>IF(N129="","",MAX(0,AsOf-J129))</f>
        <v/>
      </c>
      <c r="P129" s="66">
        <f>IF(O129="","",IF(O129=0,"Current",IF(O129&lt;=30,"1-30",IF(O129&lt;=60,"31-60",IF(O129&lt;=90,"61-90","90+")))))</f>
        <v/>
      </c>
      <c r="Q129" s="66">
        <f>IF(T129&lt;&gt;"","⛔ "&amp;T129&amp;" — not posted",IF(U129&lt;&gt;"","⚠ "&amp;U129,IF(V129=1,"✓ OK","")))</f>
        <v/>
      </c>
      <c r="R129" s="67">
        <f>IF(AND(B129="",C129="",D129="",G129="",F129=""),1,0)</f>
        <v/>
      </c>
      <c r="S129" s="68">
        <f>IF(AND(TaxOn="Yes",ISNUMBER(H129)),H129,0)</f>
        <v/>
      </c>
      <c r="T129" s="67">
        <f>IF(R129=1,"",IF(B129="","Enter an invoice #",IF(C129="","Missing invoice date",IF(NOT(ISNUMBER(C129)),"Invalid date",IF(OR(C129&lt;DATE(2000,1,1),C129&gt;DATE(2099,12,31)),"Invalid date",IF(F129="","Select a revenue account",IF(ISNA(MATCH(F129,coa_Name,0)),"Unknown account: "&amp;F129,IF(NOT(ISNUMBER(G129)),"Enter an amount",IF(G129&lt;=0,"Amount must be positive",IF(S129&gt;G129,"Tax is larger than the amount",""))))))))))</f>
        <v/>
      </c>
      <c r="U129" s="67">
        <f>IF(OR(R129=1,T129&lt;&gt;""),"",IF(COUNTIF(ar_No,B129)&gt;1,"Duplicate invoice #",IF(D129="","Select a customer",IF(N(L129)&lt;0,"Overpaid by "&amp;TEXT(-L129,"#,##0.00"),IF(AND(ISNUMBER(H129),N(H129)&lt;&gt;0,S129=0),"Tax ignored (tax tracking is off)",IF(AND(ISNUMBER(StartDate),C129&lt;StartDate),"Date is before the accounting start date",IF(AND(IFERROR(INDEX(coa_Type,MATCH(F129,coa_Name,0)),"")&lt;&gt;"Revenue",IFERROR(INDEX(coa_Type,MATCH(F129,coa_Name,0)),"")&lt;&gt;"Other Income"),"Account is not a revenue account","")))))))</f>
        <v/>
      </c>
      <c r="V129" s="67">
        <f>IF(AND(R129=0,T129=""),1,0)</f>
        <v/>
      </c>
      <c r="W129" s="67">
        <f>IF(V129=1,acctAR,"")</f>
        <v/>
      </c>
      <c r="X129" s="67">
        <f>IF(V129=1,F129,"")</f>
        <v/>
      </c>
      <c r="Y129" s="68">
        <f>IF(V129=1,G129,0)</f>
        <v/>
      </c>
      <c r="Z129" s="68">
        <f>IF(V129=1,G129-S129,0)</f>
        <v/>
      </c>
      <c r="AA129" s="68">
        <f>IF(V129=1,S129,0)</f>
        <v/>
      </c>
    </row>
    <row r="130">
      <c r="B130" s="62" t="n"/>
      <c r="C130" s="63" t="n"/>
      <c r="D130" s="62" t="n"/>
      <c r="E130" s="62" t="n"/>
      <c r="F130" s="62" t="n"/>
      <c r="G130" s="64" t="n"/>
      <c r="H130" s="64" t="n"/>
      <c r="I130" s="63" t="n"/>
      <c r="J130" s="29">
        <f>IF(V130=1,IF(ISNUMBER(I130),I130,C130+IF(ISNUMBER(IFERROR(INDEX(cust_Terms,MATCH(D130,cust_Name,0)),"")),INDEX(cust_Terms,MATCH(D130,cust_Name,0)),TermsDays)),"")</f>
        <v/>
      </c>
      <c r="K130" s="65">
        <f>IF(V130=1,SUMIFS(tx_DrAmt,tx_Type,"Customer Payment",tx_Ref,B130&amp;"",tx_Date,"&lt;="&amp;AsOf),"")</f>
        <v/>
      </c>
      <c r="L130" s="65">
        <f>IF(V130=1,IF(C130&gt;AsOf,0,ROUND(G130-K130,2)),"")</f>
        <v/>
      </c>
      <c r="M130" s="66">
        <f>IF(V130&lt;&gt;1,"",IF(C130&gt;AsOf,"Future",IF(L130&lt;0,"Overpaid",IF(L130=0,"Paid",IF(AsOf&gt;J130,"Overdue",IF(K130&gt;0,"Partial","Unpaid"))))))</f>
        <v/>
      </c>
      <c r="N130" s="28">
        <f>IF(AND(V130=1,N(L130)&gt;0),AsOf-C130,"")</f>
        <v/>
      </c>
      <c r="O130" s="28">
        <f>IF(N130="","",MAX(0,AsOf-J130))</f>
        <v/>
      </c>
      <c r="P130" s="66">
        <f>IF(O130="","",IF(O130=0,"Current",IF(O130&lt;=30,"1-30",IF(O130&lt;=60,"31-60",IF(O130&lt;=90,"61-90","90+")))))</f>
        <v/>
      </c>
      <c r="Q130" s="66">
        <f>IF(T130&lt;&gt;"","⛔ "&amp;T130&amp;" — not posted",IF(U130&lt;&gt;"","⚠ "&amp;U130,IF(V130=1,"✓ OK","")))</f>
        <v/>
      </c>
      <c r="R130" s="67">
        <f>IF(AND(B130="",C130="",D130="",G130="",F130=""),1,0)</f>
        <v/>
      </c>
      <c r="S130" s="68">
        <f>IF(AND(TaxOn="Yes",ISNUMBER(H130)),H130,0)</f>
        <v/>
      </c>
      <c r="T130" s="67">
        <f>IF(R130=1,"",IF(B130="","Enter an invoice #",IF(C130="","Missing invoice date",IF(NOT(ISNUMBER(C130)),"Invalid date",IF(OR(C130&lt;DATE(2000,1,1),C130&gt;DATE(2099,12,31)),"Invalid date",IF(F130="","Select a revenue account",IF(ISNA(MATCH(F130,coa_Name,0)),"Unknown account: "&amp;F130,IF(NOT(ISNUMBER(G130)),"Enter an amount",IF(G130&lt;=0,"Amount must be positive",IF(S130&gt;G130,"Tax is larger than the amount",""))))))))))</f>
        <v/>
      </c>
      <c r="U130" s="67">
        <f>IF(OR(R130=1,T130&lt;&gt;""),"",IF(COUNTIF(ar_No,B130)&gt;1,"Duplicate invoice #",IF(D130="","Select a customer",IF(N(L130)&lt;0,"Overpaid by "&amp;TEXT(-L130,"#,##0.00"),IF(AND(ISNUMBER(H130),N(H130)&lt;&gt;0,S130=0),"Tax ignored (tax tracking is off)",IF(AND(ISNUMBER(StartDate),C130&lt;StartDate),"Date is before the accounting start date",IF(AND(IFERROR(INDEX(coa_Type,MATCH(F130,coa_Name,0)),"")&lt;&gt;"Revenue",IFERROR(INDEX(coa_Type,MATCH(F130,coa_Name,0)),"")&lt;&gt;"Other Income"),"Account is not a revenue account","")))))))</f>
        <v/>
      </c>
      <c r="V130" s="67">
        <f>IF(AND(R130=0,T130=""),1,0)</f>
        <v/>
      </c>
      <c r="W130" s="67">
        <f>IF(V130=1,acctAR,"")</f>
        <v/>
      </c>
      <c r="X130" s="67">
        <f>IF(V130=1,F130,"")</f>
        <v/>
      </c>
      <c r="Y130" s="68">
        <f>IF(V130=1,G130,0)</f>
        <v/>
      </c>
      <c r="Z130" s="68">
        <f>IF(V130=1,G130-S130,0)</f>
        <v/>
      </c>
      <c r="AA130" s="68">
        <f>IF(V130=1,S130,0)</f>
        <v/>
      </c>
    </row>
    <row r="131">
      <c r="B131" s="62" t="n"/>
      <c r="C131" s="63" t="n"/>
      <c r="D131" s="62" t="n"/>
      <c r="E131" s="62" t="n"/>
      <c r="F131" s="62" t="n"/>
      <c r="G131" s="64" t="n"/>
      <c r="H131" s="64" t="n"/>
      <c r="I131" s="63" t="n"/>
      <c r="J131" s="29">
        <f>IF(V131=1,IF(ISNUMBER(I131),I131,C131+IF(ISNUMBER(IFERROR(INDEX(cust_Terms,MATCH(D131,cust_Name,0)),"")),INDEX(cust_Terms,MATCH(D131,cust_Name,0)),TermsDays)),"")</f>
        <v/>
      </c>
      <c r="K131" s="65">
        <f>IF(V131=1,SUMIFS(tx_DrAmt,tx_Type,"Customer Payment",tx_Ref,B131&amp;"",tx_Date,"&lt;="&amp;AsOf),"")</f>
        <v/>
      </c>
      <c r="L131" s="65">
        <f>IF(V131=1,IF(C131&gt;AsOf,0,ROUND(G131-K131,2)),"")</f>
        <v/>
      </c>
      <c r="M131" s="66">
        <f>IF(V131&lt;&gt;1,"",IF(C131&gt;AsOf,"Future",IF(L131&lt;0,"Overpaid",IF(L131=0,"Paid",IF(AsOf&gt;J131,"Overdue",IF(K131&gt;0,"Partial","Unpaid"))))))</f>
        <v/>
      </c>
      <c r="N131" s="28">
        <f>IF(AND(V131=1,N(L131)&gt;0),AsOf-C131,"")</f>
        <v/>
      </c>
      <c r="O131" s="28">
        <f>IF(N131="","",MAX(0,AsOf-J131))</f>
        <v/>
      </c>
      <c r="P131" s="66">
        <f>IF(O131="","",IF(O131=0,"Current",IF(O131&lt;=30,"1-30",IF(O131&lt;=60,"31-60",IF(O131&lt;=90,"61-90","90+")))))</f>
        <v/>
      </c>
      <c r="Q131" s="66">
        <f>IF(T131&lt;&gt;"","⛔ "&amp;T131&amp;" — not posted",IF(U131&lt;&gt;"","⚠ "&amp;U131,IF(V131=1,"✓ OK","")))</f>
        <v/>
      </c>
      <c r="R131" s="67">
        <f>IF(AND(B131="",C131="",D131="",G131="",F131=""),1,0)</f>
        <v/>
      </c>
      <c r="S131" s="68">
        <f>IF(AND(TaxOn="Yes",ISNUMBER(H131)),H131,0)</f>
        <v/>
      </c>
      <c r="T131" s="67">
        <f>IF(R131=1,"",IF(B131="","Enter an invoice #",IF(C131="","Missing invoice date",IF(NOT(ISNUMBER(C131)),"Invalid date",IF(OR(C131&lt;DATE(2000,1,1),C131&gt;DATE(2099,12,31)),"Invalid date",IF(F131="","Select a revenue account",IF(ISNA(MATCH(F131,coa_Name,0)),"Unknown account: "&amp;F131,IF(NOT(ISNUMBER(G131)),"Enter an amount",IF(G131&lt;=0,"Amount must be positive",IF(S131&gt;G131,"Tax is larger than the amount",""))))))))))</f>
        <v/>
      </c>
      <c r="U131" s="67">
        <f>IF(OR(R131=1,T131&lt;&gt;""),"",IF(COUNTIF(ar_No,B131)&gt;1,"Duplicate invoice #",IF(D131="","Select a customer",IF(N(L131)&lt;0,"Overpaid by "&amp;TEXT(-L131,"#,##0.00"),IF(AND(ISNUMBER(H131),N(H131)&lt;&gt;0,S131=0),"Tax ignored (tax tracking is off)",IF(AND(ISNUMBER(StartDate),C131&lt;StartDate),"Date is before the accounting start date",IF(AND(IFERROR(INDEX(coa_Type,MATCH(F131,coa_Name,0)),"")&lt;&gt;"Revenue",IFERROR(INDEX(coa_Type,MATCH(F131,coa_Name,0)),"")&lt;&gt;"Other Income"),"Account is not a revenue account","")))))))</f>
        <v/>
      </c>
      <c r="V131" s="67">
        <f>IF(AND(R131=0,T131=""),1,0)</f>
        <v/>
      </c>
      <c r="W131" s="67">
        <f>IF(V131=1,acctAR,"")</f>
        <v/>
      </c>
      <c r="X131" s="67">
        <f>IF(V131=1,F131,"")</f>
        <v/>
      </c>
      <c r="Y131" s="68">
        <f>IF(V131=1,G131,0)</f>
        <v/>
      </c>
      <c r="Z131" s="68">
        <f>IF(V131=1,G131-S131,0)</f>
        <v/>
      </c>
      <c r="AA131" s="68">
        <f>IF(V131=1,S131,0)</f>
        <v/>
      </c>
    </row>
    <row r="132">
      <c r="B132" s="62" t="n"/>
      <c r="C132" s="63" t="n"/>
      <c r="D132" s="62" t="n"/>
      <c r="E132" s="62" t="n"/>
      <c r="F132" s="62" t="n"/>
      <c r="G132" s="64" t="n"/>
      <c r="H132" s="64" t="n"/>
      <c r="I132" s="63" t="n"/>
      <c r="J132" s="29">
        <f>IF(V132=1,IF(ISNUMBER(I132),I132,C132+IF(ISNUMBER(IFERROR(INDEX(cust_Terms,MATCH(D132,cust_Name,0)),"")),INDEX(cust_Terms,MATCH(D132,cust_Name,0)),TermsDays)),"")</f>
        <v/>
      </c>
      <c r="K132" s="65">
        <f>IF(V132=1,SUMIFS(tx_DrAmt,tx_Type,"Customer Payment",tx_Ref,B132&amp;"",tx_Date,"&lt;="&amp;AsOf),"")</f>
        <v/>
      </c>
      <c r="L132" s="65">
        <f>IF(V132=1,IF(C132&gt;AsOf,0,ROUND(G132-K132,2)),"")</f>
        <v/>
      </c>
      <c r="M132" s="66">
        <f>IF(V132&lt;&gt;1,"",IF(C132&gt;AsOf,"Future",IF(L132&lt;0,"Overpaid",IF(L132=0,"Paid",IF(AsOf&gt;J132,"Overdue",IF(K132&gt;0,"Partial","Unpaid"))))))</f>
        <v/>
      </c>
      <c r="N132" s="28">
        <f>IF(AND(V132=1,N(L132)&gt;0),AsOf-C132,"")</f>
        <v/>
      </c>
      <c r="O132" s="28">
        <f>IF(N132="","",MAX(0,AsOf-J132))</f>
        <v/>
      </c>
      <c r="P132" s="66">
        <f>IF(O132="","",IF(O132=0,"Current",IF(O132&lt;=30,"1-30",IF(O132&lt;=60,"31-60",IF(O132&lt;=90,"61-90","90+")))))</f>
        <v/>
      </c>
      <c r="Q132" s="66">
        <f>IF(T132&lt;&gt;"","⛔ "&amp;T132&amp;" — not posted",IF(U132&lt;&gt;"","⚠ "&amp;U132,IF(V132=1,"✓ OK","")))</f>
        <v/>
      </c>
      <c r="R132" s="67">
        <f>IF(AND(B132="",C132="",D132="",G132="",F132=""),1,0)</f>
        <v/>
      </c>
      <c r="S132" s="68">
        <f>IF(AND(TaxOn="Yes",ISNUMBER(H132)),H132,0)</f>
        <v/>
      </c>
      <c r="T132" s="67">
        <f>IF(R132=1,"",IF(B132="","Enter an invoice #",IF(C132="","Missing invoice date",IF(NOT(ISNUMBER(C132)),"Invalid date",IF(OR(C132&lt;DATE(2000,1,1),C132&gt;DATE(2099,12,31)),"Invalid date",IF(F132="","Select a revenue account",IF(ISNA(MATCH(F132,coa_Name,0)),"Unknown account: "&amp;F132,IF(NOT(ISNUMBER(G132)),"Enter an amount",IF(G132&lt;=0,"Amount must be positive",IF(S132&gt;G132,"Tax is larger than the amount",""))))))))))</f>
        <v/>
      </c>
      <c r="U132" s="67">
        <f>IF(OR(R132=1,T132&lt;&gt;""),"",IF(COUNTIF(ar_No,B132)&gt;1,"Duplicate invoice #",IF(D132="","Select a customer",IF(N(L132)&lt;0,"Overpaid by "&amp;TEXT(-L132,"#,##0.00"),IF(AND(ISNUMBER(H132),N(H132)&lt;&gt;0,S132=0),"Tax ignored (tax tracking is off)",IF(AND(ISNUMBER(StartDate),C132&lt;StartDate),"Date is before the accounting start date",IF(AND(IFERROR(INDEX(coa_Type,MATCH(F132,coa_Name,0)),"")&lt;&gt;"Revenue",IFERROR(INDEX(coa_Type,MATCH(F132,coa_Name,0)),"")&lt;&gt;"Other Income"),"Account is not a revenue account","")))))))</f>
        <v/>
      </c>
      <c r="V132" s="67">
        <f>IF(AND(R132=0,T132=""),1,0)</f>
        <v/>
      </c>
      <c r="W132" s="67">
        <f>IF(V132=1,acctAR,"")</f>
        <v/>
      </c>
      <c r="X132" s="67">
        <f>IF(V132=1,F132,"")</f>
        <v/>
      </c>
      <c r="Y132" s="68">
        <f>IF(V132=1,G132,0)</f>
        <v/>
      </c>
      <c r="Z132" s="68">
        <f>IF(V132=1,G132-S132,0)</f>
        <v/>
      </c>
      <c r="AA132" s="68">
        <f>IF(V132=1,S132,0)</f>
        <v/>
      </c>
    </row>
    <row r="133">
      <c r="B133" s="62" t="n"/>
      <c r="C133" s="63" t="n"/>
      <c r="D133" s="62" t="n"/>
      <c r="E133" s="62" t="n"/>
      <c r="F133" s="62" t="n"/>
      <c r="G133" s="64" t="n"/>
      <c r="H133" s="64" t="n"/>
      <c r="I133" s="63" t="n"/>
      <c r="J133" s="29">
        <f>IF(V133=1,IF(ISNUMBER(I133),I133,C133+IF(ISNUMBER(IFERROR(INDEX(cust_Terms,MATCH(D133,cust_Name,0)),"")),INDEX(cust_Terms,MATCH(D133,cust_Name,0)),TermsDays)),"")</f>
        <v/>
      </c>
      <c r="K133" s="65">
        <f>IF(V133=1,SUMIFS(tx_DrAmt,tx_Type,"Customer Payment",tx_Ref,B133&amp;"",tx_Date,"&lt;="&amp;AsOf),"")</f>
        <v/>
      </c>
      <c r="L133" s="65">
        <f>IF(V133=1,IF(C133&gt;AsOf,0,ROUND(G133-K133,2)),"")</f>
        <v/>
      </c>
      <c r="M133" s="66">
        <f>IF(V133&lt;&gt;1,"",IF(C133&gt;AsOf,"Future",IF(L133&lt;0,"Overpaid",IF(L133=0,"Paid",IF(AsOf&gt;J133,"Overdue",IF(K133&gt;0,"Partial","Unpaid"))))))</f>
        <v/>
      </c>
      <c r="N133" s="28">
        <f>IF(AND(V133=1,N(L133)&gt;0),AsOf-C133,"")</f>
        <v/>
      </c>
      <c r="O133" s="28">
        <f>IF(N133="","",MAX(0,AsOf-J133))</f>
        <v/>
      </c>
      <c r="P133" s="66">
        <f>IF(O133="","",IF(O133=0,"Current",IF(O133&lt;=30,"1-30",IF(O133&lt;=60,"31-60",IF(O133&lt;=90,"61-90","90+")))))</f>
        <v/>
      </c>
      <c r="Q133" s="66">
        <f>IF(T133&lt;&gt;"","⛔ "&amp;T133&amp;" — not posted",IF(U133&lt;&gt;"","⚠ "&amp;U133,IF(V133=1,"✓ OK","")))</f>
        <v/>
      </c>
      <c r="R133" s="67">
        <f>IF(AND(B133="",C133="",D133="",G133="",F133=""),1,0)</f>
        <v/>
      </c>
      <c r="S133" s="68">
        <f>IF(AND(TaxOn="Yes",ISNUMBER(H133)),H133,0)</f>
        <v/>
      </c>
      <c r="T133" s="67">
        <f>IF(R133=1,"",IF(B133="","Enter an invoice #",IF(C133="","Missing invoice date",IF(NOT(ISNUMBER(C133)),"Invalid date",IF(OR(C133&lt;DATE(2000,1,1),C133&gt;DATE(2099,12,31)),"Invalid date",IF(F133="","Select a revenue account",IF(ISNA(MATCH(F133,coa_Name,0)),"Unknown account: "&amp;F133,IF(NOT(ISNUMBER(G133)),"Enter an amount",IF(G133&lt;=0,"Amount must be positive",IF(S133&gt;G133,"Tax is larger than the amount",""))))))))))</f>
        <v/>
      </c>
      <c r="U133" s="67">
        <f>IF(OR(R133=1,T133&lt;&gt;""),"",IF(COUNTIF(ar_No,B133)&gt;1,"Duplicate invoice #",IF(D133="","Select a customer",IF(N(L133)&lt;0,"Overpaid by "&amp;TEXT(-L133,"#,##0.00"),IF(AND(ISNUMBER(H133),N(H133)&lt;&gt;0,S133=0),"Tax ignored (tax tracking is off)",IF(AND(ISNUMBER(StartDate),C133&lt;StartDate),"Date is before the accounting start date",IF(AND(IFERROR(INDEX(coa_Type,MATCH(F133,coa_Name,0)),"")&lt;&gt;"Revenue",IFERROR(INDEX(coa_Type,MATCH(F133,coa_Name,0)),"")&lt;&gt;"Other Income"),"Account is not a revenue account","")))))))</f>
        <v/>
      </c>
      <c r="V133" s="67">
        <f>IF(AND(R133=0,T133=""),1,0)</f>
        <v/>
      </c>
      <c r="W133" s="67">
        <f>IF(V133=1,acctAR,"")</f>
        <v/>
      </c>
      <c r="X133" s="67">
        <f>IF(V133=1,F133,"")</f>
        <v/>
      </c>
      <c r="Y133" s="68">
        <f>IF(V133=1,G133,0)</f>
        <v/>
      </c>
      <c r="Z133" s="68">
        <f>IF(V133=1,G133-S133,0)</f>
        <v/>
      </c>
      <c r="AA133" s="68">
        <f>IF(V133=1,S133,0)</f>
        <v/>
      </c>
    </row>
    <row r="134">
      <c r="B134" s="62" t="n"/>
      <c r="C134" s="63" t="n"/>
      <c r="D134" s="62" t="n"/>
      <c r="E134" s="62" t="n"/>
      <c r="F134" s="62" t="n"/>
      <c r="G134" s="64" t="n"/>
      <c r="H134" s="64" t="n"/>
      <c r="I134" s="63" t="n"/>
      <c r="J134" s="29">
        <f>IF(V134=1,IF(ISNUMBER(I134),I134,C134+IF(ISNUMBER(IFERROR(INDEX(cust_Terms,MATCH(D134,cust_Name,0)),"")),INDEX(cust_Terms,MATCH(D134,cust_Name,0)),TermsDays)),"")</f>
        <v/>
      </c>
      <c r="K134" s="65">
        <f>IF(V134=1,SUMIFS(tx_DrAmt,tx_Type,"Customer Payment",tx_Ref,B134&amp;"",tx_Date,"&lt;="&amp;AsOf),"")</f>
        <v/>
      </c>
      <c r="L134" s="65">
        <f>IF(V134=1,IF(C134&gt;AsOf,0,ROUND(G134-K134,2)),"")</f>
        <v/>
      </c>
      <c r="M134" s="66">
        <f>IF(V134&lt;&gt;1,"",IF(C134&gt;AsOf,"Future",IF(L134&lt;0,"Overpaid",IF(L134=0,"Paid",IF(AsOf&gt;J134,"Overdue",IF(K134&gt;0,"Partial","Unpaid"))))))</f>
        <v/>
      </c>
      <c r="N134" s="28">
        <f>IF(AND(V134=1,N(L134)&gt;0),AsOf-C134,"")</f>
        <v/>
      </c>
      <c r="O134" s="28">
        <f>IF(N134="","",MAX(0,AsOf-J134))</f>
        <v/>
      </c>
      <c r="P134" s="66">
        <f>IF(O134="","",IF(O134=0,"Current",IF(O134&lt;=30,"1-30",IF(O134&lt;=60,"31-60",IF(O134&lt;=90,"61-90","90+")))))</f>
        <v/>
      </c>
      <c r="Q134" s="66">
        <f>IF(T134&lt;&gt;"","⛔ "&amp;T134&amp;" — not posted",IF(U134&lt;&gt;"","⚠ "&amp;U134,IF(V134=1,"✓ OK","")))</f>
        <v/>
      </c>
      <c r="R134" s="67">
        <f>IF(AND(B134="",C134="",D134="",G134="",F134=""),1,0)</f>
        <v/>
      </c>
      <c r="S134" s="68">
        <f>IF(AND(TaxOn="Yes",ISNUMBER(H134)),H134,0)</f>
        <v/>
      </c>
      <c r="T134" s="67">
        <f>IF(R134=1,"",IF(B134="","Enter an invoice #",IF(C134="","Missing invoice date",IF(NOT(ISNUMBER(C134)),"Invalid date",IF(OR(C134&lt;DATE(2000,1,1),C134&gt;DATE(2099,12,31)),"Invalid date",IF(F134="","Select a revenue account",IF(ISNA(MATCH(F134,coa_Name,0)),"Unknown account: "&amp;F134,IF(NOT(ISNUMBER(G134)),"Enter an amount",IF(G134&lt;=0,"Amount must be positive",IF(S134&gt;G134,"Tax is larger than the amount",""))))))))))</f>
        <v/>
      </c>
      <c r="U134" s="67">
        <f>IF(OR(R134=1,T134&lt;&gt;""),"",IF(COUNTIF(ar_No,B134)&gt;1,"Duplicate invoice #",IF(D134="","Select a customer",IF(N(L134)&lt;0,"Overpaid by "&amp;TEXT(-L134,"#,##0.00"),IF(AND(ISNUMBER(H134),N(H134)&lt;&gt;0,S134=0),"Tax ignored (tax tracking is off)",IF(AND(ISNUMBER(StartDate),C134&lt;StartDate),"Date is before the accounting start date",IF(AND(IFERROR(INDEX(coa_Type,MATCH(F134,coa_Name,0)),"")&lt;&gt;"Revenue",IFERROR(INDEX(coa_Type,MATCH(F134,coa_Name,0)),"")&lt;&gt;"Other Income"),"Account is not a revenue account","")))))))</f>
        <v/>
      </c>
      <c r="V134" s="67">
        <f>IF(AND(R134=0,T134=""),1,0)</f>
        <v/>
      </c>
      <c r="W134" s="67">
        <f>IF(V134=1,acctAR,"")</f>
        <v/>
      </c>
      <c r="X134" s="67">
        <f>IF(V134=1,F134,"")</f>
        <v/>
      </c>
      <c r="Y134" s="68">
        <f>IF(V134=1,G134,0)</f>
        <v/>
      </c>
      <c r="Z134" s="68">
        <f>IF(V134=1,G134-S134,0)</f>
        <v/>
      </c>
      <c r="AA134" s="68">
        <f>IF(V134=1,S134,0)</f>
        <v/>
      </c>
    </row>
    <row r="135">
      <c r="B135" s="62" t="n"/>
      <c r="C135" s="63" t="n"/>
      <c r="D135" s="62" t="n"/>
      <c r="E135" s="62" t="n"/>
      <c r="F135" s="62" t="n"/>
      <c r="G135" s="64" t="n"/>
      <c r="H135" s="64" t="n"/>
      <c r="I135" s="63" t="n"/>
      <c r="J135" s="29">
        <f>IF(V135=1,IF(ISNUMBER(I135),I135,C135+IF(ISNUMBER(IFERROR(INDEX(cust_Terms,MATCH(D135,cust_Name,0)),"")),INDEX(cust_Terms,MATCH(D135,cust_Name,0)),TermsDays)),"")</f>
        <v/>
      </c>
      <c r="K135" s="65">
        <f>IF(V135=1,SUMIFS(tx_DrAmt,tx_Type,"Customer Payment",tx_Ref,B135&amp;"",tx_Date,"&lt;="&amp;AsOf),"")</f>
        <v/>
      </c>
      <c r="L135" s="65">
        <f>IF(V135=1,IF(C135&gt;AsOf,0,ROUND(G135-K135,2)),"")</f>
        <v/>
      </c>
      <c r="M135" s="66">
        <f>IF(V135&lt;&gt;1,"",IF(C135&gt;AsOf,"Future",IF(L135&lt;0,"Overpaid",IF(L135=0,"Paid",IF(AsOf&gt;J135,"Overdue",IF(K135&gt;0,"Partial","Unpaid"))))))</f>
        <v/>
      </c>
      <c r="N135" s="28">
        <f>IF(AND(V135=1,N(L135)&gt;0),AsOf-C135,"")</f>
        <v/>
      </c>
      <c r="O135" s="28">
        <f>IF(N135="","",MAX(0,AsOf-J135))</f>
        <v/>
      </c>
      <c r="P135" s="66">
        <f>IF(O135="","",IF(O135=0,"Current",IF(O135&lt;=30,"1-30",IF(O135&lt;=60,"31-60",IF(O135&lt;=90,"61-90","90+")))))</f>
        <v/>
      </c>
      <c r="Q135" s="66">
        <f>IF(T135&lt;&gt;"","⛔ "&amp;T135&amp;" — not posted",IF(U135&lt;&gt;"","⚠ "&amp;U135,IF(V135=1,"✓ OK","")))</f>
        <v/>
      </c>
      <c r="R135" s="67">
        <f>IF(AND(B135="",C135="",D135="",G135="",F135=""),1,0)</f>
        <v/>
      </c>
      <c r="S135" s="68">
        <f>IF(AND(TaxOn="Yes",ISNUMBER(H135)),H135,0)</f>
        <v/>
      </c>
      <c r="T135" s="67">
        <f>IF(R135=1,"",IF(B135="","Enter an invoice #",IF(C135="","Missing invoice date",IF(NOT(ISNUMBER(C135)),"Invalid date",IF(OR(C135&lt;DATE(2000,1,1),C135&gt;DATE(2099,12,31)),"Invalid date",IF(F135="","Select a revenue account",IF(ISNA(MATCH(F135,coa_Name,0)),"Unknown account: "&amp;F135,IF(NOT(ISNUMBER(G135)),"Enter an amount",IF(G135&lt;=0,"Amount must be positive",IF(S135&gt;G135,"Tax is larger than the amount",""))))))))))</f>
        <v/>
      </c>
      <c r="U135" s="67">
        <f>IF(OR(R135=1,T135&lt;&gt;""),"",IF(COUNTIF(ar_No,B135)&gt;1,"Duplicate invoice #",IF(D135="","Select a customer",IF(N(L135)&lt;0,"Overpaid by "&amp;TEXT(-L135,"#,##0.00"),IF(AND(ISNUMBER(H135),N(H135)&lt;&gt;0,S135=0),"Tax ignored (tax tracking is off)",IF(AND(ISNUMBER(StartDate),C135&lt;StartDate),"Date is before the accounting start date",IF(AND(IFERROR(INDEX(coa_Type,MATCH(F135,coa_Name,0)),"")&lt;&gt;"Revenue",IFERROR(INDEX(coa_Type,MATCH(F135,coa_Name,0)),"")&lt;&gt;"Other Income"),"Account is not a revenue account","")))))))</f>
        <v/>
      </c>
      <c r="V135" s="67">
        <f>IF(AND(R135=0,T135=""),1,0)</f>
        <v/>
      </c>
      <c r="W135" s="67">
        <f>IF(V135=1,acctAR,"")</f>
        <v/>
      </c>
      <c r="X135" s="67">
        <f>IF(V135=1,F135,"")</f>
        <v/>
      </c>
      <c r="Y135" s="68">
        <f>IF(V135=1,G135,0)</f>
        <v/>
      </c>
      <c r="Z135" s="68">
        <f>IF(V135=1,G135-S135,0)</f>
        <v/>
      </c>
      <c r="AA135" s="68">
        <f>IF(V135=1,S135,0)</f>
        <v/>
      </c>
    </row>
    <row r="136">
      <c r="B136" s="62" t="n"/>
      <c r="C136" s="63" t="n"/>
      <c r="D136" s="62" t="n"/>
      <c r="E136" s="62" t="n"/>
      <c r="F136" s="62" t="n"/>
      <c r="G136" s="64" t="n"/>
      <c r="H136" s="64" t="n"/>
      <c r="I136" s="63" t="n"/>
      <c r="J136" s="29">
        <f>IF(V136=1,IF(ISNUMBER(I136),I136,C136+IF(ISNUMBER(IFERROR(INDEX(cust_Terms,MATCH(D136,cust_Name,0)),"")),INDEX(cust_Terms,MATCH(D136,cust_Name,0)),TermsDays)),"")</f>
        <v/>
      </c>
      <c r="K136" s="65">
        <f>IF(V136=1,SUMIFS(tx_DrAmt,tx_Type,"Customer Payment",tx_Ref,B136&amp;"",tx_Date,"&lt;="&amp;AsOf),"")</f>
        <v/>
      </c>
      <c r="L136" s="65">
        <f>IF(V136=1,IF(C136&gt;AsOf,0,ROUND(G136-K136,2)),"")</f>
        <v/>
      </c>
      <c r="M136" s="66">
        <f>IF(V136&lt;&gt;1,"",IF(C136&gt;AsOf,"Future",IF(L136&lt;0,"Overpaid",IF(L136=0,"Paid",IF(AsOf&gt;J136,"Overdue",IF(K136&gt;0,"Partial","Unpaid"))))))</f>
        <v/>
      </c>
      <c r="N136" s="28">
        <f>IF(AND(V136=1,N(L136)&gt;0),AsOf-C136,"")</f>
        <v/>
      </c>
      <c r="O136" s="28">
        <f>IF(N136="","",MAX(0,AsOf-J136))</f>
        <v/>
      </c>
      <c r="P136" s="66">
        <f>IF(O136="","",IF(O136=0,"Current",IF(O136&lt;=30,"1-30",IF(O136&lt;=60,"31-60",IF(O136&lt;=90,"61-90","90+")))))</f>
        <v/>
      </c>
      <c r="Q136" s="66">
        <f>IF(T136&lt;&gt;"","⛔ "&amp;T136&amp;" — not posted",IF(U136&lt;&gt;"","⚠ "&amp;U136,IF(V136=1,"✓ OK","")))</f>
        <v/>
      </c>
      <c r="R136" s="67">
        <f>IF(AND(B136="",C136="",D136="",G136="",F136=""),1,0)</f>
        <v/>
      </c>
      <c r="S136" s="68">
        <f>IF(AND(TaxOn="Yes",ISNUMBER(H136)),H136,0)</f>
        <v/>
      </c>
      <c r="T136" s="67">
        <f>IF(R136=1,"",IF(B136="","Enter an invoice #",IF(C136="","Missing invoice date",IF(NOT(ISNUMBER(C136)),"Invalid date",IF(OR(C136&lt;DATE(2000,1,1),C136&gt;DATE(2099,12,31)),"Invalid date",IF(F136="","Select a revenue account",IF(ISNA(MATCH(F136,coa_Name,0)),"Unknown account: "&amp;F136,IF(NOT(ISNUMBER(G136)),"Enter an amount",IF(G136&lt;=0,"Amount must be positive",IF(S136&gt;G136,"Tax is larger than the amount",""))))))))))</f>
        <v/>
      </c>
      <c r="U136" s="67">
        <f>IF(OR(R136=1,T136&lt;&gt;""),"",IF(COUNTIF(ar_No,B136)&gt;1,"Duplicate invoice #",IF(D136="","Select a customer",IF(N(L136)&lt;0,"Overpaid by "&amp;TEXT(-L136,"#,##0.00"),IF(AND(ISNUMBER(H136),N(H136)&lt;&gt;0,S136=0),"Tax ignored (tax tracking is off)",IF(AND(ISNUMBER(StartDate),C136&lt;StartDate),"Date is before the accounting start date",IF(AND(IFERROR(INDEX(coa_Type,MATCH(F136,coa_Name,0)),"")&lt;&gt;"Revenue",IFERROR(INDEX(coa_Type,MATCH(F136,coa_Name,0)),"")&lt;&gt;"Other Income"),"Account is not a revenue account","")))))))</f>
        <v/>
      </c>
      <c r="V136" s="67">
        <f>IF(AND(R136=0,T136=""),1,0)</f>
        <v/>
      </c>
      <c r="W136" s="67">
        <f>IF(V136=1,acctAR,"")</f>
        <v/>
      </c>
      <c r="X136" s="67">
        <f>IF(V136=1,F136,"")</f>
        <v/>
      </c>
      <c r="Y136" s="68">
        <f>IF(V136=1,G136,0)</f>
        <v/>
      </c>
      <c r="Z136" s="68">
        <f>IF(V136=1,G136-S136,0)</f>
        <v/>
      </c>
      <c r="AA136" s="68">
        <f>IF(V136=1,S136,0)</f>
        <v/>
      </c>
    </row>
    <row r="137">
      <c r="B137" s="62" t="n"/>
      <c r="C137" s="63" t="n"/>
      <c r="D137" s="62" t="n"/>
      <c r="E137" s="62" t="n"/>
      <c r="F137" s="62" t="n"/>
      <c r="G137" s="64" t="n"/>
      <c r="H137" s="64" t="n"/>
      <c r="I137" s="63" t="n"/>
      <c r="J137" s="29">
        <f>IF(V137=1,IF(ISNUMBER(I137),I137,C137+IF(ISNUMBER(IFERROR(INDEX(cust_Terms,MATCH(D137,cust_Name,0)),"")),INDEX(cust_Terms,MATCH(D137,cust_Name,0)),TermsDays)),"")</f>
        <v/>
      </c>
      <c r="K137" s="65">
        <f>IF(V137=1,SUMIFS(tx_DrAmt,tx_Type,"Customer Payment",tx_Ref,B137&amp;"",tx_Date,"&lt;="&amp;AsOf),"")</f>
        <v/>
      </c>
      <c r="L137" s="65">
        <f>IF(V137=1,IF(C137&gt;AsOf,0,ROUND(G137-K137,2)),"")</f>
        <v/>
      </c>
      <c r="M137" s="66">
        <f>IF(V137&lt;&gt;1,"",IF(C137&gt;AsOf,"Future",IF(L137&lt;0,"Overpaid",IF(L137=0,"Paid",IF(AsOf&gt;J137,"Overdue",IF(K137&gt;0,"Partial","Unpaid"))))))</f>
        <v/>
      </c>
      <c r="N137" s="28">
        <f>IF(AND(V137=1,N(L137)&gt;0),AsOf-C137,"")</f>
        <v/>
      </c>
      <c r="O137" s="28">
        <f>IF(N137="","",MAX(0,AsOf-J137))</f>
        <v/>
      </c>
      <c r="P137" s="66">
        <f>IF(O137="","",IF(O137=0,"Current",IF(O137&lt;=30,"1-30",IF(O137&lt;=60,"31-60",IF(O137&lt;=90,"61-90","90+")))))</f>
        <v/>
      </c>
      <c r="Q137" s="66">
        <f>IF(T137&lt;&gt;"","⛔ "&amp;T137&amp;" — not posted",IF(U137&lt;&gt;"","⚠ "&amp;U137,IF(V137=1,"✓ OK","")))</f>
        <v/>
      </c>
      <c r="R137" s="67">
        <f>IF(AND(B137="",C137="",D137="",G137="",F137=""),1,0)</f>
        <v/>
      </c>
      <c r="S137" s="68">
        <f>IF(AND(TaxOn="Yes",ISNUMBER(H137)),H137,0)</f>
        <v/>
      </c>
      <c r="T137" s="67">
        <f>IF(R137=1,"",IF(B137="","Enter an invoice #",IF(C137="","Missing invoice date",IF(NOT(ISNUMBER(C137)),"Invalid date",IF(OR(C137&lt;DATE(2000,1,1),C137&gt;DATE(2099,12,31)),"Invalid date",IF(F137="","Select a revenue account",IF(ISNA(MATCH(F137,coa_Name,0)),"Unknown account: "&amp;F137,IF(NOT(ISNUMBER(G137)),"Enter an amount",IF(G137&lt;=0,"Amount must be positive",IF(S137&gt;G137,"Tax is larger than the amount",""))))))))))</f>
        <v/>
      </c>
      <c r="U137" s="67">
        <f>IF(OR(R137=1,T137&lt;&gt;""),"",IF(COUNTIF(ar_No,B137)&gt;1,"Duplicate invoice #",IF(D137="","Select a customer",IF(N(L137)&lt;0,"Overpaid by "&amp;TEXT(-L137,"#,##0.00"),IF(AND(ISNUMBER(H137),N(H137)&lt;&gt;0,S137=0),"Tax ignored (tax tracking is off)",IF(AND(ISNUMBER(StartDate),C137&lt;StartDate),"Date is before the accounting start date",IF(AND(IFERROR(INDEX(coa_Type,MATCH(F137,coa_Name,0)),"")&lt;&gt;"Revenue",IFERROR(INDEX(coa_Type,MATCH(F137,coa_Name,0)),"")&lt;&gt;"Other Income"),"Account is not a revenue account","")))))))</f>
        <v/>
      </c>
      <c r="V137" s="67">
        <f>IF(AND(R137=0,T137=""),1,0)</f>
        <v/>
      </c>
      <c r="W137" s="67">
        <f>IF(V137=1,acctAR,"")</f>
        <v/>
      </c>
      <c r="X137" s="67">
        <f>IF(V137=1,F137,"")</f>
        <v/>
      </c>
      <c r="Y137" s="68">
        <f>IF(V137=1,G137,0)</f>
        <v/>
      </c>
      <c r="Z137" s="68">
        <f>IF(V137=1,G137-S137,0)</f>
        <v/>
      </c>
      <c r="AA137" s="68">
        <f>IF(V137=1,S137,0)</f>
        <v/>
      </c>
    </row>
    <row r="138">
      <c r="B138" s="62" t="n"/>
      <c r="C138" s="63" t="n"/>
      <c r="D138" s="62" t="n"/>
      <c r="E138" s="62" t="n"/>
      <c r="F138" s="62" t="n"/>
      <c r="G138" s="64" t="n"/>
      <c r="H138" s="64" t="n"/>
      <c r="I138" s="63" t="n"/>
      <c r="J138" s="29">
        <f>IF(V138=1,IF(ISNUMBER(I138),I138,C138+IF(ISNUMBER(IFERROR(INDEX(cust_Terms,MATCH(D138,cust_Name,0)),"")),INDEX(cust_Terms,MATCH(D138,cust_Name,0)),TermsDays)),"")</f>
        <v/>
      </c>
      <c r="K138" s="65">
        <f>IF(V138=1,SUMIFS(tx_DrAmt,tx_Type,"Customer Payment",tx_Ref,B138&amp;"",tx_Date,"&lt;="&amp;AsOf),"")</f>
        <v/>
      </c>
      <c r="L138" s="65">
        <f>IF(V138=1,IF(C138&gt;AsOf,0,ROUND(G138-K138,2)),"")</f>
        <v/>
      </c>
      <c r="M138" s="66">
        <f>IF(V138&lt;&gt;1,"",IF(C138&gt;AsOf,"Future",IF(L138&lt;0,"Overpaid",IF(L138=0,"Paid",IF(AsOf&gt;J138,"Overdue",IF(K138&gt;0,"Partial","Unpaid"))))))</f>
        <v/>
      </c>
      <c r="N138" s="28">
        <f>IF(AND(V138=1,N(L138)&gt;0),AsOf-C138,"")</f>
        <v/>
      </c>
      <c r="O138" s="28">
        <f>IF(N138="","",MAX(0,AsOf-J138))</f>
        <v/>
      </c>
      <c r="P138" s="66">
        <f>IF(O138="","",IF(O138=0,"Current",IF(O138&lt;=30,"1-30",IF(O138&lt;=60,"31-60",IF(O138&lt;=90,"61-90","90+")))))</f>
        <v/>
      </c>
      <c r="Q138" s="66">
        <f>IF(T138&lt;&gt;"","⛔ "&amp;T138&amp;" — not posted",IF(U138&lt;&gt;"","⚠ "&amp;U138,IF(V138=1,"✓ OK","")))</f>
        <v/>
      </c>
      <c r="R138" s="67">
        <f>IF(AND(B138="",C138="",D138="",G138="",F138=""),1,0)</f>
        <v/>
      </c>
      <c r="S138" s="68">
        <f>IF(AND(TaxOn="Yes",ISNUMBER(H138)),H138,0)</f>
        <v/>
      </c>
      <c r="T138" s="67">
        <f>IF(R138=1,"",IF(B138="","Enter an invoice #",IF(C138="","Missing invoice date",IF(NOT(ISNUMBER(C138)),"Invalid date",IF(OR(C138&lt;DATE(2000,1,1),C138&gt;DATE(2099,12,31)),"Invalid date",IF(F138="","Select a revenue account",IF(ISNA(MATCH(F138,coa_Name,0)),"Unknown account: "&amp;F138,IF(NOT(ISNUMBER(G138)),"Enter an amount",IF(G138&lt;=0,"Amount must be positive",IF(S138&gt;G138,"Tax is larger than the amount",""))))))))))</f>
        <v/>
      </c>
      <c r="U138" s="67">
        <f>IF(OR(R138=1,T138&lt;&gt;""),"",IF(COUNTIF(ar_No,B138)&gt;1,"Duplicate invoice #",IF(D138="","Select a customer",IF(N(L138)&lt;0,"Overpaid by "&amp;TEXT(-L138,"#,##0.00"),IF(AND(ISNUMBER(H138),N(H138)&lt;&gt;0,S138=0),"Tax ignored (tax tracking is off)",IF(AND(ISNUMBER(StartDate),C138&lt;StartDate),"Date is before the accounting start date",IF(AND(IFERROR(INDEX(coa_Type,MATCH(F138,coa_Name,0)),"")&lt;&gt;"Revenue",IFERROR(INDEX(coa_Type,MATCH(F138,coa_Name,0)),"")&lt;&gt;"Other Income"),"Account is not a revenue account","")))))))</f>
        <v/>
      </c>
      <c r="V138" s="67">
        <f>IF(AND(R138=0,T138=""),1,0)</f>
        <v/>
      </c>
      <c r="W138" s="67">
        <f>IF(V138=1,acctAR,"")</f>
        <v/>
      </c>
      <c r="X138" s="67">
        <f>IF(V138=1,F138,"")</f>
        <v/>
      </c>
      <c r="Y138" s="68">
        <f>IF(V138=1,G138,0)</f>
        <v/>
      </c>
      <c r="Z138" s="68">
        <f>IF(V138=1,G138-S138,0)</f>
        <v/>
      </c>
      <c r="AA138" s="68">
        <f>IF(V138=1,S138,0)</f>
        <v/>
      </c>
    </row>
    <row r="139">
      <c r="B139" s="62" t="n"/>
      <c r="C139" s="63" t="n"/>
      <c r="D139" s="62" t="n"/>
      <c r="E139" s="62" t="n"/>
      <c r="F139" s="62" t="n"/>
      <c r="G139" s="64" t="n"/>
      <c r="H139" s="64" t="n"/>
      <c r="I139" s="63" t="n"/>
      <c r="J139" s="29">
        <f>IF(V139=1,IF(ISNUMBER(I139),I139,C139+IF(ISNUMBER(IFERROR(INDEX(cust_Terms,MATCH(D139,cust_Name,0)),"")),INDEX(cust_Terms,MATCH(D139,cust_Name,0)),TermsDays)),"")</f>
        <v/>
      </c>
      <c r="K139" s="65">
        <f>IF(V139=1,SUMIFS(tx_DrAmt,tx_Type,"Customer Payment",tx_Ref,B139&amp;"",tx_Date,"&lt;="&amp;AsOf),"")</f>
        <v/>
      </c>
      <c r="L139" s="65">
        <f>IF(V139=1,IF(C139&gt;AsOf,0,ROUND(G139-K139,2)),"")</f>
        <v/>
      </c>
      <c r="M139" s="66">
        <f>IF(V139&lt;&gt;1,"",IF(C139&gt;AsOf,"Future",IF(L139&lt;0,"Overpaid",IF(L139=0,"Paid",IF(AsOf&gt;J139,"Overdue",IF(K139&gt;0,"Partial","Unpaid"))))))</f>
        <v/>
      </c>
      <c r="N139" s="28">
        <f>IF(AND(V139=1,N(L139)&gt;0),AsOf-C139,"")</f>
        <v/>
      </c>
      <c r="O139" s="28">
        <f>IF(N139="","",MAX(0,AsOf-J139))</f>
        <v/>
      </c>
      <c r="P139" s="66">
        <f>IF(O139="","",IF(O139=0,"Current",IF(O139&lt;=30,"1-30",IF(O139&lt;=60,"31-60",IF(O139&lt;=90,"61-90","90+")))))</f>
        <v/>
      </c>
      <c r="Q139" s="66">
        <f>IF(T139&lt;&gt;"","⛔ "&amp;T139&amp;" — not posted",IF(U139&lt;&gt;"","⚠ "&amp;U139,IF(V139=1,"✓ OK","")))</f>
        <v/>
      </c>
      <c r="R139" s="67">
        <f>IF(AND(B139="",C139="",D139="",G139="",F139=""),1,0)</f>
        <v/>
      </c>
      <c r="S139" s="68">
        <f>IF(AND(TaxOn="Yes",ISNUMBER(H139)),H139,0)</f>
        <v/>
      </c>
      <c r="T139" s="67">
        <f>IF(R139=1,"",IF(B139="","Enter an invoice #",IF(C139="","Missing invoice date",IF(NOT(ISNUMBER(C139)),"Invalid date",IF(OR(C139&lt;DATE(2000,1,1),C139&gt;DATE(2099,12,31)),"Invalid date",IF(F139="","Select a revenue account",IF(ISNA(MATCH(F139,coa_Name,0)),"Unknown account: "&amp;F139,IF(NOT(ISNUMBER(G139)),"Enter an amount",IF(G139&lt;=0,"Amount must be positive",IF(S139&gt;G139,"Tax is larger than the amount",""))))))))))</f>
        <v/>
      </c>
      <c r="U139" s="67">
        <f>IF(OR(R139=1,T139&lt;&gt;""),"",IF(COUNTIF(ar_No,B139)&gt;1,"Duplicate invoice #",IF(D139="","Select a customer",IF(N(L139)&lt;0,"Overpaid by "&amp;TEXT(-L139,"#,##0.00"),IF(AND(ISNUMBER(H139),N(H139)&lt;&gt;0,S139=0),"Tax ignored (tax tracking is off)",IF(AND(ISNUMBER(StartDate),C139&lt;StartDate),"Date is before the accounting start date",IF(AND(IFERROR(INDEX(coa_Type,MATCH(F139,coa_Name,0)),"")&lt;&gt;"Revenue",IFERROR(INDEX(coa_Type,MATCH(F139,coa_Name,0)),"")&lt;&gt;"Other Income"),"Account is not a revenue account","")))))))</f>
        <v/>
      </c>
      <c r="V139" s="67">
        <f>IF(AND(R139=0,T139=""),1,0)</f>
        <v/>
      </c>
      <c r="W139" s="67">
        <f>IF(V139=1,acctAR,"")</f>
        <v/>
      </c>
      <c r="X139" s="67">
        <f>IF(V139=1,F139,"")</f>
        <v/>
      </c>
      <c r="Y139" s="68">
        <f>IF(V139=1,G139,0)</f>
        <v/>
      </c>
      <c r="Z139" s="68">
        <f>IF(V139=1,G139-S139,0)</f>
        <v/>
      </c>
      <c r="AA139" s="68">
        <f>IF(V139=1,S139,0)</f>
        <v/>
      </c>
    </row>
    <row r="140">
      <c r="B140" s="62" t="n"/>
      <c r="C140" s="63" t="n"/>
      <c r="D140" s="62" t="n"/>
      <c r="E140" s="62" t="n"/>
      <c r="F140" s="62" t="n"/>
      <c r="G140" s="64" t="n"/>
      <c r="H140" s="64" t="n"/>
      <c r="I140" s="63" t="n"/>
      <c r="J140" s="29">
        <f>IF(V140=1,IF(ISNUMBER(I140),I140,C140+IF(ISNUMBER(IFERROR(INDEX(cust_Terms,MATCH(D140,cust_Name,0)),"")),INDEX(cust_Terms,MATCH(D140,cust_Name,0)),TermsDays)),"")</f>
        <v/>
      </c>
      <c r="K140" s="65">
        <f>IF(V140=1,SUMIFS(tx_DrAmt,tx_Type,"Customer Payment",tx_Ref,B140&amp;"",tx_Date,"&lt;="&amp;AsOf),"")</f>
        <v/>
      </c>
      <c r="L140" s="65">
        <f>IF(V140=1,IF(C140&gt;AsOf,0,ROUND(G140-K140,2)),"")</f>
        <v/>
      </c>
      <c r="M140" s="66">
        <f>IF(V140&lt;&gt;1,"",IF(C140&gt;AsOf,"Future",IF(L140&lt;0,"Overpaid",IF(L140=0,"Paid",IF(AsOf&gt;J140,"Overdue",IF(K140&gt;0,"Partial","Unpaid"))))))</f>
        <v/>
      </c>
      <c r="N140" s="28">
        <f>IF(AND(V140=1,N(L140)&gt;0),AsOf-C140,"")</f>
        <v/>
      </c>
      <c r="O140" s="28">
        <f>IF(N140="","",MAX(0,AsOf-J140))</f>
        <v/>
      </c>
      <c r="P140" s="66">
        <f>IF(O140="","",IF(O140=0,"Current",IF(O140&lt;=30,"1-30",IF(O140&lt;=60,"31-60",IF(O140&lt;=90,"61-90","90+")))))</f>
        <v/>
      </c>
      <c r="Q140" s="66">
        <f>IF(T140&lt;&gt;"","⛔ "&amp;T140&amp;" — not posted",IF(U140&lt;&gt;"","⚠ "&amp;U140,IF(V140=1,"✓ OK","")))</f>
        <v/>
      </c>
      <c r="R140" s="67">
        <f>IF(AND(B140="",C140="",D140="",G140="",F140=""),1,0)</f>
        <v/>
      </c>
      <c r="S140" s="68">
        <f>IF(AND(TaxOn="Yes",ISNUMBER(H140)),H140,0)</f>
        <v/>
      </c>
      <c r="T140" s="67">
        <f>IF(R140=1,"",IF(B140="","Enter an invoice #",IF(C140="","Missing invoice date",IF(NOT(ISNUMBER(C140)),"Invalid date",IF(OR(C140&lt;DATE(2000,1,1),C140&gt;DATE(2099,12,31)),"Invalid date",IF(F140="","Select a revenue account",IF(ISNA(MATCH(F140,coa_Name,0)),"Unknown account: "&amp;F140,IF(NOT(ISNUMBER(G140)),"Enter an amount",IF(G140&lt;=0,"Amount must be positive",IF(S140&gt;G140,"Tax is larger than the amount",""))))))))))</f>
        <v/>
      </c>
      <c r="U140" s="67">
        <f>IF(OR(R140=1,T140&lt;&gt;""),"",IF(COUNTIF(ar_No,B140)&gt;1,"Duplicate invoice #",IF(D140="","Select a customer",IF(N(L140)&lt;0,"Overpaid by "&amp;TEXT(-L140,"#,##0.00"),IF(AND(ISNUMBER(H140),N(H140)&lt;&gt;0,S140=0),"Tax ignored (tax tracking is off)",IF(AND(ISNUMBER(StartDate),C140&lt;StartDate),"Date is before the accounting start date",IF(AND(IFERROR(INDEX(coa_Type,MATCH(F140,coa_Name,0)),"")&lt;&gt;"Revenue",IFERROR(INDEX(coa_Type,MATCH(F140,coa_Name,0)),"")&lt;&gt;"Other Income"),"Account is not a revenue account","")))))))</f>
        <v/>
      </c>
      <c r="V140" s="67">
        <f>IF(AND(R140=0,T140=""),1,0)</f>
        <v/>
      </c>
      <c r="W140" s="67">
        <f>IF(V140=1,acctAR,"")</f>
        <v/>
      </c>
      <c r="X140" s="67">
        <f>IF(V140=1,F140,"")</f>
        <v/>
      </c>
      <c r="Y140" s="68">
        <f>IF(V140=1,G140,0)</f>
        <v/>
      </c>
      <c r="Z140" s="68">
        <f>IF(V140=1,G140-S140,0)</f>
        <v/>
      </c>
      <c r="AA140" s="68">
        <f>IF(V140=1,S140,0)</f>
        <v/>
      </c>
    </row>
    <row r="141">
      <c r="B141" s="62" t="n"/>
      <c r="C141" s="63" t="n"/>
      <c r="D141" s="62" t="n"/>
      <c r="E141" s="62" t="n"/>
      <c r="F141" s="62" t="n"/>
      <c r="G141" s="64" t="n"/>
      <c r="H141" s="64" t="n"/>
      <c r="I141" s="63" t="n"/>
      <c r="J141" s="29">
        <f>IF(V141=1,IF(ISNUMBER(I141),I141,C141+IF(ISNUMBER(IFERROR(INDEX(cust_Terms,MATCH(D141,cust_Name,0)),"")),INDEX(cust_Terms,MATCH(D141,cust_Name,0)),TermsDays)),"")</f>
        <v/>
      </c>
      <c r="K141" s="65">
        <f>IF(V141=1,SUMIFS(tx_DrAmt,tx_Type,"Customer Payment",tx_Ref,B141&amp;"",tx_Date,"&lt;="&amp;AsOf),"")</f>
        <v/>
      </c>
      <c r="L141" s="65">
        <f>IF(V141=1,IF(C141&gt;AsOf,0,ROUND(G141-K141,2)),"")</f>
        <v/>
      </c>
      <c r="M141" s="66">
        <f>IF(V141&lt;&gt;1,"",IF(C141&gt;AsOf,"Future",IF(L141&lt;0,"Overpaid",IF(L141=0,"Paid",IF(AsOf&gt;J141,"Overdue",IF(K141&gt;0,"Partial","Unpaid"))))))</f>
        <v/>
      </c>
      <c r="N141" s="28">
        <f>IF(AND(V141=1,N(L141)&gt;0),AsOf-C141,"")</f>
        <v/>
      </c>
      <c r="O141" s="28">
        <f>IF(N141="","",MAX(0,AsOf-J141))</f>
        <v/>
      </c>
      <c r="P141" s="66">
        <f>IF(O141="","",IF(O141=0,"Current",IF(O141&lt;=30,"1-30",IF(O141&lt;=60,"31-60",IF(O141&lt;=90,"61-90","90+")))))</f>
        <v/>
      </c>
      <c r="Q141" s="66">
        <f>IF(T141&lt;&gt;"","⛔ "&amp;T141&amp;" — not posted",IF(U141&lt;&gt;"","⚠ "&amp;U141,IF(V141=1,"✓ OK","")))</f>
        <v/>
      </c>
      <c r="R141" s="67">
        <f>IF(AND(B141="",C141="",D141="",G141="",F141=""),1,0)</f>
        <v/>
      </c>
      <c r="S141" s="68">
        <f>IF(AND(TaxOn="Yes",ISNUMBER(H141)),H141,0)</f>
        <v/>
      </c>
      <c r="T141" s="67">
        <f>IF(R141=1,"",IF(B141="","Enter an invoice #",IF(C141="","Missing invoice date",IF(NOT(ISNUMBER(C141)),"Invalid date",IF(OR(C141&lt;DATE(2000,1,1),C141&gt;DATE(2099,12,31)),"Invalid date",IF(F141="","Select a revenue account",IF(ISNA(MATCH(F141,coa_Name,0)),"Unknown account: "&amp;F141,IF(NOT(ISNUMBER(G141)),"Enter an amount",IF(G141&lt;=0,"Amount must be positive",IF(S141&gt;G141,"Tax is larger than the amount",""))))))))))</f>
        <v/>
      </c>
      <c r="U141" s="67">
        <f>IF(OR(R141=1,T141&lt;&gt;""),"",IF(COUNTIF(ar_No,B141)&gt;1,"Duplicate invoice #",IF(D141="","Select a customer",IF(N(L141)&lt;0,"Overpaid by "&amp;TEXT(-L141,"#,##0.00"),IF(AND(ISNUMBER(H141),N(H141)&lt;&gt;0,S141=0),"Tax ignored (tax tracking is off)",IF(AND(ISNUMBER(StartDate),C141&lt;StartDate),"Date is before the accounting start date",IF(AND(IFERROR(INDEX(coa_Type,MATCH(F141,coa_Name,0)),"")&lt;&gt;"Revenue",IFERROR(INDEX(coa_Type,MATCH(F141,coa_Name,0)),"")&lt;&gt;"Other Income"),"Account is not a revenue account","")))))))</f>
        <v/>
      </c>
      <c r="V141" s="67">
        <f>IF(AND(R141=0,T141=""),1,0)</f>
        <v/>
      </c>
      <c r="W141" s="67">
        <f>IF(V141=1,acctAR,"")</f>
        <v/>
      </c>
      <c r="X141" s="67">
        <f>IF(V141=1,F141,"")</f>
        <v/>
      </c>
      <c r="Y141" s="68">
        <f>IF(V141=1,G141,0)</f>
        <v/>
      </c>
      <c r="Z141" s="68">
        <f>IF(V141=1,G141-S141,0)</f>
        <v/>
      </c>
      <c r="AA141" s="68">
        <f>IF(V141=1,S141,0)</f>
        <v/>
      </c>
    </row>
    <row r="142">
      <c r="B142" s="62" t="n"/>
      <c r="C142" s="63" t="n"/>
      <c r="D142" s="62" t="n"/>
      <c r="E142" s="62" t="n"/>
      <c r="F142" s="62" t="n"/>
      <c r="G142" s="64" t="n"/>
      <c r="H142" s="64" t="n"/>
      <c r="I142" s="63" t="n"/>
      <c r="J142" s="29">
        <f>IF(V142=1,IF(ISNUMBER(I142),I142,C142+IF(ISNUMBER(IFERROR(INDEX(cust_Terms,MATCH(D142,cust_Name,0)),"")),INDEX(cust_Terms,MATCH(D142,cust_Name,0)),TermsDays)),"")</f>
        <v/>
      </c>
      <c r="K142" s="65">
        <f>IF(V142=1,SUMIFS(tx_DrAmt,tx_Type,"Customer Payment",tx_Ref,B142&amp;"",tx_Date,"&lt;="&amp;AsOf),"")</f>
        <v/>
      </c>
      <c r="L142" s="65">
        <f>IF(V142=1,IF(C142&gt;AsOf,0,ROUND(G142-K142,2)),"")</f>
        <v/>
      </c>
      <c r="M142" s="66">
        <f>IF(V142&lt;&gt;1,"",IF(C142&gt;AsOf,"Future",IF(L142&lt;0,"Overpaid",IF(L142=0,"Paid",IF(AsOf&gt;J142,"Overdue",IF(K142&gt;0,"Partial","Unpaid"))))))</f>
        <v/>
      </c>
      <c r="N142" s="28">
        <f>IF(AND(V142=1,N(L142)&gt;0),AsOf-C142,"")</f>
        <v/>
      </c>
      <c r="O142" s="28">
        <f>IF(N142="","",MAX(0,AsOf-J142))</f>
        <v/>
      </c>
      <c r="P142" s="66">
        <f>IF(O142="","",IF(O142=0,"Current",IF(O142&lt;=30,"1-30",IF(O142&lt;=60,"31-60",IF(O142&lt;=90,"61-90","90+")))))</f>
        <v/>
      </c>
      <c r="Q142" s="66">
        <f>IF(T142&lt;&gt;"","⛔ "&amp;T142&amp;" — not posted",IF(U142&lt;&gt;"","⚠ "&amp;U142,IF(V142=1,"✓ OK","")))</f>
        <v/>
      </c>
      <c r="R142" s="67">
        <f>IF(AND(B142="",C142="",D142="",G142="",F142=""),1,0)</f>
        <v/>
      </c>
      <c r="S142" s="68">
        <f>IF(AND(TaxOn="Yes",ISNUMBER(H142)),H142,0)</f>
        <v/>
      </c>
      <c r="T142" s="67">
        <f>IF(R142=1,"",IF(B142="","Enter an invoice #",IF(C142="","Missing invoice date",IF(NOT(ISNUMBER(C142)),"Invalid date",IF(OR(C142&lt;DATE(2000,1,1),C142&gt;DATE(2099,12,31)),"Invalid date",IF(F142="","Select a revenue account",IF(ISNA(MATCH(F142,coa_Name,0)),"Unknown account: "&amp;F142,IF(NOT(ISNUMBER(G142)),"Enter an amount",IF(G142&lt;=0,"Amount must be positive",IF(S142&gt;G142,"Tax is larger than the amount",""))))))))))</f>
        <v/>
      </c>
      <c r="U142" s="67">
        <f>IF(OR(R142=1,T142&lt;&gt;""),"",IF(COUNTIF(ar_No,B142)&gt;1,"Duplicate invoice #",IF(D142="","Select a customer",IF(N(L142)&lt;0,"Overpaid by "&amp;TEXT(-L142,"#,##0.00"),IF(AND(ISNUMBER(H142),N(H142)&lt;&gt;0,S142=0),"Tax ignored (tax tracking is off)",IF(AND(ISNUMBER(StartDate),C142&lt;StartDate),"Date is before the accounting start date",IF(AND(IFERROR(INDEX(coa_Type,MATCH(F142,coa_Name,0)),"")&lt;&gt;"Revenue",IFERROR(INDEX(coa_Type,MATCH(F142,coa_Name,0)),"")&lt;&gt;"Other Income"),"Account is not a revenue account","")))))))</f>
        <v/>
      </c>
      <c r="V142" s="67">
        <f>IF(AND(R142=0,T142=""),1,0)</f>
        <v/>
      </c>
      <c r="W142" s="67">
        <f>IF(V142=1,acctAR,"")</f>
        <v/>
      </c>
      <c r="X142" s="67">
        <f>IF(V142=1,F142,"")</f>
        <v/>
      </c>
      <c r="Y142" s="68">
        <f>IF(V142=1,G142,0)</f>
        <v/>
      </c>
      <c r="Z142" s="68">
        <f>IF(V142=1,G142-S142,0)</f>
        <v/>
      </c>
      <c r="AA142" s="68">
        <f>IF(V142=1,S142,0)</f>
        <v/>
      </c>
    </row>
    <row r="143">
      <c r="B143" s="62" t="n"/>
      <c r="C143" s="63" t="n"/>
      <c r="D143" s="62" t="n"/>
      <c r="E143" s="62" t="n"/>
      <c r="F143" s="62" t="n"/>
      <c r="G143" s="64" t="n"/>
      <c r="H143" s="64" t="n"/>
      <c r="I143" s="63" t="n"/>
      <c r="J143" s="29">
        <f>IF(V143=1,IF(ISNUMBER(I143),I143,C143+IF(ISNUMBER(IFERROR(INDEX(cust_Terms,MATCH(D143,cust_Name,0)),"")),INDEX(cust_Terms,MATCH(D143,cust_Name,0)),TermsDays)),"")</f>
        <v/>
      </c>
      <c r="K143" s="65">
        <f>IF(V143=1,SUMIFS(tx_DrAmt,tx_Type,"Customer Payment",tx_Ref,B143&amp;"",tx_Date,"&lt;="&amp;AsOf),"")</f>
        <v/>
      </c>
      <c r="L143" s="65">
        <f>IF(V143=1,IF(C143&gt;AsOf,0,ROUND(G143-K143,2)),"")</f>
        <v/>
      </c>
      <c r="M143" s="66">
        <f>IF(V143&lt;&gt;1,"",IF(C143&gt;AsOf,"Future",IF(L143&lt;0,"Overpaid",IF(L143=0,"Paid",IF(AsOf&gt;J143,"Overdue",IF(K143&gt;0,"Partial","Unpaid"))))))</f>
        <v/>
      </c>
      <c r="N143" s="28">
        <f>IF(AND(V143=1,N(L143)&gt;0),AsOf-C143,"")</f>
        <v/>
      </c>
      <c r="O143" s="28">
        <f>IF(N143="","",MAX(0,AsOf-J143))</f>
        <v/>
      </c>
      <c r="P143" s="66">
        <f>IF(O143="","",IF(O143=0,"Current",IF(O143&lt;=30,"1-30",IF(O143&lt;=60,"31-60",IF(O143&lt;=90,"61-90","90+")))))</f>
        <v/>
      </c>
      <c r="Q143" s="66">
        <f>IF(T143&lt;&gt;"","⛔ "&amp;T143&amp;" — not posted",IF(U143&lt;&gt;"","⚠ "&amp;U143,IF(V143=1,"✓ OK","")))</f>
        <v/>
      </c>
      <c r="R143" s="67">
        <f>IF(AND(B143="",C143="",D143="",G143="",F143=""),1,0)</f>
        <v/>
      </c>
      <c r="S143" s="68">
        <f>IF(AND(TaxOn="Yes",ISNUMBER(H143)),H143,0)</f>
        <v/>
      </c>
      <c r="T143" s="67">
        <f>IF(R143=1,"",IF(B143="","Enter an invoice #",IF(C143="","Missing invoice date",IF(NOT(ISNUMBER(C143)),"Invalid date",IF(OR(C143&lt;DATE(2000,1,1),C143&gt;DATE(2099,12,31)),"Invalid date",IF(F143="","Select a revenue account",IF(ISNA(MATCH(F143,coa_Name,0)),"Unknown account: "&amp;F143,IF(NOT(ISNUMBER(G143)),"Enter an amount",IF(G143&lt;=0,"Amount must be positive",IF(S143&gt;G143,"Tax is larger than the amount",""))))))))))</f>
        <v/>
      </c>
      <c r="U143" s="67">
        <f>IF(OR(R143=1,T143&lt;&gt;""),"",IF(COUNTIF(ar_No,B143)&gt;1,"Duplicate invoice #",IF(D143="","Select a customer",IF(N(L143)&lt;0,"Overpaid by "&amp;TEXT(-L143,"#,##0.00"),IF(AND(ISNUMBER(H143),N(H143)&lt;&gt;0,S143=0),"Tax ignored (tax tracking is off)",IF(AND(ISNUMBER(StartDate),C143&lt;StartDate),"Date is before the accounting start date",IF(AND(IFERROR(INDEX(coa_Type,MATCH(F143,coa_Name,0)),"")&lt;&gt;"Revenue",IFERROR(INDEX(coa_Type,MATCH(F143,coa_Name,0)),"")&lt;&gt;"Other Income"),"Account is not a revenue account","")))))))</f>
        <v/>
      </c>
      <c r="V143" s="67">
        <f>IF(AND(R143=0,T143=""),1,0)</f>
        <v/>
      </c>
      <c r="W143" s="67">
        <f>IF(V143=1,acctAR,"")</f>
        <v/>
      </c>
      <c r="X143" s="67">
        <f>IF(V143=1,F143,"")</f>
        <v/>
      </c>
      <c r="Y143" s="68">
        <f>IF(V143=1,G143,0)</f>
        <v/>
      </c>
      <c r="Z143" s="68">
        <f>IF(V143=1,G143-S143,0)</f>
        <v/>
      </c>
      <c r="AA143" s="68">
        <f>IF(V143=1,S143,0)</f>
        <v/>
      </c>
    </row>
    <row r="144">
      <c r="B144" s="62" t="n"/>
      <c r="C144" s="63" t="n"/>
      <c r="D144" s="62" t="n"/>
      <c r="E144" s="62" t="n"/>
      <c r="F144" s="62" t="n"/>
      <c r="G144" s="64" t="n"/>
      <c r="H144" s="64" t="n"/>
      <c r="I144" s="63" t="n"/>
      <c r="J144" s="29">
        <f>IF(V144=1,IF(ISNUMBER(I144),I144,C144+IF(ISNUMBER(IFERROR(INDEX(cust_Terms,MATCH(D144,cust_Name,0)),"")),INDEX(cust_Terms,MATCH(D144,cust_Name,0)),TermsDays)),"")</f>
        <v/>
      </c>
      <c r="K144" s="65">
        <f>IF(V144=1,SUMIFS(tx_DrAmt,tx_Type,"Customer Payment",tx_Ref,B144&amp;"",tx_Date,"&lt;="&amp;AsOf),"")</f>
        <v/>
      </c>
      <c r="L144" s="65">
        <f>IF(V144=1,IF(C144&gt;AsOf,0,ROUND(G144-K144,2)),"")</f>
        <v/>
      </c>
      <c r="M144" s="66">
        <f>IF(V144&lt;&gt;1,"",IF(C144&gt;AsOf,"Future",IF(L144&lt;0,"Overpaid",IF(L144=0,"Paid",IF(AsOf&gt;J144,"Overdue",IF(K144&gt;0,"Partial","Unpaid"))))))</f>
        <v/>
      </c>
      <c r="N144" s="28">
        <f>IF(AND(V144=1,N(L144)&gt;0),AsOf-C144,"")</f>
        <v/>
      </c>
      <c r="O144" s="28">
        <f>IF(N144="","",MAX(0,AsOf-J144))</f>
        <v/>
      </c>
      <c r="P144" s="66">
        <f>IF(O144="","",IF(O144=0,"Current",IF(O144&lt;=30,"1-30",IF(O144&lt;=60,"31-60",IF(O144&lt;=90,"61-90","90+")))))</f>
        <v/>
      </c>
      <c r="Q144" s="66">
        <f>IF(T144&lt;&gt;"","⛔ "&amp;T144&amp;" — not posted",IF(U144&lt;&gt;"","⚠ "&amp;U144,IF(V144=1,"✓ OK","")))</f>
        <v/>
      </c>
      <c r="R144" s="67">
        <f>IF(AND(B144="",C144="",D144="",G144="",F144=""),1,0)</f>
        <v/>
      </c>
      <c r="S144" s="68">
        <f>IF(AND(TaxOn="Yes",ISNUMBER(H144)),H144,0)</f>
        <v/>
      </c>
      <c r="T144" s="67">
        <f>IF(R144=1,"",IF(B144="","Enter an invoice #",IF(C144="","Missing invoice date",IF(NOT(ISNUMBER(C144)),"Invalid date",IF(OR(C144&lt;DATE(2000,1,1),C144&gt;DATE(2099,12,31)),"Invalid date",IF(F144="","Select a revenue account",IF(ISNA(MATCH(F144,coa_Name,0)),"Unknown account: "&amp;F144,IF(NOT(ISNUMBER(G144)),"Enter an amount",IF(G144&lt;=0,"Amount must be positive",IF(S144&gt;G144,"Tax is larger than the amount",""))))))))))</f>
        <v/>
      </c>
      <c r="U144" s="67">
        <f>IF(OR(R144=1,T144&lt;&gt;""),"",IF(COUNTIF(ar_No,B144)&gt;1,"Duplicate invoice #",IF(D144="","Select a customer",IF(N(L144)&lt;0,"Overpaid by "&amp;TEXT(-L144,"#,##0.00"),IF(AND(ISNUMBER(H144),N(H144)&lt;&gt;0,S144=0),"Tax ignored (tax tracking is off)",IF(AND(ISNUMBER(StartDate),C144&lt;StartDate),"Date is before the accounting start date",IF(AND(IFERROR(INDEX(coa_Type,MATCH(F144,coa_Name,0)),"")&lt;&gt;"Revenue",IFERROR(INDEX(coa_Type,MATCH(F144,coa_Name,0)),"")&lt;&gt;"Other Income"),"Account is not a revenue account","")))))))</f>
        <v/>
      </c>
      <c r="V144" s="67">
        <f>IF(AND(R144=0,T144=""),1,0)</f>
        <v/>
      </c>
      <c r="W144" s="67">
        <f>IF(V144=1,acctAR,"")</f>
        <v/>
      </c>
      <c r="X144" s="67">
        <f>IF(V144=1,F144,"")</f>
        <v/>
      </c>
      <c r="Y144" s="68">
        <f>IF(V144=1,G144,0)</f>
        <v/>
      </c>
      <c r="Z144" s="68">
        <f>IF(V144=1,G144-S144,0)</f>
        <v/>
      </c>
      <c r="AA144" s="68">
        <f>IF(V144=1,S144,0)</f>
        <v/>
      </c>
    </row>
    <row r="145">
      <c r="B145" s="62" t="n"/>
      <c r="C145" s="63" t="n"/>
      <c r="D145" s="62" t="n"/>
      <c r="E145" s="62" t="n"/>
      <c r="F145" s="62" t="n"/>
      <c r="G145" s="64" t="n"/>
      <c r="H145" s="64" t="n"/>
      <c r="I145" s="63" t="n"/>
      <c r="J145" s="29">
        <f>IF(V145=1,IF(ISNUMBER(I145),I145,C145+IF(ISNUMBER(IFERROR(INDEX(cust_Terms,MATCH(D145,cust_Name,0)),"")),INDEX(cust_Terms,MATCH(D145,cust_Name,0)),TermsDays)),"")</f>
        <v/>
      </c>
      <c r="K145" s="65">
        <f>IF(V145=1,SUMIFS(tx_DrAmt,tx_Type,"Customer Payment",tx_Ref,B145&amp;"",tx_Date,"&lt;="&amp;AsOf),"")</f>
        <v/>
      </c>
      <c r="L145" s="65">
        <f>IF(V145=1,IF(C145&gt;AsOf,0,ROUND(G145-K145,2)),"")</f>
        <v/>
      </c>
      <c r="M145" s="66">
        <f>IF(V145&lt;&gt;1,"",IF(C145&gt;AsOf,"Future",IF(L145&lt;0,"Overpaid",IF(L145=0,"Paid",IF(AsOf&gt;J145,"Overdue",IF(K145&gt;0,"Partial","Unpaid"))))))</f>
        <v/>
      </c>
      <c r="N145" s="28">
        <f>IF(AND(V145=1,N(L145)&gt;0),AsOf-C145,"")</f>
        <v/>
      </c>
      <c r="O145" s="28">
        <f>IF(N145="","",MAX(0,AsOf-J145))</f>
        <v/>
      </c>
      <c r="P145" s="66">
        <f>IF(O145="","",IF(O145=0,"Current",IF(O145&lt;=30,"1-30",IF(O145&lt;=60,"31-60",IF(O145&lt;=90,"61-90","90+")))))</f>
        <v/>
      </c>
      <c r="Q145" s="66">
        <f>IF(T145&lt;&gt;"","⛔ "&amp;T145&amp;" — not posted",IF(U145&lt;&gt;"","⚠ "&amp;U145,IF(V145=1,"✓ OK","")))</f>
        <v/>
      </c>
      <c r="R145" s="67">
        <f>IF(AND(B145="",C145="",D145="",G145="",F145=""),1,0)</f>
        <v/>
      </c>
      <c r="S145" s="68">
        <f>IF(AND(TaxOn="Yes",ISNUMBER(H145)),H145,0)</f>
        <v/>
      </c>
      <c r="T145" s="67">
        <f>IF(R145=1,"",IF(B145="","Enter an invoice #",IF(C145="","Missing invoice date",IF(NOT(ISNUMBER(C145)),"Invalid date",IF(OR(C145&lt;DATE(2000,1,1),C145&gt;DATE(2099,12,31)),"Invalid date",IF(F145="","Select a revenue account",IF(ISNA(MATCH(F145,coa_Name,0)),"Unknown account: "&amp;F145,IF(NOT(ISNUMBER(G145)),"Enter an amount",IF(G145&lt;=0,"Amount must be positive",IF(S145&gt;G145,"Tax is larger than the amount",""))))))))))</f>
        <v/>
      </c>
      <c r="U145" s="67">
        <f>IF(OR(R145=1,T145&lt;&gt;""),"",IF(COUNTIF(ar_No,B145)&gt;1,"Duplicate invoice #",IF(D145="","Select a customer",IF(N(L145)&lt;0,"Overpaid by "&amp;TEXT(-L145,"#,##0.00"),IF(AND(ISNUMBER(H145),N(H145)&lt;&gt;0,S145=0),"Tax ignored (tax tracking is off)",IF(AND(ISNUMBER(StartDate),C145&lt;StartDate),"Date is before the accounting start date",IF(AND(IFERROR(INDEX(coa_Type,MATCH(F145,coa_Name,0)),"")&lt;&gt;"Revenue",IFERROR(INDEX(coa_Type,MATCH(F145,coa_Name,0)),"")&lt;&gt;"Other Income"),"Account is not a revenue account","")))))))</f>
        <v/>
      </c>
      <c r="V145" s="67">
        <f>IF(AND(R145=0,T145=""),1,0)</f>
        <v/>
      </c>
      <c r="W145" s="67">
        <f>IF(V145=1,acctAR,"")</f>
        <v/>
      </c>
      <c r="X145" s="67">
        <f>IF(V145=1,F145,"")</f>
        <v/>
      </c>
      <c r="Y145" s="68">
        <f>IF(V145=1,G145,0)</f>
        <v/>
      </c>
      <c r="Z145" s="68">
        <f>IF(V145=1,G145-S145,0)</f>
        <v/>
      </c>
      <c r="AA145" s="68">
        <f>IF(V145=1,S145,0)</f>
        <v/>
      </c>
    </row>
    <row r="146">
      <c r="B146" s="62" t="n"/>
      <c r="C146" s="63" t="n"/>
      <c r="D146" s="62" t="n"/>
      <c r="E146" s="62" t="n"/>
      <c r="F146" s="62" t="n"/>
      <c r="G146" s="64" t="n"/>
      <c r="H146" s="64" t="n"/>
      <c r="I146" s="63" t="n"/>
      <c r="J146" s="29">
        <f>IF(V146=1,IF(ISNUMBER(I146),I146,C146+IF(ISNUMBER(IFERROR(INDEX(cust_Terms,MATCH(D146,cust_Name,0)),"")),INDEX(cust_Terms,MATCH(D146,cust_Name,0)),TermsDays)),"")</f>
        <v/>
      </c>
      <c r="K146" s="65">
        <f>IF(V146=1,SUMIFS(tx_DrAmt,tx_Type,"Customer Payment",tx_Ref,B146&amp;"",tx_Date,"&lt;="&amp;AsOf),"")</f>
        <v/>
      </c>
      <c r="L146" s="65">
        <f>IF(V146=1,IF(C146&gt;AsOf,0,ROUND(G146-K146,2)),"")</f>
        <v/>
      </c>
      <c r="M146" s="66">
        <f>IF(V146&lt;&gt;1,"",IF(C146&gt;AsOf,"Future",IF(L146&lt;0,"Overpaid",IF(L146=0,"Paid",IF(AsOf&gt;J146,"Overdue",IF(K146&gt;0,"Partial","Unpaid"))))))</f>
        <v/>
      </c>
      <c r="N146" s="28">
        <f>IF(AND(V146=1,N(L146)&gt;0),AsOf-C146,"")</f>
        <v/>
      </c>
      <c r="O146" s="28">
        <f>IF(N146="","",MAX(0,AsOf-J146))</f>
        <v/>
      </c>
      <c r="P146" s="66">
        <f>IF(O146="","",IF(O146=0,"Current",IF(O146&lt;=30,"1-30",IF(O146&lt;=60,"31-60",IF(O146&lt;=90,"61-90","90+")))))</f>
        <v/>
      </c>
      <c r="Q146" s="66">
        <f>IF(T146&lt;&gt;"","⛔ "&amp;T146&amp;" — not posted",IF(U146&lt;&gt;"","⚠ "&amp;U146,IF(V146=1,"✓ OK","")))</f>
        <v/>
      </c>
      <c r="R146" s="67">
        <f>IF(AND(B146="",C146="",D146="",G146="",F146=""),1,0)</f>
        <v/>
      </c>
      <c r="S146" s="68">
        <f>IF(AND(TaxOn="Yes",ISNUMBER(H146)),H146,0)</f>
        <v/>
      </c>
      <c r="T146" s="67">
        <f>IF(R146=1,"",IF(B146="","Enter an invoice #",IF(C146="","Missing invoice date",IF(NOT(ISNUMBER(C146)),"Invalid date",IF(OR(C146&lt;DATE(2000,1,1),C146&gt;DATE(2099,12,31)),"Invalid date",IF(F146="","Select a revenue account",IF(ISNA(MATCH(F146,coa_Name,0)),"Unknown account: "&amp;F146,IF(NOT(ISNUMBER(G146)),"Enter an amount",IF(G146&lt;=0,"Amount must be positive",IF(S146&gt;G146,"Tax is larger than the amount",""))))))))))</f>
        <v/>
      </c>
      <c r="U146" s="67">
        <f>IF(OR(R146=1,T146&lt;&gt;""),"",IF(COUNTIF(ar_No,B146)&gt;1,"Duplicate invoice #",IF(D146="","Select a customer",IF(N(L146)&lt;0,"Overpaid by "&amp;TEXT(-L146,"#,##0.00"),IF(AND(ISNUMBER(H146),N(H146)&lt;&gt;0,S146=0),"Tax ignored (tax tracking is off)",IF(AND(ISNUMBER(StartDate),C146&lt;StartDate),"Date is before the accounting start date",IF(AND(IFERROR(INDEX(coa_Type,MATCH(F146,coa_Name,0)),"")&lt;&gt;"Revenue",IFERROR(INDEX(coa_Type,MATCH(F146,coa_Name,0)),"")&lt;&gt;"Other Income"),"Account is not a revenue account","")))))))</f>
        <v/>
      </c>
      <c r="V146" s="67">
        <f>IF(AND(R146=0,T146=""),1,0)</f>
        <v/>
      </c>
      <c r="W146" s="67">
        <f>IF(V146=1,acctAR,"")</f>
        <v/>
      </c>
      <c r="X146" s="67">
        <f>IF(V146=1,F146,"")</f>
        <v/>
      </c>
      <c r="Y146" s="68">
        <f>IF(V146=1,G146,0)</f>
        <v/>
      </c>
      <c r="Z146" s="68">
        <f>IF(V146=1,G146-S146,0)</f>
        <v/>
      </c>
      <c r="AA146" s="68">
        <f>IF(V146=1,S146,0)</f>
        <v/>
      </c>
    </row>
    <row r="147">
      <c r="B147" s="62" t="n"/>
      <c r="C147" s="63" t="n"/>
      <c r="D147" s="62" t="n"/>
      <c r="E147" s="62" t="n"/>
      <c r="F147" s="62" t="n"/>
      <c r="G147" s="64" t="n"/>
      <c r="H147" s="64" t="n"/>
      <c r="I147" s="63" t="n"/>
      <c r="J147" s="29">
        <f>IF(V147=1,IF(ISNUMBER(I147),I147,C147+IF(ISNUMBER(IFERROR(INDEX(cust_Terms,MATCH(D147,cust_Name,0)),"")),INDEX(cust_Terms,MATCH(D147,cust_Name,0)),TermsDays)),"")</f>
        <v/>
      </c>
      <c r="K147" s="65">
        <f>IF(V147=1,SUMIFS(tx_DrAmt,tx_Type,"Customer Payment",tx_Ref,B147&amp;"",tx_Date,"&lt;="&amp;AsOf),"")</f>
        <v/>
      </c>
      <c r="L147" s="65">
        <f>IF(V147=1,IF(C147&gt;AsOf,0,ROUND(G147-K147,2)),"")</f>
        <v/>
      </c>
      <c r="M147" s="66">
        <f>IF(V147&lt;&gt;1,"",IF(C147&gt;AsOf,"Future",IF(L147&lt;0,"Overpaid",IF(L147=0,"Paid",IF(AsOf&gt;J147,"Overdue",IF(K147&gt;0,"Partial","Unpaid"))))))</f>
        <v/>
      </c>
      <c r="N147" s="28">
        <f>IF(AND(V147=1,N(L147)&gt;0),AsOf-C147,"")</f>
        <v/>
      </c>
      <c r="O147" s="28">
        <f>IF(N147="","",MAX(0,AsOf-J147))</f>
        <v/>
      </c>
      <c r="P147" s="66">
        <f>IF(O147="","",IF(O147=0,"Current",IF(O147&lt;=30,"1-30",IF(O147&lt;=60,"31-60",IF(O147&lt;=90,"61-90","90+")))))</f>
        <v/>
      </c>
      <c r="Q147" s="66">
        <f>IF(T147&lt;&gt;"","⛔ "&amp;T147&amp;" — not posted",IF(U147&lt;&gt;"","⚠ "&amp;U147,IF(V147=1,"✓ OK","")))</f>
        <v/>
      </c>
      <c r="R147" s="67">
        <f>IF(AND(B147="",C147="",D147="",G147="",F147=""),1,0)</f>
        <v/>
      </c>
      <c r="S147" s="68">
        <f>IF(AND(TaxOn="Yes",ISNUMBER(H147)),H147,0)</f>
        <v/>
      </c>
      <c r="T147" s="67">
        <f>IF(R147=1,"",IF(B147="","Enter an invoice #",IF(C147="","Missing invoice date",IF(NOT(ISNUMBER(C147)),"Invalid date",IF(OR(C147&lt;DATE(2000,1,1),C147&gt;DATE(2099,12,31)),"Invalid date",IF(F147="","Select a revenue account",IF(ISNA(MATCH(F147,coa_Name,0)),"Unknown account: "&amp;F147,IF(NOT(ISNUMBER(G147)),"Enter an amount",IF(G147&lt;=0,"Amount must be positive",IF(S147&gt;G147,"Tax is larger than the amount",""))))))))))</f>
        <v/>
      </c>
      <c r="U147" s="67">
        <f>IF(OR(R147=1,T147&lt;&gt;""),"",IF(COUNTIF(ar_No,B147)&gt;1,"Duplicate invoice #",IF(D147="","Select a customer",IF(N(L147)&lt;0,"Overpaid by "&amp;TEXT(-L147,"#,##0.00"),IF(AND(ISNUMBER(H147),N(H147)&lt;&gt;0,S147=0),"Tax ignored (tax tracking is off)",IF(AND(ISNUMBER(StartDate),C147&lt;StartDate),"Date is before the accounting start date",IF(AND(IFERROR(INDEX(coa_Type,MATCH(F147,coa_Name,0)),"")&lt;&gt;"Revenue",IFERROR(INDEX(coa_Type,MATCH(F147,coa_Name,0)),"")&lt;&gt;"Other Income"),"Account is not a revenue account","")))))))</f>
        <v/>
      </c>
      <c r="V147" s="67">
        <f>IF(AND(R147=0,T147=""),1,0)</f>
        <v/>
      </c>
      <c r="W147" s="67">
        <f>IF(V147=1,acctAR,"")</f>
        <v/>
      </c>
      <c r="X147" s="67">
        <f>IF(V147=1,F147,"")</f>
        <v/>
      </c>
      <c r="Y147" s="68">
        <f>IF(V147=1,G147,0)</f>
        <v/>
      </c>
      <c r="Z147" s="68">
        <f>IF(V147=1,G147-S147,0)</f>
        <v/>
      </c>
      <c r="AA147" s="68">
        <f>IF(V147=1,S147,0)</f>
        <v/>
      </c>
    </row>
    <row r="148">
      <c r="B148" s="62" t="n"/>
      <c r="C148" s="63" t="n"/>
      <c r="D148" s="62" t="n"/>
      <c r="E148" s="62" t="n"/>
      <c r="F148" s="62" t="n"/>
      <c r="G148" s="64" t="n"/>
      <c r="H148" s="64" t="n"/>
      <c r="I148" s="63" t="n"/>
      <c r="J148" s="29">
        <f>IF(V148=1,IF(ISNUMBER(I148),I148,C148+IF(ISNUMBER(IFERROR(INDEX(cust_Terms,MATCH(D148,cust_Name,0)),"")),INDEX(cust_Terms,MATCH(D148,cust_Name,0)),TermsDays)),"")</f>
        <v/>
      </c>
      <c r="K148" s="65">
        <f>IF(V148=1,SUMIFS(tx_DrAmt,tx_Type,"Customer Payment",tx_Ref,B148&amp;"",tx_Date,"&lt;="&amp;AsOf),"")</f>
        <v/>
      </c>
      <c r="L148" s="65">
        <f>IF(V148=1,IF(C148&gt;AsOf,0,ROUND(G148-K148,2)),"")</f>
        <v/>
      </c>
      <c r="M148" s="66">
        <f>IF(V148&lt;&gt;1,"",IF(C148&gt;AsOf,"Future",IF(L148&lt;0,"Overpaid",IF(L148=0,"Paid",IF(AsOf&gt;J148,"Overdue",IF(K148&gt;0,"Partial","Unpaid"))))))</f>
        <v/>
      </c>
      <c r="N148" s="28">
        <f>IF(AND(V148=1,N(L148)&gt;0),AsOf-C148,"")</f>
        <v/>
      </c>
      <c r="O148" s="28">
        <f>IF(N148="","",MAX(0,AsOf-J148))</f>
        <v/>
      </c>
      <c r="P148" s="66">
        <f>IF(O148="","",IF(O148=0,"Current",IF(O148&lt;=30,"1-30",IF(O148&lt;=60,"31-60",IF(O148&lt;=90,"61-90","90+")))))</f>
        <v/>
      </c>
      <c r="Q148" s="66">
        <f>IF(T148&lt;&gt;"","⛔ "&amp;T148&amp;" — not posted",IF(U148&lt;&gt;"","⚠ "&amp;U148,IF(V148=1,"✓ OK","")))</f>
        <v/>
      </c>
      <c r="R148" s="67">
        <f>IF(AND(B148="",C148="",D148="",G148="",F148=""),1,0)</f>
        <v/>
      </c>
      <c r="S148" s="68">
        <f>IF(AND(TaxOn="Yes",ISNUMBER(H148)),H148,0)</f>
        <v/>
      </c>
      <c r="T148" s="67">
        <f>IF(R148=1,"",IF(B148="","Enter an invoice #",IF(C148="","Missing invoice date",IF(NOT(ISNUMBER(C148)),"Invalid date",IF(OR(C148&lt;DATE(2000,1,1),C148&gt;DATE(2099,12,31)),"Invalid date",IF(F148="","Select a revenue account",IF(ISNA(MATCH(F148,coa_Name,0)),"Unknown account: "&amp;F148,IF(NOT(ISNUMBER(G148)),"Enter an amount",IF(G148&lt;=0,"Amount must be positive",IF(S148&gt;G148,"Tax is larger than the amount",""))))))))))</f>
        <v/>
      </c>
      <c r="U148" s="67">
        <f>IF(OR(R148=1,T148&lt;&gt;""),"",IF(COUNTIF(ar_No,B148)&gt;1,"Duplicate invoice #",IF(D148="","Select a customer",IF(N(L148)&lt;0,"Overpaid by "&amp;TEXT(-L148,"#,##0.00"),IF(AND(ISNUMBER(H148),N(H148)&lt;&gt;0,S148=0),"Tax ignored (tax tracking is off)",IF(AND(ISNUMBER(StartDate),C148&lt;StartDate),"Date is before the accounting start date",IF(AND(IFERROR(INDEX(coa_Type,MATCH(F148,coa_Name,0)),"")&lt;&gt;"Revenue",IFERROR(INDEX(coa_Type,MATCH(F148,coa_Name,0)),"")&lt;&gt;"Other Income"),"Account is not a revenue account","")))))))</f>
        <v/>
      </c>
      <c r="V148" s="67">
        <f>IF(AND(R148=0,T148=""),1,0)</f>
        <v/>
      </c>
      <c r="W148" s="67">
        <f>IF(V148=1,acctAR,"")</f>
        <v/>
      </c>
      <c r="X148" s="67">
        <f>IF(V148=1,F148,"")</f>
        <v/>
      </c>
      <c r="Y148" s="68">
        <f>IF(V148=1,G148,0)</f>
        <v/>
      </c>
      <c r="Z148" s="68">
        <f>IF(V148=1,G148-S148,0)</f>
        <v/>
      </c>
      <c r="AA148" s="68">
        <f>IF(V148=1,S148,0)</f>
        <v/>
      </c>
    </row>
    <row r="149">
      <c r="B149" s="62" t="n"/>
      <c r="C149" s="63" t="n"/>
      <c r="D149" s="62" t="n"/>
      <c r="E149" s="62" t="n"/>
      <c r="F149" s="62" t="n"/>
      <c r="G149" s="64" t="n"/>
      <c r="H149" s="64" t="n"/>
      <c r="I149" s="63" t="n"/>
      <c r="J149" s="29">
        <f>IF(V149=1,IF(ISNUMBER(I149),I149,C149+IF(ISNUMBER(IFERROR(INDEX(cust_Terms,MATCH(D149,cust_Name,0)),"")),INDEX(cust_Terms,MATCH(D149,cust_Name,0)),TermsDays)),"")</f>
        <v/>
      </c>
      <c r="K149" s="65">
        <f>IF(V149=1,SUMIFS(tx_DrAmt,tx_Type,"Customer Payment",tx_Ref,B149&amp;"",tx_Date,"&lt;="&amp;AsOf),"")</f>
        <v/>
      </c>
      <c r="L149" s="65">
        <f>IF(V149=1,IF(C149&gt;AsOf,0,ROUND(G149-K149,2)),"")</f>
        <v/>
      </c>
      <c r="M149" s="66">
        <f>IF(V149&lt;&gt;1,"",IF(C149&gt;AsOf,"Future",IF(L149&lt;0,"Overpaid",IF(L149=0,"Paid",IF(AsOf&gt;J149,"Overdue",IF(K149&gt;0,"Partial","Unpaid"))))))</f>
        <v/>
      </c>
      <c r="N149" s="28">
        <f>IF(AND(V149=1,N(L149)&gt;0),AsOf-C149,"")</f>
        <v/>
      </c>
      <c r="O149" s="28">
        <f>IF(N149="","",MAX(0,AsOf-J149))</f>
        <v/>
      </c>
      <c r="P149" s="66">
        <f>IF(O149="","",IF(O149=0,"Current",IF(O149&lt;=30,"1-30",IF(O149&lt;=60,"31-60",IF(O149&lt;=90,"61-90","90+")))))</f>
        <v/>
      </c>
      <c r="Q149" s="66">
        <f>IF(T149&lt;&gt;"","⛔ "&amp;T149&amp;" — not posted",IF(U149&lt;&gt;"","⚠ "&amp;U149,IF(V149=1,"✓ OK","")))</f>
        <v/>
      </c>
      <c r="R149" s="67">
        <f>IF(AND(B149="",C149="",D149="",G149="",F149=""),1,0)</f>
        <v/>
      </c>
      <c r="S149" s="68">
        <f>IF(AND(TaxOn="Yes",ISNUMBER(H149)),H149,0)</f>
        <v/>
      </c>
      <c r="T149" s="67">
        <f>IF(R149=1,"",IF(B149="","Enter an invoice #",IF(C149="","Missing invoice date",IF(NOT(ISNUMBER(C149)),"Invalid date",IF(OR(C149&lt;DATE(2000,1,1),C149&gt;DATE(2099,12,31)),"Invalid date",IF(F149="","Select a revenue account",IF(ISNA(MATCH(F149,coa_Name,0)),"Unknown account: "&amp;F149,IF(NOT(ISNUMBER(G149)),"Enter an amount",IF(G149&lt;=0,"Amount must be positive",IF(S149&gt;G149,"Tax is larger than the amount",""))))))))))</f>
        <v/>
      </c>
      <c r="U149" s="67">
        <f>IF(OR(R149=1,T149&lt;&gt;""),"",IF(COUNTIF(ar_No,B149)&gt;1,"Duplicate invoice #",IF(D149="","Select a customer",IF(N(L149)&lt;0,"Overpaid by "&amp;TEXT(-L149,"#,##0.00"),IF(AND(ISNUMBER(H149),N(H149)&lt;&gt;0,S149=0),"Tax ignored (tax tracking is off)",IF(AND(ISNUMBER(StartDate),C149&lt;StartDate),"Date is before the accounting start date",IF(AND(IFERROR(INDEX(coa_Type,MATCH(F149,coa_Name,0)),"")&lt;&gt;"Revenue",IFERROR(INDEX(coa_Type,MATCH(F149,coa_Name,0)),"")&lt;&gt;"Other Income"),"Account is not a revenue account","")))))))</f>
        <v/>
      </c>
      <c r="V149" s="67">
        <f>IF(AND(R149=0,T149=""),1,0)</f>
        <v/>
      </c>
      <c r="W149" s="67">
        <f>IF(V149=1,acctAR,"")</f>
        <v/>
      </c>
      <c r="X149" s="67">
        <f>IF(V149=1,F149,"")</f>
        <v/>
      </c>
      <c r="Y149" s="68">
        <f>IF(V149=1,G149,0)</f>
        <v/>
      </c>
      <c r="Z149" s="68">
        <f>IF(V149=1,G149-S149,0)</f>
        <v/>
      </c>
      <c r="AA149" s="68">
        <f>IF(V149=1,S149,0)</f>
        <v/>
      </c>
    </row>
    <row r="150">
      <c r="B150" s="62" t="n"/>
      <c r="C150" s="63" t="n"/>
      <c r="D150" s="62" t="n"/>
      <c r="E150" s="62" t="n"/>
      <c r="F150" s="62" t="n"/>
      <c r="G150" s="64" t="n"/>
      <c r="H150" s="64" t="n"/>
      <c r="I150" s="63" t="n"/>
      <c r="J150" s="29">
        <f>IF(V150=1,IF(ISNUMBER(I150),I150,C150+IF(ISNUMBER(IFERROR(INDEX(cust_Terms,MATCH(D150,cust_Name,0)),"")),INDEX(cust_Terms,MATCH(D150,cust_Name,0)),TermsDays)),"")</f>
        <v/>
      </c>
      <c r="K150" s="65">
        <f>IF(V150=1,SUMIFS(tx_DrAmt,tx_Type,"Customer Payment",tx_Ref,B150&amp;"",tx_Date,"&lt;="&amp;AsOf),"")</f>
        <v/>
      </c>
      <c r="L150" s="65">
        <f>IF(V150=1,IF(C150&gt;AsOf,0,ROUND(G150-K150,2)),"")</f>
        <v/>
      </c>
      <c r="M150" s="66">
        <f>IF(V150&lt;&gt;1,"",IF(C150&gt;AsOf,"Future",IF(L150&lt;0,"Overpaid",IF(L150=0,"Paid",IF(AsOf&gt;J150,"Overdue",IF(K150&gt;0,"Partial","Unpaid"))))))</f>
        <v/>
      </c>
      <c r="N150" s="28">
        <f>IF(AND(V150=1,N(L150)&gt;0),AsOf-C150,"")</f>
        <v/>
      </c>
      <c r="O150" s="28">
        <f>IF(N150="","",MAX(0,AsOf-J150))</f>
        <v/>
      </c>
      <c r="P150" s="66">
        <f>IF(O150="","",IF(O150=0,"Current",IF(O150&lt;=30,"1-30",IF(O150&lt;=60,"31-60",IF(O150&lt;=90,"61-90","90+")))))</f>
        <v/>
      </c>
      <c r="Q150" s="66">
        <f>IF(T150&lt;&gt;"","⛔ "&amp;T150&amp;" — not posted",IF(U150&lt;&gt;"","⚠ "&amp;U150,IF(V150=1,"✓ OK","")))</f>
        <v/>
      </c>
      <c r="R150" s="67">
        <f>IF(AND(B150="",C150="",D150="",G150="",F150=""),1,0)</f>
        <v/>
      </c>
      <c r="S150" s="68">
        <f>IF(AND(TaxOn="Yes",ISNUMBER(H150)),H150,0)</f>
        <v/>
      </c>
      <c r="T150" s="67">
        <f>IF(R150=1,"",IF(B150="","Enter an invoice #",IF(C150="","Missing invoice date",IF(NOT(ISNUMBER(C150)),"Invalid date",IF(OR(C150&lt;DATE(2000,1,1),C150&gt;DATE(2099,12,31)),"Invalid date",IF(F150="","Select a revenue account",IF(ISNA(MATCH(F150,coa_Name,0)),"Unknown account: "&amp;F150,IF(NOT(ISNUMBER(G150)),"Enter an amount",IF(G150&lt;=0,"Amount must be positive",IF(S150&gt;G150,"Tax is larger than the amount",""))))))))))</f>
        <v/>
      </c>
      <c r="U150" s="67">
        <f>IF(OR(R150=1,T150&lt;&gt;""),"",IF(COUNTIF(ar_No,B150)&gt;1,"Duplicate invoice #",IF(D150="","Select a customer",IF(N(L150)&lt;0,"Overpaid by "&amp;TEXT(-L150,"#,##0.00"),IF(AND(ISNUMBER(H150),N(H150)&lt;&gt;0,S150=0),"Tax ignored (tax tracking is off)",IF(AND(ISNUMBER(StartDate),C150&lt;StartDate),"Date is before the accounting start date",IF(AND(IFERROR(INDEX(coa_Type,MATCH(F150,coa_Name,0)),"")&lt;&gt;"Revenue",IFERROR(INDEX(coa_Type,MATCH(F150,coa_Name,0)),"")&lt;&gt;"Other Income"),"Account is not a revenue account","")))))))</f>
        <v/>
      </c>
      <c r="V150" s="67">
        <f>IF(AND(R150=0,T150=""),1,0)</f>
        <v/>
      </c>
      <c r="W150" s="67">
        <f>IF(V150=1,acctAR,"")</f>
        <v/>
      </c>
      <c r="X150" s="67">
        <f>IF(V150=1,F150,"")</f>
        <v/>
      </c>
      <c r="Y150" s="68">
        <f>IF(V150=1,G150,0)</f>
        <v/>
      </c>
      <c r="Z150" s="68">
        <f>IF(V150=1,G150-S150,0)</f>
        <v/>
      </c>
      <c r="AA150" s="68">
        <f>IF(V150=1,S150,0)</f>
        <v/>
      </c>
    </row>
    <row r="151">
      <c r="B151" s="62" t="n"/>
      <c r="C151" s="63" t="n"/>
      <c r="D151" s="62" t="n"/>
      <c r="E151" s="62" t="n"/>
      <c r="F151" s="62" t="n"/>
      <c r="G151" s="64" t="n"/>
      <c r="H151" s="64" t="n"/>
      <c r="I151" s="63" t="n"/>
      <c r="J151" s="29">
        <f>IF(V151=1,IF(ISNUMBER(I151),I151,C151+IF(ISNUMBER(IFERROR(INDEX(cust_Terms,MATCH(D151,cust_Name,0)),"")),INDEX(cust_Terms,MATCH(D151,cust_Name,0)),TermsDays)),"")</f>
        <v/>
      </c>
      <c r="K151" s="65">
        <f>IF(V151=1,SUMIFS(tx_DrAmt,tx_Type,"Customer Payment",tx_Ref,B151&amp;"",tx_Date,"&lt;="&amp;AsOf),"")</f>
        <v/>
      </c>
      <c r="L151" s="65">
        <f>IF(V151=1,IF(C151&gt;AsOf,0,ROUND(G151-K151,2)),"")</f>
        <v/>
      </c>
      <c r="M151" s="66">
        <f>IF(V151&lt;&gt;1,"",IF(C151&gt;AsOf,"Future",IF(L151&lt;0,"Overpaid",IF(L151=0,"Paid",IF(AsOf&gt;J151,"Overdue",IF(K151&gt;0,"Partial","Unpaid"))))))</f>
        <v/>
      </c>
      <c r="N151" s="28">
        <f>IF(AND(V151=1,N(L151)&gt;0),AsOf-C151,"")</f>
        <v/>
      </c>
      <c r="O151" s="28">
        <f>IF(N151="","",MAX(0,AsOf-J151))</f>
        <v/>
      </c>
      <c r="P151" s="66">
        <f>IF(O151="","",IF(O151=0,"Current",IF(O151&lt;=30,"1-30",IF(O151&lt;=60,"31-60",IF(O151&lt;=90,"61-90","90+")))))</f>
        <v/>
      </c>
      <c r="Q151" s="66">
        <f>IF(T151&lt;&gt;"","⛔ "&amp;T151&amp;" — not posted",IF(U151&lt;&gt;"","⚠ "&amp;U151,IF(V151=1,"✓ OK","")))</f>
        <v/>
      </c>
      <c r="R151" s="67">
        <f>IF(AND(B151="",C151="",D151="",G151="",F151=""),1,0)</f>
        <v/>
      </c>
      <c r="S151" s="68">
        <f>IF(AND(TaxOn="Yes",ISNUMBER(H151)),H151,0)</f>
        <v/>
      </c>
      <c r="T151" s="67">
        <f>IF(R151=1,"",IF(B151="","Enter an invoice #",IF(C151="","Missing invoice date",IF(NOT(ISNUMBER(C151)),"Invalid date",IF(OR(C151&lt;DATE(2000,1,1),C151&gt;DATE(2099,12,31)),"Invalid date",IF(F151="","Select a revenue account",IF(ISNA(MATCH(F151,coa_Name,0)),"Unknown account: "&amp;F151,IF(NOT(ISNUMBER(G151)),"Enter an amount",IF(G151&lt;=0,"Amount must be positive",IF(S151&gt;G151,"Tax is larger than the amount",""))))))))))</f>
        <v/>
      </c>
      <c r="U151" s="67">
        <f>IF(OR(R151=1,T151&lt;&gt;""),"",IF(COUNTIF(ar_No,B151)&gt;1,"Duplicate invoice #",IF(D151="","Select a customer",IF(N(L151)&lt;0,"Overpaid by "&amp;TEXT(-L151,"#,##0.00"),IF(AND(ISNUMBER(H151),N(H151)&lt;&gt;0,S151=0),"Tax ignored (tax tracking is off)",IF(AND(ISNUMBER(StartDate),C151&lt;StartDate),"Date is before the accounting start date",IF(AND(IFERROR(INDEX(coa_Type,MATCH(F151,coa_Name,0)),"")&lt;&gt;"Revenue",IFERROR(INDEX(coa_Type,MATCH(F151,coa_Name,0)),"")&lt;&gt;"Other Income"),"Account is not a revenue account","")))))))</f>
        <v/>
      </c>
      <c r="V151" s="67">
        <f>IF(AND(R151=0,T151=""),1,0)</f>
        <v/>
      </c>
      <c r="W151" s="67">
        <f>IF(V151=1,acctAR,"")</f>
        <v/>
      </c>
      <c r="X151" s="67">
        <f>IF(V151=1,F151,"")</f>
        <v/>
      </c>
      <c r="Y151" s="68">
        <f>IF(V151=1,G151,0)</f>
        <v/>
      </c>
      <c r="Z151" s="68">
        <f>IF(V151=1,G151-S151,0)</f>
        <v/>
      </c>
      <c r="AA151" s="68">
        <f>IF(V151=1,S151,0)</f>
        <v/>
      </c>
    </row>
    <row r="152">
      <c r="B152" s="62" t="n"/>
      <c r="C152" s="63" t="n"/>
      <c r="D152" s="62" t="n"/>
      <c r="E152" s="62" t="n"/>
      <c r="F152" s="62" t="n"/>
      <c r="G152" s="64" t="n"/>
      <c r="H152" s="64" t="n"/>
      <c r="I152" s="63" t="n"/>
      <c r="J152" s="29">
        <f>IF(V152=1,IF(ISNUMBER(I152),I152,C152+IF(ISNUMBER(IFERROR(INDEX(cust_Terms,MATCH(D152,cust_Name,0)),"")),INDEX(cust_Terms,MATCH(D152,cust_Name,0)),TermsDays)),"")</f>
        <v/>
      </c>
      <c r="K152" s="65">
        <f>IF(V152=1,SUMIFS(tx_DrAmt,tx_Type,"Customer Payment",tx_Ref,B152&amp;"",tx_Date,"&lt;="&amp;AsOf),"")</f>
        <v/>
      </c>
      <c r="L152" s="65">
        <f>IF(V152=1,IF(C152&gt;AsOf,0,ROUND(G152-K152,2)),"")</f>
        <v/>
      </c>
      <c r="M152" s="66">
        <f>IF(V152&lt;&gt;1,"",IF(C152&gt;AsOf,"Future",IF(L152&lt;0,"Overpaid",IF(L152=0,"Paid",IF(AsOf&gt;J152,"Overdue",IF(K152&gt;0,"Partial","Unpaid"))))))</f>
        <v/>
      </c>
      <c r="N152" s="28">
        <f>IF(AND(V152=1,N(L152)&gt;0),AsOf-C152,"")</f>
        <v/>
      </c>
      <c r="O152" s="28">
        <f>IF(N152="","",MAX(0,AsOf-J152))</f>
        <v/>
      </c>
      <c r="P152" s="66">
        <f>IF(O152="","",IF(O152=0,"Current",IF(O152&lt;=30,"1-30",IF(O152&lt;=60,"31-60",IF(O152&lt;=90,"61-90","90+")))))</f>
        <v/>
      </c>
      <c r="Q152" s="66">
        <f>IF(T152&lt;&gt;"","⛔ "&amp;T152&amp;" — not posted",IF(U152&lt;&gt;"","⚠ "&amp;U152,IF(V152=1,"✓ OK","")))</f>
        <v/>
      </c>
      <c r="R152" s="67">
        <f>IF(AND(B152="",C152="",D152="",G152="",F152=""),1,0)</f>
        <v/>
      </c>
      <c r="S152" s="68">
        <f>IF(AND(TaxOn="Yes",ISNUMBER(H152)),H152,0)</f>
        <v/>
      </c>
      <c r="T152" s="67">
        <f>IF(R152=1,"",IF(B152="","Enter an invoice #",IF(C152="","Missing invoice date",IF(NOT(ISNUMBER(C152)),"Invalid date",IF(OR(C152&lt;DATE(2000,1,1),C152&gt;DATE(2099,12,31)),"Invalid date",IF(F152="","Select a revenue account",IF(ISNA(MATCH(F152,coa_Name,0)),"Unknown account: "&amp;F152,IF(NOT(ISNUMBER(G152)),"Enter an amount",IF(G152&lt;=0,"Amount must be positive",IF(S152&gt;G152,"Tax is larger than the amount",""))))))))))</f>
        <v/>
      </c>
      <c r="U152" s="67">
        <f>IF(OR(R152=1,T152&lt;&gt;""),"",IF(COUNTIF(ar_No,B152)&gt;1,"Duplicate invoice #",IF(D152="","Select a customer",IF(N(L152)&lt;0,"Overpaid by "&amp;TEXT(-L152,"#,##0.00"),IF(AND(ISNUMBER(H152),N(H152)&lt;&gt;0,S152=0),"Tax ignored (tax tracking is off)",IF(AND(ISNUMBER(StartDate),C152&lt;StartDate),"Date is before the accounting start date",IF(AND(IFERROR(INDEX(coa_Type,MATCH(F152,coa_Name,0)),"")&lt;&gt;"Revenue",IFERROR(INDEX(coa_Type,MATCH(F152,coa_Name,0)),"")&lt;&gt;"Other Income"),"Account is not a revenue account","")))))))</f>
        <v/>
      </c>
      <c r="V152" s="67">
        <f>IF(AND(R152=0,T152=""),1,0)</f>
        <v/>
      </c>
      <c r="W152" s="67">
        <f>IF(V152=1,acctAR,"")</f>
        <v/>
      </c>
      <c r="X152" s="67">
        <f>IF(V152=1,F152,"")</f>
        <v/>
      </c>
      <c r="Y152" s="68">
        <f>IF(V152=1,G152,0)</f>
        <v/>
      </c>
      <c r="Z152" s="68">
        <f>IF(V152=1,G152-S152,0)</f>
        <v/>
      </c>
      <c r="AA152" s="68">
        <f>IF(V152=1,S152,0)</f>
        <v/>
      </c>
    </row>
    <row r="153">
      <c r="B153" s="62" t="n"/>
      <c r="C153" s="63" t="n"/>
      <c r="D153" s="62" t="n"/>
      <c r="E153" s="62" t="n"/>
      <c r="F153" s="62" t="n"/>
      <c r="G153" s="64" t="n"/>
      <c r="H153" s="64" t="n"/>
      <c r="I153" s="63" t="n"/>
      <c r="J153" s="29">
        <f>IF(V153=1,IF(ISNUMBER(I153),I153,C153+IF(ISNUMBER(IFERROR(INDEX(cust_Terms,MATCH(D153,cust_Name,0)),"")),INDEX(cust_Terms,MATCH(D153,cust_Name,0)),TermsDays)),"")</f>
        <v/>
      </c>
      <c r="K153" s="65">
        <f>IF(V153=1,SUMIFS(tx_DrAmt,tx_Type,"Customer Payment",tx_Ref,B153&amp;"",tx_Date,"&lt;="&amp;AsOf),"")</f>
        <v/>
      </c>
      <c r="L153" s="65">
        <f>IF(V153=1,IF(C153&gt;AsOf,0,ROUND(G153-K153,2)),"")</f>
        <v/>
      </c>
      <c r="M153" s="66">
        <f>IF(V153&lt;&gt;1,"",IF(C153&gt;AsOf,"Future",IF(L153&lt;0,"Overpaid",IF(L153=0,"Paid",IF(AsOf&gt;J153,"Overdue",IF(K153&gt;0,"Partial","Unpaid"))))))</f>
        <v/>
      </c>
      <c r="N153" s="28">
        <f>IF(AND(V153=1,N(L153)&gt;0),AsOf-C153,"")</f>
        <v/>
      </c>
      <c r="O153" s="28">
        <f>IF(N153="","",MAX(0,AsOf-J153))</f>
        <v/>
      </c>
      <c r="P153" s="66">
        <f>IF(O153="","",IF(O153=0,"Current",IF(O153&lt;=30,"1-30",IF(O153&lt;=60,"31-60",IF(O153&lt;=90,"61-90","90+")))))</f>
        <v/>
      </c>
      <c r="Q153" s="66">
        <f>IF(T153&lt;&gt;"","⛔ "&amp;T153&amp;" — not posted",IF(U153&lt;&gt;"","⚠ "&amp;U153,IF(V153=1,"✓ OK","")))</f>
        <v/>
      </c>
      <c r="R153" s="67">
        <f>IF(AND(B153="",C153="",D153="",G153="",F153=""),1,0)</f>
        <v/>
      </c>
      <c r="S153" s="68">
        <f>IF(AND(TaxOn="Yes",ISNUMBER(H153)),H153,0)</f>
        <v/>
      </c>
      <c r="T153" s="67">
        <f>IF(R153=1,"",IF(B153="","Enter an invoice #",IF(C153="","Missing invoice date",IF(NOT(ISNUMBER(C153)),"Invalid date",IF(OR(C153&lt;DATE(2000,1,1),C153&gt;DATE(2099,12,31)),"Invalid date",IF(F153="","Select a revenue account",IF(ISNA(MATCH(F153,coa_Name,0)),"Unknown account: "&amp;F153,IF(NOT(ISNUMBER(G153)),"Enter an amount",IF(G153&lt;=0,"Amount must be positive",IF(S153&gt;G153,"Tax is larger than the amount",""))))))))))</f>
        <v/>
      </c>
      <c r="U153" s="67">
        <f>IF(OR(R153=1,T153&lt;&gt;""),"",IF(COUNTIF(ar_No,B153)&gt;1,"Duplicate invoice #",IF(D153="","Select a customer",IF(N(L153)&lt;0,"Overpaid by "&amp;TEXT(-L153,"#,##0.00"),IF(AND(ISNUMBER(H153),N(H153)&lt;&gt;0,S153=0),"Tax ignored (tax tracking is off)",IF(AND(ISNUMBER(StartDate),C153&lt;StartDate),"Date is before the accounting start date",IF(AND(IFERROR(INDEX(coa_Type,MATCH(F153,coa_Name,0)),"")&lt;&gt;"Revenue",IFERROR(INDEX(coa_Type,MATCH(F153,coa_Name,0)),"")&lt;&gt;"Other Income"),"Account is not a revenue account","")))))))</f>
        <v/>
      </c>
      <c r="V153" s="67">
        <f>IF(AND(R153=0,T153=""),1,0)</f>
        <v/>
      </c>
      <c r="W153" s="67">
        <f>IF(V153=1,acctAR,"")</f>
        <v/>
      </c>
      <c r="X153" s="67">
        <f>IF(V153=1,F153,"")</f>
        <v/>
      </c>
      <c r="Y153" s="68">
        <f>IF(V153=1,G153,0)</f>
        <v/>
      </c>
      <c r="Z153" s="68">
        <f>IF(V153=1,G153-S153,0)</f>
        <v/>
      </c>
      <c r="AA153" s="68">
        <f>IF(V153=1,S153,0)</f>
        <v/>
      </c>
    </row>
    <row r="154">
      <c r="B154" s="62" t="n"/>
      <c r="C154" s="63" t="n"/>
      <c r="D154" s="62" t="n"/>
      <c r="E154" s="62" t="n"/>
      <c r="F154" s="62" t="n"/>
      <c r="G154" s="64" t="n"/>
      <c r="H154" s="64" t="n"/>
      <c r="I154" s="63" t="n"/>
      <c r="J154" s="29">
        <f>IF(V154=1,IF(ISNUMBER(I154),I154,C154+IF(ISNUMBER(IFERROR(INDEX(cust_Terms,MATCH(D154,cust_Name,0)),"")),INDEX(cust_Terms,MATCH(D154,cust_Name,0)),TermsDays)),"")</f>
        <v/>
      </c>
      <c r="K154" s="65">
        <f>IF(V154=1,SUMIFS(tx_DrAmt,tx_Type,"Customer Payment",tx_Ref,B154&amp;"",tx_Date,"&lt;="&amp;AsOf),"")</f>
        <v/>
      </c>
      <c r="L154" s="65">
        <f>IF(V154=1,IF(C154&gt;AsOf,0,ROUND(G154-K154,2)),"")</f>
        <v/>
      </c>
      <c r="M154" s="66">
        <f>IF(V154&lt;&gt;1,"",IF(C154&gt;AsOf,"Future",IF(L154&lt;0,"Overpaid",IF(L154=0,"Paid",IF(AsOf&gt;J154,"Overdue",IF(K154&gt;0,"Partial","Unpaid"))))))</f>
        <v/>
      </c>
      <c r="N154" s="28">
        <f>IF(AND(V154=1,N(L154)&gt;0),AsOf-C154,"")</f>
        <v/>
      </c>
      <c r="O154" s="28">
        <f>IF(N154="","",MAX(0,AsOf-J154))</f>
        <v/>
      </c>
      <c r="P154" s="66">
        <f>IF(O154="","",IF(O154=0,"Current",IF(O154&lt;=30,"1-30",IF(O154&lt;=60,"31-60",IF(O154&lt;=90,"61-90","90+")))))</f>
        <v/>
      </c>
      <c r="Q154" s="66">
        <f>IF(T154&lt;&gt;"","⛔ "&amp;T154&amp;" — not posted",IF(U154&lt;&gt;"","⚠ "&amp;U154,IF(V154=1,"✓ OK","")))</f>
        <v/>
      </c>
      <c r="R154" s="67">
        <f>IF(AND(B154="",C154="",D154="",G154="",F154=""),1,0)</f>
        <v/>
      </c>
      <c r="S154" s="68">
        <f>IF(AND(TaxOn="Yes",ISNUMBER(H154)),H154,0)</f>
        <v/>
      </c>
      <c r="T154" s="67">
        <f>IF(R154=1,"",IF(B154="","Enter an invoice #",IF(C154="","Missing invoice date",IF(NOT(ISNUMBER(C154)),"Invalid date",IF(OR(C154&lt;DATE(2000,1,1),C154&gt;DATE(2099,12,31)),"Invalid date",IF(F154="","Select a revenue account",IF(ISNA(MATCH(F154,coa_Name,0)),"Unknown account: "&amp;F154,IF(NOT(ISNUMBER(G154)),"Enter an amount",IF(G154&lt;=0,"Amount must be positive",IF(S154&gt;G154,"Tax is larger than the amount",""))))))))))</f>
        <v/>
      </c>
      <c r="U154" s="67">
        <f>IF(OR(R154=1,T154&lt;&gt;""),"",IF(COUNTIF(ar_No,B154)&gt;1,"Duplicate invoice #",IF(D154="","Select a customer",IF(N(L154)&lt;0,"Overpaid by "&amp;TEXT(-L154,"#,##0.00"),IF(AND(ISNUMBER(H154),N(H154)&lt;&gt;0,S154=0),"Tax ignored (tax tracking is off)",IF(AND(ISNUMBER(StartDate),C154&lt;StartDate),"Date is before the accounting start date",IF(AND(IFERROR(INDEX(coa_Type,MATCH(F154,coa_Name,0)),"")&lt;&gt;"Revenue",IFERROR(INDEX(coa_Type,MATCH(F154,coa_Name,0)),"")&lt;&gt;"Other Income"),"Account is not a revenue account","")))))))</f>
        <v/>
      </c>
      <c r="V154" s="67">
        <f>IF(AND(R154=0,T154=""),1,0)</f>
        <v/>
      </c>
      <c r="W154" s="67">
        <f>IF(V154=1,acctAR,"")</f>
        <v/>
      </c>
      <c r="X154" s="67">
        <f>IF(V154=1,F154,"")</f>
        <v/>
      </c>
      <c r="Y154" s="68">
        <f>IF(V154=1,G154,0)</f>
        <v/>
      </c>
      <c r="Z154" s="68">
        <f>IF(V154=1,G154-S154,0)</f>
        <v/>
      </c>
      <c r="AA154" s="68">
        <f>IF(V154=1,S154,0)</f>
        <v/>
      </c>
    </row>
    <row r="155">
      <c r="B155" s="62" t="n"/>
      <c r="C155" s="63" t="n"/>
      <c r="D155" s="62" t="n"/>
      <c r="E155" s="62" t="n"/>
      <c r="F155" s="62" t="n"/>
      <c r="G155" s="64" t="n"/>
      <c r="H155" s="64" t="n"/>
      <c r="I155" s="63" t="n"/>
      <c r="J155" s="29">
        <f>IF(V155=1,IF(ISNUMBER(I155),I155,C155+IF(ISNUMBER(IFERROR(INDEX(cust_Terms,MATCH(D155,cust_Name,0)),"")),INDEX(cust_Terms,MATCH(D155,cust_Name,0)),TermsDays)),"")</f>
        <v/>
      </c>
      <c r="K155" s="65">
        <f>IF(V155=1,SUMIFS(tx_DrAmt,tx_Type,"Customer Payment",tx_Ref,B155&amp;"",tx_Date,"&lt;="&amp;AsOf),"")</f>
        <v/>
      </c>
      <c r="L155" s="65">
        <f>IF(V155=1,IF(C155&gt;AsOf,0,ROUND(G155-K155,2)),"")</f>
        <v/>
      </c>
      <c r="M155" s="66">
        <f>IF(V155&lt;&gt;1,"",IF(C155&gt;AsOf,"Future",IF(L155&lt;0,"Overpaid",IF(L155=0,"Paid",IF(AsOf&gt;J155,"Overdue",IF(K155&gt;0,"Partial","Unpaid"))))))</f>
        <v/>
      </c>
      <c r="N155" s="28">
        <f>IF(AND(V155=1,N(L155)&gt;0),AsOf-C155,"")</f>
        <v/>
      </c>
      <c r="O155" s="28">
        <f>IF(N155="","",MAX(0,AsOf-J155))</f>
        <v/>
      </c>
      <c r="P155" s="66">
        <f>IF(O155="","",IF(O155=0,"Current",IF(O155&lt;=30,"1-30",IF(O155&lt;=60,"31-60",IF(O155&lt;=90,"61-90","90+")))))</f>
        <v/>
      </c>
      <c r="Q155" s="66">
        <f>IF(T155&lt;&gt;"","⛔ "&amp;T155&amp;" — not posted",IF(U155&lt;&gt;"","⚠ "&amp;U155,IF(V155=1,"✓ OK","")))</f>
        <v/>
      </c>
      <c r="R155" s="67">
        <f>IF(AND(B155="",C155="",D155="",G155="",F155=""),1,0)</f>
        <v/>
      </c>
      <c r="S155" s="68">
        <f>IF(AND(TaxOn="Yes",ISNUMBER(H155)),H155,0)</f>
        <v/>
      </c>
      <c r="T155" s="67">
        <f>IF(R155=1,"",IF(B155="","Enter an invoice #",IF(C155="","Missing invoice date",IF(NOT(ISNUMBER(C155)),"Invalid date",IF(OR(C155&lt;DATE(2000,1,1),C155&gt;DATE(2099,12,31)),"Invalid date",IF(F155="","Select a revenue account",IF(ISNA(MATCH(F155,coa_Name,0)),"Unknown account: "&amp;F155,IF(NOT(ISNUMBER(G155)),"Enter an amount",IF(G155&lt;=0,"Amount must be positive",IF(S155&gt;G155,"Tax is larger than the amount",""))))))))))</f>
        <v/>
      </c>
      <c r="U155" s="67">
        <f>IF(OR(R155=1,T155&lt;&gt;""),"",IF(COUNTIF(ar_No,B155)&gt;1,"Duplicate invoice #",IF(D155="","Select a customer",IF(N(L155)&lt;0,"Overpaid by "&amp;TEXT(-L155,"#,##0.00"),IF(AND(ISNUMBER(H155),N(H155)&lt;&gt;0,S155=0),"Tax ignored (tax tracking is off)",IF(AND(ISNUMBER(StartDate),C155&lt;StartDate),"Date is before the accounting start date",IF(AND(IFERROR(INDEX(coa_Type,MATCH(F155,coa_Name,0)),"")&lt;&gt;"Revenue",IFERROR(INDEX(coa_Type,MATCH(F155,coa_Name,0)),"")&lt;&gt;"Other Income"),"Account is not a revenue account","")))))))</f>
        <v/>
      </c>
      <c r="V155" s="67">
        <f>IF(AND(R155=0,T155=""),1,0)</f>
        <v/>
      </c>
      <c r="W155" s="67">
        <f>IF(V155=1,acctAR,"")</f>
        <v/>
      </c>
      <c r="X155" s="67">
        <f>IF(V155=1,F155,"")</f>
        <v/>
      </c>
      <c r="Y155" s="68">
        <f>IF(V155=1,G155,0)</f>
        <v/>
      </c>
      <c r="Z155" s="68">
        <f>IF(V155=1,G155-S155,0)</f>
        <v/>
      </c>
      <c r="AA155" s="68">
        <f>IF(V155=1,S155,0)</f>
        <v/>
      </c>
    </row>
    <row r="156">
      <c r="B156" s="62" t="n"/>
      <c r="C156" s="63" t="n"/>
      <c r="D156" s="62" t="n"/>
      <c r="E156" s="62" t="n"/>
      <c r="F156" s="62" t="n"/>
      <c r="G156" s="64" t="n"/>
      <c r="H156" s="64" t="n"/>
      <c r="I156" s="63" t="n"/>
      <c r="J156" s="29">
        <f>IF(V156=1,IF(ISNUMBER(I156),I156,C156+IF(ISNUMBER(IFERROR(INDEX(cust_Terms,MATCH(D156,cust_Name,0)),"")),INDEX(cust_Terms,MATCH(D156,cust_Name,0)),TermsDays)),"")</f>
        <v/>
      </c>
      <c r="K156" s="65">
        <f>IF(V156=1,SUMIFS(tx_DrAmt,tx_Type,"Customer Payment",tx_Ref,B156&amp;"",tx_Date,"&lt;="&amp;AsOf),"")</f>
        <v/>
      </c>
      <c r="L156" s="65">
        <f>IF(V156=1,IF(C156&gt;AsOf,0,ROUND(G156-K156,2)),"")</f>
        <v/>
      </c>
      <c r="M156" s="66">
        <f>IF(V156&lt;&gt;1,"",IF(C156&gt;AsOf,"Future",IF(L156&lt;0,"Overpaid",IF(L156=0,"Paid",IF(AsOf&gt;J156,"Overdue",IF(K156&gt;0,"Partial","Unpaid"))))))</f>
        <v/>
      </c>
      <c r="N156" s="28">
        <f>IF(AND(V156=1,N(L156)&gt;0),AsOf-C156,"")</f>
        <v/>
      </c>
      <c r="O156" s="28">
        <f>IF(N156="","",MAX(0,AsOf-J156))</f>
        <v/>
      </c>
      <c r="P156" s="66">
        <f>IF(O156="","",IF(O156=0,"Current",IF(O156&lt;=30,"1-30",IF(O156&lt;=60,"31-60",IF(O156&lt;=90,"61-90","90+")))))</f>
        <v/>
      </c>
      <c r="Q156" s="66">
        <f>IF(T156&lt;&gt;"","⛔ "&amp;T156&amp;" — not posted",IF(U156&lt;&gt;"","⚠ "&amp;U156,IF(V156=1,"✓ OK","")))</f>
        <v/>
      </c>
      <c r="R156" s="67">
        <f>IF(AND(B156="",C156="",D156="",G156="",F156=""),1,0)</f>
        <v/>
      </c>
      <c r="S156" s="68">
        <f>IF(AND(TaxOn="Yes",ISNUMBER(H156)),H156,0)</f>
        <v/>
      </c>
      <c r="T156" s="67">
        <f>IF(R156=1,"",IF(B156="","Enter an invoice #",IF(C156="","Missing invoice date",IF(NOT(ISNUMBER(C156)),"Invalid date",IF(OR(C156&lt;DATE(2000,1,1),C156&gt;DATE(2099,12,31)),"Invalid date",IF(F156="","Select a revenue account",IF(ISNA(MATCH(F156,coa_Name,0)),"Unknown account: "&amp;F156,IF(NOT(ISNUMBER(G156)),"Enter an amount",IF(G156&lt;=0,"Amount must be positive",IF(S156&gt;G156,"Tax is larger than the amount",""))))))))))</f>
        <v/>
      </c>
      <c r="U156" s="67">
        <f>IF(OR(R156=1,T156&lt;&gt;""),"",IF(COUNTIF(ar_No,B156)&gt;1,"Duplicate invoice #",IF(D156="","Select a customer",IF(N(L156)&lt;0,"Overpaid by "&amp;TEXT(-L156,"#,##0.00"),IF(AND(ISNUMBER(H156),N(H156)&lt;&gt;0,S156=0),"Tax ignored (tax tracking is off)",IF(AND(ISNUMBER(StartDate),C156&lt;StartDate),"Date is before the accounting start date",IF(AND(IFERROR(INDEX(coa_Type,MATCH(F156,coa_Name,0)),"")&lt;&gt;"Revenue",IFERROR(INDEX(coa_Type,MATCH(F156,coa_Name,0)),"")&lt;&gt;"Other Income"),"Account is not a revenue account","")))))))</f>
        <v/>
      </c>
      <c r="V156" s="67">
        <f>IF(AND(R156=0,T156=""),1,0)</f>
        <v/>
      </c>
      <c r="W156" s="67">
        <f>IF(V156=1,acctAR,"")</f>
        <v/>
      </c>
      <c r="X156" s="67">
        <f>IF(V156=1,F156,"")</f>
        <v/>
      </c>
      <c r="Y156" s="68">
        <f>IF(V156=1,G156,0)</f>
        <v/>
      </c>
      <c r="Z156" s="68">
        <f>IF(V156=1,G156-S156,0)</f>
        <v/>
      </c>
      <c r="AA156" s="68">
        <f>IF(V156=1,S156,0)</f>
        <v/>
      </c>
    </row>
    <row r="157">
      <c r="B157" s="62" t="n"/>
      <c r="C157" s="63" t="n"/>
      <c r="D157" s="62" t="n"/>
      <c r="E157" s="62" t="n"/>
      <c r="F157" s="62" t="n"/>
      <c r="G157" s="64" t="n"/>
      <c r="H157" s="64" t="n"/>
      <c r="I157" s="63" t="n"/>
      <c r="J157" s="29">
        <f>IF(V157=1,IF(ISNUMBER(I157),I157,C157+IF(ISNUMBER(IFERROR(INDEX(cust_Terms,MATCH(D157,cust_Name,0)),"")),INDEX(cust_Terms,MATCH(D157,cust_Name,0)),TermsDays)),"")</f>
        <v/>
      </c>
      <c r="K157" s="65">
        <f>IF(V157=1,SUMIFS(tx_DrAmt,tx_Type,"Customer Payment",tx_Ref,B157&amp;"",tx_Date,"&lt;="&amp;AsOf),"")</f>
        <v/>
      </c>
      <c r="L157" s="65">
        <f>IF(V157=1,IF(C157&gt;AsOf,0,ROUND(G157-K157,2)),"")</f>
        <v/>
      </c>
      <c r="M157" s="66">
        <f>IF(V157&lt;&gt;1,"",IF(C157&gt;AsOf,"Future",IF(L157&lt;0,"Overpaid",IF(L157=0,"Paid",IF(AsOf&gt;J157,"Overdue",IF(K157&gt;0,"Partial","Unpaid"))))))</f>
        <v/>
      </c>
      <c r="N157" s="28">
        <f>IF(AND(V157=1,N(L157)&gt;0),AsOf-C157,"")</f>
        <v/>
      </c>
      <c r="O157" s="28">
        <f>IF(N157="","",MAX(0,AsOf-J157))</f>
        <v/>
      </c>
      <c r="P157" s="66">
        <f>IF(O157="","",IF(O157=0,"Current",IF(O157&lt;=30,"1-30",IF(O157&lt;=60,"31-60",IF(O157&lt;=90,"61-90","90+")))))</f>
        <v/>
      </c>
      <c r="Q157" s="66">
        <f>IF(T157&lt;&gt;"","⛔ "&amp;T157&amp;" — not posted",IF(U157&lt;&gt;"","⚠ "&amp;U157,IF(V157=1,"✓ OK","")))</f>
        <v/>
      </c>
      <c r="R157" s="67">
        <f>IF(AND(B157="",C157="",D157="",G157="",F157=""),1,0)</f>
        <v/>
      </c>
      <c r="S157" s="68">
        <f>IF(AND(TaxOn="Yes",ISNUMBER(H157)),H157,0)</f>
        <v/>
      </c>
      <c r="T157" s="67">
        <f>IF(R157=1,"",IF(B157="","Enter an invoice #",IF(C157="","Missing invoice date",IF(NOT(ISNUMBER(C157)),"Invalid date",IF(OR(C157&lt;DATE(2000,1,1),C157&gt;DATE(2099,12,31)),"Invalid date",IF(F157="","Select a revenue account",IF(ISNA(MATCH(F157,coa_Name,0)),"Unknown account: "&amp;F157,IF(NOT(ISNUMBER(G157)),"Enter an amount",IF(G157&lt;=0,"Amount must be positive",IF(S157&gt;G157,"Tax is larger than the amount",""))))))))))</f>
        <v/>
      </c>
      <c r="U157" s="67">
        <f>IF(OR(R157=1,T157&lt;&gt;""),"",IF(COUNTIF(ar_No,B157)&gt;1,"Duplicate invoice #",IF(D157="","Select a customer",IF(N(L157)&lt;0,"Overpaid by "&amp;TEXT(-L157,"#,##0.00"),IF(AND(ISNUMBER(H157),N(H157)&lt;&gt;0,S157=0),"Tax ignored (tax tracking is off)",IF(AND(ISNUMBER(StartDate),C157&lt;StartDate),"Date is before the accounting start date",IF(AND(IFERROR(INDEX(coa_Type,MATCH(F157,coa_Name,0)),"")&lt;&gt;"Revenue",IFERROR(INDEX(coa_Type,MATCH(F157,coa_Name,0)),"")&lt;&gt;"Other Income"),"Account is not a revenue account","")))))))</f>
        <v/>
      </c>
      <c r="V157" s="67">
        <f>IF(AND(R157=0,T157=""),1,0)</f>
        <v/>
      </c>
      <c r="W157" s="67">
        <f>IF(V157=1,acctAR,"")</f>
        <v/>
      </c>
      <c r="X157" s="67">
        <f>IF(V157=1,F157,"")</f>
        <v/>
      </c>
      <c r="Y157" s="68">
        <f>IF(V157=1,G157,0)</f>
        <v/>
      </c>
      <c r="Z157" s="68">
        <f>IF(V157=1,G157-S157,0)</f>
        <v/>
      </c>
      <c r="AA157" s="68">
        <f>IF(V157=1,S157,0)</f>
        <v/>
      </c>
    </row>
    <row r="158">
      <c r="B158" s="62" t="n"/>
      <c r="C158" s="63" t="n"/>
      <c r="D158" s="62" t="n"/>
      <c r="E158" s="62" t="n"/>
      <c r="F158" s="62" t="n"/>
      <c r="G158" s="64" t="n"/>
      <c r="H158" s="64" t="n"/>
      <c r="I158" s="63" t="n"/>
      <c r="J158" s="29">
        <f>IF(V158=1,IF(ISNUMBER(I158),I158,C158+IF(ISNUMBER(IFERROR(INDEX(cust_Terms,MATCH(D158,cust_Name,0)),"")),INDEX(cust_Terms,MATCH(D158,cust_Name,0)),TermsDays)),"")</f>
        <v/>
      </c>
      <c r="K158" s="65">
        <f>IF(V158=1,SUMIFS(tx_DrAmt,tx_Type,"Customer Payment",tx_Ref,B158&amp;"",tx_Date,"&lt;="&amp;AsOf),"")</f>
        <v/>
      </c>
      <c r="L158" s="65">
        <f>IF(V158=1,IF(C158&gt;AsOf,0,ROUND(G158-K158,2)),"")</f>
        <v/>
      </c>
      <c r="M158" s="66">
        <f>IF(V158&lt;&gt;1,"",IF(C158&gt;AsOf,"Future",IF(L158&lt;0,"Overpaid",IF(L158=0,"Paid",IF(AsOf&gt;J158,"Overdue",IF(K158&gt;0,"Partial","Unpaid"))))))</f>
        <v/>
      </c>
      <c r="N158" s="28">
        <f>IF(AND(V158=1,N(L158)&gt;0),AsOf-C158,"")</f>
        <v/>
      </c>
      <c r="O158" s="28">
        <f>IF(N158="","",MAX(0,AsOf-J158))</f>
        <v/>
      </c>
      <c r="P158" s="66">
        <f>IF(O158="","",IF(O158=0,"Current",IF(O158&lt;=30,"1-30",IF(O158&lt;=60,"31-60",IF(O158&lt;=90,"61-90","90+")))))</f>
        <v/>
      </c>
      <c r="Q158" s="66">
        <f>IF(T158&lt;&gt;"","⛔ "&amp;T158&amp;" — not posted",IF(U158&lt;&gt;"","⚠ "&amp;U158,IF(V158=1,"✓ OK","")))</f>
        <v/>
      </c>
      <c r="R158" s="67">
        <f>IF(AND(B158="",C158="",D158="",G158="",F158=""),1,0)</f>
        <v/>
      </c>
      <c r="S158" s="68">
        <f>IF(AND(TaxOn="Yes",ISNUMBER(H158)),H158,0)</f>
        <v/>
      </c>
      <c r="T158" s="67">
        <f>IF(R158=1,"",IF(B158="","Enter an invoice #",IF(C158="","Missing invoice date",IF(NOT(ISNUMBER(C158)),"Invalid date",IF(OR(C158&lt;DATE(2000,1,1),C158&gt;DATE(2099,12,31)),"Invalid date",IF(F158="","Select a revenue account",IF(ISNA(MATCH(F158,coa_Name,0)),"Unknown account: "&amp;F158,IF(NOT(ISNUMBER(G158)),"Enter an amount",IF(G158&lt;=0,"Amount must be positive",IF(S158&gt;G158,"Tax is larger than the amount",""))))))))))</f>
        <v/>
      </c>
      <c r="U158" s="67">
        <f>IF(OR(R158=1,T158&lt;&gt;""),"",IF(COUNTIF(ar_No,B158)&gt;1,"Duplicate invoice #",IF(D158="","Select a customer",IF(N(L158)&lt;0,"Overpaid by "&amp;TEXT(-L158,"#,##0.00"),IF(AND(ISNUMBER(H158),N(H158)&lt;&gt;0,S158=0),"Tax ignored (tax tracking is off)",IF(AND(ISNUMBER(StartDate),C158&lt;StartDate),"Date is before the accounting start date",IF(AND(IFERROR(INDEX(coa_Type,MATCH(F158,coa_Name,0)),"")&lt;&gt;"Revenue",IFERROR(INDEX(coa_Type,MATCH(F158,coa_Name,0)),"")&lt;&gt;"Other Income"),"Account is not a revenue account","")))))))</f>
        <v/>
      </c>
      <c r="V158" s="67">
        <f>IF(AND(R158=0,T158=""),1,0)</f>
        <v/>
      </c>
      <c r="W158" s="67">
        <f>IF(V158=1,acctAR,"")</f>
        <v/>
      </c>
      <c r="X158" s="67">
        <f>IF(V158=1,F158,"")</f>
        <v/>
      </c>
      <c r="Y158" s="68">
        <f>IF(V158=1,G158,0)</f>
        <v/>
      </c>
      <c r="Z158" s="68">
        <f>IF(V158=1,G158-S158,0)</f>
        <v/>
      </c>
      <c r="AA158" s="68">
        <f>IF(V158=1,S158,0)</f>
        <v/>
      </c>
    </row>
    <row r="159">
      <c r="B159" s="62" t="n"/>
      <c r="C159" s="63" t="n"/>
      <c r="D159" s="62" t="n"/>
      <c r="E159" s="62" t="n"/>
      <c r="F159" s="62" t="n"/>
      <c r="G159" s="64" t="n"/>
      <c r="H159" s="64" t="n"/>
      <c r="I159" s="63" t="n"/>
      <c r="J159" s="29">
        <f>IF(V159=1,IF(ISNUMBER(I159),I159,C159+IF(ISNUMBER(IFERROR(INDEX(cust_Terms,MATCH(D159,cust_Name,0)),"")),INDEX(cust_Terms,MATCH(D159,cust_Name,0)),TermsDays)),"")</f>
        <v/>
      </c>
      <c r="K159" s="65">
        <f>IF(V159=1,SUMIFS(tx_DrAmt,tx_Type,"Customer Payment",tx_Ref,B159&amp;"",tx_Date,"&lt;="&amp;AsOf),"")</f>
        <v/>
      </c>
      <c r="L159" s="65">
        <f>IF(V159=1,IF(C159&gt;AsOf,0,ROUND(G159-K159,2)),"")</f>
        <v/>
      </c>
      <c r="M159" s="66">
        <f>IF(V159&lt;&gt;1,"",IF(C159&gt;AsOf,"Future",IF(L159&lt;0,"Overpaid",IF(L159=0,"Paid",IF(AsOf&gt;J159,"Overdue",IF(K159&gt;0,"Partial","Unpaid"))))))</f>
        <v/>
      </c>
      <c r="N159" s="28">
        <f>IF(AND(V159=1,N(L159)&gt;0),AsOf-C159,"")</f>
        <v/>
      </c>
      <c r="O159" s="28">
        <f>IF(N159="","",MAX(0,AsOf-J159))</f>
        <v/>
      </c>
      <c r="P159" s="66">
        <f>IF(O159="","",IF(O159=0,"Current",IF(O159&lt;=30,"1-30",IF(O159&lt;=60,"31-60",IF(O159&lt;=90,"61-90","90+")))))</f>
        <v/>
      </c>
      <c r="Q159" s="66">
        <f>IF(T159&lt;&gt;"","⛔ "&amp;T159&amp;" — not posted",IF(U159&lt;&gt;"","⚠ "&amp;U159,IF(V159=1,"✓ OK","")))</f>
        <v/>
      </c>
      <c r="R159" s="67">
        <f>IF(AND(B159="",C159="",D159="",G159="",F159=""),1,0)</f>
        <v/>
      </c>
      <c r="S159" s="68">
        <f>IF(AND(TaxOn="Yes",ISNUMBER(H159)),H159,0)</f>
        <v/>
      </c>
      <c r="T159" s="67">
        <f>IF(R159=1,"",IF(B159="","Enter an invoice #",IF(C159="","Missing invoice date",IF(NOT(ISNUMBER(C159)),"Invalid date",IF(OR(C159&lt;DATE(2000,1,1),C159&gt;DATE(2099,12,31)),"Invalid date",IF(F159="","Select a revenue account",IF(ISNA(MATCH(F159,coa_Name,0)),"Unknown account: "&amp;F159,IF(NOT(ISNUMBER(G159)),"Enter an amount",IF(G159&lt;=0,"Amount must be positive",IF(S159&gt;G159,"Tax is larger than the amount",""))))))))))</f>
        <v/>
      </c>
      <c r="U159" s="67">
        <f>IF(OR(R159=1,T159&lt;&gt;""),"",IF(COUNTIF(ar_No,B159)&gt;1,"Duplicate invoice #",IF(D159="","Select a customer",IF(N(L159)&lt;0,"Overpaid by "&amp;TEXT(-L159,"#,##0.00"),IF(AND(ISNUMBER(H159),N(H159)&lt;&gt;0,S159=0),"Tax ignored (tax tracking is off)",IF(AND(ISNUMBER(StartDate),C159&lt;StartDate),"Date is before the accounting start date",IF(AND(IFERROR(INDEX(coa_Type,MATCH(F159,coa_Name,0)),"")&lt;&gt;"Revenue",IFERROR(INDEX(coa_Type,MATCH(F159,coa_Name,0)),"")&lt;&gt;"Other Income"),"Account is not a revenue account","")))))))</f>
        <v/>
      </c>
      <c r="V159" s="67">
        <f>IF(AND(R159=0,T159=""),1,0)</f>
        <v/>
      </c>
      <c r="W159" s="67">
        <f>IF(V159=1,acctAR,"")</f>
        <v/>
      </c>
      <c r="X159" s="67">
        <f>IF(V159=1,F159,"")</f>
        <v/>
      </c>
      <c r="Y159" s="68">
        <f>IF(V159=1,G159,0)</f>
        <v/>
      </c>
      <c r="Z159" s="68">
        <f>IF(V159=1,G159-S159,0)</f>
        <v/>
      </c>
      <c r="AA159" s="68">
        <f>IF(V159=1,S159,0)</f>
        <v/>
      </c>
    </row>
    <row r="160">
      <c r="B160" s="62" t="n"/>
      <c r="C160" s="63" t="n"/>
      <c r="D160" s="62" t="n"/>
      <c r="E160" s="62" t="n"/>
      <c r="F160" s="62" t="n"/>
      <c r="G160" s="64" t="n"/>
      <c r="H160" s="64" t="n"/>
      <c r="I160" s="63" t="n"/>
      <c r="J160" s="29">
        <f>IF(V160=1,IF(ISNUMBER(I160),I160,C160+IF(ISNUMBER(IFERROR(INDEX(cust_Terms,MATCH(D160,cust_Name,0)),"")),INDEX(cust_Terms,MATCH(D160,cust_Name,0)),TermsDays)),"")</f>
        <v/>
      </c>
      <c r="K160" s="65">
        <f>IF(V160=1,SUMIFS(tx_DrAmt,tx_Type,"Customer Payment",tx_Ref,B160&amp;"",tx_Date,"&lt;="&amp;AsOf),"")</f>
        <v/>
      </c>
      <c r="L160" s="65">
        <f>IF(V160=1,IF(C160&gt;AsOf,0,ROUND(G160-K160,2)),"")</f>
        <v/>
      </c>
      <c r="M160" s="66">
        <f>IF(V160&lt;&gt;1,"",IF(C160&gt;AsOf,"Future",IF(L160&lt;0,"Overpaid",IF(L160=0,"Paid",IF(AsOf&gt;J160,"Overdue",IF(K160&gt;0,"Partial","Unpaid"))))))</f>
        <v/>
      </c>
      <c r="N160" s="28">
        <f>IF(AND(V160=1,N(L160)&gt;0),AsOf-C160,"")</f>
        <v/>
      </c>
      <c r="O160" s="28">
        <f>IF(N160="","",MAX(0,AsOf-J160))</f>
        <v/>
      </c>
      <c r="P160" s="66">
        <f>IF(O160="","",IF(O160=0,"Current",IF(O160&lt;=30,"1-30",IF(O160&lt;=60,"31-60",IF(O160&lt;=90,"61-90","90+")))))</f>
        <v/>
      </c>
      <c r="Q160" s="66">
        <f>IF(T160&lt;&gt;"","⛔ "&amp;T160&amp;" — not posted",IF(U160&lt;&gt;"","⚠ "&amp;U160,IF(V160=1,"✓ OK","")))</f>
        <v/>
      </c>
      <c r="R160" s="67">
        <f>IF(AND(B160="",C160="",D160="",G160="",F160=""),1,0)</f>
        <v/>
      </c>
      <c r="S160" s="68">
        <f>IF(AND(TaxOn="Yes",ISNUMBER(H160)),H160,0)</f>
        <v/>
      </c>
      <c r="T160" s="67">
        <f>IF(R160=1,"",IF(B160="","Enter an invoice #",IF(C160="","Missing invoice date",IF(NOT(ISNUMBER(C160)),"Invalid date",IF(OR(C160&lt;DATE(2000,1,1),C160&gt;DATE(2099,12,31)),"Invalid date",IF(F160="","Select a revenue account",IF(ISNA(MATCH(F160,coa_Name,0)),"Unknown account: "&amp;F160,IF(NOT(ISNUMBER(G160)),"Enter an amount",IF(G160&lt;=0,"Amount must be positive",IF(S160&gt;G160,"Tax is larger than the amount",""))))))))))</f>
        <v/>
      </c>
      <c r="U160" s="67">
        <f>IF(OR(R160=1,T160&lt;&gt;""),"",IF(COUNTIF(ar_No,B160)&gt;1,"Duplicate invoice #",IF(D160="","Select a customer",IF(N(L160)&lt;0,"Overpaid by "&amp;TEXT(-L160,"#,##0.00"),IF(AND(ISNUMBER(H160),N(H160)&lt;&gt;0,S160=0),"Tax ignored (tax tracking is off)",IF(AND(ISNUMBER(StartDate),C160&lt;StartDate),"Date is before the accounting start date",IF(AND(IFERROR(INDEX(coa_Type,MATCH(F160,coa_Name,0)),"")&lt;&gt;"Revenue",IFERROR(INDEX(coa_Type,MATCH(F160,coa_Name,0)),"")&lt;&gt;"Other Income"),"Account is not a revenue account","")))))))</f>
        <v/>
      </c>
      <c r="V160" s="67">
        <f>IF(AND(R160=0,T160=""),1,0)</f>
        <v/>
      </c>
      <c r="W160" s="67">
        <f>IF(V160=1,acctAR,"")</f>
        <v/>
      </c>
      <c r="X160" s="67">
        <f>IF(V160=1,F160,"")</f>
        <v/>
      </c>
      <c r="Y160" s="68">
        <f>IF(V160=1,G160,0)</f>
        <v/>
      </c>
      <c r="Z160" s="68">
        <f>IF(V160=1,G160-S160,0)</f>
        <v/>
      </c>
      <c r="AA160" s="68">
        <f>IF(V160=1,S160,0)</f>
        <v/>
      </c>
    </row>
    <row r="161">
      <c r="B161" s="62" t="n"/>
      <c r="C161" s="63" t="n"/>
      <c r="D161" s="62" t="n"/>
      <c r="E161" s="62" t="n"/>
      <c r="F161" s="62" t="n"/>
      <c r="G161" s="64" t="n"/>
      <c r="H161" s="64" t="n"/>
      <c r="I161" s="63" t="n"/>
      <c r="J161" s="29">
        <f>IF(V161=1,IF(ISNUMBER(I161),I161,C161+IF(ISNUMBER(IFERROR(INDEX(cust_Terms,MATCH(D161,cust_Name,0)),"")),INDEX(cust_Terms,MATCH(D161,cust_Name,0)),TermsDays)),"")</f>
        <v/>
      </c>
      <c r="K161" s="65">
        <f>IF(V161=1,SUMIFS(tx_DrAmt,tx_Type,"Customer Payment",tx_Ref,B161&amp;"",tx_Date,"&lt;="&amp;AsOf),"")</f>
        <v/>
      </c>
      <c r="L161" s="65">
        <f>IF(V161=1,IF(C161&gt;AsOf,0,ROUND(G161-K161,2)),"")</f>
        <v/>
      </c>
      <c r="M161" s="66">
        <f>IF(V161&lt;&gt;1,"",IF(C161&gt;AsOf,"Future",IF(L161&lt;0,"Overpaid",IF(L161=0,"Paid",IF(AsOf&gt;J161,"Overdue",IF(K161&gt;0,"Partial","Unpaid"))))))</f>
        <v/>
      </c>
      <c r="N161" s="28">
        <f>IF(AND(V161=1,N(L161)&gt;0),AsOf-C161,"")</f>
        <v/>
      </c>
      <c r="O161" s="28">
        <f>IF(N161="","",MAX(0,AsOf-J161))</f>
        <v/>
      </c>
      <c r="P161" s="66">
        <f>IF(O161="","",IF(O161=0,"Current",IF(O161&lt;=30,"1-30",IF(O161&lt;=60,"31-60",IF(O161&lt;=90,"61-90","90+")))))</f>
        <v/>
      </c>
      <c r="Q161" s="66">
        <f>IF(T161&lt;&gt;"","⛔ "&amp;T161&amp;" — not posted",IF(U161&lt;&gt;"","⚠ "&amp;U161,IF(V161=1,"✓ OK","")))</f>
        <v/>
      </c>
      <c r="R161" s="67">
        <f>IF(AND(B161="",C161="",D161="",G161="",F161=""),1,0)</f>
        <v/>
      </c>
      <c r="S161" s="68">
        <f>IF(AND(TaxOn="Yes",ISNUMBER(H161)),H161,0)</f>
        <v/>
      </c>
      <c r="T161" s="67">
        <f>IF(R161=1,"",IF(B161="","Enter an invoice #",IF(C161="","Missing invoice date",IF(NOT(ISNUMBER(C161)),"Invalid date",IF(OR(C161&lt;DATE(2000,1,1),C161&gt;DATE(2099,12,31)),"Invalid date",IF(F161="","Select a revenue account",IF(ISNA(MATCH(F161,coa_Name,0)),"Unknown account: "&amp;F161,IF(NOT(ISNUMBER(G161)),"Enter an amount",IF(G161&lt;=0,"Amount must be positive",IF(S161&gt;G161,"Tax is larger than the amount",""))))))))))</f>
        <v/>
      </c>
      <c r="U161" s="67">
        <f>IF(OR(R161=1,T161&lt;&gt;""),"",IF(COUNTIF(ar_No,B161)&gt;1,"Duplicate invoice #",IF(D161="","Select a customer",IF(N(L161)&lt;0,"Overpaid by "&amp;TEXT(-L161,"#,##0.00"),IF(AND(ISNUMBER(H161),N(H161)&lt;&gt;0,S161=0),"Tax ignored (tax tracking is off)",IF(AND(ISNUMBER(StartDate),C161&lt;StartDate),"Date is before the accounting start date",IF(AND(IFERROR(INDEX(coa_Type,MATCH(F161,coa_Name,0)),"")&lt;&gt;"Revenue",IFERROR(INDEX(coa_Type,MATCH(F161,coa_Name,0)),"")&lt;&gt;"Other Income"),"Account is not a revenue account","")))))))</f>
        <v/>
      </c>
      <c r="V161" s="67">
        <f>IF(AND(R161=0,T161=""),1,0)</f>
        <v/>
      </c>
      <c r="W161" s="67">
        <f>IF(V161=1,acctAR,"")</f>
        <v/>
      </c>
      <c r="X161" s="67">
        <f>IF(V161=1,F161,"")</f>
        <v/>
      </c>
      <c r="Y161" s="68">
        <f>IF(V161=1,G161,0)</f>
        <v/>
      </c>
      <c r="Z161" s="68">
        <f>IF(V161=1,G161-S161,0)</f>
        <v/>
      </c>
      <c r="AA161" s="68">
        <f>IF(V161=1,S161,0)</f>
        <v/>
      </c>
    </row>
    <row r="162">
      <c r="B162" s="62" t="n"/>
      <c r="C162" s="63" t="n"/>
      <c r="D162" s="62" t="n"/>
      <c r="E162" s="62" t="n"/>
      <c r="F162" s="62" t="n"/>
      <c r="G162" s="64" t="n"/>
      <c r="H162" s="64" t="n"/>
      <c r="I162" s="63" t="n"/>
      <c r="J162" s="29">
        <f>IF(V162=1,IF(ISNUMBER(I162),I162,C162+IF(ISNUMBER(IFERROR(INDEX(cust_Terms,MATCH(D162,cust_Name,0)),"")),INDEX(cust_Terms,MATCH(D162,cust_Name,0)),TermsDays)),"")</f>
        <v/>
      </c>
      <c r="K162" s="65">
        <f>IF(V162=1,SUMIFS(tx_DrAmt,tx_Type,"Customer Payment",tx_Ref,B162&amp;"",tx_Date,"&lt;="&amp;AsOf),"")</f>
        <v/>
      </c>
      <c r="L162" s="65">
        <f>IF(V162=1,IF(C162&gt;AsOf,0,ROUND(G162-K162,2)),"")</f>
        <v/>
      </c>
      <c r="M162" s="66">
        <f>IF(V162&lt;&gt;1,"",IF(C162&gt;AsOf,"Future",IF(L162&lt;0,"Overpaid",IF(L162=0,"Paid",IF(AsOf&gt;J162,"Overdue",IF(K162&gt;0,"Partial","Unpaid"))))))</f>
        <v/>
      </c>
      <c r="N162" s="28">
        <f>IF(AND(V162=1,N(L162)&gt;0),AsOf-C162,"")</f>
        <v/>
      </c>
      <c r="O162" s="28">
        <f>IF(N162="","",MAX(0,AsOf-J162))</f>
        <v/>
      </c>
      <c r="P162" s="66">
        <f>IF(O162="","",IF(O162=0,"Current",IF(O162&lt;=30,"1-30",IF(O162&lt;=60,"31-60",IF(O162&lt;=90,"61-90","90+")))))</f>
        <v/>
      </c>
      <c r="Q162" s="66">
        <f>IF(T162&lt;&gt;"","⛔ "&amp;T162&amp;" — not posted",IF(U162&lt;&gt;"","⚠ "&amp;U162,IF(V162=1,"✓ OK","")))</f>
        <v/>
      </c>
      <c r="R162" s="67">
        <f>IF(AND(B162="",C162="",D162="",G162="",F162=""),1,0)</f>
        <v/>
      </c>
      <c r="S162" s="68">
        <f>IF(AND(TaxOn="Yes",ISNUMBER(H162)),H162,0)</f>
        <v/>
      </c>
      <c r="T162" s="67">
        <f>IF(R162=1,"",IF(B162="","Enter an invoice #",IF(C162="","Missing invoice date",IF(NOT(ISNUMBER(C162)),"Invalid date",IF(OR(C162&lt;DATE(2000,1,1),C162&gt;DATE(2099,12,31)),"Invalid date",IF(F162="","Select a revenue account",IF(ISNA(MATCH(F162,coa_Name,0)),"Unknown account: "&amp;F162,IF(NOT(ISNUMBER(G162)),"Enter an amount",IF(G162&lt;=0,"Amount must be positive",IF(S162&gt;G162,"Tax is larger than the amount",""))))))))))</f>
        <v/>
      </c>
      <c r="U162" s="67">
        <f>IF(OR(R162=1,T162&lt;&gt;""),"",IF(COUNTIF(ar_No,B162)&gt;1,"Duplicate invoice #",IF(D162="","Select a customer",IF(N(L162)&lt;0,"Overpaid by "&amp;TEXT(-L162,"#,##0.00"),IF(AND(ISNUMBER(H162),N(H162)&lt;&gt;0,S162=0),"Tax ignored (tax tracking is off)",IF(AND(ISNUMBER(StartDate),C162&lt;StartDate),"Date is before the accounting start date",IF(AND(IFERROR(INDEX(coa_Type,MATCH(F162,coa_Name,0)),"")&lt;&gt;"Revenue",IFERROR(INDEX(coa_Type,MATCH(F162,coa_Name,0)),"")&lt;&gt;"Other Income"),"Account is not a revenue account","")))))))</f>
        <v/>
      </c>
      <c r="V162" s="67">
        <f>IF(AND(R162=0,T162=""),1,0)</f>
        <v/>
      </c>
      <c r="W162" s="67">
        <f>IF(V162=1,acctAR,"")</f>
        <v/>
      </c>
      <c r="X162" s="67">
        <f>IF(V162=1,F162,"")</f>
        <v/>
      </c>
      <c r="Y162" s="68">
        <f>IF(V162=1,G162,0)</f>
        <v/>
      </c>
      <c r="Z162" s="68">
        <f>IF(V162=1,G162-S162,0)</f>
        <v/>
      </c>
      <c r="AA162" s="68">
        <f>IF(V162=1,S162,0)</f>
        <v/>
      </c>
    </row>
    <row r="163">
      <c r="B163" s="62" t="n"/>
      <c r="C163" s="63" t="n"/>
      <c r="D163" s="62" t="n"/>
      <c r="E163" s="62" t="n"/>
      <c r="F163" s="62" t="n"/>
      <c r="G163" s="64" t="n"/>
      <c r="H163" s="64" t="n"/>
      <c r="I163" s="63" t="n"/>
      <c r="J163" s="29">
        <f>IF(V163=1,IF(ISNUMBER(I163),I163,C163+IF(ISNUMBER(IFERROR(INDEX(cust_Terms,MATCH(D163,cust_Name,0)),"")),INDEX(cust_Terms,MATCH(D163,cust_Name,0)),TermsDays)),"")</f>
        <v/>
      </c>
      <c r="K163" s="65">
        <f>IF(V163=1,SUMIFS(tx_DrAmt,tx_Type,"Customer Payment",tx_Ref,B163&amp;"",tx_Date,"&lt;="&amp;AsOf),"")</f>
        <v/>
      </c>
      <c r="L163" s="65">
        <f>IF(V163=1,IF(C163&gt;AsOf,0,ROUND(G163-K163,2)),"")</f>
        <v/>
      </c>
      <c r="M163" s="66">
        <f>IF(V163&lt;&gt;1,"",IF(C163&gt;AsOf,"Future",IF(L163&lt;0,"Overpaid",IF(L163=0,"Paid",IF(AsOf&gt;J163,"Overdue",IF(K163&gt;0,"Partial","Unpaid"))))))</f>
        <v/>
      </c>
      <c r="N163" s="28">
        <f>IF(AND(V163=1,N(L163)&gt;0),AsOf-C163,"")</f>
        <v/>
      </c>
      <c r="O163" s="28">
        <f>IF(N163="","",MAX(0,AsOf-J163))</f>
        <v/>
      </c>
      <c r="P163" s="66">
        <f>IF(O163="","",IF(O163=0,"Current",IF(O163&lt;=30,"1-30",IF(O163&lt;=60,"31-60",IF(O163&lt;=90,"61-90","90+")))))</f>
        <v/>
      </c>
      <c r="Q163" s="66">
        <f>IF(T163&lt;&gt;"","⛔ "&amp;T163&amp;" — not posted",IF(U163&lt;&gt;"","⚠ "&amp;U163,IF(V163=1,"✓ OK","")))</f>
        <v/>
      </c>
      <c r="R163" s="67">
        <f>IF(AND(B163="",C163="",D163="",G163="",F163=""),1,0)</f>
        <v/>
      </c>
      <c r="S163" s="68">
        <f>IF(AND(TaxOn="Yes",ISNUMBER(H163)),H163,0)</f>
        <v/>
      </c>
      <c r="T163" s="67">
        <f>IF(R163=1,"",IF(B163="","Enter an invoice #",IF(C163="","Missing invoice date",IF(NOT(ISNUMBER(C163)),"Invalid date",IF(OR(C163&lt;DATE(2000,1,1),C163&gt;DATE(2099,12,31)),"Invalid date",IF(F163="","Select a revenue account",IF(ISNA(MATCH(F163,coa_Name,0)),"Unknown account: "&amp;F163,IF(NOT(ISNUMBER(G163)),"Enter an amount",IF(G163&lt;=0,"Amount must be positive",IF(S163&gt;G163,"Tax is larger than the amount",""))))))))))</f>
        <v/>
      </c>
      <c r="U163" s="67">
        <f>IF(OR(R163=1,T163&lt;&gt;""),"",IF(COUNTIF(ar_No,B163)&gt;1,"Duplicate invoice #",IF(D163="","Select a customer",IF(N(L163)&lt;0,"Overpaid by "&amp;TEXT(-L163,"#,##0.00"),IF(AND(ISNUMBER(H163),N(H163)&lt;&gt;0,S163=0),"Tax ignored (tax tracking is off)",IF(AND(ISNUMBER(StartDate),C163&lt;StartDate),"Date is before the accounting start date",IF(AND(IFERROR(INDEX(coa_Type,MATCH(F163,coa_Name,0)),"")&lt;&gt;"Revenue",IFERROR(INDEX(coa_Type,MATCH(F163,coa_Name,0)),"")&lt;&gt;"Other Income"),"Account is not a revenue account","")))))))</f>
        <v/>
      </c>
      <c r="V163" s="67">
        <f>IF(AND(R163=0,T163=""),1,0)</f>
        <v/>
      </c>
      <c r="W163" s="67">
        <f>IF(V163=1,acctAR,"")</f>
        <v/>
      </c>
      <c r="X163" s="67">
        <f>IF(V163=1,F163,"")</f>
        <v/>
      </c>
      <c r="Y163" s="68">
        <f>IF(V163=1,G163,0)</f>
        <v/>
      </c>
      <c r="Z163" s="68">
        <f>IF(V163=1,G163-S163,0)</f>
        <v/>
      </c>
      <c r="AA163" s="68">
        <f>IF(V163=1,S163,0)</f>
        <v/>
      </c>
    </row>
    <row r="164">
      <c r="B164" s="62" t="n"/>
      <c r="C164" s="63" t="n"/>
      <c r="D164" s="62" t="n"/>
      <c r="E164" s="62" t="n"/>
      <c r="F164" s="62" t="n"/>
      <c r="G164" s="64" t="n"/>
      <c r="H164" s="64" t="n"/>
      <c r="I164" s="63" t="n"/>
      <c r="J164" s="29">
        <f>IF(V164=1,IF(ISNUMBER(I164),I164,C164+IF(ISNUMBER(IFERROR(INDEX(cust_Terms,MATCH(D164,cust_Name,0)),"")),INDEX(cust_Terms,MATCH(D164,cust_Name,0)),TermsDays)),"")</f>
        <v/>
      </c>
      <c r="K164" s="65">
        <f>IF(V164=1,SUMIFS(tx_DrAmt,tx_Type,"Customer Payment",tx_Ref,B164&amp;"",tx_Date,"&lt;="&amp;AsOf),"")</f>
        <v/>
      </c>
      <c r="L164" s="65">
        <f>IF(V164=1,IF(C164&gt;AsOf,0,ROUND(G164-K164,2)),"")</f>
        <v/>
      </c>
      <c r="M164" s="66">
        <f>IF(V164&lt;&gt;1,"",IF(C164&gt;AsOf,"Future",IF(L164&lt;0,"Overpaid",IF(L164=0,"Paid",IF(AsOf&gt;J164,"Overdue",IF(K164&gt;0,"Partial","Unpaid"))))))</f>
        <v/>
      </c>
      <c r="N164" s="28">
        <f>IF(AND(V164=1,N(L164)&gt;0),AsOf-C164,"")</f>
        <v/>
      </c>
      <c r="O164" s="28">
        <f>IF(N164="","",MAX(0,AsOf-J164))</f>
        <v/>
      </c>
      <c r="P164" s="66">
        <f>IF(O164="","",IF(O164=0,"Current",IF(O164&lt;=30,"1-30",IF(O164&lt;=60,"31-60",IF(O164&lt;=90,"61-90","90+")))))</f>
        <v/>
      </c>
      <c r="Q164" s="66">
        <f>IF(T164&lt;&gt;"","⛔ "&amp;T164&amp;" — not posted",IF(U164&lt;&gt;"","⚠ "&amp;U164,IF(V164=1,"✓ OK","")))</f>
        <v/>
      </c>
      <c r="R164" s="67">
        <f>IF(AND(B164="",C164="",D164="",G164="",F164=""),1,0)</f>
        <v/>
      </c>
      <c r="S164" s="68">
        <f>IF(AND(TaxOn="Yes",ISNUMBER(H164)),H164,0)</f>
        <v/>
      </c>
      <c r="T164" s="67">
        <f>IF(R164=1,"",IF(B164="","Enter an invoice #",IF(C164="","Missing invoice date",IF(NOT(ISNUMBER(C164)),"Invalid date",IF(OR(C164&lt;DATE(2000,1,1),C164&gt;DATE(2099,12,31)),"Invalid date",IF(F164="","Select a revenue account",IF(ISNA(MATCH(F164,coa_Name,0)),"Unknown account: "&amp;F164,IF(NOT(ISNUMBER(G164)),"Enter an amount",IF(G164&lt;=0,"Amount must be positive",IF(S164&gt;G164,"Tax is larger than the amount",""))))))))))</f>
        <v/>
      </c>
      <c r="U164" s="67">
        <f>IF(OR(R164=1,T164&lt;&gt;""),"",IF(COUNTIF(ar_No,B164)&gt;1,"Duplicate invoice #",IF(D164="","Select a customer",IF(N(L164)&lt;0,"Overpaid by "&amp;TEXT(-L164,"#,##0.00"),IF(AND(ISNUMBER(H164),N(H164)&lt;&gt;0,S164=0),"Tax ignored (tax tracking is off)",IF(AND(ISNUMBER(StartDate),C164&lt;StartDate),"Date is before the accounting start date",IF(AND(IFERROR(INDEX(coa_Type,MATCH(F164,coa_Name,0)),"")&lt;&gt;"Revenue",IFERROR(INDEX(coa_Type,MATCH(F164,coa_Name,0)),"")&lt;&gt;"Other Income"),"Account is not a revenue account","")))))))</f>
        <v/>
      </c>
      <c r="V164" s="67">
        <f>IF(AND(R164=0,T164=""),1,0)</f>
        <v/>
      </c>
      <c r="W164" s="67">
        <f>IF(V164=1,acctAR,"")</f>
        <v/>
      </c>
      <c r="X164" s="67">
        <f>IF(V164=1,F164,"")</f>
        <v/>
      </c>
      <c r="Y164" s="68">
        <f>IF(V164=1,G164,0)</f>
        <v/>
      </c>
      <c r="Z164" s="68">
        <f>IF(V164=1,G164-S164,0)</f>
        <v/>
      </c>
      <c r="AA164" s="68">
        <f>IF(V164=1,S164,0)</f>
        <v/>
      </c>
    </row>
    <row r="165">
      <c r="B165" s="62" t="n"/>
      <c r="C165" s="63" t="n"/>
      <c r="D165" s="62" t="n"/>
      <c r="E165" s="62" t="n"/>
      <c r="F165" s="62" t="n"/>
      <c r="G165" s="64" t="n"/>
      <c r="H165" s="64" t="n"/>
      <c r="I165" s="63" t="n"/>
      <c r="J165" s="29">
        <f>IF(V165=1,IF(ISNUMBER(I165),I165,C165+IF(ISNUMBER(IFERROR(INDEX(cust_Terms,MATCH(D165,cust_Name,0)),"")),INDEX(cust_Terms,MATCH(D165,cust_Name,0)),TermsDays)),"")</f>
        <v/>
      </c>
      <c r="K165" s="65">
        <f>IF(V165=1,SUMIFS(tx_DrAmt,tx_Type,"Customer Payment",tx_Ref,B165&amp;"",tx_Date,"&lt;="&amp;AsOf),"")</f>
        <v/>
      </c>
      <c r="L165" s="65">
        <f>IF(V165=1,IF(C165&gt;AsOf,0,ROUND(G165-K165,2)),"")</f>
        <v/>
      </c>
      <c r="M165" s="66">
        <f>IF(V165&lt;&gt;1,"",IF(C165&gt;AsOf,"Future",IF(L165&lt;0,"Overpaid",IF(L165=0,"Paid",IF(AsOf&gt;J165,"Overdue",IF(K165&gt;0,"Partial","Unpaid"))))))</f>
        <v/>
      </c>
      <c r="N165" s="28">
        <f>IF(AND(V165=1,N(L165)&gt;0),AsOf-C165,"")</f>
        <v/>
      </c>
      <c r="O165" s="28">
        <f>IF(N165="","",MAX(0,AsOf-J165))</f>
        <v/>
      </c>
      <c r="P165" s="66">
        <f>IF(O165="","",IF(O165=0,"Current",IF(O165&lt;=30,"1-30",IF(O165&lt;=60,"31-60",IF(O165&lt;=90,"61-90","90+")))))</f>
        <v/>
      </c>
      <c r="Q165" s="66">
        <f>IF(T165&lt;&gt;"","⛔ "&amp;T165&amp;" — not posted",IF(U165&lt;&gt;"","⚠ "&amp;U165,IF(V165=1,"✓ OK","")))</f>
        <v/>
      </c>
      <c r="R165" s="67">
        <f>IF(AND(B165="",C165="",D165="",G165="",F165=""),1,0)</f>
        <v/>
      </c>
      <c r="S165" s="68">
        <f>IF(AND(TaxOn="Yes",ISNUMBER(H165)),H165,0)</f>
        <v/>
      </c>
      <c r="T165" s="67">
        <f>IF(R165=1,"",IF(B165="","Enter an invoice #",IF(C165="","Missing invoice date",IF(NOT(ISNUMBER(C165)),"Invalid date",IF(OR(C165&lt;DATE(2000,1,1),C165&gt;DATE(2099,12,31)),"Invalid date",IF(F165="","Select a revenue account",IF(ISNA(MATCH(F165,coa_Name,0)),"Unknown account: "&amp;F165,IF(NOT(ISNUMBER(G165)),"Enter an amount",IF(G165&lt;=0,"Amount must be positive",IF(S165&gt;G165,"Tax is larger than the amount",""))))))))))</f>
        <v/>
      </c>
      <c r="U165" s="67">
        <f>IF(OR(R165=1,T165&lt;&gt;""),"",IF(COUNTIF(ar_No,B165)&gt;1,"Duplicate invoice #",IF(D165="","Select a customer",IF(N(L165)&lt;0,"Overpaid by "&amp;TEXT(-L165,"#,##0.00"),IF(AND(ISNUMBER(H165),N(H165)&lt;&gt;0,S165=0),"Tax ignored (tax tracking is off)",IF(AND(ISNUMBER(StartDate),C165&lt;StartDate),"Date is before the accounting start date",IF(AND(IFERROR(INDEX(coa_Type,MATCH(F165,coa_Name,0)),"")&lt;&gt;"Revenue",IFERROR(INDEX(coa_Type,MATCH(F165,coa_Name,0)),"")&lt;&gt;"Other Income"),"Account is not a revenue account","")))))))</f>
        <v/>
      </c>
      <c r="V165" s="67">
        <f>IF(AND(R165=0,T165=""),1,0)</f>
        <v/>
      </c>
      <c r="W165" s="67">
        <f>IF(V165=1,acctAR,"")</f>
        <v/>
      </c>
      <c r="X165" s="67">
        <f>IF(V165=1,F165,"")</f>
        <v/>
      </c>
      <c r="Y165" s="68">
        <f>IF(V165=1,G165,0)</f>
        <v/>
      </c>
      <c r="Z165" s="68">
        <f>IF(V165=1,G165-S165,0)</f>
        <v/>
      </c>
      <c r="AA165" s="68">
        <f>IF(V165=1,S165,0)</f>
        <v/>
      </c>
    </row>
    <row r="166">
      <c r="B166" s="62" t="n"/>
      <c r="C166" s="63" t="n"/>
      <c r="D166" s="62" t="n"/>
      <c r="E166" s="62" t="n"/>
      <c r="F166" s="62" t="n"/>
      <c r="G166" s="64" t="n"/>
      <c r="H166" s="64" t="n"/>
      <c r="I166" s="63" t="n"/>
      <c r="J166" s="29">
        <f>IF(V166=1,IF(ISNUMBER(I166),I166,C166+IF(ISNUMBER(IFERROR(INDEX(cust_Terms,MATCH(D166,cust_Name,0)),"")),INDEX(cust_Terms,MATCH(D166,cust_Name,0)),TermsDays)),"")</f>
        <v/>
      </c>
      <c r="K166" s="65">
        <f>IF(V166=1,SUMIFS(tx_DrAmt,tx_Type,"Customer Payment",tx_Ref,B166&amp;"",tx_Date,"&lt;="&amp;AsOf),"")</f>
        <v/>
      </c>
      <c r="L166" s="65">
        <f>IF(V166=1,IF(C166&gt;AsOf,0,ROUND(G166-K166,2)),"")</f>
        <v/>
      </c>
      <c r="M166" s="66">
        <f>IF(V166&lt;&gt;1,"",IF(C166&gt;AsOf,"Future",IF(L166&lt;0,"Overpaid",IF(L166=0,"Paid",IF(AsOf&gt;J166,"Overdue",IF(K166&gt;0,"Partial","Unpaid"))))))</f>
        <v/>
      </c>
      <c r="N166" s="28">
        <f>IF(AND(V166=1,N(L166)&gt;0),AsOf-C166,"")</f>
        <v/>
      </c>
      <c r="O166" s="28">
        <f>IF(N166="","",MAX(0,AsOf-J166))</f>
        <v/>
      </c>
      <c r="P166" s="66">
        <f>IF(O166="","",IF(O166=0,"Current",IF(O166&lt;=30,"1-30",IF(O166&lt;=60,"31-60",IF(O166&lt;=90,"61-90","90+")))))</f>
        <v/>
      </c>
      <c r="Q166" s="66">
        <f>IF(T166&lt;&gt;"","⛔ "&amp;T166&amp;" — not posted",IF(U166&lt;&gt;"","⚠ "&amp;U166,IF(V166=1,"✓ OK","")))</f>
        <v/>
      </c>
      <c r="R166" s="67">
        <f>IF(AND(B166="",C166="",D166="",G166="",F166=""),1,0)</f>
        <v/>
      </c>
      <c r="S166" s="68">
        <f>IF(AND(TaxOn="Yes",ISNUMBER(H166)),H166,0)</f>
        <v/>
      </c>
      <c r="T166" s="67">
        <f>IF(R166=1,"",IF(B166="","Enter an invoice #",IF(C166="","Missing invoice date",IF(NOT(ISNUMBER(C166)),"Invalid date",IF(OR(C166&lt;DATE(2000,1,1),C166&gt;DATE(2099,12,31)),"Invalid date",IF(F166="","Select a revenue account",IF(ISNA(MATCH(F166,coa_Name,0)),"Unknown account: "&amp;F166,IF(NOT(ISNUMBER(G166)),"Enter an amount",IF(G166&lt;=0,"Amount must be positive",IF(S166&gt;G166,"Tax is larger than the amount",""))))))))))</f>
        <v/>
      </c>
      <c r="U166" s="67">
        <f>IF(OR(R166=1,T166&lt;&gt;""),"",IF(COUNTIF(ar_No,B166)&gt;1,"Duplicate invoice #",IF(D166="","Select a customer",IF(N(L166)&lt;0,"Overpaid by "&amp;TEXT(-L166,"#,##0.00"),IF(AND(ISNUMBER(H166),N(H166)&lt;&gt;0,S166=0),"Tax ignored (tax tracking is off)",IF(AND(ISNUMBER(StartDate),C166&lt;StartDate),"Date is before the accounting start date",IF(AND(IFERROR(INDEX(coa_Type,MATCH(F166,coa_Name,0)),"")&lt;&gt;"Revenue",IFERROR(INDEX(coa_Type,MATCH(F166,coa_Name,0)),"")&lt;&gt;"Other Income"),"Account is not a revenue account","")))))))</f>
        <v/>
      </c>
      <c r="V166" s="67">
        <f>IF(AND(R166=0,T166=""),1,0)</f>
        <v/>
      </c>
      <c r="W166" s="67">
        <f>IF(V166=1,acctAR,"")</f>
        <v/>
      </c>
      <c r="X166" s="67">
        <f>IF(V166=1,F166,"")</f>
        <v/>
      </c>
      <c r="Y166" s="68">
        <f>IF(V166=1,G166,0)</f>
        <v/>
      </c>
      <c r="Z166" s="68">
        <f>IF(V166=1,G166-S166,0)</f>
        <v/>
      </c>
      <c r="AA166" s="68">
        <f>IF(V166=1,S166,0)</f>
        <v/>
      </c>
    </row>
    <row r="167">
      <c r="B167" s="62" t="n"/>
      <c r="C167" s="63" t="n"/>
      <c r="D167" s="62" t="n"/>
      <c r="E167" s="62" t="n"/>
      <c r="F167" s="62" t="n"/>
      <c r="G167" s="64" t="n"/>
      <c r="H167" s="64" t="n"/>
      <c r="I167" s="63" t="n"/>
      <c r="J167" s="29">
        <f>IF(V167=1,IF(ISNUMBER(I167),I167,C167+IF(ISNUMBER(IFERROR(INDEX(cust_Terms,MATCH(D167,cust_Name,0)),"")),INDEX(cust_Terms,MATCH(D167,cust_Name,0)),TermsDays)),"")</f>
        <v/>
      </c>
      <c r="K167" s="65">
        <f>IF(V167=1,SUMIFS(tx_DrAmt,tx_Type,"Customer Payment",tx_Ref,B167&amp;"",tx_Date,"&lt;="&amp;AsOf),"")</f>
        <v/>
      </c>
      <c r="L167" s="65">
        <f>IF(V167=1,IF(C167&gt;AsOf,0,ROUND(G167-K167,2)),"")</f>
        <v/>
      </c>
      <c r="M167" s="66">
        <f>IF(V167&lt;&gt;1,"",IF(C167&gt;AsOf,"Future",IF(L167&lt;0,"Overpaid",IF(L167=0,"Paid",IF(AsOf&gt;J167,"Overdue",IF(K167&gt;0,"Partial","Unpaid"))))))</f>
        <v/>
      </c>
      <c r="N167" s="28">
        <f>IF(AND(V167=1,N(L167)&gt;0),AsOf-C167,"")</f>
        <v/>
      </c>
      <c r="O167" s="28">
        <f>IF(N167="","",MAX(0,AsOf-J167))</f>
        <v/>
      </c>
      <c r="P167" s="66">
        <f>IF(O167="","",IF(O167=0,"Current",IF(O167&lt;=30,"1-30",IF(O167&lt;=60,"31-60",IF(O167&lt;=90,"61-90","90+")))))</f>
        <v/>
      </c>
      <c r="Q167" s="66">
        <f>IF(T167&lt;&gt;"","⛔ "&amp;T167&amp;" — not posted",IF(U167&lt;&gt;"","⚠ "&amp;U167,IF(V167=1,"✓ OK","")))</f>
        <v/>
      </c>
      <c r="R167" s="67">
        <f>IF(AND(B167="",C167="",D167="",G167="",F167=""),1,0)</f>
        <v/>
      </c>
      <c r="S167" s="68">
        <f>IF(AND(TaxOn="Yes",ISNUMBER(H167)),H167,0)</f>
        <v/>
      </c>
      <c r="T167" s="67">
        <f>IF(R167=1,"",IF(B167="","Enter an invoice #",IF(C167="","Missing invoice date",IF(NOT(ISNUMBER(C167)),"Invalid date",IF(OR(C167&lt;DATE(2000,1,1),C167&gt;DATE(2099,12,31)),"Invalid date",IF(F167="","Select a revenue account",IF(ISNA(MATCH(F167,coa_Name,0)),"Unknown account: "&amp;F167,IF(NOT(ISNUMBER(G167)),"Enter an amount",IF(G167&lt;=0,"Amount must be positive",IF(S167&gt;G167,"Tax is larger than the amount",""))))))))))</f>
        <v/>
      </c>
      <c r="U167" s="67">
        <f>IF(OR(R167=1,T167&lt;&gt;""),"",IF(COUNTIF(ar_No,B167)&gt;1,"Duplicate invoice #",IF(D167="","Select a customer",IF(N(L167)&lt;0,"Overpaid by "&amp;TEXT(-L167,"#,##0.00"),IF(AND(ISNUMBER(H167),N(H167)&lt;&gt;0,S167=0),"Tax ignored (tax tracking is off)",IF(AND(ISNUMBER(StartDate),C167&lt;StartDate),"Date is before the accounting start date",IF(AND(IFERROR(INDEX(coa_Type,MATCH(F167,coa_Name,0)),"")&lt;&gt;"Revenue",IFERROR(INDEX(coa_Type,MATCH(F167,coa_Name,0)),"")&lt;&gt;"Other Income"),"Account is not a revenue account","")))))))</f>
        <v/>
      </c>
      <c r="V167" s="67">
        <f>IF(AND(R167=0,T167=""),1,0)</f>
        <v/>
      </c>
      <c r="W167" s="67">
        <f>IF(V167=1,acctAR,"")</f>
        <v/>
      </c>
      <c r="X167" s="67">
        <f>IF(V167=1,F167,"")</f>
        <v/>
      </c>
      <c r="Y167" s="68">
        <f>IF(V167=1,G167,0)</f>
        <v/>
      </c>
      <c r="Z167" s="68">
        <f>IF(V167=1,G167-S167,0)</f>
        <v/>
      </c>
      <c r="AA167" s="68">
        <f>IF(V167=1,S167,0)</f>
        <v/>
      </c>
    </row>
    <row r="168">
      <c r="B168" s="62" t="n"/>
      <c r="C168" s="63" t="n"/>
      <c r="D168" s="62" t="n"/>
      <c r="E168" s="62" t="n"/>
      <c r="F168" s="62" t="n"/>
      <c r="G168" s="64" t="n"/>
      <c r="H168" s="64" t="n"/>
      <c r="I168" s="63" t="n"/>
      <c r="J168" s="29">
        <f>IF(V168=1,IF(ISNUMBER(I168),I168,C168+IF(ISNUMBER(IFERROR(INDEX(cust_Terms,MATCH(D168,cust_Name,0)),"")),INDEX(cust_Terms,MATCH(D168,cust_Name,0)),TermsDays)),"")</f>
        <v/>
      </c>
      <c r="K168" s="65">
        <f>IF(V168=1,SUMIFS(tx_DrAmt,tx_Type,"Customer Payment",tx_Ref,B168&amp;"",tx_Date,"&lt;="&amp;AsOf),"")</f>
        <v/>
      </c>
      <c r="L168" s="65">
        <f>IF(V168=1,IF(C168&gt;AsOf,0,ROUND(G168-K168,2)),"")</f>
        <v/>
      </c>
      <c r="M168" s="66">
        <f>IF(V168&lt;&gt;1,"",IF(C168&gt;AsOf,"Future",IF(L168&lt;0,"Overpaid",IF(L168=0,"Paid",IF(AsOf&gt;J168,"Overdue",IF(K168&gt;0,"Partial","Unpaid"))))))</f>
        <v/>
      </c>
      <c r="N168" s="28">
        <f>IF(AND(V168=1,N(L168)&gt;0),AsOf-C168,"")</f>
        <v/>
      </c>
      <c r="O168" s="28">
        <f>IF(N168="","",MAX(0,AsOf-J168))</f>
        <v/>
      </c>
      <c r="P168" s="66">
        <f>IF(O168="","",IF(O168=0,"Current",IF(O168&lt;=30,"1-30",IF(O168&lt;=60,"31-60",IF(O168&lt;=90,"61-90","90+")))))</f>
        <v/>
      </c>
      <c r="Q168" s="66">
        <f>IF(T168&lt;&gt;"","⛔ "&amp;T168&amp;" — not posted",IF(U168&lt;&gt;"","⚠ "&amp;U168,IF(V168=1,"✓ OK","")))</f>
        <v/>
      </c>
      <c r="R168" s="67">
        <f>IF(AND(B168="",C168="",D168="",G168="",F168=""),1,0)</f>
        <v/>
      </c>
      <c r="S168" s="68">
        <f>IF(AND(TaxOn="Yes",ISNUMBER(H168)),H168,0)</f>
        <v/>
      </c>
      <c r="T168" s="67">
        <f>IF(R168=1,"",IF(B168="","Enter an invoice #",IF(C168="","Missing invoice date",IF(NOT(ISNUMBER(C168)),"Invalid date",IF(OR(C168&lt;DATE(2000,1,1),C168&gt;DATE(2099,12,31)),"Invalid date",IF(F168="","Select a revenue account",IF(ISNA(MATCH(F168,coa_Name,0)),"Unknown account: "&amp;F168,IF(NOT(ISNUMBER(G168)),"Enter an amount",IF(G168&lt;=0,"Amount must be positive",IF(S168&gt;G168,"Tax is larger than the amount",""))))))))))</f>
        <v/>
      </c>
      <c r="U168" s="67">
        <f>IF(OR(R168=1,T168&lt;&gt;""),"",IF(COUNTIF(ar_No,B168)&gt;1,"Duplicate invoice #",IF(D168="","Select a customer",IF(N(L168)&lt;0,"Overpaid by "&amp;TEXT(-L168,"#,##0.00"),IF(AND(ISNUMBER(H168),N(H168)&lt;&gt;0,S168=0),"Tax ignored (tax tracking is off)",IF(AND(ISNUMBER(StartDate),C168&lt;StartDate),"Date is before the accounting start date",IF(AND(IFERROR(INDEX(coa_Type,MATCH(F168,coa_Name,0)),"")&lt;&gt;"Revenue",IFERROR(INDEX(coa_Type,MATCH(F168,coa_Name,0)),"")&lt;&gt;"Other Income"),"Account is not a revenue account","")))))))</f>
        <v/>
      </c>
      <c r="V168" s="67">
        <f>IF(AND(R168=0,T168=""),1,0)</f>
        <v/>
      </c>
      <c r="W168" s="67">
        <f>IF(V168=1,acctAR,"")</f>
        <v/>
      </c>
      <c r="X168" s="67">
        <f>IF(V168=1,F168,"")</f>
        <v/>
      </c>
      <c r="Y168" s="68">
        <f>IF(V168=1,G168,0)</f>
        <v/>
      </c>
      <c r="Z168" s="68">
        <f>IF(V168=1,G168-S168,0)</f>
        <v/>
      </c>
      <c r="AA168" s="68">
        <f>IF(V168=1,S168,0)</f>
        <v/>
      </c>
    </row>
    <row r="169">
      <c r="B169" s="62" t="n"/>
      <c r="C169" s="63" t="n"/>
      <c r="D169" s="62" t="n"/>
      <c r="E169" s="62" t="n"/>
      <c r="F169" s="62" t="n"/>
      <c r="G169" s="64" t="n"/>
      <c r="H169" s="64" t="n"/>
      <c r="I169" s="63" t="n"/>
      <c r="J169" s="29">
        <f>IF(V169=1,IF(ISNUMBER(I169),I169,C169+IF(ISNUMBER(IFERROR(INDEX(cust_Terms,MATCH(D169,cust_Name,0)),"")),INDEX(cust_Terms,MATCH(D169,cust_Name,0)),TermsDays)),"")</f>
        <v/>
      </c>
      <c r="K169" s="65">
        <f>IF(V169=1,SUMIFS(tx_DrAmt,tx_Type,"Customer Payment",tx_Ref,B169&amp;"",tx_Date,"&lt;="&amp;AsOf),"")</f>
        <v/>
      </c>
      <c r="L169" s="65">
        <f>IF(V169=1,IF(C169&gt;AsOf,0,ROUND(G169-K169,2)),"")</f>
        <v/>
      </c>
      <c r="M169" s="66">
        <f>IF(V169&lt;&gt;1,"",IF(C169&gt;AsOf,"Future",IF(L169&lt;0,"Overpaid",IF(L169=0,"Paid",IF(AsOf&gt;J169,"Overdue",IF(K169&gt;0,"Partial","Unpaid"))))))</f>
        <v/>
      </c>
      <c r="N169" s="28">
        <f>IF(AND(V169=1,N(L169)&gt;0),AsOf-C169,"")</f>
        <v/>
      </c>
      <c r="O169" s="28">
        <f>IF(N169="","",MAX(0,AsOf-J169))</f>
        <v/>
      </c>
      <c r="P169" s="66">
        <f>IF(O169="","",IF(O169=0,"Current",IF(O169&lt;=30,"1-30",IF(O169&lt;=60,"31-60",IF(O169&lt;=90,"61-90","90+")))))</f>
        <v/>
      </c>
      <c r="Q169" s="66">
        <f>IF(T169&lt;&gt;"","⛔ "&amp;T169&amp;" — not posted",IF(U169&lt;&gt;"","⚠ "&amp;U169,IF(V169=1,"✓ OK","")))</f>
        <v/>
      </c>
      <c r="R169" s="67">
        <f>IF(AND(B169="",C169="",D169="",G169="",F169=""),1,0)</f>
        <v/>
      </c>
      <c r="S169" s="68">
        <f>IF(AND(TaxOn="Yes",ISNUMBER(H169)),H169,0)</f>
        <v/>
      </c>
      <c r="T169" s="67">
        <f>IF(R169=1,"",IF(B169="","Enter an invoice #",IF(C169="","Missing invoice date",IF(NOT(ISNUMBER(C169)),"Invalid date",IF(OR(C169&lt;DATE(2000,1,1),C169&gt;DATE(2099,12,31)),"Invalid date",IF(F169="","Select a revenue account",IF(ISNA(MATCH(F169,coa_Name,0)),"Unknown account: "&amp;F169,IF(NOT(ISNUMBER(G169)),"Enter an amount",IF(G169&lt;=0,"Amount must be positive",IF(S169&gt;G169,"Tax is larger than the amount",""))))))))))</f>
        <v/>
      </c>
      <c r="U169" s="67">
        <f>IF(OR(R169=1,T169&lt;&gt;""),"",IF(COUNTIF(ar_No,B169)&gt;1,"Duplicate invoice #",IF(D169="","Select a customer",IF(N(L169)&lt;0,"Overpaid by "&amp;TEXT(-L169,"#,##0.00"),IF(AND(ISNUMBER(H169),N(H169)&lt;&gt;0,S169=0),"Tax ignored (tax tracking is off)",IF(AND(ISNUMBER(StartDate),C169&lt;StartDate),"Date is before the accounting start date",IF(AND(IFERROR(INDEX(coa_Type,MATCH(F169,coa_Name,0)),"")&lt;&gt;"Revenue",IFERROR(INDEX(coa_Type,MATCH(F169,coa_Name,0)),"")&lt;&gt;"Other Income"),"Account is not a revenue account","")))))))</f>
        <v/>
      </c>
      <c r="V169" s="67">
        <f>IF(AND(R169=0,T169=""),1,0)</f>
        <v/>
      </c>
      <c r="W169" s="67">
        <f>IF(V169=1,acctAR,"")</f>
        <v/>
      </c>
      <c r="X169" s="67">
        <f>IF(V169=1,F169,"")</f>
        <v/>
      </c>
      <c r="Y169" s="68">
        <f>IF(V169=1,G169,0)</f>
        <v/>
      </c>
      <c r="Z169" s="68">
        <f>IF(V169=1,G169-S169,0)</f>
        <v/>
      </c>
      <c r="AA169" s="68">
        <f>IF(V169=1,S169,0)</f>
        <v/>
      </c>
    </row>
    <row r="170">
      <c r="B170" s="62" t="n"/>
      <c r="C170" s="63" t="n"/>
      <c r="D170" s="62" t="n"/>
      <c r="E170" s="62" t="n"/>
      <c r="F170" s="62" t="n"/>
      <c r="G170" s="64" t="n"/>
      <c r="H170" s="64" t="n"/>
      <c r="I170" s="63" t="n"/>
      <c r="J170" s="29">
        <f>IF(V170=1,IF(ISNUMBER(I170),I170,C170+IF(ISNUMBER(IFERROR(INDEX(cust_Terms,MATCH(D170,cust_Name,0)),"")),INDEX(cust_Terms,MATCH(D170,cust_Name,0)),TermsDays)),"")</f>
        <v/>
      </c>
      <c r="K170" s="65">
        <f>IF(V170=1,SUMIFS(tx_DrAmt,tx_Type,"Customer Payment",tx_Ref,B170&amp;"",tx_Date,"&lt;="&amp;AsOf),"")</f>
        <v/>
      </c>
      <c r="L170" s="65">
        <f>IF(V170=1,IF(C170&gt;AsOf,0,ROUND(G170-K170,2)),"")</f>
        <v/>
      </c>
      <c r="M170" s="66">
        <f>IF(V170&lt;&gt;1,"",IF(C170&gt;AsOf,"Future",IF(L170&lt;0,"Overpaid",IF(L170=0,"Paid",IF(AsOf&gt;J170,"Overdue",IF(K170&gt;0,"Partial","Unpaid"))))))</f>
        <v/>
      </c>
      <c r="N170" s="28">
        <f>IF(AND(V170=1,N(L170)&gt;0),AsOf-C170,"")</f>
        <v/>
      </c>
      <c r="O170" s="28">
        <f>IF(N170="","",MAX(0,AsOf-J170))</f>
        <v/>
      </c>
      <c r="P170" s="66">
        <f>IF(O170="","",IF(O170=0,"Current",IF(O170&lt;=30,"1-30",IF(O170&lt;=60,"31-60",IF(O170&lt;=90,"61-90","90+")))))</f>
        <v/>
      </c>
      <c r="Q170" s="66">
        <f>IF(T170&lt;&gt;"","⛔ "&amp;T170&amp;" — not posted",IF(U170&lt;&gt;"","⚠ "&amp;U170,IF(V170=1,"✓ OK","")))</f>
        <v/>
      </c>
      <c r="R170" s="67">
        <f>IF(AND(B170="",C170="",D170="",G170="",F170=""),1,0)</f>
        <v/>
      </c>
      <c r="S170" s="68">
        <f>IF(AND(TaxOn="Yes",ISNUMBER(H170)),H170,0)</f>
        <v/>
      </c>
      <c r="T170" s="67">
        <f>IF(R170=1,"",IF(B170="","Enter an invoice #",IF(C170="","Missing invoice date",IF(NOT(ISNUMBER(C170)),"Invalid date",IF(OR(C170&lt;DATE(2000,1,1),C170&gt;DATE(2099,12,31)),"Invalid date",IF(F170="","Select a revenue account",IF(ISNA(MATCH(F170,coa_Name,0)),"Unknown account: "&amp;F170,IF(NOT(ISNUMBER(G170)),"Enter an amount",IF(G170&lt;=0,"Amount must be positive",IF(S170&gt;G170,"Tax is larger than the amount",""))))))))))</f>
        <v/>
      </c>
      <c r="U170" s="67">
        <f>IF(OR(R170=1,T170&lt;&gt;""),"",IF(COUNTIF(ar_No,B170)&gt;1,"Duplicate invoice #",IF(D170="","Select a customer",IF(N(L170)&lt;0,"Overpaid by "&amp;TEXT(-L170,"#,##0.00"),IF(AND(ISNUMBER(H170),N(H170)&lt;&gt;0,S170=0),"Tax ignored (tax tracking is off)",IF(AND(ISNUMBER(StartDate),C170&lt;StartDate),"Date is before the accounting start date",IF(AND(IFERROR(INDEX(coa_Type,MATCH(F170,coa_Name,0)),"")&lt;&gt;"Revenue",IFERROR(INDEX(coa_Type,MATCH(F170,coa_Name,0)),"")&lt;&gt;"Other Income"),"Account is not a revenue account","")))))))</f>
        <v/>
      </c>
      <c r="V170" s="67">
        <f>IF(AND(R170=0,T170=""),1,0)</f>
        <v/>
      </c>
      <c r="W170" s="67">
        <f>IF(V170=1,acctAR,"")</f>
        <v/>
      </c>
      <c r="X170" s="67">
        <f>IF(V170=1,F170,"")</f>
        <v/>
      </c>
      <c r="Y170" s="68">
        <f>IF(V170=1,G170,0)</f>
        <v/>
      </c>
      <c r="Z170" s="68">
        <f>IF(V170=1,G170-S170,0)</f>
        <v/>
      </c>
      <c r="AA170" s="68">
        <f>IF(V170=1,S170,0)</f>
        <v/>
      </c>
    </row>
    <row r="171">
      <c r="B171" s="62" t="n"/>
      <c r="C171" s="63" t="n"/>
      <c r="D171" s="62" t="n"/>
      <c r="E171" s="62" t="n"/>
      <c r="F171" s="62" t="n"/>
      <c r="G171" s="64" t="n"/>
      <c r="H171" s="64" t="n"/>
      <c r="I171" s="63" t="n"/>
      <c r="J171" s="29">
        <f>IF(V171=1,IF(ISNUMBER(I171),I171,C171+IF(ISNUMBER(IFERROR(INDEX(cust_Terms,MATCH(D171,cust_Name,0)),"")),INDEX(cust_Terms,MATCH(D171,cust_Name,0)),TermsDays)),"")</f>
        <v/>
      </c>
      <c r="K171" s="65">
        <f>IF(V171=1,SUMIFS(tx_DrAmt,tx_Type,"Customer Payment",tx_Ref,B171&amp;"",tx_Date,"&lt;="&amp;AsOf),"")</f>
        <v/>
      </c>
      <c r="L171" s="65">
        <f>IF(V171=1,IF(C171&gt;AsOf,0,ROUND(G171-K171,2)),"")</f>
        <v/>
      </c>
      <c r="M171" s="66">
        <f>IF(V171&lt;&gt;1,"",IF(C171&gt;AsOf,"Future",IF(L171&lt;0,"Overpaid",IF(L171=0,"Paid",IF(AsOf&gt;J171,"Overdue",IF(K171&gt;0,"Partial","Unpaid"))))))</f>
        <v/>
      </c>
      <c r="N171" s="28">
        <f>IF(AND(V171=1,N(L171)&gt;0),AsOf-C171,"")</f>
        <v/>
      </c>
      <c r="O171" s="28">
        <f>IF(N171="","",MAX(0,AsOf-J171))</f>
        <v/>
      </c>
      <c r="P171" s="66">
        <f>IF(O171="","",IF(O171=0,"Current",IF(O171&lt;=30,"1-30",IF(O171&lt;=60,"31-60",IF(O171&lt;=90,"61-90","90+")))))</f>
        <v/>
      </c>
      <c r="Q171" s="66">
        <f>IF(T171&lt;&gt;"","⛔ "&amp;T171&amp;" — not posted",IF(U171&lt;&gt;"","⚠ "&amp;U171,IF(V171=1,"✓ OK","")))</f>
        <v/>
      </c>
      <c r="R171" s="67">
        <f>IF(AND(B171="",C171="",D171="",G171="",F171=""),1,0)</f>
        <v/>
      </c>
      <c r="S171" s="68">
        <f>IF(AND(TaxOn="Yes",ISNUMBER(H171)),H171,0)</f>
        <v/>
      </c>
      <c r="T171" s="67">
        <f>IF(R171=1,"",IF(B171="","Enter an invoice #",IF(C171="","Missing invoice date",IF(NOT(ISNUMBER(C171)),"Invalid date",IF(OR(C171&lt;DATE(2000,1,1),C171&gt;DATE(2099,12,31)),"Invalid date",IF(F171="","Select a revenue account",IF(ISNA(MATCH(F171,coa_Name,0)),"Unknown account: "&amp;F171,IF(NOT(ISNUMBER(G171)),"Enter an amount",IF(G171&lt;=0,"Amount must be positive",IF(S171&gt;G171,"Tax is larger than the amount",""))))))))))</f>
        <v/>
      </c>
      <c r="U171" s="67">
        <f>IF(OR(R171=1,T171&lt;&gt;""),"",IF(COUNTIF(ar_No,B171)&gt;1,"Duplicate invoice #",IF(D171="","Select a customer",IF(N(L171)&lt;0,"Overpaid by "&amp;TEXT(-L171,"#,##0.00"),IF(AND(ISNUMBER(H171),N(H171)&lt;&gt;0,S171=0),"Tax ignored (tax tracking is off)",IF(AND(ISNUMBER(StartDate),C171&lt;StartDate),"Date is before the accounting start date",IF(AND(IFERROR(INDEX(coa_Type,MATCH(F171,coa_Name,0)),"")&lt;&gt;"Revenue",IFERROR(INDEX(coa_Type,MATCH(F171,coa_Name,0)),"")&lt;&gt;"Other Income"),"Account is not a revenue account","")))))))</f>
        <v/>
      </c>
      <c r="V171" s="67">
        <f>IF(AND(R171=0,T171=""),1,0)</f>
        <v/>
      </c>
      <c r="W171" s="67">
        <f>IF(V171=1,acctAR,"")</f>
        <v/>
      </c>
      <c r="X171" s="67">
        <f>IF(V171=1,F171,"")</f>
        <v/>
      </c>
      <c r="Y171" s="68">
        <f>IF(V171=1,G171,0)</f>
        <v/>
      </c>
      <c r="Z171" s="68">
        <f>IF(V171=1,G171-S171,0)</f>
        <v/>
      </c>
      <c r="AA171" s="68">
        <f>IF(V171=1,S171,0)</f>
        <v/>
      </c>
    </row>
    <row r="172">
      <c r="B172" s="62" t="n"/>
      <c r="C172" s="63" t="n"/>
      <c r="D172" s="62" t="n"/>
      <c r="E172" s="62" t="n"/>
      <c r="F172" s="62" t="n"/>
      <c r="G172" s="64" t="n"/>
      <c r="H172" s="64" t="n"/>
      <c r="I172" s="63" t="n"/>
      <c r="J172" s="29">
        <f>IF(V172=1,IF(ISNUMBER(I172),I172,C172+IF(ISNUMBER(IFERROR(INDEX(cust_Terms,MATCH(D172,cust_Name,0)),"")),INDEX(cust_Terms,MATCH(D172,cust_Name,0)),TermsDays)),"")</f>
        <v/>
      </c>
      <c r="K172" s="65">
        <f>IF(V172=1,SUMIFS(tx_DrAmt,tx_Type,"Customer Payment",tx_Ref,B172&amp;"",tx_Date,"&lt;="&amp;AsOf),"")</f>
        <v/>
      </c>
      <c r="L172" s="65">
        <f>IF(V172=1,IF(C172&gt;AsOf,0,ROUND(G172-K172,2)),"")</f>
        <v/>
      </c>
      <c r="M172" s="66">
        <f>IF(V172&lt;&gt;1,"",IF(C172&gt;AsOf,"Future",IF(L172&lt;0,"Overpaid",IF(L172=0,"Paid",IF(AsOf&gt;J172,"Overdue",IF(K172&gt;0,"Partial","Unpaid"))))))</f>
        <v/>
      </c>
      <c r="N172" s="28">
        <f>IF(AND(V172=1,N(L172)&gt;0),AsOf-C172,"")</f>
        <v/>
      </c>
      <c r="O172" s="28">
        <f>IF(N172="","",MAX(0,AsOf-J172))</f>
        <v/>
      </c>
      <c r="P172" s="66">
        <f>IF(O172="","",IF(O172=0,"Current",IF(O172&lt;=30,"1-30",IF(O172&lt;=60,"31-60",IF(O172&lt;=90,"61-90","90+")))))</f>
        <v/>
      </c>
      <c r="Q172" s="66">
        <f>IF(T172&lt;&gt;"","⛔ "&amp;T172&amp;" — not posted",IF(U172&lt;&gt;"","⚠ "&amp;U172,IF(V172=1,"✓ OK","")))</f>
        <v/>
      </c>
      <c r="R172" s="67">
        <f>IF(AND(B172="",C172="",D172="",G172="",F172=""),1,0)</f>
        <v/>
      </c>
      <c r="S172" s="68">
        <f>IF(AND(TaxOn="Yes",ISNUMBER(H172)),H172,0)</f>
        <v/>
      </c>
      <c r="T172" s="67">
        <f>IF(R172=1,"",IF(B172="","Enter an invoice #",IF(C172="","Missing invoice date",IF(NOT(ISNUMBER(C172)),"Invalid date",IF(OR(C172&lt;DATE(2000,1,1),C172&gt;DATE(2099,12,31)),"Invalid date",IF(F172="","Select a revenue account",IF(ISNA(MATCH(F172,coa_Name,0)),"Unknown account: "&amp;F172,IF(NOT(ISNUMBER(G172)),"Enter an amount",IF(G172&lt;=0,"Amount must be positive",IF(S172&gt;G172,"Tax is larger than the amount",""))))))))))</f>
        <v/>
      </c>
      <c r="U172" s="67">
        <f>IF(OR(R172=1,T172&lt;&gt;""),"",IF(COUNTIF(ar_No,B172)&gt;1,"Duplicate invoice #",IF(D172="","Select a customer",IF(N(L172)&lt;0,"Overpaid by "&amp;TEXT(-L172,"#,##0.00"),IF(AND(ISNUMBER(H172),N(H172)&lt;&gt;0,S172=0),"Tax ignored (tax tracking is off)",IF(AND(ISNUMBER(StartDate),C172&lt;StartDate),"Date is before the accounting start date",IF(AND(IFERROR(INDEX(coa_Type,MATCH(F172,coa_Name,0)),"")&lt;&gt;"Revenue",IFERROR(INDEX(coa_Type,MATCH(F172,coa_Name,0)),"")&lt;&gt;"Other Income"),"Account is not a revenue account","")))))))</f>
        <v/>
      </c>
      <c r="V172" s="67">
        <f>IF(AND(R172=0,T172=""),1,0)</f>
        <v/>
      </c>
      <c r="W172" s="67">
        <f>IF(V172=1,acctAR,"")</f>
        <v/>
      </c>
      <c r="X172" s="67">
        <f>IF(V172=1,F172,"")</f>
        <v/>
      </c>
      <c r="Y172" s="68">
        <f>IF(V172=1,G172,0)</f>
        <v/>
      </c>
      <c r="Z172" s="68">
        <f>IF(V172=1,G172-S172,0)</f>
        <v/>
      </c>
      <c r="AA172" s="68">
        <f>IF(V172=1,S172,0)</f>
        <v/>
      </c>
    </row>
    <row r="173">
      <c r="B173" s="62" t="n"/>
      <c r="C173" s="63" t="n"/>
      <c r="D173" s="62" t="n"/>
      <c r="E173" s="62" t="n"/>
      <c r="F173" s="62" t="n"/>
      <c r="G173" s="64" t="n"/>
      <c r="H173" s="64" t="n"/>
      <c r="I173" s="63" t="n"/>
      <c r="J173" s="29">
        <f>IF(V173=1,IF(ISNUMBER(I173),I173,C173+IF(ISNUMBER(IFERROR(INDEX(cust_Terms,MATCH(D173,cust_Name,0)),"")),INDEX(cust_Terms,MATCH(D173,cust_Name,0)),TermsDays)),"")</f>
        <v/>
      </c>
      <c r="K173" s="65">
        <f>IF(V173=1,SUMIFS(tx_DrAmt,tx_Type,"Customer Payment",tx_Ref,B173&amp;"",tx_Date,"&lt;="&amp;AsOf),"")</f>
        <v/>
      </c>
      <c r="L173" s="65">
        <f>IF(V173=1,IF(C173&gt;AsOf,0,ROUND(G173-K173,2)),"")</f>
        <v/>
      </c>
      <c r="M173" s="66">
        <f>IF(V173&lt;&gt;1,"",IF(C173&gt;AsOf,"Future",IF(L173&lt;0,"Overpaid",IF(L173=0,"Paid",IF(AsOf&gt;J173,"Overdue",IF(K173&gt;0,"Partial","Unpaid"))))))</f>
        <v/>
      </c>
      <c r="N173" s="28">
        <f>IF(AND(V173=1,N(L173)&gt;0),AsOf-C173,"")</f>
        <v/>
      </c>
      <c r="O173" s="28">
        <f>IF(N173="","",MAX(0,AsOf-J173))</f>
        <v/>
      </c>
      <c r="P173" s="66">
        <f>IF(O173="","",IF(O173=0,"Current",IF(O173&lt;=30,"1-30",IF(O173&lt;=60,"31-60",IF(O173&lt;=90,"61-90","90+")))))</f>
        <v/>
      </c>
      <c r="Q173" s="66">
        <f>IF(T173&lt;&gt;"","⛔ "&amp;T173&amp;" — not posted",IF(U173&lt;&gt;"","⚠ "&amp;U173,IF(V173=1,"✓ OK","")))</f>
        <v/>
      </c>
      <c r="R173" s="67">
        <f>IF(AND(B173="",C173="",D173="",G173="",F173=""),1,0)</f>
        <v/>
      </c>
      <c r="S173" s="68">
        <f>IF(AND(TaxOn="Yes",ISNUMBER(H173)),H173,0)</f>
        <v/>
      </c>
      <c r="T173" s="67">
        <f>IF(R173=1,"",IF(B173="","Enter an invoice #",IF(C173="","Missing invoice date",IF(NOT(ISNUMBER(C173)),"Invalid date",IF(OR(C173&lt;DATE(2000,1,1),C173&gt;DATE(2099,12,31)),"Invalid date",IF(F173="","Select a revenue account",IF(ISNA(MATCH(F173,coa_Name,0)),"Unknown account: "&amp;F173,IF(NOT(ISNUMBER(G173)),"Enter an amount",IF(G173&lt;=0,"Amount must be positive",IF(S173&gt;G173,"Tax is larger than the amount",""))))))))))</f>
        <v/>
      </c>
      <c r="U173" s="67">
        <f>IF(OR(R173=1,T173&lt;&gt;""),"",IF(COUNTIF(ar_No,B173)&gt;1,"Duplicate invoice #",IF(D173="","Select a customer",IF(N(L173)&lt;0,"Overpaid by "&amp;TEXT(-L173,"#,##0.00"),IF(AND(ISNUMBER(H173),N(H173)&lt;&gt;0,S173=0),"Tax ignored (tax tracking is off)",IF(AND(ISNUMBER(StartDate),C173&lt;StartDate),"Date is before the accounting start date",IF(AND(IFERROR(INDEX(coa_Type,MATCH(F173,coa_Name,0)),"")&lt;&gt;"Revenue",IFERROR(INDEX(coa_Type,MATCH(F173,coa_Name,0)),"")&lt;&gt;"Other Income"),"Account is not a revenue account","")))))))</f>
        <v/>
      </c>
      <c r="V173" s="67">
        <f>IF(AND(R173=0,T173=""),1,0)</f>
        <v/>
      </c>
      <c r="W173" s="67">
        <f>IF(V173=1,acctAR,"")</f>
        <v/>
      </c>
      <c r="X173" s="67">
        <f>IF(V173=1,F173,"")</f>
        <v/>
      </c>
      <c r="Y173" s="68">
        <f>IF(V173=1,G173,0)</f>
        <v/>
      </c>
      <c r="Z173" s="68">
        <f>IF(V173=1,G173-S173,0)</f>
        <v/>
      </c>
      <c r="AA173" s="68">
        <f>IF(V173=1,S173,0)</f>
        <v/>
      </c>
    </row>
    <row r="174">
      <c r="B174" s="62" t="n"/>
      <c r="C174" s="63" t="n"/>
      <c r="D174" s="62" t="n"/>
      <c r="E174" s="62" t="n"/>
      <c r="F174" s="62" t="n"/>
      <c r="G174" s="64" t="n"/>
      <c r="H174" s="64" t="n"/>
      <c r="I174" s="63" t="n"/>
      <c r="J174" s="29">
        <f>IF(V174=1,IF(ISNUMBER(I174),I174,C174+IF(ISNUMBER(IFERROR(INDEX(cust_Terms,MATCH(D174,cust_Name,0)),"")),INDEX(cust_Terms,MATCH(D174,cust_Name,0)),TermsDays)),"")</f>
        <v/>
      </c>
      <c r="K174" s="65">
        <f>IF(V174=1,SUMIFS(tx_DrAmt,tx_Type,"Customer Payment",tx_Ref,B174&amp;"",tx_Date,"&lt;="&amp;AsOf),"")</f>
        <v/>
      </c>
      <c r="L174" s="65">
        <f>IF(V174=1,IF(C174&gt;AsOf,0,ROUND(G174-K174,2)),"")</f>
        <v/>
      </c>
      <c r="M174" s="66">
        <f>IF(V174&lt;&gt;1,"",IF(C174&gt;AsOf,"Future",IF(L174&lt;0,"Overpaid",IF(L174=0,"Paid",IF(AsOf&gt;J174,"Overdue",IF(K174&gt;0,"Partial","Unpaid"))))))</f>
        <v/>
      </c>
      <c r="N174" s="28">
        <f>IF(AND(V174=1,N(L174)&gt;0),AsOf-C174,"")</f>
        <v/>
      </c>
      <c r="O174" s="28">
        <f>IF(N174="","",MAX(0,AsOf-J174))</f>
        <v/>
      </c>
      <c r="P174" s="66">
        <f>IF(O174="","",IF(O174=0,"Current",IF(O174&lt;=30,"1-30",IF(O174&lt;=60,"31-60",IF(O174&lt;=90,"61-90","90+")))))</f>
        <v/>
      </c>
      <c r="Q174" s="66">
        <f>IF(T174&lt;&gt;"","⛔ "&amp;T174&amp;" — not posted",IF(U174&lt;&gt;"","⚠ "&amp;U174,IF(V174=1,"✓ OK","")))</f>
        <v/>
      </c>
      <c r="R174" s="67">
        <f>IF(AND(B174="",C174="",D174="",G174="",F174=""),1,0)</f>
        <v/>
      </c>
      <c r="S174" s="68">
        <f>IF(AND(TaxOn="Yes",ISNUMBER(H174)),H174,0)</f>
        <v/>
      </c>
      <c r="T174" s="67">
        <f>IF(R174=1,"",IF(B174="","Enter an invoice #",IF(C174="","Missing invoice date",IF(NOT(ISNUMBER(C174)),"Invalid date",IF(OR(C174&lt;DATE(2000,1,1),C174&gt;DATE(2099,12,31)),"Invalid date",IF(F174="","Select a revenue account",IF(ISNA(MATCH(F174,coa_Name,0)),"Unknown account: "&amp;F174,IF(NOT(ISNUMBER(G174)),"Enter an amount",IF(G174&lt;=0,"Amount must be positive",IF(S174&gt;G174,"Tax is larger than the amount",""))))))))))</f>
        <v/>
      </c>
      <c r="U174" s="67">
        <f>IF(OR(R174=1,T174&lt;&gt;""),"",IF(COUNTIF(ar_No,B174)&gt;1,"Duplicate invoice #",IF(D174="","Select a customer",IF(N(L174)&lt;0,"Overpaid by "&amp;TEXT(-L174,"#,##0.00"),IF(AND(ISNUMBER(H174),N(H174)&lt;&gt;0,S174=0),"Tax ignored (tax tracking is off)",IF(AND(ISNUMBER(StartDate),C174&lt;StartDate),"Date is before the accounting start date",IF(AND(IFERROR(INDEX(coa_Type,MATCH(F174,coa_Name,0)),"")&lt;&gt;"Revenue",IFERROR(INDEX(coa_Type,MATCH(F174,coa_Name,0)),"")&lt;&gt;"Other Income"),"Account is not a revenue account","")))))))</f>
        <v/>
      </c>
      <c r="V174" s="67">
        <f>IF(AND(R174=0,T174=""),1,0)</f>
        <v/>
      </c>
      <c r="W174" s="67">
        <f>IF(V174=1,acctAR,"")</f>
        <v/>
      </c>
      <c r="X174" s="67">
        <f>IF(V174=1,F174,"")</f>
        <v/>
      </c>
      <c r="Y174" s="68">
        <f>IF(V174=1,G174,0)</f>
        <v/>
      </c>
      <c r="Z174" s="68">
        <f>IF(V174=1,G174-S174,0)</f>
        <v/>
      </c>
      <c r="AA174" s="68">
        <f>IF(V174=1,S174,0)</f>
        <v/>
      </c>
    </row>
    <row r="175">
      <c r="B175" s="62" t="n"/>
      <c r="C175" s="63" t="n"/>
      <c r="D175" s="62" t="n"/>
      <c r="E175" s="62" t="n"/>
      <c r="F175" s="62" t="n"/>
      <c r="G175" s="64" t="n"/>
      <c r="H175" s="64" t="n"/>
      <c r="I175" s="63" t="n"/>
      <c r="J175" s="29">
        <f>IF(V175=1,IF(ISNUMBER(I175),I175,C175+IF(ISNUMBER(IFERROR(INDEX(cust_Terms,MATCH(D175,cust_Name,0)),"")),INDEX(cust_Terms,MATCH(D175,cust_Name,0)),TermsDays)),"")</f>
        <v/>
      </c>
      <c r="K175" s="65">
        <f>IF(V175=1,SUMIFS(tx_DrAmt,tx_Type,"Customer Payment",tx_Ref,B175&amp;"",tx_Date,"&lt;="&amp;AsOf),"")</f>
        <v/>
      </c>
      <c r="L175" s="65">
        <f>IF(V175=1,IF(C175&gt;AsOf,0,ROUND(G175-K175,2)),"")</f>
        <v/>
      </c>
      <c r="M175" s="66">
        <f>IF(V175&lt;&gt;1,"",IF(C175&gt;AsOf,"Future",IF(L175&lt;0,"Overpaid",IF(L175=0,"Paid",IF(AsOf&gt;J175,"Overdue",IF(K175&gt;0,"Partial","Unpaid"))))))</f>
        <v/>
      </c>
      <c r="N175" s="28">
        <f>IF(AND(V175=1,N(L175)&gt;0),AsOf-C175,"")</f>
        <v/>
      </c>
      <c r="O175" s="28">
        <f>IF(N175="","",MAX(0,AsOf-J175))</f>
        <v/>
      </c>
      <c r="P175" s="66">
        <f>IF(O175="","",IF(O175=0,"Current",IF(O175&lt;=30,"1-30",IF(O175&lt;=60,"31-60",IF(O175&lt;=90,"61-90","90+")))))</f>
        <v/>
      </c>
      <c r="Q175" s="66">
        <f>IF(T175&lt;&gt;"","⛔ "&amp;T175&amp;" — not posted",IF(U175&lt;&gt;"","⚠ "&amp;U175,IF(V175=1,"✓ OK","")))</f>
        <v/>
      </c>
      <c r="R175" s="67">
        <f>IF(AND(B175="",C175="",D175="",G175="",F175=""),1,0)</f>
        <v/>
      </c>
      <c r="S175" s="68">
        <f>IF(AND(TaxOn="Yes",ISNUMBER(H175)),H175,0)</f>
        <v/>
      </c>
      <c r="T175" s="67">
        <f>IF(R175=1,"",IF(B175="","Enter an invoice #",IF(C175="","Missing invoice date",IF(NOT(ISNUMBER(C175)),"Invalid date",IF(OR(C175&lt;DATE(2000,1,1),C175&gt;DATE(2099,12,31)),"Invalid date",IF(F175="","Select a revenue account",IF(ISNA(MATCH(F175,coa_Name,0)),"Unknown account: "&amp;F175,IF(NOT(ISNUMBER(G175)),"Enter an amount",IF(G175&lt;=0,"Amount must be positive",IF(S175&gt;G175,"Tax is larger than the amount",""))))))))))</f>
        <v/>
      </c>
      <c r="U175" s="67">
        <f>IF(OR(R175=1,T175&lt;&gt;""),"",IF(COUNTIF(ar_No,B175)&gt;1,"Duplicate invoice #",IF(D175="","Select a customer",IF(N(L175)&lt;0,"Overpaid by "&amp;TEXT(-L175,"#,##0.00"),IF(AND(ISNUMBER(H175),N(H175)&lt;&gt;0,S175=0),"Tax ignored (tax tracking is off)",IF(AND(ISNUMBER(StartDate),C175&lt;StartDate),"Date is before the accounting start date",IF(AND(IFERROR(INDEX(coa_Type,MATCH(F175,coa_Name,0)),"")&lt;&gt;"Revenue",IFERROR(INDEX(coa_Type,MATCH(F175,coa_Name,0)),"")&lt;&gt;"Other Income"),"Account is not a revenue account","")))))))</f>
        <v/>
      </c>
      <c r="V175" s="67">
        <f>IF(AND(R175=0,T175=""),1,0)</f>
        <v/>
      </c>
      <c r="W175" s="67">
        <f>IF(V175=1,acctAR,"")</f>
        <v/>
      </c>
      <c r="X175" s="67">
        <f>IF(V175=1,F175,"")</f>
        <v/>
      </c>
      <c r="Y175" s="68">
        <f>IF(V175=1,G175,0)</f>
        <v/>
      </c>
      <c r="Z175" s="68">
        <f>IF(V175=1,G175-S175,0)</f>
        <v/>
      </c>
      <c r="AA175" s="68">
        <f>IF(V175=1,S175,0)</f>
        <v/>
      </c>
    </row>
    <row r="176">
      <c r="B176" s="62" t="n"/>
      <c r="C176" s="63" t="n"/>
      <c r="D176" s="62" t="n"/>
      <c r="E176" s="62" t="n"/>
      <c r="F176" s="62" t="n"/>
      <c r="G176" s="64" t="n"/>
      <c r="H176" s="64" t="n"/>
      <c r="I176" s="63" t="n"/>
      <c r="J176" s="29">
        <f>IF(V176=1,IF(ISNUMBER(I176),I176,C176+IF(ISNUMBER(IFERROR(INDEX(cust_Terms,MATCH(D176,cust_Name,0)),"")),INDEX(cust_Terms,MATCH(D176,cust_Name,0)),TermsDays)),"")</f>
        <v/>
      </c>
      <c r="K176" s="65">
        <f>IF(V176=1,SUMIFS(tx_DrAmt,tx_Type,"Customer Payment",tx_Ref,B176&amp;"",tx_Date,"&lt;="&amp;AsOf),"")</f>
        <v/>
      </c>
      <c r="L176" s="65">
        <f>IF(V176=1,IF(C176&gt;AsOf,0,ROUND(G176-K176,2)),"")</f>
        <v/>
      </c>
      <c r="M176" s="66">
        <f>IF(V176&lt;&gt;1,"",IF(C176&gt;AsOf,"Future",IF(L176&lt;0,"Overpaid",IF(L176=0,"Paid",IF(AsOf&gt;J176,"Overdue",IF(K176&gt;0,"Partial","Unpaid"))))))</f>
        <v/>
      </c>
      <c r="N176" s="28">
        <f>IF(AND(V176=1,N(L176)&gt;0),AsOf-C176,"")</f>
        <v/>
      </c>
      <c r="O176" s="28">
        <f>IF(N176="","",MAX(0,AsOf-J176))</f>
        <v/>
      </c>
      <c r="P176" s="66">
        <f>IF(O176="","",IF(O176=0,"Current",IF(O176&lt;=30,"1-30",IF(O176&lt;=60,"31-60",IF(O176&lt;=90,"61-90","90+")))))</f>
        <v/>
      </c>
      <c r="Q176" s="66">
        <f>IF(T176&lt;&gt;"","⛔ "&amp;T176&amp;" — not posted",IF(U176&lt;&gt;"","⚠ "&amp;U176,IF(V176=1,"✓ OK","")))</f>
        <v/>
      </c>
      <c r="R176" s="67">
        <f>IF(AND(B176="",C176="",D176="",G176="",F176=""),1,0)</f>
        <v/>
      </c>
      <c r="S176" s="68">
        <f>IF(AND(TaxOn="Yes",ISNUMBER(H176)),H176,0)</f>
        <v/>
      </c>
      <c r="T176" s="67">
        <f>IF(R176=1,"",IF(B176="","Enter an invoice #",IF(C176="","Missing invoice date",IF(NOT(ISNUMBER(C176)),"Invalid date",IF(OR(C176&lt;DATE(2000,1,1),C176&gt;DATE(2099,12,31)),"Invalid date",IF(F176="","Select a revenue account",IF(ISNA(MATCH(F176,coa_Name,0)),"Unknown account: "&amp;F176,IF(NOT(ISNUMBER(G176)),"Enter an amount",IF(G176&lt;=0,"Amount must be positive",IF(S176&gt;G176,"Tax is larger than the amount",""))))))))))</f>
        <v/>
      </c>
      <c r="U176" s="67">
        <f>IF(OR(R176=1,T176&lt;&gt;""),"",IF(COUNTIF(ar_No,B176)&gt;1,"Duplicate invoice #",IF(D176="","Select a customer",IF(N(L176)&lt;0,"Overpaid by "&amp;TEXT(-L176,"#,##0.00"),IF(AND(ISNUMBER(H176),N(H176)&lt;&gt;0,S176=0),"Tax ignored (tax tracking is off)",IF(AND(ISNUMBER(StartDate),C176&lt;StartDate),"Date is before the accounting start date",IF(AND(IFERROR(INDEX(coa_Type,MATCH(F176,coa_Name,0)),"")&lt;&gt;"Revenue",IFERROR(INDEX(coa_Type,MATCH(F176,coa_Name,0)),"")&lt;&gt;"Other Income"),"Account is not a revenue account","")))))))</f>
        <v/>
      </c>
      <c r="V176" s="67">
        <f>IF(AND(R176=0,T176=""),1,0)</f>
        <v/>
      </c>
      <c r="W176" s="67">
        <f>IF(V176=1,acctAR,"")</f>
        <v/>
      </c>
      <c r="X176" s="67">
        <f>IF(V176=1,F176,"")</f>
        <v/>
      </c>
      <c r="Y176" s="68">
        <f>IF(V176=1,G176,0)</f>
        <v/>
      </c>
      <c r="Z176" s="68">
        <f>IF(V176=1,G176-S176,0)</f>
        <v/>
      </c>
      <c r="AA176" s="68">
        <f>IF(V176=1,S176,0)</f>
        <v/>
      </c>
    </row>
    <row r="177">
      <c r="B177" s="62" t="n"/>
      <c r="C177" s="63" t="n"/>
      <c r="D177" s="62" t="n"/>
      <c r="E177" s="62" t="n"/>
      <c r="F177" s="62" t="n"/>
      <c r="G177" s="64" t="n"/>
      <c r="H177" s="64" t="n"/>
      <c r="I177" s="63" t="n"/>
      <c r="J177" s="29">
        <f>IF(V177=1,IF(ISNUMBER(I177),I177,C177+IF(ISNUMBER(IFERROR(INDEX(cust_Terms,MATCH(D177,cust_Name,0)),"")),INDEX(cust_Terms,MATCH(D177,cust_Name,0)),TermsDays)),"")</f>
        <v/>
      </c>
      <c r="K177" s="65">
        <f>IF(V177=1,SUMIFS(tx_DrAmt,tx_Type,"Customer Payment",tx_Ref,B177&amp;"",tx_Date,"&lt;="&amp;AsOf),"")</f>
        <v/>
      </c>
      <c r="L177" s="65">
        <f>IF(V177=1,IF(C177&gt;AsOf,0,ROUND(G177-K177,2)),"")</f>
        <v/>
      </c>
      <c r="M177" s="66">
        <f>IF(V177&lt;&gt;1,"",IF(C177&gt;AsOf,"Future",IF(L177&lt;0,"Overpaid",IF(L177=0,"Paid",IF(AsOf&gt;J177,"Overdue",IF(K177&gt;0,"Partial","Unpaid"))))))</f>
        <v/>
      </c>
      <c r="N177" s="28">
        <f>IF(AND(V177=1,N(L177)&gt;0),AsOf-C177,"")</f>
        <v/>
      </c>
      <c r="O177" s="28">
        <f>IF(N177="","",MAX(0,AsOf-J177))</f>
        <v/>
      </c>
      <c r="P177" s="66">
        <f>IF(O177="","",IF(O177=0,"Current",IF(O177&lt;=30,"1-30",IF(O177&lt;=60,"31-60",IF(O177&lt;=90,"61-90","90+")))))</f>
        <v/>
      </c>
      <c r="Q177" s="66">
        <f>IF(T177&lt;&gt;"","⛔ "&amp;T177&amp;" — not posted",IF(U177&lt;&gt;"","⚠ "&amp;U177,IF(V177=1,"✓ OK","")))</f>
        <v/>
      </c>
      <c r="R177" s="67">
        <f>IF(AND(B177="",C177="",D177="",G177="",F177=""),1,0)</f>
        <v/>
      </c>
      <c r="S177" s="68">
        <f>IF(AND(TaxOn="Yes",ISNUMBER(H177)),H177,0)</f>
        <v/>
      </c>
      <c r="T177" s="67">
        <f>IF(R177=1,"",IF(B177="","Enter an invoice #",IF(C177="","Missing invoice date",IF(NOT(ISNUMBER(C177)),"Invalid date",IF(OR(C177&lt;DATE(2000,1,1),C177&gt;DATE(2099,12,31)),"Invalid date",IF(F177="","Select a revenue account",IF(ISNA(MATCH(F177,coa_Name,0)),"Unknown account: "&amp;F177,IF(NOT(ISNUMBER(G177)),"Enter an amount",IF(G177&lt;=0,"Amount must be positive",IF(S177&gt;G177,"Tax is larger than the amount",""))))))))))</f>
        <v/>
      </c>
      <c r="U177" s="67">
        <f>IF(OR(R177=1,T177&lt;&gt;""),"",IF(COUNTIF(ar_No,B177)&gt;1,"Duplicate invoice #",IF(D177="","Select a customer",IF(N(L177)&lt;0,"Overpaid by "&amp;TEXT(-L177,"#,##0.00"),IF(AND(ISNUMBER(H177),N(H177)&lt;&gt;0,S177=0),"Tax ignored (tax tracking is off)",IF(AND(ISNUMBER(StartDate),C177&lt;StartDate),"Date is before the accounting start date",IF(AND(IFERROR(INDEX(coa_Type,MATCH(F177,coa_Name,0)),"")&lt;&gt;"Revenue",IFERROR(INDEX(coa_Type,MATCH(F177,coa_Name,0)),"")&lt;&gt;"Other Income"),"Account is not a revenue account","")))))))</f>
        <v/>
      </c>
      <c r="V177" s="67">
        <f>IF(AND(R177=0,T177=""),1,0)</f>
        <v/>
      </c>
      <c r="W177" s="67">
        <f>IF(V177=1,acctAR,"")</f>
        <v/>
      </c>
      <c r="X177" s="67">
        <f>IF(V177=1,F177,"")</f>
        <v/>
      </c>
      <c r="Y177" s="68">
        <f>IF(V177=1,G177,0)</f>
        <v/>
      </c>
      <c r="Z177" s="68">
        <f>IF(V177=1,G177-S177,0)</f>
        <v/>
      </c>
      <c r="AA177" s="68">
        <f>IF(V177=1,S177,0)</f>
        <v/>
      </c>
    </row>
    <row r="178">
      <c r="B178" s="62" t="n"/>
      <c r="C178" s="63" t="n"/>
      <c r="D178" s="62" t="n"/>
      <c r="E178" s="62" t="n"/>
      <c r="F178" s="62" t="n"/>
      <c r="G178" s="64" t="n"/>
      <c r="H178" s="64" t="n"/>
      <c r="I178" s="63" t="n"/>
      <c r="J178" s="29">
        <f>IF(V178=1,IF(ISNUMBER(I178),I178,C178+IF(ISNUMBER(IFERROR(INDEX(cust_Terms,MATCH(D178,cust_Name,0)),"")),INDEX(cust_Terms,MATCH(D178,cust_Name,0)),TermsDays)),"")</f>
        <v/>
      </c>
      <c r="K178" s="65">
        <f>IF(V178=1,SUMIFS(tx_DrAmt,tx_Type,"Customer Payment",tx_Ref,B178&amp;"",tx_Date,"&lt;="&amp;AsOf),"")</f>
        <v/>
      </c>
      <c r="L178" s="65">
        <f>IF(V178=1,IF(C178&gt;AsOf,0,ROUND(G178-K178,2)),"")</f>
        <v/>
      </c>
      <c r="M178" s="66">
        <f>IF(V178&lt;&gt;1,"",IF(C178&gt;AsOf,"Future",IF(L178&lt;0,"Overpaid",IF(L178=0,"Paid",IF(AsOf&gt;J178,"Overdue",IF(K178&gt;0,"Partial","Unpaid"))))))</f>
        <v/>
      </c>
      <c r="N178" s="28">
        <f>IF(AND(V178=1,N(L178)&gt;0),AsOf-C178,"")</f>
        <v/>
      </c>
      <c r="O178" s="28">
        <f>IF(N178="","",MAX(0,AsOf-J178))</f>
        <v/>
      </c>
      <c r="P178" s="66">
        <f>IF(O178="","",IF(O178=0,"Current",IF(O178&lt;=30,"1-30",IF(O178&lt;=60,"31-60",IF(O178&lt;=90,"61-90","90+")))))</f>
        <v/>
      </c>
      <c r="Q178" s="66">
        <f>IF(T178&lt;&gt;"","⛔ "&amp;T178&amp;" — not posted",IF(U178&lt;&gt;"","⚠ "&amp;U178,IF(V178=1,"✓ OK","")))</f>
        <v/>
      </c>
      <c r="R178" s="67">
        <f>IF(AND(B178="",C178="",D178="",G178="",F178=""),1,0)</f>
        <v/>
      </c>
      <c r="S178" s="68">
        <f>IF(AND(TaxOn="Yes",ISNUMBER(H178)),H178,0)</f>
        <v/>
      </c>
      <c r="T178" s="67">
        <f>IF(R178=1,"",IF(B178="","Enter an invoice #",IF(C178="","Missing invoice date",IF(NOT(ISNUMBER(C178)),"Invalid date",IF(OR(C178&lt;DATE(2000,1,1),C178&gt;DATE(2099,12,31)),"Invalid date",IF(F178="","Select a revenue account",IF(ISNA(MATCH(F178,coa_Name,0)),"Unknown account: "&amp;F178,IF(NOT(ISNUMBER(G178)),"Enter an amount",IF(G178&lt;=0,"Amount must be positive",IF(S178&gt;G178,"Tax is larger than the amount",""))))))))))</f>
        <v/>
      </c>
      <c r="U178" s="67">
        <f>IF(OR(R178=1,T178&lt;&gt;""),"",IF(COUNTIF(ar_No,B178)&gt;1,"Duplicate invoice #",IF(D178="","Select a customer",IF(N(L178)&lt;0,"Overpaid by "&amp;TEXT(-L178,"#,##0.00"),IF(AND(ISNUMBER(H178),N(H178)&lt;&gt;0,S178=0),"Tax ignored (tax tracking is off)",IF(AND(ISNUMBER(StartDate),C178&lt;StartDate),"Date is before the accounting start date",IF(AND(IFERROR(INDEX(coa_Type,MATCH(F178,coa_Name,0)),"")&lt;&gt;"Revenue",IFERROR(INDEX(coa_Type,MATCH(F178,coa_Name,0)),"")&lt;&gt;"Other Income"),"Account is not a revenue account","")))))))</f>
        <v/>
      </c>
      <c r="V178" s="67">
        <f>IF(AND(R178=0,T178=""),1,0)</f>
        <v/>
      </c>
      <c r="W178" s="67">
        <f>IF(V178=1,acctAR,"")</f>
        <v/>
      </c>
      <c r="X178" s="67">
        <f>IF(V178=1,F178,"")</f>
        <v/>
      </c>
      <c r="Y178" s="68">
        <f>IF(V178=1,G178,0)</f>
        <v/>
      </c>
      <c r="Z178" s="68">
        <f>IF(V178=1,G178-S178,0)</f>
        <v/>
      </c>
      <c r="AA178" s="68">
        <f>IF(V178=1,S178,0)</f>
        <v/>
      </c>
    </row>
    <row r="179">
      <c r="B179" s="62" t="n"/>
      <c r="C179" s="63" t="n"/>
      <c r="D179" s="62" t="n"/>
      <c r="E179" s="62" t="n"/>
      <c r="F179" s="62" t="n"/>
      <c r="G179" s="64" t="n"/>
      <c r="H179" s="64" t="n"/>
      <c r="I179" s="63" t="n"/>
      <c r="J179" s="29">
        <f>IF(V179=1,IF(ISNUMBER(I179),I179,C179+IF(ISNUMBER(IFERROR(INDEX(cust_Terms,MATCH(D179,cust_Name,0)),"")),INDEX(cust_Terms,MATCH(D179,cust_Name,0)),TermsDays)),"")</f>
        <v/>
      </c>
      <c r="K179" s="65">
        <f>IF(V179=1,SUMIFS(tx_DrAmt,tx_Type,"Customer Payment",tx_Ref,B179&amp;"",tx_Date,"&lt;="&amp;AsOf),"")</f>
        <v/>
      </c>
      <c r="L179" s="65">
        <f>IF(V179=1,IF(C179&gt;AsOf,0,ROUND(G179-K179,2)),"")</f>
        <v/>
      </c>
      <c r="M179" s="66">
        <f>IF(V179&lt;&gt;1,"",IF(C179&gt;AsOf,"Future",IF(L179&lt;0,"Overpaid",IF(L179=0,"Paid",IF(AsOf&gt;J179,"Overdue",IF(K179&gt;0,"Partial","Unpaid"))))))</f>
        <v/>
      </c>
      <c r="N179" s="28">
        <f>IF(AND(V179=1,N(L179)&gt;0),AsOf-C179,"")</f>
        <v/>
      </c>
      <c r="O179" s="28">
        <f>IF(N179="","",MAX(0,AsOf-J179))</f>
        <v/>
      </c>
      <c r="P179" s="66">
        <f>IF(O179="","",IF(O179=0,"Current",IF(O179&lt;=30,"1-30",IF(O179&lt;=60,"31-60",IF(O179&lt;=90,"61-90","90+")))))</f>
        <v/>
      </c>
      <c r="Q179" s="66">
        <f>IF(T179&lt;&gt;"","⛔ "&amp;T179&amp;" — not posted",IF(U179&lt;&gt;"","⚠ "&amp;U179,IF(V179=1,"✓ OK","")))</f>
        <v/>
      </c>
      <c r="R179" s="67">
        <f>IF(AND(B179="",C179="",D179="",G179="",F179=""),1,0)</f>
        <v/>
      </c>
      <c r="S179" s="68">
        <f>IF(AND(TaxOn="Yes",ISNUMBER(H179)),H179,0)</f>
        <v/>
      </c>
      <c r="T179" s="67">
        <f>IF(R179=1,"",IF(B179="","Enter an invoice #",IF(C179="","Missing invoice date",IF(NOT(ISNUMBER(C179)),"Invalid date",IF(OR(C179&lt;DATE(2000,1,1),C179&gt;DATE(2099,12,31)),"Invalid date",IF(F179="","Select a revenue account",IF(ISNA(MATCH(F179,coa_Name,0)),"Unknown account: "&amp;F179,IF(NOT(ISNUMBER(G179)),"Enter an amount",IF(G179&lt;=0,"Amount must be positive",IF(S179&gt;G179,"Tax is larger than the amount",""))))))))))</f>
        <v/>
      </c>
      <c r="U179" s="67">
        <f>IF(OR(R179=1,T179&lt;&gt;""),"",IF(COUNTIF(ar_No,B179)&gt;1,"Duplicate invoice #",IF(D179="","Select a customer",IF(N(L179)&lt;0,"Overpaid by "&amp;TEXT(-L179,"#,##0.00"),IF(AND(ISNUMBER(H179),N(H179)&lt;&gt;0,S179=0),"Tax ignored (tax tracking is off)",IF(AND(ISNUMBER(StartDate),C179&lt;StartDate),"Date is before the accounting start date",IF(AND(IFERROR(INDEX(coa_Type,MATCH(F179,coa_Name,0)),"")&lt;&gt;"Revenue",IFERROR(INDEX(coa_Type,MATCH(F179,coa_Name,0)),"")&lt;&gt;"Other Income"),"Account is not a revenue account","")))))))</f>
        <v/>
      </c>
      <c r="V179" s="67">
        <f>IF(AND(R179=0,T179=""),1,0)</f>
        <v/>
      </c>
      <c r="W179" s="67">
        <f>IF(V179=1,acctAR,"")</f>
        <v/>
      </c>
      <c r="X179" s="67">
        <f>IF(V179=1,F179,"")</f>
        <v/>
      </c>
      <c r="Y179" s="68">
        <f>IF(V179=1,G179,0)</f>
        <v/>
      </c>
      <c r="Z179" s="68">
        <f>IF(V179=1,G179-S179,0)</f>
        <v/>
      </c>
      <c r="AA179" s="68">
        <f>IF(V179=1,S179,0)</f>
        <v/>
      </c>
    </row>
    <row r="180">
      <c r="B180" s="62" t="n"/>
      <c r="C180" s="63" t="n"/>
      <c r="D180" s="62" t="n"/>
      <c r="E180" s="62" t="n"/>
      <c r="F180" s="62" t="n"/>
      <c r="G180" s="64" t="n"/>
      <c r="H180" s="64" t="n"/>
      <c r="I180" s="63" t="n"/>
      <c r="J180" s="29">
        <f>IF(V180=1,IF(ISNUMBER(I180),I180,C180+IF(ISNUMBER(IFERROR(INDEX(cust_Terms,MATCH(D180,cust_Name,0)),"")),INDEX(cust_Terms,MATCH(D180,cust_Name,0)),TermsDays)),"")</f>
        <v/>
      </c>
      <c r="K180" s="65">
        <f>IF(V180=1,SUMIFS(tx_DrAmt,tx_Type,"Customer Payment",tx_Ref,B180&amp;"",tx_Date,"&lt;="&amp;AsOf),"")</f>
        <v/>
      </c>
      <c r="L180" s="65">
        <f>IF(V180=1,IF(C180&gt;AsOf,0,ROUND(G180-K180,2)),"")</f>
        <v/>
      </c>
      <c r="M180" s="66">
        <f>IF(V180&lt;&gt;1,"",IF(C180&gt;AsOf,"Future",IF(L180&lt;0,"Overpaid",IF(L180=0,"Paid",IF(AsOf&gt;J180,"Overdue",IF(K180&gt;0,"Partial","Unpaid"))))))</f>
        <v/>
      </c>
      <c r="N180" s="28">
        <f>IF(AND(V180=1,N(L180)&gt;0),AsOf-C180,"")</f>
        <v/>
      </c>
      <c r="O180" s="28">
        <f>IF(N180="","",MAX(0,AsOf-J180))</f>
        <v/>
      </c>
      <c r="P180" s="66">
        <f>IF(O180="","",IF(O180=0,"Current",IF(O180&lt;=30,"1-30",IF(O180&lt;=60,"31-60",IF(O180&lt;=90,"61-90","90+")))))</f>
        <v/>
      </c>
      <c r="Q180" s="66">
        <f>IF(T180&lt;&gt;"","⛔ "&amp;T180&amp;" — not posted",IF(U180&lt;&gt;"","⚠ "&amp;U180,IF(V180=1,"✓ OK","")))</f>
        <v/>
      </c>
      <c r="R180" s="67">
        <f>IF(AND(B180="",C180="",D180="",G180="",F180=""),1,0)</f>
        <v/>
      </c>
      <c r="S180" s="68">
        <f>IF(AND(TaxOn="Yes",ISNUMBER(H180)),H180,0)</f>
        <v/>
      </c>
      <c r="T180" s="67">
        <f>IF(R180=1,"",IF(B180="","Enter an invoice #",IF(C180="","Missing invoice date",IF(NOT(ISNUMBER(C180)),"Invalid date",IF(OR(C180&lt;DATE(2000,1,1),C180&gt;DATE(2099,12,31)),"Invalid date",IF(F180="","Select a revenue account",IF(ISNA(MATCH(F180,coa_Name,0)),"Unknown account: "&amp;F180,IF(NOT(ISNUMBER(G180)),"Enter an amount",IF(G180&lt;=0,"Amount must be positive",IF(S180&gt;G180,"Tax is larger than the amount",""))))))))))</f>
        <v/>
      </c>
      <c r="U180" s="67">
        <f>IF(OR(R180=1,T180&lt;&gt;""),"",IF(COUNTIF(ar_No,B180)&gt;1,"Duplicate invoice #",IF(D180="","Select a customer",IF(N(L180)&lt;0,"Overpaid by "&amp;TEXT(-L180,"#,##0.00"),IF(AND(ISNUMBER(H180),N(H180)&lt;&gt;0,S180=0),"Tax ignored (tax tracking is off)",IF(AND(ISNUMBER(StartDate),C180&lt;StartDate),"Date is before the accounting start date",IF(AND(IFERROR(INDEX(coa_Type,MATCH(F180,coa_Name,0)),"")&lt;&gt;"Revenue",IFERROR(INDEX(coa_Type,MATCH(F180,coa_Name,0)),"")&lt;&gt;"Other Income"),"Account is not a revenue account","")))))))</f>
        <v/>
      </c>
      <c r="V180" s="67">
        <f>IF(AND(R180=0,T180=""),1,0)</f>
        <v/>
      </c>
      <c r="W180" s="67">
        <f>IF(V180=1,acctAR,"")</f>
        <v/>
      </c>
      <c r="X180" s="67">
        <f>IF(V180=1,F180,"")</f>
        <v/>
      </c>
      <c r="Y180" s="68">
        <f>IF(V180=1,G180,0)</f>
        <v/>
      </c>
      <c r="Z180" s="68">
        <f>IF(V180=1,G180-S180,0)</f>
        <v/>
      </c>
      <c r="AA180" s="68">
        <f>IF(V180=1,S180,0)</f>
        <v/>
      </c>
    </row>
    <row r="181">
      <c r="B181" s="62" t="n"/>
      <c r="C181" s="63" t="n"/>
      <c r="D181" s="62" t="n"/>
      <c r="E181" s="62" t="n"/>
      <c r="F181" s="62" t="n"/>
      <c r="G181" s="64" t="n"/>
      <c r="H181" s="64" t="n"/>
      <c r="I181" s="63" t="n"/>
      <c r="J181" s="29">
        <f>IF(V181=1,IF(ISNUMBER(I181),I181,C181+IF(ISNUMBER(IFERROR(INDEX(cust_Terms,MATCH(D181,cust_Name,0)),"")),INDEX(cust_Terms,MATCH(D181,cust_Name,0)),TermsDays)),"")</f>
        <v/>
      </c>
      <c r="K181" s="65">
        <f>IF(V181=1,SUMIFS(tx_DrAmt,tx_Type,"Customer Payment",tx_Ref,B181&amp;"",tx_Date,"&lt;="&amp;AsOf),"")</f>
        <v/>
      </c>
      <c r="L181" s="65">
        <f>IF(V181=1,IF(C181&gt;AsOf,0,ROUND(G181-K181,2)),"")</f>
        <v/>
      </c>
      <c r="M181" s="66">
        <f>IF(V181&lt;&gt;1,"",IF(C181&gt;AsOf,"Future",IF(L181&lt;0,"Overpaid",IF(L181=0,"Paid",IF(AsOf&gt;J181,"Overdue",IF(K181&gt;0,"Partial","Unpaid"))))))</f>
        <v/>
      </c>
      <c r="N181" s="28">
        <f>IF(AND(V181=1,N(L181)&gt;0),AsOf-C181,"")</f>
        <v/>
      </c>
      <c r="O181" s="28">
        <f>IF(N181="","",MAX(0,AsOf-J181))</f>
        <v/>
      </c>
      <c r="P181" s="66">
        <f>IF(O181="","",IF(O181=0,"Current",IF(O181&lt;=30,"1-30",IF(O181&lt;=60,"31-60",IF(O181&lt;=90,"61-90","90+")))))</f>
        <v/>
      </c>
      <c r="Q181" s="66">
        <f>IF(T181&lt;&gt;"","⛔ "&amp;T181&amp;" — not posted",IF(U181&lt;&gt;"","⚠ "&amp;U181,IF(V181=1,"✓ OK","")))</f>
        <v/>
      </c>
      <c r="R181" s="67">
        <f>IF(AND(B181="",C181="",D181="",G181="",F181=""),1,0)</f>
        <v/>
      </c>
      <c r="S181" s="68">
        <f>IF(AND(TaxOn="Yes",ISNUMBER(H181)),H181,0)</f>
        <v/>
      </c>
      <c r="T181" s="67">
        <f>IF(R181=1,"",IF(B181="","Enter an invoice #",IF(C181="","Missing invoice date",IF(NOT(ISNUMBER(C181)),"Invalid date",IF(OR(C181&lt;DATE(2000,1,1),C181&gt;DATE(2099,12,31)),"Invalid date",IF(F181="","Select a revenue account",IF(ISNA(MATCH(F181,coa_Name,0)),"Unknown account: "&amp;F181,IF(NOT(ISNUMBER(G181)),"Enter an amount",IF(G181&lt;=0,"Amount must be positive",IF(S181&gt;G181,"Tax is larger than the amount",""))))))))))</f>
        <v/>
      </c>
      <c r="U181" s="67">
        <f>IF(OR(R181=1,T181&lt;&gt;""),"",IF(COUNTIF(ar_No,B181)&gt;1,"Duplicate invoice #",IF(D181="","Select a customer",IF(N(L181)&lt;0,"Overpaid by "&amp;TEXT(-L181,"#,##0.00"),IF(AND(ISNUMBER(H181),N(H181)&lt;&gt;0,S181=0),"Tax ignored (tax tracking is off)",IF(AND(ISNUMBER(StartDate),C181&lt;StartDate),"Date is before the accounting start date",IF(AND(IFERROR(INDEX(coa_Type,MATCH(F181,coa_Name,0)),"")&lt;&gt;"Revenue",IFERROR(INDEX(coa_Type,MATCH(F181,coa_Name,0)),"")&lt;&gt;"Other Income"),"Account is not a revenue account","")))))))</f>
        <v/>
      </c>
      <c r="V181" s="67">
        <f>IF(AND(R181=0,T181=""),1,0)</f>
        <v/>
      </c>
      <c r="W181" s="67">
        <f>IF(V181=1,acctAR,"")</f>
        <v/>
      </c>
      <c r="X181" s="67">
        <f>IF(V181=1,F181,"")</f>
        <v/>
      </c>
      <c r="Y181" s="68">
        <f>IF(V181=1,G181,0)</f>
        <v/>
      </c>
      <c r="Z181" s="68">
        <f>IF(V181=1,G181-S181,0)</f>
        <v/>
      </c>
      <c r="AA181" s="68">
        <f>IF(V181=1,S181,0)</f>
        <v/>
      </c>
    </row>
    <row r="182">
      <c r="B182" s="62" t="n"/>
      <c r="C182" s="63" t="n"/>
      <c r="D182" s="62" t="n"/>
      <c r="E182" s="62" t="n"/>
      <c r="F182" s="62" t="n"/>
      <c r="G182" s="64" t="n"/>
      <c r="H182" s="64" t="n"/>
      <c r="I182" s="63" t="n"/>
      <c r="J182" s="29">
        <f>IF(V182=1,IF(ISNUMBER(I182),I182,C182+IF(ISNUMBER(IFERROR(INDEX(cust_Terms,MATCH(D182,cust_Name,0)),"")),INDEX(cust_Terms,MATCH(D182,cust_Name,0)),TermsDays)),"")</f>
        <v/>
      </c>
      <c r="K182" s="65">
        <f>IF(V182=1,SUMIFS(tx_DrAmt,tx_Type,"Customer Payment",tx_Ref,B182&amp;"",tx_Date,"&lt;="&amp;AsOf),"")</f>
        <v/>
      </c>
      <c r="L182" s="65">
        <f>IF(V182=1,IF(C182&gt;AsOf,0,ROUND(G182-K182,2)),"")</f>
        <v/>
      </c>
      <c r="M182" s="66">
        <f>IF(V182&lt;&gt;1,"",IF(C182&gt;AsOf,"Future",IF(L182&lt;0,"Overpaid",IF(L182=0,"Paid",IF(AsOf&gt;J182,"Overdue",IF(K182&gt;0,"Partial","Unpaid"))))))</f>
        <v/>
      </c>
      <c r="N182" s="28">
        <f>IF(AND(V182=1,N(L182)&gt;0),AsOf-C182,"")</f>
        <v/>
      </c>
      <c r="O182" s="28">
        <f>IF(N182="","",MAX(0,AsOf-J182))</f>
        <v/>
      </c>
      <c r="P182" s="66">
        <f>IF(O182="","",IF(O182=0,"Current",IF(O182&lt;=30,"1-30",IF(O182&lt;=60,"31-60",IF(O182&lt;=90,"61-90","90+")))))</f>
        <v/>
      </c>
      <c r="Q182" s="66">
        <f>IF(T182&lt;&gt;"","⛔ "&amp;T182&amp;" — not posted",IF(U182&lt;&gt;"","⚠ "&amp;U182,IF(V182=1,"✓ OK","")))</f>
        <v/>
      </c>
      <c r="R182" s="67">
        <f>IF(AND(B182="",C182="",D182="",G182="",F182=""),1,0)</f>
        <v/>
      </c>
      <c r="S182" s="68">
        <f>IF(AND(TaxOn="Yes",ISNUMBER(H182)),H182,0)</f>
        <v/>
      </c>
      <c r="T182" s="67">
        <f>IF(R182=1,"",IF(B182="","Enter an invoice #",IF(C182="","Missing invoice date",IF(NOT(ISNUMBER(C182)),"Invalid date",IF(OR(C182&lt;DATE(2000,1,1),C182&gt;DATE(2099,12,31)),"Invalid date",IF(F182="","Select a revenue account",IF(ISNA(MATCH(F182,coa_Name,0)),"Unknown account: "&amp;F182,IF(NOT(ISNUMBER(G182)),"Enter an amount",IF(G182&lt;=0,"Amount must be positive",IF(S182&gt;G182,"Tax is larger than the amount",""))))))))))</f>
        <v/>
      </c>
      <c r="U182" s="67">
        <f>IF(OR(R182=1,T182&lt;&gt;""),"",IF(COUNTIF(ar_No,B182)&gt;1,"Duplicate invoice #",IF(D182="","Select a customer",IF(N(L182)&lt;0,"Overpaid by "&amp;TEXT(-L182,"#,##0.00"),IF(AND(ISNUMBER(H182),N(H182)&lt;&gt;0,S182=0),"Tax ignored (tax tracking is off)",IF(AND(ISNUMBER(StartDate),C182&lt;StartDate),"Date is before the accounting start date",IF(AND(IFERROR(INDEX(coa_Type,MATCH(F182,coa_Name,0)),"")&lt;&gt;"Revenue",IFERROR(INDEX(coa_Type,MATCH(F182,coa_Name,0)),"")&lt;&gt;"Other Income"),"Account is not a revenue account","")))))))</f>
        <v/>
      </c>
      <c r="V182" s="67">
        <f>IF(AND(R182=0,T182=""),1,0)</f>
        <v/>
      </c>
      <c r="W182" s="67">
        <f>IF(V182=1,acctAR,"")</f>
        <v/>
      </c>
      <c r="X182" s="67">
        <f>IF(V182=1,F182,"")</f>
        <v/>
      </c>
      <c r="Y182" s="68">
        <f>IF(V182=1,G182,0)</f>
        <v/>
      </c>
      <c r="Z182" s="68">
        <f>IF(V182=1,G182-S182,0)</f>
        <v/>
      </c>
      <c r="AA182" s="68">
        <f>IF(V182=1,S182,0)</f>
        <v/>
      </c>
    </row>
    <row r="183">
      <c r="B183" s="62" t="n"/>
      <c r="C183" s="63" t="n"/>
      <c r="D183" s="62" t="n"/>
      <c r="E183" s="62" t="n"/>
      <c r="F183" s="62" t="n"/>
      <c r="G183" s="64" t="n"/>
      <c r="H183" s="64" t="n"/>
      <c r="I183" s="63" t="n"/>
      <c r="J183" s="29">
        <f>IF(V183=1,IF(ISNUMBER(I183),I183,C183+IF(ISNUMBER(IFERROR(INDEX(cust_Terms,MATCH(D183,cust_Name,0)),"")),INDEX(cust_Terms,MATCH(D183,cust_Name,0)),TermsDays)),"")</f>
        <v/>
      </c>
      <c r="K183" s="65">
        <f>IF(V183=1,SUMIFS(tx_DrAmt,tx_Type,"Customer Payment",tx_Ref,B183&amp;"",tx_Date,"&lt;="&amp;AsOf),"")</f>
        <v/>
      </c>
      <c r="L183" s="65">
        <f>IF(V183=1,IF(C183&gt;AsOf,0,ROUND(G183-K183,2)),"")</f>
        <v/>
      </c>
      <c r="M183" s="66">
        <f>IF(V183&lt;&gt;1,"",IF(C183&gt;AsOf,"Future",IF(L183&lt;0,"Overpaid",IF(L183=0,"Paid",IF(AsOf&gt;J183,"Overdue",IF(K183&gt;0,"Partial","Unpaid"))))))</f>
        <v/>
      </c>
      <c r="N183" s="28">
        <f>IF(AND(V183=1,N(L183)&gt;0),AsOf-C183,"")</f>
        <v/>
      </c>
      <c r="O183" s="28">
        <f>IF(N183="","",MAX(0,AsOf-J183))</f>
        <v/>
      </c>
      <c r="P183" s="66">
        <f>IF(O183="","",IF(O183=0,"Current",IF(O183&lt;=30,"1-30",IF(O183&lt;=60,"31-60",IF(O183&lt;=90,"61-90","90+")))))</f>
        <v/>
      </c>
      <c r="Q183" s="66">
        <f>IF(T183&lt;&gt;"","⛔ "&amp;T183&amp;" — not posted",IF(U183&lt;&gt;"","⚠ "&amp;U183,IF(V183=1,"✓ OK","")))</f>
        <v/>
      </c>
      <c r="R183" s="67">
        <f>IF(AND(B183="",C183="",D183="",G183="",F183=""),1,0)</f>
        <v/>
      </c>
      <c r="S183" s="68">
        <f>IF(AND(TaxOn="Yes",ISNUMBER(H183)),H183,0)</f>
        <v/>
      </c>
      <c r="T183" s="67">
        <f>IF(R183=1,"",IF(B183="","Enter an invoice #",IF(C183="","Missing invoice date",IF(NOT(ISNUMBER(C183)),"Invalid date",IF(OR(C183&lt;DATE(2000,1,1),C183&gt;DATE(2099,12,31)),"Invalid date",IF(F183="","Select a revenue account",IF(ISNA(MATCH(F183,coa_Name,0)),"Unknown account: "&amp;F183,IF(NOT(ISNUMBER(G183)),"Enter an amount",IF(G183&lt;=0,"Amount must be positive",IF(S183&gt;G183,"Tax is larger than the amount",""))))))))))</f>
        <v/>
      </c>
      <c r="U183" s="67">
        <f>IF(OR(R183=1,T183&lt;&gt;""),"",IF(COUNTIF(ar_No,B183)&gt;1,"Duplicate invoice #",IF(D183="","Select a customer",IF(N(L183)&lt;0,"Overpaid by "&amp;TEXT(-L183,"#,##0.00"),IF(AND(ISNUMBER(H183),N(H183)&lt;&gt;0,S183=0),"Tax ignored (tax tracking is off)",IF(AND(ISNUMBER(StartDate),C183&lt;StartDate),"Date is before the accounting start date",IF(AND(IFERROR(INDEX(coa_Type,MATCH(F183,coa_Name,0)),"")&lt;&gt;"Revenue",IFERROR(INDEX(coa_Type,MATCH(F183,coa_Name,0)),"")&lt;&gt;"Other Income"),"Account is not a revenue account","")))))))</f>
        <v/>
      </c>
      <c r="V183" s="67">
        <f>IF(AND(R183=0,T183=""),1,0)</f>
        <v/>
      </c>
      <c r="W183" s="67">
        <f>IF(V183=1,acctAR,"")</f>
        <v/>
      </c>
      <c r="X183" s="67">
        <f>IF(V183=1,F183,"")</f>
        <v/>
      </c>
      <c r="Y183" s="68">
        <f>IF(V183=1,G183,0)</f>
        <v/>
      </c>
      <c r="Z183" s="68">
        <f>IF(V183=1,G183-S183,0)</f>
        <v/>
      </c>
      <c r="AA183" s="68">
        <f>IF(V183=1,S183,0)</f>
        <v/>
      </c>
    </row>
    <row r="184">
      <c r="B184" s="62" t="n"/>
      <c r="C184" s="63" t="n"/>
      <c r="D184" s="62" t="n"/>
      <c r="E184" s="62" t="n"/>
      <c r="F184" s="62" t="n"/>
      <c r="G184" s="64" t="n"/>
      <c r="H184" s="64" t="n"/>
      <c r="I184" s="63" t="n"/>
      <c r="J184" s="29">
        <f>IF(V184=1,IF(ISNUMBER(I184),I184,C184+IF(ISNUMBER(IFERROR(INDEX(cust_Terms,MATCH(D184,cust_Name,0)),"")),INDEX(cust_Terms,MATCH(D184,cust_Name,0)),TermsDays)),"")</f>
        <v/>
      </c>
      <c r="K184" s="65">
        <f>IF(V184=1,SUMIFS(tx_DrAmt,tx_Type,"Customer Payment",tx_Ref,B184&amp;"",tx_Date,"&lt;="&amp;AsOf),"")</f>
        <v/>
      </c>
      <c r="L184" s="65">
        <f>IF(V184=1,IF(C184&gt;AsOf,0,ROUND(G184-K184,2)),"")</f>
        <v/>
      </c>
      <c r="M184" s="66">
        <f>IF(V184&lt;&gt;1,"",IF(C184&gt;AsOf,"Future",IF(L184&lt;0,"Overpaid",IF(L184=0,"Paid",IF(AsOf&gt;J184,"Overdue",IF(K184&gt;0,"Partial","Unpaid"))))))</f>
        <v/>
      </c>
      <c r="N184" s="28">
        <f>IF(AND(V184=1,N(L184)&gt;0),AsOf-C184,"")</f>
        <v/>
      </c>
      <c r="O184" s="28">
        <f>IF(N184="","",MAX(0,AsOf-J184))</f>
        <v/>
      </c>
      <c r="P184" s="66">
        <f>IF(O184="","",IF(O184=0,"Current",IF(O184&lt;=30,"1-30",IF(O184&lt;=60,"31-60",IF(O184&lt;=90,"61-90","90+")))))</f>
        <v/>
      </c>
      <c r="Q184" s="66">
        <f>IF(T184&lt;&gt;"","⛔ "&amp;T184&amp;" — not posted",IF(U184&lt;&gt;"","⚠ "&amp;U184,IF(V184=1,"✓ OK","")))</f>
        <v/>
      </c>
      <c r="R184" s="67">
        <f>IF(AND(B184="",C184="",D184="",G184="",F184=""),1,0)</f>
        <v/>
      </c>
      <c r="S184" s="68">
        <f>IF(AND(TaxOn="Yes",ISNUMBER(H184)),H184,0)</f>
        <v/>
      </c>
      <c r="T184" s="67">
        <f>IF(R184=1,"",IF(B184="","Enter an invoice #",IF(C184="","Missing invoice date",IF(NOT(ISNUMBER(C184)),"Invalid date",IF(OR(C184&lt;DATE(2000,1,1),C184&gt;DATE(2099,12,31)),"Invalid date",IF(F184="","Select a revenue account",IF(ISNA(MATCH(F184,coa_Name,0)),"Unknown account: "&amp;F184,IF(NOT(ISNUMBER(G184)),"Enter an amount",IF(G184&lt;=0,"Amount must be positive",IF(S184&gt;G184,"Tax is larger than the amount",""))))))))))</f>
        <v/>
      </c>
      <c r="U184" s="67">
        <f>IF(OR(R184=1,T184&lt;&gt;""),"",IF(COUNTIF(ar_No,B184)&gt;1,"Duplicate invoice #",IF(D184="","Select a customer",IF(N(L184)&lt;0,"Overpaid by "&amp;TEXT(-L184,"#,##0.00"),IF(AND(ISNUMBER(H184),N(H184)&lt;&gt;0,S184=0),"Tax ignored (tax tracking is off)",IF(AND(ISNUMBER(StartDate),C184&lt;StartDate),"Date is before the accounting start date",IF(AND(IFERROR(INDEX(coa_Type,MATCH(F184,coa_Name,0)),"")&lt;&gt;"Revenue",IFERROR(INDEX(coa_Type,MATCH(F184,coa_Name,0)),"")&lt;&gt;"Other Income"),"Account is not a revenue account","")))))))</f>
        <v/>
      </c>
      <c r="V184" s="67">
        <f>IF(AND(R184=0,T184=""),1,0)</f>
        <v/>
      </c>
      <c r="W184" s="67">
        <f>IF(V184=1,acctAR,"")</f>
        <v/>
      </c>
      <c r="X184" s="67">
        <f>IF(V184=1,F184,"")</f>
        <v/>
      </c>
      <c r="Y184" s="68">
        <f>IF(V184=1,G184,0)</f>
        <v/>
      </c>
      <c r="Z184" s="68">
        <f>IF(V184=1,G184-S184,0)</f>
        <v/>
      </c>
      <c r="AA184" s="68">
        <f>IF(V184=1,S184,0)</f>
        <v/>
      </c>
    </row>
    <row r="185">
      <c r="B185" s="62" t="n"/>
      <c r="C185" s="63" t="n"/>
      <c r="D185" s="62" t="n"/>
      <c r="E185" s="62" t="n"/>
      <c r="F185" s="62" t="n"/>
      <c r="G185" s="64" t="n"/>
      <c r="H185" s="64" t="n"/>
      <c r="I185" s="63" t="n"/>
      <c r="J185" s="29">
        <f>IF(V185=1,IF(ISNUMBER(I185),I185,C185+IF(ISNUMBER(IFERROR(INDEX(cust_Terms,MATCH(D185,cust_Name,0)),"")),INDEX(cust_Terms,MATCH(D185,cust_Name,0)),TermsDays)),"")</f>
        <v/>
      </c>
      <c r="K185" s="65">
        <f>IF(V185=1,SUMIFS(tx_DrAmt,tx_Type,"Customer Payment",tx_Ref,B185&amp;"",tx_Date,"&lt;="&amp;AsOf),"")</f>
        <v/>
      </c>
      <c r="L185" s="65">
        <f>IF(V185=1,IF(C185&gt;AsOf,0,ROUND(G185-K185,2)),"")</f>
        <v/>
      </c>
      <c r="M185" s="66">
        <f>IF(V185&lt;&gt;1,"",IF(C185&gt;AsOf,"Future",IF(L185&lt;0,"Overpaid",IF(L185=0,"Paid",IF(AsOf&gt;J185,"Overdue",IF(K185&gt;0,"Partial","Unpaid"))))))</f>
        <v/>
      </c>
      <c r="N185" s="28">
        <f>IF(AND(V185=1,N(L185)&gt;0),AsOf-C185,"")</f>
        <v/>
      </c>
      <c r="O185" s="28">
        <f>IF(N185="","",MAX(0,AsOf-J185))</f>
        <v/>
      </c>
      <c r="P185" s="66">
        <f>IF(O185="","",IF(O185=0,"Current",IF(O185&lt;=30,"1-30",IF(O185&lt;=60,"31-60",IF(O185&lt;=90,"61-90","90+")))))</f>
        <v/>
      </c>
      <c r="Q185" s="66">
        <f>IF(T185&lt;&gt;"","⛔ "&amp;T185&amp;" — not posted",IF(U185&lt;&gt;"","⚠ "&amp;U185,IF(V185=1,"✓ OK","")))</f>
        <v/>
      </c>
      <c r="R185" s="67">
        <f>IF(AND(B185="",C185="",D185="",G185="",F185=""),1,0)</f>
        <v/>
      </c>
      <c r="S185" s="68">
        <f>IF(AND(TaxOn="Yes",ISNUMBER(H185)),H185,0)</f>
        <v/>
      </c>
      <c r="T185" s="67">
        <f>IF(R185=1,"",IF(B185="","Enter an invoice #",IF(C185="","Missing invoice date",IF(NOT(ISNUMBER(C185)),"Invalid date",IF(OR(C185&lt;DATE(2000,1,1),C185&gt;DATE(2099,12,31)),"Invalid date",IF(F185="","Select a revenue account",IF(ISNA(MATCH(F185,coa_Name,0)),"Unknown account: "&amp;F185,IF(NOT(ISNUMBER(G185)),"Enter an amount",IF(G185&lt;=0,"Amount must be positive",IF(S185&gt;G185,"Tax is larger than the amount",""))))))))))</f>
        <v/>
      </c>
      <c r="U185" s="67">
        <f>IF(OR(R185=1,T185&lt;&gt;""),"",IF(COUNTIF(ar_No,B185)&gt;1,"Duplicate invoice #",IF(D185="","Select a customer",IF(N(L185)&lt;0,"Overpaid by "&amp;TEXT(-L185,"#,##0.00"),IF(AND(ISNUMBER(H185),N(H185)&lt;&gt;0,S185=0),"Tax ignored (tax tracking is off)",IF(AND(ISNUMBER(StartDate),C185&lt;StartDate),"Date is before the accounting start date",IF(AND(IFERROR(INDEX(coa_Type,MATCH(F185,coa_Name,0)),"")&lt;&gt;"Revenue",IFERROR(INDEX(coa_Type,MATCH(F185,coa_Name,0)),"")&lt;&gt;"Other Income"),"Account is not a revenue account","")))))))</f>
        <v/>
      </c>
      <c r="V185" s="67">
        <f>IF(AND(R185=0,T185=""),1,0)</f>
        <v/>
      </c>
      <c r="W185" s="67">
        <f>IF(V185=1,acctAR,"")</f>
        <v/>
      </c>
      <c r="X185" s="67">
        <f>IF(V185=1,F185,"")</f>
        <v/>
      </c>
      <c r="Y185" s="68">
        <f>IF(V185=1,G185,0)</f>
        <v/>
      </c>
      <c r="Z185" s="68">
        <f>IF(V185=1,G185-S185,0)</f>
        <v/>
      </c>
      <c r="AA185" s="68">
        <f>IF(V185=1,S185,0)</f>
        <v/>
      </c>
    </row>
    <row r="186">
      <c r="B186" s="62" t="n"/>
      <c r="C186" s="63" t="n"/>
      <c r="D186" s="62" t="n"/>
      <c r="E186" s="62" t="n"/>
      <c r="F186" s="62" t="n"/>
      <c r="G186" s="64" t="n"/>
      <c r="H186" s="64" t="n"/>
      <c r="I186" s="63" t="n"/>
      <c r="J186" s="29">
        <f>IF(V186=1,IF(ISNUMBER(I186),I186,C186+IF(ISNUMBER(IFERROR(INDEX(cust_Terms,MATCH(D186,cust_Name,0)),"")),INDEX(cust_Terms,MATCH(D186,cust_Name,0)),TermsDays)),"")</f>
        <v/>
      </c>
      <c r="K186" s="65">
        <f>IF(V186=1,SUMIFS(tx_DrAmt,tx_Type,"Customer Payment",tx_Ref,B186&amp;"",tx_Date,"&lt;="&amp;AsOf),"")</f>
        <v/>
      </c>
      <c r="L186" s="65">
        <f>IF(V186=1,IF(C186&gt;AsOf,0,ROUND(G186-K186,2)),"")</f>
        <v/>
      </c>
      <c r="M186" s="66">
        <f>IF(V186&lt;&gt;1,"",IF(C186&gt;AsOf,"Future",IF(L186&lt;0,"Overpaid",IF(L186=0,"Paid",IF(AsOf&gt;J186,"Overdue",IF(K186&gt;0,"Partial","Unpaid"))))))</f>
        <v/>
      </c>
      <c r="N186" s="28">
        <f>IF(AND(V186=1,N(L186)&gt;0),AsOf-C186,"")</f>
        <v/>
      </c>
      <c r="O186" s="28">
        <f>IF(N186="","",MAX(0,AsOf-J186))</f>
        <v/>
      </c>
      <c r="P186" s="66">
        <f>IF(O186="","",IF(O186=0,"Current",IF(O186&lt;=30,"1-30",IF(O186&lt;=60,"31-60",IF(O186&lt;=90,"61-90","90+")))))</f>
        <v/>
      </c>
      <c r="Q186" s="66">
        <f>IF(T186&lt;&gt;"","⛔ "&amp;T186&amp;" — not posted",IF(U186&lt;&gt;"","⚠ "&amp;U186,IF(V186=1,"✓ OK","")))</f>
        <v/>
      </c>
      <c r="R186" s="67">
        <f>IF(AND(B186="",C186="",D186="",G186="",F186=""),1,0)</f>
        <v/>
      </c>
      <c r="S186" s="68">
        <f>IF(AND(TaxOn="Yes",ISNUMBER(H186)),H186,0)</f>
        <v/>
      </c>
      <c r="T186" s="67">
        <f>IF(R186=1,"",IF(B186="","Enter an invoice #",IF(C186="","Missing invoice date",IF(NOT(ISNUMBER(C186)),"Invalid date",IF(OR(C186&lt;DATE(2000,1,1),C186&gt;DATE(2099,12,31)),"Invalid date",IF(F186="","Select a revenue account",IF(ISNA(MATCH(F186,coa_Name,0)),"Unknown account: "&amp;F186,IF(NOT(ISNUMBER(G186)),"Enter an amount",IF(G186&lt;=0,"Amount must be positive",IF(S186&gt;G186,"Tax is larger than the amount",""))))))))))</f>
        <v/>
      </c>
      <c r="U186" s="67">
        <f>IF(OR(R186=1,T186&lt;&gt;""),"",IF(COUNTIF(ar_No,B186)&gt;1,"Duplicate invoice #",IF(D186="","Select a customer",IF(N(L186)&lt;0,"Overpaid by "&amp;TEXT(-L186,"#,##0.00"),IF(AND(ISNUMBER(H186),N(H186)&lt;&gt;0,S186=0),"Tax ignored (tax tracking is off)",IF(AND(ISNUMBER(StartDate),C186&lt;StartDate),"Date is before the accounting start date",IF(AND(IFERROR(INDEX(coa_Type,MATCH(F186,coa_Name,0)),"")&lt;&gt;"Revenue",IFERROR(INDEX(coa_Type,MATCH(F186,coa_Name,0)),"")&lt;&gt;"Other Income"),"Account is not a revenue account","")))))))</f>
        <v/>
      </c>
      <c r="V186" s="67">
        <f>IF(AND(R186=0,T186=""),1,0)</f>
        <v/>
      </c>
      <c r="W186" s="67">
        <f>IF(V186=1,acctAR,"")</f>
        <v/>
      </c>
      <c r="X186" s="67">
        <f>IF(V186=1,F186,"")</f>
        <v/>
      </c>
      <c r="Y186" s="68">
        <f>IF(V186=1,G186,0)</f>
        <v/>
      </c>
      <c r="Z186" s="68">
        <f>IF(V186=1,G186-S186,0)</f>
        <v/>
      </c>
      <c r="AA186" s="68">
        <f>IF(V186=1,S186,0)</f>
        <v/>
      </c>
    </row>
    <row r="187">
      <c r="B187" s="62" t="n"/>
      <c r="C187" s="63" t="n"/>
      <c r="D187" s="62" t="n"/>
      <c r="E187" s="62" t="n"/>
      <c r="F187" s="62" t="n"/>
      <c r="G187" s="64" t="n"/>
      <c r="H187" s="64" t="n"/>
      <c r="I187" s="63" t="n"/>
      <c r="J187" s="29">
        <f>IF(V187=1,IF(ISNUMBER(I187),I187,C187+IF(ISNUMBER(IFERROR(INDEX(cust_Terms,MATCH(D187,cust_Name,0)),"")),INDEX(cust_Terms,MATCH(D187,cust_Name,0)),TermsDays)),"")</f>
        <v/>
      </c>
      <c r="K187" s="65">
        <f>IF(V187=1,SUMIFS(tx_DrAmt,tx_Type,"Customer Payment",tx_Ref,B187&amp;"",tx_Date,"&lt;="&amp;AsOf),"")</f>
        <v/>
      </c>
      <c r="L187" s="65">
        <f>IF(V187=1,IF(C187&gt;AsOf,0,ROUND(G187-K187,2)),"")</f>
        <v/>
      </c>
      <c r="M187" s="66">
        <f>IF(V187&lt;&gt;1,"",IF(C187&gt;AsOf,"Future",IF(L187&lt;0,"Overpaid",IF(L187=0,"Paid",IF(AsOf&gt;J187,"Overdue",IF(K187&gt;0,"Partial","Unpaid"))))))</f>
        <v/>
      </c>
      <c r="N187" s="28">
        <f>IF(AND(V187=1,N(L187)&gt;0),AsOf-C187,"")</f>
        <v/>
      </c>
      <c r="O187" s="28">
        <f>IF(N187="","",MAX(0,AsOf-J187))</f>
        <v/>
      </c>
      <c r="P187" s="66">
        <f>IF(O187="","",IF(O187=0,"Current",IF(O187&lt;=30,"1-30",IF(O187&lt;=60,"31-60",IF(O187&lt;=90,"61-90","90+")))))</f>
        <v/>
      </c>
      <c r="Q187" s="66">
        <f>IF(T187&lt;&gt;"","⛔ "&amp;T187&amp;" — not posted",IF(U187&lt;&gt;"","⚠ "&amp;U187,IF(V187=1,"✓ OK","")))</f>
        <v/>
      </c>
      <c r="R187" s="67">
        <f>IF(AND(B187="",C187="",D187="",G187="",F187=""),1,0)</f>
        <v/>
      </c>
      <c r="S187" s="68">
        <f>IF(AND(TaxOn="Yes",ISNUMBER(H187)),H187,0)</f>
        <v/>
      </c>
      <c r="T187" s="67">
        <f>IF(R187=1,"",IF(B187="","Enter an invoice #",IF(C187="","Missing invoice date",IF(NOT(ISNUMBER(C187)),"Invalid date",IF(OR(C187&lt;DATE(2000,1,1),C187&gt;DATE(2099,12,31)),"Invalid date",IF(F187="","Select a revenue account",IF(ISNA(MATCH(F187,coa_Name,0)),"Unknown account: "&amp;F187,IF(NOT(ISNUMBER(G187)),"Enter an amount",IF(G187&lt;=0,"Amount must be positive",IF(S187&gt;G187,"Tax is larger than the amount",""))))))))))</f>
        <v/>
      </c>
      <c r="U187" s="67">
        <f>IF(OR(R187=1,T187&lt;&gt;""),"",IF(COUNTIF(ar_No,B187)&gt;1,"Duplicate invoice #",IF(D187="","Select a customer",IF(N(L187)&lt;0,"Overpaid by "&amp;TEXT(-L187,"#,##0.00"),IF(AND(ISNUMBER(H187),N(H187)&lt;&gt;0,S187=0),"Tax ignored (tax tracking is off)",IF(AND(ISNUMBER(StartDate),C187&lt;StartDate),"Date is before the accounting start date",IF(AND(IFERROR(INDEX(coa_Type,MATCH(F187,coa_Name,0)),"")&lt;&gt;"Revenue",IFERROR(INDEX(coa_Type,MATCH(F187,coa_Name,0)),"")&lt;&gt;"Other Income"),"Account is not a revenue account","")))))))</f>
        <v/>
      </c>
      <c r="V187" s="67">
        <f>IF(AND(R187=0,T187=""),1,0)</f>
        <v/>
      </c>
      <c r="W187" s="67">
        <f>IF(V187=1,acctAR,"")</f>
        <v/>
      </c>
      <c r="X187" s="67">
        <f>IF(V187=1,F187,"")</f>
        <v/>
      </c>
      <c r="Y187" s="68">
        <f>IF(V187=1,G187,0)</f>
        <v/>
      </c>
      <c r="Z187" s="68">
        <f>IF(V187=1,G187-S187,0)</f>
        <v/>
      </c>
      <c r="AA187" s="68">
        <f>IF(V187=1,S187,0)</f>
        <v/>
      </c>
    </row>
    <row r="188">
      <c r="B188" s="62" t="n"/>
      <c r="C188" s="63" t="n"/>
      <c r="D188" s="62" t="n"/>
      <c r="E188" s="62" t="n"/>
      <c r="F188" s="62" t="n"/>
      <c r="G188" s="64" t="n"/>
      <c r="H188" s="64" t="n"/>
      <c r="I188" s="63" t="n"/>
      <c r="J188" s="29">
        <f>IF(V188=1,IF(ISNUMBER(I188),I188,C188+IF(ISNUMBER(IFERROR(INDEX(cust_Terms,MATCH(D188,cust_Name,0)),"")),INDEX(cust_Terms,MATCH(D188,cust_Name,0)),TermsDays)),"")</f>
        <v/>
      </c>
      <c r="K188" s="65">
        <f>IF(V188=1,SUMIFS(tx_DrAmt,tx_Type,"Customer Payment",tx_Ref,B188&amp;"",tx_Date,"&lt;="&amp;AsOf),"")</f>
        <v/>
      </c>
      <c r="L188" s="65">
        <f>IF(V188=1,IF(C188&gt;AsOf,0,ROUND(G188-K188,2)),"")</f>
        <v/>
      </c>
      <c r="M188" s="66">
        <f>IF(V188&lt;&gt;1,"",IF(C188&gt;AsOf,"Future",IF(L188&lt;0,"Overpaid",IF(L188=0,"Paid",IF(AsOf&gt;J188,"Overdue",IF(K188&gt;0,"Partial","Unpaid"))))))</f>
        <v/>
      </c>
      <c r="N188" s="28">
        <f>IF(AND(V188=1,N(L188)&gt;0),AsOf-C188,"")</f>
        <v/>
      </c>
      <c r="O188" s="28">
        <f>IF(N188="","",MAX(0,AsOf-J188))</f>
        <v/>
      </c>
      <c r="P188" s="66">
        <f>IF(O188="","",IF(O188=0,"Current",IF(O188&lt;=30,"1-30",IF(O188&lt;=60,"31-60",IF(O188&lt;=90,"61-90","90+")))))</f>
        <v/>
      </c>
      <c r="Q188" s="66">
        <f>IF(T188&lt;&gt;"","⛔ "&amp;T188&amp;" — not posted",IF(U188&lt;&gt;"","⚠ "&amp;U188,IF(V188=1,"✓ OK","")))</f>
        <v/>
      </c>
      <c r="R188" s="67">
        <f>IF(AND(B188="",C188="",D188="",G188="",F188=""),1,0)</f>
        <v/>
      </c>
      <c r="S188" s="68">
        <f>IF(AND(TaxOn="Yes",ISNUMBER(H188)),H188,0)</f>
        <v/>
      </c>
      <c r="T188" s="67">
        <f>IF(R188=1,"",IF(B188="","Enter an invoice #",IF(C188="","Missing invoice date",IF(NOT(ISNUMBER(C188)),"Invalid date",IF(OR(C188&lt;DATE(2000,1,1),C188&gt;DATE(2099,12,31)),"Invalid date",IF(F188="","Select a revenue account",IF(ISNA(MATCH(F188,coa_Name,0)),"Unknown account: "&amp;F188,IF(NOT(ISNUMBER(G188)),"Enter an amount",IF(G188&lt;=0,"Amount must be positive",IF(S188&gt;G188,"Tax is larger than the amount",""))))))))))</f>
        <v/>
      </c>
      <c r="U188" s="67">
        <f>IF(OR(R188=1,T188&lt;&gt;""),"",IF(COUNTIF(ar_No,B188)&gt;1,"Duplicate invoice #",IF(D188="","Select a customer",IF(N(L188)&lt;0,"Overpaid by "&amp;TEXT(-L188,"#,##0.00"),IF(AND(ISNUMBER(H188),N(H188)&lt;&gt;0,S188=0),"Tax ignored (tax tracking is off)",IF(AND(ISNUMBER(StartDate),C188&lt;StartDate),"Date is before the accounting start date",IF(AND(IFERROR(INDEX(coa_Type,MATCH(F188,coa_Name,0)),"")&lt;&gt;"Revenue",IFERROR(INDEX(coa_Type,MATCH(F188,coa_Name,0)),"")&lt;&gt;"Other Income"),"Account is not a revenue account","")))))))</f>
        <v/>
      </c>
      <c r="V188" s="67">
        <f>IF(AND(R188=0,T188=""),1,0)</f>
        <v/>
      </c>
      <c r="W188" s="67">
        <f>IF(V188=1,acctAR,"")</f>
        <v/>
      </c>
      <c r="X188" s="67">
        <f>IF(V188=1,F188,"")</f>
        <v/>
      </c>
      <c r="Y188" s="68">
        <f>IF(V188=1,G188,0)</f>
        <v/>
      </c>
      <c r="Z188" s="68">
        <f>IF(V188=1,G188-S188,0)</f>
        <v/>
      </c>
      <c r="AA188" s="68">
        <f>IF(V188=1,S188,0)</f>
        <v/>
      </c>
    </row>
    <row r="189">
      <c r="B189" s="62" t="n"/>
      <c r="C189" s="63" t="n"/>
      <c r="D189" s="62" t="n"/>
      <c r="E189" s="62" t="n"/>
      <c r="F189" s="62" t="n"/>
      <c r="G189" s="64" t="n"/>
      <c r="H189" s="64" t="n"/>
      <c r="I189" s="63" t="n"/>
      <c r="J189" s="29">
        <f>IF(V189=1,IF(ISNUMBER(I189),I189,C189+IF(ISNUMBER(IFERROR(INDEX(cust_Terms,MATCH(D189,cust_Name,0)),"")),INDEX(cust_Terms,MATCH(D189,cust_Name,0)),TermsDays)),"")</f>
        <v/>
      </c>
      <c r="K189" s="65">
        <f>IF(V189=1,SUMIFS(tx_DrAmt,tx_Type,"Customer Payment",tx_Ref,B189&amp;"",tx_Date,"&lt;="&amp;AsOf),"")</f>
        <v/>
      </c>
      <c r="L189" s="65">
        <f>IF(V189=1,IF(C189&gt;AsOf,0,ROUND(G189-K189,2)),"")</f>
        <v/>
      </c>
      <c r="M189" s="66">
        <f>IF(V189&lt;&gt;1,"",IF(C189&gt;AsOf,"Future",IF(L189&lt;0,"Overpaid",IF(L189=0,"Paid",IF(AsOf&gt;J189,"Overdue",IF(K189&gt;0,"Partial","Unpaid"))))))</f>
        <v/>
      </c>
      <c r="N189" s="28">
        <f>IF(AND(V189=1,N(L189)&gt;0),AsOf-C189,"")</f>
        <v/>
      </c>
      <c r="O189" s="28">
        <f>IF(N189="","",MAX(0,AsOf-J189))</f>
        <v/>
      </c>
      <c r="P189" s="66">
        <f>IF(O189="","",IF(O189=0,"Current",IF(O189&lt;=30,"1-30",IF(O189&lt;=60,"31-60",IF(O189&lt;=90,"61-90","90+")))))</f>
        <v/>
      </c>
      <c r="Q189" s="66">
        <f>IF(T189&lt;&gt;"","⛔ "&amp;T189&amp;" — not posted",IF(U189&lt;&gt;"","⚠ "&amp;U189,IF(V189=1,"✓ OK","")))</f>
        <v/>
      </c>
      <c r="R189" s="67">
        <f>IF(AND(B189="",C189="",D189="",G189="",F189=""),1,0)</f>
        <v/>
      </c>
      <c r="S189" s="68">
        <f>IF(AND(TaxOn="Yes",ISNUMBER(H189)),H189,0)</f>
        <v/>
      </c>
      <c r="T189" s="67">
        <f>IF(R189=1,"",IF(B189="","Enter an invoice #",IF(C189="","Missing invoice date",IF(NOT(ISNUMBER(C189)),"Invalid date",IF(OR(C189&lt;DATE(2000,1,1),C189&gt;DATE(2099,12,31)),"Invalid date",IF(F189="","Select a revenue account",IF(ISNA(MATCH(F189,coa_Name,0)),"Unknown account: "&amp;F189,IF(NOT(ISNUMBER(G189)),"Enter an amount",IF(G189&lt;=0,"Amount must be positive",IF(S189&gt;G189,"Tax is larger than the amount",""))))))))))</f>
        <v/>
      </c>
      <c r="U189" s="67">
        <f>IF(OR(R189=1,T189&lt;&gt;""),"",IF(COUNTIF(ar_No,B189)&gt;1,"Duplicate invoice #",IF(D189="","Select a customer",IF(N(L189)&lt;0,"Overpaid by "&amp;TEXT(-L189,"#,##0.00"),IF(AND(ISNUMBER(H189),N(H189)&lt;&gt;0,S189=0),"Tax ignored (tax tracking is off)",IF(AND(ISNUMBER(StartDate),C189&lt;StartDate),"Date is before the accounting start date",IF(AND(IFERROR(INDEX(coa_Type,MATCH(F189,coa_Name,0)),"")&lt;&gt;"Revenue",IFERROR(INDEX(coa_Type,MATCH(F189,coa_Name,0)),"")&lt;&gt;"Other Income"),"Account is not a revenue account","")))))))</f>
        <v/>
      </c>
      <c r="V189" s="67">
        <f>IF(AND(R189=0,T189=""),1,0)</f>
        <v/>
      </c>
      <c r="W189" s="67">
        <f>IF(V189=1,acctAR,"")</f>
        <v/>
      </c>
      <c r="X189" s="67">
        <f>IF(V189=1,F189,"")</f>
        <v/>
      </c>
      <c r="Y189" s="68">
        <f>IF(V189=1,G189,0)</f>
        <v/>
      </c>
      <c r="Z189" s="68">
        <f>IF(V189=1,G189-S189,0)</f>
        <v/>
      </c>
      <c r="AA189" s="68">
        <f>IF(V189=1,S189,0)</f>
        <v/>
      </c>
    </row>
    <row r="190">
      <c r="B190" s="62" t="n"/>
      <c r="C190" s="63" t="n"/>
      <c r="D190" s="62" t="n"/>
      <c r="E190" s="62" t="n"/>
      <c r="F190" s="62" t="n"/>
      <c r="G190" s="64" t="n"/>
      <c r="H190" s="64" t="n"/>
      <c r="I190" s="63" t="n"/>
      <c r="J190" s="29">
        <f>IF(V190=1,IF(ISNUMBER(I190),I190,C190+IF(ISNUMBER(IFERROR(INDEX(cust_Terms,MATCH(D190,cust_Name,0)),"")),INDEX(cust_Terms,MATCH(D190,cust_Name,0)),TermsDays)),"")</f>
        <v/>
      </c>
      <c r="K190" s="65">
        <f>IF(V190=1,SUMIFS(tx_DrAmt,tx_Type,"Customer Payment",tx_Ref,B190&amp;"",tx_Date,"&lt;="&amp;AsOf),"")</f>
        <v/>
      </c>
      <c r="L190" s="65">
        <f>IF(V190=1,IF(C190&gt;AsOf,0,ROUND(G190-K190,2)),"")</f>
        <v/>
      </c>
      <c r="M190" s="66">
        <f>IF(V190&lt;&gt;1,"",IF(C190&gt;AsOf,"Future",IF(L190&lt;0,"Overpaid",IF(L190=0,"Paid",IF(AsOf&gt;J190,"Overdue",IF(K190&gt;0,"Partial","Unpaid"))))))</f>
        <v/>
      </c>
      <c r="N190" s="28">
        <f>IF(AND(V190=1,N(L190)&gt;0),AsOf-C190,"")</f>
        <v/>
      </c>
      <c r="O190" s="28">
        <f>IF(N190="","",MAX(0,AsOf-J190))</f>
        <v/>
      </c>
      <c r="P190" s="66">
        <f>IF(O190="","",IF(O190=0,"Current",IF(O190&lt;=30,"1-30",IF(O190&lt;=60,"31-60",IF(O190&lt;=90,"61-90","90+")))))</f>
        <v/>
      </c>
      <c r="Q190" s="66">
        <f>IF(T190&lt;&gt;"","⛔ "&amp;T190&amp;" — not posted",IF(U190&lt;&gt;"","⚠ "&amp;U190,IF(V190=1,"✓ OK","")))</f>
        <v/>
      </c>
      <c r="R190" s="67">
        <f>IF(AND(B190="",C190="",D190="",G190="",F190=""),1,0)</f>
        <v/>
      </c>
      <c r="S190" s="68">
        <f>IF(AND(TaxOn="Yes",ISNUMBER(H190)),H190,0)</f>
        <v/>
      </c>
      <c r="T190" s="67">
        <f>IF(R190=1,"",IF(B190="","Enter an invoice #",IF(C190="","Missing invoice date",IF(NOT(ISNUMBER(C190)),"Invalid date",IF(OR(C190&lt;DATE(2000,1,1),C190&gt;DATE(2099,12,31)),"Invalid date",IF(F190="","Select a revenue account",IF(ISNA(MATCH(F190,coa_Name,0)),"Unknown account: "&amp;F190,IF(NOT(ISNUMBER(G190)),"Enter an amount",IF(G190&lt;=0,"Amount must be positive",IF(S190&gt;G190,"Tax is larger than the amount",""))))))))))</f>
        <v/>
      </c>
      <c r="U190" s="67">
        <f>IF(OR(R190=1,T190&lt;&gt;""),"",IF(COUNTIF(ar_No,B190)&gt;1,"Duplicate invoice #",IF(D190="","Select a customer",IF(N(L190)&lt;0,"Overpaid by "&amp;TEXT(-L190,"#,##0.00"),IF(AND(ISNUMBER(H190),N(H190)&lt;&gt;0,S190=0),"Tax ignored (tax tracking is off)",IF(AND(ISNUMBER(StartDate),C190&lt;StartDate),"Date is before the accounting start date",IF(AND(IFERROR(INDEX(coa_Type,MATCH(F190,coa_Name,0)),"")&lt;&gt;"Revenue",IFERROR(INDEX(coa_Type,MATCH(F190,coa_Name,0)),"")&lt;&gt;"Other Income"),"Account is not a revenue account","")))))))</f>
        <v/>
      </c>
      <c r="V190" s="67">
        <f>IF(AND(R190=0,T190=""),1,0)</f>
        <v/>
      </c>
      <c r="W190" s="67">
        <f>IF(V190=1,acctAR,"")</f>
        <v/>
      </c>
      <c r="X190" s="67">
        <f>IF(V190=1,F190,"")</f>
        <v/>
      </c>
      <c r="Y190" s="68">
        <f>IF(V190=1,G190,0)</f>
        <v/>
      </c>
      <c r="Z190" s="68">
        <f>IF(V190=1,G190-S190,0)</f>
        <v/>
      </c>
      <c r="AA190" s="68">
        <f>IF(V190=1,S190,0)</f>
        <v/>
      </c>
    </row>
    <row r="191">
      <c r="B191" s="62" t="n"/>
      <c r="C191" s="63" t="n"/>
      <c r="D191" s="62" t="n"/>
      <c r="E191" s="62" t="n"/>
      <c r="F191" s="62" t="n"/>
      <c r="G191" s="64" t="n"/>
      <c r="H191" s="64" t="n"/>
      <c r="I191" s="63" t="n"/>
      <c r="J191" s="29">
        <f>IF(V191=1,IF(ISNUMBER(I191),I191,C191+IF(ISNUMBER(IFERROR(INDEX(cust_Terms,MATCH(D191,cust_Name,0)),"")),INDEX(cust_Terms,MATCH(D191,cust_Name,0)),TermsDays)),"")</f>
        <v/>
      </c>
      <c r="K191" s="65">
        <f>IF(V191=1,SUMIFS(tx_DrAmt,tx_Type,"Customer Payment",tx_Ref,B191&amp;"",tx_Date,"&lt;="&amp;AsOf),"")</f>
        <v/>
      </c>
      <c r="L191" s="65">
        <f>IF(V191=1,IF(C191&gt;AsOf,0,ROUND(G191-K191,2)),"")</f>
        <v/>
      </c>
      <c r="M191" s="66">
        <f>IF(V191&lt;&gt;1,"",IF(C191&gt;AsOf,"Future",IF(L191&lt;0,"Overpaid",IF(L191=0,"Paid",IF(AsOf&gt;J191,"Overdue",IF(K191&gt;0,"Partial","Unpaid"))))))</f>
        <v/>
      </c>
      <c r="N191" s="28">
        <f>IF(AND(V191=1,N(L191)&gt;0),AsOf-C191,"")</f>
        <v/>
      </c>
      <c r="O191" s="28">
        <f>IF(N191="","",MAX(0,AsOf-J191))</f>
        <v/>
      </c>
      <c r="P191" s="66">
        <f>IF(O191="","",IF(O191=0,"Current",IF(O191&lt;=30,"1-30",IF(O191&lt;=60,"31-60",IF(O191&lt;=90,"61-90","90+")))))</f>
        <v/>
      </c>
      <c r="Q191" s="66">
        <f>IF(T191&lt;&gt;"","⛔ "&amp;T191&amp;" — not posted",IF(U191&lt;&gt;"","⚠ "&amp;U191,IF(V191=1,"✓ OK","")))</f>
        <v/>
      </c>
      <c r="R191" s="67">
        <f>IF(AND(B191="",C191="",D191="",G191="",F191=""),1,0)</f>
        <v/>
      </c>
      <c r="S191" s="68">
        <f>IF(AND(TaxOn="Yes",ISNUMBER(H191)),H191,0)</f>
        <v/>
      </c>
      <c r="T191" s="67">
        <f>IF(R191=1,"",IF(B191="","Enter an invoice #",IF(C191="","Missing invoice date",IF(NOT(ISNUMBER(C191)),"Invalid date",IF(OR(C191&lt;DATE(2000,1,1),C191&gt;DATE(2099,12,31)),"Invalid date",IF(F191="","Select a revenue account",IF(ISNA(MATCH(F191,coa_Name,0)),"Unknown account: "&amp;F191,IF(NOT(ISNUMBER(G191)),"Enter an amount",IF(G191&lt;=0,"Amount must be positive",IF(S191&gt;G191,"Tax is larger than the amount",""))))))))))</f>
        <v/>
      </c>
      <c r="U191" s="67">
        <f>IF(OR(R191=1,T191&lt;&gt;""),"",IF(COUNTIF(ar_No,B191)&gt;1,"Duplicate invoice #",IF(D191="","Select a customer",IF(N(L191)&lt;0,"Overpaid by "&amp;TEXT(-L191,"#,##0.00"),IF(AND(ISNUMBER(H191),N(H191)&lt;&gt;0,S191=0),"Tax ignored (tax tracking is off)",IF(AND(ISNUMBER(StartDate),C191&lt;StartDate),"Date is before the accounting start date",IF(AND(IFERROR(INDEX(coa_Type,MATCH(F191,coa_Name,0)),"")&lt;&gt;"Revenue",IFERROR(INDEX(coa_Type,MATCH(F191,coa_Name,0)),"")&lt;&gt;"Other Income"),"Account is not a revenue account","")))))))</f>
        <v/>
      </c>
      <c r="V191" s="67">
        <f>IF(AND(R191=0,T191=""),1,0)</f>
        <v/>
      </c>
      <c r="W191" s="67">
        <f>IF(V191=1,acctAR,"")</f>
        <v/>
      </c>
      <c r="X191" s="67">
        <f>IF(V191=1,F191,"")</f>
        <v/>
      </c>
      <c r="Y191" s="68">
        <f>IF(V191=1,G191,0)</f>
        <v/>
      </c>
      <c r="Z191" s="68">
        <f>IF(V191=1,G191-S191,0)</f>
        <v/>
      </c>
      <c r="AA191" s="68">
        <f>IF(V191=1,S191,0)</f>
        <v/>
      </c>
    </row>
    <row r="192">
      <c r="B192" s="62" t="n"/>
      <c r="C192" s="63" t="n"/>
      <c r="D192" s="62" t="n"/>
      <c r="E192" s="62" t="n"/>
      <c r="F192" s="62" t="n"/>
      <c r="G192" s="64" t="n"/>
      <c r="H192" s="64" t="n"/>
      <c r="I192" s="63" t="n"/>
      <c r="J192" s="29">
        <f>IF(V192=1,IF(ISNUMBER(I192),I192,C192+IF(ISNUMBER(IFERROR(INDEX(cust_Terms,MATCH(D192,cust_Name,0)),"")),INDEX(cust_Terms,MATCH(D192,cust_Name,0)),TermsDays)),"")</f>
        <v/>
      </c>
      <c r="K192" s="65">
        <f>IF(V192=1,SUMIFS(tx_DrAmt,tx_Type,"Customer Payment",tx_Ref,B192&amp;"",tx_Date,"&lt;="&amp;AsOf),"")</f>
        <v/>
      </c>
      <c r="L192" s="65">
        <f>IF(V192=1,IF(C192&gt;AsOf,0,ROUND(G192-K192,2)),"")</f>
        <v/>
      </c>
      <c r="M192" s="66">
        <f>IF(V192&lt;&gt;1,"",IF(C192&gt;AsOf,"Future",IF(L192&lt;0,"Overpaid",IF(L192=0,"Paid",IF(AsOf&gt;J192,"Overdue",IF(K192&gt;0,"Partial","Unpaid"))))))</f>
        <v/>
      </c>
      <c r="N192" s="28">
        <f>IF(AND(V192=1,N(L192)&gt;0),AsOf-C192,"")</f>
        <v/>
      </c>
      <c r="O192" s="28">
        <f>IF(N192="","",MAX(0,AsOf-J192))</f>
        <v/>
      </c>
      <c r="P192" s="66">
        <f>IF(O192="","",IF(O192=0,"Current",IF(O192&lt;=30,"1-30",IF(O192&lt;=60,"31-60",IF(O192&lt;=90,"61-90","90+")))))</f>
        <v/>
      </c>
      <c r="Q192" s="66">
        <f>IF(T192&lt;&gt;"","⛔ "&amp;T192&amp;" — not posted",IF(U192&lt;&gt;"","⚠ "&amp;U192,IF(V192=1,"✓ OK","")))</f>
        <v/>
      </c>
      <c r="R192" s="67">
        <f>IF(AND(B192="",C192="",D192="",G192="",F192=""),1,0)</f>
        <v/>
      </c>
      <c r="S192" s="68">
        <f>IF(AND(TaxOn="Yes",ISNUMBER(H192)),H192,0)</f>
        <v/>
      </c>
      <c r="T192" s="67">
        <f>IF(R192=1,"",IF(B192="","Enter an invoice #",IF(C192="","Missing invoice date",IF(NOT(ISNUMBER(C192)),"Invalid date",IF(OR(C192&lt;DATE(2000,1,1),C192&gt;DATE(2099,12,31)),"Invalid date",IF(F192="","Select a revenue account",IF(ISNA(MATCH(F192,coa_Name,0)),"Unknown account: "&amp;F192,IF(NOT(ISNUMBER(G192)),"Enter an amount",IF(G192&lt;=0,"Amount must be positive",IF(S192&gt;G192,"Tax is larger than the amount",""))))))))))</f>
        <v/>
      </c>
      <c r="U192" s="67">
        <f>IF(OR(R192=1,T192&lt;&gt;""),"",IF(COUNTIF(ar_No,B192)&gt;1,"Duplicate invoice #",IF(D192="","Select a customer",IF(N(L192)&lt;0,"Overpaid by "&amp;TEXT(-L192,"#,##0.00"),IF(AND(ISNUMBER(H192),N(H192)&lt;&gt;0,S192=0),"Tax ignored (tax tracking is off)",IF(AND(ISNUMBER(StartDate),C192&lt;StartDate),"Date is before the accounting start date",IF(AND(IFERROR(INDEX(coa_Type,MATCH(F192,coa_Name,0)),"")&lt;&gt;"Revenue",IFERROR(INDEX(coa_Type,MATCH(F192,coa_Name,0)),"")&lt;&gt;"Other Income"),"Account is not a revenue account","")))))))</f>
        <v/>
      </c>
      <c r="V192" s="67">
        <f>IF(AND(R192=0,T192=""),1,0)</f>
        <v/>
      </c>
      <c r="W192" s="67">
        <f>IF(V192=1,acctAR,"")</f>
        <v/>
      </c>
      <c r="X192" s="67">
        <f>IF(V192=1,F192,"")</f>
        <v/>
      </c>
      <c r="Y192" s="68">
        <f>IF(V192=1,G192,0)</f>
        <v/>
      </c>
      <c r="Z192" s="68">
        <f>IF(V192=1,G192-S192,0)</f>
        <v/>
      </c>
      <c r="AA192" s="68">
        <f>IF(V192=1,S192,0)</f>
        <v/>
      </c>
    </row>
    <row r="193">
      <c r="B193" s="62" t="n"/>
      <c r="C193" s="63" t="n"/>
      <c r="D193" s="62" t="n"/>
      <c r="E193" s="62" t="n"/>
      <c r="F193" s="62" t="n"/>
      <c r="G193" s="64" t="n"/>
      <c r="H193" s="64" t="n"/>
      <c r="I193" s="63" t="n"/>
      <c r="J193" s="29">
        <f>IF(V193=1,IF(ISNUMBER(I193),I193,C193+IF(ISNUMBER(IFERROR(INDEX(cust_Terms,MATCH(D193,cust_Name,0)),"")),INDEX(cust_Terms,MATCH(D193,cust_Name,0)),TermsDays)),"")</f>
        <v/>
      </c>
      <c r="K193" s="65">
        <f>IF(V193=1,SUMIFS(tx_DrAmt,tx_Type,"Customer Payment",tx_Ref,B193&amp;"",tx_Date,"&lt;="&amp;AsOf),"")</f>
        <v/>
      </c>
      <c r="L193" s="65">
        <f>IF(V193=1,IF(C193&gt;AsOf,0,ROUND(G193-K193,2)),"")</f>
        <v/>
      </c>
      <c r="M193" s="66">
        <f>IF(V193&lt;&gt;1,"",IF(C193&gt;AsOf,"Future",IF(L193&lt;0,"Overpaid",IF(L193=0,"Paid",IF(AsOf&gt;J193,"Overdue",IF(K193&gt;0,"Partial","Unpaid"))))))</f>
        <v/>
      </c>
      <c r="N193" s="28">
        <f>IF(AND(V193=1,N(L193)&gt;0),AsOf-C193,"")</f>
        <v/>
      </c>
      <c r="O193" s="28">
        <f>IF(N193="","",MAX(0,AsOf-J193))</f>
        <v/>
      </c>
      <c r="P193" s="66">
        <f>IF(O193="","",IF(O193=0,"Current",IF(O193&lt;=30,"1-30",IF(O193&lt;=60,"31-60",IF(O193&lt;=90,"61-90","90+")))))</f>
        <v/>
      </c>
      <c r="Q193" s="66">
        <f>IF(T193&lt;&gt;"","⛔ "&amp;T193&amp;" — not posted",IF(U193&lt;&gt;"","⚠ "&amp;U193,IF(V193=1,"✓ OK","")))</f>
        <v/>
      </c>
      <c r="R193" s="67">
        <f>IF(AND(B193="",C193="",D193="",G193="",F193=""),1,0)</f>
        <v/>
      </c>
      <c r="S193" s="68">
        <f>IF(AND(TaxOn="Yes",ISNUMBER(H193)),H193,0)</f>
        <v/>
      </c>
      <c r="T193" s="67">
        <f>IF(R193=1,"",IF(B193="","Enter an invoice #",IF(C193="","Missing invoice date",IF(NOT(ISNUMBER(C193)),"Invalid date",IF(OR(C193&lt;DATE(2000,1,1),C193&gt;DATE(2099,12,31)),"Invalid date",IF(F193="","Select a revenue account",IF(ISNA(MATCH(F193,coa_Name,0)),"Unknown account: "&amp;F193,IF(NOT(ISNUMBER(G193)),"Enter an amount",IF(G193&lt;=0,"Amount must be positive",IF(S193&gt;G193,"Tax is larger than the amount",""))))))))))</f>
        <v/>
      </c>
      <c r="U193" s="67">
        <f>IF(OR(R193=1,T193&lt;&gt;""),"",IF(COUNTIF(ar_No,B193)&gt;1,"Duplicate invoice #",IF(D193="","Select a customer",IF(N(L193)&lt;0,"Overpaid by "&amp;TEXT(-L193,"#,##0.00"),IF(AND(ISNUMBER(H193),N(H193)&lt;&gt;0,S193=0),"Tax ignored (tax tracking is off)",IF(AND(ISNUMBER(StartDate),C193&lt;StartDate),"Date is before the accounting start date",IF(AND(IFERROR(INDEX(coa_Type,MATCH(F193,coa_Name,0)),"")&lt;&gt;"Revenue",IFERROR(INDEX(coa_Type,MATCH(F193,coa_Name,0)),"")&lt;&gt;"Other Income"),"Account is not a revenue account","")))))))</f>
        <v/>
      </c>
      <c r="V193" s="67">
        <f>IF(AND(R193=0,T193=""),1,0)</f>
        <v/>
      </c>
      <c r="W193" s="67">
        <f>IF(V193=1,acctAR,"")</f>
        <v/>
      </c>
      <c r="X193" s="67">
        <f>IF(V193=1,F193,"")</f>
        <v/>
      </c>
      <c r="Y193" s="68">
        <f>IF(V193=1,G193,0)</f>
        <v/>
      </c>
      <c r="Z193" s="68">
        <f>IF(V193=1,G193-S193,0)</f>
        <v/>
      </c>
      <c r="AA193" s="68">
        <f>IF(V193=1,S193,0)</f>
        <v/>
      </c>
    </row>
    <row r="194">
      <c r="B194" s="62" t="n"/>
      <c r="C194" s="63" t="n"/>
      <c r="D194" s="62" t="n"/>
      <c r="E194" s="62" t="n"/>
      <c r="F194" s="62" t="n"/>
      <c r="G194" s="64" t="n"/>
      <c r="H194" s="64" t="n"/>
      <c r="I194" s="63" t="n"/>
      <c r="J194" s="29">
        <f>IF(V194=1,IF(ISNUMBER(I194),I194,C194+IF(ISNUMBER(IFERROR(INDEX(cust_Terms,MATCH(D194,cust_Name,0)),"")),INDEX(cust_Terms,MATCH(D194,cust_Name,0)),TermsDays)),"")</f>
        <v/>
      </c>
      <c r="K194" s="65">
        <f>IF(V194=1,SUMIFS(tx_DrAmt,tx_Type,"Customer Payment",tx_Ref,B194&amp;"",tx_Date,"&lt;="&amp;AsOf),"")</f>
        <v/>
      </c>
      <c r="L194" s="65">
        <f>IF(V194=1,IF(C194&gt;AsOf,0,ROUND(G194-K194,2)),"")</f>
        <v/>
      </c>
      <c r="M194" s="66">
        <f>IF(V194&lt;&gt;1,"",IF(C194&gt;AsOf,"Future",IF(L194&lt;0,"Overpaid",IF(L194=0,"Paid",IF(AsOf&gt;J194,"Overdue",IF(K194&gt;0,"Partial","Unpaid"))))))</f>
        <v/>
      </c>
      <c r="N194" s="28">
        <f>IF(AND(V194=1,N(L194)&gt;0),AsOf-C194,"")</f>
        <v/>
      </c>
      <c r="O194" s="28">
        <f>IF(N194="","",MAX(0,AsOf-J194))</f>
        <v/>
      </c>
      <c r="P194" s="66">
        <f>IF(O194="","",IF(O194=0,"Current",IF(O194&lt;=30,"1-30",IF(O194&lt;=60,"31-60",IF(O194&lt;=90,"61-90","90+")))))</f>
        <v/>
      </c>
      <c r="Q194" s="66">
        <f>IF(T194&lt;&gt;"","⛔ "&amp;T194&amp;" — not posted",IF(U194&lt;&gt;"","⚠ "&amp;U194,IF(V194=1,"✓ OK","")))</f>
        <v/>
      </c>
      <c r="R194" s="67">
        <f>IF(AND(B194="",C194="",D194="",G194="",F194=""),1,0)</f>
        <v/>
      </c>
      <c r="S194" s="68">
        <f>IF(AND(TaxOn="Yes",ISNUMBER(H194)),H194,0)</f>
        <v/>
      </c>
      <c r="T194" s="67">
        <f>IF(R194=1,"",IF(B194="","Enter an invoice #",IF(C194="","Missing invoice date",IF(NOT(ISNUMBER(C194)),"Invalid date",IF(OR(C194&lt;DATE(2000,1,1),C194&gt;DATE(2099,12,31)),"Invalid date",IF(F194="","Select a revenue account",IF(ISNA(MATCH(F194,coa_Name,0)),"Unknown account: "&amp;F194,IF(NOT(ISNUMBER(G194)),"Enter an amount",IF(G194&lt;=0,"Amount must be positive",IF(S194&gt;G194,"Tax is larger than the amount",""))))))))))</f>
        <v/>
      </c>
      <c r="U194" s="67">
        <f>IF(OR(R194=1,T194&lt;&gt;""),"",IF(COUNTIF(ar_No,B194)&gt;1,"Duplicate invoice #",IF(D194="","Select a customer",IF(N(L194)&lt;0,"Overpaid by "&amp;TEXT(-L194,"#,##0.00"),IF(AND(ISNUMBER(H194),N(H194)&lt;&gt;0,S194=0),"Tax ignored (tax tracking is off)",IF(AND(ISNUMBER(StartDate),C194&lt;StartDate),"Date is before the accounting start date",IF(AND(IFERROR(INDEX(coa_Type,MATCH(F194,coa_Name,0)),"")&lt;&gt;"Revenue",IFERROR(INDEX(coa_Type,MATCH(F194,coa_Name,0)),"")&lt;&gt;"Other Income"),"Account is not a revenue account","")))))))</f>
        <v/>
      </c>
      <c r="V194" s="67">
        <f>IF(AND(R194=0,T194=""),1,0)</f>
        <v/>
      </c>
      <c r="W194" s="67">
        <f>IF(V194=1,acctAR,"")</f>
        <v/>
      </c>
      <c r="X194" s="67">
        <f>IF(V194=1,F194,"")</f>
        <v/>
      </c>
      <c r="Y194" s="68">
        <f>IF(V194=1,G194,0)</f>
        <v/>
      </c>
      <c r="Z194" s="68">
        <f>IF(V194=1,G194-S194,0)</f>
        <v/>
      </c>
      <c r="AA194" s="68">
        <f>IF(V194=1,S194,0)</f>
        <v/>
      </c>
    </row>
    <row r="195">
      <c r="B195" s="62" t="n"/>
      <c r="C195" s="63" t="n"/>
      <c r="D195" s="62" t="n"/>
      <c r="E195" s="62" t="n"/>
      <c r="F195" s="62" t="n"/>
      <c r="G195" s="64" t="n"/>
      <c r="H195" s="64" t="n"/>
      <c r="I195" s="63" t="n"/>
      <c r="J195" s="29">
        <f>IF(V195=1,IF(ISNUMBER(I195),I195,C195+IF(ISNUMBER(IFERROR(INDEX(cust_Terms,MATCH(D195,cust_Name,0)),"")),INDEX(cust_Terms,MATCH(D195,cust_Name,0)),TermsDays)),"")</f>
        <v/>
      </c>
      <c r="K195" s="65">
        <f>IF(V195=1,SUMIFS(tx_DrAmt,tx_Type,"Customer Payment",tx_Ref,B195&amp;"",tx_Date,"&lt;="&amp;AsOf),"")</f>
        <v/>
      </c>
      <c r="L195" s="65">
        <f>IF(V195=1,IF(C195&gt;AsOf,0,ROUND(G195-K195,2)),"")</f>
        <v/>
      </c>
      <c r="M195" s="66">
        <f>IF(V195&lt;&gt;1,"",IF(C195&gt;AsOf,"Future",IF(L195&lt;0,"Overpaid",IF(L195=0,"Paid",IF(AsOf&gt;J195,"Overdue",IF(K195&gt;0,"Partial","Unpaid"))))))</f>
        <v/>
      </c>
      <c r="N195" s="28">
        <f>IF(AND(V195=1,N(L195)&gt;0),AsOf-C195,"")</f>
        <v/>
      </c>
      <c r="O195" s="28">
        <f>IF(N195="","",MAX(0,AsOf-J195))</f>
        <v/>
      </c>
      <c r="P195" s="66">
        <f>IF(O195="","",IF(O195=0,"Current",IF(O195&lt;=30,"1-30",IF(O195&lt;=60,"31-60",IF(O195&lt;=90,"61-90","90+")))))</f>
        <v/>
      </c>
      <c r="Q195" s="66">
        <f>IF(T195&lt;&gt;"","⛔ "&amp;T195&amp;" — not posted",IF(U195&lt;&gt;"","⚠ "&amp;U195,IF(V195=1,"✓ OK","")))</f>
        <v/>
      </c>
      <c r="R195" s="67">
        <f>IF(AND(B195="",C195="",D195="",G195="",F195=""),1,0)</f>
        <v/>
      </c>
      <c r="S195" s="68">
        <f>IF(AND(TaxOn="Yes",ISNUMBER(H195)),H195,0)</f>
        <v/>
      </c>
      <c r="T195" s="67">
        <f>IF(R195=1,"",IF(B195="","Enter an invoice #",IF(C195="","Missing invoice date",IF(NOT(ISNUMBER(C195)),"Invalid date",IF(OR(C195&lt;DATE(2000,1,1),C195&gt;DATE(2099,12,31)),"Invalid date",IF(F195="","Select a revenue account",IF(ISNA(MATCH(F195,coa_Name,0)),"Unknown account: "&amp;F195,IF(NOT(ISNUMBER(G195)),"Enter an amount",IF(G195&lt;=0,"Amount must be positive",IF(S195&gt;G195,"Tax is larger than the amount",""))))))))))</f>
        <v/>
      </c>
      <c r="U195" s="67">
        <f>IF(OR(R195=1,T195&lt;&gt;""),"",IF(COUNTIF(ar_No,B195)&gt;1,"Duplicate invoice #",IF(D195="","Select a customer",IF(N(L195)&lt;0,"Overpaid by "&amp;TEXT(-L195,"#,##0.00"),IF(AND(ISNUMBER(H195),N(H195)&lt;&gt;0,S195=0),"Tax ignored (tax tracking is off)",IF(AND(ISNUMBER(StartDate),C195&lt;StartDate),"Date is before the accounting start date",IF(AND(IFERROR(INDEX(coa_Type,MATCH(F195,coa_Name,0)),"")&lt;&gt;"Revenue",IFERROR(INDEX(coa_Type,MATCH(F195,coa_Name,0)),"")&lt;&gt;"Other Income"),"Account is not a revenue account","")))))))</f>
        <v/>
      </c>
      <c r="V195" s="67">
        <f>IF(AND(R195=0,T195=""),1,0)</f>
        <v/>
      </c>
      <c r="W195" s="67">
        <f>IF(V195=1,acctAR,"")</f>
        <v/>
      </c>
      <c r="X195" s="67">
        <f>IF(V195=1,F195,"")</f>
        <v/>
      </c>
      <c r="Y195" s="68">
        <f>IF(V195=1,G195,0)</f>
        <v/>
      </c>
      <c r="Z195" s="68">
        <f>IF(V195=1,G195-S195,0)</f>
        <v/>
      </c>
      <c r="AA195" s="68">
        <f>IF(V195=1,S195,0)</f>
        <v/>
      </c>
    </row>
    <row r="196">
      <c r="B196" s="62" t="n"/>
      <c r="C196" s="63" t="n"/>
      <c r="D196" s="62" t="n"/>
      <c r="E196" s="62" t="n"/>
      <c r="F196" s="62" t="n"/>
      <c r="G196" s="64" t="n"/>
      <c r="H196" s="64" t="n"/>
      <c r="I196" s="63" t="n"/>
      <c r="J196" s="29">
        <f>IF(V196=1,IF(ISNUMBER(I196),I196,C196+IF(ISNUMBER(IFERROR(INDEX(cust_Terms,MATCH(D196,cust_Name,0)),"")),INDEX(cust_Terms,MATCH(D196,cust_Name,0)),TermsDays)),"")</f>
        <v/>
      </c>
      <c r="K196" s="65">
        <f>IF(V196=1,SUMIFS(tx_DrAmt,tx_Type,"Customer Payment",tx_Ref,B196&amp;"",tx_Date,"&lt;="&amp;AsOf),"")</f>
        <v/>
      </c>
      <c r="L196" s="65">
        <f>IF(V196=1,IF(C196&gt;AsOf,0,ROUND(G196-K196,2)),"")</f>
        <v/>
      </c>
      <c r="M196" s="66">
        <f>IF(V196&lt;&gt;1,"",IF(C196&gt;AsOf,"Future",IF(L196&lt;0,"Overpaid",IF(L196=0,"Paid",IF(AsOf&gt;J196,"Overdue",IF(K196&gt;0,"Partial","Unpaid"))))))</f>
        <v/>
      </c>
      <c r="N196" s="28">
        <f>IF(AND(V196=1,N(L196)&gt;0),AsOf-C196,"")</f>
        <v/>
      </c>
      <c r="O196" s="28">
        <f>IF(N196="","",MAX(0,AsOf-J196))</f>
        <v/>
      </c>
      <c r="P196" s="66">
        <f>IF(O196="","",IF(O196=0,"Current",IF(O196&lt;=30,"1-30",IF(O196&lt;=60,"31-60",IF(O196&lt;=90,"61-90","90+")))))</f>
        <v/>
      </c>
      <c r="Q196" s="66">
        <f>IF(T196&lt;&gt;"","⛔ "&amp;T196&amp;" — not posted",IF(U196&lt;&gt;"","⚠ "&amp;U196,IF(V196=1,"✓ OK","")))</f>
        <v/>
      </c>
      <c r="R196" s="67">
        <f>IF(AND(B196="",C196="",D196="",G196="",F196=""),1,0)</f>
        <v/>
      </c>
      <c r="S196" s="68">
        <f>IF(AND(TaxOn="Yes",ISNUMBER(H196)),H196,0)</f>
        <v/>
      </c>
      <c r="T196" s="67">
        <f>IF(R196=1,"",IF(B196="","Enter an invoice #",IF(C196="","Missing invoice date",IF(NOT(ISNUMBER(C196)),"Invalid date",IF(OR(C196&lt;DATE(2000,1,1),C196&gt;DATE(2099,12,31)),"Invalid date",IF(F196="","Select a revenue account",IF(ISNA(MATCH(F196,coa_Name,0)),"Unknown account: "&amp;F196,IF(NOT(ISNUMBER(G196)),"Enter an amount",IF(G196&lt;=0,"Amount must be positive",IF(S196&gt;G196,"Tax is larger than the amount",""))))))))))</f>
        <v/>
      </c>
      <c r="U196" s="67">
        <f>IF(OR(R196=1,T196&lt;&gt;""),"",IF(COUNTIF(ar_No,B196)&gt;1,"Duplicate invoice #",IF(D196="","Select a customer",IF(N(L196)&lt;0,"Overpaid by "&amp;TEXT(-L196,"#,##0.00"),IF(AND(ISNUMBER(H196),N(H196)&lt;&gt;0,S196=0),"Tax ignored (tax tracking is off)",IF(AND(ISNUMBER(StartDate),C196&lt;StartDate),"Date is before the accounting start date",IF(AND(IFERROR(INDEX(coa_Type,MATCH(F196,coa_Name,0)),"")&lt;&gt;"Revenue",IFERROR(INDEX(coa_Type,MATCH(F196,coa_Name,0)),"")&lt;&gt;"Other Income"),"Account is not a revenue account","")))))))</f>
        <v/>
      </c>
      <c r="V196" s="67">
        <f>IF(AND(R196=0,T196=""),1,0)</f>
        <v/>
      </c>
      <c r="W196" s="67">
        <f>IF(V196=1,acctAR,"")</f>
        <v/>
      </c>
      <c r="X196" s="67">
        <f>IF(V196=1,F196,"")</f>
        <v/>
      </c>
      <c r="Y196" s="68">
        <f>IF(V196=1,G196,0)</f>
        <v/>
      </c>
      <c r="Z196" s="68">
        <f>IF(V196=1,G196-S196,0)</f>
        <v/>
      </c>
      <c r="AA196" s="68">
        <f>IF(V196=1,S196,0)</f>
        <v/>
      </c>
    </row>
    <row r="197">
      <c r="B197" s="62" t="n"/>
      <c r="C197" s="63" t="n"/>
      <c r="D197" s="62" t="n"/>
      <c r="E197" s="62" t="n"/>
      <c r="F197" s="62" t="n"/>
      <c r="G197" s="64" t="n"/>
      <c r="H197" s="64" t="n"/>
      <c r="I197" s="63" t="n"/>
      <c r="J197" s="29">
        <f>IF(V197=1,IF(ISNUMBER(I197),I197,C197+IF(ISNUMBER(IFERROR(INDEX(cust_Terms,MATCH(D197,cust_Name,0)),"")),INDEX(cust_Terms,MATCH(D197,cust_Name,0)),TermsDays)),"")</f>
        <v/>
      </c>
      <c r="K197" s="65">
        <f>IF(V197=1,SUMIFS(tx_DrAmt,tx_Type,"Customer Payment",tx_Ref,B197&amp;"",tx_Date,"&lt;="&amp;AsOf),"")</f>
        <v/>
      </c>
      <c r="L197" s="65">
        <f>IF(V197=1,IF(C197&gt;AsOf,0,ROUND(G197-K197,2)),"")</f>
        <v/>
      </c>
      <c r="M197" s="66">
        <f>IF(V197&lt;&gt;1,"",IF(C197&gt;AsOf,"Future",IF(L197&lt;0,"Overpaid",IF(L197=0,"Paid",IF(AsOf&gt;J197,"Overdue",IF(K197&gt;0,"Partial","Unpaid"))))))</f>
        <v/>
      </c>
      <c r="N197" s="28">
        <f>IF(AND(V197=1,N(L197)&gt;0),AsOf-C197,"")</f>
        <v/>
      </c>
      <c r="O197" s="28">
        <f>IF(N197="","",MAX(0,AsOf-J197))</f>
        <v/>
      </c>
      <c r="P197" s="66">
        <f>IF(O197="","",IF(O197=0,"Current",IF(O197&lt;=30,"1-30",IF(O197&lt;=60,"31-60",IF(O197&lt;=90,"61-90","90+")))))</f>
        <v/>
      </c>
      <c r="Q197" s="66">
        <f>IF(T197&lt;&gt;"","⛔ "&amp;T197&amp;" — not posted",IF(U197&lt;&gt;"","⚠ "&amp;U197,IF(V197=1,"✓ OK","")))</f>
        <v/>
      </c>
      <c r="R197" s="67">
        <f>IF(AND(B197="",C197="",D197="",G197="",F197=""),1,0)</f>
        <v/>
      </c>
      <c r="S197" s="68">
        <f>IF(AND(TaxOn="Yes",ISNUMBER(H197)),H197,0)</f>
        <v/>
      </c>
      <c r="T197" s="67">
        <f>IF(R197=1,"",IF(B197="","Enter an invoice #",IF(C197="","Missing invoice date",IF(NOT(ISNUMBER(C197)),"Invalid date",IF(OR(C197&lt;DATE(2000,1,1),C197&gt;DATE(2099,12,31)),"Invalid date",IF(F197="","Select a revenue account",IF(ISNA(MATCH(F197,coa_Name,0)),"Unknown account: "&amp;F197,IF(NOT(ISNUMBER(G197)),"Enter an amount",IF(G197&lt;=0,"Amount must be positive",IF(S197&gt;G197,"Tax is larger than the amount",""))))))))))</f>
        <v/>
      </c>
      <c r="U197" s="67">
        <f>IF(OR(R197=1,T197&lt;&gt;""),"",IF(COUNTIF(ar_No,B197)&gt;1,"Duplicate invoice #",IF(D197="","Select a customer",IF(N(L197)&lt;0,"Overpaid by "&amp;TEXT(-L197,"#,##0.00"),IF(AND(ISNUMBER(H197),N(H197)&lt;&gt;0,S197=0),"Tax ignored (tax tracking is off)",IF(AND(ISNUMBER(StartDate),C197&lt;StartDate),"Date is before the accounting start date",IF(AND(IFERROR(INDEX(coa_Type,MATCH(F197,coa_Name,0)),"")&lt;&gt;"Revenue",IFERROR(INDEX(coa_Type,MATCH(F197,coa_Name,0)),"")&lt;&gt;"Other Income"),"Account is not a revenue account","")))))))</f>
        <v/>
      </c>
      <c r="V197" s="67">
        <f>IF(AND(R197=0,T197=""),1,0)</f>
        <v/>
      </c>
      <c r="W197" s="67">
        <f>IF(V197=1,acctAR,"")</f>
        <v/>
      </c>
      <c r="X197" s="67">
        <f>IF(V197=1,F197,"")</f>
        <v/>
      </c>
      <c r="Y197" s="68">
        <f>IF(V197=1,G197,0)</f>
        <v/>
      </c>
      <c r="Z197" s="68">
        <f>IF(V197=1,G197-S197,0)</f>
        <v/>
      </c>
      <c r="AA197" s="68">
        <f>IF(V197=1,S197,0)</f>
        <v/>
      </c>
    </row>
    <row r="198">
      <c r="B198" s="62" t="n"/>
      <c r="C198" s="63" t="n"/>
      <c r="D198" s="62" t="n"/>
      <c r="E198" s="62" t="n"/>
      <c r="F198" s="62" t="n"/>
      <c r="G198" s="64" t="n"/>
      <c r="H198" s="64" t="n"/>
      <c r="I198" s="63" t="n"/>
      <c r="J198" s="29">
        <f>IF(V198=1,IF(ISNUMBER(I198),I198,C198+IF(ISNUMBER(IFERROR(INDEX(cust_Terms,MATCH(D198,cust_Name,0)),"")),INDEX(cust_Terms,MATCH(D198,cust_Name,0)),TermsDays)),"")</f>
        <v/>
      </c>
      <c r="K198" s="65">
        <f>IF(V198=1,SUMIFS(tx_DrAmt,tx_Type,"Customer Payment",tx_Ref,B198&amp;"",tx_Date,"&lt;="&amp;AsOf),"")</f>
        <v/>
      </c>
      <c r="L198" s="65">
        <f>IF(V198=1,IF(C198&gt;AsOf,0,ROUND(G198-K198,2)),"")</f>
        <v/>
      </c>
      <c r="M198" s="66">
        <f>IF(V198&lt;&gt;1,"",IF(C198&gt;AsOf,"Future",IF(L198&lt;0,"Overpaid",IF(L198=0,"Paid",IF(AsOf&gt;J198,"Overdue",IF(K198&gt;0,"Partial","Unpaid"))))))</f>
        <v/>
      </c>
      <c r="N198" s="28">
        <f>IF(AND(V198=1,N(L198)&gt;0),AsOf-C198,"")</f>
        <v/>
      </c>
      <c r="O198" s="28">
        <f>IF(N198="","",MAX(0,AsOf-J198))</f>
        <v/>
      </c>
      <c r="P198" s="66">
        <f>IF(O198="","",IF(O198=0,"Current",IF(O198&lt;=30,"1-30",IF(O198&lt;=60,"31-60",IF(O198&lt;=90,"61-90","90+")))))</f>
        <v/>
      </c>
      <c r="Q198" s="66">
        <f>IF(T198&lt;&gt;"","⛔ "&amp;T198&amp;" — not posted",IF(U198&lt;&gt;"","⚠ "&amp;U198,IF(V198=1,"✓ OK","")))</f>
        <v/>
      </c>
      <c r="R198" s="67">
        <f>IF(AND(B198="",C198="",D198="",G198="",F198=""),1,0)</f>
        <v/>
      </c>
      <c r="S198" s="68">
        <f>IF(AND(TaxOn="Yes",ISNUMBER(H198)),H198,0)</f>
        <v/>
      </c>
      <c r="T198" s="67">
        <f>IF(R198=1,"",IF(B198="","Enter an invoice #",IF(C198="","Missing invoice date",IF(NOT(ISNUMBER(C198)),"Invalid date",IF(OR(C198&lt;DATE(2000,1,1),C198&gt;DATE(2099,12,31)),"Invalid date",IF(F198="","Select a revenue account",IF(ISNA(MATCH(F198,coa_Name,0)),"Unknown account: "&amp;F198,IF(NOT(ISNUMBER(G198)),"Enter an amount",IF(G198&lt;=0,"Amount must be positive",IF(S198&gt;G198,"Tax is larger than the amount",""))))))))))</f>
        <v/>
      </c>
      <c r="U198" s="67">
        <f>IF(OR(R198=1,T198&lt;&gt;""),"",IF(COUNTIF(ar_No,B198)&gt;1,"Duplicate invoice #",IF(D198="","Select a customer",IF(N(L198)&lt;0,"Overpaid by "&amp;TEXT(-L198,"#,##0.00"),IF(AND(ISNUMBER(H198),N(H198)&lt;&gt;0,S198=0),"Tax ignored (tax tracking is off)",IF(AND(ISNUMBER(StartDate),C198&lt;StartDate),"Date is before the accounting start date",IF(AND(IFERROR(INDEX(coa_Type,MATCH(F198,coa_Name,0)),"")&lt;&gt;"Revenue",IFERROR(INDEX(coa_Type,MATCH(F198,coa_Name,0)),"")&lt;&gt;"Other Income"),"Account is not a revenue account","")))))))</f>
        <v/>
      </c>
      <c r="V198" s="67">
        <f>IF(AND(R198=0,T198=""),1,0)</f>
        <v/>
      </c>
      <c r="W198" s="67">
        <f>IF(V198=1,acctAR,"")</f>
        <v/>
      </c>
      <c r="X198" s="67">
        <f>IF(V198=1,F198,"")</f>
        <v/>
      </c>
      <c r="Y198" s="68">
        <f>IF(V198=1,G198,0)</f>
        <v/>
      </c>
      <c r="Z198" s="68">
        <f>IF(V198=1,G198-S198,0)</f>
        <v/>
      </c>
      <c r="AA198" s="68">
        <f>IF(V198=1,S198,0)</f>
        <v/>
      </c>
    </row>
    <row r="199">
      <c r="B199" s="62" t="n"/>
      <c r="C199" s="63" t="n"/>
      <c r="D199" s="62" t="n"/>
      <c r="E199" s="62" t="n"/>
      <c r="F199" s="62" t="n"/>
      <c r="G199" s="64" t="n"/>
      <c r="H199" s="64" t="n"/>
      <c r="I199" s="63" t="n"/>
      <c r="J199" s="29">
        <f>IF(V199=1,IF(ISNUMBER(I199),I199,C199+IF(ISNUMBER(IFERROR(INDEX(cust_Terms,MATCH(D199,cust_Name,0)),"")),INDEX(cust_Terms,MATCH(D199,cust_Name,0)),TermsDays)),"")</f>
        <v/>
      </c>
      <c r="K199" s="65">
        <f>IF(V199=1,SUMIFS(tx_DrAmt,tx_Type,"Customer Payment",tx_Ref,B199&amp;"",tx_Date,"&lt;="&amp;AsOf),"")</f>
        <v/>
      </c>
      <c r="L199" s="65">
        <f>IF(V199=1,IF(C199&gt;AsOf,0,ROUND(G199-K199,2)),"")</f>
        <v/>
      </c>
      <c r="M199" s="66">
        <f>IF(V199&lt;&gt;1,"",IF(C199&gt;AsOf,"Future",IF(L199&lt;0,"Overpaid",IF(L199=0,"Paid",IF(AsOf&gt;J199,"Overdue",IF(K199&gt;0,"Partial","Unpaid"))))))</f>
        <v/>
      </c>
      <c r="N199" s="28">
        <f>IF(AND(V199=1,N(L199)&gt;0),AsOf-C199,"")</f>
        <v/>
      </c>
      <c r="O199" s="28">
        <f>IF(N199="","",MAX(0,AsOf-J199))</f>
        <v/>
      </c>
      <c r="P199" s="66">
        <f>IF(O199="","",IF(O199=0,"Current",IF(O199&lt;=30,"1-30",IF(O199&lt;=60,"31-60",IF(O199&lt;=90,"61-90","90+")))))</f>
        <v/>
      </c>
      <c r="Q199" s="66">
        <f>IF(T199&lt;&gt;"","⛔ "&amp;T199&amp;" — not posted",IF(U199&lt;&gt;"","⚠ "&amp;U199,IF(V199=1,"✓ OK","")))</f>
        <v/>
      </c>
      <c r="R199" s="67">
        <f>IF(AND(B199="",C199="",D199="",G199="",F199=""),1,0)</f>
        <v/>
      </c>
      <c r="S199" s="68">
        <f>IF(AND(TaxOn="Yes",ISNUMBER(H199)),H199,0)</f>
        <v/>
      </c>
      <c r="T199" s="67">
        <f>IF(R199=1,"",IF(B199="","Enter an invoice #",IF(C199="","Missing invoice date",IF(NOT(ISNUMBER(C199)),"Invalid date",IF(OR(C199&lt;DATE(2000,1,1),C199&gt;DATE(2099,12,31)),"Invalid date",IF(F199="","Select a revenue account",IF(ISNA(MATCH(F199,coa_Name,0)),"Unknown account: "&amp;F199,IF(NOT(ISNUMBER(G199)),"Enter an amount",IF(G199&lt;=0,"Amount must be positive",IF(S199&gt;G199,"Tax is larger than the amount",""))))))))))</f>
        <v/>
      </c>
      <c r="U199" s="67">
        <f>IF(OR(R199=1,T199&lt;&gt;""),"",IF(COUNTIF(ar_No,B199)&gt;1,"Duplicate invoice #",IF(D199="","Select a customer",IF(N(L199)&lt;0,"Overpaid by "&amp;TEXT(-L199,"#,##0.00"),IF(AND(ISNUMBER(H199),N(H199)&lt;&gt;0,S199=0),"Tax ignored (tax tracking is off)",IF(AND(ISNUMBER(StartDate),C199&lt;StartDate),"Date is before the accounting start date",IF(AND(IFERROR(INDEX(coa_Type,MATCH(F199,coa_Name,0)),"")&lt;&gt;"Revenue",IFERROR(INDEX(coa_Type,MATCH(F199,coa_Name,0)),"")&lt;&gt;"Other Income"),"Account is not a revenue account","")))))))</f>
        <v/>
      </c>
      <c r="V199" s="67">
        <f>IF(AND(R199=0,T199=""),1,0)</f>
        <v/>
      </c>
      <c r="W199" s="67">
        <f>IF(V199=1,acctAR,"")</f>
        <v/>
      </c>
      <c r="X199" s="67">
        <f>IF(V199=1,F199,"")</f>
        <v/>
      </c>
      <c r="Y199" s="68">
        <f>IF(V199=1,G199,0)</f>
        <v/>
      </c>
      <c r="Z199" s="68">
        <f>IF(V199=1,G199-S199,0)</f>
        <v/>
      </c>
      <c r="AA199" s="68">
        <f>IF(V199=1,S199,0)</f>
        <v/>
      </c>
    </row>
    <row r="200">
      <c r="B200" s="62" t="n"/>
      <c r="C200" s="63" t="n"/>
      <c r="D200" s="62" t="n"/>
      <c r="E200" s="62" t="n"/>
      <c r="F200" s="62" t="n"/>
      <c r="G200" s="64" t="n"/>
      <c r="H200" s="64" t="n"/>
      <c r="I200" s="63" t="n"/>
      <c r="J200" s="29">
        <f>IF(V200=1,IF(ISNUMBER(I200),I200,C200+IF(ISNUMBER(IFERROR(INDEX(cust_Terms,MATCH(D200,cust_Name,0)),"")),INDEX(cust_Terms,MATCH(D200,cust_Name,0)),TermsDays)),"")</f>
        <v/>
      </c>
      <c r="K200" s="65">
        <f>IF(V200=1,SUMIFS(tx_DrAmt,tx_Type,"Customer Payment",tx_Ref,B200&amp;"",tx_Date,"&lt;="&amp;AsOf),"")</f>
        <v/>
      </c>
      <c r="L200" s="65">
        <f>IF(V200=1,IF(C200&gt;AsOf,0,ROUND(G200-K200,2)),"")</f>
        <v/>
      </c>
      <c r="M200" s="66">
        <f>IF(V200&lt;&gt;1,"",IF(C200&gt;AsOf,"Future",IF(L200&lt;0,"Overpaid",IF(L200=0,"Paid",IF(AsOf&gt;J200,"Overdue",IF(K200&gt;0,"Partial","Unpaid"))))))</f>
        <v/>
      </c>
      <c r="N200" s="28">
        <f>IF(AND(V200=1,N(L200)&gt;0),AsOf-C200,"")</f>
        <v/>
      </c>
      <c r="O200" s="28">
        <f>IF(N200="","",MAX(0,AsOf-J200))</f>
        <v/>
      </c>
      <c r="P200" s="66">
        <f>IF(O200="","",IF(O200=0,"Current",IF(O200&lt;=30,"1-30",IF(O200&lt;=60,"31-60",IF(O200&lt;=90,"61-90","90+")))))</f>
        <v/>
      </c>
      <c r="Q200" s="66">
        <f>IF(T200&lt;&gt;"","⛔ "&amp;T200&amp;" — not posted",IF(U200&lt;&gt;"","⚠ "&amp;U200,IF(V200=1,"✓ OK","")))</f>
        <v/>
      </c>
      <c r="R200" s="67">
        <f>IF(AND(B200="",C200="",D200="",G200="",F200=""),1,0)</f>
        <v/>
      </c>
      <c r="S200" s="68">
        <f>IF(AND(TaxOn="Yes",ISNUMBER(H200)),H200,0)</f>
        <v/>
      </c>
      <c r="T200" s="67">
        <f>IF(R200=1,"",IF(B200="","Enter an invoice #",IF(C200="","Missing invoice date",IF(NOT(ISNUMBER(C200)),"Invalid date",IF(OR(C200&lt;DATE(2000,1,1),C200&gt;DATE(2099,12,31)),"Invalid date",IF(F200="","Select a revenue account",IF(ISNA(MATCH(F200,coa_Name,0)),"Unknown account: "&amp;F200,IF(NOT(ISNUMBER(G200)),"Enter an amount",IF(G200&lt;=0,"Amount must be positive",IF(S200&gt;G200,"Tax is larger than the amount",""))))))))))</f>
        <v/>
      </c>
      <c r="U200" s="67">
        <f>IF(OR(R200=1,T200&lt;&gt;""),"",IF(COUNTIF(ar_No,B200)&gt;1,"Duplicate invoice #",IF(D200="","Select a customer",IF(N(L200)&lt;0,"Overpaid by "&amp;TEXT(-L200,"#,##0.00"),IF(AND(ISNUMBER(H200),N(H200)&lt;&gt;0,S200=0),"Tax ignored (tax tracking is off)",IF(AND(ISNUMBER(StartDate),C200&lt;StartDate),"Date is before the accounting start date",IF(AND(IFERROR(INDEX(coa_Type,MATCH(F200,coa_Name,0)),"")&lt;&gt;"Revenue",IFERROR(INDEX(coa_Type,MATCH(F200,coa_Name,0)),"")&lt;&gt;"Other Income"),"Account is not a revenue account","")))))))</f>
        <v/>
      </c>
      <c r="V200" s="67">
        <f>IF(AND(R200=0,T200=""),1,0)</f>
        <v/>
      </c>
      <c r="W200" s="67">
        <f>IF(V200=1,acctAR,"")</f>
        <v/>
      </c>
      <c r="X200" s="67">
        <f>IF(V200=1,F200,"")</f>
        <v/>
      </c>
      <c r="Y200" s="68">
        <f>IF(V200=1,G200,0)</f>
        <v/>
      </c>
      <c r="Z200" s="68">
        <f>IF(V200=1,G200-S200,0)</f>
        <v/>
      </c>
      <c r="AA200" s="68">
        <f>IF(V200=1,S200,0)</f>
        <v/>
      </c>
    </row>
    <row r="201">
      <c r="B201" s="62" t="n"/>
      <c r="C201" s="63" t="n"/>
      <c r="D201" s="62" t="n"/>
      <c r="E201" s="62" t="n"/>
      <c r="F201" s="62" t="n"/>
      <c r="G201" s="64" t="n"/>
      <c r="H201" s="64" t="n"/>
      <c r="I201" s="63" t="n"/>
      <c r="J201" s="29">
        <f>IF(V201=1,IF(ISNUMBER(I201),I201,C201+IF(ISNUMBER(IFERROR(INDEX(cust_Terms,MATCH(D201,cust_Name,0)),"")),INDEX(cust_Terms,MATCH(D201,cust_Name,0)),TermsDays)),"")</f>
        <v/>
      </c>
      <c r="K201" s="65">
        <f>IF(V201=1,SUMIFS(tx_DrAmt,tx_Type,"Customer Payment",tx_Ref,B201&amp;"",tx_Date,"&lt;="&amp;AsOf),"")</f>
        <v/>
      </c>
      <c r="L201" s="65">
        <f>IF(V201=1,IF(C201&gt;AsOf,0,ROUND(G201-K201,2)),"")</f>
        <v/>
      </c>
      <c r="M201" s="66">
        <f>IF(V201&lt;&gt;1,"",IF(C201&gt;AsOf,"Future",IF(L201&lt;0,"Overpaid",IF(L201=0,"Paid",IF(AsOf&gt;J201,"Overdue",IF(K201&gt;0,"Partial","Unpaid"))))))</f>
        <v/>
      </c>
      <c r="N201" s="28">
        <f>IF(AND(V201=1,N(L201)&gt;0),AsOf-C201,"")</f>
        <v/>
      </c>
      <c r="O201" s="28">
        <f>IF(N201="","",MAX(0,AsOf-J201))</f>
        <v/>
      </c>
      <c r="P201" s="66">
        <f>IF(O201="","",IF(O201=0,"Current",IF(O201&lt;=30,"1-30",IF(O201&lt;=60,"31-60",IF(O201&lt;=90,"61-90","90+")))))</f>
        <v/>
      </c>
      <c r="Q201" s="66">
        <f>IF(T201&lt;&gt;"","⛔ "&amp;T201&amp;" — not posted",IF(U201&lt;&gt;"","⚠ "&amp;U201,IF(V201=1,"✓ OK","")))</f>
        <v/>
      </c>
      <c r="R201" s="67">
        <f>IF(AND(B201="",C201="",D201="",G201="",F201=""),1,0)</f>
        <v/>
      </c>
      <c r="S201" s="68">
        <f>IF(AND(TaxOn="Yes",ISNUMBER(H201)),H201,0)</f>
        <v/>
      </c>
      <c r="T201" s="67">
        <f>IF(R201=1,"",IF(B201="","Enter an invoice #",IF(C201="","Missing invoice date",IF(NOT(ISNUMBER(C201)),"Invalid date",IF(OR(C201&lt;DATE(2000,1,1),C201&gt;DATE(2099,12,31)),"Invalid date",IF(F201="","Select a revenue account",IF(ISNA(MATCH(F201,coa_Name,0)),"Unknown account: "&amp;F201,IF(NOT(ISNUMBER(G201)),"Enter an amount",IF(G201&lt;=0,"Amount must be positive",IF(S201&gt;G201,"Tax is larger than the amount",""))))))))))</f>
        <v/>
      </c>
      <c r="U201" s="67">
        <f>IF(OR(R201=1,T201&lt;&gt;""),"",IF(COUNTIF(ar_No,B201)&gt;1,"Duplicate invoice #",IF(D201="","Select a customer",IF(N(L201)&lt;0,"Overpaid by "&amp;TEXT(-L201,"#,##0.00"),IF(AND(ISNUMBER(H201),N(H201)&lt;&gt;0,S201=0),"Tax ignored (tax tracking is off)",IF(AND(ISNUMBER(StartDate),C201&lt;StartDate),"Date is before the accounting start date",IF(AND(IFERROR(INDEX(coa_Type,MATCH(F201,coa_Name,0)),"")&lt;&gt;"Revenue",IFERROR(INDEX(coa_Type,MATCH(F201,coa_Name,0)),"")&lt;&gt;"Other Income"),"Account is not a revenue account","")))))))</f>
        <v/>
      </c>
      <c r="V201" s="67">
        <f>IF(AND(R201=0,T201=""),1,0)</f>
        <v/>
      </c>
      <c r="W201" s="67">
        <f>IF(V201=1,acctAR,"")</f>
        <v/>
      </c>
      <c r="X201" s="67">
        <f>IF(V201=1,F201,"")</f>
        <v/>
      </c>
      <c r="Y201" s="68">
        <f>IF(V201=1,G201,0)</f>
        <v/>
      </c>
      <c r="Z201" s="68">
        <f>IF(V201=1,G201-S201,0)</f>
        <v/>
      </c>
      <c r="AA201" s="68">
        <f>IF(V201=1,S201,0)</f>
        <v/>
      </c>
    </row>
    <row r="202">
      <c r="B202" s="62" t="n"/>
      <c r="C202" s="63" t="n"/>
      <c r="D202" s="62" t="n"/>
      <c r="E202" s="62" t="n"/>
      <c r="F202" s="62" t="n"/>
      <c r="G202" s="64" t="n"/>
      <c r="H202" s="64" t="n"/>
      <c r="I202" s="63" t="n"/>
      <c r="J202" s="29">
        <f>IF(V202=1,IF(ISNUMBER(I202),I202,C202+IF(ISNUMBER(IFERROR(INDEX(cust_Terms,MATCH(D202,cust_Name,0)),"")),INDEX(cust_Terms,MATCH(D202,cust_Name,0)),TermsDays)),"")</f>
        <v/>
      </c>
      <c r="K202" s="65">
        <f>IF(V202=1,SUMIFS(tx_DrAmt,tx_Type,"Customer Payment",tx_Ref,B202&amp;"",tx_Date,"&lt;="&amp;AsOf),"")</f>
        <v/>
      </c>
      <c r="L202" s="65">
        <f>IF(V202=1,IF(C202&gt;AsOf,0,ROUND(G202-K202,2)),"")</f>
        <v/>
      </c>
      <c r="M202" s="66">
        <f>IF(V202&lt;&gt;1,"",IF(C202&gt;AsOf,"Future",IF(L202&lt;0,"Overpaid",IF(L202=0,"Paid",IF(AsOf&gt;J202,"Overdue",IF(K202&gt;0,"Partial","Unpaid"))))))</f>
        <v/>
      </c>
      <c r="N202" s="28">
        <f>IF(AND(V202=1,N(L202)&gt;0),AsOf-C202,"")</f>
        <v/>
      </c>
      <c r="O202" s="28">
        <f>IF(N202="","",MAX(0,AsOf-J202))</f>
        <v/>
      </c>
      <c r="P202" s="66">
        <f>IF(O202="","",IF(O202=0,"Current",IF(O202&lt;=30,"1-30",IF(O202&lt;=60,"31-60",IF(O202&lt;=90,"61-90","90+")))))</f>
        <v/>
      </c>
      <c r="Q202" s="66">
        <f>IF(T202&lt;&gt;"","⛔ "&amp;T202&amp;" — not posted",IF(U202&lt;&gt;"","⚠ "&amp;U202,IF(V202=1,"✓ OK","")))</f>
        <v/>
      </c>
      <c r="R202" s="67">
        <f>IF(AND(B202="",C202="",D202="",G202="",F202=""),1,0)</f>
        <v/>
      </c>
      <c r="S202" s="68">
        <f>IF(AND(TaxOn="Yes",ISNUMBER(H202)),H202,0)</f>
        <v/>
      </c>
      <c r="T202" s="67">
        <f>IF(R202=1,"",IF(B202="","Enter an invoice #",IF(C202="","Missing invoice date",IF(NOT(ISNUMBER(C202)),"Invalid date",IF(OR(C202&lt;DATE(2000,1,1),C202&gt;DATE(2099,12,31)),"Invalid date",IF(F202="","Select a revenue account",IF(ISNA(MATCH(F202,coa_Name,0)),"Unknown account: "&amp;F202,IF(NOT(ISNUMBER(G202)),"Enter an amount",IF(G202&lt;=0,"Amount must be positive",IF(S202&gt;G202,"Tax is larger than the amount",""))))))))))</f>
        <v/>
      </c>
      <c r="U202" s="67">
        <f>IF(OR(R202=1,T202&lt;&gt;""),"",IF(COUNTIF(ar_No,B202)&gt;1,"Duplicate invoice #",IF(D202="","Select a customer",IF(N(L202)&lt;0,"Overpaid by "&amp;TEXT(-L202,"#,##0.00"),IF(AND(ISNUMBER(H202),N(H202)&lt;&gt;0,S202=0),"Tax ignored (tax tracking is off)",IF(AND(ISNUMBER(StartDate),C202&lt;StartDate),"Date is before the accounting start date",IF(AND(IFERROR(INDEX(coa_Type,MATCH(F202,coa_Name,0)),"")&lt;&gt;"Revenue",IFERROR(INDEX(coa_Type,MATCH(F202,coa_Name,0)),"")&lt;&gt;"Other Income"),"Account is not a revenue account","")))))))</f>
        <v/>
      </c>
      <c r="V202" s="67">
        <f>IF(AND(R202=0,T202=""),1,0)</f>
        <v/>
      </c>
      <c r="W202" s="67">
        <f>IF(V202=1,acctAR,"")</f>
        <v/>
      </c>
      <c r="X202" s="67">
        <f>IF(V202=1,F202,"")</f>
        <v/>
      </c>
      <c r="Y202" s="68">
        <f>IF(V202=1,G202,0)</f>
        <v/>
      </c>
      <c r="Z202" s="68">
        <f>IF(V202=1,G202-S202,0)</f>
        <v/>
      </c>
      <c r="AA202" s="68">
        <f>IF(V202=1,S202,0)</f>
        <v/>
      </c>
    </row>
    <row r="203">
      <c r="B203" s="62" t="n"/>
      <c r="C203" s="63" t="n"/>
      <c r="D203" s="62" t="n"/>
      <c r="E203" s="62" t="n"/>
      <c r="F203" s="62" t="n"/>
      <c r="G203" s="64" t="n"/>
      <c r="H203" s="64" t="n"/>
      <c r="I203" s="63" t="n"/>
      <c r="J203" s="29">
        <f>IF(V203=1,IF(ISNUMBER(I203),I203,C203+IF(ISNUMBER(IFERROR(INDEX(cust_Terms,MATCH(D203,cust_Name,0)),"")),INDEX(cust_Terms,MATCH(D203,cust_Name,0)),TermsDays)),"")</f>
        <v/>
      </c>
      <c r="K203" s="65">
        <f>IF(V203=1,SUMIFS(tx_DrAmt,tx_Type,"Customer Payment",tx_Ref,B203&amp;"",tx_Date,"&lt;="&amp;AsOf),"")</f>
        <v/>
      </c>
      <c r="L203" s="65">
        <f>IF(V203=1,IF(C203&gt;AsOf,0,ROUND(G203-K203,2)),"")</f>
        <v/>
      </c>
      <c r="M203" s="66">
        <f>IF(V203&lt;&gt;1,"",IF(C203&gt;AsOf,"Future",IF(L203&lt;0,"Overpaid",IF(L203=0,"Paid",IF(AsOf&gt;J203,"Overdue",IF(K203&gt;0,"Partial","Unpaid"))))))</f>
        <v/>
      </c>
      <c r="N203" s="28">
        <f>IF(AND(V203=1,N(L203)&gt;0),AsOf-C203,"")</f>
        <v/>
      </c>
      <c r="O203" s="28">
        <f>IF(N203="","",MAX(0,AsOf-J203))</f>
        <v/>
      </c>
      <c r="P203" s="66">
        <f>IF(O203="","",IF(O203=0,"Current",IF(O203&lt;=30,"1-30",IF(O203&lt;=60,"31-60",IF(O203&lt;=90,"61-90","90+")))))</f>
        <v/>
      </c>
      <c r="Q203" s="66">
        <f>IF(T203&lt;&gt;"","⛔ "&amp;T203&amp;" — not posted",IF(U203&lt;&gt;"","⚠ "&amp;U203,IF(V203=1,"✓ OK","")))</f>
        <v/>
      </c>
      <c r="R203" s="67">
        <f>IF(AND(B203="",C203="",D203="",G203="",F203=""),1,0)</f>
        <v/>
      </c>
      <c r="S203" s="68">
        <f>IF(AND(TaxOn="Yes",ISNUMBER(H203)),H203,0)</f>
        <v/>
      </c>
      <c r="T203" s="67">
        <f>IF(R203=1,"",IF(B203="","Enter an invoice #",IF(C203="","Missing invoice date",IF(NOT(ISNUMBER(C203)),"Invalid date",IF(OR(C203&lt;DATE(2000,1,1),C203&gt;DATE(2099,12,31)),"Invalid date",IF(F203="","Select a revenue account",IF(ISNA(MATCH(F203,coa_Name,0)),"Unknown account: "&amp;F203,IF(NOT(ISNUMBER(G203)),"Enter an amount",IF(G203&lt;=0,"Amount must be positive",IF(S203&gt;G203,"Tax is larger than the amount",""))))))))))</f>
        <v/>
      </c>
      <c r="U203" s="67">
        <f>IF(OR(R203=1,T203&lt;&gt;""),"",IF(COUNTIF(ar_No,B203)&gt;1,"Duplicate invoice #",IF(D203="","Select a customer",IF(N(L203)&lt;0,"Overpaid by "&amp;TEXT(-L203,"#,##0.00"),IF(AND(ISNUMBER(H203),N(H203)&lt;&gt;0,S203=0),"Tax ignored (tax tracking is off)",IF(AND(ISNUMBER(StartDate),C203&lt;StartDate),"Date is before the accounting start date",IF(AND(IFERROR(INDEX(coa_Type,MATCH(F203,coa_Name,0)),"")&lt;&gt;"Revenue",IFERROR(INDEX(coa_Type,MATCH(F203,coa_Name,0)),"")&lt;&gt;"Other Income"),"Account is not a revenue account","")))))))</f>
        <v/>
      </c>
      <c r="V203" s="67">
        <f>IF(AND(R203=0,T203=""),1,0)</f>
        <v/>
      </c>
      <c r="W203" s="67">
        <f>IF(V203=1,acctAR,"")</f>
        <v/>
      </c>
      <c r="X203" s="67">
        <f>IF(V203=1,F203,"")</f>
        <v/>
      </c>
      <c r="Y203" s="68">
        <f>IF(V203=1,G203,0)</f>
        <v/>
      </c>
      <c r="Z203" s="68">
        <f>IF(V203=1,G203-S203,0)</f>
        <v/>
      </c>
      <c r="AA203" s="68">
        <f>IF(V203=1,S203,0)</f>
        <v/>
      </c>
    </row>
    <row r="204">
      <c r="B204" s="62" t="n"/>
      <c r="C204" s="63" t="n"/>
      <c r="D204" s="62" t="n"/>
      <c r="E204" s="62" t="n"/>
      <c r="F204" s="62" t="n"/>
      <c r="G204" s="64" t="n"/>
      <c r="H204" s="64" t="n"/>
      <c r="I204" s="63" t="n"/>
      <c r="J204" s="29">
        <f>IF(V204=1,IF(ISNUMBER(I204),I204,C204+IF(ISNUMBER(IFERROR(INDEX(cust_Terms,MATCH(D204,cust_Name,0)),"")),INDEX(cust_Terms,MATCH(D204,cust_Name,0)),TermsDays)),"")</f>
        <v/>
      </c>
      <c r="K204" s="65">
        <f>IF(V204=1,SUMIFS(tx_DrAmt,tx_Type,"Customer Payment",tx_Ref,B204&amp;"",tx_Date,"&lt;="&amp;AsOf),"")</f>
        <v/>
      </c>
      <c r="L204" s="65">
        <f>IF(V204=1,IF(C204&gt;AsOf,0,ROUND(G204-K204,2)),"")</f>
        <v/>
      </c>
      <c r="M204" s="66">
        <f>IF(V204&lt;&gt;1,"",IF(C204&gt;AsOf,"Future",IF(L204&lt;0,"Overpaid",IF(L204=0,"Paid",IF(AsOf&gt;J204,"Overdue",IF(K204&gt;0,"Partial","Unpaid"))))))</f>
        <v/>
      </c>
      <c r="N204" s="28">
        <f>IF(AND(V204=1,N(L204)&gt;0),AsOf-C204,"")</f>
        <v/>
      </c>
      <c r="O204" s="28">
        <f>IF(N204="","",MAX(0,AsOf-J204))</f>
        <v/>
      </c>
      <c r="P204" s="66">
        <f>IF(O204="","",IF(O204=0,"Current",IF(O204&lt;=30,"1-30",IF(O204&lt;=60,"31-60",IF(O204&lt;=90,"61-90","90+")))))</f>
        <v/>
      </c>
      <c r="Q204" s="66">
        <f>IF(T204&lt;&gt;"","⛔ "&amp;T204&amp;" — not posted",IF(U204&lt;&gt;"","⚠ "&amp;U204,IF(V204=1,"✓ OK","")))</f>
        <v/>
      </c>
      <c r="R204" s="67">
        <f>IF(AND(B204="",C204="",D204="",G204="",F204=""),1,0)</f>
        <v/>
      </c>
      <c r="S204" s="68">
        <f>IF(AND(TaxOn="Yes",ISNUMBER(H204)),H204,0)</f>
        <v/>
      </c>
      <c r="T204" s="67">
        <f>IF(R204=1,"",IF(B204="","Enter an invoice #",IF(C204="","Missing invoice date",IF(NOT(ISNUMBER(C204)),"Invalid date",IF(OR(C204&lt;DATE(2000,1,1),C204&gt;DATE(2099,12,31)),"Invalid date",IF(F204="","Select a revenue account",IF(ISNA(MATCH(F204,coa_Name,0)),"Unknown account: "&amp;F204,IF(NOT(ISNUMBER(G204)),"Enter an amount",IF(G204&lt;=0,"Amount must be positive",IF(S204&gt;G204,"Tax is larger than the amount",""))))))))))</f>
        <v/>
      </c>
      <c r="U204" s="67">
        <f>IF(OR(R204=1,T204&lt;&gt;""),"",IF(COUNTIF(ar_No,B204)&gt;1,"Duplicate invoice #",IF(D204="","Select a customer",IF(N(L204)&lt;0,"Overpaid by "&amp;TEXT(-L204,"#,##0.00"),IF(AND(ISNUMBER(H204),N(H204)&lt;&gt;0,S204=0),"Tax ignored (tax tracking is off)",IF(AND(ISNUMBER(StartDate),C204&lt;StartDate),"Date is before the accounting start date",IF(AND(IFERROR(INDEX(coa_Type,MATCH(F204,coa_Name,0)),"")&lt;&gt;"Revenue",IFERROR(INDEX(coa_Type,MATCH(F204,coa_Name,0)),"")&lt;&gt;"Other Income"),"Account is not a revenue account","")))))))</f>
        <v/>
      </c>
      <c r="V204" s="67">
        <f>IF(AND(R204=0,T204=""),1,0)</f>
        <v/>
      </c>
      <c r="W204" s="67">
        <f>IF(V204=1,acctAR,"")</f>
        <v/>
      </c>
      <c r="X204" s="67">
        <f>IF(V204=1,F204,"")</f>
        <v/>
      </c>
      <c r="Y204" s="68">
        <f>IF(V204=1,G204,0)</f>
        <v/>
      </c>
      <c r="Z204" s="68">
        <f>IF(V204=1,G204-S204,0)</f>
        <v/>
      </c>
      <c r="AA204" s="68">
        <f>IF(V204=1,S204,0)</f>
        <v/>
      </c>
    </row>
    <row r="205">
      <c r="B205" s="62" t="n"/>
      <c r="C205" s="63" t="n"/>
      <c r="D205" s="62" t="n"/>
      <c r="E205" s="62" t="n"/>
      <c r="F205" s="62" t="n"/>
      <c r="G205" s="64" t="n"/>
      <c r="H205" s="64" t="n"/>
      <c r="I205" s="63" t="n"/>
      <c r="J205" s="29">
        <f>IF(V205=1,IF(ISNUMBER(I205),I205,C205+IF(ISNUMBER(IFERROR(INDEX(cust_Terms,MATCH(D205,cust_Name,0)),"")),INDEX(cust_Terms,MATCH(D205,cust_Name,0)),TermsDays)),"")</f>
        <v/>
      </c>
      <c r="K205" s="65">
        <f>IF(V205=1,SUMIFS(tx_DrAmt,tx_Type,"Customer Payment",tx_Ref,B205&amp;"",tx_Date,"&lt;="&amp;AsOf),"")</f>
        <v/>
      </c>
      <c r="L205" s="65">
        <f>IF(V205=1,IF(C205&gt;AsOf,0,ROUND(G205-K205,2)),"")</f>
        <v/>
      </c>
      <c r="M205" s="66">
        <f>IF(V205&lt;&gt;1,"",IF(C205&gt;AsOf,"Future",IF(L205&lt;0,"Overpaid",IF(L205=0,"Paid",IF(AsOf&gt;J205,"Overdue",IF(K205&gt;0,"Partial","Unpaid"))))))</f>
        <v/>
      </c>
      <c r="N205" s="28">
        <f>IF(AND(V205=1,N(L205)&gt;0),AsOf-C205,"")</f>
        <v/>
      </c>
      <c r="O205" s="28">
        <f>IF(N205="","",MAX(0,AsOf-J205))</f>
        <v/>
      </c>
      <c r="P205" s="66">
        <f>IF(O205="","",IF(O205=0,"Current",IF(O205&lt;=30,"1-30",IF(O205&lt;=60,"31-60",IF(O205&lt;=90,"61-90","90+")))))</f>
        <v/>
      </c>
      <c r="Q205" s="66">
        <f>IF(T205&lt;&gt;"","⛔ "&amp;T205&amp;" — not posted",IF(U205&lt;&gt;"","⚠ "&amp;U205,IF(V205=1,"✓ OK","")))</f>
        <v/>
      </c>
      <c r="R205" s="67">
        <f>IF(AND(B205="",C205="",D205="",G205="",F205=""),1,0)</f>
        <v/>
      </c>
      <c r="S205" s="68">
        <f>IF(AND(TaxOn="Yes",ISNUMBER(H205)),H205,0)</f>
        <v/>
      </c>
      <c r="T205" s="67">
        <f>IF(R205=1,"",IF(B205="","Enter an invoice #",IF(C205="","Missing invoice date",IF(NOT(ISNUMBER(C205)),"Invalid date",IF(OR(C205&lt;DATE(2000,1,1),C205&gt;DATE(2099,12,31)),"Invalid date",IF(F205="","Select a revenue account",IF(ISNA(MATCH(F205,coa_Name,0)),"Unknown account: "&amp;F205,IF(NOT(ISNUMBER(G205)),"Enter an amount",IF(G205&lt;=0,"Amount must be positive",IF(S205&gt;G205,"Tax is larger than the amount",""))))))))))</f>
        <v/>
      </c>
      <c r="U205" s="67">
        <f>IF(OR(R205=1,T205&lt;&gt;""),"",IF(COUNTIF(ar_No,B205)&gt;1,"Duplicate invoice #",IF(D205="","Select a customer",IF(N(L205)&lt;0,"Overpaid by "&amp;TEXT(-L205,"#,##0.00"),IF(AND(ISNUMBER(H205),N(H205)&lt;&gt;0,S205=0),"Tax ignored (tax tracking is off)",IF(AND(ISNUMBER(StartDate),C205&lt;StartDate),"Date is before the accounting start date",IF(AND(IFERROR(INDEX(coa_Type,MATCH(F205,coa_Name,0)),"")&lt;&gt;"Revenue",IFERROR(INDEX(coa_Type,MATCH(F205,coa_Name,0)),"")&lt;&gt;"Other Income"),"Account is not a revenue account","")))))))</f>
        <v/>
      </c>
      <c r="V205" s="67">
        <f>IF(AND(R205=0,T205=""),1,0)</f>
        <v/>
      </c>
      <c r="W205" s="67">
        <f>IF(V205=1,acctAR,"")</f>
        <v/>
      </c>
      <c r="X205" s="67">
        <f>IF(V205=1,F205,"")</f>
        <v/>
      </c>
      <c r="Y205" s="68">
        <f>IF(V205=1,G205,0)</f>
        <v/>
      </c>
      <c r="Z205" s="68">
        <f>IF(V205=1,G205-S205,0)</f>
        <v/>
      </c>
      <c r="AA205" s="68">
        <f>IF(V205=1,S205,0)</f>
        <v/>
      </c>
    </row>
    <row r="206">
      <c r="B206" s="62" t="n"/>
      <c r="C206" s="63" t="n"/>
      <c r="D206" s="62" t="n"/>
      <c r="E206" s="62" t="n"/>
      <c r="F206" s="62" t="n"/>
      <c r="G206" s="64" t="n"/>
      <c r="H206" s="64" t="n"/>
      <c r="I206" s="63" t="n"/>
      <c r="J206" s="29">
        <f>IF(V206=1,IF(ISNUMBER(I206),I206,C206+IF(ISNUMBER(IFERROR(INDEX(cust_Terms,MATCH(D206,cust_Name,0)),"")),INDEX(cust_Terms,MATCH(D206,cust_Name,0)),TermsDays)),"")</f>
        <v/>
      </c>
      <c r="K206" s="65">
        <f>IF(V206=1,SUMIFS(tx_DrAmt,tx_Type,"Customer Payment",tx_Ref,B206&amp;"",tx_Date,"&lt;="&amp;AsOf),"")</f>
        <v/>
      </c>
      <c r="L206" s="65">
        <f>IF(V206=1,IF(C206&gt;AsOf,0,ROUND(G206-K206,2)),"")</f>
        <v/>
      </c>
      <c r="M206" s="66">
        <f>IF(V206&lt;&gt;1,"",IF(C206&gt;AsOf,"Future",IF(L206&lt;0,"Overpaid",IF(L206=0,"Paid",IF(AsOf&gt;J206,"Overdue",IF(K206&gt;0,"Partial","Unpaid"))))))</f>
        <v/>
      </c>
      <c r="N206" s="28">
        <f>IF(AND(V206=1,N(L206)&gt;0),AsOf-C206,"")</f>
        <v/>
      </c>
      <c r="O206" s="28">
        <f>IF(N206="","",MAX(0,AsOf-J206))</f>
        <v/>
      </c>
      <c r="P206" s="66">
        <f>IF(O206="","",IF(O206=0,"Current",IF(O206&lt;=30,"1-30",IF(O206&lt;=60,"31-60",IF(O206&lt;=90,"61-90","90+")))))</f>
        <v/>
      </c>
      <c r="Q206" s="66">
        <f>IF(T206&lt;&gt;"","⛔ "&amp;T206&amp;" — not posted",IF(U206&lt;&gt;"","⚠ "&amp;U206,IF(V206=1,"✓ OK","")))</f>
        <v/>
      </c>
      <c r="R206" s="67">
        <f>IF(AND(B206="",C206="",D206="",G206="",F206=""),1,0)</f>
        <v/>
      </c>
      <c r="S206" s="68">
        <f>IF(AND(TaxOn="Yes",ISNUMBER(H206)),H206,0)</f>
        <v/>
      </c>
      <c r="T206" s="67">
        <f>IF(R206=1,"",IF(B206="","Enter an invoice #",IF(C206="","Missing invoice date",IF(NOT(ISNUMBER(C206)),"Invalid date",IF(OR(C206&lt;DATE(2000,1,1),C206&gt;DATE(2099,12,31)),"Invalid date",IF(F206="","Select a revenue account",IF(ISNA(MATCH(F206,coa_Name,0)),"Unknown account: "&amp;F206,IF(NOT(ISNUMBER(G206)),"Enter an amount",IF(G206&lt;=0,"Amount must be positive",IF(S206&gt;G206,"Tax is larger than the amount",""))))))))))</f>
        <v/>
      </c>
      <c r="U206" s="67">
        <f>IF(OR(R206=1,T206&lt;&gt;""),"",IF(COUNTIF(ar_No,B206)&gt;1,"Duplicate invoice #",IF(D206="","Select a customer",IF(N(L206)&lt;0,"Overpaid by "&amp;TEXT(-L206,"#,##0.00"),IF(AND(ISNUMBER(H206),N(H206)&lt;&gt;0,S206=0),"Tax ignored (tax tracking is off)",IF(AND(ISNUMBER(StartDate),C206&lt;StartDate),"Date is before the accounting start date",IF(AND(IFERROR(INDEX(coa_Type,MATCH(F206,coa_Name,0)),"")&lt;&gt;"Revenue",IFERROR(INDEX(coa_Type,MATCH(F206,coa_Name,0)),"")&lt;&gt;"Other Income"),"Account is not a revenue account","")))))))</f>
        <v/>
      </c>
      <c r="V206" s="67">
        <f>IF(AND(R206=0,T206=""),1,0)</f>
        <v/>
      </c>
      <c r="W206" s="67">
        <f>IF(V206=1,acctAR,"")</f>
        <v/>
      </c>
      <c r="X206" s="67">
        <f>IF(V206=1,F206,"")</f>
        <v/>
      </c>
      <c r="Y206" s="68">
        <f>IF(V206=1,G206,0)</f>
        <v/>
      </c>
      <c r="Z206" s="68">
        <f>IF(V206=1,G206-S206,0)</f>
        <v/>
      </c>
      <c r="AA206" s="68">
        <f>IF(V206=1,S206,0)</f>
        <v/>
      </c>
    </row>
    <row r="207">
      <c r="B207" s="62" t="n"/>
      <c r="C207" s="63" t="n"/>
      <c r="D207" s="62" t="n"/>
      <c r="E207" s="62" t="n"/>
      <c r="F207" s="62" t="n"/>
      <c r="G207" s="64" t="n"/>
      <c r="H207" s="64" t="n"/>
      <c r="I207" s="63" t="n"/>
      <c r="J207" s="29">
        <f>IF(V207=1,IF(ISNUMBER(I207),I207,C207+IF(ISNUMBER(IFERROR(INDEX(cust_Terms,MATCH(D207,cust_Name,0)),"")),INDEX(cust_Terms,MATCH(D207,cust_Name,0)),TermsDays)),"")</f>
        <v/>
      </c>
      <c r="K207" s="65">
        <f>IF(V207=1,SUMIFS(tx_DrAmt,tx_Type,"Customer Payment",tx_Ref,B207&amp;"",tx_Date,"&lt;="&amp;AsOf),"")</f>
        <v/>
      </c>
      <c r="L207" s="65">
        <f>IF(V207=1,IF(C207&gt;AsOf,0,ROUND(G207-K207,2)),"")</f>
        <v/>
      </c>
      <c r="M207" s="66">
        <f>IF(V207&lt;&gt;1,"",IF(C207&gt;AsOf,"Future",IF(L207&lt;0,"Overpaid",IF(L207=0,"Paid",IF(AsOf&gt;J207,"Overdue",IF(K207&gt;0,"Partial","Unpaid"))))))</f>
        <v/>
      </c>
      <c r="N207" s="28">
        <f>IF(AND(V207=1,N(L207)&gt;0),AsOf-C207,"")</f>
        <v/>
      </c>
      <c r="O207" s="28">
        <f>IF(N207="","",MAX(0,AsOf-J207))</f>
        <v/>
      </c>
      <c r="P207" s="66">
        <f>IF(O207="","",IF(O207=0,"Current",IF(O207&lt;=30,"1-30",IF(O207&lt;=60,"31-60",IF(O207&lt;=90,"61-90","90+")))))</f>
        <v/>
      </c>
      <c r="Q207" s="66">
        <f>IF(T207&lt;&gt;"","⛔ "&amp;T207&amp;" — not posted",IF(U207&lt;&gt;"","⚠ "&amp;U207,IF(V207=1,"✓ OK","")))</f>
        <v/>
      </c>
      <c r="R207" s="67">
        <f>IF(AND(B207="",C207="",D207="",G207="",F207=""),1,0)</f>
        <v/>
      </c>
      <c r="S207" s="68">
        <f>IF(AND(TaxOn="Yes",ISNUMBER(H207)),H207,0)</f>
        <v/>
      </c>
      <c r="T207" s="67">
        <f>IF(R207=1,"",IF(B207="","Enter an invoice #",IF(C207="","Missing invoice date",IF(NOT(ISNUMBER(C207)),"Invalid date",IF(OR(C207&lt;DATE(2000,1,1),C207&gt;DATE(2099,12,31)),"Invalid date",IF(F207="","Select a revenue account",IF(ISNA(MATCH(F207,coa_Name,0)),"Unknown account: "&amp;F207,IF(NOT(ISNUMBER(G207)),"Enter an amount",IF(G207&lt;=0,"Amount must be positive",IF(S207&gt;G207,"Tax is larger than the amount",""))))))))))</f>
        <v/>
      </c>
      <c r="U207" s="67">
        <f>IF(OR(R207=1,T207&lt;&gt;""),"",IF(COUNTIF(ar_No,B207)&gt;1,"Duplicate invoice #",IF(D207="","Select a customer",IF(N(L207)&lt;0,"Overpaid by "&amp;TEXT(-L207,"#,##0.00"),IF(AND(ISNUMBER(H207),N(H207)&lt;&gt;0,S207=0),"Tax ignored (tax tracking is off)",IF(AND(ISNUMBER(StartDate),C207&lt;StartDate),"Date is before the accounting start date",IF(AND(IFERROR(INDEX(coa_Type,MATCH(F207,coa_Name,0)),"")&lt;&gt;"Revenue",IFERROR(INDEX(coa_Type,MATCH(F207,coa_Name,0)),"")&lt;&gt;"Other Income"),"Account is not a revenue account","")))))))</f>
        <v/>
      </c>
      <c r="V207" s="67">
        <f>IF(AND(R207=0,T207=""),1,0)</f>
        <v/>
      </c>
      <c r="W207" s="67">
        <f>IF(V207=1,acctAR,"")</f>
        <v/>
      </c>
      <c r="X207" s="67">
        <f>IF(V207=1,F207,"")</f>
        <v/>
      </c>
      <c r="Y207" s="68">
        <f>IF(V207=1,G207,0)</f>
        <v/>
      </c>
      <c r="Z207" s="68">
        <f>IF(V207=1,G207-S207,0)</f>
        <v/>
      </c>
      <c r="AA207" s="68">
        <f>IF(V207=1,S207,0)</f>
        <v/>
      </c>
    </row>
    <row r="208">
      <c r="B208" s="62" t="n"/>
      <c r="C208" s="63" t="n"/>
      <c r="D208" s="62" t="n"/>
      <c r="E208" s="62" t="n"/>
      <c r="F208" s="62" t="n"/>
      <c r="G208" s="64" t="n"/>
      <c r="H208" s="64" t="n"/>
      <c r="I208" s="63" t="n"/>
      <c r="J208" s="29">
        <f>IF(V208=1,IF(ISNUMBER(I208),I208,C208+IF(ISNUMBER(IFERROR(INDEX(cust_Terms,MATCH(D208,cust_Name,0)),"")),INDEX(cust_Terms,MATCH(D208,cust_Name,0)),TermsDays)),"")</f>
        <v/>
      </c>
      <c r="K208" s="65">
        <f>IF(V208=1,SUMIFS(tx_DrAmt,tx_Type,"Customer Payment",tx_Ref,B208&amp;"",tx_Date,"&lt;="&amp;AsOf),"")</f>
        <v/>
      </c>
      <c r="L208" s="65">
        <f>IF(V208=1,IF(C208&gt;AsOf,0,ROUND(G208-K208,2)),"")</f>
        <v/>
      </c>
      <c r="M208" s="66">
        <f>IF(V208&lt;&gt;1,"",IF(C208&gt;AsOf,"Future",IF(L208&lt;0,"Overpaid",IF(L208=0,"Paid",IF(AsOf&gt;J208,"Overdue",IF(K208&gt;0,"Partial","Unpaid"))))))</f>
        <v/>
      </c>
      <c r="N208" s="28">
        <f>IF(AND(V208=1,N(L208)&gt;0),AsOf-C208,"")</f>
        <v/>
      </c>
      <c r="O208" s="28">
        <f>IF(N208="","",MAX(0,AsOf-J208))</f>
        <v/>
      </c>
      <c r="P208" s="66">
        <f>IF(O208="","",IF(O208=0,"Current",IF(O208&lt;=30,"1-30",IF(O208&lt;=60,"31-60",IF(O208&lt;=90,"61-90","90+")))))</f>
        <v/>
      </c>
      <c r="Q208" s="66">
        <f>IF(T208&lt;&gt;"","⛔ "&amp;T208&amp;" — not posted",IF(U208&lt;&gt;"","⚠ "&amp;U208,IF(V208=1,"✓ OK","")))</f>
        <v/>
      </c>
      <c r="R208" s="67">
        <f>IF(AND(B208="",C208="",D208="",G208="",F208=""),1,0)</f>
        <v/>
      </c>
      <c r="S208" s="68">
        <f>IF(AND(TaxOn="Yes",ISNUMBER(H208)),H208,0)</f>
        <v/>
      </c>
      <c r="T208" s="67">
        <f>IF(R208=1,"",IF(B208="","Enter an invoice #",IF(C208="","Missing invoice date",IF(NOT(ISNUMBER(C208)),"Invalid date",IF(OR(C208&lt;DATE(2000,1,1),C208&gt;DATE(2099,12,31)),"Invalid date",IF(F208="","Select a revenue account",IF(ISNA(MATCH(F208,coa_Name,0)),"Unknown account: "&amp;F208,IF(NOT(ISNUMBER(G208)),"Enter an amount",IF(G208&lt;=0,"Amount must be positive",IF(S208&gt;G208,"Tax is larger than the amount",""))))))))))</f>
        <v/>
      </c>
      <c r="U208" s="67">
        <f>IF(OR(R208=1,T208&lt;&gt;""),"",IF(COUNTIF(ar_No,B208)&gt;1,"Duplicate invoice #",IF(D208="","Select a customer",IF(N(L208)&lt;0,"Overpaid by "&amp;TEXT(-L208,"#,##0.00"),IF(AND(ISNUMBER(H208),N(H208)&lt;&gt;0,S208=0),"Tax ignored (tax tracking is off)",IF(AND(ISNUMBER(StartDate),C208&lt;StartDate),"Date is before the accounting start date",IF(AND(IFERROR(INDEX(coa_Type,MATCH(F208,coa_Name,0)),"")&lt;&gt;"Revenue",IFERROR(INDEX(coa_Type,MATCH(F208,coa_Name,0)),"")&lt;&gt;"Other Income"),"Account is not a revenue account","")))))))</f>
        <v/>
      </c>
      <c r="V208" s="67">
        <f>IF(AND(R208=0,T208=""),1,0)</f>
        <v/>
      </c>
      <c r="W208" s="67">
        <f>IF(V208=1,acctAR,"")</f>
        <v/>
      </c>
      <c r="X208" s="67">
        <f>IF(V208=1,F208,"")</f>
        <v/>
      </c>
      <c r="Y208" s="68">
        <f>IF(V208=1,G208,0)</f>
        <v/>
      </c>
      <c r="Z208" s="68">
        <f>IF(V208=1,G208-S208,0)</f>
        <v/>
      </c>
      <c r="AA208" s="68">
        <f>IF(V208=1,S208,0)</f>
        <v/>
      </c>
    </row>
    <row r="209">
      <c r="B209" s="62" t="n"/>
      <c r="C209" s="63" t="n"/>
      <c r="D209" s="62" t="n"/>
      <c r="E209" s="62" t="n"/>
      <c r="F209" s="62" t="n"/>
      <c r="G209" s="64" t="n"/>
      <c r="H209" s="64" t="n"/>
      <c r="I209" s="63" t="n"/>
      <c r="J209" s="29">
        <f>IF(V209=1,IF(ISNUMBER(I209),I209,C209+IF(ISNUMBER(IFERROR(INDEX(cust_Terms,MATCH(D209,cust_Name,0)),"")),INDEX(cust_Terms,MATCH(D209,cust_Name,0)),TermsDays)),"")</f>
        <v/>
      </c>
      <c r="K209" s="65">
        <f>IF(V209=1,SUMIFS(tx_DrAmt,tx_Type,"Customer Payment",tx_Ref,B209&amp;"",tx_Date,"&lt;="&amp;AsOf),"")</f>
        <v/>
      </c>
      <c r="L209" s="65">
        <f>IF(V209=1,IF(C209&gt;AsOf,0,ROUND(G209-K209,2)),"")</f>
        <v/>
      </c>
      <c r="M209" s="66">
        <f>IF(V209&lt;&gt;1,"",IF(C209&gt;AsOf,"Future",IF(L209&lt;0,"Overpaid",IF(L209=0,"Paid",IF(AsOf&gt;J209,"Overdue",IF(K209&gt;0,"Partial","Unpaid"))))))</f>
        <v/>
      </c>
      <c r="N209" s="28">
        <f>IF(AND(V209=1,N(L209)&gt;0),AsOf-C209,"")</f>
        <v/>
      </c>
      <c r="O209" s="28">
        <f>IF(N209="","",MAX(0,AsOf-J209))</f>
        <v/>
      </c>
      <c r="P209" s="66">
        <f>IF(O209="","",IF(O209=0,"Current",IF(O209&lt;=30,"1-30",IF(O209&lt;=60,"31-60",IF(O209&lt;=90,"61-90","90+")))))</f>
        <v/>
      </c>
      <c r="Q209" s="66">
        <f>IF(T209&lt;&gt;"","⛔ "&amp;T209&amp;" — not posted",IF(U209&lt;&gt;"","⚠ "&amp;U209,IF(V209=1,"✓ OK","")))</f>
        <v/>
      </c>
      <c r="R209" s="67">
        <f>IF(AND(B209="",C209="",D209="",G209="",F209=""),1,0)</f>
        <v/>
      </c>
      <c r="S209" s="68">
        <f>IF(AND(TaxOn="Yes",ISNUMBER(H209)),H209,0)</f>
        <v/>
      </c>
      <c r="T209" s="67">
        <f>IF(R209=1,"",IF(B209="","Enter an invoice #",IF(C209="","Missing invoice date",IF(NOT(ISNUMBER(C209)),"Invalid date",IF(OR(C209&lt;DATE(2000,1,1),C209&gt;DATE(2099,12,31)),"Invalid date",IF(F209="","Select a revenue account",IF(ISNA(MATCH(F209,coa_Name,0)),"Unknown account: "&amp;F209,IF(NOT(ISNUMBER(G209)),"Enter an amount",IF(G209&lt;=0,"Amount must be positive",IF(S209&gt;G209,"Tax is larger than the amount",""))))))))))</f>
        <v/>
      </c>
      <c r="U209" s="67">
        <f>IF(OR(R209=1,T209&lt;&gt;""),"",IF(COUNTIF(ar_No,B209)&gt;1,"Duplicate invoice #",IF(D209="","Select a customer",IF(N(L209)&lt;0,"Overpaid by "&amp;TEXT(-L209,"#,##0.00"),IF(AND(ISNUMBER(H209),N(H209)&lt;&gt;0,S209=0),"Tax ignored (tax tracking is off)",IF(AND(ISNUMBER(StartDate),C209&lt;StartDate),"Date is before the accounting start date",IF(AND(IFERROR(INDEX(coa_Type,MATCH(F209,coa_Name,0)),"")&lt;&gt;"Revenue",IFERROR(INDEX(coa_Type,MATCH(F209,coa_Name,0)),"")&lt;&gt;"Other Income"),"Account is not a revenue account","")))))))</f>
        <v/>
      </c>
      <c r="V209" s="67">
        <f>IF(AND(R209=0,T209=""),1,0)</f>
        <v/>
      </c>
      <c r="W209" s="67">
        <f>IF(V209=1,acctAR,"")</f>
        <v/>
      </c>
      <c r="X209" s="67">
        <f>IF(V209=1,F209,"")</f>
        <v/>
      </c>
      <c r="Y209" s="68">
        <f>IF(V209=1,G209,0)</f>
        <v/>
      </c>
      <c r="Z209" s="68">
        <f>IF(V209=1,G209-S209,0)</f>
        <v/>
      </c>
      <c r="AA209" s="68">
        <f>IF(V209=1,S209,0)</f>
        <v/>
      </c>
    </row>
    <row r="210">
      <c r="B210" s="62" t="n"/>
      <c r="C210" s="63" t="n"/>
      <c r="D210" s="62" t="n"/>
      <c r="E210" s="62" t="n"/>
      <c r="F210" s="62" t="n"/>
      <c r="G210" s="64" t="n"/>
      <c r="H210" s="64" t="n"/>
      <c r="I210" s="63" t="n"/>
      <c r="J210" s="29">
        <f>IF(V210=1,IF(ISNUMBER(I210),I210,C210+IF(ISNUMBER(IFERROR(INDEX(cust_Terms,MATCH(D210,cust_Name,0)),"")),INDEX(cust_Terms,MATCH(D210,cust_Name,0)),TermsDays)),"")</f>
        <v/>
      </c>
      <c r="K210" s="65">
        <f>IF(V210=1,SUMIFS(tx_DrAmt,tx_Type,"Customer Payment",tx_Ref,B210&amp;"",tx_Date,"&lt;="&amp;AsOf),"")</f>
        <v/>
      </c>
      <c r="L210" s="65">
        <f>IF(V210=1,IF(C210&gt;AsOf,0,ROUND(G210-K210,2)),"")</f>
        <v/>
      </c>
      <c r="M210" s="66">
        <f>IF(V210&lt;&gt;1,"",IF(C210&gt;AsOf,"Future",IF(L210&lt;0,"Overpaid",IF(L210=0,"Paid",IF(AsOf&gt;J210,"Overdue",IF(K210&gt;0,"Partial","Unpaid"))))))</f>
        <v/>
      </c>
      <c r="N210" s="28">
        <f>IF(AND(V210=1,N(L210)&gt;0),AsOf-C210,"")</f>
        <v/>
      </c>
      <c r="O210" s="28">
        <f>IF(N210="","",MAX(0,AsOf-J210))</f>
        <v/>
      </c>
      <c r="P210" s="66">
        <f>IF(O210="","",IF(O210=0,"Current",IF(O210&lt;=30,"1-30",IF(O210&lt;=60,"31-60",IF(O210&lt;=90,"61-90","90+")))))</f>
        <v/>
      </c>
      <c r="Q210" s="66">
        <f>IF(T210&lt;&gt;"","⛔ "&amp;T210&amp;" — not posted",IF(U210&lt;&gt;"","⚠ "&amp;U210,IF(V210=1,"✓ OK","")))</f>
        <v/>
      </c>
      <c r="R210" s="67">
        <f>IF(AND(B210="",C210="",D210="",G210="",F210=""),1,0)</f>
        <v/>
      </c>
      <c r="S210" s="68">
        <f>IF(AND(TaxOn="Yes",ISNUMBER(H210)),H210,0)</f>
        <v/>
      </c>
      <c r="T210" s="67">
        <f>IF(R210=1,"",IF(B210="","Enter an invoice #",IF(C210="","Missing invoice date",IF(NOT(ISNUMBER(C210)),"Invalid date",IF(OR(C210&lt;DATE(2000,1,1),C210&gt;DATE(2099,12,31)),"Invalid date",IF(F210="","Select a revenue account",IF(ISNA(MATCH(F210,coa_Name,0)),"Unknown account: "&amp;F210,IF(NOT(ISNUMBER(G210)),"Enter an amount",IF(G210&lt;=0,"Amount must be positive",IF(S210&gt;G210,"Tax is larger than the amount",""))))))))))</f>
        <v/>
      </c>
      <c r="U210" s="67">
        <f>IF(OR(R210=1,T210&lt;&gt;""),"",IF(COUNTIF(ar_No,B210)&gt;1,"Duplicate invoice #",IF(D210="","Select a customer",IF(N(L210)&lt;0,"Overpaid by "&amp;TEXT(-L210,"#,##0.00"),IF(AND(ISNUMBER(H210),N(H210)&lt;&gt;0,S210=0),"Tax ignored (tax tracking is off)",IF(AND(ISNUMBER(StartDate),C210&lt;StartDate),"Date is before the accounting start date",IF(AND(IFERROR(INDEX(coa_Type,MATCH(F210,coa_Name,0)),"")&lt;&gt;"Revenue",IFERROR(INDEX(coa_Type,MATCH(F210,coa_Name,0)),"")&lt;&gt;"Other Income"),"Account is not a revenue account","")))))))</f>
        <v/>
      </c>
      <c r="V210" s="67">
        <f>IF(AND(R210=0,T210=""),1,0)</f>
        <v/>
      </c>
      <c r="W210" s="67">
        <f>IF(V210=1,acctAR,"")</f>
        <v/>
      </c>
      <c r="X210" s="67">
        <f>IF(V210=1,F210,"")</f>
        <v/>
      </c>
      <c r="Y210" s="68">
        <f>IF(V210=1,G210,0)</f>
        <v/>
      </c>
      <c r="Z210" s="68">
        <f>IF(V210=1,G210-S210,0)</f>
        <v/>
      </c>
      <c r="AA210" s="68">
        <f>IF(V210=1,S210,0)</f>
        <v/>
      </c>
    </row>
    <row r="211">
      <c r="B211" s="62" t="n"/>
      <c r="C211" s="63" t="n"/>
      <c r="D211" s="62" t="n"/>
      <c r="E211" s="62" t="n"/>
      <c r="F211" s="62" t="n"/>
      <c r="G211" s="64" t="n"/>
      <c r="H211" s="64" t="n"/>
      <c r="I211" s="63" t="n"/>
      <c r="J211" s="29">
        <f>IF(V211=1,IF(ISNUMBER(I211),I211,C211+IF(ISNUMBER(IFERROR(INDEX(cust_Terms,MATCH(D211,cust_Name,0)),"")),INDEX(cust_Terms,MATCH(D211,cust_Name,0)),TermsDays)),"")</f>
        <v/>
      </c>
      <c r="K211" s="65">
        <f>IF(V211=1,SUMIFS(tx_DrAmt,tx_Type,"Customer Payment",tx_Ref,B211&amp;"",tx_Date,"&lt;="&amp;AsOf),"")</f>
        <v/>
      </c>
      <c r="L211" s="65">
        <f>IF(V211=1,IF(C211&gt;AsOf,0,ROUND(G211-K211,2)),"")</f>
        <v/>
      </c>
      <c r="M211" s="66">
        <f>IF(V211&lt;&gt;1,"",IF(C211&gt;AsOf,"Future",IF(L211&lt;0,"Overpaid",IF(L211=0,"Paid",IF(AsOf&gt;J211,"Overdue",IF(K211&gt;0,"Partial","Unpaid"))))))</f>
        <v/>
      </c>
      <c r="N211" s="28">
        <f>IF(AND(V211=1,N(L211)&gt;0),AsOf-C211,"")</f>
        <v/>
      </c>
      <c r="O211" s="28">
        <f>IF(N211="","",MAX(0,AsOf-J211))</f>
        <v/>
      </c>
      <c r="P211" s="66">
        <f>IF(O211="","",IF(O211=0,"Current",IF(O211&lt;=30,"1-30",IF(O211&lt;=60,"31-60",IF(O211&lt;=90,"61-90","90+")))))</f>
        <v/>
      </c>
      <c r="Q211" s="66">
        <f>IF(T211&lt;&gt;"","⛔ "&amp;T211&amp;" — not posted",IF(U211&lt;&gt;"","⚠ "&amp;U211,IF(V211=1,"✓ OK","")))</f>
        <v/>
      </c>
      <c r="R211" s="67">
        <f>IF(AND(B211="",C211="",D211="",G211="",F211=""),1,0)</f>
        <v/>
      </c>
      <c r="S211" s="68">
        <f>IF(AND(TaxOn="Yes",ISNUMBER(H211)),H211,0)</f>
        <v/>
      </c>
      <c r="T211" s="67">
        <f>IF(R211=1,"",IF(B211="","Enter an invoice #",IF(C211="","Missing invoice date",IF(NOT(ISNUMBER(C211)),"Invalid date",IF(OR(C211&lt;DATE(2000,1,1),C211&gt;DATE(2099,12,31)),"Invalid date",IF(F211="","Select a revenue account",IF(ISNA(MATCH(F211,coa_Name,0)),"Unknown account: "&amp;F211,IF(NOT(ISNUMBER(G211)),"Enter an amount",IF(G211&lt;=0,"Amount must be positive",IF(S211&gt;G211,"Tax is larger than the amount",""))))))))))</f>
        <v/>
      </c>
      <c r="U211" s="67">
        <f>IF(OR(R211=1,T211&lt;&gt;""),"",IF(COUNTIF(ar_No,B211)&gt;1,"Duplicate invoice #",IF(D211="","Select a customer",IF(N(L211)&lt;0,"Overpaid by "&amp;TEXT(-L211,"#,##0.00"),IF(AND(ISNUMBER(H211),N(H211)&lt;&gt;0,S211=0),"Tax ignored (tax tracking is off)",IF(AND(ISNUMBER(StartDate),C211&lt;StartDate),"Date is before the accounting start date",IF(AND(IFERROR(INDEX(coa_Type,MATCH(F211,coa_Name,0)),"")&lt;&gt;"Revenue",IFERROR(INDEX(coa_Type,MATCH(F211,coa_Name,0)),"")&lt;&gt;"Other Income"),"Account is not a revenue account","")))))))</f>
        <v/>
      </c>
      <c r="V211" s="67">
        <f>IF(AND(R211=0,T211=""),1,0)</f>
        <v/>
      </c>
      <c r="W211" s="67">
        <f>IF(V211=1,acctAR,"")</f>
        <v/>
      </c>
      <c r="X211" s="67">
        <f>IF(V211=1,F211,"")</f>
        <v/>
      </c>
      <c r="Y211" s="68">
        <f>IF(V211=1,G211,0)</f>
        <v/>
      </c>
      <c r="Z211" s="68">
        <f>IF(V211=1,G211-S211,0)</f>
        <v/>
      </c>
      <c r="AA211" s="68">
        <f>IF(V211=1,S211,0)</f>
        <v/>
      </c>
    </row>
    <row r="212">
      <c r="B212" s="62" t="n"/>
      <c r="C212" s="63" t="n"/>
      <c r="D212" s="62" t="n"/>
      <c r="E212" s="62" t="n"/>
      <c r="F212" s="62" t="n"/>
      <c r="G212" s="64" t="n"/>
      <c r="H212" s="64" t="n"/>
      <c r="I212" s="63" t="n"/>
      <c r="J212" s="29">
        <f>IF(V212=1,IF(ISNUMBER(I212),I212,C212+IF(ISNUMBER(IFERROR(INDEX(cust_Terms,MATCH(D212,cust_Name,0)),"")),INDEX(cust_Terms,MATCH(D212,cust_Name,0)),TermsDays)),"")</f>
        <v/>
      </c>
      <c r="K212" s="65">
        <f>IF(V212=1,SUMIFS(tx_DrAmt,tx_Type,"Customer Payment",tx_Ref,B212&amp;"",tx_Date,"&lt;="&amp;AsOf),"")</f>
        <v/>
      </c>
      <c r="L212" s="65">
        <f>IF(V212=1,IF(C212&gt;AsOf,0,ROUND(G212-K212,2)),"")</f>
        <v/>
      </c>
      <c r="M212" s="66">
        <f>IF(V212&lt;&gt;1,"",IF(C212&gt;AsOf,"Future",IF(L212&lt;0,"Overpaid",IF(L212=0,"Paid",IF(AsOf&gt;J212,"Overdue",IF(K212&gt;0,"Partial","Unpaid"))))))</f>
        <v/>
      </c>
      <c r="N212" s="28">
        <f>IF(AND(V212=1,N(L212)&gt;0),AsOf-C212,"")</f>
        <v/>
      </c>
      <c r="O212" s="28">
        <f>IF(N212="","",MAX(0,AsOf-J212))</f>
        <v/>
      </c>
      <c r="P212" s="66">
        <f>IF(O212="","",IF(O212=0,"Current",IF(O212&lt;=30,"1-30",IF(O212&lt;=60,"31-60",IF(O212&lt;=90,"61-90","90+")))))</f>
        <v/>
      </c>
      <c r="Q212" s="66">
        <f>IF(T212&lt;&gt;"","⛔ "&amp;T212&amp;" — not posted",IF(U212&lt;&gt;"","⚠ "&amp;U212,IF(V212=1,"✓ OK","")))</f>
        <v/>
      </c>
      <c r="R212" s="67">
        <f>IF(AND(B212="",C212="",D212="",G212="",F212=""),1,0)</f>
        <v/>
      </c>
      <c r="S212" s="68">
        <f>IF(AND(TaxOn="Yes",ISNUMBER(H212)),H212,0)</f>
        <v/>
      </c>
      <c r="T212" s="67">
        <f>IF(R212=1,"",IF(B212="","Enter an invoice #",IF(C212="","Missing invoice date",IF(NOT(ISNUMBER(C212)),"Invalid date",IF(OR(C212&lt;DATE(2000,1,1),C212&gt;DATE(2099,12,31)),"Invalid date",IF(F212="","Select a revenue account",IF(ISNA(MATCH(F212,coa_Name,0)),"Unknown account: "&amp;F212,IF(NOT(ISNUMBER(G212)),"Enter an amount",IF(G212&lt;=0,"Amount must be positive",IF(S212&gt;G212,"Tax is larger than the amount",""))))))))))</f>
        <v/>
      </c>
      <c r="U212" s="67">
        <f>IF(OR(R212=1,T212&lt;&gt;""),"",IF(COUNTIF(ar_No,B212)&gt;1,"Duplicate invoice #",IF(D212="","Select a customer",IF(N(L212)&lt;0,"Overpaid by "&amp;TEXT(-L212,"#,##0.00"),IF(AND(ISNUMBER(H212),N(H212)&lt;&gt;0,S212=0),"Tax ignored (tax tracking is off)",IF(AND(ISNUMBER(StartDate),C212&lt;StartDate),"Date is before the accounting start date",IF(AND(IFERROR(INDEX(coa_Type,MATCH(F212,coa_Name,0)),"")&lt;&gt;"Revenue",IFERROR(INDEX(coa_Type,MATCH(F212,coa_Name,0)),"")&lt;&gt;"Other Income"),"Account is not a revenue account","")))))))</f>
        <v/>
      </c>
      <c r="V212" s="67">
        <f>IF(AND(R212=0,T212=""),1,0)</f>
        <v/>
      </c>
      <c r="W212" s="67">
        <f>IF(V212=1,acctAR,"")</f>
        <v/>
      </c>
      <c r="X212" s="67">
        <f>IF(V212=1,F212,"")</f>
        <v/>
      </c>
      <c r="Y212" s="68">
        <f>IF(V212=1,G212,0)</f>
        <v/>
      </c>
      <c r="Z212" s="68">
        <f>IF(V212=1,G212-S212,0)</f>
        <v/>
      </c>
      <c r="AA212" s="68">
        <f>IF(V212=1,S212,0)</f>
        <v/>
      </c>
    </row>
    <row r="213">
      <c r="B213" s="62" t="n"/>
      <c r="C213" s="63" t="n"/>
      <c r="D213" s="62" t="n"/>
      <c r="E213" s="62" t="n"/>
      <c r="F213" s="62" t="n"/>
      <c r="G213" s="64" t="n"/>
      <c r="H213" s="64" t="n"/>
      <c r="I213" s="63" t="n"/>
      <c r="J213" s="29">
        <f>IF(V213=1,IF(ISNUMBER(I213),I213,C213+IF(ISNUMBER(IFERROR(INDEX(cust_Terms,MATCH(D213,cust_Name,0)),"")),INDEX(cust_Terms,MATCH(D213,cust_Name,0)),TermsDays)),"")</f>
        <v/>
      </c>
      <c r="K213" s="65">
        <f>IF(V213=1,SUMIFS(tx_DrAmt,tx_Type,"Customer Payment",tx_Ref,B213&amp;"",tx_Date,"&lt;="&amp;AsOf),"")</f>
        <v/>
      </c>
      <c r="L213" s="65">
        <f>IF(V213=1,IF(C213&gt;AsOf,0,ROUND(G213-K213,2)),"")</f>
        <v/>
      </c>
      <c r="M213" s="66">
        <f>IF(V213&lt;&gt;1,"",IF(C213&gt;AsOf,"Future",IF(L213&lt;0,"Overpaid",IF(L213=0,"Paid",IF(AsOf&gt;J213,"Overdue",IF(K213&gt;0,"Partial","Unpaid"))))))</f>
        <v/>
      </c>
      <c r="N213" s="28">
        <f>IF(AND(V213=1,N(L213)&gt;0),AsOf-C213,"")</f>
        <v/>
      </c>
      <c r="O213" s="28">
        <f>IF(N213="","",MAX(0,AsOf-J213))</f>
        <v/>
      </c>
      <c r="P213" s="66">
        <f>IF(O213="","",IF(O213=0,"Current",IF(O213&lt;=30,"1-30",IF(O213&lt;=60,"31-60",IF(O213&lt;=90,"61-90","90+")))))</f>
        <v/>
      </c>
      <c r="Q213" s="66">
        <f>IF(T213&lt;&gt;"","⛔ "&amp;T213&amp;" — not posted",IF(U213&lt;&gt;"","⚠ "&amp;U213,IF(V213=1,"✓ OK","")))</f>
        <v/>
      </c>
      <c r="R213" s="67">
        <f>IF(AND(B213="",C213="",D213="",G213="",F213=""),1,0)</f>
        <v/>
      </c>
      <c r="S213" s="68">
        <f>IF(AND(TaxOn="Yes",ISNUMBER(H213)),H213,0)</f>
        <v/>
      </c>
      <c r="T213" s="67">
        <f>IF(R213=1,"",IF(B213="","Enter an invoice #",IF(C213="","Missing invoice date",IF(NOT(ISNUMBER(C213)),"Invalid date",IF(OR(C213&lt;DATE(2000,1,1),C213&gt;DATE(2099,12,31)),"Invalid date",IF(F213="","Select a revenue account",IF(ISNA(MATCH(F213,coa_Name,0)),"Unknown account: "&amp;F213,IF(NOT(ISNUMBER(G213)),"Enter an amount",IF(G213&lt;=0,"Amount must be positive",IF(S213&gt;G213,"Tax is larger than the amount",""))))))))))</f>
        <v/>
      </c>
      <c r="U213" s="67">
        <f>IF(OR(R213=1,T213&lt;&gt;""),"",IF(COUNTIF(ar_No,B213)&gt;1,"Duplicate invoice #",IF(D213="","Select a customer",IF(N(L213)&lt;0,"Overpaid by "&amp;TEXT(-L213,"#,##0.00"),IF(AND(ISNUMBER(H213),N(H213)&lt;&gt;0,S213=0),"Tax ignored (tax tracking is off)",IF(AND(ISNUMBER(StartDate),C213&lt;StartDate),"Date is before the accounting start date",IF(AND(IFERROR(INDEX(coa_Type,MATCH(F213,coa_Name,0)),"")&lt;&gt;"Revenue",IFERROR(INDEX(coa_Type,MATCH(F213,coa_Name,0)),"")&lt;&gt;"Other Income"),"Account is not a revenue account","")))))))</f>
        <v/>
      </c>
      <c r="V213" s="67">
        <f>IF(AND(R213=0,T213=""),1,0)</f>
        <v/>
      </c>
      <c r="W213" s="67">
        <f>IF(V213=1,acctAR,"")</f>
        <v/>
      </c>
      <c r="X213" s="67">
        <f>IF(V213=1,F213,"")</f>
        <v/>
      </c>
      <c r="Y213" s="68">
        <f>IF(V213=1,G213,0)</f>
        <v/>
      </c>
      <c r="Z213" s="68">
        <f>IF(V213=1,G213-S213,0)</f>
        <v/>
      </c>
      <c r="AA213" s="68">
        <f>IF(V213=1,S213,0)</f>
        <v/>
      </c>
    </row>
    <row r="214">
      <c r="B214" s="62" t="n"/>
      <c r="C214" s="63" t="n"/>
      <c r="D214" s="62" t="n"/>
      <c r="E214" s="62" t="n"/>
      <c r="F214" s="62" t="n"/>
      <c r="G214" s="64" t="n"/>
      <c r="H214" s="64" t="n"/>
      <c r="I214" s="63" t="n"/>
      <c r="J214" s="29">
        <f>IF(V214=1,IF(ISNUMBER(I214),I214,C214+IF(ISNUMBER(IFERROR(INDEX(cust_Terms,MATCH(D214,cust_Name,0)),"")),INDEX(cust_Terms,MATCH(D214,cust_Name,0)),TermsDays)),"")</f>
        <v/>
      </c>
      <c r="K214" s="65">
        <f>IF(V214=1,SUMIFS(tx_DrAmt,tx_Type,"Customer Payment",tx_Ref,B214&amp;"",tx_Date,"&lt;="&amp;AsOf),"")</f>
        <v/>
      </c>
      <c r="L214" s="65">
        <f>IF(V214=1,IF(C214&gt;AsOf,0,ROUND(G214-K214,2)),"")</f>
        <v/>
      </c>
      <c r="M214" s="66">
        <f>IF(V214&lt;&gt;1,"",IF(C214&gt;AsOf,"Future",IF(L214&lt;0,"Overpaid",IF(L214=0,"Paid",IF(AsOf&gt;J214,"Overdue",IF(K214&gt;0,"Partial","Unpaid"))))))</f>
        <v/>
      </c>
      <c r="N214" s="28">
        <f>IF(AND(V214=1,N(L214)&gt;0),AsOf-C214,"")</f>
        <v/>
      </c>
      <c r="O214" s="28">
        <f>IF(N214="","",MAX(0,AsOf-J214))</f>
        <v/>
      </c>
      <c r="P214" s="66">
        <f>IF(O214="","",IF(O214=0,"Current",IF(O214&lt;=30,"1-30",IF(O214&lt;=60,"31-60",IF(O214&lt;=90,"61-90","90+")))))</f>
        <v/>
      </c>
      <c r="Q214" s="66">
        <f>IF(T214&lt;&gt;"","⛔ "&amp;T214&amp;" — not posted",IF(U214&lt;&gt;"","⚠ "&amp;U214,IF(V214=1,"✓ OK","")))</f>
        <v/>
      </c>
      <c r="R214" s="67">
        <f>IF(AND(B214="",C214="",D214="",G214="",F214=""),1,0)</f>
        <v/>
      </c>
      <c r="S214" s="68">
        <f>IF(AND(TaxOn="Yes",ISNUMBER(H214)),H214,0)</f>
        <v/>
      </c>
      <c r="T214" s="67">
        <f>IF(R214=1,"",IF(B214="","Enter an invoice #",IF(C214="","Missing invoice date",IF(NOT(ISNUMBER(C214)),"Invalid date",IF(OR(C214&lt;DATE(2000,1,1),C214&gt;DATE(2099,12,31)),"Invalid date",IF(F214="","Select a revenue account",IF(ISNA(MATCH(F214,coa_Name,0)),"Unknown account: "&amp;F214,IF(NOT(ISNUMBER(G214)),"Enter an amount",IF(G214&lt;=0,"Amount must be positive",IF(S214&gt;G214,"Tax is larger than the amount",""))))))))))</f>
        <v/>
      </c>
      <c r="U214" s="67">
        <f>IF(OR(R214=1,T214&lt;&gt;""),"",IF(COUNTIF(ar_No,B214)&gt;1,"Duplicate invoice #",IF(D214="","Select a customer",IF(N(L214)&lt;0,"Overpaid by "&amp;TEXT(-L214,"#,##0.00"),IF(AND(ISNUMBER(H214),N(H214)&lt;&gt;0,S214=0),"Tax ignored (tax tracking is off)",IF(AND(ISNUMBER(StartDate),C214&lt;StartDate),"Date is before the accounting start date",IF(AND(IFERROR(INDEX(coa_Type,MATCH(F214,coa_Name,0)),"")&lt;&gt;"Revenue",IFERROR(INDEX(coa_Type,MATCH(F214,coa_Name,0)),"")&lt;&gt;"Other Income"),"Account is not a revenue account","")))))))</f>
        <v/>
      </c>
      <c r="V214" s="67">
        <f>IF(AND(R214=0,T214=""),1,0)</f>
        <v/>
      </c>
      <c r="W214" s="67">
        <f>IF(V214=1,acctAR,"")</f>
        <v/>
      </c>
      <c r="X214" s="67">
        <f>IF(V214=1,F214,"")</f>
        <v/>
      </c>
      <c r="Y214" s="68">
        <f>IF(V214=1,G214,0)</f>
        <v/>
      </c>
      <c r="Z214" s="68">
        <f>IF(V214=1,G214-S214,0)</f>
        <v/>
      </c>
      <c r="AA214" s="68">
        <f>IF(V214=1,S214,0)</f>
        <v/>
      </c>
    </row>
    <row r="215">
      <c r="B215" s="62" t="n"/>
      <c r="C215" s="63" t="n"/>
      <c r="D215" s="62" t="n"/>
      <c r="E215" s="62" t="n"/>
      <c r="F215" s="62" t="n"/>
      <c r="G215" s="64" t="n"/>
      <c r="H215" s="64" t="n"/>
      <c r="I215" s="63" t="n"/>
      <c r="J215" s="29">
        <f>IF(V215=1,IF(ISNUMBER(I215),I215,C215+IF(ISNUMBER(IFERROR(INDEX(cust_Terms,MATCH(D215,cust_Name,0)),"")),INDEX(cust_Terms,MATCH(D215,cust_Name,0)),TermsDays)),"")</f>
        <v/>
      </c>
      <c r="K215" s="65">
        <f>IF(V215=1,SUMIFS(tx_DrAmt,tx_Type,"Customer Payment",tx_Ref,B215&amp;"",tx_Date,"&lt;="&amp;AsOf),"")</f>
        <v/>
      </c>
      <c r="L215" s="65">
        <f>IF(V215=1,IF(C215&gt;AsOf,0,ROUND(G215-K215,2)),"")</f>
        <v/>
      </c>
      <c r="M215" s="66">
        <f>IF(V215&lt;&gt;1,"",IF(C215&gt;AsOf,"Future",IF(L215&lt;0,"Overpaid",IF(L215=0,"Paid",IF(AsOf&gt;J215,"Overdue",IF(K215&gt;0,"Partial","Unpaid"))))))</f>
        <v/>
      </c>
      <c r="N215" s="28">
        <f>IF(AND(V215=1,N(L215)&gt;0),AsOf-C215,"")</f>
        <v/>
      </c>
      <c r="O215" s="28">
        <f>IF(N215="","",MAX(0,AsOf-J215))</f>
        <v/>
      </c>
      <c r="P215" s="66">
        <f>IF(O215="","",IF(O215=0,"Current",IF(O215&lt;=30,"1-30",IF(O215&lt;=60,"31-60",IF(O215&lt;=90,"61-90","90+")))))</f>
        <v/>
      </c>
      <c r="Q215" s="66">
        <f>IF(T215&lt;&gt;"","⛔ "&amp;T215&amp;" — not posted",IF(U215&lt;&gt;"","⚠ "&amp;U215,IF(V215=1,"✓ OK","")))</f>
        <v/>
      </c>
      <c r="R215" s="67">
        <f>IF(AND(B215="",C215="",D215="",G215="",F215=""),1,0)</f>
        <v/>
      </c>
      <c r="S215" s="68">
        <f>IF(AND(TaxOn="Yes",ISNUMBER(H215)),H215,0)</f>
        <v/>
      </c>
      <c r="T215" s="67">
        <f>IF(R215=1,"",IF(B215="","Enter an invoice #",IF(C215="","Missing invoice date",IF(NOT(ISNUMBER(C215)),"Invalid date",IF(OR(C215&lt;DATE(2000,1,1),C215&gt;DATE(2099,12,31)),"Invalid date",IF(F215="","Select a revenue account",IF(ISNA(MATCH(F215,coa_Name,0)),"Unknown account: "&amp;F215,IF(NOT(ISNUMBER(G215)),"Enter an amount",IF(G215&lt;=0,"Amount must be positive",IF(S215&gt;G215,"Tax is larger than the amount",""))))))))))</f>
        <v/>
      </c>
      <c r="U215" s="67">
        <f>IF(OR(R215=1,T215&lt;&gt;""),"",IF(COUNTIF(ar_No,B215)&gt;1,"Duplicate invoice #",IF(D215="","Select a customer",IF(N(L215)&lt;0,"Overpaid by "&amp;TEXT(-L215,"#,##0.00"),IF(AND(ISNUMBER(H215),N(H215)&lt;&gt;0,S215=0),"Tax ignored (tax tracking is off)",IF(AND(ISNUMBER(StartDate),C215&lt;StartDate),"Date is before the accounting start date",IF(AND(IFERROR(INDEX(coa_Type,MATCH(F215,coa_Name,0)),"")&lt;&gt;"Revenue",IFERROR(INDEX(coa_Type,MATCH(F215,coa_Name,0)),"")&lt;&gt;"Other Income"),"Account is not a revenue account","")))))))</f>
        <v/>
      </c>
      <c r="V215" s="67">
        <f>IF(AND(R215=0,T215=""),1,0)</f>
        <v/>
      </c>
      <c r="W215" s="67">
        <f>IF(V215=1,acctAR,"")</f>
        <v/>
      </c>
      <c r="X215" s="67">
        <f>IF(V215=1,F215,"")</f>
        <v/>
      </c>
      <c r="Y215" s="68">
        <f>IF(V215=1,G215,0)</f>
        <v/>
      </c>
      <c r="Z215" s="68">
        <f>IF(V215=1,G215-S215,0)</f>
        <v/>
      </c>
      <c r="AA215" s="68">
        <f>IF(V215=1,S215,0)</f>
        <v/>
      </c>
    </row>
    <row r="216">
      <c r="B216" s="62" t="n"/>
      <c r="C216" s="63" t="n"/>
      <c r="D216" s="62" t="n"/>
      <c r="E216" s="62" t="n"/>
      <c r="F216" s="62" t="n"/>
      <c r="G216" s="64" t="n"/>
      <c r="H216" s="64" t="n"/>
      <c r="I216" s="63" t="n"/>
      <c r="J216" s="29">
        <f>IF(V216=1,IF(ISNUMBER(I216),I216,C216+IF(ISNUMBER(IFERROR(INDEX(cust_Terms,MATCH(D216,cust_Name,0)),"")),INDEX(cust_Terms,MATCH(D216,cust_Name,0)),TermsDays)),"")</f>
        <v/>
      </c>
      <c r="K216" s="65">
        <f>IF(V216=1,SUMIFS(tx_DrAmt,tx_Type,"Customer Payment",tx_Ref,B216&amp;"",tx_Date,"&lt;="&amp;AsOf),"")</f>
        <v/>
      </c>
      <c r="L216" s="65">
        <f>IF(V216=1,IF(C216&gt;AsOf,0,ROUND(G216-K216,2)),"")</f>
        <v/>
      </c>
      <c r="M216" s="66">
        <f>IF(V216&lt;&gt;1,"",IF(C216&gt;AsOf,"Future",IF(L216&lt;0,"Overpaid",IF(L216=0,"Paid",IF(AsOf&gt;J216,"Overdue",IF(K216&gt;0,"Partial","Unpaid"))))))</f>
        <v/>
      </c>
      <c r="N216" s="28">
        <f>IF(AND(V216=1,N(L216)&gt;0),AsOf-C216,"")</f>
        <v/>
      </c>
      <c r="O216" s="28">
        <f>IF(N216="","",MAX(0,AsOf-J216))</f>
        <v/>
      </c>
      <c r="P216" s="66">
        <f>IF(O216="","",IF(O216=0,"Current",IF(O216&lt;=30,"1-30",IF(O216&lt;=60,"31-60",IF(O216&lt;=90,"61-90","90+")))))</f>
        <v/>
      </c>
      <c r="Q216" s="66">
        <f>IF(T216&lt;&gt;"","⛔ "&amp;T216&amp;" — not posted",IF(U216&lt;&gt;"","⚠ "&amp;U216,IF(V216=1,"✓ OK","")))</f>
        <v/>
      </c>
      <c r="R216" s="67">
        <f>IF(AND(B216="",C216="",D216="",G216="",F216=""),1,0)</f>
        <v/>
      </c>
      <c r="S216" s="68">
        <f>IF(AND(TaxOn="Yes",ISNUMBER(H216)),H216,0)</f>
        <v/>
      </c>
      <c r="T216" s="67">
        <f>IF(R216=1,"",IF(B216="","Enter an invoice #",IF(C216="","Missing invoice date",IF(NOT(ISNUMBER(C216)),"Invalid date",IF(OR(C216&lt;DATE(2000,1,1),C216&gt;DATE(2099,12,31)),"Invalid date",IF(F216="","Select a revenue account",IF(ISNA(MATCH(F216,coa_Name,0)),"Unknown account: "&amp;F216,IF(NOT(ISNUMBER(G216)),"Enter an amount",IF(G216&lt;=0,"Amount must be positive",IF(S216&gt;G216,"Tax is larger than the amount",""))))))))))</f>
        <v/>
      </c>
      <c r="U216" s="67">
        <f>IF(OR(R216=1,T216&lt;&gt;""),"",IF(COUNTIF(ar_No,B216)&gt;1,"Duplicate invoice #",IF(D216="","Select a customer",IF(N(L216)&lt;0,"Overpaid by "&amp;TEXT(-L216,"#,##0.00"),IF(AND(ISNUMBER(H216),N(H216)&lt;&gt;0,S216=0),"Tax ignored (tax tracking is off)",IF(AND(ISNUMBER(StartDate),C216&lt;StartDate),"Date is before the accounting start date",IF(AND(IFERROR(INDEX(coa_Type,MATCH(F216,coa_Name,0)),"")&lt;&gt;"Revenue",IFERROR(INDEX(coa_Type,MATCH(F216,coa_Name,0)),"")&lt;&gt;"Other Income"),"Account is not a revenue account","")))))))</f>
        <v/>
      </c>
      <c r="V216" s="67">
        <f>IF(AND(R216=0,T216=""),1,0)</f>
        <v/>
      </c>
      <c r="W216" s="67">
        <f>IF(V216=1,acctAR,"")</f>
        <v/>
      </c>
      <c r="X216" s="67">
        <f>IF(V216=1,F216,"")</f>
        <v/>
      </c>
      <c r="Y216" s="68">
        <f>IF(V216=1,G216,0)</f>
        <v/>
      </c>
      <c r="Z216" s="68">
        <f>IF(V216=1,G216-S216,0)</f>
        <v/>
      </c>
      <c r="AA216" s="68">
        <f>IF(V216=1,S216,0)</f>
        <v/>
      </c>
    </row>
    <row r="217">
      <c r="B217" s="62" t="n"/>
      <c r="C217" s="63" t="n"/>
      <c r="D217" s="62" t="n"/>
      <c r="E217" s="62" t="n"/>
      <c r="F217" s="62" t="n"/>
      <c r="G217" s="64" t="n"/>
      <c r="H217" s="64" t="n"/>
      <c r="I217" s="63" t="n"/>
      <c r="J217" s="29">
        <f>IF(V217=1,IF(ISNUMBER(I217),I217,C217+IF(ISNUMBER(IFERROR(INDEX(cust_Terms,MATCH(D217,cust_Name,0)),"")),INDEX(cust_Terms,MATCH(D217,cust_Name,0)),TermsDays)),"")</f>
        <v/>
      </c>
      <c r="K217" s="65">
        <f>IF(V217=1,SUMIFS(tx_DrAmt,tx_Type,"Customer Payment",tx_Ref,B217&amp;"",tx_Date,"&lt;="&amp;AsOf),"")</f>
        <v/>
      </c>
      <c r="L217" s="65">
        <f>IF(V217=1,IF(C217&gt;AsOf,0,ROUND(G217-K217,2)),"")</f>
        <v/>
      </c>
      <c r="M217" s="66">
        <f>IF(V217&lt;&gt;1,"",IF(C217&gt;AsOf,"Future",IF(L217&lt;0,"Overpaid",IF(L217=0,"Paid",IF(AsOf&gt;J217,"Overdue",IF(K217&gt;0,"Partial","Unpaid"))))))</f>
        <v/>
      </c>
      <c r="N217" s="28">
        <f>IF(AND(V217=1,N(L217)&gt;0),AsOf-C217,"")</f>
        <v/>
      </c>
      <c r="O217" s="28">
        <f>IF(N217="","",MAX(0,AsOf-J217))</f>
        <v/>
      </c>
      <c r="P217" s="66">
        <f>IF(O217="","",IF(O217=0,"Current",IF(O217&lt;=30,"1-30",IF(O217&lt;=60,"31-60",IF(O217&lt;=90,"61-90","90+")))))</f>
        <v/>
      </c>
      <c r="Q217" s="66">
        <f>IF(T217&lt;&gt;"","⛔ "&amp;T217&amp;" — not posted",IF(U217&lt;&gt;"","⚠ "&amp;U217,IF(V217=1,"✓ OK","")))</f>
        <v/>
      </c>
      <c r="R217" s="67">
        <f>IF(AND(B217="",C217="",D217="",G217="",F217=""),1,0)</f>
        <v/>
      </c>
      <c r="S217" s="68">
        <f>IF(AND(TaxOn="Yes",ISNUMBER(H217)),H217,0)</f>
        <v/>
      </c>
      <c r="T217" s="67">
        <f>IF(R217=1,"",IF(B217="","Enter an invoice #",IF(C217="","Missing invoice date",IF(NOT(ISNUMBER(C217)),"Invalid date",IF(OR(C217&lt;DATE(2000,1,1),C217&gt;DATE(2099,12,31)),"Invalid date",IF(F217="","Select a revenue account",IF(ISNA(MATCH(F217,coa_Name,0)),"Unknown account: "&amp;F217,IF(NOT(ISNUMBER(G217)),"Enter an amount",IF(G217&lt;=0,"Amount must be positive",IF(S217&gt;G217,"Tax is larger than the amount",""))))))))))</f>
        <v/>
      </c>
      <c r="U217" s="67">
        <f>IF(OR(R217=1,T217&lt;&gt;""),"",IF(COUNTIF(ar_No,B217)&gt;1,"Duplicate invoice #",IF(D217="","Select a customer",IF(N(L217)&lt;0,"Overpaid by "&amp;TEXT(-L217,"#,##0.00"),IF(AND(ISNUMBER(H217),N(H217)&lt;&gt;0,S217=0),"Tax ignored (tax tracking is off)",IF(AND(ISNUMBER(StartDate),C217&lt;StartDate),"Date is before the accounting start date",IF(AND(IFERROR(INDEX(coa_Type,MATCH(F217,coa_Name,0)),"")&lt;&gt;"Revenue",IFERROR(INDEX(coa_Type,MATCH(F217,coa_Name,0)),"")&lt;&gt;"Other Income"),"Account is not a revenue account","")))))))</f>
        <v/>
      </c>
      <c r="V217" s="67">
        <f>IF(AND(R217=0,T217=""),1,0)</f>
        <v/>
      </c>
      <c r="W217" s="67">
        <f>IF(V217=1,acctAR,"")</f>
        <v/>
      </c>
      <c r="X217" s="67">
        <f>IF(V217=1,F217,"")</f>
        <v/>
      </c>
      <c r="Y217" s="68">
        <f>IF(V217=1,G217,0)</f>
        <v/>
      </c>
      <c r="Z217" s="68">
        <f>IF(V217=1,G217-S217,0)</f>
        <v/>
      </c>
      <c r="AA217" s="68">
        <f>IF(V217=1,S217,0)</f>
        <v/>
      </c>
    </row>
    <row r="218">
      <c r="B218" s="62" t="n"/>
      <c r="C218" s="63" t="n"/>
      <c r="D218" s="62" t="n"/>
      <c r="E218" s="62" t="n"/>
      <c r="F218" s="62" t="n"/>
      <c r="G218" s="64" t="n"/>
      <c r="H218" s="64" t="n"/>
      <c r="I218" s="63" t="n"/>
      <c r="J218" s="29">
        <f>IF(V218=1,IF(ISNUMBER(I218),I218,C218+IF(ISNUMBER(IFERROR(INDEX(cust_Terms,MATCH(D218,cust_Name,0)),"")),INDEX(cust_Terms,MATCH(D218,cust_Name,0)),TermsDays)),"")</f>
        <v/>
      </c>
      <c r="K218" s="65">
        <f>IF(V218=1,SUMIFS(tx_DrAmt,tx_Type,"Customer Payment",tx_Ref,B218&amp;"",tx_Date,"&lt;="&amp;AsOf),"")</f>
        <v/>
      </c>
      <c r="L218" s="65">
        <f>IF(V218=1,IF(C218&gt;AsOf,0,ROUND(G218-K218,2)),"")</f>
        <v/>
      </c>
      <c r="M218" s="66">
        <f>IF(V218&lt;&gt;1,"",IF(C218&gt;AsOf,"Future",IF(L218&lt;0,"Overpaid",IF(L218=0,"Paid",IF(AsOf&gt;J218,"Overdue",IF(K218&gt;0,"Partial","Unpaid"))))))</f>
        <v/>
      </c>
      <c r="N218" s="28">
        <f>IF(AND(V218=1,N(L218)&gt;0),AsOf-C218,"")</f>
        <v/>
      </c>
      <c r="O218" s="28">
        <f>IF(N218="","",MAX(0,AsOf-J218))</f>
        <v/>
      </c>
      <c r="P218" s="66">
        <f>IF(O218="","",IF(O218=0,"Current",IF(O218&lt;=30,"1-30",IF(O218&lt;=60,"31-60",IF(O218&lt;=90,"61-90","90+")))))</f>
        <v/>
      </c>
      <c r="Q218" s="66">
        <f>IF(T218&lt;&gt;"","⛔ "&amp;T218&amp;" — not posted",IF(U218&lt;&gt;"","⚠ "&amp;U218,IF(V218=1,"✓ OK","")))</f>
        <v/>
      </c>
      <c r="R218" s="67">
        <f>IF(AND(B218="",C218="",D218="",G218="",F218=""),1,0)</f>
        <v/>
      </c>
      <c r="S218" s="68">
        <f>IF(AND(TaxOn="Yes",ISNUMBER(H218)),H218,0)</f>
        <v/>
      </c>
      <c r="T218" s="67">
        <f>IF(R218=1,"",IF(B218="","Enter an invoice #",IF(C218="","Missing invoice date",IF(NOT(ISNUMBER(C218)),"Invalid date",IF(OR(C218&lt;DATE(2000,1,1),C218&gt;DATE(2099,12,31)),"Invalid date",IF(F218="","Select a revenue account",IF(ISNA(MATCH(F218,coa_Name,0)),"Unknown account: "&amp;F218,IF(NOT(ISNUMBER(G218)),"Enter an amount",IF(G218&lt;=0,"Amount must be positive",IF(S218&gt;G218,"Tax is larger than the amount",""))))))))))</f>
        <v/>
      </c>
      <c r="U218" s="67">
        <f>IF(OR(R218=1,T218&lt;&gt;""),"",IF(COUNTIF(ar_No,B218)&gt;1,"Duplicate invoice #",IF(D218="","Select a customer",IF(N(L218)&lt;0,"Overpaid by "&amp;TEXT(-L218,"#,##0.00"),IF(AND(ISNUMBER(H218),N(H218)&lt;&gt;0,S218=0),"Tax ignored (tax tracking is off)",IF(AND(ISNUMBER(StartDate),C218&lt;StartDate),"Date is before the accounting start date",IF(AND(IFERROR(INDEX(coa_Type,MATCH(F218,coa_Name,0)),"")&lt;&gt;"Revenue",IFERROR(INDEX(coa_Type,MATCH(F218,coa_Name,0)),"")&lt;&gt;"Other Income"),"Account is not a revenue account","")))))))</f>
        <v/>
      </c>
      <c r="V218" s="67">
        <f>IF(AND(R218=0,T218=""),1,0)</f>
        <v/>
      </c>
      <c r="W218" s="67">
        <f>IF(V218=1,acctAR,"")</f>
        <v/>
      </c>
      <c r="X218" s="67">
        <f>IF(V218=1,F218,"")</f>
        <v/>
      </c>
      <c r="Y218" s="68">
        <f>IF(V218=1,G218,0)</f>
        <v/>
      </c>
      <c r="Z218" s="68">
        <f>IF(V218=1,G218-S218,0)</f>
        <v/>
      </c>
      <c r="AA218" s="68">
        <f>IF(V218=1,S218,0)</f>
        <v/>
      </c>
    </row>
    <row r="219">
      <c r="B219" s="62" t="n"/>
      <c r="C219" s="63" t="n"/>
      <c r="D219" s="62" t="n"/>
      <c r="E219" s="62" t="n"/>
      <c r="F219" s="62" t="n"/>
      <c r="G219" s="64" t="n"/>
      <c r="H219" s="64" t="n"/>
      <c r="I219" s="63" t="n"/>
      <c r="J219" s="29">
        <f>IF(V219=1,IF(ISNUMBER(I219),I219,C219+IF(ISNUMBER(IFERROR(INDEX(cust_Terms,MATCH(D219,cust_Name,0)),"")),INDEX(cust_Terms,MATCH(D219,cust_Name,0)),TermsDays)),"")</f>
        <v/>
      </c>
      <c r="K219" s="65">
        <f>IF(V219=1,SUMIFS(tx_DrAmt,tx_Type,"Customer Payment",tx_Ref,B219&amp;"",tx_Date,"&lt;="&amp;AsOf),"")</f>
        <v/>
      </c>
      <c r="L219" s="65">
        <f>IF(V219=1,IF(C219&gt;AsOf,0,ROUND(G219-K219,2)),"")</f>
        <v/>
      </c>
      <c r="M219" s="66">
        <f>IF(V219&lt;&gt;1,"",IF(C219&gt;AsOf,"Future",IF(L219&lt;0,"Overpaid",IF(L219=0,"Paid",IF(AsOf&gt;J219,"Overdue",IF(K219&gt;0,"Partial","Unpaid"))))))</f>
        <v/>
      </c>
      <c r="N219" s="28">
        <f>IF(AND(V219=1,N(L219)&gt;0),AsOf-C219,"")</f>
        <v/>
      </c>
      <c r="O219" s="28">
        <f>IF(N219="","",MAX(0,AsOf-J219))</f>
        <v/>
      </c>
      <c r="P219" s="66">
        <f>IF(O219="","",IF(O219=0,"Current",IF(O219&lt;=30,"1-30",IF(O219&lt;=60,"31-60",IF(O219&lt;=90,"61-90","90+")))))</f>
        <v/>
      </c>
      <c r="Q219" s="66">
        <f>IF(T219&lt;&gt;"","⛔ "&amp;T219&amp;" — not posted",IF(U219&lt;&gt;"","⚠ "&amp;U219,IF(V219=1,"✓ OK","")))</f>
        <v/>
      </c>
      <c r="R219" s="67">
        <f>IF(AND(B219="",C219="",D219="",G219="",F219=""),1,0)</f>
        <v/>
      </c>
      <c r="S219" s="68">
        <f>IF(AND(TaxOn="Yes",ISNUMBER(H219)),H219,0)</f>
        <v/>
      </c>
      <c r="T219" s="67">
        <f>IF(R219=1,"",IF(B219="","Enter an invoice #",IF(C219="","Missing invoice date",IF(NOT(ISNUMBER(C219)),"Invalid date",IF(OR(C219&lt;DATE(2000,1,1),C219&gt;DATE(2099,12,31)),"Invalid date",IF(F219="","Select a revenue account",IF(ISNA(MATCH(F219,coa_Name,0)),"Unknown account: "&amp;F219,IF(NOT(ISNUMBER(G219)),"Enter an amount",IF(G219&lt;=0,"Amount must be positive",IF(S219&gt;G219,"Tax is larger than the amount",""))))))))))</f>
        <v/>
      </c>
      <c r="U219" s="67">
        <f>IF(OR(R219=1,T219&lt;&gt;""),"",IF(COUNTIF(ar_No,B219)&gt;1,"Duplicate invoice #",IF(D219="","Select a customer",IF(N(L219)&lt;0,"Overpaid by "&amp;TEXT(-L219,"#,##0.00"),IF(AND(ISNUMBER(H219),N(H219)&lt;&gt;0,S219=0),"Tax ignored (tax tracking is off)",IF(AND(ISNUMBER(StartDate),C219&lt;StartDate),"Date is before the accounting start date",IF(AND(IFERROR(INDEX(coa_Type,MATCH(F219,coa_Name,0)),"")&lt;&gt;"Revenue",IFERROR(INDEX(coa_Type,MATCH(F219,coa_Name,0)),"")&lt;&gt;"Other Income"),"Account is not a revenue account","")))))))</f>
        <v/>
      </c>
      <c r="V219" s="67">
        <f>IF(AND(R219=0,T219=""),1,0)</f>
        <v/>
      </c>
      <c r="W219" s="67">
        <f>IF(V219=1,acctAR,"")</f>
        <v/>
      </c>
      <c r="X219" s="67">
        <f>IF(V219=1,F219,"")</f>
        <v/>
      </c>
      <c r="Y219" s="68">
        <f>IF(V219=1,G219,0)</f>
        <v/>
      </c>
      <c r="Z219" s="68">
        <f>IF(V219=1,G219-S219,0)</f>
        <v/>
      </c>
      <c r="AA219" s="68">
        <f>IF(V219=1,S219,0)</f>
        <v/>
      </c>
    </row>
    <row r="220">
      <c r="B220" s="62" t="n"/>
      <c r="C220" s="63" t="n"/>
      <c r="D220" s="62" t="n"/>
      <c r="E220" s="62" t="n"/>
      <c r="F220" s="62" t="n"/>
      <c r="G220" s="64" t="n"/>
      <c r="H220" s="64" t="n"/>
      <c r="I220" s="63" t="n"/>
      <c r="J220" s="29">
        <f>IF(V220=1,IF(ISNUMBER(I220),I220,C220+IF(ISNUMBER(IFERROR(INDEX(cust_Terms,MATCH(D220,cust_Name,0)),"")),INDEX(cust_Terms,MATCH(D220,cust_Name,0)),TermsDays)),"")</f>
        <v/>
      </c>
      <c r="K220" s="65">
        <f>IF(V220=1,SUMIFS(tx_DrAmt,tx_Type,"Customer Payment",tx_Ref,B220&amp;"",tx_Date,"&lt;="&amp;AsOf),"")</f>
        <v/>
      </c>
      <c r="L220" s="65">
        <f>IF(V220=1,IF(C220&gt;AsOf,0,ROUND(G220-K220,2)),"")</f>
        <v/>
      </c>
      <c r="M220" s="66">
        <f>IF(V220&lt;&gt;1,"",IF(C220&gt;AsOf,"Future",IF(L220&lt;0,"Overpaid",IF(L220=0,"Paid",IF(AsOf&gt;J220,"Overdue",IF(K220&gt;0,"Partial","Unpaid"))))))</f>
        <v/>
      </c>
      <c r="N220" s="28">
        <f>IF(AND(V220=1,N(L220)&gt;0),AsOf-C220,"")</f>
        <v/>
      </c>
      <c r="O220" s="28">
        <f>IF(N220="","",MAX(0,AsOf-J220))</f>
        <v/>
      </c>
      <c r="P220" s="66">
        <f>IF(O220="","",IF(O220=0,"Current",IF(O220&lt;=30,"1-30",IF(O220&lt;=60,"31-60",IF(O220&lt;=90,"61-90","90+")))))</f>
        <v/>
      </c>
      <c r="Q220" s="66">
        <f>IF(T220&lt;&gt;"","⛔ "&amp;T220&amp;" — not posted",IF(U220&lt;&gt;"","⚠ "&amp;U220,IF(V220=1,"✓ OK","")))</f>
        <v/>
      </c>
      <c r="R220" s="67">
        <f>IF(AND(B220="",C220="",D220="",G220="",F220=""),1,0)</f>
        <v/>
      </c>
      <c r="S220" s="68">
        <f>IF(AND(TaxOn="Yes",ISNUMBER(H220)),H220,0)</f>
        <v/>
      </c>
      <c r="T220" s="67">
        <f>IF(R220=1,"",IF(B220="","Enter an invoice #",IF(C220="","Missing invoice date",IF(NOT(ISNUMBER(C220)),"Invalid date",IF(OR(C220&lt;DATE(2000,1,1),C220&gt;DATE(2099,12,31)),"Invalid date",IF(F220="","Select a revenue account",IF(ISNA(MATCH(F220,coa_Name,0)),"Unknown account: "&amp;F220,IF(NOT(ISNUMBER(G220)),"Enter an amount",IF(G220&lt;=0,"Amount must be positive",IF(S220&gt;G220,"Tax is larger than the amount",""))))))))))</f>
        <v/>
      </c>
      <c r="U220" s="67">
        <f>IF(OR(R220=1,T220&lt;&gt;""),"",IF(COUNTIF(ar_No,B220)&gt;1,"Duplicate invoice #",IF(D220="","Select a customer",IF(N(L220)&lt;0,"Overpaid by "&amp;TEXT(-L220,"#,##0.00"),IF(AND(ISNUMBER(H220),N(H220)&lt;&gt;0,S220=0),"Tax ignored (tax tracking is off)",IF(AND(ISNUMBER(StartDate),C220&lt;StartDate),"Date is before the accounting start date",IF(AND(IFERROR(INDEX(coa_Type,MATCH(F220,coa_Name,0)),"")&lt;&gt;"Revenue",IFERROR(INDEX(coa_Type,MATCH(F220,coa_Name,0)),"")&lt;&gt;"Other Income"),"Account is not a revenue account","")))))))</f>
        <v/>
      </c>
      <c r="V220" s="67">
        <f>IF(AND(R220=0,T220=""),1,0)</f>
        <v/>
      </c>
      <c r="W220" s="67">
        <f>IF(V220=1,acctAR,"")</f>
        <v/>
      </c>
      <c r="X220" s="67">
        <f>IF(V220=1,F220,"")</f>
        <v/>
      </c>
      <c r="Y220" s="68">
        <f>IF(V220=1,G220,0)</f>
        <v/>
      </c>
      <c r="Z220" s="68">
        <f>IF(V220=1,G220-S220,0)</f>
        <v/>
      </c>
      <c r="AA220" s="68">
        <f>IF(V220=1,S220,0)</f>
        <v/>
      </c>
    </row>
    <row r="221">
      <c r="B221" s="62" t="n"/>
      <c r="C221" s="63" t="n"/>
      <c r="D221" s="62" t="n"/>
      <c r="E221" s="62" t="n"/>
      <c r="F221" s="62" t="n"/>
      <c r="G221" s="64" t="n"/>
      <c r="H221" s="64" t="n"/>
      <c r="I221" s="63" t="n"/>
      <c r="J221" s="29">
        <f>IF(V221=1,IF(ISNUMBER(I221),I221,C221+IF(ISNUMBER(IFERROR(INDEX(cust_Terms,MATCH(D221,cust_Name,0)),"")),INDEX(cust_Terms,MATCH(D221,cust_Name,0)),TermsDays)),"")</f>
        <v/>
      </c>
      <c r="K221" s="65">
        <f>IF(V221=1,SUMIFS(tx_DrAmt,tx_Type,"Customer Payment",tx_Ref,B221&amp;"",tx_Date,"&lt;="&amp;AsOf),"")</f>
        <v/>
      </c>
      <c r="L221" s="65">
        <f>IF(V221=1,IF(C221&gt;AsOf,0,ROUND(G221-K221,2)),"")</f>
        <v/>
      </c>
      <c r="M221" s="66">
        <f>IF(V221&lt;&gt;1,"",IF(C221&gt;AsOf,"Future",IF(L221&lt;0,"Overpaid",IF(L221=0,"Paid",IF(AsOf&gt;J221,"Overdue",IF(K221&gt;0,"Partial","Unpaid"))))))</f>
        <v/>
      </c>
      <c r="N221" s="28">
        <f>IF(AND(V221=1,N(L221)&gt;0),AsOf-C221,"")</f>
        <v/>
      </c>
      <c r="O221" s="28">
        <f>IF(N221="","",MAX(0,AsOf-J221))</f>
        <v/>
      </c>
      <c r="P221" s="66">
        <f>IF(O221="","",IF(O221=0,"Current",IF(O221&lt;=30,"1-30",IF(O221&lt;=60,"31-60",IF(O221&lt;=90,"61-90","90+")))))</f>
        <v/>
      </c>
      <c r="Q221" s="66">
        <f>IF(T221&lt;&gt;"","⛔ "&amp;T221&amp;" — not posted",IF(U221&lt;&gt;"","⚠ "&amp;U221,IF(V221=1,"✓ OK","")))</f>
        <v/>
      </c>
      <c r="R221" s="67">
        <f>IF(AND(B221="",C221="",D221="",G221="",F221=""),1,0)</f>
        <v/>
      </c>
      <c r="S221" s="68">
        <f>IF(AND(TaxOn="Yes",ISNUMBER(H221)),H221,0)</f>
        <v/>
      </c>
      <c r="T221" s="67">
        <f>IF(R221=1,"",IF(B221="","Enter an invoice #",IF(C221="","Missing invoice date",IF(NOT(ISNUMBER(C221)),"Invalid date",IF(OR(C221&lt;DATE(2000,1,1),C221&gt;DATE(2099,12,31)),"Invalid date",IF(F221="","Select a revenue account",IF(ISNA(MATCH(F221,coa_Name,0)),"Unknown account: "&amp;F221,IF(NOT(ISNUMBER(G221)),"Enter an amount",IF(G221&lt;=0,"Amount must be positive",IF(S221&gt;G221,"Tax is larger than the amount",""))))))))))</f>
        <v/>
      </c>
      <c r="U221" s="67">
        <f>IF(OR(R221=1,T221&lt;&gt;""),"",IF(COUNTIF(ar_No,B221)&gt;1,"Duplicate invoice #",IF(D221="","Select a customer",IF(N(L221)&lt;0,"Overpaid by "&amp;TEXT(-L221,"#,##0.00"),IF(AND(ISNUMBER(H221),N(H221)&lt;&gt;0,S221=0),"Tax ignored (tax tracking is off)",IF(AND(ISNUMBER(StartDate),C221&lt;StartDate),"Date is before the accounting start date",IF(AND(IFERROR(INDEX(coa_Type,MATCH(F221,coa_Name,0)),"")&lt;&gt;"Revenue",IFERROR(INDEX(coa_Type,MATCH(F221,coa_Name,0)),"")&lt;&gt;"Other Income"),"Account is not a revenue account","")))))))</f>
        <v/>
      </c>
      <c r="V221" s="67">
        <f>IF(AND(R221=0,T221=""),1,0)</f>
        <v/>
      </c>
      <c r="W221" s="67">
        <f>IF(V221=1,acctAR,"")</f>
        <v/>
      </c>
      <c r="X221" s="67">
        <f>IF(V221=1,F221,"")</f>
        <v/>
      </c>
      <c r="Y221" s="68">
        <f>IF(V221=1,G221,0)</f>
        <v/>
      </c>
      <c r="Z221" s="68">
        <f>IF(V221=1,G221-S221,0)</f>
        <v/>
      </c>
      <c r="AA221" s="68">
        <f>IF(V221=1,S221,0)</f>
        <v/>
      </c>
    </row>
    <row r="222">
      <c r="B222" s="62" t="n"/>
      <c r="C222" s="63" t="n"/>
      <c r="D222" s="62" t="n"/>
      <c r="E222" s="62" t="n"/>
      <c r="F222" s="62" t="n"/>
      <c r="G222" s="64" t="n"/>
      <c r="H222" s="64" t="n"/>
      <c r="I222" s="63" t="n"/>
      <c r="J222" s="29">
        <f>IF(V222=1,IF(ISNUMBER(I222),I222,C222+IF(ISNUMBER(IFERROR(INDEX(cust_Terms,MATCH(D222,cust_Name,0)),"")),INDEX(cust_Terms,MATCH(D222,cust_Name,0)),TermsDays)),"")</f>
        <v/>
      </c>
      <c r="K222" s="65">
        <f>IF(V222=1,SUMIFS(tx_DrAmt,tx_Type,"Customer Payment",tx_Ref,B222&amp;"",tx_Date,"&lt;="&amp;AsOf),"")</f>
        <v/>
      </c>
      <c r="L222" s="65">
        <f>IF(V222=1,IF(C222&gt;AsOf,0,ROUND(G222-K222,2)),"")</f>
        <v/>
      </c>
      <c r="M222" s="66">
        <f>IF(V222&lt;&gt;1,"",IF(C222&gt;AsOf,"Future",IF(L222&lt;0,"Overpaid",IF(L222=0,"Paid",IF(AsOf&gt;J222,"Overdue",IF(K222&gt;0,"Partial","Unpaid"))))))</f>
        <v/>
      </c>
      <c r="N222" s="28">
        <f>IF(AND(V222=1,N(L222)&gt;0),AsOf-C222,"")</f>
        <v/>
      </c>
      <c r="O222" s="28">
        <f>IF(N222="","",MAX(0,AsOf-J222))</f>
        <v/>
      </c>
      <c r="P222" s="66">
        <f>IF(O222="","",IF(O222=0,"Current",IF(O222&lt;=30,"1-30",IF(O222&lt;=60,"31-60",IF(O222&lt;=90,"61-90","90+")))))</f>
        <v/>
      </c>
      <c r="Q222" s="66">
        <f>IF(T222&lt;&gt;"","⛔ "&amp;T222&amp;" — not posted",IF(U222&lt;&gt;"","⚠ "&amp;U222,IF(V222=1,"✓ OK","")))</f>
        <v/>
      </c>
      <c r="R222" s="67">
        <f>IF(AND(B222="",C222="",D222="",G222="",F222=""),1,0)</f>
        <v/>
      </c>
      <c r="S222" s="68">
        <f>IF(AND(TaxOn="Yes",ISNUMBER(H222)),H222,0)</f>
        <v/>
      </c>
      <c r="T222" s="67">
        <f>IF(R222=1,"",IF(B222="","Enter an invoice #",IF(C222="","Missing invoice date",IF(NOT(ISNUMBER(C222)),"Invalid date",IF(OR(C222&lt;DATE(2000,1,1),C222&gt;DATE(2099,12,31)),"Invalid date",IF(F222="","Select a revenue account",IF(ISNA(MATCH(F222,coa_Name,0)),"Unknown account: "&amp;F222,IF(NOT(ISNUMBER(G222)),"Enter an amount",IF(G222&lt;=0,"Amount must be positive",IF(S222&gt;G222,"Tax is larger than the amount",""))))))))))</f>
        <v/>
      </c>
      <c r="U222" s="67">
        <f>IF(OR(R222=1,T222&lt;&gt;""),"",IF(COUNTIF(ar_No,B222)&gt;1,"Duplicate invoice #",IF(D222="","Select a customer",IF(N(L222)&lt;0,"Overpaid by "&amp;TEXT(-L222,"#,##0.00"),IF(AND(ISNUMBER(H222),N(H222)&lt;&gt;0,S222=0),"Tax ignored (tax tracking is off)",IF(AND(ISNUMBER(StartDate),C222&lt;StartDate),"Date is before the accounting start date",IF(AND(IFERROR(INDEX(coa_Type,MATCH(F222,coa_Name,0)),"")&lt;&gt;"Revenue",IFERROR(INDEX(coa_Type,MATCH(F222,coa_Name,0)),"")&lt;&gt;"Other Income"),"Account is not a revenue account","")))))))</f>
        <v/>
      </c>
      <c r="V222" s="67">
        <f>IF(AND(R222=0,T222=""),1,0)</f>
        <v/>
      </c>
      <c r="W222" s="67">
        <f>IF(V222=1,acctAR,"")</f>
        <v/>
      </c>
      <c r="X222" s="67">
        <f>IF(V222=1,F222,"")</f>
        <v/>
      </c>
      <c r="Y222" s="68">
        <f>IF(V222=1,G222,0)</f>
        <v/>
      </c>
      <c r="Z222" s="68">
        <f>IF(V222=1,G222-S222,0)</f>
        <v/>
      </c>
      <c r="AA222" s="68">
        <f>IF(V222=1,S222,0)</f>
        <v/>
      </c>
    </row>
    <row r="223">
      <c r="B223" s="62" t="n"/>
      <c r="C223" s="63" t="n"/>
      <c r="D223" s="62" t="n"/>
      <c r="E223" s="62" t="n"/>
      <c r="F223" s="62" t="n"/>
      <c r="G223" s="64" t="n"/>
      <c r="H223" s="64" t="n"/>
      <c r="I223" s="63" t="n"/>
      <c r="J223" s="29">
        <f>IF(V223=1,IF(ISNUMBER(I223),I223,C223+IF(ISNUMBER(IFERROR(INDEX(cust_Terms,MATCH(D223,cust_Name,0)),"")),INDEX(cust_Terms,MATCH(D223,cust_Name,0)),TermsDays)),"")</f>
        <v/>
      </c>
      <c r="K223" s="65">
        <f>IF(V223=1,SUMIFS(tx_DrAmt,tx_Type,"Customer Payment",tx_Ref,B223&amp;"",tx_Date,"&lt;="&amp;AsOf),"")</f>
        <v/>
      </c>
      <c r="L223" s="65">
        <f>IF(V223=1,IF(C223&gt;AsOf,0,ROUND(G223-K223,2)),"")</f>
        <v/>
      </c>
      <c r="M223" s="66">
        <f>IF(V223&lt;&gt;1,"",IF(C223&gt;AsOf,"Future",IF(L223&lt;0,"Overpaid",IF(L223=0,"Paid",IF(AsOf&gt;J223,"Overdue",IF(K223&gt;0,"Partial","Unpaid"))))))</f>
        <v/>
      </c>
      <c r="N223" s="28">
        <f>IF(AND(V223=1,N(L223)&gt;0),AsOf-C223,"")</f>
        <v/>
      </c>
      <c r="O223" s="28">
        <f>IF(N223="","",MAX(0,AsOf-J223))</f>
        <v/>
      </c>
      <c r="P223" s="66">
        <f>IF(O223="","",IF(O223=0,"Current",IF(O223&lt;=30,"1-30",IF(O223&lt;=60,"31-60",IF(O223&lt;=90,"61-90","90+")))))</f>
        <v/>
      </c>
      <c r="Q223" s="66">
        <f>IF(T223&lt;&gt;"","⛔ "&amp;T223&amp;" — not posted",IF(U223&lt;&gt;"","⚠ "&amp;U223,IF(V223=1,"✓ OK","")))</f>
        <v/>
      </c>
      <c r="R223" s="67">
        <f>IF(AND(B223="",C223="",D223="",G223="",F223=""),1,0)</f>
        <v/>
      </c>
      <c r="S223" s="68">
        <f>IF(AND(TaxOn="Yes",ISNUMBER(H223)),H223,0)</f>
        <v/>
      </c>
      <c r="T223" s="67">
        <f>IF(R223=1,"",IF(B223="","Enter an invoice #",IF(C223="","Missing invoice date",IF(NOT(ISNUMBER(C223)),"Invalid date",IF(OR(C223&lt;DATE(2000,1,1),C223&gt;DATE(2099,12,31)),"Invalid date",IF(F223="","Select a revenue account",IF(ISNA(MATCH(F223,coa_Name,0)),"Unknown account: "&amp;F223,IF(NOT(ISNUMBER(G223)),"Enter an amount",IF(G223&lt;=0,"Amount must be positive",IF(S223&gt;G223,"Tax is larger than the amount",""))))))))))</f>
        <v/>
      </c>
      <c r="U223" s="67">
        <f>IF(OR(R223=1,T223&lt;&gt;""),"",IF(COUNTIF(ar_No,B223)&gt;1,"Duplicate invoice #",IF(D223="","Select a customer",IF(N(L223)&lt;0,"Overpaid by "&amp;TEXT(-L223,"#,##0.00"),IF(AND(ISNUMBER(H223),N(H223)&lt;&gt;0,S223=0),"Tax ignored (tax tracking is off)",IF(AND(ISNUMBER(StartDate),C223&lt;StartDate),"Date is before the accounting start date",IF(AND(IFERROR(INDEX(coa_Type,MATCH(F223,coa_Name,0)),"")&lt;&gt;"Revenue",IFERROR(INDEX(coa_Type,MATCH(F223,coa_Name,0)),"")&lt;&gt;"Other Income"),"Account is not a revenue account","")))))))</f>
        <v/>
      </c>
      <c r="V223" s="67">
        <f>IF(AND(R223=0,T223=""),1,0)</f>
        <v/>
      </c>
      <c r="W223" s="67">
        <f>IF(V223=1,acctAR,"")</f>
        <v/>
      </c>
      <c r="X223" s="67">
        <f>IF(V223=1,F223,"")</f>
        <v/>
      </c>
      <c r="Y223" s="68">
        <f>IF(V223=1,G223,0)</f>
        <v/>
      </c>
      <c r="Z223" s="68">
        <f>IF(V223=1,G223-S223,0)</f>
        <v/>
      </c>
      <c r="AA223" s="68">
        <f>IF(V223=1,S223,0)</f>
        <v/>
      </c>
    </row>
    <row r="224">
      <c r="B224" s="62" t="n"/>
      <c r="C224" s="63" t="n"/>
      <c r="D224" s="62" t="n"/>
      <c r="E224" s="62" t="n"/>
      <c r="F224" s="62" t="n"/>
      <c r="G224" s="64" t="n"/>
      <c r="H224" s="64" t="n"/>
      <c r="I224" s="63" t="n"/>
      <c r="J224" s="29">
        <f>IF(V224=1,IF(ISNUMBER(I224),I224,C224+IF(ISNUMBER(IFERROR(INDEX(cust_Terms,MATCH(D224,cust_Name,0)),"")),INDEX(cust_Terms,MATCH(D224,cust_Name,0)),TermsDays)),"")</f>
        <v/>
      </c>
      <c r="K224" s="65">
        <f>IF(V224=1,SUMIFS(tx_DrAmt,tx_Type,"Customer Payment",tx_Ref,B224&amp;"",tx_Date,"&lt;="&amp;AsOf),"")</f>
        <v/>
      </c>
      <c r="L224" s="65">
        <f>IF(V224=1,IF(C224&gt;AsOf,0,ROUND(G224-K224,2)),"")</f>
        <v/>
      </c>
      <c r="M224" s="66">
        <f>IF(V224&lt;&gt;1,"",IF(C224&gt;AsOf,"Future",IF(L224&lt;0,"Overpaid",IF(L224=0,"Paid",IF(AsOf&gt;J224,"Overdue",IF(K224&gt;0,"Partial","Unpaid"))))))</f>
        <v/>
      </c>
      <c r="N224" s="28">
        <f>IF(AND(V224=1,N(L224)&gt;0),AsOf-C224,"")</f>
        <v/>
      </c>
      <c r="O224" s="28">
        <f>IF(N224="","",MAX(0,AsOf-J224))</f>
        <v/>
      </c>
      <c r="P224" s="66">
        <f>IF(O224="","",IF(O224=0,"Current",IF(O224&lt;=30,"1-30",IF(O224&lt;=60,"31-60",IF(O224&lt;=90,"61-90","90+")))))</f>
        <v/>
      </c>
      <c r="Q224" s="66">
        <f>IF(T224&lt;&gt;"","⛔ "&amp;T224&amp;" — not posted",IF(U224&lt;&gt;"","⚠ "&amp;U224,IF(V224=1,"✓ OK","")))</f>
        <v/>
      </c>
      <c r="R224" s="67">
        <f>IF(AND(B224="",C224="",D224="",G224="",F224=""),1,0)</f>
        <v/>
      </c>
      <c r="S224" s="68">
        <f>IF(AND(TaxOn="Yes",ISNUMBER(H224)),H224,0)</f>
        <v/>
      </c>
      <c r="T224" s="67">
        <f>IF(R224=1,"",IF(B224="","Enter an invoice #",IF(C224="","Missing invoice date",IF(NOT(ISNUMBER(C224)),"Invalid date",IF(OR(C224&lt;DATE(2000,1,1),C224&gt;DATE(2099,12,31)),"Invalid date",IF(F224="","Select a revenue account",IF(ISNA(MATCH(F224,coa_Name,0)),"Unknown account: "&amp;F224,IF(NOT(ISNUMBER(G224)),"Enter an amount",IF(G224&lt;=0,"Amount must be positive",IF(S224&gt;G224,"Tax is larger than the amount",""))))))))))</f>
        <v/>
      </c>
      <c r="U224" s="67">
        <f>IF(OR(R224=1,T224&lt;&gt;""),"",IF(COUNTIF(ar_No,B224)&gt;1,"Duplicate invoice #",IF(D224="","Select a customer",IF(N(L224)&lt;0,"Overpaid by "&amp;TEXT(-L224,"#,##0.00"),IF(AND(ISNUMBER(H224),N(H224)&lt;&gt;0,S224=0),"Tax ignored (tax tracking is off)",IF(AND(ISNUMBER(StartDate),C224&lt;StartDate),"Date is before the accounting start date",IF(AND(IFERROR(INDEX(coa_Type,MATCH(F224,coa_Name,0)),"")&lt;&gt;"Revenue",IFERROR(INDEX(coa_Type,MATCH(F224,coa_Name,0)),"")&lt;&gt;"Other Income"),"Account is not a revenue account","")))))))</f>
        <v/>
      </c>
      <c r="V224" s="67">
        <f>IF(AND(R224=0,T224=""),1,0)</f>
        <v/>
      </c>
      <c r="W224" s="67">
        <f>IF(V224=1,acctAR,"")</f>
        <v/>
      </c>
      <c r="X224" s="67">
        <f>IF(V224=1,F224,"")</f>
        <v/>
      </c>
      <c r="Y224" s="68">
        <f>IF(V224=1,G224,0)</f>
        <v/>
      </c>
      <c r="Z224" s="68">
        <f>IF(V224=1,G224-S224,0)</f>
        <v/>
      </c>
      <c r="AA224" s="68">
        <f>IF(V224=1,S224,0)</f>
        <v/>
      </c>
    </row>
    <row r="225">
      <c r="B225" s="62" t="n"/>
      <c r="C225" s="63" t="n"/>
      <c r="D225" s="62" t="n"/>
      <c r="E225" s="62" t="n"/>
      <c r="F225" s="62" t="n"/>
      <c r="G225" s="64" t="n"/>
      <c r="H225" s="64" t="n"/>
      <c r="I225" s="63" t="n"/>
      <c r="J225" s="29">
        <f>IF(V225=1,IF(ISNUMBER(I225),I225,C225+IF(ISNUMBER(IFERROR(INDEX(cust_Terms,MATCH(D225,cust_Name,0)),"")),INDEX(cust_Terms,MATCH(D225,cust_Name,0)),TermsDays)),"")</f>
        <v/>
      </c>
      <c r="K225" s="65">
        <f>IF(V225=1,SUMIFS(tx_DrAmt,tx_Type,"Customer Payment",tx_Ref,B225&amp;"",tx_Date,"&lt;="&amp;AsOf),"")</f>
        <v/>
      </c>
      <c r="L225" s="65">
        <f>IF(V225=1,IF(C225&gt;AsOf,0,ROUND(G225-K225,2)),"")</f>
        <v/>
      </c>
      <c r="M225" s="66">
        <f>IF(V225&lt;&gt;1,"",IF(C225&gt;AsOf,"Future",IF(L225&lt;0,"Overpaid",IF(L225=0,"Paid",IF(AsOf&gt;J225,"Overdue",IF(K225&gt;0,"Partial","Unpaid"))))))</f>
        <v/>
      </c>
      <c r="N225" s="28">
        <f>IF(AND(V225=1,N(L225)&gt;0),AsOf-C225,"")</f>
        <v/>
      </c>
      <c r="O225" s="28">
        <f>IF(N225="","",MAX(0,AsOf-J225))</f>
        <v/>
      </c>
      <c r="P225" s="66">
        <f>IF(O225="","",IF(O225=0,"Current",IF(O225&lt;=30,"1-30",IF(O225&lt;=60,"31-60",IF(O225&lt;=90,"61-90","90+")))))</f>
        <v/>
      </c>
      <c r="Q225" s="66">
        <f>IF(T225&lt;&gt;"","⛔ "&amp;T225&amp;" — not posted",IF(U225&lt;&gt;"","⚠ "&amp;U225,IF(V225=1,"✓ OK","")))</f>
        <v/>
      </c>
      <c r="R225" s="67">
        <f>IF(AND(B225="",C225="",D225="",G225="",F225=""),1,0)</f>
        <v/>
      </c>
      <c r="S225" s="68">
        <f>IF(AND(TaxOn="Yes",ISNUMBER(H225)),H225,0)</f>
        <v/>
      </c>
      <c r="T225" s="67">
        <f>IF(R225=1,"",IF(B225="","Enter an invoice #",IF(C225="","Missing invoice date",IF(NOT(ISNUMBER(C225)),"Invalid date",IF(OR(C225&lt;DATE(2000,1,1),C225&gt;DATE(2099,12,31)),"Invalid date",IF(F225="","Select a revenue account",IF(ISNA(MATCH(F225,coa_Name,0)),"Unknown account: "&amp;F225,IF(NOT(ISNUMBER(G225)),"Enter an amount",IF(G225&lt;=0,"Amount must be positive",IF(S225&gt;G225,"Tax is larger than the amount",""))))))))))</f>
        <v/>
      </c>
      <c r="U225" s="67">
        <f>IF(OR(R225=1,T225&lt;&gt;""),"",IF(COUNTIF(ar_No,B225)&gt;1,"Duplicate invoice #",IF(D225="","Select a customer",IF(N(L225)&lt;0,"Overpaid by "&amp;TEXT(-L225,"#,##0.00"),IF(AND(ISNUMBER(H225),N(H225)&lt;&gt;0,S225=0),"Tax ignored (tax tracking is off)",IF(AND(ISNUMBER(StartDate),C225&lt;StartDate),"Date is before the accounting start date",IF(AND(IFERROR(INDEX(coa_Type,MATCH(F225,coa_Name,0)),"")&lt;&gt;"Revenue",IFERROR(INDEX(coa_Type,MATCH(F225,coa_Name,0)),"")&lt;&gt;"Other Income"),"Account is not a revenue account","")))))))</f>
        <v/>
      </c>
      <c r="V225" s="67">
        <f>IF(AND(R225=0,T225=""),1,0)</f>
        <v/>
      </c>
      <c r="W225" s="67">
        <f>IF(V225=1,acctAR,"")</f>
        <v/>
      </c>
      <c r="X225" s="67">
        <f>IF(V225=1,F225,"")</f>
        <v/>
      </c>
      <c r="Y225" s="68">
        <f>IF(V225=1,G225,0)</f>
        <v/>
      </c>
      <c r="Z225" s="68">
        <f>IF(V225=1,G225-S225,0)</f>
        <v/>
      </c>
      <c r="AA225" s="68">
        <f>IF(V225=1,S225,0)</f>
        <v/>
      </c>
    </row>
    <row r="226">
      <c r="B226" s="62" t="n"/>
      <c r="C226" s="63" t="n"/>
      <c r="D226" s="62" t="n"/>
      <c r="E226" s="62" t="n"/>
      <c r="F226" s="62" t="n"/>
      <c r="G226" s="64" t="n"/>
      <c r="H226" s="64" t="n"/>
      <c r="I226" s="63" t="n"/>
      <c r="J226" s="29">
        <f>IF(V226=1,IF(ISNUMBER(I226),I226,C226+IF(ISNUMBER(IFERROR(INDEX(cust_Terms,MATCH(D226,cust_Name,0)),"")),INDEX(cust_Terms,MATCH(D226,cust_Name,0)),TermsDays)),"")</f>
        <v/>
      </c>
      <c r="K226" s="65">
        <f>IF(V226=1,SUMIFS(tx_DrAmt,tx_Type,"Customer Payment",tx_Ref,B226&amp;"",tx_Date,"&lt;="&amp;AsOf),"")</f>
        <v/>
      </c>
      <c r="L226" s="65">
        <f>IF(V226=1,IF(C226&gt;AsOf,0,ROUND(G226-K226,2)),"")</f>
        <v/>
      </c>
      <c r="M226" s="66">
        <f>IF(V226&lt;&gt;1,"",IF(C226&gt;AsOf,"Future",IF(L226&lt;0,"Overpaid",IF(L226=0,"Paid",IF(AsOf&gt;J226,"Overdue",IF(K226&gt;0,"Partial","Unpaid"))))))</f>
        <v/>
      </c>
      <c r="N226" s="28">
        <f>IF(AND(V226=1,N(L226)&gt;0),AsOf-C226,"")</f>
        <v/>
      </c>
      <c r="O226" s="28">
        <f>IF(N226="","",MAX(0,AsOf-J226))</f>
        <v/>
      </c>
      <c r="P226" s="66">
        <f>IF(O226="","",IF(O226=0,"Current",IF(O226&lt;=30,"1-30",IF(O226&lt;=60,"31-60",IF(O226&lt;=90,"61-90","90+")))))</f>
        <v/>
      </c>
      <c r="Q226" s="66">
        <f>IF(T226&lt;&gt;"","⛔ "&amp;T226&amp;" — not posted",IF(U226&lt;&gt;"","⚠ "&amp;U226,IF(V226=1,"✓ OK","")))</f>
        <v/>
      </c>
      <c r="R226" s="67">
        <f>IF(AND(B226="",C226="",D226="",G226="",F226=""),1,0)</f>
        <v/>
      </c>
      <c r="S226" s="68">
        <f>IF(AND(TaxOn="Yes",ISNUMBER(H226)),H226,0)</f>
        <v/>
      </c>
      <c r="T226" s="67">
        <f>IF(R226=1,"",IF(B226="","Enter an invoice #",IF(C226="","Missing invoice date",IF(NOT(ISNUMBER(C226)),"Invalid date",IF(OR(C226&lt;DATE(2000,1,1),C226&gt;DATE(2099,12,31)),"Invalid date",IF(F226="","Select a revenue account",IF(ISNA(MATCH(F226,coa_Name,0)),"Unknown account: "&amp;F226,IF(NOT(ISNUMBER(G226)),"Enter an amount",IF(G226&lt;=0,"Amount must be positive",IF(S226&gt;G226,"Tax is larger than the amount",""))))))))))</f>
        <v/>
      </c>
      <c r="U226" s="67">
        <f>IF(OR(R226=1,T226&lt;&gt;""),"",IF(COUNTIF(ar_No,B226)&gt;1,"Duplicate invoice #",IF(D226="","Select a customer",IF(N(L226)&lt;0,"Overpaid by "&amp;TEXT(-L226,"#,##0.00"),IF(AND(ISNUMBER(H226),N(H226)&lt;&gt;0,S226=0),"Tax ignored (tax tracking is off)",IF(AND(ISNUMBER(StartDate),C226&lt;StartDate),"Date is before the accounting start date",IF(AND(IFERROR(INDEX(coa_Type,MATCH(F226,coa_Name,0)),"")&lt;&gt;"Revenue",IFERROR(INDEX(coa_Type,MATCH(F226,coa_Name,0)),"")&lt;&gt;"Other Income"),"Account is not a revenue account","")))))))</f>
        <v/>
      </c>
      <c r="V226" s="67">
        <f>IF(AND(R226=0,T226=""),1,0)</f>
        <v/>
      </c>
      <c r="W226" s="67">
        <f>IF(V226=1,acctAR,"")</f>
        <v/>
      </c>
      <c r="X226" s="67">
        <f>IF(V226=1,F226,"")</f>
        <v/>
      </c>
      <c r="Y226" s="68">
        <f>IF(V226=1,G226,0)</f>
        <v/>
      </c>
      <c r="Z226" s="68">
        <f>IF(V226=1,G226-S226,0)</f>
        <v/>
      </c>
      <c r="AA226" s="68">
        <f>IF(V226=1,S226,0)</f>
        <v/>
      </c>
    </row>
    <row r="227">
      <c r="B227" s="62" t="n"/>
      <c r="C227" s="63" t="n"/>
      <c r="D227" s="62" t="n"/>
      <c r="E227" s="62" t="n"/>
      <c r="F227" s="62" t="n"/>
      <c r="G227" s="64" t="n"/>
      <c r="H227" s="64" t="n"/>
      <c r="I227" s="63" t="n"/>
      <c r="J227" s="29">
        <f>IF(V227=1,IF(ISNUMBER(I227),I227,C227+IF(ISNUMBER(IFERROR(INDEX(cust_Terms,MATCH(D227,cust_Name,0)),"")),INDEX(cust_Terms,MATCH(D227,cust_Name,0)),TermsDays)),"")</f>
        <v/>
      </c>
      <c r="K227" s="65">
        <f>IF(V227=1,SUMIFS(tx_DrAmt,tx_Type,"Customer Payment",tx_Ref,B227&amp;"",tx_Date,"&lt;="&amp;AsOf),"")</f>
        <v/>
      </c>
      <c r="L227" s="65">
        <f>IF(V227=1,IF(C227&gt;AsOf,0,ROUND(G227-K227,2)),"")</f>
        <v/>
      </c>
      <c r="M227" s="66">
        <f>IF(V227&lt;&gt;1,"",IF(C227&gt;AsOf,"Future",IF(L227&lt;0,"Overpaid",IF(L227=0,"Paid",IF(AsOf&gt;J227,"Overdue",IF(K227&gt;0,"Partial","Unpaid"))))))</f>
        <v/>
      </c>
      <c r="N227" s="28">
        <f>IF(AND(V227=1,N(L227)&gt;0),AsOf-C227,"")</f>
        <v/>
      </c>
      <c r="O227" s="28">
        <f>IF(N227="","",MAX(0,AsOf-J227))</f>
        <v/>
      </c>
      <c r="P227" s="66">
        <f>IF(O227="","",IF(O227=0,"Current",IF(O227&lt;=30,"1-30",IF(O227&lt;=60,"31-60",IF(O227&lt;=90,"61-90","90+")))))</f>
        <v/>
      </c>
      <c r="Q227" s="66">
        <f>IF(T227&lt;&gt;"","⛔ "&amp;T227&amp;" — not posted",IF(U227&lt;&gt;"","⚠ "&amp;U227,IF(V227=1,"✓ OK","")))</f>
        <v/>
      </c>
      <c r="R227" s="67">
        <f>IF(AND(B227="",C227="",D227="",G227="",F227=""),1,0)</f>
        <v/>
      </c>
      <c r="S227" s="68">
        <f>IF(AND(TaxOn="Yes",ISNUMBER(H227)),H227,0)</f>
        <v/>
      </c>
      <c r="T227" s="67">
        <f>IF(R227=1,"",IF(B227="","Enter an invoice #",IF(C227="","Missing invoice date",IF(NOT(ISNUMBER(C227)),"Invalid date",IF(OR(C227&lt;DATE(2000,1,1),C227&gt;DATE(2099,12,31)),"Invalid date",IF(F227="","Select a revenue account",IF(ISNA(MATCH(F227,coa_Name,0)),"Unknown account: "&amp;F227,IF(NOT(ISNUMBER(G227)),"Enter an amount",IF(G227&lt;=0,"Amount must be positive",IF(S227&gt;G227,"Tax is larger than the amount",""))))))))))</f>
        <v/>
      </c>
      <c r="U227" s="67">
        <f>IF(OR(R227=1,T227&lt;&gt;""),"",IF(COUNTIF(ar_No,B227)&gt;1,"Duplicate invoice #",IF(D227="","Select a customer",IF(N(L227)&lt;0,"Overpaid by "&amp;TEXT(-L227,"#,##0.00"),IF(AND(ISNUMBER(H227),N(H227)&lt;&gt;0,S227=0),"Tax ignored (tax tracking is off)",IF(AND(ISNUMBER(StartDate),C227&lt;StartDate),"Date is before the accounting start date",IF(AND(IFERROR(INDEX(coa_Type,MATCH(F227,coa_Name,0)),"")&lt;&gt;"Revenue",IFERROR(INDEX(coa_Type,MATCH(F227,coa_Name,0)),"")&lt;&gt;"Other Income"),"Account is not a revenue account","")))))))</f>
        <v/>
      </c>
      <c r="V227" s="67">
        <f>IF(AND(R227=0,T227=""),1,0)</f>
        <v/>
      </c>
      <c r="W227" s="67">
        <f>IF(V227=1,acctAR,"")</f>
        <v/>
      </c>
      <c r="X227" s="67">
        <f>IF(V227=1,F227,"")</f>
        <v/>
      </c>
      <c r="Y227" s="68">
        <f>IF(V227=1,G227,0)</f>
        <v/>
      </c>
      <c r="Z227" s="68">
        <f>IF(V227=1,G227-S227,0)</f>
        <v/>
      </c>
      <c r="AA227" s="68">
        <f>IF(V227=1,S227,0)</f>
        <v/>
      </c>
    </row>
    <row r="228">
      <c r="B228" s="62" t="n"/>
      <c r="C228" s="63" t="n"/>
      <c r="D228" s="62" t="n"/>
      <c r="E228" s="62" t="n"/>
      <c r="F228" s="62" t="n"/>
      <c r="G228" s="64" t="n"/>
      <c r="H228" s="64" t="n"/>
      <c r="I228" s="63" t="n"/>
      <c r="J228" s="29">
        <f>IF(V228=1,IF(ISNUMBER(I228),I228,C228+IF(ISNUMBER(IFERROR(INDEX(cust_Terms,MATCH(D228,cust_Name,0)),"")),INDEX(cust_Terms,MATCH(D228,cust_Name,0)),TermsDays)),"")</f>
        <v/>
      </c>
      <c r="K228" s="65">
        <f>IF(V228=1,SUMIFS(tx_DrAmt,tx_Type,"Customer Payment",tx_Ref,B228&amp;"",tx_Date,"&lt;="&amp;AsOf),"")</f>
        <v/>
      </c>
      <c r="L228" s="65">
        <f>IF(V228=1,IF(C228&gt;AsOf,0,ROUND(G228-K228,2)),"")</f>
        <v/>
      </c>
      <c r="M228" s="66">
        <f>IF(V228&lt;&gt;1,"",IF(C228&gt;AsOf,"Future",IF(L228&lt;0,"Overpaid",IF(L228=0,"Paid",IF(AsOf&gt;J228,"Overdue",IF(K228&gt;0,"Partial","Unpaid"))))))</f>
        <v/>
      </c>
      <c r="N228" s="28">
        <f>IF(AND(V228=1,N(L228)&gt;0),AsOf-C228,"")</f>
        <v/>
      </c>
      <c r="O228" s="28">
        <f>IF(N228="","",MAX(0,AsOf-J228))</f>
        <v/>
      </c>
      <c r="P228" s="66">
        <f>IF(O228="","",IF(O228=0,"Current",IF(O228&lt;=30,"1-30",IF(O228&lt;=60,"31-60",IF(O228&lt;=90,"61-90","90+")))))</f>
        <v/>
      </c>
      <c r="Q228" s="66">
        <f>IF(T228&lt;&gt;"","⛔ "&amp;T228&amp;" — not posted",IF(U228&lt;&gt;"","⚠ "&amp;U228,IF(V228=1,"✓ OK","")))</f>
        <v/>
      </c>
      <c r="R228" s="67">
        <f>IF(AND(B228="",C228="",D228="",G228="",F228=""),1,0)</f>
        <v/>
      </c>
      <c r="S228" s="68">
        <f>IF(AND(TaxOn="Yes",ISNUMBER(H228)),H228,0)</f>
        <v/>
      </c>
      <c r="T228" s="67">
        <f>IF(R228=1,"",IF(B228="","Enter an invoice #",IF(C228="","Missing invoice date",IF(NOT(ISNUMBER(C228)),"Invalid date",IF(OR(C228&lt;DATE(2000,1,1),C228&gt;DATE(2099,12,31)),"Invalid date",IF(F228="","Select a revenue account",IF(ISNA(MATCH(F228,coa_Name,0)),"Unknown account: "&amp;F228,IF(NOT(ISNUMBER(G228)),"Enter an amount",IF(G228&lt;=0,"Amount must be positive",IF(S228&gt;G228,"Tax is larger than the amount",""))))))))))</f>
        <v/>
      </c>
      <c r="U228" s="67">
        <f>IF(OR(R228=1,T228&lt;&gt;""),"",IF(COUNTIF(ar_No,B228)&gt;1,"Duplicate invoice #",IF(D228="","Select a customer",IF(N(L228)&lt;0,"Overpaid by "&amp;TEXT(-L228,"#,##0.00"),IF(AND(ISNUMBER(H228),N(H228)&lt;&gt;0,S228=0),"Tax ignored (tax tracking is off)",IF(AND(ISNUMBER(StartDate),C228&lt;StartDate),"Date is before the accounting start date",IF(AND(IFERROR(INDEX(coa_Type,MATCH(F228,coa_Name,0)),"")&lt;&gt;"Revenue",IFERROR(INDEX(coa_Type,MATCH(F228,coa_Name,0)),"")&lt;&gt;"Other Income"),"Account is not a revenue account","")))))))</f>
        <v/>
      </c>
      <c r="V228" s="67">
        <f>IF(AND(R228=0,T228=""),1,0)</f>
        <v/>
      </c>
      <c r="W228" s="67">
        <f>IF(V228=1,acctAR,"")</f>
        <v/>
      </c>
      <c r="X228" s="67">
        <f>IF(V228=1,F228,"")</f>
        <v/>
      </c>
      <c r="Y228" s="68">
        <f>IF(V228=1,G228,0)</f>
        <v/>
      </c>
      <c r="Z228" s="68">
        <f>IF(V228=1,G228-S228,0)</f>
        <v/>
      </c>
      <c r="AA228" s="68">
        <f>IF(V228=1,S228,0)</f>
        <v/>
      </c>
    </row>
    <row r="229">
      <c r="B229" s="62" t="n"/>
      <c r="C229" s="63" t="n"/>
      <c r="D229" s="62" t="n"/>
      <c r="E229" s="62" t="n"/>
      <c r="F229" s="62" t="n"/>
      <c r="G229" s="64" t="n"/>
      <c r="H229" s="64" t="n"/>
      <c r="I229" s="63" t="n"/>
      <c r="J229" s="29">
        <f>IF(V229=1,IF(ISNUMBER(I229),I229,C229+IF(ISNUMBER(IFERROR(INDEX(cust_Terms,MATCH(D229,cust_Name,0)),"")),INDEX(cust_Terms,MATCH(D229,cust_Name,0)),TermsDays)),"")</f>
        <v/>
      </c>
      <c r="K229" s="65">
        <f>IF(V229=1,SUMIFS(tx_DrAmt,tx_Type,"Customer Payment",tx_Ref,B229&amp;"",tx_Date,"&lt;="&amp;AsOf),"")</f>
        <v/>
      </c>
      <c r="L229" s="65">
        <f>IF(V229=1,IF(C229&gt;AsOf,0,ROUND(G229-K229,2)),"")</f>
        <v/>
      </c>
      <c r="M229" s="66">
        <f>IF(V229&lt;&gt;1,"",IF(C229&gt;AsOf,"Future",IF(L229&lt;0,"Overpaid",IF(L229=0,"Paid",IF(AsOf&gt;J229,"Overdue",IF(K229&gt;0,"Partial","Unpaid"))))))</f>
        <v/>
      </c>
      <c r="N229" s="28">
        <f>IF(AND(V229=1,N(L229)&gt;0),AsOf-C229,"")</f>
        <v/>
      </c>
      <c r="O229" s="28">
        <f>IF(N229="","",MAX(0,AsOf-J229))</f>
        <v/>
      </c>
      <c r="P229" s="66">
        <f>IF(O229="","",IF(O229=0,"Current",IF(O229&lt;=30,"1-30",IF(O229&lt;=60,"31-60",IF(O229&lt;=90,"61-90","90+")))))</f>
        <v/>
      </c>
      <c r="Q229" s="66">
        <f>IF(T229&lt;&gt;"","⛔ "&amp;T229&amp;" — not posted",IF(U229&lt;&gt;"","⚠ "&amp;U229,IF(V229=1,"✓ OK","")))</f>
        <v/>
      </c>
      <c r="R229" s="67">
        <f>IF(AND(B229="",C229="",D229="",G229="",F229=""),1,0)</f>
        <v/>
      </c>
      <c r="S229" s="68">
        <f>IF(AND(TaxOn="Yes",ISNUMBER(H229)),H229,0)</f>
        <v/>
      </c>
      <c r="T229" s="67">
        <f>IF(R229=1,"",IF(B229="","Enter an invoice #",IF(C229="","Missing invoice date",IF(NOT(ISNUMBER(C229)),"Invalid date",IF(OR(C229&lt;DATE(2000,1,1),C229&gt;DATE(2099,12,31)),"Invalid date",IF(F229="","Select a revenue account",IF(ISNA(MATCH(F229,coa_Name,0)),"Unknown account: "&amp;F229,IF(NOT(ISNUMBER(G229)),"Enter an amount",IF(G229&lt;=0,"Amount must be positive",IF(S229&gt;G229,"Tax is larger than the amount",""))))))))))</f>
        <v/>
      </c>
      <c r="U229" s="67">
        <f>IF(OR(R229=1,T229&lt;&gt;""),"",IF(COUNTIF(ar_No,B229)&gt;1,"Duplicate invoice #",IF(D229="","Select a customer",IF(N(L229)&lt;0,"Overpaid by "&amp;TEXT(-L229,"#,##0.00"),IF(AND(ISNUMBER(H229),N(H229)&lt;&gt;0,S229=0),"Tax ignored (tax tracking is off)",IF(AND(ISNUMBER(StartDate),C229&lt;StartDate),"Date is before the accounting start date",IF(AND(IFERROR(INDEX(coa_Type,MATCH(F229,coa_Name,0)),"")&lt;&gt;"Revenue",IFERROR(INDEX(coa_Type,MATCH(F229,coa_Name,0)),"")&lt;&gt;"Other Income"),"Account is not a revenue account","")))))))</f>
        <v/>
      </c>
      <c r="V229" s="67">
        <f>IF(AND(R229=0,T229=""),1,0)</f>
        <v/>
      </c>
      <c r="W229" s="67">
        <f>IF(V229=1,acctAR,"")</f>
        <v/>
      </c>
      <c r="X229" s="67">
        <f>IF(V229=1,F229,"")</f>
        <v/>
      </c>
      <c r="Y229" s="68">
        <f>IF(V229=1,G229,0)</f>
        <v/>
      </c>
      <c r="Z229" s="68">
        <f>IF(V229=1,G229-S229,0)</f>
        <v/>
      </c>
      <c r="AA229" s="68">
        <f>IF(V229=1,S229,0)</f>
        <v/>
      </c>
    </row>
    <row r="230">
      <c r="B230" s="62" t="n"/>
      <c r="C230" s="63" t="n"/>
      <c r="D230" s="62" t="n"/>
      <c r="E230" s="62" t="n"/>
      <c r="F230" s="62" t="n"/>
      <c r="G230" s="64" t="n"/>
      <c r="H230" s="64" t="n"/>
      <c r="I230" s="63" t="n"/>
      <c r="J230" s="29">
        <f>IF(V230=1,IF(ISNUMBER(I230),I230,C230+IF(ISNUMBER(IFERROR(INDEX(cust_Terms,MATCH(D230,cust_Name,0)),"")),INDEX(cust_Terms,MATCH(D230,cust_Name,0)),TermsDays)),"")</f>
        <v/>
      </c>
      <c r="K230" s="65">
        <f>IF(V230=1,SUMIFS(tx_DrAmt,tx_Type,"Customer Payment",tx_Ref,B230&amp;"",tx_Date,"&lt;="&amp;AsOf),"")</f>
        <v/>
      </c>
      <c r="L230" s="65">
        <f>IF(V230=1,IF(C230&gt;AsOf,0,ROUND(G230-K230,2)),"")</f>
        <v/>
      </c>
      <c r="M230" s="66">
        <f>IF(V230&lt;&gt;1,"",IF(C230&gt;AsOf,"Future",IF(L230&lt;0,"Overpaid",IF(L230=0,"Paid",IF(AsOf&gt;J230,"Overdue",IF(K230&gt;0,"Partial","Unpaid"))))))</f>
        <v/>
      </c>
      <c r="N230" s="28">
        <f>IF(AND(V230=1,N(L230)&gt;0),AsOf-C230,"")</f>
        <v/>
      </c>
      <c r="O230" s="28">
        <f>IF(N230="","",MAX(0,AsOf-J230))</f>
        <v/>
      </c>
      <c r="P230" s="66">
        <f>IF(O230="","",IF(O230=0,"Current",IF(O230&lt;=30,"1-30",IF(O230&lt;=60,"31-60",IF(O230&lt;=90,"61-90","90+")))))</f>
        <v/>
      </c>
      <c r="Q230" s="66">
        <f>IF(T230&lt;&gt;"","⛔ "&amp;T230&amp;" — not posted",IF(U230&lt;&gt;"","⚠ "&amp;U230,IF(V230=1,"✓ OK","")))</f>
        <v/>
      </c>
      <c r="R230" s="67">
        <f>IF(AND(B230="",C230="",D230="",G230="",F230=""),1,0)</f>
        <v/>
      </c>
      <c r="S230" s="68">
        <f>IF(AND(TaxOn="Yes",ISNUMBER(H230)),H230,0)</f>
        <v/>
      </c>
      <c r="T230" s="67">
        <f>IF(R230=1,"",IF(B230="","Enter an invoice #",IF(C230="","Missing invoice date",IF(NOT(ISNUMBER(C230)),"Invalid date",IF(OR(C230&lt;DATE(2000,1,1),C230&gt;DATE(2099,12,31)),"Invalid date",IF(F230="","Select a revenue account",IF(ISNA(MATCH(F230,coa_Name,0)),"Unknown account: "&amp;F230,IF(NOT(ISNUMBER(G230)),"Enter an amount",IF(G230&lt;=0,"Amount must be positive",IF(S230&gt;G230,"Tax is larger than the amount",""))))))))))</f>
        <v/>
      </c>
      <c r="U230" s="67">
        <f>IF(OR(R230=1,T230&lt;&gt;""),"",IF(COUNTIF(ar_No,B230)&gt;1,"Duplicate invoice #",IF(D230="","Select a customer",IF(N(L230)&lt;0,"Overpaid by "&amp;TEXT(-L230,"#,##0.00"),IF(AND(ISNUMBER(H230),N(H230)&lt;&gt;0,S230=0),"Tax ignored (tax tracking is off)",IF(AND(ISNUMBER(StartDate),C230&lt;StartDate),"Date is before the accounting start date",IF(AND(IFERROR(INDEX(coa_Type,MATCH(F230,coa_Name,0)),"")&lt;&gt;"Revenue",IFERROR(INDEX(coa_Type,MATCH(F230,coa_Name,0)),"")&lt;&gt;"Other Income"),"Account is not a revenue account","")))))))</f>
        <v/>
      </c>
      <c r="V230" s="67">
        <f>IF(AND(R230=0,T230=""),1,0)</f>
        <v/>
      </c>
      <c r="W230" s="67">
        <f>IF(V230=1,acctAR,"")</f>
        <v/>
      </c>
      <c r="X230" s="67">
        <f>IF(V230=1,F230,"")</f>
        <v/>
      </c>
      <c r="Y230" s="68">
        <f>IF(V230=1,G230,0)</f>
        <v/>
      </c>
      <c r="Z230" s="68">
        <f>IF(V230=1,G230-S230,0)</f>
        <v/>
      </c>
      <c r="AA230" s="68">
        <f>IF(V230=1,S230,0)</f>
        <v/>
      </c>
    </row>
    <row r="231">
      <c r="B231" s="62" t="n"/>
      <c r="C231" s="63" t="n"/>
      <c r="D231" s="62" t="n"/>
      <c r="E231" s="62" t="n"/>
      <c r="F231" s="62" t="n"/>
      <c r="G231" s="64" t="n"/>
      <c r="H231" s="64" t="n"/>
      <c r="I231" s="63" t="n"/>
      <c r="J231" s="29">
        <f>IF(V231=1,IF(ISNUMBER(I231),I231,C231+IF(ISNUMBER(IFERROR(INDEX(cust_Terms,MATCH(D231,cust_Name,0)),"")),INDEX(cust_Terms,MATCH(D231,cust_Name,0)),TermsDays)),"")</f>
        <v/>
      </c>
      <c r="K231" s="65">
        <f>IF(V231=1,SUMIFS(tx_DrAmt,tx_Type,"Customer Payment",tx_Ref,B231&amp;"",tx_Date,"&lt;="&amp;AsOf),"")</f>
        <v/>
      </c>
      <c r="L231" s="65">
        <f>IF(V231=1,IF(C231&gt;AsOf,0,ROUND(G231-K231,2)),"")</f>
        <v/>
      </c>
      <c r="M231" s="66">
        <f>IF(V231&lt;&gt;1,"",IF(C231&gt;AsOf,"Future",IF(L231&lt;0,"Overpaid",IF(L231=0,"Paid",IF(AsOf&gt;J231,"Overdue",IF(K231&gt;0,"Partial","Unpaid"))))))</f>
        <v/>
      </c>
      <c r="N231" s="28">
        <f>IF(AND(V231=1,N(L231)&gt;0),AsOf-C231,"")</f>
        <v/>
      </c>
      <c r="O231" s="28">
        <f>IF(N231="","",MAX(0,AsOf-J231))</f>
        <v/>
      </c>
      <c r="P231" s="66">
        <f>IF(O231="","",IF(O231=0,"Current",IF(O231&lt;=30,"1-30",IF(O231&lt;=60,"31-60",IF(O231&lt;=90,"61-90","90+")))))</f>
        <v/>
      </c>
      <c r="Q231" s="66">
        <f>IF(T231&lt;&gt;"","⛔ "&amp;T231&amp;" — not posted",IF(U231&lt;&gt;"","⚠ "&amp;U231,IF(V231=1,"✓ OK","")))</f>
        <v/>
      </c>
      <c r="R231" s="67">
        <f>IF(AND(B231="",C231="",D231="",G231="",F231=""),1,0)</f>
        <v/>
      </c>
      <c r="S231" s="68">
        <f>IF(AND(TaxOn="Yes",ISNUMBER(H231)),H231,0)</f>
        <v/>
      </c>
      <c r="T231" s="67">
        <f>IF(R231=1,"",IF(B231="","Enter an invoice #",IF(C231="","Missing invoice date",IF(NOT(ISNUMBER(C231)),"Invalid date",IF(OR(C231&lt;DATE(2000,1,1),C231&gt;DATE(2099,12,31)),"Invalid date",IF(F231="","Select a revenue account",IF(ISNA(MATCH(F231,coa_Name,0)),"Unknown account: "&amp;F231,IF(NOT(ISNUMBER(G231)),"Enter an amount",IF(G231&lt;=0,"Amount must be positive",IF(S231&gt;G231,"Tax is larger than the amount",""))))))))))</f>
        <v/>
      </c>
      <c r="U231" s="67">
        <f>IF(OR(R231=1,T231&lt;&gt;""),"",IF(COUNTIF(ar_No,B231)&gt;1,"Duplicate invoice #",IF(D231="","Select a customer",IF(N(L231)&lt;0,"Overpaid by "&amp;TEXT(-L231,"#,##0.00"),IF(AND(ISNUMBER(H231),N(H231)&lt;&gt;0,S231=0),"Tax ignored (tax tracking is off)",IF(AND(ISNUMBER(StartDate),C231&lt;StartDate),"Date is before the accounting start date",IF(AND(IFERROR(INDEX(coa_Type,MATCH(F231,coa_Name,0)),"")&lt;&gt;"Revenue",IFERROR(INDEX(coa_Type,MATCH(F231,coa_Name,0)),"")&lt;&gt;"Other Income"),"Account is not a revenue account","")))))))</f>
        <v/>
      </c>
      <c r="V231" s="67">
        <f>IF(AND(R231=0,T231=""),1,0)</f>
        <v/>
      </c>
      <c r="W231" s="67">
        <f>IF(V231=1,acctAR,"")</f>
        <v/>
      </c>
      <c r="X231" s="67">
        <f>IF(V231=1,F231,"")</f>
        <v/>
      </c>
      <c r="Y231" s="68">
        <f>IF(V231=1,G231,0)</f>
        <v/>
      </c>
      <c r="Z231" s="68">
        <f>IF(V231=1,G231-S231,0)</f>
        <v/>
      </c>
      <c r="AA231" s="68">
        <f>IF(V231=1,S231,0)</f>
        <v/>
      </c>
    </row>
    <row r="232">
      <c r="B232" s="62" t="n"/>
      <c r="C232" s="63" t="n"/>
      <c r="D232" s="62" t="n"/>
      <c r="E232" s="62" t="n"/>
      <c r="F232" s="62" t="n"/>
      <c r="G232" s="64" t="n"/>
      <c r="H232" s="64" t="n"/>
      <c r="I232" s="63" t="n"/>
      <c r="J232" s="29">
        <f>IF(V232=1,IF(ISNUMBER(I232),I232,C232+IF(ISNUMBER(IFERROR(INDEX(cust_Terms,MATCH(D232,cust_Name,0)),"")),INDEX(cust_Terms,MATCH(D232,cust_Name,0)),TermsDays)),"")</f>
        <v/>
      </c>
      <c r="K232" s="65">
        <f>IF(V232=1,SUMIFS(tx_DrAmt,tx_Type,"Customer Payment",tx_Ref,B232&amp;"",tx_Date,"&lt;="&amp;AsOf),"")</f>
        <v/>
      </c>
      <c r="L232" s="65">
        <f>IF(V232=1,IF(C232&gt;AsOf,0,ROUND(G232-K232,2)),"")</f>
        <v/>
      </c>
      <c r="M232" s="66">
        <f>IF(V232&lt;&gt;1,"",IF(C232&gt;AsOf,"Future",IF(L232&lt;0,"Overpaid",IF(L232=0,"Paid",IF(AsOf&gt;J232,"Overdue",IF(K232&gt;0,"Partial","Unpaid"))))))</f>
        <v/>
      </c>
      <c r="N232" s="28">
        <f>IF(AND(V232=1,N(L232)&gt;0),AsOf-C232,"")</f>
        <v/>
      </c>
      <c r="O232" s="28">
        <f>IF(N232="","",MAX(0,AsOf-J232))</f>
        <v/>
      </c>
      <c r="P232" s="66">
        <f>IF(O232="","",IF(O232=0,"Current",IF(O232&lt;=30,"1-30",IF(O232&lt;=60,"31-60",IF(O232&lt;=90,"61-90","90+")))))</f>
        <v/>
      </c>
      <c r="Q232" s="66">
        <f>IF(T232&lt;&gt;"","⛔ "&amp;T232&amp;" — not posted",IF(U232&lt;&gt;"","⚠ "&amp;U232,IF(V232=1,"✓ OK","")))</f>
        <v/>
      </c>
      <c r="R232" s="67">
        <f>IF(AND(B232="",C232="",D232="",G232="",F232=""),1,0)</f>
        <v/>
      </c>
      <c r="S232" s="68">
        <f>IF(AND(TaxOn="Yes",ISNUMBER(H232)),H232,0)</f>
        <v/>
      </c>
      <c r="T232" s="67">
        <f>IF(R232=1,"",IF(B232="","Enter an invoice #",IF(C232="","Missing invoice date",IF(NOT(ISNUMBER(C232)),"Invalid date",IF(OR(C232&lt;DATE(2000,1,1),C232&gt;DATE(2099,12,31)),"Invalid date",IF(F232="","Select a revenue account",IF(ISNA(MATCH(F232,coa_Name,0)),"Unknown account: "&amp;F232,IF(NOT(ISNUMBER(G232)),"Enter an amount",IF(G232&lt;=0,"Amount must be positive",IF(S232&gt;G232,"Tax is larger than the amount",""))))))))))</f>
        <v/>
      </c>
      <c r="U232" s="67">
        <f>IF(OR(R232=1,T232&lt;&gt;""),"",IF(COUNTIF(ar_No,B232)&gt;1,"Duplicate invoice #",IF(D232="","Select a customer",IF(N(L232)&lt;0,"Overpaid by "&amp;TEXT(-L232,"#,##0.00"),IF(AND(ISNUMBER(H232),N(H232)&lt;&gt;0,S232=0),"Tax ignored (tax tracking is off)",IF(AND(ISNUMBER(StartDate),C232&lt;StartDate),"Date is before the accounting start date",IF(AND(IFERROR(INDEX(coa_Type,MATCH(F232,coa_Name,0)),"")&lt;&gt;"Revenue",IFERROR(INDEX(coa_Type,MATCH(F232,coa_Name,0)),"")&lt;&gt;"Other Income"),"Account is not a revenue account","")))))))</f>
        <v/>
      </c>
      <c r="V232" s="67">
        <f>IF(AND(R232=0,T232=""),1,0)</f>
        <v/>
      </c>
      <c r="W232" s="67">
        <f>IF(V232=1,acctAR,"")</f>
        <v/>
      </c>
      <c r="X232" s="67">
        <f>IF(V232=1,F232,"")</f>
        <v/>
      </c>
      <c r="Y232" s="68">
        <f>IF(V232=1,G232,0)</f>
        <v/>
      </c>
      <c r="Z232" s="68">
        <f>IF(V232=1,G232-S232,0)</f>
        <v/>
      </c>
      <c r="AA232" s="68">
        <f>IF(V232=1,S232,0)</f>
        <v/>
      </c>
    </row>
    <row r="233">
      <c r="B233" s="62" t="n"/>
      <c r="C233" s="63" t="n"/>
      <c r="D233" s="62" t="n"/>
      <c r="E233" s="62" t="n"/>
      <c r="F233" s="62" t="n"/>
      <c r="G233" s="64" t="n"/>
      <c r="H233" s="64" t="n"/>
      <c r="I233" s="63" t="n"/>
      <c r="J233" s="29">
        <f>IF(V233=1,IF(ISNUMBER(I233),I233,C233+IF(ISNUMBER(IFERROR(INDEX(cust_Terms,MATCH(D233,cust_Name,0)),"")),INDEX(cust_Terms,MATCH(D233,cust_Name,0)),TermsDays)),"")</f>
        <v/>
      </c>
      <c r="K233" s="65">
        <f>IF(V233=1,SUMIFS(tx_DrAmt,tx_Type,"Customer Payment",tx_Ref,B233&amp;"",tx_Date,"&lt;="&amp;AsOf),"")</f>
        <v/>
      </c>
      <c r="L233" s="65">
        <f>IF(V233=1,IF(C233&gt;AsOf,0,ROUND(G233-K233,2)),"")</f>
        <v/>
      </c>
      <c r="M233" s="66">
        <f>IF(V233&lt;&gt;1,"",IF(C233&gt;AsOf,"Future",IF(L233&lt;0,"Overpaid",IF(L233=0,"Paid",IF(AsOf&gt;J233,"Overdue",IF(K233&gt;0,"Partial","Unpaid"))))))</f>
        <v/>
      </c>
      <c r="N233" s="28">
        <f>IF(AND(V233=1,N(L233)&gt;0),AsOf-C233,"")</f>
        <v/>
      </c>
      <c r="O233" s="28">
        <f>IF(N233="","",MAX(0,AsOf-J233))</f>
        <v/>
      </c>
      <c r="P233" s="66">
        <f>IF(O233="","",IF(O233=0,"Current",IF(O233&lt;=30,"1-30",IF(O233&lt;=60,"31-60",IF(O233&lt;=90,"61-90","90+")))))</f>
        <v/>
      </c>
      <c r="Q233" s="66">
        <f>IF(T233&lt;&gt;"","⛔ "&amp;T233&amp;" — not posted",IF(U233&lt;&gt;"","⚠ "&amp;U233,IF(V233=1,"✓ OK","")))</f>
        <v/>
      </c>
      <c r="R233" s="67">
        <f>IF(AND(B233="",C233="",D233="",G233="",F233=""),1,0)</f>
        <v/>
      </c>
      <c r="S233" s="68">
        <f>IF(AND(TaxOn="Yes",ISNUMBER(H233)),H233,0)</f>
        <v/>
      </c>
      <c r="T233" s="67">
        <f>IF(R233=1,"",IF(B233="","Enter an invoice #",IF(C233="","Missing invoice date",IF(NOT(ISNUMBER(C233)),"Invalid date",IF(OR(C233&lt;DATE(2000,1,1),C233&gt;DATE(2099,12,31)),"Invalid date",IF(F233="","Select a revenue account",IF(ISNA(MATCH(F233,coa_Name,0)),"Unknown account: "&amp;F233,IF(NOT(ISNUMBER(G233)),"Enter an amount",IF(G233&lt;=0,"Amount must be positive",IF(S233&gt;G233,"Tax is larger than the amount",""))))))))))</f>
        <v/>
      </c>
      <c r="U233" s="67">
        <f>IF(OR(R233=1,T233&lt;&gt;""),"",IF(COUNTIF(ar_No,B233)&gt;1,"Duplicate invoice #",IF(D233="","Select a customer",IF(N(L233)&lt;0,"Overpaid by "&amp;TEXT(-L233,"#,##0.00"),IF(AND(ISNUMBER(H233),N(H233)&lt;&gt;0,S233=0),"Tax ignored (tax tracking is off)",IF(AND(ISNUMBER(StartDate),C233&lt;StartDate),"Date is before the accounting start date",IF(AND(IFERROR(INDEX(coa_Type,MATCH(F233,coa_Name,0)),"")&lt;&gt;"Revenue",IFERROR(INDEX(coa_Type,MATCH(F233,coa_Name,0)),"")&lt;&gt;"Other Income"),"Account is not a revenue account","")))))))</f>
        <v/>
      </c>
      <c r="V233" s="67">
        <f>IF(AND(R233=0,T233=""),1,0)</f>
        <v/>
      </c>
      <c r="W233" s="67">
        <f>IF(V233=1,acctAR,"")</f>
        <v/>
      </c>
      <c r="X233" s="67">
        <f>IF(V233=1,F233,"")</f>
        <v/>
      </c>
      <c r="Y233" s="68">
        <f>IF(V233=1,G233,0)</f>
        <v/>
      </c>
      <c r="Z233" s="68">
        <f>IF(V233=1,G233-S233,0)</f>
        <v/>
      </c>
      <c r="AA233" s="68">
        <f>IF(V233=1,S233,0)</f>
        <v/>
      </c>
    </row>
    <row r="234">
      <c r="B234" s="62" t="n"/>
      <c r="C234" s="63" t="n"/>
      <c r="D234" s="62" t="n"/>
      <c r="E234" s="62" t="n"/>
      <c r="F234" s="62" t="n"/>
      <c r="G234" s="64" t="n"/>
      <c r="H234" s="64" t="n"/>
      <c r="I234" s="63" t="n"/>
      <c r="J234" s="29">
        <f>IF(V234=1,IF(ISNUMBER(I234),I234,C234+IF(ISNUMBER(IFERROR(INDEX(cust_Terms,MATCH(D234,cust_Name,0)),"")),INDEX(cust_Terms,MATCH(D234,cust_Name,0)),TermsDays)),"")</f>
        <v/>
      </c>
      <c r="K234" s="65">
        <f>IF(V234=1,SUMIFS(tx_DrAmt,tx_Type,"Customer Payment",tx_Ref,B234&amp;"",tx_Date,"&lt;="&amp;AsOf),"")</f>
        <v/>
      </c>
      <c r="L234" s="65">
        <f>IF(V234=1,IF(C234&gt;AsOf,0,ROUND(G234-K234,2)),"")</f>
        <v/>
      </c>
      <c r="M234" s="66">
        <f>IF(V234&lt;&gt;1,"",IF(C234&gt;AsOf,"Future",IF(L234&lt;0,"Overpaid",IF(L234=0,"Paid",IF(AsOf&gt;J234,"Overdue",IF(K234&gt;0,"Partial","Unpaid"))))))</f>
        <v/>
      </c>
      <c r="N234" s="28">
        <f>IF(AND(V234=1,N(L234)&gt;0),AsOf-C234,"")</f>
        <v/>
      </c>
      <c r="O234" s="28">
        <f>IF(N234="","",MAX(0,AsOf-J234))</f>
        <v/>
      </c>
      <c r="P234" s="66">
        <f>IF(O234="","",IF(O234=0,"Current",IF(O234&lt;=30,"1-30",IF(O234&lt;=60,"31-60",IF(O234&lt;=90,"61-90","90+")))))</f>
        <v/>
      </c>
      <c r="Q234" s="66">
        <f>IF(T234&lt;&gt;"","⛔ "&amp;T234&amp;" — not posted",IF(U234&lt;&gt;"","⚠ "&amp;U234,IF(V234=1,"✓ OK","")))</f>
        <v/>
      </c>
      <c r="R234" s="67">
        <f>IF(AND(B234="",C234="",D234="",G234="",F234=""),1,0)</f>
        <v/>
      </c>
      <c r="S234" s="68">
        <f>IF(AND(TaxOn="Yes",ISNUMBER(H234)),H234,0)</f>
        <v/>
      </c>
      <c r="T234" s="67">
        <f>IF(R234=1,"",IF(B234="","Enter an invoice #",IF(C234="","Missing invoice date",IF(NOT(ISNUMBER(C234)),"Invalid date",IF(OR(C234&lt;DATE(2000,1,1),C234&gt;DATE(2099,12,31)),"Invalid date",IF(F234="","Select a revenue account",IF(ISNA(MATCH(F234,coa_Name,0)),"Unknown account: "&amp;F234,IF(NOT(ISNUMBER(G234)),"Enter an amount",IF(G234&lt;=0,"Amount must be positive",IF(S234&gt;G234,"Tax is larger than the amount",""))))))))))</f>
        <v/>
      </c>
      <c r="U234" s="67">
        <f>IF(OR(R234=1,T234&lt;&gt;""),"",IF(COUNTIF(ar_No,B234)&gt;1,"Duplicate invoice #",IF(D234="","Select a customer",IF(N(L234)&lt;0,"Overpaid by "&amp;TEXT(-L234,"#,##0.00"),IF(AND(ISNUMBER(H234),N(H234)&lt;&gt;0,S234=0),"Tax ignored (tax tracking is off)",IF(AND(ISNUMBER(StartDate),C234&lt;StartDate),"Date is before the accounting start date",IF(AND(IFERROR(INDEX(coa_Type,MATCH(F234,coa_Name,0)),"")&lt;&gt;"Revenue",IFERROR(INDEX(coa_Type,MATCH(F234,coa_Name,0)),"")&lt;&gt;"Other Income"),"Account is not a revenue account","")))))))</f>
        <v/>
      </c>
      <c r="V234" s="67">
        <f>IF(AND(R234=0,T234=""),1,0)</f>
        <v/>
      </c>
      <c r="W234" s="67">
        <f>IF(V234=1,acctAR,"")</f>
        <v/>
      </c>
      <c r="X234" s="67">
        <f>IF(V234=1,F234,"")</f>
        <v/>
      </c>
      <c r="Y234" s="68">
        <f>IF(V234=1,G234,0)</f>
        <v/>
      </c>
      <c r="Z234" s="68">
        <f>IF(V234=1,G234-S234,0)</f>
        <v/>
      </c>
      <c r="AA234" s="68">
        <f>IF(V234=1,S234,0)</f>
        <v/>
      </c>
    </row>
    <row r="235">
      <c r="B235" s="62" t="n"/>
      <c r="C235" s="63" t="n"/>
      <c r="D235" s="62" t="n"/>
      <c r="E235" s="62" t="n"/>
      <c r="F235" s="62" t="n"/>
      <c r="G235" s="64" t="n"/>
      <c r="H235" s="64" t="n"/>
      <c r="I235" s="63" t="n"/>
      <c r="J235" s="29">
        <f>IF(V235=1,IF(ISNUMBER(I235),I235,C235+IF(ISNUMBER(IFERROR(INDEX(cust_Terms,MATCH(D235,cust_Name,0)),"")),INDEX(cust_Terms,MATCH(D235,cust_Name,0)),TermsDays)),"")</f>
        <v/>
      </c>
      <c r="K235" s="65">
        <f>IF(V235=1,SUMIFS(tx_DrAmt,tx_Type,"Customer Payment",tx_Ref,B235&amp;"",tx_Date,"&lt;="&amp;AsOf),"")</f>
        <v/>
      </c>
      <c r="L235" s="65">
        <f>IF(V235=1,IF(C235&gt;AsOf,0,ROUND(G235-K235,2)),"")</f>
        <v/>
      </c>
      <c r="M235" s="66">
        <f>IF(V235&lt;&gt;1,"",IF(C235&gt;AsOf,"Future",IF(L235&lt;0,"Overpaid",IF(L235=0,"Paid",IF(AsOf&gt;J235,"Overdue",IF(K235&gt;0,"Partial","Unpaid"))))))</f>
        <v/>
      </c>
      <c r="N235" s="28">
        <f>IF(AND(V235=1,N(L235)&gt;0),AsOf-C235,"")</f>
        <v/>
      </c>
      <c r="O235" s="28">
        <f>IF(N235="","",MAX(0,AsOf-J235))</f>
        <v/>
      </c>
      <c r="P235" s="66">
        <f>IF(O235="","",IF(O235=0,"Current",IF(O235&lt;=30,"1-30",IF(O235&lt;=60,"31-60",IF(O235&lt;=90,"61-90","90+")))))</f>
        <v/>
      </c>
      <c r="Q235" s="66">
        <f>IF(T235&lt;&gt;"","⛔ "&amp;T235&amp;" — not posted",IF(U235&lt;&gt;"","⚠ "&amp;U235,IF(V235=1,"✓ OK","")))</f>
        <v/>
      </c>
      <c r="R235" s="67">
        <f>IF(AND(B235="",C235="",D235="",G235="",F235=""),1,0)</f>
        <v/>
      </c>
      <c r="S235" s="68">
        <f>IF(AND(TaxOn="Yes",ISNUMBER(H235)),H235,0)</f>
        <v/>
      </c>
      <c r="T235" s="67">
        <f>IF(R235=1,"",IF(B235="","Enter an invoice #",IF(C235="","Missing invoice date",IF(NOT(ISNUMBER(C235)),"Invalid date",IF(OR(C235&lt;DATE(2000,1,1),C235&gt;DATE(2099,12,31)),"Invalid date",IF(F235="","Select a revenue account",IF(ISNA(MATCH(F235,coa_Name,0)),"Unknown account: "&amp;F235,IF(NOT(ISNUMBER(G235)),"Enter an amount",IF(G235&lt;=0,"Amount must be positive",IF(S235&gt;G235,"Tax is larger than the amount",""))))))))))</f>
        <v/>
      </c>
      <c r="U235" s="67">
        <f>IF(OR(R235=1,T235&lt;&gt;""),"",IF(COUNTIF(ar_No,B235)&gt;1,"Duplicate invoice #",IF(D235="","Select a customer",IF(N(L235)&lt;0,"Overpaid by "&amp;TEXT(-L235,"#,##0.00"),IF(AND(ISNUMBER(H235),N(H235)&lt;&gt;0,S235=0),"Tax ignored (tax tracking is off)",IF(AND(ISNUMBER(StartDate),C235&lt;StartDate),"Date is before the accounting start date",IF(AND(IFERROR(INDEX(coa_Type,MATCH(F235,coa_Name,0)),"")&lt;&gt;"Revenue",IFERROR(INDEX(coa_Type,MATCH(F235,coa_Name,0)),"")&lt;&gt;"Other Income"),"Account is not a revenue account","")))))))</f>
        <v/>
      </c>
      <c r="V235" s="67">
        <f>IF(AND(R235=0,T235=""),1,0)</f>
        <v/>
      </c>
      <c r="W235" s="67">
        <f>IF(V235=1,acctAR,"")</f>
        <v/>
      </c>
      <c r="X235" s="67">
        <f>IF(V235=1,F235,"")</f>
        <v/>
      </c>
      <c r="Y235" s="68">
        <f>IF(V235=1,G235,0)</f>
        <v/>
      </c>
      <c r="Z235" s="68">
        <f>IF(V235=1,G235-S235,0)</f>
        <v/>
      </c>
      <c r="AA235" s="68">
        <f>IF(V235=1,S235,0)</f>
        <v/>
      </c>
    </row>
    <row r="236">
      <c r="B236" s="62" t="n"/>
      <c r="C236" s="63" t="n"/>
      <c r="D236" s="62" t="n"/>
      <c r="E236" s="62" t="n"/>
      <c r="F236" s="62" t="n"/>
      <c r="G236" s="64" t="n"/>
      <c r="H236" s="64" t="n"/>
      <c r="I236" s="63" t="n"/>
      <c r="J236" s="29">
        <f>IF(V236=1,IF(ISNUMBER(I236),I236,C236+IF(ISNUMBER(IFERROR(INDEX(cust_Terms,MATCH(D236,cust_Name,0)),"")),INDEX(cust_Terms,MATCH(D236,cust_Name,0)),TermsDays)),"")</f>
        <v/>
      </c>
      <c r="K236" s="65">
        <f>IF(V236=1,SUMIFS(tx_DrAmt,tx_Type,"Customer Payment",tx_Ref,B236&amp;"",tx_Date,"&lt;="&amp;AsOf),"")</f>
        <v/>
      </c>
      <c r="L236" s="65">
        <f>IF(V236=1,IF(C236&gt;AsOf,0,ROUND(G236-K236,2)),"")</f>
        <v/>
      </c>
      <c r="M236" s="66">
        <f>IF(V236&lt;&gt;1,"",IF(C236&gt;AsOf,"Future",IF(L236&lt;0,"Overpaid",IF(L236=0,"Paid",IF(AsOf&gt;J236,"Overdue",IF(K236&gt;0,"Partial","Unpaid"))))))</f>
        <v/>
      </c>
      <c r="N236" s="28">
        <f>IF(AND(V236=1,N(L236)&gt;0),AsOf-C236,"")</f>
        <v/>
      </c>
      <c r="O236" s="28">
        <f>IF(N236="","",MAX(0,AsOf-J236))</f>
        <v/>
      </c>
      <c r="P236" s="66">
        <f>IF(O236="","",IF(O236=0,"Current",IF(O236&lt;=30,"1-30",IF(O236&lt;=60,"31-60",IF(O236&lt;=90,"61-90","90+")))))</f>
        <v/>
      </c>
      <c r="Q236" s="66">
        <f>IF(T236&lt;&gt;"","⛔ "&amp;T236&amp;" — not posted",IF(U236&lt;&gt;"","⚠ "&amp;U236,IF(V236=1,"✓ OK","")))</f>
        <v/>
      </c>
      <c r="R236" s="67">
        <f>IF(AND(B236="",C236="",D236="",G236="",F236=""),1,0)</f>
        <v/>
      </c>
      <c r="S236" s="68">
        <f>IF(AND(TaxOn="Yes",ISNUMBER(H236)),H236,0)</f>
        <v/>
      </c>
      <c r="T236" s="67">
        <f>IF(R236=1,"",IF(B236="","Enter an invoice #",IF(C236="","Missing invoice date",IF(NOT(ISNUMBER(C236)),"Invalid date",IF(OR(C236&lt;DATE(2000,1,1),C236&gt;DATE(2099,12,31)),"Invalid date",IF(F236="","Select a revenue account",IF(ISNA(MATCH(F236,coa_Name,0)),"Unknown account: "&amp;F236,IF(NOT(ISNUMBER(G236)),"Enter an amount",IF(G236&lt;=0,"Amount must be positive",IF(S236&gt;G236,"Tax is larger than the amount",""))))))))))</f>
        <v/>
      </c>
      <c r="U236" s="67">
        <f>IF(OR(R236=1,T236&lt;&gt;""),"",IF(COUNTIF(ar_No,B236)&gt;1,"Duplicate invoice #",IF(D236="","Select a customer",IF(N(L236)&lt;0,"Overpaid by "&amp;TEXT(-L236,"#,##0.00"),IF(AND(ISNUMBER(H236),N(H236)&lt;&gt;0,S236=0),"Tax ignored (tax tracking is off)",IF(AND(ISNUMBER(StartDate),C236&lt;StartDate),"Date is before the accounting start date",IF(AND(IFERROR(INDEX(coa_Type,MATCH(F236,coa_Name,0)),"")&lt;&gt;"Revenue",IFERROR(INDEX(coa_Type,MATCH(F236,coa_Name,0)),"")&lt;&gt;"Other Income"),"Account is not a revenue account","")))))))</f>
        <v/>
      </c>
      <c r="V236" s="67">
        <f>IF(AND(R236=0,T236=""),1,0)</f>
        <v/>
      </c>
      <c r="W236" s="67">
        <f>IF(V236=1,acctAR,"")</f>
        <v/>
      </c>
      <c r="X236" s="67">
        <f>IF(V236=1,F236,"")</f>
        <v/>
      </c>
      <c r="Y236" s="68">
        <f>IF(V236=1,G236,0)</f>
        <v/>
      </c>
      <c r="Z236" s="68">
        <f>IF(V236=1,G236-S236,0)</f>
        <v/>
      </c>
      <c r="AA236" s="68">
        <f>IF(V236=1,S236,0)</f>
        <v/>
      </c>
    </row>
    <row r="237">
      <c r="B237" s="62" t="n"/>
      <c r="C237" s="63" t="n"/>
      <c r="D237" s="62" t="n"/>
      <c r="E237" s="62" t="n"/>
      <c r="F237" s="62" t="n"/>
      <c r="G237" s="64" t="n"/>
      <c r="H237" s="64" t="n"/>
      <c r="I237" s="63" t="n"/>
      <c r="J237" s="29">
        <f>IF(V237=1,IF(ISNUMBER(I237),I237,C237+IF(ISNUMBER(IFERROR(INDEX(cust_Terms,MATCH(D237,cust_Name,0)),"")),INDEX(cust_Terms,MATCH(D237,cust_Name,0)),TermsDays)),"")</f>
        <v/>
      </c>
      <c r="K237" s="65">
        <f>IF(V237=1,SUMIFS(tx_DrAmt,tx_Type,"Customer Payment",tx_Ref,B237&amp;"",tx_Date,"&lt;="&amp;AsOf),"")</f>
        <v/>
      </c>
      <c r="L237" s="65">
        <f>IF(V237=1,IF(C237&gt;AsOf,0,ROUND(G237-K237,2)),"")</f>
        <v/>
      </c>
      <c r="M237" s="66">
        <f>IF(V237&lt;&gt;1,"",IF(C237&gt;AsOf,"Future",IF(L237&lt;0,"Overpaid",IF(L237=0,"Paid",IF(AsOf&gt;J237,"Overdue",IF(K237&gt;0,"Partial","Unpaid"))))))</f>
        <v/>
      </c>
      <c r="N237" s="28">
        <f>IF(AND(V237=1,N(L237)&gt;0),AsOf-C237,"")</f>
        <v/>
      </c>
      <c r="O237" s="28">
        <f>IF(N237="","",MAX(0,AsOf-J237))</f>
        <v/>
      </c>
      <c r="P237" s="66">
        <f>IF(O237="","",IF(O237=0,"Current",IF(O237&lt;=30,"1-30",IF(O237&lt;=60,"31-60",IF(O237&lt;=90,"61-90","90+")))))</f>
        <v/>
      </c>
      <c r="Q237" s="66">
        <f>IF(T237&lt;&gt;"","⛔ "&amp;T237&amp;" — not posted",IF(U237&lt;&gt;"","⚠ "&amp;U237,IF(V237=1,"✓ OK","")))</f>
        <v/>
      </c>
      <c r="R237" s="67">
        <f>IF(AND(B237="",C237="",D237="",G237="",F237=""),1,0)</f>
        <v/>
      </c>
      <c r="S237" s="68">
        <f>IF(AND(TaxOn="Yes",ISNUMBER(H237)),H237,0)</f>
        <v/>
      </c>
      <c r="T237" s="67">
        <f>IF(R237=1,"",IF(B237="","Enter an invoice #",IF(C237="","Missing invoice date",IF(NOT(ISNUMBER(C237)),"Invalid date",IF(OR(C237&lt;DATE(2000,1,1),C237&gt;DATE(2099,12,31)),"Invalid date",IF(F237="","Select a revenue account",IF(ISNA(MATCH(F237,coa_Name,0)),"Unknown account: "&amp;F237,IF(NOT(ISNUMBER(G237)),"Enter an amount",IF(G237&lt;=0,"Amount must be positive",IF(S237&gt;G237,"Tax is larger than the amount",""))))))))))</f>
        <v/>
      </c>
      <c r="U237" s="67">
        <f>IF(OR(R237=1,T237&lt;&gt;""),"",IF(COUNTIF(ar_No,B237)&gt;1,"Duplicate invoice #",IF(D237="","Select a customer",IF(N(L237)&lt;0,"Overpaid by "&amp;TEXT(-L237,"#,##0.00"),IF(AND(ISNUMBER(H237),N(H237)&lt;&gt;0,S237=0),"Tax ignored (tax tracking is off)",IF(AND(ISNUMBER(StartDate),C237&lt;StartDate),"Date is before the accounting start date",IF(AND(IFERROR(INDEX(coa_Type,MATCH(F237,coa_Name,0)),"")&lt;&gt;"Revenue",IFERROR(INDEX(coa_Type,MATCH(F237,coa_Name,0)),"")&lt;&gt;"Other Income"),"Account is not a revenue account","")))))))</f>
        <v/>
      </c>
      <c r="V237" s="67">
        <f>IF(AND(R237=0,T237=""),1,0)</f>
        <v/>
      </c>
      <c r="W237" s="67">
        <f>IF(V237=1,acctAR,"")</f>
        <v/>
      </c>
      <c r="X237" s="67">
        <f>IF(V237=1,F237,"")</f>
        <v/>
      </c>
      <c r="Y237" s="68">
        <f>IF(V237=1,G237,0)</f>
        <v/>
      </c>
      <c r="Z237" s="68">
        <f>IF(V237=1,G237-S237,0)</f>
        <v/>
      </c>
      <c r="AA237" s="68">
        <f>IF(V237=1,S237,0)</f>
        <v/>
      </c>
    </row>
    <row r="238">
      <c r="B238" s="62" t="n"/>
      <c r="C238" s="63" t="n"/>
      <c r="D238" s="62" t="n"/>
      <c r="E238" s="62" t="n"/>
      <c r="F238" s="62" t="n"/>
      <c r="G238" s="64" t="n"/>
      <c r="H238" s="64" t="n"/>
      <c r="I238" s="63" t="n"/>
      <c r="J238" s="29">
        <f>IF(V238=1,IF(ISNUMBER(I238),I238,C238+IF(ISNUMBER(IFERROR(INDEX(cust_Terms,MATCH(D238,cust_Name,0)),"")),INDEX(cust_Terms,MATCH(D238,cust_Name,0)),TermsDays)),"")</f>
        <v/>
      </c>
      <c r="K238" s="65">
        <f>IF(V238=1,SUMIFS(tx_DrAmt,tx_Type,"Customer Payment",tx_Ref,B238&amp;"",tx_Date,"&lt;="&amp;AsOf),"")</f>
        <v/>
      </c>
      <c r="L238" s="65">
        <f>IF(V238=1,IF(C238&gt;AsOf,0,ROUND(G238-K238,2)),"")</f>
        <v/>
      </c>
      <c r="M238" s="66">
        <f>IF(V238&lt;&gt;1,"",IF(C238&gt;AsOf,"Future",IF(L238&lt;0,"Overpaid",IF(L238=0,"Paid",IF(AsOf&gt;J238,"Overdue",IF(K238&gt;0,"Partial","Unpaid"))))))</f>
        <v/>
      </c>
      <c r="N238" s="28">
        <f>IF(AND(V238=1,N(L238)&gt;0),AsOf-C238,"")</f>
        <v/>
      </c>
      <c r="O238" s="28">
        <f>IF(N238="","",MAX(0,AsOf-J238))</f>
        <v/>
      </c>
      <c r="P238" s="66">
        <f>IF(O238="","",IF(O238=0,"Current",IF(O238&lt;=30,"1-30",IF(O238&lt;=60,"31-60",IF(O238&lt;=90,"61-90","90+")))))</f>
        <v/>
      </c>
      <c r="Q238" s="66">
        <f>IF(T238&lt;&gt;"","⛔ "&amp;T238&amp;" — not posted",IF(U238&lt;&gt;"","⚠ "&amp;U238,IF(V238=1,"✓ OK","")))</f>
        <v/>
      </c>
      <c r="R238" s="67">
        <f>IF(AND(B238="",C238="",D238="",G238="",F238=""),1,0)</f>
        <v/>
      </c>
      <c r="S238" s="68">
        <f>IF(AND(TaxOn="Yes",ISNUMBER(H238)),H238,0)</f>
        <v/>
      </c>
      <c r="T238" s="67">
        <f>IF(R238=1,"",IF(B238="","Enter an invoice #",IF(C238="","Missing invoice date",IF(NOT(ISNUMBER(C238)),"Invalid date",IF(OR(C238&lt;DATE(2000,1,1),C238&gt;DATE(2099,12,31)),"Invalid date",IF(F238="","Select a revenue account",IF(ISNA(MATCH(F238,coa_Name,0)),"Unknown account: "&amp;F238,IF(NOT(ISNUMBER(G238)),"Enter an amount",IF(G238&lt;=0,"Amount must be positive",IF(S238&gt;G238,"Tax is larger than the amount",""))))))))))</f>
        <v/>
      </c>
      <c r="U238" s="67">
        <f>IF(OR(R238=1,T238&lt;&gt;""),"",IF(COUNTIF(ar_No,B238)&gt;1,"Duplicate invoice #",IF(D238="","Select a customer",IF(N(L238)&lt;0,"Overpaid by "&amp;TEXT(-L238,"#,##0.00"),IF(AND(ISNUMBER(H238),N(H238)&lt;&gt;0,S238=0),"Tax ignored (tax tracking is off)",IF(AND(ISNUMBER(StartDate),C238&lt;StartDate),"Date is before the accounting start date",IF(AND(IFERROR(INDEX(coa_Type,MATCH(F238,coa_Name,0)),"")&lt;&gt;"Revenue",IFERROR(INDEX(coa_Type,MATCH(F238,coa_Name,0)),"")&lt;&gt;"Other Income"),"Account is not a revenue account","")))))))</f>
        <v/>
      </c>
      <c r="V238" s="67">
        <f>IF(AND(R238=0,T238=""),1,0)</f>
        <v/>
      </c>
      <c r="W238" s="67">
        <f>IF(V238=1,acctAR,"")</f>
        <v/>
      </c>
      <c r="X238" s="67">
        <f>IF(V238=1,F238,"")</f>
        <v/>
      </c>
      <c r="Y238" s="68">
        <f>IF(V238=1,G238,0)</f>
        <v/>
      </c>
      <c r="Z238" s="68">
        <f>IF(V238=1,G238-S238,0)</f>
        <v/>
      </c>
      <c r="AA238" s="68">
        <f>IF(V238=1,S238,0)</f>
        <v/>
      </c>
    </row>
    <row r="239">
      <c r="B239" s="62" t="n"/>
      <c r="C239" s="63" t="n"/>
      <c r="D239" s="62" t="n"/>
      <c r="E239" s="62" t="n"/>
      <c r="F239" s="62" t="n"/>
      <c r="G239" s="64" t="n"/>
      <c r="H239" s="64" t="n"/>
      <c r="I239" s="63" t="n"/>
      <c r="J239" s="29">
        <f>IF(V239=1,IF(ISNUMBER(I239),I239,C239+IF(ISNUMBER(IFERROR(INDEX(cust_Terms,MATCH(D239,cust_Name,0)),"")),INDEX(cust_Terms,MATCH(D239,cust_Name,0)),TermsDays)),"")</f>
        <v/>
      </c>
      <c r="K239" s="65">
        <f>IF(V239=1,SUMIFS(tx_DrAmt,tx_Type,"Customer Payment",tx_Ref,B239&amp;"",tx_Date,"&lt;="&amp;AsOf),"")</f>
        <v/>
      </c>
      <c r="L239" s="65">
        <f>IF(V239=1,IF(C239&gt;AsOf,0,ROUND(G239-K239,2)),"")</f>
        <v/>
      </c>
      <c r="M239" s="66">
        <f>IF(V239&lt;&gt;1,"",IF(C239&gt;AsOf,"Future",IF(L239&lt;0,"Overpaid",IF(L239=0,"Paid",IF(AsOf&gt;J239,"Overdue",IF(K239&gt;0,"Partial","Unpaid"))))))</f>
        <v/>
      </c>
      <c r="N239" s="28">
        <f>IF(AND(V239=1,N(L239)&gt;0),AsOf-C239,"")</f>
        <v/>
      </c>
      <c r="O239" s="28">
        <f>IF(N239="","",MAX(0,AsOf-J239))</f>
        <v/>
      </c>
      <c r="P239" s="66">
        <f>IF(O239="","",IF(O239=0,"Current",IF(O239&lt;=30,"1-30",IF(O239&lt;=60,"31-60",IF(O239&lt;=90,"61-90","90+")))))</f>
        <v/>
      </c>
      <c r="Q239" s="66">
        <f>IF(T239&lt;&gt;"","⛔ "&amp;T239&amp;" — not posted",IF(U239&lt;&gt;"","⚠ "&amp;U239,IF(V239=1,"✓ OK","")))</f>
        <v/>
      </c>
      <c r="R239" s="67">
        <f>IF(AND(B239="",C239="",D239="",G239="",F239=""),1,0)</f>
        <v/>
      </c>
      <c r="S239" s="68">
        <f>IF(AND(TaxOn="Yes",ISNUMBER(H239)),H239,0)</f>
        <v/>
      </c>
      <c r="T239" s="67">
        <f>IF(R239=1,"",IF(B239="","Enter an invoice #",IF(C239="","Missing invoice date",IF(NOT(ISNUMBER(C239)),"Invalid date",IF(OR(C239&lt;DATE(2000,1,1),C239&gt;DATE(2099,12,31)),"Invalid date",IF(F239="","Select a revenue account",IF(ISNA(MATCH(F239,coa_Name,0)),"Unknown account: "&amp;F239,IF(NOT(ISNUMBER(G239)),"Enter an amount",IF(G239&lt;=0,"Amount must be positive",IF(S239&gt;G239,"Tax is larger than the amount",""))))))))))</f>
        <v/>
      </c>
      <c r="U239" s="67">
        <f>IF(OR(R239=1,T239&lt;&gt;""),"",IF(COUNTIF(ar_No,B239)&gt;1,"Duplicate invoice #",IF(D239="","Select a customer",IF(N(L239)&lt;0,"Overpaid by "&amp;TEXT(-L239,"#,##0.00"),IF(AND(ISNUMBER(H239),N(H239)&lt;&gt;0,S239=0),"Tax ignored (tax tracking is off)",IF(AND(ISNUMBER(StartDate),C239&lt;StartDate),"Date is before the accounting start date",IF(AND(IFERROR(INDEX(coa_Type,MATCH(F239,coa_Name,0)),"")&lt;&gt;"Revenue",IFERROR(INDEX(coa_Type,MATCH(F239,coa_Name,0)),"")&lt;&gt;"Other Income"),"Account is not a revenue account","")))))))</f>
        <v/>
      </c>
      <c r="V239" s="67">
        <f>IF(AND(R239=0,T239=""),1,0)</f>
        <v/>
      </c>
      <c r="W239" s="67">
        <f>IF(V239=1,acctAR,"")</f>
        <v/>
      </c>
      <c r="X239" s="67">
        <f>IF(V239=1,F239,"")</f>
        <v/>
      </c>
      <c r="Y239" s="68">
        <f>IF(V239=1,G239,0)</f>
        <v/>
      </c>
      <c r="Z239" s="68">
        <f>IF(V239=1,G239-S239,0)</f>
        <v/>
      </c>
      <c r="AA239" s="68">
        <f>IF(V239=1,S239,0)</f>
        <v/>
      </c>
    </row>
    <row r="240">
      <c r="B240" s="62" t="n"/>
      <c r="C240" s="63" t="n"/>
      <c r="D240" s="62" t="n"/>
      <c r="E240" s="62" t="n"/>
      <c r="F240" s="62" t="n"/>
      <c r="G240" s="64" t="n"/>
      <c r="H240" s="64" t="n"/>
      <c r="I240" s="63" t="n"/>
      <c r="J240" s="29">
        <f>IF(V240=1,IF(ISNUMBER(I240),I240,C240+IF(ISNUMBER(IFERROR(INDEX(cust_Terms,MATCH(D240,cust_Name,0)),"")),INDEX(cust_Terms,MATCH(D240,cust_Name,0)),TermsDays)),"")</f>
        <v/>
      </c>
      <c r="K240" s="65">
        <f>IF(V240=1,SUMIFS(tx_DrAmt,tx_Type,"Customer Payment",tx_Ref,B240&amp;"",tx_Date,"&lt;="&amp;AsOf),"")</f>
        <v/>
      </c>
      <c r="L240" s="65">
        <f>IF(V240=1,IF(C240&gt;AsOf,0,ROUND(G240-K240,2)),"")</f>
        <v/>
      </c>
      <c r="M240" s="66">
        <f>IF(V240&lt;&gt;1,"",IF(C240&gt;AsOf,"Future",IF(L240&lt;0,"Overpaid",IF(L240=0,"Paid",IF(AsOf&gt;J240,"Overdue",IF(K240&gt;0,"Partial","Unpaid"))))))</f>
        <v/>
      </c>
      <c r="N240" s="28">
        <f>IF(AND(V240=1,N(L240)&gt;0),AsOf-C240,"")</f>
        <v/>
      </c>
      <c r="O240" s="28">
        <f>IF(N240="","",MAX(0,AsOf-J240))</f>
        <v/>
      </c>
      <c r="P240" s="66">
        <f>IF(O240="","",IF(O240=0,"Current",IF(O240&lt;=30,"1-30",IF(O240&lt;=60,"31-60",IF(O240&lt;=90,"61-90","90+")))))</f>
        <v/>
      </c>
      <c r="Q240" s="66">
        <f>IF(T240&lt;&gt;"","⛔ "&amp;T240&amp;" — not posted",IF(U240&lt;&gt;"","⚠ "&amp;U240,IF(V240=1,"✓ OK","")))</f>
        <v/>
      </c>
      <c r="R240" s="67">
        <f>IF(AND(B240="",C240="",D240="",G240="",F240=""),1,0)</f>
        <v/>
      </c>
      <c r="S240" s="68">
        <f>IF(AND(TaxOn="Yes",ISNUMBER(H240)),H240,0)</f>
        <v/>
      </c>
      <c r="T240" s="67">
        <f>IF(R240=1,"",IF(B240="","Enter an invoice #",IF(C240="","Missing invoice date",IF(NOT(ISNUMBER(C240)),"Invalid date",IF(OR(C240&lt;DATE(2000,1,1),C240&gt;DATE(2099,12,31)),"Invalid date",IF(F240="","Select a revenue account",IF(ISNA(MATCH(F240,coa_Name,0)),"Unknown account: "&amp;F240,IF(NOT(ISNUMBER(G240)),"Enter an amount",IF(G240&lt;=0,"Amount must be positive",IF(S240&gt;G240,"Tax is larger than the amount",""))))))))))</f>
        <v/>
      </c>
      <c r="U240" s="67">
        <f>IF(OR(R240=1,T240&lt;&gt;""),"",IF(COUNTIF(ar_No,B240)&gt;1,"Duplicate invoice #",IF(D240="","Select a customer",IF(N(L240)&lt;0,"Overpaid by "&amp;TEXT(-L240,"#,##0.00"),IF(AND(ISNUMBER(H240),N(H240)&lt;&gt;0,S240=0),"Tax ignored (tax tracking is off)",IF(AND(ISNUMBER(StartDate),C240&lt;StartDate),"Date is before the accounting start date",IF(AND(IFERROR(INDEX(coa_Type,MATCH(F240,coa_Name,0)),"")&lt;&gt;"Revenue",IFERROR(INDEX(coa_Type,MATCH(F240,coa_Name,0)),"")&lt;&gt;"Other Income"),"Account is not a revenue account","")))))))</f>
        <v/>
      </c>
      <c r="V240" s="67">
        <f>IF(AND(R240=0,T240=""),1,0)</f>
        <v/>
      </c>
      <c r="W240" s="67">
        <f>IF(V240=1,acctAR,"")</f>
        <v/>
      </c>
      <c r="X240" s="67">
        <f>IF(V240=1,F240,"")</f>
        <v/>
      </c>
      <c r="Y240" s="68">
        <f>IF(V240=1,G240,0)</f>
        <v/>
      </c>
      <c r="Z240" s="68">
        <f>IF(V240=1,G240-S240,0)</f>
        <v/>
      </c>
      <c r="AA240" s="68">
        <f>IF(V240=1,S240,0)</f>
        <v/>
      </c>
    </row>
    <row r="241">
      <c r="B241" s="62" t="n"/>
      <c r="C241" s="63" t="n"/>
      <c r="D241" s="62" t="n"/>
      <c r="E241" s="62" t="n"/>
      <c r="F241" s="62" t="n"/>
      <c r="G241" s="64" t="n"/>
      <c r="H241" s="64" t="n"/>
      <c r="I241" s="63" t="n"/>
      <c r="J241" s="29">
        <f>IF(V241=1,IF(ISNUMBER(I241),I241,C241+IF(ISNUMBER(IFERROR(INDEX(cust_Terms,MATCH(D241,cust_Name,0)),"")),INDEX(cust_Terms,MATCH(D241,cust_Name,0)),TermsDays)),"")</f>
        <v/>
      </c>
      <c r="K241" s="65">
        <f>IF(V241=1,SUMIFS(tx_DrAmt,tx_Type,"Customer Payment",tx_Ref,B241&amp;"",tx_Date,"&lt;="&amp;AsOf),"")</f>
        <v/>
      </c>
      <c r="L241" s="65">
        <f>IF(V241=1,IF(C241&gt;AsOf,0,ROUND(G241-K241,2)),"")</f>
        <v/>
      </c>
      <c r="M241" s="66">
        <f>IF(V241&lt;&gt;1,"",IF(C241&gt;AsOf,"Future",IF(L241&lt;0,"Overpaid",IF(L241=0,"Paid",IF(AsOf&gt;J241,"Overdue",IF(K241&gt;0,"Partial","Unpaid"))))))</f>
        <v/>
      </c>
      <c r="N241" s="28">
        <f>IF(AND(V241=1,N(L241)&gt;0),AsOf-C241,"")</f>
        <v/>
      </c>
      <c r="O241" s="28">
        <f>IF(N241="","",MAX(0,AsOf-J241))</f>
        <v/>
      </c>
      <c r="P241" s="66">
        <f>IF(O241="","",IF(O241=0,"Current",IF(O241&lt;=30,"1-30",IF(O241&lt;=60,"31-60",IF(O241&lt;=90,"61-90","90+")))))</f>
        <v/>
      </c>
      <c r="Q241" s="66">
        <f>IF(T241&lt;&gt;"","⛔ "&amp;T241&amp;" — not posted",IF(U241&lt;&gt;"","⚠ "&amp;U241,IF(V241=1,"✓ OK","")))</f>
        <v/>
      </c>
      <c r="R241" s="67">
        <f>IF(AND(B241="",C241="",D241="",G241="",F241=""),1,0)</f>
        <v/>
      </c>
      <c r="S241" s="68">
        <f>IF(AND(TaxOn="Yes",ISNUMBER(H241)),H241,0)</f>
        <v/>
      </c>
      <c r="T241" s="67">
        <f>IF(R241=1,"",IF(B241="","Enter an invoice #",IF(C241="","Missing invoice date",IF(NOT(ISNUMBER(C241)),"Invalid date",IF(OR(C241&lt;DATE(2000,1,1),C241&gt;DATE(2099,12,31)),"Invalid date",IF(F241="","Select a revenue account",IF(ISNA(MATCH(F241,coa_Name,0)),"Unknown account: "&amp;F241,IF(NOT(ISNUMBER(G241)),"Enter an amount",IF(G241&lt;=0,"Amount must be positive",IF(S241&gt;G241,"Tax is larger than the amount",""))))))))))</f>
        <v/>
      </c>
      <c r="U241" s="67">
        <f>IF(OR(R241=1,T241&lt;&gt;""),"",IF(COUNTIF(ar_No,B241)&gt;1,"Duplicate invoice #",IF(D241="","Select a customer",IF(N(L241)&lt;0,"Overpaid by "&amp;TEXT(-L241,"#,##0.00"),IF(AND(ISNUMBER(H241),N(H241)&lt;&gt;0,S241=0),"Tax ignored (tax tracking is off)",IF(AND(ISNUMBER(StartDate),C241&lt;StartDate),"Date is before the accounting start date",IF(AND(IFERROR(INDEX(coa_Type,MATCH(F241,coa_Name,0)),"")&lt;&gt;"Revenue",IFERROR(INDEX(coa_Type,MATCH(F241,coa_Name,0)),"")&lt;&gt;"Other Income"),"Account is not a revenue account","")))))))</f>
        <v/>
      </c>
      <c r="V241" s="67">
        <f>IF(AND(R241=0,T241=""),1,0)</f>
        <v/>
      </c>
      <c r="W241" s="67">
        <f>IF(V241=1,acctAR,"")</f>
        <v/>
      </c>
      <c r="X241" s="67">
        <f>IF(V241=1,F241,"")</f>
        <v/>
      </c>
      <c r="Y241" s="68">
        <f>IF(V241=1,G241,0)</f>
        <v/>
      </c>
      <c r="Z241" s="68">
        <f>IF(V241=1,G241-S241,0)</f>
        <v/>
      </c>
      <c r="AA241" s="68">
        <f>IF(V241=1,S241,0)</f>
        <v/>
      </c>
    </row>
    <row r="242">
      <c r="B242" s="62" t="n"/>
      <c r="C242" s="63" t="n"/>
      <c r="D242" s="62" t="n"/>
      <c r="E242" s="62" t="n"/>
      <c r="F242" s="62" t="n"/>
      <c r="G242" s="64" t="n"/>
      <c r="H242" s="64" t="n"/>
      <c r="I242" s="63" t="n"/>
      <c r="J242" s="29">
        <f>IF(V242=1,IF(ISNUMBER(I242),I242,C242+IF(ISNUMBER(IFERROR(INDEX(cust_Terms,MATCH(D242,cust_Name,0)),"")),INDEX(cust_Terms,MATCH(D242,cust_Name,0)),TermsDays)),"")</f>
        <v/>
      </c>
      <c r="K242" s="65">
        <f>IF(V242=1,SUMIFS(tx_DrAmt,tx_Type,"Customer Payment",tx_Ref,B242&amp;"",tx_Date,"&lt;="&amp;AsOf),"")</f>
        <v/>
      </c>
      <c r="L242" s="65">
        <f>IF(V242=1,IF(C242&gt;AsOf,0,ROUND(G242-K242,2)),"")</f>
        <v/>
      </c>
      <c r="M242" s="66">
        <f>IF(V242&lt;&gt;1,"",IF(C242&gt;AsOf,"Future",IF(L242&lt;0,"Overpaid",IF(L242=0,"Paid",IF(AsOf&gt;J242,"Overdue",IF(K242&gt;0,"Partial","Unpaid"))))))</f>
        <v/>
      </c>
      <c r="N242" s="28">
        <f>IF(AND(V242=1,N(L242)&gt;0),AsOf-C242,"")</f>
        <v/>
      </c>
      <c r="O242" s="28">
        <f>IF(N242="","",MAX(0,AsOf-J242))</f>
        <v/>
      </c>
      <c r="P242" s="66">
        <f>IF(O242="","",IF(O242=0,"Current",IF(O242&lt;=30,"1-30",IF(O242&lt;=60,"31-60",IF(O242&lt;=90,"61-90","90+")))))</f>
        <v/>
      </c>
      <c r="Q242" s="66">
        <f>IF(T242&lt;&gt;"","⛔ "&amp;T242&amp;" — not posted",IF(U242&lt;&gt;"","⚠ "&amp;U242,IF(V242=1,"✓ OK","")))</f>
        <v/>
      </c>
      <c r="R242" s="67">
        <f>IF(AND(B242="",C242="",D242="",G242="",F242=""),1,0)</f>
        <v/>
      </c>
      <c r="S242" s="68">
        <f>IF(AND(TaxOn="Yes",ISNUMBER(H242)),H242,0)</f>
        <v/>
      </c>
      <c r="T242" s="67">
        <f>IF(R242=1,"",IF(B242="","Enter an invoice #",IF(C242="","Missing invoice date",IF(NOT(ISNUMBER(C242)),"Invalid date",IF(OR(C242&lt;DATE(2000,1,1),C242&gt;DATE(2099,12,31)),"Invalid date",IF(F242="","Select a revenue account",IF(ISNA(MATCH(F242,coa_Name,0)),"Unknown account: "&amp;F242,IF(NOT(ISNUMBER(G242)),"Enter an amount",IF(G242&lt;=0,"Amount must be positive",IF(S242&gt;G242,"Tax is larger than the amount",""))))))))))</f>
        <v/>
      </c>
      <c r="U242" s="67">
        <f>IF(OR(R242=1,T242&lt;&gt;""),"",IF(COUNTIF(ar_No,B242)&gt;1,"Duplicate invoice #",IF(D242="","Select a customer",IF(N(L242)&lt;0,"Overpaid by "&amp;TEXT(-L242,"#,##0.00"),IF(AND(ISNUMBER(H242),N(H242)&lt;&gt;0,S242=0),"Tax ignored (tax tracking is off)",IF(AND(ISNUMBER(StartDate),C242&lt;StartDate),"Date is before the accounting start date",IF(AND(IFERROR(INDEX(coa_Type,MATCH(F242,coa_Name,0)),"")&lt;&gt;"Revenue",IFERROR(INDEX(coa_Type,MATCH(F242,coa_Name,0)),"")&lt;&gt;"Other Income"),"Account is not a revenue account","")))))))</f>
        <v/>
      </c>
      <c r="V242" s="67">
        <f>IF(AND(R242=0,T242=""),1,0)</f>
        <v/>
      </c>
      <c r="W242" s="67">
        <f>IF(V242=1,acctAR,"")</f>
        <v/>
      </c>
      <c r="X242" s="67">
        <f>IF(V242=1,F242,"")</f>
        <v/>
      </c>
      <c r="Y242" s="68">
        <f>IF(V242=1,G242,0)</f>
        <v/>
      </c>
      <c r="Z242" s="68">
        <f>IF(V242=1,G242-S242,0)</f>
        <v/>
      </c>
      <c r="AA242" s="68">
        <f>IF(V242=1,S242,0)</f>
        <v/>
      </c>
    </row>
    <row r="243">
      <c r="B243" s="62" t="n"/>
      <c r="C243" s="63" t="n"/>
      <c r="D243" s="62" t="n"/>
      <c r="E243" s="62" t="n"/>
      <c r="F243" s="62" t="n"/>
      <c r="G243" s="64" t="n"/>
      <c r="H243" s="64" t="n"/>
      <c r="I243" s="63" t="n"/>
      <c r="J243" s="29">
        <f>IF(V243=1,IF(ISNUMBER(I243),I243,C243+IF(ISNUMBER(IFERROR(INDEX(cust_Terms,MATCH(D243,cust_Name,0)),"")),INDEX(cust_Terms,MATCH(D243,cust_Name,0)),TermsDays)),"")</f>
        <v/>
      </c>
      <c r="K243" s="65">
        <f>IF(V243=1,SUMIFS(tx_DrAmt,tx_Type,"Customer Payment",tx_Ref,B243&amp;"",tx_Date,"&lt;="&amp;AsOf),"")</f>
        <v/>
      </c>
      <c r="L243" s="65">
        <f>IF(V243=1,IF(C243&gt;AsOf,0,ROUND(G243-K243,2)),"")</f>
        <v/>
      </c>
      <c r="M243" s="66">
        <f>IF(V243&lt;&gt;1,"",IF(C243&gt;AsOf,"Future",IF(L243&lt;0,"Overpaid",IF(L243=0,"Paid",IF(AsOf&gt;J243,"Overdue",IF(K243&gt;0,"Partial","Unpaid"))))))</f>
        <v/>
      </c>
      <c r="N243" s="28">
        <f>IF(AND(V243=1,N(L243)&gt;0),AsOf-C243,"")</f>
        <v/>
      </c>
      <c r="O243" s="28">
        <f>IF(N243="","",MAX(0,AsOf-J243))</f>
        <v/>
      </c>
      <c r="P243" s="66">
        <f>IF(O243="","",IF(O243=0,"Current",IF(O243&lt;=30,"1-30",IF(O243&lt;=60,"31-60",IF(O243&lt;=90,"61-90","90+")))))</f>
        <v/>
      </c>
      <c r="Q243" s="66">
        <f>IF(T243&lt;&gt;"","⛔ "&amp;T243&amp;" — not posted",IF(U243&lt;&gt;"","⚠ "&amp;U243,IF(V243=1,"✓ OK","")))</f>
        <v/>
      </c>
      <c r="R243" s="67">
        <f>IF(AND(B243="",C243="",D243="",G243="",F243=""),1,0)</f>
        <v/>
      </c>
      <c r="S243" s="68">
        <f>IF(AND(TaxOn="Yes",ISNUMBER(H243)),H243,0)</f>
        <v/>
      </c>
      <c r="T243" s="67">
        <f>IF(R243=1,"",IF(B243="","Enter an invoice #",IF(C243="","Missing invoice date",IF(NOT(ISNUMBER(C243)),"Invalid date",IF(OR(C243&lt;DATE(2000,1,1),C243&gt;DATE(2099,12,31)),"Invalid date",IF(F243="","Select a revenue account",IF(ISNA(MATCH(F243,coa_Name,0)),"Unknown account: "&amp;F243,IF(NOT(ISNUMBER(G243)),"Enter an amount",IF(G243&lt;=0,"Amount must be positive",IF(S243&gt;G243,"Tax is larger than the amount",""))))))))))</f>
        <v/>
      </c>
      <c r="U243" s="67">
        <f>IF(OR(R243=1,T243&lt;&gt;""),"",IF(COUNTIF(ar_No,B243)&gt;1,"Duplicate invoice #",IF(D243="","Select a customer",IF(N(L243)&lt;0,"Overpaid by "&amp;TEXT(-L243,"#,##0.00"),IF(AND(ISNUMBER(H243),N(H243)&lt;&gt;0,S243=0),"Tax ignored (tax tracking is off)",IF(AND(ISNUMBER(StartDate),C243&lt;StartDate),"Date is before the accounting start date",IF(AND(IFERROR(INDEX(coa_Type,MATCH(F243,coa_Name,0)),"")&lt;&gt;"Revenue",IFERROR(INDEX(coa_Type,MATCH(F243,coa_Name,0)),"")&lt;&gt;"Other Income"),"Account is not a revenue account","")))))))</f>
        <v/>
      </c>
      <c r="V243" s="67">
        <f>IF(AND(R243=0,T243=""),1,0)</f>
        <v/>
      </c>
      <c r="W243" s="67">
        <f>IF(V243=1,acctAR,"")</f>
        <v/>
      </c>
      <c r="X243" s="67">
        <f>IF(V243=1,F243,"")</f>
        <v/>
      </c>
      <c r="Y243" s="68">
        <f>IF(V243=1,G243,0)</f>
        <v/>
      </c>
      <c r="Z243" s="68">
        <f>IF(V243=1,G243-S243,0)</f>
        <v/>
      </c>
      <c r="AA243" s="68">
        <f>IF(V243=1,S243,0)</f>
        <v/>
      </c>
    </row>
    <row r="244">
      <c r="B244" s="62" t="n"/>
      <c r="C244" s="63" t="n"/>
      <c r="D244" s="62" t="n"/>
      <c r="E244" s="62" t="n"/>
      <c r="F244" s="62" t="n"/>
      <c r="G244" s="64" t="n"/>
      <c r="H244" s="64" t="n"/>
      <c r="I244" s="63" t="n"/>
      <c r="J244" s="29">
        <f>IF(V244=1,IF(ISNUMBER(I244),I244,C244+IF(ISNUMBER(IFERROR(INDEX(cust_Terms,MATCH(D244,cust_Name,0)),"")),INDEX(cust_Terms,MATCH(D244,cust_Name,0)),TermsDays)),"")</f>
        <v/>
      </c>
      <c r="K244" s="65">
        <f>IF(V244=1,SUMIFS(tx_DrAmt,tx_Type,"Customer Payment",tx_Ref,B244&amp;"",tx_Date,"&lt;="&amp;AsOf),"")</f>
        <v/>
      </c>
      <c r="L244" s="65">
        <f>IF(V244=1,IF(C244&gt;AsOf,0,ROUND(G244-K244,2)),"")</f>
        <v/>
      </c>
      <c r="M244" s="66">
        <f>IF(V244&lt;&gt;1,"",IF(C244&gt;AsOf,"Future",IF(L244&lt;0,"Overpaid",IF(L244=0,"Paid",IF(AsOf&gt;J244,"Overdue",IF(K244&gt;0,"Partial","Unpaid"))))))</f>
        <v/>
      </c>
      <c r="N244" s="28">
        <f>IF(AND(V244=1,N(L244)&gt;0),AsOf-C244,"")</f>
        <v/>
      </c>
      <c r="O244" s="28">
        <f>IF(N244="","",MAX(0,AsOf-J244))</f>
        <v/>
      </c>
      <c r="P244" s="66">
        <f>IF(O244="","",IF(O244=0,"Current",IF(O244&lt;=30,"1-30",IF(O244&lt;=60,"31-60",IF(O244&lt;=90,"61-90","90+")))))</f>
        <v/>
      </c>
      <c r="Q244" s="66">
        <f>IF(T244&lt;&gt;"","⛔ "&amp;T244&amp;" — not posted",IF(U244&lt;&gt;"","⚠ "&amp;U244,IF(V244=1,"✓ OK","")))</f>
        <v/>
      </c>
      <c r="R244" s="67">
        <f>IF(AND(B244="",C244="",D244="",G244="",F244=""),1,0)</f>
        <v/>
      </c>
      <c r="S244" s="68">
        <f>IF(AND(TaxOn="Yes",ISNUMBER(H244)),H244,0)</f>
        <v/>
      </c>
      <c r="T244" s="67">
        <f>IF(R244=1,"",IF(B244="","Enter an invoice #",IF(C244="","Missing invoice date",IF(NOT(ISNUMBER(C244)),"Invalid date",IF(OR(C244&lt;DATE(2000,1,1),C244&gt;DATE(2099,12,31)),"Invalid date",IF(F244="","Select a revenue account",IF(ISNA(MATCH(F244,coa_Name,0)),"Unknown account: "&amp;F244,IF(NOT(ISNUMBER(G244)),"Enter an amount",IF(G244&lt;=0,"Amount must be positive",IF(S244&gt;G244,"Tax is larger than the amount",""))))))))))</f>
        <v/>
      </c>
      <c r="U244" s="67">
        <f>IF(OR(R244=1,T244&lt;&gt;""),"",IF(COUNTIF(ar_No,B244)&gt;1,"Duplicate invoice #",IF(D244="","Select a customer",IF(N(L244)&lt;0,"Overpaid by "&amp;TEXT(-L244,"#,##0.00"),IF(AND(ISNUMBER(H244),N(H244)&lt;&gt;0,S244=0),"Tax ignored (tax tracking is off)",IF(AND(ISNUMBER(StartDate),C244&lt;StartDate),"Date is before the accounting start date",IF(AND(IFERROR(INDEX(coa_Type,MATCH(F244,coa_Name,0)),"")&lt;&gt;"Revenue",IFERROR(INDEX(coa_Type,MATCH(F244,coa_Name,0)),"")&lt;&gt;"Other Income"),"Account is not a revenue account","")))))))</f>
        <v/>
      </c>
      <c r="V244" s="67">
        <f>IF(AND(R244=0,T244=""),1,0)</f>
        <v/>
      </c>
      <c r="W244" s="67">
        <f>IF(V244=1,acctAR,"")</f>
        <v/>
      </c>
      <c r="X244" s="67">
        <f>IF(V244=1,F244,"")</f>
        <v/>
      </c>
      <c r="Y244" s="68">
        <f>IF(V244=1,G244,0)</f>
        <v/>
      </c>
      <c r="Z244" s="68">
        <f>IF(V244=1,G244-S244,0)</f>
        <v/>
      </c>
      <c r="AA244" s="68">
        <f>IF(V244=1,S244,0)</f>
        <v/>
      </c>
    </row>
    <row r="245">
      <c r="B245" s="62" t="n"/>
      <c r="C245" s="63" t="n"/>
      <c r="D245" s="62" t="n"/>
      <c r="E245" s="62" t="n"/>
      <c r="F245" s="62" t="n"/>
      <c r="G245" s="64" t="n"/>
      <c r="H245" s="64" t="n"/>
      <c r="I245" s="63" t="n"/>
      <c r="J245" s="29">
        <f>IF(V245=1,IF(ISNUMBER(I245),I245,C245+IF(ISNUMBER(IFERROR(INDEX(cust_Terms,MATCH(D245,cust_Name,0)),"")),INDEX(cust_Terms,MATCH(D245,cust_Name,0)),TermsDays)),"")</f>
        <v/>
      </c>
      <c r="K245" s="65">
        <f>IF(V245=1,SUMIFS(tx_DrAmt,tx_Type,"Customer Payment",tx_Ref,B245&amp;"",tx_Date,"&lt;="&amp;AsOf),"")</f>
        <v/>
      </c>
      <c r="L245" s="65">
        <f>IF(V245=1,IF(C245&gt;AsOf,0,ROUND(G245-K245,2)),"")</f>
        <v/>
      </c>
      <c r="M245" s="66">
        <f>IF(V245&lt;&gt;1,"",IF(C245&gt;AsOf,"Future",IF(L245&lt;0,"Overpaid",IF(L245=0,"Paid",IF(AsOf&gt;J245,"Overdue",IF(K245&gt;0,"Partial","Unpaid"))))))</f>
        <v/>
      </c>
      <c r="N245" s="28">
        <f>IF(AND(V245=1,N(L245)&gt;0),AsOf-C245,"")</f>
        <v/>
      </c>
      <c r="O245" s="28">
        <f>IF(N245="","",MAX(0,AsOf-J245))</f>
        <v/>
      </c>
      <c r="P245" s="66">
        <f>IF(O245="","",IF(O245=0,"Current",IF(O245&lt;=30,"1-30",IF(O245&lt;=60,"31-60",IF(O245&lt;=90,"61-90","90+")))))</f>
        <v/>
      </c>
      <c r="Q245" s="66">
        <f>IF(T245&lt;&gt;"","⛔ "&amp;T245&amp;" — not posted",IF(U245&lt;&gt;"","⚠ "&amp;U245,IF(V245=1,"✓ OK","")))</f>
        <v/>
      </c>
      <c r="R245" s="67">
        <f>IF(AND(B245="",C245="",D245="",G245="",F245=""),1,0)</f>
        <v/>
      </c>
      <c r="S245" s="68">
        <f>IF(AND(TaxOn="Yes",ISNUMBER(H245)),H245,0)</f>
        <v/>
      </c>
      <c r="T245" s="67">
        <f>IF(R245=1,"",IF(B245="","Enter an invoice #",IF(C245="","Missing invoice date",IF(NOT(ISNUMBER(C245)),"Invalid date",IF(OR(C245&lt;DATE(2000,1,1),C245&gt;DATE(2099,12,31)),"Invalid date",IF(F245="","Select a revenue account",IF(ISNA(MATCH(F245,coa_Name,0)),"Unknown account: "&amp;F245,IF(NOT(ISNUMBER(G245)),"Enter an amount",IF(G245&lt;=0,"Amount must be positive",IF(S245&gt;G245,"Tax is larger than the amount",""))))))))))</f>
        <v/>
      </c>
      <c r="U245" s="67">
        <f>IF(OR(R245=1,T245&lt;&gt;""),"",IF(COUNTIF(ar_No,B245)&gt;1,"Duplicate invoice #",IF(D245="","Select a customer",IF(N(L245)&lt;0,"Overpaid by "&amp;TEXT(-L245,"#,##0.00"),IF(AND(ISNUMBER(H245),N(H245)&lt;&gt;0,S245=0),"Tax ignored (tax tracking is off)",IF(AND(ISNUMBER(StartDate),C245&lt;StartDate),"Date is before the accounting start date",IF(AND(IFERROR(INDEX(coa_Type,MATCH(F245,coa_Name,0)),"")&lt;&gt;"Revenue",IFERROR(INDEX(coa_Type,MATCH(F245,coa_Name,0)),"")&lt;&gt;"Other Income"),"Account is not a revenue account","")))))))</f>
        <v/>
      </c>
      <c r="V245" s="67">
        <f>IF(AND(R245=0,T245=""),1,0)</f>
        <v/>
      </c>
      <c r="W245" s="67">
        <f>IF(V245=1,acctAR,"")</f>
        <v/>
      </c>
      <c r="X245" s="67">
        <f>IF(V245=1,F245,"")</f>
        <v/>
      </c>
      <c r="Y245" s="68">
        <f>IF(V245=1,G245,0)</f>
        <v/>
      </c>
      <c r="Z245" s="68">
        <f>IF(V245=1,G245-S245,0)</f>
        <v/>
      </c>
      <c r="AA245" s="68">
        <f>IF(V245=1,S245,0)</f>
        <v/>
      </c>
    </row>
    <row r="246">
      <c r="B246" s="62" t="n"/>
      <c r="C246" s="63" t="n"/>
      <c r="D246" s="62" t="n"/>
      <c r="E246" s="62" t="n"/>
      <c r="F246" s="62" t="n"/>
      <c r="G246" s="64" t="n"/>
      <c r="H246" s="64" t="n"/>
      <c r="I246" s="63" t="n"/>
      <c r="J246" s="29">
        <f>IF(V246=1,IF(ISNUMBER(I246),I246,C246+IF(ISNUMBER(IFERROR(INDEX(cust_Terms,MATCH(D246,cust_Name,0)),"")),INDEX(cust_Terms,MATCH(D246,cust_Name,0)),TermsDays)),"")</f>
        <v/>
      </c>
      <c r="K246" s="65">
        <f>IF(V246=1,SUMIFS(tx_DrAmt,tx_Type,"Customer Payment",tx_Ref,B246&amp;"",tx_Date,"&lt;="&amp;AsOf),"")</f>
        <v/>
      </c>
      <c r="L246" s="65">
        <f>IF(V246=1,IF(C246&gt;AsOf,0,ROUND(G246-K246,2)),"")</f>
        <v/>
      </c>
      <c r="M246" s="66">
        <f>IF(V246&lt;&gt;1,"",IF(C246&gt;AsOf,"Future",IF(L246&lt;0,"Overpaid",IF(L246=0,"Paid",IF(AsOf&gt;J246,"Overdue",IF(K246&gt;0,"Partial","Unpaid"))))))</f>
        <v/>
      </c>
      <c r="N246" s="28">
        <f>IF(AND(V246=1,N(L246)&gt;0),AsOf-C246,"")</f>
        <v/>
      </c>
      <c r="O246" s="28">
        <f>IF(N246="","",MAX(0,AsOf-J246))</f>
        <v/>
      </c>
      <c r="P246" s="66">
        <f>IF(O246="","",IF(O246=0,"Current",IF(O246&lt;=30,"1-30",IF(O246&lt;=60,"31-60",IF(O246&lt;=90,"61-90","90+")))))</f>
        <v/>
      </c>
      <c r="Q246" s="66">
        <f>IF(T246&lt;&gt;"","⛔ "&amp;T246&amp;" — not posted",IF(U246&lt;&gt;"","⚠ "&amp;U246,IF(V246=1,"✓ OK","")))</f>
        <v/>
      </c>
      <c r="R246" s="67">
        <f>IF(AND(B246="",C246="",D246="",G246="",F246=""),1,0)</f>
        <v/>
      </c>
      <c r="S246" s="68">
        <f>IF(AND(TaxOn="Yes",ISNUMBER(H246)),H246,0)</f>
        <v/>
      </c>
      <c r="T246" s="67">
        <f>IF(R246=1,"",IF(B246="","Enter an invoice #",IF(C246="","Missing invoice date",IF(NOT(ISNUMBER(C246)),"Invalid date",IF(OR(C246&lt;DATE(2000,1,1),C246&gt;DATE(2099,12,31)),"Invalid date",IF(F246="","Select a revenue account",IF(ISNA(MATCH(F246,coa_Name,0)),"Unknown account: "&amp;F246,IF(NOT(ISNUMBER(G246)),"Enter an amount",IF(G246&lt;=0,"Amount must be positive",IF(S246&gt;G246,"Tax is larger than the amount",""))))))))))</f>
        <v/>
      </c>
      <c r="U246" s="67">
        <f>IF(OR(R246=1,T246&lt;&gt;""),"",IF(COUNTIF(ar_No,B246)&gt;1,"Duplicate invoice #",IF(D246="","Select a customer",IF(N(L246)&lt;0,"Overpaid by "&amp;TEXT(-L246,"#,##0.00"),IF(AND(ISNUMBER(H246),N(H246)&lt;&gt;0,S246=0),"Tax ignored (tax tracking is off)",IF(AND(ISNUMBER(StartDate),C246&lt;StartDate),"Date is before the accounting start date",IF(AND(IFERROR(INDEX(coa_Type,MATCH(F246,coa_Name,0)),"")&lt;&gt;"Revenue",IFERROR(INDEX(coa_Type,MATCH(F246,coa_Name,0)),"")&lt;&gt;"Other Income"),"Account is not a revenue account","")))))))</f>
        <v/>
      </c>
      <c r="V246" s="67">
        <f>IF(AND(R246=0,T246=""),1,0)</f>
        <v/>
      </c>
      <c r="W246" s="67">
        <f>IF(V246=1,acctAR,"")</f>
        <v/>
      </c>
      <c r="X246" s="67">
        <f>IF(V246=1,F246,"")</f>
        <v/>
      </c>
      <c r="Y246" s="68">
        <f>IF(V246=1,G246,0)</f>
        <v/>
      </c>
      <c r="Z246" s="68">
        <f>IF(V246=1,G246-S246,0)</f>
        <v/>
      </c>
      <c r="AA246" s="68">
        <f>IF(V246=1,S246,0)</f>
        <v/>
      </c>
    </row>
    <row r="247">
      <c r="B247" s="62" t="n"/>
      <c r="C247" s="63" t="n"/>
      <c r="D247" s="62" t="n"/>
      <c r="E247" s="62" t="n"/>
      <c r="F247" s="62" t="n"/>
      <c r="G247" s="64" t="n"/>
      <c r="H247" s="64" t="n"/>
      <c r="I247" s="63" t="n"/>
      <c r="J247" s="29">
        <f>IF(V247=1,IF(ISNUMBER(I247),I247,C247+IF(ISNUMBER(IFERROR(INDEX(cust_Terms,MATCH(D247,cust_Name,0)),"")),INDEX(cust_Terms,MATCH(D247,cust_Name,0)),TermsDays)),"")</f>
        <v/>
      </c>
      <c r="K247" s="65">
        <f>IF(V247=1,SUMIFS(tx_DrAmt,tx_Type,"Customer Payment",tx_Ref,B247&amp;"",tx_Date,"&lt;="&amp;AsOf),"")</f>
        <v/>
      </c>
      <c r="L247" s="65">
        <f>IF(V247=1,IF(C247&gt;AsOf,0,ROUND(G247-K247,2)),"")</f>
        <v/>
      </c>
      <c r="M247" s="66">
        <f>IF(V247&lt;&gt;1,"",IF(C247&gt;AsOf,"Future",IF(L247&lt;0,"Overpaid",IF(L247=0,"Paid",IF(AsOf&gt;J247,"Overdue",IF(K247&gt;0,"Partial","Unpaid"))))))</f>
        <v/>
      </c>
      <c r="N247" s="28">
        <f>IF(AND(V247=1,N(L247)&gt;0),AsOf-C247,"")</f>
        <v/>
      </c>
      <c r="O247" s="28">
        <f>IF(N247="","",MAX(0,AsOf-J247))</f>
        <v/>
      </c>
      <c r="P247" s="66">
        <f>IF(O247="","",IF(O247=0,"Current",IF(O247&lt;=30,"1-30",IF(O247&lt;=60,"31-60",IF(O247&lt;=90,"61-90","90+")))))</f>
        <v/>
      </c>
      <c r="Q247" s="66">
        <f>IF(T247&lt;&gt;"","⛔ "&amp;T247&amp;" — not posted",IF(U247&lt;&gt;"","⚠ "&amp;U247,IF(V247=1,"✓ OK","")))</f>
        <v/>
      </c>
      <c r="R247" s="67">
        <f>IF(AND(B247="",C247="",D247="",G247="",F247=""),1,0)</f>
        <v/>
      </c>
      <c r="S247" s="68">
        <f>IF(AND(TaxOn="Yes",ISNUMBER(H247)),H247,0)</f>
        <v/>
      </c>
      <c r="T247" s="67">
        <f>IF(R247=1,"",IF(B247="","Enter an invoice #",IF(C247="","Missing invoice date",IF(NOT(ISNUMBER(C247)),"Invalid date",IF(OR(C247&lt;DATE(2000,1,1),C247&gt;DATE(2099,12,31)),"Invalid date",IF(F247="","Select a revenue account",IF(ISNA(MATCH(F247,coa_Name,0)),"Unknown account: "&amp;F247,IF(NOT(ISNUMBER(G247)),"Enter an amount",IF(G247&lt;=0,"Amount must be positive",IF(S247&gt;G247,"Tax is larger than the amount",""))))))))))</f>
        <v/>
      </c>
      <c r="U247" s="67">
        <f>IF(OR(R247=1,T247&lt;&gt;""),"",IF(COUNTIF(ar_No,B247)&gt;1,"Duplicate invoice #",IF(D247="","Select a customer",IF(N(L247)&lt;0,"Overpaid by "&amp;TEXT(-L247,"#,##0.00"),IF(AND(ISNUMBER(H247),N(H247)&lt;&gt;0,S247=0),"Tax ignored (tax tracking is off)",IF(AND(ISNUMBER(StartDate),C247&lt;StartDate),"Date is before the accounting start date",IF(AND(IFERROR(INDEX(coa_Type,MATCH(F247,coa_Name,0)),"")&lt;&gt;"Revenue",IFERROR(INDEX(coa_Type,MATCH(F247,coa_Name,0)),"")&lt;&gt;"Other Income"),"Account is not a revenue account","")))))))</f>
        <v/>
      </c>
      <c r="V247" s="67">
        <f>IF(AND(R247=0,T247=""),1,0)</f>
        <v/>
      </c>
      <c r="W247" s="67">
        <f>IF(V247=1,acctAR,"")</f>
        <v/>
      </c>
      <c r="X247" s="67">
        <f>IF(V247=1,F247,"")</f>
        <v/>
      </c>
      <c r="Y247" s="68">
        <f>IF(V247=1,G247,0)</f>
        <v/>
      </c>
      <c r="Z247" s="68">
        <f>IF(V247=1,G247-S247,0)</f>
        <v/>
      </c>
      <c r="AA247" s="68">
        <f>IF(V247=1,S247,0)</f>
        <v/>
      </c>
    </row>
    <row r="248">
      <c r="B248" s="62" t="n"/>
      <c r="C248" s="63" t="n"/>
      <c r="D248" s="62" t="n"/>
      <c r="E248" s="62" t="n"/>
      <c r="F248" s="62" t="n"/>
      <c r="G248" s="64" t="n"/>
      <c r="H248" s="64" t="n"/>
      <c r="I248" s="63" t="n"/>
      <c r="J248" s="29">
        <f>IF(V248=1,IF(ISNUMBER(I248),I248,C248+IF(ISNUMBER(IFERROR(INDEX(cust_Terms,MATCH(D248,cust_Name,0)),"")),INDEX(cust_Terms,MATCH(D248,cust_Name,0)),TermsDays)),"")</f>
        <v/>
      </c>
      <c r="K248" s="65">
        <f>IF(V248=1,SUMIFS(tx_DrAmt,tx_Type,"Customer Payment",tx_Ref,B248&amp;"",tx_Date,"&lt;="&amp;AsOf),"")</f>
        <v/>
      </c>
      <c r="L248" s="65">
        <f>IF(V248=1,IF(C248&gt;AsOf,0,ROUND(G248-K248,2)),"")</f>
        <v/>
      </c>
      <c r="M248" s="66">
        <f>IF(V248&lt;&gt;1,"",IF(C248&gt;AsOf,"Future",IF(L248&lt;0,"Overpaid",IF(L248=0,"Paid",IF(AsOf&gt;J248,"Overdue",IF(K248&gt;0,"Partial","Unpaid"))))))</f>
        <v/>
      </c>
      <c r="N248" s="28">
        <f>IF(AND(V248=1,N(L248)&gt;0),AsOf-C248,"")</f>
        <v/>
      </c>
      <c r="O248" s="28">
        <f>IF(N248="","",MAX(0,AsOf-J248))</f>
        <v/>
      </c>
      <c r="P248" s="66">
        <f>IF(O248="","",IF(O248=0,"Current",IF(O248&lt;=30,"1-30",IF(O248&lt;=60,"31-60",IF(O248&lt;=90,"61-90","90+")))))</f>
        <v/>
      </c>
      <c r="Q248" s="66">
        <f>IF(T248&lt;&gt;"","⛔ "&amp;T248&amp;" — not posted",IF(U248&lt;&gt;"","⚠ "&amp;U248,IF(V248=1,"✓ OK","")))</f>
        <v/>
      </c>
      <c r="R248" s="67">
        <f>IF(AND(B248="",C248="",D248="",G248="",F248=""),1,0)</f>
        <v/>
      </c>
      <c r="S248" s="68">
        <f>IF(AND(TaxOn="Yes",ISNUMBER(H248)),H248,0)</f>
        <v/>
      </c>
      <c r="T248" s="67">
        <f>IF(R248=1,"",IF(B248="","Enter an invoice #",IF(C248="","Missing invoice date",IF(NOT(ISNUMBER(C248)),"Invalid date",IF(OR(C248&lt;DATE(2000,1,1),C248&gt;DATE(2099,12,31)),"Invalid date",IF(F248="","Select a revenue account",IF(ISNA(MATCH(F248,coa_Name,0)),"Unknown account: "&amp;F248,IF(NOT(ISNUMBER(G248)),"Enter an amount",IF(G248&lt;=0,"Amount must be positive",IF(S248&gt;G248,"Tax is larger than the amount",""))))))))))</f>
        <v/>
      </c>
      <c r="U248" s="67">
        <f>IF(OR(R248=1,T248&lt;&gt;""),"",IF(COUNTIF(ar_No,B248)&gt;1,"Duplicate invoice #",IF(D248="","Select a customer",IF(N(L248)&lt;0,"Overpaid by "&amp;TEXT(-L248,"#,##0.00"),IF(AND(ISNUMBER(H248),N(H248)&lt;&gt;0,S248=0),"Tax ignored (tax tracking is off)",IF(AND(ISNUMBER(StartDate),C248&lt;StartDate),"Date is before the accounting start date",IF(AND(IFERROR(INDEX(coa_Type,MATCH(F248,coa_Name,0)),"")&lt;&gt;"Revenue",IFERROR(INDEX(coa_Type,MATCH(F248,coa_Name,0)),"")&lt;&gt;"Other Income"),"Account is not a revenue account","")))))))</f>
        <v/>
      </c>
      <c r="V248" s="67">
        <f>IF(AND(R248=0,T248=""),1,0)</f>
        <v/>
      </c>
      <c r="W248" s="67">
        <f>IF(V248=1,acctAR,"")</f>
        <v/>
      </c>
      <c r="X248" s="67">
        <f>IF(V248=1,F248,"")</f>
        <v/>
      </c>
      <c r="Y248" s="68">
        <f>IF(V248=1,G248,0)</f>
        <v/>
      </c>
      <c r="Z248" s="68">
        <f>IF(V248=1,G248-S248,0)</f>
        <v/>
      </c>
      <c r="AA248" s="68">
        <f>IF(V248=1,S248,0)</f>
        <v/>
      </c>
    </row>
    <row r="249">
      <c r="B249" s="62" t="n"/>
      <c r="C249" s="63" t="n"/>
      <c r="D249" s="62" t="n"/>
      <c r="E249" s="62" t="n"/>
      <c r="F249" s="62" t="n"/>
      <c r="G249" s="64" t="n"/>
      <c r="H249" s="64" t="n"/>
      <c r="I249" s="63" t="n"/>
      <c r="J249" s="29">
        <f>IF(V249=1,IF(ISNUMBER(I249),I249,C249+IF(ISNUMBER(IFERROR(INDEX(cust_Terms,MATCH(D249,cust_Name,0)),"")),INDEX(cust_Terms,MATCH(D249,cust_Name,0)),TermsDays)),"")</f>
        <v/>
      </c>
      <c r="K249" s="65">
        <f>IF(V249=1,SUMIFS(tx_DrAmt,tx_Type,"Customer Payment",tx_Ref,B249&amp;"",tx_Date,"&lt;="&amp;AsOf),"")</f>
        <v/>
      </c>
      <c r="L249" s="65">
        <f>IF(V249=1,IF(C249&gt;AsOf,0,ROUND(G249-K249,2)),"")</f>
        <v/>
      </c>
      <c r="M249" s="66">
        <f>IF(V249&lt;&gt;1,"",IF(C249&gt;AsOf,"Future",IF(L249&lt;0,"Overpaid",IF(L249=0,"Paid",IF(AsOf&gt;J249,"Overdue",IF(K249&gt;0,"Partial","Unpaid"))))))</f>
        <v/>
      </c>
      <c r="N249" s="28">
        <f>IF(AND(V249=1,N(L249)&gt;0),AsOf-C249,"")</f>
        <v/>
      </c>
      <c r="O249" s="28">
        <f>IF(N249="","",MAX(0,AsOf-J249))</f>
        <v/>
      </c>
      <c r="P249" s="66">
        <f>IF(O249="","",IF(O249=0,"Current",IF(O249&lt;=30,"1-30",IF(O249&lt;=60,"31-60",IF(O249&lt;=90,"61-90","90+")))))</f>
        <v/>
      </c>
      <c r="Q249" s="66">
        <f>IF(T249&lt;&gt;"","⛔ "&amp;T249&amp;" — not posted",IF(U249&lt;&gt;"","⚠ "&amp;U249,IF(V249=1,"✓ OK","")))</f>
        <v/>
      </c>
      <c r="R249" s="67">
        <f>IF(AND(B249="",C249="",D249="",G249="",F249=""),1,0)</f>
        <v/>
      </c>
      <c r="S249" s="68">
        <f>IF(AND(TaxOn="Yes",ISNUMBER(H249)),H249,0)</f>
        <v/>
      </c>
      <c r="T249" s="67">
        <f>IF(R249=1,"",IF(B249="","Enter an invoice #",IF(C249="","Missing invoice date",IF(NOT(ISNUMBER(C249)),"Invalid date",IF(OR(C249&lt;DATE(2000,1,1),C249&gt;DATE(2099,12,31)),"Invalid date",IF(F249="","Select a revenue account",IF(ISNA(MATCH(F249,coa_Name,0)),"Unknown account: "&amp;F249,IF(NOT(ISNUMBER(G249)),"Enter an amount",IF(G249&lt;=0,"Amount must be positive",IF(S249&gt;G249,"Tax is larger than the amount",""))))))))))</f>
        <v/>
      </c>
      <c r="U249" s="67">
        <f>IF(OR(R249=1,T249&lt;&gt;""),"",IF(COUNTIF(ar_No,B249)&gt;1,"Duplicate invoice #",IF(D249="","Select a customer",IF(N(L249)&lt;0,"Overpaid by "&amp;TEXT(-L249,"#,##0.00"),IF(AND(ISNUMBER(H249),N(H249)&lt;&gt;0,S249=0),"Tax ignored (tax tracking is off)",IF(AND(ISNUMBER(StartDate),C249&lt;StartDate),"Date is before the accounting start date",IF(AND(IFERROR(INDEX(coa_Type,MATCH(F249,coa_Name,0)),"")&lt;&gt;"Revenue",IFERROR(INDEX(coa_Type,MATCH(F249,coa_Name,0)),"")&lt;&gt;"Other Income"),"Account is not a revenue account","")))))))</f>
        <v/>
      </c>
      <c r="V249" s="67">
        <f>IF(AND(R249=0,T249=""),1,0)</f>
        <v/>
      </c>
      <c r="W249" s="67">
        <f>IF(V249=1,acctAR,"")</f>
        <v/>
      </c>
      <c r="X249" s="67">
        <f>IF(V249=1,F249,"")</f>
        <v/>
      </c>
      <c r="Y249" s="68">
        <f>IF(V249=1,G249,0)</f>
        <v/>
      </c>
      <c r="Z249" s="68">
        <f>IF(V249=1,G249-S249,0)</f>
        <v/>
      </c>
      <c r="AA249" s="68">
        <f>IF(V249=1,S249,0)</f>
        <v/>
      </c>
    </row>
    <row r="250">
      <c r="B250" s="62" t="n"/>
      <c r="C250" s="63" t="n"/>
      <c r="D250" s="62" t="n"/>
      <c r="E250" s="62" t="n"/>
      <c r="F250" s="62" t="n"/>
      <c r="G250" s="64" t="n"/>
      <c r="H250" s="64" t="n"/>
      <c r="I250" s="63" t="n"/>
      <c r="J250" s="29">
        <f>IF(V250=1,IF(ISNUMBER(I250),I250,C250+IF(ISNUMBER(IFERROR(INDEX(cust_Terms,MATCH(D250,cust_Name,0)),"")),INDEX(cust_Terms,MATCH(D250,cust_Name,0)),TermsDays)),"")</f>
        <v/>
      </c>
      <c r="K250" s="65">
        <f>IF(V250=1,SUMIFS(tx_DrAmt,tx_Type,"Customer Payment",tx_Ref,B250&amp;"",tx_Date,"&lt;="&amp;AsOf),"")</f>
        <v/>
      </c>
      <c r="L250" s="65">
        <f>IF(V250=1,IF(C250&gt;AsOf,0,ROUND(G250-K250,2)),"")</f>
        <v/>
      </c>
      <c r="M250" s="66">
        <f>IF(V250&lt;&gt;1,"",IF(C250&gt;AsOf,"Future",IF(L250&lt;0,"Overpaid",IF(L250=0,"Paid",IF(AsOf&gt;J250,"Overdue",IF(K250&gt;0,"Partial","Unpaid"))))))</f>
        <v/>
      </c>
      <c r="N250" s="28">
        <f>IF(AND(V250=1,N(L250)&gt;0),AsOf-C250,"")</f>
        <v/>
      </c>
      <c r="O250" s="28">
        <f>IF(N250="","",MAX(0,AsOf-J250))</f>
        <v/>
      </c>
      <c r="P250" s="66">
        <f>IF(O250="","",IF(O250=0,"Current",IF(O250&lt;=30,"1-30",IF(O250&lt;=60,"31-60",IF(O250&lt;=90,"61-90","90+")))))</f>
        <v/>
      </c>
      <c r="Q250" s="66">
        <f>IF(T250&lt;&gt;"","⛔ "&amp;T250&amp;" — not posted",IF(U250&lt;&gt;"","⚠ "&amp;U250,IF(V250=1,"✓ OK","")))</f>
        <v/>
      </c>
      <c r="R250" s="67">
        <f>IF(AND(B250="",C250="",D250="",G250="",F250=""),1,0)</f>
        <v/>
      </c>
      <c r="S250" s="68">
        <f>IF(AND(TaxOn="Yes",ISNUMBER(H250)),H250,0)</f>
        <v/>
      </c>
      <c r="T250" s="67">
        <f>IF(R250=1,"",IF(B250="","Enter an invoice #",IF(C250="","Missing invoice date",IF(NOT(ISNUMBER(C250)),"Invalid date",IF(OR(C250&lt;DATE(2000,1,1),C250&gt;DATE(2099,12,31)),"Invalid date",IF(F250="","Select a revenue account",IF(ISNA(MATCH(F250,coa_Name,0)),"Unknown account: "&amp;F250,IF(NOT(ISNUMBER(G250)),"Enter an amount",IF(G250&lt;=0,"Amount must be positive",IF(S250&gt;G250,"Tax is larger than the amount",""))))))))))</f>
        <v/>
      </c>
      <c r="U250" s="67">
        <f>IF(OR(R250=1,T250&lt;&gt;""),"",IF(COUNTIF(ar_No,B250)&gt;1,"Duplicate invoice #",IF(D250="","Select a customer",IF(N(L250)&lt;0,"Overpaid by "&amp;TEXT(-L250,"#,##0.00"),IF(AND(ISNUMBER(H250),N(H250)&lt;&gt;0,S250=0),"Tax ignored (tax tracking is off)",IF(AND(ISNUMBER(StartDate),C250&lt;StartDate),"Date is before the accounting start date",IF(AND(IFERROR(INDEX(coa_Type,MATCH(F250,coa_Name,0)),"")&lt;&gt;"Revenue",IFERROR(INDEX(coa_Type,MATCH(F250,coa_Name,0)),"")&lt;&gt;"Other Income"),"Account is not a revenue account","")))))))</f>
        <v/>
      </c>
      <c r="V250" s="67">
        <f>IF(AND(R250=0,T250=""),1,0)</f>
        <v/>
      </c>
      <c r="W250" s="67">
        <f>IF(V250=1,acctAR,"")</f>
        <v/>
      </c>
      <c r="X250" s="67">
        <f>IF(V250=1,F250,"")</f>
        <v/>
      </c>
      <c r="Y250" s="68">
        <f>IF(V250=1,G250,0)</f>
        <v/>
      </c>
      <c r="Z250" s="68">
        <f>IF(V250=1,G250-S250,0)</f>
        <v/>
      </c>
      <c r="AA250" s="68">
        <f>IF(V250=1,S250,0)</f>
        <v/>
      </c>
    </row>
    <row r="251">
      <c r="B251" s="62" t="n"/>
      <c r="C251" s="63" t="n"/>
      <c r="D251" s="62" t="n"/>
      <c r="E251" s="62" t="n"/>
      <c r="F251" s="62" t="n"/>
      <c r="G251" s="64" t="n"/>
      <c r="H251" s="64" t="n"/>
      <c r="I251" s="63" t="n"/>
      <c r="J251" s="29">
        <f>IF(V251=1,IF(ISNUMBER(I251),I251,C251+IF(ISNUMBER(IFERROR(INDEX(cust_Terms,MATCH(D251,cust_Name,0)),"")),INDEX(cust_Terms,MATCH(D251,cust_Name,0)),TermsDays)),"")</f>
        <v/>
      </c>
      <c r="K251" s="65">
        <f>IF(V251=1,SUMIFS(tx_DrAmt,tx_Type,"Customer Payment",tx_Ref,B251&amp;"",tx_Date,"&lt;="&amp;AsOf),"")</f>
        <v/>
      </c>
      <c r="L251" s="65">
        <f>IF(V251=1,IF(C251&gt;AsOf,0,ROUND(G251-K251,2)),"")</f>
        <v/>
      </c>
      <c r="M251" s="66">
        <f>IF(V251&lt;&gt;1,"",IF(C251&gt;AsOf,"Future",IF(L251&lt;0,"Overpaid",IF(L251=0,"Paid",IF(AsOf&gt;J251,"Overdue",IF(K251&gt;0,"Partial","Unpaid"))))))</f>
        <v/>
      </c>
      <c r="N251" s="28">
        <f>IF(AND(V251=1,N(L251)&gt;0),AsOf-C251,"")</f>
        <v/>
      </c>
      <c r="O251" s="28">
        <f>IF(N251="","",MAX(0,AsOf-J251))</f>
        <v/>
      </c>
      <c r="P251" s="66">
        <f>IF(O251="","",IF(O251=0,"Current",IF(O251&lt;=30,"1-30",IF(O251&lt;=60,"31-60",IF(O251&lt;=90,"61-90","90+")))))</f>
        <v/>
      </c>
      <c r="Q251" s="66">
        <f>IF(T251&lt;&gt;"","⛔ "&amp;T251&amp;" — not posted",IF(U251&lt;&gt;"","⚠ "&amp;U251,IF(V251=1,"✓ OK","")))</f>
        <v/>
      </c>
      <c r="R251" s="67">
        <f>IF(AND(B251="",C251="",D251="",G251="",F251=""),1,0)</f>
        <v/>
      </c>
      <c r="S251" s="68">
        <f>IF(AND(TaxOn="Yes",ISNUMBER(H251)),H251,0)</f>
        <v/>
      </c>
      <c r="T251" s="67">
        <f>IF(R251=1,"",IF(B251="","Enter an invoice #",IF(C251="","Missing invoice date",IF(NOT(ISNUMBER(C251)),"Invalid date",IF(OR(C251&lt;DATE(2000,1,1),C251&gt;DATE(2099,12,31)),"Invalid date",IF(F251="","Select a revenue account",IF(ISNA(MATCH(F251,coa_Name,0)),"Unknown account: "&amp;F251,IF(NOT(ISNUMBER(G251)),"Enter an amount",IF(G251&lt;=0,"Amount must be positive",IF(S251&gt;G251,"Tax is larger than the amount",""))))))))))</f>
        <v/>
      </c>
      <c r="U251" s="67">
        <f>IF(OR(R251=1,T251&lt;&gt;""),"",IF(COUNTIF(ar_No,B251)&gt;1,"Duplicate invoice #",IF(D251="","Select a customer",IF(N(L251)&lt;0,"Overpaid by "&amp;TEXT(-L251,"#,##0.00"),IF(AND(ISNUMBER(H251),N(H251)&lt;&gt;0,S251=0),"Tax ignored (tax tracking is off)",IF(AND(ISNUMBER(StartDate),C251&lt;StartDate),"Date is before the accounting start date",IF(AND(IFERROR(INDEX(coa_Type,MATCH(F251,coa_Name,0)),"")&lt;&gt;"Revenue",IFERROR(INDEX(coa_Type,MATCH(F251,coa_Name,0)),"")&lt;&gt;"Other Income"),"Account is not a revenue account","")))))))</f>
        <v/>
      </c>
      <c r="V251" s="67">
        <f>IF(AND(R251=0,T251=""),1,0)</f>
        <v/>
      </c>
      <c r="W251" s="67">
        <f>IF(V251=1,acctAR,"")</f>
        <v/>
      </c>
      <c r="X251" s="67">
        <f>IF(V251=1,F251,"")</f>
        <v/>
      </c>
      <c r="Y251" s="68">
        <f>IF(V251=1,G251,0)</f>
        <v/>
      </c>
      <c r="Z251" s="68">
        <f>IF(V251=1,G251-S251,0)</f>
        <v/>
      </c>
      <c r="AA251" s="68">
        <f>IF(V251=1,S251,0)</f>
        <v/>
      </c>
    </row>
    <row r="252">
      <c r="B252" s="62" t="n"/>
      <c r="C252" s="63" t="n"/>
      <c r="D252" s="62" t="n"/>
      <c r="E252" s="62" t="n"/>
      <c r="F252" s="62" t="n"/>
      <c r="G252" s="64" t="n"/>
      <c r="H252" s="64" t="n"/>
      <c r="I252" s="63" t="n"/>
      <c r="J252" s="29">
        <f>IF(V252=1,IF(ISNUMBER(I252),I252,C252+IF(ISNUMBER(IFERROR(INDEX(cust_Terms,MATCH(D252,cust_Name,0)),"")),INDEX(cust_Terms,MATCH(D252,cust_Name,0)),TermsDays)),"")</f>
        <v/>
      </c>
      <c r="K252" s="65">
        <f>IF(V252=1,SUMIFS(tx_DrAmt,tx_Type,"Customer Payment",tx_Ref,B252&amp;"",tx_Date,"&lt;="&amp;AsOf),"")</f>
        <v/>
      </c>
      <c r="L252" s="65">
        <f>IF(V252=1,IF(C252&gt;AsOf,0,ROUND(G252-K252,2)),"")</f>
        <v/>
      </c>
      <c r="M252" s="66">
        <f>IF(V252&lt;&gt;1,"",IF(C252&gt;AsOf,"Future",IF(L252&lt;0,"Overpaid",IF(L252=0,"Paid",IF(AsOf&gt;J252,"Overdue",IF(K252&gt;0,"Partial","Unpaid"))))))</f>
        <v/>
      </c>
      <c r="N252" s="28">
        <f>IF(AND(V252=1,N(L252)&gt;0),AsOf-C252,"")</f>
        <v/>
      </c>
      <c r="O252" s="28">
        <f>IF(N252="","",MAX(0,AsOf-J252))</f>
        <v/>
      </c>
      <c r="P252" s="66">
        <f>IF(O252="","",IF(O252=0,"Current",IF(O252&lt;=30,"1-30",IF(O252&lt;=60,"31-60",IF(O252&lt;=90,"61-90","90+")))))</f>
        <v/>
      </c>
      <c r="Q252" s="66">
        <f>IF(T252&lt;&gt;"","⛔ "&amp;T252&amp;" — not posted",IF(U252&lt;&gt;"","⚠ "&amp;U252,IF(V252=1,"✓ OK","")))</f>
        <v/>
      </c>
      <c r="R252" s="67">
        <f>IF(AND(B252="",C252="",D252="",G252="",F252=""),1,0)</f>
        <v/>
      </c>
      <c r="S252" s="68">
        <f>IF(AND(TaxOn="Yes",ISNUMBER(H252)),H252,0)</f>
        <v/>
      </c>
      <c r="T252" s="67">
        <f>IF(R252=1,"",IF(B252="","Enter an invoice #",IF(C252="","Missing invoice date",IF(NOT(ISNUMBER(C252)),"Invalid date",IF(OR(C252&lt;DATE(2000,1,1),C252&gt;DATE(2099,12,31)),"Invalid date",IF(F252="","Select a revenue account",IF(ISNA(MATCH(F252,coa_Name,0)),"Unknown account: "&amp;F252,IF(NOT(ISNUMBER(G252)),"Enter an amount",IF(G252&lt;=0,"Amount must be positive",IF(S252&gt;G252,"Tax is larger than the amount",""))))))))))</f>
        <v/>
      </c>
      <c r="U252" s="67">
        <f>IF(OR(R252=1,T252&lt;&gt;""),"",IF(COUNTIF(ar_No,B252)&gt;1,"Duplicate invoice #",IF(D252="","Select a customer",IF(N(L252)&lt;0,"Overpaid by "&amp;TEXT(-L252,"#,##0.00"),IF(AND(ISNUMBER(H252),N(H252)&lt;&gt;0,S252=0),"Tax ignored (tax tracking is off)",IF(AND(ISNUMBER(StartDate),C252&lt;StartDate),"Date is before the accounting start date",IF(AND(IFERROR(INDEX(coa_Type,MATCH(F252,coa_Name,0)),"")&lt;&gt;"Revenue",IFERROR(INDEX(coa_Type,MATCH(F252,coa_Name,0)),"")&lt;&gt;"Other Income"),"Account is not a revenue account","")))))))</f>
        <v/>
      </c>
      <c r="V252" s="67">
        <f>IF(AND(R252=0,T252=""),1,0)</f>
        <v/>
      </c>
      <c r="W252" s="67">
        <f>IF(V252=1,acctAR,"")</f>
        <v/>
      </c>
      <c r="X252" s="67">
        <f>IF(V252=1,F252,"")</f>
        <v/>
      </c>
      <c r="Y252" s="68">
        <f>IF(V252=1,G252,0)</f>
        <v/>
      </c>
      <c r="Z252" s="68">
        <f>IF(V252=1,G252-S252,0)</f>
        <v/>
      </c>
      <c r="AA252" s="68">
        <f>IF(V252=1,S252,0)</f>
        <v/>
      </c>
    </row>
    <row r="253">
      <c r="B253" s="62" t="n"/>
      <c r="C253" s="63" t="n"/>
      <c r="D253" s="62" t="n"/>
      <c r="E253" s="62" t="n"/>
      <c r="F253" s="62" t="n"/>
      <c r="G253" s="64" t="n"/>
      <c r="H253" s="64" t="n"/>
      <c r="I253" s="63" t="n"/>
      <c r="J253" s="29">
        <f>IF(V253=1,IF(ISNUMBER(I253),I253,C253+IF(ISNUMBER(IFERROR(INDEX(cust_Terms,MATCH(D253,cust_Name,0)),"")),INDEX(cust_Terms,MATCH(D253,cust_Name,0)),TermsDays)),"")</f>
        <v/>
      </c>
      <c r="K253" s="65">
        <f>IF(V253=1,SUMIFS(tx_DrAmt,tx_Type,"Customer Payment",tx_Ref,B253&amp;"",tx_Date,"&lt;="&amp;AsOf),"")</f>
        <v/>
      </c>
      <c r="L253" s="65">
        <f>IF(V253=1,IF(C253&gt;AsOf,0,ROUND(G253-K253,2)),"")</f>
        <v/>
      </c>
      <c r="M253" s="66">
        <f>IF(V253&lt;&gt;1,"",IF(C253&gt;AsOf,"Future",IF(L253&lt;0,"Overpaid",IF(L253=0,"Paid",IF(AsOf&gt;J253,"Overdue",IF(K253&gt;0,"Partial","Unpaid"))))))</f>
        <v/>
      </c>
      <c r="N253" s="28">
        <f>IF(AND(V253=1,N(L253)&gt;0),AsOf-C253,"")</f>
        <v/>
      </c>
      <c r="O253" s="28">
        <f>IF(N253="","",MAX(0,AsOf-J253))</f>
        <v/>
      </c>
      <c r="P253" s="66">
        <f>IF(O253="","",IF(O253=0,"Current",IF(O253&lt;=30,"1-30",IF(O253&lt;=60,"31-60",IF(O253&lt;=90,"61-90","90+")))))</f>
        <v/>
      </c>
      <c r="Q253" s="66">
        <f>IF(T253&lt;&gt;"","⛔ "&amp;T253&amp;" — not posted",IF(U253&lt;&gt;"","⚠ "&amp;U253,IF(V253=1,"✓ OK","")))</f>
        <v/>
      </c>
      <c r="R253" s="67">
        <f>IF(AND(B253="",C253="",D253="",G253="",F253=""),1,0)</f>
        <v/>
      </c>
      <c r="S253" s="68">
        <f>IF(AND(TaxOn="Yes",ISNUMBER(H253)),H253,0)</f>
        <v/>
      </c>
      <c r="T253" s="67">
        <f>IF(R253=1,"",IF(B253="","Enter an invoice #",IF(C253="","Missing invoice date",IF(NOT(ISNUMBER(C253)),"Invalid date",IF(OR(C253&lt;DATE(2000,1,1),C253&gt;DATE(2099,12,31)),"Invalid date",IF(F253="","Select a revenue account",IF(ISNA(MATCH(F253,coa_Name,0)),"Unknown account: "&amp;F253,IF(NOT(ISNUMBER(G253)),"Enter an amount",IF(G253&lt;=0,"Amount must be positive",IF(S253&gt;G253,"Tax is larger than the amount",""))))))))))</f>
        <v/>
      </c>
      <c r="U253" s="67">
        <f>IF(OR(R253=1,T253&lt;&gt;""),"",IF(COUNTIF(ar_No,B253)&gt;1,"Duplicate invoice #",IF(D253="","Select a customer",IF(N(L253)&lt;0,"Overpaid by "&amp;TEXT(-L253,"#,##0.00"),IF(AND(ISNUMBER(H253),N(H253)&lt;&gt;0,S253=0),"Tax ignored (tax tracking is off)",IF(AND(ISNUMBER(StartDate),C253&lt;StartDate),"Date is before the accounting start date",IF(AND(IFERROR(INDEX(coa_Type,MATCH(F253,coa_Name,0)),"")&lt;&gt;"Revenue",IFERROR(INDEX(coa_Type,MATCH(F253,coa_Name,0)),"")&lt;&gt;"Other Income"),"Account is not a revenue account","")))))))</f>
        <v/>
      </c>
      <c r="V253" s="67">
        <f>IF(AND(R253=0,T253=""),1,0)</f>
        <v/>
      </c>
      <c r="W253" s="67">
        <f>IF(V253=1,acctAR,"")</f>
        <v/>
      </c>
      <c r="X253" s="67">
        <f>IF(V253=1,F253,"")</f>
        <v/>
      </c>
      <c r="Y253" s="68">
        <f>IF(V253=1,G253,0)</f>
        <v/>
      </c>
      <c r="Z253" s="68">
        <f>IF(V253=1,G253-S253,0)</f>
        <v/>
      </c>
      <c r="AA253" s="68">
        <f>IF(V253=1,S253,0)</f>
        <v/>
      </c>
    </row>
    <row r="254">
      <c r="B254" s="62" t="n"/>
      <c r="C254" s="63" t="n"/>
      <c r="D254" s="62" t="n"/>
      <c r="E254" s="62" t="n"/>
      <c r="F254" s="62" t="n"/>
      <c r="G254" s="64" t="n"/>
      <c r="H254" s="64" t="n"/>
      <c r="I254" s="63" t="n"/>
      <c r="J254" s="29">
        <f>IF(V254=1,IF(ISNUMBER(I254),I254,C254+IF(ISNUMBER(IFERROR(INDEX(cust_Terms,MATCH(D254,cust_Name,0)),"")),INDEX(cust_Terms,MATCH(D254,cust_Name,0)),TermsDays)),"")</f>
        <v/>
      </c>
      <c r="K254" s="65">
        <f>IF(V254=1,SUMIFS(tx_DrAmt,tx_Type,"Customer Payment",tx_Ref,B254&amp;"",tx_Date,"&lt;="&amp;AsOf),"")</f>
        <v/>
      </c>
      <c r="L254" s="65">
        <f>IF(V254=1,IF(C254&gt;AsOf,0,ROUND(G254-K254,2)),"")</f>
        <v/>
      </c>
      <c r="M254" s="66">
        <f>IF(V254&lt;&gt;1,"",IF(C254&gt;AsOf,"Future",IF(L254&lt;0,"Overpaid",IF(L254=0,"Paid",IF(AsOf&gt;J254,"Overdue",IF(K254&gt;0,"Partial","Unpaid"))))))</f>
        <v/>
      </c>
      <c r="N254" s="28">
        <f>IF(AND(V254=1,N(L254)&gt;0),AsOf-C254,"")</f>
        <v/>
      </c>
      <c r="O254" s="28">
        <f>IF(N254="","",MAX(0,AsOf-J254))</f>
        <v/>
      </c>
      <c r="P254" s="66">
        <f>IF(O254="","",IF(O254=0,"Current",IF(O254&lt;=30,"1-30",IF(O254&lt;=60,"31-60",IF(O254&lt;=90,"61-90","90+")))))</f>
        <v/>
      </c>
      <c r="Q254" s="66">
        <f>IF(T254&lt;&gt;"","⛔ "&amp;T254&amp;" — not posted",IF(U254&lt;&gt;"","⚠ "&amp;U254,IF(V254=1,"✓ OK","")))</f>
        <v/>
      </c>
      <c r="R254" s="67">
        <f>IF(AND(B254="",C254="",D254="",G254="",F254=""),1,0)</f>
        <v/>
      </c>
      <c r="S254" s="68">
        <f>IF(AND(TaxOn="Yes",ISNUMBER(H254)),H254,0)</f>
        <v/>
      </c>
      <c r="T254" s="67">
        <f>IF(R254=1,"",IF(B254="","Enter an invoice #",IF(C254="","Missing invoice date",IF(NOT(ISNUMBER(C254)),"Invalid date",IF(OR(C254&lt;DATE(2000,1,1),C254&gt;DATE(2099,12,31)),"Invalid date",IF(F254="","Select a revenue account",IF(ISNA(MATCH(F254,coa_Name,0)),"Unknown account: "&amp;F254,IF(NOT(ISNUMBER(G254)),"Enter an amount",IF(G254&lt;=0,"Amount must be positive",IF(S254&gt;G254,"Tax is larger than the amount",""))))))))))</f>
        <v/>
      </c>
      <c r="U254" s="67">
        <f>IF(OR(R254=1,T254&lt;&gt;""),"",IF(COUNTIF(ar_No,B254)&gt;1,"Duplicate invoice #",IF(D254="","Select a customer",IF(N(L254)&lt;0,"Overpaid by "&amp;TEXT(-L254,"#,##0.00"),IF(AND(ISNUMBER(H254),N(H254)&lt;&gt;0,S254=0),"Tax ignored (tax tracking is off)",IF(AND(ISNUMBER(StartDate),C254&lt;StartDate),"Date is before the accounting start date",IF(AND(IFERROR(INDEX(coa_Type,MATCH(F254,coa_Name,0)),"")&lt;&gt;"Revenue",IFERROR(INDEX(coa_Type,MATCH(F254,coa_Name,0)),"")&lt;&gt;"Other Income"),"Account is not a revenue account","")))))))</f>
        <v/>
      </c>
      <c r="V254" s="67">
        <f>IF(AND(R254=0,T254=""),1,0)</f>
        <v/>
      </c>
      <c r="W254" s="67">
        <f>IF(V254=1,acctAR,"")</f>
        <v/>
      </c>
      <c r="X254" s="67">
        <f>IF(V254=1,F254,"")</f>
        <v/>
      </c>
      <c r="Y254" s="68">
        <f>IF(V254=1,G254,0)</f>
        <v/>
      </c>
      <c r="Z254" s="68">
        <f>IF(V254=1,G254-S254,0)</f>
        <v/>
      </c>
      <c r="AA254" s="68">
        <f>IF(V254=1,S254,0)</f>
        <v/>
      </c>
    </row>
    <row r="255">
      <c r="B255" s="62" t="n"/>
      <c r="C255" s="63" t="n"/>
      <c r="D255" s="62" t="n"/>
      <c r="E255" s="62" t="n"/>
      <c r="F255" s="62" t="n"/>
      <c r="G255" s="64" t="n"/>
      <c r="H255" s="64" t="n"/>
      <c r="I255" s="63" t="n"/>
      <c r="J255" s="29">
        <f>IF(V255=1,IF(ISNUMBER(I255),I255,C255+IF(ISNUMBER(IFERROR(INDEX(cust_Terms,MATCH(D255,cust_Name,0)),"")),INDEX(cust_Terms,MATCH(D255,cust_Name,0)),TermsDays)),"")</f>
        <v/>
      </c>
      <c r="K255" s="65">
        <f>IF(V255=1,SUMIFS(tx_DrAmt,tx_Type,"Customer Payment",tx_Ref,B255&amp;"",tx_Date,"&lt;="&amp;AsOf),"")</f>
        <v/>
      </c>
      <c r="L255" s="65">
        <f>IF(V255=1,IF(C255&gt;AsOf,0,ROUND(G255-K255,2)),"")</f>
        <v/>
      </c>
      <c r="M255" s="66">
        <f>IF(V255&lt;&gt;1,"",IF(C255&gt;AsOf,"Future",IF(L255&lt;0,"Overpaid",IF(L255=0,"Paid",IF(AsOf&gt;J255,"Overdue",IF(K255&gt;0,"Partial","Unpaid"))))))</f>
        <v/>
      </c>
      <c r="N255" s="28">
        <f>IF(AND(V255=1,N(L255)&gt;0),AsOf-C255,"")</f>
        <v/>
      </c>
      <c r="O255" s="28">
        <f>IF(N255="","",MAX(0,AsOf-J255))</f>
        <v/>
      </c>
      <c r="P255" s="66">
        <f>IF(O255="","",IF(O255=0,"Current",IF(O255&lt;=30,"1-30",IF(O255&lt;=60,"31-60",IF(O255&lt;=90,"61-90","90+")))))</f>
        <v/>
      </c>
      <c r="Q255" s="66">
        <f>IF(T255&lt;&gt;"","⛔ "&amp;T255&amp;" — not posted",IF(U255&lt;&gt;"","⚠ "&amp;U255,IF(V255=1,"✓ OK","")))</f>
        <v/>
      </c>
      <c r="R255" s="67">
        <f>IF(AND(B255="",C255="",D255="",G255="",F255=""),1,0)</f>
        <v/>
      </c>
      <c r="S255" s="68">
        <f>IF(AND(TaxOn="Yes",ISNUMBER(H255)),H255,0)</f>
        <v/>
      </c>
      <c r="T255" s="67">
        <f>IF(R255=1,"",IF(B255="","Enter an invoice #",IF(C255="","Missing invoice date",IF(NOT(ISNUMBER(C255)),"Invalid date",IF(OR(C255&lt;DATE(2000,1,1),C255&gt;DATE(2099,12,31)),"Invalid date",IF(F255="","Select a revenue account",IF(ISNA(MATCH(F255,coa_Name,0)),"Unknown account: "&amp;F255,IF(NOT(ISNUMBER(G255)),"Enter an amount",IF(G255&lt;=0,"Amount must be positive",IF(S255&gt;G255,"Tax is larger than the amount",""))))))))))</f>
        <v/>
      </c>
      <c r="U255" s="67">
        <f>IF(OR(R255=1,T255&lt;&gt;""),"",IF(COUNTIF(ar_No,B255)&gt;1,"Duplicate invoice #",IF(D255="","Select a customer",IF(N(L255)&lt;0,"Overpaid by "&amp;TEXT(-L255,"#,##0.00"),IF(AND(ISNUMBER(H255),N(H255)&lt;&gt;0,S255=0),"Tax ignored (tax tracking is off)",IF(AND(ISNUMBER(StartDate),C255&lt;StartDate),"Date is before the accounting start date",IF(AND(IFERROR(INDEX(coa_Type,MATCH(F255,coa_Name,0)),"")&lt;&gt;"Revenue",IFERROR(INDEX(coa_Type,MATCH(F255,coa_Name,0)),"")&lt;&gt;"Other Income"),"Account is not a revenue account","")))))))</f>
        <v/>
      </c>
      <c r="V255" s="67">
        <f>IF(AND(R255=0,T255=""),1,0)</f>
        <v/>
      </c>
      <c r="W255" s="67">
        <f>IF(V255=1,acctAR,"")</f>
        <v/>
      </c>
      <c r="X255" s="67">
        <f>IF(V255=1,F255,"")</f>
        <v/>
      </c>
      <c r="Y255" s="68">
        <f>IF(V255=1,G255,0)</f>
        <v/>
      </c>
      <c r="Z255" s="68">
        <f>IF(V255=1,G255-S255,0)</f>
        <v/>
      </c>
      <c r="AA255" s="68">
        <f>IF(V255=1,S255,0)</f>
        <v/>
      </c>
    </row>
    <row r="256">
      <c r="B256" s="62" t="n"/>
      <c r="C256" s="63" t="n"/>
      <c r="D256" s="62" t="n"/>
      <c r="E256" s="62" t="n"/>
      <c r="F256" s="62" t="n"/>
      <c r="G256" s="64" t="n"/>
      <c r="H256" s="64" t="n"/>
      <c r="I256" s="63" t="n"/>
      <c r="J256" s="29">
        <f>IF(V256=1,IF(ISNUMBER(I256),I256,C256+IF(ISNUMBER(IFERROR(INDEX(cust_Terms,MATCH(D256,cust_Name,0)),"")),INDEX(cust_Terms,MATCH(D256,cust_Name,0)),TermsDays)),"")</f>
        <v/>
      </c>
      <c r="K256" s="65">
        <f>IF(V256=1,SUMIFS(tx_DrAmt,tx_Type,"Customer Payment",tx_Ref,B256&amp;"",tx_Date,"&lt;="&amp;AsOf),"")</f>
        <v/>
      </c>
      <c r="L256" s="65">
        <f>IF(V256=1,IF(C256&gt;AsOf,0,ROUND(G256-K256,2)),"")</f>
        <v/>
      </c>
      <c r="M256" s="66">
        <f>IF(V256&lt;&gt;1,"",IF(C256&gt;AsOf,"Future",IF(L256&lt;0,"Overpaid",IF(L256=0,"Paid",IF(AsOf&gt;J256,"Overdue",IF(K256&gt;0,"Partial","Unpaid"))))))</f>
        <v/>
      </c>
      <c r="N256" s="28">
        <f>IF(AND(V256=1,N(L256)&gt;0),AsOf-C256,"")</f>
        <v/>
      </c>
      <c r="O256" s="28">
        <f>IF(N256="","",MAX(0,AsOf-J256))</f>
        <v/>
      </c>
      <c r="P256" s="66">
        <f>IF(O256="","",IF(O256=0,"Current",IF(O256&lt;=30,"1-30",IF(O256&lt;=60,"31-60",IF(O256&lt;=90,"61-90","90+")))))</f>
        <v/>
      </c>
      <c r="Q256" s="66">
        <f>IF(T256&lt;&gt;"","⛔ "&amp;T256&amp;" — not posted",IF(U256&lt;&gt;"","⚠ "&amp;U256,IF(V256=1,"✓ OK","")))</f>
        <v/>
      </c>
      <c r="R256" s="67">
        <f>IF(AND(B256="",C256="",D256="",G256="",F256=""),1,0)</f>
        <v/>
      </c>
      <c r="S256" s="68">
        <f>IF(AND(TaxOn="Yes",ISNUMBER(H256)),H256,0)</f>
        <v/>
      </c>
      <c r="T256" s="67">
        <f>IF(R256=1,"",IF(B256="","Enter an invoice #",IF(C256="","Missing invoice date",IF(NOT(ISNUMBER(C256)),"Invalid date",IF(OR(C256&lt;DATE(2000,1,1),C256&gt;DATE(2099,12,31)),"Invalid date",IF(F256="","Select a revenue account",IF(ISNA(MATCH(F256,coa_Name,0)),"Unknown account: "&amp;F256,IF(NOT(ISNUMBER(G256)),"Enter an amount",IF(G256&lt;=0,"Amount must be positive",IF(S256&gt;G256,"Tax is larger than the amount",""))))))))))</f>
        <v/>
      </c>
      <c r="U256" s="67">
        <f>IF(OR(R256=1,T256&lt;&gt;""),"",IF(COUNTIF(ar_No,B256)&gt;1,"Duplicate invoice #",IF(D256="","Select a customer",IF(N(L256)&lt;0,"Overpaid by "&amp;TEXT(-L256,"#,##0.00"),IF(AND(ISNUMBER(H256),N(H256)&lt;&gt;0,S256=0),"Tax ignored (tax tracking is off)",IF(AND(ISNUMBER(StartDate),C256&lt;StartDate),"Date is before the accounting start date",IF(AND(IFERROR(INDEX(coa_Type,MATCH(F256,coa_Name,0)),"")&lt;&gt;"Revenue",IFERROR(INDEX(coa_Type,MATCH(F256,coa_Name,0)),"")&lt;&gt;"Other Income"),"Account is not a revenue account","")))))))</f>
        <v/>
      </c>
      <c r="V256" s="67">
        <f>IF(AND(R256=0,T256=""),1,0)</f>
        <v/>
      </c>
      <c r="W256" s="67">
        <f>IF(V256=1,acctAR,"")</f>
        <v/>
      </c>
      <c r="X256" s="67">
        <f>IF(V256=1,F256,"")</f>
        <v/>
      </c>
      <c r="Y256" s="68">
        <f>IF(V256=1,G256,0)</f>
        <v/>
      </c>
      <c r="Z256" s="68">
        <f>IF(V256=1,G256-S256,0)</f>
        <v/>
      </c>
      <c r="AA256" s="68">
        <f>IF(V256=1,S256,0)</f>
        <v/>
      </c>
    </row>
    <row r="257">
      <c r="B257" s="62" t="n"/>
      <c r="C257" s="63" t="n"/>
      <c r="D257" s="62" t="n"/>
      <c r="E257" s="62" t="n"/>
      <c r="F257" s="62" t="n"/>
      <c r="G257" s="64" t="n"/>
      <c r="H257" s="64" t="n"/>
      <c r="I257" s="63" t="n"/>
      <c r="J257" s="29">
        <f>IF(V257=1,IF(ISNUMBER(I257),I257,C257+IF(ISNUMBER(IFERROR(INDEX(cust_Terms,MATCH(D257,cust_Name,0)),"")),INDEX(cust_Terms,MATCH(D257,cust_Name,0)),TermsDays)),"")</f>
        <v/>
      </c>
      <c r="K257" s="65">
        <f>IF(V257=1,SUMIFS(tx_DrAmt,tx_Type,"Customer Payment",tx_Ref,B257&amp;"",tx_Date,"&lt;="&amp;AsOf),"")</f>
        <v/>
      </c>
      <c r="L257" s="65">
        <f>IF(V257=1,IF(C257&gt;AsOf,0,ROUND(G257-K257,2)),"")</f>
        <v/>
      </c>
      <c r="M257" s="66">
        <f>IF(V257&lt;&gt;1,"",IF(C257&gt;AsOf,"Future",IF(L257&lt;0,"Overpaid",IF(L257=0,"Paid",IF(AsOf&gt;J257,"Overdue",IF(K257&gt;0,"Partial","Unpaid"))))))</f>
        <v/>
      </c>
      <c r="N257" s="28">
        <f>IF(AND(V257=1,N(L257)&gt;0),AsOf-C257,"")</f>
        <v/>
      </c>
      <c r="O257" s="28">
        <f>IF(N257="","",MAX(0,AsOf-J257))</f>
        <v/>
      </c>
      <c r="P257" s="66">
        <f>IF(O257="","",IF(O257=0,"Current",IF(O257&lt;=30,"1-30",IF(O257&lt;=60,"31-60",IF(O257&lt;=90,"61-90","90+")))))</f>
        <v/>
      </c>
      <c r="Q257" s="66">
        <f>IF(T257&lt;&gt;"","⛔ "&amp;T257&amp;" — not posted",IF(U257&lt;&gt;"","⚠ "&amp;U257,IF(V257=1,"✓ OK","")))</f>
        <v/>
      </c>
      <c r="R257" s="67">
        <f>IF(AND(B257="",C257="",D257="",G257="",F257=""),1,0)</f>
        <v/>
      </c>
      <c r="S257" s="68">
        <f>IF(AND(TaxOn="Yes",ISNUMBER(H257)),H257,0)</f>
        <v/>
      </c>
      <c r="T257" s="67">
        <f>IF(R257=1,"",IF(B257="","Enter an invoice #",IF(C257="","Missing invoice date",IF(NOT(ISNUMBER(C257)),"Invalid date",IF(OR(C257&lt;DATE(2000,1,1),C257&gt;DATE(2099,12,31)),"Invalid date",IF(F257="","Select a revenue account",IF(ISNA(MATCH(F257,coa_Name,0)),"Unknown account: "&amp;F257,IF(NOT(ISNUMBER(G257)),"Enter an amount",IF(G257&lt;=0,"Amount must be positive",IF(S257&gt;G257,"Tax is larger than the amount",""))))))))))</f>
        <v/>
      </c>
      <c r="U257" s="67">
        <f>IF(OR(R257=1,T257&lt;&gt;""),"",IF(COUNTIF(ar_No,B257)&gt;1,"Duplicate invoice #",IF(D257="","Select a customer",IF(N(L257)&lt;0,"Overpaid by "&amp;TEXT(-L257,"#,##0.00"),IF(AND(ISNUMBER(H257),N(H257)&lt;&gt;0,S257=0),"Tax ignored (tax tracking is off)",IF(AND(ISNUMBER(StartDate),C257&lt;StartDate),"Date is before the accounting start date",IF(AND(IFERROR(INDEX(coa_Type,MATCH(F257,coa_Name,0)),"")&lt;&gt;"Revenue",IFERROR(INDEX(coa_Type,MATCH(F257,coa_Name,0)),"")&lt;&gt;"Other Income"),"Account is not a revenue account","")))))))</f>
        <v/>
      </c>
      <c r="V257" s="67">
        <f>IF(AND(R257=0,T257=""),1,0)</f>
        <v/>
      </c>
      <c r="W257" s="67">
        <f>IF(V257=1,acctAR,"")</f>
        <v/>
      </c>
      <c r="X257" s="67">
        <f>IF(V257=1,F257,"")</f>
        <v/>
      </c>
      <c r="Y257" s="68">
        <f>IF(V257=1,G257,0)</f>
        <v/>
      </c>
      <c r="Z257" s="68">
        <f>IF(V257=1,G257-S257,0)</f>
        <v/>
      </c>
      <c r="AA257" s="68">
        <f>IF(V257=1,S257,0)</f>
        <v/>
      </c>
    </row>
    <row r="258">
      <c r="B258" s="62" t="n"/>
      <c r="C258" s="63" t="n"/>
      <c r="D258" s="62" t="n"/>
      <c r="E258" s="62" t="n"/>
      <c r="F258" s="62" t="n"/>
      <c r="G258" s="64" t="n"/>
      <c r="H258" s="64" t="n"/>
      <c r="I258" s="63" t="n"/>
      <c r="J258" s="29">
        <f>IF(V258=1,IF(ISNUMBER(I258),I258,C258+IF(ISNUMBER(IFERROR(INDEX(cust_Terms,MATCH(D258,cust_Name,0)),"")),INDEX(cust_Terms,MATCH(D258,cust_Name,0)),TermsDays)),"")</f>
        <v/>
      </c>
      <c r="K258" s="65">
        <f>IF(V258=1,SUMIFS(tx_DrAmt,tx_Type,"Customer Payment",tx_Ref,B258&amp;"",tx_Date,"&lt;="&amp;AsOf),"")</f>
        <v/>
      </c>
      <c r="L258" s="65">
        <f>IF(V258=1,IF(C258&gt;AsOf,0,ROUND(G258-K258,2)),"")</f>
        <v/>
      </c>
      <c r="M258" s="66">
        <f>IF(V258&lt;&gt;1,"",IF(C258&gt;AsOf,"Future",IF(L258&lt;0,"Overpaid",IF(L258=0,"Paid",IF(AsOf&gt;J258,"Overdue",IF(K258&gt;0,"Partial","Unpaid"))))))</f>
        <v/>
      </c>
      <c r="N258" s="28">
        <f>IF(AND(V258=1,N(L258)&gt;0),AsOf-C258,"")</f>
        <v/>
      </c>
      <c r="O258" s="28">
        <f>IF(N258="","",MAX(0,AsOf-J258))</f>
        <v/>
      </c>
      <c r="P258" s="66">
        <f>IF(O258="","",IF(O258=0,"Current",IF(O258&lt;=30,"1-30",IF(O258&lt;=60,"31-60",IF(O258&lt;=90,"61-90","90+")))))</f>
        <v/>
      </c>
      <c r="Q258" s="66">
        <f>IF(T258&lt;&gt;"","⛔ "&amp;T258&amp;" — not posted",IF(U258&lt;&gt;"","⚠ "&amp;U258,IF(V258=1,"✓ OK","")))</f>
        <v/>
      </c>
      <c r="R258" s="67">
        <f>IF(AND(B258="",C258="",D258="",G258="",F258=""),1,0)</f>
        <v/>
      </c>
      <c r="S258" s="68">
        <f>IF(AND(TaxOn="Yes",ISNUMBER(H258)),H258,0)</f>
        <v/>
      </c>
      <c r="T258" s="67">
        <f>IF(R258=1,"",IF(B258="","Enter an invoice #",IF(C258="","Missing invoice date",IF(NOT(ISNUMBER(C258)),"Invalid date",IF(OR(C258&lt;DATE(2000,1,1),C258&gt;DATE(2099,12,31)),"Invalid date",IF(F258="","Select a revenue account",IF(ISNA(MATCH(F258,coa_Name,0)),"Unknown account: "&amp;F258,IF(NOT(ISNUMBER(G258)),"Enter an amount",IF(G258&lt;=0,"Amount must be positive",IF(S258&gt;G258,"Tax is larger than the amount",""))))))))))</f>
        <v/>
      </c>
      <c r="U258" s="67">
        <f>IF(OR(R258=1,T258&lt;&gt;""),"",IF(COUNTIF(ar_No,B258)&gt;1,"Duplicate invoice #",IF(D258="","Select a customer",IF(N(L258)&lt;0,"Overpaid by "&amp;TEXT(-L258,"#,##0.00"),IF(AND(ISNUMBER(H258),N(H258)&lt;&gt;0,S258=0),"Tax ignored (tax tracking is off)",IF(AND(ISNUMBER(StartDate),C258&lt;StartDate),"Date is before the accounting start date",IF(AND(IFERROR(INDEX(coa_Type,MATCH(F258,coa_Name,0)),"")&lt;&gt;"Revenue",IFERROR(INDEX(coa_Type,MATCH(F258,coa_Name,0)),"")&lt;&gt;"Other Income"),"Account is not a revenue account","")))))))</f>
        <v/>
      </c>
      <c r="V258" s="67">
        <f>IF(AND(R258=0,T258=""),1,0)</f>
        <v/>
      </c>
      <c r="W258" s="67">
        <f>IF(V258=1,acctAR,"")</f>
        <v/>
      </c>
      <c r="X258" s="67">
        <f>IF(V258=1,F258,"")</f>
        <v/>
      </c>
      <c r="Y258" s="68">
        <f>IF(V258=1,G258,0)</f>
        <v/>
      </c>
      <c r="Z258" s="68">
        <f>IF(V258=1,G258-S258,0)</f>
        <v/>
      </c>
      <c r="AA258" s="68">
        <f>IF(V258=1,S258,0)</f>
        <v/>
      </c>
    </row>
    <row r="259">
      <c r="B259" s="62" t="n"/>
      <c r="C259" s="63" t="n"/>
      <c r="D259" s="62" t="n"/>
      <c r="E259" s="62" t="n"/>
      <c r="F259" s="62" t="n"/>
      <c r="G259" s="64" t="n"/>
      <c r="H259" s="64" t="n"/>
      <c r="I259" s="63" t="n"/>
      <c r="J259" s="29">
        <f>IF(V259=1,IF(ISNUMBER(I259),I259,C259+IF(ISNUMBER(IFERROR(INDEX(cust_Terms,MATCH(D259,cust_Name,0)),"")),INDEX(cust_Terms,MATCH(D259,cust_Name,0)),TermsDays)),"")</f>
        <v/>
      </c>
      <c r="K259" s="65">
        <f>IF(V259=1,SUMIFS(tx_DrAmt,tx_Type,"Customer Payment",tx_Ref,B259&amp;"",tx_Date,"&lt;="&amp;AsOf),"")</f>
        <v/>
      </c>
      <c r="L259" s="65">
        <f>IF(V259=1,IF(C259&gt;AsOf,0,ROUND(G259-K259,2)),"")</f>
        <v/>
      </c>
      <c r="M259" s="66">
        <f>IF(V259&lt;&gt;1,"",IF(C259&gt;AsOf,"Future",IF(L259&lt;0,"Overpaid",IF(L259=0,"Paid",IF(AsOf&gt;J259,"Overdue",IF(K259&gt;0,"Partial","Unpaid"))))))</f>
        <v/>
      </c>
      <c r="N259" s="28">
        <f>IF(AND(V259=1,N(L259)&gt;0),AsOf-C259,"")</f>
        <v/>
      </c>
      <c r="O259" s="28">
        <f>IF(N259="","",MAX(0,AsOf-J259))</f>
        <v/>
      </c>
      <c r="P259" s="66">
        <f>IF(O259="","",IF(O259=0,"Current",IF(O259&lt;=30,"1-30",IF(O259&lt;=60,"31-60",IF(O259&lt;=90,"61-90","90+")))))</f>
        <v/>
      </c>
      <c r="Q259" s="66">
        <f>IF(T259&lt;&gt;"","⛔ "&amp;T259&amp;" — not posted",IF(U259&lt;&gt;"","⚠ "&amp;U259,IF(V259=1,"✓ OK","")))</f>
        <v/>
      </c>
      <c r="R259" s="67">
        <f>IF(AND(B259="",C259="",D259="",G259="",F259=""),1,0)</f>
        <v/>
      </c>
      <c r="S259" s="68">
        <f>IF(AND(TaxOn="Yes",ISNUMBER(H259)),H259,0)</f>
        <v/>
      </c>
      <c r="T259" s="67">
        <f>IF(R259=1,"",IF(B259="","Enter an invoice #",IF(C259="","Missing invoice date",IF(NOT(ISNUMBER(C259)),"Invalid date",IF(OR(C259&lt;DATE(2000,1,1),C259&gt;DATE(2099,12,31)),"Invalid date",IF(F259="","Select a revenue account",IF(ISNA(MATCH(F259,coa_Name,0)),"Unknown account: "&amp;F259,IF(NOT(ISNUMBER(G259)),"Enter an amount",IF(G259&lt;=0,"Amount must be positive",IF(S259&gt;G259,"Tax is larger than the amount",""))))))))))</f>
        <v/>
      </c>
      <c r="U259" s="67">
        <f>IF(OR(R259=1,T259&lt;&gt;""),"",IF(COUNTIF(ar_No,B259)&gt;1,"Duplicate invoice #",IF(D259="","Select a customer",IF(N(L259)&lt;0,"Overpaid by "&amp;TEXT(-L259,"#,##0.00"),IF(AND(ISNUMBER(H259),N(H259)&lt;&gt;0,S259=0),"Tax ignored (tax tracking is off)",IF(AND(ISNUMBER(StartDate),C259&lt;StartDate),"Date is before the accounting start date",IF(AND(IFERROR(INDEX(coa_Type,MATCH(F259,coa_Name,0)),"")&lt;&gt;"Revenue",IFERROR(INDEX(coa_Type,MATCH(F259,coa_Name,0)),"")&lt;&gt;"Other Income"),"Account is not a revenue account","")))))))</f>
        <v/>
      </c>
      <c r="V259" s="67">
        <f>IF(AND(R259=0,T259=""),1,0)</f>
        <v/>
      </c>
      <c r="W259" s="67">
        <f>IF(V259=1,acctAR,"")</f>
        <v/>
      </c>
      <c r="X259" s="67">
        <f>IF(V259=1,F259,"")</f>
        <v/>
      </c>
      <c r="Y259" s="68">
        <f>IF(V259=1,G259,0)</f>
        <v/>
      </c>
      <c r="Z259" s="68">
        <f>IF(V259=1,G259-S259,0)</f>
        <v/>
      </c>
      <c r="AA259" s="68">
        <f>IF(V259=1,S259,0)</f>
        <v/>
      </c>
    </row>
    <row r="260">
      <c r="B260" s="62" t="n"/>
      <c r="C260" s="63" t="n"/>
      <c r="D260" s="62" t="n"/>
      <c r="E260" s="62" t="n"/>
      <c r="F260" s="62" t="n"/>
      <c r="G260" s="64" t="n"/>
      <c r="H260" s="64" t="n"/>
      <c r="I260" s="63" t="n"/>
      <c r="J260" s="29">
        <f>IF(V260=1,IF(ISNUMBER(I260),I260,C260+IF(ISNUMBER(IFERROR(INDEX(cust_Terms,MATCH(D260,cust_Name,0)),"")),INDEX(cust_Terms,MATCH(D260,cust_Name,0)),TermsDays)),"")</f>
        <v/>
      </c>
      <c r="K260" s="65">
        <f>IF(V260=1,SUMIFS(tx_DrAmt,tx_Type,"Customer Payment",tx_Ref,B260&amp;"",tx_Date,"&lt;="&amp;AsOf),"")</f>
        <v/>
      </c>
      <c r="L260" s="65">
        <f>IF(V260=1,IF(C260&gt;AsOf,0,ROUND(G260-K260,2)),"")</f>
        <v/>
      </c>
      <c r="M260" s="66">
        <f>IF(V260&lt;&gt;1,"",IF(C260&gt;AsOf,"Future",IF(L260&lt;0,"Overpaid",IF(L260=0,"Paid",IF(AsOf&gt;J260,"Overdue",IF(K260&gt;0,"Partial","Unpaid"))))))</f>
        <v/>
      </c>
      <c r="N260" s="28">
        <f>IF(AND(V260=1,N(L260)&gt;0),AsOf-C260,"")</f>
        <v/>
      </c>
      <c r="O260" s="28">
        <f>IF(N260="","",MAX(0,AsOf-J260))</f>
        <v/>
      </c>
      <c r="P260" s="66">
        <f>IF(O260="","",IF(O260=0,"Current",IF(O260&lt;=30,"1-30",IF(O260&lt;=60,"31-60",IF(O260&lt;=90,"61-90","90+")))))</f>
        <v/>
      </c>
      <c r="Q260" s="66">
        <f>IF(T260&lt;&gt;"","⛔ "&amp;T260&amp;" — not posted",IF(U260&lt;&gt;"","⚠ "&amp;U260,IF(V260=1,"✓ OK","")))</f>
        <v/>
      </c>
      <c r="R260" s="67">
        <f>IF(AND(B260="",C260="",D260="",G260="",F260=""),1,0)</f>
        <v/>
      </c>
      <c r="S260" s="68">
        <f>IF(AND(TaxOn="Yes",ISNUMBER(H260)),H260,0)</f>
        <v/>
      </c>
      <c r="T260" s="67">
        <f>IF(R260=1,"",IF(B260="","Enter an invoice #",IF(C260="","Missing invoice date",IF(NOT(ISNUMBER(C260)),"Invalid date",IF(OR(C260&lt;DATE(2000,1,1),C260&gt;DATE(2099,12,31)),"Invalid date",IF(F260="","Select a revenue account",IF(ISNA(MATCH(F260,coa_Name,0)),"Unknown account: "&amp;F260,IF(NOT(ISNUMBER(G260)),"Enter an amount",IF(G260&lt;=0,"Amount must be positive",IF(S260&gt;G260,"Tax is larger than the amount",""))))))))))</f>
        <v/>
      </c>
      <c r="U260" s="67">
        <f>IF(OR(R260=1,T260&lt;&gt;""),"",IF(COUNTIF(ar_No,B260)&gt;1,"Duplicate invoice #",IF(D260="","Select a customer",IF(N(L260)&lt;0,"Overpaid by "&amp;TEXT(-L260,"#,##0.00"),IF(AND(ISNUMBER(H260),N(H260)&lt;&gt;0,S260=0),"Tax ignored (tax tracking is off)",IF(AND(ISNUMBER(StartDate),C260&lt;StartDate),"Date is before the accounting start date",IF(AND(IFERROR(INDEX(coa_Type,MATCH(F260,coa_Name,0)),"")&lt;&gt;"Revenue",IFERROR(INDEX(coa_Type,MATCH(F260,coa_Name,0)),"")&lt;&gt;"Other Income"),"Account is not a revenue account","")))))))</f>
        <v/>
      </c>
      <c r="V260" s="67">
        <f>IF(AND(R260=0,T260=""),1,0)</f>
        <v/>
      </c>
      <c r="W260" s="67">
        <f>IF(V260=1,acctAR,"")</f>
        <v/>
      </c>
      <c r="X260" s="67">
        <f>IF(V260=1,F260,"")</f>
        <v/>
      </c>
      <c r="Y260" s="68">
        <f>IF(V260=1,G260,0)</f>
        <v/>
      </c>
      <c r="Z260" s="68">
        <f>IF(V260=1,G260-S260,0)</f>
        <v/>
      </c>
      <c r="AA260" s="68">
        <f>IF(V260=1,S260,0)</f>
        <v/>
      </c>
    </row>
    <row r="261">
      <c r="B261" s="62" t="n"/>
      <c r="C261" s="63" t="n"/>
      <c r="D261" s="62" t="n"/>
      <c r="E261" s="62" t="n"/>
      <c r="F261" s="62" t="n"/>
      <c r="G261" s="64" t="n"/>
      <c r="H261" s="64" t="n"/>
      <c r="I261" s="63" t="n"/>
      <c r="J261" s="29">
        <f>IF(V261=1,IF(ISNUMBER(I261),I261,C261+IF(ISNUMBER(IFERROR(INDEX(cust_Terms,MATCH(D261,cust_Name,0)),"")),INDEX(cust_Terms,MATCH(D261,cust_Name,0)),TermsDays)),"")</f>
        <v/>
      </c>
      <c r="K261" s="65">
        <f>IF(V261=1,SUMIFS(tx_DrAmt,tx_Type,"Customer Payment",tx_Ref,B261&amp;"",tx_Date,"&lt;="&amp;AsOf),"")</f>
        <v/>
      </c>
      <c r="L261" s="65">
        <f>IF(V261=1,IF(C261&gt;AsOf,0,ROUND(G261-K261,2)),"")</f>
        <v/>
      </c>
      <c r="M261" s="66">
        <f>IF(V261&lt;&gt;1,"",IF(C261&gt;AsOf,"Future",IF(L261&lt;0,"Overpaid",IF(L261=0,"Paid",IF(AsOf&gt;J261,"Overdue",IF(K261&gt;0,"Partial","Unpaid"))))))</f>
        <v/>
      </c>
      <c r="N261" s="28">
        <f>IF(AND(V261=1,N(L261)&gt;0),AsOf-C261,"")</f>
        <v/>
      </c>
      <c r="O261" s="28">
        <f>IF(N261="","",MAX(0,AsOf-J261))</f>
        <v/>
      </c>
      <c r="P261" s="66">
        <f>IF(O261="","",IF(O261=0,"Current",IF(O261&lt;=30,"1-30",IF(O261&lt;=60,"31-60",IF(O261&lt;=90,"61-90","90+")))))</f>
        <v/>
      </c>
      <c r="Q261" s="66">
        <f>IF(T261&lt;&gt;"","⛔ "&amp;T261&amp;" — not posted",IF(U261&lt;&gt;"","⚠ "&amp;U261,IF(V261=1,"✓ OK","")))</f>
        <v/>
      </c>
      <c r="R261" s="67">
        <f>IF(AND(B261="",C261="",D261="",G261="",F261=""),1,0)</f>
        <v/>
      </c>
      <c r="S261" s="68">
        <f>IF(AND(TaxOn="Yes",ISNUMBER(H261)),H261,0)</f>
        <v/>
      </c>
      <c r="T261" s="67">
        <f>IF(R261=1,"",IF(B261="","Enter an invoice #",IF(C261="","Missing invoice date",IF(NOT(ISNUMBER(C261)),"Invalid date",IF(OR(C261&lt;DATE(2000,1,1),C261&gt;DATE(2099,12,31)),"Invalid date",IF(F261="","Select a revenue account",IF(ISNA(MATCH(F261,coa_Name,0)),"Unknown account: "&amp;F261,IF(NOT(ISNUMBER(G261)),"Enter an amount",IF(G261&lt;=0,"Amount must be positive",IF(S261&gt;G261,"Tax is larger than the amount",""))))))))))</f>
        <v/>
      </c>
      <c r="U261" s="67">
        <f>IF(OR(R261=1,T261&lt;&gt;""),"",IF(COUNTIF(ar_No,B261)&gt;1,"Duplicate invoice #",IF(D261="","Select a customer",IF(N(L261)&lt;0,"Overpaid by "&amp;TEXT(-L261,"#,##0.00"),IF(AND(ISNUMBER(H261),N(H261)&lt;&gt;0,S261=0),"Tax ignored (tax tracking is off)",IF(AND(ISNUMBER(StartDate),C261&lt;StartDate),"Date is before the accounting start date",IF(AND(IFERROR(INDEX(coa_Type,MATCH(F261,coa_Name,0)),"")&lt;&gt;"Revenue",IFERROR(INDEX(coa_Type,MATCH(F261,coa_Name,0)),"")&lt;&gt;"Other Income"),"Account is not a revenue account","")))))))</f>
        <v/>
      </c>
      <c r="V261" s="67">
        <f>IF(AND(R261=0,T261=""),1,0)</f>
        <v/>
      </c>
      <c r="W261" s="67">
        <f>IF(V261=1,acctAR,"")</f>
        <v/>
      </c>
      <c r="X261" s="67">
        <f>IF(V261=1,F261,"")</f>
        <v/>
      </c>
      <c r="Y261" s="68">
        <f>IF(V261=1,G261,0)</f>
        <v/>
      </c>
      <c r="Z261" s="68">
        <f>IF(V261=1,G261-S261,0)</f>
        <v/>
      </c>
      <c r="AA261" s="68">
        <f>IF(V261=1,S261,0)</f>
        <v/>
      </c>
    </row>
    <row r="262">
      <c r="B262" s="62" t="n"/>
      <c r="C262" s="63" t="n"/>
      <c r="D262" s="62" t="n"/>
      <c r="E262" s="62" t="n"/>
      <c r="F262" s="62" t="n"/>
      <c r="G262" s="64" t="n"/>
      <c r="H262" s="64" t="n"/>
      <c r="I262" s="63" t="n"/>
      <c r="J262" s="29">
        <f>IF(V262=1,IF(ISNUMBER(I262),I262,C262+IF(ISNUMBER(IFERROR(INDEX(cust_Terms,MATCH(D262,cust_Name,0)),"")),INDEX(cust_Terms,MATCH(D262,cust_Name,0)),TermsDays)),"")</f>
        <v/>
      </c>
      <c r="K262" s="65">
        <f>IF(V262=1,SUMIFS(tx_DrAmt,tx_Type,"Customer Payment",tx_Ref,B262&amp;"",tx_Date,"&lt;="&amp;AsOf),"")</f>
        <v/>
      </c>
      <c r="L262" s="65">
        <f>IF(V262=1,IF(C262&gt;AsOf,0,ROUND(G262-K262,2)),"")</f>
        <v/>
      </c>
      <c r="M262" s="66">
        <f>IF(V262&lt;&gt;1,"",IF(C262&gt;AsOf,"Future",IF(L262&lt;0,"Overpaid",IF(L262=0,"Paid",IF(AsOf&gt;J262,"Overdue",IF(K262&gt;0,"Partial","Unpaid"))))))</f>
        <v/>
      </c>
      <c r="N262" s="28">
        <f>IF(AND(V262=1,N(L262)&gt;0),AsOf-C262,"")</f>
        <v/>
      </c>
      <c r="O262" s="28">
        <f>IF(N262="","",MAX(0,AsOf-J262))</f>
        <v/>
      </c>
      <c r="P262" s="66">
        <f>IF(O262="","",IF(O262=0,"Current",IF(O262&lt;=30,"1-30",IF(O262&lt;=60,"31-60",IF(O262&lt;=90,"61-90","90+")))))</f>
        <v/>
      </c>
      <c r="Q262" s="66">
        <f>IF(T262&lt;&gt;"","⛔ "&amp;T262&amp;" — not posted",IF(U262&lt;&gt;"","⚠ "&amp;U262,IF(V262=1,"✓ OK","")))</f>
        <v/>
      </c>
      <c r="R262" s="67">
        <f>IF(AND(B262="",C262="",D262="",G262="",F262=""),1,0)</f>
        <v/>
      </c>
      <c r="S262" s="68">
        <f>IF(AND(TaxOn="Yes",ISNUMBER(H262)),H262,0)</f>
        <v/>
      </c>
      <c r="T262" s="67">
        <f>IF(R262=1,"",IF(B262="","Enter an invoice #",IF(C262="","Missing invoice date",IF(NOT(ISNUMBER(C262)),"Invalid date",IF(OR(C262&lt;DATE(2000,1,1),C262&gt;DATE(2099,12,31)),"Invalid date",IF(F262="","Select a revenue account",IF(ISNA(MATCH(F262,coa_Name,0)),"Unknown account: "&amp;F262,IF(NOT(ISNUMBER(G262)),"Enter an amount",IF(G262&lt;=0,"Amount must be positive",IF(S262&gt;G262,"Tax is larger than the amount",""))))))))))</f>
        <v/>
      </c>
      <c r="U262" s="67">
        <f>IF(OR(R262=1,T262&lt;&gt;""),"",IF(COUNTIF(ar_No,B262)&gt;1,"Duplicate invoice #",IF(D262="","Select a customer",IF(N(L262)&lt;0,"Overpaid by "&amp;TEXT(-L262,"#,##0.00"),IF(AND(ISNUMBER(H262),N(H262)&lt;&gt;0,S262=0),"Tax ignored (tax tracking is off)",IF(AND(ISNUMBER(StartDate),C262&lt;StartDate),"Date is before the accounting start date",IF(AND(IFERROR(INDEX(coa_Type,MATCH(F262,coa_Name,0)),"")&lt;&gt;"Revenue",IFERROR(INDEX(coa_Type,MATCH(F262,coa_Name,0)),"")&lt;&gt;"Other Income"),"Account is not a revenue account","")))))))</f>
        <v/>
      </c>
      <c r="V262" s="67">
        <f>IF(AND(R262=0,T262=""),1,0)</f>
        <v/>
      </c>
      <c r="W262" s="67">
        <f>IF(V262=1,acctAR,"")</f>
        <v/>
      </c>
      <c r="X262" s="67">
        <f>IF(V262=1,F262,"")</f>
        <v/>
      </c>
      <c r="Y262" s="68">
        <f>IF(V262=1,G262,0)</f>
        <v/>
      </c>
      <c r="Z262" s="68">
        <f>IF(V262=1,G262-S262,0)</f>
        <v/>
      </c>
      <c r="AA262" s="68">
        <f>IF(V262=1,S262,0)</f>
        <v/>
      </c>
    </row>
    <row r="263">
      <c r="B263" s="62" t="n"/>
      <c r="C263" s="63" t="n"/>
      <c r="D263" s="62" t="n"/>
      <c r="E263" s="62" t="n"/>
      <c r="F263" s="62" t="n"/>
      <c r="G263" s="64" t="n"/>
      <c r="H263" s="64" t="n"/>
      <c r="I263" s="63" t="n"/>
      <c r="J263" s="29">
        <f>IF(V263=1,IF(ISNUMBER(I263),I263,C263+IF(ISNUMBER(IFERROR(INDEX(cust_Terms,MATCH(D263,cust_Name,0)),"")),INDEX(cust_Terms,MATCH(D263,cust_Name,0)),TermsDays)),"")</f>
        <v/>
      </c>
      <c r="K263" s="65">
        <f>IF(V263=1,SUMIFS(tx_DrAmt,tx_Type,"Customer Payment",tx_Ref,B263&amp;"",tx_Date,"&lt;="&amp;AsOf),"")</f>
        <v/>
      </c>
      <c r="L263" s="65">
        <f>IF(V263=1,IF(C263&gt;AsOf,0,ROUND(G263-K263,2)),"")</f>
        <v/>
      </c>
      <c r="M263" s="66">
        <f>IF(V263&lt;&gt;1,"",IF(C263&gt;AsOf,"Future",IF(L263&lt;0,"Overpaid",IF(L263=0,"Paid",IF(AsOf&gt;J263,"Overdue",IF(K263&gt;0,"Partial","Unpaid"))))))</f>
        <v/>
      </c>
      <c r="N263" s="28">
        <f>IF(AND(V263=1,N(L263)&gt;0),AsOf-C263,"")</f>
        <v/>
      </c>
      <c r="O263" s="28">
        <f>IF(N263="","",MAX(0,AsOf-J263))</f>
        <v/>
      </c>
      <c r="P263" s="66">
        <f>IF(O263="","",IF(O263=0,"Current",IF(O263&lt;=30,"1-30",IF(O263&lt;=60,"31-60",IF(O263&lt;=90,"61-90","90+")))))</f>
        <v/>
      </c>
      <c r="Q263" s="66">
        <f>IF(T263&lt;&gt;"","⛔ "&amp;T263&amp;" — not posted",IF(U263&lt;&gt;"","⚠ "&amp;U263,IF(V263=1,"✓ OK","")))</f>
        <v/>
      </c>
      <c r="R263" s="67">
        <f>IF(AND(B263="",C263="",D263="",G263="",F263=""),1,0)</f>
        <v/>
      </c>
      <c r="S263" s="68">
        <f>IF(AND(TaxOn="Yes",ISNUMBER(H263)),H263,0)</f>
        <v/>
      </c>
      <c r="T263" s="67">
        <f>IF(R263=1,"",IF(B263="","Enter an invoice #",IF(C263="","Missing invoice date",IF(NOT(ISNUMBER(C263)),"Invalid date",IF(OR(C263&lt;DATE(2000,1,1),C263&gt;DATE(2099,12,31)),"Invalid date",IF(F263="","Select a revenue account",IF(ISNA(MATCH(F263,coa_Name,0)),"Unknown account: "&amp;F263,IF(NOT(ISNUMBER(G263)),"Enter an amount",IF(G263&lt;=0,"Amount must be positive",IF(S263&gt;G263,"Tax is larger than the amount",""))))))))))</f>
        <v/>
      </c>
      <c r="U263" s="67">
        <f>IF(OR(R263=1,T263&lt;&gt;""),"",IF(COUNTIF(ar_No,B263)&gt;1,"Duplicate invoice #",IF(D263="","Select a customer",IF(N(L263)&lt;0,"Overpaid by "&amp;TEXT(-L263,"#,##0.00"),IF(AND(ISNUMBER(H263),N(H263)&lt;&gt;0,S263=0),"Tax ignored (tax tracking is off)",IF(AND(ISNUMBER(StartDate),C263&lt;StartDate),"Date is before the accounting start date",IF(AND(IFERROR(INDEX(coa_Type,MATCH(F263,coa_Name,0)),"")&lt;&gt;"Revenue",IFERROR(INDEX(coa_Type,MATCH(F263,coa_Name,0)),"")&lt;&gt;"Other Income"),"Account is not a revenue account","")))))))</f>
        <v/>
      </c>
      <c r="V263" s="67">
        <f>IF(AND(R263=0,T263=""),1,0)</f>
        <v/>
      </c>
      <c r="W263" s="67">
        <f>IF(V263=1,acctAR,"")</f>
        <v/>
      </c>
      <c r="X263" s="67">
        <f>IF(V263=1,F263,"")</f>
        <v/>
      </c>
      <c r="Y263" s="68">
        <f>IF(V263=1,G263,0)</f>
        <v/>
      </c>
      <c r="Z263" s="68">
        <f>IF(V263=1,G263-S263,0)</f>
        <v/>
      </c>
      <c r="AA263" s="68">
        <f>IF(V263=1,S263,0)</f>
        <v/>
      </c>
    </row>
    <row r="264">
      <c r="B264" s="62" t="n"/>
      <c r="C264" s="63" t="n"/>
      <c r="D264" s="62" t="n"/>
      <c r="E264" s="62" t="n"/>
      <c r="F264" s="62" t="n"/>
      <c r="G264" s="64" t="n"/>
      <c r="H264" s="64" t="n"/>
      <c r="I264" s="63" t="n"/>
      <c r="J264" s="29">
        <f>IF(V264=1,IF(ISNUMBER(I264),I264,C264+IF(ISNUMBER(IFERROR(INDEX(cust_Terms,MATCH(D264,cust_Name,0)),"")),INDEX(cust_Terms,MATCH(D264,cust_Name,0)),TermsDays)),"")</f>
        <v/>
      </c>
      <c r="K264" s="65">
        <f>IF(V264=1,SUMIFS(tx_DrAmt,tx_Type,"Customer Payment",tx_Ref,B264&amp;"",tx_Date,"&lt;="&amp;AsOf),"")</f>
        <v/>
      </c>
      <c r="L264" s="65">
        <f>IF(V264=1,IF(C264&gt;AsOf,0,ROUND(G264-K264,2)),"")</f>
        <v/>
      </c>
      <c r="M264" s="66">
        <f>IF(V264&lt;&gt;1,"",IF(C264&gt;AsOf,"Future",IF(L264&lt;0,"Overpaid",IF(L264=0,"Paid",IF(AsOf&gt;J264,"Overdue",IF(K264&gt;0,"Partial","Unpaid"))))))</f>
        <v/>
      </c>
      <c r="N264" s="28">
        <f>IF(AND(V264=1,N(L264)&gt;0),AsOf-C264,"")</f>
        <v/>
      </c>
      <c r="O264" s="28">
        <f>IF(N264="","",MAX(0,AsOf-J264))</f>
        <v/>
      </c>
      <c r="P264" s="66">
        <f>IF(O264="","",IF(O264=0,"Current",IF(O264&lt;=30,"1-30",IF(O264&lt;=60,"31-60",IF(O264&lt;=90,"61-90","90+")))))</f>
        <v/>
      </c>
      <c r="Q264" s="66">
        <f>IF(T264&lt;&gt;"","⛔ "&amp;T264&amp;" — not posted",IF(U264&lt;&gt;"","⚠ "&amp;U264,IF(V264=1,"✓ OK","")))</f>
        <v/>
      </c>
      <c r="R264" s="67">
        <f>IF(AND(B264="",C264="",D264="",G264="",F264=""),1,0)</f>
        <v/>
      </c>
      <c r="S264" s="68">
        <f>IF(AND(TaxOn="Yes",ISNUMBER(H264)),H264,0)</f>
        <v/>
      </c>
      <c r="T264" s="67">
        <f>IF(R264=1,"",IF(B264="","Enter an invoice #",IF(C264="","Missing invoice date",IF(NOT(ISNUMBER(C264)),"Invalid date",IF(OR(C264&lt;DATE(2000,1,1),C264&gt;DATE(2099,12,31)),"Invalid date",IF(F264="","Select a revenue account",IF(ISNA(MATCH(F264,coa_Name,0)),"Unknown account: "&amp;F264,IF(NOT(ISNUMBER(G264)),"Enter an amount",IF(G264&lt;=0,"Amount must be positive",IF(S264&gt;G264,"Tax is larger than the amount",""))))))))))</f>
        <v/>
      </c>
      <c r="U264" s="67">
        <f>IF(OR(R264=1,T264&lt;&gt;""),"",IF(COUNTIF(ar_No,B264)&gt;1,"Duplicate invoice #",IF(D264="","Select a customer",IF(N(L264)&lt;0,"Overpaid by "&amp;TEXT(-L264,"#,##0.00"),IF(AND(ISNUMBER(H264),N(H264)&lt;&gt;0,S264=0),"Tax ignored (tax tracking is off)",IF(AND(ISNUMBER(StartDate),C264&lt;StartDate),"Date is before the accounting start date",IF(AND(IFERROR(INDEX(coa_Type,MATCH(F264,coa_Name,0)),"")&lt;&gt;"Revenue",IFERROR(INDEX(coa_Type,MATCH(F264,coa_Name,0)),"")&lt;&gt;"Other Income"),"Account is not a revenue account","")))))))</f>
        <v/>
      </c>
      <c r="V264" s="67">
        <f>IF(AND(R264=0,T264=""),1,0)</f>
        <v/>
      </c>
      <c r="W264" s="67">
        <f>IF(V264=1,acctAR,"")</f>
        <v/>
      </c>
      <c r="X264" s="67">
        <f>IF(V264=1,F264,"")</f>
        <v/>
      </c>
      <c r="Y264" s="68">
        <f>IF(V264=1,G264,0)</f>
        <v/>
      </c>
      <c r="Z264" s="68">
        <f>IF(V264=1,G264-S264,0)</f>
        <v/>
      </c>
      <c r="AA264" s="68">
        <f>IF(V264=1,S264,0)</f>
        <v/>
      </c>
    </row>
    <row r="265">
      <c r="B265" s="62" t="n"/>
      <c r="C265" s="63" t="n"/>
      <c r="D265" s="62" t="n"/>
      <c r="E265" s="62" t="n"/>
      <c r="F265" s="62" t="n"/>
      <c r="G265" s="64" t="n"/>
      <c r="H265" s="64" t="n"/>
      <c r="I265" s="63" t="n"/>
      <c r="J265" s="29">
        <f>IF(V265=1,IF(ISNUMBER(I265),I265,C265+IF(ISNUMBER(IFERROR(INDEX(cust_Terms,MATCH(D265,cust_Name,0)),"")),INDEX(cust_Terms,MATCH(D265,cust_Name,0)),TermsDays)),"")</f>
        <v/>
      </c>
      <c r="K265" s="65">
        <f>IF(V265=1,SUMIFS(tx_DrAmt,tx_Type,"Customer Payment",tx_Ref,B265&amp;"",tx_Date,"&lt;="&amp;AsOf),"")</f>
        <v/>
      </c>
      <c r="L265" s="65">
        <f>IF(V265=1,IF(C265&gt;AsOf,0,ROUND(G265-K265,2)),"")</f>
        <v/>
      </c>
      <c r="M265" s="66">
        <f>IF(V265&lt;&gt;1,"",IF(C265&gt;AsOf,"Future",IF(L265&lt;0,"Overpaid",IF(L265=0,"Paid",IF(AsOf&gt;J265,"Overdue",IF(K265&gt;0,"Partial","Unpaid"))))))</f>
        <v/>
      </c>
      <c r="N265" s="28">
        <f>IF(AND(V265=1,N(L265)&gt;0),AsOf-C265,"")</f>
        <v/>
      </c>
      <c r="O265" s="28">
        <f>IF(N265="","",MAX(0,AsOf-J265))</f>
        <v/>
      </c>
      <c r="P265" s="66">
        <f>IF(O265="","",IF(O265=0,"Current",IF(O265&lt;=30,"1-30",IF(O265&lt;=60,"31-60",IF(O265&lt;=90,"61-90","90+")))))</f>
        <v/>
      </c>
      <c r="Q265" s="66">
        <f>IF(T265&lt;&gt;"","⛔ "&amp;T265&amp;" — not posted",IF(U265&lt;&gt;"","⚠ "&amp;U265,IF(V265=1,"✓ OK","")))</f>
        <v/>
      </c>
      <c r="R265" s="67">
        <f>IF(AND(B265="",C265="",D265="",G265="",F265=""),1,0)</f>
        <v/>
      </c>
      <c r="S265" s="68">
        <f>IF(AND(TaxOn="Yes",ISNUMBER(H265)),H265,0)</f>
        <v/>
      </c>
      <c r="T265" s="67">
        <f>IF(R265=1,"",IF(B265="","Enter an invoice #",IF(C265="","Missing invoice date",IF(NOT(ISNUMBER(C265)),"Invalid date",IF(OR(C265&lt;DATE(2000,1,1),C265&gt;DATE(2099,12,31)),"Invalid date",IF(F265="","Select a revenue account",IF(ISNA(MATCH(F265,coa_Name,0)),"Unknown account: "&amp;F265,IF(NOT(ISNUMBER(G265)),"Enter an amount",IF(G265&lt;=0,"Amount must be positive",IF(S265&gt;G265,"Tax is larger than the amount",""))))))))))</f>
        <v/>
      </c>
      <c r="U265" s="67">
        <f>IF(OR(R265=1,T265&lt;&gt;""),"",IF(COUNTIF(ar_No,B265)&gt;1,"Duplicate invoice #",IF(D265="","Select a customer",IF(N(L265)&lt;0,"Overpaid by "&amp;TEXT(-L265,"#,##0.00"),IF(AND(ISNUMBER(H265),N(H265)&lt;&gt;0,S265=0),"Tax ignored (tax tracking is off)",IF(AND(ISNUMBER(StartDate),C265&lt;StartDate),"Date is before the accounting start date",IF(AND(IFERROR(INDEX(coa_Type,MATCH(F265,coa_Name,0)),"")&lt;&gt;"Revenue",IFERROR(INDEX(coa_Type,MATCH(F265,coa_Name,0)),"")&lt;&gt;"Other Income"),"Account is not a revenue account","")))))))</f>
        <v/>
      </c>
      <c r="V265" s="67">
        <f>IF(AND(R265=0,T265=""),1,0)</f>
        <v/>
      </c>
      <c r="W265" s="67">
        <f>IF(V265=1,acctAR,"")</f>
        <v/>
      </c>
      <c r="X265" s="67">
        <f>IF(V265=1,F265,"")</f>
        <v/>
      </c>
      <c r="Y265" s="68">
        <f>IF(V265=1,G265,0)</f>
        <v/>
      </c>
      <c r="Z265" s="68">
        <f>IF(V265=1,G265-S265,0)</f>
        <v/>
      </c>
      <c r="AA265" s="68">
        <f>IF(V265=1,S265,0)</f>
        <v/>
      </c>
    </row>
    <row r="266">
      <c r="B266" s="62" t="n"/>
      <c r="C266" s="63" t="n"/>
      <c r="D266" s="62" t="n"/>
      <c r="E266" s="62" t="n"/>
      <c r="F266" s="62" t="n"/>
      <c r="G266" s="64" t="n"/>
      <c r="H266" s="64" t="n"/>
      <c r="I266" s="63" t="n"/>
      <c r="J266" s="29">
        <f>IF(V266=1,IF(ISNUMBER(I266),I266,C266+IF(ISNUMBER(IFERROR(INDEX(cust_Terms,MATCH(D266,cust_Name,0)),"")),INDEX(cust_Terms,MATCH(D266,cust_Name,0)),TermsDays)),"")</f>
        <v/>
      </c>
      <c r="K266" s="65">
        <f>IF(V266=1,SUMIFS(tx_DrAmt,tx_Type,"Customer Payment",tx_Ref,B266&amp;"",tx_Date,"&lt;="&amp;AsOf),"")</f>
        <v/>
      </c>
      <c r="L266" s="65">
        <f>IF(V266=1,IF(C266&gt;AsOf,0,ROUND(G266-K266,2)),"")</f>
        <v/>
      </c>
      <c r="M266" s="66">
        <f>IF(V266&lt;&gt;1,"",IF(C266&gt;AsOf,"Future",IF(L266&lt;0,"Overpaid",IF(L266=0,"Paid",IF(AsOf&gt;J266,"Overdue",IF(K266&gt;0,"Partial","Unpaid"))))))</f>
        <v/>
      </c>
      <c r="N266" s="28">
        <f>IF(AND(V266=1,N(L266)&gt;0),AsOf-C266,"")</f>
        <v/>
      </c>
      <c r="O266" s="28">
        <f>IF(N266="","",MAX(0,AsOf-J266))</f>
        <v/>
      </c>
      <c r="P266" s="66">
        <f>IF(O266="","",IF(O266=0,"Current",IF(O266&lt;=30,"1-30",IF(O266&lt;=60,"31-60",IF(O266&lt;=90,"61-90","90+")))))</f>
        <v/>
      </c>
      <c r="Q266" s="66">
        <f>IF(T266&lt;&gt;"","⛔ "&amp;T266&amp;" — not posted",IF(U266&lt;&gt;"","⚠ "&amp;U266,IF(V266=1,"✓ OK","")))</f>
        <v/>
      </c>
      <c r="R266" s="67">
        <f>IF(AND(B266="",C266="",D266="",G266="",F266=""),1,0)</f>
        <v/>
      </c>
      <c r="S266" s="68">
        <f>IF(AND(TaxOn="Yes",ISNUMBER(H266)),H266,0)</f>
        <v/>
      </c>
      <c r="T266" s="67">
        <f>IF(R266=1,"",IF(B266="","Enter an invoice #",IF(C266="","Missing invoice date",IF(NOT(ISNUMBER(C266)),"Invalid date",IF(OR(C266&lt;DATE(2000,1,1),C266&gt;DATE(2099,12,31)),"Invalid date",IF(F266="","Select a revenue account",IF(ISNA(MATCH(F266,coa_Name,0)),"Unknown account: "&amp;F266,IF(NOT(ISNUMBER(G266)),"Enter an amount",IF(G266&lt;=0,"Amount must be positive",IF(S266&gt;G266,"Tax is larger than the amount",""))))))))))</f>
        <v/>
      </c>
      <c r="U266" s="67">
        <f>IF(OR(R266=1,T266&lt;&gt;""),"",IF(COUNTIF(ar_No,B266)&gt;1,"Duplicate invoice #",IF(D266="","Select a customer",IF(N(L266)&lt;0,"Overpaid by "&amp;TEXT(-L266,"#,##0.00"),IF(AND(ISNUMBER(H266),N(H266)&lt;&gt;0,S266=0),"Tax ignored (tax tracking is off)",IF(AND(ISNUMBER(StartDate),C266&lt;StartDate),"Date is before the accounting start date",IF(AND(IFERROR(INDEX(coa_Type,MATCH(F266,coa_Name,0)),"")&lt;&gt;"Revenue",IFERROR(INDEX(coa_Type,MATCH(F266,coa_Name,0)),"")&lt;&gt;"Other Income"),"Account is not a revenue account","")))))))</f>
        <v/>
      </c>
      <c r="V266" s="67">
        <f>IF(AND(R266=0,T266=""),1,0)</f>
        <v/>
      </c>
      <c r="W266" s="67">
        <f>IF(V266=1,acctAR,"")</f>
        <v/>
      </c>
      <c r="X266" s="67">
        <f>IF(V266=1,F266,"")</f>
        <v/>
      </c>
      <c r="Y266" s="68">
        <f>IF(V266=1,G266,0)</f>
        <v/>
      </c>
      <c r="Z266" s="68">
        <f>IF(V266=1,G266-S266,0)</f>
        <v/>
      </c>
      <c r="AA266" s="68">
        <f>IF(V266=1,S266,0)</f>
        <v/>
      </c>
    </row>
    <row r="267">
      <c r="B267" s="62" t="n"/>
      <c r="C267" s="63" t="n"/>
      <c r="D267" s="62" t="n"/>
      <c r="E267" s="62" t="n"/>
      <c r="F267" s="62" t="n"/>
      <c r="G267" s="64" t="n"/>
      <c r="H267" s="64" t="n"/>
      <c r="I267" s="63" t="n"/>
      <c r="J267" s="29">
        <f>IF(V267=1,IF(ISNUMBER(I267),I267,C267+IF(ISNUMBER(IFERROR(INDEX(cust_Terms,MATCH(D267,cust_Name,0)),"")),INDEX(cust_Terms,MATCH(D267,cust_Name,0)),TermsDays)),"")</f>
        <v/>
      </c>
      <c r="K267" s="65">
        <f>IF(V267=1,SUMIFS(tx_DrAmt,tx_Type,"Customer Payment",tx_Ref,B267&amp;"",tx_Date,"&lt;="&amp;AsOf),"")</f>
        <v/>
      </c>
      <c r="L267" s="65">
        <f>IF(V267=1,IF(C267&gt;AsOf,0,ROUND(G267-K267,2)),"")</f>
        <v/>
      </c>
      <c r="M267" s="66">
        <f>IF(V267&lt;&gt;1,"",IF(C267&gt;AsOf,"Future",IF(L267&lt;0,"Overpaid",IF(L267=0,"Paid",IF(AsOf&gt;J267,"Overdue",IF(K267&gt;0,"Partial","Unpaid"))))))</f>
        <v/>
      </c>
      <c r="N267" s="28">
        <f>IF(AND(V267=1,N(L267)&gt;0),AsOf-C267,"")</f>
        <v/>
      </c>
      <c r="O267" s="28">
        <f>IF(N267="","",MAX(0,AsOf-J267))</f>
        <v/>
      </c>
      <c r="P267" s="66">
        <f>IF(O267="","",IF(O267=0,"Current",IF(O267&lt;=30,"1-30",IF(O267&lt;=60,"31-60",IF(O267&lt;=90,"61-90","90+")))))</f>
        <v/>
      </c>
      <c r="Q267" s="66">
        <f>IF(T267&lt;&gt;"","⛔ "&amp;T267&amp;" — not posted",IF(U267&lt;&gt;"","⚠ "&amp;U267,IF(V267=1,"✓ OK","")))</f>
        <v/>
      </c>
      <c r="R267" s="67">
        <f>IF(AND(B267="",C267="",D267="",G267="",F267=""),1,0)</f>
        <v/>
      </c>
      <c r="S267" s="68">
        <f>IF(AND(TaxOn="Yes",ISNUMBER(H267)),H267,0)</f>
        <v/>
      </c>
      <c r="T267" s="67">
        <f>IF(R267=1,"",IF(B267="","Enter an invoice #",IF(C267="","Missing invoice date",IF(NOT(ISNUMBER(C267)),"Invalid date",IF(OR(C267&lt;DATE(2000,1,1),C267&gt;DATE(2099,12,31)),"Invalid date",IF(F267="","Select a revenue account",IF(ISNA(MATCH(F267,coa_Name,0)),"Unknown account: "&amp;F267,IF(NOT(ISNUMBER(G267)),"Enter an amount",IF(G267&lt;=0,"Amount must be positive",IF(S267&gt;G267,"Tax is larger than the amount",""))))))))))</f>
        <v/>
      </c>
      <c r="U267" s="67">
        <f>IF(OR(R267=1,T267&lt;&gt;""),"",IF(COUNTIF(ar_No,B267)&gt;1,"Duplicate invoice #",IF(D267="","Select a customer",IF(N(L267)&lt;0,"Overpaid by "&amp;TEXT(-L267,"#,##0.00"),IF(AND(ISNUMBER(H267),N(H267)&lt;&gt;0,S267=0),"Tax ignored (tax tracking is off)",IF(AND(ISNUMBER(StartDate),C267&lt;StartDate),"Date is before the accounting start date",IF(AND(IFERROR(INDEX(coa_Type,MATCH(F267,coa_Name,0)),"")&lt;&gt;"Revenue",IFERROR(INDEX(coa_Type,MATCH(F267,coa_Name,0)),"")&lt;&gt;"Other Income"),"Account is not a revenue account","")))))))</f>
        <v/>
      </c>
      <c r="V267" s="67">
        <f>IF(AND(R267=0,T267=""),1,0)</f>
        <v/>
      </c>
      <c r="W267" s="67">
        <f>IF(V267=1,acctAR,"")</f>
        <v/>
      </c>
      <c r="X267" s="67">
        <f>IF(V267=1,F267,"")</f>
        <v/>
      </c>
      <c r="Y267" s="68">
        <f>IF(V267=1,G267,0)</f>
        <v/>
      </c>
      <c r="Z267" s="68">
        <f>IF(V267=1,G267-S267,0)</f>
        <v/>
      </c>
      <c r="AA267" s="68">
        <f>IF(V267=1,S267,0)</f>
        <v/>
      </c>
    </row>
    <row r="268">
      <c r="B268" s="62" t="n"/>
      <c r="C268" s="63" t="n"/>
      <c r="D268" s="62" t="n"/>
      <c r="E268" s="62" t="n"/>
      <c r="F268" s="62" t="n"/>
      <c r="G268" s="64" t="n"/>
      <c r="H268" s="64" t="n"/>
      <c r="I268" s="63" t="n"/>
      <c r="J268" s="29">
        <f>IF(V268=1,IF(ISNUMBER(I268),I268,C268+IF(ISNUMBER(IFERROR(INDEX(cust_Terms,MATCH(D268,cust_Name,0)),"")),INDEX(cust_Terms,MATCH(D268,cust_Name,0)),TermsDays)),"")</f>
        <v/>
      </c>
      <c r="K268" s="65">
        <f>IF(V268=1,SUMIFS(tx_DrAmt,tx_Type,"Customer Payment",tx_Ref,B268&amp;"",tx_Date,"&lt;="&amp;AsOf),"")</f>
        <v/>
      </c>
      <c r="L268" s="65">
        <f>IF(V268=1,IF(C268&gt;AsOf,0,ROUND(G268-K268,2)),"")</f>
        <v/>
      </c>
      <c r="M268" s="66">
        <f>IF(V268&lt;&gt;1,"",IF(C268&gt;AsOf,"Future",IF(L268&lt;0,"Overpaid",IF(L268=0,"Paid",IF(AsOf&gt;J268,"Overdue",IF(K268&gt;0,"Partial","Unpaid"))))))</f>
        <v/>
      </c>
      <c r="N268" s="28">
        <f>IF(AND(V268=1,N(L268)&gt;0),AsOf-C268,"")</f>
        <v/>
      </c>
      <c r="O268" s="28">
        <f>IF(N268="","",MAX(0,AsOf-J268))</f>
        <v/>
      </c>
      <c r="P268" s="66">
        <f>IF(O268="","",IF(O268=0,"Current",IF(O268&lt;=30,"1-30",IF(O268&lt;=60,"31-60",IF(O268&lt;=90,"61-90","90+")))))</f>
        <v/>
      </c>
      <c r="Q268" s="66">
        <f>IF(T268&lt;&gt;"","⛔ "&amp;T268&amp;" — not posted",IF(U268&lt;&gt;"","⚠ "&amp;U268,IF(V268=1,"✓ OK","")))</f>
        <v/>
      </c>
      <c r="R268" s="67">
        <f>IF(AND(B268="",C268="",D268="",G268="",F268=""),1,0)</f>
        <v/>
      </c>
      <c r="S268" s="68">
        <f>IF(AND(TaxOn="Yes",ISNUMBER(H268)),H268,0)</f>
        <v/>
      </c>
      <c r="T268" s="67">
        <f>IF(R268=1,"",IF(B268="","Enter an invoice #",IF(C268="","Missing invoice date",IF(NOT(ISNUMBER(C268)),"Invalid date",IF(OR(C268&lt;DATE(2000,1,1),C268&gt;DATE(2099,12,31)),"Invalid date",IF(F268="","Select a revenue account",IF(ISNA(MATCH(F268,coa_Name,0)),"Unknown account: "&amp;F268,IF(NOT(ISNUMBER(G268)),"Enter an amount",IF(G268&lt;=0,"Amount must be positive",IF(S268&gt;G268,"Tax is larger than the amount",""))))))))))</f>
        <v/>
      </c>
      <c r="U268" s="67">
        <f>IF(OR(R268=1,T268&lt;&gt;""),"",IF(COUNTIF(ar_No,B268)&gt;1,"Duplicate invoice #",IF(D268="","Select a customer",IF(N(L268)&lt;0,"Overpaid by "&amp;TEXT(-L268,"#,##0.00"),IF(AND(ISNUMBER(H268),N(H268)&lt;&gt;0,S268=0),"Tax ignored (tax tracking is off)",IF(AND(ISNUMBER(StartDate),C268&lt;StartDate),"Date is before the accounting start date",IF(AND(IFERROR(INDEX(coa_Type,MATCH(F268,coa_Name,0)),"")&lt;&gt;"Revenue",IFERROR(INDEX(coa_Type,MATCH(F268,coa_Name,0)),"")&lt;&gt;"Other Income"),"Account is not a revenue account","")))))))</f>
        <v/>
      </c>
      <c r="V268" s="67">
        <f>IF(AND(R268=0,T268=""),1,0)</f>
        <v/>
      </c>
      <c r="W268" s="67">
        <f>IF(V268=1,acctAR,"")</f>
        <v/>
      </c>
      <c r="X268" s="67">
        <f>IF(V268=1,F268,"")</f>
        <v/>
      </c>
      <c r="Y268" s="68">
        <f>IF(V268=1,G268,0)</f>
        <v/>
      </c>
      <c r="Z268" s="68">
        <f>IF(V268=1,G268-S268,0)</f>
        <v/>
      </c>
      <c r="AA268" s="68">
        <f>IF(V268=1,S268,0)</f>
        <v/>
      </c>
    </row>
    <row r="269">
      <c r="B269" s="62" t="n"/>
      <c r="C269" s="63" t="n"/>
      <c r="D269" s="62" t="n"/>
      <c r="E269" s="62" t="n"/>
      <c r="F269" s="62" t="n"/>
      <c r="G269" s="64" t="n"/>
      <c r="H269" s="64" t="n"/>
      <c r="I269" s="63" t="n"/>
      <c r="J269" s="29">
        <f>IF(V269=1,IF(ISNUMBER(I269),I269,C269+IF(ISNUMBER(IFERROR(INDEX(cust_Terms,MATCH(D269,cust_Name,0)),"")),INDEX(cust_Terms,MATCH(D269,cust_Name,0)),TermsDays)),"")</f>
        <v/>
      </c>
      <c r="K269" s="65">
        <f>IF(V269=1,SUMIFS(tx_DrAmt,tx_Type,"Customer Payment",tx_Ref,B269&amp;"",tx_Date,"&lt;="&amp;AsOf),"")</f>
        <v/>
      </c>
      <c r="L269" s="65">
        <f>IF(V269=1,IF(C269&gt;AsOf,0,ROUND(G269-K269,2)),"")</f>
        <v/>
      </c>
      <c r="M269" s="66">
        <f>IF(V269&lt;&gt;1,"",IF(C269&gt;AsOf,"Future",IF(L269&lt;0,"Overpaid",IF(L269=0,"Paid",IF(AsOf&gt;J269,"Overdue",IF(K269&gt;0,"Partial","Unpaid"))))))</f>
        <v/>
      </c>
      <c r="N269" s="28">
        <f>IF(AND(V269=1,N(L269)&gt;0),AsOf-C269,"")</f>
        <v/>
      </c>
      <c r="O269" s="28">
        <f>IF(N269="","",MAX(0,AsOf-J269))</f>
        <v/>
      </c>
      <c r="P269" s="66">
        <f>IF(O269="","",IF(O269=0,"Current",IF(O269&lt;=30,"1-30",IF(O269&lt;=60,"31-60",IF(O269&lt;=90,"61-90","90+")))))</f>
        <v/>
      </c>
      <c r="Q269" s="66">
        <f>IF(T269&lt;&gt;"","⛔ "&amp;T269&amp;" — not posted",IF(U269&lt;&gt;"","⚠ "&amp;U269,IF(V269=1,"✓ OK","")))</f>
        <v/>
      </c>
      <c r="R269" s="67">
        <f>IF(AND(B269="",C269="",D269="",G269="",F269=""),1,0)</f>
        <v/>
      </c>
      <c r="S269" s="68">
        <f>IF(AND(TaxOn="Yes",ISNUMBER(H269)),H269,0)</f>
        <v/>
      </c>
      <c r="T269" s="67">
        <f>IF(R269=1,"",IF(B269="","Enter an invoice #",IF(C269="","Missing invoice date",IF(NOT(ISNUMBER(C269)),"Invalid date",IF(OR(C269&lt;DATE(2000,1,1),C269&gt;DATE(2099,12,31)),"Invalid date",IF(F269="","Select a revenue account",IF(ISNA(MATCH(F269,coa_Name,0)),"Unknown account: "&amp;F269,IF(NOT(ISNUMBER(G269)),"Enter an amount",IF(G269&lt;=0,"Amount must be positive",IF(S269&gt;G269,"Tax is larger than the amount",""))))))))))</f>
        <v/>
      </c>
      <c r="U269" s="67">
        <f>IF(OR(R269=1,T269&lt;&gt;""),"",IF(COUNTIF(ar_No,B269)&gt;1,"Duplicate invoice #",IF(D269="","Select a customer",IF(N(L269)&lt;0,"Overpaid by "&amp;TEXT(-L269,"#,##0.00"),IF(AND(ISNUMBER(H269),N(H269)&lt;&gt;0,S269=0),"Tax ignored (tax tracking is off)",IF(AND(ISNUMBER(StartDate),C269&lt;StartDate),"Date is before the accounting start date",IF(AND(IFERROR(INDEX(coa_Type,MATCH(F269,coa_Name,0)),"")&lt;&gt;"Revenue",IFERROR(INDEX(coa_Type,MATCH(F269,coa_Name,0)),"")&lt;&gt;"Other Income"),"Account is not a revenue account","")))))))</f>
        <v/>
      </c>
      <c r="V269" s="67">
        <f>IF(AND(R269=0,T269=""),1,0)</f>
        <v/>
      </c>
      <c r="W269" s="67">
        <f>IF(V269=1,acctAR,"")</f>
        <v/>
      </c>
      <c r="X269" s="67">
        <f>IF(V269=1,F269,"")</f>
        <v/>
      </c>
      <c r="Y269" s="68">
        <f>IF(V269=1,G269,0)</f>
        <v/>
      </c>
      <c r="Z269" s="68">
        <f>IF(V269=1,G269-S269,0)</f>
        <v/>
      </c>
      <c r="AA269" s="68">
        <f>IF(V269=1,S269,0)</f>
        <v/>
      </c>
    </row>
    <row r="270">
      <c r="B270" s="62" t="n"/>
      <c r="C270" s="63" t="n"/>
      <c r="D270" s="62" t="n"/>
      <c r="E270" s="62" t="n"/>
      <c r="F270" s="62" t="n"/>
      <c r="G270" s="64" t="n"/>
      <c r="H270" s="64" t="n"/>
      <c r="I270" s="63" t="n"/>
      <c r="J270" s="29">
        <f>IF(V270=1,IF(ISNUMBER(I270),I270,C270+IF(ISNUMBER(IFERROR(INDEX(cust_Terms,MATCH(D270,cust_Name,0)),"")),INDEX(cust_Terms,MATCH(D270,cust_Name,0)),TermsDays)),"")</f>
        <v/>
      </c>
      <c r="K270" s="65">
        <f>IF(V270=1,SUMIFS(tx_DrAmt,tx_Type,"Customer Payment",tx_Ref,B270&amp;"",tx_Date,"&lt;="&amp;AsOf),"")</f>
        <v/>
      </c>
      <c r="L270" s="65">
        <f>IF(V270=1,IF(C270&gt;AsOf,0,ROUND(G270-K270,2)),"")</f>
        <v/>
      </c>
      <c r="M270" s="66">
        <f>IF(V270&lt;&gt;1,"",IF(C270&gt;AsOf,"Future",IF(L270&lt;0,"Overpaid",IF(L270=0,"Paid",IF(AsOf&gt;J270,"Overdue",IF(K270&gt;0,"Partial","Unpaid"))))))</f>
        <v/>
      </c>
      <c r="N270" s="28">
        <f>IF(AND(V270=1,N(L270)&gt;0),AsOf-C270,"")</f>
        <v/>
      </c>
      <c r="O270" s="28">
        <f>IF(N270="","",MAX(0,AsOf-J270))</f>
        <v/>
      </c>
      <c r="P270" s="66">
        <f>IF(O270="","",IF(O270=0,"Current",IF(O270&lt;=30,"1-30",IF(O270&lt;=60,"31-60",IF(O270&lt;=90,"61-90","90+")))))</f>
        <v/>
      </c>
      <c r="Q270" s="66">
        <f>IF(T270&lt;&gt;"","⛔ "&amp;T270&amp;" — not posted",IF(U270&lt;&gt;"","⚠ "&amp;U270,IF(V270=1,"✓ OK","")))</f>
        <v/>
      </c>
      <c r="R270" s="67">
        <f>IF(AND(B270="",C270="",D270="",G270="",F270=""),1,0)</f>
        <v/>
      </c>
      <c r="S270" s="68">
        <f>IF(AND(TaxOn="Yes",ISNUMBER(H270)),H270,0)</f>
        <v/>
      </c>
      <c r="T270" s="67">
        <f>IF(R270=1,"",IF(B270="","Enter an invoice #",IF(C270="","Missing invoice date",IF(NOT(ISNUMBER(C270)),"Invalid date",IF(OR(C270&lt;DATE(2000,1,1),C270&gt;DATE(2099,12,31)),"Invalid date",IF(F270="","Select a revenue account",IF(ISNA(MATCH(F270,coa_Name,0)),"Unknown account: "&amp;F270,IF(NOT(ISNUMBER(G270)),"Enter an amount",IF(G270&lt;=0,"Amount must be positive",IF(S270&gt;G270,"Tax is larger than the amount",""))))))))))</f>
        <v/>
      </c>
      <c r="U270" s="67">
        <f>IF(OR(R270=1,T270&lt;&gt;""),"",IF(COUNTIF(ar_No,B270)&gt;1,"Duplicate invoice #",IF(D270="","Select a customer",IF(N(L270)&lt;0,"Overpaid by "&amp;TEXT(-L270,"#,##0.00"),IF(AND(ISNUMBER(H270),N(H270)&lt;&gt;0,S270=0),"Tax ignored (tax tracking is off)",IF(AND(ISNUMBER(StartDate),C270&lt;StartDate),"Date is before the accounting start date",IF(AND(IFERROR(INDEX(coa_Type,MATCH(F270,coa_Name,0)),"")&lt;&gt;"Revenue",IFERROR(INDEX(coa_Type,MATCH(F270,coa_Name,0)),"")&lt;&gt;"Other Income"),"Account is not a revenue account","")))))))</f>
        <v/>
      </c>
      <c r="V270" s="67">
        <f>IF(AND(R270=0,T270=""),1,0)</f>
        <v/>
      </c>
      <c r="W270" s="67">
        <f>IF(V270=1,acctAR,"")</f>
        <v/>
      </c>
      <c r="X270" s="67">
        <f>IF(V270=1,F270,"")</f>
        <v/>
      </c>
      <c r="Y270" s="68">
        <f>IF(V270=1,G270,0)</f>
        <v/>
      </c>
      <c r="Z270" s="68">
        <f>IF(V270=1,G270-S270,0)</f>
        <v/>
      </c>
      <c r="AA270" s="68">
        <f>IF(V270=1,S270,0)</f>
        <v/>
      </c>
    </row>
    <row r="271">
      <c r="B271" s="62" t="n"/>
      <c r="C271" s="63" t="n"/>
      <c r="D271" s="62" t="n"/>
      <c r="E271" s="62" t="n"/>
      <c r="F271" s="62" t="n"/>
      <c r="G271" s="64" t="n"/>
      <c r="H271" s="64" t="n"/>
      <c r="I271" s="63" t="n"/>
      <c r="J271" s="29">
        <f>IF(V271=1,IF(ISNUMBER(I271),I271,C271+IF(ISNUMBER(IFERROR(INDEX(cust_Terms,MATCH(D271,cust_Name,0)),"")),INDEX(cust_Terms,MATCH(D271,cust_Name,0)),TermsDays)),"")</f>
        <v/>
      </c>
      <c r="K271" s="65">
        <f>IF(V271=1,SUMIFS(tx_DrAmt,tx_Type,"Customer Payment",tx_Ref,B271&amp;"",tx_Date,"&lt;="&amp;AsOf),"")</f>
        <v/>
      </c>
      <c r="L271" s="65">
        <f>IF(V271=1,IF(C271&gt;AsOf,0,ROUND(G271-K271,2)),"")</f>
        <v/>
      </c>
      <c r="M271" s="66">
        <f>IF(V271&lt;&gt;1,"",IF(C271&gt;AsOf,"Future",IF(L271&lt;0,"Overpaid",IF(L271=0,"Paid",IF(AsOf&gt;J271,"Overdue",IF(K271&gt;0,"Partial","Unpaid"))))))</f>
        <v/>
      </c>
      <c r="N271" s="28">
        <f>IF(AND(V271=1,N(L271)&gt;0),AsOf-C271,"")</f>
        <v/>
      </c>
      <c r="O271" s="28">
        <f>IF(N271="","",MAX(0,AsOf-J271))</f>
        <v/>
      </c>
      <c r="P271" s="66">
        <f>IF(O271="","",IF(O271=0,"Current",IF(O271&lt;=30,"1-30",IF(O271&lt;=60,"31-60",IF(O271&lt;=90,"61-90","90+")))))</f>
        <v/>
      </c>
      <c r="Q271" s="66">
        <f>IF(T271&lt;&gt;"","⛔ "&amp;T271&amp;" — not posted",IF(U271&lt;&gt;"","⚠ "&amp;U271,IF(V271=1,"✓ OK","")))</f>
        <v/>
      </c>
      <c r="R271" s="67">
        <f>IF(AND(B271="",C271="",D271="",G271="",F271=""),1,0)</f>
        <v/>
      </c>
      <c r="S271" s="68">
        <f>IF(AND(TaxOn="Yes",ISNUMBER(H271)),H271,0)</f>
        <v/>
      </c>
      <c r="T271" s="67">
        <f>IF(R271=1,"",IF(B271="","Enter an invoice #",IF(C271="","Missing invoice date",IF(NOT(ISNUMBER(C271)),"Invalid date",IF(OR(C271&lt;DATE(2000,1,1),C271&gt;DATE(2099,12,31)),"Invalid date",IF(F271="","Select a revenue account",IF(ISNA(MATCH(F271,coa_Name,0)),"Unknown account: "&amp;F271,IF(NOT(ISNUMBER(G271)),"Enter an amount",IF(G271&lt;=0,"Amount must be positive",IF(S271&gt;G271,"Tax is larger than the amount",""))))))))))</f>
        <v/>
      </c>
      <c r="U271" s="67">
        <f>IF(OR(R271=1,T271&lt;&gt;""),"",IF(COUNTIF(ar_No,B271)&gt;1,"Duplicate invoice #",IF(D271="","Select a customer",IF(N(L271)&lt;0,"Overpaid by "&amp;TEXT(-L271,"#,##0.00"),IF(AND(ISNUMBER(H271),N(H271)&lt;&gt;0,S271=0),"Tax ignored (tax tracking is off)",IF(AND(ISNUMBER(StartDate),C271&lt;StartDate),"Date is before the accounting start date",IF(AND(IFERROR(INDEX(coa_Type,MATCH(F271,coa_Name,0)),"")&lt;&gt;"Revenue",IFERROR(INDEX(coa_Type,MATCH(F271,coa_Name,0)),"")&lt;&gt;"Other Income"),"Account is not a revenue account","")))))))</f>
        <v/>
      </c>
      <c r="V271" s="67">
        <f>IF(AND(R271=0,T271=""),1,0)</f>
        <v/>
      </c>
      <c r="W271" s="67">
        <f>IF(V271=1,acctAR,"")</f>
        <v/>
      </c>
      <c r="X271" s="67">
        <f>IF(V271=1,F271,"")</f>
        <v/>
      </c>
      <c r="Y271" s="68">
        <f>IF(V271=1,G271,0)</f>
        <v/>
      </c>
      <c r="Z271" s="68">
        <f>IF(V271=1,G271-S271,0)</f>
        <v/>
      </c>
      <c r="AA271" s="68">
        <f>IF(V271=1,S271,0)</f>
        <v/>
      </c>
    </row>
    <row r="272">
      <c r="B272" s="62" t="n"/>
      <c r="C272" s="63" t="n"/>
      <c r="D272" s="62" t="n"/>
      <c r="E272" s="62" t="n"/>
      <c r="F272" s="62" t="n"/>
      <c r="G272" s="64" t="n"/>
      <c r="H272" s="64" t="n"/>
      <c r="I272" s="63" t="n"/>
      <c r="J272" s="29">
        <f>IF(V272=1,IF(ISNUMBER(I272),I272,C272+IF(ISNUMBER(IFERROR(INDEX(cust_Terms,MATCH(D272,cust_Name,0)),"")),INDEX(cust_Terms,MATCH(D272,cust_Name,0)),TermsDays)),"")</f>
        <v/>
      </c>
      <c r="K272" s="65">
        <f>IF(V272=1,SUMIFS(tx_DrAmt,tx_Type,"Customer Payment",tx_Ref,B272&amp;"",tx_Date,"&lt;="&amp;AsOf),"")</f>
        <v/>
      </c>
      <c r="L272" s="65">
        <f>IF(V272=1,IF(C272&gt;AsOf,0,ROUND(G272-K272,2)),"")</f>
        <v/>
      </c>
      <c r="M272" s="66">
        <f>IF(V272&lt;&gt;1,"",IF(C272&gt;AsOf,"Future",IF(L272&lt;0,"Overpaid",IF(L272=0,"Paid",IF(AsOf&gt;J272,"Overdue",IF(K272&gt;0,"Partial","Unpaid"))))))</f>
        <v/>
      </c>
      <c r="N272" s="28">
        <f>IF(AND(V272=1,N(L272)&gt;0),AsOf-C272,"")</f>
        <v/>
      </c>
      <c r="O272" s="28">
        <f>IF(N272="","",MAX(0,AsOf-J272))</f>
        <v/>
      </c>
      <c r="P272" s="66">
        <f>IF(O272="","",IF(O272=0,"Current",IF(O272&lt;=30,"1-30",IF(O272&lt;=60,"31-60",IF(O272&lt;=90,"61-90","90+")))))</f>
        <v/>
      </c>
      <c r="Q272" s="66">
        <f>IF(T272&lt;&gt;"","⛔ "&amp;T272&amp;" — not posted",IF(U272&lt;&gt;"","⚠ "&amp;U272,IF(V272=1,"✓ OK","")))</f>
        <v/>
      </c>
      <c r="R272" s="67">
        <f>IF(AND(B272="",C272="",D272="",G272="",F272=""),1,0)</f>
        <v/>
      </c>
      <c r="S272" s="68">
        <f>IF(AND(TaxOn="Yes",ISNUMBER(H272)),H272,0)</f>
        <v/>
      </c>
      <c r="T272" s="67">
        <f>IF(R272=1,"",IF(B272="","Enter an invoice #",IF(C272="","Missing invoice date",IF(NOT(ISNUMBER(C272)),"Invalid date",IF(OR(C272&lt;DATE(2000,1,1),C272&gt;DATE(2099,12,31)),"Invalid date",IF(F272="","Select a revenue account",IF(ISNA(MATCH(F272,coa_Name,0)),"Unknown account: "&amp;F272,IF(NOT(ISNUMBER(G272)),"Enter an amount",IF(G272&lt;=0,"Amount must be positive",IF(S272&gt;G272,"Tax is larger than the amount",""))))))))))</f>
        <v/>
      </c>
      <c r="U272" s="67">
        <f>IF(OR(R272=1,T272&lt;&gt;""),"",IF(COUNTIF(ar_No,B272)&gt;1,"Duplicate invoice #",IF(D272="","Select a customer",IF(N(L272)&lt;0,"Overpaid by "&amp;TEXT(-L272,"#,##0.00"),IF(AND(ISNUMBER(H272),N(H272)&lt;&gt;0,S272=0),"Tax ignored (tax tracking is off)",IF(AND(ISNUMBER(StartDate),C272&lt;StartDate),"Date is before the accounting start date",IF(AND(IFERROR(INDEX(coa_Type,MATCH(F272,coa_Name,0)),"")&lt;&gt;"Revenue",IFERROR(INDEX(coa_Type,MATCH(F272,coa_Name,0)),"")&lt;&gt;"Other Income"),"Account is not a revenue account","")))))))</f>
        <v/>
      </c>
      <c r="V272" s="67">
        <f>IF(AND(R272=0,T272=""),1,0)</f>
        <v/>
      </c>
      <c r="W272" s="67">
        <f>IF(V272=1,acctAR,"")</f>
        <v/>
      </c>
      <c r="X272" s="67">
        <f>IF(V272=1,F272,"")</f>
        <v/>
      </c>
      <c r="Y272" s="68">
        <f>IF(V272=1,G272,0)</f>
        <v/>
      </c>
      <c r="Z272" s="68">
        <f>IF(V272=1,G272-S272,0)</f>
        <v/>
      </c>
      <c r="AA272" s="68">
        <f>IF(V272=1,S272,0)</f>
        <v/>
      </c>
    </row>
    <row r="273">
      <c r="B273" s="62" t="n"/>
      <c r="C273" s="63" t="n"/>
      <c r="D273" s="62" t="n"/>
      <c r="E273" s="62" t="n"/>
      <c r="F273" s="62" t="n"/>
      <c r="G273" s="64" t="n"/>
      <c r="H273" s="64" t="n"/>
      <c r="I273" s="63" t="n"/>
      <c r="J273" s="29">
        <f>IF(V273=1,IF(ISNUMBER(I273),I273,C273+IF(ISNUMBER(IFERROR(INDEX(cust_Terms,MATCH(D273,cust_Name,0)),"")),INDEX(cust_Terms,MATCH(D273,cust_Name,0)),TermsDays)),"")</f>
        <v/>
      </c>
      <c r="K273" s="65">
        <f>IF(V273=1,SUMIFS(tx_DrAmt,tx_Type,"Customer Payment",tx_Ref,B273&amp;"",tx_Date,"&lt;="&amp;AsOf),"")</f>
        <v/>
      </c>
      <c r="L273" s="65">
        <f>IF(V273=1,IF(C273&gt;AsOf,0,ROUND(G273-K273,2)),"")</f>
        <v/>
      </c>
      <c r="M273" s="66">
        <f>IF(V273&lt;&gt;1,"",IF(C273&gt;AsOf,"Future",IF(L273&lt;0,"Overpaid",IF(L273=0,"Paid",IF(AsOf&gt;J273,"Overdue",IF(K273&gt;0,"Partial","Unpaid"))))))</f>
        <v/>
      </c>
      <c r="N273" s="28">
        <f>IF(AND(V273=1,N(L273)&gt;0),AsOf-C273,"")</f>
        <v/>
      </c>
      <c r="O273" s="28">
        <f>IF(N273="","",MAX(0,AsOf-J273))</f>
        <v/>
      </c>
      <c r="P273" s="66">
        <f>IF(O273="","",IF(O273=0,"Current",IF(O273&lt;=30,"1-30",IF(O273&lt;=60,"31-60",IF(O273&lt;=90,"61-90","90+")))))</f>
        <v/>
      </c>
      <c r="Q273" s="66">
        <f>IF(T273&lt;&gt;"","⛔ "&amp;T273&amp;" — not posted",IF(U273&lt;&gt;"","⚠ "&amp;U273,IF(V273=1,"✓ OK","")))</f>
        <v/>
      </c>
      <c r="R273" s="67">
        <f>IF(AND(B273="",C273="",D273="",G273="",F273=""),1,0)</f>
        <v/>
      </c>
      <c r="S273" s="68">
        <f>IF(AND(TaxOn="Yes",ISNUMBER(H273)),H273,0)</f>
        <v/>
      </c>
      <c r="T273" s="67">
        <f>IF(R273=1,"",IF(B273="","Enter an invoice #",IF(C273="","Missing invoice date",IF(NOT(ISNUMBER(C273)),"Invalid date",IF(OR(C273&lt;DATE(2000,1,1),C273&gt;DATE(2099,12,31)),"Invalid date",IF(F273="","Select a revenue account",IF(ISNA(MATCH(F273,coa_Name,0)),"Unknown account: "&amp;F273,IF(NOT(ISNUMBER(G273)),"Enter an amount",IF(G273&lt;=0,"Amount must be positive",IF(S273&gt;G273,"Tax is larger than the amount",""))))))))))</f>
        <v/>
      </c>
      <c r="U273" s="67">
        <f>IF(OR(R273=1,T273&lt;&gt;""),"",IF(COUNTIF(ar_No,B273)&gt;1,"Duplicate invoice #",IF(D273="","Select a customer",IF(N(L273)&lt;0,"Overpaid by "&amp;TEXT(-L273,"#,##0.00"),IF(AND(ISNUMBER(H273),N(H273)&lt;&gt;0,S273=0),"Tax ignored (tax tracking is off)",IF(AND(ISNUMBER(StartDate),C273&lt;StartDate),"Date is before the accounting start date",IF(AND(IFERROR(INDEX(coa_Type,MATCH(F273,coa_Name,0)),"")&lt;&gt;"Revenue",IFERROR(INDEX(coa_Type,MATCH(F273,coa_Name,0)),"")&lt;&gt;"Other Income"),"Account is not a revenue account","")))))))</f>
        <v/>
      </c>
      <c r="V273" s="67">
        <f>IF(AND(R273=0,T273=""),1,0)</f>
        <v/>
      </c>
      <c r="W273" s="67">
        <f>IF(V273=1,acctAR,"")</f>
        <v/>
      </c>
      <c r="X273" s="67">
        <f>IF(V273=1,F273,"")</f>
        <v/>
      </c>
      <c r="Y273" s="68">
        <f>IF(V273=1,G273,0)</f>
        <v/>
      </c>
      <c r="Z273" s="68">
        <f>IF(V273=1,G273-S273,0)</f>
        <v/>
      </c>
      <c r="AA273" s="68">
        <f>IF(V273=1,S273,0)</f>
        <v/>
      </c>
    </row>
    <row r="274">
      <c r="B274" s="62" t="n"/>
      <c r="C274" s="63" t="n"/>
      <c r="D274" s="62" t="n"/>
      <c r="E274" s="62" t="n"/>
      <c r="F274" s="62" t="n"/>
      <c r="G274" s="64" t="n"/>
      <c r="H274" s="64" t="n"/>
      <c r="I274" s="63" t="n"/>
      <c r="J274" s="29">
        <f>IF(V274=1,IF(ISNUMBER(I274),I274,C274+IF(ISNUMBER(IFERROR(INDEX(cust_Terms,MATCH(D274,cust_Name,0)),"")),INDEX(cust_Terms,MATCH(D274,cust_Name,0)),TermsDays)),"")</f>
        <v/>
      </c>
      <c r="K274" s="65">
        <f>IF(V274=1,SUMIFS(tx_DrAmt,tx_Type,"Customer Payment",tx_Ref,B274&amp;"",tx_Date,"&lt;="&amp;AsOf),"")</f>
        <v/>
      </c>
      <c r="L274" s="65">
        <f>IF(V274=1,IF(C274&gt;AsOf,0,ROUND(G274-K274,2)),"")</f>
        <v/>
      </c>
      <c r="M274" s="66">
        <f>IF(V274&lt;&gt;1,"",IF(C274&gt;AsOf,"Future",IF(L274&lt;0,"Overpaid",IF(L274=0,"Paid",IF(AsOf&gt;J274,"Overdue",IF(K274&gt;0,"Partial","Unpaid"))))))</f>
        <v/>
      </c>
      <c r="N274" s="28">
        <f>IF(AND(V274=1,N(L274)&gt;0),AsOf-C274,"")</f>
        <v/>
      </c>
      <c r="O274" s="28">
        <f>IF(N274="","",MAX(0,AsOf-J274))</f>
        <v/>
      </c>
      <c r="P274" s="66">
        <f>IF(O274="","",IF(O274=0,"Current",IF(O274&lt;=30,"1-30",IF(O274&lt;=60,"31-60",IF(O274&lt;=90,"61-90","90+")))))</f>
        <v/>
      </c>
      <c r="Q274" s="66">
        <f>IF(T274&lt;&gt;"","⛔ "&amp;T274&amp;" — not posted",IF(U274&lt;&gt;"","⚠ "&amp;U274,IF(V274=1,"✓ OK","")))</f>
        <v/>
      </c>
      <c r="R274" s="67">
        <f>IF(AND(B274="",C274="",D274="",G274="",F274=""),1,0)</f>
        <v/>
      </c>
      <c r="S274" s="68">
        <f>IF(AND(TaxOn="Yes",ISNUMBER(H274)),H274,0)</f>
        <v/>
      </c>
      <c r="T274" s="67">
        <f>IF(R274=1,"",IF(B274="","Enter an invoice #",IF(C274="","Missing invoice date",IF(NOT(ISNUMBER(C274)),"Invalid date",IF(OR(C274&lt;DATE(2000,1,1),C274&gt;DATE(2099,12,31)),"Invalid date",IF(F274="","Select a revenue account",IF(ISNA(MATCH(F274,coa_Name,0)),"Unknown account: "&amp;F274,IF(NOT(ISNUMBER(G274)),"Enter an amount",IF(G274&lt;=0,"Amount must be positive",IF(S274&gt;G274,"Tax is larger than the amount",""))))))))))</f>
        <v/>
      </c>
      <c r="U274" s="67">
        <f>IF(OR(R274=1,T274&lt;&gt;""),"",IF(COUNTIF(ar_No,B274)&gt;1,"Duplicate invoice #",IF(D274="","Select a customer",IF(N(L274)&lt;0,"Overpaid by "&amp;TEXT(-L274,"#,##0.00"),IF(AND(ISNUMBER(H274),N(H274)&lt;&gt;0,S274=0),"Tax ignored (tax tracking is off)",IF(AND(ISNUMBER(StartDate),C274&lt;StartDate),"Date is before the accounting start date",IF(AND(IFERROR(INDEX(coa_Type,MATCH(F274,coa_Name,0)),"")&lt;&gt;"Revenue",IFERROR(INDEX(coa_Type,MATCH(F274,coa_Name,0)),"")&lt;&gt;"Other Income"),"Account is not a revenue account","")))))))</f>
        <v/>
      </c>
      <c r="V274" s="67">
        <f>IF(AND(R274=0,T274=""),1,0)</f>
        <v/>
      </c>
      <c r="W274" s="67">
        <f>IF(V274=1,acctAR,"")</f>
        <v/>
      </c>
      <c r="X274" s="67">
        <f>IF(V274=1,F274,"")</f>
        <v/>
      </c>
      <c r="Y274" s="68">
        <f>IF(V274=1,G274,0)</f>
        <v/>
      </c>
      <c r="Z274" s="68">
        <f>IF(V274=1,G274-S274,0)</f>
        <v/>
      </c>
      <c r="AA274" s="68">
        <f>IF(V274=1,S274,0)</f>
        <v/>
      </c>
    </row>
    <row r="275">
      <c r="B275" s="62" t="n"/>
      <c r="C275" s="63" t="n"/>
      <c r="D275" s="62" t="n"/>
      <c r="E275" s="62" t="n"/>
      <c r="F275" s="62" t="n"/>
      <c r="G275" s="64" t="n"/>
      <c r="H275" s="64" t="n"/>
      <c r="I275" s="63" t="n"/>
      <c r="J275" s="29">
        <f>IF(V275=1,IF(ISNUMBER(I275),I275,C275+IF(ISNUMBER(IFERROR(INDEX(cust_Terms,MATCH(D275,cust_Name,0)),"")),INDEX(cust_Terms,MATCH(D275,cust_Name,0)),TermsDays)),"")</f>
        <v/>
      </c>
      <c r="K275" s="65">
        <f>IF(V275=1,SUMIFS(tx_DrAmt,tx_Type,"Customer Payment",tx_Ref,B275&amp;"",tx_Date,"&lt;="&amp;AsOf),"")</f>
        <v/>
      </c>
      <c r="L275" s="65">
        <f>IF(V275=1,IF(C275&gt;AsOf,0,ROUND(G275-K275,2)),"")</f>
        <v/>
      </c>
      <c r="M275" s="66">
        <f>IF(V275&lt;&gt;1,"",IF(C275&gt;AsOf,"Future",IF(L275&lt;0,"Overpaid",IF(L275=0,"Paid",IF(AsOf&gt;J275,"Overdue",IF(K275&gt;0,"Partial","Unpaid"))))))</f>
        <v/>
      </c>
      <c r="N275" s="28">
        <f>IF(AND(V275=1,N(L275)&gt;0),AsOf-C275,"")</f>
        <v/>
      </c>
      <c r="O275" s="28">
        <f>IF(N275="","",MAX(0,AsOf-J275))</f>
        <v/>
      </c>
      <c r="P275" s="66">
        <f>IF(O275="","",IF(O275=0,"Current",IF(O275&lt;=30,"1-30",IF(O275&lt;=60,"31-60",IF(O275&lt;=90,"61-90","90+")))))</f>
        <v/>
      </c>
      <c r="Q275" s="66">
        <f>IF(T275&lt;&gt;"","⛔ "&amp;T275&amp;" — not posted",IF(U275&lt;&gt;"","⚠ "&amp;U275,IF(V275=1,"✓ OK","")))</f>
        <v/>
      </c>
      <c r="R275" s="67">
        <f>IF(AND(B275="",C275="",D275="",G275="",F275=""),1,0)</f>
        <v/>
      </c>
      <c r="S275" s="68">
        <f>IF(AND(TaxOn="Yes",ISNUMBER(H275)),H275,0)</f>
        <v/>
      </c>
      <c r="T275" s="67">
        <f>IF(R275=1,"",IF(B275="","Enter an invoice #",IF(C275="","Missing invoice date",IF(NOT(ISNUMBER(C275)),"Invalid date",IF(OR(C275&lt;DATE(2000,1,1),C275&gt;DATE(2099,12,31)),"Invalid date",IF(F275="","Select a revenue account",IF(ISNA(MATCH(F275,coa_Name,0)),"Unknown account: "&amp;F275,IF(NOT(ISNUMBER(G275)),"Enter an amount",IF(G275&lt;=0,"Amount must be positive",IF(S275&gt;G275,"Tax is larger than the amount",""))))))))))</f>
        <v/>
      </c>
      <c r="U275" s="67">
        <f>IF(OR(R275=1,T275&lt;&gt;""),"",IF(COUNTIF(ar_No,B275)&gt;1,"Duplicate invoice #",IF(D275="","Select a customer",IF(N(L275)&lt;0,"Overpaid by "&amp;TEXT(-L275,"#,##0.00"),IF(AND(ISNUMBER(H275),N(H275)&lt;&gt;0,S275=0),"Tax ignored (tax tracking is off)",IF(AND(ISNUMBER(StartDate),C275&lt;StartDate),"Date is before the accounting start date",IF(AND(IFERROR(INDEX(coa_Type,MATCH(F275,coa_Name,0)),"")&lt;&gt;"Revenue",IFERROR(INDEX(coa_Type,MATCH(F275,coa_Name,0)),"")&lt;&gt;"Other Income"),"Account is not a revenue account","")))))))</f>
        <v/>
      </c>
      <c r="V275" s="67">
        <f>IF(AND(R275=0,T275=""),1,0)</f>
        <v/>
      </c>
      <c r="W275" s="67">
        <f>IF(V275=1,acctAR,"")</f>
        <v/>
      </c>
      <c r="X275" s="67">
        <f>IF(V275=1,F275,"")</f>
        <v/>
      </c>
      <c r="Y275" s="68">
        <f>IF(V275=1,G275,0)</f>
        <v/>
      </c>
      <c r="Z275" s="68">
        <f>IF(V275=1,G275-S275,0)</f>
        <v/>
      </c>
      <c r="AA275" s="68">
        <f>IF(V275=1,S275,0)</f>
        <v/>
      </c>
    </row>
    <row r="276">
      <c r="B276" s="62" t="n"/>
      <c r="C276" s="63" t="n"/>
      <c r="D276" s="62" t="n"/>
      <c r="E276" s="62" t="n"/>
      <c r="F276" s="62" t="n"/>
      <c r="G276" s="64" t="n"/>
      <c r="H276" s="64" t="n"/>
      <c r="I276" s="63" t="n"/>
      <c r="J276" s="29">
        <f>IF(V276=1,IF(ISNUMBER(I276),I276,C276+IF(ISNUMBER(IFERROR(INDEX(cust_Terms,MATCH(D276,cust_Name,0)),"")),INDEX(cust_Terms,MATCH(D276,cust_Name,0)),TermsDays)),"")</f>
        <v/>
      </c>
      <c r="K276" s="65">
        <f>IF(V276=1,SUMIFS(tx_DrAmt,tx_Type,"Customer Payment",tx_Ref,B276&amp;"",tx_Date,"&lt;="&amp;AsOf),"")</f>
        <v/>
      </c>
      <c r="L276" s="65">
        <f>IF(V276=1,IF(C276&gt;AsOf,0,ROUND(G276-K276,2)),"")</f>
        <v/>
      </c>
      <c r="M276" s="66">
        <f>IF(V276&lt;&gt;1,"",IF(C276&gt;AsOf,"Future",IF(L276&lt;0,"Overpaid",IF(L276=0,"Paid",IF(AsOf&gt;J276,"Overdue",IF(K276&gt;0,"Partial","Unpaid"))))))</f>
        <v/>
      </c>
      <c r="N276" s="28">
        <f>IF(AND(V276=1,N(L276)&gt;0),AsOf-C276,"")</f>
        <v/>
      </c>
      <c r="O276" s="28">
        <f>IF(N276="","",MAX(0,AsOf-J276))</f>
        <v/>
      </c>
      <c r="P276" s="66">
        <f>IF(O276="","",IF(O276=0,"Current",IF(O276&lt;=30,"1-30",IF(O276&lt;=60,"31-60",IF(O276&lt;=90,"61-90","90+")))))</f>
        <v/>
      </c>
      <c r="Q276" s="66">
        <f>IF(T276&lt;&gt;"","⛔ "&amp;T276&amp;" — not posted",IF(U276&lt;&gt;"","⚠ "&amp;U276,IF(V276=1,"✓ OK","")))</f>
        <v/>
      </c>
      <c r="R276" s="67">
        <f>IF(AND(B276="",C276="",D276="",G276="",F276=""),1,0)</f>
        <v/>
      </c>
      <c r="S276" s="68">
        <f>IF(AND(TaxOn="Yes",ISNUMBER(H276)),H276,0)</f>
        <v/>
      </c>
      <c r="T276" s="67">
        <f>IF(R276=1,"",IF(B276="","Enter an invoice #",IF(C276="","Missing invoice date",IF(NOT(ISNUMBER(C276)),"Invalid date",IF(OR(C276&lt;DATE(2000,1,1),C276&gt;DATE(2099,12,31)),"Invalid date",IF(F276="","Select a revenue account",IF(ISNA(MATCH(F276,coa_Name,0)),"Unknown account: "&amp;F276,IF(NOT(ISNUMBER(G276)),"Enter an amount",IF(G276&lt;=0,"Amount must be positive",IF(S276&gt;G276,"Tax is larger than the amount",""))))))))))</f>
        <v/>
      </c>
      <c r="U276" s="67">
        <f>IF(OR(R276=1,T276&lt;&gt;""),"",IF(COUNTIF(ar_No,B276)&gt;1,"Duplicate invoice #",IF(D276="","Select a customer",IF(N(L276)&lt;0,"Overpaid by "&amp;TEXT(-L276,"#,##0.00"),IF(AND(ISNUMBER(H276),N(H276)&lt;&gt;0,S276=0),"Tax ignored (tax tracking is off)",IF(AND(ISNUMBER(StartDate),C276&lt;StartDate),"Date is before the accounting start date",IF(AND(IFERROR(INDEX(coa_Type,MATCH(F276,coa_Name,0)),"")&lt;&gt;"Revenue",IFERROR(INDEX(coa_Type,MATCH(F276,coa_Name,0)),"")&lt;&gt;"Other Income"),"Account is not a revenue account","")))))))</f>
        <v/>
      </c>
      <c r="V276" s="67">
        <f>IF(AND(R276=0,T276=""),1,0)</f>
        <v/>
      </c>
      <c r="W276" s="67">
        <f>IF(V276=1,acctAR,"")</f>
        <v/>
      </c>
      <c r="X276" s="67">
        <f>IF(V276=1,F276,"")</f>
        <v/>
      </c>
      <c r="Y276" s="68">
        <f>IF(V276=1,G276,0)</f>
        <v/>
      </c>
      <c r="Z276" s="68">
        <f>IF(V276=1,G276-S276,0)</f>
        <v/>
      </c>
      <c r="AA276" s="68">
        <f>IF(V276=1,S276,0)</f>
        <v/>
      </c>
    </row>
    <row r="277">
      <c r="B277" s="62" t="n"/>
      <c r="C277" s="63" t="n"/>
      <c r="D277" s="62" t="n"/>
      <c r="E277" s="62" t="n"/>
      <c r="F277" s="62" t="n"/>
      <c r="G277" s="64" t="n"/>
      <c r="H277" s="64" t="n"/>
      <c r="I277" s="63" t="n"/>
      <c r="J277" s="29">
        <f>IF(V277=1,IF(ISNUMBER(I277),I277,C277+IF(ISNUMBER(IFERROR(INDEX(cust_Terms,MATCH(D277,cust_Name,0)),"")),INDEX(cust_Terms,MATCH(D277,cust_Name,0)),TermsDays)),"")</f>
        <v/>
      </c>
      <c r="K277" s="65">
        <f>IF(V277=1,SUMIFS(tx_DrAmt,tx_Type,"Customer Payment",tx_Ref,B277&amp;"",tx_Date,"&lt;="&amp;AsOf),"")</f>
        <v/>
      </c>
      <c r="L277" s="65">
        <f>IF(V277=1,IF(C277&gt;AsOf,0,ROUND(G277-K277,2)),"")</f>
        <v/>
      </c>
      <c r="M277" s="66">
        <f>IF(V277&lt;&gt;1,"",IF(C277&gt;AsOf,"Future",IF(L277&lt;0,"Overpaid",IF(L277=0,"Paid",IF(AsOf&gt;J277,"Overdue",IF(K277&gt;0,"Partial","Unpaid"))))))</f>
        <v/>
      </c>
      <c r="N277" s="28">
        <f>IF(AND(V277=1,N(L277)&gt;0),AsOf-C277,"")</f>
        <v/>
      </c>
      <c r="O277" s="28">
        <f>IF(N277="","",MAX(0,AsOf-J277))</f>
        <v/>
      </c>
      <c r="P277" s="66">
        <f>IF(O277="","",IF(O277=0,"Current",IF(O277&lt;=30,"1-30",IF(O277&lt;=60,"31-60",IF(O277&lt;=90,"61-90","90+")))))</f>
        <v/>
      </c>
      <c r="Q277" s="66">
        <f>IF(T277&lt;&gt;"","⛔ "&amp;T277&amp;" — not posted",IF(U277&lt;&gt;"","⚠ "&amp;U277,IF(V277=1,"✓ OK","")))</f>
        <v/>
      </c>
      <c r="R277" s="67">
        <f>IF(AND(B277="",C277="",D277="",G277="",F277=""),1,0)</f>
        <v/>
      </c>
      <c r="S277" s="68">
        <f>IF(AND(TaxOn="Yes",ISNUMBER(H277)),H277,0)</f>
        <v/>
      </c>
      <c r="T277" s="67">
        <f>IF(R277=1,"",IF(B277="","Enter an invoice #",IF(C277="","Missing invoice date",IF(NOT(ISNUMBER(C277)),"Invalid date",IF(OR(C277&lt;DATE(2000,1,1),C277&gt;DATE(2099,12,31)),"Invalid date",IF(F277="","Select a revenue account",IF(ISNA(MATCH(F277,coa_Name,0)),"Unknown account: "&amp;F277,IF(NOT(ISNUMBER(G277)),"Enter an amount",IF(G277&lt;=0,"Amount must be positive",IF(S277&gt;G277,"Tax is larger than the amount",""))))))))))</f>
        <v/>
      </c>
      <c r="U277" s="67">
        <f>IF(OR(R277=1,T277&lt;&gt;""),"",IF(COUNTIF(ar_No,B277)&gt;1,"Duplicate invoice #",IF(D277="","Select a customer",IF(N(L277)&lt;0,"Overpaid by "&amp;TEXT(-L277,"#,##0.00"),IF(AND(ISNUMBER(H277),N(H277)&lt;&gt;0,S277=0),"Tax ignored (tax tracking is off)",IF(AND(ISNUMBER(StartDate),C277&lt;StartDate),"Date is before the accounting start date",IF(AND(IFERROR(INDEX(coa_Type,MATCH(F277,coa_Name,0)),"")&lt;&gt;"Revenue",IFERROR(INDEX(coa_Type,MATCH(F277,coa_Name,0)),"")&lt;&gt;"Other Income"),"Account is not a revenue account","")))))))</f>
        <v/>
      </c>
      <c r="V277" s="67">
        <f>IF(AND(R277=0,T277=""),1,0)</f>
        <v/>
      </c>
      <c r="W277" s="67">
        <f>IF(V277=1,acctAR,"")</f>
        <v/>
      </c>
      <c r="X277" s="67">
        <f>IF(V277=1,F277,"")</f>
        <v/>
      </c>
      <c r="Y277" s="68">
        <f>IF(V277=1,G277,0)</f>
        <v/>
      </c>
      <c r="Z277" s="68">
        <f>IF(V277=1,G277-S277,0)</f>
        <v/>
      </c>
      <c r="AA277" s="68">
        <f>IF(V277=1,S277,0)</f>
        <v/>
      </c>
    </row>
    <row r="278">
      <c r="B278" s="62" t="n"/>
      <c r="C278" s="63" t="n"/>
      <c r="D278" s="62" t="n"/>
      <c r="E278" s="62" t="n"/>
      <c r="F278" s="62" t="n"/>
      <c r="G278" s="64" t="n"/>
      <c r="H278" s="64" t="n"/>
      <c r="I278" s="63" t="n"/>
      <c r="J278" s="29">
        <f>IF(V278=1,IF(ISNUMBER(I278),I278,C278+IF(ISNUMBER(IFERROR(INDEX(cust_Terms,MATCH(D278,cust_Name,0)),"")),INDEX(cust_Terms,MATCH(D278,cust_Name,0)),TermsDays)),"")</f>
        <v/>
      </c>
      <c r="K278" s="65">
        <f>IF(V278=1,SUMIFS(tx_DrAmt,tx_Type,"Customer Payment",tx_Ref,B278&amp;"",tx_Date,"&lt;="&amp;AsOf),"")</f>
        <v/>
      </c>
      <c r="L278" s="65">
        <f>IF(V278=1,IF(C278&gt;AsOf,0,ROUND(G278-K278,2)),"")</f>
        <v/>
      </c>
      <c r="M278" s="66">
        <f>IF(V278&lt;&gt;1,"",IF(C278&gt;AsOf,"Future",IF(L278&lt;0,"Overpaid",IF(L278=0,"Paid",IF(AsOf&gt;J278,"Overdue",IF(K278&gt;0,"Partial","Unpaid"))))))</f>
        <v/>
      </c>
      <c r="N278" s="28">
        <f>IF(AND(V278=1,N(L278)&gt;0),AsOf-C278,"")</f>
        <v/>
      </c>
      <c r="O278" s="28">
        <f>IF(N278="","",MAX(0,AsOf-J278))</f>
        <v/>
      </c>
      <c r="P278" s="66">
        <f>IF(O278="","",IF(O278=0,"Current",IF(O278&lt;=30,"1-30",IF(O278&lt;=60,"31-60",IF(O278&lt;=90,"61-90","90+")))))</f>
        <v/>
      </c>
      <c r="Q278" s="66">
        <f>IF(T278&lt;&gt;"","⛔ "&amp;T278&amp;" — not posted",IF(U278&lt;&gt;"","⚠ "&amp;U278,IF(V278=1,"✓ OK","")))</f>
        <v/>
      </c>
      <c r="R278" s="67">
        <f>IF(AND(B278="",C278="",D278="",G278="",F278=""),1,0)</f>
        <v/>
      </c>
      <c r="S278" s="68">
        <f>IF(AND(TaxOn="Yes",ISNUMBER(H278)),H278,0)</f>
        <v/>
      </c>
      <c r="T278" s="67">
        <f>IF(R278=1,"",IF(B278="","Enter an invoice #",IF(C278="","Missing invoice date",IF(NOT(ISNUMBER(C278)),"Invalid date",IF(OR(C278&lt;DATE(2000,1,1),C278&gt;DATE(2099,12,31)),"Invalid date",IF(F278="","Select a revenue account",IF(ISNA(MATCH(F278,coa_Name,0)),"Unknown account: "&amp;F278,IF(NOT(ISNUMBER(G278)),"Enter an amount",IF(G278&lt;=0,"Amount must be positive",IF(S278&gt;G278,"Tax is larger than the amount",""))))))))))</f>
        <v/>
      </c>
      <c r="U278" s="67">
        <f>IF(OR(R278=1,T278&lt;&gt;""),"",IF(COUNTIF(ar_No,B278)&gt;1,"Duplicate invoice #",IF(D278="","Select a customer",IF(N(L278)&lt;0,"Overpaid by "&amp;TEXT(-L278,"#,##0.00"),IF(AND(ISNUMBER(H278),N(H278)&lt;&gt;0,S278=0),"Tax ignored (tax tracking is off)",IF(AND(ISNUMBER(StartDate),C278&lt;StartDate),"Date is before the accounting start date",IF(AND(IFERROR(INDEX(coa_Type,MATCH(F278,coa_Name,0)),"")&lt;&gt;"Revenue",IFERROR(INDEX(coa_Type,MATCH(F278,coa_Name,0)),"")&lt;&gt;"Other Income"),"Account is not a revenue account","")))))))</f>
        <v/>
      </c>
      <c r="V278" s="67">
        <f>IF(AND(R278=0,T278=""),1,0)</f>
        <v/>
      </c>
      <c r="W278" s="67">
        <f>IF(V278=1,acctAR,"")</f>
        <v/>
      </c>
      <c r="X278" s="67">
        <f>IF(V278=1,F278,"")</f>
        <v/>
      </c>
      <c r="Y278" s="68">
        <f>IF(V278=1,G278,0)</f>
        <v/>
      </c>
      <c r="Z278" s="68">
        <f>IF(V278=1,G278-S278,0)</f>
        <v/>
      </c>
      <c r="AA278" s="68">
        <f>IF(V278=1,S278,0)</f>
        <v/>
      </c>
    </row>
    <row r="279">
      <c r="B279" s="62" t="n"/>
      <c r="C279" s="63" t="n"/>
      <c r="D279" s="62" t="n"/>
      <c r="E279" s="62" t="n"/>
      <c r="F279" s="62" t="n"/>
      <c r="G279" s="64" t="n"/>
      <c r="H279" s="64" t="n"/>
      <c r="I279" s="63" t="n"/>
      <c r="J279" s="29">
        <f>IF(V279=1,IF(ISNUMBER(I279),I279,C279+IF(ISNUMBER(IFERROR(INDEX(cust_Terms,MATCH(D279,cust_Name,0)),"")),INDEX(cust_Terms,MATCH(D279,cust_Name,0)),TermsDays)),"")</f>
        <v/>
      </c>
      <c r="K279" s="65">
        <f>IF(V279=1,SUMIFS(tx_DrAmt,tx_Type,"Customer Payment",tx_Ref,B279&amp;"",tx_Date,"&lt;="&amp;AsOf),"")</f>
        <v/>
      </c>
      <c r="L279" s="65">
        <f>IF(V279=1,IF(C279&gt;AsOf,0,ROUND(G279-K279,2)),"")</f>
        <v/>
      </c>
      <c r="M279" s="66">
        <f>IF(V279&lt;&gt;1,"",IF(C279&gt;AsOf,"Future",IF(L279&lt;0,"Overpaid",IF(L279=0,"Paid",IF(AsOf&gt;J279,"Overdue",IF(K279&gt;0,"Partial","Unpaid"))))))</f>
        <v/>
      </c>
      <c r="N279" s="28">
        <f>IF(AND(V279=1,N(L279)&gt;0),AsOf-C279,"")</f>
        <v/>
      </c>
      <c r="O279" s="28">
        <f>IF(N279="","",MAX(0,AsOf-J279))</f>
        <v/>
      </c>
      <c r="P279" s="66">
        <f>IF(O279="","",IF(O279=0,"Current",IF(O279&lt;=30,"1-30",IF(O279&lt;=60,"31-60",IF(O279&lt;=90,"61-90","90+")))))</f>
        <v/>
      </c>
      <c r="Q279" s="66">
        <f>IF(T279&lt;&gt;"","⛔ "&amp;T279&amp;" — not posted",IF(U279&lt;&gt;"","⚠ "&amp;U279,IF(V279=1,"✓ OK","")))</f>
        <v/>
      </c>
      <c r="R279" s="67">
        <f>IF(AND(B279="",C279="",D279="",G279="",F279=""),1,0)</f>
        <v/>
      </c>
      <c r="S279" s="68">
        <f>IF(AND(TaxOn="Yes",ISNUMBER(H279)),H279,0)</f>
        <v/>
      </c>
      <c r="T279" s="67">
        <f>IF(R279=1,"",IF(B279="","Enter an invoice #",IF(C279="","Missing invoice date",IF(NOT(ISNUMBER(C279)),"Invalid date",IF(OR(C279&lt;DATE(2000,1,1),C279&gt;DATE(2099,12,31)),"Invalid date",IF(F279="","Select a revenue account",IF(ISNA(MATCH(F279,coa_Name,0)),"Unknown account: "&amp;F279,IF(NOT(ISNUMBER(G279)),"Enter an amount",IF(G279&lt;=0,"Amount must be positive",IF(S279&gt;G279,"Tax is larger than the amount",""))))))))))</f>
        <v/>
      </c>
      <c r="U279" s="67">
        <f>IF(OR(R279=1,T279&lt;&gt;""),"",IF(COUNTIF(ar_No,B279)&gt;1,"Duplicate invoice #",IF(D279="","Select a customer",IF(N(L279)&lt;0,"Overpaid by "&amp;TEXT(-L279,"#,##0.00"),IF(AND(ISNUMBER(H279),N(H279)&lt;&gt;0,S279=0),"Tax ignored (tax tracking is off)",IF(AND(ISNUMBER(StartDate),C279&lt;StartDate),"Date is before the accounting start date",IF(AND(IFERROR(INDEX(coa_Type,MATCH(F279,coa_Name,0)),"")&lt;&gt;"Revenue",IFERROR(INDEX(coa_Type,MATCH(F279,coa_Name,0)),"")&lt;&gt;"Other Income"),"Account is not a revenue account","")))))))</f>
        <v/>
      </c>
      <c r="V279" s="67">
        <f>IF(AND(R279=0,T279=""),1,0)</f>
        <v/>
      </c>
      <c r="W279" s="67">
        <f>IF(V279=1,acctAR,"")</f>
        <v/>
      </c>
      <c r="X279" s="67">
        <f>IF(V279=1,F279,"")</f>
        <v/>
      </c>
      <c r="Y279" s="68">
        <f>IF(V279=1,G279,0)</f>
        <v/>
      </c>
      <c r="Z279" s="68">
        <f>IF(V279=1,G279-S279,0)</f>
        <v/>
      </c>
      <c r="AA279" s="68">
        <f>IF(V279=1,S279,0)</f>
        <v/>
      </c>
    </row>
    <row r="280">
      <c r="B280" s="62" t="n"/>
      <c r="C280" s="63" t="n"/>
      <c r="D280" s="62" t="n"/>
      <c r="E280" s="62" t="n"/>
      <c r="F280" s="62" t="n"/>
      <c r="G280" s="64" t="n"/>
      <c r="H280" s="64" t="n"/>
      <c r="I280" s="63" t="n"/>
      <c r="J280" s="29">
        <f>IF(V280=1,IF(ISNUMBER(I280),I280,C280+IF(ISNUMBER(IFERROR(INDEX(cust_Terms,MATCH(D280,cust_Name,0)),"")),INDEX(cust_Terms,MATCH(D280,cust_Name,0)),TermsDays)),"")</f>
        <v/>
      </c>
      <c r="K280" s="65">
        <f>IF(V280=1,SUMIFS(tx_DrAmt,tx_Type,"Customer Payment",tx_Ref,B280&amp;"",tx_Date,"&lt;="&amp;AsOf),"")</f>
        <v/>
      </c>
      <c r="L280" s="65">
        <f>IF(V280=1,IF(C280&gt;AsOf,0,ROUND(G280-K280,2)),"")</f>
        <v/>
      </c>
      <c r="M280" s="66">
        <f>IF(V280&lt;&gt;1,"",IF(C280&gt;AsOf,"Future",IF(L280&lt;0,"Overpaid",IF(L280=0,"Paid",IF(AsOf&gt;J280,"Overdue",IF(K280&gt;0,"Partial","Unpaid"))))))</f>
        <v/>
      </c>
      <c r="N280" s="28">
        <f>IF(AND(V280=1,N(L280)&gt;0),AsOf-C280,"")</f>
        <v/>
      </c>
      <c r="O280" s="28">
        <f>IF(N280="","",MAX(0,AsOf-J280))</f>
        <v/>
      </c>
      <c r="P280" s="66">
        <f>IF(O280="","",IF(O280=0,"Current",IF(O280&lt;=30,"1-30",IF(O280&lt;=60,"31-60",IF(O280&lt;=90,"61-90","90+")))))</f>
        <v/>
      </c>
      <c r="Q280" s="66">
        <f>IF(T280&lt;&gt;"","⛔ "&amp;T280&amp;" — not posted",IF(U280&lt;&gt;"","⚠ "&amp;U280,IF(V280=1,"✓ OK","")))</f>
        <v/>
      </c>
      <c r="R280" s="67">
        <f>IF(AND(B280="",C280="",D280="",G280="",F280=""),1,0)</f>
        <v/>
      </c>
      <c r="S280" s="68">
        <f>IF(AND(TaxOn="Yes",ISNUMBER(H280)),H280,0)</f>
        <v/>
      </c>
      <c r="T280" s="67">
        <f>IF(R280=1,"",IF(B280="","Enter an invoice #",IF(C280="","Missing invoice date",IF(NOT(ISNUMBER(C280)),"Invalid date",IF(OR(C280&lt;DATE(2000,1,1),C280&gt;DATE(2099,12,31)),"Invalid date",IF(F280="","Select a revenue account",IF(ISNA(MATCH(F280,coa_Name,0)),"Unknown account: "&amp;F280,IF(NOT(ISNUMBER(G280)),"Enter an amount",IF(G280&lt;=0,"Amount must be positive",IF(S280&gt;G280,"Tax is larger than the amount",""))))))))))</f>
        <v/>
      </c>
      <c r="U280" s="67">
        <f>IF(OR(R280=1,T280&lt;&gt;""),"",IF(COUNTIF(ar_No,B280)&gt;1,"Duplicate invoice #",IF(D280="","Select a customer",IF(N(L280)&lt;0,"Overpaid by "&amp;TEXT(-L280,"#,##0.00"),IF(AND(ISNUMBER(H280),N(H280)&lt;&gt;0,S280=0),"Tax ignored (tax tracking is off)",IF(AND(ISNUMBER(StartDate),C280&lt;StartDate),"Date is before the accounting start date",IF(AND(IFERROR(INDEX(coa_Type,MATCH(F280,coa_Name,0)),"")&lt;&gt;"Revenue",IFERROR(INDEX(coa_Type,MATCH(F280,coa_Name,0)),"")&lt;&gt;"Other Income"),"Account is not a revenue account","")))))))</f>
        <v/>
      </c>
      <c r="V280" s="67">
        <f>IF(AND(R280=0,T280=""),1,0)</f>
        <v/>
      </c>
      <c r="W280" s="67">
        <f>IF(V280=1,acctAR,"")</f>
        <v/>
      </c>
      <c r="X280" s="67">
        <f>IF(V280=1,F280,"")</f>
        <v/>
      </c>
      <c r="Y280" s="68">
        <f>IF(V280=1,G280,0)</f>
        <v/>
      </c>
      <c r="Z280" s="68">
        <f>IF(V280=1,G280-S280,0)</f>
        <v/>
      </c>
      <c r="AA280" s="68">
        <f>IF(V280=1,S280,0)</f>
        <v/>
      </c>
    </row>
    <row r="281">
      <c r="B281" s="62" t="n"/>
      <c r="C281" s="63" t="n"/>
      <c r="D281" s="62" t="n"/>
      <c r="E281" s="62" t="n"/>
      <c r="F281" s="62" t="n"/>
      <c r="G281" s="64" t="n"/>
      <c r="H281" s="64" t="n"/>
      <c r="I281" s="63" t="n"/>
      <c r="J281" s="29">
        <f>IF(V281=1,IF(ISNUMBER(I281),I281,C281+IF(ISNUMBER(IFERROR(INDEX(cust_Terms,MATCH(D281,cust_Name,0)),"")),INDEX(cust_Terms,MATCH(D281,cust_Name,0)),TermsDays)),"")</f>
        <v/>
      </c>
      <c r="K281" s="65">
        <f>IF(V281=1,SUMIFS(tx_DrAmt,tx_Type,"Customer Payment",tx_Ref,B281&amp;"",tx_Date,"&lt;="&amp;AsOf),"")</f>
        <v/>
      </c>
      <c r="L281" s="65">
        <f>IF(V281=1,IF(C281&gt;AsOf,0,ROUND(G281-K281,2)),"")</f>
        <v/>
      </c>
      <c r="M281" s="66">
        <f>IF(V281&lt;&gt;1,"",IF(C281&gt;AsOf,"Future",IF(L281&lt;0,"Overpaid",IF(L281=0,"Paid",IF(AsOf&gt;J281,"Overdue",IF(K281&gt;0,"Partial","Unpaid"))))))</f>
        <v/>
      </c>
      <c r="N281" s="28">
        <f>IF(AND(V281=1,N(L281)&gt;0),AsOf-C281,"")</f>
        <v/>
      </c>
      <c r="O281" s="28">
        <f>IF(N281="","",MAX(0,AsOf-J281))</f>
        <v/>
      </c>
      <c r="P281" s="66">
        <f>IF(O281="","",IF(O281=0,"Current",IF(O281&lt;=30,"1-30",IF(O281&lt;=60,"31-60",IF(O281&lt;=90,"61-90","90+")))))</f>
        <v/>
      </c>
      <c r="Q281" s="66">
        <f>IF(T281&lt;&gt;"","⛔ "&amp;T281&amp;" — not posted",IF(U281&lt;&gt;"","⚠ "&amp;U281,IF(V281=1,"✓ OK","")))</f>
        <v/>
      </c>
      <c r="R281" s="67">
        <f>IF(AND(B281="",C281="",D281="",G281="",F281=""),1,0)</f>
        <v/>
      </c>
      <c r="S281" s="68">
        <f>IF(AND(TaxOn="Yes",ISNUMBER(H281)),H281,0)</f>
        <v/>
      </c>
      <c r="T281" s="67">
        <f>IF(R281=1,"",IF(B281="","Enter an invoice #",IF(C281="","Missing invoice date",IF(NOT(ISNUMBER(C281)),"Invalid date",IF(OR(C281&lt;DATE(2000,1,1),C281&gt;DATE(2099,12,31)),"Invalid date",IF(F281="","Select a revenue account",IF(ISNA(MATCH(F281,coa_Name,0)),"Unknown account: "&amp;F281,IF(NOT(ISNUMBER(G281)),"Enter an amount",IF(G281&lt;=0,"Amount must be positive",IF(S281&gt;G281,"Tax is larger than the amount",""))))))))))</f>
        <v/>
      </c>
      <c r="U281" s="67">
        <f>IF(OR(R281=1,T281&lt;&gt;""),"",IF(COUNTIF(ar_No,B281)&gt;1,"Duplicate invoice #",IF(D281="","Select a customer",IF(N(L281)&lt;0,"Overpaid by "&amp;TEXT(-L281,"#,##0.00"),IF(AND(ISNUMBER(H281),N(H281)&lt;&gt;0,S281=0),"Tax ignored (tax tracking is off)",IF(AND(ISNUMBER(StartDate),C281&lt;StartDate),"Date is before the accounting start date",IF(AND(IFERROR(INDEX(coa_Type,MATCH(F281,coa_Name,0)),"")&lt;&gt;"Revenue",IFERROR(INDEX(coa_Type,MATCH(F281,coa_Name,0)),"")&lt;&gt;"Other Income"),"Account is not a revenue account","")))))))</f>
        <v/>
      </c>
      <c r="V281" s="67">
        <f>IF(AND(R281=0,T281=""),1,0)</f>
        <v/>
      </c>
      <c r="W281" s="67">
        <f>IF(V281=1,acctAR,"")</f>
        <v/>
      </c>
      <c r="X281" s="67">
        <f>IF(V281=1,F281,"")</f>
        <v/>
      </c>
      <c r="Y281" s="68">
        <f>IF(V281=1,G281,0)</f>
        <v/>
      </c>
      <c r="Z281" s="68">
        <f>IF(V281=1,G281-S281,0)</f>
        <v/>
      </c>
      <c r="AA281" s="68">
        <f>IF(V281=1,S281,0)</f>
        <v/>
      </c>
    </row>
    <row r="282">
      <c r="B282" s="62" t="n"/>
      <c r="C282" s="63" t="n"/>
      <c r="D282" s="62" t="n"/>
      <c r="E282" s="62" t="n"/>
      <c r="F282" s="62" t="n"/>
      <c r="G282" s="64" t="n"/>
      <c r="H282" s="64" t="n"/>
      <c r="I282" s="63" t="n"/>
      <c r="J282" s="29">
        <f>IF(V282=1,IF(ISNUMBER(I282),I282,C282+IF(ISNUMBER(IFERROR(INDEX(cust_Terms,MATCH(D282,cust_Name,0)),"")),INDEX(cust_Terms,MATCH(D282,cust_Name,0)),TermsDays)),"")</f>
        <v/>
      </c>
      <c r="K282" s="65">
        <f>IF(V282=1,SUMIFS(tx_DrAmt,tx_Type,"Customer Payment",tx_Ref,B282&amp;"",tx_Date,"&lt;="&amp;AsOf),"")</f>
        <v/>
      </c>
      <c r="L282" s="65">
        <f>IF(V282=1,IF(C282&gt;AsOf,0,ROUND(G282-K282,2)),"")</f>
        <v/>
      </c>
      <c r="M282" s="66">
        <f>IF(V282&lt;&gt;1,"",IF(C282&gt;AsOf,"Future",IF(L282&lt;0,"Overpaid",IF(L282=0,"Paid",IF(AsOf&gt;J282,"Overdue",IF(K282&gt;0,"Partial","Unpaid"))))))</f>
        <v/>
      </c>
      <c r="N282" s="28">
        <f>IF(AND(V282=1,N(L282)&gt;0),AsOf-C282,"")</f>
        <v/>
      </c>
      <c r="O282" s="28">
        <f>IF(N282="","",MAX(0,AsOf-J282))</f>
        <v/>
      </c>
      <c r="P282" s="66">
        <f>IF(O282="","",IF(O282=0,"Current",IF(O282&lt;=30,"1-30",IF(O282&lt;=60,"31-60",IF(O282&lt;=90,"61-90","90+")))))</f>
        <v/>
      </c>
      <c r="Q282" s="66">
        <f>IF(T282&lt;&gt;"","⛔ "&amp;T282&amp;" — not posted",IF(U282&lt;&gt;"","⚠ "&amp;U282,IF(V282=1,"✓ OK","")))</f>
        <v/>
      </c>
      <c r="R282" s="67">
        <f>IF(AND(B282="",C282="",D282="",G282="",F282=""),1,0)</f>
        <v/>
      </c>
      <c r="S282" s="68">
        <f>IF(AND(TaxOn="Yes",ISNUMBER(H282)),H282,0)</f>
        <v/>
      </c>
      <c r="T282" s="67">
        <f>IF(R282=1,"",IF(B282="","Enter an invoice #",IF(C282="","Missing invoice date",IF(NOT(ISNUMBER(C282)),"Invalid date",IF(OR(C282&lt;DATE(2000,1,1),C282&gt;DATE(2099,12,31)),"Invalid date",IF(F282="","Select a revenue account",IF(ISNA(MATCH(F282,coa_Name,0)),"Unknown account: "&amp;F282,IF(NOT(ISNUMBER(G282)),"Enter an amount",IF(G282&lt;=0,"Amount must be positive",IF(S282&gt;G282,"Tax is larger than the amount",""))))))))))</f>
        <v/>
      </c>
      <c r="U282" s="67">
        <f>IF(OR(R282=1,T282&lt;&gt;""),"",IF(COUNTIF(ar_No,B282)&gt;1,"Duplicate invoice #",IF(D282="","Select a customer",IF(N(L282)&lt;0,"Overpaid by "&amp;TEXT(-L282,"#,##0.00"),IF(AND(ISNUMBER(H282),N(H282)&lt;&gt;0,S282=0),"Tax ignored (tax tracking is off)",IF(AND(ISNUMBER(StartDate),C282&lt;StartDate),"Date is before the accounting start date",IF(AND(IFERROR(INDEX(coa_Type,MATCH(F282,coa_Name,0)),"")&lt;&gt;"Revenue",IFERROR(INDEX(coa_Type,MATCH(F282,coa_Name,0)),"")&lt;&gt;"Other Income"),"Account is not a revenue account","")))))))</f>
        <v/>
      </c>
      <c r="V282" s="67">
        <f>IF(AND(R282=0,T282=""),1,0)</f>
        <v/>
      </c>
      <c r="W282" s="67">
        <f>IF(V282=1,acctAR,"")</f>
        <v/>
      </c>
      <c r="X282" s="67">
        <f>IF(V282=1,F282,"")</f>
        <v/>
      </c>
      <c r="Y282" s="68">
        <f>IF(V282=1,G282,0)</f>
        <v/>
      </c>
      <c r="Z282" s="68">
        <f>IF(V282=1,G282-S282,0)</f>
        <v/>
      </c>
      <c r="AA282" s="68">
        <f>IF(V282=1,S282,0)</f>
        <v/>
      </c>
    </row>
    <row r="283">
      <c r="B283" s="62" t="n"/>
      <c r="C283" s="63" t="n"/>
      <c r="D283" s="62" t="n"/>
      <c r="E283" s="62" t="n"/>
      <c r="F283" s="62" t="n"/>
      <c r="G283" s="64" t="n"/>
      <c r="H283" s="64" t="n"/>
      <c r="I283" s="63" t="n"/>
      <c r="J283" s="29">
        <f>IF(V283=1,IF(ISNUMBER(I283),I283,C283+IF(ISNUMBER(IFERROR(INDEX(cust_Terms,MATCH(D283,cust_Name,0)),"")),INDEX(cust_Terms,MATCH(D283,cust_Name,0)),TermsDays)),"")</f>
        <v/>
      </c>
      <c r="K283" s="65">
        <f>IF(V283=1,SUMIFS(tx_DrAmt,tx_Type,"Customer Payment",tx_Ref,B283&amp;"",tx_Date,"&lt;="&amp;AsOf),"")</f>
        <v/>
      </c>
      <c r="L283" s="65">
        <f>IF(V283=1,IF(C283&gt;AsOf,0,ROUND(G283-K283,2)),"")</f>
        <v/>
      </c>
      <c r="M283" s="66">
        <f>IF(V283&lt;&gt;1,"",IF(C283&gt;AsOf,"Future",IF(L283&lt;0,"Overpaid",IF(L283=0,"Paid",IF(AsOf&gt;J283,"Overdue",IF(K283&gt;0,"Partial","Unpaid"))))))</f>
        <v/>
      </c>
      <c r="N283" s="28">
        <f>IF(AND(V283=1,N(L283)&gt;0),AsOf-C283,"")</f>
        <v/>
      </c>
      <c r="O283" s="28">
        <f>IF(N283="","",MAX(0,AsOf-J283))</f>
        <v/>
      </c>
      <c r="P283" s="66">
        <f>IF(O283="","",IF(O283=0,"Current",IF(O283&lt;=30,"1-30",IF(O283&lt;=60,"31-60",IF(O283&lt;=90,"61-90","90+")))))</f>
        <v/>
      </c>
      <c r="Q283" s="66">
        <f>IF(T283&lt;&gt;"","⛔ "&amp;T283&amp;" — not posted",IF(U283&lt;&gt;"","⚠ "&amp;U283,IF(V283=1,"✓ OK","")))</f>
        <v/>
      </c>
      <c r="R283" s="67">
        <f>IF(AND(B283="",C283="",D283="",G283="",F283=""),1,0)</f>
        <v/>
      </c>
      <c r="S283" s="68">
        <f>IF(AND(TaxOn="Yes",ISNUMBER(H283)),H283,0)</f>
        <v/>
      </c>
      <c r="T283" s="67">
        <f>IF(R283=1,"",IF(B283="","Enter an invoice #",IF(C283="","Missing invoice date",IF(NOT(ISNUMBER(C283)),"Invalid date",IF(OR(C283&lt;DATE(2000,1,1),C283&gt;DATE(2099,12,31)),"Invalid date",IF(F283="","Select a revenue account",IF(ISNA(MATCH(F283,coa_Name,0)),"Unknown account: "&amp;F283,IF(NOT(ISNUMBER(G283)),"Enter an amount",IF(G283&lt;=0,"Amount must be positive",IF(S283&gt;G283,"Tax is larger than the amount",""))))))))))</f>
        <v/>
      </c>
      <c r="U283" s="67">
        <f>IF(OR(R283=1,T283&lt;&gt;""),"",IF(COUNTIF(ar_No,B283)&gt;1,"Duplicate invoice #",IF(D283="","Select a customer",IF(N(L283)&lt;0,"Overpaid by "&amp;TEXT(-L283,"#,##0.00"),IF(AND(ISNUMBER(H283),N(H283)&lt;&gt;0,S283=0),"Tax ignored (tax tracking is off)",IF(AND(ISNUMBER(StartDate),C283&lt;StartDate),"Date is before the accounting start date",IF(AND(IFERROR(INDEX(coa_Type,MATCH(F283,coa_Name,0)),"")&lt;&gt;"Revenue",IFERROR(INDEX(coa_Type,MATCH(F283,coa_Name,0)),"")&lt;&gt;"Other Income"),"Account is not a revenue account","")))))))</f>
        <v/>
      </c>
      <c r="V283" s="67">
        <f>IF(AND(R283=0,T283=""),1,0)</f>
        <v/>
      </c>
      <c r="W283" s="67">
        <f>IF(V283=1,acctAR,"")</f>
        <v/>
      </c>
      <c r="X283" s="67">
        <f>IF(V283=1,F283,"")</f>
        <v/>
      </c>
      <c r="Y283" s="68">
        <f>IF(V283=1,G283,0)</f>
        <v/>
      </c>
      <c r="Z283" s="68">
        <f>IF(V283=1,G283-S283,0)</f>
        <v/>
      </c>
      <c r="AA283" s="68">
        <f>IF(V283=1,S283,0)</f>
        <v/>
      </c>
    </row>
    <row r="284">
      <c r="B284" s="62" t="n"/>
      <c r="C284" s="63" t="n"/>
      <c r="D284" s="62" t="n"/>
      <c r="E284" s="62" t="n"/>
      <c r="F284" s="62" t="n"/>
      <c r="G284" s="64" t="n"/>
      <c r="H284" s="64" t="n"/>
      <c r="I284" s="63" t="n"/>
      <c r="J284" s="29">
        <f>IF(V284=1,IF(ISNUMBER(I284),I284,C284+IF(ISNUMBER(IFERROR(INDEX(cust_Terms,MATCH(D284,cust_Name,0)),"")),INDEX(cust_Terms,MATCH(D284,cust_Name,0)),TermsDays)),"")</f>
        <v/>
      </c>
      <c r="K284" s="65">
        <f>IF(V284=1,SUMIFS(tx_DrAmt,tx_Type,"Customer Payment",tx_Ref,B284&amp;"",tx_Date,"&lt;="&amp;AsOf),"")</f>
        <v/>
      </c>
      <c r="L284" s="65">
        <f>IF(V284=1,IF(C284&gt;AsOf,0,ROUND(G284-K284,2)),"")</f>
        <v/>
      </c>
      <c r="M284" s="66">
        <f>IF(V284&lt;&gt;1,"",IF(C284&gt;AsOf,"Future",IF(L284&lt;0,"Overpaid",IF(L284=0,"Paid",IF(AsOf&gt;J284,"Overdue",IF(K284&gt;0,"Partial","Unpaid"))))))</f>
        <v/>
      </c>
      <c r="N284" s="28">
        <f>IF(AND(V284=1,N(L284)&gt;0),AsOf-C284,"")</f>
        <v/>
      </c>
      <c r="O284" s="28">
        <f>IF(N284="","",MAX(0,AsOf-J284))</f>
        <v/>
      </c>
      <c r="P284" s="66">
        <f>IF(O284="","",IF(O284=0,"Current",IF(O284&lt;=30,"1-30",IF(O284&lt;=60,"31-60",IF(O284&lt;=90,"61-90","90+")))))</f>
        <v/>
      </c>
      <c r="Q284" s="66">
        <f>IF(T284&lt;&gt;"","⛔ "&amp;T284&amp;" — not posted",IF(U284&lt;&gt;"","⚠ "&amp;U284,IF(V284=1,"✓ OK","")))</f>
        <v/>
      </c>
      <c r="R284" s="67">
        <f>IF(AND(B284="",C284="",D284="",G284="",F284=""),1,0)</f>
        <v/>
      </c>
      <c r="S284" s="68">
        <f>IF(AND(TaxOn="Yes",ISNUMBER(H284)),H284,0)</f>
        <v/>
      </c>
      <c r="T284" s="67">
        <f>IF(R284=1,"",IF(B284="","Enter an invoice #",IF(C284="","Missing invoice date",IF(NOT(ISNUMBER(C284)),"Invalid date",IF(OR(C284&lt;DATE(2000,1,1),C284&gt;DATE(2099,12,31)),"Invalid date",IF(F284="","Select a revenue account",IF(ISNA(MATCH(F284,coa_Name,0)),"Unknown account: "&amp;F284,IF(NOT(ISNUMBER(G284)),"Enter an amount",IF(G284&lt;=0,"Amount must be positive",IF(S284&gt;G284,"Tax is larger than the amount",""))))))))))</f>
        <v/>
      </c>
      <c r="U284" s="67">
        <f>IF(OR(R284=1,T284&lt;&gt;""),"",IF(COUNTIF(ar_No,B284)&gt;1,"Duplicate invoice #",IF(D284="","Select a customer",IF(N(L284)&lt;0,"Overpaid by "&amp;TEXT(-L284,"#,##0.00"),IF(AND(ISNUMBER(H284),N(H284)&lt;&gt;0,S284=0),"Tax ignored (tax tracking is off)",IF(AND(ISNUMBER(StartDate),C284&lt;StartDate),"Date is before the accounting start date",IF(AND(IFERROR(INDEX(coa_Type,MATCH(F284,coa_Name,0)),"")&lt;&gt;"Revenue",IFERROR(INDEX(coa_Type,MATCH(F284,coa_Name,0)),"")&lt;&gt;"Other Income"),"Account is not a revenue account","")))))))</f>
        <v/>
      </c>
      <c r="V284" s="67">
        <f>IF(AND(R284=0,T284=""),1,0)</f>
        <v/>
      </c>
      <c r="W284" s="67">
        <f>IF(V284=1,acctAR,"")</f>
        <v/>
      </c>
      <c r="X284" s="67">
        <f>IF(V284=1,F284,"")</f>
        <v/>
      </c>
      <c r="Y284" s="68">
        <f>IF(V284=1,G284,0)</f>
        <v/>
      </c>
      <c r="Z284" s="68">
        <f>IF(V284=1,G284-S284,0)</f>
        <v/>
      </c>
      <c r="AA284" s="68">
        <f>IF(V284=1,S284,0)</f>
        <v/>
      </c>
    </row>
    <row r="285">
      <c r="B285" s="62" t="n"/>
      <c r="C285" s="63" t="n"/>
      <c r="D285" s="62" t="n"/>
      <c r="E285" s="62" t="n"/>
      <c r="F285" s="62" t="n"/>
      <c r="G285" s="64" t="n"/>
      <c r="H285" s="64" t="n"/>
      <c r="I285" s="63" t="n"/>
      <c r="J285" s="29">
        <f>IF(V285=1,IF(ISNUMBER(I285),I285,C285+IF(ISNUMBER(IFERROR(INDEX(cust_Terms,MATCH(D285,cust_Name,0)),"")),INDEX(cust_Terms,MATCH(D285,cust_Name,0)),TermsDays)),"")</f>
        <v/>
      </c>
      <c r="K285" s="65">
        <f>IF(V285=1,SUMIFS(tx_DrAmt,tx_Type,"Customer Payment",tx_Ref,B285&amp;"",tx_Date,"&lt;="&amp;AsOf),"")</f>
        <v/>
      </c>
      <c r="L285" s="65">
        <f>IF(V285=1,IF(C285&gt;AsOf,0,ROUND(G285-K285,2)),"")</f>
        <v/>
      </c>
      <c r="M285" s="66">
        <f>IF(V285&lt;&gt;1,"",IF(C285&gt;AsOf,"Future",IF(L285&lt;0,"Overpaid",IF(L285=0,"Paid",IF(AsOf&gt;J285,"Overdue",IF(K285&gt;0,"Partial","Unpaid"))))))</f>
        <v/>
      </c>
      <c r="N285" s="28">
        <f>IF(AND(V285=1,N(L285)&gt;0),AsOf-C285,"")</f>
        <v/>
      </c>
      <c r="O285" s="28">
        <f>IF(N285="","",MAX(0,AsOf-J285))</f>
        <v/>
      </c>
      <c r="P285" s="66">
        <f>IF(O285="","",IF(O285=0,"Current",IF(O285&lt;=30,"1-30",IF(O285&lt;=60,"31-60",IF(O285&lt;=90,"61-90","90+")))))</f>
        <v/>
      </c>
      <c r="Q285" s="66">
        <f>IF(T285&lt;&gt;"","⛔ "&amp;T285&amp;" — not posted",IF(U285&lt;&gt;"","⚠ "&amp;U285,IF(V285=1,"✓ OK","")))</f>
        <v/>
      </c>
      <c r="R285" s="67">
        <f>IF(AND(B285="",C285="",D285="",G285="",F285=""),1,0)</f>
        <v/>
      </c>
      <c r="S285" s="68">
        <f>IF(AND(TaxOn="Yes",ISNUMBER(H285)),H285,0)</f>
        <v/>
      </c>
      <c r="T285" s="67">
        <f>IF(R285=1,"",IF(B285="","Enter an invoice #",IF(C285="","Missing invoice date",IF(NOT(ISNUMBER(C285)),"Invalid date",IF(OR(C285&lt;DATE(2000,1,1),C285&gt;DATE(2099,12,31)),"Invalid date",IF(F285="","Select a revenue account",IF(ISNA(MATCH(F285,coa_Name,0)),"Unknown account: "&amp;F285,IF(NOT(ISNUMBER(G285)),"Enter an amount",IF(G285&lt;=0,"Amount must be positive",IF(S285&gt;G285,"Tax is larger than the amount",""))))))))))</f>
        <v/>
      </c>
      <c r="U285" s="67">
        <f>IF(OR(R285=1,T285&lt;&gt;""),"",IF(COUNTIF(ar_No,B285)&gt;1,"Duplicate invoice #",IF(D285="","Select a customer",IF(N(L285)&lt;0,"Overpaid by "&amp;TEXT(-L285,"#,##0.00"),IF(AND(ISNUMBER(H285),N(H285)&lt;&gt;0,S285=0),"Tax ignored (tax tracking is off)",IF(AND(ISNUMBER(StartDate),C285&lt;StartDate),"Date is before the accounting start date",IF(AND(IFERROR(INDEX(coa_Type,MATCH(F285,coa_Name,0)),"")&lt;&gt;"Revenue",IFERROR(INDEX(coa_Type,MATCH(F285,coa_Name,0)),"")&lt;&gt;"Other Income"),"Account is not a revenue account","")))))))</f>
        <v/>
      </c>
      <c r="V285" s="67">
        <f>IF(AND(R285=0,T285=""),1,0)</f>
        <v/>
      </c>
      <c r="W285" s="67">
        <f>IF(V285=1,acctAR,"")</f>
        <v/>
      </c>
      <c r="X285" s="67">
        <f>IF(V285=1,F285,"")</f>
        <v/>
      </c>
      <c r="Y285" s="68">
        <f>IF(V285=1,G285,0)</f>
        <v/>
      </c>
      <c r="Z285" s="68">
        <f>IF(V285=1,G285-S285,0)</f>
        <v/>
      </c>
      <c r="AA285" s="68">
        <f>IF(V285=1,S285,0)</f>
        <v/>
      </c>
    </row>
    <row r="286">
      <c r="B286" s="62" t="n"/>
      <c r="C286" s="63" t="n"/>
      <c r="D286" s="62" t="n"/>
      <c r="E286" s="62" t="n"/>
      <c r="F286" s="62" t="n"/>
      <c r="G286" s="64" t="n"/>
      <c r="H286" s="64" t="n"/>
      <c r="I286" s="63" t="n"/>
      <c r="J286" s="29">
        <f>IF(V286=1,IF(ISNUMBER(I286),I286,C286+IF(ISNUMBER(IFERROR(INDEX(cust_Terms,MATCH(D286,cust_Name,0)),"")),INDEX(cust_Terms,MATCH(D286,cust_Name,0)),TermsDays)),"")</f>
        <v/>
      </c>
      <c r="K286" s="65">
        <f>IF(V286=1,SUMIFS(tx_DrAmt,tx_Type,"Customer Payment",tx_Ref,B286&amp;"",tx_Date,"&lt;="&amp;AsOf),"")</f>
        <v/>
      </c>
      <c r="L286" s="65">
        <f>IF(V286=1,IF(C286&gt;AsOf,0,ROUND(G286-K286,2)),"")</f>
        <v/>
      </c>
      <c r="M286" s="66">
        <f>IF(V286&lt;&gt;1,"",IF(C286&gt;AsOf,"Future",IF(L286&lt;0,"Overpaid",IF(L286=0,"Paid",IF(AsOf&gt;J286,"Overdue",IF(K286&gt;0,"Partial","Unpaid"))))))</f>
        <v/>
      </c>
      <c r="N286" s="28">
        <f>IF(AND(V286=1,N(L286)&gt;0),AsOf-C286,"")</f>
        <v/>
      </c>
      <c r="O286" s="28">
        <f>IF(N286="","",MAX(0,AsOf-J286))</f>
        <v/>
      </c>
      <c r="P286" s="66">
        <f>IF(O286="","",IF(O286=0,"Current",IF(O286&lt;=30,"1-30",IF(O286&lt;=60,"31-60",IF(O286&lt;=90,"61-90","90+")))))</f>
        <v/>
      </c>
      <c r="Q286" s="66">
        <f>IF(T286&lt;&gt;"","⛔ "&amp;T286&amp;" — not posted",IF(U286&lt;&gt;"","⚠ "&amp;U286,IF(V286=1,"✓ OK","")))</f>
        <v/>
      </c>
      <c r="R286" s="67">
        <f>IF(AND(B286="",C286="",D286="",G286="",F286=""),1,0)</f>
        <v/>
      </c>
      <c r="S286" s="68">
        <f>IF(AND(TaxOn="Yes",ISNUMBER(H286)),H286,0)</f>
        <v/>
      </c>
      <c r="T286" s="67">
        <f>IF(R286=1,"",IF(B286="","Enter an invoice #",IF(C286="","Missing invoice date",IF(NOT(ISNUMBER(C286)),"Invalid date",IF(OR(C286&lt;DATE(2000,1,1),C286&gt;DATE(2099,12,31)),"Invalid date",IF(F286="","Select a revenue account",IF(ISNA(MATCH(F286,coa_Name,0)),"Unknown account: "&amp;F286,IF(NOT(ISNUMBER(G286)),"Enter an amount",IF(G286&lt;=0,"Amount must be positive",IF(S286&gt;G286,"Tax is larger than the amount",""))))))))))</f>
        <v/>
      </c>
      <c r="U286" s="67">
        <f>IF(OR(R286=1,T286&lt;&gt;""),"",IF(COUNTIF(ar_No,B286)&gt;1,"Duplicate invoice #",IF(D286="","Select a customer",IF(N(L286)&lt;0,"Overpaid by "&amp;TEXT(-L286,"#,##0.00"),IF(AND(ISNUMBER(H286),N(H286)&lt;&gt;0,S286=0),"Tax ignored (tax tracking is off)",IF(AND(ISNUMBER(StartDate),C286&lt;StartDate),"Date is before the accounting start date",IF(AND(IFERROR(INDEX(coa_Type,MATCH(F286,coa_Name,0)),"")&lt;&gt;"Revenue",IFERROR(INDEX(coa_Type,MATCH(F286,coa_Name,0)),"")&lt;&gt;"Other Income"),"Account is not a revenue account","")))))))</f>
        <v/>
      </c>
      <c r="V286" s="67">
        <f>IF(AND(R286=0,T286=""),1,0)</f>
        <v/>
      </c>
      <c r="W286" s="67">
        <f>IF(V286=1,acctAR,"")</f>
        <v/>
      </c>
      <c r="X286" s="67">
        <f>IF(V286=1,F286,"")</f>
        <v/>
      </c>
      <c r="Y286" s="68">
        <f>IF(V286=1,G286,0)</f>
        <v/>
      </c>
      <c r="Z286" s="68">
        <f>IF(V286=1,G286-S286,0)</f>
        <v/>
      </c>
      <c r="AA286" s="68">
        <f>IF(V286=1,S286,0)</f>
        <v/>
      </c>
    </row>
    <row r="287">
      <c r="B287" s="62" t="n"/>
      <c r="C287" s="63" t="n"/>
      <c r="D287" s="62" t="n"/>
      <c r="E287" s="62" t="n"/>
      <c r="F287" s="62" t="n"/>
      <c r="G287" s="64" t="n"/>
      <c r="H287" s="64" t="n"/>
      <c r="I287" s="63" t="n"/>
      <c r="J287" s="29">
        <f>IF(V287=1,IF(ISNUMBER(I287),I287,C287+IF(ISNUMBER(IFERROR(INDEX(cust_Terms,MATCH(D287,cust_Name,0)),"")),INDEX(cust_Terms,MATCH(D287,cust_Name,0)),TermsDays)),"")</f>
        <v/>
      </c>
      <c r="K287" s="65">
        <f>IF(V287=1,SUMIFS(tx_DrAmt,tx_Type,"Customer Payment",tx_Ref,B287&amp;"",tx_Date,"&lt;="&amp;AsOf),"")</f>
        <v/>
      </c>
      <c r="L287" s="65">
        <f>IF(V287=1,IF(C287&gt;AsOf,0,ROUND(G287-K287,2)),"")</f>
        <v/>
      </c>
      <c r="M287" s="66">
        <f>IF(V287&lt;&gt;1,"",IF(C287&gt;AsOf,"Future",IF(L287&lt;0,"Overpaid",IF(L287=0,"Paid",IF(AsOf&gt;J287,"Overdue",IF(K287&gt;0,"Partial","Unpaid"))))))</f>
        <v/>
      </c>
      <c r="N287" s="28">
        <f>IF(AND(V287=1,N(L287)&gt;0),AsOf-C287,"")</f>
        <v/>
      </c>
      <c r="O287" s="28">
        <f>IF(N287="","",MAX(0,AsOf-J287))</f>
        <v/>
      </c>
      <c r="P287" s="66">
        <f>IF(O287="","",IF(O287=0,"Current",IF(O287&lt;=30,"1-30",IF(O287&lt;=60,"31-60",IF(O287&lt;=90,"61-90","90+")))))</f>
        <v/>
      </c>
      <c r="Q287" s="66">
        <f>IF(T287&lt;&gt;"","⛔ "&amp;T287&amp;" — not posted",IF(U287&lt;&gt;"","⚠ "&amp;U287,IF(V287=1,"✓ OK","")))</f>
        <v/>
      </c>
      <c r="R287" s="67">
        <f>IF(AND(B287="",C287="",D287="",G287="",F287=""),1,0)</f>
        <v/>
      </c>
      <c r="S287" s="68">
        <f>IF(AND(TaxOn="Yes",ISNUMBER(H287)),H287,0)</f>
        <v/>
      </c>
      <c r="T287" s="67">
        <f>IF(R287=1,"",IF(B287="","Enter an invoice #",IF(C287="","Missing invoice date",IF(NOT(ISNUMBER(C287)),"Invalid date",IF(OR(C287&lt;DATE(2000,1,1),C287&gt;DATE(2099,12,31)),"Invalid date",IF(F287="","Select a revenue account",IF(ISNA(MATCH(F287,coa_Name,0)),"Unknown account: "&amp;F287,IF(NOT(ISNUMBER(G287)),"Enter an amount",IF(G287&lt;=0,"Amount must be positive",IF(S287&gt;G287,"Tax is larger than the amount",""))))))))))</f>
        <v/>
      </c>
      <c r="U287" s="67">
        <f>IF(OR(R287=1,T287&lt;&gt;""),"",IF(COUNTIF(ar_No,B287)&gt;1,"Duplicate invoice #",IF(D287="","Select a customer",IF(N(L287)&lt;0,"Overpaid by "&amp;TEXT(-L287,"#,##0.00"),IF(AND(ISNUMBER(H287),N(H287)&lt;&gt;0,S287=0),"Tax ignored (tax tracking is off)",IF(AND(ISNUMBER(StartDate),C287&lt;StartDate),"Date is before the accounting start date",IF(AND(IFERROR(INDEX(coa_Type,MATCH(F287,coa_Name,0)),"")&lt;&gt;"Revenue",IFERROR(INDEX(coa_Type,MATCH(F287,coa_Name,0)),"")&lt;&gt;"Other Income"),"Account is not a revenue account","")))))))</f>
        <v/>
      </c>
      <c r="V287" s="67">
        <f>IF(AND(R287=0,T287=""),1,0)</f>
        <v/>
      </c>
      <c r="W287" s="67">
        <f>IF(V287=1,acctAR,"")</f>
        <v/>
      </c>
      <c r="X287" s="67">
        <f>IF(V287=1,F287,"")</f>
        <v/>
      </c>
      <c r="Y287" s="68">
        <f>IF(V287=1,G287,0)</f>
        <v/>
      </c>
      <c r="Z287" s="68">
        <f>IF(V287=1,G287-S287,0)</f>
        <v/>
      </c>
      <c r="AA287" s="68">
        <f>IF(V287=1,S287,0)</f>
        <v/>
      </c>
    </row>
    <row r="288">
      <c r="B288" s="62" t="n"/>
      <c r="C288" s="63" t="n"/>
      <c r="D288" s="62" t="n"/>
      <c r="E288" s="62" t="n"/>
      <c r="F288" s="62" t="n"/>
      <c r="G288" s="64" t="n"/>
      <c r="H288" s="64" t="n"/>
      <c r="I288" s="63" t="n"/>
      <c r="J288" s="29">
        <f>IF(V288=1,IF(ISNUMBER(I288),I288,C288+IF(ISNUMBER(IFERROR(INDEX(cust_Terms,MATCH(D288,cust_Name,0)),"")),INDEX(cust_Terms,MATCH(D288,cust_Name,0)),TermsDays)),"")</f>
        <v/>
      </c>
      <c r="K288" s="65">
        <f>IF(V288=1,SUMIFS(tx_DrAmt,tx_Type,"Customer Payment",tx_Ref,B288&amp;"",tx_Date,"&lt;="&amp;AsOf),"")</f>
        <v/>
      </c>
      <c r="L288" s="65">
        <f>IF(V288=1,IF(C288&gt;AsOf,0,ROUND(G288-K288,2)),"")</f>
        <v/>
      </c>
      <c r="M288" s="66">
        <f>IF(V288&lt;&gt;1,"",IF(C288&gt;AsOf,"Future",IF(L288&lt;0,"Overpaid",IF(L288=0,"Paid",IF(AsOf&gt;J288,"Overdue",IF(K288&gt;0,"Partial","Unpaid"))))))</f>
        <v/>
      </c>
      <c r="N288" s="28">
        <f>IF(AND(V288=1,N(L288)&gt;0),AsOf-C288,"")</f>
        <v/>
      </c>
      <c r="O288" s="28">
        <f>IF(N288="","",MAX(0,AsOf-J288))</f>
        <v/>
      </c>
      <c r="P288" s="66">
        <f>IF(O288="","",IF(O288=0,"Current",IF(O288&lt;=30,"1-30",IF(O288&lt;=60,"31-60",IF(O288&lt;=90,"61-90","90+")))))</f>
        <v/>
      </c>
      <c r="Q288" s="66">
        <f>IF(T288&lt;&gt;"","⛔ "&amp;T288&amp;" — not posted",IF(U288&lt;&gt;"","⚠ "&amp;U288,IF(V288=1,"✓ OK","")))</f>
        <v/>
      </c>
      <c r="R288" s="67">
        <f>IF(AND(B288="",C288="",D288="",G288="",F288=""),1,0)</f>
        <v/>
      </c>
      <c r="S288" s="68">
        <f>IF(AND(TaxOn="Yes",ISNUMBER(H288)),H288,0)</f>
        <v/>
      </c>
      <c r="T288" s="67">
        <f>IF(R288=1,"",IF(B288="","Enter an invoice #",IF(C288="","Missing invoice date",IF(NOT(ISNUMBER(C288)),"Invalid date",IF(OR(C288&lt;DATE(2000,1,1),C288&gt;DATE(2099,12,31)),"Invalid date",IF(F288="","Select a revenue account",IF(ISNA(MATCH(F288,coa_Name,0)),"Unknown account: "&amp;F288,IF(NOT(ISNUMBER(G288)),"Enter an amount",IF(G288&lt;=0,"Amount must be positive",IF(S288&gt;G288,"Tax is larger than the amount",""))))))))))</f>
        <v/>
      </c>
      <c r="U288" s="67">
        <f>IF(OR(R288=1,T288&lt;&gt;""),"",IF(COUNTIF(ar_No,B288)&gt;1,"Duplicate invoice #",IF(D288="","Select a customer",IF(N(L288)&lt;0,"Overpaid by "&amp;TEXT(-L288,"#,##0.00"),IF(AND(ISNUMBER(H288),N(H288)&lt;&gt;0,S288=0),"Tax ignored (tax tracking is off)",IF(AND(ISNUMBER(StartDate),C288&lt;StartDate),"Date is before the accounting start date",IF(AND(IFERROR(INDEX(coa_Type,MATCH(F288,coa_Name,0)),"")&lt;&gt;"Revenue",IFERROR(INDEX(coa_Type,MATCH(F288,coa_Name,0)),"")&lt;&gt;"Other Income"),"Account is not a revenue account","")))))))</f>
        <v/>
      </c>
      <c r="V288" s="67">
        <f>IF(AND(R288=0,T288=""),1,0)</f>
        <v/>
      </c>
      <c r="W288" s="67">
        <f>IF(V288=1,acctAR,"")</f>
        <v/>
      </c>
      <c r="X288" s="67">
        <f>IF(V288=1,F288,"")</f>
        <v/>
      </c>
      <c r="Y288" s="68">
        <f>IF(V288=1,G288,0)</f>
        <v/>
      </c>
      <c r="Z288" s="68">
        <f>IF(V288=1,G288-S288,0)</f>
        <v/>
      </c>
      <c r="AA288" s="68">
        <f>IF(V288=1,S288,0)</f>
        <v/>
      </c>
    </row>
    <row r="289">
      <c r="B289" s="62" t="n"/>
      <c r="C289" s="63" t="n"/>
      <c r="D289" s="62" t="n"/>
      <c r="E289" s="62" t="n"/>
      <c r="F289" s="62" t="n"/>
      <c r="G289" s="64" t="n"/>
      <c r="H289" s="64" t="n"/>
      <c r="I289" s="63" t="n"/>
      <c r="J289" s="29">
        <f>IF(V289=1,IF(ISNUMBER(I289),I289,C289+IF(ISNUMBER(IFERROR(INDEX(cust_Terms,MATCH(D289,cust_Name,0)),"")),INDEX(cust_Terms,MATCH(D289,cust_Name,0)),TermsDays)),"")</f>
        <v/>
      </c>
      <c r="K289" s="65">
        <f>IF(V289=1,SUMIFS(tx_DrAmt,tx_Type,"Customer Payment",tx_Ref,B289&amp;"",tx_Date,"&lt;="&amp;AsOf),"")</f>
        <v/>
      </c>
      <c r="L289" s="65">
        <f>IF(V289=1,IF(C289&gt;AsOf,0,ROUND(G289-K289,2)),"")</f>
        <v/>
      </c>
      <c r="M289" s="66">
        <f>IF(V289&lt;&gt;1,"",IF(C289&gt;AsOf,"Future",IF(L289&lt;0,"Overpaid",IF(L289=0,"Paid",IF(AsOf&gt;J289,"Overdue",IF(K289&gt;0,"Partial","Unpaid"))))))</f>
        <v/>
      </c>
      <c r="N289" s="28">
        <f>IF(AND(V289=1,N(L289)&gt;0),AsOf-C289,"")</f>
        <v/>
      </c>
      <c r="O289" s="28">
        <f>IF(N289="","",MAX(0,AsOf-J289))</f>
        <v/>
      </c>
      <c r="P289" s="66">
        <f>IF(O289="","",IF(O289=0,"Current",IF(O289&lt;=30,"1-30",IF(O289&lt;=60,"31-60",IF(O289&lt;=90,"61-90","90+")))))</f>
        <v/>
      </c>
      <c r="Q289" s="66">
        <f>IF(T289&lt;&gt;"","⛔ "&amp;T289&amp;" — not posted",IF(U289&lt;&gt;"","⚠ "&amp;U289,IF(V289=1,"✓ OK","")))</f>
        <v/>
      </c>
      <c r="R289" s="67">
        <f>IF(AND(B289="",C289="",D289="",G289="",F289=""),1,0)</f>
        <v/>
      </c>
      <c r="S289" s="68">
        <f>IF(AND(TaxOn="Yes",ISNUMBER(H289)),H289,0)</f>
        <v/>
      </c>
      <c r="T289" s="67">
        <f>IF(R289=1,"",IF(B289="","Enter an invoice #",IF(C289="","Missing invoice date",IF(NOT(ISNUMBER(C289)),"Invalid date",IF(OR(C289&lt;DATE(2000,1,1),C289&gt;DATE(2099,12,31)),"Invalid date",IF(F289="","Select a revenue account",IF(ISNA(MATCH(F289,coa_Name,0)),"Unknown account: "&amp;F289,IF(NOT(ISNUMBER(G289)),"Enter an amount",IF(G289&lt;=0,"Amount must be positive",IF(S289&gt;G289,"Tax is larger than the amount",""))))))))))</f>
        <v/>
      </c>
      <c r="U289" s="67">
        <f>IF(OR(R289=1,T289&lt;&gt;""),"",IF(COUNTIF(ar_No,B289)&gt;1,"Duplicate invoice #",IF(D289="","Select a customer",IF(N(L289)&lt;0,"Overpaid by "&amp;TEXT(-L289,"#,##0.00"),IF(AND(ISNUMBER(H289),N(H289)&lt;&gt;0,S289=0),"Tax ignored (tax tracking is off)",IF(AND(ISNUMBER(StartDate),C289&lt;StartDate),"Date is before the accounting start date",IF(AND(IFERROR(INDEX(coa_Type,MATCH(F289,coa_Name,0)),"")&lt;&gt;"Revenue",IFERROR(INDEX(coa_Type,MATCH(F289,coa_Name,0)),"")&lt;&gt;"Other Income"),"Account is not a revenue account","")))))))</f>
        <v/>
      </c>
      <c r="V289" s="67">
        <f>IF(AND(R289=0,T289=""),1,0)</f>
        <v/>
      </c>
      <c r="W289" s="67">
        <f>IF(V289=1,acctAR,"")</f>
        <v/>
      </c>
      <c r="X289" s="67">
        <f>IF(V289=1,F289,"")</f>
        <v/>
      </c>
      <c r="Y289" s="68">
        <f>IF(V289=1,G289,0)</f>
        <v/>
      </c>
      <c r="Z289" s="68">
        <f>IF(V289=1,G289-S289,0)</f>
        <v/>
      </c>
      <c r="AA289" s="68">
        <f>IF(V289=1,S289,0)</f>
        <v/>
      </c>
    </row>
    <row r="290">
      <c r="B290" s="62" t="n"/>
      <c r="C290" s="63" t="n"/>
      <c r="D290" s="62" t="n"/>
      <c r="E290" s="62" t="n"/>
      <c r="F290" s="62" t="n"/>
      <c r="G290" s="64" t="n"/>
      <c r="H290" s="64" t="n"/>
      <c r="I290" s="63" t="n"/>
      <c r="J290" s="29">
        <f>IF(V290=1,IF(ISNUMBER(I290),I290,C290+IF(ISNUMBER(IFERROR(INDEX(cust_Terms,MATCH(D290,cust_Name,0)),"")),INDEX(cust_Terms,MATCH(D290,cust_Name,0)),TermsDays)),"")</f>
        <v/>
      </c>
      <c r="K290" s="65">
        <f>IF(V290=1,SUMIFS(tx_DrAmt,tx_Type,"Customer Payment",tx_Ref,B290&amp;"",tx_Date,"&lt;="&amp;AsOf),"")</f>
        <v/>
      </c>
      <c r="L290" s="65">
        <f>IF(V290=1,IF(C290&gt;AsOf,0,ROUND(G290-K290,2)),"")</f>
        <v/>
      </c>
      <c r="M290" s="66">
        <f>IF(V290&lt;&gt;1,"",IF(C290&gt;AsOf,"Future",IF(L290&lt;0,"Overpaid",IF(L290=0,"Paid",IF(AsOf&gt;J290,"Overdue",IF(K290&gt;0,"Partial","Unpaid"))))))</f>
        <v/>
      </c>
      <c r="N290" s="28">
        <f>IF(AND(V290=1,N(L290)&gt;0),AsOf-C290,"")</f>
        <v/>
      </c>
      <c r="O290" s="28">
        <f>IF(N290="","",MAX(0,AsOf-J290))</f>
        <v/>
      </c>
      <c r="P290" s="66">
        <f>IF(O290="","",IF(O290=0,"Current",IF(O290&lt;=30,"1-30",IF(O290&lt;=60,"31-60",IF(O290&lt;=90,"61-90","90+")))))</f>
        <v/>
      </c>
      <c r="Q290" s="66">
        <f>IF(T290&lt;&gt;"","⛔ "&amp;T290&amp;" — not posted",IF(U290&lt;&gt;"","⚠ "&amp;U290,IF(V290=1,"✓ OK","")))</f>
        <v/>
      </c>
      <c r="R290" s="67">
        <f>IF(AND(B290="",C290="",D290="",G290="",F290=""),1,0)</f>
        <v/>
      </c>
      <c r="S290" s="68">
        <f>IF(AND(TaxOn="Yes",ISNUMBER(H290)),H290,0)</f>
        <v/>
      </c>
      <c r="T290" s="67">
        <f>IF(R290=1,"",IF(B290="","Enter an invoice #",IF(C290="","Missing invoice date",IF(NOT(ISNUMBER(C290)),"Invalid date",IF(OR(C290&lt;DATE(2000,1,1),C290&gt;DATE(2099,12,31)),"Invalid date",IF(F290="","Select a revenue account",IF(ISNA(MATCH(F290,coa_Name,0)),"Unknown account: "&amp;F290,IF(NOT(ISNUMBER(G290)),"Enter an amount",IF(G290&lt;=0,"Amount must be positive",IF(S290&gt;G290,"Tax is larger than the amount",""))))))))))</f>
        <v/>
      </c>
      <c r="U290" s="67">
        <f>IF(OR(R290=1,T290&lt;&gt;""),"",IF(COUNTIF(ar_No,B290)&gt;1,"Duplicate invoice #",IF(D290="","Select a customer",IF(N(L290)&lt;0,"Overpaid by "&amp;TEXT(-L290,"#,##0.00"),IF(AND(ISNUMBER(H290),N(H290)&lt;&gt;0,S290=0),"Tax ignored (tax tracking is off)",IF(AND(ISNUMBER(StartDate),C290&lt;StartDate),"Date is before the accounting start date",IF(AND(IFERROR(INDEX(coa_Type,MATCH(F290,coa_Name,0)),"")&lt;&gt;"Revenue",IFERROR(INDEX(coa_Type,MATCH(F290,coa_Name,0)),"")&lt;&gt;"Other Income"),"Account is not a revenue account","")))))))</f>
        <v/>
      </c>
      <c r="V290" s="67">
        <f>IF(AND(R290=0,T290=""),1,0)</f>
        <v/>
      </c>
      <c r="W290" s="67">
        <f>IF(V290=1,acctAR,"")</f>
        <v/>
      </c>
      <c r="X290" s="67">
        <f>IF(V290=1,F290,"")</f>
        <v/>
      </c>
      <c r="Y290" s="68">
        <f>IF(V290=1,G290,0)</f>
        <v/>
      </c>
      <c r="Z290" s="68">
        <f>IF(V290=1,G290-S290,0)</f>
        <v/>
      </c>
      <c r="AA290" s="68">
        <f>IF(V290=1,S290,0)</f>
        <v/>
      </c>
    </row>
    <row r="291">
      <c r="B291" s="62" t="n"/>
      <c r="C291" s="63" t="n"/>
      <c r="D291" s="62" t="n"/>
      <c r="E291" s="62" t="n"/>
      <c r="F291" s="62" t="n"/>
      <c r="G291" s="64" t="n"/>
      <c r="H291" s="64" t="n"/>
      <c r="I291" s="63" t="n"/>
      <c r="J291" s="29">
        <f>IF(V291=1,IF(ISNUMBER(I291),I291,C291+IF(ISNUMBER(IFERROR(INDEX(cust_Terms,MATCH(D291,cust_Name,0)),"")),INDEX(cust_Terms,MATCH(D291,cust_Name,0)),TermsDays)),"")</f>
        <v/>
      </c>
      <c r="K291" s="65">
        <f>IF(V291=1,SUMIFS(tx_DrAmt,tx_Type,"Customer Payment",tx_Ref,B291&amp;"",tx_Date,"&lt;="&amp;AsOf),"")</f>
        <v/>
      </c>
      <c r="L291" s="65">
        <f>IF(V291=1,IF(C291&gt;AsOf,0,ROUND(G291-K291,2)),"")</f>
        <v/>
      </c>
      <c r="M291" s="66">
        <f>IF(V291&lt;&gt;1,"",IF(C291&gt;AsOf,"Future",IF(L291&lt;0,"Overpaid",IF(L291=0,"Paid",IF(AsOf&gt;J291,"Overdue",IF(K291&gt;0,"Partial","Unpaid"))))))</f>
        <v/>
      </c>
      <c r="N291" s="28">
        <f>IF(AND(V291=1,N(L291)&gt;0),AsOf-C291,"")</f>
        <v/>
      </c>
      <c r="O291" s="28">
        <f>IF(N291="","",MAX(0,AsOf-J291))</f>
        <v/>
      </c>
      <c r="P291" s="66">
        <f>IF(O291="","",IF(O291=0,"Current",IF(O291&lt;=30,"1-30",IF(O291&lt;=60,"31-60",IF(O291&lt;=90,"61-90","90+")))))</f>
        <v/>
      </c>
      <c r="Q291" s="66">
        <f>IF(T291&lt;&gt;"","⛔ "&amp;T291&amp;" — not posted",IF(U291&lt;&gt;"","⚠ "&amp;U291,IF(V291=1,"✓ OK","")))</f>
        <v/>
      </c>
      <c r="R291" s="67">
        <f>IF(AND(B291="",C291="",D291="",G291="",F291=""),1,0)</f>
        <v/>
      </c>
      <c r="S291" s="68">
        <f>IF(AND(TaxOn="Yes",ISNUMBER(H291)),H291,0)</f>
        <v/>
      </c>
      <c r="T291" s="67">
        <f>IF(R291=1,"",IF(B291="","Enter an invoice #",IF(C291="","Missing invoice date",IF(NOT(ISNUMBER(C291)),"Invalid date",IF(OR(C291&lt;DATE(2000,1,1),C291&gt;DATE(2099,12,31)),"Invalid date",IF(F291="","Select a revenue account",IF(ISNA(MATCH(F291,coa_Name,0)),"Unknown account: "&amp;F291,IF(NOT(ISNUMBER(G291)),"Enter an amount",IF(G291&lt;=0,"Amount must be positive",IF(S291&gt;G291,"Tax is larger than the amount",""))))))))))</f>
        <v/>
      </c>
      <c r="U291" s="67">
        <f>IF(OR(R291=1,T291&lt;&gt;""),"",IF(COUNTIF(ar_No,B291)&gt;1,"Duplicate invoice #",IF(D291="","Select a customer",IF(N(L291)&lt;0,"Overpaid by "&amp;TEXT(-L291,"#,##0.00"),IF(AND(ISNUMBER(H291),N(H291)&lt;&gt;0,S291=0),"Tax ignored (tax tracking is off)",IF(AND(ISNUMBER(StartDate),C291&lt;StartDate),"Date is before the accounting start date",IF(AND(IFERROR(INDEX(coa_Type,MATCH(F291,coa_Name,0)),"")&lt;&gt;"Revenue",IFERROR(INDEX(coa_Type,MATCH(F291,coa_Name,0)),"")&lt;&gt;"Other Income"),"Account is not a revenue account","")))))))</f>
        <v/>
      </c>
      <c r="V291" s="67">
        <f>IF(AND(R291=0,T291=""),1,0)</f>
        <v/>
      </c>
      <c r="W291" s="67">
        <f>IF(V291=1,acctAR,"")</f>
        <v/>
      </c>
      <c r="X291" s="67">
        <f>IF(V291=1,F291,"")</f>
        <v/>
      </c>
      <c r="Y291" s="68">
        <f>IF(V291=1,G291,0)</f>
        <v/>
      </c>
      <c r="Z291" s="68">
        <f>IF(V291=1,G291-S291,0)</f>
        <v/>
      </c>
      <c r="AA291" s="68">
        <f>IF(V291=1,S291,0)</f>
        <v/>
      </c>
    </row>
    <row r="292">
      <c r="B292" s="62" t="n"/>
      <c r="C292" s="63" t="n"/>
      <c r="D292" s="62" t="n"/>
      <c r="E292" s="62" t="n"/>
      <c r="F292" s="62" t="n"/>
      <c r="G292" s="64" t="n"/>
      <c r="H292" s="64" t="n"/>
      <c r="I292" s="63" t="n"/>
      <c r="J292" s="29">
        <f>IF(V292=1,IF(ISNUMBER(I292),I292,C292+IF(ISNUMBER(IFERROR(INDEX(cust_Terms,MATCH(D292,cust_Name,0)),"")),INDEX(cust_Terms,MATCH(D292,cust_Name,0)),TermsDays)),"")</f>
        <v/>
      </c>
      <c r="K292" s="65">
        <f>IF(V292=1,SUMIFS(tx_DrAmt,tx_Type,"Customer Payment",tx_Ref,B292&amp;"",tx_Date,"&lt;="&amp;AsOf),"")</f>
        <v/>
      </c>
      <c r="L292" s="65">
        <f>IF(V292=1,IF(C292&gt;AsOf,0,ROUND(G292-K292,2)),"")</f>
        <v/>
      </c>
      <c r="M292" s="66">
        <f>IF(V292&lt;&gt;1,"",IF(C292&gt;AsOf,"Future",IF(L292&lt;0,"Overpaid",IF(L292=0,"Paid",IF(AsOf&gt;J292,"Overdue",IF(K292&gt;0,"Partial","Unpaid"))))))</f>
        <v/>
      </c>
      <c r="N292" s="28">
        <f>IF(AND(V292=1,N(L292)&gt;0),AsOf-C292,"")</f>
        <v/>
      </c>
      <c r="O292" s="28">
        <f>IF(N292="","",MAX(0,AsOf-J292))</f>
        <v/>
      </c>
      <c r="P292" s="66">
        <f>IF(O292="","",IF(O292=0,"Current",IF(O292&lt;=30,"1-30",IF(O292&lt;=60,"31-60",IF(O292&lt;=90,"61-90","90+")))))</f>
        <v/>
      </c>
      <c r="Q292" s="66">
        <f>IF(T292&lt;&gt;"","⛔ "&amp;T292&amp;" — not posted",IF(U292&lt;&gt;"","⚠ "&amp;U292,IF(V292=1,"✓ OK","")))</f>
        <v/>
      </c>
      <c r="R292" s="67">
        <f>IF(AND(B292="",C292="",D292="",G292="",F292=""),1,0)</f>
        <v/>
      </c>
      <c r="S292" s="68">
        <f>IF(AND(TaxOn="Yes",ISNUMBER(H292)),H292,0)</f>
        <v/>
      </c>
      <c r="T292" s="67">
        <f>IF(R292=1,"",IF(B292="","Enter an invoice #",IF(C292="","Missing invoice date",IF(NOT(ISNUMBER(C292)),"Invalid date",IF(OR(C292&lt;DATE(2000,1,1),C292&gt;DATE(2099,12,31)),"Invalid date",IF(F292="","Select a revenue account",IF(ISNA(MATCH(F292,coa_Name,0)),"Unknown account: "&amp;F292,IF(NOT(ISNUMBER(G292)),"Enter an amount",IF(G292&lt;=0,"Amount must be positive",IF(S292&gt;G292,"Tax is larger than the amount",""))))))))))</f>
        <v/>
      </c>
      <c r="U292" s="67">
        <f>IF(OR(R292=1,T292&lt;&gt;""),"",IF(COUNTIF(ar_No,B292)&gt;1,"Duplicate invoice #",IF(D292="","Select a customer",IF(N(L292)&lt;0,"Overpaid by "&amp;TEXT(-L292,"#,##0.00"),IF(AND(ISNUMBER(H292),N(H292)&lt;&gt;0,S292=0),"Tax ignored (tax tracking is off)",IF(AND(ISNUMBER(StartDate),C292&lt;StartDate),"Date is before the accounting start date",IF(AND(IFERROR(INDEX(coa_Type,MATCH(F292,coa_Name,0)),"")&lt;&gt;"Revenue",IFERROR(INDEX(coa_Type,MATCH(F292,coa_Name,0)),"")&lt;&gt;"Other Income"),"Account is not a revenue account","")))))))</f>
        <v/>
      </c>
      <c r="V292" s="67">
        <f>IF(AND(R292=0,T292=""),1,0)</f>
        <v/>
      </c>
      <c r="W292" s="67">
        <f>IF(V292=1,acctAR,"")</f>
        <v/>
      </c>
      <c r="X292" s="67">
        <f>IF(V292=1,F292,"")</f>
        <v/>
      </c>
      <c r="Y292" s="68">
        <f>IF(V292=1,G292,0)</f>
        <v/>
      </c>
      <c r="Z292" s="68">
        <f>IF(V292=1,G292-S292,0)</f>
        <v/>
      </c>
      <c r="AA292" s="68">
        <f>IF(V292=1,S292,0)</f>
        <v/>
      </c>
    </row>
    <row r="293">
      <c r="B293" s="62" t="n"/>
      <c r="C293" s="63" t="n"/>
      <c r="D293" s="62" t="n"/>
      <c r="E293" s="62" t="n"/>
      <c r="F293" s="62" t="n"/>
      <c r="G293" s="64" t="n"/>
      <c r="H293" s="64" t="n"/>
      <c r="I293" s="63" t="n"/>
      <c r="J293" s="29">
        <f>IF(V293=1,IF(ISNUMBER(I293),I293,C293+IF(ISNUMBER(IFERROR(INDEX(cust_Terms,MATCH(D293,cust_Name,0)),"")),INDEX(cust_Terms,MATCH(D293,cust_Name,0)),TermsDays)),"")</f>
        <v/>
      </c>
      <c r="K293" s="65">
        <f>IF(V293=1,SUMIFS(tx_DrAmt,tx_Type,"Customer Payment",tx_Ref,B293&amp;"",tx_Date,"&lt;="&amp;AsOf),"")</f>
        <v/>
      </c>
      <c r="L293" s="65">
        <f>IF(V293=1,IF(C293&gt;AsOf,0,ROUND(G293-K293,2)),"")</f>
        <v/>
      </c>
      <c r="M293" s="66">
        <f>IF(V293&lt;&gt;1,"",IF(C293&gt;AsOf,"Future",IF(L293&lt;0,"Overpaid",IF(L293=0,"Paid",IF(AsOf&gt;J293,"Overdue",IF(K293&gt;0,"Partial","Unpaid"))))))</f>
        <v/>
      </c>
      <c r="N293" s="28">
        <f>IF(AND(V293=1,N(L293)&gt;0),AsOf-C293,"")</f>
        <v/>
      </c>
      <c r="O293" s="28">
        <f>IF(N293="","",MAX(0,AsOf-J293))</f>
        <v/>
      </c>
      <c r="P293" s="66">
        <f>IF(O293="","",IF(O293=0,"Current",IF(O293&lt;=30,"1-30",IF(O293&lt;=60,"31-60",IF(O293&lt;=90,"61-90","90+")))))</f>
        <v/>
      </c>
      <c r="Q293" s="66">
        <f>IF(T293&lt;&gt;"","⛔ "&amp;T293&amp;" — not posted",IF(U293&lt;&gt;"","⚠ "&amp;U293,IF(V293=1,"✓ OK","")))</f>
        <v/>
      </c>
      <c r="R293" s="67">
        <f>IF(AND(B293="",C293="",D293="",G293="",F293=""),1,0)</f>
        <v/>
      </c>
      <c r="S293" s="68">
        <f>IF(AND(TaxOn="Yes",ISNUMBER(H293)),H293,0)</f>
        <v/>
      </c>
      <c r="T293" s="67">
        <f>IF(R293=1,"",IF(B293="","Enter an invoice #",IF(C293="","Missing invoice date",IF(NOT(ISNUMBER(C293)),"Invalid date",IF(OR(C293&lt;DATE(2000,1,1),C293&gt;DATE(2099,12,31)),"Invalid date",IF(F293="","Select a revenue account",IF(ISNA(MATCH(F293,coa_Name,0)),"Unknown account: "&amp;F293,IF(NOT(ISNUMBER(G293)),"Enter an amount",IF(G293&lt;=0,"Amount must be positive",IF(S293&gt;G293,"Tax is larger than the amount",""))))))))))</f>
        <v/>
      </c>
      <c r="U293" s="67">
        <f>IF(OR(R293=1,T293&lt;&gt;""),"",IF(COUNTIF(ar_No,B293)&gt;1,"Duplicate invoice #",IF(D293="","Select a customer",IF(N(L293)&lt;0,"Overpaid by "&amp;TEXT(-L293,"#,##0.00"),IF(AND(ISNUMBER(H293),N(H293)&lt;&gt;0,S293=0),"Tax ignored (tax tracking is off)",IF(AND(ISNUMBER(StartDate),C293&lt;StartDate),"Date is before the accounting start date",IF(AND(IFERROR(INDEX(coa_Type,MATCH(F293,coa_Name,0)),"")&lt;&gt;"Revenue",IFERROR(INDEX(coa_Type,MATCH(F293,coa_Name,0)),"")&lt;&gt;"Other Income"),"Account is not a revenue account","")))))))</f>
        <v/>
      </c>
      <c r="V293" s="67">
        <f>IF(AND(R293=0,T293=""),1,0)</f>
        <v/>
      </c>
      <c r="W293" s="67">
        <f>IF(V293=1,acctAR,"")</f>
        <v/>
      </c>
      <c r="X293" s="67">
        <f>IF(V293=1,F293,"")</f>
        <v/>
      </c>
      <c r="Y293" s="68">
        <f>IF(V293=1,G293,0)</f>
        <v/>
      </c>
      <c r="Z293" s="68">
        <f>IF(V293=1,G293-S293,0)</f>
        <v/>
      </c>
      <c r="AA293" s="68">
        <f>IF(V293=1,S293,0)</f>
        <v/>
      </c>
    </row>
    <row r="294">
      <c r="B294" s="62" t="n"/>
      <c r="C294" s="63" t="n"/>
      <c r="D294" s="62" t="n"/>
      <c r="E294" s="62" t="n"/>
      <c r="F294" s="62" t="n"/>
      <c r="G294" s="64" t="n"/>
      <c r="H294" s="64" t="n"/>
      <c r="I294" s="63" t="n"/>
      <c r="J294" s="29">
        <f>IF(V294=1,IF(ISNUMBER(I294),I294,C294+IF(ISNUMBER(IFERROR(INDEX(cust_Terms,MATCH(D294,cust_Name,0)),"")),INDEX(cust_Terms,MATCH(D294,cust_Name,0)),TermsDays)),"")</f>
        <v/>
      </c>
      <c r="K294" s="65">
        <f>IF(V294=1,SUMIFS(tx_DrAmt,tx_Type,"Customer Payment",tx_Ref,B294&amp;"",tx_Date,"&lt;="&amp;AsOf),"")</f>
        <v/>
      </c>
      <c r="L294" s="65">
        <f>IF(V294=1,IF(C294&gt;AsOf,0,ROUND(G294-K294,2)),"")</f>
        <v/>
      </c>
      <c r="M294" s="66">
        <f>IF(V294&lt;&gt;1,"",IF(C294&gt;AsOf,"Future",IF(L294&lt;0,"Overpaid",IF(L294=0,"Paid",IF(AsOf&gt;J294,"Overdue",IF(K294&gt;0,"Partial","Unpaid"))))))</f>
        <v/>
      </c>
      <c r="N294" s="28">
        <f>IF(AND(V294=1,N(L294)&gt;0),AsOf-C294,"")</f>
        <v/>
      </c>
      <c r="O294" s="28">
        <f>IF(N294="","",MAX(0,AsOf-J294))</f>
        <v/>
      </c>
      <c r="P294" s="66">
        <f>IF(O294="","",IF(O294=0,"Current",IF(O294&lt;=30,"1-30",IF(O294&lt;=60,"31-60",IF(O294&lt;=90,"61-90","90+")))))</f>
        <v/>
      </c>
      <c r="Q294" s="66">
        <f>IF(T294&lt;&gt;"","⛔ "&amp;T294&amp;" — not posted",IF(U294&lt;&gt;"","⚠ "&amp;U294,IF(V294=1,"✓ OK","")))</f>
        <v/>
      </c>
      <c r="R294" s="67">
        <f>IF(AND(B294="",C294="",D294="",G294="",F294=""),1,0)</f>
        <v/>
      </c>
      <c r="S294" s="68">
        <f>IF(AND(TaxOn="Yes",ISNUMBER(H294)),H294,0)</f>
        <v/>
      </c>
      <c r="T294" s="67">
        <f>IF(R294=1,"",IF(B294="","Enter an invoice #",IF(C294="","Missing invoice date",IF(NOT(ISNUMBER(C294)),"Invalid date",IF(OR(C294&lt;DATE(2000,1,1),C294&gt;DATE(2099,12,31)),"Invalid date",IF(F294="","Select a revenue account",IF(ISNA(MATCH(F294,coa_Name,0)),"Unknown account: "&amp;F294,IF(NOT(ISNUMBER(G294)),"Enter an amount",IF(G294&lt;=0,"Amount must be positive",IF(S294&gt;G294,"Tax is larger than the amount",""))))))))))</f>
        <v/>
      </c>
      <c r="U294" s="67">
        <f>IF(OR(R294=1,T294&lt;&gt;""),"",IF(COUNTIF(ar_No,B294)&gt;1,"Duplicate invoice #",IF(D294="","Select a customer",IF(N(L294)&lt;0,"Overpaid by "&amp;TEXT(-L294,"#,##0.00"),IF(AND(ISNUMBER(H294),N(H294)&lt;&gt;0,S294=0),"Tax ignored (tax tracking is off)",IF(AND(ISNUMBER(StartDate),C294&lt;StartDate),"Date is before the accounting start date",IF(AND(IFERROR(INDEX(coa_Type,MATCH(F294,coa_Name,0)),"")&lt;&gt;"Revenue",IFERROR(INDEX(coa_Type,MATCH(F294,coa_Name,0)),"")&lt;&gt;"Other Income"),"Account is not a revenue account","")))))))</f>
        <v/>
      </c>
      <c r="V294" s="67">
        <f>IF(AND(R294=0,T294=""),1,0)</f>
        <v/>
      </c>
      <c r="W294" s="67">
        <f>IF(V294=1,acctAR,"")</f>
        <v/>
      </c>
      <c r="X294" s="67">
        <f>IF(V294=1,F294,"")</f>
        <v/>
      </c>
      <c r="Y294" s="68">
        <f>IF(V294=1,G294,0)</f>
        <v/>
      </c>
      <c r="Z294" s="68">
        <f>IF(V294=1,G294-S294,0)</f>
        <v/>
      </c>
      <c r="AA294" s="68">
        <f>IF(V294=1,S294,0)</f>
        <v/>
      </c>
    </row>
    <row r="295">
      <c r="B295" s="62" t="n"/>
      <c r="C295" s="63" t="n"/>
      <c r="D295" s="62" t="n"/>
      <c r="E295" s="62" t="n"/>
      <c r="F295" s="62" t="n"/>
      <c r="G295" s="64" t="n"/>
      <c r="H295" s="64" t="n"/>
      <c r="I295" s="63" t="n"/>
      <c r="J295" s="29">
        <f>IF(V295=1,IF(ISNUMBER(I295),I295,C295+IF(ISNUMBER(IFERROR(INDEX(cust_Terms,MATCH(D295,cust_Name,0)),"")),INDEX(cust_Terms,MATCH(D295,cust_Name,0)),TermsDays)),"")</f>
        <v/>
      </c>
      <c r="K295" s="65">
        <f>IF(V295=1,SUMIFS(tx_DrAmt,tx_Type,"Customer Payment",tx_Ref,B295&amp;"",tx_Date,"&lt;="&amp;AsOf),"")</f>
        <v/>
      </c>
      <c r="L295" s="65">
        <f>IF(V295=1,IF(C295&gt;AsOf,0,ROUND(G295-K295,2)),"")</f>
        <v/>
      </c>
      <c r="M295" s="66">
        <f>IF(V295&lt;&gt;1,"",IF(C295&gt;AsOf,"Future",IF(L295&lt;0,"Overpaid",IF(L295=0,"Paid",IF(AsOf&gt;J295,"Overdue",IF(K295&gt;0,"Partial","Unpaid"))))))</f>
        <v/>
      </c>
      <c r="N295" s="28">
        <f>IF(AND(V295=1,N(L295)&gt;0),AsOf-C295,"")</f>
        <v/>
      </c>
      <c r="O295" s="28">
        <f>IF(N295="","",MAX(0,AsOf-J295))</f>
        <v/>
      </c>
      <c r="P295" s="66">
        <f>IF(O295="","",IF(O295=0,"Current",IF(O295&lt;=30,"1-30",IF(O295&lt;=60,"31-60",IF(O295&lt;=90,"61-90","90+")))))</f>
        <v/>
      </c>
      <c r="Q295" s="66">
        <f>IF(T295&lt;&gt;"","⛔ "&amp;T295&amp;" — not posted",IF(U295&lt;&gt;"","⚠ "&amp;U295,IF(V295=1,"✓ OK","")))</f>
        <v/>
      </c>
      <c r="R295" s="67">
        <f>IF(AND(B295="",C295="",D295="",G295="",F295=""),1,0)</f>
        <v/>
      </c>
      <c r="S295" s="68">
        <f>IF(AND(TaxOn="Yes",ISNUMBER(H295)),H295,0)</f>
        <v/>
      </c>
      <c r="T295" s="67">
        <f>IF(R295=1,"",IF(B295="","Enter an invoice #",IF(C295="","Missing invoice date",IF(NOT(ISNUMBER(C295)),"Invalid date",IF(OR(C295&lt;DATE(2000,1,1),C295&gt;DATE(2099,12,31)),"Invalid date",IF(F295="","Select a revenue account",IF(ISNA(MATCH(F295,coa_Name,0)),"Unknown account: "&amp;F295,IF(NOT(ISNUMBER(G295)),"Enter an amount",IF(G295&lt;=0,"Amount must be positive",IF(S295&gt;G295,"Tax is larger than the amount",""))))))))))</f>
        <v/>
      </c>
      <c r="U295" s="67">
        <f>IF(OR(R295=1,T295&lt;&gt;""),"",IF(COUNTIF(ar_No,B295)&gt;1,"Duplicate invoice #",IF(D295="","Select a customer",IF(N(L295)&lt;0,"Overpaid by "&amp;TEXT(-L295,"#,##0.00"),IF(AND(ISNUMBER(H295),N(H295)&lt;&gt;0,S295=0),"Tax ignored (tax tracking is off)",IF(AND(ISNUMBER(StartDate),C295&lt;StartDate),"Date is before the accounting start date",IF(AND(IFERROR(INDEX(coa_Type,MATCH(F295,coa_Name,0)),"")&lt;&gt;"Revenue",IFERROR(INDEX(coa_Type,MATCH(F295,coa_Name,0)),"")&lt;&gt;"Other Income"),"Account is not a revenue account","")))))))</f>
        <v/>
      </c>
      <c r="V295" s="67">
        <f>IF(AND(R295=0,T295=""),1,0)</f>
        <v/>
      </c>
      <c r="W295" s="67">
        <f>IF(V295=1,acctAR,"")</f>
        <v/>
      </c>
      <c r="X295" s="67">
        <f>IF(V295=1,F295,"")</f>
        <v/>
      </c>
      <c r="Y295" s="68">
        <f>IF(V295=1,G295,0)</f>
        <v/>
      </c>
      <c r="Z295" s="68">
        <f>IF(V295=1,G295-S295,0)</f>
        <v/>
      </c>
      <c r="AA295" s="68">
        <f>IF(V295=1,S295,0)</f>
        <v/>
      </c>
    </row>
    <row r="296">
      <c r="B296" s="62" t="n"/>
      <c r="C296" s="63" t="n"/>
      <c r="D296" s="62" t="n"/>
      <c r="E296" s="62" t="n"/>
      <c r="F296" s="62" t="n"/>
      <c r="G296" s="64" t="n"/>
      <c r="H296" s="64" t="n"/>
      <c r="I296" s="63" t="n"/>
      <c r="J296" s="29">
        <f>IF(V296=1,IF(ISNUMBER(I296),I296,C296+IF(ISNUMBER(IFERROR(INDEX(cust_Terms,MATCH(D296,cust_Name,0)),"")),INDEX(cust_Terms,MATCH(D296,cust_Name,0)),TermsDays)),"")</f>
        <v/>
      </c>
      <c r="K296" s="65">
        <f>IF(V296=1,SUMIFS(tx_DrAmt,tx_Type,"Customer Payment",tx_Ref,B296&amp;"",tx_Date,"&lt;="&amp;AsOf),"")</f>
        <v/>
      </c>
      <c r="L296" s="65">
        <f>IF(V296=1,IF(C296&gt;AsOf,0,ROUND(G296-K296,2)),"")</f>
        <v/>
      </c>
      <c r="M296" s="66">
        <f>IF(V296&lt;&gt;1,"",IF(C296&gt;AsOf,"Future",IF(L296&lt;0,"Overpaid",IF(L296=0,"Paid",IF(AsOf&gt;J296,"Overdue",IF(K296&gt;0,"Partial","Unpaid"))))))</f>
        <v/>
      </c>
      <c r="N296" s="28">
        <f>IF(AND(V296=1,N(L296)&gt;0),AsOf-C296,"")</f>
        <v/>
      </c>
      <c r="O296" s="28">
        <f>IF(N296="","",MAX(0,AsOf-J296))</f>
        <v/>
      </c>
      <c r="P296" s="66">
        <f>IF(O296="","",IF(O296=0,"Current",IF(O296&lt;=30,"1-30",IF(O296&lt;=60,"31-60",IF(O296&lt;=90,"61-90","90+")))))</f>
        <v/>
      </c>
      <c r="Q296" s="66">
        <f>IF(T296&lt;&gt;"","⛔ "&amp;T296&amp;" — not posted",IF(U296&lt;&gt;"","⚠ "&amp;U296,IF(V296=1,"✓ OK","")))</f>
        <v/>
      </c>
      <c r="R296" s="67">
        <f>IF(AND(B296="",C296="",D296="",G296="",F296=""),1,0)</f>
        <v/>
      </c>
      <c r="S296" s="68">
        <f>IF(AND(TaxOn="Yes",ISNUMBER(H296)),H296,0)</f>
        <v/>
      </c>
      <c r="T296" s="67">
        <f>IF(R296=1,"",IF(B296="","Enter an invoice #",IF(C296="","Missing invoice date",IF(NOT(ISNUMBER(C296)),"Invalid date",IF(OR(C296&lt;DATE(2000,1,1),C296&gt;DATE(2099,12,31)),"Invalid date",IF(F296="","Select a revenue account",IF(ISNA(MATCH(F296,coa_Name,0)),"Unknown account: "&amp;F296,IF(NOT(ISNUMBER(G296)),"Enter an amount",IF(G296&lt;=0,"Amount must be positive",IF(S296&gt;G296,"Tax is larger than the amount",""))))))))))</f>
        <v/>
      </c>
      <c r="U296" s="67">
        <f>IF(OR(R296=1,T296&lt;&gt;""),"",IF(COUNTIF(ar_No,B296)&gt;1,"Duplicate invoice #",IF(D296="","Select a customer",IF(N(L296)&lt;0,"Overpaid by "&amp;TEXT(-L296,"#,##0.00"),IF(AND(ISNUMBER(H296),N(H296)&lt;&gt;0,S296=0),"Tax ignored (tax tracking is off)",IF(AND(ISNUMBER(StartDate),C296&lt;StartDate),"Date is before the accounting start date",IF(AND(IFERROR(INDEX(coa_Type,MATCH(F296,coa_Name,0)),"")&lt;&gt;"Revenue",IFERROR(INDEX(coa_Type,MATCH(F296,coa_Name,0)),"")&lt;&gt;"Other Income"),"Account is not a revenue account","")))))))</f>
        <v/>
      </c>
      <c r="V296" s="67">
        <f>IF(AND(R296=0,T296=""),1,0)</f>
        <v/>
      </c>
      <c r="W296" s="67">
        <f>IF(V296=1,acctAR,"")</f>
        <v/>
      </c>
      <c r="X296" s="67">
        <f>IF(V296=1,F296,"")</f>
        <v/>
      </c>
      <c r="Y296" s="68">
        <f>IF(V296=1,G296,0)</f>
        <v/>
      </c>
      <c r="Z296" s="68">
        <f>IF(V296=1,G296-S296,0)</f>
        <v/>
      </c>
      <c r="AA296" s="68">
        <f>IF(V296=1,S296,0)</f>
        <v/>
      </c>
    </row>
    <row r="297">
      <c r="B297" s="62" t="n"/>
      <c r="C297" s="63" t="n"/>
      <c r="D297" s="62" t="n"/>
      <c r="E297" s="62" t="n"/>
      <c r="F297" s="62" t="n"/>
      <c r="G297" s="64" t="n"/>
      <c r="H297" s="64" t="n"/>
      <c r="I297" s="63" t="n"/>
      <c r="J297" s="29">
        <f>IF(V297=1,IF(ISNUMBER(I297),I297,C297+IF(ISNUMBER(IFERROR(INDEX(cust_Terms,MATCH(D297,cust_Name,0)),"")),INDEX(cust_Terms,MATCH(D297,cust_Name,0)),TermsDays)),"")</f>
        <v/>
      </c>
      <c r="K297" s="65">
        <f>IF(V297=1,SUMIFS(tx_DrAmt,tx_Type,"Customer Payment",tx_Ref,B297&amp;"",tx_Date,"&lt;="&amp;AsOf),"")</f>
        <v/>
      </c>
      <c r="L297" s="65">
        <f>IF(V297=1,IF(C297&gt;AsOf,0,ROUND(G297-K297,2)),"")</f>
        <v/>
      </c>
      <c r="M297" s="66">
        <f>IF(V297&lt;&gt;1,"",IF(C297&gt;AsOf,"Future",IF(L297&lt;0,"Overpaid",IF(L297=0,"Paid",IF(AsOf&gt;J297,"Overdue",IF(K297&gt;0,"Partial","Unpaid"))))))</f>
        <v/>
      </c>
      <c r="N297" s="28">
        <f>IF(AND(V297=1,N(L297)&gt;0),AsOf-C297,"")</f>
        <v/>
      </c>
      <c r="O297" s="28">
        <f>IF(N297="","",MAX(0,AsOf-J297))</f>
        <v/>
      </c>
      <c r="P297" s="66">
        <f>IF(O297="","",IF(O297=0,"Current",IF(O297&lt;=30,"1-30",IF(O297&lt;=60,"31-60",IF(O297&lt;=90,"61-90","90+")))))</f>
        <v/>
      </c>
      <c r="Q297" s="66">
        <f>IF(T297&lt;&gt;"","⛔ "&amp;T297&amp;" — not posted",IF(U297&lt;&gt;"","⚠ "&amp;U297,IF(V297=1,"✓ OK","")))</f>
        <v/>
      </c>
      <c r="R297" s="67">
        <f>IF(AND(B297="",C297="",D297="",G297="",F297=""),1,0)</f>
        <v/>
      </c>
      <c r="S297" s="68">
        <f>IF(AND(TaxOn="Yes",ISNUMBER(H297)),H297,0)</f>
        <v/>
      </c>
      <c r="T297" s="67">
        <f>IF(R297=1,"",IF(B297="","Enter an invoice #",IF(C297="","Missing invoice date",IF(NOT(ISNUMBER(C297)),"Invalid date",IF(OR(C297&lt;DATE(2000,1,1),C297&gt;DATE(2099,12,31)),"Invalid date",IF(F297="","Select a revenue account",IF(ISNA(MATCH(F297,coa_Name,0)),"Unknown account: "&amp;F297,IF(NOT(ISNUMBER(G297)),"Enter an amount",IF(G297&lt;=0,"Amount must be positive",IF(S297&gt;G297,"Tax is larger than the amount",""))))))))))</f>
        <v/>
      </c>
      <c r="U297" s="67">
        <f>IF(OR(R297=1,T297&lt;&gt;""),"",IF(COUNTIF(ar_No,B297)&gt;1,"Duplicate invoice #",IF(D297="","Select a customer",IF(N(L297)&lt;0,"Overpaid by "&amp;TEXT(-L297,"#,##0.00"),IF(AND(ISNUMBER(H297),N(H297)&lt;&gt;0,S297=0),"Tax ignored (tax tracking is off)",IF(AND(ISNUMBER(StartDate),C297&lt;StartDate),"Date is before the accounting start date",IF(AND(IFERROR(INDEX(coa_Type,MATCH(F297,coa_Name,0)),"")&lt;&gt;"Revenue",IFERROR(INDEX(coa_Type,MATCH(F297,coa_Name,0)),"")&lt;&gt;"Other Income"),"Account is not a revenue account","")))))))</f>
        <v/>
      </c>
      <c r="V297" s="67">
        <f>IF(AND(R297=0,T297=""),1,0)</f>
        <v/>
      </c>
      <c r="W297" s="67">
        <f>IF(V297=1,acctAR,"")</f>
        <v/>
      </c>
      <c r="X297" s="67">
        <f>IF(V297=1,F297,"")</f>
        <v/>
      </c>
      <c r="Y297" s="68">
        <f>IF(V297=1,G297,0)</f>
        <v/>
      </c>
      <c r="Z297" s="68">
        <f>IF(V297=1,G297-S297,0)</f>
        <v/>
      </c>
      <c r="AA297" s="68">
        <f>IF(V297=1,S297,0)</f>
        <v/>
      </c>
    </row>
    <row r="298">
      <c r="B298" s="62" t="n"/>
      <c r="C298" s="63" t="n"/>
      <c r="D298" s="62" t="n"/>
      <c r="E298" s="62" t="n"/>
      <c r="F298" s="62" t="n"/>
      <c r="G298" s="64" t="n"/>
      <c r="H298" s="64" t="n"/>
      <c r="I298" s="63" t="n"/>
      <c r="J298" s="29">
        <f>IF(V298=1,IF(ISNUMBER(I298),I298,C298+IF(ISNUMBER(IFERROR(INDEX(cust_Terms,MATCH(D298,cust_Name,0)),"")),INDEX(cust_Terms,MATCH(D298,cust_Name,0)),TermsDays)),"")</f>
        <v/>
      </c>
      <c r="K298" s="65">
        <f>IF(V298=1,SUMIFS(tx_DrAmt,tx_Type,"Customer Payment",tx_Ref,B298&amp;"",tx_Date,"&lt;="&amp;AsOf),"")</f>
        <v/>
      </c>
      <c r="L298" s="65">
        <f>IF(V298=1,IF(C298&gt;AsOf,0,ROUND(G298-K298,2)),"")</f>
        <v/>
      </c>
      <c r="M298" s="66">
        <f>IF(V298&lt;&gt;1,"",IF(C298&gt;AsOf,"Future",IF(L298&lt;0,"Overpaid",IF(L298=0,"Paid",IF(AsOf&gt;J298,"Overdue",IF(K298&gt;0,"Partial","Unpaid"))))))</f>
        <v/>
      </c>
      <c r="N298" s="28">
        <f>IF(AND(V298=1,N(L298)&gt;0),AsOf-C298,"")</f>
        <v/>
      </c>
      <c r="O298" s="28">
        <f>IF(N298="","",MAX(0,AsOf-J298))</f>
        <v/>
      </c>
      <c r="P298" s="66">
        <f>IF(O298="","",IF(O298=0,"Current",IF(O298&lt;=30,"1-30",IF(O298&lt;=60,"31-60",IF(O298&lt;=90,"61-90","90+")))))</f>
        <v/>
      </c>
      <c r="Q298" s="66">
        <f>IF(T298&lt;&gt;"","⛔ "&amp;T298&amp;" — not posted",IF(U298&lt;&gt;"","⚠ "&amp;U298,IF(V298=1,"✓ OK","")))</f>
        <v/>
      </c>
      <c r="R298" s="67">
        <f>IF(AND(B298="",C298="",D298="",G298="",F298=""),1,0)</f>
        <v/>
      </c>
      <c r="S298" s="68">
        <f>IF(AND(TaxOn="Yes",ISNUMBER(H298)),H298,0)</f>
        <v/>
      </c>
      <c r="T298" s="67">
        <f>IF(R298=1,"",IF(B298="","Enter an invoice #",IF(C298="","Missing invoice date",IF(NOT(ISNUMBER(C298)),"Invalid date",IF(OR(C298&lt;DATE(2000,1,1),C298&gt;DATE(2099,12,31)),"Invalid date",IF(F298="","Select a revenue account",IF(ISNA(MATCH(F298,coa_Name,0)),"Unknown account: "&amp;F298,IF(NOT(ISNUMBER(G298)),"Enter an amount",IF(G298&lt;=0,"Amount must be positive",IF(S298&gt;G298,"Tax is larger than the amount",""))))))))))</f>
        <v/>
      </c>
      <c r="U298" s="67">
        <f>IF(OR(R298=1,T298&lt;&gt;""),"",IF(COUNTIF(ar_No,B298)&gt;1,"Duplicate invoice #",IF(D298="","Select a customer",IF(N(L298)&lt;0,"Overpaid by "&amp;TEXT(-L298,"#,##0.00"),IF(AND(ISNUMBER(H298),N(H298)&lt;&gt;0,S298=0),"Tax ignored (tax tracking is off)",IF(AND(ISNUMBER(StartDate),C298&lt;StartDate),"Date is before the accounting start date",IF(AND(IFERROR(INDEX(coa_Type,MATCH(F298,coa_Name,0)),"")&lt;&gt;"Revenue",IFERROR(INDEX(coa_Type,MATCH(F298,coa_Name,0)),"")&lt;&gt;"Other Income"),"Account is not a revenue account","")))))))</f>
        <v/>
      </c>
      <c r="V298" s="67">
        <f>IF(AND(R298=0,T298=""),1,0)</f>
        <v/>
      </c>
      <c r="W298" s="67">
        <f>IF(V298=1,acctAR,"")</f>
        <v/>
      </c>
      <c r="X298" s="67">
        <f>IF(V298=1,F298,"")</f>
        <v/>
      </c>
      <c r="Y298" s="68">
        <f>IF(V298=1,G298,0)</f>
        <v/>
      </c>
      <c r="Z298" s="68">
        <f>IF(V298=1,G298-S298,0)</f>
        <v/>
      </c>
      <c r="AA298" s="68">
        <f>IF(V298=1,S298,0)</f>
        <v/>
      </c>
    </row>
    <row r="299">
      <c r="B299" s="62" t="n"/>
      <c r="C299" s="63" t="n"/>
      <c r="D299" s="62" t="n"/>
      <c r="E299" s="62" t="n"/>
      <c r="F299" s="62" t="n"/>
      <c r="G299" s="64" t="n"/>
      <c r="H299" s="64" t="n"/>
      <c r="I299" s="63" t="n"/>
      <c r="J299" s="29">
        <f>IF(V299=1,IF(ISNUMBER(I299),I299,C299+IF(ISNUMBER(IFERROR(INDEX(cust_Terms,MATCH(D299,cust_Name,0)),"")),INDEX(cust_Terms,MATCH(D299,cust_Name,0)),TermsDays)),"")</f>
        <v/>
      </c>
      <c r="K299" s="65">
        <f>IF(V299=1,SUMIFS(tx_DrAmt,tx_Type,"Customer Payment",tx_Ref,B299&amp;"",tx_Date,"&lt;="&amp;AsOf),"")</f>
        <v/>
      </c>
      <c r="L299" s="65">
        <f>IF(V299=1,IF(C299&gt;AsOf,0,ROUND(G299-K299,2)),"")</f>
        <v/>
      </c>
      <c r="M299" s="66">
        <f>IF(V299&lt;&gt;1,"",IF(C299&gt;AsOf,"Future",IF(L299&lt;0,"Overpaid",IF(L299=0,"Paid",IF(AsOf&gt;J299,"Overdue",IF(K299&gt;0,"Partial","Unpaid"))))))</f>
        <v/>
      </c>
      <c r="N299" s="28">
        <f>IF(AND(V299=1,N(L299)&gt;0),AsOf-C299,"")</f>
        <v/>
      </c>
      <c r="O299" s="28">
        <f>IF(N299="","",MAX(0,AsOf-J299))</f>
        <v/>
      </c>
      <c r="P299" s="66">
        <f>IF(O299="","",IF(O299=0,"Current",IF(O299&lt;=30,"1-30",IF(O299&lt;=60,"31-60",IF(O299&lt;=90,"61-90","90+")))))</f>
        <v/>
      </c>
      <c r="Q299" s="66">
        <f>IF(T299&lt;&gt;"","⛔ "&amp;T299&amp;" — not posted",IF(U299&lt;&gt;"","⚠ "&amp;U299,IF(V299=1,"✓ OK","")))</f>
        <v/>
      </c>
      <c r="R299" s="67">
        <f>IF(AND(B299="",C299="",D299="",G299="",F299=""),1,0)</f>
        <v/>
      </c>
      <c r="S299" s="68">
        <f>IF(AND(TaxOn="Yes",ISNUMBER(H299)),H299,0)</f>
        <v/>
      </c>
      <c r="T299" s="67">
        <f>IF(R299=1,"",IF(B299="","Enter an invoice #",IF(C299="","Missing invoice date",IF(NOT(ISNUMBER(C299)),"Invalid date",IF(OR(C299&lt;DATE(2000,1,1),C299&gt;DATE(2099,12,31)),"Invalid date",IF(F299="","Select a revenue account",IF(ISNA(MATCH(F299,coa_Name,0)),"Unknown account: "&amp;F299,IF(NOT(ISNUMBER(G299)),"Enter an amount",IF(G299&lt;=0,"Amount must be positive",IF(S299&gt;G299,"Tax is larger than the amount",""))))))))))</f>
        <v/>
      </c>
      <c r="U299" s="67">
        <f>IF(OR(R299=1,T299&lt;&gt;""),"",IF(COUNTIF(ar_No,B299)&gt;1,"Duplicate invoice #",IF(D299="","Select a customer",IF(N(L299)&lt;0,"Overpaid by "&amp;TEXT(-L299,"#,##0.00"),IF(AND(ISNUMBER(H299),N(H299)&lt;&gt;0,S299=0),"Tax ignored (tax tracking is off)",IF(AND(ISNUMBER(StartDate),C299&lt;StartDate),"Date is before the accounting start date",IF(AND(IFERROR(INDEX(coa_Type,MATCH(F299,coa_Name,0)),"")&lt;&gt;"Revenue",IFERROR(INDEX(coa_Type,MATCH(F299,coa_Name,0)),"")&lt;&gt;"Other Income"),"Account is not a revenue account","")))))))</f>
        <v/>
      </c>
      <c r="V299" s="67">
        <f>IF(AND(R299=0,T299=""),1,0)</f>
        <v/>
      </c>
      <c r="W299" s="67">
        <f>IF(V299=1,acctAR,"")</f>
        <v/>
      </c>
      <c r="X299" s="67">
        <f>IF(V299=1,F299,"")</f>
        <v/>
      </c>
      <c r="Y299" s="68">
        <f>IF(V299=1,G299,0)</f>
        <v/>
      </c>
      <c r="Z299" s="68">
        <f>IF(V299=1,G299-S299,0)</f>
        <v/>
      </c>
      <c r="AA299" s="68">
        <f>IF(V299=1,S299,0)</f>
        <v/>
      </c>
    </row>
    <row r="300">
      <c r="B300" s="62" t="n"/>
      <c r="C300" s="63" t="n"/>
      <c r="D300" s="62" t="n"/>
      <c r="E300" s="62" t="n"/>
      <c r="F300" s="62" t="n"/>
      <c r="G300" s="64" t="n"/>
      <c r="H300" s="64" t="n"/>
      <c r="I300" s="63" t="n"/>
      <c r="J300" s="29">
        <f>IF(V300=1,IF(ISNUMBER(I300),I300,C300+IF(ISNUMBER(IFERROR(INDEX(cust_Terms,MATCH(D300,cust_Name,0)),"")),INDEX(cust_Terms,MATCH(D300,cust_Name,0)),TermsDays)),"")</f>
        <v/>
      </c>
      <c r="K300" s="65">
        <f>IF(V300=1,SUMIFS(tx_DrAmt,tx_Type,"Customer Payment",tx_Ref,B300&amp;"",tx_Date,"&lt;="&amp;AsOf),"")</f>
        <v/>
      </c>
      <c r="L300" s="65">
        <f>IF(V300=1,IF(C300&gt;AsOf,0,ROUND(G300-K300,2)),"")</f>
        <v/>
      </c>
      <c r="M300" s="66">
        <f>IF(V300&lt;&gt;1,"",IF(C300&gt;AsOf,"Future",IF(L300&lt;0,"Overpaid",IF(L300=0,"Paid",IF(AsOf&gt;J300,"Overdue",IF(K300&gt;0,"Partial","Unpaid"))))))</f>
        <v/>
      </c>
      <c r="N300" s="28">
        <f>IF(AND(V300=1,N(L300)&gt;0),AsOf-C300,"")</f>
        <v/>
      </c>
      <c r="O300" s="28">
        <f>IF(N300="","",MAX(0,AsOf-J300))</f>
        <v/>
      </c>
      <c r="P300" s="66">
        <f>IF(O300="","",IF(O300=0,"Current",IF(O300&lt;=30,"1-30",IF(O300&lt;=60,"31-60",IF(O300&lt;=90,"61-90","90+")))))</f>
        <v/>
      </c>
      <c r="Q300" s="66">
        <f>IF(T300&lt;&gt;"","⛔ "&amp;T300&amp;" — not posted",IF(U300&lt;&gt;"","⚠ "&amp;U300,IF(V300=1,"✓ OK","")))</f>
        <v/>
      </c>
      <c r="R300" s="67">
        <f>IF(AND(B300="",C300="",D300="",G300="",F300=""),1,0)</f>
        <v/>
      </c>
      <c r="S300" s="68">
        <f>IF(AND(TaxOn="Yes",ISNUMBER(H300)),H300,0)</f>
        <v/>
      </c>
      <c r="T300" s="67">
        <f>IF(R300=1,"",IF(B300="","Enter an invoice #",IF(C300="","Missing invoice date",IF(NOT(ISNUMBER(C300)),"Invalid date",IF(OR(C300&lt;DATE(2000,1,1),C300&gt;DATE(2099,12,31)),"Invalid date",IF(F300="","Select a revenue account",IF(ISNA(MATCH(F300,coa_Name,0)),"Unknown account: "&amp;F300,IF(NOT(ISNUMBER(G300)),"Enter an amount",IF(G300&lt;=0,"Amount must be positive",IF(S300&gt;G300,"Tax is larger than the amount",""))))))))))</f>
        <v/>
      </c>
      <c r="U300" s="67">
        <f>IF(OR(R300=1,T300&lt;&gt;""),"",IF(COUNTIF(ar_No,B300)&gt;1,"Duplicate invoice #",IF(D300="","Select a customer",IF(N(L300)&lt;0,"Overpaid by "&amp;TEXT(-L300,"#,##0.00"),IF(AND(ISNUMBER(H300),N(H300)&lt;&gt;0,S300=0),"Tax ignored (tax tracking is off)",IF(AND(ISNUMBER(StartDate),C300&lt;StartDate),"Date is before the accounting start date",IF(AND(IFERROR(INDEX(coa_Type,MATCH(F300,coa_Name,0)),"")&lt;&gt;"Revenue",IFERROR(INDEX(coa_Type,MATCH(F300,coa_Name,0)),"")&lt;&gt;"Other Income"),"Account is not a revenue account","")))))))</f>
        <v/>
      </c>
      <c r="V300" s="67">
        <f>IF(AND(R300=0,T300=""),1,0)</f>
        <v/>
      </c>
      <c r="W300" s="67">
        <f>IF(V300=1,acctAR,"")</f>
        <v/>
      </c>
      <c r="X300" s="67">
        <f>IF(V300=1,F300,"")</f>
        <v/>
      </c>
      <c r="Y300" s="68">
        <f>IF(V300=1,G300,0)</f>
        <v/>
      </c>
      <c r="Z300" s="68">
        <f>IF(V300=1,G300-S300,0)</f>
        <v/>
      </c>
      <c r="AA300" s="68">
        <f>IF(V300=1,S300,0)</f>
        <v/>
      </c>
    </row>
    <row r="301">
      <c r="B301" s="62" t="n"/>
      <c r="C301" s="63" t="n"/>
      <c r="D301" s="62" t="n"/>
      <c r="E301" s="62" t="n"/>
      <c r="F301" s="62" t="n"/>
      <c r="G301" s="64" t="n"/>
      <c r="H301" s="64" t="n"/>
      <c r="I301" s="63" t="n"/>
      <c r="J301" s="29">
        <f>IF(V301=1,IF(ISNUMBER(I301),I301,C301+IF(ISNUMBER(IFERROR(INDEX(cust_Terms,MATCH(D301,cust_Name,0)),"")),INDEX(cust_Terms,MATCH(D301,cust_Name,0)),TermsDays)),"")</f>
        <v/>
      </c>
      <c r="K301" s="65">
        <f>IF(V301=1,SUMIFS(tx_DrAmt,tx_Type,"Customer Payment",tx_Ref,B301&amp;"",tx_Date,"&lt;="&amp;AsOf),"")</f>
        <v/>
      </c>
      <c r="L301" s="65">
        <f>IF(V301=1,IF(C301&gt;AsOf,0,ROUND(G301-K301,2)),"")</f>
        <v/>
      </c>
      <c r="M301" s="66">
        <f>IF(V301&lt;&gt;1,"",IF(C301&gt;AsOf,"Future",IF(L301&lt;0,"Overpaid",IF(L301=0,"Paid",IF(AsOf&gt;J301,"Overdue",IF(K301&gt;0,"Partial","Unpaid"))))))</f>
        <v/>
      </c>
      <c r="N301" s="28">
        <f>IF(AND(V301=1,N(L301)&gt;0),AsOf-C301,"")</f>
        <v/>
      </c>
      <c r="O301" s="28">
        <f>IF(N301="","",MAX(0,AsOf-J301))</f>
        <v/>
      </c>
      <c r="P301" s="66">
        <f>IF(O301="","",IF(O301=0,"Current",IF(O301&lt;=30,"1-30",IF(O301&lt;=60,"31-60",IF(O301&lt;=90,"61-90","90+")))))</f>
        <v/>
      </c>
      <c r="Q301" s="66">
        <f>IF(T301&lt;&gt;"","⛔ "&amp;T301&amp;" — not posted",IF(U301&lt;&gt;"","⚠ "&amp;U301,IF(V301=1,"✓ OK","")))</f>
        <v/>
      </c>
      <c r="R301" s="67">
        <f>IF(AND(B301="",C301="",D301="",G301="",F301=""),1,0)</f>
        <v/>
      </c>
      <c r="S301" s="68">
        <f>IF(AND(TaxOn="Yes",ISNUMBER(H301)),H301,0)</f>
        <v/>
      </c>
      <c r="T301" s="67">
        <f>IF(R301=1,"",IF(B301="","Enter an invoice #",IF(C301="","Missing invoice date",IF(NOT(ISNUMBER(C301)),"Invalid date",IF(OR(C301&lt;DATE(2000,1,1),C301&gt;DATE(2099,12,31)),"Invalid date",IF(F301="","Select a revenue account",IF(ISNA(MATCH(F301,coa_Name,0)),"Unknown account: "&amp;F301,IF(NOT(ISNUMBER(G301)),"Enter an amount",IF(G301&lt;=0,"Amount must be positive",IF(S301&gt;G301,"Tax is larger than the amount",""))))))))))</f>
        <v/>
      </c>
      <c r="U301" s="67">
        <f>IF(OR(R301=1,T301&lt;&gt;""),"",IF(COUNTIF(ar_No,B301)&gt;1,"Duplicate invoice #",IF(D301="","Select a customer",IF(N(L301)&lt;0,"Overpaid by "&amp;TEXT(-L301,"#,##0.00"),IF(AND(ISNUMBER(H301),N(H301)&lt;&gt;0,S301=0),"Tax ignored (tax tracking is off)",IF(AND(ISNUMBER(StartDate),C301&lt;StartDate),"Date is before the accounting start date",IF(AND(IFERROR(INDEX(coa_Type,MATCH(F301,coa_Name,0)),"")&lt;&gt;"Revenue",IFERROR(INDEX(coa_Type,MATCH(F301,coa_Name,0)),"")&lt;&gt;"Other Income"),"Account is not a revenue account","")))))))</f>
        <v/>
      </c>
      <c r="V301" s="67">
        <f>IF(AND(R301=0,T301=""),1,0)</f>
        <v/>
      </c>
      <c r="W301" s="67">
        <f>IF(V301=1,acctAR,"")</f>
        <v/>
      </c>
      <c r="X301" s="67">
        <f>IF(V301=1,F301,"")</f>
        <v/>
      </c>
      <c r="Y301" s="68">
        <f>IF(V301=1,G301,0)</f>
        <v/>
      </c>
      <c r="Z301" s="68">
        <f>IF(V301=1,G301-S301,0)</f>
        <v/>
      </c>
      <c r="AA301" s="68">
        <f>IF(V301=1,S301,0)</f>
        <v/>
      </c>
    </row>
    <row r="302">
      <c r="B302" s="62" t="n"/>
      <c r="C302" s="63" t="n"/>
      <c r="D302" s="62" t="n"/>
      <c r="E302" s="62" t="n"/>
      <c r="F302" s="62" t="n"/>
      <c r="G302" s="64" t="n"/>
      <c r="H302" s="64" t="n"/>
      <c r="I302" s="63" t="n"/>
      <c r="J302" s="29">
        <f>IF(V302=1,IF(ISNUMBER(I302),I302,C302+IF(ISNUMBER(IFERROR(INDEX(cust_Terms,MATCH(D302,cust_Name,0)),"")),INDEX(cust_Terms,MATCH(D302,cust_Name,0)),TermsDays)),"")</f>
        <v/>
      </c>
      <c r="K302" s="65">
        <f>IF(V302=1,SUMIFS(tx_DrAmt,tx_Type,"Customer Payment",tx_Ref,B302&amp;"",tx_Date,"&lt;="&amp;AsOf),"")</f>
        <v/>
      </c>
      <c r="L302" s="65">
        <f>IF(V302=1,IF(C302&gt;AsOf,0,ROUND(G302-K302,2)),"")</f>
        <v/>
      </c>
      <c r="M302" s="66">
        <f>IF(V302&lt;&gt;1,"",IF(C302&gt;AsOf,"Future",IF(L302&lt;0,"Overpaid",IF(L302=0,"Paid",IF(AsOf&gt;J302,"Overdue",IF(K302&gt;0,"Partial","Unpaid"))))))</f>
        <v/>
      </c>
      <c r="N302" s="28">
        <f>IF(AND(V302=1,N(L302)&gt;0),AsOf-C302,"")</f>
        <v/>
      </c>
      <c r="O302" s="28">
        <f>IF(N302="","",MAX(0,AsOf-J302))</f>
        <v/>
      </c>
      <c r="P302" s="66">
        <f>IF(O302="","",IF(O302=0,"Current",IF(O302&lt;=30,"1-30",IF(O302&lt;=60,"31-60",IF(O302&lt;=90,"61-90","90+")))))</f>
        <v/>
      </c>
      <c r="Q302" s="66">
        <f>IF(T302&lt;&gt;"","⛔ "&amp;T302&amp;" — not posted",IF(U302&lt;&gt;"","⚠ "&amp;U302,IF(V302=1,"✓ OK","")))</f>
        <v/>
      </c>
      <c r="R302" s="67">
        <f>IF(AND(B302="",C302="",D302="",G302="",F302=""),1,0)</f>
        <v/>
      </c>
      <c r="S302" s="68">
        <f>IF(AND(TaxOn="Yes",ISNUMBER(H302)),H302,0)</f>
        <v/>
      </c>
      <c r="T302" s="67">
        <f>IF(R302=1,"",IF(B302="","Enter an invoice #",IF(C302="","Missing invoice date",IF(NOT(ISNUMBER(C302)),"Invalid date",IF(OR(C302&lt;DATE(2000,1,1),C302&gt;DATE(2099,12,31)),"Invalid date",IF(F302="","Select a revenue account",IF(ISNA(MATCH(F302,coa_Name,0)),"Unknown account: "&amp;F302,IF(NOT(ISNUMBER(G302)),"Enter an amount",IF(G302&lt;=0,"Amount must be positive",IF(S302&gt;G302,"Tax is larger than the amount",""))))))))))</f>
        <v/>
      </c>
      <c r="U302" s="67">
        <f>IF(OR(R302=1,T302&lt;&gt;""),"",IF(COUNTIF(ar_No,B302)&gt;1,"Duplicate invoice #",IF(D302="","Select a customer",IF(N(L302)&lt;0,"Overpaid by "&amp;TEXT(-L302,"#,##0.00"),IF(AND(ISNUMBER(H302),N(H302)&lt;&gt;0,S302=0),"Tax ignored (tax tracking is off)",IF(AND(ISNUMBER(StartDate),C302&lt;StartDate),"Date is before the accounting start date",IF(AND(IFERROR(INDEX(coa_Type,MATCH(F302,coa_Name,0)),"")&lt;&gt;"Revenue",IFERROR(INDEX(coa_Type,MATCH(F302,coa_Name,0)),"")&lt;&gt;"Other Income"),"Account is not a revenue account","")))))))</f>
        <v/>
      </c>
      <c r="V302" s="67">
        <f>IF(AND(R302=0,T302=""),1,0)</f>
        <v/>
      </c>
      <c r="W302" s="67">
        <f>IF(V302=1,acctAR,"")</f>
        <v/>
      </c>
      <c r="X302" s="67">
        <f>IF(V302=1,F302,"")</f>
        <v/>
      </c>
      <c r="Y302" s="68">
        <f>IF(V302=1,G302,0)</f>
        <v/>
      </c>
      <c r="Z302" s="68">
        <f>IF(V302=1,G302-S302,0)</f>
        <v/>
      </c>
      <c r="AA302" s="68">
        <f>IF(V302=1,S302,0)</f>
        <v/>
      </c>
    </row>
    <row r="303">
      <c r="B303" s="62" t="n"/>
      <c r="C303" s="63" t="n"/>
      <c r="D303" s="62" t="n"/>
      <c r="E303" s="62" t="n"/>
      <c r="F303" s="62" t="n"/>
      <c r="G303" s="64" t="n"/>
      <c r="H303" s="64" t="n"/>
      <c r="I303" s="63" t="n"/>
      <c r="J303" s="29">
        <f>IF(V303=1,IF(ISNUMBER(I303),I303,C303+IF(ISNUMBER(IFERROR(INDEX(cust_Terms,MATCH(D303,cust_Name,0)),"")),INDEX(cust_Terms,MATCH(D303,cust_Name,0)),TermsDays)),"")</f>
        <v/>
      </c>
      <c r="K303" s="65">
        <f>IF(V303=1,SUMIFS(tx_DrAmt,tx_Type,"Customer Payment",tx_Ref,B303&amp;"",tx_Date,"&lt;="&amp;AsOf),"")</f>
        <v/>
      </c>
      <c r="L303" s="65">
        <f>IF(V303=1,IF(C303&gt;AsOf,0,ROUND(G303-K303,2)),"")</f>
        <v/>
      </c>
      <c r="M303" s="66">
        <f>IF(V303&lt;&gt;1,"",IF(C303&gt;AsOf,"Future",IF(L303&lt;0,"Overpaid",IF(L303=0,"Paid",IF(AsOf&gt;J303,"Overdue",IF(K303&gt;0,"Partial","Unpaid"))))))</f>
        <v/>
      </c>
      <c r="N303" s="28">
        <f>IF(AND(V303=1,N(L303)&gt;0),AsOf-C303,"")</f>
        <v/>
      </c>
      <c r="O303" s="28">
        <f>IF(N303="","",MAX(0,AsOf-J303))</f>
        <v/>
      </c>
      <c r="P303" s="66">
        <f>IF(O303="","",IF(O303=0,"Current",IF(O303&lt;=30,"1-30",IF(O303&lt;=60,"31-60",IF(O303&lt;=90,"61-90","90+")))))</f>
        <v/>
      </c>
      <c r="Q303" s="66">
        <f>IF(T303&lt;&gt;"","⛔ "&amp;T303&amp;" — not posted",IF(U303&lt;&gt;"","⚠ "&amp;U303,IF(V303=1,"✓ OK","")))</f>
        <v/>
      </c>
      <c r="R303" s="67">
        <f>IF(AND(B303="",C303="",D303="",G303="",F303=""),1,0)</f>
        <v/>
      </c>
      <c r="S303" s="68">
        <f>IF(AND(TaxOn="Yes",ISNUMBER(H303)),H303,0)</f>
        <v/>
      </c>
      <c r="T303" s="67">
        <f>IF(R303=1,"",IF(B303="","Enter an invoice #",IF(C303="","Missing invoice date",IF(NOT(ISNUMBER(C303)),"Invalid date",IF(OR(C303&lt;DATE(2000,1,1),C303&gt;DATE(2099,12,31)),"Invalid date",IF(F303="","Select a revenue account",IF(ISNA(MATCH(F303,coa_Name,0)),"Unknown account: "&amp;F303,IF(NOT(ISNUMBER(G303)),"Enter an amount",IF(G303&lt;=0,"Amount must be positive",IF(S303&gt;G303,"Tax is larger than the amount",""))))))))))</f>
        <v/>
      </c>
      <c r="U303" s="67">
        <f>IF(OR(R303=1,T303&lt;&gt;""),"",IF(COUNTIF(ar_No,B303)&gt;1,"Duplicate invoice #",IF(D303="","Select a customer",IF(N(L303)&lt;0,"Overpaid by "&amp;TEXT(-L303,"#,##0.00"),IF(AND(ISNUMBER(H303),N(H303)&lt;&gt;0,S303=0),"Tax ignored (tax tracking is off)",IF(AND(ISNUMBER(StartDate),C303&lt;StartDate),"Date is before the accounting start date",IF(AND(IFERROR(INDEX(coa_Type,MATCH(F303,coa_Name,0)),"")&lt;&gt;"Revenue",IFERROR(INDEX(coa_Type,MATCH(F303,coa_Name,0)),"")&lt;&gt;"Other Income"),"Account is not a revenue account","")))))))</f>
        <v/>
      </c>
      <c r="V303" s="67">
        <f>IF(AND(R303=0,T303=""),1,0)</f>
        <v/>
      </c>
      <c r="W303" s="67">
        <f>IF(V303=1,acctAR,"")</f>
        <v/>
      </c>
      <c r="X303" s="67">
        <f>IF(V303=1,F303,"")</f>
        <v/>
      </c>
      <c r="Y303" s="68">
        <f>IF(V303=1,G303,0)</f>
        <v/>
      </c>
      <c r="Z303" s="68">
        <f>IF(V303=1,G303-S303,0)</f>
        <v/>
      </c>
      <c r="AA303" s="68">
        <f>IF(V303=1,S303,0)</f>
        <v/>
      </c>
    </row>
    <row r="304">
      <c r="B304" s="62" t="n"/>
      <c r="C304" s="63" t="n"/>
      <c r="D304" s="62" t="n"/>
      <c r="E304" s="62" t="n"/>
      <c r="F304" s="62" t="n"/>
      <c r="G304" s="64" t="n"/>
      <c r="H304" s="64" t="n"/>
      <c r="I304" s="63" t="n"/>
      <c r="J304" s="29">
        <f>IF(V304=1,IF(ISNUMBER(I304),I304,C304+IF(ISNUMBER(IFERROR(INDEX(cust_Terms,MATCH(D304,cust_Name,0)),"")),INDEX(cust_Terms,MATCH(D304,cust_Name,0)),TermsDays)),"")</f>
        <v/>
      </c>
      <c r="K304" s="65">
        <f>IF(V304=1,SUMIFS(tx_DrAmt,tx_Type,"Customer Payment",tx_Ref,B304&amp;"",tx_Date,"&lt;="&amp;AsOf),"")</f>
        <v/>
      </c>
      <c r="L304" s="65">
        <f>IF(V304=1,IF(C304&gt;AsOf,0,ROUND(G304-K304,2)),"")</f>
        <v/>
      </c>
      <c r="M304" s="66">
        <f>IF(V304&lt;&gt;1,"",IF(C304&gt;AsOf,"Future",IF(L304&lt;0,"Overpaid",IF(L304=0,"Paid",IF(AsOf&gt;J304,"Overdue",IF(K304&gt;0,"Partial","Unpaid"))))))</f>
        <v/>
      </c>
      <c r="N304" s="28">
        <f>IF(AND(V304=1,N(L304)&gt;0),AsOf-C304,"")</f>
        <v/>
      </c>
      <c r="O304" s="28">
        <f>IF(N304="","",MAX(0,AsOf-J304))</f>
        <v/>
      </c>
      <c r="P304" s="66">
        <f>IF(O304="","",IF(O304=0,"Current",IF(O304&lt;=30,"1-30",IF(O304&lt;=60,"31-60",IF(O304&lt;=90,"61-90","90+")))))</f>
        <v/>
      </c>
      <c r="Q304" s="66">
        <f>IF(T304&lt;&gt;"","⛔ "&amp;T304&amp;" — not posted",IF(U304&lt;&gt;"","⚠ "&amp;U304,IF(V304=1,"✓ OK","")))</f>
        <v/>
      </c>
      <c r="R304" s="67">
        <f>IF(AND(B304="",C304="",D304="",G304="",F304=""),1,0)</f>
        <v/>
      </c>
      <c r="S304" s="68">
        <f>IF(AND(TaxOn="Yes",ISNUMBER(H304)),H304,0)</f>
        <v/>
      </c>
      <c r="T304" s="67">
        <f>IF(R304=1,"",IF(B304="","Enter an invoice #",IF(C304="","Missing invoice date",IF(NOT(ISNUMBER(C304)),"Invalid date",IF(OR(C304&lt;DATE(2000,1,1),C304&gt;DATE(2099,12,31)),"Invalid date",IF(F304="","Select a revenue account",IF(ISNA(MATCH(F304,coa_Name,0)),"Unknown account: "&amp;F304,IF(NOT(ISNUMBER(G304)),"Enter an amount",IF(G304&lt;=0,"Amount must be positive",IF(S304&gt;G304,"Tax is larger than the amount",""))))))))))</f>
        <v/>
      </c>
      <c r="U304" s="67">
        <f>IF(OR(R304=1,T304&lt;&gt;""),"",IF(COUNTIF(ar_No,B304)&gt;1,"Duplicate invoice #",IF(D304="","Select a customer",IF(N(L304)&lt;0,"Overpaid by "&amp;TEXT(-L304,"#,##0.00"),IF(AND(ISNUMBER(H304),N(H304)&lt;&gt;0,S304=0),"Tax ignored (tax tracking is off)",IF(AND(ISNUMBER(StartDate),C304&lt;StartDate),"Date is before the accounting start date",IF(AND(IFERROR(INDEX(coa_Type,MATCH(F304,coa_Name,0)),"")&lt;&gt;"Revenue",IFERROR(INDEX(coa_Type,MATCH(F304,coa_Name,0)),"")&lt;&gt;"Other Income"),"Account is not a revenue account","")))))))</f>
        <v/>
      </c>
      <c r="V304" s="67">
        <f>IF(AND(R304=0,T304=""),1,0)</f>
        <v/>
      </c>
      <c r="W304" s="67">
        <f>IF(V304=1,acctAR,"")</f>
        <v/>
      </c>
      <c r="X304" s="67">
        <f>IF(V304=1,F304,"")</f>
        <v/>
      </c>
      <c r="Y304" s="68">
        <f>IF(V304=1,G304,0)</f>
        <v/>
      </c>
      <c r="Z304" s="68">
        <f>IF(V304=1,G304-S304,0)</f>
        <v/>
      </c>
      <c r="AA304" s="68">
        <f>IF(V304=1,S304,0)</f>
        <v/>
      </c>
    </row>
    <row r="305">
      <c r="B305" s="62" t="n"/>
      <c r="C305" s="63" t="n"/>
      <c r="D305" s="62" t="n"/>
      <c r="E305" s="62" t="n"/>
      <c r="F305" s="62" t="n"/>
      <c r="G305" s="64" t="n"/>
      <c r="H305" s="64" t="n"/>
      <c r="I305" s="63" t="n"/>
      <c r="J305" s="29">
        <f>IF(V305=1,IF(ISNUMBER(I305),I305,C305+IF(ISNUMBER(IFERROR(INDEX(cust_Terms,MATCH(D305,cust_Name,0)),"")),INDEX(cust_Terms,MATCH(D305,cust_Name,0)),TermsDays)),"")</f>
        <v/>
      </c>
      <c r="K305" s="65">
        <f>IF(V305=1,SUMIFS(tx_DrAmt,tx_Type,"Customer Payment",tx_Ref,B305&amp;"",tx_Date,"&lt;="&amp;AsOf),"")</f>
        <v/>
      </c>
      <c r="L305" s="65">
        <f>IF(V305=1,IF(C305&gt;AsOf,0,ROUND(G305-K305,2)),"")</f>
        <v/>
      </c>
      <c r="M305" s="66">
        <f>IF(V305&lt;&gt;1,"",IF(C305&gt;AsOf,"Future",IF(L305&lt;0,"Overpaid",IF(L305=0,"Paid",IF(AsOf&gt;J305,"Overdue",IF(K305&gt;0,"Partial","Unpaid"))))))</f>
        <v/>
      </c>
      <c r="N305" s="28">
        <f>IF(AND(V305=1,N(L305)&gt;0),AsOf-C305,"")</f>
        <v/>
      </c>
      <c r="O305" s="28">
        <f>IF(N305="","",MAX(0,AsOf-J305))</f>
        <v/>
      </c>
      <c r="P305" s="66">
        <f>IF(O305="","",IF(O305=0,"Current",IF(O305&lt;=30,"1-30",IF(O305&lt;=60,"31-60",IF(O305&lt;=90,"61-90","90+")))))</f>
        <v/>
      </c>
      <c r="Q305" s="66">
        <f>IF(T305&lt;&gt;"","⛔ "&amp;T305&amp;" — not posted",IF(U305&lt;&gt;"","⚠ "&amp;U305,IF(V305=1,"✓ OK","")))</f>
        <v/>
      </c>
      <c r="R305" s="67">
        <f>IF(AND(B305="",C305="",D305="",G305="",F305=""),1,0)</f>
        <v/>
      </c>
      <c r="S305" s="68">
        <f>IF(AND(TaxOn="Yes",ISNUMBER(H305)),H305,0)</f>
        <v/>
      </c>
      <c r="T305" s="67">
        <f>IF(R305=1,"",IF(B305="","Enter an invoice #",IF(C305="","Missing invoice date",IF(NOT(ISNUMBER(C305)),"Invalid date",IF(OR(C305&lt;DATE(2000,1,1),C305&gt;DATE(2099,12,31)),"Invalid date",IF(F305="","Select a revenue account",IF(ISNA(MATCH(F305,coa_Name,0)),"Unknown account: "&amp;F305,IF(NOT(ISNUMBER(G305)),"Enter an amount",IF(G305&lt;=0,"Amount must be positive",IF(S305&gt;G305,"Tax is larger than the amount",""))))))))))</f>
        <v/>
      </c>
      <c r="U305" s="67">
        <f>IF(OR(R305=1,T305&lt;&gt;""),"",IF(COUNTIF(ar_No,B305)&gt;1,"Duplicate invoice #",IF(D305="","Select a customer",IF(N(L305)&lt;0,"Overpaid by "&amp;TEXT(-L305,"#,##0.00"),IF(AND(ISNUMBER(H305),N(H305)&lt;&gt;0,S305=0),"Tax ignored (tax tracking is off)",IF(AND(ISNUMBER(StartDate),C305&lt;StartDate),"Date is before the accounting start date",IF(AND(IFERROR(INDEX(coa_Type,MATCH(F305,coa_Name,0)),"")&lt;&gt;"Revenue",IFERROR(INDEX(coa_Type,MATCH(F305,coa_Name,0)),"")&lt;&gt;"Other Income"),"Account is not a revenue account","")))))))</f>
        <v/>
      </c>
      <c r="V305" s="67">
        <f>IF(AND(R305=0,T305=""),1,0)</f>
        <v/>
      </c>
      <c r="W305" s="67">
        <f>IF(V305=1,acctAR,"")</f>
        <v/>
      </c>
      <c r="X305" s="67">
        <f>IF(V305=1,F305,"")</f>
        <v/>
      </c>
      <c r="Y305" s="68">
        <f>IF(V305=1,G305,0)</f>
        <v/>
      </c>
      <c r="Z305" s="68">
        <f>IF(V305=1,G305-S305,0)</f>
        <v/>
      </c>
      <c r="AA305" s="68">
        <f>IF(V305=1,S305,0)</f>
        <v/>
      </c>
    </row>
    <row r="306">
      <c r="B306" s="62" t="n"/>
      <c r="C306" s="63" t="n"/>
      <c r="D306" s="62" t="n"/>
      <c r="E306" s="62" t="n"/>
      <c r="F306" s="62" t="n"/>
      <c r="G306" s="64" t="n"/>
      <c r="H306" s="64" t="n"/>
      <c r="I306" s="63" t="n"/>
      <c r="J306" s="29">
        <f>IF(V306=1,IF(ISNUMBER(I306),I306,C306+IF(ISNUMBER(IFERROR(INDEX(cust_Terms,MATCH(D306,cust_Name,0)),"")),INDEX(cust_Terms,MATCH(D306,cust_Name,0)),TermsDays)),"")</f>
        <v/>
      </c>
      <c r="K306" s="65">
        <f>IF(V306=1,SUMIFS(tx_DrAmt,tx_Type,"Customer Payment",tx_Ref,B306&amp;"",tx_Date,"&lt;="&amp;AsOf),"")</f>
        <v/>
      </c>
      <c r="L306" s="65">
        <f>IF(V306=1,IF(C306&gt;AsOf,0,ROUND(G306-K306,2)),"")</f>
        <v/>
      </c>
      <c r="M306" s="66">
        <f>IF(V306&lt;&gt;1,"",IF(C306&gt;AsOf,"Future",IF(L306&lt;0,"Overpaid",IF(L306=0,"Paid",IF(AsOf&gt;J306,"Overdue",IF(K306&gt;0,"Partial","Unpaid"))))))</f>
        <v/>
      </c>
      <c r="N306" s="28">
        <f>IF(AND(V306=1,N(L306)&gt;0),AsOf-C306,"")</f>
        <v/>
      </c>
      <c r="O306" s="28">
        <f>IF(N306="","",MAX(0,AsOf-J306))</f>
        <v/>
      </c>
      <c r="P306" s="66">
        <f>IF(O306="","",IF(O306=0,"Current",IF(O306&lt;=30,"1-30",IF(O306&lt;=60,"31-60",IF(O306&lt;=90,"61-90","90+")))))</f>
        <v/>
      </c>
      <c r="Q306" s="66">
        <f>IF(T306&lt;&gt;"","⛔ "&amp;T306&amp;" — not posted",IF(U306&lt;&gt;"","⚠ "&amp;U306,IF(V306=1,"✓ OK","")))</f>
        <v/>
      </c>
      <c r="R306" s="67">
        <f>IF(AND(B306="",C306="",D306="",G306="",F306=""),1,0)</f>
        <v/>
      </c>
      <c r="S306" s="68">
        <f>IF(AND(TaxOn="Yes",ISNUMBER(H306)),H306,0)</f>
        <v/>
      </c>
      <c r="T306" s="67">
        <f>IF(R306=1,"",IF(B306="","Enter an invoice #",IF(C306="","Missing invoice date",IF(NOT(ISNUMBER(C306)),"Invalid date",IF(OR(C306&lt;DATE(2000,1,1),C306&gt;DATE(2099,12,31)),"Invalid date",IF(F306="","Select a revenue account",IF(ISNA(MATCH(F306,coa_Name,0)),"Unknown account: "&amp;F306,IF(NOT(ISNUMBER(G306)),"Enter an amount",IF(G306&lt;=0,"Amount must be positive",IF(S306&gt;G306,"Tax is larger than the amount",""))))))))))</f>
        <v/>
      </c>
      <c r="U306" s="67">
        <f>IF(OR(R306=1,T306&lt;&gt;""),"",IF(COUNTIF(ar_No,B306)&gt;1,"Duplicate invoice #",IF(D306="","Select a customer",IF(N(L306)&lt;0,"Overpaid by "&amp;TEXT(-L306,"#,##0.00"),IF(AND(ISNUMBER(H306),N(H306)&lt;&gt;0,S306=0),"Tax ignored (tax tracking is off)",IF(AND(ISNUMBER(StartDate),C306&lt;StartDate),"Date is before the accounting start date",IF(AND(IFERROR(INDEX(coa_Type,MATCH(F306,coa_Name,0)),"")&lt;&gt;"Revenue",IFERROR(INDEX(coa_Type,MATCH(F306,coa_Name,0)),"")&lt;&gt;"Other Income"),"Account is not a revenue account","")))))))</f>
        <v/>
      </c>
      <c r="V306" s="67">
        <f>IF(AND(R306=0,T306=""),1,0)</f>
        <v/>
      </c>
      <c r="W306" s="67">
        <f>IF(V306=1,acctAR,"")</f>
        <v/>
      </c>
      <c r="X306" s="67">
        <f>IF(V306=1,F306,"")</f>
        <v/>
      </c>
      <c r="Y306" s="68">
        <f>IF(V306=1,G306,0)</f>
        <v/>
      </c>
      <c r="Z306" s="68">
        <f>IF(V306=1,G306-S306,0)</f>
        <v/>
      </c>
      <c r="AA306" s="68">
        <f>IF(V306=1,S306,0)</f>
        <v/>
      </c>
    </row>
    <row r="307">
      <c r="B307" s="62" t="n"/>
      <c r="C307" s="63" t="n"/>
      <c r="D307" s="62" t="n"/>
      <c r="E307" s="62" t="n"/>
      <c r="F307" s="62" t="n"/>
      <c r="G307" s="64" t="n"/>
      <c r="H307" s="64" t="n"/>
      <c r="I307" s="63" t="n"/>
      <c r="J307" s="29">
        <f>IF(V307=1,IF(ISNUMBER(I307),I307,C307+IF(ISNUMBER(IFERROR(INDEX(cust_Terms,MATCH(D307,cust_Name,0)),"")),INDEX(cust_Terms,MATCH(D307,cust_Name,0)),TermsDays)),"")</f>
        <v/>
      </c>
      <c r="K307" s="65">
        <f>IF(V307=1,SUMIFS(tx_DrAmt,tx_Type,"Customer Payment",tx_Ref,B307&amp;"",tx_Date,"&lt;="&amp;AsOf),"")</f>
        <v/>
      </c>
      <c r="L307" s="65">
        <f>IF(V307=1,IF(C307&gt;AsOf,0,ROUND(G307-K307,2)),"")</f>
        <v/>
      </c>
      <c r="M307" s="66">
        <f>IF(V307&lt;&gt;1,"",IF(C307&gt;AsOf,"Future",IF(L307&lt;0,"Overpaid",IF(L307=0,"Paid",IF(AsOf&gt;J307,"Overdue",IF(K307&gt;0,"Partial","Unpaid"))))))</f>
        <v/>
      </c>
      <c r="N307" s="28">
        <f>IF(AND(V307=1,N(L307)&gt;0),AsOf-C307,"")</f>
        <v/>
      </c>
      <c r="O307" s="28">
        <f>IF(N307="","",MAX(0,AsOf-J307))</f>
        <v/>
      </c>
      <c r="P307" s="66">
        <f>IF(O307="","",IF(O307=0,"Current",IF(O307&lt;=30,"1-30",IF(O307&lt;=60,"31-60",IF(O307&lt;=90,"61-90","90+")))))</f>
        <v/>
      </c>
      <c r="Q307" s="66">
        <f>IF(T307&lt;&gt;"","⛔ "&amp;T307&amp;" — not posted",IF(U307&lt;&gt;"","⚠ "&amp;U307,IF(V307=1,"✓ OK","")))</f>
        <v/>
      </c>
      <c r="R307" s="67">
        <f>IF(AND(B307="",C307="",D307="",G307="",F307=""),1,0)</f>
        <v/>
      </c>
      <c r="S307" s="68">
        <f>IF(AND(TaxOn="Yes",ISNUMBER(H307)),H307,0)</f>
        <v/>
      </c>
      <c r="T307" s="67">
        <f>IF(R307=1,"",IF(B307="","Enter an invoice #",IF(C307="","Missing invoice date",IF(NOT(ISNUMBER(C307)),"Invalid date",IF(OR(C307&lt;DATE(2000,1,1),C307&gt;DATE(2099,12,31)),"Invalid date",IF(F307="","Select a revenue account",IF(ISNA(MATCH(F307,coa_Name,0)),"Unknown account: "&amp;F307,IF(NOT(ISNUMBER(G307)),"Enter an amount",IF(G307&lt;=0,"Amount must be positive",IF(S307&gt;G307,"Tax is larger than the amount",""))))))))))</f>
        <v/>
      </c>
      <c r="U307" s="67">
        <f>IF(OR(R307=1,T307&lt;&gt;""),"",IF(COUNTIF(ar_No,B307)&gt;1,"Duplicate invoice #",IF(D307="","Select a customer",IF(N(L307)&lt;0,"Overpaid by "&amp;TEXT(-L307,"#,##0.00"),IF(AND(ISNUMBER(H307),N(H307)&lt;&gt;0,S307=0),"Tax ignored (tax tracking is off)",IF(AND(ISNUMBER(StartDate),C307&lt;StartDate),"Date is before the accounting start date",IF(AND(IFERROR(INDEX(coa_Type,MATCH(F307,coa_Name,0)),"")&lt;&gt;"Revenue",IFERROR(INDEX(coa_Type,MATCH(F307,coa_Name,0)),"")&lt;&gt;"Other Income"),"Account is not a revenue account","")))))))</f>
        <v/>
      </c>
      <c r="V307" s="67">
        <f>IF(AND(R307=0,T307=""),1,0)</f>
        <v/>
      </c>
      <c r="W307" s="67">
        <f>IF(V307=1,acctAR,"")</f>
        <v/>
      </c>
      <c r="X307" s="67">
        <f>IF(V307=1,F307,"")</f>
        <v/>
      </c>
      <c r="Y307" s="68">
        <f>IF(V307=1,G307,0)</f>
        <v/>
      </c>
      <c r="Z307" s="68">
        <f>IF(V307=1,G307-S307,0)</f>
        <v/>
      </c>
      <c r="AA307" s="68">
        <f>IF(V307=1,S307,0)</f>
        <v/>
      </c>
    </row>
    <row r="308">
      <c r="B308" s="62" t="n"/>
      <c r="C308" s="63" t="n"/>
      <c r="D308" s="62" t="n"/>
      <c r="E308" s="62" t="n"/>
      <c r="F308" s="62" t="n"/>
      <c r="G308" s="64" t="n"/>
      <c r="H308" s="64" t="n"/>
      <c r="I308" s="63" t="n"/>
      <c r="J308" s="29">
        <f>IF(V308=1,IF(ISNUMBER(I308),I308,C308+IF(ISNUMBER(IFERROR(INDEX(cust_Terms,MATCH(D308,cust_Name,0)),"")),INDEX(cust_Terms,MATCH(D308,cust_Name,0)),TermsDays)),"")</f>
        <v/>
      </c>
      <c r="K308" s="65">
        <f>IF(V308=1,SUMIFS(tx_DrAmt,tx_Type,"Customer Payment",tx_Ref,B308&amp;"",tx_Date,"&lt;="&amp;AsOf),"")</f>
        <v/>
      </c>
      <c r="L308" s="65">
        <f>IF(V308=1,IF(C308&gt;AsOf,0,ROUND(G308-K308,2)),"")</f>
        <v/>
      </c>
      <c r="M308" s="66">
        <f>IF(V308&lt;&gt;1,"",IF(C308&gt;AsOf,"Future",IF(L308&lt;0,"Overpaid",IF(L308=0,"Paid",IF(AsOf&gt;J308,"Overdue",IF(K308&gt;0,"Partial","Unpaid"))))))</f>
        <v/>
      </c>
      <c r="N308" s="28">
        <f>IF(AND(V308=1,N(L308)&gt;0),AsOf-C308,"")</f>
        <v/>
      </c>
      <c r="O308" s="28">
        <f>IF(N308="","",MAX(0,AsOf-J308))</f>
        <v/>
      </c>
      <c r="P308" s="66">
        <f>IF(O308="","",IF(O308=0,"Current",IF(O308&lt;=30,"1-30",IF(O308&lt;=60,"31-60",IF(O308&lt;=90,"61-90","90+")))))</f>
        <v/>
      </c>
      <c r="Q308" s="66">
        <f>IF(T308&lt;&gt;"","⛔ "&amp;T308&amp;" — not posted",IF(U308&lt;&gt;"","⚠ "&amp;U308,IF(V308=1,"✓ OK","")))</f>
        <v/>
      </c>
      <c r="R308" s="67">
        <f>IF(AND(B308="",C308="",D308="",G308="",F308=""),1,0)</f>
        <v/>
      </c>
      <c r="S308" s="68">
        <f>IF(AND(TaxOn="Yes",ISNUMBER(H308)),H308,0)</f>
        <v/>
      </c>
      <c r="T308" s="67">
        <f>IF(R308=1,"",IF(B308="","Enter an invoice #",IF(C308="","Missing invoice date",IF(NOT(ISNUMBER(C308)),"Invalid date",IF(OR(C308&lt;DATE(2000,1,1),C308&gt;DATE(2099,12,31)),"Invalid date",IF(F308="","Select a revenue account",IF(ISNA(MATCH(F308,coa_Name,0)),"Unknown account: "&amp;F308,IF(NOT(ISNUMBER(G308)),"Enter an amount",IF(G308&lt;=0,"Amount must be positive",IF(S308&gt;G308,"Tax is larger than the amount",""))))))))))</f>
        <v/>
      </c>
      <c r="U308" s="67">
        <f>IF(OR(R308=1,T308&lt;&gt;""),"",IF(COUNTIF(ar_No,B308)&gt;1,"Duplicate invoice #",IF(D308="","Select a customer",IF(N(L308)&lt;0,"Overpaid by "&amp;TEXT(-L308,"#,##0.00"),IF(AND(ISNUMBER(H308),N(H308)&lt;&gt;0,S308=0),"Tax ignored (tax tracking is off)",IF(AND(ISNUMBER(StartDate),C308&lt;StartDate),"Date is before the accounting start date",IF(AND(IFERROR(INDEX(coa_Type,MATCH(F308,coa_Name,0)),"")&lt;&gt;"Revenue",IFERROR(INDEX(coa_Type,MATCH(F308,coa_Name,0)),"")&lt;&gt;"Other Income"),"Account is not a revenue account","")))))))</f>
        <v/>
      </c>
      <c r="V308" s="67">
        <f>IF(AND(R308=0,T308=""),1,0)</f>
        <v/>
      </c>
      <c r="W308" s="67">
        <f>IF(V308=1,acctAR,"")</f>
        <v/>
      </c>
      <c r="X308" s="67">
        <f>IF(V308=1,F308,"")</f>
        <v/>
      </c>
      <c r="Y308" s="68">
        <f>IF(V308=1,G308,0)</f>
        <v/>
      </c>
      <c r="Z308" s="68">
        <f>IF(V308=1,G308-S308,0)</f>
        <v/>
      </c>
      <c r="AA308" s="68">
        <f>IF(V308=1,S308,0)</f>
        <v/>
      </c>
    </row>
    <row r="309">
      <c r="B309" s="62" t="n"/>
      <c r="C309" s="63" t="n"/>
      <c r="D309" s="62" t="n"/>
      <c r="E309" s="62" t="n"/>
      <c r="F309" s="62" t="n"/>
      <c r="G309" s="64" t="n"/>
      <c r="H309" s="64" t="n"/>
      <c r="I309" s="63" t="n"/>
      <c r="J309" s="29">
        <f>IF(V309=1,IF(ISNUMBER(I309),I309,C309+IF(ISNUMBER(IFERROR(INDEX(cust_Terms,MATCH(D309,cust_Name,0)),"")),INDEX(cust_Terms,MATCH(D309,cust_Name,0)),TermsDays)),"")</f>
        <v/>
      </c>
      <c r="K309" s="65">
        <f>IF(V309=1,SUMIFS(tx_DrAmt,tx_Type,"Customer Payment",tx_Ref,B309&amp;"",tx_Date,"&lt;="&amp;AsOf),"")</f>
        <v/>
      </c>
      <c r="L309" s="65">
        <f>IF(V309=1,IF(C309&gt;AsOf,0,ROUND(G309-K309,2)),"")</f>
        <v/>
      </c>
      <c r="M309" s="66">
        <f>IF(V309&lt;&gt;1,"",IF(C309&gt;AsOf,"Future",IF(L309&lt;0,"Overpaid",IF(L309=0,"Paid",IF(AsOf&gt;J309,"Overdue",IF(K309&gt;0,"Partial","Unpaid"))))))</f>
        <v/>
      </c>
      <c r="N309" s="28">
        <f>IF(AND(V309=1,N(L309)&gt;0),AsOf-C309,"")</f>
        <v/>
      </c>
      <c r="O309" s="28">
        <f>IF(N309="","",MAX(0,AsOf-J309))</f>
        <v/>
      </c>
      <c r="P309" s="66">
        <f>IF(O309="","",IF(O309=0,"Current",IF(O309&lt;=30,"1-30",IF(O309&lt;=60,"31-60",IF(O309&lt;=90,"61-90","90+")))))</f>
        <v/>
      </c>
      <c r="Q309" s="66">
        <f>IF(T309&lt;&gt;"","⛔ "&amp;T309&amp;" — not posted",IF(U309&lt;&gt;"","⚠ "&amp;U309,IF(V309=1,"✓ OK","")))</f>
        <v/>
      </c>
      <c r="R309" s="67">
        <f>IF(AND(B309="",C309="",D309="",G309="",F309=""),1,0)</f>
        <v/>
      </c>
      <c r="S309" s="68">
        <f>IF(AND(TaxOn="Yes",ISNUMBER(H309)),H309,0)</f>
        <v/>
      </c>
      <c r="T309" s="67">
        <f>IF(R309=1,"",IF(B309="","Enter an invoice #",IF(C309="","Missing invoice date",IF(NOT(ISNUMBER(C309)),"Invalid date",IF(OR(C309&lt;DATE(2000,1,1),C309&gt;DATE(2099,12,31)),"Invalid date",IF(F309="","Select a revenue account",IF(ISNA(MATCH(F309,coa_Name,0)),"Unknown account: "&amp;F309,IF(NOT(ISNUMBER(G309)),"Enter an amount",IF(G309&lt;=0,"Amount must be positive",IF(S309&gt;G309,"Tax is larger than the amount",""))))))))))</f>
        <v/>
      </c>
      <c r="U309" s="67">
        <f>IF(OR(R309=1,T309&lt;&gt;""),"",IF(COUNTIF(ar_No,B309)&gt;1,"Duplicate invoice #",IF(D309="","Select a customer",IF(N(L309)&lt;0,"Overpaid by "&amp;TEXT(-L309,"#,##0.00"),IF(AND(ISNUMBER(H309),N(H309)&lt;&gt;0,S309=0),"Tax ignored (tax tracking is off)",IF(AND(ISNUMBER(StartDate),C309&lt;StartDate),"Date is before the accounting start date",IF(AND(IFERROR(INDEX(coa_Type,MATCH(F309,coa_Name,0)),"")&lt;&gt;"Revenue",IFERROR(INDEX(coa_Type,MATCH(F309,coa_Name,0)),"")&lt;&gt;"Other Income"),"Account is not a revenue account","")))))))</f>
        <v/>
      </c>
      <c r="V309" s="67">
        <f>IF(AND(R309=0,T309=""),1,0)</f>
        <v/>
      </c>
      <c r="W309" s="67">
        <f>IF(V309=1,acctAR,"")</f>
        <v/>
      </c>
      <c r="X309" s="67">
        <f>IF(V309=1,F309,"")</f>
        <v/>
      </c>
      <c r="Y309" s="68">
        <f>IF(V309=1,G309,0)</f>
        <v/>
      </c>
      <c r="Z309" s="68">
        <f>IF(V309=1,G309-S309,0)</f>
        <v/>
      </c>
      <c r="AA309" s="68">
        <f>IF(V309=1,S309,0)</f>
        <v/>
      </c>
    </row>
    <row r="310">
      <c r="B310" s="62" t="n"/>
      <c r="C310" s="63" t="n"/>
      <c r="D310" s="62" t="n"/>
      <c r="E310" s="62" t="n"/>
      <c r="F310" s="62" t="n"/>
      <c r="G310" s="64" t="n"/>
      <c r="H310" s="64" t="n"/>
      <c r="I310" s="63" t="n"/>
      <c r="J310" s="29">
        <f>IF(V310=1,IF(ISNUMBER(I310),I310,C310+IF(ISNUMBER(IFERROR(INDEX(cust_Terms,MATCH(D310,cust_Name,0)),"")),INDEX(cust_Terms,MATCH(D310,cust_Name,0)),TermsDays)),"")</f>
        <v/>
      </c>
      <c r="K310" s="65">
        <f>IF(V310=1,SUMIFS(tx_DrAmt,tx_Type,"Customer Payment",tx_Ref,B310&amp;"",tx_Date,"&lt;="&amp;AsOf),"")</f>
        <v/>
      </c>
      <c r="L310" s="65">
        <f>IF(V310=1,IF(C310&gt;AsOf,0,ROUND(G310-K310,2)),"")</f>
        <v/>
      </c>
      <c r="M310" s="66">
        <f>IF(V310&lt;&gt;1,"",IF(C310&gt;AsOf,"Future",IF(L310&lt;0,"Overpaid",IF(L310=0,"Paid",IF(AsOf&gt;J310,"Overdue",IF(K310&gt;0,"Partial","Unpaid"))))))</f>
        <v/>
      </c>
      <c r="N310" s="28">
        <f>IF(AND(V310=1,N(L310)&gt;0),AsOf-C310,"")</f>
        <v/>
      </c>
      <c r="O310" s="28">
        <f>IF(N310="","",MAX(0,AsOf-J310))</f>
        <v/>
      </c>
      <c r="P310" s="66">
        <f>IF(O310="","",IF(O310=0,"Current",IF(O310&lt;=30,"1-30",IF(O310&lt;=60,"31-60",IF(O310&lt;=90,"61-90","90+")))))</f>
        <v/>
      </c>
      <c r="Q310" s="66">
        <f>IF(T310&lt;&gt;"","⛔ "&amp;T310&amp;" — not posted",IF(U310&lt;&gt;"","⚠ "&amp;U310,IF(V310=1,"✓ OK","")))</f>
        <v/>
      </c>
      <c r="R310" s="67">
        <f>IF(AND(B310="",C310="",D310="",G310="",F310=""),1,0)</f>
        <v/>
      </c>
      <c r="S310" s="68">
        <f>IF(AND(TaxOn="Yes",ISNUMBER(H310)),H310,0)</f>
        <v/>
      </c>
      <c r="T310" s="67">
        <f>IF(R310=1,"",IF(B310="","Enter an invoice #",IF(C310="","Missing invoice date",IF(NOT(ISNUMBER(C310)),"Invalid date",IF(OR(C310&lt;DATE(2000,1,1),C310&gt;DATE(2099,12,31)),"Invalid date",IF(F310="","Select a revenue account",IF(ISNA(MATCH(F310,coa_Name,0)),"Unknown account: "&amp;F310,IF(NOT(ISNUMBER(G310)),"Enter an amount",IF(G310&lt;=0,"Amount must be positive",IF(S310&gt;G310,"Tax is larger than the amount",""))))))))))</f>
        <v/>
      </c>
      <c r="U310" s="67">
        <f>IF(OR(R310=1,T310&lt;&gt;""),"",IF(COUNTIF(ar_No,B310)&gt;1,"Duplicate invoice #",IF(D310="","Select a customer",IF(N(L310)&lt;0,"Overpaid by "&amp;TEXT(-L310,"#,##0.00"),IF(AND(ISNUMBER(H310),N(H310)&lt;&gt;0,S310=0),"Tax ignored (tax tracking is off)",IF(AND(ISNUMBER(StartDate),C310&lt;StartDate),"Date is before the accounting start date",IF(AND(IFERROR(INDEX(coa_Type,MATCH(F310,coa_Name,0)),"")&lt;&gt;"Revenue",IFERROR(INDEX(coa_Type,MATCH(F310,coa_Name,0)),"")&lt;&gt;"Other Income"),"Account is not a revenue account","")))))))</f>
        <v/>
      </c>
      <c r="V310" s="67">
        <f>IF(AND(R310=0,T310=""),1,0)</f>
        <v/>
      </c>
      <c r="W310" s="67">
        <f>IF(V310=1,acctAR,"")</f>
        <v/>
      </c>
      <c r="X310" s="67">
        <f>IF(V310=1,F310,"")</f>
        <v/>
      </c>
      <c r="Y310" s="68">
        <f>IF(V310=1,G310,0)</f>
        <v/>
      </c>
      <c r="Z310" s="68">
        <f>IF(V310=1,G310-S310,0)</f>
        <v/>
      </c>
      <c r="AA310" s="68">
        <f>IF(V310=1,S310,0)</f>
        <v/>
      </c>
    </row>
    <row r="311">
      <c r="B311" s="62" t="n"/>
      <c r="C311" s="63" t="n"/>
      <c r="D311" s="62" t="n"/>
      <c r="E311" s="62" t="n"/>
      <c r="F311" s="62" t="n"/>
      <c r="G311" s="64" t="n"/>
      <c r="H311" s="64" t="n"/>
      <c r="I311" s="63" t="n"/>
      <c r="J311" s="29">
        <f>IF(V311=1,IF(ISNUMBER(I311),I311,C311+IF(ISNUMBER(IFERROR(INDEX(cust_Terms,MATCH(D311,cust_Name,0)),"")),INDEX(cust_Terms,MATCH(D311,cust_Name,0)),TermsDays)),"")</f>
        <v/>
      </c>
      <c r="K311" s="65">
        <f>IF(V311=1,SUMIFS(tx_DrAmt,tx_Type,"Customer Payment",tx_Ref,B311&amp;"",tx_Date,"&lt;="&amp;AsOf),"")</f>
        <v/>
      </c>
      <c r="L311" s="65">
        <f>IF(V311=1,IF(C311&gt;AsOf,0,ROUND(G311-K311,2)),"")</f>
        <v/>
      </c>
      <c r="M311" s="66">
        <f>IF(V311&lt;&gt;1,"",IF(C311&gt;AsOf,"Future",IF(L311&lt;0,"Overpaid",IF(L311=0,"Paid",IF(AsOf&gt;J311,"Overdue",IF(K311&gt;0,"Partial","Unpaid"))))))</f>
        <v/>
      </c>
      <c r="N311" s="28">
        <f>IF(AND(V311=1,N(L311)&gt;0),AsOf-C311,"")</f>
        <v/>
      </c>
      <c r="O311" s="28">
        <f>IF(N311="","",MAX(0,AsOf-J311))</f>
        <v/>
      </c>
      <c r="P311" s="66">
        <f>IF(O311="","",IF(O311=0,"Current",IF(O311&lt;=30,"1-30",IF(O311&lt;=60,"31-60",IF(O311&lt;=90,"61-90","90+")))))</f>
        <v/>
      </c>
      <c r="Q311" s="66">
        <f>IF(T311&lt;&gt;"","⛔ "&amp;T311&amp;" — not posted",IF(U311&lt;&gt;"","⚠ "&amp;U311,IF(V311=1,"✓ OK","")))</f>
        <v/>
      </c>
      <c r="R311" s="67">
        <f>IF(AND(B311="",C311="",D311="",G311="",F311=""),1,0)</f>
        <v/>
      </c>
      <c r="S311" s="68">
        <f>IF(AND(TaxOn="Yes",ISNUMBER(H311)),H311,0)</f>
        <v/>
      </c>
      <c r="T311" s="67">
        <f>IF(R311=1,"",IF(B311="","Enter an invoice #",IF(C311="","Missing invoice date",IF(NOT(ISNUMBER(C311)),"Invalid date",IF(OR(C311&lt;DATE(2000,1,1),C311&gt;DATE(2099,12,31)),"Invalid date",IF(F311="","Select a revenue account",IF(ISNA(MATCH(F311,coa_Name,0)),"Unknown account: "&amp;F311,IF(NOT(ISNUMBER(G311)),"Enter an amount",IF(G311&lt;=0,"Amount must be positive",IF(S311&gt;G311,"Tax is larger than the amount",""))))))))))</f>
        <v/>
      </c>
      <c r="U311" s="67">
        <f>IF(OR(R311=1,T311&lt;&gt;""),"",IF(COUNTIF(ar_No,B311)&gt;1,"Duplicate invoice #",IF(D311="","Select a customer",IF(N(L311)&lt;0,"Overpaid by "&amp;TEXT(-L311,"#,##0.00"),IF(AND(ISNUMBER(H311),N(H311)&lt;&gt;0,S311=0),"Tax ignored (tax tracking is off)",IF(AND(ISNUMBER(StartDate),C311&lt;StartDate),"Date is before the accounting start date",IF(AND(IFERROR(INDEX(coa_Type,MATCH(F311,coa_Name,0)),"")&lt;&gt;"Revenue",IFERROR(INDEX(coa_Type,MATCH(F311,coa_Name,0)),"")&lt;&gt;"Other Income"),"Account is not a revenue account","")))))))</f>
        <v/>
      </c>
      <c r="V311" s="67">
        <f>IF(AND(R311=0,T311=""),1,0)</f>
        <v/>
      </c>
      <c r="W311" s="67">
        <f>IF(V311=1,acctAR,"")</f>
        <v/>
      </c>
      <c r="X311" s="67">
        <f>IF(V311=1,F311,"")</f>
        <v/>
      </c>
      <c r="Y311" s="68">
        <f>IF(V311=1,G311,0)</f>
        <v/>
      </c>
      <c r="Z311" s="68">
        <f>IF(V311=1,G311-S311,0)</f>
        <v/>
      </c>
      <c r="AA311" s="68">
        <f>IF(V311=1,S311,0)</f>
        <v/>
      </c>
    </row>
    <row r="312">
      <c r="B312" s="62" t="n"/>
      <c r="C312" s="63" t="n"/>
      <c r="D312" s="62" t="n"/>
      <c r="E312" s="62" t="n"/>
      <c r="F312" s="62" t="n"/>
      <c r="G312" s="64" t="n"/>
      <c r="H312" s="64" t="n"/>
      <c r="I312" s="63" t="n"/>
      <c r="J312" s="29">
        <f>IF(V312=1,IF(ISNUMBER(I312),I312,C312+IF(ISNUMBER(IFERROR(INDEX(cust_Terms,MATCH(D312,cust_Name,0)),"")),INDEX(cust_Terms,MATCH(D312,cust_Name,0)),TermsDays)),"")</f>
        <v/>
      </c>
      <c r="K312" s="65">
        <f>IF(V312=1,SUMIFS(tx_DrAmt,tx_Type,"Customer Payment",tx_Ref,B312&amp;"",tx_Date,"&lt;="&amp;AsOf),"")</f>
        <v/>
      </c>
      <c r="L312" s="65">
        <f>IF(V312=1,IF(C312&gt;AsOf,0,ROUND(G312-K312,2)),"")</f>
        <v/>
      </c>
      <c r="M312" s="66">
        <f>IF(V312&lt;&gt;1,"",IF(C312&gt;AsOf,"Future",IF(L312&lt;0,"Overpaid",IF(L312=0,"Paid",IF(AsOf&gt;J312,"Overdue",IF(K312&gt;0,"Partial","Unpaid"))))))</f>
        <v/>
      </c>
      <c r="N312" s="28">
        <f>IF(AND(V312=1,N(L312)&gt;0),AsOf-C312,"")</f>
        <v/>
      </c>
      <c r="O312" s="28">
        <f>IF(N312="","",MAX(0,AsOf-J312))</f>
        <v/>
      </c>
      <c r="P312" s="66">
        <f>IF(O312="","",IF(O312=0,"Current",IF(O312&lt;=30,"1-30",IF(O312&lt;=60,"31-60",IF(O312&lt;=90,"61-90","90+")))))</f>
        <v/>
      </c>
      <c r="Q312" s="66">
        <f>IF(T312&lt;&gt;"","⛔ "&amp;T312&amp;" — not posted",IF(U312&lt;&gt;"","⚠ "&amp;U312,IF(V312=1,"✓ OK","")))</f>
        <v/>
      </c>
      <c r="R312" s="67">
        <f>IF(AND(B312="",C312="",D312="",G312="",F312=""),1,0)</f>
        <v/>
      </c>
      <c r="S312" s="68">
        <f>IF(AND(TaxOn="Yes",ISNUMBER(H312)),H312,0)</f>
        <v/>
      </c>
      <c r="T312" s="67">
        <f>IF(R312=1,"",IF(B312="","Enter an invoice #",IF(C312="","Missing invoice date",IF(NOT(ISNUMBER(C312)),"Invalid date",IF(OR(C312&lt;DATE(2000,1,1),C312&gt;DATE(2099,12,31)),"Invalid date",IF(F312="","Select a revenue account",IF(ISNA(MATCH(F312,coa_Name,0)),"Unknown account: "&amp;F312,IF(NOT(ISNUMBER(G312)),"Enter an amount",IF(G312&lt;=0,"Amount must be positive",IF(S312&gt;G312,"Tax is larger than the amount",""))))))))))</f>
        <v/>
      </c>
      <c r="U312" s="67">
        <f>IF(OR(R312=1,T312&lt;&gt;""),"",IF(COUNTIF(ar_No,B312)&gt;1,"Duplicate invoice #",IF(D312="","Select a customer",IF(N(L312)&lt;0,"Overpaid by "&amp;TEXT(-L312,"#,##0.00"),IF(AND(ISNUMBER(H312),N(H312)&lt;&gt;0,S312=0),"Tax ignored (tax tracking is off)",IF(AND(ISNUMBER(StartDate),C312&lt;StartDate),"Date is before the accounting start date",IF(AND(IFERROR(INDEX(coa_Type,MATCH(F312,coa_Name,0)),"")&lt;&gt;"Revenue",IFERROR(INDEX(coa_Type,MATCH(F312,coa_Name,0)),"")&lt;&gt;"Other Income"),"Account is not a revenue account","")))))))</f>
        <v/>
      </c>
      <c r="V312" s="67">
        <f>IF(AND(R312=0,T312=""),1,0)</f>
        <v/>
      </c>
      <c r="W312" s="67">
        <f>IF(V312=1,acctAR,"")</f>
        <v/>
      </c>
      <c r="X312" s="67">
        <f>IF(V312=1,F312,"")</f>
        <v/>
      </c>
      <c r="Y312" s="68">
        <f>IF(V312=1,G312,0)</f>
        <v/>
      </c>
      <c r="Z312" s="68">
        <f>IF(V312=1,G312-S312,0)</f>
        <v/>
      </c>
      <c r="AA312" s="68">
        <f>IF(V312=1,S312,0)</f>
        <v/>
      </c>
    </row>
    <row r="313">
      <c r="B313" s="62" t="n"/>
      <c r="C313" s="63" t="n"/>
      <c r="D313" s="62" t="n"/>
      <c r="E313" s="62" t="n"/>
      <c r="F313" s="62" t="n"/>
      <c r="G313" s="64" t="n"/>
      <c r="H313" s="64" t="n"/>
      <c r="I313" s="63" t="n"/>
      <c r="J313" s="29">
        <f>IF(V313=1,IF(ISNUMBER(I313),I313,C313+IF(ISNUMBER(IFERROR(INDEX(cust_Terms,MATCH(D313,cust_Name,0)),"")),INDEX(cust_Terms,MATCH(D313,cust_Name,0)),TermsDays)),"")</f>
        <v/>
      </c>
      <c r="K313" s="65">
        <f>IF(V313=1,SUMIFS(tx_DrAmt,tx_Type,"Customer Payment",tx_Ref,B313&amp;"",tx_Date,"&lt;="&amp;AsOf),"")</f>
        <v/>
      </c>
      <c r="L313" s="65">
        <f>IF(V313=1,IF(C313&gt;AsOf,0,ROUND(G313-K313,2)),"")</f>
        <v/>
      </c>
      <c r="M313" s="66">
        <f>IF(V313&lt;&gt;1,"",IF(C313&gt;AsOf,"Future",IF(L313&lt;0,"Overpaid",IF(L313=0,"Paid",IF(AsOf&gt;J313,"Overdue",IF(K313&gt;0,"Partial","Unpaid"))))))</f>
        <v/>
      </c>
      <c r="N313" s="28">
        <f>IF(AND(V313=1,N(L313)&gt;0),AsOf-C313,"")</f>
        <v/>
      </c>
      <c r="O313" s="28">
        <f>IF(N313="","",MAX(0,AsOf-J313))</f>
        <v/>
      </c>
      <c r="P313" s="66">
        <f>IF(O313="","",IF(O313=0,"Current",IF(O313&lt;=30,"1-30",IF(O313&lt;=60,"31-60",IF(O313&lt;=90,"61-90","90+")))))</f>
        <v/>
      </c>
      <c r="Q313" s="66">
        <f>IF(T313&lt;&gt;"","⛔ "&amp;T313&amp;" — not posted",IF(U313&lt;&gt;"","⚠ "&amp;U313,IF(V313=1,"✓ OK","")))</f>
        <v/>
      </c>
      <c r="R313" s="67">
        <f>IF(AND(B313="",C313="",D313="",G313="",F313=""),1,0)</f>
        <v/>
      </c>
      <c r="S313" s="68">
        <f>IF(AND(TaxOn="Yes",ISNUMBER(H313)),H313,0)</f>
        <v/>
      </c>
      <c r="T313" s="67">
        <f>IF(R313=1,"",IF(B313="","Enter an invoice #",IF(C313="","Missing invoice date",IF(NOT(ISNUMBER(C313)),"Invalid date",IF(OR(C313&lt;DATE(2000,1,1),C313&gt;DATE(2099,12,31)),"Invalid date",IF(F313="","Select a revenue account",IF(ISNA(MATCH(F313,coa_Name,0)),"Unknown account: "&amp;F313,IF(NOT(ISNUMBER(G313)),"Enter an amount",IF(G313&lt;=0,"Amount must be positive",IF(S313&gt;G313,"Tax is larger than the amount",""))))))))))</f>
        <v/>
      </c>
      <c r="U313" s="67">
        <f>IF(OR(R313=1,T313&lt;&gt;""),"",IF(COUNTIF(ar_No,B313)&gt;1,"Duplicate invoice #",IF(D313="","Select a customer",IF(N(L313)&lt;0,"Overpaid by "&amp;TEXT(-L313,"#,##0.00"),IF(AND(ISNUMBER(H313),N(H313)&lt;&gt;0,S313=0),"Tax ignored (tax tracking is off)",IF(AND(ISNUMBER(StartDate),C313&lt;StartDate),"Date is before the accounting start date",IF(AND(IFERROR(INDEX(coa_Type,MATCH(F313,coa_Name,0)),"")&lt;&gt;"Revenue",IFERROR(INDEX(coa_Type,MATCH(F313,coa_Name,0)),"")&lt;&gt;"Other Income"),"Account is not a revenue account","")))))))</f>
        <v/>
      </c>
      <c r="V313" s="67">
        <f>IF(AND(R313=0,T313=""),1,0)</f>
        <v/>
      </c>
      <c r="W313" s="67">
        <f>IF(V313=1,acctAR,"")</f>
        <v/>
      </c>
      <c r="X313" s="67">
        <f>IF(V313=1,F313,"")</f>
        <v/>
      </c>
      <c r="Y313" s="68">
        <f>IF(V313=1,G313,0)</f>
        <v/>
      </c>
      <c r="Z313" s="68">
        <f>IF(V313=1,G313-S313,0)</f>
        <v/>
      </c>
      <c r="AA313" s="68">
        <f>IF(V313=1,S313,0)</f>
        <v/>
      </c>
    </row>
    <row r="314">
      <c r="B314" s="62" t="n"/>
      <c r="C314" s="63" t="n"/>
      <c r="D314" s="62" t="n"/>
      <c r="E314" s="62" t="n"/>
      <c r="F314" s="62" t="n"/>
      <c r="G314" s="64" t="n"/>
      <c r="H314" s="64" t="n"/>
      <c r="I314" s="63" t="n"/>
      <c r="J314" s="29">
        <f>IF(V314=1,IF(ISNUMBER(I314),I314,C314+IF(ISNUMBER(IFERROR(INDEX(cust_Terms,MATCH(D314,cust_Name,0)),"")),INDEX(cust_Terms,MATCH(D314,cust_Name,0)),TermsDays)),"")</f>
        <v/>
      </c>
      <c r="K314" s="65">
        <f>IF(V314=1,SUMIFS(tx_DrAmt,tx_Type,"Customer Payment",tx_Ref,B314&amp;"",tx_Date,"&lt;="&amp;AsOf),"")</f>
        <v/>
      </c>
      <c r="L314" s="65">
        <f>IF(V314=1,IF(C314&gt;AsOf,0,ROUND(G314-K314,2)),"")</f>
        <v/>
      </c>
      <c r="M314" s="66">
        <f>IF(V314&lt;&gt;1,"",IF(C314&gt;AsOf,"Future",IF(L314&lt;0,"Overpaid",IF(L314=0,"Paid",IF(AsOf&gt;J314,"Overdue",IF(K314&gt;0,"Partial","Unpaid"))))))</f>
        <v/>
      </c>
      <c r="N314" s="28">
        <f>IF(AND(V314=1,N(L314)&gt;0),AsOf-C314,"")</f>
        <v/>
      </c>
      <c r="O314" s="28">
        <f>IF(N314="","",MAX(0,AsOf-J314))</f>
        <v/>
      </c>
      <c r="P314" s="66">
        <f>IF(O314="","",IF(O314=0,"Current",IF(O314&lt;=30,"1-30",IF(O314&lt;=60,"31-60",IF(O314&lt;=90,"61-90","90+")))))</f>
        <v/>
      </c>
      <c r="Q314" s="66">
        <f>IF(T314&lt;&gt;"","⛔ "&amp;T314&amp;" — not posted",IF(U314&lt;&gt;"","⚠ "&amp;U314,IF(V314=1,"✓ OK","")))</f>
        <v/>
      </c>
      <c r="R314" s="67">
        <f>IF(AND(B314="",C314="",D314="",G314="",F314=""),1,0)</f>
        <v/>
      </c>
      <c r="S314" s="68">
        <f>IF(AND(TaxOn="Yes",ISNUMBER(H314)),H314,0)</f>
        <v/>
      </c>
      <c r="T314" s="67">
        <f>IF(R314=1,"",IF(B314="","Enter an invoice #",IF(C314="","Missing invoice date",IF(NOT(ISNUMBER(C314)),"Invalid date",IF(OR(C314&lt;DATE(2000,1,1),C314&gt;DATE(2099,12,31)),"Invalid date",IF(F314="","Select a revenue account",IF(ISNA(MATCH(F314,coa_Name,0)),"Unknown account: "&amp;F314,IF(NOT(ISNUMBER(G314)),"Enter an amount",IF(G314&lt;=0,"Amount must be positive",IF(S314&gt;G314,"Tax is larger than the amount",""))))))))))</f>
        <v/>
      </c>
      <c r="U314" s="67">
        <f>IF(OR(R314=1,T314&lt;&gt;""),"",IF(COUNTIF(ar_No,B314)&gt;1,"Duplicate invoice #",IF(D314="","Select a customer",IF(N(L314)&lt;0,"Overpaid by "&amp;TEXT(-L314,"#,##0.00"),IF(AND(ISNUMBER(H314),N(H314)&lt;&gt;0,S314=0),"Tax ignored (tax tracking is off)",IF(AND(ISNUMBER(StartDate),C314&lt;StartDate),"Date is before the accounting start date",IF(AND(IFERROR(INDEX(coa_Type,MATCH(F314,coa_Name,0)),"")&lt;&gt;"Revenue",IFERROR(INDEX(coa_Type,MATCH(F314,coa_Name,0)),"")&lt;&gt;"Other Income"),"Account is not a revenue account","")))))))</f>
        <v/>
      </c>
      <c r="V314" s="67">
        <f>IF(AND(R314=0,T314=""),1,0)</f>
        <v/>
      </c>
      <c r="W314" s="67">
        <f>IF(V314=1,acctAR,"")</f>
        <v/>
      </c>
      <c r="X314" s="67">
        <f>IF(V314=1,F314,"")</f>
        <v/>
      </c>
      <c r="Y314" s="68">
        <f>IF(V314=1,G314,0)</f>
        <v/>
      </c>
      <c r="Z314" s="68">
        <f>IF(V314=1,G314-S314,0)</f>
        <v/>
      </c>
      <c r="AA314" s="68">
        <f>IF(V314=1,S314,0)</f>
        <v/>
      </c>
    </row>
    <row r="315">
      <c r="B315" s="62" t="n"/>
      <c r="C315" s="63" t="n"/>
      <c r="D315" s="62" t="n"/>
      <c r="E315" s="62" t="n"/>
      <c r="F315" s="62" t="n"/>
      <c r="G315" s="64" t="n"/>
      <c r="H315" s="64" t="n"/>
      <c r="I315" s="63" t="n"/>
      <c r="J315" s="29">
        <f>IF(V315=1,IF(ISNUMBER(I315),I315,C315+IF(ISNUMBER(IFERROR(INDEX(cust_Terms,MATCH(D315,cust_Name,0)),"")),INDEX(cust_Terms,MATCH(D315,cust_Name,0)),TermsDays)),"")</f>
        <v/>
      </c>
      <c r="K315" s="65">
        <f>IF(V315=1,SUMIFS(tx_DrAmt,tx_Type,"Customer Payment",tx_Ref,B315&amp;"",tx_Date,"&lt;="&amp;AsOf),"")</f>
        <v/>
      </c>
      <c r="L315" s="65">
        <f>IF(V315=1,IF(C315&gt;AsOf,0,ROUND(G315-K315,2)),"")</f>
        <v/>
      </c>
      <c r="M315" s="66">
        <f>IF(V315&lt;&gt;1,"",IF(C315&gt;AsOf,"Future",IF(L315&lt;0,"Overpaid",IF(L315=0,"Paid",IF(AsOf&gt;J315,"Overdue",IF(K315&gt;0,"Partial","Unpaid"))))))</f>
        <v/>
      </c>
      <c r="N315" s="28">
        <f>IF(AND(V315=1,N(L315)&gt;0),AsOf-C315,"")</f>
        <v/>
      </c>
      <c r="O315" s="28">
        <f>IF(N315="","",MAX(0,AsOf-J315))</f>
        <v/>
      </c>
      <c r="P315" s="66">
        <f>IF(O315="","",IF(O315=0,"Current",IF(O315&lt;=30,"1-30",IF(O315&lt;=60,"31-60",IF(O315&lt;=90,"61-90","90+")))))</f>
        <v/>
      </c>
      <c r="Q315" s="66">
        <f>IF(T315&lt;&gt;"","⛔ "&amp;T315&amp;" — not posted",IF(U315&lt;&gt;"","⚠ "&amp;U315,IF(V315=1,"✓ OK","")))</f>
        <v/>
      </c>
      <c r="R315" s="67">
        <f>IF(AND(B315="",C315="",D315="",G315="",F315=""),1,0)</f>
        <v/>
      </c>
      <c r="S315" s="68">
        <f>IF(AND(TaxOn="Yes",ISNUMBER(H315)),H315,0)</f>
        <v/>
      </c>
      <c r="T315" s="67">
        <f>IF(R315=1,"",IF(B315="","Enter an invoice #",IF(C315="","Missing invoice date",IF(NOT(ISNUMBER(C315)),"Invalid date",IF(OR(C315&lt;DATE(2000,1,1),C315&gt;DATE(2099,12,31)),"Invalid date",IF(F315="","Select a revenue account",IF(ISNA(MATCH(F315,coa_Name,0)),"Unknown account: "&amp;F315,IF(NOT(ISNUMBER(G315)),"Enter an amount",IF(G315&lt;=0,"Amount must be positive",IF(S315&gt;G315,"Tax is larger than the amount",""))))))))))</f>
        <v/>
      </c>
      <c r="U315" s="67">
        <f>IF(OR(R315=1,T315&lt;&gt;""),"",IF(COUNTIF(ar_No,B315)&gt;1,"Duplicate invoice #",IF(D315="","Select a customer",IF(N(L315)&lt;0,"Overpaid by "&amp;TEXT(-L315,"#,##0.00"),IF(AND(ISNUMBER(H315),N(H315)&lt;&gt;0,S315=0),"Tax ignored (tax tracking is off)",IF(AND(ISNUMBER(StartDate),C315&lt;StartDate),"Date is before the accounting start date",IF(AND(IFERROR(INDEX(coa_Type,MATCH(F315,coa_Name,0)),"")&lt;&gt;"Revenue",IFERROR(INDEX(coa_Type,MATCH(F315,coa_Name,0)),"")&lt;&gt;"Other Income"),"Account is not a revenue account","")))))))</f>
        <v/>
      </c>
      <c r="V315" s="67">
        <f>IF(AND(R315=0,T315=""),1,0)</f>
        <v/>
      </c>
      <c r="W315" s="67">
        <f>IF(V315=1,acctAR,"")</f>
        <v/>
      </c>
      <c r="X315" s="67">
        <f>IF(V315=1,F315,"")</f>
        <v/>
      </c>
      <c r="Y315" s="68">
        <f>IF(V315=1,G315,0)</f>
        <v/>
      </c>
      <c r="Z315" s="68">
        <f>IF(V315=1,G315-S315,0)</f>
        <v/>
      </c>
      <c r="AA315" s="68">
        <f>IF(V315=1,S315,0)</f>
        <v/>
      </c>
    </row>
    <row r="316">
      <c r="B316" s="62" t="n"/>
      <c r="C316" s="63" t="n"/>
      <c r="D316" s="62" t="n"/>
      <c r="E316" s="62" t="n"/>
      <c r="F316" s="62" t="n"/>
      <c r="G316" s="64" t="n"/>
      <c r="H316" s="64" t="n"/>
      <c r="I316" s="63" t="n"/>
      <c r="J316" s="29">
        <f>IF(V316=1,IF(ISNUMBER(I316),I316,C316+IF(ISNUMBER(IFERROR(INDEX(cust_Terms,MATCH(D316,cust_Name,0)),"")),INDEX(cust_Terms,MATCH(D316,cust_Name,0)),TermsDays)),"")</f>
        <v/>
      </c>
      <c r="K316" s="65">
        <f>IF(V316=1,SUMIFS(tx_DrAmt,tx_Type,"Customer Payment",tx_Ref,B316&amp;"",tx_Date,"&lt;="&amp;AsOf),"")</f>
        <v/>
      </c>
      <c r="L316" s="65">
        <f>IF(V316=1,IF(C316&gt;AsOf,0,ROUND(G316-K316,2)),"")</f>
        <v/>
      </c>
      <c r="M316" s="66">
        <f>IF(V316&lt;&gt;1,"",IF(C316&gt;AsOf,"Future",IF(L316&lt;0,"Overpaid",IF(L316=0,"Paid",IF(AsOf&gt;J316,"Overdue",IF(K316&gt;0,"Partial","Unpaid"))))))</f>
        <v/>
      </c>
      <c r="N316" s="28">
        <f>IF(AND(V316=1,N(L316)&gt;0),AsOf-C316,"")</f>
        <v/>
      </c>
      <c r="O316" s="28">
        <f>IF(N316="","",MAX(0,AsOf-J316))</f>
        <v/>
      </c>
      <c r="P316" s="66">
        <f>IF(O316="","",IF(O316=0,"Current",IF(O316&lt;=30,"1-30",IF(O316&lt;=60,"31-60",IF(O316&lt;=90,"61-90","90+")))))</f>
        <v/>
      </c>
      <c r="Q316" s="66">
        <f>IF(T316&lt;&gt;"","⛔ "&amp;T316&amp;" — not posted",IF(U316&lt;&gt;"","⚠ "&amp;U316,IF(V316=1,"✓ OK","")))</f>
        <v/>
      </c>
      <c r="R316" s="67">
        <f>IF(AND(B316="",C316="",D316="",G316="",F316=""),1,0)</f>
        <v/>
      </c>
      <c r="S316" s="68">
        <f>IF(AND(TaxOn="Yes",ISNUMBER(H316)),H316,0)</f>
        <v/>
      </c>
      <c r="T316" s="67">
        <f>IF(R316=1,"",IF(B316="","Enter an invoice #",IF(C316="","Missing invoice date",IF(NOT(ISNUMBER(C316)),"Invalid date",IF(OR(C316&lt;DATE(2000,1,1),C316&gt;DATE(2099,12,31)),"Invalid date",IF(F316="","Select a revenue account",IF(ISNA(MATCH(F316,coa_Name,0)),"Unknown account: "&amp;F316,IF(NOT(ISNUMBER(G316)),"Enter an amount",IF(G316&lt;=0,"Amount must be positive",IF(S316&gt;G316,"Tax is larger than the amount",""))))))))))</f>
        <v/>
      </c>
      <c r="U316" s="67">
        <f>IF(OR(R316=1,T316&lt;&gt;""),"",IF(COUNTIF(ar_No,B316)&gt;1,"Duplicate invoice #",IF(D316="","Select a customer",IF(N(L316)&lt;0,"Overpaid by "&amp;TEXT(-L316,"#,##0.00"),IF(AND(ISNUMBER(H316),N(H316)&lt;&gt;0,S316=0),"Tax ignored (tax tracking is off)",IF(AND(ISNUMBER(StartDate),C316&lt;StartDate),"Date is before the accounting start date",IF(AND(IFERROR(INDEX(coa_Type,MATCH(F316,coa_Name,0)),"")&lt;&gt;"Revenue",IFERROR(INDEX(coa_Type,MATCH(F316,coa_Name,0)),"")&lt;&gt;"Other Income"),"Account is not a revenue account","")))))))</f>
        <v/>
      </c>
      <c r="V316" s="67">
        <f>IF(AND(R316=0,T316=""),1,0)</f>
        <v/>
      </c>
      <c r="W316" s="67">
        <f>IF(V316=1,acctAR,"")</f>
        <v/>
      </c>
      <c r="X316" s="67">
        <f>IF(V316=1,F316,"")</f>
        <v/>
      </c>
      <c r="Y316" s="68">
        <f>IF(V316=1,G316,0)</f>
        <v/>
      </c>
      <c r="Z316" s="68">
        <f>IF(V316=1,G316-S316,0)</f>
        <v/>
      </c>
      <c r="AA316" s="68">
        <f>IF(V316=1,S316,0)</f>
        <v/>
      </c>
    </row>
    <row r="317">
      <c r="B317" s="62" t="n"/>
      <c r="C317" s="63" t="n"/>
      <c r="D317" s="62" t="n"/>
      <c r="E317" s="62" t="n"/>
      <c r="F317" s="62" t="n"/>
      <c r="G317" s="64" t="n"/>
      <c r="H317" s="64" t="n"/>
      <c r="I317" s="63" t="n"/>
      <c r="J317" s="29">
        <f>IF(V317=1,IF(ISNUMBER(I317),I317,C317+IF(ISNUMBER(IFERROR(INDEX(cust_Terms,MATCH(D317,cust_Name,0)),"")),INDEX(cust_Terms,MATCH(D317,cust_Name,0)),TermsDays)),"")</f>
        <v/>
      </c>
      <c r="K317" s="65">
        <f>IF(V317=1,SUMIFS(tx_DrAmt,tx_Type,"Customer Payment",tx_Ref,B317&amp;"",tx_Date,"&lt;="&amp;AsOf),"")</f>
        <v/>
      </c>
      <c r="L317" s="65">
        <f>IF(V317=1,IF(C317&gt;AsOf,0,ROUND(G317-K317,2)),"")</f>
        <v/>
      </c>
      <c r="M317" s="66">
        <f>IF(V317&lt;&gt;1,"",IF(C317&gt;AsOf,"Future",IF(L317&lt;0,"Overpaid",IF(L317=0,"Paid",IF(AsOf&gt;J317,"Overdue",IF(K317&gt;0,"Partial","Unpaid"))))))</f>
        <v/>
      </c>
      <c r="N317" s="28">
        <f>IF(AND(V317=1,N(L317)&gt;0),AsOf-C317,"")</f>
        <v/>
      </c>
      <c r="O317" s="28">
        <f>IF(N317="","",MAX(0,AsOf-J317))</f>
        <v/>
      </c>
      <c r="P317" s="66">
        <f>IF(O317="","",IF(O317=0,"Current",IF(O317&lt;=30,"1-30",IF(O317&lt;=60,"31-60",IF(O317&lt;=90,"61-90","90+")))))</f>
        <v/>
      </c>
      <c r="Q317" s="66">
        <f>IF(T317&lt;&gt;"","⛔ "&amp;T317&amp;" — not posted",IF(U317&lt;&gt;"","⚠ "&amp;U317,IF(V317=1,"✓ OK","")))</f>
        <v/>
      </c>
      <c r="R317" s="67">
        <f>IF(AND(B317="",C317="",D317="",G317="",F317=""),1,0)</f>
        <v/>
      </c>
      <c r="S317" s="68">
        <f>IF(AND(TaxOn="Yes",ISNUMBER(H317)),H317,0)</f>
        <v/>
      </c>
      <c r="T317" s="67">
        <f>IF(R317=1,"",IF(B317="","Enter an invoice #",IF(C317="","Missing invoice date",IF(NOT(ISNUMBER(C317)),"Invalid date",IF(OR(C317&lt;DATE(2000,1,1),C317&gt;DATE(2099,12,31)),"Invalid date",IF(F317="","Select a revenue account",IF(ISNA(MATCH(F317,coa_Name,0)),"Unknown account: "&amp;F317,IF(NOT(ISNUMBER(G317)),"Enter an amount",IF(G317&lt;=0,"Amount must be positive",IF(S317&gt;G317,"Tax is larger than the amount",""))))))))))</f>
        <v/>
      </c>
      <c r="U317" s="67">
        <f>IF(OR(R317=1,T317&lt;&gt;""),"",IF(COUNTIF(ar_No,B317)&gt;1,"Duplicate invoice #",IF(D317="","Select a customer",IF(N(L317)&lt;0,"Overpaid by "&amp;TEXT(-L317,"#,##0.00"),IF(AND(ISNUMBER(H317),N(H317)&lt;&gt;0,S317=0),"Tax ignored (tax tracking is off)",IF(AND(ISNUMBER(StartDate),C317&lt;StartDate),"Date is before the accounting start date",IF(AND(IFERROR(INDEX(coa_Type,MATCH(F317,coa_Name,0)),"")&lt;&gt;"Revenue",IFERROR(INDEX(coa_Type,MATCH(F317,coa_Name,0)),"")&lt;&gt;"Other Income"),"Account is not a revenue account","")))))))</f>
        <v/>
      </c>
      <c r="V317" s="67">
        <f>IF(AND(R317=0,T317=""),1,0)</f>
        <v/>
      </c>
      <c r="W317" s="67">
        <f>IF(V317=1,acctAR,"")</f>
        <v/>
      </c>
      <c r="X317" s="67">
        <f>IF(V317=1,F317,"")</f>
        <v/>
      </c>
      <c r="Y317" s="68">
        <f>IF(V317=1,G317,0)</f>
        <v/>
      </c>
      <c r="Z317" s="68">
        <f>IF(V317=1,G317-S317,0)</f>
        <v/>
      </c>
      <c r="AA317" s="68">
        <f>IF(V317=1,S317,0)</f>
        <v/>
      </c>
    </row>
    <row r="318">
      <c r="B318" s="62" t="n"/>
      <c r="C318" s="63" t="n"/>
      <c r="D318" s="62" t="n"/>
      <c r="E318" s="62" t="n"/>
      <c r="F318" s="62" t="n"/>
      <c r="G318" s="64" t="n"/>
      <c r="H318" s="64" t="n"/>
      <c r="I318" s="63" t="n"/>
      <c r="J318" s="29">
        <f>IF(V318=1,IF(ISNUMBER(I318),I318,C318+IF(ISNUMBER(IFERROR(INDEX(cust_Terms,MATCH(D318,cust_Name,0)),"")),INDEX(cust_Terms,MATCH(D318,cust_Name,0)),TermsDays)),"")</f>
        <v/>
      </c>
      <c r="K318" s="65">
        <f>IF(V318=1,SUMIFS(tx_DrAmt,tx_Type,"Customer Payment",tx_Ref,B318&amp;"",tx_Date,"&lt;="&amp;AsOf),"")</f>
        <v/>
      </c>
      <c r="L318" s="65">
        <f>IF(V318=1,IF(C318&gt;AsOf,0,ROUND(G318-K318,2)),"")</f>
        <v/>
      </c>
      <c r="M318" s="66">
        <f>IF(V318&lt;&gt;1,"",IF(C318&gt;AsOf,"Future",IF(L318&lt;0,"Overpaid",IF(L318=0,"Paid",IF(AsOf&gt;J318,"Overdue",IF(K318&gt;0,"Partial","Unpaid"))))))</f>
        <v/>
      </c>
      <c r="N318" s="28">
        <f>IF(AND(V318=1,N(L318)&gt;0),AsOf-C318,"")</f>
        <v/>
      </c>
      <c r="O318" s="28">
        <f>IF(N318="","",MAX(0,AsOf-J318))</f>
        <v/>
      </c>
      <c r="P318" s="66">
        <f>IF(O318="","",IF(O318=0,"Current",IF(O318&lt;=30,"1-30",IF(O318&lt;=60,"31-60",IF(O318&lt;=90,"61-90","90+")))))</f>
        <v/>
      </c>
      <c r="Q318" s="66">
        <f>IF(T318&lt;&gt;"","⛔ "&amp;T318&amp;" — not posted",IF(U318&lt;&gt;"","⚠ "&amp;U318,IF(V318=1,"✓ OK","")))</f>
        <v/>
      </c>
      <c r="R318" s="67">
        <f>IF(AND(B318="",C318="",D318="",G318="",F318=""),1,0)</f>
        <v/>
      </c>
      <c r="S318" s="68">
        <f>IF(AND(TaxOn="Yes",ISNUMBER(H318)),H318,0)</f>
        <v/>
      </c>
      <c r="T318" s="67">
        <f>IF(R318=1,"",IF(B318="","Enter an invoice #",IF(C318="","Missing invoice date",IF(NOT(ISNUMBER(C318)),"Invalid date",IF(OR(C318&lt;DATE(2000,1,1),C318&gt;DATE(2099,12,31)),"Invalid date",IF(F318="","Select a revenue account",IF(ISNA(MATCH(F318,coa_Name,0)),"Unknown account: "&amp;F318,IF(NOT(ISNUMBER(G318)),"Enter an amount",IF(G318&lt;=0,"Amount must be positive",IF(S318&gt;G318,"Tax is larger than the amount",""))))))))))</f>
        <v/>
      </c>
      <c r="U318" s="67">
        <f>IF(OR(R318=1,T318&lt;&gt;""),"",IF(COUNTIF(ar_No,B318)&gt;1,"Duplicate invoice #",IF(D318="","Select a customer",IF(N(L318)&lt;0,"Overpaid by "&amp;TEXT(-L318,"#,##0.00"),IF(AND(ISNUMBER(H318),N(H318)&lt;&gt;0,S318=0),"Tax ignored (tax tracking is off)",IF(AND(ISNUMBER(StartDate),C318&lt;StartDate),"Date is before the accounting start date",IF(AND(IFERROR(INDEX(coa_Type,MATCH(F318,coa_Name,0)),"")&lt;&gt;"Revenue",IFERROR(INDEX(coa_Type,MATCH(F318,coa_Name,0)),"")&lt;&gt;"Other Income"),"Account is not a revenue account","")))))))</f>
        <v/>
      </c>
      <c r="V318" s="67">
        <f>IF(AND(R318=0,T318=""),1,0)</f>
        <v/>
      </c>
      <c r="W318" s="67">
        <f>IF(V318=1,acctAR,"")</f>
        <v/>
      </c>
      <c r="X318" s="67">
        <f>IF(V318=1,F318,"")</f>
        <v/>
      </c>
      <c r="Y318" s="68">
        <f>IF(V318=1,G318,0)</f>
        <v/>
      </c>
      <c r="Z318" s="68">
        <f>IF(V318=1,G318-S318,0)</f>
        <v/>
      </c>
      <c r="AA318" s="68">
        <f>IF(V318=1,S318,0)</f>
        <v/>
      </c>
    </row>
    <row r="319">
      <c r="B319" s="62" t="n"/>
      <c r="C319" s="63" t="n"/>
      <c r="D319" s="62" t="n"/>
      <c r="E319" s="62" t="n"/>
      <c r="F319" s="62" t="n"/>
      <c r="G319" s="64" t="n"/>
      <c r="H319" s="64" t="n"/>
      <c r="I319" s="63" t="n"/>
      <c r="J319" s="29">
        <f>IF(V319=1,IF(ISNUMBER(I319),I319,C319+IF(ISNUMBER(IFERROR(INDEX(cust_Terms,MATCH(D319,cust_Name,0)),"")),INDEX(cust_Terms,MATCH(D319,cust_Name,0)),TermsDays)),"")</f>
        <v/>
      </c>
      <c r="K319" s="65">
        <f>IF(V319=1,SUMIFS(tx_DrAmt,tx_Type,"Customer Payment",tx_Ref,B319&amp;"",tx_Date,"&lt;="&amp;AsOf),"")</f>
        <v/>
      </c>
      <c r="L319" s="65">
        <f>IF(V319=1,IF(C319&gt;AsOf,0,ROUND(G319-K319,2)),"")</f>
        <v/>
      </c>
      <c r="M319" s="66">
        <f>IF(V319&lt;&gt;1,"",IF(C319&gt;AsOf,"Future",IF(L319&lt;0,"Overpaid",IF(L319=0,"Paid",IF(AsOf&gt;J319,"Overdue",IF(K319&gt;0,"Partial","Unpaid"))))))</f>
        <v/>
      </c>
      <c r="N319" s="28">
        <f>IF(AND(V319=1,N(L319)&gt;0),AsOf-C319,"")</f>
        <v/>
      </c>
      <c r="O319" s="28">
        <f>IF(N319="","",MAX(0,AsOf-J319))</f>
        <v/>
      </c>
      <c r="P319" s="66">
        <f>IF(O319="","",IF(O319=0,"Current",IF(O319&lt;=30,"1-30",IF(O319&lt;=60,"31-60",IF(O319&lt;=90,"61-90","90+")))))</f>
        <v/>
      </c>
      <c r="Q319" s="66">
        <f>IF(T319&lt;&gt;"","⛔ "&amp;T319&amp;" — not posted",IF(U319&lt;&gt;"","⚠ "&amp;U319,IF(V319=1,"✓ OK","")))</f>
        <v/>
      </c>
      <c r="R319" s="67">
        <f>IF(AND(B319="",C319="",D319="",G319="",F319=""),1,0)</f>
        <v/>
      </c>
      <c r="S319" s="68">
        <f>IF(AND(TaxOn="Yes",ISNUMBER(H319)),H319,0)</f>
        <v/>
      </c>
      <c r="T319" s="67">
        <f>IF(R319=1,"",IF(B319="","Enter an invoice #",IF(C319="","Missing invoice date",IF(NOT(ISNUMBER(C319)),"Invalid date",IF(OR(C319&lt;DATE(2000,1,1),C319&gt;DATE(2099,12,31)),"Invalid date",IF(F319="","Select a revenue account",IF(ISNA(MATCH(F319,coa_Name,0)),"Unknown account: "&amp;F319,IF(NOT(ISNUMBER(G319)),"Enter an amount",IF(G319&lt;=0,"Amount must be positive",IF(S319&gt;G319,"Tax is larger than the amount",""))))))))))</f>
        <v/>
      </c>
      <c r="U319" s="67">
        <f>IF(OR(R319=1,T319&lt;&gt;""),"",IF(COUNTIF(ar_No,B319)&gt;1,"Duplicate invoice #",IF(D319="","Select a customer",IF(N(L319)&lt;0,"Overpaid by "&amp;TEXT(-L319,"#,##0.00"),IF(AND(ISNUMBER(H319),N(H319)&lt;&gt;0,S319=0),"Tax ignored (tax tracking is off)",IF(AND(ISNUMBER(StartDate),C319&lt;StartDate),"Date is before the accounting start date",IF(AND(IFERROR(INDEX(coa_Type,MATCH(F319,coa_Name,0)),"")&lt;&gt;"Revenue",IFERROR(INDEX(coa_Type,MATCH(F319,coa_Name,0)),"")&lt;&gt;"Other Income"),"Account is not a revenue account","")))))))</f>
        <v/>
      </c>
      <c r="V319" s="67">
        <f>IF(AND(R319=0,T319=""),1,0)</f>
        <v/>
      </c>
      <c r="W319" s="67">
        <f>IF(V319=1,acctAR,"")</f>
        <v/>
      </c>
      <c r="X319" s="67">
        <f>IF(V319=1,F319,"")</f>
        <v/>
      </c>
      <c r="Y319" s="68">
        <f>IF(V319=1,G319,0)</f>
        <v/>
      </c>
      <c r="Z319" s="68">
        <f>IF(V319=1,G319-S319,0)</f>
        <v/>
      </c>
      <c r="AA319" s="68">
        <f>IF(V319=1,S319,0)</f>
        <v/>
      </c>
    </row>
    <row r="320">
      <c r="B320" s="62" t="n"/>
      <c r="C320" s="63" t="n"/>
      <c r="D320" s="62" t="n"/>
      <c r="E320" s="62" t="n"/>
      <c r="F320" s="62" t="n"/>
      <c r="G320" s="64" t="n"/>
      <c r="H320" s="64" t="n"/>
      <c r="I320" s="63" t="n"/>
      <c r="J320" s="29">
        <f>IF(V320=1,IF(ISNUMBER(I320),I320,C320+IF(ISNUMBER(IFERROR(INDEX(cust_Terms,MATCH(D320,cust_Name,0)),"")),INDEX(cust_Terms,MATCH(D320,cust_Name,0)),TermsDays)),"")</f>
        <v/>
      </c>
      <c r="K320" s="65">
        <f>IF(V320=1,SUMIFS(tx_DrAmt,tx_Type,"Customer Payment",tx_Ref,B320&amp;"",tx_Date,"&lt;="&amp;AsOf),"")</f>
        <v/>
      </c>
      <c r="L320" s="65">
        <f>IF(V320=1,IF(C320&gt;AsOf,0,ROUND(G320-K320,2)),"")</f>
        <v/>
      </c>
      <c r="M320" s="66">
        <f>IF(V320&lt;&gt;1,"",IF(C320&gt;AsOf,"Future",IF(L320&lt;0,"Overpaid",IF(L320=0,"Paid",IF(AsOf&gt;J320,"Overdue",IF(K320&gt;0,"Partial","Unpaid"))))))</f>
        <v/>
      </c>
      <c r="N320" s="28">
        <f>IF(AND(V320=1,N(L320)&gt;0),AsOf-C320,"")</f>
        <v/>
      </c>
      <c r="O320" s="28">
        <f>IF(N320="","",MAX(0,AsOf-J320))</f>
        <v/>
      </c>
      <c r="P320" s="66">
        <f>IF(O320="","",IF(O320=0,"Current",IF(O320&lt;=30,"1-30",IF(O320&lt;=60,"31-60",IF(O320&lt;=90,"61-90","90+")))))</f>
        <v/>
      </c>
      <c r="Q320" s="66">
        <f>IF(T320&lt;&gt;"","⛔ "&amp;T320&amp;" — not posted",IF(U320&lt;&gt;"","⚠ "&amp;U320,IF(V320=1,"✓ OK","")))</f>
        <v/>
      </c>
      <c r="R320" s="67">
        <f>IF(AND(B320="",C320="",D320="",G320="",F320=""),1,0)</f>
        <v/>
      </c>
      <c r="S320" s="68">
        <f>IF(AND(TaxOn="Yes",ISNUMBER(H320)),H320,0)</f>
        <v/>
      </c>
      <c r="T320" s="67">
        <f>IF(R320=1,"",IF(B320="","Enter an invoice #",IF(C320="","Missing invoice date",IF(NOT(ISNUMBER(C320)),"Invalid date",IF(OR(C320&lt;DATE(2000,1,1),C320&gt;DATE(2099,12,31)),"Invalid date",IF(F320="","Select a revenue account",IF(ISNA(MATCH(F320,coa_Name,0)),"Unknown account: "&amp;F320,IF(NOT(ISNUMBER(G320)),"Enter an amount",IF(G320&lt;=0,"Amount must be positive",IF(S320&gt;G320,"Tax is larger than the amount",""))))))))))</f>
        <v/>
      </c>
      <c r="U320" s="67">
        <f>IF(OR(R320=1,T320&lt;&gt;""),"",IF(COUNTIF(ar_No,B320)&gt;1,"Duplicate invoice #",IF(D320="","Select a customer",IF(N(L320)&lt;0,"Overpaid by "&amp;TEXT(-L320,"#,##0.00"),IF(AND(ISNUMBER(H320),N(H320)&lt;&gt;0,S320=0),"Tax ignored (tax tracking is off)",IF(AND(ISNUMBER(StartDate),C320&lt;StartDate),"Date is before the accounting start date",IF(AND(IFERROR(INDEX(coa_Type,MATCH(F320,coa_Name,0)),"")&lt;&gt;"Revenue",IFERROR(INDEX(coa_Type,MATCH(F320,coa_Name,0)),"")&lt;&gt;"Other Income"),"Account is not a revenue account","")))))))</f>
        <v/>
      </c>
      <c r="V320" s="67">
        <f>IF(AND(R320=0,T320=""),1,0)</f>
        <v/>
      </c>
      <c r="W320" s="67">
        <f>IF(V320=1,acctAR,"")</f>
        <v/>
      </c>
      <c r="X320" s="67">
        <f>IF(V320=1,F320,"")</f>
        <v/>
      </c>
      <c r="Y320" s="68">
        <f>IF(V320=1,G320,0)</f>
        <v/>
      </c>
      <c r="Z320" s="68">
        <f>IF(V320=1,G320-S320,0)</f>
        <v/>
      </c>
      <c r="AA320" s="68">
        <f>IF(V320=1,S320,0)</f>
        <v/>
      </c>
    </row>
    <row r="321">
      <c r="B321" s="62" t="n"/>
      <c r="C321" s="63" t="n"/>
      <c r="D321" s="62" t="n"/>
      <c r="E321" s="62" t="n"/>
      <c r="F321" s="62" t="n"/>
      <c r="G321" s="64" t="n"/>
      <c r="H321" s="64" t="n"/>
      <c r="I321" s="63" t="n"/>
      <c r="J321" s="29">
        <f>IF(V321=1,IF(ISNUMBER(I321),I321,C321+IF(ISNUMBER(IFERROR(INDEX(cust_Terms,MATCH(D321,cust_Name,0)),"")),INDEX(cust_Terms,MATCH(D321,cust_Name,0)),TermsDays)),"")</f>
        <v/>
      </c>
      <c r="K321" s="65">
        <f>IF(V321=1,SUMIFS(tx_DrAmt,tx_Type,"Customer Payment",tx_Ref,B321&amp;"",tx_Date,"&lt;="&amp;AsOf),"")</f>
        <v/>
      </c>
      <c r="L321" s="65">
        <f>IF(V321=1,IF(C321&gt;AsOf,0,ROUND(G321-K321,2)),"")</f>
        <v/>
      </c>
      <c r="M321" s="66">
        <f>IF(V321&lt;&gt;1,"",IF(C321&gt;AsOf,"Future",IF(L321&lt;0,"Overpaid",IF(L321=0,"Paid",IF(AsOf&gt;J321,"Overdue",IF(K321&gt;0,"Partial","Unpaid"))))))</f>
        <v/>
      </c>
      <c r="N321" s="28">
        <f>IF(AND(V321=1,N(L321)&gt;0),AsOf-C321,"")</f>
        <v/>
      </c>
      <c r="O321" s="28">
        <f>IF(N321="","",MAX(0,AsOf-J321))</f>
        <v/>
      </c>
      <c r="P321" s="66">
        <f>IF(O321="","",IF(O321=0,"Current",IF(O321&lt;=30,"1-30",IF(O321&lt;=60,"31-60",IF(O321&lt;=90,"61-90","90+")))))</f>
        <v/>
      </c>
      <c r="Q321" s="66">
        <f>IF(T321&lt;&gt;"","⛔ "&amp;T321&amp;" — not posted",IF(U321&lt;&gt;"","⚠ "&amp;U321,IF(V321=1,"✓ OK","")))</f>
        <v/>
      </c>
      <c r="R321" s="67">
        <f>IF(AND(B321="",C321="",D321="",G321="",F321=""),1,0)</f>
        <v/>
      </c>
      <c r="S321" s="68">
        <f>IF(AND(TaxOn="Yes",ISNUMBER(H321)),H321,0)</f>
        <v/>
      </c>
      <c r="T321" s="67">
        <f>IF(R321=1,"",IF(B321="","Enter an invoice #",IF(C321="","Missing invoice date",IF(NOT(ISNUMBER(C321)),"Invalid date",IF(OR(C321&lt;DATE(2000,1,1),C321&gt;DATE(2099,12,31)),"Invalid date",IF(F321="","Select a revenue account",IF(ISNA(MATCH(F321,coa_Name,0)),"Unknown account: "&amp;F321,IF(NOT(ISNUMBER(G321)),"Enter an amount",IF(G321&lt;=0,"Amount must be positive",IF(S321&gt;G321,"Tax is larger than the amount",""))))))))))</f>
        <v/>
      </c>
      <c r="U321" s="67">
        <f>IF(OR(R321=1,T321&lt;&gt;""),"",IF(COUNTIF(ar_No,B321)&gt;1,"Duplicate invoice #",IF(D321="","Select a customer",IF(N(L321)&lt;0,"Overpaid by "&amp;TEXT(-L321,"#,##0.00"),IF(AND(ISNUMBER(H321),N(H321)&lt;&gt;0,S321=0),"Tax ignored (tax tracking is off)",IF(AND(ISNUMBER(StartDate),C321&lt;StartDate),"Date is before the accounting start date",IF(AND(IFERROR(INDEX(coa_Type,MATCH(F321,coa_Name,0)),"")&lt;&gt;"Revenue",IFERROR(INDEX(coa_Type,MATCH(F321,coa_Name,0)),"")&lt;&gt;"Other Income"),"Account is not a revenue account","")))))))</f>
        <v/>
      </c>
      <c r="V321" s="67">
        <f>IF(AND(R321=0,T321=""),1,0)</f>
        <v/>
      </c>
      <c r="W321" s="67">
        <f>IF(V321=1,acctAR,"")</f>
        <v/>
      </c>
      <c r="X321" s="67">
        <f>IF(V321=1,F321,"")</f>
        <v/>
      </c>
      <c r="Y321" s="68">
        <f>IF(V321=1,G321,0)</f>
        <v/>
      </c>
      <c r="Z321" s="68">
        <f>IF(V321=1,G321-S321,0)</f>
        <v/>
      </c>
      <c r="AA321" s="68">
        <f>IF(V321=1,S321,0)</f>
        <v/>
      </c>
    </row>
    <row r="322">
      <c r="B322" s="62" t="n"/>
      <c r="C322" s="63" t="n"/>
      <c r="D322" s="62" t="n"/>
      <c r="E322" s="62" t="n"/>
      <c r="F322" s="62" t="n"/>
      <c r="G322" s="64" t="n"/>
      <c r="H322" s="64" t="n"/>
      <c r="I322" s="63" t="n"/>
      <c r="J322" s="29">
        <f>IF(V322=1,IF(ISNUMBER(I322),I322,C322+IF(ISNUMBER(IFERROR(INDEX(cust_Terms,MATCH(D322,cust_Name,0)),"")),INDEX(cust_Terms,MATCH(D322,cust_Name,0)),TermsDays)),"")</f>
        <v/>
      </c>
      <c r="K322" s="65">
        <f>IF(V322=1,SUMIFS(tx_DrAmt,tx_Type,"Customer Payment",tx_Ref,B322&amp;"",tx_Date,"&lt;="&amp;AsOf),"")</f>
        <v/>
      </c>
      <c r="L322" s="65">
        <f>IF(V322=1,IF(C322&gt;AsOf,0,ROUND(G322-K322,2)),"")</f>
        <v/>
      </c>
      <c r="M322" s="66">
        <f>IF(V322&lt;&gt;1,"",IF(C322&gt;AsOf,"Future",IF(L322&lt;0,"Overpaid",IF(L322=0,"Paid",IF(AsOf&gt;J322,"Overdue",IF(K322&gt;0,"Partial","Unpaid"))))))</f>
        <v/>
      </c>
      <c r="N322" s="28">
        <f>IF(AND(V322=1,N(L322)&gt;0),AsOf-C322,"")</f>
        <v/>
      </c>
      <c r="O322" s="28">
        <f>IF(N322="","",MAX(0,AsOf-J322))</f>
        <v/>
      </c>
      <c r="P322" s="66">
        <f>IF(O322="","",IF(O322=0,"Current",IF(O322&lt;=30,"1-30",IF(O322&lt;=60,"31-60",IF(O322&lt;=90,"61-90","90+")))))</f>
        <v/>
      </c>
      <c r="Q322" s="66">
        <f>IF(T322&lt;&gt;"","⛔ "&amp;T322&amp;" — not posted",IF(U322&lt;&gt;"","⚠ "&amp;U322,IF(V322=1,"✓ OK","")))</f>
        <v/>
      </c>
      <c r="R322" s="67">
        <f>IF(AND(B322="",C322="",D322="",G322="",F322=""),1,0)</f>
        <v/>
      </c>
      <c r="S322" s="68">
        <f>IF(AND(TaxOn="Yes",ISNUMBER(H322)),H322,0)</f>
        <v/>
      </c>
      <c r="T322" s="67">
        <f>IF(R322=1,"",IF(B322="","Enter an invoice #",IF(C322="","Missing invoice date",IF(NOT(ISNUMBER(C322)),"Invalid date",IF(OR(C322&lt;DATE(2000,1,1),C322&gt;DATE(2099,12,31)),"Invalid date",IF(F322="","Select a revenue account",IF(ISNA(MATCH(F322,coa_Name,0)),"Unknown account: "&amp;F322,IF(NOT(ISNUMBER(G322)),"Enter an amount",IF(G322&lt;=0,"Amount must be positive",IF(S322&gt;G322,"Tax is larger than the amount",""))))))))))</f>
        <v/>
      </c>
      <c r="U322" s="67">
        <f>IF(OR(R322=1,T322&lt;&gt;""),"",IF(COUNTIF(ar_No,B322)&gt;1,"Duplicate invoice #",IF(D322="","Select a customer",IF(N(L322)&lt;0,"Overpaid by "&amp;TEXT(-L322,"#,##0.00"),IF(AND(ISNUMBER(H322),N(H322)&lt;&gt;0,S322=0),"Tax ignored (tax tracking is off)",IF(AND(ISNUMBER(StartDate),C322&lt;StartDate),"Date is before the accounting start date",IF(AND(IFERROR(INDEX(coa_Type,MATCH(F322,coa_Name,0)),"")&lt;&gt;"Revenue",IFERROR(INDEX(coa_Type,MATCH(F322,coa_Name,0)),"")&lt;&gt;"Other Income"),"Account is not a revenue account","")))))))</f>
        <v/>
      </c>
      <c r="V322" s="67">
        <f>IF(AND(R322=0,T322=""),1,0)</f>
        <v/>
      </c>
      <c r="W322" s="67">
        <f>IF(V322=1,acctAR,"")</f>
        <v/>
      </c>
      <c r="X322" s="67">
        <f>IF(V322=1,F322,"")</f>
        <v/>
      </c>
      <c r="Y322" s="68">
        <f>IF(V322=1,G322,0)</f>
        <v/>
      </c>
      <c r="Z322" s="68">
        <f>IF(V322=1,G322-S322,0)</f>
        <v/>
      </c>
      <c r="AA322" s="68">
        <f>IF(V322=1,S322,0)</f>
        <v/>
      </c>
    </row>
    <row r="323">
      <c r="B323" s="62" t="n"/>
      <c r="C323" s="63" t="n"/>
      <c r="D323" s="62" t="n"/>
      <c r="E323" s="62" t="n"/>
      <c r="F323" s="62" t="n"/>
      <c r="G323" s="64" t="n"/>
      <c r="H323" s="64" t="n"/>
      <c r="I323" s="63" t="n"/>
      <c r="J323" s="29">
        <f>IF(V323=1,IF(ISNUMBER(I323),I323,C323+IF(ISNUMBER(IFERROR(INDEX(cust_Terms,MATCH(D323,cust_Name,0)),"")),INDEX(cust_Terms,MATCH(D323,cust_Name,0)),TermsDays)),"")</f>
        <v/>
      </c>
      <c r="K323" s="65">
        <f>IF(V323=1,SUMIFS(tx_DrAmt,tx_Type,"Customer Payment",tx_Ref,B323&amp;"",tx_Date,"&lt;="&amp;AsOf),"")</f>
        <v/>
      </c>
      <c r="L323" s="65">
        <f>IF(V323=1,IF(C323&gt;AsOf,0,ROUND(G323-K323,2)),"")</f>
        <v/>
      </c>
      <c r="M323" s="66">
        <f>IF(V323&lt;&gt;1,"",IF(C323&gt;AsOf,"Future",IF(L323&lt;0,"Overpaid",IF(L323=0,"Paid",IF(AsOf&gt;J323,"Overdue",IF(K323&gt;0,"Partial","Unpaid"))))))</f>
        <v/>
      </c>
      <c r="N323" s="28">
        <f>IF(AND(V323=1,N(L323)&gt;0),AsOf-C323,"")</f>
        <v/>
      </c>
      <c r="O323" s="28">
        <f>IF(N323="","",MAX(0,AsOf-J323))</f>
        <v/>
      </c>
      <c r="P323" s="66">
        <f>IF(O323="","",IF(O323=0,"Current",IF(O323&lt;=30,"1-30",IF(O323&lt;=60,"31-60",IF(O323&lt;=90,"61-90","90+")))))</f>
        <v/>
      </c>
      <c r="Q323" s="66">
        <f>IF(T323&lt;&gt;"","⛔ "&amp;T323&amp;" — not posted",IF(U323&lt;&gt;"","⚠ "&amp;U323,IF(V323=1,"✓ OK","")))</f>
        <v/>
      </c>
      <c r="R323" s="67">
        <f>IF(AND(B323="",C323="",D323="",G323="",F323=""),1,0)</f>
        <v/>
      </c>
      <c r="S323" s="68">
        <f>IF(AND(TaxOn="Yes",ISNUMBER(H323)),H323,0)</f>
        <v/>
      </c>
      <c r="T323" s="67">
        <f>IF(R323=1,"",IF(B323="","Enter an invoice #",IF(C323="","Missing invoice date",IF(NOT(ISNUMBER(C323)),"Invalid date",IF(OR(C323&lt;DATE(2000,1,1),C323&gt;DATE(2099,12,31)),"Invalid date",IF(F323="","Select a revenue account",IF(ISNA(MATCH(F323,coa_Name,0)),"Unknown account: "&amp;F323,IF(NOT(ISNUMBER(G323)),"Enter an amount",IF(G323&lt;=0,"Amount must be positive",IF(S323&gt;G323,"Tax is larger than the amount",""))))))))))</f>
        <v/>
      </c>
      <c r="U323" s="67">
        <f>IF(OR(R323=1,T323&lt;&gt;""),"",IF(COUNTIF(ar_No,B323)&gt;1,"Duplicate invoice #",IF(D323="","Select a customer",IF(N(L323)&lt;0,"Overpaid by "&amp;TEXT(-L323,"#,##0.00"),IF(AND(ISNUMBER(H323),N(H323)&lt;&gt;0,S323=0),"Tax ignored (tax tracking is off)",IF(AND(ISNUMBER(StartDate),C323&lt;StartDate),"Date is before the accounting start date",IF(AND(IFERROR(INDEX(coa_Type,MATCH(F323,coa_Name,0)),"")&lt;&gt;"Revenue",IFERROR(INDEX(coa_Type,MATCH(F323,coa_Name,0)),"")&lt;&gt;"Other Income"),"Account is not a revenue account","")))))))</f>
        <v/>
      </c>
      <c r="V323" s="67">
        <f>IF(AND(R323=0,T323=""),1,0)</f>
        <v/>
      </c>
      <c r="W323" s="67">
        <f>IF(V323=1,acctAR,"")</f>
        <v/>
      </c>
      <c r="X323" s="67">
        <f>IF(V323=1,F323,"")</f>
        <v/>
      </c>
      <c r="Y323" s="68">
        <f>IF(V323=1,G323,0)</f>
        <v/>
      </c>
      <c r="Z323" s="68">
        <f>IF(V323=1,G323-S323,0)</f>
        <v/>
      </c>
      <c r="AA323" s="68">
        <f>IF(V323=1,S323,0)</f>
        <v/>
      </c>
    </row>
    <row r="324">
      <c r="B324" s="62" t="n"/>
      <c r="C324" s="63" t="n"/>
      <c r="D324" s="62" t="n"/>
      <c r="E324" s="62" t="n"/>
      <c r="F324" s="62" t="n"/>
      <c r="G324" s="64" t="n"/>
      <c r="H324" s="64" t="n"/>
      <c r="I324" s="63" t="n"/>
      <c r="J324" s="29">
        <f>IF(V324=1,IF(ISNUMBER(I324),I324,C324+IF(ISNUMBER(IFERROR(INDEX(cust_Terms,MATCH(D324,cust_Name,0)),"")),INDEX(cust_Terms,MATCH(D324,cust_Name,0)),TermsDays)),"")</f>
        <v/>
      </c>
      <c r="K324" s="65">
        <f>IF(V324=1,SUMIFS(tx_DrAmt,tx_Type,"Customer Payment",tx_Ref,B324&amp;"",tx_Date,"&lt;="&amp;AsOf),"")</f>
        <v/>
      </c>
      <c r="L324" s="65">
        <f>IF(V324=1,IF(C324&gt;AsOf,0,ROUND(G324-K324,2)),"")</f>
        <v/>
      </c>
      <c r="M324" s="66">
        <f>IF(V324&lt;&gt;1,"",IF(C324&gt;AsOf,"Future",IF(L324&lt;0,"Overpaid",IF(L324=0,"Paid",IF(AsOf&gt;J324,"Overdue",IF(K324&gt;0,"Partial","Unpaid"))))))</f>
        <v/>
      </c>
      <c r="N324" s="28">
        <f>IF(AND(V324=1,N(L324)&gt;0),AsOf-C324,"")</f>
        <v/>
      </c>
      <c r="O324" s="28">
        <f>IF(N324="","",MAX(0,AsOf-J324))</f>
        <v/>
      </c>
      <c r="P324" s="66">
        <f>IF(O324="","",IF(O324=0,"Current",IF(O324&lt;=30,"1-30",IF(O324&lt;=60,"31-60",IF(O324&lt;=90,"61-90","90+")))))</f>
        <v/>
      </c>
      <c r="Q324" s="66">
        <f>IF(T324&lt;&gt;"","⛔ "&amp;T324&amp;" — not posted",IF(U324&lt;&gt;"","⚠ "&amp;U324,IF(V324=1,"✓ OK","")))</f>
        <v/>
      </c>
      <c r="R324" s="67">
        <f>IF(AND(B324="",C324="",D324="",G324="",F324=""),1,0)</f>
        <v/>
      </c>
      <c r="S324" s="68">
        <f>IF(AND(TaxOn="Yes",ISNUMBER(H324)),H324,0)</f>
        <v/>
      </c>
      <c r="T324" s="67">
        <f>IF(R324=1,"",IF(B324="","Enter an invoice #",IF(C324="","Missing invoice date",IF(NOT(ISNUMBER(C324)),"Invalid date",IF(OR(C324&lt;DATE(2000,1,1),C324&gt;DATE(2099,12,31)),"Invalid date",IF(F324="","Select a revenue account",IF(ISNA(MATCH(F324,coa_Name,0)),"Unknown account: "&amp;F324,IF(NOT(ISNUMBER(G324)),"Enter an amount",IF(G324&lt;=0,"Amount must be positive",IF(S324&gt;G324,"Tax is larger than the amount",""))))))))))</f>
        <v/>
      </c>
      <c r="U324" s="67">
        <f>IF(OR(R324=1,T324&lt;&gt;""),"",IF(COUNTIF(ar_No,B324)&gt;1,"Duplicate invoice #",IF(D324="","Select a customer",IF(N(L324)&lt;0,"Overpaid by "&amp;TEXT(-L324,"#,##0.00"),IF(AND(ISNUMBER(H324),N(H324)&lt;&gt;0,S324=0),"Tax ignored (tax tracking is off)",IF(AND(ISNUMBER(StartDate),C324&lt;StartDate),"Date is before the accounting start date",IF(AND(IFERROR(INDEX(coa_Type,MATCH(F324,coa_Name,0)),"")&lt;&gt;"Revenue",IFERROR(INDEX(coa_Type,MATCH(F324,coa_Name,0)),"")&lt;&gt;"Other Income"),"Account is not a revenue account","")))))))</f>
        <v/>
      </c>
      <c r="V324" s="67">
        <f>IF(AND(R324=0,T324=""),1,0)</f>
        <v/>
      </c>
      <c r="W324" s="67">
        <f>IF(V324=1,acctAR,"")</f>
        <v/>
      </c>
      <c r="X324" s="67">
        <f>IF(V324=1,F324,"")</f>
        <v/>
      </c>
      <c r="Y324" s="68">
        <f>IF(V324=1,G324,0)</f>
        <v/>
      </c>
      <c r="Z324" s="68">
        <f>IF(V324=1,G324-S324,0)</f>
        <v/>
      </c>
      <c r="AA324" s="68">
        <f>IF(V324=1,S324,0)</f>
        <v/>
      </c>
    </row>
    <row r="325">
      <c r="B325" s="62" t="n"/>
      <c r="C325" s="63" t="n"/>
      <c r="D325" s="62" t="n"/>
      <c r="E325" s="62" t="n"/>
      <c r="F325" s="62" t="n"/>
      <c r="G325" s="64" t="n"/>
      <c r="H325" s="64" t="n"/>
      <c r="I325" s="63" t="n"/>
      <c r="J325" s="29">
        <f>IF(V325=1,IF(ISNUMBER(I325),I325,C325+IF(ISNUMBER(IFERROR(INDEX(cust_Terms,MATCH(D325,cust_Name,0)),"")),INDEX(cust_Terms,MATCH(D325,cust_Name,0)),TermsDays)),"")</f>
        <v/>
      </c>
      <c r="K325" s="65">
        <f>IF(V325=1,SUMIFS(tx_DrAmt,tx_Type,"Customer Payment",tx_Ref,B325&amp;"",tx_Date,"&lt;="&amp;AsOf),"")</f>
        <v/>
      </c>
      <c r="L325" s="65">
        <f>IF(V325=1,IF(C325&gt;AsOf,0,ROUND(G325-K325,2)),"")</f>
        <v/>
      </c>
      <c r="M325" s="66">
        <f>IF(V325&lt;&gt;1,"",IF(C325&gt;AsOf,"Future",IF(L325&lt;0,"Overpaid",IF(L325=0,"Paid",IF(AsOf&gt;J325,"Overdue",IF(K325&gt;0,"Partial","Unpaid"))))))</f>
        <v/>
      </c>
      <c r="N325" s="28">
        <f>IF(AND(V325=1,N(L325)&gt;0),AsOf-C325,"")</f>
        <v/>
      </c>
      <c r="O325" s="28">
        <f>IF(N325="","",MAX(0,AsOf-J325))</f>
        <v/>
      </c>
      <c r="P325" s="66">
        <f>IF(O325="","",IF(O325=0,"Current",IF(O325&lt;=30,"1-30",IF(O325&lt;=60,"31-60",IF(O325&lt;=90,"61-90","90+")))))</f>
        <v/>
      </c>
      <c r="Q325" s="66">
        <f>IF(T325&lt;&gt;"","⛔ "&amp;T325&amp;" — not posted",IF(U325&lt;&gt;"","⚠ "&amp;U325,IF(V325=1,"✓ OK","")))</f>
        <v/>
      </c>
      <c r="R325" s="67">
        <f>IF(AND(B325="",C325="",D325="",G325="",F325=""),1,0)</f>
        <v/>
      </c>
      <c r="S325" s="68">
        <f>IF(AND(TaxOn="Yes",ISNUMBER(H325)),H325,0)</f>
        <v/>
      </c>
      <c r="T325" s="67">
        <f>IF(R325=1,"",IF(B325="","Enter an invoice #",IF(C325="","Missing invoice date",IF(NOT(ISNUMBER(C325)),"Invalid date",IF(OR(C325&lt;DATE(2000,1,1),C325&gt;DATE(2099,12,31)),"Invalid date",IF(F325="","Select a revenue account",IF(ISNA(MATCH(F325,coa_Name,0)),"Unknown account: "&amp;F325,IF(NOT(ISNUMBER(G325)),"Enter an amount",IF(G325&lt;=0,"Amount must be positive",IF(S325&gt;G325,"Tax is larger than the amount",""))))))))))</f>
        <v/>
      </c>
      <c r="U325" s="67">
        <f>IF(OR(R325=1,T325&lt;&gt;""),"",IF(COUNTIF(ar_No,B325)&gt;1,"Duplicate invoice #",IF(D325="","Select a customer",IF(N(L325)&lt;0,"Overpaid by "&amp;TEXT(-L325,"#,##0.00"),IF(AND(ISNUMBER(H325),N(H325)&lt;&gt;0,S325=0),"Tax ignored (tax tracking is off)",IF(AND(ISNUMBER(StartDate),C325&lt;StartDate),"Date is before the accounting start date",IF(AND(IFERROR(INDEX(coa_Type,MATCH(F325,coa_Name,0)),"")&lt;&gt;"Revenue",IFERROR(INDEX(coa_Type,MATCH(F325,coa_Name,0)),"")&lt;&gt;"Other Income"),"Account is not a revenue account","")))))))</f>
        <v/>
      </c>
      <c r="V325" s="67">
        <f>IF(AND(R325=0,T325=""),1,0)</f>
        <v/>
      </c>
      <c r="W325" s="67">
        <f>IF(V325=1,acctAR,"")</f>
        <v/>
      </c>
      <c r="X325" s="67">
        <f>IF(V325=1,F325,"")</f>
        <v/>
      </c>
      <c r="Y325" s="68">
        <f>IF(V325=1,G325,0)</f>
        <v/>
      </c>
      <c r="Z325" s="68">
        <f>IF(V325=1,G325-S325,0)</f>
        <v/>
      </c>
      <c r="AA325" s="68">
        <f>IF(V325=1,S325,0)</f>
        <v/>
      </c>
    </row>
    <row r="326">
      <c r="B326" s="62" t="n"/>
      <c r="C326" s="63" t="n"/>
      <c r="D326" s="62" t="n"/>
      <c r="E326" s="62" t="n"/>
      <c r="F326" s="62" t="n"/>
      <c r="G326" s="64" t="n"/>
      <c r="H326" s="64" t="n"/>
      <c r="I326" s="63" t="n"/>
      <c r="J326" s="29">
        <f>IF(V326=1,IF(ISNUMBER(I326),I326,C326+IF(ISNUMBER(IFERROR(INDEX(cust_Terms,MATCH(D326,cust_Name,0)),"")),INDEX(cust_Terms,MATCH(D326,cust_Name,0)),TermsDays)),"")</f>
        <v/>
      </c>
      <c r="K326" s="65">
        <f>IF(V326=1,SUMIFS(tx_DrAmt,tx_Type,"Customer Payment",tx_Ref,B326&amp;"",tx_Date,"&lt;="&amp;AsOf),"")</f>
        <v/>
      </c>
      <c r="L326" s="65">
        <f>IF(V326=1,IF(C326&gt;AsOf,0,ROUND(G326-K326,2)),"")</f>
        <v/>
      </c>
      <c r="M326" s="66">
        <f>IF(V326&lt;&gt;1,"",IF(C326&gt;AsOf,"Future",IF(L326&lt;0,"Overpaid",IF(L326=0,"Paid",IF(AsOf&gt;J326,"Overdue",IF(K326&gt;0,"Partial","Unpaid"))))))</f>
        <v/>
      </c>
      <c r="N326" s="28">
        <f>IF(AND(V326=1,N(L326)&gt;0),AsOf-C326,"")</f>
        <v/>
      </c>
      <c r="O326" s="28">
        <f>IF(N326="","",MAX(0,AsOf-J326))</f>
        <v/>
      </c>
      <c r="P326" s="66">
        <f>IF(O326="","",IF(O326=0,"Current",IF(O326&lt;=30,"1-30",IF(O326&lt;=60,"31-60",IF(O326&lt;=90,"61-90","90+")))))</f>
        <v/>
      </c>
      <c r="Q326" s="66">
        <f>IF(T326&lt;&gt;"","⛔ "&amp;T326&amp;" — not posted",IF(U326&lt;&gt;"","⚠ "&amp;U326,IF(V326=1,"✓ OK","")))</f>
        <v/>
      </c>
      <c r="R326" s="67">
        <f>IF(AND(B326="",C326="",D326="",G326="",F326=""),1,0)</f>
        <v/>
      </c>
      <c r="S326" s="68">
        <f>IF(AND(TaxOn="Yes",ISNUMBER(H326)),H326,0)</f>
        <v/>
      </c>
      <c r="T326" s="67">
        <f>IF(R326=1,"",IF(B326="","Enter an invoice #",IF(C326="","Missing invoice date",IF(NOT(ISNUMBER(C326)),"Invalid date",IF(OR(C326&lt;DATE(2000,1,1),C326&gt;DATE(2099,12,31)),"Invalid date",IF(F326="","Select a revenue account",IF(ISNA(MATCH(F326,coa_Name,0)),"Unknown account: "&amp;F326,IF(NOT(ISNUMBER(G326)),"Enter an amount",IF(G326&lt;=0,"Amount must be positive",IF(S326&gt;G326,"Tax is larger than the amount",""))))))))))</f>
        <v/>
      </c>
      <c r="U326" s="67">
        <f>IF(OR(R326=1,T326&lt;&gt;""),"",IF(COUNTIF(ar_No,B326)&gt;1,"Duplicate invoice #",IF(D326="","Select a customer",IF(N(L326)&lt;0,"Overpaid by "&amp;TEXT(-L326,"#,##0.00"),IF(AND(ISNUMBER(H326),N(H326)&lt;&gt;0,S326=0),"Tax ignored (tax tracking is off)",IF(AND(ISNUMBER(StartDate),C326&lt;StartDate),"Date is before the accounting start date",IF(AND(IFERROR(INDEX(coa_Type,MATCH(F326,coa_Name,0)),"")&lt;&gt;"Revenue",IFERROR(INDEX(coa_Type,MATCH(F326,coa_Name,0)),"")&lt;&gt;"Other Income"),"Account is not a revenue account","")))))))</f>
        <v/>
      </c>
      <c r="V326" s="67">
        <f>IF(AND(R326=0,T326=""),1,0)</f>
        <v/>
      </c>
      <c r="W326" s="67">
        <f>IF(V326=1,acctAR,"")</f>
        <v/>
      </c>
      <c r="X326" s="67">
        <f>IF(V326=1,F326,"")</f>
        <v/>
      </c>
      <c r="Y326" s="68">
        <f>IF(V326=1,G326,0)</f>
        <v/>
      </c>
      <c r="Z326" s="68">
        <f>IF(V326=1,G326-S326,0)</f>
        <v/>
      </c>
      <c r="AA326" s="68">
        <f>IF(V326=1,S326,0)</f>
        <v/>
      </c>
    </row>
    <row r="327">
      <c r="B327" s="62" t="n"/>
      <c r="C327" s="63" t="n"/>
      <c r="D327" s="62" t="n"/>
      <c r="E327" s="62" t="n"/>
      <c r="F327" s="62" t="n"/>
      <c r="G327" s="64" t="n"/>
      <c r="H327" s="64" t="n"/>
      <c r="I327" s="63" t="n"/>
      <c r="J327" s="29">
        <f>IF(V327=1,IF(ISNUMBER(I327),I327,C327+IF(ISNUMBER(IFERROR(INDEX(cust_Terms,MATCH(D327,cust_Name,0)),"")),INDEX(cust_Terms,MATCH(D327,cust_Name,0)),TermsDays)),"")</f>
        <v/>
      </c>
      <c r="K327" s="65">
        <f>IF(V327=1,SUMIFS(tx_DrAmt,tx_Type,"Customer Payment",tx_Ref,B327&amp;"",tx_Date,"&lt;="&amp;AsOf),"")</f>
        <v/>
      </c>
      <c r="L327" s="65">
        <f>IF(V327=1,IF(C327&gt;AsOf,0,ROUND(G327-K327,2)),"")</f>
        <v/>
      </c>
      <c r="M327" s="66">
        <f>IF(V327&lt;&gt;1,"",IF(C327&gt;AsOf,"Future",IF(L327&lt;0,"Overpaid",IF(L327=0,"Paid",IF(AsOf&gt;J327,"Overdue",IF(K327&gt;0,"Partial","Unpaid"))))))</f>
        <v/>
      </c>
      <c r="N327" s="28">
        <f>IF(AND(V327=1,N(L327)&gt;0),AsOf-C327,"")</f>
        <v/>
      </c>
      <c r="O327" s="28">
        <f>IF(N327="","",MAX(0,AsOf-J327))</f>
        <v/>
      </c>
      <c r="P327" s="66">
        <f>IF(O327="","",IF(O327=0,"Current",IF(O327&lt;=30,"1-30",IF(O327&lt;=60,"31-60",IF(O327&lt;=90,"61-90","90+")))))</f>
        <v/>
      </c>
      <c r="Q327" s="66">
        <f>IF(T327&lt;&gt;"","⛔ "&amp;T327&amp;" — not posted",IF(U327&lt;&gt;"","⚠ "&amp;U327,IF(V327=1,"✓ OK","")))</f>
        <v/>
      </c>
      <c r="R327" s="67">
        <f>IF(AND(B327="",C327="",D327="",G327="",F327=""),1,0)</f>
        <v/>
      </c>
      <c r="S327" s="68">
        <f>IF(AND(TaxOn="Yes",ISNUMBER(H327)),H327,0)</f>
        <v/>
      </c>
      <c r="T327" s="67">
        <f>IF(R327=1,"",IF(B327="","Enter an invoice #",IF(C327="","Missing invoice date",IF(NOT(ISNUMBER(C327)),"Invalid date",IF(OR(C327&lt;DATE(2000,1,1),C327&gt;DATE(2099,12,31)),"Invalid date",IF(F327="","Select a revenue account",IF(ISNA(MATCH(F327,coa_Name,0)),"Unknown account: "&amp;F327,IF(NOT(ISNUMBER(G327)),"Enter an amount",IF(G327&lt;=0,"Amount must be positive",IF(S327&gt;G327,"Tax is larger than the amount",""))))))))))</f>
        <v/>
      </c>
      <c r="U327" s="67">
        <f>IF(OR(R327=1,T327&lt;&gt;""),"",IF(COUNTIF(ar_No,B327)&gt;1,"Duplicate invoice #",IF(D327="","Select a customer",IF(N(L327)&lt;0,"Overpaid by "&amp;TEXT(-L327,"#,##0.00"),IF(AND(ISNUMBER(H327),N(H327)&lt;&gt;0,S327=0),"Tax ignored (tax tracking is off)",IF(AND(ISNUMBER(StartDate),C327&lt;StartDate),"Date is before the accounting start date",IF(AND(IFERROR(INDEX(coa_Type,MATCH(F327,coa_Name,0)),"")&lt;&gt;"Revenue",IFERROR(INDEX(coa_Type,MATCH(F327,coa_Name,0)),"")&lt;&gt;"Other Income"),"Account is not a revenue account","")))))))</f>
        <v/>
      </c>
      <c r="V327" s="67">
        <f>IF(AND(R327=0,T327=""),1,0)</f>
        <v/>
      </c>
      <c r="W327" s="67">
        <f>IF(V327=1,acctAR,"")</f>
        <v/>
      </c>
      <c r="X327" s="67">
        <f>IF(V327=1,F327,"")</f>
        <v/>
      </c>
      <c r="Y327" s="68">
        <f>IF(V327=1,G327,0)</f>
        <v/>
      </c>
      <c r="Z327" s="68">
        <f>IF(V327=1,G327-S327,0)</f>
        <v/>
      </c>
      <c r="AA327" s="68">
        <f>IF(V327=1,S327,0)</f>
        <v/>
      </c>
    </row>
    <row r="328">
      <c r="B328" s="62" t="n"/>
      <c r="C328" s="63" t="n"/>
      <c r="D328" s="62" t="n"/>
      <c r="E328" s="62" t="n"/>
      <c r="F328" s="62" t="n"/>
      <c r="G328" s="64" t="n"/>
      <c r="H328" s="64" t="n"/>
      <c r="I328" s="63" t="n"/>
      <c r="J328" s="29">
        <f>IF(V328=1,IF(ISNUMBER(I328),I328,C328+IF(ISNUMBER(IFERROR(INDEX(cust_Terms,MATCH(D328,cust_Name,0)),"")),INDEX(cust_Terms,MATCH(D328,cust_Name,0)),TermsDays)),"")</f>
        <v/>
      </c>
      <c r="K328" s="65">
        <f>IF(V328=1,SUMIFS(tx_DrAmt,tx_Type,"Customer Payment",tx_Ref,B328&amp;"",tx_Date,"&lt;="&amp;AsOf),"")</f>
        <v/>
      </c>
      <c r="L328" s="65">
        <f>IF(V328=1,IF(C328&gt;AsOf,0,ROUND(G328-K328,2)),"")</f>
        <v/>
      </c>
      <c r="M328" s="66">
        <f>IF(V328&lt;&gt;1,"",IF(C328&gt;AsOf,"Future",IF(L328&lt;0,"Overpaid",IF(L328=0,"Paid",IF(AsOf&gt;J328,"Overdue",IF(K328&gt;0,"Partial","Unpaid"))))))</f>
        <v/>
      </c>
      <c r="N328" s="28">
        <f>IF(AND(V328=1,N(L328)&gt;0),AsOf-C328,"")</f>
        <v/>
      </c>
      <c r="O328" s="28">
        <f>IF(N328="","",MAX(0,AsOf-J328))</f>
        <v/>
      </c>
      <c r="P328" s="66">
        <f>IF(O328="","",IF(O328=0,"Current",IF(O328&lt;=30,"1-30",IF(O328&lt;=60,"31-60",IF(O328&lt;=90,"61-90","90+")))))</f>
        <v/>
      </c>
      <c r="Q328" s="66">
        <f>IF(T328&lt;&gt;"","⛔ "&amp;T328&amp;" — not posted",IF(U328&lt;&gt;"","⚠ "&amp;U328,IF(V328=1,"✓ OK","")))</f>
        <v/>
      </c>
      <c r="R328" s="67">
        <f>IF(AND(B328="",C328="",D328="",G328="",F328=""),1,0)</f>
        <v/>
      </c>
      <c r="S328" s="68">
        <f>IF(AND(TaxOn="Yes",ISNUMBER(H328)),H328,0)</f>
        <v/>
      </c>
      <c r="T328" s="67">
        <f>IF(R328=1,"",IF(B328="","Enter an invoice #",IF(C328="","Missing invoice date",IF(NOT(ISNUMBER(C328)),"Invalid date",IF(OR(C328&lt;DATE(2000,1,1),C328&gt;DATE(2099,12,31)),"Invalid date",IF(F328="","Select a revenue account",IF(ISNA(MATCH(F328,coa_Name,0)),"Unknown account: "&amp;F328,IF(NOT(ISNUMBER(G328)),"Enter an amount",IF(G328&lt;=0,"Amount must be positive",IF(S328&gt;G328,"Tax is larger than the amount",""))))))))))</f>
        <v/>
      </c>
      <c r="U328" s="67">
        <f>IF(OR(R328=1,T328&lt;&gt;""),"",IF(COUNTIF(ar_No,B328)&gt;1,"Duplicate invoice #",IF(D328="","Select a customer",IF(N(L328)&lt;0,"Overpaid by "&amp;TEXT(-L328,"#,##0.00"),IF(AND(ISNUMBER(H328),N(H328)&lt;&gt;0,S328=0),"Tax ignored (tax tracking is off)",IF(AND(ISNUMBER(StartDate),C328&lt;StartDate),"Date is before the accounting start date",IF(AND(IFERROR(INDEX(coa_Type,MATCH(F328,coa_Name,0)),"")&lt;&gt;"Revenue",IFERROR(INDEX(coa_Type,MATCH(F328,coa_Name,0)),"")&lt;&gt;"Other Income"),"Account is not a revenue account","")))))))</f>
        <v/>
      </c>
      <c r="V328" s="67">
        <f>IF(AND(R328=0,T328=""),1,0)</f>
        <v/>
      </c>
      <c r="W328" s="67">
        <f>IF(V328=1,acctAR,"")</f>
        <v/>
      </c>
      <c r="X328" s="67">
        <f>IF(V328=1,F328,"")</f>
        <v/>
      </c>
      <c r="Y328" s="68">
        <f>IF(V328=1,G328,0)</f>
        <v/>
      </c>
      <c r="Z328" s="68">
        <f>IF(V328=1,G328-S328,0)</f>
        <v/>
      </c>
      <c r="AA328" s="68">
        <f>IF(V328=1,S328,0)</f>
        <v/>
      </c>
    </row>
    <row r="329">
      <c r="B329" s="62" t="n"/>
      <c r="C329" s="63" t="n"/>
      <c r="D329" s="62" t="n"/>
      <c r="E329" s="62" t="n"/>
      <c r="F329" s="62" t="n"/>
      <c r="G329" s="64" t="n"/>
      <c r="H329" s="64" t="n"/>
      <c r="I329" s="63" t="n"/>
      <c r="J329" s="29">
        <f>IF(V329=1,IF(ISNUMBER(I329),I329,C329+IF(ISNUMBER(IFERROR(INDEX(cust_Terms,MATCH(D329,cust_Name,0)),"")),INDEX(cust_Terms,MATCH(D329,cust_Name,0)),TermsDays)),"")</f>
        <v/>
      </c>
      <c r="K329" s="65">
        <f>IF(V329=1,SUMIFS(tx_DrAmt,tx_Type,"Customer Payment",tx_Ref,B329&amp;"",tx_Date,"&lt;="&amp;AsOf),"")</f>
        <v/>
      </c>
      <c r="L329" s="65">
        <f>IF(V329=1,IF(C329&gt;AsOf,0,ROUND(G329-K329,2)),"")</f>
        <v/>
      </c>
      <c r="M329" s="66">
        <f>IF(V329&lt;&gt;1,"",IF(C329&gt;AsOf,"Future",IF(L329&lt;0,"Overpaid",IF(L329=0,"Paid",IF(AsOf&gt;J329,"Overdue",IF(K329&gt;0,"Partial","Unpaid"))))))</f>
        <v/>
      </c>
      <c r="N329" s="28">
        <f>IF(AND(V329=1,N(L329)&gt;0),AsOf-C329,"")</f>
        <v/>
      </c>
      <c r="O329" s="28">
        <f>IF(N329="","",MAX(0,AsOf-J329))</f>
        <v/>
      </c>
      <c r="P329" s="66">
        <f>IF(O329="","",IF(O329=0,"Current",IF(O329&lt;=30,"1-30",IF(O329&lt;=60,"31-60",IF(O329&lt;=90,"61-90","90+")))))</f>
        <v/>
      </c>
      <c r="Q329" s="66">
        <f>IF(T329&lt;&gt;"","⛔ "&amp;T329&amp;" — not posted",IF(U329&lt;&gt;"","⚠ "&amp;U329,IF(V329=1,"✓ OK","")))</f>
        <v/>
      </c>
      <c r="R329" s="67">
        <f>IF(AND(B329="",C329="",D329="",G329="",F329=""),1,0)</f>
        <v/>
      </c>
      <c r="S329" s="68">
        <f>IF(AND(TaxOn="Yes",ISNUMBER(H329)),H329,0)</f>
        <v/>
      </c>
      <c r="T329" s="67">
        <f>IF(R329=1,"",IF(B329="","Enter an invoice #",IF(C329="","Missing invoice date",IF(NOT(ISNUMBER(C329)),"Invalid date",IF(OR(C329&lt;DATE(2000,1,1),C329&gt;DATE(2099,12,31)),"Invalid date",IF(F329="","Select a revenue account",IF(ISNA(MATCH(F329,coa_Name,0)),"Unknown account: "&amp;F329,IF(NOT(ISNUMBER(G329)),"Enter an amount",IF(G329&lt;=0,"Amount must be positive",IF(S329&gt;G329,"Tax is larger than the amount",""))))))))))</f>
        <v/>
      </c>
      <c r="U329" s="67">
        <f>IF(OR(R329=1,T329&lt;&gt;""),"",IF(COUNTIF(ar_No,B329)&gt;1,"Duplicate invoice #",IF(D329="","Select a customer",IF(N(L329)&lt;0,"Overpaid by "&amp;TEXT(-L329,"#,##0.00"),IF(AND(ISNUMBER(H329),N(H329)&lt;&gt;0,S329=0),"Tax ignored (tax tracking is off)",IF(AND(ISNUMBER(StartDate),C329&lt;StartDate),"Date is before the accounting start date",IF(AND(IFERROR(INDEX(coa_Type,MATCH(F329,coa_Name,0)),"")&lt;&gt;"Revenue",IFERROR(INDEX(coa_Type,MATCH(F329,coa_Name,0)),"")&lt;&gt;"Other Income"),"Account is not a revenue account","")))))))</f>
        <v/>
      </c>
      <c r="V329" s="67">
        <f>IF(AND(R329=0,T329=""),1,0)</f>
        <v/>
      </c>
      <c r="W329" s="67">
        <f>IF(V329=1,acctAR,"")</f>
        <v/>
      </c>
      <c r="X329" s="67">
        <f>IF(V329=1,F329,"")</f>
        <v/>
      </c>
      <c r="Y329" s="68">
        <f>IF(V329=1,G329,0)</f>
        <v/>
      </c>
      <c r="Z329" s="68">
        <f>IF(V329=1,G329-S329,0)</f>
        <v/>
      </c>
      <c r="AA329" s="68">
        <f>IF(V329=1,S329,0)</f>
        <v/>
      </c>
    </row>
    <row r="330">
      <c r="B330" s="62" t="n"/>
      <c r="C330" s="63" t="n"/>
      <c r="D330" s="62" t="n"/>
      <c r="E330" s="62" t="n"/>
      <c r="F330" s="62" t="n"/>
      <c r="G330" s="64" t="n"/>
      <c r="H330" s="64" t="n"/>
      <c r="I330" s="63" t="n"/>
      <c r="J330" s="29">
        <f>IF(V330=1,IF(ISNUMBER(I330),I330,C330+IF(ISNUMBER(IFERROR(INDEX(cust_Terms,MATCH(D330,cust_Name,0)),"")),INDEX(cust_Terms,MATCH(D330,cust_Name,0)),TermsDays)),"")</f>
        <v/>
      </c>
      <c r="K330" s="65">
        <f>IF(V330=1,SUMIFS(tx_DrAmt,tx_Type,"Customer Payment",tx_Ref,B330&amp;"",tx_Date,"&lt;="&amp;AsOf),"")</f>
        <v/>
      </c>
      <c r="L330" s="65">
        <f>IF(V330=1,IF(C330&gt;AsOf,0,ROUND(G330-K330,2)),"")</f>
        <v/>
      </c>
      <c r="M330" s="66">
        <f>IF(V330&lt;&gt;1,"",IF(C330&gt;AsOf,"Future",IF(L330&lt;0,"Overpaid",IF(L330=0,"Paid",IF(AsOf&gt;J330,"Overdue",IF(K330&gt;0,"Partial","Unpaid"))))))</f>
        <v/>
      </c>
      <c r="N330" s="28">
        <f>IF(AND(V330=1,N(L330)&gt;0),AsOf-C330,"")</f>
        <v/>
      </c>
      <c r="O330" s="28">
        <f>IF(N330="","",MAX(0,AsOf-J330))</f>
        <v/>
      </c>
      <c r="P330" s="66">
        <f>IF(O330="","",IF(O330=0,"Current",IF(O330&lt;=30,"1-30",IF(O330&lt;=60,"31-60",IF(O330&lt;=90,"61-90","90+")))))</f>
        <v/>
      </c>
      <c r="Q330" s="66">
        <f>IF(T330&lt;&gt;"","⛔ "&amp;T330&amp;" — not posted",IF(U330&lt;&gt;"","⚠ "&amp;U330,IF(V330=1,"✓ OK","")))</f>
        <v/>
      </c>
      <c r="R330" s="67">
        <f>IF(AND(B330="",C330="",D330="",G330="",F330=""),1,0)</f>
        <v/>
      </c>
      <c r="S330" s="68">
        <f>IF(AND(TaxOn="Yes",ISNUMBER(H330)),H330,0)</f>
        <v/>
      </c>
      <c r="T330" s="67">
        <f>IF(R330=1,"",IF(B330="","Enter an invoice #",IF(C330="","Missing invoice date",IF(NOT(ISNUMBER(C330)),"Invalid date",IF(OR(C330&lt;DATE(2000,1,1),C330&gt;DATE(2099,12,31)),"Invalid date",IF(F330="","Select a revenue account",IF(ISNA(MATCH(F330,coa_Name,0)),"Unknown account: "&amp;F330,IF(NOT(ISNUMBER(G330)),"Enter an amount",IF(G330&lt;=0,"Amount must be positive",IF(S330&gt;G330,"Tax is larger than the amount",""))))))))))</f>
        <v/>
      </c>
      <c r="U330" s="67">
        <f>IF(OR(R330=1,T330&lt;&gt;""),"",IF(COUNTIF(ar_No,B330)&gt;1,"Duplicate invoice #",IF(D330="","Select a customer",IF(N(L330)&lt;0,"Overpaid by "&amp;TEXT(-L330,"#,##0.00"),IF(AND(ISNUMBER(H330),N(H330)&lt;&gt;0,S330=0),"Tax ignored (tax tracking is off)",IF(AND(ISNUMBER(StartDate),C330&lt;StartDate),"Date is before the accounting start date",IF(AND(IFERROR(INDEX(coa_Type,MATCH(F330,coa_Name,0)),"")&lt;&gt;"Revenue",IFERROR(INDEX(coa_Type,MATCH(F330,coa_Name,0)),"")&lt;&gt;"Other Income"),"Account is not a revenue account","")))))))</f>
        <v/>
      </c>
      <c r="V330" s="67">
        <f>IF(AND(R330=0,T330=""),1,0)</f>
        <v/>
      </c>
      <c r="W330" s="67">
        <f>IF(V330=1,acctAR,"")</f>
        <v/>
      </c>
      <c r="X330" s="67">
        <f>IF(V330=1,F330,"")</f>
        <v/>
      </c>
      <c r="Y330" s="68">
        <f>IF(V330=1,G330,0)</f>
        <v/>
      </c>
      <c r="Z330" s="68">
        <f>IF(V330=1,G330-S330,0)</f>
        <v/>
      </c>
      <c r="AA330" s="68">
        <f>IF(V330=1,S330,0)</f>
        <v/>
      </c>
    </row>
    <row r="331">
      <c r="B331" s="62" t="n"/>
      <c r="C331" s="63" t="n"/>
      <c r="D331" s="62" t="n"/>
      <c r="E331" s="62" t="n"/>
      <c r="F331" s="62" t="n"/>
      <c r="G331" s="64" t="n"/>
      <c r="H331" s="64" t="n"/>
      <c r="I331" s="63" t="n"/>
      <c r="J331" s="29">
        <f>IF(V331=1,IF(ISNUMBER(I331),I331,C331+IF(ISNUMBER(IFERROR(INDEX(cust_Terms,MATCH(D331,cust_Name,0)),"")),INDEX(cust_Terms,MATCH(D331,cust_Name,0)),TermsDays)),"")</f>
        <v/>
      </c>
      <c r="K331" s="65">
        <f>IF(V331=1,SUMIFS(tx_DrAmt,tx_Type,"Customer Payment",tx_Ref,B331&amp;"",tx_Date,"&lt;="&amp;AsOf),"")</f>
        <v/>
      </c>
      <c r="L331" s="65">
        <f>IF(V331=1,IF(C331&gt;AsOf,0,ROUND(G331-K331,2)),"")</f>
        <v/>
      </c>
      <c r="M331" s="66">
        <f>IF(V331&lt;&gt;1,"",IF(C331&gt;AsOf,"Future",IF(L331&lt;0,"Overpaid",IF(L331=0,"Paid",IF(AsOf&gt;J331,"Overdue",IF(K331&gt;0,"Partial","Unpaid"))))))</f>
        <v/>
      </c>
      <c r="N331" s="28">
        <f>IF(AND(V331=1,N(L331)&gt;0),AsOf-C331,"")</f>
        <v/>
      </c>
      <c r="O331" s="28">
        <f>IF(N331="","",MAX(0,AsOf-J331))</f>
        <v/>
      </c>
      <c r="P331" s="66">
        <f>IF(O331="","",IF(O331=0,"Current",IF(O331&lt;=30,"1-30",IF(O331&lt;=60,"31-60",IF(O331&lt;=90,"61-90","90+")))))</f>
        <v/>
      </c>
      <c r="Q331" s="66">
        <f>IF(T331&lt;&gt;"","⛔ "&amp;T331&amp;" — not posted",IF(U331&lt;&gt;"","⚠ "&amp;U331,IF(V331=1,"✓ OK","")))</f>
        <v/>
      </c>
      <c r="R331" s="67">
        <f>IF(AND(B331="",C331="",D331="",G331="",F331=""),1,0)</f>
        <v/>
      </c>
      <c r="S331" s="68">
        <f>IF(AND(TaxOn="Yes",ISNUMBER(H331)),H331,0)</f>
        <v/>
      </c>
      <c r="T331" s="67">
        <f>IF(R331=1,"",IF(B331="","Enter an invoice #",IF(C331="","Missing invoice date",IF(NOT(ISNUMBER(C331)),"Invalid date",IF(OR(C331&lt;DATE(2000,1,1),C331&gt;DATE(2099,12,31)),"Invalid date",IF(F331="","Select a revenue account",IF(ISNA(MATCH(F331,coa_Name,0)),"Unknown account: "&amp;F331,IF(NOT(ISNUMBER(G331)),"Enter an amount",IF(G331&lt;=0,"Amount must be positive",IF(S331&gt;G331,"Tax is larger than the amount",""))))))))))</f>
        <v/>
      </c>
      <c r="U331" s="67">
        <f>IF(OR(R331=1,T331&lt;&gt;""),"",IF(COUNTIF(ar_No,B331)&gt;1,"Duplicate invoice #",IF(D331="","Select a customer",IF(N(L331)&lt;0,"Overpaid by "&amp;TEXT(-L331,"#,##0.00"),IF(AND(ISNUMBER(H331),N(H331)&lt;&gt;0,S331=0),"Tax ignored (tax tracking is off)",IF(AND(ISNUMBER(StartDate),C331&lt;StartDate),"Date is before the accounting start date",IF(AND(IFERROR(INDEX(coa_Type,MATCH(F331,coa_Name,0)),"")&lt;&gt;"Revenue",IFERROR(INDEX(coa_Type,MATCH(F331,coa_Name,0)),"")&lt;&gt;"Other Income"),"Account is not a revenue account","")))))))</f>
        <v/>
      </c>
      <c r="V331" s="67">
        <f>IF(AND(R331=0,T331=""),1,0)</f>
        <v/>
      </c>
      <c r="W331" s="67">
        <f>IF(V331=1,acctAR,"")</f>
        <v/>
      </c>
      <c r="X331" s="67">
        <f>IF(V331=1,F331,"")</f>
        <v/>
      </c>
      <c r="Y331" s="68">
        <f>IF(V331=1,G331,0)</f>
        <v/>
      </c>
      <c r="Z331" s="68">
        <f>IF(V331=1,G331-S331,0)</f>
        <v/>
      </c>
      <c r="AA331" s="68">
        <f>IF(V331=1,S331,0)</f>
        <v/>
      </c>
    </row>
    <row r="332">
      <c r="B332" s="62" t="n"/>
      <c r="C332" s="63" t="n"/>
      <c r="D332" s="62" t="n"/>
      <c r="E332" s="62" t="n"/>
      <c r="F332" s="62" t="n"/>
      <c r="G332" s="64" t="n"/>
      <c r="H332" s="64" t="n"/>
      <c r="I332" s="63" t="n"/>
      <c r="J332" s="29">
        <f>IF(V332=1,IF(ISNUMBER(I332),I332,C332+IF(ISNUMBER(IFERROR(INDEX(cust_Terms,MATCH(D332,cust_Name,0)),"")),INDEX(cust_Terms,MATCH(D332,cust_Name,0)),TermsDays)),"")</f>
        <v/>
      </c>
      <c r="K332" s="65">
        <f>IF(V332=1,SUMIFS(tx_DrAmt,tx_Type,"Customer Payment",tx_Ref,B332&amp;"",tx_Date,"&lt;="&amp;AsOf),"")</f>
        <v/>
      </c>
      <c r="L332" s="65">
        <f>IF(V332=1,IF(C332&gt;AsOf,0,ROUND(G332-K332,2)),"")</f>
        <v/>
      </c>
      <c r="M332" s="66">
        <f>IF(V332&lt;&gt;1,"",IF(C332&gt;AsOf,"Future",IF(L332&lt;0,"Overpaid",IF(L332=0,"Paid",IF(AsOf&gt;J332,"Overdue",IF(K332&gt;0,"Partial","Unpaid"))))))</f>
        <v/>
      </c>
      <c r="N332" s="28">
        <f>IF(AND(V332=1,N(L332)&gt;0),AsOf-C332,"")</f>
        <v/>
      </c>
      <c r="O332" s="28">
        <f>IF(N332="","",MAX(0,AsOf-J332))</f>
        <v/>
      </c>
      <c r="P332" s="66">
        <f>IF(O332="","",IF(O332=0,"Current",IF(O332&lt;=30,"1-30",IF(O332&lt;=60,"31-60",IF(O332&lt;=90,"61-90","90+")))))</f>
        <v/>
      </c>
      <c r="Q332" s="66">
        <f>IF(T332&lt;&gt;"","⛔ "&amp;T332&amp;" — not posted",IF(U332&lt;&gt;"","⚠ "&amp;U332,IF(V332=1,"✓ OK","")))</f>
        <v/>
      </c>
      <c r="R332" s="67">
        <f>IF(AND(B332="",C332="",D332="",G332="",F332=""),1,0)</f>
        <v/>
      </c>
      <c r="S332" s="68">
        <f>IF(AND(TaxOn="Yes",ISNUMBER(H332)),H332,0)</f>
        <v/>
      </c>
      <c r="T332" s="67">
        <f>IF(R332=1,"",IF(B332="","Enter an invoice #",IF(C332="","Missing invoice date",IF(NOT(ISNUMBER(C332)),"Invalid date",IF(OR(C332&lt;DATE(2000,1,1),C332&gt;DATE(2099,12,31)),"Invalid date",IF(F332="","Select a revenue account",IF(ISNA(MATCH(F332,coa_Name,0)),"Unknown account: "&amp;F332,IF(NOT(ISNUMBER(G332)),"Enter an amount",IF(G332&lt;=0,"Amount must be positive",IF(S332&gt;G332,"Tax is larger than the amount",""))))))))))</f>
        <v/>
      </c>
      <c r="U332" s="67">
        <f>IF(OR(R332=1,T332&lt;&gt;""),"",IF(COUNTIF(ar_No,B332)&gt;1,"Duplicate invoice #",IF(D332="","Select a customer",IF(N(L332)&lt;0,"Overpaid by "&amp;TEXT(-L332,"#,##0.00"),IF(AND(ISNUMBER(H332),N(H332)&lt;&gt;0,S332=0),"Tax ignored (tax tracking is off)",IF(AND(ISNUMBER(StartDate),C332&lt;StartDate),"Date is before the accounting start date",IF(AND(IFERROR(INDEX(coa_Type,MATCH(F332,coa_Name,0)),"")&lt;&gt;"Revenue",IFERROR(INDEX(coa_Type,MATCH(F332,coa_Name,0)),"")&lt;&gt;"Other Income"),"Account is not a revenue account","")))))))</f>
        <v/>
      </c>
      <c r="V332" s="67">
        <f>IF(AND(R332=0,T332=""),1,0)</f>
        <v/>
      </c>
      <c r="W332" s="67">
        <f>IF(V332=1,acctAR,"")</f>
        <v/>
      </c>
      <c r="X332" s="67">
        <f>IF(V332=1,F332,"")</f>
        <v/>
      </c>
      <c r="Y332" s="68">
        <f>IF(V332=1,G332,0)</f>
        <v/>
      </c>
      <c r="Z332" s="68">
        <f>IF(V332=1,G332-S332,0)</f>
        <v/>
      </c>
      <c r="AA332" s="68">
        <f>IF(V332=1,S332,0)</f>
        <v/>
      </c>
    </row>
    <row r="333">
      <c r="B333" s="62" t="n"/>
      <c r="C333" s="63" t="n"/>
      <c r="D333" s="62" t="n"/>
      <c r="E333" s="62" t="n"/>
      <c r="F333" s="62" t="n"/>
      <c r="G333" s="64" t="n"/>
      <c r="H333" s="64" t="n"/>
      <c r="I333" s="63" t="n"/>
      <c r="J333" s="29">
        <f>IF(V333=1,IF(ISNUMBER(I333),I333,C333+IF(ISNUMBER(IFERROR(INDEX(cust_Terms,MATCH(D333,cust_Name,0)),"")),INDEX(cust_Terms,MATCH(D333,cust_Name,0)),TermsDays)),"")</f>
        <v/>
      </c>
      <c r="K333" s="65">
        <f>IF(V333=1,SUMIFS(tx_DrAmt,tx_Type,"Customer Payment",tx_Ref,B333&amp;"",tx_Date,"&lt;="&amp;AsOf),"")</f>
        <v/>
      </c>
      <c r="L333" s="65">
        <f>IF(V333=1,IF(C333&gt;AsOf,0,ROUND(G333-K333,2)),"")</f>
        <v/>
      </c>
      <c r="M333" s="66">
        <f>IF(V333&lt;&gt;1,"",IF(C333&gt;AsOf,"Future",IF(L333&lt;0,"Overpaid",IF(L333=0,"Paid",IF(AsOf&gt;J333,"Overdue",IF(K333&gt;0,"Partial","Unpaid"))))))</f>
        <v/>
      </c>
      <c r="N333" s="28">
        <f>IF(AND(V333=1,N(L333)&gt;0),AsOf-C333,"")</f>
        <v/>
      </c>
      <c r="O333" s="28">
        <f>IF(N333="","",MAX(0,AsOf-J333))</f>
        <v/>
      </c>
      <c r="P333" s="66">
        <f>IF(O333="","",IF(O333=0,"Current",IF(O333&lt;=30,"1-30",IF(O333&lt;=60,"31-60",IF(O333&lt;=90,"61-90","90+")))))</f>
        <v/>
      </c>
      <c r="Q333" s="66">
        <f>IF(T333&lt;&gt;"","⛔ "&amp;T333&amp;" — not posted",IF(U333&lt;&gt;"","⚠ "&amp;U333,IF(V333=1,"✓ OK","")))</f>
        <v/>
      </c>
      <c r="R333" s="67">
        <f>IF(AND(B333="",C333="",D333="",G333="",F333=""),1,0)</f>
        <v/>
      </c>
      <c r="S333" s="68">
        <f>IF(AND(TaxOn="Yes",ISNUMBER(H333)),H333,0)</f>
        <v/>
      </c>
      <c r="T333" s="67">
        <f>IF(R333=1,"",IF(B333="","Enter an invoice #",IF(C333="","Missing invoice date",IF(NOT(ISNUMBER(C333)),"Invalid date",IF(OR(C333&lt;DATE(2000,1,1),C333&gt;DATE(2099,12,31)),"Invalid date",IF(F333="","Select a revenue account",IF(ISNA(MATCH(F333,coa_Name,0)),"Unknown account: "&amp;F333,IF(NOT(ISNUMBER(G333)),"Enter an amount",IF(G333&lt;=0,"Amount must be positive",IF(S333&gt;G333,"Tax is larger than the amount",""))))))))))</f>
        <v/>
      </c>
      <c r="U333" s="67">
        <f>IF(OR(R333=1,T333&lt;&gt;""),"",IF(COUNTIF(ar_No,B333)&gt;1,"Duplicate invoice #",IF(D333="","Select a customer",IF(N(L333)&lt;0,"Overpaid by "&amp;TEXT(-L333,"#,##0.00"),IF(AND(ISNUMBER(H333),N(H333)&lt;&gt;0,S333=0),"Tax ignored (tax tracking is off)",IF(AND(ISNUMBER(StartDate),C333&lt;StartDate),"Date is before the accounting start date",IF(AND(IFERROR(INDEX(coa_Type,MATCH(F333,coa_Name,0)),"")&lt;&gt;"Revenue",IFERROR(INDEX(coa_Type,MATCH(F333,coa_Name,0)),"")&lt;&gt;"Other Income"),"Account is not a revenue account","")))))))</f>
        <v/>
      </c>
      <c r="V333" s="67">
        <f>IF(AND(R333=0,T333=""),1,0)</f>
        <v/>
      </c>
      <c r="W333" s="67">
        <f>IF(V333=1,acctAR,"")</f>
        <v/>
      </c>
      <c r="X333" s="67">
        <f>IF(V333=1,F333,"")</f>
        <v/>
      </c>
      <c r="Y333" s="68">
        <f>IF(V333=1,G333,0)</f>
        <v/>
      </c>
      <c r="Z333" s="68">
        <f>IF(V333=1,G333-S333,0)</f>
        <v/>
      </c>
      <c r="AA333" s="68">
        <f>IF(V333=1,S333,0)</f>
        <v/>
      </c>
    </row>
    <row r="334">
      <c r="B334" s="62" t="n"/>
      <c r="C334" s="63" t="n"/>
      <c r="D334" s="62" t="n"/>
      <c r="E334" s="62" t="n"/>
      <c r="F334" s="62" t="n"/>
      <c r="G334" s="64" t="n"/>
      <c r="H334" s="64" t="n"/>
      <c r="I334" s="63" t="n"/>
      <c r="J334" s="29">
        <f>IF(V334=1,IF(ISNUMBER(I334),I334,C334+IF(ISNUMBER(IFERROR(INDEX(cust_Terms,MATCH(D334,cust_Name,0)),"")),INDEX(cust_Terms,MATCH(D334,cust_Name,0)),TermsDays)),"")</f>
        <v/>
      </c>
      <c r="K334" s="65">
        <f>IF(V334=1,SUMIFS(tx_DrAmt,tx_Type,"Customer Payment",tx_Ref,B334&amp;"",tx_Date,"&lt;="&amp;AsOf),"")</f>
        <v/>
      </c>
      <c r="L334" s="65">
        <f>IF(V334=1,IF(C334&gt;AsOf,0,ROUND(G334-K334,2)),"")</f>
        <v/>
      </c>
      <c r="M334" s="66">
        <f>IF(V334&lt;&gt;1,"",IF(C334&gt;AsOf,"Future",IF(L334&lt;0,"Overpaid",IF(L334=0,"Paid",IF(AsOf&gt;J334,"Overdue",IF(K334&gt;0,"Partial","Unpaid"))))))</f>
        <v/>
      </c>
      <c r="N334" s="28">
        <f>IF(AND(V334=1,N(L334)&gt;0),AsOf-C334,"")</f>
        <v/>
      </c>
      <c r="O334" s="28">
        <f>IF(N334="","",MAX(0,AsOf-J334))</f>
        <v/>
      </c>
      <c r="P334" s="66">
        <f>IF(O334="","",IF(O334=0,"Current",IF(O334&lt;=30,"1-30",IF(O334&lt;=60,"31-60",IF(O334&lt;=90,"61-90","90+")))))</f>
        <v/>
      </c>
      <c r="Q334" s="66">
        <f>IF(T334&lt;&gt;"","⛔ "&amp;T334&amp;" — not posted",IF(U334&lt;&gt;"","⚠ "&amp;U334,IF(V334=1,"✓ OK","")))</f>
        <v/>
      </c>
      <c r="R334" s="67">
        <f>IF(AND(B334="",C334="",D334="",G334="",F334=""),1,0)</f>
        <v/>
      </c>
      <c r="S334" s="68">
        <f>IF(AND(TaxOn="Yes",ISNUMBER(H334)),H334,0)</f>
        <v/>
      </c>
      <c r="T334" s="67">
        <f>IF(R334=1,"",IF(B334="","Enter an invoice #",IF(C334="","Missing invoice date",IF(NOT(ISNUMBER(C334)),"Invalid date",IF(OR(C334&lt;DATE(2000,1,1),C334&gt;DATE(2099,12,31)),"Invalid date",IF(F334="","Select a revenue account",IF(ISNA(MATCH(F334,coa_Name,0)),"Unknown account: "&amp;F334,IF(NOT(ISNUMBER(G334)),"Enter an amount",IF(G334&lt;=0,"Amount must be positive",IF(S334&gt;G334,"Tax is larger than the amount",""))))))))))</f>
        <v/>
      </c>
      <c r="U334" s="67">
        <f>IF(OR(R334=1,T334&lt;&gt;""),"",IF(COUNTIF(ar_No,B334)&gt;1,"Duplicate invoice #",IF(D334="","Select a customer",IF(N(L334)&lt;0,"Overpaid by "&amp;TEXT(-L334,"#,##0.00"),IF(AND(ISNUMBER(H334),N(H334)&lt;&gt;0,S334=0),"Tax ignored (tax tracking is off)",IF(AND(ISNUMBER(StartDate),C334&lt;StartDate),"Date is before the accounting start date",IF(AND(IFERROR(INDEX(coa_Type,MATCH(F334,coa_Name,0)),"")&lt;&gt;"Revenue",IFERROR(INDEX(coa_Type,MATCH(F334,coa_Name,0)),"")&lt;&gt;"Other Income"),"Account is not a revenue account","")))))))</f>
        <v/>
      </c>
      <c r="V334" s="67">
        <f>IF(AND(R334=0,T334=""),1,0)</f>
        <v/>
      </c>
      <c r="W334" s="67">
        <f>IF(V334=1,acctAR,"")</f>
        <v/>
      </c>
      <c r="X334" s="67">
        <f>IF(V334=1,F334,"")</f>
        <v/>
      </c>
      <c r="Y334" s="68">
        <f>IF(V334=1,G334,0)</f>
        <v/>
      </c>
      <c r="Z334" s="68">
        <f>IF(V334=1,G334-S334,0)</f>
        <v/>
      </c>
      <c r="AA334" s="68">
        <f>IF(V334=1,S334,0)</f>
        <v/>
      </c>
    </row>
    <row r="335">
      <c r="B335" s="62" t="n"/>
      <c r="C335" s="63" t="n"/>
      <c r="D335" s="62" t="n"/>
      <c r="E335" s="62" t="n"/>
      <c r="F335" s="62" t="n"/>
      <c r="G335" s="64" t="n"/>
      <c r="H335" s="64" t="n"/>
      <c r="I335" s="63" t="n"/>
      <c r="J335" s="29">
        <f>IF(V335=1,IF(ISNUMBER(I335),I335,C335+IF(ISNUMBER(IFERROR(INDEX(cust_Terms,MATCH(D335,cust_Name,0)),"")),INDEX(cust_Terms,MATCH(D335,cust_Name,0)),TermsDays)),"")</f>
        <v/>
      </c>
      <c r="K335" s="65">
        <f>IF(V335=1,SUMIFS(tx_DrAmt,tx_Type,"Customer Payment",tx_Ref,B335&amp;"",tx_Date,"&lt;="&amp;AsOf),"")</f>
        <v/>
      </c>
      <c r="L335" s="65">
        <f>IF(V335=1,IF(C335&gt;AsOf,0,ROUND(G335-K335,2)),"")</f>
        <v/>
      </c>
      <c r="M335" s="66">
        <f>IF(V335&lt;&gt;1,"",IF(C335&gt;AsOf,"Future",IF(L335&lt;0,"Overpaid",IF(L335=0,"Paid",IF(AsOf&gt;J335,"Overdue",IF(K335&gt;0,"Partial","Unpaid"))))))</f>
        <v/>
      </c>
      <c r="N335" s="28">
        <f>IF(AND(V335=1,N(L335)&gt;0),AsOf-C335,"")</f>
        <v/>
      </c>
      <c r="O335" s="28">
        <f>IF(N335="","",MAX(0,AsOf-J335))</f>
        <v/>
      </c>
      <c r="P335" s="66">
        <f>IF(O335="","",IF(O335=0,"Current",IF(O335&lt;=30,"1-30",IF(O335&lt;=60,"31-60",IF(O335&lt;=90,"61-90","90+")))))</f>
        <v/>
      </c>
      <c r="Q335" s="66">
        <f>IF(T335&lt;&gt;"","⛔ "&amp;T335&amp;" — not posted",IF(U335&lt;&gt;"","⚠ "&amp;U335,IF(V335=1,"✓ OK","")))</f>
        <v/>
      </c>
      <c r="R335" s="67">
        <f>IF(AND(B335="",C335="",D335="",G335="",F335=""),1,0)</f>
        <v/>
      </c>
      <c r="S335" s="68">
        <f>IF(AND(TaxOn="Yes",ISNUMBER(H335)),H335,0)</f>
        <v/>
      </c>
      <c r="T335" s="67">
        <f>IF(R335=1,"",IF(B335="","Enter an invoice #",IF(C335="","Missing invoice date",IF(NOT(ISNUMBER(C335)),"Invalid date",IF(OR(C335&lt;DATE(2000,1,1),C335&gt;DATE(2099,12,31)),"Invalid date",IF(F335="","Select a revenue account",IF(ISNA(MATCH(F335,coa_Name,0)),"Unknown account: "&amp;F335,IF(NOT(ISNUMBER(G335)),"Enter an amount",IF(G335&lt;=0,"Amount must be positive",IF(S335&gt;G335,"Tax is larger than the amount",""))))))))))</f>
        <v/>
      </c>
      <c r="U335" s="67">
        <f>IF(OR(R335=1,T335&lt;&gt;""),"",IF(COUNTIF(ar_No,B335)&gt;1,"Duplicate invoice #",IF(D335="","Select a customer",IF(N(L335)&lt;0,"Overpaid by "&amp;TEXT(-L335,"#,##0.00"),IF(AND(ISNUMBER(H335),N(H335)&lt;&gt;0,S335=0),"Tax ignored (tax tracking is off)",IF(AND(ISNUMBER(StartDate),C335&lt;StartDate),"Date is before the accounting start date",IF(AND(IFERROR(INDEX(coa_Type,MATCH(F335,coa_Name,0)),"")&lt;&gt;"Revenue",IFERROR(INDEX(coa_Type,MATCH(F335,coa_Name,0)),"")&lt;&gt;"Other Income"),"Account is not a revenue account","")))))))</f>
        <v/>
      </c>
      <c r="V335" s="67">
        <f>IF(AND(R335=0,T335=""),1,0)</f>
        <v/>
      </c>
      <c r="W335" s="67">
        <f>IF(V335=1,acctAR,"")</f>
        <v/>
      </c>
      <c r="X335" s="67">
        <f>IF(V335=1,F335,"")</f>
        <v/>
      </c>
      <c r="Y335" s="68">
        <f>IF(V335=1,G335,0)</f>
        <v/>
      </c>
      <c r="Z335" s="68">
        <f>IF(V335=1,G335-S335,0)</f>
        <v/>
      </c>
      <c r="AA335" s="68">
        <f>IF(V335=1,S335,0)</f>
        <v/>
      </c>
    </row>
    <row r="336">
      <c r="B336" s="62" t="n"/>
      <c r="C336" s="63" t="n"/>
      <c r="D336" s="62" t="n"/>
      <c r="E336" s="62" t="n"/>
      <c r="F336" s="62" t="n"/>
      <c r="G336" s="64" t="n"/>
      <c r="H336" s="64" t="n"/>
      <c r="I336" s="63" t="n"/>
      <c r="J336" s="29">
        <f>IF(V336=1,IF(ISNUMBER(I336),I336,C336+IF(ISNUMBER(IFERROR(INDEX(cust_Terms,MATCH(D336,cust_Name,0)),"")),INDEX(cust_Terms,MATCH(D336,cust_Name,0)),TermsDays)),"")</f>
        <v/>
      </c>
      <c r="K336" s="65">
        <f>IF(V336=1,SUMIFS(tx_DrAmt,tx_Type,"Customer Payment",tx_Ref,B336&amp;"",tx_Date,"&lt;="&amp;AsOf),"")</f>
        <v/>
      </c>
      <c r="L336" s="65">
        <f>IF(V336=1,IF(C336&gt;AsOf,0,ROUND(G336-K336,2)),"")</f>
        <v/>
      </c>
      <c r="M336" s="66">
        <f>IF(V336&lt;&gt;1,"",IF(C336&gt;AsOf,"Future",IF(L336&lt;0,"Overpaid",IF(L336=0,"Paid",IF(AsOf&gt;J336,"Overdue",IF(K336&gt;0,"Partial","Unpaid"))))))</f>
        <v/>
      </c>
      <c r="N336" s="28">
        <f>IF(AND(V336=1,N(L336)&gt;0),AsOf-C336,"")</f>
        <v/>
      </c>
      <c r="O336" s="28">
        <f>IF(N336="","",MAX(0,AsOf-J336))</f>
        <v/>
      </c>
      <c r="P336" s="66">
        <f>IF(O336="","",IF(O336=0,"Current",IF(O336&lt;=30,"1-30",IF(O336&lt;=60,"31-60",IF(O336&lt;=90,"61-90","90+")))))</f>
        <v/>
      </c>
      <c r="Q336" s="66">
        <f>IF(T336&lt;&gt;"","⛔ "&amp;T336&amp;" — not posted",IF(U336&lt;&gt;"","⚠ "&amp;U336,IF(V336=1,"✓ OK","")))</f>
        <v/>
      </c>
      <c r="R336" s="67">
        <f>IF(AND(B336="",C336="",D336="",G336="",F336=""),1,0)</f>
        <v/>
      </c>
      <c r="S336" s="68">
        <f>IF(AND(TaxOn="Yes",ISNUMBER(H336)),H336,0)</f>
        <v/>
      </c>
      <c r="T336" s="67">
        <f>IF(R336=1,"",IF(B336="","Enter an invoice #",IF(C336="","Missing invoice date",IF(NOT(ISNUMBER(C336)),"Invalid date",IF(OR(C336&lt;DATE(2000,1,1),C336&gt;DATE(2099,12,31)),"Invalid date",IF(F336="","Select a revenue account",IF(ISNA(MATCH(F336,coa_Name,0)),"Unknown account: "&amp;F336,IF(NOT(ISNUMBER(G336)),"Enter an amount",IF(G336&lt;=0,"Amount must be positive",IF(S336&gt;G336,"Tax is larger than the amount",""))))))))))</f>
        <v/>
      </c>
      <c r="U336" s="67">
        <f>IF(OR(R336=1,T336&lt;&gt;""),"",IF(COUNTIF(ar_No,B336)&gt;1,"Duplicate invoice #",IF(D336="","Select a customer",IF(N(L336)&lt;0,"Overpaid by "&amp;TEXT(-L336,"#,##0.00"),IF(AND(ISNUMBER(H336),N(H336)&lt;&gt;0,S336=0),"Tax ignored (tax tracking is off)",IF(AND(ISNUMBER(StartDate),C336&lt;StartDate),"Date is before the accounting start date",IF(AND(IFERROR(INDEX(coa_Type,MATCH(F336,coa_Name,0)),"")&lt;&gt;"Revenue",IFERROR(INDEX(coa_Type,MATCH(F336,coa_Name,0)),"")&lt;&gt;"Other Income"),"Account is not a revenue account","")))))))</f>
        <v/>
      </c>
      <c r="V336" s="67">
        <f>IF(AND(R336=0,T336=""),1,0)</f>
        <v/>
      </c>
      <c r="W336" s="67">
        <f>IF(V336=1,acctAR,"")</f>
        <v/>
      </c>
      <c r="X336" s="67">
        <f>IF(V336=1,F336,"")</f>
        <v/>
      </c>
      <c r="Y336" s="68">
        <f>IF(V336=1,G336,0)</f>
        <v/>
      </c>
      <c r="Z336" s="68">
        <f>IF(V336=1,G336-S336,0)</f>
        <v/>
      </c>
      <c r="AA336" s="68">
        <f>IF(V336=1,S336,0)</f>
        <v/>
      </c>
    </row>
    <row r="337">
      <c r="B337" s="62" t="n"/>
      <c r="C337" s="63" t="n"/>
      <c r="D337" s="62" t="n"/>
      <c r="E337" s="62" t="n"/>
      <c r="F337" s="62" t="n"/>
      <c r="G337" s="64" t="n"/>
      <c r="H337" s="64" t="n"/>
      <c r="I337" s="63" t="n"/>
      <c r="J337" s="29">
        <f>IF(V337=1,IF(ISNUMBER(I337),I337,C337+IF(ISNUMBER(IFERROR(INDEX(cust_Terms,MATCH(D337,cust_Name,0)),"")),INDEX(cust_Terms,MATCH(D337,cust_Name,0)),TermsDays)),"")</f>
        <v/>
      </c>
      <c r="K337" s="65">
        <f>IF(V337=1,SUMIFS(tx_DrAmt,tx_Type,"Customer Payment",tx_Ref,B337&amp;"",tx_Date,"&lt;="&amp;AsOf),"")</f>
        <v/>
      </c>
      <c r="L337" s="65">
        <f>IF(V337=1,IF(C337&gt;AsOf,0,ROUND(G337-K337,2)),"")</f>
        <v/>
      </c>
      <c r="M337" s="66">
        <f>IF(V337&lt;&gt;1,"",IF(C337&gt;AsOf,"Future",IF(L337&lt;0,"Overpaid",IF(L337=0,"Paid",IF(AsOf&gt;J337,"Overdue",IF(K337&gt;0,"Partial","Unpaid"))))))</f>
        <v/>
      </c>
      <c r="N337" s="28">
        <f>IF(AND(V337=1,N(L337)&gt;0),AsOf-C337,"")</f>
        <v/>
      </c>
      <c r="O337" s="28">
        <f>IF(N337="","",MAX(0,AsOf-J337))</f>
        <v/>
      </c>
      <c r="P337" s="66">
        <f>IF(O337="","",IF(O337=0,"Current",IF(O337&lt;=30,"1-30",IF(O337&lt;=60,"31-60",IF(O337&lt;=90,"61-90","90+")))))</f>
        <v/>
      </c>
      <c r="Q337" s="66">
        <f>IF(T337&lt;&gt;"","⛔ "&amp;T337&amp;" — not posted",IF(U337&lt;&gt;"","⚠ "&amp;U337,IF(V337=1,"✓ OK","")))</f>
        <v/>
      </c>
      <c r="R337" s="67">
        <f>IF(AND(B337="",C337="",D337="",G337="",F337=""),1,0)</f>
        <v/>
      </c>
      <c r="S337" s="68">
        <f>IF(AND(TaxOn="Yes",ISNUMBER(H337)),H337,0)</f>
        <v/>
      </c>
      <c r="T337" s="67">
        <f>IF(R337=1,"",IF(B337="","Enter an invoice #",IF(C337="","Missing invoice date",IF(NOT(ISNUMBER(C337)),"Invalid date",IF(OR(C337&lt;DATE(2000,1,1),C337&gt;DATE(2099,12,31)),"Invalid date",IF(F337="","Select a revenue account",IF(ISNA(MATCH(F337,coa_Name,0)),"Unknown account: "&amp;F337,IF(NOT(ISNUMBER(G337)),"Enter an amount",IF(G337&lt;=0,"Amount must be positive",IF(S337&gt;G337,"Tax is larger than the amount",""))))))))))</f>
        <v/>
      </c>
      <c r="U337" s="67">
        <f>IF(OR(R337=1,T337&lt;&gt;""),"",IF(COUNTIF(ar_No,B337)&gt;1,"Duplicate invoice #",IF(D337="","Select a customer",IF(N(L337)&lt;0,"Overpaid by "&amp;TEXT(-L337,"#,##0.00"),IF(AND(ISNUMBER(H337),N(H337)&lt;&gt;0,S337=0),"Tax ignored (tax tracking is off)",IF(AND(ISNUMBER(StartDate),C337&lt;StartDate),"Date is before the accounting start date",IF(AND(IFERROR(INDEX(coa_Type,MATCH(F337,coa_Name,0)),"")&lt;&gt;"Revenue",IFERROR(INDEX(coa_Type,MATCH(F337,coa_Name,0)),"")&lt;&gt;"Other Income"),"Account is not a revenue account","")))))))</f>
        <v/>
      </c>
      <c r="V337" s="67">
        <f>IF(AND(R337=0,T337=""),1,0)</f>
        <v/>
      </c>
      <c r="W337" s="67">
        <f>IF(V337=1,acctAR,"")</f>
        <v/>
      </c>
      <c r="X337" s="67">
        <f>IF(V337=1,F337,"")</f>
        <v/>
      </c>
      <c r="Y337" s="68">
        <f>IF(V337=1,G337,0)</f>
        <v/>
      </c>
      <c r="Z337" s="68">
        <f>IF(V337=1,G337-S337,0)</f>
        <v/>
      </c>
      <c r="AA337" s="68">
        <f>IF(V337=1,S337,0)</f>
        <v/>
      </c>
    </row>
    <row r="338">
      <c r="B338" s="62" t="n"/>
      <c r="C338" s="63" t="n"/>
      <c r="D338" s="62" t="n"/>
      <c r="E338" s="62" t="n"/>
      <c r="F338" s="62" t="n"/>
      <c r="G338" s="64" t="n"/>
      <c r="H338" s="64" t="n"/>
      <c r="I338" s="63" t="n"/>
      <c r="J338" s="29">
        <f>IF(V338=1,IF(ISNUMBER(I338),I338,C338+IF(ISNUMBER(IFERROR(INDEX(cust_Terms,MATCH(D338,cust_Name,0)),"")),INDEX(cust_Terms,MATCH(D338,cust_Name,0)),TermsDays)),"")</f>
        <v/>
      </c>
      <c r="K338" s="65">
        <f>IF(V338=1,SUMIFS(tx_DrAmt,tx_Type,"Customer Payment",tx_Ref,B338&amp;"",tx_Date,"&lt;="&amp;AsOf),"")</f>
        <v/>
      </c>
      <c r="L338" s="65">
        <f>IF(V338=1,IF(C338&gt;AsOf,0,ROUND(G338-K338,2)),"")</f>
        <v/>
      </c>
      <c r="M338" s="66">
        <f>IF(V338&lt;&gt;1,"",IF(C338&gt;AsOf,"Future",IF(L338&lt;0,"Overpaid",IF(L338=0,"Paid",IF(AsOf&gt;J338,"Overdue",IF(K338&gt;0,"Partial","Unpaid"))))))</f>
        <v/>
      </c>
      <c r="N338" s="28">
        <f>IF(AND(V338=1,N(L338)&gt;0),AsOf-C338,"")</f>
        <v/>
      </c>
      <c r="O338" s="28">
        <f>IF(N338="","",MAX(0,AsOf-J338))</f>
        <v/>
      </c>
      <c r="P338" s="66">
        <f>IF(O338="","",IF(O338=0,"Current",IF(O338&lt;=30,"1-30",IF(O338&lt;=60,"31-60",IF(O338&lt;=90,"61-90","90+")))))</f>
        <v/>
      </c>
      <c r="Q338" s="66">
        <f>IF(T338&lt;&gt;"","⛔ "&amp;T338&amp;" — not posted",IF(U338&lt;&gt;"","⚠ "&amp;U338,IF(V338=1,"✓ OK","")))</f>
        <v/>
      </c>
      <c r="R338" s="67">
        <f>IF(AND(B338="",C338="",D338="",G338="",F338=""),1,0)</f>
        <v/>
      </c>
      <c r="S338" s="68">
        <f>IF(AND(TaxOn="Yes",ISNUMBER(H338)),H338,0)</f>
        <v/>
      </c>
      <c r="T338" s="67">
        <f>IF(R338=1,"",IF(B338="","Enter an invoice #",IF(C338="","Missing invoice date",IF(NOT(ISNUMBER(C338)),"Invalid date",IF(OR(C338&lt;DATE(2000,1,1),C338&gt;DATE(2099,12,31)),"Invalid date",IF(F338="","Select a revenue account",IF(ISNA(MATCH(F338,coa_Name,0)),"Unknown account: "&amp;F338,IF(NOT(ISNUMBER(G338)),"Enter an amount",IF(G338&lt;=0,"Amount must be positive",IF(S338&gt;G338,"Tax is larger than the amount",""))))))))))</f>
        <v/>
      </c>
      <c r="U338" s="67">
        <f>IF(OR(R338=1,T338&lt;&gt;""),"",IF(COUNTIF(ar_No,B338)&gt;1,"Duplicate invoice #",IF(D338="","Select a customer",IF(N(L338)&lt;0,"Overpaid by "&amp;TEXT(-L338,"#,##0.00"),IF(AND(ISNUMBER(H338),N(H338)&lt;&gt;0,S338=0),"Tax ignored (tax tracking is off)",IF(AND(ISNUMBER(StartDate),C338&lt;StartDate),"Date is before the accounting start date",IF(AND(IFERROR(INDEX(coa_Type,MATCH(F338,coa_Name,0)),"")&lt;&gt;"Revenue",IFERROR(INDEX(coa_Type,MATCH(F338,coa_Name,0)),"")&lt;&gt;"Other Income"),"Account is not a revenue account","")))))))</f>
        <v/>
      </c>
      <c r="V338" s="67">
        <f>IF(AND(R338=0,T338=""),1,0)</f>
        <v/>
      </c>
      <c r="W338" s="67">
        <f>IF(V338=1,acctAR,"")</f>
        <v/>
      </c>
      <c r="X338" s="67">
        <f>IF(V338=1,F338,"")</f>
        <v/>
      </c>
      <c r="Y338" s="68">
        <f>IF(V338=1,G338,0)</f>
        <v/>
      </c>
      <c r="Z338" s="68">
        <f>IF(V338=1,G338-S338,0)</f>
        <v/>
      </c>
      <c r="AA338" s="68">
        <f>IF(V338=1,S338,0)</f>
        <v/>
      </c>
    </row>
    <row r="339">
      <c r="B339" s="62" t="n"/>
      <c r="C339" s="63" t="n"/>
      <c r="D339" s="62" t="n"/>
      <c r="E339" s="62" t="n"/>
      <c r="F339" s="62" t="n"/>
      <c r="G339" s="64" t="n"/>
      <c r="H339" s="64" t="n"/>
      <c r="I339" s="63" t="n"/>
      <c r="J339" s="29">
        <f>IF(V339=1,IF(ISNUMBER(I339),I339,C339+IF(ISNUMBER(IFERROR(INDEX(cust_Terms,MATCH(D339,cust_Name,0)),"")),INDEX(cust_Terms,MATCH(D339,cust_Name,0)),TermsDays)),"")</f>
        <v/>
      </c>
      <c r="K339" s="65">
        <f>IF(V339=1,SUMIFS(tx_DrAmt,tx_Type,"Customer Payment",tx_Ref,B339&amp;"",tx_Date,"&lt;="&amp;AsOf),"")</f>
        <v/>
      </c>
      <c r="L339" s="65">
        <f>IF(V339=1,IF(C339&gt;AsOf,0,ROUND(G339-K339,2)),"")</f>
        <v/>
      </c>
      <c r="M339" s="66">
        <f>IF(V339&lt;&gt;1,"",IF(C339&gt;AsOf,"Future",IF(L339&lt;0,"Overpaid",IF(L339=0,"Paid",IF(AsOf&gt;J339,"Overdue",IF(K339&gt;0,"Partial","Unpaid"))))))</f>
        <v/>
      </c>
      <c r="N339" s="28">
        <f>IF(AND(V339=1,N(L339)&gt;0),AsOf-C339,"")</f>
        <v/>
      </c>
      <c r="O339" s="28">
        <f>IF(N339="","",MAX(0,AsOf-J339))</f>
        <v/>
      </c>
      <c r="P339" s="66">
        <f>IF(O339="","",IF(O339=0,"Current",IF(O339&lt;=30,"1-30",IF(O339&lt;=60,"31-60",IF(O339&lt;=90,"61-90","90+")))))</f>
        <v/>
      </c>
      <c r="Q339" s="66">
        <f>IF(T339&lt;&gt;"","⛔ "&amp;T339&amp;" — not posted",IF(U339&lt;&gt;"","⚠ "&amp;U339,IF(V339=1,"✓ OK","")))</f>
        <v/>
      </c>
      <c r="R339" s="67">
        <f>IF(AND(B339="",C339="",D339="",G339="",F339=""),1,0)</f>
        <v/>
      </c>
      <c r="S339" s="68">
        <f>IF(AND(TaxOn="Yes",ISNUMBER(H339)),H339,0)</f>
        <v/>
      </c>
      <c r="T339" s="67">
        <f>IF(R339=1,"",IF(B339="","Enter an invoice #",IF(C339="","Missing invoice date",IF(NOT(ISNUMBER(C339)),"Invalid date",IF(OR(C339&lt;DATE(2000,1,1),C339&gt;DATE(2099,12,31)),"Invalid date",IF(F339="","Select a revenue account",IF(ISNA(MATCH(F339,coa_Name,0)),"Unknown account: "&amp;F339,IF(NOT(ISNUMBER(G339)),"Enter an amount",IF(G339&lt;=0,"Amount must be positive",IF(S339&gt;G339,"Tax is larger than the amount",""))))))))))</f>
        <v/>
      </c>
      <c r="U339" s="67">
        <f>IF(OR(R339=1,T339&lt;&gt;""),"",IF(COUNTIF(ar_No,B339)&gt;1,"Duplicate invoice #",IF(D339="","Select a customer",IF(N(L339)&lt;0,"Overpaid by "&amp;TEXT(-L339,"#,##0.00"),IF(AND(ISNUMBER(H339),N(H339)&lt;&gt;0,S339=0),"Tax ignored (tax tracking is off)",IF(AND(ISNUMBER(StartDate),C339&lt;StartDate),"Date is before the accounting start date",IF(AND(IFERROR(INDEX(coa_Type,MATCH(F339,coa_Name,0)),"")&lt;&gt;"Revenue",IFERROR(INDEX(coa_Type,MATCH(F339,coa_Name,0)),"")&lt;&gt;"Other Income"),"Account is not a revenue account","")))))))</f>
        <v/>
      </c>
      <c r="V339" s="67">
        <f>IF(AND(R339=0,T339=""),1,0)</f>
        <v/>
      </c>
      <c r="W339" s="67">
        <f>IF(V339=1,acctAR,"")</f>
        <v/>
      </c>
      <c r="X339" s="67">
        <f>IF(V339=1,F339,"")</f>
        <v/>
      </c>
      <c r="Y339" s="68">
        <f>IF(V339=1,G339,0)</f>
        <v/>
      </c>
      <c r="Z339" s="68">
        <f>IF(V339=1,G339-S339,0)</f>
        <v/>
      </c>
      <c r="AA339" s="68">
        <f>IF(V339=1,S339,0)</f>
        <v/>
      </c>
    </row>
    <row r="340">
      <c r="B340" s="62" t="n"/>
      <c r="C340" s="63" t="n"/>
      <c r="D340" s="62" t="n"/>
      <c r="E340" s="62" t="n"/>
      <c r="F340" s="62" t="n"/>
      <c r="G340" s="64" t="n"/>
      <c r="H340" s="64" t="n"/>
      <c r="I340" s="63" t="n"/>
      <c r="J340" s="29">
        <f>IF(V340=1,IF(ISNUMBER(I340),I340,C340+IF(ISNUMBER(IFERROR(INDEX(cust_Terms,MATCH(D340,cust_Name,0)),"")),INDEX(cust_Terms,MATCH(D340,cust_Name,0)),TermsDays)),"")</f>
        <v/>
      </c>
      <c r="K340" s="65">
        <f>IF(V340=1,SUMIFS(tx_DrAmt,tx_Type,"Customer Payment",tx_Ref,B340&amp;"",tx_Date,"&lt;="&amp;AsOf),"")</f>
        <v/>
      </c>
      <c r="L340" s="65">
        <f>IF(V340=1,IF(C340&gt;AsOf,0,ROUND(G340-K340,2)),"")</f>
        <v/>
      </c>
      <c r="M340" s="66">
        <f>IF(V340&lt;&gt;1,"",IF(C340&gt;AsOf,"Future",IF(L340&lt;0,"Overpaid",IF(L340=0,"Paid",IF(AsOf&gt;J340,"Overdue",IF(K340&gt;0,"Partial","Unpaid"))))))</f>
        <v/>
      </c>
      <c r="N340" s="28">
        <f>IF(AND(V340=1,N(L340)&gt;0),AsOf-C340,"")</f>
        <v/>
      </c>
      <c r="O340" s="28">
        <f>IF(N340="","",MAX(0,AsOf-J340))</f>
        <v/>
      </c>
      <c r="P340" s="66">
        <f>IF(O340="","",IF(O340=0,"Current",IF(O340&lt;=30,"1-30",IF(O340&lt;=60,"31-60",IF(O340&lt;=90,"61-90","90+")))))</f>
        <v/>
      </c>
      <c r="Q340" s="66">
        <f>IF(T340&lt;&gt;"","⛔ "&amp;T340&amp;" — not posted",IF(U340&lt;&gt;"","⚠ "&amp;U340,IF(V340=1,"✓ OK","")))</f>
        <v/>
      </c>
      <c r="R340" s="67">
        <f>IF(AND(B340="",C340="",D340="",G340="",F340=""),1,0)</f>
        <v/>
      </c>
      <c r="S340" s="68">
        <f>IF(AND(TaxOn="Yes",ISNUMBER(H340)),H340,0)</f>
        <v/>
      </c>
      <c r="T340" s="67">
        <f>IF(R340=1,"",IF(B340="","Enter an invoice #",IF(C340="","Missing invoice date",IF(NOT(ISNUMBER(C340)),"Invalid date",IF(OR(C340&lt;DATE(2000,1,1),C340&gt;DATE(2099,12,31)),"Invalid date",IF(F340="","Select a revenue account",IF(ISNA(MATCH(F340,coa_Name,0)),"Unknown account: "&amp;F340,IF(NOT(ISNUMBER(G340)),"Enter an amount",IF(G340&lt;=0,"Amount must be positive",IF(S340&gt;G340,"Tax is larger than the amount",""))))))))))</f>
        <v/>
      </c>
      <c r="U340" s="67">
        <f>IF(OR(R340=1,T340&lt;&gt;""),"",IF(COUNTIF(ar_No,B340)&gt;1,"Duplicate invoice #",IF(D340="","Select a customer",IF(N(L340)&lt;0,"Overpaid by "&amp;TEXT(-L340,"#,##0.00"),IF(AND(ISNUMBER(H340),N(H340)&lt;&gt;0,S340=0),"Tax ignored (tax tracking is off)",IF(AND(ISNUMBER(StartDate),C340&lt;StartDate),"Date is before the accounting start date",IF(AND(IFERROR(INDEX(coa_Type,MATCH(F340,coa_Name,0)),"")&lt;&gt;"Revenue",IFERROR(INDEX(coa_Type,MATCH(F340,coa_Name,0)),"")&lt;&gt;"Other Income"),"Account is not a revenue account","")))))))</f>
        <v/>
      </c>
      <c r="V340" s="67">
        <f>IF(AND(R340=0,T340=""),1,0)</f>
        <v/>
      </c>
      <c r="W340" s="67">
        <f>IF(V340=1,acctAR,"")</f>
        <v/>
      </c>
      <c r="X340" s="67">
        <f>IF(V340=1,F340,"")</f>
        <v/>
      </c>
      <c r="Y340" s="68">
        <f>IF(V340=1,G340,0)</f>
        <v/>
      </c>
      <c r="Z340" s="68">
        <f>IF(V340=1,G340-S340,0)</f>
        <v/>
      </c>
      <c r="AA340" s="68">
        <f>IF(V340=1,S340,0)</f>
        <v/>
      </c>
    </row>
    <row r="341">
      <c r="B341" s="62" t="n"/>
      <c r="C341" s="63" t="n"/>
      <c r="D341" s="62" t="n"/>
      <c r="E341" s="62" t="n"/>
      <c r="F341" s="62" t="n"/>
      <c r="G341" s="64" t="n"/>
      <c r="H341" s="64" t="n"/>
      <c r="I341" s="63" t="n"/>
      <c r="J341" s="29">
        <f>IF(V341=1,IF(ISNUMBER(I341),I341,C341+IF(ISNUMBER(IFERROR(INDEX(cust_Terms,MATCH(D341,cust_Name,0)),"")),INDEX(cust_Terms,MATCH(D341,cust_Name,0)),TermsDays)),"")</f>
        <v/>
      </c>
      <c r="K341" s="65">
        <f>IF(V341=1,SUMIFS(tx_DrAmt,tx_Type,"Customer Payment",tx_Ref,B341&amp;"",tx_Date,"&lt;="&amp;AsOf),"")</f>
        <v/>
      </c>
      <c r="L341" s="65">
        <f>IF(V341=1,IF(C341&gt;AsOf,0,ROUND(G341-K341,2)),"")</f>
        <v/>
      </c>
      <c r="M341" s="66">
        <f>IF(V341&lt;&gt;1,"",IF(C341&gt;AsOf,"Future",IF(L341&lt;0,"Overpaid",IF(L341=0,"Paid",IF(AsOf&gt;J341,"Overdue",IF(K341&gt;0,"Partial","Unpaid"))))))</f>
        <v/>
      </c>
      <c r="N341" s="28">
        <f>IF(AND(V341=1,N(L341)&gt;0),AsOf-C341,"")</f>
        <v/>
      </c>
      <c r="O341" s="28">
        <f>IF(N341="","",MAX(0,AsOf-J341))</f>
        <v/>
      </c>
      <c r="P341" s="66">
        <f>IF(O341="","",IF(O341=0,"Current",IF(O341&lt;=30,"1-30",IF(O341&lt;=60,"31-60",IF(O341&lt;=90,"61-90","90+")))))</f>
        <v/>
      </c>
      <c r="Q341" s="66">
        <f>IF(T341&lt;&gt;"","⛔ "&amp;T341&amp;" — not posted",IF(U341&lt;&gt;"","⚠ "&amp;U341,IF(V341=1,"✓ OK","")))</f>
        <v/>
      </c>
      <c r="R341" s="67">
        <f>IF(AND(B341="",C341="",D341="",G341="",F341=""),1,0)</f>
        <v/>
      </c>
      <c r="S341" s="68">
        <f>IF(AND(TaxOn="Yes",ISNUMBER(H341)),H341,0)</f>
        <v/>
      </c>
      <c r="T341" s="67">
        <f>IF(R341=1,"",IF(B341="","Enter an invoice #",IF(C341="","Missing invoice date",IF(NOT(ISNUMBER(C341)),"Invalid date",IF(OR(C341&lt;DATE(2000,1,1),C341&gt;DATE(2099,12,31)),"Invalid date",IF(F341="","Select a revenue account",IF(ISNA(MATCH(F341,coa_Name,0)),"Unknown account: "&amp;F341,IF(NOT(ISNUMBER(G341)),"Enter an amount",IF(G341&lt;=0,"Amount must be positive",IF(S341&gt;G341,"Tax is larger than the amount",""))))))))))</f>
        <v/>
      </c>
      <c r="U341" s="67">
        <f>IF(OR(R341=1,T341&lt;&gt;""),"",IF(COUNTIF(ar_No,B341)&gt;1,"Duplicate invoice #",IF(D341="","Select a customer",IF(N(L341)&lt;0,"Overpaid by "&amp;TEXT(-L341,"#,##0.00"),IF(AND(ISNUMBER(H341),N(H341)&lt;&gt;0,S341=0),"Tax ignored (tax tracking is off)",IF(AND(ISNUMBER(StartDate),C341&lt;StartDate),"Date is before the accounting start date",IF(AND(IFERROR(INDEX(coa_Type,MATCH(F341,coa_Name,0)),"")&lt;&gt;"Revenue",IFERROR(INDEX(coa_Type,MATCH(F341,coa_Name,0)),"")&lt;&gt;"Other Income"),"Account is not a revenue account","")))))))</f>
        <v/>
      </c>
      <c r="V341" s="67">
        <f>IF(AND(R341=0,T341=""),1,0)</f>
        <v/>
      </c>
      <c r="W341" s="67">
        <f>IF(V341=1,acctAR,"")</f>
        <v/>
      </c>
      <c r="X341" s="67">
        <f>IF(V341=1,F341,"")</f>
        <v/>
      </c>
      <c r="Y341" s="68">
        <f>IF(V341=1,G341,0)</f>
        <v/>
      </c>
      <c r="Z341" s="68">
        <f>IF(V341=1,G341-S341,0)</f>
        <v/>
      </c>
      <c r="AA341" s="68">
        <f>IF(V341=1,S341,0)</f>
        <v/>
      </c>
    </row>
    <row r="342">
      <c r="B342" s="62" t="n"/>
      <c r="C342" s="63" t="n"/>
      <c r="D342" s="62" t="n"/>
      <c r="E342" s="62" t="n"/>
      <c r="F342" s="62" t="n"/>
      <c r="G342" s="64" t="n"/>
      <c r="H342" s="64" t="n"/>
      <c r="I342" s="63" t="n"/>
      <c r="J342" s="29">
        <f>IF(V342=1,IF(ISNUMBER(I342),I342,C342+IF(ISNUMBER(IFERROR(INDEX(cust_Terms,MATCH(D342,cust_Name,0)),"")),INDEX(cust_Terms,MATCH(D342,cust_Name,0)),TermsDays)),"")</f>
        <v/>
      </c>
      <c r="K342" s="65">
        <f>IF(V342=1,SUMIFS(tx_DrAmt,tx_Type,"Customer Payment",tx_Ref,B342&amp;"",tx_Date,"&lt;="&amp;AsOf),"")</f>
        <v/>
      </c>
      <c r="L342" s="65">
        <f>IF(V342=1,IF(C342&gt;AsOf,0,ROUND(G342-K342,2)),"")</f>
        <v/>
      </c>
      <c r="M342" s="66">
        <f>IF(V342&lt;&gt;1,"",IF(C342&gt;AsOf,"Future",IF(L342&lt;0,"Overpaid",IF(L342=0,"Paid",IF(AsOf&gt;J342,"Overdue",IF(K342&gt;0,"Partial","Unpaid"))))))</f>
        <v/>
      </c>
      <c r="N342" s="28">
        <f>IF(AND(V342=1,N(L342)&gt;0),AsOf-C342,"")</f>
        <v/>
      </c>
      <c r="O342" s="28">
        <f>IF(N342="","",MAX(0,AsOf-J342))</f>
        <v/>
      </c>
      <c r="P342" s="66">
        <f>IF(O342="","",IF(O342=0,"Current",IF(O342&lt;=30,"1-30",IF(O342&lt;=60,"31-60",IF(O342&lt;=90,"61-90","90+")))))</f>
        <v/>
      </c>
      <c r="Q342" s="66">
        <f>IF(T342&lt;&gt;"","⛔ "&amp;T342&amp;" — not posted",IF(U342&lt;&gt;"","⚠ "&amp;U342,IF(V342=1,"✓ OK","")))</f>
        <v/>
      </c>
      <c r="R342" s="67">
        <f>IF(AND(B342="",C342="",D342="",G342="",F342=""),1,0)</f>
        <v/>
      </c>
      <c r="S342" s="68">
        <f>IF(AND(TaxOn="Yes",ISNUMBER(H342)),H342,0)</f>
        <v/>
      </c>
      <c r="T342" s="67">
        <f>IF(R342=1,"",IF(B342="","Enter an invoice #",IF(C342="","Missing invoice date",IF(NOT(ISNUMBER(C342)),"Invalid date",IF(OR(C342&lt;DATE(2000,1,1),C342&gt;DATE(2099,12,31)),"Invalid date",IF(F342="","Select a revenue account",IF(ISNA(MATCH(F342,coa_Name,0)),"Unknown account: "&amp;F342,IF(NOT(ISNUMBER(G342)),"Enter an amount",IF(G342&lt;=0,"Amount must be positive",IF(S342&gt;G342,"Tax is larger than the amount",""))))))))))</f>
        <v/>
      </c>
      <c r="U342" s="67">
        <f>IF(OR(R342=1,T342&lt;&gt;""),"",IF(COUNTIF(ar_No,B342)&gt;1,"Duplicate invoice #",IF(D342="","Select a customer",IF(N(L342)&lt;0,"Overpaid by "&amp;TEXT(-L342,"#,##0.00"),IF(AND(ISNUMBER(H342),N(H342)&lt;&gt;0,S342=0),"Tax ignored (tax tracking is off)",IF(AND(ISNUMBER(StartDate),C342&lt;StartDate),"Date is before the accounting start date",IF(AND(IFERROR(INDEX(coa_Type,MATCH(F342,coa_Name,0)),"")&lt;&gt;"Revenue",IFERROR(INDEX(coa_Type,MATCH(F342,coa_Name,0)),"")&lt;&gt;"Other Income"),"Account is not a revenue account","")))))))</f>
        <v/>
      </c>
      <c r="V342" s="67">
        <f>IF(AND(R342=0,T342=""),1,0)</f>
        <v/>
      </c>
      <c r="W342" s="67">
        <f>IF(V342=1,acctAR,"")</f>
        <v/>
      </c>
      <c r="X342" s="67">
        <f>IF(V342=1,F342,"")</f>
        <v/>
      </c>
      <c r="Y342" s="68">
        <f>IF(V342=1,G342,0)</f>
        <v/>
      </c>
      <c r="Z342" s="68">
        <f>IF(V342=1,G342-S342,0)</f>
        <v/>
      </c>
      <c r="AA342" s="68">
        <f>IF(V342=1,S342,0)</f>
        <v/>
      </c>
    </row>
    <row r="343">
      <c r="B343" s="62" t="n"/>
      <c r="C343" s="63" t="n"/>
      <c r="D343" s="62" t="n"/>
      <c r="E343" s="62" t="n"/>
      <c r="F343" s="62" t="n"/>
      <c r="G343" s="64" t="n"/>
      <c r="H343" s="64" t="n"/>
      <c r="I343" s="63" t="n"/>
      <c r="J343" s="29">
        <f>IF(V343=1,IF(ISNUMBER(I343),I343,C343+IF(ISNUMBER(IFERROR(INDEX(cust_Terms,MATCH(D343,cust_Name,0)),"")),INDEX(cust_Terms,MATCH(D343,cust_Name,0)),TermsDays)),"")</f>
        <v/>
      </c>
      <c r="K343" s="65">
        <f>IF(V343=1,SUMIFS(tx_DrAmt,tx_Type,"Customer Payment",tx_Ref,B343&amp;"",tx_Date,"&lt;="&amp;AsOf),"")</f>
        <v/>
      </c>
      <c r="L343" s="65">
        <f>IF(V343=1,IF(C343&gt;AsOf,0,ROUND(G343-K343,2)),"")</f>
        <v/>
      </c>
      <c r="M343" s="66">
        <f>IF(V343&lt;&gt;1,"",IF(C343&gt;AsOf,"Future",IF(L343&lt;0,"Overpaid",IF(L343=0,"Paid",IF(AsOf&gt;J343,"Overdue",IF(K343&gt;0,"Partial","Unpaid"))))))</f>
        <v/>
      </c>
      <c r="N343" s="28">
        <f>IF(AND(V343=1,N(L343)&gt;0),AsOf-C343,"")</f>
        <v/>
      </c>
      <c r="O343" s="28">
        <f>IF(N343="","",MAX(0,AsOf-J343))</f>
        <v/>
      </c>
      <c r="P343" s="66">
        <f>IF(O343="","",IF(O343=0,"Current",IF(O343&lt;=30,"1-30",IF(O343&lt;=60,"31-60",IF(O343&lt;=90,"61-90","90+")))))</f>
        <v/>
      </c>
      <c r="Q343" s="66">
        <f>IF(T343&lt;&gt;"","⛔ "&amp;T343&amp;" — not posted",IF(U343&lt;&gt;"","⚠ "&amp;U343,IF(V343=1,"✓ OK","")))</f>
        <v/>
      </c>
      <c r="R343" s="67">
        <f>IF(AND(B343="",C343="",D343="",G343="",F343=""),1,0)</f>
        <v/>
      </c>
      <c r="S343" s="68">
        <f>IF(AND(TaxOn="Yes",ISNUMBER(H343)),H343,0)</f>
        <v/>
      </c>
      <c r="T343" s="67">
        <f>IF(R343=1,"",IF(B343="","Enter an invoice #",IF(C343="","Missing invoice date",IF(NOT(ISNUMBER(C343)),"Invalid date",IF(OR(C343&lt;DATE(2000,1,1),C343&gt;DATE(2099,12,31)),"Invalid date",IF(F343="","Select a revenue account",IF(ISNA(MATCH(F343,coa_Name,0)),"Unknown account: "&amp;F343,IF(NOT(ISNUMBER(G343)),"Enter an amount",IF(G343&lt;=0,"Amount must be positive",IF(S343&gt;G343,"Tax is larger than the amount",""))))))))))</f>
        <v/>
      </c>
      <c r="U343" s="67">
        <f>IF(OR(R343=1,T343&lt;&gt;""),"",IF(COUNTIF(ar_No,B343)&gt;1,"Duplicate invoice #",IF(D343="","Select a customer",IF(N(L343)&lt;0,"Overpaid by "&amp;TEXT(-L343,"#,##0.00"),IF(AND(ISNUMBER(H343),N(H343)&lt;&gt;0,S343=0),"Tax ignored (tax tracking is off)",IF(AND(ISNUMBER(StartDate),C343&lt;StartDate),"Date is before the accounting start date",IF(AND(IFERROR(INDEX(coa_Type,MATCH(F343,coa_Name,0)),"")&lt;&gt;"Revenue",IFERROR(INDEX(coa_Type,MATCH(F343,coa_Name,0)),"")&lt;&gt;"Other Income"),"Account is not a revenue account","")))))))</f>
        <v/>
      </c>
      <c r="V343" s="67">
        <f>IF(AND(R343=0,T343=""),1,0)</f>
        <v/>
      </c>
      <c r="W343" s="67">
        <f>IF(V343=1,acctAR,"")</f>
        <v/>
      </c>
      <c r="X343" s="67">
        <f>IF(V343=1,F343,"")</f>
        <v/>
      </c>
      <c r="Y343" s="68">
        <f>IF(V343=1,G343,0)</f>
        <v/>
      </c>
      <c r="Z343" s="68">
        <f>IF(V343=1,G343-S343,0)</f>
        <v/>
      </c>
      <c r="AA343" s="68">
        <f>IF(V343=1,S343,0)</f>
        <v/>
      </c>
    </row>
    <row r="344">
      <c r="B344" s="62" t="n"/>
      <c r="C344" s="63" t="n"/>
      <c r="D344" s="62" t="n"/>
      <c r="E344" s="62" t="n"/>
      <c r="F344" s="62" t="n"/>
      <c r="G344" s="64" t="n"/>
      <c r="H344" s="64" t="n"/>
      <c r="I344" s="63" t="n"/>
      <c r="J344" s="29">
        <f>IF(V344=1,IF(ISNUMBER(I344),I344,C344+IF(ISNUMBER(IFERROR(INDEX(cust_Terms,MATCH(D344,cust_Name,0)),"")),INDEX(cust_Terms,MATCH(D344,cust_Name,0)),TermsDays)),"")</f>
        <v/>
      </c>
      <c r="K344" s="65">
        <f>IF(V344=1,SUMIFS(tx_DrAmt,tx_Type,"Customer Payment",tx_Ref,B344&amp;"",tx_Date,"&lt;="&amp;AsOf),"")</f>
        <v/>
      </c>
      <c r="L344" s="65">
        <f>IF(V344=1,IF(C344&gt;AsOf,0,ROUND(G344-K344,2)),"")</f>
        <v/>
      </c>
      <c r="M344" s="66">
        <f>IF(V344&lt;&gt;1,"",IF(C344&gt;AsOf,"Future",IF(L344&lt;0,"Overpaid",IF(L344=0,"Paid",IF(AsOf&gt;J344,"Overdue",IF(K344&gt;0,"Partial","Unpaid"))))))</f>
        <v/>
      </c>
      <c r="N344" s="28">
        <f>IF(AND(V344=1,N(L344)&gt;0),AsOf-C344,"")</f>
        <v/>
      </c>
      <c r="O344" s="28">
        <f>IF(N344="","",MAX(0,AsOf-J344))</f>
        <v/>
      </c>
      <c r="P344" s="66">
        <f>IF(O344="","",IF(O344=0,"Current",IF(O344&lt;=30,"1-30",IF(O344&lt;=60,"31-60",IF(O344&lt;=90,"61-90","90+")))))</f>
        <v/>
      </c>
      <c r="Q344" s="66">
        <f>IF(T344&lt;&gt;"","⛔ "&amp;T344&amp;" — not posted",IF(U344&lt;&gt;"","⚠ "&amp;U344,IF(V344=1,"✓ OK","")))</f>
        <v/>
      </c>
      <c r="R344" s="67">
        <f>IF(AND(B344="",C344="",D344="",G344="",F344=""),1,0)</f>
        <v/>
      </c>
      <c r="S344" s="68">
        <f>IF(AND(TaxOn="Yes",ISNUMBER(H344)),H344,0)</f>
        <v/>
      </c>
      <c r="T344" s="67">
        <f>IF(R344=1,"",IF(B344="","Enter an invoice #",IF(C344="","Missing invoice date",IF(NOT(ISNUMBER(C344)),"Invalid date",IF(OR(C344&lt;DATE(2000,1,1),C344&gt;DATE(2099,12,31)),"Invalid date",IF(F344="","Select a revenue account",IF(ISNA(MATCH(F344,coa_Name,0)),"Unknown account: "&amp;F344,IF(NOT(ISNUMBER(G344)),"Enter an amount",IF(G344&lt;=0,"Amount must be positive",IF(S344&gt;G344,"Tax is larger than the amount",""))))))))))</f>
        <v/>
      </c>
      <c r="U344" s="67">
        <f>IF(OR(R344=1,T344&lt;&gt;""),"",IF(COUNTIF(ar_No,B344)&gt;1,"Duplicate invoice #",IF(D344="","Select a customer",IF(N(L344)&lt;0,"Overpaid by "&amp;TEXT(-L344,"#,##0.00"),IF(AND(ISNUMBER(H344),N(H344)&lt;&gt;0,S344=0),"Tax ignored (tax tracking is off)",IF(AND(ISNUMBER(StartDate),C344&lt;StartDate),"Date is before the accounting start date",IF(AND(IFERROR(INDEX(coa_Type,MATCH(F344,coa_Name,0)),"")&lt;&gt;"Revenue",IFERROR(INDEX(coa_Type,MATCH(F344,coa_Name,0)),"")&lt;&gt;"Other Income"),"Account is not a revenue account","")))))))</f>
        <v/>
      </c>
      <c r="V344" s="67">
        <f>IF(AND(R344=0,T344=""),1,0)</f>
        <v/>
      </c>
      <c r="W344" s="67">
        <f>IF(V344=1,acctAR,"")</f>
        <v/>
      </c>
      <c r="X344" s="67">
        <f>IF(V344=1,F344,"")</f>
        <v/>
      </c>
      <c r="Y344" s="68">
        <f>IF(V344=1,G344,0)</f>
        <v/>
      </c>
      <c r="Z344" s="68">
        <f>IF(V344=1,G344-S344,0)</f>
        <v/>
      </c>
      <c r="AA344" s="68">
        <f>IF(V344=1,S344,0)</f>
        <v/>
      </c>
    </row>
    <row r="345">
      <c r="B345" s="62" t="n"/>
      <c r="C345" s="63" t="n"/>
      <c r="D345" s="62" t="n"/>
      <c r="E345" s="62" t="n"/>
      <c r="F345" s="62" t="n"/>
      <c r="G345" s="64" t="n"/>
      <c r="H345" s="64" t="n"/>
      <c r="I345" s="63" t="n"/>
      <c r="J345" s="29">
        <f>IF(V345=1,IF(ISNUMBER(I345),I345,C345+IF(ISNUMBER(IFERROR(INDEX(cust_Terms,MATCH(D345,cust_Name,0)),"")),INDEX(cust_Terms,MATCH(D345,cust_Name,0)),TermsDays)),"")</f>
        <v/>
      </c>
      <c r="K345" s="65">
        <f>IF(V345=1,SUMIFS(tx_DrAmt,tx_Type,"Customer Payment",tx_Ref,B345&amp;"",tx_Date,"&lt;="&amp;AsOf),"")</f>
        <v/>
      </c>
      <c r="L345" s="65">
        <f>IF(V345=1,IF(C345&gt;AsOf,0,ROUND(G345-K345,2)),"")</f>
        <v/>
      </c>
      <c r="M345" s="66">
        <f>IF(V345&lt;&gt;1,"",IF(C345&gt;AsOf,"Future",IF(L345&lt;0,"Overpaid",IF(L345=0,"Paid",IF(AsOf&gt;J345,"Overdue",IF(K345&gt;0,"Partial","Unpaid"))))))</f>
        <v/>
      </c>
      <c r="N345" s="28">
        <f>IF(AND(V345=1,N(L345)&gt;0),AsOf-C345,"")</f>
        <v/>
      </c>
      <c r="O345" s="28">
        <f>IF(N345="","",MAX(0,AsOf-J345))</f>
        <v/>
      </c>
      <c r="P345" s="66">
        <f>IF(O345="","",IF(O345=0,"Current",IF(O345&lt;=30,"1-30",IF(O345&lt;=60,"31-60",IF(O345&lt;=90,"61-90","90+")))))</f>
        <v/>
      </c>
      <c r="Q345" s="66">
        <f>IF(T345&lt;&gt;"","⛔ "&amp;T345&amp;" — not posted",IF(U345&lt;&gt;"","⚠ "&amp;U345,IF(V345=1,"✓ OK","")))</f>
        <v/>
      </c>
      <c r="R345" s="67">
        <f>IF(AND(B345="",C345="",D345="",G345="",F345=""),1,0)</f>
        <v/>
      </c>
      <c r="S345" s="68">
        <f>IF(AND(TaxOn="Yes",ISNUMBER(H345)),H345,0)</f>
        <v/>
      </c>
      <c r="T345" s="67">
        <f>IF(R345=1,"",IF(B345="","Enter an invoice #",IF(C345="","Missing invoice date",IF(NOT(ISNUMBER(C345)),"Invalid date",IF(OR(C345&lt;DATE(2000,1,1),C345&gt;DATE(2099,12,31)),"Invalid date",IF(F345="","Select a revenue account",IF(ISNA(MATCH(F345,coa_Name,0)),"Unknown account: "&amp;F345,IF(NOT(ISNUMBER(G345)),"Enter an amount",IF(G345&lt;=0,"Amount must be positive",IF(S345&gt;G345,"Tax is larger than the amount",""))))))))))</f>
        <v/>
      </c>
      <c r="U345" s="67">
        <f>IF(OR(R345=1,T345&lt;&gt;""),"",IF(COUNTIF(ar_No,B345)&gt;1,"Duplicate invoice #",IF(D345="","Select a customer",IF(N(L345)&lt;0,"Overpaid by "&amp;TEXT(-L345,"#,##0.00"),IF(AND(ISNUMBER(H345),N(H345)&lt;&gt;0,S345=0),"Tax ignored (tax tracking is off)",IF(AND(ISNUMBER(StartDate),C345&lt;StartDate),"Date is before the accounting start date",IF(AND(IFERROR(INDEX(coa_Type,MATCH(F345,coa_Name,0)),"")&lt;&gt;"Revenue",IFERROR(INDEX(coa_Type,MATCH(F345,coa_Name,0)),"")&lt;&gt;"Other Income"),"Account is not a revenue account","")))))))</f>
        <v/>
      </c>
      <c r="V345" s="67">
        <f>IF(AND(R345=0,T345=""),1,0)</f>
        <v/>
      </c>
      <c r="W345" s="67">
        <f>IF(V345=1,acctAR,"")</f>
        <v/>
      </c>
      <c r="X345" s="67">
        <f>IF(V345=1,F345,"")</f>
        <v/>
      </c>
      <c r="Y345" s="68">
        <f>IF(V345=1,G345,0)</f>
        <v/>
      </c>
      <c r="Z345" s="68">
        <f>IF(V345=1,G345-S345,0)</f>
        <v/>
      </c>
      <c r="AA345" s="68">
        <f>IF(V345=1,S345,0)</f>
        <v/>
      </c>
    </row>
    <row r="346">
      <c r="B346" s="62" t="n"/>
      <c r="C346" s="63" t="n"/>
      <c r="D346" s="62" t="n"/>
      <c r="E346" s="62" t="n"/>
      <c r="F346" s="62" t="n"/>
      <c r="G346" s="64" t="n"/>
      <c r="H346" s="64" t="n"/>
      <c r="I346" s="63" t="n"/>
      <c r="J346" s="29">
        <f>IF(V346=1,IF(ISNUMBER(I346),I346,C346+IF(ISNUMBER(IFERROR(INDEX(cust_Terms,MATCH(D346,cust_Name,0)),"")),INDEX(cust_Terms,MATCH(D346,cust_Name,0)),TermsDays)),"")</f>
        <v/>
      </c>
      <c r="K346" s="65">
        <f>IF(V346=1,SUMIFS(tx_DrAmt,tx_Type,"Customer Payment",tx_Ref,B346&amp;"",tx_Date,"&lt;="&amp;AsOf),"")</f>
        <v/>
      </c>
      <c r="L346" s="65">
        <f>IF(V346=1,IF(C346&gt;AsOf,0,ROUND(G346-K346,2)),"")</f>
        <v/>
      </c>
      <c r="M346" s="66">
        <f>IF(V346&lt;&gt;1,"",IF(C346&gt;AsOf,"Future",IF(L346&lt;0,"Overpaid",IF(L346=0,"Paid",IF(AsOf&gt;J346,"Overdue",IF(K346&gt;0,"Partial","Unpaid"))))))</f>
        <v/>
      </c>
      <c r="N346" s="28">
        <f>IF(AND(V346=1,N(L346)&gt;0),AsOf-C346,"")</f>
        <v/>
      </c>
      <c r="O346" s="28">
        <f>IF(N346="","",MAX(0,AsOf-J346))</f>
        <v/>
      </c>
      <c r="P346" s="66">
        <f>IF(O346="","",IF(O346=0,"Current",IF(O346&lt;=30,"1-30",IF(O346&lt;=60,"31-60",IF(O346&lt;=90,"61-90","90+")))))</f>
        <v/>
      </c>
      <c r="Q346" s="66">
        <f>IF(T346&lt;&gt;"","⛔ "&amp;T346&amp;" — not posted",IF(U346&lt;&gt;"","⚠ "&amp;U346,IF(V346=1,"✓ OK","")))</f>
        <v/>
      </c>
      <c r="R346" s="67">
        <f>IF(AND(B346="",C346="",D346="",G346="",F346=""),1,0)</f>
        <v/>
      </c>
      <c r="S346" s="68">
        <f>IF(AND(TaxOn="Yes",ISNUMBER(H346)),H346,0)</f>
        <v/>
      </c>
      <c r="T346" s="67">
        <f>IF(R346=1,"",IF(B346="","Enter an invoice #",IF(C346="","Missing invoice date",IF(NOT(ISNUMBER(C346)),"Invalid date",IF(OR(C346&lt;DATE(2000,1,1),C346&gt;DATE(2099,12,31)),"Invalid date",IF(F346="","Select a revenue account",IF(ISNA(MATCH(F346,coa_Name,0)),"Unknown account: "&amp;F346,IF(NOT(ISNUMBER(G346)),"Enter an amount",IF(G346&lt;=0,"Amount must be positive",IF(S346&gt;G346,"Tax is larger than the amount",""))))))))))</f>
        <v/>
      </c>
      <c r="U346" s="67">
        <f>IF(OR(R346=1,T346&lt;&gt;""),"",IF(COUNTIF(ar_No,B346)&gt;1,"Duplicate invoice #",IF(D346="","Select a customer",IF(N(L346)&lt;0,"Overpaid by "&amp;TEXT(-L346,"#,##0.00"),IF(AND(ISNUMBER(H346),N(H346)&lt;&gt;0,S346=0),"Tax ignored (tax tracking is off)",IF(AND(ISNUMBER(StartDate),C346&lt;StartDate),"Date is before the accounting start date",IF(AND(IFERROR(INDEX(coa_Type,MATCH(F346,coa_Name,0)),"")&lt;&gt;"Revenue",IFERROR(INDEX(coa_Type,MATCH(F346,coa_Name,0)),"")&lt;&gt;"Other Income"),"Account is not a revenue account","")))))))</f>
        <v/>
      </c>
      <c r="V346" s="67">
        <f>IF(AND(R346=0,T346=""),1,0)</f>
        <v/>
      </c>
      <c r="W346" s="67">
        <f>IF(V346=1,acctAR,"")</f>
        <v/>
      </c>
      <c r="X346" s="67">
        <f>IF(V346=1,F346,"")</f>
        <v/>
      </c>
      <c r="Y346" s="68">
        <f>IF(V346=1,G346,0)</f>
        <v/>
      </c>
      <c r="Z346" s="68">
        <f>IF(V346=1,G346-S346,0)</f>
        <v/>
      </c>
      <c r="AA346" s="68">
        <f>IF(V346=1,S346,0)</f>
        <v/>
      </c>
    </row>
    <row r="347">
      <c r="B347" s="62" t="n"/>
      <c r="C347" s="63" t="n"/>
      <c r="D347" s="62" t="n"/>
      <c r="E347" s="62" t="n"/>
      <c r="F347" s="62" t="n"/>
      <c r="G347" s="64" t="n"/>
      <c r="H347" s="64" t="n"/>
      <c r="I347" s="63" t="n"/>
      <c r="J347" s="29">
        <f>IF(V347=1,IF(ISNUMBER(I347),I347,C347+IF(ISNUMBER(IFERROR(INDEX(cust_Terms,MATCH(D347,cust_Name,0)),"")),INDEX(cust_Terms,MATCH(D347,cust_Name,0)),TermsDays)),"")</f>
        <v/>
      </c>
      <c r="K347" s="65">
        <f>IF(V347=1,SUMIFS(tx_DrAmt,tx_Type,"Customer Payment",tx_Ref,B347&amp;"",tx_Date,"&lt;="&amp;AsOf),"")</f>
        <v/>
      </c>
      <c r="L347" s="65">
        <f>IF(V347=1,IF(C347&gt;AsOf,0,ROUND(G347-K347,2)),"")</f>
        <v/>
      </c>
      <c r="M347" s="66">
        <f>IF(V347&lt;&gt;1,"",IF(C347&gt;AsOf,"Future",IF(L347&lt;0,"Overpaid",IF(L347=0,"Paid",IF(AsOf&gt;J347,"Overdue",IF(K347&gt;0,"Partial","Unpaid"))))))</f>
        <v/>
      </c>
      <c r="N347" s="28">
        <f>IF(AND(V347=1,N(L347)&gt;0),AsOf-C347,"")</f>
        <v/>
      </c>
      <c r="O347" s="28">
        <f>IF(N347="","",MAX(0,AsOf-J347))</f>
        <v/>
      </c>
      <c r="P347" s="66">
        <f>IF(O347="","",IF(O347=0,"Current",IF(O347&lt;=30,"1-30",IF(O347&lt;=60,"31-60",IF(O347&lt;=90,"61-90","90+")))))</f>
        <v/>
      </c>
      <c r="Q347" s="66">
        <f>IF(T347&lt;&gt;"","⛔ "&amp;T347&amp;" — not posted",IF(U347&lt;&gt;"","⚠ "&amp;U347,IF(V347=1,"✓ OK","")))</f>
        <v/>
      </c>
      <c r="R347" s="67">
        <f>IF(AND(B347="",C347="",D347="",G347="",F347=""),1,0)</f>
        <v/>
      </c>
      <c r="S347" s="68">
        <f>IF(AND(TaxOn="Yes",ISNUMBER(H347)),H347,0)</f>
        <v/>
      </c>
      <c r="T347" s="67">
        <f>IF(R347=1,"",IF(B347="","Enter an invoice #",IF(C347="","Missing invoice date",IF(NOT(ISNUMBER(C347)),"Invalid date",IF(OR(C347&lt;DATE(2000,1,1),C347&gt;DATE(2099,12,31)),"Invalid date",IF(F347="","Select a revenue account",IF(ISNA(MATCH(F347,coa_Name,0)),"Unknown account: "&amp;F347,IF(NOT(ISNUMBER(G347)),"Enter an amount",IF(G347&lt;=0,"Amount must be positive",IF(S347&gt;G347,"Tax is larger than the amount",""))))))))))</f>
        <v/>
      </c>
      <c r="U347" s="67">
        <f>IF(OR(R347=1,T347&lt;&gt;""),"",IF(COUNTIF(ar_No,B347)&gt;1,"Duplicate invoice #",IF(D347="","Select a customer",IF(N(L347)&lt;0,"Overpaid by "&amp;TEXT(-L347,"#,##0.00"),IF(AND(ISNUMBER(H347),N(H347)&lt;&gt;0,S347=0),"Tax ignored (tax tracking is off)",IF(AND(ISNUMBER(StartDate),C347&lt;StartDate),"Date is before the accounting start date",IF(AND(IFERROR(INDEX(coa_Type,MATCH(F347,coa_Name,0)),"")&lt;&gt;"Revenue",IFERROR(INDEX(coa_Type,MATCH(F347,coa_Name,0)),"")&lt;&gt;"Other Income"),"Account is not a revenue account","")))))))</f>
        <v/>
      </c>
      <c r="V347" s="67">
        <f>IF(AND(R347=0,T347=""),1,0)</f>
        <v/>
      </c>
      <c r="W347" s="67">
        <f>IF(V347=1,acctAR,"")</f>
        <v/>
      </c>
      <c r="X347" s="67">
        <f>IF(V347=1,F347,"")</f>
        <v/>
      </c>
      <c r="Y347" s="68">
        <f>IF(V347=1,G347,0)</f>
        <v/>
      </c>
      <c r="Z347" s="68">
        <f>IF(V347=1,G347-S347,0)</f>
        <v/>
      </c>
      <c r="AA347" s="68">
        <f>IF(V347=1,S347,0)</f>
        <v/>
      </c>
    </row>
    <row r="348">
      <c r="B348" s="62" t="n"/>
      <c r="C348" s="63" t="n"/>
      <c r="D348" s="62" t="n"/>
      <c r="E348" s="62" t="n"/>
      <c r="F348" s="62" t="n"/>
      <c r="G348" s="64" t="n"/>
      <c r="H348" s="64" t="n"/>
      <c r="I348" s="63" t="n"/>
      <c r="J348" s="29">
        <f>IF(V348=1,IF(ISNUMBER(I348),I348,C348+IF(ISNUMBER(IFERROR(INDEX(cust_Terms,MATCH(D348,cust_Name,0)),"")),INDEX(cust_Terms,MATCH(D348,cust_Name,0)),TermsDays)),"")</f>
        <v/>
      </c>
      <c r="K348" s="65">
        <f>IF(V348=1,SUMIFS(tx_DrAmt,tx_Type,"Customer Payment",tx_Ref,B348&amp;"",tx_Date,"&lt;="&amp;AsOf),"")</f>
        <v/>
      </c>
      <c r="L348" s="65">
        <f>IF(V348=1,IF(C348&gt;AsOf,0,ROUND(G348-K348,2)),"")</f>
        <v/>
      </c>
      <c r="M348" s="66">
        <f>IF(V348&lt;&gt;1,"",IF(C348&gt;AsOf,"Future",IF(L348&lt;0,"Overpaid",IF(L348=0,"Paid",IF(AsOf&gt;J348,"Overdue",IF(K348&gt;0,"Partial","Unpaid"))))))</f>
        <v/>
      </c>
      <c r="N348" s="28">
        <f>IF(AND(V348=1,N(L348)&gt;0),AsOf-C348,"")</f>
        <v/>
      </c>
      <c r="O348" s="28">
        <f>IF(N348="","",MAX(0,AsOf-J348))</f>
        <v/>
      </c>
      <c r="P348" s="66">
        <f>IF(O348="","",IF(O348=0,"Current",IF(O348&lt;=30,"1-30",IF(O348&lt;=60,"31-60",IF(O348&lt;=90,"61-90","90+")))))</f>
        <v/>
      </c>
      <c r="Q348" s="66">
        <f>IF(T348&lt;&gt;"","⛔ "&amp;T348&amp;" — not posted",IF(U348&lt;&gt;"","⚠ "&amp;U348,IF(V348=1,"✓ OK","")))</f>
        <v/>
      </c>
      <c r="R348" s="67">
        <f>IF(AND(B348="",C348="",D348="",G348="",F348=""),1,0)</f>
        <v/>
      </c>
      <c r="S348" s="68">
        <f>IF(AND(TaxOn="Yes",ISNUMBER(H348)),H348,0)</f>
        <v/>
      </c>
      <c r="T348" s="67">
        <f>IF(R348=1,"",IF(B348="","Enter an invoice #",IF(C348="","Missing invoice date",IF(NOT(ISNUMBER(C348)),"Invalid date",IF(OR(C348&lt;DATE(2000,1,1),C348&gt;DATE(2099,12,31)),"Invalid date",IF(F348="","Select a revenue account",IF(ISNA(MATCH(F348,coa_Name,0)),"Unknown account: "&amp;F348,IF(NOT(ISNUMBER(G348)),"Enter an amount",IF(G348&lt;=0,"Amount must be positive",IF(S348&gt;G348,"Tax is larger than the amount",""))))))))))</f>
        <v/>
      </c>
      <c r="U348" s="67">
        <f>IF(OR(R348=1,T348&lt;&gt;""),"",IF(COUNTIF(ar_No,B348)&gt;1,"Duplicate invoice #",IF(D348="","Select a customer",IF(N(L348)&lt;0,"Overpaid by "&amp;TEXT(-L348,"#,##0.00"),IF(AND(ISNUMBER(H348),N(H348)&lt;&gt;0,S348=0),"Tax ignored (tax tracking is off)",IF(AND(ISNUMBER(StartDate),C348&lt;StartDate),"Date is before the accounting start date",IF(AND(IFERROR(INDEX(coa_Type,MATCH(F348,coa_Name,0)),"")&lt;&gt;"Revenue",IFERROR(INDEX(coa_Type,MATCH(F348,coa_Name,0)),"")&lt;&gt;"Other Income"),"Account is not a revenue account","")))))))</f>
        <v/>
      </c>
      <c r="V348" s="67">
        <f>IF(AND(R348=0,T348=""),1,0)</f>
        <v/>
      </c>
      <c r="W348" s="67">
        <f>IF(V348=1,acctAR,"")</f>
        <v/>
      </c>
      <c r="X348" s="67">
        <f>IF(V348=1,F348,"")</f>
        <v/>
      </c>
      <c r="Y348" s="68">
        <f>IF(V348=1,G348,0)</f>
        <v/>
      </c>
      <c r="Z348" s="68">
        <f>IF(V348=1,G348-S348,0)</f>
        <v/>
      </c>
      <c r="AA348" s="68">
        <f>IF(V348=1,S348,0)</f>
        <v/>
      </c>
    </row>
    <row r="349">
      <c r="B349" s="62" t="n"/>
      <c r="C349" s="63" t="n"/>
      <c r="D349" s="62" t="n"/>
      <c r="E349" s="62" t="n"/>
      <c r="F349" s="62" t="n"/>
      <c r="G349" s="64" t="n"/>
      <c r="H349" s="64" t="n"/>
      <c r="I349" s="63" t="n"/>
      <c r="J349" s="29">
        <f>IF(V349=1,IF(ISNUMBER(I349),I349,C349+IF(ISNUMBER(IFERROR(INDEX(cust_Terms,MATCH(D349,cust_Name,0)),"")),INDEX(cust_Terms,MATCH(D349,cust_Name,0)),TermsDays)),"")</f>
        <v/>
      </c>
      <c r="K349" s="65">
        <f>IF(V349=1,SUMIFS(tx_DrAmt,tx_Type,"Customer Payment",tx_Ref,B349&amp;"",tx_Date,"&lt;="&amp;AsOf),"")</f>
        <v/>
      </c>
      <c r="L349" s="65">
        <f>IF(V349=1,IF(C349&gt;AsOf,0,ROUND(G349-K349,2)),"")</f>
        <v/>
      </c>
      <c r="M349" s="66">
        <f>IF(V349&lt;&gt;1,"",IF(C349&gt;AsOf,"Future",IF(L349&lt;0,"Overpaid",IF(L349=0,"Paid",IF(AsOf&gt;J349,"Overdue",IF(K349&gt;0,"Partial","Unpaid"))))))</f>
        <v/>
      </c>
      <c r="N349" s="28">
        <f>IF(AND(V349=1,N(L349)&gt;0),AsOf-C349,"")</f>
        <v/>
      </c>
      <c r="O349" s="28">
        <f>IF(N349="","",MAX(0,AsOf-J349))</f>
        <v/>
      </c>
      <c r="P349" s="66">
        <f>IF(O349="","",IF(O349=0,"Current",IF(O349&lt;=30,"1-30",IF(O349&lt;=60,"31-60",IF(O349&lt;=90,"61-90","90+")))))</f>
        <v/>
      </c>
      <c r="Q349" s="66">
        <f>IF(T349&lt;&gt;"","⛔ "&amp;T349&amp;" — not posted",IF(U349&lt;&gt;"","⚠ "&amp;U349,IF(V349=1,"✓ OK","")))</f>
        <v/>
      </c>
      <c r="R349" s="67">
        <f>IF(AND(B349="",C349="",D349="",G349="",F349=""),1,0)</f>
        <v/>
      </c>
      <c r="S349" s="68">
        <f>IF(AND(TaxOn="Yes",ISNUMBER(H349)),H349,0)</f>
        <v/>
      </c>
      <c r="T349" s="67">
        <f>IF(R349=1,"",IF(B349="","Enter an invoice #",IF(C349="","Missing invoice date",IF(NOT(ISNUMBER(C349)),"Invalid date",IF(OR(C349&lt;DATE(2000,1,1),C349&gt;DATE(2099,12,31)),"Invalid date",IF(F349="","Select a revenue account",IF(ISNA(MATCH(F349,coa_Name,0)),"Unknown account: "&amp;F349,IF(NOT(ISNUMBER(G349)),"Enter an amount",IF(G349&lt;=0,"Amount must be positive",IF(S349&gt;G349,"Tax is larger than the amount",""))))))))))</f>
        <v/>
      </c>
      <c r="U349" s="67">
        <f>IF(OR(R349=1,T349&lt;&gt;""),"",IF(COUNTIF(ar_No,B349)&gt;1,"Duplicate invoice #",IF(D349="","Select a customer",IF(N(L349)&lt;0,"Overpaid by "&amp;TEXT(-L349,"#,##0.00"),IF(AND(ISNUMBER(H349),N(H349)&lt;&gt;0,S349=0),"Tax ignored (tax tracking is off)",IF(AND(ISNUMBER(StartDate),C349&lt;StartDate),"Date is before the accounting start date",IF(AND(IFERROR(INDEX(coa_Type,MATCH(F349,coa_Name,0)),"")&lt;&gt;"Revenue",IFERROR(INDEX(coa_Type,MATCH(F349,coa_Name,0)),"")&lt;&gt;"Other Income"),"Account is not a revenue account","")))))))</f>
        <v/>
      </c>
      <c r="V349" s="67">
        <f>IF(AND(R349=0,T349=""),1,0)</f>
        <v/>
      </c>
      <c r="W349" s="67">
        <f>IF(V349=1,acctAR,"")</f>
        <v/>
      </c>
      <c r="X349" s="67">
        <f>IF(V349=1,F349,"")</f>
        <v/>
      </c>
      <c r="Y349" s="68">
        <f>IF(V349=1,G349,0)</f>
        <v/>
      </c>
      <c r="Z349" s="68">
        <f>IF(V349=1,G349-S349,0)</f>
        <v/>
      </c>
      <c r="AA349" s="68">
        <f>IF(V349=1,S349,0)</f>
        <v/>
      </c>
    </row>
    <row r="350">
      <c r="B350" s="62" t="n"/>
      <c r="C350" s="63" t="n"/>
      <c r="D350" s="62" t="n"/>
      <c r="E350" s="62" t="n"/>
      <c r="F350" s="62" t="n"/>
      <c r="G350" s="64" t="n"/>
      <c r="H350" s="64" t="n"/>
      <c r="I350" s="63" t="n"/>
      <c r="J350" s="29">
        <f>IF(V350=1,IF(ISNUMBER(I350),I350,C350+IF(ISNUMBER(IFERROR(INDEX(cust_Terms,MATCH(D350,cust_Name,0)),"")),INDEX(cust_Terms,MATCH(D350,cust_Name,0)),TermsDays)),"")</f>
        <v/>
      </c>
      <c r="K350" s="65">
        <f>IF(V350=1,SUMIFS(tx_DrAmt,tx_Type,"Customer Payment",tx_Ref,B350&amp;"",tx_Date,"&lt;="&amp;AsOf),"")</f>
        <v/>
      </c>
      <c r="L350" s="65">
        <f>IF(V350=1,IF(C350&gt;AsOf,0,ROUND(G350-K350,2)),"")</f>
        <v/>
      </c>
      <c r="M350" s="66">
        <f>IF(V350&lt;&gt;1,"",IF(C350&gt;AsOf,"Future",IF(L350&lt;0,"Overpaid",IF(L350=0,"Paid",IF(AsOf&gt;J350,"Overdue",IF(K350&gt;0,"Partial","Unpaid"))))))</f>
        <v/>
      </c>
      <c r="N350" s="28">
        <f>IF(AND(V350=1,N(L350)&gt;0),AsOf-C350,"")</f>
        <v/>
      </c>
      <c r="O350" s="28">
        <f>IF(N350="","",MAX(0,AsOf-J350))</f>
        <v/>
      </c>
      <c r="P350" s="66">
        <f>IF(O350="","",IF(O350=0,"Current",IF(O350&lt;=30,"1-30",IF(O350&lt;=60,"31-60",IF(O350&lt;=90,"61-90","90+")))))</f>
        <v/>
      </c>
      <c r="Q350" s="66">
        <f>IF(T350&lt;&gt;"","⛔ "&amp;T350&amp;" — not posted",IF(U350&lt;&gt;"","⚠ "&amp;U350,IF(V350=1,"✓ OK","")))</f>
        <v/>
      </c>
      <c r="R350" s="67">
        <f>IF(AND(B350="",C350="",D350="",G350="",F350=""),1,0)</f>
        <v/>
      </c>
      <c r="S350" s="68">
        <f>IF(AND(TaxOn="Yes",ISNUMBER(H350)),H350,0)</f>
        <v/>
      </c>
      <c r="T350" s="67">
        <f>IF(R350=1,"",IF(B350="","Enter an invoice #",IF(C350="","Missing invoice date",IF(NOT(ISNUMBER(C350)),"Invalid date",IF(OR(C350&lt;DATE(2000,1,1),C350&gt;DATE(2099,12,31)),"Invalid date",IF(F350="","Select a revenue account",IF(ISNA(MATCH(F350,coa_Name,0)),"Unknown account: "&amp;F350,IF(NOT(ISNUMBER(G350)),"Enter an amount",IF(G350&lt;=0,"Amount must be positive",IF(S350&gt;G350,"Tax is larger than the amount",""))))))))))</f>
        <v/>
      </c>
      <c r="U350" s="67">
        <f>IF(OR(R350=1,T350&lt;&gt;""),"",IF(COUNTIF(ar_No,B350)&gt;1,"Duplicate invoice #",IF(D350="","Select a customer",IF(N(L350)&lt;0,"Overpaid by "&amp;TEXT(-L350,"#,##0.00"),IF(AND(ISNUMBER(H350),N(H350)&lt;&gt;0,S350=0),"Tax ignored (tax tracking is off)",IF(AND(ISNUMBER(StartDate),C350&lt;StartDate),"Date is before the accounting start date",IF(AND(IFERROR(INDEX(coa_Type,MATCH(F350,coa_Name,0)),"")&lt;&gt;"Revenue",IFERROR(INDEX(coa_Type,MATCH(F350,coa_Name,0)),"")&lt;&gt;"Other Income"),"Account is not a revenue account","")))))))</f>
        <v/>
      </c>
      <c r="V350" s="67">
        <f>IF(AND(R350=0,T350=""),1,0)</f>
        <v/>
      </c>
      <c r="W350" s="67">
        <f>IF(V350=1,acctAR,"")</f>
        <v/>
      </c>
      <c r="X350" s="67">
        <f>IF(V350=1,F350,"")</f>
        <v/>
      </c>
      <c r="Y350" s="68">
        <f>IF(V350=1,G350,0)</f>
        <v/>
      </c>
      <c r="Z350" s="68">
        <f>IF(V350=1,G350-S350,0)</f>
        <v/>
      </c>
      <c r="AA350" s="68">
        <f>IF(V350=1,S350,0)</f>
        <v/>
      </c>
    </row>
    <row r="351">
      <c r="B351" s="62" t="n"/>
      <c r="C351" s="63" t="n"/>
      <c r="D351" s="62" t="n"/>
      <c r="E351" s="62" t="n"/>
      <c r="F351" s="62" t="n"/>
      <c r="G351" s="64" t="n"/>
      <c r="H351" s="64" t="n"/>
      <c r="I351" s="63" t="n"/>
      <c r="J351" s="29">
        <f>IF(V351=1,IF(ISNUMBER(I351),I351,C351+IF(ISNUMBER(IFERROR(INDEX(cust_Terms,MATCH(D351,cust_Name,0)),"")),INDEX(cust_Terms,MATCH(D351,cust_Name,0)),TermsDays)),"")</f>
        <v/>
      </c>
      <c r="K351" s="65">
        <f>IF(V351=1,SUMIFS(tx_DrAmt,tx_Type,"Customer Payment",tx_Ref,B351&amp;"",tx_Date,"&lt;="&amp;AsOf),"")</f>
        <v/>
      </c>
      <c r="L351" s="65">
        <f>IF(V351=1,IF(C351&gt;AsOf,0,ROUND(G351-K351,2)),"")</f>
        <v/>
      </c>
      <c r="M351" s="66">
        <f>IF(V351&lt;&gt;1,"",IF(C351&gt;AsOf,"Future",IF(L351&lt;0,"Overpaid",IF(L351=0,"Paid",IF(AsOf&gt;J351,"Overdue",IF(K351&gt;0,"Partial","Unpaid"))))))</f>
        <v/>
      </c>
      <c r="N351" s="28">
        <f>IF(AND(V351=1,N(L351)&gt;0),AsOf-C351,"")</f>
        <v/>
      </c>
      <c r="O351" s="28">
        <f>IF(N351="","",MAX(0,AsOf-J351))</f>
        <v/>
      </c>
      <c r="P351" s="66">
        <f>IF(O351="","",IF(O351=0,"Current",IF(O351&lt;=30,"1-30",IF(O351&lt;=60,"31-60",IF(O351&lt;=90,"61-90","90+")))))</f>
        <v/>
      </c>
      <c r="Q351" s="66">
        <f>IF(T351&lt;&gt;"","⛔ "&amp;T351&amp;" — not posted",IF(U351&lt;&gt;"","⚠ "&amp;U351,IF(V351=1,"✓ OK","")))</f>
        <v/>
      </c>
      <c r="R351" s="67">
        <f>IF(AND(B351="",C351="",D351="",G351="",F351=""),1,0)</f>
        <v/>
      </c>
      <c r="S351" s="68">
        <f>IF(AND(TaxOn="Yes",ISNUMBER(H351)),H351,0)</f>
        <v/>
      </c>
      <c r="T351" s="67">
        <f>IF(R351=1,"",IF(B351="","Enter an invoice #",IF(C351="","Missing invoice date",IF(NOT(ISNUMBER(C351)),"Invalid date",IF(OR(C351&lt;DATE(2000,1,1),C351&gt;DATE(2099,12,31)),"Invalid date",IF(F351="","Select a revenue account",IF(ISNA(MATCH(F351,coa_Name,0)),"Unknown account: "&amp;F351,IF(NOT(ISNUMBER(G351)),"Enter an amount",IF(G351&lt;=0,"Amount must be positive",IF(S351&gt;G351,"Tax is larger than the amount",""))))))))))</f>
        <v/>
      </c>
      <c r="U351" s="67">
        <f>IF(OR(R351=1,T351&lt;&gt;""),"",IF(COUNTIF(ar_No,B351)&gt;1,"Duplicate invoice #",IF(D351="","Select a customer",IF(N(L351)&lt;0,"Overpaid by "&amp;TEXT(-L351,"#,##0.00"),IF(AND(ISNUMBER(H351),N(H351)&lt;&gt;0,S351=0),"Tax ignored (tax tracking is off)",IF(AND(ISNUMBER(StartDate),C351&lt;StartDate),"Date is before the accounting start date",IF(AND(IFERROR(INDEX(coa_Type,MATCH(F351,coa_Name,0)),"")&lt;&gt;"Revenue",IFERROR(INDEX(coa_Type,MATCH(F351,coa_Name,0)),"")&lt;&gt;"Other Income"),"Account is not a revenue account","")))))))</f>
        <v/>
      </c>
      <c r="V351" s="67">
        <f>IF(AND(R351=0,T351=""),1,0)</f>
        <v/>
      </c>
      <c r="W351" s="67">
        <f>IF(V351=1,acctAR,"")</f>
        <v/>
      </c>
      <c r="X351" s="67">
        <f>IF(V351=1,F351,"")</f>
        <v/>
      </c>
      <c r="Y351" s="68">
        <f>IF(V351=1,G351,0)</f>
        <v/>
      </c>
      <c r="Z351" s="68">
        <f>IF(V351=1,G351-S351,0)</f>
        <v/>
      </c>
      <c r="AA351" s="68">
        <f>IF(V351=1,S351,0)</f>
        <v/>
      </c>
    </row>
    <row r="352">
      <c r="B352" s="62" t="n"/>
      <c r="C352" s="63" t="n"/>
      <c r="D352" s="62" t="n"/>
      <c r="E352" s="62" t="n"/>
      <c r="F352" s="62" t="n"/>
      <c r="G352" s="64" t="n"/>
      <c r="H352" s="64" t="n"/>
      <c r="I352" s="63" t="n"/>
      <c r="J352" s="29">
        <f>IF(V352=1,IF(ISNUMBER(I352),I352,C352+IF(ISNUMBER(IFERROR(INDEX(cust_Terms,MATCH(D352,cust_Name,0)),"")),INDEX(cust_Terms,MATCH(D352,cust_Name,0)),TermsDays)),"")</f>
        <v/>
      </c>
      <c r="K352" s="65">
        <f>IF(V352=1,SUMIFS(tx_DrAmt,tx_Type,"Customer Payment",tx_Ref,B352&amp;"",tx_Date,"&lt;="&amp;AsOf),"")</f>
        <v/>
      </c>
      <c r="L352" s="65">
        <f>IF(V352=1,IF(C352&gt;AsOf,0,ROUND(G352-K352,2)),"")</f>
        <v/>
      </c>
      <c r="M352" s="66">
        <f>IF(V352&lt;&gt;1,"",IF(C352&gt;AsOf,"Future",IF(L352&lt;0,"Overpaid",IF(L352=0,"Paid",IF(AsOf&gt;J352,"Overdue",IF(K352&gt;0,"Partial","Unpaid"))))))</f>
        <v/>
      </c>
      <c r="N352" s="28">
        <f>IF(AND(V352=1,N(L352)&gt;0),AsOf-C352,"")</f>
        <v/>
      </c>
      <c r="O352" s="28">
        <f>IF(N352="","",MAX(0,AsOf-J352))</f>
        <v/>
      </c>
      <c r="P352" s="66">
        <f>IF(O352="","",IF(O352=0,"Current",IF(O352&lt;=30,"1-30",IF(O352&lt;=60,"31-60",IF(O352&lt;=90,"61-90","90+")))))</f>
        <v/>
      </c>
      <c r="Q352" s="66">
        <f>IF(T352&lt;&gt;"","⛔ "&amp;T352&amp;" — not posted",IF(U352&lt;&gt;"","⚠ "&amp;U352,IF(V352=1,"✓ OK","")))</f>
        <v/>
      </c>
      <c r="R352" s="67">
        <f>IF(AND(B352="",C352="",D352="",G352="",F352=""),1,0)</f>
        <v/>
      </c>
      <c r="S352" s="68">
        <f>IF(AND(TaxOn="Yes",ISNUMBER(H352)),H352,0)</f>
        <v/>
      </c>
      <c r="T352" s="67">
        <f>IF(R352=1,"",IF(B352="","Enter an invoice #",IF(C352="","Missing invoice date",IF(NOT(ISNUMBER(C352)),"Invalid date",IF(OR(C352&lt;DATE(2000,1,1),C352&gt;DATE(2099,12,31)),"Invalid date",IF(F352="","Select a revenue account",IF(ISNA(MATCH(F352,coa_Name,0)),"Unknown account: "&amp;F352,IF(NOT(ISNUMBER(G352)),"Enter an amount",IF(G352&lt;=0,"Amount must be positive",IF(S352&gt;G352,"Tax is larger than the amount",""))))))))))</f>
        <v/>
      </c>
      <c r="U352" s="67">
        <f>IF(OR(R352=1,T352&lt;&gt;""),"",IF(COUNTIF(ar_No,B352)&gt;1,"Duplicate invoice #",IF(D352="","Select a customer",IF(N(L352)&lt;0,"Overpaid by "&amp;TEXT(-L352,"#,##0.00"),IF(AND(ISNUMBER(H352),N(H352)&lt;&gt;0,S352=0),"Tax ignored (tax tracking is off)",IF(AND(ISNUMBER(StartDate),C352&lt;StartDate),"Date is before the accounting start date",IF(AND(IFERROR(INDEX(coa_Type,MATCH(F352,coa_Name,0)),"")&lt;&gt;"Revenue",IFERROR(INDEX(coa_Type,MATCH(F352,coa_Name,0)),"")&lt;&gt;"Other Income"),"Account is not a revenue account","")))))))</f>
        <v/>
      </c>
      <c r="V352" s="67">
        <f>IF(AND(R352=0,T352=""),1,0)</f>
        <v/>
      </c>
      <c r="W352" s="67">
        <f>IF(V352=1,acctAR,"")</f>
        <v/>
      </c>
      <c r="X352" s="67">
        <f>IF(V352=1,F352,"")</f>
        <v/>
      </c>
      <c r="Y352" s="68">
        <f>IF(V352=1,G352,0)</f>
        <v/>
      </c>
      <c r="Z352" s="68">
        <f>IF(V352=1,G352-S352,0)</f>
        <v/>
      </c>
      <c r="AA352" s="68">
        <f>IF(V352=1,S352,0)</f>
        <v/>
      </c>
    </row>
    <row r="353">
      <c r="B353" s="62" t="n"/>
      <c r="C353" s="63" t="n"/>
      <c r="D353" s="62" t="n"/>
      <c r="E353" s="62" t="n"/>
      <c r="F353" s="62" t="n"/>
      <c r="G353" s="64" t="n"/>
      <c r="H353" s="64" t="n"/>
      <c r="I353" s="63" t="n"/>
      <c r="J353" s="29">
        <f>IF(V353=1,IF(ISNUMBER(I353),I353,C353+IF(ISNUMBER(IFERROR(INDEX(cust_Terms,MATCH(D353,cust_Name,0)),"")),INDEX(cust_Terms,MATCH(D353,cust_Name,0)),TermsDays)),"")</f>
        <v/>
      </c>
      <c r="K353" s="65">
        <f>IF(V353=1,SUMIFS(tx_DrAmt,tx_Type,"Customer Payment",tx_Ref,B353&amp;"",tx_Date,"&lt;="&amp;AsOf),"")</f>
        <v/>
      </c>
      <c r="L353" s="65">
        <f>IF(V353=1,IF(C353&gt;AsOf,0,ROUND(G353-K353,2)),"")</f>
        <v/>
      </c>
      <c r="M353" s="66">
        <f>IF(V353&lt;&gt;1,"",IF(C353&gt;AsOf,"Future",IF(L353&lt;0,"Overpaid",IF(L353=0,"Paid",IF(AsOf&gt;J353,"Overdue",IF(K353&gt;0,"Partial","Unpaid"))))))</f>
        <v/>
      </c>
      <c r="N353" s="28">
        <f>IF(AND(V353=1,N(L353)&gt;0),AsOf-C353,"")</f>
        <v/>
      </c>
      <c r="O353" s="28">
        <f>IF(N353="","",MAX(0,AsOf-J353))</f>
        <v/>
      </c>
      <c r="P353" s="66">
        <f>IF(O353="","",IF(O353=0,"Current",IF(O353&lt;=30,"1-30",IF(O353&lt;=60,"31-60",IF(O353&lt;=90,"61-90","90+")))))</f>
        <v/>
      </c>
      <c r="Q353" s="66">
        <f>IF(T353&lt;&gt;"","⛔ "&amp;T353&amp;" — not posted",IF(U353&lt;&gt;"","⚠ "&amp;U353,IF(V353=1,"✓ OK","")))</f>
        <v/>
      </c>
      <c r="R353" s="67">
        <f>IF(AND(B353="",C353="",D353="",G353="",F353=""),1,0)</f>
        <v/>
      </c>
      <c r="S353" s="68">
        <f>IF(AND(TaxOn="Yes",ISNUMBER(H353)),H353,0)</f>
        <v/>
      </c>
      <c r="T353" s="67">
        <f>IF(R353=1,"",IF(B353="","Enter an invoice #",IF(C353="","Missing invoice date",IF(NOT(ISNUMBER(C353)),"Invalid date",IF(OR(C353&lt;DATE(2000,1,1),C353&gt;DATE(2099,12,31)),"Invalid date",IF(F353="","Select a revenue account",IF(ISNA(MATCH(F353,coa_Name,0)),"Unknown account: "&amp;F353,IF(NOT(ISNUMBER(G353)),"Enter an amount",IF(G353&lt;=0,"Amount must be positive",IF(S353&gt;G353,"Tax is larger than the amount",""))))))))))</f>
        <v/>
      </c>
      <c r="U353" s="67">
        <f>IF(OR(R353=1,T353&lt;&gt;""),"",IF(COUNTIF(ar_No,B353)&gt;1,"Duplicate invoice #",IF(D353="","Select a customer",IF(N(L353)&lt;0,"Overpaid by "&amp;TEXT(-L353,"#,##0.00"),IF(AND(ISNUMBER(H353),N(H353)&lt;&gt;0,S353=0),"Tax ignored (tax tracking is off)",IF(AND(ISNUMBER(StartDate),C353&lt;StartDate),"Date is before the accounting start date",IF(AND(IFERROR(INDEX(coa_Type,MATCH(F353,coa_Name,0)),"")&lt;&gt;"Revenue",IFERROR(INDEX(coa_Type,MATCH(F353,coa_Name,0)),"")&lt;&gt;"Other Income"),"Account is not a revenue account","")))))))</f>
        <v/>
      </c>
      <c r="V353" s="67">
        <f>IF(AND(R353=0,T353=""),1,0)</f>
        <v/>
      </c>
      <c r="W353" s="67">
        <f>IF(V353=1,acctAR,"")</f>
        <v/>
      </c>
      <c r="X353" s="67">
        <f>IF(V353=1,F353,"")</f>
        <v/>
      </c>
      <c r="Y353" s="68">
        <f>IF(V353=1,G353,0)</f>
        <v/>
      </c>
      <c r="Z353" s="68">
        <f>IF(V353=1,G353-S353,0)</f>
        <v/>
      </c>
      <c r="AA353" s="68">
        <f>IF(V353=1,S353,0)</f>
        <v/>
      </c>
    </row>
    <row r="354">
      <c r="B354" s="62" t="n"/>
      <c r="C354" s="63" t="n"/>
      <c r="D354" s="62" t="n"/>
      <c r="E354" s="62" t="n"/>
      <c r="F354" s="62" t="n"/>
      <c r="G354" s="64" t="n"/>
      <c r="H354" s="64" t="n"/>
      <c r="I354" s="63" t="n"/>
      <c r="J354" s="29">
        <f>IF(V354=1,IF(ISNUMBER(I354),I354,C354+IF(ISNUMBER(IFERROR(INDEX(cust_Terms,MATCH(D354,cust_Name,0)),"")),INDEX(cust_Terms,MATCH(D354,cust_Name,0)),TermsDays)),"")</f>
        <v/>
      </c>
      <c r="K354" s="65">
        <f>IF(V354=1,SUMIFS(tx_DrAmt,tx_Type,"Customer Payment",tx_Ref,B354&amp;"",tx_Date,"&lt;="&amp;AsOf),"")</f>
        <v/>
      </c>
      <c r="L354" s="65">
        <f>IF(V354=1,IF(C354&gt;AsOf,0,ROUND(G354-K354,2)),"")</f>
        <v/>
      </c>
      <c r="M354" s="66">
        <f>IF(V354&lt;&gt;1,"",IF(C354&gt;AsOf,"Future",IF(L354&lt;0,"Overpaid",IF(L354=0,"Paid",IF(AsOf&gt;J354,"Overdue",IF(K354&gt;0,"Partial","Unpaid"))))))</f>
        <v/>
      </c>
      <c r="N354" s="28">
        <f>IF(AND(V354=1,N(L354)&gt;0),AsOf-C354,"")</f>
        <v/>
      </c>
      <c r="O354" s="28">
        <f>IF(N354="","",MAX(0,AsOf-J354))</f>
        <v/>
      </c>
      <c r="P354" s="66">
        <f>IF(O354="","",IF(O354=0,"Current",IF(O354&lt;=30,"1-30",IF(O354&lt;=60,"31-60",IF(O354&lt;=90,"61-90","90+")))))</f>
        <v/>
      </c>
      <c r="Q354" s="66">
        <f>IF(T354&lt;&gt;"","⛔ "&amp;T354&amp;" — not posted",IF(U354&lt;&gt;"","⚠ "&amp;U354,IF(V354=1,"✓ OK","")))</f>
        <v/>
      </c>
      <c r="R354" s="67">
        <f>IF(AND(B354="",C354="",D354="",G354="",F354=""),1,0)</f>
        <v/>
      </c>
      <c r="S354" s="68">
        <f>IF(AND(TaxOn="Yes",ISNUMBER(H354)),H354,0)</f>
        <v/>
      </c>
      <c r="T354" s="67">
        <f>IF(R354=1,"",IF(B354="","Enter an invoice #",IF(C354="","Missing invoice date",IF(NOT(ISNUMBER(C354)),"Invalid date",IF(OR(C354&lt;DATE(2000,1,1),C354&gt;DATE(2099,12,31)),"Invalid date",IF(F354="","Select a revenue account",IF(ISNA(MATCH(F354,coa_Name,0)),"Unknown account: "&amp;F354,IF(NOT(ISNUMBER(G354)),"Enter an amount",IF(G354&lt;=0,"Amount must be positive",IF(S354&gt;G354,"Tax is larger than the amount",""))))))))))</f>
        <v/>
      </c>
      <c r="U354" s="67">
        <f>IF(OR(R354=1,T354&lt;&gt;""),"",IF(COUNTIF(ar_No,B354)&gt;1,"Duplicate invoice #",IF(D354="","Select a customer",IF(N(L354)&lt;0,"Overpaid by "&amp;TEXT(-L354,"#,##0.00"),IF(AND(ISNUMBER(H354),N(H354)&lt;&gt;0,S354=0),"Tax ignored (tax tracking is off)",IF(AND(ISNUMBER(StartDate),C354&lt;StartDate),"Date is before the accounting start date",IF(AND(IFERROR(INDEX(coa_Type,MATCH(F354,coa_Name,0)),"")&lt;&gt;"Revenue",IFERROR(INDEX(coa_Type,MATCH(F354,coa_Name,0)),"")&lt;&gt;"Other Income"),"Account is not a revenue account","")))))))</f>
        <v/>
      </c>
      <c r="V354" s="67">
        <f>IF(AND(R354=0,T354=""),1,0)</f>
        <v/>
      </c>
      <c r="W354" s="67">
        <f>IF(V354=1,acctAR,"")</f>
        <v/>
      </c>
      <c r="X354" s="67">
        <f>IF(V354=1,F354,"")</f>
        <v/>
      </c>
      <c r="Y354" s="68">
        <f>IF(V354=1,G354,0)</f>
        <v/>
      </c>
      <c r="Z354" s="68">
        <f>IF(V354=1,G354-S354,0)</f>
        <v/>
      </c>
      <c r="AA354" s="68">
        <f>IF(V354=1,S354,0)</f>
        <v/>
      </c>
    </row>
    <row r="355">
      <c r="B355" s="62" t="n"/>
      <c r="C355" s="63" t="n"/>
      <c r="D355" s="62" t="n"/>
      <c r="E355" s="62" t="n"/>
      <c r="F355" s="62" t="n"/>
      <c r="G355" s="64" t="n"/>
      <c r="H355" s="64" t="n"/>
      <c r="I355" s="63" t="n"/>
      <c r="J355" s="29">
        <f>IF(V355=1,IF(ISNUMBER(I355),I355,C355+IF(ISNUMBER(IFERROR(INDEX(cust_Terms,MATCH(D355,cust_Name,0)),"")),INDEX(cust_Terms,MATCH(D355,cust_Name,0)),TermsDays)),"")</f>
        <v/>
      </c>
      <c r="K355" s="65">
        <f>IF(V355=1,SUMIFS(tx_DrAmt,tx_Type,"Customer Payment",tx_Ref,B355&amp;"",tx_Date,"&lt;="&amp;AsOf),"")</f>
        <v/>
      </c>
      <c r="L355" s="65">
        <f>IF(V355=1,IF(C355&gt;AsOf,0,ROUND(G355-K355,2)),"")</f>
        <v/>
      </c>
      <c r="M355" s="66">
        <f>IF(V355&lt;&gt;1,"",IF(C355&gt;AsOf,"Future",IF(L355&lt;0,"Overpaid",IF(L355=0,"Paid",IF(AsOf&gt;J355,"Overdue",IF(K355&gt;0,"Partial","Unpaid"))))))</f>
        <v/>
      </c>
      <c r="N355" s="28">
        <f>IF(AND(V355=1,N(L355)&gt;0),AsOf-C355,"")</f>
        <v/>
      </c>
      <c r="O355" s="28">
        <f>IF(N355="","",MAX(0,AsOf-J355))</f>
        <v/>
      </c>
      <c r="P355" s="66">
        <f>IF(O355="","",IF(O355=0,"Current",IF(O355&lt;=30,"1-30",IF(O355&lt;=60,"31-60",IF(O355&lt;=90,"61-90","90+")))))</f>
        <v/>
      </c>
      <c r="Q355" s="66">
        <f>IF(T355&lt;&gt;"","⛔ "&amp;T355&amp;" — not posted",IF(U355&lt;&gt;"","⚠ "&amp;U355,IF(V355=1,"✓ OK","")))</f>
        <v/>
      </c>
      <c r="R355" s="67">
        <f>IF(AND(B355="",C355="",D355="",G355="",F355=""),1,0)</f>
        <v/>
      </c>
      <c r="S355" s="68">
        <f>IF(AND(TaxOn="Yes",ISNUMBER(H355)),H355,0)</f>
        <v/>
      </c>
      <c r="T355" s="67">
        <f>IF(R355=1,"",IF(B355="","Enter an invoice #",IF(C355="","Missing invoice date",IF(NOT(ISNUMBER(C355)),"Invalid date",IF(OR(C355&lt;DATE(2000,1,1),C355&gt;DATE(2099,12,31)),"Invalid date",IF(F355="","Select a revenue account",IF(ISNA(MATCH(F355,coa_Name,0)),"Unknown account: "&amp;F355,IF(NOT(ISNUMBER(G355)),"Enter an amount",IF(G355&lt;=0,"Amount must be positive",IF(S355&gt;G355,"Tax is larger than the amount",""))))))))))</f>
        <v/>
      </c>
      <c r="U355" s="67">
        <f>IF(OR(R355=1,T355&lt;&gt;""),"",IF(COUNTIF(ar_No,B355)&gt;1,"Duplicate invoice #",IF(D355="","Select a customer",IF(N(L355)&lt;0,"Overpaid by "&amp;TEXT(-L355,"#,##0.00"),IF(AND(ISNUMBER(H355),N(H355)&lt;&gt;0,S355=0),"Tax ignored (tax tracking is off)",IF(AND(ISNUMBER(StartDate),C355&lt;StartDate),"Date is before the accounting start date",IF(AND(IFERROR(INDEX(coa_Type,MATCH(F355,coa_Name,0)),"")&lt;&gt;"Revenue",IFERROR(INDEX(coa_Type,MATCH(F355,coa_Name,0)),"")&lt;&gt;"Other Income"),"Account is not a revenue account","")))))))</f>
        <v/>
      </c>
      <c r="V355" s="67">
        <f>IF(AND(R355=0,T355=""),1,0)</f>
        <v/>
      </c>
      <c r="W355" s="67">
        <f>IF(V355=1,acctAR,"")</f>
        <v/>
      </c>
      <c r="X355" s="67">
        <f>IF(V355=1,F355,"")</f>
        <v/>
      </c>
      <c r="Y355" s="68">
        <f>IF(V355=1,G355,0)</f>
        <v/>
      </c>
      <c r="Z355" s="68">
        <f>IF(V355=1,G355-S355,0)</f>
        <v/>
      </c>
      <c r="AA355" s="68">
        <f>IF(V355=1,S355,0)</f>
        <v/>
      </c>
    </row>
    <row r="356">
      <c r="B356" s="62" t="n"/>
      <c r="C356" s="63" t="n"/>
      <c r="D356" s="62" t="n"/>
      <c r="E356" s="62" t="n"/>
      <c r="F356" s="62" t="n"/>
      <c r="G356" s="64" t="n"/>
      <c r="H356" s="64" t="n"/>
      <c r="I356" s="63" t="n"/>
      <c r="J356" s="29">
        <f>IF(V356=1,IF(ISNUMBER(I356),I356,C356+IF(ISNUMBER(IFERROR(INDEX(cust_Terms,MATCH(D356,cust_Name,0)),"")),INDEX(cust_Terms,MATCH(D356,cust_Name,0)),TermsDays)),"")</f>
        <v/>
      </c>
      <c r="K356" s="65">
        <f>IF(V356=1,SUMIFS(tx_DrAmt,tx_Type,"Customer Payment",tx_Ref,B356&amp;"",tx_Date,"&lt;="&amp;AsOf),"")</f>
        <v/>
      </c>
      <c r="L356" s="65">
        <f>IF(V356=1,IF(C356&gt;AsOf,0,ROUND(G356-K356,2)),"")</f>
        <v/>
      </c>
      <c r="M356" s="66">
        <f>IF(V356&lt;&gt;1,"",IF(C356&gt;AsOf,"Future",IF(L356&lt;0,"Overpaid",IF(L356=0,"Paid",IF(AsOf&gt;J356,"Overdue",IF(K356&gt;0,"Partial","Unpaid"))))))</f>
        <v/>
      </c>
      <c r="N356" s="28">
        <f>IF(AND(V356=1,N(L356)&gt;0),AsOf-C356,"")</f>
        <v/>
      </c>
      <c r="O356" s="28">
        <f>IF(N356="","",MAX(0,AsOf-J356))</f>
        <v/>
      </c>
      <c r="P356" s="66">
        <f>IF(O356="","",IF(O356=0,"Current",IF(O356&lt;=30,"1-30",IF(O356&lt;=60,"31-60",IF(O356&lt;=90,"61-90","90+")))))</f>
        <v/>
      </c>
      <c r="Q356" s="66">
        <f>IF(T356&lt;&gt;"","⛔ "&amp;T356&amp;" — not posted",IF(U356&lt;&gt;"","⚠ "&amp;U356,IF(V356=1,"✓ OK","")))</f>
        <v/>
      </c>
      <c r="R356" s="67">
        <f>IF(AND(B356="",C356="",D356="",G356="",F356=""),1,0)</f>
        <v/>
      </c>
      <c r="S356" s="68">
        <f>IF(AND(TaxOn="Yes",ISNUMBER(H356)),H356,0)</f>
        <v/>
      </c>
      <c r="T356" s="67">
        <f>IF(R356=1,"",IF(B356="","Enter an invoice #",IF(C356="","Missing invoice date",IF(NOT(ISNUMBER(C356)),"Invalid date",IF(OR(C356&lt;DATE(2000,1,1),C356&gt;DATE(2099,12,31)),"Invalid date",IF(F356="","Select a revenue account",IF(ISNA(MATCH(F356,coa_Name,0)),"Unknown account: "&amp;F356,IF(NOT(ISNUMBER(G356)),"Enter an amount",IF(G356&lt;=0,"Amount must be positive",IF(S356&gt;G356,"Tax is larger than the amount",""))))))))))</f>
        <v/>
      </c>
      <c r="U356" s="67">
        <f>IF(OR(R356=1,T356&lt;&gt;""),"",IF(COUNTIF(ar_No,B356)&gt;1,"Duplicate invoice #",IF(D356="","Select a customer",IF(N(L356)&lt;0,"Overpaid by "&amp;TEXT(-L356,"#,##0.00"),IF(AND(ISNUMBER(H356),N(H356)&lt;&gt;0,S356=0),"Tax ignored (tax tracking is off)",IF(AND(ISNUMBER(StartDate),C356&lt;StartDate),"Date is before the accounting start date",IF(AND(IFERROR(INDEX(coa_Type,MATCH(F356,coa_Name,0)),"")&lt;&gt;"Revenue",IFERROR(INDEX(coa_Type,MATCH(F356,coa_Name,0)),"")&lt;&gt;"Other Income"),"Account is not a revenue account","")))))))</f>
        <v/>
      </c>
      <c r="V356" s="67">
        <f>IF(AND(R356=0,T356=""),1,0)</f>
        <v/>
      </c>
      <c r="W356" s="67">
        <f>IF(V356=1,acctAR,"")</f>
        <v/>
      </c>
      <c r="X356" s="67">
        <f>IF(V356=1,F356,"")</f>
        <v/>
      </c>
      <c r="Y356" s="68">
        <f>IF(V356=1,G356,0)</f>
        <v/>
      </c>
      <c r="Z356" s="68">
        <f>IF(V356=1,G356-S356,0)</f>
        <v/>
      </c>
      <c r="AA356" s="68">
        <f>IF(V356=1,S356,0)</f>
        <v/>
      </c>
    </row>
    <row r="357">
      <c r="B357" s="62" t="n"/>
      <c r="C357" s="63" t="n"/>
      <c r="D357" s="62" t="n"/>
      <c r="E357" s="62" t="n"/>
      <c r="F357" s="62" t="n"/>
      <c r="G357" s="64" t="n"/>
      <c r="H357" s="64" t="n"/>
      <c r="I357" s="63" t="n"/>
      <c r="J357" s="29">
        <f>IF(V357=1,IF(ISNUMBER(I357),I357,C357+IF(ISNUMBER(IFERROR(INDEX(cust_Terms,MATCH(D357,cust_Name,0)),"")),INDEX(cust_Terms,MATCH(D357,cust_Name,0)),TermsDays)),"")</f>
        <v/>
      </c>
      <c r="K357" s="65">
        <f>IF(V357=1,SUMIFS(tx_DrAmt,tx_Type,"Customer Payment",tx_Ref,B357&amp;"",tx_Date,"&lt;="&amp;AsOf),"")</f>
        <v/>
      </c>
      <c r="L357" s="65">
        <f>IF(V357=1,IF(C357&gt;AsOf,0,ROUND(G357-K357,2)),"")</f>
        <v/>
      </c>
      <c r="M357" s="66">
        <f>IF(V357&lt;&gt;1,"",IF(C357&gt;AsOf,"Future",IF(L357&lt;0,"Overpaid",IF(L357=0,"Paid",IF(AsOf&gt;J357,"Overdue",IF(K357&gt;0,"Partial","Unpaid"))))))</f>
        <v/>
      </c>
      <c r="N357" s="28">
        <f>IF(AND(V357=1,N(L357)&gt;0),AsOf-C357,"")</f>
        <v/>
      </c>
      <c r="O357" s="28">
        <f>IF(N357="","",MAX(0,AsOf-J357))</f>
        <v/>
      </c>
      <c r="P357" s="66">
        <f>IF(O357="","",IF(O357=0,"Current",IF(O357&lt;=30,"1-30",IF(O357&lt;=60,"31-60",IF(O357&lt;=90,"61-90","90+")))))</f>
        <v/>
      </c>
      <c r="Q357" s="66">
        <f>IF(T357&lt;&gt;"","⛔ "&amp;T357&amp;" — not posted",IF(U357&lt;&gt;"","⚠ "&amp;U357,IF(V357=1,"✓ OK","")))</f>
        <v/>
      </c>
      <c r="R357" s="67">
        <f>IF(AND(B357="",C357="",D357="",G357="",F357=""),1,0)</f>
        <v/>
      </c>
      <c r="S357" s="68">
        <f>IF(AND(TaxOn="Yes",ISNUMBER(H357)),H357,0)</f>
        <v/>
      </c>
      <c r="T357" s="67">
        <f>IF(R357=1,"",IF(B357="","Enter an invoice #",IF(C357="","Missing invoice date",IF(NOT(ISNUMBER(C357)),"Invalid date",IF(OR(C357&lt;DATE(2000,1,1),C357&gt;DATE(2099,12,31)),"Invalid date",IF(F357="","Select a revenue account",IF(ISNA(MATCH(F357,coa_Name,0)),"Unknown account: "&amp;F357,IF(NOT(ISNUMBER(G357)),"Enter an amount",IF(G357&lt;=0,"Amount must be positive",IF(S357&gt;G357,"Tax is larger than the amount",""))))))))))</f>
        <v/>
      </c>
      <c r="U357" s="67">
        <f>IF(OR(R357=1,T357&lt;&gt;""),"",IF(COUNTIF(ar_No,B357)&gt;1,"Duplicate invoice #",IF(D357="","Select a customer",IF(N(L357)&lt;0,"Overpaid by "&amp;TEXT(-L357,"#,##0.00"),IF(AND(ISNUMBER(H357),N(H357)&lt;&gt;0,S357=0),"Tax ignored (tax tracking is off)",IF(AND(ISNUMBER(StartDate),C357&lt;StartDate),"Date is before the accounting start date",IF(AND(IFERROR(INDEX(coa_Type,MATCH(F357,coa_Name,0)),"")&lt;&gt;"Revenue",IFERROR(INDEX(coa_Type,MATCH(F357,coa_Name,0)),"")&lt;&gt;"Other Income"),"Account is not a revenue account","")))))))</f>
        <v/>
      </c>
      <c r="V357" s="67">
        <f>IF(AND(R357=0,T357=""),1,0)</f>
        <v/>
      </c>
      <c r="W357" s="67">
        <f>IF(V357=1,acctAR,"")</f>
        <v/>
      </c>
      <c r="X357" s="67">
        <f>IF(V357=1,F357,"")</f>
        <v/>
      </c>
      <c r="Y357" s="68">
        <f>IF(V357=1,G357,0)</f>
        <v/>
      </c>
      <c r="Z357" s="68">
        <f>IF(V357=1,G357-S357,0)</f>
        <v/>
      </c>
      <c r="AA357" s="68">
        <f>IF(V357=1,S357,0)</f>
        <v/>
      </c>
    </row>
    <row r="358">
      <c r="B358" s="62" t="n"/>
      <c r="C358" s="63" t="n"/>
      <c r="D358" s="62" t="n"/>
      <c r="E358" s="62" t="n"/>
      <c r="F358" s="62" t="n"/>
      <c r="G358" s="64" t="n"/>
      <c r="H358" s="64" t="n"/>
      <c r="I358" s="63" t="n"/>
      <c r="J358" s="29">
        <f>IF(V358=1,IF(ISNUMBER(I358),I358,C358+IF(ISNUMBER(IFERROR(INDEX(cust_Terms,MATCH(D358,cust_Name,0)),"")),INDEX(cust_Terms,MATCH(D358,cust_Name,0)),TermsDays)),"")</f>
        <v/>
      </c>
      <c r="K358" s="65">
        <f>IF(V358=1,SUMIFS(tx_DrAmt,tx_Type,"Customer Payment",tx_Ref,B358&amp;"",tx_Date,"&lt;="&amp;AsOf),"")</f>
        <v/>
      </c>
      <c r="L358" s="65">
        <f>IF(V358=1,IF(C358&gt;AsOf,0,ROUND(G358-K358,2)),"")</f>
        <v/>
      </c>
      <c r="M358" s="66">
        <f>IF(V358&lt;&gt;1,"",IF(C358&gt;AsOf,"Future",IF(L358&lt;0,"Overpaid",IF(L358=0,"Paid",IF(AsOf&gt;J358,"Overdue",IF(K358&gt;0,"Partial","Unpaid"))))))</f>
        <v/>
      </c>
      <c r="N358" s="28">
        <f>IF(AND(V358=1,N(L358)&gt;0),AsOf-C358,"")</f>
        <v/>
      </c>
      <c r="O358" s="28">
        <f>IF(N358="","",MAX(0,AsOf-J358))</f>
        <v/>
      </c>
      <c r="P358" s="66">
        <f>IF(O358="","",IF(O358=0,"Current",IF(O358&lt;=30,"1-30",IF(O358&lt;=60,"31-60",IF(O358&lt;=90,"61-90","90+")))))</f>
        <v/>
      </c>
      <c r="Q358" s="66">
        <f>IF(T358&lt;&gt;"","⛔ "&amp;T358&amp;" — not posted",IF(U358&lt;&gt;"","⚠ "&amp;U358,IF(V358=1,"✓ OK","")))</f>
        <v/>
      </c>
      <c r="R358" s="67">
        <f>IF(AND(B358="",C358="",D358="",G358="",F358=""),1,0)</f>
        <v/>
      </c>
      <c r="S358" s="68">
        <f>IF(AND(TaxOn="Yes",ISNUMBER(H358)),H358,0)</f>
        <v/>
      </c>
      <c r="T358" s="67">
        <f>IF(R358=1,"",IF(B358="","Enter an invoice #",IF(C358="","Missing invoice date",IF(NOT(ISNUMBER(C358)),"Invalid date",IF(OR(C358&lt;DATE(2000,1,1),C358&gt;DATE(2099,12,31)),"Invalid date",IF(F358="","Select a revenue account",IF(ISNA(MATCH(F358,coa_Name,0)),"Unknown account: "&amp;F358,IF(NOT(ISNUMBER(G358)),"Enter an amount",IF(G358&lt;=0,"Amount must be positive",IF(S358&gt;G358,"Tax is larger than the amount",""))))))))))</f>
        <v/>
      </c>
      <c r="U358" s="67">
        <f>IF(OR(R358=1,T358&lt;&gt;""),"",IF(COUNTIF(ar_No,B358)&gt;1,"Duplicate invoice #",IF(D358="","Select a customer",IF(N(L358)&lt;0,"Overpaid by "&amp;TEXT(-L358,"#,##0.00"),IF(AND(ISNUMBER(H358),N(H358)&lt;&gt;0,S358=0),"Tax ignored (tax tracking is off)",IF(AND(ISNUMBER(StartDate),C358&lt;StartDate),"Date is before the accounting start date",IF(AND(IFERROR(INDEX(coa_Type,MATCH(F358,coa_Name,0)),"")&lt;&gt;"Revenue",IFERROR(INDEX(coa_Type,MATCH(F358,coa_Name,0)),"")&lt;&gt;"Other Income"),"Account is not a revenue account","")))))))</f>
        <v/>
      </c>
      <c r="V358" s="67">
        <f>IF(AND(R358=0,T358=""),1,0)</f>
        <v/>
      </c>
      <c r="W358" s="67">
        <f>IF(V358=1,acctAR,"")</f>
        <v/>
      </c>
      <c r="X358" s="67">
        <f>IF(V358=1,F358,"")</f>
        <v/>
      </c>
      <c r="Y358" s="68">
        <f>IF(V358=1,G358,0)</f>
        <v/>
      </c>
      <c r="Z358" s="68">
        <f>IF(V358=1,G358-S358,0)</f>
        <v/>
      </c>
      <c r="AA358" s="68">
        <f>IF(V358=1,S358,0)</f>
        <v/>
      </c>
    </row>
    <row r="359">
      <c r="B359" s="62" t="n"/>
      <c r="C359" s="63" t="n"/>
      <c r="D359" s="62" t="n"/>
      <c r="E359" s="62" t="n"/>
      <c r="F359" s="62" t="n"/>
      <c r="G359" s="64" t="n"/>
      <c r="H359" s="64" t="n"/>
      <c r="I359" s="63" t="n"/>
      <c r="J359" s="29">
        <f>IF(V359=1,IF(ISNUMBER(I359),I359,C359+IF(ISNUMBER(IFERROR(INDEX(cust_Terms,MATCH(D359,cust_Name,0)),"")),INDEX(cust_Terms,MATCH(D359,cust_Name,0)),TermsDays)),"")</f>
        <v/>
      </c>
      <c r="K359" s="65">
        <f>IF(V359=1,SUMIFS(tx_DrAmt,tx_Type,"Customer Payment",tx_Ref,B359&amp;"",tx_Date,"&lt;="&amp;AsOf),"")</f>
        <v/>
      </c>
      <c r="L359" s="65">
        <f>IF(V359=1,IF(C359&gt;AsOf,0,ROUND(G359-K359,2)),"")</f>
        <v/>
      </c>
      <c r="M359" s="66">
        <f>IF(V359&lt;&gt;1,"",IF(C359&gt;AsOf,"Future",IF(L359&lt;0,"Overpaid",IF(L359=0,"Paid",IF(AsOf&gt;J359,"Overdue",IF(K359&gt;0,"Partial","Unpaid"))))))</f>
        <v/>
      </c>
      <c r="N359" s="28">
        <f>IF(AND(V359=1,N(L359)&gt;0),AsOf-C359,"")</f>
        <v/>
      </c>
      <c r="O359" s="28">
        <f>IF(N359="","",MAX(0,AsOf-J359))</f>
        <v/>
      </c>
      <c r="P359" s="66">
        <f>IF(O359="","",IF(O359=0,"Current",IF(O359&lt;=30,"1-30",IF(O359&lt;=60,"31-60",IF(O359&lt;=90,"61-90","90+")))))</f>
        <v/>
      </c>
      <c r="Q359" s="66">
        <f>IF(T359&lt;&gt;"","⛔ "&amp;T359&amp;" — not posted",IF(U359&lt;&gt;"","⚠ "&amp;U359,IF(V359=1,"✓ OK","")))</f>
        <v/>
      </c>
      <c r="R359" s="67">
        <f>IF(AND(B359="",C359="",D359="",G359="",F359=""),1,0)</f>
        <v/>
      </c>
      <c r="S359" s="68">
        <f>IF(AND(TaxOn="Yes",ISNUMBER(H359)),H359,0)</f>
        <v/>
      </c>
      <c r="T359" s="67">
        <f>IF(R359=1,"",IF(B359="","Enter an invoice #",IF(C359="","Missing invoice date",IF(NOT(ISNUMBER(C359)),"Invalid date",IF(OR(C359&lt;DATE(2000,1,1),C359&gt;DATE(2099,12,31)),"Invalid date",IF(F359="","Select a revenue account",IF(ISNA(MATCH(F359,coa_Name,0)),"Unknown account: "&amp;F359,IF(NOT(ISNUMBER(G359)),"Enter an amount",IF(G359&lt;=0,"Amount must be positive",IF(S359&gt;G359,"Tax is larger than the amount",""))))))))))</f>
        <v/>
      </c>
      <c r="U359" s="67">
        <f>IF(OR(R359=1,T359&lt;&gt;""),"",IF(COUNTIF(ar_No,B359)&gt;1,"Duplicate invoice #",IF(D359="","Select a customer",IF(N(L359)&lt;0,"Overpaid by "&amp;TEXT(-L359,"#,##0.00"),IF(AND(ISNUMBER(H359),N(H359)&lt;&gt;0,S359=0),"Tax ignored (tax tracking is off)",IF(AND(ISNUMBER(StartDate),C359&lt;StartDate),"Date is before the accounting start date",IF(AND(IFERROR(INDEX(coa_Type,MATCH(F359,coa_Name,0)),"")&lt;&gt;"Revenue",IFERROR(INDEX(coa_Type,MATCH(F359,coa_Name,0)),"")&lt;&gt;"Other Income"),"Account is not a revenue account","")))))))</f>
        <v/>
      </c>
      <c r="V359" s="67">
        <f>IF(AND(R359=0,T359=""),1,0)</f>
        <v/>
      </c>
      <c r="W359" s="67">
        <f>IF(V359=1,acctAR,"")</f>
        <v/>
      </c>
      <c r="X359" s="67">
        <f>IF(V359=1,F359,"")</f>
        <v/>
      </c>
      <c r="Y359" s="68">
        <f>IF(V359=1,G359,0)</f>
        <v/>
      </c>
      <c r="Z359" s="68">
        <f>IF(V359=1,G359-S359,0)</f>
        <v/>
      </c>
      <c r="AA359" s="68">
        <f>IF(V359=1,S359,0)</f>
        <v/>
      </c>
    </row>
    <row r="360">
      <c r="B360" s="62" t="n"/>
      <c r="C360" s="63" t="n"/>
      <c r="D360" s="62" t="n"/>
      <c r="E360" s="62" t="n"/>
      <c r="F360" s="62" t="n"/>
      <c r="G360" s="64" t="n"/>
      <c r="H360" s="64" t="n"/>
      <c r="I360" s="63" t="n"/>
      <c r="J360" s="29">
        <f>IF(V360=1,IF(ISNUMBER(I360),I360,C360+IF(ISNUMBER(IFERROR(INDEX(cust_Terms,MATCH(D360,cust_Name,0)),"")),INDEX(cust_Terms,MATCH(D360,cust_Name,0)),TermsDays)),"")</f>
        <v/>
      </c>
      <c r="K360" s="65">
        <f>IF(V360=1,SUMIFS(tx_DrAmt,tx_Type,"Customer Payment",tx_Ref,B360&amp;"",tx_Date,"&lt;="&amp;AsOf),"")</f>
        <v/>
      </c>
      <c r="L360" s="65">
        <f>IF(V360=1,IF(C360&gt;AsOf,0,ROUND(G360-K360,2)),"")</f>
        <v/>
      </c>
      <c r="M360" s="66">
        <f>IF(V360&lt;&gt;1,"",IF(C360&gt;AsOf,"Future",IF(L360&lt;0,"Overpaid",IF(L360=0,"Paid",IF(AsOf&gt;J360,"Overdue",IF(K360&gt;0,"Partial","Unpaid"))))))</f>
        <v/>
      </c>
      <c r="N360" s="28">
        <f>IF(AND(V360=1,N(L360)&gt;0),AsOf-C360,"")</f>
        <v/>
      </c>
      <c r="O360" s="28">
        <f>IF(N360="","",MAX(0,AsOf-J360))</f>
        <v/>
      </c>
      <c r="P360" s="66">
        <f>IF(O360="","",IF(O360=0,"Current",IF(O360&lt;=30,"1-30",IF(O360&lt;=60,"31-60",IF(O360&lt;=90,"61-90","90+")))))</f>
        <v/>
      </c>
      <c r="Q360" s="66">
        <f>IF(T360&lt;&gt;"","⛔ "&amp;T360&amp;" — not posted",IF(U360&lt;&gt;"","⚠ "&amp;U360,IF(V360=1,"✓ OK","")))</f>
        <v/>
      </c>
      <c r="R360" s="67">
        <f>IF(AND(B360="",C360="",D360="",G360="",F360=""),1,0)</f>
        <v/>
      </c>
      <c r="S360" s="68">
        <f>IF(AND(TaxOn="Yes",ISNUMBER(H360)),H360,0)</f>
        <v/>
      </c>
      <c r="T360" s="67">
        <f>IF(R360=1,"",IF(B360="","Enter an invoice #",IF(C360="","Missing invoice date",IF(NOT(ISNUMBER(C360)),"Invalid date",IF(OR(C360&lt;DATE(2000,1,1),C360&gt;DATE(2099,12,31)),"Invalid date",IF(F360="","Select a revenue account",IF(ISNA(MATCH(F360,coa_Name,0)),"Unknown account: "&amp;F360,IF(NOT(ISNUMBER(G360)),"Enter an amount",IF(G360&lt;=0,"Amount must be positive",IF(S360&gt;G360,"Tax is larger than the amount",""))))))))))</f>
        <v/>
      </c>
      <c r="U360" s="67">
        <f>IF(OR(R360=1,T360&lt;&gt;""),"",IF(COUNTIF(ar_No,B360)&gt;1,"Duplicate invoice #",IF(D360="","Select a customer",IF(N(L360)&lt;0,"Overpaid by "&amp;TEXT(-L360,"#,##0.00"),IF(AND(ISNUMBER(H360),N(H360)&lt;&gt;0,S360=0),"Tax ignored (tax tracking is off)",IF(AND(ISNUMBER(StartDate),C360&lt;StartDate),"Date is before the accounting start date",IF(AND(IFERROR(INDEX(coa_Type,MATCH(F360,coa_Name,0)),"")&lt;&gt;"Revenue",IFERROR(INDEX(coa_Type,MATCH(F360,coa_Name,0)),"")&lt;&gt;"Other Income"),"Account is not a revenue account","")))))))</f>
        <v/>
      </c>
      <c r="V360" s="67">
        <f>IF(AND(R360=0,T360=""),1,0)</f>
        <v/>
      </c>
      <c r="W360" s="67">
        <f>IF(V360=1,acctAR,"")</f>
        <v/>
      </c>
      <c r="X360" s="67">
        <f>IF(V360=1,F360,"")</f>
        <v/>
      </c>
      <c r="Y360" s="68">
        <f>IF(V360=1,G360,0)</f>
        <v/>
      </c>
      <c r="Z360" s="68">
        <f>IF(V360=1,G360-S360,0)</f>
        <v/>
      </c>
      <c r="AA360" s="68">
        <f>IF(V360=1,S360,0)</f>
        <v/>
      </c>
    </row>
    <row r="361">
      <c r="B361" s="62" t="n"/>
      <c r="C361" s="63" t="n"/>
      <c r="D361" s="62" t="n"/>
      <c r="E361" s="62" t="n"/>
      <c r="F361" s="62" t="n"/>
      <c r="G361" s="64" t="n"/>
      <c r="H361" s="64" t="n"/>
      <c r="I361" s="63" t="n"/>
      <c r="J361" s="29">
        <f>IF(V361=1,IF(ISNUMBER(I361),I361,C361+IF(ISNUMBER(IFERROR(INDEX(cust_Terms,MATCH(D361,cust_Name,0)),"")),INDEX(cust_Terms,MATCH(D361,cust_Name,0)),TermsDays)),"")</f>
        <v/>
      </c>
      <c r="K361" s="65">
        <f>IF(V361=1,SUMIFS(tx_DrAmt,tx_Type,"Customer Payment",tx_Ref,B361&amp;"",tx_Date,"&lt;="&amp;AsOf),"")</f>
        <v/>
      </c>
      <c r="L361" s="65">
        <f>IF(V361=1,IF(C361&gt;AsOf,0,ROUND(G361-K361,2)),"")</f>
        <v/>
      </c>
      <c r="M361" s="66">
        <f>IF(V361&lt;&gt;1,"",IF(C361&gt;AsOf,"Future",IF(L361&lt;0,"Overpaid",IF(L361=0,"Paid",IF(AsOf&gt;J361,"Overdue",IF(K361&gt;0,"Partial","Unpaid"))))))</f>
        <v/>
      </c>
      <c r="N361" s="28">
        <f>IF(AND(V361=1,N(L361)&gt;0),AsOf-C361,"")</f>
        <v/>
      </c>
      <c r="O361" s="28">
        <f>IF(N361="","",MAX(0,AsOf-J361))</f>
        <v/>
      </c>
      <c r="P361" s="66">
        <f>IF(O361="","",IF(O361=0,"Current",IF(O361&lt;=30,"1-30",IF(O361&lt;=60,"31-60",IF(O361&lt;=90,"61-90","90+")))))</f>
        <v/>
      </c>
      <c r="Q361" s="66">
        <f>IF(T361&lt;&gt;"","⛔ "&amp;T361&amp;" — not posted",IF(U361&lt;&gt;"","⚠ "&amp;U361,IF(V361=1,"✓ OK","")))</f>
        <v/>
      </c>
      <c r="R361" s="67">
        <f>IF(AND(B361="",C361="",D361="",G361="",F361=""),1,0)</f>
        <v/>
      </c>
      <c r="S361" s="68">
        <f>IF(AND(TaxOn="Yes",ISNUMBER(H361)),H361,0)</f>
        <v/>
      </c>
      <c r="T361" s="67">
        <f>IF(R361=1,"",IF(B361="","Enter an invoice #",IF(C361="","Missing invoice date",IF(NOT(ISNUMBER(C361)),"Invalid date",IF(OR(C361&lt;DATE(2000,1,1),C361&gt;DATE(2099,12,31)),"Invalid date",IF(F361="","Select a revenue account",IF(ISNA(MATCH(F361,coa_Name,0)),"Unknown account: "&amp;F361,IF(NOT(ISNUMBER(G361)),"Enter an amount",IF(G361&lt;=0,"Amount must be positive",IF(S361&gt;G361,"Tax is larger than the amount",""))))))))))</f>
        <v/>
      </c>
      <c r="U361" s="67">
        <f>IF(OR(R361=1,T361&lt;&gt;""),"",IF(COUNTIF(ar_No,B361)&gt;1,"Duplicate invoice #",IF(D361="","Select a customer",IF(N(L361)&lt;0,"Overpaid by "&amp;TEXT(-L361,"#,##0.00"),IF(AND(ISNUMBER(H361),N(H361)&lt;&gt;0,S361=0),"Tax ignored (tax tracking is off)",IF(AND(ISNUMBER(StartDate),C361&lt;StartDate),"Date is before the accounting start date",IF(AND(IFERROR(INDEX(coa_Type,MATCH(F361,coa_Name,0)),"")&lt;&gt;"Revenue",IFERROR(INDEX(coa_Type,MATCH(F361,coa_Name,0)),"")&lt;&gt;"Other Income"),"Account is not a revenue account","")))))))</f>
        <v/>
      </c>
      <c r="V361" s="67">
        <f>IF(AND(R361=0,T361=""),1,0)</f>
        <v/>
      </c>
      <c r="W361" s="67">
        <f>IF(V361=1,acctAR,"")</f>
        <v/>
      </c>
      <c r="X361" s="67">
        <f>IF(V361=1,F361,"")</f>
        <v/>
      </c>
      <c r="Y361" s="68">
        <f>IF(V361=1,G361,0)</f>
        <v/>
      </c>
      <c r="Z361" s="68">
        <f>IF(V361=1,G361-S361,0)</f>
        <v/>
      </c>
      <c r="AA361" s="68">
        <f>IF(V361=1,S361,0)</f>
        <v/>
      </c>
    </row>
    <row r="362">
      <c r="B362" s="62" t="n"/>
      <c r="C362" s="63" t="n"/>
      <c r="D362" s="62" t="n"/>
      <c r="E362" s="62" t="n"/>
      <c r="F362" s="62" t="n"/>
      <c r="G362" s="64" t="n"/>
      <c r="H362" s="64" t="n"/>
      <c r="I362" s="63" t="n"/>
      <c r="J362" s="29">
        <f>IF(V362=1,IF(ISNUMBER(I362),I362,C362+IF(ISNUMBER(IFERROR(INDEX(cust_Terms,MATCH(D362,cust_Name,0)),"")),INDEX(cust_Terms,MATCH(D362,cust_Name,0)),TermsDays)),"")</f>
        <v/>
      </c>
      <c r="K362" s="65">
        <f>IF(V362=1,SUMIFS(tx_DrAmt,tx_Type,"Customer Payment",tx_Ref,B362&amp;"",tx_Date,"&lt;="&amp;AsOf),"")</f>
        <v/>
      </c>
      <c r="L362" s="65">
        <f>IF(V362=1,IF(C362&gt;AsOf,0,ROUND(G362-K362,2)),"")</f>
        <v/>
      </c>
      <c r="M362" s="66">
        <f>IF(V362&lt;&gt;1,"",IF(C362&gt;AsOf,"Future",IF(L362&lt;0,"Overpaid",IF(L362=0,"Paid",IF(AsOf&gt;J362,"Overdue",IF(K362&gt;0,"Partial","Unpaid"))))))</f>
        <v/>
      </c>
      <c r="N362" s="28">
        <f>IF(AND(V362=1,N(L362)&gt;0),AsOf-C362,"")</f>
        <v/>
      </c>
      <c r="O362" s="28">
        <f>IF(N362="","",MAX(0,AsOf-J362))</f>
        <v/>
      </c>
      <c r="P362" s="66">
        <f>IF(O362="","",IF(O362=0,"Current",IF(O362&lt;=30,"1-30",IF(O362&lt;=60,"31-60",IF(O362&lt;=90,"61-90","90+")))))</f>
        <v/>
      </c>
      <c r="Q362" s="66">
        <f>IF(T362&lt;&gt;"","⛔ "&amp;T362&amp;" — not posted",IF(U362&lt;&gt;"","⚠ "&amp;U362,IF(V362=1,"✓ OK","")))</f>
        <v/>
      </c>
      <c r="R362" s="67">
        <f>IF(AND(B362="",C362="",D362="",G362="",F362=""),1,0)</f>
        <v/>
      </c>
      <c r="S362" s="68">
        <f>IF(AND(TaxOn="Yes",ISNUMBER(H362)),H362,0)</f>
        <v/>
      </c>
      <c r="T362" s="67">
        <f>IF(R362=1,"",IF(B362="","Enter an invoice #",IF(C362="","Missing invoice date",IF(NOT(ISNUMBER(C362)),"Invalid date",IF(OR(C362&lt;DATE(2000,1,1),C362&gt;DATE(2099,12,31)),"Invalid date",IF(F362="","Select a revenue account",IF(ISNA(MATCH(F362,coa_Name,0)),"Unknown account: "&amp;F362,IF(NOT(ISNUMBER(G362)),"Enter an amount",IF(G362&lt;=0,"Amount must be positive",IF(S362&gt;G362,"Tax is larger than the amount",""))))))))))</f>
        <v/>
      </c>
      <c r="U362" s="67">
        <f>IF(OR(R362=1,T362&lt;&gt;""),"",IF(COUNTIF(ar_No,B362)&gt;1,"Duplicate invoice #",IF(D362="","Select a customer",IF(N(L362)&lt;0,"Overpaid by "&amp;TEXT(-L362,"#,##0.00"),IF(AND(ISNUMBER(H362),N(H362)&lt;&gt;0,S362=0),"Tax ignored (tax tracking is off)",IF(AND(ISNUMBER(StartDate),C362&lt;StartDate),"Date is before the accounting start date",IF(AND(IFERROR(INDEX(coa_Type,MATCH(F362,coa_Name,0)),"")&lt;&gt;"Revenue",IFERROR(INDEX(coa_Type,MATCH(F362,coa_Name,0)),"")&lt;&gt;"Other Income"),"Account is not a revenue account","")))))))</f>
        <v/>
      </c>
      <c r="V362" s="67">
        <f>IF(AND(R362=0,T362=""),1,0)</f>
        <v/>
      </c>
      <c r="W362" s="67">
        <f>IF(V362=1,acctAR,"")</f>
        <v/>
      </c>
      <c r="X362" s="67">
        <f>IF(V362=1,F362,"")</f>
        <v/>
      </c>
      <c r="Y362" s="68">
        <f>IF(V362=1,G362,0)</f>
        <v/>
      </c>
      <c r="Z362" s="68">
        <f>IF(V362=1,G362-S362,0)</f>
        <v/>
      </c>
      <c r="AA362" s="68">
        <f>IF(V362=1,S362,0)</f>
        <v/>
      </c>
    </row>
    <row r="363">
      <c r="B363" s="62" t="n"/>
      <c r="C363" s="63" t="n"/>
      <c r="D363" s="62" t="n"/>
      <c r="E363" s="62" t="n"/>
      <c r="F363" s="62" t="n"/>
      <c r="G363" s="64" t="n"/>
      <c r="H363" s="64" t="n"/>
      <c r="I363" s="63" t="n"/>
      <c r="J363" s="29">
        <f>IF(V363=1,IF(ISNUMBER(I363),I363,C363+IF(ISNUMBER(IFERROR(INDEX(cust_Terms,MATCH(D363,cust_Name,0)),"")),INDEX(cust_Terms,MATCH(D363,cust_Name,0)),TermsDays)),"")</f>
        <v/>
      </c>
      <c r="K363" s="65">
        <f>IF(V363=1,SUMIFS(tx_DrAmt,tx_Type,"Customer Payment",tx_Ref,B363&amp;"",tx_Date,"&lt;="&amp;AsOf),"")</f>
        <v/>
      </c>
      <c r="L363" s="65">
        <f>IF(V363=1,IF(C363&gt;AsOf,0,ROUND(G363-K363,2)),"")</f>
        <v/>
      </c>
      <c r="M363" s="66">
        <f>IF(V363&lt;&gt;1,"",IF(C363&gt;AsOf,"Future",IF(L363&lt;0,"Overpaid",IF(L363=0,"Paid",IF(AsOf&gt;J363,"Overdue",IF(K363&gt;0,"Partial","Unpaid"))))))</f>
        <v/>
      </c>
      <c r="N363" s="28">
        <f>IF(AND(V363=1,N(L363)&gt;0),AsOf-C363,"")</f>
        <v/>
      </c>
      <c r="O363" s="28">
        <f>IF(N363="","",MAX(0,AsOf-J363))</f>
        <v/>
      </c>
      <c r="P363" s="66">
        <f>IF(O363="","",IF(O363=0,"Current",IF(O363&lt;=30,"1-30",IF(O363&lt;=60,"31-60",IF(O363&lt;=90,"61-90","90+")))))</f>
        <v/>
      </c>
      <c r="Q363" s="66">
        <f>IF(T363&lt;&gt;"","⛔ "&amp;T363&amp;" — not posted",IF(U363&lt;&gt;"","⚠ "&amp;U363,IF(V363=1,"✓ OK","")))</f>
        <v/>
      </c>
      <c r="R363" s="67">
        <f>IF(AND(B363="",C363="",D363="",G363="",F363=""),1,0)</f>
        <v/>
      </c>
      <c r="S363" s="68">
        <f>IF(AND(TaxOn="Yes",ISNUMBER(H363)),H363,0)</f>
        <v/>
      </c>
      <c r="T363" s="67">
        <f>IF(R363=1,"",IF(B363="","Enter an invoice #",IF(C363="","Missing invoice date",IF(NOT(ISNUMBER(C363)),"Invalid date",IF(OR(C363&lt;DATE(2000,1,1),C363&gt;DATE(2099,12,31)),"Invalid date",IF(F363="","Select a revenue account",IF(ISNA(MATCH(F363,coa_Name,0)),"Unknown account: "&amp;F363,IF(NOT(ISNUMBER(G363)),"Enter an amount",IF(G363&lt;=0,"Amount must be positive",IF(S363&gt;G363,"Tax is larger than the amount",""))))))))))</f>
        <v/>
      </c>
      <c r="U363" s="67">
        <f>IF(OR(R363=1,T363&lt;&gt;""),"",IF(COUNTIF(ar_No,B363)&gt;1,"Duplicate invoice #",IF(D363="","Select a customer",IF(N(L363)&lt;0,"Overpaid by "&amp;TEXT(-L363,"#,##0.00"),IF(AND(ISNUMBER(H363),N(H363)&lt;&gt;0,S363=0),"Tax ignored (tax tracking is off)",IF(AND(ISNUMBER(StartDate),C363&lt;StartDate),"Date is before the accounting start date",IF(AND(IFERROR(INDEX(coa_Type,MATCH(F363,coa_Name,0)),"")&lt;&gt;"Revenue",IFERROR(INDEX(coa_Type,MATCH(F363,coa_Name,0)),"")&lt;&gt;"Other Income"),"Account is not a revenue account","")))))))</f>
        <v/>
      </c>
      <c r="V363" s="67">
        <f>IF(AND(R363=0,T363=""),1,0)</f>
        <v/>
      </c>
      <c r="W363" s="67">
        <f>IF(V363=1,acctAR,"")</f>
        <v/>
      </c>
      <c r="X363" s="67">
        <f>IF(V363=1,F363,"")</f>
        <v/>
      </c>
      <c r="Y363" s="68">
        <f>IF(V363=1,G363,0)</f>
        <v/>
      </c>
      <c r="Z363" s="68">
        <f>IF(V363=1,G363-S363,0)</f>
        <v/>
      </c>
      <c r="AA363" s="68">
        <f>IF(V363=1,S363,0)</f>
        <v/>
      </c>
    </row>
    <row r="364">
      <c r="B364" s="62" t="n"/>
      <c r="C364" s="63" t="n"/>
      <c r="D364" s="62" t="n"/>
      <c r="E364" s="62" t="n"/>
      <c r="F364" s="62" t="n"/>
      <c r="G364" s="64" t="n"/>
      <c r="H364" s="64" t="n"/>
      <c r="I364" s="63" t="n"/>
      <c r="J364" s="29">
        <f>IF(V364=1,IF(ISNUMBER(I364),I364,C364+IF(ISNUMBER(IFERROR(INDEX(cust_Terms,MATCH(D364,cust_Name,0)),"")),INDEX(cust_Terms,MATCH(D364,cust_Name,0)),TermsDays)),"")</f>
        <v/>
      </c>
      <c r="K364" s="65">
        <f>IF(V364=1,SUMIFS(tx_DrAmt,tx_Type,"Customer Payment",tx_Ref,B364&amp;"",tx_Date,"&lt;="&amp;AsOf),"")</f>
        <v/>
      </c>
      <c r="L364" s="65">
        <f>IF(V364=1,IF(C364&gt;AsOf,0,ROUND(G364-K364,2)),"")</f>
        <v/>
      </c>
      <c r="M364" s="66">
        <f>IF(V364&lt;&gt;1,"",IF(C364&gt;AsOf,"Future",IF(L364&lt;0,"Overpaid",IF(L364=0,"Paid",IF(AsOf&gt;J364,"Overdue",IF(K364&gt;0,"Partial","Unpaid"))))))</f>
        <v/>
      </c>
      <c r="N364" s="28">
        <f>IF(AND(V364=1,N(L364)&gt;0),AsOf-C364,"")</f>
        <v/>
      </c>
      <c r="O364" s="28">
        <f>IF(N364="","",MAX(0,AsOf-J364))</f>
        <v/>
      </c>
      <c r="P364" s="66">
        <f>IF(O364="","",IF(O364=0,"Current",IF(O364&lt;=30,"1-30",IF(O364&lt;=60,"31-60",IF(O364&lt;=90,"61-90","90+")))))</f>
        <v/>
      </c>
      <c r="Q364" s="66">
        <f>IF(T364&lt;&gt;"","⛔ "&amp;T364&amp;" — not posted",IF(U364&lt;&gt;"","⚠ "&amp;U364,IF(V364=1,"✓ OK","")))</f>
        <v/>
      </c>
      <c r="R364" s="67">
        <f>IF(AND(B364="",C364="",D364="",G364="",F364=""),1,0)</f>
        <v/>
      </c>
      <c r="S364" s="68">
        <f>IF(AND(TaxOn="Yes",ISNUMBER(H364)),H364,0)</f>
        <v/>
      </c>
      <c r="T364" s="67">
        <f>IF(R364=1,"",IF(B364="","Enter an invoice #",IF(C364="","Missing invoice date",IF(NOT(ISNUMBER(C364)),"Invalid date",IF(OR(C364&lt;DATE(2000,1,1),C364&gt;DATE(2099,12,31)),"Invalid date",IF(F364="","Select a revenue account",IF(ISNA(MATCH(F364,coa_Name,0)),"Unknown account: "&amp;F364,IF(NOT(ISNUMBER(G364)),"Enter an amount",IF(G364&lt;=0,"Amount must be positive",IF(S364&gt;G364,"Tax is larger than the amount",""))))))))))</f>
        <v/>
      </c>
      <c r="U364" s="67">
        <f>IF(OR(R364=1,T364&lt;&gt;""),"",IF(COUNTIF(ar_No,B364)&gt;1,"Duplicate invoice #",IF(D364="","Select a customer",IF(N(L364)&lt;0,"Overpaid by "&amp;TEXT(-L364,"#,##0.00"),IF(AND(ISNUMBER(H364),N(H364)&lt;&gt;0,S364=0),"Tax ignored (tax tracking is off)",IF(AND(ISNUMBER(StartDate),C364&lt;StartDate),"Date is before the accounting start date",IF(AND(IFERROR(INDEX(coa_Type,MATCH(F364,coa_Name,0)),"")&lt;&gt;"Revenue",IFERROR(INDEX(coa_Type,MATCH(F364,coa_Name,0)),"")&lt;&gt;"Other Income"),"Account is not a revenue account","")))))))</f>
        <v/>
      </c>
      <c r="V364" s="67">
        <f>IF(AND(R364=0,T364=""),1,0)</f>
        <v/>
      </c>
      <c r="W364" s="67">
        <f>IF(V364=1,acctAR,"")</f>
        <v/>
      </c>
      <c r="X364" s="67">
        <f>IF(V364=1,F364,"")</f>
        <v/>
      </c>
      <c r="Y364" s="68">
        <f>IF(V364=1,G364,0)</f>
        <v/>
      </c>
      <c r="Z364" s="68">
        <f>IF(V364=1,G364-S364,0)</f>
        <v/>
      </c>
      <c r="AA364" s="68">
        <f>IF(V364=1,S364,0)</f>
        <v/>
      </c>
    </row>
    <row r="365">
      <c r="B365" s="62" t="n"/>
      <c r="C365" s="63" t="n"/>
      <c r="D365" s="62" t="n"/>
      <c r="E365" s="62" t="n"/>
      <c r="F365" s="62" t="n"/>
      <c r="G365" s="64" t="n"/>
      <c r="H365" s="64" t="n"/>
      <c r="I365" s="63" t="n"/>
      <c r="J365" s="29">
        <f>IF(V365=1,IF(ISNUMBER(I365),I365,C365+IF(ISNUMBER(IFERROR(INDEX(cust_Terms,MATCH(D365,cust_Name,0)),"")),INDEX(cust_Terms,MATCH(D365,cust_Name,0)),TermsDays)),"")</f>
        <v/>
      </c>
      <c r="K365" s="65">
        <f>IF(V365=1,SUMIFS(tx_DrAmt,tx_Type,"Customer Payment",tx_Ref,B365&amp;"",tx_Date,"&lt;="&amp;AsOf),"")</f>
        <v/>
      </c>
      <c r="L365" s="65">
        <f>IF(V365=1,IF(C365&gt;AsOf,0,ROUND(G365-K365,2)),"")</f>
        <v/>
      </c>
      <c r="M365" s="66">
        <f>IF(V365&lt;&gt;1,"",IF(C365&gt;AsOf,"Future",IF(L365&lt;0,"Overpaid",IF(L365=0,"Paid",IF(AsOf&gt;J365,"Overdue",IF(K365&gt;0,"Partial","Unpaid"))))))</f>
        <v/>
      </c>
      <c r="N365" s="28">
        <f>IF(AND(V365=1,N(L365)&gt;0),AsOf-C365,"")</f>
        <v/>
      </c>
      <c r="O365" s="28">
        <f>IF(N365="","",MAX(0,AsOf-J365))</f>
        <v/>
      </c>
      <c r="P365" s="66">
        <f>IF(O365="","",IF(O365=0,"Current",IF(O365&lt;=30,"1-30",IF(O365&lt;=60,"31-60",IF(O365&lt;=90,"61-90","90+")))))</f>
        <v/>
      </c>
      <c r="Q365" s="66">
        <f>IF(T365&lt;&gt;"","⛔ "&amp;T365&amp;" — not posted",IF(U365&lt;&gt;"","⚠ "&amp;U365,IF(V365=1,"✓ OK","")))</f>
        <v/>
      </c>
      <c r="R365" s="67">
        <f>IF(AND(B365="",C365="",D365="",G365="",F365=""),1,0)</f>
        <v/>
      </c>
      <c r="S365" s="68">
        <f>IF(AND(TaxOn="Yes",ISNUMBER(H365)),H365,0)</f>
        <v/>
      </c>
      <c r="T365" s="67">
        <f>IF(R365=1,"",IF(B365="","Enter an invoice #",IF(C365="","Missing invoice date",IF(NOT(ISNUMBER(C365)),"Invalid date",IF(OR(C365&lt;DATE(2000,1,1),C365&gt;DATE(2099,12,31)),"Invalid date",IF(F365="","Select a revenue account",IF(ISNA(MATCH(F365,coa_Name,0)),"Unknown account: "&amp;F365,IF(NOT(ISNUMBER(G365)),"Enter an amount",IF(G365&lt;=0,"Amount must be positive",IF(S365&gt;G365,"Tax is larger than the amount",""))))))))))</f>
        <v/>
      </c>
      <c r="U365" s="67">
        <f>IF(OR(R365=1,T365&lt;&gt;""),"",IF(COUNTIF(ar_No,B365)&gt;1,"Duplicate invoice #",IF(D365="","Select a customer",IF(N(L365)&lt;0,"Overpaid by "&amp;TEXT(-L365,"#,##0.00"),IF(AND(ISNUMBER(H365),N(H365)&lt;&gt;0,S365=0),"Tax ignored (tax tracking is off)",IF(AND(ISNUMBER(StartDate),C365&lt;StartDate),"Date is before the accounting start date",IF(AND(IFERROR(INDEX(coa_Type,MATCH(F365,coa_Name,0)),"")&lt;&gt;"Revenue",IFERROR(INDEX(coa_Type,MATCH(F365,coa_Name,0)),"")&lt;&gt;"Other Income"),"Account is not a revenue account","")))))))</f>
        <v/>
      </c>
      <c r="V365" s="67">
        <f>IF(AND(R365=0,T365=""),1,0)</f>
        <v/>
      </c>
      <c r="W365" s="67">
        <f>IF(V365=1,acctAR,"")</f>
        <v/>
      </c>
      <c r="X365" s="67">
        <f>IF(V365=1,F365,"")</f>
        <v/>
      </c>
      <c r="Y365" s="68">
        <f>IF(V365=1,G365,0)</f>
        <v/>
      </c>
      <c r="Z365" s="68">
        <f>IF(V365=1,G365-S365,0)</f>
        <v/>
      </c>
      <c r="AA365" s="68">
        <f>IF(V365=1,S365,0)</f>
        <v/>
      </c>
    </row>
    <row r="366">
      <c r="B366" s="62" t="n"/>
      <c r="C366" s="63" t="n"/>
      <c r="D366" s="62" t="n"/>
      <c r="E366" s="62" t="n"/>
      <c r="F366" s="62" t="n"/>
      <c r="G366" s="64" t="n"/>
      <c r="H366" s="64" t="n"/>
      <c r="I366" s="63" t="n"/>
      <c r="J366" s="29">
        <f>IF(V366=1,IF(ISNUMBER(I366),I366,C366+IF(ISNUMBER(IFERROR(INDEX(cust_Terms,MATCH(D366,cust_Name,0)),"")),INDEX(cust_Terms,MATCH(D366,cust_Name,0)),TermsDays)),"")</f>
        <v/>
      </c>
      <c r="K366" s="65">
        <f>IF(V366=1,SUMIFS(tx_DrAmt,tx_Type,"Customer Payment",tx_Ref,B366&amp;"",tx_Date,"&lt;="&amp;AsOf),"")</f>
        <v/>
      </c>
      <c r="L366" s="65">
        <f>IF(V366=1,IF(C366&gt;AsOf,0,ROUND(G366-K366,2)),"")</f>
        <v/>
      </c>
      <c r="M366" s="66">
        <f>IF(V366&lt;&gt;1,"",IF(C366&gt;AsOf,"Future",IF(L366&lt;0,"Overpaid",IF(L366=0,"Paid",IF(AsOf&gt;J366,"Overdue",IF(K366&gt;0,"Partial","Unpaid"))))))</f>
        <v/>
      </c>
      <c r="N366" s="28">
        <f>IF(AND(V366=1,N(L366)&gt;0),AsOf-C366,"")</f>
        <v/>
      </c>
      <c r="O366" s="28">
        <f>IF(N366="","",MAX(0,AsOf-J366))</f>
        <v/>
      </c>
      <c r="P366" s="66">
        <f>IF(O366="","",IF(O366=0,"Current",IF(O366&lt;=30,"1-30",IF(O366&lt;=60,"31-60",IF(O366&lt;=90,"61-90","90+")))))</f>
        <v/>
      </c>
      <c r="Q366" s="66">
        <f>IF(T366&lt;&gt;"","⛔ "&amp;T366&amp;" — not posted",IF(U366&lt;&gt;"","⚠ "&amp;U366,IF(V366=1,"✓ OK","")))</f>
        <v/>
      </c>
      <c r="R366" s="67">
        <f>IF(AND(B366="",C366="",D366="",G366="",F366=""),1,0)</f>
        <v/>
      </c>
      <c r="S366" s="68">
        <f>IF(AND(TaxOn="Yes",ISNUMBER(H366)),H366,0)</f>
        <v/>
      </c>
      <c r="T366" s="67">
        <f>IF(R366=1,"",IF(B366="","Enter an invoice #",IF(C366="","Missing invoice date",IF(NOT(ISNUMBER(C366)),"Invalid date",IF(OR(C366&lt;DATE(2000,1,1),C366&gt;DATE(2099,12,31)),"Invalid date",IF(F366="","Select a revenue account",IF(ISNA(MATCH(F366,coa_Name,0)),"Unknown account: "&amp;F366,IF(NOT(ISNUMBER(G366)),"Enter an amount",IF(G366&lt;=0,"Amount must be positive",IF(S366&gt;G366,"Tax is larger than the amount",""))))))))))</f>
        <v/>
      </c>
      <c r="U366" s="67">
        <f>IF(OR(R366=1,T366&lt;&gt;""),"",IF(COUNTIF(ar_No,B366)&gt;1,"Duplicate invoice #",IF(D366="","Select a customer",IF(N(L366)&lt;0,"Overpaid by "&amp;TEXT(-L366,"#,##0.00"),IF(AND(ISNUMBER(H366),N(H366)&lt;&gt;0,S366=0),"Tax ignored (tax tracking is off)",IF(AND(ISNUMBER(StartDate),C366&lt;StartDate),"Date is before the accounting start date",IF(AND(IFERROR(INDEX(coa_Type,MATCH(F366,coa_Name,0)),"")&lt;&gt;"Revenue",IFERROR(INDEX(coa_Type,MATCH(F366,coa_Name,0)),"")&lt;&gt;"Other Income"),"Account is not a revenue account","")))))))</f>
        <v/>
      </c>
      <c r="V366" s="67">
        <f>IF(AND(R366=0,T366=""),1,0)</f>
        <v/>
      </c>
      <c r="W366" s="67">
        <f>IF(V366=1,acctAR,"")</f>
        <v/>
      </c>
      <c r="X366" s="67">
        <f>IF(V366=1,F366,"")</f>
        <v/>
      </c>
      <c r="Y366" s="68">
        <f>IF(V366=1,G366,0)</f>
        <v/>
      </c>
      <c r="Z366" s="68">
        <f>IF(V366=1,G366-S366,0)</f>
        <v/>
      </c>
      <c r="AA366" s="68">
        <f>IF(V366=1,S366,0)</f>
        <v/>
      </c>
    </row>
    <row r="367">
      <c r="B367" s="62" t="n"/>
      <c r="C367" s="63" t="n"/>
      <c r="D367" s="62" t="n"/>
      <c r="E367" s="62" t="n"/>
      <c r="F367" s="62" t="n"/>
      <c r="G367" s="64" t="n"/>
      <c r="H367" s="64" t="n"/>
      <c r="I367" s="63" t="n"/>
      <c r="J367" s="29">
        <f>IF(V367=1,IF(ISNUMBER(I367),I367,C367+IF(ISNUMBER(IFERROR(INDEX(cust_Terms,MATCH(D367,cust_Name,0)),"")),INDEX(cust_Terms,MATCH(D367,cust_Name,0)),TermsDays)),"")</f>
        <v/>
      </c>
      <c r="K367" s="65">
        <f>IF(V367=1,SUMIFS(tx_DrAmt,tx_Type,"Customer Payment",tx_Ref,B367&amp;"",tx_Date,"&lt;="&amp;AsOf),"")</f>
        <v/>
      </c>
      <c r="L367" s="65">
        <f>IF(V367=1,IF(C367&gt;AsOf,0,ROUND(G367-K367,2)),"")</f>
        <v/>
      </c>
      <c r="M367" s="66">
        <f>IF(V367&lt;&gt;1,"",IF(C367&gt;AsOf,"Future",IF(L367&lt;0,"Overpaid",IF(L367=0,"Paid",IF(AsOf&gt;J367,"Overdue",IF(K367&gt;0,"Partial","Unpaid"))))))</f>
        <v/>
      </c>
      <c r="N367" s="28">
        <f>IF(AND(V367=1,N(L367)&gt;0),AsOf-C367,"")</f>
        <v/>
      </c>
      <c r="O367" s="28">
        <f>IF(N367="","",MAX(0,AsOf-J367))</f>
        <v/>
      </c>
      <c r="P367" s="66">
        <f>IF(O367="","",IF(O367=0,"Current",IF(O367&lt;=30,"1-30",IF(O367&lt;=60,"31-60",IF(O367&lt;=90,"61-90","90+")))))</f>
        <v/>
      </c>
      <c r="Q367" s="66">
        <f>IF(T367&lt;&gt;"","⛔ "&amp;T367&amp;" — not posted",IF(U367&lt;&gt;"","⚠ "&amp;U367,IF(V367=1,"✓ OK","")))</f>
        <v/>
      </c>
      <c r="R367" s="67">
        <f>IF(AND(B367="",C367="",D367="",G367="",F367=""),1,0)</f>
        <v/>
      </c>
      <c r="S367" s="68">
        <f>IF(AND(TaxOn="Yes",ISNUMBER(H367)),H367,0)</f>
        <v/>
      </c>
      <c r="T367" s="67">
        <f>IF(R367=1,"",IF(B367="","Enter an invoice #",IF(C367="","Missing invoice date",IF(NOT(ISNUMBER(C367)),"Invalid date",IF(OR(C367&lt;DATE(2000,1,1),C367&gt;DATE(2099,12,31)),"Invalid date",IF(F367="","Select a revenue account",IF(ISNA(MATCH(F367,coa_Name,0)),"Unknown account: "&amp;F367,IF(NOT(ISNUMBER(G367)),"Enter an amount",IF(G367&lt;=0,"Amount must be positive",IF(S367&gt;G367,"Tax is larger than the amount",""))))))))))</f>
        <v/>
      </c>
      <c r="U367" s="67">
        <f>IF(OR(R367=1,T367&lt;&gt;""),"",IF(COUNTIF(ar_No,B367)&gt;1,"Duplicate invoice #",IF(D367="","Select a customer",IF(N(L367)&lt;0,"Overpaid by "&amp;TEXT(-L367,"#,##0.00"),IF(AND(ISNUMBER(H367),N(H367)&lt;&gt;0,S367=0),"Tax ignored (tax tracking is off)",IF(AND(ISNUMBER(StartDate),C367&lt;StartDate),"Date is before the accounting start date",IF(AND(IFERROR(INDEX(coa_Type,MATCH(F367,coa_Name,0)),"")&lt;&gt;"Revenue",IFERROR(INDEX(coa_Type,MATCH(F367,coa_Name,0)),"")&lt;&gt;"Other Income"),"Account is not a revenue account","")))))))</f>
        <v/>
      </c>
      <c r="V367" s="67">
        <f>IF(AND(R367=0,T367=""),1,0)</f>
        <v/>
      </c>
      <c r="W367" s="67">
        <f>IF(V367=1,acctAR,"")</f>
        <v/>
      </c>
      <c r="X367" s="67">
        <f>IF(V367=1,F367,"")</f>
        <v/>
      </c>
      <c r="Y367" s="68">
        <f>IF(V367=1,G367,0)</f>
        <v/>
      </c>
      <c r="Z367" s="68">
        <f>IF(V367=1,G367-S367,0)</f>
        <v/>
      </c>
      <c r="AA367" s="68">
        <f>IF(V367=1,S367,0)</f>
        <v/>
      </c>
    </row>
    <row r="368">
      <c r="B368" s="62" t="n"/>
      <c r="C368" s="63" t="n"/>
      <c r="D368" s="62" t="n"/>
      <c r="E368" s="62" t="n"/>
      <c r="F368" s="62" t="n"/>
      <c r="G368" s="64" t="n"/>
      <c r="H368" s="64" t="n"/>
      <c r="I368" s="63" t="n"/>
      <c r="J368" s="29">
        <f>IF(V368=1,IF(ISNUMBER(I368),I368,C368+IF(ISNUMBER(IFERROR(INDEX(cust_Terms,MATCH(D368,cust_Name,0)),"")),INDEX(cust_Terms,MATCH(D368,cust_Name,0)),TermsDays)),"")</f>
        <v/>
      </c>
      <c r="K368" s="65">
        <f>IF(V368=1,SUMIFS(tx_DrAmt,tx_Type,"Customer Payment",tx_Ref,B368&amp;"",tx_Date,"&lt;="&amp;AsOf),"")</f>
        <v/>
      </c>
      <c r="L368" s="65">
        <f>IF(V368=1,IF(C368&gt;AsOf,0,ROUND(G368-K368,2)),"")</f>
        <v/>
      </c>
      <c r="M368" s="66">
        <f>IF(V368&lt;&gt;1,"",IF(C368&gt;AsOf,"Future",IF(L368&lt;0,"Overpaid",IF(L368=0,"Paid",IF(AsOf&gt;J368,"Overdue",IF(K368&gt;0,"Partial","Unpaid"))))))</f>
        <v/>
      </c>
      <c r="N368" s="28">
        <f>IF(AND(V368=1,N(L368)&gt;0),AsOf-C368,"")</f>
        <v/>
      </c>
      <c r="O368" s="28">
        <f>IF(N368="","",MAX(0,AsOf-J368))</f>
        <v/>
      </c>
      <c r="P368" s="66">
        <f>IF(O368="","",IF(O368=0,"Current",IF(O368&lt;=30,"1-30",IF(O368&lt;=60,"31-60",IF(O368&lt;=90,"61-90","90+")))))</f>
        <v/>
      </c>
      <c r="Q368" s="66">
        <f>IF(T368&lt;&gt;"","⛔ "&amp;T368&amp;" — not posted",IF(U368&lt;&gt;"","⚠ "&amp;U368,IF(V368=1,"✓ OK","")))</f>
        <v/>
      </c>
      <c r="R368" s="67">
        <f>IF(AND(B368="",C368="",D368="",G368="",F368=""),1,0)</f>
        <v/>
      </c>
      <c r="S368" s="68">
        <f>IF(AND(TaxOn="Yes",ISNUMBER(H368)),H368,0)</f>
        <v/>
      </c>
      <c r="T368" s="67">
        <f>IF(R368=1,"",IF(B368="","Enter an invoice #",IF(C368="","Missing invoice date",IF(NOT(ISNUMBER(C368)),"Invalid date",IF(OR(C368&lt;DATE(2000,1,1),C368&gt;DATE(2099,12,31)),"Invalid date",IF(F368="","Select a revenue account",IF(ISNA(MATCH(F368,coa_Name,0)),"Unknown account: "&amp;F368,IF(NOT(ISNUMBER(G368)),"Enter an amount",IF(G368&lt;=0,"Amount must be positive",IF(S368&gt;G368,"Tax is larger than the amount",""))))))))))</f>
        <v/>
      </c>
      <c r="U368" s="67">
        <f>IF(OR(R368=1,T368&lt;&gt;""),"",IF(COUNTIF(ar_No,B368)&gt;1,"Duplicate invoice #",IF(D368="","Select a customer",IF(N(L368)&lt;0,"Overpaid by "&amp;TEXT(-L368,"#,##0.00"),IF(AND(ISNUMBER(H368),N(H368)&lt;&gt;0,S368=0),"Tax ignored (tax tracking is off)",IF(AND(ISNUMBER(StartDate),C368&lt;StartDate),"Date is before the accounting start date",IF(AND(IFERROR(INDEX(coa_Type,MATCH(F368,coa_Name,0)),"")&lt;&gt;"Revenue",IFERROR(INDEX(coa_Type,MATCH(F368,coa_Name,0)),"")&lt;&gt;"Other Income"),"Account is not a revenue account","")))))))</f>
        <v/>
      </c>
      <c r="V368" s="67">
        <f>IF(AND(R368=0,T368=""),1,0)</f>
        <v/>
      </c>
      <c r="W368" s="67">
        <f>IF(V368=1,acctAR,"")</f>
        <v/>
      </c>
      <c r="X368" s="67">
        <f>IF(V368=1,F368,"")</f>
        <v/>
      </c>
      <c r="Y368" s="68">
        <f>IF(V368=1,G368,0)</f>
        <v/>
      </c>
      <c r="Z368" s="68">
        <f>IF(V368=1,G368-S368,0)</f>
        <v/>
      </c>
      <c r="AA368" s="68">
        <f>IF(V368=1,S368,0)</f>
        <v/>
      </c>
    </row>
    <row r="369">
      <c r="B369" s="62" t="n"/>
      <c r="C369" s="63" t="n"/>
      <c r="D369" s="62" t="n"/>
      <c r="E369" s="62" t="n"/>
      <c r="F369" s="62" t="n"/>
      <c r="G369" s="64" t="n"/>
      <c r="H369" s="64" t="n"/>
      <c r="I369" s="63" t="n"/>
      <c r="J369" s="29">
        <f>IF(V369=1,IF(ISNUMBER(I369),I369,C369+IF(ISNUMBER(IFERROR(INDEX(cust_Terms,MATCH(D369,cust_Name,0)),"")),INDEX(cust_Terms,MATCH(D369,cust_Name,0)),TermsDays)),"")</f>
        <v/>
      </c>
      <c r="K369" s="65">
        <f>IF(V369=1,SUMIFS(tx_DrAmt,tx_Type,"Customer Payment",tx_Ref,B369&amp;"",tx_Date,"&lt;="&amp;AsOf),"")</f>
        <v/>
      </c>
      <c r="L369" s="65">
        <f>IF(V369=1,IF(C369&gt;AsOf,0,ROUND(G369-K369,2)),"")</f>
        <v/>
      </c>
      <c r="M369" s="66">
        <f>IF(V369&lt;&gt;1,"",IF(C369&gt;AsOf,"Future",IF(L369&lt;0,"Overpaid",IF(L369=0,"Paid",IF(AsOf&gt;J369,"Overdue",IF(K369&gt;0,"Partial","Unpaid"))))))</f>
        <v/>
      </c>
      <c r="N369" s="28">
        <f>IF(AND(V369=1,N(L369)&gt;0),AsOf-C369,"")</f>
        <v/>
      </c>
      <c r="O369" s="28">
        <f>IF(N369="","",MAX(0,AsOf-J369))</f>
        <v/>
      </c>
      <c r="P369" s="66">
        <f>IF(O369="","",IF(O369=0,"Current",IF(O369&lt;=30,"1-30",IF(O369&lt;=60,"31-60",IF(O369&lt;=90,"61-90","90+")))))</f>
        <v/>
      </c>
      <c r="Q369" s="66">
        <f>IF(T369&lt;&gt;"","⛔ "&amp;T369&amp;" — not posted",IF(U369&lt;&gt;"","⚠ "&amp;U369,IF(V369=1,"✓ OK","")))</f>
        <v/>
      </c>
      <c r="R369" s="67">
        <f>IF(AND(B369="",C369="",D369="",G369="",F369=""),1,0)</f>
        <v/>
      </c>
      <c r="S369" s="68">
        <f>IF(AND(TaxOn="Yes",ISNUMBER(H369)),H369,0)</f>
        <v/>
      </c>
      <c r="T369" s="67">
        <f>IF(R369=1,"",IF(B369="","Enter an invoice #",IF(C369="","Missing invoice date",IF(NOT(ISNUMBER(C369)),"Invalid date",IF(OR(C369&lt;DATE(2000,1,1),C369&gt;DATE(2099,12,31)),"Invalid date",IF(F369="","Select a revenue account",IF(ISNA(MATCH(F369,coa_Name,0)),"Unknown account: "&amp;F369,IF(NOT(ISNUMBER(G369)),"Enter an amount",IF(G369&lt;=0,"Amount must be positive",IF(S369&gt;G369,"Tax is larger than the amount",""))))))))))</f>
        <v/>
      </c>
      <c r="U369" s="67">
        <f>IF(OR(R369=1,T369&lt;&gt;""),"",IF(COUNTIF(ar_No,B369)&gt;1,"Duplicate invoice #",IF(D369="","Select a customer",IF(N(L369)&lt;0,"Overpaid by "&amp;TEXT(-L369,"#,##0.00"),IF(AND(ISNUMBER(H369),N(H369)&lt;&gt;0,S369=0),"Tax ignored (tax tracking is off)",IF(AND(ISNUMBER(StartDate),C369&lt;StartDate),"Date is before the accounting start date",IF(AND(IFERROR(INDEX(coa_Type,MATCH(F369,coa_Name,0)),"")&lt;&gt;"Revenue",IFERROR(INDEX(coa_Type,MATCH(F369,coa_Name,0)),"")&lt;&gt;"Other Income"),"Account is not a revenue account","")))))))</f>
        <v/>
      </c>
      <c r="V369" s="67">
        <f>IF(AND(R369=0,T369=""),1,0)</f>
        <v/>
      </c>
      <c r="W369" s="67">
        <f>IF(V369=1,acctAR,"")</f>
        <v/>
      </c>
      <c r="X369" s="67">
        <f>IF(V369=1,F369,"")</f>
        <v/>
      </c>
      <c r="Y369" s="68">
        <f>IF(V369=1,G369,0)</f>
        <v/>
      </c>
      <c r="Z369" s="68">
        <f>IF(V369=1,G369-S369,0)</f>
        <v/>
      </c>
      <c r="AA369" s="68">
        <f>IF(V369=1,S369,0)</f>
        <v/>
      </c>
    </row>
    <row r="370">
      <c r="B370" s="62" t="n"/>
      <c r="C370" s="63" t="n"/>
      <c r="D370" s="62" t="n"/>
      <c r="E370" s="62" t="n"/>
      <c r="F370" s="62" t="n"/>
      <c r="G370" s="64" t="n"/>
      <c r="H370" s="64" t="n"/>
      <c r="I370" s="63" t="n"/>
      <c r="J370" s="29">
        <f>IF(V370=1,IF(ISNUMBER(I370),I370,C370+IF(ISNUMBER(IFERROR(INDEX(cust_Terms,MATCH(D370,cust_Name,0)),"")),INDEX(cust_Terms,MATCH(D370,cust_Name,0)),TermsDays)),"")</f>
        <v/>
      </c>
      <c r="K370" s="65">
        <f>IF(V370=1,SUMIFS(tx_DrAmt,tx_Type,"Customer Payment",tx_Ref,B370&amp;"",tx_Date,"&lt;="&amp;AsOf),"")</f>
        <v/>
      </c>
      <c r="L370" s="65">
        <f>IF(V370=1,IF(C370&gt;AsOf,0,ROUND(G370-K370,2)),"")</f>
        <v/>
      </c>
      <c r="M370" s="66">
        <f>IF(V370&lt;&gt;1,"",IF(C370&gt;AsOf,"Future",IF(L370&lt;0,"Overpaid",IF(L370=0,"Paid",IF(AsOf&gt;J370,"Overdue",IF(K370&gt;0,"Partial","Unpaid"))))))</f>
        <v/>
      </c>
      <c r="N370" s="28">
        <f>IF(AND(V370=1,N(L370)&gt;0),AsOf-C370,"")</f>
        <v/>
      </c>
      <c r="O370" s="28">
        <f>IF(N370="","",MAX(0,AsOf-J370))</f>
        <v/>
      </c>
      <c r="P370" s="66">
        <f>IF(O370="","",IF(O370=0,"Current",IF(O370&lt;=30,"1-30",IF(O370&lt;=60,"31-60",IF(O370&lt;=90,"61-90","90+")))))</f>
        <v/>
      </c>
      <c r="Q370" s="66">
        <f>IF(T370&lt;&gt;"","⛔ "&amp;T370&amp;" — not posted",IF(U370&lt;&gt;"","⚠ "&amp;U370,IF(V370=1,"✓ OK","")))</f>
        <v/>
      </c>
      <c r="R370" s="67">
        <f>IF(AND(B370="",C370="",D370="",G370="",F370=""),1,0)</f>
        <v/>
      </c>
      <c r="S370" s="68">
        <f>IF(AND(TaxOn="Yes",ISNUMBER(H370)),H370,0)</f>
        <v/>
      </c>
      <c r="T370" s="67">
        <f>IF(R370=1,"",IF(B370="","Enter an invoice #",IF(C370="","Missing invoice date",IF(NOT(ISNUMBER(C370)),"Invalid date",IF(OR(C370&lt;DATE(2000,1,1),C370&gt;DATE(2099,12,31)),"Invalid date",IF(F370="","Select a revenue account",IF(ISNA(MATCH(F370,coa_Name,0)),"Unknown account: "&amp;F370,IF(NOT(ISNUMBER(G370)),"Enter an amount",IF(G370&lt;=0,"Amount must be positive",IF(S370&gt;G370,"Tax is larger than the amount",""))))))))))</f>
        <v/>
      </c>
      <c r="U370" s="67">
        <f>IF(OR(R370=1,T370&lt;&gt;""),"",IF(COUNTIF(ar_No,B370)&gt;1,"Duplicate invoice #",IF(D370="","Select a customer",IF(N(L370)&lt;0,"Overpaid by "&amp;TEXT(-L370,"#,##0.00"),IF(AND(ISNUMBER(H370),N(H370)&lt;&gt;0,S370=0),"Tax ignored (tax tracking is off)",IF(AND(ISNUMBER(StartDate),C370&lt;StartDate),"Date is before the accounting start date",IF(AND(IFERROR(INDEX(coa_Type,MATCH(F370,coa_Name,0)),"")&lt;&gt;"Revenue",IFERROR(INDEX(coa_Type,MATCH(F370,coa_Name,0)),"")&lt;&gt;"Other Income"),"Account is not a revenue account","")))))))</f>
        <v/>
      </c>
      <c r="V370" s="67">
        <f>IF(AND(R370=0,T370=""),1,0)</f>
        <v/>
      </c>
      <c r="W370" s="67">
        <f>IF(V370=1,acctAR,"")</f>
        <v/>
      </c>
      <c r="X370" s="67">
        <f>IF(V370=1,F370,"")</f>
        <v/>
      </c>
      <c r="Y370" s="68">
        <f>IF(V370=1,G370,0)</f>
        <v/>
      </c>
      <c r="Z370" s="68">
        <f>IF(V370=1,G370-S370,0)</f>
        <v/>
      </c>
      <c r="AA370" s="68">
        <f>IF(V370=1,S370,0)</f>
        <v/>
      </c>
    </row>
    <row r="371">
      <c r="B371" s="62" t="n"/>
      <c r="C371" s="63" t="n"/>
      <c r="D371" s="62" t="n"/>
      <c r="E371" s="62" t="n"/>
      <c r="F371" s="62" t="n"/>
      <c r="G371" s="64" t="n"/>
      <c r="H371" s="64" t="n"/>
      <c r="I371" s="63" t="n"/>
      <c r="J371" s="29">
        <f>IF(V371=1,IF(ISNUMBER(I371),I371,C371+IF(ISNUMBER(IFERROR(INDEX(cust_Terms,MATCH(D371,cust_Name,0)),"")),INDEX(cust_Terms,MATCH(D371,cust_Name,0)),TermsDays)),"")</f>
        <v/>
      </c>
      <c r="K371" s="65">
        <f>IF(V371=1,SUMIFS(tx_DrAmt,tx_Type,"Customer Payment",tx_Ref,B371&amp;"",tx_Date,"&lt;="&amp;AsOf),"")</f>
        <v/>
      </c>
      <c r="L371" s="65">
        <f>IF(V371=1,IF(C371&gt;AsOf,0,ROUND(G371-K371,2)),"")</f>
        <v/>
      </c>
      <c r="M371" s="66">
        <f>IF(V371&lt;&gt;1,"",IF(C371&gt;AsOf,"Future",IF(L371&lt;0,"Overpaid",IF(L371=0,"Paid",IF(AsOf&gt;J371,"Overdue",IF(K371&gt;0,"Partial","Unpaid"))))))</f>
        <v/>
      </c>
      <c r="N371" s="28">
        <f>IF(AND(V371=1,N(L371)&gt;0),AsOf-C371,"")</f>
        <v/>
      </c>
      <c r="O371" s="28">
        <f>IF(N371="","",MAX(0,AsOf-J371))</f>
        <v/>
      </c>
      <c r="P371" s="66">
        <f>IF(O371="","",IF(O371=0,"Current",IF(O371&lt;=30,"1-30",IF(O371&lt;=60,"31-60",IF(O371&lt;=90,"61-90","90+")))))</f>
        <v/>
      </c>
      <c r="Q371" s="66">
        <f>IF(T371&lt;&gt;"","⛔ "&amp;T371&amp;" — not posted",IF(U371&lt;&gt;"","⚠ "&amp;U371,IF(V371=1,"✓ OK","")))</f>
        <v/>
      </c>
      <c r="R371" s="67">
        <f>IF(AND(B371="",C371="",D371="",G371="",F371=""),1,0)</f>
        <v/>
      </c>
      <c r="S371" s="68">
        <f>IF(AND(TaxOn="Yes",ISNUMBER(H371)),H371,0)</f>
        <v/>
      </c>
      <c r="T371" s="67">
        <f>IF(R371=1,"",IF(B371="","Enter an invoice #",IF(C371="","Missing invoice date",IF(NOT(ISNUMBER(C371)),"Invalid date",IF(OR(C371&lt;DATE(2000,1,1),C371&gt;DATE(2099,12,31)),"Invalid date",IF(F371="","Select a revenue account",IF(ISNA(MATCH(F371,coa_Name,0)),"Unknown account: "&amp;F371,IF(NOT(ISNUMBER(G371)),"Enter an amount",IF(G371&lt;=0,"Amount must be positive",IF(S371&gt;G371,"Tax is larger than the amount",""))))))))))</f>
        <v/>
      </c>
      <c r="U371" s="67">
        <f>IF(OR(R371=1,T371&lt;&gt;""),"",IF(COUNTIF(ar_No,B371)&gt;1,"Duplicate invoice #",IF(D371="","Select a customer",IF(N(L371)&lt;0,"Overpaid by "&amp;TEXT(-L371,"#,##0.00"),IF(AND(ISNUMBER(H371),N(H371)&lt;&gt;0,S371=0),"Tax ignored (tax tracking is off)",IF(AND(ISNUMBER(StartDate),C371&lt;StartDate),"Date is before the accounting start date",IF(AND(IFERROR(INDEX(coa_Type,MATCH(F371,coa_Name,0)),"")&lt;&gt;"Revenue",IFERROR(INDEX(coa_Type,MATCH(F371,coa_Name,0)),"")&lt;&gt;"Other Income"),"Account is not a revenue account","")))))))</f>
        <v/>
      </c>
      <c r="V371" s="67">
        <f>IF(AND(R371=0,T371=""),1,0)</f>
        <v/>
      </c>
      <c r="W371" s="67">
        <f>IF(V371=1,acctAR,"")</f>
        <v/>
      </c>
      <c r="X371" s="67">
        <f>IF(V371=1,F371,"")</f>
        <v/>
      </c>
      <c r="Y371" s="68">
        <f>IF(V371=1,G371,0)</f>
        <v/>
      </c>
      <c r="Z371" s="68">
        <f>IF(V371=1,G371-S371,0)</f>
        <v/>
      </c>
      <c r="AA371" s="68">
        <f>IF(V371=1,S371,0)</f>
        <v/>
      </c>
    </row>
    <row r="372">
      <c r="B372" s="62" t="n"/>
      <c r="C372" s="63" t="n"/>
      <c r="D372" s="62" t="n"/>
      <c r="E372" s="62" t="n"/>
      <c r="F372" s="62" t="n"/>
      <c r="G372" s="64" t="n"/>
      <c r="H372" s="64" t="n"/>
      <c r="I372" s="63" t="n"/>
      <c r="J372" s="29">
        <f>IF(V372=1,IF(ISNUMBER(I372),I372,C372+IF(ISNUMBER(IFERROR(INDEX(cust_Terms,MATCH(D372,cust_Name,0)),"")),INDEX(cust_Terms,MATCH(D372,cust_Name,0)),TermsDays)),"")</f>
        <v/>
      </c>
      <c r="K372" s="65">
        <f>IF(V372=1,SUMIFS(tx_DrAmt,tx_Type,"Customer Payment",tx_Ref,B372&amp;"",tx_Date,"&lt;="&amp;AsOf),"")</f>
        <v/>
      </c>
      <c r="L372" s="65">
        <f>IF(V372=1,IF(C372&gt;AsOf,0,ROUND(G372-K372,2)),"")</f>
        <v/>
      </c>
      <c r="M372" s="66">
        <f>IF(V372&lt;&gt;1,"",IF(C372&gt;AsOf,"Future",IF(L372&lt;0,"Overpaid",IF(L372=0,"Paid",IF(AsOf&gt;J372,"Overdue",IF(K372&gt;0,"Partial","Unpaid"))))))</f>
        <v/>
      </c>
      <c r="N372" s="28">
        <f>IF(AND(V372=1,N(L372)&gt;0),AsOf-C372,"")</f>
        <v/>
      </c>
      <c r="O372" s="28">
        <f>IF(N372="","",MAX(0,AsOf-J372))</f>
        <v/>
      </c>
      <c r="P372" s="66">
        <f>IF(O372="","",IF(O372=0,"Current",IF(O372&lt;=30,"1-30",IF(O372&lt;=60,"31-60",IF(O372&lt;=90,"61-90","90+")))))</f>
        <v/>
      </c>
      <c r="Q372" s="66">
        <f>IF(T372&lt;&gt;"","⛔ "&amp;T372&amp;" — not posted",IF(U372&lt;&gt;"","⚠ "&amp;U372,IF(V372=1,"✓ OK","")))</f>
        <v/>
      </c>
      <c r="R372" s="67">
        <f>IF(AND(B372="",C372="",D372="",G372="",F372=""),1,0)</f>
        <v/>
      </c>
      <c r="S372" s="68">
        <f>IF(AND(TaxOn="Yes",ISNUMBER(H372)),H372,0)</f>
        <v/>
      </c>
      <c r="T372" s="67">
        <f>IF(R372=1,"",IF(B372="","Enter an invoice #",IF(C372="","Missing invoice date",IF(NOT(ISNUMBER(C372)),"Invalid date",IF(OR(C372&lt;DATE(2000,1,1),C372&gt;DATE(2099,12,31)),"Invalid date",IF(F372="","Select a revenue account",IF(ISNA(MATCH(F372,coa_Name,0)),"Unknown account: "&amp;F372,IF(NOT(ISNUMBER(G372)),"Enter an amount",IF(G372&lt;=0,"Amount must be positive",IF(S372&gt;G372,"Tax is larger than the amount",""))))))))))</f>
        <v/>
      </c>
      <c r="U372" s="67">
        <f>IF(OR(R372=1,T372&lt;&gt;""),"",IF(COUNTIF(ar_No,B372)&gt;1,"Duplicate invoice #",IF(D372="","Select a customer",IF(N(L372)&lt;0,"Overpaid by "&amp;TEXT(-L372,"#,##0.00"),IF(AND(ISNUMBER(H372),N(H372)&lt;&gt;0,S372=0),"Tax ignored (tax tracking is off)",IF(AND(ISNUMBER(StartDate),C372&lt;StartDate),"Date is before the accounting start date",IF(AND(IFERROR(INDEX(coa_Type,MATCH(F372,coa_Name,0)),"")&lt;&gt;"Revenue",IFERROR(INDEX(coa_Type,MATCH(F372,coa_Name,0)),"")&lt;&gt;"Other Income"),"Account is not a revenue account","")))))))</f>
        <v/>
      </c>
      <c r="V372" s="67">
        <f>IF(AND(R372=0,T372=""),1,0)</f>
        <v/>
      </c>
      <c r="W372" s="67">
        <f>IF(V372=1,acctAR,"")</f>
        <v/>
      </c>
      <c r="X372" s="67">
        <f>IF(V372=1,F372,"")</f>
        <v/>
      </c>
      <c r="Y372" s="68">
        <f>IF(V372=1,G372,0)</f>
        <v/>
      </c>
      <c r="Z372" s="68">
        <f>IF(V372=1,G372-S372,0)</f>
        <v/>
      </c>
      <c r="AA372" s="68">
        <f>IF(V372=1,S372,0)</f>
        <v/>
      </c>
    </row>
    <row r="373">
      <c r="B373" s="62" t="n"/>
      <c r="C373" s="63" t="n"/>
      <c r="D373" s="62" t="n"/>
      <c r="E373" s="62" t="n"/>
      <c r="F373" s="62" t="n"/>
      <c r="G373" s="64" t="n"/>
      <c r="H373" s="64" t="n"/>
      <c r="I373" s="63" t="n"/>
      <c r="J373" s="29">
        <f>IF(V373=1,IF(ISNUMBER(I373),I373,C373+IF(ISNUMBER(IFERROR(INDEX(cust_Terms,MATCH(D373,cust_Name,0)),"")),INDEX(cust_Terms,MATCH(D373,cust_Name,0)),TermsDays)),"")</f>
        <v/>
      </c>
      <c r="K373" s="65">
        <f>IF(V373=1,SUMIFS(tx_DrAmt,tx_Type,"Customer Payment",tx_Ref,B373&amp;"",tx_Date,"&lt;="&amp;AsOf),"")</f>
        <v/>
      </c>
      <c r="L373" s="65">
        <f>IF(V373=1,IF(C373&gt;AsOf,0,ROUND(G373-K373,2)),"")</f>
        <v/>
      </c>
      <c r="M373" s="66">
        <f>IF(V373&lt;&gt;1,"",IF(C373&gt;AsOf,"Future",IF(L373&lt;0,"Overpaid",IF(L373=0,"Paid",IF(AsOf&gt;J373,"Overdue",IF(K373&gt;0,"Partial","Unpaid"))))))</f>
        <v/>
      </c>
      <c r="N373" s="28">
        <f>IF(AND(V373=1,N(L373)&gt;0),AsOf-C373,"")</f>
        <v/>
      </c>
      <c r="O373" s="28">
        <f>IF(N373="","",MAX(0,AsOf-J373))</f>
        <v/>
      </c>
      <c r="P373" s="66">
        <f>IF(O373="","",IF(O373=0,"Current",IF(O373&lt;=30,"1-30",IF(O373&lt;=60,"31-60",IF(O373&lt;=90,"61-90","90+")))))</f>
        <v/>
      </c>
      <c r="Q373" s="66">
        <f>IF(T373&lt;&gt;"","⛔ "&amp;T373&amp;" — not posted",IF(U373&lt;&gt;"","⚠ "&amp;U373,IF(V373=1,"✓ OK","")))</f>
        <v/>
      </c>
      <c r="R373" s="67">
        <f>IF(AND(B373="",C373="",D373="",G373="",F373=""),1,0)</f>
        <v/>
      </c>
      <c r="S373" s="68">
        <f>IF(AND(TaxOn="Yes",ISNUMBER(H373)),H373,0)</f>
        <v/>
      </c>
      <c r="T373" s="67">
        <f>IF(R373=1,"",IF(B373="","Enter an invoice #",IF(C373="","Missing invoice date",IF(NOT(ISNUMBER(C373)),"Invalid date",IF(OR(C373&lt;DATE(2000,1,1),C373&gt;DATE(2099,12,31)),"Invalid date",IF(F373="","Select a revenue account",IF(ISNA(MATCH(F373,coa_Name,0)),"Unknown account: "&amp;F373,IF(NOT(ISNUMBER(G373)),"Enter an amount",IF(G373&lt;=0,"Amount must be positive",IF(S373&gt;G373,"Tax is larger than the amount",""))))))))))</f>
        <v/>
      </c>
      <c r="U373" s="67">
        <f>IF(OR(R373=1,T373&lt;&gt;""),"",IF(COUNTIF(ar_No,B373)&gt;1,"Duplicate invoice #",IF(D373="","Select a customer",IF(N(L373)&lt;0,"Overpaid by "&amp;TEXT(-L373,"#,##0.00"),IF(AND(ISNUMBER(H373),N(H373)&lt;&gt;0,S373=0),"Tax ignored (tax tracking is off)",IF(AND(ISNUMBER(StartDate),C373&lt;StartDate),"Date is before the accounting start date",IF(AND(IFERROR(INDEX(coa_Type,MATCH(F373,coa_Name,0)),"")&lt;&gt;"Revenue",IFERROR(INDEX(coa_Type,MATCH(F373,coa_Name,0)),"")&lt;&gt;"Other Income"),"Account is not a revenue account","")))))))</f>
        <v/>
      </c>
      <c r="V373" s="67">
        <f>IF(AND(R373=0,T373=""),1,0)</f>
        <v/>
      </c>
      <c r="W373" s="67">
        <f>IF(V373=1,acctAR,"")</f>
        <v/>
      </c>
      <c r="X373" s="67">
        <f>IF(V373=1,F373,"")</f>
        <v/>
      </c>
      <c r="Y373" s="68">
        <f>IF(V373=1,G373,0)</f>
        <v/>
      </c>
      <c r="Z373" s="68">
        <f>IF(V373=1,G373-S373,0)</f>
        <v/>
      </c>
      <c r="AA373" s="68">
        <f>IF(V373=1,S373,0)</f>
        <v/>
      </c>
    </row>
    <row r="374">
      <c r="B374" s="62" t="n"/>
      <c r="C374" s="63" t="n"/>
      <c r="D374" s="62" t="n"/>
      <c r="E374" s="62" t="n"/>
      <c r="F374" s="62" t="n"/>
      <c r="G374" s="64" t="n"/>
      <c r="H374" s="64" t="n"/>
      <c r="I374" s="63" t="n"/>
      <c r="J374" s="29">
        <f>IF(V374=1,IF(ISNUMBER(I374),I374,C374+IF(ISNUMBER(IFERROR(INDEX(cust_Terms,MATCH(D374,cust_Name,0)),"")),INDEX(cust_Terms,MATCH(D374,cust_Name,0)),TermsDays)),"")</f>
        <v/>
      </c>
      <c r="K374" s="65">
        <f>IF(V374=1,SUMIFS(tx_DrAmt,tx_Type,"Customer Payment",tx_Ref,B374&amp;"",tx_Date,"&lt;="&amp;AsOf),"")</f>
        <v/>
      </c>
      <c r="L374" s="65">
        <f>IF(V374=1,IF(C374&gt;AsOf,0,ROUND(G374-K374,2)),"")</f>
        <v/>
      </c>
      <c r="M374" s="66">
        <f>IF(V374&lt;&gt;1,"",IF(C374&gt;AsOf,"Future",IF(L374&lt;0,"Overpaid",IF(L374=0,"Paid",IF(AsOf&gt;J374,"Overdue",IF(K374&gt;0,"Partial","Unpaid"))))))</f>
        <v/>
      </c>
      <c r="N374" s="28">
        <f>IF(AND(V374=1,N(L374)&gt;0),AsOf-C374,"")</f>
        <v/>
      </c>
      <c r="O374" s="28">
        <f>IF(N374="","",MAX(0,AsOf-J374))</f>
        <v/>
      </c>
      <c r="P374" s="66">
        <f>IF(O374="","",IF(O374=0,"Current",IF(O374&lt;=30,"1-30",IF(O374&lt;=60,"31-60",IF(O374&lt;=90,"61-90","90+")))))</f>
        <v/>
      </c>
      <c r="Q374" s="66">
        <f>IF(T374&lt;&gt;"","⛔ "&amp;T374&amp;" — not posted",IF(U374&lt;&gt;"","⚠ "&amp;U374,IF(V374=1,"✓ OK","")))</f>
        <v/>
      </c>
      <c r="R374" s="67">
        <f>IF(AND(B374="",C374="",D374="",G374="",F374=""),1,0)</f>
        <v/>
      </c>
      <c r="S374" s="68">
        <f>IF(AND(TaxOn="Yes",ISNUMBER(H374)),H374,0)</f>
        <v/>
      </c>
      <c r="T374" s="67">
        <f>IF(R374=1,"",IF(B374="","Enter an invoice #",IF(C374="","Missing invoice date",IF(NOT(ISNUMBER(C374)),"Invalid date",IF(OR(C374&lt;DATE(2000,1,1),C374&gt;DATE(2099,12,31)),"Invalid date",IF(F374="","Select a revenue account",IF(ISNA(MATCH(F374,coa_Name,0)),"Unknown account: "&amp;F374,IF(NOT(ISNUMBER(G374)),"Enter an amount",IF(G374&lt;=0,"Amount must be positive",IF(S374&gt;G374,"Tax is larger than the amount",""))))))))))</f>
        <v/>
      </c>
      <c r="U374" s="67">
        <f>IF(OR(R374=1,T374&lt;&gt;""),"",IF(COUNTIF(ar_No,B374)&gt;1,"Duplicate invoice #",IF(D374="","Select a customer",IF(N(L374)&lt;0,"Overpaid by "&amp;TEXT(-L374,"#,##0.00"),IF(AND(ISNUMBER(H374),N(H374)&lt;&gt;0,S374=0),"Tax ignored (tax tracking is off)",IF(AND(ISNUMBER(StartDate),C374&lt;StartDate),"Date is before the accounting start date",IF(AND(IFERROR(INDEX(coa_Type,MATCH(F374,coa_Name,0)),"")&lt;&gt;"Revenue",IFERROR(INDEX(coa_Type,MATCH(F374,coa_Name,0)),"")&lt;&gt;"Other Income"),"Account is not a revenue account","")))))))</f>
        <v/>
      </c>
      <c r="V374" s="67">
        <f>IF(AND(R374=0,T374=""),1,0)</f>
        <v/>
      </c>
      <c r="W374" s="67">
        <f>IF(V374=1,acctAR,"")</f>
        <v/>
      </c>
      <c r="X374" s="67">
        <f>IF(V374=1,F374,"")</f>
        <v/>
      </c>
      <c r="Y374" s="68">
        <f>IF(V374=1,G374,0)</f>
        <v/>
      </c>
      <c r="Z374" s="68">
        <f>IF(V374=1,G374-S374,0)</f>
        <v/>
      </c>
      <c r="AA374" s="68">
        <f>IF(V374=1,S374,0)</f>
        <v/>
      </c>
    </row>
    <row r="375">
      <c r="B375" s="62" t="n"/>
      <c r="C375" s="63" t="n"/>
      <c r="D375" s="62" t="n"/>
      <c r="E375" s="62" t="n"/>
      <c r="F375" s="62" t="n"/>
      <c r="G375" s="64" t="n"/>
      <c r="H375" s="64" t="n"/>
      <c r="I375" s="63" t="n"/>
      <c r="J375" s="29">
        <f>IF(V375=1,IF(ISNUMBER(I375),I375,C375+IF(ISNUMBER(IFERROR(INDEX(cust_Terms,MATCH(D375,cust_Name,0)),"")),INDEX(cust_Terms,MATCH(D375,cust_Name,0)),TermsDays)),"")</f>
        <v/>
      </c>
      <c r="K375" s="65">
        <f>IF(V375=1,SUMIFS(tx_DrAmt,tx_Type,"Customer Payment",tx_Ref,B375&amp;"",tx_Date,"&lt;="&amp;AsOf),"")</f>
        <v/>
      </c>
      <c r="L375" s="65">
        <f>IF(V375=1,IF(C375&gt;AsOf,0,ROUND(G375-K375,2)),"")</f>
        <v/>
      </c>
      <c r="M375" s="66">
        <f>IF(V375&lt;&gt;1,"",IF(C375&gt;AsOf,"Future",IF(L375&lt;0,"Overpaid",IF(L375=0,"Paid",IF(AsOf&gt;J375,"Overdue",IF(K375&gt;0,"Partial","Unpaid"))))))</f>
        <v/>
      </c>
      <c r="N375" s="28">
        <f>IF(AND(V375=1,N(L375)&gt;0),AsOf-C375,"")</f>
        <v/>
      </c>
      <c r="O375" s="28">
        <f>IF(N375="","",MAX(0,AsOf-J375))</f>
        <v/>
      </c>
      <c r="P375" s="66">
        <f>IF(O375="","",IF(O375=0,"Current",IF(O375&lt;=30,"1-30",IF(O375&lt;=60,"31-60",IF(O375&lt;=90,"61-90","90+")))))</f>
        <v/>
      </c>
      <c r="Q375" s="66">
        <f>IF(T375&lt;&gt;"","⛔ "&amp;T375&amp;" — not posted",IF(U375&lt;&gt;"","⚠ "&amp;U375,IF(V375=1,"✓ OK","")))</f>
        <v/>
      </c>
      <c r="R375" s="67">
        <f>IF(AND(B375="",C375="",D375="",G375="",F375=""),1,0)</f>
        <v/>
      </c>
      <c r="S375" s="68">
        <f>IF(AND(TaxOn="Yes",ISNUMBER(H375)),H375,0)</f>
        <v/>
      </c>
      <c r="T375" s="67">
        <f>IF(R375=1,"",IF(B375="","Enter an invoice #",IF(C375="","Missing invoice date",IF(NOT(ISNUMBER(C375)),"Invalid date",IF(OR(C375&lt;DATE(2000,1,1),C375&gt;DATE(2099,12,31)),"Invalid date",IF(F375="","Select a revenue account",IF(ISNA(MATCH(F375,coa_Name,0)),"Unknown account: "&amp;F375,IF(NOT(ISNUMBER(G375)),"Enter an amount",IF(G375&lt;=0,"Amount must be positive",IF(S375&gt;G375,"Tax is larger than the amount",""))))))))))</f>
        <v/>
      </c>
      <c r="U375" s="67">
        <f>IF(OR(R375=1,T375&lt;&gt;""),"",IF(COUNTIF(ar_No,B375)&gt;1,"Duplicate invoice #",IF(D375="","Select a customer",IF(N(L375)&lt;0,"Overpaid by "&amp;TEXT(-L375,"#,##0.00"),IF(AND(ISNUMBER(H375),N(H375)&lt;&gt;0,S375=0),"Tax ignored (tax tracking is off)",IF(AND(ISNUMBER(StartDate),C375&lt;StartDate),"Date is before the accounting start date",IF(AND(IFERROR(INDEX(coa_Type,MATCH(F375,coa_Name,0)),"")&lt;&gt;"Revenue",IFERROR(INDEX(coa_Type,MATCH(F375,coa_Name,0)),"")&lt;&gt;"Other Income"),"Account is not a revenue account","")))))))</f>
        <v/>
      </c>
      <c r="V375" s="67">
        <f>IF(AND(R375=0,T375=""),1,0)</f>
        <v/>
      </c>
      <c r="W375" s="67">
        <f>IF(V375=1,acctAR,"")</f>
        <v/>
      </c>
      <c r="X375" s="67">
        <f>IF(V375=1,F375,"")</f>
        <v/>
      </c>
      <c r="Y375" s="68">
        <f>IF(V375=1,G375,0)</f>
        <v/>
      </c>
      <c r="Z375" s="68">
        <f>IF(V375=1,G375-S375,0)</f>
        <v/>
      </c>
      <c r="AA375" s="68">
        <f>IF(V375=1,S375,0)</f>
        <v/>
      </c>
    </row>
    <row r="376">
      <c r="B376" s="62" t="n"/>
      <c r="C376" s="63" t="n"/>
      <c r="D376" s="62" t="n"/>
      <c r="E376" s="62" t="n"/>
      <c r="F376" s="62" t="n"/>
      <c r="G376" s="64" t="n"/>
      <c r="H376" s="64" t="n"/>
      <c r="I376" s="63" t="n"/>
      <c r="J376" s="29">
        <f>IF(V376=1,IF(ISNUMBER(I376),I376,C376+IF(ISNUMBER(IFERROR(INDEX(cust_Terms,MATCH(D376,cust_Name,0)),"")),INDEX(cust_Terms,MATCH(D376,cust_Name,0)),TermsDays)),"")</f>
        <v/>
      </c>
      <c r="K376" s="65">
        <f>IF(V376=1,SUMIFS(tx_DrAmt,tx_Type,"Customer Payment",tx_Ref,B376&amp;"",tx_Date,"&lt;="&amp;AsOf),"")</f>
        <v/>
      </c>
      <c r="L376" s="65">
        <f>IF(V376=1,IF(C376&gt;AsOf,0,ROUND(G376-K376,2)),"")</f>
        <v/>
      </c>
      <c r="M376" s="66">
        <f>IF(V376&lt;&gt;1,"",IF(C376&gt;AsOf,"Future",IF(L376&lt;0,"Overpaid",IF(L376=0,"Paid",IF(AsOf&gt;J376,"Overdue",IF(K376&gt;0,"Partial","Unpaid"))))))</f>
        <v/>
      </c>
      <c r="N376" s="28">
        <f>IF(AND(V376=1,N(L376)&gt;0),AsOf-C376,"")</f>
        <v/>
      </c>
      <c r="O376" s="28">
        <f>IF(N376="","",MAX(0,AsOf-J376))</f>
        <v/>
      </c>
      <c r="P376" s="66">
        <f>IF(O376="","",IF(O376=0,"Current",IF(O376&lt;=30,"1-30",IF(O376&lt;=60,"31-60",IF(O376&lt;=90,"61-90","90+")))))</f>
        <v/>
      </c>
      <c r="Q376" s="66">
        <f>IF(T376&lt;&gt;"","⛔ "&amp;T376&amp;" — not posted",IF(U376&lt;&gt;"","⚠ "&amp;U376,IF(V376=1,"✓ OK","")))</f>
        <v/>
      </c>
      <c r="R376" s="67">
        <f>IF(AND(B376="",C376="",D376="",G376="",F376=""),1,0)</f>
        <v/>
      </c>
      <c r="S376" s="68">
        <f>IF(AND(TaxOn="Yes",ISNUMBER(H376)),H376,0)</f>
        <v/>
      </c>
      <c r="T376" s="67">
        <f>IF(R376=1,"",IF(B376="","Enter an invoice #",IF(C376="","Missing invoice date",IF(NOT(ISNUMBER(C376)),"Invalid date",IF(OR(C376&lt;DATE(2000,1,1),C376&gt;DATE(2099,12,31)),"Invalid date",IF(F376="","Select a revenue account",IF(ISNA(MATCH(F376,coa_Name,0)),"Unknown account: "&amp;F376,IF(NOT(ISNUMBER(G376)),"Enter an amount",IF(G376&lt;=0,"Amount must be positive",IF(S376&gt;G376,"Tax is larger than the amount",""))))))))))</f>
        <v/>
      </c>
      <c r="U376" s="67">
        <f>IF(OR(R376=1,T376&lt;&gt;""),"",IF(COUNTIF(ar_No,B376)&gt;1,"Duplicate invoice #",IF(D376="","Select a customer",IF(N(L376)&lt;0,"Overpaid by "&amp;TEXT(-L376,"#,##0.00"),IF(AND(ISNUMBER(H376),N(H376)&lt;&gt;0,S376=0),"Tax ignored (tax tracking is off)",IF(AND(ISNUMBER(StartDate),C376&lt;StartDate),"Date is before the accounting start date",IF(AND(IFERROR(INDEX(coa_Type,MATCH(F376,coa_Name,0)),"")&lt;&gt;"Revenue",IFERROR(INDEX(coa_Type,MATCH(F376,coa_Name,0)),"")&lt;&gt;"Other Income"),"Account is not a revenue account","")))))))</f>
        <v/>
      </c>
      <c r="V376" s="67">
        <f>IF(AND(R376=0,T376=""),1,0)</f>
        <v/>
      </c>
      <c r="W376" s="67">
        <f>IF(V376=1,acctAR,"")</f>
        <v/>
      </c>
      <c r="X376" s="67">
        <f>IF(V376=1,F376,"")</f>
        <v/>
      </c>
      <c r="Y376" s="68">
        <f>IF(V376=1,G376,0)</f>
        <v/>
      </c>
      <c r="Z376" s="68">
        <f>IF(V376=1,G376-S376,0)</f>
        <v/>
      </c>
      <c r="AA376" s="68">
        <f>IF(V376=1,S376,0)</f>
        <v/>
      </c>
    </row>
    <row r="377">
      <c r="B377" s="62" t="n"/>
      <c r="C377" s="63" t="n"/>
      <c r="D377" s="62" t="n"/>
      <c r="E377" s="62" t="n"/>
      <c r="F377" s="62" t="n"/>
      <c r="G377" s="64" t="n"/>
      <c r="H377" s="64" t="n"/>
      <c r="I377" s="63" t="n"/>
      <c r="J377" s="29">
        <f>IF(V377=1,IF(ISNUMBER(I377),I377,C377+IF(ISNUMBER(IFERROR(INDEX(cust_Terms,MATCH(D377,cust_Name,0)),"")),INDEX(cust_Terms,MATCH(D377,cust_Name,0)),TermsDays)),"")</f>
        <v/>
      </c>
      <c r="K377" s="65">
        <f>IF(V377=1,SUMIFS(tx_DrAmt,tx_Type,"Customer Payment",tx_Ref,B377&amp;"",tx_Date,"&lt;="&amp;AsOf),"")</f>
        <v/>
      </c>
      <c r="L377" s="65">
        <f>IF(V377=1,IF(C377&gt;AsOf,0,ROUND(G377-K377,2)),"")</f>
        <v/>
      </c>
      <c r="M377" s="66">
        <f>IF(V377&lt;&gt;1,"",IF(C377&gt;AsOf,"Future",IF(L377&lt;0,"Overpaid",IF(L377=0,"Paid",IF(AsOf&gt;J377,"Overdue",IF(K377&gt;0,"Partial","Unpaid"))))))</f>
        <v/>
      </c>
      <c r="N377" s="28">
        <f>IF(AND(V377=1,N(L377)&gt;0),AsOf-C377,"")</f>
        <v/>
      </c>
      <c r="O377" s="28">
        <f>IF(N377="","",MAX(0,AsOf-J377))</f>
        <v/>
      </c>
      <c r="P377" s="66">
        <f>IF(O377="","",IF(O377=0,"Current",IF(O377&lt;=30,"1-30",IF(O377&lt;=60,"31-60",IF(O377&lt;=90,"61-90","90+")))))</f>
        <v/>
      </c>
      <c r="Q377" s="66">
        <f>IF(T377&lt;&gt;"","⛔ "&amp;T377&amp;" — not posted",IF(U377&lt;&gt;"","⚠ "&amp;U377,IF(V377=1,"✓ OK","")))</f>
        <v/>
      </c>
      <c r="R377" s="67">
        <f>IF(AND(B377="",C377="",D377="",G377="",F377=""),1,0)</f>
        <v/>
      </c>
      <c r="S377" s="68">
        <f>IF(AND(TaxOn="Yes",ISNUMBER(H377)),H377,0)</f>
        <v/>
      </c>
      <c r="T377" s="67">
        <f>IF(R377=1,"",IF(B377="","Enter an invoice #",IF(C377="","Missing invoice date",IF(NOT(ISNUMBER(C377)),"Invalid date",IF(OR(C377&lt;DATE(2000,1,1),C377&gt;DATE(2099,12,31)),"Invalid date",IF(F377="","Select a revenue account",IF(ISNA(MATCH(F377,coa_Name,0)),"Unknown account: "&amp;F377,IF(NOT(ISNUMBER(G377)),"Enter an amount",IF(G377&lt;=0,"Amount must be positive",IF(S377&gt;G377,"Tax is larger than the amount",""))))))))))</f>
        <v/>
      </c>
      <c r="U377" s="67">
        <f>IF(OR(R377=1,T377&lt;&gt;""),"",IF(COUNTIF(ar_No,B377)&gt;1,"Duplicate invoice #",IF(D377="","Select a customer",IF(N(L377)&lt;0,"Overpaid by "&amp;TEXT(-L377,"#,##0.00"),IF(AND(ISNUMBER(H377),N(H377)&lt;&gt;0,S377=0),"Tax ignored (tax tracking is off)",IF(AND(ISNUMBER(StartDate),C377&lt;StartDate),"Date is before the accounting start date",IF(AND(IFERROR(INDEX(coa_Type,MATCH(F377,coa_Name,0)),"")&lt;&gt;"Revenue",IFERROR(INDEX(coa_Type,MATCH(F377,coa_Name,0)),"")&lt;&gt;"Other Income"),"Account is not a revenue account","")))))))</f>
        <v/>
      </c>
      <c r="V377" s="67">
        <f>IF(AND(R377=0,T377=""),1,0)</f>
        <v/>
      </c>
      <c r="W377" s="67">
        <f>IF(V377=1,acctAR,"")</f>
        <v/>
      </c>
      <c r="X377" s="67">
        <f>IF(V377=1,F377,"")</f>
        <v/>
      </c>
      <c r="Y377" s="68">
        <f>IF(V377=1,G377,0)</f>
        <v/>
      </c>
      <c r="Z377" s="68">
        <f>IF(V377=1,G377-S377,0)</f>
        <v/>
      </c>
      <c r="AA377" s="68">
        <f>IF(V377=1,S377,0)</f>
        <v/>
      </c>
    </row>
    <row r="378">
      <c r="B378" s="62" t="n"/>
      <c r="C378" s="63" t="n"/>
      <c r="D378" s="62" t="n"/>
      <c r="E378" s="62" t="n"/>
      <c r="F378" s="62" t="n"/>
      <c r="G378" s="64" t="n"/>
      <c r="H378" s="64" t="n"/>
      <c r="I378" s="63" t="n"/>
      <c r="J378" s="29">
        <f>IF(V378=1,IF(ISNUMBER(I378),I378,C378+IF(ISNUMBER(IFERROR(INDEX(cust_Terms,MATCH(D378,cust_Name,0)),"")),INDEX(cust_Terms,MATCH(D378,cust_Name,0)),TermsDays)),"")</f>
        <v/>
      </c>
      <c r="K378" s="65">
        <f>IF(V378=1,SUMIFS(tx_DrAmt,tx_Type,"Customer Payment",tx_Ref,B378&amp;"",tx_Date,"&lt;="&amp;AsOf),"")</f>
        <v/>
      </c>
      <c r="L378" s="65">
        <f>IF(V378=1,IF(C378&gt;AsOf,0,ROUND(G378-K378,2)),"")</f>
        <v/>
      </c>
      <c r="M378" s="66">
        <f>IF(V378&lt;&gt;1,"",IF(C378&gt;AsOf,"Future",IF(L378&lt;0,"Overpaid",IF(L378=0,"Paid",IF(AsOf&gt;J378,"Overdue",IF(K378&gt;0,"Partial","Unpaid"))))))</f>
        <v/>
      </c>
      <c r="N378" s="28">
        <f>IF(AND(V378=1,N(L378)&gt;0),AsOf-C378,"")</f>
        <v/>
      </c>
      <c r="O378" s="28">
        <f>IF(N378="","",MAX(0,AsOf-J378))</f>
        <v/>
      </c>
      <c r="P378" s="66">
        <f>IF(O378="","",IF(O378=0,"Current",IF(O378&lt;=30,"1-30",IF(O378&lt;=60,"31-60",IF(O378&lt;=90,"61-90","90+")))))</f>
        <v/>
      </c>
      <c r="Q378" s="66">
        <f>IF(T378&lt;&gt;"","⛔ "&amp;T378&amp;" — not posted",IF(U378&lt;&gt;"","⚠ "&amp;U378,IF(V378=1,"✓ OK","")))</f>
        <v/>
      </c>
      <c r="R378" s="67">
        <f>IF(AND(B378="",C378="",D378="",G378="",F378=""),1,0)</f>
        <v/>
      </c>
      <c r="S378" s="68">
        <f>IF(AND(TaxOn="Yes",ISNUMBER(H378)),H378,0)</f>
        <v/>
      </c>
      <c r="T378" s="67">
        <f>IF(R378=1,"",IF(B378="","Enter an invoice #",IF(C378="","Missing invoice date",IF(NOT(ISNUMBER(C378)),"Invalid date",IF(OR(C378&lt;DATE(2000,1,1),C378&gt;DATE(2099,12,31)),"Invalid date",IF(F378="","Select a revenue account",IF(ISNA(MATCH(F378,coa_Name,0)),"Unknown account: "&amp;F378,IF(NOT(ISNUMBER(G378)),"Enter an amount",IF(G378&lt;=0,"Amount must be positive",IF(S378&gt;G378,"Tax is larger than the amount",""))))))))))</f>
        <v/>
      </c>
      <c r="U378" s="67">
        <f>IF(OR(R378=1,T378&lt;&gt;""),"",IF(COUNTIF(ar_No,B378)&gt;1,"Duplicate invoice #",IF(D378="","Select a customer",IF(N(L378)&lt;0,"Overpaid by "&amp;TEXT(-L378,"#,##0.00"),IF(AND(ISNUMBER(H378),N(H378)&lt;&gt;0,S378=0),"Tax ignored (tax tracking is off)",IF(AND(ISNUMBER(StartDate),C378&lt;StartDate),"Date is before the accounting start date",IF(AND(IFERROR(INDEX(coa_Type,MATCH(F378,coa_Name,0)),"")&lt;&gt;"Revenue",IFERROR(INDEX(coa_Type,MATCH(F378,coa_Name,0)),"")&lt;&gt;"Other Income"),"Account is not a revenue account","")))))))</f>
        <v/>
      </c>
      <c r="V378" s="67">
        <f>IF(AND(R378=0,T378=""),1,0)</f>
        <v/>
      </c>
      <c r="W378" s="67">
        <f>IF(V378=1,acctAR,"")</f>
        <v/>
      </c>
      <c r="X378" s="67">
        <f>IF(V378=1,F378,"")</f>
        <v/>
      </c>
      <c r="Y378" s="68">
        <f>IF(V378=1,G378,0)</f>
        <v/>
      </c>
      <c r="Z378" s="68">
        <f>IF(V378=1,G378-S378,0)</f>
        <v/>
      </c>
      <c r="AA378" s="68">
        <f>IF(V378=1,S378,0)</f>
        <v/>
      </c>
    </row>
    <row r="379">
      <c r="B379" s="62" t="n"/>
      <c r="C379" s="63" t="n"/>
      <c r="D379" s="62" t="n"/>
      <c r="E379" s="62" t="n"/>
      <c r="F379" s="62" t="n"/>
      <c r="G379" s="64" t="n"/>
      <c r="H379" s="64" t="n"/>
      <c r="I379" s="63" t="n"/>
      <c r="J379" s="29">
        <f>IF(V379=1,IF(ISNUMBER(I379),I379,C379+IF(ISNUMBER(IFERROR(INDEX(cust_Terms,MATCH(D379,cust_Name,0)),"")),INDEX(cust_Terms,MATCH(D379,cust_Name,0)),TermsDays)),"")</f>
        <v/>
      </c>
      <c r="K379" s="65">
        <f>IF(V379=1,SUMIFS(tx_DrAmt,tx_Type,"Customer Payment",tx_Ref,B379&amp;"",tx_Date,"&lt;="&amp;AsOf),"")</f>
        <v/>
      </c>
      <c r="L379" s="65">
        <f>IF(V379=1,IF(C379&gt;AsOf,0,ROUND(G379-K379,2)),"")</f>
        <v/>
      </c>
      <c r="M379" s="66">
        <f>IF(V379&lt;&gt;1,"",IF(C379&gt;AsOf,"Future",IF(L379&lt;0,"Overpaid",IF(L379=0,"Paid",IF(AsOf&gt;J379,"Overdue",IF(K379&gt;0,"Partial","Unpaid"))))))</f>
        <v/>
      </c>
      <c r="N379" s="28">
        <f>IF(AND(V379=1,N(L379)&gt;0),AsOf-C379,"")</f>
        <v/>
      </c>
      <c r="O379" s="28">
        <f>IF(N379="","",MAX(0,AsOf-J379))</f>
        <v/>
      </c>
      <c r="P379" s="66">
        <f>IF(O379="","",IF(O379=0,"Current",IF(O379&lt;=30,"1-30",IF(O379&lt;=60,"31-60",IF(O379&lt;=90,"61-90","90+")))))</f>
        <v/>
      </c>
      <c r="Q379" s="66">
        <f>IF(T379&lt;&gt;"","⛔ "&amp;T379&amp;" — not posted",IF(U379&lt;&gt;"","⚠ "&amp;U379,IF(V379=1,"✓ OK","")))</f>
        <v/>
      </c>
      <c r="R379" s="67">
        <f>IF(AND(B379="",C379="",D379="",G379="",F379=""),1,0)</f>
        <v/>
      </c>
      <c r="S379" s="68">
        <f>IF(AND(TaxOn="Yes",ISNUMBER(H379)),H379,0)</f>
        <v/>
      </c>
      <c r="T379" s="67">
        <f>IF(R379=1,"",IF(B379="","Enter an invoice #",IF(C379="","Missing invoice date",IF(NOT(ISNUMBER(C379)),"Invalid date",IF(OR(C379&lt;DATE(2000,1,1),C379&gt;DATE(2099,12,31)),"Invalid date",IF(F379="","Select a revenue account",IF(ISNA(MATCH(F379,coa_Name,0)),"Unknown account: "&amp;F379,IF(NOT(ISNUMBER(G379)),"Enter an amount",IF(G379&lt;=0,"Amount must be positive",IF(S379&gt;G379,"Tax is larger than the amount",""))))))))))</f>
        <v/>
      </c>
      <c r="U379" s="67">
        <f>IF(OR(R379=1,T379&lt;&gt;""),"",IF(COUNTIF(ar_No,B379)&gt;1,"Duplicate invoice #",IF(D379="","Select a customer",IF(N(L379)&lt;0,"Overpaid by "&amp;TEXT(-L379,"#,##0.00"),IF(AND(ISNUMBER(H379),N(H379)&lt;&gt;0,S379=0),"Tax ignored (tax tracking is off)",IF(AND(ISNUMBER(StartDate),C379&lt;StartDate),"Date is before the accounting start date",IF(AND(IFERROR(INDEX(coa_Type,MATCH(F379,coa_Name,0)),"")&lt;&gt;"Revenue",IFERROR(INDEX(coa_Type,MATCH(F379,coa_Name,0)),"")&lt;&gt;"Other Income"),"Account is not a revenue account","")))))))</f>
        <v/>
      </c>
      <c r="V379" s="67">
        <f>IF(AND(R379=0,T379=""),1,0)</f>
        <v/>
      </c>
      <c r="W379" s="67">
        <f>IF(V379=1,acctAR,"")</f>
        <v/>
      </c>
      <c r="X379" s="67">
        <f>IF(V379=1,F379,"")</f>
        <v/>
      </c>
      <c r="Y379" s="68">
        <f>IF(V379=1,G379,0)</f>
        <v/>
      </c>
      <c r="Z379" s="68">
        <f>IF(V379=1,G379-S379,0)</f>
        <v/>
      </c>
      <c r="AA379" s="68">
        <f>IF(V379=1,S379,0)</f>
        <v/>
      </c>
    </row>
    <row r="380">
      <c r="B380" s="62" t="n"/>
      <c r="C380" s="63" t="n"/>
      <c r="D380" s="62" t="n"/>
      <c r="E380" s="62" t="n"/>
      <c r="F380" s="62" t="n"/>
      <c r="G380" s="64" t="n"/>
      <c r="H380" s="64" t="n"/>
      <c r="I380" s="63" t="n"/>
      <c r="J380" s="29">
        <f>IF(V380=1,IF(ISNUMBER(I380),I380,C380+IF(ISNUMBER(IFERROR(INDEX(cust_Terms,MATCH(D380,cust_Name,0)),"")),INDEX(cust_Terms,MATCH(D380,cust_Name,0)),TermsDays)),"")</f>
        <v/>
      </c>
      <c r="K380" s="65">
        <f>IF(V380=1,SUMIFS(tx_DrAmt,tx_Type,"Customer Payment",tx_Ref,B380&amp;"",tx_Date,"&lt;="&amp;AsOf),"")</f>
        <v/>
      </c>
      <c r="L380" s="65">
        <f>IF(V380=1,IF(C380&gt;AsOf,0,ROUND(G380-K380,2)),"")</f>
        <v/>
      </c>
      <c r="M380" s="66">
        <f>IF(V380&lt;&gt;1,"",IF(C380&gt;AsOf,"Future",IF(L380&lt;0,"Overpaid",IF(L380=0,"Paid",IF(AsOf&gt;J380,"Overdue",IF(K380&gt;0,"Partial","Unpaid"))))))</f>
        <v/>
      </c>
      <c r="N380" s="28">
        <f>IF(AND(V380=1,N(L380)&gt;0),AsOf-C380,"")</f>
        <v/>
      </c>
      <c r="O380" s="28">
        <f>IF(N380="","",MAX(0,AsOf-J380))</f>
        <v/>
      </c>
      <c r="P380" s="66">
        <f>IF(O380="","",IF(O380=0,"Current",IF(O380&lt;=30,"1-30",IF(O380&lt;=60,"31-60",IF(O380&lt;=90,"61-90","90+")))))</f>
        <v/>
      </c>
      <c r="Q380" s="66">
        <f>IF(T380&lt;&gt;"","⛔ "&amp;T380&amp;" — not posted",IF(U380&lt;&gt;"","⚠ "&amp;U380,IF(V380=1,"✓ OK","")))</f>
        <v/>
      </c>
      <c r="R380" s="67">
        <f>IF(AND(B380="",C380="",D380="",G380="",F380=""),1,0)</f>
        <v/>
      </c>
      <c r="S380" s="68">
        <f>IF(AND(TaxOn="Yes",ISNUMBER(H380)),H380,0)</f>
        <v/>
      </c>
      <c r="T380" s="67">
        <f>IF(R380=1,"",IF(B380="","Enter an invoice #",IF(C380="","Missing invoice date",IF(NOT(ISNUMBER(C380)),"Invalid date",IF(OR(C380&lt;DATE(2000,1,1),C380&gt;DATE(2099,12,31)),"Invalid date",IF(F380="","Select a revenue account",IF(ISNA(MATCH(F380,coa_Name,0)),"Unknown account: "&amp;F380,IF(NOT(ISNUMBER(G380)),"Enter an amount",IF(G380&lt;=0,"Amount must be positive",IF(S380&gt;G380,"Tax is larger than the amount",""))))))))))</f>
        <v/>
      </c>
      <c r="U380" s="67">
        <f>IF(OR(R380=1,T380&lt;&gt;""),"",IF(COUNTIF(ar_No,B380)&gt;1,"Duplicate invoice #",IF(D380="","Select a customer",IF(N(L380)&lt;0,"Overpaid by "&amp;TEXT(-L380,"#,##0.00"),IF(AND(ISNUMBER(H380),N(H380)&lt;&gt;0,S380=0),"Tax ignored (tax tracking is off)",IF(AND(ISNUMBER(StartDate),C380&lt;StartDate),"Date is before the accounting start date",IF(AND(IFERROR(INDEX(coa_Type,MATCH(F380,coa_Name,0)),"")&lt;&gt;"Revenue",IFERROR(INDEX(coa_Type,MATCH(F380,coa_Name,0)),"")&lt;&gt;"Other Income"),"Account is not a revenue account","")))))))</f>
        <v/>
      </c>
      <c r="V380" s="67">
        <f>IF(AND(R380=0,T380=""),1,0)</f>
        <v/>
      </c>
      <c r="W380" s="67">
        <f>IF(V380=1,acctAR,"")</f>
        <v/>
      </c>
      <c r="X380" s="67">
        <f>IF(V380=1,F380,"")</f>
        <v/>
      </c>
      <c r="Y380" s="68">
        <f>IF(V380=1,G380,0)</f>
        <v/>
      </c>
      <c r="Z380" s="68">
        <f>IF(V380=1,G380-S380,0)</f>
        <v/>
      </c>
      <c r="AA380" s="68">
        <f>IF(V380=1,S380,0)</f>
        <v/>
      </c>
    </row>
    <row r="381">
      <c r="B381" s="62" t="n"/>
      <c r="C381" s="63" t="n"/>
      <c r="D381" s="62" t="n"/>
      <c r="E381" s="62" t="n"/>
      <c r="F381" s="62" t="n"/>
      <c r="G381" s="64" t="n"/>
      <c r="H381" s="64" t="n"/>
      <c r="I381" s="63" t="n"/>
      <c r="J381" s="29">
        <f>IF(V381=1,IF(ISNUMBER(I381),I381,C381+IF(ISNUMBER(IFERROR(INDEX(cust_Terms,MATCH(D381,cust_Name,0)),"")),INDEX(cust_Terms,MATCH(D381,cust_Name,0)),TermsDays)),"")</f>
        <v/>
      </c>
      <c r="K381" s="65">
        <f>IF(V381=1,SUMIFS(tx_DrAmt,tx_Type,"Customer Payment",tx_Ref,B381&amp;"",tx_Date,"&lt;="&amp;AsOf),"")</f>
        <v/>
      </c>
      <c r="L381" s="65">
        <f>IF(V381=1,IF(C381&gt;AsOf,0,ROUND(G381-K381,2)),"")</f>
        <v/>
      </c>
      <c r="M381" s="66">
        <f>IF(V381&lt;&gt;1,"",IF(C381&gt;AsOf,"Future",IF(L381&lt;0,"Overpaid",IF(L381=0,"Paid",IF(AsOf&gt;J381,"Overdue",IF(K381&gt;0,"Partial","Unpaid"))))))</f>
        <v/>
      </c>
      <c r="N381" s="28">
        <f>IF(AND(V381=1,N(L381)&gt;0),AsOf-C381,"")</f>
        <v/>
      </c>
      <c r="O381" s="28">
        <f>IF(N381="","",MAX(0,AsOf-J381))</f>
        <v/>
      </c>
      <c r="P381" s="66">
        <f>IF(O381="","",IF(O381=0,"Current",IF(O381&lt;=30,"1-30",IF(O381&lt;=60,"31-60",IF(O381&lt;=90,"61-90","90+")))))</f>
        <v/>
      </c>
      <c r="Q381" s="66">
        <f>IF(T381&lt;&gt;"","⛔ "&amp;T381&amp;" — not posted",IF(U381&lt;&gt;"","⚠ "&amp;U381,IF(V381=1,"✓ OK","")))</f>
        <v/>
      </c>
      <c r="R381" s="67">
        <f>IF(AND(B381="",C381="",D381="",G381="",F381=""),1,0)</f>
        <v/>
      </c>
      <c r="S381" s="68">
        <f>IF(AND(TaxOn="Yes",ISNUMBER(H381)),H381,0)</f>
        <v/>
      </c>
      <c r="T381" s="67">
        <f>IF(R381=1,"",IF(B381="","Enter an invoice #",IF(C381="","Missing invoice date",IF(NOT(ISNUMBER(C381)),"Invalid date",IF(OR(C381&lt;DATE(2000,1,1),C381&gt;DATE(2099,12,31)),"Invalid date",IF(F381="","Select a revenue account",IF(ISNA(MATCH(F381,coa_Name,0)),"Unknown account: "&amp;F381,IF(NOT(ISNUMBER(G381)),"Enter an amount",IF(G381&lt;=0,"Amount must be positive",IF(S381&gt;G381,"Tax is larger than the amount",""))))))))))</f>
        <v/>
      </c>
      <c r="U381" s="67">
        <f>IF(OR(R381=1,T381&lt;&gt;""),"",IF(COUNTIF(ar_No,B381)&gt;1,"Duplicate invoice #",IF(D381="","Select a customer",IF(N(L381)&lt;0,"Overpaid by "&amp;TEXT(-L381,"#,##0.00"),IF(AND(ISNUMBER(H381),N(H381)&lt;&gt;0,S381=0),"Tax ignored (tax tracking is off)",IF(AND(ISNUMBER(StartDate),C381&lt;StartDate),"Date is before the accounting start date",IF(AND(IFERROR(INDEX(coa_Type,MATCH(F381,coa_Name,0)),"")&lt;&gt;"Revenue",IFERROR(INDEX(coa_Type,MATCH(F381,coa_Name,0)),"")&lt;&gt;"Other Income"),"Account is not a revenue account","")))))))</f>
        <v/>
      </c>
      <c r="V381" s="67">
        <f>IF(AND(R381=0,T381=""),1,0)</f>
        <v/>
      </c>
      <c r="W381" s="67">
        <f>IF(V381=1,acctAR,"")</f>
        <v/>
      </c>
      <c r="X381" s="67">
        <f>IF(V381=1,F381,"")</f>
        <v/>
      </c>
      <c r="Y381" s="68">
        <f>IF(V381=1,G381,0)</f>
        <v/>
      </c>
      <c r="Z381" s="68">
        <f>IF(V381=1,G381-S381,0)</f>
        <v/>
      </c>
      <c r="AA381" s="68">
        <f>IF(V381=1,S381,0)</f>
        <v/>
      </c>
    </row>
    <row r="382">
      <c r="B382" s="62" t="n"/>
      <c r="C382" s="63" t="n"/>
      <c r="D382" s="62" t="n"/>
      <c r="E382" s="62" t="n"/>
      <c r="F382" s="62" t="n"/>
      <c r="G382" s="64" t="n"/>
      <c r="H382" s="64" t="n"/>
      <c r="I382" s="63" t="n"/>
      <c r="J382" s="29">
        <f>IF(V382=1,IF(ISNUMBER(I382),I382,C382+IF(ISNUMBER(IFERROR(INDEX(cust_Terms,MATCH(D382,cust_Name,0)),"")),INDEX(cust_Terms,MATCH(D382,cust_Name,0)),TermsDays)),"")</f>
        <v/>
      </c>
      <c r="K382" s="65">
        <f>IF(V382=1,SUMIFS(tx_DrAmt,tx_Type,"Customer Payment",tx_Ref,B382&amp;"",tx_Date,"&lt;="&amp;AsOf),"")</f>
        <v/>
      </c>
      <c r="L382" s="65">
        <f>IF(V382=1,IF(C382&gt;AsOf,0,ROUND(G382-K382,2)),"")</f>
        <v/>
      </c>
      <c r="M382" s="66">
        <f>IF(V382&lt;&gt;1,"",IF(C382&gt;AsOf,"Future",IF(L382&lt;0,"Overpaid",IF(L382=0,"Paid",IF(AsOf&gt;J382,"Overdue",IF(K382&gt;0,"Partial","Unpaid"))))))</f>
        <v/>
      </c>
      <c r="N382" s="28">
        <f>IF(AND(V382=1,N(L382)&gt;0),AsOf-C382,"")</f>
        <v/>
      </c>
      <c r="O382" s="28">
        <f>IF(N382="","",MAX(0,AsOf-J382))</f>
        <v/>
      </c>
      <c r="P382" s="66">
        <f>IF(O382="","",IF(O382=0,"Current",IF(O382&lt;=30,"1-30",IF(O382&lt;=60,"31-60",IF(O382&lt;=90,"61-90","90+")))))</f>
        <v/>
      </c>
      <c r="Q382" s="66">
        <f>IF(T382&lt;&gt;"","⛔ "&amp;T382&amp;" — not posted",IF(U382&lt;&gt;"","⚠ "&amp;U382,IF(V382=1,"✓ OK","")))</f>
        <v/>
      </c>
      <c r="R382" s="67">
        <f>IF(AND(B382="",C382="",D382="",G382="",F382=""),1,0)</f>
        <v/>
      </c>
      <c r="S382" s="68">
        <f>IF(AND(TaxOn="Yes",ISNUMBER(H382)),H382,0)</f>
        <v/>
      </c>
      <c r="T382" s="67">
        <f>IF(R382=1,"",IF(B382="","Enter an invoice #",IF(C382="","Missing invoice date",IF(NOT(ISNUMBER(C382)),"Invalid date",IF(OR(C382&lt;DATE(2000,1,1),C382&gt;DATE(2099,12,31)),"Invalid date",IF(F382="","Select a revenue account",IF(ISNA(MATCH(F382,coa_Name,0)),"Unknown account: "&amp;F382,IF(NOT(ISNUMBER(G382)),"Enter an amount",IF(G382&lt;=0,"Amount must be positive",IF(S382&gt;G382,"Tax is larger than the amount",""))))))))))</f>
        <v/>
      </c>
      <c r="U382" s="67">
        <f>IF(OR(R382=1,T382&lt;&gt;""),"",IF(COUNTIF(ar_No,B382)&gt;1,"Duplicate invoice #",IF(D382="","Select a customer",IF(N(L382)&lt;0,"Overpaid by "&amp;TEXT(-L382,"#,##0.00"),IF(AND(ISNUMBER(H382),N(H382)&lt;&gt;0,S382=0),"Tax ignored (tax tracking is off)",IF(AND(ISNUMBER(StartDate),C382&lt;StartDate),"Date is before the accounting start date",IF(AND(IFERROR(INDEX(coa_Type,MATCH(F382,coa_Name,0)),"")&lt;&gt;"Revenue",IFERROR(INDEX(coa_Type,MATCH(F382,coa_Name,0)),"")&lt;&gt;"Other Income"),"Account is not a revenue account","")))))))</f>
        <v/>
      </c>
      <c r="V382" s="67">
        <f>IF(AND(R382=0,T382=""),1,0)</f>
        <v/>
      </c>
      <c r="W382" s="67">
        <f>IF(V382=1,acctAR,"")</f>
        <v/>
      </c>
      <c r="X382" s="67">
        <f>IF(V382=1,F382,"")</f>
        <v/>
      </c>
      <c r="Y382" s="68">
        <f>IF(V382=1,G382,0)</f>
        <v/>
      </c>
      <c r="Z382" s="68">
        <f>IF(V382=1,G382-S382,0)</f>
        <v/>
      </c>
      <c r="AA382" s="68">
        <f>IF(V382=1,S382,0)</f>
        <v/>
      </c>
    </row>
    <row r="383">
      <c r="B383" s="62" t="n"/>
      <c r="C383" s="63" t="n"/>
      <c r="D383" s="62" t="n"/>
      <c r="E383" s="62" t="n"/>
      <c r="F383" s="62" t="n"/>
      <c r="G383" s="64" t="n"/>
      <c r="H383" s="64" t="n"/>
      <c r="I383" s="63" t="n"/>
      <c r="J383" s="29">
        <f>IF(V383=1,IF(ISNUMBER(I383),I383,C383+IF(ISNUMBER(IFERROR(INDEX(cust_Terms,MATCH(D383,cust_Name,0)),"")),INDEX(cust_Terms,MATCH(D383,cust_Name,0)),TermsDays)),"")</f>
        <v/>
      </c>
      <c r="K383" s="65">
        <f>IF(V383=1,SUMIFS(tx_DrAmt,tx_Type,"Customer Payment",tx_Ref,B383&amp;"",tx_Date,"&lt;="&amp;AsOf),"")</f>
        <v/>
      </c>
      <c r="L383" s="65">
        <f>IF(V383=1,IF(C383&gt;AsOf,0,ROUND(G383-K383,2)),"")</f>
        <v/>
      </c>
      <c r="M383" s="66">
        <f>IF(V383&lt;&gt;1,"",IF(C383&gt;AsOf,"Future",IF(L383&lt;0,"Overpaid",IF(L383=0,"Paid",IF(AsOf&gt;J383,"Overdue",IF(K383&gt;0,"Partial","Unpaid"))))))</f>
        <v/>
      </c>
      <c r="N383" s="28">
        <f>IF(AND(V383=1,N(L383)&gt;0),AsOf-C383,"")</f>
        <v/>
      </c>
      <c r="O383" s="28">
        <f>IF(N383="","",MAX(0,AsOf-J383))</f>
        <v/>
      </c>
      <c r="P383" s="66">
        <f>IF(O383="","",IF(O383=0,"Current",IF(O383&lt;=30,"1-30",IF(O383&lt;=60,"31-60",IF(O383&lt;=90,"61-90","90+")))))</f>
        <v/>
      </c>
      <c r="Q383" s="66">
        <f>IF(T383&lt;&gt;"","⛔ "&amp;T383&amp;" — not posted",IF(U383&lt;&gt;"","⚠ "&amp;U383,IF(V383=1,"✓ OK","")))</f>
        <v/>
      </c>
      <c r="R383" s="67">
        <f>IF(AND(B383="",C383="",D383="",G383="",F383=""),1,0)</f>
        <v/>
      </c>
      <c r="S383" s="68">
        <f>IF(AND(TaxOn="Yes",ISNUMBER(H383)),H383,0)</f>
        <v/>
      </c>
      <c r="T383" s="67">
        <f>IF(R383=1,"",IF(B383="","Enter an invoice #",IF(C383="","Missing invoice date",IF(NOT(ISNUMBER(C383)),"Invalid date",IF(OR(C383&lt;DATE(2000,1,1),C383&gt;DATE(2099,12,31)),"Invalid date",IF(F383="","Select a revenue account",IF(ISNA(MATCH(F383,coa_Name,0)),"Unknown account: "&amp;F383,IF(NOT(ISNUMBER(G383)),"Enter an amount",IF(G383&lt;=0,"Amount must be positive",IF(S383&gt;G383,"Tax is larger than the amount",""))))))))))</f>
        <v/>
      </c>
      <c r="U383" s="67">
        <f>IF(OR(R383=1,T383&lt;&gt;""),"",IF(COUNTIF(ar_No,B383)&gt;1,"Duplicate invoice #",IF(D383="","Select a customer",IF(N(L383)&lt;0,"Overpaid by "&amp;TEXT(-L383,"#,##0.00"),IF(AND(ISNUMBER(H383),N(H383)&lt;&gt;0,S383=0),"Tax ignored (tax tracking is off)",IF(AND(ISNUMBER(StartDate),C383&lt;StartDate),"Date is before the accounting start date",IF(AND(IFERROR(INDEX(coa_Type,MATCH(F383,coa_Name,0)),"")&lt;&gt;"Revenue",IFERROR(INDEX(coa_Type,MATCH(F383,coa_Name,0)),"")&lt;&gt;"Other Income"),"Account is not a revenue account","")))))))</f>
        <v/>
      </c>
      <c r="V383" s="67">
        <f>IF(AND(R383=0,T383=""),1,0)</f>
        <v/>
      </c>
      <c r="W383" s="67">
        <f>IF(V383=1,acctAR,"")</f>
        <v/>
      </c>
      <c r="X383" s="67">
        <f>IF(V383=1,F383,"")</f>
        <v/>
      </c>
      <c r="Y383" s="68">
        <f>IF(V383=1,G383,0)</f>
        <v/>
      </c>
      <c r="Z383" s="68">
        <f>IF(V383=1,G383-S383,0)</f>
        <v/>
      </c>
      <c r="AA383" s="68">
        <f>IF(V383=1,S383,0)</f>
        <v/>
      </c>
    </row>
    <row r="384">
      <c r="B384" s="62" t="n"/>
      <c r="C384" s="63" t="n"/>
      <c r="D384" s="62" t="n"/>
      <c r="E384" s="62" t="n"/>
      <c r="F384" s="62" t="n"/>
      <c r="G384" s="64" t="n"/>
      <c r="H384" s="64" t="n"/>
      <c r="I384" s="63" t="n"/>
      <c r="J384" s="29">
        <f>IF(V384=1,IF(ISNUMBER(I384),I384,C384+IF(ISNUMBER(IFERROR(INDEX(cust_Terms,MATCH(D384,cust_Name,0)),"")),INDEX(cust_Terms,MATCH(D384,cust_Name,0)),TermsDays)),"")</f>
        <v/>
      </c>
      <c r="K384" s="65">
        <f>IF(V384=1,SUMIFS(tx_DrAmt,tx_Type,"Customer Payment",tx_Ref,B384&amp;"",tx_Date,"&lt;="&amp;AsOf),"")</f>
        <v/>
      </c>
      <c r="L384" s="65">
        <f>IF(V384=1,IF(C384&gt;AsOf,0,ROUND(G384-K384,2)),"")</f>
        <v/>
      </c>
      <c r="M384" s="66">
        <f>IF(V384&lt;&gt;1,"",IF(C384&gt;AsOf,"Future",IF(L384&lt;0,"Overpaid",IF(L384=0,"Paid",IF(AsOf&gt;J384,"Overdue",IF(K384&gt;0,"Partial","Unpaid"))))))</f>
        <v/>
      </c>
      <c r="N384" s="28">
        <f>IF(AND(V384=1,N(L384)&gt;0),AsOf-C384,"")</f>
        <v/>
      </c>
      <c r="O384" s="28">
        <f>IF(N384="","",MAX(0,AsOf-J384))</f>
        <v/>
      </c>
      <c r="P384" s="66">
        <f>IF(O384="","",IF(O384=0,"Current",IF(O384&lt;=30,"1-30",IF(O384&lt;=60,"31-60",IF(O384&lt;=90,"61-90","90+")))))</f>
        <v/>
      </c>
      <c r="Q384" s="66">
        <f>IF(T384&lt;&gt;"","⛔ "&amp;T384&amp;" — not posted",IF(U384&lt;&gt;"","⚠ "&amp;U384,IF(V384=1,"✓ OK","")))</f>
        <v/>
      </c>
      <c r="R384" s="67">
        <f>IF(AND(B384="",C384="",D384="",G384="",F384=""),1,0)</f>
        <v/>
      </c>
      <c r="S384" s="68">
        <f>IF(AND(TaxOn="Yes",ISNUMBER(H384)),H384,0)</f>
        <v/>
      </c>
      <c r="T384" s="67">
        <f>IF(R384=1,"",IF(B384="","Enter an invoice #",IF(C384="","Missing invoice date",IF(NOT(ISNUMBER(C384)),"Invalid date",IF(OR(C384&lt;DATE(2000,1,1),C384&gt;DATE(2099,12,31)),"Invalid date",IF(F384="","Select a revenue account",IF(ISNA(MATCH(F384,coa_Name,0)),"Unknown account: "&amp;F384,IF(NOT(ISNUMBER(G384)),"Enter an amount",IF(G384&lt;=0,"Amount must be positive",IF(S384&gt;G384,"Tax is larger than the amount",""))))))))))</f>
        <v/>
      </c>
      <c r="U384" s="67">
        <f>IF(OR(R384=1,T384&lt;&gt;""),"",IF(COUNTIF(ar_No,B384)&gt;1,"Duplicate invoice #",IF(D384="","Select a customer",IF(N(L384)&lt;0,"Overpaid by "&amp;TEXT(-L384,"#,##0.00"),IF(AND(ISNUMBER(H384),N(H384)&lt;&gt;0,S384=0),"Tax ignored (tax tracking is off)",IF(AND(ISNUMBER(StartDate),C384&lt;StartDate),"Date is before the accounting start date",IF(AND(IFERROR(INDEX(coa_Type,MATCH(F384,coa_Name,0)),"")&lt;&gt;"Revenue",IFERROR(INDEX(coa_Type,MATCH(F384,coa_Name,0)),"")&lt;&gt;"Other Income"),"Account is not a revenue account","")))))))</f>
        <v/>
      </c>
      <c r="V384" s="67">
        <f>IF(AND(R384=0,T384=""),1,0)</f>
        <v/>
      </c>
      <c r="W384" s="67">
        <f>IF(V384=1,acctAR,"")</f>
        <v/>
      </c>
      <c r="X384" s="67">
        <f>IF(V384=1,F384,"")</f>
        <v/>
      </c>
      <c r="Y384" s="68">
        <f>IF(V384=1,G384,0)</f>
        <v/>
      </c>
      <c r="Z384" s="68">
        <f>IF(V384=1,G384-S384,0)</f>
        <v/>
      </c>
      <c r="AA384" s="68">
        <f>IF(V384=1,S384,0)</f>
        <v/>
      </c>
    </row>
    <row r="385">
      <c r="B385" s="62" t="n"/>
      <c r="C385" s="63" t="n"/>
      <c r="D385" s="62" t="n"/>
      <c r="E385" s="62" t="n"/>
      <c r="F385" s="62" t="n"/>
      <c r="G385" s="64" t="n"/>
      <c r="H385" s="64" t="n"/>
      <c r="I385" s="63" t="n"/>
      <c r="J385" s="29">
        <f>IF(V385=1,IF(ISNUMBER(I385),I385,C385+IF(ISNUMBER(IFERROR(INDEX(cust_Terms,MATCH(D385,cust_Name,0)),"")),INDEX(cust_Terms,MATCH(D385,cust_Name,0)),TermsDays)),"")</f>
        <v/>
      </c>
      <c r="K385" s="65">
        <f>IF(V385=1,SUMIFS(tx_DrAmt,tx_Type,"Customer Payment",tx_Ref,B385&amp;"",tx_Date,"&lt;="&amp;AsOf),"")</f>
        <v/>
      </c>
      <c r="L385" s="65">
        <f>IF(V385=1,IF(C385&gt;AsOf,0,ROUND(G385-K385,2)),"")</f>
        <v/>
      </c>
      <c r="M385" s="66">
        <f>IF(V385&lt;&gt;1,"",IF(C385&gt;AsOf,"Future",IF(L385&lt;0,"Overpaid",IF(L385=0,"Paid",IF(AsOf&gt;J385,"Overdue",IF(K385&gt;0,"Partial","Unpaid"))))))</f>
        <v/>
      </c>
      <c r="N385" s="28">
        <f>IF(AND(V385=1,N(L385)&gt;0),AsOf-C385,"")</f>
        <v/>
      </c>
      <c r="O385" s="28">
        <f>IF(N385="","",MAX(0,AsOf-J385))</f>
        <v/>
      </c>
      <c r="P385" s="66">
        <f>IF(O385="","",IF(O385=0,"Current",IF(O385&lt;=30,"1-30",IF(O385&lt;=60,"31-60",IF(O385&lt;=90,"61-90","90+")))))</f>
        <v/>
      </c>
      <c r="Q385" s="66">
        <f>IF(T385&lt;&gt;"","⛔ "&amp;T385&amp;" — not posted",IF(U385&lt;&gt;"","⚠ "&amp;U385,IF(V385=1,"✓ OK","")))</f>
        <v/>
      </c>
      <c r="R385" s="67">
        <f>IF(AND(B385="",C385="",D385="",G385="",F385=""),1,0)</f>
        <v/>
      </c>
      <c r="S385" s="68">
        <f>IF(AND(TaxOn="Yes",ISNUMBER(H385)),H385,0)</f>
        <v/>
      </c>
      <c r="T385" s="67">
        <f>IF(R385=1,"",IF(B385="","Enter an invoice #",IF(C385="","Missing invoice date",IF(NOT(ISNUMBER(C385)),"Invalid date",IF(OR(C385&lt;DATE(2000,1,1),C385&gt;DATE(2099,12,31)),"Invalid date",IF(F385="","Select a revenue account",IF(ISNA(MATCH(F385,coa_Name,0)),"Unknown account: "&amp;F385,IF(NOT(ISNUMBER(G385)),"Enter an amount",IF(G385&lt;=0,"Amount must be positive",IF(S385&gt;G385,"Tax is larger than the amount",""))))))))))</f>
        <v/>
      </c>
      <c r="U385" s="67">
        <f>IF(OR(R385=1,T385&lt;&gt;""),"",IF(COUNTIF(ar_No,B385)&gt;1,"Duplicate invoice #",IF(D385="","Select a customer",IF(N(L385)&lt;0,"Overpaid by "&amp;TEXT(-L385,"#,##0.00"),IF(AND(ISNUMBER(H385),N(H385)&lt;&gt;0,S385=0),"Tax ignored (tax tracking is off)",IF(AND(ISNUMBER(StartDate),C385&lt;StartDate),"Date is before the accounting start date",IF(AND(IFERROR(INDEX(coa_Type,MATCH(F385,coa_Name,0)),"")&lt;&gt;"Revenue",IFERROR(INDEX(coa_Type,MATCH(F385,coa_Name,0)),"")&lt;&gt;"Other Income"),"Account is not a revenue account","")))))))</f>
        <v/>
      </c>
      <c r="V385" s="67">
        <f>IF(AND(R385=0,T385=""),1,0)</f>
        <v/>
      </c>
      <c r="W385" s="67">
        <f>IF(V385=1,acctAR,"")</f>
        <v/>
      </c>
      <c r="X385" s="67">
        <f>IF(V385=1,F385,"")</f>
        <v/>
      </c>
      <c r="Y385" s="68">
        <f>IF(V385=1,G385,0)</f>
        <v/>
      </c>
      <c r="Z385" s="68">
        <f>IF(V385=1,G385-S385,0)</f>
        <v/>
      </c>
      <c r="AA385" s="68">
        <f>IF(V385=1,S385,0)</f>
        <v/>
      </c>
    </row>
    <row r="386">
      <c r="B386" s="62" t="n"/>
      <c r="C386" s="63" t="n"/>
      <c r="D386" s="62" t="n"/>
      <c r="E386" s="62" t="n"/>
      <c r="F386" s="62" t="n"/>
      <c r="G386" s="64" t="n"/>
      <c r="H386" s="64" t="n"/>
      <c r="I386" s="63" t="n"/>
      <c r="J386" s="29">
        <f>IF(V386=1,IF(ISNUMBER(I386),I386,C386+IF(ISNUMBER(IFERROR(INDEX(cust_Terms,MATCH(D386,cust_Name,0)),"")),INDEX(cust_Terms,MATCH(D386,cust_Name,0)),TermsDays)),"")</f>
        <v/>
      </c>
      <c r="K386" s="65">
        <f>IF(V386=1,SUMIFS(tx_DrAmt,tx_Type,"Customer Payment",tx_Ref,B386&amp;"",tx_Date,"&lt;="&amp;AsOf),"")</f>
        <v/>
      </c>
      <c r="L386" s="65">
        <f>IF(V386=1,IF(C386&gt;AsOf,0,ROUND(G386-K386,2)),"")</f>
        <v/>
      </c>
      <c r="M386" s="66">
        <f>IF(V386&lt;&gt;1,"",IF(C386&gt;AsOf,"Future",IF(L386&lt;0,"Overpaid",IF(L386=0,"Paid",IF(AsOf&gt;J386,"Overdue",IF(K386&gt;0,"Partial","Unpaid"))))))</f>
        <v/>
      </c>
      <c r="N386" s="28">
        <f>IF(AND(V386=1,N(L386)&gt;0),AsOf-C386,"")</f>
        <v/>
      </c>
      <c r="O386" s="28">
        <f>IF(N386="","",MAX(0,AsOf-J386))</f>
        <v/>
      </c>
      <c r="P386" s="66">
        <f>IF(O386="","",IF(O386=0,"Current",IF(O386&lt;=30,"1-30",IF(O386&lt;=60,"31-60",IF(O386&lt;=90,"61-90","90+")))))</f>
        <v/>
      </c>
      <c r="Q386" s="66">
        <f>IF(T386&lt;&gt;"","⛔ "&amp;T386&amp;" — not posted",IF(U386&lt;&gt;"","⚠ "&amp;U386,IF(V386=1,"✓ OK","")))</f>
        <v/>
      </c>
      <c r="R386" s="67">
        <f>IF(AND(B386="",C386="",D386="",G386="",F386=""),1,0)</f>
        <v/>
      </c>
      <c r="S386" s="68">
        <f>IF(AND(TaxOn="Yes",ISNUMBER(H386)),H386,0)</f>
        <v/>
      </c>
      <c r="T386" s="67">
        <f>IF(R386=1,"",IF(B386="","Enter an invoice #",IF(C386="","Missing invoice date",IF(NOT(ISNUMBER(C386)),"Invalid date",IF(OR(C386&lt;DATE(2000,1,1),C386&gt;DATE(2099,12,31)),"Invalid date",IF(F386="","Select a revenue account",IF(ISNA(MATCH(F386,coa_Name,0)),"Unknown account: "&amp;F386,IF(NOT(ISNUMBER(G386)),"Enter an amount",IF(G386&lt;=0,"Amount must be positive",IF(S386&gt;G386,"Tax is larger than the amount",""))))))))))</f>
        <v/>
      </c>
      <c r="U386" s="67">
        <f>IF(OR(R386=1,T386&lt;&gt;""),"",IF(COUNTIF(ar_No,B386)&gt;1,"Duplicate invoice #",IF(D386="","Select a customer",IF(N(L386)&lt;0,"Overpaid by "&amp;TEXT(-L386,"#,##0.00"),IF(AND(ISNUMBER(H386),N(H386)&lt;&gt;0,S386=0),"Tax ignored (tax tracking is off)",IF(AND(ISNUMBER(StartDate),C386&lt;StartDate),"Date is before the accounting start date",IF(AND(IFERROR(INDEX(coa_Type,MATCH(F386,coa_Name,0)),"")&lt;&gt;"Revenue",IFERROR(INDEX(coa_Type,MATCH(F386,coa_Name,0)),"")&lt;&gt;"Other Income"),"Account is not a revenue account","")))))))</f>
        <v/>
      </c>
      <c r="V386" s="67">
        <f>IF(AND(R386=0,T386=""),1,0)</f>
        <v/>
      </c>
      <c r="W386" s="67">
        <f>IF(V386=1,acctAR,"")</f>
        <v/>
      </c>
      <c r="X386" s="67">
        <f>IF(V386=1,F386,"")</f>
        <v/>
      </c>
      <c r="Y386" s="68">
        <f>IF(V386=1,G386,0)</f>
        <v/>
      </c>
      <c r="Z386" s="68">
        <f>IF(V386=1,G386-S386,0)</f>
        <v/>
      </c>
      <c r="AA386" s="68">
        <f>IF(V386=1,S386,0)</f>
        <v/>
      </c>
    </row>
    <row r="387">
      <c r="B387" s="62" t="n"/>
      <c r="C387" s="63" t="n"/>
      <c r="D387" s="62" t="n"/>
      <c r="E387" s="62" t="n"/>
      <c r="F387" s="62" t="n"/>
      <c r="G387" s="64" t="n"/>
      <c r="H387" s="64" t="n"/>
      <c r="I387" s="63" t="n"/>
      <c r="J387" s="29">
        <f>IF(V387=1,IF(ISNUMBER(I387),I387,C387+IF(ISNUMBER(IFERROR(INDEX(cust_Terms,MATCH(D387,cust_Name,0)),"")),INDEX(cust_Terms,MATCH(D387,cust_Name,0)),TermsDays)),"")</f>
        <v/>
      </c>
      <c r="K387" s="65">
        <f>IF(V387=1,SUMIFS(tx_DrAmt,tx_Type,"Customer Payment",tx_Ref,B387&amp;"",tx_Date,"&lt;="&amp;AsOf),"")</f>
        <v/>
      </c>
      <c r="L387" s="65">
        <f>IF(V387=1,IF(C387&gt;AsOf,0,ROUND(G387-K387,2)),"")</f>
        <v/>
      </c>
      <c r="M387" s="66">
        <f>IF(V387&lt;&gt;1,"",IF(C387&gt;AsOf,"Future",IF(L387&lt;0,"Overpaid",IF(L387=0,"Paid",IF(AsOf&gt;J387,"Overdue",IF(K387&gt;0,"Partial","Unpaid"))))))</f>
        <v/>
      </c>
      <c r="N387" s="28">
        <f>IF(AND(V387=1,N(L387)&gt;0),AsOf-C387,"")</f>
        <v/>
      </c>
      <c r="O387" s="28">
        <f>IF(N387="","",MAX(0,AsOf-J387))</f>
        <v/>
      </c>
      <c r="P387" s="66">
        <f>IF(O387="","",IF(O387=0,"Current",IF(O387&lt;=30,"1-30",IF(O387&lt;=60,"31-60",IF(O387&lt;=90,"61-90","90+")))))</f>
        <v/>
      </c>
      <c r="Q387" s="66">
        <f>IF(T387&lt;&gt;"","⛔ "&amp;T387&amp;" — not posted",IF(U387&lt;&gt;"","⚠ "&amp;U387,IF(V387=1,"✓ OK","")))</f>
        <v/>
      </c>
      <c r="R387" s="67">
        <f>IF(AND(B387="",C387="",D387="",G387="",F387=""),1,0)</f>
        <v/>
      </c>
      <c r="S387" s="68">
        <f>IF(AND(TaxOn="Yes",ISNUMBER(H387)),H387,0)</f>
        <v/>
      </c>
      <c r="T387" s="67">
        <f>IF(R387=1,"",IF(B387="","Enter an invoice #",IF(C387="","Missing invoice date",IF(NOT(ISNUMBER(C387)),"Invalid date",IF(OR(C387&lt;DATE(2000,1,1),C387&gt;DATE(2099,12,31)),"Invalid date",IF(F387="","Select a revenue account",IF(ISNA(MATCH(F387,coa_Name,0)),"Unknown account: "&amp;F387,IF(NOT(ISNUMBER(G387)),"Enter an amount",IF(G387&lt;=0,"Amount must be positive",IF(S387&gt;G387,"Tax is larger than the amount",""))))))))))</f>
        <v/>
      </c>
      <c r="U387" s="67">
        <f>IF(OR(R387=1,T387&lt;&gt;""),"",IF(COUNTIF(ar_No,B387)&gt;1,"Duplicate invoice #",IF(D387="","Select a customer",IF(N(L387)&lt;0,"Overpaid by "&amp;TEXT(-L387,"#,##0.00"),IF(AND(ISNUMBER(H387),N(H387)&lt;&gt;0,S387=0),"Tax ignored (tax tracking is off)",IF(AND(ISNUMBER(StartDate),C387&lt;StartDate),"Date is before the accounting start date",IF(AND(IFERROR(INDEX(coa_Type,MATCH(F387,coa_Name,0)),"")&lt;&gt;"Revenue",IFERROR(INDEX(coa_Type,MATCH(F387,coa_Name,0)),"")&lt;&gt;"Other Income"),"Account is not a revenue account","")))))))</f>
        <v/>
      </c>
      <c r="V387" s="67">
        <f>IF(AND(R387=0,T387=""),1,0)</f>
        <v/>
      </c>
      <c r="W387" s="67">
        <f>IF(V387=1,acctAR,"")</f>
        <v/>
      </c>
      <c r="X387" s="67">
        <f>IF(V387=1,F387,"")</f>
        <v/>
      </c>
      <c r="Y387" s="68">
        <f>IF(V387=1,G387,0)</f>
        <v/>
      </c>
      <c r="Z387" s="68">
        <f>IF(V387=1,G387-S387,0)</f>
        <v/>
      </c>
      <c r="AA387" s="68">
        <f>IF(V387=1,S387,0)</f>
        <v/>
      </c>
    </row>
    <row r="388">
      <c r="B388" s="62" t="n"/>
      <c r="C388" s="63" t="n"/>
      <c r="D388" s="62" t="n"/>
      <c r="E388" s="62" t="n"/>
      <c r="F388" s="62" t="n"/>
      <c r="G388" s="64" t="n"/>
      <c r="H388" s="64" t="n"/>
      <c r="I388" s="63" t="n"/>
      <c r="J388" s="29">
        <f>IF(V388=1,IF(ISNUMBER(I388),I388,C388+IF(ISNUMBER(IFERROR(INDEX(cust_Terms,MATCH(D388,cust_Name,0)),"")),INDEX(cust_Terms,MATCH(D388,cust_Name,0)),TermsDays)),"")</f>
        <v/>
      </c>
      <c r="K388" s="65">
        <f>IF(V388=1,SUMIFS(tx_DrAmt,tx_Type,"Customer Payment",tx_Ref,B388&amp;"",tx_Date,"&lt;="&amp;AsOf),"")</f>
        <v/>
      </c>
      <c r="L388" s="65">
        <f>IF(V388=1,IF(C388&gt;AsOf,0,ROUND(G388-K388,2)),"")</f>
        <v/>
      </c>
      <c r="M388" s="66">
        <f>IF(V388&lt;&gt;1,"",IF(C388&gt;AsOf,"Future",IF(L388&lt;0,"Overpaid",IF(L388=0,"Paid",IF(AsOf&gt;J388,"Overdue",IF(K388&gt;0,"Partial","Unpaid"))))))</f>
        <v/>
      </c>
      <c r="N388" s="28">
        <f>IF(AND(V388=1,N(L388)&gt;0),AsOf-C388,"")</f>
        <v/>
      </c>
      <c r="O388" s="28">
        <f>IF(N388="","",MAX(0,AsOf-J388))</f>
        <v/>
      </c>
      <c r="P388" s="66">
        <f>IF(O388="","",IF(O388=0,"Current",IF(O388&lt;=30,"1-30",IF(O388&lt;=60,"31-60",IF(O388&lt;=90,"61-90","90+")))))</f>
        <v/>
      </c>
      <c r="Q388" s="66">
        <f>IF(T388&lt;&gt;"","⛔ "&amp;T388&amp;" — not posted",IF(U388&lt;&gt;"","⚠ "&amp;U388,IF(V388=1,"✓ OK","")))</f>
        <v/>
      </c>
      <c r="R388" s="67">
        <f>IF(AND(B388="",C388="",D388="",G388="",F388=""),1,0)</f>
        <v/>
      </c>
      <c r="S388" s="68">
        <f>IF(AND(TaxOn="Yes",ISNUMBER(H388)),H388,0)</f>
        <v/>
      </c>
      <c r="T388" s="67">
        <f>IF(R388=1,"",IF(B388="","Enter an invoice #",IF(C388="","Missing invoice date",IF(NOT(ISNUMBER(C388)),"Invalid date",IF(OR(C388&lt;DATE(2000,1,1),C388&gt;DATE(2099,12,31)),"Invalid date",IF(F388="","Select a revenue account",IF(ISNA(MATCH(F388,coa_Name,0)),"Unknown account: "&amp;F388,IF(NOT(ISNUMBER(G388)),"Enter an amount",IF(G388&lt;=0,"Amount must be positive",IF(S388&gt;G388,"Tax is larger than the amount",""))))))))))</f>
        <v/>
      </c>
      <c r="U388" s="67">
        <f>IF(OR(R388=1,T388&lt;&gt;""),"",IF(COUNTIF(ar_No,B388)&gt;1,"Duplicate invoice #",IF(D388="","Select a customer",IF(N(L388)&lt;0,"Overpaid by "&amp;TEXT(-L388,"#,##0.00"),IF(AND(ISNUMBER(H388),N(H388)&lt;&gt;0,S388=0),"Tax ignored (tax tracking is off)",IF(AND(ISNUMBER(StartDate),C388&lt;StartDate),"Date is before the accounting start date",IF(AND(IFERROR(INDEX(coa_Type,MATCH(F388,coa_Name,0)),"")&lt;&gt;"Revenue",IFERROR(INDEX(coa_Type,MATCH(F388,coa_Name,0)),"")&lt;&gt;"Other Income"),"Account is not a revenue account","")))))))</f>
        <v/>
      </c>
      <c r="V388" s="67">
        <f>IF(AND(R388=0,T388=""),1,0)</f>
        <v/>
      </c>
      <c r="W388" s="67">
        <f>IF(V388=1,acctAR,"")</f>
        <v/>
      </c>
      <c r="X388" s="67">
        <f>IF(V388=1,F388,"")</f>
        <v/>
      </c>
      <c r="Y388" s="68">
        <f>IF(V388=1,G388,0)</f>
        <v/>
      </c>
      <c r="Z388" s="68">
        <f>IF(V388=1,G388-S388,0)</f>
        <v/>
      </c>
      <c r="AA388" s="68">
        <f>IF(V388=1,S388,0)</f>
        <v/>
      </c>
    </row>
    <row r="389">
      <c r="B389" s="62" t="n"/>
      <c r="C389" s="63" t="n"/>
      <c r="D389" s="62" t="n"/>
      <c r="E389" s="62" t="n"/>
      <c r="F389" s="62" t="n"/>
      <c r="G389" s="64" t="n"/>
      <c r="H389" s="64" t="n"/>
      <c r="I389" s="63" t="n"/>
      <c r="J389" s="29">
        <f>IF(V389=1,IF(ISNUMBER(I389),I389,C389+IF(ISNUMBER(IFERROR(INDEX(cust_Terms,MATCH(D389,cust_Name,0)),"")),INDEX(cust_Terms,MATCH(D389,cust_Name,0)),TermsDays)),"")</f>
        <v/>
      </c>
      <c r="K389" s="65">
        <f>IF(V389=1,SUMIFS(tx_DrAmt,tx_Type,"Customer Payment",tx_Ref,B389&amp;"",tx_Date,"&lt;="&amp;AsOf),"")</f>
        <v/>
      </c>
      <c r="L389" s="65">
        <f>IF(V389=1,IF(C389&gt;AsOf,0,ROUND(G389-K389,2)),"")</f>
        <v/>
      </c>
      <c r="M389" s="66">
        <f>IF(V389&lt;&gt;1,"",IF(C389&gt;AsOf,"Future",IF(L389&lt;0,"Overpaid",IF(L389=0,"Paid",IF(AsOf&gt;J389,"Overdue",IF(K389&gt;0,"Partial","Unpaid"))))))</f>
        <v/>
      </c>
      <c r="N389" s="28">
        <f>IF(AND(V389=1,N(L389)&gt;0),AsOf-C389,"")</f>
        <v/>
      </c>
      <c r="O389" s="28">
        <f>IF(N389="","",MAX(0,AsOf-J389))</f>
        <v/>
      </c>
      <c r="P389" s="66">
        <f>IF(O389="","",IF(O389=0,"Current",IF(O389&lt;=30,"1-30",IF(O389&lt;=60,"31-60",IF(O389&lt;=90,"61-90","90+")))))</f>
        <v/>
      </c>
      <c r="Q389" s="66">
        <f>IF(T389&lt;&gt;"","⛔ "&amp;T389&amp;" — not posted",IF(U389&lt;&gt;"","⚠ "&amp;U389,IF(V389=1,"✓ OK","")))</f>
        <v/>
      </c>
      <c r="R389" s="67">
        <f>IF(AND(B389="",C389="",D389="",G389="",F389=""),1,0)</f>
        <v/>
      </c>
      <c r="S389" s="68">
        <f>IF(AND(TaxOn="Yes",ISNUMBER(H389)),H389,0)</f>
        <v/>
      </c>
      <c r="T389" s="67">
        <f>IF(R389=1,"",IF(B389="","Enter an invoice #",IF(C389="","Missing invoice date",IF(NOT(ISNUMBER(C389)),"Invalid date",IF(OR(C389&lt;DATE(2000,1,1),C389&gt;DATE(2099,12,31)),"Invalid date",IF(F389="","Select a revenue account",IF(ISNA(MATCH(F389,coa_Name,0)),"Unknown account: "&amp;F389,IF(NOT(ISNUMBER(G389)),"Enter an amount",IF(G389&lt;=0,"Amount must be positive",IF(S389&gt;G389,"Tax is larger than the amount",""))))))))))</f>
        <v/>
      </c>
      <c r="U389" s="67">
        <f>IF(OR(R389=1,T389&lt;&gt;""),"",IF(COUNTIF(ar_No,B389)&gt;1,"Duplicate invoice #",IF(D389="","Select a customer",IF(N(L389)&lt;0,"Overpaid by "&amp;TEXT(-L389,"#,##0.00"),IF(AND(ISNUMBER(H389),N(H389)&lt;&gt;0,S389=0),"Tax ignored (tax tracking is off)",IF(AND(ISNUMBER(StartDate),C389&lt;StartDate),"Date is before the accounting start date",IF(AND(IFERROR(INDEX(coa_Type,MATCH(F389,coa_Name,0)),"")&lt;&gt;"Revenue",IFERROR(INDEX(coa_Type,MATCH(F389,coa_Name,0)),"")&lt;&gt;"Other Income"),"Account is not a revenue account","")))))))</f>
        <v/>
      </c>
      <c r="V389" s="67">
        <f>IF(AND(R389=0,T389=""),1,0)</f>
        <v/>
      </c>
      <c r="W389" s="67">
        <f>IF(V389=1,acctAR,"")</f>
        <v/>
      </c>
      <c r="X389" s="67">
        <f>IF(V389=1,F389,"")</f>
        <v/>
      </c>
      <c r="Y389" s="68">
        <f>IF(V389=1,G389,0)</f>
        <v/>
      </c>
      <c r="Z389" s="68">
        <f>IF(V389=1,G389-S389,0)</f>
        <v/>
      </c>
      <c r="AA389" s="68">
        <f>IF(V389=1,S389,0)</f>
        <v/>
      </c>
    </row>
    <row r="390">
      <c r="B390" s="62" t="n"/>
      <c r="C390" s="63" t="n"/>
      <c r="D390" s="62" t="n"/>
      <c r="E390" s="62" t="n"/>
      <c r="F390" s="62" t="n"/>
      <c r="G390" s="64" t="n"/>
      <c r="H390" s="64" t="n"/>
      <c r="I390" s="63" t="n"/>
      <c r="J390" s="29">
        <f>IF(V390=1,IF(ISNUMBER(I390),I390,C390+IF(ISNUMBER(IFERROR(INDEX(cust_Terms,MATCH(D390,cust_Name,0)),"")),INDEX(cust_Terms,MATCH(D390,cust_Name,0)),TermsDays)),"")</f>
        <v/>
      </c>
      <c r="K390" s="65">
        <f>IF(V390=1,SUMIFS(tx_DrAmt,tx_Type,"Customer Payment",tx_Ref,B390&amp;"",tx_Date,"&lt;="&amp;AsOf),"")</f>
        <v/>
      </c>
      <c r="L390" s="65">
        <f>IF(V390=1,IF(C390&gt;AsOf,0,ROUND(G390-K390,2)),"")</f>
        <v/>
      </c>
      <c r="M390" s="66">
        <f>IF(V390&lt;&gt;1,"",IF(C390&gt;AsOf,"Future",IF(L390&lt;0,"Overpaid",IF(L390=0,"Paid",IF(AsOf&gt;J390,"Overdue",IF(K390&gt;0,"Partial","Unpaid"))))))</f>
        <v/>
      </c>
      <c r="N390" s="28">
        <f>IF(AND(V390=1,N(L390)&gt;0),AsOf-C390,"")</f>
        <v/>
      </c>
      <c r="O390" s="28">
        <f>IF(N390="","",MAX(0,AsOf-J390))</f>
        <v/>
      </c>
      <c r="P390" s="66">
        <f>IF(O390="","",IF(O390=0,"Current",IF(O390&lt;=30,"1-30",IF(O390&lt;=60,"31-60",IF(O390&lt;=90,"61-90","90+")))))</f>
        <v/>
      </c>
      <c r="Q390" s="66">
        <f>IF(T390&lt;&gt;"","⛔ "&amp;T390&amp;" — not posted",IF(U390&lt;&gt;"","⚠ "&amp;U390,IF(V390=1,"✓ OK","")))</f>
        <v/>
      </c>
      <c r="R390" s="67">
        <f>IF(AND(B390="",C390="",D390="",G390="",F390=""),1,0)</f>
        <v/>
      </c>
      <c r="S390" s="68">
        <f>IF(AND(TaxOn="Yes",ISNUMBER(H390)),H390,0)</f>
        <v/>
      </c>
      <c r="T390" s="67">
        <f>IF(R390=1,"",IF(B390="","Enter an invoice #",IF(C390="","Missing invoice date",IF(NOT(ISNUMBER(C390)),"Invalid date",IF(OR(C390&lt;DATE(2000,1,1),C390&gt;DATE(2099,12,31)),"Invalid date",IF(F390="","Select a revenue account",IF(ISNA(MATCH(F390,coa_Name,0)),"Unknown account: "&amp;F390,IF(NOT(ISNUMBER(G390)),"Enter an amount",IF(G390&lt;=0,"Amount must be positive",IF(S390&gt;G390,"Tax is larger than the amount",""))))))))))</f>
        <v/>
      </c>
      <c r="U390" s="67">
        <f>IF(OR(R390=1,T390&lt;&gt;""),"",IF(COUNTIF(ar_No,B390)&gt;1,"Duplicate invoice #",IF(D390="","Select a customer",IF(N(L390)&lt;0,"Overpaid by "&amp;TEXT(-L390,"#,##0.00"),IF(AND(ISNUMBER(H390),N(H390)&lt;&gt;0,S390=0),"Tax ignored (tax tracking is off)",IF(AND(ISNUMBER(StartDate),C390&lt;StartDate),"Date is before the accounting start date",IF(AND(IFERROR(INDEX(coa_Type,MATCH(F390,coa_Name,0)),"")&lt;&gt;"Revenue",IFERROR(INDEX(coa_Type,MATCH(F390,coa_Name,0)),"")&lt;&gt;"Other Income"),"Account is not a revenue account","")))))))</f>
        <v/>
      </c>
      <c r="V390" s="67">
        <f>IF(AND(R390=0,T390=""),1,0)</f>
        <v/>
      </c>
      <c r="W390" s="67">
        <f>IF(V390=1,acctAR,"")</f>
        <v/>
      </c>
      <c r="X390" s="67">
        <f>IF(V390=1,F390,"")</f>
        <v/>
      </c>
      <c r="Y390" s="68">
        <f>IF(V390=1,G390,0)</f>
        <v/>
      </c>
      <c r="Z390" s="68">
        <f>IF(V390=1,G390-S390,0)</f>
        <v/>
      </c>
      <c r="AA390" s="68">
        <f>IF(V390=1,S390,0)</f>
        <v/>
      </c>
    </row>
    <row r="391">
      <c r="B391" s="62" t="n"/>
      <c r="C391" s="63" t="n"/>
      <c r="D391" s="62" t="n"/>
      <c r="E391" s="62" t="n"/>
      <c r="F391" s="62" t="n"/>
      <c r="G391" s="64" t="n"/>
      <c r="H391" s="64" t="n"/>
      <c r="I391" s="63" t="n"/>
      <c r="J391" s="29">
        <f>IF(V391=1,IF(ISNUMBER(I391),I391,C391+IF(ISNUMBER(IFERROR(INDEX(cust_Terms,MATCH(D391,cust_Name,0)),"")),INDEX(cust_Terms,MATCH(D391,cust_Name,0)),TermsDays)),"")</f>
        <v/>
      </c>
      <c r="K391" s="65">
        <f>IF(V391=1,SUMIFS(tx_DrAmt,tx_Type,"Customer Payment",tx_Ref,B391&amp;"",tx_Date,"&lt;="&amp;AsOf),"")</f>
        <v/>
      </c>
      <c r="L391" s="65">
        <f>IF(V391=1,IF(C391&gt;AsOf,0,ROUND(G391-K391,2)),"")</f>
        <v/>
      </c>
      <c r="M391" s="66">
        <f>IF(V391&lt;&gt;1,"",IF(C391&gt;AsOf,"Future",IF(L391&lt;0,"Overpaid",IF(L391=0,"Paid",IF(AsOf&gt;J391,"Overdue",IF(K391&gt;0,"Partial","Unpaid"))))))</f>
        <v/>
      </c>
      <c r="N391" s="28">
        <f>IF(AND(V391=1,N(L391)&gt;0),AsOf-C391,"")</f>
        <v/>
      </c>
      <c r="O391" s="28">
        <f>IF(N391="","",MAX(0,AsOf-J391))</f>
        <v/>
      </c>
      <c r="P391" s="66">
        <f>IF(O391="","",IF(O391=0,"Current",IF(O391&lt;=30,"1-30",IF(O391&lt;=60,"31-60",IF(O391&lt;=90,"61-90","90+")))))</f>
        <v/>
      </c>
      <c r="Q391" s="66">
        <f>IF(T391&lt;&gt;"","⛔ "&amp;T391&amp;" — not posted",IF(U391&lt;&gt;"","⚠ "&amp;U391,IF(V391=1,"✓ OK","")))</f>
        <v/>
      </c>
      <c r="R391" s="67">
        <f>IF(AND(B391="",C391="",D391="",G391="",F391=""),1,0)</f>
        <v/>
      </c>
      <c r="S391" s="68">
        <f>IF(AND(TaxOn="Yes",ISNUMBER(H391)),H391,0)</f>
        <v/>
      </c>
      <c r="T391" s="67">
        <f>IF(R391=1,"",IF(B391="","Enter an invoice #",IF(C391="","Missing invoice date",IF(NOT(ISNUMBER(C391)),"Invalid date",IF(OR(C391&lt;DATE(2000,1,1),C391&gt;DATE(2099,12,31)),"Invalid date",IF(F391="","Select a revenue account",IF(ISNA(MATCH(F391,coa_Name,0)),"Unknown account: "&amp;F391,IF(NOT(ISNUMBER(G391)),"Enter an amount",IF(G391&lt;=0,"Amount must be positive",IF(S391&gt;G391,"Tax is larger than the amount",""))))))))))</f>
        <v/>
      </c>
      <c r="U391" s="67">
        <f>IF(OR(R391=1,T391&lt;&gt;""),"",IF(COUNTIF(ar_No,B391)&gt;1,"Duplicate invoice #",IF(D391="","Select a customer",IF(N(L391)&lt;0,"Overpaid by "&amp;TEXT(-L391,"#,##0.00"),IF(AND(ISNUMBER(H391),N(H391)&lt;&gt;0,S391=0),"Tax ignored (tax tracking is off)",IF(AND(ISNUMBER(StartDate),C391&lt;StartDate),"Date is before the accounting start date",IF(AND(IFERROR(INDEX(coa_Type,MATCH(F391,coa_Name,0)),"")&lt;&gt;"Revenue",IFERROR(INDEX(coa_Type,MATCH(F391,coa_Name,0)),"")&lt;&gt;"Other Income"),"Account is not a revenue account","")))))))</f>
        <v/>
      </c>
      <c r="V391" s="67">
        <f>IF(AND(R391=0,T391=""),1,0)</f>
        <v/>
      </c>
      <c r="W391" s="67">
        <f>IF(V391=1,acctAR,"")</f>
        <v/>
      </c>
      <c r="X391" s="67">
        <f>IF(V391=1,F391,"")</f>
        <v/>
      </c>
      <c r="Y391" s="68">
        <f>IF(V391=1,G391,0)</f>
        <v/>
      </c>
      <c r="Z391" s="68">
        <f>IF(V391=1,G391-S391,0)</f>
        <v/>
      </c>
      <c r="AA391" s="68">
        <f>IF(V391=1,S391,0)</f>
        <v/>
      </c>
    </row>
    <row r="392">
      <c r="B392" s="62" t="n"/>
      <c r="C392" s="63" t="n"/>
      <c r="D392" s="62" t="n"/>
      <c r="E392" s="62" t="n"/>
      <c r="F392" s="62" t="n"/>
      <c r="G392" s="64" t="n"/>
      <c r="H392" s="64" t="n"/>
      <c r="I392" s="63" t="n"/>
      <c r="J392" s="29">
        <f>IF(V392=1,IF(ISNUMBER(I392),I392,C392+IF(ISNUMBER(IFERROR(INDEX(cust_Terms,MATCH(D392,cust_Name,0)),"")),INDEX(cust_Terms,MATCH(D392,cust_Name,0)),TermsDays)),"")</f>
        <v/>
      </c>
      <c r="K392" s="65">
        <f>IF(V392=1,SUMIFS(tx_DrAmt,tx_Type,"Customer Payment",tx_Ref,B392&amp;"",tx_Date,"&lt;="&amp;AsOf),"")</f>
        <v/>
      </c>
      <c r="L392" s="65">
        <f>IF(V392=1,IF(C392&gt;AsOf,0,ROUND(G392-K392,2)),"")</f>
        <v/>
      </c>
      <c r="M392" s="66">
        <f>IF(V392&lt;&gt;1,"",IF(C392&gt;AsOf,"Future",IF(L392&lt;0,"Overpaid",IF(L392=0,"Paid",IF(AsOf&gt;J392,"Overdue",IF(K392&gt;0,"Partial","Unpaid"))))))</f>
        <v/>
      </c>
      <c r="N392" s="28">
        <f>IF(AND(V392=1,N(L392)&gt;0),AsOf-C392,"")</f>
        <v/>
      </c>
      <c r="O392" s="28">
        <f>IF(N392="","",MAX(0,AsOf-J392))</f>
        <v/>
      </c>
      <c r="P392" s="66">
        <f>IF(O392="","",IF(O392=0,"Current",IF(O392&lt;=30,"1-30",IF(O392&lt;=60,"31-60",IF(O392&lt;=90,"61-90","90+")))))</f>
        <v/>
      </c>
      <c r="Q392" s="66">
        <f>IF(T392&lt;&gt;"","⛔ "&amp;T392&amp;" — not posted",IF(U392&lt;&gt;"","⚠ "&amp;U392,IF(V392=1,"✓ OK","")))</f>
        <v/>
      </c>
      <c r="R392" s="67">
        <f>IF(AND(B392="",C392="",D392="",G392="",F392=""),1,0)</f>
        <v/>
      </c>
      <c r="S392" s="68">
        <f>IF(AND(TaxOn="Yes",ISNUMBER(H392)),H392,0)</f>
        <v/>
      </c>
      <c r="T392" s="67">
        <f>IF(R392=1,"",IF(B392="","Enter an invoice #",IF(C392="","Missing invoice date",IF(NOT(ISNUMBER(C392)),"Invalid date",IF(OR(C392&lt;DATE(2000,1,1),C392&gt;DATE(2099,12,31)),"Invalid date",IF(F392="","Select a revenue account",IF(ISNA(MATCH(F392,coa_Name,0)),"Unknown account: "&amp;F392,IF(NOT(ISNUMBER(G392)),"Enter an amount",IF(G392&lt;=0,"Amount must be positive",IF(S392&gt;G392,"Tax is larger than the amount",""))))))))))</f>
        <v/>
      </c>
      <c r="U392" s="67">
        <f>IF(OR(R392=1,T392&lt;&gt;""),"",IF(COUNTIF(ar_No,B392)&gt;1,"Duplicate invoice #",IF(D392="","Select a customer",IF(N(L392)&lt;0,"Overpaid by "&amp;TEXT(-L392,"#,##0.00"),IF(AND(ISNUMBER(H392),N(H392)&lt;&gt;0,S392=0),"Tax ignored (tax tracking is off)",IF(AND(ISNUMBER(StartDate),C392&lt;StartDate),"Date is before the accounting start date",IF(AND(IFERROR(INDEX(coa_Type,MATCH(F392,coa_Name,0)),"")&lt;&gt;"Revenue",IFERROR(INDEX(coa_Type,MATCH(F392,coa_Name,0)),"")&lt;&gt;"Other Income"),"Account is not a revenue account","")))))))</f>
        <v/>
      </c>
      <c r="V392" s="67">
        <f>IF(AND(R392=0,T392=""),1,0)</f>
        <v/>
      </c>
      <c r="W392" s="67">
        <f>IF(V392=1,acctAR,"")</f>
        <v/>
      </c>
      <c r="X392" s="67">
        <f>IF(V392=1,F392,"")</f>
        <v/>
      </c>
      <c r="Y392" s="68">
        <f>IF(V392=1,G392,0)</f>
        <v/>
      </c>
      <c r="Z392" s="68">
        <f>IF(V392=1,G392-S392,0)</f>
        <v/>
      </c>
      <c r="AA392" s="68">
        <f>IF(V392=1,S392,0)</f>
        <v/>
      </c>
    </row>
    <row r="393">
      <c r="B393" s="62" t="n"/>
      <c r="C393" s="63" t="n"/>
      <c r="D393" s="62" t="n"/>
      <c r="E393" s="62" t="n"/>
      <c r="F393" s="62" t="n"/>
      <c r="G393" s="64" t="n"/>
      <c r="H393" s="64" t="n"/>
      <c r="I393" s="63" t="n"/>
      <c r="J393" s="29">
        <f>IF(V393=1,IF(ISNUMBER(I393),I393,C393+IF(ISNUMBER(IFERROR(INDEX(cust_Terms,MATCH(D393,cust_Name,0)),"")),INDEX(cust_Terms,MATCH(D393,cust_Name,0)),TermsDays)),"")</f>
        <v/>
      </c>
      <c r="K393" s="65">
        <f>IF(V393=1,SUMIFS(tx_DrAmt,tx_Type,"Customer Payment",tx_Ref,B393&amp;"",tx_Date,"&lt;="&amp;AsOf),"")</f>
        <v/>
      </c>
      <c r="L393" s="65">
        <f>IF(V393=1,IF(C393&gt;AsOf,0,ROUND(G393-K393,2)),"")</f>
        <v/>
      </c>
      <c r="M393" s="66">
        <f>IF(V393&lt;&gt;1,"",IF(C393&gt;AsOf,"Future",IF(L393&lt;0,"Overpaid",IF(L393=0,"Paid",IF(AsOf&gt;J393,"Overdue",IF(K393&gt;0,"Partial","Unpaid"))))))</f>
        <v/>
      </c>
      <c r="N393" s="28">
        <f>IF(AND(V393=1,N(L393)&gt;0),AsOf-C393,"")</f>
        <v/>
      </c>
      <c r="O393" s="28">
        <f>IF(N393="","",MAX(0,AsOf-J393))</f>
        <v/>
      </c>
      <c r="P393" s="66">
        <f>IF(O393="","",IF(O393=0,"Current",IF(O393&lt;=30,"1-30",IF(O393&lt;=60,"31-60",IF(O393&lt;=90,"61-90","90+")))))</f>
        <v/>
      </c>
      <c r="Q393" s="66">
        <f>IF(T393&lt;&gt;"","⛔ "&amp;T393&amp;" — not posted",IF(U393&lt;&gt;"","⚠ "&amp;U393,IF(V393=1,"✓ OK","")))</f>
        <v/>
      </c>
      <c r="R393" s="67">
        <f>IF(AND(B393="",C393="",D393="",G393="",F393=""),1,0)</f>
        <v/>
      </c>
      <c r="S393" s="68">
        <f>IF(AND(TaxOn="Yes",ISNUMBER(H393)),H393,0)</f>
        <v/>
      </c>
      <c r="T393" s="67">
        <f>IF(R393=1,"",IF(B393="","Enter an invoice #",IF(C393="","Missing invoice date",IF(NOT(ISNUMBER(C393)),"Invalid date",IF(OR(C393&lt;DATE(2000,1,1),C393&gt;DATE(2099,12,31)),"Invalid date",IF(F393="","Select a revenue account",IF(ISNA(MATCH(F393,coa_Name,0)),"Unknown account: "&amp;F393,IF(NOT(ISNUMBER(G393)),"Enter an amount",IF(G393&lt;=0,"Amount must be positive",IF(S393&gt;G393,"Tax is larger than the amount",""))))))))))</f>
        <v/>
      </c>
      <c r="U393" s="67">
        <f>IF(OR(R393=1,T393&lt;&gt;""),"",IF(COUNTIF(ar_No,B393)&gt;1,"Duplicate invoice #",IF(D393="","Select a customer",IF(N(L393)&lt;0,"Overpaid by "&amp;TEXT(-L393,"#,##0.00"),IF(AND(ISNUMBER(H393),N(H393)&lt;&gt;0,S393=0),"Tax ignored (tax tracking is off)",IF(AND(ISNUMBER(StartDate),C393&lt;StartDate),"Date is before the accounting start date",IF(AND(IFERROR(INDEX(coa_Type,MATCH(F393,coa_Name,0)),"")&lt;&gt;"Revenue",IFERROR(INDEX(coa_Type,MATCH(F393,coa_Name,0)),"")&lt;&gt;"Other Income"),"Account is not a revenue account","")))))))</f>
        <v/>
      </c>
      <c r="V393" s="67">
        <f>IF(AND(R393=0,T393=""),1,0)</f>
        <v/>
      </c>
      <c r="W393" s="67">
        <f>IF(V393=1,acctAR,"")</f>
        <v/>
      </c>
      <c r="X393" s="67">
        <f>IF(V393=1,F393,"")</f>
        <v/>
      </c>
      <c r="Y393" s="68">
        <f>IF(V393=1,G393,0)</f>
        <v/>
      </c>
      <c r="Z393" s="68">
        <f>IF(V393=1,G393-S393,0)</f>
        <v/>
      </c>
      <c r="AA393" s="68">
        <f>IF(V393=1,S393,0)</f>
        <v/>
      </c>
    </row>
    <row r="394">
      <c r="B394" s="62" t="n"/>
      <c r="C394" s="63" t="n"/>
      <c r="D394" s="62" t="n"/>
      <c r="E394" s="62" t="n"/>
      <c r="F394" s="62" t="n"/>
      <c r="G394" s="64" t="n"/>
      <c r="H394" s="64" t="n"/>
      <c r="I394" s="63" t="n"/>
      <c r="J394" s="29">
        <f>IF(V394=1,IF(ISNUMBER(I394),I394,C394+IF(ISNUMBER(IFERROR(INDEX(cust_Terms,MATCH(D394,cust_Name,0)),"")),INDEX(cust_Terms,MATCH(D394,cust_Name,0)),TermsDays)),"")</f>
        <v/>
      </c>
      <c r="K394" s="65">
        <f>IF(V394=1,SUMIFS(tx_DrAmt,tx_Type,"Customer Payment",tx_Ref,B394&amp;"",tx_Date,"&lt;="&amp;AsOf),"")</f>
        <v/>
      </c>
      <c r="L394" s="65">
        <f>IF(V394=1,IF(C394&gt;AsOf,0,ROUND(G394-K394,2)),"")</f>
        <v/>
      </c>
      <c r="M394" s="66">
        <f>IF(V394&lt;&gt;1,"",IF(C394&gt;AsOf,"Future",IF(L394&lt;0,"Overpaid",IF(L394=0,"Paid",IF(AsOf&gt;J394,"Overdue",IF(K394&gt;0,"Partial","Unpaid"))))))</f>
        <v/>
      </c>
      <c r="N394" s="28">
        <f>IF(AND(V394=1,N(L394)&gt;0),AsOf-C394,"")</f>
        <v/>
      </c>
      <c r="O394" s="28">
        <f>IF(N394="","",MAX(0,AsOf-J394))</f>
        <v/>
      </c>
      <c r="P394" s="66">
        <f>IF(O394="","",IF(O394=0,"Current",IF(O394&lt;=30,"1-30",IF(O394&lt;=60,"31-60",IF(O394&lt;=90,"61-90","90+")))))</f>
        <v/>
      </c>
      <c r="Q394" s="66">
        <f>IF(T394&lt;&gt;"","⛔ "&amp;T394&amp;" — not posted",IF(U394&lt;&gt;"","⚠ "&amp;U394,IF(V394=1,"✓ OK","")))</f>
        <v/>
      </c>
      <c r="R394" s="67">
        <f>IF(AND(B394="",C394="",D394="",G394="",F394=""),1,0)</f>
        <v/>
      </c>
      <c r="S394" s="68">
        <f>IF(AND(TaxOn="Yes",ISNUMBER(H394)),H394,0)</f>
        <v/>
      </c>
      <c r="T394" s="67">
        <f>IF(R394=1,"",IF(B394="","Enter an invoice #",IF(C394="","Missing invoice date",IF(NOT(ISNUMBER(C394)),"Invalid date",IF(OR(C394&lt;DATE(2000,1,1),C394&gt;DATE(2099,12,31)),"Invalid date",IF(F394="","Select a revenue account",IF(ISNA(MATCH(F394,coa_Name,0)),"Unknown account: "&amp;F394,IF(NOT(ISNUMBER(G394)),"Enter an amount",IF(G394&lt;=0,"Amount must be positive",IF(S394&gt;G394,"Tax is larger than the amount",""))))))))))</f>
        <v/>
      </c>
      <c r="U394" s="67">
        <f>IF(OR(R394=1,T394&lt;&gt;""),"",IF(COUNTIF(ar_No,B394)&gt;1,"Duplicate invoice #",IF(D394="","Select a customer",IF(N(L394)&lt;0,"Overpaid by "&amp;TEXT(-L394,"#,##0.00"),IF(AND(ISNUMBER(H394),N(H394)&lt;&gt;0,S394=0),"Tax ignored (tax tracking is off)",IF(AND(ISNUMBER(StartDate),C394&lt;StartDate),"Date is before the accounting start date",IF(AND(IFERROR(INDEX(coa_Type,MATCH(F394,coa_Name,0)),"")&lt;&gt;"Revenue",IFERROR(INDEX(coa_Type,MATCH(F394,coa_Name,0)),"")&lt;&gt;"Other Income"),"Account is not a revenue account","")))))))</f>
        <v/>
      </c>
      <c r="V394" s="67">
        <f>IF(AND(R394=0,T394=""),1,0)</f>
        <v/>
      </c>
      <c r="W394" s="67">
        <f>IF(V394=1,acctAR,"")</f>
        <v/>
      </c>
      <c r="X394" s="67">
        <f>IF(V394=1,F394,"")</f>
        <v/>
      </c>
      <c r="Y394" s="68">
        <f>IF(V394=1,G394,0)</f>
        <v/>
      </c>
      <c r="Z394" s="68">
        <f>IF(V394=1,G394-S394,0)</f>
        <v/>
      </c>
      <c r="AA394" s="68">
        <f>IF(V394=1,S394,0)</f>
        <v/>
      </c>
    </row>
    <row r="395">
      <c r="B395" s="62" t="n"/>
      <c r="C395" s="63" t="n"/>
      <c r="D395" s="62" t="n"/>
      <c r="E395" s="62" t="n"/>
      <c r="F395" s="62" t="n"/>
      <c r="G395" s="64" t="n"/>
      <c r="H395" s="64" t="n"/>
      <c r="I395" s="63" t="n"/>
      <c r="J395" s="29">
        <f>IF(V395=1,IF(ISNUMBER(I395),I395,C395+IF(ISNUMBER(IFERROR(INDEX(cust_Terms,MATCH(D395,cust_Name,0)),"")),INDEX(cust_Terms,MATCH(D395,cust_Name,0)),TermsDays)),"")</f>
        <v/>
      </c>
      <c r="K395" s="65">
        <f>IF(V395=1,SUMIFS(tx_DrAmt,tx_Type,"Customer Payment",tx_Ref,B395&amp;"",tx_Date,"&lt;="&amp;AsOf),"")</f>
        <v/>
      </c>
      <c r="L395" s="65">
        <f>IF(V395=1,IF(C395&gt;AsOf,0,ROUND(G395-K395,2)),"")</f>
        <v/>
      </c>
      <c r="M395" s="66">
        <f>IF(V395&lt;&gt;1,"",IF(C395&gt;AsOf,"Future",IF(L395&lt;0,"Overpaid",IF(L395=0,"Paid",IF(AsOf&gt;J395,"Overdue",IF(K395&gt;0,"Partial","Unpaid"))))))</f>
        <v/>
      </c>
      <c r="N395" s="28">
        <f>IF(AND(V395=1,N(L395)&gt;0),AsOf-C395,"")</f>
        <v/>
      </c>
      <c r="O395" s="28">
        <f>IF(N395="","",MAX(0,AsOf-J395))</f>
        <v/>
      </c>
      <c r="P395" s="66">
        <f>IF(O395="","",IF(O395=0,"Current",IF(O395&lt;=30,"1-30",IF(O395&lt;=60,"31-60",IF(O395&lt;=90,"61-90","90+")))))</f>
        <v/>
      </c>
      <c r="Q395" s="66">
        <f>IF(T395&lt;&gt;"","⛔ "&amp;T395&amp;" — not posted",IF(U395&lt;&gt;"","⚠ "&amp;U395,IF(V395=1,"✓ OK","")))</f>
        <v/>
      </c>
      <c r="R395" s="67">
        <f>IF(AND(B395="",C395="",D395="",G395="",F395=""),1,0)</f>
        <v/>
      </c>
      <c r="S395" s="68">
        <f>IF(AND(TaxOn="Yes",ISNUMBER(H395)),H395,0)</f>
        <v/>
      </c>
      <c r="T395" s="67">
        <f>IF(R395=1,"",IF(B395="","Enter an invoice #",IF(C395="","Missing invoice date",IF(NOT(ISNUMBER(C395)),"Invalid date",IF(OR(C395&lt;DATE(2000,1,1),C395&gt;DATE(2099,12,31)),"Invalid date",IF(F395="","Select a revenue account",IF(ISNA(MATCH(F395,coa_Name,0)),"Unknown account: "&amp;F395,IF(NOT(ISNUMBER(G395)),"Enter an amount",IF(G395&lt;=0,"Amount must be positive",IF(S395&gt;G395,"Tax is larger than the amount",""))))))))))</f>
        <v/>
      </c>
      <c r="U395" s="67">
        <f>IF(OR(R395=1,T395&lt;&gt;""),"",IF(COUNTIF(ar_No,B395)&gt;1,"Duplicate invoice #",IF(D395="","Select a customer",IF(N(L395)&lt;0,"Overpaid by "&amp;TEXT(-L395,"#,##0.00"),IF(AND(ISNUMBER(H395),N(H395)&lt;&gt;0,S395=0),"Tax ignored (tax tracking is off)",IF(AND(ISNUMBER(StartDate),C395&lt;StartDate),"Date is before the accounting start date",IF(AND(IFERROR(INDEX(coa_Type,MATCH(F395,coa_Name,0)),"")&lt;&gt;"Revenue",IFERROR(INDEX(coa_Type,MATCH(F395,coa_Name,0)),"")&lt;&gt;"Other Income"),"Account is not a revenue account","")))))))</f>
        <v/>
      </c>
      <c r="V395" s="67">
        <f>IF(AND(R395=0,T395=""),1,0)</f>
        <v/>
      </c>
      <c r="W395" s="67">
        <f>IF(V395=1,acctAR,"")</f>
        <v/>
      </c>
      <c r="X395" s="67">
        <f>IF(V395=1,F395,"")</f>
        <v/>
      </c>
      <c r="Y395" s="68">
        <f>IF(V395=1,G395,0)</f>
        <v/>
      </c>
      <c r="Z395" s="68">
        <f>IF(V395=1,G395-S395,0)</f>
        <v/>
      </c>
      <c r="AA395" s="68">
        <f>IF(V395=1,S395,0)</f>
        <v/>
      </c>
    </row>
    <row r="396">
      <c r="B396" s="62" t="n"/>
      <c r="C396" s="63" t="n"/>
      <c r="D396" s="62" t="n"/>
      <c r="E396" s="62" t="n"/>
      <c r="F396" s="62" t="n"/>
      <c r="G396" s="64" t="n"/>
      <c r="H396" s="64" t="n"/>
      <c r="I396" s="63" t="n"/>
      <c r="J396" s="29">
        <f>IF(V396=1,IF(ISNUMBER(I396),I396,C396+IF(ISNUMBER(IFERROR(INDEX(cust_Terms,MATCH(D396,cust_Name,0)),"")),INDEX(cust_Terms,MATCH(D396,cust_Name,0)),TermsDays)),"")</f>
        <v/>
      </c>
      <c r="K396" s="65">
        <f>IF(V396=1,SUMIFS(tx_DrAmt,tx_Type,"Customer Payment",tx_Ref,B396&amp;"",tx_Date,"&lt;="&amp;AsOf),"")</f>
        <v/>
      </c>
      <c r="L396" s="65">
        <f>IF(V396=1,IF(C396&gt;AsOf,0,ROUND(G396-K396,2)),"")</f>
        <v/>
      </c>
      <c r="M396" s="66">
        <f>IF(V396&lt;&gt;1,"",IF(C396&gt;AsOf,"Future",IF(L396&lt;0,"Overpaid",IF(L396=0,"Paid",IF(AsOf&gt;J396,"Overdue",IF(K396&gt;0,"Partial","Unpaid"))))))</f>
        <v/>
      </c>
      <c r="N396" s="28">
        <f>IF(AND(V396=1,N(L396)&gt;0),AsOf-C396,"")</f>
        <v/>
      </c>
      <c r="O396" s="28">
        <f>IF(N396="","",MAX(0,AsOf-J396))</f>
        <v/>
      </c>
      <c r="P396" s="66">
        <f>IF(O396="","",IF(O396=0,"Current",IF(O396&lt;=30,"1-30",IF(O396&lt;=60,"31-60",IF(O396&lt;=90,"61-90","90+")))))</f>
        <v/>
      </c>
      <c r="Q396" s="66">
        <f>IF(T396&lt;&gt;"","⛔ "&amp;T396&amp;" — not posted",IF(U396&lt;&gt;"","⚠ "&amp;U396,IF(V396=1,"✓ OK","")))</f>
        <v/>
      </c>
      <c r="R396" s="67">
        <f>IF(AND(B396="",C396="",D396="",G396="",F396=""),1,0)</f>
        <v/>
      </c>
      <c r="S396" s="68">
        <f>IF(AND(TaxOn="Yes",ISNUMBER(H396)),H396,0)</f>
        <v/>
      </c>
      <c r="T396" s="67">
        <f>IF(R396=1,"",IF(B396="","Enter an invoice #",IF(C396="","Missing invoice date",IF(NOT(ISNUMBER(C396)),"Invalid date",IF(OR(C396&lt;DATE(2000,1,1),C396&gt;DATE(2099,12,31)),"Invalid date",IF(F396="","Select a revenue account",IF(ISNA(MATCH(F396,coa_Name,0)),"Unknown account: "&amp;F396,IF(NOT(ISNUMBER(G396)),"Enter an amount",IF(G396&lt;=0,"Amount must be positive",IF(S396&gt;G396,"Tax is larger than the amount",""))))))))))</f>
        <v/>
      </c>
      <c r="U396" s="67">
        <f>IF(OR(R396=1,T396&lt;&gt;""),"",IF(COUNTIF(ar_No,B396)&gt;1,"Duplicate invoice #",IF(D396="","Select a customer",IF(N(L396)&lt;0,"Overpaid by "&amp;TEXT(-L396,"#,##0.00"),IF(AND(ISNUMBER(H396),N(H396)&lt;&gt;0,S396=0),"Tax ignored (tax tracking is off)",IF(AND(ISNUMBER(StartDate),C396&lt;StartDate),"Date is before the accounting start date",IF(AND(IFERROR(INDEX(coa_Type,MATCH(F396,coa_Name,0)),"")&lt;&gt;"Revenue",IFERROR(INDEX(coa_Type,MATCH(F396,coa_Name,0)),"")&lt;&gt;"Other Income"),"Account is not a revenue account","")))))))</f>
        <v/>
      </c>
      <c r="V396" s="67">
        <f>IF(AND(R396=0,T396=""),1,0)</f>
        <v/>
      </c>
      <c r="W396" s="67">
        <f>IF(V396=1,acctAR,"")</f>
        <v/>
      </c>
      <c r="X396" s="67">
        <f>IF(V396=1,F396,"")</f>
        <v/>
      </c>
      <c r="Y396" s="68">
        <f>IF(V396=1,G396,0)</f>
        <v/>
      </c>
      <c r="Z396" s="68">
        <f>IF(V396=1,G396-S396,0)</f>
        <v/>
      </c>
      <c r="AA396" s="68">
        <f>IF(V396=1,S396,0)</f>
        <v/>
      </c>
    </row>
    <row r="397">
      <c r="B397" s="62" t="n"/>
      <c r="C397" s="63" t="n"/>
      <c r="D397" s="62" t="n"/>
      <c r="E397" s="62" t="n"/>
      <c r="F397" s="62" t="n"/>
      <c r="G397" s="64" t="n"/>
      <c r="H397" s="64" t="n"/>
      <c r="I397" s="63" t="n"/>
      <c r="J397" s="29">
        <f>IF(V397=1,IF(ISNUMBER(I397),I397,C397+IF(ISNUMBER(IFERROR(INDEX(cust_Terms,MATCH(D397,cust_Name,0)),"")),INDEX(cust_Terms,MATCH(D397,cust_Name,0)),TermsDays)),"")</f>
        <v/>
      </c>
      <c r="K397" s="65">
        <f>IF(V397=1,SUMIFS(tx_DrAmt,tx_Type,"Customer Payment",tx_Ref,B397&amp;"",tx_Date,"&lt;="&amp;AsOf),"")</f>
        <v/>
      </c>
      <c r="L397" s="65">
        <f>IF(V397=1,IF(C397&gt;AsOf,0,ROUND(G397-K397,2)),"")</f>
        <v/>
      </c>
      <c r="M397" s="66">
        <f>IF(V397&lt;&gt;1,"",IF(C397&gt;AsOf,"Future",IF(L397&lt;0,"Overpaid",IF(L397=0,"Paid",IF(AsOf&gt;J397,"Overdue",IF(K397&gt;0,"Partial","Unpaid"))))))</f>
        <v/>
      </c>
      <c r="N397" s="28">
        <f>IF(AND(V397=1,N(L397)&gt;0),AsOf-C397,"")</f>
        <v/>
      </c>
      <c r="O397" s="28">
        <f>IF(N397="","",MAX(0,AsOf-J397))</f>
        <v/>
      </c>
      <c r="P397" s="66">
        <f>IF(O397="","",IF(O397=0,"Current",IF(O397&lt;=30,"1-30",IF(O397&lt;=60,"31-60",IF(O397&lt;=90,"61-90","90+")))))</f>
        <v/>
      </c>
      <c r="Q397" s="66">
        <f>IF(T397&lt;&gt;"","⛔ "&amp;T397&amp;" — not posted",IF(U397&lt;&gt;"","⚠ "&amp;U397,IF(V397=1,"✓ OK","")))</f>
        <v/>
      </c>
      <c r="R397" s="67">
        <f>IF(AND(B397="",C397="",D397="",G397="",F397=""),1,0)</f>
        <v/>
      </c>
      <c r="S397" s="68">
        <f>IF(AND(TaxOn="Yes",ISNUMBER(H397)),H397,0)</f>
        <v/>
      </c>
      <c r="T397" s="67">
        <f>IF(R397=1,"",IF(B397="","Enter an invoice #",IF(C397="","Missing invoice date",IF(NOT(ISNUMBER(C397)),"Invalid date",IF(OR(C397&lt;DATE(2000,1,1),C397&gt;DATE(2099,12,31)),"Invalid date",IF(F397="","Select a revenue account",IF(ISNA(MATCH(F397,coa_Name,0)),"Unknown account: "&amp;F397,IF(NOT(ISNUMBER(G397)),"Enter an amount",IF(G397&lt;=0,"Amount must be positive",IF(S397&gt;G397,"Tax is larger than the amount",""))))))))))</f>
        <v/>
      </c>
      <c r="U397" s="67">
        <f>IF(OR(R397=1,T397&lt;&gt;""),"",IF(COUNTIF(ar_No,B397)&gt;1,"Duplicate invoice #",IF(D397="","Select a customer",IF(N(L397)&lt;0,"Overpaid by "&amp;TEXT(-L397,"#,##0.00"),IF(AND(ISNUMBER(H397),N(H397)&lt;&gt;0,S397=0),"Tax ignored (tax tracking is off)",IF(AND(ISNUMBER(StartDate),C397&lt;StartDate),"Date is before the accounting start date",IF(AND(IFERROR(INDEX(coa_Type,MATCH(F397,coa_Name,0)),"")&lt;&gt;"Revenue",IFERROR(INDEX(coa_Type,MATCH(F397,coa_Name,0)),"")&lt;&gt;"Other Income"),"Account is not a revenue account","")))))))</f>
        <v/>
      </c>
      <c r="V397" s="67">
        <f>IF(AND(R397=0,T397=""),1,0)</f>
        <v/>
      </c>
      <c r="W397" s="67">
        <f>IF(V397=1,acctAR,"")</f>
        <v/>
      </c>
      <c r="X397" s="67">
        <f>IF(V397=1,F397,"")</f>
        <v/>
      </c>
      <c r="Y397" s="68">
        <f>IF(V397=1,G397,0)</f>
        <v/>
      </c>
      <c r="Z397" s="68">
        <f>IF(V397=1,G397-S397,0)</f>
        <v/>
      </c>
      <c r="AA397" s="68">
        <f>IF(V397=1,S397,0)</f>
        <v/>
      </c>
    </row>
    <row r="398">
      <c r="B398" s="62" t="n"/>
      <c r="C398" s="63" t="n"/>
      <c r="D398" s="62" t="n"/>
      <c r="E398" s="62" t="n"/>
      <c r="F398" s="62" t="n"/>
      <c r="G398" s="64" t="n"/>
      <c r="H398" s="64" t="n"/>
      <c r="I398" s="63" t="n"/>
      <c r="J398" s="29">
        <f>IF(V398=1,IF(ISNUMBER(I398),I398,C398+IF(ISNUMBER(IFERROR(INDEX(cust_Terms,MATCH(D398,cust_Name,0)),"")),INDEX(cust_Terms,MATCH(D398,cust_Name,0)),TermsDays)),"")</f>
        <v/>
      </c>
      <c r="K398" s="65">
        <f>IF(V398=1,SUMIFS(tx_DrAmt,tx_Type,"Customer Payment",tx_Ref,B398&amp;"",tx_Date,"&lt;="&amp;AsOf),"")</f>
        <v/>
      </c>
      <c r="L398" s="65">
        <f>IF(V398=1,IF(C398&gt;AsOf,0,ROUND(G398-K398,2)),"")</f>
        <v/>
      </c>
      <c r="M398" s="66">
        <f>IF(V398&lt;&gt;1,"",IF(C398&gt;AsOf,"Future",IF(L398&lt;0,"Overpaid",IF(L398=0,"Paid",IF(AsOf&gt;J398,"Overdue",IF(K398&gt;0,"Partial","Unpaid"))))))</f>
        <v/>
      </c>
      <c r="N398" s="28">
        <f>IF(AND(V398=1,N(L398)&gt;0),AsOf-C398,"")</f>
        <v/>
      </c>
      <c r="O398" s="28">
        <f>IF(N398="","",MAX(0,AsOf-J398))</f>
        <v/>
      </c>
      <c r="P398" s="66">
        <f>IF(O398="","",IF(O398=0,"Current",IF(O398&lt;=30,"1-30",IF(O398&lt;=60,"31-60",IF(O398&lt;=90,"61-90","90+")))))</f>
        <v/>
      </c>
      <c r="Q398" s="66">
        <f>IF(T398&lt;&gt;"","⛔ "&amp;T398&amp;" — not posted",IF(U398&lt;&gt;"","⚠ "&amp;U398,IF(V398=1,"✓ OK","")))</f>
        <v/>
      </c>
      <c r="R398" s="67">
        <f>IF(AND(B398="",C398="",D398="",G398="",F398=""),1,0)</f>
        <v/>
      </c>
      <c r="S398" s="68">
        <f>IF(AND(TaxOn="Yes",ISNUMBER(H398)),H398,0)</f>
        <v/>
      </c>
      <c r="T398" s="67">
        <f>IF(R398=1,"",IF(B398="","Enter an invoice #",IF(C398="","Missing invoice date",IF(NOT(ISNUMBER(C398)),"Invalid date",IF(OR(C398&lt;DATE(2000,1,1),C398&gt;DATE(2099,12,31)),"Invalid date",IF(F398="","Select a revenue account",IF(ISNA(MATCH(F398,coa_Name,0)),"Unknown account: "&amp;F398,IF(NOT(ISNUMBER(G398)),"Enter an amount",IF(G398&lt;=0,"Amount must be positive",IF(S398&gt;G398,"Tax is larger than the amount",""))))))))))</f>
        <v/>
      </c>
      <c r="U398" s="67">
        <f>IF(OR(R398=1,T398&lt;&gt;""),"",IF(COUNTIF(ar_No,B398)&gt;1,"Duplicate invoice #",IF(D398="","Select a customer",IF(N(L398)&lt;0,"Overpaid by "&amp;TEXT(-L398,"#,##0.00"),IF(AND(ISNUMBER(H398),N(H398)&lt;&gt;0,S398=0),"Tax ignored (tax tracking is off)",IF(AND(ISNUMBER(StartDate),C398&lt;StartDate),"Date is before the accounting start date",IF(AND(IFERROR(INDEX(coa_Type,MATCH(F398,coa_Name,0)),"")&lt;&gt;"Revenue",IFERROR(INDEX(coa_Type,MATCH(F398,coa_Name,0)),"")&lt;&gt;"Other Income"),"Account is not a revenue account","")))))))</f>
        <v/>
      </c>
      <c r="V398" s="67">
        <f>IF(AND(R398=0,T398=""),1,0)</f>
        <v/>
      </c>
      <c r="W398" s="67">
        <f>IF(V398=1,acctAR,"")</f>
        <v/>
      </c>
      <c r="X398" s="67">
        <f>IF(V398=1,F398,"")</f>
        <v/>
      </c>
      <c r="Y398" s="68">
        <f>IF(V398=1,G398,0)</f>
        <v/>
      </c>
      <c r="Z398" s="68">
        <f>IF(V398=1,G398-S398,0)</f>
        <v/>
      </c>
      <c r="AA398" s="68">
        <f>IF(V398=1,S398,0)</f>
        <v/>
      </c>
    </row>
    <row r="399">
      <c r="B399" s="62" t="n"/>
      <c r="C399" s="63" t="n"/>
      <c r="D399" s="62" t="n"/>
      <c r="E399" s="62" t="n"/>
      <c r="F399" s="62" t="n"/>
      <c r="G399" s="64" t="n"/>
      <c r="H399" s="64" t="n"/>
      <c r="I399" s="63" t="n"/>
      <c r="J399" s="29">
        <f>IF(V399=1,IF(ISNUMBER(I399),I399,C399+IF(ISNUMBER(IFERROR(INDEX(cust_Terms,MATCH(D399,cust_Name,0)),"")),INDEX(cust_Terms,MATCH(D399,cust_Name,0)),TermsDays)),"")</f>
        <v/>
      </c>
      <c r="K399" s="65">
        <f>IF(V399=1,SUMIFS(tx_DrAmt,tx_Type,"Customer Payment",tx_Ref,B399&amp;"",tx_Date,"&lt;="&amp;AsOf),"")</f>
        <v/>
      </c>
      <c r="L399" s="65">
        <f>IF(V399=1,IF(C399&gt;AsOf,0,ROUND(G399-K399,2)),"")</f>
        <v/>
      </c>
      <c r="M399" s="66">
        <f>IF(V399&lt;&gt;1,"",IF(C399&gt;AsOf,"Future",IF(L399&lt;0,"Overpaid",IF(L399=0,"Paid",IF(AsOf&gt;J399,"Overdue",IF(K399&gt;0,"Partial","Unpaid"))))))</f>
        <v/>
      </c>
      <c r="N399" s="28">
        <f>IF(AND(V399=1,N(L399)&gt;0),AsOf-C399,"")</f>
        <v/>
      </c>
      <c r="O399" s="28">
        <f>IF(N399="","",MAX(0,AsOf-J399))</f>
        <v/>
      </c>
      <c r="P399" s="66">
        <f>IF(O399="","",IF(O399=0,"Current",IF(O399&lt;=30,"1-30",IF(O399&lt;=60,"31-60",IF(O399&lt;=90,"61-90","90+")))))</f>
        <v/>
      </c>
      <c r="Q399" s="66">
        <f>IF(T399&lt;&gt;"","⛔ "&amp;T399&amp;" — not posted",IF(U399&lt;&gt;"","⚠ "&amp;U399,IF(V399=1,"✓ OK","")))</f>
        <v/>
      </c>
      <c r="R399" s="67">
        <f>IF(AND(B399="",C399="",D399="",G399="",F399=""),1,0)</f>
        <v/>
      </c>
      <c r="S399" s="68">
        <f>IF(AND(TaxOn="Yes",ISNUMBER(H399)),H399,0)</f>
        <v/>
      </c>
      <c r="T399" s="67">
        <f>IF(R399=1,"",IF(B399="","Enter an invoice #",IF(C399="","Missing invoice date",IF(NOT(ISNUMBER(C399)),"Invalid date",IF(OR(C399&lt;DATE(2000,1,1),C399&gt;DATE(2099,12,31)),"Invalid date",IF(F399="","Select a revenue account",IF(ISNA(MATCH(F399,coa_Name,0)),"Unknown account: "&amp;F399,IF(NOT(ISNUMBER(G399)),"Enter an amount",IF(G399&lt;=0,"Amount must be positive",IF(S399&gt;G399,"Tax is larger than the amount",""))))))))))</f>
        <v/>
      </c>
      <c r="U399" s="67">
        <f>IF(OR(R399=1,T399&lt;&gt;""),"",IF(COUNTIF(ar_No,B399)&gt;1,"Duplicate invoice #",IF(D399="","Select a customer",IF(N(L399)&lt;0,"Overpaid by "&amp;TEXT(-L399,"#,##0.00"),IF(AND(ISNUMBER(H399),N(H399)&lt;&gt;0,S399=0),"Tax ignored (tax tracking is off)",IF(AND(ISNUMBER(StartDate),C399&lt;StartDate),"Date is before the accounting start date",IF(AND(IFERROR(INDEX(coa_Type,MATCH(F399,coa_Name,0)),"")&lt;&gt;"Revenue",IFERROR(INDEX(coa_Type,MATCH(F399,coa_Name,0)),"")&lt;&gt;"Other Income"),"Account is not a revenue account","")))))))</f>
        <v/>
      </c>
      <c r="V399" s="67">
        <f>IF(AND(R399=0,T399=""),1,0)</f>
        <v/>
      </c>
      <c r="W399" s="67">
        <f>IF(V399=1,acctAR,"")</f>
        <v/>
      </c>
      <c r="X399" s="67">
        <f>IF(V399=1,F399,"")</f>
        <v/>
      </c>
      <c r="Y399" s="68">
        <f>IF(V399=1,G399,0)</f>
        <v/>
      </c>
      <c r="Z399" s="68">
        <f>IF(V399=1,G399-S399,0)</f>
        <v/>
      </c>
      <c r="AA399" s="68">
        <f>IF(V399=1,S399,0)</f>
        <v/>
      </c>
    </row>
    <row r="400">
      <c r="B400" s="62" t="n"/>
      <c r="C400" s="63" t="n"/>
      <c r="D400" s="62" t="n"/>
      <c r="E400" s="62" t="n"/>
      <c r="F400" s="62" t="n"/>
      <c r="G400" s="64" t="n"/>
      <c r="H400" s="64" t="n"/>
      <c r="I400" s="63" t="n"/>
      <c r="J400" s="29">
        <f>IF(V400=1,IF(ISNUMBER(I400),I400,C400+IF(ISNUMBER(IFERROR(INDEX(cust_Terms,MATCH(D400,cust_Name,0)),"")),INDEX(cust_Terms,MATCH(D400,cust_Name,0)),TermsDays)),"")</f>
        <v/>
      </c>
      <c r="K400" s="65">
        <f>IF(V400=1,SUMIFS(tx_DrAmt,tx_Type,"Customer Payment",tx_Ref,B400&amp;"",tx_Date,"&lt;="&amp;AsOf),"")</f>
        <v/>
      </c>
      <c r="L400" s="65">
        <f>IF(V400=1,IF(C400&gt;AsOf,0,ROUND(G400-K400,2)),"")</f>
        <v/>
      </c>
      <c r="M400" s="66">
        <f>IF(V400&lt;&gt;1,"",IF(C400&gt;AsOf,"Future",IF(L400&lt;0,"Overpaid",IF(L400=0,"Paid",IF(AsOf&gt;J400,"Overdue",IF(K400&gt;0,"Partial","Unpaid"))))))</f>
        <v/>
      </c>
      <c r="N400" s="28">
        <f>IF(AND(V400=1,N(L400)&gt;0),AsOf-C400,"")</f>
        <v/>
      </c>
      <c r="O400" s="28">
        <f>IF(N400="","",MAX(0,AsOf-J400))</f>
        <v/>
      </c>
      <c r="P400" s="66">
        <f>IF(O400="","",IF(O400=0,"Current",IF(O400&lt;=30,"1-30",IF(O400&lt;=60,"31-60",IF(O400&lt;=90,"61-90","90+")))))</f>
        <v/>
      </c>
      <c r="Q400" s="66">
        <f>IF(T400&lt;&gt;"","⛔ "&amp;T400&amp;" — not posted",IF(U400&lt;&gt;"","⚠ "&amp;U400,IF(V400=1,"✓ OK","")))</f>
        <v/>
      </c>
      <c r="R400" s="67">
        <f>IF(AND(B400="",C400="",D400="",G400="",F400=""),1,0)</f>
        <v/>
      </c>
      <c r="S400" s="68">
        <f>IF(AND(TaxOn="Yes",ISNUMBER(H400)),H400,0)</f>
        <v/>
      </c>
      <c r="T400" s="67">
        <f>IF(R400=1,"",IF(B400="","Enter an invoice #",IF(C400="","Missing invoice date",IF(NOT(ISNUMBER(C400)),"Invalid date",IF(OR(C400&lt;DATE(2000,1,1),C400&gt;DATE(2099,12,31)),"Invalid date",IF(F400="","Select a revenue account",IF(ISNA(MATCH(F400,coa_Name,0)),"Unknown account: "&amp;F400,IF(NOT(ISNUMBER(G400)),"Enter an amount",IF(G400&lt;=0,"Amount must be positive",IF(S400&gt;G400,"Tax is larger than the amount",""))))))))))</f>
        <v/>
      </c>
      <c r="U400" s="67">
        <f>IF(OR(R400=1,T400&lt;&gt;""),"",IF(COUNTIF(ar_No,B400)&gt;1,"Duplicate invoice #",IF(D400="","Select a customer",IF(N(L400)&lt;0,"Overpaid by "&amp;TEXT(-L400,"#,##0.00"),IF(AND(ISNUMBER(H400),N(H400)&lt;&gt;0,S400=0),"Tax ignored (tax tracking is off)",IF(AND(ISNUMBER(StartDate),C400&lt;StartDate),"Date is before the accounting start date",IF(AND(IFERROR(INDEX(coa_Type,MATCH(F400,coa_Name,0)),"")&lt;&gt;"Revenue",IFERROR(INDEX(coa_Type,MATCH(F400,coa_Name,0)),"")&lt;&gt;"Other Income"),"Account is not a revenue account","")))))))</f>
        <v/>
      </c>
      <c r="V400" s="67">
        <f>IF(AND(R400=0,T400=""),1,0)</f>
        <v/>
      </c>
      <c r="W400" s="67">
        <f>IF(V400=1,acctAR,"")</f>
        <v/>
      </c>
      <c r="X400" s="67">
        <f>IF(V400=1,F400,"")</f>
        <v/>
      </c>
      <c r="Y400" s="68">
        <f>IF(V400=1,G400,0)</f>
        <v/>
      </c>
      <c r="Z400" s="68">
        <f>IF(V400=1,G400-S400,0)</f>
        <v/>
      </c>
      <c r="AA400" s="68">
        <f>IF(V400=1,S400,0)</f>
        <v/>
      </c>
    </row>
    <row r="401">
      <c r="B401" s="62" t="n"/>
      <c r="C401" s="63" t="n"/>
      <c r="D401" s="62" t="n"/>
      <c r="E401" s="62" t="n"/>
      <c r="F401" s="62" t="n"/>
      <c r="G401" s="64" t="n"/>
      <c r="H401" s="64" t="n"/>
      <c r="I401" s="63" t="n"/>
      <c r="J401" s="29">
        <f>IF(V401=1,IF(ISNUMBER(I401),I401,C401+IF(ISNUMBER(IFERROR(INDEX(cust_Terms,MATCH(D401,cust_Name,0)),"")),INDEX(cust_Terms,MATCH(D401,cust_Name,0)),TermsDays)),"")</f>
        <v/>
      </c>
      <c r="K401" s="65">
        <f>IF(V401=1,SUMIFS(tx_DrAmt,tx_Type,"Customer Payment",tx_Ref,B401&amp;"",tx_Date,"&lt;="&amp;AsOf),"")</f>
        <v/>
      </c>
      <c r="L401" s="65">
        <f>IF(V401=1,IF(C401&gt;AsOf,0,ROUND(G401-K401,2)),"")</f>
        <v/>
      </c>
      <c r="M401" s="66">
        <f>IF(V401&lt;&gt;1,"",IF(C401&gt;AsOf,"Future",IF(L401&lt;0,"Overpaid",IF(L401=0,"Paid",IF(AsOf&gt;J401,"Overdue",IF(K401&gt;0,"Partial","Unpaid"))))))</f>
        <v/>
      </c>
      <c r="N401" s="28">
        <f>IF(AND(V401=1,N(L401)&gt;0),AsOf-C401,"")</f>
        <v/>
      </c>
      <c r="O401" s="28">
        <f>IF(N401="","",MAX(0,AsOf-J401))</f>
        <v/>
      </c>
      <c r="P401" s="66">
        <f>IF(O401="","",IF(O401=0,"Current",IF(O401&lt;=30,"1-30",IF(O401&lt;=60,"31-60",IF(O401&lt;=90,"61-90","90+")))))</f>
        <v/>
      </c>
      <c r="Q401" s="66">
        <f>IF(T401&lt;&gt;"","⛔ "&amp;T401&amp;" — not posted",IF(U401&lt;&gt;"","⚠ "&amp;U401,IF(V401=1,"✓ OK","")))</f>
        <v/>
      </c>
      <c r="R401" s="67">
        <f>IF(AND(B401="",C401="",D401="",G401="",F401=""),1,0)</f>
        <v/>
      </c>
      <c r="S401" s="68">
        <f>IF(AND(TaxOn="Yes",ISNUMBER(H401)),H401,0)</f>
        <v/>
      </c>
      <c r="T401" s="67">
        <f>IF(R401=1,"",IF(B401="","Enter an invoice #",IF(C401="","Missing invoice date",IF(NOT(ISNUMBER(C401)),"Invalid date",IF(OR(C401&lt;DATE(2000,1,1),C401&gt;DATE(2099,12,31)),"Invalid date",IF(F401="","Select a revenue account",IF(ISNA(MATCH(F401,coa_Name,0)),"Unknown account: "&amp;F401,IF(NOT(ISNUMBER(G401)),"Enter an amount",IF(G401&lt;=0,"Amount must be positive",IF(S401&gt;G401,"Tax is larger than the amount",""))))))))))</f>
        <v/>
      </c>
      <c r="U401" s="67">
        <f>IF(OR(R401=1,T401&lt;&gt;""),"",IF(COUNTIF(ar_No,B401)&gt;1,"Duplicate invoice #",IF(D401="","Select a customer",IF(N(L401)&lt;0,"Overpaid by "&amp;TEXT(-L401,"#,##0.00"),IF(AND(ISNUMBER(H401),N(H401)&lt;&gt;0,S401=0),"Tax ignored (tax tracking is off)",IF(AND(ISNUMBER(StartDate),C401&lt;StartDate),"Date is before the accounting start date",IF(AND(IFERROR(INDEX(coa_Type,MATCH(F401,coa_Name,0)),"")&lt;&gt;"Revenue",IFERROR(INDEX(coa_Type,MATCH(F401,coa_Name,0)),"")&lt;&gt;"Other Income"),"Account is not a revenue account","")))))))</f>
        <v/>
      </c>
      <c r="V401" s="67">
        <f>IF(AND(R401=0,T401=""),1,0)</f>
        <v/>
      </c>
      <c r="W401" s="67">
        <f>IF(V401=1,acctAR,"")</f>
        <v/>
      </c>
      <c r="X401" s="67">
        <f>IF(V401=1,F401,"")</f>
        <v/>
      </c>
      <c r="Y401" s="68">
        <f>IF(V401=1,G401,0)</f>
        <v/>
      </c>
      <c r="Z401" s="68">
        <f>IF(V401=1,G401-S401,0)</f>
        <v/>
      </c>
      <c r="AA401" s="68">
        <f>IF(V401=1,S401,0)</f>
        <v/>
      </c>
    </row>
    <row r="402">
      <c r="B402" s="62" t="n"/>
      <c r="C402" s="63" t="n"/>
      <c r="D402" s="62" t="n"/>
      <c r="E402" s="62" t="n"/>
      <c r="F402" s="62" t="n"/>
      <c r="G402" s="64" t="n"/>
      <c r="H402" s="64" t="n"/>
      <c r="I402" s="63" t="n"/>
      <c r="J402" s="29">
        <f>IF(V402=1,IF(ISNUMBER(I402),I402,C402+IF(ISNUMBER(IFERROR(INDEX(cust_Terms,MATCH(D402,cust_Name,0)),"")),INDEX(cust_Terms,MATCH(D402,cust_Name,0)),TermsDays)),"")</f>
        <v/>
      </c>
      <c r="K402" s="65">
        <f>IF(V402=1,SUMIFS(tx_DrAmt,tx_Type,"Customer Payment",tx_Ref,B402&amp;"",tx_Date,"&lt;="&amp;AsOf),"")</f>
        <v/>
      </c>
      <c r="L402" s="65">
        <f>IF(V402=1,IF(C402&gt;AsOf,0,ROUND(G402-K402,2)),"")</f>
        <v/>
      </c>
      <c r="M402" s="66">
        <f>IF(V402&lt;&gt;1,"",IF(C402&gt;AsOf,"Future",IF(L402&lt;0,"Overpaid",IF(L402=0,"Paid",IF(AsOf&gt;J402,"Overdue",IF(K402&gt;0,"Partial","Unpaid"))))))</f>
        <v/>
      </c>
      <c r="N402" s="28">
        <f>IF(AND(V402=1,N(L402)&gt;0),AsOf-C402,"")</f>
        <v/>
      </c>
      <c r="O402" s="28">
        <f>IF(N402="","",MAX(0,AsOf-J402))</f>
        <v/>
      </c>
      <c r="P402" s="66">
        <f>IF(O402="","",IF(O402=0,"Current",IF(O402&lt;=30,"1-30",IF(O402&lt;=60,"31-60",IF(O402&lt;=90,"61-90","90+")))))</f>
        <v/>
      </c>
      <c r="Q402" s="66">
        <f>IF(T402&lt;&gt;"","⛔ "&amp;T402&amp;" — not posted",IF(U402&lt;&gt;"","⚠ "&amp;U402,IF(V402=1,"✓ OK","")))</f>
        <v/>
      </c>
      <c r="R402" s="67">
        <f>IF(AND(B402="",C402="",D402="",G402="",F402=""),1,0)</f>
        <v/>
      </c>
      <c r="S402" s="68">
        <f>IF(AND(TaxOn="Yes",ISNUMBER(H402)),H402,0)</f>
        <v/>
      </c>
      <c r="T402" s="67">
        <f>IF(R402=1,"",IF(B402="","Enter an invoice #",IF(C402="","Missing invoice date",IF(NOT(ISNUMBER(C402)),"Invalid date",IF(OR(C402&lt;DATE(2000,1,1),C402&gt;DATE(2099,12,31)),"Invalid date",IF(F402="","Select a revenue account",IF(ISNA(MATCH(F402,coa_Name,0)),"Unknown account: "&amp;F402,IF(NOT(ISNUMBER(G402)),"Enter an amount",IF(G402&lt;=0,"Amount must be positive",IF(S402&gt;G402,"Tax is larger than the amount",""))))))))))</f>
        <v/>
      </c>
      <c r="U402" s="67">
        <f>IF(OR(R402=1,T402&lt;&gt;""),"",IF(COUNTIF(ar_No,B402)&gt;1,"Duplicate invoice #",IF(D402="","Select a customer",IF(N(L402)&lt;0,"Overpaid by "&amp;TEXT(-L402,"#,##0.00"),IF(AND(ISNUMBER(H402),N(H402)&lt;&gt;0,S402=0),"Tax ignored (tax tracking is off)",IF(AND(ISNUMBER(StartDate),C402&lt;StartDate),"Date is before the accounting start date",IF(AND(IFERROR(INDEX(coa_Type,MATCH(F402,coa_Name,0)),"")&lt;&gt;"Revenue",IFERROR(INDEX(coa_Type,MATCH(F402,coa_Name,0)),"")&lt;&gt;"Other Income"),"Account is not a revenue account","")))))))</f>
        <v/>
      </c>
      <c r="V402" s="67">
        <f>IF(AND(R402=0,T402=""),1,0)</f>
        <v/>
      </c>
      <c r="W402" s="67">
        <f>IF(V402=1,acctAR,"")</f>
        <v/>
      </c>
      <c r="X402" s="67">
        <f>IF(V402=1,F402,"")</f>
        <v/>
      </c>
      <c r="Y402" s="68">
        <f>IF(V402=1,G402,0)</f>
        <v/>
      </c>
      <c r="Z402" s="68">
        <f>IF(V402=1,G402-S402,0)</f>
        <v/>
      </c>
      <c r="AA402" s="68">
        <f>IF(V402=1,S402,0)</f>
        <v/>
      </c>
    </row>
    <row r="403">
      <c r="B403" s="62" t="n"/>
      <c r="C403" s="63" t="n"/>
      <c r="D403" s="62" t="n"/>
      <c r="E403" s="62" t="n"/>
      <c r="F403" s="62" t="n"/>
      <c r="G403" s="64" t="n"/>
      <c r="H403" s="64" t="n"/>
      <c r="I403" s="63" t="n"/>
      <c r="J403" s="29">
        <f>IF(V403=1,IF(ISNUMBER(I403),I403,C403+IF(ISNUMBER(IFERROR(INDEX(cust_Terms,MATCH(D403,cust_Name,0)),"")),INDEX(cust_Terms,MATCH(D403,cust_Name,0)),TermsDays)),"")</f>
        <v/>
      </c>
      <c r="K403" s="65">
        <f>IF(V403=1,SUMIFS(tx_DrAmt,tx_Type,"Customer Payment",tx_Ref,B403&amp;"",tx_Date,"&lt;="&amp;AsOf),"")</f>
        <v/>
      </c>
      <c r="L403" s="65">
        <f>IF(V403=1,IF(C403&gt;AsOf,0,ROUND(G403-K403,2)),"")</f>
        <v/>
      </c>
      <c r="M403" s="66">
        <f>IF(V403&lt;&gt;1,"",IF(C403&gt;AsOf,"Future",IF(L403&lt;0,"Overpaid",IF(L403=0,"Paid",IF(AsOf&gt;J403,"Overdue",IF(K403&gt;0,"Partial","Unpaid"))))))</f>
        <v/>
      </c>
      <c r="N403" s="28">
        <f>IF(AND(V403=1,N(L403)&gt;0),AsOf-C403,"")</f>
        <v/>
      </c>
      <c r="O403" s="28">
        <f>IF(N403="","",MAX(0,AsOf-J403))</f>
        <v/>
      </c>
      <c r="P403" s="66">
        <f>IF(O403="","",IF(O403=0,"Current",IF(O403&lt;=30,"1-30",IF(O403&lt;=60,"31-60",IF(O403&lt;=90,"61-90","90+")))))</f>
        <v/>
      </c>
      <c r="Q403" s="66">
        <f>IF(T403&lt;&gt;"","⛔ "&amp;T403&amp;" — not posted",IF(U403&lt;&gt;"","⚠ "&amp;U403,IF(V403=1,"✓ OK","")))</f>
        <v/>
      </c>
      <c r="R403" s="67">
        <f>IF(AND(B403="",C403="",D403="",G403="",F403=""),1,0)</f>
        <v/>
      </c>
      <c r="S403" s="68">
        <f>IF(AND(TaxOn="Yes",ISNUMBER(H403)),H403,0)</f>
        <v/>
      </c>
      <c r="T403" s="67">
        <f>IF(R403=1,"",IF(B403="","Enter an invoice #",IF(C403="","Missing invoice date",IF(NOT(ISNUMBER(C403)),"Invalid date",IF(OR(C403&lt;DATE(2000,1,1),C403&gt;DATE(2099,12,31)),"Invalid date",IF(F403="","Select a revenue account",IF(ISNA(MATCH(F403,coa_Name,0)),"Unknown account: "&amp;F403,IF(NOT(ISNUMBER(G403)),"Enter an amount",IF(G403&lt;=0,"Amount must be positive",IF(S403&gt;G403,"Tax is larger than the amount",""))))))))))</f>
        <v/>
      </c>
      <c r="U403" s="67">
        <f>IF(OR(R403=1,T403&lt;&gt;""),"",IF(COUNTIF(ar_No,B403)&gt;1,"Duplicate invoice #",IF(D403="","Select a customer",IF(N(L403)&lt;0,"Overpaid by "&amp;TEXT(-L403,"#,##0.00"),IF(AND(ISNUMBER(H403),N(H403)&lt;&gt;0,S403=0),"Tax ignored (tax tracking is off)",IF(AND(ISNUMBER(StartDate),C403&lt;StartDate),"Date is before the accounting start date",IF(AND(IFERROR(INDEX(coa_Type,MATCH(F403,coa_Name,0)),"")&lt;&gt;"Revenue",IFERROR(INDEX(coa_Type,MATCH(F403,coa_Name,0)),"")&lt;&gt;"Other Income"),"Account is not a revenue account","")))))))</f>
        <v/>
      </c>
      <c r="V403" s="67">
        <f>IF(AND(R403=0,T403=""),1,0)</f>
        <v/>
      </c>
      <c r="W403" s="67">
        <f>IF(V403=1,acctAR,"")</f>
        <v/>
      </c>
      <c r="X403" s="67">
        <f>IF(V403=1,F403,"")</f>
        <v/>
      </c>
      <c r="Y403" s="68">
        <f>IF(V403=1,G403,0)</f>
        <v/>
      </c>
      <c r="Z403" s="68">
        <f>IF(V403=1,G403-S403,0)</f>
        <v/>
      </c>
      <c r="AA403" s="68">
        <f>IF(V403=1,S403,0)</f>
        <v/>
      </c>
    </row>
    <row r="404">
      <c r="B404" s="62" t="n"/>
      <c r="C404" s="63" t="n"/>
      <c r="D404" s="62" t="n"/>
      <c r="E404" s="62" t="n"/>
      <c r="F404" s="62" t="n"/>
      <c r="G404" s="64" t="n"/>
      <c r="H404" s="64" t="n"/>
      <c r="I404" s="63" t="n"/>
      <c r="J404" s="29">
        <f>IF(V404=1,IF(ISNUMBER(I404),I404,C404+IF(ISNUMBER(IFERROR(INDEX(cust_Terms,MATCH(D404,cust_Name,0)),"")),INDEX(cust_Terms,MATCH(D404,cust_Name,0)),TermsDays)),"")</f>
        <v/>
      </c>
      <c r="K404" s="65">
        <f>IF(V404=1,SUMIFS(tx_DrAmt,tx_Type,"Customer Payment",tx_Ref,B404&amp;"",tx_Date,"&lt;="&amp;AsOf),"")</f>
        <v/>
      </c>
      <c r="L404" s="65">
        <f>IF(V404=1,IF(C404&gt;AsOf,0,ROUND(G404-K404,2)),"")</f>
        <v/>
      </c>
      <c r="M404" s="66">
        <f>IF(V404&lt;&gt;1,"",IF(C404&gt;AsOf,"Future",IF(L404&lt;0,"Overpaid",IF(L404=0,"Paid",IF(AsOf&gt;J404,"Overdue",IF(K404&gt;0,"Partial","Unpaid"))))))</f>
        <v/>
      </c>
      <c r="N404" s="28">
        <f>IF(AND(V404=1,N(L404)&gt;0),AsOf-C404,"")</f>
        <v/>
      </c>
      <c r="O404" s="28">
        <f>IF(N404="","",MAX(0,AsOf-J404))</f>
        <v/>
      </c>
      <c r="P404" s="66">
        <f>IF(O404="","",IF(O404=0,"Current",IF(O404&lt;=30,"1-30",IF(O404&lt;=60,"31-60",IF(O404&lt;=90,"61-90","90+")))))</f>
        <v/>
      </c>
      <c r="Q404" s="66">
        <f>IF(T404&lt;&gt;"","⛔ "&amp;T404&amp;" — not posted",IF(U404&lt;&gt;"","⚠ "&amp;U404,IF(V404=1,"✓ OK","")))</f>
        <v/>
      </c>
      <c r="R404" s="67">
        <f>IF(AND(B404="",C404="",D404="",G404="",F404=""),1,0)</f>
        <v/>
      </c>
      <c r="S404" s="68">
        <f>IF(AND(TaxOn="Yes",ISNUMBER(H404)),H404,0)</f>
        <v/>
      </c>
      <c r="T404" s="67">
        <f>IF(R404=1,"",IF(B404="","Enter an invoice #",IF(C404="","Missing invoice date",IF(NOT(ISNUMBER(C404)),"Invalid date",IF(OR(C404&lt;DATE(2000,1,1),C404&gt;DATE(2099,12,31)),"Invalid date",IF(F404="","Select a revenue account",IF(ISNA(MATCH(F404,coa_Name,0)),"Unknown account: "&amp;F404,IF(NOT(ISNUMBER(G404)),"Enter an amount",IF(G404&lt;=0,"Amount must be positive",IF(S404&gt;G404,"Tax is larger than the amount",""))))))))))</f>
        <v/>
      </c>
      <c r="U404" s="67">
        <f>IF(OR(R404=1,T404&lt;&gt;""),"",IF(COUNTIF(ar_No,B404)&gt;1,"Duplicate invoice #",IF(D404="","Select a customer",IF(N(L404)&lt;0,"Overpaid by "&amp;TEXT(-L404,"#,##0.00"),IF(AND(ISNUMBER(H404),N(H404)&lt;&gt;0,S404=0),"Tax ignored (tax tracking is off)",IF(AND(ISNUMBER(StartDate),C404&lt;StartDate),"Date is before the accounting start date",IF(AND(IFERROR(INDEX(coa_Type,MATCH(F404,coa_Name,0)),"")&lt;&gt;"Revenue",IFERROR(INDEX(coa_Type,MATCH(F404,coa_Name,0)),"")&lt;&gt;"Other Income"),"Account is not a revenue account","")))))))</f>
        <v/>
      </c>
      <c r="V404" s="67">
        <f>IF(AND(R404=0,T404=""),1,0)</f>
        <v/>
      </c>
      <c r="W404" s="67">
        <f>IF(V404=1,acctAR,"")</f>
        <v/>
      </c>
      <c r="X404" s="67">
        <f>IF(V404=1,F404,"")</f>
        <v/>
      </c>
      <c r="Y404" s="68">
        <f>IF(V404=1,G404,0)</f>
        <v/>
      </c>
      <c r="Z404" s="68">
        <f>IF(V404=1,G404-S404,0)</f>
        <v/>
      </c>
      <c r="AA404" s="68">
        <f>IF(V404=1,S404,0)</f>
        <v/>
      </c>
    </row>
    <row r="405">
      <c r="B405" s="62" t="n"/>
      <c r="C405" s="63" t="n"/>
      <c r="D405" s="62" t="n"/>
      <c r="E405" s="62" t="n"/>
      <c r="F405" s="62" t="n"/>
      <c r="G405" s="64" t="n"/>
      <c r="H405" s="64" t="n"/>
      <c r="I405" s="63" t="n"/>
      <c r="J405" s="29">
        <f>IF(V405=1,IF(ISNUMBER(I405),I405,C405+IF(ISNUMBER(IFERROR(INDEX(cust_Terms,MATCH(D405,cust_Name,0)),"")),INDEX(cust_Terms,MATCH(D405,cust_Name,0)),TermsDays)),"")</f>
        <v/>
      </c>
      <c r="K405" s="65">
        <f>IF(V405=1,SUMIFS(tx_DrAmt,tx_Type,"Customer Payment",tx_Ref,B405&amp;"",tx_Date,"&lt;="&amp;AsOf),"")</f>
        <v/>
      </c>
      <c r="L405" s="65">
        <f>IF(V405=1,IF(C405&gt;AsOf,0,ROUND(G405-K405,2)),"")</f>
        <v/>
      </c>
      <c r="M405" s="66">
        <f>IF(V405&lt;&gt;1,"",IF(C405&gt;AsOf,"Future",IF(L405&lt;0,"Overpaid",IF(L405=0,"Paid",IF(AsOf&gt;J405,"Overdue",IF(K405&gt;0,"Partial","Unpaid"))))))</f>
        <v/>
      </c>
      <c r="N405" s="28">
        <f>IF(AND(V405=1,N(L405)&gt;0),AsOf-C405,"")</f>
        <v/>
      </c>
      <c r="O405" s="28">
        <f>IF(N405="","",MAX(0,AsOf-J405))</f>
        <v/>
      </c>
      <c r="P405" s="66">
        <f>IF(O405="","",IF(O405=0,"Current",IF(O405&lt;=30,"1-30",IF(O405&lt;=60,"31-60",IF(O405&lt;=90,"61-90","90+")))))</f>
        <v/>
      </c>
      <c r="Q405" s="66">
        <f>IF(T405&lt;&gt;"","⛔ "&amp;T405&amp;" — not posted",IF(U405&lt;&gt;"","⚠ "&amp;U405,IF(V405=1,"✓ OK","")))</f>
        <v/>
      </c>
      <c r="R405" s="67">
        <f>IF(AND(B405="",C405="",D405="",G405="",F405=""),1,0)</f>
        <v/>
      </c>
      <c r="S405" s="68">
        <f>IF(AND(TaxOn="Yes",ISNUMBER(H405)),H405,0)</f>
        <v/>
      </c>
      <c r="T405" s="67">
        <f>IF(R405=1,"",IF(B405="","Enter an invoice #",IF(C405="","Missing invoice date",IF(NOT(ISNUMBER(C405)),"Invalid date",IF(OR(C405&lt;DATE(2000,1,1),C405&gt;DATE(2099,12,31)),"Invalid date",IF(F405="","Select a revenue account",IF(ISNA(MATCH(F405,coa_Name,0)),"Unknown account: "&amp;F405,IF(NOT(ISNUMBER(G405)),"Enter an amount",IF(G405&lt;=0,"Amount must be positive",IF(S405&gt;G405,"Tax is larger than the amount",""))))))))))</f>
        <v/>
      </c>
      <c r="U405" s="67">
        <f>IF(OR(R405=1,T405&lt;&gt;""),"",IF(COUNTIF(ar_No,B405)&gt;1,"Duplicate invoice #",IF(D405="","Select a customer",IF(N(L405)&lt;0,"Overpaid by "&amp;TEXT(-L405,"#,##0.00"),IF(AND(ISNUMBER(H405),N(H405)&lt;&gt;0,S405=0),"Tax ignored (tax tracking is off)",IF(AND(ISNUMBER(StartDate),C405&lt;StartDate),"Date is before the accounting start date",IF(AND(IFERROR(INDEX(coa_Type,MATCH(F405,coa_Name,0)),"")&lt;&gt;"Revenue",IFERROR(INDEX(coa_Type,MATCH(F405,coa_Name,0)),"")&lt;&gt;"Other Income"),"Account is not a revenue account","")))))))</f>
        <v/>
      </c>
      <c r="V405" s="67">
        <f>IF(AND(R405=0,T405=""),1,0)</f>
        <v/>
      </c>
      <c r="W405" s="67">
        <f>IF(V405=1,acctAR,"")</f>
        <v/>
      </c>
      <c r="X405" s="67">
        <f>IF(V405=1,F405,"")</f>
        <v/>
      </c>
      <c r="Y405" s="68">
        <f>IF(V405=1,G405,0)</f>
        <v/>
      </c>
      <c r="Z405" s="68">
        <f>IF(V405=1,G405-S405,0)</f>
        <v/>
      </c>
      <c r="AA405" s="68">
        <f>IF(V405=1,S405,0)</f>
        <v/>
      </c>
    </row>
    <row r="406">
      <c r="B406" s="62" t="n"/>
      <c r="C406" s="63" t="n"/>
      <c r="D406" s="62" t="n"/>
      <c r="E406" s="62" t="n"/>
      <c r="F406" s="62" t="n"/>
      <c r="G406" s="64" t="n"/>
      <c r="H406" s="64" t="n"/>
      <c r="I406" s="63" t="n"/>
      <c r="J406" s="29">
        <f>IF(V406=1,IF(ISNUMBER(I406),I406,C406+IF(ISNUMBER(IFERROR(INDEX(cust_Terms,MATCH(D406,cust_Name,0)),"")),INDEX(cust_Terms,MATCH(D406,cust_Name,0)),TermsDays)),"")</f>
        <v/>
      </c>
      <c r="K406" s="65">
        <f>IF(V406=1,SUMIFS(tx_DrAmt,tx_Type,"Customer Payment",tx_Ref,B406&amp;"",tx_Date,"&lt;="&amp;AsOf),"")</f>
        <v/>
      </c>
      <c r="L406" s="65">
        <f>IF(V406=1,IF(C406&gt;AsOf,0,ROUND(G406-K406,2)),"")</f>
        <v/>
      </c>
      <c r="M406" s="66">
        <f>IF(V406&lt;&gt;1,"",IF(C406&gt;AsOf,"Future",IF(L406&lt;0,"Overpaid",IF(L406=0,"Paid",IF(AsOf&gt;J406,"Overdue",IF(K406&gt;0,"Partial","Unpaid"))))))</f>
        <v/>
      </c>
      <c r="N406" s="28">
        <f>IF(AND(V406=1,N(L406)&gt;0),AsOf-C406,"")</f>
        <v/>
      </c>
      <c r="O406" s="28">
        <f>IF(N406="","",MAX(0,AsOf-J406))</f>
        <v/>
      </c>
      <c r="P406" s="66">
        <f>IF(O406="","",IF(O406=0,"Current",IF(O406&lt;=30,"1-30",IF(O406&lt;=60,"31-60",IF(O406&lt;=90,"61-90","90+")))))</f>
        <v/>
      </c>
      <c r="Q406" s="66">
        <f>IF(T406&lt;&gt;"","⛔ "&amp;T406&amp;" — not posted",IF(U406&lt;&gt;"","⚠ "&amp;U406,IF(V406=1,"✓ OK","")))</f>
        <v/>
      </c>
      <c r="R406" s="67">
        <f>IF(AND(B406="",C406="",D406="",G406="",F406=""),1,0)</f>
        <v/>
      </c>
      <c r="S406" s="68">
        <f>IF(AND(TaxOn="Yes",ISNUMBER(H406)),H406,0)</f>
        <v/>
      </c>
      <c r="T406" s="67">
        <f>IF(R406=1,"",IF(B406="","Enter an invoice #",IF(C406="","Missing invoice date",IF(NOT(ISNUMBER(C406)),"Invalid date",IF(OR(C406&lt;DATE(2000,1,1),C406&gt;DATE(2099,12,31)),"Invalid date",IF(F406="","Select a revenue account",IF(ISNA(MATCH(F406,coa_Name,0)),"Unknown account: "&amp;F406,IF(NOT(ISNUMBER(G406)),"Enter an amount",IF(G406&lt;=0,"Amount must be positive",IF(S406&gt;G406,"Tax is larger than the amount",""))))))))))</f>
        <v/>
      </c>
      <c r="U406" s="67">
        <f>IF(OR(R406=1,T406&lt;&gt;""),"",IF(COUNTIF(ar_No,B406)&gt;1,"Duplicate invoice #",IF(D406="","Select a customer",IF(N(L406)&lt;0,"Overpaid by "&amp;TEXT(-L406,"#,##0.00"),IF(AND(ISNUMBER(H406),N(H406)&lt;&gt;0,S406=0),"Tax ignored (tax tracking is off)",IF(AND(ISNUMBER(StartDate),C406&lt;StartDate),"Date is before the accounting start date",IF(AND(IFERROR(INDEX(coa_Type,MATCH(F406,coa_Name,0)),"")&lt;&gt;"Revenue",IFERROR(INDEX(coa_Type,MATCH(F406,coa_Name,0)),"")&lt;&gt;"Other Income"),"Account is not a revenue account","")))))))</f>
        <v/>
      </c>
      <c r="V406" s="67">
        <f>IF(AND(R406=0,T406=""),1,0)</f>
        <v/>
      </c>
      <c r="W406" s="67">
        <f>IF(V406=1,acctAR,"")</f>
        <v/>
      </c>
      <c r="X406" s="67">
        <f>IF(V406=1,F406,"")</f>
        <v/>
      </c>
      <c r="Y406" s="68">
        <f>IF(V406=1,G406,0)</f>
        <v/>
      </c>
      <c r="Z406" s="68">
        <f>IF(V406=1,G406-S406,0)</f>
        <v/>
      </c>
      <c r="AA406" s="68">
        <f>IF(V406=1,S406,0)</f>
        <v/>
      </c>
    </row>
    <row r="407">
      <c r="B407" s="62" t="n"/>
      <c r="C407" s="63" t="n"/>
      <c r="D407" s="62" t="n"/>
      <c r="E407" s="62" t="n"/>
      <c r="F407" s="62" t="n"/>
      <c r="G407" s="64" t="n"/>
      <c r="H407" s="64" t="n"/>
      <c r="I407" s="63" t="n"/>
      <c r="J407" s="29">
        <f>IF(V407=1,IF(ISNUMBER(I407),I407,C407+IF(ISNUMBER(IFERROR(INDEX(cust_Terms,MATCH(D407,cust_Name,0)),"")),INDEX(cust_Terms,MATCH(D407,cust_Name,0)),TermsDays)),"")</f>
        <v/>
      </c>
      <c r="K407" s="65">
        <f>IF(V407=1,SUMIFS(tx_DrAmt,tx_Type,"Customer Payment",tx_Ref,B407&amp;"",tx_Date,"&lt;="&amp;AsOf),"")</f>
        <v/>
      </c>
      <c r="L407" s="65">
        <f>IF(V407=1,IF(C407&gt;AsOf,0,ROUND(G407-K407,2)),"")</f>
        <v/>
      </c>
      <c r="M407" s="66">
        <f>IF(V407&lt;&gt;1,"",IF(C407&gt;AsOf,"Future",IF(L407&lt;0,"Overpaid",IF(L407=0,"Paid",IF(AsOf&gt;J407,"Overdue",IF(K407&gt;0,"Partial","Unpaid"))))))</f>
        <v/>
      </c>
      <c r="N407" s="28">
        <f>IF(AND(V407=1,N(L407)&gt;0),AsOf-C407,"")</f>
        <v/>
      </c>
      <c r="O407" s="28">
        <f>IF(N407="","",MAX(0,AsOf-J407))</f>
        <v/>
      </c>
      <c r="P407" s="66">
        <f>IF(O407="","",IF(O407=0,"Current",IF(O407&lt;=30,"1-30",IF(O407&lt;=60,"31-60",IF(O407&lt;=90,"61-90","90+")))))</f>
        <v/>
      </c>
      <c r="Q407" s="66">
        <f>IF(T407&lt;&gt;"","⛔ "&amp;T407&amp;" — not posted",IF(U407&lt;&gt;"","⚠ "&amp;U407,IF(V407=1,"✓ OK","")))</f>
        <v/>
      </c>
      <c r="R407" s="67">
        <f>IF(AND(B407="",C407="",D407="",G407="",F407=""),1,0)</f>
        <v/>
      </c>
      <c r="S407" s="68">
        <f>IF(AND(TaxOn="Yes",ISNUMBER(H407)),H407,0)</f>
        <v/>
      </c>
      <c r="T407" s="67">
        <f>IF(R407=1,"",IF(B407="","Enter an invoice #",IF(C407="","Missing invoice date",IF(NOT(ISNUMBER(C407)),"Invalid date",IF(OR(C407&lt;DATE(2000,1,1),C407&gt;DATE(2099,12,31)),"Invalid date",IF(F407="","Select a revenue account",IF(ISNA(MATCH(F407,coa_Name,0)),"Unknown account: "&amp;F407,IF(NOT(ISNUMBER(G407)),"Enter an amount",IF(G407&lt;=0,"Amount must be positive",IF(S407&gt;G407,"Tax is larger than the amount",""))))))))))</f>
        <v/>
      </c>
      <c r="U407" s="67">
        <f>IF(OR(R407=1,T407&lt;&gt;""),"",IF(COUNTIF(ar_No,B407)&gt;1,"Duplicate invoice #",IF(D407="","Select a customer",IF(N(L407)&lt;0,"Overpaid by "&amp;TEXT(-L407,"#,##0.00"),IF(AND(ISNUMBER(H407),N(H407)&lt;&gt;0,S407=0),"Tax ignored (tax tracking is off)",IF(AND(ISNUMBER(StartDate),C407&lt;StartDate),"Date is before the accounting start date",IF(AND(IFERROR(INDEX(coa_Type,MATCH(F407,coa_Name,0)),"")&lt;&gt;"Revenue",IFERROR(INDEX(coa_Type,MATCH(F407,coa_Name,0)),"")&lt;&gt;"Other Income"),"Account is not a revenue account","")))))))</f>
        <v/>
      </c>
      <c r="V407" s="67">
        <f>IF(AND(R407=0,T407=""),1,0)</f>
        <v/>
      </c>
      <c r="W407" s="67">
        <f>IF(V407=1,acctAR,"")</f>
        <v/>
      </c>
      <c r="X407" s="67">
        <f>IF(V407=1,F407,"")</f>
        <v/>
      </c>
      <c r="Y407" s="68">
        <f>IF(V407=1,G407,0)</f>
        <v/>
      </c>
      <c r="Z407" s="68">
        <f>IF(V407=1,G407-S407,0)</f>
        <v/>
      </c>
      <c r="AA407" s="68">
        <f>IF(V407=1,S407,0)</f>
        <v/>
      </c>
    </row>
    <row r="408">
      <c r="B408" s="62" t="n"/>
      <c r="C408" s="63" t="n"/>
      <c r="D408" s="62" t="n"/>
      <c r="E408" s="62" t="n"/>
      <c r="F408" s="62" t="n"/>
      <c r="G408" s="64" t="n"/>
      <c r="H408" s="64" t="n"/>
      <c r="I408" s="63" t="n"/>
      <c r="J408" s="29">
        <f>IF(V408=1,IF(ISNUMBER(I408),I408,C408+IF(ISNUMBER(IFERROR(INDEX(cust_Terms,MATCH(D408,cust_Name,0)),"")),INDEX(cust_Terms,MATCH(D408,cust_Name,0)),TermsDays)),"")</f>
        <v/>
      </c>
      <c r="K408" s="65">
        <f>IF(V408=1,SUMIFS(tx_DrAmt,tx_Type,"Customer Payment",tx_Ref,B408&amp;"",tx_Date,"&lt;="&amp;AsOf),"")</f>
        <v/>
      </c>
      <c r="L408" s="65">
        <f>IF(V408=1,IF(C408&gt;AsOf,0,ROUND(G408-K408,2)),"")</f>
        <v/>
      </c>
      <c r="M408" s="66">
        <f>IF(V408&lt;&gt;1,"",IF(C408&gt;AsOf,"Future",IF(L408&lt;0,"Overpaid",IF(L408=0,"Paid",IF(AsOf&gt;J408,"Overdue",IF(K408&gt;0,"Partial","Unpaid"))))))</f>
        <v/>
      </c>
      <c r="N408" s="28">
        <f>IF(AND(V408=1,N(L408)&gt;0),AsOf-C408,"")</f>
        <v/>
      </c>
      <c r="O408" s="28">
        <f>IF(N408="","",MAX(0,AsOf-J408))</f>
        <v/>
      </c>
      <c r="P408" s="66">
        <f>IF(O408="","",IF(O408=0,"Current",IF(O408&lt;=30,"1-30",IF(O408&lt;=60,"31-60",IF(O408&lt;=90,"61-90","90+")))))</f>
        <v/>
      </c>
      <c r="Q408" s="66">
        <f>IF(T408&lt;&gt;"","⛔ "&amp;T408&amp;" — not posted",IF(U408&lt;&gt;"","⚠ "&amp;U408,IF(V408=1,"✓ OK","")))</f>
        <v/>
      </c>
      <c r="R408" s="67">
        <f>IF(AND(B408="",C408="",D408="",G408="",F408=""),1,0)</f>
        <v/>
      </c>
      <c r="S408" s="68">
        <f>IF(AND(TaxOn="Yes",ISNUMBER(H408)),H408,0)</f>
        <v/>
      </c>
      <c r="T408" s="67">
        <f>IF(R408=1,"",IF(B408="","Enter an invoice #",IF(C408="","Missing invoice date",IF(NOT(ISNUMBER(C408)),"Invalid date",IF(OR(C408&lt;DATE(2000,1,1),C408&gt;DATE(2099,12,31)),"Invalid date",IF(F408="","Select a revenue account",IF(ISNA(MATCH(F408,coa_Name,0)),"Unknown account: "&amp;F408,IF(NOT(ISNUMBER(G408)),"Enter an amount",IF(G408&lt;=0,"Amount must be positive",IF(S408&gt;G408,"Tax is larger than the amount",""))))))))))</f>
        <v/>
      </c>
      <c r="U408" s="67">
        <f>IF(OR(R408=1,T408&lt;&gt;""),"",IF(COUNTIF(ar_No,B408)&gt;1,"Duplicate invoice #",IF(D408="","Select a customer",IF(N(L408)&lt;0,"Overpaid by "&amp;TEXT(-L408,"#,##0.00"),IF(AND(ISNUMBER(H408),N(H408)&lt;&gt;0,S408=0),"Tax ignored (tax tracking is off)",IF(AND(ISNUMBER(StartDate),C408&lt;StartDate),"Date is before the accounting start date",IF(AND(IFERROR(INDEX(coa_Type,MATCH(F408,coa_Name,0)),"")&lt;&gt;"Revenue",IFERROR(INDEX(coa_Type,MATCH(F408,coa_Name,0)),"")&lt;&gt;"Other Income"),"Account is not a revenue account","")))))))</f>
        <v/>
      </c>
      <c r="V408" s="67">
        <f>IF(AND(R408=0,T408=""),1,0)</f>
        <v/>
      </c>
      <c r="W408" s="67">
        <f>IF(V408=1,acctAR,"")</f>
        <v/>
      </c>
      <c r="X408" s="67">
        <f>IF(V408=1,F408,"")</f>
        <v/>
      </c>
      <c r="Y408" s="68">
        <f>IF(V408=1,G408,0)</f>
        <v/>
      </c>
      <c r="Z408" s="68">
        <f>IF(V408=1,G408-S408,0)</f>
        <v/>
      </c>
      <c r="AA408" s="68">
        <f>IF(V408=1,S408,0)</f>
        <v/>
      </c>
    </row>
    <row r="409">
      <c r="B409" s="62" t="n"/>
      <c r="C409" s="63" t="n"/>
      <c r="D409" s="62" t="n"/>
      <c r="E409" s="62" t="n"/>
      <c r="F409" s="62" t="n"/>
      <c r="G409" s="64" t="n"/>
      <c r="H409" s="64" t="n"/>
      <c r="I409" s="63" t="n"/>
      <c r="J409" s="29">
        <f>IF(V409=1,IF(ISNUMBER(I409),I409,C409+IF(ISNUMBER(IFERROR(INDEX(cust_Terms,MATCH(D409,cust_Name,0)),"")),INDEX(cust_Terms,MATCH(D409,cust_Name,0)),TermsDays)),"")</f>
        <v/>
      </c>
      <c r="K409" s="65">
        <f>IF(V409=1,SUMIFS(tx_DrAmt,tx_Type,"Customer Payment",tx_Ref,B409&amp;"",tx_Date,"&lt;="&amp;AsOf),"")</f>
        <v/>
      </c>
      <c r="L409" s="65">
        <f>IF(V409=1,IF(C409&gt;AsOf,0,ROUND(G409-K409,2)),"")</f>
        <v/>
      </c>
      <c r="M409" s="66">
        <f>IF(V409&lt;&gt;1,"",IF(C409&gt;AsOf,"Future",IF(L409&lt;0,"Overpaid",IF(L409=0,"Paid",IF(AsOf&gt;J409,"Overdue",IF(K409&gt;0,"Partial","Unpaid"))))))</f>
        <v/>
      </c>
      <c r="N409" s="28">
        <f>IF(AND(V409=1,N(L409)&gt;0),AsOf-C409,"")</f>
        <v/>
      </c>
      <c r="O409" s="28">
        <f>IF(N409="","",MAX(0,AsOf-J409))</f>
        <v/>
      </c>
      <c r="P409" s="66">
        <f>IF(O409="","",IF(O409=0,"Current",IF(O409&lt;=30,"1-30",IF(O409&lt;=60,"31-60",IF(O409&lt;=90,"61-90","90+")))))</f>
        <v/>
      </c>
      <c r="Q409" s="66">
        <f>IF(T409&lt;&gt;"","⛔ "&amp;T409&amp;" — not posted",IF(U409&lt;&gt;"","⚠ "&amp;U409,IF(V409=1,"✓ OK","")))</f>
        <v/>
      </c>
      <c r="R409" s="67">
        <f>IF(AND(B409="",C409="",D409="",G409="",F409=""),1,0)</f>
        <v/>
      </c>
      <c r="S409" s="68">
        <f>IF(AND(TaxOn="Yes",ISNUMBER(H409)),H409,0)</f>
        <v/>
      </c>
      <c r="T409" s="67">
        <f>IF(R409=1,"",IF(B409="","Enter an invoice #",IF(C409="","Missing invoice date",IF(NOT(ISNUMBER(C409)),"Invalid date",IF(OR(C409&lt;DATE(2000,1,1),C409&gt;DATE(2099,12,31)),"Invalid date",IF(F409="","Select a revenue account",IF(ISNA(MATCH(F409,coa_Name,0)),"Unknown account: "&amp;F409,IF(NOT(ISNUMBER(G409)),"Enter an amount",IF(G409&lt;=0,"Amount must be positive",IF(S409&gt;G409,"Tax is larger than the amount",""))))))))))</f>
        <v/>
      </c>
      <c r="U409" s="67">
        <f>IF(OR(R409=1,T409&lt;&gt;""),"",IF(COUNTIF(ar_No,B409)&gt;1,"Duplicate invoice #",IF(D409="","Select a customer",IF(N(L409)&lt;0,"Overpaid by "&amp;TEXT(-L409,"#,##0.00"),IF(AND(ISNUMBER(H409),N(H409)&lt;&gt;0,S409=0),"Tax ignored (tax tracking is off)",IF(AND(ISNUMBER(StartDate),C409&lt;StartDate),"Date is before the accounting start date",IF(AND(IFERROR(INDEX(coa_Type,MATCH(F409,coa_Name,0)),"")&lt;&gt;"Revenue",IFERROR(INDEX(coa_Type,MATCH(F409,coa_Name,0)),"")&lt;&gt;"Other Income"),"Account is not a revenue account","")))))))</f>
        <v/>
      </c>
      <c r="V409" s="67">
        <f>IF(AND(R409=0,T409=""),1,0)</f>
        <v/>
      </c>
      <c r="W409" s="67">
        <f>IF(V409=1,acctAR,"")</f>
        <v/>
      </c>
      <c r="X409" s="67">
        <f>IF(V409=1,F409,"")</f>
        <v/>
      </c>
      <c r="Y409" s="68">
        <f>IF(V409=1,G409,0)</f>
        <v/>
      </c>
      <c r="Z409" s="68">
        <f>IF(V409=1,G409-S409,0)</f>
        <v/>
      </c>
      <c r="AA409" s="68">
        <f>IF(V409=1,S409,0)</f>
        <v/>
      </c>
    </row>
    <row r="410">
      <c r="B410" s="62" t="n"/>
      <c r="C410" s="63" t="n"/>
      <c r="D410" s="62" t="n"/>
      <c r="E410" s="62" t="n"/>
      <c r="F410" s="62" t="n"/>
      <c r="G410" s="64" t="n"/>
      <c r="H410" s="64" t="n"/>
      <c r="I410" s="63" t="n"/>
      <c r="J410" s="29">
        <f>IF(V410=1,IF(ISNUMBER(I410),I410,C410+IF(ISNUMBER(IFERROR(INDEX(cust_Terms,MATCH(D410,cust_Name,0)),"")),INDEX(cust_Terms,MATCH(D410,cust_Name,0)),TermsDays)),"")</f>
        <v/>
      </c>
      <c r="K410" s="65">
        <f>IF(V410=1,SUMIFS(tx_DrAmt,tx_Type,"Customer Payment",tx_Ref,B410&amp;"",tx_Date,"&lt;="&amp;AsOf),"")</f>
        <v/>
      </c>
      <c r="L410" s="65">
        <f>IF(V410=1,IF(C410&gt;AsOf,0,ROUND(G410-K410,2)),"")</f>
        <v/>
      </c>
      <c r="M410" s="66">
        <f>IF(V410&lt;&gt;1,"",IF(C410&gt;AsOf,"Future",IF(L410&lt;0,"Overpaid",IF(L410=0,"Paid",IF(AsOf&gt;J410,"Overdue",IF(K410&gt;0,"Partial","Unpaid"))))))</f>
        <v/>
      </c>
      <c r="N410" s="28">
        <f>IF(AND(V410=1,N(L410)&gt;0),AsOf-C410,"")</f>
        <v/>
      </c>
      <c r="O410" s="28">
        <f>IF(N410="","",MAX(0,AsOf-J410))</f>
        <v/>
      </c>
      <c r="P410" s="66">
        <f>IF(O410="","",IF(O410=0,"Current",IF(O410&lt;=30,"1-30",IF(O410&lt;=60,"31-60",IF(O410&lt;=90,"61-90","90+")))))</f>
        <v/>
      </c>
      <c r="Q410" s="66">
        <f>IF(T410&lt;&gt;"","⛔ "&amp;T410&amp;" — not posted",IF(U410&lt;&gt;"","⚠ "&amp;U410,IF(V410=1,"✓ OK","")))</f>
        <v/>
      </c>
      <c r="R410" s="67">
        <f>IF(AND(B410="",C410="",D410="",G410="",F410=""),1,0)</f>
        <v/>
      </c>
      <c r="S410" s="68">
        <f>IF(AND(TaxOn="Yes",ISNUMBER(H410)),H410,0)</f>
        <v/>
      </c>
      <c r="T410" s="67">
        <f>IF(R410=1,"",IF(B410="","Enter an invoice #",IF(C410="","Missing invoice date",IF(NOT(ISNUMBER(C410)),"Invalid date",IF(OR(C410&lt;DATE(2000,1,1),C410&gt;DATE(2099,12,31)),"Invalid date",IF(F410="","Select a revenue account",IF(ISNA(MATCH(F410,coa_Name,0)),"Unknown account: "&amp;F410,IF(NOT(ISNUMBER(G410)),"Enter an amount",IF(G410&lt;=0,"Amount must be positive",IF(S410&gt;G410,"Tax is larger than the amount",""))))))))))</f>
        <v/>
      </c>
      <c r="U410" s="67">
        <f>IF(OR(R410=1,T410&lt;&gt;""),"",IF(COUNTIF(ar_No,B410)&gt;1,"Duplicate invoice #",IF(D410="","Select a customer",IF(N(L410)&lt;0,"Overpaid by "&amp;TEXT(-L410,"#,##0.00"),IF(AND(ISNUMBER(H410),N(H410)&lt;&gt;0,S410=0),"Tax ignored (tax tracking is off)",IF(AND(ISNUMBER(StartDate),C410&lt;StartDate),"Date is before the accounting start date",IF(AND(IFERROR(INDEX(coa_Type,MATCH(F410,coa_Name,0)),"")&lt;&gt;"Revenue",IFERROR(INDEX(coa_Type,MATCH(F410,coa_Name,0)),"")&lt;&gt;"Other Income"),"Account is not a revenue account","")))))))</f>
        <v/>
      </c>
      <c r="V410" s="67">
        <f>IF(AND(R410=0,T410=""),1,0)</f>
        <v/>
      </c>
      <c r="W410" s="67">
        <f>IF(V410=1,acctAR,"")</f>
        <v/>
      </c>
      <c r="X410" s="67">
        <f>IF(V410=1,F410,"")</f>
        <v/>
      </c>
      <c r="Y410" s="68">
        <f>IF(V410=1,G410,0)</f>
        <v/>
      </c>
      <c r="Z410" s="68">
        <f>IF(V410=1,G410-S410,0)</f>
        <v/>
      </c>
      <c r="AA410" s="68">
        <f>IF(V410=1,S410,0)</f>
        <v/>
      </c>
    </row>
    <row r="411">
      <c r="B411" s="62" t="n"/>
      <c r="C411" s="63" t="n"/>
      <c r="D411" s="62" t="n"/>
      <c r="E411" s="62" t="n"/>
      <c r="F411" s="62" t="n"/>
      <c r="G411" s="64" t="n"/>
      <c r="H411" s="64" t="n"/>
      <c r="I411" s="63" t="n"/>
      <c r="J411" s="29">
        <f>IF(V411=1,IF(ISNUMBER(I411),I411,C411+IF(ISNUMBER(IFERROR(INDEX(cust_Terms,MATCH(D411,cust_Name,0)),"")),INDEX(cust_Terms,MATCH(D411,cust_Name,0)),TermsDays)),"")</f>
        <v/>
      </c>
      <c r="K411" s="65">
        <f>IF(V411=1,SUMIFS(tx_DrAmt,tx_Type,"Customer Payment",tx_Ref,B411&amp;"",tx_Date,"&lt;="&amp;AsOf),"")</f>
        <v/>
      </c>
      <c r="L411" s="65">
        <f>IF(V411=1,IF(C411&gt;AsOf,0,ROUND(G411-K411,2)),"")</f>
        <v/>
      </c>
      <c r="M411" s="66">
        <f>IF(V411&lt;&gt;1,"",IF(C411&gt;AsOf,"Future",IF(L411&lt;0,"Overpaid",IF(L411=0,"Paid",IF(AsOf&gt;J411,"Overdue",IF(K411&gt;0,"Partial","Unpaid"))))))</f>
        <v/>
      </c>
      <c r="N411" s="28">
        <f>IF(AND(V411=1,N(L411)&gt;0),AsOf-C411,"")</f>
        <v/>
      </c>
      <c r="O411" s="28">
        <f>IF(N411="","",MAX(0,AsOf-J411))</f>
        <v/>
      </c>
      <c r="P411" s="66">
        <f>IF(O411="","",IF(O411=0,"Current",IF(O411&lt;=30,"1-30",IF(O411&lt;=60,"31-60",IF(O411&lt;=90,"61-90","90+")))))</f>
        <v/>
      </c>
      <c r="Q411" s="66">
        <f>IF(T411&lt;&gt;"","⛔ "&amp;T411&amp;" — not posted",IF(U411&lt;&gt;"","⚠ "&amp;U411,IF(V411=1,"✓ OK","")))</f>
        <v/>
      </c>
      <c r="R411" s="67">
        <f>IF(AND(B411="",C411="",D411="",G411="",F411=""),1,0)</f>
        <v/>
      </c>
      <c r="S411" s="68">
        <f>IF(AND(TaxOn="Yes",ISNUMBER(H411)),H411,0)</f>
        <v/>
      </c>
      <c r="T411" s="67">
        <f>IF(R411=1,"",IF(B411="","Enter an invoice #",IF(C411="","Missing invoice date",IF(NOT(ISNUMBER(C411)),"Invalid date",IF(OR(C411&lt;DATE(2000,1,1),C411&gt;DATE(2099,12,31)),"Invalid date",IF(F411="","Select a revenue account",IF(ISNA(MATCH(F411,coa_Name,0)),"Unknown account: "&amp;F411,IF(NOT(ISNUMBER(G411)),"Enter an amount",IF(G411&lt;=0,"Amount must be positive",IF(S411&gt;G411,"Tax is larger than the amount",""))))))))))</f>
        <v/>
      </c>
      <c r="U411" s="67">
        <f>IF(OR(R411=1,T411&lt;&gt;""),"",IF(COUNTIF(ar_No,B411)&gt;1,"Duplicate invoice #",IF(D411="","Select a customer",IF(N(L411)&lt;0,"Overpaid by "&amp;TEXT(-L411,"#,##0.00"),IF(AND(ISNUMBER(H411),N(H411)&lt;&gt;0,S411=0),"Tax ignored (tax tracking is off)",IF(AND(ISNUMBER(StartDate),C411&lt;StartDate),"Date is before the accounting start date",IF(AND(IFERROR(INDEX(coa_Type,MATCH(F411,coa_Name,0)),"")&lt;&gt;"Revenue",IFERROR(INDEX(coa_Type,MATCH(F411,coa_Name,0)),"")&lt;&gt;"Other Income"),"Account is not a revenue account","")))))))</f>
        <v/>
      </c>
      <c r="V411" s="67">
        <f>IF(AND(R411=0,T411=""),1,0)</f>
        <v/>
      </c>
      <c r="W411" s="67">
        <f>IF(V411=1,acctAR,"")</f>
        <v/>
      </c>
      <c r="X411" s="67">
        <f>IF(V411=1,F411,"")</f>
        <v/>
      </c>
      <c r="Y411" s="68">
        <f>IF(V411=1,G411,0)</f>
        <v/>
      </c>
      <c r="Z411" s="68">
        <f>IF(V411=1,G411-S411,0)</f>
        <v/>
      </c>
      <c r="AA411" s="68">
        <f>IF(V411=1,S411,0)</f>
        <v/>
      </c>
    </row>
    <row r="412">
      <c r="B412" s="62" t="n"/>
      <c r="C412" s="63" t="n"/>
      <c r="D412" s="62" t="n"/>
      <c r="E412" s="62" t="n"/>
      <c r="F412" s="62" t="n"/>
      <c r="G412" s="64" t="n"/>
      <c r="H412" s="64" t="n"/>
      <c r="I412" s="63" t="n"/>
      <c r="J412" s="29">
        <f>IF(V412=1,IF(ISNUMBER(I412),I412,C412+IF(ISNUMBER(IFERROR(INDEX(cust_Terms,MATCH(D412,cust_Name,0)),"")),INDEX(cust_Terms,MATCH(D412,cust_Name,0)),TermsDays)),"")</f>
        <v/>
      </c>
      <c r="K412" s="65">
        <f>IF(V412=1,SUMIFS(tx_DrAmt,tx_Type,"Customer Payment",tx_Ref,B412&amp;"",tx_Date,"&lt;="&amp;AsOf),"")</f>
        <v/>
      </c>
      <c r="L412" s="65">
        <f>IF(V412=1,IF(C412&gt;AsOf,0,ROUND(G412-K412,2)),"")</f>
        <v/>
      </c>
      <c r="M412" s="66">
        <f>IF(V412&lt;&gt;1,"",IF(C412&gt;AsOf,"Future",IF(L412&lt;0,"Overpaid",IF(L412=0,"Paid",IF(AsOf&gt;J412,"Overdue",IF(K412&gt;0,"Partial","Unpaid"))))))</f>
        <v/>
      </c>
      <c r="N412" s="28">
        <f>IF(AND(V412=1,N(L412)&gt;0),AsOf-C412,"")</f>
        <v/>
      </c>
      <c r="O412" s="28">
        <f>IF(N412="","",MAX(0,AsOf-J412))</f>
        <v/>
      </c>
      <c r="P412" s="66">
        <f>IF(O412="","",IF(O412=0,"Current",IF(O412&lt;=30,"1-30",IF(O412&lt;=60,"31-60",IF(O412&lt;=90,"61-90","90+")))))</f>
        <v/>
      </c>
      <c r="Q412" s="66">
        <f>IF(T412&lt;&gt;"","⛔ "&amp;T412&amp;" — not posted",IF(U412&lt;&gt;"","⚠ "&amp;U412,IF(V412=1,"✓ OK","")))</f>
        <v/>
      </c>
      <c r="R412" s="67">
        <f>IF(AND(B412="",C412="",D412="",G412="",F412=""),1,0)</f>
        <v/>
      </c>
      <c r="S412" s="68">
        <f>IF(AND(TaxOn="Yes",ISNUMBER(H412)),H412,0)</f>
        <v/>
      </c>
      <c r="T412" s="67">
        <f>IF(R412=1,"",IF(B412="","Enter an invoice #",IF(C412="","Missing invoice date",IF(NOT(ISNUMBER(C412)),"Invalid date",IF(OR(C412&lt;DATE(2000,1,1),C412&gt;DATE(2099,12,31)),"Invalid date",IF(F412="","Select a revenue account",IF(ISNA(MATCH(F412,coa_Name,0)),"Unknown account: "&amp;F412,IF(NOT(ISNUMBER(G412)),"Enter an amount",IF(G412&lt;=0,"Amount must be positive",IF(S412&gt;G412,"Tax is larger than the amount",""))))))))))</f>
        <v/>
      </c>
      <c r="U412" s="67">
        <f>IF(OR(R412=1,T412&lt;&gt;""),"",IF(COUNTIF(ar_No,B412)&gt;1,"Duplicate invoice #",IF(D412="","Select a customer",IF(N(L412)&lt;0,"Overpaid by "&amp;TEXT(-L412,"#,##0.00"),IF(AND(ISNUMBER(H412),N(H412)&lt;&gt;0,S412=0),"Tax ignored (tax tracking is off)",IF(AND(ISNUMBER(StartDate),C412&lt;StartDate),"Date is before the accounting start date",IF(AND(IFERROR(INDEX(coa_Type,MATCH(F412,coa_Name,0)),"")&lt;&gt;"Revenue",IFERROR(INDEX(coa_Type,MATCH(F412,coa_Name,0)),"")&lt;&gt;"Other Income"),"Account is not a revenue account","")))))))</f>
        <v/>
      </c>
      <c r="V412" s="67">
        <f>IF(AND(R412=0,T412=""),1,0)</f>
        <v/>
      </c>
      <c r="W412" s="67">
        <f>IF(V412=1,acctAR,"")</f>
        <v/>
      </c>
      <c r="X412" s="67">
        <f>IF(V412=1,F412,"")</f>
        <v/>
      </c>
      <c r="Y412" s="68">
        <f>IF(V412=1,G412,0)</f>
        <v/>
      </c>
      <c r="Z412" s="68">
        <f>IF(V412=1,G412-S412,0)</f>
        <v/>
      </c>
      <c r="AA412" s="68">
        <f>IF(V412=1,S412,0)</f>
        <v/>
      </c>
    </row>
    <row r="413">
      <c r="B413" s="62" t="n"/>
      <c r="C413" s="63" t="n"/>
      <c r="D413" s="62" t="n"/>
      <c r="E413" s="62" t="n"/>
      <c r="F413" s="62" t="n"/>
      <c r="G413" s="64" t="n"/>
      <c r="H413" s="64" t="n"/>
      <c r="I413" s="63" t="n"/>
      <c r="J413" s="29">
        <f>IF(V413=1,IF(ISNUMBER(I413),I413,C413+IF(ISNUMBER(IFERROR(INDEX(cust_Terms,MATCH(D413,cust_Name,0)),"")),INDEX(cust_Terms,MATCH(D413,cust_Name,0)),TermsDays)),"")</f>
        <v/>
      </c>
      <c r="K413" s="65">
        <f>IF(V413=1,SUMIFS(tx_DrAmt,tx_Type,"Customer Payment",tx_Ref,B413&amp;"",tx_Date,"&lt;="&amp;AsOf),"")</f>
        <v/>
      </c>
      <c r="L413" s="65">
        <f>IF(V413=1,IF(C413&gt;AsOf,0,ROUND(G413-K413,2)),"")</f>
        <v/>
      </c>
      <c r="M413" s="66">
        <f>IF(V413&lt;&gt;1,"",IF(C413&gt;AsOf,"Future",IF(L413&lt;0,"Overpaid",IF(L413=0,"Paid",IF(AsOf&gt;J413,"Overdue",IF(K413&gt;0,"Partial","Unpaid"))))))</f>
        <v/>
      </c>
      <c r="N413" s="28">
        <f>IF(AND(V413=1,N(L413)&gt;0),AsOf-C413,"")</f>
        <v/>
      </c>
      <c r="O413" s="28">
        <f>IF(N413="","",MAX(0,AsOf-J413))</f>
        <v/>
      </c>
      <c r="P413" s="66">
        <f>IF(O413="","",IF(O413=0,"Current",IF(O413&lt;=30,"1-30",IF(O413&lt;=60,"31-60",IF(O413&lt;=90,"61-90","90+")))))</f>
        <v/>
      </c>
      <c r="Q413" s="66">
        <f>IF(T413&lt;&gt;"","⛔ "&amp;T413&amp;" — not posted",IF(U413&lt;&gt;"","⚠ "&amp;U413,IF(V413=1,"✓ OK","")))</f>
        <v/>
      </c>
      <c r="R413" s="67">
        <f>IF(AND(B413="",C413="",D413="",G413="",F413=""),1,0)</f>
        <v/>
      </c>
      <c r="S413" s="68">
        <f>IF(AND(TaxOn="Yes",ISNUMBER(H413)),H413,0)</f>
        <v/>
      </c>
      <c r="T413" s="67">
        <f>IF(R413=1,"",IF(B413="","Enter an invoice #",IF(C413="","Missing invoice date",IF(NOT(ISNUMBER(C413)),"Invalid date",IF(OR(C413&lt;DATE(2000,1,1),C413&gt;DATE(2099,12,31)),"Invalid date",IF(F413="","Select a revenue account",IF(ISNA(MATCH(F413,coa_Name,0)),"Unknown account: "&amp;F413,IF(NOT(ISNUMBER(G413)),"Enter an amount",IF(G413&lt;=0,"Amount must be positive",IF(S413&gt;G413,"Tax is larger than the amount",""))))))))))</f>
        <v/>
      </c>
      <c r="U413" s="67">
        <f>IF(OR(R413=1,T413&lt;&gt;""),"",IF(COUNTIF(ar_No,B413)&gt;1,"Duplicate invoice #",IF(D413="","Select a customer",IF(N(L413)&lt;0,"Overpaid by "&amp;TEXT(-L413,"#,##0.00"),IF(AND(ISNUMBER(H413),N(H413)&lt;&gt;0,S413=0),"Tax ignored (tax tracking is off)",IF(AND(ISNUMBER(StartDate),C413&lt;StartDate),"Date is before the accounting start date",IF(AND(IFERROR(INDEX(coa_Type,MATCH(F413,coa_Name,0)),"")&lt;&gt;"Revenue",IFERROR(INDEX(coa_Type,MATCH(F413,coa_Name,0)),"")&lt;&gt;"Other Income"),"Account is not a revenue account","")))))))</f>
        <v/>
      </c>
      <c r="V413" s="67">
        <f>IF(AND(R413=0,T413=""),1,0)</f>
        <v/>
      </c>
      <c r="W413" s="67">
        <f>IF(V413=1,acctAR,"")</f>
        <v/>
      </c>
      <c r="X413" s="67">
        <f>IF(V413=1,F413,"")</f>
        <v/>
      </c>
      <c r="Y413" s="68">
        <f>IF(V413=1,G413,0)</f>
        <v/>
      </c>
      <c r="Z413" s="68">
        <f>IF(V413=1,G413-S413,0)</f>
        <v/>
      </c>
      <c r="AA413" s="68">
        <f>IF(V413=1,S413,0)</f>
        <v/>
      </c>
    </row>
    <row r="414">
      <c r="B414" s="62" t="n"/>
      <c r="C414" s="63" t="n"/>
      <c r="D414" s="62" t="n"/>
      <c r="E414" s="62" t="n"/>
      <c r="F414" s="62" t="n"/>
      <c r="G414" s="64" t="n"/>
      <c r="H414" s="64" t="n"/>
      <c r="I414" s="63" t="n"/>
      <c r="J414" s="29">
        <f>IF(V414=1,IF(ISNUMBER(I414),I414,C414+IF(ISNUMBER(IFERROR(INDEX(cust_Terms,MATCH(D414,cust_Name,0)),"")),INDEX(cust_Terms,MATCH(D414,cust_Name,0)),TermsDays)),"")</f>
        <v/>
      </c>
      <c r="K414" s="65">
        <f>IF(V414=1,SUMIFS(tx_DrAmt,tx_Type,"Customer Payment",tx_Ref,B414&amp;"",tx_Date,"&lt;="&amp;AsOf),"")</f>
        <v/>
      </c>
      <c r="L414" s="65">
        <f>IF(V414=1,IF(C414&gt;AsOf,0,ROUND(G414-K414,2)),"")</f>
        <v/>
      </c>
      <c r="M414" s="66">
        <f>IF(V414&lt;&gt;1,"",IF(C414&gt;AsOf,"Future",IF(L414&lt;0,"Overpaid",IF(L414=0,"Paid",IF(AsOf&gt;J414,"Overdue",IF(K414&gt;0,"Partial","Unpaid"))))))</f>
        <v/>
      </c>
      <c r="N414" s="28">
        <f>IF(AND(V414=1,N(L414)&gt;0),AsOf-C414,"")</f>
        <v/>
      </c>
      <c r="O414" s="28">
        <f>IF(N414="","",MAX(0,AsOf-J414))</f>
        <v/>
      </c>
      <c r="P414" s="66">
        <f>IF(O414="","",IF(O414=0,"Current",IF(O414&lt;=30,"1-30",IF(O414&lt;=60,"31-60",IF(O414&lt;=90,"61-90","90+")))))</f>
        <v/>
      </c>
      <c r="Q414" s="66">
        <f>IF(T414&lt;&gt;"","⛔ "&amp;T414&amp;" — not posted",IF(U414&lt;&gt;"","⚠ "&amp;U414,IF(V414=1,"✓ OK","")))</f>
        <v/>
      </c>
      <c r="R414" s="67">
        <f>IF(AND(B414="",C414="",D414="",G414="",F414=""),1,0)</f>
        <v/>
      </c>
      <c r="S414" s="68">
        <f>IF(AND(TaxOn="Yes",ISNUMBER(H414)),H414,0)</f>
        <v/>
      </c>
      <c r="T414" s="67">
        <f>IF(R414=1,"",IF(B414="","Enter an invoice #",IF(C414="","Missing invoice date",IF(NOT(ISNUMBER(C414)),"Invalid date",IF(OR(C414&lt;DATE(2000,1,1),C414&gt;DATE(2099,12,31)),"Invalid date",IF(F414="","Select a revenue account",IF(ISNA(MATCH(F414,coa_Name,0)),"Unknown account: "&amp;F414,IF(NOT(ISNUMBER(G414)),"Enter an amount",IF(G414&lt;=0,"Amount must be positive",IF(S414&gt;G414,"Tax is larger than the amount",""))))))))))</f>
        <v/>
      </c>
      <c r="U414" s="67">
        <f>IF(OR(R414=1,T414&lt;&gt;""),"",IF(COUNTIF(ar_No,B414)&gt;1,"Duplicate invoice #",IF(D414="","Select a customer",IF(N(L414)&lt;0,"Overpaid by "&amp;TEXT(-L414,"#,##0.00"),IF(AND(ISNUMBER(H414),N(H414)&lt;&gt;0,S414=0),"Tax ignored (tax tracking is off)",IF(AND(ISNUMBER(StartDate),C414&lt;StartDate),"Date is before the accounting start date",IF(AND(IFERROR(INDEX(coa_Type,MATCH(F414,coa_Name,0)),"")&lt;&gt;"Revenue",IFERROR(INDEX(coa_Type,MATCH(F414,coa_Name,0)),"")&lt;&gt;"Other Income"),"Account is not a revenue account","")))))))</f>
        <v/>
      </c>
      <c r="V414" s="67">
        <f>IF(AND(R414=0,T414=""),1,0)</f>
        <v/>
      </c>
      <c r="W414" s="67">
        <f>IF(V414=1,acctAR,"")</f>
        <v/>
      </c>
      <c r="X414" s="67">
        <f>IF(V414=1,F414,"")</f>
        <v/>
      </c>
      <c r="Y414" s="68">
        <f>IF(V414=1,G414,0)</f>
        <v/>
      </c>
      <c r="Z414" s="68">
        <f>IF(V414=1,G414-S414,0)</f>
        <v/>
      </c>
      <c r="AA414" s="68">
        <f>IF(V414=1,S414,0)</f>
        <v/>
      </c>
    </row>
    <row r="415">
      <c r="B415" s="62" t="n"/>
      <c r="C415" s="63" t="n"/>
      <c r="D415" s="62" t="n"/>
      <c r="E415" s="62" t="n"/>
      <c r="F415" s="62" t="n"/>
      <c r="G415" s="64" t="n"/>
      <c r="H415" s="64" t="n"/>
      <c r="I415" s="63" t="n"/>
      <c r="J415" s="29">
        <f>IF(V415=1,IF(ISNUMBER(I415),I415,C415+IF(ISNUMBER(IFERROR(INDEX(cust_Terms,MATCH(D415,cust_Name,0)),"")),INDEX(cust_Terms,MATCH(D415,cust_Name,0)),TermsDays)),"")</f>
        <v/>
      </c>
      <c r="K415" s="65">
        <f>IF(V415=1,SUMIFS(tx_DrAmt,tx_Type,"Customer Payment",tx_Ref,B415&amp;"",tx_Date,"&lt;="&amp;AsOf),"")</f>
        <v/>
      </c>
      <c r="L415" s="65">
        <f>IF(V415=1,IF(C415&gt;AsOf,0,ROUND(G415-K415,2)),"")</f>
        <v/>
      </c>
      <c r="M415" s="66">
        <f>IF(V415&lt;&gt;1,"",IF(C415&gt;AsOf,"Future",IF(L415&lt;0,"Overpaid",IF(L415=0,"Paid",IF(AsOf&gt;J415,"Overdue",IF(K415&gt;0,"Partial","Unpaid"))))))</f>
        <v/>
      </c>
      <c r="N415" s="28">
        <f>IF(AND(V415=1,N(L415)&gt;0),AsOf-C415,"")</f>
        <v/>
      </c>
      <c r="O415" s="28">
        <f>IF(N415="","",MAX(0,AsOf-J415))</f>
        <v/>
      </c>
      <c r="P415" s="66">
        <f>IF(O415="","",IF(O415=0,"Current",IF(O415&lt;=30,"1-30",IF(O415&lt;=60,"31-60",IF(O415&lt;=90,"61-90","90+")))))</f>
        <v/>
      </c>
      <c r="Q415" s="66">
        <f>IF(T415&lt;&gt;"","⛔ "&amp;T415&amp;" — not posted",IF(U415&lt;&gt;"","⚠ "&amp;U415,IF(V415=1,"✓ OK","")))</f>
        <v/>
      </c>
      <c r="R415" s="67">
        <f>IF(AND(B415="",C415="",D415="",G415="",F415=""),1,0)</f>
        <v/>
      </c>
      <c r="S415" s="68">
        <f>IF(AND(TaxOn="Yes",ISNUMBER(H415)),H415,0)</f>
        <v/>
      </c>
      <c r="T415" s="67">
        <f>IF(R415=1,"",IF(B415="","Enter an invoice #",IF(C415="","Missing invoice date",IF(NOT(ISNUMBER(C415)),"Invalid date",IF(OR(C415&lt;DATE(2000,1,1),C415&gt;DATE(2099,12,31)),"Invalid date",IF(F415="","Select a revenue account",IF(ISNA(MATCH(F415,coa_Name,0)),"Unknown account: "&amp;F415,IF(NOT(ISNUMBER(G415)),"Enter an amount",IF(G415&lt;=0,"Amount must be positive",IF(S415&gt;G415,"Tax is larger than the amount",""))))))))))</f>
        <v/>
      </c>
      <c r="U415" s="67">
        <f>IF(OR(R415=1,T415&lt;&gt;""),"",IF(COUNTIF(ar_No,B415)&gt;1,"Duplicate invoice #",IF(D415="","Select a customer",IF(N(L415)&lt;0,"Overpaid by "&amp;TEXT(-L415,"#,##0.00"),IF(AND(ISNUMBER(H415),N(H415)&lt;&gt;0,S415=0),"Tax ignored (tax tracking is off)",IF(AND(ISNUMBER(StartDate),C415&lt;StartDate),"Date is before the accounting start date",IF(AND(IFERROR(INDEX(coa_Type,MATCH(F415,coa_Name,0)),"")&lt;&gt;"Revenue",IFERROR(INDEX(coa_Type,MATCH(F415,coa_Name,0)),"")&lt;&gt;"Other Income"),"Account is not a revenue account","")))))))</f>
        <v/>
      </c>
      <c r="V415" s="67">
        <f>IF(AND(R415=0,T415=""),1,0)</f>
        <v/>
      </c>
      <c r="W415" s="67">
        <f>IF(V415=1,acctAR,"")</f>
        <v/>
      </c>
      <c r="X415" s="67">
        <f>IF(V415=1,F415,"")</f>
        <v/>
      </c>
      <c r="Y415" s="68">
        <f>IF(V415=1,G415,0)</f>
        <v/>
      </c>
      <c r="Z415" s="68">
        <f>IF(V415=1,G415-S415,0)</f>
        <v/>
      </c>
      <c r="AA415" s="68">
        <f>IF(V415=1,S415,0)</f>
        <v/>
      </c>
    </row>
    <row r="416">
      <c r="B416" s="62" t="n"/>
      <c r="C416" s="63" t="n"/>
      <c r="D416" s="62" t="n"/>
      <c r="E416" s="62" t="n"/>
      <c r="F416" s="62" t="n"/>
      <c r="G416" s="64" t="n"/>
      <c r="H416" s="64" t="n"/>
      <c r="I416" s="63" t="n"/>
      <c r="J416" s="29">
        <f>IF(V416=1,IF(ISNUMBER(I416),I416,C416+IF(ISNUMBER(IFERROR(INDEX(cust_Terms,MATCH(D416,cust_Name,0)),"")),INDEX(cust_Terms,MATCH(D416,cust_Name,0)),TermsDays)),"")</f>
        <v/>
      </c>
      <c r="K416" s="65">
        <f>IF(V416=1,SUMIFS(tx_DrAmt,tx_Type,"Customer Payment",tx_Ref,B416&amp;"",tx_Date,"&lt;="&amp;AsOf),"")</f>
        <v/>
      </c>
      <c r="L416" s="65">
        <f>IF(V416=1,IF(C416&gt;AsOf,0,ROUND(G416-K416,2)),"")</f>
        <v/>
      </c>
      <c r="M416" s="66">
        <f>IF(V416&lt;&gt;1,"",IF(C416&gt;AsOf,"Future",IF(L416&lt;0,"Overpaid",IF(L416=0,"Paid",IF(AsOf&gt;J416,"Overdue",IF(K416&gt;0,"Partial","Unpaid"))))))</f>
        <v/>
      </c>
      <c r="N416" s="28">
        <f>IF(AND(V416=1,N(L416)&gt;0),AsOf-C416,"")</f>
        <v/>
      </c>
      <c r="O416" s="28">
        <f>IF(N416="","",MAX(0,AsOf-J416))</f>
        <v/>
      </c>
      <c r="P416" s="66">
        <f>IF(O416="","",IF(O416=0,"Current",IF(O416&lt;=30,"1-30",IF(O416&lt;=60,"31-60",IF(O416&lt;=90,"61-90","90+")))))</f>
        <v/>
      </c>
      <c r="Q416" s="66">
        <f>IF(T416&lt;&gt;"","⛔ "&amp;T416&amp;" — not posted",IF(U416&lt;&gt;"","⚠ "&amp;U416,IF(V416=1,"✓ OK","")))</f>
        <v/>
      </c>
      <c r="R416" s="67">
        <f>IF(AND(B416="",C416="",D416="",G416="",F416=""),1,0)</f>
        <v/>
      </c>
      <c r="S416" s="68">
        <f>IF(AND(TaxOn="Yes",ISNUMBER(H416)),H416,0)</f>
        <v/>
      </c>
      <c r="T416" s="67">
        <f>IF(R416=1,"",IF(B416="","Enter an invoice #",IF(C416="","Missing invoice date",IF(NOT(ISNUMBER(C416)),"Invalid date",IF(OR(C416&lt;DATE(2000,1,1),C416&gt;DATE(2099,12,31)),"Invalid date",IF(F416="","Select a revenue account",IF(ISNA(MATCH(F416,coa_Name,0)),"Unknown account: "&amp;F416,IF(NOT(ISNUMBER(G416)),"Enter an amount",IF(G416&lt;=0,"Amount must be positive",IF(S416&gt;G416,"Tax is larger than the amount",""))))))))))</f>
        <v/>
      </c>
      <c r="U416" s="67">
        <f>IF(OR(R416=1,T416&lt;&gt;""),"",IF(COUNTIF(ar_No,B416)&gt;1,"Duplicate invoice #",IF(D416="","Select a customer",IF(N(L416)&lt;0,"Overpaid by "&amp;TEXT(-L416,"#,##0.00"),IF(AND(ISNUMBER(H416),N(H416)&lt;&gt;0,S416=0),"Tax ignored (tax tracking is off)",IF(AND(ISNUMBER(StartDate),C416&lt;StartDate),"Date is before the accounting start date",IF(AND(IFERROR(INDEX(coa_Type,MATCH(F416,coa_Name,0)),"")&lt;&gt;"Revenue",IFERROR(INDEX(coa_Type,MATCH(F416,coa_Name,0)),"")&lt;&gt;"Other Income"),"Account is not a revenue account","")))))))</f>
        <v/>
      </c>
      <c r="V416" s="67">
        <f>IF(AND(R416=0,T416=""),1,0)</f>
        <v/>
      </c>
      <c r="W416" s="67">
        <f>IF(V416=1,acctAR,"")</f>
        <v/>
      </c>
      <c r="X416" s="67">
        <f>IF(V416=1,F416,"")</f>
        <v/>
      </c>
      <c r="Y416" s="68">
        <f>IF(V416=1,G416,0)</f>
        <v/>
      </c>
      <c r="Z416" s="68">
        <f>IF(V416=1,G416-S416,0)</f>
        <v/>
      </c>
      <c r="AA416" s="68">
        <f>IF(V416=1,S416,0)</f>
        <v/>
      </c>
    </row>
    <row r="417">
      <c r="B417" s="62" t="n"/>
      <c r="C417" s="63" t="n"/>
      <c r="D417" s="62" t="n"/>
      <c r="E417" s="62" t="n"/>
      <c r="F417" s="62" t="n"/>
      <c r="G417" s="64" t="n"/>
      <c r="H417" s="64" t="n"/>
      <c r="I417" s="63" t="n"/>
      <c r="J417" s="29">
        <f>IF(V417=1,IF(ISNUMBER(I417),I417,C417+IF(ISNUMBER(IFERROR(INDEX(cust_Terms,MATCH(D417,cust_Name,0)),"")),INDEX(cust_Terms,MATCH(D417,cust_Name,0)),TermsDays)),"")</f>
        <v/>
      </c>
      <c r="K417" s="65">
        <f>IF(V417=1,SUMIFS(tx_DrAmt,tx_Type,"Customer Payment",tx_Ref,B417&amp;"",tx_Date,"&lt;="&amp;AsOf),"")</f>
        <v/>
      </c>
      <c r="L417" s="65">
        <f>IF(V417=1,IF(C417&gt;AsOf,0,ROUND(G417-K417,2)),"")</f>
        <v/>
      </c>
      <c r="M417" s="66">
        <f>IF(V417&lt;&gt;1,"",IF(C417&gt;AsOf,"Future",IF(L417&lt;0,"Overpaid",IF(L417=0,"Paid",IF(AsOf&gt;J417,"Overdue",IF(K417&gt;0,"Partial","Unpaid"))))))</f>
        <v/>
      </c>
      <c r="N417" s="28">
        <f>IF(AND(V417=1,N(L417)&gt;0),AsOf-C417,"")</f>
        <v/>
      </c>
      <c r="O417" s="28">
        <f>IF(N417="","",MAX(0,AsOf-J417))</f>
        <v/>
      </c>
      <c r="P417" s="66">
        <f>IF(O417="","",IF(O417=0,"Current",IF(O417&lt;=30,"1-30",IF(O417&lt;=60,"31-60",IF(O417&lt;=90,"61-90","90+")))))</f>
        <v/>
      </c>
      <c r="Q417" s="66">
        <f>IF(T417&lt;&gt;"","⛔ "&amp;T417&amp;" — not posted",IF(U417&lt;&gt;"","⚠ "&amp;U417,IF(V417=1,"✓ OK","")))</f>
        <v/>
      </c>
      <c r="R417" s="67">
        <f>IF(AND(B417="",C417="",D417="",G417="",F417=""),1,0)</f>
        <v/>
      </c>
      <c r="S417" s="68">
        <f>IF(AND(TaxOn="Yes",ISNUMBER(H417)),H417,0)</f>
        <v/>
      </c>
      <c r="T417" s="67">
        <f>IF(R417=1,"",IF(B417="","Enter an invoice #",IF(C417="","Missing invoice date",IF(NOT(ISNUMBER(C417)),"Invalid date",IF(OR(C417&lt;DATE(2000,1,1),C417&gt;DATE(2099,12,31)),"Invalid date",IF(F417="","Select a revenue account",IF(ISNA(MATCH(F417,coa_Name,0)),"Unknown account: "&amp;F417,IF(NOT(ISNUMBER(G417)),"Enter an amount",IF(G417&lt;=0,"Amount must be positive",IF(S417&gt;G417,"Tax is larger than the amount",""))))))))))</f>
        <v/>
      </c>
      <c r="U417" s="67">
        <f>IF(OR(R417=1,T417&lt;&gt;""),"",IF(COUNTIF(ar_No,B417)&gt;1,"Duplicate invoice #",IF(D417="","Select a customer",IF(N(L417)&lt;0,"Overpaid by "&amp;TEXT(-L417,"#,##0.00"),IF(AND(ISNUMBER(H417),N(H417)&lt;&gt;0,S417=0),"Tax ignored (tax tracking is off)",IF(AND(ISNUMBER(StartDate),C417&lt;StartDate),"Date is before the accounting start date",IF(AND(IFERROR(INDEX(coa_Type,MATCH(F417,coa_Name,0)),"")&lt;&gt;"Revenue",IFERROR(INDEX(coa_Type,MATCH(F417,coa_Name,0)),"")&lt;&gt;"Other Income"),"Account is not a revenue account","")))))))</f>
        <v/>
      </c>
      <c r="V417" s="67">
        <f>IF(AND(R417=0,T417=""),1,0)</f>
        <v/>
      </c>
      <c r="W417" s="67">
        <f>IF(V417=1,acctAR,"")</f>
        <v/>
      </c>
      <c r="X417" s="67">
        <f>IF(V417=1,F417,"")</f>
        <v/>
      </c>
      <c r="Y417" s="68">
        <f>IF(V417=1,G417,0)</f>
        <v/>
      </c>
      <c r="Z417" s="68">
        <f>IF(V417=1,G417-S417,0)</f>
        <v/>
      </c>
      <c r="AA417" s="68">
        <f>IF(V417=1,S417,0)</f>
        <v/>
      </c>
    </row>
    <row r="418">
      <c r="B418" s="62" t="n"/>
      <c r="C418" s="63" t="n"/>
      <c r="D418" s="62" t="n"/>
      <c r="E418" s="62" t="n"/>
      <c r="F418" s="62" t="n"/>
      <c r="G418" s="64" t="n"/>
      <c r="H418" s="64" t="n"/>
      <c r="I418" s="63" t="n"/>
      <c r="J418" s="29">
        <f>IF(V418=1,IF(ISNUMBER(I418),I418,C418+IF(ISNUMBER(IFERROR(INDEX(cust_Terms,MATCH(D418,cust_Name,0)),"")),INDEX(cust_Terms,MATCH(D418,cust_Name,0)),TermsDays)),"")</f>
        <v/>
      </c>
      <c r="K418" s="65">
        <f>IF(V418=1,SUMIFS(tx_DrAmt,tx_Type,"Customer Payment",tx_Ref,B418&amp;"",tx_Date,"&lt;="&amp;AsOf),"")</f>
        <v/>
      </c>
      <c r="L418" s="65">
        <f>IF(V418=1,IF(C418&gt;AsOf,0,ROUND(G418-K418,2)),"")</f>
        <v/>
      </c>
      <c r="M418" s="66">
        <f>IF(V418&lt;&gt;1,"",IF(C418&gt;AsOf,"Future",IF(L418&lt;0,"Overpaid",IF(L418=0,"Paid",IF(AsOf&gt;J418,"Overdue",IF(K418&gt;0,"Partial","Unpaid"))))))</f>
        <v/>
      </c>
      <c r="N418" s="28">
        <f>IF(AND(V418=1,N(L418)&gt;0),AsOf-C418,"")</f>
        <v/>
      </c>
      <c r="O418" s="28">
        <f>IF(N418="","",MAX(0,AsOf-J418))</f>
        <v/>
      </c>
      <c r="P418" s="66">
        <f>IF(O418="","",IF(O418=0,"Current",IF(O418&lt;=30,"1-30",IF(O418&lt;=60,"31-60",IF(O418&lt;=90,"61-90","90+")))))</f>
        <v/>
      </c>
      <c r="Q418" s="66">
        <f>IF(T418&lt;&gt;"","⛔ "&amp;T418&amp;" — not posted",IF(U418&lt;&gt;"","⚠ "&amp;U418,IF(V418=1,"✓ OK","")))</f>
        <v/>
      </c>
      <c r="R418" s="67">
        <f>IF(AND(B418="",C418="",D418="",G418="",F418=""),1,0)</f>
        <v/>
      </c>
      <c r="S418" s="68">
        <f>IF(AND(TaxOn="Yes",ISNUMBER(H418)),H418,0)</f>
        <v/>
      </c>
      <c r="T418" s="67">
        <f>IF(R418=1,"",IF(B418="","Enter an invoice #",IF(C418="","Missing invoice date",IF(NOT(ISNUMBER(C418)),"Invalid date",IF(OR(C418&lt;DATE(2000,1,1),C418&gt;DATE(2099,12,31)),"Invalid date",IF(F418="","Select a revenue account",IF(ISNA(MATCH(F418,coa_Name,0)),"Unknown account: "&amp;F418,IF(NOT(ISNUMBER(G418)),"Enter an amount",IF(G418&lt;=0,"Amount must be positive",IF(S418&gt;G418,"Tax is larger than the amount",""))))))))))</f>
        <v/>
      </c>
      <c r="U418" s="67">
        <f>IF(OR(R418=1,T418&lt;&gt;""),"",IF(COUNTIF(ar_No,B418)&gt;1,"Duplicate invoice #",IF(D418="","Select a customer",IF(N(L418)&lt;0,"Overpaid by "&amp;TEXT(-L418,"#,##0.00"),IF(AND(ISNUMBER(H418),N(H418)&lt;&gt;0,S418=0),"Tax ignored (tax tracking is off)",IF(AND(ISNUMBER(StartDate),C418&lt;StartDate),"Date is before the accounting start date",IF(AND(IFERROR(INDEX(coa_Type,MATCH(F418,coa_Name,0)),"")&lt;&gt;"Revenue",IFERROR(INDEX(coa_Type,MATCH(F418,coa_Name,0)),"")&lt;&gt;"Other Income"),"Account is not a revenue account","")))))))</f>
        <v/>
      </c>
      <c r="V418" s="67">
        <f>IF(AND(R418=0,T418=""),1,0)</f>
        <v/>
      </c>
      <c r="W418" s="67">
        <f>IF(V418=1,acctAR,"")</f>
        <v/>
      </c>
      <c r="X418" s="67">
        <f>IF(V418=1,F418,"")</f>
        <v/>
      </c>
      <c r="Y418" s="68">
        <f>IF(V418=1,G418,0)</f>
        <v/>
      </c>
      <c r="Z418" s="68">
        <f>IF(V418=1,G418-S418,0)</f>
        <v/>
      </c>
      <c r="AA418" s="68">
        <f>IF(V418=1,S418,0)</f>
        <v/>
      </c>
    </row>
    <row r="419">
      <c r="B419" s="62" t="n"/>
      <c r="C419" s="63" t="n"/>
      <c r="D419" s="62" t="n"/>
      <c r="E419" s="62" t="n"/>
      <c r="F419" s="62" t="n"/>
      <c r="G419" s="64" t="n"/>
      <c r="H419" s="64" t="n"/>
      <c r="I419" s="63" t="n"/>
      <c r="J419" s="29">
        <f>IF(V419=1,IF(ISNUMBER(I419),I419,C419+IF(ISNUMBER(IFERROR(INDEX(cust_Terms,MATCH(D419,cust_Name,0)),"")),INDEX(cust_Terms,MATCH(D419,cust_Name,0)),TermsDays)),"")</f>
        <v/>
      </c>
      <c r="K419" s="65">
        <f>IF(V419=1,SUMIFS(tx_DrAmt,tx_Type,"Customer Payment",tx_Ref,B419&amp;"",tx_Date,"&lt;="&amp;AsOf),"")</f>
        <v/>
      </c>
      <c r="L419" s="65">
        <f>IF(V419=1,IF(C419&gt;AsOf,0,ROUND(G419-K419,2)),"")</f>
        <v/>
      </c>
      <c r="M419" s="66">
        <f>IF(V419&lt;&gt;1,"",IF(C419&gt;AsOf,"Future",IF(L419&lt;0,"Overpaid",IF(L419=0,"Paid",IF(AsOf&gt;J419,"Overdue",IF(K419&gt;0,"Partial","Unpaid"))))))</f>
        <v/>
      </c>
      <c r="N419" s="28">
        <f>IF(AND(V419=1,N(L419)&gt;0),AsOf-C419,"")</f>
        <v/>
      </c>
      <c r="O419" s="28">
        <f>IF(N419="","",MAX(0,AsOf-J419))</f>
        <v/>
      </c>
      <c r="P419" s="66">
        <f>IF(O419="","",IF(O419=0,"Current",IF(O419&lt;=30,"1-30",IF(O419&lt;=60,"31-60",IF(O419&lt;=90,"61-90","90+")))))</f>
        <v/>
      </c>
      <c r="Q419" s="66">
        <f>IF(T419&lt;&gt;"","⛔ "&amp;T419&amp;" — not posted",IF(U419&lt;&gt;"","⚠ "&amp;U419,IF(V419=1,"✓ OK","")))</f>
        <v/>
      </c>
      <c r="R419" s="67">
        <f>IF(AND(B419="",C419="",D419="",G419="",F419=""),1,0)</f>
        <v/>
      </c>
      <c r="S419" s="68">
        <f>IF(AND(TaxOn="Yes",ISNUMBER(H419)),H419,0)</f>
        <v/>
      </c>
      <c r="T419" s="67">
        <f>IF(R419=1,"",IF(B419="","Enter an invoice #",IF(C419="","Missing invoice date",IF(NOT(ISNUMBER(C419)),"Invalid date",IF(OR(C419&lt;DATE(2000,1,1),C419&gt;DATE(2099,12,31)),"Invalid date",IF(F419="","Select a revenue account",IF(ISNA(MATCH(F419,coa_Name,0)),"Unknown account: "&amp;F419,IF(NOT(ISNUMBER(G419)),"Enter an amount",IF(G419&lt;=0,"Amount must be positive",IF(S419&gt;G419,"Tax is larger than the amount",""))))))))))</f>
        <v/>
      </c>
      <c r="U419" s="67">
        <f>IF(OR(R419=1,T419&lt;&gt;""),"",IF(COUNTIF(ar_No,B419)&gt;1,"Duplicate invoice #",IF(D419="","Select a customer",IF(N(L419)&lt;0,"Overpaid by "&amp;TEXT(-L419,"#,##0.00"),IF(AND(ISNUMBER(H419),N(H419)&lt;&gt;0,S419=0),"Tax ignored (tax tracking is off)",IF(AND(ISNUMBER(StartDate),C419&lt;StartDate),"Date is before the accounting start date",IF(AND(IFERROR(INDEX(coa_Type,MATCH(F419,coa_Name,0)),"")&lt;&gt;"Revenue",IFERROR(INDEX(coa_Type,MATCH(F419,coa_Name,0)),"")&lt;&gt;"Other Income"),"Account is not a revenue account","")))))))</f>
        <v/>
      </c>
      <c r="V419" s="67">
        <f>IF(AND(R419=0,T419=""),1,0)</f>
        <v/>
      </c>
      <c r="W419" s="67">
        <f>IF(V419=1,acctAR,"")</f>
        <v/>
      </c>
      <c r="X419" s="67">
        <f>IF(V419=1,F419,"")</f>
        <v/>
      </c>
      <c r="Y419" s="68">
        <f>IF(V419=1,G419,0)</f>
        <v/>
      </c>
      <c r="Z419" s="68">
        <f>IF(V419=1,G419-S419,0)</f>
        <v/>
      </c>
      <c r="AA419" s="68">
        <f>IF(V419=1,S419,0)</f>
        <v/>
      </c>
    </row>
    <row r="420">
      <c r="B420" s="62" t="n"/>
      <c r="C420" s="63" t="n"/>
      <c r="D420" s="62" t="n"/>
      <c r="E420" s="62" t="n"/>
      <c r="F420" s="62" t="n"/>
      <c r="G420" s="64" t="n"/>
      <c r="H420" s="64" t="n"/>
      <c r="I420" s="63" t="n"/>
      <c r="J420" s="29">
        <f>IF(V420=1,IF(ISNUMBER(I420),I420,C420+IF(ISNUMBER(IFERROR(INDEX(cust_Terms,MATCH(D420,cust_Name,0)),"")),INDEX(cust_Terms,MATCH(D420,cust_Name,0)),TermsDays)),"")</f>
        <v/>
      </c>
      <c r="K420" s="65">
        <f>IF(V420=1,SUMIFS(tx_DrAmt,tx_Type,"Customer Payment",tx_Ref,B420&amp;"",tx_Date,"&lt;="&amp;AsOf),"")</f>
        <v/>
      </c>
      <c r="L420" s="65">
        <f>IF(V420=1,IF(C420&gt;AsOf,0,ROUND(G420-K420,2)),"")</f>
        <v/>
      </c>
      <c r="M420" s="66">
        <f>IF(V420&lt;&gt;1,"",IF(C420&gt;AsOf,"Future",IF(L420&lt;0,"Overpaid",IF(L420=0,"Paid",IF(AsOf&gt;J420,"Overdue",IF(K420&gt;0,"Partial","Unpaid"))))))</f>
        <v/>
      </c>
      <c r="N420" s="28">
        <f>IF(AND(V420=1,N(L420)&gt;0),AsOf-C420,"")</f>
        <v/>
      </c>
      <c r="O420" s="28">
        <f>IF(N420="","",MAX(0,AsOf-J420))</f>
        <v/>
      </c>
      <c r="P420" s="66">
        <f>IF(O420="","",IF(O420=0,"Current",IF(O420&lt;=30,"1-30",IF(O420&lt;=60,"31-60",IF(O420&lt;=90,"61-90","90+")))))</f>
        <v/>
      </c>
      <c r="Q420" s="66">
        <f>IF(T420&lt;&gt;"","⛔ "&amp;T420&amp;" — not posted",IF(U420&lt;&gt;"","⚠ "&amp;U420,IF(V420=1,"✓ OK","")))</f>
        <v/>
      </c>
      <c r="R420" s="67">
        <f>IF(AND(B420="",C420="",D420="",G420="",F420=""),1,0)</f>
        <v/>
      </c>
      <c r="S420" s="68">
        <f>IF(AND(TaxOn="Yes",ISNUMBER(H420)),H420,0)</f>
        <v/>
      </c>
      <c r="T420" s="67">
        <f>IF(R420=1,"",IF(B420="","Enter an invoice #",IF(C420="","Missing invoice date",IF(NOT(ISNUMBER(C420)),"Invalid date",IF(OR(C420&lt;DATE(2000,1,1),C420&gt;DATE(2099,12,31)),"Invalid date",IF(F420="","Select a revenue account",IF(ISNA(MATCH(F420,coa_Name,0)),"Unknown account: "&amp;F420,IF(NOT(ISNUMBER(G420)),"Enter an amount",IF(G420&lt;=0,"Amount must be positive",IF(S420&gt;G420,"Tax is larger than the amount",""))))))))))</f>
        <v/>
      </c>
      <c r="U420" s="67">
        <f>IF(OR(R420=1,T420&lt;&gt;""),"",IF(COUNTIF(ar_No,B420)&gt;1,"Duplicate invoice #",IF(D420="","Select a customer",IF(N(L420)&lt;0,"Overpaid by "&amp;TEXT(-L420,"#,##0.00"),IF(AND(ISNUMBER(H420),N(H420)&lt;&gt;0,S420=0),"Tax ignored (tax tracking is off)",IF(AND(ISNUMBER(StartDate),C420&lt;StartDate),"Date is before the accounting start date",IF(AND(IFERROR(INDEX(coa_Type,MATCH(F420,coa_Name,0)),"")&lt;&gt;"Revenue",IFERROR(INDEX(coa_Type,MATCH(F420,coa_Name,0)),"")&lt;&gt;"Other Income"),"Account is not a revenue account","")))))))</f>
        <v/>
      </c>
      <c r="V420" s="67">
        <f>IF(AND(R420=0,T420=""),1,0)</f>
        <v/>
      </c>
      <c r="W420" s="67">
        <f>IF(V420=1,acctAR,"")</f>
        <v/>
      </c>
      <c r="X420" s="67">
        <f>IF(V420=1,F420,"")</f>
        <v/>
      </c>
      <c r="Y420" s="68">
        <f>IF(V420=1,G420,0)</f>
        <v/>
      </c>
      <c r="Z420" s="68">
        <f>IF(V420=1,G420-S420,0)</f>
        <v/>
      </c>
      <c r="AA420" s="68">
        <f>IF(V420=1,S420,0)</f>
        <v/>
      </c>
    </row>
    <row r="421">
      <c r="B421" s="62" t="n"/>
      <c r="C421" s="63" t="n"/>
      <c r="D421" s="62" t="n"/>
      <c r="E421" s="62" t="n"/>
      <c r="F421" s="62" t="n"/>
      <c r="G421" s="64" t="n"/>
      <c r="H421" s="64" t="n"/>
      <c r="I421" s="63" t="n"/>
      <c r="J421" s="29">
        <f>IF(V421=1,IF(ISNUMBER(I421),I421,C421+IF(ISNUMBER(IFERROR(INDEX(cust_Terms,MATCH(D421,cust_Name,0)),"")),INDEX(cust_Terms,MATCH(D421,cust_Name,0)),TermsDays)),"")</f>
        <v/>
      </c>
      <c r="K421" s="65">
        <f>IF(V421=1,SUMIFS(tx_DrAmt,tx_Type,"Customer Payment",tx_Ref,B421&amp;"",tx_Date,"&lt;="&amp;AsOf),"")</f>
        <v/>
      </c>
      <c r="L421" s="65">
        <f>IF(V421=1,IF(C421&gt;AsOf,0,ROUND(G421-K421,2)),"")</f>
        <v/>
      </c>
      <c r="M421" s="66">
        <f>IF(V421&lt;&gt;1,"",IF(C421&gt;AsOf,"Future",IF(L421&lt;0,"Overpaid",IF(L421=0,"Paid",IF(AsOf&gt;J421,"Overdue",IF(K421&gt;0,"Partial","Unpaid"))))))</f>
        <v/>
      </c>
      <c r="N421" s="28">
        <f>IF(AND(V421=1,N(L421)&gt;0),AsOf-C421,"")</f>
        <v/>
      </c>
      <c r="O421" s="28">
        <f>IF(N421="","",MAX(0,AsOf-J421))</f>
        <v/>
      </c>
      <c r="P421" s="66">
        <f>IF(O421="","",IF(O421=0,"Current",IF(O421&lt;=30,"1-30",IF(O421&lt;=60,"31-60",IF(O421&lt;=90,"61-90","90+")))))</f>
        <v/>
      </c>
      <c r="Q421" s="66">
        <f>IF(T421&lt;&gt;"","⛔ "&amp;T421&amp;" — not posted",IF(U421&lt;&gt;"","⚠ "&amp;U421,IF(V421=1,"✓ OK","")))</f>
        <v/>
      </c>
      <c r="R421" s="67">
        <f>IF(AND(B421="",C421="",D421="",G421="",F421=""),1,0)</f>
        <v/>
      </c>
      <c r="S421" s="68">
        <f>IF(AND(TaxOn="Yes",ISNUMBER(H421)),H421,0)</f>
        <v/>
      </c>
      <c r="T421" s="67">
        <f>IF(R421=1,"",IF(B421="","Enter an invoice #",IF(C421="","Missing invoice date",IF(NOT(ISNUMBER(C421)),"Invalid date",IF(OR(C421&lt;DATE(2000,1,1),C421&gt;DATE(2099,12,31)),"Invalid date",IF(F421="","Select a revenue account",IF(ISNA(MATCH(F421,coa_Name,0)),"Unknown account: "&amp;F421,IF(NOT(ISNUMBER(G421)),"Enter an amount",IF(G421&lt;=0,"Amount must be positive",IF(S421&gt;G421,"Tax is larger than the amount",""))))))))))</f>
        <v/>
      </c>
      <c r="U421" s="67">
        <f>IF(OR(R421=1,T421&lt;&gt;""),"",IF(COUNTIF(ar_No,B421)&gt;1,"Duplicate invoice #",IF(D421="","Select a customer",IF(N(L421)&lt;0,"Overpaid by "&amp;TEXT(-L421,"#,##0.00"),IF(AND(ISNUMBER(H421),N(H421)&lt;&gt;0,S421=0),"Tax ignored (tax tracking is off)",IF(AND(ISNUMBER(StartDate),C421&lt;StartDate),"Date is before the accounting start date",IF(AND(IFERROR(INDEX(coa_Type,MATCH(F421,coa_Name,0)),"")&lt;&gt;"Revenue",IFERROR(INDEX(coa_Type,MATCH(F421,coa_Name,0)),"")&lt;&gt;"Other Income"),"Account is not a revenue account","")))))))</f>
        <v/>
      </c>
      <c r="V421" s="67">
        <f>IF(AND(R421=0,T421=""),1,0)</f>
        <v/>
      </c>
      <c r="W421" s="67">
        <f>IF(V421=1,acctAR,"")</f>
        <v/>
      </c>
      <c r="X421" s="67">
        <f>IF(V421=1,F421,"")</f>
        <v/>
      </c>
      <c r="Y421" s="68">
        <f>IF(V421=1,G421,0)</f>
        <v/>
      </c>
      <c r="Z421" s="68">
        <f>IF(V421=1,G421-S421,0)</f>
        <v/>
      </c>
      <c r="AA421" s="68">
        <f>IF(V421=1,S421,0)</f>
        <v/>
      </c>
    </row>
    <row r="422">
      <c r="B422" s="62" t="n"/>
      <c r="C422" s="63" t="n"/>
      <c r="D422" s="62" t="n"/>
      <c r="E422" s="62" t="n"/>
      <c r="F422" s="62" t="n"/>
      <c r="G422" s="64" t="n"/>
      <c r="H422" s="64" t="n"/>
      <c r="I422" s="63" t="n"/>
      <c r="J422" s="29">
        <f>IF(V422=1,IF(ISNUMBER(I422),I422,C422+IF(ISNUMBER(IFERROR(INDEX(cust_Terms,MATCH(D422,cust_Name,0)),"")),INDEX(cust_Terms,MATCH(D422,cust_Name,0)),TermsDays)),"")</f>
        <v/>
      </c>
      <c r="K422" s="65">
        <f>IF(V422=1,SUMIFS(tx_DrAmt,tx_Type,"Customer Payment",tx_Ref,B422&amp;"",tx_Date,"&lt;="&amp;AsOf),"")</f>
        <v/>
      </c>
      <c r="L422" s="65">
        <f>IF(V422=1,IF(C422&gt;AsOf,0,ROUND(G422-K422,2)),"")</f>
        <v/>
      </c>
      <c r="M422" s="66">
        <f>IF(V422&lt;&gt;1,"",IF(C422&gt;AsOf,"Future",IF(L422&lt;0,"Overpaid",IF(L422=0,"Paid",IF(AsOf&gt;J422,"Overdue",IF(K422&gt;0,"Partial","Unpaid"))))))</f>
        <v/>
      </c>
      <c r="N422" s="28">
        <f>IF(AND(V422=1,N(L422)&gt;0),AsOf-C422,"")</f>
        <v/>
      </c>
      <c r="O422" s="28">
        <f>IF(N422="","",MAX(0,AsOf-J422))</f>
        <v/>
      </c>
      <c r="P422" s="66">
        <f>IF(O422="","",IF(O422=0,"Current",IF(O422&lt;=30,"1-30",IF(O422&lt;=60,"31-60",IF(O422&lt;=90,"61-90","90+")))))</f>
        <v/>
      </c>
      <c r="Q422" s="66">
        <f>IF(T422&lt;&gt;"","⛔ "&amp;T422&amp;" — not posted",IF(U422&lt;&gt;"","⚠ "&amp;U422,IF(V422=1,"✓ OK","")))</f>
        <v/>
      </c>
      <c r="R422" s="67">
        <f>IF(AND(B422="",C422="",D422="",G422="",F422=""),1,0)</f>
        <v/>
      </c>
      <c r="S422" s="68">
        <f>IF(AND(TaxOn="Yes",ISNUMBER(H422)),H422,0)</f>
        <v/>
      </c>
      <c r="T422" s="67">
        <f>IF(R422=1,"",IF(B422="","Enter an invoice #",IF(C422="","Missing invoice date",IF(NOT(ISNUMBER(C422)),"Invalid date",IF(OR(C422&lt;DATE(2000,1,1),C422&gt;DATE(2099,12,31)),"Invalid date",IF(F422="","Select a revenue account",IF(ISNA(MATCH(F422,coa_Name,0)),"Unknown account: "&amp;F422,IF(NOT(ISNUMBER(G422)),"Enter an amount",IF(G422&lt;=0,"Amount must be positive",IF(S422&gt;G422,"Tax is larger than the amount",""))))))))))</f>
        <v/>
      </c>
      <c r="U422" s="67">
        <f>IF(OR(R422=1,T422&lt;&gt;""),"",IF(COUNTIF(ar_No,B422)&gt;1,"Duplicate invoice #",IF(D422="","Select a customer",IF(N(L422)&lt;0,"Overpaid by "&amp;TEXT(-L422,"#,##0.00"),IF(AND(ISNUMBER(H422),N(H422)&lt;&gt;0,S422=0),"Tax ignored (tax tracking is off)",IF(AND(ISNUMBER(StartDate),C422&lt;StartDate),"Date is before the accounting start date",IF(AND(IFERROR(INDEX(coa_Type,MATCH(F422,coa_Name,0)),"")&lt;&gt;"Revenue",IFERROR(INDEX(coa_Type,MATCH(F422,coa_Name,0)),"")&lt;&gt;"Other Income"),"Account is not a revenue account","")))))))</f>
        <v/>
      </c>
      <c r="V422" s="67">
        <f>IF(AND(R422=0,T422=""),1,0)</f>
        <v/>
      </c>
      <c r="W422" s="67">
        <f>IF(V422=1,acctAR,"")</f>
        <v/>
      </c>
      <c r="X422" s="67">
        <f>IF(V422=1,F422,"")</f>
        <v/>
      </c>
      <c r="Y422" s="68">
        <f>IF(V422=1,G422,0)</f>
        <v/>
      </c>
      <c r="Z422" s="68">
        <f>IF(V422=1,G422-S422,0)</f>
        <v/>
      </c>
      <c r="AA422" s="68">
        <f>IF(V422=1,S422,0)</f>
        <v/>
      </c>
    </row>
    <row r="423">
      <c r="B423" s="62" t="n"/>
      <c r="C423" s="63" t="n"/>
      <c r="D423" s="62" t="n"/>
      <c r="E423" s="62" t="n"/>
      <c r="F423" s="62" t="n"/>
      <c r="G423" s="64" t="n"/>
      <c r="H423" s="64" t="n"/>
      <c r="I423" s="63" t="n"/>
      <c r="J423" s="29">
        <f>IF(V423=1,IF(ISNUMBER(I423),I423,C423+IF(ISNUMBER(IFERROR(INDEX(cust_Terms,MATCH(D423,cust_Name,0)),"")),INDEX(cust_Terms,MATCH(D423,cust_Name,0)),TermsDays)),"")</f>
        <v/>
      </c>
      <c r="K423" s="65">
        <f>IF(V423=1,SUMIFS(tx_DrAmt,tx_Type,"Customer Payment",tx_Ref,B423&amp;"",tx_Date,"&lt;="&amp;AsOf),"")</f>
        <v/>
      </c>
      <c r="L423" s="65">
        <f>IF(V423=1,IF(C423&gt;AsOf,0,ROUND(G423-K423,2)),"")</f>
        <v/>
      </c>
      <c r="M423" s="66">
        <f>IF(V423&lt;&gt;1,"",IF(C423&gt;AsOf,"Future",IF(L423&lt;0,"Overpaid",IF(L423=0,"Paid",IF(AsOf&gt;J423,"Overdue",IF(K423&gt;0,"Partial","Unpaid"))))))</f>
        <v/>
      </c>
      <c r="N423" s="28">
        <f>IF(AND(V423=1,N(L423)&gt;0),AsOf-C423,"")</f>
        <v/>
      </c>
      <c r="O423" s="28">
        <f>IF(N423="","",MAX(0,AsOf-J423))</f>
        <v/>
      </c>
      <c r="P423" s="66">
        <f>IF(O423="","",IF(O423=0,"Current",IF(O423&lt;=30,"1-30",IF(O423&lt;=60,"31-60",IF(O423&lt;=90,"61-90","90+")))))</f>
        <v/>
      </c>
      <c r="Q423" s="66">
        <f>IF(T423&lt;&gt;"","⛔ "&amp;T423&amp;" — not posted",IF(U423&lt;&gt;"","⚠ "&amp;U423,IF(V423=1,"✓ OK","")))</f>
        <v/>
      </c>
      <c r="R423" s="67">
        <f>IF(AND(B423="",C423="",D423="",G423="",F423=""),1,0)</f>
        <v/>
      </c>
      <c r="S423" s="68">
        <f>IF(AND(TaxOn="Yes",ISNUMBER(H423)),H423,0)</f>
        <v/>
      </c>
      <c r="T423" s="67">
        <f>IF(R423=1,"",IF(B423="","Enter an invoice #",IF(C423="","Missing invoice date",IF(NOT(ISNUMBER(C423)),"Invalid date",IF(OR(C423&lt;DATE(2000,1,1),C423&gt;DATE(2099,12,31)),"Invalid date",IF(F423="","Select a revenue account",IF(ISNA(MATCH(F423,coa_Name,0)),"Unknown account: "&amp;F423,IF(NOT(ISNUMBER(G423)),"Enter an amount",IF(G423&lt;=0,"Amount must be positive",IF(S423&gt;G423,"Tax is larger than the amount",""))))))))))</f>
        <v/>
      </c>
      <c r="U423" s="67">
        <f>IF(OR(R423=1,T423&lt;&gt;""),"",IF(COUNTIF(ar_No,B423)&gt;1,"Duplicate invoice #",IF(D423="","Select a customer",IF(N(L423)&lt;0,"Overpaid by "&amp;TEXT(-L423,"#,##0.00"),IF(AND(ISNUMBER(H423),N(H423)&lt;&gt;0,S423=0),"Tax ignored (tax tracking is off)",IF(AND(ISNUMBER(StartDate),C423&lt;StartDate),"Date is before the accounting start date",IF(AND(IFERROR(INDEX(coa_Type,MATCH(F423,coa_Name,0)),"")&lt;&gt;"Revenue",IFERROR(INDEX(coa_Type,MATCH(F423,coa_Name,0)),"")&lt;&gt;"Other Income"),"Account is not a revenue account","")))))))</f>
        <v/>
      </c>
      <c r="V423" s="67">
        <f>IF(AND(R423=0,T423=""),1,0)</f>
        <v/>
      </c>
      <c r="W423" s="67">
        <f>IF(V423=1,acctAR,"")</f>
        <v/>
      </c>
      <c r="X423" s="67">
        <f>IF(V423=1,F423,"")</f>
        <v/>
      </c>
      <c r="Y423" s="68">
        <f>IF(V423=1,G423,0)</f>
        <v/>
      </c>
      <c r="Z423" s="68">
        <f>IF(V423=1,G423-S423,0)</f>
        <v/>
      </c>
      <c r="AA423" s="68">
        <f>IF(V423=1,S423,0)</f>
        <v/>
      </c>
    </row>
    <row r="424">
      <c r="B424" s="62" t="n"/>
      <c r="C424" s="63" t="n"/>
      <c r="D424" s="62" t="n"/>
      <c r="E424" s="62" t="n"/>
      <c r="F424" s="62" t="n"/>
      <c r="G424" s="64" t="n"/>
      <c r="H424" s="64" t="n"/>
      <c r="I424" s="63" t="n"/>
      <c r="J424" s="29">
        <f>IF(V424=1,IF(ISNUMBER(I424),I424,C424+IF(ISNUMBER(IFERROR(INDEX(cust_Terms,MATCH(D424,cust_Name,0)),"")),INDEX(cust_Terms,MATCH(D424,cust_Name,0)),TermsDays)),"")</f>
        <v/>
      </c>
      <c r="K424" s="65">
        <f>IF(V424=1,SUMIFS(tx_DrAmt,tx_Type,"Customer Payment",tx_Ref,B424&amp;"",tx_Date,"&lt;="&amp;AsOf),"")</f>
        <v/>
      </c>
      <c r="L424" s="65">
        <f>IF(V424=1,IF(C424&gt;AsOf,0,ROUND(G424-K424,2)),"")</f>
        <v/>
      </c>
      <c r="M424" s="66">
        <f>IF(V424&lt;&gt;1,"",IF(C424&gt;AsOf,"Future",IF(L424&lt;0,"Overpaid",IF(L424=0,"Paid",IF(AsOf&gt;J424,"Overdue",IF(K424&gt;0,"Partial","Unpaid"))))))</f>
        <v/>
      </c>
      <c r="N424" s="28">
        <f>IF(AND(V424=1,N(L424)&gt;0),AsOf-C424,"")</f>
        <v/>
      </c>
      <c r="O424" s="28">
        <f>IF(N424="","",MAX(0,AsOf-J424))</f>
        <v/>
      </c>
      <c r="P424" s="66">
        <f>IF(O424="","",IF(O424=0,"Current",IF(O424&lt;=30,"1-30",IF(O424&lt;=60,"31-60",IF(O424&lt;=90,"61-90","90+")))))</f>
        <v/>
      </c>
      <c r="Q424" s="66">
        <f>IF(T424&lt;&gt;"","⛔ "&amp;T424&amp;" — not posted",IF(U424&lt;&gt;"","⚠ "&amp;U424,IF(V424=1,"✓ OK","")))</f>
        <v/>
      </c>
      <c r="R424" s="67">
        <f>IF(AND(B424="",C424="",D424="",G424="",F424=""),1,0)</f>
        <v/>
      </c>
      <c r="S424" s="68">
        <f>IF(AND(TaxOn="Yes",ISNUMBER(H424)),H424,0)</f>
        <v/>
      </c>
      <c r="T424" s="67">
        <f>IF(R424=1,"",IF(B424="","Enter an invoice #",IF(C424="","Missing invoice date",IF(NOT(ISNUMBER(C424)),"Invalid date",IF(OR(C424&lt;DATE(2000,1,1),C424&gt;DATE(2099,12,31)),"Invalid date",IF(F424="","Select a revenue account",IF(ISNA(MATCH(F424,coa_Name,0)),"Unknown account: "&amp;F424,IF(NOT(ISNUMBER(G424)),"Enter an amount",IF(G424&lt;=0,"Amount must be positive",IF(S424&gt;G424,"Tax is larger than the amount",""))))))))))</f>
        <v/>
      </c>
      <c r="U424" s="67">
        <f>IF(OR(R424=1,T424&lt;&gt;""),"",IF(COUNTIF(ar_No,B424)&gt;1,"Duplicate invoice #",IF(D424="","Select a customer",IF(N(L424)&lt;0,"Overpaid by "&amp;TEXT(-L424,"#,##0.00"),IF(AND(ISNUMBER(H424),N(H424)&lt;&gt;0,S424=0),"Tax ignored (tax tracking is off)",IF(AND(ISNUMBER(StartDate),C424&lt;StartDate),"Date is before the accounting start date",IF(AND(IFERROR(INDEX(coa_Type,MATCH(F424,coa_Name,0)),"")&lt;&gt;"Revenue",IFERROR(INDEX(coa_Type,MATCH(F424,coa_Name,0)),"")&lt;&gt;"Other Income"),"Account is not a revenue account","")))))))</f>
        <v/>
      </c>
      <c r="V424" s="67">
        <f>IF(AND(R424=0,T424=""),1,0)</f>
        <v/>
      </c>
      <c r="W424" s="67">
        <f>IF(V424=1,acctAR,"")</f>
        <v/>
      </c>
      <c r="X424" s="67">
        <f>IF(V424=1,F424,"")</f>
        <v/>
      </c>
      <c r="Y424" s="68">
        <f>IF(V424=1,G424,0)</f>
        <v/>
      </c>
      <c r="Z424" s="68">
        <f>IF(V424=1,G424-S424,0)</f>
        <v/>
      </c>
      <c r="AA424" s="68">
        <f>IF(V424=1,S424,0)</f>
        <v/>
      </c>
    </row>
    <row r="425">
      <c r="B425" s="62" t="n"/>
      <c r="C425" s="63" t="n"/>
      <c r="D425" s="62" t="n"/>
      <c r="E425" s="62" t="n"/>
      <c r="F425" s="62" t="n"/>
      <c r="G425" s="64" t="n"/>
      <c r="H425" s="64" t="n"/>
      <c r="I425" s="63" t="n"/>
      <c r="J425" s="29">
        <f>IF(V425=1,IF(ISNUMBER(I425),I425,C425+IF(ISNUMBER(IFERROR(INDEX(cust_Terms,MATCH(D425,cust_Name,0)),"")),INDEX(cust_Terms,MATCH(D425,cust_Name,0)),TermsDays)),"")</f>
        <v/>
      </c>
      <c r="K425" s="65">
        <f>IF(V425=1,SUMIFS(tx_DrAmt,tx_Type,"Customer Payment",tx_Ref,B425&amp;"",tx_Date,"&lt;="&amp;AsOf),"")</f>
        <v/>
      </c>
      <c r="L425" s="65">
        <f>IF(V425=1,IF(C425&gt;AsOf,0,ROUND(G425-K425,2)),"")</f>
        <v/>
      </c>
      <c r="M425" s="66">
        <f>IF(V425&lt;&gt;1,"",IF(C425&gt;AsOf,"Future",IF(L425&lt;0,"Overpaid",IF(L425=0,"Paid",IF(AsOf&gt;J425,"Overdue",IF(K425&gt;0,"Partial","Unpaid"))))))</f>
        <v/>
      </c>
      <c r="N425" s="28">
        <f>IF(AND(V425=1,N(L425)&gt;0),AsOf-C425,"")</f>
        <v/>
      </c>
      <c r="O425" s="28">
        <f>IF(N425="","",MAX(0,AsOf-J425))</f>
        <v/>
      </c>
      <c r="P425" s="66">
        <f>IF(O425="","",IF(O425=0,"Current",IF(O425&lt;=30,"1-30",IF(O425&lt;=60,"31-60",IF(O425&lt;=90,"61-90","90+")))))</f>
        <v/>
      </c>
      <c r="Q425" s="66">
        <f>IF(T425&lt;&gt;"","⛔ "&amp;T425&amp;" — not posted",IF(U425&lt;&gt;"","⚠ "&amp;U425,IF(V425=1,"✓ OK","")))</f>
        <v/>
      </c>
      <c r="R425" s="67">
        <f>IF(AND(B425="",C425="",D425="",G425="",F425=""),1,0)</f>
        <v/>
      </c>
      <c r="S425" s="68">
        <f>IF(AND(TaxOn="Yes",ISNUMBER(H425)),H425,0)</f>
        <v/>
      </c>
      <c r="T425" s="67">
        <f>IF(R425=1,"",IF(B425="","Enter an invoice #",IF(C425="","Missing invoice date",IF(NOT(ISNUMBER(C425)),"Invalid date",IF(OR(C425&lt;DATE(2000,1,1),C425&gt;DATE(2099,12,31)),"Invalid date",IF(F425="","Select a revenue account",IF(ISNA(MATCH(F425,coa_Name,0)),"Unknown account: "&amp;F425,IF(NOT(ISNUMBER(G425)),"Enter an amount",IF(G425&lt;=0,"Amount must be positive",IF(S425&gt;G425,"Tax is larger than the amount",""))))))))))</f>
        <v/>
      </c>
      <c r="U425" s="67">
        <f>IF(OR(R425=1,T425&lt;&gt;""),"",IF(COUNTIF(ar_No,B425)&gt;1,"Duplicate invoice #",IF(D425="","Select a customer",IF(N(L425)&lt;0,"Overpaid by "&amp;TEXT(-L425,"#,##0.00"),IF(AND(ISNUMBER(H425),N(H425)&lt;&gt;0,S425=0),"Tax ignored (tax tracking is off)",IF(AND(ISNUMBER(StartDate),C425&lt;StartDate),"Date is before the accounting start date",IF(AND(IFERROR(INDEX(coa_Type,MATCH(F425,coa_Name,0)),"")&lt;&gt;"Revenue",IFERROR(INDEX(coa_Type,MATCH(F425,coa_Name,0)),"")&lt;&gt;"Other Income"),"Account is not a revenue account","")))))))</f>
        <v/>
      </c>
      <c r="V425" s="67">
        <f>IF(AND(R425=0,T425=""),1,0)</f>
        <v/>
      </c>
      <c r="W425" s="67">
        <f>IF(V425=1,acctAR,"")</f>
        <v/>
      </c>
      <c r="X425" s="67">
        <f>IF(V425=1,F425,"")</f>
        <v/>
      </c>
      <c r="Y425" s="68">
        <f>IF(V425=1,G425,0)</f>
        <v/>
      </c>
      <c r="Z425" s="68">
        <f>IF(V425=1,G425-S425,0)</f>
        <v/>
      </c>
      <c r="AA425" s="68">
        <f>IF(V425=1,S425,0)</f>
        <v/>
      </c>
    </row>
    <row r="426">
      <c r="B426" s="62" t="n"/>
      <c r="C426" s="63" t="n"/>
      <c r="D426" s="62" t="n"/>
      <c r="E426" s="62" t="n"/>
      <c r="F426" s="62" t="n"/>
      <c r="G426" s="64" t="n"/>
      <c r="H426" s="64" t="n"/>
      <c r="I426" s="63" t="n"/>
      <c r="J426" s="29">
        <f>IF(V426=1,IF(ISNUMBER(I426),I426,C426+IF(ISNUMBER(IFERROR(INDEX(cust_Terms,MATCH(D426,cust_Name,0)),"")),INDEX(cust_Terms,MATCH(D426,cust_Name,0)),TermsDays)),"")</f>
        <v/>
      </c>
      <c r="K426" s="65">
        <f>IF(V426=1,SUMIFS(tx_DrAmt,tx_Type,"Customer Payment",tx_Ref,B426&amp;"",tx_Date,"&lt;="&amp;AsOf),"")</f>
        <v/>
      </c>
      <c r="L426" s="65">
        <f>IF(V426=1,IF(C426&gt;AsOf,0,ROUND(G426-K426,2)),"")</f>
        <v/>
      </c>
      <c r="M426" s="66">
        <f>IF(V426&lt;&gt;1,"",IF(C426&gt;AsOf,"Future",IF(L426&lt;0,"Overpaid",IF(L426=0,"Paid",IF(AsOf&gt;J426,"Overdue",IF(K426&gt;0,"Partial","Unpaid"))))))</f>
        <v/>
      </c>
      <c r="N426" s="28">
        <f>IF(AND(V426=1,N(L426)&gt;0),AsOf-C426,"")</f>
        <v/>
      </c>
      <c r="O426" s="28">
        <f>IF(N426="","",MAX(0,AsOf-J426))</f>
        <v/>
      </c>
      <c r="P426" s="66">
        <f>IF(O426="","",IF(O426=0,"Current",IF(O426&lt;=30,"1-30",IF(O426&lt;=60,"31-60",IF(O426&lt;=90,"61-90","90+")))))</f>
        <v/>
      </c>
      <c r="Q426" s="66">
        <f>IF(T426&lt;&gt;"","⛔ "&amp;T426&amp;" — not posted",IF(U426&lt;&gt;"","⚠ "&amp;U426,IF(V426=1,"✓ OK","")))</f>
        <v/>
      </c>
      <c r="R426" s="67">
        <f>IF(AND(B426="",C426="",D426="",G426="",F426=""),1,0)</f>
        <v/>
      </c>
      <c r="S426" s="68">
        <f>IF(AND(TaxOn="Yes",ISNUMBER(H426)),H426,0)</f>
        <v/>
      </c>
      <c r="T426" s="67">
        <f>IF(R426=1,"",IF(B426="","Enter an invoice #",IF(C426="","Missing invoice date",IF(NOT(ISNUMBER(C426)),"Invalid date",IF(OR(C426&lt;DATE(2000,1,1),C426&gt;DATE(2099,12,31)),"Invalid date",IF(F426="","Select a revenue account",IF(ISNA(MATCH(F426,coa_Name,0)),"Unknown account: "&amp;F426,IF(NOT(ISNUMBER(G426)),"Enter an amount",IF(G426&lt;=0,"Amount must be positive",IF(S426&gt;G426,"Tax is larger than the amount",""))))))))))</f>
        <v/>
      </c>
      <c r="U426" s="67">
        <f>IF(OR(R426=1,T426&lt;&gt;""),"",IF(COUNTIF(ar_No,B426)&gt;1,"Duplicate invoice #",IF(D426="","Select a customer",IF(N(L426)&lt;0,"Overpaid by "&amp;TEXT(-L426,"#,##0.00"),IF(AND(ISNUMBER(H426),N(H426)&lt;&gt;0,S426=0),"Tax ignored (tax tracking is off)",IF(AND(ISNUMBER(StartDate),C426&lt;StartDate),"Date is before the accounting start date",IF(AND(IFERROR(INDEX(coa_Type,MATCH(F426,coa_Name,0)),"")&lt;&gt;"Revenue",IFERROR(INDEX(coa_Type,MATCH(F426,coa_Name,0)),"")&lt;&gt;"Other Income"),"Account is not a revenue account","")))))))</f>
        <v/>
      </c>
      <c r="V426" s="67">
        <f>IF(AND(R426=0,T426=""),1,0)</f>
        <v/>
      </c>
      <c r="W426" s="67">
        <f>IF(V426=1,acctAR,"")</f>
        <v/>
      </c>
      <c r="X426" s="67">
        <f>IF(V426=1,F426,"")</f>
        <v/>
      </c>
      <c r="Y426" s="68">
        <f>IF(V426=1,G426,0)</f>
        <v/>
      </c>
      <c r="Z426" s="68">
        <f>IF(V426=1,G426-S426,0)</f>
        <v/>
      </c>
      <c r="AA426" s="68">
        <f>IF(V426=1,S426,0)</f>
        <v/>
      </c>
    </row>
    <row r="427">
      <c r="B427" s="62" t="n"/>
      <c r="C427" s="63" t="n"/>
      <c r="D427" s="62" t="n"/>
      <c r="E427" s="62" t="n"/>
      <c r="F427" s="62" t="n"/>
      <c r="G427" s="64" t="n"/>
      <c r="H427" s="64" t="n"/>
      <c r="I427" s="63" t="n"/>
      <c r="J427" s="29">
        <f>IF(V427=1,IF(ISNUMBER(I427),I427,C427+IF(ISNUMBER(IFERROR(INDEX(cust_Terms,MATCH(D427,cust_Name,0)),"")),INDEX(cust_Terms,MATCH(D427,cust_Name,0)),TermsDays)),"")</f>
        <v/>
      </c>
      <c r="K427" s="65">
        <f>IF(V427=1,SUMIFS(tx_DrAmt,tx_Type,"Customer Payment",tx_Ref,B427&amp;"",tx_Date,"&lt;="&amp;AsOf),"")</f>
        <v/>
      </c>
      <c r="L427" s="65">
        <f>IF(V427=1,IF(C427&gt;AsOf,0,ROUND(G427-K427,2)),"")</f>
        <v/>
      </c>
      <c r="M427" s="66">
        <f>IF(V427&lt;&gt;1,"",IF(C427&gt;AsOf,"Future",IF(L427&lt;0,"Overpaid",IF(L427=0,"Paid",IF(AsOf&gt;J427,"Overdue",IF(K427&gt;0,"Partial","Unpaid"))))))</f>
        <v/>
      </c>
      <c r="N427" s="28">
        <f>IF(AND(V427=1,N(L427)&gt;0),AsOf-C427,"")</f>
        <v/>
      </c>
      <c r="O427" s="28">
        <f>IF(N427="","",MAX(0,AsOf-J427))</f>
        <v/>
      </c>
      <c r="P427" s="66">
        <f>IF(O427="","",IF(O427=0,"Current",IF(O427&lt;=30,"1-30",IF(O427&lt;=60,"31-60",IF(O427&lt;=90,"61-90","90+")))))</f>
        <v/>
      </c>
      <c r="Q427" s="66">
        <f>IF(T427&lt;&gt;"","⛔ "&amp;T427&amp;" — not posted",IF(U427&lt;&gt;"","⚠ "&amp;U427,IF(V427=1,"✓ OK","")))</f>
        <v/>
      </c>
      <c r="R427" s="67">
        <f>IF(AND(B427="",C427="",D427="",G427="",F427=""),1,0)</f>
        <v/>
      </c>
      <c r="S427" s="68">
        <f>IF(AND(TaxOn="Yes",ISNUMBER(H427)),H427,0)</f>
        <v/>
      </c>
      <c r="T427" s="67">
        <f>IF(R427=1,"",IF(B427="","Enter an invoice #",IF(C427="","Missing invoice date",IF(NOT(ISNUMBER(C427)),"Invalid date",IF(OR(C427&lt;DATE(2000,1,1),C427&gt;DATE(2099,12,31)),"Invalid date",IF(F427="","Select a revenue account",IF(ISNA(MATCH(F427,coa_Name,0)),"Unknown account: "&amp;F427,IF(NOT(ISNUMBER(G427)),"Enter an amount",IF(G427&lt;=0,"Amount must be positive",IF(S427&gt;G427,"Tax is larger than the amount",""))))))))))</f>
        <v/>
      </c>
      <c r="U427" s="67">
        <f>IF(OR(R427=1,T427&lt;&gt;""),"",IF(COUNTIF(ar_No,B427)&gt;1,"Duplicate invoice #",IF(D427="","Select a customer",IF(N(L427)&lt;0,"Overpaid by "&amp;TEXT(-L427,"#,##0.00"),IF(AND(ISNUMBER(H427),N(H427)&lt;&gt;0,S427=0),"Tax ignored (tax tracking is off)",IF(AND(ISNUMBER(StartDate),C427&lt;StartDate),"Date is before the accounting start date",IF(AND(IFERROR(INDEX(coa_Type,MATCH(F427,coa_Name,0)),"")&lt;&gt;"Revenue",IFERROR(INDEX(coa_Type,MATCH(F427,coa_Name,0)),"")&lt;&gt;"Other Income"),"Account is not a revenue account","")))))))</f>
        <v/>
      </c>
      <c r="V427" s="67">
        <f>IF(AND(R427=0,T427=""),1,0)</f>
        <v/>
      </c>
      <c r="W427" s="67">
        <f>IF(V427=1,acctAR,"")</f>
        <v/>
      </c>
      <c r="X427" s="67">
        <f>IF(V427=1,F427,"")</f>
        <v/>
      </c>
      <c r="Y427" s="68">
        <f>IF(V427=1,G427,0)</f>
        <v/>
      </c>
      <c r="Z427" s="68">
        <f>IF(V427=1,G427-S427,0)</f>
        <v/>
      </c>
      <c r="AA427" s="68">
        <f>IF(V427=1,S427,0)</f>
        <v/>
      </c>
    </row>
    <row r="428">
      <c r="B428" s="62" t="n"/>
      <c r="C428" s="63" t="n"/>
      <c r="D428" s="62" t="n"/>
      <c r="E428" s="62" t="n"/>
      <c r="F428" s="62" t="n"/>
      <c r="G428" s="64" t="n"/>
      <c r="H428" s="64" t="n"/>
      <c r="I428" s="63" t="n"/>
      <c r="J428" s="29">
        <f>IF(V428=1,IF(ISNUMBER(I428),I428,C428+IF(ISNUMBER(IFERROR(INDEX(cust_Terms,MATCH(D428,cust_Name,0)),"")),INDEX(cust_Terms,MATCH(D428,cust_Name,0)),TermsDays)),"")</f>
        <v/>
      </c>
      <c r="K428" s="65">
        <f>IF(V428=1,SUMIFS(tx_DrAmt,tx_Type,"Customer Payment",tx_Ref,B428&amp;"",tx_Date,"&lt;="&amp;AsOf),"")</f>
        <v/>
      </c>
      <c r="L428" s="65">
        <f>IF(V428=1,IF(C428&gt;AsOf,0,ROUND(G428-K428,2)),"")</f>
        <v/>
      </c>
      <c r="M428" s="66">
        <f>IF(V428&lt;&gt;1,"",IF(C428&gt;AsOf,"Future",IF(L428&lt;0,"Overpaid",IF(L428=0,"Paid",IF(AsOf&gt;J428,"Overdue",IF(K428&gt;0,"Partial","Unpaid"))))))</f>
        <v/>
      </c>
      <c r="N428" s="28">
        <f>IF(AND(V428=1,N(L428)&gt;0),AsOf-C428,"")</f>
        <v/>
      </c>
      <c r="O428" s="28">
        <f>IF(N428="","",MAX(0,AsOf-J428))</f>
        <v/>
      </c>
      <c r="P428" s="66">
        <f>IF(O428="","",IF(O428=0,"Current",IF(O428&lt;=30,"1-30",IF(O428&lt;=60,"31-60",IF(O428&lt;=90,"61-90","90+")))))</f>
        <v/>
      </c>
      <c r="Q428" s="66">
        <f>IF(T428&lt;&gt;"","⛔ "&amp;T428&amp;" — not posted",IF(U428&lt;&gt;"","⚠ "&amp;U428,IF(V428=1,"✓ OK","")))</f>
        <v/>
      </c>
      <c r="R428" s="67">
        <f>IF(AND(B428="",C428="",D428="",G428="",F428=""),1,0)</f>
        <v/>
      </c>
      <c r="S428" s="68">
        <f>IF(AND(TaxOn="Yes",ISNUMBER(H428)),H428,0)</f>
        <v/>
      </c>
      <c r="T428" s="67">
        <f>IF(R428=1,"",IF(B428="","Enter an invoice #",IF(C428="","Missing invoice date",IF(NOT(ISNUMBER(C428)),"Invalid date",IF(OR(C428&lt;DATE(2000,1,1),C428&gt;DATE(2099,12,31)),"Invalid date",IF(F428="","Select a revenue account",IF(ISNA(MATCH(F428,coa_Name,0)),"Unknown account: "&amp;F428,IF(NOT(ISNUMBER(G428)),"Enter an amount",IF(G428&lt;=0,"Amount must be positive",IF(S428&gt;G428,"Tax is larger than the amount",""))))))))))</f>
        <v/>
      </c>
      <c r="U428" s="67">
        <f>IF(OR(R428=1,T428&lt;&gt;""),"",IF(COUNTIF(ar_No,B428)&gt;1,"Duplicate invoice #",IF(D428="","Select a customer",IF(N(L428)&lt;0,"Overpaid by "&amp;TEXT(-L428,"#,##0.00"),IF(AND(ISNUMBER(H428),N(H428)&lt;&gt;0,S428=0),"Tax ignored (tax tracking is off)",IF(AND(ISNUMBER(StartDate),C428&lt;StartDate),"Date is before the accounting start date",IF(AND(IFERROR(INDEX(coa_Type,MATCH(F428,coa_Name,0)),"")&lt;&gt;"Revenue",IFERROR(INDEX(coa_Type,MATCH(F428,coa_Name,0)),"")&lt;&gt;"Other Income"),"Account is not a revenue account","")))))))</f>
        <v/>
      </c>
      <c r="V428" s="67">
        <f>IF(AND(R428=0,T428=""),1,0)</f>
        <v/>
      </c>
      <c r="W428" s="67">
        <f>IF(V428=1,acctAR,"")</f>
        <v/>
      </c>
      <c r="X428" s="67">
        <f>IF(V428=1,F428,"")</f>
        <v/>
      </c>
      <c r="Y428" s="68">
        <f>IF(V428=1,G428,0)</f>
        <v/>
      </c>
      <c r="Z428" s="68">
        <f>IF(V428=1,G428-S428,0)</f>
        <v/>
      </c>
      <c r="AA428" s="68">
        <f>IF(V428=1,S428,0)</f>
        <v/>
      </c>
    </row>
    <row r="429">
      <c r="B429" s="62" t="n"/>
      <c r="C429" s="63" t="n"/>
      <c r="D429" s="62" t="n"/>
      <c r="E429" s="62" t="n"/>
      <c r="F429" s="62" t="n"/>
      <c r="G429" s="64" t="n"/>
      <c r="H429" s="64" t="n"/>
      <c r="I429" s="63" t="n"/>
      <c r="J429" s="29">
        <f>IF(V429=1,IF(ISNUMBER(I429),I429,C429+IF(ISNUMBER(IFERROR(INDEX(cust_Terms,MATCH(D429,cust_Name,0)),"")),INDEX(cust_Terms,MATCH(D429,cust_Name,0)),TermsDays)),"")</f>
        <v/>
      </c>
      <c r="K429" s="65">
        <f>IF(V429=1,SUMIFS(tx_DrAmt,tx_Type,"Customer Payment",tx_Ref,B429&amp;"",tx_Date,"&lt;="&amp;AsOf),"")</f>
        <v/>
      </c>
      <c r="L429" s="65">
        <f>IF(V429=1,IF(C429&gt;AsOf,0,ROUND(G429-K429,2)),"")</f>
        <v/>
      </c>
      <c r="M429" s="66">
        <f>IF(V429&lt;&gt;1,"",IF(C429&gt;AsOf,"Future",IF(L429&lt;0,"Overpaid",IF(L429=0,"Paid",IF(AsOf&gt;J429,"Overdue",IF(K429&gt;0,"Partial","Unpaid"))))))</f>
        <v/>
      </c>
      <c r="N429" s="28">
        <f>IF(AND(V429=1,N(L429)&gt;0),AsOf-C429,"")</f>
        <v/>
      </c>
      <c r="O429" s="28">
        <f>IF(N429="","",MAX(0,AsOf-J429))</f>
        <v/>
      </c>
      <c r="P429" s="66">
        <f>IF(O429="","",IF(O429=0,"Current",IF(O429&lt;=30,"1-30",IF(O429&lt;=60,"31-60",IF(O429&lt;=90,"61-90","90+")))))</f>
        <v/>
      </c>
      <c r="Q429" s="66">
        <f>IF(T429&lt;&gt;"","⛔ "&amp;T429&amp;" — not posted",IF(U429&lt;&gt;"","⚠ "&amp;U429,IF(V429=1,"✓ OK","")))</f>
        <v/>
      </c>
      <c r="R429" s="67">
        <f>IF(AND(B429="",C429="",D429="",G429="",F429=""),1,0)</f>
        <v/>
      </c>
      <c r="S429" s="68">
        <f>IF(AND(TaxOn="Yes",ISNUMBER(H429)),H429,0)</f>
        <v/>
      </c>
      <c r="T429" s="67">
        <f>IF(R429=1,"",IF(B429="","Enter an invoice #",IF(C429="","Missing invoice date",IF(NOT(ISNUMBER(C429)),"Invalid date",IF(OR(C429&lt;DATE(2000,1,1),C429&gt;DATE(2099,12,31)),"Invalid date",IF(F429="","Select a revenue account",IF(ISNA(MATCH(F429,coa_Name,0)),"Unknown account: "&amp;F429,IF(NOT(ISNUMBER(G429)),"Enter an amount",IF(G429&lt;=0,"Amount must be positive",IF(S429&gt;G429,"Tax is larger than the amount",""))))))))))</f>
        <v/>
      </c>
      <c r="U429" s="67">
        <f>IF(OR(R429=1,T429&lt;&gt;""),"",IF(COUNTIF(ar_No,B429)&gt;1,"Duplicate invoice #",IF(D429="","Select a customer",IF(N(L429)&lt;0,"Overpaid by "&amp;TEXT(-L429,"#,##0.00"),IF(AND(ISNUMBER(H429),N(H429)&lt;&gt;0,S429=0),"Tax ignored (tax tracking is off)",IF(AND(ISNUMBER(StartDate),C429&lt;StartDate),"Date is before the accounting start date",IF(AND(IFERROR(INDEX(coa_Type,MATCH(F429,coa_Name,0)),"")&lt;&gt;"Revenue",IFERROR(INDEX(coa_Type,MATCH(F429,coa_Name,0)),"")&lt;&gt;"Other Income"),"Account is not a revenue account","")))))))</f>
        <v/>
      </c>
      <c r="V429" s="67">
        <f>IF(AND(R429=0,T429=""),1,0)</f>
        <v/>
      </c>
      <c r="W429" s="67">
        <f>IF(V429=1,acctAR,"")</f>
        <v/>
      </c>
      <c r="X429" s="67">
        <f>IF(V429=1,F429,"")</f>
        <v/>
      </c>
      <c r="Y429" s="68">
        <f>IF(V429=1,G429,0)</f>
        <v/>
      </c>
      <c r="Z429" s="68">
        <f>IF(V429=1,G429-S429,0)</f>
        <v/>
      </c>
      <c r="AA429" s="68">
        <f>IF(V429=1,S429,0)</f>
        <v/>
      </c>
    </row>
    <row r="430">
      <c r="B430" s="62" t="n"/>
      <c r="C430" s="63" t="n"/>
      <c r="D430" s="62" t="n"/>
      <c r="E430" s="62" t="n"/>
      <c r="F430" s="62" t="n"/>
      <c r="G430" s="64" t="n"/>
      <c r="H430" s="64" t="n"/>
      <c r="I430" s="63" t="n"/>
      <c r="J430" s="29">
        <f>IF(V430=1,IF(ISNUMBER(I430),I430,C430+IF(ISNUMBER(IFERROR(INDEX(cust_Terms,MATCH(D430,cust_Name,0)),"")),INDEX(cust_Terms,MATCH(D430,cust_Name,0)),TermsDays)),"")</f>
        <v/>
      </c>
      <c r="K430" s="65">
        <f>IF(V430=1,SUMIFS(tx_DrAmt,tx_Type,"Customer Payment",tx_Ref,B430&amp;"",tx_Date,"&lt;="&amp;AsOf),"")</f>
        <v/>
      </c>
      <c r="L430" s="65">
        <f>IF(V430=1,IF(C430&gt;AsOf,0,ROUND(G430-K430,2)),"")</f>
        <v/>
      </c>
      <c r="M430" s="66">
        <f>IF(V430&lt;&gt;1,"",IF(C430&gt;AsOf,"Future",IF(L430&lt;0,"Overpaid",IF(L430=0,"Paid",IF(AsOf&gt;J430,"Overdue",IF(K430&gt;0,"Partial","Unpaid"))))))</f>
        <v/>
      </c>
      <c r="N430" s="28">
        <f>IF(AND(V430=1,N(L430)&gt;0),AsOf-C430,"")</f>
        <v/>
      </c>
      <c r="O430" s="28">
        <f>IF(N430="","",MAX(0,AsOf-J430))</f>
        <v/>
      </c>
      <c r="P430" s="66">
        <f>IF(O430="","",IF(O430=0,"Current",IF(O430&lt;=30,"1-30",IF(O430&lt;=60,"31-60",IF(O430&lt;=90,"61-90","90+")))))</f>
        <v/>
      </c>
      <c r="Q430" s="66">
        <f>IF(T430&lt;&gt;"","⛔ "&amp;T430&amp;" — not posted",IF(U430&lt;&gt;"","⚠ "&amp;U430,IF(V430=1,"✓ OK","")))</f>
        <v/>
      </c>
      <c r="R430" s="67">
        <f>IF(AND(B430="",C430="",D430="",G430="",F430=""),1,0)</f>
        <v/>
      </c>
      <c r="S430" s="68">
        <f>IF(AND(TaxOn="Yes",ISNUMBER(H430)),H430,0)</f>
        <v/>
      </c>
      <c r="T430" s="67">
        <f>IF(R430=1,"",IF(B430="","Enter an invoice #",IF(C430="","Missing invoice date",IF(NOT(ISNUMBER(C430)),"Invalid date",IF(OR(C430&lt;DATE(2000,1,1),C430&gt;DATE(2099,12,31)),"Invalid date",IF(F430="","Select a revenue account",IF(ISNA(MATCH(F430,coa_Name,0)),"Unknown account: "&amp;F430,IF(NOT(ISNUMBER(G430)),"Enter an amount",IF(G430&lt;=0,"Amount must be positive",IF(S430&gt;G430,"Tax is larger than the amount",""))))))))))</f>
        <v/>
      </c>
      <c r="U430" s="67">
        <f>IF(OR(R430=1,T430&lt;&gt;""),"",IF(COUNTIF(ar_No,B430)&gt;1,"Duplicate invoice #",IF(D430="","Select a customer",IF(N(L430)&lt;0,"Overpaid by "&amp;TEXT(-L430,"#,##0.00"),IF(AND(ISNUMBER(H430),N(H430)&lt;&gt;0,S430=0),"Tax ignored (tax tracking is off)",IF(AND(ISNUMBER(StartDate),C430&lt;StartDate),"Date is before the accounting start date",IF(AND(IFERROR(INDEX(coa_Type,MATCH(F430,coa_Name,0)),"")&lt;&gt;"Revenue",IFERROR(INDEX(coa_Type,MATCH(F430,coa_Name,0)),"")&lt;&gt;"Other Income"),"Account is not a revenue account","")))))))</f>
        <v/>
      </c>
      <c r="V430" s="67">
        <f>IF(AND(R430=0,T430=""),1,0)</f>
        <v/>
      </c>
      <c r="W430" s="67">
        <f>IF(V430=1,acctAR,"")</f>
        <v/>
      </c>
      <c r="X430" s="67">
        <f>IF(V430=1,F430,"")</f>
        <v/>
      </c>
      <c r="Y430" s="68">
        <f>IF(V430=1,G430,0)</f>
        <v/>
      </c>
      <c r="Z430" s="68">
        <f>IF(V430=1,G430-S430,0)</f>
        <v/>
      </c>
      <c r="AA430" s="68">
        <f>IF(V430=1,S430,0)</f>
        <v/>
      </c>
    </row>
    <row r="431">
      <c r="B431" s="62" t="n"/>
      <c r="C431" s="63" t="n"/>
      <c r="D431" s="62" t="n"/>
      <c r="E431" s="62" t="n"/>
      <c r="F431" s="62" t="n"/>
      <c r="G431" s="64" t="n"/>
      <c r="H431" s="64" t="n"/>
      <c r="I431" s="63" t="n"/>
      <c r="J431" s="29">
        <f>IF(V431=1,IF(ISNUMBER(I431),I431,C431+IF(ISNUMBER(IFERROR(INDEX(cust_Terms,MATCH(D431,cust_Name,0)),"")),INDEX(cust_Terms,MATCH(D431,cust_Name,0)),TermsDays)),"")</f>
        <v/>
      </c>
      <c r="K431" s="65">
        <f>IF(V431=1,SUMIFS(tx_DrAmt,tx_Type,"Customer Payment",tx_Ref,B431&amp;"",tx_Date,"&lt;="&amp;AsOf),"")</f>
        <v/>
      </c>
      <c r="L431" s="65">
        <f>IF(V431=1,IF(C431&gt;AsOf,0,ROUND(G431-K431,2)),"")</f>
        <v/>
      </c>
      <c r="M431" s="66">
        <f>IF(V431&lt;&gt;1,"",IF(C431&gt;AsOf,"Future",IF(L431&lt;0,"Overpaid",IF(L431=0,"Paid",IF(AsOf&gt;J431,"Overdue",IF(K431&gt;0,"Partial","Unpaid"))))))</f>
        <v/>
      </c>
      <c r="N431" s="28">
        <f>IF(AND(V431=1,N(L431)&gt;0),AsOf-C431,"")</f>
        <v/>
      </c>
      <c r="O431" s="28">
        <f>IF(N431="","",MAX(0,AsOf-J431))</f>
        <v/>
      </c>
      <c r="P431" s="66">
        <f>IF(O431="","",IF(O431=0,"Current",IF(O431&lt;=30,"1-30",IF(O431&lt;=60,"31-60",IF(O431&lt;=90,"61-90","90+")))))</f>
        <v/>
      </c>
      <c r="Q431" s="66">
        <f>IF(T431&lt;&gt;"","⛔ "&amp;T431&amp;" — not posted",IF(U431&lt;&gt;"","⚠ "&amp;U431,IF(V431=1,"✓ OK","")))</f>
        <v/>
      </c>
      <c r="R431" s="67">
        <f>IF(AND(B431="",C431="",D431="",G431="",F431=""),1,0)</f>
        <v/>
      </c>
      <c r="S431" s="68">
        <f>IF(AND(TaxOn="Yes",ISNUMBER(H431)),H431,0)</f>
        <v/>
      </c>
      <c r="T431" s="67">
        <f>IF(R431=1,"",IF(B431="","Enter an invoice #",IF(C431="","Missing invoice date",IF(NOT(ISNUMBER(C431)),"Invalid date",IF(OR(C431&lt;DATE(2000,1,1),C431&gt;DATE(2099,12,31)),"Invalid date",IF(F431="","Select a revenue account",IF(ISNA(MATCH(F431,coa_Name,0)),"Unknown account: "&amp;F431,IF(NOT(ISNUMBER(G431)),"Enter an amount",IF(G431&lt;=0,"Amount must be positive",IF(S431&gt;G431,"Tax is larger than the amount",""))))))))))</f>
        <v/>
      </c>
      <c r="U431" s="67">
        <f>IF(OR(R431=1,T431&lt;&gt;""),"",IF(COUNTIF(ar_No,B431)&gt;1,"Duplicate invoice #",IF(D431="","Select a customer",IF(N(L431)&lt;0,"Overpaid by "&amp;TEXT(-L431,"#,##0.00"),IF(AND(ISNUMBER(H431),N(H431)&lt;&gt;0,S431=0),"Tax ignored (tax tracking is off)",IF(AND(ISNUMBER(StartDate),C431&lt;StartDate),"Date is before the accounting start date",IF(AND(IFERROR(INDEX(coa_Type,MATCH(F431,coa_Name,0)),"")&lt;&gt;"Revenue",IFERROR(INDEX(coa_Type,MATCH(F431,coa_Name,0)),"")&lt;&gt;"Other Income"),"Account is not a revenue account","")))))))</f>
        <v/>
      </c>
      <c r="V431" s="67">
        <f>IF(AND(R431=0,T431=""),1,0)</f>
        <v/>
      </c>
      <c r="W431" s="67">
        <f>IF(V431=1,acctAR,"")</f>
        <v/>
      </c>
      <c r="X431" s="67">
        <f>IF(V431=1,F431,"")</f>
        <v/>
      </c>
      <c r="Y431" s="68">
        <f>IF(V431=1,G431,0)</f>
        <v/>
      </c>
      <c r="Z431" s="68">
        <f>IF(V431=1,G431-S431,0)</f>
        <v/>
      </c>
      <c r="AA431" s="68">
        <f>IF(V431=1,S431,0)</f>
        <v/>
      </c>
    </row>
    <row r="432">
      <c r="B432" s="62" t="n"/>
      <c r="C432" s="63" t="n"/>
      <c r="D432" s="62" t="n"/>
      <c r="E432" s="62" t="n"/>
      <c r="F432" s="62" t="n"/>
      <c r="G432" s="64" t="n"/>
      <c r="H432" s="64" t="n"/>
      <c r="I432" s="63" t="n"/>
      <c r="J432" s="29">
        <f>IF(V432=1,IF(ISNUMBER(I432),I432,C432+IF(ISNUMBER(IFERROR(INDEX(cust_Terms,MATCH(D432,cust_Name,0)),"")),INDEX(cust_Terms,MATCH(D432,cust_Name,0)),TermsDays)),"")</f>
        <v/>
      </c>
      <c r="K432" s="65">
        <f>IF(V432=1,SUMIFS(tx_DrAmt,tx_Type,"Customer Payment",tx_Ref,B432&amp;"",tx_Date,"&lt;="&amp;AsOf),"")</f>
        <v/>
      </c>
      <c r="L432" s="65">
        <f>IF(V432=1,IF(C432&gt;AsOf,0,ROUND(G432-K432,2)),"")</f>
        <v/>
      </c>
      <c r="M432" s="66">
        <f>IF(V432&lt;&gt;1,"",IF(C432&gt;AsOf,"Future",IF(L432&lt;0,"Overpaid",IF(L432=0,"Paid",IF(AsOf&gt;J432,"Overdue",IF(K432&gt;0,"Partial","Unpaid"))))))</f>
        <v/>
      </c>
      <c r="N432" s="28">
        <f>IF(AND(V432=1,N(L432)&gt;0),AsOf-C432,"")</f>
        <v/>
      </c>
      <c r="O432" s="28">
        <f>IF(N432="","",MAX(0,AsOf-J432))</f>
        <v/>
      </c>
      <c r="P432" s="66">
        <f>IF(O432="","",IF(O432=0,"Current",IF(O432&lt;=30,"1-30",IF(O432&lt;=60,"31-60",IF(O432&lt;=90,"61-90","90+")))))</f>
        <v/>
      </c>
      <c r="Q432" s="66">
        <f>IF(T432&lt;&gt;"","⛔ "&amp;T432&amp;" — not posted",IF(U432&lt;&gt;"","⚠ "&amp;U432,IF(V432=1,"✓ OK","")))</f>
        <v/>
      </c>
      <c r="R432" s="67">
        <f>IF(AND(B432="",C432="",D432="",G432="",F432=""),1,0)</f>
        <v/>
      </c>
      <c r="S432" s="68">
        <f>IF(AND(TaxOn="Yes",ISNUMBER(H432)),H432,0)</f>
        <v/>
      </c>
      <c r="T432" s="67">
        <f>IF(R432=1,"",IF(B432="","Enter an invoice #",IF(C432="","Missing invoice date",IF(NOT(ISNUMBER(C432)),"Invalid date",IF(OR(C432&lt;DATE(2000,1,1),C432&gt;DATE(2099,12,31)),"Invalid date",IF(F432="","Select a revenue account",IF(ISNA(MATCH(F432,coa_Name,0)),"Unknown account: "&amp;F432,IF(NOT(ISNUMBER(G432)),"Enter an amount",IF(G432&lt;=0,"Amount must be positive",IF(S432&gt;G432,"Tax is larger than the amount",""))))))))))</f>
        <v/>
      </c>
      <c r="U432" s="67">
        <f>IF(OR(R432=1,T432&lt;&gt;""),"",IF(COUNTIF(ar_No,B432)&gt;1,"Duplicate invoice #",IF(D432="","Select a customer",IF(N(L432)&lt;0,"Overpaid by "&amp;TEXT(-L432,"#,##0.00"),IF(AND(ISNUMBER(H432),N(H432)&lt;&gt;0,S432=0),"Tax ignored (tax tracking is off)",IF(AND(ISNUMBER(StartDate),C432&lt;StartDate),"Date is before the accounting start date",IF(AND(IFERROR(INDEX(coa_Type,MATCH(F432,coa_Name,0)),"")&lt;&gt;"Revenue",IFERROR(INDEX(coa_Type,MATCH(F432,coa_Name,0)),"")&lt;&gt;"Other Income"),"Account is not a revenue account","")))))))</f>
        <v/>
      </c>
      <c r="V432" s="67">
        <f>IF(AND(R432=0,T432=""),1,0)</f>
        <v/>
      </c>
      <c r="W432" s="67">
        <f>IF(V432=1,acctAR,"")</f>
        <v/>
      </c>
      <c r="X432" s="67">
        <f>IF(V432=1,F432,"")</f>
        <v/>
      </c>
      <c r="Y432" s="68">
        <f>IF(V432=1,G432,0)</f>
        <v/>
      </c>
      <c r="Z432" s="68">
        <f>IF(V432=1,G432-S432,0)</f>
        <v/>
      </c>
      <c r="AA432" s="68">
        <f>IF(V432=1,S432,0)</f>
        <v/>
      </c>
    </row>
    <row r="433">
      <c r="B433" s="62" t="n"/>
      <c r="C433" s="63" t="n"/>
      <c r="D433" s="62" t="n"/>
      <c r="E433" s="62" t="n"/>
      <c r="F433" s="62" t="n"/>
      <c r="G433" s="64" t="n"/>
      <c r="H433" s="64" t="n"/>
      <c r="I433" s="63" t="n"/>
      <c r="J433" s="29">
        <f>IF(V433=1,IF(ISNUMBER(I433),I433,C433+IF(ISNUMBER(IFERROR(INDEX(cust_Terms,MATCH(D433,cust_Name,0)),"")),INDEX(cust_Terms,MATCH(D433,cust_Name,0)),TermsDays)),"")</f>
        <v/>
      </c>
      <c r="K433" s="65">
        <f>IF(V433=1,SUMIFS(tx_DrAmt,tx_Type,"Customer Payment",tx_Ref,B433&amp;"",tx_Date,"&lt;="&amp;AsOf),"")</f>
        <v/>
      </c>
      <c r="L433" s="65">
        <f>IF(V433=1,IF(C433&gt;AsOf,0,ROUND(G433-K433,2)),"")</f>
        <v/>
      </c>
      <c r="M433" s="66">
        <f>IF(V433&lt;&gt;1,"",IF(C433&gt;AsOf,"Future",IF(L433&lt;0,"Overpaid",IF(L433=0,"Paid",IF(AsOf&gt;J433,"Overdue",IF(K433&gt;0,"Partial","Unpaid"))))))</f>
        <v/>
      </c>
      <c r="N433" s="28">
        <f>IF(AND(V433=1,N(L433)&gt;0),AsOf-C433,"")</f>
        <v/>
      </c>
      <c r="O433" s="28">
        <f>IF(N433="","",MAX(0,AsOf-J433))</f>
        <v/>
      </c>
      <c r="P433" s="66">
        <f>IF(O433="","",IF(O433=0,"Current",IF(O433&lt;=30,"1-30",IF(O433&lt;=60,"31-60",IF(O433&lt;=90,"61-90","90+")))))</f>
        <v/>
      </c>
      <c r="Q433" s="66">
        <f>IF(T433&lt;&gt;"","⛔ "&amp;T433&amp;" — not posted",IF(U433&lt;&gt;"","⚠ "&amp;U433,IF(V433=1,"✓ OK","")))</f>
        <v/>
      </c>
      <c r="R433" s="67">
        <f>IF(AND(B433="",C433="",D433="",G433="",F433=""),1,0)</f>
        <v/>
      </c>
      <c r="S433" s="68">
        <f>IF(AND(TaxOn="Yes",ISNUMBER(H433)),H433,0)</f>
        <v/>
      </c>
      <c r="T433" s="67">
        <f>IF(R433=1,"",IF(B433="","Enter an invoice #",IF(C433="","Missing invoice date",IF(NOT(ISNUMBER(C433)),"Invalid date",IF(OR(C433&lt;DATE(2000,1,1),C433&gt;DATE(2099,12,31)),"Invalid date",IF(F433="","Select a revenue account",IF(ISNA(MATCH(F433,coa_Name,0)),"Unknown account: "&amp;F433,IF(NOT(ISNUMBER(G433)),"Enter an amount",IF(G433&lt;=0,"Amount must be positive",IF(S433&gt;G433,"Tax is larger than the amount",""))))))))))</f>
        <v/>
      </c>
      <c r="U433" s="67">
        <f>IF(OR(R433=1,T433&lt;&gt;""),"",IF(COUNTIF(ar_No,B433)&gt;1,"Duplicate invoice #",IF(D433="","Select a customer",IF(N(L433)&lt;0,"Overpaid by "&amp;TEXT(-L433,"#,##0.00"),IF(AND(ISNUMBER(H433),N(H433)&lt;&gt;0,S433=0),"Tax ignored (tax tracking is off)",IF(AND(ISNUMBER(StartDate),C433&lt;StartDate),"Date is before the accounting start date",IF(AND(IFERROR(INDEX(coa_Type,MATCH(F433,coa_Name,0)),"")&lt;&gt;"Revenue",IFERROR(INDEX(coa_Type,MATCH(F433,coa_Name,0)),"")&lt;&gt;"Other Income"),"Account is not a revenue account","")))))))</f>
        <v/>
      </c>
      <c r="V433" s="67">
        <f>IF(AND(R433=0,T433=""),1,0)</f>
        <v/>
      </c>
      <c r="W433" s="67">
        <f>IF(V433=1,acctAR,"")</f>
        <v/>
      </c>
      <c r="X433" s="67">
        <f>IF(V433=1,F433,"")</f>
        <v/>
      </c>
      <c r="Y433" s="68">
        <f>IF(V433=1,G433,0)</f>
        <v/>
      </c>
      <c r="Z433" s="68">
        <f>IF(V433=1,G433-S433,0)</f>
        <v/>
      </c>
      <c r="AA433" s="68">
        <f>IF(V433=1,S433,0)</f>
        <v/>
      </c>
    </row>
    <row r="434">
      <c r="B434" s="62" t="n"/>
      <c r="C434" s="63" t="n"/>
      <c r="D434" s="62" t="n"/>
      <c r="E434" s="62" t="n"/>
      <c r="F434" s="62" t="n"/>
      <c r="G434" s="64" t="n"/>
      <c r="H434" s="64" t="n"/>
      <c r="I434" s="63" t="n"/>
      <c r="J434" s="29">
        <f>IF(V434=1,IF(ISNUMBER(I434),I434,C434+IF(ISNUMBER(IFERROR(INDEX(cust_Terms,MATCH(D434,cust_Name,0)),"")),INDEX(cust_Terms,MATCH(D434,cust_Name,0)),TermsDays)),"")</f>
        <v/>
      </c>
      <c r="K434" s="65">
        <f>IF(V434=1,SUMIFS(tx_DrAmt,tx_Type,"Customer Payment",tx_Ref,B434&amp;"",tx_Date,"&lt;="&amp;AsOf),"")</f>
        <v/>
      </c>
      <c r="L434" s="65">
        <f>IF(V434=1,IF(C434&gt;AsOf,0,ROUND(G434-K434,2)),"")</f>
        <v/>
      </c>
      <c r="M434" s="66">
        <f>IF(V434&lt;&gt;1,"",IF(C434&gt;AsOf,"Future",IF(L434&lt;0,"Overpaid",IF(L434=0,"Paid",IF(AsOf&gt;J434,"Overdue",IF(K434&gt;0,"Partial","Unpaid"))))))</f>
        <v/>
      </c>
      <c r="N434" s="28">
        <f>IF(AND(V434=1,N(L434)&gt;0),AsOf-C434,"")</f>
        <v/>
      </c>
      <c r="O434" s="28">
        <f>IF(N434="","",MAX(0,AsOf-J434))</f>
        <v/>
      </c>
      <c r="P434" s="66">
        <f>IF(O434="","",IF(O434=0,"Current",IF(O434&lt;=30,"1-30",IF(O434&lt;=60,"31-60",IF(O434&lt;=90,"61-90","90+")))))</f>
        <v/>
      </c>
      <c r="Q434" s="66">
        <f>IF(T434&lt;&gt;"","⛔ "&amp;T434&amp;" — not posted",IF(U434&lt;&gt;"","⚠ "&amp;U434,IF(V434=1,"✓ OK","")))</f>
        <v/>
      </c>
      <c r="R434" s="67">
        <f>IF(AND(B434="",C434="",D434="",G434="",F434=""),1,0)</f>
        <v/>
      </c>
      <c r="S434" s="68">
        <f>IF(AND(TaxOn="Yes",ISNUMBER(H434)),H434,0)</f>
        <v/>
      </c>
      <c r="T434" s="67">
        <f>IF(R434=1,"",IF(B434="","Enter an invoice #",IF(C434="","Missing invoice date",IF(NOT(ISNUMBER(C434)),"Invalid date",IF(OR(C434&lt;DATE(2000,1,1),C434&gt;DATE(2099,12,31)),"Invalid date",IF(F434="","Select a revenue account",IF(ISNA(MATCH(F434,coa_Name,0)),"Unknown account: "&amp;F434,IF(NOT(ISNUMBER(G434)),"Enter an amount",IF(G434&lt;=0,"Amount must be positive",IF(S434&gt;G434,"Tax is larger than the amount",""))))))))))</f>
        <v/>
      </c>
      <c r="U434" s="67">
        <f>IF(OR(R434=1,T434&lt;&gt;""),"",IF(COUNTIF(ar_No,B434)&gt;1,"Duplicate invoice #",IF(D434="","Select a customer",IF(N(L434)&lt;0,"Overpaid by "&amp;TEXT(-L434,"#,##0.00"),IF(AND(ISNUMBER(H434),N(H434)&lt;&gt;0,S434=0),"Tax ignored (tax tracking is off)",IF(AND(ISNUMBER(StartDate),C434&lt;StartDate),"Date is before the accounting start date",IF(AND(IFERROR(INDEX(coa_Type,MATCH(F434,coa_Name,0)),"")&lt;&gt;"Revenue",IFERROR(INDEX(coa_Type,MATCH(F434,coa_Name,0)),"")&lt;&gt;"Other Income"),"Account is not a revenue account","")))))))</f>
        <v/>
      </c>
      <c r="V434" s="67">
        <f>IF(AND(R434=0,T434=""),1,0)</f>
        <v/>
      </c>
      <c r="W434" s="67">
        <f>IF(V434=1,acctAR,"")</f>
        <v/>
      </c>
      <c r="X434" s="67">
        <f>IF(V434=1,F434,"")</f>
        <v/>
      </c>
      <c r="Y434" s="68">
        <f>IF(V434=1,G434,0)</f>
        <v/>
      </c>
      <c r="Z434" s="68">
        <f>IF(V434=1,G434-S434,0)</f>
        <v/>
      </c>
      <c r="AA434" s="68">
        <f>IF(V434=1,S434,0)</f>
        <v/>
      </c>
    </row>
    <row r="435">
      <c r="B435" s="62" t="n"/>
      <c r="C435" s="63" t="n"/>
      <c r="D435" s="62" t="n"/>
      <c r="E435" s="62" t="n"/>
      <c r="F435" s="62" t="n"/>
      <c r="G435" s="64" t="n"/>
      <c r="H435" s="64" t="n"/>
      <c r="I435" s="63" t="n"/>
      <c r="J435" s="29">
        <f>IF(V435=1,IF(ISNUMBER(I435),I435,C435+IF(ISNUMBER(IFERROR(INDEX(cust_Terms,MATCH(D435,cust_Name,0)),"")),INDEX(cust_Terms,MATCH(D435,cust_Name,0)),TermsDays)),"")</f>
        <v/>
      </c>
      <c r="K435" s="65">
        <f>IF(V435=1,SUMIFS(tx_DrAmt,tx_Type,"Customer Payment",tx_Ref,B435&amp;"",tx_Date,"&lt;="&amp;AsOf),"")</f>
        <v/>
      </c>
      <c r="L435" s="65">
        <f>IF(V435=1,IF(C435&gt;AsOf,0,ROUND(G435-K435,2)),"")</f>
        <v/>
      </c>
      <c r="M435" s="66">
        <f>IF(V435&lt;&gt;1,"",IF(C435&gt;AsOf,"Future",IF(L435&lt;0,"Overpaid",IF(L435=0,"Paid",IF(AsOf&gt;J435,"Overdue",IF(K435&gt;0,"Partial","Unpaid"))))))</f>
        <v/>
      </c>
      <c r="N435" s="28">
        <f>IF(AND(V435=1,N(L435)&gt;0),AsOf-C435,"")</f>
        <v/>
      </c>
      <c r="O435" s="28">
        <f>IF(N435="","",MAX(0,AsOf-J435))</f>
        <v/>
      </c>
      <c r="P435" s="66">
        <f>IF(O435="","",IF(O435=0,"Current",IF(O435&lt;=30,"1-30",IF(O435&lt;=60,"31-60",IF(O435&lt;=90,"61-90","90+")))))</f>
        <v/>
      </c>
      <c r="Q435" s="66">
        <f>IF(T435&lt;&gt;"","⛔ "&amp;T435&amp;" — not posted",IF(U435&lt;&gt;"","⚠ "&amp;U435,IF(V435=1,"✓ OK","")))</f>
        <v/>
      </c>
      <c r="R435" s="67">
        <f>IF(AND(B435="",C435="",D435="",G435="",F435=""),1,0)</f>
        <v/>
      </c>
      <c r="S435" s="68">
        <f>IF(AND(TaxOn="Yes",ISNUMBER(H435)),H435,0)</f>
        <v/>
      </c>
      <c r="T435" s="67">
        <f>IF(R435=1,"",IF(B435="","Enter an invoice #",IF(C435="","Missing invoice date",IF(NOT(ISNUMBER(C435)),"Invalid date",IF(OR(C435&lt;DATE(2000,1,1),C435&gt;DATE(2099,12,31)),"Invalid date",IF(F435="","Select a revenue account",IF(ISNA(MATCH(F435,coa_Name,0)),"Unknown account: "&amp;F435,IF(NOT(ISNUMBER(G435)),"Enter an amount",IF(G435&lt;=0,"Amount must be positive",IF(S435&gt;G435,"Tax is larger than the amount",""))))))))))</f>
        <v/>
      </c>
      <c r="U435" s="67">
        <f>IF(OR(R435=1,T435&lt;&gt;""),"",IF(COUNTIF(ar_No,B435)&gt;1,"Duplicate invoice #",IF(D435="","Select a customer",IF(N(L435)&lt;0,"Overpaid by "&amp;TEXT(-L435,"#,##0.00"),IF(AND(ISNUMBER(H435),N(H435)&lt;&gt;0,S435=0),"Tax ignored (tax tracking is off)",IF(AND(ISNUMBER(StartDate),C435&lt;StartDate),"Date is before the accounting start date",IF(AND(IFERROR(INDEX(coa_Type,MATCH(F435,coa_Name,0)),"")&lt;&gt;"Revenue",IFERROR(INDEX(coa_Type,MATCH(F435,coa_Name,0)),"")&lt;&gt;"Other Income"),"Account is not a revenue account","")))))))</f>
        <v/>
      </c>
      <c r="V435" s="67">
        <f>IF(AND(R435=0,T435=""),1,0)</f>
        <v/>
      </c>
      <c r="W435" s="67">
        <f>IF(V435=1,acctAR,"")</f>
        <v/>
      </c>
      <c r="X435" s="67">
        <f>IF(V435=1,F435,"")</f>
        <v/>
      </c>
      <c r="Y435" s="68">
        <f>IF(V435=1,G435,0)</f>
        <v/>
      </c>
      <c r="Z435" s="68">
        <f>IF(V435=1,G435-S435,0)</f>
        <v/>
      </c>
      <c r="AA435" s="68">
        <f>IF(V435=1,S435,0)</f>
        <v/>
      </c>
    </row>
    <row r="436">
      <c r="B436" s="62" t="n"/>
      <c r="C436" s="63" t="n"/>
      <c r="D436" s="62" t="n"/>
      <c r="E436" s="62" t="n"/>
      <c r="F436" s="62" t="n"/>
      <c r="G436" s="64" t="n"/>
      <c r="H436" s="64" t="n"/>
      <c r="I436" s="63" t="n"/>
      <c r="J436" s="29">
        <f>IF(V436=1,IF(ISNUMBER(I436),I436,C436+IF(ISNUMBER(IFERROR(INDEX(cust_Terms,MATCH(D436,cust_Name,0)),"")),INDEX(cust_Terms,MATCH(D436,cust_Name,0)),TermsDays)),"")</f>
        <v/>
      </c>
      <c r="K436" s="65">
        <f>IF(V436=1,SUMIFS(tx_DrAmt,tx_Type,"Customer Payment",tx_Ref,B436&amp;"",tx_Date,"&lt;="&amp;AsOf),"")</f>
        <v/>
      </c>
      <c r="L436" s="65">
        <f>IF(V436=1,IF(C436&gt;AsOf,0,ROUND(G436-K436,2)),"")</f>
        <v/>
      </c>
      <c r="M436" s="66">
        <f>IF(V436&lt;&gt;1,"",IF(C436&gt;AsOf,"Future",IF(L436&lt;0,"Overpaid",IF(L436=0,"Paid",IF(AsOf&gt;J436,"Overdue",IF(K436&gt;0,"Partial","Unpaid"))))))</f>
        <v/>
      </c>
      <c r="N436" s="28">
        <f>IF(AND(V436=1,N(L436)&gt;0),AsOf-C436,"")</f>
        <v/>
      </c>
      <c r="O436" s="28">
        <f>IF(N436="","",MAX(0,AsOf-J436))</f>
        <v/>
      </c>
      <c r="P436" s="66">
        <f>IF(O436="","",IF(O436=0,"Current",IF(O436&lt;=30,"1-30",IF(O436&lt;=60,"31-60",IF(O436&lt;=90,"61-90","90+")))))</f>
        <v/>
      </c>
      <c r="Q436" s="66">
        <f>IF(T436&lt;&gt;"","⛔ "&amp;T436&amp;" — not posted",IF(U436&lt;&gt;"","⚠ "&amp;U436,IF(V436=1,"✓ OK","")))</f>
        <v/>
      </c>
      <c r="R436" s="67">
        <f>IF(AND(B436="",C436="",D436="",G436="",F436=""),1,0)</f>
        <v/>
      </c>
      <c r="S436" s="68">
        <f>IF(AND(TaxOn="Yes",ISNUMBER(H436)),H436,0)</f>
        <v/>
      </c>
      <c r="T436" s="67">
        <f>IF(R436=1,"",IF(B436="","Enter an invoice #",IF(C436="","Missing invoice date",IF(NOT(ISNUMBER(C436)),"Invalid date",IF(OR(C436&lt;DATE(2000,1,1),C436&gt;DATE(2099,12,31)),"Invalid date",IF(F436="","Select a revenue account",IF(ISNA(MATCH(F436,coa_Name,0)),"Unknown account: "&amp;F436,IF(NOT(ISNUMBER(G436)),"Enter an amount",IF(G436&lt;=0,"Amount must be positive",IF(S436&gt;G436,"Tax is larger than the amount",""))))))))))</f>
        <v/>
      </c>
      <c r="U436" s="67">
        <f>IF(OR(R436=1,T436&lt;&gt;""),"",IF(COUNTIF(ar_No,B436)&gt;1,"Duplicate invoice #",IF(D436="","Select a customer",IF(N(L436)&lt;0,"Overpaid by "&amp;TEXT(-L436,"#,##0.00"),IF(AND(ISNUMBER(H436),N(H436)&lt;&gt;0,S436=0),"Tax ignored (tax tracking is off)",IF(AND(ISNUMBER(StartDate),C436&lt;StartDate),"Date is before the accounting start date",IF(AND(IFERROR(INDEX(coa_Type,MATCH(F436,coa_Name,0)),"")&lt;&gt;"Revenue",IFERROR(INDEX(coa_Type,MATCH(F436,coa_Name,0)),"")&lt;&gt;"Other Income"),"Account is not a revenue account","")))))))</f>
        <v/>
      </c>
      <c r="V436" s="67">
        <f>IF(AND(R436=0,T436=""),1,0)</f>
        <v/>
      </c>
      <c r="W436" s="67">
        <f>IF(V436=1,acctAR,"")</f>
        <v/>
      </c>
      <c r="X436" s="67">
        <f>IF(V436=1,F436,"")</f>
        <v/>
      </c>
      <c r="Y436" s="68">
        <f>IF(V436=1,G436,0)</f>
        <v/>
      </c>
      <c r="Z436" s="68">
        <f>IF(V436=1,G436-S436,0)</f>
        <v/>
      </c>
      <c r="AA436" s="68">
        <f>IF(V436=1,S436,0)</f>
        <v/>
      </c>
    </row>
    <row r="437">
      <c r="B437" s="62" t="n"/>
      <c r="C437" s="63" t="n"/>
      <c r="D437" s="62" t="n"/>
      <c r="E437" s="62" t="n"/>
      <c r="F437" s="62" t="n"/>
      <c r="G437" s="64" t="n"/>
      <c r="H437" s="64" t="n"/>
      <c r="I437" s="63" t="n"/>
      <c r="J437" s="29">
        <f>IF(V437=1,IF(ISNUMBER(I437),I437,C437+IF(ISNUMBER(IFERROR(INDEX(cust_Terms,MATCH(D437,cust_Name,0)),"")),INDEX(cust_Terms,MATCH(D437,cust_Name,0)),TermsDays)),"")</f>
        <v/>
      </c>
      <c r="K437" s="65">
        <f>IF(V437=1,SUMIFS(tx_DrAmt,tx_Type,"Customer Payment",tx_Ref,B437&amp;"",tx_Date,"&lt;="&amp;AsOf),"")</f>
        <v/>
      </c>
      <c r="L437" s="65">
        <f>IF(V437=1,IF(C437&gt;AsOf,0,ROUND(G437-K437,2)),"")</f>
        <v/>
      </c>
      <c r="M437" s="66">
        <f>IF(V437&lt;&gt;1,"",IF(C437&gt;AsOf,"Future",IF(L437&lt;0,"Overpaid",IF(L437=0,"Paid",IF(AsOf&gt;J437,"Overdue",IF(K437&gt;0,"Partial","Unpaid"))))))</f>
        <v/>
      </c>
      <c r="N437" s="28">
        <f>IF(AND(V437=1,N(L437)&gt;0),AsOf-C437,"")</f>
        <v/>
      </c>
      <c r="O437" s="28">
        <f>IF(N437="","",MAX(0,AsOf-J437))</f>
        <v/>
      </c>
      <c r="P437" s="66">
        <f>IF(O437="","",IF(O437=0,"Current",IF(O437&lt;=30,"1-30",IF(O437&lt;=60,"31-60",IF(O437&lt;=90,"61-90","90+")))))</f>
        <v/>
      </c>
      <c r="Q437" s="66">
        <f>IF(T437&lt;&gt;"","⛔ "&amp;T437&amp;" — not posted",IF(U437&lt;&gt;"","⚠ "&amp;U437,IF(V437=1,"✓ OK","")))</f>
        <v/>
      </c>
      <c r="R437" s="67">
        <f>IF(AND(B437="",C437="",D437="",G437="",F437=""),1,0)</f>
        <v/>
      </c>
      <c r="S437" s="68">
        <f>IF(AND(TaxOn="Yes",ISNUMBER(H437)),H437,0)</f>
        <v/>
      </c>
      <c r="T437" s="67">
        <f>IF(R437=1,"",IF(B437="","Enter an invoice #",IF(C437="","Missing invoice date",IF(NOT(ISNUMBER(C437)),"Invalid date",IF(OR(C437&lt;DATE(2000,1,1),C437&gt;DATE(2099,12,31)),"Invalid date",IF(F437="","Select a revenue account",IF(ISNA(MATCH(F437,coa_Name,0)),"Unknown account: "&amp;F437,IF(NOT(ISNUMBER(G437)),"Enter an amount",IF(G437&lt;=0,"Amount must be positive",IF(S437&gt;G437,"Tax is larger than the amount",""))))))))))</f>
        <v/>
      </c>
      <c r="U437" s="67">
        <f>IF(OR(R437=1,T437&lt;&gt;""),"",IF(COUNTIF(ar_No,B437)&gt;1,"Duplicate invoice #",IF(D437="","Select a customer",IF(N(L437)&lt;0,"Overpaid by "&amp;TEXT(-L437,"#,##0.00"),IF(AND(ISNUMBER(H437),N(H437)&lt;&gt;0,S437=0),"Tax ignored (tax tracking is off)",IF(AND(ISNUMBER(StartDate),C437&lt;StartDate),"Date is before the accounting start date",IF(AND(IFERROR(INDEX(coa_Type,MATCH(F437,coa_Name,0)),"")&lt;&gt;"Revenue",IFERROR(INDEX(coa_Type,MATCH(F437,coa_Name,0)),"")&lt;&gt;"Other Income"),"Account is not a revenue account","")))))))</f>
        <v/>
      </c>
      <c r="V437" s="67">
        <f>IF(AND(R437=0,T437=""),1,0)</f>
        <v/>
      </c>
      <c r="W437" s="67">
        <f>IF(V437=1,acctAR,"")</f>
        <v/>
      </c>
      <c r="X437" s="67">
        <f>IF(V437=1,F437,"")</f>
        <v/>
      </c>
      <c r="Y437" s="68">
        <f>IF(V437=1,G437,0)</f>
        <v/>
      </c>
      <c r="Z437" s="68">
        <f>IF(V437=1,G437-S437,0)</f>
        <v/>
      </c>
      <c r="AA437" s="68">
        <f>IF(V437=1,S437,0)</f>
        <v/>
      </c>
    </row>
    <row r="438">
      <c r="B438" s="62" t="n"/>
      <c r="C438" s="63" t="n"/>
      <c r="D438" s="62" t="n"/>
      <c r="E438" s="62" t="n"/>
      <c r="F438" s="62" t="n"/>
      <c r="G438" s="64" t="n"/>
      <c r="H438" s="64" t="n"/>
      <c r="I438" s="63" t="n"/>
      <c r="J438" s="29">
        <f>IF(V438=1,IF(ISNUMBER(I438),I438,C438+IF(ISNUMBER(IFERROR(INDEX(cust_Terms,MATCH(D438,cust_Name,0)),"")),INDEX(cust_Terms,MATCH(D438,cust_Name,0)),TermsDays)),"")</f>
        <v/>
      </c>
      <c r="K438" s="65">
        <f>IF(V438=1,SUMIFS(tx_DrAmt,tx_Type,"Customer Payment",tx_Ref,B438&amp;"",tx_Date,"&lt;="&amp;AsOf),"")</f>
        <v/>
      </c>
      <c r="L438" s="65">
        <f>IF(V438=1,IF(C438&gt;AsOf,0,ROUND(G438-K438,2)),"")</f>
        <v/>
      </c>
      <c r="M438" s="66">
        <f>IF(V438&lt;&gt;1,"",IF(C438&gt;AsOf,"Future",IF(L438&lt;0,"Overpaid",IF(L438=0,"Paid",IF(AsOf&gt;J438,"Overdue",IF(K438&gt;0,"Partial","Unpaid"))))))</f>
        <v/>
      </c>
      <c r="N438" s="28">
        <f>IF(AND(V438=1,N(L438)&gt;0),AsOf-C438,"")</f>
        <v/>
      </c>
      <c r="O438" s="28">
        <f>IF(N438="","",MAX(0,AsOf-J438))</f>
        <v/>
      </c>
      <c r="P438" s="66">
        <f>IF(O438="","",IF(O438=0,"Current",IF(O438&lt;=30,"1-30",IF(O438&lt;=60,"31-60",IF(O438&lt;=90,"61-90","90+")))))</f>
        <v/>
      </c>
      <c r="Q438" s="66">
        <f>IF(T438&lt;&gt;"","⛔ "&amp;T438&amp;" — not posted",IF(U438&lt;&gt;"","⚠ "&amp;U438,IF(V438=1,"✓ OK","")))</f>
        <v/>
      </c>
      <c r="R438" s="67">
        <f>IF(AND(B438="",C438="",D438="",G438="",F438=""),1,0)</f>
        <v/>
      </c>
      <c r="S438" s="68">
        <f>IF(AND(TaxOn="Yes",ISNUMBER(H438)),H438,0)</f>
        <v/>
      </c>
      <c r="T438" s="67">
        <f>IF(R438=1,"",IF(B438="","Enter an invoice #",IF(C438="","Missing invoice date",IF(NOT(ISNUMBER(C438)),"Invalid date",IF(OR(C438&lt;DATE(2000,1,1),C438&gt;DATE(2099,12,31)),"Invalid date",IF(F438="","Select a revenue account",IF(ISNA(MATCH(F438,coa_Name,0)),"Unknown account: "&amp;F438,IF(NOT(ISNUMBER(G438)),"Enter an amount",IF(G438&lt;=0,"Amount must be positive",IF(S438&gt;G438,"Tax is larger than the amount",""))))))))))</f>
        <v/>
      </c>
      <c r="U438" s="67">
        <f>IF(OR(R438=1,T438&lt;&gt;""),"",IF(COUNTIF(ar_No,B438)&gt;1,"Duplicate invoice #",IF(D438="","Select a customer",IF(N(L438)&lt;0,"Overpaid by "&amp;TEXT(-L438,"#,##0.00"),IF(AND(ISNUMBER(H438),N(H438)&lt;&gt;0,S438=0),"Tax ignored (tax tracking is off)",IF(AND(ISNUMBER(StartDate),C438&lt;StartDate),"Date is before the accounting start date",IF(AND(IFERROR(INDEX(coa_Type,MATCH(F438,coa_Name,0)),"")&lt;&gt;"Revenue",IFERROR(INDEX(coa_Type,MATCH(F438,coa_Name,0)),"")&lt;&gt;"Other Income"),"Account is not a revenue account","")))))))</f>
        <v/>
      </c>
      <c r="V438" s="67">
        <f>IF(AND(R438=0,T438=""),1,0)</f>
        <v/>
      </c>
      <c r="W438" s="67">
        <f>IF(V438=1,acctAR,"")</f>
        <v/>
      </c>
      <c r="X438" s="67">
        <f>IF(V438=1,F438,"")</f>
        <v/>
      </c>
      <c r="Y438" s="68">
        <f>IF(V438=1,G438,0)</f>
        <v/>
      </c>
      <c r="Z438" s="68">
        <f>IF(V438=1,G438-S438,0)</f>
        <v/>
      </c>
      <c r="AA438" s="68">
        <f>IF(V438=1,S438,0)</f>
        <v/>
      </c>
    </row>
    <row r="439">
      <c r="B439" s="62" t="n"/>
      <c r="C439" s="63" t="n"/>
      <c r="D439" s="62" t="n"/>
      <c r="E439" s="62" t="n"/>
      <c r="F439" s="62" t="n"/>
      <c r="G439" s="64" t="n"/>
      <c r="H439" s="64" t="n"/>
      <c r="I439" s="63" t="n"/>
      <c r="J439" s="29">
        <f>IF(V439=1,IF(ISNUMBER(I439),I439,C439+IF(ISNUMBER(IFERROR(INDEX(cust_Terms,MATCH(D439,cust_Name,0)),"")),INDEX(cust_Terms,MATCH(D439,cust_Name,0)),TermsDays)),"")</f>
        <v/>
      </c>
      <c r="K439" s="65">
        <f>IF(V439=1,SUMIFS(tx_DrAmt,tx_Type,"Customer Payment",tx_Ref,B439&amp;"",tx_Date,"&lt;="&amp;AsOf),"")</f>
        <v/>
      </c>
      <c r="L439" s="65">
        <f>IF(V439=1,IF(C439&gt;AsOf,0,ROUND(G439-K439,2)),"")</f>
        <v/>
      </c>
      <c r="M439" s="66">
        <f>IF(V439&lt;&gt;1,"",IF(C439&gt;AsOf,"Future",IF(L439&lt;0,"Overpaid",IF(L439=0,"Paid",IF(AsOf&gt;J439,"Overdue",IF(K439&gt;0,"Partial","Unpaid"))))))</f>
        <v/>
      </c>
      <c r="N439" s="28">
        <f>IF(AND(V439=1,N(L439)&gt;0),AsOf-C439,"")</f>
        <v/>
      </c>
      <c r="O439" s="28">
        <f>IF(N439="","",MAX(0,AsOf-J439))</f>
        <v/>
      </c>
      <c r="P439" s="66">
        <f>IF(O439="","",IF(O439=0,"Current",IF(O439&lt;=30,"1-30",IF(O439&lt;=60,"31-60",IF(O439&lt;=90,"61-90","90+")))))</f>
        <v/>
      </c>
      <c r="Q439" s="66">
        <f>IF(T439&lt;&gt;"","⛔ "&amp;T439&amp;" — not posted",IF(U439&lt;&gt;"","⚠ "&amp;U439,IF(V439=1,"✓ OK","")))</f>
        <v/>
      </c>
      <c r="R439" s="67">
        <f>IF(AND(B439="",C439="",D439="",G439="",F439=""),1,0)</f>
        <v/>
      </c>
      <c r="S439" s="68">
        <f>IF(AND(TaxOn="Yes",ISNUMBER(H439)),H439,0)</f>
        <v/>
      </c>
      <c r="T439" s="67">
        <f>IF(R439=1,"",IF(B439="","Enter an invoice #",IF(C439="","Missing invoice date",IF(NOT(ISNUMBER(C439)),"Invalid date",IF(OR(C439&lt;DATE(2000,1,1),C439&gt;DATE(2099,12,31)),"Invalid date",IF(F439="","Select a revenue account",IF(ISNA(MATCH(F439,coa_Name,0)),"Unknown account: "&amp;F439,IF(NOT(ISNUMBER(G439)),"Enter an amount",IF(G439&lt;=0,"Amount must be positive",IF(S439&gt;G439,"Tax is larger than the amount",""))))))))))</f>
        <v/>
      </c>
      <c r="U439" s="67">
        <f>IF(OR(R439=1,T439&lt;&gt;""),"",IF(COUNTIF(ar_No,B439)&gt;1,"Duplicate invoice #",IF(D439="","Select a customer",IF(N(L439)&lt;0,"Overpaid by "&amp;TEXT(-L439,"#,##0.00"),IF(AND(ISNUMBER(H439),N(H439)&lt;&gt;0,S439=0),"Tax ignored (tax tracking is off)",IF(AND(ISNUMBER(StartDate),C439&lt;StartDate),"Date is before the accounting start date",IF(AND(IFERROR(INDEX(coa_Type,MATCH(F439,coa_Name,0)),"")&lt;&gt;"Revenue",IFERROR(INDEX(coa_Type,MATCH(F439,coa_Name,0)),"")&lt;&gt;"Other Income"),"Account is not a revenue account","")))))))</f>
        <v/>
      </c>
      <c r="V439" s="67">
        <f>IF(AND(R439=0,T439=""),1,0)</f>
        <v/>
      </c>
      <c r="W439" s="67">
        <f>IF(V439=1,acctAR,"")</f>
        <v/>
      </c>
      <c r="X439" s="67">
        <f>IF(V439=1,F439,"")</f>
        <v/>
      </c>
      <c r="Y439" s="68">
        <f>IF(V439=1,G439,0)</f>
        <v/>
      </c>
      <c r="Z439" s="68">
        <f>IF(V439=1,G439-S439,0)</f>
        <v/>
      </c>
      <c r="AA439" s="68">
        <f>IF(V439=1,S439,0)</f>
        <v/>
      </c>
    </row>
    <row r="440">
      <c r="B440" s="62" t="n"/>
      <c r="C440" s="63" t="n"/>
      <c r="D440" s="62" t="n"/>
      <c r="E440" s="62" t="n"/>
      <c r="F440" s="62" t="n"/>
      <c r="G440" s="64" t="n"/>
      <c r="H440" s="64" t="n"/>
      <c r="I440" s="63" t="n"/>
      <c r="J440" s="29">
        <f>IF(V440=1,IF(ISNUMBER(I440),I440,C440+IF(ISNUMBER(IFERROR(INDEX(cust_Terms,MATCH(D440,cust_Name,0)),"")),INDEX(cust_Terms,MATCH(D440,cust_Name,0)),TermsDays)),"")</f>
        <v/>
      </c>
      <c r="K440" s="65">
        <f>IF(V440=1,SUMIFS(tx_DrAmt,tx_Type,"Customer Payment",tx_Ref,B440&amp;"",tx_Date,"&lt;="&amp;AsOf),"")</f>
        <v/>
      </c>
      <c r="L440" s="65">
        <f>IF(V440=1,IF(C440&gt;AsOf,0,ROUND(G440-K440,2)),"")</f>
        <v/>
      </c>
      <c r="M440" s="66">
        <f>IF(V440&lt;&gt;1,"",IF(C440&gt;AsOf,"Future",IF(L440&lt;0,"Overpaid",IF(L440=0,"Paid",IF(AsOf&gt;J440,"Overdue",IF(K440&gt;0,"Partial","Unpaid"))))))</f>
        <v/>
      </c>
      <c r="N440" s="28">
        <f>IF(AND(V440=1,N(L440)&gt;0),AsOf-C440,"")</f>
        <v/>
      </c>
      <c r="O440" s="28">
        <f>IF(N440="","",MAX(0,AsOf-J440))</f>
        <v/>
      </c>
      <c r="P440" s="66">
        <f>IF(O440="","",IF(O440=0,"Current",IF(O440&lt;=30,"1-30",IF(O440&lt;=60,"31-60",IF(O440&lt;=90,"61-90","90+")))))</f>
        <v/>
      </c>
      <c r="Q440" s="66">
        <f>IF(T440&lt;&gt;"","⛔ "&amp;T440&amp;" — not posted",IF(U440&lt;&gt;"","⚠ "&amp;U440,IF(V440=1,"✓ OK","")))</f>
        <v/>
      </c>
      <c r="R440" s="67">
        <f>IF(AND(B440="",C440="",D440="",G440="",F440=""),1,0)</f>
        <v/>
      </c>
      <c r="S440" s="68">
        <f>IF(AND(TaxOn="Yes",ISNUMBER(H440)),H440,0)</f>
        <v/>
      </c>
      <c r="T440" s="67">
        <f>IF(R440=1,"",IF(B440="","Enter an invoice #",IF(C440="","Missing invoice date",IF(NOT(ISNUMBER(C440)),"Invalid date",IF(OR(C440&lt;DATE(2000,1,1),C440&gt;DATE(2099,12,31)),"Invalid date",IF(F440="","Select a revenue account",IF(ISNA(MATCH(F440,coa_Name,0)),"Unknown account: "&amp;F440,IF(NOT(ISNUMBER(G440)),"Enter an amount",IF(G440&lt;=0,"Amount must be positive",IF(S440&gt;G440,"Tax is larger than the amount",""))))))))))</f>
        <v/>
      </c>
      <c r="U440" s="67">
        <f>IF(OR(R440=1,T440&lt;&gt;""),"",IF(COUNTIF(ar_No,B440)&gt;1,"Duplicate invoice #",IF(D440="","Select a customer",IF(N(L440)&lt;0,"Overpaid by "&amp;TEXT(-L440,"#,##0.00"),IF(AND(ISNUMBER(H440),N(H440)&lt;&gt;0,S440=0),"Tax ignored (tax tracking is off)",IF(AND(ISNUMBER(StartDate),C440&lt;StartDate),"Date is before the accounting start date",IF(AND(IFERROR(INDEX(coa_Type,MATCH(F440,coa_Name,0)),"")&lt;&gt;"Revenue",IFERROR(INDEX(coa_Type,MATCH(F440,coa_Name,0)),"")&lt;&gt;"Other Income"),"Account is not a revenue account","")))))))</f>
        <v/>
      </c>
      <c r="V440" s="67">
        <f>IF(AND(R440=0,T440=""),1,0)</f>
        <v/>
      </c>
      <c r="W440" s="67">
        <f>IF(V440=1,acctAR,"")</f>
        <v/>
      </c>
      <c r="X440" s="67">
        <f>IF(V440=1,F440,"")</f>
        <v/>
      </c>
      <c r="Y440" s="68">
        <f>IF(V440=1,G440,0)</f>
        <v/>
      </c>
      <c r="Z440" s="68">
        <f>IF(V440=1,G440-S440,0)</f>
        <v/>
      </c>
      <c r="AA440" s="68">
        <f>IF(V440=1,S440,0)</f>
        <v/>
      </c>
    </row>
    <row r="441">
      <c r="B441" s="62" t="n"/>
      <c r="C441" s="63" t="n"/>
      <c r="D441" s="62" t="n"/>
      <c r="E441" s="62" t="n"/>
      <c r="F441" s="62" t="n"/>
      <c r="G441" s="64" t="n"/>
      <c r="H441" s="64" t="n"/>
      <c r="I441" s="63" t="n"/>
      <c r="J441" s="29">
        <f>IF(V441=1,IF(ISNUMBER(I441),I441,C441+IF(ISNUMBER(IFERROR(INDEX(cust_Terms,MATCH(D441,cust_Name,0)),"")),INDEX(cust_Terms,MATCH(D441,cust_Name,0)),TermsDays)),"")</f>
        <v/>
      </c>
      <c r="K441" s="65">
        <f>IF(V441=1,SUMIFS(tx_DrAmt,tx_Type,"Customer Payment",tx_Ref,B441&amp;"",tx_Date,"&lt;="&amp;AsOf),"")</f>
        <v/>
      </c>
      <c r="L441" s="65">
        <f>IF(V441=1,IF(C441&gt;AsOf,0,ROUND(G441-K441,2)),"")</f>
        <v/>
      </c>
      <c r="M441" s="66">
        <f>IF(V441&lt;&gt;1,"",IF(C441&gt;AsOf,"Future",IF(L441&lt;0,"Overpaid",IF(L441=0,"Paid",IF(AsOf&gt;J441,"Overdue",IF(K441&gt;0,"Partial","Unpaid"))))))</f>
        <v/>
      </c>
      <c r="N441" s="28">
        <f>IF(AND(V441=1,N(L441)&gt;0),AsOf-C441,"")</f>
        <v/>
      </c>
      <c r="O441" s="28">
        <f>IF(N441="","",MAX(0,AsOf-J441))</f>
        <v/>
      </c>
      <c r="P441" s="66">
        <f>IF(O441="","",IF(O441=0,"Current",IF(O441&lt;=30,"1-30",IF(O441&lt;=60,"31-60",IF(O441&lt;=90,"61-90","90+")))))</f>
        <v/>
      </c>
      <c r="Q441" s="66">
        <f>IF(T441&lt;&gt;"","⛔ "&amp;T441&amp;" — not posted",IF(U441&lt;&gt;"","⚠ "&amp;U441,IF(V441=1,"✓ OK","")))</f>
        <v/>
      </c>
      <c r="R441" s="67">
        <f>IF(AND(B441="",C441="",D441="",G441="",F441=""),1,0)</f>
        <v/>
      </c>
      <c r="S441" s="68">
        <f>IF(AND(TaxOn="Yes",ISNUMBER(H441)),H441,0)</f>
        <v/>
      </c>
      <c r="T441" s="67">
        <f>IF(R441=1,"",IF(B441="","Enter an invoice #",IF(C441="","Missing invoice date",IF(NOT(ISNUMBER(C441)),"Invalid date",IF(OR(C441&lt;DATE(2000,1,1),C441&gt;DATE(2099,12,31)),"Invalid date",IF(F441="","Select a revenue account",IF(ISNA(MATCH(F441,coa_Name,0)),"Unknown account: "&amp;F441,IF(NOT(ISNUMBER(G441)),"Enter an amount",IF(G441&lt;=0,"Amount must be positive",IF(S441&gt;G441,"Tax is larger than the amount",""))))))))))</f>
        <v/>
      </c>
      <c r="U441" s="67">
        <f>IF(OR(R441=1,T441&lt;&gt;""),"",IF(COUNTIF(ar_No,B441)&gt;1,"Duplicate invoice #",IF(D441="","Select a customer",IF(N(L441)&lt;0,"Overpaid by "&amp;TEXT(-L441,"#,##0.00"),IF(AND(ISNUMBER(H441),N(H441)&lt;&gt;0,S441=0),"Tax ignored (tax tracking is off)",IF(AND(ISNUMBER(StartDate),C441&lt;StartDate),"Date is before the accounting start date",IF(AND(IFERROR(INDEX(coa_Type,MATCH(F441,coa_Name,0)),"")&lt;&gt;"Revenue",IFERROR(INDEX(coa_Type,MATCH(F441,coa_Name,0)),"")&lt;&gt;"Other Income"),"Account is not a revenue account","")))))))</f>
        <v/>
      </c>
      <c r="V441" s="67">
        <f>IF(AND(R441=0,T441=""),1,0)</f>
        <v/>
      </c>
      <c r="W441" s="67">
        <f>IF(V441=1,acctAR,"")</f>
        <v/>
      </c>
      <c r="X441" s="67">
        <f>IF(V441=1,F441,"")</f>
        <v/>
      </c>
      <c r="Y441" s="68">
        <f>IF(V441=1,G441,0)</f>
        <v/>
      </c>
      <c r="Z441" s="68">
        <f>IF(V441=1,G441-S441,0)</f>
        <v/>
      </c>
      <c r="AA441" s="68">
        <f>IF(V441=1,S441,0)</f>
        <v/>
      </c>
    </row>
    <row r="442">
      <c r="B442" s="62" t="n"/>
      <c r="C442" s="63" t="n"/>
      <c r="D442" s="62" t="n"/>
      <c r="E442" s="62" t="n"/>
      <c r="F442" s="62" t="n"/>
      <c r="G442" s="64" t="n"/>
      <c r="H442" s="64" t="n"/>
      <c r="I442" s="63" t="n"/>
      <c r="J442" s="29">
        <f>IF(V442=1,IF(ISNUMBER(I442),I442,C442+IF(ISNUMBER(IFERROR(INDEX(cust_Terms,MATCH(D442,cust_Name,0)),"")),INDEX(cust_Terms,MATCH(D442,cust_Name,0)),TermsDays)),"")</f>
        <v/>
      </c>
      <c r="K442" s="65">
        <f>IF(V442=1,SUMIFS(tx_DrAmt,tx_Type,"Customer Payment",tx_Ref,B442&amp;"",tx_Date,"&lt;="&amp;AsOf),"")</f>
        <v/>
      </c>
      <c r="L442" s="65">
        <f>IF(V442=1,IF(C442&gt;AsOf,0,ROUND(G442-K442,2)),"")</f>
        <v/>
      </c>
      <c r="M442" s="66">
        <f>IF(V442&lt;&gt;1,"",IF(C442&gt;AsOf,"Future",IF(L442&lt;0,"Overpaid",IF(L442=0,"Paid",IF(AsOf&gt;J442,"Overdue",IF(K442&gt;0,"Partial","Unpaid"))))))</f>
        <v/>
      </c>
      <c r="N442" s="28">
        <f>IF(AND(V442=1,N(L442)&gt;0),AsOf-C442,"")</f>
        <v/>
      </c>
      <c r="O442" s="28">
        <f>IF(N442="","",MAX(0,AsOf-J442))</f>
        <v/>
      </c>
      <c r="P442" s="66">
        <f>IF(O442="","",IF(O442=0,"Current",IF(O442&lt;=30,"1-30",IF(O442&lt;=60,"31-60",IF(O442&lt;=90,"61-90","90+")))))</f>
        <v/>
      </c>
      <c r="Q442" s="66">
        <f>IF(T442&lt;&gt;"","⛔ "&amp;T442&amp;" — not posted",IF(U442&lt;&gt;"","⚠ "&amp;U442,IF(V442=1,"✓ OK","")))</f>
        <v/>
      </c>
      <c r="R442" s="67">
        <f>IF(AND(B442="",C442="",D442="",G442="",F442=""),1,0)</f>
        <v/>
      </c>
      <c r="S442" s="68">
        <f>IF(AND(TaxOn="Yes",ISNUMBER(H442)),H442,0)</f>
        <v/>
      </c>
      <c r="T442" s="67">
        <f>IF(R442=1,"",IF(B442="","Enter an invoice #",IF(C442="","Missing invoice date",IF(NOT(ISNUMBER(C442)),"Invalid date",IF(OR(C442&lt;DATE(2000,1,1),C442&gt;DATE(2099,12,31)),"Invalid date",IF(F442="","Select a revenue account",IF(ISNA(MATCH(F442,coa_Name,0)),"Unknown account: "&amp;F442,IF(NOT(ISNUMBER(G442)),"Enter an amount",IF(G442&lt;=0,"Amount must be positive",IF(S442&gt;G442,"Tax is larger than the amount",""))))))))))</f>
        <v/>
      </c>
      <c r="U442" s="67">
        <f>IF(OR(R442=1,T442&lt;&gt;""),"",IF(COUNTIF(ar_No,B442)&gt;1,"Duplicate invoice #",IF(D442="","Select a customer",IF(N(L442)&lt;0,"Overpaid by "&amp;TEXT(-L442,"#,##0.00"),IF(AND(ISNUMBER(H442),N(H442)&lt;&gt;0,S442=0),"Tax ignored (tax tracking is off)",IF(AND(ISNUMBER(StartDate),C442&lt;StartDate),"Date is before the accounting start date",IF(AND(IFERROR(INDEX(coa_Type,MATCH(F442,coa_Name,0)),"")&lt;&gt;"Revenue",IFERROR(INDEX(coa_Type,MATCH(F442,coa_Name,0)),"")&lt;&gt;"Other Income"),"Account is not a revenue account","")))))))</f>
        <v/>
      </c>
      <c r="V442" s="67">
        <f>IF(AND(R442=0,T442=""),1,0)</f>
        <v/>
      </c>
      <c r="W442" s="67">
        <f>IF(V442=1,acctAR,"")</f>
        <v/>
      </c>
      <c r="X442" s="67">
        <f>IF(V442=1,F442,"")</f>
        <v/>
      </c>
      <c r="Y442" s="68">
        <f>IF(V442=1,G442,0)</f>
        <v/>
      </c>
      <c r="Z442" s="68">
        <f>IF(V442=1,G442-S442,0)</f>
        <v/>
      </c>
      <c r="AA442" s="68">
        <f>IF(V442=1,S442,0)</f>
        <v/>
      </c>
    </row>
    <row r="443">
      <c r="B443" s="62" t="n"/>
      <c r="C443" s="63" t="n"/>
      <c r="D443" s="62" t="n"/>
      <c r="E443" s="62" t="n"/>
      <c r="F443" s="62" t="n"/>
      <c r="G443" s="64" t="n"/>
      <c r="H443" s="64" t="n"/>
      <c r="I443" s="63" t="n"/>
      <c r="J443" s="29">
        <f>IF(V443=1,IF(ISNUMBER(I443),I443,C443+IF(ISNUMBER(IFERROR(INDEX(cust_Terms,MATCH(D443,cust_Name,0)),"")),INDEX(cust_Terms,MATCH(D443,cust_Name,0)),TermsDays)),"")</f>
        <v/>
      </c>
      <c r="K443" s="65">
        <f>IF(V443=1,SUMIFS(tx_DrAmt,tx_Type,"Customer Payment",tx_Ref,B443&amp;"",tx_Date,"&lt;="&amp;AsOf),"")</f>
        <v/>
      </c>
      <c r="L443" s="65">
        <f>IF(V443=1,IF(C443&gt;AsOf,0,ROUND(G443-K443,2)),"")</f>
        <v/>
      </c>
      <c r="M443" s="66">
        <f>IF(V443&lt;&gt;1,"",IF(C443&gt;AsOf,"Future",IF(L443&lt;0,"Overpaid",IF(L443=0,"Paid",IF(AsOf&gt;J443,"Overdue",IF(K443&gt;0,"Partial","Unpaid"))))))</f>
        <v/>
      </c>
      <c r="N443" s="28">
        <f>IF(AND(V443=1,N(L443)&gt;0),AsOf-C443,"")</f>
        <v/>
      </c>
      <c r="O443" s="28">
        <f>IF(N443="","",MAX(0,AsOf-J443))</f>
        <v/>
      </c>
      <c r="P443" s="66">
        <f>IF(O443="","",IF(O443=0,"Current",IF(O443&lt;=30,"1-30",IF(O443&lt;=60,"31-60",IF(O443&lt;=90,"61-90","90+")))))</f>
        <v/>
      </c>
      <c r="Q443" s="66">
        <f>IF(T443&lt;&gt;"","⛔ "&amp;T443&amp;" — not posted",IF(U443&lt;&gt;"","⚠ "&amp;U443,IF(V443=1,"✓ OK","")))</f>
        <v/>
      </c>
      <c r="R443" s="67">
        <f>IF(AND(B443="",C443="",D443="",G443="",F443=""),1,0)</f>
        <v/>
      </c>
      <c r="S443" s="68">
        <f>IF(AND(TaxOn="Yes",ISNUMBER(H443)),H443,0)</f>
        <v/>
      </c>
      <c r="T443" s="67">
        <f>IF(R443=1,"",IF(B443="","Enter an invoice #",IF(C443="","Missing invoice date",IF(NOT(ISNUMBER(C443)),"Invalid date",IF(OR(C443&lt;DATE(2000,1,1),C443&gt;DATE(2099,12,31)),"Invalid date",IF(F443="","Select a revenue account",IF(ISNA(MATCH(F443,coa_Name,0)),"Unknown account: "&amp;F443,IF(NOT(ISNUMBER(G443)),"Enter an amount",IF(G443&lt;=0,"Amount must be positive",IF(S443&gt;G443,"Tax is larger than the amount",""))))))))))</f>
        <v/>
      </c>
      <c r="U443" s="67">
        <f>IF(OR(R443=1,T443&lt;&gt;""),"",IF(COUNTIF(ar_No,B443)&gt;1,"Duplicate invoice #",IF(D443="","Select a customer",IF(N(L443)&lt;0,"Overpaid by "&amp;TEXT(-L443,"#,##0.00"),IF(AND(ISNUMBER(H443),N(H443)&lt;&gt;0,S443=0),"Tax ignored (tax tracking is off)",IF(AND(ISNUMBER(StartDate),C443&lt;StartDate),"Date is before the accounting start date",IF(AND(IFERROR(INDEX(coa_Type,MATCH(F443,coa_Name,0)),"")&lt;&gt;"Revenue",IFERROR(INDEX(coa_Type,MATCH(F443,coa_Name,0)),"")&lt;&gt;"Other Income"),"Account is not a revenue account","")))))))</f>
        <v/>
      </c>
      <c r="V443" s="67">
        <f>IF(AND(R443=0,T443=""),1,0)</f>
        <v/>
      </c>
      <c r="W443" s="67">
        <f>IF(V443=1,acctAR,"")</f>
        <v/>
      </c>
      <c r="X443" s="67">
        <f>IF(V443=1,F443,"")</f>
        <v/>
      </c>
      <c r="Y443" s="68">
        <f>IF(V443=1,G443,0)</f>
        <v/>
      </c>
      <c r="Z443" s="68">
        <f>IF(V443=1,G443-S443,0)</f>
        <v/>
      </c>
      <c r="AA443" s="68">
        <f>IF(V443=1,S443,0)</f>
        <v/>
      </c>
    </row>
    <row r="444">
      <c r="B444" s="62" t="n"/>
      <c r="C444" s="63" t="n"/>
      <c r="D444" s="62" t="n"/>
      <c r="E444" s="62" t="n"/>
      <c r="F444" s="62" t="n"/>
      <c r="G444" s="64" t="n"/>
      <c r="H444" s="64" t="n"/>
      <c r="I444" s="63" t="n"/>
      <c r="J444" s="29">
        <f>IF(V444=1,IF(ISNUMBER(I444),I444,C444+IF(ISNUMBER(IFERROR(INDEX(cust_Terms,MATCH(D444,cust_Name,0)),"")),INDEX(cust_Terms,MATCH(D444,cust_Name,0)),TermsDays)),"")</f>
        <v/>
      </c>
      <c r="K444" s="65">
        <f>IF(V444=1,SUMIFS(tx_DrAmt,tx_Type,"Customer Payment",tx_Ref,B444&amp;"",tx_Date,"&lt;="&amp;AsOf),"")</f>
        <v/>
      </c>
      <c r="L444" s="65">
        <f>IF(V444=1,IF(C444&gt;AsOf,0,ROUND(G444-K444,2)),"")</f>
        <v/>
      </c>
      <c r="M444" s="66">
        <f>IF(V444&lt;&gt;1,"",IF(C444&gt;AsOf,"Future",IF(L444&lt;0,"Overpaid",IF(L444=0,"Paid",IF(AsOf&gt;J444,"Overdue",IF(K444&gt;0,"Partial","Unpaid"))))))</f>
        <v/>
      </c>
      <c r="N444" s="28">
        <f>IF(AND(V444=1,N(L444)&gt;0),AsOf-C444,"")</f>
        <v/>
      </c>
      <c r="O444" s="28">
        <f>IF(N444="","",MAX(0,AsOf-J444))</f>
        <v/>
      </c>
      <c r="P444" s="66">
        <f>IF(O444="","",IF(O444=0,"Current",IF(O444&lt;=30,"1-30",IF(O444&lt;=60,"31-60",IF(O444&lt;=90,"61-90","90+")))))</f>
        <v/>
      </c>
      <c r="Q444" s="66">
        <f>IF(T444&lt;&gt;"","⛔ "&amp;T444&amp;" — not posted",IF(U444&lt;&gt;"","⚠ "&amp;U444,IF(V444=1,"✓ OK","")))</f>
        <v/>
      </c>
      <c r="R444" s="67">
        <f>IF(AND(B444="",C444="",D444="",G444="",F444=""),1,0)</f>
        <v/>
      </c>
      <c r="S444" s="68">
        <f>IF(AND(TaxOn="Yes",ISNUMBER(H444)),H444,0)</f>
        <v/>
      </c>
      <c r="T444" s="67">
        <f>IF(R444=1,"",IF(B444="","Enter an invoice #",IF(C444="","Missing invoice date",IF(NOT(ISNUMBER(C444)),"Invalid date",IF(OR(C444&lt;DATE(2000,1,1),C444&gt;DATE(2099,12,31)),"Invalid date",IF(F444="","Select a revenue account",IF(ISNA(MATCH(F444,coa_Name,0)),"Unknown account: "&amp;F444,IF(NOT(ISNUMBER(G444)),"Enter an amount",IF(G444&lt;=0,"Amount must be positive",IF(S444&gt;G444,"Tax is larger than the amount",""))))))))))</f>
        <v/>
      </c>
      <c r="U444" s="67">
        <f>IF(OR(R444=1,T444&lt;&gt;""),"",IF(COUNTIF(ar_No,B444)&gt;1,"Duplicate invoice #",IF(D444="","Select a customer",IF(N(L444)&lt;0,"Overpaid by "&amp;TEXT(-L444,"#,##0.00"),IF(AND(ISNUMBER(H444),N(H444)&lt;&gt;0,S444=0),"Tax ignored (tax tracking is off)",IF(AND(ISNUMBER(StartDate),C444&lt;StartDate),"Date is before the accounting start date",IF(AND(IFERROR(INDEX(coa_Type,MATCH(F444,coa_Name,0)),"")&lt;&gt;"Revenue",IFERROR(INDEX(coa_Type,MATCH(F444,coa_Name,0)),"")&lt;&gt;"Other Income"),"Account is not a revenue account","")))))))</f>
        <v/>
      </c>
      <c r="V444" s="67">
        <f>IF(AND(R444=0,T444=""),1,0)</f>
        <v/>
      </c>
      <c r="W444" s="67">
        <f>IF(V444=1,acctAR,"")</f>
        <v/>
      </c>
      <c r="X444" s="67">
        <f>IF(V444=1,F444,"")</f>
        <v/>
      </c>
      <c r="Y444" s="68">
        <f>IF(V444=1,G444,0)</f>
        <v/>
      </c>
      <c r="Z444" s="68">
        <f>IF(V444=1,G444-S444,0)</f>
        <v/>
      </c>
      <c r="AA444" s="68">
        <f>IF(V444=1,S444,0)</f>
        <v/>
      </c>
    </row>
    <row r="445">
      <c r="B445" s="62" t="n"/>
      <c r="C445" s="63" t="n"/>
      <c r="D445" s="62" t="n"/>
      <c r="E445" s="62" t="n"/>
      <c r="F445" s="62" t="n"/>
      <c r="G445" s="64" t="n"/>
      <c r="H445" s="64" t="n"/>
      <c r="I445" s="63" t="n"/>
      <c r="J445" s="29">
        <f>IF(V445=1,IF(ISNUMBER(I445),I445,C445+IF(ISNUMBER(IFERROR(INDEX(cust_Terms,MATCH(D445,cust_Name,0)),"")),INDEX(cust_Terms,MATCH(D445,cust_Name,0)),TermsDays)),"")</f>
        <v/>
      </c>
      <c r="K445" s="65">
        <f>IF(V445=1,SUMIFS(tx_DrAmt,tx_Type,"Customer Payment",tx_Ref,B445&amp;"",tx_Date,"&lt;="&amp;AsOf),"")</f>
        <v/>
      </c>
      <c r="L445" s="65">
        <f>IF(V445=1,IF(C445&gt;AsOf,0,ROUND(G445-K445,2)),"")</f>
        <v/>
      </c>
      <c r="M445" s="66">
        <f>IF(V445&lt;&gt;1,"",IF(C445&gt;AsOf,"Future",IF(L445&lt;0,"Overpaid",IF(L445=0,"Paid",IF(AsOf&gt;J445,"Overdue",IF(K445&gt;0,"Partial","Unpaid"))))))</f>
        <v/>
      </c>
      <c r="N445" s="28">
        <f>IF(AND(V445=1,N(L445)&gt;0),AsOf-C445,"")</f>
        <v/>
      </c>
      <c r="O445" s="28">
        <f>IF(N445="","",MAX(0,AsOf-J445))</f>
        <v/>
      </c>
      <c r="P445" s="66">
        <f>IF(O445="","",IF(O445=0,"Current",IF(O445&lt;=30,"1-30",IF(O445&lt;=60,"31-60",IF(O445&lt;=90,"61-90","90+")))))</f>
        <v/>
      </c>
      <c r="Q445" s="66">
        <f>IF(T445&lt;&gt;"","⛔ "&amp;T445&amp;" — not posted",IF(U445&lt;&gt;"","⚠ "&amp;U445,IF(V445=1,"✓ OK","")))</f>
        <v/>
      </c>
      <c r="R445" s="67">
        <f>IF(AND(B445="",C445="",D445="",G445="",F445=""),1,0)</f>
        <v/>
      </c>
      <c r="S445" s="68">
        <f>IF(AND(TaxOn="Yes",ISNUMBER(H445)),H445,0)</f>
        <v/>
      </c>
      <c r="T445" s="67">
        <f>IF(R445=1,"",IF(B445="","Enter an invoice #",IF(C445="","Missing invoice date",IF(NOT(ISNUMBER(C445)),"Invalid date",IF(OR(C445&lt;DATE(2000,1,1),C445&gt;DATE(2099,12,31)),"Invalid date",IF(F445="","Select a revenue account",IF(ISNA(MATCH(F445,coa_Name,0)),"Unknown account: "&amp;F445,IF(NOT(ISNUMBER(G445)),"Enter an amount",IF(G445&lt;=0,"Amount must be positive",IF(S445&gt;G445,"Tax is larger than the amount",""))))))))))</f>
        <v/>
      </c>
      <c r="U445" s="67">
        <f>IF(OR(R445=1,T445&lt;&gt;""),"",IF(COUNTIF(ar_No,B445)&gt;1,"Duplicate invoice #",IF(D445="","Select a customer",IF(N(L445)&lt;0,"Overpaid by "&amp;TEXT(-L445,"#,##0.00"),IF(AND(ISNUMBER(H445),N(H445)&lt;&gt;0,S445=0),"Tax ignored (tax tracking is off)",IF(AND(ISNUMBER(StartDate),C445&lt;StartDate),"Date is before the accounting start date",IF(AND(IFERROR(INDEX(coa_Type,MATCH(F445,coa_Name,0)),"")&lt;&gt;"Revenue",IFERROR(INDEX(coa_Type,MATCH(F445,coa_Name,0)),"")&lt;&gt;"Other Income"),"Account is not a revenue account","")))))))</f>
        <v/>
      </c>
      <c r="V445" s="67">
        <f>IF(AND(R445=0,T445=""),1,0)</f>
        <v/>
      </c>
      <c r="W445" s="67">
        <f>IF(V445=1,acctAR,"")</f>
        <v/>
      </c>
      <c r="X445" s="67">
        <f>IF(V445=1,F445,"")</f>
        <v/>
      </c>
      <c r="Y445" s="68">
        <f>IF(V445=1,G445,0)</f>
        <v/>
      </c>
      <c r="Z445" s="68">
        <f>IF(V445=1,G445-S445,0)</f>
        <v/>
      </c>
      <c r="AA445" s="68">
        <f>IF(V445=1,S445,0)</f>
        <v/>
      </c>
    </row>
    <row r="446">
      <c r="B446" s="62" t="n"/>
      <c r="C446" s="63" t="n"/>
      <c r="D446" s="62" t="n"/>
      <c r="E446" s="62" t="n"/>
      <c r="F446" s="62" t="n"/>
      <c r="G446" s="64" t="n"/>
      <c r="H446" s="64" t="n"/>
      <c r="I446" s="63" t="n"/>
      <c r="J446" s="29">
        <f>IF(V446=1,IF(ISNUMBER(I446),I446,C446+IF(ISNUMBER(IFERROR(INDEX(cust_Terms,MATCH(D446,cust_Name,0)),"")),INDEX(cust_Terms,MATCH(D446,cust_Name,0)),TermsDays)),"")</f>
        <v/>
      </c>
      <c r="K446" s="65">
        <f>IF(V446=1,SUMIFS(tx_DrAmt,tx_Type,"Customer Payment",tx_Ref,B446&amp;"",tx_Date,"&lt;="&amp;AsOf),"")</f>
        <v/>
      </c>
      <c r="L446" s="65">
        <f>IF(V446=1,IF(C446&gt;AsOf,0,ROUND(G446-K446,2)),"")</f>
        <v/>
      </c>
      <c r="M446" s="66">
        <f>IF(V446&lt;&gt;1,"",IF(C446&gt;AsOf,"Future",IF(L446&lt;0,"Overpaid",IF(L446=0,"Paid",IF(AsOf&gt;J446,"Overdue",IF(K446&gt;0,"Partial","Unpaid"))))))</f>
        <v/>
      </c>
      <c r="N446" s="28">
        <f>IF(AND(V446=1,N(L446)&gt;0),AsOf-C446,"")</f>
        <v/>
      </c>
      <c r="O446" s="28">
        <f>IF(N446="","",MAX(0,AsOf-J446))</f>
        <v/>
      </c>
      <c r="P446" s="66">
        <f>IF(O446="","",IF(O446=0,"Current",IF(O446&lt;=30,"1-30",IF(O446&lt;=60,"31-60",IF(O446&lt;=90,"61-90","90+")))))</f>
        <v/>
      </c>
      <c r="Q446" s="66">
        <f>IF(T446&lt;&gt;"","⛔ "&amp;T446&amp;" — not posted",IF(U446&lt;&gt;"","⚠ "&amp;U446,IF(V446=1,"✓ OK","")))</f>
        <v/>
      </c>
      <c r="R446" s="67">
        <f>IF(AND(B446="",C446="",D446="",G446="",F446=""),1,0)</f>
        <v/>
      </c>
      <c r="S446" s="68">
        <f>IF(AND(TaxOn="Yes",ISNUMBER(H446)),H446,0)</f>
        <v/>
      </c>
      <c r="T446" s="67">
        <f>IF(R446=1,"",IF(B446="","Enter an invoice #",IF(C446="","Missing invoice date",IF(NOT(ISNUMBER(C446)),"Invalid date",IF(OR(C446&lt;DATE(2000,1,1),C446&gt;DATE(2099,12,31)),"Invalid date",IF(F446="","Select a revenue account",IF(ISNA(MATCH(F446,coa_Name,0)),"Unknown account: "&amp;F446,IF(NOT(ISNUMBER(G446)),"Enter an amount",IF(G446&lt;=0,"Amount must be positive",IF(S446&gt;G446,"Tax is larger than the amount",""))))))))))</f>
        <v/>
      </c>
      <c r="U446" s="67">
        <f>IF(OR(R446=1,T446&lt;&gt;""),"",IF(COUNTIF(ar_No,B446)&gt;1,"Duplicate invoice #",IF(D446="","Select a customer",IF(N(L446)&lt;0,"Overpaid by "&amp;TEXT(-L446,"#,##0.00"),IF(AND(ISNUMBER(H446),N(H446)&lt;&gt;0,S446=0),"Tax ignored (tax tracking is off)",IF(AND(ISNUMBER(StartDate),C446&lt;StartDate),"Date is before the accounting start date",IF(AND(IFERROR(INDEX(coa_Type,MATCH(F446,coa_Name,0)),"")&lt;&gt;"Revenue",IFERROR(INDEX(coa_Type,MATCH(F446,coa_Name,0)),"")&lt;&gt;"Other Income"),"Account is not a revenue account","")))))))</f>
        <v/>
      </c>
      <c r="V446" s="67">
        <f>IF(AND(R446=0,T446=""),1,0)</f>
        <v/>
      </c>
      <c r="W446" s="67">
        <f>IF(V446=1,acctAR,"")</f>
        <v/>
      </c>
      <c r="X446" s="67">
        <f>IF(V446=1,F446,"")</f>
        <v/>
      </c>
      <c r="Y446" s="68">
        <f>IF(V446=1,G446,0)</f>
        <v/>
      </c>
      <c r="Z446" s="68">
        <f>IF(V446=1,G446-S446,0)</f>
        <v/>
      </c>
      <c r="AA446" s="68">
        <f>IF(V446=1,S446,0)</f>
        <v/>
      </c>
    </row>
    <row r="447">
      <c r="B447" s="62" t="n"/>
      <c r="C447" s="63" t="n"/>
      <c r="D447" s="62" t="n"/>
      <c r="E447" s="62" t="n"/>
      <c r="F447" s="62" t="n"/>
      <c r="G447" s="64" t="n"/>
      <c r="H447" s="64" t="n"/>
      <c r="I447" s="63" t="n"/>
      <c r="J447" s="29">
        <f>IF(V447=1,IF(ISNUMBER(I447),I447,C447+IF(ISNUMBER(IFERROR(INDEX(cust_Terms,MATCH(D447,cust_Name,0)),"")),INDEX(cust_Terms,MATCH(D447,cust_Name,0)),TermsDays)),"")</f>
        <v/>
      </c>
      <c r="K447" s="65">
        <f>IF(V447=1,SUMIFS(tx_DrAmt,tx_Type,"Customer Payment",tx_Ref,B447&amp;"",tx_Date,"&lt;="&amp;AsOf),"")</f>
        <v/>
      </c>
      <c r="L447" s="65">
        <f>IF(V447=1,IF(C447&gt;AsOf,0,ROUND(G447-K447,2)),"")</f>
        <v/>
      </c>
      <c r="M447" s="66">
        <f>IF(V447&lt;&gt;1,"",IF(C447&gt;AsOf,"Future",IF(L447&lt;0,"Overpaid",IF(L447=0,"Paid",IF(AsOf&gt;J447,"Overdue",IF(K447&gt;0,"Partial","Unpaid"))))))</f>
        <v/>
      </c>
      <c r="N447" s="28">
        <f>IF(AND(V447=1,N(L447)&gt;0),AsOf-C447,"")</f>
        <v/>
      </c>
      <c r="O447" s="28">
        <f>IF(N447="","",MAX(0,AsOf-J447))</f>
        <v/>
      </c>
      <c r="P447" s="66">
        <f>IF(O447="","",IF(O447=0,"Current",IF(O447&lt;=30,"1-30",IF(O447&lt;=60,"31-60",IF(O447&lt;=90,"61-90","90+")))))</f>
        <v/>
      </c>
      <c r="Q447" s="66">
        <f>IF(T447&lt;&gt;"","⛔ "&amp;T447&amp;" — not posted",IF(U447&lt;&gt;"","⚠ "&amp;U447,IF(V447=1,"✓ OK","")))</f>
        <v/>
      </c>
      <c r="R447" s="67">
        <f>IF(AND(B447="",C447="",D447="",G447="",F447=""),1,0)</f>
        <v/>
      </c>
      <c r="S447" s="68">
        <f>IF(AND(TaxOn="Yes",ISNUMBER(H447)),H447,0)</f>
        <v/>
      </c>
      <c r="T447" s="67">
        <f>IF(R447=1,"",IF(B447="","Enter an invoice #",IF(C447="","Missing invoice date",IF(NOT(ISNUMBER(C447)),"Invalid date",IF(OR(C447&lt;DATE(2000,1,1),C447&gt;DATE(2099,12,31)),"Invalid date",IF(F447="","Select a revenue account",IF(ISNA(MATCH(F447,coa_Name,0)),"Unknown account: "&amp;F447,IF(NOT(ISNUMBER(G447)),"Enter an amount",IF(G447&lt;=0,"Amount must be positive",IF(S447&gt;G447,"Tax is larger than the amount",""))))))))))</f>
        <v/>
      </c>
      <c r="U447" s="67">
        <f>IF(OR(R447=1,T447&lt;&gt;""),"",IF(COUNTIF(ar_No,B447)&gt;1,"Duplicate invoice #",IF(D447="","Select a customer",IF(N(L447)&lt;0,"Overpaid by "&amp;TEXT(-L447,"#,##0.00"),IF(AND(ISNUMBER(H447),N(H447)&lt;&gt;0,S447=0),"Tax ignored (tax tracking is off)",IF(AND(ISNUMBER(StartDate),C447&lt;StartDate),"Date is before the accounting start date",IF(AND(IFERROR(INDEX(coa_Type,MATCH(F447,coa_Name,0)),"")&lt;&gt;"Revenue",IFERROR(INDEX(coa_Type,MATCH(F447,coa_Name,0)),"")&lt;&gt;"Other Income"),"Account is not a revenue account","")))))))</f>
        <v/>
      </c>
      <c r="V447" s="67">
        <f>IF(AND(R447=0,T447=""),1,0)</f>
        <v/>
      </c>
      <c r="W447" s="67">
        <f>IF(V447=1,acctAR,"")</f>
        <v/>
      </c>
      <c r="X447" s="67">
        <f>IF(V447=1,F447,"")</f>
        <v/>
      </c>
      <c r="Y447" s="68">
        <f>IF(V447=1,G447,0)</f>
        <v/>
      </c>
      <c r="Z447" s="68">
        <f>IF(V447=1,G447-S447,0)</f>
        <v/>
      </c>
      <c r="AA447" s="68">
        <f>IF(V447=1,S447,0)</f>
        <v/>
      </c>
    </row>
    <row r="448">
      <c r="B448" s="62" t="n"/>
      <c r="C448" s="63" t="n"/>
      <c r="D448" s="62" t="n"/>
      <c r="E448" s="62" t="n"/>
      <c r="F448" s="62" t="n"/>
      <c r="G448" s="64" t="n"/>
      <c r="H448" s="64" t="n"/>
      <c r="I448" s="63" t="n"/>
      <c r="J448" s="29">
        <f>IF(V448=1,IF(ISNUMBER(I448),I448,C448+IF(ISNUMBER(IFERROR(INDEX(cust_Terms,MATCH(D448,cust_Name,0)),"")),INDEX(cust_Terms,MATCH(D448,cust_Name,0)),TermsDays)),"")</f>
        <v/>
      </c>
      <c r="K448" s="65">
        <f>IF(V448=1,SUMIFS(tx_DrAmt,tx_Type,"Customer Payment",tx_Ref,B448&amp;"",tx_Date,"&lt;="&amp;AsOf),"")</f>
        <v/>
      </c>
      <c r="L448" s="65">
        <f>IF(V448=1,IF(C448&gt;AsOf,0,ROUND(G448-K448,2)),"")</f>
        <v/>
      </c>
      <c r="M448" s="66">
        <f>IF(V448&lt;&gt;1,"",IF(C448&gt;AsOf,"Future",IF(L448&lt;0,"Overpaid",IF(L448=0,"Paid",IF(AsOf&gt;J448,"Overdue",IF(K448&gt;0,"Partial","Unpaid"))))))</f>
        <v/>
      </c>
      <c r="N448" s="28">
        <f>IF(AND(V448=1,N(L448)&gt;0),AsOf-C448,"")</f>
        <v/>
      </c>
      <c r="O448" s="28">
        <f>IF(N448="","",MAX(0,AsOf-J448))</f>
        <v/>
      </c>
      <c r="P448" s="66">
        <f>IF(O448="","",IF(O448=0,"Current",IF(O448&lt;=30,"1-30",IF(O448&lt;=60,"31-60",IF(O448&lt;=90,"61-90","90+")))))</f>
        <v/>
      </c>
      <c r="Q448" s="66">
        <f>IF(T448&lt;&gt;"","⛔ "&amp;T448&amp;" — not posted",IF(U448&lt;&gt;"","⚠ "&amp;U448,IF(V448=1,"✓ OK","")))</f>
        <v/>
      </c>
      <c r="R448" s="67">
        <f>IF(AND(B448="",C448="",D448="",G448="",F448=""),1,0)</f>
        <v/>
      </c>
      <c r="S448" s="68">
        <f>IF(AND(TaxOn="Yes",ISNUMBER(H448)),H448,0)</f>
        <v/>
      </c>
      <c r="T448" s="67">
        <f>IF(R448=1,"",IF(B448="","Enter an invoice #",IF(C448="","Missing invoice date",IF(NOT(ISNUMBER(C448)),"Invalid date",IF(OR(C448&lt;DATE(2000,1,1),C448&gt;DATE(2099,12,31)),"Invalid date",IF(F448="","Select a revenue account",IF(ISNA(MATCH(F448,coa_Name,0)),"Unknown account: "&amp;F448,IF(NOT(ISNUMBER(G448)),"Enter an amount",IF(G448&lt;=0,"Amount must be positive",IF(S448&gt;G448,"Tax is larger than the amount",""))))))))))</f>
        <v/>
      </c>
      <c r="U448" s="67">
        <f>IF(OR(R448=1,T448&lt;&gt;""),"",IF(COUNTIF(ar_No,B448)&gt;1,"Duplicate invoice #",IF(D448="","Select a customer",IF(N(L448)&lt;0,"Overpaid by "&amp;TEXT(-L448,"#,##0.00"),IF(AND(ISNUMBER(H448),N(H448)&lt;&gt;0,S448=0),"Tax ignored (tax tracking is off)",IF(AND(ISNUMBER(StartDate),C448&lt;StartDate),"Date is before the accounting start date",IF(AND(IFERROR(INDEX(coa_Type,MATCH(F448,coa_Name,0)),"")&lt;&gt;"Revenue",IFERROR(INDEX(coa_Type,MATCH(F448,coa_Name,0)),"")&lt;&gt;"Other Income"),"Account is not a revenue account","")))))))</f>
        <v/>
      </c>
      <c r="V448" s="67">
        <f>IF(AND(R448=0,T448=""),1,0)</f>
        <v/>
      </c>
      <c r="W448" s="67">
        <f>IF(V448=1,acctAR,"")</f>
        <v/>
      </c>
      <c r="X448" s="67">
        <f>IF(V448=1,F448,"")</f>
        <v/>
      </c>
      <c r="Y448" s="68">
        <f>IF(V448=1,G448,0)</f>
        <v/>
      </c>
      <c r="Z448" s="68">
        <f>IF(V448=1,G448-S448,0)</f>
        <v/>
      </c>
      <c r="AA448" s="68">
        <f>IF(V448=1,S448,0)</f>
        <v/>
      </c>
    </row>
    <row r="449">
      <c r="B449" s="62" t="n"/>
      <c r="C449" s="63" t="n"/>
      <c r="D449" s="62" t="n"/>
      <c r="E449" s="62" t="n"/>
      <c r="F449" s="62" t="n"/>
      <c r="G449" s="64" t="n"/>
      <c r="H449" s="64" t="n"/>
      <c r="I449" s="63" t="n"/>
      <c r="J449" s="29">
        <f>IF(V449=1,IF(ISNUMBER(I449),I449,C449+IF(ISNUMBER(IFERROR(INDEX(cust_Terms,MATCH(D449,cust_Name,0)),"")),INDEX(cust_Terms,MATCH(D449,cust_Name,0)),TermsDays)),"")</f>
        <v/>
      </c>
      <c r="K449" s="65">
        <f>IF(V449=1,SUMIFS(tx_DrAmt,tx_Type,"Customer Payment",tx_Ref,B449&amp;"",tx_Date,"&lt;="&amp;AsOf),"")</f>
        <v/>
      </c>
      <c r="L449" s="65">
        <f>IF(V449=1,IF(C449&gt;AsOf,0,ROUND(G449-K449,2)),"")</f>
        <v/>
      </c>
      <c r="M449" s="66">
        <f>IF(V449&lt;&gt;1,"",IF(C449&gt;AsOf,"Future",IF(L449&lt;0,"Overpaid",IF(L449=0,"Paid",IF(AsOf&gt;J449,"Overdue",IF(K449&gt;0,"Partial","Unpaid"))))))</f>
        <v/>
      </c>
      <c r="N449" s="28">
        <f>IF(AND(V449=1,N(L449)&gt;0),AsOf-C449,"")</f>
        <v/>
      </c>
      <c r="O449" s="28">
        <f>IF(N449="","",MAX(0,AsOf-J449))</f>
        <v/>
      </c>
      <c r="P449" s="66">
        <f>IF(O449="","",IF(O449=0,"Current",IF(O449&lt;=30,"1-30",IF(O449&lt;=60,"31-60",IF(O449&lt;=90,"61-90","90+")))))</f>
        <v/>
      </c>
      <c r="Q449" s="66">
        <f>IF(T449&lt;&gt;"","⛔ "&amp;T449&amp;" — not posted",IF(U449&lt;&gt;"","⚠ "&amp;U449,IF(V449=1,"✓ OK","")))</f>
        <v/>
      </c>
      <c r="R449" s="67">
        <f>IF(AND(B449="",C449="",D449="",G449="",F449=""),1,0)</f>
        <v/>
      </c>
      <c r="S449" s="68">
        <f>IF(AND(TaxOn="Yes",ISNUMBER(H449)),H449,0)</f>
        <v/>
      </c>
      <c r="T449" s="67">
        <f>IF(R449=1,"",IF(B449="","Enter an invoice #",IF(C449="","Missing invoice date",IF(NOT(ISNUMBER(C449)),"Invalid date",IF(OR(C449&lt;DATE(2000,1,1),C449&gt;DATE(2099,12,31)),"Invalid date",IF(F449="","Select a revenue account",IF(ISNA(MATCH(F449,coa_Name,0)),"Unknown account: "&amp;F449,IF(NOT(ISNUMBER(G449)),"Enter an amount",IF(G449&lt;=0,"Amount must be positive",IF(S449&gt;G449,"Tax is larger than the amount",""))))))))))</f>
        <v/>
      </c>
      <c r="U449" s="67">
        <f>IF(OR(R449=1,T449&lt;&gt;""),"",IF(COUNTIF(ar_No,B449)&gt;1,"Duplicate invoice #",IF(D449="","Select a customer",IF(N(L449)&lt;0,"Overpaid by "&amp;TEXT(-L449,"#,##0.00"),IF(AND(ISNUMBER(H449),N(H449)&lt;&gt;0,S449=0),"Tax ignored (tax tracking is off)",IF(AND(ISNUMBER(StartDate),C449&lt;StartDate),"Date is before the accounting start date",IF(AND(IFERROR(INDEX(coa_Type,MATCH(F449,coa_Name,0)),"")&lt;&gt;"Revenue",IFERROR(INDEX(coa_Type,MATCH(F449,coa_Name,0)),"")&lt;&gt;"Other Income"),"Account is not a revenue account","")))))))</f>
        <v/>
      </c>
      <c r="V449" s="67">
        <f>IF(AND(R449=0,T449=""),1,0)</f>
        <v/>
      </c>
      <c r="W449" s="67">
        <f>IF(V449=1,acctAR,"")</f>
        <v/>
      </c>
      <c r="X449" s="67">
        <f>IF(V449=1,F449,"")</f>
        <v/>
      </c>
      <c r="Y449" s="68">
        <f>IF(V449=1,G449,0)</f>
        <v/>
      </c>
      <c r="Z449" s="68">
        <f>IF(V449=1,G449-S449,0)</f>
        <v/>
      </c>
      <c r="AA449" s="68">
        <f>IF(V449=1,S449,0)</f>
        <v/>
      </c>
    </row>
    <row r="450">
      <c r="B450" s="62" t="n"/>
      <c r="C450" s="63" t="n"/>
      <c r="D450" s="62" t="n"/>
      <c r="E450" s="62" t="n"/>
      <c r="F450" s="62" t="n"/>
      <c r="G450" s="64" t="n"/>
      <c r="H450" s="64" t="n"/>
      <c r="I450" s="63" t="n"/>
      <c r="J450" s="29">
        <f>IF(V450=1,IF(ISNUMBER(I450),I450,C450+IF(ISNUMBER(IFERROR(INDEX(cust_Terms,MATCH(D450,cust_Name,0)),"")),INDEX(cust_Terms,MATCH(D450,cust_Name,0)),TermsDays)),"")</f>
        <v/>
      </c>
      <c r="K450" s="65">
        <f>IF(V450=1,SUMIFS(tx_DrAmt,tx_Type,"Customer Payment",tx_Ref,B450&amp;"",tx_Date,"&lt;="&amp;AsOf),"")</f>
        <v/>
      </c>
      <c r="L450" s="65">
        <f>IF(V450=1,IF(C450&gt;AsOf,0,ROUND(G450-K450,2)),"")</f>
        <v/>
      </c>
      <c r="M450" s="66">
        <f>IF(V450&lt;&gt;1,"",IF(C450&gt;AsOf,"Future",IF(L450&lt;0,"Overpaid",IF(L450=0,"Paid",IF(AsOf&gt;J450,"Overdue",IF(K450&gt;0,"Partial","Unpaid"))))))</f>
        <v/>
      </c>
      <c r="N450" s="28">
        <f>IF(AND(V450=1,N(L450)&gt;0),AsOf-C450,"")</f>
        <v/>
      </c>
      <c r="O450" s="28">
        <f>IF(N450="","",MAX(0,AsOf-J450))</f>
        <v/>
      </c>
      <c r="P450" s="66">
        <f>IF(O450="","",IF(O450=0,"Current",IF(O450&lt;=30,"1-30",IF(O450&lt;=60,"31-60",IF(O450&lt;=90,"61-90","90+")))))</f>
        <v/>
      </c>
      <c r="Q450" s="66">
        <f>IF(T450&lt;&gt;"","⛔ "&amp;T450&amp;" — not posted",IF(U450&lt;&gt;"","⚠ "&amp;U450,IF(V450=1,"✓ OK","")))</f>
        <v/>
      </c>
      <c r="R450" s="67">
        <f>IF(AND(B450="",C450="",D450="",G450="",F450=""),1,0)</f>
        <v/>
      </c>
      <c r="S450" s="68">
        <f>IF(AND(TaxOn="Yes",ISNUMBER(H450)),H450,0)</f>
        <v/>
      </c>
      <c r="T450" s="67">
        <f>IF(R450=1,"",IF(B450="","Enter an invoice #",IF(C450="","Missing invoice date",IF(NOT(ISNUMBER(C450)),"Invalid date",IF(OR(C450&lt;DATE(2000,1,1),C450&gt;DATE(2099,12,31)),"Invalid date",IF(F450="","Select a revenue account",IF(ISNA(MATCH(F450,coa_Name,0)),"Unknown account: "&amp;F450,IF(NOT(ISNUMBER(G450)),"Enter an amount",IF(G450&lt;=0,"Amount must be positive",IF(S450&gt;G450,"Tax is larger than the amount",""))))))))))</f>
        <v/>
      </c>
      <c r="U450" s="67">
        <f>IF(OR(R450=1,T450&lt;&gt;""),"",IF(COUNTIF(ar_No,B450)&gt;1,"Duplicate invoice #",IF(D450="","Select a customer",IF(N(L450)&lt;0,"Overpaid by "&amp;TEXT(-L450,"#,##0.00"),IF(AND(ISNUMBER(H450),N(H450)&lt;&gt;0,S450=0),"Tax ignored (tax tracking is off)",IF(AND(ISNUMBER(StartDate),C450&lt;StartDate),"Date is before the accounting start date",IF(AND(IFERROR(INDEX(coa_Type,MATCH(F450,coa_Name,0)),"")&lt;&gt;"Revenue",IFERROR(INDEX(coa_Type,MATCH(F450,coa_Name,0)),"")&lt;&gt;"Other Income"),"Account is not a revenue account","")))))))</f>
        <v/>
      </c>
      <c r="V450" s="67">
        <f>IF(AND(R450=0,T450=""),1,0)</f>
        <v/>
      </c>
      <c r="W450" s="67">
        <f>IF(V450=1,acctAR,"")</f>
        <v/>
      </c>
      <c r="X450" s="67">
        <f>IF(V450=1,F450,"")</f>
        <v/>
      </c>
      <c r="Y450" s="68">
        <f>IF(V450=1,G450,0)</f>
        <v/>
      </c>
      <c r="Z450" s="68">
        <f>IF(V450=1,G450-S450,0)</f>
        <v/>
      </c>
      <c r="AA450" s="68">
        <f>IF(V450=1,S450,0)</f>
        <v/>
      </c>
    </row>
    <row r="451">
      <c r="B451" s="62" t="n"/>
      <c r="C451" s="63" t="n"/>
      <c r="D451" s="62" t="n"/>
      <c r="E451" s="62" t="n"/>
      <c r="F451" s="62" t="n"/>
      <c r="G451" s="64" t="n"/>
      <c r="H451" s="64" t="n"/>
      <c r="I451" s="63" t="n"/>
      <c r="J451" s="29">
        <f>IF(V451=1,IF(ISNUMBER(I451),I451,C451+IF(ISNUMBER(IFERROR(INDEX(cust_Terms,MATCH(D451,cust_Name,0)),"")),INDEX(cust_Terms,MATCH(D451,cust_Name,0)),TermsDays)),"")</f>
        <v/>
      </c>
      <c r="K451" s="65">
        <f>IF(V451=1,SUMIFS(tx_DrAmt,tx_Type,"Customer Payment",tx_Ref,B451&amp;"",tx_Date,"&lt;="&amp;AsOf),"")</f>
        <v/>
      </c>
      <c r="L451" s="65">
        <f>IF(V451=1,IF(C451&gt;AsOf,0,ROUND(G451-K451,2)),"")</f>
        <v/>
      </c>
      <c r="M451" s="66">
        <f>IF(V451&lt;&gt;1,"",IF(C451&gt;AsOf,"Future",IF(L451&lt;0,"Overpaid",IF(L451=0,"Paid",IF(AsOf&gt;J451,"Overdue",IF(K451&gt;0,"Partial","Unpaid"))))))</f>
        <v/>
      </c>
      <c r="N451" s="28">
        <f>IF(AND(V451=1,N(L451)&gt;0),AsOf-C451,"")</f>
        <v/>
      </c>
      <c r="O451" s="28">
        <f>IF(N451="","",MAX(0,AsOf-J451))</f>
        <v/>
      </c>
      <c r="P451" s="66">
        <f>IF(O451="","",IF(O451=0,"Current",IF(O451&lt;=30,"1-30",IF(O451&lt;=60,"31-60",IF(O451&lt;=90,"61-90","90+")))))</f>
        <v/>
      </c>
      <c r="Q451" s="66">
        <f>IF(T451&lt;&gt;"","⛔ "&amp;T451&amp;" — not posted",IF(U451&lt;&gt;"","⚠ "&amp;U451,IF(V451=1,"✓ OK","")))</f>
        <v/>
      </c>
      <c r="R451" s="67">
        <f>IF(AND(B451="",C451="",D451="",G451="",F451=""),1,0)</f>
        <v/>
      </c>
      <c r="S451" s="68">
        <f>IF(AND(TaxOn="Yes",ISNUMBER(H451)),H451,0)</f>
        <v/>
      </c>
      <c r="T451" s="67">
        <f>IF(R451=1,"",IF(B451="","Enter an invoice #",IF(C451="","Missing invoice date",IF(NOT(ISNUMBER(C451)),"Invalid date",IF(OR(C451&lt;DATE(2000,1,1),C451&gt;DATE(2099,12,31)),"Invalid date",IF(F451="","Select a revenue account",IF(ISNA(MATCH(F451,coa_Name,0)),"Unknown account: "&amp;F451,IF(NOT(ISNUMBER(G451)),"Enter an amount",IF(G451&lt;=0,"Amount must be positive",IF(S451&gt;G451,"Tax is larger than the amount",""))))))))))</f>
        <v/>
      </c>
      <c r="U451" s="67">
        <f>IF(OR(R451=1,T451&lt;&gt;""),"",IF(COUNTIF(ar_No,B451)&gt;1,"Duplicate invoice #",IF(D451="","Select a customer",IF(N(L451)&lt;0,"Overpaid by "&amp;TEXT(-L451,"#,##0.00"),IF(AND(ISNUMBER(H451),N(H451)&lt;&gt;0,S451=0),"Tax ignored (tax tracking is off)",IF(AND(ISNUMBER(StartDate),C451&lt;StartDate),"Date is before the accounting start date",IF(AND(IFERROR(INDEX(coa_Type,MATCH(F451,coa_Name,0)),"")&lt;&gt;"Revenue",IFERROR(INDEX(coa_Type,MATCH(F451,coa_Name,0)),"")&lt;&gt;"Other Income"),"Account is not a revenue account","")))))))</f>
        <v/>
      </c>
      <c r="V451" s="67">
        <f>IF(AND(R451=0,T451=""),1,0)</f>
        <v/>
      </c>
      <c r="W451" s="67">
        <f>IF(V451=1,acctAR,"")</f>
        <v/>
      </c>
      <c r="X451" s="67">
        <f>IF(V451=1,F451,"")</f>
        <v/>
      </c>
      <c r="Y451" s="68">
        <f>IF(V451=1,G451,0)</f>
        <v/>
      </c>
      <c r="Z451" s="68">
        <f>IF(V451=1,G451-S451,0)</f>
        <v/>
      </c>
      <c r="AA451" s="68">
        <f>IF(V451=1,S451,0)</f>
        <v/>
      </c>
    </row>
    <row r="452">
      <c r="B452" s="62" t="n"/>
      <c r="C452" s="63" t="n"/>
      <c r="D452" s="62" t="n"/>
      <c r="E452" s="62" t="n"/>
      <c r="F452" s="62" t="n"/>
      <c r="G452" s="64" t="n"/>
      <c r="H452" s="64" t="n"/>
      <c r="I452" s="63" t="n"/>
      <c r="J452" s="29">
        <f>IF(V452=1,IF(ISNUMBER(I452),I452,C452+IF(ISNUMBER(IFERROR(INDEX(cust_Terms,MATCH(D452,cust_Name,0)),"")),INDEX(cust_Terms,MATCH(D452,cust_Name,0)),TermsDays)),"")</f>
        <v/>
      </c>
      <c r="K452" s="65">
        <f>IF(V452=1,SUMIFS(tx_DrAmt,tx_Type,"Customer Payment",tx_Ref,B452&amp;"",tx_Date,"&lt;="&amp;AsOf),"")</f>
        <v/>
      </c>
      <c r="L452" s="65">
        <f>IF(V452=1,IF(C452&gt;AsOf,0,ROUND(G452-K452,2)),"")</f>
        <v/>
      </c>
      <c r="M452" s="66">
        <f>IF(V452&lt;&gt;1,"",IF(C452&gt;AsOf,"Future",IF(L452&lt;0,"Overpaid",IF(L452=0,"Paid",IF(AsOf&gt;J452,"Overdue",IF(K452&gt;0,"Partial","Unpaid"))))))</f>
        <v/>
      </c>
      <c r="N452" s="28">
        <f>IF(AND(V452=1,N(L452)&gt;0),AsOf-C452,"")</f>
        <v/>
      </c>
      <c r="O452" s="28">
        <f>IF(N452="","",MAX(0,AsOf-J452))</f>
        <v/>
      </c>
      <c r="P452" s="66">
        <f>IF(O452="","",IF(O452=0,"Current",IF(O452&lt;=30,"1-30",IF(O452&lt;=60,"31-60",IF(O452&lt;=90,"61-90","90+")))))</f>
        <v/>
      </c>
      <c r="Q452" s="66">
        <f>IF(T452&lt;&gt;"","⛔ "&amp;T452&amp;" — not posted",IF(U452&lt;&gt;"","⚠ "&amp;U452,IF(V452=1,"✓ OK","")))</f>
        <v/>
      </c>
      <c r="R452" s="67">
        <f>IF(AND(B452="",C452="",D452="",G452="",F452=""),1,0)</f>
        <v/>
      </c>
      <c r="S452" s="68">
        <f>IF(AND(TaxOn="Yes",ISNUMBER(H452)),H452,0)</f>
        <v/>
      </c>
      <c r="T452" s="67">
        <f>IF(R452=1,"",IF(B452="","Enter an invoice #",IF(C452="","Missing invoice date",IF(NOT(ISNUMBER(C452)),"Invalid date",IF(OR(C452&lt;DATE(2000,1,1),C452&gt;DATE(2099,12,31)),"Invalid date",IF(F452="","Select a revenue account",IF(ISNA(MATCH(F452,coa_Name,0)),"Unknown account: "&amp;F452,IF(NOT(ISNUMBER(G452)),"Enter an amount",IF(G452&lt;=0,"Amount must be positive",IF(S452&gt;G452,"Tax is larger than the amount",""))))))))))</f>
        <v/>
      </c>
      <c r="U452" s="67">
        <f>IF(OR(R452=1,T452&lt;&gt;""),"",IF(COUNTIF(ar_No,B452)&gt;1,"Duplicate invoice #",IF(D452="","Select a customer",IF(N(L452)&lt;0,"Overpaid by "&amp;TEXT(-L452,"#,##0.00"),IF(AND(ISNUMBER(H452),N(H452)&lt;&gt;0,S452=0),"Tax ignored (tax tracking is off)",IF(AND(ISNUMBER(StartDate),C452&lt;StartDate),"Date is before the accounting start date",IF(AND(IFERROR(INDEX(coa_Type,MATCH(F452,coa_Name,0)),"")&lt;&gt;"Revenue",IFERROR(INDEX(coa_Type,MATCH(F452,coa_Name,0)),"")&lt;&gt;"Other Income"),"Account is not a revenue account","")))))))</f>
        <v/>
      </c>
      <c r="V452" s="67">
        <f>IF(AND(R452=0,T452=""),1,0)</f>
        <v/>
      </c>
      <c r="W452" s="67">
        <f>IF(V452=1,acctAR,"")</f>
        <v/>
      </c>
      <c r="X452" s="67">
        <f>IF(V452=1,F452,"")</f>
        <v/>
      </c>
      <c r="Y452" s="68">
        <f>IF(V452=1,G452,0)</f>
        <v/>
      </c>
      <c r="Z452" s="68">
        <f>IF(V452=1,G452-S452,0)</f>
        <v/>
      </c>
      <c r="AA452" s="68">
        <f>IF(V452=1,S452,0)</f>
        <v/>
      </c>
    </row>
    <row r="453">
      <c r="B453" s="62" t="n"/>
      <c r="C453" s="63" t="n"/>
      <c r="D453" s="62" t="n"/>
      <c r="E453" s="62" t="n"/>
      <c r="F453" s="62" t="n"/>
      <c r="G453" s="64" t="n"/>
      <c r="H453" s="64" t="n"/>
      <c r="I453" s="63" t="n"/>
      <c r="J453" s="29">
        <f>IF(V453=1,IF(ISNUMBER(I453),I453,C453+IF(ISNUMBER(IFERROR(INDEX(cust_Terms,MATCH(D453,cust_Name,0)),"")),INDEX(cust_Terms,MATCH(D453,cust_Name,0)),TermsDays)),"")</f>
        <v/>
      </c>
      <c r="K453" s="65">
        <f>IF(V453=1,SUMIFS(tx_DrAmt,tx_Type,"Customer Payment",tx_Ref,B453&amp;"",tx_Date,"&lt;="&amp;AsOf),"")</f>
        <v/>
      </c>
      <c r="L453" s="65">
        <f>IF(V453=1,IF(C453&gt;AsOf,0,ROUND(G453-K453,2)),"")</f>
        <v/>
      </c>
      <c r="M453" s="66">
        <f>IF(V453&lt;&gt;1,"",IF(C453&gt;AsOf,"Future",IF(L453&lt;0,"Overpaid",IF(L453=0,"Paid",IF(AsOf&gt;J453,"Overdue",IF(K453&gt;0,"Partial","Unpaid"))))))</f>
        <v/>
      </c>
      <c r="N453" s="28">
        <f>IF(AND(V453=1,N(L453)&gt;0),AsOf-C453,"")</f>
        <v/>
      </c>
      <c r="O453" s="28">
        <f>IF(N453="","",MAX(0,AsOf-J453))</f>
        <v/>
      </c>
      <c r="P453" s="66">
        <f>IF(O453="","",IF(O453=0,"Current",IF(O453&lt;=30,"1-30",IF(O453&lt;=60,"31-60",IF(O453&lt;=90,"61-90","90+")))))</f>
        <v/>
      </c>
      <c r="Q453" s="66">
        <f>IF(T453&lt;&gt;"","⛔ "&amp;T453&amp;" — not posted",IF(U453&lt;&gt;"","⚠ "&amp;U453,IF(V453=1,"✓ OK","")))</f>
        <v/>
      </c>
      <c r="R453" s="67">
        <f>IF(AND(B453="",C453="",D453="",G453="",F453=""),1,0)</f>
        <v/>
      </c>
      <c r="S453" s="68">
        <f>IF(AND(TaxOn="Yes",ISNUMBER(H453)),H453,0)</f>
        <v/>
      </c>
      <c r="T453" s="67">
        <f>IF(R453=1,"",IF(B453="","Enter an invoice #",IF(C453="","Missing invoice date",IF(NOT(ISNUMBER(C453)),"Invalid date",IF(OR(C453&lt;DATE(2000,1,1),C453&gt;DATE(2099,12,31)),"Invalid date",IF(F453="","Select a revenue account",IF(ISNA(MATCH(F453,coa_Name,0)),"Unknown account: "&amp;F453,IF(NOT(ISNUMBER(G453)),"Enter an amount",IF(G453&lt;=0,"Amount must be positive",IF(S453&gt;G453,"Tax is larger than the amount",""))))))))))</f>
        <v/>
      </c>
      <c r="U453" s="67">
        <f>IF(OR(R453=1,T453&lt;&gt;""),"",IF(COUNTIF(ar_No,B453)&gt;1,"Duplicate invoice #",IF(D453="","Select a customer",IF(N(L453)&lt;0,"Overpaid by "&amp;TEXT(-L453,"#,##0.00"),IF(AND(ISNUMBER(H453),N(H453)&lt;&gt;0,S453=0),"Tax ignored (tax tracking is off)",IF(AND(ISNUMBER(StartDate),C453&lt;StartDate),"Date is before the accounting start date",IF(AND(IFERROR(INDEX(coa_Type,MATCH(F453,coa_Name,0)),"")&lt;&gt;"Revenue",IFERROR(INDEX(coa_Type,MATCH(F453,coa_Name,0)),"")&lt;&gt;"Other Income"),"Account is not a revenue account","")))))))</f>
        <v/>
      </c>
      <c r="V453" s="67">
        <f>IF(AND(R453=0,T453=""),1,0)</f>
        <v/>
      </c>
      <c r="W453" s="67">
        <f>IF(V453=1,acctAR,"")</f>
        <v/>
      </c>
      <c r="X453" s="67">
        <f>IF(V453=1,F453,"")</f>
        <v/>
      </c>
      <c r="Y453" s="68">
        <f>IF(V453=1,G453,0)</f>
        <v/>
      </c>
      <c r="Z453" s="68">
        <f>IF(V453=1,G453-S453,0)</f>
        <v/>
      </c>
      <c r="AA453" s="68">
        <f>IF(V453=1,S453,0)</f>
        <v/>
      </c>
    </row>
    <row r="454">
      <c r="B454" s="62" t="n"/>
      <c r="C454" s="63" t="n"/>
      <c r="D454" s="62" t="n"/>
      <c r="E454" s="62" t="n"/>
      <c r="F454" s="62" t="n"/>
      <c r="G454" s="64" t="n"/>
      <c r="H454" s="64" t="n"/>
      <c r="I454" s="63" t="n"/>
      <c r="J454" s="29">
        <f>IF(V454=1,IF(ISNUMBER(I454),I454,C454+IF(ISNUMBER(IFERROR(INDEX(cust_Terms,MATCH(D454,cust_Name,0)),"")),INDEX(cust_Terms,MATCH(D454,cust_Name,0)),TermsDays)),"")</f>
        <v/>
      </c>
      <c r="K454" s="65">
        <f>IF(V454=1,SUMIFS(tx_DrAmt,tx_Type,"Customer Payment",tx_Ref,B454&amp;"",tx_Date,"&lt;="&amp;AsOf),"")</f>
        <v/>
      </c>
      <c r="L454" s="65">
        <f>IF(V454=1,IF(C454&gt;AsOf,0,ROUND(G454-K454,2)),"")</f>
        <v/>
      </c>
      <c r="M454" s="66">
        <f>IF(V454&lt;&gt;1,"",IF(C454&gt;AsOf,"Future",IF(L454&lt;0,"Overpaid",IF(L454=0,"Paid",IF(AsOf&gt;J454,"Overdue",IF(K454&gt;0,"Partial","Unpaid"))))))</f>
        <v/>
      </c>
      <c r="N454" s="28">
        <f>IF(AND(V454=1,N(L454)&gt;0),AsOf-C454,"")</f>
        <v/>
      </c>
      <c r="O454" s="28">
        <f>IF(N454="","",MAX(0,AsOf-J454))</f>
        <v/>
      </c>
      <c r="P454" s="66">
        <f>IF(O454="","",IF(O454=0,"Current",IF(O454&lt;=30,"1-30",IF(O454&lt;=60,"31-60",IF(O454&lt;=90,"61-90","90+")))))</f>
        <v/>
      </c>
      <c r="Q454" s="66">
        <f>IF(T454&lt;&gt;"","⛔ "&amp;T454&amp;" — not posted",IF(U454&lt;&gt;"","⚠ "&amp;U454,IF(V454=1,"✓ OK","")))</f>
        <v/>
      </c>
      <c r="R454" s="67">
        <f>IF(AND(B454="",C454="",D454="",G454="",F454=""),1,0)</f>
        <v/>
      </c>
      <c r="S454" s="68">
        <f>IF(AND(TaxOn="Yes",ISNUMBER(H454)),H454,0)</f>
        <v/>
      </c>
      <c r="T454" s="67">
        <f>IF(R454=1,"",IF(B454="","Enter an invoice #",IF(C454="","Missing invoice date",IF(NOT(ISNUMBER(C454)),"Invalid date",IF(OR(C454&lt;DATE(2000,1,1),C454&gt;DATE(2099,12,31)),"Invalid date",IF(F454="","Select a revenue account",IF(ISNA(MATCH(F454,coa_Name,0)),"Unknown account: "&amp;F454,IF(NOT(ISNUMBER(G454)),"Enter an amount",IF(G454&lt;=0,"Amount must be positive",IF(S454&gt;G454,"Tax is larger than the amount",""))))))))))</f>
        <v/>
      </c>
      <c r="U454" s="67">
        <f>IF(OR(R454=1,T454&lt;&gt;""),"",IF(COUNTIF(ar_No,B454)&gt;1,"Duplicate invoice #",IF(D454="","Select a customer",IF(N(L454)&lt;0,"Overpaid by "&amp;TEXT(-L454,"#,##0.00"),IF(AND(ISNUMBER(H454),N(H454)&lt;&gt;0,S454=0),"Tax ignored (tax tracking is off)",IF(AND(ISNUMBER(StartDate),C454&lt;StartDate),"Date is before the accounting start date",IF(AND(IFERROR(INDEX(coa_Type,MATCH(F454,coa_Name,0)),"")&lt;&gt;"Revenue",IFERROR(INDEX(coa_Type,MATCH(F454,coa_Name,0)),"")&lt;&gt;"Other Income"),"Account is not a revenue account","")))))))</f>
        <v/>
      </c>
      <c r="V454" s="67">
        <f>IF(AND(R454=0,T454=""),1,0)</f>
        <v/>
      </c>
      <c r="W454" s="67">
        <f>IF(V454=1,acctAR,"")</f>
        <v/>
      </c>
      <c r="X454" s="67">
        <f>IF(V454=1,F454,"")</f>
        <v/>
      </c>
      <c r="Y454" s="68">
        <f>IF(V454=1,G454,0)</f>
        <v/>
      </c>
      <c r="Z454" s="68">
        <f>IF(V454=1,G454-S454,0)</f>
        <v/>
      </c>
      <c r="AA454" s="68">
        <f>IF(V454=1,S454,0)</f>
        <v/>
      </c>
    </row>
    <row r="455">
      <c r="B455" s="62" t="n"/>
      <c r="C455" s="63" t="n"/>
      <c r="D455" s="62" t="n"/>
      <c r="E455" s="62" t="n"/>
      <c r="F455" s="62" t="n"/>
      <c r="G455" s="64" t="n"/>
      <c r="H455" s="64" t="n"/>
      <c r="I455" s="63" t="n"/>
      <c r="J455" s="29">
        <f>IF(V455=1,IF(ISNUMBER(I455),I455,C455+IF(ISNUMBER(IFERROR(INDEX(cust_Terms,MATCH(D455,cust_Name,0)),"")),INDEX(cust_Terms,MATCH(D455,cust_Name,0)),TermsDays)),"")</f>
        <v/>
      </c>
      <c r="K455" s="65">
        <f>IF(V455=1,SUMIFS(tx_DrAmt,tx_Type,"Customer Payment",tx_Ref,B455&amp;"",tx_Date,"&lt;="&amp;AsOf),"")</f>
        <v/>
      </c>
      <c r="L455" s="65">
        <f>IF(V455=1,IF(C455&gt;AsOf,0,ROUND(G455-K455,2)),"")</f>
        <v/>
      </c>
      <c r="M455" s="66">
        <f>IF(V455&lt;&gt;1,"",IF(C455&gt;AsOf,"Future",IF(L455&lt;0,"Overpaid",IF(L455=0,"Paid",IF(AsOf&gt;J455,"Overdue",IF(K455&gt;0,"Partial","Unpaid"))))))</f>
        <v/>
      </c>
      <c r="N455" s="28">
        <f>IF(AND(V455=1,N(L455)&gt;0),AsOf-C455,"")</f>
        <v/>
      </c>
      <c r="O455" s="28">
        <f>IF(N455="","",MAX(0,AsOf-J455))</f>
        <v/>
      </c>
      <c r="P455" s="66">
        <f>IF(O455="","",IF(O455=0,"Current",IF(O455&lt;=30,"1-30",IF(O455&lt;=60,"31-60",IF(O455&lt;=90,"61-90","90+")))))</f>
        <v/>
      </c>
      <c r="Q455" s="66">
        <f>IF(T455&lt;&gt;"","⛔ "&amp;T455&amp;" — not posted",IF(U455&lt;&gt;"","⚠ "&amp;U455,IF(V455=1,"✓ OK","")))</f>
        <v/>
      </c>
      <c r="R455" s="67">
        <f>IF(AND(B455="",C455="",D455="",G455="",F455=""),1,0)</f>
        <v/>
      </c>
      <c r="S455" s="68">
        <f>IF(AND(TaxOn="Yes",ISNUMBER(H455)),H455,0)</f>
        <v/>
      </c>
      <c r="T455" s="67">
        <f>IF(R455=1,"",IF(B455="","Enter an invoice #",IF(C455="","Missing invoice date",IF(NOT(ISNUMBER(C455)),"Invalid date",IF(OR(C455&lt;DATE(2000,1,1),C455&gt;DATE(2099,12,31)),"Invalid date",IF(F455="","Select a revenue account",IF(ISNA(MATCH(F455,coa_Name,0)),"Unknown account: "&amp;F455,IF(NOT(ISNUMBER(G455)),"Enter an amount",IF(G455&lt;=0,"Amount must be positive",IF(S455&gt;G455,"Tax is larger than the amount",""))))))))))</f>
        <v/>
      </c>
      <c r="U455" s="67">
        <f>IF(OR(R455=1,T455&lt;&gt;""),"",IF(COUNTIF(ar_No,B455)&gt;1,"Duplicate invoice #",IF(D455="","Select a customer",IF(N(L455)&lt;0,"Overpaid by "&amp;TEXT(-L455,"#,##0.00"),IF(AND(ISNUMBER(H455),N(H455)&lt;&gt;0,S455=0),"Tax ignored (tax tracking is off)",IF(AND(ISNUMBER(StartDate),C455&lt;StartDate),"Date is before the accounting start date",IF(AND(IFERROR(INDEX(coa_Type,MATCH(F455,coa_Name,0)),"")&lt;&gt;"Revenue",IFERROR(INDEX(coa_Type,MATCH(F455,coa_Name,0)),"")&lt;&gt;"Other Income"),"Account is not a revenue account","")))))))</f>
        <v/>
      </c>
      <c r="V455" s="67">
        <f>IF(AND(R455=0,T455=""),1,0)</f>
        <v/>
      </c>
      <c r="W455" s="67">
        <f>IF(V455=1,acctAR,"")</f>
        <v/>
      </c>
      <c r="X455" s="67">
        <f>IF(V455=1,F455,"")</f>
        <v/>
      </c>
      <c r="Y455" s="68">
        <f>IF(V455=1,G455,0)</f>
        <v/>
      </c>
      <c r="Z455" s="68">
        <f>IF(V455=1,G455-S455,0)</f>
        <v/>
      </c>
      <c r="AA455" s="68">
        <f>IF(V455=1,S455,0)</f>
        <v/>
      </c>
    </row>
    <row r="456">
      <c r="B456" s="62" t="n"/>
      <c r="C456" s="63" t="n"/>
      <c r="D456" s="62" t="n"/>
      <c r="E456" s="62" t="n"/>
      <c r="F456" s="62" t="n"/>
      <c r="G456" s="64" t="n"/>
      <c r="H456" s="64" t="n"/>
      <c r="I456" s="63" t="n"/>
      <c r="J456" s="29">
        <f>IF(V456=1,IF(ISNUMBER(I456),I456,C456+IF(ISNUMBER(IFERROR(INDEX(cust_Terms,MATCH(D456,cust_Name,0)),"")),INDEX(cust_Terms,MATCH(D456,cust_Name,0)),TermsDays)),"")</f>
        <v/>
      </c>
      <c r="K456" s="65">
        <f>IF(V456=1,SUMIFS(tx_DrAmt,tx_Type,"Customer Payment",tx_Ref,B456&amp;"",tx_Date,"&lt;="&amp;AsOf),"")</f>
        <v/>
      </c>
      <c r="L456" s="65">
        <f>IF(V456=1,IF(C456&gt;AsOf,0,ROUND(G456-K456,2)),"")</f>
        <v/>
      </c>
      <c r="M456" s="66">
        <f>IF(V456&lt;&gt;1,"",IF(C456&gt;AsOf,"Future",IF(L456&lt;0,"Overpaid",IF(L456=0,"Paid",IF(AsOf&gt;J456,"Overdue",IF(K456&gt;0,"Partial","Unpaid"))))))</f>
        <v/>
      </c>
      <c r="N456" s="28">
        <f>IF(AND(V456=1,N(L456)&gt;0),AsOf-C456,"")</f>
        <v/>
      </c>
      <c r="O456" s="28">
        <f>IF(N456="","",MAX(0,AsOf-J456))</f>
        <v/>
      </c>
      <c r="P456" s="66">
        <f>IF(O456="","",IF(O456=0,"Current",IF(O456&lt;=30,"1-30",IF(O456&lt;=60,"31-60",IF(O456&lt;=90,"61-90","90+")))))</f>
        <v/>
      </c>
      <c r="Q456" s="66">
        <f>IF(T456&lt;&gt;"","⛔ "&amp;T456&amp;" — not posted",IF(U456&lt;&gt;"","⚠ "&amp;U456,IF(V456=1,"✓ OK","")))</f>
        <v/>
      </c>
      <c r="R456" s="67">
        <f>IF(AND(B456="",C456="",D456="",G456="",F456=""),1,0)</f>
        <v/>
      </c>
      <c r="S456" s="68">
        <f>IF(AND(TaxOn="Yes",ISNUMBER(H456)),H456,0)</f>
        <v/>
      </c>
      <c r="T456" s="67">
        <f>IF(R456=1,"",IF(B456="","Enter an invoice #",IF(C456="","Missing invoice date",IF(NOT(ISNUMBER(C456)),"Invalid date",IF(OR(C456&lt;DATE(2000,1,1),C456&gt;DATE(2099,12,31)),"Invalid date",IF(F456="","Select a revenue account",IF(ISNA(MATCH(F456,coa_Name,0)),"Unknown account: "&amp;F456,IF(NOT(ISNUMBER(G456)),"Enter an amount",IF(G456&lt;=0,"Amount must be positive",IF(S456&gt;G456,"Tax is larger than the amount",""))))))))))</f>
        <v/>
      </c>
      <c r="U456" s="67">
        <f>IF(OR(R456=1,T456&lt;&gt;""),"",IF(COUNTIF(ar_No,B456)&gt;1,"Duplicate invoice #",IF(D456="","Select a customer",IF(N(L456)&lt;0,"Overpaid by "&amp;TEXT(-L456,"#,##0.00"),IF(AND(ISNUMBER(H456),N(H456)&lt;&gt;0,S456=0),"Tax ignored (tax tracking is off)",IF(AND(ISNUMBER(StartDate),C456&lt;StartDate),"Date is before the accounting start date",IF(AND(IFERROR(INDEX(coa_Type,MATCH(F456,coa_Name,0)),"")&lt;&gt;"Revenue",IFERROR(INDEX(coa_Type,MATCH(F456,coa_Name,0)),"")&lt;&gt;"Other Income"),"Account is not a revenue account","")))))))</f>
        <v/>
      </c>
      <c r="V456" s="67">
        <f>IF(AND(R456=0,T456=""),1,0)</f>
        <v/>
      </c>
      <c r="W456" s="67">
        <f>IF(V456=1,acctAR,"")</f>
        <v/>
      </c>
      <c r="X456" s="67">
        <f>IF(V456=1,F456,"")</f>
        <v/>
      </c>
      <c r="Y456" s="68">
        <f>IF(V456=1,G456,0)</f>
        <v/>
      </c>
      <c r="Z456" s="68">
        <f>IF(V456=1,G456-S456,0)</f>
        <v/>
      </c>
      <c r="AA456" s="68">
        <f>IF(V456=1,S456,0)</f>
        <v/>
      </c>
    </row>
    <row r="457">
      <c r="B457" s="62" t="n"/>
      <c r="C457" s="63" t="n"/>
      <c r="D457" s="62" t="n"/>
      <c r="E457" s="62" t="n"/>
      <c r="F457" s="62" t="n"/>
      <c r="G457" s="64" t="n"/>
      <c r="H457" s="64" t="n"/>
      <c r="I457" s="63" t="n"/>
      <c r="J457" s="29">
        <f>IF(V457=1,IF(ISNUMBER(I457),I457,C457+IF(ISNUMBER(IFERROR(INDEX(cust_Terms,MATCH(D457,cust_Name,0)),"")),INDEX(cust_Terms,MATCH(D457,cust_Name,0)),TermsDays)),"")</f>
        <v/>
      </c>
      <c r="K457" s="65">
        <f>IF(V457=1,SUMIFS(tx_DrAmt,tx_Type,"Customer Payment",tx_Ref,B457&amp;"",tx_Date,"&lt;="&amp;AsOf),"")</f>
        <v/>
      </c>
      <c r="L457" s="65">
        <f>IF(V457=1,IF(C457&gt;AsOf,0,ROUND(G457-K457,2)),"")</f>
        <v/>
      </c>
      <c r="M457" s="66">
        <f>IF(V457&lt;&gt;1,"",IF(C457&gt;AsOf,"Future",IF(L457&lt;0,"Overpaid",IF(L457=0,"Paid",IF(AsOf&gt;J457,"Overdue",IF(K457&gt;0,"Partial","Unpaid"))))))</f>
        <v/>
      </c>
      <c r="N457" s="28">
        <f>IF(AND(V457=1,N(L457)&gt;0),AsOf-C457,"")</f>
        <v/>
      </c>
      <c r="O457" s="28">
        <f>IF(N457="","",MAX(0,AsOf-J457))</f>
        <v/>
      </c>
      <c r="P457" s="66">
        <f>IF(O457="","",IF(O457=0,"Current",IF(O457&lt;=30,"1-30",IF(O457&lt;=60,"31-60",IF(O457&lt;=90,"61-90","90+")))))</f>
        <v/>
      </c>
      <c r="Q457" s="66">
        <f>IF(T457&lt;&gt;"","⛔ "&amp;T457&amp;" — not posted",IF(U457&lt;&gt;"","⚠ "&amp;U457,IF(V457=1,"✓ OK","")))</f>
        <v/>
      </c>
      <c r="R457" s="67">
        <f>IF(AND(B457="",C457="",D457="",G457="",F457=""),1,0)</f>
        <v/>
      </c>
      <c r="S457" s="68">
        <f>IF(AND(TaxOn="Yes",ISNUMBER(H457)),H457,0)</f>
        <v/>
      </c>
      <c r="T457" s="67">
        <f>IF(R457=1,"",IF(B457="","Enter an invoice #",IF(C457="","Missing invoice date",IF(NOT(ISNUMBER(C457)),"Invalid date",IF(OR(C457&lt;DATE(2000,1,1),C457&gt;DATE(2099,12,31)),"Invalid date",IF(F457="","Select a revenue account",IF(ISNA(MATCH(F457,coa_Name,0)),"Unknown account: "&amp;F457,IF(NOT(ISNUMBER(G457)),"Enter an amount",IF(G457&lt;=0,"Amount must be positive",IF(S457&gt;G457,"Tax is larger than the amount",""))))))))))</f>
        <v/>
      </c>
      <c r="U457" s="67">
        <f>IF(OR(R457=1,T457&lt;&gt;""),"",IF(COUNTIF(ar_No,B457)&gt;1,"Duplicate invoice #",IF(D457="","Select a customer",IF(N(L457)&lt;0,"Overpaid by "&amp;TEXT(-L457,"#,##0.00"),IF(AND(ISNUMBER(H457),N(H457)&lt;&gt;0,S457=0),"Tax ignored (tax tracking is off)",IF(AND(ISNUMBER(StartDate),C457&lt;StartDate),"Date is before the accounting start date",IF(AND(IFERROR(INDEX(coa_Type,MATCH(F457,coa_Name,0)),"")&lt;&gt;"Revenue",IFERROR(INDEX(coa_Type,MATCH(F457,coa_Name,0)),"")&lt;&gt;"Other Income"),"Account is not a revenue account","")))))))</f>
        <v/>
      </c>
      <c r="V457" s="67">
        <f>IF(AND(R457=0,T457=""),1,0)</f>
        <v/>
      </c>
      <c r="W457" s="67">
        <f>IF(V457=1,acctAR,"")</f>
        <v/>
      </c>
      <c r="X457" s="67">
        <f>IF(V457=1,F457,"")</f>
        <v/>
      </c>
      <c r="Y457" s="68">
        <f>IF(V457=1,G457,0)</f>
        <v/>
      </c>
      <c r="Z457" s="68">
        <f>IF(V457=1,G457-S457,0)</f>
        <v/>
      </c>
      <c r="AA457" s="68">
        <f>IF(V457=1,S457,0)</f>
        <v/>
      </c>
    </row>
    <row r="458">
      <c r="B458" s="62" t="n"/>
      <c r="C458" s="63" t="n"/>
      <c r="D458" s="62" t="n"/>
      <c r="E458" s="62" t="n"/>
      <c r="F458" s="62" t="n"/>
      <c r="G458" s="64" t="n"/>
      <c r="H458" s="64" t="n"/>
      <c r="I458" s="63" t="n"/>
      <c r="J458" s="29">
        <f>IF(V458=1,IF(ISNUMBER(I458),I458,C458+IF(ISNUMBER(IFERROR(INDEX(cust_Terms,MATCH(D458,cust_Name,0)),"")),INDEX(cust_Terms,MATCH(D458,cust_Name,0)),TermsDays)),"")</f>
        <v/>
      </c>
      <c r="K458" s="65">
        <f>IF(V458=1,SUMIFS(tx_DrAmt,tx_Type,"Customer Payment",tx_Ref,B458&amp;"",tx_Date,"&lt;="&amp;AsOf),"")</f>
        <v/>
      </c>
      <c r="L458" s="65">
        <f>IF(V458=1,IF(C458&gt;AsOf,0,ROUND(G458-K458,2)),"")</f>
        <v/>
      </c>
      <c r="M458" s="66">
        <f>IF(V458&lt;&gt;1,"",IF(C458&gt;AsOf,"Future",IF(L458&lt;0,"Overpaid",IF(L458=0,"Paid",IF(AsOf&gt;J458,"Overdue",IF(K458&gt;0,"Partial","Unpaid"))))))</f>
        <v/>
      </c>
      <c r="N458" s="28">
        <f>IF(AND(V458=1,N(L458)&gt;0),AsOf-C458,"")</f>
        <v/>
      </c>
      <c r="O458" s="28">
        <f>IF(N458="","",MAX(0,AsOf-J458))</f>
        <v/>
      </c>
      <c r="P458" s="66">
        <f>IF(O458="","",IF(O458=0,"Current",IF(O458&lt;=30,"1-30",IF(O458&lt;=60,"31-60",IF(O458&lt;=90,"61-90","90+")))))</f>
        <v/>
      </c>
      <c r="Q458" s="66">
        <f>IF(T458&lt;&gt;"","⛔ "&amp;T458&amp;" — not posted",IF(U458&lt;&gt;"","⚠ "&amp;U458,IF(V458=1,"✓ OK","")))</f>
        <v/>
      </c>
      <c r="R458" s="67">
        <f>IF(AND(B458="",C458="",D458="",G458="",F458=""),1,0)</f>
        <v/>
      </c>
      <c r="S458" s="68">
        <f>IF(AND(TaxOn="Yes",ISNUMBER(H458)),H458,0)</f>
        <v/>
      </c>
      <c r="T458" s="67">
        <f>IF(R458=1,"",IF(B458="","Enter an invoice #",IF(C458="","Missing invoice date",IF(NOT(ISNUMBER(C458)),"Invalid date",IF(OR(C458&lt;DATE(2000,1,1),C458&gt;DATE(2099,12,31)),"Invalid date",IF(F458="","Select a revenue account",IF(ISNA(MATCH(F458,coa_Name,0)),"Unknown account: "&amp;F458,IF(NOT(ISNUMBER(G458)),"Enter an amount",IF(G458&lt;=0,"Amount must be positive",IF(S458&gt;G458,"Tax is larger than the amount",""))))))))))</f>
        <v/>
      </c>
      <c r="U458" s="67">
        <f>IF(OR(R458=1,T458&lt;&gt;""),"",IF(COUNTIF(ar_No,B458)&gt;1,"Duplicate invoice #",IF(D458="","Select a customer",IF(N(L458)&lt;0,"Overpaid by "&amp;TEXT(-L458,"#,##0.00"),IF(AND(ISNUMBER(H458),N(H458)&lt;&gt;0,S458=0),"Tax ignored (tax tracking is off)",IF(AND(ISNUMBER(StartDate),C458&lt;StartDate),"Date is before the accounting start date",IF(AND(IFERROR(INDEX(coa_Type,MATCH(F458,coa_Name,0)),"")&lt;&gt;"Revenue",IFERROR(INDEX(coa_Type,MATCH(F458,coa_Name,0)),"")&lt;&gt;"Other Income"),"Account is not a revenue account","")))))))</f>
        <v/>
      </c>
      <c r="V458" s="67">
        <f>IF(AND(R458=0,T458=""),1,0)</f>
        <v/>
      </c>
      <c r="W458" s="67">
        <f>IF(V458=1,acctAR,"")</f>
        <v/>
      </c>
      <c r="X458" s="67">
        <f>IF(V458=1,F458,"")</f>
        <v/>
      </c>
      <c r="Y458" s="68">
        <f>IF(V458=1,G458,0)</f>
        <v/>
      </c>
      <c r="Z458" s="68">
        <f>IF(V458=1,G458-S458,0)</f>
        <v/>
      </c>
      <c r="AA458" s="68">
        <f>IF(V458=1,S458,0)</f>
        <v/>
      </c>
    </row>
    <row r="459">
      <c r="B459" s="62" t="n"/>
      <c r="C459" s="63" t="n"/>
      <c r="D459" s="62" t="n"/>
      <c r="E459" s="62" t="n"/>
      <c r="F459" s="62" t="n"/>
      <c r="G459" s="64" t="n"/>
      <c r="H459" s="64" t="n"/>
      <c r="I459" s="63" t="n"/>
      <c r="J459" s="29">
        <f>IF(V459=1,IF(ISNUMBER(I459),I459,C459+IF(ISNUMBER(IFERROR(INDEX(cust_Terms,MATCH(D459,cust_Name,0)),"")),INDEX(cust_Terms,MATCH(D459,cust_Name,0)),TermsDays)),"")</f>
        <v/>
      </c>
      <c r="K459" s="65">
        <f>IF(V459=1,SUMIFS(tx_DrAmt,tx_Type,"Customer Payment",tx_Ref,B459&amp;"",tx_Date,"&lt;="&amp;AsOf),"")</f>
        <v/>
      </c>
      <c r="L459" s="65">
        <f>IF(V459=1,IF(C459&gt;AsOf,0,ROUND(G459-K459,2)),"")</f>
        <v/>
      </c>
      <c r="M459" s="66">
        <f>IF(V459&lt;&gt;1,"",IF(C459&gt;AsOf,"Future",IF(L459&lt;0,"Overpaid",IF(L459=0,"Paid",IF(AsOf&gt;J459,"Overdue",IF(K459&gt;0,"Partial","Unpaid"))))))</f>
        <v/>
      </c>
      <c r="N459" s="28">
        <f>IF(AND(V459=1,N(L459)&gt;0),AsOf-C459,"")</f>
        <v/>
      </c>
      <c r="O459" s="28">
        <f>IF(N459="","",MAX(0,AsOf-J459))</f>
        <v/>
      </c>
      <c r="P459" s="66">
        <f>IF(O459="","",IF(O459=0,"Current",IF(O459&lt;=30,"1-30",IF(O459&lt;=60,"31-60",IF(O459&lt;=90,"61-90","90+")))))</f>
        <v/>
      </c>
      <c r="Q459" s="66">
        <f>IF(T459&lt;&gt;"","⛔ "&amp;T459&amp;" — not posted",IF(U459&lt;&gt;"","⚠ "&amp;U459,IF(V459=1,"✓ OK","")))</f>
        <v/>
      </c>
      <c r="R459" s="67">
        <f>IF(AND(B459="",C459="",D459="",G459="",F459=""),1,0)</f>
        <v/>
      </c>
      <c r="S459" s="68">
        <f>IF(AND(TaxOn="Yes",ISNUMBER(H459)),H459,0)</f>
        <v/>
      </c>
      <c r="T459" s="67">
        <f>IF(R459=1,"",IF(B459="","Enter an invoice #",IF(C459="","Missing invoice date",IF(NOT(ISNUMBER(C459)),"Invalid date",IF(OR(C459&lt;DATE(2000,1,1),C459&gt;DATE(2099,12,31)),"Invalid date",IF(F459="","Select a revenue account",IF(ISNA(MATCH(F459,coa_Name,0)),"Unknown account: "&amp;F459,IF(NOT(ISNUMBER(G459)),"Enter an amount",IF(G459&lt;=0,"Amount must be positive",IF(S459&gt;G459,"Tax is larger than the amount",""))))))))))</f>
        <v/>
      </c>
      <c r="U459" s="67">
        <f>IF(OR(R459=1,T459&lt;&gt;""),"",IF(COUNTIF(ar_No,B459)&gt;1,"Duplicate invoice #",IF(D459="","Select a customer",IF(N(L459)&lt;0,"Overpaid by "&amp;TEXT(-L459,"#,##0.00"),IF(AND(ISNUMBER(H459),N(H459)&lt;&gt;0,S459=0),"Tax ignored (tax tracking is off)",IF(AND(ISNUMBER(StartDate),C459&lt;StartDate),"Date is before the accounting start date",IF(AND(IFERROR(INDEX(coa_Type,MATCH(F459,coa_Name,0)),"")&lt;&gt;"Revenue",IFERROR(INDEX(coa_Type,MATCH(F459,coa_Name,0)),"")&lt;&gt;"Other Income"),"Account is not a revenue account","")))))))</f>
        <v/>
      </c>
      <c r="V459" s="67">
        <f>IF(AND(R459=0,T459=""),1,0)</f>
        <v/>
      </c>
      <c r="W459" s="67">
        <f>IF(V459=1,acctAR,"")</f>
        <v/>
      </c>
      <c r="X459" s="67">
        <f>IF(V459=1,F459,"")</f>
        <v/>
      </c>
      <c r="Y459" s="68">
        <f>IF(V459=1,G459,0)</f>
        <v/>
      </c>
      <c r="Z459" s="68">
        <f>IF(V459=1,G459-S459,0)</f>
        <v/>
      </c>
      <c r="AA459" s="68">
        <f>IF(V459=1,S459,0)</f>
        <v/>
      </c>
    </row>
    <row r="460">
      <c r="B460" s="62" t="n"/>
      <c r="C460" s="63" t="n"/>
      <c r="D460" s="62" t="n"/>
      <c r="E460" s="62" t="n"/>
      <c r="F460" s="62" t="n"/>
      <c r="G460" s="64" t="n"/>
      <c r="H460" s="64" t="n"/>
      <c r="I460" s="63" t="n"/>
      <c r="J460" s="29">
        <f>IF(V460=1,IF(ISNUMBER(I460),I460,C460+IF(ISNUMBER(IFERROR(INDEX(cust_Terms,MATCH(D460,cust_Name,0)),"")),INDEX(cust_Terms,MATCH(D460,cust_Name,0)),TermsDays)),"")</f>
        <v/>
      </c>
      <c r="K460" s="65">
        <f>IF(V460=1,SUMIFS(tx_DrAmt,tx_Type,"Customer Payment",tx_Ref,B460&amp;"",tx_Date,"&lt;="&amp;AsOf),"")</f>
        <v/>
      </c>
      <c r="L460" s="65">
        <f>IF(V460=1,IF(C460&gt;AsOf,0,ROUND(G460-K460,2)),"")</f>
        <v/>
      </c>
      <c r="M460" s="66">
        <f>IF(V460&lt;&gt;1,"",IF(C460&gt;AsOf,"Future",IF(L460&lt;0,"Overpaid",IF(L460=0,"Paid",IF(AsOf&gt;J460,"Overdue",IF(K460&gt;0,"Partial","Unpaid"))))))</f>
        <v/>
      </c>
      <c r="N460" s="28">
        <f>IF(AND(V460=1,N(L460)&gt;0),AsOf-C460,"")</f>
        <v/>
      </c>
      <c r="O460" s="28">
        <f>IF(N460="","",MAX(0,AsOf-J460))</f>
        <v/>
      </c>
      <c r="P460" s="66">
        <f>IF(O460="","",IF(O460=0,"Current",IF(O460&lt;=30,"1-30",IF(O460&lt;=60,"31-60",IF(O460&lt;=90,"61-90","90+")))))</f>
        <v/>
      </c>
      <c r="Q460" s="66">
        <f>IF(T460&lt;&gt;"","⛔ "&amp;T460&amp;" — not posted",IF(U460&lt;&gt;"","⚠ "&amp;U460,IF(V460=1,"✓ OK","")))</f>
        <v/>
      </c>
      <c r="R460" s="67">
        <f>IF(AND(B460="",C460="",D460="",G460="",F460=""),1,0)</f>
        <v/>
      </c>
      <c r="S460" s="68">
        <f>IF(AND(TaxOn="Yes",ISNUMBER(H460)),H460,0)</f>
        <v/>
      </c>
      <c r="T460" s="67">
        <f>IF(R460=1,"",IF(B460="","Enter an invoice #",IF(C460="","Missing invoice date",IF(NOT(ISNUMBER(C460)),"Invalid date",IF(OR(C460&lt;DATE(2000,1,1),C460&gt;DATE(2099,12,31)),"Invalid date",IF(F460="","Select a revenue account",IF(ISNA(MATCH(F460,coa_Name,0)),"Unknown account: "&amp;F460,IF(NOT(ISNUMBER(G460)),"Enter an amount",IF(G460&lt;=0,"Amount must be positive",IF(S460&gt;G460,"Tax is larger than the amount",""))))))))))</f>
        <v/>
      </c>
      <c r="U460" s="67">
        <f>IF(OR(R460=1,T460&lt;&gt;""),"",IF(COUNTIF(ar_No,B460)&gt;1,"Duplicate invoice #",IF(D460="","Select a customer",IF(N(L460)&lt;0,"Overpaid by "&amp;TEXT(-L460,"#,##0.00"),IF(AND(ISNUMBER(H460),N(H460)&lt;&gt;0,S460=0),"Tax ignored (tax tracking is off)",IF(AND(ISNUMBER(StartDate),C460&lt;StartDate),"Date is before the accounting start date",IF(AND(IFERROR(INDEX(coa_Type,MATCH(F460,coa_Name,0)),"")&lt;&gt;"Revenue",IFERROR(INDEX(coa_Type,MATCH(F460,coa_Name,0)),"")&lt;&gt;"Other Income"),"Account is not a revenue account","")))))))</f>
        <v/>
      </c>
      <c r="V460" s="67">
        <f>IF(AND(R460=0,T460=""),1,0)</f>
        <v/>
      </c>
      <c r="W460" s="67">
        <f>IF(V460=1,acctAR,"")</f>
        <v/>
      </c>
      <c r="X460" s="67">
        <f>IF(V460=1,F460,"")</f>
        <v/>
      </c>
      <c r="Y460" s="68">
        <f>IF(V460=1,G460,0)</f>
        <v/>
      </c>
      <c r="Z460" s="68">
        <f>IF(V460=1,G460-S460,0)</f>
        <v/>
      </c>
      <c r="AA460" s="68">
        <f>IF(V460=1,S460,0)</f>
        <v/>
      </c>
    </row>
    <row r="461">
      <c r="B461" s="62" t="n"/>
      <c r="C461" s="63" t="n"/>
      <c r="D461" s="62" t="n"/>
      <c r="E461" s="62" t="n"/>
      <c r="F461" s="62" t="n"/>
      <c r="G461" s="64" t="n"/>
      <c r="H461" s="64" t="n"/>
      <c r="I461" s="63" t="n"/>
      <c r="J461" s="29">
        <f>IF(V461=1,IF(ISNUMBER(I461),I461,C461+IF(ISNUMBER(IFERROR(INDEX(cust_Terms,MATCH(D461,cust_Name,0)),"")),INDEX(cust_Terms,MATCH(D461,cust_Name,0)),TermsDays)),"")</f>
        <v/>
      </c>
      <c r="K461" s="65">
        <f>IF(V461=1,SUMIFS(tx_DrAmt,tx_Type,"Customer Payment",tx_Ref,B461&amp;"",tx_Date,"&lt;="&amp;AsOf),"")</f>
        <v/>
      </c>
      <c r="L461" s="65">
        <f>IF(V461=1,IF(C461&gt;AsOf,0,ROUND(G461-K461,2)),"")</f>
        <v/>
      </c>
      <c r="M461" s="66">
        <f>IF(V461&lt;&gt;1,"",IF(C461&gt;AsOf,"Future",IF(L461&lt;0,"Overpaid",IF(L461=0,"Paid",IF(AsOf&gt;J461,"Overdue",IF(K461&gt;0,"Partial","Unpaid"))))))</f>
        <v/>
      </c>
      <c r="N461" s="28">
        <f>IF(AND(V461=1,N(L461)&gt;0),AsOf-C461,"")</f>
        <v/>
      </c>
      <c r="O461" s="28">
        <f>IF(N461="","",MAX(0,AsOf-J461))</f>
        <v/>
      </c>
      <c r="P461" s="66">
        <f>IF(O461="","",IF(O461=0,"Current",IF(O461&lt;=30,"1-30",IF(O461&lt;=60,"31-60",IF(O461&lt;=90,"61-90","90+")))))</f>
        <v/>
      </c>
      <c r="Q461" s="66">
        <f>IF(T461&lt;&gt;"","⛔ "&amp;T461&amp;" — not posted",IF(U461&lt;&gt;"","⚠ "&amp;U461,IF(V461=1,"✓ OK","")))</f>
        <v/>
      </c>
      <c r="R461" s="67">
        <f>IF(AND(B461="",C461="",D461="",G461="",F461=""),1,0)</f>
        <v/>
      </c>
      <c r="S461" s="68">
        <f>IF(AND(TaxOn="Yes",ISNUMBER(H461)),H461,0)</f>
        <v/>
      </c>
      <c r="T461" s="67">
        <f>IF(R461=1,"",IF(B461="","Enter an invoice #",IF(C461="","Missing invoice date",IF(NOT(ISNUMBER(C461)),"Invalid date",IF(OR(C461&lt;DATE(2000,1,1),C461&gt;DATE(2099,12,31)),"Invalid date",IF(F461="","Select a revenue account",IF(ISNA(MATCH(F461,coa_Name,0)),"Unknown account: "&amp;F461,IF(NOT(ISNUMBER(G461)),"Enter an amount",IF(G461&lt;=0,"Amount must be positive",IF(S461&gt;G461,"Tax is larger than the amount",""))))))))))</f>
        <v/>
      </c>
      <c r="U461" s="67">
        <f>IF(OR(R461=1,T461&lt;&gt;""),"",IF(COUNTIF(ar_No,B461)&gt;1,"Duplicate invoice #",IF(D461="","Select a customer",IF(N(L461)&lt;0,"Overpaid by "&amp;TEXT(-L461,"#,##0.00"),IF(AND(ISNUMBER(H461),N(H461)&lt;&gt;0,S461=0),"Tax ignored (tax tracking is off)",IF(AND(ISNUMBER(StartDate),C461&lt;StartDate),"Date is before the accounting start date",IF(AND(IFERROR(INDEX(coa_Type,MATCH(F461,coa_Name,0)),"")&lt;&gt;"Revenue",IFERROR(INDEX(coa_Type,MATCH(F461,coa_Name,0)),"")&lt;&gt;"Other Income"),"Account is not a revenue account","")))))))</f>
        <v/>
      </c>
      <c r="V461" s="67">
        <f>IF(AND(R461=0,T461=""),1,0)</f>
        <v/>
      </c>
      <c r="W461" s="67">
        <f>IF(V461=1,acctAR,"")</f>
        <v/>
      </c>
      <c r="X461" s="67">
        <f>IF(V461=1,F461,"")</f>
        <v/>
      </c>
      <c r="Y461" s="68">
        <f>IF(V461=1,G461,0)</f>
        <v/>
      </c>
      <c r="Z461" s="68">
        <f>IF(V461=1,G461-S461,0)</f>
        <v/>
      </c>
      <c r="AA461" s="68">
        <f>IF(V461=1,S461,0)</f>
        <v/>
      </c>
    </row>
    <row r="462">
      <c r="B462" s="62" t="n"/>
      <c r="C462" s="63" t="n"/>
      <c r="D462" s="62" t="n"/>
      <c r="E462" s="62" t="n"/>
      <c r="F462" s="62" t="n"/>
      <c r="G462" s="64" t="n"/>
      <c r="H462" s="64" t="n"/>
      <c r="I462" s="63" t="n"/>
      <c r="J462" s="29">
        <f>IF(V462=1,IF(ISNUMBER(I462),I462,C462+IF(ISNUMBER(IFERROR(INDEX(cust_Terms,MATCH(D462,cust_Name,0)),"")),INDEX(cust_Terms,MATCH(D462,cust_Name,0)),TermsDays)),"")</f>
        <v/>
      </c>
      <c r="K462" s="65">
        <f>IF(V462=1,SUMIFS(tx_DrAmt,tx_Type,"Customer Payment",tx_Ref,B462&amp;"",tx_Date,"&lt;="&amp;AsOf),"")</f>
        <v/>
      </c>
      <c r="L462" s="65">
        <f>IF(V462=1,IF(C462&gt;AsOf,0,ROUND(G462-K462,2)),"")</f>
        <v/>
      </c>
      <c r="M462" s="66">
        <f>IF(V462&lt;&gt;1,"",IF(C462&gt;AsOf,"Future",IF(L462&lt;0,"Overpaid",IF(L462=0,"Paid",IF(AsOf&gt;J462,"Overdue",IF(K462&gt;0,"Partial","Unpaid"))))))</f>
        <v/>
      </c>
      <c r="N462" s="28">
        <f>IF(AND(V462=1,N(L462)&gt;0),AsOf-C462,"")</f>
        <v/>
      </c>
      <c r="O462" s="28">
        <f>IF(N462="","",MAX(0,AsOf-J462))</f>
        <v/>
      </c>
      <c r="P462" s="66">
        <f>IF(O462="","",IF(O462=0,"Current",IF(O462&lt;=30,"1-30",IF(O462&lt;=60,"31-60",IF(O462&lt;=90,"61-90","90+")))))</f>
        <v/>
      </c>
      <c r="Q462" s="66">
        <f>IF(T462&lt;&gt;"","⛔ "&amp;T462&amp;" — not posted",IF(U462&lt;&gt;"","⚠ "&amp;U462,IF(V462=1,"✓ OK","")))</f>
        <v/>
      </c>
      <c r="R462" s="67">
        <f>IF(AND(B462="",C462="",D462="",G462="",F462=""),1,0)</f>
        <v/>
      </c>
      <c r="S462" s="68">
        <f>IF(AND(TaxOn="Yes",ISNUMBER(H462)),H462,0)</f>
        <v/>
      </c>
      <c r="T462" s="67">
        <f>IF(R462=1,"",IF(B462="","Enter an invoice #",IF(C462="","Missing invoice date",IF(NOT(ISNUMBER(C462)),"Invalid date",IF(OR(C462&lt;DATE(2000,1,1),C462&gt;DATE(2099,12,31)),"Invalid date",IF(F462="","Select a revenue account",IF(ISNA(MATCH(F462,coa_Name,0)),"Unknown account: "&amp;F462,IF(NOT(ISNUMBER(G462)),"Enter an amount",IF(G462&lt;=0,"Amount must be positive",IF(S462&gt;G462,"Tax is larger than the amount",""))))))))))</f>
        <v/>
      </c>
      <c r="U462" s="67">
        <f>IF(OR(R462=1,T462&lt;&gt;""),"",IF(COUNTIF(ar_No,B462)&gt;1,"Duplicate invoice #",IF(D462="","Select a customer",IF(N(L462)&lt;0,"Overpaid by "&amp;TEXT(-L462,"#,##0.00"),IF(AND(ISNUMBER(H462),N(H462)&lt;&gt;0,S462=0),"Tax ignored (tax tracking is off)",IF(AND(ISNUMBER(StartDate),C462&lt;StartDate),"Date is before the accounting start date",IF(AND(IFERROR(INDEX(coa_Type,MATCH(F462,coa_Name,0)),"")&lt;&gt;"Revenue",IFERROR(INDEX(coa_Type,MATCH(F462,coa_Name,0)),"")&lt;&gt;"Other Income"),"Account is not a revenue account","")))))))</f>
        <v/>
      </c>
      <c r="V462" s="67">
        <f>IF(AND(R462=0,T462=""),1,0)</f>
        <v/>
      </c>
      <c r="W462" s="67">
        <f>IF(V462=1,acctAR,"")</f>
        <v/>
      </c>
      <c r="X462" s="67">
        <f>IF(V462=1,F462,"")</f>
        <v/>
      </c>
      <c r="Y462" s="68">
        <f>IF(V462=1,G462,0)</f>
        <v/>
      </c>
      <c r="Z462" s="68">
        <f>IF(V462=1,G462-S462,0)</f>
        <v/>
      </c>
      <c r="AA462" s="68">
        <f>IF(V462=1,S462,0)</f>
        <v/>
      </c>
    </row>
    <row r="463">
      <c r="B463" s="62" t="n"/>
      <c r="C463" s="63" t="n"/>
      <c r="D463" s="62" t="n"/>
      <c r="E463" s="62" t="n"/>
      <c r="F463" s="62" t="n"/>
      <c r="G463" s="64" t="n"/>
      <c r="H463" s="64" t="n"/>
      <c r="I463" s="63" t="n"/>
      <c r="J463" s="29">
        <f>IF(V463=1,IF(ISNUMBER(I463),I463,C463+IF(ISNUMBER(IFERROR(INDEX(cust_Terms,MATCH(D463,cust_Name,0)),"")),INDEX(cust_Terms,MATCH(D463,cust_Name,0)),TermsDays)),"")</f>
        <v/>
      </c>
      <c r="K463" s="65">
        <f>IF(V463=1,SUMIFS(tx_DrAmt,tx_Type,"Customer Payment",tx_Ref,B463&amp;"",tx_Date,"&lt;="&amp;AsOf),"")</f>
        <v/>
      </c>
      <c r="L463" s="65">
        <f>IF(V463=1,IF(C463&gt;AsOf,0,ROUND(G463-K463,2)),"")</f>
        <v/>
      </c>
      <c r="M463" s="66">
        <f>IF(V463&lt;&gt;1,"",IF(C463&gt;AsOf,"Future",IF(L463&lt;0,"Overpaid",IF(L463=0,"Paid",IF(AsOf&gt;J463,"Overdue",IF(K463&gt;0,"Partial","Unpaid"))))))</f>
        <v/>
      </c>
      <c r="N463" s="28">
        <f>IF(AND(V463=1,N(L463)&gt;0),AsOf-C463,"")</f>
        <v/>
      </c>
      <c r="O463" s="28">
        <f>IF(N463="","",MAX(0,AsOf-J463))</f>
        <v/>
      </c>
      <c r="P463" s="66">
        <f>IF(O463="","",IF(O463=0,"Current",IF(O463&lt;=30,"1-30",IF(O463&lt;=60,"31-60",IF(O463&lt;=90,"61-90","90+")))))</f>
        <v/>
      </c>
      <c r="Q463" s="66">
        <f>IF(T463&lt;&gt;"","⛔ "&amp;T463&amp;" — not posted",IF(U463&lt;&gt;"","⚠ "&amp;U463,IF(V463=1,"✓ OK","")))</f>
        <v/>
      </c>
      <c r="R463" s="67">
        <f>IF(AND(B463="",C463="",D463="",G463="",F463=""),1,0)</f>
        <v/>
      </c>
      <c r="S463" s="68">
        <f>IF(AND(TaxOn="Yes",ISNUMBER(H463)),H463,0)</f>
        <v/>
      </c>
      <c r="T463" s="67">
        <f>IF(R463=1,"",IF(B463="","Enter an invoice #",IF(C463="","Missing invoice date",IF(NOT(ISNUMBER(C463)),"Invalid date",IF(OR(C463&lt;DATE(2000,1,1),C463&gt;DATE(2099,12,31)),"Invalid date",IF(F463="","Select a revenue account",IF(ISNA(MATCH(F463,coa_Name,0)),"Unknown account: "&amp;F463,IF(NOT(ISNUMBER(G463)),"Enter an amount",IF(G463&lt;=0,"Amount must be positive",IF(S463&gt;G463,"Tax is larger than the amount",""))))))))))</f>
        <v/>
      </c>
      <c r="U463" s="67">
        <f>IF(OR(R463=1,T463&lt;&gt;""),"",IF(COUNTIF(ar_No,B463)&gt;1,"Duplicate invoice #",IF(D463="","Select a customer",IF(N(L463)&lt;0,"Overpaid by "&amp;TEXT(-L463,"#,##0.00"),IF(AND(ISNUMBER(H463),N(H463)&lt;&gt;0,S463=0),"Tax ignored (tax tracking is off)",IF(AND(ISNUMBER(StartDate),C463&lt;StartDate),"Date is before the accounting start date",IF(AND(IFERROR(INDEX(coa_Type,MATCH(F463,coa_Name,0)),"")&lt;&gt;"Revenue",IFERROR(INDEX(coa_Type,MATCH(F463,coa_Name,0)),"")&lt;&gt;"Other Income"),"Account is not a revenue account","")))))))</f>
        <v/>
      </c>
      <c r="V463" s="67">
        <f>IF(AND(R463=0,T463=""),1,0)</f>
        <v/>
      </c>
      <c r="W463" s="67">
        <f>IF(V463=1,acctAR,"")</f>
        <v/>
      </c>
      <c r="X463" s="67">
        <f>IF(V463=1,F463,"")</f>
        <v/>
      </c>
      <c r="Y463" s="68">
        <f>IF(V463=1,G463,0)</f>
        <v/>
      </c>
      <c r="Z463" s="68">
        <f>IF(V463=1,G463-S463,0)</f>
        <v/>
      </c>
      <c r="AA463" s="68">
        <f>IF(V463=1,S463,0)</f>
        <v/>
      </c>
    </row>
    <row r="464">
      <c r="B464" s="62" t="n"/>
      <c r="C464" s="63" t="n"/>
      <c r="D464" s="62" t="n"/>
      <c r="E464" s="62" t="n"/>
      <c r="F464" s="62" t="n"/>
      <c r="G464" s="64" t="n"/>
      <c r="H464" s="64" t="n"/>
      <c r="I464" s="63" t="n"/>
      <c r="J464" s="29">
        <f>IF(V464=1,IF(ISNUMBER(I464),I464,C464+IF(ISNUMBER(IFERROR(INDEX(cust_Terms,MATCH(D464,cust_Name,0)),"")),INDEX(cust_Terms,MATCH(D464,cust_Name,0)),TermsDays)),"")</f>
        <v/>
      </c>
      <c r="K464" s="65">
        <f>IF(V464=1,SUMIFS(tx_DrAmt,tx_Type,"Customer Payment",tx_Ref,B464&amp;"",tx_Date,"&lt;="&amp;AsOf),"")</f>
        <v/>
      </c>
      <c r="L464" s="65">
        <f>IF(V464=1,IF(C464&gt;AsOf,0,ROUND(G464-K464,2)),"")</f>
        <v/>
      </c>
      <c r="M464" s="66">
        <f>IF(V464&lt;&gt;1,"",IF(C464&gt;AsOf,"Future",IF(L464&lt;0,"Overpaid",IF(L464=0,"Paid",IF(AsOf&gt;J464,"Overdue",IF(K464&gt;0,"Partial","Unpaid"))))))</f>
        <v/>
      </c>
      <c r="N464" s="28">
        <f>IF(AND(V464=1,N(L464)&gt;0),AsOf-C464,"")</f>
        <v/>
      </c>
      <c r="O464" s="28">
        <f>IF(N464="","",MAX(0,AsOf-J464))</f>
        <v/>
      </c>
      <c r="P464" s="66">
        <f>IF(O464="","",IF(O464=0,"Current",IF(O464&lt;=30,"1-30",IF(O464&lt;=60,"31-60",IF(O464&lt;=90,"61-90","90+")))))</f>
        <v/>
      </c>
      <c r="Q464" s="66">
        <f>IF(T464&lt;&gt;"","⛔ "&amp;T464&amp;" — not posted",IF(U464&lt;&gt;"","⚠ "&amp;U464,IF(V464=1,"✓ OK","")))</f>
        <v/>
      </c>
      <c r="R464" s="67">
        <f>IF(AND(B464="",C464="",D464="",G464="",F464=""),1,0)</f>
        <v/>
      </c>
      <c r="S464" s="68">
        <f>IF(AND(TaxOn="Yes",ISNUMBER(H464)),H464,0)</f>
        <v/>
      </c>
      <c r="T464" s="67">
        <f>IF(R464=1,"",IF(B464="","Enter an invoice #",IF(C464="","Missing invoice date",IF(NOT(ISNUMBER(C464)),"Invalid date",IF(OR(C464&lt;DATE(2000,1,1),C464&gt;DATE(2099,12,31)),"Invalid date",IF(F464="","Select a revenue account",IF(ISNA(MATCH(F464,coa_Name,0)),"Unknown account: "&amp;F464,IF(NOT(ISNUMBER(G464)),"Enter an amount",IF(G464&lt;=0,"Amount must be positive",IF(S464&gt;G464,"Tax is larger than the amount",""))))))))))</f>
        <v/>
      </c>
      <c r="U464" s="67">
        <f>IF(OR(R464=1,T464&lt;&gt;""),"",IF(COUNTIF(ar_No,B464)&gt;1,"Duplicate invoice #",IF(D464="","Select a customer",IF(N(L464)&lt;0,"Overpaid by "&amp;TEXT(-L464,"#,##0.00"),IF(AND(ISNUMBER(H464),N(H464)&lt;&gt;0,S464=0),"Tax ignored (tax tracking is off)",IF(AND(ISNUMBER(StartDate),C464&lt;StartDate),"Date is before the accounting start date",IF(AND(IFERROR(INDEX(coa_Type,MATCH(F464,coa_Name,0)),"")&lt;&gt;"Revenue",IFERROR(INDEX(coa_Type,MATCH(F464,coa_Name,0)),"")&lt;&gt;"Other Income"),"Account is not a revenue account","")))))))</f>
        <v/>
      </c>
      <c r="V464" s="67">
        <f>IF(AND(R464=0,T464=""),1,0)</f>
        <v/>
      </c>
      <c r="W464" s="67">
        <f>IF(V464=1,acctAR,"")</f>
        <v/>
      </c>
      <c r="X464" s="67">
        <f>IF(V464=1,F464,"")</f>
        <v/>
      </c>
      <c r="Y464" s="68">
        <f>IF(V464=1,G464,0)</f>
        <v/>
      </c>
      <c r="Z464" s="68">
        <f>IF(V464=1,G464-S464,0)</f>
        <v/>
      </c>
      <c r="AA464" s="68">
        <f>IF(V464=1,S464,0)</f>
        <v/>
      </c>
    </row>
    <row r="465">
      <c r="B465" s="62" t="n"/>
      <c r="C465" s="63" t="n"/>
      <c r="D465" s="62" t="n"/>
      <c r="E465" s="62" t="n"/>
      <c r="F465" s="62" t="n"/>
      <c r="G465" s="64" t="n"/>
      <c r="H465" s="64" t="n"/>
      <c r="I465" s="63" t="n"/>
      <c r="J465" s="29">
        <f>IF(V465=1,IF(ISNUMBER(I465),I465,C465+IF(ISNUMBER(IFERROR(INDEX(cust_Terms,MATCH(D465,cust_Name,0)),"")),INDEX(cust_Terms,MATCH(D465,cust_Name,0)),TermsDays)),"")</f>
        <v/>
      </c>
      <c r="K465" s="65">
        <f>IF(V465=1,SUMIFS(tx_DrAmt,tx_Type,"Customer Payment",tx_Ref,B465&amp;"",tx_Date,"&lt;="&amp;AsOf),"")</f>
        <v/>
      </c>
      <c r="L465" s="65">
        <f>IF(V465=1,IF(C465&gt;AsOf,0,ROUND(G465-K465,2)),"")</f>
        <v/>
      </c>
      <c r="M465" s="66">
        <f>IF(V465&lt;&gt;1,"",IF(C465&gt;AsOf,"Future",IF(L465&lt;0,"Overpaid",IF(L465=0,"Paid",IF(AsOf&gt;J465,"Overdue",IF(K465&gt;0,"Partial","Unpaid"))))))</f>
        <v/>
      </c>
      <c r="N465" s="28">
        <f>IF(AND(V465=1,N(L465)&gt;0),AsOf-C465,"")</f>
        <v/>
      </c>
      <c r="O465" s="28">
        <f>IF(N465="","",MAX(0,AsOf-J465))</f>
        <v/>
      </c>
      <c r="P465" s="66">
        <f>IF(O465="","",IF(O465=0,"Current",IF(O465&lt;=30,"1-30",IF(O465&lt;=60,"31-60",IF(O465&lt;=90,"61-90","90+")))))</f>
        <v/>
      </c>
      <c r="Q465" s="66">
        <f>IF(T465&lt;&gt;"","⛔ "&amp;T465&amp;" — not posted",IF(U465&lt;&gt;"","⚠ "&amp;U465,IF(V465=1,"✓ OK","")))</f>
        <v/>
      </c>
      <c r="R465" s="67">
        <f>IF(AND(B465="",C465="",D465="",G465="",F465=""),1,0)</f>
        <v/>
      </c>
      <c r="S465" s="68">
        <f>IF(AND(TaxOn="Yes",ISNUMBER(H465)),H465,0)</f>
        <v/>
      </c>
      <c r="T465" s="67">
        <f>IF(R465=1,"",IF(B465="","Enter an invoice #",IF(C465="","Missing invoice date",IF(NOT(ISNUMBER(C465)),"Invalid date",IF(OR(C465&lt;DATE(2000,1,1),C465&gt;DATE(2099,12,31)),"Invalid date",IF(F465="","Select a revenue account",IF(ISNA(MATCH(F465,coa_Name,0)),"Unknown account: "&amp;F465,IF(NOT(ISNUMBER(G465)),"Enter an amount",IF(G465&lt;=0,"Amount must be positive",IF(S465&gt;G465,"Tax is larger than the amount",""))))))))))</f>
        <v/>
      </c>
      <c r="U465" s="67">
        <f>IF(OR(R465=1,T465&lt;&gt;""),"",IF(COUNTIF(ar_No,B465)&gt;1,"Duplicate invoice #",IF(D465="","Select a customer",IF(N(L465)&lt;0,"Overpaid by "&amp;TEXT(-L465,"#,##0.00"),IF(AND(ISNUMBER(H465),N(H465)&lt;&gt;0,S465=0),"Tax ignored (tax tracking is off)",IF(AND(ISNUMBER(StartDate),C465&lt;StartDate),"Date is before the accounting start date",IF(AND(IFERROR(INDEX(coa_Type,MATCH(F465,coa_Name,0)),"")&lt;&gt;"Revenue",IFERROR(INDEX(coa_Type,MATCH(F465,coa_Name,0)),"")&lt;&gt;"Other Income"),"Account is not a revenue account","")))))))</f>
        <v/>
      </c>
      <c r="V465" s="67">
        <f>IF(AND(R465=0,T465=""),1,0)</f>
        <v/>
      </c>
      <c r="W465" s="67">
        <f>IF(V465=1,acctAR,"")</f>
        <v/>
      </c>
      <c r="X465" s="67">
        <f>IF(V465=1,F465,"")</f>
        <v/>
      </c>
      <c r="Y465" s="68">
        <f>IF(V465=1,G465,0)</f>
        <v/>
      </c>
      <c r="Z465" s="68">
        <f>IF(V465=1,G465-S465,0)</f>
        <v/>
      </c>
      <c r="AA465" s="68">
        <f>IF(V465=1,S465,0)</f>
        <v/>
      </c>
    </row>
    <row r="466">
      <c r="B466" s="62" t="n"/>
      <c r="C466" s="63" t="n"/>
      <c r="D466" s="62" t="n"/>
      <c r="E466" s="62" t="n"/>
      <c r="F466" s="62" t="n"/>
      <c r="G466" s="64" t="n"/>
      <c r="H466" s="64" t="n"/>
      <c r="I466" s="63" t="n"/>
      <c r="J466" s="29">
        <f>IF(V466=1,IF(ISNUMBER(I466),I466,C466+IF(ISNUMBER(IFERROR(INDEX(cust_Terms,MATCH(D466,cust_Name,0)),"")),INDEX(cust_Terms,MATCH(D466,cust_Name,0)),TermsDays)),"")</f>
        <v/>
      </c>
      <c r="K466" s="65">
        <f>IF(V466=1,SUMIFS(tx_DrAmt,tx_Type,"Customer Payment",tx_Ref,B466&amp;"",tx_Date,"&lt;="&amp;AsOf),"")</f>
        <v/>
      </c>
      <c r="L466" s="65">
        <f>IF(V466=1,IF(C466&gt;AsOf,0,ROUND(G466-K466,2)),"")</f>
        <v/>
      </c>
      <c r="M466" s="66">
        <f>IF(V466&lt;&gt;1,"",IF(C466&gt;AsOf,"Future",IF(L466&lt;0,"Overpaid",IF(L466=0,"Paid",IF(AsOf&gt;J466,"Overdue",IF(K466&gt;0,"Partial","Unpaid"))))))</f>
        <v/>
      </c>
      <c r="N466" s="28">
        <f>IF(AND(V466=1,N(L466)&gt;0),AsOf-C466,"")</f>
        <v/>
      </c>
      <c r="O466" s="28">
        <f>IF(N466="","",MAX(0,AsOf-J466))</f>
        <v/>
      </c>
      <c r="P466" s="66">
        <f>IF(O466="","",IF(O466=0,"Current",IF(O466&lt;=30,"1-30",IF(O466&lt;=60,"31-60",IF(O466&lt;=90,"61-90","90+")))))</f>
        <v/>
      </c>
      <c r="Q466" s="66">
        <f>IF(T466&lt;&gt;"","⛔ "&amp;T466&amp;" — not posted",IF(U466&lt;&gt;"","⚠ "&amp;U466,IF(V466=1,"✓ OK","")))</f>
        <v/>
      </c>
      <c r="R466" s="67">
        <f>IF(AND(B466="",C466="",D466="",G466="",F466=""),1,0)</f>
        <v/>
      </c>
      <c r="S466" s="68">
        <f>IF(AND(TaxOn="Yes",ISNUMBER(H466)),H466,0)</f>
        <v/>
      </c>
      <c r="T466" s="67">
        <f>IF(R466=1,"",IF(B466="","Enter an invoice #",IF(C466="","Missing invoice date",IF(NOT(ISNUMBER(C466)),"Invalid date",IF(OR(C466&lt;DATE(2000,1,1),C466&gt;DATE(2099,12,31)),"Invalid date",IF(F466="","Select a revenue account",IF(ISNA(MATCH(F466,coa_Name,0)),"Unknown account: "&amp;F466,IF(NOT(ISNUMBER(G466)),"Enter an amount",IF(G466&lt;=0,"Amount must be positive",IF(S466&gt;G466,"Tax is larger than the amount",""))))))))))</f>
        <v/>
      </c>
      <c r="U466" s="67">
        <f>IF(OR(R466=1,T466&lt;&gt;""),"",IF(COUNTIF(ar_No,B466)&gt;1,"Duplicate invoice #",IF(D466="","Select a customer",IF(N(L466)&lt;0,"Overpaid by "&amp;TEXT(-L466,"#,##0.00"),IF(AND(ISNUMBER(H466),N(H466)&lt;&gt;0,S466=0),"Tax ignored (tax tracking is off)",IF(AND(ISNUMBER(StartDate),C466&lt;StartDate),"Date is before the accounting start date",IF(AND(IFERROR(INDEX(coa_Type,MATCH(F466,coa_Name,0)),"")&lt;&gt;"Revenue",IFERROR(INDEX(coa_Type,MATCH(F466,coa_Name,0)),"")&lt;&gt;"Other Income"),"Account is not a revenue account","")))))))</f>
        <v/>
      </c>
      <c r="V466" s="67">
        <f>IF(AND(R466=0,T466=""),1,0)</f>
        <v/>
      </c>
      <c r="W466" s="67">
        <f>IF(V466=1,acctAR,"")</f>
        <v/>
      </c>
      <c r="X466" s="67">
        <f>IF(V466=1,F466,"")</f>
        <v/>
      </c>
      <c r="Y466" s="68">
        <f>IF(V466=1,G466,0)</f>
        <v/>
      </c>
      <c r="Z466" s="68">
        <f>IF(V466=1,G466-S466,0)</f>
        <v/>
      </c>
      <c r="AA466" s="68">
        <f>IF(V466=1,S466,0)</f>
        <v/>
      </c>
    </row>
    <row r="467">
      <c r="B467" s="62" t="n"/>
      <c r="C467" s="63" t="n"/>
      <c r="D467" s="62" t="n"/>
      <c r="E467" s="62" t="n"/>
      <c r="F467" s="62" t="n"/>
      <c r="G467" s="64" t="n"/>
      <c r="H467" s="64" t="n"/>
      <c r="I467" s="63" t="n"/>
      <c r="J467" s="29">
        <f>IF(V467=1,IF(ISNUMBER(I467),I467,C467+IF(ISNUMBER(IFERROR(INDEX(cust_Terms,MATCH(D467,cust_Name,0)),"")),INDEX(cust_Terms,MATCH(D467,cust_Name,0)),TermsDays)),"")</f>
        <v/>
      </c>
      <c r="K467" s="65">
        <f>IF(V467=1,SUMIFS(tx_DrAmt,tx_Type,"Customer Payment",tx_Ref,B467&amp;"",tx_Date,"&lt;="&amp;AsOf),"")</f>
        <v/>
      </c>
      <c r="L467" s="65">
        <f>IF(V467=1,IF(C467&gt;AsOf,0,ROUND(G467-K467,2)),"")</f>
        <v/>
      </c>
      <c r="M467" s="66">
        <f>IF(V467&lt;&gt;1,"",IF(C467&gt;AsOf,"Future",IF(L467&lt;0,"Overpaid",IF(L467=0,"Paid",IF(AsOf&gt;J467,"Overdue",IF(K467&gt;0,"Partial","Unpaid"))))))</f>
        <v/>
      </c>
      <c r="N467" s="28">
        <f>IF(AND(V467=1,N(L467)&gt;0),AsOf-C467,"")</f>
        <v/>
      </c>
      <c r="O467" s="28">
        <f>IF(N467="","",MAX(0,AsOf-J467))</f>
        <v/>
      </c>
      <c r="P467" s="66">
        <f>IF(O467="","",IF(O467=0,"Current",IF(O467&lt;=30,"1-30",IF(O467&lt;=60,"31-60",IF(O467&lt;=90,"61-90","90+")))))</f>
        <v/>
      </c>
      <c r="Q467" s="66">
        <f>IF(T467&lt;&gt;"","⛔ "&amp;T467&amp;" — not posted",IF(U467&lt;&gt;"","⚠ "&amp;U467,IF(V467=1,"✓ OK","")))</f>
        <v/>
      </c>
      <c r="R467" s="67">
        <f>IF(AND(B467="",C467="",D467="",G467="",F467=""),1,0)</f>
        <v/>
      </c>
      <c r="S467" s="68">
        <f>IF(AND(TaxOn="Yes",ISNUMBER(H467)),H467,0)</f>
        <v/>
      </c>
      <c r="T467" s="67">
        <f>IF(R467=1,"",IF(B467="","Enter an invoice #",IF(C467="","Missing invoice date",IF(NOT(ISNUMBER(C467)),"Invalid date",IF(OR(C467&lt;DATE(2000,1,1),C467&gt;DATE(2099,12,31)),"Invalid date",IF(F467="","Select a revenue account",IF(ISNA(MATCH(F467,coa_Name,0)),"Unknown account: "&amp;F467,IF(NOT(ISNUMBER(G467)),"Enter an amount",IF(G467&lt;=0,"Amount must be positive",IF(S467&gt;G467,"Tax is larger than the amount",""))))))))))</f>
        <v/>
      </c>
      <c r="U467" s="67">
        <f>IF(OR(R467=1,T467&lt;&gt;""),"",IF(COUNTIF(ar_No,B467)&gt;1,"Duplicate invoice #",IF(D467="","Select a customer",IF(N(L467)&lt;0,"Overpaid by "&amp;TEXT(-L467,"#,##0.00"),IF(AND(ISNUMBER(H467),N(H467)&lt;&gt;0,S467=0),"Tax ignored (tax tracking is off)",IF(AND(ISNUMBER(StartDate),C467&lt;StartDate),"Date is before the accounting start date",IF(AND(IFERROR(INDEX(coa_Type,MATCH(F467,coa_Name,0)),"")&lt;&gt;"Revenue",IFERROR(INDEX(coa_Type,MATCH(F467,coa_Name,0)),"")&lt;&gt;"Other Income"),"Account is not a revenue account","")))))))</f>
        <v/>
      </c>
      <c r="V467" s="67">
        <f>IF(AND(R467=0,T467=""),1,0)</f>
        <v/>
      </c>
      <c r="W467" s="67">
        <f>IF(V467=1,acctAR,"")</f>
        <v/>
      </c>
      <c r="X467" s="67">
        <f>IF(V467=1,F467,"")</f>
        <v/>
      </c>
      <c r="Y467" s="68">
        <f>IF(V467=1,G467,0)</f>
        <v/>
      </c>
      <c r="Z467" s="68">
        <f>IF(V467=1,G467-S467,0)</f>
        <v/>
      </c>
      <c r="AA467" s="68">
        <f>IF(V467=1,S467,0)</f>
        <v/>
      </c>
    </row>
    <row r="468">
      <c r="B468" s="62" t="n"/>
      <c r="C468" s="63" t="n"/>
      <c r="D468" s="62" t="n"/>
      <c r="E468" s="62" t="n"/>
      <c r="F468" s="62" t="n"/>
      <c r="G468" s="64" t="n"/>
      <c r="H468" s="64" t="n"/>
      <c r="I468" s="63" t="n"/>
      <c r="J468" s="29">
        <f>IF(V468=1,IF(ISNUMBER(I468),I468,C468+IF(ISNUMBER(IFERROR(INDEX(cust_Terms,MATCH(D468,cust_Name,0)),"")),INDEX(cust_Terms,MATCH(D468,cust_Name,0)),TermsDays)),"")</f>
        <v/>
      </c>
      <c r="K468" s="65">
        <f>IF(V468=1,SUMIFS(tx_DrAmt,tx_Type,"Customer Payment",tx_Ref,B468&amp;"",tx_Date,"&lt;="&amp;AsOf),"")</f>
        <v/>
      </c>
      <c r="L468" s="65">
        <f>IF(V468=1,IF(C468&gt;AsOf,0,ROUND(G468-K468,2)),"")</f>
        <v/>
      </c>
      <c r="M468" s="66">
        <f>IF(V468&lt;&gt;1,"",IF(C468&gt;AsOf,"Future",IF(L468&lt;0,"Overpaid",IF(L468=0,"Paid",IF(AsOf&gt;J468,"Overdue",IF(K468&gt;0,"Partial","Unpaid"))))))</f>
        <v/>
      </c>
      <c r="N468" s="28">
        <f>IF(AND(V468=1,N(L468)&gt;0),AsOf-C468,"")</f>
        <v/>
      </c>
      <c r="O468" s="28">
        <f>IF(N468="","",MAX(0,AsOf-J468))</f>
        <v/>
      </c>
      <c r="P468" s="66">
        <f>IF(O468="","",IF(O468=0,"Current",IF(O468&lt;=30,"1-30",IF(O468&lt;=60,"31-60",IF(O468&lt;=90,"61-90","90+")))))</f>
        <v/>
      </c>
      <c r="Q468" s="66">
        <f>IF(T468&lt;&gt;"","⛔ "&amp;T468&amp;" — not posted",IF(U468&lt;&gt;"","⚠ "&amp;U468,IF(V468=1,"✓ OK","")))</f>
        <v/>
      </c>
      <c r="R468" s="67">
        <f>IF(AND(B468="",C468="",D468="",G468="",F468=""),1,0)</f>
        <v/>
      </c>
      <c r="S468" s="68">
        <f>IF(AND(TaxOn="Yes",ISNUMBER(H468)),H468,0)</f>
        <v/>
      </c>
      <c r="T468" s="67">
        <f>IF(R468=1,"",IF(B468="","Enter an invoice #",IF(C468="","Missing invoice date",IF(NOT(ISNUMBER(C468)),"Invalid date",IF(OR(C468&lt;DATE(2000,1,1),C468&gt;DATE(2099,12,31)),"Invalid date",IF(F468="","Select a revenue account",IF(ISNA(MATCH(F468,coa_Name,0)),"Unknown account: "&amp;F468,IF(NOT(ISNUMBER(G468)),"Enter an amount",IF(G468&lt;=0,"Amount must be positive",IF(S468&gt;G468,"Tax is larger than the amount",""))))))))))</f>
        <v/>
      </c>
      <c r="U468" s="67">
        <f>IF(OR(R468=1,T468&lt;&gt;""),"",IF(COUNTIF(ar_No,B468)&gt;1,"Duplicate invoice #",IF(D468="","Select a customer",IF(N(L468)&lt;0,"Overpaid by "&amp;TEXT(-L468,"#,##0.00"),IF(AND(ISNUMBER(H468),N(H468)&lt;&gt;0,S468=0),"Tax ignored (tax tracking is off)",IF(AND(ISNUMBER(StartDate),C468&lt;StartDate),"Date is before the accounting start date",IF(AND(IFERROR(INDEX(coa_Type,MATCH(F468,coa_Name,0)),"")&lt;&gt;"Revenue",IFERROR(INDEX(coa_Type,MATCH(F468,coa_Name,0)),"")&lt;&gt;"Other Income"),"Account is not a revenue account","")))))))</f>
        <v/>
      </c>
      <c r="V468" s="67">
        <f>IF(AND(R468=0,T468=""),1,0)</f>
        <v/>
      </c>
      <c r="W468" s="67">
        <f>IF(V468=1,acctAR,"")</f>
        <v/>
      </c>
      <c r="X468" s="67">
        <f>IF(V468=1,F468,"")</f>
        <v/>
      </c>
      <c r="Y468" s="68">
        <f>IF(V468=1,G468,0)</f>
        <v/>
      </c>
      <c r="Z468" s="68">
        <f>IF(V468=1,G468-S468,0)</f>
        <v/>
      </c>
      <c r="AA468" s="68">
        <f>IF(V468=1,S468,0)</f>
        <v/>
      </c>
    </row>
    <row r="469">
      <c r="B469" s="62" t="n"/>
      <c r="C469" s="63" t="n"/>
      <c r="D469" s="62" t="n"/>
      <c r="E469" s="62" t="n"/>
      <c r="F469" s="62" t="n"/>
      <c r="G469" s="64" t="n"/>
      <c r="H469" s="64" t="n"/>
      <c r="I469" s="63" t="n"/>
      <c r="J469" s="29">
        <f>IF(V469=1,IF(ISNUMBER(I469),I469,C469+IF(ISNUMBER(IFERROR(INDEX(cust_Terms,MATCH(D469,cust_Name,0)),"")),INDEX(cust_Terms,MATCH(D469,cust_Name,0)),TermsDays)),"")</f>
        <v/>
      </c>
      <c r="K469" s="65">
        <f>IF(V469=1,SUMIFS(tx_DrAmt,tx_Type,"Customer Payment",tx_Ref,B469&amp;"",tx_Date,"&lt;="&amp;AsOf),"")</f>
        <v/>
      </c>
      <c r="L469" s="65">
        <f>IF(V469=1,IF(C469&gt;AsOf,0,ROUND(G469-K469,2)),"")</f>
        <v/>
      </c>
      <c r="M469" s="66">
        <f>IF(V469&lt;&gt;1,"",IF(C469&gt;AsOf,"Future",IF(L469&lt;0,"Overpaid",IF(L469=0,"Paid",IF(AsOf&gt;J469,"Overdue",IF(K469&gt;0,"Partial","Unpaid"))))))</f>
        <v/>
      </c>
      <c r="N469" s="28">
        <f>IF(AND(V469=1,N(L469)&gt;0),AsOf-C469,"")</f>
        <v/>
      </c>
      <c r="O469" s="28">
        <f>IF(N469="","",MAX(0,AsOf-J469))</f>
        <v/>
      </c>
      <c r="P469" s="66">
        <f>IF(O469="","",IF(O469=0,"Current",IF(O469&lt;=30,"1-30",IF(O469&lt;=60,"31-60",IF(O469&lt;=90,"61-90","90+")))))</f>
        <v/>
      </c>
      <c r="Q469" s="66">
        <f>IF(T469&lt;&gt;"","⛔ "&amp;T469&amp;" — not posted",IF(U469&lt;&gt;"","⚠ "&amp;U469,IF(V469=1,"✓ OK","")))</f>
        <v/>
      </c>
      <c r="R469" s="67">
        <f>IF(AND(B469="",C469="",D469="",G469="",F469=""),1,0)</f>
        <v/>
      </c>
      <c r="S469" s="68">
        <f>IF(AND(TaxOn="Yes",ISNUMBER(H469)),H469,0)</f>
        <v/>
      </c>
      <c r="T469" s="67">
        <f>IF(R469=1,"",IF(B469="","Enter an invoice #",IF(C469="","Missing invoice date",IF(NOT(ISNUMBER(C469)),"Invalid date",IF(OR(C469&lt;DATE(2000,1,1),C469&gt;DATE(2099,12,31)),"Invalid date",IF(F469="","Select a revenue account",IF(ISNA(MATCH(F469,coa_Name,0)),"Unknown account: "&amp;F469,IF(NOT(ISNUMBER(G469)),"Enter an amount",IF(G469&lt;=0,"Amount must be positive",IF(S469&gt;G469,"Tax is larger than the amount",""))))))))))</f>
        <v/>
      </c>
      <c r="U469" s="67">
        <f>IF(OR(R469=1,T469&lt;&gt;""),"",IF(COUNTIF(ar_No,B469)&gt;1,"Duplicate invoice #",IF(D469="","Select a customer",IF(N(L469)&lt;0,"Overpaid by "&amp;TEXT(-L469,"#,##0.00"),IF(AND(ISNUMBER(H469),N(H469)&lt;&gt;0,S469=0),"Tax ignored (tax tracking is off)",IF(AND(ISNUMBER(StartDate),C469&lt;StartDate),"Date is before the accounting start date",IF(AND(IFERROR(INDEX(coa_Type,MATCH(F469,coa_Name,0)),"")&lt;&gt;"Revenue",IFERROR(INDEX(coa_Type,MATCH(F469,coa_Name,0)),"")&lt;&gt;"Other Income"),"Account is not a revenue account","")))))))</f>
        <v/>
      </c>
      <c r="V469" s="67">
        <f>IF(AND(R469=0,T469=""),1,0)</f>
        <v/>
      </c>
      <c r="W469" s="67">
        <f>IF(V469=1,acctAR,"")</f>
        <v/>
      </c>
      <c r="X469" s="67">
        <f>IF(V469=1,F469,"")</f>
        <v/>
      </c>
      <c r="Y469" s="68">
        <f>IF(V469=1,G469,0)</f>
        <v/>
      </c>
      <c r="Z469" s="68">
        <f>IF(V469=1,G469-S469,0)</f>
        <v/>
      </c>
      <c r="AA469" s="68">
        <f>IF(V469=1,S469,0)</f>
        <v/>
      </c>
    </row>
    <row r="470">
      <c r="B470" s="62" t="n"/>
      <c r="C470" s="63" t="n"/>
      <c r="D470" s="62" t="n"/>
      <c r="E470" s="62" t="n"/>
      <c r="F470" s="62" t="n"/>
      <c r="G470" s="64" t="n"/>
      <c r="H470" s="64" t="n"/>
      <c r="I470" s="63" t="n"/>
      <c r="J470" s="29">
        <f>IF(V470=1,IF(ISNUMBER(I470),I470,C470+IF(ISNUMBER(IFERROR(INDEX(cust_Terms,MATCH(D470,cust_Name,0)),"")),INDEX(cust_Terms,MATCH(D470,cust_Name,0)),TermsDays)),"")</f>
        <v/>
      </c>
      <c r="K470" s="65">
        <f>IF(V470=1,SUMIFS(tx_DrAmt,tx_Type,"Customer Payment",tx_Ref,B470&amp;"",tx_Date,"&lt;="&amp;AsOf),"")</f>
        <v/>
      </c>
      <c r="L470" s="65">
        <f>IF(V470=1,IF(C470&gt;AsOf,0,ROUND(G470-K470,2)),"")</f>
        <v/>
      </c>
      <c r="M470" s="66">
        <f>IF(V470&lt;&gt;1,"",IF(C470&gt;AsOf,"Future",IF(L470&lt;0,"Overpaid",IF(L470=0,"Paid",IF(AsOf&gt;J470,"Overdue",IF(K470&gt;0,"Partial","Unpaid"))))))</f>
        <v/>
      </c>
      <c r="N470" s="28">
        <f>IF(AND(V470=1,N(L470)&gt;0),AsOf-C470,"")</f>
        <v/>
      </c>
      <c r="O470" s="28">
        <f>IF(N470="","",MAX(0,AsOf-J470))</f>
        <v/>
      </c>
      <c r="P470" s="66">
        <f>IF(O470="","",IF(O470=0,"Current",IF(O470&lt;=30,"1-30",IF(O470&lt;=60,"31-60",IF(O470&lt;=90,"61-90","90+")))))</f>
        <v/>
      </c>
      <c r="Q470" s="66">
        <f>IF(T470&lt;&gt;"","⛔ "&amp;T470&amp;" — not posted",IF(U470&lt;&gt;"","⚠ "&amp;U470,IF(V470=1,"✓ OK","")))</f>
        <v/>
      </c>
      <c r="R470" s="67">
        <f>IF(AND(B470="",C470="",D470="",G470="",F470=""),1,0)</f>
        <v/>
      </c>
      <c r="S470" s="68">
        <f>IF(AND(TaxOn="Yes",ISNUMBER(H470)),H470,0)</f>
        <v/>
      </c>
      <c r="T470" s="67">
        <f>IF(R470=1,"",IF(B470="","Enter an invoice #",IF(C470="","Missing invoice date",IF(NOT(ISNUMBER(C470)),"Invalid date",IF(OR(C470&lt;DATE(2000,1,1),C470&gt;DATE(2099,12,31)),"Invalid date",IF(F470="","Select a revenue account",IF(ISNA(MATCH(F470,coa_Name,0)),"Unknown account: "&amp;F470,IF(NOT(ISNUMBER(G470)),"Enter an amount",IF(G470&lt;=0,"Amount must be positive",IF(S470&gt;G470,"Tax is larger than the amount",""))))))))))</f>
        <v/>
      </c>
      <c r="U470" s="67">
        <f>IF(OR(R470=1,T470&lt;&gt;""),"",IF(COUNTIF(ar_No,B470)&gt;1,"Duplicate invoice #",IF(D470="","Select a customer",IF(N(L470)&lt;0,"Overpaid by "&amp;TEXT(-L470,"#,##0.00"),IF(AND(ISNUMBER(H470),N(H470)&lt;&gt;0,S470=0),"Tax ignored (tax tracking is off)",IF(AND(ISNUMBER(StartDate),C470&lt;StartDate),"Date is before the accounting start date",IF(AND(IFERROR(INDEX(coa_Type,MATCH(F470,coa_Name,0)),"")&lt;&gt;"Revenue",IFERROR(INDEX(coa_Type,MATCH(F470,coa_Name,0)),"")&lt;&gt;"Other Income"),"Account is not a revenue account","")))))))</f>
        <v/>
      </c>
      <c r="V470" s="67">
        <f>IF(AND(R470=0,T470=""),1,0)</f>
        <v/>
      </c>
      <c r="W470" s="67">
        <f>IF(V470=1,acctAR,"")</f>
        <v/>
      </c>
      <c r="X470" s="67">
        <f>IF(V470=1,F470,"")</f>
        <v/>
      </c>
      <c r="Y470" s="68">
        <f>IF(V470=1,G470,0)</f>
        <v/>
      </c>
      <c r="Z470" s="68">
        <f>IF(V470=1,G470-S470,0)</f>
        <v/>
      </c>
      <c r="AA470" s="68">
        <f>IF(V470=1,S470,0)</f>
        <v/>
      </c>
    </row>
    <row r="471">
      <c r="B471" s="62" t="n"/>
      <c r="C471" s="63" t="n"/>
      <c r="D471" s="62" t="n"/>
      <c r="E471" s="62" t="n"/>
      <c r="F471" s="62" t="n"/>
      <c r="G471" s="64" t="n"/>
      <c r="H471" s="64" t="n"/>
      <c r="I471" s="63" t="n"/>
      <c r="J471" s="29">
        <f>IF(V471=1,IF(ISNUMBER(I471),I471,C471+IF(ISNUMBER(IFERROR(INDEX(cust_Terms,MATCH(D471,cust_Name,0)),"")),INDEX(cust_Terms,MATCH(D471,cust_Name,0)),TermsDays)),"")</f>
        <v/>
      </c>
      <c r="K471" s="65">
        <f>IF(V471=1,SUMIFS(tx_DrAmt,tx_Type,"Customer Payment",tx_Ref,B471&amp;"",tx_Date,"&lt;="&amp;AsOf),"")</f>
        <v/>
      </c>
      <c r="L471" s="65">
        <f>IF(V471=1,IF(C471&gt;AsOf,0,ROUND(G471-K471,2)),"")</f>
        <v/>
      </c>
      <c r="M471" s="66">
        <f>IF(V471&lt;&gt;1,"",IF(C471&gt;AsOf,"Future",IF(L471&lt;0,"Overpaid",IF(L471=0,"Paid",IF(AsOf&gt;J471,"Overdue",IF(K471&gt;0,"Partial","Unpaid"))))))</f>
        <v/>
      </c>
      <c r="N471" s="28">
        <f>IF(AND(V471=1,N(L471)&gt;0),AsOf-C471,"")</f>
        <v/>
      </c>
      <c r="O471" s="28">
        <f>IF(N471="","",MAX(0,AsOf-J471))</f>
        <v/>
      </c>
      <c r="P471" s="66">
        <f>IF(O471="","",IF(O471=0,"Current",IF(O471&lt;=30,"1-30",IF(O471&lt;=60,"31-60",IF(O471&lt;=90,"61-90","90+")))))</f>
        <v/>
      </c>
      <c r="Q471" s="66">
        <f>IF(T471&lt;&gt;"","⛔ "&amp;T471&amp;" — not posted",IF(U471&lt;&gt;"","⚠ "&amp;U471,IF(V471=1,"✓ OK","")))</f>
        <v/>
      </c>
      <c r="R471" s="67">
        <f>IF(AND(B471="",C471="",D471="",G471="",F471=""),1,0)</f>
        <v/>
      </c>
      <c r="S471" s="68">
        <f>IF(AND(TaxOn="Yes",ISNUMBER(H471)),H471,0)</f>
        <v/>
      </c>
      <c r="T471" s="67">
        <f>IF(R471=1,"",IF(B471="","Enter an invoice #",IF(C471="","Missing invoice date",IF(NOT(ISNUMBER(C471)),"Invalid date",IF(OR(C471&lt;DATE(2000,1,1),C471&gt;DATE(2099,12,31)),"Invalid date",IF(F471="","Select a revenue account",IF(ISNA(MATCH(F471,coa_Name,0)),"Unknown account: "&amp;F471,IF(NOT(ISNUMBER(G471)),"Enter an amount",IF(G471&lt;=0,"Amount must be positive",IF(S471&gt;G471,"Tax is larger than the amount",""))))))))))</f>
        <v/>
      </c>
      <c r="U471" s="67">
        <f>IF(OR(R471=1,T471&lt;&gt;""),"",IF(COUNTIF(ar_No,B471)&gt;1,"Duplicate invoice #",IF(D471="","Select a customer",IF(N(L471)&lt;0,"Overpaid by "&amp;TEXT(-L471,"#,##0.00"),IF(AND(ISNUMBER(H471),N(H471)&lt;&gt;0,S471=0),"Tax ignored (tax tracking is off)",IF(AND(ISNUMBER(StartDate),C471&lt;StartDate),"Date is before the accounting start date",IF(AND(IFERROR(INDEX(coa_Type,MATCH(F471,coa_Name,0)),"")&lt;&gt;"Revenue",IFERROR(INDEX(coa_Type,MATCH(F471,coa_Name,0)),"")&lt;&gt;"Other Income"),"Account is not a revenue account","")))))))</f>
        <v/>
      </c>
      <c r="V471" s="67">
        <f>IF(AND(R471=0,T471=""),1,0)</f>
        <v/>
      </c>
      <c r="W471" s="67">
        <f>IF(V471=1,acctAR,"")</f>
        <v/>
      </c>
      <c r="X471" s="67">
        <f>IF(V471=1,F471,"")</f>
        <v/>
      </c>
      <c r="Y471" s="68">
        <f>IF(V471=1,G471,0)</f>
        <v/>
      </c>
      <c r="Z471" s="68">
        <f>IF(V471=1,G471-S471,0)</f>
        <v/>
      </c>
      <c r="AA471" s="68">
        <f>IF(V471=1,S471,0)</f>
        <v/>
      </c>
    </row>
    <row r="472">
      <c r="B472" s="62" t="n"/>
      <c r="C472" s="63" t="n"/>
      <c r="D472" s="62" t="n"/>
      <c r="E472" s="62" t="n"/>
      <c r="F472" s="62" t="n"/>
      <c r="G472" s="64" t="n"/>
      <c r="H472" s="64" t="n"/>
      <c r="I472" s="63" t="n"/>
      <c r="J472" s="29">
        <f>IF(V472=1,IF(ISNUMBER(I472),I472,C472+IF(ISNUMBER(IFERROR(INDEX(cust_Terms,MATCH(D472,cust_Name,0)),"")),INDEX(cust_Terms,MATCH(D472,cust_Name,0)),TermsDays)),"")</f>
        <v/>
      </c>
      <c r="K472" s="65">
        <f>IF(V472=1,SUMIFS(tx_DrAmt,tx_Type,"Customer Payment",tx_Ref,B472&amp;"",tx_Date,"&lt;="&amp;AsOf),"")</f>
        <v/>
      </c>
      <c r="L472" s="65">
        <f>IF(V472=1,IF(C472&gt;AsOf,0,ROUND(G472-K472,2)),"")</f>
        <v/>
      </c>
      <c r="M472" s="66">
        <f>IF(V472&lt;&gt;1,"",IF(C472&gt;AsOf,"Future",IF(L472&lt;0,"Overpaid",IF(L472=0,"Paid",IF(AsOf&gt;J472,"Overdue",IF(K472&gt;0,"Partial","Unpaid"))))))</f>
        <v/>
      </c>
      <c r="N472" s="28">
        <f>IF(AND(V472=1,N(L472)&gt;0),AsOf-C472,"")</f>
        <v/>
      </c>
      <c r="O472" s="28">
        <f>IF(N472="","",MAX(0,AsOf-J472))</f>
        <v/>
      </c>
      <c r="P472" s="66">
        <f>IF(O472="","",IF(O472=0,"Current",IF(O472&lt;=30,"1-30",IF(O472&lt;=60,"31-60",IF(O472&lt;=90,"61-90","90+")))))</f>
        <v/>
      </c>
      <c r="Q472" s="66">
        <f>IF(T472&lt;&gt;"","⛔ "&amp;T472&amp;" — not posted",IF(U472&lt;&gt;"","⚠ "&amp;U472,IF(V472=1,"✓ OK","")))</f>
        <v/>
      </c>
      <c r="R472" s="67">
        <f>IF(AND(B472="",C472="",D472="",G472="",F472=""),1,0)</f>
        <v/>
      </c>
      <c r="S472" s="68">
        <f>IF(AND(TaxOn="Yes",ISNUMBER(H472)),H472,0)</f>
        <v/>
      </c>
      <c r="T472" s="67">
        <f>IF(R472=1,"",IF(B472="","Enter an invoice #",IF(C472="","Missing invoice date",IF(NOT(ISNUMBER(C472)),"Invalid date",IF(OR(C472&lt;DATE(2000,1,1),C472&gt;DATE(2099,12,31)),"Invalid date",IF(F472="","Select a revenue account",IF(ISNA(MATCH(F472,coa_Name,0)),"Unknown account: "&amp;F472,IF(NOT(ISNUMBER(G472)),"Enter an amount",IF(G472&lt;=0,"Amount must be positive",IF(S472&gt;G472,"Tax is larger than the amount",""))))))))))</f>
        <v/>
      </c>
      <c r="U472" s="67">
        <f>IF(OR(R472=1,T472&lt;&gt;""),"",IF(COUNTIF(ar_No,B472)&gt;1,"Duplicate invoice #",IF(D472="","Select a customer",IF(N(L472)&lt;0,"Overpaid by "&amp;TEXT(-L472,"#,##0.00"),IF(AND(ISNUMBER(H472),N(H472)&lt;&gt;0,S472=0),"Tax ignored (tax tracking is off)",IF(AND(ISNUMBER(StartDate),C472&lt;StartDate),"Date is before the accounting start date",IF(AND(IFERROR(INDEX(coa_Type,MATCH(F472,coa_Name,0)),"")&lt;&gt;"Revenue",IFERROR(INDEX(coa_Type,MATCH(F472,coa_Name,0)),"")&lt;&gt;"Other Income"),"Account is not a revenue account","")))))))</f>
        <v/>
      </c>
      <c r="V472" s="67">
        <f>IF(AND(R472=0,T472=""),1,0)</f>
        <v/>
      </c>
      <c r="W472" s="67">
        <f>IF(V472=1,acctAR,"")</f>
        <v/>
      </c>
      <c r="X472" s="67">
        <f>IF(V472=1,F472,"")</f>
        <v/>
      </c>
      <c r="Y472" s="68">
        <f>IF(V472=1,G472,0)</f>
        <v/>
      </c>
      <c r="Z472" s="68">
        <f>IF(V472=1,G472-S472,0)</f>
        <v/>
      </c>
      <c r="AA472" s="68">
        <f>IF(V472=1,S472,0)</f>
        <v/>
      </c>
    </row>
    <row r="473">
      <c r="B473" s="62" t="n"/>
      <c r="C473" s="63" t="n"/>
      <c r="D473" s="62" t="n"/>
      <c r="E473" s="62" t="n"/>
      <c r="F473" s="62" t="n"/>
      <c r="G473" s="64" t="n"/>
      <c r="H473" s="64" t="n"/>
      <c r="I473" s="63" t="n"/>
      <c r="J473" s="29">
        <f>IF(V473=1,IF(ISNUMBER(I473),I473,C473+IF(ISNUMBER(IFERROR(INDEX(cust_Terms,MATCH(D473,cust_Name,0)),"")),INDEX(cust_Terms,MATCH(D473,cust_Name,0)),TermsDays)),"")</f>
        <v/>
      </c>
      <c r="K473" s="65">
        <f>IF(V473=1,SUMIFS(tx_DrAmt,tx_Type,"Customer Payment",tx_Ref,B473&amp;"",tx_Date,"&lt;="&amp;AsOf),"")</f>
        <v/>
      </c>
      <c r="L473" s="65">
        <f>IF(V473=1,IF(C473&gt;AsOf,0,ROUND(G473-K473,2)),"")</f>
        <v/>
      </c>
      <c r="M473" s="66">
        <f>IF(V473&lt;&gt;1,"",IF(C473&gt;AsOf,"Future",IF(L473&lt;0,"Overpaid",IF(L473=0,"Paid",IF(AsOf&gt;J473,"Overdue",IF(K473&gt;0,"Partial","Unpaid"))))))</f>
        <v/>
      </c>
      <c r="N473" s="28">
        <f>IF(AND(V473=1,N(L473)&gt;0),AsOf-C473,"")</f>
        <v/>
      </c>
      <c r="O473" s="28">
        <f>IF(N473="","",MAX(0,AsOf-J473))</f>
        <v/>
      </c>
      <c r="P473" s="66">
        <f>IF(O473="","",IF(O473=0,"Current",IF(O473&lt;=30,"1-30",IF(O473&lt;=60,"31-60",IF(O473&lt;=90,"61-90","90+")))))</f>
        <v/>
      </c>
      <c r="Q473" s="66">
        <f>IF(T473&lt;&gt;"","⛔ "&amp;T473&amp;" — not posted",IF(U473&lt;&gt;"","⚠ "&amp;U473,IF(V473=1,"✓ OK","")))</f>
        <v/>
      </c>
      <c r="R473" s="67">
        <f>IF(AND(B473="",C473="",D473="",G473="",F473=""),1,0)</f>
        <v/>
      </c>
      <c r="S473" s="68">
        <f>IF(AND(TaxOn="Yes",ISNUMBER(H473)),H473,0)</f>
        <v/>
      </c>
      <c r="T473" s="67">
        <f>IF(R473=1,"",IF(B473="","Enter an invoice #",IF(C473="","Missing invoice date",IF(NOT(ISNUMBER(C473)),"Invalid date",IF(OR(C473&lt;DATE(2000,1,1),C473&gt;DATE(2099,12,31)),"Invalid date",IF(F473="","Select a revenue account",IF(ISNA(MATCH(F473,coa_Name,0)),"Unknown account: "&amp;F473,IF(NOT(ISNUMBER(G473)),"Enter an amount",IF(G473&lt;=0,"Amount must be positive",IF(S473&gt;G473,"Tax is larger than the amount",""))))))))))</f>
        <v/>
      </c>
      <c r="U473" s="67">
        <f>IF(OR(R473=1,T473&lt;&gt;""),"",IF(COUNTIF(ar_No,B473)&gt;1,"Duplicate invoice #",IF(D473="","Select a customer",IF(N(L473)&lt;0,"Overpaid by "&amp;TEXT(-L473,"#,##0.00"),IF(AND(ISNUMBER(H473),N(H473)&lt;&gt;0,S473=0),"Tax ignored (tax tracking is off)",IF(AND(ISNUMBER(StartDate),C473&lt;StartDate),"Date is before the accounting start date",IF(AND(IFERROR(INDEX(coa_Type,MATCH(F473,coa_Name,0)),"")&lt;&gt;"Revenue",IFERROR(INDEX(coa_Type,MATCH(F473,coa_Name,0)),"")&lt;&gt;"Other Income"),"Account is not a revenue account","")))))))</f>
        <v/>
      </c>
      <c r="V473" s="67">
        <f>IF(AND(R473=0,T473=""),1,0)</f>
        <v/>
      </c>
      <c r="W473" s="67">
        <f>IF(V473=1,acctAR,"")</f>
        <v/>
      </c>
      <c r="X473" s="67">
        <f>IF(V473=1,F473,"")</f>
        <v/>
      </c>
      <c r="Y473" s="68">
        <f>IF(V473=1,G473,0)</f>
        <v/>
      </c>
      <c r="Z473" s="68">
        <f>IF(V473=1,G473-S473,0)</f>
        <v/>
      </c>
      <c r="AA473" s="68">
        <f>IF(V473=1,S473,0)</f>
        <v/>
      </c>
    </row>
    <row r="474">
      <c r="B474" s="62" t="n"/>
      <c r="C474" s="63" t="n"/>
      <c r="D474" s="62" t="n"/>
      <c r="E474" s="62" t="n"/>
      <c r="F474" s="62" t="n"/>
      <c r="G474" s="64" t="n"/>
      <c r="H474" s="64" t="n"/>
      <c r="I474" s="63" t="n"/>
      <c r="J474" s="29">
        <f>IF(V474=1,IF(ISNUMBER(I474),I474,C474+IF(ISNUMBER(IFERROR(INDEX(cust_Terms,MATCH(D474,cust_Name,0)),"")),INDEX(cust_Terms,MATCH(D474,cust_Name,0)),TermsDays)),"")</f>
        <v/>
      </c>
      <c r="K474" s="65">
        <f>IF(V474=1,SUMIFS(tx_DrAmt,tx_Type,"Customer Payment",tx_Ref,B474&amp;"",tx_Date,"&lt;="&amp;AsOf),"")</f>
        <v/>
      </c>
      <c r="L474" s="65">
        <f>IF(V474=1,IF(C474&gt;AsOf,0,ROUND(G474-K474,2)),"")</f>
        <v/>
      </c>
      <c r="M474" s="66">
        <f>IF(V474&lt;&gt;1,"",IF(C474&gt;AsOf,"Future",IF(L474&lt;0,"Overpaid",IF(L474=0,"Paid",IF(AsOf&gt;J474,"Overdue",IF(K474&gt;0,"Partial","Unpaid"))))))</f>
        <v/>
      </c>
      <c r="N474" s="28">
        <f>IF(AND(V474=1,N(L474)&gt;0),AsOf-C474,"")</f>
        <v/>
      </c>
      <c r="O474" s="28">
        <f>IF(N474="","",MAX(0,AsOf-J474))</f>
        <v/>
      </c>
      <c r="P474" s="66">
        <f>IF(O474="","",IF(O474=0,"Current",IF(O474&lt;=30,"1-30",IF(O474&lt;=60,"31-60",IF(O474&lt;=90,"61-90","90+")))))</f>
        <v/>
      </c>
      <c r="Q474" s="66">
        <f>IF(T474&lt;&gt;"","⛔ "&amp;T474&amp;" — not posted",IF(U474&lt;&gt;"","⚠ "&amp;U474,IF(V474=1,"✓ OK","")))</f>
        <v/>
      </c>
      <c r="R474" s="67">
        <f>IF(AND(B474="",C474="",D474="",G474="",F474=""),1,0)</f>
        <v/>
      </c>
      <c r="S474" s="68">
        <f>IF(AND(TaxOn="Yes",ISNUMBER(H474)),H474,0)</f>
        <v/>
      </c>
      <c r="T474" s="67">
        <f>IF(R474=1,"",IF(B474="","Enter an invoice #",IF(C474="","Missing invoice date",IF(NOT(ISNUMBER(C474)),"Invalid date",IF(OR(C474&lt;DATE(2000,1,1),C474&gt;DATE(2099,12,31)),"Invalid date",IF(F474="","Select a revenue account",IF(ISNA(MATCH(F474,coa_Name,0)),"Unknown account: "&amp;F474,IF(NOT(ISNUMBER(G474)),"Enter an amount",IF(G474&lt;=0,"Amount must be positive",IF(S474&gt;G474,"Tax is larger than the amount",""))))))))))</f>
        <v/>
      </c>
      <c r="U474" s="67">
        <f>IF(OR(R474=1,T474&lt;&gt;""),"",IF(COUNTIF(ar_No,B474)&gt;1,"Duplicate invoice #",IF(D474="","Select a customer",IF(N(L474)&lt;0,"Overpaid by "&amp;TEXT(-L474,"#,##0.00"),IF(AND(ISNUMBER(H474),N(H474)&lt;&gt;0,S474=0),"Tax ignored (tax tracking is off)",IF(AND(ISNUMBER(StartDate),C474&lt;StartDate),"Date is before the accounting start date",IF(AND(IFERROR(INDEX(coa_Type,MATCH(F474,coa_Name,0)),"")&lt;&gt;"Revenue",IFERROR(INDEX(coa_Type,MATCH(F474,coa_Name,0)),"")&lt;&gt;"Other Income"),"Account is not a revenue account","")))))))</f>
        <v/>
      </c>
      <c r="V474" s="67">
        <f>IF(AND(R474=0,T474=""),1,0)</f>
        <v/>
      </c>
      <c r="W474" s="67">
        <f>IF(V474=1,acctAR,"")</f>
        <v/>
      </c>
      <c r="X474" s="67">
        <f>IF(V474=1,F474,"")</f>
        <v/>
      </c>
      <c r="Y474" s="68">
        <f>IF(V474=1,G474,0)</f>
        <v/>
      </c>
      <c r="Z474" s="68">
        <f>IF(V474=1,G474-S474,0)</f>
        <v/>
      </c>
      <c r="AA474" s="68">
        <f>IF(V474=1,S474,0)</f>
        <v/>
      </c>
    </row>
    <row r="475">
      <c r="B475" s="62" t="n"/>
      <c r="C475" s="63" t="n"/>
      <c r="D475" s="62" t="n"/>
      <c r="E475" s="62" t="n"/>
      <c r="F475" s="62" t="n"/>
      <c r="G475" s="64" t="n"/>
      <c r="H475" s="64" t="n"/>
      <c r="I475" s="63" t="n"/>
      <c r="J475" s="29">
        <f>IF(V475=1,IF(ISNUMBER(I475),I475,C475+IF(ISNUMBER(IFERROR(INDEX(cust_Terms,MATCH(D475,cust_Name,0)),"")),INDEX(cust_Terms,MATCH(D475,cust_Name,0)),TermsDays)),"")</f>
        <v/>
      </c>
      <c r="K475" s="65">
        <f>IF(V475=1,SUMIFS(tx_DrAmt,tx_Type,"Customer Payment",tx_Ref,B475&amp;"",tx_Date,"&lt;="&amp;AsOf),"")</f>
        <v/>
      </c>
      <c r="L475" s="65">
        <f>IF(V475=1,IF(C475&gt;AsOf,0,ROUND(G475-K475,2)),"")</f>
        <v/>
      </c>
      <c r="M475" s="66">
        <f>IF(V475&lt;&gt;1,"",IF(C475&gt;AsOf,"Future",IF(L475&lt;0,"Overpaid",IF(L475=0,"Paid",IF(AsOf&gt;J475,"Overdue",IF(K475&gt;0,"Partial","Unpaid"))))))</f>
        <v/>
      </c>
      <c r="N475" s="28">
        <f>IF(AND(V475=1,N(L475)&gt;0),AsOf-C475,"")</f>
        <v/>
      </c>
      <c r="O475" s="28">
        <f>IF(N475="","",MAX(0,AsOf-J475))</f>
        <v/>
      </c>
      <c r="P475" s="66">
        <f>IF(O475="","",IF(O475=0,"Current",IF(O475&lt;=30,"1-30",IF(O475&lt;=60,"31-60",IF(O475&lt;=90,"61-90","90+")))))</f>
        <v/>
      </c>
      <c r="Q475" s="66">
        <f>IF(T475&lt;&gt;"","⛔ "&amp;T475&amp;" — not posted",IF(U475&lt;&gt;"","⚠ "&amp;U475,IF(V475=1,"✓ OK","")))</f>
        <v/>
      </c>
      <c r="R475" s="67">
        <f>IF(AND(B475="",C475="",D475="",G475="",F475=""),1,0)</f>
        <v/>
      </c>
      <c r="S475" s="68">
        <f>IF(AND(TaxOn="Yes",ISNUMBER(H475)),H475,0)</f>
        <v/>
      </c>
      <c r="T475" s="67">
        <f>IF(R475=1,"",IF(B475="","Enter an invoice #",IF(C475="","Missing invoice date",IF(NOT(ISNUMBER(C475)),"Invalid date",IF(OR(C475&lt;DATE(2000,1,1),C475&gt;DATE(2099,12,31)),"Invalid date",IF(F475="","Select a revenue account",IF(ISNA(MATCH(F475,coa_Name,0)),"Unknown account: "&amp;F475,IF(NOT(ISNUMBER(G475)),"Enter an amount",IF(G475&lt;=0,"Amount must be positive",IF(S475&gt;G475,"Tax is larger than the amount",""))))))))))</f>
        <v/>
      </c>
      <c r="U475" s="67">
        <f>IF(OR(R475=1,T475&lt;&gt;""),"",IF(COUNTIF(ar_No,B475)&gt;1,"Duplicate invoice #",IF(D475="","Select a customer",IF(N(L475)&lt;0,"Overpaid by "&amp;TEXT(-L475,"#,##0.00"),IF(AND(ISNUMBER(H475),N(H475)&lt;&gt;0,S475=0),"Tax ignored (tax tracking is off)",IF(AND(ISNUMBER(StartDate),C475&lt;StartDate),"Date is before the accounting start date",IF(AND(IFERROR(INDEX(coa_Type,MATCH(F475,coa_Name,0)),"")&lt;&gt;"Revenue",IFERROR(INDEX(coa_Type,MATCH(F475,coa_Name,0)),"")&lt;&gt;"Other Income"),"Account is not a revenue account","")))))))</f>
        <v/>
      </c>
      <c r="V475" s="67">
        <f>IF(AND(R475=0,T475=""),1,0)</f>
        <v/>
      </c>
      <c r="W475" s="67">
        <f>IF(V475=1,acctAR,"")</f>
        <v/>
      </c>
      <c r="X475" s="67">
        <f>IF(V475=1,F475,"")</f>
        <v/>
      </c>
      <c r="Y475" s="68">
        <f>IF(V475=1,G475,0)</f>
        <v/>
      </c>
      <c r="Z475" s="68">
        <f>IF(V475=1,G475-S475,0)</f>
        <v/>
      </c>
      <c r="AA475" s="68">
        <f>IF(V475=1,S475,0)</f>
        <v/>
      </c>
    </row>
    <row r="476">
      <c r="B476" s="62" t="n"/>
      <c r="C476" s="63" t="n"/>
      <c r="D476" s="62" t="n"/>
      <c r="E476" s="62" t="n"/>
      <c r="F476" s="62" t="n"/>
      <c r="G476" s="64" t="n"/>
      <c r="H476" s="64" t="n"/>
      <c r="I476" s="63" t="n"/>
      <c r="J476" s="29">
        <f>IF(V476=1,IF(ISNUMBER(I476),I476,C476+IF(ISNUMBER(IFERROR(INDEX(cust_Terms,MATCH(D476,cust_Name,0)),"")),INDEX(cust_Terms,MATCH(D476,cust_Name,0)),TermsDays)),"")</f>
        <v/>
      </c>
      <c r="K476" s="65">
        <f>IF(V476=1,SUMIFS(tx_DrAmt,tx_Type,"Customer Payment",tx_Ref,B476&amp;"",tx_Date,"&lt;="&amp;AsOf),"")</f>
        <v/>
      </c>
      <c r="L476" s="65">
        <f>IF(V476=1,IF(C476&gt;AsOf,0,ROUND(G476-K476,2)),"")</f>
        <v/>
      </c>
      <c r="M476" s="66">
        <f>IF(V476&lt;&gt;1,"",IF(C476&gt;AsOf,"Future",IF(L476&lt;0,"Overpaid",IF(L476=0,"Paid",IF(AsOf&gt;J476,"Overdue",IF(K476&gt;0,"Partial","Unpaid"))))))</f>
        <v/>
      </c>
      <c r="N476" s="28">
        <f>IF(AND(V476=1,N(L476)&gt;0),AsOf-C476,"")</f>
        <v/>
      </c>
      <c r="O476" s="28">
        <f>IF(N476="","",MAX(0,AsOf-J476))</f>
        <v/>
      </c>
      <c r="P476" s="66">
        <f>IF(O476="","",IF(O476=0,"Current",IF(O476&lt;=30,"1-30",IF(O476&lt;=60,"31-60",IF(O476&lt;=90,"61-90","90+")))))</f>
        <v/>
      </c>
      <c r="Q476" s="66">
        <f>IF(T476&lt;&gt;"","⛔ "&amp;T476&amp;" — not posted",IF(U476&lt;&gt;"","⚠ "&amp;U476,IF(V476=1,"✓ OK","")))</f>
        <v/>
      </c>
      <c r="R476" s="67">
        <f>IF(AND(B476="",C476="",D476="",G476="",F476=""),1,0)</f>
        <v/>
      </c>
      <c r="S476" s="68">
        <f>IF(AND(TaxOn="Yes",ISNUMBER(H476)),H476,0)</f>
        <v/>
      </c>
      <c r="T476" s="67">
        <f>IF(R476=1,"",IF(B476="","Enter an invoice #",IF(C476="","Missing invoice date",IF(NOT(ISNUMBER(C476)),"Invalid date",IF(OR(C476&lt;DATE(2000,1,1),C476&gt;DATE(2099,12,31)),"Invalid date",IF(F476="","Select a revenue account",IF(ISNA(MATCH(F476,coa_Name,0)),"Unknown account: "&amp;F476,IF(NOT(ISNUMBER(G476)),"Enter an amount",IF(G476&lt;=0,"Amount must be positive",IF(S476&gt;G476,"Tax is larger than the amount",""))))))))))</f>
        <v/>
      </c>
      <c r="U476" s="67">
        <f>IF(OR(R476=1,T476&lt;&gt;""),"",IF(COUNTIF(ar_No,B476)&gt;1,"Duplicate invoice #",IF(D476="","Select a customer",IF(N(L476)&lt;0,"Overpaid by "&amp;TEXT(-L476,"#,##0.00"),IF(AND(ISNUMBER(H476),N(H476)&lt;&gt;0,S476=0),"Tax ignored (tax tracking is off)",IF(AND(ISNUMBER(StartDate),C476&lt;StartDate),"Date is before the accounting start date",IF(AND(IFERROR(INDEX(coa_Type,MATCH(F476,coa_Name,0)),"")&lt;&gt;"Revenue",IFERROR(INDEX(coa_Type,MATCH(F476,coa_Name,0)),"")&lt;&gt;"Other Income"),"Account is not a revenue account","")))))))</f>
        <v/>
      </c>
      <c r="V476" s="67">
        <f>IF(AND(R476=0,T476=""),1,0)</f>
        <v/>
      </c>
      <c r="W476" s="67">
        <f>IF(V476=1,acctAR,"")</f>
        <v/>
      </c>
      <c r="X476" s="67">
        <f>IF(V476=1,F476,"")</f>
        <v/>
      </c>
      <c r="Y476" s="68">
        <f>IF(V476=1,G476,0)</f>
        <v/>
      </c>
      <c r="Z476" s="68">
        <f>IF(V476=1,G476-S476,0)</f>
        <v/>
      </c>
      <c r="AA476" s="68">
        <f>IF(V476=1,S476,0)</f>
        <v/>
      </c>
    </row>
    <row r="477">
      <c r="B477" s="62" t="n"/>
      <c r="C477" s="63" t="n"/>
      <c r="D477" s="62" t="n"/>
      <c r="E477" s="62" t="n"/>
      <c r="F477" s="62" t="n"/>
      <c r="G477" s="64" t="n"/>
      <c r="H477" s="64" t="n"/>
      <c r="I477" s="63" t="n"/>
      <c r="J477" s="29">
        <f>IF(V477=1,IF(ISNUMBER(I477),I477,C477+IF(ISNUMBER(IFERROR(INDEX(cust_Terms,MATCH(D477,cust_Name,0)),"")),INDEX(cust_Terms,MATCH(D477,cust_Name,0)),TermsDays)),"")</f>
        <v/>
      </c>
      <c r="K477" s="65">
        <f>IF(V477=1,SUMIFS(tx_DrAmt,tx_Type,"Customer Payment",tx_Ref,B477&amp;"",tx_Date,"&lt;="&amp;AsOf),"")</f>
        <v/>
      </c>
      <c r="L477" s="65">
        <f>IF(V477=1,IF(C477&gt;AsOf,0,ROUND(G477-K477,2)),"")</f>
        <v/>
      </c>
      <c r="M477" s="66">
        <f>IF(V477&lt;&gt;1,"",IF(C477&gt;AsOf,"Future",IF(L477&lt;0,"Overpaid",IF(L477=0,"Paid",IF(AsOf&gt;J477,"Overdue",IF(K477&gt;0,"Partial","Unpaid"))))))</f>
        <v/>
      </c>
      <c r="N477" s="28">
        <f>IF(AND(V477=1,N(L477)&gt;0),AsOf-C477,"")</f>
        <v/>
      </c>
      <c r="O477" s="28">
        <f>IF(N477="","",MAX(0,AsOf-J477))</f>
        <v/>
      </c>
      <c r="P477" s="66">
        <f>IF(O477="","",IF(O477=0,"Current",IF(O477&lt;=30,"1-30",IF(O477&lt;=60,"31-60",IF(O477&lt;=90,"61-90","90+")))))</f>
        <v/>
      </c>
      <c r="Q477" s="66">
        <f>IF(T477&lt;&gt;"","⛔ "&amp;T477&amp;" — not posted",IF(U477&lt;&gt;"","⚠ "&amp;U477,IF(V477=1,"✓ OK","")))</f>
        <v/>
      </c>
      <c r="R477" s="67">
        <f>IF(AND(B477="",C477="",D477="",G477="",F477=""),1,0)</f>
        <v/>
      </c>
      <c r="S477" s="68">
        <f>IF(AND(TaxOn="Yes",ISNUMBER(H477)),H477,0)</f>
        <v/>
      </c>
      <c r="T477" s="67">
        <f>IF(R477=1,"",IF(B477="","Enter an invoice #",IF(C477="","Missing invoice date",IF(NOT(ISNUMBER(C477)),"Invalid date",IF(OR(C477&lt;DATE(2000,1,1),C477&gt;DATE(2099,12,31)),"Invalid date",IF(F477="","Select a revenue account",IF(ISNA(MATCH(F477,coa_Name,0)),"Unknown account: "&amp;F477,IF(NOT(ISNUMBER(G477)),"Enter an amount",IF(G477&lt;=0,"Amount must be positive",IF(S477&gt;G477,"Tax is larger than the amount",""))))))))))</f>
        <v/>
      </c>
      <c r="U477" s="67">
        <f>IF(OR(R477=1,T477&lt;&gt;""),"",IF(COUNTIF(ar_No,B477)&gt;1,"Duplicate invoice #",IF(D477="","Select a customer",IF(N(L477)&lt;0,"Overpaid by "&amp;TEXT(-L477,"#,##0.00"),IF(AND(ISNUMBER(H477),N(H477)&lt;&gt;0,S477=0),"Tax ignored (tax tracking is off)",IF(AND(ISNUMBER(StartDate),C477&lt;StartDate),"Date is before the accounting start date",IF(AND(IFERROR(INDEX(coa_Type,MATCH(F477,coa_Name,0)),"")&lt;&gt;"Revenue",IFERROR(INDEX(coa_Type,MATCH(F477,coa_Name,0)),"")&lt;&gt;"Other Income"),"Account is not a revenue account","")))))))</f>
        <v/>
      </c>
      <c r="V477" s="67">
        <f>IF(AND(R477=0,T477=""),1,0)</f>
        <v/>
      </c>
      <c r="W477" s="67">
        <f>IF(V477=1,acctAR,"")</f>
        <v/>
      </c>
      <c r="X477" s="67">
        <f>IF(V477=1,F477,"")</f>
        <v/>
      </c>
      <c r="Y477" s="68">
        <f>IF(V477=1,G477,0)</f>
        <v/>
      </c>
      <c r="Z477" s="68">
        <f>IF(V477=1,G477-S477,0)</f>
        <v/>
      </c>
      <c r="AA477" s="68">
        <f>IF(V477=1,S477,0)</f>
        <v/>
      </c>
    </row>
    <row r="478">
      <c r="B478" s="62" t="n"/>
      <c r="C478" s="63" t="n"/>
      <c r="D478" s="62" t="n"/>
      <c r="E478" s="62" t="n"/>
      <c r="F478" s="62" t="n"/>
      <c r="G478" s="64" t="n"/>
      <c r="H478" s="64" t="n"/>
      <c r="I478" s="63" t="n"/>
      <c r="J478" s="29">
        <f>IF(V478=1,IF(ISNUMBER(I478),I478,C478+IF(ISNUMBER(IFERROR(INDEX(cust_Terms,MATCH(D478,cust_Name,0)),"")),INDEX(cust_Terms,MATCH(D478,cust_Name,0)),TermsDays)),"")</f>
        <v/>
      </c>
      <c r="K478" s="65">
        <f>IF(V478=1,SUMIFS(tx_DrAmt,tx_Type,"Customer Payment",tx_Ref,B478&amp;"",tx_Date,"&lt;="&amp;AsOf),"")</f>
        <v/>
      </c>
      <c r="L478" s="65">
        <f>IF(V478=1,IF(C478&gt;AsOf,0,ROUND(G478-K478,2)),"")</f>
        <v/>
      </c>
      <c r="M478" s="66">
        <f>IF(V478&lt;&gt;1,"",IF(C478&gt;AsOf,"Future",IF(L478&lt;0,"Overpaid",IF(L478=0,"Paid",IF(AsOf&gt;J478,"Overdue",IF(K478&gt;0,"Partial","Unpaid"))))))</f>
        <v/>
      </c>
      <c r="N478" s="28">
        <f>IF(AND(V478=1,N(L478)&gt;0),AsOf-C478,"")</f>
        <v/>
      </c>
      <c r="O478" s="28">
        <f>IF(N478="","",MAX(0,AsOf-J478))</f>
        <v/>
      </c>
      <c r="P478" s="66">
        <f>IF(O478="","",IF(O478=0,"Current",IF(O478&lt;=30,"1-30",IF(O478&lt;=60,"31-60",IF(O478&lt;=90,"61-90","90+")))))</f>
        <v/>
      </c>
      <c r="Q478" s="66">
        <f>IF(T478&lt;&gt;"","⛔ "&amp;T478&amp;" — not posted",IF(U478&lt;&gt;"","⚠ "&amp;U478,IF(V478=1,"✓ OK","")))</f>
        <v/>
      </c>
      <c r="R478" s="67">
        <f>IF(AND(B478="",C478="",D478="",G478="",F478=""),1,0)</f>
        <v/>
      </c>
      <c r="S478" s="68">
        <f>IF(AND(TaxOn="Yes",ISNUMBER(H478)),H478,0)</f>
        <v/>
      </c>
      <c r="T478" s="67">
        <f>IF(R478=1,"",IF(B478="","Enter an invoice #",IF(C478="","Missing invoice date",IF(NOT(ISNUMBER(C478)),"Invalid date",IF(OR(C478&lt;DATE(2000,1,1),C478&gt;DATE(2099,12,31)),"Invalid date",IF(F478="","Select a revenue account",IF(ISNA(MATCH(F478,coa_Name,0)),"Unknown account: "&amp;F478,IF(NOT(ISNUMBER(G478)),"Enter an amount",IF(G478&lt;=0,"Amount must be positive",IF(S478&gt;G478,"Tax is larger than the amount",""))))))))))</f>
        <v/>
      </c>
      <c r="U478" s="67">
        <f>IF(OR(R478=1,T478&lt;&gt;""),"",IF(COUNTIF(ar_No,B478)&gt;1,"Duplicate invoice #",IF(D478="","Select a customer",IF(N(L478)&lt;0,"Overpaid by "&amp;TEXT(-L478,"#,##0.00"),IF(AND(ISNUMBER(H478),N(H478)&lt;&gt;0,S478=0),"Tax ignored (tax tracking is off)",IF(AND(ISNUMBER(StartDate),C478&lt;StartDate),"Date is before the accounting start date",IF(AND(IFERROR(INDEX(coa_Type,MATCH(F478,coa_Name,0)),"")&lt;&gt;"Revenue",IFERROR(INDEX(coa_Type,MATCH(F478,coa_Name,0)),"")&lt;&gt;"Other Income"),"Account is not a revenue account","")))))))</f>
        <v/>
      </c>
      <c r="V478" s="67">
        <f>IF(AND(R478=0,T478=""),1,0)</f>
        <v/>
      </c>
      <c r="W478" s="67">
        <f>IF(V478=1,acctAR,"")</f>
        <v/>
      </c>
      <c r="X478" s="67">
        <f>IF(V478=1,F478,"")</f>
        <v/>
      </c>
      <c r="Y478" s="68">
        <f>IF(V478=1,G478,0)</f>
        <v/>
      </c>
      <c r="Z478" s="68">
        <f>IF(V478=1,G478-S478,0)</f>
        <v/>
      </c>
      <c r="AA478" s="68">
        <f>IF(V478=1,S478,0)</f>
        <v/>
      </c>
    </row>
    <row r="479">
      <c r="B479" s="62" t="n"/>
      <c r="C479" s="63" t="n"/>
      <c r="D479" s="62" t="n"/>
      <c r="E479" s="62" t="n"/>
      <c r="F479" s="62" t="n"/>
      <c r="G479" s="64" t="n"/>
      <c r="H479" s="64" t="n"/>
      <c r="I479" s="63" t="n"/>
      <c r="J479" s="29">
        <f>IF(V479=1,IF(ISNUMBER(I479),I479,C479+IF(ISNUMBER(IFERROR(INDEX(cust_Terms,MATCH(D479,cust_Name,0)),"")),INDEX(cust_Terms,MATCH(D479,cust_Name,0)),TermsDays)),"")</f>
        <v/>
      </c>
      <c r="K479" s="65">
        <f>IF(V479=1,SUMIFS(tx_DrAmt,tx_Type,"Customer Payment",tx_Ref,B479&amp;"",tx_Date,"&lt;="&amp;AsOf),"")</f>
        <v/>
      </c>
      <c r="L479" s="65">
        <f>IF(V479=1,IF(C479&gt;AsOf,0,ROUND(G479-K479,2)),"")</f>
        <v/>
      </c>
      <c r="M479" s="66">
        <f>IF(V479&lt;&gt;1,"",IF(C479&gt;AsOf,"Future",IF(L479&lt;0,"Overpaid",IF(L479=0,"Paid",IF(AsOf&gt;J479,"Overdue",IF(K479&gt;0,"Partial","Unpaid"))))))</f>
        <v/>
      </c>
      <c r="N479" s="28">
        <f>IF(AND(V479=1,N(L479)&gt;0),AsOf-C479,"")</f>
        <v/>
      </c>
      <c r="O479" s="28">
        <f>IF(N479="","",MAX(0,AsOf-J479))</f>
        <v/>
      </c>
      <c r="P479" s="66">
        <f>IF(O479="","",IF(O479=0,"Current",IF(O479&lt;=30,"1-30",IF(O479&lt;=60,"31-60",IF(O479&lt;=90,"61-90","90+")))))</f>
        <v/>
      </c>
      <c r="Q479" s="66">
        <f>IF(T479&lt;&gt;"","⛔ "&amp;T479&amp;" — not posted",IF(U479&lt;&gt;"","⚠ "&amp;U479,IF(V479=1,"✓ OK","")))</f>
        <v/>
      </c>
      <c r="R479" s="67">
        <f>IF(AND(B479="",C479="",D479="",G479="",F479=""),1,0)</f>
        <v/>
      </c>
      <c r="S479" s="68">
        <f>IF(AND(TaxOn="Yes",ISNUMBER(H479)),H479,0)</f>
        <v/>
      </c>
      <c r="T479" s="67">
        <f>IF(R479=1,"",IF(B479="","Enter an invoice #",IF(C479="","Missing invoice date",IF(NOT(ISNUMBER(C479)),"Invalid date",IF(OR(C479&lt;DATE(2000,1,1),C479&gt;DATE(2099,12,31)),"Invalid date",IF(F479="","Select a revenue account",IF(ISNA(MATCH(F479,coa_Name,0)),"Unknown account: "&amp;F479,IF(NOT(ISNUMBER(G479)),"Enter an amount",IF(G479&lt;=0,"Amount must be positive",IF(S479&gt;G479,"Tax is larger than the amount",""))))))))))</f>
        <v/>
      </c>
      <c r="U479" s="67">
        <f>IF(OR(R479=1,T479&lt;&gt;""),"",IF(COUNTIF(ar_No,B479)&gt;1,"Duplicate invoice #",IF(D479="","Select a customer",IF(N(L479)&lt;0,"Overpaid by "&amp;TEXT(-L479,"#,##0.00"),IF(AND(ISNUMBER(H479),N(H479)&lt;&gt;0,S479=0),"Tax ignored (tax tracking is off)",IF(AND(ISNUMBER(StartDate),C479&lt;StartDate),"Date is before the accounting start date",IF(AND(IFERROR(INDEX(coa_Type,MATCH(F479,coa_Name,0)),"")&lt;&gt;"Revenue",IFERROR(INDEX(coa_Type,MATCH(F479,coa_Name,0)),"")&lt;&gt;"Other Income"),"Account is not a revenue account","")))))))</f>
        <v/>
      </c>
      <c r="V479" s="67">
        <f>IF(AND(R479=0,T479=""),1,0)</f>
        <v/>
      </c>
      <c r="W479" s="67">
        <f>IF(V479=1,acctAR,"")</f>
        <v/>
      </c>
      <c r="X479" s="67">
        <f>IF(V479=1,F479,"")</f>
        <v/>
      </c>
      <c r="Y479" s="68">
        <f>IF(V479=1,G479,0)</f>
        <v/>
      </c>
      <c r="Z479" s="68">
        <f>IF(V479=1,G479-S479,0)</f>
        <v/>
      </c>
      <c r="AA479" s="68">
        <f>IF(V479=1,S479,0)</f>
        <v/>
      </c>
    </row>
    <row r="480">
      <c r="B480" s="62" t="n"/>
      <c r="C480" s="63" t="n"/>
      <c r="D480" s="62" t="n"/>
      <c r="E480" s="62" t="n"/>
      <c r="F480" s="62" t="n"/>
      <c r="G480" s="64" t="n"/>
      <c r="H480" s="64" t="n"/>
      <c r="I480" s="63" t="n"/>
      <c r="J480" s="29">
        <f>IF(V480=1,IF(ISNUMBER(I480),I480,C480+IF(ISNUMBER(IFERROR(INDEX(cust_Terms,MATCH(D480,cust_Name,0)),"")),INDEX(cust_Terms,MATCH(D480,cust_Name,0)),TermsDays)),"")</f>
        <v/>
      </c>
      <c r="K480" s="65">
        <f>IF(V480=1,SUMIFS(tx_DrAmt,tx_Type,"Customer Payment",tx_Ref,B480&amp;"",tx_Date,"&lt;="&amp;AsOf),"")</f>
        <v/>
      </c>
      <c r="L480" s="65">
        <f>IF(V480=1,IF(C480&gt;AsOf,0,ROUND(G480-K480,2)),"")</f>
        <v/>
      </c>
      <c r="M480" s="66">
        <f>IF(V480&lt;&gt;1,"",IF(C480&gt;AsOf,"Future",IF(L480&lt;0,"Overpaid",IF(L480=0,"Paid",IF(AsOf&gt;J480,"Overdue",IF(K480&gt;0,"Partial","Unpaid"))))))</f>
        <v/>
      </c>
      <c r="N480" s="28">
        <f>IF(AND(V480=1,N(L480)&gt;0),AsOf-C480,"")</f>
        <v/>
      </c>
      <c r="O480" s="28">
        <f>IF(N480="","",MAX(0,AsOf-J480))</f>
        <v/>
      </c>
      <c r="P480" s="66">
        <f>IF(O480="","",IF(O480=0,"Current",IF(O480&lt;=30,"1-30",IF(O480&lt;=60,"31-60",IF(O480&lt;=90,"61-90","90+")))))</f>
        <v/>
      </c>
      <c r="Q480" s="66">
        <f>IF(T480&lt;&gt;"","⛔ "&amp;T480&amp;" — not posted",IF(U480&lt;&gt;"","⚠ "&amp;U480,IF(V480=1,"✓ OK","")))</f>
        <v/>
      </c>
      <c r="R480" s="67">
        <f>IF(AND(B480="",C480="",D480="",G480="",F480=""),1,0)</f>
        <v/>
      </c>
      <c r="S480" s="68">
        <f>IF(AND(TaxOn="Yes",ISNUMBER(H480)),H480,0)</f>
        <v/>
      </c>
      <c r="T480" s="67">
        <f>IF(R480=1,"",IF(B480="","Enter an invoice #",IF(C480="","Missing invoice date",IF(NOT(ISNUMBER(C480)),"Invalid date",IF(OR(C480&lt;DATE(2000,1,1),C480&gt;DATE(2099,12,31)),"Invalid date",IF(F480="","Select a revenue account",IF(ISNA(MATCH(F480,coa_Name,0)),"Unknown account: "&amp;F480,IF(NOT(ISNUMBER(G480)),"Enter an amount",IF(G480&lt;=0,"Amount must be positive",IF(S480&gt;G480,"Tax is larger than the amount",""))))))))))</f>
        <v/>
      </c>
      <c r="U480" s="67">
        <f>IF(OR(R480=1,T480&lt;&gt;""),"",IF(COUNTIF(ar_No,B480)&gt;1,"Duplicate invoice #",IF(D480="","Select a customer",IF(N(L480)&lt;0,"Overpaid by "&amp;TEXT(-L480,"#,##0.00"),IF(AND(ISNUMBER(H480),N(H480)&lt;&gt;0,S480=0),"Tax ignored (tax tracking is off)",IF(AND(ISNUMBER(StartDate),C480&lt;StartDate),"Date is before the accounting start date",IF(AND(IFERROR(INDEX(coa_Type,MATCH(F480,coa_Name,0)),"")&lt;&gt;"Revenue",IFERROR(INDEX(coa_Type,MATCH(F480,coa_Name,0)),"")&lt;&gt;"Other Income"),"Account is not a revenue account","")))))))</f>
        <v/>
      </c>
      <c r="V480" s="67">
        <f>IF(AND(R480=0,T480=""),1,0)</f>
        <v/>
      </c>
      <c r="W480" s="67">
        <f>IF(V480=1,acctAR,"")</f>
        <v/>
      </c>
      <c r="X480" s="67">
        <f>IF(V480=1,F480,"")</f>
        <v/>
      </c>
      <c r="Y480" s="68">
        <f>IF(V480=1,G480,0)</f>
        <v/>
      </c>
      <c r="Z480" s="68">
        <f>IF(V480=1,G480-S480,0)</f>
        <v/>
      </c>
      <c r="AA480" s="68">
        <f>IF(V480=1,S480,0)</f>
        <v/>
      </c>
    </row>
    <row r="481">
      <c r="B481" s="62" t="n"/>
      <c r="C481" s="63" t="n"/>
      <c r="D481" s="62" t="n"/>
      <c r="E481" s="62" t="n"/>
      <c r="F481" s="62" t="n"/>
      <c r="G481" s="64" t="n"/>
      <c r="H481" s="64" t="n"/>
      <c r="I481" s="63" t="n"/>
      <c r="J481" s="29">
        <f>IF(V481=1,IF(ISNUMBER(I481),I481,C481+IF(ISNUMBER(IFERROR(INDEX(cust_Terms,MATCH(D481,cust_Name,0)),"")),INDEX(cust_Terms,MATCH(D481,cust_Name,0)),TermsDays)),"")</f>
        <v/>
      </c>
      <c r="K481" s="65">
        <f>IF(V481=1,SUMIFS(tx_DrAmt,tx_Type,"Customer Payment",tx_Ref,B481&amp;"",tx_Date,"&lt;="&amp;AsOf),"")</f>
        <v/>
      </c>
      <c r="L481" s="65">
        <f>IF(V481=1,IF(C481&gt;AsOf,0,ROUND(G481-K481,2)),"")</f>
        <v/>
      </c>
      <c r="M481" s="66">
        <f>IF(V481&lt;&gt;1,"",IF(C481&gt;AsOf,"Future",IF(L481&lt;0,"Overpaid",IF(L481=0,"Paid",IF(AsOf&gt;J481,"Overdue",IF(K481&gt;0,"Partial","Unpaid"))))))</f>
        <v/>
      </c>
      <c r="N481" s="28">
        <f>IF(AND(V481=1,N(L481)&gt;0),AsOf-C481,"")</f>
        <v/>
      </c>
      <c r="O481" s="28">
        <f>IF(N481="","",MAX(0,AsOf-J481))</f>
        <v/>
      </c>
      <c r="P481" s="66">
        <f>IF(O481="","",IF(O481=0,"Current",IF(O481&lt;=30,"1-30",IF(O481&lt;=60,"31-60",IF(O481&lt;=90,"61-90","90+")))))</f>
        <v/>
      </c>
      <c r="Q481" s="66">
        <f>IF(T481&lt;&gt;"","⛔ "&amp;T481&amp;" — not posted",IF(U481&lt;&gt;"","⚠ "&amp;U481,IF(V481=1,"✓ OK","")))</f>
        <v/>
      </c>
      <c r="R481" s="67">
        <f>IF(AND(B481="",C481="",D481="",G481="",F481=""),1,0)</f>
        <v/>
      </c>
      <c r="S481" s="68">
        <f>IF(AND(TaxOn="Yes",ISNUMBER(H481)),H481,0)</f>
        <v/>
      </c>
      <c r="T481" s="67">
        <f>IF(R481=1,"",IF(B481="","Enter an invoice #",IF(C481="","Missing invoice date",IF(NOT(ISNUMBER(C481)),"Invalid date",IF(OR(C481&lt;DATE(2000,1,1),C481&gt;DATE(2099,12,31)),"Invalid date",IF(F481="","Select a revenue account",IF(ISNA(MATCH(F481,coa_Name,0)),"Unknown account: "&amp;F481,IF(NOT(ISNUMBER(G481)),"Enter an amount",IF(G481&lt;=0,"Amount must be positive",IF(S481&gt;G481,"Tax is larger than the amount",""))))))))))</f>
        <v/>
      </c>
      <c r="U481" s="67">
        <f>IF(OR(R481=1,T481&lt;&gt;""),"",IF(COUNTIF(ar_No,B481)&gt;1,"Duplicate invoice #",IF(D481="","Select a customer",IF(N(L481)&lt;0,"Overpaid by "&amp;TEXT(-L481,"#,##0.00"),IF(AND(ISNUMBER(H481),N(H481)&lt;&gt;0,S481=0),"Tax ignored (tax tracking is off)",IF(AND(ISNUMBER(StartDate),C481&lt;StartDate),"Date is before the accounting start date",IF(AND(IFERROR(INDEX(coa_Type,MATCH(F481,coa_Name,0)),"")&lt;&gt;"Revenue",IFERROR(INDEX(coa_Type,MATCH(F481,coa_Name,0)),"")&lt;&gt;"Other Income"),"Account is not a revenue account","")))))))</f>
        <v/>
      </c>
      <c r="V481" s="67">
        <f>IF(AND(R481=0,T481=""),1,0)</f>
        <v/>
      </c>
      <c r="W481" s="67">
        <f>IF(V481=1,acctAR,"")</f>
        <v/>
      </c>
      <c r="X481" s="67">
        <f>IF(V481=1,F481,"")</f>
        <v/>
      </c>
      <c r="Y481" s="68">
        <f>IF(V481=1,G481,0)</f>
        <v/>
      </c>
      <c r="Z481" s="68">
        <f>IF(V481=1,G481-S481,0)</f>
        <v/>
      </c>
      <c r="AA481" s="68">
        <f>IF(V481=1,S481,0)</f>
        <v/>
      </c>
    </row>
    <row r="482">
      <c r="B482" s="62" t="n"/>
      <c r="C482" s="63" t="n"/>
      <c r="D482" s="62" t="n"/>
      <c r="E482" s="62" t="n"/>
      <c r="F482" s="62" t="n"/>
      <c r="G482" s="64" t="n"/>
      <c r="H482" s="64" t="n"/>
      <c r="I482" s="63" t="n"/>
      <c r="J482" s="29">
        <f>IF(V482=1,IF(ISNUMBER(I482),I482,C482+IF(ISNUMBER(IFERROR(INDEX(cust_Terms,MATCH(D482,cust_Name,0)),"")),INDEX(cust_Terms,MATCH(D482,cust_Name,0)),TermsDays)),"")</f>
        <v/>
      </c>
      <c r="K482" s="65">
        <f>IF(V482=1,SUMIFS(tx_DrAmt,tx_Type,"Customer Payment",tx_Ref,B482&amp;"",tx_Date,"&lt;="&amp;AsOf),"")</f>
        <v/>
      </c>
      <c r="L482" s="65">
        <f>IF(V482=1,IF(C482&gt;AsOf,0,ROUND(G482-K482,2)),"")</f>
        <v/>
      </c>
      <c r="M482" s="66">
        <f>IF(V482&lt;&gt;1,"",IF(C482&gt;AsOf,"Future",IF(L482&lt;0,"Overpaid",IF(L482=0,"Paid",IF(AsOf&gt;J482,"Overdue",IF(K482&gt;0,"Partial","Unpaid"))))))</f>
        <v/>
      </c>
      <c r="N482" s="28">
        <f>IF(AND(V482=1,N(L482)&gt;0),AsOf-C482,"")</f>
        <v/>
      </c>
      <c r="O482" s="28">
        <f>IF(N482="","",MAX(0,AsOf-J482))</f>
        <v/>
      </c>
      <c r="P482" s="66">
        <f>IF(O482="","",IF(O482=0,"Current",IF(O482&lt;=30,"1-30",IF(O482&lt;=60,"31-60",IF(O482&lt;=90,"61-90","90+")))))</f>
        <v/>
      </c>
      <c r="Q482" s="66">
        <f>IF(T482&lt;&gt;"","⛔ "&amp;T482&amp;" — not posted",IF(U482&lt;&gt;"","⚠ "&amp;U482,IF(V482=1,"✓ OK","")))</f>
        <v/>
      </c>
      <c r="R482" s="67">
        <f>IF(AND(B482="",C482="",D482="",G482="",F482=""),1,0)</f>
        <v/>
      </c>
      <c r="S482" s="68">
        <f>IF(AND(TaxOn="Yes",ISNUMBER(H482)),H482,0)</f>
        <v/>
      </c>
      <c r="T482" s="67">
        <f>IF(R482=1,"",IF(B482="","Enter an invoice #",IF(C482="","Missing invoice date",IF(NOT(ISNUMBER(C482)),"Invalid date",IF(OR(C482&lt;DATE(2000,1,1),C482&gt;DATE(2099,12,31)),"Invalid date",IF(F482="","Select a revenue account",IF(ISNA(MATCH(F482,coa_Name,0)),"Unknown account: "&amp;F482,IF(NOT(ISNUMBER(G482)),"Enter an amount",IF(G482&lt;=0,"Amount must be positive",IF(S482&gt;G482,"Tax is larger than the amount",""))))))))))</f>
        <v/>
      </c>
      <c r="U482" s="67">
        <f>IF(OR(R482=1,T482&lt;&gt;""),"",IF(COUNTIF(ar_No,B482)&gt;1,"Duplicate invoice #",IF(D482="","Select a customer",IF(N(L482)&lt;0,"Overpaid by "&amp;TEXT(-L482,"#,##0.00"),IF(AND(ISNUMBER(H482),N(H482)&lt;&gt;0,S482=0),"Tax ignored (tax tracking is off)",IF(AND(ISNUMBER(StartDate),C482&lt;StartDate),"Date is before the accounting start date",IF(AND(IFERROR(INDEX(coa_Type,MATCH(F482,coa_Name,0)),"")&lt;&gt;"Revenue",IFERROR(INDEX(coa_Type,MATCH(F482,coa_Name,0)),"")&lt;&gt;"Other Income"),"Account is not a revenue account","")))))))</f>
        <v/>
      </c>
      <c r="V482" s="67">
        <f>IF(AND(R482=0,T482=""),1,0)</f>
        <v/>
      </c>
      <c r="W482" s="67">
        <f>IF(V482=1,acctAR,"")</f>
        <v/>
      </c>
      <c r="X482" s="67">
        <f>IF(V482=1,F482,"")</f>
        <v/>
      </c>
      <c r="Y482" s="68">
        <f>IF(V482=1,G482,0)</f>
        <v/>
      </c>
      <c r="Z482" s="68">
        <f>IF(V482=1,G482-S482,0)</f>
        <v/>
      </c>
      <c r="AA482" s="68">
        <f>IF(V482=1,S482,0)</f>
        <v/>
      </c>
    </row>
    <row r="483">
      <c r="B483" s="62" t="n"/>
      <c r="C483" s="63" t="n"/>
      <c r="D483" s="62" t="n"/>
      <c r="E483" s="62" t="n"/>
      <c r="F483" s="62" t="n"/>
      <c r="G483" s="64" t="n"/>
      <c r="H483" s="64" t="n"/>
      <c r="I483" s="63" t="n"/>
      <c r="J483" s="29">
        <f>IF(V483=1,IF(ISNUMBER(I483),I483,C483+IF(ISNUMBER(IFERROR(INDEX(cust_Terms,MATCH(D483,cust_Name,0)),"")),INDEX(cust_Terms,MATCH(D483,cust_Name,0)),TermsDays)),"")</f>
        <v/>
      </c>
      <c r="K483" s="65">
        <f>IF(V483=1,SUMIFS(tx_DrAmt,tx_Type,"Customer Payment",tx_Ref,B483&amp;"",tx_Date,"&lt;="&amp;AsOf),"")</f>
        <v/>
      </c>
      <c r="L483" s="65">
        <f>IF(V483=1,IF(C483&gt;AsOf,0,ROUND(G483-K483,2)),"")</f>
        <v/>
      </c>
      <c r="M483" s="66">
        <f>IF(V483&lt;&gt;1,"",IF(C483&gt;AsOf,"Future",IF(L483&lt;0,"Overpaid",IF(L483=0,"Paid",IF(AsOf&gt;J483,"Overdue",IF(K483&gt;0,"Partial","Unpaid"))))))</f>
        <v/>
      </c>
      <c r="N483" s="28">
        <f>IF(AND(V483=1,N(L483)&gt;0),AsOf-C483,"")</f>
        <v/>
      </c>
      <c r="O483" s="28">
        <f>IF(N483="","",MAX(0,AsOf-J483))</f>
        <v/>
      </c>
      <c r="P483" s="66">
        <f>IF(O483="","",IF(O483=0,"Current",IF(O483&lt;=30,"1-30",IF(O483&lt;=60,"31-60",IF(O483&lt;=90,"61-90","90+")))))</f>
        <v/>
      </c>
      <c r="Q483" s="66">
        <f>IF(T483&lt;&gt;"","⛔ "&amp;T483&amp;" — not posted",IF(U483&lt;&gt;"","⚠ "&amp;U483,IF(V483=1,"✓ OK","")))</f>
        <v/>
      </c>
      <c r="R483" s="67">
        <f>IF(AND(B483="",C483="",D483="",G483="",F483=""),1,0)</f>
        <v/>
      </c>
      <c r="S483" s="68">
        <f>IF(AND(TaxOn="Yes",ISNUMBER(H483)),H483,0)</f>
        <v/>
      </c>
      <c r="T483" s="67">
        <f>IF(R483=1,"",IF(B483="","Enter an invoice #",IF(C483="","Missing invoice date",IF(NOT(ISNUMBER(C483)),"Invalid date",IF(OR(C483&lt;DATE(2000,1,1),C483&gt;DATE(2099,12,31)),"Invalid date",IF(F483="","Select a revenue account",IF(ISNA(MATCH(F483,coa_Name,0)),"Unknown account: "&amp;F483,IF(NOT(ISNUMBER(G483)),"Enter an amount",IF(G483&lt;=0,"Amount must be positive",IF(S483&gt;G483,"Tax is larger than the amount",""))))))))))</f>
        <v/>
      </c>
      <c r="U483" s="67">
        <f>IF(OR(R483=1,T483&lt;&gt;""),"",IF(COUNTIF(ar_No,B483)&gt;1,"Duplicate invoice #",IF(D483="","Select a customer",IF(N(L483)&lt;0,"Overpaid by "&amp;TEXT(-L483,"#,##0.00"),IF(AND(ISNUMBER(H483),N(H483)&lt;&gt;0,S483=0),"Tax ignored (tax tracking is off)",IF(AND(ISNUMBER(StartDate),C483&lt;StartDate),"Date is before the accounting start date",IF(AND(IFERROR(INDEX(coa_Type,MATCH(F483,coa_Name,0)),"")&lt;&gt;"Revenue",IFERROR(INDEX(coa_Type,MATCH(F483,coa_Name,0)),"")&lt;&gt;"Other Income"),"Account is not a revenue account","")))))))</f>
        <v/>
      </c>
      <c r="V483" s="67">
        <f>IF(AND(R483=0,T483=""),1,0)</f>
        <v/>
      </c>
      <c r="W483" s="67">
        <f>IF(V483=1,acctAR,"")</f>
        <v/>
      </c>
      <c r="X483" s="67">
        <f>IF(V483=1,F483,"")</f>
        <v/>
      </c>
      <c r="Y483" s="68">
        <f>IF(V483=1,G483,0)</f>
        <v/>
      </c>
      <c r="Z483" s="68">
        <f>IF(V483=1,G483-S483,0)</f>
        <v/>
      </c>
      <c r="AA483" s="68">
        <f>IF(V483=1,S483,0)</f>
        <v/>
      </c>
    </row>
    <row r="484">
      <c r="B484" s="62" t="n"/>
      <c r="C484" s="63" t="n"/>
      <c r="D484" s="62" t="n"/>
      <c r="E484" s="62" t="n"/>
      <c r="F484" s="62" t="n"/>
      <c r="G484" s="64" t="n"/>
      <c r="H484" s="64" t="n"/>
      <c r="I484" s="63" t="n"/>
      <c r="J484" s="29">
        <f>IF(V484=1,IF(ISNUMBER(I484),I484,C484+IF(ISNUMBER(IFERROR(INDEX(cust_Terms,MATCH(D484,cust_Name,0)),"")),INDEX(cust_Terms,MATCH(D484,cust_Name,0)),TermsDays)),"")</f>
        <v/>
      </c>
      <c r="K484" s="65">
        <f>IF(V484=1,SUMIFS(tx_DrAmt,tx_Type,"Customer Payment",tx_Ref,B484&amp;"",tx_Date,"&lt;="&amp;AsOf),"")</f>
        <v/>
      </c>
      <c r="L484" s="65">
        <f>IF(V484=1,IF(C484&gt;AsOf,0,ROUND(G484-K484,2)),"")</f>
        <v/>
      </c>
      <c r="M484" s="66">
        <f>IF(V484&lt;&gt;1,"",IF(C484&gt;AsOf,"Future",IF(L484&lt;0,"Overpaid",IF(L484=0,"Paid",IF(AsOf&gt;J484,"Overdue",IF(K484&gt;0,"Partial","Unpaid"))))))</f>
        <v/>
      </c>
      <c r="N484" s="28">
        <f>IF(AND(V484=1,N(L484)&gt;0),AsOf-C484,"")</f>
        <v/>
      </c>
      <c r="O484" s="28">
        <f>IF(N484="","",MAX(0,AsOf-J484))</f>
        <v/>
      </c>
      <c r="P484" s="66">
        <f>IF(O484="","",IF(O484=0,"Current",IF(O484&lt;=30,"1-30",IF(O484&lt;=60,"31-60",IF(O484&lt;=90,"61-90","90+")))))</f>
        <v/>
      </c>
      <c r="Q484" s="66">
        <f>IF(T484&lt;&gt;"","⛔ "&amp;T484&amp;" — not posted",IF(U484&lt;&gt;"","⚠ "&amp;U484,IF(V484=1,"✓ OK","")))</f>
        <v/>
      </c>
      <c r="R484" s="67">
        <f>IF(AND(B484="",C484="",D484="",G484="",F484=""),1,0)</f>
        <v/>
      </c>
      <c r="S484" s="68">
        <f>IF(AND(TaxOn="Yes",ISNUMBER(H484)),H484,0)</f>
        <v/>
      </c>
      <c r="T484" s="67">
        <f>IF(R484=1,"",IF(B484="","Enter an invoice #",IF(C484="","Missing invoice date",IF(NOT(ISNUMBER(C484)),"Invalid date",IF(OR(C484&lt;DATE(2000,1,1),C484&gt;DATE(2099,12,31)),"Invalid date",IF(F484="","Select a revenue account",IF(ISNA(MATCH(F484,coa_Name,0)),"Unknown account: "&amp;F484,IF(NOT(ISNUMBER(G484)),"Enter an amount",IF(G484&lt;=0,"Amount must be positive",IF(S484&gt;G484,"Tax is larger than the amount",""))))))))))</f>
        <v/>
      </c>
      <c r="U484" s="67">
        <f>IF(OR(R484=1,T484&lt;&gt;""),"",IF(COUNTIF(ar_No,B484)&gt;1,"Duplicate invoice #",IF(D484="","Select a customer",IF(N(L484)&lt;0,"Overpaid by "&amp;TEXT(-L484,"#,##0.00"),IF(AND(ISNUMBER(H484),N(H484)&lt;&gt;0,S484=0),"Tax ignored (tax tracking is off)",IF(AND(ISNUMBER(StartDate),C484&lt;StartDate),"Date is before the accounting start date",IF(AND(IFERROR(INDEX(coa_Type,MATCH(F484,coa_Name,0)),"")&lt;&gt;"Revenue",IFERROR(INDEX(coa_Type,MATCH(F484,coa_Name,0)),"")&lt;&gt;"Other Income"),"Account is not a revenue account","")))))))</f>
        <v/>
      </c>
      <c r="V484" s="67">
        <f>IF(AND(R484=0,T484=""),1,0)</f>
        <v/>
      </c>
      <c r="W484" s="67">
        <f>IF(V484=1,acctAR,"")</f>
        <v/>
      </c>
      <c r="X484" s="67">
        <f>IF(V484=1,F484,"")</f>
        <v/>
      </c>
      <c r="Y484" s="68">
        <f>IF(V484=1,G484,0)</f>
        <v/>
      </c>
      <c r="Z484" s="68">
        <f>IF(V484=1,G484-S484,0)</f>
        <v/>
      </c>
      <c r="AA484" s="68">
        <f>IF(V484=1,S484,0)</f>
        <v/>
      </c>
    </row>
    <row r="485">
      <c r="B485" s="62" t="n"/>
      <c r="C485" s="63" t="n"/>
      <c r="D485" s="62" t="n"/>
      <c r="E485" s="62" t="n"/>
      <c r="F485" s="62" t="n"/>
      <c r="G485" s="64" t="n"/>
      <c r="H485" s="64" t="n"/>
      <c r="I485" s="63" t="n"/>
      <c r="J485" s="29">
        <f>IF(V485=1,IF(ISNUMBER(I485),I485,C485+IF(ISNUMBER(IFERROR(INDEX(cust_Terms,MATCH(D485,cust_Name,0)),"")),INDEX(cust_Terms,MATCH(D485,cust_Name,0)),TermsDays)),"")</f>
        <v/>
      </c>
      <c r="K485" s="65">
        <f>IF(V485=1,SUMIFS(tx_DrAmt,tx_Type,"Customer Payment",tx_Ref,B485&amp;"",tx_Date,"&lt;="&amp;AsOf),"")</f>
        <v/>
      </c>
      <c r="L485" s="65">
        <f>IF(V485=1,IF(C485&gt;AsOf,0,ROUND(G485-K485,2)),"")</f>
        <v/>
      </c>
      <c r="M485" s="66">
        <f>IF(V485&lt;&gt;1,"",IF(C485&gt;AsOf,"Future",IF(L485&lt;0,"Overpaid",IF(L485=0,"Paid",IF(AsOf&gt;J485,"Overdue",IF(K485&gt;0,"Partial","Unpaid"))))))</f>
        <v/>
      </c>
      <c r="N485" s="28">
        <f>IF(AND(V485=1,N(L485)&gt;0),AsOf-C485,"")</f>
        <v/>
      </c>
      <c r="O485" s="28">
        <f>IF(N485="","",MAX(0,AsOf-J485))</f>
        <v/>
      </c>
      <c r="P485" s="66">
        <f>IF(O485="","",IF(O485=0,"Current",IF(O485&lt;=30,"1-30",IF(O485&lt;=60,"31-60",IF(O485&lt;=90,"61-90","90+")))))</f>
        <v/>
      </c>
      <c r="Q485" s="66">
        <f>IF(T485&lt;&gt;"","⛔ "&amp;T485&amp;" — not posted",IF(U485&lt;&gt;"","⚠ "&amp;U485,IF(V485=1,"✓ OK","")))</f>
        <v/>
      </c>
      <c r="R485" s="67">
        <f>IF(AND(B485="",C485="",D485="",G485="",F485=""),1,0)</f>
        <v/>
      </c>
      <c r="S485" s="68">
        <f>IF(AND(TaxOn="Yes",ISNUMBER(H485)),H485,0)</f>
        <v/>
      </c>
      <c r="T485" s="67">
        <f>IF(R485=1,"",IF(B485="","Enter an invoice #",IF(C485="","Missing invoice date",IF(NOT(ISNUMBER(C485)),"Invalid date",IF(OR(C485&lt;DATE(2000,1,1),C485&gt;DATE(2099,12,31)),"Invalid date",IF(F485="","Select a revenue account",IF(ISNA(MATCH(F485,coa_Name,0)),"Unknown account: "&amp;F485,IF(NOT(ISNUMBER(G485)),"Enter an amount",IF(G485&lt;=0,"Amount must be positive",IF(S485&gt;G485,"Tax is larger than the amount",""))))))))))</f>
        <v/>
      </c>
      <c r="U485" s="67">
        <f>IF(OR(R485=1,T485&lt;&gt;""),"",IF(COUNTIF(ar_No,B485)&gt;1,"Duplicate invoice #",IF(D485="","Select a customer",IF(N(L485)&lt;0,"Overpaid by "&amp;TEXT(-L485,"#,##0.00"),IF(AND(ISNUMBER(H485),N(H485)&lt;&gt;0,S485=0),"Tax ignored (tax tracking is off)",IF(AND(ISNUMBER(StartDate),C485&lt;StartDate),"Date is before the accounting start date",IF(AND(IFERROR(INDEX(coa_Type,MATCH(F485,coa_Name,0)),"")&lt;&gt;"Revenue",IFERROR(INDEX(coa_Type,MATCH(F485,coa_Name,0)),"")&lt;&gt;"Other Income"),"Account is not a revenue account","")))))))</f>
        <v/>
      </c>
      <c r="V485" s="67">
        <f>IF(AND(R485=0,T485=""),1,0)</f>
        <v/>
      </c>
      <c r="W485" s="67">
        <f>IF(V485=1,acctAR,"")</f>
        <v/>
      </c>
      <c r="X485" s="67">
        <f>IF(V485=1,F485,"")</f>
        <v/>
      </c>
      <c r="Y485" s="68">
        <f>IF(V485=1,G485,0)</f>
        <v/>
      </c>
      <c r="Z485" s="68">
        <f>IF(V485=1,G485-S485,0)</f>
        <v/>
      </c>
      <c r="AA485" s="68">
        <f>IF(V485=1,S485,0)</f>
        <v/>
      </c>
    </row>
    <row r="486">
      <c r="B486" s="62" t="n"/>
      <c r="C486" s="63" t="n"/>
      <c r="D486" s="62" t="n"/>
      <c r="E486" s="62" t="n"/>
      <c r="F486" s="62" t="n"/>
      <c r="G486" s="64" t="n"/>
      <c r="H486" s="64" t="n"/>
      <c r="I486" s="63" t="n"/>
      <c r="J486" s="29">
        <f>IF(V486=1,IF(ISNUMBER(I486),I486,C486+IF(ISNUMBER(IFERROR(INDEX(cust_Terms,MATCH(D486,cust_Name,0)),"")),INDEX(cust_Terms,MATCH(D486,cust_Name,0)),TermsDays)),"")</f>
        <v/>
      </c>
      <c r="K486" s="65">
        <f>IF(V486=1,SUMIFS(tx_DrAmt,tx_Type,"Customer Payment",tx_Ref,B486&amp;"",tx_Date,"&lt;="&amp;AsOf),"")</f>
        <v/>
      </c>
      <c r="L486" s="65">
        <f>IF(V486=1,IF(C486&gt;AsOf,0,ROUND(G486-K486,2)),"")</f>
        <v/>
      </c>
      <c r="M486" s="66">
        <f>IF(V486&lt;&gt;1,"",IF(C486&gt;AsOf,"Future",IF(L486&lt;0,"Overpaid",IF(L486=0,"Paid",IF(AsOf&gt;J486,"Overdue",IF(K486&gt;0,"Partial","Unpaid"))))))</f>
        <v/>
      </c>
      <c r="N486" s="28">
        <f>IF(AND(V486=1,N(L486)&gt;0),AsOf-C486,"")</f>
        <v/>
      </c>
      <c r="O486" s="28">
        <f>IF(N486="","",MAX(0,AsOf-J486))</f>
        <v/>
      </c>
      <c r="P486" s="66">
        <f>IF(O486="","",IF(O486=0,"Current",IF(O486&lt;=30,"1-30",IF(O486&lt;=60,"31-60",IF(O486&lt;=90,"61-90","90+")))))</f>
        <v/>
      </c>
      <c r="Q486" s="66">
        <f>IF(T486&lt;&gt;"","⛔ "&amp;T486&amp;" — not posted",IF(U486&lt;&gt;"","⚠ "&amp;U486,IF(V486=1,"✓ OK","")))</f>
        <v/>
      </c>
      <c r="R486" s="67">
        <f>IF(AND(B486="",C486="",D486="",G486="",F486=""),1,0)</f>
        <v/>
      </c>
      <c r="S486" s="68">
        <f>IF(AND(TaxOn="Yes",ISNUMBER(H486)),H486,0)</f>
        <v/>
      </c>
      <c r="T486" s="67">
        <f>IF(R486=1,"",IF(B486="","Enter an invoice #",IF(C486="","Missing invoice date",IF(NOT(ISNUMBER(C486)),"Invalid date",IF(OR(C486&lt;DATE(2000,1,1),C486&gt;DATE(2099,12,31)),"Invalid date",IF(F486="","Select a revenue account",IF(ISNA(MATCH(F486,coa_Name,0)),"Unknown account: "&amp;F486,IF(NOT(ISNUMBER(G486)),"Enter an amount",IF(G486&lt;=0,"Amount must be positive",IF(S486&gt;G486,"Tax is larger than the amount",""))))))))))</f>
        <v/>
      </c>
      <c r="U486" s="67">
        <f>IF(OR(R486=1,T486&lt;&gt;""),"",IF(COUNTIF(ar_No,B486)&gt;1,"Duplicate invoice #",IF(D486="","Select a customer",IF(N(L486)&lt;0,"Overpaid by "&amp;TEXT(-L486,"#,##0.00"),IF(AND(ISNUMBER(H486),N(H486)&lt;&gt;0,S486=0),"Tax ignored (tax tracking is off)",IF(AND(ISNUMBER(StartDate),C486&lt;StartDate),"Date is before the accounting start date",IF(AND(IFERROR(INDEX(coa_Type,MATCH(F486,coa_Name,0)),"")&lt;&gt;"Revenue",IFERROR(INDEX(coa_Type,MATCH(F486,coa_Name,0)),"")&lt;&gt;"Other Income"),"Account is not a revenue account","")))))))</f>
        <v/>
      </c>
      <c r="V486" s="67">
        <f>IF(AND(R486=0,T486=""),1,0)</f>
        <v/>
      </c>
      <c r="W486" s="67">
        <f>IF(V486=1,acctAR,"")</f>
        <v/>
      </c>
      <c r="X486" s="67">
        <f>IF(V486=1,F486,"")</f>
        <v/>
      </c>
      <c r="Y486" s="68">
        <f>IF(V486=1,G486,0)</f>
        <v/>
      </c>
      <c r="Z486" s="68">
        <f>IF(V486=1,G486-S486,0)</f>
        <v/>
      </c>
      <c r="AA486" s="68">
        <f>IF(V486=1,S486,0)</f>
        <v/>
      </c>
    </row>
    <row r="487">
      <c r="B487" s="62" t="n"/>
      <c r="C487" s="63" t="n"/>
      <c r="D487" s="62" t="n"/>
      <c r="E487" s="62" t="n"/>
      <c r="F487" s="62" t="n"/>
      <c r="G487" s="64" t="n"/>
      <c r="H487" s="64" t="n"/>
      <c r="I487" s="63" t="n"/>
      <c r="J487" s="29">
        <f>IF(V487=1,IF(ISNUMBER(I487),I487,C487+IF(ISNUMBER(IFERROR(INDEX(cust_Terms,MATCH(D487,cust_Name,0)),"")),INDEX(cust_Terms,MATCH(D487,cust_Name,0)),TermsDays)),"")</f>
        <v/>
      </c>
      <c r="K487" s="65">
        <f>IF(V487=1,SUMIFS(tx_DrAmt,tx_Type,"Customer Payment",tx_Ref,B487&amp;"",tx_Date,"&lt;="&amp;AsOf),"")</f>
        <v/>
      </c>
      <c r="L487" s="65">
        <f>IF(V487=1,IF(C487&gt;AsOf,0,ROUND(G487-K487,2)),"")</f>
        <v/>
      </c>
      <c r="M487" s="66">
        <f>IF(V487&lt;&gt;1,"",IF(C487&gt;AsOf,"Future",IF(L487&lt;0,"Overpaid",IF(L487=0,"Paid",IF(AsOf&gt;J487,"Overdue",IF(K487&gt;0,"Partial","Unpaid"))))))</f>
        <v/>
      </c>
      <c r="N487" s="28">
        <f>IF(AND(V487=1,N(L487)&gt;0),AsOf-C487,"")</f>
        <v/>
      </c>
      <c r="O487" s="28">
        <f>IF(N487="","",MAX(0,AsOf-J487))</f>
        <v/>
      </c>
      <c r="P487" s="66">
        <f>IF(O487="","",IF(O487=0,"Current",IF(O487&lt;=30,"1-30",IF(O487&lt;=60,"31-60",IF(O487&lt;=90,"61-90","90+")))))</f>
        <v/>
      </c>
      <c r="Q487" s="66">
        <f>IF(T487&lt;&gt;"","⛔ "&amp;T487&amp;" — not posted",IF(U487&lt;&gt;"","⚠ "&amp;U487,IF(V487=1,"✓ OK","")))</f>
        <v/>
      </c>
      <c r="R487" s="67">
        <f>IF(AND(B487="",C487="",D487="",G487="",F487=""),1,0)</f>
        <v/>
      </c>
      <c r="S487" s="68">
        <f>IF(AND(TaxOn="Yes",ISNUMBER(H487)),H487,0)</f>
        <v/>
      </c>
      <c r="T487" s="67">
        <f>IF(R487=1,"",IF(B487="","Enter an invoice #",IF(C487="","Missing invoice date",IF(NOT(ISNUMBER(C487)),"Invalid date",IF(OR(C487&lt;DATE(2000,1,1),C487&gt;DATE(2099,12,31)),"Invalid date",IF(F487="","Select a revenue account",IF(ISNA(MATCH(F487,coa_Name,0)),"Unknown account: "&amp;F487,IF(NOT(ISNUMBER(G487)),"Enter an amount",IF(G487&lt;=0,"Amount must be positive",IF(S487&gt;G487,"Tax is larger than the amount",""))))))))))</f>
        <v/>
      </c>
      <c r="U487" s="67">
        <f>IF(OR(R487=1,T487&lt;&gt;""),"",IF(COUNTIF(ar_No,B487)&gt;1,"Duplicate invoice #",IF(D487="","Select a customer",IF(N(L487)&lt;0,"Overpaid by "&amp;TEXT(-L487,"#,##0.00"),IF(AND(ISNUMBER(H487),N(H487)&lt;&gt;0,S487=0),"Tax ignored (tax tracking is off)",IF(AND(ISNUMBER(StartDate),C487&lt;StartDate),"Date is before the accounting start date",IF(AND(IFERROR(INDEX(coa_Type,MATCH(F487,coa_Name,0)),"")&lt;&gt;"Revenue",IFERROR(INDEX(coa_Type,MATCH(F487,coa_Name,0)),"")&lt;&gt;"Other Income"),"Account is not a revenue account","")))))))</f>
        <v/>
      </c>
      <c r="V487" s="67">
        <f>IF(AND(R487=0,T487=""),1,0)</f>
        <v/>
      </c>
      <c r="W487" s="67">
        <f>IF(V487=1,acctAR,"")</f>
        <v/>
      </c>
      <c r="X487" s="67">
        <f>IF(V487=1,F487,"")</f>
        <v/>
      </c>
      <c r="Y487" s="68">
        <f>IF(V487=1,G487,0)</f>
        <v/>
      </c>
      <c r="Z487" s="68">
        <f>IF(V487=1,G487-S487,0)</f>
        <v/>
      </c>
      <c r="AA487" s="68">
        <f>IF(V487=1,S487,0)</f>
        <v/>
      </c>
    </row>
    <row r="488">
      <c r="B488" s="62" t="n"/>
      <c r="C488" s="63" t="n"/>
      <c r="D488" s="62" t="n"/>
      <c r="E488" s="62" t="n"/>
      <c r="F488" s="62" t="n"/>
      <c r="G488" s="64" t="n"/>
      <c r="H488" s="64" t="n"/>
      <c r="I488" s="63" t="n"/>
      <c r="J488" s="29">
        <f>IF(V488=1,IF(ISNUMBER(I488),I488,C488+IF(ISNUMBER(IFERROR(INDEX(cust_Terms,MATCH(D488,cust_Name,0)),"")),INDEX(cust_Terms,MATCH(D488,cust_Name,0)),TermsDays)),"")</f>
        <v/>
      </c>
      <c r="K488" s="65">
        <f>IF(V488=1,SUMIFS(tx_DrAmt,tx_Type,"Customer Payment",tx_Ref,B488&amp;"",tx_Date,"&lt;="&amp;AsOf),"")</f>
        <v/>
      </c>
      <c r="L488" s="65">
        <f>IF(V488=1,IF(C488&gt;AsOf,0,ROUND(G488-K488,2)),"")</f>
        <v/>
      </c>
      <c r="M488" s="66">
        <f>IF(V488&lt;&gt;1,"",IF(C488&gt;AsOf,"Future",IF(L488&lt;0,"Overpaid",IF(L488=0,"Paid",IF(AsOf&gt;J488,"Overdue",IF(K488&gt;0,"Partial","Unpaid"))))))</f>
        <v/>
      </c>
      <c r="N488" s="28">
        <f>IF(AND(V488=1,N(L488)&gt;0),AsOf-C488,"")</f>
        <v/>
      </c>
      <c r="O488" s="28">
        <f>IF(N488="","",MAX(0,AsOf-J488))</f>
        <v/>
      </c>
      <c r="P488" s="66">
        <f>IF(O488="","",IF(O488=0,"Current",IF(O488&lt;=30,"1-30",IF(O488&lt;=60,"31-60",IF(O488&lt;=90,"61-90","90+")))))</f>
        <v/>
      </c>
      <c r="Q488" s="66">
        <f>IF(T488&lt;&gt;"","⛔ "&amp;T488&amp;" — not posted",IF(U488&lt;&gt;"","⚠ "&amp;U488,IF(V488=1,"✓ OK","")))</f>
        <v/>
      </c>
      <c r="R488" s="67">
        <f>IF(AND(B488="",C488="",D488="",G488="",F488=""),1,0)</f>
        <v/>
      </c>
      <c r="S488" s="68">
        <f>IF(AND(TaxOn="Yes",ISNUMBER(H488)),H488,0)</f>
        <v/>
      </c>
      <c r="T488" s="67">
        <f>IF(R488=1,"",IF(B488="","Enter an invoice #",IF(C488="","Missing invoice date",IF(NOT(ISNUMBER(C488)),"Invalid date",IF(OR(C488&lt;DATE(2000,1,1),C488&gt;DATE(2099,12,31)),"Invalid date",IF(F488="","Select a revenue account",IF(ISNA(MATCH(F488,coa_Name,0)),"Unknown account: "&amp;F488,IF(NOT(ISNUMBER(G488)),"Enter an amount",IF(G488&lt;=0,"Amount must be positive",IF(S488&gt;G488,"Tax is larger than the amount",""))))))))))</f>
        <v/>
      </c>
      <c r="U488" s="67">
        <f>IF(OR(R488=1,T488&lt;&gt;""),"",IF(COUNTIF(ar_No,B488)&gt;1,"Duplicate invoice #",IF(D488="","Select a customer",IF(N(L488)&lt;0,"Overpaid by "&amp;TEXT(-L488,"#,##0.00"),IF(AND(ISNUMBER(H488),N(H488)&lt;&gt;0,S488=0),"Tax ignored (tax tracking is off)",IF(AND(ISNUMBER(StartDate),C488&lt;StartDate),"Date is before the accounting start date",IF(AND(IFERROR(INDEX(coa_Type,MATCH(F488,coa_Name,0)),"")&lt;&gt;"Revenue",IFERROR(INDEX(coa_Type,MATCH(F488,coa_Name,0)),"")&lt;&gt;"Other Income"),"Account is not a revenue account","")))))))</f>
        <v/>
      </c>
      <c r="V488" s="67">
        <f>IF(AND(R488=0,T488=""),1,0)</f>
        <v/>
      </c>
      <c r="W488" s="67">
        <f>IF(V488=1,acctAR,"")</f>
        <v/>
      </c>
      <c r="X488" s="67">
        <f>IF(V488=1,F488,"")</f>
        <v/>
      </c>
      <c r="Y488" s="68">
        <f>IF(V488=1,G488,0)</f>
        <v/>
      </c>
      <c r="Z488" s="68">
        <f>IF(V488=1,G488-S488,0)</f>
        <v/>
      </c>
      <c r="AA488" s="68">
        <f>IF(V488=1,S488,0)</f>
        <v/>
      </c>
    </row>
    <row r="489">
      <c r="B489" s="62" t="n"/>
      <c r="C489" s="63" t="n"/>
      <c r="D489" s="62" t="n"/>
      <c r="E489" s="62" t="n"/>
      <c r="F489" s="62" t="n"/>
      <c r="G489" s="64" t="n"/>
      <c r="H489" s="64" t="n"/>
      <c r="I489" s="63" t="n"/>
      <c r="J489" s="29">
        <f>IF(V489=1,IF(ISNUMBER(I489),I489,C489+IF(ISNUMBER(IFERROR(INDEX(cust_Terms,MATCH(D489,cust_Name,0)),"")),INDEX(cust_Terms,MATCH(D489,cust_Name,0)),TermsDays)),"")</f>
        <v/>
      </c>
      <c r="K489" s="65">
        <f>IF(V489=1,SUMIFS(tx_DrAmt,tx_Type,"Customer Payment",tx_Ref,B489&amp;"",tx_Date,"&lt;="&amp;AsOf),"")</f>
        <v/>
      </c>
      <c r="L489" s="65">
        <f>IF(V489=1,IF(C489&gt;AsOf,0,ROUND(G489-K489,2)),"")</f>
        <v/>
      </c>
      <c r="M489" s="66">
        <f>IF(V489&lt;&gt;1,"",IF(C489&gt;AsOf,"Future",IF(L489&lt;0,"Overpaid",IF(L489=0,"Paid",IF(AsOf&gt;J489,"Overdue",IF(K489&gt;0,"Partial","Unpaid"))))))</f>
        <v/>
      </c>
      <c r="N489" s="28">
        <f>IF(AND(V489=1,N(L489)&gt;0),AsOf-C489,"")</f>
        <v/>
      </c>
      <c r="O489" s="28">
        <f>IF(N489="","",MAX(0,AsOf-J489))</f>
        <v/>
      </c>
      <c r="P489" s="66">
        <f>IF(O489="","",IF(O489=0,"Current",IF(O489&lt;=30,"1-30",IF(O489&lt;=60,"31-60",IF(O489&lt;=90,"61-90","90+")))))</f>
        <v/>
      </c>
      <c r="Q489" s="66">
        <f>IF(T489&lt;&gt;"","⛔ "&amp;T489&amp;" — not posted",IF(U489&lt;&gt;"","⚠ "&amp;U489,IF(V489=1,"✓ OK","")))</f>
        <v/>
      </c>
      <c r="R489" s="67">
        <f>IF(AND(B489="",C489="",D489="",G489="",F489=""),1,0)</f>
        <v/>
      </c>
      <c r="S489" s="68">
        <f>IF(AND(TaxOn="Yes",ISNUMBER(H489)),H489,0)</f>
        <v/>
      </c>
      <c r="T489" s="67">
        <f>IF(R489=1,"",IF(B489="","Enter an invoice #",IF(C489="","Missing invoice date",IF(NOT(ISNUMBER(C489)),"Invalid date",IF(OR(C489&lt;DATE(2000,1,1),C489&gt;DATE(2099,12,31)),"Invalid date",IF(F489="","Select a revenue account",IF(ISNA(MATCH(F489,coa_Name,0)),"Unknown account: "&amp;F489,IF(NOT(ISNUMBER(G489)),"Enter an amount",IF(G489&lt;=0,"Amount must be positive",IF(S489&gt;G489,"Tax is larger than the amount",""))))))))))</f>
        <v/>
      </c>
      <c r="U489" s="67">
        <f>IF(OR(R489=1,T489&lt;&gt;""),"",IF(COUNTIF(ar_No,B489)&gt;1,"Duplicate invoice #",IF(D489="","Select a customer",IF(N(L489)&lt;0,"Overpaid by "&amp;TEXT(-L489,"#,##0.00"),IF(AND(ISNUMBER(H489),N(H489)&lt;&gt;0,S489=0),"Tax ignored (tax tracking is off)",IF(AND(ISNUMBER(StartDate),C489&lt;StartDate),"Date is before the accounting start date",IF(AND(IFERROR(INDEX(coa_Type,MATCH(F489,coa_Name,0)),"")&lt;&gt;"Revenue",IFERROR(INDEX(coa_Type,MATCH(F489,coa_Name,0)),"")&lt;&gt;"Other Income"),"Account is not a revenue account","")))))))</f>
        <v/>
      </c>
      <c r="V489" s="67">
        <f>IF(AND(R489=0,T489=""),1,0)</f>
        <v/>
      </c>
      <c r="W489" s="67">
        <f>IF(V489=1,acctAR,"")</f>
        <v/>
      </c>
      <c r="X489" s="67">
        <f>IF(V489=1,F489,"")</f>
        <v/>
      </c>
      <c r="Y489" s="68">
        <f>IF(V489=1,G489,0)</f>
        <v/>
      </c>
      <c r="Z489" s="68">
        <f>IF(V489=1,G489-S489,0)</f>
        <v/>
      </c>
      <c r="AA489" s="68">
        <f>IF(V489=1,S489,0)</f>
        <v/>
      </c>
    </row>
    <row r="490">
      <c r="B490" s="62" t="n"/>
      <c r="C490" s="63" t="n"/>
      <c r="D490" s="62" t="n"/>
      <c r="E490" s="62" t="n"/>
      <c r="F490" s="62" t="n"/>
      <c r="G490" s="64" t="n"/>
      <c r="H490" s="64" t="n"/>
      <c r="I490" s="63" t="n"/>
      <c r="J490" s="29">
        <f>IF(V490=1,IF(ISNUMBER(I490),I490,C490+IF(ISNUMBER(IFERROR(INDEX(cust_Terms,MATCH(D490,cust_Name,0)),"")),INDEX(cust_Terms,MATCH(D490,cust_Name,0)),TermsDays)),"")</f>
        <v/>
      </c>
      <c r="K490" s="65">
        <f>IF(V490=1,SUMIFS(tx_DrAmt,tx_Type,"Customer Payment",tx_Ref,B490&amp;"",tx_Date,"&lt;="&amp;AsOf),"")</f>
        <v/>
      </c>
      <c r="L490" s="65">
        <f>IF(V490=1,IF(C490&gt;AsOf,0,ROUND(G490-K490,2)),"")</f>
        <v/>
      </c>
      <c r="M490" s="66">
        <f>IF(V490&lt;&gt;1,"",IF(C490&gt;AsOf,"Future",IF(L490&lt;0,"Overpaid",IF(L490=0,"Paid",IF(AsOf&gt;J490,"Overdue",IF(K490&gt;0,"Partial","Unpaid"))))))</f>
        <v/>
      </c>
      <c r="N490" s="28">
        <f>IF(AND(V490=1,N(L490)&gt;0),AsOf-C490,"")</f>
        <v/>
      </c>
      <c r="O490" s="28">
        <f>IF(N490="","",MAX(0,AsOf-J490))</f>
        <v/>
      </c>
      <c r="P490" s="66">
        <f>IF(O490="","",IF(O490=0,"Current",IF(O490&lt;=30,"1-30",IF(O490&lt;=60,"31-60",IF(O490&lt;=90,"61-90","90+")))))</f>
        <v/>
      </c>
      <c r="Q490" s="66">
        <f>IF(T490&lt;&gt;"","⛔ "&amp;T490&amp;" — not posted",IF(U490&lt;&gt;"","⚠ "&amp;U490,IF(V490=1,"✓ OK","")))</f>
        <v/>
      </c>
      <c r="R490" s="67">
        <f>IF(AND(B490="",C490="",D490="",G490="",F490=""),1,0)</f>
        <v/>
      </c>
      <c r="S490" s="68">
        <f>IF(AND(TaxOn="Yes",ISNUMBER(H490)),H490,0)</f>
        <v/>
      </c>
      <c r="T490" s="67">
        <f>IF(R490=1,"",IF(B490="","Enter an invoice #",IF(C490="","Missing invoice date",IF(NOT(ISNUMBER(C490)),"Invalid date",IF(OR(C490&lt;DATE(2000,1,1),C490&gt;DATE(2099,12,31)),"Invalid date",IF(F490="","Select a revenue account",IF(ISNA(MATCH(F490,coa_Name,0)),"Unknown account: "&amp;F490,IF(NOT(ISNUMBER(G490)),"Enter an amount",IF(G490&lt;=0,"Amount must be positive",IF(S490&gt;G490,"Tax is larger than the amount",""))))))))))</f>
        <v/>
      </c>
      <c r="U490" s="67">
        <f>IF(OR(R490=1,T490&lt;&gt;""),"",IF(COUNTIF(ar_No,B490)&gt;1,"Duplicate invoice #",IF(D490="","Select a customer",IF(N(L490)&lt;0,"Overpaid by "&amp;TEXT(-L490,"#,##0.00"),IF(AND(ISNUMBER(H490),N(H490)&lt;&gt;0,S490=0),"Tax ignored (tax tracking is off)",IF(AND(ISNUMBER(StartDate),C490&lt;StartDate),"Date is before the accounting start date",IF(AND(IFERROR(INDEX(coa_Type,MATCH(F490,coa_Name,0)),"")&lt;&gt;"Revenue",IFERROR(INDEX(coa_Type,MATCH(F490,coa_Name,0)),"")&lt;&gt;"Other Income"),"Account is not a revenue account","")))))))</f>
        <v/>
      </c>
      <c r="V490" s="67">
        <f>IF(AND(R490=0,T490=""),1,0)</f>
        <v/>
      </c>
      <c r="W490" s="67">
        <f>IF(V490=1,acctAR,"")</f>
        <v/>
      </c>
      <c r="X490" s="67">
        <f>IF(V490=1,F490,"")</f>
        <v/>
      </c>
      <c r="Y490" s="68">
        <f>IF(V490=1,G490,0)</f>
        <v/>
      </c>
      <c r="Z490" s="68">
        <f>IF(V490=1,G490-S490,0)</f>
        <v/>
      </c>
      <c r="AA490" s="68">
        <f>IF(V490=1,S490,0)</f>
        <v/>
      </c>
    </row>
    <row r="491">
      <c r="B491" s="62" t="n"/>
      <c r="C491" s="63" t="n"/>
      <c r="D491" s="62" t="n"/>
      <c r="E491" s="62" t="n"/>
      <c r="F491" s="62" t="n"/>
      <c r="G491" s="64" t="n"/>
      <c r="H491" s="64" t="n"/>
      <c r="I491" s="63" t="n"/>
      <c r="J491" s="29">
        <f>IF(V491=1,IF(ISNUMBER(I491),I491,C491+IF(ISNUMBER(IFERROR(INDEX(cust_Terms,MATCH(D491,cust_Name,0)),"")),INDEX(cust_Terms,MATCH(D491,cust_Name,0)),TermsDays)),"")</f>
        <v/>
      </c>
      <c r="K491" s="65">
        <f>IF(V491=1,SUMIFS(tx_DrAmt,tx_Type,"Customer Payment",tx_Ref,B491&amp;"",tx_Date,"&lt;="&amp;AsOf),"")</f>
        <v/>
      </c>
      <c r="L491" s="65">
        <f>IF(V491=1,IF(C491&gt;AsOf,0,ROUND(G491-K491,2)),"")</f>
        <v/>
      </c>
      <c r="M491" s="66">
        <f>IF(V491&lt;&gt;1,"",IF(C491&gt;AsOf,"Future",IF(L491&lt;0,"Overpaid",IF(L491=0,"Paid",IF(AsOf&gt;J491,"Overdue",IF(K491&gt;0,"Partial","Unpaid"))))))</f>
        <v/>
      </c>
      <c r="N491" s="28">
        <f>IF(AND(V491=1,N(L491)&gt;0),AsOf-C491,"")</f>
        <v/>
      </c>
      <c r="O491" s="28">
        <f>IF(N491="","",MAX(0,AsOf-J491))</f>
        <v/>
      </c>
      <c r="P491" s="66">
        <f>IF(O491="","",IF(O491=0,"Current",IF(O491&lt;=30,"1-30",IF(O491&lt;=60,"31-60",IF(O491&lt;=90,"61-90","90+")))))</f>
        <v/>
      </c>
      <c r="Q491" s="66">
        <f>IF(T491&lt;&gt;"","⛔ "&amp;T491&amp;" — not posted",IF(U491&lt;&gt;"","⚠ "&amp;U491,IF(V491=1,"✓ OK","")))</f>
        <v/>
      </c>
      <c r="R491" s="67">
        <f>IF(AND(B491="",C491="",D491="",G491="",F491=""),1,0)</f>
        <v/>
      </c>
      <c r="S491" s="68">
        <f>IF(AND(TaxOn="Yes",ISNUMBER(H491)),H491,0)</f>
        <v/>
      </c>
      <c r="T491" s="67">
        <f>IF(R491=1,"",IF(B491="","Enter an invoice #",IF(C491="","Missing invoice date",IF(NOT(ISNUMBER(C491)),"Invalid date",IF(OR(C491&lt;DATE(2000,1,1),C491&gt;DATE(2099,12,31)),"Invalid date",IF(F491="","Select a revenue account",IF(ISNA(MATCH(F491,coa_Name,0)),"Unknown account: "&amp;F491,IF(NOT(ISNUMBER(G491)),"Enter an amount",IF(G491&lt;=0,"Amount must be positive",IF(S491&gt;G491,"Tax is larger than the amount",""))))))))))</f>
        <v/>
      </c>
      <c r="U491" s="67">
        <f>IF(OR(R491=1,T491&lt;&gt;""),"",IF(COUNTIF(ar_No,B491)&gt;1,"Duplicate invoice #",IF(D491="","Select a customer",IF(N(L491)&lt;0,"Overpaid by "&amp;TEXT(-L491,"#,##0.00"),IF(AND(ISNUMBER(H491),N(H491)&lt;&gt;0,S491=0),"Tax ignored (tax tracking is off)",IF(AND(ISNUMBER(StartDate),C491&lt;StartDate),"Date is before the accounting start date",IF(AND(IFERROR(INDEX(coa_Type,MATCH(F491,coa_Name,0)),"")&lt;&gt;"Revenue",IFERROR(INDEX(coa_Type,MATCH(F491,coa_Name,0)),"")&lt;&gt;"Other Income"),"Account is not a revenue account","")))))))</f>
        <v/>
      </c>
      <c r="V491" s="67">
        <f>IF(AND(R491=0,T491=""),1,0)</f>
        <v/>
      </c>
      <c r="W491" s="67">
        <f>IF(V491=1,acctAR,"")</f>
        <v/>
      </c>
      <c r="X491" s="67">
        <f>IF(V491=1,F491,"")</f>
        <v/>
      </c>
      <c r="Y491" s="68">
        <f>IF(V491=1,G491,0)</f>
        <v/>
      </c>
      <c r="Z491" s="68">
        <f>IF(V491=1,G491-S491,0)</f>
        <v/>
      </c>
      <c r="AA491" s="68">
        <f>IF(V491=1,S491,0)</f>
        <v/>
      </c>
    </row>
    <row r="492">
      <c r="B492" s="62" t="n"/>
      <c r="C492" s="63" t="n"/>
      <c r="D492" s="62" t="n"/>
      <c r="E492" s="62" t="n"/>
      <c r="F492" s="62" t="n"/>
      <c r="G492" s="64" t="n"/>
      <c r="H492" s="64" t="n"/>
      <c r="I492" s="63" t="n"/>
      <c r="J492" s="29">
        <f>IF(V492=1,IF(ISNUMBER(I492),I492,C492+IF(ISNUMBER(IFERROR(INDEX(cust_Terms,MATCH(D492,cust_Name,0)),"")),INDEX(cust_Terms,MATCH(D492,cust_Name,0)),TermsDays)),"")</f>
        <v/>
      </c>
      <c r="K492" s="65">
        <f>IF(V492=1,SUMIFS(tx_DrAmt,tx_Type,"Customer Payment",tx_Ref,B492&amp;"",tx_Date,"&lt;="&amp;AsOf),"")</f>
        <v/>
      </c>
      <c r="L492" s="65">
        <f>IF(V492=1,IF(C492&gt;AsOf,0,ROUND(G492-K492,2)),"")</f>
        <v/>
      </c>
      <c r="M492" s="66">
        <f>IF(V492&lt;&gt;1,"",IF(C492&gt;AsOf,"Future",IF(L492&lt;0,"Overpaid",IF(L492=0,"Paid",IF(AsOf&gt;J492,"Overdue",IF(K492&gt;0,"Partial","Unpaid"))))))</f>
        <v/>
      </c>
      <c r="N492" s="28">
        <f>IF(AND(V492=1,N(L492)&gt;0),AsOf-C492,"")</f>
        <v/>
      </c>
      <c r="O492" s="28">
        <f>IF(N492="","",MAX(0,AsOf-J492))</f>
        <v/>
      </c>
      <c r="P492" s="66">
        <f>IF(O492="","",IF(O492=0,"Current",IF(O492&lt;=30,"1-30",IF(O492&lt;=60,"31-60",IF(O492&lt;=90,"61-90","90+")))))</f>
        <v/>
      </c>
      <c r="Q492" s="66">
        <f>IF(T492&lt;&gt;"","⛔ "&amp;T492&amp;" — not posted",IF(U492&lt;&gt;"","⚠ "&amp;U492,IF(V492=1,"✓ OK","")))</f>
        <v/>
      </c>
      <c r="R492" s="67">
        <f>IF(AND(B492="",C492="",D492="",G492="",F492=""),1,0)</f>
        <v/>
      </c>
      <c r="S492" s="68">
        <f>IF(AND(TaxOn="Yes",ISNUMBER(H492)),H492,0)</f>
        <v/>
      </c>
      <c r="T492" s="67">
        <f>IF(R492=1,"",IF(B492="","Enter an invoice #",IF(C492="","Missing invoice date",IF(NOT(ISNUMBER(C492)),"Invalid date",IF(OR(C492&lt;DATE(2000,1,1),C492&gt;DATE(2099,12,31)),"Invalid date",IF(F492="","Select a revenue account",IF(ISNA(MATCH(F492,coa_Name,0)),"Unknown account: "&amp;F492,IF(NOT(ISNUMBER(G492)),"Enter an amount",IF(G492&lt;=0,"Amount must be positive",IF(S492&gt;G492,"Tax is larger than the amount",""))))))))))</f>
        <v/>
      </c>
      <c r="U492" s="67">
        <f>IF(OR(R492=1,T492&lt;&gt;""),"",IF(COUNTIF(ar_No,B492)&gt;1,"Duplicate invoice #",IF(D492="","Select a customer",IF(N(L492)&lt;0,"Overpaid by "&amp;TEXT(-L492,"#,##0.00"),IF(AND(ISNUMBER(H492),N(H492)&lt;&gt;0,S492=0),"Tax ignored (tax tracking is off)",IF(AND(ISNUMBER(StartDate),C492&lt;StartDate),"Date is before the accounting start date",IF(AND(IFERROR(INDEX(coa_Type,MATCH(F492,coa_Name,0)),"")&lt;&gt;"Revenue",IFERROR(INDEX(coa_Type,MATCH(F492,coa_Name,0)),"")&lt;&gt;"Other Income"),"Account is not a revenue account","")))))))</f>
        <v/>
      </c>
      <c r="V492" s="67">
        <f>IF(AND(R492=0,T492=""),1,0)</f>
        <v/>
      </c>
      <c r="W492" s="67">
        <f>IF(V492=1,acctAR,"")</f>
        <v/>
      </c>
      <c r="X492" s="67">
        <f>IF(V492=1,F492,"")</f>
        <v/>
      </c>
      <c r="Y492" s="68">
        <f>IF(V492=1,G492,0)</f>
        <v/>
      </c>
      <c r="Z492" s="68">
        <f>IF(V492=1,G492-S492,0)</f>
        <v/>
      </c>
      <c r="AA492" s="68">
        <f>IF(V492=1,S492,0)</f>
        <v/>
      </c>
    </row>
    <row r="493">
      <c r="B493" s="62" t="n"/>
      <c r="C493" s="63" t="n"/>
      <c r="D493" s="62" t="n"/>
      <c r="E493" s="62" t="n"/>
      <c r="F493" s="62" t="n"/>
      <c r="G493" s="64" t="n"/>
      <c r="H493" s="64" t="n"/>
      <c r="I493" s="63" t="n"/>
      <c r="J493" s="29">
        <f>IF(V493=1,IF(ISNUMBER(I493),I493,C493+IF(ISNUMBER(IFERROR(INDEX(cust_Terms,MATCH(D493,cust_Name,0)),"")),INDEX(cust_Terms,MATCH(D493,cust_Name,0)),TermsDays)),"")</f>
        <v/>
      </c>
      <c r="K493" s="65">
        <f>IF(V493=1,SUMIFS(tx_DrAmt,tx_Type,"Customer Payment",tx_Ref,B493&amp;"",tx_Date,"&lt;="&amp;AsOf),"")</f>
        <v/>
      </c>
      <c r="L493" s="65">
        <f>IF(V493=1,IF(C493&gt;AsOf,0,ROUND(G493-K493,2)),"")</f>
        <v/>
      </c>
      <c r="M493" s="66">
        <f>IF(V493&lt;&gt;1,"",IF(C493&gt;AsOf,"Future",IF(L493&lt;0,"Overpaid",IF(L493=0,"Paid",IF(AsOf&gt;J493,"Overdue",IF(K493&gt;0,"Partial","Unpaid"))))))</f>
        <v/>
      </c>
      <c r="N493" s="28">
        <f>IF(AND(V493=1,N(L493)&gt;0),AsOf-C493,"")</f>
        <v/>
      </c>
      <c r="O493" s="28">
        <f>IF(N493="","",MAX(0,AsOf-J493))</f>
        <v/>
      </c>
      <c r="P493" s="66">
        <f>IF(O493="","",IF(O493=0,"Current",IF(O493&lt;=30,"1-30",IF(O493&lt;=60,"31-60",IF(O493&lt;=90,"61-90","90+")))))</f>
        <v/>
      </c>
      <c r="Q493" s="66">
        <f>IF(T493&lt;&gt;"","⛔ "&amp;T493&amp;" — not posted",IF(U493&lt;&gt;"","⚠ "&amp;U493,IF(V493=1,"✓ OK","")))</f>
        <v/>
      </c>
      <c r="R493" s="67">
        <f>IF(AND(B493="",C493="",D493="",G493="",F493=""),1,0)</f>
        <v/>
      </c>
      <c r="S493" s="68">
        <f>IF(AND(TaxOn="Yes",ISNUMBER(H493)),H493,0)</f>
        <v/>
      </c>
      <c r="T493" s="67">
        <f>IF(R493=1,"",IF(B493="","Enter an invoice #",IF(C493="","Missing invoice date",IF(NOT(ISNUMBER(C493)),"Invalid date",IF(OR(C493&lt;DATE(2000,1,1),C493&gt;DATE(2099,12,31)),"Invalid date",IF(F493="","Select a revenue account",IF(ISNA(MATCH(F493,coa_Name,0)),"Unknown account: "&amp;F493,IF(NOT(ISNUMBER(G493)),"Enter an amount",IF(G493&lt;=0,"Amount must be positive",IF(S493&gt;G493,"Tax is larger than the amount",""))))))))))</f>
        <v/>
      </c>
      <c r="U493" s="67">
        <f>IF(OR(R493=1,T493&lt;&gt;""),"",IF(COUNTIF(ar_No,B493)&gt;1,"Duplicate invoice #",IF(D493="","Select a customer",IF(N(L493)&lt;0,"Overpaid by "&amp;TEXT(-L493,"#,##0.00"),IF(AND(ISNUMBER(H493),N(H493)&lt;&gt;0,S493=0),"Tax ignored (tax tracking is off)",IF(AND(ISNUMBER(StartDate),C493&lt;StartDate),"Date is before the accounting start date",IF(AND(IFERROR(INDEX(coa_Type,MATCH(F493,coa_Name,0)),"")&lt;&gt;"Revenue",IFERROR(INDEX(coa_Type,MATCH(F493,coa_Name,0)),"")&lt;&gt;"Other Income"),"Account is not a revenue account","")))))))</f>
        <v/>
      </c>
      <c r="V493" s="67">
        <f>IF(AND(R493=0,T493=""),1,0)</f>
        <v/>
      </c>
      <c r="W493" s="67">
        <f>IF(V493=1,acctAR,"")</f>
        <v/>
      </c>
      <c r="X493" s="67">
        <f>IF(V493=1,F493,"")</f>
        <v/>
      </c>
      <c r="Y493" s="68">
        <f>IF(V493=1,G493,0)</f>
        <v/>
      </c>
      <c r="Z493" s="68">
        <f>IF(V493=1,G493-S493,0)</f>
        <v/>
      </c>
      <c r="AA493" s="68">
        <f>IF(V493=1,S493,0)</f>
        <v/>
      </c>
    </row>
    <row r="494">
      <c r="B494" s="62" t="n"/>
      <c r="C494" s="63" t="n"/>
      <c r="D494" s="62" t="n"/>
      <c r="E494" s="62" t="n"/>
      <c r="F494" s="62" t="n"/>
      <c r="G494" s="64" t="n"/>
      <c r="H494" s="64" t="n"/>
      <c r="I494" s="63" t="n"/>
      <c r="J494" s="29">
        <f>IF(V494=1,IF(ISNUMBER(I494),I494,C494+IF(ISNUMBER(IFERROR(INDEX(cust_Terms,MATCH(D494,cust_Name,0)),"")),INDEX(cust_Terms,MATCH(D494,cust_Name,0)),TermsDays)),"")</f>
        <v/>
      </c>
      <c r="K494" s="65">
        <f>IF(V494=1,SUMIFS(tx_DrAmt,tx_Type,"Customer Payment",tx_Ref,B494&amp;"",tx_Date,"&lt;="&amp;AsOf),"")</f>
        <v/>
      </c>
      <c r="L494" s="65">
        <f>IF(V494=1,IF(C494&gt;AsOf,0,ROUND(G494-K494,2)),"")</f>
        <v/>
      </c>
      <c r="M494" s="66">
        <f>IF(V494&lt;&gt;1,"",IF(C494&gt;AsOf,"Future",IF(L494&lt;0,"Overpaid",IF(L494=0,"Paid",IF(AsOf&gt;J494,"Overdue",IF(K494&gt;0,"Partial","Unpaid"))))))</f>
        <v/>
      </c>
      <c r="N494" s="28">
        <f>IF(AND(V494=1,N(L494)&gt;0),AsOf-C494,"")</f>
        <v/>
      </c>
      <c r="O494" s="28">
        <f>IF(N494="","",MAX(0,AsOf-J494))</f>
        <v/>
      </c>
      <c r="P494" s="66">
        <f>IF(O494="","",IF(O494=0,"Current",IF(O494&lt;=30,"1-30",IF(O494&lt;=60,"31-60",IF(O494&lt;=90,"61-90","90+")))))</f>
        <v/>
      </c>
      <c r="Q494" s="66">
        <f>IF(T494&lt;&gt;"","⛔ "&amp;T494&amp;" — not posted",IF(U494&lt;&gt;"","⚠ "&amp;U494,IF(V494=1,"✓ OK","")))</f>
        <v/>
      </c>
      <c r="R494" s="67">
        <f>IF(AND(B494="",C494="",D494="",G494="",F494=""),1,0)</f>
        <v/>
      </c>
      <c r="S494" s="68">
        <f>IF(AND(TaxOn="Yes",ISNUMBER(H494)),H494,0)</f>
        <v/>
      </c>
      <c r="T494" s="67">
        <f>IF(R494=1,"",IF(B494="","Enter an invoice #",IF(C494="","Missing invoice date",IF(NOT(ISNUMBER(C494)),"Invalid date",IF(OR(C494&lt;DATE(2000,1,1),C494&gt;DATE(2099,12,31)),"Invalid date",IF(F494="","Select a revenue account",IF(ISNA(MATCH(F494,coa_Name,0)),"Unknown account: "&amp;F494,IF(NOT(ISNUMBER(G494)),"Enter an amount",IF(G494&lt;=0,"Amount must be positive",IF(S494&gt;G494,"Tax is larger than the amount",""))))))))))</f>
        <v/>
      </c>
      <c r="U494" s="67">
        <f>IF(OR(R494=1,T494&lt;&gt;""),"",IF(COUNTIF(ar_No,B494)&gt;1,"Duplicate invoice #",IF(D494="","Select a customer",IF(N(L494)&lt;0,"Overpaid by "&amp;TEXT(-L494,"#,##0.00"),IF(AND(ISNUMBER(H494),N(H494)&lt;&gt;0,S494=0),"Tax ignored (tax tracking is off)",IF(AND(ISNUMBER(StartDate),C494&lt;StartDate),"Date is before the accounting start date",IF(AND(IFERROR(INDEX(coa_Type,MATCH(F494,coa_Name,0)),"")&lt;&gt;"Revenue",IFERROR(INDEX(coa_Type,MATCH(F494,coa_Name,0)),"")&lt;&gt;"Other Income"),"Account is not a revenue account","")))))))</f>
        <v/>
      </c>
      <c r="V494" s="67">
        <f>IF(AND(R494=0,T494=""),1,0)</f>
        <v/>
      </c>
      <c r="W494" s="67">
        <f>IF(V494=1,acctAR,"")</f>
        <v/>
      </c>
      <c r="X494" s="67">
        <f>IF(V494=1,F494,"")</f>
        <v/>
      </c>
      <c r="Y494" s="68">
        <f>IF(V494=1,G494,0)</f>
        <v/>
      </c>
      <c r="Z494" s="68">
        <f>IF(V494=1,G494-S494,0)</f>
        <v/>
      </c>
      <c r="AA494" s="68">
        <f>IF(V494=1,S494,0)</f>
        <v/>
      </c>
    </row>
    <row r="495">
      <c r="B495" s="62" t="n"/>
      <c r="C495" s="63" t="n"/>
      <c r="D495" s="62" t="n"/>
      <c r="E495" s="62" t="n"/>
      <c r="F495" s="62" t="n"/>
      <c r="G495" s="64" t="n"/>
      <c r="H495" s="64" t="n"/>
      <c r="I495" s="63" t="n"/>
      <c r="J495" s="29">
        <f>IF(V495=1,IF(ISNUMBER(I495),I495,C495+IF(ISNUMBER(IFERROR(INDEX(cust_Terms,MATCH(D495,cust_Name,0)),"")),INDEX(cust_Terms,MATCH(D495,cust_Name,0)),TermsDays)),"")</f>
        <v/>
      </c>
      <c r="K495" s="65">
        <f>IF(V495=1,SUMIFS(tx_DrAmt,tx_Type,"Customer Payment",tx_Ref,B495&amp;"",tx_Date,"&lt;="&amp;AsOf),"")</f>
        <v/>
      </c>
      <c r="L495" s="65">
        <f>IF(V495=1,IF(C495&gt;AsOf,0,ROUND(G495-K495,2)),"")</f>
        <v/>
      </c>
      <c r="M495" s="66">
        <f>IF(V495&lt;&gt;1,"",IF(C495&gt;AsOf,"Future",IF(L495&lt;0,"Overpaid",IF(L495=0,"Paid",IF(AsOf&gt;J495,"Overdue",IF(K495&gt;0,"Partial","Unpaid"))))))</f>
        <v/>
      </c>
      <c r="N495" s="28">
        <f>IF(AND(V495=1,N(L495)&gt;0),AsOf-C495,"")</f>
        <v/>
      </c>
      <c r="O495" s="28">
        <f>IF(N495="","",MAX(0,AsOf-J495))</f>
        <v/>
      </c>
      <c r="P495" s="66">
        <f>IF(O495="","",IF(O495=0,"Current",IF(O495&lt;=30,"1-30",IF(O495&lt;=60,"31-60",IF(O495&lt;=90,"61-90","90+")))))</f>
        <v/>
      </c>
      <c r="Q495" s="66">
        <f>IF(T495&lt;&gt;"","⛔ "&amp;T495&amp;" — not posted",IF(U495&lt;&gt;"","⚠ "&amp;U495,IF(V495=1,"✓ OK","")))</f>
        <v/>
      </c>
      <c r="R495" s="67">
        <f>IF(AND(B495="",C495="",D495="",G495="",F495=""),1,0)</f>
        <v/>
      </c>
      <c r="S495" s="68">
        <f>IF(AND(TaxOn="Yes",ISNUMBER(H495)),H495,0)</f>
        <v/>
      </c>
      <c r="T495" s="67">
        <f>IF(R495=1,"",IF(B495="","Enter an invoice #",IF(C495="","Missing invoice date",IF(NOT(ISNUMBER(C495)),"Invalid date",IF(OR(C495&lt;DATE(2000,1,1),C495&gt;DATE(2099,12,31)),"Invalid date",IF(F495="","Select a revenue account",IF(ISNA(MATCH(F495,coa_Name,0)),"Unknown account: "&amp;F495,IF(NOT(ISNUMBER(G495)),"Enter an amount",IF(G495&lt;=0,"Amount must be positive",IF(S495&gt;G495,"Tax is larger than the amount",""))))))))))</f>
        <v/>
      </c>
      <c r="U495" s="67">
        <f>IF(OR(R495=1,T495&lt;&gt;""),"",IF(COUNTIF(ar_No,B495)&gt;1,"Duplicate invoice #",IF(D495="","Select a customer",IF(N(L495)&lt;0,"Overpaid by "&amp;TEXT(-L495,"#,##0.00"),IF(AND(ISNUMBER(H495),N(H495)&lt;&gt;0,S495=0),"Tax ignored (tax tracking is off)",IF(AND(ISNUMBER(StartDate),C495&lt;StartDate),"Date is before the accounting start date",IF(AND(IFERROR(INDEX(coa_Type,MATCH(F495,coa_Name,0)),"")&lt;&gt;"Revenue",IFERROR(INDEX(coa_Type,MATCH(F495,coa_Name,0)),"")&lt;&gt;"Other Income"),"Account is not a revenue account","")))))))</f>
        <v/>
      </c>
      <c r="V495" s="67">
        <f>IF(AND(R495=0,T495=""),1,0)</f>
        <v/>
      </c>
      <c r="W495" s="67">
        <f>IF(V495=1,acctAR,"")</f>
        <v/>
      </c>
      <c r="X495" s="67">
        <f>IF(V495=1,F495,"")</f>
        <v/>
      </c>
      <c r="Y495" s="68">
        <f>IF(V495=1,G495,0)</f>
        <v/>
      </c>
      <c r="Z495" s="68">
        <f>IF(V495=1,G495-S495,0)</f>
        <v/>
      </c>
      <c r="AA495" s="68">
        <f>IF(V495=1,S495,0)</f>
        <v/>
      </c>
    </row>
    <row r="496">
      <c r="B496" s="62" t="n"/>
      <c r="C496" s="63" t="n"/>
      <c r="D496" s="62" t="n"/>
      <c r="E496" s="62" t="n"/>
      <c r="F496" s="62" t="n"/>
      <c r="G496" s="64" t="n"/>
      <c r="H496" s="64" t="n"/>
      <c r="I496" s="63" t="n"/>
      <c r="J496" s="29">
        <f>IF(V496=1,IF(ISNUMBER(I496),I496,C496+IF(ISNUMBER(IFERROR(INDEX(cust_Terms,MATCH(D496,cust_Name,0)),"")),INDEX(cust_Terms,MATCH(D496,cust_Name,0)),TermsDays)),"")</f>
        <v/>
      </c>
      <c r="K496" s="65">
        <f>IF(V496=1,SUMIFS(tx_DrAmt,tx_Type,"Customer Payment",tx_Ref,B496&amp;"",tx_Date,"&lt;="&amp;AsOf),"")</f>
        <v/>
      </c>
      <c r="L496" s="65">
        <f>IF(V496=1,IF(C496&gt;AsOf,0,ROUND(G496-K496,2)),"")</f>
        <v/>
      </c>
      <c r="M496" s="66">
        <f>IF(V496&lt;&gt;1,"",IF(C496&gt;AsOf,"Future",IF(L496&lt;0,"Overpaid",IF(L496=0,"Paid",IF(AsOf&gt;J496,"Overdue",IF(K496&gt;0,"Partial","Unpaid"))))))</f>
        <v/>
      </c>
      <c r="N496" s="28">
        <f>IF(AND(V496=1,N(L496)&gt;0),AsOf-C496,"")</f>
        <v/>
      </c>
      <c r="O496" s="28">
        <f>IF(N496="","",MAX(0,AsOf-J496))</f>
        <v/>
      </c>
      <c r="P496" s="66">
        <f>IF(O496="","",IF(O496=0,"Current",IF(O496&lt;=30,"1-30",IF(O496&lt;=60,"31-60",IF(O496&lt;=90,"61-90","90+")))))</f>
        <v/>
      </c>
      <c r="Q496" s="66">
        <f>IF(T496&lt;&gt;"","⛔ "&amp;T496&amp;" — not posted",IF(U496&lt;&gt;"","⚠ "&amp;U496,IF(V496=1,"✓ OK","")))</f>
        <v/>
      </c>
      <c r="R496" s="67">
        <f>IF(AND(B496="",C496="",D496="",G496="",F496=""),1,0)</f>
        <v/>
      </c>
      <c r="S496" s="68">
        <f>IF(AND(TaxOn="Yes",ISNUMBER(H496)),H496,0)</f>
        <v/>
      </c>
      <c r="T496" s="67">
        <f>IF(R496=1,"",IF(B496="","Enter an invoice #",IF(C496="","Missing invoice date",IF(NOT(ISNUMBER(C496)),"Invalid date",IF(OR(C496&lt;DATE(2000,1,1),C496&gt;DATE(2099,12,31)),"Invalid date",IF(F496="","Select a revenue account",IF(ISNA(MATCH(F496,coa_Name,0)),"Unknown account: "&amp;F496,IF(NOT(ISNUMBER(G496)),"Enter an amount",IF(G496&lt;=0,"Amount must be positive",IF(S496&gt;G496,"Tax is larger than the amount",""))))))))))</f>
        <v/>
      </c>
      <c r="U496" s="67">
        <f>IF(OR(R496=1,T496&lt;&gt;""),"",IF(COUNTIF(ar_No,B496)&gt;1,"Duplicate invoice #",IF(D496="","Select a customer",IF(N(L496)&lt;0,"Overpaid by "&amp;TEXT(-L496,"#,##0.00"),IF(AND(ISNUMBER(H496),N(H496)&lt;&gt;0,S496=0),"Tax ignored (tax tracking is off)",IF(AND(ISNUMBER(StartDate),C496&lt;StartDate),"Date is before the accounting start date",IF(AND(IFERROR(INDEX(coa_Type,MATCH(F496,coa_Name,0)),"")&lt;&gt;"Revenue",IFERROR(INDEX(coa_Type,MATCH(F496,coa_Name,0)),"")&lt;&gt;"Other Income"),"Account is not a revenue account","")))))))</f>
        <v/>
      </c>
      <c r="V496" s="67">
        <f>IF(AND(R496=0,T496=""),1,0)</f>
        <v/>
      </c>
      <c r="W496" s="67">
        <f>IF(V496=1,acctAR,"")</f>
        <v/>
      </c>
      <c r="X496" s="67">
        <f>IF(V496=1,F496,"")</f>
        <v/>
      </c>
      <c r="Y496" s="68">
        <f>IF(V496=1,G496,0)</f>
        <v/>
      </c>
      <c r="Z496" s="68">
        <f>IF(V496=1,G496-S496,0)</f>
        <v/>
      </c>
      <c r="AA496" s="68">
        <f>IF(V496=1,S496,0)</f>
        <v/>
      </c>
    </row>
    <row r="497">
      <c r="B497" s="62" t="n"/>
      <c r="C497" s="63" t="n"/>
      <c r="D497" s="62" t="n"/>
      <c r="E497" s="62" t="n"/>
      <c r="F497" s="62" t="n"/>
      <c r="G497" s="64" t="n"/>
      <c r="H497" s="64" t="n"/>
      <c r="I497" s="63" t="n"/>
      <c r="J497" s="29">
        <f>IF(V497=1,IF(ISNUMBER(I497),I497,C497+IF(ISNUMBER(IFERROR(INDEX(cust_Terms,MATCH(D497,cust_Name,0)),"")),INDEX(cust_Terms,MATCH(D497,cust_Name,0)),TermsDays)),"")</f>
        <v/>
      </c>
      <c r="K497" s="65">
        <f>IF(V497=1,SUMIFS(tx_DrAmt,tx_Type,"Customer Payment",tx_Ref,B497&amp;"",tx_Date,"&lt;="&amp;AsOf),"")</f>
        <v/>
      </c>
      <c r="L497" s="65">
        <f>IF(V497=1,IF(C497&gt;AsOf,0,ROUND(G497-K497,2)),"")</f>
        <v/>
      </c>
      <c r="M497" s="66">
        <f>IF(V497&lt;&gt;1,"",IF(C497&gt;AsOf,"Future",IF(L497&lt;0,"Overpaid",IF(L497=0,"Paid",IF(AsOf&gt;J497,"Overdue",IF(K497&gt;0,"Partial","Unpaid"))))))</f>
        <v/>
      </c>
      <c r="N497" s="28">
        <f>IF(AND(V497=1,N(L497)&gt;0),AsOf-C497,"")</f>
        <v/>
      </c>
      <c r="O497" s="28">
        <f>IF(N497="","",MAX(0,AsOf-J497))</f>
        <v/>
      </c>
      <c r="P497" s="66">
        <f>IF(O497="","",IF(O497=0,"Current",IF(O497&lt;=30,"1-30",IF(O497&lt;=60,"31-60",IF(O497&lt;=90,"61-90","90+")))))</f>
        <v/>
      </c>
      <c r="Q497" s="66">
        <f>IF(T497&lt;&gt;"","⛔ "&amp;T497&amp;" — not posted",IF(U497&lt;&gt;"","⚠ "&amp;U497,IF(V497=1,"✓ OK","")))</f>
        <v/>
      </c>
      <c r="R497" s="67">
        <f>IF(AND(B497="",C497="",D497="",G497="",F497=""),1,0)</f>
        <v/>
      </c>
      <c r="S497" s="68">
        <f>IF(AND(TaxOn="Yes",ISNUMBER(H497)),H497,0)</f>
        <v/>
      </c>
      <c r="T497" s="67">
        <f>IF(R497=1,"",IF(B497="","Enter an invoice #",IF(C497="","Missing invoice date",IF(NOT(ISNUMBER(C497)),"Invalid date",IF(OR(C497&lt;DATE(2000,1,1),C497&gt;DATE(2099,12,31)),"Invalid date",IF(F497="","Select a revenue account",IF(ISNA(MATCH(F497,coa_Name,0)),"Unknown account: "&amp;F497,IF(NOT(ISNUMBER(G497)),"Enter an amount",IF(G497&lt;=0,"Amount must be positive",IF(S497&gt;G497,"Tax is larger than the amount",""))))))))))</f>
        <v/>
      </c>
      <c r="U497" s="67">
        <f>IF(OR(R497=1,T497&lt;&gt;""),"",IF(COUNTIF(ar_No,B497)&gt;1,"Duplicate invoice #",IF(D497="","Select a customer",IF(N(L497)&lt;0,"Overpaid by "&amp;TEXT(-L497,"#,##0.00"),IF(AND(ISNUMBER(H497),N(H497)&lt;&gt;0,S497=0),"Tax ignored (tax tracking is off)",IF(AND(ISNUMBER(StartDate),C497&lt;StartDate),"Date is before the accounting start date",IF(AND(IFERROR(INDEX(coa_Type,MATCH(F497,coa_Name,0)),"")&lt;&gt;"Revenue",IFERROR(INDEX(coa_Type,MATCH(F497,coa_Name,0)),"")&lt;&gt;"Other Income"),"Account is not a revenue account","")))))))</f>
        <v/>
      </c>
      <c r="V497" s="67">
        <f>IF(AND(R497=0,T497=""),1,0)</f>
        <v/>
      </c>
      <c r="W497" s="67">
        <f>IF(V497=1,acctAR,"")</f>
        <v/>
      </c>
      <c r="X497" s="67">
        <f>IF(V497=1,F497,"")</f>
        <v/>
      </c>
      <c r="Y497" s="68">
        <f>IF(V497=1,G497,0)</f>
        <v/>
      </c>
      <c r="Z497" s="68">
        <f>IF(V497=1,G497-S497,0)</f>
        <v/>
      </c>
      <c r="AA497" s="68">
        <f>IF(V497=1,S497,0)</f>
        <v/>
      </c>
    </row>
    <row r="498">
      <c r="B498" s="62" t="n"/>
      <c r="C498" s="63" t="n"/>
      <c r="D498" s="62" t="n"/>
      <c r="E498" s="62" t="n"/>
      <c r="F498" s="62" t="n"/>
      <c r="G498" s="64" t="n"/>
      <c r="H498" s="64" t="n"/>
      <c r="I498" s="63" t="n"/>
      <c r="J498" s="29">
        <f>IF(V498=1,IF(ISNUMBER(I498),I498,C498+IF(ISNUMBER(IFERROR(INDEX(cust_Terms,MATCH(D498,cust_Name,0)),"")),INDEX(cust_Terms,MATCH(D498,cust_Name,0)),TermsDays)),"")</f>
        <v/>
      </c>
      <c r="K498" s="65">
        <f>IF(V498=1,SUMIFS(tx_DrAmt,tx_Type,"Customer Payment",tx_Ref,B498&amp;"",tx_Date,"&lt;="&amp;AsOf),"")</f>
        <v/>
      </c>
      <c r="L498" s="65">
        <f>IF(V498=1,IF(C498&gt;AsOf,0,ROUND(G498-K498,2)),"")</f>
        <v/>
      </c>
      <c r="M498" s="66">
        <f>IF(V498&lt;&gt;1,"",IF(C498&gt;AsOf,"Future",IF(L498&lt;0,"Overpaid",IF(L498=0,"Paid",IF(AsOf&gt;J498,"Overdue",IF(K498&gt;0,"Partial","Unpaid"))))))</f>
        <v/>
      </c>
      <c r="N498" s="28">
        <f>IF(AND(V498=1,N(L498)&gt;0),AsOf-C498,"")</f>
        <v/>
      </c>
      <c r="O498" s="28">
        <f>IF(N498="","",MAX(0,AsOf-J498))</f>
        <v/>
      </c>
      <c r="P498" s="66">
        <f>IF(O498="","",IF(O498=0,"Current",IF(O498&lt;=30,"1-30",IF(O498&lt;=60,"31-60",IF(O498&lt;=90,"61-90","90+")))))</f>
        <v/>
      </c>
      <c r="Q498" s="66">
        <f>IF(T498&lt;&gt;"","⛔ "&amp;T498&amp;" — not posted",IF(U498&lt;&gt;"","⚠ "&amp;U498,IF(V498=1,"✓ OK","")))</f>
        <v/>
      </c>
      <c r="R498" s="67">
        <f>IF(AND(B498="",C498="",D498="",G498="",F498=""),1,0)</f>
        <v/>
      </c>
      <c r="S498" s="68">
        <f>IF(AND(TaxOn="Yes",ISNUMBER(H498)),H498,0)</f>
        <v/>
      </c>
      <c r="T498" s="67">
        <f>IF(R498=1,"",IF(B498="","Enter an invoice #",IF(C498="","Missing invoice date",IF(NOT(ISNUMBER(C498)),"Invalid date",IF(OR(C498&lt;DATE(2000,1,1),C498&gt;DATE(2099,12,31)),"Invalid date",IF(F498="","Select a revenue account",IF(ISNA(MATCH(F498,coa_Name,0)),"Unknown account: "&amp;F498,IF(NOT(ISNUMBER(G498)),"Enter an amount",IF(G498&lt;=0,"Amount must be positive",IF(S498&gt;G498,"Tax is larger than the amount",""))))))))))</f>
        <v/>
      </c>
      <c r="U498" s="67">
        <f>IF(OR(R498=1,T498&lt;&gt;""),"",IF(COUNTIF(ar_No,B498)&gt;1,"Duplicate invoice #",IF(D498="","Select a customer",IF(N(L498)&lt;0,"Overpaid by "&amp;TEXT(-L498,"#,##0.00"),IF(AND(ISNUMBER(H498),N(H498)&lt;&gt;0,S498=0),"Tax ignored (tax tracking is off)",IF(AND(ISNUMBER(StartDate),C498&lt;StartDate),"Date is before the accounting start date",IF(AND(IFERROR(INDEX(coa_Type,MATCH(F498,coa_Name,0)),"")&lt;&gt;"Revenue",IFERROR(INDEX(coa_Type,MATCH(F498,coa_Name,0)),"")&lt;&gt;"Other Income"),"Account is not a revenue account","")))))))</f>
        <v/>
      </c>
      <c r="V498" s="67">
        <f>IF(AND(R498=0,T498=""),1,0)</f>
        <v/>
      </c>
      <c r="W498" s="67">
        <f>IF(V498=1,acctAR,"")</f>
        <v/>
      </c>
      <c r="X498" s="67">
        <f>IF(V498=1,F498,"")</f>
        <v/>
      </c>
      <c r="Y498" s="68">
        <f>IF(V498=1,G498,0)</f>
        <v/>
      </c>
      <c r="Z498" s="68">
        <f>IF(V498=1,G498-S498,0)</f>
        <v/>
      </c>
      <c r="AA498" s="68">
        <f>IF(V498=1,S498,0)</f>
        <v/>
      </c>
    </row>
    <row r="499">
      <c r="B499" s="62" t="n"/>
      <c r="C499" s="63" t="n"/>
      <c r="D499" s="62" t="n"/>
      <c r="E499" s="62" t="n"/>
      <c r="F499" s="62" t="n"/>
      <c r="G499" s="64" t="n"/>
      <c r="H499" s="64" t="n"/>
      <c r="I499" s="63" t="n"/>
      <c r="J499" s="29">
        <f>IF(V499=1,IF(ISNUMBER(I499),I499,C499+IF(ISNUMBER(IFERROR(INDEX(cust_Terms,MATCH(D499,cust_Name,0)),"")),INDEX(cust_Terms,MATCH(D499,cust_Name,0)),TermsDays)),"")</f>
        <v/>
      </c>
      <c r="K499" s="65">
        <f>IF(V499=1,SUMIFS(tx_DrAmt,tx_Type,"Customer Payment",tx_Ref,B499&amp;"",tx_Date,"&lt;="&amp;AsOf),"")</f>
        <v/>
      </c>
      <c r="L499" s="65">
        <f>IF(V499=1,IF(C499&gt;AsOf,0,ROUND(G499-K499,2)),"")</f>
        <v/>
      </c>
      <c r="M499" s="66">
        <f>IF(V499&lt;&gt;1,"",IF(C499&gt;AsOf,"Future",IF(L499&lt;0,"Overpaid",IF(L499=0,"Paid",IF(AsOf&gt;J499,"Overdue",IF(K499&gt;0,"Partial","Unpaid"))))))</f>
        <v/>
      </c>
      <c r="N499" s="28">
        <f>IF(AND(V499=1,N(L499)&gt;0),AsOf-C499,"")</f>
        <v/>
      </c>
      <c r="O499" s="28">
        <f>IF(N499="","",MAX(0,AsOf-J499))</f>
        <v/>
      </c>
      <c r="P499" s="66">
        <f>IF(O499="","",IF(O499=0,"Current",IF(O499&lt;=30,"1-30",IF(O499&lt;=60,"31-60",IF(O499&lt;=90,"61-90","90+")))))</f>
        <v/>
      </c>
      <c r="Q499" s="66">
        <f>IF(T499&lt;&gt;"","⛔ "&amp;T499&amp;" — not posted",IF(U499&lt;&gt;"","⚠ "&amp;U499,IF(V499=1,"✓ OK","")))</f>
        <v/>
      </c>
      <c r="R499" s="67">
        <f>IF(AND(B499="",C499="",D499="",G499="",F499=""),1,0)</f>
        <v/>
      </c>
      <c r="S499" s="68">
        <f>IF(AND(TaxOn="Yes",ISNUMBER(H499)),H499,0)</f>
        <v/>
      </c>
      <c r="T499" s="67">
        <f>IF(R499=1,"",IF(B499="","Enter an invoice #",IF(C499="","Missing invoice date",IF(NOT(ISNUMBER(C499)),"Invalid date",IF(OR(C499&lt;DATE(2000,1,1),C499&gt;DATE(2099,12,31)),"Invalid date",IF(F499="","Select a revenue account",IF(ISNA(MATCH(F499,coa_Name,0)),"Unknown account: "&amp;F499,IF(NOT(ISNUMBER(G499)),"Enter an amount",IF(G499&lt;=0,"Amount must be positive",IF(S499&gt;G499,"Tax is larger than the amount",""))))))))))</f>
        <v/>
      </c>
      <c r="U499" s="67">
        <f>IF(OR(R499=1,T499&lt;&gt;""),"",IF(COUNTIF(ar_No,B499)&gt;1,"Duplicate invoice #",IF(D499="","Select a customer",IF(N(L499)&lt;0,"Overpaid by "&amp;TEXT(-L499,"#,##0.00"),IF(AND(ISNUMBER(H499),N(H499)&lt;&gt;0,S499=0),"Tax ignored (tax tracking is off)",IF(AND(ISNUMBER(StartDate),C499&lt;StartDate),"Date is before the accounting start date",IF(AND(IFERROR(INDEX(coa_Type,MATCH(F499,coa_Name,0)),"")&lt;&gt;"Revenue",IFERROR(INDEX(coa_Type,MATCH(F499,coa_Name,0)),"")&lt;&gt;"Other Income"),"Account is not a revenue account","")))))))</f>
        <v/>
      </c>
      <c r="V499" s="67">
        <f>IF(AND(R499=0,T499=""),1,0)</f>
        <v/>
      </c>
      <c r="W499" s="67">
        <f>IF(V499=1,acctAR,"")</f>
        <v/>
      </c>
      <c r="X499" s="67">
        <f>IF(V499=1,F499,"")</f>
        <v/>
      </c>
      <c r="Y499" s="68">
        <f>IF(V499=1,G499,0)</f>
        <v/>
      </c>
      <c r="Z499" s="68">
        <f>IF(V499=1,G499-S499,0)</f>
        <v/>
      </c>
      <c r="AA499" s="68">
        <f>IF(V499=1,S499,0)</f>
        <v/>
      </c>
    </row>
    <row r="500">
      <c r="B500" s="62" t="n"/>
      <c r="C500" s="63" t="n"/>
      <c r="D500" s="62" t="n"/>
      <c r="E500" s="62" t="n"/>
      <c r="F500" s="62" t="n"/>
      <c r="G500" s="64" t="n"/>
      <c r="H500" s="64" t="n"/>
      <c r="I500" s="63" t="n"/>
      <c r="J500" s="29">
        <f>IF(V500=1,IF(ISNUMBER(I500),I500,C500+IF(ISNUMBER(IFERROR(INDEX(cust_Terms,MATCH(D500,cust_Name,0)),"")),INDEX(cust_Terms,MATCH(D500,cust_Name,0)),TermsDays)),"")</f>
        <v/>
      </c>
      <c r="K500" s="65">
        <f>IF(V500=1,SUMIFS(tx_DrAmt,tx_Type,"Customer Payment",tx_Ref,B500&amp;"",tx_Date,"&lt;="&amp;AsOf),"")</f>
        <v/>
      </c>
      <c r="L500" s="65">
        <f>IF(V500=1,IF(C500&gt;AsOf,0,ROUND(G500-K500,2)),"")</f>
        <v/>
      </c>
      <c r="M500" s="66">
        <f>IF(V500&lt;&gt;1,"",IF(C500&gt;AsOf,"Future",IF(L500&lt;0,"Overpaid",IF(L500=0,"Paid",IF(AsOf&gt;J500,"Overdue",IF(K500&gt;0,"Partial","Unpaid"))))))</f>
        <v/>
      </c>
      <c r="N500" s="28">
        <f>IF(AND(V500=1,N(L500)&gt;0),AsOf-C500,"")</f>
        <v/>
      </c>
      <c r="O500" s="28">
        <f>IF(N500="","",MAX(0,AsOf-J500))</f>
        <v/>
      </c>
      <c r="P500" s="66">
        <f>IF(O500="","",IF(O500=0,"Current",IF(O500&lt;=30,"1-30",IF(O500&lt;=60,"31-60",IF(O500&lt;=90,"61-90","90+")))))</f>
        <v/>
      </c>
      <c r="Q500" s="66">
        <f>IF(T500&lt;&gt;"","⛔ "&amp;T500&amp;" — not posted",IF(U500&lt;&gt;"","⚠ "&amp;U500,IF(V500=1,"✓ OK","")))</f>
        <v/>
      </c>
      <c r="R500" s="67">
        <f>IF(AND(B500="",C500="",D500="",G500="",F500=""),1,0)</f>
        <v/>
      </c>
      <c r="S500" s="68">
        <f>IF(AND(TaxOn="Yes",ISNUMBER(H500)),H500,0)</f>
        <v/>
      </c>
      <c r="T500" s="67">
        <f>IF(R500=1,"",IF(B500="","Enter an invoice #",IF(C500="","Missing invoice date",IF(NOT(ISNUMBER(C500)),"Invalid date",IF(OR(C500&lt;DATE(2000,1,1),C500&gt;DATE(2099,12,31)),"Invalid date",IF(F500="","Select a revenue account",IF(ISNA(MATCH(F500,coa_Name,0)),"Unknown account: "&amp;F500,IF(NOT(ISNUMBER(G500)),"Enter an amount",IF(G500&lt;=0,"Amount must be positive",IF(S500&gt;G500,"Tax is larger than the amount",""))))))))))</f>
        <v/>
      </c>
      <c r="U500" s="67">
        <f>IF(OR(R500=1,T500&lt;&gt;""),"",IF(COUNTIF(ar_No,B500)&gt;1,"Duplicate invoice #",IF(D500="","Select a customer",IF(N(L500)&lt;0,"Overpaid by "&amp;TEXT(-L500,"#,##0.00"),IF(AND(ISNUMBER(H500),N(H500)&lt;&gt;0,S500=0),"Tax ignored (tax tracking is off)",IF(AND(ISNUMBER(StartDate),C500&lt;StartDate),"Date is before the accounting start date",IF(AND(IFERROR(INDEX(coa_Type,MATCH(F500,coa_Name,0)),"")&lt;&gt;"Revenue",IFERROR(INDEX(coa_Type,MATCH(F500,coa_Name,0)),"")&lt;&gt;"Other Income"),"Account is not a revenue account","")))))))</f>
        <v/>
      </c>
      <c r="V500" s="67">
        <f>IF(AND(R500=0,T500=""),1,0)</f>
        <v/>
      </c>
      <c r="W500" s="67">
        <f>IF(V500=1,acctAR,"")</f>
        <v/>
      </c>
      <c r="X500" s="67">
        <f>IF(V500=1,F500,"")</f>
        <v/>
      </c>
      <c r="Y500" s="68">
        <f>IF(V500=1,G500,0)</f>
        <v/>
      </c>
      <c r="Z500" s="68">
        <f>IF(V500=1,G500-S500,0)</f>
        <v/>
      </c>
      <c r="AA500" s="68">
        <f>IF(V500=1,S500,0)</f>
        <v/>
      </c>
    </row>
    <row r="501">
      <c r="B501" s="62" t="n"/>
      <c r="C501" s="63" t="n"/>
      <c r="D501" s="62" t="n"/>
      <c r="E501" s="62" t="n"/>
      <c r="F501" s="62" t="n"/>
      <c r="G501" s="64" t="n"/>
      <c r="H501" s="64" t="n"/>
      <c r="I501" s="63" t="n"/>
      <c r="J501" s="29">
        <f>IF(V501=1,IF(ISNUMBER(I501),I501,C501+IF(ISNUMBER(IFERROR(INDEX(cust_Terms,MATCH(D501,cust_Name,0)),"")),INDEX(cust_Terms,MATCH(D501,cust_Name,0)),TermsDays)),"")</f>
        <v/>
      </c>
      <c r="K501" s="65">
        <f>IF(V501=1,SUMIFS(tx_DrAmt,tx_Type,"Customer Payment",tx_Ref,B501&amp;"",tx_Date,"&lt;="&amp;AsOf),"")</f>
        <v/>
      </c>
      <c r="L501" s="65">
        <f>IF(V501=1,IF(C501&gt;AsOf,0,ROUND(G501-K501,2)),"")</f>
        <v/>
      </c>
      <c r="M501" s="66">
        <f>IF(V501&lt;&gt;1,"",IF(C501&gt;AsOf,"Future",IF(L501&lt;0,"Overpaid",IF(L501=0,"Paid",IF(AsOf&gt;J501,"Overdue",IF(K501&gt;0,"Partial","Unpaid"))))))</f>
        <v/>
      </c>
      <c r="N501" s="28">
        <f>IF(AND(V501=1,N(L501)&gt;0),AsOf-C501,"")</f>
        <v/>
      </c>
      <c r="O501" s="28">
        <f>IF(N501="","",MAX(0,AsOf-J501))</f>
        <v/>
      </c>
      <c r="P501" s="66">
        <f>IF(O501="","",IF(O501=0,"Current",IF(O501&lt;=30,"1-30",IF(O501&lt;=60,"31-60",IF(O501&lt;=90,"61-90","90+")))))</f>
        <v/>
      </c>
      <c r="Q501" s="66">
        <f>IF(T501&lt;&gt;"","⛔ "&amp;T501&amp;" — not posted",IF(U501&lt;&gt;"","⚠ "&amp;U501,IF(V501=1,"✓ OK","")))</f>
        <v/>
      </c>
      <c r="R501" s="67">
        <f>IF(AND(B501="",C501="",D501="",G501="",F501=""),1,0)</f>
        <v/>
      </c>
      <c r="S501" s="68">
        <f>IF(AND(TaxOn="Yes",ISNUMBER(H501)),H501,0)</f>
        <v/>
      </c>
      <c r="T501" s="67">
        <f>IF(R501=1,"",IF(B501="","Enter an invoice #",IF(C501="","Missing invoice date",IF(NOT(ISNUMBER(C501)),"Invalid date",IF(OR(C501&lt;DATE(2000,1,1),C501&gt;DATE(2099,12,31)),"Invalid date",IF(F501="","Select a revenue account",IF(ISNA(MATCH(F501,coa_Name,0)),"Unknown account: "&amp;F501,IF(NOT(ISNUMBER(G501)),"Enter an amount",IF(G501&lt;=0,"Amount must be positive",IF(S501&gt;G501,"Tax is larger than the amount",""))))))))))</f>
        <v/>
      </c>
      <c r="U501" s="67">
        <f>IF(OR(R501=1,T501&lt;&gt;""),"",IF(COUNTIF(ar_No,B501)&gt;1,"Duplicate invoice #",IF(D501="","Select a customer",IF(N(L501)&lt;0,"Overpaid by "&amp;TEXT(-L501,"#,##0.00"),IF(AND(ISNUMBER(H501),N(H501)&lt;&gt;0,S501=0),"Tax ignored (tax tracking is off)",IF(AND(ISNUMBER(StartDate),C501&lt;StartDate),"Date is before the accounting start date",IF(AND(IFERROR(INDEX(coa_Type,MATCH(F501,coa_Name,0)),"")&lt;&gt;"Revenue",IFERROR(INDEX(coa_Type,MATCH(F501,coa_Name,0)),"")&lt;&gt;"Other Income"),"Account is not a revenue account","")))))))</f>
        <v/>
      </c>
      <c r="V501" s="67">
        <f>IF(AND(R501=0,T501=""),1,0)</f>
        <v/>
      </c>
      <c r="W501" s="67">
        <f>IF(V501=1,acctAR,"")</f>
        <v/>
      </c>
      <c r="X501" s="67">
        <f>IF(V501=1,F501,"")</f>
        <v/>
      </c>
      <c r="Y501" s="68">
        <f>IF(V501=1,G501,0)</f>
        <v/>
      </c>
      <c r="Z501" s="68">
        <f>IF(V501=1,G501-S501,0)</f>
        <v/>
      </c>
      <c r="AA501" s="68">
        <f>IF(V501=1,S501,0)</f>
        <v/>
      </c>
    </row>
    <row r="502">
      <c r="B502" s="62" t="n"/>
      <c r="C502" s="63" t="n"/>
      <c r="D502" s="62" t="n"/>
      <c r="E502" s="62" t="n"/>
      <c r="F502" s="62" t="n"/>
      <c r="G502" s="64" t="n"/>
      <c r="H502" s="64" t="n"/>
      <c r="I502" s="63" t="n"/>
      <c r="J502" s="29">
        <f>IF(V502=1,IF(ISNUMBER(I502),I502,C502+IF(ISNUMBER(IFERROR(INDEX(cust_Terms,MATCH(D502,cust_Name,0)),"")),INDEX(cust_Terms,MATCH(D502,cust_Name,0)),TermsDays)),"")</f>
        <v/>
      </c>
      <c r="K502" s="65">
        <f>IF(V502=1,SUMIFS(tx_DrAmt,tx_Type,"Customer Payment",tx_Ref,B502&amp;"",tx_Date,"&lt;="&amp;AsOf),"")</f>
        <v/>
      </c>
      <c r="L502" s="65">
        <f>IF(V502=1,IF(C502&gt;AsOf,0,ROUND(G502-K502,2)),"")</f>
        <v/>
      </c>
      <c r="M502" s="66">
        <f>IF(V502&lt;&gt;1,"",IF(C502&gt;AsOf,"Future",IF(L502&lt;0,"Overpaid",IF(L502=0,"Paid",IF(AsOf&gt;J502,"Overdue",IF(K502&gt;0,"Partial","Unpaid"))))))</f>
        <v/>
      </c>
      <c r="N502" s="28">
        <f>IF(AND(V502=1,N(L502)&gt;0),AsOf-C502,"")</f>
        <v/>
      </c>
      <c r="O502" s="28">
        <f>IF(N502="","",MAX(0,AsOf-J502))</f>
        <v/>
      </c>
      <c r="P502" s="66">
        <f>IF(O502="","",IF(O502=0,"Current",IF(O502&lt;=30,"1-30",IF(O502&lt;=60,"31-60",IF(O502&lt;=90,"61-90","90+")))))</f>
        <v/>
      </c>
      <c r="Q502" s="66">
        <f>IF(T502&lt;&gt;"","⛔ "&amp;T502&amp;" — not posted",IF(U502&lt;&gt;"","⚠ "&amp;U502,IF(V502=1,"✓ OK","")))</f>
        <v/>
      </c>
      <c r="R502" s="67">
        <f>IF(AND(B502="",C502="",D502="",G502="",F502=""),1,0)</f>
        <v/>
      </c>
      <c r="S502" s="68">
        <f>IF(AND(TaxOn="Yes",ISNUMBER(H502)),H502,0)</f>
        <v/>
      </c>
      <c r="T502" s="67">
        <f>IF(R502=1,"",IF(B502="","Enter an invoice #",IF(C502="","Missing invoice date",IF(NOT(ISNUMBER(C502)),"Invalid date",IF(OR(C502&lt;DATE(2000,1,1),C502&gt;DATE(2099,12,31)),"Invalid date",IF(F502="","Select a revenue account",IF(ISNA(MATCH(F502,coa_Name,0)),"Unknown account: "&amp;F502,IF(NOT(ISNUMBER(G502)),"Enter an amount",IF(G502&lt;=0,"Amount must be positive",IF(S502&gt;G502,"Tax is larger than the amount",""))))))))))</f>
        <v/>
      </c>
      <c r="U502" s="67">
        <f>IF(OR(R502=1,T502&lt;&gt;""),"",IF(COUNTIF(ar_No,B502)&gt;1,"Duplicate invoice #",IF(D502="","Select a customer",IF(N(L502)&lt;0,"Overpaid by "&amp;TEXT(-L502,"#,##0.00"),IF(AND(ISNUMBER(H502),N(H502)&lt;&gt;0,S502=0),"Tax ignored (tax tracking is off)",IF(AND(ISNUMBER(StartDate),C502&lt;StartDate),"Date is before the accounting start date",IF(AND(IFERROR(INDEX(coa_Type,MATCH(F502,coa_Name,0)),"")&lt;&gt;"Revenue",IFERROR(INDEX(coa_Type,MATCH(F502,coa_Name,0)),"")&lt;&gt;"Other Income"),"Account is not a revenue account","")))))))</f>
        <v/>
      </c>
      <c r="V502" s="67">
        <f>IF(AND(R502=0,T502=""),1,0)</f>
        <v/>
      </c>
      <c r="W502" s="67">
        <f>IF(V502=1,acctAR,"")</f>
        <v/>
      </c>
      <c r="X502" s="67">
        <f>IF(V502=1,F502,"")</f>
        <v/>
      </c>
      <c r="Y502" s="68">
        <f>IF(V502=1,G502,0)</f>
        <v/>
      </c>
      <c r="Z502" s="68">
        <f>IF(V502=1,G502-S502,0)</f>
        <v/>
      </c>
      <c r="AA502" s="68">
        <f>IF(V502=1,S502,0)</f>
        <v/>
      </c>
    </row>
    <row r="503">
      <c r="B503" s="62" t="n"/>
      <c r="C503" s="63" t="n"/>
      <c r="D503" s="62" t="n"/>
      <c r="E503" s="62" t="n"/>
      <c r="F503" s="62" t="n"/>
      <c r="G503" s="64" t="n"/>
      <c r="H503" s="64" t="n"/>
      <c r="I503" s="63" t="n"/>
      <c r="J503" s="29">
        <f>IF(V503=1,IF(ISNUMBER(I503),I503,C503+IF(ISNUMBER(IFERROR(INDEX(cust_Terms,MATCH(D503,cust_Name,0)),"")),INDEX(cust_Terms,MATCH(D503,cust_Name,0)),TermsDays)),"")</f>
        <v/>
      </c>
      <c r="K503" s="65">
        <f>IF(V503=1,SUMIFS(tx_DrAmt,tx_Type,"Customer Payment",tx_Ref,B503&amp;"",tx_Date,"&lt;="&amp;AsOf),"")</f>
        <v/>
      </c>
      <c r="L503" s="65">
        <f>IF(V503=1,IF(C503&gt;AsOf,0,ROUND(G503-K503,2)),"")</f>
        <v/>
      </c>
      <c r="M503" s="66">
        <f>IF(V503&lt;&gt;1,"",IF(C503&gt;AsOf,"Future",IF(L503&lt;0,"Overpaid",IF(L503=0,"Paid",IF(AsOf&gt;J503,"Overdue",IF(K503&gt;0,"Partial","Unpaid"))))))</f>
        <v/>
      </c>
      <c r="N503" s="28">
        <f>IF(AND(V503=1,N(L503)&gt;0),AsOf-C503,"")</f>
        <v/>
      </c>
      <c r="O503" s="28">
        <f>IF(N503="","",MAX(0,AsOf-J503))</f>
        <v/>
      </c>
      <c r="P503" s="66">
        <f>IF(O503="","",IF(O503=0,"Current",IF(O503&lt;=30,"1-30",IF(O503&lt;=60,"31-60",IF(O503&lt;=90,"61-90","90+")))))</f>
        <v/>
      </c>
      <c r="Q503" s="66">
        <f>IF(T503&lt;&gt;"","⛔ "&amp;T503&amp;" — not posted",IF(U503&lt;&gt;"","⚠ "&amp;U503,IF(V503=1,"✓ OK","")))</f>
        <v/>
      </c>
      <c r="R503" s="67">
        <f>IF(AND(B503="",C503="",D503="",G503="",F503=""),1,0)</f>
        <v/>
      </c>
      <c r="S503" s="68">
        <f>IF(AND(TaxOn="Yes",ISNUMBER(H503)),H503,0)</f>
        <v/>
      </c>
      <c r="T503" s="67">
        <f>IF(R503=1,"",IF(B503="","Enter an invoice #",IF(C503="","Missing invoice date",IF(NOT(ISNUMBER(C503)),"Invalid date",IF(OR(C503&lt;DATE(2000,1,1),C503&gt;DATE(2099,12,31)),"Invalid date",IF(F503="","Select a revenue account",IF(ISNA(MATCH(F503,coa_Name,0)),"Unknown account: "&amp;F503,IF(NOT(ISNUMBER(G503)),"Enter an amount",IF(G503&lt;=0,"Amount must be positive",IF(S503&gt;G503,"Tax is larger than the amount",""))))))))))</f>
        <v/>
      </c>
      <c r="U503" s="67">
        <f>IF(OR(R503=1,T503&lt;&gt;""),"",IF(COUNTIF(ar_No,B503)&gt;1,"Duplicate invoice #",IF(D503="","Select a customer",IF(N(L503)&lt;0,"Overpaid by "&amp;TEXT(-L503,"#,##0.00"),IF(AND(ISNUMBER(H503),N(H503)&lt;&gt;0,S503=0),"Tax ignored (tax tracking is off)",IF(AND(ISNUMBER(StartDate),C503&lt;StartDate),"Date is before the accounting start date",IF(AND(IFERROR(INDEX(coa_Type,MATCH(F503,coa_Name,0)),"")&lt;&gt;"Revenue",IFERROR(INDEX(coa_Type,MATCH(F503,coa_Name,0)),"")&lt;&gt;"Other Income"),"Account is not a revenue account","")))))))</f>
        <v/>
      </c>
      <c r="V503" s="67">
        <f>IF(AND(R503=0,T503=""),1,0)</f>
        <v/>
      </c>
      <c r="W503" s="67">
        <f>IF(V503=1,acctAR,"")</f>
        <v/>
      </c>
      <c r="X503" s="67">
        <f>IF(V503=1,F503,"")</f>
        <v/>
      </c>
      <c r="Y503" s="68">
        <f>IF(V503=1,G503,0)</f>
        <v/>
      </c>
      <c r="Z503" s="68">
        <f>IF(V503=1,G503-S503,0)</f>
        <v/>
      </c>
      <c r="AA503" s="68">
        <f>IF(V503=1,S503,0)</f>
        <v/>
      </c>
    </row>
    <row r="504">
      <c r="B504" s="62" t="n"/>
      <c r="C504" s="63" t="n"/>
      <c r="D504" s="62" t="n"/>
      <c r="E504" s="62" t="n"/>
      <c r="F504" s="62" t="n"/>
      <c r="G504" s="64" t="n"/>
      <c r="H504" s="64" t="n"/>
      <c r="I504" s="63" t="n"/>
      <c r="J504" s="29">
        <f>IF(V504=1,IF(ISNUMBER(I504),I504,C504+IF(ISNUMBER(IFERROR(INDEX(cust_Terms,MATCH(D504,cust_Name,0)),"")),INDEX(cust_Terms,MATCH(D504,cust_Name,0)),TermsDays)),"")</f>
        <v/>
      </c>
      <c r="K504" s="65">
        <f>IF(V504=1,SUMIFS(tx_DrAmt,tx_Type,"Customer Payment",tx_Ref,B504&amp;"",tx_Date,"&lt;="&amp;AsOf),"")</f>
        <v/>
      </c>
      <c r="L504" s="65">
        <f>IF(V504=1,IF(C504&gt;AsOf,0,ROUND(G504-K504,2)),"")</f>
        <v/>
      </c>
      <c r="M504" s="66">
        <f>IF(V504&lt;&gt;1,"",IF(C504&gt;AsOf,"Future",IF(L504&lt;0,"Overpaid",IF(L504=0,"Paid",IF(AsOf&gt;J504,"Overdue",IF(K504&gt;0,"Partial","Unpaid"))))))</f>
        <v/>
      </c>
      <c r="N504" s="28">
        <f>IF(AND(V504=1,N(L504)&gt;0),AsOf-C504,"")</f>
        <v/>
      </c>
      <c r="O504" s="28">
        <f>IF(N504="","",MAX(0,AsOf-J504))</f>
        <v/>
      </c>
      <c r="P504" s="66">
        <f>IF(O504="","",IF(O504=0,"Current",IF(O504&lt;=30,"1-30",IF(O504&lt;=60,"31-60",IF(O504&lt;=90,"61-90","90+")))))</f>
        <v/>
      </c>
      <c r="Q504" s="66">
        <f>IF(T504&lt;&gt;"","⛔ "&amp;T504&amp;" — not posted",IF(U504&lt;&gt;"","⚠ "&amp;U504,IF(V504=1,"✓ OK","")))</f>
        <v/>
      </c>
      <c r="R504" s="67">
        <f>IF(AND(B504="",C504="",D504="",G504="",F504=""),1,0)</f>
        <v/>
      </c>
      <c r="S504" s="68">
        <f>IF(AND(TaxOn="Yes",ISNUMBER(H504)),H504,0)</f>
        <v/>
      </c>
      <c r="T504" s="67">
        <f>IF(R504=1,"",IF(B504="","Enter an invoice #",IF(C504="","Missing invoice date",IF(NOT(ISNUMBER(C504)),"Invalid date",IF(OR(C504&lt;DATE(2000,1,1),C504&gt;DATE(2099,12,31)),"Invalid date",IF(F504="","Select a revenue account",IF(ISNA(MATCH(F504,coa_Name,0)),"Unknown account: "&amp;F504,IF(NOT(ISNUMBER(G504)),"Enter an amount",IF(G504&lt;=0,"Amount must be positive",IF(S504&gt;G504,"Tax is larger than the amount",""))))))))))</f>
        <v/>
      </c>
      <c r="U504" s="67">
        <f>IF(OR(R504=1,T504&lt;&gt;""),"",IF(COUNTIF(ar_No,B504)&gt;1,"Duplicate invoice #",IF(D504="","Select a customer",IF(N(L504)&lt;0,"Overpaid by "&amp;TEXT(-L504,"#,##0.00"),IF(AND(ISNUMBER(H504),N(H504)&lt;&gt;0,S504=0),"Tax ignored (tax tracking is off)",IF(AND(ISNUMBER(StartDate),C504&lt;StartDate),"Date is before the accounting start date",IF(AND(IFERROR(INDEX(coa_Type,MATCH(F504,coa_Name,0)),"")&lt;&gt;"Revenue",IFERROR(INDEX(coa_Type,MATCH(F504,coa_Name,0)),"")&lt;&gt;"Other Income"),"Account is not a revenue account","")))))))</f>
        <v/>
      </c>
      <c r="V504" s="67">
        <f>IF(AND(R504=0,T504=""),1,0)</f>
        <v/>
      </c>
      <c r="W504" s="67">
        <f>IF(V504=1,acctAR,"")</f>
        <v/>
      </c>
      <c r="X504" s="67">
        <f>IF(V504=1,F504,"")</f>
        <v/>
      </c>
      <c r="Y504" s="68">
        <f>IF(V504=1,G504,0)</f>
        <v/>
      </c>
      <c r="Z504" s="68">
        <f>IF(V504=1,G504-S504,0)</f>
        <v/>
      </c>
      <c r="AA504" s="68">
        <f>IF(V504=1,S504,0)</f>
        <v/>
      </c>
    </row>
    <row r="505">
      <c r="B505" s="62" t="n"/>
      <c r="C505" s="63" t="n"/>
      <c r="D505" s="62" t="n"/>
      <c r="E505" s="62" t="n"/>
      <c r="F505" s="62" t="n"/>
      <c r="G505" s="64" t="n"/>
      <c r="H505" s="64" t="n"/>
      <c r="I505" s="63" t="n"/>
      <c r="J505" s="29">
        <f>IF(V505=1,IF(ISNUMBER(I505),I505,C505+IF(ISNUMBER(IFERROR(INDEX(cust_Terms,MATCH(D505,cust_Name,0)),"")),INDEX(cust_Terms,MATCH(D505,cust_Name,0)),TermsDays)),"")</f>
        <v/>
      </c>
      <c r="K505" s="65">
        <f>IF(V505=1,SUMIFS(tx_DrAmt,tx_Type,"Customer Payment",tx_Ref,B505&amp;"",tx_Date,"&lt;="&amp;AsOf),"")</f>
        <v/>
      </c>
      <c r="L505" s="65">
        <f>IF(V505=1,IF(C505&gt;AsOf,0,ROUND(G505-K505,2)),"")</f>
        <v/>
      </c>
      <c r="M505" s="66">
        <f>IF(V505&lt;&gt;1,"",IF(C505&gt;AsOf,"Future",IF(L505&lt;0,"Overpaid",IF(L505=0,"Paid",IF(AsOf&gt;J505,"Overdue",IF(K505&gt;0,"Partial","Unpaid"))))))</f>
        <v/>
      </c>
      <c r="N505" s="28">
        <f>IF(AND(V505=1,N(L505)&gt;0),AsOf-C505,"")</f>
        <v/>
      </c>
      <c r="O505" s="28">
        <f>IF(N505="","",MAX(0,AsOf-J505))</f>
        <v/>
      </c>
      <c r="P505" s="66">
        <f>IF(O505="","",IF(O505=0,"Current",IF(O505&lt;=30,"1-30",IF(O505&lt;=60,"31-60",IF(O505&lt;=90,"61-90","90+")))))</f>
        <v/>
      </c>
      <c r="Q505" s="66">
        <f>IF(T505&lt;&gt;"","⛔ "&amp;T505&amp;" — not posted",IF(U505&lt;&gt;"","⚠ "&amp;U505,IF(V505=1,"✓ OK","")))</f>
        <v/>
      </c>
      <c r="R505" s="67">
        <f>IF(AND(B505="",C505="",D505="",G505="",F505=""),1,0)</f>
        <v/>
      </c>
      <c r="S505" s="68">
        <f>IF(AND(TaxOn="Yes",ISNUMBER(H505)),H505,0)</f>
        <v/>
      </c>
      <c r="T505" s="67">
        <f>IF(R505=1,"",IF(B505="","Enter an invoice #",IF(C505="","Missing invoice date",IF(NOT(ISNUMBER(C505)),"Invalid date",IF(OR(C505&lt;DATE(2000,1,1),C505&gt;DATE(2099,12,31)),"Invalid date",IF(F505="","Select a revenue account",IF(ISNA(MATCH(F505,coa_Name,0)),"Unknown account: "&amp;F505,IF(NOT(ISNUMBER(G505)),"Enter an amount",IF(G505&lt;=0,"Amount must be positive",IF(S505&gt;G505,"Tax is larger than the amount",""))))))))))</f>
        <v/>
      </c>
      <c r="U505" s="67">
        <f>IF(OR(R505=1,T505&lt;&gt;""),"",IF(COUNTIF(ar_No,B505)&gt;1,"Duplicate invoice #",IF(D505="","Select a customer",IF(N(L505)&lt;0,"Overpaid by "&amp;TEXT(-L505,"#,##0.00"),IF(AND(ISNUMBER(H505),N(H505)&lt;&gt;0,S505=0),"Tax ignored (tax tracking is off)",IF(AND(ISNUMBER(StartDate),C505&lt;StartDate),"Date is before the accounting start date",IF(AND(IFERROR(INDEX(coa_Type,MATCH(F505,coa_Name,0)),"")&lt;&gt;"Revenue",IFERROR(INDEX(coa_Type,MATCH(F505,coa_Name,0)),"")&lt;&gt;"Other Income"),"Account is not a revenue account","")))))))</f>
        <v/>
      </c>
      <c r="V505" s="67">
        <f>IF(AND(R505=0,T505=""),1,0)</f>
        <v/>
      </c>
      <c r="W505" s="67">
        <f>IF(V505=1,acctAR,"")</f>
        <v/>
      </c>
      <c r="X505" s="67">
        <f>IF(V505=1,F505,"")</f>
        <v/>
      </c>
      <c r="Y505" s="68">
        <f>IF(V505=1,G505,0)</f>
        <v/>
      </c>
      <c r="Z505" s="68">
        <f>IF(V505=1,G505-S505,0)</f>
        <v/>
      </c>
      <c r="AA505" s="68">
        <f>IF(V505=1,S505,0)</f>
        <v/>
      </c>
    </row>
    <row r="506">
      <c r="B506" s="62" t="n"/>
      <c r="C506" s="63" t="n"/>
      <c r="D506" s="62" t="n"/>
      <c r="E506" s="62" t="n"/>
      <c r="F506" s="62" t="n"/>
      <c r="G506" s="64" t="n"/>
      <c r="H506" s="64" t="n"/>
      <c r="I506" s="63" t="n"/>
      <c r="J506" s="29">
        <f>IF(V506=1,IF(ISNUMBER(I506),I506,C506+IF(ISNUMBER(IFERROR(INDEX(cust_Terms,MATCH(D506,cust_Name,0)),"")),INDEX(cust_Terms,MATCH(D506,cust_Name,0)),TermsDays)),"")</f>
        <v/>
      </c>
      <c r="K506" s="65">
        <f>IF(V506=1,SUMIFS(tx_DrAmt,tx_Type,"Customer Payment",tx_Ref,B506&amp;"",tx_Date,"&lt;="&amp;AsOf),"")</f>
        <v/>
      </c>
      <c r="L506" s="65">
        <f>IF(V506=1,IF(C506&gt;AsOf,0,ROUND(G506-K506,2)),"")</f>
        <v/>
      </c>
      <c r="M506" s="66">
        <f>IF(V506&lt;&gt;1,"",IF(C506&gt;AsOf,"Future",IF(L506&lt;0,"Overpaid",IF(L506=0,"Paid",IF(AsOf&gt;J506,"Overdue",IF(K506&gt;0,"Partial","Unpaid"))))))</f>
        <v/>
      </c>
      <c r="N506" s="28">
        <f>IF(AND(V506=1,N(L506)&gt;0),AsOf-C506,"")</f>
        <v/>
      </c>
      <c r="O506" s="28">
        <f>IF(N506="","",MAX(0,AsOf-J506))</f>
        <v/>
      </c>
      <c r="P506" s="66">
        <f>IF(O506="","",IF(O506=0,"Current",IF(O506&lt;=30,"1-30",IF(O506&lt;=60,"31-60",IF(O506&lt;=90,"61-90","90+")))))</f>
        <v/>
      </c>
      <c r="Q506" s="66">
        <f>IF(T506&lt;&gt;"","⛔ "&amp;T506&amp;" — not posted",IF(U506&lt;&gt;"","⚠ "&amp;U506,IF(V506=1,"✓ OK","")))</f>
        <v/>
      </c>
      <c r="R506" s="67">
        <f>IF(AND(B506="",C506="",D506="",G506="",F506=""),1,0)</f>
        <v/>
      </c>
      <c r="S506" s="68">
        <f>IF(AND(TaxOn="Yes",ISNUMBER(H506)),H506,0)</f>
        <v/>
      </c>
      <c r="T506" s="67">
        <f>IF(R506=1,"",IF(B506="","Enter an invoice #",IF(C506="","Missing invoice date",IF(NOT(ISNUMBER(C506)),"Invalid date",IF(OR(C506&lt;DATE(2000,1,1),C506&gt;DATE(2099,12,31)),"Invalid date",IF(F506="","Select a revenue account",IF(ISNA(MATCH(F506,coa_Name,0)),"Unknown account: "&amp;F506,IF(NOT(ISNUMBER(G506)),"Enter an amount",IF(G506&lt;=0,"Amount must be positive",IF(S506&gt;G506,"Tax is larger than the amount",""))))))))))</f>
        <v/>
      </c>
      <c r="U506" s="67">
        <f>IF(OR(R506=1,T506&lt;&gt;""),"",IF(COUNTIF(ar_No,B506)&gt;1,"Duplicate invoice #",IF(D506="","Select a customer",IF(N(L506)&lt;0,"Overpaid by "&amp;TEXT(-L506,"#,##0.00"),IF(AND(ISNUMBER(H506),N(H506)&lt;&gt;0,S506=0),"Tax ignored (tax tracking is off)",IF(AND(ISNUMBER(StartDate),C506&lt;StartDate),"Date is before the accounting start date",IF(AND(IFERROR(INDEX(coa_Type,MATCH(F506,coa_Name,0)),"")&lt;&gt;"Revenue",IFERROR(INDEX(coa_Type,MATCH(F506,coa_Name,0)),"")&lt;&gt;"Other Income"),"Account is not a revenue account","")))))))</f>
        <v/>
      </c>
      <c r="V506" s="67">
        <f>IF(AND(R506=0,T506=""),1,0)</f>
        <v/>
      </c>
      <c r="W506" s="67">
        <f>IF(V506=1,acctAR,"")</f>
        <v/>
      </c>
      <c r="X506" s="67">
        <f>IF(V506=1,F506,"")</f>
        <v/>
      </c>
      <c r="Y506" s="68">
        <f>IF(V506=1,G506,0)</f>
        <v/>
      </c>
      <c r="Z506" s="68">
        <f>IF(V506=1,G506-S506,0)</f>
        <v/>
      </c>
      <c r="AA506" s="68">
        <f>IF(V506=1,S506,0)</f>
        <v/>
      </c>
    </row>
  </sheetData>
  <conditionalFormatting sqref="Q7:Q506">
    <cfRule type="expression" priority="1" dxfId="0">
      <formula>LEFT(Q7,1)="⛔"</formula>
    </cfRule>
    <cfRule type="expression" priority="2" dxfId="1">
      <formula>LEFT(Q7,1)="⚠"</formula>
    </cfRule>
    <cfRule type="expression" priority="3" dxfId="2">
      <formula>LEFT(Q7,1)="✓"</formula>
    </cfRule>
  </conditionalFormatting>
  <conditionalFormatting sqref="M7:M506">
    <cfRule type="expression" priority="4" dxfId="3">
      <formula>M7="Overdue"</formula>
    </cfRule>
    <cfRule type="expression" priority="5" dxfId="2">
      <formula>M7="Paid"</formula>
    </cfRule>
  </conditionalFormatting>
  <dataValidations count="6">
    <dataValidation sqref="C7:C506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I7:I506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D7:D506" showDropDown="0" showInputMessage="0" showErrorMessage="1" allowBlank="1" errorTitle="Please pick from the list" error="This value is not in the list. Add it to its master list first, or press Yes to keep it." type="list" errorStyle="warning">
      <formula1>=cust_Name</formula1>
    </dataValidation>
    <dataValidation sqref="F7:F506" showDropDown="0" showInputMessage="0" showErrorMessage="1" allowBlank="1" errorTitle="Please pick from the list" error="This value is not in the list. Add it to its master list first, or press Yes to keep it." type="list" errorStyle="warning">
      <formula1>=lstAccounts</formula1>
    </dataValidation>
    <dataValidation sqref="G7:G506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H7:H506" showDropDown="0" showInputMessage="0" showErrorMessage="1" allowBlank="1" errorTitle="Numbers only" error="Enter a number without currency symbols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2" customWidth="1" min="4" max="4"/>
    <col width="28" customWidth="1" min="5" max="5"/>
    <col width="22" customWidth="1" min="6" max="6"/>
    <col width="14" customWidth="1" min="7" max="7"/>
    <col width="11" customWidth="1" min="8" max="8"/>
    <col width="12" customWidth="1" min="9" max="9"/>
    <col width="12" customWidth="1" min="10" max="10"/>
    <col width="13" customWidth="1" min="11" max="11"/>
    <col width="13" customWidth="1" min="12" max="12"/>
    <col width="10" customWidth="1" min="13" max="13"/>
    <col width="11" customWidth="1" min="14" max="14"/>
    <col width="10" customWidth="1" min="15" max="15"/>
    <col width="10" customWidth="1" min="16" max="16"/>
    <col width="36" customWidth="1" min="17" max="17"/>
    <col hidden="1" outlineLevel="1" width="6" customWidth="1" min="18" max="27"/>
  </cols>
  <sheetData>
    <row r="1" ht="26" customHeight="1">
      <c r="B1" s="19" t="inlineStr">
        <is>
          <t>Accounts Payable — Supplier Bills</t>
        </is>
      </c>
    </row>
    <row r="2">
      <c r="B2" s="20" t="inlineStr">
        <is>
          <t>Bills you received but pay later. When you pay, record a 'Bill Payment' on Transactions with the bill # in Reference and the same vendor.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J5" s="31" t="inlineStr">
        <is>
          <t>▼ AUTOMATIC  (grey columns — calculated, do not type)</t>
        </is>
      </c>
    </row>
    <row r="6" ht="30" customHeight="1">
      <c r="B6" s="7" t="inlineStr">
        <is>
          <t>Bill #</t>
        </is>
      </c>
      <c r="C6" s="7" t="inlineStr">
        <is>
          <t>Bill Date</t>
        </is>
      </c>
      <c r="D6" s="7" t="inlineStr">
        <is>
          <t>Vendor</t>
        </is>
      </c>
      <c r="E6" s="7" t="inlineStr">
        <is>
          <t>Description</t>
        </is>
      </c>
      <c r="F6" s="7" t="inlineStr">
        <is>
          <t>Expense / Asset Account</t>
        </is>
      </c>
      <c r="G6" s="7" t="inlineStr">
        <is>
          <t>Amount (incl. tax)</t>
        </is>
      </c>
      <c r="H6" s="7" t="inlineStr">
        <is>
          <t>Tax</t>
        </is>
      </c>
      <c r="I6" s="7" t="inlineStr">
        <is>
          <t>Due Date (optional)</t>
        </is>
      </c>
      <c r="J6" s="61" t="inlineStr">
        <is>
          <t>Due Date Used</t>
        </is>
      </c>
      <c r="K6" s="61" t="inlineStr">
        <is>
          <t>Paid Amount</t>
        </is>
      </c>
      <c r="L6" s="61" t="inlineStr">
        <is>
          <t>Balance</t>
        </is>
      </c>
      <c r="M6" s="61" t="inlineStr">
        <is>
          <t>Status</t>
        </is>
      </c>
      <c r="N6" s="61" t="inlineStr">
        <is>
          <t>Days Outstanding</t>
        </is>
      </c>
      <c r="O6" s="61" t="inlineStr">
        <is>
          <t>Days Overdue</t>
        </is>
      </c>
      <c r="P6" s="61" t="inlineStr">
        <is>
          <t>Aging Bucket</t>
        </is>
      </c>
      <c r="Q6" s="61" t="inlineStr">
        <is>
          <t>Check</t>
        </is>
      </c>
      <c r="R6" s="61" t="inlineStr">
        <is>
          <t>Blank?</t>
        </is>
      </c>
      <c r="S6" s="61" t="inlineStr">
        <is>
          <t>Tax used</t>
        </is>
      </c>
      <c r="T6" s="61" t="inlineStr">
        <is>
          <t>Error</t>
        </is>
      </c>
      <c r="U6" s="61" t="inlineStr">
        <is>
          <t>Warning</t>
        </is>
      </c>
      <c r="V6" s="61" t="inlineStr">
        <is>
          <t>Posted</t>
        </is>
      </c>
      <c r="W6" s="61" t="inlineStr">
        <is>
          <t>Debit Account</t>
        </is>
      </c>
      <c r="X6" s="61" t="inlineStr">
        <is>
          <t>Credit Account</t>
        </is>
      </c>
      <c r="Y6" s="61" t="inlineStr">
        <is>
          <t>Debit Amt</t>
        </is>
      </c>
      <c r="Z6" s="61" t="inlineStr">
        <is>
          <t>Credit Amt</t>
        </is>
      </c>
      <c r="AA6" s="61" t="inlineStr">
        <is>
          <t>Tax Amt</t>
        </is>
      </c>
    </row>
    <row r="7">
      <c r="B7" s="62" t="inlineStr">
        <is>
          <t>GO-011</t>
        </is>
      </c>
      <c r="C7" s="63" t="n">
        <v>46027</v>
      </c>
      <c r="D7" s="62" t="inlineStr">
        <is>
          <t>Golden Grain Flour Mill</t>
        </is>
      </c>
      <c r="E7" s="62" t="inlineStr">
        <is>
          <t>Ingredients delivery</t>
        </is>
      </c>
      <c r="F7" s="62" t="inlineStr">
        <is>
          <t>Direct Materials</t>
        </is>
      </c>
      <c r="G7" s="64" t="n">
        <v>44768.62</v>
      </c>
      <c r="H7" s="64" t="n">
        <v>4796.64</v>
      </c>
      <c r="I7" s="63" t="n"/>
      <c r="J7" s="29">
        <f>IF(V7=1,IF(ISNUMBER(I7),I7,C7+IF(ISNUMBER(IFERROR(INDEX(vend_Terms,MATCH(D7,vend_Name,0)),"")),INDEX(vend_Terms,MATCH(D7,vend_Name,0)),TermsDays)),"")</f>
        <v/>
      </c>
      <c r="K7" s="65">
        <f>IF(V7=1,SUMIFS(tx_CrAmt,tx_Type,"Bill Payment",tx_Ref,B7&amp;"",tx_Vend,D7,tx_Date,"&lt;="&amp;AsOf),"")</f>
        <v/>
      </c>
      <c r="L7" s="65">
        <f>IF(V7=1,IF(C7&gt;AsOf,0,ROUND(G7-K7,2)),"")</f>
        <v/>
      </c>
      <c r="M7" s="66">
        <f>IF(V7&lt;&gt;1,"",IF(C7&gt;AsOf,"Future",IF(L7&lt;0,"Overpaid",IF(L7=0,"Paid",IF(AsOf&gt;J7,"Overdue",IF(K7&gt;0,"Partial","Unpaid"))))))</f>
        <v/>
      </c>
      <c r="N7" s="28">
        <f>IF(AND(V7=1,N(L7)&gt;0),AsOf-C7,"")</f>
        <v/>
      </c>
      <c r="O7" s="28">
        <f>IF(N7="","",MAX(0,AsOf-J7))</f>
        <v/>
      </c>
      <c r="P7" s="66">
        <f>IF(O7="","",IF(O7=0,"Current",IF(O7&lt;=30,"1-30",IF(O7&lt;=60,"31-60",IF(O7&lt;=90,"61-90","90+")))))</f>
        <v/>
      </c>
      <c r="Q7" s="66">
        <f>IF(T7&lt;&gt;"","⛔ "&amp;T7&amp;" — not posted",IF(U7&lt;&gt;"","⚠ "&amp;U7,IF(V7=1,"✓ OK","")))</f>
        <v/>
      </c>
      <c r="R7" s="67">
        <f>IF(AND(B7="",C7="",D7="",G7="",F7=""),1,0)</f>
        <v/>
      </c>
      <c r="S7" s="68">
        <f>IF(AND(TaxOn="Yes",ISNUMBER(H7)),H7,0)</f>
        <v/>
      </c>
      <c r="T7" s="67">
        <f>IF(R7=1,"",IF(B7="","Enter a bill #",IF(D7="","Select a vendor",IF(C7="","Missing bill date",IF(NOT(ISNUMBER(C7)),"Invalid date",IF(OR(C7&lt;DATE(2000,1,1),C7&gt;DATE(2099,12,31)),"Invalid date",IF(F7="","Select an expense account",IF(ISNA(MATCH(F7,coa_Name,0)),"Unknown account: "&amp;F7,IF(NOT(ISNUMBER(G7)),"Enter an amount",IF(G7&lt;=0,"Amount must be positive",IF(S7&gt;G7,"Tax is larger than the amount","")))))))))))</f>
        <v/>
      </c>
      <c r="U7" s="67">
        <f>IF(OR(R7=1,T7&lt;&gt;""),"",IF(COUNTIFS(ap_No,B7,ap_Party,D7)&gt;1,"Duplicate bill #",IF(N(L7)&lt;0,"Overpaid by "&amp;TEXT(-L7,"#,##0.00"),IF(AND(ISNUMBER(H7),N(H7)&lt;&gt;0,S7=0),"Tax ignored (tax tracking is off)",IF(AND(ISNUMBER(StartDate),C7&lt;StartDate),"Date is before the accounting start date",IF(OR(IFERROR(INDEX(coa_Type,MATCH(F7,coa_Name,0)),"")="Revenue",IFERROR(INDEX(coa_Type,MATCH(F7,coa_Name,0)),"")="Other Income",IFERROR(INDEX(coa_Type,MATCH(F7,coa_Name,0)),"")="Equity"),"Account is not an expense or asset account",""))))))</f>
        <v/>
      </c>
      <c r="V7" s="67">
        <f>IF(AND(R7=0,T7=""),1,0)</f>
        <v/>
      </c>
      <c r="W7" s="67">
        <f>IF(V7=1,F7,"")</f>
        <v/>
      </c>
      <c r="X7" s="67">
        <f>IF(V7=1,acctAP,"")</f>
        <v/>
      </c>
      <c r="Y7" s="68">
        <f>IF(V7=1,G7-S7,0)</f>
        <v/>
      </c>
      <c r="Z7" s="68">
        <f>IF(V7=1,G7,0)</f>
        <v/>
      </c>
      <c r="AA7" s="68">
        <f>IF(V7=1,S7,0)</f>
        <v/>
      </c>
    </row>
    <row r="8">
      <c r="B8" s="62" t="inlineStr">
        <is>
          <t>GO-012</t>
        </is>
      </c>
      <c r="C8" s="63" t="n">
        <v>46038</v>
      </c>
      <c r="D8" s="62" t="inlineStr">
        <is>
          <t>Golden Grain Flour Mill</t>
        </is>
      </c>
      <c r="E8" s="62" t="inlineStr">
        <is>
          <t>Ingredients delivery</t>
        </is>
      </c>
      <c r="F8" s="62" t="inlineStr">
        <is>
          <t>Direct Materials</t>
        </is>
      </c>
      <c r="G8" s="64" t="n">
        <v>40022.39</v>
      </c>
      <c r="H8" s="64" t="n">
        <v>4288.11</v>
      </c>
      <c r="I8" s="63" t="n"/>
      <c r="J8" s="29">
        <f>IF(V8=1,IF(ISNUMBER(I8),I8,C8+IF(ISNUMBER(IFERROR(INDEX(vend_Terms,MATCH(D8,vend_Name,0)),"")),INDEX(vend_Terms,MATCH(D8,vend_Name,0)),TermsDays)),"")</f>
        <v/>
      </c>
      <c r="K8" s="65">
        <f>IF(V8=1,SUMIFS(tx_CrAmt,tx_Type,"Bill Payment",tx_Ref,B8&amp;"",tx_Vend,D8,tx_Date,"&lt;="&amp;AsOf),"")</f>
        <v/>
      </c>
      <c r="L8" s="65">
        <f>IF(V8=1,IF(C8&gt;AsOf,0,ROUND(G8-K8,2)),"")</f>
        <v/>
      </c>
      <c r="M8" s="66">
        <f>IF(V8&lt;&gt;1,"",IF(C8&gt;AsOf,"Future",IF(L8&lt;0,"Overpaid",IF(L8=0,"Paid",IF(AsOf&gt;J8,"Overdue",IF(K8&gt;0,"Partial","Unpaid"))))))</f>
        <v/>
      </c>
      <c r="N8" s="28">
        <f>IF(AND(V8=1,N(L8)&gt;0),AsOf-C8,"")</f>
        <v/>
      </c>
      <c r="O8" s="28">
        <f>IF(N8="","",MAX(0,AsOf-J8))</f>
        <v/>
      </c>
      <c r="P8" s="66">
        <f>IF(O8="","",IF(O8=0,"Current",IF(O8&lt;=30,"1-30",IF(O8&lt;=60,"31-60",IF(O8&lt;=90,"61-90","90+")))))</f>
        <v/>
      </c>
      <c r="Q8" s="66">
        <f>IF(T8&lt;&gt;"","⛔ "&amp;T8&amp;" — not posted",IF(U8&lt;&gt;"","⚠ "&amp;U8,IF(V8=1,"✓ OK","")))</f>
        <v/>
      </c>
      <c r="R8" s="67">
        <f>IF(AND(B8="",C8="",D8="",G8="",F8=""),1,0)</f>
        <v/>
      </c>
      <c r="S8" s="68">
        <f>IF(AND(TaxOn="Yes",ISNUMBER(H8)),H8,0)</f>
        <v/>
      </c>
      <c r="T8" s="67">
        <f>IF(R8=1,"",IF(B8="","Enter a bill #",IF(D8="","Select a vendor",IF(C8="","Missing bill date",IF(NOT(ISNUMBER(C8)),"Invalid date",IF(OR(C8&lt;DATE(2000,1,1),C8&gt;DATE(2099,12,31)),"Invalid date",IF(F8="","Select an expense account",IF(ISNA(MATCH(F8,coa_Name,0)),"Unknown account: "&amp;F8,IF(NOT(ISNUMBER(G8)),"Enter an amount",IF(G8&lt;=0,"Amount must be positive",IF(S8&gt;G8,"Tax is larger than the amount","")))))))))))</f>
        <v/>
      </c>
      <c r="U8" s="67">
        <f>IF(OR(R8=1,T8&lt;&gt;""),"",IF(COUNTIFS(ap_No,B8,ap_Party,D8)&gt;1,"Duplicate bill #",IF(N(L8)&lt;0,"Overpaid by "&amp;TEXT(-L8,"#,##0.00"),IF(AND(ISNUMBER(H8),N(H8)&lt;&gt;0,S8=0),"Tax ignored (tax tracking is off)",IF(AND(ISNUMBER(StartDate),C8&lt;StartDate),"Date is before the accounting start date",IF(OR(IFERROR(INDEX(coa_Type,MATCH(F8,coa_Name,0)),"")="Revenue",IFERROR(INDEX(coa_Type,MATCH(F8,coa_Name,0)),"")="Other Income",IFERROR(INDEX(coa_Type,MATCH(F8,coa_Name,0)),"")="Equity"),"Account is not an expense or asset account",""))))))</f>
        <v/>
      </c>
      <c r="V8" s="67">
        <f>IF(AND(R8=0,T8=""),1,0)</f>
        <v/>
      </c>
      <c r="W8" s="67">
        <f>IF(V8=1,F8,"")</f>
        <v/>
      </c>
      <c r="X8" s="67">
        <f>IF(V8=1,acctAP,"")</f>
        <v/>
      </c>
      <c r="Y8" s="68">
        <f>IF(V8=1,G8-S8,0)</f>
        <v/>
      </c>
      <c r="Z8" s="68">
        <f>IF(V8=1,G8,0)</f>
        <v/>
      </c>
      <c r="AA8" s="68">
        <f>IF(V8=1,S8,0)</f>
        <v/>
      </c>
    </row>
    <row r="9">
      <c r="B9" s="62" t="inlineStr">
        <is>
          <t>FR-011</t>
        </is>
      </c>
      <c r="C9" s="63" t="n">
        <v>46028</v>
      </c>
      <c r="D9" s="62" t="inlineStr">
        <is>
          <t>Fresh Dairy Co.</t>
        </is>
      </c>
      <c r="E9" s="62" t="inlineStr">
        <is>
          <t>Ingredients delivery</t>
        </is>
      </c>
      <c r="F9" s="62" t="inlineStr">
        <is>
          <t>Direct Materials</t>
        </is>
      </c>
      <c r="G9" s="64" t="n">
        <v>18464.42</v>
      </c>
      <c r="H9" s="64" t="n">
        <v>1978.33</v>
      </c>
      <c r="I9" s="63" t="n"/>
      <c r="J9" s="29">
        <f>IF(V9=1,IF(ISNUMBER(I9),I9,C9+IF(ISNUMBER(IFERROR(INDEX(vend_Terms,MATCH(D9,vend_Name,0)),"")),INDEX(vend_Terms,MATCH(D9,vend_Name,0)),TermsDays)),"")</f>
        <v/>
      </c>
      <c r="K9" s="65">
        <f>IF(V9=1,SUMIFS(tx_CrAmt,tx_Type,"Bill Payment",tx_Ref,B9&amp;"",tx_Vend,D9,tx_Date,"&lt;="&amp;AsOf),"")</f>
        <v/>
      </c>
      <c r="L9" s="65">
        <f>IF(V9=1,IF(C9&gt;AsOf,0,ROUND(G9-K9,2)),"")</f>
        <v/>
      </c>
      <c r="M9" s="66">
        <f>IF(V9&lt;&gt;1,"",IF(C9&gt;AsOf,"Future",IF(L9&lt;0,"Overpaid",IF(L9=0,"Paid",IF(AsOf&gt;J9,"Overdue",IF(K9&gt;0,"Partial","Unpaid"))))))</f>
        <v/>
      </c>
      <c r="N9" s="28">
        <f>IF(AND(V9=1,N(L9)&gt;0),AsOf-C9,"")</f>
        <v/>
      </c>
      <c r="O9" s="28">
        <f>IF(N9="","",MAX(0,AsOf-J9))</f>
        <v/>
      </c>
      <c r="P9" s="66">
        <f>IF(O9="","",IF(O9=0,"Current",IF(O9&lt;=30,"1-30",IF(O9&lt;=60,"31-60",IF(O9&lt;=90,"61-90","90+")))))</f>
        <v/>
      </c>
      <c r="Q9" s="66">
        <f>IF(T9&lt;&gt;"","⛔ "&amp;T9&amp;" — not posted",IF(U9&lt;&gt;"","⚠ "&amp;U9,IF(V9=1,"✓ OK","")))</f>
        <v/>
      </c>
      <c r="R9" s="67">
        <f>IF(AND(B9="",C9="",D9="",G9="",F9=""),1,0)</f>
        <v/>
      </c>
      <c r="S9" s="68">
        <f>IF(AND(TaxOn="Yes",ISNUMBER(H9)),H9,0)</f>
        <v/>
      </c>
      <c r="T9" s="67">
        <f>IF(R9=1,"",IF(B9="","Enter a bill #",IF(D9="","Select a vendor",IF(C9="","Missing bill date",IF(NOT(ISNUMBER(C9)),"Invalid date",IF(OR(C9&lt;DATE(2000,1,1),C9&gt;DATE(2099,12,31)),"Invalid date",IF(F9="","Select an expense account",IF(ISNA(MATCH(F9,coa_Name,0)),"Unknown account: "&amp;F9,IF(NOT(ISNUMBER(G9)),"Enter an amount",IF(G9&lt;=0,"Amount must be positive",IF(S9&gt;G9,"Tax is larger than the amount","")))))))))))</f>
        <v/>
      </c>
      <c r="U9" s="67">
        <f>IF(OR(R9=1,T9&lt;&gt;""),"",IF(COUNTIFS(ap_No,B9,ap_Party,D9)&gt;1,"Duplicate bill #",IF(N(L9)&lt;0,"Overpaid by "&amp;TEXT(-L9,"#,##0.00"),IF(AND(ISNUMBER(H9),N(H9)&lt;&gt;0,S9=0),"Tax ignored (tax tracking is off)",IF(AND(ISNUMBER(StartDate),C9&lt;StartDate),"Date is before the accounting start date",IF(OR(IFERROR(INDEX(coa_Type,MATCH(F9,coa_Name,0)),"")="Revenue",IFERROR(INDEX(coa_Type,MATCH(F9,coa_Name,0)),"")="Other Income",IFERROR(INDEX(coa_Type,MATCH(F9,coa_Name,0)),"")="Equity"),"Account is not an expense or asset account",""))))))</f>
        <v/>
      </c>
      <c r="V9" s="67">
        <f>IF(AND(R9=0,T9=""),1,0)</f>
        <v/>
      </c>
      <c r="W9" s="67">
        <f>IF(V9=1,F9,"")</f>
        <v/>
      </c>
      <c r="X9" s="67">
        <f>IF(V9=1,acctAP,"")</f>
        <v/>
      </c>
      <c r="Y9" s="68">
        <f>IF(V9=1,G9-S9,0)</f>
        <v/>
      </c>
      <c r="Z9" s="68">
        <f>IF(V9=1,G9,0)</f>
        <v/>
      </c>
      <c r="AA9" s="68">
        <f>IF(V9=1,S9,0)</f>
        <v/>
      </c>
    </row>
    <row r="10">
      <c r="B10" s="62" t="inlineStr">
        <is>
          <t>FR-012</t>
        </is>
      </c>
      <c r="C10" s="63" t="n">
        <v>46038</v>
      </c>
      <c r="D10" s="62" t="inlineStr">
        <is>
          <t>Fresh Dairy Co.</t>
        </is>
      </c>
      <c r="E10" s="62" t="inlineStr">
        <is>
          <t>Ingredients delivery</t>
        </is>
      </c>
      <c r="F10" s="62" t="inlineStr">
        <is>
          <t>Direct Materials</t>
        </is>
      </c>
      <c r="G10" s="64" t="n">
        <v>18581.84</v>
      </c>
      <c r="H10" s="64" t="n">
        <v>1990.91</v>
      </c>
      <c r="I10" s="63" t="n"/>
      <c r="J10" s="29">
        <f>IF(V10=1,IF(ISNUMBER(I10),I10,C10+IF(ISNUMBER(IFERROR(INDEX(vend_Terms,MATCH(D10,vend_Name,0)),"")),INDEX(vend_Terms,MATCH(D10,vend_Name,0)),TermsDays)),"")</f>
        <v/>
      </c>
      <c r="K10" s="65">
        <f>IF(V10=1,SUMIFS(tx_CrAmt,tx_Type,"Bill Payment",tx_Ref,B10&amp;"",tx_Vend,D10,tx_Date,"&lt;="&amp;AsOf),"")</f>
        <v/>
      </c>
      <c r="L10" s="65">
        <f>IF(V10=1,IF(C10&gt;AsOf,0,ROUND(G10-K10,2)),"")</f>
        <v/>
      </c>
      <c r="M10" s="66">
        <f>IF(V10&lt;&gt;1,"",IF(C10&gt;AsOf,"Future",IF(L10&lt;0,"Overpaid",IF(L10=0,"Paid",IF(AsOf&gt;J10,"Overdue",IF(K10&gt;0,"Partial","Unpaid"))))))</f>
        <v/>
      </c>
      <c r="N10" s="28">
        <f>IF(AND(V10=1,N(L10)&gt;0),AsOf-C10,"")</f>
        <v/>
      </c>
      <c r="O10" s="28">
        <f>IF(N10="","",MAX(0,AsOf-J10))</f>
        <v/>
      </c>
      <c r="P10" s="66">
        <f>IF(O10="","",IF(O10=0,"Current",IF(O10&lt;=30,"1-30",IF(O10&lt;=60,"31-60",IF(O10&lt;=90,"61-90","90+")))))</f>
        <v/>
      </c>
      <c r="Q10" s="66">
        <f>IF(T10&lt;&gt;"","⛔ "&amp;T10&amp;" — not posted",IF(U10&lt;&gt;"","⚠ "&amp;U10,IF(V10=1,"✓ OK","")))</f>
        <v/>
      </c>
      <c r="R10" s="67">
        <f>IF(AND(B10="",C10="",D10="",G10="",F10=""),1,0)</f>
        <v/>
      </c>
      <c r="S10" s="68">
        <f>IF(AND(TaxOn="Yes",ISNUMBER(H10)),H10,0)</f>
        <v/>
      </c>
      <c r="T10" s="67">
        <f>IF(R10=1,"",IF(B10="","Enter a bill #",IF(D10="","Select a vendor",IF(C10="","Missing bill date",IF(NOT(ISNUMBER(C10)),"Invalid date",IF(OR(C10&lt;DATE(2000,1,1),C10&gt;DATE(2099,12,31)),"Invalid date",IF(F10="","Select an expense account",IF(ISNA(MATCH(F10,coa_Name,0)),"Unknown account: "&amp;F10,IF(NOT(ISNUMBER(G10)),"Enter an amount",IF(G10&lt;=0,"Amount must be positive",IF(S10&gt;G10,"Tax is larger than the amount","")))))))))))</f>
        <v/>
      </c>
      <c r="U10" s="67">
        <f>IF(OR(R10=1,T10&lt;&gt;""),"",IF(COUNTIFS(ap_No,B10,ap_Party,D10)&gt;1,"Duplicate bill #",IF(N(L10)&lt;0,"Overpaid by "&amp;TEXT(-L10,"#,##0.00"),IF(AND(ISNUMBER(H10),N(H10)&lt;&gt;0,S10=0),"Tax ignored (tax tracking is off)",IF(AND(ISNUMBER(StartDate),C10&lt;StartDate),"Date is before the accounting start date",IF(OR(IFERROR(INDEX(coa_Type,MATCH(F10,coa_Name,0)),"")="Revenue",IFERROR(INDEX(coa_Type,MATCH(F10,coa_Name,0)),"")="Other Income",IFERROR(INDEX(coa_Type,MATCH(F10,coa_Name,0)),"")="Equity"),"Account is not an expense or asset account",""))))))</f>
        <v/>
      </c>
      <c r="V10" s="67">
        <f>IF(AND(R10=0,T10=""),1,0)</f>
        <v/>
      </c>
      <c r="W10" s="67">
        <f>IF(V10=1,F10,"")</f>
        <v/>
      </c>
      <c r="X10" s="67">
        <f>IF(V10=1,acctAP,"")</f>
        <v/>
      </c>
      <c r="Y10" s="68">
        <f>IF(V10=1,G10-S10,0)</f>
        <v/>
      </c>
      <c r="Z10" s="68">
        <f>IF(V10=1,G10,0)</f>
        <v/>
      </c>
      <c r="AA10" s="68">
        <f>IF(V10=1,S10,0)</f>
        <v/>
      </c>
    </row>
    <row r="11">
      <c r="B11" s="62" t="inlineStr">
        <is>
          <t>PA-011</t>
        </is>
      </c>
      <c r="C11" s="63" t="n">
        <v>46028</v>
      </c>
      <c r="D11" s="62" t="inlineStr">
        <is>
          <t>PackRight Supplies</t>
        </is>
      </c>
      <c r="E11" s="62" t="inlineStr">
        <is>
          <t>Packaging</t>
        </is>
      </c>
      <c r="F11" s="62" t="inlineStr">
        <is>
          <t>Other Direct Costs</t>
        </is>
      </c>
      <c r="G11" s="64" t="n">
        <v>9618.83</v>
      </c>
      <c r="H11" s="64" t="n">
        <v>1030.59</v>
      </c>
      <c r="I11" s="63" t="n"/>
      <c r="J11" s="29">
        <f>IF(V11=1,IF(ISNUMBER(I11),I11,C11+IF(ISNUMBER(IFERROR(INDEX(vend_Terms,MATCH(D11,vend_Name,0)),"")),INDEX(vend_Terms,MATCH(D11,vend_Name,0)),TermsDays)),"")</f>
        <v/>
      </c>
      <c r="K11" s="65">
        <f>IF(V11=1,SUMIFS(tx_CrAmt,tx_Type,"Bill Payment",tx_Ref,B11&amp;"",tx_Vend,D11,tx_Date,"&lt;="&amp;AsOf),"")</f>
        <v/>
      </c>
      <c r="L11" s="65">
        <f>IF(V11=1,IF(C11&gt;AsOf,0,ROUND(G11-K11,2)),"")</f>
        <v/>
      </c>
      <c r="M11" s="66">
        <f>IF(V11&lt;&gt;1,"",IF(C11&gt;AsOf,"Future",IF(L11&lt;0,"Overpaid",IF(L11=0,"Paid",IF(AsOf&gt;J11,"Overdue",IF(K11&gt;0,"Partial","Unpaid"))))))</f>
        <v/>
      </c>
      <c r="N11" s="28">
        <f>IF(AND(V11=1,N(L11)&gt;0),AsOf-C11,"")</f>
        <v/>
      </c>
      <c r="O11" s="28">
        <f>IF(N11="","",MAX(0,AsOf-J11))</f>
        <v/>
      </c>
      <c r="P11" s="66">
        <f>IF(O11="","",IF(O11=0,"Current",IF(O11&lt;=30,"1-30",IF(O11&lt;=60,"31-60",IF(O11&lt;=90,"61-90","90+")))))</f>
        <v/>
      </c>
      <c r="Q11" s="66">
        <f>IF(T11&lt;&gt;"","⛔ "&amp;T11&amp;" — not posted",IF(U11&lt;&gt;"","⚠ "&amp;U11,IF(V11=1,"✓ OK","")))</f>
        <v/>
      </c>
      <c r="R11" s="67">
        <f>IF(AND(B11="",C11="",D11="",G11="",F11=""),1,0)</f>
        <v/>
      </c>
      <c r="S11" s="68">
        <f>IF(AND(TaxOn="Yes",ISNUMBER(H11)),H11,0)</f>
        <v/>
      </c>
      <c r="T11" s="67">
        <f>IF(R11=1,"",IF(B11="","Enter a bill #",IF(D11="","Select a vendor",IF(C11="","Missing bill date",IF(NOT(ISNUMBER(C11)),"Invalid date",IF(OR(C11&lt;DATE(2000,1,1),C11&gt;DATE(2099,12,31)),"Invalid date",IF(F11="","Select an expense account",IF(ISNA(MATCH(F11,coa_Name,0)),"Unknown account: "&amp;F11,IF(NOT(ISNUMBER(G11)),"Enter an amount",IF(G11&lt;=0,"Amount must be positive",IF(S11&gt;G11,"Tax is larger than the amount","")))))))))))</f>
        <v/>
      </c>
      <c r="U11" s="67">
        <f>IF(OR(R11=1,T11&lt;&gt;""),"",IF(COUNTIFS(ap_No,B11,ap_Party,D11)&gt;1,"Duplicate bill #",IF(N(L11)&lt;0,"Overpaid by "&amp;TEXT(-L11,"#,##0.00"),IF(AND(ISNUMBER(H11),N(H11)&lt;&gt;0,S11=0),"Tax ignored (tax tracking is off)",IF(AND(ISNUMBER(StartDate),C11&lt;StartDate),"Date is before the accounting start date",IF(OR(IFERROR(INDEX(coa_Type,MATCH(F11,coa_Name,0)),"")="Revenue",IFERROR(INDEX(coa_Type,MATCH(F11,coa_Name,0)),"")="Other Income",IFERROR(INDEX(coa_Type,MATCH(F11,coa_Name,0)),"")="Equity"),"Account is not an expense or asset account",""))))))</f>
        <v/>
      </c>
      <c r="V11" s="67">
        <f>IF(AND(R11=0,T11=""),1,0)</f>
        <v/>
      </c>
      <c r="W11" s="67">
        <f>IF(V11=1,F11,"")</f>
        <v/>
      </c>
      <c r="X11" s="67">
        <f>IF(V11=1,acctAP,"")</f>
        <v/>
      </c>
      <c r="Y11" s="68">
        <f>IF(V11=1,G11-S11,0)</f>
        <v/>
      </c>
      <c r="Z11" s="68">
        <f>IF(V11=1,G11,0)</f>
        <v/>
      </c>
      <c r="AA11" s="68">
        <f>IF(V11=1,S11,0)</f>
        <v/>
      </c>
    </row>
    <row r="12">
      <c r="B12" s="62" t="inlineStr">
        <is>
          <t>GO-021</t>
        </is>
      </c>
      <c r="C12" s="63" t="n">
        <v>46056</v>
      </c>
      <c r="D12" s="62" t="inlineStr">
        <is>
          <t>Golden Grain Flour Mill</t>
        </is>
      </c>
      <c r="E12" s="62" t="inlineStr">
        <is>
          <t>Ingredients delivery</t>
        </is>
      </c>
      <c r="F12" s="62" t="inlineStr">
        <is>
          <t>Direct Materials</t>
        </is>
      </c>
      <c r="G12" s="64" t="n">
        <v>33454.88</v>
      </c>
      <c r="H12" s="64" t="n">
        <v>3584.45</v>
      </c>
      <c r="I12" s="63" t="n"/>
      <c r="J12" s="29">
        <f>IF(V12=1,IF(ISNUMBER(I12),I12,C12+IF(ISNUMBER(IFERROR(INDEX(vend_Terms,MATCH(D12,vend_Name,0)),"")),INDEX(vend_Terms,MATCH(D12,vend_Name,0)),TermsDays)),"")</f>
        <v/>
      </c>
      <c r="K12" s="65">
        <f>IF(V12=1,SUMIFS(tx_CrAmt,tx_Type,"Bill Payment",tx_Ref,B12&amp;"",tx_Vend,D12,tx_Date,"&lt;="&amp;AsOf),"")</f>
        <v/>
      </c>
      <c r="L12" s="65">
        <f>IF(V12=1,IF(C12&gt;AsOf,0,ROUND(G12-K12,2)),"")</f>
        <v/>
      </c>
      <c r="M12" s="66">
        <f>IF(V12&lt;&gt;1,"",IF(C12&gt;AsOf,"Future",IF(L12&lt;0,"Overpaid",IF(L12=0,"Paid",IF(AsOf&gt;J12,"Overdue",IF(K12&gt;0,"Partial","Unpaid"))))))</f>
        <v/>
      </c>
      <c r="N12" s="28">
        <f>IF(AND(V12=1,N(L12)&gt;0),AsOf-C12,"")</f>
        <v/>
      </c>
      <c r="O12" s="28">
        <f>IF(N12="","",MAX(0,AsOf-J12))</f>
        <v/>
      </c>
      <c r="P12" s="66">
        <f>IF(O12="","",IF(O12=0,"Current",IF(O12&lt;=30,"1-30",IF(O12&lt;=60,"31-60",IF(O12&lt;=90,"61-90","90+")))))</f>
        <v/>
      </c>
      <c r="Q12" s="66">
        <f>IF(T12&lt;&gt;"","⛔ "&amp;T12&amp;" — not posted",IF(U12&lt;&gt;"","⚠ "&amp;U12,IF(V12=1,"✓ OK","")))</f>
        <v/>
      </c>
      <c r="R12" s="67">
        <f>IF(AND(B12="",C12="",D12="",G12="",F12=""),1,0)</f>
        <v/>
      </c>
      <c r="S12" s="68">
        <f>IF(AND(TaxOn="Yes",ISNUMBER(H12)),H12,0)</f>
        <v/>
      </c>
      <c r="T12" s="67">
        <f>IF(R12=1,"",IF(B12="","Enter a bill #",IF(D12="","Select a vendor",IF(C12="","Missing bill date",IF(NOT(ISNUMBER(C12)),"Invalid date",IF(OR(C12&lt;DATE(2000,1,1),C12&gt;DATE(2099,12,31)),"Invalid date",IF(F12="","Select an expense account",IF(ISNA(MATCH(F12,coa_Name,0)),"Unknown account: "&amp;F12,IF(NOT(ISNUMBER(G12)),"Enter an amount",IF(G12&lt;=0,"Amount must be positive",IF(S12&gt;G12,"Tax is larger than the amount","")))))))))))</f>
        <v/>
      </c>
      <c r="U12" s="67">
        <f>IF(OR(R12=1,T12&lt;&gt;""),"",IF(COUNTIFS(ap_No,B12,ap_Party,D12)&gt;1,"Duplicate bill #",IF(N(L12)&lt;0,"Overpaid by "&amp;TEXT(-L12,"#,##0.00"),IF(AND(ISNUMBER(H12),N(H12)&lt;&gt;0,S12=0),"Tax ignored (tax tracking is off)",IF(AND(ISNUMBER(StartDate),C12&lt;StartDate),"Date is before the accounting start date",IF(OR(IFERROR(INDEX(coa_Type,MATCH(F12,coa_Name,0)),"")="Revenue",IFERROR(INDEX(coa_Type,MATCH(F12,coa_Name,0)),"")="Other Income",IFERROR(INDEX(coa_Type,MATCH(F12,coa_Name,0)),"")="Equity"),"Account is not an expense or asset account",""))))))</f>
        <v/>
      </c>
      <c r="V12" s="67">
        <f>IF(AND(R12=0,T12=""),1,0)</f>
        <v/>
      </c>
      <c r="W12" s="67">
        <f>IF(V12=1,F12,"")</f>
        <v/>
      </c>
      <c r="X12" s="67">
        <f>IF(V12=1,acctAP,"")</f>
        <v/>
      </c>
      <c r="Y12" s="68">
        <f>IF(V12=1,G12-S12,0)</f>
        <v/>
      </c>
      <c r="Z12" s="68">
        <f>IF(V12=1,G12,0)</f>
        <v/>
      </c>
      <c r="AA12" s="68">
        <f>IF(V12=1,S12,0)</f>
        <v/>
      </c>
    </row>
    <row r="13">
      <c r="B13" s="62" t="inlineStr">
        <is>
          <t>GO-022</t>
        </is>
      </c>
      <c r="C13" s="63" t="n">
        <v>46072</v>
      </c>
      <c r="D13" s="62" t="inlineStr">
        <is>
          <t>Golden Grain Flour Mill</t>
        </is>
      </c>
      <c r="E13" s="62" t="inlineStr">
        <is>
          <t>Ingredients delivery</t>
        </is>
      </c>
      <c r="F13" s="62" t="inlineStr">
        <is>
          <t>Direct Materials</t>
        </is>
      </c>
      <c r="G13" s="64" t="n">
        <v>40282.36</v>
      </c>
      <c r="H13" s="64" t="n">
        <v>4315.97</v>
      </c>
      <c r="I13" s="63" t="n"/>
      <c r="J13" s="29">
        <f>IF(V13=1,IF(ISNUMBER(I13),I13,C13+IF(ISNUMBER(IFERROR(INDEX(vend_Terms,MATCH(D13,vend_Name,0)),"")),INDEX(vend_Terms,MATCH(D13,vend_Name,0)),TermsDays)),"")</f>
        <v/>
      </c>
      <c r="K13" s="65">
        <f>IF(V13=1,SUMIFS(tx_CrAmt,tx_Type,"Bill Payment",tx_Ref,B13&amp;"",tx_Vend,D13,tx_Date,"&lt;="&amp;AsOf),"")</f>
        <v/>
      </c>
      <c r="L13" s="65">
        <f>IF(V13=1,IF(C13&gt;AsOf,0,ROUND(G13-K13,2)),"")</f>
        <v/>
      </c>
      <c r="M13" s="66">
        <f>IF(V13&lt;&gt;1,"",IF(C13&gt;AsOf,"Future",IF(L13&lt;0,"Overpaid",IF(L13=0,"Paid",IF(AsOf&gt;J13,"Overdue",IF(K13&gt;0,"Partial","Unpaid"))))))</f>
        <v/>
      </c>
      <c r="N13" s="28">
        <f>IF(AND(V13=1,N(L13)&gt;0),AsOf-C13,"")</f>
        <v/>
      </c>
      <c r="O13" s="28">
        <f>IF(N13="","",MAX(0,AsOf-J13))</f>
        <v/>
      </c>
      <c r="P13" s="66">
        <f>IF(O13="","",IF(O13=0,"Current",IF(O13&lt;=30,"1-30",IF(O13&lt;=60,"31-60",IF(O13&lt;=90,"61-90","90+")))))</f>
        <v/>
      </c>
      <c r="Q13" s="66">
        <f>IF(T13&lt;&gt;"","⛔ "&amp;T13&amp;" — not posted",IF(U13&lt;&gt;"","⚠ "&amp;U13,IF(V13=1,"✓ OK","")))</f>
        <v/>
      </c>
      <c r="R13" s="67">
        <f>IF(AND(B13="",C13="",D13="",G13="",F13=""),1,0)</f>
        <v/>
      </c>
      <c r="S13" s="68">
        <f>IF(AND(TaxOn="Yes",ISNUMBER(H13)),H13,0)</f>
        <v/>
      </c>
      <c r="T13" s="67">
        <f>IF(R13=1,"",IF(B13="","Enter a bill #",IF(D13="","Select a vendor",IF(C13="","Missing bill date",IF(NOT(ISNUMBER(C13)),"Invalid date",IF(OR(C13&lt;DATE(2000,1,1),C13&gt;DATE(2099,12,31)),"Invalid date",IF(F13="","Select an expense account",IF(ISNA(MATCH(F13,coa_Name,0)),"Unknown account: "&amp;F13,IF(NOT(ISNUMBER(G13)),"Enter an amount",IF(G13&lt;=0,"Amount must be positive",IF(S13&gt;G13,"Tax is larger than the amount","")))))))))))</f>
        <v/>
      </c>
      <c r="U13" s="67">
        <f>IF(OR(R13=1,T13&lt;&gt;""),"",IF(COUNTIFS(ap_No,B13,ap_Party,D13)&gt;1,"Duplicate bill #",IF(N(L13)&lt;0,"Overpaid by "&amp;TEXT(-L13,"#,##0.00"),IF(AND(ISNUMBER(H13),N(H13)&lt;&gt;0,S13=0),"Tax ignored (tax tracking is off)",IF(AND(ISNUMBER(StartDate),C13&lt;StartDate),"Date is before the accounting start date",IF(OR(IFERROR(INDEX(coa_Type,MATCH(F13,coa_Name,0)),"")="Revenue",IFERROR(INDEX(coa_Type,MATCH(F13,coa_Name,0)),"")="Other Income",IFERROR(INDEX(coa_Type,MATCH(F13,coa_Name,0)),"")="Equity"),"Account is not an expense or asset account",""))))))</f>
        <v/>
      </c>
      <c r="V13" s="67">
        <f>IF(AND(R13=0,T13=""),1,0)</f>
        <v/>
      </c>
      <c r="W13" s="67">
        <f>IF(V13=1,F13,"")</f>
        <v/>
      </c>
      <c r="X13" s="67">
        <f>IF(V13=1,acctAP,"")</f>
        <v/>
      </c>
      <c r="Y13" s="68">
        <f>IF(V13=1,G13-S13,0)</f>
        <v/>
      </c>
      <c r="Z13" s="68">
        <f>IF(V13=1,G13,0)</f>
        <v/>
      </c>
      <c r="AA13" s="68">
        <f>IF(V13=1,S13,0)</f>
        <v/>
      </c>
    </row>
    <row r="14">
      <c r="B14" s="62" t="inlineStr">
        <is>
          <t>FR-021</t>
        </is>
      </c>
      <c r="C14" s="63" t="n">
        <v>46057</v>
      </c>
      <c r="D14" s="62" t="inlineStr">
        <is>
          <t>Fresh Dairy Co.</t>
        </is>
      </c>
      <c r="E14" s="62" t="inlineStr">
        <is>
          <t>Ingredients delivery</t>
        </is>
      </c>
      <c r="F14" s="62" t="inlineStr">
        <is>
          <t>Direct Materials</t>
        </is>
      </c>
      <c r="G14" s="64" t="n">
        <v>15771.18</v>
      </c>
      <c r="H14" s="64" t="n">
        <v>1689.77</v>
      </c>
      <c r="I14" s="63" t="n"/>
      <c r="J14" s="29">
        <f>IF(V14=1,IF(ISNUMBER(I14),I14,C14+IF(ISNUMBER(IFERROR(INDEX(vend_Terms,MATCH(D14,vend_Name,0)),"")),INDEX(vend_Terms,MATCH(D14,vend_Name,0)),TermsDays)),"")</f>
        <v/>
      </c>
      <c r="K14" s="65">
        <f>IF(V14=1,SUMIFS(tx_CrAmt,tx_Type,"Bill Payment",tx_Ref,B14&amp;"",tx_Vend,D14,tx_Date,"&lt;="&amp;AsOf),"")</f>
        <v/>
      </c>
      <c r="L14" s="65">
        <f>IF(V14=1,IF(C14&gt;AsOf,0,ROUND(G14-K14,2)),"")</f>
        <v/>
      </c>
      <c r="M14" s="66">
        <f>IF(V14&lt;&gt;1,"",IF(C14&gt;AsOf,"Future",IF(L14&lt;0,"Overpaid",IF(L14=0,"Paid",IF(AsOf&gt;J14,"Overdue",IF(K14&gt;0,"Partial","Unpaid"))))))</f>
        <v/>
      </c>
      <c r="N14" s="28">
        <f>IF(AND(V14=1,N(L14)&gt;0),AsOf-C14,"")</f>
        <v/>
      </c>
      <c r="O14" s="28">
        <f>IF(N14="","",MAX(0,AsOf-J14))</f>
        <v/>
      </c>
      <c r="P14" s="66">
        <f>IF(O14="","",IF(O14=0,"Current",IF(O14&lt;=30,"1-30",IF(O14&lt;=60,"31-60",IF(O14&lt;=90,"61-90","90+")))))</f>
        <v/>
      </c>
      <c r="Q14" s="66">
        <f>IF(T14&lt;&gt;"","⛔ "&amp;T14&amp;" — not posted",IF(U14&lt;&gt;"","⚠ "&amp;U14,IF(V14=1,"✓ OK","")))</f>
        <v/>
      </c>
      <c r="R14" s="67">
        <f>IF(AND(B14="",C14="",D14="",G14="",F14=""),1,0)</f>
        <v/>
      </c>
      <c r="S14" s="68">
        <f>IF(AND(TaxOn="Yes",ISNUMBER(H14)),H14,0)</f>
        <v/>
      </c>
      <c r="T14" s="67">
        <f>IF(R14=1,"",IF(B14="","Enter a bill #",IF(D14="","Select a vendor",IF(C14="","Missing bill date",IF(NOT(ISNUMBER(C14)),"Invalid date",IF(OR(C14&lt;DATE(2000,1,1),C14&gt;DATE(2099,12,31)),"Invalid date",IF(F14="","Select an expense account",IF(ISNA(MATCH(F14,coa_Name,0)),"Unknown account: "&amp;F14,IF(NOT(ISNUMBER(G14)),"Enter an amount",IF(G14&lt;=0,"Amount must be positive",IF(S14&gt;G14,"Tax is larger than the amount","")))))))))))</f>
        <v/>
      </c>
      <c r="U14" s="67">
        <f>IF(OR(R14=1,T14&lt;&gt;""),"",IF(COUNTIFS(ap_No,B14,ap_Party,D14)&gt;1,"Duplicate bill #",IF(N(L14)&lt;0,"Overpaid by "&amp;TEXT(-L14,"#,##0.00"),IF(AND(ISNUMBER(H14),N(H14)&lt;&gt;0,S14=0),"Tax ignored (tax tracking is off)",IF(AND(ISNUMBER(StartDate),C14&lt;StartDate),"Date is before the accounting start date",IF(OR(IFERROR(INDEX(coa_Type,MATCH(F14,coa_Name,0)),"")="Revenue",IFERROR(INDEX(coa_Type,MATCH(F14,coa_Name,0)),"")="Other Income",IFERROR(INDEX(coa_Type,MATCH(F14,coa_Name,0)),"")="Equity"),"Account is not an expense or asset account",""))))))</f>
        <v/>
      </c>
      <c r="V14" s="67">
        <f>IF(AND(R14=0,T14=""),1,0)</f>
        <v/>
      </c>
      <c r="W14" s="67">
        <f>IF(V14=1,F14,"")</f>
        <v/>
      </c>
      <c r="X14" s="67">
        <f>IF(V14=1,acctAP,"")</f>
        <v/>
      </c>
      <c r="Y14" s="68">
        <f>IF(V14=1,G14-S14,0)</f>
        <v/>
      </c>
      <c r="Z14" s="68">
        <f>IF(V14=1,G14,0)</f>
        <v/>
      </c>
      <c r="AA14" s="68">
        <f>IF(V14=1,S14,0)</f>
        <v/>
      </c>
    </row>
    <row r="15">
      <c r="B15" s="62" t="inlineStr">
        <is>
          <t>FR-022</t>
        </is>
      </c>
      <c r="C15" s="63" t="n">
        <v>46071</v>
      </c>
      <c r="D15" s="62" t="inlineStr">
        <is>
          <t>Fresh Dairy Co.</t>
        </is>
      </c>
      <c r="E15" s="62" t="inlineStr">
        <is>
          <t>Ingredients delivery</t>
        </is>
      </c>
      <c r="F15" s="62" t="inlineStr">
        <is>
          <t>Direct Materials</t>
        </is>
      </c>
      <c r="G15" s="64" t="n">
        <v>19350.56</v>
      </c>
      <c r="H15" s="64" t="n">
        <v>2073.27</v>
      </c>
      <c r="I15" s="63" t="n"/>
      <c r="J15" s="29">
        <f>IF(V15=1,IF(ISNUMBER(I15),I15,C15+IF(ISNUMBER(IFERROR(INDEX(vend_Terms,MATCH(D15,vend_Name,0)),"")),INDEX(vend_Terms,MATCH(D15,vend_Name,0)),TermsDays)),"")</f>
        <v/>
      </c>
      <c r="K15" s="65">
        <f>IF(V15=1,SUMIFS(tx_CrAmt,tx_Type,"Bill Payment",tx_Ref,B15&amp;"",tx_Vend,D15,tx_Date,"&lt;="&amp;AsOf),"")</f>
        <v/>
      </c>
      <c r="L15" s="65">
        <f>IF(V15=1,IF(C15&gt;AsOf,0,ROUND(G15-K15,2)),"")</f>
        <v/>
      </c>
      <c r="M15" s="66">
        <f>IF(V15&lt;&gt;1,"",IF(C15&gt;AsOf,"Future",IF(L15&lt;0,"Overpaid",IF(L15=0,"Paid",IF(AsOf&gt;J15,"Overdue",IF(K15&gt;0,"Partial","Unpaid"))))))</f>
        <v/>
      </c>
      <c r="N15" s="28">
        <f>IF(AND(V15=1,N(L15)&gt;0),AsOf-C15,"")</f>
        <v/>
      </c>
      <c r="O15" s="28">
        <f>IF(N15="","",MAX(0,AsOf-J15))</f>
        <v/>
      </c>
      <c r="P15" s="66">
        <f>IF(O15="","",IF(O15=0,"Current",IF(O15&lt;=30,"1-30",IF(O15&lt;=60,"31-60",IF(O15&lt;=90,"61-90","90+")))))</f>
        <v/>
      </c>
      <c r="Q15" s="66">
        <f>IF(T15&lt;&gt;"","⛔ "&amp;T15&amp;" — not posted",IF(U15&lt;&gt;"","⚠ "&amp;U15,IF(V15=1,"✓ OK","")))</f>
        <v/>
      </c>
      <c r="R15" s="67">
        <f>IF(AND(B15="",C15="",D15="",G15="",F15=""),1,0)</f>
        <v/>
      </c>
      <c r="S15" s="68">
        <f>IF(AND(TaxOn="Yes",ISNUMBER(H15)),H15,0)</f>
        <v/>
      </c>
      <c r="T15" s="67">
        <f>IF(R15=1,"",IF(B15="","Enter a bill #",IF(D15="","Select a vendor",IF(C15="","Missing bill date",IF(NOT(ISNUMBER(C15)),"Invalid date",IF(OR(C15&lt;DATE(2000,1,1),C15&gt;DATE(2099,12,31)),"Invalid date",IF(F15="","Select an expense account",IF(ISNA(MATCH(F15,coa_Name,0)),"Unknown account: "&amp;F15,IF(NOT(ISNUMBER(G15)),"Enter an amount",IF(G15&lt;=0,"Amount must be positive",IF(S15&gt;G15,"Tax is larger than the amount","")))))))))))</f>
        <v/>
      </c>
      <c r="U15" s="67">
        <f>IF(OR(R15=1,T15&lt;&gt;""),"",IF(COUNTIFS(ap_No,B15,ap_Party,D15)&gt;1,"Duplicate bill #",IF(N(L15)&lt;0,"Overpaid by "&amp;TEXT(-L15,"#,##0.00"),IF(AND(ISNUMBER(H15),N(H15)&lt;&gt;0,S15=0),"Tax ignored (tax tracking is off)",IF(AND(ISNUMBER(StartDate),C15&lt;StartDate),"Date is before the accounting start date",IF(OR(IFERROR(INDEX(coa_Type,MATCH(F15,coa_Name,0)),"")="Revenue",IFERROR(INDEX(coa_Type,MATCH(F15,coa_Name,0)),"")="Other Income",IFERROR(INDEX(coa_Type,MATCH(F15,coa_Name,0)),"")="Equity"),"Account is not an expense or asset account",""))))))</f>
        <v/>
      </c>
      <c r="V15" s="67">
        <f>IF(AND(R15=0,T15=""),1,0)</f>
        <v/>
      </c>
      <c r="W15" s="67">
        <f>IF(V15=1,F15,"")</f>
        <v/>
      </c>
      <c r="X15" s="67">
        <f>IF(V15=1,acctAP,"")</f>
        <v/>
      </c>
      <c r="Y15" s="68">
        <f>IF(V15=1,G15-S15,0)</f>
        <v/>
      </c>
      <c r="Z15" s="68">
        <f>IF(V15=1,G15,0)</f>
        <v/>
      </c>
      <c r="AA15" s="68">
        <f>IF(V15=1,S15,0)</f>
        <v/>
      </c>
    </row>
    <row r="16">
      <c r="B16" s="62" t="inlineStr">
        <is>
          <t>PA-021</t>
        </is>
      </c>
      <c r="C16" s="63" t="n">
        <v>46056</v>
      </c>
      <c r="D16" s="62" t="inlineStr">
        <is>
          <t>PackRight Supplies</t>
        </is>
      </c>
      <c r="E16" s="62" t="inlineStr">
        <is>
          <t>Packaging</t>
        </is>
      </c>
      <c r="F16" s="62" t="inlineStr">
        <is>
          <t>Other Direct Costs</t>
        </is>
      </c>
      <c r="G16" s="64" t="n">
        <v>6988.51</v>
      </c>
      <c r="H16" s="64" t="n">
        <v>748.77</v>
      </c>
      <c r="I16" s="63" t="n"/>
      <c r="J16" s="29">
        <f>IF(V16=1,IF(ISNUMBER(I16),I16,C16+IF(ISNUMBER(IFERROR(INDEX(vend_Terms,MATCH(D16,vend_Name,0)),"")),INDEX(vend_Terms,MATCH(D16,vend_Name,0)),TermsDays)),"")</f>
        <v/>
      </c>
      <c r="K16" s="65">
        <f>IF(V16=1,SUMIFS(tx_CrAmt,tx_Type,"Bill Payment",tx_Ref,B16&amp;"",tx_Vend,D16,tx_Date,"&lt;="&amp;AsOf),"")</f>
        <v/>
      </c>
      <c r="L16" s="65">
        <f>IF(V16=1,IF(C16&gt;AsOf,0,ROUND(G16-K16,2)),"")</f>
        <v/>
      </c>
      <c r="M16" s="66">
        <f>IF(V16&lt;&gt;1,"",IF(C16&gt;AsOf,"Future",IF(L16&lt;0,"Overpaid",IF(L16=0,"Paid",IF(AsOf&gt;J16,"Overdue",IF(K16&gt;0,"Partial","Unpaid"))))))</f>
        <v/>
      </c>
      <c r="N16" s="28">
        <f>IF(AND(V16=1,N(L16)&gt;0),AsOf-C16,"")</f>
        <v/>
      </c>
      <c r="O16" s="28">
        <f>IF(N16="","",MAX(0,AsOf-J16))</f>
        <v/>
      </c>
      <c r="P16" s="66">
        <f>IF(O16="","",IF(O16=0,"Current",IF(O16&lt;=30,"1-30",IF(O16&lt;=60,"31-60",IF(O16&lt;=90,"61-90","90+")))))</f>
        <v/>
      </c>
      <c r="Q16" s="66">
        <f>IF(T16&lt;&gt;"","⛔ "&amp;T16&amp;" — not posted",IF(U16&lt;&gt;"","⚠ "&amp;U16,IF(V16=1,"✓ OK","")))</f>
        <v/>
      </c>
      <c r="R16" s="67">
        <f>IF(AND(B16="",C16="",D16="",G16="",F16=""),1,0)</f>
        <v/>
      </c>
      <c r="S16" s="68">
        <f>IF(AND(TaxOn="Yes",ISNUMBER(H16)),H16,0)</f>
        <v/>
      </c>
      <c r="T16" s="67">
        <f>IF(R16=1,"",IF(B16="","Enter a bill #",IF(D16="","Select a vendor",IF(C16="","Missing bill date",IF(NOT(ISNUMBER(C16)),"Invalid date",IF(OR(C16&lt;DATE(2000,1,1),C16&gt;DATE(2099,12,31)),"Invalid date",IF(F16="","Select an expense account",IF(ISNA(MATCH(F16,coa_Name,0)),"Unknown account: "&amp;F16,IF(NOT(ISNUMBER(G16)),"Enter an amount",IF(G16&lt;=0,"Amount must be positive",IF(S16&gt;G16,"Tax is larger than the amount","")))))))))))</f>
        <v/>
      </c>
      <c r="U16" s="67">
        <f>IF(OR(R16=1,T16&lt;&gt;""),"",IF(COUNTIFS(ap_No,B16,ap_Party,D16)&gt;1,"Duplicate bill #",IF(N(L16)&lt;0,"Overpaid by "&amp;TEXT(-L16,"#,##0.00"),IF(AND(ISNUMBER(H16),N(H16)&lt;&gt;0,S16=0),"Tax ignored (tax tracking is off)",IF(AND(ISNUMBER(StartDate),C16&lt;StartDate),"Date is before the accounting start date",IF(OR(IFERROR(INDEX(coa_Type,MATCH(F16,coa_Name,0)),"")="Revenue",IFERROR(INDEX(coa_Type,MATCH(F16,coa_Name,0)),"")="Other Income",IFERROR(INDEX(coa_Type,MATCH(F16,coa_Name,0)),"")="Equity"),"Account is not an expense or asset account",""))))))</f>
        <v/>
      </c>
      <c r="V16" s="67">
        <f>IF(AND(R16=0,T16=""),1,0)</f>
        <v/>
      </c>
      <c r="W16" s="67">
        <f>IF(V16=1,F16,"")</f>
        <v/>
      </c>
      <c r="X16" s="67">
        <f>IF(V16=1,acctAP,"")</f>
        <v/>
      </c>
      <c r="Y16" s="68">
        <f>IF(V16=1,G16-S16,0)</f>
        <v/>
      </c>
      <c r="Z16" s="68">
        <f>IF(V16=1,G16,0)</f>
        <v/>
      </c>
      <c r="AA16" s="68">
        <f>IF(V16=1,S16,0)</f>
        <v/>
      </c>
    </row>
    <row r="17">
      <c r="B17" s="62" t="inlineStr">
        <is>
          <t>GO-031</t>
        </is>
      </c>
      <c r="C17" s="63" t="n">
        <v>46084</v>
      </c>
      <c r="D17" s="62" t="inlineStr">
        <is>
          <t>Golden Grain Flour Mill</t>
        </is>
      </c>
      <c r="E17" s="62" t="inlineStr">
        <is>
          <t>Ingredients delivery</t>
        </is>
      </c>
      <c r="F17" s="62" t="inlineStr">
        <is>
          <t>Direct Materials</t>
        </is>
      </c>
      <c r="G17" s="64" t="n">
        <v>51386.35</v>
      </c>
      <c r="H17" s="64" t="n">
        <v>5505.68</v>
      </c>
      <c r="I17" s="63" t="n"/>
      <c r="J17" s="29">
        <f>IF(V17=1,IF(ISNUMBER(I17),I17,C17+IF(ISNUMBER(IFERROR(INDEX(vend_Terms,MATCH(D17,vend_Name,0)),"")),INDEX(vend_Terms,MATCH(D17,vend_Name,0)),TermsDays)),"")</f>
        <v/>
      </c>
      <c r="K17" s="65">
        <f>IF(V17=1,SUMIFS(tx_CrAmt,tx_Type,"Bill Payment",tx_Ref,B17&amp;"",tx_Vend,D17,tx_Date,"&lt;="&amp;AsOf),"")</f>
        <v/>
      </c>
      <c r="L17" s="65">
        <f>IF(V17=1,IF(C17&gt;AsOf,0,ROUND(G17-K17,2)),"")</f>
        <v/>
      </c>
      <c r="M17" s="66">
        <f>IF(V17&lt;&gt;1,"",IF(C17&gt;AsOf,"Future",IF(L17&lt;0,"Overpaid",IF(L17=0,"Paid",IF(AsOf&gt;J17,"Overdue",IF(K17&gt;0,"Partial","Unpaid"))))))</f>
        <v/>
      </c>
      <c r="N17" s="28">
        <f>IF(AND(V17=1,N(L17)&gt;0),AsOf-C17,"")</f>
        <v/>
      </c>
      <c r="O17" s="28">
        <f>IF(N17="","",MAX(0,AsOf-J17))</f>
        <v/>
      </c>
      <c r="P17" s="66">
        <f>IF(O17="","",IF(O17=0,"Current",IF(O17&lt;=30,"1-30",IF(O17&lt;=60,"31-60",IF(O17&lt;=90,"61-90","90+")))))</f>
        <v/>
      </c>
      <c r="Q17" s="66">
        <f>IF(T17&lt;&gt;"","⛔ "&amp;T17&amp;" — not posted",IF(U17&lt;&gt;"","⚠ "&amp;U17,IF(V17=1,"✓ OK","")))</f>
        <v/>
      </c>
      <c r="R17" s="67">
        <f>IF(AND(B17="",C17="",D17="",G17="",F17=""),1,0)</f>
        <v/>
      </c>
      <c r="S17" s="68">
        <f>IF(AND(TaxOn="Yes",ISNUMBER(H17)),H17,0)</f>
        <v/>
      </c>
      <c r="T17" s="67">
        <f>IF(R17=1,"",IF(B17="","Enter a bill #",IF(D17="","Select a vendor",IF(C17="","Missing bill date",IF(NOT(ISNUMBER(C17)),"Invalid date",IF(OR(C17&lt;DATE(2000,1,1),C17&gt;DATE(2099,12,31)),"Invalid date",IF(F17="","Select an expense account",IF(ISNA(MATCH(F17,coa_Name,0)),"Unknown account: "&amp;F17,IF(NOT(ISNUMBER(G17)),"Enter an amount",IF(G17&lt;=0,"Amount must be positive",IF(S17&gt;G17,"Tax is larger than the amount","")))))))))))</f>
        <v/>
      </c>
      <c r="U17" s="67">
        <f>IF(OR(R17=1,T17&lt;&gt;""),"",IF(COUNTIFS(ap_No,B17,ap_Party,D17)&gt;1,"Duplicate bill #",IF(N(L17)&lt;0,"Overpaid by "&amp;TEXT(-L17,"#,##0.00"),IF(AND(ISNUMBER(H17),N(H17)&lt;&gt;0,S17=0),"Tax ignored (tax tracking is off)",IF(AND(ISNUMBER(StartDate),C17&lt;StartDate),"Date is before the accounting start date",IF(OR(IFERROR(INDEX(coa_Type,MATCH(F17,coa_Name,0)),"")="Revenue",IFERROR(INDEX(coa_Type,MATCH(F17,coa_Name,0)),"")="Other Income",IFERROR(INDEX(coa_Type,MATCH(F17,coa_Name,0)),"")="Equity"),"Account is not an expense or asset account",""))))))</f>
        <v/>
      </c>
      <c r="V17" s="67">
        <f>IF(AND(R17=0,T17=""),1,0)</f>
        <v/>
      </c>
      <c r="W17" s="67">
        <f>IF(V17=1,F17,"")</f>
        <v/>
      </c>
      <c r="X17" s="67">
        <f>IF(V17=1,acctAP,"")</f>
        <v/>
      </c>
      <c r="Y17" s="68">
        <f>IF(V17=1,G17-S17,0)</f>
        <v/>
      </c>
      <c r="Z17" s="68">
        <f>IF(V17=1,G17,0)</f>
        <v/>
      </c>
      <c r="AA17" s="68">
        <f>IF(V17=1,S17,0)</f>
        <v/>
      </c>
    </row>
    <row r="18">
      <c r="B18" s="62" t="inlineStr">
        <is>
          <t>GO-032</t>
        </is>
      </c>
      <c r="C18" s="63" t="n">
        <v>46097</v>
      </c>
      <c r="D18" s="62" t="inlineStr">
        <is>
          <t>Golden Grain Flour Mill</t>
        </is>
      </c>
      <c r="E18" s="62" t="inlineStr">
        <is>
          <t>Ingredients delivery</t>
        </is>
      </c>
      <c r="F18" s="62" t="inlineStr">
        <is>
          <t>Direct Materials</t>
        </is>
      </c>
      <c r="G18" s="64" t="n">
        <v>51294.42</v>
      </c>
      <c r="H18" s="64" t="n">
        <v>5495.83</v>
      </c>
      <c r="I18" s="63" t="n"/>
      <c r="J18" s="29">
        <f>IF(V18=1,IF(ISNUMBER(I18),I18,C18+IF(ISNUMBER(IFERROR(INDEX(vend_Terms,MATCH(D18,vend_Name,0)),"")),INDEX(vend_Terms,MATCH(D18,vend_Name,0)),TermsDays)),"")</f>
        <v/>
      </c>
      <c r="K18" s="65">
        <f>IF(V18=1,SUMIFS(tx_CrAmt,tx_Type,"Bill Payment",tx_Ref,B18&amp;"",tx_Vend,D18,tx_Date,"&lt;="&amp;AsOf),"")</f>
        <v/>
      </c>
      <c r="L18" s="65">
        <f>IF(V18=1,IF(C18&gt;AsOf,0,ROUND(G18-K18,2)),"")</f>
        <v/>
      </c>
      <c r="M18" s="66">
        <f>IF(V18&lt;&gt;1,"",IF(C18&gt;AsOf,"Future",IF(L18&lt;0,"Overpaid",IF(L18=0,"Paid",IF(AsOf&gt;J18,"Overdue",IF(K18&gt;0,"Partial","Unpaid"))))))</f>
        <v/>
      </c>
      <c r="N18" s="28">
        <f>IF(AND(V18=1,N(L18)&gt;0),AsOf-C18,"")</f>
        <v/>
      </c>
      <c r="O18" s="28">
        <f>IF(N18="","",MAX(0,AsOf-J18))</f>
        <v/>
      </c>
      <c r="P18" s="66">
        <f>IF(O18="","",IF(O18=0,"Current",IF(O18&lt;=30,"1-30",IF(O18&lt;=60,"31-60",IF(O18&lt;=90,"61-90","90+")))))</f>
        <v/>
      </c>
      <c r="Q18" s="66">
        <f>IF(T18&lt;&gt;"","⛔ "&amp;T18&amp;" — not posted",IF(U18&lt;&gt;"","⚠ "&amp;U18,IF(V18=1,"✓ OK","")))</f>
        <v/>
      </c>
      <c r="R18" s="67">
        <f>IF(AND(B18="",C18="",D18="",G18="",F18=""),1,0)</f>
        <v/>
      </c>
      <c r="S18" s="68">
        <f>IF(AND(TaxOn="Yes",ISNUMBER(H18)),H18,0)</f>
        <v/>
      </c>
      <c r="T18" s="67">
        <f>IF(R18=1,"",IF(B18="","Enter a bill #",IF(D18="","Select a vendor",IF(C18="","Missing bill date",IF(NOT(ISNUMBER(C18)),"Invalid date",IF(OR(C18&lt;DATE(2000,1,1),C18&gt;DATE(2099,12,31)),"Invalid date",IF(F18="","Select an expense account",IF(ISNA(MATCH(F18,coa_Name,0)),"Unknown account: "&amp;F18,IF(NOT(ISNUMBER(G18)),"Enter an amount",IF(G18&lt;=0,"Amount must be positive",IF(S18&gt;G18,"Tax is larger than the amount","")))))))))))</f>
        <v/>
      </c>
      <c r="U18" s="67">
        <f>IF(OR(R18=1,T18&lt;&gt;""),"",IF(COUNTIFS(ap_No,B18,ap_Party,D18)&gt;1,"Duplicate bill #",IF(N(L18)&lt;0,"Overpaid by "&amp;TEXT(-L18,"#,##0.00"),IF(AND(ISNUMBER(H18),N(H18)&lt;&gt;0,S18=0),"Tax ignored (tax tracking is off)",IF(AND(ISNUMBER(StartDate),C18&lt;StartDate),"Date is before the accounting start date",IF(OR(IFERROR(INDEX(coa_Type,MATCH(F18,coa_Name,0)),"")="Revenue",IFERROR(INDEX(coa_Type,MATCH(F18,coa_Name,0)),"")="Other Income",IFERROR(INDEX(coa_Type,MATCH(F18,coa_Name,0)),"")="Equity"),"Account is not an expense or asset account",""))))))</f>
        <v/>
      </c>
      <c r="V18" s="67">
        <f>IF(AND(R18=0,T18=""),1,0)</f>
        <v/>
      </c>
      <c r="W18" s="67">
        <f>IF(V18=1,F18,"")</f>
        <v/>
      </c>
      <c r="X18" s="67">
        <f>IF(V18=1,acctAP,"")</f>
        <v/>
      </c>
      <c r="Y18" s="68">
        <f>IF(V18=1,G18-S18,0)</f>
        <v/>
      </c>
      <c r="Z18" s="68">
        <f>IF(V18=1,G18,0)</f>
        <v/>
      </c>
      <c r="AA18" s="68">
        <f>IF(V18=1,S18,0)</f>
        <v/>
      </c>
    </row>
    <row r="19">
      <c r="B19" s="62" t="inlineStr">
        <is>
          <t>FR-031</t>
        </is>
      </c>
      <c r="C19" s="63" t="n">
        <v>46085</v>
      </c>
      <c r="D19" s="62" t="inlineStr">
        <is>
          <t>Fresh Dairy Co.</t>
        </is>
      </c>
      <c r="E19" s="62" t="inlineStr">
        <is>
          <t>Ingredients delivery</t>
        </is>
      </c>
      <c r="F19" s="62" t="inlineStr">
        <is>
          <t>Direct Materials</t>
        </is>
      </c>
      <c r="G19" s="64" t="n">
        <v>19040.4</v>
      </c>
      <c r="H19" s="64" t="n">
        <v>2040.04</v>
      </c>
      <c r="I19" s="63" t="n"/>
      <c r="J19" s="29">
        <f>IF(V19=1,IF(ISNUMBER(I19),I19,C19+IF(ISNUMBER(IFERROR(INDEX(vend_Terms,MATCH(D19,vend_Name,0)),"")),INDEX(vend_Terms,MATCH(D19,vend_Name,0)),TermsDays)),"")</f>
        <v/>
      </c>
      <c r="K19" s="65">
        <f>IF(V19=1,SUMIFS(tx_CrAmt,tx_Type,"Bill Payment",tx_Ref,B19&amp;"",tx_Vend,D19,tx_Date,"&lt;="&amp;AsOf),"")</f>
        <v/>
      </c>
      <c r="L19" s="65">
        <f>IF(V19=1,IF(C19&gt;AsOf,0,ROUND(G19-K19,2)),"")</f>
        <v/>
      </c>
      <c r="M19" s="66">
        <f>IF(V19&lt;&gt;1,"",IF(C19&gt;AsOf,"Future",IF(L19&lt;0,"Overpaid",IF(L19=0,"Paid",IF(AsOf&gt;J19,"Overdue",IF(K19&gt;0,"Partial","Unpaid"))))))</f>
        <v/>
      </c>
      <c r="N19" s="28">
        <f>IF(AND(V19=1,N(L19)&gt;0),AsOf-C19,"")</f>
        <v/>
      </c>
      <c r="O19" s="28">
        <f>IF(N19="","",MAX(0,AsOf-J19))</f>
        <v/>
      </c>
      <c r="P19" s="66">
        <f>IF(O19="","",IF(O19=0,"Current",IF(O19&lt;=30,"1-30",IF(O19&lt;=60,"31-60",IF(O19&lt;=90,"61-90","90+")))))</f>
        <v/>
      </c>
      <c r="Q19" s="66">
        <f>IF(T19&lt;&gt;"","⛔ "&amp;T19&amp;" — not posted",IF(U19&lt;&gt;"","⚠ "&amp;U19,IF(V19=1,"✓ OK","")))</f>
        <v/>
      </c>
      <c r="R19" s="67">
        <f>IF(AND(B19="",C19="",D19="",G19="",F19=""),1,0)</f>
        <v/>
      </c>
      <c r="S19" s="68">
        <f>IF(AND(TaxOn="Yes",ISNUMBER(H19)),H19,0)</f>
        <v/>
      </c>
      <c r="T19" s="67">
        <f>IF(R19=1,"",IF(B19="","Enter a bill #",IF(D19="","Select a vendor",IF(C19="","Missing bill date",IF(NOT(ISNUMBER(C19)),"Invalid date",IF(OR(C19&lt;DATE(2000,1,1),C19&gt;DATE(2099,12,31)),"Invalid date",IF(F19="","Select an expense account",IF(ISNA(MATCH(F19,coa_Name,0)),"Unknown account: "&amp;F19,IF(NOT(ISNUMBER(G19)),"Enter an amount",IF(G19&lt;=0,"Amount must be positive",IF(S19&gt;G19,"Tax is larger than the amount","")))))))))))</f>
        <v/>
      </c>
      <c r="U19" s="67">
        <f>IF(OR(R19=1,T19&lt;&gt;""),"",IF(COUNTIFS(ap_No,B19,ap_Party,D19)&gt;1,"Duplicate bill #",IF(N(L19)&lt;0,"Overpaid by "&amp;TEXT(-L19,"#,##0.00"),IF(AND(ISNUMBER(H19),N(H19)&lt;&gt;0,S19=0),"Tax ignored (tax tracking is off)",IF(AND(ISNUMBER(StartDate),C19&lt;StartDate),"Date is before the accounting start date",IF(OR(IFERROR(INDEX(coa_Type,MATCH(F19,coa_Name,0)),"")="Revenue",IFERROR(INDEX(coa_Type,MATCH(F19,coa_Name,0)),"")="Other Income",IFERROR(INDEX(coa_Type,MATCH(F19,coa_Name,0)),"")="Equity"),"Account is not an expense or asset account",""))))))</f>
        <v/>
      </c>
      <c r="V19" s="67">
        <f>IF(AND(R19=0,T19=""),1,0)</f>
        <v/>
      </c>
      <c r="W19" s="67">
        <f>IF(V19=1,F19,"")</f>
        <v/>
      </c>
      <c r="X19" s="67">
        <f>IF(V19=1,acctAP,"")</f>
        <v/>
      </c>
      <c r="Y19" s="68">
        <f>IF(V19=1,G19-S19,0)</f>
        <v/>
      </c>
      <c r="Z19" s="68">
        <f>IF(V19=1,G19,0)</f>
        <v/>
      </c>
      <c r="AA19" s="68">
        <f>IF(V19=1,S19,0)</f>
        <v/>
      </c>
    </row>
    <row r="20">
      <c r="B20" s="62" t="inlineStr">
        <is>
          <t>FR-032</t>
        </is>
      </c>
      <c r="C20" s="63" t="n">
        <v>46099</v>
      </c>
      <c r="D20" s="62" t="inlineStr">
        <is>
          <t>Fresh Dairy Co.</t>
        </is>
      </c>
      <c r="E20" s="62" t="inlineStr">
        <is>
          <t>Ingredients delivery</t>
        </is>
      </c>
      <c r="F20" s="62" t="inlineStr">
        <is>
          <t>Direct Materials</t>
        </is>
      </c>
      <c r="G20" s="64" t="n">
        <v>16582.27</v>
      </c>
      <c r="H20" s="64" t="n">
        <v>1776.67</v>
      </c>
      <c r="I20" s="63" t="n"/>
      <c r="J20" s="29">
        <f>IF(V20=1,IF(ISNUMBER(I20),I20,C20+IF(ISNUMBER(IFERROR(INDEX(vend_Terms,MATCH(D20,vend_Name,0)),"")),INDEX(vend_Terms,MATCH(D20,vend_Name,0)),TermsDays)),"")</f>
        <v/>
      </c>
      <c r="K20" s="65">
        <f>IF(V20=1,SUMIFS(tx_CrAmt,tx_Type,"Bill Payment",tx_Ref,B20&amp;"",tx_Vend,D20,tx_Date,"&lt;="&amp;AsOf),"")</f>
        <v/>
      </c>
      <c r="L20" s="65">
        <f>IF(V20=1,IF(C20&gt;AsOf,0,ROUND(G20-K20,2)),"")</f>
        <v/>
      </c>
      <c r="M20" s="66">
        <f>IF(V20&lt;&gt;1,"",IF(C20&gt;AsOf,"Future",IF(L20&lt;0,"Overpaid",IF(L20=0,"Paid",IF(AsOf&gt;J20,"Overdue",IF(K20&gt;0,"Partial","Unpaid"))))))</f>
        <v/>
      </c>
      <c r="N20" s="28">
        <f>IF(AND(V20=1,N(L20)&gt;0),AsOf-C20,"")</f>
        <v/>
      </c>
      <c r="O20" s="28">
        <f>IF(N20="","",MAX(0,AsOf-J20))</f>
        <v/>
      </c>
      <c r="P20" s="66">
        <f>IF(O20="","",IF(O20=0,"Current",IF(O20&lt;=30,"1-30",IF(O20&lt;=60,"31-60",IF(O20&lt;=90,"61-90","90+")))))</f>
        <v/>
      </c>
      <c r="Q20" s="66">
        <f>IF(T20&lt;&gt;"","⛔ "&amp;T20&amp;" — not posted",IF(U20&lt;&gt;"","⚠ "&amp;U20,IF(V20=1,"✓ OK","")))</f>
        <v/>
      </c>
      <c r="R20" s="67">
        <f>IF(AND(B20="",C20="",D20="",G20="",F20=""),1,0)</f>
        <v/>
      </c>
      <c r="S20" s="68">
        <f>IF(AND(TaxOn="Yes",ISNUMBER(H20)),H20,0)</f>
        <v/>
      </c>
      <c r="T20" s="67">
        <f>IF(R20=1,"",IF(B20="","Enter a bill #",IF(D20="","Select a vendor",IF(C20="","Missing bill date",IF(NOT(ISNUMBER(C20)),"Invalid date",IF(OR(C20&lt;DATE(2000,1,1),C20&gt;DATE(2099,12,31)),"Invalid date",IF(F20="","Select an expense account",IF(ISNA(MATCH(F20,coa_Name,0)),"Unknown account: "&amp;F20,IF(NOT(ISNUMBER(G20)),"Enter an amount",IF(G20&lt;=0,"Amount must be positive",IF(S20&gt;G20,"Tax is larger than the amount","")))))))))))</f>
        <v/>
      </c>
      <c r="U20" s="67">
        <f>IF(OR(R20=1,T20&lt;&gt;""),"",IF(COUNTIFS(ap_No,B20,ap_Party,D20)&gt;1,"Duplicate bill #",IF(N(L20)&lt;0,"Overpaid by "&amp;TEXT(-L20,"#,##0.00"),IF(AND(ISNUMBER(H20),N(H20)&lt;&gt;0,S20=0),"Tax ignored (tax tracking is off)",IF(AND(ISNUMBER(StartDate),C20&lt;StartDate),"Date is before the accounting start date",IF(OR(IFERROR(INDEX(coa_Type,MATCH(F20,coa_Name,0)),"")="Revenue",IFERROR(INDEX(coa_Type,MATCH(F20,coa_Name,0)),"")="Other Income",IFERROR(INDEX(coa_Type,MATCH(F20,coa_Name,0)),"")="Equity"),"Account is not an expense or asset account",""))))))</f>
        <v/>
      </c>
      <c r="V20" s="67">
        <f>IF(AND(R20=0,T20=""),1,0)</f>
        <v/>
      </c>
      <c r="W20" s="67">
        <f>IF(V20=1,F20,"")</f>
        <v/>
      </c>
      <c r="X20" s="67">
        <f>IF(V20=1,acctAP,"")</f>
        <v/>
      </c>
      <c r="Y20" s="68">
        <f>IF(V20=1,G20-S20,0)</f>
        <v/>
      </c>
      <c r="Z20" s="68">
        <f>IF(V20=1,G20,0)</f>
        <v/>
      </c>
      <c r="AA20" s="68">
        <f>IF(V20=1,S20,0)</f>
        <v/>
      </c>
    </row>
    <row r="21">
      <c r="B21" s="62" t="inlineStr">
        <is>
          <t>PA-031</t>
        </is>
      </c>
      <c r="C21" s="63" t="n">
        <v>46087</v>
      </c>
      <c r="D21" s="62" t="inlineStr">
        <is>
          <t>PackRight Supplies</t>
        </is>
      </c>
      <c r="E21" s="62" t="inlineStr">
        <is>
          <t>Packaging</t>
        </is>
      </c>
      <c r="F21" s="62" t="inlineStr">
        <is>
          <t>Other Direct Costs</t>
        </is>
      </c>
      <c r="G21" s="64" t="n">
        <v>9645.48</v>
      </c>
      <c r="H21" s="64" t="n">
        <v>1033.44</v>
      </c>
      <c r="I21" s="63" t="n"/>
      <c r="J21" s="29">
        <f>IF(V21=1,IF(ISNUMBER(I21),I21,C21+IF(ISNUMBER(IFERROR(INDEX(vend_Terms,MATCH(D21,vend_Name,0)),"")),INDEX(vend_Terms,MATCH(D21,vend_Name,0)),TermsDays)),"")</f>
        <v/>
      </c>
      <c r="K21" s="65">
        <f>IF(V21=1,SUMIFS(tx_CrAmt,tx_Type,"Bill Payment",tx_Ref,B21&amp;"",tx_Vend,D21,tx_Date,"&lt;="&amp;AsOf),"")</f>
        <v/>
      </c>
      <c r="L21" s="65">
        <f>IF(V21=1,IF(C21&gt;AsOf,0,ROUND(G21-K21,2)),"")</f>
        <v/>
      </c>
      <c r="M21" s="66">
        <f>IF(V21&lt;&gt;1,"",IF(C21&gt;AsOf,"Future",IF(L21&lt;0,"Overpaid",IF(L21=0,"Paid",IF(AsOf&gt;J21,"Overdue",IF(K21&gt;0,"Partial","Unpaid"))))))</f>
        <v/>
      </c>
      <c r="N21" s="28">
        <f>IF(AND(V21=1,N(L21)&gt;0),AsOf-C21,"")</f>
        <v/>
      </c>
      <c r="O21" s="28">
        <f>IF(N21="","",MAX(0,AsOf-J21))</f>
        <v/>
      </c>
      <c r="P21" s="66">
        <f>IF(O21="","",IF(O21=0,"Current",IF(O21&lt;=30,"1-30",IF(O21&lt;=60,"31-60",IF(O21&lt;=90,"61-90","90+")))))</f>
        <v/>
      </c>
      <c r="Q21" s="66">
        <f>IF(T21&lt;&gt;"","⛔ "&amp;T21&amp;" — not posted",IF(U21&lt;&gt;"","⚠ "&amp;U21,IF(V21=1,"✓ OK","")))</f>
        <v/>
      </c>
      <c r="R21" s="67">
        <f>IF(AND(B21="",C21="",D21="",G21="",F21=""),1,0)</f>
        <v/>
      </c>
      <c r="S21" s="68">
        <f>IF(AND(TaxOn="Yes",ISNUMBER(H21)),H21,0)</f>
        <v/>
      </c>
      <c r="T21" s="67">
        <f>IF(R21=1,"",IF(B21="","Enter a bill #",IF(D21="","Select a vendor",IF(C21="","Missing bill date",IF(NOT(ISNUMBER(C21)),"Invalid date",IF(OR(C21&lt;DATE(2000,1,1),C21&gt;DATE(2099,12,31)),"Invalid date",IF(F21="","Select an expense account",IF(ISNA(MATCH(F21,coa_Name,0)),"Unknown account: "&amp;F21,IF(NOT(ISNUMBER(G21)),"Enter an amount",IF(G21&lt;=0,"Amount must be positive",IF(S21&gt;G21,"Tax is larger than the amount","")))))))))))</f>
        <v/>
      </c>
      <c r="U21" s="67">
        <f>IF(OR(R21=1,T21&lt;&gt;""),"",IF(COUNTIFS(ap_No,B21,ap_Party,D21)&gt;1,"Duplicate bill #",IF(N(L21)&lt;0,"Overpaid by "&amp;TEXT(-L21,"#,##0.00"),IF(AND(ISNUMBER(H21),N(H21)&lt;&gt;0,S21=0),"Tax ignored (tax tracking is off)",IF(AND(ISNUMBER(StartDate),C21&lt;StartDate),"Date is before the accounting start date",IF(OR(IFERROR(INDEX(coa_Type,MATCH(F21,coa_Name,0)),"")="Revenue",IFERROR(INDEX(coa_Type,MATCH(F21,coa_Name,0)),"")="Other Income",IFERROR(INDEX(coa_Type,MATCH(F21,coa_Name,0)),"")="Equity"),"Account is not an expense or asset account",""))))))</f>
        <v/>
      </c>
      <c r="V21" s="67">
        <f>IF(AND(R21=0,T21=""),1,0)</f>
        <v/>
      </c>
      <c r="W21" s="67">
        <f>IF(V21=1,F21,"")</f>
        <v/>
      </c>
      <c r="X21" s="67">
        <f>IF(V21=1,acctAP,"")</f>
        <v/>
      </c>
      <c r="Y21" s="68">
        <f>IF(V21=1,G21-S21,0)</f>
        <v/>
      </c>
      <c r="Z21" s="68">
        <f>IF(V21=1,G21,0)</f>
        <v/>
      </c>
      <c r="AA21" s="68">
        <f>IF(V21=1,S21,0)</f>
        <v/>
      </c>
    </row>
    <row r="22">
      <c r="B22" s="62" t="inlineStr">
        <is>
          <t>GO-041</t>
        </is>
      </c>
      <c r="C22" s="63" t="n">
        <v>46117</v>
      </c>
      <c r="D22" s="62" t="inlineStr">
        <is>
          <t>Golden Grain Flour Mill</t>
        </is>
      </c>
      <c r="E22" s="62" t="inlineStr">
        <is>
          <t>Ingredients delivery</t>
        </is>
      </c>
      <c r="F22" s="62" t="inlineStr">
        <is>
          <t>Direct Materials</t>
        </is>
      </c>
      <c r="G22" s="64" t="n">
        <v>36226.24</v>
      </c>
      <c r="H22" s="64" t="n">
        <v>3881.38</v>
      </c>
      <c r="I22" s="63" t="n"/>
      <c r="J22" s="29">
        <f>IF(V22=1,IF(ISNUMBER(I22),I22,C22+IF(ISNUMBER(IFERROR(INDEX(vend_Terms,MATCH(D22,vend_Name,0)),"")),INDEX(vend_Terms,MATCH(D22,vend_Name,0)),TermsDays)),"")</f>
        <v/>
      </c>
      <c r="K22" s="65">
        <f>IF(V22=1,SUMIFS(tx_CrAmt,tx_Type,"Bill Payment",tx_Ref,B22&amp;"",tx_Vend,D22,tx_Date,"&lt;="&amp;AsOf),"")</f>
        <v/>
      </c>
      <c r="L22" s="65">
        <f>IF(V22=1,IF(C22&gt;AsOf,0,ROUND(G22-K22,2)),"")</f>
        <v/>
      </c>
      <c r="M22" s="66">
        <f>IF(V22&lt;&gt;1,"",IF(C22&gt;AsOf,"Future",IF(L22&lt;0,"Overpaid",IF(L22=0,"Paid",IF(AsOf&gt;J22,"Overdue",IF(K22&gt;0,"Partial","Unpaid"))))))</f>
        <v/>
      </c>
      <c r="N22" s="28">
        <f>IF(AND(V22=1,N(L22)&gt;0),AsOf-C22,"")</f>
        <v/>
      </c>
      <c r="O22" s="28">
        <f>IF(N22="","",MAX(0,AsOf-J22))</f>
        <v/>
      </c>
      <c r="P22" s="66">
        <f>IF(O22="","",IF(O22=0,"Current",IF(O22&lt;=30,"1-30",IF(O22&lt;=60,"31-60",IF(O22&lt;=90,"61-90","90+")))))</f>
        <v/>
      </c>
      <c r="Q22" s="66">
        <f>IF(T22&lt;&gt;"","⛔ "&amp;T22&amp;" — not posted",IF(U22&lt;&gt;"","⚠ "&amp;U22,IF(V22=1,"✓ OK","")))</f>
        <v/>
      </c>
      <c r="R22" s="67">
        <f>IF(AND(B22="",C22="",D22="",G22="",F22=""),1,0)</f>
        <v/>
      </c>
      <c r="S22" s="68">
        <f>IF(AND(TaxOn="Yes",ISNUMBER(H22)),H22,0)</f>
        <v/>
      </c>
      <c r="T22" s="67">
        <f>IF(R22=1,"",IF(B22="","Enter a bill #",IF(D22="","Select a vendor",IF(C22="","Missing bill date",IF(NOT(ISNUMBER(C22)),"Invalid date",IF(OR(C22&lt;DATE(2000,1,1),C22&gt;DATE(2099,12,31)),"Invalid date",IF(F22="","Select an expense account",IF(ISNA(MATCH(F22,coa_Name,0)),"Unknown account: "&amp;F22,IF(NOT(ISNUMBER(G22)),"Enter an amount",IF(G22&lt;=0,"Amount must be positive",IF(S22&gt;G22,"Tax is larger than the amount","")))))))))))</f>
        <v/>
      </c>
      <c r="U22" s="67">
        <f>IF(OR(R22=1,T22&lt;&gt;""),"",IF(COUNTIFS(ap_No,B22,ap_Party,D22)&gt;1,"Duplicate bill #",IF(N(L22)&lt;0,"Overpaid by "&amp;TEXT(-L22,"#,##0.00"),IF(AND(ISNUMBER(H22),N(H22)&lt;&gt;0,S22=0),"Tax ignored (tax tracking is off)",IF(AND(ISNUMBER(StartDate),C22&lt;StartDate),"Date is before the accounting start date",IF(OR(IFERROR(INDEX(coa_Type,MATCH(F22,coa_Name,0)),"")="Revenue",IFERROR(INDEX(coa_Type,MATCH(F22,coa_Name,0)),"")="Other Income",IFERROR(INDEX(coa_Type,MATCH(F22,coa_Name,0)),"")="Equity"),"Account is not an expense or asset account",""))))))</f>
        <v/>
      </c>
      <c r="V22" s="67">
        <f>IF(AND(R22=0,T22=""),1,0)</f>
        <v/>
      </c>
      <c r="W22" s="67">
        <f>IF(V22=1,F22,"")</f>
        <v/>
      </c>
      <c r="X22" s="67">
        <f>IF(V22=1,acctAP,"")</f>
        <v/>
      </c>
      <c r="Y22" s="68">
        <f>IF(V22=1,G22-S22,0)</f>
        <v/>
      </c>
      <c r="Z22" s="68">
        <f>IF(V22=1,G22,0)</f>
        <v/>
      </c>
      <c r="AA22" s="68">
        <f>IF(V22=1,S22,0)</f>
        <v/>
      </c>
    </row>
    <row r="23">
      <c r="B23" s="62" t="inlineStr">
        <is>
          <t>GO-042</t>
        </is>
      </c>
      <c r="C23" s="63" t="n">
        <v>46128</v>
      </c>
      <c r="D23" s="62" t="inlineStr">
        <is>
          <t>Golden Grain Flour Mill</t>
        </is>
      </c>
      <c r="E23" s="62" t="inlineStr">
        <is>
          <t>Ingredients delivery</t>
        </is>
      </c>
      <c r="F23" s="62" t="inlineStr">
        <is>
          <t>Direct Materials</t>
        </is>
      </c>
      <c r="G23" s="64" t="n">
        <v>32169.81</v>
      </c>
      <c r="H23" s="64" t="n">
        <v>3446.77</v>
      </c>
      <c r="I23" s="63" t="n"/>
      <c r="J23" s="29">
        <f>IF(V23=1,IF(ISNUMBER(I23),I23,C23+IF(ISNUMBER(IFERROR(INDEX(vend_Terms,MATCH(D23,vend_Name,0)),"")),INDEX(vend_Terms,MATCH(D23,vend_Name,0)),TermsDays)),"")</f>
        <v/>
      </c>
      <c r="K23" s="65">
        <f>IF(V23=1,SUMIFS(tx_CrAmt,tx_Type,"Bill Payment",tx_Ref,B23&amp;"",tx_Vend,D23,tx_Date,"&lt;="&amp;AsOf),"")</f>
        <v/>
      </c>
      <c r="L23" s="65">
        <f>IF(V23=1,IF(C23&gt;AsOf,0,ROUND(G23-K23,2)),"")</f>
        <v/>
      </c>
      <c r="M23" s="66">
        <f>IF(V23&lt;&gt;1,"",IF(C23&gt;AsOf,"Future",IF(L23&lt;0,"Overpaid",IF(L23=0,"Paid",IF(AsOf&gt;J23,"Overdue",IF(K23&gt;0,"Partial","Unpaid"))))))</f>
        <v/>
      </c>
      <c r="N23" s="28">
        <f>IF(AND(V23=1,N(L23)&gt;0),AsOf-C23,"")</f>
        <v/>
      </c>
      <c r="O23" s="28">
        <f>IF(N23="","",MAX(0,AsOf-J23))</f>
        <v/>
      </c>
      <c r="P23" s="66">
        <f>IF(O23="","",IF(O23=0,"Current",IF(O23&lt;=30,"1-30",IF(O23&lt;=60,"31-60",IF(O23&lt;=90,"61-90","90+")))))</f>
        <v/>
      </c>
      <c r="Q23" s="66">
        <f>IF(T23&lt;&gt;"","⛔ "&amp;T23&amp;" — not posted",IF(U23&lt;&gt;"","⚠ "&amp;U23,IF(V23=1,"✓ OK","")))</f>
        <v/>
      </c>
      <c r="R23" s="67">
        <f>IF(AND(B23="",C23="",D23="",G23="",F23=""),1,0)</f>
        <v/>
      </c>
      <c r="S23" s="68">
        <f>IF(AND(TaxOn="Yes",ISNUMBER(H23)),H23,0)</f>
        <v/>
      </c>
      <c r="T23" s="67">
        <f>IF(R23=1,"",IF(B23="","Enter a bill #",IF(D23="","Select a vendor",IF(C23="","Missing bill date",IF(NOT(ISNUMBER(C23)),"Invalid date",IF(OR(C23&lt;DATE(2000,1,1),C23&gt;DATE(2099,12,31)),"Invalid date",IF(F23="","Select an expense account",IF(ISNA(MATCH(F23,coa_Name,0)),"Unknown account: "&amp;F23,IF(NOT(ISNUMBER(G23)),"Enter an amount",IF(G23&lt;=0,"Amount must be positive",IF(S23&gt;G23,"Tax is larger than the amount","")))))))))))</f>
        <v/>
      </c>
      <c r="U23" s="67">
        <f>IF(OR(R23=1,T23&lt;&gt;""),"",IF(COUNTIFS(ap_No,B23,ap_Party,D23)&gt;1,"Duplicate bill #",IF(N(L23)&lt;0,"Overpaid by "&amp;TEXT(-L23,"#,##0.00"),IF(AND(ISNUMBER(H23),N(H23)&lt;&gt;0,S23=0),"Tax ignored (tax tracking is off)",IF(AND(ISNUMBER(StartDate),C23&lt;StartDate),"Date is before the accounting start date",IF(OR(IFERROR(INDEX(coa_Type,MATCH(F23,coa_Name,0)),"")="Revenue",IFERROR(INDEX(coa_Type,MATCH(F23,coa_Name,0)),"")="Other Income",IFERROR(INDEX(coa_Type,MATCH(F23,coa_Name,0)),"")="Equity"),"Account is not an expense or asset account",""))))))</f>
        <v/>
      </c>
      <c r="V23" s="67">
        <f>IF(AND(R23=0,T23=""),1,0)</f>
        <v/>
      </c>
      <c r="W23" s="67">
        <f>IF(V23=1,F23,"")</f>
        <v/>
      </c>
      <c r="X23" s="67">
        <f>IF(V23=1,acctAP,"")</f>
        <v/>
      </c>
      <c r="Y23" s="68">
        <f>IF(V23=1,G23-S23,0)</f>
        <v/>
      </c>
      <c r="Z23" s="68">
        <f>IF(V23=1,G23,0)</f>
        <v/>
      </c>
      <c r="AA23" s="68">
        <f>IF(V23=1,S23,0)</f>
        <v/>
      </c>
    </row>
    <row r="24">
      <c r="B24" s="62" t="inlineStr">
        <is>
          <t>FR-041</t>
        </is>
      </c>
      <c r="C24" s="63" t="n">
        <v>46116</v>
      </c>
      <c r="D24" s="62" t="inlineStr">
        <is>
          <t>Fresh Dairy Co.</t>
        </is>
      </c>
      <c r="E24" s="62" t="inlineStr">
        <is>
          <t>Ingredients delivery</t>
        </is>
      </c>
      <c r="F24" s="62" t="inlineStr">
        <is>
          <t>Direct Materials</t>
        </is>
      </c>
      <c r="G24" s="64" t="n">
        <v>16450.6</v>
      </c>
      <c r="H24" s="64" t="n">
        <v>1762.56</v>
      </c>
      <c r="I24" s="63" t="n"/>
      <c r="J24" s="29">
        <f>IF(V24=1,IF(ISNUMBER(I24),I24,C24+IF(ISNUMBER(IFERROR(INDEX(vend_Terms,MATCH(D24,vend_Name,0)),"")),INDEX(vend_Terms,MATCH(D24,vend_Name,0)),TermsDays)),"")</f>
        <v/>
      </c>
      <c r="K24" s="65">
        <f>IF(V24=1,SUMIFS(tx_CrAmt,tx_Type,"Bill Payment",tx_Ref,B24&amp;"",tx_Vend,D24,tx_Date,"&lt;="&amp;AsOf),"")</f>
        <v/>
      </c>
      <c r="L24" s="65">
        <f>IF(V24=1,IF(C24&gt;AsOf,0,ROUND(G24-K24,2)),"")</f>
        <v/>
      </c>
      <c r="M24" s="66">
        <f>IF(V24&lt;&gt;1,"",IF(C24&gt;AsOf,"Future",IF(L24&lt;0,"Overpaid",IF(L24=0,"Paid",IF(AsOf&gt;J24,"Overdue",IF(K24&gt;0,"Partial","Unpaid"))))))</f>
        <v/>
      </c>
      <c r="N24" s="28">
        <f>IF(AND(V24=1,N(L24)&gt;0),AsOf-C24,"")</f>
        <v/>
      </c>
      <c r="O24" s="28">
        <f>IF(N24="","",MAX(0,AsOf-J24))</f>
        <v/>
      </c>
      <c r="P24" s="66">
        <f>IF(O24="","",IF(O24=0,"Current",IF(O24&lt;=30,"1-30",IF(O24&lt;=60,"31-60",IF(O24&lt;=90,"61-90","90+")))))</f>
        <v/>
      </c>
      <c r="Q24" s="66">
        <f>IF(T24&lt;&gt;"","⛔ "&amp;T24&amp;" — not posted",IF(U24&lt;&gt;"","⚠ "&amp;U24,IF(V24=1,"✓ OK","")))</f>
        <v/>
      </c>
      <c r="R24" s="67">
        <f>IF(AND(B24="",C24="",D24="",G24="",F24=""),1,0)</f>
        <v/>
      </c>
      <c r="S24" s="68">
        <f>IF(AND(TaxOn="Yes",ISNUMBER(H24)),H24,0)</f>
        <v/>
      </c>
      <c r="T24" s="67">
        <f>IF(R24=1,"",IF(B24="","Enter a bill #",IF(D24="","Select a vendor",IF(C24="","Missing bill date",IF(NOT(ISNUMBER(C24)),"Invalid date",IF(OR(C24&lt;DATE(2000,1,1),C24&gt;DATE(2099,12,31)),"Invalid date",IF(F24="","Select an expense account",IF(ISNA(MATCH(F24,coa_Name,0)),"Unknown account: "&amp;F24,IF(NOT(ISNUMBER(G24)),"Enter an amount",IF(G24&lt;=0,"Amount must be positive",IF(S24&gt;G24,"Tax is larger than the amount","")))))))))))</f>
        <v/>
      </c>
      <c r="U24" s="67">
        <f>IF(OR(R24=1,T24&lt;&gt;""),"",IF(COUNTIFS(ap_No,B24,ap_Party,D24)&gt;1,"Duplicate bill #",IF(N(L24)&lt;0,"Overpaid by "&amp;TEXT(-L24,"#,##0.00"),IF(AND(ISNUMBER(H24),N(H24)&lt;&gt;0,S24=0),"Tax ignored (tax tracking is off)",IF(AND(ISNUMBER(StartDate),C24&lt;StartDate),"Date is before the accounting start date",IF(OR(IFERROR(INDEX(coa_Type,MATCH(F24,coa_Name,0)),"")="Revenue",IFERROR(INDEX(coa_Type,MATCH(F24,coa_Name,0)),"")="Other Income",IFERROR(INDEX(coa_Type,MATCH(F24,coa_Name,0)),"")="Equity"),"Account is not an expense or asset account",""))))))</f>
        <v/>
      </c>
      <c r="V24" s="67">
        <f>IF(AND(R24=0,T24=""),1,0)</f>
        <v/>
      </c>
      <c r="W24" s="67">
        <f>IF(V24=1,F24,"")</f>
        <v/>
      </c>
      <c r="X24" s="67">
        <f>IF(V24=1,acctAP,"")</f>
        <v/>
      </c>
      <c r="Y24" s="68">
        <f>IF(V24=1,G24-S24,0)</f>
        <v/>
      </c>
      <c r="Z24" s="68">
        <f>IF(V24=1,G24,0)</f>
        <v/>
      </c>
      <c r="AA24" s="68">
        <f>IF(V24=1,S24,0)</f>
        <v/>
      </c>
    </row>
    <row r="25">
      <c r="B25" s="62" t="inlineStr">
        <is>
          <t>FR-042</t>
        </is>
      </c>
      <c r="C25" s="63" t="n">
        <v>46128</v>
      </c>
      <c r="D25" s="62" t="inlineStr">
        <is>
          <t>Fresh Dairy Co.</t>
        </is>
      </c>
      <c r="E25" s="62" t="inlineStr">
        <is>
          <t>Ingredients delivery</t>
        </is>
      </c>
      <c r="F25" s="62" t="inlineStr">
        <is>
          <t>Direct Materials</t>
        </is>
      </c>
      <c r="G25" s="64" t="n">
        <v>12966.48</v>
      </c>
      <c r="H25" s="64" t="n">
        <v>1389.27</v>
      </c>
      <c r="I25" s="63" t="n"/>
      <c r="J25" s="29">
        <f>IF(V25=1,IF(ISNUMBER(I25),I25,C25+IF(ISNUMBER(IFERROR(INDEX(vend_Terms,MATCH(D25,vend_Name,0)),"")),INDEX(vend_Terms,MATCH(D25,vend_Name,0)),TermsDays)),"")</f>
        <v/>
      </c>
      <c r="K25" s="65">
        <f>IF(V25=1,SUMIFS(tx_CrAmt,tx_Type,"Bill Payment",tx_Ref,B25&amp;"",tx_Vend,D25,tx_Date,"&lt;="&amp;AsOf),"")</f>
        <v/>
      </c>
      <c r="L25" s="65">
        <f>IF(V25=1,IF(C25&gt;AsOf,0,ROUND(G25-K25,2)),"")</f>
        <v/>
      </c>
      <c r="M25" s="66">
        <f>IF(V25&lt;&gt;1,"",IF(C25&gt;AsOf,"Future",IF(L25&lt;0,"Overpaid",IF(L25=0,"Paid",IF(AsOf&gt;J25,"Overdue",IF(K25&gt;0,"Partial","Unpaid"))))))</f>
        <v/>
      </c>
      <c r="N25" s="28">
        <f>IF(AND(V25=1,N(L25)&gt;0),AsOf-C25,"")</f>
        <v/>
      </c>
      <c r="O25" s="28">
        <f>IF(N25="","",MAX(0,AsOf-J25))</f>
        <v/>
      </c>
      <c r="P25" s="66">
        <f>IF(O25="","",IF(O25=0,"Current",IF(O25&lt;=30,"1-30",IF(O25&lt;=60,"31-60",IF(O25&lt;=90,"61-90","90+")))))</f>
        <v/>
      </c>
      <c r="Q25" s="66">
        <f>IF(T25&lt;&gt;"","⛔ "&amp;T25&amp;" — not posted",IF(U25&lt;&gt;"","⚠ "&amp;U25,IF(V25=1,"✓ OK","")))</f>
        <v/>
      </c>
      <c r="R25" s="67">
        <f>IF(AND(B25="",C25="",D25="",G25="",F25=""),1,0)</f>
        <v/>
      </c>
      <c r="S25" s="68">
        <f>IF(AND(TaxOn="Yes",ISNUMBER(H25)),H25,0)</f>
        <v/>
      </c>
      <c r="T25" s="67">
        <f>IF(R25=1,"",IF(B25="","Enter a bill #",IF(D25="","Select a vendor",IF(C25="","Missing bill date",IF(NOT(ISNUMBER(C25)),"Invalid date",IF(OR(C25&lt;DATE(2000,1,1),C25&gt;DATE(2099,12,31)),"Invalid date",IF(F25="","Select an expense account",IF(ISNA(MATCH(F25,coa_Name,0)),"Unknown account: "&amp;F25,IF(NOT(ISNUMBER(G25)),"Enter an amount",IF(G25&lt;=0,"Amount must be positive",IF(S25&gt;G25,"Tax is larger than the amount","")))))))))))</f>
        <v/>
      </c>
      <c r="U25" s="67">
        <f>IF(OR(R25=1,T25&lt;&gt;""),"",IF(COUNTIFS(ap_No,B25,ap_Party,D25)&gt;1,"Duplicate bill #",IF(N(L25)&lt;0,"Overpaid by "&amp;TEXT(-L25,"#,##0.00"),IF(AND(ISNUMBER(H25),N(H25)&lt;&gt;0,S25=0),"Tax ignored (tax tracking is off)",IF(AND(ISNUMBER(StartDate),C25&lt;StartDate),"Date is before the accounting start date",IF(OR(IFERROR(INDEX(coa_Type,MATCH(F25,coa_Name,0)),"")="Revenue",IFERROR(INDEX(coa_Type,MATCH(F25,coa_Name,0)),"")="Other Income",IFERROR(INDEX(coa_Type,MATCH(F25,coa_Name,0)),"")="Equity"),"Account is not an expense or asset account",""))))))</f>
        <v/>
      </c>
      <c r="V25" s="67">
        <f>IF(AND(R25=0,T25=""),1,0)</f>
        <v/>
      </c>
      <c r="W25" s="67">
        <f>IF(V25=1,F25,"")</f>
        <v/>
      </c>
      <c r="X25" s="67">
        <f>IF(V25=1,acctAP,"")</f>
        <v/>
      </c>
      <c r="Y25" s="68">
        <f>IF(V25=1,G25-S25,0)</f>
        <v/>
      </c>
      <c r="Z25" s="68">
        <f>IF(V25=1,G25,0)</f>
        <v/>
      </c>
      <c r="AA25" s="68">
        <f>IF(V25=1,S25,0)</f>
        <v/>
      </c>
    </row>
    <row r="26">
      <c r="B26" s="62" t="inlineStr">
        <is>
          <t>PA-041</t>
        </is>
      </c>
      <c r="C26" s="63" t="n">
        <v>46118</v>
      </c>
      <c r="D26" s="62" t="inlineStr">
        <is>
          <t>PackRight Supplies</t>
        </is>
      </c>
      <c r="E26" s="62" t="inlineStr">
        <is>
          <t>Packaging</t>
        </is>
      </c>
      <c r="F26" s="62" t="inlineStr">
        <is>
          <t>Other Direct Costs</t>
        </is>
      </c>
      <c r="G26" s="64" t="n">
        <v>8714.58</v>
      </c>
      <c r="H26" s="64" t="n">
        <v>933.7</v>
      </c>
      <c r="I26" s="63" t="n"/>
      <c r="J26" s="29">
        <f>IF(V26=1,IF(ISNUMBER(I26),I26,C26+IF(ISNUMBER(IFERROR(INDEX(vend_Terms,MATCH(D26,vend_Name,0)),"")),INDEX(vend_Terms,MATCH(D26,vend_Name,0)),TermsDays)),"")</f>
        <v/>
      </c>
      <c r="K26" s="65">
        <f>IF(V26=1,SUMIFS(tx_CrAmt,tx_Type,"Bill Payment",tx_Ref,B26&amp;"",tx_Vend,D26,tx_Date,"&lt;="&amp;AsOf),"")</f>
        <v/>
      </c>
      <c r="L26" s="65">
        <f>IF(V26=1,IF(C26&gt;AsOf,0,ROUND(G26-K26,2)),"")</f>
        <v/>
      </c>
      <c r="M26" s="66">
        <f>IF(V26&lt;&gt;1,"",IF(C26&gt;AsOf,"Future",IF(L26&lt;0,"Overpaid",IF(L26=0,"Paid",IF(AsOf&gt;J26,"Overdue",IF(K26&gt;0,"Partial","Unpaid"))))))</f>
        <v/>
      </c>
      <c r="N26" s="28">
        <f>IF(AND(V26=1,N(L26)&gt;0),AsOf-C26,"")</f>
        <v/>
      </c>
      <c r="O26" s="28">
        <f>IF(N26="","",MAX(0,AsOf-J26))</f>
        <v/>
      </c>
      <c r="P26" s="66">
        <f>IF(O26="","",IF(O26=0,"Current",IF(O26&lt;=30,"1-30",IF(O26&lt;=60,"31-60",IF(O26&lt;=90,"61-90","90+")))))</f>
        <v/>
      </c>
      <c r="Q26" s="66">
        <f>IF(T26&lt;&gt;"","⛔ "&amp;T26&amp;" — not posted",IF(U26&lt;&gt;"","⚠ "&amp;U26,IF(V26=1,"✓ OK","")))</f>
        <v/>
      </c>
      <c r="R26" s="67">
        <f>IF(AND(B26="",C26="",D26="",G26="",F26=""),1,0)</f>
        <v/>
      </c>
      <c r="S26" s="68">
        <f>IF(AND(TaxOn="Yes",ISNUMBER(H26)),H26,0)</f>
        <v/>
      </c>
      <c r="T26" s="67">
        <f>IF(R26=1,"",IF(B26="","Enter a bill #",IF(D26="","Select a vendor",IF(C26="","Missing bill date",IF(NOT(ISNUMBER(C26)),"Invalid date",IF(OR(C26&lt;DATE(2000,1,1),C26&gt;DATE(2099,12,31)),"Invalid date",IF(F26="","Select an expense account",IF(ISNA(MATCH(F26,coa_Name,0)),"Unknown account: "&amp;F26,IF(NOT(ISNUMBER(G26)),"Enter an amount",IF(G26&lt;=0,"Amount must be positive",IF(S26&gt;G26,"Tax is larger than the amount","")))))))))))</f>
        <v/>
      </c>
      <c r="U26" s="67">
        <f>IF(OR(R26=1,T26&lt;&gt;""),"",IF(COUNTIFS(ap_No,B26,ap_Party,D26)&gt;1,"Duplicate bill #",IF(N(L26)&lt;0,"Overpaid by "&amp;TEXT(-L26,"#,##0.00"),IF(AND(ISNUMBER(H26),N(H26)&lt;&gt;0,S26=0),"Tax ignored (tax tracking is off)",IF(AND(ISNUMBER(StartDate),C26&lt;StartDate),"Date is before the accounting start date",IF(OR(IFERROR(INDEX(coa_Type,MATCH(F26,coa_Name,0)),"")="Revenue",IFERROR(INDEX(coa_Type,MATCH(F26,coa_Name,0)),"")="Other Income",IFERROR(INDEX(coa_Type,MATCH(F26,coa_Name,0)),"")="Equity"),"Account is not an expense or asset account",""))))))</f>
        <v/>
      </c>
      <c r="V26" s="67">
        <f>IF(AND(R26=0,T26=""),1,0)</f>
        <v/>
      </c>
      <c r="W26" s="67">
        <f>IF(V26=1,F26,"")</f>
        <v/>
      </c>
      <c r="X26" s="67">
        <f>IF(V26=1,acctAP,"")</f>
        <v/>
      </c>
      <c r="Y26" s="68">
        <f>IF(V26=1,G26-S26,0)</f>
        <v/>
      </c>
      <c r="Z26" s="68">
        <f>IF(V26=1,G26,0)</f>
        <v/>
      </c>
      <c r="AA26" s="68">
        <f>IF(V26=1,S26,0)</f>
        <v/>
      </c>
    </row>
    <row r="27">
      <c r="B27" s="62" t="inlineStr">
        <is>
          <t>GO-051</t>
        </is>
      </c>
      <c r="C27" s="63" t="n">
        <v>46145</v>
      </c>
      <c r="D27" s="62" t="inlineStr">
        <is>
          <t>Golden Grain Flour Mill</t>
        </is>
      </c>
      <c r="E27" s="62" t="inlineStr">
        <is>
          <t>Ingredients delivery</t>
        </is>
      </c>
      <c r="F27" s="62" t="inlineStr">
        <is>
          <t>Direct Materials</t>
        </is>
      </c>
      <c r="G27" s="64" t="n">
        <v>43186.92</v>
      </c>
      <c r="H27" s="64" t="n">
        <v>4627.17</v>
      </c>
      <c r="I27" s="63" t="n"/>
      <c r="J27" s="29">
        <f>IF(V27=1,IF(ISNUMBER(I27),I27,C27+IF(ISNUMBER(IFERROR(INDEX(vend_Terms,MATCH(D27,vend_Name,0)),"")),INDEX(vend_Terms,MATCH(D27,vend_Name,0)),TermsDays)),"")</f>
        <v/>
      </c>
      <c r="K27" s="65">
        <f>IF(V27=1,SUMIFS(tx_CrAmt,tx_Type,"Bill Payment",tx_Ref,B27&amp;"",tx_Vend,D27,tx_Date,"&lt;="&amp;AsOf),"")</f>
        <v/>
      </c>
      <c r="L27" s="65">
        <f>IF(V27=1,IF(C27&gt;AsOf,0,ROUND(G27-K27,2)),"")</f>
        <v/>
      </c>
      <c r="M27" s="66">
        <f>IF(V27&lt;&gt;1,"",IF(C27&gt;AsOf,"Future",IF(L27&lt;0,"Overpaid",IF(L27=0,"Paid",IF(AsOf&gt;J27,"Overdue",IF(K27&gt;0,"Partial","Unpaid"))))))</f>
        <v/>
      </c>
      <c r="N27" s="28">
        <f>IF(AND(V27=1,N(L27)&gt;0),AsOf-C27,"")</f>
        <v/>
      </c>
      <c r="O27" s="28">
        <f>IF(N27="","",MAX(0,AsOf-J27))</f>
        <v/>
      </c>
      <c r="P27" s="66">
        <f>IF(O27="","",IF(O27=0,"Current",IF(O27&lt;=30,"1-30",IF(O27&lt;=60,"31-60",IF(O27&lt;=90,"61-90","90+")))))</f>
        <v/>
      </c>
      <c r="Q27" s="66">
        <f>IF(T27&lt;&gt;"","⛔ "&amp;T27&amp;" — not posted",IF(U27&lt;&gt;"","⚠ "&amp;U27,IF(V27=1,"✓ OK","")))</f>
        <v/>
      </c>
      <c r="R27" s="67">
        <f>IF(AND(B27="",C27="",D27="",G27="",F27=""),1,0)</f>
        <v/>
      </c>
      <c r="S27" s="68">
        <f>IF(AND(TaxOn="Yes",ISNUMBER(H27)),H27,0)</f>
        <v/>
      </c>
      <c r="T27" s="67">
        <f>IF(R27=1,"",IF(B27="","Enter a bill #",IF(D27="","Select a vendor",IF(C27="","Missing bill date",IF(NOT(ISNUMBER(C27)),"Invalid date",IF(OR(C27&lt;DATE(2000,1,1),C27&gt;DATE(2099,12,31)),"Invalid date",IF(F27="","Select an expense account",IF(ISNA(MATCH(F27,coa_Name,0)),"Unknown account: "&amp;F27,IF(NOT(ISNUMBER(G27)),"Enter an amount",IF(G27&lt;=0,"Amount must be positive",IF(S27&gt;G27,"Tax is larger than the amount","")))))))))))</f>
        <v/>
      </c>
      <c r="U27" s="67">
        <f>IF(OR(R27=1,T27&lt;&gt;""),"",IF(COUNTIFS(ap_No,B27,ap_Party,D27)&gt;1,"Duplicate bill #",IF(N(L27)&lt;0,"Overpaid by "&amp;TEXT(-L27,"#,##0.00"),IF(AND(ISNUMBER(H27),N(H27)&lt;&gt;0,S27=0),"Tax ignored (tax tracking is off)",IF(AND(ISNUMBER(StartDate),C27&lt;StartDate),"Date is before the accounting start date",IF(OR(IFERROR(INDEX(coa_Type,MATCH(F27,coa_Name,0)),"")="Revenue",IFERROR(INDEX(coa_Type,MATCH(F27,coa_Name,0)),"")="Other Income",IFERROR(INDEX(coa_Type,MATCH(F27,coa_Name,0)),"")="Equity"),"Account is not an expense or asset account",""))))))</f>
        <v/>
      </c>
      <c r="V27" s="67">
        <f>IF(AND(R27=0,T27=""),1,0)</f>
        <v/>
      </c>
      <c r="W27" s="67">
        <f>IF(V27=1,F27,"")</f>
        <v/>
      </c>
      <c r="X27" s="67">
        <f>IF(V27=1,acctAP,"")</f>
        <v/>
      </c>
      <c r="Y27" s="68">
        <f>IF(V27=1,G27-S27,0)</f>
        <v/>
      </c>
      <c r="Z27" s="68">
        <f>IF(V27=1,G27,0)</f>
        <v/>
      </c>
      <c r="AA27" s="68">
        <f>IF(V27=1,S27,0)</f>
        <v/>
      </c>
    </row>
    <row r="28">
      <c r="B28" s="62" t="inlineStr">
        <is>
          <t>GO-052</t>
        </is>
      </c>
      <c r="C28" s="63" t="n">
        <v>46161</v>
      </c>
      <c r="D28" s="62" t="inlineStr">
        <is>
          <t>Golden Grain Flour Mill</t>
        </is>
      </c>
      <c r="E28" s="62" t="inlineStr">
        <is>
          <t>Ingredients delivery</t>
        </is>
      </c>
      <c r="F28" s="62" t="inlineStr">
        <is>
          <t>Direct Materials</t>
        </is>
      </c>
      <c r="G28" s="64" t="n">
        <v>48327.06</v>
      </c>
      <c r="H28" s="64" t="n">
        <v>5177.9</v>
      </c>
      <c r="I28" s="63" t="n"/>
      <c r="J28" s="29">
        <f>IF(V28=1,IF(ISNUMBER(I28),I28,C28+IF(ISNUMBER(IFERROR(INDEX(vend_Terms,MATCH(D28,vend_Name,0)),"")),INDEX(vend_Terms,MATCH(D28,vend_Name,0)),TermsDays)),"")</f>
        <v/>
      </c>
      <c r="K28" s="65">
        <f>IF(V28=1,SUMIFS(tx_CrAmt,tx_Type,"Bill Payment",tx_Ref,B28&amp;"",tx_Vend,D28,tx_Date,"&lt;="&amp;AsOf),"")</f>
        <v/>
      </c>
      <c r="L28" s="65">
        <f>IF(V28=1,IF(C28&gt;AsOf,0,ROUND(G28-K28,2)),"")</f>
        <v/>
      </c>
      <c r="M28" s="66">
        <f>IF(V28&lt;&gt;1,"",IF(C28&gt;AsOf,"Future",IF(L28&lt;0,"Overpaid",IF(L28=0,"Paid",IF(AsOf&gt;J28,"Overdue",IF(K28&gt;0,"Partial","Unpaid"))))))</f>
        <v/>
      </c>
      <c r="N28" s="28">
        <f>IF(AND(V28=1,N(L28)&gt;0),AsOf-C28,"")</f>
        <v/>
      </c>
      <c r="O28" s="28">
        <f>IF(N28="","",MAX(0,AsOf-J28))</f>
        <v/>
      </c>
      <c r="P28" s="66">
        <f>IF(O28="","",IF(O28=0,"Current",IF(O28&lt;=30,"1-30",IF(O28&lt;=60,"31-60",IF(O28&lt;=90,"61-90","90+")))))</f>
        <v/>
      </c>
      <c r="Q28" s="66">
        <f>IF(T28&lt;&gt;"","⛔ "&amp;T28&amp;" — not posted",IF(U28&lt;&gt;"","⚠ "&amp;U28,IF(V28=1,"✓ OK","")))</f>
        <v/>
      </c>
      <c r="R28" s="67">
        <f>IF(AND(B28="",C28="",D28="",G28="",F28=""),1,0)</f>
        <v/>
      </c>
      <c r="S28" s="68">
        <f>IF(AND(TaxOn="Yes",ISNUMBER(H28)),H28,0)</f>
        <v/>
      </c>
      <c r="T28" s="67">
        <f>IF(R28=1,"",IF(B28="","Enter a bill #",IF(D28="","Select a vendor",IF(C28="","Missing bill date",IF(NOT(ISNUMBER(C28)),"Invalid date",IF(OR(C28&lt;DATE(2000,1,1),C28&gt;DATE(2099,12,31)),"Invalid date",IF(F28="","Select an expense account",IF(ISNA(MATCH(F28,coa_Name,0)),"Unknown account: "&amp;F28,IF(NOT(ISNUMBER(G28)),"Enter an amount",IF(G28&lt;=0,"Amount must be positive",IF(S28&gt;G28,"Tax is larger than the amount","")))))))))))</f>
        <v/>
      </c>
      <c r="U28" s="67">
        <f>IF(OR(R28=1,T28&lt;&gt;""),"",IF(COUNTIFS(ap_No,B28,ap_Party,D28)&gt;1,"Duplicate bill #",IF(N(L28)&lt;0,"Overpaid by "&amp;TEXT(-L28,"#,##0.00"),IF(AND(ISNUMBER(H28),N(H28)&lt;&gt;0,S28=0),"Tax ignored (tax tracking is off)",IF(AND(ISNUMBER(StartDate),C28&lt;StartDate),"Date is before the accounting start date",IF(OR(IFERROR(INDEX(coa_Type,MATCH(F28,coa_Name,0)),"")="Revenue",IFERROR(INDEX(coa_Type,MATCH(F28,coa_Name,0)),"")="Other Income",IFERROR(INDEX(coa_Type,MATCH(F28,coa_Name,0)),"")="Equity"),"Account is not an expense or asset account",""))))))</f>
        <v/>
      </c>
      <c r="V28" s="67">
        <f>IF(AND(R28=0,T28=""),1,0)</f>
        <v/>
      </c>
      <c r="W28" s="67">
        <f>IF(V28=1,F28,"")</f>
        <v/>
      </c>
      <c r="X28" s="67">
        <f>IF(V28=1,acctAP,"")</f>
        <v/>
      </c>
      <c r="Y28" s="68">
        <f>IF(V28=1,G28-S28,0)</f>
        <v/>
      </c>
      <c r="Z28" s="68">
        <f>IF(V28=1,G28,0)</f>
        <v/>
      </c>
      <c r="AA28" s="68">
        <f>IF(V28=1,S28,0)</f>
        <v/>
      </c>
    </row>
    <row r="29">
      <c r="B29" s="62" t="inlineStr">
        <is>
          <t>FR-051</t>
        </is>
      </c>
      <c r="C29" s="63" t="n">
        <v>46147</v>
      </c>
      <c r="D29" s="62" t="inlineStr">
        <is>
          <t>Fresh Dairy Co.</t>
        </is>
      </c>
      <c r="E29" s="62" t="inlineStr">
        <is>
          <t>Ingredients delivery</t>
        </is>
      </c>
      <c r="F29" s="62" t="inlineStr">
        <is>
          <t>Direct Materials</t>
        </is>
      </c>
      <c r="G29" s="64" t="n">
        <v>15599.17</v>
      </c>
      <c r="H29" s="64" t="n">
        <v>1671.34</v>
      </c>
      <c r="I29" s="63" t="n"/>
      <c r="J29" s="29">
        <f>IF(V29=1,IF(ISNUMBER(I29),I29,C29+IF(ISNUMBER(IFERROR(INDEX(vend_Terms,MATCH(D29,vend_Name,0)),"")),INDEX(vend_Terms,MATCH(D29,vend_Name,0)),TermsDays)),"")</f>
        <v/>
      </c>
      <c r="K29" s="65">
        <f>IF(V29=1,SUMIFS(tx_CrAmt,tx_Type,"Bill Payment",tx_Ref,B29&amp;"",tx_Vend,D29,tx_Date,"&lt;="&amp;AsOf),"")</f>
        <v/>
      </c>
      <c r="L29" s="65">
        <f>IF(V29=1,IF(C29&gt;AsOf,0,ROUND(G29-K29,2)),"")</f>
        <v/>
      </c>
      <c r="M29" s="66">
        <f>IF(V29&lt;&gt;1,"",IF(C29&gt;AsOf,"Future",IF(L29&lt;0,"Overpaid",IF(L29=0,"Paid",IF(AsOf&gt;J29,"Overdue",IF(K29&gt;0,"Partial","Unpaid"))))))</f>
        <v/>
      </c>
      <c r="N29" s="28">
        <f>IF(AND(V29=1,N(L29)&gt;0),AsOf-C29,"")</f>
        <v/>
      </c>
      <c r="O29" s="28">
        <f>IF(N29="","",MAX(0,AsOf-J29))</f>
        <v/>
      </c>
      <c r="P29" s="66">
        <f>IF(O29="","",IF(O29=0,"Current",IF(O29&lt;=30,"1-30",IF(O29&lt;=60,"31-60",IF(O29&lt;=90,"61-90","90+")))))</f>
        <v/>
      </c>
      <c r="Q29" s="66">
        <f>IF(T29&lt;&gt;"","⛔ "&amp;T29&amp;" — not posted",IF(U29&lt;&gt;"","⚠ "&amp;U29,IF(V29=1,"✓ OK","")))</f>
        <v/>
      </c>
      <c r="R29" s="67">
        <f>IF(AND(B29="",C29="",D29="",G29="",F29=""),1,0)</f>
        <v/>
      </c>
      <c r="S29" s="68">
        <f>IF(AND(TaxOn="Yes",ISNUMBER(H29)),H29,0)</f>
        <v/>
      </c>
      <c r="T29" s="67">
        <f>IF(R29=1,"",IF(B29="","Enter a bill #",IF(D29="","Select a vendor",IF(C29="","Missing bill date",IF(NOT(ISNUMBER(C29)),"Invalid date",IF(OR(C29&lt;DATE(2000,1,1),C29&gt;DATE(2099,12,31)),"Invalid date",IF(F29="","Select an expense account",IF(ISNA(MATCH(F29,coa_Name,0)),"Unknown account: "&amp;F29,IF(NOT(ISNUMBER(G29)),"Enter an amount",IF(G29&lt;=0,"Amount must be positive",IF(S29&gt;G29,"Tax is larger than the amount","")))))))))))</f>
        <v/>
      </c>
      <c r="U29" s="67">
        <f>IF(OR(R29=1,T29&lt;&gt;""),"",IF(COUNTIFS(ap_No,B29,ap_Party,D29)&gt;1,"Duplicate bill #",IF(N(L29)&lt;0,"Overpaid by "&amp;TEXT(-L29,"#,##0.00"),IF(AND(ISNUMBER(H29),N(H29)&lt;&gt;0,S29=0),"Tax ignored (tax tracking is off)",IF(AND(ISNUMBER(StartDate),C29&lt;StartDate),"Date is before the accounting start date",IF(OR(IFERROR(INDEX(coa_Type,MATCH(F29,coa_Name,0)),"")="Revenue",IFERROR(INDEX(coa_Type,MATCH(F29,coa_Name,0)),"")="Other Income",IFERROR(INDEX(coa_Type,MATCH(F29,coa_Name,0)),"")="Equity"),"Account is not an expense or asset account",""))))))</f>
        <v/>
      </c>
      <c r="V29" s="67">
        <f>IF(AND(R29=0,T29=""),1,0)</f>
        <v/>
      </c>
      <c r="W29" s="67">
        <f>IF(V29=1,F29,"")</f>
        <v/>
      </c>
      <c r="X29" s="67">
        <f>IF(V29=1,acctAP,"")</f>
        <v/>
      </c>
      <c r="Y29" s="68">
        <f>IF(V29=1,G29-S29,0)</f>
        <v/>
      </c>
      <c r="Z29" s="68">
        <f>IF(V29=1,G29,0)</f>
        <v/>
      </c>
      <c r="AA29" s="68">
        <f>IF(V29=1,S29,0)</f>
        <v/>
      </c>
    </row>
    <row r="30">
      <c r="B30" s="62" t="inlineStr">
        <is>
          <t>FR-052</t>
        </is>
      </c>
      <c r="C30" s="63" t="n">
        <v>46158</v>
      </c>
      <c r="D30" s="62" t="inlineStr">
        <is>
          <t>Fresh Dairy Co.</t>
        </is>
      </c>
      <c r="E30" s="62" t="inlineStr">
        <is>
          <t>Ingredients delivery</t>
        </is>
      </c>
      <c r="F30" s="62" t="inlineStr">
        <is>
          <t>Direct Materials</t>
        </is>
      </c>
      <c r="G30" s="64" t="n">
        <v>19453.81</v>
      </c>
      <c r="H30" s="64" t="n">
        <v>2084.34</v>
      </c>
      <c r="I30" s="63" t="n"/>
      <c r="J30" s="29">
        <f>IF(V30=1,IF(ISNUMBER(I30),I30,C30+IF(ISNUMBER(IFERROR(INDEX(vend_Terms,MATCH(D30,vend_Name,0)),"")),INDEX(vend_Terms,MATCH(D30,vend_Name,0)),TermsDays)),"")</f>
        <v/>
      </c>
      <c r="K30" s="65">
        <f>IF(V30=1,SUMIFS(tx_CrAmt,tx_Type,"Bill Payment",tx_Ref,B30&amp;"",tx_Vend,D30,tx_Date,"&lt;="&amp;AsOf),"")</f>
        <v/>
      </c>
      <c r="L30" s="65">
        <f>IF(V30=1,IF(C30&gt;AsOf,0,ROUND(G30-K30,2)),"")</f>
        <v/>
      </c>
      <c r="M30" s="66">
        <f>IF(V30&lt;&gt;1,"",IF(C30&gt;AsOf,"Future",IF(L30&lt;0,"Overpaid",IF(L30=0,"Paid",IF(AsOf&gt;J30,"Overdue",IF(K30&gt;0,"Partial","Unpaid"))))))</f>
        <v/>
      </c>
      <c r="N30" s="28">
        <f>IF(AND(V30=1,N(L30)&gt;0),AsOf-C30,"")</f>
        <v/>
      </c>
      <c r="O30" s="28">
        <f>IF(N30="","",MAX(0,AsOf-J30))</f>
        <v/>
      </c>
      <c r="P30" s="66">
        <f>IF(O30="","",IF(O30=0,"Current",IF(O30&lt;=30,"1-30",IF(O30&lt;=60,"31-60",IF(O30&lt;=90,"61-90","90+")))))</f>
        <v/>
      </c>
      <c r="Q30" s="66">
        <f>IF(T30&lt;&gt;"","⛔ "&amp;T30&amp;" — not posted",IF(U30&lt;&gt;"","⚠ "&amp;U30,IF(V30=1,"✓ OK","")))</f>
        <v/>
      </c>
      <c r="R30" s="67">
        <f>IF(AND(B30="",C30="",D30="",G30="",F30=""),1,0)</f>
        <v/>
      </c>
      <c r="S30" s="68">
        <f>IF(AND(TaxOn="Yes",ISNUMBER(H30)),H30,0)</f>
        <v/>
      </c>
      <c r="T30" s="67">
        <f>IF(R30=1,"",IF(B30="","Enter a bill #",IF(D30="","Select a vendor",IF(C30="","Missing bill date",IF(NOT(ISNUMBER(C30)),"Invalid date",IF(OR(C30&lt;DATE(2000,1,1),C30&gt;DATE(2099,12,31)),"Invalid date",IF(F30="","Select an expense account",IF(ISNA(MATCH(F30,coa_Name,0)),"Unknown account: "&amp;F30,IF(NOT(ISNUMBER(G30)),"Enter an amount",IF(G30&lt;=0,"Amount must be positive",IF(S30&gt;G30,"Tax is larger than the amount","")))))))))))</f>
        <v/>
      </c>
      <c r="U30" s="67">
        <f>IF(OR(R30=1,T30&lt;&gt;""),"",IF(COUNTIFS(ap_No,B30,ap_Party,D30)&gt;1,"Duplicate bill #",IF(N(L30)&lt;0,"Overpaid by "&amp;TEXT(-L30,"#,##0.00"),IF(AND(ISNUMBER(H30),N(H30)&lt;&gt;0,S30=0),"Tax ignored (tax tracking is off)",IF(AND(ISNUMBER(StartDate),C30&lt;StartDate),"Date is before the accounting start date",IF(OR(IFERROR(INDEX(coa_Type,MATCH(F30,coa_Name,0)),"")="Revenue",IFERROR(INDEX(coa_Type,MATCH(F30,coa_Name,0)),"")="Other Income",IFERROR(INDEX(coa_Type,MATCH(F30,coa_Name,0)),"")="Equity"),"Account is not an expense or asset account",""))))))</f>
        <v/>
      </c>
      <c r="V30" s="67">
        <f>IF(AND(R30=0,T30=""),1,0)</f>
        <v/>
      </c>
      <c r="W30" s="67">
        <f>IF(V30=1,F30,"")</f>
        <v/>
      </c>
      <c r="X30" s="67">
        <f>IF(V30=1,acctAP,"")</f>
        <v/>
      </c>
      <c r="Y30" s="68">
        <f>IF(V30=1,G30-S30,0)</f>
        <v/>
      </c>
      <c r="Z30" s="68">
        <f>IF(V30=1,G30,0)</f>
        <v/>
      </c>
      <c r="AA30" s="68">
        <f>IF(V30=1,S30,0)</f>
        <v/>
      </c>
    </row>
    <row r="31">
      <c r="B31" s="62" t="inlineStr">
        <is>
          <t>PA-051</t>
        </is>
      </c>
      <c r="C31" s="63" t="n">
        <v>46147</v>
      </c>
      <c r="D31" s="62" t="inlineStr">
        <is>
          <t>PackRight Supplies</t>
        </is>
      </c>
      <c r="E31" s="62" t="inlineStr">
        <is>
          <t>Packaging</t>
        </is>
      </c>
      <c r="F31" s="62" t="inlineStr">
        <is>
          <t>Other Direct Costs</t>
        </is>
      </c>
      <c r="G31" s="64" t="n">
        <v>9210.299999999999</v>
      </c>
      <c r="H31" s="64" t="n">
        <v>986.8200000000001</v>
      </c>
      <c r="I31" s="63" t="n"/>
      <c r="J31" s="29">
        <f>IF(V31=1,IF(ISNUMBER(I31),I31,C31+IF(ISNUMBER(IFERROR(INDEX(vend_Terms,MATCH(D31,vend_Name,0)),"")),INDEX(vend_Terms,MATCH(D31,vend_Name,0)),TermsDays)),"")</f>
        <v/>
      </c>
      <c r="K31" s="65">
        <f>IF(V31=1,SUMIFS(tx_CrAmt,tx_Type,"Bill Payment",tx_Ref,B31&amp;"",tx_Vend,D31,tx_Date,"&lt;="&amp;AsOf),"")</f>
        <v/>
      </c>
      <c r="L31" s="65">
        <f>IF(V31=1,IF(C31&gt;AsOf,0,ROUND(G31-K31,2)),"")</f>
        <v/>
      </c>
      <c r="M31" s="66">
        <f>IF(V31&lt;&gt;1,"",IF(C31&gt;AsOf,"Future",IF(L31&lt;0,"Overpaid",IF(L31=0,"Paid",IF(AsOf&gt;J31,"Overdue",IF(K31&gt;0,"Partial","Unpaid"))))))</f>
        <v/>
      </c>
      <c r="N31" s="28">
        <f>IF(AND(V31=1,N(L31)&gt;0),AsOf-C31,"")</f>
        <v/>
      </c>
      <c r="O31" s="28">
        <f>IF(N31="","",MAX(0,AsOf-J31))</f>
        <v/>
      </c>
      <c r="P31" s="66">
        <f>IF(O31="","",IF(O31=0,"Current",IF(O31&lt;=30,"1-30",IF(O31&lt;=60,"31-60",IF(O31&lt;=90,"61-90","90+")))))</f>
        <v/>
      </c>
      <c r="Q31" s="66">
        <f>IF(T31&lt;&gt;"","⛔ "&amp;T31&amp;" — not posted",IF(U31&lt;&gt;"","⚠ "&amp;U31,IF(V31=1,"✓ OK","")))</f>
        <v/>
      </c>
      <c r="R31" s="67">
        <f>IF(AND(B31="",C31="",D31="",G31="",F31=""),1,0)</f>
        <v/>
      </c>
      <c r="S31" s="68">
        <f>IF(AND(TaxOn="Yes",ISNUMBER(H31)),H31,0)</f>
        <v/>
      </c>
      <c r="T31" s="67">
        <f>IF(R31=1,"",IF(B31="","Enter a bill #",IF(D31="","Select a vendor",IF(C31="","Missing bill date",IF(NOT(ISNUMBER(C31)),"Invalid date",IF(OR(C31&lt;DATE(2000,1,1),C31&gt;DATE(2099,12,31)),"Invalid date",IF(F31="","Select an expense account",IF(ISNA(MATCH(F31,coa_Name,0)),"Unknown account: "&amp;F31,IF(NOT(ISNUMBER(G31)),"Enter an amount",IF(G31&lt;=0,"Amount must be positive",IF(S31&gt;G31,"Tax is larger than the amount","")))))))))))</f>
        <v/>
      </c>
      <c r="U31" s="67">
        <f>IF(OR(R31=1,T31&lt;&gt;""),"",IF(COUNTIFS(ap_No,B31,ap_Party,D31)&gt;1,"Duplicate bill #",IF(N(L31)&lt;0,"Overpaid by "&amp;TEXT(-L31,"#,##0.00"),IF(AND(ISNUMBER(H31),N(H31)&lt;&gt;0,S31=0),"Tax ignored (tax tracking is off)",IF(AND(ISNUMBER(StartDate),C31&lt;StartDate),"Date is before the accounting start date",IF(OR(IFERROR(INDEX(coa_Type,MATCH(F31,coa_Name,0)),"")="Revenue",IFERROR(INDEX(coa_Type,MATCH(F31,coa_Name,0)),"")="Other Income",IFERROR(INDEX(coa_Type,MATCH(F31,coa_Name,0)),"")="Equity"),"Account is not an expense or asset account",""))))))</f>
        <v/>
      </c>
      <c r="V31" s="67">
        <f>IF(AND(R31=0,T31=""),1,0)</f>
        <v/>
      </c>
      <c r="W31" s="67">
        <f>IF(V31=1,F31,"")</f>
        <v/>
      </c>
      <c r="X31" s="67">
        <f>IF(V31=1,acctAP,"")</f>
        <v/>
      </c>
      <c r="Y31" s="68">
        <f>IF(V31=1,G31-S31,0)</f>
        <v/>
      </c>
      <c r="Z31" s="68">
        <f>IF(V31=1,G31,0)</f>
        <v/>
      </c>
      <c r="AA31" s="68">
        <f>IF(V31=1,S31,0)</f>
        <v/>
      </c>
    </row>
    <row r="32">
      <c r="B32" s="62" t="inlineStr">
        <is>
          <t>GO-061</t>
        </is>
      </c>
      <c r="C32" s="63" t="n">
        <v>46179</v>
      </c>
      <c r="D32" s="62" t="inlineStr">
        <is>
          <t>Golden Grain Flour Mill</t>
        </is>
      </c>
      <c r="E32" s="62" t="inlineStr">
        <is>
          <t>Ingredients delivery</t>
        </is>
      </c>
      <c r="F32" s="62" t="inlineStr">
        <is>
          <t>Direct Materials</t>
        </is>
      </c>
      <c r="G32" s="64" t="n">
        <v>30986.89</v>
      </c>
      <c r="H32" s="64" t="n">
        <v>3320.02</v>
      </c>
      <c r="I32" s="63" t="n"/>
      <c r="J32" s="29">
        <f>IF(V32=1,IF(ISNUMBER(I32),I32,C32+IF(ISNUMBER(IFERROR(INDEX(vend_Terms,MATCH(D32,vend_Name,0)),"")),INDEX(vend_Terms,MATCH(D32,vend_Name,0)),TermsDays)),"")</f>
        <v/>
      </c>
      <c r="K32" s="65">
        <f>IF(V32=1,SUMIFS(tx_CrAmt,tx_Type,"Bill Payment",tx_Ref,B32&amp;"",tx_Vend,D32,tx_Date,"&lt;="&amp;AsOf),"")</f>
        <v/>
      </c>
      <c r="L32" s="65">
        <f>IF(V32=1,IF(C32&gt;AsOf,0,ROUND(G32-K32,2)),"")</f>
        <v/>
      </c>
      <c r="M32" s="66">
        <f>IF(V32&lt;&gt;1,"",IF(C32&gt;AsOf,"Future",IF(L32&lt;0,"Overpaid",IF(L32=0,"Paid",IF(AsOf&gt;J32,"Overdue",IF(K32&gt;0,"Partial","Unpaid"))))))</f>
        <v/>
      </c>
      <c r="N32" s="28">
        <f>IF(AND(V32=1,N(L32)&gt;0),AsOf-C32,"")</f>
        <v/>
      </c>
      <c r="O32" s="28">
        <f>IF(N32="","",MAX(0,AsOf-J32))</f>
        <v/>
      </c>
      <c r="P32" s="66">
        <f>IF(O32="","",IF(O32=0,"Current",IF(O32&lt;=30,"1-30",IF(O32&lt;=60,"31-60",IF(O32&lt;=90,"61-90","90+")))))</f>
        <v/>
      </c>
      <c r="Q32" s="66">
        <f>IF(T32&lt;&gt;"","⛔ "&amp;T32&amp;" — not posted",IF(U32&lt;&gt;"","⚠ "&amp;U32,IF(V32=1,"✓ OK","")))</f>
        <v/>
      </c>
      <c r="R32" s="67">
        <f>IF(AND(B32="",C32="",D32="",G32="",F32=""),1,0)</f>
        <v/>
      </c>
      <c r="S32" s="68">
        <f>IF(AND(TaxOn="Yes",ISNUMBER(H32)),H32,0)</f>
        <v/>
      </c>
      <c r="T32" s="67">
        <f>IF(R32=1,"",IF(B32="","Enter a bill #",IF(D32="","Select a vendor",IF(C32="","Missing bill date",IF(NOT(ISNUMBER(C32)),"Invalid date",IF(OR(C32&lt;DATE(2000,1,1),C32&gt;DATE(2099,12,31)),"Invalid date",IF(F32="","Select an expense account",IF(ISNA(MATCH(F32,coa_Name,0)),"Unknown account: "&amp;F32,IF(NOT(ISNUMBER(G32)),"Enter an amount",IF(G32&lt;=0,"Amount must be positive",IF(S32&gt;G32,"Tax is larger than the amount","")))))))))))</f>
        <v/>
      </c>
      <c r="U32" s="67">
        <f>IF(OR(R32=1,T32&lt;&gt;""),"",IF(COUNTIFS(ap_No,B32,ap_Party,D32)&gt;1,"Duplicate bill #",IF(N(L32)&lt;0,"Overpaid by "&amp;TEXT(-L32,"#,##0.00"),IF(AND(ISNUMBER(H32),N(H32)&lt;&gt;0,S32=0),"Tax ignored (tax tracking is off)",IF(AND(ISNUMBER(StartDate),C32&lt;StartDate),"Date is before the accounting start date",IF(OR(IFERROR(INDEX(coa_Type,MATCH(F32,coa_Name,0)),"")="Revenue",IFERROR(INDEX(coa_Type,MATCH(F32,coa_Name,0)),"")="Other Income",IFERROR(INDEX(coa_Type,MATCH(F32,coa_Name,0)),"")="Equity"),"Account is not an expense or asset account",""))))))</f>
        <v/>
      </c>
      <c r="V32" s="67">
        <f>IF(AND(R32=0,T32=""),1,0)</f>
        <v/>
      </c>
      <c r="W32" s="67">
        <f>IF(V32=1,F32,"")</f>
        <v/>
      </c>
      <c r="X32" s="67">
        <f>IF(V32=1,acctAP,"")</f>
        <v/>
      </c>
      <c r="Y32" s="68">
        <f>IF(V32=1,G32-S32,0)</f>
        <v/>
      </c>
      <c r="Z32" s="68">
        <f>IF(V32=1,G32,0)</f>
        <v/>
      </c>
      <c r="AA32" s="68">
        <f>IF(V32=1,S32,0)</f>
        <v/>
      </c>
    </row>
    <row r="33">
      <c r="B33" s="62" t="inlineStr">
        <is>
          <t>GO-062</t>
        </is>
      </c>
      <c r="C33" s="63" t="n">
        <v>46191</v>
      </c>
      <c r="D33" s="62" t="inlineStr">
        <is>
          <t>Golden Grain Flour Mill</t>
        </is>
      </c>
      <c r="E33" s="62" t="inlineStr">
        <is>
          <t>Ingredients delivery</t>
        </is>
      </c>
      <c r="F33" s="62" t="inlineStr">
        <is>
          <t>Direct Materials</t>
        </is>
      </c>
      <c r="G33" s="64" t="n">
        <v>32206.93</v>
      </c>
      <c r="H33" s="64" t="n">
        <v>3450.74</v>
      </c>
      <c r="I33" s="63" t="n"/>
      <c r="J33" s="29">
        <f>IF(V33=1,IF(ISNUMBER(I33),I33,C33+IF(ISNUMBER(IFERROR(INDEX(vend_Terms,MATCH(D33,vend_Name,0)),"")),INDEX(vend_Terms,MATCH(D33,vend_Name,0)),TermsDays)),"")</f>
        <v/>
      </c>
      <c r="K33" s="65">
        <f>IF(V33=1,SUMIFS(tx_CrAmt,tx_Type,"Bill Payment",tx_Ref,B33&amp;"",tx_Vend,D33,tx_Date,"&lt;="&amp;AsOf),"")</f>
        <v/>
      </c>
      <c r="L33" s="65">
        <f>IF(V33=1,IF(C33&gt;AsOf,0,ROUND(G33-K33,2)),"")</f>
        <v/>
      </c>
      <c r="M33" s="66">
        <f>IF(V33&lt;&gt;1,"",IF(C33&gt;AsOf,"Future",IF(L33&lt;0,"Overpaid",IF(L33=0,"Paid",IF(AsOf&gt;J33,"Overdue",IF(K33&gt;0,"Partial","Unpaid"))))))</f>
        <v/>
      </c>
      <c r="N33" s="28">
        <f>IF(AND(V33=1,N(L33)&gt;0),AsOf-C33,"")</f>
        <v/>
      </c>
      <c r="O33" s="28">
        <f>IF(N33="","",MAX(0,AsOf-J33))</f>
        <v/>
      </c>
      <c r="P33" s="66">
        <f>IF(O33="","",IF(O33=0,"Current",IF(O33&lt;=30,"1-30",IF(O33&lt;=60,"31-60",IF(O33&lt;=90,"61-90","90+")))))</f>
        <v/>
      </c>
      <c r="Q33" s="66">
        <f>IF(T33&lt;&gt;"","⛔ "&amp;T33&amp;" — not posted",IF(U33&lt;&gt;"","⚠ "&amp;U33,IF(V33=1,"✓ OK","")))</f>
        <v/>
      </c>
      <c r="R33" s="67">
        <f>IF(AND(B33="",C33="",D33="",G33="",F33=""),1,0)</f>
        <v/>
      </c>
      <c r="S33" s="68">
        <f>IF(AND(TaxOn="Yes",ISNUMBER(H33)),H33,0)</f>
        <v/>
      </c>
      <c r="T33" s="67">
        <f>IF(R33=1,"",IF(B33="","Enter a bill #",IF(D33="","Select a vendor",IF(C33="","Missing bill date",IF(NOT(ISNUMBER(C33)),"Invalid date",IF(OR(C33&lt;DATE(2000,1,1),C33&gt;DATE(2099,12,31)),"Invalid date",IF(F33="","Select an expense account",IF(ISNA(MATCH(F33,coa_Name,0)),"Unknown account: "&amp;F33,IF(NOT(ISNUMBER(G33)),"Enter an amount",IF(G33&lt;=0,"Amount must be positive",IF(S33&gt;G33,"Tax is larger than the amount","")))))))))))</f>
        <v/>
      </c>
      <c r="U33" s="67">
        <f>IF(OR(R33=1,T33&lt;&gt;""),"",IF(COUNTIFS(ap_No,B33,ap_Party,D33)&gt;1,"Duplicate bill #",IF(N(L33)&lt;0,"Overpaid by "&amp;TEXT(-L33,"#,##0.00"),IF(AND(ISNUMBER(H33),N(H33)&lt;&gt;0,S33=0),"Tax ignored (tax tracking is off)",IF(AND(ISNUMBER(StartDate),C33&lt;StartDate),"Date is before the accounting start date",IF(OR(IFERROR(INDEX(coa_Type,MATCH(F33,coa_Name,0)),"")="Revenue",IFERROR(INDEX(coa_Type,MATCH(F33,coa_Name,0)),"")="Other Income",IFERROR(INDEX(coa_Type,MATCH(F33,coa_Name,0)),"")="Equity"),"Account is not an expense or asset account",""))))))</f>
        <v/>
      </c>
      <c r="V33" s="67">
        <f>IF(AND(R33=0,T33=""),1,0)</f>
        <v/>
      </c>
      <c r="W33" s="67">
        <f>IF(V33=1,F33,"")</f>
        <v/>
      </c>
      <c r="X33" s="67">
        <f>IF(V33=1,acctAP,"")</f>
        <v/>
      </c>
      <c r="Y33" s="68">
        <f>IF(V33=1,G33-S33,0)</f>
        <v/>
      </c>
      <c r="Z33" s="68">
        <f>IF(V33=1,G33,0)</f>
        <v/>
      </c>
      <c r="AA33" s="68">
        <f>IF(V33=1,S33,0)</f>
        <v/>
      </c>
    </row>
    <row r="34">
      <c r="B34" s="62" t="inlineStr">
        <is>
          <t>FR-061</t>
        </is>
      </c>
      <c r="C34" s="63" t="n">
        <v>46177</v>
      </c>
      <c r="D34" s="62" t="inlineStr">
        <is>
          <t>Fresh Dairy Co.</t>
        </is>
      </c>
      <c r="E34" s="62" t="inlineStr">
        <is>
          <t>Ingredients delivery</t>
        </is>
      </c>
      <c r="F34" s="62" t="inlineStr">
        <is>
          <t>Direct Materials</t>
        </is>
      </c>
      <c r="G34" s="64" t="n">
        <v>12913.67</v>
      </c>
      <c r="H34" s="64" t="n">
        <v>1383.61</v>
      </c>
      <c r="I34" s="63" t="n"/>
      <c r="J34" s="29">
        <f>IF(V34=1,IF(ISNUMBER(I34),I34,C34+IF(ISNUMBER(IFERROR(INDEX(vend_Terms,MATCH(D34,vend_Name,0)),"")),INDEX(vend_Terms,MATCH(D34,vend_Name,0)),TermsDays)),"")</f>
        <v/>
      </c>
      <c r="K34" s="65">
        <f>IF(V34=1,SUMIFS(tx_CrAmt,tx_Type,"Bill Payment",tx_Ref,B34&amp;"",tx_Vend,D34,tx_Date,"&lt;="&amp;AsOf),"")</f>
        <v/>
      </c>
      <c r="L34" s="65">
        <f>IF(V34=1,IF(C34&gt;AsOf,0,ROUND(G34-K34,2)),"")</f>
        <v/>
      </c>
      <c r="M34" s="66">
        <f>IF(V34&lt;&gt;1,"",IF(C34&gt;AsOf,"Future",IF(L34&lt;0,"Overpaid",IF(L34=0,"Paid",IF(AsOf&gt;J34,"Overdue",IF(K34&gt;0,"Partial","Unpaid"))))))</f>
        <v/>
      </c>
      <c r="N34" s="28">
        <f>IF(AND(V34=1,N(L34)&gt;0),AsOf-C34,"")</f>
        <v/>
      </c>
      <c r="O34" s="28">
        <f>IF(N34="","",MAX(0,AsOf-J34))</f>
        <v/>
      </c>
      <c r="P34" s="66">
        <f>IF(O34="","",IF(O34=0,"Current",IF(O34&lt;=30,"1-30",IF(O34&lt;=60,"31-60",IF(O34&lt;=90,"61-90","90+")))))</f>
        <v/>
      </c>
      <c r="Q34" s="66">
        <f>IF(T34&lt;&gt;"","⛔ "&amp;T34&amp;" — not posted",IF(U34&lt;&gt;"","⚠ "&amp;U34,IF(V34=1,"✓ OK","")))</f>
        <v/>
      </c>
      <c r="R34" s="67">
        <f>IF(AND(B34="",C34="",D34="",G34="",F34=""),1,0)</f>
        <v/>
      </c>
      <c r="S34" s="68">
        <f>IF(AND(TaxOn="Yes",ISNUMBER(H34)),H34,0)</f>
        <v/>
      </c>
      <c r="T34" s="67">
        <f>IF(R34=1,"",IF(B34="","Enter a bill #",IF(D34="","Select a vendor",IF(C34="","Missing bill date",IF(NOT(ISNUMBER(C34)),"Invalid date",IF(OR(C34&lt;DATE(2000,1,1),C34&gt;DATE(2099,12,31)),"Invalid date",IF(F34="","Select an expense account",IF(ISNA(MATCH(F34,coa_Name,0)),"Unknown account: "&amp;F34,IF(NOT(ISNUMBER(G34)),"Enter an amount",IF(G34&lt;=0,"Amount must be positive",IF(S34&gt;G34,"Tax is larger than the amount","")))))))))))</f>
        <v/>
      </c>
      <c r="U34" s="67">
        <f>IF(OR(R34=1,T34&lt;&gt;""),"",IF(COUNTIFS(ap_No,B34,ap_Party,D34)&gt;1,"Duplicate bill #",IF(N(L34)&lt;0,"Overpaid by "&amp;TEXT(-L34,"#,##0.00"),IF(AND(ISNUMBER(H34),N(H34)&lt;&gt;0,S34=0),"Tax ignored (tax tracking is off)",IF(AND(ISNUMBER(StartDate),C34&lt;StartDate),"Date is before the accounting start date",IF(OR(IFERROR(INDEX(coa_Type,MATCH(F34,coa_Name,0)),"")="Revenue",IFERROR(INDEX(coa_Type,MATCH(F34,coa_Name,0)),"")="Other Income",IFERROR(INDEX(coa_Type,MATCH(F34,coa_Name,0)),"")="Equity"),"Account is not an expense or asset account",""))))))</f>
        <v/>
      </c>
      <c r="V34" s="67">
        <f>IF(AND(R34=0,T34=""),1,0)</f>
        <v/>
      </c>
      <c r="W34" s="67">
        <f>IF(V34=1,F34,"")</f>
        <v/>
      </c>
      <c r="X34" s="67">
        <f>IF(V34=1,acctAP,"")</f>
        <v/>
      </c>
      <c r="Y34" s="68">
        <f>IF(V34=1,G34-S34,0)</f>
        <v/>
      </c>
      <c r="Z34" s="68">
        <f>IF(V34=1,G34,0)</f>
        <v/>
      </c>
      <c r="AA34" s="68">
        <f>IF(V34=1,S34,0)</f>
        <v/>
      </c>
    </row>
    <row r="35">
      <c r="B35" s="62" t="inlineStr">
        <is>
          <t>FR-062</t>
        </is>
      </c>
      <c r="C35" s="63" t="n">
        <v>46192</v>
      </c>
      <c r="D35" s="62" t="inlineStr">
        <is>
          <t>Fresh Dairy Co.</t>
        </is>
      </c>
      <c r="E35" s="62" t="inlineStr">
        <is>
          <t>Ingredients delivery</t>
        </is>
      </c>
      <c r="F35" s="62" t="inlineStr">
        <is>
          <t>Direct Materials</t>
        </is>
      </c>
      <c r="G35" s="64" t="n">
        <v>12473.46</v>
      </c>
      <c r="H35" s="64" t="n">
        <v>1336.44</v>
      </c>
      <c r="I35" s="63" t="n"/>
      <c r="J35" s="29">
        <f>IF(V35=1,IF(ISNUMBER(I35),I35,C35+IF(ISNUMBER(IFERROR(INDEX(vend_Terms,MATCH(D35,vend_Name,0)),"")),INDEX(vend_Terms,MATCH(D35,vend_Name,0)),TermsDays)),"")</f>
        <v/>
      </c>
      <c r="K35" s="65">
        <f>IF(V35=1,SUMIFS(tx_CrAmt,tx_Type,"Bill Payment",tx_Ref,B35&amp;"",tx_Vend,D35,tx_Date,"&lt;="&amp;AsOf),"")</f>
        <v/>
      </c>
      <c r="L35" s="65">
        <f>IF(V35=1,IF(C35&gt;AsOf,0,ROUND(G35-K35,2)),"")</f>
        <v/>
      </c>
      <c r="M35" s="66">
        <f>IF(V35&lt;&gt;1,"",IF(C35&gt;AsOf,"Future",IF(L35&lt;0,"Overpaid",IF(L35=0,"Paid",IF(AsOf&gt;J35,"Overdue",IF(K35&gt;0,"Partial","Unpaid"))))))</f>
        <v/>
      </c>
      <c r="N35" s="28">
        <f>IF(AND(V35=1,N(L35)&gt;0),AsOf-C35,"")</f>
        <v/>
      </c>
      <c r="O35" s="28">
        <f>IF(N35="","",MAX(0,AsOf-J35))</f>
        <v/>
      </c>
      <c r="P35" s="66">
        <f>IF(O35="","",IF(O35=0,"Current",IF(O35&lt;=30,"1-30",IF(O35&lt;=60,"31-60",IF(O35&lt;=90,"61-90","90+")))))</f>
        <v/>
      </c>
      <c r="Q35" s="66">
        <f>IF(T35&lt;&gt;"","⛔ "&amp;T35&amp;" — not posted",IF(U35&lt;&gt;"","⚠ "&amp;U35,IF(V35=1,"✓ OK","")))</f>
        <v/>
      </c>
      <c r="R35" s="67">
        <f>IF(AND(B35="",C35="",D35="",G35="",F35=""),1,0)</f>
        <v/>
      </c>
      <c r="S35" s="68">
        <f>IF(AND(TaxOn="Yes",ISNUMBER(H35)),H35,0)</f>
        <v/>
      </c>
      <c r="T35" s="67">
        <f>IF(R35=1,"",IF(B35="","Enter a bill #",IF(D35="","Select a vendor",IF(C35="","Missing bill date",IF(NOT(ISNUMBER(C35)),"Invalid date",IF(OR(C35&lt;DATE(2000,1,1),C35&gt;DATE(2099,12,31)),"Invalid date",IF(F35="","Select an expense account",IF(ISNA(MATCH(F35,coa_Name,0)),"Unknown account: "&amp;F35,IF(NOT(ISNUMBER(G35)),"Enter an amount",IF(G35&lt;=0,"Amount must be positive",IF(S35&gt;G35,"Tax is larger than the amount","")))))))))))</f>
        <v/>
      </c>
      <c r="U35" s="67">
        <f>IF(OR(R35=1,T35&lt;&gt;""),"",IF(COUNTIFS(ap_No,B35,ap_Party,D35)&gt;1,"Duplicate bill #",IF(N(L35)&lt;0,"Overpaid by "&amp;TEXT(-L35,"#,##0.00"),IF(AND(ISNUMBER(H35),N(H35)&lt;&gt;0,S35=0),"Tax ignored (tax tracking is off)",IF(AND(ISNUMBER(StartDate),C35&lt;StartDate),"Date is before the accounting start date",IF(OR(IFERROR(INDEX(coa_Type,MATCH(F35,coa_Name,0)),"")="Revenue",IFERROR(INDEX(coa_Type,MATCH(F35,coa_Name,0)),"")="Other Income",IFERROR(INDEX(coa_Type,MATCH(F35,coa_Name,0)),"")="Equity"),"Account is not an expense or asset account",""))))))</f>
        <v/>
      </c>
      <c r="V35" s="67">
        <f>IF(AND(R35=0,T35=""),1,0)</f>
        <v/>
      </c>
      <c r="W35" s="67">
        <f>IF(V35=1,F35,"")</f>
        <v/>
      </c>
      <c r="X35" s="67">
        <f>IF(V35=1,acctAP,"")</f>
        <v/>
      </c>
      <c r="Y35" s="68">
        <f>IF(V35=1,G35-S35,0)</f>
        <v/>
      </c>
      <c r="Z35" s="68">
        <f>IF(V35=1,G35,0)</f>
        <v/>
      </c>
      <c r="AA35" s="68">
        <f>IF(V35=1,S35,0)</f>
        <v/>
      </c>
    </row>
    <row r="36">
      <c r="B36" s="62" t="inlineStr">
        <is>
          <t>PA-061</t>
        </is>
      </c>
      <c r="C36" s="63" t="n">
        <v>46176</v>
      </c>
      <c r="D36" s="62" t="inlineStr">
        <is>
          <t>PackRight Supplies</t>
        </is>
      </c>
      <c r="E36" s="62" t="inlineStr">
        <is>
          <t>Packaging</t>
        </is>
      </c>
      <c r="F36" s="62" t="inlineStr">
        <is>
          <t>Other Direct Costs</t>
        </is>
      </c>
      <c r="G36" s="64" t="n">
        <v>6460.39</v>
      </c>
      <c r="H36" s="64" t="n">
        <v>692.1799999999999</v>
      </c>
      <c r="I36" s="63" t="n"/>
      <c r="J36" s="29">
        <f>IF(V36=1,IF(ISNUMBER(I36),I36,C36+IF(ISNUMBER(IFERROR(INDEX(vend_Terms,MATCH(D36,vend_Name,0)),"")),INDEX(vend_Terms,MATCH(D36,vend_Name,0)),TermsDays)),"")</f>
        <v/>
      </c>
      <c r="K36" s="65">
        <f>IF(V36=1,SUMIFS(tx_CrAmt,tx_Type,"Bill Payment",tx_Ref,B36&amp;"",tx_Vend,D36,tx_Date,"&lt;="&amp;AsOf),"")</f>
        <v/>
      </c>
      <c r="L36" s="65">
        <f>IF(V36=1,IF(C36&gt;AsOf,0,ROUND(G36-K36,2)),"")</f>
        <v/>
      </c>
      <c r="M36" s="66">
        <f>IF(V36&lt;&gt;1,"",IF(C36&gt;AsOf,"Future",IF(L36&lt;0,"Overpaid",IF(L36=0,"Paid",IF(AsOf&gt;J36,"Overdue",IF(K36&gt;0,"Partial","Unpaid"))))))</f>
        <v/>
      </c>
      <c r="N36" s="28">
        <f>IF(AND(V36=1,N(L36)&gt;0),AsOf-C36,"")</f>
        <v/>
      </c>
      <c r="O36" s="28">
        <f>IF(N36="","",MAX(0,AsOf-J36))</f>
        <v/>
      </c>
      <c r="P36" s="66">
        <f>IF(O36="","",IF(O36=0,"Current",IF(O36&lt;=30,"1-30",IF(O36&lt;=60,"31-60",IF(O36&lt;=90,"61-90","90+")))))</f>
        <v/>
      </c>
      <c r="Q36" s="66">
        <f>IF(T36&lt;&gt;"","⛔ "&amp;T36&amp;" — not posted",IF(U36&lt;&gt;"","⚠ "&amp;U36,IF(V36=1,"✓ OK","")))</f>
        <v/>
      </c>
      <c r="R36" s="67">
        <f>IF(AND(B36="",C36="",D36="",G36="",F36=""),1,0)</f>
        <v/>
      </c>
      <c r="S36" s="68">
        <f>IF(AND(TaxOn="Yes",ISNUMBER(H36)),H36,0)</f>
        <v/>
      </c>
      <c r="T36" s="67">
        <f>IF(R36=1,"",IF(B36="","Enter a bill #",IF(D36="","Select a vendor",IF(C36="","Missing bill date",IF(NOT(ISNUMBER(C36)),"Invalid date",IF(OR(C36&lt;DATE(2000,1,1),C36&gt;DATE(2099,12,31)),"Invalid date",IF(F36="","Select an expense account",IF(ISNA(MATCH(F36,coa_Name,0)),"Unknown account: "&amp;F36,IF(NOT(ISNUMBER(G36)),"Enter an amount",IF(G36&lt;=0,"Amount must be positive",IF(S36&gt;G36,"Tax is larger than the amount","")))))))))))</f>
        <v/>
      </c>
      <c r="U36" s="67">
        <f>IF(OR(R36=1,T36&lt;&gt;""),"",IF(COUNTIFS(ap_No,B36,ap_Party,D36)&gt;1,"Duplicate bill #",IF(N(L36)&lt;0,"Overpaid by "&amp;TEXT(-L36,"#,##0.00"),IF(AND(ISNUMBER(H36),N(H36)&lt;&gt;0,S36=0),"Tax ignored (tax tracking is off)",IF(AND(ISNUMBER(StartDate),C36&lt;StartDate),"Date is before the accounting start date",IF(OR(IFERROR(INDEX(coa_Type,MATCH(F36,coa_Name,0)),"")="Revenue",IFERROR(INDEX(coa_Type,MATCH(F36,coa_Name,0)),"")="Other Income",IFERROR(INDEX(coa_Type,MATCH(F36,coa_Name,0)),"")="Equity"),"Account is not an expense or asset account",""))))))</f>
        <v/>
      </c>
      <c r="V36" s="67">
        <f>IF(AND(R36=0,T36=""),1,0)</f>
        <v/>
      </c>
      <c r="W36" s="67">
        <f>IF(V36=1,F36,"")</f>
        <v/>
      </c>
      <c r="X36" s="67">
        <f>IF(V36=1,acctAP,"")</f>
        <v/>
      </c>
      <c r="Y36" s="68">
        <f>IF(V36=1,G36-S36,0)</f>
        <v/>
      </c>
      <c r="Z36" s="68">
        <f>IF(V36=1,G36,0)</f>
        <v/>
      </c>
      <c r="AA36" s="68">
        <f>IF(V36=1,S36,0)</f>
        <v/>
      </c>
    </row>
    <row r="37">
      <c r="B37" s="62" t="inlineStr">
        <is>
          <t>GO-071</t>
        </is>
      </c>
      <c r="C37" s="63" t="n">
        <v>46208</v>
      </c>
      <c r="D37" s="62" t="inlineStr">
        <is>
          <t>Golden Grain Flour Mill</t>
        </is>
      </c>
      <c r="E37" s="62" t="inlineStr">
        <is>
          <t>Ingredients delivery</t>
        </is>
      </c>
      <c r="F37" s="62" t="inlineStr">
        <is>
          <t>Direct Materials</t>
        </is>
      </c>
      <c r="G37" s="64" t="n">
        <v>39028.98</v>
      </c>
      <c r="H37" s="64" t="n">
        <v>4181.68</v>
      </c>
      <c r="I37" s="63" t="n"/>
      <c r="J37" s="29">
        <f>IF(V37=1,IF(ISNUMBER(I37),I37,C37+IF(ISNUMBER(IFERROR(INDEX(vend_Terms,MATCH(D37,vend_Name,0)),"")),INDEX(vend_Terms,MATCH(D37,vend_Name,0)),TermsDays)),"")</f>
        <v/>
      </c>
      <c r="K37" s="65">
        <f>IF(V37=1,SUMIFS(tx_CrAmt,tx_Type,"Bill Payment",tx_Ref,B37&amp;"",tx_Vend,D37,tx_Date,"&lt;="&amp;AsOf),"")</f>
        <v/>
      </c>
      <c r="L37" s="65">
        <f>IF(V37=1,IF(C37&gt;AsOf,0,ROUND(G37-K37,2)),"")</f>
        <v/>
      </c>
      <c r="M37" s="66">
        <f>IF(V37&lt;&gt;1,"",IF(C37&gt;AsOf,"Future",IF(L37&lt;0,"Overpaid",IF(L37=0,"Paid",IF(AsOf&gt;J37,"Overdue",IF(K37&gt;0,"Partial","Unpaid"))))))</f>
        <v/>
      </c>
      <c r="N37" s="28">
        <f>IF(AND(V37=1,N(L37)&gt;0),AsOf-C37,"")</f>
        <v/>
      </c>
      <c r="O37" s="28">
        <f>IF(N37="","",MAX(0,AsOf-J37))</f>
        <v/>
      </c>
      <c r="P37" s="66">
        <f>IF(O37="","",IF(O37=0,"Current",IF(O37&lt;=30,"1-30",IF(O37&lt;=60,"31-60",IF(O37&lt;=90,"61-90","90+")))))</f>
        <v/>
      </c>
      <c r="Q37" s="66">
        <f>IF(T37&lt;&gt;"","⛔ "&amp;T37&amp;" — not posted",IF(U37&lt;&gt;"","⚠ "&amp;U37,IF(V37=1,"✓ OK","")))</f>
        <v/>
      </c>
      <c r="R37" s="67">
        <f>IF(AND(B37="",C37="",D37="",G37="",F37=""),1,0)</f>
        <v/>
      </c>
      <c r="S37" s="68">
        <f>IF(AND(TaxOn="Yes",ISNUMBER(H37)),H37,0)</f>
        <v/>
      </c>
      <c r="T37" s="67">
        <f>IF(R37=1,"",IF(B37="","Enter a bill #",IF(D37="","Select a vendor",IF(C37="","Missing bill date",IF(NOT(ISNUMBER(C37)),"Invalid date",IF(OR(C37&lt;DATE(2000,1,1),C37&gt;DATE(2099,12,31)),"Invalid date",IF(F37="","Select an expense account",IF(ISNA(MATCH(F37,coa_Name,0)),"Unknown account: "&amp;F37,IF(NOT(ISNUMBER(G37)),"Enter an amount",IF(G37&lt;=0,"Amount must be positive",IF(S37&gt;G37,"Tax is larger than the amount","")))))))))))</f>
        <v/>
      </c>
      <c r="U37" s="67">
        <f>IF(OR(R37=1,T37&lt;&gt;""),"",IF(COUNTIFS(ap_No,B37,ap_Party,D37)&gt;1,"Duplicate bill #",IF(N(L37)&lt;0,"Overpaid by "&amp;TEXT(-L37,"#,##0.00"),IF(AND(ISNUMBER(H37),N(H37)&lt;&gt;0,S37=0),"Tax ignored (tax tracking is off)",IF(AND(ISNUMBER(StartDate),C37&lt;StartDate),"Date is before the accounting start date",IF(OR(IFERROR(INDEX(coa_Type,MATCH(F37,coa_Name,0)),"")="Revenue",IFERROR(INDEX(coa_Type,MATCH(F37,coa_Name,0)),"")="Other Income",IFERROR(INDEX(coa_Type,MATCH(F37,coa_Name,0)),"")="Equity"),"Account is not an expense or asset account",""))))))</f>
        <v/>
      </c>
      <c r="V37" s="67">
        <f>IF(AND(R37=0,T37=""),1,0)</f>
        <v/>
      </c>
      <c r="W37" s="67">
        <f>IF(V37=1,F37,"")</f>
        <v/>
      </c>
      <c r="X37" s="67">
        <f>IF(V37=1,acctAP,"")</f>
        <v/>
      </c>
      <c r="Y37" s="68">
        <f>IF(V37=1,G37-S37,0)</f>
        <v/>
      </c>
      <c r="Z37" s="68">
        <f>IF(V37=1,G37,0)</f>
        <v/>
      </c>
      <c r="AA37" s="68">
        <f>IF(V37=1,S37,0)</f>
        <v/>
      </c>
    </row>
    <row r="38">
      <c r="B38" s="62" t="inlineStr">
        <is>
          <t>GO-072</t>
        </is>
      </c>
      <c r="C38" s="63" t="n">
        <v>46219</v>
      </c>
      <c r="D38" s="62" t="inlineStr">
        <is>
          <t>Golden Grain Flour Mill</t>
        </is>
      </c>
      <c r="E38" s="62" t="inlineStr">
        <is>
          <t>Ingredients delivery</t>
        </is>
      </c>
      <c r="F38" s="62" t="inlineStr">
        <is>
          <t>Direct Materials</t>
        </is>
      </c>
      <c r="G38" s="64" t="n">
        <v>42203.51</v>
      </c>
      <c r="H38" s="64" t="n">
        <v>4521.8</v>
      </c>
      <c r="I38" s="63" t="n"/>
      <c r="J38" s="29">
        <f>IF(V38=1,IF(ISNUMBER(I38),I38,C38+IF(ISNUMBER(IFERROR(INDEX(vend_Terms,MATCH(D38,vend_Name,0)),"")),INDEX(vend_Terms,MATCH(D38,vend_Name,0)),TermsDays)),"")</f>
        <v/>
      </c>
      <c r="K38" s="65">
        <f>IF(V38=1,SUMIFS(tx_CrAmt,tx_Type,"Bill Payment",tx_Ref,B38&amp;"",tx_Vend,D38,tx_Date,"&lt;="&amp;AsOf),"")</f>
        <v/>
      </c>
      <c r="L38" s="65">
        <f>IF(V38=1,IF(C38&gt;AsOf,0,ROUND(G38-K38,2)),"")</f>
        <v/>
      </c>
      <c r="M38" s="66">
        <f>IF(V38&lt;&gt;1,"",IF(C38&gt;AsOf,"Future",IF(L38&lt;0,"Overpaid",IF(L38=0,"Paid",IF(AsOf&gt;J38,"Overdue",IF(K38&gt;0,"Partial","Unpaid"))))))</f>
        <v/>
      </c>
      <c r="N38" s="28">
        <f>IF(AND(V38=1,N(L38)&gt;0),AsOf-C38,"")</f>
        <v/>
      </c>
      <c r="O38" s="28">
        <f>IF(N38="","",MAX(0,AsOf-J38))</f>
        <v/>
      </c>
      <c r="P38" s="66">
        <f>IF(O38="","",IF(O38=0,"Current",IF(O38&lt;=30,"1-30",IF(O38&lt;=60,"31-60",IF(O38&lt;=90,"61-90","90+")))))</f>
        <v/>
      </c>
      <c r="Q38" s="66">
        <f>IF(T38&lt;&gt;"","⛔ "&amp;T38&amp;" — not posted",IF(U38&lt;&gt;"","⚠ "&amp;U38,IF(V38=1,"✓ OK","")))</f>
        <v/>
      </c>
      <c r="R38" s="67">
        <f>IF(AND(B38="",C38="",D38="",G38="",F38=""),1,0)</f>
        <v/>
      </c>
      <c r="S38" s="68">
        <f>IF(AND(TaxOn="Yes",ISNUMBER(H38)),H38,0)</f>
        <v/>
      </c>
      <c r="T38" s="67">
        <f>IF(R38=1,"",IF(B38="","Enter a bill #",IF(D38="","Select a vendor",IF(C38="","Missing bill date",IF(NOT(ISNUMBER(C38)),"Invalid date",IF(OR(C38&lt;DATE(2000,1,1),C38&gt;DATE(2099,12,31)),"Invalid date",IF(F38="","Select an expense account",IF(ISNA(MATCH(F38,coa_Name,0)),"Unknown account: "&amp;F38,IF(NOT(ISNUMBER(G38)),"Enter an amount",IF(G38&lt;=0,"Amount must be positive",IF(S38&gt;G38,"Tax is larger than the amount","")))))))))))</f>
        <v/>
      </c>
      <c r="U38" s="67">
        <f>IF(OR(R38=1,T38&lt;&gt;""),"",IF(COUNTIFS(ap_No,B38,ap_Party,D38)&gt;1,"Duplicate bill #",IF(N(L38)&lt;0,"Overpaid by "&amp;TEXT(-L38,"#,##0.00"),IF(AND(ISNUMBER(H38),N(H38)&lt;&gt;0,S38=0),"Tax ignored (tax tracking is off)",IF(AND(ISNUMBER(StartDate),C38&lt;StartDate),"Date is before the accounting start date",IF(OR(IFERROR(INDEX(coa_Type,MATCH(F38,coa_Name,0)),"")="Revenue",IFERROR(INDEX(coa_Type,MATCH(F38,coa_Name,0)),"")="Other Income",IFERROR(INDEX(coa_Type,MATCH(F38,coa_Name,0)),"")="Equity"),"Account is not an expense or asset account",""))))))</f>
        <v/>
      </c>
      <c r="V38" s="67">
        <f>IF(AND(R38=0,T38=""),1,0)</f>
        <v/>
      </c>
      <c r="W38" s="67">
        <f>IF(V38=1,F38,"")</f>
        <v/>
      </c>
      <c r="X38" s="67">
        <f>IF(V38=1,acctAP,"")</f>
        <v/>
      </c>
      <c r="Y38" s="68">
        <f>IF(V38=1,G38-S38,0)</f>
        <v/>
      </c>
      <c r="Z38" s="68">
        <f>IF(V38=1,G38,0)</f>
        <v/>
      </c>
      <c r="AA38" s="68">
        <f>IF(V38=1,S38,0)</f>
        <v/>
      </c>
    </row>
    <row r="39">
      <c r="B39" s="62" t="inlineStr">
        <is>
          <t>FR-071</t>
        </is>
      </c>
      <c r="C39" s="63" t="n">
        <v>46207</v>
      </c>
      <c r="D39" s="62" t="inlineStr">
        <is>
          <t>Fresh Dairy Co.</t>
        </is>
      </c>
      <c r="E39" s="62" t="inlineStr">
        <is>
          <t>Ingredients delivery</t>
        </is>
      </c>
      <c r="F39" s="62" t="inlineStr">
        <is>
          <t>Direct Materials</t>
        </is>
      </c>
      <c r="G39" s="64" t="n">
        <v>12922.61</v>
      </c>
      <c r="H39" s="64" t="n">
        <v>1384.57</v>
      </c>
      <c r="I39" s="63" t="n"/>
      <c r="J39" s="29">
        <f>IF(V39=1,IF(ISNUMBER(I39),I39,C39+IF(ISNUMBER(IFERROR(INDEX(vend_Terms,MATCH(D39,vend_Name,0)),"")),INDEX(vend_Terms,MATCH(D39,vend_Name,0)),TermsDays)),"")</f>
        <v/>
      </c>
      <c r="K39" s="65">
        <f>IF(V39=1,SUMIFS(tx_CrAmt,tx_Type,"Bill Payment",tx_Ref,B39&amp;"",tx_Vend,D39,tx_Date,"&lt;="&amp;AsOf),"")</f>
        <v/>
      </c>
      <c r="L39" s="65">
        <f>IF(V39=1,IF(C39&gt;AsOf,0,ROUND(G39-K39,2)),"")</f>
        <v/>
      </c>
      <c r="M39" s="66">
        <f>IF(V39&lt;&gt;1,"",IF(C39&gt;AsOf,"Future",IF(L39&lt;0,"Overpaid",IF(L39=0,"Paid",IF(AsOf&gt;J39,"Overdue",IF(K39&gt;0,"Partial","Unpaid"))))))</f>
        <v/>
      </c>
      <c r="N39" s="28">
        <f>IF(AND(V39=1,N(L39)&gt;0),AsOf-C39,"")</f>
        <v/>
      </c>
      <c r="O39" s="28">
        <f>IF(N39="","",MAX(0,AsOf-J39))</f>
        <v/>
      </c>
      <c r="P39" s="66">
        <f>IF(O39="","",IF(O39=0,"Current",IF(O39&lt;=30,"1-30",IF(O39&lt;=60,"31-60",IF(O39&lt;=90,"61-90","90+")))))</f>
        <v/>
      </c>
      <c r="Q39" s="66">
        <f>IF(T39&lt;&gt;"","⛔ "&amp;T39&amp;" — not posted",IF(U39&lt;&gt;"","⚠ "&amp;U39,IF(V39=1,"✓ OK","")))</f>
        <v/>
      </c>
      <c r="R39" s="67">
        <f>IF(AND(B39="",C39="",D39="",G39="",F39=""),1,0)</f>
        <v/>
      </c>
      <c r="S39" s="68">
        <f>IF(AND(TaxOn="Yes",ISNUMBER(H39)),H39,0)</f>
        <v/>
      </c>
      <c r="T39" s="67">
        <f>IF(R39=1,"",IF(B39="","Enter a bill #",IF(D39="","Select a vendor",IF(C39="","Missing bill date",IF(NOT(ISNUMBER(C39)),"Invalid date",IF(OR(C39&lt;DATE(2000,1,1),C39&gt;DATE(2099,12,31)),"Invalid date",IF(F39="","Select an expense account",IF(ISNA(MATCH(F39,coa_Name,0)),"Unknown account: "&amp;F39,IF(NOT(ISNUMBER(G39)),"Enter an amount",IF(G39&lt;=0,"Amount must be positive",IF(S39&gt;G39,"Tax is larger than the amount","")))))))))))</f>
        <v/>
      </c>
      <c r="U39" s="67">
        <f>IF(OR(R39=1,T39&lt;&gt;""),"",IF(COUNTIFS(ap_No,B39,ap_Party,D39)&gt;1,"Duplicate bill #",IF(N(L39)&lt;0,"Overpaid by "&amp;TEXT(-L39,"#,##0.00"),IF(AND(ISNUMBER(H39),N(H39)&lt;&gt;0,S39=0),"Tax ignored (tax tracking is off)",IF(AND(ISNUMBER(StartDate),C39&lt;StartDate),"Date is before the accounting start date",IF(OR(IFERROR(INDEX(coa_Type,MATCH(F39,coa_Name,0)),"")="Revenue",IFERROR(INDEX(coa_Type,MATCH(F39,coa_Name,0)),"")="Other Income",IFERROR(INDEX(coa_Type,MATCH(F39,coa_Name,0)),"")="Equity"),"Account is not an expense or asset account",""))))))</f>
        <v/>
      </c>
      <c r="V39" s="67">
        <f>IF(AND(R39=0,T39=""),1,0)</f>
        <v/>
      </c>
      <c r="W39" s="67">
        <f>IF(V39=1,F39,"")</f>
        <v/>
      </c>
      <c r="X39" s="67">
        <f>IF(V39=1,acctAP,"")</f>
        <v/>
      </c>
      <c r="Y39" s="68">
        <f>IF(V39=1,G39-S39,0)</f>
        <v/>
      </c>
      <c r="Z39" s="68">
        <f>IF(V39=1,G39,0)</f>
        <v/>
      </c>
      <c r="AA39" s="68">
        <f>IF(V39=1,S39,0)</f>
        <v/>
      </c>
    </row>
    <row r="40">
      <c r="B40" s="62" t="inlineStr">
        <is>
          <t>FR-072</t>
        </is>
      </c>
      <c r="C40" s="63" t="n">
        <v>46221</v>
      </c>
      <c r="D40" s="62" t="inlineStr">
        <is>
          <t>Fresh Dairy Co.</t>
        </is>
      </c>
      <c r="E40" s="62" t="inlineStr">
        <is>
          <t>Ingredients delivery</t>
        </is>
      </c>
      <c r="F40" s="62" t="inlineStr">
        <is>
          <t>Direct Materials</t>
        </is>
      </c>
      <c r="G40" s="64" t="n">
        <v>19176.88</v>
      </c>
      <c r="H40" s="64" t="n">
        <v>2054.67</v>
      </c>
      <c r="I40" s="63" t="n"/>
      <c r="J40" s="29">
        <f>IF(V40=1,IF(ISNUMBER(I40),I40,C40+IF(ISNUMBER(IFERROR(INDEX(vend_Terms,MATCH(D40,vend_Name,0)),"")),INDEX(vend_Terms,MATCH(D40,vend_Name,0)),TermsDays)),"")</f>
        <v/>
      </c>
      <c r="K40" s="65">
        <f>IF(V40=1,SUMIFS(tx_CrAmt,tx_Type,"Bill Payment",tx_Ref,B40&amp;"",tx_Vend,D40,tx_Date,"&lt;="&amp;AsOf),"")</f>
        <v/>
      </c>
      <c r="L40" s="65">
        <f>IF(V40=1,IF(C40&gt;AsOf,0,ROUND(G40-K40,2)),"")</f>
        <v/>
      </c>
      <c r="M40" s="66">
        <f>IF(V40&lt;&gt;1,"",IF(C40&gt;AsOf,"Future",IF(L40&lt;0,"Overpaid",IF(L40=0,"Paid",IF(AsOf&gt;J40,"Overdue",IF(K40&gt;0,"Partial","Unpaid"))))))</f>
        <v/>
      </c>
      <c r="N40" s="28">
        <f>IF(AND(V40=1,N(L40)&gt;0),AsOf-C40,"")</f>
        <v/>
      </c>
      <c r="O40" s="28">
        <f>IF(N40="","",MAX(0,AsOf-J40))</f>
        <v/>
      </c>
      <c r="P40" s="66">
        <f>IF(O40="","",IF(O40=0,"Current",IF(O40&lt;=30,"1-30",IF(O40&lt;=60,"31-60",IF(O40&lt;=90,"61-90","90+")))))</f>
        <v/>
      </c>
      <c r="Q40" s="66">
        <f>IF(T40&lt;&gt;"","⛔ "&amp;T40&amp;" — not posted",IF(U40&lt;&gt;"","⚠ "&amp;U40,IF(V40=1,"✓ OK","")))</f>
        <v/>
      </c>
      <c r="R40" s="67">
        <f>IF(AND(B40="",C40="",D40="",G40="",F40=""),1,0)</f>
        <v/>
      </c>
      <c r="S40" s="68">
        <f>IF(AND(TaxOn="Yes",ISNUMBER(H40)),H40,0)</f>
        <v/>
      </c>
      <c r="T40" s="67">
        <f>IF(R40=1,"",IF(B40="","Enter a bill #",IF(D40="","Select a vendor",IF(C40="","Missing bill date",IF(NOT(ISNUMBER(C40)),"Invalid date",IF(OR(C40&lt;DATE(2000,1,1),C40&gt;DATE(2099,12,31)),"Invalid date",IF(F40="","Select an expense account",IF(ISNA(MATCH(F40,coa_Name,0)),"Unknown account: "&amp;F40,IF(NOT(ISNUMBER(G40)),"Enter an amount",IF(G40&lt;=0,"Amount must be positive",IF(S40&gt;G40,"Tax is larger than the amount","")))))))))))</f>
        <v/>
      </c>
      <c r="U40" s="67">
        <f>IF(OR(R40=1,T40&lt;&gt;""),"",IF(COUNTIFS(ap_No,B40,ap_Party,D40)&gt;1,"Duplicate bill #",IF(N(L40)&lt;0,"Overpaid by "&amp;TEXT(-L40,"#,##0.00"),IF(AND(ISNUMBER(H40),N(H40)&lt;&gt;0,S40=0),"Tax ignored (tax tracking is off)",IF(AND(ISNUMBER(StartDate),C40&lt;StartDate),"Date is before the accounting start date",IF(OR(IFERROR(INDEX(coa_Type,MATCH(F40,coa_Name,0)),"")="Revenue",IFERROR(INDEX(coa_Type,MATCH(F40,coa_Name,0)),"")="Other Income",IFERROR(INDEX(coa_Type,MATCH(F40,coa_Name,0)),"")="Equity"),"Account is not an expense or asset account",""))))))</f>
        <v/>
      </c>
      <c r="V40" s="67">
        <f>IF(AND(R40=0,T40=""),1,0)</f>
        <v/>
      </c>
      <c r="W40" s="67">
        <f>IF(V40=1,F40,"")</f>
        <v/>
      </c>
      <c r="X40" s="67">
        <f>IF(V40=1,acctAP,"")</f>
        <v/>
      </c>
      <c r="Y40" s="68">
        <f>IF(V40=1,G40-S40,0)</f>
        <v/>
      </c>
      <c r="Z40" s="68">
        <f>IF(V40=1,G40,0)</f>
        <v/>
      </c>
      <c r="AA40" s="68">
        <f>IF(V40=1,S40,0)</f>
        <v/>
      </c>
    </row>
    <row r="41">
      <c r="B41" s="62" t="inlineStr">
        <is>
          <t>PA-071</t>
        </is>
      </c>
      <c r="C41" s="63" t="n">
        <v>46208</v>
      </c>
      <c r="D41" s="62" t="inlineStr">
        <is>
          <t>PackRight Supplies</t>
        </is>
      </c>
      <c r="E41" s="62" t="inlineStr">
        <is>
          <t>Packaging</t>
        </is>
      </c>
      <c r="F41" s="62" t="inlineStr">
        <is>
          <t>Other Direct Costs</t>
        </is>
      </c>
      <c r="G41" s="64" t="n">
        <v>10348.47</v>
      </c>
      <c r="H41" s="64" t="n">
        <v>1108.76</v>
      </c>
      <c r="I41" s="63" t="n"/>
      <c r="J41" s="29">
        <f>IF(V41=1,IF(ISNUMBER(I41),I41,C41+IF(ISNUMBER(IFERROR(INDEX(vend_Terms,MATCH(D41,vend_Name,0)),"")),INDEX(vend_Terms,MATCH(D41,vend_Name,0)),TermsDays)),"")</f>
        <v/>
      </c>
      <c r="K41" s="65">
        <f>IF(V41=1,SUMIFS(tx_CrAmt,tx_Type,"Bill Payment",tx_Ref,B41&amp;"",tx_Vend,D41,tx_Date,"&lt;="&amp;AsOf),"")</f>
        <v/>
      </c>
      <c r="L41" s="65">
        <f>IF(V41=1,IF(C41&gt;AsOf,0,ROUND(G41-K41,2)),"")</f>
        <v/>
      </c>
      <c r="M41" s="66">
        <f>IF(V41&lt;&gt;1,"",IF(C41&gt;AsOf,"Future",IF(L41&lt;0,"Overpaid",IF(L41=0,"Paid",IF(AsOf&gt;J41,"Overdue",IF(K41&gt;0,"Partial","Unpaid"))))))</f>
        <v/>
      </c>
      <c r="N41" s="28">
        <f>IF(AND(V41=1,N(L41)&gt;0),AsOf-C41,"")</f>
        <v/>
      </c>
      <c r="O41" s="28">
        <f>IF(N41="","",MAX(0,AsOf-J41))</f>
        <v/>
      </c>
      <c r="P41" s="66">
        <f>IF(O41="","",IF(O41=0,"Current",IF(O41&lt;=30,"1-30",IF(O41&lt;=60,"31-60",IF(O41&lt;=90,"61-90","90+")))))</f>
        <v/>
      </c>
      <c r="Q41" s="66">
        <f>IF(T41&lt;&gt;"","⛔ "&amp;T41&amp;" — not posted",IF(U41&lt;&gt;"","⚠ "&amp;U41,IF(V41=1,"✓ OK","")))</f>
        <v/>
      </c>
      <c r="R41" s="67">
        <f>IF(AND(B41="",C41="",D41="",G41="",F41=""),1,0)</f>
        <v/>
      </c>
      <c r="S41" s="68">
        <f>IF(AND(TaxOn="Yes",ISNUMBER(H41)),H41,0)</f>
        <v/>
      </c>
      <c r="T41" s="67">
        <f>IF(R41=1,"",IF(B41="","Enter a bill #",IF(D41="","Select a vendor",IF(C41="","Missing bill date",IF(NOT(ISNUMBER(C41)),"Invalid date",IF(OR(C41&lt;DATE(2000,1,1),C41&gt;DATE(2099,12,31)),"Invalid date",IF(F41="","Select an expense account",IF(ISNA(MATCH(F41,coa_Name,0)),"Unknown account: "&amp;F41,IF(NOT(ISNUMBER(G41)),"Enter an amount",IF(G41&lt;=0,"Amount must be positive",IF(S41&gt;G41,"Tax is larger than the amount","")))))))))))</f>
        <v/>
      </c>
      <c r="U41" s="67">
        <f>IF(OR(R41=1,T41&lt;&gt;""),"",IF(COUNTIFS(ap_No,B41,ap_Party,D41)&gt;1,"Duplicate bill #",IF(N(L41)&lt;0,"Overpaid by "&amp;TEXT(-L41,"#,##0.00"),IF(AND(ISNUMBER(H41),N(H41)&lt;&gt;0,S41=0),"Tax ignored (tax tracking is off)",IF(AND(ISNUMBER(StartDate),C41&lt;StartDate),"Date is before the accounting start date",IF(OR(IFERROR(INDEX(coa_Type,MATCH(F41,coa_Name,0)),"")="Revenue",IFERROR(INDEX(coa_Type,MATCH(F41,coa_Name,0)),"")="Other Income",IFERROR(INDEX(coa_Type,MATCH(F41,coa_Name,0)),"")="Equity"),"Account is not an expense or asset account",""))))))</f>
        <v/>
      </c>
      <c r="V41" s="67">
        <f>IF(AND(R41=0,T41=""),1,0)</f>
        <v/>
      </c>
      <c r="W41" s="67">
        <f>IF(V41=1,F41,"")</f>
        <v/>
      </c>
      <c r="X41" s="67">
        <f>IF(V41=1,acctAP,"")</f>
        <v/>
      </c>
      <c r="Y41" s="68">
        <f>IF(V41=1,G41-S41,0)</f>
        <v/>
      </c>
      <c r="Z41" s="68">
        <f>IF(V41=1,G41,0)</f>
        <v/>
      </c>
      <c r="AA41" s="68">
        <f>IF(V41=1,S41,0)</f>
        <v/>
      </c>
    </row>
    <row r="42">
      <c r="B42" s="62" t="inlineStr">
        <is>
          <t>GO-081</t>
        </is>
      </c>
      <c r="C42" s="63" t="n">
        <v>46240</v>
      </c>
      <c r="D42" s="62" t="inlineStr">
        <is>
          <t>Golden Grain Flour Mill</t>
        </is>
      </c>
      <c r="E42" s="62" t="inlineStr">
        <is>
          <t>Ingredients delivery</t>
        </is>
      </c>
      <c r="F42" s="62" t="inlineStr">
        <is>
          <t>Direct Materials</t>
        </is>
      </c>
      <c r="G42" s="64" t="n">
        <v>44984.06</v>
      </c>
      <c r="H42" s="64" t="n">
        <v>4819.72</v>
      </c>
      <c r="I42" s="63" t="n"/>
      <c r="J42" s="29">
        <f>IF(V42=1,IF(ISNUMBER(I42),I42,C42+IF(ISNUMBER(IFERROR(INDEX(vend_Terms,MATCH(D42,vend_Name,0)),"")),INDEX(vend_Terms,MATCH(D42,vend_Name,0)),TermsDays)),"")</f>
        <v/>
      </c>
      <c r="K42" s="65">
        <f>IF(V42=1,SUMIFS(tx_CrAmt,tx_Type,"Bill Payment",tx_Ref,B42&amp;"",tx_Vend,D42,tx_Date,"&lt;="&amp;AsOf),"")</f>
        <v/>
      </c>
      <c r="L42" s="65">
        <f>IF(V42=1,IF(C42&gt;AsOf,0,ROUND(G42-K42,2)),"")</f>
        <v/>
      </c>
      <c r="M42" s="66">
        <f>IF(V42&lt;&gt;1,"",IF(C42&gt;AsOf,"Future",IF(L42&lt;0,"Overpaid",IF(L42=0,"Paid",IF(AsOf&gt;J42,"Overdue",IF(K42&gt;0,"Partial","Unpaid"))))))</f>
        <v/>
      </c>
      <c r="N42" s="28">
        <f>IF(AND(V42=1,N(L42)&gt;0),AsOf-C42,"")</f>
        <v/>
      </c>
      <c r="O42" s="28">
        <f>IF(N42="","",MAX(0,AsOf-J42))</f>
        <v/>
      </c>
      <c r="P42" s="66">
        <f>IF(O42="","",IF(O42=0,"Current",IF(O42&lt;=30,"1-30",IF(O42&lt;=60,"31-60",IF(O42&lt;=90,"61-90","90+")))))</f>
        <v/>
      </c>
      <c r="Q42" s="66">
        <f>IF(T42&lt;&gt;"","⛔ "&amp;T42&amp;" — not posted",IF(U42&lt;&gt;"","⚠ "&amp;U42,IF(V42=1,"✓ OK","")))</f>
        <v/>
      </c>
      <c r="R42" s="67">
        <f>IF(AND(B42="",C42="",D42="",G42="",F42=""),1,0)</f>
        <v/>
      </c>
      <c r="S42" s="68">
        <f>IF(AND(TaxOn="Yes",ISNUMBER(H42)),H42,0)</f>
        <v/>
      </c>
      <c r="T42" s="67">
        <f>IF(R42=1,"",IF(B42="","Enter a bill #",IF(D42="","Select a vendor",IF(C42="","Missing bill date",IF(NOT(ISNUMBER(C42)),"Invalid date",IF(OR(C42&lt;DATE(2000,1,1),C42&gt;DATE(2099,12,31)),"Invalid date",IF(F42="","Select an expense account",IF(ISNA(MATCH(F42,coa_Name,0)),"Unknown account: "&amp;F42,IF(NOT(ISNUMBER(G42)),"Enter an amount",IF(G42&lt;=0,"Amount must be positive",IF(S42&gt;G42,"Tax is larger than the amount","")))))))))))</f>
        <v/>
      </c>
      <c r="U42" s="67">
        <f>IF(OR(R42=1,T42&lt;&gt;""),"",IF(COUNTIFS(ap_No,B42,ap_Party,D42)&gt;1,"Duplicate bill #",IF(N(L42)&lt;0,"Overpaid by "&amp;TEXT(-L42,"#,##0.00"),IF(AND(ISNUMBER(H42),N(H42)&lt;&gt;0,S42=0),"Tax ignored (tax tracking is off)",IF(AND(ISNUMBER(StartDate),C42&lt;StartDate),"Date is before the accounting start date",IF(OR(IFERROR(INDEX(coa_Type,MATCH(F42,coa_Name,0)),"")="Revenue",IFERROR(INDEX(coa_Type,MATCH(F42,coa_Name,0)),"")="Other Income",IFERROR(INDEX(coa_Type,MATCH(F42,coa_Name,0)),"")="Equity"),"Account is not an expense or asset account",""))))))</f>
        <v/>
      </c>
      <c r="V42" s="67">
        <f>IF(AND(R42=0,T42=""),1,0)</f>
        <v/>
      </c>
      <c r="W42" s="67">
        <f>IF(V42=1,F42,"")</f>
        <v/>
      </c>
      <c r="X42" s="67">
        <f>IF(V42=1,acctAP,"")</f>
        <v/>
      </c>
      <c r="Y42" s="68">
        <f>IF(V42=1,G42-S42,0)</f>
        <v/>
      </c>
      <c r="Z42" s="68">
        <f>IF(V42=1,G42,0)</f>
        <v/>
      </c>
      <c r="AA42" s="68">
        <f>IF(V42=1,S42,0)</f>
        <v/>
      </c>
    </row>
    <row r="43">
      <c r="B43" s="62" t="inlineStr">
        <is>
          <t>GO-082</t>
        </is>
      </c>
      <c r="C43" s="63" t="n">
        <v>46251</v>
      </c>
      <c r="D43" s="62" t="inlineStr">
        <is>
          <t>Golden Grain Flour Mill</t>
        </is>
      </c>
      <c r="E43" s="62" t="inlineStr">
        <is>
          <t>Ingredients delivery</t>
        </is>
      </c>
      <c r="F43" s="62" t="inlineStr">
        <is>
          <t>Direct Materials</t>
        </is>
      </c>
      <c r="G43" s="64" t="n">
        <v>43697.89</v>
      </c>
      <c r="H43" s="64" t="n">
        <v>4681.92</v>
      </c>
      <c r="I43" s="63" t="n"/>
      <c r="J43" s="29">
        <f>IF(V43=1,IF(ISNUMBER(I43),I43,C43+IF(ISNUMBER(IFERROR(INDEX(vend_Terms,MATCH(D43,vend_Name,0)),"")),INDEX(vend_Terms,MATCH(D43,vend_Name,0)),TermsDays)),"")</f>
        <v/>
      </c>
      <c r="K43" s="65">
        <f>IF(V43=1,SUMIFS(tx_CrAmt,tx_Type,"Bill Payment",tx_Ref,B43&amp;"",tx_Vend,D43,tx_Date,"&lt;="&amp;AsOf),"")</f>
        <v/>
      </c>
      <c r="L43" s="65">
        <f>IF(V43=1,IF(C43&gt;AsOf,0,ROUND(G43-K43,2)),"")</f>
        <v/>
      </c>
      <c r="M43" s="66">
        <f>IF(V43&lt;&gt;1,"",IF(C43&gt;AsOf,"Future",IF(L43&lt;0,"Overpaid",IF(L43=0,"Paid",IF(AsOf&gt;J43,"Overdue",IF(K43&gt;0,"Partial","Unpaid"))))))</f>
        <v/>
      </c>
      <c r="N43" s="28">
        <f>IF(AND(V43=1,N(L43)&gt;0),AsOf-C43,"")</f>
        <v/>
      </c>
      <c r="O43" s="28">
        <f>IF(N43="","",MAX(0,AsOf-J43))</f>
        <v/>
      </c>
      <c r="P43" s="66">
        <f>IF(O43="","",IF(O43=0,"Current",IF(O43&lt;=30,"1-30",IF(O43&lt;=60,"31-60",IF(O43&lt;=90,"61-90","90+")))))</f>
        <v/>
      </c>
      <c r="Q43" s="66">
        <f>IF(T43&lt;&gt;"","⛔ "&amp;T43&amp;" — not posted",IF(U43&lt;&gt;"","⚠ "&amp;U43,IF(V43=1,"✓ OK","")))</f>
        <v/>
      </c>
      <c r="R43" s="67">
        <f>IF(AND(B43="",C43="",D43="",G43="",F43=""),1,0)</f>
        <v/>
      </c>
      <c r="S43" s="68">
        <f>IF(AND(TaxOn="Yes",ISNUMBER(H43)),H43,0)</f>
        <v/>
      </c>
      <c r="T43" s="67">
        <f>IF(R43=1,"",IF(B43="","Enter a bill #",IF(D43="","Select a vendor",IF(C43="","Missing bill date",IF(NOT(ISNUMBER(C43)),"Invalid date",IF(OR(C43&lt;DATE(2000,1,1),C43&gt;DATE(2099,12,31)),"Invalid date",IF(F43="","Select an expense account",IF(ISNA(MATCH(F43,coa_Name,0)),"Unknown account: "&amp;F43,IF(NOT(ISNUMBER(G43)),"Enter an amount",IF(G43&lt;=0,"Amount must be positive",IF(S43&gt;G43,"Tax is larger than the amount","")))))))))))</f>
        <v/>
      </c>
      <c r="U43" s="67">
        <f>IF(OR(R43=1,T43&lt;&gt;""),"",IF(COUNTIFS(ap_No,B43,ap_Party,D43)&gt;1,"Duplicate bill #",IF(N(L43)&lt;0,"Overpaid by "&amp;TEXT(-L43,"#,##0.00"),IF(AND(ISNUMBER(H43),N(H43)&lt;&gt;0,S43=0),"Tax ignored (tax tracking is off)",IF(AND(ISNUMBER(StartDate),C43&lt;StartDate),"Date is before the accounting start date",IF(OR(IFERROR(INDEX(coa_Type,MATCH(F43,coa_Name,0)),"")="Revenue",IFERROR(INDEX(coa_Type,MATCH(F43,coa_Name,0)),"")="Other Income",IFERROR(INDEX(coa_Type,MATCH(F43,coa_Name,0)),"")="Equity"),"Account is not an expense or asset account",""))))))</f>
        <v/>
      </c>
      <c r="V43" s="67">
        <f>IF(AND(R43=0,T43=""),1,0)</f>
        <v/>
      </c>
      <c r="W43" s="67">
        <f>IF(V43=1,F43,"")</f>
        <v/>
      </c>
      <c r="X43" s="67">
        <f>IF(V43=1,acctAP,"")</f>
        <v/>
      </c>
      <c r="Y43" s="68">
        <f>IF(V43=1,G43-S43,0)</f>
        <v/>
      </c>
      <c r="Z43" s="68">
        <f>IF(V43=1,G43,0)</f>
        <v/>
      </c>
      <c r="AA43" s="68">
        <f>IF(V43=1,S43,0)</f>
        <v/>
      </c>
    </row>
    <row r="44">
      <c r="B44" s="62" t="inlineStr">
        <is>
          <t>FR-081</t>
        </is>
      </c>
      <c r="C44" s="63" t="n">
        <v>46237</v>
      </c>
      <c r="D44" s="62" t="inlineStr">
        <is>
          <t>Fresh Dairy Co.</t>
        </is>
      </c>
      <c r="E44" s="62" t="inlineStr">
        <is>
          <t>Ingredients delivery</t>
        </is>
      </c>
      <c r="F44" s="62" t="inlineStr">
        <is>
          <t>Direct Materials</t>
        </is>
      </c>
      <c r="G44" s="64" t="n">
        <v>17628.93</v>
      </c>
      <c r="H44" s="64" t="n">
        <v>1888.81</v>
      </c>
      <c r="I44" s="63" t="n"/>
      <c r="J44" s="29">
        <f>IF(V44=1,IF(ISNUMBER(I44),I44,C44+IF(ISNUMBER(IFERROR(INDEX(vend_Terms,MATCH(D44,vend_Name,0)),"")),INDEX(vend_Terms,MATCH(D44,vend_Name,0)),TermsDays)),"")</f>
        <v/>
      </c>
      <c r="K44" s="65">
        <f>IF(V44=1,SUMIFS(tx_CrAmt,tx_Type,"Bill Payment",tx_Ref,B44&amp;"",tx_Vend,D44,tx_Date,"&lt;="&amp;AsOf),"")</f>
        <v/>
      </c>
      <c r="L44" s="65">
        <f>IF(V44=1,IF(C44&gt;AsOf,0,ROUND(G44-K44,2)),"")</f>
        <v/>
      </c>
      <c r="M44" s="66">
        <f>IF(V44&lt;&gt;1,"",IF(C44&gt;AsOf,"Future",IF(L44&lt;0,"Overpaid",IF(L44=0,"Paid",IF(AsOf&gt;J44,"Overdue",IF(K44&gt;0,"Partial","Unpaid"))))))</f>
        <v/>
      </c>
      <c r="N44" s="28">
        <f>IF(AND(V44=1,N(L44)&gt;0),AsOf-C44,"")</f>
        <v/>
      </c>
      <c r="O44" s="28">
        <f>IF(N44="","",MAX(0,AsOf-J44))</f>
        <v/>
      </c>
      <c r="P44" s="66">
        <f>IF(O44="","",IF(O44=0,"Current",IF(O44&lt;=30,"1-30",IF(O44&lt;=60,"31-60",IF(O44&lt;=90,"61-90","90+")))))</f>
        <v/>
      </c>
      <c r="Q44" s="66">
        <f>IF(T44&lt;&gt;"","⛔ "&amp;T44&amp;" — not posted",IF(U44&lt;&gt;"","⚠ "&amp;U44,IF(V44=1,"✓ OK","")))</f>
        <v/>
      </c>
      <c r="R44" s="67">
        <f>IF(AND(B44="",C44="",D44="",G44="",F44=""),1,0)</f>
        <v/>
      </c>
      <c r="S44" s="68">
        <f>IF(AND(TaxOn="Yes",ISNUMBER(H44)),H44,0)</f>
        <v/>
      </c>
      <c r="T44" s="67">
        <f>IF(R44=1,"",IF(B44="","Enter a bill #",IF(D44="","Select a vendor",IF(C44="","Missing bill date",IF(NOT(ISNUMBER(C44)),"Invalid date",IF(OR(C44&lt;DATE(2000,1,1),C44&gt;DATE(2099,12,31)),"Invalid date",IF(F44="","Select an expense account",IF(ISNA(MATCH(F44,coa_Name,0)),"Unknown account: "&amp;F44,IF(NOT(ISNUMBER(G44)),"Enter an amount",IF(G44&lt;=0,"Amount must be positive",IF(S44&gt;G44,"Tax is larger than the amount","")))))))))))</f>
        <v/>
      </c>
      <c r="U44" s="67">
        <f>IF(OR(R44=1,T44&lt;&gt;""),"",IF(COUNTIFS(ap_No,B44,ap_Party,D44)&gt;1,"Duplicate bill #",IF(N(L44)&lt;0,"Overpaid by "&amp;TEXT(-L44,"#,##0.00"),IF(AND(ISNUMBER(H44),N(H44)&lt;&gt;0,S44=0),"Tax ignored (tax tracking is off)",IF(AND(ISNUMBER(StartDate),C44&lt;StartDate),"Date is before the accounting start date",IF(OR(IFERROR(INDEX(coa_Type,MATCH(F44,coa_Name,0)),"")="Revenue",IFERROR(INDEX(coa_Type,MATCH(F44,coa_Name,0)),"")="Other Income",IFERROR(INDEX(coa_Type,MATCH(F44,coa_Name,0)),"")="Equity"),"Account is not an expense or asset account",""))))))</f>
        <v/>
      </c>
      <c r="V44" s="67">
        <f>IF(AND(R44=0,T44=""),1,0)</f>
        <v/>
      </c>
      <c r="W44" s="67">
        <f>IF(V44=1,F44,"")</f>
        <v/>
      </c>
      <c r="X44" s="67">
        <f>IF(V44=1,acctAP,"")</f>
        <v/>
      </c>
      <c r="Y44" s="68">
        <f>IF(V44=1,G44-S44,0)</f>
        <v/>
      </c>
      <c r="Z44" s="68">
        <f>IF(V44=1,G44,0)</f>
        <v/>
      </c>
      <c r="AA44" s="68">
        <f>IF(V44=1,S44,0)</f>
        <v/>
      </c>
    </row>
    <row r="45">
      <c r="B45" s="62" t="inlineStr">
        <is>
          <t>FR-082</t>
        </is>
      </c>
      <c r="C45" s="63" t="n">
        <v>46253</v>
      </c>
      <c r="D45" s="62" t="inlineStr">
        <is>
          <t>Fresh Dairy Co.</t>
        </is>
      </c>
      <c r="E45" s="62" t="inlineStr">
        <is>
          <t>Ingredients delivery</t>
        </is>
      </c>
      <c r="F45" s="62" t="inlineStr">
        <is>
          <t>Direct Materials</t>
        </is>
      </c>
      <c r="G45" s="64" t="n">
        <v>19124.37</v>
      </c>
      <c r="H45" s="64" t="n">
        <v>2049.04</v>
      </c>
      <c r="I45" s="63" t="n"/>
      <c r="J45" s="29">
        <f>IF(V45=1,IF(ISNUMBER(I45),I45,C45+IF(ISNUMBER(IFERROR(INDEX(vend_Terms,MATCH(D45,vend_Name,0)),"")),INDEX(vend_Terms,MATCH(D45,vend_Name,0)),TermsDays)),"")</f>
        <v/>
      </c>
      <c r="K45" s="65">
        <f>IF(V45=1,SUMIFS(tx_CrAmt,tx_Type,"Bill Payment",tx_Ref,B45&amp;"",tx_Vend,D45,tx_Date,"&lt;="&amp;AsOf),"")</f>
        <v/>
      </c>
      <c r="L45" s="65">
        <f>IF(V45=1,IF(C45&gt;AsOf,0,ROUND(G45-K45,2)),"")</f>
        <v/>
      </c>
      <c r="M45" s="66">
        <f>IF(V45&lt;&gt;1,"",IF(C45&gt;AsOf,"Future",IF(L45&lt;0,"Overpaid",IF(L45=0,"Paid",IF(AsOf&gt;J45,"Overdue",IF(K45&gt;0,"Partial","Unpaid"))))))</f>
        <v/>
      </c>
      <c r="N45" s="28">
        <f>IF(AND(V45=1,N(L45)&gt;0),AsOf-C45,"")</f>
        <v/>
      </c>
      <c r="O45" s="28">
        <f>IF(N45="","",MAX(0,AsOf-J45))</f>
        <v/>
      </c>
      <c r="P45" s="66">
        <f>IF(O45="","",IF(O45=0,"Current",IF(O45&lt;=30,"1-30",IF(O45&lt;=60,"31-60",IF(O45&lt;=90,"61-90","90+")))))</f>
        <v/>
      </c>
      <c r="Q45" s="66">
        <f>IF(T45&lt;&gt;"","⛔ "&amp;T45&amp;" — not posted",IF(U45&lt;&gt;"","⚠ "&amp;U45,IF(V45=1,"✓ OK","")))</f>
        <v/>
      </c>
      <c r="R45" s="67">
        <f>IF(AND(B45="",C45="",D45="",G45="",F45=""),1,0)</f>
        <v/>
      </c>
      <c r="S45" s="68">
        <f>IF(AND(TaxOn="Yes",ISNUMBER(H45)),H45,0)</f>
        <v/>
      </c>
      <c r="T45" s="67">
        <f>IF(R45=1,"",IF(B45="","Enter a bill #",IF(D45="","Select a vendor",IF(C45="","Missing bill date",IF(NOT(ISNUMBER(C45)),"Invalid date",IF(OR(C45&lt;DATE(2000,1,1),C45&gt;DATE(2099,12,31)),"Invalid date",IF(F45="","Select an expense account",IF(ISNA(MATCH(F45,coa_Name,0)),"Unknown account: "&amp;F45,IF(NOT(ISNUMBER(G45)),"Enter an amount",IF(G45&lt;=0,"Amount must be positive",IF(S45&gt;G45,"Tax is larger than the amount","")))))))))))</f>
        <v/>
      </c>
      <c r="U45" s="67">
        <f>IF(OR(R45=1,T45&lt;&gt;""),"",IF(COUNTIFS(ap_No,B45,ap_Party,D45)&gt;1,"Duplicate bill #",IF(N(L45)&lt;0,"Overpaid by "&amp;TEXT(-L45,"#,##0.00"),IF(AND(ISNUMBER(H45),N(H45)&lt;&gt;0,S45=0),"Tax ignored (tax tracking is off)",IF(AND(ISNUMBER(StartDate),C45&lt;StartDate),"Date is before the accounting start date",IF(OR(IFERROR(INDEX(coa_Type,MATCH(F45,coa_Name,0)),"")="Revenue",IFERROR(INDEX(coa_Type,MATCH(F45,coa_Name,0)),"")="Other Income",IFERROR(INDEX(coa_Type,MATCH(F45,coa_Name,0)),"")="Equity"),"Account is not an expense or asset account",""))))))</f>
        <v/>
      </c>
      <c r="V45" s="67">
        <f>IF(AND(R45=0,T45=""),1,0)</f>
        <v/>
      </c>
      <c r="W45" s="67">
        <f>IF(V45=1,F45,"")</f>
        <v/>
      </c>
      <c r="X45" s="67">
        <f>IF(V45=1,acctAP,"")</f>
        <v/>
      </c>
      <c r="Y45" s="68">
        <f>IF(V45=1,G45-S45,0)</f>
        <v/>
      </c>
      <c r="Z45" s="68">
        <f>IF(V45=1,G45,0)</f>
        <v/>
      </c>
      <c r="AA45" s="68">
        <f>IF(V45=1,S45,0)</f>
        <v/>
      </c>
    </row>
    <row r="46">
      <c r="B46" s="62" t="inlineStr">
        <is>
          <t>PA-081</t>
        </is>
      </c>
      <c r="C46" s="63" t="n">
        <v>46238</v>
      </c>
      <c r="D46" s="62" t="inlineStr">
        <is>
          <t>PackRight Supplies</t>
        </is>
      </c>
      <c r="E46" s="62" t="inlineStr">
        <is>
          <t>Packaging</t>
        </is>
      </c>
      <c r="F46" s="62" t="inlineStr">
        <is>
          <t>Other Direct Costs</t>
        </is>
      </c>
      <c r="G46" s="64" t="n">
        <v>8354.290000000001</v>
      </c>
      <c r="H46" s="64" t="n">
        <v>895.1</v>
      </c>
      <c r="I46" s="63" t="n"/>
      <c r="J46" s="29">
        <f>IF(V46=1,IF(ISNUMBER(I46),I46,C46+IF(ISNUMBER(IFERROR(INDEX(vend_Terms,MATCH(D46,vend_Name,0)),"")),INDEX(vend_Terms,MATCH(D46,vend_Name,0)),TermsDays)),"")</f>
        <v/>
      </c>
      <c r="K46" s="65">
        <f>IF(V46=1,SUMIFS(tx_CrAmt,tx_Type,"Bill Payment",tx_Ref,B46&amp;"",tx_Vend,D46,tx_Date,"&lt;="&amp;AsOf),"")</f>
        <v/>
      </c>
      <c r="L46" s="65">
        <f>IF(V46=1,IF(C46&gt;AsOf,0,ROUND(G46-K46,2)),"")</f>
        <v/>
      </c>
      <c r="M46" s="66">
        <f>IF(V46&lt;&gt;1,"",IF(C46&gt;AsOf,"Future",IF(L46&lt;0,"Overpaid",IF(L46=0,"Paid",IF(AsOf&gt;J46,"Overdue",IF(K46&gt;0,"Partial","Unpaid"))))))</f>
        <v/>
      </c>
      <c r="N46" s="28">
        <f>IF(AND(V46=1,N(L46)&gt;0),AsOf-C46,"")</f>
        <v/>
      </c>
      <c r="O46" s="28">
        <f>IF(N46="","",MAX(0,AsOf-J46))</f>
        <v/>
      </c>
      <c r="P46" s="66">
        <f>IF(O46="","",IF(O46=0,"Current",IF(O46&lt;=30,"1-30",IF(O46&lt;=60,"31-60",IF(O46&lt;=90,"61-90","90+")))))</f>
        <v/>
      </c>
      <c r="Q46" s="66">
        <f>IF(T46&lt;&gt;"","⛔ "&amp;T46&amp;" — not posted",IF(U46&lt;&gt;"","⚠ "&amp;U46,IF(V46=1,"✓ OK","")))</f>
        <v/>
      </c>
      <c r="R46" s="67">
        <f>IF(AND(B46="",C46="",D46="",G46="",F46=""),1,0)</f>
        <v/>
      </c>
      <c r="S46" s="68">
        <f>IF(AND(TaxOn="Yes",ISNUMBER(H46)),H46,0)</f>
        <v/>
      </c>
      <c r="T46" s="67">
        <f>IF(R46=1,"",IF(B46="","Enter a bill #",IF(D46="","Select a vendor",IF(C46="","Missing bill date",IF(NOT(ISNUMBER(C46)),"Invalid date",IF(OR(C46&lt;DATE(2000,1,1),C46&gt;DATE(2099,12,31)),"Invalid date",IF(F46="","Select an expense account",IF(ISNA(MATCH(F46,coa_Name,0)),"Unknown account: "&amp;F46,IF(NOT(ISNUMBER(G46)),"Enter an amount",IF(G46&lt;=0,"Amount must be positive",IF(S46&gt;G46,"Tax is larger than the amount","")))))))))))</f>
        <v/>
      </c>
      <c r="U46" s="67">
        <f>IF(OR(R46=1,T46&lt;&gt;""),"",IF(COUNTIFS(ap_No,B46,ap_Party,D46)&gt;1,"Duplicate bill #",IF(N(L46)&lt;0,"Overpaid by "&amp;TEXT(-L46,"#,##0.00"),IF(AND(ISNUMBER(H46),N(H46)&lt;&gt;0,S46=0),"Tax ignored (tax tracking is off)",IF(AND(ISNUMBER(StartDate),C46&lt;StartDate),"Date is before the accounting start date",IF(OR(IFERROR(INDEX(coa_Type,MATCH(F46,coa_Name,0)),"")="Revenue",IFERROR(INDEX(coa_Type,MATCH(F46,coa_Name,0)),"")="Other Income",IFERROR(INDEX(coa_Type,MATCH(F46,coa_Name,0)),"")="Equity"),"Account is not an expense or asset account",""))))))</f>
        <v/>
      </c>
      <c r="V46" s="67">
        <f>IF(AND(R46=0,T46=""),1,0)</f>
        <v/>
      </c>
      <c r="W46" s="67">
        <f>IF(V46=1,F46,"")</f>
        <v/>
      </c>
      <c r="X46" s="67">
        <f>IF(V46=1,acctAP,"")</f>
        <v/>
      </c>
      <c r="Y46" s="68">
        <f>IF(V46=1,G46-S46,0)</f>
        <v/>
      </c>
      <c r="Z46" s="68">
        <f>IF(V46=1,G46,0)</f>
        <v/>
      </c>
      <c r="AA46" s="68">
        <f>IF(V46=1,S46,0)</f>
        <v/>
      </c>
    </row>
    <row r="47">
      <c r="B47" s="62" t="inlineStr">
        <is>
          <t>GO-091</t>
        </is>
      </c>
      <c r="C47" s="63" t="n">
        <v>46269</v>
      </c>
      <c r="D47" s="62" t="inlineStr">
        <is>
          <t>Golden Grain Flour Mill</t>
        </is>
      </c>
      <c r="E47" s="62" t="inlineStr">
        <is>
          <t>Ingredients delivery</t>
        </is>
      </c>
      <c r="F47" s="62" t="inlineStr">
        <is>
          <t>Direct Materials</t>
        </is>
      </c>
      <c r="G47" s="64" t="n">
        <v>32690.52</v>
      </c>
      <c r="H47" s="64" t="n">
        <v>3502.56</v>
      </c>
      <c r="I47" s="63" t="n"/>
      <c r="J47" s="29">
        <f>IF(V47=1,IF(ISNUMBER(I47),I47,C47+IF(ISNUMBER(IFERROR(INDEX(vend_Terms,MATCH(D47,vend_Name,0)),"")),INDEX(vend_Terms,MATCH(D47,vend_Name,0)),TermsDays)),"")</f>
        <v/>
      </c>
      <c r="K47" s="65">
        <f>IF(V47=1,SUMIFS(tx_CrAmt,tx_Type,"Bill Payment",tx_Ref,B47&amp;"",tx_Vend,D47,tx_Date,"&lt;="&amp;AsOf),"")</f>
        <v/>
      </c>
      <c r="L47" s="65">
        <f>IF(V47=1,IF(C47&gt;AsOf,0,ROUND(G47-K47,2)),"")</f>
        <v/>
      </c>
      <c r="M47" s="66">
        <f>IF(V47&lt;&gt;1,"",IF(C47&gt;AsOf,"Future",IF(L47&lt;0,"Overpaid",IF(L47=0,"Paid",IF(AsOf&gt;J47,"Overdue",IF(K47&gt;0,"Partial","Unpaid"))))))</f>
        <v/>
      </c>
      <c r="N47" s="28">
        <f>IF(AND(V47=1,N(L47)&gt;0),AsOf-C47,"")</f>
        <v/>
      </c>
      <c r="O47" s="28">
        <f>IF(N47="","",MAX(0,AsOf-J47))</f>
        <v/>
      </c>
      <c r="P47" s="66">
        <f>IF(O47="","",IF(O47=0,"Current",IF(O47&lt;=30,"1-30",IF(O47&lt;=60,"31-60",IF(O47&lt;=90,"61-90","90+")))))</f>
        <v/>
      </c>
      <c r="Q47" s="66">
        <f>IF(T47&lt;&gt;"","⛔ "&amp;T47&amp;" — not posted",IF(U47&lt;&gt;"","⚠ "&amp;U47,IF(V47=1,"✓ OK","")))</f>
        <v/>
      </c>
      <c r="R47" s="67">
        <f>IF(AND(B47="",C47="",D47="",G47="",F47=""),1,0)</f>
        <v/>
      </c>
      <c r="S47" s="68">
        <f>IF(AND(TaxOn="Yes",ISNUMBER(H47)),H47,0)</f>
        <v/>
      </c>
      <c r="T47" s="67">
        <f>IF(R47=1,"",IF(B47="","Enter a bill #",IF(D47="","Select a vendor",IF(C47="","Missing bill date",IF(NOT(ISNUMBER(C47)),"Invalid date",IF(OR(C47&lt;DATE(2000,1,1),C47&gt;DATE(2099,12,31)),"Invalid date",IF(F47="","Select an expense account",IF(ISNA(MATCH(F47,coa_Name,0)),"Unknown account: "&amp;F47,IF(NOT(ISNUMBER(G47)),"Enter an amount",IF(G47&lt;=0,"Amount must be positive",IF(S47&gt;G47,"Tax is larger than the amount","")))))))))))</f>
        <v/>
      </c>
      <c r="U47" s="67">
        <f>IF(OR(R47=1,T47&lt;&gt;""),"",IF(COUNTIFS(ap_No,B47,ap_Party,D47)&gt;1,"Duplicate bill #",IF(N(L47)&lt;0,"Overpaid by "&amp;TEXT(-L47,"#,##0.00"),IF(AND(ISNUMBER(H47),N(H47)&lt;&gt;0,S47=0),"Tax ignored (tax tracking is off)",IF(AND(ISNUMBER(StartDate),C47&lt;StartDate),"Date is before the accounting start date",IF(OR(IFERROR(INDEX(coa_Type,MATCH(F47,coa_Name,0)),"")="Revenue",IFERROR(INDEX(coa_Type,MATCH(F47,coa_Name,0)),"")="Other Income",IFERROR(INDEX(coa_Type,MATCH(F47,coa_Name,0)),"")="Equity"),"Account is not an expense or asset account",""))))))</f>
        <v/>
      </c>
      <c r="V47" s="67">
        <f>IF(AND(R47=0,T47=""),1,0)</f>
        <v/>
      </c>
      <c r="W47" s="67">
        <f>IF(V47=1,F47,"")</f>
        <v/>
      </c>
      <c r="X47" s="67">
        <f>IF(V47=1,acctAP,"")</f>
        <v/>
      </c>
      <c r="Y47" s="68">
        <f>IF(V47=1,G47-S47,0)</f>
        <v/>
      </c>
      <c r="Z47" s="68">
        <f>IF(V47=1,G47,0)</f>
        <v/>
      </c>
      <c r="AA47" s="68">
        <f>IF(V47=1,S47,0)</f>
        <v/>
      </c>
    </row>
    <row r="48">
      <c r="B48" s="62" t="inlineStr">
        <is>
          <t>GO-092</t>
        </is>
      </c>
      <c r="C48" s="63" t="n">
        <v>46283</v>
      </c>
      <c r="D48" s="62" t="inlineStr">
        <is>
          <t>Golden Grain Flour Mill</t>
        </is>
      </c>
      <c r="E48" s="62" t="inlineStr">
        <is>
          <t>Ingredients delivery</t>
        </is>
      </c>
      <c r="F48" s="62" t="inlineStr">
        <is>
          <t>Direct Materials</t>
        </is>
      </c>
      <c r="G48" s="64" t="n">
        <v>49132.94</v>
      </c>
      <c r="H48" s="64" t="n">
        <v>5264.24</v>
      </c>
      <c r="I48" s="63" t="n"/>
      <c r="J48" s="29">
        <f>IF(V48=1,IF(ISNUMBER(I48),I48,C48+IF(ISNUMBER(IFERROR(INDEX(vend_Terms,MATCH(D48,vend_Name,0)),"")),INDEX(vend_Terms,MATCH(D48,vend_Name,0)),TermsDays)),"")</f>
        <v/>
      </c>
      <c r="K48" s="65">
        <f>IF(V48=1,SUMIFS(tx_CrAmt,tx_Type,"Bill Payment",tx_Ref,B48&amp;"",tx_Vend,D48,tx_Date,"&lt;="&amp;AsOf),"")</f>
        <v/>
      </c>
      <c r="L48" s="65">
        <f>IF(V48=1,IF(C48&gt;AsOf,0,ROUND(G48-K48,2)),"")</f>
        <v/>
      </c>
      <c r="M48" s="66">
        <f>IF(V48&lt;&gt;1,"",IF(C48&gt;AsOf,"Future",IF(L48&lt;0,"Overpaid",IF(L48=0,"Paid",IF(AsOf&gt;J48,"Overdue",IF(K48&gt;0,"Partial","Unpaid"))))))</f>
        <v/>
      </c>
      <c r="N48" s="28">
        <f>IF(AND(V48=1,N(L48)&gt;0),AsOf-C48,"")</f>
        <v/>
      </c>
      <c r="O48" s="28">
        <f>IF(N48="","",MAX(0,AsOf-J48))</f>
        <v/>
      </c>
      <c r="P48" s="66">
        <f>IF(O48="","",IF(O48=0,"Current",IF(O48&lt;=30,"1-30",IF(O48&lt;=60,"31-60",IF(O48&lt;=90,"61-90","90+")))))</f>
        <v/>
      </c>
      <c r="Q48" s="66">
        <f>IF(T48&lt;&gt;"","⛔ "&amp;T48&amp;" — not posted",IF(U48&lt;&gt;"","⚠ "&amp;U48,IF(V48=1,"✓ OK","")))</f>
        <v/>
      </c>
      <c r="R48" s="67">
        <f>IF(AND(B48="",C48="",D48="",G48="",F48=""),1,0)</f>
        <v/>
      </c>
      <c r="S48" s="68">
        <f>IF(AND(TaxOn="Yes",ISNUMBER(H48)),H48,0)</f>
        <v/>
      </c>
      <c r="T48" s="67">
        <f>IF(R48=1,"",IF(B48="","Enter a bill #",IF(D48="","Select a vendor",IF(C48="","Missing bill date",IF(NOT(ISNUMBER(C48)),"Invalid date",IF(OR(C48&lt;DATE(2000,1,1),C48&gt;DATE(2099,12,31)),"Invalid date",IF(F48="","Select an expense account",IF(ISNA(MATCH(F48,coa_Name,0)),"Unknown account: "&amp;F48,IF(NOT(ISNUMBER(G48)),"Enter an amount",IF(G48&lt;=0,"Amount must be positive",IF(S48&gt;G48,"Tax is larger than the amount","")))))))))))</f>
        <v/>
      </c>
      <c r="U48" s="67">
        <f>IF(OR(R48=1,T48&lt;&gt;""),"",IF(COUNTIFS(ap_No,B48,ap_Party,D48)&gt;1,"Duplicate bill #",IF(N(L48)&lt;0,"Overpaid by "&amp;TEXT(-L48,"#,##0.00"),IF(AND(ISNUMBER(H48),N(H48)&lt;&gt;0,S48=0),"Tax ignored (tax tracking is off)",IF(AND(ISNUMBER(StartDate),C48&lt;StartDate),"Date is before the accounting start date",IF(OR(IFERROR(INDEX(coa_Type,MATCH(F48,coa_Name,0)),"")="Revenue",IFERROR(INDEX(coa_Type,MATCH(F48,coa_Name,0)),"")="Other Income",IFERROR(INDEX(coa_Type,MATCH(F48,coa_Name,0)),"")="Equity"),"Account is not an expense or asset account",""))))))</f>
        <v/>
      </c>
      <c r="V48" s="67">
        <f>IF(AND(R48=0,T48=""),1,0)</f>
        <v/>
      </c>
      <c r="W48" s="67">
        <f>IF(V48=1,F48,"")</f>
        <v/>
      </c>
      <c r="X48" s="67">
        <f>IF(V48=1,acctAP,"")</f>
        <v/>
      </c>
      <c r="Y48" s="68">
        <f>IF(V48=1,G48-S48,0)</f>
        <v/>
      </c>
      <c r="Z48" s="68">
        <f>IF(V48=1,G48,0)</f>
        <v/>
      </c>
      <c r="AA48" s="68">
        <f>IF(V48=1,S48,0)</f>
        <v/>
      </c>
    </row>
    <row r="49">
      <c r="B49" s="62" t="inlineStr">
        <is>
          <t>FR-091</t>
        </is>
      </c>
      <c r="C49" s="63" t="n">
        <v>46268</v>
      </c>
      <c r="D49" s="62" t="inlineStr">
        <is>
          <t>Fresh Dairy Co.</t>
        </is>
      </c>
      <c r="E49" s="62" t="inlineStr">
        <is>
          <t>Ingredients delivery</t>
        </is>
      </c>
      <c r="F49" s="62" t="inlineStr">
        <is>
          <t>Direct Materials</t>
        </is>
      </c>
      <c r="G49" s="64" t="n">
        <v>13034.76</v>
      </c>
      <c r="H49" s="64" t="n">
        <v>1396.58</v>
      </c>
      <c r="I49" s="63" t="n"/>
      <c r="J49" s="29">
        <f>IF(V49=1,IF(ISNUMBER(I49),I49,C49+IF(ISNUMBER(IFERROR(INDEX(vend_Terms,MATCH(D49,vend_Name,0)),"")),INDEX(vend_Terms,MATCH(D49,vend_Name,0)),TermsDays)),"")</f>
        <v/>
      </c>
      <c r="K49" s="65">
        <f>IF(V49=1,SUMIFS(tx_CrAmt,tx_Type,"Bill Payment",tx_Ref,B49&amp;"",tx_Vend,D49,tx_Date,"&lt;="&amp;AsOf),"")</f>
        <v/>
      </c>
      <c r="L49" s="65">
        <f>IF(V49=1,IF(C49&gt;AsOf,0,ROUND(G49-K49,2)),"")</f>
        <v/>
      </c>
      <c r="M49" s="66">
        <f>IF(V49&lt;&gt;1,"",IF(C49&gt;AsOf,"Future",IF(L49&lt;0,"Overpaid",IF(L49=0,"Paid",IF(AsOf&gt;J49,"Overdue",IF(K49&gt;0,"Partial","Unpaid"))))))</f>
        <v/>
      </c>
      <c r="N49" s="28">
        <f>IF(AND(V49=1,N(L49)&gt;0),AsOf-C49,"")</f>
        <v/>
      </c>
      <c r="O49" s="28">
        <f>IF(N49="","",MAX(0,AsOf-J49))</f>
        <v/>
      </c>
      <c r="P49" s="66">
        <f>IF(O49="","",IF(O49=0,"Current",IF(O49&lt;=30,"1-30",IF(O49&lt;=60,"31-60",IF(O49&lt;=90,"61-90","90+")))))</f>
        <v/>
      </c>
      <c r="Q49" s="66">
        <f>IF(T49&lt;&gt;"","⛔ "&amp;T49&amp;" — not posted",IF(U49&lt;&gt;"","⚠ "&amp;U49,IF(V49=1,"✓ OK","")))</f>
        <v/>
      </c>
      <c r="R49" s="67">
        <f>IF(AND(B49="",C49="",D49="",G49="",F49=""),1,0)</f>
        <v/>
      </c>
      <c r="S49" s="68">
        <f>IF(AND(TaxOn="Yes",ISNUMBER(H49)),H49,0)</f>
        <v/>
      </c>
      <c r="T49" s="67">
        <f>IF(R49=1,"",IF(B49="","Enter a bill #",IF(D49="","Select a vendor",IF(C49="","Missing bill date",IF(NOT(ISNUMBER(C49)),"Invalid date",IF(OR(C49&lt;DATE(2000,1,1),C49&gt;DATE(2099,12,31)),"Invalid date",IF(F49="","Select an expense account",IF(ISNA(MATCH(F49,coa_Name,0)),"Unknown account: "&amp;F49,IF(NOT(ISNUMBER(G49)),"Enter an amount",IF(G49&lt;=0,"Amount must be positive",IF(S49&gt;G49,"Tax is larger than the amount","")))))))))))</f>
        <v/>
      </c>
      <c r="U49" s="67">
        <f>IF(OR(R49=1,T49&lt;&gt;""),"",IF(COUNTIFS(ap_No,B49,ap_Party,D49)&gt;1,"Duplicate bill #",IF(N(L49)&lt;0,"Overpaid by "&amp;TEXT(-L49,"#,##0.00"),IF(AND(ISNUMBER(H49),N(H49)&lt;&gt;0,S49=0),"Tax ignored (tax tracking is off)",IF(AND(ISNUMBER(StartDate),C49&lt;StartDate),"Date is before the accounting start date",IF(OR(IFERROR(INDEX(coa_Type,MATCH(F49,coa_Name,0)),"")="Revenue",IFERROR(INDEX(coa_Type,MATCH(F49,coa_Name,0)),"")="Other Income",IFERROR(INDEX(coa_Type,MATCH(F49,coa_Name,0)),"")="Equity"),"Account is not an expense or asset account",""))))))</f>
        <v/>
      </c>
      <c r="V49" s="67">
        <f>IF(AND(R49=0,T49=""),1,0)</f>
        <v/>
      </c>
      <c r="W49" s="67">
        <f>IF(V49=1,F49,"")</f>
        <v/>
      </c>
      <c r="X49" s="67">
        <f>IF(V49=1,acctAP,"")</f>
        <v/>
      </c>
      <c r="Y49" s="68">
        <f>IF(V49=1,G49-S49,0)</f>
        <v/>
      </c>
      <c r="Z49" s="68">
        <f>IF(V49=1,G49,0)</f>
        <v/>
      </c>
      <c r="AA49" s="68">
        <f>IF(V49=1,S49,0)</f>
        <v/>
      </c>
    </row>
    <row r="50">
      <c r="B50" s="62" t="inlineStr">
        <is>
          <t>FR-092</t>
        </is>
      </c>
      <c r="C50" s="63" t="n">
        <v>46283</v>
      </c>
      <c r="D50" s="62" t="inlineStr">
        <is>
          <t>Fresh Dairy Co.</t>
        </is>
      </c>
      <c r="E50" s="62" t="inlineStr">
        <is>
          <t>Ingredients delivery</t>
        </is>
      </c>
      <c r="F50" s="62" t="inlineStr">
        <is>
          <t>Direct Materials</t>
        </is>
      </c>
      <c r="G50" s="64" t="n">
        <v>19523.98</v>
      </c>
      <c r="H50" s="64" t="n">
        <v>2091.85</v>
      </c>
      <c r="I50" s="63" t="n"/>
      <c r="J50" s="29">
        <f>IF(V50=1,IF(ISNUMBER(I50),I50,C50+IF(ISNUMBER(IFERROR(INDEX(vend_Terms,MATCH(D50,vend_Name,0)),"")),INDEX(vend_Terms,MATCH(D50,vend_Name,0)),TermsDays)),"")</f>
        <v/>
      </c>
      <c r="K50" s="65">
        <f>IF(V50=1,SUMIFS(tx_CrAmt,tx_Type,"Bill Payment",tx_Ref,B50&amp;"",tx_Vend,D50,tx_Date,"&lt;="&amp;AsOf),"")</f>
        <v/>
      </c>
      <c r="L50" s="65">
        <f>IF(V50=1,IF(C50&gt;AsOf,0,ROUND(G50-K50,2)),"")</f>
        <v/>
      </c>
      <c r="M50" s="66">
        <f>IF(V50&lt;&gt;1,"",IF(C50&gt;AsOf,"Future",IF(L50&lt;0,"Overpaid",IF(L50=0,"Paid",IF(AsOf&gt;J50,"Overdue",IF(K50&gt;0,"Partial","Unpaid"))))))</f>
        <v/>
      </c>
      <c r="N50" s="28">
        <f>IF(AND(V50=1,N(L50)&gt;0),AsOf-C50,"")</f>
        <v/>
      </c>
      <c r="O50" s="28">
        <f>IF(N50="","",MAX(0,AsOf-J50))</f>
        <v/>
      </c>
      <c r="P50" s="66">
        <f>IF(O50="","",IF(O50=0,"Current",IF(O50&lt;=30,"1-30",IF(O50&lt;=60,"31-60",IF(O50&lt;=90,"61-90","90+")))))</f>
        <v/>
      </c>
      <c r="Q50" s="66">
        <f>IF(T50&lt;&gt;"","⛔ "&amp;T50&amp;" — not posted",IF(U50&lt;&gt;"","⚠ "&amp;U50,IF(V50=1,"✓ OK","")))</f>
        <v/>
      </c>
      <c r="R50" s="67">
        <f>IF(AND(B50="",C50="",D50="",G50="",F50=""),1,0)</f>
        <v/>
      </c>
      <c r="S50" s="68">
        <f>IF(AND(TaxOn="Yes",ISNUMBER(H50)),H50,0)</f>
        <v/>
      </c>
      <c r="T50" s="67">
        <f>IF(R50=1,"",IF(B50="","Enter a bill #",IF(D50="","Select a vendor",IF(C50="","Missing bill date",IF(NOT(ISNUMBER(C50)),"Invalid date",IF(OR(C50&lt;DATE(2000,1,1),C50&gt;DATE(2099,12,31)),"Invalid date",IF(F50="","Select an expense account",IF(ISNA(MATCH(F50,coa_Name,0)),"Unknown account: "&amp;F50,IF(NOT(ISNUMBER(G50)),"Enter an amount",IF(G50&lt;=0,"Amount must be positive",IF(S50&gt;G50,"Tax is larger than the amount","")))))))))))</f>
        <v/>
      </c>
      <c r="U50" s="67">
        <f>IF(OR(R50=1,T50&lt;&gt;""),"",IF(COUNTIFS(ap_No,B50,ap_Party,D50)&gt;1,"Duplicate bill #",IF(N(L50)&lt;0,"Overpaid by "&amp;TEXT(-L50,"#,##0.00"),IF(AND(ISNUMBER(H50),N(H50)&lt;&gt;0,S50=0),"Tax ignored (tax tracking is off)",IF(AND(ISNUMBER(StartDate),C50&lt;StartDate),"Date is before the accounting start date",IF(OR(IFERROR(INDEX(coa_Type,MATCH(F50,coa_Name,0)),"")="Revenue",IFERROR(INDEX(coa_Type,MATCH(F50,coa_Name,0)),"")="Other Income",IFERROR(INDEX(coa_Type,MATCH(F50,coa_Name,0)),"")="Equity"),"Account is not an expense or asset account",""))))))</f>
        <v/>
      </c>
      <c r="V50" s="67">
        <f>IF(AND(R50=0,T50=""),1,0)</f>
        <v/>
      </c>
      <c r="W50" s="67">
        <f>IF(V50=1,F50,"")</f>
        <v/>
      </c>
      <c r="X50" s="67">
        <f>IF(V50=1,acctAP,"")</f>
        <v/>
      </c>
      <c r="Y50" s="68">
        <f>IF(V50=1,G50-S50,0)</f>
        <v/>
      </c>
      <c r="Z50" s="68">
        <f>IF(V50=1,G50,0)</f>
        <v/>
      </c>
      <c r="AA50" s="68">
        <f>IF(V50=1,S50,0)</f>
        <v/>
      </c>
    </row>
    <row r="51">
      <c r="B51" s="62" t="inlineStr">
        <is>
          <t>PA-091</t>
        </is>
      </c>
      <c r="C51" s="63" t="n">
        <v>46271</v>
      </c>
      <c r="D51" s="62" t="inlineStr">
        <is>
          <t>PackRight Supplies</t>
        </is>
      </c>
      <c r="E51" s="62" t="inlineStr">
        <is>
          <t>Packaging</t>
        </is>
      </c>
      <c r="F51" s="62" t="inlineStr">
        <is>
          <t>Other Direct Costs</t>
        </is>
      </c>
      <c r="G51" s="64" t="n">
        <v>8794.780000000001</v>
      </c>
      <c r="H51" s="64" t="n">
        <v>942.3</v>
      </c>
      <c r="I51" s="63" t="n"/>
      <c r="J51" s="29">
        <f>IF(V51=1,IF(ISNUMBER(I51),I51,C51+IF(ISNUMBER(IFERROR(INDEX(vend_Terms,MATCH(D51,vend_Name,0)),"")),INDEX(vend_Terms,MATCH(D51,vend_Name,0)),TermsDays)),"")</f>
        <v/>
      </c>
      <c r="K51" s="65">
        <f>IF(V51=1,SUMIFS(tx_CrAmt,tx_Type,"Bill Payment",tx_Ref,B51&amp;"",tx_Vend,D51,tx_Date,"&lt;="&amp;AsOf),"")</f>
        <v/>
      </c>
      <c r="L51" s="65">
        <f>IF(V51=1,IF(C51&gt;AsOf,0,ROUND(G51-K51,2)),"")</f>
        <v/>
      </c>
      <c r="M51" s="66">
        <f>IF(V51&lt;&gt;1,"",IF(C51&gt;AsOf,"Future",IF(L51&lt;0,"Overpaid",IF(L51=0,"Paid",IF(AsOf&gt;J51,"Overdue",IF(K51&gt;0,"Partial","Unpaid"))))))</f>
        <v/>
      </c>
      <c r="N51" s="28">
        <f>IF(AND(V51=1,N(L51)&gt;0),AsOf-C51,"")</f>
        <v/>
      </c>
      <c r="O51" s="28">
        <f>IF(N51="","",MAX(0,AsOf-J51))</f>
        <v/>
      </c>
      <c r="P51" s="66">
        <f>IF(O51="","",IF(O51=0,"Current",IF(O51&lt;=30,"1-30",IF(O51&lt;=60,"31-60",IF(O51&lt;=90,"61-90","90+")))))</f>
        <v/>
      </c>
      <c r="Q51" s="66">
        <f>IF(T51&lt;&gt;"","⛔ "&amp;T51&amp;" — not posted",IF(U51&lt;&gt;"","⚠ "&amp;U51,IF(V51=1,"✓ OK","")))</f>
        <v/>
      </c>
      <c r="R51" s="67">
        <f>IF(AND(B51="",C51="",D51="",G51="",F51=""),1,0)</f>
        <v/>
      </c>
      <c r="S51" s="68">
        <f>IF(AND(TaxOn="Yes",ISNUMBER(H51)),H51,0)</f>
        <v/>
      </c>
      <c r="T51" s="67">
        <f>IF(R51=1,"",IF(B51="","Enter a bill #",IF(D51="","Select a vendor",IF(C51="","Missing bill date",IF(NOT(ISNUMBER(C51)),"Invalid date",IF(OR(C51&lt;DATE(2000,1,1),C51&gt;DATE(2099,12,31)),"Invalid date",IF(F51="","Select an expense account",IF(ISNA(MATCH(F51,coa_Name,0)),"Unknown account: "&amp;F51,IF(NOT(ISNUMBER(G51)),"Enter an amount",IF(G51&lt;=0,"Amount must be positive",IF(S51&gt;G51,"Tax is larger than the amount","")))))))))))</f>
        <v/>
      </c>
      <c r="U51" s="67">
        <f>IF(OR(R51=1,T51&lt;&gt;""),"",IF(COUNTIFS(ap_No,B51,ap_Party,D51)&gt;1,"Duplicate bill #",IF(N(L51)&lt;0,"Overpaid by "&amp;TEXT(-L51,"#,##0.00"),IF(AND(ISNUMBER(H51),N(H51)&lt;&gt;0,S51=0),"Tax ignored (tax tracking is off)",IF(AND(ISNUMBER(StartDate),C51&lt;StartDate),"Date is before the accounting start date",IF(OR(IFERROR(INDEX(coa_Type,MATCH(F51,coa_Name,0)),"")="Revenue",IFERROR(INDEX(coa_Type,MATCH(F51,coa_Name,0)),"")="Other Income",IFERROR(INDEX(coa_Type,MATCH(F51,coa_Name,0)),"")="Equity"),"Account is not an expense or asset account",""))))))</f>
        <v/>
      </c>
      <c r="V51" s="67">
        <f>IF(AND(R51=0,T51=""),1,0)</f>
        <v/>
      </c>
      <c r="W51" s="67">
        <f>IF(V51=1,F51,"")</f>
        <v/>
      </c>
      <c r="X51" s="67">
        <f>IF(V51=1,acctAP,"")</f>
        <v/>
      </c>
      <c r="Y51" s="68">
        <f>IF(V51=1,G51-S51,0)</f>
        <v/>
      </c>
      <c r="Z51" s="68">
        <f>IF(V51=1,G51,0)</f>
        <v/>
      </c>
      <c r="AA51" s="68">
        <f>IF(V51=1,S51,0)</f>
        <v/>
      </c>
    </row>
    <row r="52">
      <c r="B52" s="62" t="n"/>
      <c r="C52" s="63" t="n"/>
      <c r="D52" s="62" t="n"/>
      <c r="E52" s="62" t="n"/>
      <c r="F52" s="62" t="n"/>
      <c r="G52" s="64" t="n"/>
      <c r="H52" s="64" t="n"/>
      <c r="I52" s="63" t="n"/>
      <c r="J52" s="29">
        <f>IF(V52=1,IF(ISNUMBER(I52),I52,C52+IF(ISNUMBER(IFERROR(INDEX(vend_Terms,MATCH(D52,vend_Name,0)),"")),INDEX(vend_Terms,MATCH(D52,vend_Name,0)),TermsDays)),"")</f>
        <v/>
      </c>
      <c r="K52" s="65">
        <f>IF(V52=1,SUMIFS(tx_CrAmt,tx_Type,"Bill Payment",tx_Ref,B52&amp;"",tx_Vend,D52,tx_Date,"&lt;="&amp;AsOf),"")</f>
        <v/>
      </c>
      <c r="L52" s="65">
        <f>IF(V52=1,IF(C52&gt;AsOf,0,ROUND(G52-K52,2)),"")</f>
        <v/>
      </c>
      <c r="M52" s="66">
        <f>IF(V52&lt;&gt;1,"",IF(C52&gt;AsOf,"Future",IF(L52&lt;0,"Overpaid",IF(L52=0,"Paid",IF(AsOf&gt;J52,"Overdue",IF(K52&gt;0,"Partial","Unpaid"))))))</f>
        <v/>
      </c>
      <c r="N52" s="28">
        <f>IF(AND(V52=1,N(L52)&gt;0),AsOf-C52,"")</f>
        <v/>
      </c>
      <c r="O52" s="28">
        <f>IF(N52="","",MAX(0,AsOf-J52))</f>
        <v/>
      </c>
      <c r="P52" s="66">
        <f>IF(O52="","",IF(O52=0,"Current",IF(O52&lt;=30,"1-30",IF(O52&lt;=60,"31-60",IF(O52&lt;=90,"61-90","90+")))))</f>
        <v/>
      </c>
      <c r="Q52" s="66">
        <f>IF(T52&lt;&gt;"","⛔ "&amp;T52&amp;" — not posted",IF(U52&lt;&gt;"","⚠ "&amp;U52,IF(V52=1,"✓ OK","")))</f>
        <v/>
      </c>
      <c r="R52" s="67">
        <f>IF(AND(B52="",C52="",D52="",G52="",F52=""),1,0)</f>
        <v/>
      </c>
      <c r="S52" s="68">
        <f>IF(AND(TaxOn="Yes",ISNUMBER(H52)),H52,0)</f>
        <v/>
      </c>
      <c r="T52" s="67">
        <f>IF(R52=1,"",IF(B52="","Enter a bill #",IF(D52="","Select a vendor",IF(C52="","Missing bill date",IF(NOT(ISNUMBER(C52)),"Invalid date",IF(OR(C52&lt;DATE(2000,1,1),C52&gt;DATE(2099,12,31)),"Invalid date",IF(F52="","Select an expense account",IF(ISNA(MATCH(F52,coa_Name,0)),"Unknown account: "&amp;F52,IF(NOT(ISNUMBER(G52)),"Enter an amount",IF(G52&lt;=0,"Amount must be positive",IF(S52&gt;G52,"Tax is larger than the amount","")))))))))))</f>
        <v/>
      </c>
      <c r="U52" s="67">
        <f>IF(OR(R52=1,T52&lt;&gt;""),"",IF(COUNTIFS(ap_No,B52,ap_Party,D52)&gt;1,"Duplicate bill #",IF(N(L52)&lt;0,"Overpaid by "&amp;TEXT(-L52,"#,##0.00"),IF(AND(ISNUMBER(H52),N(H52)&lt;&gt;0,S52=0),"Tax ignored (tax tracking is off)",IF(AND(ISNUMBER(StartDate),C52&lt;StartDate),"Date is before the accounting start date",IF(OR(IFERROR(INDEX(coa_Type,MATCH(F52,coa_Name,0)),"")="Revenue",IFERROR(INDEX(coa_Type,MATCH(F52,coa_Name,0)),"")="Other Income",IFERROR(INDEX(coa_Type,MATCH(F52,coa_Name,0)),"")="Equity"),"Account is not an expense or asset account",""))))))</f>
        <v/>
      </c>
      <c r="V52" s="67">
        <f>IF(AND(R52=0,T52=""),1,0)</f>
        <v/>
      </c>
      <c r="W52" s="67">
        <f>IF(V52=1,F52,"")</f>
        <v/>
      </c>
      <c r="X52" s="67">
        <f>IF(V52=1,acctAP,"")</f>
        <v/>
      </c>
      <c r="Y52" s="68">
        <f>IF(V52=1,G52-S52,0)</f>
        <v/>
      </c>
      <c r="Z52" s="68">
        <f>IF(V52=1,G52,0)</f>
        <v/>
      </c>
      <c r="AA52" s="68">
        <f>IF(V52=1,S52,0)</f>
        <v/>
      </c>
    </row>
    <row r="53">
      <c r="B53" s="62" t="n"/>
      <c r="C53" s="63" t="n"/>
      <c r="D53" s="62" t="n"/>
      <c r="E53" s="62" t="n"/>
      <c r="F53" s="62" t="n"/>
      <c r="G53" s="64" t="n"/>
      <c r="H53" s="64" t="n"/>
      <c r="I53" s="63" t="n"/>
      <c r="J53" s="29">
        <f>IF(V53=1,IF(ISNUMBER(I53),I53,C53+IF(ISNUMBER(IFERROR(INDEX(vend_Terms,MATCH(D53,vend_Name,0)),"")),INDEX(vend_Terms,MATCH(D53,vend_Name,0)),TermsDays)),"")</f>
        <v/>
      </c>
      <c r="K53" s="65">
        <f>IF(V53=1,SUMIFS(tx_CrAmt,tx_Type,"Bill Payment",tx_Ref,B53&amp;"",tx_Vend,D53,tx_Date,"&lt;="&amp;AsOf),"")</f>
        <v/>
      </c>
      <c r="L53" s="65">
        <f>IF(V53=1,IF(C53&gt;AsOf,0,ROUND(G53-K53,2)),"")</f>
        <v/>
      </c>
      <c r="M53" s="66">
        <f>IF(V53&lt;&gt;1,"",IF(C53&gt;AsOf,"Future",IF(L53&lt;0,"Overpaid",IF(L53=0,"Paid",IF(AsOf&gt;J53,"Overdue",IF(K53&gt;0,"Partial","Unpaid"))))))</f>
        <v/>
      </c>
      <c r="N53" s="28">
        <f>IF(AND(V53=1,N(L53)&gt;0),AsOf-C53,"")</f>
        <v/>
      </c>
      <c r="O53" s="28">
        <f>IF(N53="","",MAX(0,AsOf-J53))</f>
        <v/>
      </c>
      <c r="P53" s="66">
        <f>IF(O53="","",IF(O53=0,"Current",IF(O53&lt;=30,"1-30",IF(O53&lt;=60,"31-60",IF(O53&lt;=90,"61-90","90+")))))</f>
        <v/>
      </c>
      <c r="Q53" s="66">
        <f>IF(T53&lt;&gt;"","⛔ "&amp;T53&amp;" — not posted",IF(U53&lt;&gt;"","⚠ "&amp;U53,IF(V53=1,"✓ OK","")))</f>
        <v/>
      </c>
      <c r="R53" s="67">
        <f>IF(AND(B53="",C53="",D53="",G53="",F53=""),1,0)</f>
        <v/>
      </c>
      <c r="S53" s="68">
        <f>IF(AND(TaxOn="Yes",ISNUMBER(H53)),H53,0)</f>
        <v/>
      </c>
      <c r="T53" s="67">
        <f>IF(R53=1,"",IF(B53="","Enter a bill #",IF(D53="","Select a vendor",IF(C53="","Missing bill date",IF(NOT(ISNUMBER(C53)),"Invalid date",IF(OR(C53&lt;DATE(2000,1,1),C53&gt;DATE(2099,12,31)),"Invalid date",IF(F53="","Select an expense account",IF(ISNA(MATCH(F53,coa_Name,0)),"Unknown account: "&amp;F53,IF(NOT(ISNUMBER(G53)),"Enter an amount",IF(G53&lt;=0,"Amount must be positive",IF(S53&gt;G53,"Tax is larger than the amount","")))))))))))</f>
        <v/>
      </c>
      <c r="U53" s="67">
        <f>IF(OR(R53=1,T53&lt;&gt;""),"",IF(COUNTIFS(ap_No,B53,ap_Party,D53)&gt;1,"Duplicate bill #",IF(N(L53)&lt;0,"Overpaid by "&amp;TEXT(-L53,"#,##0.00"),IF(AND(ISNUMBER(H53),N(H53)&lt;&gt;0,S53=0),"Tax ignored (tax tracking is off)",IF(AND(ISNUMBER(StartDate),C53&lt;StartDate),"Date is before the accounting start date",IF(OR(IFERROR(INDEX(coa_Type,MATCH(F53,coa_Name,0)),"")="Revenue",IFERROR(INDEX(coa_Type,MATCH(F53,coa_Name,0)),"")="Other Income",IFERROR(INDEX(coa_Type,MATCH(F53,coa_Name,0)),"")="Equity"),"Account is not an expense or asset account",""))))))</f>
        <v/>
      </c>
      <c r="V53" s="67">
        <f>IF(AND(R53=0,T53=""),1,0)</f>
        <v/>
      </c>
      <c r="W53" s="67">
        <f>IF(V53=1,F53,"")</f>
        <v/>
      </c>
      <c r="X53" s="67">
        <f>IF(V53=1,acctAP,"")</f>
        <v/>
      </c>
      <c r="Y53" s="68">
        <f>IF(V53=1,G53-S53,0)</f>
        <v/>
      </c>
      <c r="Z53" s="68">
        <f>IF(V53=1,G53,0)</f>
        <v/>
      </c>
      <c r="AA53" s="68">
        <f>IF(V53=1,S53,0)</f>
        <v/>
      </c>
    </row>
    <row r="54">
      <c r="B54" s="62" t="n"/>
      <c r="C54" s="63" t="n"/>
      <c r="D54" s="62" t="n"/>
      <c r="E54" s="62" t="n"/>
      <c r="F54" s="62" t="n"/>
      <c r="G54" s="64" t="n"/>
      <c r="H54" s="64" t="n"/>
      <c r="I54" s="63" t="n"/>
      <c r="J54" s="29">
        <f>IF(V54=1,IF(ISNUMBER(I54),I54,C54+IF(ISNUMBER(IFERROR(INDEX(vend_Terms,MATCH(D54,vend_Name,0)),"")),INDEX(vend_Terms,MATCH(D54,vend_Name,0)),TermsDays)),"")</f>
        <v/>
      </c>
      <c r="K54" s="65">
        <f>IF(V54=1,SUMIFS(tx_CrAmt,tx_Type,"Bill Payment",tx_Ref,B54&amp;"",tx_Vend,D54,tx_Date,"&lt;="&amp;AsOf),"")</f>
        <v/>
      </c>
      <c r="L54" s="65">
        <f>IF(V54=1,IF(C54&gt;AsOf,0,ROUND(G54-K54,2)),"")</f>
        <v/>
      </c>
      <c r="M54" s="66">
        <f>IF(V54&lt;&gt;1,"",IF(C54&gt;AsOf,"Future",IF(L54&lt;0,"Overpaid",IF(L54=0,"Paid",IF(AsOf&gt;J54,"Overdue",IF(K54&gt;0,"Partial","Unpaid"))))))</f>
        <v/>
      </c>
      <c r="N54" s="28">
        <f>IF(AND(V54=1,N(L54)&gt;0),AsOf-C54,"")</f>
        <v/>
      </c>
      <c r="O54" s="28">
        <f>IF(N54="","",MAX(0,AsOf-J54))</f>
        <v/>
      </c>
      <c r="P54" s="66">
        <f>IF(O54="","",IF(O54=0,"Current",IF(O54&lt;=30,"1-30",IF(O54&lt;=60,"31-60",IF(O54&lt;=90,"61-90","90+")))))</f>
        <v/>
      </c>
      <c r="Q54" s="66">
        <f>IF(T54&lt;&gt;"","⛔ "&amp;T54&amp;" — not posted",IF(U54&lt;&gt;"","⚠ "&amp;U54,IF(V54=1,"✓ OK","")))</f>
        <v/>
      </c>
      <c r="R54" s="67">
        <f>IF(AND(B54="",C54="",D54="",G54="",F54=""),1,0)</f>
        <v/>
      </c>
      <c r="S54" s="68">
        <f>IF(AND(TaxOn="Yes",ISNUMBER(H54)),H54,0)</f>
        <v/>
      </c>
      <c r="T54" s="67">
        <f>IF(R54=1,"",IF(B54="","Enter a bill #",IF(D54="","Select a vendor",IF(C54="","Missing bill date",IF(NOT(ISNUMBER(C54)),"Invalid date",IF(OR(C54&lt;DATE(2000,1,1),C54&gt;DATE(2099,12,31)),"Invalid date",IF(F54="","Select an expense account",IF(ISNA(MATCH(F54,coa_Name,0)),"Unknown account: "&amp;F54,IF(NOT(ISNUMBER(G54)),"Enter an amount",IF(G54&lt;=0,"Amount must be positive",IF(S54&gt;G54,"Tax is larger than the amount","")))))))))))</f>
        <v/>
      </c>
      <c r="U54" s="67">
        <f>IF(OR(R54=1,T54&lt;&gt;""),"",IF(COUNTIFS(ap_No,B54,ap_Party,D54)&gt;1,"Duplicate bill #",IF(N(L54)&lt;0,"Overpaid by "&amp;TEXT(-L54,"#,##0.00"),IF(AND(ISNUMBER(H54),N(H54)&lt;&gt;0,S54=0),"Tax ignored (tax tracking is off)",IF(AND(ISNUMBER(StartDate),C54&lt;StartDate),"Date is before the accounting start date",IF(OR(IFERROR(INDEX(coa_Type,MATCH(F54,coa_Name,0)),"")="Revenue",IFERROR(INDEX(coa_Type,MATCH(F54,coa_Name,0)),"")="Other Income",IFERROR(INDEX(coa_Type,MATCH(F54,coa_Name,0)),"")="Equity"),"Account is not an expense or asset account",""))))))</f>
        <v/>
      </c>
      <c r="V54" s="67">
        <f>IF(AND(R54=0,T54=""),1,0)</f>
        <v/>
      </c>
      <c r="W54" s="67">
        <f>IF(V54=1,F54,"")</f>
        <v/>
      </c>
      <c r="X54" s="67">
        <f>IF(V54=1,acctAP,"")</f>
        <v/>
      </c>
      <c r="Y54" s="68">
        <f>IF(V54=1,G54-S54,0)</f>
        <v/>
      </c>
      <c r="Z54" s="68">
        <f>IF(V54=1,G54,0)</f>
        <v/>
      </c>
      <c r="AA54" s="68">
        <f>IF(V54=1,S54,0)</f>
        <v/>
      </c>
    </row>
    <row r="55">
      <c r="B55" s="62" t="n"/>
      <c r="C55" s="63" t="n"/>
      <c r="D55" s="62" t="n"/>
      <c r="E55" s="62" t="n"/>
      <c r="F55" s="62" t="n"/>
      <c r="G55" s="64" t="n"/>
      <c r="H55" s="64" t="n"/>
      <c r="I55" s="63" t="n"/>
      <c r="J55" s="29">
        <f>IF(V55=1,IF(ISNUMBER(I55),I55,C55+IF(ISNUMBER(IFERROR(INDEX(vend_Terms,MATCH(D55,vend_Name,0)),"")),INDEX(vend_Terms,MATCH(D55,vend_Name,0)),TermsDays)),"")</f>
        <v/>
      </c>
      <c r="K55" s="65">
        <f>IF(V55=1,SUMIFS(tx_CrAmt,tx_Type,"Bill Payment",tx_Ref,B55&amp;"",tx_Vend,D55,tx_Date,"&lt;="&amp;AsOf),"")</f>
        <v/>
      </c>
      <c r="L55" s="65">
        <f>IF(V55=1,IF(C55&gt;AsOf,0,ROUND(G55-K55,2)),"")</f>
        <v/>
      </c>
      <c r="M55" s="66">
        <f>IF(V55&lt;&gt;1,"",IF(C55&gt;AsOf,"Future",IF(L55&lt;0,"Overpaid",IF(L55=0,"Paid",IF(AsOf&gt;J55,"Overdue",IF(K55&gt;0,"Partial","Unpaid"))))))</f>
        <v/>
      </c>
      <c r="N55" s="28">
        <f>IF(AND(V55=1,N(L55)&gt;0),AsOf-C55,"")</f>
        <v/>
      </c>
      <c r="O55" s="28">
        <f>IF(N55="","",MAX(0,AsOf-J55))</f>
        <v/>
      </c>
      <c r="P55" s="66">
        <f>IF(O55="","",IF(O55=0,"Current",IF(O55&lt;=30,"1-30",IF(O55&lt;=60,"31-60",IF(O55&lt;=90,"61-90","90+")))))</f>
        <v/>
      </c>
      <c r="Q55" s="66">
        <f>IF(T55&lt;&gt;"","⛔ "&amp;T55&amp;" — not posted",IF(U55&lt;&gt;"","⚠ "&amp;U55,IF(V55=1,"✓ OK","")))</f>
        <v/>
      </c>
      <c r="R55" s="67">
        <f>IF(AND(B55="",C55="",D55="",G55="",F55=""),1,0)</f>
        <v/>
      </c>
      <c r="S55" s="68">
        <f>IF(AND(TaxOn="Yes",ISNUMBER(H55)),H55,0)</f>
        <v/>
      </c>
      <c r="T55" s="67">
        <f>IF(R55=1,"",IF(B55="","Enter a bill #",IF(D55="","Select a vendor",IF(C55="","Missing bill date",IF(NOT(ISNUMBER(C55)),"Invalid date",IF(OR(C55&lt;DATE(2000,1,1),C55&gt;DATE(2099,12,31)),"Invalid date",IF(F55="","Select an expense account",IF(ISNA(MATCH(F55,coa_Name,0)),"Unknown account: "&amp;F55,IF(NOT(ISNUMBER(G55)),"Enter an amount",IF(G55&lt;=0,"Amount must be positive",IF(S55&gt;G55,"Tax is larger than the amount","")))))))))))</f>
        <v/>
      </c>
      <c r="U55" s="67">
        <f>IF(OR(R55=1,T55&lt;&gt;""),"",IF(COUNTIFS(ap_No,B55,ap_Party,D55)&gt;1,"Duplicate bill #",IF(N(L55)&lt;0,"Overpaid by "&amp;TEXT(-L55,"#,##0.00"),IF(AND(ISNUMBER(H55),N(H55)&lt;&gt;0,S55=0),"Tax ignored (tax tracking is off)",IF(AND(ISNUMBER(StartDate),C55&lt;StartDate),"Date is before the accounting start date",IF(OR(IFERROR(INDEX(coa_Type,MATCH(F55,coa_Name,0)),"")="Revenue",IFERROR(INDEX(coa_Type,MATCH(F55,coa_Name,0)),"")="Other Income",IFERROR(INDEX(coa_Type,MATCH(F55,coa_Name,0)),"")="Equity"),"Account is not an expense or asset account",""))))))</f>
        <v/>
      </c>
      <c r="V55" s="67">
        <f>IF(AND(R55=0,T55=""),1,0)</f>
        <v/>
      </c>
      <c r="W55" s="67">
        <f>IF(V55=1,F55,"")</f>
        <v/>
      </c>
      <c r="X55" s="67">
        <f>IF(V55=1,acctAP,"")</f>
        <v/>
      </c>
      <c r="Y55" s="68">
        <f>IF(V55=1,G55-S55,0)</f>
        <v/>
      </c>
      <c r="Z55" s="68">
        <f>IF(V55=1,G55,0)</f>
        <v/>
      </c>
      <c r="AA55" s="68">
        <f>IF(V55=1,S55,0)</f>
        <v/>
      </c>
    </row>
    <row r="56">
      <c r="B56" s="62" t="n"/>
      <c r="C56" s="63" t="n"/>
      <c r="D56" s="62" t="n"/>
      <c r="E56" s="62" t="n"/>
      <c r="F56" s="62" t="n"/>
      <c r="G56" s="64" t="n"/>
      <c r="H56" s="64" t="n"/>
      <c r="I56" s="63" t="n"/>
      <c r="J56" s="29">
        <f>IF(V56=1,IF(ISNUMBER(I56),I56,C56+IF(ISNUMBER(IFERROR(INDEX(vend_Terms,MATCH(D56,vend_Name,0)),"")),INDEX(vend_Terms,MATCH(D56,vend_Name,0)),TermsDays)),"")</f>
        <v/>
      </c>
      <c r="K56" s="65">
        <f>IF(V56=1,SUMIFS(tx_CrAmt,tx_Type,"Bill Payment",tx_Ref,B56&amp;"",tx_Vend,D56,tx_Date,"&lt;="&amp;AsOf),"")</f>
        <v/>
      </c>
      <c r="L56" s="65">
        <f>IF(V56=1,IF(C56&gt;AsOf,0,ROUND(G56-K56,2)),"")</f>
        <v/>
      </c>
      <c r="M56" s="66">
        <f>IF(V56&lt;&gt;1,"",IF(C56&gt;AsOf,"Future",IF(L56&lt;0,"Overpaid",IF(L56=0,"Paid",IF(AsOf&gt;J56,"Overdue",IF(K56&gt;0,"Partial","Unpaid"))))))</f>
        <v/>
      </c>
      <c r="N56" s="28">
        <f>IF(AND(V56=1,N(L56)&gt;0),AsOf-C56,"")</f>
        <v/>
      </c>
      <c r="O56" s="28">
        <f>IF(N56="","",MAX(0,AsOf-J56))</f>
        <v/>
      </c>
      <c r="P56" s="66">
        <f>IF(O56="","",IF(O56=0,"Current",IF(O56&lt;=30,"1-30",IF(O56&lt;=60,"31-60",IF(O56&lt;=90,"61-90","90+")))))</f>
        <v/>
      </c>
      <c r="Q56" s="66">
        <f>IF(T56&lt;&gt;"","⛔ "&amp;T56&amp;" — not posted",IF(U56&lt;&gt;"","⚠ "&amp;U56,IF(V56=1,"✓ OK","")))</f>
        <v/>
      </c>
      <c r="R56" s="67">
        <f>IF(AND(B56="",C56="",D56="",G56="",F56=""),1,0)</f>
        <v/>
      </c>
      <c r="S56" s="68">
        <f>IF(AND(TaxOn="Yes",ISNUMBER(H56)),H56,0)</f>
        <v/>
      </c>
      <c r="T56" s="67">
        <f>IF(R56=1,"",IF(B56="","Enter a bill #",IF(D56="","Select a vendor",IF(C56="","Missing bill date",IF(NOT(ISNUMBER(C56)),"Invalid date",IF(OR(C56&lt;DATE(2000,1,1),C56&gt;DATE(2099,12,31)),"Invalid date",IF(F56="","Select an expense account",IF(ISNA(MATCH(F56,coa_Name,0)),"Unknown account: "&amp;F56,IF(NOT(ISNUMBER(G56)),"Enter an amount",IF(G56&lt;=0,"Amount must be positive",IF(S56&gt;G56,"Tax is larger than the amount","")))))))))))</f>
        <v/>
      </c>
      <c r="U56" s="67">
        <f>IF(OR(R56=1,T56&lt;&gt;""),"",IF(COUNTIFS(ap_No,B56,ap_Party,D56)&gt;1,"Duplicate bill #",IF(N(L56)&lt;0,"Overpaid by "&amp;TEXT(-L56,"#,##0.00"),IF(AND(ISNUMBER(H56),N(H56)&lt;&gt;0,S56=0),"Tax ignored (tax tracking is off)",IF(AND(ISNUMBER(StartDate),C56&lt;StartDate),"Date is before the accounting start date",IF(OR(IFERROR(INDEX(coa_Type,MATCH(F56,coa_Name,0)),"")="Revenue",IFERROR(INDEX(coa_Type,MATCH(F56,coa_Name,0)),"")="Other Income",IFERROR(INDEX(coa_Type,MATCH(F56,coa_Name,0)),"")="Equity"),"Account is not an expense or asset account",""))))))</f>
        <v/>
      </c>
      <c r="V56" s="67">
        <f>IF(AND(R56=0,T56=""),1,0)</f>
        <v/>
      </c>
      <c r="W56" s="67">
        <f>IF(V56=1,F56,"")</f>
        <v/>
      </c>
      <c r="X56" s="67">
        <f>IF(V56=1,acctAP,"")</f>
        <v/>
      </c>
      <c r="Y56" s="68">
        <f>IF(V56=1,G56-S56,0)</f>
        <v/>
      </c>
      <c r="Z56" s="68">
        <f>IF(V56=1,G56,0)</f>
        <v/>
      </c>
      <c r="AA56" s="68">
        <f>IF(V56=1,S56,0)</f>
        <v/>
      </c>
    </row>
    <row r="57">
      <c r="B57" s="62" t="n"/>
      <c r="C57" s="63" t="n"/>
      <c r="D57" s="62" t="n"/>
      <c r="E57" s="62" t="n"/>
      <c r="F57" s="62" t="n"/>
      <c r="G57" s="64" t="n"/>
      <c r="H57" s="64" t="n"/>
      <c r="I57" s="63" t="n"/>
      <c r="J57" s="29">
        <f>IF(V57=1,IF(ISNUMBER(I57),I57,C57+IF(ISNUMBER(IFERROR(INDEX(vend_Terms,MATCH(D57,vend_Name,0)),"")),INDEX(vend_Terms,MATCH(D57,vend_Name,0)),TermsDays)),"")</f>
        <v/>
      </c>
      <c r="K57" s="65">
        <f>IF(V57=1,SUMIFS(tx_CrAmt,tx_Type,"Bill Payment",tx_Ref,B57&amp;"",tx_Vend,D57,tx_Date,"&lt;="&amp;AsOf),"")</f>
        <v/>
      </c>
      <c r="L57" s="65">
        <f>IF(V57=1,IF(C57&gt;AsOf,0,ROUND(G57-K57,2)),"")</f>
        <v/>
      </c>
      <c r="M57" s="66">
        <f>IF(V57&lt;&gt;1,"",IF(C57&gt;AsOf,"Future",IF(L57&lt;0,"Overpaid",IF(L57=0,"Paid",IF(AsOf&gt;J57,"Overdue",IF(K57&gt;0,"Partial","Unpaid"))))))</f>
        <v/>
      </c>
      <c r="N57" s="28">
        <f>IF(AND(V57=1,N(L57)&gt;0),AsOf-C57,"")</f>
        <v/>
      </c>
      <c r="O57" s="28">
        <f>IF(N57="","",MAX(0,AsOf-J57))</f>
        <v/>
      </c>
      <c r="P57" s="66">
        <f>IF(O57="","",IF(O57=0,"Current",IF(O57&lt;=30,"1-30",IF(O57&lt;=60,"31-60",IF(O57&lt;=90,"61-90","90+")))))</f>
        <v/>
      </c>
      <c r="Q57" s="66">
        <f>IF(T57&lt;&gt;"","⛔ "&amp;T57&amp;" — not posted",IF(U57&lt;&gt;"","⚠ "&amp;U57,IF(V57=1,"✓ OK","")))</f>
        <v/>
      </c>
      <c r="R57" s="67">
        <f>IF(AND(B57="",C57="",D57="",G57="",F57=""),1,0)</f>
        <v/>
      </c>
      <c r="S57" s="68">
        <f>IF(AND(TaxOn="Yes",ISNUMBER(H57)),H57,0)</f>
        <v/>
      </c>
      <c r="T57" s="67">
        <f>IF(R57=1,"",IF(B57="","Enter a bill #",IF(D57="","Select a vendor",IF(C57="","Missing bill date",IF(NOT(ISNUMBER(C57)),"Invalid date",IF(OR(C57&lt;DATE(2000,1,1),C57&gt;DATE(2099,12,31)),"Invalid date",IF(F57="","Select an expense account",IF(ISNA(MATCH(F57,coa_Name,0)),"Unknown account: "&amp;F57,IF(NOT(ISNUMBER(G57)),"Enter an amount",IF(G57&lt;=0,"Amount must be positive",IF(S57&gt;G57,"Tax is larger than the amount","")))))))))))</f>
        <v/>
      </c>
      <c r="U57" s="67">
        <f>IF(OR(R57=1,T57&lt;&gt;""),"",IF(COUNTIFS(ap_No,B57,ap_Party,D57)&gt;1,"Duplicate bill #",IF(N(L57)&lt;0,"Overpaid by "&amp;TEXT(-L57,"#,##0.00"),IF(AND(ISNUMBER(H57),N(H57)&lt;&gt;0,S57=0),"Tax ignored (tax tracking is off)",IF(AND(ISNUMBER(StartDate),C57&lt;StartDate),"Date is before the accounting start date",IF(OR(IFERROR(INDEX(coa_Type,MATCH(F57,coa_Name,0)),"")="Revenue",IFERROR(INDEX(coa_Type,MATCH(F57,coa_Name,0)),"")="Other Income",IFERROR(INDEX(coa_Type,MATCH(F57,coa_Name,0)),"")="Equity"),"Account is not an expense or asset account",""))))))</f>
        <v/>
      </c>
      <c r="V57" s="67">
        <f>IF(AND(R57=0,T57=""),1,0)</f>
        <v/>
      </c>
      <c r="W57" s="67">
        <f>IF(V57=1,F57,"")</f>
        <v/>
      </c>
      <c r="X57" s="67">
        <f>IF(V57=1,acctAP,"")</f>
        <v/>
      </c>
      <c r="Y57" s="68">
        <f>IF(V57=1,G57-S57,0)</f>
        <v/>
      </c>
      <c r="Z57" s="68">
        <f>IF(V57=1,G57,0)</f>
        <v/>
      </c>
      <c r="AA57" s="68">
        <f>IF(V57=1,S57,0)</f>
        <v/>
      </c>
    </row>
    <row r="58">
      <c r="B58" s="62" t="n"/>
      <c r="C58" s="63" t="n"/>
      <c r="D58" s="62" t="n"/>
      <c r="E58" s="62" t="n"/>
      <c r="F58" s="62" t="n"/>
      <c r="G58" s="64" t="n"/>
      <c r="H58" s="64" t="n"/>
      <c r="I58" s="63" t="n"/>
      <c r="J58" s="29">
        <f>IF(V58=1,IF(ISNUMBER(I58),I58,C58+IF(ISNUMBER(IFERROR(INDEX(vend_Terms,MATCH(D58,vend_Name,0)),"")),INDEX(vend_Terms,MATCH(D58,vend_Name,0)),TermsDays)),"")</f>
        <v/>
      </c>
      <c r="K58" s="65">
        <f>IF(V58=1,SUMIFS(tx_CrAmt,tx_Type,"Bill Payment",tx_Ref,B58&amp;"",tx_Vend,D58,tx_Date,"&lt;="&amp;AsOf),"")</f>
        <v/>
      </c>
      <c r="L58" s="65">
        <f>IF(V58=1,IF(C58&gt;AsOf,0,ROUND(G58-K58,2)),"")</f>
        <v/>
      </c>
      <c r="M58" s="66">
        <f>IF(V58&lt;&gt;1,"",IF(C58&gt;AsOf,"Future",IF(L58&lt;0,"Overpaid",IF(L58=0,"Paid",IF(AsOf&gt;J58,"Overdue",IF(K58&gt;0,"Partial","Unpaid"))))))</f>
        <v/>
      </c>
      <c r="N58" s="28">
        <f>IF(AND(V58=1,N(L58)&gt;0),AsOf-C58,"")</f>
        <v/>
      </c>
      <c r="O58" s="28">
        <f>IF(N58="","",MAX(0,AsOf-J58))</f>
        <v/>
      </c>
      <c r="P58" s="66">
        <f>IF(O58="","",IF(O58=0,"Current",IF(O58&lt;=30,"1-30",IF(O58&lt;=60,"31-60",IF(O58&lt;=90,"61-90","90+")))))</f>
        <v/>
      </c>
      <c r="Q58" s="66">
        <f>IF(T58&lt;&gt;"","⛔ "&amp;T58&amp;" — not posted",IF(U58&lt;&gt;"","⚠ "&amp;U58,IF(V58=1,"✓ OK","")))</f>
        <v/>
      </c>
      <c r="R58" s="67">
        <f>IF(AND(B58="",C58="",D58="",G58="",F58=""),1,0)</f>
        <v/>
      </c>
      <c r="S58" s="68">
        <f>IF(AND(TaxOn="Yes",ISNUMBER(H58)),H58,0)</f>
        <v/>
      </c>
      <c r="T58" s="67">
        <f>IF(R58=1,"",IF(B58="","Enter a bill #",IF(D58="","Select a vendor",IF(C58="","Missing bill date",IF(NOT(ISNUMBER(C58)),"Invalid date",IF(OR(C58&lt;DATE(2000,1,1),C58&gt;DATE(2099,12,31)),"Invalid date",IF(F58="","Select an expense account",IF(ISNA(MATCH(F58,coa_Name,0)),"Unknown account: "&amp;F58,IF(NOT(ISNUMBER(G58)),"Enter an amount",IF(G58&lt;=0,"Amount must be positive",IF(S58&gt;G58,"Tax is larger than the amount","")))))))))))</f>
        <v/>
      </c>
      <c r="U58" s="67">
        <f>IF(OR(R58=1,T58&lt;&gt;""),"",IF(COUNTIFS(ap_No,B58,ap_Party,D58)&gt;1,"Duplicate bill #",IF(N(L58)&lt;0,"Overpaid by "&amp;TEXT(-L58,"#,##0.00"),IF(AND(ISNUMBER(H58),N(H58)&lt;&gt;0,S58=0),"Tax ignored (tax tracking is off)",IF(AND(ISNUMBER(StartDate),C58&lt;StartDate),"Date is before the accounting start date",IF(OR(IFERROR(INDEX(coa_Type,MATCH(F58,coa_Name,0)),"")="Revenue",IFERROR(INDEX(coa_Type,MATCH(F58,coa_Name,0)),"")="Other Income",IFERROR(INDEX(coa_Type,MATCH(F58,coa_Name,0)),"")="Equity"),"Account is not an expense or asset account",""))))))</f>
        <v/>
      </c>
      <c r="V58" s="67">
        <f>IF(AND(R58=0,T58=""),1,0)</f>
        <v/>
      </c>
      <c r="W58" s="67">
        <f>IF(V58=1,F58,"")</f>
        <v/>
      </c>
      <c r="X58" s="67">
        <f>IF(V58=1,acctAP,"")</f>
        <v/>
      </c>
      <c r="Y58" s="68">
        <f>IF(V58=1,G58-S58,0)</f>
        <v/>
      </c>
      <c r="Z58" s="68">
        <f>IF(V58=1,G58,0)</f>
        <v/>
      </c>
      <c r="AA58" s="68">
        <f>IF(V58=1,S58,0)</f>
        <v/>
      </c>
    </row>
    <row r="59">
      <c r="B59" s="62" t="n"/>
      <c r="C59" s="63" t="n"/>
      <c r="D59" s="62" t="n"/>
      <c r="E59" s="62" t="n"/>
      <c r="F59" s="62" t="n"/>
      <c r="G59" s="64" t="n"/>
      <c r="H59" s="64" t="n"/>
      <c r="I59" s="63" t="n"/>
      <c r="J59" s="29">
        <f>IF(V59=1,IF(ISNUMBER(I59),I59,C59+IF(ISNUMBER(IFERROR(INDEX(vend_Terms,MATCH(D59,vend_Name,0)),"")),INDEX(vend_Terms,MATCH(D59,vend_Name,0)),TermsDays)),"")</f>
        <v/>
      </c>
      <c r="K59" s="65">
        <f>IF(V59=1,SUMIFS(tx_CrAmt,tx_Type,"Bill Payment",tx_Ref,B59&amp;"",tx_Vend,D59,tx_Date,"&lt;="&amp;AsOf),"")</f>
        <v/>
      </c>
      <c r="L59" s="65">
        <f>IF(V59=1,IF(C59&gt;AsOf,0,ROUND(G59-K59,2)),"")</f>
        <v/>
      </c>
      <c r="M59" s="66">
        <f>IF(V59&lt;&gt;1,"",IF(C59&gt;AsOf,"Future",IF(L59&lt;0,"Overpaid",IF(L59=0,"Paid",IF(AsOf&gt;J59,"Overdue",IF(K59&gt;0,"Partial","Unpaid"))))))</f>
        <v/>
      </c>
      <c r="N59" s="28">
        <f>IF(AND(V59=1,N(L59)&gt;0),AsOf-C59,"")</f>
        <v/>
      </c>
      <c r="O59" s="28">
        <f>IF(N59="","",MAX(0,AsOf-J59))</f>
        <v/>
      </c>
      <c r="P59" s="66">
        <f>IF(O59="","",IF(O59=0,"Current",IF(O59&lt;=30,"1-30",IF(O59&lt;=60,"31-60",IF(O59&lt;=90,"61-90","90+")))))</f>
        <v/>
      </c>
      <c r="Q59" s="66">
        <f>IF(T59&lt;&gt;"","⛔ "&amp;T59&amp;" — not posted",IF(U59&lt;&gt;"","⚠ "&amp;U59,IF(V59=1,"✓ OK","")))</f>
        <v/>
      </c>
      <c r="R59" s="67">
        <f>IF(AND(B59="",C59="",D59="",G59="",F59=""),1,0)</f>
        <v/>
      </c>
      <c r="S59" s="68">
        <f>IF(AND(TaxOn="Yes",ISNUMBER(H59)),H59,0)</f>
        <v/>
      </c>
      <c r="T59" s="67">
        <f>IF(R59=1,"",IF(B59="","Enter a bill #",IF(D59="","Select a vendor",IF(C59="","Missing bill date",IF(NOT(ISNUMBER(C59)),"Invalid date",IF(OR(C59&lt;DATE(2000,1,1),C59&gt;DATE(2099,12,31)),"Invalid date",IF(F59="","Select an expense account",IF(ISNA(MATCH(F59,coa_Name,0)),"Unknown account: "&amp;F59,IF(NOT(ISNUMBER(G59)),"Enter an amount",IF(G59&lt;=0,"Amount must be positive",IF(S59&gt;G59,"Tax is larger than the amount","")))))))))))</f>
        <v/>
      </c>
      <c r="U59" s="67">
        <f>IF(OR(R59=1,T59&lt;&gt;""),"",IF(COUNTIFS(ap_No,B59,ap_Party,D59)&gt;1,"Duplicate bill #",IF(N(L59)&lt;0,"Overpaid by "&amp;TEXT(-L59,"#,##0.00"),IF(AND(ISNUMBER(H59),N(H59)&lt;&gt;0,S59=0),"Tax ignored (tax tracking is off)",IF(AND(ISNUMBER(StartDate),C59&lt;StartDate),"Date is before the accounting start date",IF(OR(IFERROR(INDEX(coa_Type,MATCH(F59,coa_Name,0)),"")="Revenue",IFERROR(INDEX(coa_Type,MATCH(F59,coa_Name,0)),"")="Other Income",IFERROR(INDEX(coa_Type,MATCH(F59,coa_Name,0)),"")="Equity"),"Account is not an expense or asset account",""))))))</f>
        <v/>
      </c>
      <c r="V59" s="67">
        <f>IF(AND(R59=0,T59=""),1,0)</f>
        <v/>
      </c>
      <c r="W59" s="67">
        <f>IF(V59=1,F59,"")</f>
        <v/>
      </c>
      <c r="X59" s="67">
        <f>IF(V59=1,acctAP,"")</f>
        <v/>
      </c>
      <c r="Y59" s="68">
        <f>IF(V59=1,G59-S59,0)</f>
        <v/>
      </c>
      <c r="Z59" s="68">
        <f>IF(V59=1,G59,0)</f>
        <v/>
      </c>
      <c r="AA59" s="68">
        <f>IF(V59=1,S59,0)</f>
        <v/>
      </c>
    </row>
    <row r="60">
      <c r="B60" s="62" t="n"/>
      <c r="C60" s="63" t="n"/>
      <c r="D60" s="62" t="n"/>
      <c r="E60" s="62" t="n"/>
      <c r="F60" s="62" t="n"/>
      <c r="G60" s="64" t="n"/>
      <c r="H60" s="64" t="n"/>
      <c r="I60" s="63" t="n"/>
      <c r="J60" s="29">
        <f>IF(V60=1,IF(ISNUMBER(I60),I60,C60+IF(ISNUMBER(IFERROR(INDEX(vend_Terms,MATCH(D60,vend_Name,0)),"")),INDEX(vend_Terms,MATCH(D60,vend_Name,0)),TermsDays)),"")</f>
        <v/>
      </c>
      <c r="K60" s="65">
        <f>IF(V60=1,SUMIFS(tx_CrAmt,tx_Type,"Bill Payment",tx_Ref,B60&amp;"",tx_Vend,D60,tx_Date,"&lt;="&amp;AsOf),"")</f>
        <v/>
      </c>
      <c r="L60" s="65">
        <f>IF(V60=1,IF(C60&gt;AsOf,0,ROUND(G60-K60,2)),"")</f>
        <v/>
      </c>
      <c r="M60" s="66">
        <f>IF(V60&lt;&gt;1,"",IF(C60&gt;AsOf,"Future",IF(L60&lt;0,"Overpaid",IF(L60=0,"Paid",IF(AsOf&gt;J60,"Overdue",IF(K60&gt;0,"Partial","Unpaid"))))))</f>
        <v/>
      </c>
      <c r="N60" s="28">
        <f>IF(AND(V60=1,N(L60)&gt;0),AsOf-C60,"")</f>
        <v/>
      </c>
      <c r="O60" s="28">
        <f>IF(N60="","",MAX(0,AsOf-J60))</f>
        <v/>
      </c>
      <c r="P60" s="66">
        <f>IF(O60="","",IF(O60=0,"Current",IF(O60&lt;=30,"1-30",IF(O60&lt;=60,"31-60",IF(O60&lt;=90,"61-90","90+")))))</f>
        <v/>
      </c>
      <c r="Q60" s="66">
        <f>IF(T60&lt;&gt;"","⛔ "&amp;T60&amp;" — not posted",IF(U60&lt;&gt;"","⚠ "&amp;U60,IF(V60=1,"✓ OK","")))</f>
        <v/>
      </c>
      <c r="R60" s="67">
        <f>IF(AND(B60="",C60="",D60="",G60="",F60=""),1,0)</f>
        <v/>
      </c>
      <c r="S60" s="68">
        <f>IF(AND(TaxOn="Yes",ISNUMBER(H60)),H60,0)</f>
        <v/>
      </c>
      <c r="T60" s="67">
        <f>IF(R60=1,"",IF(B60="","Enter a bill #",IF(D60="","Select a vendor",IF(C60="","Missing bill date",IF(NOT(ISNUMBER(C60)),"Invalid date",IF(OR(C60&lt;DATE(2000,1,1),C60&gt;DATE(2099,12,31)),"Invalid date",IF(F60="","Select an expense account",IF(ISNA(MATCH(F60,coa_Name,0)),"Unknown account: "&amp;F60,IF(NOT(ISNUMBER(G60)),"Enter an amount",IF(G60&lt;=0,"Amount must be positive",IF(S60&gt;G60,"Tax is larger than the amount","")))))))))))</f>
        <v/>
      </c>
      <c r="U60" s="67">
        <f>IF(OR(R60=1,T60&lt;&gt;""),"",IF(COUNTIFS(ap_No,B60,ap_Party,D60)&gt;1,"Duplicate bill #",IF(N(L60)&lt;0,"Overpaid by "&amp;TEXT(-L60,"#,##0.00"),IF(AND(ISNUMBER(H60),N(H60)&lt;&gt;0,S60=0),"Tax ignored (tax tracking is off)",IF(AND(ISNUMBER(StartDate),C60&lt;StartDate),"Date is before the accounting start date",IF(OR(IFERROR(INDEX(coa_Type,MATCH(F60,coa_Name,0)),"")="Revenue",IFERROR(INDEX(coa_Type,MATCH(F60,coa_Name,0)),"")="Other Income",IFERROR(INDEX(coa_Type,MATCH(F60,coa_Name,0)),"")="Equity"),"Account is not an expense or asset account",""))))))</f>
        <v/>
      </c>
      <c r="V60" s="67">
        <f>IF(AND(R60=0,T60=""),1,0)</f>
        <v/>
      </c>
      <c r="W60" s="67">
        <f>IF(V60=1,F60,"")</f>
        <v/>
      </c>
      <c r="X60" s="67">
        <f>IF(V60=1,acctAP,"")</f>
        <v/>
      </c>
      <c r="Y60" s="68">
        <f>IF(V60=1,G60-S60,0)</f>
        <v/>
      </c>
      <c r="Z60" s="68">
        <f>IF(V60=1,G60,0)</f>
        <v/>
      </c>
      <c r="AA60" s="68">
        <f>IF(V60=1,S60,0)</f>
        <v/>
      </c>
    </row>
    <row r="61">
      <c r="B61" s="62" t="n"/>
      <c r="C61" s="63" t="n"/>
      <c r="D61" s="62" t="n"/>
      <c r="E61" s="62" t="n"/>
      <c r="F61" s="62" t="n"/>
      <c r="G61" s="64" t="n"/>
      <c r="H61" s="64" t="n"/>
      <c r="I61" s="63" t="n"/>
      <c r="J61" s="29">
        <f>IF(V61=1,IF(ISNUMBER(I61),I61,C61+IF(ISNUMBER(IFERROR(INDEX(vend_Terms,MATCH(D61,vend_Name,0)),"")),INDEX(vend_Terms,MATCH(D61,vend_Name,0)),TermsDays)),"")</f>
        <v/>
      </c>
      <c r="K61" s="65">
        <f>IF(V61=1,SUMIFS(tx_CrAmt,tx_Type,"Bill Payment",tx_Ref,B61&amp;"",tx_Vend,D61,tx_Date,"&lt;="&amp;AsOf),"")</f>
        <v/>
      </c>
      <c r="L61" s="65">
        <f>IF(V61=1,IF(C61&gt;AsOf,0,ROUND(G61-K61,2)),"")</f>
        <v/>
      </c>
      <c r="M61" s="66">
        <f>IF(V61&lt;&gt;1,"",IF(C61&gt;AsOf,"Future",IF(L61&lt;0,"Overpaid",IF(L61=0,"Paid",IF(AsOf&gt;J61,"Overdue",IF(K61&gt;0,"Partial","Unpaid"))))))</f>
        <v/>
      </c>
      <c r="N61" s="28">
        <f>IF(AND(V61=1,N(L61)&gt;0),AsOf-C61,"")</f>
        <v/>
      </c>
      <c r="O61" s="28">
        <f>IF(N61="","",MAX(0,AsOf-J61))</f>
        <v/>
      </c>
      <c r="P61" s="66">
        <f>IF(O61="","",IF(O61=0,"Current",IF(O61&lt;=30,"1-30",IF(O61&lt;=60,"31-60",IF(O61&lt;=90,"61-90","90+")))))</f>
        <v/>
      </c>
      <c r="Q61" s="66">
        <f>IF(T61&lt;&gt;"","⛔ "&amp;T61&amp;" — not posted",IF(U61&lt;&gt;"","⚠ "&amp;U61,IF(V61=1,"✓ OK","")))</f>
        <v/>
      </c>
      <c r="R61" s="67">
        <f>IF(AND(B61="",C61="",D61="",G61="",F61=""),1,0)</f>
        <v/>
      </c>
      <c r="S61" s="68">
        <f>IF(AND(TaxOn="Yes",ISNUMBER(H61)),H61,0)</f>
        <v/>
      </c>
      <c r="T61" s="67">
        <f>IF(R61=1,"",IF(B61="","Enter a bill #",IF(D61="","Select a vendor",IF(C61="","Missing bill date",IF(NOT(ISNUMBER(C61)),"Invalid date",IF(OR(C61&lt;DATE(2000,1,1),C61&gt;DATE(2099,12,31)),"Invalid date",IF(F61="","Select an expense account",IF(ISNA(MATCH(F61,coa_Name,0)),"Unknown account: "&amp;F61,IF(NOT(ISNUMBER(G61)),"Enter an amount",IF(G61&lt;=0,"Amount must be positive",IF(S61&gt;G61,"Tax is larger than the amount","")))))))))))</f>
        <v/>
      </c>
      <c r="U61" s="67">
        <f>IF(OR(R61=1,T61&lt;&gt;""),"",IF(COUNTIFS(ap_No,B61,ap_Party,D61)&gt;1,"Duplicate bill #",IF(N(L61)&lt;0,"Overpaid by "&amp;TEXT(-L61,"#,##0.00"),IF(AND(ISNUMBER(H61),N(H61)&lt;&gt;0,S61=0),"Tax ignored (tax tracking is off)",IF(AND(ISNUMBER(StartDate),C61&lt;StartDate),"Date is before the accounting start date",IF(OR(IFERROR(INDEX(coa_Type,MATCH(F61,coa_Name,0)),"")="Revenue",IFERROR(INDEX(coa_Type,MATCH(F61,coa_Name,0)),"")="Other Income",IFERROR(INDEX(coa_Type,MATCH(F61,coa_Name,0)),"")="Equity"),"Account is not an expense or asset account",""))))))</f>
        <v/>
      </c>
      <c r="V61" s="67">
        <f>IF(AND(R61=0,T61=""),1,0)</f>
        <v/>
      </c>
      <c r="W61" s="67">
        <f>IF(V61=1,F61,"")</f>
        <v/>
      </c>
      <c r="X61" s="67">
        <f>IF(V61=1,acctAP,"")</f>
        <v/>
      </c>
      <c r="Y61" s="68">
        <f>IF(V61=1,G61-S61,0)</f>
        <v/>
      </c>
      <c r="Z61" s="68">
        <f>IF(V61=1,G61,0)</f>
        <v/>
      </c>
      <c r="AA61" s="68">
        <f>IF(V61=1,S61,0)</f>
        <v/>
      </c>
    </row>
    <row r="62">
      <c r="B62" s="62" t="n"/>
      <c r="C62" s="63" t="n"/>
      <c r="D62" s="62" t="n"/>
      <c r="E62" s="62" t="n"/>
      <c r="F62" s="62" t="n"/>
      <c r="G62" s="64" t="n"/>
      <c r="H62" s="64" t="n"/>
      <c r="I62" s="63" t="n"/>
      <c r="J62" s="29">
        <f>IF(V62=1,IF(ISNUMBER(I62),I62,C62+IF(ISNUMBER(IFERROR(INDEX(vend_Terms,MATCH(D62,vend_Name,0)),"")),INDEX(vend_Terms,MATCH(D62,vend_Name,0)),TermsDays)),"")</f>
        <v/>
      </c>
      <c r="K62" s="65">
        <f>IF(V62=1,SUMIFS(tx_CrAmt,tx_Type,"Bill Payment",tx_Ref,B62&amp;"",tx_Vend,D62,tx_Date,"&lt;="&amp;AsOf),"")</f>
        <v/>
      </c>
      <c r="L62" s="65">
        <f>IF(V62=1,IF(C62&gt;AsOf,0,ROUND(G62-K62,2)),"")</f>
        <v/>
      </c>
      <c r="M62" s="66">
        <f>IF(V62&lt;&gt;1,"",IF(C62&gt;AsOf,"Future",IF(L62&lt;0,"Overpaid",IF(L62=0,"Paid",IF(AsOf&gt;J62,"Overdue",IF(K62&gt;0,"Partial","Unpaid"))))))</f>
        <v/>
      </c>
      <c r="N62" s="28">
        <f>IF(AND(V62=1,N(L62)&gt;0),AsOf-C62,"")</f>
        <v/>
      </c>
      <c r="O62" s="28">
        <f>IF(N62="","",MAX(0,AsOf-J62))</f>
        <v/>
      </c>
      <c r="P62" s="66">
        <f>IF(O62="","",IF(O62=0,"Current",IF(O62&lt;=30,"1-30",IF(O62&lt;=60,"31-60",IF(O62&lt;=90,"61-90","90+")))))</f>
        <v/>
      </c>
      <c r="Q62" s="66">
        <f>IF(T62&lt;&gt;"","⛔ "&amp;T62&amp;" — not posted",IF(U62&lt;&gt;"","⚠ "&amp;U62,IF(V62=1,"✓ OK","")))</f>
        <v/>
      </c>
      <c r="R62" s="67">
        <f>IF(AND(B62="",C62="",D62="",G62="",F62=""),1,0)</f>
        <v/>
      </c>
      <c r="S62" s="68">
        <f>IF(AND(TaxOn="Yes",ISNUMBER(H62)),H62,0)</f>
        <v/>
      </c>
      <c r="T62" s="67">
        <f>IF(R62=1,"",IF(B62="","Enter a bill #",IF(D62="","Select a vendor",IF(C62="","Missing bill date",IF(NOT(ISNUMBER(C62)),"Invalid date",IF(OR(C62&lt;DATE(2000,1,1),C62&gt;DATE(2099,12,31)),"Invalid date",IF(F62="","Select an expense account",IF(ISNA(MATCH(F62,coa_Name,0)),"Unknown account: "&amp;F62,IF(NOT(ISNUMBER(G62)),"Enter an amount",IF(G62&lt;=0,"Amount must be positive",IF(S62&gt;G62,"Tax is larger than the amount","")))))))))))</f>
        <v/>
      </c>
      <c r="U62" s="67">
        <f>IF(OR(R62=1,T62&lt;&gt;""),"",IF(COUNTIFS(ap_No,B62,ap_Party,D62)&gt;1,"Duplicate bill #",IF(N(L62)&lt;0,"Overpaid by "&amp;TEXT(-L62,"#,##0.00"),IF(AND(ISNUMBER(H62),N(H62)&lt;&gt;0,S62=0),"Tax ignored (tax tracking is off)",IF(AND(ISNUMBER(StartDate),C62&lt;StartDate),"Date is before the accounting start date",IF(OR(IFERROR(INDEX(coa_Type,MATCH(F62,coa_Name,0)),"")="Revenue",IFERROR(INDEX(coa_Type,MATCH(F62,coa_Name,0)),"")="Other Income",IFERROR(INDEX(coa_Type,MATCH(F62,coa_Name,0)),"")="Equity"),"Account is not an expense or asset account",""))))))</f>
        <v/>
      </c>
      <c r="V62" s="67">
        <f>IF(AND(R62=0,T62=""),1,0)</f>
        <v/>
      </c>
      <c r="W62" s="67">
        <f>IF(V62=1,F62,"")</f>
        <v/>
      </c>
      <c r="X62" s="67">
        <f>IF(V62=1,acctAP,"")</f>
        <v/>
      </c>
      <c r="Y62" s="68">
        <f>IF(V62=1,G62-S62,0)</f>
        <v/>
      </c>
      <c r="Z62" s="68">
        <f>IF(V62=1,G62,0)</f>
        <v/>
      </c>
      <c r="AA62" s="68">
        <f>IF(V62=1,S62,0)</f>
        <v/>
      </c>
    </row>
    <row r="63">
      <c r="B63" s="62" t="n"/>
      <c r="C63" s="63" t="n"/>
      <c r="D63" s="62" t="n"/>
      <c r="E63" s="62" t="n"/>
      <c r="F63" s="62" t="n"/>
      <c r="G63" s="64" t="n"/>
      <c r="H63" s="64" t="n"/>
      <c r="I63" s="63" t="n"/>
      <c r="J63" s="29">
        <f>IF(V63=1,IF(ISNUMBER(I63),I63,C63+IF(ISNUMBER(IFERROR(INDEX(vend_Terms,MATCH(D63,vend_Name,0)),"")),INDEX(vend_Terms,MATCH(D63,vend_Name,0)),TermsDays)),"")</f>
        <v/>
      </c>
      <c r="K63" s="65">
        <f>IF(V63=1,SUMIFS(tx_CrAmt,tx_Type,"Bill Payment",tx_Ref,B63&amp;"",tx_Vend,D63,tx_Date,"&lt;="&amp;AsOf),"")</f>
        <v/>
      </c>
      <c r="L63" s="65">
        <f>IF(V63=1,IF(C63&gt;AsOf,0,ROUND(G63-K63,2)),"")</f>
        <v/>
      </c>
      <c r="M63" s="66">
        <f>IF(V63&lt;&gt;1,"",IF(C63&gt;AsOf,"Future",IF(L63&lt;0,"Overpaid",IF(L63=0,"Paid",IF(AsOf&gt;J63,"Overdue",IF(K63&gt;0,"Partial","Unpaid"))))))</f>
        <v/>
      </c>
      <c r="N63" s="28">
        <f>IF(AND(V63=1,N(L63)&gt;0),AsOf-C63,"")</f>
        <v/>
      </c>
      <c r="O63" s="28">
        <f>IF(N63="","",MAX(0,AsOf-J63))</f>
        <v/>
      </c>
      <c r="P63" s="66">
        <f>IF(O63="","",IF(O63=0,"Current",IF(O63&lt;=30,"1-30",IF(O63&lt;=60,"31-60",IF(O63&lt;=90,"61-90","90+")))))</f>
        <v/>
      </c>
      <c r="Q63" s="66">
        <f>IF(T63&lt;&gt;"","⛔ "&amp;T63&amp;" — not posted",IF(U63&lt;&gt;"","⚠ "&amp;U63,IF(V63=1,"✓ OK","")))</f>
        <v/>
      </c>
      <c r="R63" s="67">
        <f>IF(AND(B63="",C63="",D63="",G63="",F63=""),1,0)</f>
        <v/>
      </c>
      <c r="S63" s="68">
        <f>IF(AND(TaxOn="Yes",ISNUMBER(H63)),H63,0)</f>
        <v/>
      </c>
      <c r="T63" s="67">
        <f>IF(R63=1,"",IF(B63="","Enter a bill #",IF(D63="","Select a vendor",IF(C63="","Missing bill date",IF(NOT(ISNUMBER(C63)),"Invalid date",IF(OR(C63&lt;DATE(2000,1,1),C63&gt;DATE(2099,12,31)),"Invalid date",IF(F63="","Select an expense account",IF(ISNA(MATCH(F63,coa_Name,0)),"Unknown account: "&amp;F63,IF(NOT(ISNUMBER(G63)),"Enter an amount",IF(G63&lt;=0,"Amount must be positive",IF(S63&gt;G63,"Tax is larger than the amount","")))))))))))</f>
        <v/>
      </c>
      <c r="U63" s="67">
        <f>IF(OR(R63=1,T63&lt;&gt;""),"",IF(COUNTIFS(ap_No,B63,ap_Party,D63)&gt;1,"Duplicate bill #",IF(N(L63)&lt;0,"Overpaid by "&amp;TEXT(-L63,"#,##0.00"),IF(AND(ISNUMBER(H63),N(H63)&lt;&gt;0,S63=0),"Tax ignored (tax tracking is off)",IF(AND(ISNUMBER(StartDate),C63&lt;StartDate),"Date is before the accounting start date",IF(OR(IFERROR(INDEX(coa_Type,MATCH(F63,coa_Name,0)),"")="Revenue",IFERROR(INDEX(coa_Type,MATCH(F63,coa_Name,0)),"")="Other Income",IFERROR(INDEX(coa_Type,MATCH(F63,coa_Name,0)),"")="Equity"),"Account is not an expense or asset account",""))))))</f>
        <v/>
      </c>
      <c r="V63" s="67">
        <f>IF(AND(R63=0,T63=""),1,0)</f>
        <v/>
      </c>
      <c r="W63" s="67">
        <f>IF(V63=1,F63,"")</f>
        <v/>
      </c>
      <c r="X63" s="67">
        <f>IF(V63=1,acctAP,"")</f>
        <v/>
      </c>
      <c r="Y63" s="68">
        <f>IF(V63=1,G63-S63,0)</f>
        <v/>
      </c>
      <c r="Z63" s="68">
        <f>IF(V63=1,G63,0)</f>
        <v/>
      </c>
      <c r="AA63" s="68">
        <f>IF(V63=1,S63,0)</f>
        <v/>
      </c>
    </row>
    <row r="64">
      <c r="B64" s="62" t="n"/>
      <c r="C64" s="63" t="n"/>
      <c r="D64" s="62" t="n"/>
      <c r="E64" s="62" t="n"/>
      <c r="F64" s="62" t="n"/>
      <c r="G64" s="64" t="n"/>
      <c r="H64" s="64" t="n"/>
      <c r="I64" s="63" t="n"/>
      <c r="J64" s="29">
        <f>IF(V64=1,IF(ISNUMBER(I64),I64,C64+IF(ISNUMBER(IFERROR(INDEX(vend_Terms,MATCH(D64,vend_Name,0)),"")),INDEX(vend_Terms,MATCH(D64,vend_Name,0)),TermsDays)),"")</f>
        <v/>
      </c>
      <c r="K64" s="65">
        <f>IF(V64=1,SUMIFS(tx_CrAmt,tx_Type,"Bill Payment",tx_Ref,B64&amp;"",tx_Vend,D64,tx_Date,"&lt;="&amp;AsOf),"")</f>
        <v/>
      </c>
      <c r="L64" s="65">
        <f>IF(V64=1,IF(C64&gt;AsOf,0,ROUND(G64-K64,2)),"")</f>
        <v/>
      </c>
      <c r="M64" s="66">
        <f>IF(V64&lt;&gt;1,"",IF(C64&gt;AsOf,"Future",IF(L64&lt;0,"Overpaid",IF(L64=0,"Paid",IF(AsOf&gt;J64,"Overdue",IF(K64&gt;0,"Partial","Unpaid"))))))</f>
        <v/>
      </c>
      <c r="N64" s="28">
        <f>IF(AND(V64=1,N(L64)&gt;0),AsOf-C64,"")</f>
        <v/>
      </c>
      <c r="O64" s="28">
        <f>IF(N64="","",MAX(0,AsOf-J64))</f>
        <v/>
      </c>
      <c r="P64" s="66">
        <f>IF(O64="","",IF(O64=0,"Current",IF(O64&lt;=30,"1-30",IF(O64&lt;=60,"31-60",IF(O64&lt;=90,"61-90","90+")))))</f>
        <v/>
      </c>
      <c r="Q64" s="66">
        <f>IF(T64&lt;&gt;"","⛔ "&amp;T64&amp;" — not posted",IF(U64&lt;&gt;"","⚠ "&amp;U64,IF(V64=1,"✓ OK","")))</f>
        <v/>
      </c>
      <c r="R64" s="67">
        <f>IF(AND(B64="",C64="",D64="",G64="",F64=""),1,0)</f>
        <v/>
      </c>
      <c r="S64" s="68">
        <f>IF(AND(TaxOn="Yes",ISNUMBER(H64)),H64,0)</f>
        <v/>
      </c>
      <c r="T64" s="67">
        <f>IF(R64=1,"",IF(B64="","Enter a bill #",IF(D64="","Select a vendor",IF(C64="","Missing bill date",IF(NOT(ISNUMBER(C64)),"Invalid date",IF(OR(C64&lt;DATE(2000,1,1),C64&gt;DATE(2099,12,31)),"Invalid date",IF(F64="","Select an expense account",IF(ISNA(MATCH(F64,coa_Name,0)),"Unknown account: "&amp;F64,IF(NOT(ISNUMBER(G64)),"Enter an amount",IF(G64&lt;=0,"Amount must be positive",IF(S64&gt;G64,"Tax is larger than the amount","")))))))))))</f>
        <v/>
      </c>
      <c r="U64" s="67">
        <f>IF(OR(R64=1,T64&lt;&gt;""),"",IF(COUNTIFS(ap_No,B64,ap_Party,D64)&gt;1,"Duplicate bill #",IF(N(L64)&lt;0,"Overpaid by "&amp;TEXT(-L64,"#,##0.00"),IF(AND(ISNUMBER(H64),N(H64)&lt;&gt;0,S64=0),"Tax ignored (tax tracking is off)",IF(AND(ISNUMBER(StartDate),C64&lt;StartDate),"Date is before the accounting start date",IF(OR(IFERROR(INDEX(coa_Type,MATCH(F64,coa_Name,0)),"")="Revenue",IFERROR(INDEX(coa_Type,MATCH(F64,coa_Name,0)),"")="Other Income",IFERROR(INDEX(coa_Type,MATCH(F64,coa_Name,0)),"")="Equity"),"Account is not an expense or asset account",""))))))</f>
        <v/>
      </c>
      <c r="V64" s="67">
        <f>IF(AND(R64=0,T64=""),1,0)</f>
        <v/>
      </c>
      <c r="W64" s="67">
        <f>IF(V64=1,F64,"")</f>
        <v/>
      </c>
      <c r="X64" s="67">
        <f>IF(V64=1,acctAP,"")</f>
        <v/>
      </c>
      <c r="Y64" s="68">
        <f>IF(V64=1,G64-S64,0)</f>
        <v/>
      </c>
      <c r="Z64" s="68">
        <f>IF(V64=1,G64,0)</f>
        <v/>
      </c>
      <c r="AA64" s="68">
        <f>IF(V64=1,S64,0)</f>
        <v/>
      </c>
    </row>
    <row r="65">
      <c r="B65" s="62" t="n"/>
      <c r="C65" s="63" t="n"/>
      <c r="D65" s="62" t="n"/>
      <c r="E65" s="62" t="n"/>
      <c r="F65" s="62" t="n"/>
      <c r="G65" s="64" t="n"/>
      <c r="H65" s="64" t="n"/>
      <c r="I65" s="63" t="n"/>
      <c r="J65" s="29">
        <f>IF(V65=1,IF(ISNUMBER(I65),I65,C65+IF(ISNUMBER(IFERROR(INDEX(vend_Terms,MATCH(D65,vend_Name,0)),"")),INDEX(vend_Terms,MATCH(D65,vend_Name,0)),TermsDays)),"")</f>
        <v/>
      </c>
      <c r="K65" s="65">
        <f>IF(V65=1,SUMIFS(tx_CrAmt,tx_Type,"Bill Payment",tx_Ref,B65&amp;"",tx_Vend,D65,tx_Date,"&lt;="&amp;AsOf),"")</f>
        <v/>
      </c>
      <c r="L65" s="65">
        <f>IF(V65=1,IF(C65&gt;AsOf,0,ROUND(G65-K65,2)),"")</f>
        <v/>
      </c>
      <c r="M65" s="66">
        <f>IF(V65&lt;&gt;1,"",IF(C65&gt;AsOf,"Future",IF(L65&lt;0,"Overpaid",IF(L65=0,"Paid",IF(AsOf&gt;J65,"Overdue",IF(K65&gt;0,"Partial","Unpaid"))))))</f>
        <v/>
      </c>
      <c r="N65" s="28">
        <f>IF(AND(V65=1,N(L65)&gt;0),AsOf-C65,"")</f>
        <v/>
      </c>
      <c r="O65" s="28">
        <f>IF(N65="","",MAX(0,AsOf-J65))</f>
        <v/>
      </c>
      <c r="P65" s="66">
        <f>IF(O65="","",IF(O65=0,"Current",IF(O65&lt;=30,"1-30",IF(O65&lt;=60,"31-60",IF(O65&lt;=90,"61-90","90+")))))</f>
        <v/>
      </c>
      <c r="Q65" s="66">
        <f>IF(T65&lt;&gt;"","⛔ "&amp;T65&amp;" — not posted",IF(U65&lt;&gt;"","⚠ "&amp;U65,IF(V65=1,"✓ OK","")))</f>
        <v/>
      </c>
      <c r="R65" s="67">
        <f>IF(AND(B65="",C65="",D65="",G65="",F65=""),1,0)</f>
        <v/>
      </c>
      <c r="S65" s="68">
        <f>IF(AND(TaxOn="Yes",ISNUMBER(H65)),H65,0)</f>
        <v/>
      </c>
      <c r="T65" s="67">
        <f>IF(R65=1,"",IF(B65="","Enter a bill #",IF(D65="","Select a vendor",IF(C65="","Missing bill date",IF(NOT(ISNUMBER(C65)),"Invalid date",IF(OR(C65&lt;DATE(2000,1,1),C65&gt;DATE(2099,12,31)),"Invalid date",IF(F65="","Select an expense account",IF(ISNA(MATCH(F65,coa_Name,0)),"Unknown account: "&amp;F65,IF(NOT(ISNUMBER(G65)),"Enter an amount",IF(G65&lt;=0,"Amount must be positive",IF(S65&gt;G65,"Tax is larger than the amount","")))))))))))</f>
        <v/>
      </c>
      <c r="U65" s="67">
        <f>IF(OR(R65=1,T65&lt;&gt;""),"",IF(COUNTIFS(ap_No,B65,ap_Party,D65)&gt;1,"Duplicate bill #",IF(N(L65)&lt;0,"Overpaid by "&amp;TEXT(-L65,"#,##0.00"),IF(AND(ISNUMBER(H65),N(H65)&lt;&gt;0,S65=0),"Tax ignored (tax tracking is off)",IF(AND(ISNUMBER(StartDate),C65&lt;StartDate),"Date is before the accounting start date",IF(OR(IFERROR(INDEX(coa_Type,MATCH(F65,coa_Name,0)),"")="Revenue",IFERROR(INDEX(coa_Type,MATCH(F65,coa_Name,0)),"")="Other Income",IFERROR(INDEX(coa_Type,MATCH(F65,coa_Name,0)),"")="Equity"),"Account is not an expense or asset account",""))))))</f>
        <v/>
      </c>
      <c r="V65" s="67">
        <f>IF(AND(R65=0,T65=""),1,0)</f>
        <v/>
      </c>
      <c r="W65" s="67">
        <f>IF(V65=1,F65,"")</f>
        <v/>
      </c>
      <c r="X65" s="67">
        <f>IF(V65=1,acctAP,"")</f>
        <v/>
      </c>
      <c r="Y65" s="68">
        <f>IF(V65=1,G65-S65,0)</f>
        <v/>
      </c>
      <c r="Z65" s="68">
        <f>IF(V65=1,G65,0)</f>
        <v/>
      </c>
      <c r="AA65" s="68">
        <f>IF(V65=1,S65,0)</f>
        <v/>
      </c>
    </row>
    <row r="66">
      <c r="B66" s="62" t="n"/>
      <c r="C66" s="63" t="n"/>
      <c r="D66" s="62" t="n"/>
      <c r="E66" s="62" t="n"/>
      <c r="F66" s="62" t="n"/>
      <c r="G66" s="64" t="n"/>
      <c r="H66" s="64" t="n"/>
      <c r="I66" s="63" t="n"/>
      <c r="J66" s="29">
        <f>IF(V66=1,IF(ISNUMBER(I66),I66,C66+IF(ISNUMBER(IFERROR(INDEX(vend_Terms,MATCH(D66,vend_Name,0)),"")),INDEX(vend_Terms,MATCH(D66,vend_Name,0)),TermsDays)),"")</f>
        <v/>
      </c>
      <c r="K66" s="65">
        <f>IF(V66=1,SUMIFS(tx_CrAmt,tx_Type,"Bill Payment",tx_Ref,B66&amp;"",tx_Vend,D66,tx_Date,"&lt;="&amp;AsOf),"")</f>
        <v/>
      </c>
      <c r="L66" s="65">
        <f>IF(V66=1,IF(C66&gt;AsOf,0,ROUND(G66-K66,2)),"")</f>
        <v/>
      </c>
      <c r="M66" s="66">
        <f>IF(V66&lt;&gt;1,"",IF(C66&gt;AsOf,"Future",IF(L66&lt;0,"Overpaid",IF(L66=0,"Paid",IF(AsOf&gt;J66,"Overdue",IF(K66&gt;0,"Partial","Unpaid"))))))</f>
        <v/>
      </c>
      <c r="N66" s="28">
        <f>IF(AND(V66=1,N(L66)&gt;0),AsOf-C66,"")</f>
        <v/>
      </c>
      <c r="O66" s="28">
        <f>IF(N66="","",MAX(0,AsOf-J66))</f>
        <v/>
      </c>
      <c r="P66" s="66">
        <f>IF(O66="","",IF(O66=0,"Current",IF(O66&lt;=30,"1-30",IF(O66&lt;=60,"31-60",IF(O66&lt;=90,"61-90","90+")))))</f>
        <v/>
      </c>
      <c r="Q66" s="66">
        <f>IF(T66&lt;&gt;"","⛔ "&amp;T66&amp;" — not posted",IF(U66&lt;&gt;"","⚠ "&amp;U66,IF(V66=1,"✓ OK","")))</f>
        <v/>
      </c>
      <c r="R66" s="67">
        <f>IF(AND(B66="",C66="",D66="",G66="",F66=""),1,0)</f>
        <v/>
      </c>
      <c r="S66" s="68">
        <f>IF(AND(TaxOn="Yes",ISNUMBER(H66)),H66,0)</f>
        <v/>
      </c>
      <c r="T66" s="67">
        <f>IF(R66=1,"",IF(B66="","Enter a bill #",IF(D66="","Select a vendor",IF(C66="","Missing bill date",IF(NOT(ISNUMBER(C66)),"Invalid date",IF(OR(C66&lt;DATE(2000,1,1),C66&gt;DATE(2099,12,31)),"Invalid date",IF(F66="","Select an expense account",IF(ISNA(MATCH(F66,coa_Name,0)),"Unknown account: "&amp;F66,IF(NOT(ISNUMBER(G66)),"Enter an amount",IF(G66&lt;=0,"Amount must be positive",IF(S66&gt;G66,"Tax is larger than the amount","")))))))))))</f>
        <v/>
      </c>
      <c r="U66" s="67">
        <f>IF(OR(R66=1,T66&lt;&gt;""),"",IF(COUNTIFS(ap_No,B66,ap_Party,D66)&gt;1,"Duplicate bill #",IF(N(L66)&lt;0,"Overpaid by "&amp;TEXT(-L66,"#,##0.00"),IF(AND(ISNUMBER(H66),N(H66)&lt;&gt;0,S66=0),"Tax ignored (tax tracking is off)",IF(AND(ISNUMBER(StartDate),C66&lt;StartDate),"Date is before the accounting start date",IF(OR(IFERROR(INDEX(coa_Type,MATCH(F66,coa_Name,0)),"")="Revenue",IFERROR(INDEX(coa_Type,MATCH(F66,coa_Name,0)),"")="Other Income",IFERROR(INDEX(coa_Type,MATCH(F66,coa_Name,0)),"")="Equity"),"Account is not an expense or asset account",""))))))</f>
        <v/>
      </c>
      <c r="V66" s="67">
        <f>IF(AND(R66=0,T66=""),1,0)</f>
        <v/>
      </c>
      <c r="W66" s="67">
        <f>IF(V66=1,F66,"")</f>
        <v/>
      </c>
      <c r="X66" s="67">
        <f>IF(V66=1,acctAP,"")</f>
        <v/>
      </c>
      <c r="Y66" s="68">
        <f>IF(V66=1,G66-S66,0)</f>
        <v/>
      </c>
      <c r="Z66" s="68">
        <f>IF(V66=1,G66,0)</f>
        <v/>
      </c>
      <c r="AA66" s="68">
        <f>IF(V66=1,S66,0)</f>
        <v/>
      </c>
    </row>
    <row r="67">
      <c r="B67" s="62" t="n"/>
      <c r="C67" s="63" t="n"/>
      <c r="D67" s="62" t="n"/>
      <c r="E67" s="62" t="n"/>
      <c r="F67" s="62" t="n"/>
      <c r="G67" s="64" t="n"/>
      <c r="H67" s="64" t="n"/>
      <c r="I67" s="63" t="n"/>
      <c r="J67" s="29">
        <f>IF(V67=1,IF(ISNUMBER(I67),I67,C67+IF(ISNUMBER(IFERROR(INDEX(vend_Terms,MATCH(D67,vend_Name,0)),"")),INDEX(vend_Terms,MATCH(D67,vend_Name,0)),TermsDays)),"")</f>
        <v/>
      </c>
      <c r="K67" s="65">
        <f>IF(V67=1,SUMIFS(tx_CrAmt,tx_Type,"Bill Payment",tx_Ref,B67&amp;"",tx_Vend,D67,tx_Date,"&lt;="&amp;AsOf),"")</f>
        <v/>
      </c>
      <c r="L67" s="65">
        <f>IF(V67=1,IF(C67&gt;AsOf,0,ROUND(G67-K67,2)),"")</f>
        <v/>
      </c>
      <c r="M67" s="66">
        <f>IF(V67&lt;&gt;1,"",IF(C67&gt;AsOf,"Future",IF(L67&lt;0,"Overpaid",IF(L67=0,"Paid",IF(AsOf&gt;J67,"Overdue",IF(K67&gt;0,"Partial","Unpaid"))))))</f>
        <v/>
      </c>
      <c r="N67" s="28">
        <f>IF(AND(V67=1,N(L67)&gt;0),AsOf-C67,"")</f>
        <v/>
      </c>
      <c r="O67" s="28">
        <f>IF(N67="","",MAX(0,AsOf-J67))</f>
        <v/>
      </c>
      <c r="P67" s="66">
        <f>IF(O67="","",IF(O67=0,"Current",IF(O67&lt;=30,"1-30",IF(O67&lt;=60,"31-60",IF(O67&lt;=90,"61-90","90+")))))</f>
        <v/>
      </c>
      <c r="Q67" s="66">
        <f>IF(T67&lt;&gt;"","⛔ "&amp;T67&amp;" — not posted",IF(U67&lt;&gt;"","⚠ "&amp;U67,IF(V67=1,"✓ OK","")))</f>
        <v/>
      </c>
      <c r="R67" s="67">
        <f>IF(AND(B67="",C67="",D67="",G67="",F67=""),1,0)</f>
        <v/>
      </c>
      <c r="S67" s="68">
        <f>IF(AND(TaxOn="Yes",ISNUMBER(H67)),H67,0)</f>
        <v/>
      </c>
      <c r="T67" s="67">
        <f>IF(R67=1,"",IF(B67="","Enter a bill #",IF(D67="","Select a vendor",IF(C67="","Missing bill date",IF(NOT(ISNUMBER(C67)),"Invalid date",IF(OR(C67&lt;DATE(2000,1,1),C67&gt;DATE(2099,12,31)),"Invalid date",IF(F67="","Select an expense account",IF(ISNA(MATCH(F67,coa_Name,0)),"Unknown account: "&amp;F67,IF(NOT(ISNUMBER(G67)),"Enter an amount",IF(G67&lt;=0,"Amount must be positive",IF(S67&gt;G67,"Tax is larger than the amount","")))))))))))</f>
        <v/>
      </c>
      <c r="U67" s="67">
        <f>IF(OR(R67=1,T67&lt;&gt;""),"",IF(COUNTIFS(ap_No,B67,ap_Party,D67)&gt;1,"Duplicate bill #",IF(N(L67)&lt;0,"Overpaid by "&amp;TEXT(-L67,"#,##0.00"),IF(AND(ISNUMBER(H67),N(H67)&lt;&gt;0,S67=0),"Tax ignored (tax tracking is off)",IF(AND(ISNUMBER(StartDate),C67&lt;StartDate),"Date is before the accounting start date",IF(OR(IFERROR(INDEX(coa_Type,MATCH(F67,coa_Name,0)),"")="Revenue",IFERROR(INDEX(coa_Type,MATCH(F67,coa_Name,0)),"")="Other Income",IFERROR(INDEX(coa_Type,MATCH(F67,coa_Name,0)),"")="Equity"),"Account is not an expense or asset account",""))))))</f>
        <v/>
      </c>
      <c r="V67" s="67">
        <f>IF(AND(R67=0,T67=""),1,0)</f>
        <v/>
      </c>
      <c r="W67" s="67">
        <f>IF(V67=1,F67,"")</f>
        <v/>
      </c>
      <c r="X67" s="67">
        <f>IF(V67=1,acctAP,"")</f>
        <v/>
      </c>
      <c r="Y67" s="68">
        <f>IF(V67=1,G67-S67,0)</f>
        <v/>
      </c>
      <c r="Z67" s="68">
        <f>IF(V67=1,G67,0)</f>
        <v/>
      </c>
      <c r="AA67" s="68">
        <f>IF(V67=1,S67,0)</f>
        <v/>
      </c>
    </row>
    <row r="68">
      <c r="B68" s="62" t="n"/>
      <c r="C68" s="63" t="n"/>
      <c r="D68" s="62" t="n"/>
      <c r="E68" s="62" t="n"/>
      <c r="F68" s="62" t="n"/>
      <c r="G68" s="64" t="n"/>
      <c r="H68" s="64" t="n"/>
      <c r="I68" s="63" t="n"/>
      <c r="J68" s="29">
        <f>IF(V68=1,IF(ISNUMBER(I68),I68,C68+IF(ISNUMBER(IFERROR(INDEX(vend_Terms,MATCH(D68,vend_Name,0)),"")),INDEX(vend_Terms,MATCH(D68,vend_Name,0)),TermsDays)),"")</f>
        <v/>
      </c>
      <c r="K68" s="65">
        <f>IF(V68=1,SUMIFS(tx_CrAmt,tx_Type,"Bill Payment",tx_Ref,B68&amp;"",tx_Vend,D68,tx_Date,"&lt;="&amp;AsOf),"")</f>
        <v/>
      </c>
      <c r="L68" s="65">
        <f>IF(V68=1,IF(C68&gt;AsOf,0,ROUND(G68-K68,2)),"")</f>
        <v/>
      </c>
      <c r="M68" s="66">
        <f>IF(V68&lt;&gt;1,"",IF(C68&gt;AsOf,"Future",IF(L68&lt;0,"Overpaid",IF(L68=0,"Paid",IF(AsOf&gt;J68,"Overdue",IF(K68&gt;0,"Partial","Unpaid"))))))</f>
        <v/>
      </c>
      <c r="N68" s="28">
        <f>IF(AND(V68=1,N(L68)&gt;0),AsOf-C68,"")</f>
        <v/>
      </c>
      <c r="O68" s="28">
        <f>IF(N68="","",MAX(0,AsOf-J68))</f>
        <v/>
      </c>
      <c r="P68" s="66">
        <f>IF(O68="","",IF(O68=0,"Current",IF(O68&lt;=30,"1-30",IF(O68&lt;=60,"31-60",IF(O68&lt;=90,"61-90","90+")))))</f>
        <v/>
      </c>
      <c r="Q68" s="66">
        <f>IF(T68&lt;&gt;"","⛔ "&amp;T68&amp;" — not posted",IF(U68&lt;&gt;"","⚠ "&amp;U68,IF(V68=1,"✓ OK","")))</f>
        <v/>
      </c>
      <c r="R68" s="67">
        <f>IF(AND(B68="",C68="",D68="",G68="",F68=""),1,0)</f>
        <v/>
      </c>
      <c r="S68" s="68">
        <f>IF(AND(TaxOn="Yes",ISNUMBER(H68)),H68,0)</f>
        <v/>
      </c>
      <c r="T68" s="67">
        <f>IF(R68=1,"",IF(B68="","Enter a bill #",IF(D68="","Select a vendor",IF(C68="","Missing bill date",IF(NOT(ISNUMBER(C68)),"Invalid date",IF(OR(C68&lt;DATE(2000,1,1),C68&gt;DATE(2099,12,31)),"Invalid date",IF(F68="","Select an expense account",IF(ISNA(MATCH(F68,coa_Name,0)),"Unknown account: "&amp;F68,IF(NOT(ISNUMBER(G68)),"Enter an amount",IF(G68&lt;=0,"Amount must be positive",IF(S68&gt;G68,"Tax is larger than the amount","")))))))))))</f>
        <v/>
      </c>
      <c r="U68" s="67">
        <f>IF(OR(R68=1,T68&lt;&gt;""),"",IF(COUNTIFS(ap_No,B68,ap_Party,D68)&gt;1,"Duplicate bill #",IF(N(L68)&lt;0,"Overpaid by "&amp;TEXT(-L68,"#,##0.00"),IF(AND(ISNUMBER(H68),N(H68)&lt;&gt;0,S68=0),"Tax ignored (tax tracking is off)",IF(AND(ISNUMBER(StartDate),C68&lt;StartDate),"Date is before the accounting start date",IF(OR(IFERROR(INDEX(coa_Type,MATCH(F68,coa_Name,0)),"")="Revenue",IFERROR(INDEX(coa_Type,MATCH(F68,coa_Name,0)),"")="Other Income",IFERROR(INDEX(coa_Type,MATCH(F68,coa_Name,0)),"")="Equity"),"Account is not an expense or asset account",""))))))</f>
        <v/>
      </c>
      <c r="V68" s="67">
        <f>IF(AND(R68=0,T68=""),1,0)</f>
        <v/>
      </c>
      <c r="W68" s="67">
        <f>IF(V68=1,F68,"")</f>
        <v/>
      </c>
      <c r="X68" s="67">
        <f>IF(V68=1,acctAP,"")</f>
        <v/>
      </c>
      <c r="Y68" s="68">
        <f>IF(V68=1,G68-S68,0)</f>
        <v/>
      </c>
      <c r="Z68" s="68">
        <f>IF(V68=1,G68,0)</f>
        <v/>
      </c>
      <c r="AA68" s="68">
        <f>IF(V68=1,S68,0)</f>
        <v/>
      </c>
    </row>
    <row r="69">
      <c r="B69" s="62" t="n"/>
      <c r="C69" s="63" t="n"/>
      <c r="D69" s="62" t="n"/>
      <c r="E69" s="62" t="n"/>
      <c r="F69" s="62" t="n"/>
      <c r="G69" s="64" t="n"/>
      <c r="H69" s="64" t="n"/>
      <c r="I69" s="63" t="n"/>
      <c r="J69" s="29">
        <f>IF(V69=1,IF(ISNUMBER(I69),I69,C69+IF(ISNUMBER(IFERROR(INDEX(vend_Terms,MATCH(D69,vend_Name,0)),"")),INDEX(vend_Terms,MATCH(D69,vend_Name,0)),TermsDays)),"")</f>
        <v/>
      </c>
      <c r="K69" s="65">
        <f>IF(V69=1,SUMIFS(tx_CrAmt,tx_Type,"Bill Payment",tx_Ref,B69&amp;"",tx_Vend,D69,tx_Date,"&lt;="&amp;AsOf),"")</f>
        <v/>
      </c>
      <c r="L69" s="65">
        <f>IF(V69=1,IF(C69&gt;AsOf,0,ROUND(G69-K69,2)),"")</f>
        <v/>
      </c>
      <c r="M69" s="66">
        <f>IF(V69&lt;&gt;1,"",IF(C69&gt;AsOf,"Future",IF(L69&lt;0,"Overpaid",IF(L69=0,"Paid",IF(AsOf&gt;J69,"Overdue",IF(K69&gt;0,"Partial","Unpaid"))))))</f>
        <v/>
      </c>
      <c r="N69" s="28">
        <f>IF(AND(V69=1,N(L69)&gt;0),AsOf-C69,"")</f>
        <v/>
      </c>
      <c r="O69" s="28">
        <f>IF(N69="","",MAX(0,AsOf-J69))</f>
        <v/>
      </c>
      <c r="P69" s="66">
        <f>IF(O69="","",IF(O69=0,"Current",IF(O69&lt;=30,"1-30",IF(O69&lt;=60,"31-60",IF(O69&lt;=90,"61-90","90+")))))</f>
        <v/>
      </c>
      <c r="Q69" s="66">
        <f>IF(T69&lt;&gt;"","⛔ "&amp;T69&amp;" — not posted",IF(U69&lt;&gt;"","⚠ "&amp;U69,IF(V69=1,"✓ OK","")))</f>
        <v/>
      </c>
      <c r="R69" s="67">
        <f>IF(AND(B69="",C69="",D69="",G69="",F69=""),1,0)</f>
        <v/>
      </c>
      <c r="S69" s="68">
        <f>IF(AND(TaxOn="Yes",ISNUMBER(H69)),H69,0)</f>
        <v/>
      </c>
      <c r="T69" s="67">
        <f>IF(R69=1,"",IF(B69="","Enter a bill #",IF(D69="","Select a vendor",IF(C69="","Missing bill date",IF(NOT(ISNUMBER(C69)),"Invalid date",IF(OR(C69&lt;DATE(2000,1,1),C69&gt;DATE(2099,12,31)),"Invalid date",IF(F69="","Select an expense account",IF(ISNA(MATCH(F69,coa_Name,0)),"Unknown account: "&amp;F69,IF(NOT(ISNUMBER(G69)),"Enter an amount",IF(G69&lt;=0,"Amount must be positive",IF(S69&gt;G69,"Tax is larger than the amount","")))))))))))</f>
        <v/>
      </c>
      <c r="U69" s="67">
        <f>IF(OR(R69=1,T69&lt;&gt;""),"",IF(COUNTIFS(ap_No,B69,ap_Party,D69)&gt;1,"Duplicate bill #",IF(N(L69)&lt;0,"Overpaid by "&amp;TEXT(-L69,"#,##0.00"),IF(AND(ISNUMBER(H69),N(H69)&lt;&gt;0,S69=0),"Tax ignored (tax tracking is off)",IF(AND(ISNUMBER(StartDate),C69&lt;StartDate),"Date is before the accounting start date",IF(OR(IFERROR(INDEX(coa_Type,MATCH(F69,coa_Name,0)),"")="Revenue",IFERROR(INDEX(coa_Type,MATCH(F69,coa_Name,0)),"")="Other Income",IFERROR(INDEX(coa_Type,MATCH(F69,coa_Name,0)),"")="Equity"),"Account is not an expense or asset account",""))))))</f>
        <v/>
      </c>
      <c r="V69" s="67">
        <f>IF(AND(R69=0,T69=""),1,0)</f>
        <v/>
      </c>
      <c r="W69" s="67">
        <f>IF(V69=1,F69,"")</f>
        <v/>
      </c>
      <c r="X69" s="67">
        <f>IF(V69=1,acctAP,"")</f>
        <v/>
      </c>
      <c r="Y69" s="68">
        <f>IF(V69=1,G69-S69,0)</f>
        <v/>
      </c>
      <c r="Z69" s="68">
        <f>IF(V69=1,G69,0)</f>
        <v/>
      </c>
      <c r="AA69" s="68">
        <f>IF(V69=1,S69,0)</f>
        <v/>
      </c>
    </row>
    <row r="70">
      <c r="B70" s="62" t="n"/>
      <c r="C70" s="63" t="n"/>
      <c r="D70" s="62" t="n"/>
      <c r="E70" s="62" t="n"/>
      <c r="F70" s="62" t="n"/>
      <c r="G70" s="64" t="n"/>
      <c r="H70" s="64" t="n"/>
      <c r="I70" s="63" t="n"/>
      <c r="J70" s="29">
        <f>IF(V70=1,IF(ISNUMBER(I70),I70,C70+IF(ISNUMBER(IFERROR(INDEX(vend_Terms,MATCH(D70,vend_Name,0)),"")),INDEX(vend_Terms,MATCH(D70,vend_Name,0)),TermsDays)),"")</f>
        <v/>
      </c>
      <c r="K70" s="65">
        <f>IF(V70=1,SUMIFS(tx_CrAmt,tx_Type,"Bill Payment",tx_Ref,B70&amp;"",tx_Vend,D70,tx_Date,"&lt;="&amp;AsOf),"")</f>
        <v/>
      </c>
      <c r="L70" s="65">
        <f>IF(V70=1,IF(C70&gt;AsOf,0,ROUND(G70-K70,2)),"")</f>
        <v/>
      </c>
      <c r="M70" s="66">
        <f>IF(V70&lt;&gt;1,"",IF(C70&gt;AsOf,"Future",IF(L70&lt;0,"Overpaid",IF(L70=0,"Paid",IF(AsOf&gt;J70,"Overdue",IF(K70&gt;0,"Partial","Unpaid"))))))</f>
        <v/>
      </c>
      <c r="N70" s="28">
        <f>IF(AND(V70=1,N(L70)&gt;0),AsOf-C70,"")</f>
        <v/>
      </c>
      <c r="O70" s="28">
        <f>IF(N70="","",MAX(0,AsOf-J70))</f>
        <v/>
      </c>
      <c r="P70" s="66">
        <f>IF(O70="","",IF(O70=0,"Current",IF(O70&lt;=30,"1-30",IF(O70&lt;=60,"31-60",IF(O70&lt;=90,"61-90","90+")))))</f>
        <v/>
      </c>
      <c r="Q70" s="66">
        <f>IF(T70&lt;&gt;"","⛔ "&amp;T70&amp;" — not posted",IF(U70&lt;&gt;"","⚠ "&amp;U70,IF(V70=1,"✓ OK","")))</f>
        <v/>
      </c>
      <c r="R70" s="67">
        <f>IF(AND(B70="",C70="",D70="",G70="",F70=""),1,0)</f>
        <v/>
      </c>
      <c r="S70" s="68">
        <f>IF(AND(TaxOn="Yes",ISNUMBER(H70)),H70,0)</f>
        <v/>
      </c>
      <c r="T70" s="67">
        <f>IF(R70=1,"",IF(B70="","Enter a bill #",IF(D70="","Select a vendor",IF(C70="","Missing bill date",IF(NOT(ISNUMBER(C70)),"Invalid date",IF(OR(C70&lt;DATE(2000,1,1),C70&gt;DATE(2099,12,31)),"Invalid date",IF(F70="","Select an expense account",IF(ISNA(MATCH(F70,coa_Name,0)),"Unknown account: "&amp;F70,IF(NOT(ISNUMBER(G70)),"Enter an amount",IF(G70&lt;=0,"Amount must be positive",IF(S70&gt;G70,"Tax is larger than the amount","")))))))))))</f>
        <v/>
      </c>
      <c r="U70" s="67">
        <f>IF(OR(R70=1,T70&lt;&gt;""),"",IF(COUNTIFS(ap_No,B70,ap_Party,D70)&gt;1,"Duplicate bill #",IF(N(L70)&lt;0,"Overpaid by "&amp;TEXT(-L70,"#,##0.00"),IF(AND(ISNUMBER(H70),N(H70)&lt;&gt;0,S70=0),"Tax ignored (tax tracking is off)",IF(AND(ISNUMBER(StartDate),C70&lt;StartDate),"Date is before the accounting start date",IF(OR(IFERROR(INDEX(coa_Type,MATCH(F70,coa_Name,0)),"")="Revenue",IFERROR(INDEX(coa_Type,MATCH(F70,coa_Name,0)),"")="Other Income",IFERROR(INDEX(coa_Type,MATCH(F70,coa_Name,0)),"")="Equity"),"Account is not an expense or asset account",""))))))</f>
        <v/>
      </c>
      <c r="V70" s="67">
        <f>IF(AND(R70=0,T70=""),1,0)</f>
        <v/>
      </c>
      <c r="W70" s="67">
        <f>IF(V70=1,F70,"")</f>
        <v/>
      </c>
      <c r="X70" s="67">
        <f>IF(V70=1,acctAP,"")</f>
        <v/>
      </c>
      <c r="Y70" s="68">
        <f>IF(V70=1,G70-S70,0)</f>
        <v/>
      </c>
      <c r="Z70" s="68">
        <f>IF(V70=1,G70,0)</f>
        <v/>
      </c>
      <c r="AA70" s="68">
        <f>IF(V70=1,S70,0)</f>
        <v/>
      </c>
    </row>
    <row r="71">
      <c r="B71" s="62" t="n"/>
      <c r="C71" s="63" t="n"/>
      <c r="D71" s="62" t="n"/>
      <c r="E71" s="62" t="n"/>
      <c r="F71" s="62" t="n"/>
      <c r="G71" s="64" t="n"/>
      <c r="H71" s="64" t="n"/>
      <c r="I71" s="63" t="n"/>
      <c r="J71" s="29">
        <f>IF(V71=1,IF(ISNUMBER(I71),I71,C71+IF(ISNUMBER(IFERROR(INDEX(vend_Terms,MATCH(D71,vend_Name,0)),"")),INDEX(vend_Terms,MATCH(D71,vend_Name,0)),TermsDays)),"")</f>
        <v/>
      </c>
      <c r="K71" s="65">
        <f>IF(V71=1,SUMIFS(tx_CrAmt,tx_Type,"Bill Payment",tx_Ref,B71&amp;"",tx_Vend,D71,tx_Date,"&lt;="&amp;AsOf),"")</f>
        <v/>
      </c>
      <c r="L71" s="65">
        <f>IF(V71=1,IF(C71&gt;AsOf,0,ROUND(G71-K71,2)),"")</f>
        <v/>
      </c>
      <c r="M71" s="66">
        <f>IF(V71&lt;&gt;1,"",IF(C71&gt;AsOf,"Future",IF(L71&lt;0,"Overpaid",IF(L71=0,"Paid",IF(AsOf&gt;J71,"Overdue",IF(K71&gt;0,"Partial","Unpaid"))))))</f>
        <v/>
      </c>
      <c r="N71" s="28">
        <f>IF(AND(V71=1,N(L71)&gt;0),AsOf-C71,"")</f>
        <v/>
      </c>
      <c r="O71" s="28">
        <f>IF(N71="","",MAX(0,AsOf-J71))</f>
        <v/>
      </c>
      <c r="P71" s="66">
        <f>IF(O71="","",IF(O71=0,"Current",IF(O71&lt;=30,"1-30",IF(O71&lt;=60,"31-60",IF(O71&lt;=90,"61-90","90+")))))</f>
        <v/>
      </c>
      <c r="Q71" s="66">
        <f>IF(T71&lt;&gt;"","⛔ "&amp;T71&amp;" — not posted",IF(U71&lt;&gt;"","⚠ "&amp;U71,IF(V71=1,"✓ OK","")))</f>
        <v/>
      </c>
      <c r="R71" s="67">
        <f>IF(AND(B71="",C71="",D71="",G71="",F71=""),1,0)</f>
        <v/>
      </c>
      <c r="S71" s="68">
        <f>IF(AND(TaxOn="Yes",ISNUMBER(H71)),H71,0)</f>
        <v/>
      </c>
      <c r="T71" s="67">
        <f>IF(R71=1,"",IF(B71="","Enter a bill #",IF(D71="","Select a vendor",IF(C71="","Missing bill date",IF(NOT(ISNUMBER(C71)),"Invalid date",IF(OR(C71&lt;DATE(2000,1,1),C71&gt;DATE(2099,12,31)),"Invalid date",IF(F71="","Select an expense account",IF(ISNA(MATCH(F71,coa_Name,0)),"Unknown account: "&amp;F71,IF(NOT(ISNUMBER(G71)),"Enter an amount",IF(G71&lt;=0,"Amount must be positive",IF(S71&gt;G71,"Tax is larger than the amount","")))))))))))</f>
        <v/>
      </c>
      <c r="U71" s="67">
        <f>IF(OR(R71=1,T71&lt;&gt;""),"",IF(COUNTIFS(ap_No,B71,ap_Party,D71)&gt;1,"Duplicate bill #",IF(N(L71)&lt;0,"Overpaid by "&amp;TEXT(-L71,"#,##0.00"),IF(AND(ISNUMBER(H71),N(H71)&lt;&gt;0,S71=0),"Tax ignored (tax tracking is off)",IF(AND(ISNUMBER(StartDate),C71&lt;StartDate),"Date is before the accounting start date",IF(OR(IFERROR(INDEX(coa_Type,MATCH(F71,coa_Name,0)),"")="Revenue",IFERROR(INDEX(coa_Type,MATCH(F71,coa_Name,0)),"")="Other Income",IFERROR(INDEX(coa_Type,MATCH(F71,coa_Name,0)),"")="Equity"),"Account is not an expense or asset account",""))))))</f>
        <v/>
      </c>
      <c r="V71" s="67">
        <f>IF(AND(R71=0,T71=""),1,0)</f>
        <v/>
      </c>
      <c r="W71" s="67">
        <f>IF(V71=1,F71,"")</f>
        <v/>
      </c>
      <c r="X71" s="67">
        <f>IF(V71=1,acctAP,"")</f>
        <v/>
      </c>
      <c r="Y71" s="68">
        <f>IF(V71=1,G71-S71,0)</f>
        <v/>
      </c>
      <c r="Z71" s="68">
        <f>IF(V71=1,G71,0)</f>
        <v/>
      </c>
      <c r="AA71" s="68">
        <f>IF(V71=1,S71,0)</f>
        <v/>
      </c>
    </row>
    <row r="72">
      <c r="B72" s="62" t="n"/>
      <c r="C72" s="63" t="n"/>
      <c r="D72" s="62" t="n"/>
      <c r="E72" s="62" t="n"/>
      <c r="F72" s="62" t="n"/>
      <c r="G72" s="64" t="n"/>
      <c r="H72" s="64" t="n"/>
      <c r="I72" s="63" t="n"/>
      <c r="J72" s="29">
        <f>IF(V72=1,IF(ISNUMBER(I72),I72,C72+IF(ISNUMBER(IFERROR(INDEX(vend_Terms,MATCH(D72,vend_Name,0)),"")),INDEX(vend_Terms,MATCH(D72,vend_Name,0)),TermsDays)),"")</f>
        <v/>
      </c>
      <c r="K72" s="65">
        <f>IF(V72=1,SUMIFS(tx_CrAmt,tx_Type,"Bill Payment",tx_Ref,B72&amp;"",tx_Vend,D72,tx_Date,"&lt;="&amp;AsOf),"")</f>
        <v/>
      </c>
      <c r="L72" s="65">
        <f>IF(V72=1,IF(C72&gt;AsOf,0,ROUND(G72-K72,2)),"")</f>
        <v/>
      </c>
      <c r="M72" s="66">
        <f>IF(V72&lt;&gt;1,"",IF(C72&gt;AsOf,"Future",IF(L72&lt;0,"Overpaid",IF(L72=0,"Paid",IF(AsOf&gt;J72,"Overdue",IF(K72&gt;0,"Partial","Unpaid"))))))</f>
        <v/>
      </c>
      <c r="N72" s="28">
        <f>IF(AND(V72=1,N(L72)&gt;0),AsOf-C72,"")</f>
        <v/>
      </c>
      <c r="O72" s="28">
        <f>IF(N72="","",MAX(0,AsOf-J72))</f>
        <v/>
      </c>
      <c r="P72" s="66">
        <f>IF(O72="","",IF(O72=0,"Current",IF(O72&lt;=30,"1-30",IF(O72&lt;=60,"31-60",IF(O72&lt;=90,"61-90","90+")))))</f>
        <v/>
      </c>
      <c r="Q72" s="66">
        <f>IF(T72&lt;&gt;"","⛔ "&amp;T72&amp;" — not posted",IF(U72&lt;&gt;"","⚠ "&amp;U72,IF(V72=1,"✓ OK","")))</f>
        <v/>
      </c>
      <c r="R72" s="67">
        <f>IF(AND(B72="",C72="",D72="",G72="",F72=""),1,0)</f>
        <v/>
      </c>
      <c r="S72" s="68">
        <f>IF(AND(TaxOn="Yes",ISNUMBER(H72)),H72,0)</f>
        <v/>
      </c>
      <c r="T72" s="67">
        <f>IF(R72=1,"",IF(B72="","Enter a bill #",IF(D72="","Select a vendor",IF(C72="","Missing bill date",IF(NOT(ISNUMBER(C72)),"Invalid date",IF(OR(C72&lt;DATE(2000,1,1),C72&gt;DATE(2099,12,31)),"Invalid date",IF(F72="","Select an expense account",IF(ISNA(MATCH(F72,coa_Name,0)),"Unknown account: "&amp;F72,IF(NOT(ISNUMBER(G72)),"Enter an amount",IF(G72&lt;=0,"Amount must be positive",IF(S72&gt;G72,"Tax is larger than the amount","")))))))))))</f>
        <v/>
      </c>
      <c r="U72" s="67">
        <f>IF(OR(R72=1,T72&lt;&gt;""),"",IF(COUNTIFS(ap_No,B72,ap_Party,D72)&gt;1,"Duplicate bill #",IF(N(L72)&lt;0,"Overpaid by "&amp;TEXT(-L72,"#,##0.00"),IF(AND(ISNUMBER(H72),N(H72)&lt;&gt;0,S72=0),"Tax ignored (tax tracking is off)",IF(AND(ISNUMBER(StartDate),C72&lt;StartDate),"Date is before the accounting start date",IF(OR(IFERROR(INDEX(coa_Type,MATCH(F72,coa_Name,0)),"")="Revenue",IFERROR(INDEX(coa_Type,MATCH(F72,coa_Name,0)),"")="Other Income",IFERROR(INDEX(coa_Type,MATCH(F72,coa_Name,0)),"")="Equity"),"Account is not an expense or asset account",""))))))</f>
        <v/>
      </c>
      <c r="V72" s="67">
        <f>IF(AND(R72=0,T72=""),1,0)</f>
        <v/>
      </c>
      <c r="W72" s="67">
        <f>IF(V72=1,F72,"")</f>
        <v/>
      </c>
      <c r="X72" s="67">
        <f>IF(V72=1,acctAP,"")</f>
        <v/>
      </c>
      <c r="Y72" s="68">
        <f>IF(V72=1,G72-S72,0)</f>
        <v/>
      </c>
      <c r="Z72" s="68">
        <f>IF(V72=1,G72,0)</f>
        <v/>
      </c>
      <c r="AA72" s="68">
        <f>IF(V72=1,S72,0)</f>
        <v/>
      </c>
    </row>
    <row r="73">
      <c r="B73" s="62" t="n"/>
      <c r="C73" s="63" t="n"/>
      <c r="D73" s="62" t="n"/>
      <c r="E73" s="62" t="n"/>
      <c r="F73" s="62" t="n"/>
      <c r="G73" s="64" t="n"/>
      <c r="H73" s="64" t="n"/>
      <c r="I73" s="63" t="n"/>
      <c r="J73" s="29">
        <f>IF(V73=1,IF(ISNUMBER(I73),I73,C73+IF(ISNUMBER(IFERROR(INDEX(vend_Terms,MATCH(D73,vend_Name,0)),"")),INDEX(vend_Terms,MATCH(D73,vend_Name,0)),TermsDays)),"")</f>
        <v/>
      </c>
      <c r="K73" s="65">
        <f>IF(V73=1,SUMIFS(tx_CrAmt,tx_Type,"Bill Payment",tx_Ref,B73&amp;"",tx_Vend,D73,tx_Date,"&lt;="&amp;AsOf),"")</f>
        <v/>
      </c>
      <c r="L73" s="65">
        <f>IF(V73=1,IF(C73&gt;AsOf,0,ROUND(G73-K73,2)),"")</f>
        <v/>
      </c>
      <c r="M73" s="66">
        <f>IF(V73&lt;&gt;1,"",IF(C73&gt;AsOf,"Future",IF(L73&lt;0,"Overpaid",IF(L73=0,"Paid",IF(AsOf&gt;J73,"Overdue",IF(K73&gt;0,"Partial","Unpaid"))))))</f>
        <v/>
      </c>
      <c r="N73" s="28">
        <f>IF(AND(V73=1,N(L73)&gt;0),AsOf-C73,"")</f>
        <v/>
      </c>
      <c r="O73" s="28">
        <f>IF(N73="","",MAX(0,AsOf-J73))</f>
        <v/>
      </c>
      <c r="P73" s="66">
        <f>IF(O73="","",IF(O73=0,"Current",IF(O73&lt;=30,"1-30",IF(O73&lt;=60,"31-60",IF(O73&lt;=90,"61-90","90+")))))</f>
        <v/>
      </c>
      <c r="Q73" s="66">
        <f>IF(T73&lt;&gt;"","⛔ "&amp;T73&amp;" — not posted",IF(U73&lt;&gt;"","⚠ "&amp;U73,IF(V73=1,"✓ OK","")))</f>
        <v/>
      </c>
      <c r="R73" s="67">
        <f>IF(AND(B73="",C73="",D73="",G73="",F73=""),1,0)</f>
        <v/>
      </c>
      <c r="S73" s="68">
        <f>IF(AND(TaxOn="Yes",ISNUMBER(H73)),H73,0)</f>
        <v/>
      </c>
      <c r="T73" s="67">
        <f>IF(R73=1,"",IF(B73="","Enter a bill #",IF(D73="","Select a vendor",IF(C73="","Missing bill date",IF(NOT(ISNUMBER(C73)),"Invalid date",IF(OR(C73&lt;DATE(2000,1,1),C73&gt;DATE(2099,12,31)),"Invalid date",IF(F73="","Select an expense account",IF(ISNA(MATCH(F73,coa_Name,0)),"Unknown account: "&amp;F73,IF(NOT(ISNUMBER(G73)),"Enter an amount",IF(G73&lt;=0,"Amount must be positive",IF(S73&gt;G73,"Tax is larger than the amount","")))))))))))</f>
        <v/>
      </c>
      <c r="U73" s="67">
        <f>IF(OR(R73=1,T73&lt;&gt;""),"",IF(COUNTIFS(ap_No,B73,ap_Party,D73)&gt;1,"Duplicate bill #",IF(N(L73)&lt;0,"Overpaid by "&amp;TEXT(-L73,"#,##0.00"),IF(AND(ISNUMBER(H73),N(H73)&lt;&gt;0,S73=0),"Tax ignored (tax tracking is off)",IF(AND(ISNUMBER(StartDate),C73&lt;StartDate),"Date is before the accounting start date",IF(OR(IFERROR(INDEX(coa_Type,MATCH(F73,coa_Name,0)),"")="Revenue",IFERROR(INDEX(coa_Type,MATCH(F73,coa_Name,0)),"")="Other Income",IFERROR(INDEX(coa_Type,MATCH(F73,coa_Name,0)),"")="Equity"),"Account is not an expense or asset account",""))))))</f>
        <v/>
      </c>
      <c r="V73" s="67">
        <f>IF(AND(R73=0,T73=""),1,0)</f>
        <v/>
      </c>
      <c r="W73" s="67">
        <f>IF(V73=1,F73,"")</f>
        <v/>
      </c>
      <c r="X73" s="67">
        <f>IF(V73=1,acctAP,"")</f>
        <v/>
      </c>
      <c r="Y73" s="68">
        <f>IF(V73=1,G73-S73,0)</f>
        <v/>
      </c>
      <c r="Z73" s="68">
        <f>IF(V73=1,G73,0)</f>
        <v/>
      </c>
      <c r="AA73" s="68">
        <f>IF(V73=1,S73,0)</f>
        <v/>
      </c>
    </row>
    <row r="74">
      <c r="B74" s="62" t="n"/>
      <c r="C74" s="63" t="n"/>
      <c r="D74" s="62" t="n"/>
      <c r="E74" s="62" t="n"/>
      <c r="F74" s="62" t="n"/>
      <c r="G74" s="64" t="n"/>
      <c r="H74" s="64" t="n"/>
      <c r="I74" s="63" t="n"/>
      <c r="J74" s="29">
        <f>IF(V74=1,IF(ISNUMBER(I74),I74,C74+IF(ISNUMBER(IFERROR(INDEX(vend_Terms,MATCH(D74,vend_Name,0)),"")),INDEX(vend_Terms,MATCH(D74,vend_Name,0)),TermsDays)),"")</f>
        <v/>
      </c>
      <c r="K74" s="65">
        <f>IF(V74=1,SUMIFS(tx_CrAmt,tx_Type,"Bill Payment",tx_Ref,B74&amp;"",tx_Vend,D74,tx_Date,"&lt;="&amp;AsOf),"")</f>
        <v/>
      </c>
      <c r="L74" s="65">
        <f>IF(V74=1,IF(C74&gt;AsOf,0,ROUND(G74-K74,2)),"")</f>
        <v/>
      </c>
      <c r="M74" s="66">
        <f>IF(V74&lt;&gt;1,"",IF(C74&gt;AsOf,"Future",IF(L74&lt;0,"Overpaid",IF(L74=0,"Paid",IF(AsOf&gt;J74,"Overdue",IF(K74&gt;0,"Partial","Unpaid"))))))</f>
        <v/>
      </c>
      <c r="N74" s="28">
        <f>IF(AND(V74=1,N(L74)&gt;0),AsOf-C74,"")</f>
        <v/>
      </c>
      <c r="O74" s="28">
        <f>IF(N74="","",MAX(0,AsOf-J74))</f>
        <v/>
      </c>
      <c r="P74" s="66">
        <f>IF(O74="","",IF(O74=0,"Current",IF(O74&lt;=30,"1-30",IF(O74&lt;=60,"31-60",IF(O74&lt;=90,"61-90","90+")))))</f>
        <v/>
      </c>
      <c r="Q74" s="66">
        <f>IF(T74&lt;&gt;"","⛔ "&amp;T74&amp;" — not posted",IF(U74&lt;&gt;"","⚠ "&amp;U74,IF(V74=1,"✓ OK","")))</f>
        <v/>
      </c>
      <c r="R74" s="67">
        <f>IF(AND(B74="",C74="",D74="",G74="",F74=""),1,0)</f>
        <v/>
      </c>
      <c r="S74" s="68">
        <f>IF(AND(TaxOn="Yes",ISNUMBER(H74)),H74,0)</f>
        <v/>
      </c>
      <c r="T74" s="67">
        <f>IF(R74=1,"",IF(B74="","Enter a bill #",IF(D74="","Select a vendor",IF(C74="","Missing bill date",IF(NOT(ISNUMBER(C74)),"Invalid date",IF(OR(C74&lt;DATE(2000,1,1),C74&gt;DATE(2099,12,31)),"Invalid date",IF(F74="","Select an expense account",IF(ISNA(MATCH(F74,coa_Name,0)),"Unknown account: "&amp;F74,IF(NOT(ISNUMBER(G74)),"Enter an amount",IF(G74&lt;=0,"Amount must be positive",IF(S74&gt;G74,"Tax is larger than the amount","")))))))))))</f>
        <v/>
      </c>
      <c r="U74" s="67">
        <f>IF(OR(R74=1,T74&lt;&gt;""),"",IF(COUNTIFS(ap_No,B74,ap_Party,D74)&gt;1,"Duplicate bill #",IF(N(L74)&lt;0,"Overpaid by "&amp;TEXT(-L74,"#,##0.00"),IF(AND(ISNUMBER(H74),N(H74)&lt;&gt;0,S74=0),"Tax ignored (tax tracking is off)",IF(AND(ISNUMBER(StartDate),C74&lt;StartDate),"Date is before the accounting start date",IF(OR(IFERROR(INDEX(coa_Type,MATCH(F74,coa_Name,0)),"")="Revenue",IFERROR(INDEX(coa_Type,MATCH(F74,coa_Name,0)),"")="Other Income",IFERROR(INDEX(coa_Type,MATCH(F74,coa_Name,0)),"")="Equity"),"Account is not an expense or asset account",""))))))</f>
        <v/>
      </c>
      <c r="V74" s="67">
        <f>IF(AND(R74=0,T74=""),1,0)</f>
        <v/>
      </c>
      <c r="W74" s="67">
        <f>IF(V74=1,F74,"")</f>
        <v/>
      </c>
      <c r="X74" s="67">
        <f>IF(V74=1,acctAP,"")</f>
        <v/>
      </c>
      <c r="Y74" s="68">
        <f>IF(V74=1,G74-S74,0)</f>
        <v/>
      </c>
      <c r="Z74" s="68">
        <f>IF(V74=1,G74,0)</f>
        <v/>
      </c>
      <c r="AA74" s="68">
        <f>IF(V74=1,S74,0)</f>
        <v/>
      </c>
    </row>
    <row r="75">
      <c r="B75" s="62" t="n"/>
      <c r="C75" s="63" t="n"/>
      <c r="D75" s="62" t="n"/>
      <c r="E75" s="62" t="n"/>
      <c r="F75" s="62" t="n"/>
      <c r="G75" s="64" t="n"/>
      <c r="H75" s="64" t="n"/>
      <c r="I75" s="63" t="n"/>
      <c r="J75" s="29">
        <f>IF(V75=1,IF(ISNUMBER(I75),I75,C75+IF(ISNUMBER(IFERROR(INDEX(vend_Terms,MATCH(D75,vend_Name,0)),"")),INDEX(vend_Terms,MATCH(D75,vend_Name,0)),TermsDays)),"")</f>
        <v/>
      </c>
      <c r="K75" s="65">
        <f>IF(V75=1,SUMIFS(tx_CrAmt,tx_Type,"Bill Payment",tx_Ref,B75&amp;"",tx_Vend,D75,tx_Date,"&lt;="&amp;AsOf),"")</f>
        <v/>
      </c>
      <c r="L75" s="65">
        <f>IF(V75=1,IF(C75&gt;AsOf,0,ROUND(G75-K75,2)),"")</f>
        <v/>
      </c>
      <c r="M75" s="66">
        <f>IF(V75&lt;&gt;1,"",IF(C75&gt;AsOf,"Future",IF(L75&lt;0,"Overpaid",IF(L75=0,"Paid",IF(AsOf&gt;J75,"Overdue",IF(K75&gt;0,"Partial","Unpaid"))))))</f>
        <v/>
      </c>
      <c r="N75" s="28">
        <f>IF(AND(V75=1,N(L75)&gt;0),AsOf-C75,"")</f>
        <v/>
      </c>
      <c r="O75" s="28">
        <f>IF(N75="","",MAX(0,AsOf-J75))</f>
        <v/>
      </c>
      <c r="P75" s="66">
        <f>IF(O75="","",IF(O75=0,"Current",IF(O75&lt;=30,"1-30",IF(O75&lt;=60,"31-60",IF(O75&lt;=90,"61-90","90+")))))</f>
        <v/>
      </c>
      <c r="Q75" s="66">
        <f>IF(T75&lt;&gt;"","⛔ "&amp;T75&amp;" — not posted",IF(U75&lt;&gt;"","⚠ "&amp;U75,IF(V75=1,"✓ OK","")))</f>
        <v/>
      </c>
      <c r="R75" s="67">
        <f>IF(AND(B75="",C75="",D75="",G75="",F75=""),1,0)</f>
        <v/>
      </c>
      <c r="S75" s="68">
        <f>IF(AND(TaxOn="Yes",ISNUMBER(H75)),H75,0)</f>
        <v/>
      </c>
      <c r="T75" s="67">
        <f>IF(R75=1,"",IF(B75="","Enter a bill #",IF(D75="","Select a vendor",IF(C75="","Missing bill date",IF(NOT(ISNUMBER(C75)),"Invalid date",IF(OR(C75&lt;DATE(2000,1,1),C75&gt;DATE(2099,12,31)),"Invalid date",IF(F75="","Select an expense account",IF(ISNA(MATCH(F75,coa_Name,0)),"Unknown account: "&amp;F75,IF(NOT(ISNUMBER(G75)),"Enter an amount",IF(G75&lt;=0,"Amount must be positive",IF(S75&gt;G75,"Tax is larger than the amount","")))))))))))</f>
        <v/>
      </c>
      <c r="U75" s="67">
        <f>IF(OR(R75=1,T75&lt;&gt;""),"",IF(COUNTIFS(ap_No,B75,ap_Party,D75)&gt;1,"Duplicate bill #",IF(N(L75)&lt;0,"Overpaid by "&amp;TEXT(-L75,"#,##0.00"),IF(AND(ISNUMBER(H75),N(H75)&lt;&gt;0,S75=0),"Tax ignored (tax tracking is off)",IF(AND(ISNUMBER(StartDate),C75&lt;StartDate),"Date is before the accounting start date",IF(OR(IFERROR(INDEX(coa_Type,MATCH(F75,coa_Name,0)),"")="Revenue",IFERROR(INDEX(coa_Type,MATCH(F75,coa_Name,0)),"")="Other Income",IFERROR(INDEX(coa_Type,MATCH(F75,coa_Name,0)),"")="Equity"),"Account is not an expense or asset account",""))))))</f>
        <v/>
      </c>
      <c r="V75" s="67">
        <f>IF(AND(R75=0,T75=""),1,0)</f>
        <v/>
      </c>
      <c r="W75" s="67">
        <f>IF(V75=1,F75,"")</f>
        <v/>
      </c>
      <c r="X75" s="67">
        <f>IF(V75=1,acctAP,"")</f>
        <v/>
      </c>
      <c r="Y75" s="68">
        <f>IF(V75=1,G75-S75,0)</f>
        <v/>
      </c>
      <c r="Z75" s="68">
        <f>IF(V75=1,G75,0)</f>
        <v/>
      </c>
      <c r="AA75" s="68">
        <f>IF(V75=1,S75,0)</f>
        <v/>
      </c>
    </row>
    <row r="76">
      <c r="B76" s="62" t="n"/>
      <c r="C76" s="63" t="n"/>
      <c r="D76" s="62" t="n"/>
      <c r="E76" s="62" t="n"/>
      <c r="F76" s="62" t="n"/>
      <c r="G76" s="64" t="n"/>
      <c r="H76" s="64" t="n"/>
      <c r="I76" s="63" t="n"/>
      <c r="J76" s="29">
        <f>IF(V76=1,IF(ISNUMBER(I76),I76,C76+IF(ISNUMBER(IFERROR(INDEX(vend_Terms,MATCH(D76,vend_Name,0)),"")),INDEX(vend_Terms,MATCH(D76,vend_Name,0)),TermsDays)),"")</f>
        <v/>
      </c>
      <c r="K76" s="65">
        <f>IF(V76=1,SUMIFS(tx_CrAmt,tx_Type,"Bill Payment",tx_Ref,B76&amp;"",tx_Vend,D76,tx_Date,"&lt;="&amp;AsOf),"")</f>
        <v/>
      </c>
      <c r="L76" s="65">
        <f>IF(V76=1,IF(C76&gt;AsOf,0,ROUND(G76-K76,2)),"")</f>
        <v/>
      </c>
      <c r="M76" s="66">
        <f>IF(V76&lt;&gt;1,"",IF(C76&gt;AsOf,"Future",IF(L76&lt;0,"Overpaid",IF(L76=0,"Paid",IF(AsOf&gt;J76,"Overdue",IF(K76&gt;0,"Partial","Unpaid"))))))</f>
        <v/>
      </c>
      <c r="N76" s="28">
        <f>IF(AND(V76=1,N(L76)&gt;0),AsOf-C76,"")</f>
        <v/>
      </c>
      <c r="O76" s="28">
        <f>IF(N76="","",MAX(0,AsOf-J76))</f>
        <v/>
      </c>
      <c r="P76" s="66">
        <f>IF(O76="","",IF(O76=0,"Current",IF(O76&lt;=30,"1-30",IF(O76&lt;=60,"31-60",IF(O76&lt;=90,"61-90","90+")))))</f>
        <v/>
      </c>
      <c r="Q76" s="66">
        <f>IF(T76&lt;&gt;"","⛔ "&amp;T76&amp;" — not posted",IF(U76&lt;&gt;"","⚠ "&amp;U76,IF(V76=1,"✓ OK","")))</f>
        <v/>
      </c>
      <c r="R76" s="67">
        <f>IF(AND(B76="",C76="",D76="",G76="",F76=""),1,0)</f>
        <v/>
      </c>
      <c r="S76" s="68">
        <f>IF(AND(TaxOn="Yes",ISNUMBER(H76)),H76,0)</f>
        <v/>
      </c>
      <c r="T76" s="67">
        <f>IF(R76=1,"",IF(B76="","Enter a bill #",IF(D76="","Select a vendor",IF(C76="","Missing bill date",IF(NOT(ISNUMBER(C76)),"Invalid date",IF(OR(C76&lt;DATE(2000,1,1),C76&gt;DATE(2099,12,31)),"Invalid date",IF(F76="","Select an expense account",IF(ISNA(MATCH(F76,coa_Name,0)),"Unknown account: "&amp;F76,IF(NOT(ISNUMBER(G76)),"Enter an amount",IF(G76&lt;=0,"Amount must be positive",IF(S76&gt;G76,"Tax is larger than the amount","")))))))))))</f>
        <v/>
      </c>
      <c r="U76" s="67">
        <f>IF(OR(R76=1,T76&lt;&gt;""),"",IF(COUNTIFS(ap_No,B76,ap_Party,D76)&gt;1,"Duplicate bill #",IF(N(L76)&lt;0,"Overpaid by "&amp;TEXT(-L76,"#,##0.00"),IF(AND(ISNUMBER(H76),N(H76)&lt;&gt;0,S76=0),"Tax ignored (tax tracking is off)",IF(AND(ISNUMBER(StartDate),C76&lt;StartDate),"Date is before the accounting start date",IF(OR(IFERROR(INDEX(coa_Type,MATCH(F76,coa_Name,0)),"")="Revenue",IFERROR(INDEX(coa_Type,MATCH(F76,coa_Name,0)),"")="Other Income",IFERROR(INDEX(coa_Type,MATCH(F76,coa_Name,0)),"")="Equity"),"Account is not an expense or asset account",""))))))</f>
        <v/>
      </c>
      <c r="V76" s="67">
        <f>IF(AND(R76=0,T76=""),1,0)</f>
        <v/>
      </c>
      <c r="W76" s="67">
        <f>IF(V76=1,F76,"")</f>
        <v/>
      </c>
      <c r="X76" s="67">
        <f>IF(V76=1,acctAP,"")</f>
        <v/>
      </c>
      <c r="Y76" s="68">
        <f>IF(V76=1,G76-S76,0)</f>
        <v/>
      </c>
      <c r="Z76" s="68">
        <f>IF(V76=1,G76,0)</f>
        <v/>
      </c>
      <c r="AA76" s="68">
        <f>IF(V76=1,S76,0)</f>
        <v/>
      </c>
    </row>
    <row r="77">
      <c r="B77" s="62" t="n"/>
      <c r="C77" s="63" t="n"/>
      <c r="D77" s="62" t="n"/>
      <c r="E77" s="62" t="n"/>
      <c r="F77" s="62" t="n"/>
      <c r="G77" s="64" t="n"/>
      <c r="H77" s="64" t="n"/>
      <c r="I77" s="63" t="n"/>
      <c r="J77" s="29">
        <f>IF(V77=1,IF(ISNUMBER(I77),I77,C77+IF(ISNUMBER(IFERROR(INDEX(vend_Terms,MATCH(D77,vend_Name,0)),"")),INDEX(vend_Terms,MATCH(D77,vend_Name,0)),TermsDays)),"")</f>
        <v/>
      </c>
      <c r="K77" s="65">
        <f>IF(V77=1,SUMIFS(tx_CrAmt,tx_Type,"Bill Payment",tx_Ref,B77&amp;"",tx_Vend,D77,tx_Date,"&lt;="&amp;AsOf),"")</f>
        <v/>
      </c>
      <c r="L77" s="65">
        <f>IF(V77=1,IF(C77&gt;AsOf,0,ROUND(G77-K77,2)),"")</f>
        <v/>
      </c>
      <c r="M77" s="66">
        <f>IF(V77&lt;&gt;1,"",IF(C77&gt;AsOf,"Future",IF(L77&lt;0,"Overpaid",IF(L77=0,"Paid",IF(AsOf&gt;J77,"Overdue",IF(K77&gt;0,"Partial","Unpaid"))))))</f>
        <v/>
      </c>
      <c r="N77" s="28">
        <f>IF(AND(V77=1,N(L77)&gt;0),AsOf-C77,"")</f>
        <v/>
      </c>
      <c r="O77" s="28">
        <f>IF(N77="","",MAX(0,AsOf-J77))</f>
        <v/>
      </c>
      <c r="P77" s="66">
        <f>IF(O77="","",IF(O77=0,"Current",IF(O77&lt;=30,"1-30",IF(O77&lt;=60,"31-60",IF(O77&lt;=90,"61-90","90+")))))</f>
        <v/>
      </c>
      <c r="Q77" s="66">
        <f>IF(T77&lt;&gt;"","⛔ "&amp;T77&amp;" — not posted",IF(U77&lt;&gt;"","⚠ "&amp;U77,IF(V77=1,"✓ OK","")))</f>
        <v/>
      </c>
      <c r="R77" s="67">
        <f>IF(AND(B77="",C77="",D77="",G77="",F77=""),1,0)</f>
        <v/>
      </c>
      <c r="S77" s="68">
        <f>IF(AND(TaxOn="Yes",ISNUMBER(H77)),H77,0)</f>
        <v/>
      </c>
      <c r="T77" s="67">
        <f>IF(R77=1,"",IF(B77="","Enter a bill #",IF(D77="","Select a vendor",IF(C77="","Missing bill date",IF(NOT(ISNUMBER(C77)),"Invalid date",IF(OR(C77&lt;DATE(2000,1,1),C77&gt;DATE(2099,12,31)),"Invalid date",IF(F77="","Select an expense account",IF(ISNA(MATCH(F77,coa_Name,0)),"Unknown account: "&amp;F77,IF(NOT(ISNUMBER(G77)),"Enter an amount",IF(G77&lt;=0,"Amount must be positive",IF(S77&gt;G77,"Tax is larger than the amount","")))))))))))</f>
        <v/>
      </c>
      <c r="U77" s="67">
        <f>IF(OR(R77=1,T77&lt;&gt;""),"",IF(COUNTIFS(ap_No,B77,ap_Party,D77)&gt;1,"Duplicate bill #",IF(N(L77)&lt;0,"Overpaid by "&amp;TEXT(-L77,"#,##0.00"),IF(AND(ISNUMBER(H77),N(H77)&lt;&gt;0,S77=0),"Tax ignored (tax tracking is off)",IF(AND(ISNUMBER(StartDate),C77&lt;StartDate),"Date is before the accounting start date",IF(OR(IFERROR(INDEX(coa_Type,MATCH(F77,coa_Name,0)),"")="Revenue",IFERROR(INDEX(coa_Type,MATCH(F77,coa_Name,0)),"")="Other Income",IFERROR(INDEX(coa_Type,MATCH(F77,coa_Name,0)),"")="Equity"),"Account is not an expense or asset account",""))))))</f>
        <v/>
      </c>
      <c r="V77" s="67">
        <f>IF(AND(R77=0,T77=""),1,0)</f>
        <v/>
      </c>
      <c r="W77" s="67">
        <f>IF(V77=1,F77,"")</f>
        <v/>
      </c>
      <c r="X77" s="67">
        <f>IF(V77=1,acctAP,"")</f>
        <v/>
      </c>
      <c r="Y77" s="68">
        <f>IF(V77=1,G77-S77,0)</f>
        <v/>
      </c>
      <c r="Z77" s="68">
        <f>IF(V77=1,G77,0)</f>
        <v/>
      </c>
      <c r="AA77" s="68">
        <f>IF(V77=1,S77,0)</f>
        <v/>
      </c>
    </row>
    <row r="78">
      <c r="B78" s="62" t="n"/>
      <c r="C78" s="63" t="n"/>
      <c r="D78" s="62" t="n"/>
      <c r="E78" s="62" t="n"/>
      <c r="F78" s="62" t="n"/>
      <c r="G78" s="64" t="n"/>
      <c r="H78" s="64" t="n"/>
      <c r="I78" s="63" t="n"/>
      <c r="J78" s="29">
        <f>IF(V78=1,IF(ISNUMBER(I78),I78,C78+IF(ISNUMBER(IFERROR(INDEX(vend_Terms,MATCH(D78,vend_Name,0)),"")),INDEX(vend_Terms,MATCH(D78,vend_Name,0)),TermsDays)),"")</f>
        <v/>
      </c>
      <c r="K78" s="65">
        <f>IF(V78=1,SUMIFS(tx_CrAmt,tx_Type,"Bill Payment",tx_Ref,B78&amp;"",tx_Vend,D78,tx_Date,"&lt;="&amp;AsOf),"")</f>
        <v/>
      </c>
      <c r="L78" s="65">
        <f>IF(V78=1,IF(C78&gt;AsOf,0,ROUND(G78-K78,2)),"")</f>
        <v/>
      </c>
      <c r="M78" s="66">
        <f>IF(V78&lt;&gt;1,"",IF(C78&gt;AsOf,"Future",IF(L78&lt;0,"Overpaid",IF(L78=0,"Paid",IF(AsOf&gt;J78,"Overdue",IF(K78&gt;0,"Partial","Unpaid"))))))</f>
        <v/>
      </c>
      <c r="N78" s="28">
        <f>IF(AND(V78=1,N(L78)&gt;0),AsOf-C78,"")</f>
        <v/>
      </c>
      <c r="O78" s="28">
        <f>IF(N78="","",MAX(0,AsOf-J78))</f>
        <v/>
      </c>
      <c r="P78" s="66">
        <f>IF(O78="","",IF(O78=0,"Current",IF(O78&lt;=30,"1-30",IF(O78&lt;=60,"31-60",IF(O78&lt;=90,"61-90","90+")))))</f>
        <v/>
      </c>
      <c r="Q78" s="66">
        <f>IF(T78&lt;&gt;"","⛔ "&amp;T78&amp;" — not posted",IF(U78&lt;&gt;"","⚠ "&amp;U78,IF(V78=1,"✓ OK","")))</f>
        <v/>
      </c>
      <c r="R78" s="67">
        <f>IF(AND(B78="",C78="",D78="",G78="",F78=""),1,0)</f>
        <v/>
      </c>
      <c r="S78" s="68">
        <f>IF(AND(TaxOn="Yes",ISNUMBER(H78)),H78,0)</f>
        <v/>
      </c>
      <c r="T78" s="67">
        <f>IF(R78=1,"",IF(B78="","Enter a bill #",IF(D78="","Select a vendor",IF(C78="","Missing bill date",IF(NOT(ISNUMBER(C78)),"Invalid date",IF(OR(C78&lt;DATE(2000,1,1),C78&gt;DATE(2099,12,31)),"Invalid date",IF(F78="","Select an expense account",IF(ISNA(MATCH(F78,coa_Name,0)),"Unknown account: "&amp;F78,IF(NOT(ISNUMBER(G78)),"Enter an amount",IF(G78&lt;=0,"Amount must be positive",IF(S78&gt;G78,"Tax is larger than the amount","")))))))))))</f>
        <v/>
      </c>
      <c r="U78" s="67">
        <f>IF(OR(R78=1,T78&lt;&gt;""),"",IF(COUNTIFS(ap_No,B78,ap_Party,D78)&gt;1,"Duplicate bill #",IF(N(L78)&lt;0,"Overpaid by "&amp;TEXT(-L78,"#,##0.00"),IF(AND(ISNUMBER(H78),N(H78)&lt;&gt;0,S78=0),"Tax ignored (tax tracking is off)",IF(AND(ISNUMBER(StartDate),C78&lt;StartDate),"Date is before the accounting start date",IF(OR(IFERROR(INDEX(coa_Type,MATCH(F78,coa_Name,0)),"")="Revenue",IFERROR(INDEX(coa_Type,MATCH(F78,coa_Name,0)),"")="Other Income",IFERROR(INDEX(coa_Type,MATCH(F78,coa_Name,0)),"")="Equity"),"Account is not an expense or asset account",""))))))</f>
        <v/>
      </c>
      <c r="V78" s="67">
        <f>IF(AND(R78=0,T78=""),1,0)</f>
        <v/>
      </c>
      <c r="W78" s="67">
        <f>IF(V78=1,F78,"")</f>
        <v/>
      </c>
      <c r="X78" s="67">
        <f>IF(V78=1,acctAP,"")</f>
        <v/>
      </c>
      <c r="Y78" s="68">
        <f>IF(V78=1,G78-S78,0)</f>
        <v/>
      </c>
      <c r="Z78" s="68">
        <f>IF(V78=1,G78,0)</f>
        <v/>
      </c>
      <c r="AA78" s="68">
        <f>IF(V78=1,S78,0)</f>
        <v/>
      </c>
    </row>
    <row r="79">
      <c r="B79" s="62" t="n"/>
      <c r="C79" s="63" t="n"/>
      <c r="D79" s="62" t="n"/>
      <c r="E79" s="62" t="n"/>
      <c r="F79" s="62" t="n"/>
      <c r="G79" s="64" t="n"/>
      <c r="H79" s="64" t="n"/>
      <c r="I79" s="63" t="n"/>
      <c r="J79" s="29">
        <f>IF(V79=1,IF(ISNUMBER(I79),I79,C79+IF(ISNUMBER(IFERROR(INDEX(vend_Terms,MATCH(D79,vend_Name,0)),"")),INDEX(vend_Terms,MATCH(D79,vend_Name,0)),TermsDays)),"")</f>
        <v/>
      </c>
      <c r="K79" s="65">
        <f>IF(V79=1,SUMIFS(tx_CrAmt,tx_Type,"Bill Payment",tx_Ref,B79&amp;"",tx_Vend,D79,tx_Date,"&lt;="&amp;AsOf),"")</f>
        <v/>
      </c>
      <c r="L79" s="65">
        <f>IF(V79=1,IF(C79&gt;AsOf,0,ROUND(G79-K79,2)),"")</f>
        <v/>
      </c>
      <c r="M79" s="66">
        <f>IF(V79&lt;&gt;1,"",IF(C79&gt;AsOf,"Future",IF(L79&lt;0,"Overpaid",IF(L79=0,"Paid",IF(AsOf&gt;J79,"Overdue",IF(K79&gt;0,"Partial","Unpaid"))))))</f>
        <v/>
      </c>
      <c r="N79" s="28">
        <f>IF(AND(V79=1,N(L79)&gt;0),AsOf-C79,"")</f>
        <v/>
      </c>
      <c r="O79" s="28">
        <f>IF(N79="","",MAX(0,AsOf-J79))</f>
        <v/>
      </c>
      <c r="P79" s="66">
        <f>IF(O79="","",IF(O79=0,"Current",IF(O79&lt;=30,"1-30",IF(O79&lt;=60,"31-60",IF(O79&lt;=90,"61-90","90+")))))</f>
        <v/>
      </c>
      <c r="Q79" s="66">
        <f>IF(T79&lt;&gt;"","⛔ "&amp;T79&amp;" — not posted",IF(U79&lt;&gt;"","⚠ "&amp;U79,IF(V79=1,"✓ OK","")))</f>
        <v/>
      </c>
      <c r="R79" s="67">
        <f>IF(AND(B79="",C79="",D79="",G79="",F79=""),1,0)</f>
        <v/>
      </c>
      <c r="S79" s="68">
        <f>IF(AND(TaxOn="Yes",ISNUMBER(H79)),H79,0)</f>
        <v/>
      </c>
      <c r="T79" s="67">
        <f>IF(R79=1,"",IF(B79="","Enter a bill #",IF(D79="","Select a vendor",IF(C79="","Missing bill date",IF(NOT(ISNUMBER(C79)),"Invalid date",IF(OR(C79&lt;DATE(2000,1,1),C79&gt;DATE(2099,12,31)),"Invalid date",IF(F79="","Select an expense account",IF(ISNA(MATCH(F79,coa_Name,0)),"Unknown account: "&amp;F79,IF(NOT(ISNUMBER(G79)),"Enter an amount",IF(G79&lt;=0,"Amount must be positive",IF(S79&gt;G79,"Tax is larger than the amount","")))))))))))</f>
        <v/>
      </c>
      <c r="U79" s="67">
        <f>IF(OR(R79=1,T79&lt;&gt;""),"",IF(COUNTIFS(ap_No,B79,ap_Party,D79)&gt;1,"Duplicate bill #",IF(N(L79)&lt;0,"Overpaid by "&amp;TEXT(-L79,"#,##0.00"),IF(AND(ISNUMBER(H79),N(H79)&lt;&gt;0,S79=0),"Tax ignored (tax tracking is off)",IF(AND(ISNUMBER(StartDate),C79&lt;StartDate),"Date is before the accounting start date",IF(OR(IFERROR(INDEX(coa_Type,MATCH(F79,coa_Name,0)),"")="Revenue",IFERROR(INDEX(coa_Type,MATCH(F79,coa_Name,0)),"")="Other Income",IFERROR(INDEX(coa_Type,MATCH(F79,coa_Name,0)),"")="Equity"),"Account is not an expense or asset account",""))))))</f>
        <v/>
      </c>
      <c r="V79" s="67">
        <f>IF(AND(R79=0,T79=""),1,0)</f>
        <v/>
      </c>
      <c r="W79" s="67">
        <f>IF(V79=1,F79,"")</f>
        <v/>
      </c>
      <c r="X79" s="67">
        <f>IF(V79=1,acctAP,"")</f>
        <v/>
      </c>
      <c r="Y79" s="68">
        <f>IF(V79=1,G79-S79,0)</f>
        <v/>
      </c>
      <c r="Z79" s="68">
        <f>IF(V79=1,G79,0)</f>
        <v/>
      </c>
      <c r="AA79" s="68">
        <f>IF(V79=1,S79,0)</f>
        <v/>
      </c>
    </row>
    <row r="80">
      <c r="B80" s="62" t="n"/>
      <c r="C80" s="63" t="n"/>
      <c r="D80" s="62" t="n"/>
      <c r="E80" s="62" t="n"/>
      <c r="F80" s="62" t="n"/>
      <c r="G80" s="64" t="n"/>
      <c r="H80" s="64" t="n"/>
      <c r="I80" s="63" t="n"/>
      <c r="J80" s="29">
        <f>IF(V80=1,IF(ISNUMBER(I80),I80,C80+IF(ISNUMBER(IFERROR(INDEX(vend_Terms,MATCH(D80,vend_Name,0)),"")),INDEX(vend_Terms,MATCH(D80,vend_Name,0)),TermsDays)),"")</f>
        <v/>
      </c>
      <c r="K80" s="65">
        <f>IF(V80=1,SUMIFS(tx_CrAmt,tx_Type,"Bill Payment",tx_Ref,B80&amp;"",tx_Vend,D80,tx_Date,"&lt;="&amp;AsOf),"")</f>
        <v/>
      </c>
      <c r="L80" s="65">
        <f>IF(V80=1,IF(C80&gt;AsOf,0,ROUND(G80-K80,2)),"")</f>
        <v/>
      </c>
      <c r="M80" s="66">
        <f>IF(V80&lt;&gt;1,"",IF(C80&gt;AsOf,"Future",IF(L80&lt;0,"Overpaid",IF(L80=0,"Paid",IF(AsOf&gt;J80,"Overdue",IF(K80&gt;0,"Partial","Unpaid"))))))</f>
        <v/>
      </c>
      <c r="N80" s="28">
        <f>IF(AND(V80=1,N(L80)&gt;0),AsOf-C80,"")</f>
        <v/>
      </c>
      <c r="O80" s="28">
        <f>IF(N80="","",MAX(0,AsOf-J80))</f>
        <v/>
      </c>
      <c r="P80" s="66">
        <f>IF(O80="","",IF(O80=0,"Current",IF(O80&lt;=30,"1-30",IF(O80&lt;=60,"31-60",IF(O80&lt;=90,"61-90","90+")))))</f>
        <v/>
      </c>
      <c r="Q80" s="66">
        <f>IF(T80&lt;&gt;"","⛔ "&amp;T80&amp;" — not posted",IF(U80&lt;&gt;"","⚠ "&amp;U80,IF(V80=1,"✓ OK","")))</f>
        <v/>
      </c>
      <c r="R80" s="67">
        <f>IF(AND(B80="",C80="",D80="",G80="",F80=""),1,0)</f>
        <v/>
      </c>
      <c r="S80" s="68">
        <f>IF(AND(TaxOn="Yes",ISNUMBER(H80)),H80,0)</f>
        <v/>
      </c>
      <c r="T80" s="67">
        <f>IF(R80=1,"",IF(B80="","Enter a bill #",IF(D80="","Select a vendor",IF(C80="","Missing bill date",IF(NOT(ISNUMBER(C80)),"Invalid date",IF(OR(C80&lt;DATE(2000,1,1),C80&gt;DATE(2099,12,31)),"Invalid date",IF(F80="","Select an expense account",IF(ISNA(MATCH(F80,coa_Name,0)),"Unknown account: "&amp;F80,IF(NOT(ISNUMBER(G80)),"Enter an amount",IF(G80&lt;=0,"Amount must be positive",IF(S80&gt;G80,"Tax is larger than the amount","")))))))))))</f>
        <v/>
      </c>
      <c r="U80" s="67">
        <f>IF(OR(R80=1,T80&lt;&gt;""),"",IF(COUNTIFS(ap_No,B80,ap_Party,D80)&gt;1,"Duplicate bill #",IF(N(L80)&lt;0,"Overpaid by "&amp;TEXT(-L80,"#,##0.00"),IF(AND(ISNUMBER(H80),N(H80)&lt;&gt;0,S80=0),"Tax ignored (tax tracking is off)",IF(AND(ISNUMBER(StartDate),C80&lt;StartDate),"Date is before the accounting start date",IF(OR(IFERROR(INDEX(coa_Type,MATCH(F80,coa_Name,0)),"")="Revenue",IFERROR(INDEX(coa_Type,MATCH(F80,coa_Name,0)),"")="Other Income",IFERROR(INDEX(coa_Type,MATCH(F80,coa_Name,0)),"")="Equity"),"Account is not an expense or asset account",""))))))</f>
        <v/>
      </c>
      <c r="V80" s="67">
        <f>IF(AND(R80=0,T80=""),1,0)</f>
        <v/>
      </c>
      <c r="W80" s="67">
        <f>IF(V80=1,F80,"")</f>
        <v/>
      </c>
      <c r="X80" s="67">
        <f>IF(V80=1,acctAP,"")</f>
        <v/>
      </c>
      <c r="Y80" s="68">
        <f>IF(V80=1,G80-S80,0)</f>
        <v/>
      </c>
      <c r="Z80" s="68">
        <f>IF(V80=1,G80,0)</f>
        <v/>
      </c>
      <c r="AA80" s="68">
        <f>IF(V80=1,S80,0)</f>
        <v/>
      </c>
    </row>
    <row r="81">
      <c r="B81" s="62" t="n"/>
      <c r="C81" s="63" t="n"/>
      <c r="D81" s="62" t="n"/>
      <c r="E81" s="62" t="n"/>
      <c r="F81" s="62" t="n"/>
      <c r="G81" s="64" t="n"/>
      <c r="H81" s="64" t="n"/>
      <c r="I81" s="63" t="n"/>
      <c r="J81" s="29">
        <f>IF(V81=1,IF(ISNUMBER(I81),I81,C81+IF(ISNUMBER(IFERROR(INDEX(vend_Terms,MATCH(D81,vend_Name,0)),"")),INDEX(vend_Terms,MATCH(D81,vend_Name,0)),TermsDays)),"")</f>
        <v/>
      </c>
      <c r="K81" s="65">
        <f>IF(V81=1,SUMIFS(tx_CrAmt,tx_Type,"Bill Payment",tx_Ref,B81&amp;"",tx_Vend,D81,tx_Date,"&lt;="&amp;AsOf),"")</f>
        <v/>
      </c>
      <c r="L81" s="65">
        <f>IF(V81=1,IF(C81&gt;AsOf,0,ROUND(G81-K81,2)),"")</f>
        <v/>
      </c>
      <c r="M81" s="66">
        <f>IF(V81&lt;&gt;1,"",IF(C81&gt;AsOf,"Future",IF(L81&lt;0,"Overpaid",IF(L81=0,"Paid",IF(AsOf&gt;J81,"Overdue",IF(K81&gt;0,"Partial","Unpaid"))))))</f>
        <v/>
      </c>
      <c r="N81" s="28">
        <f>IF(AND(V81=1,N(L81)&gt;0),AsOf-C81,"")</f>
        <v/>
      </c>
      <c r="O81" s="28">
        <f>IF(N81="","",MAX(0,AsOf-J81))</f>
        <v/>
      </c>
      <c r="P81" s="66">
        <f>IF(O81="","",IF(O81=0,"Current",IF(O81&lt;=30,"1-30",IF(O81&lt;=60,"31-60",IF(O81&lt;=90,"61-90","90+")))))</f>
        <v/>
      </c>
      <c r="Q81" s="66">
        <f>IF(T81&lt;&gt;"","⛔ "&amp;T81&amp;" — not posted",IF(U81&lt;&gt;"","⚠ "&amp;U81,IF(V81=1,"✓ OK","")))</f>
        <v/>
      </c>
      <c r="R81" s="67">
        <f>IF(AND(B81="",C81="",D81="",G81="",F81=""),1,0)</f>
        <v/>
      </c>
      <c r="S81" s="68">
        <f>IF(AND(TaxOn="Yes",ISNUMBER(H81)),H81,0)</f>
        <v/>
      </c>
      <c r="T81" s="67">
        <f>IF(R81=1,"",IF(B81="","Enter a bill #",IF(D81="","Select a vendor",IF(C81="","Missing bill date",IF(NOT(ISNUMBER(C81)),"Invalid date",IF(OR(C81&lt;DATE(2000,1,1),C81&gt;DATE(2099,12,31)),"Invalid date",IF(F81="","Select an expense account",IF(ISNA(MATCH(F81,coa_Name,0)),"Unknown account: "&amp;F81,IF(NOT(ISNUMBER(G81)),"Enter an amount",IF(G81&lt;=0,"Amount must be positive",IF(S81&gt;G81,"Tax is larger than the amount","")))))))))))</f>
        <v/>
      </c>
      <c r="U81" s="67">
        <f>IF(OR(R81=1,T81&lt;&gt;""),"",IF(COUNTIFS(ap_No,B81,ap_Party,D81)&gt;1,"Duplicate bill #",IF(N(L81)&lt;0,"Overpaid by "&amp;TEXT(-L81,"#,##0.00"),IF(AND(ISNUMBER(H81),N(H81)&lt;&gt;0,S81=0),"Tax ignored (tax tracking is off)",IF(AND(ISNUMBER(StartDate),C81&lt;StartDate),"Date is before the accounting start date",IF(OR(IFERROR(INDEX(coa_Type,MATCH(F81,coa_Name,0)),"")="Revenue",IFERROR(INDEX(coa_Type,MATCH(F81,coa_Name,0)),"")="Other Income",IFERROR(INDEX(coa_Type,MATCH(F81,coa_Name,0)),"")="Equity"),"Account is not an expense or asset account",""))))))</f>
        <v/>
      </c>
      <c r="V81" s="67">
        <f>IF(AND(R81=0,T81=""),1,0)</f>
        <v/>
      </c>
      <c r="W81" s="67">
        <f>IF(V81=1,F81,"")</f>
        <v/>
      </c>
      <c r="X81" s="67">
        <f>IF(V81=1,acctAP,"")</f>
        <v/>
      </c>
      <c r="Y81" s="68">
        <f>IF(V81=1,G81-S81,0)</f>
        <v/>
      </c>
      <c r="Z81" s="68">
        <f>IF(V81=1,G81,0)</f>
        <v/>
      </c>
      <c r="AA81" s="68">
        <f>IF(V81=1,S81,0)</f>
        <v/>
      </c>
    </row>
    <row r="82">
      <c r="B82" s="62" t="n"/>
      <c r="C82" s="63" t="n"/>
      <c r="D82" s="62" t="n"/>
      <c r="E82" s="62" t="n"/>
      <c r="F82" s="62" t="n"/>
      <c r="G82" s="64" t="n"/>
      <c r="H82" s="64" t="n"/>
      <c r="I82" s="63" t="n"/>
      <c r="J82" s="29">
        <f>IF(V82=1,IF(ISNUMBER(I82),I82,C82+IF(ISNUMBER(IFERROR(INDEX(vend_Terms,MATCH(D82,vend_Name,0)),"")),INDEX(vend_Terms,MATCH(D82,vend_Name,0)),TermsDays)),"")</f>
        <v/>
      </c>
      <c r="K82" s="65">
        <f>IF(V82=1,SUMIFS(tx_CrAmt,tx_Type,"Bill Payment",tx_Ref,B82&amp;"",tx_Vend,D82,tx_Date,"&lt;="&amp;AsOf),"")</f>
        <v/>
      </c>
      <c r="L82" s="65">
        <f>IF(V82=1,IF(C82&gt;AsOf,0,ROUND(G82-K82,2)),"")</f>
        <v/>
      </c>
      <c r="M82" s="66">
        <f>IF(V82&lt;&gt;1,"",IF(C82&gt;AsOf,"Future",IF(L82&lt;0,"Overpaid",IF(L82=0,"Paid",IF(AsOf&gt;J82,"Overdue",IF(K82&gt;0,"Partial","Unpaid"))))))</f>
        <v/>
      </c>
      <c r="N82" s="28">
        <f>IF(AND(V82=1,N(L82)&gt;0),AsOf-C82,"")</f>
        <v/>
      </c>
      <c r="O82" s="28">
        <f>IF(N82="","",MAX(0,AsOf-J82))</f>
        <v/>
      </c>
      <c r="P82" s="66">
        <f>IF(O82="","",IF(O82=0,"Current",IF(O82&lt;=30,"1-30",IF(O82&lt;=60,"31-60",IF(O82&lt;=90,"61-90","90+")))))</f>
        <v/>
      </c>
      <c r="Q82" s="66">
        <f>IF(T82&lt;&gt;"","⛔ "&amp;T82&amp;" — not posted",IF(U82&lt;&gt;"","⚠ "&amp;U82,IF(V82=1,"✓ OK","")))</f>
        <v/>
      </c>
      <c r="R82" s="67">
        <f>IF(AND(B82="",C82="",D82="",G82="",F82=""),1,0)</f>
        <v/>
      </c>
      <c r="S82" s="68">
        <f>IF(AND(TaxOn="Yes",ISNUMBER(H82)),H82,0)</f>
        <v/>
      </c>
      <c r="T82" s="67">
        <f>IF(R82=1,"",IF(B82="","Enter a bill #",IF(D82="","Select a vendor",IF(C82="","Missing bill date",IF(NOT(ISNUMBER(C82)),"Invalid date",IF(OR(C82&lt;DATE(2000,1,1),C82&gt;DATE(2099,12,31)),"Invalid date",IF(F82="","Select an expense account",IF(ISNA(MATCH(F82,coa_Name,0)),"Unknown account: "&amp;F82,IF(NOT(ISNUMBER(G82)),"Enter an amount",IF(G82&lt;=0,"Amount must be positive",IF(S82&gt;G82,"Tax is larger than the amount","")))))))))))</f>
        <v/>
      </c>
      <c r="U82" s="67">
        <f>IF(OR(R82=1,T82&lt;&gt;""),"",IF(COUNTIFS(ap_No,B82,ap_Party,D82)&gt;1,"Duplicate bill #",IF(N(L82)&lt;0,"Overpaid by "&amp;TEXT(-L82,"#,##0.00"),IF(AND(ISNUMBER(H82),N(H82)&lt;&gt;0,S82=0),"Tax ignored (tax tracking is off)",IF(AND(ISNUMBER(StartDate),C82&lt;StartDate),"Date is before the accounting start date",IF(OR(IFERROR(INDEX(coa_Type,MATCH(F82,coa_Name,0)),"")="Revenue",IFERROR(INDEX(coa_Type,MATCH(F82,coa_Name,0)),"")="Other Income",IFERROR(INDEX(coa_Type,MATCH(F82,coa_Name,0)),"")="Equity"),"Account is not an expense or asset account",""))))))</f>
        <v/>
      </c>
      <c r="V82" s="67">
        <f>IF(AND(R82=0,T82=""),1,0)</f>
        <v/>
      </c>
      <c r="W82" s="67">
        <f>IF(V82=1,F82,"")</f>
        <v/>
      </c>
      <c r="X82" s="67">
        <f>IF(V82=1,acctAP,"")</f>
        <v/>
      </c>
      <c r="Y82" s="68">
        <f>IF(V82=1,G82-S82,0)</f>
        <v/>
      </c>
      <c r="Z82" s="68">
        <f>IF(V82=1,G82,0)</f>
        <v/>
      </c>
      <c r="AA82" s="68">
        <f>IF(V82=1,S82,0)</f>
        <v/>
      </c>
    </row>
    <row r="83">
      <c r="B83" s="62" t="n"/>
      <c r="C83" s="63" t="n"/>
      <c r="D83" s="62" t="n"/>
      <c r="E83" s="62" t="n"/>
      <c r="F83" s="62" t="n"/>
      <c r="G83" s="64" t="n"/>
      <c r="H83" s="64" t="n"/>
      <c r="I83" s="63" t="n"/>
      <c r="J83" s="29">
        <f>IF(V83=1,IF(ISNUMBER(I83),I83,C83+IF(ISNUMBER(IFERROR(INDEX(vend_Terms,MATCH(D83,vend_Name,0)),"")),INDEX(vend_Terms,MATCH(D83,vend_Name,0)),TermsDays)),"")</f>
        <v/>
      </c>
      <c r="K83" s="65">
        <f>IF(V83=1,SUMIFS(tx_CrAmt,tx_Type,"Bill Payment",tx_Ref,B83&amp;"",tx_Vend,D83,tx_Date,"&lt;="&amp;AsOf),"")</f>
        <v/>
      </c>
      <c r="L83" s="65">
        <f>IF(V83=1,IF(C83&gt;AsOf,0,ROUND(G83-K83,2)),"")</f>
        <v/>
      </c>
      <c r="M83" s="66">
        <f>IF(V83&lt;&gt;1,"",IF(C83&gt;AsOf,"Future",IF(L83&lt;0,"Overpaid",IF(L83=0,"Paid",IF(AsOf&gt;J83,"Overdue",IF(K83&gt;0,"Partial","Unpaid"))))))</f>
        <v/>
      </c>
      <c r="N83" s="28">
        <f>IF(AND(V83=1,N(L83)&gt;0),AsOf-C83,"")</f>
        <v/>
      </c>
      <c r="O83" s="28">
        <f>IF(N83="","",MAX(0,AsOf-J83))</f>
        <v/>
      </c>
      <c r="P83" s="66">
        <f>IF(O83="","",IF(O83=0,"Current",IF(O83&lt;=30,"1-30",IF(O83&lt;=60,"31-60",IF(O83&lt;=90,"61-90","90+")))))</f>
        <v/>
      </c>
      <c r="Q83" s="66">
        <f>IF(T83&lt;&gt;"","⛔ "&amp;T83&amp;" — not posted",IF(U83&lt;&gt;"","⚠ "&amp;U83,IF(V83=1,"✓ OK","")))</f>
        <v/>
      </c>
      <c r="R83" s="67">
        <f>IF(AND(B83="",C83="",D83="",G83="",F83=""),1,0)</f>
        <v/>
      </c>
      <c r="S83" s="68">
        <f>IF(AND(TaxOn="Yes",ISNUMBER(H83)),H83,0)</f>
        <v/>
      </c>
      <c r="T83" s="67">
        <f>IF(R83=1,"",IF(B83="","Enter a bill #",IF(D83="","Select a vendor",IF(C83="","Missing bill date",IF(NOT(ISNUMBER(C83)),"Invalid date",IF(OR(C83&lt;DATE(2000,1,1),C83&gt;DATE(2099,12,31)),"Invalid date",IF(F83="","Select an expense account",IF(ISNA(MATCH(F83,coa_Name,0)),"Unknown account: "&amp;F83,IF(NOT(ISNUMBER(G83)),"Enter an amount",IF(G83&lt;=0,"Amount must be positive",IF(S83&gt;G83,"Tax is larger than the amount","")))))))))))</f>
        <v/>
      </c>
      <c r="U83" s="67">
        <f>IF(OR(R83=1,T83&lt;&gt;""),"",IF(COUNTIFS(ap_No,B83,ap_Party,D83)&gt;1,"Duplicate bill #",IF(N(L83)&lt;0,"Overpaid by "&amp;TEXT(-L83,"#,##0.00"),IF(AND(ISNUMBER(H83),N(H83)&lt;&gt;0,S83=0),"Tax ignored (tax tracking is off)",IF(AND(ISNUMBER(StartDate),C83&lt;StartDate),"Date is before the accounting start date",IF(OR(IFERROR(INDEX(coa_Type,MATCH(F83,coa_Name,0)),"")="Revenue",IFERROR(INDEX(coa_Type,MATCH(F83,coa_Name,0)),"")="Other Income",IFERROR(INDEX(coa_Type,MATCH(F83,coa_Name,0)),"")="Equity"),"Account is not an expense or asset account",""))))))</f>
        <v/>
      </c>
      <c r="V83" s="67">
        <f>IF(AND(R83=0,T83=""),1,0)</f>
        <v/>
      </c>
      <c r="W83" s="67">
        <f>IF(V83=1,F83,"")</f>
        <v/>
      </c>
      <c r="X83" s="67">
        <f>IF(V83=1,acctAP,"")</f>
        <v/>
      </c>
      <c r="Y83" s="68">
        <f>IF(V83=1,G83-S83,0)</f>
        <v/>
      </c>
      <c r="Z83" s="68">
        <f>IF(V83=1,G83,0)</f>
        <v/>
      </c>
      <c r="AA83" s="68">
        <f>IF(V83=1,S83,0)</f>
        <v/>
      </c>
    </row>
    <row r="84">
      <c r="B84" s="62" t="n"/>
      <c r="C84" s="63" t="n"/>
      <c r="D84" s="62" t="n"/>
      <c r="E84" s="62" t="n"/>
      <c r="F84" s="62" t="n"/>
      <c r="G84" s="64" t="n"/>
      <c r="H84" s="64" t="n"/>
      <c r="I84" s="63" t="n"/>
      <c r="J84" s="29">
        <f>IF(V84=1,IF(ISNUMBER(I84),I84,C84+IF(ISNUMBER(IFERROR(INDEX(vend_Terms,MATCH(D84,vend_Name,0)),"")),INDEX(vend_Terms,MATCH(D84,vend_Name,0)),TermsDays)),"")</f>
        <v/>
      </c>
      <c r="K84" s="65">
        <f>IF(V84=1,SUMIFS(tx_CrAmt,tx_Type,"Bill Payment",tx_Ref,B84&amp;"",tx_Vend,D84,tx_Date,"&lt;="&amp;AsOf),"")</f>
        <v/>
      </c>
      <c r="L84" s="65">
        <f>IF(V84=1,IF(C84&gt;AsOf,0,ROUND(G84-K84,2)),"")</f>
        <v/>
      </c>
      <c r="M84" s="66">
        <f>IF(V84&lt;&gt;1,"",IF(C84&gt;AsOf,"Future",IF(L84&lt;0,"Overpaid",IF(L84=0,"Paid",IF(AsOf&gt;J84,"Overdue",IF(K84&gt;0,"Partial","Unpaid"))))))</f>
        <v/>
      </c>
      <c r="N84" s="28">
        <f>IF(AND(V84=1,N(L84)&gt;0),AsOf-C84,"")</f>
        <v/>
      </c>
      <c r="O84" s="28">
        <f>IF(N84="","",MAX(0,AsOf-J84))</f>
        <v/>
      </c>
      <c r="P84" s="66">
        <f>IF(O84="","",IF(O84=0,"Current",IF(O84&lt;=30,"1-30",IF(O84&lt;=60,"31-60",IF(O84&lt;=90,"61-90","90+")))))</f>
        <v/>
      </c>
      <c r="Q84" s="66">
        <f>IF(T84&lt;&gt;"","⛔ "&amp;T84&amp;" — not posted",IF(U84&lt;&gt;"","⚠ "&amp;U84,IF(V84=1,"✓ OK","")))</f>
        <v/>
      </c>
      <c r="R84" s="67">
        <f>IF(AND(B84="",C84="",D84="",G84="",F84=""),1,0)</f>
        <v/>
      </c>
      <c r="S84" s="68">
        <f>IF(AND(TaxOn="Yes",ISNUMBER(H84)),H84,0)</f>
        <v/>
      </c>
      <c r="T84" s="67">
        <f>IF(R84=1,"",IF(B84="","Enter a bill #",IF(D84="","Select a vendor",IF(C84="","Missing bill date",IF(NOT(ISNUMBER(C84)),"Invalid date",IF(OR(C84&lt;DATE(2000,1,1),C84&gt;DATE(2099,12,31)),"Invalid date",IF(F84="","Select an expense account",IF(ISNA(MATCH(F84,coa_Name,0)),"Unknown account: "&amp;F84,IF(NOT(ISNUMBER(G84)),"Enter an amount",IF(G84&lt;=0,"Amount must be positive",IF(S84&gt;G84,"Tax is larger than the amount","")))))))))))</f>
        <v/>
      </c>
      <c r="U84" s="67">
        <f>IF(OR(R84=1,T84&lt;&gt;""),"",IF(COUNTIFS(ap_No,B84,ap_Party,D84)&gt;1,"Duplicate bill #",IF(N(L84)&lt;0,"Overpaid by "&amp;TEXT(-L84,"#,##0.00"),IF(AND(ISNUMBER(H84),N(H84)&lt;&gt;0,S84=0),"Tax ignored (tax tracking is off)",IF(AND(ISNUMBER(StartDate),C84&lt;StartDate),"Date is before the accounting start date",IF(OR(IFERROR(INDEX(coa_Type,MATCH(F84,coa_Name,0)),"")="Revenue",IFERROR(INDEX(coa_Type,MATCH(F84,coa_Name,0)),"")="Other Income",IFERROR(INDEX(coa_Type,MATCH(F84,coa_Name,0)),"")="Equity"),"Account is not an expense or asset account",""))))))</f>
        <v/>
      </c>
      <c r="V84" s="67">
        <f>IF(AND(R84=0,T84=""),1,0)</f>
        <v/>
      </c>
      <c r="W84" s="67">
        <f>IF(V84=1,F84,"")</f>
        <v/>
      </c>
      <c r="X84" s="67">
        <f>IF(V84=1,acctAP,"")</f>
        <v/>
      </c>
      <c r="Y84" s="68">
        <f>IF(V84=1,G84-S84,0)</f>
        <v/>
      </c>
      <c r="Z84" s="68">
        <f>IF(V84=1,G84,0)</f>
        <v/>
      </c>
      <c r="AA84" s="68">
        <f>IF(V84=1,S84,0)</f>
        <v/>
      </c>
    </row>
    <row r="85">
      <c r="B85" s="62" t="n"/>
      <c r="C85" s="63" t="n"/>
      <c r="D85" s="62" t="n"/>
      <c r="E85" s="62" t="n"/>
      <c r="F85" s="62" t="n"/>
      <c r="G85" s="64" t="n"/>
      <c r="H85" s="64" t="n"/>
      <c r="I85" s="63" t="n"/>
      <c r="J85" s="29">
        <f>IF(V85=1,IF(ISNUMBER(I85),I85,C85+IF(ISNUMBER(IFERROR(INDEX(vend_Terms,MATCH(D85,vend_Name,0)),"")),INDEX(vend_Terms,MATCH(D85,vend_Name,0)),TermsDays)),"")</f>
        <v/>
      </c>
      <c r="K85" s="65">
        <f>IF(V85=1,SUMIFS(tx_CrAmt,tx_Type,"Bill Payment",tx_Ref,B85&amp;"",tx_Vend,D85,tx_Date,"&lt;="&amp;AsOf),"")</f>
        <v/>
      </c>
      <c r="L85" s="65">
        <f>IF(V85=1,IF(C85&gt;AsOf,0,ROUND(G85-K85,2)),"")</f>
        <v/>
      </c>
      <c r="M85" s="66">
        <f>IF(V85&lt;&gt;1,"",IF(C85&gt;AsOf,"Future",IF(L85&lt;0,"Overpaid",IF(L85=0,"Paid",IF(AsOf&gt;J85,"Overdue",IF(K85&gt;0,"Partial","Unpaid"))))))</f>
        <v/>
      </c>
      <c r="N85" s="28">
        <f>IF(AND(V85=1,N(L85)&gt;0),AsOf-C85,"")</f>
        <v/>
      </c>
      <c r="O85" s="28">
        <f>IF(N85="","",MAX(0,AsOf-J85))</f>
        <v/>
      </c>
      <c r="P85" s="66">
        <f>IF(O85="","",IF(O85=0,"Current",IF(O85&lt;=30,"1-30",IF(O85&lt;=60,"31-60",IF(O85&lt;=90,"61-90","90+")))))</f>
        <v/>
      </c>
      <c r="Q85" s="66">
        <f>IF(T85&lt;&gt;"","⛔ "&amp;T85&amp;" — not posted",IF(U85&lt;&gt;"","⚠ "&amp;U85,IF(V85=1,"✓ OK","")))</f>
        <v/>
      </c>
      <c r="R85" s="67">
        <f>IF(AND(B85="",C85="",D85="",G85="",F85=""),1,0)</f>
        <v/>
      </c>
      <c r="S85" s="68">
        <f>IF(AND(TaxOn="Yes",ISNUMBER(H85)),H85,0)</f>
        <v/>
      </c>
      <c r="T85" s="67">
        <f>IF(R85=1,"",IF(B85="","Enter a bill #",IF(D85="","Select a vendor",IF(C85="","Missing bill date",IF(NOT(ISNUMBER(C85)),"Invalid date",IF(OR(C85&lt;DATE(2000,1,1),C85&gt;DATE(2099,12,31)),"Invalid date",IF(F85="","Select an expense account",IF(ISNA(MATCH(F85,coa_Name,0)),"Unknown account: "&amp;F85,IF(NOT(ISNUMBER(G85)),"Enter an amount",IF(G85&lt;=0,"Amount must be positive",IF(S85&gt;G85,"Tax is larger than the amount","")))))))))))</f>
        <v/>
      </c>
      <c r="U85" s="67">
        <f>IF(OR(R85=1,T85&lt;&gt;""),"",IF(COUNTIFS(ap_No,B85,ap_Party,D85)&gt;1,"Duplicate bill #",IF(N(L85)&lt;0,"Overpaid by "&amp;TEXT(-L85,"#,##0.00"),IF(AND(ISNUMBER(H85),N(H85)&lt;&gt;0,S85=0),"Tax ignored (tax tracking is off)",IF(AND(ISNUMBER(StartDate),C85&lt;StartDate),"Date is before the accounting start date",IF(OR(IFERROR(INDEX(coa_Type,MATCH(F85,coa_Name,0)),"")="Revenue",IFERROR(INDEX(coa_Type,MATCH(F85,coa_Name,0)),"")="Other Income",IFERROR(INDEX(coa_Type,MATCH(F85,coa_Name,0)),"")="Equity"),"Account is not an expense or asset account",""))))))</f>
        <v/>
      </c>
      <c r="V85" s="67">
        <f>IF(AND(R85=0,T85=""),1,0)</f>
        <v/>
      </c>
      <c r="W85" s="67">
        <f>IF(V85=1,F85,"")</f>
        <v/>
      </c>
      <c r="X85" s="67">
        <f>IF(V85=1,acctAP,"")</f>
        <v/>
      </c>
      <c r="Y85" s="68">
        <f>IF(V85=1,G85-S85,0)</f>
        <v/>
      </c>
      <c r="Z85" s="68">
        <f>IF(V85=1,G85,0)</f>
        <v/>
      </c>
      <c r="AA85" s="68">
        <f>IF(V85=1,S85,0)</f>
        <v/>
      </c>
    </row>
    <row r="86">
      <c r="B86" s="62" t="n"/>
      <c r="C86" s="63" t="n"/>
      <c r="D86" s="62" t="n"/>
      <c r="E86" s="62" t="n"/>
      <c r="F86" s="62" t="n"/>
      <c r="G86" s="64" t="n"/>
      <c r="H86" s="64" t="n"/>
      <c r="I86" s="63" t="n"/>
      <c r="J86" s="29">
        <f>IF(V86=1,IF(ISNUMBER(I86),I86,C86+IF(ISNUMBER(IFERROR(INDEX(vend_Terms,MATCH(D86,vend_Name,0)),"")),INDEX(vend_Terms,MATCH(D86,vend_Name,0)),TermsDays)),"")</f>
        <v/>
      </c>
      <c r="K86" s="65">
        <f>IF(V86=1,SUMIFS(tx_CrAmt,tx_Type,"Bill Payment",tx_Ref,B86&amp;"",tx_Vend,D86,tx_Date,"&lt;="&amp;AsOf),"")</f>
        <v/>
      </c>
      <c r="L86" s="65">
        <f>IF(V86=1,IF(C86&gt;AsOf,0,ROUND(G86-K86,2)),"")</f>
        <v/>
      </c>
      <c r="M86" s="66">
        <f>IF(V86&lt;&gt;1,"",IF(C86&gt;AsOf,"Future",IF(L86&lt;0,"Overpaid",IF(L86=0,"Paid",IF(AsOf&gt;J86,"Overdue",IF(K86&gt;0,"Partial","Unpaid"))))))</f>
        <v/>
      </c>
      <c r="N86" s="28">
        <f>IF(AND(V86=1,N(L86)&gt;0),AsOf-C86,"")</f>
        <v/>
      </c>
      <c r="O86" s="28">
        <f>IF(N86="","",MAX(0,AsOf-J86))</f>
        <v/>
      </c>
      <c r="P86" s="66">
        <f>IF(O86="","",IF(O86=0,"Current",IF(O86&lt;=30,"1-30",IF(O86&lt;=60,"31-60",IF(O86&lt;=90,"61-90","90+")))))</f>
        <v/>
      </c>
      <c r="Q86" s="66">
        <f>IF(T86&lt;&gt;"","⛔ "&amp;T86&amp;" — not posted",IF(U86&lt;&gt;"","⚠ "&amp;U86,IF(V86=1,"✓ OK","")))</f>
        <v/>
      </c>
      <c r="R86" s="67">
        <f>IF(AND(B86="",C86="",D86="",G86="",F86=""),1,0)</f>
        <v/>
      </c>
      <c r="S86" s="68">
        <f>IF(AND(TaxOn="Yes",ISNUMBER(H86)),H86,0)</f>
        <v/>
      </c>
      <c r="T86" s="67">
        <f>IF(R86=1,"",IF(B86="","Enter a bill #",IF(D86="","Select a vendor",IF(C86="","Missing bill date",IF(NOT(ISNUMBER(C86)),"Invalid date",IF(OR(C86&lt;DATE(2000,1,1),C86&gt;DATE(2099,12,31)),"Invalid date",IF(F86="","Select an expense account",IF(ISNA(MATCH(F86,coa_Name,0)),"Unknown account: "&amp;F86,IF(NOT(ISNUMBER(G86)),"Enter an amount",IF(G86&lt;=0,"Amount must be positive",IF(S86&gt;G86,"Tax is larger than the amount","")))))))))))</f>
        <v/>
      </c>
      <c r="U86" s="67">
        <f>IF(OR(R86=1,T86&lt;&gt;""),"",IF(COUNTIFS(ap_No,B86,ap_Party,D86)&gt;1,"Duplicate bill #",IF(N(L86)&lt;0,"Overpaid by "&amp;TEXT(-L86,"#,##0.00"),IF(AND(ISNUMBER(H86),N(H86)&lt;&gt;0,S86=0),"Tax ignored (tax tracking is off)",IF(AND(ISNUMBER(StartDate),C86&lt;StartDate),"Date is before the accounting start date",IF(OR(IFERROR(INDEX(coa_Type,MATCH(F86,coa_Name,0)),"")="Revenue",IFERROR(INDEX(coa_Type,MATCH(F86,coa_Name,0)),"")="Other Income",IFERROR(INDEX(coa_Type,MATCH(F86,coa_Name,0)),"")="Equity"),"Account is not an expense or asset account",""))))))</f>
        <v/>
      </c>
      <c r="V86" s="67">
        <f>IF(AND(R86=0,T86=""),1,0)</f>
        <v/>
      </c>
      <c r="W86" s="67">
        <f>IF(V86=1,F86,"")</f>
        <v/>
      </c>
      <c r="X86" s="67">
        <f>IF(V86=1,acctAP,"")</f>
        <v/>
      </c>
      <c r="Y86" s="68">
        <f>IF(V86=1,G86-S86,0)</f>
        <v/>
      </c>
      <c r="Z86" s="68">
        <f>IF(V86=1,G86,0)</f>
        <v/>
      </c>
      <c r="AA86" s="68">
        <f>IF(V86=1,S86,0)</f>
        <v/>
      </c>
    </row>
    <row r="87">
      <c r="B87" s="62" t="n"/>
      <c r="C87" s="63" t="n"/>
      <c r="D87" s="62" t="n"/>
      <c r="E87" s="62" t="n"/>
      <c r="F87" s="62" t="n"/>
      <c r="G87" s="64" t="n"/>
      <c r="H87" s="64" t="n"/>
      <c r="I87" s="63" t="n"/>
      <c r="J87" s="29">
        <f>IF(V87=1,IF(ISNUMBER(I87),I87,C87+IF(ISNUMBER(IFERROR(INDEX(vend_Terms,MATCH(D87,vend_Name,0)),"")),INDEX(vend_Terms,MATCH(D87,vend_Name,0)),TermsDays)),"")</f>
        <v/>
      </c>
      <c r="K87" s="65">
        <f>IF(V87=1,SUMIFS(tx_CrAmt,tx_Type,"Bill Payment",tx_Ref,B87&amp;"",tx_Vend,D87,tx_Date,"&lt;="&amp;AsOf),"")</f>
        <v/>
      </c>
      <c r="L87" s="65">
        <f>IF(V87=1,IF(C87&gt;AsOf,0,ROUND(G87-K87,2)),"")</f>
        <v/>
      </c>
      <c r="M87" s="66">
        <f>IF(V87&lt;&gt;1,"",IF(C87&gt;AsOf,"Future",IF(L87&lt;0,"Overpaid",IF(L87=0,"Paid",IF(AsOf&gt;J87,"Overdue",IF(K87&gt;0,"Partial","Unpaid"))))))</f>
        <v/>
      </c>
      <c r="N87" s="28">
        <f>IF(AND(V87=1,N(L87)&gt;0),AsOf-C87,"")</f>
        <v/>
      </c>
      <c r="O87" s="28">
        <f>IF(N87="","",MAX(0,AsOf-J87))</f>
        <v/>
      </c>
      <c r="P87" s="66">
        <f>IF(O87="","",IF(O87=0,"Current",IF(O87&lt;=30,"1-30",IF(O87&lt;=60,"31-60",IF(O87&lt;=90,"61-90","90+")))))</f>
        <v/>
      </c>
      <c r="Q87" s="66">
        <f>IF(T87&lt;&gt;"","⛔ "&amp;T87&amp;" — not posted",IF(U87&lt;&gt;"","⚠ "&amp;U87,IF(V87=1,"✓ OK","")))</f>
        <v/>
      </c>
      <c r="R87" s="67">
        <f>IF(AND(B87="",C87="",D87="",G87="",F87=""),1,0)</f>
        <v/>
      </c>
      <c r="S87" s="68">
        <f>IF(AND(TaxOn="Yes",ISNUMBER(H87)),H87,0)</f>
        <v/>
      </c>
      <c r="T87" s="67">
        <f>IF(R87=1,"",IF(B87="","Enter a bill #",IF(D87="","Select a vendor",IF(C87="","Missing bill date",IF(NOT(ISNUMBER(C87)),"Invalid date",IF(OR(C87&lt;DATE(2000,1,1),C87&gt;DATE(2099,12,31)),"Invalid date",IF(F87="","Select an expense account",IF(ISNA(MATCH(F87,coa_Name,0)),"Unknown account: "&amp;F87,IF(NOT(ISNUMBER(G87)),"Enter an amount",IF(G87&lt;=0,"Amount must be positive",IF(S87&gt;G87,"Tax is larger than the amount","")))))))))))</f>
        <v/>
      </c>
      <c r="U87" s="67">
        <f>IF(OR(R87=1,T87&lt;&gt;""),"",IF(COUNTIFS(ap_No,B87,ap_Party,D87)&gt;1,"Duplicate bill #",IF(N(L87)&lt;0,"Overpaid by "&amp;TEXT(-L87,"#,##0.00"),IF(AND(ISNUMBER(H87),N(H87)&lt;&gt;0,S87=0),"Tax ignored (tax tracking is off)",IF(AND(ISNUMBER(StartDate),C87&lt;StartDate),"Date is before the accounting start date",IF(OR(IFERROR(INDEX(coa_Type,MATCH(F87,coa_Name,0)),"")="Revenue",IFERROR(INDEX(coa_Type,MATCH(F87,coa_Name,0)),"")="Other Income",IFERROR(INDEX(coa_Type,MATCH(F87,coa_Name,0)),"")="Equity"),"Account is not an expense or asset account",""))))))</f>
        <v/>
      </c>
      <c r="V87" s="67">
        <f>IF(AND(R87=0,T87=""),1,0)</f>
        <v/>
      </c>
      <c r="W87" s="67">
        <f>IF(V87=1,F87,"")</f>
        <v/>
      </c>
      <c r="X87" s="67">
        <f>IF(V87=1,acctAP,"")</f>
        <v/>
      </c>
      <c r="Y87" s="68">
        <f>IF(V87=1,G87-S87,0)</f>
        <v/>
      </c>
      <c r="Z87" s="68">
        <f>IF(V87=1,G87,0)</f>
        <v/>
      </c>
      <c r="AA87" s="68">
        <f>IF(V87=1,S87,0)</f>
        <v/>
      </c>
    </row>
    <row r="88">
      <c r="B88" s="62" t="n"/>
      <c r="C88" s="63" t="n"/>
      <c r="D88" s="62" t="n"/>
      <c r="E88" s="62" t="n"/>
      <c r="F88" s="62" t="n"/>
      <c r="G88" s="64" t="n"/>
      <c r="H88" s="64" t="n"/>
      <c r="I88" s="63" t="n"/>
      <c r="J88" s="29">
        <f>IF(V88=1,IF(ISNUMBER(I88),I88,C88+IF(ISNUMBER(IFERROR(INDEX(vend_Terms,MATCH(D88,vend_Name,0)),"")),INDEX(vend_Terms,MATCH(D88,vend_Name,0)),TermsDays)),"")</f>
        <v/>
      </c>
      <c r="K88" s="65">
        <f>IF(V88=1,SUMIFS(tx_CrAmt,tx_Type,"Bill Payment",tx_Ref,B88&amp;"",tx_Vend,D88,tx_Date,"&lt;="&amp;AsOf),"")</f>
        <v/>
      </c>
      <c r="L88" s="65">
        <f>IF(V88=1,IF(C88&gt;AsOf,0,ROUND(G88-K88,2)),"")</f>
        <v/>
      </c>
      <c r="M88" s="66">
        <f>IF(V88&lt;&gt;1,"",IF(C88&gt;AsOf,"Future",IF(L88&lt;0,"Overpaid",IF(L88=0,"Paid",IF(AsOf&gt;J88,"Overdue",IF(K88&gt;0,"Partial","Unpaid"))))))</f>
        <v/>
      </c>
      <c r="N88" s="28">
        <f>IF(AND(V88=1,N(L88)&gt;0),AsOf-C88,"")</f>
        <v/>
      </c>
      <c r="O88" s="28">
        <f>IF(N88="","",MAX(0,AsOf-J88))</f>
        <v/>
      </c>
      <c r="P88" s="66">
        <f>IF(O88="","",IF(O88=0,"Current",IF(O88&lt;=30,"1-30",IF(O88&lt;=60,"31-60",IF(O88&lt;=90,"61-90","90+")))))</f>
        <v/>
      </c>
      <c r="Q88" s="66">
        <f>IF(T88&lt;&gt;"","⛔ "&amp;T88&amp;" — not posted",IF(U88&lt;&gt;"","⚠ "&amp;U88,IF(V88=1,"✓ OK","")))</f>
        <v/>
      </c>
      <c r="R88" s="67">
        <f>IF(AND(B88="",C88="",D88="",G88="",F88=""),1,0)</f>
        <v/>
      </c>
      <c r="S88" s="68">
        <f>IF(AND(TaxOn="Yes",ISNUMBER(H88)),H88,0)</f>
        <v/>
      </c>
      <c r="T88" s="67">
        <f>IF(R88=1,"",IF(B88="","Enter a bill #",IF(D88="","Select a vendor",IF(C88="","Missing bill date",IF(NOT(ISNUMBER(C88)),"Invalid date",IF(OR(C88&lt;DATE(2000,1,1),C88&gt;DATE(2099,12,31)),"Invalid date",IF(F88="","Select an expense account",IF(ISNA(MATCH(F88,coa_Name,0)),"Unknown account: "&amp;F88,IF(NOT(ISNUMBER(G88)),"Enter an amount",IF(G88&lt;=0,"Amount must be positive",IF(S88&gt;G88,"Tax is larger than the amount","")))))))))))</f>
        <v/>
      </c>
      <c r="U88" s="67">
        <f>IF(OR(R88=1,T88&lt;&gt;""),"",IF(COUNTIFS(ap_No,B88,ap_Party,D88)&gt;1,"Duplicate bill #",IF(N(L88)&lt;0,"Overpaid by "&amp;TEXT(-L88,"#,##0.00"),IF(AND(ISNUMBER(H88),N(H88)&lt;&gt;0,S88=0),"Tax ignored (tax tracking is off)",IF(AND(ISNUMBER(StartDate),C88&lt;StartDate),"Date is before the accounting start date",IF(OR(IFERROR(INDEX(coa_Type,MATCH(F88,coa_Name,0)),"")="Revenue",IFERROR(INDEX(coa_Type,MATCH(F88,coa_Name,0)),"")="Other Income",IFERROR(INDEX(coa_Type,MATCH(F88,coa_Name,0)),"")="Equity"),"Account is not an expense or asset account",""))))))</f>
        <v/>
      </c>
      <c r="V88" s="67">
        <f>IF(AND(R88=0,T88=""),1,0)</f>
        <v/>
      </c>
      <c r="W88" s="67">
        <f>IF(V88=1,F88,"")</f>
        <v/>
      </c>
      <c r="X88" s="67">
        <f>IF(V88=1,acctAP,"")</f>
        <v/>
      </c>
      <c r="Y88" s="68">
        <f>IF(V88=1,G88-S88,0)</f>
        <v/>
      </c>
      <c r="Z88" s="68">
        <f>IF(V88=1,G88,0)</f>
        <v/>
      </c>
      <c r="AA88" s="68">
        <f>IF(V88=1,S88,0)</f>
        <v/>
      </c>
    </row>
    <row r="89">
      <c r="B89" s="62" t="n"/>
      <c r="C89" s="63" t="n"/>
      <c r="D89" s="62" t="n"/>
      <c r="E89" s="62" t="n"/>
      <c r="F89" s="62" t="n"/>
      <c r="G89" s="64" t="n"/>
      <c r="H89" s="64" t="n"/>
      <c r="I89" s="63" t="n"/>
      <c r="J89" s="29">
        <f>IF(V89=1,IF(ISNUMBER(I89),I89,C89+IF(ISNUMBER(IFERROR(INDEX(vend_Terms,MATCH(D89,vend_Name,0)),"")),INDEX(vend_Terms,MATCH(D89,vend_Name,0)),TermsDays)),"")</f>
        <v/>
      </c>
      <c r="K89" s="65">
        <f>IF(V89=1,SUMIFS(tx_CrAmt,tx_Type,"Bill Payment",tx_Ref,B89&amp;"",tx_Vend,D89,tx_Date,"&lt;="&amp;AsOf),"")</f>
        <v/>
      </c>
      <c r="L89" s="65">
        <f>IF(V89=1,IF(C89&gt;AsOf,0,ROUND(G89-K89,2)),"")</f>
        <v/>
      </c>
      <c r="M89" s="66">
        <f>IF(V89&lt;&gt;1,"",IF(C89&gt;AsOf,"Future",IF(L89&lt;0,"Overpaid",IF(L89=0,"Paid",IF(AsOf&gt;J89,"Overdue",IF(K89&gt;0,"Partial","Unpaid"))))))</f>
        <v/>
      </c>
      <c r="N89" s="28">
        <f>IF(AND(V89=1,N(L89)&gt;0),AsOf-C89,"")</f>
        <v/>
      </c>
      <c r="O89" s="28">
        <f>IF(N89="","",MAX(0,AsOf-J89))</f>
        <v/>
      </c>
      <c r="P89" s="66">
        <f>IF(O89="","",IF(O89=0,"Current",IF(O89&lt;=30,"1-30",IF(O89&lt;=60,"31-60",IF(O89&lt;=90,"61-90","90+")))))</f>
        <v/>
      </c>
      <c r="Q89" s="66">
        <f>IF(T89&lt;&gt;"","⛔ "&amp;T89&amp;" — not posted",IF(U89&lt;&gt;"","⚠ "&amp;U89,IF(V89=1,"✓ OK","")))</f>
        <v/>
      </c>
      <c r="R89" s="67">
        <f>IF(AND(B89="",C89="",D89="",G89="",F89=""),1,0)</f>
        <v/>
      </c>
      <c r="S89" s="68">
        <f>IF(AND(TaxOn="Yes",ISNUMBER(H89)),H89,0)</f>
        <v/>
      </c>
      <c r="T89" s="67">
        <f>IF(R89=1,"",IF(B89="","Enter a bill #",IF(D89="","Select a vendor",IF(C89="","Missing bill date",IF(NOT(ISNUMBER(C89)),"Invalid date",IF(OR(C89&lt;DATE(2000,1,1),C89&gt;DATE(2099,12,31)),"Invalid date",IF(F89="","Select an expense account",IF(ISNA(MATCH(F89,coa_Name,0)),"Unknown account: "&amp;F89,IF(NOT(ISNUMBER(G89)),"Enter an amount",IF(G89&lt;=0,"Amount must be positive",IF(S89&gt;G89,"Tax is larger than the amount","")))))))))))</f>
        <v/>
      </c>
      <c r="U89" s="67">
        <f>IF(OR(R89=1,T89&lt;&gt;""),"",IF(COUNTIFS(ap_No,B89,ap_Party,D89)&gt;1,"Duplicate bill #",IF(N(L89)&lt;0,"Overpaid by "&amp;TEXT(-L89,"#,##0.00"),IF(AND(ISNUMBER(H89),N(H89)&lt;&gt;0,S89=0),"Tax ignored (tax tracking is off)",IF(AND(ISNUMBER(StartDate),C89&lt;StartDate),"Date is before the accounting start date",IF(OR(IFERROR(INDEX(coa_Type,MATCH(F89,coa_Name,0)),"")="Revenue",IFERROR(INDEX(coa_Type,MATCH(F89,coa_Name,0)),"")="Other Income",IFERROR(INDEX(coa_Type,MATCH(F89,coa_Name,0)),"")="Equity"),"Account is not an expense or asset account",""))))))</f>
        <v/>
      </c>
      <c r="V89" s="67">
        <f>IF(AND(R89=0,T89=""),1,0)</f>
        <v/>
      </c>
      <c r="W89" s="67">
        <f>IF(V89=1,F89,"")</f>
        <v/>
      </c>
      <c r="X89" s="67">
        <f>IF(V89=1,acctAP,"")</f>
        <v/>
      </c>
      <c r="Y89" s="68">
        <f>IF(V89=1,G89-S89,0)</f>
        <v/>
      </c>
      <c r="Z89" s="68">
        <f>IF(V89=1,G89,0)</f>
        <v/>
      </c>
      <c r="AA89" s="68">
        <f>IF(V89=1,S89,0)</f>
        <v/>
      </c>
    </row>
    <row r="90">
      <c r="B90" s="62" t="n"/>
      <c r="C90" s="63" t="n"/>
      <c r="D90" s="62" t="n"/>
      <c r="E90" s="62" t="n"/>
      <c r="F90" s="62" t="n"/>
      <c r="G90" s="64" t="n"/>
      <c r="H90" s="64" t="n"/>
      <c r="I90" s="63" t="n"/>
      <c r="J90" s="29">
        <f>IF(V90=1,IF(ISNUMBER(I90),I90,C90+IF(ISNUMBER(IFERROR(INDEX(vend_Terms,MATCH(D90,vend_Name,0)),"")),INDEX(vend_Terms,MATCH(D90,vend_Name,0)),TermsDays)),"")</f>
        <v/>
      </c>
      <c r="K90" s="65">
        <f>IF(V90=1,SUMIFS(tx_CrAmt,tx_Type,"Bill Payment",tx_Ref,B90&amp;"",tx_Vend,D90,tx_Date,"&lt;="&amp;AsOf),"")</f>
        <v/>
      </c>
      <c r="L90" s="65">
        <f>IF(V90=1,IF(C90&gt;AsOf,0,ROUND(G90-K90,2)),"")</f>
        <v/>
      </c>
      <c r="M90" s="66">
        <f>IF(V90&lt;&gt;1,"",IF(C90&gt;AsOf,"Future",IF(L90&lt;0,"Overpaid",IF(L90=0,"Paid",IF(AsOf&gt;J90,"Overdue",IF(K90&gt;0,"Partial","Unpaid"))))))</f>
        <v/>
      </c>
      <c r="N90" s="28">
        <f>IF(AND(V90=1,N(L90)&gt;0),AsOf-C90,"")</f>
        <v/>
      </c>
      <c r="O90" s="28">
        <f>IF(N90="","",MAX(0,AsOf-J90))</f>
        <v/>
      </c>
      <c r="P90" s="66">
        <f>IF(O90="","",IF(O90=0,"Current",IF(O90&lt;=30,"1-30",IF(O90&lt;=60,"31-60",IF(O90&lt;=90,"61-90","90+")))))</f>
        <v/>
      </c>
      <c r="Q90" s="66">
        <f>IF(T90&lt;&gt;"","⛔ "&amp;T90&amp;" — not posted",IF(U90&lt;&gt;"","⚠ "&amp;U90,IF(V90=1,"✓ OK","")))</f>
        <v/>
      </c>
      <c r="R90" s="67">
        <f>IF(AND(B90="",C90="",D90="",G90="",F90=""),1,0)</f>
        <v/>
      </c>
      <c r="S90" s="68">
        <f>IF(AND(TaxOn="Yes",ISNUMBER(H90)),H90,0)</f>
        <v/>
      </c>
      <c r="T90" s="67">
        <f>IF(R90=1,"",IF(B90="","Enter a bill #",IF(D90="","Select a vendor",IF(C90="","Missing bill date",IF(NOT(ISNUMBER(C90)),"Invalid date",IF(OR(C90&lt;DATE(2000,1,1),C90&gt;DATE(2099,12,31)),"Invalid date",IF(F90="","Select an expense account",IF(ISNA(MATCH(F90,coa_Name,0)),"Unknown account: "&amp;F90,IF(NOT(ISNUMBER(G90)),"Enter an amount",IF(G90&lt;=0,"Amount must be positive",IF(S90&gt;G90,"Tax is larger than the amount","")))))))))))</f>
        <v/>
      </c>
      <c r="U90" s="67">
        <f>IF(OR(R90=1,T90&lt;&gt;""),"",IF(COUNTIFS(ap_No,B90,ap_Party,D90)&gt;1,"Duplicate bill #",IF(N(L90)&lt;0,"Overpaid by "&amp;TEXT(-L90,"#,##0.00"),IF(AND(ISNUMBER(H90),N(H90)&lt;&gt;0,S90=0),"Tax ignored (tax tracking is off)",IF(AND(ISNUMBER(StartDate),C90&lt;StartDate),"Date is before the accounting start date",IF(OR(IFERROR(INDEX(coa_Type,MATCH(F90,coa_Name,0)),"")="Revenue",IFERROR(INDEX(coa_Type,MATCH(F90,coa_Name,0)),"")="Other Income",IFERROR(INDEX(coa_Type,MATCH(F90,coa_Name,0)),"")="Equity"),"Account is not an expense or asset account",""))))))</f>
        <v/>
      </c>
      <c r="V90" s="67">
        <f>IF(AND(R90=0,T90=""),1,0)</f>
        <v/>
      </c>
      <c r="W90" s="67">
        <f>IF(V90=1,F90,"")</f>
        <v/>
      </c>
      <c r="X90" s="67">
        <f>IF(V90=1,acctAP,"")</f>
        <v/>
      </c>
      <c r="Y90" s="68">
        <f>IF(V90=1,G90-S90,0)</f>
        <v/>
      </c>
      <c r="Z90" s="68">
        <f>IF(V90=1,G90,0)</f>
        <v/>
      </c>
      <c r="AA90" s="68">
        <f>IF(V90=1,S90,0)</f>
        <v/>
      </c>
    </row>
    <row r="91">
      <c r="B91" s="62" t="n"/>
      <c r="C91" s="63" t="n"/>
      <c r="D91" s="62" t="n"/>
      <c r="E91" s="62" t="n"/>
      <c r="F91" s="62" t="n"/>
      <c r="G91" s="64" t="n"/>
      <c r="H91" s="64" t="n"/>
      <c r="I91" s="63" t="n"/>
      <c r="J91" s="29">
        <f>IF(V91=1,IF(ISNUMBER(I91),I91,C91+IF(ISNUMBER(IFERROR(INDEX(vend_Terms,MATCH(D91,vend_Name,0)),"")),INDEX(vend_Terms,MATCH(D91,vend_Name,0)),TermsDays)),"")</f>
        <v/>
      </c>
      <c r="K91" s="65">
        <f>IF(V91=1,SUMIFS(tx_CrAmt,tx_Type,"Bill Payment",tx_Ref,B91&amp;"",tx_Vend,D91,tx_Date,"&lt;="&amp;AsOf),"")</f>
        <v/>
      </c>
      <c r="L91" s="65">
        <f>IF(V91=1,IF(C91&gt;AsOf,0,ROUND(G91-K91,2)),"")</f>
        <v/>
      </c>
      <c r="M91" s="66">
        <f>IF(V91&lt;&gt;1,"",IF(C91&gt;AsOf,"Future",IF(L91&lt;0,"Overpaid",IF(L91=0,"Paid",IF(AsOf&gt;J91,"Overdue",IF(K91&gt;0,"Partial","Unpaid"))))))</f>
        <v/>
      </c>
      <c r="N91" s="28">
        <f>IF(AND(V91=1,N(L91)&gt;0),AsOf-C91,"")</f>
        <v/>
      </c>
      <c r="O91" s="28">
        <f>IF(N91="","",MAX(0,AsOf-J91))</f>
        <v/>
      </c>
      <c r="P91" s="66">
        <f>IF(O91="","",IF(O91=0,"Current",IF(O91&lt;=30,"1-30",IF(O91&lt;=60,"31-60",IF(O91&lt;=90,"61-90","90+")))))</f>
        <v/>
      </c>
      <c r="Q91" s="66">
        <f>IF(T91&lt;&gt;"","⛔ "&amp;T91&amp;" — not posted",IF(U91&lt;&gt;"","⚠ "&amp;U91,IF(V91=1,"✓ OK","")))</f>
        <v/>
      </c>
      <c r="R91" s="67">
        <f>IF(AND(B91="",C91="",D91="",G91="",F91=""),1,0)</f>
        <v/>
      </c>
      <c r="S91" s="68">
        <f>IF(AND(TaxOn="Yes",ISNUMBER(H91)),H91,0)</f>
        <v/>
      </c>
      <c r="T91" s="67">
        <f>IF(R91=1,"",IF(B91="","Enter a bill #",IF(D91="","Select a vendor",IF(C91="","Missing bill date",IF(NOT(ISNUMBER(C91)),"Invalid date",IF(OR(C91&lt;DATE(2000,1,1),C91&gt;DATE(2099,12,31)),"Invalid date",IF(F91="","Select an expense account",IF(ISNA(MATCH(F91,coa_Name,0)),"Unknown account: "&amp;F91,IF(NOT(ISNUMBER(G91)),"Enter an amount",IF(G91&lt;=0,"Amount must be positive",IF(S91&gt;G91,"Tax is larger than the amount","")))))))))))</f>
        <v/>
      </c>
      <c r="U91" s="67">
        <f>IF(OR(R91=1,T91&lt;&gt;""),"",IF(COUNTIFS(ap_No,B91,ap_Party,D91)&gt;1,"Duplicate bill #",IF(N(L91)&lt;0,"Overpaid by "&amp;TEXT(-L91,"#,##0.00"),IF(AND(ISNUMBER(H91),N(H91)&lt;&gt;0,S91=0),"Tax ignored (tax tracking is off)",IF(AND(ISNUMBER(StartDate),C91&lt;StartDate),"Date is before the accounting start date",IF(OR(IFERROR(INDEX(coa_Type,MATCH(F91,coa_Name,0)),"")="Revenue",IFERROR(INDEX(coa_Type,MATCH(F91,coa_Name,0)),"")="Other Income",IFERROR(INDEX(coa_Type,MATCH(F91,coa_Name,0)),"")="Equity"),"Account is not an expense or asset account",""))))))</f>
        <v/>
      </c>
      <c r="V91" s="67">
        <f>IF(AND(R91=0,T91=""),1,0)</f>
        <v/>
      </c>
      <c r="W91" s="67">
        <f>IF(V91=1,F91,"")</f>
        <v/>
      </c>
      <c r="X91" s="67">
        <f>IF(V91=1,acctAP,"")</f>
        <v/>
      </c>
      <c r="Y91" s="68">
        <f>IF(V91=1,G91-S91,0)</f>
        <v/>
      </c>
      <c r="Z91" s="68">
        <f>IF(V91=1,G91,0)</f>
        <v/>
      </c>
      <c r="AA91" s="68">
        <f>IF(V91=1,S91,0)</f>
        <v/>
      </c>
    </row>
    <row r="92">
      <c r="B92" s="62" t="n"/>
      <c r="C92" s="63" t="n"/>
      <c r="D92" s="62" t="n"/>
      <c r="E92" s="62" t="n"/>
      <c r="F92" s="62" t="n"/>
      <c r="G92" s="64" t="n"/>
      <c r="H92" s="64" t="n"/>
      <c r="I92" s="63" t="n"/>
      <c r="J92" s="29">
        <f>IF(V92=1,IF(ISNUMBER(I92),I92,C92+IF(ISNUMBER(IFERROR(INDEX(vend_Terms,MATCH(D92,vend_Name,0)),"")),INDEX(vend_Terms,MATCH(D92,vend_Name,0)),TermsDays)),"")</f>
        <v/>
      </c>
      <c r="K92" s="65">
        <f>IF(V92=1,SUMIFS(tx_CrAmt,tx_Type,"Bill Payment",tx_Ref,B92&amp;"",tx_Vend,D92,tx_Date,"&lt;="&amp;AsOf),"")</f>
        <v/>
      </c>
      <c r="L92" s="65">
        <f>IF(V92=1,IF(C92&gt;AsOf,0,ROUND(G92-K92,2)),"")</f>
        <v/>
      </c>
      <c r="M92" s="66">
        <f>IF(V92&lt;&gt;1,"",IF(C92&gt;AsOf,"Future",IF(L92&lt;0,"Overpaid",IF(L92=0,"Paid",IF(AsOf&gt;J92,"Overdue",IF(K92&gt;0,"Partial","Unpaid"))))))</f>
        <v/>
      </c>
      <c r="N92" s="28">
        <f>IF(AND(V92=1,N(L92)&gt;0),AsOf-C92,"")</f>
        <v/>
      </c>
      <c r="O92" s="28">
        <f>IF(N92="","",MAX(0,AsOf-J92))</f>
        <v/>
      </c>
      <c r="P92" s="66">
        <f>IF(O92="","",IF(O92=0,"Current",IF(O92&lt;=30,"1-30",IF(O92&lt;=60,"31-60",IF(O92&lt;=90,"61-90","90+")))))</f>
        <v/>
      </c>
      <c r="Q92" s="66">
        <f>IF(T92&lt;&gt;"","⛔ "&amp;T92&amp;" — not posted",IF(U92&lt;&gt;"","⚠ "&amp;U92,IF(V92=1,"✓ OK","")))</f>
        <v/>
      </c>
      <c r="R92" s="67">
        <f>IF(AND(B92="",C92="",D92="",G92="",F92=""),1,0)</f>
        <v/>
      </c>
      <c r="S92" s="68">
        <f>IF(AND(TaxOn="Yes",ISNUMBER(H92)),H92,0)</f>
        <v/>
      </c>
      <c r="T92" s="67">
        <f>IF(R92=1,"",IF(B92="","Enter a bill #",IF(D92="","Select a vendor",IF(C92="","Missing bill date",IF(NOT(ISNUMBER(C92)),"Invalid date",IF(OR(C92&lt;DATE(2000,1,1),C92&gt;DATE(2099,12,31)),"Invalid date",IF(F92="","Select an expense account",IF(ISNA(MATCH(F92,coa_Name,0)),"Unknown account: "&amp;F92,IF(NOT(ISNUMBER(G92)),"Enter an amount",IF(G92&lt;=0,"Amount must be positive",IF(S92&gt;G92,"Tax is larger than the amount","")))))))))))</f>
        <v/>
      </c>
      <c r="U92" s="67">
        <f>IF(OR(R92=1,T92&lt;&gt;""),"",IF(COUNTIFS(ap_No,B92,ap_Party,D92)&gt;1,"Duplicate bill #",IF(N(L92)&lt;0,"Overpaid by "&amp;TEXT(-L92,"#,##0.00"),IF(AND(ISNUMBER(H92),N(H92)&lt;&gt;0,S92=0),"Tax ignored (tax tracking is off)",IF(AND(ISNUMBER(StartDate),C92&lt;StartDate),"Date is before the accounting start date",IF(OR(IFERROR(INDEX(coa_Type,MATCH(F92,coa_Name,0)),"")="Revenue",IFERROR(INDEX(coa_Type,MATCH(F92,coa_Name,0)),"")="Other Income",IFERROR(INDEX(coa_Type,MATCH(F92,coa_Name,0)),"")="Equity"),"Account is not an expense or asset account",""))))))</f>
        <v/>
      </c>
      <c r="V92" s="67">
        <f>IF(AND(R92=0,T92=""),1,0)</f>
        <v/>
      </c>
      <c r="W92" s="67">
        <f>IF(V92=1,F92,"")</f>
        <v/>
      </c>
      <c r="X92" s="67">
        <f>IF(V92=1,acctAP,"")</f>
        <v/>
      </c>
      <c r="Y92" s="68">
        <f>IF(V92=1,G92-S92,0)</f>
        <v/>
      </c>
      <c r="Z92" s="68">
        <f>IF(V92=1,G92,0)</f>
        <v/>
      </c>
      <c r="AA92" s="68">
        <f>IF(V92=1,S92,0)</f>
        <v/>
      </c>
    </row>
    <row r="93">
      <c r="B93" s="62" t="n"/>
      <c r="C93" s="63" t="n"/>
      <c r="D93" s="62" t="n"/>
      <c r="E93" s="62" t="n"/>
      <c r="F93" s="62" t="n"/>
      <c r="G93" s="64" t="n"/>
      <c r="H93" s="64" t="n"/>
      <c r="I93" s="63" t="n"/>
      <c r="J93" s="29">
        <f>IF(V93=1,IF(ISNUMBER(I93),I93,C93+IF(ISNUMBER(IFERROR(INDEX(vend_Terms,MATCH(D93,vend_Name,0)),"")),INDEX(vend_Terms,MATCH(D93,vend_Name,0)),TermsDays)),"")</f>
        <v/>
      </c>
      <c r="K93" s="65">
        <f>IF(V93=1,SUMIFS(tx_CrAmt,tx_Type,"Bill Payment",tx_Ref,B93&amp;"",tx_Vend,D93,tx_Date,"&lt;="&amp;AsOf),"")</f>
        <v/>
      </c>
      <c r="L93" s="65">
        <f>IF(V93=1,IF(C93&gt;AsOf,0,ROUND(G93-K93,2)),"")</f>
        <v/>
      </c>
      <c r="M93" s="66">
        <f>IF(V93&lt;&gt;1,"",IF(C93&gt;AsOf,"Future",IF(L93&lt;0,"Overpaid",IF(L93=0,"Paid",IF(AsOf&gt;J93,"Overdue",IF(K93&gt;0,"Partial","Unpaid"))))))</f>
        <v/>
      </c>
      <c r="N93" s="28">
        <f>IF(AND(V93=1,N(L93)&gt;0),AsOf-C93,"")</f>
        <v/>
      </c>
      <c r="O93" s="28">
        <f>IF(N93="","",MAX(0,AsOf-J93))</f>
        <v/>
      </c>
      <c r="P93" s="66">
        <f>IF(O93="","",IF(O93=0,"Current",IF(O93&lt;=30,"1-30",IF(O93&lt;=60,"31-60",IF(O93&lt;=90,"61-90","90+")))))</f>
        <v/>
      </c>
      <c r="Q93" s="66">
        <f>IF(T93&lt;&gt;"","⛔ "&amp;T93&amp;" — not posted",IF(U93&lt;&gt;"","⚠ "&amp;U93,IF(V93=1,"✓ OK","")))</f>
        <v/>
      </c>
      <c r="R93" s="67">
        <f>IF(AND(B93="",C93="",D93="",G93="",F93=""),1,0)</f>
        <v/>
      </c>
      <c r="S93" s="68">
        <f>IF(AND(TaxOn="Yes",ISNUMBER(H93)),H93,0)</f>
        <v/>
      </c>
      <c r="T93" s="67">
        <f>IF(R93=1,"",IF(B93="","Enter a bill #",IF(D93="","Select a vendor",IF(C93="","Missing bill date",IF(NOT(ISNUMBER(C93)),"Invalid date",IF(OR(C93&lt;DATE(2000,1,1),C93&gt;DATE(2099,12,31)),"Invalid date",IF(F93="","Select an expense account",IF(ISNA(MATCH(F93,coa_Name,0)),"Unknown account: "&amp;F93,IF(NOT(ISNUMBER(G93)),"Enter an amount",IF(G93&lt;=0,"Amount must be positive",IF(S93&gt;G93,"Tax is larger than the amount","")))))))))))</f>
        <v/>
      </c>
      <c r="U93" s="67">
        <f>IF(OR(R93=1,T93&lt;&gt;""),"",IF(COUNTIFS(ap_No,B93,ap_Party,D93)&gt;1,"Duplicate bill #",IF(N(L93)&lt;0,"Overpaid by "&amp;TEXT(-L93,"#,##0.00"),IF(AND(ISNUMBER(H93),N(H93)&lt;&gt;0,S93=0),"Tax ignored (tax tracking is off)",IF(AND(ISNUMBER(StartDate),C93&lt;StartDate),"Date is before the accounting start date",IF(OR(IFERROR(INDEX(coa_Type,MATCH(F93,coa_Name,0)),"")="Revenue",IFERROR(INDEX(coa_Type,MATCH(F93,coa_Name,0)),"")="Other Income",IFERROR(INDEX(coa_Type,MATCH(F93,coa_Name,0)),"")="Equity"),"Account is not an expense or asset account",""))))))</f>
        <v/>
      </c>
      <c r="V93" s="67">
        <f>IF(AND(R93=0,T93=""),1,0)</f>
        <v/>
      </c>
      <c r="W93" s="67">
        <f>IF(V93=1,F93,"")</f>
        <v/>
      </c>
      <c r="X93" s="67">
        <f>IF(V93=1,acctAP,"")</f>
        <v/>
      </c>
      <c r="Y93" s="68">
        <f>IF(V93=1,G93-S93,0)</f>
        <v/>
      </c>
      <c r="Z93" s="68">
        <f>IF(V93=1,G93,0)</f>
        <v/>
      </c>
      <c r="AA93" s="68">
        <f>IF(V93=1,S93,0)</f>
        <v/>
      </c>
    </row>
    <row r="94">
      <c r="B94" s="62" t="n"/>
      <c r="C94" s="63" t="n"/>
      <c r="D94" s="62" t="n"/>
      <c r="E94" s="62" t="n"/>
      <c r="F94" s="62" t="n"/>
      <c r="G94" s="64" t="n"/>
      <c r="H94" s="64" t="n"/>
      <c r="I94" s="63" t="n"/>
      <c r="J94" s="29">
        <f>IF(V94=1,IF(ISNUMBER(I94),I94,C94+IF(ISNUMBER(IFERROR(INDEX(vend_Terms,MATCH(D94,vend_Name,0)),"")),INDEX(vend_Terms,MATCH(D94,vend_Name,0)),TermsDays)),"")</f>
        <v/>
      </c>
      <c r="K94" s="65">
        <f>IF(V94=1,SUMIFS(tx_CrAmt,tx_Type,"Bill Payment",tx_Ref,B94&amp;"",tx_Vend,D94,tx_Date,"&lt;="&amp;AsOf),"")</f>
        <v/>
      </c>
      <c r="L94" s="65">
        <f>IF(V94=1,IF(C94&gt;AsOf,0,ROUND(G94-K94,2)),"")</f>
        <v/>
      </c>
      <c r="M94" s="66">
        <f>IF(V94&lt;&gt;1,"",IF(C94&gt;AsOf,"Future",IF(L94&lt;0,"Overpaid",IF(L94=0,"Paid",IF(AsOf&gt;J94,"Overdue",IF(K94&gt;0,"Partial","Unpaid"))))))</f>
        <v/>
      </c>
      <c r="N94" s="28">
        <f>IF(AND(V94=1,N(L94)&gt;0),AsOf-C94,"")</f>
        <v/>
      </c>
      <c r="O94" s="28">
        <f>IF(N94="","",MAX(0,AsOf-J94))</f>
        <v/>
      </c>
      <c r="P94" s="66">
        <f>IF(O94="","",IF(O94=0,"Current",IF(O94&lt;=30,"1-30",IF(O94&lt;=60,"31-60",IF(O94&lt;=90,"61-90","90+")))))</f>
        <v/>
      </c>
      <c r="Q94" s="66">
        <f>IF(T94&lt;&gt;"","⛔ "&amp;T94&amp;" — not posted",IF(U94&lt;&gt;"","⚠ "&amp;U94,IF(V94=1,"✓ OK","")))</f>
        <v/>
      </c>
      <c r="R94" s="67">
        <f>IF(AND(B94="",C94="",D94="",G94="",F94=""),1,0)</f>
        <v/>
      </c>
      <c r="S94" s="68">
        <f>IF(AND(TaxOn="Yes",ISNUMBER(H94)),H94,0)</f>
        <v/>
      </c>
      <c r="T94" s="67">
        <f>IF(R94=1,"",IF(B94="","Enter a bill #",IF(D94="","Select a vendor",IF(C94="","Missing bill date",IF(NOT(ISNUMBER(C94)),"Invalid date",IF(OR(C94&lt;DATE(2000,1,1),C94&gt;DATE(2099,12,31)),"Invalid date",IF(F94="","Select an expense account",IF(ISNA(MATCH(F94,coa_Name,0)),"Unknown account: "&amp;F94,IF(NOT(ISNUMBER(G94)),"Enter an amount",IF(G94&lt;=0,"Amount must be positive",IF(S94&gt;G94,"Tax is larger than the amount","")))))))))))</f>
        <v/>
      </c>
      <c r="U94" s="67">
        <f>IF(OR(R94=1,T94&lt;&gt;""),"",IF(COUNTIFS(ap_No,B94,ap_Party,D94)&gt;1,"Duplicate bill #",IF(N(L94)&lt;0,"Overpaid by "&amp;TEXT(-L94,"#,##0.00"),IF(AND(ISNUMBER(H94),N(H94)&lt;&gt;0,S94=0),"Tax ignored (tax tracking is off)",IF(AND(ISNUMBER(StartDate),C94&lt;StartDate),"Date is before the accounting start date",IF(OR(IFERROR(INDEX(coa_Type,MATCH(F94,coa_Name,0)),"")="Revenue",IFERROR(INDEX(coa_Type,MATCH(F94,coa_Name,0)),"")="Other Income",IFERROR(INDEX(coa_Type,MATCH(F94,coa_Name,0)),"")="Equity"),"Account is not an expense or asset account",""))))))</f>
        <v/>
      </c>
      <c r="V94" s="67">
        <f>IF(AND(R94=0,T94=""),1,0)</f>
        <v/>
      </c>
      <c r="W94" s="67">
        <f>IF(V94=1,F94,"")</f>
        <v/>
      </c>
      <c r="X94" s="67">
        <f>IF(V94=1,acctAP,"")</f>
        <v/>
      </c>
      <c r="Y94" s="68">
        <f>IF(V94=1,G94-S94,0)</f>
        <v/>
      </c>
      <c r="Z94" s="68">
        <f>IF(V94=1,G94,0)</f>
        <v/>
      </c>
      <c r="AA94" s="68">
        <f>IF(V94=1,S94,0)</f>
        <v/>
      </c>
    </row>
    <row r="95">
      <c r="B95" s="62" t="n"/>
      <c r="C95" s="63" t="n"/>
      <c r="D95" s="62" t="n"/>
      <c r="E95" s="62" t="n"/>
      <c r="F95" s="62" t="n"/>
      <c r="G95" s="64" t="n"/>
      <c r="H95" s="64" t="n"/>
      <c r="I95" s="63" t="n"/>
      <c r="J95" s="29">
        <f>IF(V95=1,IF(ISNUMBER(I95),I95,C95+IF(ISNUMBER(IFERROR(INDEX(vend_Terms,MATCH(D95,vend_Name,0)),"")),INDEX(vend_Terms,MATCH(D95,vend_Name,0)),TermsDays)),"")</f>
        <v/>
      </c>
      <c r="K95" s="65">
        <f>IF(V95=1,SUMIFS(tx_CrAmt,tx_Type,"Bill Payment",tx_Ref,B95&amp;"",tx_Vend,D95,tx_Date,"&lt;="&amp;AsOf),"")</f>
        <v/>
      </c>
      <c r="L95" s="65">
        <f>IF(V95=1,IF(C95&gt;AsOf,0,ROUND(G95-K95,2)),"")</f>
        <v/>
      </c>
      <c r="M95" s="66">
        <f>IF(V95&lt;&gt;1,"",IF(C95&gt;AsOf,"Future",IF(L95&lt;0,"Overpaid",IF(L95=0,"Paid",IF(AsOf&gt;J95,"Overdue",IF(K95&gt;0,"Partial","Unpaid"))))))</f>
        <v/>
      </c>
      <c r="N95" s="28">
        <f>IF(AND(V95=1,N(L95)&gt;0),AsOf-C95,"")</f>
        <v/>
      </c>
      <c r="O95" s="28">
        <f>IF(N95="","",MAX(0,AsOf-J95))</f>
        <v/>
      </c>
      <c r="P95" s="66">
        <f>IF(O95="","",IF(O95=0,"Current",IF(O95&lt;=30,"1-30",IF(O95&lt;=60,"31-60",IF(O95&lt;=90,"61-90","90+")))))</f>
        <v/>
      </c>
      <c r="Q95" s="66">
        <f>IF(T95&lt;&gt;"","⛔ "&amp;T95&amp;" — not posted",IF(U95&lt;&gt;"","⚠ "&amp;U95,IF(V95=1,"✓ OK","")))</f>
        <v/>
      </c>
      <c r="R95" s="67">
        <f>IF(AND(B95="",C95="",D95="",G95="",F95=""),1,0)</f>
        <v/>
      </c>
      <c r="S95" s="68">
        <f>IF(AND(TaxOn="Yes",ISNUMBER(H95)),H95,0)</f>
        <v/>
      </c>
      <c r="T95" s="67">
        <f>IF(R95=1,"",IF(B95="","Enter a bill #",IF(D95="","Select a vendor",IF(C95="","Missing bill date",IF(NOT(ISNUMBER(C95)),"Invalid date",IF(OR(C95&lt;DATE(2000,1,1),C95&gt;DATE(2099,12,31)),"Invalid date",IF(F95="","Select an expense account",IF(ISNA(MATCH(F95,coa_Name,0)),"Unknown account: "&amp;F95,IF(NOT(ISNUMBER(G95)),"Enter an amount",IF(G95&lt;=0,"Amount must be positive",IF(S95&gt;G95,"Tax is larger than the amount","")))))))))))</f>
        <v/>
      </c>
      <c r="U95" s="67">
        <f>IF(OR(R95=1,T95&lt;&gt;""),"",IF(COUNTIFS(ap_No,B95,ap_Party,D95)&gt;1,"Duplicate bill #",IF(N(L95)&lt;0,"Overpaid by "&amp;TEXT(-L95,"#,##0.00"),IF(AND(ISNUMBER(H95),N(H95)&lt;&gt;0,S95=0),"Tax ignored (tax tracking is off)",IF(AND(ISNUMBER(StartDate),C95&lt;StartDate),"Date is before the accounting start date",IF(OR(IFERROR(INDEX(coa_Type,MATCH(F95,coa_Name,0)),"")="Revenue",IFERROR(INDEX(coa_Type,MATCH(F95,coa_Name,0)),"")="Other Income",IFERROR(INDEX(coa_Type,MATCH(F95,coa_Name,0)),"")="Equity"),"Account is not an expense or asset account",""))))))</f>
        <v/>
      </c>
      <c r="V95" s="67">
        <f>IF(AND(R95=0,T95=""),1,0)</f>
        <v/>
      </c>
      <c r="W95" s="67">
        <f>IF(V95=1,F95,"")</f>
        <v/>
      </c>
      <c r="X95" s="67">
        <f>IF(V95=1,acctAP,"")</f>
        <v/>
      </c>
      <c r="Y95" s="68">
        <f>IF(V95=1,G95-S95,0)</f>
        <v/>
      </c>
      <c r="Z95" s="68">
        <f>IF(V95=1,G95,0)</f>
        <v/>
      </c>
      <c r="AA95" s="68">
        <f>IF(V95=1,S95,0)</f>
        <v/>
      </c>
    </row>
    <row r="96">
      <c r="B96" s="62" t="n"/>
      <c r="C96" s="63" t="n"/>
      <c r="D96" s="62" t="n"/>
      <c r="E96" s="62" t="n"/>
      <c r="F96" s="62" t="n"/>
      <c r="G96" s="64" t="n"/>
      <c r="H96" s="64" t="n"/>
      <c r="I96" s="63" t="n"/>
      <c r="J96" s="29">
        <f>IF(V96=1,IF(ISNUMBER(I96),I96,C96+IF(ISNUMBER(IFERROR(INDEX(vend_Terms,MATCH(D96,vend_Name,0)),"")),INDEX(vend_Terms,MATCH(D96,vend_Name,0)),TermsDays)),"")</f>
        <v/>
      </c>
      <c r="K96" s="65">
        <f>IF(V96=1,SUMIFS(tx_CrAmt,tx_Type,"Bill Payment",tx_Ref,B96&amp;"",tx_Vend,D96,tx_Date,"&lt;="&amp;AsOf),"")</f>
        <v/>
      </c>
      <c r="L96" s="65">
        <f>IF(V96=1,IF(C96&gt;AsOf,0,ROUND(G96-K96,2)),"")</f>
        <v/>
      </c>
      <c r="M96" s="66">
        <f>IF(V96&lt;&gt;1,"",IF(C96&gt;AsOf,"Future",IF(L96&lt;0,"Overpaid",IF(L96=0,"Paid",IF(AsOf&gt;J96,"Overdue",IF(K96&gt;0,"Partial","Unpaid"))))))</f>
        <v/>
      </c>
      <c r="N96" s="28">
        <f>IF(AND(V96=1,N(L96)&gt;0),AsOf-C96,"")</f>
        <v/>
      </c>
      <c r="O96" s="28">
        <f>IF(N96="","",MAX(0,AsOf-J96))</f>
        <v/>
      </c>
      <c r="P96" s="66">
        <f>IF(O96="","",IF(O96=0,"Current",IF(O96&lt;=30,"1-30",IF(O96&lt;=60,"31-60",IF(O96&lt;=90,"61-90","90+")))))</f>
        <v/>
      </c>
      <c r="Q96" s="66">
        <f>IF(T96&lt;&gt;"","⛔ "&amp;T96&amp;" — not posted",IF(U96&lt;&gt;"","⚠ "&amp;U96,IF(V96=1,"✓ OK","")))</f>
        <v/>
      </c>
      <c r="R96" s="67">
        <f>IF(AND(B96="",C96="",D96="",G96="",F96=""),1,0)</f>
        <v/>
      </c>
      <c r="S96" s="68">
        <f>IF(AND(TaxOn="Yes",ISNUMBER(H96)),H96,0)</f>
        <v/>
      </c>
      <c r="T96" s="67">
        <f>IF(R96=1,"",IF(B96="","Enter a bill #",IF(D96="","Select a vendor",IF(C96="","Missing bill date",IF(NOT(ISNUMBER(C96)),"Invalid date",IF(OR(C96&lt;DATE(2000,1,1),C96&gt;DATE(2099,12,31)),"Invalid date",IF(F96="","Select an expense account",IF(ISNA(MATCH(F96,coa_Name,0)),"Unknown account: "&amp;F96,IF(NOT(ISNUMBER(G96)),"Enter an amount",IF(G96&lt;=0,"Amount must be positive",IF(S96&gt;G96,"Tax is larger than the amount","")))))))))))</f>
        <v/>
      </c>
      <c r="U96" s="67">
        <f>IF(OR(R96=1,T96&lt;&gt;""),"",IF(COUNTIFS(ap_No,B96,ap_Party,D96)&gt;1,"Duplicate bill #",IF(N(L96)&lt;0,"Overpaid by "&amp;TEXT(-L96,"#,##0.00"),IF(AND(ISNUMBER(H96),N(H96)&lt;&gt;0,S96=0),"Tax ignored (tax tracking is off)",IF(AND(ISNUMBER(StartDate),C96&lt;StartDate),"Date is before the accounting start date",IF(OR(IFERROR(INDEX(coa_Type,MATCH(F96,coa_Name,0)),"")="Revenue",IFERROR(INDEX(coa_Type,MATCH(F96,coa_Name,0)),"")="Other Income",IFERROR(INDEX(coa_Type,MATCH(F96,coa_Name,0)),"")="Equity"),"Account is not an expense or asset account",""))))))</f>
        <v/>
      </c>
      <c r="V96" s="67">
        <f>IF(AND(R96=0,T96=""),1,0)</f>
        <v/>
      </c>
      <c r="W96" s="67">
        <f>IF(V96=1,F96,"")</f>
        <v/>
      </c>
      <c r="X96" s="67">
        <f>IF(V96=1,acctAP,"")</f>
        <v/>
      </c>
      <c r="Y96" s="68">
        <f>IF(V96=1,G96-S96,0)</f>
        <v/>
      </c>
      <c r="Z96" s="68">
        <f>IF(V96=1,G96,0)</f>
        <v/>
      </c>
      <c r="AA96" s="68">
        <f>IF(V96=1,S96,0)</f>
        <v/>
      </c>
    </row>
    <row r="97">
      <c r="B97" s="62" t="n"/>
      <c r="C97" s="63" t="n"/>
      <c r="D97" s="62" t="n"/>
      <c r="E97" s="62" t="n"/>
      <c r="F97" s="62" t="n"/>
      <c r="G97" s="64" t="n"/>
      <c r="H97" s="64" t="n"/>
      <c r="I97" s="63" t="n"/>
      <c r="J97" s="29">
        <f>IF(V97=1,IF(ISNUMBER(I97),I97,C97+IF(ISNUMBER(IFERROR(INDEX(vend_Terms,MATCH(D97,vend_Name,0)),"")),INDEX(vend_Terms,MATCH(D97,vend_Name,0)),TermsDays)),"")</f>
        <v/>
      </c>
      <c r="K97" s="65">
        <f>IF(V97=1,SUMIFS(tx_CrAmt,tx_Type,"Bill Payment",tx_Ref,B97&amp;"",tx_Vend,D97,tx_Date,"&lt;="&amp;AsOf),"")</f>
        <v/>
      </c>
      <c r="L97" s="65">
        <f>IF(V97=1,IF(C97&gt;AsOf,0,ROUND(G97-K97,2)),"")</f>
        <v/>
      </c>
      <c r="M97" s="66">
        <f>IF(V97&lt;&gt;1,"",IF(C97&gt;AsOf,"Future",IF(L97&lt;0,"Overpaid",IF(L97=0,"Paid",IF(AsOf&gt;J97,"Overdue",IF(K97&gt;0,"Partial","Unpaid"))))))</f>
        <v/>
      </c>
      <c r="N97" s="28">
        <f>IF(AND(V97=1,N(L97)&gt;0),AsOf-C97,"")</f>
        <v/>
      </c>
      <c r="O97" s="28">
        <f>IF(N97="","",MAX(0,AsOf-J97))</f>
        <v/>
      </c>
      <c r="P97" s="66">
        <f>IF(O97="","",IF(O97=0,"Current",IF(O97&lt;=30,"1-30",IF(O97&lt;=60,"31-60",IF(O97&lt;=90,"61-90","90+")))))</f>
        <v/>
      </c>
      <c r="Q97" s="66">
        <f>IF(T97&lt;&gt;"","⛔ "&amp;T97&amp;" — not posted",IF(U97&lt;&gt;"","⚠ "&amp;U97,IF(V97=1,"✓ OK","")))</f>
        <v/>
      </c>
      <c r="R97" s="67">
        <f>IF(AND(B97="",C97="",D97="",G97="",F97=""),1,0)</f>
        <v/>
      </c>
      <c r="S97" s="68">
        <f>IF(AND(TaxOn="Yes",ISNUMBER(H97)),H97,0)</f>
        <v/>
      </c>
      <c r="T97" s="67">
        <f>IF(R97=1,"",IF(B97="","Enter a bill #",IF(D97="","Select a vendor",IF(C97="","Missing bill date",IF(NOT(ISNUMBER(C97)),"Invalid date",IF(OR(C97&lt;DATE(2000,1,1),C97&gt;DATE(2099,12,31)),"Invalid date",IF(F97="","Select an expense account",IF(ISNA(MATCH(F97,coa_Name,0)),"Unknown account: "&amp;F97,IF(NOT(ISNUMBER(G97)),"Enter an amount",IF(G97&lt;=0,"Amount must be positive",IF(S97&gt;G97,"Tax is larger than the amount","")))))))))))</f>
        <v/>
      </c>
      <c r="U97" s="67">
        <f>IF(OR(R97=1,T97&lt;&gt;""),"",IF(COUNTIFS(ap_No,B97,ap_Party,D97)&gt;1,"Duplicate bill #",IF(N(L97)&lt;0,"Overpaid by "&amp;TEXT(-L97,"#,##0.00"),IF(AND(ISNUMBER(H97),N(H97)&lt;&gt;0,S97=0),"Tax ignored (tax tracking is off)",IF(AND(ISNUMBER(StartDate),C97&lt;StartDate),"Date is before the accounting start date",IF(OR(IFERROR(INDEX(coa_Type,MATCH(F97,coa_Name,0)),"")="Revenue",IFERROR(INDEX(coa_Type,MATCH(F97,coa_Name,0)),"")="Other Income",IFERROR(INDEX(coa_Type,MATCH(F97,coa_Name,0)),"")="Equity"),"Account is not an expense or asset account",""))))))</f>
        <v/>
      </c>
      <c r="V97" s="67">
        <f>IF(AND(R97=0,T97=""),1,0)</f>
        <v/>
      </c>
      <c r="W97" s="67">
        <f>IF(V97=1,F97,"")</f>
        <v/>
      </c>
      <c r="X97" s="67">
        <f>IF(V97=1,acctAP,"")</f>
        <v/>
      </c>
      <c r="Y97" s="68">
        <f>IF(V97=1,G97-S97,0)</f>
        <v/>
      </c>
      <c r="Z97" s="68">
        <f>IF(V97=1,G97,0)</f>
        <v/>
      </c>
      <c r="AA97" s="68">
        <f>IF(V97=1,S97,0)</f>
        <v/>
      </c>
    </row>
    <row r="98">
      <c r="B98" s="62" t="n"/>
      <c r="C98" s="63" t="n"/>
      <c r="D98" s="62" t="n"/>
      <c r="E98" s="62" t="n"/>
      <c r="F98" s="62" t="n"/>
      <c r="G98" s="64" t="n"/>
      <c r="H98" s="64" t="n"/>
      <c r="I98" s="63" t="n"/>
      <c r="J98" s="29">
        <f>IF(V98=1,IF(ISNUMBER(I98),I98,C98+IF(ISNUMBER(IFERROR(INDEX(vend_Terms,MATCH(D98,vend_Name,0)),"")),INDEX(vend_Terms,MATCH(D98,vend_Name,0)),TermsDays)),"")</f>
        <v/>
      </c>
      <c r="K98" s="65">
        <f>IF(V98=1,SUMIFS(tx_CrAmt,tx_Type,"Bill Payment",tx_Ref,B98&amp;"",tx_Vend,D98,tx_Date,"&lt;="&amp;AsOf),"")</f>
        <v/>
      </c>
      <c r="L98" s="65">
        <f>IF(V98=1,IF(C98&gt;AsOf,0,ROUND(G98-K98,2)),"")</f>
        <v/>
      </c>
      <c r="M98" s="66">
        <f>IF(V98&lt;&gt;1,"",IF(C98&gt;AsOf,"Future",IF(L98&lt;0,"Overpaid",IF(L98=0,"Paid",IF(AsOf&gt;J98,"Overdue",IF(K98&gt;0,"Partial","Unpaid"))))))</f>
        <v/>
      </c>
      <c r="N98" s="28">
        <f>IF(AND(V98=1,N(L98)&gt;0),AsOf-C98,"")</f>
        <v/>
      </c>
      <c r="O98" s="28">
        <f>IF(N98="","",MAX(0,AsOf-J98))</f>
        <v/>
      </c>
      <c r="P98" s="66">
        <f>IF(O98="","",IF(O98=0,"Current",IF(O98&lt;=30,"1-30",IF(O98&lt;=60,"31-60",IF(O98&lt;=90,"61-90","90+")))))</f>
        <v/>
      </c>
      <c r="Q98" s="66">
        <f>IF(T98&lt;&gt;"","⛔ "&amp;T98&amp;" — not posted",IF(U98&lt;&gt;"","⚠ "&amp;U98,IF(V98=1,"✓ OK","")))</f>
        <v/>
      </c>
      <c r="R98" s="67">
        <f>IF(AND(B98="",C98="",D98="",G98="",F98=""),1,0)</f>
        <v/>
      </c>
      <c r="S98" s="68">
        <f>IF(AND(TaxOn="Yes",ISNUMBER(H98)),H98,0)</f>
        <v/>
      </c>
      <c r="T98" s="67">
        <f>IF(R98=1,"",IF(B98="","Enter a bill #",IF(D98="","Select a vendor",IF(C98="","Missing bill date",IF(NOT(ISNUMBER(C98)),"Invalid date",IF(OR(C98&lt;DATE(2000,1,1),C98&gt;DATE(2099,12,31)),"Invalid date",IF(F98="","Select an expense account",IF(ISNA(MATCH(F98,coa_Name,0)),"Unknown account: "&amp;F98,IF(NOT(ISNUMBER(G98)),"Enter an amount",IF(G98&lt;=0,"Amount must be positive",IF(S98&gt;G98,"Tax is larger than the amount","")))))))))))</f>
        <v/>
      </c>
      <c r="U98" s="67">
        <f>IF(OR(R98=1,T98&lt;&gt;""),"",IF(COUNTIFS(ap_No,B98,ap_Party,D98)&gt;1,"Duplicate bill #",IF(N(L98)&lt;0,"Overpaid by "&amp;TEXT(-L98,"#,##0.00"),IF(AND(ISNUMBER(H98),N(H98)&lt;&gt;0,S98=0),"Tax ignored (tax tracking is off)",IF(AND(ISNUMBER(StartDate),C98&lt;StartDate),"Date is before the accounting start date",IF(OR(IFERROR(INDEX(coa_Type,MATCH(F98,coa_Name,0)),"")="Revenue",IFERROR(INDEX(coa_Type,MATCH(F98,coa_Name,0)),"")="Other Income",IFERROR(INDEX(coa_Type,MATCH(F98,coa_Name,0)),"")="Equity"),"Account is not an expense or asset account",""))))))</f>
        <v/>
      </c>
      <c r="V98" s="67">
        <f>IF(AND(R98=0,T98=""),1,0)</f>
        <v/>
      </c>
      <c r="W98" s="67">
        <f>IF(V98=1,F98,"")</f>
        <v/>
      </c>
      <c r="X98" s="67">
        <f>IF(V98=1,acctAP,"")</f>
        <v/>
      </c>
      <c r="Y98" s="68">
        <f>IF(V98=1,G98-S98,0)</f>
        <v/>
      </c>
      <c r="Z98" s="68">
        <f>IF(V98=1,G98,0)</f>
        <v/>
      </c>
      <c r="AA98" s="68">
        <f>IF(V98=1,S98,0)</f>
        <v/>
      </c>
    </row>
    <row r="99">
      <c r="B99" s="62" t="n"/>
      <c r="C99" s="63" t="n"/>
      <c r="D99" s="62" t="n"/>
      <c r="E99" s="62" t="n"/>
      <c r="F99" s="62" t="n"/>
      <c r="G99" s="64" t="n"/>
      <c r="H99" s="64" t="n"/>
      <c r="I99" s="63" t="n"/>
      <c r="J99" s="29">
        <f>IF(V99=1,IF(ISNUMBER(I99),I99,C99+IF(ISNUMBER(IFERROR(INDEX(vend_Terms,MATCH(D99,vend_Name,0)),"")),INDEX(vend_Terms,MATCH(D99,vend_Name,0)),TermsDays)),"")</f>
        <v/>
      </c>
      <c r="K99" s="65">
        <f>IF(V99=1,SUMIFS(tx_CrAmt,tx_Type,"Bill Payment",tx_Ref,B99&amp;"",tx_Vend,D99,tx_Date,"&lt;="&amp;AsOf),"")</f>
        <v/>
      </c>
      <c r="L99" s="65">
        <f>IF(V99=1,IF(C99&gt;AsOf,0,ROUND(G99-K99,2)),"")</f>
        <v/>
      </c>
      <c r="M99" s="66">
        <f>IF(V99&lt;&gt;1,"",IF(C99&gt;AsOf,"Future",IF(L99&lt;0,"Overpaid",IF(L99=0,"Paid",IF(AsOf&gt;J99,"Overdue",IF(K99&gt;0,"Partial","Unpaid"))))))</f>
        <v/>
      </c>
      <c r="N99" s="28">
        <f>IF(AND(V99=1,N(L99)&gt;0),AsOf-C99,"")</f>
        <v/>
      </c>
      <c r="O99" s="28">
        <f>IF(N99="","",MAX(0,AsOf-J99))</f>
        <v/>
      </c>
      <c r="P99" s="66">
        <f>IF(O99="","",IF(O99=0,"Current",IF(O99&lt;=30,"1-30",IF(O99&lt;=60,"31-60",IF(O99&lt;=90,"61-90","90+")))))</f>
        <v/>
      </c>
      <c r="Q99" s="66">
        <f>IF(T99&lt;&gt;"","⛔ "&amp;T99&amp;" — not posted",IF(U99&lt;&gt;"","⚠ "&amp;U99,IF(V99=1,"✓ OK","")))</f>
        <v/>
      </c>
      <c r="R99" s="67">
        <f>IF(AND(B99="",C99="",D99="",G99="",F99=""),1,0)</f>
        <v/>
      </c>
      <c r="S99" s="68">
        <f>IF(AND(TaxOn="Yes",ISNUMBER(H99)),H99,0)</f>
        <v/>
      </c>
      <c r="T99" s="67">
        <f>IF(R99=1,"",IF(B99="","Enter a bill #",IF(D99="","Select a vendor",IF(C99="","Missing bill date",IF(NOT(ISNUMBER(C99)),"Invalid date",IF(OR(C99&lt;DATE(2000,1,1),C99&gt;DATE(2099,12,31)),"Invalid date",IF(F99="","Select an expense account",IF(ISNA(MATCH(F99,coa_Name,0)),"Unknown account: "&amp;F99,IF(NOT(ISNUMBER(G99)),"Enter an amount",IF(G99&lt;=0,"Amount must be positive",IF(S99&gt;G99,"Tax is larger than the amount","")))))))))))</f>
        <v/>
      </c>
      <c r="U99" s="67">
        <f>IF(OR(R99=1,T99&lt;&gt;""),"",IF(COUNTIFS(ap_No,B99,ap_Party,D99)&gt;1,"Duplicate bill #",IF(N(L99)&lt;0,"Overpaid by "&amp;TEXT(-L99,"#,##0.00"),IF(AND(ISNUMBER(H99),N(H99)&lt;&gt;0,S99=0),"Tax ignored (tax tracking is off)",IF(AND(ISNUMBER(StartDate),C99&lt;StartDate),"Date is before the accounting start date",IF(OR(IFERROR(INDEX(coa_Type,MATCH(F99,coa_Name,0)),"")="Revenue",IFERROR(INDEX(coa_Type,MATCH(F99,coa_Name,0)),"")="Other Income",IFERROR(INDEX(coa_Type,MATCH(F99,coa_Name,0)),"")="Equity"),"Account is not an expense or asset account",""))))))</f>
        <v/>
      </c>
      <c r="V99" s="67">
        <f>IF(AND(R99=0,T99=""),1,0)</f>
        <v/>
      </c>
      <c r="W99" s="67">
        <f>IF(V99=1,F99,"")</f>
        <v/>
      </c>
      <c r="X99" s="67">
        <f>IF(V99=1,acctAP,"")</f>
        <v/>
      </c>
      <c r="Y99" s="68">
        <f>IF(V99=1,G99-S99,0)</f>
        <v/>
      </c>
      <c r="Z99" s="68">
        <f>IF(V99=1,G99,0)</f>
        <v/>
      </c>
      <c r="AA99" s="68">
        <f>IF(V99=1,S99,0)</f>
        <v/>
      </c>
    </row>
    <row r="100">
      <c r="B100" s="62" t="n"/>
      <c r="C100" s="63" t="n"/>
      <c r="D100" s="62" t="n"/>
      <c r="E100" s="62" t="n"/>
      <c r="F100" s="62" t="n"/>
      <c r="G100" s="64" t="n"/>
      <c r="H100" s="64" t="n"/>
      <c r="I100" s="63" t="n"/>
      <c r="J100" s="29">
        <f>IF(V100=1,IF(ISNUMBER(I100),I100,C100+IF(ISNUMBER(IFERROR(INDEX(vend_Terms,MATCH(D100,vend_Name,0)),"")),INDEX(vend_Terms,MATCH(D100,vend_Name,0)),TermsDays)),"")</f>
        <v/>
      </c>
      <c r="K100" s="65">
        <f>IF(V100=1,SUMIFS(tx_CrAmt,tx_Type,"Bill Payment",tx_Ref,B100&amp;"",tx_Vend,D100,tx_Date,"&lt;="&amp;AsOf),"")</f>
        <v/>
      </c>
      <c r="L100" s="65">
        <f>IF(V100=1,IF(C100&gt;AsOf,0,ROUND(G100-K100,2)),"")</f>
        <v/>
      </c>
      <c r="M100" s="66">
        <f>IF(V100&lt;&gt;1,"",IF(C100&gt;AsOf,"Future",IF(L100&lt;0,"Overpaid",IF(L100=0,"Paid",IF(AsOf&gt;J100,"Overdue",IF(K100&gt;0,"Partial","Unpaid"))))))</f>
        <v/>
      </c>
      <c r="N100" s="28">
        <f>IF(AND(V100=1,N(L100)&gt;0),AsOf-C100,"")</f>
        <v/>
      </c>
      <c r="O100" s="28">
        <f>IF(N100="","",MAX(0,AsOf-J100))</f>
        <v/>
      </c>
      <c r="P100" s="66">
        <f>IF(O100="","",IF(O100=0,"Current",IF(O100&lt;=30,"1-30",IF(O100&lt;=60,"31-60",IF(O100&lt;=90,"61-90","90+")))))</f>
        <v/>
      </c>
      <c r="Q100" s="66">
        <f>IF(T100&lt;&gt;"","⛔ "&amp;T100&amp;" — not posted",IF(U100&lt;&gt;"","⚠ "&amp;U100,IF(V100=1,"✓ OK","")))</f>
        <v/>
      </c>
      <c r="R100" s="67">
        <f>IF(AND(B100="",C100="",D100="",G100="",F100=""),1,0)</f>
        <v/>
      </c>
      <c r="S100" s="68">
        <f>IF(AND(TaxOn="Yes",ISNUMBER(H100)),H100,0)</f>
        <v/>
      </c>
      <c r="T100" s="67">
        <f>IF(R100=1,"",IF(B100="","Enter a bill #",IF(D100="","Select a vendor",IF(C100="","Missing bill date",IF(NOT(ISNUMBER(C100)),"Invalid date",IF(OR(C100&lt;DATE(2000,1,1),C100&gt;DATE(2099,12,31)),"Invalid date",IF(F100="","Select an expense account",IF(ISNA(MATCH(F100,coa_Name,0)),"Unknown account: "&amp;F100,IF(NOT(ISNUMBER(G100)),"Enter an amount",IF(G100&lt;=0,"Amount must be positive",IF(S100&gt;G100,"Tax is larger than the amount","")))))))))))</f>
        <v/>
      </c>
      <c r="U100" s="67">
        <f>IF(OR(R100=1,T100&lt;&gt;""),"",IF(COUNTIFS(ap_No,B100,ap_Party,D100)&gt;1,"Duplicate bill #",IF(N(L100)&lt;0,"Overpaid by "&amp;TEXT(-L100,"#,##0.00"),IF(AND(ISNUMBER(H100),N(H100)&lt;&gt;0,S100=0),"Tax ignored (tax tracking is off)",IF(AND(ISNUMBER(StartDate),C100&lt;StartDate),"Date is before the accounting start date",IF(OR(IFERROR(INDEX(coa_Type,MATCH(F100,coa_Name,0)),"")="Revenue",IFERROR(INDEX(coa_Type,MATCH(F100,coa_Name,0)),"")="Other Income",IFERROR(INDEX(coa_Type,MATCH(F100,coa_Name,0)),"")="Equity"),"Account is not an expense or asset account",""))))))</f>
        <v/>
      </c>
      <c r="V100" s="67">
        <f>IF(AND(R100=0,T100=""),1,0)</f>
        <v/>
      </c>
      <c r="W100" s="67">
        <f>IF(V100=1,F100,"")</f>
        <v/>
      </c>
      <c r="X100" s="67">
        <f>IF(V100=1,acctAP,"")</f>
        <v/>
      </c>
      <c r="Y100" s="68">
        <f>IF(V100=1,G100-S100,0)</f>
        <v/>
      </c>
      <c r="Z100" s="68">
        <f>IF(V100=1,G100,0)</f>
        <v/>
      </c>
      <c r="AA100" s="68">
        <f>IF(V100=1,S100,0)</f>
        <v/>
      </c>
    </row>
    <row r="101">
      <c r="B101" s="62" t="n"/>
      <c r="C101" s="63" t="n"/>
      <c r="D101" s="62" t="n"/>
      <c r="E101" s="62" t="n"/>
      <c r="F101" s="62" t="n"/>
      <c r="G101" s="64" t="n"/>
      <c r="H101" s="64" t="n"/>
      <c r="I101" s="63" t="n"/>
      <c r="J101" s="29">
        <f>IF(V101=1,IF(ISNUMBER(I101),I101,C101+IF(ISNUMBER(IFERROR(INDEX(vend_Terms,MATCH(D101,vend_Name,0)),"")),INDEX(vend_Terms,MATCH(D101,vend_Name,0)),TermsDays)),"")</f>
        <v/>
      </c>
      <c r="K101" s="65">
        <f>IF(V101=1,SUMIFS(tx_CrAmt,tx_Type,"Bill Payment",tx_Ref,B101&amp;"",tx_Vend,D101,tx_Date,"&lt;="&amp;AsOf),"")</f>
        <v/>
      </c>
      <c r="L101" s="65">
        <f>IF(V101=1,IF(C101&gt;AsOf,0,ROUND(G101-K101,2)),"")</f>
        <v/>
      </c>
      <c r="M101" s="66">
        <f>IF(V101&lt;&gt;1,"",IF(C101&gt;AsOf,"Future",IF(L101&lt;0,"Overpaid",IF(L101=0,"Paid",IF(AsOf&gt;J101,"Overdue",IF(K101&gt;0,"Partial","Unpaid"))))))</f>
        <v/>
      </c>
      <c r="N101" s="28">
        <f>IF(AND(V101=1,N(L101)&gt;0),AsOf-C101,"")</f>
        <v/>
      </c>
      <c r="O101" s="28">
        <f>IF(N101="","",MAX(0,AsOf-J101))</f>
        <v/>
      </c>
      <c r="P101" s="66">
        <f>IF(O101="","",IF(O101=0,"Current",IF(O101&lt;=30,"1-30",IF(O101&lt;=60,"31-60",IF(O101&lt;=90,"61-90","90+")))))</f>
        <v/>
      </c>
      <c r="Q101" s="66">
        <f>IF(T101&lt;&gt;"","⛔ "&amp;T101&amp;" — not posted",IF(U101&lt;&gt;"","⚠ "&amp;U101,IF(V101=1,"✓ OK","")))</f>
        <v/>
      </c>
      <c r="R101" s="67">
        <f>IF(AND(B101="",C101="",D101="",G101="",F101=""),1,0)</f>
        <v/>
      </c>
      <c r="S101" s="68">
        <f>IF(AND(TaxOn="Yes",ISNUMBER(H101)),H101,0)</f>
        <v/>
      </c>
      <c r="T101" s="67">
        <f>IF(R101=1,"",IF(B101="","Enter a bill #",IF(D101="","Select a vendor",IF(C101="","Missing bill date",IF(NOT(ISNUMBER(C101)),"Invalid date",IF(OR(C101&lt;DATE(2000,1,1),C101&gt;DATE(2099,12,31)),"Invalid date",IF(F101="","Select an expense account",IF(ISNA(MATCH(F101,coa_Name,0)),"Unknown account: "&amp;F101,IF(NOT(ISNUMBER(G101)),"Enter an amount",IF(G101&lt;=0,"Amount must be positive",IF(S101&gt;G101,"Tax is larger than the amount","")))))))))))</f>
        <v/>
      </c>
      <c r="U101" s="67">
        <f>IF(OR(R101=1,T101&lt;&gt;""),"",IF(COUNTIFS(ap_No,B101,ap_Party,D101)&gt;1,"Duplicate bill #",IF(N(L101)&lt;0,"Overpaid by "&amp;TEXT(-L101,"#,##0.00"),IF(AND(ISNUMBER(H101),N(H101)&lt;&gt;0,S101=0),"Tax ignored (tax tracking is off)",IF(AND(ISNUMBER(StartDate),C101&lt;StartDate),"Date is before the accounting start date",IF(OR(IFERROR(INDEX(coa_Type,MATCH(F101,coa_Name,0)),"")="Revenue",IFERROR(INDEX(coa_Type,MATCH(F101,coa_Name,0)),"")="Other Income",IFERROR(INDEX(coa_Type,MATCH(F101,coa_Name,0)),"")="Equity"),"Account is not an expense or asset account",""))))))</f>
        <v/>
      </c>
      <c r="V101" s="67">
        <f>IF(AND(R101=0,T101=""),1,0)</f>
        <v/>
      </c>
      <c r="W101" s="67">
        <f>IF(V101=1,F101,"")</f>
        <v/>
      </c>
      <c r="X101" s="67">
        <f>IF(V101=1,acctAP,"")</f>
        <v/>
      </c>
      <c r="Y101" s="68">
        <f>IF(V101=1,G101-S101,0)</f>
        <v/>
      </c>
      <c r="Z101" s="68">
        <f>IF(V101=1,G101,0)</f>
        <v/>
      </c>
      <c r="AA101" s="68">
        <f>IF(V101=1,S101,0)</f>
        <v/>
      </c>
    </row>
    <row r="102">
      <c r="B102" s="62" t="n"/>
      <c r="C102" s="63" t="n"/>
      <c r="D102" s="62" t="n"/>
      <c r="E102" s="62" t="n"/>
      <c r="F102" s="62" t="n"/>
      <c r="G102" s="64" t="n"/>
      <c r="H102" s="64" t="n"/>
      <c r="I102" s="63" t="n"/>
      <c r="J102" s="29">
        <f>IF(V102=1,IF(ISNUMBER(I102),I102,C102+IF(ISNUMBER(IFERROR(INDEX(vend_Terms,MATCH(D102,vend_Name,0)),"")),INDEX(vend_Terms,MATCH(D102,vend_Name,0)),TermsDays)),"")</f>
        <v/>
      </c>
      <c r="K102" s="65">
        <f>IF(V102=1,SUMIFS(tx_CrAmt,tx_Type,"Bill Payment",tx_Ref,B102&amp;"",tx_Vend,D102,tx_Date,"&lt;="&amp;AsOf),"")</f>
        <v/>
      </c>
      <c r="L102" s="65">
        <f>IF(V102=1,IF(C102&gt;AsOf,0,ROUND(G102-K102,2)),"")</f>
        <v/>
      </c>
      <c r="M102" s="66">
        <f>IF(V102&lt;&gt;1,"",IF(C102&gt;AsOf,"Future",IF(L102&lt;0,"Overpaid",IF(L102=0,"Paid",IF(AsOf&gt;J102,"Overdue",IF(K102&gt;0,"Partial","Unpaid"))))))</f>
        <v/>
      </c>
      <c r="N102" s="28">
        <f>IF(AND(V102=1,N(L102)&gt;0),AsOf-C102,"")</f>
        <v/>
      </c>
      <c r="O102" s="28">
        <f>IF(N102="","",MAX(0,AsOf-J102))</f>
        <v/>
      </c>
      <c r="P102" s="66">
        <f>IF(O102="","",IF(O102=0,"Current",IF(O102&lt;=30,"1-30",IF(O102&lt;=60,"31-60",IF(O102&lt;=90,"61-90","90+")))))</f>
        <v/>
      </c>
      <c r="Q102" s="66">
        <f>IF(T102&lt;&gt;"","⛔ "&amp;T102&amp;" — not posted",IF(U102&lt;&gt;"","⚠ "&amp;U102,IF(V102=1,"✓ OK","")))</f>
        <v/>
      </c>
      <c r="R102" s="67">
        <f>IF(AND(B102="",C102="",D102="",G102="",F102=""),1,0)</f>
        <v/>
      </c>
      <c r="S102" s="68">
        <f>IF(AND(TaxOn="Yes",ISNUMBER(H102)),H102,0)</f>
        <v/>
      </c>
      <c r="T102" s="67">
        <f>IF(R102=1,"",IF(B102="","Enter a bill #",IF(D102="","Select a vendor",IF(C102="","Missing bill date",IF(NOT(ISNUMBER(C102)),"Invalid date",IF(OR(C102&lt;DATE(2000,1,1),C102&gt;DATE(2099,12,31)),"Invalid date",IF(F102="","Select an expense account",IF(ISNA(MATCH(F102,coa_Name,0)),"Unknown account: "&amp;F102,IF(NOT(ISNUMBER(G102)),"Enter an amount",IF(G102&lt;=0,"Amount must be positive",IF(S102&gt;G102,"Tax is larger than the amount","")))))))))))</f>
        <v/>
      </c>
      <c r="U102" s="67">
        <f>IF(OR(R102=1,T102&lt;&gt;""),"",IF(COUNTIFS(ap_No,B102,ap_Party,D102)&gt;1,"Duplicate bill #",IF(N(L102)&lt;0,"Overpaid by "&amp;TEXT(-L102,"#,##0.00"),IF(AND(ISNUMBER(H102),N(H102)&lt;&gt;0,S102=0),"Tax ignored (tax tracking is off)",IF(AND(ISNUMBER(StartDate),C102&lt;StartDate),"Date is before the accounting start date",IF(OR(IFERROR(INDEX(coa_Type,MATCH(F102,coa_Name,0)),"")="Revenue",IFERROR(INDEX(coa_Type,MATCH(F102,coa_Name,0)),"")="Other Income",IFERROR(INDEX(coa_Type,MATCH(F102,coa_Name,0)),"")="Equity"),"Account is not an expense or asset account",""))))))</f>
        <v/>
      </c>
      <c r="V102" s="67">
        <f>IF(AND(R102=0,T102=""),1,0)</f>
        <v/>
      </c>
      <c r="W102" s="67">
        <f>IF(V102=1,F102,"")</f>
        <v/>
      </c>
      <c r="X102" s="67">
        <f>IF(V102=1,acctAP,"")</f>
        <v/>
      </c>
      <c r="Y102" s="68">
        <f>IF(V102=1,G102-S102,0)</f>
        <v/>
      </c>
      <c r="Z102" s="68">
        <f>IF(V102=1,G102,0)</f>
        <v/>
      </c>
      <c r="AA102" s="68">
        <f>IF(V102=1,S102,0)</f>
        <v/>
      </c>
    </row>
    <row r="103">
      <c r="B103" s="62" t="n"/>
      <c r="C103" s="63" t="n"/>
      <c r="D103" s="62" t="n"/>
      <c r="E103" s="62" t="n"/>
      <c r="F103" s="62" t="n"/>
      <c r="G103" s="64" t="n"/>
      <c r="H103" s="64" t="n"/>
      <c r="I103" s="63" t="n"/>
      <c r="J103" s="29">
        <f>IF(V103=1,IF(ISNUMBER(I103),I103,C103+IF(ISNUMBER(IFERROR(INDEX(vend_Terms,MATCH(D103,vend_Name,0)),"")),INDEX(vend_Terms,MATCH(D103,vend_Name,0)),TermsDays)),"")</f>
        <v/>
      </c>
      <c r="K103" s="65">
        <f>IF(V103=1,SUMIFS(tx_CrAmt,tx_Type,"Bill Payment",tx_Ref,B103&amp;"",tx_Vend,D103,tx_Date,"&lt;="&amp;AsOf),"")</f>
        <v/>
      </c>
      <c r="L103" s="65">
        <f>IF(V103=1,IF(C103&gt;AsOf,0,ROUND(G103-K103,2)),"")</f>
        <v/>
      </c>
      <c r="M103" s="66">
        <f>IF(V103&lt;&gt;1,"",IF(C103&gt;AsOf,"Future",IF(L103&lt;0,"Overpaid",IF(L103=0,"Paid",IF(AsOf&gt;J103,"Overdue",IF(K103&gt;0,"Partial","Unpaid"))))))</f>
        <v/>
      </c>
      <c r="N103" s="28">
        <f>IF(AND(V103=1,N(L103)&gt;0),AsOf-C103,"")</f>
        <v/>
      </c>
      <c r="O103" s="28">
        <f>IF(N103="","",MAX(0,AsOf-J103))</f>
        <v/>
      </c>
      <c r="P103" s="66">
        <f>IF(O103="","",IF(O103=0,"Current",IF(O103&lt;=30,"1-30",IF(O103&lt;=60,"31-60",IF(O103&lt;=90,"61-90","90+")))))</f>
        <v/>
      </c>
      <c r="Q103" s="66">
        <f>IF(T103&lt;&gt;"","⛔ "&amp;T103&amp;" — not posted",IF(U103&lt;&gt;"","⚠ "&amp;U103,IF(V103=1,"✓ OK","")))</f>
        <v/>
      </c>
      <c r="R103" s="67">
        <f>IF(AND(B103="",C103="",D103="",G103="",F103=""),1,0)</f>
        <v/>
      </c>
      <c r="S103" s="68">
        <f>IF(AND(TaxOn="Yes",ISNUMBER(H103)),H103,0)</f>
        <v/>
      </c>
      <c r="T103" s="67">
        <f>IF(R103=1,"",IF(B103="","Enter a bill #",IF(D103="","Select a vendor",IF(C103="","Missing bill date",IF(NOT(ISNUMBER(C103)),"Invalid date",IF(OR(C103&lt;DATE(2000,1,1),C103&gt;DATE(2099,12,31)),"Invalid date",IF(F103="","Select an expense account",IF(ISNA(MATCH(F103,coa_Name,0)),"Unknown account: "&amp;F103,IF(NOT(ISNUMBER(G103)),"Enter an amount",IF(G103&lt;=0,"Amount must be positive",IF(S103&gt;G103,"Tax is larger than the amount","")))))))))))</f>
        <v/>
      </c>
      <c r="U103" s="67">
        <f>IF(OR(R103=1,T103&lt;&gt;""),"",IF(COUNTIFS(ap_No,B103,ap_Party,D103)&gt;1,"Duplicate bill #",IF(N(L103)&lt;0,"Overpaid by "&amp;TEXT(-L103,"#,##0.00"),IF(AND(ISNUMBER(H103),N(H103)&lt;&gt;0,S103=0),"Tax ignored (tax tracking is off)",IF(AND(ISNUMBER(StartDate),C103&lt;StartDate),"Date is before the accounting start date",IF(OR(IFERROR(INDEX(coa_Type,MATCH(F103,coa_Name,0)),"")="Revenue",IFERROR(INDEX(coa_Type,MATCH(F103,coa_Name,0)),"")="Other Income",IFERROR(INDEX(coa_Type,MATCH(F103,coa_Name,0)),"")="Equity"),"Account is not an expense or asset account",""))))))</f>
        <v/>
      </c>
      <c r="V103" s="67">
        <f>IF(AND(R103=0,T103=""),1,0)</f>
        <v/>
      </c>
      <c r="W103" s="67">
        <f>IF(V103=1,F103,"")</f>
        <v/>
      </c>
      <c r="X103" s="67">
        <f>IF(V103=1,acctAP,"")</f>
        <v/>
      </c>
      <c r="Y103" s="68">
        <f>IF(V103=1,G103-S103,0)</f>
        <v/>
      </c>
      <c r="Z103" s="68">
        <f>IF(V103=1,G103,0)</f>
        <v/>
      </c>
      <c r="AA103" s="68">
        <f>IF(V103=1,S103,0)</f>
        <v/>
      </c>
    </row>
    <row r="104">
      <c r="B104" s="62" t="n"/>
      <c r="C104" s="63" t="n"/>
      <c r="D104" s="62" t="n"/>
      <c r="E104" s="62" t="n"/>
      <c r="F104" s="62" t="n"/>
      <c r="G104" s="64" t="n"/>
      <c r="H104" s="64" t="n"/>
      <c r="I104" s="63" t="n"/>
      <c r="J104" s="29">
        <f>IF(V104=1,IF(ISNUMBER(I104),I104,C104+IF(ISNUMBER(IFERROR(INDEX(vend_Terms,MATCH(D104,vend_Name,0)),"")),INDEX(vend_Terms,MATCH(D104,vend_Name,0)),TermsDays)),"")</f>
        <v/>
      </c>
      <c r="K104" s="65">
        <f>IF(V104=1,SUMIFS(tx_CrAmt,tx_Type,"Bill Payment",tx_Ref,B104&amp;"",tx_Vend,D104,tx_Date,"&lt;="&amp;AsOf),"")</f>
        <v/>
      </c>
      <c r="L104" s="65">
        <f>IF(V104=1,IF(C104&gt;AsOf,0,ROUND(G104-K104,2)),"")</f>
        <v/>
      </c>
      <c r="M104" s="66">
        <f>IF(V104&lt;&gt;1,"",IF(C104&gt;AsOf,"Future",IF(L104&lt;0,"Overpaid",IF(L104=0,"Paid",IF(AsOf&gt;J104,"Overdue",IF(K104&gt;0,"Partial","Unpaid"))))))</f>
        <v/>
      </c>
      <c r="N104" s="28">
        <f>IF(AND(V104=1,N(L104)&gt;0),AsOf-C104,"")</f>
        <v/>
      </c>
      <c r="O104" s="28">
        <f>IF(N104="","",MAX(0,AsOf-J104))</f>
        <v/>
      </c>
      <c r="P104" s="66">
        <f>IF(O104="","",IF(O104=0,"Current",IF(O104&lt;=30,"1-30",IF(O104&lt;=60,"31-60",IF(O104&lt;=90,"61-90","90+")))))</f>
        <v/>
      </c>
      <c r="Q104" s="66">
        <f>IF(T104&lt;&gt;"","⛔ "&amp;T104&amp;" — not posted",IF(U104&lt;&gt;"","⚠ "&amp;U104,IF(V104=1,"✓ OK","")))</f>
        <v/>
      </c>
      <c r="R104" s="67">
        <f>IF(AND(B104="",C104="",D104="",G104="",F104=""),1,0)</f>
        <v/>
      </c>
      <c r="S104" s="68">
        <f>IF(AND(TaxOn="Yes",ISNUMBER(H104)),H104,0)</f>
        <v/>
      </c>
      <c r="T104" s="67">
        <f>IF(R104=1,"",IF(B104="","Enter a bill #",IF(D104="","Select a vendor",IF(C104="","Missing bill date",IF(NOT(ISNUMBER(C104)),"Invalid date",IF(OR(C104&lt;DATE(2000,1,1),C104&gt;DATE(2099,12,31)),"Invalid date",IF(F104="","Select an expense account",IF(ISNA(MATCH(F104,coa_Name,0)),"Unknown account: "&amp;F104,IF(NOT(ISNUMBER(G104)),"Enter an amount",IF(G104&lt;=0,"Amount must be positive",IF(S104&gt;G104,"Tax is larger than the amount","")))))))))))</f>
        <v/>
      </c>
      <c r="U104" s="67">
        <f>IF(OR(R104=1,T104&lt;&gt;""),"",IF(COUNTIFS(ap_No,B104,ap_Party,D104)&gt;1,"Duplicate bill #",IF(N(L104)&lt;0,"Overpaid by "&amp;TEXT(-L104,"#,##0.00"),IF(AND(ISNUMBER(H104),N(H104)&lt;&gt;0,S104=0),"Tax ignored (tax tracking is off)",IF(AND(ISNUMBER(StartDate),C104&lt;StartDate),"Date is before the accounting start date",IF(OR(IFERROR(INDEX(coa_Type,MATCH(F104,coa_Name,0)),"")="Revenue",IFERROR(INDEX(coa_Type,MATCH(F104,coa_Name,0)),"")="Other Income",IFERROR(INDEX(coa_Type,MATCH(F104,coa_Name,0)),"")="Equity"),"Account is not an expense or asset account",""))))))</f>
        <v/>
      </c>
      <c r="V104" s="67">
        <f>IF(AND(R104=0,T104=""),1,0)</f>
        <v/>
      </c>
      <c r="W104" s="67">
        <f>IF(V104=1,F104,"")</f>
        <v/>
      </c>
      <c r="X104" s="67">
        <f>IF(V104=1,acctAP,"")</f>
        <v/>
      </c>
      <c r="Y104" s="68">
        <f>IF(V104=1,G104-S104,0)</f>
        <v/>
      </c>
      <c r="Z104" s="68">
        <f>IF(V104=1,G104,0)</f>
        <v/>
      </c>
      <c r="AA104" s="68">
        <f>IF(V104=1,S104,0)</f>
        <v/>
      </c>
    </row>
    <row r="105">
      <c r="B105" s="62" t="n"/>
      <c r="C105" s="63" t="n"/>
      <c r="D105" s="62" t="n"/>
      <c r="E105" s="62" t="n"/>
      <c r="F105" s="62" t="n"/>
      <c r="G105" s="64" t="n"/>
      <c r="H105" s="64" t="n"/>
      <c r="I105" s="63" t="n"/>
      <c r="J105" s="29">
        <f>IF(V105=1,IF(ISNUMBER(I105),I105,C105+IF(ISNUMBER(IFERROR(INDEX(vend_Terms,MATCH(D105,vend_Name,0)),"")),INDEX(vend_Terms,MATCH(D105,vend_Name,0)),TermsDays)),"")</f>
        <v/>
      </c>
      <c r="K105" s="65">
        <f>IF(V105=1,SUMIFS(tx_CrAmt,tx_Type,"Bill Payment",tx_Ref,B105&amp;"",tx_Vend,D105,tx_Date,"&lt;="&amp;AsOf),"")</f>
        <v/>
      </c>
      <c r="L105" s="65">
        <f>IF(V105=1,IF(C105&gt;AsOf,0,ROUND(G105-K105,2)),"")</f>
        <v/>
      </c>
      <c r="M105" s="66">
        <f>IF(V105&lt;&gt;1,"",IF(C105&gt;AsOf,"Future",IF(L105&lt;0,"Overpaid",IF(L105=0,"Paid",IF(AsOf&gt;J105,"Overdue",IF(K105&gt;0,"Partial","Unpaid"))))))</f>
        <v/>
      </c>
      <c r="N105" s="28">
        <f>IF(AND(V105=1,N(L105)&gt;0),AsOf-C105,"")</f>
        <v/>
      </c>
      <c r="O105" s="28">
        <f>IF(N105="","",MAX(0,AsOf-J105))</f>
        <v/>
      </c>
      <c r="P105" s="66">
        <f>IF(O105="","",IF(O105=0,"Current",IF(O105&lt;=30,"1-30",IF(O105&lt;=60,"31-60",IF(O105&lt;=90,"61-90","90+")))))</f>
        <v/>
      </c>
      <c r="Q105" s="66">
        <f>IF(T105&lt;&gt;"","⛔ "&amp;T105&amp;" — not posted",IF(U105&lt;&gt;"","⚠ "&amp;U105,IF(V105=1,"✓ OK","")))</f>
        <v/>
      </c>
      <c r="R105" s="67">
        <f>IF(AND(B105="",C105="",D105="",G105="",F105=""),1,0)</f>
        <v/>
      </c>
      <c r="S105" s="68">
        <f>IF(AND(TaxOn="Yes",ISNUMBER(H105)),H105,0)</f>
        <v/>
      </c>
      <c r="T105" s="67">
        <f>IF(R105=1,"",IF(B105="","Enter a bill #",IF(D105="","Select a vendor",IF(C105="","Missing bill date",IF(NOT(ISNUMBER(C105)),"Invalid date",IF(OR(C105&lt;DATE(2000,1,1),C105&gt;DATE(2099,12,31)),"Invalid date",IF(F105="","Select an expense account",IF(ISNA(MATCH(F105,coa_Name,0)),"Unknown account: "&amp;F105,IF(NOT(ISNUMBER(G105)),"Enter an amount",IF(G105&lt;=0,"Amount must be positive",IF(S105&gt;G105,"Tax is larger than the amount","")))))))))))</f>
        <v/>
      </c>
      <c r="U105" s="67">
        <f>IF(OR(R105=1,T105&lt;&gt;""),"",IF(COUNTIFS(ap_No,B105,ap_Party,D105)&gt;1,"Duplicate bill #",IF(N(L105)&lt;0,"Overpaid by "&amp;TEXT(-L105,"#,##0.00"),IF(AND(ISNUMBER(H105),N(H105)&lt;&gt;0,S105=0),"Tax ignored (tax tracking is off)",IF(AND(ISNUMBER(StartDate),C105&lt;StartDate),"Date is before the accounting start date",IF(OR(IFERROR(INDEX(coa_Type,MATCH(F105,coa_Name,0)),"")="Revenue",IFERROR(INDEX(coa_Type,MATCH(F105,coa_Name,0)),"")="Other Income",IFERROR(INDEX(coa_Type,MATCH(F105,coa_Name,0)),"")="Equity"),"Account is not an expense or asset account",""))))))</f>
        <v/>
      </c>
      <c r="V105" s="67">
        <f>IF(AND(R105=0,T105=""),1,0)</f>
        <v/>
      </c>
      <c r="W105" s="67">
        <f>IF(V105=1,F105,"")</f>
        <v/>
      </c>
      <c r="X105" s="67">
        <f>IF(V105=1,acctAP,"")</f>
        <v/>
      </c>
      <c r="Y105" s="68">
        <f>IF(V105=1,G105-S105,0)</f>
        <v/>
      </c>
      <c r="Z105" s="68">
        <f>IF(V105=1,G105,0)</f>
        <v/>
      </c>
      <c r="AA105" s="68">
        <f>IF(V105=1,S105,0)</f>
        <v/>
      </c>
    </row>
    <row r="106">
      <c r="B106" s="62" t="n"/>
      <c r="C106" s="63" t="n"/>
      <c r="D106" s="62" t="n"/>
      <c r="E106" s="62" t="n"/>
      <c r="F106" s="62" t="n"/>
      <c r="G106" s="64" t="n"/>
      <c r="H106" s="64" t="n"/>
      <c r="I106" s="63" t="n"/>
      <c r="J106" s="29">
        <f>IF(V106=1,IF(ISNUMBER(I106),I106,C106+IF(ISNUMBER(IFERROR(INDEX(vend_Terms,MATCH(D106,vend_Name,0)),"")),INDEX(vend_Terms,MATCH(D106,vend_Name,0)),TermsDays)),"")</f>
        <v/>
      </c>
      <c r="K106" s="65">
        <f>IF(V106=1,SUMIFS(tx_CrAmt,tx_Type,"Bill Payment",tx_Ref,B106&amp;"",tx_Vend,D106,tx_Date,"&lt;="&amp;AsOf),"")</f>
        <v/>
      </c>
      <c r="L106" s="65">
        <f>IF(V106=1,IF(C106&gt;AsOf,0,ROUND(G106-K106,2)),"")</f>
        <v/>
      </c>
      <c r="M106" s="66">
        <f>IF(V106&lt;&gt;1,"",IF(C106&gt;AsOf,"Future",IF(L106&lt;0,"Overpaid",IF(L106=0,"Paid",IF(AsOf&gt;J106,"Overdue",IF(K106&gt;0,"Partial","Unpaid"))))))</f>
        <v/>
      </c>
      <c r="N106" s="28">
        <f>IF(AND(V106=1,N(L106)&gt;0),AsOf-C106,"")</f>
        <v/>
      </c>
      <c r="O106" s="28">
        <f>IF(N106="","",MAX(0,AsOf-J106))</f>
        <v/>
      </c>
      <c r="P106" s="66">
        <f>IF(O106="","",IF(O106=0,"Current",IF(O106&lt;=30,"1-30",IF(O106&lt;=60,"31-60",IF(O106&lt;=90,"61-90","90+")))))</f>
        <v/>
      </c>
      <c r="Q106" s="66">
        <f>IF(T106&lt;&gt;"","⛔ "&amp;T106&amp;" — not posted",IF(U106&lt;&gt;"","⚠ "&amp;U106,IF(V106=1,"✓ OK","")))</f>
        <v/>
      </c>
      <c r="R106" s="67">
        <f>IF(AND(B106="",C106="",D106="",G106="",F106=""),1,0)</f>
        <v/>
      </c>
      <c r="S106" s="68">
        <f>IF(AND(TaxOn="Yes",ISNUMBER(H106)),H106,0)</f>
        <v/>
      </c>
      <c r="T106" s="67">
        <f>IF(R106=1,"",IF(B106="","Enter a bill #",IF(D106="","Select a vendor",IF(C106="","Missing bill date",IF(NOT(ISNUMBER(C106)),"Invalid date",IF(OR(C106&lt;DATE(2000,1,1),C106&gt;DATE(2099,12,31)),"Invalid date",IF(F106="","Select an expense account",IF(ISNA(MATCH(F106,coa_Name,0)),"Unknown account: "&amp;F106,IF(NOT(ISNUMBER(G106)),"Enter an amount",IF(G106&lt;=0,"Amount must be positive",IF(S106&gt;G106,"Tax is larger than the amount","")))))))))))</f>
        <v/>
      </c>
      <c r="U106" s="67">
        <f>IF(OR(R106=1,T106&lt;&gt;""),"",IF(COUNTIFS(ap_No,B106,ap_Party,D106)&gt;1,"Duplicate bill #",IF(N(L106)&lt;0,"Overpaid by "&amp;TEXT(-L106,"#,##0.00"),IF(AND(ISNUMBER(H106),N(H106)&lt;&gt;0,S106=0),"Tax ignored (tax tracking is off)",IF(AND(ISNUMBER(StartDate),C106&lt;StartDate),"Date is before the accounting start date",IF(OR(IFERROR(INDEX(coa_Type,MATCH(F106,coa_Name,0)),"")="Revenue",IFERROR(INDEX(coa_Type,MATCH(F106,coa_Name,0)),"")="Other Income",IFERROR(INDEX(coa_Type,MATCH(F106,coa_Name,0)),"")="Equity"),"Account is not an expense or asset account",""))))))</f>
        <v/>
      </c>
      <c r="V106" s="67">
        <f>IF(AND(R106=0,T106=""),1,0)</f>
        <v/>
      </c>
      <c r="W106" s="67">
        <f>IF(V106=1,F106,"")</f>
        <v/>
      </c>
      <c r="X106" s="67">
        <f>IF(V106=1,acctAP,"")</f>
        <v/>
      </c>
      <c r="Y106" s="68">
        <f>IF(V106=1,G106-S106,0)</f>
        <v/>
      </c>
      <c r="Z106" s="68">
        <f>IF(V106=1,G106,0)</f>
        <v/>
      </c>
      <c r="AA106" s="68">
        <f>IF(V106=1,S106,0)</f>
        <v/>
      </c>
    </row>
    <row r="107">
      <c r="B107" s="62" t="n"/>
      <c r="C107" s="63" t="n"/>
      <c r="D107" s="62" t="n"/>
      <c r="E107" s="62" t="n"/>
      <c r="F107" s="62" t="n"/>
      <c r="G107" s="64" t="n"/>
      <c r="H107" s="64" t="n"/>
      <c r="I107" s="63" t="n"/>
      <c r="J107" s="29">
        <f>IF(V107=1,IF(ISNUMBER(I107),I107,C107+IF(ISNUMBER(IFERROR(INDEX(vend_Terms,MATCH(D107,vend_Name,0)),"")),INDEX(vend_Terms,MATCH(D107,vend_Name,0)),TermsDays)),"")</f>
        <v/>
      </c>
      <c r="K107" s="65">
        <f>IF(V107=1,SUMIFS(tx_CrAmt,tx_Type,"Bill Payment",tx_Ref,B107&amp;"",tx_Vend,D107,tx_Date,"&lt;="&amp;AsOf),"")</f>
        <v/>
      </c>
      <c r="L107" s="65">
        <f>IF(V107=1,IF(C107&gt;AsOf,0,ROUND(G107-K107,2)),"")</f>
        <v/>
      </c>
      <c r="M107" s="66">
        <f>IF(V107&lt;&gt;1,"",IF(C107&gt;AsOf,"Future",IF(L107&lt;0,"Overpaid",IF(L107=0,"Paid",IF(AsOf&gt;J107,"Overdue",IF(K107&gt;0,"Partial","Unpaid"))))))</f>
        <v/>
      </c>
      <c r="N107" s="28">
        <f>IF(AND(V107=1,N(L107)&gt;0),AsOf-C107,"")</f>
        <v/>
      </c>
      <c r="O107" s="28">
        <f>IF(N107="","",MAX(0,AsOf-J107))</f>
        <v/>
      </c>
      <c r="P107" s="66">
        <f>IF(O107="","",IF(O107=0,"Current",IF(O107&lt;=30,"1-30",IF(O107&lt;=60,"31-60",IF(O107&lt;=90,"61-90","90+")))))</f>
        <v/>
      </c>
      <c r="Q107" s="66">
        <f>IF(T107&lt;&gt;"","⛔ "&amp;T107&amp;" — not posted",IF(U107&lt;&gt;"","⚠ "&amp;U107,IF(V107=1,"✓ OK","")))</f>
        <v/>
      </c>
      <c r="R107" s="67">
        <f>IF(AND(B107="",C107="",D107="",G107="",F107=""),1,0)</f>
        <v/>
      </c>
      <c r="S107" s="68">
        <f>IF(AND(TaxOn="Yes",ISNUMBER(H107)),H107,0)</f>
        <v/>
      </c>
      <c r="T107" s="67">
        <f>IF(R107=1,"",IF(B107="","Enter a bill #",IF(D107="","Select a vendor",IF(C107="","Missing bill date",IF(NOT(ISNUMBER(C107)),"Invalid date",IF(OR(C107&lt;DATE(2000,1,1),C107&gt;DATE(2099,12,31)),"Invalid date",IF(F107="","Select an expense account",IF(ISNA(MATCH(F107,coa_Name,0)),"Unknown account: "&amp;F107,IF(NOT(ISNUMBER(G107)),"Enter an amount",IF(G107&lt;=0,"Amount must be positive",IF(S107&gt;G107,"Tax is larger than the amount","")))))))))))</f>
        <v/>
      </c>
      <c r="U107" s="67">
        <f>IF(OR(R107=1,T107&lt;&gt;""),"",IF(COUNTIFS(ap_No,B107,ap_Party,D107)&gt;1,"Duplicate bill #",IF(N(L107)&lt;0,"Overpaid by "&amp;TEXT(-L107,"#,##0.00"),IF(AND(ISNUMBER(H107),N(H107)&lt;&gt;0,S107=0),"Tax ignored (tax tracking is off)",IF(AND(ISNUMBER(StartDate),C107&lt;StartDate),"Date is before the accounting start date",IF(OR(IFERROR(INDEX(coa_Type,MATCH(F107,coa_Name,0)),"")="Revenue",IFERROR(INDEX(coa_Type,MATCH(F107,coa_Name,0)),"")="Other Income",IFERROR(INDEX(coa_Type,MATCH(F107,coa_Name,0)),"")="Equity"),"Account is not an expense or asset account",""))))))</f>
        <v/>
      </c>
      <c r="V107" s="67">
        <f>IF(AND(R107=0,T107=""),1,0)</f>
        <v/>
      </c>
      <c r="W107" s="67">
        <f>IF(V107=1,F107,"")</f>
        <v/>
      </c>
      <c r="X107" s="67">
        <f>IF(V107=1,acctAP,"")</f>
        <v/>
      </c>
      <c r="Y107" s="68">
        <f>IF(V107=1,G107-S107,0)</f>
        <v/>
      </c>
      <c r="Z107" s="68">
        <f>IF(V107=1,G107,0)</f>
        <v/>
      </c>
      <c r="AA107" s="68">
        <f>IF(V107=1,S107,0)</f>
        <v/>
      </c>
    </row>
    <row r="108">
      <c r="B108" s="62" t="n"/>
      <c r="C108" s="63" t="n"/>
      <c r="D108" s="62" t="n"/>
      <c r="E108" s="62" t="n"/>
      <c r="F108" s="62" t="n"/>
      <c r="G108" s="64" t="n"/>
      <c r="H108" s="64" t="n"/>
      <c r="I108" s="63" t="n"/>
      <c r="J108" s="29">
        <f>IF(V108=1,IF(ISNUMBER(I108),I108,C108+IF(ISNUMBER(IFERROR(INDEX(vend_Terms,MATCH(D108,vend_Name,0)),"")),INDEX(vend_Terms,MATCH(D108,vend_Name,0)),TermsDays)),"")</f>
        <v/>
      </c>
      <c r="K108" s="65">
        <f>IF(V108=1,SUMIFS(tx_CrAmt,tx_Type,"Bill Payment",tx_Ref,B108&amp;"",tx_Vend,D108,tx_Date,"&lt;="&amp;AsOf),"")</f>
        <v/>
      </c>
      <c r="L108" s="65">
        <f>IF(V108=1,IF(C108&gt;AsOf,0,ROUND(G108-K108,2)),"")</f>
        <v/>
      </c>
      <c r="M108" s="66">
        <f>IF(V108&lt;&gt;1,"",IF(C108&gt;AsOf,"Future",IF(L108&lt;0,"Overpaid",IF(L108=0,"Paid",IF(AsOf&gt;J108,"Overdue",IF(K108&gt;0,"Partial","Unpaid"))))))</f>
        <v/>
      </c>
      <c r="N108" s="28">
        <f>IF(AND(V108=1,N(L108)&gt;0),AsOf-C108,"")</f>
        <v/>
      </c>
      <c r="O108" s="28">
        <f>IF(N108="","",MAX(0,AsOf-J108))</f>
        <v/>
      </c>
      <c r="P108" s="66">
        <f>IF(O108="","",IF(O108=0,"Current",IF(O108&lt;=30,"1-30",IF(O108&lt;=60,"31-60",IF(O108&lt;=90,"61-90","90+")))))</f>
        <v/>
      </c>
      <c r="Q108" s="66">
        <f>IF(T108&lt;&gt;"","⛔ "&amp;T108&amp;" — not posted",IF(U108&lt;&gt;"","⚠ "&amp;U108,IF(V108=1,"✓ OK","")))</f>
        <v/>
      </c>
      <c r="R108" s="67">
        <f>IF(AND(B108="",C108="",D108="",G108="",F108=""),1,0)</f>
        <v/>
      </c>
      <c r="S108" s="68">
        <f>IF(AND(TaxOn="Yes",ISNUMBER(H108)),H108,0)</f>
        <v/>
      </c>
      <c r="T108" s="67">
        <f>IF(R108=1,"",IF(B108="","Enter a bill #",IF(D108="","Select a vendor",IF(C108="","Missing bill date",IF(NOT(ISNUMBER(C108)),"Invalid date",IF(OR(C108&lt;DATE(2000,1,1),C108&gt;DATE(2099,12,31)),"Invalid date",IF(F108="","Select an expense account",IF(ISNA(MATCH(F108,coa_Name,0)),"Unknown account: "&amp;F108,IF(NOT(ISNUMBER(G108)),"Enter an amount",IF(G108&lt;=0,"Amount must be positive",IF(S108&gt;G108,"Tax is larger than the amount","")))))))))))</f>
        <v/>
      </c>
      <c r="U108" s="67">
        <f>IF(OR(R108=1,T108&lt;&gt;""),"",IF(COUNTIFS(ap_No,B108,ap_Party,D108)&gt;1,"Duplicate bill #",IF(N(L108)&lt;0,"Overpaid by "&amp;TEXT(-L108,"#,##0.00"),IF(AND(ISNUMBER(H108),N(H108)&lt;&gt;0,S108=0),"Tax ignored (tax tracking is off)",IF(AND(ISNUMBER(StartDate),C108&lt;StartDate),"Date is before the accounting start date",IF(OR(IFERROR(INDEX(coa_Type,MATCH(F108,coa_Name,0)),"")="Revenue",IFERROR(INDEX(coa_Type,MATCH(F108,coa_Name,0)),"")="Other Income",IFERROR(INDEX(coa_Type,MATCH(F108,coa_Name,0)),"")="Equity"),"Account is not an expense or asset account",""))))))</f>
        <v/>
      </c>
      <c r="V108" s="67">
        <f>IF(AND(R108=0,T108=""),1,0)</f>
        <v/>
      </c>
      <c r="W108" s="67">
        <f>IF(V108=1,F108,"")</f>
        <v/>
      </c>
      <c r="X108" s="67">
        <f>IF(V108=1,acctAP,"")</f>
        <v/>
      </c>
      <c r="Y108" s="68">
        <f>IF(V108=1,G108-S108,0)</f>
        <v/>
      </c>
      <c r="Z108" s="68">
        <f>IF(V108=1,G108,0)</f>
        <v/>
      </c>
      <c r="AA108" s="68">
        <f>IF(V108=1,S108,0)</f>
        <v/>
      </c>
    </row>
    <row r="109">
      <c r="B109" s="62" t="n"/>
      <c r="C109" s="63" t="n"/>
      <c r="D109" s="62" t="n"/>
      <c r="E109" s="62" t="n"/>
      <c r="F109" s="62" t="n"/>
      <c r="G109" s="64" t="n"/>
      <c r="H109" s="64" t="n"/>
      <c r="I109" s="63" t="n"/>
      <c r="J109" s="29">
        <f>IF(V109=1,IF(ISNUMBER(I109),I109,C109+IF(ISNUMBER(IFERROR(INDEX(vend_Terms,MATCH(D109,vend_Name,0)),"")),INDEX(vend_Terms,MATCH(D109,vend_Name,0)),TermsDays)),"")</f>
        <v/>
      </c>
      <c r="K109" s="65">
        <f>IF(V109=1,SUMIFS(tx_CrAmt,tx_Type,"Bill Payment",tx_Ref,B109&amp;"",tx_Vend,D109,tx_Date,"&lt;="&amp;AsOf),"")</f>
        <v/>
      </c>
      <c r="L109" s="65">
        <f>IF(V109=1,IF(C109&gt;AsOf,0,ROUND(G109-K109,2)),"")</f>
        <v/>
      </c>
      <c r="M109" s="66">
        <f>IF(V109&lt;&gt;1,"",IF(C109&gt;AsOf,"Future",IF(L109&lt;0,"Overpaid",IF(L109=0,"Paid",IF(AsOf&gt;J109,"Overdue",IF(K109&gt;0,"Partial","Unpaid"))))))</f>
        <v/>
      </c>
      <c r="N109" s="28">
        <f>IF(AND(V109=1,N(L109)&gt;0),AsOf-C109,"")</f>
        <v/>
      </c>
      <c r="O109" s="28">
        <f>IF(N109="","",MAX(0,AsOf-J109))</f>
        <v/>
      </c>
      <c r="P109" s="66">
        <f>IF(O109="","",IF(O109=0,"Current",IF(O109&lt;=30,"1-30",IF(O109&lt;=60,"31-60",IF(O109&lt;=90,"61-90","90+")))))</f>
        <v/>
      </c>
      <c r="Q109" s="66">
        <f>IF(T109&lt;&gt;"","⛔ "&amp;T109&amp;" — not posted",IF(U109&lt;&gt;"","⚠ "&amp;U109,IF(V109=1,"✓ OK","")))</f>
        <v/>
      </c>
      <c r="R109" s="67">
        <f>IF(AND(B109="",C109="",D109="",G109="",F109=""),1,0)</f>
        <v/>
      </c>
      <c r="S109" s="68">
        <f>IF(AND(TaxOn="Yes",ISNUMBER(H109)),H109,0)</f>
        <v/>
      </c>
      <c r="T109" s="67">
        <f>IF(R109=1,"",IF(B109="","Enter a bill #",IF(D109="","Select a vendor",IF(C109="","Missing bill date",IF(NOT(ISNUMBER(C109)),"Invalid date",IF(OR(C109&lt;DATE(2000,1,1),C109&gt;DATE(2099,12,31)),"Invalid date",IF(F109="","Select an expense account",IF(ISNA(MATCH(F109,coa_Name,0)),"Unknown account: "&amp;F109,IF(NOT(ISNUMBER(G109)),"Enter an amount",IF(G109&lt;=0,"Amount must be positive",IF(S109&gt;G109,"Tax is larger than the amount","")))))))))))</f>
        <v/>
      </c>
      <c r="U109" s="67">
        <f>IF(OR(R109=1,T109&lt;&gt;""),"",IF(COUNTIFS(ap_No,B109,ap_Party,D109)&gt;1,"Duplicate bill #",IF(N(L109)&lt;0,"Overpaid by "&amp;TEXT(-L109,"#,##0.00"),IF(AND(ISNUMBER(H109),N(H109)&lt;&gt;0,S109=0),"Tax ignored (tax tracking is off)",IF(AND(ISNUMBER(StartDate),C109&lt;StartDate),"Date is before the accounting start date",IF(OR(IFERROR(INDEX(coa_Type,MATCH(F109,coa_Name,0)),"")="Revenue",IFERROR(INDEX(coa_Type,MATCH(F109,coa_Name,0)),"")="Other Income",IFERROR(INDEX(coa_Type,MATCH(F109,coa_Name,0)),"")="Equity"),"Account is not an expense or asset account",""))))))</f>
        <v/>
      </c>
      <c r="V109" s="67">
        <f>IF(AND(R109=0,T109=""),1,0)</f>
        <v/>
      </c>
      <c r="W109" s="67">
        <f>IF(V109=1,F109,"")</f>
        <v/>
      </c>
      <c r="X109" s="67">
        <f>IF(V109=1,acctAP,"")</f>
        <v/>
      </c>
      <c r="Y109" s="68">
        <f>IF(V109=1,G109-S109,0)</f>
        <v/>
      </c>
      <c r="Z109" s="68">
        <f>IF(V109=1,G109,0)</f>
        <v/>
      </c>
      <c r="AA109" s="68">
        <f>IF(V109=1,S109,0)</f>
        <v/>
      </c>
    </row>
    <row r="110">
      <c r="B110" s="62" t="n"/>
      <c r="C110" s="63" t="n"/>
      <c r="D110" s="62" t="n"/>
      <c r="E110" s="62" t="n"/>
      <c r="F110" s="62" t="n"/>
      <c r="G110" s="64" t="n"/>
      <c r="H110" s="64" t="n"/>
      <c r="I110" s="63" t="n"/>
      <c r="J110" s="29">
        <f>IF(V110=1,IF(ISNUMBER(I110),I110,C110+IF(ISNUMBER(IFERROR(INDEX(vend_Terms,MATCH(D110,vend_Name,0)),"")),INDEX(vend_Terms,MATCH(D110,vend_Name,0)),TermsDays)),"")</f>
        <v/>
      </c>
      <c r="K110" s="65">
        <f>IF(V110=1,SUMIFS(tx_CrAmt,tx_Type,"Bill Payment",tx_Ref,B110&amp;"",tx_Vend,D110,tx_Date,"&lt;="&amp;AsOf),"")</f>
        <v/>
      </c>
      <c r="L110" s="65">
        <f>IF(V110=1,IF(C110&gt;AsOf,0,ROUND(G110-K110,2)),"")</f>
        <v/>
      </c>
      <c r="M110" s="66">
        <f>IF(V110&lt;&gt;1,"",IF(C110&gt;AsOf,"Future",IF(L110&lt;0,"Overpaid",IF(L110=0,"Paid",IF(AsOf&gt;J110,"Overdue",IF(K110&gt;0,"Partial","Unpaid"))))))</f>
        <v/>
      </c>
      <c r="N110" s="28">
        <f>IF(AND(V110=1,N(L110)&gt;0),AsOf-C110,"")</f>
        <v/>
      </c>
      <c r="O110" s="28">
        <f>IF(N110="","",MAX(0,AsOf-J110))</f>
        <v/>
      </c>
      <c r="P110" s="66">
        <f>IF(O110="","",IF(O110=0,"Current",IF(O110&lt;=30,"1-30",IF(O110&lt;=60,"31-60",IF(O110&lt;=90,"61-90","90+")))))</f>
        <v/>
      </c>
      <c r="Q110" s="66">
        <f>IF(T110&lt;&gt;"","⛔ "&amp;T110&amp;" — not posted",IF(U110&lt;&gt;"","⚠ "&amp;U110,IF(V110=1,"✓ OK","")))</f>
        <v/>
      </c>
      <c r="R110" s="67">
        <f>IF(AND(B110="",C110="",D110="",G110="",F110=""),1,0)</f>
        <v/>
      </c>
      <c r="S110" s="68">
        <f>IF(AND(TaxOn="Yes",ISNUMBER(H110)),H110,0)</f>
        <v/>
      </c>
      <c r="T110" s="67">
        <f>IF(R110=1,"",IF(B110="","Enter a bill #",IF(D110="","Select a vendor",IF(C110="","Missing bill date",IF(NOT(ISNUMBER(C110)),"Invalid date",IF(OR(C110&lt;DATE(2000,1,1),C110&gt;DATE(2099,12,31)),"Invalid date",IF(F110="","Select an expense account",IF(ISNA(MATCH(F110,coa_Name,0)),"Unknown account: "&amp;F110,IF(NOT(ISNUMBER(G110)),"Enter an amount",IF(G110&lt;=0,"Amount must be positive",IF(S110&gt;G110,"Tax is larger than the amount","")))))))))))</f>
        <v/>
      </c>
      <c r="U110" s="67">
        <f>IF(OR(R110=1,T110&lt;&gt;""),"",IF(COUNTIFS(ap_No,B110,ap_Party,D110)&gt;1,"Duplicate bill #",IF(N(L110)&lt;0,"Overpaid by "&amp;TEXT(-L110,"#,##0.00"),IF(AND(ISNUMBER(H110),N(H110)&lt;&gt;0,S110=0),"Tax ignored (tax tracking is off)",IF(AND(ISNUMBER(StartDate),C110&lt;StartDate),"Date is before the accounting start date",IF(OR(IFERROR(INDEX(coa_Type,MATCH(F110,coa_Name,0)),"")="Revenue",IFERROR(INDEX(coa_Type,MATCH(F110,coa_Name,0)),"")="Other Income",IFERROR(INDEX(coa_Type,MATCH(F110,coa_Name,0)),"")="Equity"),"Account is not an expense or asset account",""))))))</f>
        <v/>
      </c>
      <c r="V110" s="67">
        <f>IF(AND(R110=0,T110=""),1,0)</f>
        <v/>
      </c>
      <c r="W110" s="67">
        <f>IF(V110=1,F110,"")</f>
        <v/>
      </c>
      <c r="X110" s="67">
        <f>IF(V110=1,acctAP,"")</f>
        <v/>
      </c>
      <c r="Y110" s="68">
        <f>IF(V110=1,G110-S110,0)</f>
        <v/>
      </c>
      <c r="Z110" s="68">
        <f>IF(V110=1,G110,0)</f>
        <v/>
      </c>
      <c r="AA110" s="68">
        <f>IF(V110=1,S110,0)</f>
        <v/>
      </c>
    </row>
    <row r="111">
      <c r="B111" s="62" t="n"/>
      <c r="C111" s="63" t="n"/>
      <c r="D111" s="62" t="n"/>
      <c r="E111" s="62" t="n"/>
      <c r="F111" s="62" t="n"/>
      <c r="G111" s="64" t="n"/>
      <c r="H111" s="64" t="n"/>
      <c r="I111" s="63" t="n"/>
      <c r="J111" s="29">
        <f>IF(V111=1,IF(ISNUMBER(I111),I111,C111+IF(ISNUMBER(IFERROR(INDEX(vend_Terms,MATCH(D111,vend_Name,0)),"")),INDEX(vend_Terms,MATCH(D111,vend_Name,0)),TermsDays)),"")</f>
        <v/>
      </c>
      <c r="K111" s="65">
        <f>IF(V111=1,SUMIFS(tx_CrAmt,tx_Type,"Bill Payment",tx_Ref,B111&amp;"",tx_Vend,D111,tx_Date,"&lt;="&amp;AsOf),"")</f>
        <v/>
      </c>
      <c r="L111" s="65">
        <f>IF(V111=1,IF(C111&gt;AsOf,0,ROUND(G111-K111,2)),"")</f>
        <v/>
      </c>
      <c r="M111" s="66">
        <f>IF(V111&lt;&gt;1,"",IF(C111&gt;AsOf,"Future",IF(L111&lt;0,"Overpaid",IF(L111=0,"Paid",IF(AsOf&gt;J111,"Overdue",IF(K111&gt;0,"Partial","Unpaid"))))))</f>
        <v/>
      </c>
      <c r="N111" s="28">
        <f>IF(AND(V111=1,N(L111)&gt;0),AsOf-C111,"")</f>
        <v/>
      </c>
      <c r="O111" s="28">
        <f>IF(N111="","",MAX(0,AsOf-J111))</f>
        <v/>
      </c>
      <c r="P111" s="66">
        <f>IF(O111="","",IF(O111=0,"Current",IF(O111&lt;=30,"1-30",IF(O111&lt;=60,"31-60",IF(O111&lt;=90,"61-90","90+")))))</f>
        <v/>
      </c>
      <c r="Q111" s="66">
        <f>IF(T111&lt;&gt;"","⛔ "&amp;T111&amp;" — not posted",IF(U111&lt;&gt;"","⚠ "&amp;U111,IF(V111=1,"✓ OK","")))</f>
        <v/>
      </c>
      <c r="R111" s="67">
        <f>IF(AND(B111="",C111="",D111="",G111="",F111=""),1,0)</f>
        <v/>
      </c>
      <c r="S111" s="68">
        <f>IF(AND(TaxOn="Yes",ISNUMBER(H111)),H111,0)</f>
        <v/>
      </c>
      <c r="T111" s="67">
        <f>IF(R111=1,"",IF(B111="","Enter a bill #",IF(D111="","Select a vendor",IF(C111="","Missing bill date",IF(NOT(ISNUMBER(C111)),"Invalid date",IF(OR(C111&lt;DATE(2000,1,1),C111&gt;DATE(2099,12,31)),"Invalid date",IF(F111="","Select an expense account",IF(ISNA(MATCH(F111,coa_Name,0)),"Unknown account: "&amp;F111,IF(NOT(ISNUMBER(G111)),"Enter an amount",IF(G111&lt;=0,"Amount must be positive",IF(S111&gt;G111,"Tax is larger than the amount","")))))))))))</f>
        <v/>
      </c>
      <c r="U111" s="67">
        <f>IF(OR(R111=1,T111&lt;&gt;""),"",IF(COUNTIFS(ap_No,B111,ap_Party,D111)&gt;1,"Duplicate bill #",IF(N(L111)&lt;0,"Overpaid by "&amp;TEXT(-L111,"#,##0.00"),IF(AND(ISNUMBER(H111),N(H111)&lt;&gt;0,S111=0),"Tax ignored (tax tracking is off)",IF(AND(ISNUMBER(StartDate),C111&lt;StartDate),"Date is before the accounting start date",IF(OR(IFERROR(INDEX(coa_Type,MATCH(F111,coa_Name,0)),"")="Revenue",IFERROR(INDEX(coa_Type,MATCH(F111,coa_Name,0)),"")="Other Income",IFERROR(INDEX(coa_Type,MATCH(F111,coa_Name,0)),"")="Equity"),"Account is not an expense or asset account",""))))))</f>
        <v/>
      </c>
      <c r="V111" s="67">
        <f>IF(AND(R111=0,T111=""),1,0)</f>
        <v/>
      </c>
      <c r="W111" s="67">
        <f>IF(V111=1,F111,"")</f>
        <v/>
      </c>
      <c r="X111" s="67">
        <f>IF(V111=1,acctAP,"")</f>
        <v/>
      </c>
      <c r="Y111" s="68">
        <f>IF(V111=1,G111-S111,0)</f>
        <v/>
      </c>
      <c r="Z111" s="68">
        <f>IF(V111=1,G111,0)</f>
        <v/>
      </c>
      <c r="AA111" s="68">
        <f>IF(V111=1,S111,0)</f>
        <v/>
      </c>
    </row>
    <row r="112">
      <c r="B112" s="62" t="n"/>
      <c r="C112" s="63" t="n"/>
      <c r="D112" s="62" t="n"/>
      <c r="E112" s="62" t="n"/>
      <c r="F112" s="62" t="n"/>
      <c r="G112" s="64" t="n"/>
      <c r="H112" s="64" t="n"/>
      <c r="I112" s="63" t="n"/>
      <c r="J112" s="29">
        <f>IF(V112=1,IF(ISNUMBER(I112),I112,C112+IF(ISNUMBER(IFERROR(INDEX(vend_Terms,MATCH(D112,vend_Name,0)),"")),INDEX(vend_Terms,MATCH(D112,vend_Name,0)),TermsDays)),"")</f>
        <v/>
      </c>
      <c r="K112" s="65">
        <f>IF(V112=1,SUMIFS(tx_CrAmt,tx_Type,"Bill Payment",tx_Ref,B112&amp;"",tx_Vend,D112,tx_Date,"&lt;="&amp;AsOf),"")</f>
        <v/>
      </c>
      <c r="L112" s="65">
        <f>IF(V112=1,IF(C112&gt;AsOf,0,ROUND(G112-K112,2)),"")</f>
        <v/>
      </c>
      <c r="M112" s="66">
        <f>IF(V112&lt;&gt;1,"",IF(C112&gt;AsOf,"Future",IF(L112&lt;0,"Overpaid",IF(L112=0,"Paid",IF(AsOf&gt;J112,"Overdue",IF(K112&gt;0,"Partial","Unpaid"))))))</f>
        <v/>
      </c>
      <c r="N112" s="28">
        <f>IF(AND(V112=1,N(L112)&gt;0),AsOf-C112,"")</f>
        <v/>
      </c>
      <c r="O112" s="28">
        <f>IF(N112="","",MAX(0,AsOf-J112))</f>
        <v/>
      </c>
      <c r="P112" s="66">
        <f>IF(O112="","",IF(O112=0,"Current",IF(O112&lt;=30,"1-30",IF(O112&lt;=60,"31-60",IF(O112&lt;=90,"61-90","90+")))))</f>
        <v/>
      </c>
      <c r="Q112" s="66">
        <f>IF(T112&lt;&gt;"","⛔ "&amp;T112&amp;" — not posted",IF(U112&lt;&gt;"","⚠ "&amp;U112,IF(V112=1,"✓ OK","")))</f>
        <v/>
      </c>
      <c r="R112" s="67">
        <f>IF(AND(B112="",C112="",D112="",G112="",F112=""),1,0)</f>
        <v/>
      </c>
      <c r="S112" s="68">
        <f>IF(AND(TaxOn="Yes",ISNUMBER(H112)),H112,0)</f>
        <v/>
      </c>
      <c r="T112" s="67">
        <f>IF(R112=1,"",IF(B112="","Enter a bill #",IF(D112="","Select a vendor",IF(C112="","Missing bill date",IF(NOT(ISNUMBER(C112)),"Invalid date",IF(OR(C112&lt;DATE(2000,1,1),C112&gt;DATE(2099,12,31)),"Invalid date",IF(F112="","Select an expense account",IF(ISNA(MATCH(F112,coa_Name,0)),"Unknown account: "&amp;F112,IF(NOT(ISNUMBER(G112)),"Enter an amount",IF(G112&lt;=0,"Amount must be positive",IF(S112&gt;G112,"Tax is larger than the amount","")))))))))))</f>
        <v/>
      </c>
      <c r="U112" s="67">
        <f>IF(OR(R112=1,T112&lt;&gt;""),"",IF(COUNTIFS(ap_No,B112,ap_Party,D112)&gt;1,"Duplicate bill #",IF(N(L112)&lt;0,"Overpaid by "&amp;TEXT(-L112,"#,##0.00"),IF(AND(ISNUMBER(H112),N(H112)&lt;&gt;0,S112=0),"Tax ignored (tax tracking is off)",IF(AND(ISNUMBER(StartDate),C112&lt;StartDate),"Date is before the accounting start date",IF(OR(IFERROR(INDEX(coa_Type,MATCH(F112,coa_Name,0)),"")="Revenue",IFERROR(INDEX(coa_Type,MATCH(F112,coa_Name,0)),"")="Other Income",IFERROR(INDEX(coa_Type,MATCH(F112,coa_Name,0)),"")="Equity"),"Account is not an expense or asset account",""))))))</f>
        <v/>
      </c>
      <c r="V112" s="67">
        <f>IF(AND(R112=0,T112=""),1,0)</f>
        <v/>
      </c>
      <c r="W112" s="67">
        <f>IF(V112=1,F112,"")</f>
        <v/>
      </c>
      <c r="X112" s="67">
        <f>IF(V112=1,acctAP,"")</f>
        <v/>
      </c>
      <c r="Y112" s="68">
        <f>IF(V112=1,G112-S112,0)</f>
        <v/>
      </c>
      <c r="Z112" s="68">
        <f>IF(V112=1,G112,0)</f>
        <v/>
      </c>
      <c r="AA112" s="68">
        <f>IF(V112=1,S112,0)</f>
        <v/>
      </c>
    </row>
    <row r="113">
      <c r="B113" s="62" t="n"/>
      <c r="C113" s="63" t="n"/>
      <c r="D113" s="62" t="n"/>
      <c r="E113" s="62" t="n"/>
      <c r="F113" s="62" t="n"/>
      <c r="G113" s="64" t="n"/>
      <c r="H113" s="64" t="n"/>
      <c r="I113" s="63" t="n"/>
      <c r="J113" s="29">
        <f>IF(V113=1,IF(ISNUMBER(I113),I113,C113+IF(ISNUMBER(IFERROR(INDEX(vend_Terms,MATCH(D113,vend_Name,0)),"")),INDEX(vend_Terms,MATCH(D113,vend_Name,0)),TermsDays)),"")</f>
        <v/>
      </c>
      <c r="K113" s="65">
        <f>IF(V113=1,SUMIFS(tx_CrAmt,tx_Type,"Bill Payment",tx_Ref,B113&amp;"",tx_Vend,D113,tx_Date,"&lt;="&amp;AsOf),"")</f>
        <v/>
      </c>
      <c r="L113" s="65">
        <f>IF(V113=1,IF(C113&gt;AsOf,0,ROUND(G113-K113,2)),"")</f>
        <v/>
      </c>
      <c r="M113" s="66">
        <f>IF(V113&lt;&gt;1,"",IF(C113&gt;AsOf,"Future",IF(L113&lt;0,"Overpaid",IF(L113=0,"Paid",IF(AsOf&gt;J113,"Overdue",IF(K113&gt;0,"Partial","Unpaid"))))))</f>
        <v/>
      </c>
      <c r="N113" s="28">
        <f>IF(AND(V113=1,N(L113)&gt;0),AsOf-C113,"")</f>
        <v/>
      </c>
      <c r="O113" s="28">
        <f>IF(N113="","",MAX(0,AsOf-J113))</f>
        <v/>
      </c>
      <c r="P113" s="66">
        <f>IF(O113="","",IF(O113=0,"Current",IF(O113&lt;=30,"1-30",IF(O113&lt;=60,"31-60",IF(O113&lt;=90,"61-90","90+")))))</f>
        <v/>
      </c>
      <c r="Q113" s="66">
        <f>IF(T113&lt;&gt;"","⛔ "&amp;T113&amp;" — not posted",IF(U113&lt;&gt;"","⚠ "&amp;U113,IF(V113=1,"✓ OK","")))</f>
        <v/>
      </c>
      <c r="R113" s="67">
        <f>IF(AND(B113="",C113="",D113="",G113="",F113=""),1,0)</f>
        <v/>
      </c>
      <c r="S113" s="68">
        <f>IF(AND(TaxOn="Yes",ISNUMBER(H113)),H113,0)</f>
        <v/>
      </c>
      <c r="T113" s="67">
        <f>IF(R113=1,"",IF(B113="","Enter a bill #",IF(D113="","Select a vendor",IF(C113="","Missing bill date",IF(NOT(ISNUMBER(C113)),"Invalid date",IF(OR(C113&lt;DATE(2000,1,1),C113&gt;DATE(2099,12,31)),"Invalid date",IF(F113="","Select an expense account",IF(ISNA(MATCH(F113,coa_Name,0)),"Unknown account: "&amp;F113,IF(NOT(ISNUMBER(G113)),"Enter an amount",IF(G113&lt;=0,"Amount must be positive",IF(S113&gt;G113,"Tax is larger than the amount","")))))))))))</f>
        <v/>
      </c>
      <c r="U113" s="67">
        <f>IF(OR(R113=1,T113&lt;&gt;""),"",IF(COUNTIFS(ap_No,B113,ap_Party,D113)&gt;1,"Duplicate bill #",IF(N(L113)&lt;0,"Overpaid by "&amp;TEXT(-L113,"#,##0.00"),IF(AND(ISNUMBER(H113),N(H113)&lt;&gt;0,S113=0),"Tax ignored (tax tracking is off)",IF(AND(ISNUMBER(StartDate),C113&lt;StartDate),"Date is before the accounting start date",IF(OR(IFERROR(INDEX(coa_Type,MATCH(F113,coa_Name,0)),"")="Revenue",IFERROR(INDEX(coa_Type,MATCH(F113,coa_Name,0)),"")="Other Income",IFERROR(INDEX(coa_Type,MATCH(F113,coa_Name,0)),"")="Equity"),"Account is not an expense or asset account",""))))))</f>
        <v/>
      </c>
      <c r="V113" s="67">
        <f>IF(AND(R113=0,T113=""),1,0)</f>
        <v/>
      </c>
      <c r="W113" s="67">
        <f>IF(V113=1,F113,"")</f>
        <v/>
      </c>
      <c r="X113" s="67">
        <f>IF(V113=1,acctAP,"")</f>
        <v/>
      </c>
      <c r="Y113" s="68">
        <f>IF(V113=1,G113-S113,0)</f>
        <v/>
      </c>
      <c r="Z113" s="68">
        <f>IF(V113=1,G113,0)</f>
        <v/>
      </c>
      <c r="AA113" s="68">
        <f>IF(V113=1,S113,0)</f>
        <v/>
      </c>
    </row>
    <row r="114">
      <c r="B114" s="62" t="n"/>
      <c r="C114" s="63" t="n"/>
      <c r="D114" s="62" t="n"/>
      <c r="E114" s="62" t="n"/>
      <c r="F114" s="62" t="n"/>
      <c r="G114" s="64" t="n"/>
      <c r="H114" s="64" t="n"/>
      <c r="I114" s="63" t="n"/>
      <c r="J114" s="29">
        <f>IF(V114=1,IF(ISNUMBER(I114),I114,C114+IF(ISNUMBER(IFERROR(INDEX(vend_Terms,MATCH(D114,vend_Name,0)),"")),INDEX(vend_Terms,MATCH(D114,vend_Name,0)),TermsDays)),"")</f>
        <v/>
      </c>
      <c r="K114" s="65">
        <f>IF(V114=1,SUMIFS(tx_CrAmt,tx_Type,"Bill Payment",tx_Ref,B114&amp;"",tx_Vend,D114,tx_Date,"&lt;="&amp;AsOf),"")</f>
        <v/>
      </c>
      <c r="L114" s="65">
        <f>IF(V114=1,IF(C114&gt;AsOf,0,ROUND(G114-K114,2)),"")</f>
        <v/>
      </c>
      <c r="M114" s="66">
        <f>IF(V114&lt;&gt;1,"",IF(C114&gt;AsOf,"Future",IF(L114&lt;0,"Overpaid",IF(L114=0,"Paid",IF(AsOf&gt;J114,"Overdue",IF(K114&gt;0,"Partial","Unpaid"))))))</f>
        <v/>
      </c>
      <c r="N114" s="28">
        <f>IF(AND(V114=1,N(L114)&gt;0),AsOf-C114,"")</f>
        <v/>
      </c>
      <c r="O114" s="28">
        <f>IF(N114="","",MAX(0,AsOf-J114))</f>
        <v/>
      </c>
      <c r="P114" s="66">
        <f>IF(O114="","",IF(O114=0,"Current",IF(O114&lt;=30,"1-30",IF(O114&lt;=60,"31-60",IF(O114&lt;=90,"61-90","90+")))))</f>
        <v/>
      </c>
      <c r="Q114" s="66">
        <f>IF(T114&lt;&gt;"","⛔ "&amp;T114&amp;" — not posted",IF(U114&lt;&gt;"","⚠ "&amp;U114,IF(V114=1,"✓ OK","")))</f>
        <v/>
      </c>
      <c r="R114" s="67">
        <f>IF(AND(B114="",C114="",D114="",G114="",F114=""),1,0)</f>
        <v/>
      </c>
      <c r="S114" s="68">
        <f>IF(AND(TaxOn="Yes",ISNUMBER(H114)),H114,0)</f>
        <v/>
      </c>
      <c r="T114" s="67">
        <f>IF(R114=1,"",IF(B114="","Enter a bill #",IF(D114="","Select a vendor",IF(C114="","Missing bill date",IF(NOT(ISNUMBER(C114)),"Invalid date",IF(OR(C114&lt;DATE(2000,1,1),C114&gt;DATE(2099,12,31)),"Invalid date",IF(F114="","Select an expense account",IF(ISNA(MATCH(F114,coa_Name,0)),"Unknown account: "&amp;F114,IF(NOT(ISNUMBER(G114)),"Enter an amount",IF(G114&lt;=0,"Amount must be positive",IF(S114&gt;G114,"Tax is larger than the amount","")))))))))))</f>
        <v/>
      </c>
      <c r="U114" s="67">
        <f>IF(OR(R114=1,T114&lt;&gt;""),"",IF(COUNTIFS(ap_No,B114,ap_Party,D114)&gt;1,"Duplicate bill #",IF(N(L114)&lt;0,"Overpaid by "&amp;TEXT(-L114,"#,##0.00"),IF(AND(ISNUMBER(H114),N(H114)&lt;&gt;0,S114=0),"Tax ignored (tax tracking is off)",IF(AND(ISNUMBER(StartDate),C114&lt;StartDate),"Date is before the accounting start date",IF(OR(IFERROR(INDEX(coa_Type,MATCH(F114,coa_Name,0)),"")="Revenue",IFERROR(INDEX(coa_Type,MATCH(F114,coa_Name,0)),"")="Other Income",IFERROR(INDEX(coa_Type,MATCH(F114,coa_Name,0)),"")="Equity"),"Account is not an expense or asset account",""))))))</f>
        <v/>
      </c>
      <c r="V114" s="67">
        <f>IF(AND(R114=0,T114=""),1,0)</f>
        <v/>
      </c>
      <c r="W114" s="67">
        <f>IF(V114=1,F114,"")</f>
        <v/>
      </c>
      <c r="X114" s="67">
        <f>IF(V114=1,acctAP,"")</f>
        <v/>
      </c>
      <c r="Y114" s="68">
        <f>IF(V114=1,G114-S114,0)</f>
        <v/>
      </c>
      <c r="Z114" s="68">
        <f>IF(V114=1,G114,0)</f>
        <v/>
      </c>
      <c r="AA114" s="68">
        <f>IF(V114=1,S114,0)</f>
        <v/>
      </c>
    </row>
    <row r="115">
      <c r="B115" s="62" t="n"/>
      <c r="C115" s="63" t="n"/>
      <c r="D115" s="62" t="n"/>
      <c r="E115" s="62" t="n"/>
      <c r="F115" s="62" t="n"/>
      <c r="G115" s="64" t="n"/>
      <c r="H115" s="64" t="n"/>
      <c r="I115" s="63" t="n"/>
      <c r="J115" s="29">
        <f>IF(V115=1,IF(ISNUMBER(I115),I115,C115+IF(ISNUMBER(IFERROR(INDEX(vend_Terms,MATCH(D115,vend_Name,0)),"")),INDEX(vend_Terms,MATCH(D115,vend_Name,0)),TermsDays)),"")</f>
        <v/>
      </c>
      <c r="K115" s="65">
        <f>IF(V115=1,SUMIFS(tx_CrAmt,tx_Type,"Bill Payment",tx_Ref,B115&amp;"",tx_Vend,D115,tx_Date,"&lt;="&amp;AsOf),"")</f>
        <v/>
      </c>
      <c r="L115" s="65">
        <f>IF(V115=1,IF(C115&gt;AsOf,0,ROUND(G115-K115,2)),"")</f>
        <v/>
      </c>
      <c r="M115" s="66">
        <f>IF(V115&lt;&gt;1,"",IF(C115&gt;AsOf,"Future",IF(L115&lt;0,"Overpaid",IF(L115=0,"Paid",IF(AsOf&gt;J115,"Overdue",IF(K115&gt;0,"Partial","Unpaid"))))))</f>
        <v/>
      </c>
      <c r="N115" s="28">
        <f>IF(AND(V115=1,N(L115)&gt;0),AsOf-C115,"")</f>
        <v/>
      </c>
      <c r="O115" s="28">
        <f>IF(N115="","",MAX(0,AsOf-J115))</f>
        <v/>
      </c>
      <c r="P115" s="66">
        <f>IF(O115="","",IF(O115=0,"Current",IF(O115&lt;=30,"1-30",IF(O115&lt;=60,"31-60",IF(O115&lt;=90,"61-90","90+")))))</f>
        <v/>
      </c>
      <c r="Q115" s="66">
        <f>IF(T115&lt;&gt;"","⛔ "&amp;T115&amp;" — not posted",IF(U115&lt;&gt;"","⚠ "&amp;U115,IF(V115=1,"✓ OK","")))</f>
        <v/>
      </c>
      <c r="R115" s="67">
        <f>IF(AND(B115="",C115="",D115="",G115="",F115=""),1,0)</f>
        <v/>
      </c>
      <c r="S115" s="68">
        <f>IF(AND(TaxOn="Yes",ISNUMBER(H115)),H115,0)</f>
        <v/>
      </c>
      <c r="T115" s="67">
        <f>IF(R115=1,"",IF(B115="","Enter a bill #",IF(D115="","Select a vendor",IF(C115="","Missing bill date",IF(NOT(ISNUMBER(C115)),"Invalid date",IF(OR(C115&lt;DATE(2000,1,1),C115&gt;DATE(2099,12,31)),"Invalid date",IF(F115="","Select an expense account",IF(ISNA(MATCH(F115,coa_Name,0)),"Unknown account: "&amp;F115,IF(NOT(ISNUMBER(G115)),"Enter an amount",IF(G115&lt;=0,"Amount must be positive",IF(S115&gt;G115,"Tax is larger than the amount","")))))))))))</f>
        <v/>
      </c>
      <c r="U115" s="67">
        <f>IF(OR(R115=1,T115&lt;&gt;""),"",IF(COUNTIFS(ap_No,B115,ap_Party,D115)&gt;1,"Duplicate bill #",IF(N(L115)&lt;0,"Overpaid by "&amp;TEXT(-L115,"#,##0.00"),IF(AND(ISNUMBER(H115),N(H115)&lt;&gt;0,S115=0),"Tax ignored (tax tracking is off)",IF(AND(ISNUMBER(StartDate),C115&lt;StartDate),"Date is before the accounting start date",IF(OR(IFERROR(INDEX(coa_Type,MATCH(F115,coa_Name,0)),"")="Revenue",IFERROR(INDEX(coa_Type,MATCH(F115,coa_Name,0)),"")="Other Income",IFERROR(INDEX(coa_Type,MATCH(F115,coa_Name,0)),"")="Equity"),"Account is not an expense or asset account",""))))))</f>
        <v/>
      </c>
      <c r="V115" s="67">
        <f>IF(AND(R115=0,T115=""),1,0)</f>
        <v/>
      </c>
      <c r="W115" s="67">
        <f>IF(V115=1,F115,"")</f>
        <v/>
      </c>
      <c r="X115" s="67">
        <f>IF(V115=1,acctAP,"")</f>
        <v/>
      </c>
      <c r="Y115" s="68">
        <f>IF(V115=1,G115-S115,0)</f>
        <v/>
      </c>
      <c r="Z115" s="68">
        <f>IF(V115=1,G115,0)</f>
        <v/>
      </c>
      <c r="AA115" s="68">
        <f>IF(V115=1,S115,0)</f>
        <v/>
      </c>
    </row>
    <row r="116">
      <c r="B116" s="62" t="n"/>
      <c r="C116" s="63" t="n"/>
      <c r="D116" s="62" t="n"/>
      <c r="E116" s="62" t="n"/>
      <c r="F116" s="62" t="n"/>
      <c r="G116" s="64" t="n"/>
      <c r="H116" s="64" t="n"/>
      <c r="I116" s="63" t="n"/>
      <c r="J116" s="29">
        <f>IF(V116=1,IF(ISNUMBER(I116),I116,C116+IF(ISNUMBER(IFERROR(INDEX(vend_Terms,MATCH(D116,vend_Name,0)),"")),INDEX(vend_Terms,MATCH(D116,vend_Name,0)),TermsDays)),"")</f>
        <v/>
      </c>
      <c r="K116" s="65">
        <f>IF(V116=1,SUMIFS(tx_CrAmt,tx_Type,"Bill Payment",tx_Ref,B116&amp;"",tx_Vend,D116,tx_Date,"&lt;="&amp;AsOf),"")</f>
        <v/>
      </c>
      <c r="L116" s="65">
        <f>IF(V116=1,IF(C116&gt;AsOf,0,ROUND(G116-K116,2)),"")</f>
        <v/>
      </c>
      <c r="M116" s="66">
        <f>IF(V116&lt;&gt;1,"",IF(C116&gt;AsOf,"Future",IF(L116&lt;0,"Overpaid",IF(L116=0,"Paid",IF(AsOf&gt;J116,"Overdue",IF(K116&gt;0,"Partial","Unpaid"))))))</f>
        <v/>
      </c>
      <c r="N116" s="28">
        <f>IF(AND(V116=1,N(L116)&gt;0),AsOf-C116,"")</f>
        <v/>
      </c>
      <c r="O116" s="28">
        <f>IF(N116="","",MAX(0,AsOf-J116))</f>
        <v/>
      </c>
      <c r="P116" s="66">
        <f>IF(O116="","",IF(O116=0,"Current",IF(O116&lt;=30,"1-30",IF(O116&lt;=60,"31-60",IF(O116&lt;=90,"61-90","90+")))))</f>
        <v/>
      </c>
      <c r="Q116" s="66">
        <f>IF(T116&lt;&gt;"","⛔ "&amp;T116&amp;" — not posted",IF(U116&lt;&gt;"","⚠ "&amp;U116,IF(V116=1,"✓ OK","")))</f>
        <v/>
      </c>
      <c r="R116" s="67">
        <f>IF(AND(B116="",C116="",D116="",G116="",F116=""),1,0)</f>
        <v/>
      </c>
      <c r="S116" s="68">
        <f>IF(AND(TaxOn="Yes",ISNUMBER(H116)),H116,0)</f>
        <v/>
      </c>
      <c r="T116" s="67">
        <f>IF(R116=1,"",IF(B116="","Enter a bill #",IF(D116="","Select a vendor",IF(C116="","Missing bill date",IF(NOT(ISNUMBER(C116)),"Invalid date",IF(OR(C116&lt;DATE(2000,1,1),C116&gt;DATE(2099,12,31)),"Invalid date",IF(F116="","Select an expense account",IF(ISNA(MATCH(F116,coa_Name,0)),"Unknown account: "&amp;F116,IF(NOT(ISNUMBER(G116)),"Enter an amount",IF(G116&lt;=0,"Amount must be positive",IF(S116&gt;G116,"Tax is larger than the amount","")))))))))))</f>
        <v/>
      </c>
      <c r="U116" s="67">
        <f>IF(OR(R116=1,T116&lt;&gt;""),"",IF(COUNTIFS(ap_No,B116,ap_Party,D116)&gt;1,"Duplicate bill #",IF(N(L116)&lt;0,"Overpaid by "&amp;TEXT(-L116,"#,##0.00"),IF(AND(ISNUMBER(H116),N(H116)&lt;&gt;0,S116=0),"Tax ignored (tax tracking is off)",IF(AND(ISNUMBER(StartDate),C116&lt;StartDate),"Date is before the accounting start date",IF(OR(IFERROR(INDEX(coa_Type,MATCH(F116,coa_Name,0)),"")="Revenue",IFERROR(INDEX(coa_Type,MATCH(F116,coa_Name,0)),"")="Other Income",IFERROR(INDEX(coa_Type,MATCH(F116,coa_Name,0)),"")="Equity"),"Account is not an expense or asset account",""))))))</f>
        <v/>
      </c>
      <c r="V116" s="67">
        <f>IF(AND(R116=0,T116=""),1,0)</f>
        <v/>
      </c>
      <c r="W116" s="67">
        <f>IF(V116=1,F116,"")</f>
        <v/>
      </c>
      <c r="X116" s="67">
        <f>IF(V116=1,acctAP,"")</f>
        <v/>
      </c>
      <c r="Y116" s="68">
        <f>IF(V116=1,G116-S116,0)</f>
        <v/>
      </c>
      <c r="Z116" s="68">
        <f>IF(V116=1,G116,0)</f>
        <v/>
      </c>
      <c r="AA116" s="68">
        <f>IF(V116=1,S116,0)</f>
        <v/>
      </c>
    </row>
    <row r="117">
      <c r="B117" s="62" t="n"/>
      <c r="C117" s="63" t="n"/>
      <c r="D117" s="62" t="n"/>
      <c r="E117" s="62" t="n"/>
      <c r="F117" s="62" t="n"/>
      <c r="G117" s="64" t="n"/>
      <c r="H117" s="64" t="n"/>
      <c r="I117" s="63" t="n"/>
      <c r="J117" s="29">
        <f>IF(V117=1,IF(ISNUMBER(I117),I117,C117+IF(ISNUMBER(IFERROR(INDEX(vend_Terms,MATCH(D117,vend_Name,0)),"")),INDEX(vend_Terms,MATCH(D117,vend_Name,0)),TermsDays)),"")</f>
        <v/>
      </c>
      <c r="K117" s="65">
        <f>IF(V117=1,SUMIFS(tx_CrAmt,tx_Type,"Bill Payment",tx_Ref,B117&amp;"",tx_Vend,D117,tx_Date,"&lt;="&amp;AsOf),"")</f>
        <v/>
      </c>
      <c r="L117" s="65">
        <f>IF(V117=1,IF(C117&gt;AsOf,0,ROUND(G117-K117,2)),"")</f>
        <v/>
      </c>
      <c r="M117" s="66">
        <f>IF(V117&lt;&gt;1,"",IF(C117&gt;AsOf,"Future",IF(L117&lt;0,"Overpaid",IF(L117=0,"Paid",IF(AsOf&gt;J117,"Overdue",IF(K117&gt;0,"Partial","Unpaid"))))))</f>
        <v/>
      </c>
      <c r="N117" s="28">
        <f>IF(AND(V117=1,N(L117)&gt;0),AsOf-C117,"")</f>
        <v/>
      </c>
      <c r="O117" s="28">
        <f>IF(N117="","",MAX(0,AsOf-J117))</f>
        <v/>
      </c>
      <c r="P117" s="66">
        <f>IF(O117="","",IF(O117=0,"Current",IF(O117&lt;=30,"1-30",IF(O117&lt;=60,"31-60",IF(O117&lt;=90,"61-90","90+")))))</f>
        <v/>
      </c>
      <c r="Q117" s="66">
        <f>IF(T117&lt;&gt;"","⛔ "&amp;T117&amp;" — not posted",IF(U117&lt;&gt;"","⚠ "&amp;U117,IF(V117=1,"✓ OK","")))</f>
        <v/>
      </c>
      <c r="R117" s="67">
        <f>IF(AND(B117="",C117="",D117="",G117="",F117=""),1,0)</f>
        <v/>
      </c>
      <c r="S117" s="68">
        <f>IF(AND(TaxOn="Yes",ISNUMBER(H117)),H117,0)</f>
        <v/>
      </c>
      <c r="T117" s="67">
        <f>IF(R117=1,"",IF(B117="","Enter a bill #",IF(D117="","Select a vendor",IF(C117="","Missing bill date",IF(NOT(ISNUMBER(C117)),"Invalid date",IF(OR(C117&lt;DATE(2000,1,1),C117&gt;DATE(2099,12,31)),"Invalid date",IF(F117="","Select an expense account",IF(ISNA(MATCH(F117,coa_Name,0)),"Unknown account: "&amp;F117,IF(NOT(ISNUMBER(G117)),"Enter an amount",IF(G117&lt;=0,"Amount must be positive",IF(S117&gt;G117,"Tax is larger than the amount","")))))))))))</f>
        <v/>
      </c>
      <c r="U117" s="67">
        <f>IF(OR(R117=1,T117&lt;&gt;""),"",IF(COUNTIFS(ap_No,B117,ap_Party,D117)&gt;1,"Duplicate bill #",IF(N(L117)&lt;0,"Overpaid by "&amp;TEXT(-L117,"#,##0.00"),IF(AND(ISNUMBER(H117),N(H117)&lt;&gt;0,S117=0),"Tax ignored (tax tracking is off)",IF(AND(ISNUMBER(StartDate),C117&lt;StartDate),"Date is before the accounting start date",IF(OR(IFERROR(INDEX(coa_Type,MATCH(F117,coa_Name,0)),"")="Revenue",IFERROR(INDEX(coa_Type,MATCH(F117,coa_Name,0)),"")="Other Income",IFERROR(INDEX(coa_Type,MATCH(F117,coa_Name,0)),"")="Equity"),"Account is not an expense or asset account",""))))))</f>
        <v/>
      </c>
      <c r="V117" s="67">
        <f>IF(AND(R117=0,T117=""),1,0)</f>
        <v/>
      </c>
      <c r="W117" s="67">
        <f>IF(V117=1,F117,"")</f>
        <v/>
      </c>
      <c r="X117" s="67">
        <f>IF(V117=1,acctAP,"")</f>
        <v/>
      </c>
      <c r="Y117" s="68">
        <f>IF(V117=1,G117-S117,0)</f>
        <v/>
      </c>
      <c r="Z117" s="68">
        <f>IF(V117=1,G117,0)</f>
        <v/>
      </c>
      <c r="AA117" s="68">
        <f>IF(V117=1,S117,0)</f>
        <v/>
      </c>
    </row>
    <row r="118">
      <c r="B118" s="62" t="n"/>
      <c r="C118" s="63" t="n"/>
      <c r="D118" s="62" t="n"/>
      <c r="E118" s="62" t="n"/>
      <c r="F118" s="62" t="n"/>
      <c r="G118" s="64" t="n"/>
      <c r="H118" s="64" t="n"/>
      <c r="I118" s="63" t="n"/>
      <c r="J118" s="29">
        <f>IF(V118=1,IF(ISNUMBER(I118),I118,C118+IF(ISNUMBER(IFERROR(INDEX(vend_Terms,MATCH(D118,vend_Name,0)),"")),INDEX(vend_Terms,MATCH(D118,vend_Name,0)),TermsDays)),"")</f>
        <v/>
      </c>
      <c r="K118" s="65">
        <f>IF(V118=1,SUMIFS(tx_CrAmt,tx_Type,"Bill Payment",tx_Ref,B118&amp;"",tx_Vend,D118,tx_Date,"&lt;="&amp;AsOf),"")</f>
        <v/>
      </c>
      <c r="L118" s="65">
        <f>IF(V118=1,IF(C118&gt;AsOf,0,ROUND(G118-K118,2)),"")</f>
        <v/>
      </c>
      <c r="M118" s="66">
        <f>IF(V118&lt;&gt;1,"",IF(C118&gt;AsOf,"Future",IF(L118&lt;0,"Overpaid",IF(L118=0,"Paid",IF(AsOf&gt;J118,"Overdue",IF(K118&gt;0,"Partial","Unpaid"))))))</f>
        <v/>
      </c>
      <c r="N118" s="28">
        <f>IF(AND(V118=1,N(L118)&gt;0),AsOf-C118,"")</f>
        <v/>
      </c>
      <c r="O118" s="28">
        <f>IF(N118="","",MAX(0,AsOf-J118))</f>
        <v/>
      </c>
      <c r="P118" s="66">
        <f>IF(O118="","",IF(O118=0,"Current",IF(O118&lt;=30,"1-30",IF(O118&lt;=60,"31-60",IF(O118&lt;=90,"61-90","90+")))))</f>
        <v/>
      </c>
      <c r="Q118" s="66">
        <f>IF(T118&lt;&gt;"","⛔ "&amp;T118&amp;" — not posted",IF(U118&lt;&gt;"","⚠ "&amp;U118,IF(V118=1,"✓ OK","")))</f>
        <v/>
      </c>
      <c r="R118" s="67">
        <f>IF(AND(B118="",C118="",D118="",G118="",F118=""),1,0)</f>
        <v/>
      </c>
      <c r="S118" s="68">
        <f>IF(AND(TaxOn="Yes",ISNUMBER(H118)),H118,0)</f>
        <v/>
      </c>
      <c r="T118" s="67">
        <f>IF(R118=1,"",IF(B118="","Enter a bill #",IF(D118="","Select a vendor",IF(C118="","Missing bill date",IF(NOT(ISNUMBER(C118)),"Invalid date",IF(OR(C118&lt;DATE(2000,1,1),C118&gt;DATE(2099,12,31)),"Invalid date",IF(F118="","Select an expense account",IF(ISNA(MATCH(F118,coa_Name,0)),"Unknown account: "&amp;F118,IF(NOT(ISNUMBER(G118)),"Enter an amount",IF(G118&lt;=0,"Amount must be positive",IF(S118&gt;G118,"Tax is larger than the amount","")))))))))))</f>
        <v/>
      </c>
      <c r="U118" s="67">
        <f>IF(OR(R118=1,T118&lt;&gt;""),"",IF(COUNTIFS(ap_No,B118,ap_Party,D118)&gt;1,"Duplicate bill #",IF(N(L118)&lt;0,"Overpaid by "&amp;TEXT(-L118,"#,##0.00"),IF(AND(ISNUMBER(H118),N(H118)&lt;&gt;0,S118=0),"Tax ignored (tax tracking is off)",IF(AND(ISNUMBER(StartDate),C118&lt;StartDate),"Date is before the accounting start date",IF(OR(IFERROR(INDEX(coa_Type,MATCH(F118,coa_Name,0)),"")="Revenue",IFERROR(INDEX(coa_Type,MATCH(F118,coa_Name,0)),"")="Other Income",IFERROR(INDEX(coa_Type,MATCH(F118,coa_Name,0)),"")="Equity"),"Account is not an expense or asset account",""))))))</f>
        <v/>
      </c>
      <c r="V118" s="67">
        <f>IF(AND(R118=0,T118=""),1,0)</f>
        <v/>
      </c>
      <c r="W118" s="67">
        <f>IF(V118=1,F118,"")</f>
        <v/>
      </c>
      <c r="X118" s="67">
        <f>IF(V118=1,acctAP,"")</f>
        <v/>
      </c>
      <c r="Y118" s="68">
        <f>IF(V118=1,G118-S118,0)</f>
        <v/>
      </c>
      <c r="Z118" s="68">
        <f>IF(V118=1,G118,0)</f>
        <v/>
      </c>
      <c r="AA118" s="68">
        <f>IF(V118=1,S118,0)</f>
        <v/>
      </c>
    </row>
    <row r="119">
      <c r="B119" s="62" t="n"/>
      <c r="C119" s="63" t="n"/>
      <c r="D119" s="62" t="n"/>
      <c r="E119" s="62" t="n"/>
      <c r="F119" s="62" t="n"/>
      <c r="G119" s="64" t="n"/>
      <c r="H119" s="64" t="n"/>
      <c r="I119" s="63" t="n"/>
      <c r="J119" s="29">
        <f>IF(V119=1,IF(ISNUMBER(I119),I119,C119+IF(ISNUMBER(IFERROR(INDEX(vend_Terms,MATCH(D119,vend_Name,0)),"")),INDEX(vend_Terms,MATCH(D119,vend_Name,0)),TermsDays)),"")</f>
        <v/>
      </c>
      <c r="K119" s="65">
        <f>IF(V119=1,SUMIFS(tx_CrAmt,tx_Type,"Bill Payment",tx_Ref,B119&amp;"",tx_Vend,D119,tx_Date,"&lt;="&amp;AsOf),"")</f>
        <v/>
      </c>
      <c r="L119" s="65">
        <f>IF(V119=1,IF(C119&gt;AsOf,0,ROUND(G119-K119,2)),"")</f>
        <v/>
      </c>
      <c r="M119" s="66">
        <f>IF(V119&lt;&gt;1,"",IF(C119&gt;AsOf,"Future",IF(L119&lt;0,"Overpaid",IF(L119=0,"Paid",IF(AsOf&gt;J119,"Overdue",IF(K119&gt;0,"Partial","Unpaid"))))))</f>
        <v/>
      </c>
      <c r="N119" s="28">
        <f>IF(AND(V119=1,N(L119)&gt;0),AsOf-C119,"")</f>
        <v/>
      </c>
      <c r="O119" s="28">
        <f>IF(N119="","",MAX(0,AsOf-J119))</f>
        <v/>
      </c>
      <c r="P119" s="66">
        <f>IF(O119="","",IF(O119=0,"Current",IF(O119&lt;=30,"1-30",IF(O119&lt;=60,"31-60",IF(O119&lt;=90,"61-90","90+")))))</f>
        <v/>
      </c>
      <c r="Q119" s="66">
        <f>IF(T119&lt;&gt;"","⛔ "&amp;T119&amp;" — not posted",IF(U119&lt;&gt;"","⚠ "&amp;U119,IF(V119=1,"✓ OK","")))</f>
        <v/>
      </c>
      <c r="R119" s="67">
        <f>IF(AND(B119="",C119="",D119="",G119="",F119=""),1,0)</f>
        <v/>
      </c>
      <c r="S119" s="68">
        <f>IF(AND(TaxOn="Yes",ISNUMBER(H119)),H119,0)</f>
        <v/>
      </c>
      <c r="T119" s="67">
        <f>IF(R119=1,"",IF(B119="","Enter a bill #",IF(D119="","Select a vendor",IF(C119="","Missing bill date",IF(NOT(ISNUMBER(C119)),"Invalid date",IF(OR(C119&lt;DATE(2000,1,1),C119&gt;DATE(2099,12,31)),"Invalid date",IF(F119="","Select an expense account",IF(ISNA(MATCH(F119,coa_Name,0)),"Unknown account: "&amp;F119,IF(NOT(ISNUMBER(G119)),"Enter an amount",IF(G119&lt;=0,"Amount must be positive",IF(S119&gt;G119,"Tax is larger than the amount","")))))))))))</f>
        <v/>
      </c>
      <c r="U119" s="67">
        <f>IF(OR(R119=1,T119&lt;&gt;""),"",IF(COUNTIFS(ap_No,B119,ap_Party,D119)&gt;1,"Duplicate bill #",IF(N(L119)&lt;0,"Overpaid by "&amp;TEXT(-L119,"#,##0.00"),IF(AND(ISNUMBER(H119),N(H119)&lt;&gt;0,S119=0),"Tax ignored (tax tracking is off)",IF(AND(ISNUMBER(StartDate),C119&lt;StartDate),"Date is before the accounting start date",IF(OR(IFERROR(INDEX(coa_Type,MATCH(F119,coa_Name,0)),"")="Revenue",IFERROR(INDEX(coa_Type,MATCH(F119,coa_Name,0)),"")="Other Income",IFERROR(INDEX(coa_Type,MATCH(F119,coa_Name,0)),"")="Equity"),"Account is not an expense or asset account",""))))))</f>
        <v/>
      </c>
      <c r="V119" s="67">
        <f>IF(AND(R119=0,T119=""),1,0)</f>
        <v/>
      </c>
      <c r="W119" s="67">
        <f>IF(V119=1,F119,"")</f>
        <v/>
      </c>
      <c r="X119" s="67">
        <f>IF(V119=1,acctAP,"")</f>
        <v/>
      </c>
      <c r="Y119" s="68">
        <f>IF(V119=1,G119-S119,0)</f>
        <v/>
      </c>
      <c r="Z119" s="68">
        <f>IF(V119=1,G119,0)</f>
        <v/>
      </c>
      <c r="AA119" s="68">
        <f>IF(V119=1,S119,0)</f>
        <v/>
      </c>
    </row>
    <row r="120">
      <c r="B120" s="62" t="n"/>
      <c r="C120" s="63" t="n"/>
      <c r="D120" s="62" t="n"/>
      <c r="E120" s="62" t="n"/>
      <c r="F120" s="62" t="n"/>
      <c r="G120" s="64" t="n"/>
      <c r="H120" s="64" t="n"/>
      <c r="I120" s="63" t="n"/>
      <c r="J120" s="29">
        <f>IF(V120=1,IF(ISNUMBER(I120),I120,C120+IF(ISNUMBER(IFERROR(INDEX(vend_Terms,MATCH(D120,vend_Name,0)),"")),INDEX(vend_Terms,MATCH(D120,vend_Name,0)),TermsDays)),"")</f>
        <v/>
      </c>
      <c r="K120" s="65">
        <f>IF(V120=1,SUMIFS(tx_CrAmt,tx_Type,"Bill Payment",tx_Ref,B120&amp;"",tx_Vend,D120,tx_Date,"&lt;="&amp;AsOf),"")</f>
        <v/>
      </c>
      <c r="L120" s="65">
        <f>IF(V120=1,IF(C120&gt;AsOf,0,ROUND(G120-K120,2)),"")</f>
        <v/>
      </c>
      <c r="M120" s="66">
        <f>IF(V120&lt;&gt;1,"",IF(C120&gt;AsOf,"Future",IF(L120&lt;0,"Overpaid",IF(L120=0,"Paid",IF(AsOf&gt;J120,"Overdue",IF(K120&gt;0,"Partial","Unpaid"))))))</f>
        <v/>
      </c>
      <c r="N120" s="28">
        <f>IF(AND(V120=1,N(L120)&gt;0),AsOf-C120,"")</f>
        <v/>
      </c>
      <c r="O120" s="28">
        <f>IF(N120="","",MAX(0,AsOf-J120))</f>
        <v/>
      </c>
      <c r="P120" s="66">
        <f>IF(O120="","",IF(O120=0,"Current",IF(O120&lt;=30,"1-30",IF(O120&lt;=60,"31-60",IF(O120&lt;=90,"61-90","90+")))))</f>
        <v/>
      </c>
      <c r="Q120" s="66">
        <f>IF(T120&lt;&gt;"","⛔ "&amp;T120&amp;" — not posted",IF(U120&lt;&gt;"","⚠ "&amp;U120,IF(V120=1,"✓ OK","")))</f>
        <v/>
      </c>
      <c r="R120" s="67">
        <f>IF(AND(B120="",C120="",D120="",G120="",F120=""),1,0)</f>
        <v/>
      </c>
      <c r="S120" s="68">
        <f>IF(AND(TaxOn="Yes",ISNUMBER(H120)),H120,0)</f>
        <v/>
      </c>
      <c r="T120" s="67">
        <f>IF(R120=1,"",IF(B120="","Enter a bill #",IF(D120="","Select a vendor",IF(C120="","Missing bill date",IF(NOT(ISNUMBER(C120)),"Invalid date",IF(OR(C120&lt;DATE(2000,1,1),C120&gt;DATE(2099,12,31)),"Invalid date",IF(F120="","Select an expense account",IF(ISNA(MATCH(F120,coa_Name,0)),"Unknown account: "&amp;F120,IF(NOT(ISNUMBER(G120)),"Enter an amount",IF(G120&lt;=0,"Amount must be positive",IF(S120&gt;G120,"Tax is larger than the amount","")))))))))))</f>
        <v/>
      </c>
      <c r="U120" s="67">
        <f>IF(OR(R120=1,T120&lt;&gt;""),"",IF(COUNTIFS(ap_No,B120,ap_Party,D120)&gt;1,"Duplicate bill #",IF(N(L120)&lt;0,"Overpaid by "&amp;TEXT(-L120,"#,##0.00"),IF(AND(ISNUMBER(H120),N(H120)&lt;&gt;0,S120=0),"Tax ignored (tax tracking is off)",IF(AND(ISNUMBER(StartDate),C120&lt;StartDate),"Date is before the accounting start date",IF(OR(IFERROR(INDEX(coa_Type,MATCH(F120,coa_Name,0)),"")="Revenue",IFERROR(INDEX(coa_Type,MATCH(F120,coa_Name,0)),"")="Other Income",IFERROR(INDEX(coa_Type,MATCH(F120,coa_Name,0)),"")="Equity"),"Account is not an expense or asset account",""))))))</f>
        <v/>
      </c>
      <c r="V120" s="67">
        <f>IF(AND(R120=0,T120=""),1,0)</f>
        <v/>
      </c>
      <c r="W120" s="67">
        <f>IF(V120=1,F120,"")</f>
        <v/>
      </c>
      <c r="X120" s="67">
        <f>IF(V120=1,acctAP,"")</f>
        <v/>
      </c>
      <c r="Y120" s="68">
        <f>IF(V120=1,G120-S120,0)</f>
        <v/>
      </c>
      <c r="Z120" s="68">
        <f>IF(V120=1,G120,0)</f>
        <v/>
      </c>
      <c r="AA120" s="68">
        <f>IF(V120=1,S120,0)</f>
        <v/>
      </c>
    </row>
    <row r="121">
      <c r="B121" s="62" t="n"/>
      <c r="C121" s="63" t="n"/>
      <c r="D121" s="62" t="n"/>
      <c r="E121" s="62" t="n"/>
      <c r="F121" s="62" t="n"/>
      <c r="G121" s="64" t="n"/>
      <c r="H121" s="64" t="n"/>
      <c r="I121" s="63" t="n"/>
      <c r="J121" s="29">
        <f>IF(V121=1,IF(ISNUMBER(I121),I121,C121+IF(ISNUMBER(IFERROR(INDEX(vend_Terms,MATCH(D121,vend_Name,0)),"")),INDEX(vend_Terms,MATCH(D121,vend_Name,0)),TermsDays)),"")</f>
        <v/>
      </c>
      <c r="K121" s="65">
        <f>IF(V121=1,SUMIFS(tx_CrAmt,tx_Type,"Bill Payment",tx_Ref,B121&amp;"",tx_Vend,D121,tx_Date,"&lt;="&amp;AsOf),"")</f>
        <v/>
      </c>
      <c r="L121" s="65">
        <f>IF(V121=1,IF(C121&gt;AsOf,0,ROUND(G121-K121,2)),"")</f>
        <v/>
      </c>
      <c r="M121" s="66">
        <f>IF(V121&lt;&gt;1,"",IF(C121&gt;AsOf,"Future",IF(L121&lt;0,"Overpaid",IF(L121=0,"Paid",IF(AsOf&gt;J121,"Overdue",IF(K121&gt;0,"Partial","Unpaid"))))))</f>
        <v/>
      </c>
      <c r="N121" s="28">
        <f>IF(AND(V121=1,N(L121)&gt;0),AsOf-C121,"")</f>
        <v/>
      </c>
      <c r="O121" s="28">
        <f>IF(N121="","",MAX(0,AsOf-J121))</f>
        <v/>
      </c>
      <c r="P121" s="66">
        <f>IF(O121="","",IF(O121=0,"Current",IF(O121&lt;=30,"1-30",IF(O121&lt;=60,"31-60",IF(O121&lt;=90,"61-90","90+")))))</f>
        <v/>
      </c>
      <c r="Q121" s="66">
        <f>IF(T121&lt;&gt;"","⛔ "&amp;T121&amp;" — not posted",IF(U121&lt;&gt;"","⚠ "&amp;U121,IF(V121=1,"✓ OK","")))</f>
        <v/>
      </c>
      <c r="R121" s="67">
        <f>IF(AND(B121="",C121="",D121="",G121="",F121=""),1,0)</f>
        <v/>
      </c>
      <c r="S121" s="68">
        <f>IF(AND(TaxOn="Yes",ISNUMBER(H121)),H121,0)</f>
        <v/>
      </c>
      <c r="T121" s="67">
        <f>IF(R121=1,"",IF(B121="","Enter a bill #",IF(D121="","Select a vendor",IF(C121="","Missing bill date",IF(NOT(ISNUMBER(C121)),"Invalid date",IF(OR(C121&lt;DATE(2000,1,1),C121&gt;DATE(2099,12,31)),"Invalid date",IF(F121="","Select an expense account",IF(ISNA(MATCH(F121,coa_Name,0)),"Unknown account: "&amp;F121,IF(NOT(ISNUMBER(G121)),"Enter an amount",IF(G121&lt;=0,"Amount must be positive",IF(S121&gt;G121,"Tax is larger than the amount","")))))))))))</f>
        <v/>
      </c>
      <c r="U121" s="67">
        <f>IF(OR(R121=1,T121&lt;&gt;""),"",IF(COUNTIFS(ap_No,B121,ap_Party,D121)&gt;1,"Duplicate bill #",IF(N(L121)&lt;0,"Overpaid by "&amp;TEXT(-L121,"#,##0.00"),IF(AND(ISNUMBER(H121),N(H121)&lt;&gt;0,S121=0),"Tax ignored (tax tracking is off)",IF(AND(ISNUMBER(StartDate),C121&lt;StartDate),"Date is before the accounting start date",IF(OR(IFERROR(INDEX(coa_Type,MATCH(F121,coa_Name,0)),"")="Revenue",IFERROR(INDEX(coa_Type,MATCH(F121,coa_Name,0)),"")="Other Income",IFERROR(INDEX(coa_Type,MATCH(F121,coa_Name,0)),"")="Equity"),"Account is not an expense or asset account",""))))))</f>
        <v/>
      </c>
      <c r="V121" s="67">
        <f>IF(AND(R121=0,T121=""),1,0)</f>
        <v/>
      </c>
      <c r="W121" s="67">
        <f>IF(V121=1,F121,"")</f>
        <v/>
      </c>
      <c r="X121" s="67">
        <f>IF(V121=1,acctAP,"")</f>
        <v/>
      </c>
      <c r="Y121" s="68">
        <f>IF(V121=1,G121-S121,0)</f>
        <v/>
      </c>
      <c r="Z121" s="68">
        <f>IF(V121=1,G121,0)</f>
        <v/>
      </c>
      <c r="AA121" s="68">
        <f>IF(V121=1,S121,0)</f>
        <v/>
      </c>
    </row>
    <row r="122">
      <c r="B122" s="62" t="n"/>
      <c r="C122" s="63" t="n"/>
      <c r="D122" s="62" t="n"/>
      <c r="E122" s="62" t="n"/>
      <c r="F122" s="62" t="n"/>
      <c r="G122" s="64" t="n"/>
      <c r="H122" s="64" t="n"/>
      <c r="I122" s="63" t="n"/>
      <c r="J122" s="29">
        <f>IF(V122=1,IF(ISNUMBER(I122),I122,C122+IF(ISNUMBER(IFERROR(INDEX(vend_Terms,MATCH(D122,vend_Name,0)),"")),INDEX(vend_Terms,MATCH(D122,vend_Name,0)),TermsDays)),"")</f>
        <v/>
      </c>
      <c r="K122" s="65">
        <f>IF(V122=1,SUMIFS(tx_CrAmt,tx_Type,"Bill Payment",tx_Ref,B122&amp;"",tx_Vend,D122,tx_Date,"&lt;="&amp;AsOf),"")</f>
        <v/>
      </c>
      <c r="L122" s="65">
        <f>IF(V122=1,IF(C122&gt;AsOf,0,ROUND(G122-K122,2)),"")</f>
        <v/>
      </c>
      <c r="M122" s="66">
        <f>IF(V122&lt;&gt;1,"",IF(C122&gt;AsOf,"Future",IF(L122&lt;0,"Overpaid",IF(L122=0,"Paid",IF(AsOf&gt;J122,"Overdue",IF(K122&gt;0,"Partial","Unpaid"))))))</f>
        <v/>
      </c>
      <c r="N122" s="28">
        <f>IF(AND(V122=1,N(L122)&gt;0),AsOf-C122,"")</f>
        <v/>
      </c>
      <c r="O122" s="28">
        <f>IF(N122="","",MAX(0,AsOf-J122))</f>
        <v/>
      </c>
      <c r="P122" s="66">
        <f>IF(O122="","",IF(O122=0,"Current",IF(O122&lt;=30,"1-30",IF(O122&lt;=60,"31-60",IF(O122&lt;=90,"61-90","90+")))))</f>
        <v/>
      </c>
      <c r="Q122" s="66">
        <f>IF(T122&lt;&gt;"","⛔ "&amp;T122&amp;" — not posted",IF(U122&lt;&gt;"","⚠ "&amp;U122,IF(V122=1,"✓ OK","")))</f>
        <v/>
      </c>
      <c r="R122" s="67">
        <f>IF(AND(B122="",C122="",D122="",G122="",F122=""),1,0)</f>
        <v/>
      </c>
      <c r="S122" s="68">
        <f>IF(AND(TaxOn="Yes",ISNUMBER(H122)),H122,0)</f>
        <v/>
      </c>
      <c r="T122" s="67">
        <f>IF(R122=1,"",IF(B122="","Enter a bill #",IF(D122="","Select a vendor",IF(C122="","Missing bill date",IF(NOT(ISNUMBER(C122)),"Invalid date",IF(OR(C122&lt;DATE(2000,1,1),C122&gt;DATE(2099,12,31)),"Invalid date",IF(F122="","Select an expense account",IF(ISNA(MATCH(F122,coa_Name,0)),"Unknown account: "&amp;F122,IF(NOT(ISNUMBER(G122)),"Enter an amount",IF(G122&lt;=0,"Amount must be positive",IF(S122&gt;G122,"Tax is larger than the amount","")))))))))))</f>
        <v/>
      </c>
      <c r="U122" s="67">
        <f>IF(OR(R122=1,T122&lt;&gt;""),"",IF(COUNTIFS(ap_No,B122,ap_Party,D122)&gt;1,"Duplicate bill #",IF(N(L122)&lt;0,"Overpaid by "&amp;TEXT(-L122,"#,##0.00"),IF(AND(ISNUMBER(H122),N(H122)&lt;&gt;0,S122=0),"Tax ignored (tax tracking is off)",IF(AND(ISNUMBER(StartDate),C122&lt;StartDate),"Date is before the accounting start date",IF(OR(IFERROR(INDEX(coa_Type,MATCH(F122,coa_Name,0)),"")="Revenue",IFERROR(INDEX(coa_Type,MATCH(F122,coa_Name,0)),"")="Other Income",IFERROR(INDEX(coa_Type,MATCH(F122,coa_Name,0)),"")="Equity"),"Account is not an expense or asset account",""))))))</f>
        <v/>
      </c>
      <c r="V122" s="67">
        <f>IF(AND(R122=0,T122=""),1,0)</f>
        <v/>
      </c>
      <c r="W122" s="67">
        <f>IF(V122=1,F122,"")</f>
        <v/>
      </c>
      <c r="X122" s="67">
        <f>IF(V122=1,acctAP,"")</f>
        <v/>
      </c>
      <c r="Y122" s="68">
        <f>IF(V122=1,G122-S122,0)</f>
        <v/>
      </c>
      <c r="Z122" s="68">
        <f>IF(V122=1,G122,0)</f>
        <v/>
      </c>
      <c r="AA122" s="68">
        <f>IF(V122=1,S122,0)</f>
        <v/>
      </c>
    </row>
    <row r="123">
      <c r="B123" s="62" t="n"/>
      <c r="C123" s="63" t="n"/>
      <c r="D123" s="62" t="n"/>
      <c r="E123" s="62" t="n"/>
      <c r="F123" s="62" t="n"/>
      <c r="G123" s="64" t="n"/>
      <c r="H123" s="64" t="n"/>
      <c r="I123" s="63" t="n"/>
      <c r="J123" s="29">
        <f>IF(V123=1,IF(ISNUMBER(I123),I123,C123+IF(ISNUMBER(IFERROR(INDEX(vend_Terms,MATCH(D123,vend_Name,0)),"")),INDEX(vend_Terms,MATCH(D123,vend_Name,0)),TermsDays)),"")</f>
        <v/>
      </c>
      <c r="K123" s="65">
        <f>IF(V123=1,SUMIFS(tx_CrAmt,tx_Type,"Bill Payment",tx_Ref,B123&amp;"",tx_Vend,D123,tx_Date,"&lt;="&amp;AsOf),"")</f>
        <v/>
      </c>
      <c r="L123" s="65">
        <f>IF(V123=1,IF(C123&gt;AsOf,0,ROUND(G123-K123,2)),"")</f>
        <v/>
      </c>
      <c r="M123" s="66">
        <f>IF(V123&lt;&gt;1,"",IF(C123&gt;AsOf,"Future",IF(L123&lt;0,"Overpaid",IF(L123=0,"Paid",IF(AsOf&gt;J123,"Overdue",IF(K123&gt;0,"Partial","Unpaid"))))))</f>
        <v/>
      </c>
      <c r="N123" s="28">
        <f>IF(AND(V123=1,N(L123)&gt;0),AsOf-C123,"")</f>
        <v/>
      </c>
      <c r="O123" s="28">
        <f>IF(N123="","",MAX(0,AsOf-J123))</f>
        <v/>
      </c>
      <c r="P123" s="66">
        <f>IF(O123="","",IF(O123=0,"Current",IF(O123&lt;=30,"1-30",IF(O123&lt;=60,"31-60",IF(O123&lt;=90,"61-90","90+")))))</f>
        <v/>
      </c>
      <c r="Q123" s="66">
        <f>IF(T123&lt;&gt;"","⛔ "&amp;T123&amp;" — not posted",IF(U123&lt;&gt;"","⚠ "&amp;U123,IF(V123=1,"✓ OK","")))</f>
        <v/>
      </c>
      <c r="R123" s="67">
        <f>IF(AND(B123="",C123="",D123="",G123="",F123=""),1,0)</f>
        <v/>
      </c>
      <c r="S123" s="68">
        <f>IF(AND(TaxOn="Yes",ISNUMBER(H123)),H123,0)</f>
        <v/>
      </c>
      <c r="T123" s="67">
        <f>IF(R123=1,"",IF(B123="","Enter a bill #",IF(D123="","Select a vendor",IF(C123="","Missing bill date",IF(NOT(ISNUMBER(C123)),"Invalid date",IF(OR(C123&lt;DATE(2000,1,1),C123&gt;DATE(2099,12,31)),"Invalid date",IF(F123="","Select an expense account",IF(ISNA(MATCH(F123,coa_Name,0)),"Unknown account: "&amp;F123,IF(NOT(ISNUMBER(G123)),"Enter an amount",IF(G123&lt;=0,"Amount must be positive",IF(S123&gt;G123,"Tax is larger than the amount","")))))))))))</f>
        <v/>
      </c>
      <c r="U123" s="67">
        <f>IF(OR(R123=1,T123&lt;&gt;""),"",IF(COUNTIFS(ap_No,B123,ap_Party,D123)&gt;1,"Duplicate bill #",IF(N(L123)&lt;0,"Overpaid by "&amp;TEXT(-L123,"#,##0.00"),IF(AND(ISNUMBER(H123),N(H123)&lt;&gt;0,S123=0),"Tax ignored (tax tracking is off)",IF(AND(ISNUMBER(StartDate),C123&lt;StartDate),"Date is before the accounting start date",IF(OR(IFERROR(INDEX(coa_Type,MATCH(F123,coa_Name,0)),"")="Revenue",IFERROR(INDEX(coa_Type,MATCH(F123,coa_Name,0)),"")="Other Income",IFERROR(INDEX(coa_Type,MATCH(F123,coa_Name,0)),"")="Equity"),"Account is not an expense or asset account",""))))))</f>
        <v/>
      </c>
      <c r="V123" s="67">
        <f>IF(AND(R123=0,T123=""),1,0)</f>
        <v/>
      </c>
      <c r="W123" s="67">
        <f>IF(V123=1,F123,"")</f>
        <v/>
      </c>
      <c r="X123" s="67">
        <f>IF(V123=1,acctAP,"")</f>
        <v/>
      </c>
      <c r="Y123" s="68">
        <f>IF(V123=1,G123-S123,0)</f>
        <v/>
      </c>
      <c r="Z123" s="68">
        <f>IF(V123=1,G123,0)</f>
        <v/>
      </c>
      <c r="AA123" s="68">
        <f>IF(V123=1,S123,0)</f>
        <v/>
      </c>
    </row>
    <row r="124">
      <c r="B124" s="62" t="n"/>
      <c r="C124" s="63" t="n"/>
      <c r="D124" s="62" t="n"/>
      <c r="E124" s="62" t="n"/>
      <c r="F124" s="62" t="n"/>
      <c r="G124" s="64" t="n"/>
      <c r="H124" s="64" t="n"/>
      <c r="I124" s="63" t="n"/>
      <c r="J124" s="29">
        <f>IF(V124=1,IF(ISNUMBER(I124),I124,C124+IF(ISNUMBER(IFERROR(INDEX(vend_Terms,MATCH(D124,vend_Name,0)),"")),INDEX(vend_Terms,MATCH(D124,vend_Name,0)),TermsDays)),"")</f>
        <v/>
      </c>
      <c r="K124" s="65">
        <f>IF(V124=1,SUMIFS(tx_CrAmt,tx_Type,"Bill Payment",tx_Ref,B124&amp;"",tx_Vend,D124,tx_Date,"&lt;="&amp;AsOf),"")</f>
        <v/>
      </c>
      <c r="L124" s="65">
        <f>IF(V124=1,IF(C124&gt;AsOf,0,ROUND(G124-K124,2)),"")</f>
        <v/>
      </c>
      <c r="M124" s="66">
        <f>IF(V124&lt;&gt;1,"",IF(C124&gt;AsOf,"Future",IF(L124&lt;0,"Overpaid",IF(L124=0,"Paid",IF(AsOf&gt;J124,"Overdue",IF(K124&gt;0,"Partial","Unpaid"))))))</f>
        <v/>
      </c>
      <c r="N124" s="28">
        <f>IF(AND(V124=1,N(L124)&gt;0),AsOf-C124,"")</f>
        <v/>
      </c>
      <c r="O124" s="28">
        <f>IF(N124="","",MAX(0,AsOf-J124))</f>
        <v/>
      </c>
      <c r="P124" s="66">
        <f>IF(O124="","",IF(O124=0,"Current",IF(O124&lt;=30,"1-30",IF(O124&lt;=60,"31-60",IF(O124&lt;=90,"61-90","90+")))))</f>
        <v/>
      </c>
      <c r="Q124" s="66">
        <f>IF(T124&lt;&gt;"","⛔ "&amp;T124&amp;" — not posted",IF(U124&lt;&gt;"","⚠ "&amp;U124,IF(V124=1,"✓ OK","")))</f>
        <v/>
      </c>
      <c r="R124" s="67">
        <f>IF(AND(B124="",C124="",D124="",G124="",F124=""),1,0)</f>
        <v/>
      </c>
      <c r="S124" s="68">
        <f>IF(AND(TaxOn="Yes",ISNUMBER(H124)),H124,0)</f>
        <v/>
      </c>
      <c r="T124" s="67">
        <f>IF(R124=1,"",IF(B124="","Enter a bill #",IF(D124="","Select a vendor",IF(C124="","Missing bill date",IF(NOT(ISNUMBER(C124)),"Invalid date",IF(OR(C124&lt;DATE(2000,1,1),C124&gt;DATE(2099,12,31)),"Invalid date",IF(F124="","Select an expense account",IF(ISNA(MATCH(F124,coa_Name,0)),"Unknown account: "&amp;F124,IF(NOT(ISNUMBER(G124)),"Enter an amount",IF(G124&lt;=0,"Amount must be positive",IF(S124&gt;G124,"Tax is larger than the amount","")))))))))))</f>
        <v/>
      </c>
      <c r="U124" s="67">
        <f>IF(OR(R124=1,T124&lt;&gt;""),"",IF(COUNTIFS(ap_No,B124,ap_Party,D124)&gt;1,"Duplicate bill #",IF(N(L124)&lt;0,"Overpaid by "&amp;TEXT(-L124,"#,##0.00"),IF(AND(ISNUMBER(H124),N(H124)&lt;&gt;0,S124=0),"Tax ignored (tax tracking is off)",IF(AND(ISNUMBER(StartDate),C124&lt;StartDate),"Date is before the accounting start date",IF(OR(IFERROR(INDEX(coa_Type,MATCH(F124,coa_Name,0)),"")="Revenue",IFERROR(INDEX(coa_Type,MATCH(F124,coa_Name,0)),"")="Other Income",IFERROR(INDEX(coa_Type,MATCH(F124,coa_Name,0)),"")="Equity"),"Account is not an expense or asset account",""))))))</f>
        <v/>
      </c>
      <c r="V124" s="67">
        <f>IF(AND(R124=0,T124=""),1,0)</f>
        <v/>
      </c>
      <c r="W124" s="67">
        <f>IF(V124=1,F124,"")</f>
        <v/>
      </c>
      <c r="X124" s="67">
        <f>IF(V124=1,acctAP,"")</f>
        <v/>
      </c>
      <c r="Y124" s="68">
        <f>IF(V124=1,G124-S124,0)</f>
        <v/>
      </c>
      <c r="Z124" s="68">
        <f>IF(V124=1,G124,0)</f>
        <v/>
      </c>
      <c r="AA124" s="68">
        <f>IF(V124=1,S124,0)</f>
        <v/>
      </c>
    </row>
    <row r="125">
      <c r="B125" s="62" t="n"/>
      <c r="C125" s="63" t="n"/>
      <c r="D125" s="62" t="n"/>
      <c r="E125" s="62" t="n"/>
      <c r="F125" s="62" t="n"/>
      <c r="G125" s="64" t="n"/>
      <c r="H125" s="64" t="n"/>
      <c r="I125" s="63" t="n"/>
      <c r="J125" s="29">
        <f>IF(V125=1,IF(ISNUMBER(I125),I125,C125+IF(ISNUMBER(IFERROR(INDEX(vend_Terms,MATCH(D125,vend_Name,0)),"")),INDEX(vend_Terms,MATCH(D125,vend_Name,0)),TermsDays)),"")</f>
        <v/>
      </c>
      <c r="K125" s="65">
        <f>IF(V125=1,SUMIFS(tx_CrAmt,tx_Type,"Bill Payment",tx_Ref,B125&amp;"",tx_Vend,D125,tx_Date,"&lt;="&amp;AsOf),"")</f>
        <v/>
      </c>
      <c r="L125" s="65">
        <f>IF(V125=1,IF(C125&gt;AsOf,0,ROUND(G125-K125,2)),"")</f>
        <v/>
      </c>
      <c r="M125" s="66">
        <f>IF(V125&lt;&gt;1,"",IF(C125&gt;AsOf,"Future",IF(L125&lt;0,"Overpaid",IF(L125=0,"Paid",IF(AsOf&gt;J125,"Overdue",IF(K125&gt;0,"Partial","Unpaid"))))))</f>
        <v/>
      </c>
      <c r="N125" s="28">
        <f>IF(AND(V125=1,N(L125)&gt;0),AsOf-C125,"")</f>
        <v/>
      </c>
      <c r="O125" s="28">
        <f>IF(N125="","",MAX(0,AsOf-J125))</f>
        <v/>
      </c>
      <c r="P125" s="66">
        <f>IF(O125="","",IF(O125=0,"Current",IF(O125&lt;=30,"1-30",IF(O125&lt;=60,"31-60",IF(O125&lt;=90,"61-90","90+")))))</f>
        <v/>
      </c>
      <c r="Q125" s="66">
        <f>IF(T125&lt;&gt;"","⛔ "&amp;T125&amp;" — not posted",IF(U125&lt;&gt;"","⚠ "&amp;U125,IF(V125=1,"✓ OK","")))</f>
        <v/>
      </c>
      <c r="R125" s="67">
        <f>IF(AND(B125="",C125="",D125="",G125="",F125=""),1,0)</f>
        <v/>
      </c>
      <c r="S125" s="68">
        <f>IF(AND(TaxOn="Yes",ISNUMBER(H125)),H125,0)</f>
        <v/>
      </c>
      <c r="T125" s="67">
        <f>IF(R125=1,"",IF(B125="","Enter a bill #",IF(D125="","Select a vendor",IF(C125="","Missing bill date",IF(NOT(ISNUMBER(C125)),"Invalid date",IF(OR(C125&lt;DATE(2000,1,1),C125&gt;DATE(2099,12,31)),"Invalid date",IF(F125="","Select an expense account",IF(ISNA(MATCH(F125,coa_Name,0)),"Unknown account: "&amp;F125,IF(NOT(ISNUMBER(G125)),"Enter an amount",IF(G125&lt;=0,"Amount must be positive",IF(S125&gt;G125,"Tax is larger than the amount","")))))))))))</f>
        <v/>
      </c>
      <c r="U125" s="67">
        <f>IF(OR(R125=1,T125&lt;&gt;""),"",IF(COUNTIFS(ap_No,B125,ap_Party,D125)&gt;1,"Duplicate bill #",IF(N(L125)&lt;0,"Overpaid by "&amp;TEXT(-L125,"#,##0.00"),IF(AND(ISNUMBER(H125),N(H125)&lt;&gt;0,S125=0),"Tax ignored (tax tracking is off)",IF(AND(ISNUMBER(StartDate),C125&lt;StartDate),"Date is before the accounting start date",IF(OR(IFERROR(INDEX(coa_Type,MATCH(F125,coa_Name,0)),"")="Revenue",IFERROR(INDEX(coa_Type,MATCH(F125,coa_Name,0)),"")="Other Income",IFERROR(INDEX(coa_Type,MATCH(F125,coa_Name,0)),"")="Equity"),"Account is not an expense or asset account",""))))))</f>
        <v/>
      </c>
      <c r="V125" s="67">
        <f>IF(AND(R125=0,T125=""),1,0)</f>
        <v/>
      </c>
      <c r="W125" s="67">
        <f>IF(V125=1,F125,"")</f>
        <v/>
      </c>
      <c r="X125" s="67">
        <f>IF(V125=1,acctAP,"")</f>
        <v/>
      </c>
      <c r="Y125" s="68">
        <f>IF(V125=1,G125-S125,0)</f>
        <v/>
      </c>
      <c r="Z125" s="68">
        <f>IF(V125=1,G125,0)</f>
        <v/>
      </c>
      <c r="AA125" s="68">
        <f>IF(V125=1,S125,0)</f>
        <v/>
      </c>
    </row>
    <row r="126">
      <c r="B126" s="62" t="n"/>
      <c r="C126" s="63" t="n"/>
      <c r="D126" s="62" t="n"/>
      <c r="E126" s="62" t="n"/>
      <c r="F126" s="62" t="n"/>
      <c r="G126" s="64" t="n"/>
      <c r="H126" s="64" t="n"/>
      <c r="I126" s="63" t="n"/>
      <c r="J126" s="29">
        <f>IF(V126=1,IF(ISNUMBER(I126),I126,C126+IF(ISNUMBER(IFERROR(INDEX(vend_Terms,MATCH(D126,vend_Name,0)),"")),INDEX(vend_Terms,MATCH(D126,vend_Name,0)),TermsDays)),"")</f>
        <v/>
      </c>
      <c r="K126" s="65">
        <f>IF(V126=1,SUMIFS(tx_CrAmt,tx_Type,"Bill Payment",tx_Ref,B126&amp;"",tx_Vend,D126,tx_Date,"&lt;="&amp;AsOf),"")</f>
        <v/>
      </c>
      <c r="L126" s="65">
        <f>IF(V126=1,IF(C126&gt;AsOf,0,ROUND(G126-K126,2)),"")</f>
        <v/>
      </c>
      <c r="M126" s="66">
        <f>IF(V126&lt;&gt;1,"",IF(C126&gt;AsOf,"Future",IF(L126&lt;0,"Overpaid",IF(L126=0,"Paid",IF(AsOf&gt;J126,"Overdue",IF(K126&gt;0,"Partial","Unpaid"))))))</f>
        <v/>
      </c>
      <c r="N126" s="28">
        <f>IF(AND(V126=1,N(L126)&gt;0),AsOf-C126,"")</f>
        <v/>
      </c>
      <c r="O126" s="28">
        <f>IF(N126="","",MAX(0,AsOf-J126))</f>
        <v/>
      </c>
      <c r="P126" s="66">
        <f>IF(O126="","",IF(O126=0,"Current",IF(O126&lt;=30,"1-30",IF(O126&lt;=60,"31-60",IF(O126&lt;=90,"61-90","90+")))))</f>
        <v/>
      </c>
      <c r="Q126" s="66">
        <f>IF(T126&lt;&gt;"","⛔ "&amp;T126&amp;" — not posted",IF(U126&lt;&gt;"","⚠ "&amp;U126,IF(V126=1,"✓ OK","")))</f>
        <v/>
      </c>
      <c r="R126" s="67">
        <f>IF(AND(B126="",C126="",D126="",G126="",F126=""),1,0)</f>
        <v/>
      </c>
      <c r="S126" s="68">
        <f>IF(AND(TaxOn="Yes",ISNUMBER(H126)),H126,0)</f>
        <v/>
      </c>
      <c r="T126" s="67">
        <f>IF(R126=1,"",IF(B126="","Enter a bill #",IF(D126="","Select a vendor",IF(C126="","Missing bill date",IF(NOT(ISNUMBER(C126)),"Invalid date",IF(OR(C126&lt;DATE(2000,1,1),C126&gt;DATE(2099,12,31)),"Invalid date",IF(F126="","Select an expense account",IF(ISNA(MATCH(F126,coa_Name,0)),"Unknown account: "&amp;F126,IF(NOT(ISNUMBER(G126)),"Enter an amount",IF(G126&lt;=0,"Amount must be positive",IF(S126&gt;G126,"Tax is larger than the amount","")))))))))))</f>
        <v/>
      </c>
      <c r="U126" s="67">
        <f>IF(OR(R126=1,T126&lt;&gt;""),"",IF(COUNTIFS(ap_No,B126,ap_Party,D126)&gt;1,"Duplicate bill #",IF(N(L126)&lt;0,"Overpaid by "&amp;TEXT(-L126,"#,##0.00"),IF(AND(ISNUMBER(H126),N(H126)&lt;&gt;0,S126=0),"Tax ignored (tax tracking is off)",IF(AND(ISNUMBER(StartDate),C126&lt;StartDate),"Date is before the accounting start date",IF(OR(IFERROR(INDEX(coa_Type,MATCH(F126,coa_Name,0)),"")="Revenue",IFERROR(INDEX(coa_Type,MATCH(F126,coa_Name,0)),"")="Other Income",IFERROR(INDEX(coa_Type,MATCH(F126,coa_Name,0)),"")="Equity"),"Account is not an expense or asset account",""))))))</f>
        <v/>
      </c>
      <c r="V126" s="67">
        <f>IF(AND(R126=0,T126=""),1,0)</f>
        <v/>
      </c>
      <c r="W126" s="67">
        <f>IF(V126=1,F126,"")</f>
        <v/>
      </c>
      <c r="X126" s="67">
        <f>IF(V126=1,acctAP,"")</f>
        <v/>
      </c>
      <c r="Y126" s="68">
        <f>IF(V126=1,G126-S126,0)</f>
        <v/>
      </c>
      <c r="Z126" s="68">
        <f>IF(V126=1,G126,0)</f>
        <v/>
      </c>
      <c r="AA126" s="68">
        <f>IF(V126=1,S126,0)</f>
        <v/>
      </c>
    </row>
    <row r="127">
      <c r="B127" s="62" t="n"/>
      <c r="C127" s="63" t="n"/>
      <c r="D127" s="62" t="n"/>
      <c r="E127" s="62" t="n"/>
      <c r="F127" s="62" t="n"/>
      <c r="G127" s="64" t="n"/>
      <c r="H127" s="64" t="n"/>
      <c r="I127" s="63" t="n"/>
      <c r="J127" s="29">
        <f>IF(V127=1,IF(ISNUMBER(I127),I127,C127+IF(ISNUMBER(IFERROR(INDEX(vend_Terms,MATCH(D127,vend_Name,0)),"")),INDEX(vend_Terms,MATCH(D127,vend_Name,0)),TermsDays)),"")</f>
        <v/>
      </c>
      <c r="K127" s="65">
        <f>IF(V127=1,SUMIFS(tx_CrAmt,tx_Type,"Bill Payment",tx_Ref,B127&amp;"",tx_Vend,D127,tx_Date,"&lt;="&amp;AsOf),"")</f>
        <v/>
      </c>
      <c r="L127" s="65">
        <f>IF(V127=1,IF(C127&gt;AsOf,0,ROUND(G127-K127,2)),"")</f>
        <v/>
      </c>
      <c r="M127" s="66">
        <f>IF(V127&lt;&gt;1,"",IF(C127&gt;AsOf,"Future",IF(L127&lt;0,"Overpaid",IF(L127=0,"Paid",IF(AsOf&gt;J127,"Overdue",IF(K127&gt;0,"Partial","Unpaid"))))))</f>
        <v/>
      </c>
      <c r="N127" s="28">
        <f>IF(AND(V127=1,N(L127)&gt;0),AsOf-C127,"")</f>
        <v/>
      </c>
      <c r="O127" s="28">
        <f>IF(N127="","",MAX(0,AsOf-J127))</f>
        <v/>
      </c>
      <c r="P127" s="66">
        <f>IF(O127="","",IF(O127=0,"Current",IF(O127&lt;=30,"1-30",IF(O127&lt;=60,"31-60",IF(O127&lt;=90,"61-90","90+")))))</f>
        <v/>
      </c>
      <c r="Q127" s="66">
        <f>IF(T127&lt;&gt;"","⛔ "&amp;T127&amp;" — not posted",IF(U127&lt;&gt;"","⚠ "&amp;U127,IF(V127=1,"✓ OK","")))</f>
        <v/>
      </c>
      <c r="R127" s="67">
        <f>IF(AND(B127="",C127="",D127="",G127="",F127=""),1,0)</f>
        <v/>
      </c>
      <c r="S127" s="68">
        <f>IF(AND(TaxOn="Yes",ISNUMBER(H127)),H127,0)</f>
        <v/>
      </c>
      <c r="T127" s="67">
        <f>IF(R127=1,"",IF(B127="","Enter a bill #",IF(D127="","Select a vendor",IF(C127="","Missing bill date",IF(NOT(ISNUMBER(C127)),"Invalid date",IF(OR(C127&lt;DATE(2000,1,1),C127&gt;DATE(2099,12,31)),"Invalid date",IF(F127="","Select an expense account",IF(ISNA(MATCH(F127,coa_Name,0)),"Unknown account: "&amp;F127,IF(NOT(ISNUMBER(G127)),"Enter an amount",IF(G127&lt;=0,"Amount must be positive",IF(S127&gt;G127,"Tax is larger than the amount","")))))))))))</f>
        <v/>
      </c>
      <c r="U127" s="67">
        <f>IF(OR(R127=1,T127&lt;&gt;""),"",IF(COUNTIFS(ap_No,B127,ap_Party,D127)&gt;1,"Duplicate bill #",IF(N(L127)&lt;0,"Overpaid by "&amp;TEXT(-L127,"#,##0.00"),IF(AND(ISNUMBER(H127),N(H127)&lt;&gt;0,S127=0),"Tax ignored (tax tracking is off)",IF(AND(ISNUMBER(StartDate),C127&lt;StartDate),"Date is before the accounting start date",IF(OR(IFERROR(INDEX(coa_Type,MATCH(F127,coa_Name,0)),"")="Revenue",IFERROR(INDEX(coa_Type,MATCH(F127,coa_Name,0)),"")="Other Income",IFERROR(INDEX(coa_Type,MATCH(F127,coa_Name,0)),"")="Equity"),"Account is not an expense or asset account",""))))))</f>
        <v/>
      </c>
      <c r="V127" s="67">
        <f>IF(AND(R127=0,T127=""),1,0)</f>
        <v/>
      </c>
      <c r="W127" s="67">
        <f>IF(V127=1,F127,"")</f>
        <v/>
      </c>
      <c r="X127" s="67">
        <f>IF(V127=1,acctAP,"")</f>
        <v/>
      </c>
      <c r="Y127" s="68">
        <f>IF(V127=1,G127-S127,0)</f>
        <v/>
      </c>
      <c r="Z127" s="68">
        <f>IF(V127=1,G127,0)</f>
        <v/>
      </c>
      <c r="AA127" s="68">
        <f>IF(V127=1,S127,0)</f>
        <v/>
      </c>
    </row>
    <row r="128">
      <c r="B128" s="62" t="n"/>
      <c r="C128" s="63" t="n"/>
      <c r="D128" s="62" t="n"/>
      <c r="E128" s="62" t="n"/>
      <c r="F128" s="62" t="n"/>
      <c r="G128" s="64" t="n"/>
      <c r="H128" s="64" t="n"/>
      <c r="I128" s="63" t="n"/>
      <c r="J128" s="29">
        <f>IF(V128=1,IF(ISNUMBER(I128),I128,C128+IF(ISNUMBER(IFERROR(INDEX(vend_Terms,MATCH(D128,vend_Name,0)),"")),INDEX(vend_Terms,MATCH(D128,vend_Name,0)),TermsDays)),"")</f>
        <v/>
      </c>
      <c r="K128" s="65">
        <f>IF(V128=1,SUMIFS(tx_CrAmt,tx_Type,"Bill Payment",tx_Ref,B128&amp;"",tx_Vend,D128,tx_Date,"&lt;="&amp;AsOf),"")</f>
        <v/>
      </c>
      <c r="L128" s="65">
        <f>IF(V128=1,IF(C128&gt;AsOf,0,ROUND(G128-K128,2)),"")</f>
        <v/>
      </c>
      <c r="M128" s="66">
        <f>IF(V128&lt;&gt;1,"",IF(C128&gt;AsOf,"Future",IF(L128&lt;0,"Overpaid",IF(L128=0,"Paid",IF(AsOf&gt;J128,"Overdue",IF(K128&gt;0,"Partial","Unpaid"))))))</f>
        <v/>
      </c>
      <c r="N128" s="28">
        <f>IF(AND(V128=1,N(L128)&gt;0),AsOf-C128,"")</f>
        <v/>
      </c>
      <c r="O128" s="28">
        <f>IF(N128="","",MAX(0,AsOf-J128))</f>
        <v/>
      </c>
      <c r="P128" s="66">
        <f>IF(O128="","",IF(O128=0,"Current",IF(O128&lt;=30,"1-30",IF(O128&lt;=60,"31-60",IF(O128&lt;=90,"61-90","90+")))))</f>
        <v/>
      </c>
      <c r="Q128" s="66">
        <f>IF(T128&lt;&gt;"","⛔ "&amp;T128&amp;" — not posted",IF(U128&lt;&gt;"","⚠ "&amp;U128,IF(V128=1,"✓ OK","")))</f>
        <v/>
      </c>
      <c r="R128" s="67">
        <f>IF(AND(B128="",C128="",D128="",G128="",F128=""),1,0)</f>
        <v/>
      </c>
      <c r="S128" s="68">
        <f>IF(AND(TaxOn="Yes",ISNUMBER(H128)),H128,0)</f>
        <v/>
      </c>
      <c r="T128" s="67">
        <f>IF(R128=1,"",IF(B128="","Enter a bill #",IF(D128="","Select a vendor",IF(C128="","Missing bill date",IF(NOT(ISNUMBER(C128)),"Invalid date",IF(OR(C128&lt;DATE(2000,1,1),C128&gt;DATE(2099,12,31)),"Invalid date",IF(F128="","Select an expense account",IF(ISNA(MATCH(F128,coa_Name,0)),"Unknown account: "&amp;F128,IF(NOT(ISNUMBER(G128)),"Enter an amount",IF(G128&lt;=0,"Amount must be positive",IF(S128&gt;G128,"Tax is larger than the amount","")))))))))))</f>
        <v/>
      </c>
      <c r="U128" s="67">
        <f>IF(OR(R128=1,T128&lt;&gt;""),"",IF(COUNTIFS(ap_No,B128,ap_Party,D128)&gt;1,"Duplicate bill #",IF(N(L128)&lt;0,"Overpaid by "&amp;TEXT(-L128,"#,##0.00"),IF(AND(ISNUMBER(H128),N(H128)&lt;&gt;0,S128=0),"Tax ignored (tax tracking is off)",IF(AND(ISNUMBER(StartDate),C128&lt;StartDate),"Date is before the accounting start date",IF(OR(IFERROR(INDEX(coa_Type,MATCH(F128,coa_Name,0)),"")="Revenue",IFERROR(INDEX(coa_Type,MATCH(F128,coa_Name,0)),"")="Other Income",IFERROR(INDEX(coa_Type,MATCH(F128,coa_Name,0)),"")="Equity"),"Account is not an expense or asset account",""))))))</f>
        <v/>
      </c>
      <c r="V128" s="67">
        <f>IF(AND(R128=0,T128=""),1,0)</f>
        <v/>
      </c>
      <c r="W128" s="67">
        <f>IF(V128=1,F128,"")</f>
        <v/>
      </c>
      <c r="X128" s="67">
        <f>IF(V128=1,acctAP,"")</f>
        <v/>
      </c>
      <c r="Y128" s="68">
        <f>IF(V128=1,G128-S128,0)</f>
        <v/>
      </c>
      <c r="Z128" s="68">
        <f>IF(V128=1,G128,0)</f>
        <v/>
      </c>
      <c r="AA128" s="68">
        <f>IF(V128=1,S128,0)</f>
        <v/>
      </c>
    </row>
    <row r="129">
      <c r="B129" s="62" t="n"/>
      <c r="C129" s="63" t="n"/>
      <c r="D129" s="62" t="n"/>
      <c r="E129" s="62" t="n"/>
      <c r="F129" s="62" t="n"/>
      <c r="G129" s="64" t="n"/>
      <c r="H129" s="64" t="n"/>
      <c r="I129" s="63" t="n"/>
      <c r="J129" s="29">
        <f>IF(V129=1,IF(ISNUMBER(I129),I129,C129+IF(ISNUMBER(IFERROR(INDEX(vend_Terms,MATCH(D129,vend_Name,0)),"")),INDEX(vend_Terms,MATCH(D129,vend_Name,0)),TermsDays)),"")</f>
        <v/>
      </c>
      <c r="K129" s="65">
        <f>IF(V129=1,SUMIFS(tx_CrAmt,tx_Type,"Bill Payment",tx_Ref,B129&amp;"",tx_Vend,D129,tx_Date,"&lt;="&amp;AsOf),"")</f>
        <v/>
      </c>
      <c r="L129" s="65">
        <f>IF(V129=1,IF(C129&gt;AsOf,0,ROUND(G129-K129,2)),"")</f>
        <v/>
      </c>
      <c r="M129" s="66">
        <f>IF(V129&lt;&gt;1,"",IF(C129&gt;AsOf,"Future",IF(L129&lt;0,"Overpaid",IF(L129=0,"Paid",IF(AsOf&gt;J129,"Overdue",IF(K129&gt;0,"Partial","Unpaid"))))))</f>
        <v/>
      </c>
      <c r="N129" s="28">
        <f>IF(AND(V129=1,N(L129)&gt;0),AsOf-C129,"")</f>
        <v/>
      </c>
      <c r="O129" s="28">
        <f>IF(N129="","",MAX(0,AsOf-J129))</f>
        <v/>
      </c>
      <c r="P129" s="66">
        <f>IF(O129="","",IF(O129=0,"Current",IF(O129&lt;=30,"1-30",IF(O129&lt;=60,"31-60",IF(O129&lt;=90,"61-90","90+")))))</f>
        <v/>
      </c>
      <c r="Q129" s="66">
        <f>IF(T129&lt;&gt;"","⛔ "&amp;T129&amp;" — not posted",IF(U129&lt;&gt;"","⚠ "&amp;U129,IF(V129=1,"✓ OK","")))</f>
        <v/>
      </c>
      <c r="R129" s="67">
        <f>IF(AND(B129="",C129="",D129="",G129="",F129=""),1,0)</f>
        <v/>
      </c>
      <c r="S129" s="68">
        <f>IF(AND(TaxOn="Yes",ISNUMBER(H129)),H129,0)</f>
        <v/>
      </c>
      <c r="T129" s="67">
        <f>IF(R129=1,"",IF(B129="","Enter a bill #",IF(D129="","Select a vendor",IF(C129="","Missing bill date",IF(NOT(ISNUMBER(C129)),"Invalid date",IF(OR(C129&lt;DATE(2000,1,1),C129&gt;DATE(2099,12,31)),"Invalid date",IF(F129="","Select an expense account",IF(ISNA(MATCH(F129,coa_Name,0)),"Unknown account: "&amp;F129,IF(NOT(ISNUMBER(G129)),"Enter an amount",IF(G129&lt;=0,"Amount must be positive",IF(S129&gt;G129,"Tax is larger than the amount","")))))))))))</f>
        <v/>
      </c>
      <c r="U129" s="67">
        <f>IF(OR(R129=1,T129&lt;&gt;""),"",IF(COUNTIFS(ap_No,B129,ap_Party,D129)&gt;1,"Duplicate bill #",IF(N(L129)&lt;0,"Overpaid by "&amp;TEXT(-L129,"#,##0.00"),IF(AND(ISNUMBER(H129),N(H129)&lt;&gt;0,S129=0),"Tax ignored (tax tracking is off)",IF(AND(ISNUMBER(StartDate),C129&lt;StartDate),"Date is before the accounting start date",IF(OR(IFERROR(INDEX(coa_Type,MATCH(F129,coa_Name,0)),"")="Revenue",IFERROR(INDEX(coa_Type,MATCH(F129,coa_Name,0)),"")="Other Income",IFERROR(INDEX(coa_Type,MATCH(F129,coa_Name,0)),"")="Equity"),"Account is not an expense or asset account",""))))))</f>
        <v/>
      </c>
      <c r="V129" s="67">
        <f>IF(AND(R129=0,T129=""),1,0)</f>
        <v/>
      </c>
      <c r="W129" s="67">
        <f>IF(V129=1,F129,"")</f>
        <v/>
      </c>
      <c r="X129" s="67">
        <f>IF(V129=1,acctAP,"")</f>
        <v/>
      </c>
      <c r="Y129" s="68">
        <f>IF(V129=1,G129-S129,0)</f>
        <v/>
      </c>
      <c r="Z129" s="68">
        <f>IF(V129=1,G129,0)</f>
        <v/>
      </c>
      <c r="AA129" s="68">
        <f>IF(V129=1,S129,0)</f>
        <v/>
      </c>
    </row>
    <row r="130">
      <c r="B130" s="62" t="n"/>
      <c r="C130" s="63" t="n"/>
      <c r="D130" s="62" t="n"/>
      <c r="E130" s="62" t="n"/>
      <c r="F130" s="62" t="n"/>
      <c r="G130" s="64" t="n"/>
      <c r="H130" s="64" t="n"/>
      <c r="I130" s="63" t="n"/>
      <c r="J130" s="29">
        <f>IF(V130=1,IF(ISNUMBER(I130),I130,C130+IF(ISNUMBER(IFERROR(INDEX(vend_Terms,MATCH(D130,vend_Name,0)),"")),INDEX(vend_Terms,MATCH(D130,vend_Name,0)),TermsDays)),"")</f>
        <v/>
      </c>
      <c r="K130" s="65">
        <f>IF(V130=1,SUMIFS(tx_CrAmt,tx_Type,"Bill Payment",tx_Ref,B130&amp;"",tx_Vend,D130,tx_Date,"&lt;="&amp;AsOf),"")</f>
        <v/>
      </c>
      <c r="L130" s="65">
        <f>IF(V130=1,IF(C130&gt;AsOf,0,ROUND(G130-K130,2)),"")</f>
        <v/>
      </c>
      <c r="M130" s="66">
        <f>IF(V130&lt;&gt;1,"",IF(C130&gt;AsOf,"Future",IF(L130&lt;0,"Overpaid",IF(L130=0,"Paid",IF(AsOf&gt;J130,"Overdue",IF(K130&gt;0,"Partial","Unpaid"))))))</f>
        <v/>
      </c>
      <c r="N130" s="28">
        <f>IF(AND(V130=1,N(L130)&gt;0),AsOf-C130,"")</f>
        <v/>
      </c>
      <c r="O130" s="28">
        <f>IF(N130="","",MAX(0,AsOf-J130))</f>
        <v/>
      </c>
      <c r="P130" s="66">
        <f>IF(O130="","",IF(O130=0,"Current",IF(O130&lt;=30,"1-30",IF(O130&lt;=60,"31-60",IF(O130&lt;=90,"61-90","90+")))))</f>
        <v/>
      </c>
      <c r="Q130" s="66">
        <f>IF(T130&lt;&gt;"","⛔ "&amp;T130&amp;" — not posted",IF(U130&lt;&gt;"","⚠ "&amp;U130,IF(V130=1,"✓ OK","")))</f>
        <v/>
      </c>
      <c r="R130" s="67">
        <f>IF(AND(B130="",C130="",D130="",G130="",F130=""),1,0)</f>
        <v/>
      </c>
      <c r="S130" s="68">
        <f>IF(AND(TaxOn="Yes",ISNUMBER(H130)),H130,0)</f>
        <v/>
      </c>
      <c r="T130" s="67">
        <f>IF(R130=1,"",IF(B130="","Enter a bill #",IF(D130="","Select a vendor",IF(C130="","Missing bill date",IF(NOT(ISNUMBER(C130)),"Invalid date",IF(OR(C130&lt;DATE(2000,1,1),C130&gt;DATE(2099,12,31)),"Invalid date",IF(F130="","Select an expense account",IF(ISNA(MATCH(F130,coa_Name,0)),"Unknown account: "&amp;F130,IF(NOT(ISNUMBER(G130)),"Enter an amount",IF(G130&lt;=0,"Amount must be positive",IF(S130&gt;G130,"Tax is larger than the amount","")))))))))))</f>
        <v/>
      </c>
      <c r="U130" s="67">
        <f>IF(OR(R130=1,T130&lt;&gt;""),"",IF(COUNTIFS(ap_No,B130,ap_Party,D130)&gt;1,"Duplicate bill #",IF(N(L130)&lt;0,"Overpaid by "&amp;TEXT(-L130,"#,##0.00"),IF(AND(ISNUMBER(H130),N(H130)&lt;&gt;0,S130=0),"Tax ignored (tax tracking is off)",IF(AND(ISNUMBER(StartDate),C130&lt;StartDate),"Date is before the accounting start date",IF(OR(IFERROR(INDEX(coa_Type,MATCH(F130,coa_Name,0)),"")="Revenue",IFERROR(INDEX(coa_Type,MATCH(F130,coa_Name,0)),"")="Other Income",IFERROR(INDEX(coa_Type,MATCH(F130,coa_Name,0)),"")="Equity"),"Account is not an expense or asset account",""))))))</f>
        <v/>
      </c>
      <c r="V130" s="67">
        <f>IF(AND(R130=0,T130=""),1,0)</f>
        <v/>
      </c>
      <c r="W130" s="67">
        <f>IF(V130=1,F130,"")</f>
        <v/>
      </c>
      <c r="X130" s="67">
        <f>IF(V130=1,acctAP,"")</f>
        <v/>
      </c>
      <c r="Y130" s="68">
        <f>IF(V130=1,G130-S130,0)</f>
        <v/>
      </c>
      <c r="Z130" s="68">
        <f>IF(V130=1,G130,0)</f>
        <v/>
      </c>
      <c r="AA130" s="68">
        <f>IF(V130=1,S130,0)</f>
        <v/>
      </c>
    </row>
    <row r="131">
      <c r="B131" s="62" t="n"/>
      <c r="C131" s="63" t="n"/>
      <c r="D131" s="62" t="n"/>
      <c r="E131" s="62" t="n"/>
      <c r="F131" s="62" t="n"/>
      <c r="G131" s="64" t="n"/>
      <c r="H131" s="64" t="n"/>
      <c r="I131" s="63" t="n"/>
      <c r="J131" s="29">
        <f>IF(V131=1,IF(ISNUMBER(I131),I131,C131+IF(ISNUMBER(IFERROR(INDEX(vend_Terms,MATCH(D131,vend_Name,0)),"")),INDEX(vend_Terms,MATCH(D131,vend_Name,0)),TermsDays)),"")</f>
        <v/>
      </c>
      <c r="K131" s="65">
        <f>IF(V131=1,SUMIFS(tx_CrAmt,tx_Type,"Bill Payment",tx_Ref,B131&amp;"",tx_Vend,D131,tx_Date,"&lt;="&amp;AsOf),"")</f>
        <v/>
      </c>
      <c r="L131" s="65">
        <f>IF(V131=1,IF(C131&gt;AsOf,0,ROUND(G131-K131,2)),"")</f>
        <v/>
      </c>
      <c r="M131" s="66">
        <f>IF(V131&lt;&gt;1,"",IF(C131&gt;AsOf,"Future",IF(L131&lt;0,"Overpaid",IF(L131=0,"Paid",IF(AsOf&gt;J131,"Overdue",IF(K131&gt;0,"Partial","Unpaid"))))))</f>
        <v/>
      </c>
      <c r="N131" s="28">
        <f>IF(AND(V131=1,N(L131)&gt;0),AsOf-C131,"")</f>
        <v/>
      </c>
      <c r="O131" s="28">
        <f>IF(N131="","",MAX(0,AsOf-J131))</f>
        <v/>
      </c>
      <c r="P131" s="66">
        <f>IF(O131="","",IF(O131=0,"Current",IF(O131&lt;=30,"1-30",IF(O131&lt;=60,"31-60",IF(O131&lt;=90,"61-90","90+")))))</f>
        <v/>
      </c>
      <c r="Q131" s="66">
        <f>IF(T131&lt;&gt;"","⛔ "&amp;T131&amp;" — not posted",IF(U131&lt;&gt;"","⚠ "&amp;U131,IF(V131=1,"✓ OK","")))</f>
        <v/>
      </c>
      <c r="R131" s="67">
        <f>IF(AND(B131="",C131="",D131="",G131="",F131=""),1,0)</f>
        <v/>
      </c>
      <c r="S131" s="68">
        <f>IF(AND(TaxOn="Yes",ISNUMBER(H131)),H131,0)</f>
        <v/>
      </c>
      <c r="T131" s="67">
        <f>IF(R131=1,"",IF(B131="","Enter a bill #",IF(D131="","Select a vendor",IF(C131="","Missing bill date",IF(NOT(ISNUMBER(C131)),"Invalid date",IF(OR(C131&lt;DATE(2000,1,1),C131&gt;DATE(2099,12,31)),"Invalid date",IF(F131="","Select an expense account",IF(ISNA(MATCH(F131,coa_Name,0)),"Unknown account: "&amp;F131,IF(NOT(ISNUMBER(G131)),"Enter an amount",IF(G131&lt;=0,"Amount must be positive",IF(S131&gt;G131,"Tax is larger than the amount","")))))))))))</f>
        <v/>
      </c>
      <c r="U131" s="67">
        <f>IF(OR(R131=1,T131&lt;&gt;""),"",IF(COUNTIFS(ap_No,B131,ap_Party,D131)&gt;1,"Duplicate bill #",IF(N(L131)&lt;0,"Overpaid by "&amp;TEXT(-L131,"#,##0.00"),IF(AND(ISNUMBER(H131),N(H131)&lt;&gt;0,S131=0),"Tax ignored (tax tracking is off)",IF(AND(ISNUMBER(StartDate),C131&lt;StartDate),"Date is before the accounting start date",IF(OR(IFERROR(INDEX(coa_Type,MATCH(F131,coa_Name,0)),"")="Revenue",IFERROR(INDEX(coa_Type,MATCH(F131,coa_Name,0)),"")="Other Income",IFERROR(INDEX(coa_Type,MATCH(F131,coa_Name,0)),"")="Equity"),"Account is not an expense or asset account",""))))))</f>
        <v/>
      </c>
      <c r="V131" s="67">
        <f>IF(AND(R131=0,T131=""),1,0)</f>
        <v/>
      </c>
      <c r="W131" s="67">
        <f>IF(V131=1,F131,"")</f>
        <v/>
      </c>
      <c r="X131" s="67">
        <f>IF(V131=1,acctAP,"")</f>
        <v/>
      </c>
      <c r="Y131" s="68">
        <f>IF(V131=1,G131-S131,0)</f>
        <v/>
      </c>
      <c r="Z131" s="68">
        <f>IF(V131=1,G131,0)</f>
        <v/>
      </c>
      <c r="AA131" s="68">
        <f>IF(V131=1,S131,0)</f>
        <v/>
      </c>
    </row>
    <row r="132">
      <c r="B132" s="62" t="n"/>
      <c r="C132" s="63" t="n"/>
      <c r="D132" s="62" t="n"/>
      <c r="E132" s="62" t="n"/>
      <c r="F132" s="62" t="n"/>
      <c r="G132" s="64" t="n"/>
      <c r="H132" s="64" t="n"/>
      <c r="I132" s="63" t="n"/>
      <c r="J132" s="29">
        <f>IF(V132=1,IF(ISNUMBER(I132),I132,C132+IF(ISNUMBER(IFERROR(INDEX(vend_Terms,MATCH(D132,vend_Name,0)),"")),INDEX(vend_Terms,MATCH(D132,vend_Name,0)),TermsDays)),"")</f>
        <v/>
      </c>
      <c r="K132" s="65">
        <f>IF(V132=1,SUMIFS(tx_CrAmt,tx_Type,"Bill Payment",tx_Ref,B132&amp;"",tx_Vend,D132,tx_Date,"&lt;="&amp;AsOf),"")</f>
        <v/>
      </c>
      <c r="L132" s="65">
        <f>IF(V132=1,IF(C132&gt;AsOf,0,ROUND(G132-K132,2)),"")</f>
        <v/>
      </c>
      <c r="M132" s="66">
        <f>IF(V132&lt;&gt;1,"",IF(C132&gt;AsOf,"Future",IF(L132&lt;0,"Overpaid",IF(L132=0,"Paid",IF(AsOf&gt;J132,"Overdue",IF(K132&gt;0,"Partial","Unpaid"))))))</f>
        <v/>
      </c>
      <c r="N132" s="28">
        <f>IF(AND(V132=1,N(L132)&gt;0),AsOf-C132,"")</f>
        <v/>
      </c>
      <c r="O132" s="28">
        <f>IF(N132="","",MAX(0,AsOf-J132))</f>
        <v/>
      </c>
      <c r="P132" s="66">
        <f>IF(O132="","",IF(O132=0,"Current",IF(O132&lt;=30,"1-30",IF(O132&lt;=60,"31-60",IF(O132&lt;=90,"61-90","90+")))))</f>
        <v/>
      </c>
      <c r="Q132" s="66">
        <f>IF(T132&lt;&gt;"","⛔ "&amp;T132&amp;" — not posted",IF(U132&lt;&gt;"","⚠ "&amp;U132,IF(V132=1,"✓ OK","")))</f>
        <v/>
      </c>
      <c r="R132" s="67">
        <f>IF(AND(B132="",C132="",D132="",G132="",F132=""),1,0)</f>
        <v/>
      </c>
      <c r="S132" s="68">
        <f>IF(AND(TaxOn="Yes",ISNUMBER(H132)),H132,0)</f>
        <v/>
      </c>
      <c r="T132" s="67">
        <f>IF(R132=1,"",IF(B132="","Enter a bill #",IF(D132="","Select a vendor",IF(C132="","Missing bill date",IF(NOT(ISNUMBER(C132)),"Invalid date",IF(OR(C132&lt;DATE(2000,1,1),C132&gt;DATE(2099,12,31)),"Invalid date",IF(F132="","Select an expense account",IF(ISNA(MATCH(F132,coa_Name,0)),"Unknown account: "&amp;F132,IF(NOT(ISNUMBER(G132)),"Enter an amount",IF(G132&lt;=0,"Amount must be positive",IF(S132&gt;G132,"Tax is larger than the amount","")))))))))))</f>
        <v/>
      </c>
      <c r="U132" s="67">
        <f>IF(OR(R132=1,T132&lt;&gt;""),"",IF(COUNTIFS(ap_No,B132,ap_Party,D132)&gt;1,"Duplicate bill #",IF(N(L132)&lt;0,"Overpaid by "&amp;TEXT(-L132,"#,##0.00"),IF(AND(ISNUMBER(H132),N(H132)&lt;&gt;0,S132=0),"Tax ignored (tax tracking is off)",IF(AND(ISNUMBER(StartDate),C132&lt;StartDate),"Date is before the accounting start date",IF(OR(IFERROR(INDEX(coa_Type,MATCH(F132,coa_Name,0)),"")="Revenue",IFERROR(INDEX(coa_Type,MATCH(F132,coa_Name,0)),"")="Other Income",IFERROR(INDEX(coa_Type,MATCH(F132,coa_Name,0)),"")="Equity"),"Account is not an expense or asset account",""))))))</f>
        <v/>
      </c>
      <c r="V132" s="67">
        <f>IF(AND(R132=0,T132=""),1,0)</f>
        <v/>
      </c>
      <c r="W132" s="67">
        <f>IF(V132=1,F132,"")</f>
        <v/>
      </c>
      <c r="X132" s="67">
        <f>IF(V132=1,acctAP,"")</f>
        <v/>
      </c>
      <c r="Y132" s="68">
        <f>IF(V132=1,G132-S132,0)</f>
        <v/>
      </c>
      <c r="Z132" s="68">
        <f>IF(V132=1,G132,0)</f>
        <v/>
      </c>
      <c r="AA132" s="68">
        <f>IF(V132=1,S132,0)</f>
        <v/>
      </c>
    </row>
    <row r="133">
      <c r="B133" s="62" t="n"/>
      <c r="C133" s="63" t="n"/>
      <c r="D133" s="62" t="n"/>
      <c r="E133" s="62" t="n"/>
      <c r="F133" s="62" t="n"/>
      <c r="G133" s="64" t="n"/>
      <c r="H133" s="64" t="n"/>
      <c r="I133" s="63" t="n"/>
      <c r="J133" s="29">
        <f>IF(V133=1,IF(ISNUMBER(I133),I133,C133+IF(ISNUMBER(IFERROR(INDEX(vend_Terms,MATCH(D133,vend_Name,0)),"")),INDEX(vend_Terms,MATCH(D133,vend_Name,0)),TermsDays)),"")</f>
        <v/>
      </c>
      <c r="K133" s="65">
        <f>IF(V133=1,SUMIFS(tx_CrAmt,tx_Type,"Bill Payment",tx_Ref,B133&amp;"",tx_Vend,D133,tx_Date,"&lt;="&amp;AsOf),"")</f>
        <v/>
      </c>
      <c r="L133" s="65">
        <f>IF(V133=1,IF(C133&gt;AsOf,0,ROUND(G133-K133,2)),"")</f>
        <v/>
      </c>
      <c r="M133" s="66">
        <f>IF(V133&lt;&gt;1,"",IF(C133&gt;AsOf,"Future",IF(L133&lt;0,"Overpaid",IF(L133=0,"Paid",IF(AsOf&gt;J133,"Overdue",IF(K133&gt;0,"Partial","Unpaid"))))))</f>
        <v/>
      </c>
      <c r="N133" s="28">
        <f>IF(AND(V133=1,N(L133)&gt;0),AsOf-C133,"")</f>
        <v/>
      </c>
      <c r="O133" s="28">
        <f>IF(N133="","",MAX(0,AsOf-J133))</f>
        <v/>
      </c>
      <c r="P133" s="66">
        <f>IF(O133="","",IF(O133=0,"Current",IF(O133&lt;=30,"1-30",IF(O133&lt;=60,"31-60",IF(O133&lt;=90,"61-90","90+")))))</f>
        <v/>
      </c>
      <c r="Q133" s="66">
        <f>IF(T133&lt;&gt;"","⛔ "&amp;T133&amp;" — not posted",IF(U133&lt;&gt;"","⚠ "&amp;U133,IF(V133=1,"✓ OK","")))</f>
        <v/>
      </c>
      <c r="R133" s="67">
        <f>IF(AND(B133="",C133="",D133="",G133="",F133=""),1,0)</f>
        <v/>
      </c>
      <c r="S133" s="68">
        <f>IF(AND(TaxOn="Yes",ISNUMBER(H133)),H133,0)</f>
        <v/>
      </c>
      <c r="T133" s="67">
        <f>IF(R133=1,"",IF(B133="","Enter a bill #",IF(D133="","Select a vendor",IF(C133="","Missing bill date",IF(NOT(ISNUMBER(C133)),"Invalid date",IF(OR(C133&lt;DATE(2000,1,1),C133&gt;DATE(2099,12,31)),"Invalid date",IF(F133="","Select an expense account",IF(ISNA(MATCH(F133,coa_Name,0)),"Unknown account: "&amp;F133,IF(NOT(ISNUMBER(G133)),"Enter an amount",IF(G133&lt;=0,"Amount must be positive",IF(S133&gt;G133,"Tax is larger than the amount","")))))))))))</f>
        <v/>
      </c>
      <c r="U133" s="67">
        <f>IF(OR(R133=1,T133&lt;&gt;""),"",IF(COUNTIFS(ap_No,B133,ap_Party,D133)&gt;1,"Duplicate bill #",IF(N(L133)&lt;0,"Overpaid by "&amp;TEXT(-L133,"#,##0.00"),IF(AND(ISNUMBER(H133),N(H133)&lt;&gt;0,S133=0),"Tax ignored (tax tracking is off)",IF(AND(ISNUMBER(StartDate),C133&lt;StartDate),"Date is before the accounting start date",IF(OR(IFERROR(INDEX(coa_Type,MATCH(F133,coa_Name,0)),"")="Revenue",IFERROR(INDEX(coa_Type,MATCH(F133,coa_Name,0)),"")="Other Income",IFERROR(INDEX(coa_Type,MATCH(F133,coa_Name,0)),"")="Equity"),"Account is not an expense or asset account",""))))))</f>
        <v/>
      </c>
      <c r="V133" s="67">
        <f>IF(AND(R133=0,T133=""),1,0)</f>
        <v/>
      </c>
      <c r="W133" s="67">
        <f>IF(V133=1,F133,"")</f>
        <v/>
      </c>
      <c r="X133" s="67">
        <f>IF(V133=1,acctAP,"")</f>
        <v/>
      </c>
      <c r="Y133" s="68">
        <f>IF(V133=1,G133-S133,0)</f>
        <v/>
      </c>
      <c r="Z133" s="68">
        <f>IF(V133=1,G133,0)</f>
        <v/>
      </c>
      <c r="AA133" s="68">
        <f>IF(V133=1,S133,0)</f>
        <v/>
      </c>
    </row>
    <row r="134">
      <c r="B134" s="62" t="n"/>
      <c r="C134" s="63" t="n"/>
      <c r="D134" s="62" t="n"/>
      <c r="E134" s="62" t="n"/>
      <c r="F134" s="62" t="n"/>
      <c r="G134" s="64" t="n"/>
      <c r="H134" s="64" t="n"/>
      <c r="I134" s="63" t="n"/>
      <c r="J134" s="29">
        <f>IF(V134=1,IF(ISNUMBER(I134),I134,C134+IF(ISNUMBER(IFERROR(INDEX(vend_Terms,MATCH(D134,vend_Name,0)),"")),INDEX(vend_Terms,MATCH(D134,vend_Name,0)),TermsDays)),"")</f>
        <v/>
      </c>
      <c r="K134" s="65">
        <f>IF(V134=1,SUMIFS(tx_CrAmt,tx_Type,"Bill Payment",tx_Ref,B134&amp;"",tx_Vend,D134,tx_Date,"&lt;="&amp;AsOf),"")</f>
        <v/>
      </c>
      <c r="L134" s="65">
        <f>IF(V134=1,IF(C134&gt;AsOf,0,ROUND(G134-K134,2)),"")</f>
        <v/>
      </c>
      <c r="M134" s="66">
        <f>IF(V134&lt;&gt;1,"",IF(C134&gt;AsOf,"Future",IF(L134&lt;0,"Overpaid",IF(L134=0,"Paid",IF(AsOf&gt;J134,"Overdue",IF(K134&gt;0,"Partial","Unpaid"))))))</f>
        <v/>
      </c>
      <c r="N134" s="28">
        <f>IF(AND(V134=1,N(L134)&gt;0),AsOf-C134,"")</f>
        <v/>
      </c>
      <c r="O134" s="28">
        <f>IF(N134="","",MAX(0,AsOf-J134))</f>
        <v/>
      </c>
      <c r="P134" s="66">
        <f>IF(O134="","",IF(O134=0,"Current",IF(O134&lt;=30,"1-30",IF(O134&lt;=60,"31-60",IF(O134&lt;=90,"61-90","90+")))))</f>
        <v/>
      </c>
      <c r="Q134" s="66">
        <f>IF(T134&lt;&gt;"","⛔ "&amp;T134&amp;" — not posted",IF(U134&lt;&gt;"","⚠ "&amp;U134,IF(V134=1,"✓ OK","")))</f>
        <v/>
      </c>
      <c r="R134" s="67">
        <f>IF(AND(B134="",C134="",D134="",G134="",F134=""),1,0)</f>
        <v/>
      </c>
      <c r="S134" s="68">
        <f>IF(AND(TaxOn="Yes",ISNUMBER(H134)),H134,0)</f>
        <v/>
      </c>
      <c r="T134" s="67">
        <f>IF(R134=1,"",IF(B134="","Enter a bill #",IF(D134="","Select a vendor",IF(C134="","Missing bill date",IF(NOT(ISNUMBER(C134)),"Invalid date",IF(OR(C134&lt;DATE(2000,1,1),C134&gt;DATE(2099,12,31)),"Invalid date",IF(F134="","Select an expense account",IF(ISNA(MATCH(F134,coa_Name,0)),"Unknown account: "&amp;F134,IF(NOT(ISNUMBER(G134)),"Enter an amount",IF(G134&lt;=0,"Amount must be positive",IF(S134&gt;G134,"Tax is larger than the amount","")))))))))))</f>
        <v/>
      </c>
      <c r="U134" s="67">
        <f>IF(OR(R134=1,T134&lt;&gt;""),"",IF(COUNTIFS(ap_No,B134,ap_Party,D134)&gt;1,"Duplicate bill #",IF(N(L134)&lt;0,"Overpaid by "&amp;TEXT(-L134,"#,##0.00"),IF(AND(ISNUMBER(H134),N(H134)&lt;&gt;0,S134=0),"Tax ignored (tax tracking is off)",IF(AND(ISNUMBER(StartDate),C134&lt;StartDate),"Date is before the accounting start date",IF(OR(IFERROR(INDEX(coa_Type,MATCH(F134,coa_Name,0)),"")="Revenue",IFERROR(INDEX(coa_Type,MATCH(F134,coa_Name,0)),"")="Other Income",IFERROR(INDEX(coa_Type,MATCH(F134,coa_Name,0)),"")="Equity"),"Account is not an expense or asset account",""))))))</f>
        <v/>
      </c>
      <c r="V134" s="67">
        <f>IF(AND(R134=0,T134=""),1,0)</f>
        <v/>
      </c>
      <c r="W134" s="67">
        <f>IF(V134=1,F134,"")</f>
        <v/>
      </c>
      <c r="X134" s="67">
        <f>IF(V134=1,acctAP,"")</f>
        <v/>
      </c>
      <c r="Y134" s="68">
        <f>IF(V134=1,G134-S134,0)</f>
        <v/>
      </c>
      <c r="Z134" s="68">
        <f>IF(V134=1,G134,0)</f>
        <v/>
      </c>
      <c r="AA134" s="68">
        <f>IF(V134=1,S134,0)</f>
        <v/>
      </c>
    </row>
    <row r="135">
      <c r="B135" s="62" t="n"/>
      <c r="C135" s="63" t="n"/>
      <c r="D135" s="62" t="n"/>
      <c r="E135" s="62" t="n"/>
      <c r="F135" s="62" t="n"/>
      <c r="G135" s="64" t="n"/>
      <c r="H135" s="64" t="n"/>
      <c r="I135" s="63" t="n"/>
      <c r="J135" s="29">
        <f>IF(V135=1,IF(ISNUMBER(I135),I135,C135+IF(ISNUMBER(IFERROR(INDEX(vend_Terms,MATCH(D135,vend_Name,0)),"")),INDEX(vend_Terms,MATCH(D135,vend_Name,0)),TermsDays)),"")</f>
        <v/>
      </c>
      <c r="K135" s="65">
        <f>IF(V135=1,SUMIFS(tx_CrAmt,tx_Type,"Bill Payment",tx_Ref,B135&amp;"",tx_Vend,D135,tx_Date,"&lt;="&amp;AsOf),"")</f>
        <v/>
      </c>
      <c r="L135" s="65">
        <f>IF(V135=1,IF(C135&gt;AsOf,0,ROUND(G135-K135,2)),"")</f>
        <v/>
      </c>
      <c r="M135" s="66">
        <f>IF(V135&lt;&gt;1,"",IF(C135&gt;AsOf,"Future",IF(L135&lt;0,"Overpaid",IF(L135=0,"Paid",IF(AsOf&gt;J135,"Overdue",IF(K135&gt;0,"Partial","Unpaid"))))))</f>
        <v/>
      </c>
      <c r="N135" s="28">
        <f>IF(AND(V135=1,N(L135)&gt;0),AsOf-C135,"")</f>
        <v/>
      </c>
      <c r="O135" s="28">
        <f>IF(N135="","",MAX(0,AsOf-J135))</f>
        <v/>
      </c>
      <c r="P135" s="66">
        <f>IF(O135="","",IF(O135=0,"Current",IF(O135&lt;=30,"1-30",IF(O135&lt;=60,"31-60",IF(O135&lt;=90,"61-90","90+")))))</f>
        <v/>
      </c>
      <c r="Q135" s="66">
        <f>IF(T135&lt;&gt;"","⛔ "&amp;T135&amp;" — not posted",IF(U135&lt;&gt;"","⚠ "&amp;U135,IF(V135=1,"✓ OK","")))</f>
        <v/>
      </c>
      <c r="R135" s="67">
        <f>IF(AND(B135="",C135="",D135="",G135="",F135=""),1,0)</f>
        <v/>
      </c>
      <c r="S135" s="68">
        <f>IF(AND(TaxOn="Yes",ISNUMBER(H135)),H135,0)</f>
        <v/>
      </c>
      <c r="T135" s="67">
        <f>IF(R135=1,"",IF(B135="","Enter a bill #",IF(D135="","Select a vendor",IF(C135="","Missing bill date",IF(NOT(ISNUMBER(C135)),"Invalid date",IF(OR(C135&lt;DATE(2000,1,1),C135&gt;DATE(2099,12,31)),"Invalid date",IF(F135="","Select an expense account",IF(ISNA(MATCH(F135,coa_Name,0)),"Unknown account: "&amp;F135,IF(NOT(ISNUMBER(G135)),"Enter an amount",IF(G135&lt;=0,"Amount must be positive",IF(S135&gt;G135,"Tax is larger than the amount","")))))))))))</f>
        <v/>
      </c>
      <c r="U135" s="67">
        <f>IF(OR(R135=1,T135&lt;&gt;""),"",IF(COUNTIFS(ap_No,B135,ap_Party,D135)&gt;1,"Duplicate bill #",IF(N(L135)&lt;0,"Overpaid by "&amp;TEXT(-L135,"#,##0.00"),IF(AND(ISNUMBER(H135),N(H135)&lt;&gt;0,S135=0),"Tax ignored (tax tracking is off)",IF(AND(ISNUMBER(StartDate),C135&lt;StartDate),"Date is before the accounting start date",IF(OR(IFERROR(INDEX(coa_Type,MATCH(F135,coa_Name,0)),"")="Revenue",IFERROR(INDEX(coa_Type,MATCH(F135,coa_Name,0)),"")="Other Income",IFERROR(INDEX(coa_Type,MATCH(F135,coa_Name,0)),"")="Equity"),"Account is not an expense or asset account",""))))))</f>
        <v/>
      </c>
      <c r="V135" s="67">
        <f>IF(AND(R135=0,T135=""),1,0)</f>
        <v/>
      </c>
      <c r="W135" s="67">
        <f>IF(V135=1,F135,"")</f>
        <v/>
      </c>
      <c r="X135" s="67">
        <f>IF(V135=1,acctAP,"")</f>
        <v/>
      </c>
      <c r="Y135" s="68">
        <f>IF(V135=1,G135-S135,0)</f>
        <v/>
      </c>
      <c r="Z135" s="68">
        <f>IF(V135=1,G135,0)</f>
        <v/>
      </c>
      <c r="AA135" s="68">
        <f>IF(V135=1,S135,0)</f>
        <v/>
      </c>
    </row>
    <row r="136">
      <c r="B136" s="62" t="n"/>
      <c r="C136" s="63" t="n"/>
      <c r="D136" s="62" t="n"/>
      <c r="E136" s="62" t="n"/>
      <c r="F136" s="62" t="n"/>
      <c r="G136" s="64" t="n"/>
      <c r="H136" s="64" t="n"/>
      <c r="I136" s="63" t="n"/>
      <c r="J136" s="29">
        <f>IF(V136=1,IF(ISNUMBER(I136),I136,C136+IF(ISNUMBER(IFERROR(INDEX(vend_Terms,MATCH(D136,vend_Name,0)),"")),INDEX(vend_Terms,MATCH(D136,vend_Name,0)),TermsDays)),"")</f>
        <v/>
      </c>
      <c r="K136" s="65">
        <f>IF(V136=1,SUMIFS(tx_CrAmt,tx_Type,"Bill Payment",tx_Ref,B136&amp;"",tx_Vend,D136,tx_Date,"&lt;="&amp;AsOf),"")</f>
        <v/>
      </c>
      <c r="L136" s="65">
        <f>IF(V136=1,IF(C136&gt;AsOf,0,ROUND(G136-K136,2)),"")</f>
        <v/>
      </c>
      <c r="M136" s="66">
        <f>IF(V136&lt;&gt;1,"",IF(C136&gt;AsOf,"Future",IF(L136&lt;0,"Overpaid",IF(L136=0,"Paid",IF(AsOf&gt;J136,"Overdue",IF(K136&gt;0,"Partial","Unpaid"))))))</f>
        <v/>
      </c>
      <c r="N136" s="28">
        <f>IF(AND(V136=1,N(L136)&gt;0),AsOf-C136,"")</f>
        <v/>
      </c>
      <c r="O136" s="28">
        <f>IF(N136="","",MAX(0,AsOf-J136))</f>
        <v/>
      </c>
      <c r="P136" s="66">
        <f>IF(O136="","",IF(O136=0,"Current",IF(O136&lt;=30,"1-30",IF(O136&lt;=60,"31-60",IF(O136&lt;=90,"61-90","90+")))))</f>
        <v/>
      </c>
      <c r="Q136" s="66">
        <f>IF(T136&lt;&gt;"","⛔ "&amp;T136&amp;" — not posted",IF(U136&lt;&gt;"","⚠ "&amp;U136,IF(V136=1,"✓ OK","")))</f>
        <v/>
      </c>
      <c r="R136" s="67">
        <f>IF(AND(B136="",C136="",D136="",G136="",F136=""),1,0)</f>
        <v/>
      </c>
      <c r="S136" s="68">
        <f>IF(AND(TaxOn="Yes",ISNUMBER(H136)),H136,0)</f>
        <v/>
      </c>
      <c r="T136" s="67">
        <f>IF(R136=1,"",IF(B136="","Enter a bill #",IF(D136="","Select a vendor",IF(C136="","Missing bill date",IF(NOT(ISNUMBER(C136)),"Invalid date",IF(OR(C136&lt;DATE(2000,1,1),C136&gt;DATE(2099,12,31)),"Invalid date",IF(F136="","Select an expense account",IF(ISNA(MATCH(F136,coa_Name,0)),"Unknown account: "&amp;F136,IF(NOT(ISNUMBER(G136)),"Enter an amount",IF(G136&lt;=0,"Amount must be positive",IF(S136&gt;G136,"Tax is larger than the amount","")))))))))))</f>
        <v/>
      </c>
      <c r="U136" s="67">
        <f>IF(OR(R136=1,T136&lt;&gt;""),"",IF(COUNTIFS(ap_No,B136,ap_Party,D136)&gt;1,"Duplicate bill #",IF(N(L136)&lt;0,"Overpaid by "&amp;TEXT(-L136,"#,##0.00"),IF(AND(ISNUMBER(H136),N(H136)&lt;&gt;0,S136=0),"Tax ignored (tax tracking is off)",IF(AND(ISNUMBER(StartDate),C136&lt;StartDate),"Date is before the accounting start date",IF(OR(IFERROR(INDEX(coa_Type,MATCH(F136,coa_Name,0)),"")="Revenue",IFERROR(INDEX(coa_Type,MATCH(F136,coa_Name,0)),"")="Other Income",IFERROR(INDEX(coa_Type,MATCH(F136,coa_Name,0)),"")="Equity"),"Account is not an expense or asset account",""))))))</f>
        <v/>
      </c>
      <c r="V136" s="67">
        <f>IF(AND(R136=0,T136=""),1,0)</f>
        <v/>
      </c>
      <c r="W136" s="67">
        <f>IF(V136=1,F136,"")</f>
        <v/>
      </c>
      <c r="X136" s="67">
        <f>IF(V136=1,acctAP,"")</f>
        <v/>
      </c>
      <c r="Y136" s="68">
        <f>IF(V136=1,G136-S136,0)</f>
        <v/>
      </c>
      <c r="Z136" s="68">
        <f>IF(V136=1,G136,0)</f>
        <v/>
      </c>
      <c r="AA136" s="68">
        <f>IF(V136=1,S136,0)</f>
        <v/>
      </c>
    </row>
    <row r="137">
      <c r="B137" s="62" t="n"/>
      <c r="C137" s="63" t="n"/>
      <c r="D137" s="62" t="n"/>
      <c r="E137" s="62" t="n"/>
      <c r="F137" s="62" t="n"/>
      <c r="G137" s="64" t="n"/>
      <c r="H137" s="64" t="n"/>
      <c r="I137" s="63" t="n"/>
      <c r="J137" s="29">
        <f>IF(V137=1,IF(ISNUMBER(I137),I137,C137+IF(ISNUMBER(IFERROR(INDEX(vend_Terms,MATCH(D137,vend_Name,0)),"")),INDEX(vend_Terms,MATCH(D137,vend_Name,0)),TermsDays)),"")</f>
        <v/>
      </c>
      <c r="K137" s="65">
        <f>IF(V137=1,SUMIFS(tx_CrAmt,tx_Type,"Bill Payment",tx_Ref,B137&amp;"",tx_Vend,D137,tx_Date,"&lt;="&amp;AsOf),"")</f>
        <v/>
      </c>
      <c r="L137" s="65">
        <f>IF(V137=1,IF(C137&gt;AsOf,0,ROUND(G137-K137,2)),"")</f>
        <v/>
      </c>
      <c r="M137" s="66">
        <f>IF(V137&lt;&gt;1,"",IF(C137&gt;AsOf,"Future",IF(L137&lt;0,"Overpaid",IF(L137=0,"Paid",IF(AsOf&gt;J137,"Overdue",IF(K137&gt;0,"Partial","Unpaid"))))))</f>
        <v/>
      </c>
      <c r="N137" s="28">
        <f>IF(AND(V137=1,N(L137)&gt;0),AsOf-C137,"")</f>
        <v/>
      </c>
      <c r="O137" s="28">
        <f>IF(N137="","",MAX(0,AsOf-J137))</f>
        <v/>
      </c>
      <c r="P137" s="66">
        <f>IF(O137="","",IF(O137=0,"Current",IF(O137&lt;=30,"1-30",IF(O137&lt;=60,"31-60",IF(O137&lt;=90,"61-90","90+")))))</f>
        <v/>
      </c>
      <c r="Q137" s="66">
        <f>IF(T137&lt;&gt;"","⛔ "&amp;T137&amp;" — not posted",IF(U137&lt;&gt;"","⚠ "&amp;U137,IF(V137=1,"✓ OK","")))</f>
        <v/>
      </c>
      <c r="R137" s="67">
        <f>IF(AND(B137="",C137="",D137="",G137="",F137=""),1,0)</f>
        <v/>
      </c>
      <c r="S137" s="68">
        <f>IF(AND(TaxOn="Yes",ISNUMBER(H137)),H137,0)</f>
        <v/>
      </c>
      <c r="T137" s="67">
        <f>IF(R137=1,"",IF(B137="","Enter a bill #",IF(D137="","Select a vendor",IF(C137="","Missing bill date",IF(NOT(ISNUMBER(C137)),"Invalid date",IF(OR(C137&lt;DATE(2000,1,1),C137&gt;DATE(2099,12,31)),"Invalid date",IF(F137="","Select an expense account",IF(ISNA(MATCH(F137,coa_Name,0)),"Unknown account: "&amp;F137,IF(NOT(ISNUMBER(G137)),"Enter an amount",IF(G137&lt;=0,"Amount must be positive",IF(S137&gt;G137,"Tax is larger than the amount","")))))))))))</f>
        <v/>
      </c>
      <c r="U137" s="67">
        <f>IF(OR(R137=1,T137&lt;&gt;""),"",IF(COUNTIFS(ap_No,B137,ap_Party,D137)&gt;1,"Duplicate bill #",IF(N(L137)&lt;0,"Overpaid by "&amp;TEXT(-L137,"#,##0.00"),IF(AND(ISNUMBER(H137),N(H137)&lt;&gt;0,S137=0),"Tax ignored (tax tracking is off)",IF(AND(ISNUMBER(StartDate),C137&lt;StartDate),"Date is before the accounting start date",IF(OR(IFERROR(INDEX(coa_Type,MATCH(F137,coa_Name,0)),"")="Revenue",IFERROR(INDEX(coa_Type,MATCH(F137,coa_Name,0)),"")="Other Income",IFERROR(INDEX(coa_Type,MATCH(F137,coa_Name,0)),"")="Equity"),"Account is not an expense or asset account",""))))))</f>
        <v/>
      </c>
      <c r="V137" s="67">
        <f>IF(AND(R137=0,T137=""),1,0)</f>
        <v/>
      </c>
      <c r="W137" s="67">
        <f>IF(V137=1,F137,"")</f>
        <v/>
      </c>
      <c r="X137" s="67">
        <f>IF(V137=1,acctAP,"")</f>
        <v/>
      </c>
      <c r="Y137" s="68">
        <f>IF(V137=1,G137-S137,0)</f>
        <v/>
      </c>
      <c r="Z137" s="68">
        <f>IF(V137=1,G137,0)</f>
        <v/>
      </c>
      <c r="AA137" s="68">
        <f>IF(V137=1,S137,0)</f>
        <v/>
      </c>
    </row>
    <row r="138">
      <c r="B138" s="62" t="n"/>
      <c r="C138" s="63" t="n"/>
      <c r="D138" s="62" t="n"/>
      <c r="E138" s="62" t="n"/>
      <c r="F138" s="62" t="n"/>
      <c r="G138" s="64" t="n"/>
      <c r="H138" s="64" t="n"/>
      <c r="I138" s="63" t="n"/>
      <c r="J138" s="29">
        <f>IF(V138=1,IF(ISNUMBER(I138),I138,C138+IF(ISNUMBER(IFERROR(INDEX(vend_Terms,MATCH(D138,vend_Name,0)),"")),INDEX(vend_Terms,MATCH(D138,vend_Name,0)),TermsDays)),"")</f>
        <v/>
      </c>
      <c r="K138" s="65">
        <f>IF(V138=1,SUMIFS(tx_CrAmt,tx_Type,"Bill Payment",tx_Ref,B138&amp;"",tx_Vend,D138,tx_Date,"&lt;="&amp;AsOf),"")</f>
        <v/>
      </c>
      <c r="L138" s="65">
        <f>IF(V138=1,IF(C138&gt;AsOf,0,ROUND(G138-K138,2)),"")</f>
        <v/>
      </c>
      <c r="M138" s="66">
        <f>IF(V138&lt;&gt;1,"",IF(C138&gt;AsOf,"Future",IF(L138&lt;0,"Overpaid",IF(L138=0,"Paid",IF(AsOf&gt;J138,"Overdue",IF(K138&gt;0,"Partial","Unpaid"))))))</f>
        <v/>
      </c>
      <c r="N138" s="28">
        <f>IF(AND(V138=1,N(L138)&gt;0),AsOf-C138,"")</f>
        <v/>
      </c>
      <c r="O138" s="28">
        <f>IF(N138="","",MAX(0,AsOf-J138))</f>
        <v/>
      </c>
      <c r="P138" s="66">
        <f>IF(O138="","",IF(O138=0,"Current",IF(O138&lt;=30,"1-30",IF(O138&lt;=60,"31-60",IF(O138&lt;=90,"61-90","90+")))))</f>
        <v/>
      </c>
      <c r="Q138" s="66">
        <f>IF(T138&lt;&gt;"","⛔ "&amp;T138&amp;" — not posted",IF(U138&lt;&gt;"","⚠ "&amp;U138,IF(V138=1,"✓ OK","")))</f>
        <v/>
      </c>
      <c r="R138" s="67">
        <f>IF(AND(B138="",C138="",D138="",G138="",F138=""),1,0)</f>
        <v/>
      </c>
      <c r="S138" s="68">
        <f>IF(AND(TaxOn="Yes",ISNUMBER(H138)),H138,0)</f>
        <v/>
      </c>
      <c r="T138" s="67">
        <f>IF(R138=1,"",IF(B138="","Enter a bill #",IF(D138="","Select a vendor",IF(C138="","Missing bill date",IF(NOT(ISNUMBER(C138)),"Invalid date",IF(OR(C138&lt;DATE(2000,1,1),C138&gt;DATE(2099,12,31)),"Invalid date",IF(F138="","Select an expense account",IF(ISNA(MATCH(F138,coa_Name,0)),"Unknown account: "&amp;F138,IF(NOT(ISNUMBER(G138)),"Enter an amount",IF(G138&lt;=0,"Amount must be positive",IF(S138&gt;G138,"Tax is larger than the amount","")))))))))))</f>
        <v/>
      </c>
      <c r="U138" s="67">
        <f>IF(OR(R138=1,T138&lt;&gt;""),"",IF(COUNTIFS(ap_No,B138,ap_Party,D138)&gt;1,"Duplicate bill #",IF(N(L138)&lt;0,"Overpaid by "&amp;TEXT(-L138,"#,##0.00"),IF(AND(ISNUMBER(H138),N(H138)&lt;&gt;0,S138=0),"Tax ignored (tax tracking is off)",IF(AND(ISNUMBER(StartDate),C138&lt;StartDate),"Date is before the accounting start date",IF(OR(IFERROR(INDEX(coa_Type,MATCH(F138,coa_Name,0)),"")="Revenue",IFERROR(INDEX(coa_Type,MATCH(F138,coa_Name,0)),"")="Other Income",IFERROR(INDEX(coa_Type,MATCH(F138,coa_Name,0)),"")="Equity"),"Account is not an expense or asset account",""))))))</f>
        <v/>
      </c>
      <c r="V138" s="67">
        <f>IF(AND(R138=0,T138=""),1,0)</f>
        <v/>
      </c>
      <c r="W138" s="67">
        <f>IF(V138=1,F138,"")</f>
        <v/>
      </c>
      <c r="X138" s="67">
        <f>IF(V138=1,acctAP,"")</f>
        <v/>
      </c>
      <c r="Y138" s="68">
        <f>IF(V138=1,G138-S138,0)</f>
        <v/>
      </c>
      <c r="Z138" s="68">
        <f>IF(V138=1,G138,0)</f>
        <v/>
      </c>
      <c r="AA138" s="68">
        <f>IF(V138=1,S138,0)</f>
        <v/>
      </c>
    </row>
    <row r="139">
      <c r="B139" s="62" t="n"/>
      <c r="C139" s="63" t="n"/>
      <c r="D139" s="62" t="n"/>
      <c r="E139" s="62" t="n"/>
      <c r="F139" s="62" t="n"/>
      <c r="G139" s="64" t="n"/>
      <c r="H139" s="64" t="n"/>
      <c r="I139" s="63" t="n"/>
      <c r="J139" s="29">
        <f>IF(V139=1,IF(ISNUMBER(I139),I139,C139+IF(ISNUMBER(IFERROR(INDEX(vend_Terms,MATCH(D139,vend_Name,0)),"")),INDEX(vend_Terms,MATCH(D139,vend_Name,0)),TermsDays)),"")</f>
        <v/>
      </c>
      <c r="K139" s="65">
        <f>IF(V139=1,SUMIFS(tx_CrAmt,tx_Type,"Bill Payment",tx_Ref,B139&amp;"",tx_Vend,D139,tx_Date,"&lt;="&amp;AsOf),"")</f>
        <v/>
      </c>
      <c r="L139" s="65">
        <f>IF(V139=1,IF(C139&gt;AsOf,0,ROUND(G139-K139,2)),"")</f>
        <v/>
      </c>
      <c r="M139" s="66">
        <f>IF(V139&lt;&gt;1,"",IF(C139&gt;AsOf,"Future",IF(L139&lt;0,"Overpaid",IF(L139=0,"Paid",IF(AsOf&gt;J139,"Overdue",IF(K139&gt;0,"Partial","Unpaid"))))))</f>
        <v/>
      </c>
      <c r="N139" s="28">
        <f>IF(AND(V139=1,N(L139)&gt;0),AsOf-C139,"")</f>
        <v/>
      </c>
      <c r="O139" s="28">
        <f>IF(N139="","",MAX(0,AsOf-J139))</f>
        <v/>
      </c>
      <c r="P139" s="66">
        <f>IF(O139="","",IF(O139=0,"Current",IF(O139&lt;=30,"1-30",IF(O139&lt;=60,"31-60",IF(O139&lt;=90,"61-90","90+")))))</f>
        <v/>
      </c>
      <c r="Q139" s="66">
        <f>IF(T139&lt;&gt;"","⛔ "&amp;T139&amp;" — not posted",IF(U139&lt;&gt;"","⚠ "&amp;U139,IF(V139=1,"✓ OK","")))</f>
        <v/>
      </c>
      <c r="R139" s="67">
        <f>IF(AND(B139="",C139="",D139="",G139="",F139=""),1,0)</f>
        <v/>
      </c>
      <c r="S139" s="68">
        <f>IF(AND(TaxOn="Yes",ISNUMBER(H139)),H139,0)</f>
        <v/>
      </c>
      <c r="T139" s="67">
        <f>IF(R139=1,"",IF(B139="","Enter a bill #",IF(D139="","Select a vendor",IF(C139="","Missing bill date",IF(NOT(ISNUMBER(C139)),"Invalid date",IF(OR(C139&lt;DATE(2000,1,1),C139&gt;DATE(2099,12,31)),"Invalid date",IF(F139="","Select an expense account",IF(ISNA(MATCH(F139,coa_Name,0)),"Unknown account: "&amp;F139,IF(NOT(ISNUMBER(G139)),"Enter an amount",IF(G139&lt;=0,"Amount must be positive",IF(S139&gt;G139,"Tax is larger than the amount","")))))))))))</f>
        <v/>
      </c>
      <c r="U139" s="67">
        <f>IF(OR(R139=1,T139&lt;&gt;""),"",IF(COUNTIFS(ap_No,B139,ap_Party,D139)&gt;1,"Duplicate bill #",IF(N(L139)&lt;0,"Overpaid by "&amp;TEXT(-L139,"#,##0.00"),IF(AND(ISNUMBER(H139),N(H139)&lt;&gt;0,S139=0),"Tax ignored (tax tracking is off)",IF(AND(ISNUMBER(StartDate),C139&lt;StartDate),"Date is before the accounting start date",IF(OR(IFERROR(INDEX(coa_Type,MATCH(F139,coa_Name,0)),"")="Revenue",IFERROR(INDEX(coa_Type,MATCH(F139,coa_Name,0)),"")="Other Income",IFERROR(INDEX(coa_Type,MATCH(F139,coa_Name,0)),"")="Equity"),"Account is not an expense or asset account",""))))))</f>
        <v/>
      </c>
      <c r="V139" s="67">
        <f>IF(AND(R139=0,T139=""),1,0)</f>
        <v/>
      </c>
      <c r="W139" s="67">
        <f>IF(V139=1,F139,"")</f>
        <v/>
      </c>
      <c r="X139" s="67">
        <f>IF(V139=1,acctAP,"")</f>
        <v/>
      </c>
      <c r="Y139" s="68">
        <f>IF(V139=1,G139-S139,0)</f>
        <v/>
      </c>
      <c r="Z139" s="68">
        <f>IF(V139=1,G139,0)</f>
        <v/>
      </c>
      <c r="AA139" s="68">
        <f>IF(V139=1,S139,0)</f>
        <v/>
      </c>
    </row>
    <row r="140">
      <c r="B140" s="62" t="n"/>
      <c r="C140" s="63" t="n"/>
      <c r="D140" s="62" t="n"/>
      <c r="E140" s="62" t="n"/>
      <c r="F140" s="62" t="n"/>
      <c r="G140" s="64" t="n"/>
      <c r="H140" s="64" t="n"/>
      <c r="I140" s="63" t="n"/>
      <c r="J140" s="29">
        <f>IF(V140=1,IF(ISNUMBER(I140),I140,C140+IF(ISNUMBER(IFERROR(INDEX(vend_Terms,MATCH(D140,vend_Name,0)),"")),INDEX(vend_Terms,MATCH(D140,vend_Name,0)),TermsDays)),"")</f>
        <v/>
      </c>
      <c r="K140" s="65">
        <f>IF(V140=1,SUMIFS(tx_CrAmt,tx_Type,"Bill Payment",tx_Ref,B140&amp;"",tx_Vend,D140,tx_Date,"&lt;="&amp;AsOf),"")</f>
        <v/>
      </c>
      <c r="L140" s="65">
        <f>IF(V140=1,IF(C140&gt;AsOf,0,ROUND(G140-K140,2)),"")</f>
        <v/>
      </c>
      <c r="M140" s="66">
        <f>IF(V140&lt;&gt;1,"",IF(C140&gt;AsOf,"Future",IF(L140&lt;0,"Overpaid",IF(L140=0,"Paid",IF(AsOf&gt;J140,"Overdue",IF(K140&gt;0,"Partial","Unpaid"))))))</f>
        <v/>
      </c>
      <c r="N140" s="28">
        <f>IF(AND(V140=1,N(L140)&gt;0),AsOf-C140,"")</f>
        <v/>
      </c>
      <c r="O140" s="28">
        <f>IF(N140="","",MAX(0,AsOf-J140))</f>
        <v/>
      </c>
      <c r="P140" s="66">
        <f>IF(O140="","",IF(O140=0,"Current",IF(O140&lt;=30,"1-30",IF(O140&lt;=60,"31-60",IF(O140&lt;=90,"61-90","90+")))))</f>
        <v/>
      </c>
      <c r="Q140" s="66">
        <f>IF(T140&lt;&gt;"","⛔ "&amp;T140&amp;" — not posted",IF(U140&lt;&gt;"","⚠ "&amp;U140,IF(V140=1,"✓ OK","")))</f>
        <v/>
      </c>
      <c r="R140" s="67">
        <f>IF(AND(B140="",C140="",D140="",G140="",F140=""),1,0)</f>
        <v/>
      </c>
      <c r="S140" s="68">
        <f>IF(AND(TaxOn="Yes",ISNUMBER(H140)),H140,0)</f>
        <v/>
      </c>
      <c r="T140" s="67">
        <f>IF(R140=1,"",IF(B140="","Enter a bill #",IF(D140="","Select a vendor",IF(C140="","Missing bill date",IF(NOT(ISNUMBER(C140)),"Invalid date",IF(OR(C140&lt;DATE(2000,1,1),C140&gt;DATE(2099,12,31)),"Invalid date",IF(F140="","Select an expense account",IF(ISNA(MATCH(F140,coa_Name,0)),"Unknown account: "&amp;F140,IF(NOT(ISNUMBER(G140)),"Enter an amount",IF(G140&lt;=0,"Amount must be positive",IF(S140&gt;G140,"Tax is larger than the amount","")))))))))))</f>
        <v/>
      </c>
      <c r="U140" s="67">
        <f>IF(OR(R140=1,T140&lt;&gt;""),"",IF(COUNTIFS(ap_No,B140,ap_Party,D140)&gt;1,"Duplicate bill #",IF(N(L140)&lt;0,"Overpaid by "&amp;TEXT(-L140,"#,##0.00"),IF(AND(ISNUMBER(H140),N(H140)&lt;&gt;0,S140=0),"Tax ignored (tax tracking is off)",IF(AND(ISNUMBER(StartDate),C140&lt;StartDate),"Date is before the accounting start date",IF(OR(IFERROR(INDEX(coa_Type,MATCH(F140,coa_Name,0)),"")="Revenue",IFERROR(INDEX(coa_Type,MATCH(F140,coa_Name,0)),"")="Other Income",IFERROR(INDEX(coa_Type,MATCH(F140,coa_Name,0)),"")="Equity"),"Account is not an expense or asset account",""))))))</f>
        <v/>
      </c>
      <c r="V140" s="67">
        <f>IF(AND(R140=0,T140=""),1,0)</f>
        <v/>
      </c>
      <c r="W140" s="67">
        <f>IF(V140=1,F140,"")</f>
        <v/>
      </c>
      <c r="X140" s="67">
        <f>IF(V140=1,acctAP,"")</f>
        <v/>
      </c>
      <c r="Y140" s="68">
        <f>IF(V140=1,G140-S140,0)</f>
        <v/>
      </c>
      <c r="Z140" s="68">
        <f>IF(V140=1,G140,0)</f>
        <v/>
      </c>
      <c r="AA140" s="68">
        <f>IF(V140=1,S140,0)</f>
        <v/>
      </c>
    </row>
    <row r="141">
      <c r="B141" s="62" t="n"/>
      <c r="C141" s="63" t="n"/>
      <c r="D141" s="62" t="n"/>
      <c r="E141" s="62" t="n"/>
      <c r="F141" s="62" t="n"/>
      <c r="G141" s="64" t="n"/>
      <c r="H141" s="64" t="n"/>
      <c r="I141" s="63" t="n"/>
      <c r="J141" s="29">
        <f>IF(V141=1,IF(ISNUMBER(I141),I141,C141+IF(ISNUMBER(IFERROR(INDEX(vend_Terms,MATCH(D141,vend_Name,0)),"")),INDEX(vend_Terms,MATCH(D141,vend_Name,0)),TermsDays)),"")</f>
        <v/>
      </c>
      <c r="K141" s="65">
        <f>IF(V141=1,SUMIFS(tx_CrAmt,tx_Type,"Bill Payment",tx_Ref,B141&amp;"",tx_Vend,D141,tx_Date,"&lt;="&amp;AsOf),"")</f>
        <v/>
      </c>
      <c r="L141" s="65">
        <f>IF(V141=1,IF(C141&gt;AsOf,0,ROUND(G141-K141,2)),"")</f>
        <v/>
      </c>
      <c r="M141" s="66">
        <f>IF(V141&lt;&gt;1,"",IF(C141&gt;AsOf,"Future",IF(L141&lt;0,"Overpaid",IF(L141=0,"Paid",IF(AsOf&gt;J141,"Overdue",IF(K141&gt;0,"Partial","Unpaid"))))))</f>
        <v/>
      </c>
      <c r="N141" s="28">
        <f>IF(AND(V141=1,N(L141)&gt;0),AsOf-C141,"")</f>
        <v/>
      </c>
      <c r="O141" s="28">
        <f>IF(N141="","",MAX(0,AsOf-J141))</f>
        <v/>
      </c>
      <c r="P141" s="66">
        <f>IF(O141="","",IF(O141=0,"Current",IF(O141&lt;=30,"1-30",IF(O141&lt;=60,"31-60",IF(O141&lt;=90,"61-90","90+")))))</f>
        <v/>
      </c>
      <c r="Q141" s="66">
        <f>IF(T141&lt;&gt;"","⛔ "&amp;T141&amp;" — not posted",IF(U141&lt;&gt;"","⚠ "&amp;U141,IF(V141=1,"✓ OK","")))</f>
        <v/>
      </c>
      <c r="R141" s="67">
        <f>IF(AND(B141="",C141="",D141="",G141="",F141=""),1,0)</f>
        <v/>
      </c>
      <c r="S141" s="68">
        <f>IF(AND(TaxOn="Yes",ISNUMBER(H141)),H141,0)</f>
        <v/>
      </c>
      <c r="T141" s="67">
        <f>IF(R141=1,"",IF(B141="","Enter a bill #",IF(D141="","Select a vendor",IF(C141="","Missing bill date",IF(NOT(ISNUMBER(C141)),"Invalid date",IF(OR(C141&lt;DATE(2000,1,1),C141&gt;DATE(2099,12,31)),"Invalid date",IF(F141="","Select an expense account",IF(ISNA(MATCH(F141,coa_Name,0)),"Unknown account: "&amp;F141,IF(NOT(ISNUMBER(G141)),"Enter an amount",IF(G141&lt;=0,"Amount must be positive",IF(S141&gt;G141,"Tax is larger than the amount","")))))))))))</f>
        <v/>
      </c>
      <c r="U141" s="67">
        <f>IF(OR(R141=1,T141&lt;&gt;""),"",IF(COUNTIFS(ap_No,B141,ap_Party,D141)&gt;1,"Duplicate bill #",IF(N(L141)&lt;0,"Overpaid by "&amp;TEXT(-L141,"#,##0.00"),IF(AND(ISNUMBER(H141),N(H141)&lt;&gt;0,S141=0),"Tax ignored (tax tracking is off)",IF(AND(ISNUMBER(StartDate),C141&lt;StartDate),"Date is before the accounting start date",IF(OR(IFERROR(INDEX(coa_Type,MATCH(F141,coa_Name,0)),"")="Revenue",IFERROR(INDEX(coa_Type,MATCH(F141,coa_Name,0)),"")="Other Income",IFERROR(INDEX(coa_Type,MATCH(F141,coa_Name,0)),"")="Equity"),"Account is not an expense or asset account",""))))))</f>
        <v/>
      </c>
      <c r="V141" s="67">
        <f>IF(AND(R141=0,T141=""),1,0)</f>
        <v/>
      </c>
      <c r="W141" s="67">
        <f>IF(V141=1,F141,"")</f>
        <v/>
      </c>
      <c r="X141" s="67">
        <f>IF(V141=1,acctAP,"")</f>
        <v/>
      </c>
      <c r="Y141" s="68">
        <f>IF(V141=1,G141-S141,0)</f>
        <v/>
      </c>
      <c r="Z141" s="68">
        <f>IF(V141=1,G141,0)</f>
        <v/>
      </c>
      <c r="AA141" s="68">
        <f>IF(V141=1,S141,0)</f>
        <v/>
      </c>
    </row>
    <row r="142">
      <c r="B142" s="62" t="n"/>
      <c r="C142" s="63" t="n"/>
      <c r="D142" s="62" t="n"/>
      <c r="E142" s="62" t="n"/>
      <c r="F142" s="62" t="n"/>
      <c r="G142" s="64" t="n"/>
      <c r="H142" s="64" t="n"/>
      <c r="I142" s="63" t="n"/>
      <c r="J142" s="29">
        <f>IF(V142=1,IF(ISNUMBER(I142),I142,C142+IF(ISNUMBER(IFERROR(INDEX(vend_Terms,MATCH(D142,vend_Name,0)),"")),INDEX(vend_Terms,MATCH(D142,vend_Name,0)),TermsDays)),"")</f>
        <v/>
      </c>
      <c r="K142" s="65">
        <f>IF(V142=1,SUMIFS(tx_CrAmt,tx_Type,"Bill Payment",tx_Ref,B142&amp;"",tx_Vend,D142,tx_Date,"&lt;="&amp;AsOf),"")</f>
        <v/>
      </c>
      <c r="L142" s="65">
        <f>IF(V142=1,IF(C142&gt;AsOf,0,ROUND(G142-K142,2)),"")</f>
        <v/>
      </c>
      <c r="M142" s="66">
        <f>IF(V142&lt;&gt;1,"",IF(C142&gt;AsOf,"Future",IF(L142&lt;0,"Overpaid",IF(L142=0,"Paid",IF(AsOf&gt;J142,"Overdue",IF(K142&gt;0,"Partial","Unpaid"))))))</f>
        <v/>
      </c>
      <c r="N142" s="28">
        <f>IF(AND(V142=1,N(L142)&gt;0),AsOf-C142,"")</f>
        <v/>
      </c>
      <c r="O142" s="28">
        <f>IF(N142="","",MAX(0,AsOf-J142))</f>
        <v/>
      </c>
      <c r="P142" s="66">
        <f>IF(O142="","",IF(O142=0,"Current",IF(O142&lt;=30,"1-30",IF(O142&lt;=60,"31-60",IF(O142&lt;=90,"61-90","90+")))))</f>
        <v/>
      </c>
      <c r="Q142" s="66">
        <f>IF(T142&lt;&gt;"","⛔ "&amp;T142&amp;" — not posted",IF(U142&lt;&gt;"","⚠ "&amp;U142,IF(V142=1,"✓ OK","")))</f>
        <v/>
      </c>
      <c r="R142" s="67">
        <f>IF(AND(B142="",C142="",D142="",G142="",F142=""),1,0)</f>
        <v/>
      </c>
      <c r="S142" s="68">
        <f>IF(AND(TaxOn="Yes",ISNUMBER(H142)),H142,0)</f>
        <v/>
      </c>
      <c r="T142" s="67">
        <f>IF(R142=1,"",IF(B142="","Enter a bill #",IF(D142="","Select a vendor",IF(C142="","Missing bill date",IF(NOT(ISNUMBER(C142)),"Invalid date",IF(OR(C142&lt;DATE(2000,1,1),C142&gt;DATE(2099,12,31)),"Invalid date",IF(F142="","Select an expense account",IF(ISNA(MATCH(F142,coa_Name,0)),"Unknown account: "&amp;F142,IF(NOT(ISNUMBER(G142)),"Enter an amount",IF(G142&lt;=0,"Amount must be positive",IF(S142&gt;G142,"Tax is larger than the amount","")))))))))))</f>
        <v/>
      </c>
      <c r="U142" s="67">
        <f>IF(OR(R142=1,T142&lt;&gt;""),"",IF(COUNTIFS(ap_No,B142,ap_Party,D142)&gt;1,"Duplicate bill #",IF(N(L142)&lt;0,"Overpaid by "&amp;TEXT(-L142,"#,##0.00"),IF(AND(ISNUMBER(H142),N(H142)&lt;&gt;0,S142=0),"Tax ignored (tax tracking is off)",IF(AND(ISNUMBER(StartDate),C142&lt;StartDate),"Date is before the accounting start date",IF(OR(IFERROR(INDEX(coa_Type,MATCH(F142,coa_Name,0)),"")="Revenue",IFERROR(INDEX(coa_Type,MATCH(F142,coa_Name,0)),"")="Other Income",IFERROR(INDEX(coa_Type,MATCH(F142,coa_Name,0)),"")="Equity"),"Account is not an expense or asset account",""))))))</f>
        <v/>
      </c>
      <c r="V142" s="67">
        <f>IF(AND(R142=0,T142=""),1,0)</f>
        <v/>
      </c>
      <c r="W142" s="67">
        <f>IF(V142=1,F142,"")</f>
        <v/>
      </c>
      <c r="X142" s="67">
        <f>IF(V142=1,acctAP,"")</f>
        <v/>
      </c>
      <c r="Y142" s="68">
        <f>IF(V142=1,G142-S142,0)</f>
        <v/>
      </c>
      <c r="Z142" s="68">
        <f>IF(V142=1,G142,0)</f>
        <v/>
      </c>
      <c r="AA142" s="68">
        <f>IF(V142=1,S142,0)</f>
        <v/>
      </c>
    </row>
    <row r="143">
      <c r="B143" s="62" t="n"/>
      <c r="C143" s="63" t="n"/>
      <c r="D143" s="62" t="n"/>
      <c r="E143" s="62" t="n"/>
      <c r="F143" s="62" t="n"/>
      <c r="G143" s="64" t="n"/>
      <c r="H143" s="64" t="n"/>
      <c r="I143" s="63" t="n"/>
      <c r="J143" s="29">
        <f>IF(V143=1,IF(ISNUMBER(I143),I143,C143+IF(ISNUMBER(IFERROR(INDEX(vend_Terms,MATCH(D143,vend_Name,0)),"")),INDEX(vend_Terms,MATCH(D143,vend_Name,0)),TermsDays)),"")</f>
        <v/>
      </c>
      <c r="K143" s="65">
        <f>IF(V143=1,SUMIFS(tx_CrAmt,tx_Type,"Bill Payment",tx_Ref,B143&amp;"",tx_Vend,D143,tx_Date,"&lt;="&amp;AsOf),"")</f>
        <v/>
      </c>
      <c r="L143" s="65">
        <f>IF(V143=1,IF(C143&gt;AsOf,0,ROUND(G143-K143,2)),"")</f>
        <v/>
      </c>
      <c r="M143" s="66">
        <f>IF(V143&lt;&gt;1,"",IF(C143&gt;AsOf,"Future",IF(L143&lt;0,"Overpaid",IF(L143=0,"Paid",IF(AsOf&gt;J143,"Overdue",IF(K143&gt;0,"Partial","Unpaid"))))))</f>
        <v/>
      </c>
      <c r="N143" s="28">
        <f>IF(AND(V143=1,N(L143)&gt;0),AsOf-C143,"")</f>
        <v/>
      </c>
      <c r="O143" s="28">
        <f>IF(N143="","",MAX(0,AsOf-J143))</f>
        <v/>
      </c>
      <c r="P143" s="66">
        <f>IF(O143="","",IF(O143=0,"Current",IF(O143&lt;=30,"1-30",IF(O143&lt;=60,"31-60",IF(O143&lt;=90,"61-90","90+")))))</f>
        <v/>
      </c>
      <c r="Q143" s="66">
        <f>IF(T143&lt;&gt;"","⛔ "&amp;T143&amp;" — not posted",IF(U143&lt;&gt;"","⚠ "&amp;U143,IF(V143=1,"✓ OK","")))</f>
        <v/>
      </c>
      <c r="R143" s="67">
        <f>IF(AND(B143="",C143="",D143="",G143="",F143=""),1,0)</f>
        <v/>
      </c>
      <c r="S143" s="68">
        <f>IF(AND(TaxOn="Yes",ISNUMBER(H143)),H143,0)</f>
        <v/>
      </c>
      <c r="T143" s="67">
        <f>IF(R143=1,"",IF(B143="","Enter a bill #",IF(D143="","Select a vendor",IF(C143="","Missing bill date",IF(NOT(ISNUMBER(C143)),"Invalid date",IF(OR(C143&lt;DATE(2000,1,1),C143&gt;DATE(2099,12,31)),"Invalid date",IF(F143="","Select an expense account",IF(ISNA(MATCH(F143,coa_Name,0)),"Unknown account: "&amp;F143,IF(NOT(ISNUMBER(G143)),"Enter an amount",IF(G143&lt;=0,"Amount must be positive",IF(S143&gt;G143,"Tax is larger than the amount","")))))))))))</f>
        <v/>
      </c>
      <c r="U143" s="67">
        <f>IF(OR(R143=1,T143&lt;&gt;""),"",IF(COUNTIFS(ap_No,B143,ap_Party,D143)&gt;1,"Duplicate bill #",IF(N(L143)&lt;0,"Overpaid by "&amp;TEXT(-L143,"#,##0.00"),IF(AND(ISNUMBER(H143),N(H143)&lt;&gt;0,S143=0),"Tax ignored (tax tracking is off)",IF(AND(ISNUMBER(StartDate),C143&lt;StartDate),"Date is before the accounting start date",IF(OR(IFERROR(INDEX(coa_Type,MATCH(F143,coa_Name,0)),"")="Revenue",IFERROR(INDEX(coa_Type,MATCH(F143,coa_Name,0)),"")="Other Income",IFERROR(INDEX(coa_Type,MATCH(F143,coa_Name,0)),"")="Equity"),"Account is not an expense or asset account",""))))))</f>
        <v/>
      </c>
      <c r="V143" s="67">
        <f>IF(AND(R143=0,T143=""),1,0)</f>
        <v/>
      </c>
      <c r="W143" s="67">
        <f>IF(V143=1,F143,"")</f>
        <v/>
      </c>
      <c r="X143" s="67">
        <f>IF(V143=1,acctAP,"")</f>
        <v/>
      </c>
      <c r="Y143" s="68">
        <f>IF(V143=1,G143-S143,0)</f>
        <v/>
      </c>
      <c r="Z143" s="68">
        <f>IF(V143=1,G143,0)</f>
        <v/>
      </c>
      <c r="AA143" s="68">
        <f>IF(V143=1,S143,0)</f>
        <v/>
      </c>
    </row>
    <row r="144">
      <c r="B144" s="62" t="n"/>
      <c r="C144" s="63" t="n"/>
      <c r="D144" s="62" t="n"/>
      <c r="E144" s="62" t="n"/>
      <c r="F144" s="62" t="n"/>
      <c r="G144" s="64" t="n"/>
      <c r="H144" s="64" t="n"/>
      <c r="I144" s="63" t="n"/>
      <c r="J144" s="29">
        <f>IF(V144=1,IF(ISNUMBER(I144),I144,C144+IF(ISNUMBER(IFERROR(INDEX(vend_Terms,MATCH(D144,vend_Name,0)),"")),INDEX(vend_Terms,MATCH(D144,vend_Name,0)),TermsDays)),"")</f>
        <v/>
      </c>
      <c r="K144" s="65">
        <f>IF(V144=1,SUMIFS(tx_CrAmt,tx_Type,"Bill Payment",tx_Ref,B144&amp;"",tx_Vend,D144,tx_Date,"&lt;="&amp;AsOf),"")</f>
        <v/>
      </c>
      <c r="L144" s="65">
        <f>IF(V144=1,IF(C144&gt;AsOf,0,ROUND(G144-K144,2)),"")</f>
        <v/>
      </c>
      <c r="M144" s="66">
        <f>IF(V144&lt;&gt;1,"",IF(C144&gt;AsOf,"Future",IF(L144&lt;0,"Overpaid",IF(L144=0,"Paid",IF(AsOf&gt;J144,"Overdue",IF(K144&gt;0,"Partial","Unpaid"))))))</f>
        <v/>
      </c>
      <c r="N144" s="28">
        <f>IF(AND(V144=1,N(L144)&gt;0),AsOf-C144,"")</f>
        <v/>
      </c>
      <c r="O144" s="28">
        <f>IF(N144="","",MAX(0,AsOf-J144))</f>
        <v/>
      </c>
      <c r="P144" s="66">
        <f>IF(O144="","",IF(O144=0,"Current",IF(O144&lt;=30,"1-30",IF(O144&lt;=60,"31-60",IF(O144&lt;=90,"61-90","90+")))))</f>
        <v/>
      </c>
      <c r="Q144" s="66">
        <f>IF(T144&lt;&gt;"","⛔ "&amp;T144&amp;" — not posted",IF(U144&lt;&gt;"","⚠ "&amp;U144,IF(V144=1,"✓ OK","")))</f>
        <v/>
      </c>
      <c r="R144" s="67">
        <f>IF(AND(B144="",C144="",D144="",G144="",F144=""),1,0)</f>
        <v/>
      </c>
      <c r="S144" s="68">
        <f>IF(AND(TaxOn="Yes",ISNUMBER(H144)),H144,0)</f>
        <v/>
      </c>
      <c r="T144" s="67">
        <f>IF(R144=1,"",IF(B144="","Enter a bill #",IF(D144="","Select a vendor",IF(C144="","Missing bill date",IF(NOT(ISNUMBER(C144)),"Invalid date",IF(OR(C144&lt;DATE(2000,1,1),C144&gt;DATE(2099,12,31)),"Invalid date",IF(F144="","Select an expense account",IF(ISNA(MATCH(F144,coa_Name,0)),"Unknown account: "&amp;F144,IF(NOT(ISNUMBER(G144)),"Enter an amount",IF(G144&lt;=0,"Amount must be positive",IF(S144&gt;G144,"Tax is larger than the amount","")))))))))))</f>
        <v/>
      </c>
      <c r="U144" s="67">
        <f>IF(OR(R144=1,T144&lt;&gt;""),"",IF(COUNTIFS(ap_No,B144,ap_Party,D144)&gt;1,"Duplicate bill #",IF(N(L144)&lt;0,"Overpaid by "&amp;TEXT(-L144,"#,##0.00"),IF(AND(ISNUMBER(H144),N(H144)&lt;&gt;0,S144=0),"Tax ignored (tax tracking is off)",IF(AND(ISNUMBER(StartDate),C144&lt;StartDate),"Date is before the accounting start date",IF(OR(IFERROR(INDEX(coa_Type,MATCH(F144,coa_Name,0)),"")="Revenue",IFERROR(INDEX(coa_Type,MATCH(F144,coa_Name,0)),"")="Other Income",IFERROR(INDEX(coa_Type,MATCH(F144,coa_Name,0)),"")="Equity"),"Account is not an expense or asset account",""))))))</f>
        <v/>
      </c>
      <c r="V144" s="67">
        <f>IF(AND(R144=0,T144=""),1,0)</f>
        <v/>
      </c>
      <c r="W144" s="67">
        <f>IF(V144=1,F144,"")</f>
        <v/>
      </c>
      <c r="X144" s="67">
        <f>IF(V144=1,acctAP,"")</f>
        <v/>
      </c>
      <c r="Y144" s="68">
        <f>IF(V144=1,G144-S144,0)</f>
        <v/>
      </c>
      <c r="Z144" s="68">
        <f>IF(V144=1,G144,0)</f>
        <v/>
      </c>
      <c r="AA144" s="68">
        <f>IF(V144=1,S144,0)</f>
        <v/>
      </c>
    </row>
    <row r="145">
      <c r="B145" s="62" t="n"/>
      <c r="C145" s="63" t="n"/>
      <c r="D145" s="62" t="n"/>
      <c r="E145" s="62" t="n"/>
      <c r="F145" s="62" t="n"/>
      <c r="G145" s="64" t="n"/>
      <c r="H145" s="64" t="n"/>
      <c r="I145" s="63" t="n"/>
      <c r="J145" s="29">
        <f>IF(V145=1,IF(ISNUMBER(I145),I145,C145+IF(ISNUMBER(IFERROR(INDEX(vend_Terms,MATCH(D145,vend_Name,0)),"")),INDEX(vend_Terms,MATCH(D145,vend_Name,0)),TermsDays)),"")</f>
        <v/>
      </c>
      <c r="K145" s="65">
        <f>IF(V145=1,SUMIFS(tx_CrAmt,tx_Type,"Bill Payment",tx_Ref,B145&amp;"",tx_Vend,D145,tx_Date,"&lt;="&amp;AsOf),"")</f>
        <v/>
      </c>
      <c r="L145" s="65">
        <f>IF(V145=1,IF(C145&gt;AsOf,0,ROUND(G145-K145,2)),"")</f>
        <v/>
      </c>
      <c r="M145" s="66">
        <f>IF(V145&lt;&gt;1,"",IF(C145&gt;AsOf,"Future",IF(L145&lt;0,"Overpaid",IF(L145=0,"Paid",IF(AsOf&gt;J145,"Overdue",IF(K145&gt;0,"Partial","Unpaid"))))))</f>
        <v/>
      </c>
      <c r="N145" s="28">
        <f>IF(AND(V145=1,N(L145)&gt;0),AsOf-C145,"")</f>
        <v/>
      </c>
      <c r="O145" s="28">
        <f>IF(N145="","",MAX(0,AsOf-J145))</f>
        <v/>
      </c>
      <c r="P145" s="66">
        <f>IF(O145="","",IF(O145=0,"Current",IF(O145&lt;=30,"1-30",IF(O145&lt;=60,"31-60",IF(O145&lt;=90,"61-90","90+")))))</f>
        <v/>
      </c>
      <c r="Q145" s="66">
        <f>IF(T145&lt;&gt;"","⛔ "&amp;T145&amp;" — not posted",IF(U145&lt;&gt;"","⚠ "&amp;U145,IF(V145=1,"✓ OK","")))</f>
        <v/>
      </c>
      <c r="R145" s="67">
        <f>IF(AND(B145="",C145="",D145="",G145="",F145=""),1,0)</f>
        <v/>
      </c>
      <c r="S145" s="68">
        <f>IF(AND(TaxOn="Yes",ISNUMBER(H145)),H145,0)</f>
        <v/>
      </c>
      <c r="T145" s="67">
        <f>IF(R145=1,"",IF(B145="","Enter a bill #",IF(D145="","Select a vendor",IF(C145="","Missing bill date",IF(NOT(ISNUMBER(C145)),"Invalid date",IF(OR(C145&lt;DATE(2000,1,1),C145&gt;DATE(2099,12,31)),"Invalid date",IF(F145="","Select an expense account",IF(ISNA(MATCH(F145,coa_Name,0)),"Unknown account: "&amp;F145,IF(NOT(ISNUMBER(G145)),"Enter an amount",IF(G145&lt;=0,"Amount must be positive",IF(S145&gt;G145,"Tax is larger than the amount","")))))))))))</f>
        <v/>
      </c>
      <c r="U145" s="67">
        <f>IF(OR(R145=1,T145&lt;&gt;""),"",IF(COUNTIFS(ap_No,B145,ap_Party,D145)&gt;1,"Duplicate bill #",IF(N(L145)&lt;0,"Overpaid by "&amp;TEXT(-L145,"#,##0.00"),IF(AND(ISNUMBER(H145),N(H145)&lt;&gt;0,S145=0),"Tax ignored (tax tracking is off)",IF(AND(ISNUMBER(StartDate),C145&lt;StartDate),"Date is before the accounting start date",IF(OR(IFERROR(INDEX(coa_Type,MATCH(F145,coa_Name,0)),"")="Revenue",IFERROR(INDEX(coa_Type,MATCH(F145,coa_Name,0)),"")="Other Income",IFERROR(INDEX(coa_Type,MATCH(F145,coa_Name,0)),"")="Equity"),"Account is not an expense or asset account",""))))))</f>
        <v/>
      </c>
      <c r="V145" s="67">
        <f>IF(AND(R145=0,T145=""),1,0)</f>
        <v/>
      </c>
      <c r="W145" s="67">
        <f>IF(V145=1,F145,"")</f>
        <v/>
      </c>
      <c r="X145" s="67">
        <f>IF(V145=1,acctAP,"")</f>
        <v/>
      </c>
      <c r="Y145" s="68">
        <f>IF(V145=1,G145-S145,0)</f>
        <v/>
      </c>
      <c r="Z145" s="68">
        <f>IF(V145=1,G145,0)</f>
        <v/>
      </c>
      <c r="AA145" s="68">
        <f>IF(V145=1,S145,0)</f>
        <v/>
      </c>
    </row>
    <row r="146">
      <c r="B146" s="62" t="n"/>
      <c r="C146" s="63" t="n"/>
      <c r="D146" s="62" t="n"/>
      <c r="E146" s="62" t="n"/>
      <c r="F146" s="62" t="n"/>
      <c r="G146" s="64" t="n"/>
      <c r="H146" s="64" t="n"/>
      <c r="I146" s="63" t="n"/>
      <c r="J146" s="29">
        <f>IF(V146=1,IF(ISNUMBER(I146),I146,C146+IF(ISNUMBER(IFERROR(INDEX(vend_Terms,MATCH(D146,vend_Name,0)),"")),INDEX(vend_Terms,MATCH(D146,vend_Name,0)),TermsDays)),"")</f>
        <v/>
      </c>
      <c r="K146" s="65">
        <f>IF(V146=1,SUMIFS(tx_CrAmt,tx_Type,"Bill Payment",tx_Ref,B146&amp;"",tx_Vend,D146,tx_Date,"&lt;="&amp;AsOf),"")</f>
        <v/>
      </c>
      <c r="L146" s="65">
        <f>IF(V146=1,IF(C146&gt;AsOf,0,ROUND(G146-K146,2)),"")</f>
        <v/>
      </c>
      <c r="M146" s="66">
        <f>IF(V146&lt;&gt;1,"",IF(C146&gt;AsOf,"Future",IF(L146&lt;0,"Overpaid",IF(L146=0,"Paid",IF(AsOf&gt;J146,"Overdue",IF(K146&gt;0,"Partial","Unpaid"))))))</f>
        <v/>
      </c>
      <c r="N146" s="28">
        <f>IF(AND(V146=1,N(L146)&gt;0),AsOf-C146,"")</f>
        <v/>
      </c>
      <c r="O146" s="28">
        <f>IF(N146="","",MAX(0,AsOf-J146))</f>
        <v/>
      </c>
      <c r="P146" s="66">
        <f>IF(O146="","",IF(O146=0,"Current",IF(O146&lt;=30,"1-30",IF(O146&lt;=60,"31-60",IF(O146&lt;=90,"61-90","90+")))))</f>
        <v/>
      </c>
      <c r="Q146" s="66">
        <f>IF(T146&lt;&gt;"","⛔ "&amp;T146&amp;" — not posted",IF(U146&lt;&gt;"","⚠ "&amp;U146,IF(V146=1,"✓ OK","")))</f>
        <v/>
      </c>
      <c r="R146" s="67">
        <f>IF(AND(B146="",C146="",D146="",G146="",F146=""),1,0)</f>
        <v/>
      </c>
      <c r="S146" s="68">
        <f>IF(AND(TaxOn="Yes",ISNUMBER(H146)),H146,0)</f>
        <v/>
      </c>
      <c r="T146" s="67">
        <f>IF(R146=1,"",IF(B146="","Enter a bill #",IF(D146="","Select a vendor",IF(C146="","Missing bill date",IF(NOT(ISNUMBER(C146)),"Invalid date",IF(OR(C146&lt;DATE(2000,1,1),C146&gt;DATE(2099,12,31)),"Invalid date",IF(F146="","Select an expense account",IF(ISNA(MATCH(F146,coa_Name,0)),"Unknown account: "&amp;F146,IF(NOT(ISNUMBER(G146)),"Enter an amount",IF(G146&lt;=0,"Amount must be positive",IF(S146&gt;G146,"Tax is larger than the amount","")))))))))))</f>
        <v/>
      </c>
      <c r="U146" s="67">
        <f>IF(OR(R146=1,T146&lt;&gt;""),"",IF(COUNTIFS(ap_No,B146,ap_Party,D146)&gt;1,"Duplicate bill #",IF(N(L146)&lt;0,"Overpaid by "&amp;TEXT(-L146,"#,##0.00"),IF(AND(ISNUMBER(H146),N(H146)&lt;&gt;0,S146=0),"Tax ignored (tax tracking is off)",IF(AND(ISNUMBER(StartDate),C146&lt;StartDate),"Date is before the accounting start date",IF(OR(IFERROR(INDEX(coa_Type,MATCH(F146,coa_Name,0)),"")="Revenue",IFERROR(INDEX(coa_Type,MATCH(F146,coa_Name,0)),"")="Other Income",IFERROR(INDEX(coa_Type,MATCH(F146,coa_Name,0)),"")="Equity"),"Account is not an expense or asset account",""))))))</f>
        <v/>
      </c>
      <c r="V146" s="67">
        <f>IF(AND(R146=0,T146=""),1,0)</f>
        <v/>
      </c>
      <c r="W146" s="67">
        <f>IF(V146=1,F146,"")</f>
        <v/>
      </c>
      <c r="X146" s="67">
        <f>IF(V146=1,acctAP,"")</f>
        <v/>
      </c>
      <c r="Y146" s="68">
        <f>IF(V146=1,G146-S146,0)</f>
        <v/>
      </c>
      <c r="Z146" s="68">
        <f>IF(V146=1,G146,0)</f>
        <v/>
      </c>
      <c r="AA146" s="68">
        <f>IF(V146=1,S146,0)</f>
        <v/>
      </c>
    </row>
    <row r="147">
      <c r="B147" s="62" t="n"/>
      <c r="C147" s="63" t="n"/>
      <c r="D147" s="62" t="n"/>
      <c r="E147" s="62" t="n"/>
      <c r="F147" s="62" t="n"/>
      <c r="G147" s="64" t="n"/>
      <c r="H147" s="64" t="n"/>
      <c r="I147" s="63" t="n"/>
      <c r="J147" s="29">
        <f>IF(V147=1,IF(ISNUMBER(I147),I147,C147+IF(ISNUMBER(IFERROR(INDEX(vend_Terms,MATCH(D147,vend_Name,0)),"")),INDEX(vend_Terms,MATCH(D147,vend_Name,0)),TermsDays)),"")</f>
        <v/>
      </c>
      <c r="K147" s="65">
        <f>IF(V147=1,SUMIFS(tx_CrAmt,tx_Type,"Bill Payment",tx_Ref,B147&amp;"",tx_Vend,D147,tx_Date,"&lt;="&amp;AsOf),"")</f>
        <v/>
      </c>
      <c r="L147" s="65">
        <f>IF(V147=1,IF(C147&gt;AsOf,0,ROUND(G147-K147,2)),"")</f>
        <v/>
      </c>
      <c r="M147" s="66">
        <f>IF(V147&lt;&gt;1,"",IF(C147&gt;AsOf,"Future",IF(L147&lt;0,"Overpaid",IF(L147=0,"Paid",IF(AsOf&gt;J147,"Overdue",IF(K147&gt;0,"Partial","Unpaid"))))))</f>
        <v/>
      </c>
      <c r="N147" s="28">
        <f>IF(AND(V147=1,N(L147)&gt;0),AsOf-C147,"")</f>
        <v/>
      </c>
      <c r="O147" s="28">
        <f>IF(N147="","",MAX(0,AsOf-J147))</f>
        <v/>
      </c>
      <c r="P147" s="66">
        <f>IF(O147="","",IF(O147=0,"Current",IF(O147&lt;=30,"1-30",IF(O147&lt;=60,"31-60",IF(O147&lt;=90,"61-90","90+")))))</f>
        <v/>
      </c>
      <c r="Q147" s="66">
        <f>IF(T147&lt;&gt;"","⛔ "&amp;T147&amp;" — not posted",IF(U147&lt;&gt;"","⚠ "&amp;U147,IF(V147=1,"✓ OK","")))</f>
        <v/>
      </c>
      <c r="R147" s="67">
        <f>IF(AND(B147="",C147="",D147="",G147="",F147=""),1,0)</f>
        <v/>
      </c>
      <c r="S147" s="68">
        <f>IF(AND(TaxOn="Yes",ISNUMBER(H147)),H147,0)</f>
        <v/>
      </c>
      <c r="T147" s="67">
        <f>IF(R147=1,"",IF(B147="","Enter a bill #",IF(D147="","Select a vendor",IF(C147="","Missing bill date",IF(NOT(ISNUMBER(C147)),"Invalid date",IF(OR(C147&lt;DATE(2000,1,1),C147&gt;DATE(2099,12,31)),"Invalid date",IF(F147="","Select an expense account",IF(ISNA(MATCH(F147,coa_Name,0)),"Unknown account: "&amp;F147,IF(NOT(ISNUMBER(G147)),"Enter an amount",IF(G147&lt;=0,"Amount must be positive",IF(S147&gt;G147,"Tax is larger than the amount","")))))))))))</f>
        <v/>
      </c>
      <c r="U147" s="67">
        <f>IF(OR(R147=1,T147&lt;&gt;""),"",IF(COUNTIFS(ap_No,B147,ap_Party,D147)&gt;1,"Duplicate bill #",IF(N(L147)&lt;0,"Overpaid by "&amp;TEXT(-L147,"#,##0.00"),IF(AND(ISNUMBER(H147),N(H147)&lt;&gt;0,S147=0),"Tax ignored (tax tracking is off)",IF(AND(ISNUMBER(StartDate),C147&lt;StartDate),"Date is before the accounting start date",IF(OR(IFERROR(INDEX(coa_Type,MATCH(F147,coa_Name,0)),"")="Revenue",IFERROR(INDEX(coa_Type,MATCH(F147,coa_Name,0)),"")="Other Income",IFERROR(INDEX(coa_Type,MATCH(F147,coa_Name,0)),"")="Equity"),"Account is not an expense or asset account",""))))))</f>
        <v/>
      </c>
      <c r="V147" s="67">
        <f>IF(AND(R147=0,T147=""),1,0)</f>
        <v/>
      </c>
      <c r="W147" s="67">
        <f>IF(V147=1,F147,"")</f>
        <v/>
      </c>
      <c r="X147" s="67">
        <f>IF(V147=1,acctAP,"")</f>
        <v/>
      </c>
      <c r="Y147" s="68">
        <f>IF(V147=1,G147-S147,0)</f>
        <v/>
      </c>
      <c r="Z147" s="68">
        <f>IF(V147=1,G147,0)</f>
        <v/>
      </c>
      <c r="AA147" s="68">
        <f>IF(V147=1,S147,0)</f>
        <v/>
      </c>
    </row>
    <row r="148">
      <c r="B148" s="62" t="n"/>
      <c r="C148" s="63" t="n"/>
      <c r="D148" s="62" t="n"/>
      <c r="E148" s="62" t="n"/>
      <c r="F148" s="62" t="n"/>
      <c r="G148" s="64" t="n"/>
      <c r="H148" s="64" t="n"/>
      <c r="I148" s="63" t="n"/>
      <c r="J148" s="29">
        <f>IF(V148=1,IF(ISNUMBER(I148),I148,C148+IF(ISNUMBER(IFERROR(INDEX(vend_Terms,MATCH(D148,vend_Name,0)),"")),INDEX(vend_Terms,MATCH(D148,vend_Name,0)),TermsDays)),"")</f>
        <v/>
      </c>
      <c r="K148" s="65">
        <f>IF(V148=1,SUMIFS(tx_CrAmt,tx_Type,"Bill Payment",tx_Ref,B148&amp;"",tx_Vend,D148,tx_Date,"&lt;="&amp;AsOf),"")</f>
        <v/>
      </c>
      <c r="L148" s="65">
        <f>IF(V148=1,IF(C148&gt;AsOf,0,ROUND(G148-K148,2)),"")</f>
        <v/>
      </c>
      <c r="M148" s="66">
        <f>IF(V148&lt;&gt;1,"",IF(C148&gt;AsOf,"Future",IF(L148&lt;0,"Overpaid",IF(L148=0,"Paid",IF(AsOf&gt;J148,"Overdue",IF(K148&gt;0,"Partial","Unpaid"))))))</f>
        <v/>
      </c>
      <c r="N148" s="28">
        <f>IF(AND(V148=1,N(L148)&gt;0),AsOf-C148,"")</f>
        <v/>
      </c>
      <c r="O148" s="28">
        <f>IF(N148="","",MAX(0,AsOf-J148))</f>
        <v/>
      </c>
      <c r="P148" s="66">
        <f>IF(O148="","",IF(O148=0,"Current",IF(O148&lt;=30,"1-30",IF(O148&lt;=60,"31-60",IF(O148&lt;=90,"61-90","90+")))))</f>
        <v/>
      </c>
      <c r="Q148" s="66">
        <f>IF(T148&lt;&gt;"","⛔ "&amp;T148&amp;" — not posted",IF(U148&lt;&gt;"","⚠ "&amp;U148,IF(V148=1,"✓ OK","")))</f>
        <v/>
      </c>
      <c r="R148" s="67">
        <f>IF(AND(B148="",C148="",D148="",G148="",F148=""),1,0)</f>
        <v/>
      </c>
      <c r="S148" s="68">
        <f>IF(AND(TaxOn="Yes",ISNUMBER(H148)),H148,0)</f>
        <v/>
      </c>
      <c r="T148" s="67">
        <f>IF(R148=1,"",IF(B148="","Enter a bill #",IF(D148="","Select a vendor",IF(C148="","Missing bill date",IF(NOT(ISNUMBER(C148)),"Invalid date",IF(OR(C148&lt;DATE(2000,1,1),C148&gt;DATE(2099,12,31)),"Invalid date",IF(F148="","Select an expense account",IF(ISNA(MATCH(F148,coa_Name,0)),"Unknown account: "&amp;F148,IF(NOT(ISNUMBER(G148)),"Enter an amount",IF(G148&lt;=0,"Amount must be positive",IF(S148&gt;G148,"Tax is larger than the amount","")))))))))))</f>
        <v/>
      </c>
      <c r="U148" s="67">
        <f>IF(OR(R148=1,T148&lt;&gt;""),"",IF(COUNTIFS(ap_No,B148,ap_Party,D148)&gt;1,"Duplicate bill #",IF(N(L148)&lt;0,"Overpaid by "&amp;TEXT(-L148,"#,##0.00"),IF(AND(ISNUMBER(H148),N(H148)&lt;&gt;0,S148=0),"Tax ignored (tax tracking is off)",IF(AND(ISNUMBER(StartDate),C148&lt;StartDate),"Date is before the accounting start date",IF(OR(IFERROR(INDEX(coa_Type,MATCH(F148,coa_Name,0)),"")="Revenue",IFERROR(INDEX(coa_Type,MATCH(F148,coa_Name,0)),"")="Other Income",IFERROR(INDEX(coa_Type,MATCH(F148,coa_Name,0)),"")="Equity"),"Account is not an expense or asset account",""))))))</f>
        <v/>
      </c>
      <c r="V148" s="67">
        <f>IF(AND(R148=0,T148=""),1,0)</f>
        <v/>
      </c>
      <c r="W148" s="67">
        <f>IF(V148=1,F148,"")</f>
        <v/>
      </c>
      <c r="X148" s="67">
        <f>IF(V148=1,acctAP,"")</f>
        <v/>
      </c>
      <c r="Y148" s="68">
        <f>IF(V148=1,G148-S148,0)</f>
        <v/>
      </c>
      <c r="Z148" s="68">
        <f>IF(V148=1,G148,0)</f>
        <v/>
      </c>
      <c r="AA148" s="68">
        <f>IF(V148=1,S148,0)</f>
        <v/>
      </c>
    </row>
    <row r="149">
      <c r="B149" s="62" t="n"/>
      <c r="C149" s="63" t="n"/>
      <c r="D149" s="62" t="n"/>
      <c r="E149" s="62" t="n"/>
      <c r="F149" s="62" t="n"/>
      <c r="G149" s="64" t="n"/>
      <c r="H149" s="64" t="n"/>
      <c r="I149" s="63" t="n"/>
      <c r="J149" s="29">
        <f>IF(V149=1,IF(ISNUMBER(I149),I149,C149+IF(ISNUMBER(IFERROR(INDEX(vend_Terms,MATCH(D149,vend_Name,0)),"")),INDEX(vend_Terms,MATCH(D149,vend_Name,0)),TermsDays)),"")</f>
        <v/>
      </c>
      <c r="K149" s="65">
        <f>IF(V149=1,SUMIFS(tx_CrAmt,tx_Type,"Bill Payment",tx_Ref,B149&amp;"",tx_Vend,D149,tx_Date,"&lt;="&amp;AsOf),"")</f>
        <v/>
      </c>
      <c r="L149" s="65">
        <f>IF(V149=1,IF(C149&gt;AsOf,0,ROUND(G149-K149,2)),"")</f>
        <v/>
      </c>
      <c r="M149" s="66">
        <f>IF(V149&lt;&gt;1,"",IF(C149&gt;AsOf,"Future",IF(L149&lt;0,"Overpaid",IF(L149=0,"Paid",IF(AsOf&gt;J149,"Overdue",IF(K149&gt;0,"Partial","Unpaid"))))))</f>
        <v/>
      </c>
      <c r="N149" s="28">
        <f>IF(AND(V149=1,N(L149)&gt;0),AsOf-C149,"")</f>
        <v/>
      </c>
      <c r="O149" s="28">
        <f>IF(N149="","",MAX(0,AsOf-J149))</f>
        <v/>
      </c>
      <c r="P149" s="66">
        <f>IF(O149="","",IF(O149=0,"Current",IF(O149&lt;=30,"1-30",IF(O149&lt;=60,"31-60",IF(O149&lt;=90,"61-90","90+")))))</f>
        <v/>
      </c>
      <c r="Q149" s="66">
        <f>IF(T149&lt;&gt;"","⛔ "&amp;T149&amp;" — not posted",IF(U149&lt;&gt;"","⚠ "&amp;U149,IF(V149=1,"✓ OK","")))</f>
        <v/>
      </c>
      <c r="R149" s="67">
        <f>IF(AND(B149="",C149="",D149="",G149="",F149=""),1,0)</f>
        <v/>
      </c>
      <c r="S149" s="68">
        <f>IF(AND(TaxOn="Yes",ISNUMBER(H149)),H149,0)</f>
        <v/>
      </c>
      <c r="T149" s="67">
        <f>IF(R149=1,"",IF(B149="","Enter a bill #",IF(D149="","Select a vendor",IF(C149="","Missing bill date",IF(NOT(ISNUMBER(C149)),"Invalid date",IF(OR(C149&lt;DATE(2000,1,1),C149&gt;DATE(2099,12,31)),"Invalid date",IF(F149="","Select an expense account",IF(ISNA(MATCH(F149,coa_Name,0)),"Unknown account: "&amp;F149,IF(NOT(ISNUMBER(G149)),"Enter an amount",IF(G149&lt;=0,"Amount must be positive",IF(S149&gt;G149,"Tax is larger than the amount","")))))))))))</f>
        <v/>
      </c>
      <c r="U149" s="67">
        <f>IF(OR(R149=1,T149&lt;&gt;""),"",IF(COUNTIFS(ap_No,B149,ap_Party,D149)&gt;1,"Duplicate bill #",IF(N(L149)&lt;0,"Overpaid by "&amp;TEXT(-L149,"#,##0.00"),IF(AND(ISNUMBER(H149),N(H149)&lt;&gt;0,S149=0),"Tax ignored (tax tracking is off)",IF(AND(ISNUMBER(StartDate),C149&lt;StartDate),"Date is before the accounting start date",IF(OR(IFERROR(INDEX(coa_Type,MATCH(F149,coa_Name,0)),"")="Revenue",IFERROR(INDEX(coa_Type,MATCH(F149,coa_Name,0)),"")="Other Income",IFERROR(INDEX(coa_Type,MATCH(F149,coa_Name,0)),"")="Equity"),"Account is not an expense or asset account",""))))))</f>
        <v/>
      </c>
      <c r="V149" s="67">
        <f>IF(AND(R149=0,T149=""),1,0)</f>
        <v/>
      </c>
      <c r="W149" s="67">
        <f>IF(V149=1,F149,"")</f>
        <v/>
      </c>
      <c r="X149" s="67">
        <f>IF(V149=1,acctAP,"")</f>
        <v/>
      </c>
      <c r="Y149" s="68">
        <f>IF(V149=1,G149-S149,0)</f>
        <v/>
      </c>
      <c r="Z149" s="68">
        <f>IF(V149=1,G149,0)</f>
        <v/>
      </c>
      <c r="AA149" s="68">
        <f>IF(V149=1,S149,0)</f>
        <v/>
      </c>
    </row>
    <row r="150">
      <c r="B150" s="62" t="n"/>
      <c r="C150" s="63" t="n"/>
      <c r="D150" s="62" t="n"/>
      <c r="E150" s="62" t="n"/>
      <c r="F150" s="62" t="n"/>
      <c r="G150" s="64" t="n"/>
      <c r="H150" s="64" t="n"/>
      <c r="I150" s="63" t="n"/>
      <c r="J150" s="29">
        <f>IF(V150=1,IF(ISNUMBER(I150),I150,C150+IF(ISNUMBER(IFERROR(INDEX(vend_Terms,MATCH(D150,vend_Name,0)),"")),INDEX(vend_Terms,MATCH(D150,vend_Name,0)),TermsDays)),"")</f>
        <v/>
      </c>
      <c r="K150" s="65">
        <f>IF(V150=1,SUMIFS(tx_CrAmt,tx_Type,"Bill Payment",tx_Ref,B150&amp;"",tx_Vend,D150,tx_Date,"&lt;="&amp;AsOf),"")</f>
        <v/>
      </c>
      <c r="L150" s="65">
        <f>IF(V150=1,IF(C150&gt;AsOf,0,ROUND(G150-K150,2)),"")</f>
        <v/>
      </c>
      <c r="M150" s="66">
        <f>IF(V150&lt;&gt;1,"",IF(C150&gt;AsOf,"Future",IF(L150&lt;0,"Overpaid",IF(L150=0,"Paid",IF(AsOf&gt;J150,"Overdue",IF(K150&gt;0,"Partial","Unpaid"))))))</f>
        <v/>
      </c>
      <c r="N150" s="28">
        <f>IF(AND(V150=1,N(L150)&gt;0),AsOf-C150,"")</f>
        <v/>
      </c>
      <c r="O150" s="28">
        <f>IF(N150="","",MAX(0,AsOf-J150))</f>
        <v/>
      </c>
      <c r="P150" s="66">
        <f>IF(O150="","",IF(O150=0,"Current",IF(O150&lt;=30,"1-30",IF(O150&lt;=60,"31-60",IF(O150&lt;=90,"61-90","90+")))))</f>
        <v/>
      </c>
      <c r="Q150" s="66">
        <f>IF(T150&lt;&gt;"","⛔ "&amp;T150&amp;" — not posted",IF(U150&lt;&gt;"","⚠ "&amp;U150,IF(V150=1,"✓ OK","")))</f>
        <v/>
      </c>
      <c r="R150" s="67">
        <f>IF(AND(B150="",C150="",D150="",G150="",F150=""),1,0)</f>
        <v/>
      </c>
      <c r="S150" s="68">
        <f>IF(AND(TaxOn="Yes",ISNUMBER(H150)),H150,0)</f>
        <v/>
      </c>
      <c r="T150" s="67">
        <f>IF(R150=1,"",IF(B150="","Enter a bill #",IF(D150="","Select a vendor",IF(C150="","Missing bill date",IF(NOT(ISNUMBER(C150)),"Invalid date",IF(OR(C150&lt;DATE(2000,1,1),C150&gt;DATE(2099,12,31)),"Invalid date",IF(F150="","Select an expense account",IF(ISNA(MATCH(F150,coa_Name,0)),"Unknown account: "&amp;F150,IF(NOT(ISNUMBER(G150)),"Enter an amount",IF(G150&lt;=0,"Amount must be positive",IF(S150&gt;G150,"Tax is larger than the amount","")))))))))))</f>
        <v/>
      </c>
      <c r="U150" s="67">
        <f>IF(OR(R150=1,T150&lt;&gt;""),"",IF(COUNTIFS(ap_No,B150,ap_Party,D150)&gt;1,"Duplicate bill #",IF(N(L150)&lt;0,"Overpaid by "&amp;TEXT(-L150,"#,##0.00"),IF(AND(ISNUMBER(H150),N(H150)&lt;&gt;0,S150=0),"Tax ignored (tax tracking is off)",IF(AND(ISNUMBER(StartDate),C150&lt;StartDate),"Date is before the accounting start date",IF(OR(IFERROR(INDEX(coa_Type,MATCH(F150,coa_Name,0)),"")="Revenue",IFERROR(INDEX(coa_Type,MATCH(F150,coa_Name,0)),"")="Other Income",IFERROR(INDEX(coa_Type,MATCH(F150,coa_Name,0)),"")="Equity"),"Account is not an expense or asset account",""))))))</f>
        <v/>
      </c>
      <c r="V150" s="67">
        <f>IF(AND(R150=0,T150=""),1,0)</f>
        <v/>
      </c>
      <c r="W150" s="67">
        <f>IF(V150=1,F150,"")</f>
        <v/>
      </c>
      <c r="X150" s="67">
        <f>IF(V150=1,acctAP,"")</f>
        <v/>
      </c>
      <c r="Y150" s="68">
        <f>IF(V150=1,G150-S150,0)</f>
        <v/>
      </c>
      <c r="Z150" s="68">
        <f>IF(V150=1,G150,0)</f>
        <v/>
      </c>
      <c r="AA150" s="68">
        <f>IF(V150=1,S150,0)</f>
        <v/>
      </c>
    </row>
    <row r="151">
      <c r="B151" s="62" t="n"/>
      <c r="C151" s="63" t="n"/>
      <c r="D151" s="62" t="n"/>
      <c r="E151" s="62" t="n"/>
      <c r="F151" s="62" t="n"/>
      <c r="G151" s="64" t="n"/>
      <c r="H151" s="64" t="n"/>
      <c r="I151" s="63" t="n"/>
      <c r="J151" s="29">
        <f>IF(V151=1,IF(ISNUMBER(I151),I151,C151+IF(ISNUMBER(IFERROR(INDEX(vend_Terms,MATCH(D151,vend_Name,0)),"")),INDEX(vend_Terms,MATCH(D151,vend_Name,0)),TermsDays)),"")</f>
        <v/>
      </c>
      <c r="K151" s="65">
        <f>IF(V151=1,SUMIFS(tx_CrAmt,tx_Type,"Bill Payment",tx_Ref,B151&amp;"",tx_Vend,D151,tx_Date,"&lt;="&amp;AsOf),"")</f>
        <v/>
      </c>
      <c r="L151" s="65">
        <f>IF(V151=1,IF(C151&gt;AsOf,0,ROUND(G151-K151,2)),"")</f>
        <v/>
      </c>
      <c r="M151" s="66">
        <f>IF(V151&lt;&gt;1,"",IF(C151&gt;AsOf,"Future",IF(L151&lt;0,"Overpaid",IF(L151=0,"Paid",IF(AsOf&gt;J151,"Overdue",IF(K151&gt;0,"Partial","Unpaid"))))))</f>
        <v/>
      </c>
      <c r="N151" s="28">
        <f>IF(AND(V151=1,N(L151)&gt;0),AsOf-C151,"")</f>
        <v/>
      </c>
      <c r="O151" s="28">
        <f>IF(N151="","",MAX(0,AsOf-J151))</f>
        <v/>
      </c>
      <c r="P151" s="66">
        <f>IF(O151="","",IF(O151=0,"Current",IF(O151&lt;=30,"1-30",IF(O151&lt;=60,"31-60",IF(O151&lt;=90,"61-90","90+")))))</f>
        <v/>
      </c>
      <c r="Q151" s="66">
        <f>IF(T151&lt;&gt;"","⛔ "&amp;T151&amp;" — not posted",IF(U151&lt;&gt;"","⚠ "&amp;U151,IF(V151=1,"✓ OK","")))</f>
        <v/>
      </c>
      <c r="R151" s="67">
        <f>IF(AND(B151="",C151="",D151="",G151="",F151=""),1,0)</f>
        <v/>
      </c>
      <c r="S151" s="68">
        <f>IF(AND(TaxOn="Yes",ISNUMBER(H151)),H151,0)</f>
        <v/>
      </c>
      <c r="T151" s="67">
        <f>IF(R151=1,"",IF(B151="","Enter a bill #",IF(D151="","Select a vendor",IF(C151="","Missing bill date",IF(NOT(ISNUMBER(C151)),"Invalid date",IF(OR(C151&lt;DATE(2000,1,1),C151&gt;DATE(2099,12,31)),"Invalid date",IF(F151="","Select an expense account",IF(ISNA(MATCH(F151,coa_Name,0)),"Unknown account: "&amp;F151,IF(NOT(ISNUMBER(G151)),"Enter an amount",IF(G151&lt;=0,"Amount must be positive",IF(S151&gt;G151,"Tax is larger than the amount","")))))))))))</f>
        <v/>
      </c>
      <c r="U151" s="67">
        <f>IF(OR(R151=1,T151&lt;&gt;""),"",IF(COUNTIFS(ap_No,B151,ap_Party,D151)&gt;1,"Duplicate bill #",IF(N(L151)&lt;0,"Overpaid by "&amp;TEXT(-L151,"#,##0.00"),IF(AND(ISNUMBER(H151),N(H151)&lt;&gt;0,S151=0),"Tax ignored (tax tracking is off)",IF(AND(ISNUMBER(StartDate),C151&lt;StartDate),"Date is before the accounting start date",IF(OR(IFERROR(INDEX(coa_Type,MATCH(F151,coa_Name,0)),"")="Revenue",IFERROR(INDEX(coa_Type,MATCH(F151,coa_Name,0)),"")="Other Income",IFERROR(INDEX(coa_Type,MATCH(F151,coa_Name,0)),"")="Equity"),"Account is not an expense or asset account",""))))))</f>
        <v/>
      </c>
      <c r="V151" s="67">
        <f>IF(AND(R151=0,T151=""),1,0)</f>
        <v/>
      </c>
      <c r="W151" s="67">
        <f>IF(V151=1,F151,"")</f>
        <v/>
      </c>
      <c r="X151" s="67">
        <f>IF(V151=1,acctAP,"")</f>
        <v/>
      </c>
      <c r="Y151" s="68">
        <f>IF(V151=1,G151-S151,0)</f>
        <v/>
      </c>
      <c r="Z151" s="68">
        <f>IF(V151=1,G151,0)</f>
        <v/>
      </c>
      <c r="AA151" s="68">
        <f>IF(V151=1,S151,0)</f>
        <v/>
      </c>
    </row>
    <row r="152">
      <c r="B152" s="62" t="n"/>
      <c r="C152" s="63" t="n"/>
      <c r="D152" s="62" t="n"/>
      <c r="E152" s="62" t="n"/>
      <c r="F152" s="62" t="n"/>
      <c r="G152" s="64" t="n"/>
      <c r="H152" s="64" t="n"/>
      <c r="I152" s="63" t="n"/>
      <c r="J152" s="29">
        <f>IF(V152=1,IF(ISNUMBER(I152),I152,C152+IF(ISNUMBER(IFERROR(INDEX(vend_Terms,MATCH(D152,vend_Name,0)),"")),INDEX(vend_Terms,MATCH(D152,vend_Name,0)),TermsDays)),"")</f>
        <v/>
      </c>
      <c r="K152" s="65">
        <f>IF(V152=1,SUMIFS(tx_CrAmt,tx_Type,"Bill Payment",tx_Ref,B152&amp;"",tx_Vend,D152,tx_Date,"&lt;="&amp;AsOf),"")</f>
        <v/>
      </c>
      <c r="L152" s="65">
        <f>IF(V152=1,IF(C152&gt;AsOf,0,ROUND(G152-K152,2)),"")</f>
        <v/>
      </c>
      <c r="M152" s="66">
        <f>IF(V152&lt;&gt;1,"",IF(C152&gt;AsOf,"Future",IF(L152&lt;0,"Overpaid",IF(L152=0,"Paid",IF(AsOf&gt;J152,"Overdue",IF(K152&gt;0,"Partial","Unpaid"))))))</f>
        <v/>
      </c>
      <c r="N152" s="28">
        <f>IF(AND(V152=1,N(L152)&gt;0),AsOf-C152,"")</f>
        <v/>
      </c>
      <c r="O152" s="28">
        <f>IF(N152="","",MAX(0,AsOf-J152))</f>
        <v/>
      </c>
      <c r="P152" s="66">
        <f>IF(O152="","",IF(O152=0,"Current",IF(O152&lt;=30,"1-30",IF(O152&lt;=60,"31-60",IF(O152&lt;=90,"61-90","90+")))))</f>
        <v/>
      </c>
      <c r="Q152" s="66">
        <f>IF(T152&lt;&gt;"","⛔ "&amp;T152&amp;" — not posted",IF(U152&lt;&gt;"","⚠ "&amp;U152,IF(V152=1,"✓ OK","")))</f>
        <v/>
      </c>
      <c r="R152" s="67">
        <f>IF(AND(B152="",C152="",D152="",G152="",F152=""),1,0)</f>
        <v/>
      </c>
      <c r="S152" s="68">
        <f>IF(AND(TaxOn="Yes",ISNUMBER(H152)),H152,0)</f>
        <v/>
      </c>
      <c r="T152" s="67">
        <f>IF(R152=1,"",IF(B152="","Enter a bill #",IF(D152="","Select a vendor",IF(C152="","Missing bill date",IF(NOT(ISNUMBER(C152)),"Invalid date",IF(OR(C152&lt;DATE(2000,1,1),C152&gt;DATE(2099,12,31)),"Invalid date",IF(F152="","Select an expense account",IF(ISNA(MATCH(F152,coa_Name,0)),"Unknown account: "&amp;F152,IF(NOT(ISNUMBER(G152)),"Enter an amount",IF(G152&lt;=0,"Amount must be positive",IF(S152&gt;G152,"Tax is larger than the amount","")))))))))))</f>
        <v/>
      </c>
      <c r="U152" s="67">
        <f>IF(OR(R152=1,T152&lt;&gt;""),"",IF(COUNTIFS(ap_No,B152,ap_Party,D152)&gt;1,"Duplicate bill #",IF(N(L152)&lt;0,"Overpaid by "&amp;TEXT(-L152,"#,##0.00"),IF(AND(ISNUMBER(H152),N(H152)&lt;&gt;0,S152=0),"Tax ignored (tax tracking is off)",IF(AND(ISNUMBER(StartDate),C152&lt;StartDate),"Date is before the accounting start date",IF(OR(IFERROR(INDEX(coa_Type,MATCH(F152,coa_Name,0)),"")="Revenue",IFERROR(INDEX(coa_Type,MATCH(F152,coa_Name,0)),"")="Other Income",IFERROR(INDEX(coa_Type,MATCH(F152,coa_Name,0)),"")="Equity"),"Account is not an expense or asset account",""))))))</f>
        <v/>
      </c>
      <c r="V152" s="67">
        <f>IF(AND(R152=0,T152=""),1,0)</f>
        <v/>
      </c>
      <c r="W152" s="67">
        <f>IF(V152=1,F152,"")</f>
        <v/>
      </c>
      <c r="X152" s="67">
        <f>IF(V152=1,acctAP,"")</f>
        <v/>
      </c>
      <c r="Y152" s="68">
        <f>IF(V152=1,G152-S152,0)</f>
        <v/>
      </c>
      <c r="Z152" s="68">
        <f>IF(V152=1,G152,0)</f>
        <v/>
      </c>
      <c r="AA152" s="68">
        <f>IF(V152=1,S152,0)</f>
        <v/>
      </c>
    </row>
    <row r="153">
      <c r="B153" s="62" t="n"/>
      <c r="C153" s="63" t="n"/>
      <c r="D153" s="62" t="n"/>
      <c r="E153" s="62" t="n"/>
      <c r="F153" s="62" t="n"/>
      <c r="G153" s="64" t="n"/>
      <c r="H153" s="64" t="n"/>
      <c r="I153" s="63" t="n"/>
      <c r="J153" s="29">
        <f>IF(V153=1,IF(ISNUMBER(I153),I153,C153+IF(ISNUMBER(IFERROR(INDEX(vend_Terms,MATCH(D153,vend_Name,0)),"")),INDEX(vend_Terms,MATCH(D153,vend_Name,0)),TermsDays)),"")</f>
        <v/>
      </c>
      <c r="K153" s="65">
        <f>IF(V153=1,SUMIFS(tx_CrAmt,tx_Type,"Bill Payment",tx_Ref,B153&amp;"",tx_Vend,D153,tx_Date,"&lt;="&amp;AsOf),"")</f>
        <v/>
      </c>
      <c r="L153" s="65">
        <f>IF(V153=1,IF(C153&gt;AsOf,0,ROUND(G153-K153,2)),"")</f>
        <v/>
      </c>
      <c r="M153" s="66">
        <f>IF(V153&lt;&gt;1,"",IF(C153&gt;AsOf,"Future",IF(L153&lt;0,"Overpaid",IF(L153=0,"Paid",IF(AsOf&gt;J153,"Overdue",IF(K153&gt;0,"Partial","Unpaid"))))))</f>
        <v/>
      </c>
      <c r="N153" s="28">
        <f>IF(AND(V153=1,N(L153)&gt;0),AsOf-C153,"")</f>
        <v/>
      </c>
      <c r="O153" s="28">
        <f>IF(N153="","",MAX(0,AsOf-J153))</f>
        <v/>
      </c>
      <c r="P153" s="66">
        <f>IF(O153="","",IF(O153=0,"Current",IF(O153&lt;=30,"1-30",IF(O153&lt;=60,"31-60",IF(O153&lt;=90,"61-90","90+")))))</f>
        <v/>
      </c>
      <c r="Q153" s="66">
        <f>IF(T153&lt;&gt;"","⛔ "&amp;T153&amp;" — not posted",IF(U153&lt;&gt;"","⚠ "&amp;U153,IF(V153=1,"✓ OK","")))</f>
        <v/>
      </c>
      <c r="R153" s="67">
        <f>IF(AND(B153="",C153="",D153="",G153="",F153=""),1,0)</f>
        <v/>
      </c>
      <c r="S153" s="68">
        <f>IF(AND(TaxOn="Yes",ISNUMBER(H153)),H153,0)</f>
        <v/>
      </c>
      <c r="T153" s="67">
        <f>IF(R153=1,"",IF(B153="","Enter a bill #",IF(D153="","Select a vendor",IF(C153="","Missing bill date",IF(NOT(ISNUMBER(C153)),"Invalid date",IF(OR(C153&lt;DATE(2000,1,1),C153&gt;DATE(2099,12,31)),"Invalid date",IF(F153="","Select an expense account",IF(ISNA(MATCH(F153,coa_Name,0)),"Unknown account: "&amp;F153,IF(NOT(ISNUMBER(G153)),"Enter an amount",IF(G153&lt;=0,"Amount must be positive",IF(S153&gt;G153,"Tax is larger than the amount","")))))))))))</f>
        <v/>
      </c>
      <c r="U153" s="67">
        <f>IF(OR(R153=1,T153&lt;&gt;""),"",IF(COUNTIFS(ap_No,B153,ap_Party,D153)&gt;1,"Duplicate bill #",IF(N(L153)&lt;0,"Overpaid by "&amp;TEXT(-L153,"#,##0.00"),IF(AND(ISNUMBER(H153),N(H153)&lt;&gt;0,S153=0),"Tax ignored (tax tracking is off)",IF(AND(ISNUMBER(StartDate),C153&lt;StartDate),"Date is before the accounting start date",IF(OR(IFERROR(INDEX(coa_Type,MATCH(F153,coa_Name,0)),"")="Revenue",IFERROR(INDEX(coa_Type,MATCH(F153,coa_Name,0)),"")="Other Income",IFERROR(INDEX(coa_Type,MATCH(F153,coa_Name,0)),"")="Equity"),"Account is not an expense or asset account",""))))))</f>
        <v/>
      </c>
      <c r="V153" s="67">
        <f>IF(AND(R153=0,T153=""),1,0)</f>
        <v/>
      </c>
      <c r="W153" s="67">
        <f>IF(V153=1,F153,"")</f>
        <v/>
      </c>
      <c r="X153" s="67">
        <f>IF(V153=1,acctAP,"")</f>
        <v/>
      </c>
      <c r="Y153" s="68">
        <f>IF(V153=1,G153-S153,0)</f>
        <v/>
      </c>
      <c r="Z153" s="68">
        <f>IF(V153=1,G153,0)</f>
        <v/>
      </c>
      <c r="AA153" s="68">
        <f>IF(V153=1,S153,0)</f>
        <v/>
      </c>
    </row>
    <row r="154">
      <c r="B154" s="62" t="n"/>
      <c r="C154" s="63" t="n"/>
      <c r="D154" s="62" t="n"/>
      <c r="E154" s="62" t="n"/>
      <c r="F154" s="62" t="n"/>
      <c r="G154" s="64" t="n"/>
      <c r="H154" s="64" t="n"/>
      <c r="I154" s="63" t="n"/>
      <c r="J154" s="29">
        <f>IF(V154=1,IF(ISNUMBER(I154),I154,C154+IF(ISNUMBER(IFERROR(INDEX(vend_Terms,MATCH(D154,vend_Name,0)),"")),INDEX(vend_Terms,MATCH(D154,vend_Name,0)),TermsDays)),"")</f>
        <v/>
      </c>
      <c r="K154" s="65">
        <f>IF(V154=1,SUMIFS(tx_CrAmt,tx_Type,"Bill Payment",tx_Ref,B154&amp;"",tx_Vend,D154,tx_Date,"&lt;="&amp;AsOf),"")</f>
        <v/>
      </c>
      <c r="L154" s="65">
        <f>IF(V154=1,IF(C154&gt;AsOf,0,ROUND(G154-K154,2)),"")</f>
        <v/>
      </c>
      <c r="M154" s="66">
        <f>IF(V154&lt;&gt;1,"",IF(C154&gt;AsOf,"Future",IF(L154&lt;0,"Overpaid",IF(L154=0,"Paid",IF(AsOf&gt;J154,"Overdue",IF(K154&gt;0,"Partial","Unpaid"))))))</f>
        <v/>
      </c>
      <c r="N154" s="28">
        <f>IF(AND(V154=1,N(L154)&gt;0),AsOf-C154,"")</f>
        <v/>
      </c>
      <c r="O154" s="28">
        <f>IF(N154="","",MAX(0,AsOf-J154))</f>
        <v/>
      </c>
      <c r="P154" s="66">
        <f>IF(O154="","",IF(O154=0,"Current",IF(O154&lt;=30,"1-30",IF(O154&lt;=60,"31-60",IF(O154&lt;=90,"61-90","90+")))))</f>
        <v/>
      </c>
      <c r="Q154" s="66">
        <f>IF(T154&lt;&gt;"","⛔ "&amp;T154&amp;" — not posted",IF(U154&lt;&gt;"","⚠ "&amp;U154,IF(V154=1,"✓ OK","")))</f>
        <v/>
      </c>
      <c r="R154" s="67">
        <f>IF(AND(B154="",C154="",D154="",G154="",F154=""),1,0)</f>
        <v/>
      </c>
      <c r="S154" s="68">
        <f>IF(AND(TaxOn="Yes",ISNUMBER(H154)),H154,0)</f>
        <v/>
      </c>
      <c r="T154" s="67">
        <f>IF(R154=1,"",IF(B154="","Enter a bill #",IF(D154="","Select a vendor",IF(C154="","Missing bill date",IF(NOT(ISNUMBER(C154)),"Invalid date",IF(OR(C154&lt;DATE(2000,1,1),C154&gt;DATE(2099,12,31)),"Invalid date",IF(F154="","Select an expense account",IF(ISNA(MATCH(F154,coa_Name,0)),"Unknown account: "&amp;F154,IF(NOT(ISNUMBER(G154)),"Enter an amount",IF(G154&lt;=0,"Amount must be positive",IF(S154&gt;G154,"Tax is larger than the amount","")))))))))))</f>
        <v/>
      </c>
      <c r="U154" s="67">
        <f>IF(OR(R154=1,T154&lt;&gt;""),"",IF(COUNTIFS(ap_No,B154,ap_Party,D154)&gt;1,"Duplicate bill #",IF(N(L154)&lt;0,"Overpaid by "&amp;TEXT(-L154,"#,##0.00"),IF(AND(ISNUMBER(H154),N(H154)&lt;&gt;0,S154=0),"Tax ignored (tax tracking is off)",IF(AND(ISNUMBER(StartDate),C154&lt;StartDate),"Date is before the accounting start date",IF(OR(IFERROR(INDEX(coa_Type,MATCH(F154,coa_Name,0)),"")="Revenue",IFERROR(INDEX(coa_Type,MATCH(F154,coa_Name,0)),"")="Other Income",IFERROR(INDEX(coa_Type,MATCH(F154,coa_Name,0)),"")="Equity"),"Account is not an expense or asset account",""))))))</f>
        <v/>
      </c>
      <c r="V154" s="67">
        <f>IF(AND(R154=0,T154=""),1,0)</f>
        <v/>
      </c>
      <c r="W154" s="67">
        <f>IF(V154=1,F154,"")</f>
        <v/>
      </c>
      <c r="X154" s="67">
        <f>IF(V154=1,acctAP,"")</f>
        <v/>
      </c>
      <c r="Y154" s="68">
        <f>IF(V154=1,G154-S154,0)</f>
        <v/>
      </c>
      <c r="Z154" s="68">
        <f>IF(V154=1,G154,0)</f>
        <v/>
      </c>
      <c r="AA154" s="68">
        <f>IF(V154=1,S154,0)</f>
        <v/>
      </c>
    </row>
    <row r="155">
      <c r="B155" s="62" t="n"/>
      <c r="C155" s="63" t="n"/>
      <c r="D155" s="62" t="n"/>
      <c r="E155" s="62" t="n"/>
      <c r="F155" s="62" t="n"/>
      <c r="G155" s="64" t="n"/>
      <c r="H155" s="64" t="n"/>
      <c r="I155" s="63" t="n"/>
      <c r="J155" s="29">
        <f>IF(V155=1,IF(ISNUMBER(I155),I155,C155+IF(ISNUMBER(IFERROR(INDEX(vend_Terms,MATCH(D155,vend_Name,0)),"")),INDEX(vend_Terms,MATCH(D155,vend_Name,0)),TermsDays)),"")</f>
        <v/>
      </c>
      <c r="K155" s="65">
        <f>IF(V155=1,SUMIFS(tx_CrAmt,tx_Type,"Bill Payment",tx_Ref,B155&amp;"",tx_Vend,D155,tx_Date,"&lt;="&amp;AsOf),"")</f>
        <v/>
      </c>
      <c r="L155" s="65">
        <f>IF(V155=1,IF(C155&gt;AsOf,0,ROUND(G155-K155,2)),"")</f>
        <v/>
      </c>
      <c r="M155" s="66">
        <f>IF(V155&lt;&gt;1,"",IF(C155&gt;AsOf,"Future",IF(L155&lt;0,"Overpaid",IF(L155=0,"Paid",IF(AsOf&gt;J155,"Overdue",IF(K155&gt;0,"Partial","Unpaid"))))))</f>
        <v/>
      </c>
      <c r="N155" s="28">
        <f>IF(AND(V155=1,N(L155)&gt;0),AsOf-C155,"")</f>
        <v/>
      </c>
      <c r="O155" s="28">
        <f>IF(N155="","",MAX(0,AsOf-J155))</f>
        <v/>
      </c>
      <c r="P155" s="66">
        <f>IF(O155="","",IF(O155=0,"Current",IF(O155&lt;=30,"1-30",IF(O155&lt;=60,"31-60",IF(O155&lt;=90,"61-90","90+")))))</f>
        <v/>
      </c>
      <c r="Q155" s="66">
        <f>IF(T155&lt;&gt;"","⛔ "&amp;T155&amp;" — not posted",IF(U155&lt;&gt;"","⚠ "&amp;U155,IF(V155=1,"✓ OK","")))</f>
        <v/>
      </c>
      <c r="R155" s="67">
        <f>IF(AND(B155="",C155="",D155="",G155="",F155=""),1,0)</f>
        <v/>
      </c>
      <c r="S155" s="68">
        <f>IF(AND(TaxOn="Yes",ISNUMBER(H155)),H155,0)</f>
        <v/>
      </c>
      <c r="T155" s="67">
        <f>IF(R155=1,"",IF(B155="","Enter a bill #",IF(D155="","Select a vendor",IF(C155="","Missing bill date",IF(NOT(ISNUMBER(C155)),"Invalid date",IF(OR(C155&lt;DATE(2000,1,1),C155&gt;DATE(2099,12,31)),"Invalid date",IF(F155="","Select an expense account",IF(ISNA(MATCH(F155,coa_Name,0)),"Unknown account: "&amp;F155,IF(NOT(ISNUMBER(G155)),"Enter an amount",IF(G155&lt;=0,"Amount must be positive",IF(S155&gt;G155,"Tax is larger than the amount","")))))))))))</f>
        <v/>
      </c>
      <c r="U155" s="67">
        <f>IF(OR(R155=1,T155&lt;&gt;""),"",IF(COUNTIFS(ap_No,B155,ap_Party,D155)&gt;1,"Duplicate bill #",IF(N(L155)&lt;0,"Overpaid by "&amp;TEXT(-L155,"#,##0.00"),IF(AND(ISNUMBER(H155),N(H155)&lt;&gt;0,S155=0),"Tax ignored (tax tracking is off)",IF(AND(ISNUMBER(StartDate),C155&lt;StartDate),"Date is before the accounting start date",IF(OR(IFERROR(INDEX(coa_Type,MATCH(F155,coa_Name,0)),"")="Revenue",IFERROR(INDEX(coa_Type,MATCH(F155,coa_Name,0)),"")="Other Income",IFERROR(INDEX(coa_Type,MATCH(F155,coa_Name,0)),"")="Equity"),"Account is not an expense or asset account",""))))))</f>
        <v/>
      </c>
      <c r="V155" s="67">
        <f>IF(AND(R155=0,T155=""),1,0)</f>
        <v/>
      </c>
      <c r="W155" s="67">
        <f>IF(V155=1,F155,"")</f>
        <v/>
      </c>
      <c r="X155" s="67">
        <f>IF(V155=1,acctAP,"")</f>
        <v/>
      </c>
      <c r="Y155" s="68">
        <f>IF(V155=1,G155-S155,0)</f>
        <v/>
      </c>
      <c r="Z155" s="68">
        <f>IF(V155=1,G155,0)</f>
        <v/>
      </c>
      <c r="AA155" s="68">
        <f>IF(V155=1,S155,0)</f>
        <v/>
      </c>
    </row>
    <row r="156">
      <c r="B156" s="62" t="n"/>
      <c r="C156" s="63" t="n"/>
      <c r="D156" s="62" t="n"/>
      <c r="E156" s="62" t="n"/>
      <c r="F156" s="62" t="n"/>
      <c r="G156" s="64" t="n"/>
      <c r="H156" s="64" t="n"/>
      <c r="I156" s="63" t="n"/>
      <c r="J156" s="29">
        <f>IF(V156=1,IF(ISNUMBER(I156),I156,C156+IF(ISNUMBER(IFERROR(INDEX(vend_Terms,MATCH(D156,vend_Name,0)),"")),INDEX(vend_Terms,MATCH(D156,vend_Name,0)),TermsDays)),"")</f>
        <v/>
      </c>
      <c r="K156" s="65">
        <f>IF(V156=1,SUMIFS(tx_CrAmt,tx_Type,"Bill Payment",tx_Ref,B156&amp;"",tx_Vend,D156,tx_Date,"&lt;="&amp;AsOf),"")</f>
        <v/>
      </c>
      <c r="L156" s="65">
        <f>IF(V156=1,IF(C156&gt;AsOf,0,ROUND(G156-K156,2)),"")</f>
        <v/>
      </c>
      <c r="M156" s="66">
        <f>IF(V156&lt;&gt;1,"",IF(C156&gt;AsOf,"Future",IF(L156&lt;0,"Overpaid",IF(L156=0,"Paid",IF(AsOf&gt;J156,"Overdue",IF(K156&gt;0,"Partial","Unpaid"))))))</f>
        <v/>
      </c>
      <c r="N156" s="28">
        <f>IF(AND(V156=1,N(L156)&gt;0),AsOf-C156,"")</f>
        <v/>
      </c>
      <c r="O156" s="28">
        <f>IF(N156="","",MAX(0,AsOf-J156))</f>
        <v/>
      </c>
      <c r="P156" s="66">
        <f>IF(O156="","",IF(O156=0,"Current",IF(O156&lt;=30,"1-30",IF(O156&lt;=60,"31-60",IF(O156&lt;=90,"61-90","90+")))))</f>
        <v/>
      </c>
      <c r="Q156" s="66">
        <f>IF(T156&lt;&gt;"","⛔ "&amp;T156&amp;" — not posted",IF(U156&lt;&gt;"","⚠ "&amp;U156,IF(V156=1,"✓ OK","")))</f>
        <v/>
      </c>
      <c r="R156" s="67">
        <f>IF(AND(B156="",C156="",D156="",G156="",F156=""),1,0)</f>
        <v/>
      </c>
      <c r="S156" s="68">
        <f>IF(AND(TaxOn="Yes",ISNUMBER(H156)),H156,0)</f>
        <v/>
      </c>
      <c r="T156" s="67">
        <f>IF(R156=1,"",IF(B156="","Enter a bill #",IF(D156="","Select a vendor",IF(C156="","Missing bill date",IF(NOT(ISNUMBER(C156)),"Invalid date",IF(OR(C156&lt;DATE(2000,1,1),C156&gt;DATE(2099,12,31)),"Invalid date",IF(F156="","Select an expense account",IF(ISNA(MATCH(F156,coa_Name,0)),"Unknown account: "&amp;F156,IF(NOT(ISNUMBER(G156)),"Enter an amount",IF(G156&lt;=0,"Amount must be positive",IF(S156&gt;G156,"Tax is larger than the amount","")))))))))))</f>
        <v/>
      </c>
      <c r="U156" s="67">
        <f>IF(OR(R156=1,T156&lt;&gt;""),"",IF(COUNTIFS(ap_No,B156,ap_Party,D156)&gt;1,"Duplicate bill #",IF(N(L156)&lt;0,"Overpaid by "&amp;TEXT(-L156,"#,##0.00"),IF(AND(ISNUMBER(H156),N(H156)&lt;&gt;0,S156=0),"Tax ignored (tax tracking is off)",IF(AND(ISNUMBER(StartDate),C156&lt;StartDate),"Date is before the accounting start date",IF(OR(IFERROR(INDEX(coa_Type,MATCH(F156,coa_Name,0)),"")="Revenue",IFERROR(INDEX(coa_Type,MATCH(F156,coa_Name,0)),"")="Other Income",IFERROR(INDEX(coa_Type,MATCH(F156,coa_Name,0)),"")="Equity"),"Account is not an expense or asset account",""))))))</f>
        <v/>
      </c>
      <c r="V156" s="67">
        <f>IF(AND(R156=0,T156=""),1,0)</f>
        <v/>
      </c>
      <c r="W156" s="67">
        <f>IF(V156=1,F156,"")</f>
        <v/>
      </c>
      <c r="X156" s="67">
        <f>IF(V156=1,acctAP,"")</f>
        <v/>
      </c>
      <c r="Y156" s="68">
        <f>IF(V156=1,G156-S156,0)</f>
        <v/>
      </c>
      <c r="Z156" s="68">
        <f>IF(V156=1,G156,0)</f>
        <v/>
      </c>
      <c r="AA156" s="68">
        <f>IF(V156=1,S156,0)</f>
        <v/>
      </c>
    </row>
    <row r="157">
      <c r="B157" s="62" t="n"/>
      <c r="C157" s="63" t="n"/>
      <c r="D157" s="62" t="n"/>
      <c r="E157" s="62" t="n"/>
      <c r="F157" s="62" t="n"/>
      <c r="G157" s="64" t="n"/>
      <c r="H157" s="64" t="n"/>
      <c r="I157" s="63" t="n"/>
      <c r="J157" s="29">
        <f>IF(V157=1,IF(ISNUMBER(I157),I157,C157+IF(ISNUMBER(IFERROR(INDEX(vend_Terms,MATCH(D157,vend_Name,0)),"")),INDEX(vend_Terms,MATCH(D157,vend_Name,0)),TermsDays)),"")</f>
        <v/>
      </c>
      <c r="K157" s="65">
        <f>IF(V157=1,SUMIFS(tx_CrAmt,tx_Type,"Bill Payment",tx_Ref,B157&amp;"",tx_Vend,D157,tx_Date,"&lt;="&amp;AsOf),"")</f>
        <v/>
      </c>
      <c r="L157" s="65">
        <f>IF(V157=1,IF(C157&gt;AsOf,0,ROUND(G157-K157,2)),"")</f>
        <v/>
      </c>
      <c r="M157" s="66">
        <f>IF(V157&lt;&gt;1,"",IF(C157&gt;AsOf,"Future",IF(L157&lt;0,"Overpaid",IF(L157=0,"Paid",IF(AsOf&gt;J157,"Overdue",IF(K157&gt;0,"Partial","Unpaid"))))))</f>
        <v/>
      </c>
      <c r="N157" s="28">
        <f>IF(AND(V157=1,N(L157)&gt;0),AsOf-C157,"")</f>
        <v/>
      </c>
      <c r="O157" s="28">
        <f>IF(N157="","",MAX(0,AsOf-J157))</f>
        <v/>
      </c>
      <c r="P157" s="66">
        <f>IF(O157="","",IF(O157=0,"Current",IF(O157&lt;=30,"1-30",IF(O157&lt;=60,"31-60",IF(O157&lt;=90,"61-90","90+")))))</f>
        <v/>
      </c>
      <c r="Q157" s="66">
        <f>IF(T157&lt;&gt;"","⛔ "&amp;T157&amp;" — not posted",IF(U157&lt;&gt;"","⚠ "&amp;U157,IF(V157=1,"✓ OK","")))</f>
        <v/>
      </c>
      <c r="R157" s="67">
        <f>IF(AND(B157="",C157="",D157="",G157="",F157=""),1,0)</f>
        <v/>
      </c>
      <c r="S157" s="68">
        <f>IF(AND(TaxOn="Yes",ISNUMBER(H157)),H157,0)</f>
        <v/>
      </c>
      <c r="T157" s="67">
        <f>IF(R157=1,"",IF(B157="","Enter a bill #",IF(D157="","Select a vendor",IF(C157="","Missing bill date",IF(NOT(ISNUMBER(C157)),"Invalid date",IF(OR(C157&lt;DATE(2000,1,1),C157&gt;DATE(2099,12,31)),"Invalid date",IF(F157="","Select an expense account",IF(ISNA(MATCH(F157,coa_Name,0)),"Unknown account: "&amp;F157,IF(NOT(ISNUMBER(G157)),"Enter an amount",IF(G157&lt;=0,"Amount must be positive",IF(S157&gt;G157,"Tax is larger than the amount","")))))))))))</f>
        <v/>
      </c>
      <c r="U157" s="67">
        <f>IF(OR(R157=1,T157&lt;&gt;""),"",IF(COUNTIFS(ap_No,B157,ap_Party,D157)&gt;1,"Duplicate bill #",IF(N(L157)&lt;0,"Overpaid by "&amp;TEXT(-L157,"#,##0.00"),IF(AND(ISNUMBER(H157),N(H157)&lt;&gt;0,S157=0),"Tax ignored (tax tracking is off)",IF(AND(ISNUMBER(StartDate),C157&lt;StartDate),"Date is before the accounting start date",IF(OR(IFERROR(INDEX(coa_Type,MATCH(F157,coa_Name,0)),"")="Revenue",IFERROR(INDEX(coa_Type,MATCH(F157,coa_Name,0)),"")="Other Income",IFERROR(INDEX(coa_Type,MATCH(F157,coa_Name,0)),"")="Equity"),"Account is not an expense or asset account",""))))))</f>
        <v/>
      </c>
      <c r="V157" s="67">
        <f>IF(AND(R157=0,T157=""),1,0)</f>
        <v/>
      </c>
      <c r="W157" s="67">
        <f>IF(V157=1,F157,"")</f>
        <v/>
      </c>
      <c r="X157" s="67">
        <f>IF(V157=1,acctAP,"")</f>
        <v/>
      </c>
      <c r="Y157" s="68">
        <f>IF(V157=1,G157-S157,0)</f>
        <v/>
      </c>
      <c r="Z157" s="68">
        <f>IF(V157=1,G157,0)</f>
        <v/>
      </c>
      <c r="AA157" s="68">
        <f>IF(V157=1,S157,0)</f>
        <v/>
      </c>
    </row>
    <row r="158">
      <c r="B158" s="62" t="n"/>
      <c r="C158" s="63" t="n"/>
      <c r="D158" s="62" t="n"/>
      <c r="E158" s="62" t="n"/>
      <c r="F158" s="62" t="n"/>
      <c r="G158" s="64" t="n"/>
      <c r="H158" s="64" t="n"/>
      <c r="I158" s="63" t="n"/>
      <c r="J158" s="29">
        <f>IF(V158=1,IF(ISNUMBER(I158),I158,C158+IF(ISNUMBER(IFERROR(INDEX(vend_Terms,MATCH(D158,vend_Name,0)),"")),INDEX(vend_Terms,MATCH(D158,vend_Name,0)),TermsDays)),"")</f>
        <v/>
      </c>
      <c r="K158" s="65">
        <f>IF(V158=1,SUMIFS(tx_CrAmt,tx_Type,"Bill Payment",tx_Ref,B158&amp;"",tx_Vend,D158,tx_Date,"&lt;="&amp;AsOf),"")</f>
        <v/>
      </c>
      <c r="L158" s="65">
        <f>IF(V158=1,IF(C158&gt;AsOf,0,ROUND(G158-K158,2)),"")</f>
        <v/>
      </c>
      <c r="M158" s="66">
        <f>IF(V158&lt;&gt;1,"",IF(C158&gt;AsOf,"Future",IF(L158&lt;0,"Overpaid",IF(L158=0,"Paid",IF(AsOf&gt;J158,"Overdue",IF(K158&gt;0,"Partial","Unpaid"))))))</f>
        <v/>
      </c>
      <c r="N158" s="28">
        <f>IF(AND(V158=1,N(L158)&gt;0),AsOf-C158,"")</f>
        <v/>
      </c>
      <c r="O158" s="28">
        <f>IF(N158="","",MAX(0,AsOf-J158))</f>
        <v/>
      </c>
      <c r="P158" s="66">
        <f>IF(O158="","",IF(O158=0,"Current",IF(O158&lt;=30,"1-30",IF(O158&lt;=60,"31-60",IF(O158&lt;=90,"61-90","90+")))))</f>
        <v/>
      </c>
      <c r="Q158" s="66">
        <f>IF(T158&lt;&gt;"","⛔ "&amp;T158&amp;" — not posted",IF(U158&lt;&gt;"","⚠ "&amp;U158,IF(V158=1,"✓ OK","")))</f>
        <v/>
      </c>
      <c r="R158" s="67">
        <f>IF(AND(B158="",C158="",D158="",G158="",F158=""),1,0)</f>
        <v/>
      </c>
      <c r="S158" s="68">
        <f>IF(AND(TaxOn="Yes",ISNUMBER(H158)),H158,0)</f>
        <v/>
      </c>
      <c r="T158" s="67">
        <f>IF(R158=1,"",IF(B158="","Enter a bill #",IF(D158="","Select a vendor",IF(C158="","Missing bill date",IF(NOT(ISNUMBER(C158)),"Invalid date",IF(OR(C158&lt;DATE(2000,1,1),C158&gt;DATE(2099,12,31)),"Invalid date",IF(F158="","Select an expense account",IF(ISNA(MATCH(F158,coa_Name,0)),"Unknown account: "&amp;F158,IF(NOT(ISNUMBER(G158)),"Enter an amount",IF(G158&lt;=0,"Amount must be positive",IF(S158&gt;G158,"Tax is larger than the amount","")))))))))))</f>
        <v/>
      </c>
      <c r="U158" s="67">
        <f>IF(OR(R158=1,T158&lt;&gt;""),"",IF(COUNTIFS(ap_No,B158,ap_Party,D158)&gt;1,"Duplicate bill #",IF(N(L158)&lt;0,"Overpaid by "&amp;TEXT(-L158,"#,##0.00"),IF(AND(ISNUMBER(H158),N(H158)&lt;&gt;0,S158=0),"Tax ignored (tax tracking is off)",IF(AND(ISNUMBER(StartDate),C158&lt;StartDate),"Date is before the accounting start date",IF(OR(IFERROR(INDEX(coa_Type,MATCH(F158,coa_Name,0)),"")="Revenue",IFERROR(INDEX(coa_Type,MATCH(F158,coa_Name,0)),"")="Other Income",IFERROR(INDEX(coa_Type,MATCH(F158,coa_Name,0)),"")="Equity"),"Account is not an expense or asset account",""))))))</f>
        <v/>
      </c>
      <c r="V158" s="67">
        <f>IF(AND(R158=0,T158=""),1,0)</f>
        <v/>
      </c>
      <c r="W158" s="67">
        <f>IF(V158=1,F158,"")</f>
        <v/>
      </c>
      <c r="X158" s="67">
        <f>IF(V158=1,acctAP,"")</f>
        <v/>
      </c>
      <c r="Y158" s="68">
        <f>IF(V158=1,G158-S158,0)</f>
        <v/>
      </c>
      <c r="Z158" s="68">
        <f>IF(V158=1,G158,0)</f>
        <v/>
      </c>
      <c r="AA158" s="68">
        <f>IF(V158=1,S158,0)</f>
        <v/>
      </c>
    </row>
    <row r="159">
      <c r="B159" s="62" t="n"/>
      <c r="C159" s="63" t="n"/>
      <c r="D159" s="62" t="n"/>
      <c r="E159" s="62" t="n"/>
      <c r="F159" s="62" t="n"/>
      <c r="G159" s="64" t="n"/>
      <c r="H159" s="64" t="n"/>
      <c r="I159" s="63" t="n"/>
      <c r="J159" s="29">
        <f>IF(V159=1,IF(ISNUMBER(I159),I159,C159+IF(ISNUMBER(IFERROR(INDEX(vend_Terms,MATCH(D159,vend_Name,0)),"")),INDEX(vend_Terms,MATCH(D159,vend_Name,0)),TermsDays)),"")</f>
        <v/>
      </c>
      <c r="K159" s="65">
        <f>IF(V159=1,SUMIFS(tx_CrAmt,tx_Type,"Bill Payment",tx_Ref,B159&amp;"",tx_Vend,D159,tx_Date,"&lt;="&amp;AsOf),"")</f>
        <v/>
      </c>
      <c r="L159" s="65">
        <f>IF(V159=1,IF(C159&gt;AsOf,0,ROUND(G159-K159,2)),"")</f>
        <v/>
      </c>
      <c r="M159" s="66">
        <f>IF(V159&lt;&gt;1,"",IF(C159&gt;AsOf,"Future",IF(L159&lt;0,"Overpaid",IF(L159=0,"Paid",IF(AsOf&gt;J159,"Overdue",IF(K159&gt;0,"Partial","Unpaid"))))))</f>
        <v/>
      </c>
      <c r="N159" s="28">
        <f>IF(AND(V159=1,N(L159)&gt;0),AsOf-C159,"")</f>
        <v/>
      </c>
      <c r="O159" s="28">
        <f>IF(N159="","",MAX(0,AsOf-J159))</f>
        <v/>
      </c>
      <c r="P159" s="66">
        <f>IF(O159="","",IF(O159=0,"Current",IF(O159&lt;=30,"1-30",IF(O159&lt;=60,"31-60",IF(O159&lt;=90,"61-90","90+")))))</f>
        <v/>
      </c>
      <c r="Q159" s="66">
        <f>IF(T159&lt;&gt;"","⛔ "&amp;T159&amp;" — not posted",IF(U159&lt;&gt;"","⚠ "&amp;U159,IF(V159=1,"✓ OK","")))</f>
        <v/>
      </c>
      <c r="R159" s="67">
        <f>IF(AND(B159="",C159="",D159="",G159="",F159=""),1,0)</f>
        <v/>
      </c>
      <c r="S159" s="68">
        <f>IF(AND(TaxOn="Yes",ISNUMBER(H159)),H159,0)</f>
        <v/>
      </c>
      <c r="T159" s="67">
        <f>IF(R159=1,"",IF(B159="","Enter a bill #",IF(D159="","Select a vendor",IF(C159="","Missing bill date",IF(NOT(ISNUMBER(C159)),"Invalid date",IF(OR(C159&lt;DATE(2000,1,1),C159&gt;DATE(2099,12,31)),"Invalid date",IF(F159="","Select an expense account",IF(ISNA(MATCH(F159,coa_Name,0)),"Unknown account: "&amp;F159,IF(NOT(ISNUMBER(G159)),"Enter an amount",IF(G159&lt;=0,"Amount must be positive",IF(S159&gt;G159,"Tax is larger than the amount","")))))))))))</f>
        <v/>
      </c>
      <c r="U159" s="67">
        <f>IF(OR(R159=1,T159&lt;&gt;""),"",IF(COUNTIFS(ap_No,B159,ap_Party,D159)&gt;1,"Duplicate bill #",IF(N(L159)&lt;0,"Overpaid by "&amp;TEXT(-L159,"#,##0.00"),IF(AND(ISNUMBER(H159),N(H159)&lt;&gt;0,S159=0),"Tax ignored (tax tracking is off)",IF(AND(ISNUMBER(StartDate),C159&lt;StartDate),"Date is before the accounting start date",IF(OR(IFERROR(INDEX(coa_Type,MATCH(F159,coa_Name,0)),"")="Revenue",IFERROR(INDEX(coa_Type,MATCH(F159,coa_Name,0)),"")="Other Income",IFERROR(INDEX(coa_Type,MATCH(F159,coa_Name,0)),"")="Equity"),"Account is not an expense or asset account",""))))))</f>
        <v/>
      </c>
      <c r="V159" s="67">
        <f>IF(AND(R159=0,T159=""),1,0)</f>
        <v/>
      </c>
      <c r="W159" s="67">
        <f>IF(V159=1,F159,"")</f>
        <v/>
      </c>
      <c r="X159" s="67">
        <f>IF(V159=1,acctAP,"")</f>
        <v/>
      </c>
      <c r="Y159" s="68">
        <f>IF(V159=1,G159-S159,0)</f>
        <v/>
      </c>
      <c r="Z159" s="68">
        <f>IF(V159=1,G159,0)</f>
        <v/>
      </c>
      <c r="AA159" s="68">
        <f>IF(V159=1,S159,0)</f>
        <v/>
      </c>
    </row>
    <row r="160">
      <c r="B160" s="62" t="n"/>
      <c r="C160" s="63" t="n"/>
      <c r="D160" s="62" t="n"/>
      <c r="E160" s="62" t="n"/>
      <c r="F160" s="62" t="n"/>
      <c r="G160" s="64" t="n"/>
      <c r="H160" s="64" t="n"/>
      <c r="I160" s="63" t="n"/>
      <c r="J160" s="29">
        <f>IF(V160=1,IF(ISNUMBER(I160),I160,C160+IF(ISNUMBER(IFERROR(INDEX(vend_Terms,MATCH(D160,vend_Name,0)),"")),INDEX(vend_Terms,MATCH(D160,vend_Name,0)),TermsDays)),"")</f>
        <v/>
      </c>
      <c r="K160" s="65">
        <f>IF(V160=1,SUMIFS(tx_CrAmt,tx_Type,"Bill Payment",tx_Ref,B160&amp;"",tx_Vend,D160,tx_Date,"&lt;="&amp;AsOf),"")</f>
        <v/>
      </c>
      <c r="L160" s="65">
        <f>IF(V160=1,IF(C160&gt;AsOf,0,ROUND(G160-K160,2)),"")</f>
        <v/>
      </c>
      <c r="M160" s="66">
        <f>IF(V160&lt;&gt;1,"",IF(C160&gt;AsOf,"Future",IF(L160&lt;0,"Overpaid",IF(L160=0,"Paid",IF(AsOf&gt;J160,"Overdue",IF(K160&gt;0,"Partial","Unpaid"))))))</f>
        <v/>
      </c>
      <c r="N160" s="28">
        <f>IF(AND(V160=1,N(L160)&gt;0),AsOf-C160,"")</f>
        <v/>
      </c>
      <c r="O160" s="28">
        <f>IF(N160="","",MAX(0,AsOf-J160))</f>
        <v/>
      </c>
      <c r="P160" s="66">
        <f>IF(O160="","",IF(O160=0,"Current",IF(O160&lt;=30,"1-30",IF(O160&lt;=60,"31-60",IF(O160&lt;=90,"61-90","90+")))))</f>
        <v/>
      </c>
      <c r="Q160" s="66">
        <f>IF(T160&lt;&gt;"","⛔ "&amp;T160&amp;" — not posted",IF(U160&lt;&gt;"","⚠ "&amp;U160,IF(V160=1,"✓ OK","")))</f>
        <v/>
      </c>
      <c r="R160" s="67">
        <f>IF(AND(B160="",C160="",D160="",G160="",F160=""),1,0)</f>
        <v/>
      </c>
      <c r="S160" s="68">
        <f>IF(AND(TaxOn="Yes",ISNUMBER(H160)),H160,0)</f>
        <v/>
      </c>
      <c r="T160" s="67">
        <f>IF(R160=1,"",IF(B160="","Enter a bill #",IF(D160="","Select a vendor",IF(C160="","Missing bill date",IF(NOT(ISNUMBER(C160)),"Invalid date",IF(OR(C160&lt;DATE(2000,1,1),C160&gt;DATE(2099,12,31)),"Invalid date",IF(F160="","Select an expense account",IF(ISNA(MATCH(F160,coa_Name,0)),"Unknown account: "&amp;F160,IF(NOT(ISNUMBER(G160)),"Enter an amount",IF(G160&lt;=0,"Amount must be positive",IF(S160&gt;G160,"Tax is larger than the amount","")))))))))))</f>
        <v/>
      </c>
      <c r="U160" s="67">
        <f>IF(OR(R160=1,T160&lt;&gt;""),"",IF(COUNTIFS(ap_No,B160,ap_Party,D160)&gt;1,"Duplicate bill #",IF(N(L160)&lt;0,"Overpaid by "&amp;TEXT(-L160,"#,##0.00"),IF(AND(ISNUMBER(H160),N(H160)&lt;&gt;0,S160=0),"Tax ignored (tax tracking is off)",IF(AND(ISNUMBER(StartDate),C160&lt;StartDate),"Date is before the accounting start date",IF(OR(IFERROR(INDEX(coa_Type,MATCH(F160,coa_Name,0)),"")="Revenue",IFERROR(INDEX(coa_Type,MATCH(F160,coa_Name,0)),"")="Other Income",IFERROR(INDEX(coa_Type,MATCH(F160,coa_Name,0)),"")="Equity"),"Account is not an expense or asset account",""))))))</f>
        <v/>
      </c>
      <c r="V160" s="67">
        <f>IF(AND(R160=0,T160=""),1,0)</f>
        <v/>
      </c>
      <c r="W160" s="67">
        <f>IF(V160=1,F160,"")</f>
        <v/>
      </c>
      <c r="X160" s="67">
        <f>IF(V160=1,acctAP,"")</f>
        <v/>
      </c>
      <c r="Y160" s="68">
        <f>IF(V160=1,G160-S160,0)</f>
        <v/>
      </c>
      <c r="Z160" s="68">
        <f>IF(V160=1,G160,0)</f>
        <v/>
      </c>
      <c r="AA160" s="68">
        <f>IF(V160=1,S160,0)</f>
        <v/>
      </c>
    </row>
    <row r="161">
      <c r="B161" s="62" t="n"/>
      <c r="C161" s="63" t="n"/>
      <c r="D161" s="62" t="n"/>
      <c r="E161" s="62" t="n"/>
      <c r="F161" s="62" t="n"/>
      <c r="G161" s="64" t="n"/>
      <c r="H161" s="64" t="n"/>
      <c r="I161" s="63" t="n"/>
      <c r="J161" s="29">
        <f>IF(V161=1,IF(ISNUMBER(I161),I161,C161+IF(ISNUMBER(IFERROR(INDEX(vend_Terms,MATCH(D161,vend_Name,0)),"")),INDEX(vend_Terms,MATCH(D161,vend_Name,0)),TermsDays)),"")</f>
        <v/>
      </c>
      <c r="K161" s="65">
        <f>IF(V161=1,SUMIFS(tx_CrAmt,tx_Type,"Bill Payment",tx_Ref,B161&amp;"",tx_Vend,D161,tx_Date,"&lt;="&amp;AsOf),"")</f>
        <v/>
      </c>
      <c r="L161" s="65">
        <f>IF(V161=1,IF(C161&gt;AsOf,0,ROUND(G161-K161,2)),"")</f>
        <v/>
      </c>
      <c r="M161" s="66">
        <f>IF(V161&lt;&gt;1,"",IF(C161&gt;AsOf,"Future",IF(L161&lt;0,"Overpaid",IF(L161=0,"Paid",IF(AsOf&gt;J161,"Overdue",IF(K161&gt;0,"Partial","Unpaid"))))))</f>
        <v/>
      </c>
      <c r="N161" s="28">
        <f>IF(AND(V161=1,N(L161)&gt;0),AsOf-C161,"")</f>
        <v/>
      </c>
      <c r="O161" s="28">
        <f>IF(N161="","",MAX(0,AsOf-J161))</f>
        <v/>
      </c>
      <c r="P161" s="66">
        <f>IF(O161="","",IF(O161=0,"Current",IF(O161&lt;=30,"1-30",IF(O161&lt;=60,"31-60",IF(O161&lt;=90,"61-90","90+")))))</f>
        <v/>
      </c>
      <c r="Q161" s="66">
        <f>IF(T161&lt;&gt;"","⛔ "&amp;T161&amp;" — not posted",IF(U161&lt;&gt;"","⚠ "&amp;U161,IF(V161=1,"✓ OK","")))</f>
        <v/>
      </c>
      <c r="R161" s="67">
        <f>IF(AND(B161="",C161="",D161="",G161="",F161=""),1,0)</f>
        <v/>
      </c>
      <c r="S161" s="68">
        <f>IF(AND(TaxOn="Yes",ISNUMBER(H161)),H161,0)</f>
        <v/>
      </c>
      <c r="T161" s="67">
        <f>IF(R161=1,"",IF(B161="","Enter a bill #",IF(D161="","Select a vendor",IF(C161="","Missing bill date",IF(NOT(ISNUMBER(C161)),"Invalid date",IF(OR(C161&lt;DATE(2000,1,1),C161&gt;DATE(2099,12,31)),"Invalid date",IF(F161="","Select an expense account",IF(ISNA(MATCH(F161,coa_Name,0)),"Unknown account: "&amp;F161,IF(NOT(ISNUMBER(G161)),"Enter an amount",IF(G161&lt;=0,"Amount must be positive",IF(S161&gt;G161,"Tax is larger than the amount","")))))))))))</f>
        <v/>
      </c>
      <c r="U161" s="67">
        <f>IF(OR(R161=1,T161&lt;&gt;""),"",IF(COUNTIFS(ap_No,B161,ap_Party,D161)&gt;1,"Duplicate bill #",IF(N(L161)&lt;0,"Overpaid by "&amp;TEXT(-L161,"#,##0.00"),IF(AND(ISNUMBER(H161),N(H161)&lt;&gt;0,S161=0),"Tax ignored (tax tracking is off)",IF(AND(ISNUMBER(StartDate),C161&lt;StartDate),"Date is before the accounting start date",IF(OR(IFERROR(INDEX(coa_Type,MATCH(F161,coa_Name,0)),"")="Revenue",IFERROR(INDEX(coa_Type,MATCH(F161,coa_Name,0)),"")="Other Income",IFERROR(INDEX(coa_Type,MATCH(F161,coa_Name,0)),"")="Equity"),"Account is not an expense or asset account",""))))))</f>
        <v/>
      </c>
      <c r="V161" s="67">
        <f>IF(AND(R161=0,T161=""),1,0)</f>
        <v/>
      </c>
      <c r="W161" s="67">
        <f>IF(V161=1,F161,"")</f>
        <v/>
      </c>
      <c r="X161" s="67">
        <f>IF(V161=1,acctAP,"")</f>
        <v/>
      </c>
      <c r="Y161" s="68">
        <f>IF(V161=1,G161-S161,0)</f>
        <v/>
      </c>
      <c r="Z161" s="68">
        <f>IF(V161=1,G161,0)</f>
        <v/>
      </c>
      <c r="AA161" s="68">
        <f>IF(V161=1,S161,0)</f>
        <v/>
      </c>
    </row>
    <row r="162">
      <c r="B162" s="62" t="n"/>
      <c r="C162" s="63" t="n"/>
      <c r="D162" s="62" t="n"/>
      <c r="E162" s="62" t="n"/>
      <c r="F162" s="62" t="n"/>
      <c r="G162" s="64" t="n"/>
      <c r="H162" s="64" t="n"/>
      <c r="I162" s="63" t="n"/>
      <c r="J162" s="29">
        <f>IF(V162=1,IF(ISNUMBER(I162),I162,C162+IF(ISNUMBER(IFERROR(INDEX(vend_Terms,MATCH(D162,vend_Name,0)),"")),INDEX(vend_Terms,MATCH(D162,vend_Name,0)),TermsDays)),"")</f>
        <v/>
      </c>
      <c r="K162" s="65">
        <f>IF(V162=1,SUMIFS(tx_CrAmt,tx_Type,"Bill Payment",tx_Ref,B162&amp;"",tx_Vend,D162,tx_Date,"&lt;="&amp;AsOf),"")</f>
        <v/>
      </c>
      <c r="L162" s="65">
        <f>IF(V162=1,IF(C162&gt;AsOf,0,ROUND(G162-K162,2)),"")</f>
        <v/>
      </c>
      <c r="M162" s="66">
        <f>IF(V162&lt;&gt;1,"",IF(C162&gt;AsOf,"Future",IF(L162&lt;0,"Overpaid",IF(L162=0,"Paid",IF(AsOf&gt;J162,"Overdue",IF(K162&gt;0,"Partial","Unpaid"))))))</f>
        <v/>
      </c>
      <c r="N162" s="28">
        <f>IF(AND(V162=1,N(L162)&gt;0),AsOf-C162,"")</f>
        <v/>
      </c>
      <c r="O162" s="28">
        <f>IF(N162="","",MAX(0,AsOf-J162))</f>
        <v/>
      </c>
      <c r="P162" s="66">
        <f>IF(O162="","",IF(O162=0,"Current",IF(O162&lt;=30,"1-30",IF(O162&lt;=60,"31-60",IF(O162&lt;=90,"61-90","90+")))))</f>
        <v/>
      </c>
      <c r="Q162" s="66">
        <f>IF(T162&lt;&gt;"","⛔ "&amp;T162&amp;" — not posted",IF(U162&lt;&gt;"","⚠ "&amp;U162,IF(V162=1,"✓ OK","")))</f>
        <v/>
      </c>
      <c r="R162" s="67">
        <f>IF(AND(B162="",C162="",D162="",G162="",F162=""),1,0)</f>
        <v/>
      </c>
      <c r="S162" s="68">
        <f>IF(AND(TaxOn="Yes",ISNUMBER(H162)),H162,0)</f>
        <v/>
      </c>
      <c r="T162" s="67">
        <f>IF(R162=1,"",IF(B162="","Enter a bill #",IF(D162="","Select a vendor",IF(C162="","Missing bill date",IF(NOT(ISNUMBER(C162)),"Invalid date",IF(OR(C162&lt;DATE(2000,1,1),C162&gt;DATE(2099,12,31)),"Invalid date",IF(F162="","Select an expense account",IF(ISNA(MATCH(F162,coa_Name,0)),"Unknown account: "&amp;F162,IF(NOT(ISNUMBER(G162)),"Enter an amount",IF(G162&lt;=0,"Amount must be positive",IF(S162&gt;G162,"Tax is larger than the amount","")))))))))))</f>
        <v/>
      </c>
      <c r="U162" s="67">
        <f>IF(OR(R162=1,T162&lt;&gt;""),"",IF(COUNTIFS(ap_No,B162,ap_Party,D162)&gt;1,"Duplicate bill #",IF(N(L162)&lt;0,"Overpaid by "&amp;TEXT(-L162,"#,##0.00"),IF(AND(ISNUMBER(H162),N(H162)&lt;&gt;0,S162=0),"Tax ignored (tax tracking is off)",IF(AND(ISNUMBER(StartDate),C162&lt;StartDate),"Date is before the accounting start date",IF(OR(IFERROR(INDEX(coa_Type,MATCH(F162,coa_Name,0)),"")="Revenue",IFERROR(INDEX(coa_Type,MATCH(F162,coa_Name,0)),"")="Other Income",IFERROR(INDEX(coa_Type,MATCH(F162,coa_Name,0)),"")="Equity"),"Account is not an expense or asset account",""))))))</f>
        <v/>
      </c>
      <c r="V162" s="67">
        <f>IF(AND(R162=0,T162=""),1,0)</f>
        <v/>
      </c>
      <c r="W162" s="67">
        <f>IF(V162=1,F162,"")</f>
        <v/>
      </c>
      <c r="X162" s="67">
        <f>IF(V162=1,acctAP,"")</f>
        <v/>
      </c>
      <c r="Y162" s="68">
        <f>IF(V162=1,G162-S162,0)</f>
        <v/>
      </c>
      <c r="Z162" s="68">
        <f>IF(V162=1,G162,0)</f>
        <v/>
      </c>
      <c r="AA162" s="68">
        <f>IF(V162=1,S162,0)</f>
        <v/>
      </c>
    </row>
    <row r="163">
      <c r="B163" s="62" t="n"/>
      <c r="C163" s="63" t="n"/>
      <c r="D163" s="62" t="n"/>
      <c r="E163" s="62" t="n"/>
      <c r="F163" s="62" t="n"/>
      <c r="G163" s="64" t="n"/>
      <c r="H163" s="64" t="n"/>
      <c r="I163" s="63" t="n"/>
      <c r="J163" s="29">
        <f>IF(V163=1,IF(ISNUMBER(I163),I163,C163+IF(ISNUMBER(IFERROR(INDEX(vend_Terms,MATCH(D163,vend_Name,0)),"")),INDEX(vend_Terms,MATCH(D163,vend_Name,0)),TermsDays)),"")</f>
        <v/>
      </c>
      <c r="K163" s="65">
        <f>IF(V163=1,SUMIFS(tx_CrAmt,tx_Type,"Bill Payment",tx_Ref,B163&amp;"",tx_Vend,D163,tx_Date,"&lt;="&amp;AsOf),"")</f>
        <v/>
      </c>
      <c r="L163" s="65">
        <f>IF(V163=1,IF(C163&gt;AsOf,0,ROUND(G163-K163,2)),"")</f>
        <v/>
      </c>
      <c r="M163" s="66">
        <f>IF(V163&lt;&gt;1,"",IF(C163&gt;AsOf,"Future",IF(L163&lt;0,"Overpaid",IF(L163=0,"Paid",IF(AsOf&gt;J163,"Overdue",IF(K163&gt;0,"Partial","Unpaid"))))))</f>
        <v/>
      </c>
      <c r="N163" s="28">
        <f>IF(AND(V163=1,N(L163)&gt;0),AsOf-C163,"")</f>
        <v/>
      </c>
      <c r="O163" s="28">
        <f>IF(N163="","",MAX(0,AsOf-J163))</f>
        <v/>
      </c>
      <c r="P163" s="66">
        <f>IF(O163="","",IF(O163=0,"Current",IF(O163&lt;=30,"1-30",IF(O163&lt;=60,"31-60",IF(O163&lt;=90,"61-90","90+")))))</f>
        <v/>
      </c>
      <c r="Q163" s="66">
        <f>IF(T163&lt;&gt;"","⛔ "&amp;T163&amp;" — not posted",IF(U163&lt;&gt;"","⚠ "&amp;U163,IF(V163=1,"✓ OK","")))</f>
        <v/>
      </c>
      <c r="R163" s="67">
        <f>IF(AND(B163="",C163="",D163="",G163="",F163=""),1,0)</f>
        <v/>
      </c>
      <c r="S163" s="68">
        <f>IF(AND(TaxOn="Yes",ISNUMBER(H163)),H163,0)</f>
        <v/>
      </c>
      <c r="T163" s="67">
        <f>IF(R163=1,"",IF(B163="","Enter a bill #",IF(D163="","Select a vendor",IF(C163="","Missing bill date",IF(NOT(ISNUMBER(C163)),"Invalid date",IF(OR(C163&lt;DATE(2000,1,1),C163&gt;DATE(2099,12,31)),"Invalid date",IF(F163="","Select an expense account",IF(ISNA(MATCH(F163,coa_Name,0)),"Unknown account: "&amp;F163,IF(NOT(ISNUMBER(G163)),"Enter an amount",IF(G163&lt;=0,"Amount must be positive",IF(S163&gt;G163,"Tax is larger than the amount","")))))))))))</f>
        <v/>
      </c>
      <c r="U163" s="67">
        <f>IF(OR(R163=1,T163&lt;&gt;""),"",IF(COUNTIFS(ap_No,B163,ap_Party,D163)&gt;1,"Duplicate bill #",IF(N(L163)&lt;0,"Overpaid by "&amp;TEXT(-L163,"#,##0.00"),IF(AND(ISNUMBER(H163),N(H163)&lt;&gt;0,S163=0),"Tax ignored (tax tracking is off)",IF(AND(ISNUMBER(StartDate),C163&lt;StartDate),"Date is before the accounting start date",IF(OR(IFERROR(INDEX(coa_Type,MATCH(F163,coa_Name,0)),"")="Revenue",IFERROR(INDEX(coa_Type,MATCH(F163,coa_Name,0)),"")="Other Income",IFERROR(INDEX(coa_Type,MATCH(F163,coa_Name,0)),"")="Equity"),"Account is not an expense or asset account",""))))))</f>
        <v/>
      </c>
      <c r="V163" s="67">
        <f>IF(AND(R163=0,T163=""),1,0)</f>
        <v/>
      </c>
      <c r="W163" s="67">
        <f>IF(V163=1,F163,"")</f>
        <v/>
      </c>
      <c r="X163" s="67">
        <f>IF(V163=1,acctAP,"")</f>
        <v/>
      </c>
      <c r="Y163" s="68">
        <f>IF(V163=1,G163-S163,0)</f>
        <v/>
      </c>
      <c r="Z163" s="68">
        <f>IF(V163=1,G163,0)</f>
        <v/>
      </c>
      <c r="AA163" s="68">
        <f>IF(V163=1,S163,0)</f>
        <v/>
      </c>
    </row>
    <row r="164">
      <c r="B164" s="62" t="n"/>
      <c r="C164" s="63" t="n"/>
      <c r="D164" s="62" t="n"/>
      <c r="E164" s="62" t="n"/>
      <c r="F164" s="62" t="n"/>
      <c r="G164" s="64" t="n"/>
      <c r="H164" s="64" t="n"/>
      <c r="I164" s="63" t="n"/>
      <c r="J164" s="29">
        <f>IF(V164=1,IF(ISNUMBER(I164),I164,C164+IF(ISNUMBER(IFERROR(INDEX(vend_Terms,MATCH(D164,vend_Name,0)),"")),INDEX(vend_Terms,MATCH(D164,vend_Name,0)),TermsDays)),"")</f>
        <v/>
      </c>
      <c r="K164" s="65">
        <f>IF(V164=1,SUMIFS(tx_CrAmt,tx_Type,"Bill Payment",tx_Ref,B164&amp;"",tx_Vend,D164,tx_Date,"&lt;="&amp;AsOf),"")</f>
        <v/>
      </c>
      <c r="L164" s="65">
        <f>IF(V164=1,IF(C164&gt;AsOf,0,ROUND(G164-K164,2)),"")</f>
        <v/>
      </c>
      <c r="M164" s="66">
        <f>IF(V164&lt;&gt;1,"",IF(C164&gt;AsOf,"Future",IF(L164&lt;0,"Overpaid",IF(L164=0,"Paid",IF(AsOf&gt;J164,"Overdue",IF(K164&gt;0,"Partial","Unpaid"))))))</f>
        <v/>
      </c>
      <c r="N164" s="28">
        <f>IF(AND(V164=1,N(L164)&gt;0),AsOf-C164,"")</f>
        <v/>
      </c>
      <c r="O164" s="28">
        <f>IF(N164="","",MAX(0,AsOf-J164))</f>
        <v/>
      </c>
      <c r="P164" s="66">
        <f>IF(O164="","",IF(O164=0,"Current",IF(O164&lt;=30,"1-30",IF(O164&lt;=60,"31-60",IF(O164&lt;=90,"61-90","90+")))))</f>
        <v/>
      </c>
      <c r="Q164" s="66">
        <f>IF(T164&lt;&gt;"","⛔ "&amp;T164&amp;" — not posted",IF(U164&lt;&gt;"","⚠ "&amp;U164,IF(V164=1,"✓ OK","")))</f>
        <v/>
      </c>
      <c r="R164" s="67">
        <f>IF(AND(B164="",C164="",D164="",G164="",F164=""),1,0)</f>
        <v/>
      </c>
      <c r="S164" s="68">
        <f>IF(AND(TaxOn="Yes",ISNUMBER(H164)),H164,0)</f>
        <v/>
      </c>
      <c r="T164" s="67">
        <f>IF(R164=1,"",IF(B164="","Enter a bill #",IF(D164="","Select a vendor",IF(C164="","Missing bill date",IF(NOT(ISNUMBER(C164)),"Invalid date",IF(OR(C164&lt;DATE(2000,1,1),C164&gt;DATE(2099,12,31)),"Invalid date",IF(F164="","Select an expense account",IF(ISNA(MATCH(F164,coa_Name,0)),"Unknown account: "&amp;F164,IF(NOT(ISNUMBER(G164)),"Enter an amount",IF(G164&lt;=0,"Amount must be positive",IF(S164&gt;G164,"Tax is larger than the amount","")))))))))))</f>
        <v/>
      </c>
      <c r="U164" s="67">
        <f>IF(OR(R164=1,T164&lt;&gt;""),"",IF(COUNTIFS(ap_No,B164,ap_Party,D164)&gt;1,"Duplicate bill #",IF(N(L164)&lt;0,"Overpaid by "&amp;TEXT(-L164,"#,##0.00"),IF(AND(ISNUMBER(H164),N(H164)&lt;&gt;0,S164=0),"Tax ignored (tax tracking is off)",IF(AND(ISNUMBER(StartDate),C164&lt;StartDate),"Date is before the accounting start date",IF(OR(IFERROR(INDEX(coa_Type,MATCH(F164,coa_Name,0)),"")="Revenue",IFERROR(INDEX(coa_Type,MATCH(F164,coa_Name,0)),"")="Other Income",IFERROR(INDEX(coa_Type,MATCH(F164,coa_Name,0)),"")="Equity"),"Account is not an expense or asset account",""))))))</f>
        <v/>
      </c>
      <c r="V164" s="67">
        <f>IF(AND(R164=0,T164=""),1,0)</f>
        <v/>
      </c>
      <c r="W164" s="67">
        <f>IF(V164=1,F164,"")</f>
        <v/>
      </c>
      <c r="X164" s="67">
        <f>IF(V164=1,acctAP,"")</f>
        <v/>
      </c>
      <c r="Y164" s="68">
        <f>IF(V164=1,G164-S164,0)</f>
        <v/>
      </c>
      <c r="Z164" s="68">
        <f>IF(V164=1,G164,0)</f>
        <v/>
      </c>
      <c r="AA164" s="68">
        <f>IF(V164=1,S164,0)</f>
        <v/>
      </c>
    </row>
    <row r="165">
      <c r="B165" s="62" t="n"/>
      <c r="C165" s="63" t="n"/>
      <c r="D165" s="62" t="n"/>
      <c r="E165" s="62" t="n"/>
      <c r="F165" s="62" t="n"/>
      <c r="G165" s="64" t="n"/>
      <c r="H165" s="64" t="n"/>
      <c r="I165" s="63" t="n"/>
      <c r="J165" s="29">
        <f>IF(V165=1,IF(ISNUMBER(I165),I165,C165+IF(ISNUMBER(IFERROR(INDEX(vend_Terms,MATCH(D165,vend_Name,0)),"")),INDEX(vend_Terms,MATCH(D165,vend_Name,0)),TermsDays)),"")</f>
        <v/>
      </c>
      <c r="K165" s="65">
        <f>IF(V165=1,SUMIFS(tx_CrAmt,tx_Type,"Bill Payment",tx_Ref,B165&amp;"",tx_Vend,D165,tx_Date,"&lt;="&amp;AsOf),"")</f>
        <v/>
      </c>
      <c r="L165" s="65">
        <f>IF(V165=1,IF(C165&gt;AsOf,0,ROUND(G165-K165,2)),"")</f>
        <v/>
      </c>
      <c r="M165" s="66">
        <f>IF(V165&lt;&gt;1,"",IF(C165&gt;AsOf,"Future",IF(L165&lt;0,"Overpaid",IF(L165=0,"Paid",IF(AsOf&gt;J165,"Overdue",IF(K165&gt;0,"Partial","Unpaid"))))))</f>
        <v/>
      </c>
      <c r="N165" s="28">
        <f>IF(AND(V165=1,N(L165)&gt;0),AsOf-C165,"")</f>
        <v/>
      </c>
      <c r="O165" s="28">
        <f>IF(N165="","",MAX(0,AsOf-J165))</f>
        <v/>
      </c>
      <c r="P165" s="66">
        <f>IF(O165="","",IF(O165=0,"Current",IF(O165&lt;=30,"1-30",IF(O165&lt;=60,"31-60",IF(O165&lt;=90,"61-90","90+")))))</f>
        <v/>
      </c>
      <c r="Q165" s="66">
        <f>IF(T165&lt;&gt;"","⛔ "&amp;T165&amp;" — not posted",IF(U165&lt;&gt;"","⚠ "&amp;U165,IF(V165=1,"✓ OK","")))</f>
        <v/>
      </c>
      <c r="R165" s="67">
        <f>IF(AND(B165="",C165="",D165="",G165="",F165=""),1,0)</f>
        <v/>
      </c>
      <c r="S165" s="68">
        <f>IF(AND(TaxOn="Yes",ISNUMBER(H165)),H165,0)</f>
        <v/>
      </c>
      <c r="T165" s="67">
        <f>IF(R165=1,"",IF(B165="","Enter a bill #",IF(D165="","Select a vendor",IF(C165="","Missing bill date",IF(NOT(ISNUMBER(C165)),"Invalid date",IF(OR(C165&lt;DATE(2000,1,1),C165&gt;DATE(2099,12,31)),"Invalid date",IF(F165="","Select an expense account",IF(ISNA(MATCH(F165,coa_Name,0)),"Unknown account: "&amp;F165,IF(NOT(ISNUMBER(G165)),"Enter an amount",IF(G165&lt;=0,"Amount must be positive",IF(S165&gt;G165,"Tax is larger than the amount","")))))))))))</f>
        <v/>
      </c>
      <c r="U165" s="67">
        <f>IF(OR(R165=1,T165&lt;&gt;""),"",IF(COUNTIFS(ap_No,B165,ap_Party,D165)&gt;1,"Duplicate bill #",IF(N(L165)&lt;0,"Overpaid by "&amp;TEXT(-L165,"#,##0.00"),IF(AND(ISNUMBER(H165),N(H165)&lt;&gt;0,S165=0),"Tax ignored (tax tracking is off)",IF(AND(ISNUMBER(StartDate),C165&lt;StartDate),"Date is before the accounting start date",IF(OR(IFERROR(INDEX(coa_Type,MATCH(F165,coa_Name,0)),"")="Revenue",IFERROR(INDEX(coa_Type,MATCH(F165,coa_Name,0)),"")="Other Income",IFERROR(INDEX(coa_Type,MATCH(F165,coa_Name,0)),"")="Equity"),"Account is not an expense or asset account",""))))))</f>
        <v/>
      </c>
      <c r="V165" s="67">
        <f>IF(AND(R165=0,T165=""),1,0)</f>
        <v/>
      </c>
      <c r="W165" s="67">
        <f>IF(V165=1,F165,"")</f>
        <v/>
      </c>
      <c r="X165" s="67">
        <f>IF(V165=1,acctAP,"")</f>
        <v/>
      </c>
      <c r="Y165" s="68">
        <f>IF(V165=1,G165-S165,0)</f>
        <v/>
      </c>
      <c r="Z165" s="68">
        <f>IF(V165=1,G165,0)</f>
        <v/>
      </c>
      <c r="AA165" s="68">
        <f>IF(V165=1,S165,0)</f>
        <v/>
      </c>
    </row>
    <row r="166">
      <c r="B166" s="62" t="n"/>
      <c r="C166" s="63" t="n"/>
      <c r="D166" s="62" t="n"/>
      <c r="E166" s="62" t="n"/>
      <c r="F166" s="62" t="n"/>
      <c r="G166" s="64" t="n"/>
      <c r="H166" s="64" t="n"/>
      <c r="I166" s="63" t="n"/>
      <c r="J166" s="29">
        <f>IF(V166=1,IF(ISNUMBER(I166),I166,C166+IF(ISNUMBER(IFERROR(INDEX(vend_Terms,MATCH(D166,vend_Name,0)),"")),INDEX(vend_Terms,MATCH(D166,vend_Name,0)),TermsDays)),"")</f>
        <v/>
      </c>
      <c r="K166" s="65">
        <f>IF(V166=1,SUMIFS(tx_CrAmt,tx_Type,"Bill Payment",tx_Ref,B166&amp;"",tx_Vend,D166,tx_Date,"&lt;="&amp;AsOf),"")</f>
        <v/>
      </c>
      <c r="L166" s="65">
        <f>IF(V166=1,IF(C166&gt;AsOf,0,ROUND(G166-K166,2)),"")</f>
        <v/>
      </c>
      <c r="M166" s="66">
        <f>IF(V166&lt;&gt;1,"",IF(C166&gt;AsOf,"Future",IF(L166&lt;0,"Overpaid",IF(L166=0,"Paid",IF(AsOf&gt;J166,"Overdue",IF(K166&gt;0,"Partial","Unpaid"))))))</f>
        <v/>
      </c>
      <c r="N166" s="28">
        <f>IF(AND(V166=1,N(L166)&gt;0),AsOf-C166,"")</f>
        <v/>
      </c>
      <c r="O166" s="28">
        <f>IF(N166="","",MAX(0,AsOf-J166))</f>
        <v/>
      </c>
      <c r="P166" s="66">
        <f>IF(O166="","",IF(O166=0,"Current",IF(O166&lt;=30,"1-30",IF(O166&lt;=60,"31-60",IF(O166&lt;=90,"61-90","90+")))))</f>
        <v/>
      </c>
      <c r="Q166" s="66">
        <f>IF(T166&lt;&gt;"","⛔ "&amp;T166&amp;" — not posted",IF(U166&lt;&gt;"","⚠ "&amp;U166,IF(V166=1,"✓ OK","")))</f>
        <v/>
      </c>
      <c r="R166" s="67">
        <f>IF(AND(B166="",C166="",D166="",G166="",F166=""),1,0)</f>
        <v/>
      </c>
      <c r="S166" s="68">
        <f>IF(AND(TaxOn="Yes",ISNUMBER(H166)),H166,0)</f>
        <v/>
      </c>
      <c r="T166" s="67">
        <f>IF(R166=1,"",IF(B166="","Enter a bill #",IF(D166="","Select a vendor",IF(C166="","Missing bill date",IF(NOT(ISNUMBER(C166)),"Invalid date",IF(OR(C166&lt;DATE(2000,1,1),C166&gt;DATE(2099,12,31)),"Invalid date",IF(F166="","Select an expense account",IF(ISNA(MATCH(F166,coa_Name,0)),"Unknown account: "&amp;F166,IF(NOT(ISNUMBER(G166)),"Enter an amount",IF(G166&lt;=0,"Amount must be positive",IF(S166&gt;G166,"Tax is larger than the amount","")))))))))))</f>
        <v/>
      </c>
      <c r="U166" s="67">
        <f>IF(OR(R166=1,T166&lt;&gt;""),"",IF(COUNTIFS(ap_No,B166,ap_Party,D166)&gt;1,"Duplicate bill #",IF(N(L166)&lt;0,"Overpaid by "&amp;TEXT(-L166,"#,##0.00"),IF(AND(ISNUMBER(H166),N(H166)&lt;&gt;0,S166=0),"Tax ignored (tax tracking is off)",IF(AND(ISNUMBER(StartDate),C166&lt;StartDate),"Date is before the accounting start date",IF(OR(IFERROR(INDEX(coa_Type,MATCH(F166,coa_Name,0)),"")="Revenue",IFERROR(INDEX(coa_Type,MATCH(F166,coa_Name,0)),"")="Other Income",IFERROR(INDEX(coa_Type,MATCH(F166,coa_Name,0)),"")="Equity"),"Account is not an expense or asset account",""))))))</f>
        <v/>
      </c>
      <c r="V166" s="67">
        <f>IF(AND(R166=0,T166=""),1,0)</f>
        <v/>
      </c>
      <c r="W166" s="67">
        <f>IF(V166=1,F166,"")</f>
        <v/>
      </c>
      <c r="X166" s="67">
        <f>IF(V166=1,acctAP,"")</f>
        <v/>
      </c>
      <c r="Y166" s="68">
        <f>IF(V166=1,G166-S166,0)</f>
        <v/>
      </c>
      <c r="Z166" s="68">
        <f>IF(V166=1,G166,0)</f>
        <v/>
      </c>
      <c r="AA166" s="68">
        <f>IF(V166=1,S166,0)</f>
        <v/>
      </c>
    </row>
    <row r="167">
      <c r="B167" s="62" t="n"/>
      <c r="C167" s="63" t="n"/>
      <c r="D167" s="62" t="n"/>
      <c r="E167" s="62" t="n"/>
      <c r="F167" s="62" t="n"/>
      <c r="G167" s="64" t="n"/>
      <c r="H167" s="64" t="n"/>
      <c r="I167" s="63" t="n"/>
      <c r="J167" s="29">
        <f>IF(V167=1,IF(ISNUMBER(I167),I167,C167+IF(ISNUMBER(IFERROR(INDEX(vend_Terms,MATCH(D167,vend_Name,0)),"")),INDEX(vend_Terms,MATCH(D167,vend_Name,0)),TermsDays)),"")</f>
        <v/>
      </c>
      <c r="K167" s="65">
        <f>IF(V167=1,SUMIFS(tx_CrAmt,tx_Type,"Bill Payment",tx_Ref,B167&amp;"",tx_Vend,D167,tx_Date,"&lt;="&amp;AsOf),"")</f>
        <v/>
      </c>
      <c r="L167" s="65">
        <f>IF(V167=1,IF(C167&gt;AsOf,0,ROUND(G167-K167,2)),"")</f>
        <v/>
      </c>
      <c r="M167" s="66">
        <f>IF(V167&lt;&gt;1,"",IF(C167&gt;AsOf,"Future",IF(L167&lt;0,"Overpaid",IF(L167=0,"Paid",IF(AsOf&gt;J167,"Overdue",IF(K167&gt;0,"Partial","Unpaid"))))))</f>
        <v/>
      </c>
      <c r="N167" s="28">
        <f>IF(AND(V167=1,N(L167)&gt;0),AsOf-C167,"")</f>
        <v/>
      </c>
      <c r="O167" s="28">
        <f>IF(N167="","",MAX(0,AsOf-J167))</f>
        <v/>
      </c>
      <c r="P167" s="66">
        <f>IF(O167="","",IF(O167=0,"Current",IF(O167&lt;=30,"1-30",IF(O167&lt;=60,"31-60",IF(O167&lt;=90,"61-90","90+")))))</f>
        <v/>
      </c>
      <c r="Q167" s="66">
        <f>IF(T167&lt;&gt;"","⛔ "&amp;T167&amp;" — not posted",IF(U167&lt;&gt;"","⚠ "&amp;U167,IF(V167=1,"✓ OK","")))</f>
        <v/>
      </c>
      <c r="R167" s="67">
        <f>IF(AND(B167="",C167="",D167="",G167="",F167=""),1,0)</f>
        <v/>
      </c>
      <c r="S167" s="68">
        <f>IF(AND(TaxOn="Yes",ISNUMBER(H167)),H167,0)</f>
        <v/>
      </c>
      <c r="T167" s="67">
        <f>IF(R167=1,"",IF(B167="","Enter a bill #",IF(D167="","Select a vendor",IF(C167="","Missing bill date",IF(NOT(ISNUMBER(C167)),"Invalid date",IF(OR(C167&lt;DATE(2000,1,1),C167&gt;DATE(2099,12,31)),"Invalid date",IF(F167="","Select an expense account",IF(ISNA(MATCH(F167,coa_Name,0)),"Unknown account: "&amp;F167,IF(NOT(ISNUMBER(G167)),"Enter an amount",IF(G167&lt;=0,"Amount must be positive",IF(S167&gt;G167,"Tax is larger than the amount","")))))))))))</f>
        <v/>
      </c>
      <c r="U167" s="67">
        <f>IF(OR(R167=1,T167&lt;&gt;""),"",IF(COUNTIFS(ap_No,B167,ap_Party,D167)&gt;1,"Duplicate bill #",IF(N(L167)&lt;0,"Overpaid by "&amp;TEXT(-L167,"#,##0.00"),IF(AND(ISNUMBER(H167),N(H167)&lt;&gt;0,S167=0),"Tax ignored (tax tracking is off)",IF(AND(ISNUMBER(StartDate),C167&lt;StartDate),"Date is before the accounting start date",IF(OR(IFERROR(INDEX(coa_Type,MATCH(F167,coa_Name,0)),"")="Revenue",IFERROR(INDEX(coa_Type,MATCH(F167,coa_Name,0)),"")="Other Income",IFERROR(INDEX(coa_Type,MATCH(F167,coa_Name,0)),"")="Equity"),"Account is not an expense or asset account",""))))))</f>
        <v/>
      </c>
      <c r="V167" s="67">
        <f>IF(AND(R167=0,T167=""),1,0)</f>
        <v/>
      </c>
      <c r="W167" s="67">
        <f>IF(V167=1,F167,"")</f>
        <v/>
      </c>
      <c r="X167" s="67">
        <f>IF(V167=1,acctAP,"")</f>
        <v/>
      </c>
      <c r="Y167" s="68">
        <f>IF(V167=1,G167-S167,0)</f>
        <v/>
      </c>
      <c r="Z167" s="68">
        <f>IF(V167=1,G167,0)</f>
        <v/>
      </c>
      <c r="AA167" s="68">
        <f>IF(V167=1,S167,0)</f>
        <v/>
      </c>
    </row>
    <row r="168">
      <c r="B168" s="62" t="n"/>
      <c r="C168" s="63" t="n"/>
      <c r="D168" s="62" t="n"/>
      <c r="E168" s="62" t="n"/>
      <c r="F168" s="62" t="n"/>
      <c r="G168" s="64" t="n"/>
      <c r="H168" s="64" t="n"/>
      <c r="I168" s="63" t="n"/>
      <c r="J168" s="29">
        <f>IF(V168=1,IF(ISNUMBER(I168),I168,C168+IF(ISNUMBER(IFERROR(INDEX(vend_Terms,MATCH(D168,vend_Name,0)),"")),INDEX(vend_Terms,MATCH(D168,vend_Name,0)),TermsDays)),"")</f>
        <v/>
      </c>
      <c r="K168" s="65">
        <f>IF(V168=1,SUMIFS(tx_CrAmt,tx_Type,"Bill Payment",tx_Ref,B168&amp;"",tx_Vend,D168,tx_Date,"&lt;="&amp;AsOf),"")</f>
        <v/>
      </c>
      <c r="L168" s="65">
        <f>IF(V168=1,IF(C168&gt;AsOf,0,ROUND(G168-K168,2)),"")</f>
        <v/>
      </c>
      <c r="M168" s="66">
        <f>IF(V168&lt;&gt;1,"",IF(C168&gt;AsOf,"Future",IF(L168&lt;0,"Overpaid",IF(L168=0,"Paid",IF(AsOf&gt;J168,"Overdue",IF(K168&gt;0,"Partial","Unpaid"))))))</f>
        <v/>
      </c>
      <c r="N168" s="28">
        <f>IF(AND(V168=1,N(L168)&gt;0),AsOf-C168,"")</f>
        <v/>
      </c>
      <c r="O168" s="28">
        <f>IF(N168="","",MAX(0,AsOf-J168))</f>
        <v/>
      </c>
      <c r="P168" s="66">
        <f>IF(O168="","",IF(O168=0,"Current",IF(O168&lt;=30,"1-30",IF(O168&lt;=60,"31-60",IF(O168&lt;=90,"61-90","90+")))))</f>
        <v/>
      </c>
      <c r="Q168" s="66">
        <f>IF(T168&lt;&gt;"","⛔ "&amp;T168&amp;" — not posted",IF(U168&lt;&gt;"","⚠ "&amp;U168,IF(V168=1,"✓ OK","")))</f>
        <v/>
      </c>
      <c r="R168" s="67">
        <f>IF(AND(B168="",C168="",D168="",G168="",F168=""),1,0)</f>
        <v/>
      </c>
      <c r="S168" s="68">
        <f>IF(AND(TaxOn="Yes",ISNUMBER(H168)),H168,0)</f>
        <v/>
      </c>
      <c r="T168" s="67">
        <f>IF(R168=1,"",IF(B168="","Enter a bill #",IF(D168="","Select a vendor",IF(C168="","Missing bill date",IF(NOT(ISNUMBER(C168)),"Invalid date",IF(OR(C168&lt;DATE(2000,1,1),C168&gt;DATE(2099,12,31)),"Invalid date",IF(F168="","Select an expense account",IF(ISNA(MATCH(F168,coa_Name,0)),"Unknown account: "&amp;F168,IF(NOT(ISNUMBER(G168)),"Enter an amount",IF(G168&lt;=0,"Amount must be positive",IF(S168&gt;G168,"Tax is larger than the amount","")))))))))))</f>
        <v/>
      </c>
      <c r="U168" s="67">
        <f>IF(OR(R168=1,T168&lt;&gt;""),"",IF(COUNTIFS(ap_No,B168,ap_Party,D168)&gt;1,"Duplicate bill #",IF(N(L168)&lt;0,"Overpaid by "&amp;TEXT(-L168,"#,##0.00"),IF(AND(ISNUMBER(H168),N(H168)&lt;&gt;0,S168=0),"Tax ignored (tax tracking is off)",IF(AND(ISNUMBER(StartDate),C168&lt;StartDate),"Date is before the accounting start date",IF(OR(IFERROR(INDEX(coa_Type,MATCH(F168,coa_Name,0)),"")="Revenue",IFERROR(INDEX(coa_Type,MATCH(F168,coa_Name,0)),"")="Other Income",IFERROR(INDEX(coa_Type,MATCH(F168,coa_Name,0)),"")="Equity"),"Account is not an expense or asset account",""))))))</f>
        <v/>
      </c>
      <c r="V168" s="67">
        <f>IF(AND(R168=0,T168=""),1,0)</f>
        <v/>
      </c>
      <c r="W168" s="67">
        <f>IF(V168=1,F168,"")</f>
        <v/>
      </c>
      <c r="X168" s="67">
        <f>IF(V168=1,acctAP,"")</f>
        <v/>
      </c>
      <c r="Y168" s="68">
        <f>IF(V168=1,G168-S168,0)</f>
        <v/>
      </c>
      <c r="Z168" s="68">
        <f>IF(V168=1,G168,0)</f>
        <v/>
      </c>
      <c r="AA168" s="68">
        <f>IF(V168=1,S168,0)</f>
        <v/>
      </c>
    </row>
    <row r="169">
      <c r="B169" s="62" t="n"/>
      <c r="C169" s="63" t="n"/>
      <c r="D169" s="62" t="n"/>
      <c r="E169" s="62" t="n"/>
      <c r="F169" s="62" t="n"/>
      <c r="G169" s="64" t="n"/>
      <c r="H169" s="64" t="n"/>
      <c r="I169" s="63" t="n"/>
      <c r="J169" s="29">
        <f>IF(V169=1,IF(ISNUMBER(I169),I169,C169+IF(ISNUMBER(IFERROR(INDEX(vend_Terms,MATCH(D169,vend_Name,0)),"")),INDEX(vend_Terms,MATCH(D169,vend_Name,0)),TermsDays)),"")</f>
        <v/>
      </c>
      <c r="K169" s="65">
        <f>IF(V169=1,SUMIFS(tx_CrAmt,tx_Type,"Bill Payment",tx_Ref,B169&amp;"",tx_Vend,D169,tx_Date,"&lt;="&amp;AsOf),"")</f>
        <v/>
      </c>
      <c r="L169" s="65">
        <f>IF(V169=1,IF(C169&gt;AsOf,0,ROUND(G169-K169,2)),"")</f>
        <v/>
      </c>
      <c r="M169" s="66">
        <f>IF(V169&lt;&gt;1,"",IF(C169&gt;AsOf,"Future",IF(L169&lt;0,"Overpaid",IF(L169=0,"Paid",IF(AsOf&gt;J169,"Overdue",IF(K169&gt;0,"Partial","Unpaid"))))))</f>
        <v/>
      </c>
      <c r="N169" s="28">
        <f>IF(AND(V169=1,N(L169)&gt;0),AsOf-C169,"")</f>
        <v/>
      </c>
      <c r="O169" s="28">
        <f>IF(N169="","",MAX(0,AsOf-J169))</f>
        <v/>
      </c>
      <c r="P169" s="66">
        <f>IF(O169="","",IF(O169=0,"Current",IF(O169&lt;=30,"1-30",IF(O169&lt;=60,"31-60",IF(O169&lt;=90,"61-90","90+")))))</f>
        <v/>
      </c>
      <c r="Q169" s="66">
        <f>IF(T169&lt;&gt;"","⛔ "&amp;T169&amp;" — not posted",IF(U169&lt;&gt;"","⚠ "&amp;U169,IF(V169=1,"✓ OK","")))</f>
        <v/>
      </c>
      <c r="R169" s="67">
        <f>IF(AND(B169="",C169="",D169="",G169="",F169=""),1,0)</f>
        <v/>
      </c>
      <c r="S169" s="68">
        <f>IF(AND(TaxOn="Yes",ISNUMBER(H169)),H169,0)</f>
        <v/>
      </c>
      <c r="T169" s="67">
        <f>IF(R169=1,"",IF(B169="","Enter a bill #",IF(D169="","Select a vendor",IF(C169="","Missing bill date",IF(NOT(ISNUMBER(C169)),"Invalid date",IF(OR(C169&lt;DATE(2000,1,1),C169&gt;DATE(2099,12,31)),"Invalid date",IF(F169="","Select an expense account",IF(ISNA(MATCH(F169,coa_Name,0)),"Unknown account: "&amp;F169,IF(NOT(ISNUMBER(G169)),"Enter an amount",IF(G169&lt;=0,"Amount must be positive",IF(S169&gt;G169,"Tax is larger than the amount","")))))))))))</f>
        <v/>
      </c>
      <c r="U169" s="67">
        <f>IF(OR(R169=1,T169&lt;&gt;""),"",IF(COUNTIFS(ap_No,B169,ap_Party,D169)&gt;1,"Duplicate bill #",IF(N(L169)&lt;0,"Overpaid by "&amp;TEXT(-L169,"#,##0.00"),IF(AND(ISNUMBER(H169),N(H169)&lt;&gt;0,S169=0),"Tax ignored (tax tracking is off)",IF(AND(ISNUMBER(StartDate),C169&lt;StartDate),"Date is before the accounting start date",IF(OR(IFERROR(INDEX(coa_Type,MATCH(F169,coa_Name,0)),"")="Revenue",IFERROR(INDEX(coa_Type,MATCH(F169,coa_Name,0)),"")="Other Income",IFERROR(INDEX(coa_Type,MATCH(F169,coa_Name,0)),"")="Equity"),"Account is not an expense or asset account",""))))))</f>
        <v/>
      </c>
      <c r="V169" s="67">
        <f>IF(AND(R169=0,T169=""),1,0)</f>
        <v/>
      </c>
      <c r="W169" s="67">
        <f>IF(V169=1,F169,"")</f>
        <v/>
      </c>
      <c r="X169" s="67">
        <f>IF(V169=1,acctAP,"")</f>
        <v/>
      </c>
      <c r="Y169" s="68">
        <f>IF(V169=1,G169-S169,0)</f>
        <v/>
      </c>
      <c r="Z169" s="68">
        <f>IF(V169=1,G169,0)</f>
        <v/>
      </c>
      <c r="AA169" s="68">
        <f>IF(V169=1,S169,0)</f>
        <v/>
      </c>
    </row>
    <row r="170">
      <c r="B170" s="62" t="n"/>
      <c r="C170" s="63" t="n"/>
      <c r="D170" s="62" t="n"/>
      <c r="E170" s="62" t="n"/>
      <c r="F170" s="62" t="n"/>
      <c r="G170" s="64" t="n"/>
      <c r="H170" s="64" t="n"/>
      <c r="I170" s="63" t="n"/>
      <c r="J170" s="29">
        <f>IF(V170=1,IF(ISNUMBER(I170),I170,C170+IF(ISNUMBER(IFERROR(INDEX(vend_Terms,MATCH(D170,vend_Name,0)),"")),INDEX(vend_Terms,MATCH(D170,vend_Name,0)),TermsDays)),"")</f>
        <v/>
      </c>
      <c r="K170" s="65">
        <f>IF(V170=1,SUMIFS(tx_CrAmt,tx_Type,"Bill Payment",tx_Ref,B170&amp;"",tx_Vend,D170,tx_Date,"&lt;="&amp;AsOf),"")</f>
        <v/>
      </c>
      <c r="L170" s="65">
        <f>IF(V170=1,IF(C170&gt;AsOf,0,ROUND(G170-K170,2)),"")</f>
        <v/>
      </c>
      <c r="M170" s="66">
        <f>IF(V170&lt;&gt;1,"",IF(C170&gt;AsOf,"Future",IF(L170&lt;0,"Overpaid",IF(L170=0,"Paid",IF(AsOf&gt;J170,"Overdue",IF(K170&gt;0,"Partial","Unpaid"))))))</f>
        <v/>
      </c>
      <c r="N170" s="28">
        <f>IF(AND(V170=1,N(L170)&gt;0),AsOf-C170,"")</f>
        <v/>
      </c>
      <c r="O170" s="28">
        <f>IF(N170="","",MAX(0,AsOf-J170))</f>
        <v/>
      </c>
      <c r="P170" s="66">
        <f>IF(O170="","",IF(O170=0,"Current",IF(O170&lt;=30,"1-30",IF(O170&lt;=60,"31-60",IF(O170&lt;=90,"61-90","90+")))))</f>
        <v/>
      </c>
      <c r="Q170" s="66">
        <f>IF(T170&lt;&gt;"","⛔ "&amp;T170&amp;" — not posted",IF(U170&lt;&gt;"","⚠ "&amp;U170,IF(V170=1,"✓ OK","")))</f>
        <v/>
      </c>
      <c r="R170" s="67">
        <f>IF(AND(B170="",C170="",D170="",G170="",F170=""),1,0)</f>
        <v/>
      </c>
      <c r="S170" s="68">
        <f>IF(AND(TaxOn="Yes",ISNUMBER(H170)),H170,0)</f>
        <v/>
      </c>
      <c r="T170" s="67">
        <f>IF(R170=1,"",IF(B170="","Enter a bill #",IF(D170="","Select a vendor",IF(C170="","Missing bill date",IF(NOT(ISNUMBER(C170)),"Invalid date",IF(OR(C170&lt;DATE(2000,1,1),C170&gt;DATE(2099,12,31)),"Invalid date",IF(F170="","Select an expense account",IF(ISNA(MATCH(F170,coa_Name,0)),"Unknown account: "&amp;F170,IF(NOT(ISNUMBER(G170)),"Enter an amount",IF(G170&lt;=0,"Amount must be positive",IF(S170&gt;G170,"Tax is larger than the amount","")))))))))))</f>
        <v/>
      </c>
      <c r="U170" s="67">
        <f>IF(OR(R170=1,T170&lt;&gt;""),"",IF(COUNTIFS(ap_No,B170,ap_Party,D170)&gt;1,"Duplicate bill #",IF(N(L170)&lt;0,"Overpaid by "&amp;TEXT(-L170,"#,##0.00"),IF(AND(ISNUMBER(H170),N(H170)&lt;&gt;0,S170=0),"Tax ignored (tax tracking is off)",IF(AND(ISNUMBER(StartDate),C170&lt;StartDate),"Date is before the accounting start date",IF(OR(IFERROR(INDEX(coa_Type,MATCH(F170,coa_Name,0)),"")="Revenue",IFERROR(INDEX(coa_Type,MATCH(F170,coa_Name,0)),"")="Other Income",IFERROR(INDEX(coa_Type,MATCH(F170,coa_Name,0)),"")="Equity"),"Account is not an expense or asset account",""))))))</f>
        <v/>
      </c>
      <c r="V170" s="67">
        <f>IF(AND(R170=0,T170=""),1,0)</f>
        <v/>
      </c>
      <c r="W170" s="67">
        <f>IF(V170=1,F170,"")</f>
        <v/>
      </c>
      <c r="X170" s="67">
        <f>IF(V170=1,acctAP,"")</f>
        <v/>
      </c>
      <c r="Y170" s="68">
        <f>IF(V170=1,G170-S170,0)</f>
        <v/>
      </c>
      <c r="Z170" s="68">
        <f>IF(V170=1,G170,0)</f>
        <v/>
      </c>
      <c r="AA170" s="68">
        <f>IF(V170=1,S170,0)</f>
        <v/>
      </c>
    </row>
    <row r="171">
      <c r="B171" s="62" t="n"/>
      <c r="C171" s="63" t="n"/>
      <c r="D171" s="62" t="n"/>
      <c r="E171" s="62" t="n"/>
      <c r="F171" s="62" t="n"/>
      <c r="G171" s="64" t="n"/>
      <c r="H171" s="64" t="n"/>
      <c r="I171" s="63" t="n"/>
      <c r="J171" s="29">
        <f>IF(V171=1,IF(ISNUMBER(I171),I171,C171+IF(ISNUMBER(IFERROR(INDEX(vend_Terms,MATCH(D171,vend_Name,0)),"")),INDEX(vend_Terms,MATCH(D171,vend_Name,0)),TermsDays)),"")</f>
        <v/>
      </c>
      <c r="K171" s="65">
        <f>IF(V171=1,SUMIFS(tx_CrAmt,tx_Type,"Bill Payment",tx_Ref,B171&amp;"",tx_Vend,D171,tx_Date,"&lt;="&amp;AsOf),"")</f>
        <v/>
      </c>
      <c r="L171" s="65">
        <f>IF(V171=1,IF(C171&gt;AsOf,0,ROUND(G171-K171,2)),"")</f>
        <v/>
      </c>
      <c r="M171" s="66">
        <f>IF(V171&lt;&gt;1,"",IF(C171&gt;AsOf,"Future",IF(L171&lt;0,"Overpaid",IF(L171=0,"Paid",IF(AsOf&gt;J171,"Overdue",IF(K171&gt;0,"Partial","Unpaid"))))))</f>
        <v/>
      </c>
      <c r="N171" s="28">
        <f>IF(AND(V171=1,N(L171)&gt;0),AsOf-C171,"")</f>
        <v/>
      </c>
      <c r="O171" s="28">
        <f>IF(N171="","",MAX(0,AsOf-J171))</f>
        <v/>
      </c>
      <c r="P171" s="66">
        <f>IF(O171="","",IF(O171=0,"Current",IF(O171&lt;=30,"1-30",IF(O171&lt;=60,"31-60",IF(O171&lt;=90,"61-90","90+")))))</f>
        <v/>
      </c>
      <c r="Q171" s="66">
        <f>IF(T171&lt;&gt;"","⛔ "&amp;T171&amp;" — not posted",IF(U171&lt;&gt;"","⚠ "&amp;U171,IF(V171=1,"✓ OK","")))</f>
        <v/>
      </c>
      <c r="R171" s="67">
        <f>IF(AND(B171="",C171="",D171="",G171="",F171=""),1,0)</f>
        <v/>
      </c>
      <c r="S171" s="68">
        <f>IF(AND(TaxOn="Yes",ISNUMBER(H171)),H171,0)</f>
        <v/>
      </c>
      <c r="T171" s="67">
        <f>IF(R171=1,"",IF(B171="","Enter a bill #",IF(D171="","Select a vendor",IF(C171="","Missing bill date",IF(NOT(ISNUMBER(C171)),"Invalid date",IF(OR(C171&lt;DATE(2000,1,1),C171&gt;DATE(2099,12,31)),"Invalid date",IF(F171="","Select an expense account",IF(ISNA(MATCH(F171,coa_Name,0)),"Unknown account: "&amp;F171,IF(NOT(ISNUMBER(G171)),"Enter an amount",IF(G171&lt;=0,"Amount must be positive",IF(S171&gt;G171,"Tax is larger than the amount","")))))))))))</f>
        <v/>
      </c>
      <c r="U171" s="67">
        <f>IF(OR(R171=1,T171&lt;&gt;""),"",IF(COUNTIFS(ap_No,B171,ap_Party,D171)&gt;1,"Duplicate bill #",IF(N(L171)&lt;0,"Overpaid by "&amp;TEXT(-L171,"#,##0.00"),IF(AND(ISNUMBER(H171),N(H171)&lt;&gt;0,S171=0),"Tax ignored (tax tracking is off)",IF(AND(ISNUMBER(StartDate),C171&lt;StartDate),"Date is before the accounting start date",IF(OR(IFERROR(INDEX(coa_Type,MATCH(F171,coa_Name,0)),"")="Revenue",IFERROR(INDEX(coa_Type,MATCH(F171,coa_Name,0)),"")="Other Income",IFERROR(INDEX(coa_Type,MATCH(F171,coa_Name,0)),"")="Equity"),"Account is not an expense or asset account",""))))))</f>
        <v/>
      </c>
      <c r="V171" s="67">
        <f>IF(AND(R171=0,T171=""),1,0)</f>
        <v/>
      </c>
      <c r="W171" s="67">
        <f>IF(V171=1,F171,"")</f>
        <v/>
      </c>
      <c r="X171" s="67">
        <f>IF(V171=1,acctAP,"")</f>
        <v/>
      </c>
      <c r="Y171" s="68">
        <f>IF(V171=1,G171-S171,0)</f>
        <v/>
      </c>
      <c r="Z171" s="68">
        <f>IF(V171=1,G171,0)</f>
        <v/>
      </c>
      <c r="AA171" s="68">
        <f>IF(V171=1,S171,0)</f>
        <v/>
      </c>
    </row>
    <row r="172">
      <c r="B172" s="62" t="n"/>
      <c r="C172" s="63" t="n"/>
      <c r="D172" s="62" t="n"/>
      <c r="E172" s="62" t="n"/>
      <c r="F172" s="62" t="n"/>
      <c r="G172" s="64" t="n"/>
      <c r="H172" s="64" t="n"/>
      <c r="I172" s="63" t="n"/>
      <c r="J172" s="29">
        <f>IF(V172=1,IF(ISNUMBER(I172),I172,C172+IF(ISNUMBER(IFERROR(INDEX(vend_Terms,MATCH(D172,vend_Name,0)),"")),INDEX(vend_Terms,MATCH(D172,vend_Name,0)),TermsDays)),"")</f>
        <v/>
      </c>
      <c r="K172" s="65">
        <f>IF(V172=1,SUMIFS(tx_CrAmt,tx_Type,"Bill Payment",tx_Ref,B172&amp;"",tx_Vend,D172,tx_Date,"&lt;="&amp;AsOf),"")</f>
        <v/>
      </c>
      <c r="L172" s="65">
        <f>IF(V172=1,IF(C172&gt;AsOf,0,ROUND(G172-K172,2)),"")</f>
        <v/>
      </c>
      <c r="M172" s="66">
        <f>IF(V172&lt;&gt;1,"",IF(C172&gt;AsOf,"Future",IF(L172&lt;0,"Overpaid",IF(L172=0,"Paid",IF(AsOf&gt;J172,"Overdue",IF(K172&gt;0,"Partial","Unpaid"))))))</f>
        <v/>
      </c>
      <c r="N172" s="28">
        <f>IF(AND(V172=1,N(L172)&gt;0),AsOf-C172,"")</f>
        <v/>
      </c>
      <c r="O172" s="28">
        <f>IF(N172="","",MAX(0,AsOf-J172))</f>
        <v/>
      </c>
      <c r="P172" s="66">
        <f>IF(O172="","",IF(O172=0,"Current",IF(O172&lt;=30,"1-30",IF(O172&lt;=60,"31-60",IF(O172&lt;=90,"61-90","90+")))))</f>
        <v/>
      </c>
      <c r="Q172" s="66">
        <f>IF(T172&lt;&gt;"","⛔ "&amp;T172&amp;" — not posted",IF(U172&lt;&gt;"","⚠ "&amp;U172,IF(V172=1,"✓ OK","")))</f>
        <v/>
      </c>
      <c r="R172" s="67">
        <f>IF(AND(B172="",C172="",D172="",G172="",F172=""),1,0)</f>
        <v/>
      </c>
      <c r="S172" s="68">
        <f>IF(AND(TaxOn="Yes",ISNUMBER(H172)),H172,0)</f>
        <v/>
      </c>
      <c r="T172" s="67">
        <f>IF(R172=1,"",IF(B172="","Enter a bill #",IF(D172="","Select a vendor",IF(C172="","Missing bill date",IF(NOT(ISNUMBER(C172)),"Invalid date",IF(OR(C172&lt;DATE(2000,1,1),C172&gt;DATE(2099,12,31)),"Invalid date",IF(F172="","Select an expense account",IF(ISNA(MATCH(F172,coa_Name,0)),"Unknown account: "&amp;F172,IF(NOT(ISNUMBER(G172)),"Enter an amount",IF(G172&lt;=0,"Amount must be positive",IF(S172&gt;G172,"Tax is larger than the amount","")))))))))))</f>
        <v/>
      </c>
      <c r="U172" s="67">
        <f>IF(OR(R172=1,T172&lt;&gt;""),"",IF(COUNTIFS(ap_No,B172,ap_Party,D172)&gt;1,"Duplicate bill #",IF(N(L172)&lt;0,"Overpaid by "&amp;TEXT(-L172,"#,##0.00"),IF(AND(ISNUMBER(H172),N(H172)&lt;&gt;0,S172=0),"Tax ignored (tax tracking is off)",IF(AND(ISNUMBER(StartDate),C172&lt;StartDate),"Date is before the accounting start date",IF(OR(IFERROR(INDEX(coa_Type,MATCH(F172,coa_Name,0)),"")="Revenue",IFERROR(INDEX(coa_Type,MATCH(F172,coa_Name,0)),"")="Other Income",IFERROR(INDEX(coa_Type,MATCH(F172,coa_Name,0)),"")="Equity"),"Account is not an expense or asset account",""))))))</f>
        <v/>
      </c>
      <c r="V172" s="67">
        <f>IF(AND(R172=0,T172=""),1,0)</f>
        <v/>
      </c>
      <c r="W172" s="67">
        <f>IF(V172=1,F172,"")</f>
        <v/>
      </c>
      <c r="X172" s="67">
        <f>IF(V172=1,acctAP,"")</f>
        <v/>
      </c>
      <c r="Y172" s="68">
        <f>IF(V172=1,G172-S172,0)</f>
        <v/>
      </c>
      <c r="Z172" s="68">
        <f>IF(V172=1,G172,0)</f>
        <v/>
      </c>
      <c r="AA172" s="68">
        <f>IF(V172=1,S172,0)</f>
        <v/>
      </c>
    </row>
    <row r="173">
      <c r="B173" s="62" t="n"/>
      <c r="C173" s="63" t="n"/>
      <c r="D173" s="62" t="n"/>
      <c r="E173" s="62" t="n"/>
      <c r="F173" s="62" t="n"/>
      <c r="G173" s="64" t="n"/>
      <c r="H173" s="64" t="n"/>
      <c r="I173" s="63" t="n"/>
      <c r="J173" s="29">
        <f>IF(V173=1,IF(ISNUMBER(I173),I173,C173+IF(ISNUMBER(IFERROR(INDEX(vend_Terms,MATCH(D173,vend_Name,0)),"")),INDEX(vend_Terms,MATCH(D173,vend_Name,0)),TermsDays)),"")</f>
        <v/>
      </c>
      <c r="K173" s="65">
        <f>IF(V173=1,SUMIFS(tx_CrAmt,tx_Type,"Bill Payment",tx_Ref,B173&amp;"",tx_Vend,D173,tx_Date,"&lt;="&amp;AsOf),"")</f>
        <v/>
      </c>
      <c r="L173" s="65">
        <f>IF(V173=1,IF(C173&gt;AsOf,0,ROUND(G173-K173,2)),"")</f>
        <v/>
      </c>
      <c r="M173" s="66">
        <f>IF(V173&lt;&gt;1,"",IF(C173&gt;AsOf,"Future",IF(L173&lt;0,"Overpaid",IF(L173=0,"Paid",IF(AsOf&gt;J173,"Overdue",IF(K173&gt;0,"Partial","Unpaid"))))))</f>
        <v/>
      </c>
      <c r="N173" s="28">
        <f>IF(AND(V173=1,N(L173)&gt;0),AsOf-C173,"")</f>
        <v/>
      </c>
      <c r="O173" s="28">
        <f>IF(N173="","",MAX(0,AsOf-J173))</f>
        <v/>
      </c>
      <c r="P173" s="66">
        <f>IF(O173="","",IF(O173=0,"Current",IF(O173&lt;=30,"1-30",IF(O173&lt;=60,"31-60",IF(O173&lt;=90,"61-90","90+")))))</f>
        <v/>
      </c>
      <c r="Q173" s="66">
        <f>IF(T173&lt;&gt;"","⛔ "&amp;T173&amp;" — not posted",IF(U173&lt;&gt;"","⚠ "&amp;U173,IF(V173=1,"✓ OK","")))</f>
        <v/>
      </c>
      <c r="R173" s="67">
        <f>IF(AND(B173="",C173="",D173="",G173="",F173=""),1,0)</f>
        <v/>
      </c>
      <c r="S173" s="68">
        <f>IF(AND(TaxOn="Yes",ISNUMBER(H173)),H173,0)</f>
        <v/>
      </c>
      <c r="T173" s="67">
        <f>IF(R173=1,"",IF(B173="","Enter a bill #",IF(D173="","Select a vendor",IF(C173="","Missing bill date",IF(NOT(ISNUMBER(C173)),"Invalid date",IF(OR(C173&lt;DATE(2000,1,1),C173&gt;DATE(2099,12,31)),"Invalid date",IF(F173="","Select an expense account",IF(ISNA(MATCH(F173,coa_Name,0)),"Unknown account: "&amp;F173,IF(NOT(ISNUMBER(G173)),"Enter an amount",IF(G173&lt;=0,"Amount must be positive",IF(S173&gt;G173,"Tax is larger than the amount","")))))))))))</f>
        <v/>
      </c>
      <c r="U173" s="67">
        <f>IF(OR(R173=1,T173&lt;&gt;""),"",IF(COUNTIFS(ap_No,B173,ap_Party,D173)&gt;1,"Duplicate bill #",IF(N(L173)&lt;0,"Overpaid by "&amp;TEXT(-L173,"#,##0.00"),IF(AND(ISNUMBER(H173),N(H173)&lt;&gt;0,S173=0),"Tax ignored (tax tracking is off)",IF(AND(ISNUMBER(StartDate),C173&lt;StartDate),"Date is before the accounting start date",IF(OR(IFERROR(INDEX(coa_Type,MATCH(F173,coa_Name,0)),"")="Revenue",IFERROR(INDEX(coa_Type,MATCH(F173,coa_Name,0)),"")="Other Income",IFERROR(INDEX(coa_Type,MATCH(F173,coa_Name,0)),"")="Equity"),"Account is not an expense or asset account",""))))))</f>
        <v/>
      </c>
      <c r="V173" s="67">
        <f>IF(AND(R173=0,T173=""),1,0)</f>
        <v/>
      </c>
      <c r="W173" s="67">
        <f>IF(V173=1,F173,"")</f>
        <v/>
      </c>
      <c r="X173" s="67">
        <f>IF(V173=1,acctAP,"")</f>
        <v/>
      </c>
      <c r="Y173" s="68">
        <f>IF(V173=1,G173-S173,0)</f>
        <v/>
      </c>
      <c r="Z173" s="68">
        <f>IF(V173=1,G173,0)</f>
        <v/>
      </c>
      <c r="AA173" s="68">
        <f>IF(V173=1,S173,0)</f>
        <v/>
      </c>
    </row>
    <row r="174">
      <c r="B174" s="62" t="n"/>
      <c r="C174" s="63" t="n"/>
      <c r="D174" s="62" t="n"/>
      <c r="E174" s="62" t="n"/>
      <c r="F174" s="62" t="n"/>
      <c r="G174" s="64" t="n"/>
      <c r="H174" s="64" t="n"/>
      <c r="I174" s="63" t="n"/>
      <c r="J174" s="29">
        <f>IF(V174=1,IF(ISNUMBER(I174),I174,C174+IF(ISNUMBER(IFERROR(INDEX(vend_Terms,MATCH(D174,vend_Name,0)),"")),INDEX(vend_Terms,MATCH(D174,vend_Name,0)),TermsDays)),"")</f>
        <v/>
      </c>
      <c r="K174" s="65">
        <f>IF(V174=1,SUMIFS(tx_CrAmt,tx_Type,"Bill Payment",tx_Ref,B174&amp;"",tx_Vend,D174,tx_Date,"&lt;="&amp;AsOf),"")</f>
        <v/>
      </c>
      <c r="L174" s="65">
        <f>IF(V174=1,IF(C174&gt;AsOf,0,ROUND(G174-K174,2)),"")</f>
        <v/>
      </c>
      <c r="M174" s="66">
        <f>IF(V174&lt;&gt;1,"",IF(C174&gt;AsOf,"Future",IF(L174&lt;0,"Overpaid",IF(L174=0,"Paid",IF(AsOf&gt;J174,"Overdue",IF(K174&gt;0,"Partial","Unpaid"))))))</f>
        <v/>
      </c>
      <c r="N174" s="28">
        <f>IF(AND(V174=1,N(L174)&gt;0),AsOf-C174,"")</f>
        <v/>
      </c>
      <c r="O174" s="28">
        <f>IF(N174="","",MAX(0,AsOf-J174))</f>
        <v/>
      </c>
      <c r="P174" s="66">
        <f>IF(O174="","",IF(O174=0,"Current",IF(O174&lt;=30,"1-30",IF(O174&lt;=60,"31-60",IF(O174&lt;=90,"61-90","90+")))))</f>
        <v/>
      </c>
      <c r="Q174" s="66">
        <f>IF(T174&lt;&gt;"","⛔ "&amp;T174&amp;" — not posted",IF(U174&lt;&gt;"","⚠ "&amp;U174,IF(V174=1,"✓ OK","")))</f>
        <v/>
      </c>
      <c r="R174" s="67">
        <f>IF(AND(B174="",C174="",D174="",G174="",F174=""),1,0)</f>
        <v/>
      </c>
      <c r="S174" s="68">
        <f>IF(AND(TaxOn="Yes",ISNUMBER(H174)),H174,0)</f>
        <v/>
      </c>
      <c r="T174" s="67">
        <f>IF(R174=1,"",IF(B174="","Enter a bill #",IF(D174="","Select a vendor",IF(C174="","Missing bill date",IF(NOT(ISNUMBER(C174)),"Invalid date",IF(OR(C174&lt;DATE(2000,1,1),C174&gt;DATE(2099,12,31)),"Invalid date",IF(F174="","Select an expense account",IF(ISNA(MATCH(F174,coa_Name,0)),"Unknown account: "&amp;F174,IF(NOT(ISNUMBER(G174)),"Enter an amount",IF(G174&lt;=0,"Amount must be positive",IF(S174&gt;G174,"Tax is larger than the amount","")))))))))))</f>
        <v/>
      </c>
      <c r="U174" s="67">
        <f>IF(OR(R174=1,T174&lt;&gt;""),"",IF(COUNTIFS(ap_No,B174,ap_Party,D174)&gt;1,"Duplicate bill #",IF(N(L174)&lt;0,"Overpaid by "&amp;TEXT(-L174,"#,##0.00"),IF(AND(ISNUMBER(H174),N(H174)&lt;&gt;0,S174=0),"Tax ignored (tax tracking is off)",IF(AND(ISNUMBER(StartDate),C174&lt;StartDate),"Date is before the accounting start date",IF(OR(IFERROR(INDEX(coa_Type,MATCH(F174,coa_Name,0)),"")="Revenue",IFERROR(INDEX(coa_Type,MATCH(F174,coa_Name,0)),"")="Other Income",IFERROR(INDEX(coa_Type,MATCH(F174,coa_Name,0)),"")="Equity"),"Account is not an expense or asset account",""))))))</f>
        <v/>
      </c>
      <c r="V174" s="67">
        <f>IF(AND(R174=0,T174=""),1,0)</f>
        <v/>
      </c>
      <c r="W174" s="67">
        <f>IF(V174=1,F174,"")</f>
        <v/>
      </c>
      <c r="X174" s="67">
        <f>IF(V174=1,acctAP,"")</f>
        <v/>
      </c>
      <c r="Y174" s="68">
        <f>IF(V174=1,G174-S174,0)</f>
        <v/>
      </c>
      <c r="Z174" s="68">
        <f>IF(V174=1,G174,0)</f>
        <v/>
      </c>
      <c r="AA174" s="68">
        <f>IF(V174=1,S174,0)</f>
        <v/>
      </c>
    </row>
    <row r="175">
      <c r="B175" s="62" t="n"/>
      <c r="C175" s="63" t="n"/>
      <c r="D175" s="62" t="n"/>
      <c r="E175" s="62" t="n"/>
      <c r="F175" s="62" t="n"/>
      <c r="G175" s="64" t="n"/>
      <c r="H175" s="64" t="n"/>
      <c r="I175" s="63" t="n"/>
      <c r="J175" s="29">
        <f>IF(V175=1,IF(ISNUMBER(I175),I175,C175+IF(ISNUMBER(IFERROR(INDEX(vend_Terms,MATCH(D175,vend_Name,0)),"")),INDEX(vend_Terms,MATCH(D175,vend_Name,0)),TermsDays)),"")</f>
        <v/>
      </c>
      <c r="K175" s="65">
        <f>IF(V175=1,SUMIFS(tx_CrAmt,tx_Type,"Bill Payment",tx_Ref,B175&amp;"",tx_Vend,D175,tx_Date,"&lt;="&amp;AsOf),"")</f>
        <v/>
      </c>
      <c r="L175" s="65">
        <f>IF(V175=1,IF(C175&gt;AsOf,0,ROUND(G175-K175,2)),"")</f>
        <v/>
      </c>
      <c r="M175" s="66">
        <f>IF(V175&lt;&gt;1,"",IF(C175&gt;AsOf,"Future",IF(L175&lt;0,"Overpaid",IF(L175=0,"Paid",IF(AsOf&gt;J175,"Overdue",IF(K175&gt;0,"Partial","Unpaid"))))))</f>
        <v/>
      </c>
      <c r="N175" s="28">
        <f>IF(AND(V175=1,N(L175)&gt;0),AsOf-C175,"")</f>
        <v/>
      </c>
      <c r="O175" s="28">
        <f>IF(N175="","",MAX(0,AsOf-J175))</f>
        <v/>
      </c>
      <c r="P175" s="66">
        <f>IF(O175="","",IF(O175=0,"Current",IF(O175&lt;=30,"1-30",IF(O175&lt;=60,"31-60",IF(O175&lt;=90,"61-90","90+")))))</f>
        <v/>
      </c>
      <c r="Q175" s="66">
        <f>IF(T175&lt;&gt;"","⛔ "&amp;T175&amp;" — not posted",IF(U175&lt;&gt;"","⚠ "&amp;U175,IF(V175=1,"✓ OK","")))</f>
        <v/>
      </c>
      <c r="R175" s="67">
        <f>IF(AND(B175="",C175="",D175="",G175="",F175=""),1,0)</f>
        <v/>
      </c>
      <c r="S175" s="68">
        <f>IF(AND(TaxOn="Yes",ISNUMBER(H175)),H175,0)</f>
        <v/>
      </c>
      <c r="T175" s="67">
        <f>IF(R175=1,"",IF(B175="","Enter a bill #",IF(D175="","Select a vendor",IF(C175="","Missing bill date",IF(NOT(ISNUMBER(C175)),"Invalid date",IF(OR(C175&lt;DATE(2000,1,1),C175&gt;DATE(2099,12,31)),"Invalid date",IF(F175="","Select an expense account",IF(ISNA(MATCH(F175,coa_Name,0)),"Unknown account: "&amp;F175,IF(NOT(ISNUMBER(G175)),"Enter an amount",IF(G175&lt;=0,"Amount must be positive",IF(S175&gt;G175,"Tax is larger than the amount","")))))))))))</f>
        <v/>
      </c>
      <c r="U175" s="67">
        <f>IF(OR(R175=1,T175&lt;&gt;""),"",IF(COUNTIFS(ap_No,B175,ap_Party,D175)&gt;1,"Duplicate bill #",IF(N(L175)&lt;0,"Overpaid by "&amp;TEXT(-L175,"#,##0.00"),IF(AND(ISNUMBER(H175),N(H175)&lt;&gt;0,S175=0),"Tax ignored (tax tracking is off)",IF(AND(ISNUMBER(StartDate),C175&lt;StartDate),"Date is before the accounting start date",IF(OR(IFERROR(INDEX(coa_Type,MATCH(F175,coa_Name,0)),"")="Revenue",IFERROR(INDEX(coa_Type,MATCH(F175,coa_Name,0)),"")="Other Income",IFERROR(INDEX(coa_Type,MATCH(F175,coa_Name,0)),"")="Equity"),"Account is not an expense or asset account",""))))))</f>
        <v/>
      </c>
      <c r="V175" s="67">
        <f>IF(AND(R175=0,T175=""),1,0)</f>
        <v/>
      </c>
      <c r="W175" s="67">
        <f>IF(V175=1,F175,"")</f>
        <v/>
      </c>
      <c r="X175" s="67">
        <f>IF(V175=1,acctAP,"")</f>
        <v/>
      </c>
      <c r="Y175" s="68">
        <f>IF(V175=1,G175-S175,0)</f>
        <v/>
      </c>
      <c r="Z175" s="68">
        <f>IF(V175=1,G175,0)</f>
        <v/>
      </c>
      <c r="AA175" s="68">
        <f>IF(V175=1,S175,0)</f>
        <v/>
      </c>
    </row>
    <row r="176">
      <c r="B176" s="62" t="n"/>
      <c r="C176" s="63" t="n"/>
      <c r="D176" s="62" t="n"/>
      <c r="E176" s="62" t="n"/>
      <c r="F176" s="62" t="n"/>
      <c r="G176" s="64" t="n"/>
      <c r="H176" s="64" t="n"/>
      <c r="I176" s="63" t="n"/>
      <c r="J176" s="29">
        <f>IF(V176=1,IF(ISNUMBER(I176),I176,C176+IF(ISNUMBER(IFERROR(INDEX(vend_Terms,MATCH(D176,vend_Name,0)),"")),INDEX(vend_Terms,MATCH(D176,vend_Name,0)),TermsDays)),"")</f>
        <v/>
      </c>
      <c r="K176" s="65">
        <f>IF(V176=1,SUMIFS(tx_CrAmt,tx_Type,"Bill Payment",tx_Ref,B176&amp;"",tx_Vend,D176,tx_Date,"&lt;="&amp;AsOf),"")</f>
        <v/>
      </c>
      <c r="L176" s="65">
        <f>IF(V176=1,IF(C176&gt;AsOf,0,ROUND(G176-K176,2)),"")</f>
        <v/>
      </c>
      <c r="M176" s="66">
        <f>IF(V176&lt;&gt;1,"",IF(C176&gt;AsOf,"Future",IF(L176&lt;0,"Overpaid",IF(L176=0,"Paid",IF(AsOf&gt;J176,"Overdue",IF(K176&gt;0,"Partial","Unpaid"))))))</f>
        <v/>
      </c>
      <c r="N176" s="28">
        <f>IF(AND(V176=1,N(L176)&gt;0),AsOf-C176,"")</f>
        <v/>
      </c>
      <c r="O176" s="28">
        <f>IF(N176="","",MAX(0,AsOf-J176))</f>
        <v/>
      </c>
      <c r="P176" s="66">
        <f>IF(O176="","",IF(O176=0,"Current",IF(O176&lt;=30,"1-30",IF(O176&lt;=60,"31-60",IF(O176&lt;=90,"61-90","90+")))))</f>
        <v/>
      </c>
      <c r="Q176" s="66">
        <f>IF(T176&lt;&gt;"","⛔ "&amp;T176&amp;" — not posted",IF(U176&lt;&gt;"","⚠ "&amp;U176,IF(V176=1,"✓ OK","")))</f>
        <v/>
      </c>
      <c r="R176" s="67">
        <f>IF(AND(B176="",C176="",D176="",G176="",F176=""),1,0)</f>
        <v/>
      </c>
      <c r="S176" s="68">
        <f>IF(AND(TaxOn="Yes",ISNUMBER(H176)),H176,0)</f>
        <v/>
      </c>
      <c r="T176" s="67">
        <f>IF(R176=1,"",IF(B176="","Enter a bill #",IF(D176="","Select a vendor",IF(C176="","Missing bill date",IF(NOT(ISNUMBER(C176)),"Invalid date",IF(OR(C176&lt;DATE(2000,1,1),C176&gt;DATE(2099,12,31)),"Invalid date",IF(F176="","Select an expense account",IF(ISNA(MATCH(F176,coa_Name,0)),"Unknown account: "&amp;F176,IF(NOT(ISNUMBER(G176)),"Enter an amount",IF(G176&lt;=0,"Amount must be positive",IF(S176&gt;G176,"Tax is larger than the amount","")))))))))))</f>
        <v/>
      </c>
      <c r="U176" s="67">
        <f>IF(OR(R176=1,T176&lt;&gt;""),"",IF(COUNTIFS(ap_No,B176,ap_Party,D176)&gt;1,"Duplicate bill #",IF(N(L176)&lt;0,"Overpaid by "&amp;TEXT(-L176,"#,##0.00"),IF(AND(ISNUMBER(H176),N(H176)&lt;&gt;0,S176=0),"Tax ignored (tax tracking is off)",IF(AND(ISNUMBER(StartDate),C176&lt;StartDate),"Date is before the accounting start date",IF(OR(IFERROR(INDEX(coa_Type,MATCH(F176,coa_Name,0)),"")="Revenue",IFERROR(INDEX(coa_Type,MATCH(F176,coa_Name,0)),"")="Other Income",IFERROR(INDEX(coa_Type,MATCH(F176,coa_Name,0)),"")="Equity"),"Account is not an expense or asset account",""))))))</f>
        <v/>
      </c>
      <c r="V176" s="67">
        <f>IF(AND(R176=0,T176=""),1,0)</f>
        <v/>
      </c>
      <c r="W176" s="67">
        <f>IF(V176=1,F176,"")</f>
        <v/>
      </c>
      <c r="X176" s="67">
        <f>IF(V176=1,acctAP,"")</f>
        <v/>
      </c>
      <c r="Y176" s="68">
        <f>IF(V176=1,G176-S176,0)</f>
        <v/>
      </c>
      <c r="Z176" s="68">
        <f>IF(V176=1,G176,0)</f>
        <v/>
      </c>
      <c r="AA176" s="68">
        <f>IF(V176=1,S176,0)</f>
        <v/>
      </c>
    </row>
    <row r="177">
      <c r="B177" s="62" t="n"/>
      <c r="C177" s="63" t="n"/>
      <c r="D177" s="62" t="n"/>
      <c r="E177" s="62" t="n"/>
      <c r="F177" s="62" t="n"/>
      <c r="G177" s="64" t="n"/>
      <c r="H177" s="64" t="n"/>
      <c r="I177" s="63" t="n"/>
      <c r="J177" s="29">
        <f>IF(V177=1,IF(ISNUMBER(I177),I177,C177+IF(ISNUMBER(IFERROR(INDEX(vend_Terms,MATCH(D177,vend_Name,0)),"")),INDEX(vend_Terms,MATCH(D177,vend_Name,0)),TermsDays)),"")</f>
        <v/>
      </c>
      <c r="K177" s="65">
        <f>IF(V177=1,SUMIFS(tx_CrAmt,tx_Type,"Bill Payment",tx_Ref,B177&amp;"",tx_Vend,D177,tx_Date,"&lt;="&amp;AsOf),"")</f>
        <v/>
      </c>
      <c r="L177" s="65">
        <f>IF(V177=1,IF(C177&gt;AsOf,0,ROUND(G177-K177,2)),"")</f>
        <v/>
      </c>
      <c r="M177" s="66">
        <f>IF(V177&lt;&gt;1,"",IF(C177&gt;AsOf,"Future",IF(L177&lt;0,"Overpaid",IF(L177=0,"Paid",IF(AsOf&gt;J177,"Overdue",IF(K177&gt;0,"Partial","Unpaid"))))))</f>
        <v/>
      </c>
      <c r="N177" s="28">
        <f>IF(AND(V177=1,N(L177)&gt;0),AsOf-C177,"")</f>
        <v/>
      </c>
      <c r="O177" s="28">
        <f>IF(N177="","",MAX(0,AsOf-J177))</f>
        <v/>
      </c>
      <c r="P177" s="66">
        <f>IF(O177="","",IF(O177=0,"Current",IF(O177&lt;=30,"1-30",IF(O177&lt;=60,"31-60",IF(O177&lt;=90,"61-90","90+")))))</f>
        <v/>
      </c>
      <c r="Q177" s="66">
        <f>IF(T177&lt;&gt;"","⛔ "&amp;T177&amp;" — not posted",IF(U177&lt;&gt;"","⚠ "&amp;U177,IF(V177=1,"✓ OK","")))</f>
        <v/>
      </c>
      <c r="R177" s="67">
        <f>IF(AND(B177="",C177="",D177="",G177="",F177=""),1,0)</f>
        <v/>
      </c>
      <c r="S177" s="68">
        <f>IF(AND(TaxOn="Yes",ISNUMBER(H177)),H177,0)</f>
        <v/>
      </c>
      <c r="T177" s="67">
        <f>IF(R177=1,"",IF(B177="","Enter a bill #",IF(D177="","Select a vendor",IF(C177="","Missing bill date",IF(NOT(ISNUMBER(C177)),"Invalid date",IF(OR(C177&lt;DATE(2000,1,1),C177&gt;DATE(2099,12,31)),"Invalid date",IF(F177="","Select an expense account",IF(ISNA(MATCH(F177,coa_Name,0)),"Unknown account: "&amp;F177,IF(NOT(ISNUMBER(G177)),"Enter an amount",IF(G177&lt;=0,"Amount must be positive",IF(S177&gt;G177,"Tax is larger than the amount","")))))))))))</f>
        <v/>
      </c>
      <c r="U177" s="67">
        <f>IF(OR(R177=1,T177&lt;&gt;""),"",IF(COUNTIFS(ap_No,B177,ap_Party,D177)&gt;1,"Duplicate bill #",IF(N(L177)&lt;0,"Overpaid by "&amp;TEXT(-L177,"#,##0.00"),IF(AND(ISNUMBER(H177),N(H177)&lt;&gt;0,S177=0),"Tax ignored (tax tracking is off)",IF(AND(ISNUMBER(StartDate),C177&lt;StartDate),"Date is before the accounting start date",IF(OR(IFERROR(INDEX(coa_Type,MATCH(F177,coa_Name,0)),"")="Revenue",IFERROR(INDEX(coa_Type,MATCH(F177,coa_Name,0)),"")="Other Income",IFERROR(INDEX(coa_Type,MATCH(F177,coa_Name,0)),"")="Equity"),"Account is not an expense or asset account",""))))))</f>
        <v/>
      </c>
      <c r="V177" s="67">
        <f>IF(AND(R177=0,T177=""),1,0)</f>
        <v/>
      </c>
      <c r="W177" s="67">
        <f>IF(V177=1,F177,"")</f>
        <v/>
      </c>
      <c r="X177" s="67">
        <f>IF(V177=1,acctAP,"")</f>
        <v/>
      </c>
      <c r="Y177" s="68">
        <f>IF(V177=1,G177-S177,0)</f>
        <v/>
      </c>
      <c r="Z177" s="68">
        <f>IF(V177=1,G177,0)</f>
        <v/>
      </c>
      <c r="AA177" s="68">
        <f>IF(V177=1,S177,0)</f>
        <v/>
      </c>
    </row>
    <row r="178">
      <c r="B178" s="62" t="n"/>
      <c r="C178" s="63" t="n"/>
      <c r="D178" s="62" t="n"/>
      <c r="E178" s="62" t="n"/>
      <c r="F178" s="62" t="n"/>
      <c r="G178" s="64" t="n"/>
      <c r="H178" s="64" t="n"/>
      <c r="I178" s="63" t="n"/>
      <c r="J178" s="29">
        <f>IF(V178=1,IF(ISNUMBER(I178),I178,C178+IF(ISNUMBER(IFERROR(INDEX(vend_Terms,MATCH(D178,vend_Name,0)),"")),INDEX(vend_Terms,MATCH(D178,vend_Name,0)),TermsDays)),"")</f>
        <v/>
      </c>
      <c r="K178" s="65">
        <f>IF(V178=1,SUMIFS(tx_CrAmt,tx_Type,"Bill Payment",tx_Ref,B178&amp;"",tx_Vend,D178,tx_Date,"&lt;="&amp;AsOf),"")</f>
        <v/>
      </c>
      <c r="L178" s="65">
        <f>IF(V178=1,IF(C178&gt;AsOf,0,ROUND(G178-K178,2)),"")</f>
        <v/>
      </c>
      <c r="M178" s="66">
        <f>IF(V178&lt;&gt;1,"",IF(C178&gt;AsOf,"Future",IF(L178&lt;0,"Overpaid",IF(L178=0,"Paid",IF(AsOf&gt;J178,"Overdue",IF(K178&gt;0,"Partial","Unpaid"))))))</f>
        <v/>
      </c>
      <c r="N178" s="28">
        <f>IF(AND(V178=1,N(L178)&gt;0),AsOf-C178,"")</f>
        <v/>
      </c>
      <c r="O178" s="28">
        <f>IF(N178="","",MAX(0,AsOf-J178))</f>
        <v/>
      </c>
      <c r="P178" s="66">
        <f>IF(O178="","",IF(O178=0,"Current",IF(O178&lt;=30,"1-30",IF(O178&lt;=60,"31-60",IF(O178&lt;=90,"61-90","90+")))))</f>
        <v/>
      </c>
      <c r="Q178" s="66">
        <f>IF(T178&lt;&gt;"","⛔ "&amp;T178&amp;" — not posted",IF(U178&lt;&gt;"","⚠ "&amp;U178,IF(V178=1,"✓ OK","")))</f>
        <v/>
      </c>
      <c r="R178" s="67">
        <f>IF(AND(B178="",C178="",D178="",G178="",F178=""),1,0)</f>
        <v/>
      </c>
      <c r="S178" s="68">
        <f>IF(AND(TaxOn="Yes",ISNUMBER(H178)),H178,0)</f>
        <v/>
      </c>
      <c r="T178" s="67">
        <f>IF(R178=1,"",IF(B178="","Enter a bill #",IF(D178="","Select a vendor",IF(C178="","Missing bill date",IF(NOT(ISNUMBER(C178)),"Invalid date",IF(OR(C178&lt;DATE(2000,1,1),C178&gt;DATE(2099,12,31)),"Invalid date",IF(F178="","Select an expense account",IF(ISNA(MATCH(F178,coa_Name,0)),"Unknown account: "&amp;F178,IF(NOT(ISNUMBER(G178)),"Enter an amount",IF(G178&lt;=0,"Amount must be positive",IF(S178&gt;G178,"Tax is larger than the amount","")))))))))))</f>
        <v/>
      </c>
      <c r="U178" s="67">
        <f>IF(OR(R178=1,T178&lt;&gt;""),"",IF(COUNTIFS(ap_No,B178,ap_Party,D178)&gt;1,"Duplicate bill #",IF(N(L178)&lt;0,"Overpaid by "&amp;TEXT(-L178,"#,##0.00"),IF(AND(ISNUMBER(H178),N(H178)&lt;&gt;0,S178=0),"Tax ignored (tax tracking is off)",IF(AND(ISNUMBER(StartDate),C178&lt;StartDate),"Date is before the accounting start date",IF(OR(IFERROR(INDEX(coa_Type,MATCH(F178,coa_Name,0)),"")="Revenue",IFERROR(INDEX(coa_Type,MATCH(F178,coa_Name,0)),"")="Other Income",IFERROR(INDEX(coa_Type,MATCH(F178,coa_Name,0)),"")="Equity"),"Account is not an expense or asset account",""))))))</f>
        <v/>
      </c>
      <c r="V178" s="67">
        <f>IF(AND(R178=0,T178=""),1,0)</f>
        <v/>
      </c>
      <c r="W178" s="67">
        <f>IF(V178=1,F178,"")</f>
        <v/>
      </c>
      <c r="X178" s="67">
        <f>IF(V178=1,acctAP,"")</f>
        <v/>
      </c>
      <c r="Y178" s="68">
        <f>IF(V178=1,G178-S178,0)</f>
        <v/>
      </c>
      <c r="Z178" s="68">
        <f>IF(V178=1,G178,0)</f>
        <v/>
      </c>
      <c r="AA178" s="68">
        <f>IF(V178=1,S178,0)</f>
        <v/>
      </c>
    </row>
    <row r="179">
      <c r="B179" s="62" t="n"/>
      <c r="C179" s="63" t="n"/>
      <c r="D179" s="62" t="n"/>
      <c r="E179" s="62" t="n"/>
      <c r="F179" s="62" t="n"/>
      <c r="G179" s="64" t="n"/>
      <c r="H179" s="64" t="n"/>
      <c r="I179" s="63" t="n"/>
      <c r="J179" s="29">
        <f>IF(V179=1,IF(ISNUMBER(I179),I179,C179+IF(ISNUMBER(IFERROR(INDEX(vend_Terms,MATCH(D179,vend_Name,0)),"")),INDEX(vend_Terms,MATCH(D179,vend_Name,0)),TermsDays)),"")</f>
        <v/>
      </c>
      <c r="K179" s="65">
        <f>IF(V179=1,SUMIFS(tx_CrAmt,tx_Type,"Bill Payment",tx_Ref,B179&amp;"",tx_Vend,D179,tx_Date,"&lt;="&amp;AsOf),"")</f>
        <v/>
      </c>
      <c r="L179" s="65">
        <f>IF(V179=1,IF(C179&gt;AsOf,0,ROUND(G179-K179,2)),"")</f>
        <v/>
      </c>
      <c r="M179" s="66">
        <f>IF(V179&lt;&gt;1,"",IF(C179&gt;AsOf,"Future",IF(L179&lt;0,"Overpaid",IF(L179=0,"Paid",IF(AsOf&gt;J179,"Overdue",IF(K179&gt;0,"Partial","Unpaid"))))))</f>
        <v/>
      </c>
      <c r="N179" s="28">
        <f>IF(AND(V179=1,N(L179)&gt;0),AsOf-C179,"")</f>
        <v/>
      </c>
      <c r="O179" s="28">
        <f>IF(N179="","",MAX(0,AsOf-J179))</f>
        <v/>
      </c>
      <c r="P179" s="66">
        <f>IF(O179="","",IF(O179=0,"Current",IF(O179&lt;=30,"1-30",IF(O179&lt;=60,"31-60",IF(O179&lt;=90,"61-90","90+")))))</f>
        <v/>
      </c>
      <c r="Q179" s="66">
        <f>IF(T179&lt;&gt;"","⛔ "&amp;T179&amp;" — not posted",IF(U179&lt;&gt;"","⚠ "&amp;U179,IF(V179=1,"✓ OK","")))</f>
        <v/>
      </c>
      <c r="R179" s="67">
        <f>IF(AND(B179="",C179="",D179="",G179="",F179=""),1,0)</f>
        <v/>
      </c>
      <c r="S179" s="68">
        <f>IF(AND(TaxOn="Yes",ISNUMBER(H179)),H179,0)</f>
        <v/>
      </c>
      <c r="T179" s="67">
        <f>IF(R179=1,"",IF(B179="","Enter a bill #",IF(D179="","Select a vendor",IF(C179="","Missing bill date",IF(NOT(ISNUMBER(C179)),"Invalid date",IF(OR(C179&lt;DATE(2000,1,1),C179&gt;DATE(2099,12,31)),"Invalid date",IF(F179="","Select an expense account",IF(ISNA(MATCH(F179,coa_Name,0)),"Unknown account: "&amp;F179,IF(NOT(ISNUMBER(G179)),"Enter an amount",IF(G179&lt;=0,"Amount must be positive",IF(S179&gt;G179,"Tax is larger than the amount","")))))))))))</f>
        <v/>
      </c>
      <c r="U179" s="67">
        <f>IF(OR(R179=1,T179&lt;&gt;""),"",IF(COUNTIFS(ap_No,B179,ap_Party,D179)&gt;1,"Duplicate bill #",IF(N(L179)&lt;0,"Overpaid by "&amp;TEXT(-L179,"#,##0.00"),IF(AND(ISNUMBER(H179),N(H179)&lt;&gt;0,S179=0),"Tax ignored (tax tracking is off)",IF(AND(ISNUMBER(StartDate),C179&lt;StartDate),"Date is before the accounting start date",IF(OR(IFERROR(INDEX(coa_Type,MATCH(F179,coa_Name,0)),"")="Revenue",IFERROR(INDEX(coa_Type,MATCH(F179,coa_Name,0)),"")="Other Income",IFERROR(INDEX(coa_Type,MATCH(F179,coa_Name,0)),"")="Equity"),"Account is not an expense or asset account",""))))))</f>
        <v/>
      </c>
      <c r="V179" s="67">
        <f>IF(AND(R179=0,T179=""),1,0)</f>
        <v/>
      </c>
      <c r="W179" s="67">
        <f>IF(V179=1,F179,"")</f>
        <v/>
      </c>
      <c r="X179" s="67">
        <f>IF(V179=1,acctAP,"")</f>
        <v/>
      </c>
      <c r="Y179" s="68">
        <f>IF(V179=1,G179-S179,0)</f>
        <v/>
      </c>
      <c r="Z179" s="68">
        <f>IF(V179=1,G179,0)</f>
        <v/>
      </c>
      <c r="AA179" s="68">
        <f>IF(V179=1,S179,0)</f>
        <v/>
      </c>
    </row>
    <row r="180">
      <c r="B180" s="62" t="n"/>
      <c r="C180" s="63" t="n"/>
      <c r="D180" s="62" t="n"/>
      <c r="E180" s="62" t="n"/>
      <c r="F180" s="62" t="n"/>
      <c r="G180" s="64" t="n"/>
      <c r="H180" s="64" t="n"/>
      <c r="I180" s="63" t="n"/>
      <c r="J180" s="29">
        <f>IF(V180=1,IF(ISNUMBER(I180),I180,C180+IF(ISNUMBER(IFERROR(INDEX(vend_Terms,MATCH(D180,vend_Name,0)),"")),INDEX(vend_Terms,MATCH(D180,vend_Name,0)),TermsDays)),"")</f>
        <v/>
      </c>
      <c r="K180" s="65">
        <f>IF(V180=1,SUMIFS(tx_CrAmt,tx_Type,"Bill Payment",tx_Ref,B180&amp;"",tx_Vend,D180,tx_Date,"&lt;="&amp;AsOf),"")</f>
        <v/>
      </c>
      <c r="L180" s="65">
        <f>IF(V180=1,IF(C180&gt;AsOf,0,ROUND(G180-K180,2)),"")</f>
        <v/>
      </c>
      <c r="M180" s="66">
        <f>IF(V180&lt;&gt;1,"",IF(C180&gt;AsOf,"Future",IF(L180&lt;0,"Overpaid",IF(L180=0,"Paid",IF(AsOf&gt;J180,"Overdue",IF(K180&gt;0,"Partial","Unpaid"))))))</f>
        <v/>
      </c>
      <c r="N180" s="28">
        <f>IF(AND(V180=1,N(L180)&gt;0),AsOf-C180,"")</f>
        <v/>
      </c>
      <c r="O180" s="28">
        <f>IF(N180="","",MAX(0,AsOf-J180))</f>
        <v/>
      </c>
      <c r="P180" s="66">
        <f>IF(O180="","",IF(O180=0,"Current",IF(O180&lt;=30,"1-30",IF(O180&lt;=60,"31-60",IF(O180&lt;=90,"61-90","90+")))))</f>
        <v/>
      </c>
      <c r="Q180" s="66">
        <f>IF(T180&lt;&gt;"","⛔ "&amp;T180&amp;" — not posted",IF(U180&lt;&gt;"","⚠ "&amp;U180,IF(V180=1,"✓ OK","")))</f>
        <v/>
      </c>
      <c r="R180" s="67">
        <f>IF(AND(B180="",C180="",D180="",G180="",F180=""),1,0)</f>
        <v/>
      </c>
      <c r="S180" s="68">
        <f>IF(AND(TaxOn="Yes",ISNUMBER(H180)),H180,0)</f>
        <v/>
      </c>
      <c r="T180" s="67">
        <f>IF(R180=1,"",IF(B180="","Enter a bill #",IF(D180="","Select a vendor",IF(C180="","Missing bill date",IF(NOT(ISNUMBER(C180)),"Invalid date",IF(OR(C180&lt;DATE(2000,1,1),C180&gt;DATE(2099,12,31)),"Invalid date",IF(F180="","Select an expense account",IF(ISNA(MATCH(F180,coa_Name,0)),"Unknown account: "&amp;F180,IF(NOT(ISNUMBER(G180)),"Enter an amount",IF(G180&lt;=0,"Amount must be positive",IF(S180&gt;G180,"Tax is larger than the amount","")))))))))))</f>
        <v/>
      </c>
      <c r="U180" s="67">
        <f>IF(OR(R180=1,T180&lt;&gt;""),"",IF(COUNTIFS(ap_No,B180,ap_Party,D180)&gt;1,"Duplicate bill #",IF(N(L180)&lt;0,"Overpaid by "&amp;TEXT(-L180,"#,##0.00"),IF(AND(ISNUMBER(H180),N(H180)&lt;&gt;0,S180=0),"Tax ignored (tax tracking is off)",IF(AND(ISNUMBER(StartDate),C180&lt;StartDate),"Date is before the accounting start date",IF(OR(IFERROR(INDEX(coa_Type,MATCH(F180,coa_Name,0)),"")="Revenue",IFERROR(INDEX(coa_Type,MATCH(F180,coa_Name,0)),"")="Other Income",IFERROR(INDEX(coa_Type,MATCH(F180,coa_Name,0)),"")="Equity"),"Account is not an expense or asset account",""))))))</f>
        <v/>
      </c>
      <c r="V180" s="67">
        <f>IF(AND(R180=0,T180=""),1,0)</f>
        <v/>
      </c>
      <c r="W180" s="67">
        <f>IF(V180=1,F180,"")</f>
        <v/>
      </c>
      <c r="X180" s="67">
        <f>IF(V180=1,acctAP,"")</f>
        <v/>
      </c>
      <c r="Y180" s="68">
        <f>IF(V180=1,G180-S180,0)</f>
        <v/>
      </c>
      <c r="Z180" s="68">
        <f>IF(V180=1,G180,0)</f>
        <v/>
      </c>
      <c r="AA180" s="68">
        <f>IF(V180=1,S180,0)</f>
        <v/>
      </c>
    </row>
    <row r="181">
      <c r="B181" s="62" t="n"/>
      <c r="C181" s="63" t="n"/>
      <c r="D181" s="62" t="n"/>
      <c r="E181" s="62" t="n"/>
      <c r="F181" s="62" t="n"/>
      <c r="G181" s="64" t="n"/>
      <c r="H181" s="64" t="n"/>
      <c r="I181" s="63" t="n"/>
      <c r="J181" s="29">
        <f>IF(V181=1,IF(ISNUMBER(I181),I181,C181+IF(ISNUMBER(IFERROR(INDEX(vend_Terms,MATCH(D181,vend_Name,0)),"")),INDEX(vend_Terms,MATCH(D181,vend_Name,0)),TermsDays)),"")</f>
        <v/>
      </c>
      <c r="K181" s="65">
        <f>IF(V181=1,SUMIFS(tx_CrAmt,tx_Type,"Bill Payment",tx_Ref,B181&amp;"",tx_Vend,D181,tx_Date,"&lt;="&amp;AsOf),"")</f>
        <v/>
      </c>
      <c r="L181" s="65">
        <f>IF(V181=1,IF(C181&gt;AsOf,0,ROUND(G181-K181,2)),"")</f>
        <v/>
      </c>
      <c r="M181" s="66">
        <f>IF(V181&lt;&gt;1,"",IF(C181&gt;AsOf,"Future",IF(L181&lt;0,"Overpaid",IF(L181=0,"Paid",IF(AsOf&gt;J181,"Overdue",IF(K181&gt;0,"Partial","Unpaid"))))))</f>
        <v/>
      </c>
      <c r="N181" s="28">
        <f>IF(AND(V181=1,N(L181)&gt;0),AsOf-C181,"")</f>
        <v/>
      </c>
      <c r="O181" s="28">
        <f>IF(N181="","",MAX(0,AsOf-J181))</f>
        <v/>
      </c>
      <c r="P181" s="66">
        <f>IF(O181="","",IF(O181=0,"Current",IF(O181&lt;=30,"1-30",IF(O181&lt;=60,"31-60",IF(O181&lt;=90,"61-90","90+")))))</f>
        <v/>
      </c>
      <c r="Q181" s="66">
        <f>IF(T181&lt;&gt;"","⛔ "&amp;T181&amp;" — not posted",IF(U181&lt;&gt;"","⚠ "&amp;U181,IF(V181=1,"✓ OK","")))</f>
        <v/>
      </c>
      <c r="R181" s="67">
        <f>IF(AND(B181="",C181="",D181="",G181="",F181=""),1,0)</f>
        <v/>
      </c>
      <c r="S181" s="68">
        <f>IF(AND(TaxOn="Yes",ISNUMBER(H181)),H181,0)</f>
        <v/>
      </c>
      <c r="T181" s="67">
        <f>IF(R181=1,"",IF(B181="","Enter a bill #",IF(D181="","Select a vendor",IF(C181="","Missing bill date",IF(NOT(ISNUMBER(C181)),"Invalid date",IF(OR(C181&lt;DATE(2000,1,1),C181&gt;DATE(2099,12,31)),"Invalid date",IF(F181="","Select an expense account",IF(ISNA(MATCH(F181,coa_Name,0)),"Unknown account: "&amp;F181,IF(NOT(ISNUMBER(G181)),"Enter an amount",IF(G181&lt;=0,"Amount must be positive",IF(S181&gt;G181,"Tax is larger than the amount","")))))))))))</f>
        <v/>
      </c>
      <c r="U181" s="67">
        <f>IF(OR(R181=1,T181&lt;&gt;""),"",IF(COUNTIFS(ap_No,B181,ap_Party,D181)&gt;1,"Duplicate bill #",IF(N(L181)&lt;0,"Overpaid by "&amp;TEXT(-L181,"#,##0.00"),IF(AND(ISNUMBER(H181),N(H181)&lt;&gt;0,S181=0),"Tax ignored (tax tracking is off)",IF(AND(ISNUMBER(StartDate),C181&lt;StartDate),"Date is before the accounting start date",IF(OR(IFERROR(INDEX(coa_Type,MATCH(F181,coa_Name,0)),"")="Revenue",IFERROR(INDEX(coa_Type,MATCH(F181,coa_Name,0)),"")="Other Income",IFERROR(INDEX(coa_Type,MATCH(F181,coa_Name,0)),"")="Equity"),"Account is not an expense or asset account",""))))))</f>
        <v/>
      </c>
      <c r="V181" s="67">
        <f>IF(AND(R181=0,T181=""),1,0)</f>
        <v/>
      </c>
      <c r="W181" s="67">
        <f>IF(V181=1,F181,"")</f>
        <v/>
      </c>
      <c r="X181" s="67">
        <f>IF(V181=1,acctAP,"")</f>
        <v/>
      </c>
      <c r="Y181" s="68">
        <f>IF(V181=1,G181-S181,0)</f>
        <v/>
      </c>
      <c r="Z181" s="68">
        <f>IF(V181=1,G181,0)</f>
        <v/>
      </c>
      <c r="AA181" s="68">
        <f>IF(V181=1,S181,0)</f>
        <v/>
      </c>
    </row>
    <row r="182">
      <c r="B182" s="62" t="n"/>
      <c r="C182" s="63" t="n"/>
      <c r="D182" s="62" t="n"/>
      <c r="E182" s="62" t="n"/>
      <c r="F182" s="62" t="n"/>
      <c r="G182" s="64" t="n"/>
      <c r="H182" s="64" t="n"/>
      <c r="I182" s="63" t="n"/>
      <c r="J182" s="29">
        <f>IF(V182=1,IF(ISNUMBER(I182),I182,C182+IF(ISNUMBER(IFERROR(INDEX(vend_Terms,MATCH(D182,vend_Name,0)),"")),INDEX(vend_Terms,MATCH(D182,vend_Name,0)),TermsDays)),"")</f>
        <v/>
      </c>
      <c r="K182" s="65">
        <f>IF(V182=1,SUMIFS(tx_CrAmt,tx_Type,"Bill Payment",tx_Ref,B182&amp;"",tx_Vend,D182,tx_Date,"&lt;="&amp;AsOf),"")</f>
        <v/>
      </c>
      <c r="L182" s="65">
        <f>IF(V182=1,IF(C182&gt;AsOf,0,ROUND(G182-K182,2)),"")</f>
        <v/>
      </c>
      <c r="M182" s="66">
        <f>IF(V182&lt;&gt;1,"",IF(C182&gt;AsOf,"Future",IF(L182&lt;0,"Overpaid",IF(L182=0,"Paid",IF(AsOf&gt;J182,"Overdue",IF(K182&gt;0,"Partial","Unpaid"))))))</f>
        <v/>
      </c>
      <c r="N182" s="28">
        <f>IF(AND(V182=1,N(L182)&gt;0),AsOf-C182,"")</f>
        <v/>
      </c>
      <c r="O182" s="28">
        <f>IF(N182="","",MAX(0,AsOf-J182))</f>
        <v/>
      </c>
      <c r="P182" s="66">
        <f>IF(O182="","",IF(O182=0,"Current",IF(O182&lt;=30,"1-30",IF(O182&lt;=60,"31-60",IF(O182&lt;=90,"61-90","90+")))))</f>
        <v/>
      </c>
      <c r="Q182" s="66">
        <f>IF(T182&lt;&gt;"","⛔ "&amp;T182&amp;" — not posted",IF(U182&lt;&gt;"","⚠ "&amp;U182,IF(V182=1,"✓ OK","")))</f>
        <v/>
      </c>
      <c r="R182" s="67">
        <f>IF(AND(B182="",C182="",D182="",G182="",F182=""),1,0)</f>
        <v/>
      </c>
      <c r="S182" s="68">
        <f>IF(AND(TaxOn="Yes",ISNUMBER(H182)),H182,0)</f>
        <v/>
      </c>
      <c r="T182" s="67">
        <f>IF(R182=1,"",IF(B182="","Enter a bill #",IF(D182="","Select a vendor",IF(C182="","Missing bill date",IF(NOT(ISNUMBER(C182)),"Invalid date",IF(OR(C182&lt;DATE(2000,1,1),C182&gt;DATE(2099,12,31)),"Invalid date",IF(F182="","Select an expense account",IF(ISNA(MATCH(F182,coa_Name,0)),"Unknown account: "&amp;F182,IF(NOT(ISNUMBER(G182)),"Enter an amount",IF(G182&lt;=0,"Amount must be positive",IF(S182&gt;G182,"Tax is larger than the amount","")))))))))))</f>
        <v/>
      </c>
      <c r="U182" s="67">
        <f>IF(OR(R182=1,T182&lt;&gt;""),"",IF(COUNTIFS(ap_No,B182,ap_Party,D182)&gt;1,"Duplicate bill #",IF(N(L182)&lt;0,"Overpaid by "&amp;TEXT(-L182,"#,##0.00"),IF(AND(ISNUMBER(H182),N(H182)&lt;&gt;0,S182=0),"Tax ignored (tax tracking is off)",IF(AND(ISNUMBER(StartDate),C182&lt;StartDate),"Date is before the accounting start date",IF(OR(IFERROR(INDEX(coa_Type,MATCH(F182,coa_Name,0)),"")="Revenue",IFERROR(INDEX(coa_Type,MATCH(F182,coa_Name,0)),"")="Other Income",IFERROR(INDEX(coa_Type,MATCH(F182,coa_Name,0)),"")="Equity"),"Account is not an expense or asset account",""))))))</f>
        <v/>
      </c>
      <c r="V182" s="67">
        <f>IF(AND(R182=0,T182=""),1,0)</f>
        <v/>
      </c>
      <c r="W182" s="67">
        <f>IF(V182=1,F182,"")</f>
        <v/>
      </c>
      <c r="X182" s="67">
        <f>IF(V182=1,acctAP,"")</f>
        <v/>
      </c>
      <c r="Y182" s="68">
        <f>IF(V182=1,G182-S182,0)</f>
        <v/>
      </c>
      <c r="Z182" s="68">
        <f>IF(V182=1,G182,0)</f>
        <v/>
      </c>
      <c r="AA182" s="68">
        <f>IF(V182=1,S182,0)</f>
        <v/>
      </c>
    </row>
    <row r="183">
      <c r="B183" s="62" t="n"/>
      <c r="C183" s="63" t="n"/>
      <c r="D183" s="62" t="n"/>
      <c r="E183" s="62" t="n"/>
      <c r="F183" s="62" t="n"/>
      <c r="G183" s="64" t="n"/>
      <c r="H183" s="64" t="n"/>
      <c r="I183" s="63" t="n"/>
      <c r="J183" s="29">
        <f>IF(V183=1,IF(ISNUMBER(I183),I183,C183+IF(ISNUMBER(IFERROR(INDEX(vend_Terms,MATCH(D183,vend_Name,0)),"")),INDEX(vend_Terms,MATCH(D183,vend_Name,0)),TermsDays)),"")</f>
        <v/>
      </c>
      <c r="K183" s="65">
        <f>IF(V183=1,SUMIFS(tx_CrAmt,tx_Type,"Bill Payment",tx_Ref,B183&amp;"",tx_Vend,D183,tx_Date,"&lt;="&amp;AsOf),"")</f>
        <v/>
      </c>
      <c r="L183" s="65">
        <f>IF(V183=1,IF(C183&gt;AsOf,0,ROUND(G183-K183,2)),"")</f>
        <v/>
      </c>
      <c r="M183" s="66">
        <f>IF(V183&lt;&gt;1,"",IF(C183&gt;AsOf,"Future",IF(L183&lt;0,"Overpaid",IF(L183=0,"Paid",IF(AsOf&gt;J183,"Overdue",IF(K183&gt;0,"Partial","Unpaid"))))))</f>
        <v/>
      </c>
      <c r="N183" s="28">
        <f>IF(AND(V183=1,N(L183)&gt;0),AsOf-C183,"")</f>
        <v/>
      </c>
      <c r="O183" s="28">
        <f>IF(N183="","",MAX(0,AsOf-J183))</f>
        <v/>
      </c>
      <c r="P183" s="66">
        <f>IF(O183="","",IF(O183=0,"Current",IF(O183&lt;=30,"1-30",IF(O183&lt;=60,"31-60",IF(O183&lt;=90,"61-90","90+")))))</f>
        <v/>
      </c>
      <c r="Q183" s="66">
        <f>IF(T183&lt;&gt;"","⛔ "&amp;T183&amp;" — not posted",IF(U183&lt;&gt;"","⚠ "&amp;U183,IF(V183=1,"✓ OK","")))</f>
        <v/>
      </c>
      <c r="R183" s="67">
        <f>IF(AND(B183="",C183="",D183="",G183="",F183=""),1,0)</f>
        <v/>
      </c>
      <c r="S183" s="68">
        <f>IF(AND(TaxOn="Yes",ISNUMBER(H183)),H183,0)</f>
        <v/>
      </c>
      <c r="T183" s="67">
        <f>IF(R183=1,"",IF(B183="","Enter a bill #",IF(D183="","Select a vendor",IF(C183="","Missing bill date",IF(NOT(ISNUMBER(C183)),"Invalid date",IF(OR(C183&lt;DATE(2000,1,1),C183&gt;DATE(2099,12,31)),"Invalid date",IF(F183="","Select an expense account",IF(ISNA(MATCH(F183,coa_Name,0)),"Unknown account: "&amp;F183,IF(NOT(ISNUMBER(G183)),"Enter an amount",IF(G183&lt;=0,"Amount must be positive",IF(S183&gt;G183,"Tax is larger than the amount","")))))))))))</f>
        <v/>
      </c>
      <c r="U183" s="67">
        <f>IF(OR(R183=1,T183&lt;&gt;""),"",IF(COUNTIFS(ap_No,B183,ap_Party,D183)&gt;1,"Duplicate bill #",IF(N(L183)&lt;0,"Overpaid by "&amp;TEXT(-L183,"#,##0.00"),IF(AND(ISNUMBER(H183),N(H183)&lt;&gt;0,S183=0),"Tax ignored (tax tracking is off)",IF(AND(ISNUMBER(StartDate),C183&lt;StartDate),"Date is before the accounting start date",IF(OR(IFERROR(INDEX(coa_Type,MATCH(F183,coa_Name,0)),"")="Revenue",IFERROR(INDEX(coa_Type,MATCH(F183,coa_Name,0)),"")="Other Income",IFERROR(INDEX(coa_Type,MATCH(F183,coa_Name,0)),"")="Equity"),"Account is not an expense or asset account",""))))))</f>
        <v/>
      </c>
      <c r="V183" s="67">
        <f>IF(AND(R183=0,T183=""),1,0)</f>
        <v/>
      </c>
      <c r="W183" s="67">
        <f>IF(V183=1,F183,"")</f>
        <v/>
      </c>
      <c r="X183" s="67">
        <f>IF(V183=1,acctAP,"")</f>
        <v/>
      </c>
      <c r="Y183" s="68">
        <f>IF(V183=1,G183-S183,0)</f>
        <v/>
      </c>
      <c r="Z183" s="68">
        <f>IF(V183=1,G183,0)</f>
        <v/>
      </c>
      <c r="AA183" s="68">
        <f>IF(V183=1,S183,0)</f>
        <v/>
      </c>
    </row>
    <row r="184">
      <c r="B184" s="62" t="n"/>
      <c r="C184" s="63" t="n"/>
      <c r="D184" s="62" t="n"/>
      <c r="E184" s="62" t="n"/>
      <c r="F184" s="62" t="n"/>
      <c r="G184" s="64" t="n"/>
      <c r="H184" s="64" t="n"/>
      <c r="I184" s="63" t="n"/>
      <c r="J184" s="29">
        <f>IF(V184=1,IF(ISNUMBER(I184),I184,C184+IF(ISNUMBER(IFERROR(INDEX(vend_Terms,MATCH(D184,vend_Name,0)),"")),INDEX(vend_Terms,MATCH(D184,vend_Name,0)),TermsDays)),"")</f>
        <v/>
      </c>
      <c r="K184" s="65">
        <f>IF(V184=1,SUMIFS(tx_CrAmt,tx_Type,"Bill Payment",tx_Ref,B184&amp;"",tx_Vend,D184,tx_Date,"&lt;="&amp;AsOf),"")</f>
        <v/>
      </c>
      <c r="L184" s="65">
        <f>IF(V184=1,IF(C184&gt;AsOf,0,ROUND(G184-K184,2)),"")</f>
        <v/>
      </c>
      <c r="M184" s="66">
        <f>IF(V184&lt;&gt;1,"",IF(C184&gt;AsOf,"Future",IF(L184&lt;0,"Overpaid",IF(L184=0,"Paid",IF(AsOf&gt;J184,"Overdue",IF(K184&gt;0,"Partial","Unpaid"))))))</f>
        <v/>
      </c>
      <c r="N184" s="28">
        <f>IF(AND(V184=1,N(L184)&gt;0),AsOf-C184,"")</f>
        <v/>
      </c>
      <c r="O184" s="28">
        <f>IF(N184="","",MAX(0,AsOf-J184))</f>
        <v/>
      </c>
      <c r="P184" s="66">
        <f>IF(O184="","",IF(O184=0,"Current",IF(O184&lt;=30,"1-30",IF(O184&lt;=60,"31-60",IF(O184&lt;=90,"61-90","90+")))))</f>
        <v/>
      </c>
      <c r="Q184" s="66">
        <f>IF(T184&lt;&gt;"","⛔ "&amp;T184&amp;" — not posted",IF(U184&lt;&gt;"","⚠ "&amp;U184,IF(V184=1,"✓ OK","")))</f>
        <v/>
      </c>
      <c r="R184" s="67">
        <f>IF(AND(B184="",C184="",D184="",G184="",F184=""),1,0)</f>
        <v/>
      </c>
      <c r="S184" s="68">
        <f>IF(AND(TaxOn="Yes",ISNUMBER(H184)),H184,0)</f>
        <v/>
      </c>
      <c r="T184" s="67">
        <f>IF(R184=1,"",IF(B184="","Enter a bill #",IF(D184="","Select a vendor",IF(C184="","Missing bill date",IF(NOT(ISNUMBER(C184)),"Invalid date",IF(OR(C184&lt;DATE(2000,1,1),C184&gt;DATE(2099,12,31)),"Invalid date",IF(F184="","Select an expense account",IF(ISNA(MATCH(F184,coa_Name,0)),"Unknown account: "&amp;F184,IF(NOT(ISNUMBER(G184)),"Enter an amount",IF(G184&lt;=0,"Amount must be positive",IF(S184&gt;G184,"Tax is larger than the amount","")))))))))))</f>
        <v/>
      </c>
      <c r="U184" s="67">
        <f>IF(OR(R184=1,T184&lt;&gt;""),"",IF(COUNTIFS(ap_No,B184,ap_Party,D184)&gt;1,"Duplicate bill #",IF(N(L184)&lt;0,"Overpaid by "&amp;TEXT(-L184,"#,##0.00"),IF(AND(ISNUMBER(H184),N(H184)&lt;&gt;0,S184=0),"Tax ignored (tax tracking is off)",IF(AND(ISNUMBER(StartDate),C184&lt;StartDate),"Date is before the accounting start date",IF(OR(IFERROR(INDEX(coa_Type,MATCH(F184,coa_Name,0)),"")="Revenue",IFERROR(INDEX(coa_Type,MATCH(F184,coa_Name,0)),"")="Other Income",IFERROR(INDEX(coa_Type,MATCH(F184,coa_Name,0)),"")="Equity"),"Account is not an expense or asset account",""))))))</f>
        <v/>
      </c>
      <c r="V184" s="67">
        <f>IF(AND(R184=0,T184=""),1,0)</f>
        <v/>
      </c>
      <c r="W184" s="67">
        <f>IF(V184=1,F184,"")</f>
        <v/>
      </c>
      <c r="X184" s="67">
        <f>IF(V184=1,acctAP,"")</f>
        <v/>
      </c>
      <c r="Y184" s="68">
        <f>IF(V184=1,G184-S184,0)</f>
        <v/>
      </c>
      <c r="Z184" s="68">
        <f>IF(V184=1,G184,0)</f>
        <v/>
      </c>
      <c r="AA184" s="68">
        <f>IF(V184=1,S184,0)</f>
        <v/>
      </c>
    </row>
    <row r="185">
      <c r="B185" s="62" t="n"/>
      <c r="C185" s="63" t="n"/>
      <c r="D185" s="62" t="n"/>
      <c r="E185" s="62" t="n"/>
      <c r="F185" s="62" t="n"/>
      <c r="G185" s="64" t="n"/>
      <c r="H185" s="64" t="n"/>
      <c r="I185" s="63" t="n"/>
      <c r="J185" s="29">
        <f>IF(V185=1,IF(ISNUMBER(I185),I185,C185+IF(ISNUMBER(IFERROR(INDEX(vend_Terms,MATCH(D185,vend_Name,0)),"")),INDEX(vend_Terms,MATCH(D185,vend_Name,0)),TermsDays)),"")</f>
        <v/>
      </c>
      <c r="K185" s="65">
        <f>IF(V185=1,SUMIFS(tx_CrAmt,tx_Type,"Bill Payment",tx_Ref,B185&amp;"",tx_Vend,D185,tx_Date,"&lt;="&amp;AsOf),"")</f>
        <v/>
      </c>
      <c r="L185" s="65">
        <f>IF(V185=1,IF(C185&gt;AsOf,0,ROUND(G185-K185,2)),"")</f>
        <v/>
      </c>
      <c r="M185" s="66">
        <f>IF(V185&lt;&gt;1,"",IF(C185&gt;AsOf,"Future",IF(L185&lt;0,"Overpaid",IF(L185=0,"Paid",IF(AsOf&gt;J185,"Overdue",IF(K185&gt;0,"Partial","Unpaid"))))))</f>
        <v/>
      </c>
      <c r="N185" s="28">
        <f>IF(AND(V185=1,N(L185)&gt;0),AsOf-C185,"")</f>
        <v/>
      </c>
      <c r="O185" s="28">
        <f>IF(N185="","",MAX(0,AsOf-J185))</f>
        <v/>
      </c>
      <c r="P185" s="66">
        <f>IF(O185="","",IF(O185=0,"Current",IF(O185&lt;=30,"1-30",IF(O185&lt;=60,"31-60",IF(O185&lt;=90,"61-90","90+")))))</f>
        <v/>
      </c>
      <c r="Q185" s="66">
        <f>IF(T185&lt;&gt;"","⛔ "&amp;T185&amp;" — not posted",IF(U185&lt;&gt;"","⚠ "&amp;U185,IF(V185=1,"✓ OK","")))</f>
        <v/>
      </c>
      <c r="R185" s="67">
        <f>IF(AND(B185="",C185="",D185="",G185="",F185=""),1,0)</f>
        <v/>
      </c>
      <c r="S185" s="68">
        <f>IF(AND(TaxOn="Yes",ISNUMBER(H185)),H185,0)</f>
        <v/>
      </c>
      <c r="T185" s="67">
        <f>IF(R185=1,"",IF(B185="","Enter a bill #",IF(D185="","Select a vendor",IF(C185="","Missing bill date",IF(NOT(ISNUMBER(C185)),"Invalid date",IF(OR(C185&lt;DATE(2000,1,1),C185&gt;DATE(2099,12,31)),"Invalid date",IF(F185="","Select an expense account",IF(ISNA(MATCH(F185,coa_Name,0)),"Unknown account: "&amp;F185,IF(NOT(ISNUMBER(G185)),"Enter an amount",IF(G185&lt;=0,"Amount must be positive",IF(S185&gt;G185,"Tax is larger than the amount","")))))))))))</f>
        <v/>
      </c>
      <c r="U185" s="67">
        <f>IF(OR(R185=1,T185&lt;&gt;""),"",IF(COUNTIFS(ap_No,B185,ap_Party,D185)&gt;1,"Duplicate bill #",IF(N(L185)&lt;0,"Overpaid by "&amp;TEXT(-L185,"#,##0.00"),IF(AND(ISNUMBER(H185),N(H185)&lt;&gt;0,S185=0),"Tax ignored (tax tracking is off)",IF(AND(ISNUMBER(StartDate),C185&lt;StartDate),"Date is before the accounting start date",IF(OR(IFERROR(INDEX(coa_Type,MATCH(F185,coa_Name,0)),"")="Revenue",IFERROR(INDEX(coa_Type,MATCH(F185,coa_Name,0)),"")="Other Income",IFERROR(INDEX(coa_Type,MATCH(F185,coa_Name,0)),"")="Equity"),"Account is not an expense or asset account",""))))))</f>
        <v/>
      </c>
      <c r="V185" s="67">
        <f>IF(AND(R185=0,T185=""),1,0)</f>
        <v/>
      </c>
      <c r="W185" s="67">
        <f>IF(V185=1,F185,"")</f>
        <v/>
      </c>
      <c r="X185" s="67">
        <f>IF(V185=1,acctAP,"")</f>
        <v/>
      </c>
      <c r="Y185" s="68">
        <f>IF(V185=1,G185-S185,0)</f>
        <v/>
      </c>
      <c r="Z185" s="68">
        <f>IF(V185=1,G185,0)</f>
        <v/>
      </c>
      <c r="AA185" s="68">
        <f>IF(V185=1,S185,0)</f>
        <v/>
      </c>
    </row>
    <row r="186">
      <c r="B186" s="62" t="n"/>
      <c r="C186" s="63" t="n"/>
      <c r="D186" s="62" t="n"/>
      <c r="E186" s="62" t="n"/>
      <c r="F186" s="62" t="n"/>
      <c r="G186" s="64" t="n"/>
      <c r="H186" s="64" t="n"/>
      <c r="I186" s="63" t="n"/>
      <c r="J186" s="29">
        <f>IF(V186=1,IF(ISNUMBER(I186),I186,C186+IF(ISNUMBER(IFERROR(INDEX(vend_Terms,MATCH(D186,vend_Name,0)),"")),INDEX(vend_Terms,MATCH(D186,vend_Name,0)),TermsDays)),"")</f>
        <v/>
      </c>
      <c r="K186" s="65">
        <f>IF(V186=1,SUMIFS(tx_CrAmt,tx_Type,"Bill Payment",tx_Ref,B186&amp;"",tx_Vend,D186,tx_Date,"&lt;="&amp;AsOf),"")</f>
        <v/>
      </c>
      <c r="L186" s="65">
        <f>IF(V186=1,IF(C186&gt;AsOf,0,ROUND(G186-K186,2)),"")</f>
        <v/>
      </c>
      <c r="M186" s="66">
        <f>IF(V186&lt;&gt;1,"",IF(C186&gt;AsOf,"Future",IF(L186&lt;0,"Overpaid",IF(L186=0,"Paid",IF(AsOf&gt;J186,"Overdue",IF(K186&gt;0,"Partial","Unpaid"))))))</f>
        <v/>
      </c>
      <c r="N186" s="28">
        <f>IF(AND(V186=1,N(L186)&gt;0),AsOf-C186,"")</f>
        <v/>
      </c>
      <c r="O186" s="28">
        <f>IF(N186="","",MAX(0,AsOf-J186))</f>
        <v/>
      </c>
      <c r="P186" s="66">
        <f>IF(O186="","",IF(O186=0,"Current",IF(O186&lt;=30,"1-30",IF(O186&lt;=60,"31-60",IF(O186&lt;=90,"61-90","90+")))))</f>
        <v/>
      </c>
      <c r="Q186" s="66">
        <f>IF(T186&lt;&gt;"","⛔ "&amp;T186&amp;" — not posted",IF(U186&lt;&gt;"","⚠ "&amp;U186,IF(V186=1,"✓ OK","")))</f>
        <v/>
      </c>
      <c r="R186" s="67">
        <f>IF(AND(B186="",C186="",D186="",G186="",F186=""),1,0)</f>
        <v/>
      </c>
      <c r="S186" s="68">
        <f>IF(AND(TaxOn="Yes",ISNUMBER(H186)),H186,0)</f>
        <v/>
      </c>
      <c r="T186" s="67">
        <f>IF(R186=1,"",IF(B186="","Enter a bill #",IF(D186="","Select a vendor",IF(C186="","Missing bill date",IF(NOT(ISNUMBER(C186)),"Invalid date",IF(OR(C186&lt;DATE(2000,1,1),C186&gt;DATE(2099,12,31)),"Invalid date",IF(F186="","Select an expense account",IF(ISNA(MATCH(F186,coa_Name,0)),"Unknown account: "&amp;F186,IF(NOT(ISNUMBER(G186)),"Enter an amount",IF(G186&lt;=0,"Amount must be positive",IF(S186&gt;G186,"Tax is larger than the amount","")))))))))))</f>
        <v/>
      </c>
      <c r="U186" s="67">
        <f>IF(OR(R186=1,T186&lt;&gt;""),"",IF(COUNTIFS(ap_No,B186,ap_Party,D186)&gt;1,"Duplicate bill #",IF(N(L186)&lt;0,"Overpaid by "&amp;TEXT(-L186,"#,##0.00"),IF(AND(ISNUMBER(H186),N(H186)&lt;&gt;0,S186=0),"Tax ignored (tax tracking is off)",IF(AND(ISNUMBER(StartDate),C186&lt;StartDate),"Date is before the accounting start date",IF(OR(IFERROR(INDEX(coa_Type,MATCH(F186,coa_Name,0)),"")="Revenue",IFERROR(INDEX(coa_Type,MATCH(F186,coa_Name,0)),"")="Other Income",IFERROR(INDEX(coa_Type,MATCH(F186,coa_Name,0)),"")="Equity"),"Account is not an expense or asset account",""))))))</f>
        <v/>
      </c>
      <c r="V186" s="67">
        <f>IF(AND(R186=0,T186=""),1,0)</f>
        <v/>
      </c>
      <c r="W186" s="67">
        <f>IF(V186=1,F186,"")</f>
        <v/>
      </c>
      <c r="X186" s="67">
        <f>IF(V186=1,acctAP,"")</f>
        <v/>
      </c>
      <c r="Y186" s="68">
        <f>IF(V186=1,G186-S186,0)</f>
        <v/>
      </c>
      <c r="Z186" s="68">
        <f>IF(V186=1,G186,0)</f>
        <v/>
      </c>
      <c r="AA186" s="68">
        <f>IF(V186=1,S186,0)</f>
        <v/>
      </c>
    </row>
    <row r="187">
      <c r="B187" s="62" t="n"/>
      <c r="C187" s="63" t="n"/>
      <c r="D187" s="62" t="n"/>
      <c r="E187" s="62" t="n"/>
      <c r="F187" s="62" t="n"/>
      <c r="G187" s="64" t="n"/>
      <c r="H187" s="64" t="n"/>
      <c r="I187" s="63" t="n"/>
      <c r="J187" s="29">
        <f>IF(V187=1,IF(ISNUMBER(I187),I187,C187+IF(ISNUMBER(IFERROR(INDEX(vend_Terms,MATCH(D187,vend_Name,0)),"")),INDEX(vend_Terms,MATCH(D187,vend_Name,0)),TermsDays)),"")</f>
        <v/>
      </c>
      <c r="K187" s="65">
        <f>IF(V187=1,SUMIFS(tx_CrAmt,tx_Type,"Bill Payment",tx_Ref,B187&amp;"",tx_Vend,D187,tx_Date,"&lt;="&amp;AsOf),"")</f>
        <v/>
      </c>
      <c r="L187" s="65">
        <f>IF(V187=1,IF(C187&gt;AsOf,0,ROUND(G187-K187,2)),"")</f>
        <v/>
      </c>
      <c r="M187" s="66">
        <f>IF(V187&lt;&gt;1,"",IF(C187&gt;AsOf,"Future",IF(L187&lt;0,"Overpaid",IF(L187=0,"Paid",IF(AsOf&gt;J187,"Overdue",IF(K187&gt;0,"Partial","Unpaid"))))))</f>
        <v/>
      </c>
      <c r="N187" s="28">
        <f>IF(AND(V187=1,N(L187)&gt;0),AsOf-C187,"")</f>
        <v/>
      </c>
      <c r="O187" s="28">
        <f>IF(N187="","",MAX(0,AsOf-J187))</f>
        <v/>
      </c>
      <c r="P187" s="66">
        <f>IF(O187="","",IF(O187=0,"Current",IF(O187&lt;=30,"1-30",IF(O187&lt;=60,"31-60",IF(O187&lt;=90,"61-90","90+")))))</f>
        <v/>
      </c>
      <c r="Q187" s="66">
        <f>IF(T187&lt;&gt;"","⛔ "&amp;T187&amp;" — not posted",IF(U187&lt;&gt;"","⚠ "&amp;U187,IF(V187=1,"✓ OK","")))</f>
        <v/>
      </c>
      <c r="R187" s="67">
        <f>IF(AND(B187="",C187="",D187="",G187="",F187=""),1,0)</f>
        <v/>
      </c>
      <c r="S187" s="68">
        <f>IF(AND(TaxOn="Yes",ISNUMBER(H187)),H187,0)</f>
        <v/>
      </c>
      <c r="T187" s="67">
        <f>IF(R187=1,"",IF(B187="","Enter a bill #",IF(D187="","Select a vendor",IF(C187="","Missing bill date",IF(NOT(ISNUMBER(C187)),"Invalid date",IF(OR(C187&lt;DATE(2000,1,1),C187&gt;DATE(2099,12,31)),"Invalid date",IF(F187="","Select an expense account",IF(ISNA(MATCH(F187,coa_Name,0)),"Unknown account: "&amp;F187,IF(NOT(ISNUMBER(G187)),"Enter an amount",IF(G187&lt;=0,"Amount must be positive",IF(S187&gt;G187,"Tax is larger than the amount","")))))))))))</f>
        <v/>
      </c>
      <c r="U187" s="67">
        <f>IF(OR(R187=1,T187&lt;&gt;""),"",IF(COUNTIFS(ap_No,B187,ap_Party,D187)&gt;1,"Duplicate bill #",IF(N(L187)&lt;0,"Overpaid by "&amp;TEXT(-L187,"#,##0.00"),IF(AND(ISNUMBER(H187),N(H187)&lt;&gt;0,S187=0),"Tax ignored (tax tracking is off)",IF(AND(ISNUMBER(StartDate),C187&lt;StartDate),"Date is before the accounting start date",IF(OR(IFERROR(INDEX(coa_Type,MATCH(F187,coa_Name,0)),"")="Revenue",IFERROR(INDEX(coa_Type,MATCH(F187,coa_Name,0)),"")="Other Income",IFERROR(INDEX(coa_Type,MATCH(F187,coa_Name,0)),"")="Equity"),"Account is not an expense or asset account",""))))))</f>
        <v/>
      </c>
      <c r="V187" s="67">
        <f>IF(AND(R187=0,T187=""),1,0)</f>
        <v/>
      </c>
      <c r="W187" s="67">
        <f>IF(V187=1,F187,"")</f>
        <v/>
      </c>
      <c r="X187" s="67">
        <f>IF(V187=1,acctAP,"")</f>
        <v/>
      </c>
      <c r="Y187" s="68">
        <f>IF(V187=1,G187-S187,0)</f>
        <v/>
      </c>
      <c r="Z187" s="68">
        <f>IF(V187=1,G187,0)</f>
        <v/>
      </c>
      <c r="AA187" s="68">
        <f>IF(V187=1,S187,0)</f>
        <v/>
      </c>
    </row>
    <row r="188">
      <c r="B188" s="62" t="n"/>
      <c r="C188" s="63" t="n"/>
      <c r="D188" s="62" t="n"/>
      <c r="E188" s="62" t="n"/>
      <c r="F188" s="62" t="n"/>
      <c r="G188" s="64" t="n"/>
      <c r="H188" s="64" t="n"/>
      <c r="I188" s="63" t="n"/>
      <c r="J188" s="29">
        <f>IF(V188=1,IF(ISNUMBER(I188),I188,C188+IF(ISNUMBER(IFERROR(INDEX(vend_Terms,MATCH(D188,vend_Name,0)),"")),INDEX(vend_Terms,MATCH(D188,vend_Name,0)),TermsDays)),"")</f>
        <v/>
      </c>
      <c r="K188" s="65">
        <f>IF(V188=1,SUMIFS(tx_CrAmt,tx_Type,"Bill Payment",tx_Ref,B188&amp;"",tx_Vend,D188,tx_Date,"&lt;="&amp;AsOf),"")</f>
        <v/>
      </c>
      <c r="L188" s="65">
        <f>IF(V188=1,IF(C188&gt;AsOf,0,ROUND(G188-K188,2)),"")</f>
        <v/>
      </c>
      <c r="M188" s="66">
        <f>IF(V188&lt;&gt;1,"",IF(C188&gt;AsOf,"Future",IF(L188&lt;0,"Overpaid",IF(L188=0,"Paid",IF(AsOf&gt;J188,"Overdue",IF(K188&gt;0,"Partial","Unpaid"))))))</f>
        <v/>
      </c>
      <c r="N188" s="28">
        <f>IF(AND(V188=1,N(L188)&gt;0),AsOf-C188,"")</f>
        <v/>
      </c>
      <c r="O188" s="28">
        <f>IF(N188="","",MAX(0,AsOf-J188))</f>
        <v/>
      </c>
      <c r="P188" s="66">
        <f>IF(O188="","",IF(O188=0,"Current",IF(O188&lt;=30,"1-30",IF(O188&lt;=60,"31-60",IF(O188&lt;=90,"61-90","90+")))))</f>
        <v/>
      </c>
      <c r="Q188" s="66">
        <f>IF(T188&lt;&gt;"","⛔ "&amp;T188&amp;" — not posted",IF(U188&lt;&gt;"","⚠ "&amp;U188,IF(V188=1,"✓ OK","")))</f>
        <v/>
      </c>
      <c r="R188" s="67">
        <f>IF(AND(B188="",C188="",D188="",G188="",F188=""),1,0)</f>
        <v/>
      </c>
      <c r="S188" s="68">
        <f>IF(AND(TaxOn="Yes",ISNUMBER(H188)),H188,0)</f>
        <v/>
      </c>
      <c r="T188" s="67">
        <f>IF(R188=1,"",IF(B188="","Enter a bill #",IF(D188="","Select a vendor",IF(C188="","Missing bill date",IF(NOT(ISNUMBER(C188)),"Invalid date",IF(OR(C188&lt;DATE(2000,1,1),C188&gt;DATE(2099,12,31)),"Invalid date",IF(F188="","Select an expense account",IF(ISNA(MATCH(F188,coa_Name,0)),"Unknown account: "&amp;F188,IF(NOT(ISNUMBER(G188)),"Enter an amount",IF(G188&lt;=0,"Amount must be positive",IF(S188&gt;G188,"Tax is larger than the amount","")))))))))))</f>
        <v/>
      </c>
      <c r="U188" s="67">
        <f>IF(OR(R188=1,T188&lt;&gt;""),"",IF(COUNTIFS(ap_No,B188,ap_Party,D188)&gt;1,"Duplicate bill #",IF(N(L188)&lt;0,"Overpaid by "&amp;TEXT(-L188,"#,##0.00"),IF(AND(ISNUMBER(H188),N(H188)&lt;&gt;0,S188=0),"Tax ignored (tax tracking is off)",IF(AND(ISNUMBER(StartDate),C188&lt;StartDate),"Date is before the accounting start date",IF(OR(IFERROR(INDEX(coa_Type,MATCH(F188,coa_Name,0)),"")="Revenue",IFERROR(INDEX(coa_Type,MATCH(F188,coa_Name,0)),"")="Other Income",IFERROR(INDEX(coa_Type,MATCH(F188,coa_Name,0)),"")="Equity"),"Account is not an expense or asset account",""))))))</f>
        <v/>
      </c>
      <c r="V188" s="67">
        <f>IF(AND(R188=0,T188=""),1,0)</f>
        <v/>
      </c>
      <c r="W188" s="67">
        <f>IF(V188=1,F188,"")</f>
        <v/>
      </c>
      <c r="X188" s="67">
        <f>IF(V188=1,acctAP,"")</f>
        <v/>
      </c>
      <c r="Y188" s="68">
        <f>IF(V188=1,G188-S188,0)</f>
        <v/>
      </c>
      <c r="Z188" s="68">
        <f>IF(V188=1,G188,0)</f>
        <v/>
      </c>
      <c r="AA188" s="68">
        <f>IF(V188=1,S188,0)</f>
        <v/>
      </c>
    </row>
    <row r="189">
      <c r="B189" s="62" t="n"/>
      <c r="C189" s="63" t="n"/>
      <c r="D189" s="62" t="n"/>
      <c r="E189" s="62" t="n"/>
      <c r="F189" s="62" t="n"/>
      <c r="G189" s="64" t="n"/>
      <c r="H189" s="64" t="n"/>
      <c r="I189" s="63" t="n"/>
      <c r="J189" s="29">
        <f>IF(V189=1,IF(ISNUMBER(I189),I189,C189+IF(ISNUMBER(IFERROR(INDEX(vend_Terms,MATCH(D189,vend_Name,0)),"")),INDEX(vend_Terms,MATCH(D189,vend_Name,0)),TermsDays)),"")</f>
        <v/>
      </c>
      <c r="K189" s="65">
        <f>IF(V189=1,SUMIFS(tx_CrAmt,tx_Type,"Bill Payment",tx_Ref,B189&amp;"",tx_Vend,D189,tx_Date,"&lt;="&amp;AsOf),"")</f>
        <v/>
      </c>
      <c r="L189" s="65">
        <f>IF(V189=1,IF(C189&gt;AsOf,0,ROUND(G189-K189,2)),"")</f>
        <v/>
      </c>
      <c r="M189" s="66">
        <f>IF(V189&lt;&gt;1,"",IF(C189&gt;AsOf,"Future",IF(L189&lt;0,"Overpaid",IF(L189=0,"Paid",IF(AsOf&gt;J189,"Overdue",IF(K189&gt;0,"Partial","Unpaid"))))))</f>
        <v/>
      </c>
      <c r="N189" s="28">
        <f>IF(AND(V189=1,N(L189)&gt;0),AsOf-C189,"")</f>
        <v/>
      </c>
      <c r="O189" s="28">
        <f>IF(N189="","",MAX(0,AsOf-J189))</f>
        <v/>
      </c>
      <c r="P189" s="66">
        <f>IF(O189="","",IF(O189=0,"Current",IF(O189&lt;=30,"1-30",IF(O189&lt;=60,"31-60",IF(O189&lt;=90,"61-90","90+")))))</f>
        <v/>
      </c>
      <c r="Q189" s="66">
        <f>IF(T189&lt;&gt;"","⛔ "&amp;T189&amp;" — not posted",IF(U189&lt;&gt;"","⚠ "&amp;U189,IF(V189=1,"✓ OK","")))</f>
        <v/>
      </c>
      <c r="R189" s="67">
        <f>IF(AND(B189="",C189="",D189="",G189="",F189=""),1,0)</f>
        <v/>
      </c>
      <c r="S189" s="68">
        <f>IF(AND(TaxOn="Yes",ISNUMBER(H189)),H189,0)</f>
        <v/>
      </c>
      <c r="T189" s="67">
        <f>IF(R189=1,"",IF(B189="","Enter a bill #",IF(D189="","Select a vendor",IF(C189="","Missing bill date",IF(NOT(ISNUMBER(C189)),"Invalid date",IF(OR(C189&lt;DATE(2000,1,1),C189&gt;DATE(2099,12,31)),"Invalid date",IF(F189="","Select an expense account",IF(ISNA(MATCH(F189,coa_Name,0)),"Unknown account: "&amp;F189,IF(NOT(ISNUMBER(G189)),"Enter an amount",IF(G189&lt;=0,"Amount must be positive",IF(S189&gt;G189,"Tax is larger than the amount","")))))))))))</f>
        <v/>
      </c>
      <c r="U189" s="67">
        <f>IF(OR(R189=1,T189&lt;&gt;""),"",IF(COUNTIFS(ap_No,B189,ap_Party,D189)&gt;1,"Duplicate bill #",IF(N(L189)&lt;0,"Overpaid by "&amp;TEXT(-L189,"#,##0.00"),IF(AND(ISNUMBER(H189),N(H189)&lt;&gt;0,S189=0),"Tax ignored (tax tracking is off)",IF(AND(ISNUMBER(StartDate),C189&lt;StartDate),"Date is before the accounting start date",IF(OR(IFERROR(INDEX(coa_Type,MATCH(F189,coa_Name,0)),"")="Revenue",IFERROR(INDEX(coa_Type,MATCH(F189,coa_Name,0)),"")="Other Income",IFERROR(INDEX(coa_Type,MATCH(F189,coa_Name,0)),"")="Equity"),"Account is not an expense or asset account",""))))))</f>
        <v/>
      </c>
      <c r="V189" s="67">
        <f>IF(AND(R189=0,T189=""),1,0)</f>
        <v/>
      </c>
      <c r="W189" s="67">
        <f>IF(V189=1,F189,"")</f>
        <v/>
      </c>
      <c r="X189" s="67">
        <f>IF(V189=1,acctAP,"")</f>
        <v/>
      </c>
      <c r="Y189" s="68">
        <f>IF(V189=1,G189-S189,0)</f>
        <v/>
      </c>
      <c r="Z189" s="68">
        <f>IF(V189=1,G189,0)</f>
        <v/>
      </c>
      <c r="AA189" s="68">
        <f>IF(V189=1,S189,0)</f>
        <v/>
      </c>
    </row>
    <row r="190">
      <c r="B190" s="62" t="n"/>
      <c r="C190" s="63" t="n"/>
      <c r="D190" s="62" t="n"/>
      <c r="E190" s="62" t="n"/>
      <c r="F190" s="62" t="n"/>
      <c r="G190" s="64" t="n"/>
      <c r="H190" s="64" t="n"/>
      <c r="I190" s="63" t="n"/>
      <c r="J190" s="29">
        <f>IF(V190=1,IF(ISNUMBER(I190),I190,C190+IF(ISNUMBER(IFERROR(INDEX(vend_Terms,MATCH(D190,vend_Name,0)),"")),INDEX(vend_Terms,MATCH(D190,vend_Name,0)),TermsDays)),"")</f>
        <v/>
      </c>
      <c r="K190" s="65">
        <f>IF(V190=1,SUMIFS(tx_CrAmt,tx_Type,"Bill Payment",tx_Ref,B190&amp;"",tx_Vend,D190,tx_Date,"&lt;="&amp;AsOf),"")</f>
        <v/>
      </c>
      <c r="L190" s="65">
        <f>IF(V190=1,IF(C190&gt;AsOf,0,ROUND(G190-K190,2)),"")</f>
        <v/>
      </c>
      <c r="M190" s="66">
        <f>IF(V190&lt;&gt;1,"",IF(C190&gt;AsOf,"Future",IF(L190&lt;0,"Overpaid",IF(L190=0,"Paid",IF(AsOf&gt;J190,"Overdue",IF(K190&gt;0,"Partial","Unpaid"))))))</f>
        <v/>
      </c>
      <c r="N190" s="28">
        <f>IF(AND(V190=1,N(L190)&gt;0),AsOf-C190,"")</f>
        <v/>
      </c>
      <c r="O190" s="28">
        <f>IF(N190="","",MAX(0,AsOf-J190))</f>
        <v/>
      </c>
      <c r="P190" s="66">
        <f>IF(O190="","",IF(O190=0,"Current",IF(O190&lt;=30,"1-30",IF(O190&lt;=60,"31-60",IF(O190&lt;=90,"61-90","90+")))))</f>
        <v/>
      </c>
      <c r="Q190" s="66">
        <f>IF(T190&lt;&gt;"","⛔ "&amp;T190&amp;" — not posted",IF(U190&lt;&gt;"","⚠ "&amp;U190,IF(V190=1,"✓ OK","")))</f>
        <v/>
      </c>
      <c r="R190" s="67">
        <f>IF(AND(B190="",C190="",D190="",G190="",F190=""),1,0)</f>
        <v/>
      </c>
      <c r="S190" s="68">
        <f>IF(AND(TaxOn="Yes",ISNUMBER(H190)),H190,0)</f>
        <v/>
      </c>
      <c r="T190" s="67">
        <f>IF(R190=1,"",IF(B190="","Enter a bill #",IF(D190="","Select a vendor",IF(C190="","Missing bill date",IF(NOT(ISNUMBER(C190)),"Invalid date",IF(OR(C190&lt;DATE(2000,1,1),C190&gt;DATE(2099,12,31)),"Invalid date",IF(F190="","Select an expense account",IF(ISNA(MATCH(F190,coa_Name,0)),"Unknown account: "&amp;F190,IF(NOT(ISNUMBER(G190)),"Enter an amount",IF(G190&lt;=0,"Amount must be positive",IF(S190&gt;G190,"Tax is larger than the amount","")))))))))))</f>
        <v/>
      </c>
      <c r="U190" s="67">
        <f>IF(OR(R190=1,T190&lt;&gt;""),"",IF(COUNTIFS(ap_No,B190,ap_Party,D190)&gt;1,"Duplicate bill #",IF(N(L190)&lt;0,"Overpaid by "&amp;TEXT(-L190,"#,##0.00"),IF(AND(ISNUMBER(H190),N(H190)&lt;&gt;0,S190=0),"Tax ignored (tax tracking is off)",IF(AND(ISNUMBER(StartDate),C190&lt;StartDate),"Date is before the accounting start date",IF(OR(IFERROR(INDEX(coa_Type,MATCH(F190,coa_Name,0)),"")="Revenue",IFERROR(INDEX(coa_Type,MATCH(F190,coa_Name,0)),"")="Other Income",IFERROR(INDEX(coa_Type,MATCH(F190,coa_Name,0)),"")="Equity"),"Account is not an expense or asset account",""))))))</f>
        <v/>
      </c>
      <c r="V190" s="67">
        <f>IF(AND(R190=0,T190=""),1,0)</f>
        <v/>
      </c>
      <c r="W190" s="67">
        <f>IF(V190=1,F190,"")</f>
        <v/>
      </c>
      <c r="X190" s="67">
        <f>IF(V190=1,acctAP,"")</f>
        <v/>
      </c>
      <c r="Y190" s="68">
        <f>IF(V190=1,G190-S190,0)</f>
        <v/>
      </c>
      <c r="Z190" s="68">
        <f>IF(V190=1,G190,0)</f>
        <v/>
      </c>
      <c r="AA190" s="68">
        <f>IF(V190=1,S190,0)</f>
        <v/>
      </c>
    </row>
    <row r="191">
      <c r="B191" s="62" t="n"/>
      <c r="C191" s="63" t="n"/>
      <c r="D191" s="62" t="n"/>
      <c r="E191" s="62" t="n"/>
      <c r="F191" s="62" t="n"/>
      <c r="G191" s="64" t="n"/>
      <c r="H191" s="64" t="n"/>
      <c r="I191" s="63" t="n"/>
      <c r="J191" s="29">
        <f>IF(V191=1,IF(ISNUMBER(I191),I191,C191+IF(ISNUMBER(IFERROR(INDEX(vend_Terms,MATCH(D191,vend_Name,0)),"")),INDEX(vend_Terms,MATCH(D191,vend_Name,0)),TermsDays)),"")</f>
        <v/>
      </c>
      <c r="K191" s="65">
        <f>IF(V191=1,SUMIFS(tx_CrAmt,tx_Type,"Bill Payment",tx_Ref,B191&amp;"",tx_Vend,D191,tx_Date,"&lt;="&amp;AsOf),"")</f>
        <v/>
      </c>
      <c r="L191" s="65">
        <f>IF(V191=1,IF(C191&gt;AsOf,0,ROUND(G191-K191,2)),"")</f>
        <v/>
      </c>
      <c r="M191" s="66">
        <f>IF(V191&lt;&gt;1,"",IF(C191&gt;AsOf,"Future",IF(L191&lt;0,"Overpaid",IF(L191=0,"Paid",IF(AsOf&gt;J191,"Overdue",IF(K191&gt;0,"Partial","Unpaid"))))))</f>
        <v/>
      </c>
      <c r="N191" s="28">
        <f>IF(AND(V191=1,N(L191)&gt;0),AsOf-C191,"")</f>
        <v/>
      </c>
      <c r="O191" s="28">
        <f>IF(N191="","",MAX(0,AsOf-J191))</f>
        <v/>
      </c>
      <c r="P191" s="66">
        <f>IF(O191="","",IF(O191=0,"Current",IF(O191&lt;=30,"1-30",IF(O191&lt;=60,"31-60",IF(O191&lt;=90,"61-90","90+")))))</f>
        <v/>
      </c>
      <c r="Q191" s="66">
        <f>IF(T191&lt;&gt;"","⛔ "&amp;T191&amp;" — not posted",IF(U191&lt;&gt;"","⚠ "&amp;U191,IF(V191=1,"✓ OK","")))</f>
        <v/>
      </c>
      <c r="R191" s="67">
        <f>IF(AND(B191="",C191="",D191="",G191="",F191=""),1,0)</f>
        <v/>
      </c>
      <c r="S191" s="68">
        <f>IF(AND(TaxOn="Yes",ISNUMBER(H191)),H191,0)</f>
        <v/>
      </c>
      <c r="T191" s="67">
        <f>IF(R191=1,"",IF(B191="","Enter a bill #",IF(D191="","Select a vendor",IF(C191="","Missing bill date",IF(NOT(ISNUMBER(C191)),"Invalid date",IF(OR(C191&lt;DATE(2000,1,1),C191&gt;DATE(2099,12,31)),"Invalid date",IF(F191="","Select an expense account",IF(ISNA(MATCH(F191,coa_Name,0)),"Unknown account: "&amp;F191,IF(NOT(ISNUMBER(G191)),"Enter an amount",IF(G191&lt;=0,"Amount must be positive",IF(S191&gt;G191,"Tax is larger than the amount","")))))))))))</f>
        <v/>
      </c>
      <c r="U191" s="67">
        <f>IF(OR(R191=1,T191&lt;&gt;""),"",IF(COUNTIFS(ap_No,B191,ap_Party,D191)&gt;1,"Duplicate bill #",IF(N(L191)&lt;0,"Overpaid by "&amp;TEXT(-L191,"#,##0.00"),IF(AND(ISNUMBER(H191),N(H191)&lt;&gt;0,S191=0),"Tax ignored (tax tracking is off)",IF(AND(ISNUMBER(StartDate),C191&lt;StartDate),"Date is before the accounting start date",IF(OR(IFERROR(INDEX(coa_Type,MATCH(F191,coa_Name,0)),"")="Revenue",IFERROR(INDEX(coa_Type,MATCH(F191,coa_Name,0)),"")="Other Income",IFERROR(INDEX(coa_Type,MATCH(F191,coa_Name,0)),"")="Equity"),"Account is not an expense or asset account",""))))))</f>
        <v/>
      </c>
      <c r="V191" s="67">
        <f>IF(AND(R191=0,T191=""),1,0)</f>
        <v/>
      </c>
      <c r="W191" s="67">
        <f>IF(V191=1,F191,"")</f>
        <v/>
      </c>
      <c r="X191" s="67">
        <f>IF(V191=1,acctAP,"")</f>
        <v/>
      </c>
      <c r="Y191" s="68">
        <f>IF(V191=1,G191-S191,0)</f>
        <v/>
      </c>
      <c r="Z191" s="68">
        <f>IF(V191=1,G191,0)</f>
        <v/>
      </c>
      <c r="AA191" s="68">
        <f>IF(V191=1,S191,0)</f>
        <v/>
      </c>
    </row>
    <row r="192">
      <c r="B192" s="62" t="n"/>
      <c r="C192" s="63" t="n"/>
      <c r="D192" s="62" t="n"/>
      <c r="E192" s="62" t="n"/>
      <c r="F192" s="62" t="n"/>
      <c r="G192" s="64" t="n"/>
      <c r="H192" s="64" t="n"/>
      <c r="I192" s="63" t="n"/>
      <c r="J192" s="29">
        <f>IF(V192=1,IF(ISNUMBER(I192),I192,C192+IF(ISNUMBER(IFERROR(INDEX(vend_Terms,MATCH(D192,vend_Name,0)),"")),INDEX(vend_Terms,MATCH(D192,vend_Name,0)),TermsDays)),"")</f>
        <v/>
      </c>
      <c r="K192" s="65">
        <f>IF(V192=1,SUMIFS(tx_CrAmt,tx_Type,"Bill Payment",tx_Ref,B192&amp;"",tx_Vend,D192,tx_Date,"&lt;="&amp;AsOf),"")</f>
        <v/>
      </c>
      <c r="L192" s="65">
        <f>IF(V192=1,IF(C192&gt;AsOf,0,ROUND(G192-K192,2)),"")</f>
        <v/>
      </c>
      <c r="M192" s="66">
        <f>IF(V192&lt;&gt;1,"",IF(C192&gt;AsOf,"Future",IF(L192&lt;0,"Overpaid",IF(L192=0,"Paid",IF(AsOf&gt;J192,"Overdue",IF(K192&gt;0,"Partial","Unpaid"))))))</f>
        <v/>
      </c>
      <c r="N192" s="28">
        <f>IF(AND(V192=1,N(L192)&gt;0),AsOf-C192,"")</f>
        <v/>
      </c>
      <c r="O192" s="28">
        <f>IF(N192="","",MAX(0,AsOf-J192))</f>
        <v/>
      </c>
      <c r="P192" s="66">
        <f>IF(O192="","",IF(O192=0,"Current",IF(O192&lt;=30,"1-30",IF(O192&lt;=60,"31-60",IF(O192&lt;=90,"61-90","90+")))))</f>
        <v/>
      </c>
      <c r="Q192" s="66">
        <f>IF(T192&lt;&gt;"","⛔ "&amp;T192&amp;" — not posted",IF(U192&lt;&gt;"","⚠ "&amp;U192,IF(V192=1,"✓ OK","")))</f>
        <v/>
      </c>
      <c r="R192" s="67">
        <f>IF(AND(B192="",C192="",D192="",G192="",F192=""),1,0)</f>
        <v/>
      </c>
      <c r="S192" s="68">
        <f>IF(AND(TaxOn="Yes",ISNUMBER(H192)),H192,0)</f>
        <v/>
      </c>
      <c r="T192" s="67">
        <f>IF(R192=1,"",IF(B192="","Enter a bill #",IF(D192="","Select a vendor",IF(C192="","Missing bill date",IF(NOT(ISNUMBER(C192)),"Invalid date",IF(OR(C192&lt;DATE(2000,1,1),C192&gt;DATE(2099,12,31)),"Invalid date",IF(F192="","Select an expense account",IF(ISNA(MATCH(F192,coa_Name,0)),"Unknown account: "&amp;F192,IF(NOT(ISNUMBER(G192)),"Enter an amount",IF(G192&lt;=0,"Amount must be positive",IF(S192&gt;G192,"Tax is larger than the amount","")))))))))))</f>
        <v/>
      </c>
      <c r="U192" s="67">
        <f>IF(OR(R192=1,T192&lt;&gt;""),"",IF(COUNTIFS(ap_No,B192,ap_Party,D192)&gt;1,"Duplicate bill #",IF(N(L192)&lt;0,"Overpaid by "&amp;TEXT(-L192,"#,##0.00"),IF(AND(ISNUMBER(H192),N(H192)&lt;&gt;0,S192=0),"Tax ignored (tax tracking is off)",IF(AND(ISNUMBER(StartDate),C192&lt;StartDate),"Date is before the accounting start date",IF(OR(IFERROR(INDEX(coa_Type,MATCH(F192,coa_Name,0)),"")="Revenue",IFERROR(INDEX(coa_Type,MATCH(F192,coa_Name,0)),"")="Other Income",IFERROR(INDEX(coa_Type,MATCH(F192,coa_Name,0)),"")="Equity"),"Account is not an expense or asset account",""))))))</f>
        <v/>
      </c>
      <c r="V192" s="67">
        <f>IF(AND(R192=0,T192=""),1,0)</f>
        <v/>
      </c>
      <c r="W192" s="67">
        <f>IF(V192=1,F192,"")</f>
        <v/>
      </c>
      <c r="X192" s="67">
        <f>IF(V192=1,acctAP,"")</f>
        <v/>
      </c>
      <c r="Y192" s="68">
        <f>IF(V192=1,G192-S192,0)</f>
        <v/>
      </c>
      <c r="Z192" s="68">
        <f>IF(V192=1,G192,0)</f>
        <v/>
      </c>
      <c r="AA192" s="68">
        <f>IF(V192=1,S192,0)</f>
        <v/>
      </c>
    </row>
    <row r="193">
      <c r="B193" s="62" t="n"/>
      <c r="C193" s="63" t="n"/>
      <c r="D193" s="62" t="n"/>
      <c r="E193" s="62" t="n"/>
      <c r="F193" s="62" t="n"/>
      <c r="G193" s="64" t="n"/>
      <c r="H193" s="64" t="n"/>
      <c r="I193" s="63" t="n"/>
      <c r="J193" s="29">
        <f>IF(V193=1,IF(ISNUMBER(I193),I193,C193+IF(ISNUMBER(IFERROR(INDEX(vend_Terms,MATCH(D193,vend_Name,0)),"")),INDEX(vend_Terms,MATCH(D193,vend_Name,0)),TermsDays)),"")</f>
        <v/>
      </c>
      <c r="K193" s="65">
        <f>IF(V193=1,SUMIFS(tx_CrAmt,tx_Type,"Bill Payment",tx_Ref,B193&amp;"",tx_Vend,D193,tx_Date,"&lt;="&amp;AsOf),"")</f>
        <v/>
      </c>
      <c r="L193" s="65">
        <f>IF(V193=1,IF(C193&gt;AsOf,0,ROUND(G193-K193,2)),"")</f>
        <v/>
      </c>
      <c r="M193" s="66">
        <f>IF(V193&lt;&gt;1,"",IF(C193&gt;AsOf,"Future",IF(L193&lt;0,"Overpaid",IF(L193=0,"Paid",IF(AsOf&gt;J193,"Overdue",IF(K193&gt;0,"Partial","Unpaid"))))))</f>
        <v/>
      </c>
      <c r="N193" s="28">
        <f>IF(AND(V193=1,N(L193)&gt;0),AsOf-C193,"")</f>
        <v/>
      </c>
      <c r="O193" s="28">
        <f>IF(N193="","",MAX(0,AsOf-J193))</f>
        <v/>
      </c>
      <c r="P193" s="66">
        <f>IF(O193="","",IF(O193=0,"Current",IF(O193&lt;=30,"1-30",IF(O193&lt;=60,"31-60",IF(O193&lt;=90,"61-90","90+")))))</f>
        <v/>
      </c>
      <c r="Q193" s="66">
        <f>IF(T193&lt;&gt;"","⛔ "&amp;T193&amp;" — not posted",IF(U193&lt;&gt;"","⚠ "&amp;U193,IF(V193=1,"✓ OK","")))</f>
        <v/>
      </c>
      <c r="R193" s="67">
        <f>IF(AND(B193="",C193="",D193="",G193="",F193=""),1,0)</f>
        <v/>
      </c>
      <c r="S193" s="68">
        <f>IF(AND(TaxOn="Yes",ISNUMBER(H193)),H193,0)</f>
        <v/>
      </c>
      <c r="T193" s="67">
        <f>IF(R193=1,"",IF(B193="","Enter a bill #",IF(D193="","Select a vendor",IF(C193="","Missing bill date",IF(NOT(ISNUMBER(C193)),"Invalid date",IF(OR(C193&lt;DATE(2000,1,1),C193&gt;DATE(2099,12,31)),"Invalid date",IF(F193="","Select an expense account",IF(ISNA(MATCH(F193,coa_Name,0)),"Unknown account: "&amp;F193,IF(NOT(ISNUMBER(G193)),"Enter an amount",IF(G193&lt;=0,"Amount must be positive",IF(S193&gt;G193,"Tax is larger than the amount","")))))))))))</f>
        <v/>
      </c>
      <c r="U193" s="67">
        <f>IF(OR(R193=1,T193&lt;&gt;""),"",IF(COUNTIFS(ap_No,B193,ap_Party,D193)&gt;1,"Duplicate bill #",IF(N(L193)&lt;0,"Overpaid by "&amp;TEXT(-L193,"#,##0.00"),IF(AND(ISNUMBER(H193),N(H193)&lt;&gt;0,S193=0),"Tax ignored (tax tracking is off)",IF(AND(ISNUMBER(StartDate),C193&lt;StartDate),"Date is before the accounting start date",IF(OR(IFERROR(INDEX(coa_Type,MATCH(F193,coa_Name,0)),"")="Revenue",IFERROR(INDEX(coa_Type,MATCH(F193,coa_Name,0)),"")="Other Income",IFERROR(INDEX(coa_Type,MATCH(F193,coa_Name,0)),"")="Equity"),"Account is not an expense or asset account",""))))))</f>
        <v/>
      </c>
      <c r="V193" s="67">
        <f>IF(AND(R193=0,T193=""),1,0)</f>
        <v/>
      </c>
      <c r="W193" s="67">
        <f>IF(V193=1,F193,"")</f>
        <v/>
      </c>
      <c r="X193" s="67">
        <f>IF(V193=1,acctAP,"")</f>
        <v/>
      </c>
      <c r="Y193" s="68">
        <f>IF(V193=1,G193-S193,0)</f>
        <v/>
      </c>
      <c r="Z193" s="68">
        <f>IF(V193=1,G193,0)</f>
        <v/>
      </c>
      <c r="AA193" s="68">
        <f>IF(V193=1,S193,0)</f>
        <v/>
      </c>
    </row>
    <row r="194">
      <c r="B194" s="62" t="n"/>
      <c r="C194" s="63" t="n"/>
      <c r="D194" s="62" t="n"/>
      <c r="E194" s="62" t="n"/>
      <c r="F194" s="62" t="n"/>
      <c r="G194" s="64" t="n"/>
      <c r="H194" s="64" t="n"/>
      <c r="I194" s="63" t="n"/>
      <c r="J194" s="29">
        <f>IF(V194=1,IF(ISNUMBER(I194),I194,C194+IF(ISNUMBER(IFERROR(INDEX(vend_Terms,MATCH(D194,vend_Name,0)),"")),INDEX(vend_Terms,MATCH(D194,vend_Name,0)),TermsDays)),"")</f>
        <v/>
      </c>
      <c r="K194" s="65">
        <f>IF(V194=1,SUMIFS(tx_CrAmt,tx_Type,"Bill Payment",tx_Ref,B194&amp;"",tx_Vend,D194,tx_Date,"&lt;="&amp;AsOf),"")</f>
        <v/>
      </c>
      <c r="L194" s="65">
        <f>IF(V194=1,IF(C194&gt;AsOf,0,ROUND(G194-K194,2)),"")</f>
        <v/>
      </c>
      <c r="M194" s="66">
        <f>IF(V194&lt;&gt;1,"",IF(C194&gt;AsOf,"Future",IF(L194&lt;0,"Overpaid",IF(L194=0,"Paid",IF(AsOf&gt;J194,"Overdue",IF(K194&gt;0,"Partial","Unpaid"))))))</f>
        <v/>
      </c>
      <c r="N194" s="28">
        <f>IF(AND(V194=1,N(L194)&gt;0),AsOf-C194,"")</f>
        <v/>
      </c>
      <c r="O194" s="28">
        <f>IF(N194="","",MAX(0,AsOf-J194))</f>
        <v/>
      </c>
      <c r="P194" s="66">
        <f>IF(O194="","",IF(O194=0,"Current",IF(O194&lt;=30,"1-30",IF(O194&lt;=60,"31-60",IF(O194&lt;=90,"61-90","90+")))))</f>
        <v/>
      </c>
      <c r="Q194" s="66">
        <f>IF(T194&lt;&gt;"","⛔ "&amp;T194&amp;" — not posted",IF(U194&lt;&gt;"","⚠ "&amp;U194,IF(V194=1,"✓ OK","")))</f>
        <v/>
      </c>
      <c r="R194" s="67">
        <f>IF(AND(B194="",C194="",D194="",G194="",F194=""),1,0)</f>
        <v/>
      </c>
      <c r="S194" s="68">
        <f>IF(AND(TaxOn="Yes",ISNUMBER(H194)),H194,0)</f>
        <v/>
      </c>
      <c r="T194" s="67">
        <f>IF(R194=1,"",IF(B194="","Enter a bill #",IF(D194="","Select a vendor",IF(C194="","Missing bill date",IF(NOT(ISNUMBER(C194)),"Invalid date",IF(OR(C194&lt;DATE(2000,1,1),C194&gt;DATE(2099,12,31)),"Invalid date",IF(F194="","Select an expense account",IF(ISNA(MATCH(F194,coa_Name,0)),"Unknown account: "&amp;F194,IF(NOT(ISNUMBER(G194)),"Enter an amount",IF(G194&lt;=0,"Amount must be positive",IF(S194&gt;G194,"Tax is larger than the amount","")))))))))))</f>
        <v/>
      </c>
      <c r="U194" s="67">
        <f>IF(OR(R194=1,T194&lt;&gt;""),"",IF(COUNTIFS(ap_No,B194,ap_Party,D194)&gt;1,"Duplicate bill #",IF(N(L194)&lt;0,"Overpaid by "&amp;TEXT(-L194,"#,##0.00"),IF(AND(ISNUMBER(H194),N(H194)&lt;&gt;0,S194=0),"Tax ignored (tax tracking is off)",IF(AND(ISNUMBER(StartDate),C194&lt;StartDate),"Date is before the accounting start date",IF(OR(IFERROR(INDEX(coa_Type,MATCH(F194,coa_Name,0)),"")="Revenue",IFERROR(INDEX(coa_Type,MATCH(F194,coa_Name,0)),"")="Other Income",IFERROR(INDEX(coa_Type,MATCH(F194,coa_Name,0)),"")="Equity"),"Account is not an expense or asset account",""))))))</f>
        <v/>
      </c>
      <c r="V194" s="67">
        <f>IF(AND(R194=0,T194=""),1,0)</f>
        <v/>
      </c>
      <c r="W194" s="67">
        <f>IF(V194=1,F194,"")</f>
        <v/>
      </c>
      <c r="X194" s="67">
        <f>IF(V194=1,acctAP,"")</f>
        <v/>
      </c>
      <c r="Y194" s="68">
        <f>IF(V194=1,G194-S194,0)</f>
        <v/>
      </c>
      <c r="Z194" s="68">
        <f>IF(V194=1,G194,0)</f>
        <v/>
      </c>
      <c r="AA194" s="68">
        <f>IF(V194=1,S194,0)</f>
        <v/>
      </c>
    </row>
    <row r="195">
      <c r="B195" s="62" t="n"/>
      <c r="C195" s="63" t="n"/>
      <c r="D195" s="62" t="n"/>
      <c r="E195" s="62" t="n"/>
      <c r="F195" s="62" t="n"/>
      <c r="G195" s="64" t="n"/>
      <c r="H195" s="64" t="n"/>
      <c r="I195" s="63" t="n"/>
      <c r="J195" s="29">
        <f>IF(V195=1,IF(ISNUMBER(I195),I195,C195+IF(ISNUMBER(IFERROR(INDEX(vend_Terms,MATCH(D195,vend_Name,0)),"")),INDEX(vend_Terms,MATCH(D195,vend_Name,0)),TermsDays)),"")</f>
        <v/>
      </c>
      <c r="K195" s="65">
        <f>IF(V195=1,SUMIFS(tx_CrAmt,tx_Type,"Bill Payment",tx_Ref,B195&amp;"",tx_Vend,D195,tx_Date,"&lt;="&amp;AsOf),"")</f>
        <v/>
      </c>
      <c r="L195" s="65">
        <f>IF(V195=1,IF(C195&gt;AsOf,0,ROUND(G195-K195,2)),"")</f>
        <v/>
      </c>
      <c r="M195" s="66">
        <f>IF(V195&lt;&gt;1,"",IF(C195&gt;AsOf,"Future",IF(L195&lt;0,"Overpaid",IF(L195=0,"Paid",IF(AsOf&gt;J195,"Overdue",IF(K195&gt;0,"Partial","Unpaid"))))))</f>
        <v/>
      </c>
      <c r="N195" s="28">
        <f>IF(AND(V195=1,N(L195)&gt;0),AsOf-C195,"")</f>
        <v/>
      </c>
      <c r="O195" s="28">
        <f>IF(N195="","",MAX(0,AsOf-J195))</f>
        <v/>
      </c>
      <c r="P195" s="66">
        <f>IF(O195="","",IF(O195=0,"Current",IF(O195&lt;=30,"1-30",IF(O195&lt;=60,"31-60",IF(O195&lt;=90,"61-90","90+")))))</f>
        <v/>
      </c>
      <c r="Q195" s="66">
        <f>IF(T195&lt;&gt;"","⛔ "&amp;T195&amp;" — not posted",IF(U195&lt;&gt;"","⚠ "&amp;U195,IF(V195=1,"✓ OK","")))</f>
        <v/>
      </c>
      <c r="R195" s="67">
        <f>IF(AND(B195="",C195="",D195="",G195="",F195=""),1,0)</f>
        <v/>
      </c>
      <c r="S195" s="68">
        <f>IF(AND(TaxOn="Yes",ISNUMBER(H195)),H195,0)</f>
        <v/>
      </c>
      <c r="T195" s="67">
        <f>IF(R195=1,"",IF(B195="","Enter a bill #",IF(D195="","Select a vendor",IF(C195="","Missing bill date",IF(NOT(ISNUMBER(C195)),"Invalid date",IF(OR(C195&lt;DATE(2000,1,1),C195&gt;DATE(2099,12,31)),"Invalid date",IF(F195="","Select an expense account",IF(ISNA(MATCH(F195,coa_Name,0)),"Unknown account: "&amp;F195,IF(NOT(ISNUMBER(G195)),"Enter an amount",IF(G195&lt;=0,"Amount must be positive",IF(S195&gt;G195,"Tax is larger than the amount","")))))))))))</f>
        <v/>
      </c>
      <c r="U195" s="67">
        <f>IF(OR(R195=1,T195&lt;&gt;""),"",IF(COUNTIFS(ap_No,B195,ap_Party,D195)&gt;1,"Duplicate bill #",IF(N(L195)&lt;0,"Overpaid by "&amp;TEXT(-L195,"#,##0.00"),IF(AND(ISNUMBER(H195),N(H195)&lt;&gt;0,S195=0),"Tax ignored (tax tracking is off)",IF(AND(ISNUMBER(StartDate),C195&lt;StartDate),"Date is before the accounting start date",IF(OR(IFERROR(INDEX(coa_Type,MATCH(F195,coa_Name,0)),"")="Revenue",IFERROR(INDEX(coa_Type,MATCH(F195,coa_Name,0)),"")="Other Income",IFERROR(INDEX(coa_Type,MATCH(F195,coa_Name,0)),"")="Equity"),"Account is not an expense or asset account",""))))))</f>
        <v/>
      </c>
      <c r="V195" s="67">
        <f>IF(AND(R195=0,T195=""),1,0)</f>
        <v/>
      </c>
      <c r="W195" s="67">
        <f>IF(V195=1,F195,"")</f>
        <v/>
      </c>
      <c r="X195" s="67">
        <f>IF(V195=1,acctAP,"")</f>
        <v/>
      </c>
      <c r="Y195" s="68">
        <f>IF(V195=1,G195-S195,0)</f>
        <v/>
      </c>
      <c r="Z195" s="68">
        <f>IF(V195=1,G195,0)</f>
        <v/>
      </c>
      <c r="AA195" s="68">
        <f>IF(V195=1,S195,0)</f>
        <v/>
      </c>
    </row>
    <row r="196">
      <c r="B196" s="62" t="n"/>
      <c r="C196" s="63" t="n"/>
      <c r="D196" s="62" t="n"/>
      <c r="E196" s="62" t="n"/>
      <c r="F196" s="62" t="n"/>
      <c r="G196" s="64" t="n"/>
      <c r="H196" s="64" t="n"/>
      <c r="I196" s="63" t="n"/>
      <c r="J196" s="29">
        <f>IF(V196=1,IF(ISNUMBER(I196),I196,C196+IF(ISNUMBER(IFERROR(INDEX(vend_Terms,MATCH(D196,vend_Name,0)),"")),INDEX(vend_Terms,MATCH(D196,vend_Name,0)),TermsDays)),"")</f>
        <v/>
      </c>
      <c r="K196" s="65">
        <f>IF(V196=1,SUMIFS(tx_CrAmt,tx_Type,"Bill Payment",tx_Ref,B196&amp;"",tx_Vend,D196,tx_Date,"&lt;="&amp;AsOf),"")</f>
        <v/>
      </c>
      <c r="L196" s="65">
        <f>IF(V196=1,IF(C196&gt;AsOf,0,ROUND(G196-K196,2)),"")</f>
        <v/>
      </c>
      <c r="M196" s="66">
        <f>IF(V196&lt;&gt;1,"",IF(C196&gt;AsOf,"Future",IF(L196&lt;0,"Overpaid",IF(L196=0,"Paid",IF(AsOf&gt;J196,"Overdue",IF(K196&gt;0,"Partial","Unpaid"))))))</f>
        <v/>
      </c>
      <c r="N196" s="28">
        <f>IF(AND(V196=1,N(L196)&gt;0),AsOf-C196,"")</f>
        <v/>
      </c>
      <c r="O196" s="28">
        <f>IF(N196="","",MAX(0,AsOf-J196))</f>
        <v/>
      </c>
      <c r="P196" s="66">
        <f>IF(O196="","",IF(O196=0,"Current",IF(O196&lt;=30,"1-30",IF(O196&lt;=60,"31-60",IF(O196&lt;=90,"61-90","90+")))))</f>
        <v/>
      </c>
      <c r="Q196" s="66">
        <f>IF(T196&lt;&gt;"","⛔ "&amp;T196&amp;" — not posted",IF(U196&lt;&gt;"","⚠ "&amp;U196,IF(V196=1,"✓ OK","")))</f>
        <v/>
      </c>
      <c r="R196" s="67">
        <f>IF(AND(B196="",C196="",D196="",G196="",F196=""),1,0)</f>
        <v/>
      </c>
      <c r="S196" s="68">
        <f>IF(AND(TaxOn="Yes",ISNUMBER(H196)),H196,0)</f>
        <v/>
      </c>
      <c r="T196" s="67">
        <f>IF(R196=1,"",IF(B196="","Enter a bill #",IF(D196="","Select a vendor",IF(C196="","Missing bill date",IF(NOT(ISNUMBER(C196)),"Invalid date",IF(OR(C196&lt;DATE(2000,1,1),C196&gt;DATE(2099,12,31)),"Invalid date",IF(F196="","Select an expense account",IF(ISNA(MATCH(F196,coa_Name,0)),"Unknown account: "&amp;F196,IF(NOT(ISNUMBER(G196)),"Enter an amount",IF(G196&lt;=0,"Amount must be positive",IF(S196&gt;G196,"Tax is larger than the amount","")))))))))))</f>
        <v/>
      </c>
      <c r="U196" s="67">
        <f>IF(OR(R196=1,T196&lt;&gt;""),"",IF(COUNTIFS(ap_No,B196,ap_Party,D196)&gt;1,"Duplicate bill #",IF(N(L196)&lt;0,"Overpaid by "&amp;TEXT(-L196,"#,##0.00"),IF(AND(ISNUMBER(H196),N(H196)&lt;&gt;0,S196=0),"Tax ignored (tax tracking is off)",IF(AND(ISNUMBER(StartDate),C196&lt;StartDate),"Date is before the accounting start date",IF(OR(IFERROR(INDEX(coa_Type,MATCH(F196,coa_Name,0)),"")="Revenue",IFERROR(INDEX(coa_Type,MATCH(F196,coa_Name,0)),"")="Other Income",IFERROR(INDEX(coa_Type,MATCH(F196,coa_Name,0)),"")="Equity"),"Account is not an expense or asset account",""))))))</f>
        <v/>
      </c>
      <c r="V196" s="67">
        <f>IF(AND(R196=0,T196=""),1,0)</f>
        <v/>
      </c>
      <c r="W196" s="67">
        <f>IF(V196=1,F196,"")</f>
        <v/>
      </c>
      <c r="X196" s="67">
        <f>IF(V196=1,acctAP,"")</f>
        <v/>
      </c>
      <c r="Y196" s="68">
        <f>IF(V196=1,G196-S196,0)</f>
        <v/>
      </c>
      <c r="Z196" s="68">
        <f>IF(V196=1,G196,0)</f>
        <v/>
      </c>
      <c r="AA196" s="68">
        <f>IF(V196=1,S196,0)</f>
        <v/>
      </c>
    </row>
    <row r="197">
      <c r="B197" s="62" t="n"/>
      <c r="C197" s="63" t="n"/>
      <c r="D197" s="62" t="n"/>
      <c r="E197" s="62" t="n"/>
      <c r="F197" s="62" t="n"/>
      <c r="G197" s="64" t="n"/>
      <c r="H197" s="64" t="n"/>
      <c r="I197" s="63" t="n"/>
      <c r="J197" s="29">
        <f>IF(V197=1,IF(ISNUMBER(I197),I197,C197+IF(ISNUMBER(IFERROR(INDEX(vend_Terms,MATCH(D197,vend_Name,0)),"")),INDEX(vend_Terms,MATCH(D197,vend_Name,0)),TermsDays)),"")</f>
        <v/>
      </c>
      <c r="K197" s="65">
        <f>IF(V197=1,SUMIFS(tx_CrAmt,tx_Type,"Bill Payment",tx_Ref,B197&amp;"",tx_Vend,D197,tx_Date,"&lt;="&amp;AsOf),"")</f>
        <v/>
      </c>
      <c r="L197" s="65">
        <f>IF(V197=1,IF(C197&gt;AsOf,0,ROUND(G197-K197,2)),"")</f>
        <v/>
      </c>
      <c r="M197" s="66">
        <f>IF(V197&lt;&gt;1,"",IF(C197&gt;AsOf,"Future",IF(L197&lt;0,"Overpaid",IF(L197=0,"Paid",IF(AsOf&gt;J197,"Overdue",IF(K197&gt;0,"Partial","Unpaid"))))))</f>
        <v/>
      </c>
      <c r="N197" s="28">
        <f>IF(AND(V197=1,N(L197)&gt;0),AsOf-C197,"")</f>
        <v/>
      </c>
      <c r="O197" s="28">
        <f>IF(N197="","",MAX(0,AsOf-J197))</f>
        <v/>
      </c>
      <c r="P197" s="66">
        <f>IF(O197="","",IF(O197=0,"Current",IF(O197&lt;=30,"1-30",IF(O197&lt;=60,"31-60",IF(O197&lt;=90,"61-90","90+")))))</f>
        <v/>
      </c>
      <c r="Q197" s="66">
        <f>IF(T197&lt;&gt;"","⛔ "&amp;T197&amp;" — not posted",IF(U197&lt;&gt;"","⚠ "&amp;U197,IF(V197=1,"✓ OK","")))</f>
        <v/>
      </c>
      <c r="R197" s="67">
        <f>IF(AND(B197="",C197="",D197="",G197="",F197=""),1,0)</f>
        <v/>
      </c>
      <c r="S197" s="68">
        <f>IF(AND(TaxOn="Yes",ISNUMBER(H197)),H197,0)</f>
        <v/>
      </c>
      <c r="T197" s="67">
        <f>IF(R197=1,"",IF(B197="","Enter a bill #",IF(D197="","Select a vendor",IF(C197="","Missing bill date",IF(NOT(ISNUMBER(C197)),"Invalid date",IF(OR(C197&lt;DATE(2000,1,1),C197&gt;DATE(2099,12,31)),"Invalid date",IF(F197="","Select an expense account",IF(ISNA(MATCH(F197,coa_Name,0)),"Unknown account: "&amp;F197,IF(NOT(ISNUMBER(G197)),"Enter an amount",IF(G197&lt;=0,"Amount must be positive",IF(S197&gt;G197,"Tax is larger than the amount","")))))))))))</f>
        <v/>
      </c>
      <c r="U197" s="67">
        <f>IF(OR(R197=1,T197&lt;&gt;""),"",IF(COUNTIFS(ap_No,B197,ap_Party,D197)&gt;1,"Duplicate bill #",IF(N(L197)&lt;0,"Overpaid by "&amp;TEXT(-L197,"#,##0.00"),IF(AND(ISNUMBER(H197),N(H197)&lt;&gt;0,S197=0),"Tax ignored (tax tracking is off)",IF(AND(ISNUMBER(StartDate),C197&lt;StartDate),"Date is before the accounting start date",IF(OR(IFERROR(INDEX(coa_Type,MATCH(F197,coa_Name,0)),"")="Revenue",IFERROR(INDEX(coa_Type,MATCH(F197,coa_Name,0)),"")="Other Income",IFERROR(INDEX(coa_Type,MATCH(F197,coa_Name,0)),"")="Equity"),"Account is not an expense or asset account",""))))))</f>
        <v/>
      </c>
      <c r="V197" s="67">
        <f>IF(AND(R197=0,T197=""),1,0)</f>
        <v/>
      </c>
      <c r="W197" s="67">
        <f>IF(V197=1,F197,"")</f>
        <v/>
      </c>
      <c r="X197" s="67">
        <f>IF(V197=1,acctAP,"")</f>
        <v/>
      </c>
      <c r="Y197" s="68">
        <f>IF(V197=1,G197-S197,0)</f>
        <v/>
      </c>
      <c r="Z197" s="68">
        <f>IF(V197=1,G197,0)</f>
        <v/>
      </c>
      <c r="AA197" s="68">
        <f>IF(V197=1,S197,0)</f>
        <v/>
      </c>
    </row>
    <row r="198">
      <c r="B198" s="62" t="n"/>
      <c r="C198" s="63" t="n"/>
      <c r="D198" s="62" t="n"/>
      <c r="E198" s="62" t="n"/>
      <c r="F198" s="62" t="n"/>
      <c r="G198" s="64" t="n"/>
      <c r="H198" s="64" t="n"/>
      <c r="I198" s="63" t="n"/>
      <c r="J198" s="29">
        <f>IF(V198=1,IF(ISNUMBER(I198),I198,C198+IF(ISNUMBER(IFERROR(INDEX(vend_Terms,MATCH(D198,vend_Name,0)),"")),INDEX(vend_Terms,MATCH(D198,vend_Name,0)),TermsDays)),"")</f>
        <v/>
      </c>
      <c r="K198" s="65">
        <f>IF(V198=1,SUMIFS(tx_CrAmt,tx_Type,"Bill Payment",tx_Ref,B198&amp;"",tx_Vend,D198,tx_Date,"&lt;="&amp;AsOf),"")</f>
        <v/>
      </c>
      <c r="L198" s="65">
        <f>IF(V198=1,IF(C198&gt;AsOf,0,ROUND(G198-K198,2)),"")</f>
        <v/>
      </c>
      <c r="M198" s="66">
        <f>IF(V198&lt;&gt;1,"",IF(C198&gt;AsOf,"Future",IF(L198&lt;0,"Overpaid",IF(L198=0,"Paid",IF(AsOf&gt;J198,"Overdue",IF(K198&gt;0,"Partial","Unpaid"))))))</f>
        <v/>
      </c>
      <c r="N198" s="28">
        <f>IF(AND(V198=1,N(L198)&gt;0),AsOf-C198,"")</f>
        <v/>
      </c>
      <c r="O198" s="28">
        <f>IF(N198="","",MAX(0,AsOf-J198))</f>
        <v/>
      </c>
      <c r="P198" s="66">
        <f>IF(O198="","",IF(O198=0,"Current",IF(O198&lt;=30,"1-30",IF(O198&lt;=60,"31-60",IF(O198&lt;=90,"61-90","90+")))))</f>
        <v/>
      </c>
      <c r="Q198" s="66">
        <f>IF(T198&lt;&gt;"","⛔ "&amp;T198&amp;" — not posted",IF(U198&lt;&gt;"","⚠ "&amp;U198,IF(V198=1,"✓ OK","")))</f>
        <v/>
      </c>
      <c r="R198" s="67">
        <f>IF(AND(B198="",C198="",D198="",G198="",F198=""),1,0)</f>
        <v/>
      </c>
      <c r="S198" s="68">
        <f>IF(AND(TaxOn="Yes",ISNUMBER(H198)),H198,0)</f>
        <v/>
      </c>
      <c r="T198" s="67">
        <f>IF(R198=1,"",IF(B198="","Enter a bill #",IF(D198="","Select a vendor",IF(C198="","Missing bill date",IF(NOT(ISNUMBER(C198)),"Invalid date",IF(OR(C198&lt;DATE(2000,1,1),C198&gt;DATE(2099,12,31)),"Invalid date",IF(F198="","Select an expense account",IF(ISNA(MATCH(F198,coa_Name,0)),"Unknown account: "&amp;F198,IF(NOT(ISNUMBER(G198)),"Enter an amount",IF(G198&lt;=0,"Amount must be positive",IF(S198&gt;G198,"Tax is larger than the amount","")))))))))))</f>
        <v/>
      </c>
      <c r="U198" s="67">
        <f>IF(OR(R198=1,T198&lt;&gt;""),"",IF(COUNTIFS(ap_No,B198,ap_Party,D198)&gt;1,"Duplicate bill #",IF(N(L198)&lt;0,"Overpaid by "&amp;TEXT(-L198,"#,##0.00"),IF(AND(ISNUMBER(H198),N(H198)&lt;&gt;0,S198=0),"Tax ignored (tax tracking is off)",IF(AND(ISNUMBER(StartDate),C198&lt;StartDate),"Date is before the accounting start date",IF(OR(IFERROR(INDEX(coa_Type,MATCH(F198,coa_Name,0)),"")="Revenue",IFERROR(INDEX(coa_Type,MATCH(F198,coa_Name,0)),"")="Other Income",IFERROR(INDEX(coa_Type,MATCH(F198,coa_Name,0)),"")="Equity"),"Account is not an expense or asset account",""))))))</f>
        <v/>
      </c>
      <c r="V198" s="67">
        <f>IF(AND(R198=0,T198=""),1,0)</f>
        <v/>
      </c>
      <c r="W198" s="67">
        <f>IF(V198=1,F198,"")</f>
        <v/>
      </c>
      <c r="X198" s="67">
        <f>IF(V198=1,acctAP,"")</f>
        <v/>
      </c>
      <c r="Y198" s="68">
        <f>IF(V198=1,G198-S198,0)</f>
        <v/>
      </c>
      <c r="Z198" s="68">
        <f>IF(V198=1,G198,0)</f>
        <v/>
      </c>
      <c r="AA198" s="68">
        <f>IF(V198=1,S198,0)</f>
        <v/>
      </c>
    </row>
    <row r="199">
      <c r="B199" s="62" t="n"/>
      <c r="C199" s="63" t="n"/>
      <c r="D199" s="62" t="n"/>
      <c r="E199" s="62" t="n"/>
      <c r="F199" s="62" t="n"/>
      <c r="G199" s="64" t="n"/>
      <c r="H199" s="64" t="n"/>
      <c r="I199" s="63" t="n"/>
      <c r="J199" s="29">
        <f>IF(V199=1,IF(ISNUMBER(I199),I199,C199+IF(ISNUMBER(IFERROR(INDEX(vend_Terms,MATCH(D199,vend_Name,0)),"")),INDEX(vend_Terms,MATCH(D199,vend_Name,0)),TermsDays)),"")</f>
        <v/>
      </c>
      <c r="K199" s="65">
        <f>IF(V199=1,SUMIFS(tx_CrAmt,tx_Type,"Bill Payment",tx_Ref,B199&amp;"",tx_Vend,D199,tx_Date,"&lt;="&amp;AsOf),"")</f>
        <v/>
      </c>
      <c r="L199" s="65">
        <f>IF(V199=1,IF(C199&gt;AsOf,0,ROUND(G199-K199,2)),"")</f>
        <v/>
      </c>
      <c r="M199" s="66">
        <f>IF(V199&lt;&gt;1,"",IF(C199&gt;AsOf,"Future",IF(L199&lt;0,"Overpaid",IF(L199=0,"Paid",IF(AsOf&gt;J199,"Overdue",IF(K199&gt;0,"Partial","Unpaid"))))))</f>
        <v/>
      </c>
      <c r="N199" s="28">
        <f>IF(AND(V199=1,N(L199)&gt;0),AsOf-C199,"")</f>
        <v/>
      </c>
      <c r="O199" s="28">
        <f>IF(N199="","",MAX(0,AsOf-J199))</f>
        <v/>
      </c>
      <c r="P199" s="66">
        <f>IF(O199="","",IF(O199=0,"Current",IF(O199&lt;=30,"1-30",IF(O199&lt;=60,"31-60",IF(O199&lt;=90,"61-90","90+")))))</f>
        <v/>
      </c>
      <c r="Q199" s="66">
        <f>IF(T199&lt;&gt;"","⛔ "&amp;T199&amp;" — not posted",IF(U199&lt;&gt;"","⚠ "&amp;U199,IF(V199=1,"✓ OK","")))</f>
        <v/>
      </c>
      <c r="R199" s="67">
        <f>IF(AND(B199="",C199="",D199="",G199="",F199=""),1,0)</f>
        <v/>
      </c>
      <c r="S199" s="68">
        <f>IF(AND(TaxOn="Yes",ISNUMBER(H199)),H199,0)</f>
        <v/>
      </c>
      <c r="T199" s="67">
        <f>IF(R199=1,"",IF(B199="","Enter a bill #",IF(D199="","Select a vendor",IF(C199="","Missing bill date",IF(NOT(ISNUMBER(C199)),"Invalid date",IF(OR(C199&lt;DATE(2000,1,1),C199&gt;DATE(2099,12,31)),"Invalid date",IF(F199="","Select an expense account",IF(ISNA(MATCH(F199,coa_Name,0)),"Unknown account: "&amp;F199,IF(NOT(ISNUMBER(G199)),"Enter an amount",IF(G199&lt;=0,"Amount must be positive",IF(S199&gt;G199,"Tax is larger than the amount","")))))))))))</f>
        <v/>
      </c>
      <c r="U199" s="67">
        <f>IF(OR(R199=1,T199&lt;&gt;""),"",IF(COUNTIFS(ap_No,B199,ap_Party,D199)&gt;1,"Duplicate bill #",IF(N(L199)&lt;0,"Overpaid by "&amp;TEXT(-L199,"#,##0.00"),IF(AND(ISNUMBER(H199),N(H199)&lt;&gt;0,S199=0),"Tax ignored (tax tracking is off)",IF(AND(ISNUMBER(StartDate),C199&lt;StartDate),"Date is before the accounting start date",IF(OR(IFERROR(INDEX(coa_Type,MATCH(F199,coa_Name,0)),"")="Revenue",IFERROR(INDEX(coa_Type,MATCH(F199,coa_Name,0)),"")="Other Income",IFERROR(INDEX(coa_Type,MATCH(F199,coa_Name,0)),"")="Equity"),"Account is not an expense or asset account",""))))))</f>
        <v/>
      </c>
      <c r="V199" s="67">
        <f>IF(AND(R199=0,T199=""),1,0)</f>
        <v/>
      </c>
      <c r="W199" s="67">
        <f>IF(V199=1,F199,"")</f>
        <v/>
      </c>
      <c r="X199" s="67">
        <f>IF(V199=1,acctAP,"")</f>
        <v/>
      </c>
      <c r="Y199" s="68">
        <f>IF(V199=1,G199-S199,0)</f>
        <v/>
      </c>
      <c r="Z199" s="68">
        <f>IF(V199=1,G199,0)</f>
        <v/>
      </c>
      <c r="AA199" s="68">
        <f>IF(V199=1,S199,0)</f>
        <v/>
      </c>
    </row>
    <row r="200">
      <c r="B200" s="62" t="n"/>
      <c r="C200" s="63" t="n"/>
      <c r="D200" s="62" t="n"/>
      <c r="E200" s="62" t="n"/>
      <c r="F200" s="62" t="n"/>
      <c r="G200" s="64" t="n"/>
      <c r="H200" s="64" t="n"/>
      <c r="I200" s="63" t="n"/>
      <c r="J200" s="29">
        <f>IF(V200=1,IF(ISNUMBER(I200),I200,C200+IF(ISNUMBER(IFERROR(INDEX(vend_Terms,MATCH(D200,vend_Name,0)),"")),INDEX(vend_Terms,MATCH(D200,vend_Name,0)),TermsDays)),"")</f>
        <v/>
      </c>
      <c r="K200" s="65">
        <f>IF(V200=1,SUMIFS(tx_CrAmt,tx_Type,"Bill Payment",tx_Ref,B200&amp;"",tx_Vend,D200,tx_Date,"&lt;="&amp;AsOf),"")</f>
        <v/>
      </c>
      <c r="L200" s="65">
        <f>IF(V200=1,IF(C200&gt;AsOf,0,ROUND(G200-K200,2)),"")</f>
        <v/>
      </c>
      <c r="M200" s="66">
        <f>IF(V200&lt;&gt;1,"",IF(C200&gt;AsOf,"Future",IF(L200&lt;0,"Overpaid",IF(L200=0,"Paid",IF(AsOf&gt;J200,"Overdue",IF(K200&gt;0,"Partial","Unpaid"))))))</f>
        <v/>
      </c>
      <c r="N200" s="28">
        <f>IF(AND(V200=1,N(L200)&gt;0),AsOf-C200,"")</f>
        <v/>
      </c>
      <c r="O200" s="28">
        <f>IF(N200="","",MAX(0,AsOf-J200))</f>
        <v/>
      </c>
      <c r="P200" s="66">
        <f>IF(O200="","",IF(O200=0,"Current",IF(O200&lt;=30,"1-30",IF(O200&lt;=60,"31-60",IF(O200&lt;=90,"61-90","90+")))))</f>
        <v/>
      </c>
      <c r="Q200" s="66">
        <f>IF(T200&lt;&gt;"","⛔ "&amp;T200&amp;" — not posted",IF(U200&lt;&gt;"","⚠ "&amp;U200,IF(V200=1,"✓ OK","")))</f>
        <v/>
      </c>
      <c r="R200" s="67">
        <f>IF(AND(B200="",C200="",D200="",G200="",F200=""),1,0)</f>
        <v/>
      </c>
      <c r="S200" s="68">
        <f>IF(AND(TaxOn="Yes",ISNUMBER(H200)),H200,0)</f>
        <v/>
      </c>
      <c r="T200" s="67">
        <f>IF(R200=1,"",IF(B200="","Enter a bill #",IF(D200="","Select a vendor",IF(C200="","Missing bill date",IF(NOT(ISNUMBER(C200)),"Invalid date",IF(OR(C200&lt;DATE(2000,1,1),C200&gt;DATE(2099,12,31)),"Invalid date",IF(F200="","Select an expense account",IF(ISNA(MATCH(F200,coa_Name,0)),"Unknown account: "&amp;F200,IF(NOT(ISNUMBER(G200)),"Enter an amount",IF(G200&lt;=0,"Amount must be positive",IF(S200&gt;G200,"Tax is larger than the amount","")))))))))))</f>
        <v/>
      </c>
      <c r="U200" s="67">
        <f>IF(OR(R200=1,T200&lt;&gt;""),"",IF(COUNTIFS(ap_No,B200,ap_Party,D200)&gt;1,"Duplicate bill #",IF(N(L200)&lt;0,"Overpaid by "&amp;TEXT(-L200,"#,##0.00"),IF(AND(ISNUMBER(H200),N(H200)&lt;&gt;0,S200=0),"Tax ignored (tax tracking is off)",IF(AND(ISNUMBER(StartDate),C200&lt;StartDate),"Date is before the accounting start date",IF(OR(IFERROR(INDEX(coa_Type,MATCH(F200,coa_Name,0)),"")="Revenue",IFERROR(INDEX(coa_Type,MATCH(F200,coa_Name,0)),"")="Other Income",IFERROR(INDEX(coa_Type,MATCH(F200,coa_Name,0)),"")="Equity"),"Account is not an expense or asset account",""))))))</f>
        <v/>
      </c>
      <c r="V200" s="67">
        <f>IF(AND(R200=0,T200=""),1,0)</f>
        <v/>
      </c>
      <c r="W200" s="67">
        <f>IF(V200=1,F200,"")</f>
        <v/>
      </c>
      <c r="X200" s="67">
        <f>IF(V200=1,acctAP,"")</f>
        <v/>
      </c>
      <c r="Y200" s="68">
        <f>IF(V200=1,G200-S200,0)</f>
        <v/>
      </c>
      <c r="Z200" s="68">
        <f>IF(V200=1,G200,0)</f>
        <v/>
      </c>
      <c r="AA200" s="68">
        <f>IF(V200=1,S200,0)</f>
        <v/>
      </c>
    </row>
    <row r="201">
      <c r="B201" s="62" t="n"/>
      <c r="C201" s="63" t="n"/>
      <c r="D201" s="62" t="n"/>
      <c r="E201" s="62" t="n"/>
      <c r="F201" s="62" t="n"/>
      <c r="G201" s="64" t="n"/>
      <c r="H201" s="64" t="n"/>
      <c r="I201" s="63" t="n"/>
      <c r="J201" s="29">
        <f>IF(V201=1,IF(ISNUMBER(I201),I201,C201+IF(ISNUMBER(IFERROR(INDEX(vend_Terms,MATCH(D201,vend_Name,0)),"")),INDEX(vend_Terms,MATCH(D201,vend_Name,0)),TermsDays)),"")</f>
        <v/>
      </c>
      <c r="K201" s="65">
        <f>IF(V201=1,SUMIFS(tx_CrAmt,tx_Type,"Bill Payment",tx_Ref,B201&amp;"",tx_Vend,D201,tx_Date,"&lt;="&amp;AsOf),"")</f>
        <v/>
      </c>
      <c r="L201" s="65">
        <f>IF(V201=1,IF(C201&gt;AsOf,0,ROUND(G201-K201,2)),"")</f>
        <v/>
      </c>
      <c r="M201" s="66">
        <f>IF(V201&lt;&gt;1,"",IF(C201&gt;AsOf,"Future",IF(L201&lt;0,"Overpaid",IF(L201=0,"Paid",IF(AsOf&gt;J201,"Overdue",IF(K201&gt;0,"Partial","Unpaid"))))))</f>
        <v/>
      </c>
      <c r="N201" s="28">
        <f>IF(AND(V201=1,N(L201)&gt;0),AsOf-C201,"")</f>
        <v/>
      </c>
      <c r="O201" s="28">
        <f>IF(N201="","",MAX(0,AsOf-J201))</f>
        <v/>
      </c>
      <c r="P201" s="66">
        <f>IF(O201="","",IF(O201=0,"Current",IF(O201&lt;=30,"1-30",IF(O201&lt;=60,"31-60",IF(O201&lt;=90,"61-90","90+")))))</f>
        <v/>
      </c>
      <c r="Q201" s="66">
        <f>IF(T201&lt;&gt;"","⛔ "&amp;T201&amp;" — not posted",IF(U201&lt;&gt;"","⚠ "&amp;U201,IF(V201=1,"✓ OK","")))</f>
        <v/>
      </c>
      <c r="R201" s="67">
        <f>IF(AND(B201="",C201="",D201="",G201="",F201=""),1,0)</f>
        <v/>
      </c>
      <c r="S201" s="68">
        <f>IF(AND(TaxOn="Yes",ISNUMBER(H201)),H201,0)</f>
        <v/>
      </c>
      <c r="T201" s="67">
        <f>IF(R201=1,"",IF(B201="","Enter a bill #",IF(D201="","Select a vendor",IF(C201="","Missing bill date",IF(NOT(ISNUMBER(C201)),"Invalid date",IF(OR(C201&lt;DATE(2000,1,1),C201&gt;DATE(2099,12,31)),"Invalid date",IF(F201="","Select an expense account",IF(ISNA(MATCH(F201,coa_Name,0)),"Unknown account: "&amp;F201,IF(NOT(ISNUMBER(G201)),"Enter an amount",IF(G201&lt;=0,"Amount must be positive",IF(S201&gt;G201,"Tax is larger than the amount","")))))))))))</f>
        <v/>
      </c>
      <c r="U201" s="67">
        <f>IF(OR(R201=1,T201&lt;&gt;""),"",IF(COUNTIFS(ap_No,B201,ap_Party,D201)&gt;1,"Duplicate bill #",IF(N(L201)&lt;0,"Overpaid by "&amp;TEXT(-L201,"#,##0.00"),IF(AND(ISNUMBER(H201),N(H201)&lt;&gt;0,S201=0),"Tax ignored (tax tracking is off)",IF(AND(ISNUMBER(StartDate),C201&lt;StartDate),"Date is before the accounting start date",IF(OR(IFERROR(INDEX(coa_Type,MATCH(F201,coa_Name,0)),"")="Revenue",IFERROR(INDEX(coa_Type,MATCH(F201,coa_Name,0)),"")="Other Income",IFERROR(INDEX(coa_Type,MATCH(F201,coa_Name,0)),"")="Equity"),"Account is not an expense or asset account",""))))))</f>
        <v/>
      </c>
      <c r="V201" s="67">
        <f>IF(AND(R201=0,T201=""),1,0)</f>
        <v/>
      </c>
      <c r="W201" s="67">
        <f>IF(V201=1,F201,"")</f>
        <v/>
      </c>
      <c r="X201" s="67">
        <f>IF(V201=1,acctAP,"")</f>
        <v/>
      </c>
      <c r="Y201" s="68">
        <f>IF(V201=1,G201-S201,0)</f>
        <v/>
      </c>
      <c r="Z201" s="68">
        <f>IF(V201=1,G201,0)</f>
        <v/>
      </c>
      <c r="AA201" s="68">
        <f>IF(V201=1,S201,0)</f>
        <v/>
      </c>
    </row>
    <row r="202">
      <c r="B202" s="62" t="n"/>
      <c r="C202" s="63" t="n"/>
      <c r="D202" s="62" t="n"/>
      <c r="E202" s="62" t="n"/>
      <c r="F202" s="62" t="n"/>
      <c r="G202" s="64" t="n"/>
      <c r="H202" s="64" t="n"/>
      <c r="I202" s="63" t="n"/>
      <c r="J202" s="29">
        <f>IF(V202=1,IF(ISNUMBER(I202),I202,C202+IF(ISNUMBER(IFERROR(INDEX(vend_Terms,MATCH(D202,vend_Name,0)),"")),INDEX(vend_Terms,MATCH(D202,vend_Name,0)),TermsDays)),"")</f>
        <v/>
      </c>
      <c r="K202" s="65">
        <f>IF(V202=1,SUMIFS(tx_CrAmt,tx_Type,"Bill Payment",tx_Ref,B202&amp;"",tx_Vend,D202,tx_Date,"&lt;="&amp;AsOf),"")</f>
        <v/>
      </c>
      <c r="L202" s="65">
        <f>IF(V202=1,IF(C202&gt;AsOf,0,ROUND(G202-K202,2)),"")</f>
        <v/>
      </c>
      <c r="M202" s="66">
        <f>IF(V202&lt;&gt;1,"",IF(C202&gt;AsOf,"Future",IF(L202&lt;0,"Overpaid",IF(L202=0,"Paid",IF(AsOf&gt;J202,"Overdue",IF(K202&gt;0,"Partial","Unpaid"))))))</f>
        <v/>
      </c>
      <c r="N202" s="28">
        <f>IF(AND(V202=1,N(L202)&gt;0),AsOf-C202,"")</f>
        <v/>
      </c>
      <c r="O202" s="28">
        <f>IF(N202="","",MAX(0,AsOf-J202))</f>
        <v/>
      </c>
      <c r="P202" s="66">
        <f>IF(O202="","",IF(O202=0,"Current",IF(O202&lt;=30,"1-30",IF(O202&lt;=60,"31-60",IF(O202&lt;=90,"61-90","90+")))))</f>
        <v/>
      </c>
      <c r="Q202" s="66">
        <f>IF(T202&lt;&gt;"","⛔ "&amp;T202&amp;" — not posted",IF(U202&lt;&gt;"","⚠ "&amp;U202,IF(V202=1,"✓ OK","")))</f>
        <v/>
      </c>
      <c r="R202" s="67">
        <f>IF(AND(B202="",C202="",D202="",G202="",F202=""),1,0)</f>
        <v/>
      </c>
      <c r="S202" s="68">
        <f>IF(AND(TaxOn="Yes",ISNUMBER(H202)),H202,0)</f>
        <v/>
      </c>
      <c r="T202" s="67">
        <f>IF(R202=1,"",IF(B202="","Enter a bill #",IF(D202="","Select a vendor",IF(C202="","Missing bill date",IF(NOT(ISNUMBER(C202)),"Invalid date",IF(OR(C202&lt;DATE(2000,1,1),C202&gt;DATE(2099,12,31)),"Invalid date",IF(F202="","Select an expense account",IF(ISNA(MATCH(F202,coa_Name,0)),"Unknown account: "&amp;F202,IF(NOT(ISNUMBER(G202)),"Enter an amount",IF(G202&lt;=0,"Amount must be positive",IF(S202&gt;G202,"Tax is larger than the amount","")))))))))))</f>
        <v/>
      </c>
      <c r="U202" s="67">
        <f>IF(OR(R202=1,T202&lt;&gt;""),"",IF(COUNTIFS(ap_No,B202,ap_Party,D202)&gt;1,"Duplicate bill #",IF(N(L202)&lt;0,"Overpaid by "&amp;TEXT(-L202,"#,##0.00"),IF(AND(ISNUMBER(H202),N(H202)&lt;&gt;0,S202=0),"Tax ignored (tax tracking is off)",IF(AND(ISNUMBER(StartDate),C202&lt;StartDate),"Date is before the accounting start date",IF(OR(IFERROR(INDEX(coa_Type,MATCH(F202,coa_Name,0)),"")="Revenue",IFERROR(INDEX(coa_Type,MATCH(F202,coa_Name,0)),"")="Other Income",IFERROR(INDEX(coa_Type,MATCH(F202,coa_Name,0)),"")="Equity"),"Account is not an expense or asset account",""))))))</f>
        <v/>
      </c>
      <c r="V202" s="67">
        <f>IF(AND(R202=0,T202=""),1,0)</f>
        <v/>
      </c>
      <c r="W202" s="67">
        <f>IF(V202=1,F202,"")</f>
        <v/>
      </c>
      <c r="X202" s="67">
        <f>IF(V202=1,acctAP,"")</f>
        <v/>
      </c>
      <c r="Y202" s="68">
        <f>IF(V202=1,G202-S202,0)</f>
        <v/>
      </c>
      <c r="Z202" s="68">
        <f>IF(V202=1,G202,0)</f>
        <v/>
      </c>
      <c r="AA202" s="68">
        <f>IF(V202=1,S202,0)</f>
        <v/>
      </c>
    </row>
    <row r="203">
      <c r="B203" s="62" t="n"/>
      <c r="C203" s="63" t="n"/>
      <c r="D203" s="62" t="n"/>
      <c r="E203" s="62" t="n"/>
      <c r="F203" s="62" t="n"/>
      <c r="G203" s="64" t="n"/>
      <c r="H203" s="64" t="n"/>
      <c r="I203" s="63" t="n"/>
      <c r="J203" s="29">
        <f>IF(V203=1,IF(ISNUMBER(I203),I203,C203+IF(ISNUMBER(IFERROR(INDEX(vend_Terms,MATCH(D203,vend_Name,0)),"")),INDEX(vend_Terms,MATCH(D203,vend_Name,0)),TermsDays)),"")</f>
        <v/>
      </c>
      <c r="K203" s="65">
        <f>IF(V203=1,SUMIFS(tx_CrAmt,tx_Type,"Bill Payment",tx_Ref,B203&amp;"",tx_Vend,D203,tx_Date,"&lt;="&amp;AsOf),"")</f>
        <v/>
      </c>
      <c r="L203" s="65">
        <f>IF(V203=1,IF(C203&gt;AsOf,0,ROUND(G203-K203,2)),"")</f>
        <v/>
      </c>
      <c r="M203" s="66">
        <f>IF(V203&lt;&gt;1,"",IF(C203&gt;AsOf,"Future",IF(L203&lt;0,"Overpaid",IF(L203=0,"Paid",IF(AsOf&gt;J203,"Overdue",IF(K203&gt;0,"Partial","Unpaid"))))))</f>
        <v/>
      </c>
      <c r="N203" s="28">
        <f>IF(AND(V203=1,N(L203)&gt;0),AsOf-C203,"")</f>
        <v/>
      </c>
      <c r="O203" s="28">
        <f>IF(N203="","",MAX(0,AsOf-J203))</f>
        <v/>
      </c>
      <c r="P203" s="66">
        <f>IF(O203="","",IF(O203=0,"Current",IF(O203&lt;=30,"1-30",IF(O203&lt;=60,"31-60",IF(O203&lt;=90,"61-90","90+")))))</f>
        <v/>
      </c>
      <c r="Q203" s="66">
        <f>IF(T203&lt;&gt;"","⛔ "&amp;T203&amp;" — not posted",IF(U203&lt;&gt;"","⚠ "&amp;U203,IF(V203=1,"✓ OK","")))</f>
        <v/>
      </c>
      <c r="R203" s="67">
        <f>IF(AND(B203="",C203="",D203="",G203="",F203=""),1,0)</f>
        <v/>
      </c>
      <c r="S203" s="68">
        <f>IF(AND(TaxOn="Yes",ISNUMBER(H203)),H203,0)</f>
        <v/>
      </c>
      <c r="T203" s="67">
        <f>IF(R203=1,"",IF(B203="","Enter a bill #",IF(D203="","Select a vendor",IF(C203="","Missing bill date",IF(NOT(ISNUMBER(C203)),"Invalid date",IF(OR(C203&lt;DATE(2000,1,1),C203&gt;DATE(2099,12,31)),"Invalid date",IF(F203="","Select an expense account",IF(ISNA(MATCH(F203,coa_Name,0)),"Unknown account: "&amp;F203,IF(NOT(ISNUMBER(G203)),"Enter an amount",IF(G203&lt;=0,"Amount must be positive",IF(S203&gt;G203,"Tax is larger than the amount","")))))))))))</f>
        <v/>
      </c>
      <c r="U203" s="67">
        <f>IF(OR(R203=1,T203&lt;&gt;""),"",IF(COUNTIFS(ap_No,B203,ap_Party,D203)&gt;1,"Duplicate bill #",IF(N(L203)&lt;0,"Overpaid by "&amp;TEXT(-L203,"#,##0.00"),IF(AND(ISNUMBER(H203),N(H203)&lt;&gt;0,S203=0),"Tax ignored (tax tracking is off)",IF(AND(ISNUMBER(StartDate),C203&lt;StartDate),"Date is before the accounting start date",IF(OR(IFERROR(INDEX(coa_Type,MATCH(F203,coa_Name,0)),"")="Revenue",IFERROR(INDEX(coa_Type,MATCH(F203,coa_Name,0)),"")="Other Income",IFERROR(INDEX(coa_Type,MATCH(F203,coa_Name,0)),"")="Equity"),"Account is not an expense or asset account",""))))))</f>
        <v/>
      </c>
      <c r="V203" s="67">
        <f>IF(AND(R203=0,T203=""),1,0)</f>
        <v/>
      </c>
      <c r="W203" s="67">
        <f>IF(V203=1,F203,"")</f>
        <v/>
      </c>
      <c r="X203" s="67">
        <f>IF(V203=1,acctAP,"")</f>
        <v/>
      </c>
      <c r="Y203" s="68">
        <f>IF(V203=1,G203-S203,0)</f>
        <v/>
      </c>
      <c r="Z203" s="68">
        <f>IF(V203=1,G203,0)</f>
        <v/>
      </c>
      <c r="AA203" s="68">
        <f>IF(V203=1,S203,0)</f>
        <v/>
      </c>
    </row>
    <row r="204">
      <c r="B204" s="62" t="n"/>
      <c r="C204" s="63" t="n"/>
      <c r="D204" s="62" t="n"/>
      <c r="E204" s="62" t="n"/>
      <c r="F204" s="62" t="n"/>
      <c r="G204" s="64" t="n"/>
      <c r="H204" s="64" t="n"/>
      <c r="I204" s="63" t="n"/>
      <c r="J204" s="29">
        <f>IF(V204=1,IF(ISNUMBER(I204),I204,C204+IF(ISNUMBER(IFERROR(INDEX(vend_Terms,MATCH(D204,vend_Name,0)),"")),INDEX(vend_Terms,MATCH(D204,vend_Name,0)),TermsDays)),"")</f>
        <v/>
      </c>
      <c r="K204" s="65">
        <f>IF(V204=1,SUMIFS(tx_CrAmt,tx_Type,"Bill Payment",tx_Ref,B204&amp;"",tx_Vend,D204,tx_Date,"&lt;="&amp;AsOf),"")</f>
        <v/>
      </c>
      <c r="L204" s="65">
        <f>IF(V204=1,IF(C204&gt;AsOf,0,ROUND(G204-K204,2)),"")</f>
        <v/>
      </c>
      <c r="M204" s="66">
        <f>IF(V204&lt;&gt;1,"",IF(C204&gt;AsOf,"Future",IF(L204&lt;0,"Overpaid",IF(L204=0,"Paid",IF(AsOf&gt;J204,"Overdue",IF(K204&gt;0,"Partial","Unpaid"))))))</f>
        <v/>
      </c>
      <c r="N204" s="28">
        <f>IF(AND(V204=1,N(L204)&gt;0),AsOf-C204,"")</f>
        <v/>
      </c>
      <c r="O204" s="28">
        <f>IF(N204="","",MAX(0,AsOf-J204))</f>
        <v/>
      </c>
      <c r="P204" s="66">
        <f>IF(O204="","",IF(O204=0,"Current",IF(O204&lt;=30,"1-30",IF(O204&lt;=60,"31-60",IF(O204&lt;=90,"61-90","90+")))))</f>
        <v/>
      </c>
      <c r="Q204" s="66">
        <f>IF(T204&lt;&gt;"","⛔ "&amp;T204&amp;" — not posted",IF(U204&lt;&gt;"","⚠ "&amp;U204,IF(V204=1,"✓ OK","")))</f>
        <v/>
      </c>
      <c r="R204" s="67">
        <f>IF(AND(B204="",C204="",D204="",G204="",F204=""),1,0)</f>
        <v/>
      </c>
      <c r="S204" s="68">
        <f>IF(AND(TaxOn="Yes",ISNUMBER(H204)),H204,0)</f>
        <v/>
      </c>
      <c r="T204" s="67">
        <f>IF(R204=1,"",IF(B204="","Enter a bill #",IF(D204="","Select a vendor",IF(C204="","Missing bill date",IF(NOT(ISNUMBER(C204)),"Invalid date",IF(OR(C204&lt;DATE(2000,1,1),C204&gt;DATE(2099,12,31)),"Invalid date",IF(F204="","Select an expense account",IF(ISNA(MATCH(F204,coa_Name,0)),"Unknown account: "&amp;F204,IF(NOT(ISNUMBER(G204)),"Enter an amount",IF(G204&lt;=0,"Amount must be positive",IF(S204&gt;G204,"Tax is larger than the amount","")))))))))))</f>
        <v/>
      </c>
      <c r="U204" s="67">
        <f>IF(OR(R204=1,T204&lt;&gt;""),"",IF(COUNTIFS(ap_No,B204,ap_Party,D204)&gt;1,"Duplicate bill #",IF(N(L204)&lt;0,"Overpaid by "&amp;TEXT(-L204,"#,##0.00"),IF(AND(ISNUMBER(H204),N(H204)&lt;&gt;0,S204=0),"Tax ignored (tax tracking is off)",IF(AND(ISNUMBER(StartDate),C204&lt;StartDate),"Date is before the accounting start date",IF(OR(IFERROR(INDEX(coa_Type,MATCH(F204,coa_Name,0)),"")="Revenue",IFERROR(INDEX(coa_Type,MATCH(F204,coa_Name,0)),"")="Other Income",IFERROR(INDEX(coa_Type,MATCH(F204,coa_Name,0)),"")="Equity"),"Account is not an expense or asset account",""))))))</f>
        <v/>
      </c>
      <c r="V204" s="67">
        <f>IF(AND(R204=0,T204=""),1,0)</f>
        <v/>
      </c>
      <c r="W204" s="67">
        <f>IF(V204=1,F204,"")</f>
        <v/>
      </c>
      <c r="X204" s="67">
        <f>IF(V204=1,acctAP,"")</f>
        <v/>
      </c>
      <c r="Y204" s="68">
        <f>IF(V204=1,G204-S204,0)</f>
        <v/>
      </c>
      <c r="Z204" s="68">
        <f>IF(V204=1,G204,0)</f>
        <v/>
      </c>
      <c r="AA204" s="68">
        <f>IF(V204=1,S204,0)</f>
        <v/>
      </c>
    </row>
    <row r="205">
      <c r="B205" s="62" t="n"/>
      <c r="C205" s="63" t="n"/>
      <c r="D205" s="62" t="n"/>
      <c r="E205" s="62" t="n"/>
      <c r="F205" s="62" t="n"/>
      <c r="G205" s="64" t="n"/>
      <c r="H205" s="64" t="n"/>
      <c r="I205" s="63" t="n"/>
      <c r="J205" s="29">
        <f>IF(V205=1,IF(ISNUMBER(I205),I205,C205+IF(ISNUMBER(IFERROR(INDEX(vend_Terms,MATCH(D205,vend_Name,0)),"")),INDEX(vend_Terms,MATCH(D205,vend_Name,0)),TermsDays)),"")</f>
        <v/>
      </c>
      <c r="K205" s="65">
        <f>IF(V205=1,SUMIFS(tx_CrAmt,tx_Type,"Bill Payment",tx_Ref,B205&amp;"",tx_Vend,D205,tx_Date,"&lt;="&amp;AsOf),"")</f>
        <v/>
      </c>
      <c r="L205" s="65">
        <f>IF(V205=1,IF(C205&gt;AsOf,0,ROUND(G205-K205,2)),"")</f>
        <v/>
      </c>
      <c r="M205" s="66">
        <f>IF(V205&lt;&gt;1,"",IF(C205&gt;AsOf,"Future",IF(L205&lt;0,"Overpaid",IF(L205=0,"Paid",IF(AsOf&gt;J205,"Overdue",IF(K205&gt;0,"Partial","Unpaid"))))))</f>
        <v/>
      </c>
      <c r="N205" s="28">
        <f>IF(AND(V205=1,N(L205)&gt;0),AsOf-C205,"")</f>
        <v/>
      </c>
      <c r="O205" s="28">
        <f>IF(N205="","",MAX(0,AsOf-J205))</f>
        <v/>
      </c>
      <c r="P205" s="66">
        <f>IF(O205="","",IF(O205=0,"Current",IF(O205&lt;=30,"1-30",IF(O205&lt;=60,"31-60",IF(O205&lt;=90,"61-90","90+")))))</f>
        <v/>
      </c>
      <c r="Q205" s="66">
        <f>IF(T205&lt;&gt;"","⛔ "&amp;T205&amp;" — not posted",IF(U205&lt;&gt;"","⚠ "&amp;U205,IF(V205=1,"✓ OK","")))</f>
        <v/>
      </c>
      <c r="R205" s="67">
        <f>IF(AND(B205="",C205="",D205="",G205="",F205=""),1,0)</f>
        <v/>
      </c>
      <c r="S205" s="68">
        <f>IF(AND(TaxOn="Yes",ISNUMBER(H205)),H205,0)</f>
        <v/>
      </c>
      <c r="T205" s="67">
        <f>IF(R205=1,"",IF(B205="","Enter a bill #",IF(D205="","Select a vendor",IF(C205="","Missing bill date",IF(NOT(ISNUMBER(C205)),"Invalid date",IF(OR(C205&lt;DATE(2000,1,1),C205&gt;DATE(2099,12,31)),"Invalid date",IF(F205="","Select an expense account",IF(ISNA(MATCH(F205,coa_Name,0)),"Unknown account: "&amp;F205,IF(NOT(ISNUMBER(G205)),"Enter an amount",IF(G205&lt;=0,"Amount must be positive",IF(S205&gt;G205,"Tax is larger than the amount","")))))))))))</f>
        <v/>
      </c>
      <c r="U205" s="67">
        <f>IF(OR(R205=1,T205&lt;&gt;""),"",IF(COUNTIFS(ap_No,B205,ap_Party,D205)&gt;1,"Duplicate bill #",IF(N(L205)&lt;0,"Overpaid by "&amp;TEXT(-L205,"#,##0.00"),IF(AND(ISNUMBER(H205),N(H205)&lt;&gt;0,S205=0),"Tax ignored (tax tracking is off)",IF(AND(ISNUMBER(StartDate),C205&lt;StartDate),"Date is before the accounting start date",IF(OR(IFERROR(INDEX(coa_Type,MATCH(F205,coa_Name,0)),"")="Revenue",IFERROR(INDEX(coa_Type,MATCH(F205,coa_Name,0)),"")="Other Income",IFERROR(INDEX(coa_Type,MATCH(F205,coa_Name,0)),"")="Equity"),"Account is not an expense or asset account",""))))))</f>
        <v/>
      </c>
      <c r="V205" s="67">
        <f>IF(AND(R205=0,T205=""),1,0)</f>
        <v/>
      </c>
      <c r="W205" s="67">
        <f>IF(V205=1,F205,"")</f>
        <v/>
      </c>
      <c r="X205" s="67">
        <f>IF(V205=1,acctAP,"")</f>
        <v/>
      </c>
      <c r="Y205" s="68">
        <f>IF(V205=1,G205-S205,0)</f>
        <v/>
      </c>
      <c r="Z205" s="68">
        <f>IF(V205=1,G205,0)</f>
        <v/>
      </c>
      <c r="AA205" s="68">
        <f>IF(V205=1,S205,0)</f>
        <v/>
      </c>
    </row>
    <row r="206">
      <c r="B206" s="62" t="n"/>
      <c r="C206" s="63" t="n"/>
      <c r="D206" s="62" t="n"/>
      <c r="E206" s="62" t="n"/>
      <c r="F206" s="62" t="n"/>
      <c r="G206" s="64" t="n"/>
      <c r="H206" s="64" t="n"/>
      <c r="I206" s="63" t="n"/>
      <c r="J206" s="29">
        <f>IF(V206=1,IF(ISNUMBER(I206),I206,C206+IF(ISNUMBER(IFERROR(INDEX(vend_Terms,MATCH(D206,vend_Name,0)),"")),INDEX(vend_Terms,MATCH(D206,vend_Name,0)),TermsDays)),"")</f>
        <v/>
      </c>
      <c r="K206" s="65">
        <f>IF(V206=1,SUMIFS(tx_CrAmt,tx_Type,"Bill Payment",tx_Ref,B206&amp;"",tx_Vend,D206,tx_Date,"&lt;="&amp;AsOf),"")</f>
        <v/>
      </c>
      <c r="L206" s="65">
        <f>IF(V206=1,IF(C206&gt;AsOf,0,ROUND(G206-K206,2)),"")</f>
        <v/>
      </c>
      <c r="M206" s="66">
        <f>IF(V206&lt;&gt;1,"",IF(C206&gt;AsOf,"Future",IF(L206&lt;0,"Overpaid",IF(L206=0,"Paid",IF(AsOf&gt;J206,"Overdue",IF(K206&gt;0,"Partial","Unpaid"))))))</f>
        <v/>
      </c>
      <c r="N206" s="28">
        <f>IF(AND(V206=1,N(L206)&gt;0),AsOf-C206,"")</f>
        <v/>
      </c>
      <c r="O206" s="28">
        <f>IF(N206="","",MAX(0,AsOf-J206))</f>
        <v/>
      </c>
      <c r="P206" s="66">
        <f>IF(O206="","",IF(O206=0,"Current",IF(O206&lt;=30,"1-30",IF(O206&lt;=60,"31-60",IF(O206&lt;=90,"61-90","90+")))))</f>
        <v/>
      </c>
      <c r="Q206" s="66">
        <f>IF(T206&lt;&gt;"","⛔ "&amp;T206&amp;" — not posted",IF(U206&lt;&gt;"","⚠ "&amp;U206,IF(V206=1,"✓ OK","")))</f>
        <v/>
      </c>
      <c r="R206" s="67">
        <f>IF(AND(B206="",C206="",D206="",G206="",F206=""),1,0)</f>
        <v/>
      </c>
      <c r="S206" s="68">
        <f>IF(AND(TaxOn="Yes",ISNUMBER(H206)),H206,0)</f>
        <v/>
      </c>
      <c r="T206" s="67">
        <f>IF(R206=1,"",IF(B206="","Enter a bill #",IF(D206="","Select a vendor",IF(C206="","Missing bill date",IF(NOT(ISNUMBER(C206)),"Invalid date",IF(OR(C206&lt;DATE(2000,1,1),C206&gt;DATE(2099,12,31)),"Invalid date",IF(F206="","Select an expense account",IF(ISNA(MATCH(F206,coa_Name,0)),"Unknown account: "&amp;F206,IF(NOT(ISNUMBER(G206)),"Enter an amount",IF(G206&lt;=0,"Amount must be positive",IF(S206&gt;G206,"Tax is larger than the amount","")))))))))))</f>
        <v/>
      </c>
      <c r="U206" s="67">
        <f>IF(OR(R206=1,T206&lt;&gt;""),"",IF(COUNTIFS(ap_No,B206,ap_Party,D206)&gt;1,"Duplicate bill #",IF(N(L206)&lt;0,"Overpaid by "&amp;TEXT(-L206,"#,##0.00"),IF(AND(ISNUMBER(H206),N(H206)&lt;&gt;0,S206=0),"Tax ignored (tax tracking is off)",IF(AND(ISNUMBER(StartDate),C206&lt;StartDate),"Date is before the accounting start date",IF(OR(IFERROR(INDEX(coa_Type,MATCH(F206,coa_Name,0)),"")="Revenue",IFERROR(INDEX(coa_Type,MATCH(F206,coa_Name,0)),"")="Other Income",IFERROR(INDEX(coa_Type,MATCH(F206,coa_Name,0)),"")="Equity"),"Account is not an expense or asset account",""))))))</f>
        <v/>
      </c>
      <c r="V206" s="67">
        <f>IF(AND(R206=0,T206=""),1,0)</f>
        <v/>
      </c>
      <c r="W206" s="67">
        <f>IF(V206=1,F206,"")</f>
        <v/>
      </c>
      <c r="X206" s="67">
        <f>IF(V206=1,acctAP,"")</f>
        <v/>
      </c>
      <c r="Y206" s="68">
        <f>IF(V206=1,G206-S206,0)</f>
        <v/>
      </c>
      <c r="Z206" s="68">
        <f>IF(V206=1,G206,0)</f>
        <v/>
      </c>
      <c r="AA206" s="68">
        <f>IF(V206=1,S206,0)</f>
        <v/>
      </c>
    </row>
    <row r="207">
      <c r="B207" s="62" t="n"/>
      <c r="C207" s="63" t="n"/>
      <c r="D207" s="62" t="n"/>
      <c r="E207" s="62" t="n"/>
      <c r="F207" s="62" t="n"/>
      <c r="G207" s="64" t="n"/>
      <c r="H207" s="64" t="n"/>
      <c r="I207" s="63" t="n"/>
      <c r="J207" s="29">
        <f>IF(V207=1,IF(ISNUMBER(I207),I207,C207+IF(ISNUMBER(IFERROR(INDEX(vend_Terms,MATCH(D207,vend_Name,0)),"")),INDEX(vend_Terms,MATCH(D207,vend_Name,0)),TermsDays)),"")</f>
        <v/>
      </c>
      <c r="K207" s="65">
        <f>IF(V207=1,SUMIFS(tx_CrAmt,tx_Type,"Bill Payment",tx_Ref,B207&amp;"",tx_Vend,D207,tx_Date,"&lt;="&amp;AsOf),"")</f>
        <v/>
      </c>
      <c r="L207" s="65">
        <f>IF(V207=1,IF(C207&gt;AsOf,0,ROUND(G207-K207,2)),"")</f>
        <v/>
      </c>
      <c r="M207" s="66">
        <f>IF(V207&lt;&gt;1,"",IF(C207&gt;AsOf,"Future",IF(L207&lt;0,"Overpaid",IF(L207=0,"Paid",IF(AsOf&gt;J207,"Overdue",IF(K207&gt;0,"Partial","Unpaid"))))))</f>
        <v/>
      </c>
      <c r="N207" s="28">
        <f>IF(AND(V207=1,N(L207)&gt;0),AsOf-C207,"")</f>
        <v/>
      </c>
      <c r="O207" s="28">
        <f>IF(N207="","",MAX(0,AsOf-J207))</f>
        <v/>
      </c>
      <c r="P207" s="66">
        <f>IF(O207="","",IF(O207=0,"Current",IF(O207&lt;=30,"1-30",IF(O207&lt;=60,"31-60",IF(O207&lt;=90,"61-90","90+")))))</f>
        <v/>
      </c>
      <c r="Q207" s="66">
        <f>IF(T207&lt;&gt;"","⛔ "&amp;T207&amp;" — not posted",IF(U207&lt;&gt;"","⚠ "&amp;U207,IF(V207=1,"✓ OK","")))</f>
        <v/>
      </c>
      <c r="R207" s="67">
        <f>IF(AND(B207="",C207="",D207="",G207="",F207=""),1,0)</f>
        <v/>
      </c>
      <c r="S207" s="68">
        <f>IF(AND(TaxOn="Yes",ISNUMBER(H207)),H207,0)</f>
        <v/>
      </c>
      <c r="T207" s="67">
        <f>IF(R207=1,"",IF(B207="","Enter a bill #",IF(D207="","Select a vendor",IF(C207="","Missing bill date",IF(NOT(ISNUMBER(C207)),"Invalid date",IF(OR(C207&lt;DATE(2000,1,1),C207&gt;DATE(2099,12,31)),"Invalid date",IF(F207="","Select an expense account",IF(ISNA(MATCH(F207,coa_Name,0)),"Unknown account: "&amp;F207,IF(NOT(ISNUMBER(G207)),"Enter an amount",IF(G207&lt;=0,"Amount must be positive",IF(S207&gt;G207,"Tax is larger than the amount","")))))))))))</f>
        <v/>
      </c>
      <c r="U207" s="67">
        <f>IF(OR(R207=1,T207&lt;&gt;""),"",IF(COUNTIFS(ap_No,B207,ap_Party,D207)&gt;1,"Duplicate bill #",IF(N(L207)&lt;0,"Overpaid by "&amp;TEXT(-L207,"#,##0.00"),IF(AND(ISNUMBER(H207),N(H207)&lt;&gt;0,S207=0),"Tax ignored (tax tracking is off)",IF(AND(ISNUMBER(StartDate),C207&lt;StartDate),"Date is before the accounting start date",IF(OR(IFERROR(INDEX(coa_Type,MATCH(F207,coa_Name,0)),"")="Revenue",IFERROR(INDEX(coa_Type,MATCH(F207,coa_Name,0)),"")="Other Income",IFERROR(INDEX(coa_Type,MATCH(F207,coa_Name,0)),"")="Equity"),"Account is not an expense or asset account",""))))))</f>
        <v/>
      </c>
      <c r="V207" s="67">
        <f>IF(AND(R207=0,T207=""),1,0)</f>
        <v/>
      </c>
      <c r="W207" s="67">
        <f>IF(V207=1,F207,"")</f>
        <v/>
      </c>
      <c r="X207" s="67">
        <f>IF(V207=1,acctAP,"")</f>
        <v/>
      </c>
      <c r="Y207" s="68">
        <f>IF(V207=1,G207-S207,0)</f>
        <v/>
      </c>
      <c r="Z207" s="68">
        <f>IF(V207=1,G207,0)</f>
        <v/>
      </c>
      <c r="AA207" s="68">
        <f>IF(V207=1,S207,0)</f>
        <v/>
      </c>
    </row>
    <row r="208">
      <c r="B208" s="62" t="n"/>
      <c r="C208" s="63" t="n"/>
      <c r="D208" s="62" t="n"/>
      <c r="E208" s="62" t="n"/>
      <c r="F208" s="62" t="n"/>
      <c r="G208" s="64" t="n"/>
      <c r="H208" s="64" t="n"/>
      <c r="I208" s="63" t="n"/>
      <c r="J208" s="29">
        <f>IF(V208=1,IF(ISNUMBER(I208),I208,C208+IF(ISNUMBER(IFERROR(INDEX(vend_Terms,MATCH(D208,vend_Name,0)),"")),INDEX(vend_Terms,MATCH(D208,vend_Name,0)),TermsDays)),"")</f>
        <v/>
      </c>
      <c r="K208" s="65">
        <f>IF(V208=1,SUMIFS(tx_CrAmt,tx_Type,"Bill Payment",tx_Ref,B208&amp;"",tx_Vend,D208,tx_Date,"&lt;="&amp;AsOf),"")</f>
        <v/>
      </c>
      <c r="L208" s="65">
        <f>IF(V208=1,IF(C208&gt;AsOf,0,ROUND(G208-K208,2)),"")</f>
        <v/>
      </c>
      <c r="M208" s="66">
        <f>IF(V208&lt;&gt;1,"",IF(C208&gt;AsOf,"Future",IF(L208&lt;0,"Overpaid",IF(L208=0,"Paid",IF(AsOf&gt;J208,"Overdue",IF(K208&gt;0,"Partial","Unpaid"))))))</f>
        <v/>
      </c>
      <c r="N208" s="28">
        <f>IF(AND(V208=1,N(L208)&gt;0),AsOf-C208,"")</f>
        <v/>
      </c>
      <c r="O208" s="28">
        <f>IF(N208="","",MAX(0,AsOf-J208))</f>
        <v/>
      </c>
      <c r="P208" s="66">
        <f>IF(O208="","",IF(O208=0,"Current",IF(O208&lt;=30,"1-30",IF(O208&lt;=60,"31-60",IF(O208&lt;=90,"61-90","90+")))))</f>
        <v/>
      </c>
      <c r="Q208" s="66">
        <f>IF(T208&lt;&gt;"","⛔ "&amp;T208&amp;" — not posted",IF(U208&lt;&gt;"","⚠ "&amp;U208,IF(V208=1,"✓ OK","")))</f>
        <v/>
      </c>
      <c r="R208" s="67">
        <f>IF(AND(B208="",C208="",D208="",G208="",F208=""),1,0)</f>
        <v/>
      </c>
      <c r="S208" s="68">
        <f>IF(AND(TaxOn="Yes",ISNUMBER(H208)),H208,0)</f>
        <v/>
      </c>
      <c r="T208" s="67">
        <f>IF(R208=1,"",IF(B208="","Enter a bill #",IF(D208="","Select a vendor",IF(C208="","Missing bill date",IF(NOT(ISNUMBER(C208)),"Invalid date",IF(OR(C208&lt;DATE(2000,1,1),C208&gt;DATE(2099,12,31)),"Invalid date",IF(F208="","Select an expense account",IF(ISNA(MATCH(F208,coa_Name,0)),"Unknown account: "&amp;F208,IF(NOT(ISNUMBER(G208)),"Enter an amount",IF(G208&lt;=0,"Amount must be positive",IF(S208&gt;G208,"Tax is larger than the amount","")))))))))))</f>
        <v/>
      </c>
      <c r="U208" s="67">
        <f>IF(OR(R208=1,T208&lt;&gt;""),"",IF(COUNTIFS(ap_No,B208,ap_Party,D208)&gt;1,"Duplicate bill #",IF(N(L208)&lt;0,"Overpaid by "&amp;TEXT(-L208,"#,##0.00"),IF(AND(ISNUMBER(H208),N(H208)&lt;&gt;0,S208=0),"Tax ignored (tax tracking is off)",IF(AND(ISNUMBER(StartDate),C208&lt;StartDate),"Date is before the accounting start date",IF(OR(IFERROR(INDEX(coa_Type,MATCH(F208,coa_Name,0)),"")="Revenue",IFERROR(INDEX(coa_Type,MATCH(F208,coa_Name,0)),"")="Other Income",IFERROR(INDEX(coa_Type,MATCH(F208,coa_Name,0)),"")="Equity"),"Account is not an expense or asset account",""))))))</f>
        <v/>
      </c>
      <c r="V208" s="67">
        <f>IF(AND(R208=0,T208=""),1,0)</f>
        <v/>
      </c>
      <c r="W208" s="67">
        <f>IF(V208=1,F208,"")</f>
        <v/>
      </c>
      <c r="X208" s="67">
        <f>IF(V208=1,acctAP,"")</f>
        <v/>
      </c>
      <c r="Y208" s="68">
        <f>IF(V208=1,G208-S208,0)</f>
        <v/>
      </c>
      <c r="Z208" s="68">
        <f>IF(V208=1,G208,0)</f>
        <v/>
      </c>
      <c r="AA208" s="68">
        <f>IF(V208=1,S208,0)</f>
        <v/>
      </c>
    </row>
    <row r="209">
      <c r="B209" s="62" t="n"/>
      <c r="C209" s="63" t="n"/>
      <c r="D209" s="62" t="n"/>
      <c r="E209" s="62" t="n"/>
      <c r="F209" s="62" t="n"/>
      <c r="G209" s="64" t="n"/>
      <c r="H209" s="64" t="n"/>
      <c r="I209" s="63" t="n"/>
      <c r="J209" s="29">
        <f>IF(V209=1,IF(ISNUMBER(I209),I209,C209+IF(ISNUMBER(IFERROR(INDEX(vend_Terms,MATCH(D209,vend_Name,0)),"")),INDEX(vend_Terms,MATCH(D209,vend_Name,0)),TermsDays)),"")</f>
        <v/>
      </c>
      <c r="K209" s="65">
        <f>IF(V209=1,SUMIFS(tx_CrAmt,tx_Type,"Bill Payment",tx_Ref,B209&amp;"",tx_Vend,D209,tx_Date,"&lt;="&amp;AsOf),"")</f>
        <v/>
      </c>
      <c r="L209" s="65">
        <f>IF(V209=1,IF(C209&gt;AsOf,0,ROUND(G209-K209,2)),"")</f>
        <v/>
      </c>
      <c r="M209" s="66">
        <f>IF(V209&lt;&gt;1,"",IF(C209&gt;AsOf,"Future",IF(L209&lt;0,"Overpaid",IF(L209=0,"Paid",IF(AsOf&gt;J209,"Overdue",IF(K209&gt;0,"Partial","Unpaid"))))))</f>
        <v/>
      </c>
      <c r="N209" s="28">
        <f>IF(AND(V209=1,N(L209)&gt;0),AsOf-C209,"")</f>
        <v/>
      </c>
      <c r="O209" s="28">
        <f>IF(N209="","",MAX(0,AsOf-J209))</f>
        <v/>
      </c>
      <c r="P209" s="66">
        <f>IF(O209="","",IF(O209=0,"Current",IF(O209&lt;=30,"1-30",IF(O209&lt;=60,"31-60",IF(O209&lt;=90,"61-90","90+")))))</f>
        <v/>
      </c>
      <c r="Q209" s="66">
        <f>IF(T209&lt;&gt;"","⛔ "&amp;T209&amp;" — not posted",IF(U209&lt;&gt;"","⚠ "&amp;U209,IF(V209=1,"✓ OK","")))</f>
        <v/>
      </c>
      <c r="R209" s="67">
        <f>IF(AND(B209="",C209="",D209="",G209="",F209=""),1,0)</f>
        <v/>
      </c>
      <c r="S209" s="68">
        <f>IF(AND(TaxOn="Yes",ISNUMBER(H209)),H209,0)</f>
        <v/>
      </c>
      <c r="T209" s="67">
        <f>IF(R209=1,"",IF(B209="","Enter a bill #",IF(D209="","Select a vendor",IF(C209="","Missing bill date",IF(NOT(ISNUMBER(C209)),"Invalid date",IF(OR(C209&lt;DATE(2000,1,1),C209&gt;DATE(2099,12,31)),"Invalid date",IF(F209="","Select an expense account",IF(ISNA(MATCH(F209,coa_Name,0)),"Unknown account: "&amp;F209,IF(NOT(ISNUMBER(G209)),"Enter an amount",IF(G209&lt;=0,"Amount must be positive",IF(S209&gt;G209,"Tax is larger than the amount","")))))))))))</f>
        <v/>
      </c>
      <c r="U209" s="67">
        <f>IF(OR(R209=1,T209&lt;&gt;""),"",IF(COUNTIFS(ap_No,B209,ap_Party,D209)&gt;1,"Duplicate bill #",IF(N(L209)&lt;0,"Overpaid by "&amp;TEXT(-L209,"#,##0.00"),IF(AND(ISNUMBER(H209),N(H209)&lt;&gt;0,S209=0),"Tax ignored (tax tracking is off)",IF(AND(ISNUMBER(StartDate),C209&lt;StartDate),"Date is before the accounting start date",IF(OR(IFERROR(INDEX(coa_Type,MATCH(F209,coa_Name,0)),"")="Revenue",IFERROR(INDEX(coa_Type,MATCH(F209,coa_Name,0)),"")="Other Income",IFERROR(INDEX(coa_Type,MATCH(F209,coa_Name,0)),"")="Equity"),"Account is not an expense or asset account",""))))))</f>
        <v/>
      </c>
      <c r="V209" s="67">
        <f>IF(AND(R209=0,T209=""),1,0)</f>
        <v/>
      </c>
      <c r="W209" s="67">
        <f>IF(V209=1,F209,"")</f>
        <v/>
      </c>
      <c r="X209" s="67">
        <f>IF(V209=1,acctAP,"")</f>
        <v/>
      </c>
      <c r="Y209" s="68">
        <f>IF(V209=1,G209-S209,0)</f>
        <v/>
      </c>
      <c r="Z209" s="68">
        <f>IF(V209=1,G209,0)</f>
        <v/>
      </c>
      <c r="AA209" s="68">
        <f>IF(V209=1,S209,0)</f>
        <v/>
      </c>
    </row>
    <row r="210">
      <c r="B210" s="62" t="n"/>
      <c r="C210" s="63" t="n"/>
      <c r="D210" s="62" t="n"/>
      <c r="E210" s="62" t="n"/>
      <c r="F210" s="62" t="n"/>
      <c r="G210" s="64" t="n"/>
      <c r="H210" s="64" t="n"/>
      <c r="I210" s="63" t="n"/>
      <c r="J210" s="29">
        <f>IF(V210=1,IF(ISNUMBER(I210),I210,C210+IF(ISNUMBER(IFERROR(INDEX(vend_Terms,MATCH(D210,vend_Name,0)),"")),INDEX(vend_Terms,MATCH(D210,vend_Name,0)),TermsDays)),"")</f>
        <v/>
      </c>
      <c r="K210" s="65">
        <f>IF(V210=1,SUMIFS(tx_CrAmt,tx_Type,"Bill Payment",tx_Ref,B210&amp;"",tx_Vend,D210,tx_Date,"&lt;="&amp;AsOf),"")</f>
        <v/>
      </c>
      <c r="L210" s="65">
        <f>IF(V210=1,IF(C210&gt;AsOf,0,ROUND(G210-K210,2)),"")</f>
        <v/>
      </c>
      <c r="M210" s="66">
        <f>IF(V210&lt;&gt;1,"",IF(C210&gt;AsOf,"Future",IF(L210&lt;0,"Overpaid",IF(L210=0,"Paid",IF(AsOf&gt;J210,"Overdue",IF(K210&gt;0,"Partial","Unpaid"))))))</f>
        <v/>
      </c>
      <c r="N210" s="28">
        <f>IF(AND(V210=1,N(L210)&gt;0),AsOf-C210,"")</f>
        <v/>
      </c>
      <c r="O210" s="28">
        <f>IF(N210="","",MAX(0,AsOf-J210))</f>
        <v/>
      </c>
      <c r="P210" s="66">
        <f>IF(O210="","",IF(O210=0,"Current",IF(O210&lt;=30,"1-30",IF(O210&lt;=60,"31-60",IF(O210&lt;=90,"61-90","90+")))))</f>
        <v/>
      </c>
      <c r="Q210" s="66">
        <f>IF(T210&lt;&gt;"","⛔ "&amp;T210&amp;" — not posted",IF(U210&lt;&gt;"","⚠ "&amp;U210,IF(V210=1,"✓ OK","")))</f>
        <v/>
      </c>
      <c r="R210" s="67">
        <f>IF(AND(B210="",C210="",D210="",G210="",F210=""),1,0)</f>
        <v/>
      </c>
      <c r="S210" s="68">
        <f>IF(AND(TaxOn="Yes",ISNUMBER(H210)),H210,0)</f>
        <v/>
      </c>
      <c r="T210" s="67">
        <f>IF(R210=1,"",IF(B210="","Enter a bill #",IF(D210="","Select a vendor",IF(C210="","Missing bill date",IF(NOT(ISNUMBER(C210)),"Invalid date",IF(OR(C210&lt;DATE(2000,1,1),C210&gt;DATE(2099,12,31)),"Invalid date",IF(F210="","Select an expense account",IF(ISNA(MATCH(F210,coa_Name,0)),"Unknown account: "&amp;F210,IF(NOT(ISNUMBER(G210)),"Enter an amount",IF(G210&lt;=0,"Amount must be positive",IF(S210&gt;G210,"Tax is larger than the amount","")))))))))))</f>
        <v/>
      </c>
      <c r="U210" s="67">
        <f>IF(OR(R210=1,T210&lt;&gt;""),"",IF(COUNTIFS(ap_No,B210,ap_Party,D210)&gt;1,"Duplicate bill #",IF(N(L210)&lt;0,"Overpaid by "&amp;TEXT(-L210,"#,##0.00"),IF(AND(ISNUMBER(H210),N(H210)&lt;&gt;0,S210=0),"Tax ignored (tax tracking is off)",IF(AND(ISNUMBER(StartDate),C210&lt;StartDate),"Date is before the accounting start date",IF(OR(IFERROR(INDEX(coa_Type,MATCH(F210,coa_Name,0)),"")="Revenue",IFERROR(INDEX(coa_Type,MATCH(F210,coa_Name,0)),"")="Other Income",IFERROR(INDEX(coa_Type,MATCH(F210,coa_Name,0)),"")="Equity"),"Account is not an expense or asset account",""))))))</f>
        <v/>
      </c>
      <c r="V210" s="67">
        <f>IF(AND(R210=0,T210=""),1,0)</f>
        <v/>
      </c>
      <c r="W210" s="67">
        <f>IF(V210=1,F210,"")</f>
        <v/>
      </c>
      <c r="X210" s="67">
        <f>IF(V210=1,acctAP,"")</f>
        <v/>
      </c>
      <c r="Y210" s="68">
        <f>IF(V210=1,G210-S210,0)</f>
        <v/>
      </c>
      <c r="Z210" s="68">
        <f>IF(V210=1,G210,0)</f>
        <v/>
      </c>
      <c r="AA210" s="68">
        <f>IF(V210=1,S210,0)</f>
        <v/>
      </c>
    </row>
    <row r="211">
      <c r="B211" s="62" t="n"/>
      <c r="C211" s="63" t="n"/>
      <c r="D211" s="62" t="n"/>
      <c r="E211" s="62" t="n"/>
      <c r="F211" s="62" t="n"/>
      <c r="G211" s="64" t="n"/>
      <c r="H211" s="64" t="n"/>
      <c r="I211" s="63" t="n"/>
      <c r="J211" s="29">
        <f>IF(V211=1,IF(ISNUMBER(I211),I211,C211+IF(ISNUMBER(IFERROR(INDEX(vend_Terms,MATCH(D211,vend_Name,0)),"")),INDEX(vend_Terms,MATCH(D211,vend_Name,0)),TermsDays)),"")</f>
        <v/>
      </c>
      <c r="K211" s="65">
        <f>IF(V211=1,SUMIFS(tx_CrAmt,tx_Type,"Bill Payment",tx_Ref,B211&amp;"",tx_Vend,D211,tx_Date,"&lt;="&amp;AsOf),"")</f>
        <v/>
      </c>
      <c r="L211" s="65">
        <f>IF(V211=1,IF(C211&gt;AsOf,0,ROUND(G211-K211,2)),"")</f>
        <v/>
      </c>
      <c r="M211" s="66">
        <f>IF(V211&lt;&gt;1,"",IF(C211&gt;AsOf,"Future",IF(L211&lt;0,"Overpaid",IF(L211=0,"Paid",IF(AsOf&gt;J211,"Overdue",IF(K211&gt;0,"Partial","Unpaid"))))))</f>
        <v/>
      </c>
      <c r="N211" s="28">
        <f>IF(AND(V211=1,N(L211)&gt;0),AsOf-C211,"")</f>
        <v/>
      </c>
      <c r="O211" s="28">
        <f>IF(N211="","",MAX(0,AsOf-J211))</f>
        <v/>
      </c>
      <c r="P211" s="66">
        <f>IF(O211="","",IF(O211=0,"Current",IF(O211&lt;=30,"1-30",IF(O211&lt;=60,"31-60",IF(O211&lt;=90,"61-90","90+")))))</f>
        <v/>
      </c>
      <c r="Q211" s="66">
        <f>IF(T211&lt;&gt;"","⛔ "&amp;T211&amp;" — not posted",IF(U211&lt;&gt;"","⚠ "&amp;U211,IF(V211=1,"✓ OK","")))</f>
        <v/>
      </c>
      <c r="R211" s="67">
        <f>IF(AND(B211="",C211="",D211="",G211="",F211=""),1,0)</f>
        <v/>
      </c>
      <c r="S211" s="68">
        <f>IF(AND(TaxOn="Yes",ISNUMBER(H211)),H211,0)</f>
        <v/>
      </c>
      <c r="T211" s="67">
        <f>IF(R211=1,"",IF(B211="","Enter a bill #",IF(D211="","Select a vendor",IF(C211="","Missing bill date",IF(NOT(ISNUMBER(C211)),"Invalid date",IF(OR(C211&lt;DATE(2000,1,1),C211&gt;DATE(2099,12,31)),"Invalid date",IF(F211="","Select an expense account",IF(ISNA(MATCH(F211,coa_Name,0)),"Unknown account: "&amp;F211,IF(NOT(ISNUMBER(G211)),"Enter an amount",IF(G211&lt;=0,"Amount must be positive",IF(S211&gt;G211,"Tax is larger than the amount","")))))))))))</f>
        <v/>
      </c>
      <c r="U211" s="67">
        <f>IF(OR(R211=1,T211&lt;&gt;""),"",IF(COUNTIFS(ap_No,B211,ap_Party,D211)&gt;1,"Duplicate bill #",IF(N(L211)&lt;0,"Overpaid by "&amp;TEXT(-L211,"#,##0.00"),IF(AND(ISNUMBER(H211),N(H211)&lt;&gt;0,S211=0),"Tax ignored (tax tracking is off)",IF(AND(ISNUMBER(StartDate),C211&lt;StartDate),"Date is before the accounting start date",IF(OR(IFERROR(INDEX(coa_Type,MATCH(F211,coa_Name,0)),"")="Revenue",IFERROR(INDEX(coa_Type,MATCH(F211,coa_Name,0)),"")="Other Income",IFERROR(INDEX(coa_Type,MATCH(F211,coa_Name,0)),"")="Equity"),"Account is not an expense or asset account",""))))))</f>
        <v/>
      </c>
      <c r="V211" s="67">
        <f>IF(AND(R211=0,T211=""),1,0)</f>
        <v/>
      </c>
      <c r="W211" s="67">
        <f>IF(V211=1,F211,"")</f>
        <v/>
      </c>
      <c r="X211" s="67">
        <f>IF(V211=1,acctAP,"")</f>
        <v/>
      </c>
      <c r="Y211" s="68">
        <f>IF(V211=1,G211-S211,0)</f>
        <v/>
      </c>
      <c r="Z211" s="68">
        <f>IF(V211=1,G211,0)</f>
        <v/>
      </c>
      <c r="AA211" s="68">
        <f>IF(V211=1,S211,0)</f>
        <v/>
      </c>
    </row>
    <row r="212">
      <c r="B212" s="62" t="n"/>
      <c r="C212" s="63" t="n"/>
      <c r="D212" s="62" t="n"/>
      <c r="E212" s="62" t="n"/>
      <c r="F212" s="62" t="n"/>
      <c r="G212" s="64" t="n"/>
      <c r="H212" s="64" t="n"/>
      <c r="I212" s="63" t="n"/>
      <c r="J212" s="29">
        <f>IF(V212=1,IF(ISNUMBER(I212),I212,C212+IF(ISNUMBER(IFERROR(INDEX(vend_Terms,MATCH(D212,vend_Name,0)),"")),INDEX(vend_Terms,MATCH(D212,vend_Name,0)),TermsDays)),"")</f>
        <v/>
      </c>
      <c r="K212" s="65">
        <f>IF(V212=1,SUMIFS(tx_CrAmt,tx_Type,"Bill Payment",tx_Ref,B212&amp;"",tx_Vend,D212,tx_Date,"&lt;="&amp;AsOf),"")</f>
        <v/>
      </c>
      <c r="L212" s="65">
        <f>IF(V212=1,IF(C212&gt;AsOf,0,ROUND(G212-K212,2)),"")</f>
        <v/>
      </c>
      <c r="M212" s="66">
        <f>IF(V212&lt;&gt;1,"",IF(C212&gt;AsOf,"Future",IF(L212&lt;0,"Overpaid",IF(L212=0,"Paid",IF(AsOf&gt;J212,"Overdue",IF(K212&gt;0,"Partial","Unpaid"))))))</f>
        <v/>
      </c>
      <c r="N212" s="28">
        <f>IF(AND(V212=1,N(L212)&gt;0),AsOf-C212,"")</f>
        <v/>
      </c>
      <c r="O212" s="28">
        <f>IF(N212="","",MAX(0,AsOf-J212))</f>
        <v/>
      </c>
      <c r="P212" s="66">
        <f>IF(O212="","",IF(O212=0,"Current",IF(O212&lt;=30,"1-30",IF(O212&lt;=60,"31-60",IF(O212&lt;=90,"61-90","90+")))))</f>
        <v/>
      </c>
      <c r="Q212" s="66">
        <f>IF(T212&lt;&gt;"","⛔ "&amp;T212&amp;" — not posted",IF(U212&lt;&gt;"","⚠ "&amp;U212,IF(V212=1,"✓ OK","")))</f>
        <v/>
      </c>
      <c r="R212" s="67">
        <f>IF(AND(B212="",C212="",D212="",G212="",F212=""),1,0)</f>
        <v/>
      </c>
      <c r="S212" s="68">
        <f>IF(AND(TaxOn="Yes",ISNUMBER(H212)),H212,0)</f>
        <v/>
      </c>
      <c r="T212" s="67">
        <f>IF(R212=1,"",IF(B212="","Enter a bill #",IF(D212="","Select a vendor",IF(C212="","Missing bill date",IF(NOT(ISNUMBER(C212)),"Invalid date",IF(OR(C212&lt;DATE(2000,1,1),C212&gt;DATE(2099,12,31)),"Invalid date",IF(F212="","Select an expense account",IF(ISNA(MATCH(F212,coa_Name,0)),"Unknown account: "&amp;F212,IF(NOT(ISNUMBER(G212)),"Enter an amount",IF(G212&lt;=0,"Amount must be positive",IF(S212&gt;G212,"Tax is larger than the amount","")))))))))))</f>
        <v/>
      </c>
      <c r="U212" s="67">
        <f>IF(OR(R212=1,T212&lt;&gt;""),"",IF(COUNTIFS(ap_No,B212,ap_Party,D212)&gt;1,"Duplicate bill #",IF(N(L212)&lt;0,"Overpaid by "&amp;TEXT(-L212,"#,##0.00"),IF(AND(ISNUMBER(H212),N(H212)&lt;&gt;0,S212=0),"Tax ignored (tax tracking is off)",IF(AND(ISNUMBER(StartDate),C212&lt;StartDate),"Date is before the accounting start date",IF(OR(IFERROR(INDEX(coa_Type,MATCH(F212,coa_Name,0)),"")="Revenue",IFERROR(INDEX(coa_Type,MATCH(F212,coa_Name,0)),"")="Other Income",IFERROR(INDEX(coa_Type,MATCH(F212,coa_Name,0)),"")="Equity"),"Account is not an expense or asset account",""))))))</f>
        <v/>
      </c>
      <c r="V212" s="67">
        <f>IF(AND(R212=0,T212=""),1,0)</f>
        <v/>
      </c>
      <c r="W212" s="67">
        <f>IF(V212=1,F212,"")</f>
        <v/>
      </c>
      <c r="X212" s="67">
        <f>IF(V212=1,acctAP,"")</f>
        <v/>
      </c>
      <c r="Y212" s="68">
        <f>IF(V212=1,G212-S212,0)</f>
        <v/>
      </c>
      <c r="Z212" s="68">
        <f>IF(V212=1,G212,0)</f>
        <v/>
      </c>
      <c r="AA212" s="68">
        <f>IF(V212=1,S212,0)</f>
        <v/>
      </c>
    </row>
    <row r="213">
      <c r="B213" s="62" t="n"/>
      <c r="C213" s="63" t="n"/>
      <c r="D213" s="62" t="n"/>
      <c r="E213" s="62" t="n"/>
      <c r="F213" s="62" t="n"/>
      <c r="G213" s="64" t="n"/>
      <c r="H213" s="64" t="n"/>
      <c r="I213" s="63" t="n"/>
      <c r="J213" s="29">
        <f>IF(V213=1,IF(ISNUMBER(I213),I213,C213+IF(ISNUMBER(IFERROR(INDEX(vend_Terms,MATCH(D213,vend_Name,0)),"")),INDEX(vend_Terms,MATCH(D213,vend_Name,0)),TermsDays)),"")</f>
        <v/>
      </c>
      <c r="K213" s="65">
        <f>IF(V213=1,SUMIFS(tx_CrAmt,tx_Type,"Bill Payment",tx_Ref,B213&amp;"",tx_Vend,D213,tx_Date,"&lt;="&amp;AsOf),"")</f>
        <v/>
      </c>
      <c r="L213" s="65">
        <f>IF(V213=1,IF(C213&gt;AsOf,0,ROUND(G213-K213,2)),"")</f>
        <v/>
      </c>
      <c r="M213" s="66">
        <f>IF(V213&lt;&gt;1,"",IF(C213&gt;AsOf,"Future",IF(L213&lt;0,"Overpaid",IF(L213=0,"Paid",IF(AsOf&gt;J213,"Overdue",IF(K213&gt;0,"Partial","Unpaid"))))))</f>
        <v/>
      </c>
      <c r="N213" s="28">
        <f>IF(AND(V213=1,N(L213)&gt;0),AsOf-C213,"")</f>
        <v/>
      </c>
      <c r="O213" s="28">
        <f>IF(N213="","",MAX(0,AsOf-J213))</f>
        <v/>
      </c>
      <c r="P213" s="66">
        <f>IF(O213="","",IF(O213=0,"Current",IF(O213&lt;=30,"1-30",IF(O213&lt;=60,"31-60",IF(O213&lt;=90,"61-90","90+")))))</f>
        <v/>
      </c>
      <c r="Q213" s="66">
        <f>IF(T213&lt;&gt;"","⛔ "&amp;T213&amp;" — not posted",IF(U213&lt;&gt;"","⚠ "&amp;U213,IF(V213=1,"✓ OK","")))</f>
        <v/>
      </c>
      <c r="R213" s="67">
        <f>IF(AND(B213="",C213="",D213="",G213="",F213=""),1,0)</f>
        <v/>
      </c>
      <c r="S213" s="68">
        <f>IF(AND(TaxOn="Yes",ISNUMBER(H213)),H213,0)</f>
        <v/>
      </c>
      <c r="T213" s="67">
        <f>IF(R213=1,"",IF(B213="","Enter a bill #",IF(D213="","Select a vendor",IF(C213="","Missing bill date",IF(NOT(ISNUMBER(C213)),"Invalid date",IF(OR(C213&lt;DATE(2000,1,1),C213&gt;DATE(2099,12,31)),"Invalid date",IF(F213="","Select an expense account",IF(ISNA(MATCH(F213,coa_Name,0)),"Unknown account: "&amp;F213,IF(NOT(ISNUMBER(G213)),"Enter an amount",IF(G213&lt;=0,"Amount must be positive",IF(S213&gt;G213,"Tax is larger than the amount","")))))))))))</f>
        <v/>
      </c>
      <c r="U213" s="67">
        <f>IF(OR(R213=1,T213&lt;&gt;""),"",IF(COUNTIFS(ap_No,B213,ap_Party,D213)&gt;1,"Duplicate bill #",IF(N(L213)&lt;0,"Overpaid by "&amp;TEXT(-L213,"#,##0.00"),IF(AND(ISNUMBER(H213),N(H213)&lt;&gt;0,S213=0),"Tax ignored (tax tracking is off)",IF(AND(ISNUMBER(StartDate),C213&lt;StartDate),"Date is before the accounting start date",IF(OR(IFERROR(INDEX(coa_Type,MATCH(F213,coa_Name,0)),"")="Revenue",IFERROR(INDEX(coa_Type,MATCH(F213,coa_Name,0)),"")="Other Income",IFERROR(INDEX(coa_Type,MATCH(F213,coa_Name,0)),"")="Equity"),"Account is not an expense or asset account",""))))))</f>
        <v/>
      </c>
      <c r="V213" s="67">
        <f>IF(AND(R213=0,T213=""),1,0)</f>
        <v/>
      </c>
      <c r="W213" s="67">
        <f>IF(V213=1,F213,"")</f>
        <v/>
      </c>
      <c r="X213" s="67">
        <f>IF(V213=1,acctAP,"")</f>
        <v/>
      </c>
      <c r="Y213" s="68">
        <f>IF(V213=1,G213-S213,0)</f>
        <v/>
      </c>
      <c r="Z213" s="68">
        <f>IF(V213=1,G213,0)</f>
        <v/>
      </c>
      <c r="AA213" s="68">
        <f>IF(V213=1,S213,0)</f>
        <v/>
      </c>
    </row>
    <row r="214">
      <c r="B214" s="62" t="n"/>
      <c r="C214" s="63" t="n"/>
      <c r="D214" s="62" t="n"/>
      <c r="E214" s="62" t="n"/>
      <c r="F214" s="62" t="n"/>
      <c r="G214" s="64" t="n"/>
      <c r="H214" s="64" t="n"/>
      <c r="I214" s="63" t="n"/>
      <c r="J214" s="29">
        <f>IF(V214=1,IF(ISNUMBER(I214),I214,C214+IF(ISNUMBER(IFERROR(INDEX(vend_Terms,MATCH(D214,vend_Name,0)),"")),INDEX(vend_Terms,MATCH(D214,vend_Name,0)),TermsDays)),"")</f>
        <v/>
      </c>
      <c r="K214" s="65">
        <f>IF(V214=1,SUMIFS(tx_CrAmt,tx_Type,"Bill Payment",tx_Ref,B214&amp;"",tx_Vend,D214,tx_Date,"&lt;="&amp;AsOf),"")</f>
        <v/>
      </c>
      <c r="L214" s="65">
        <f>IF(V214=1,IF(C214&gt;AsOf,0,ROUND(G214-K214,2)),"")</f>
        <v/>
      </c>
      <c r="M214" s="66">
        <f>IF(V214&lt;&gt;1,"",IF(C214&gt;AsOf,"Future",IF(L214&lt;0,"Overpaid",IF(L214=0,"Paid",IF(AsOf&gt;J214,"Overdue",IF(K214&gt;0,"Partial","Unpaid"))))))</f>
        <v/>
      </c>
      <c r="N214" s="28">
        <f>IF(AND(V214=1,N(L214)&gt;0),AsOf-C214,"")</f>
        <v/>
      </c>
      <c r="O214" s="28">
        <f>IF(N214="","",MAX(0,AsOf-J214))</f>
        <v/>
      </c>
      <c r="P214" s="66">
        <f>IF(O214="","",IF(O214=0,"Current",IF(O214&lt;=30,"1-30",IF(O214&lt;=60,"31-60",IF(O214&lt;=90,"61-90","90+")))))</f>
        <v/>
      </c>
      <c r="Q214" s="66">
        <f>IF(T214&lt;&gt;"","⛔ "&amp;T214&amp;" — not posted",IF(U214&lt;&gt;"","⚠ "&amp;U214,IF(V214=1,"✓ OK","")))</f>
        <v/>
      </c>
      <c r="R214" s="67">
        <f>IF(AND(B214="",C214="",D214="",G214="",F214=""),1,0)</f>
        <v/>
      </c>
      <c r="S214" s="68">
        <f>IF(AND(TaxOn="Yes",ISNUMBER(H214)),H214,0)</f>
        <v/>
      </c>
      <c r="T214" s="67">
        <f>IF(R214=1,"",IF(B214="","Enter a bill #",IF(D214="","Select a vendor",IF(C214="","Missing bill date",IF(NOT(ISNUMBER(C214)),"Invalid date",IF(OR(C214&lt;DATE(2000,1,1),C214&gt;DATE(2099,12,31)),"Invalid date",IF(F214="","Select an expense account",IF(ISNA(MATCH(F214,coa_Name,0)),"Unknown account: "&amp;F214,IF(NOT(ISNUMBER(G214)),"Enter an amount",IF(G214&lt;=0,"Amount must be positive",IF(S214&gt;G214,"Tax is larger than the amount","")))))))))))</f>
        <v/>
      </c>
      <c r="U214" s="67">
        <f>IF(OR(R214=1,T214&lt;&gt;""),"",IF(COUNTIFS(ap_No,B214,ap_Party,D214)&gt;1,"Duplicate bill #",IF(N(L214)&lt;0,"Overpaid by "&amp;TEXT(-L214,"#,##0.00"),IF(AND(ISNUMBER(H214),N(H214)&lt;&gt;0,S214=0),"Tax ignored (tax tracking is off)",IF(AND(ISNUMBER(StartDate),C214&lt;StartDate),"Date is before the accounting start date",IF(OR(IFERROR(INDEX(coa_Type,MATCH(F214,coa_Name,0)),"")="Revenue",IFERROR(INDEX(coa_Type,MATCH(F214,coa_Name,0)),"")="Other Income",IFERROR(INDEX(coa_Type,MATCH(F214,coa_Name,0)),"")="Equity"),"Account is not an expense or asset account",""))))))</f>
        <v/>
      </c>
      <c r="V214" s="67">
        <f>IF(AND(R214=0,T214=""),1,0)</f>
        <v/>
      </c>
      <c r="W214" s="67">
        <f>IF(V214=1,F214,"")</f>
        <v/>
      </c>
      <c r="X214" s="67">
        <f>IF(V214=1,acctAP,"")</f>
        <v/>
      </c>
      <c r="Y214" s="68">
        <f>IF(V214=1,G214-S214,0)</f>
        <v/>
      </c>
      <c r="Z214" s="68">
        <f>IF(V214=1,G214,0)</f>
        <v/>
      </c>
      <c r="AA214" s="68">
        <f>IF(V214=1,S214,0)</f>
        <v/>
      </c>
    </row>
    <row r="215">
      <c r="B215" s="62" t="n"/>
      <c r="C215" s="63" t="n"/>
      <c r="D215" s="62" t="n"/>
      <c r="E215" s="62" t="n"/>
      <c r="F215" s="62" t="n"/>
      <c r="G215" s="64" t="n"/>
      <c r="H215" s="64" t="n"/>
      <c r="I215" s="63" t="n"/>
      <c r="J215" s="29">
        <f>IF(V215=1,IF(ISNUMBER(I215),I215,C215+IF(ISNUMBER(IFERROR(INDEX(vend_Terms,MATCH(D215,vend_Name,0)),"")),INDEX(vend_Terms,MATCH(D215,vend_Name,0)),TermsDays)),"")</f>
        <v/>
      </c>
      <c r="K215" s="65">
        <f>IF(V215=1,SUMIFS(tx_CrAmt,tx_Type,"Bill Payment",tx_Ref,B215&amp;"",tx_Vend,D215,tx_Date,"&lt;="&amp;AsOf),"")</f>
        <v/>
      </c>
      <c r="L215" s="65">
        <f>IF(V215=1,IF(C215&gt;AsOf,0,ROUND(G215-K215,2)),"")</f>
        <v/>
      </c>
      <c r="M215" s="66">
        <f>IF(V215&lt;&gt;1,"",IF(C215&gt;AsOf,"Future",IF(L215&lt;0,"Overpaid",IF(L215=0,"Paid",IF(AsOf&gt;J215,"Overdue",IF(K215&gt;0,"Partial","Unpaid"))))))</f>
        <v/>
      </c>
      <c r="N215" s="28">
        <f>IF(AND(V215=1,N(L215)&gt;0),AsOf-C215,"")</f>
        <v/>
      </c>
      <c r="O215" s="28">
        <f>IF(N215="","",MAX(0,AsOf-J215))</f>
        <v/>
      </c>
      <c r="P215" s="66">
        <f>IF(O215="","",IF(O215=0,"Current",IF(O215&lt;=30,"1-30",IF(O215&lt;=60,"31-60",IF(O215&lt;=90,"61-90","90+")))))</f>
        <v/>
      </c>
      <c r="Q215" s="66">
        <f>IF(T215&lt;&gt;"","⛔ "&amp;T215&amp;" — not posted",IF(U215&lt;&gt;"","⚠ "&amp;U215,IF(V215=1,"✓ OK","")))</f>
        <v/>
      </c>
      <c r="R215" s="67">
        <f>IF(AND(B215="",C215="",D215="",G215="",F215=""),1,0)</f>
        <v/>
      </c>
      <c r="S215" s="68">
        <f>IF(AND(TaxOn="Yes",ISNUMBER(H215)),H215,0)</f>
        <v/>
      </c>
      <c r="T215" s="67">
        <f>IF(R215=1,"",IF(B215="","Enter a bill #",IF(D215="","Select a vendor",IF(C215="","Missing bill date",IF(NOT(ISNUMBER(C215)),"Invalid date",IF(OR(C215&lt;DATE(2000,1,1),C215&gt;DATE(2099,12,31)),"Invalid date",IF(F215="","Select an expense account",IF(ISNA(MATCH(F215,coa_Name,0)),"Unknown account: "&amp;F215,IF(NOT(ISNUMBER(G215)),"Enter an amount",IF(G215&lt;=0,"Amount must be positive",IF(S215&gt;G215,"Tax is larger than the amount","")))))))))))</f>
        <v/>
      </c>
      <c r="U215" s="67">
        <f>IF(OR(R215=1,T215&lt;&gt;""),"",IF(COUNTIFS(ap_No,B215,ap_Party,D215)&gt;1,"Duplicate bill #",IF(N(L215)&lt;0,"Overpaid by "&amp;TEXT(-L215,"#,##0.00"),IF(AND(ISNUMBER(H215),N(H215)&lt;&gt;0,S215=0),"Tax ignored (tax tracking is off)",IF(AND(ISNUMBER(StartDate),C215&lt;StartDate),"Date is before the accounting start date",IF(OR(IFERROR(INDEX(coa_Type,MATCH(F215,coa_Name,0)),"")="Revenue",IFERROR(INDEX(coa_Type,MATCH(F215,coa_Name,0)),"")="Other Income",IFERROR(INDEX(coa_Type,MATCH(F215,coa_Name,0)),"")="Equity"),"Account is not an expense or asset account",""))))))</f>
        <v/>
      </c>
      <c r="V215" s="67">
        <f>IF(AND(R215=0,T215=""),1,0)</f>
        <v/>
      </c>
      <c r="W215" s="67">
        <f>IF(V215=1,F215,"")</f>
        <v/>
      </c>
      <c r="X215" s="67">
        <f>IF(V215=1,acctAP,"")</f>
        <v/>
      </c>
      <c r="Y215" s="68">
        <f>IF(V215=1,G215-S215,0)</f>
        <v/>
      </c>
      <c r="Z215" s="68">
        <f>IF(V215=1,G215,0)</f>
        <v/>
      </c>
      <c r="AA215" s="68">
        <f>IF(V215=1,S215,0)</f>
        <v/>
      </c>
    </row>
    <row r="216">
      <c r="B216" s="62" t="n"/>
      <c r="C216" s="63" t="n"/>
      <c r="D216" s="62" t="n"/>
      <c r="E216" s="62" t="n"/>
      <c r="F216" s="62" t="n"/>
      <c r="G216" s="64" t="n"/>
      <c r="H216" s="64" t="n"/>
      <c r="I216" s="63" t="n"/>
      <c r="J216" s="29">
        <f>IF(V216=1,IF(ISNUMBER(I216),I216,C216+IF(ISNUMBER(IFERROR(INDEX(vend_Terms,MATCH(D216,vend_Name,0)),"")),INDEX(vend_Terms,MATCH(D216,vend_Name,0)),TermsDays)),"")</f>
        <v/>
      </c>
      <c r="K216" s="65">
        <f>IF(V216=1,SUMIFS(tx_CrAmt,tx_Type,"Bill Payment",tx_Ref,B216&amp;"",tx_Vend,D216,tx_Date,"&lt;="&amp;AsOf),"")</f>
        <v/>
      </c>
      <c r="L216" s="65">
        <f>IF(V216=1,IF(C216&gt;AsOf,0,ROUND(G216-K216,2)),"")</f>
        <v/>
      </c>
      <c r="M216" s="66">
        <f>IF(V216&lt;&gt;1,"",IF(C216&gt;AsOf,"Future",IF(L216&lt;0,"Overpaid",IF(L216=0,"Paid",IF(AsOf&gt;J216,"Overdue",IF(K216&gt;0,"Partial","Unpaid"))))))</f>
        <v/>
      </c>
      <c r="N216" s="28">
        <f>IF(AND(V216=1,N(L216)&gt;0),AsOf-C216,"")</f>
        <v/>
      </c>
      <c r="O216" s="28">
        <f>IF(N216="","",MAX(0,AsOf-J216))</f>
        <v/>
      </c>
      <c r="P216" s="66">
        <f>IF(O216="","",IF(O216=0,"Current",IF(O216&lt;=30,"1-30",IF(O216&lt;=60,"31-60",IF(O216&lt;=90,"61-90","90+")))))</f>
        <v/>
      </c>
      <c r="Q216" s="66">
        <f>IF(T216&lt;&gt;"","⛔ "&amp;T216&amp;" — not posted",IF(U216&lt;&gt;"","⚠ "&amp;U216,IF(V216=1,"✓ OK","")))</f>
        <v/>
      </c>
      <c r="R216" s="67">
        <f>IF(AND(B216="",C216="",D216="",G216="",F216=""),1,0)</f>
        <v/>
      </c>
      <c r="S216" s="68">
        <f>IF(AND(TaxOn="Yes",ISNUMBER(H216)),H216,0)</f>
        <v/>
      </c>
      <c r="T216" s="67">
        <f>IF(R216=1,"",IF(B216="","Enter a bill #",IF(D216="","Select a vendor",IF(C216="","Missing bill date",IF(NOT(ISNUMBER(C216)),"Invalid date",IF(OR(C216&lt;DATE(2000,1,1),C216&gt;DATE(2099,12,31)),"Invalid date",IF(F216="","Select an expense account",IF(ISNA(MATCH(F216,coa_Name,0)),"Unknown account: "&amp;F216,IF(NOT(ISNUMBER(G216)),"Enter an amount",IF(G216&lt;=0,"Amount must be positive",IF(S216&gt;G216,"Tax is larger than the amount","")))))))))))</f>
        <v/>
      </c>
      <c r="U216" s="67">
        <f>IF(OR(R216=1,T216&lt;&gt;""),"",IF(COUNTIFS(ap_No,B216,ap_Party,D216)&gt;1,"Duplicate bill #",IF(N(L216)&lt;0,"Overpaid by "&amp;TEXT(-L216,"#,##0.00"),IF(AND(ISNUMBER(H216),N(H216)&lt;&gt;0,S216=0),"Tax ignored (tax tracking is off)",IF(AND(ISNUMBER(StartDate),C216&lt;StartDate),"Date is before the accounting start date",IF(OR(IFERROR(INDEX(coa_Type,MATCH(F216,coa_Name,0)),"")="Revenue",IFERROR(INDEX(coa_Type,MATCH(F216,coa_Name,0)),"")="Other Income",IFERROR(INDEX(coa_Type,MATCH(F216,coa_Name,0)),"")="Equity"),"Account is not an expense or asset account",""))))))</f>
        <v/>
      </c>
      <c r="V216" s="67">
        <f>IF(AND(R216=0,T216=""),1,0)</f>
        <v/>
      </c>
      <c r="W216" s="67">
        <f>IF(V216=1,F216,"")</f>
        <v/>
      </c>
      <c r="X216" s="67">
        <f>IF(V216=1,acctAP,"")</f>
        <v/>
      </c>
      <c r="Y216" s="68">
        <f>IF(V216=1,G216-S216,0)</f>
        <v/>
      </c>
      <c r="Z216" s="68">
        <f>IF(V216=1,G216,0)</f>
        <v/>
      </c>
      <c r="AA216" s="68">
        <f>IF(V216=1,S216,0)</f>
        <v/>
      </c>
    </row>
    <row r="217">
      <c r="B217" s="62" t="n"/>
      <c r="C217" s="63" t="n"/>
      <c r="D217" s="62" t="n"/>
      <c r="E217" s="62" t="n"/>
      <c r="F217" s="62" t="n"/>
      <c r="G217" s="64" t="n"/>
      <c r="H217" s="64" t="n"/>
      <c r="I217" s="63" t="n"/>
      <c r="J217" s="29">
        <f>IF(V217=1,IF(ISNUMBER(I217),I217,C217+IF(ISNUMBER(IFERROR(INDEX(vend_Terms,MATCH(D217,vend_Name,0)),"")),INDEX(vend_Terms,MATCH(D217,vend_Name,0)),TermsDays)),"")</f>
        <v/>
      </c>
      <c r="K217" s="65">
        <f>IF(V217=1,SUMIFS(tx_CrAmt,tx_Type,"Bill Payment",tx_Ref,B217&amp;"",tx_Vend,D217,tx_Date,"&lt;="&amp;AsOf),"")</f>
        <v/>
      </c>
      <c r="L217" s="65">
        <f>IF(V217=1,IF(C217&gt;AsOf,0,ROUND(G217-K217,2)),"")</f>
        <v/>
      </c>
      <c r="M217" s="66">
        <f>IF(V217&lt;&gt;1,"",IF(C217&gt;AsOf,"Future",IF(L217&lt;0,"Overpaid",IF(L217=0,"Paid",IF(AsOf&gt;J217,"Overdue",IF(K217&gt;0,"Partial","Unpaid"))))))</f>
        <v/>
      </c>
      <c r="N217" s="28">
        <f>IF(AND(V217=1,N(L217)&gt;0),AsOf-C217,"")</f>
        <v/>
      </c>
      <c r="O217" s="28">
        <f>IF(N217="","",MAX(0,AsOf-J217))</f>
        <v/>
      </c>
      <c r="P217" s="66">
        <f>IF(O217="","",IF(O217=0,"Current",IF(O217&lt;=30,"1-30",IF(O217&lt;=60,"31-60",IF(O217&lt;=90,"61-90","90+")))))</f>
        <v/>
      </c>
      <c r="Q217" s="66">
        <f>IF(T217&lt;&gt;"","⛔ "&amp;T217&amp;" — not posted",IF(U217&lt;&gt;"","⚠ "&amp;U217,IF(V217=1,"✓ OK","")))</f>
        <v/>
      </c>
      <c r="R217" s="67">
        <f>IF(AND(B217="",C217="",D217="",G217="",F217=""),1,0)</f>
        <v/>
      </c>
      <c r="S217" s="68">
        <f>IF(AND(TaxOn="Yes",ISNUMBER(H217)),H217,0)</f>
        <v/>
      </c>
      <c r="T217" s="67">
        <f>IF(R217=1,"",IF(B217="","Enter a bill #",IF(D217="","Select a vendor",IF(C217="","Missing bill date",IF(NOT(ISNUMBER(C217)),"Invalid date",IF(OR(C217&lt;DATE(2000,1,1),C217&gt;DATE(2099,12,31)),"Invalid date",IF(F217="","Select an expense account",IF(ISNA(MATCH(F217,coa_Name,0)),"Unknown account: "&amp;F217,IF(NOT(ISNUMBER(G217)),"Enter an amount",IF(G217&lt;=0,"Amount must be positive",IF(S217&gt;G217,"Tax is larger than the amount","")))))))))))</f>
        <v/>
      </c>
      <c r="U217" s="67">
        <f>IF(OR(R217=1,T217&lt;&gt;""),"",IF(COUNTIFS(ap_No,B217,ap_Party,D217)&gt;1,"Duplicate bill #",IF(N(L217)&lt;0,"Overpaid by "&amp;TEXT(-L217,"#,##0.00"),IF(AND(ISNUMBER(H217),N(H217)&lt;&gt;0,S217=0),"Tax ignored (tax tracking is off)",IF(AND(ISNUMBER(StartDate),C217&lt;StartDate),"Date is before the accounting start date",IF(OR(IFERROR(INDEX(coa_Type,MATCH(F217,coa_Name,0)),"")="Revenue",IFERROR(INDEX(coa_Type,MATCH(F217,coa_Name,0)),"")="Other Income",IFERROR(INDEX(coa_Type,MATCH(F217,coa_Name,0)),"")="Equity"),"Account is not an expense or asset account",""))))))</f>
        <v/>
      </c>
      <c r="V217" s="67">
        <f>IF(AND(R217=0,T217=""),1,0)</f>
        <v/>
      </c>
      <c r="W217" s="67">
        <f>IF(V217=1,F217,"")</f>
        <v/>
      </c>
      <c r="X217" s="67">
        <f>IF(V217=1,acctAP,"")</f>
        <v/>
      </c>
      <c r="Y217" s="68">
        <f>IF(V217=1,G217-S217,0)</f>
        <v/>
      </c>
      <c r="Z217" s="68">
        <f>IF(V217=1,G217,0)</f>
        <v/>
      </c>
      <c r="AA217" s="68">
        <f>IF(V217=1,S217,0)</f>
        <v/>
      </c>
    </row>
    <row r="218">
      <c r="B218" s="62" t="n"/>
      <c r="C218" s="63" t="n"/>
      <c r="D218" s="62" t="n"/>
      <c r="E218" s="62" t="n"/>
      <c r="F218" s="62" t="n"/>
      <c r="G218" s="64" t="n"/>
      <c r="H218" s="64" t="n"/>
      <c r="I218" s="63" t="n"/>
      <c r="J218" s="29">
        <f>IF(V218=1,IF(ISNUMBER(I218),I218,C218+IF(ISNUMBER(IFERROR(INDEX(vend_Terms,MATCH(D218,vend_Name,0)),"")),INDEX(vend_Terms,MATCH(D218,vend_Name,0)),TermsDays)),"")</f>
        <v/>
      </c>
      <c r="K218" s="65">
        <f>IF(V218=1,SUMIFS(tx_CrAmt,tx_Type,"Bill Payment",tx_Ref,B218&amp;"",tx_Vend,D218,tx_Date,"&lt;="&amp;AsOf),"")</f>
        <v/>
      </c>
      <c r="L218" s="65">
        <f>IF(V218=1,IF(C218&gt;AsOf,0,ROUND(G218-K218,2)),"")</f>
        <v/>
      </c>
      <c r="M218" s="66">
        <f>IF(V218&lt;&gt;1,"",IF(C218&gt;AsOf,"Future",IF(L218&lt;0,"Overpaid",IF(L218=0,"Paid",IF(AsOf&gt;J218,"Overdue",IF(K218&gt;0,"Partial","Unpaid"))))))</f>
        <v/>
      </c>
      <c r="N218" s="28">
        <f>IF(AND(V218=1,N(L218)&gt;0),AsOf-C218,"")</f>
        <v/>
      </c>
      <c r="O218" s="28">
        <f>IF(N218="","",MAX(0,AsOf-J218))</f>
        <v/>
      </c>
      <c r="P218" s="66">
        <f>IF(O218="","",IF(O218=0,"Current",IF(O218&lt;=30,"1-30",IF(O218&lt;=60,"31-60",IF(O218&lt;=90,"61-90","90+")))))</f>
        <v/>
      </c>
      <c r="Q218" s="66">
        <f>IF(T218&lt;&gt;"","⛔ "&amp;T218&amp;" — not posted",IF(U218&lt;&gt;"","⚠ "&amp;U218,IF(V218=1,"✓ OK","")))</f>
        <v/>
      </c>
      <c r="R218" s="67">
        <f>IF(AND(B218="",C218="",D218="",G218="",F218=""),1,0)</f>
        <v/>
      </c>
      <c r="S218" s="68">
        <f>IF(AND(TaxOn="Yes",ISNUMBER(H218)),H218,0)</f>
        <v/>
      </c>
      <c r="T218" s="67">
        <f>IF(R218=1,"",IF(B218="","Enter a bill #",IF(D218="","Select a vendor",IF(C218="","Missing bill date",IF(NOT(ISNUMBER(C218)),"Invalid date",IF(OR(C218&lt;DATE(2000,1,1),C218&gt;DATE(2099,12,31)),"Invalid date",IF(F218="","Select an expense account",IF(ISNA(MATCH(F218,coa_Name,0)),"Unknown account: "&amp;F218,IF(NOT(ISNUMBER(G218)),"Enter an amount",IF(G218&lt;=0,"Amount must be positive",IF(S218&gt;G218,"Tax is larger than the amount","")))))))))))</f>
        <v/>
      </c>
      <c r="U218" s="67">
        <f>IF(OR(R218=1,T218&lt;&gt;""),"",IF(COUNTIFS(ap_No,B218,ap_Party,D218)&gt;1,"Duplicate bill #",IF(N(L218)&lt;0,"Overpaid by "&amp;TEXT(-L218,"#,##0.00"),IF(AND(ISNUMBER(H218),N(H218)&lt;&gt;0,S218=0),"Tax ignored (tax tracking is off)",IF(AND(ISNUMBER(StartDate),C218&lt;StartDate),"Date is before the accounting start date",IF(OR(IFERROR(INDEX(coa_Type,MATCH(F218,coa_Name,0)),"")="Revenue",IFERROR(INDEX(coa_Type,MATCH(F218,coa_Name,0)),"")="Other Income",IFERROR(INDEX(coa_Type,MATCH(F218,coa_Name,0)),"")="Equity"),"Account is not an expense or asset account",""))))))</f>
        <v/>
      </c>
      <c r="V218" s="67">
        <f>IF(AND(R218=0,T218=""),1,0)</f>
        <v/>
      </c>
      <c r="W218" s="67">
        <f>IF(V218=1,F218,"")</f>
        <v/>
      </c>
      <c r="X218" s="67">
        <f>IF(V218=1,acctAP,"")</f>
        <v/>
      </c>
      <c r="Y218" s="68">
        <f>IF(V218=1,G218-S218,0)</f>
        <v/>
      </c>
      <c r="Z218" s="68">
        <f>IF(V218=1,G218,0)</f>
        <v/>
      </c>
      <c r="AA218" s="68">
        <f>IF(V218=1,S218,0)</f>
        <v/>
      </c>
    </row>
    <row r="219">
      <c r="B219" s="62" t="n"/>
      <c r="C219" s="63" t="n"/>
      <c r="D219" s="62" t="n"/>
      <c r="E219" s="62" t="n"/>
      <c r="F219" s="62" t="n"/>
      <c r="G219" s="64" t="n"/>
      <c r="H219" s="64" t="n"/>
      <c r="I219" s="63" t="n"/>
      <c r="J219" s="29">
        <f>IF(V219=1,IF(ISNUMBER(I219),I219,C219+IF(ISNUMBER(IFERROR(INDEX(vend_Terms,MATCH(D219,vend_Name,0)),"")),INDEX(vend_Terms,MATCH(D219,vend_Name,0)),TermsDays)),"")</f>
        <v/>
      </c>
      <c r="K219" s="65">
        <f>IF(V219=1,SUMIFS(tx_CrAmt,tx_Type,"Bill Payment",tx_Ref,B219&amp;"",tx_Vend,D219,tx_Date,"&lt;="&amp;AsOf),"")</f>
        <v/>
      </c>
      <c r="L219" s="65">
        <f>IF(V219=1,IF(C219&gt;AsOf,0,ROUND(G219-K219,2)),"")</f>
        <v/>
      </c>
      <c r="M219" s="66">
        <f>IF(V219&lt;&gt;1,"",IF(C219&gt;AsOf,"Future",IF(L219&lt;0,"Overpaid",IF(L219=0,"Paid",IF(AsOf&gt;J219,"Overdue",IF(K219&gt;0,"Partial","Unpaid"))))))</f>
        <v/>
      </c>
      <c r="N219" s="28">
        <f>IF(AND(V219=1,N(L219)&gt;0),AsOf-C219,"")</f>
        <v/>
      </c>
      <c r="O219" s="28">
        <f>IF(N219="","",MAX(0,AsOf-J219))</f>
        <v/>
      </c>
      <c r="P219" s="66">
        <f>IF(O219="","",IF(O219=0,"Current",IF(O219&lt;=30,"1-30",IF(O219&lt;=60,"31-60",IF(O219&lt;=90,"61-90","90+")))))</f>
        <v/>
      </c>
      <c r="Q219" s="66">
        <f>IF(T219&lt;&gt;"","⛔ "&amp;T219&amp;" — not posted",IF(U219&lt;&gt;"","⚠ "&amp;U219,IF(V219=1,"✓ OK","")))</f>
        <v/>
      </c>
      <c r="R219" s="67">
        <f>IF(AND(B219="",C219="",D219="",G219="",F219=""),1,0)</f>
        <v/>
      </c>
      <c r="S219" s="68">
        <f>IF(AND(TaxOn="Yes",ISNUMBER(H219)),H219,0)</f>
        <v/>
      </c>
      <c r="T219" s="67">
        <f>IF(R219=1,"",IF(B219="","Enter a bill #",IF(D219="","Select a vendor",IF(C219="","Missing bill date",IF(NOT(ISNUMBER(C219)),"Invalid date",IF(OR(C219&lt;DATE(2000,1,1),C219&gt;DATE(2099,12,31)),"Invalid date",IF(F219="","Select an expense account",IF(ISNA(MATCH(F219,coa_Name,0)),"Unknown account: "&amp;F219,IF(NOT(ISNUMBER(G219)),"Enter an amount",IF(G219&lt;=0,"Amount must be positive",IF(S219&gt;G219,"Tax is larger than the amount","")))))))))))</f>
        <v/>
      </c>
      <c r="U219" s="67">
        <f>IF(OR(R219=1,T219&lt;&gt;""),"",IF(COUNTIFS(ap_No,B219,ap_Party,D219)&gt;1,"Duplicate bill #",IF(N(L219)&lt;0,"Overpaid by "&amp;TEXT(-L219,"#,##0.00"),IF(AND(ISNUMBER(H219),N(H219)&lt;&gt;0,S219=0),"Tax ignored (tax tracking is off)",IF(AND(ISNUMBER(StartDate),C219&lt;StartDate),"Date is before the accounting start date",IF(OR(IFERROR(INDEX(coa_Type,MATCH(F219,coa_Name,0)),"")="Revenue",IFERROR(INDEX(coa_Type,MATCH(F219,coa_Name,0)),"")="Other Income",IFERROR(INDEX(coa_Type,MATCH(F219,coa_Name,0)),"")="Equity"),"Account is not an expense or asset account",""))))))</f>
        <v/>
      </c>
      <c r="V219" s="67">
        <f>IF(AND(R219=0,T219=""),1,0)</f>
        <v/>
      </c>
      <c r="W219" s="67">
        <f>IF(V219=1,F219,"")</f>
        <v/>
      </c>
      <c r="X219" s="67">
        <f>IF(V219=1,acctAP,"")</f>
        <v/>
      </c>
      <c r="Y219" s="68">
        <f>IF(V219=1,G219-S219,0)</f>
        <v/>
      </c>
      <c r="Z219" s="68">
        <f>IF(V219=1,G219,0)</f>
        <v/>
      </c>
      <c r="AA219" s="68">
        <f>IF(V219=1,S219,0)</f>
        <v/>
      </c>
    </row>
    <row r="220">
      <c r="B220" s="62" t="n"/>
      <c r="C220" s="63" t="n"/>
      <c r="D220" s="62" t="n"/>
      <c r="E220" s="62" t="n"/>
      <c r="F220" s="62" t="n"/>
      <c r="G220" s="64" t="n"/>
      <c r="H220" s="64" t="n"/>
      <c r="I220" s="63" t="n"/>
      <c r="J220" s="29">
        <f>IF(V220=1,IF(ISNUMBER(I220),I220,C220+IF(ISNUMBER(IFERROR(INDEX(vend_Terms,MATCH(D220,vend_Name,0)),"")),INDEX(vend_Terms,MATCH(D220,vend_Name,0)),TermsDays)),"")</f>
        <v/>
      </c>
      <c r="K220" s="65">
        <f>IF(V220=1,SUMIFS(tx_CrAmt,tx_Type,"Bill Payment",tx_Ref,B220&amp;"",tx_Vend,D220,tx_Date,"&lt;="&amp;AsOf),"")</f>
        <v/>
      </c>
      <c r="L220" s="65">
        <f>IF(V220=1,IF(C220&gt;AsOf,0,ROUND(G220-K220,2)),"")</f>
        <v/>
      </c>
      <c r="M220" s="66">
        <f>IF(V220&lt;&gt;1,"",IF(C220&gt;AsOf,"Future",IF(L220&lt;0,"Overpaid",IF(L220=0,"Paid",IF(AsOf&gt;J220,"Overdue",IF(K220&gt;0,"Partial","Unpaid"))))))</f>
        <v/>
      </c>
      <c r="N220" s="28">
        <f>IF(AND(V220=1,N(L220)&gt;0),AsOf-C220,"")</f>
        <v/>
      </c>
      <c r="O220" s="28">
        <f>IF(N220="","",MAX(0,AsOf-J220))</f>
        <v/>
      </c>
      <c r="P220" s="66">
        <f>IF(O220="","",IF(O220=0,"Current",IF(O220&lt;=30,"1-30",IF(O220&lt;=60,"31-60",IF(O220&lt;=90,"61-90","90+")))))</f>
        <v/>
      </c>
      <c r="Q220" s="66">
        <f>IF(T220&lt;&gt;"","⛔ "&amp;T220&amp;" — not posted",IF(U220&lt;&gt;"","⚠ "&amp;U220,IF(V220=1,"✓ OK","")))</f>
        <v/>
      </c>
      <c r="R220" s="67">
        <f>IF(AND(B220="",C220="",D220="",G220="",F220=""),1,0)</f>
        <v/>
      </c>
      <c r="S220" s="68">
        <f>IF(AND(TaxOn="Yes",ISNUMBER(H220)),H220,0)</f>
        <v/>
      </c>
      <c r="T220" s="67">
        <f>IF(R220=1,"",IF(B220="","Enter a bill #",IF(D220="","Select a vendor",IF(C220="","Missing bill date",IF(NOT(ISNUMBER(C220)),"Invalid date",IF(OR(C220&lt;DATE(2000,1,1),C220&gt;DATE(2099,12,31)),"Invalid date",IF(F220="","Select an expense account",IF(ISNA(MATCH(F220,coa_Name,0)),"Unknown account: "&amp;F220,IF(NOT(ISNUMBER(G220)),"Enter an amount",IF(G220&lt;=0,"Amount must be positive",IF(S220&gt;G220,"Tax is larger than the amount","")))))))))))</f>
        <v/>
      </c>
      <c r="U220" s="67">
        <f>IF(OR(R220=1,T220&lt;&gt;""),"",IF(COUNTIFS(ap_No,B220,ap_Party,D220)&gt;1,"Duplicate bill #",IF(N(L220)&lt;0,"Overpaid by "&amp;TEXT(-L220,"#,##0.00"),IF(AND(ISNUMBER(H220),N(H220)&lt;&gt;0,S220=0),"Tax ignored (tax tracking is off)",IF(AND(ISNUMBER(StartDate),C220&lt;StartDate),"Date is before the accounting start date",IF(OR(IFERROR(INDEX(coa_Type,MATCH(F220,coa_Name,0)),"")="Revenue",IFERROR(INDEX(coa_Type,MATCH(F220,coa_Name,0)),"")="Other Income",IFERROR(INDEX(coa_Type,MATCH(F220,coa_Name,0)),"")="Equity"),"Account is not an expense or asset account",""))))))</f>
        <v/>
      </c>
      <c r="V220" s="67">
        <f>IF(AND(R220=0,T220=""),1,0)</f>
        <v/>
      </c>
      <c r="W220" s="67">
        <f>IF(V220=1,F220,"")</f>
        <v/>
      </c>
      <c r="X220" s="67">
        <f>IF(V220=1,acctAP,"")</f>
        <v/>
      </c>
      <c r="Y220" s="68">
        <f>IF(V220=1,G220-S220,0)</f>
        <v/>
      </c>
      <c r="Z220" s="68">
        <f>IF(V220=1,G220,0)</f>
        <v/>
      </c>
      <c r="AA220" s="68">
        <f>IF(V220=1,S220,0)</f>
        <v/>
      </c>
    </row>
    <row r="221">
      <c r="B221" s="62" t="n"/>
      <c r="C221" s="63" t="n"/>
      <c r="D221" s="62" t="n"/>
      <c r="E221" s="62" t="n"/>
      <c r="F221" s="62" t="n"/>
      <c r="G221" s="64" t="n"/>
      <c r="H221" s="64" t="n"/>
      <c r="I221" s="63" t="n"/>
      <c r="J221" s="29">
        <f>IF(V221=1,IF(ISNUMBER(I221),I221,C221+IF(ISNUMBER(IFERROR(INDEX(vend_Terms,MATCH(D221,vend_Name,0)),"")),INDEX(vend_Terms,MATCH(D221,vend_Name,0)),TermsDays)),"")</f>
        <v/>
      </c>
      <c r="K221" s="65">
        <f>IF(V221=1,SUMIFS(tx_CrAmt,tx_Type,"Bill Payment",tx_Ref,B221&amp;"",tx_Vend,D221,tx_Date,"&lt;="&amp;AsOf),"")</f>
        <v/>
      </c>
      <c r="L221" s="65">
        <f>IF(V221=1,IF(C221&gt;AsOf,0,ROUND(G221-K221,2)),"")</f>
        <v/>
      </c>
      <c r="M221" s="66">
        <f>IF(V221&lt;&gt;1,"",IF(C221&gt;AsOf,"Future",IF(L221&lt;0,"Overpaid",IF(L221=0,"Paid",IF(AsOf&gt;J221,"Overdue",IF(K221&gt;0,"Partial","Unpaid"))))))</f>
        <v/>
      </c>
      <c r="N221" s="28">
        <f>IF(AND(V221=1,N(L221)&gt;0),AsOf-C221,"")</f>
        <v/>
      </c>
      <c r="O221" s="28">
        <f>IF(N221="","",MAX(0,AsOf-J221))</f>
        <v/>
      </c>
      <c r="P221" s="66">
        <f>IF(O221="","",IF(O221=0,"Current",IF(O221&lt;=30,"1-30",IF(O221&lt;=60,"31-60",IF(O221&lt;=90,"61-90","90+")))))</f>
        <v/>
      </c>
      <c r="Q221" s="66">
        <f>IF(T221&lt;&gt;"","⛔ "&amp;T221&amp;" — not posted",IF(U221&lt;&gt;"","⚠ "&amp;U221,IF(V221=1,"✓ OK","")))</f>
        <v/>
      </c>
      <c r="R221" s="67">
        <f>IF(AND(B221="",C221="",D221="",G221="",F221=""),1,0)</f>
        <v/>
      </c>
      <c r="S221" s="68">
        <f>IF(AND(TaxOn="Yes",ISNUMBER(H221)),H221,0)</f>
        <v/>
      </c>
      <c r="T221" s="67">
        <f>IF(R221=1,"",IF(B221="","Enter a bill #",IF(D221="","Select a vendor",IF(C221="","Missing bill date",IF(NOT(ISNUMBER(C221)),"Invalid date",IF(OR(C221&lt;DATE(2000,1,1),C221&gt;DATE(2099,12,31)),"Invalid date",IF(F221="","Select an expense account",IF(ISNA(MATCH(F221,coa_Name,0)),"Unknown account: "&amp;F221,IF(NOT(ISNUMBER(G221)),"Enter an amount",IF(G221&lt;=0,"Amount must be positive",IF(S221&gt;G221,"Tax is larger than the amount","")))))))))))</f>
        <v/>
      </c>
      <c r="U221" s="67">
        <f>IF(OR(R221=1,T221&lt;&gt;""),"",IF(COUNTIFS(ap_No,B221,ap_Party,D221)&gt;1,"Duplicate bill #",IF(N(L221)&lt;0,"Overpaid by "&amp;TEXT(-L221,"#,##0.00"),IF(AND(ISNUMBER(H221),N(H221)&lt;&gt;0,S221=0),"Tax ignored (tax tracking is off)",IF(AND(ISNUMBER(StartDate),C221&lt;StartDate),"Date is before the accounting start date",IF(OR(IFERROR(INDEX(coa_Type,MATCH(F221,coa_Name,0)),"")="Revenue",IFERROR(INDEX(coa_Type,MATCH(F221,coa_Name,0)),"")="Other Income",IFERROR(INDEX(coa_Type,MATCH(F221,coa_Name,0)),"")="Equity"),"Account is not an expense or asset account",""))))))</f>
        <v/>
      </c>
      <c r="V221" s="67">
        <f>IF(AND(R221=0,T221=""),1,0)</f>
        <v/>
      </c>
      <c r="W221" s="67">
        <f>IF(V221=1,F221,"")</f>
        <v/>
      </c>
      <c r="X221" s="67">
        <f>IF(V221=1,acctAP,"")</f>
        <v/>
      </c>
      <c r="Y221" s="68">
        <f>IF(V221=1,G221-S221,0)</f>
        <v/>
      </c>
      <c r="Z221" s="68">
        <f>IF(V221=1,G221,0)</f>
        <v/>
      </c>
      <c r="AA221" s="68">
        <f>IF(V221=1,S221,0)</f>
        <v/>
      </c>
    </row>
    <row r="222">
      <c r="B222" s="62" t="n"/>
      <c r="C222" s="63" t="n"/>
      <c r="D222" s="62" t="n"/>
      <c r="E222" s="62" t="n"/>
      <c r="F222" s="62" t="n"/>
      <c r="G222" s="64" t="n"/>
      <c r="H222" s="64" t="n"/>
      <c r="I222" s="63" t="n"/>
      <c r="J222" s="29">
        <f>IF(V222=1,IF(ISNUMBER(I222),I222,C222+IF(ISNUMBER(IFERROR(INDEX(vend_Terms,MATCH(D222,vend_Name,0)),"")),INDEX(vend_Terms,MATCH(D222,vend_Name,0)),TermsDays)),"")</f>
        <v/>
      </c>
      <c r="K222" s="65">
        <f>IF(V222=1,SUMIFS(tx_CrAmt,tx_Type,"Bill Payment",tx_Ref,B222&amp;"",tx_Vend,D222,tx_Date,"&lt;="&amp;AsOf),"")</f>
        <v/>
      </c>
      <c r="L222" s="65">
        <f>IF(V222=1,IF(C222&gt;AsOf,0,ROUND(G222-K222,2)),"")</f>
        <v/>
      </c>
      <c r="M222" s="66">
        <f>IF(V222&lt;&gt;1,"",IF(C222&gt;AsOf,"Future",IF(L222&lt;0,"Overpaid",IF(L222=0,"Paid",IF(AsOf&gt;J222,"Overdue",IF(K222&gt;0,"Partial","Unpaid"))))))</f>
        <v/>
      </c>
      <c r="N222" s="28">
        <f>IF(AND(V222=1,N(L222)&gt;0),AsOf-C222,"")</f>
        <v/>
      </c>
      <c r="O222" s="28">
        <f>IF(N222="","",MAX(0,AsOf-J222))</f>
        <v/>
      </c>
      <c r="P222" s="66">
        <f>IF(O222="","",IF(O222=0,"Current",IF(O222&lt;=30,"1-30",IF(O222&lt;=60,"31-60",IF(O222&lt;=90,"61-90","90+")))))</f>
        <v/>
      </c>
      <c r="Q222" s="66">
        <f>IF(T222&lt;&gt;"","⛔ "&amp;T222&amp;" — not posted",IF(U222&lt;&gt;"","⚠ "&amp;U222,IF(V222=1,"✓ OK","")))</f>
        <v/>
      </c>
      <c r="R222" s="67">
        <f>IF(AND(B222="",C222="",D222="",G222="",F222=""),1,0)</f>
        <v/>
      </c>
      <c r="S222" s="68">
        <f>IF(AND(TaxOn="Yes",ISNUMBER(H222)),H222,0)</f>
        <v/>
      </c>
      <c r="T222" s="67">
        <f>IF(R222=1,"",IF(B222="","Enter a bill #",IF(D222="","Select a vendor",IF(C222="","Missing bill date",IF(NOT(ISNUMBER(C222)),"Invalid date",IF(OR(C222&lt;DATE(2000,1,1),C222&gt;DATE(2099,12,31)),"Invalid date",IF(F222="","Select an expense account",IF(ISNA(MATCH(F222,coa_Name,0)),"Unknown account: "&amp;F222,IF(NOT(ISNUMBER(G222)),"Enter an amount",IF(G222&lt;=0,"Amount must be positive",IF(S222&gt;G222,"Tax is larger than the amount","")))))))))))</f>
        <v/>
      </c>
      <c r="U222" s="67">
        <f>IF(OR(R222=1,T222&lt;&gt;""),"",IF(COUNTIFS(ap_No,B222,ap_Party,D222)&gt;1,"Duplicate bill #",IF(N(L222)&lt;0,"Overpaid by "&amp;TEXT(-L222,"#,##0.00"),IF(AND(ISNUMBER(H222),N(H222)&lt;&gt;0,S222=0),"Tax ignored (tax tracking is off)",IF(AND(ISNUMBER(StartDate),C222&lt;StartDate),"Date is before the accounting start date",IF(OR(IFERROR(INDEX(coa_Type,MATCH(F222,coa_Name,0)),"")="Revenue",IFERROR(INDEX(coa_Type,MATCH(F222,coa_Name,0)),"")="Other Income",IFERROR(INDEX(coa_Type,MATCH(F222,coa_Name,0)),"")="Equity"),"Account is not an expense or asset account",""))))))</f>
        <v/>
      </c>
      <c r="V222" s="67">
        <f>IF(AND(R222=0,T222=""),1,0)</f>
        <v/>
      </c>
      <c r="W222" s="67">
        <f>IF(V222=1,F222,"")</f>
        <v/>
      </c>
      <c r="X222" s="67">
        <f>IF(V222=1,acctAP,"")</f>
        <v/>
      </c>
      <c r="Y222" s="68">
        <f>IF(V222=1,G222-S222,0)</f>
        <v/>
      </c>
      <c r="Z222" s="68">
        <f>IF(V222=1,G222,0)</f>
        <v/>
      </c>
      <c r="AA222" s="68">
        <f>IF(V222=1,S222,0)</f>
        <v/>
      </c>
    </row>
    <row r="223">
      <c r="B223" s="62" t="n"/>
      <c r="C223" s="63" t="n"/>
      <c r="D223" s="62" t="n"/>
      <c r="E223" s="62" t="n"/>
      <c r="F223" s="62" t="n"/>
      <c r="G223" s="64" t="n"/>
      <c r="H223" s="64" t="n"/>
      <c r="I223" s="63" t="n"/>
      <c r="J223" s="29">
        <f>IF(V223=1,IF(ISNUMBER(I223),I223,C223+IF(ISNUMBER(IFERROR(INDEX(vend_Terms,MATCH(D223,vend_Name,0)),"")),INDEX(vend_Terms,MATCH(D223,vend_Name,0)),TermsDays)),"")</f>
        <v/>
      </c>
      <c r="K223" s="65">
        <f>IF(V223=1,SUMIFS(tx_CrAmt,tx_Type,"Bill Payment",tx_Ref,B223&amp;"",tx_Vend,D223,tx_Date,"&lt;="&amp;AsOf),"")</f>
        <v/>
      </c>
      <c r="L223" s="65">
        <f>IF(V223=1,IF(C223&gt;AsOf,0,ROUND(G223-K223,2)),"")</f>
        <v/>
      </c>
      <c r="M223" s="66">
        <f>IF(V223&lt;&gt;1,"",IF(C223&gt;AsOf,"Future",IF(L223&lt;0,"Overpaid",IF(L223=0,"Paid",IF(AsOf&gt;J223,"Overdue",IF(K223&gt;0,"Partial","Unpaid"))))))</f>
        <v/>
      </c>
      <c r="N223" s="28">
        <f>IF(AND(V223=1,N(L223)&gt;0),AsOf-C223,"")</f>
        <v/>
      </c>
      <c r="O223" s="28">
        <f>IF(N223="","",MAX(0,AsOf-J223))</f>
        <v/>
      </c>
      <c r="P223" s="66">
        <f>IF(O223="","",IF(O223=0,"Current",IF(O223&lt;=30,"1-30",IF(O223&lt;=60,"31-60",IF(O223&lt;=90,"61-90","90+")))))</f>
        <v/>
      </c>
      <c r="Q223" s="66">
        <f>IF(T223&lt;&gt;"","⛔ "&amp;T223&amp;" — not posted",IF(U223&lt;&gt;"","⚠ "&amp;U223,IF(V223=1,"✓ OK","")))</f>
        <v/>
      </c>
      <c r="R223" s="67">
        <f>IF(AND(B223="",C223="",D223="",G223="",F223=""),1,0)</f>
        <v/>
      </c>
      <c r="S223" s="68">
        <f>IF(AND(TaxOn="Yes",ISNUMBER(H223)),H223,0)</f>
        <v/>
      </c>
      <c r="T223" s="67">
        <f>IF(R223=1,"",IF(B223="","Enter a bill #",IF(D223="","Select a vendor",IF(C223="","Missing bill date",IF(NOT(ISNUMBER(C223)),"Invalid date",IF(OR(C223&lt;DATE(2000,1,1),C223&gt;DATE(2099,12,31)),"Invalid date",IF(F223="","Select an expense account",IF(ISNA(MATCH(F223,coa_Name,0)),"Unknown account: "&amp;F223,IF(NOT(ISNUMBER(G223)),"Enter an amount",IF(G223&lt;=0,"Amount must be positive",IF(S223&gt;G223,"Tax is larger than the amount","")))))))))))</f>
        <v/>
      </c>
      <c r="U223" s="67">
        <f>IF(OR(R223=1,T223&lt;&gt;""),"",IF(COUNTIFS(ap_No,B223,ap_Party,D223)&gt;1,"Duplicate bill #",IF(N(L223)&lt;0,"Overpaid by "&amp;TEXT(-L223,"#,##0.00"),IF(AND(ISNUMBER(H223),N(H223)&lt;&gt;0,S223=0),"Tax ignored (tax tracking is off)",IF(AND(ISNUMBER(StartDate),C223&lt;StartDate),"Date is before the accounting start date",IF(OR(IFERROR(INDEX(coa_Type,MATCH(F223,coa_Name,0)),"")="Revenue",IFERROR(INDEX(coa_Type,MATCH(F223,coa_Name,0)),"")="Other Income",IFERROR(INDEX(coa_Type,MATCH(F223,coa_Name,0)),"")="Equity"),"Account is not an expense or asset account",""))))))</f>
        <v/>
      </c>
      <c r="V223" s="67">
        <f>IF(AND(R223=0,T223=""),1,0)</f>
        <v/>
      </c>
      <c r="W223" s="67">
        <f>IF(V223=1,F223,"")</f>
        <v/>
      </c>
      <c r="X223" s="67">
        <f>IF(V223=1,acctAP,"")</f>
        <v/>
      </c>
      <c r="Y223" s="68">
        <f>IF(V223=1,G223-S223,0)</f>
        <v/>
      </c>
      <c r="Z223" s="68">
        <f>IF(V223=1,G223,0)</f>
        <v/>
      </c>
      <c r="AA223" s="68">
        <f>IF(V223=1,S223,0)</f>
        <v/>
      </c>
    </row>
    <row r="224">
      <c r="B224" s="62" t="n"/>
      <c r="C224" s="63" t="n"/>
      <c r="D224" s="62" t="n"/>
      <c r="E224" s="62" t="n"/>
      <c r="F224" s="62" t="n"/>
      <c r="G224" s="64" t="n"/>
      <c r="H224" s="64" t="n"/>
      <c r="I224" s="63" t="n"/>
      <c r="J224" s="29">
        <f>IF(V224=1,IF(ISNUMBER(I224),I224,C224+IF(ISNUMBER(IFERROR(INDEX(vend_Terms,MATCH(D224,vend_Name,0)),"")),INDEX(vend_Terms,MATCH(D224,vend_Name,0)),TermsDays)),"")</f>
        <v/>
      </c>
      <c r="K224" s="65">
        <f>IF(V224=1,SUMIFS(tx_CrAmt,tx_Type,"Bill Payment",tx_Ref,B224&amp;"",tx_Vend,D224,tx_Date,"&lt;="&amp;AsOf),"")</f>
        <v/>
      </c>
      <c r="L224" s="65">
        <f>IF(V224=1,IF(C224&gt;AsOf,0,ROUND(G224-K224,2)),"")</f>
        <v/>
      </c>
      <c r="M224" s="66">
        <f>IF(V224&lt;&gt;1,"",IF(C224&gt;AsOf,"Future",IF(L224&lt;0,"Overpaid",IF(L224=0,"Paid",IF(AsOf&gt;J224,"Overdue",IF(K224&gt;0,"Partial","Unpaid"))))))</f>
        <v/>
      </c>
      <c r="N224" s="28">
        <f>IF(AND(V224=1,N(L224)&gt;0),AsOf-C224,"")</f>
        <v/>
      </c>
      <c r="O224" s="28">
        <f>IF(N224="","",MAX(0,AsOf-J224))</f>
        <v/>
      </c>
      <c r="P224" s="66">
        <f>IF(O224="","",IF(O224=0,"Current",IF(O224&lt;=30,"1-30",IF(O224&lt;=60,"31-60",IF(O224&lt;=90,"61-90","90+")))))</f>
        <v/>
      </c>
      <c r="Q224" s="66">
        <f>IF(T224&lt;&gt;"","⛔ "&amp;T224&amp;" — not posted",IF(U224&lt;&gt;"","⚠ "&amp;U224,IF(V224=1,"✓ OK","")))</f>
        <v/>
      </c>
      <c r="R224" s="67">
        <f>IF(AND(B224="",C224="",D224="",G224="",F224=""),1,0)</f>
        <v/>
      </c>
      <c r="S224" s="68">
        <f>IF(AND(TaxOn="Yes",ISNUMBER(H224)),H224,0)</f>
        <v/>
      </c>
      <c r="T224" s="67">
        <f>IF(R224=1,"",IF(B224="","Enter a bill #",IF(D224="","Select a vendor",IF(C224="","Missing bill date",IF(NOT(ISNUMBER(C224)),"Invalid date",IF(OR(C224&lt;DATE(2000,1,1),C224&gt;DATE(2099,12,31)),"Invalid date",IF(F224="","Select an expense account",IF(ISNA(MATCH(F224,coa_Name,0)),"Unknown account: "&amp;F224,IF(NOT(ISNUMBER(G224)),"Enter an amount",IF(G224&lt;=0,"Amount must be positive",IF(S224&gt;G224,"Tax is larger than the amount","")))))))))))</f>
        <v/>
      </c>
      <c r="U224" s="67">
        <f>IF(OR(R224=1,T224&lt;&gt;""),"",IF(COUNTIFS(ap_No,B224,ap_Party,D224)&gt;1,"Duplicate bill #",IF(N(L224)&lt;0,"Overpaid by "&amp;TEXT(-L224,"#,##0.00"),IF(AND(ISNUMBER(H224),N(H224)&lt;&gt;0,S224=0),"Tax ignored (tax tracking is off)",IF(AND(ISNUMBER(StartDate),C224&lt;StartDate),"Date is before the accounting start date",IF(OR(IFERROR(INDEX(coa_Type,MATCH(F224,coa_Name,0)),"")="Revenue",IFERROR(INDEX(coa_Type,MATCH(F224,coa_Name,0)),"")="Other Income",IFERROR(INDEX(coa_Type,MATCH(F224,coa_Name,0)),"")="Equity"),"Account is not an expense or asset account",""))))))</f>
        <v/>
      </c>
      <c r="V224" s="67">
        <f>IF(AND(R224=0,T224=""),1,0)</f>
        <v/>
      </c>
      <c r="W224" s="67">
        <f>IF(V224=1,F224,"")</f>
        <v/>
      </c>
      <c r="X224" s="67">
        <f>IF(V224=1,acctAP,"")</f>
        <v/>
      </c>
      <c r="Y224" s="68">
        <f>IF(V224=1,G224-S224,0)</f>
        <v/>
      </c>
      <c r="Z224" s="68">
        <f>IF(V224=1,G224,0)</f>
        <v/>
      </c>
      <c r="AA224" s="68">
        <f>IF(V224=1,S224,0)</f>
        <v/>
      </c>
    </row>
    <row r="225">
      <c r="B225" s="62" t="n"/>
      <c r="C225" s="63" t="n"/>
      <c r="D225" s="62" t="n"/>
      <c r="E225" s="62" t="n"/>
      <c r="F225" s="62" t="n"/>
      <c r="G225" s="64" t="n"/>
      <c r="H225" s="64" t="n"/>
      <c r="I225" s="63" t="n"/>
      <c r="J225" s="29">
        <f>IF(V225=1,IF(ISNUMBER(I225),I225,C225+IF(ISNUMBER(IFERROR(INDEX(vend_Terms,MATCH(D225,vend_Name,0)),"")),INDEX(vend_Terms,MATCH(D225,vend_Name,0)),TermsDays)),"")</f>
        <v/>
      </c>
      <c r="K225" s="65">
        <f>IF(V225=1,SUMIFS(tx_CrAmt,tx_Type,"Bill Payment",tx_Ref,B225&amp;"",tx_Vend,D225,tx_Date,"&lt;="&amp;AsOf),"")</f>
        <v/>
      </c>
      <c r="L225" s="65">
        <f>IF(V225=1,IF(C225&gt;AsOf,0,ROUND(G225-K225,2)),"")</f>
        <v/>
      </c>
      <c r="M225" s="66">
        <f>IF(V225&lt;&gt;1,"",IF(C225&gt;AsOf,"Future",IF(L225&lt;0,"Overpaid",IF(L225=0,"Paid",IF(AsOf&gt;J225,"Overdue",IF(K225&gt;0,"Partial","Unpaid"))))))</f>
        <v/>
      </c>
      <c r="N225" s="28">
        <f>IF(AND(V225=1,N(L225)&gt;0),AsOf-C225,"")</f>
        <v/>
      </c>
      <c r="O225" s="28">
        <f>IF(N225="","",MAX(0,AsOf-J225))</f>
        <v/>
      </c>
      <c r="P225" s="66">
        <f>IF(O225="","",IF(O225=0,"Current",IF(O225&lt;=30,"1-30",IF(O225&lt;=60,"31-60",IF(O225&lt;=90,"61-90","90+")))))</f>
        <v/>
      </c>
      <c r="Q225" s="66">
        <f>IF(T225&lt;&gt;"","⛔ "&amp;T225&amp;" — not posted",IF(U225&lt;&gt;"","⚠ "&amp;U225,IF(V225=1,"✓ OK","")))</f>
        <v/>
      </c>
      <c r="R225" s="67">
        <f>IF(AND(B225="",C225="",D225="",G225="",F225=""),1,0)</f>
        <v/>
      </c>
      <c r="S225" s="68">
        <f>IF(AND(TaxOn="Yes",ISNUMBER(H225)),H225,0)</f>
        <v/>
      </c>
      <c r="T225" s="67">
        <f>IF(R225=1,"",IF(B225="","Enter a bill #",IF(D225="","Select a vendor",IF(C225="","Missing bill date",IF(NOT(ISNUMBER(C225)),"Invalid date",IF(OR(C225&lt;DATE(2000,1,1),C225&gt;DATE(2099,12,31)),"Invalid date",IF(F225="","Select an expense account",IF(ISNA(MATCH(F225,coa_Name,0)),"Unknown account: "&amp;F225,IF(NOT(ISNUMBER(G225)),"Enter an amount",IF(G225&lt;=0,"Amount must be positive",IF(S225&gt;G225,"Tax is larger than the amount","")))))))))))</f>
        <v/>
      </c>
      <c r="U225" s="67">
        <f>IF(OR(R225=1,T225&lt;&gt;""),"",IF(COUNTIFS(ap_No,B225,ap_Party,D225)&gt;1,"Duplicate bill #",IF(N(L225)&lt;0,"Overpaid by "&amp;TEXT(-L225,"#,##0.00"),IF(AND(ISNUMBER(H225),N(H225)&lt;&gt;0,S225=0),"Tax ignored (tax tracking is off)",IF(AND(ISNUMBER(StartDate),C225&lt;StartDate),"Date is before the accounting start date",IF(OR(IFERROR(INDEX(coa_Type,MATCH(F225,coa_Name,0)),"")="Revenue",IFERROR(INDEX(coa_Type,MATCH(F225,coa_Name,0)),"")="Other Income",IFERROR(INDEX(coa_Type,MATCH(F225,coa_Name,0)),"")="Equity"),"Account is not an expense or asset account",""))))))</f>
        <v/>
      </c>
      <c r="V225" s="67">
        <f>IF(AND(R225=0,T225=""),1,0)</f>
        <v/>
      </c>
      <c r="W225" s="67">
        <f>IF(V225=1,F225,"")</f>
        <v/>
      </c>
      <c r="X225" s="67">
        <f>IF(V225=1,acctAP,"")</f>
        <v/>
      </c>
      <c r="Y225" s="68">
        <f>IF(V225=1,G225-S225,0)</f>
        <v/>
      </c>
      <c r="Z225" s="68">
        <f>IF(V225=1,G225,0)</f>
        <v/>
      </c>
      <c r="AA225" s="68">
        <f>IF(V225=1,S225,0)</f>
        <v/>
      </c>
    </row>
    <row r="226">
      <c r="B226" s="62" t="n"/>
      <c r="C226" s="63" t="n"/>
      <c r="D226" s="62" t="n"/>
      <c r="E226" s="62" t="n"/>
      <c r="F226" s="62" t="n"/>
      <c r="G226" s="64" t="n"/>
      <c r="H226" s="64" t="n"/>
      <c r="I226" s="63" t="n"/>
      <c r="J226" s="29">
        <f>IF(V226=1,IF(ISNUMBER(I226),I226,C226+IF(ISNUMBER(IFERROR(INDEX(vend_Terms,MATCH(D226,vend_Name,0)),"")),INDEX(vend_Terms,MATCH(D226,vend_Name,0)),TermsDays)),"")</f>
        <v/>
      </c>
      <c r="K226" s="65">
        <f>IF(V226=1,SUMIFS(tx_CrAmt,tx_Type,"Bill Payment",tx_Ref,B226&amp;"",tx_Vend,D226,tx_Date,"&lt;="&amp;AsOf),"")</f>
        <v/>
      </c>
      <c r="L226" s="65">
        <f>IF(V226=1,IF(C226&gt;AsOf,0,ROUND(G226-K226,2)),"")</f>
        <v/>
      </c>
      <c r="M226" s="66">
        <f>IF(V226&lt;&gt;1,"",IF(C226&gt;AsOf,"Future",IF(L226&lt;0,"Overpaid",IF(L226=0,"Paid",IF(AsOf&gt;J226,"Overdue",IF(K226&gt;0,"Partial","Unpaid"))))))</f>
        <v/>
      </c>
      <c r="N226" s="28">
        <f>IF(AND(V226=1,N(L226)&gt;0),AsOf-C226,"")</f>
        <v/>
      </c>
      <c r="O226" s="28">
        <f>IF(N226="","",MAX(0,AsOf-J226))</f>
        <v/>
      </c>
      <c r="P226" s="66">
        <f>IF(O226="","",IF(O226=0,"Current",IF(O226&lt;=30,"1-30",IF(O226&lt;=60,"31-60",IF(O226&lt;=90,"61-90","90+")))))</f>
        <v/>
      </c>
      <c r="Q226" s="66">
        <f>IF(T226&lt;&gt;"","⛔ "&amp;T226&amp;" — not posted",IF(U226&lt;&gt;"","⚠ "&amp;U226,IF(V226=1,"✓ OK","")))</f>
        <v/>
      </c>
      <c r="R226" s="67">
        <f>IF(AND(B226="",C226="",D226="",G226="",F226=""),1,0)</f>
        <v/>
      </c>
      <c r="S226" s="68">
        <f>IF(AND(TaxOn="Yes",ISNUMBER(H226)),H226,0)</f>
        <v/>
      </c>
      <c r="T226" s="67">
        <f>IF(R226=1,"",IF(B226="","Enter a bill #",IF(D226="","Select a vendor",IF(C226="","Missing bill date",IF(NOT(ISNUMBER(C226)),"Invalid date",IF(OR(C226&lt;DATE(2000,1,1),C226&gt;DATE(2099,12,31)),"Invalid date",IF(F226="","Select an expense account",IF(ISNA(MATCH(F226,coa_Name,0)),"Unknown account: "&amp;F226,IF(NOT(ISNUMBER(G226)),"Enter an amount",IF(G226&lt;=0,"Amount must be positive",IF(S226&gt;G226,"Tax is larger than the amount","")))))))))))</f>
        <v/>
      </c>
      <c r="U226" s="67">
        <f>IF(OR(R226=1,T226&lt;&gt;""),"",IF(COUNTIFS(ap_No,B226,ap_Party,D226)&gt;1,"Duplicate bill #",IF(N(L226)&lt;0,"Overpaid by "&amp;TEXT(-L226,"#,##0.00"),IF(AND(ISNUMBER(H226),N(H226)&lt;&gt;0,S226=0),"Tax ignored (tax tracking is off)",IF(AND(ISNUMBER(StartDate),C226&lt;StartDate),"Date is before the accounting start date",IF(OR(IFERROR(INDEX(coa_Type,MATCH(F226,coa_Name,0)),"")="Revenue",IFERROR(INDEX(coa_Type,MATCH(F226,coa_Name,0)),"")="Other Income",IFERROR(INDEX(coa_Type,MATCH(F226,coa_Name,0)),"")="Equity"),"Account is not an expense or asset account",""))))))</f>
        <v/>
      </c>
      <c r="V226" s="67">
        <f>IF(AND(R226=0,T226=""),1,0)</f>
        <v/>
      </c>
      <c r="W226" s="67">
        <f>IF(V226=1,F226,"")</f>
        <v/>
      </c>
      <c r="X226" s="67">
        <f>IF(V226=1,acctAP,"")</f>
        <v/>
      </c>
      <c r="Y226" s="68">
        <f>IF(V226=1,G226-S226,0)</f>
        <v/>
      </c>
      <c r="Z226" s="68">
        <f>IF(V226=1,G226,0)</f>
        <v/>
      </c>
      <c r="AA226" s="68">
        <f>IF(V226=1,S226,0)</f>
        <v/>
      </c>
    </row>
    <row r="227">
      <c r="B227" s="62" t="n"/>
      <c r="C227" s="63" t="n"/>
      <c r="D227" s="62" t="n"/>
      <c r="E227" s="62" t="n"/>
      <c r="F227" s="62" t="n"/>
      <c r="G227" s="64" t="n"/>
      <c r="H227" s="64" t="n"/>
      <c r="I227" s="63" t="n"/>
      <c r="J227" s="29">
        <f>IF(V227=1,IF(ISNUMBER(I227),I227,C227+IF(ISNUMBER(IFERROR(INDEX(vend_Terms,MATCH(D227,vend_Name,0)),"")),INDEX(vend_Terms,MATCH(D227,vend_Name,0)),TermsDays)),"")</f>
        <v/>
      </c>
      <c r="K227" s="65">
        <f>IF(V227=1,SUMIFS(tx_CrAmt,tx_Type,"Bill Payment",tx_Ref,B227&amp;"",tx_Vend,D227,tx_Date,"&lt;="&amp;AsOf),"")</f>
        <v/>
      </c>
      <c r="L227" s="65">
        <f>IF(V227=1,IF(C227&gt;AsOf,0,ROUND(G227-K227,2)),"")</f>
        <v/>
      </c>
      <c r="M227" s="66">
        <f>IF(V227&lt;&gt;1,"",IF(C227&gt;AsOf,"Future",IF(L227&lt;0,"Overpaid",IF(L227=0,"Paid",IF(AsOf&gt;J227,"Overdue",IF(K227&gt;0,"Partial","Unpaid"))))))</f>
        <v/>
      </c>
      <c r="N227" s="28">
        <f>IF(AND(V227=1,N(L227)&gt;0),AsOf-C227,"")</f>
        <v/>
      </c>
      <c r="O227" s="28">
        <f>IF(N227="","",MAX(0,AsOf-J227))</f>
        <v/>
      </c>
      <c r="P227" s="66">
        <f>IF(O227="","",IF(O227=0,"Current",IF(O227&lt;=30,"1-30",IF(O227&lt;=60,"31-60",IF(O227&lt;=90,"61-90","90+")))))</f>
        <v/>
      </c>
      <c r="Q227" s="66">
        <f>IF(T227&lt;&gt;"","⛔ "&amp;T227&amp;" — not posted",IF(U227&lt;&gt;"","⚠ "&amp;U227,IF(V227=1,"✓ OK","")))</f>
        <v/>
      </c>
      <c r="R227" s="67">
        <f>IF(AND(B227="",C227="",D227="",G227="",F227=""),1,0)</f>
        <v/>
      </c>
      <c r="S227" s="68">
        <f>IF(AND(TaxOn="Yes",ISNUMBER(H227)),H227,0)</f>
        <v/>
      </c>
      <c r="T227" s="67">
        <f>IF(R227=1,"",IF(B227="","Enter a bill #",IF(D227="","Select a vendor",IF(C227="","Missing bill date",IF(NOT(ISNUMBER(C227)),"Invalid date",IF(OR(C227&lt;DATE(2000,1,1),C227&gt;DATE(2099,12,31)),"Invalid date",IF(F227="","Select an expense account",IF(ISNA(MATCH(F227,coa_Name,0)),"Unknown account: "&amp;F227,IF(NOT(ISNUMBER(G227)),"Enter an amount",IF(G227&lt;=0,"Amount must be positive",IF(S227&gt;G227,"Tax is larger than the amount","")))))))))))</f>
        <v/>
      </c>
      <c r="U227" s="67">
        <f>IF(OR(R227=1,T227&lt;&gt;""),"",IF(COUNTIFS(ap_No,B227,ap_Party,D227)&gt;1,"Duplicate bill #",IF(N(L227)&lt;0,"Overpaid by "&amp;TEXT(-L227,"#,##0.00"),IF(AND(ISNUMBER(H227),N(H227)&lt;&gt;0,S227=0),"Tax ignored (tax tracking is off)",IF(AND(ISNUMBER(StartDate),C227&lt;StartDate),"Date is before the accounting start date",IF(OR(IFERROR(INDEX(coa_Type,MATCH(F227,coa_Name,0)),"")="Revenue",IFERROR(INDEX(coa_Type,MATCH(F227,coa_Name,0)),"")="Other Income",IFERROR(INDEX(coa_Type,MATCH(F227,coa_Name,0)),"")="Equity"),"Account is not an expense or asset account",""))))))</f>
        <v/>
      </c>
      <c r="V227" s="67">
        <f>IF(AND(R227=0,T227=""),1,0)</f>
        <v/>
      </c>
      <c r="W227" s="67">
        <f>IF(V227=1,F227,"")</f>
        <v/>
      </c>
      <c r="X227" s="67">
        <f>IF(V227=1,acctAP,"")</f>
        <v/>
      </c>
      <c r="Y227" s="68">
        <f>IF(V227=1,G227-S227,0)</f>
        <v/>
      </c>
      <c r="Z227" s="68">
        <f>IF(V227=1,G227,0)</f>
        <v/>
      </c>
      <c r="AA227" s="68">
        <f>IF(V227=1,S227,0)</f>
        <v/>
      </c>
    </row>
    <row r="228">
      <c r="B228" s="62" t="n"/>
      <c r="C228" s="63" t="n"/>
      <c r="D228" s="62" t="n"/>
      <c r="E228" s="62" t="n"/>
      <c r="F228" s="62" t="n"/>
      <c r="G228" s="64" t="n"/>
      <c r="H228" s="64" t="n"/>
      <c r="I228" s="63" t="n"/>
      <c r="J228" s="29">
        <f>IF(V228=1,IF(ISNUMBER(I228),I228,C228+IF(ISNUMBER(IFERROR(INDEX(vend_Terms,MATCH(D228,vend_Name,0)),"")),INDEX(vend_Terms,MATCH(D228,vend_Name,0)),TermsDays)),"")</f>
        <v/>
      </c>
      <c r="K228" s="65">
        <f>IF(V228=1,SUMIFS(tx_CrAmt,tx_Type,"Bill Payment",tx_Ref,B228&amp;"",tx_Vend,D228,tx_Date,"&lt;="&amp;AsOf),"")</f>
        <v/>
      </c>
      <c r="L228" s="65">
        <f>IF(V228=1,IF(C228&gt;AsOf,0,ROUND(G228-K228,2)),"")</f>
        <v/>
      </c>
      <c r="M228" s="66">
        <f>IF(V228&lt;&gt;1,"",IF(C228&gt;AsOf,"Future",IF(L228&lt;0,"Overpaid",IF(L228=0,"Paid",IF(AsOf&gt;J228,"Overdue",IF(K228&gt;0,"Partial","Unpaid"))))))</f>
        <v/>
      </c>
      <c r="N228" s="28">
        <f>IF(AND(V228=1,N(L228)&gt;0),AsOf-C228,"")</f>
        <v/>
      </c>
      <c r="O228" s="28">
        <f>IF(N228="","",MAX(0,AsOf-J228))</f>
        <v/>
      </c>
      <c r="P228" s="66">
        <f>IF(O228="","",IF(O228=0,"Current",IF(O228&lt;=30,"1-30",IF(O228&lt;=60,"31-60",IF(O228&lt;=90,"61-90","90+")))))</f>
        <v/>
      </c>
      <c r="Q228" s="66">
        <f>IF(T228&lt;&gt;"","⛔ "&amp;T228&amp;" — not posted",IF(U228&lt;&gt;"","⚠ "&amp;U228,IF(V228=1,"✓ OK","")))</f>
        <v/>
      </c>
      <c r="R228" s="67">
        <f>IF(AND(B228="",C228="",D228="",G228="",F228=""),1,0)</f>
        <v/>
      </c>
      <c r="S228" s="68">
        <f>IF(AND(TaxOn="Yes",ISNUMBER(H228)),H228,0)</f>
        <v/>
      </c>
      <c r="T228" s="67">
        <f>IF(R228=1,"",IF(B228="","Enter a bill #",IF(D228="","Select a vendor",IF(C228="","Missing bill date",IF(NOT(ISNUMBER(C228)),"Invalid date",IF(OR(C228&lt;DATE(2000,1,1),C228&gt;DATE(2099,12,31)),"Invalid date",IF(F228="","Select an expense account",IF(ISNA(MATCH(F228,coa_Name,0)),"Unknown account: "&amp;F228,IF(NOT(ISNUMBER(G228)),"Enter an amount",IF(G228&lt;=0,"Amount must be positive",IF(S228&gt;G228,"Tax is larger than the amount","")))))))))))</f>
        <v/>
      </c>
      <c r="U228" s="67">
        <f>IF(OR(R228=1,T228&lt;&gt;""),"",IF(COUNTIFS(ap_No,B228,ap_Party,D228)&gt;1,"Duplicate bill #",IF(N(L228)&lt;0,"Overpaid by "&amp;TEXT(-L228,"#,##0.00"),IF(AND(ISNUMBER(H228),N(H228)&lt;&gt;0,S228=0),"Tax ignored (tax tracking is off)",IF(AND(ISNUMBER(StartDate),C228&lt;StartDate),"Date is before the accounting start date",IF(OR(IFERROR(INDEX(coa_Type,MATCH(F228,coa_Name,0)),"")="Revenue",IFERROR(INDEX(coa_Type,MATCH(F228,coa_Name,0)),"")="Other Income",IFERROR(INDEX(coa_Type,MATCH(F228,coa_Name,0)),"")="Equity"),"Account is not an expense or asset account",""))))))</f>
        <v/>
      </c>
      <c r="V228" s="67">
        <f>IF(AND(R228=0,T228=""),1,0)</f>
        <v/>
      </c>
      <c r="W228" s="67">
        <f>IF(V228=1,F228,"")</f>
        <v/>
      </c>
      <c r="X228" s="67">
        <f>IF(V228=1,acctAP,"")</f>
        <v/>
      </c>
      <c r="Y228" s="68">
        <f>IF(V228=1,G228-S228,0)</f>
        <v/>
      </c>
      <c r="Z228" s="68">
        <f>IF(V228=1,G228,0)</f>
        <v/>
      </c>
      <c r="AA228" s="68">
        <f>IF(V228=1,S228,0)</f>
        <v/>
      </c>
    </row>
    <row r="229">
      <c r="B229" s="62" t="n"/>
      <c r="C229" s="63" t="n"/>
      <c r="D229" s="62" t="n"/>
      <c r="E229" s="62" t="n"/>
      <c r="F229" s="62" t="n"/>
      <c r="G229" s="64" t="n"/>
      <c r="H229" s="64" t="n"/>
      <c r="I229" s="63" t="n"/>
      <c r="J229" s="29">
        <f>IF(V229=1,IF(ISNUMBER(I229),I229,C229+IF(ISNUMBER(IFERROR(INDEX(vend_Terms,MATCH(D229,vend_Name,0)),"")),INDEX(vend_Terms,MATCH(D229,vend_Name,0)),TermsDays)),"")</f>
        <v/>
      </c>
      <c r="K229" s="65">
        <f>IF(V229=1,SUMIFS(tx_CrAmt,tx_Type,"Bill Payment",tx_Ref,B229&amp;"",tx_Vend,D229,tx_Date,"&lt;="&amp;AsOf),"")</f>
        <v/>
      </c>
      <c r="L229" s="65">
        <f>IF(V229=1,IF(C229&gt;AsOf,0,ROUND(G229-K229,2)),"")</f>
        <v/>
      </c>
      <c r="M229" s="66">
        <f>IF(V229&lt;&gt;1,"",IF(C229&gt;AsOf,"Future",IF(L229&lt;0,"Overpaid",IF(L229=0,"Paid",IF(AsOf&gt;J229,"Overdue",IF(K229&gt;0,"Partial","Unpaid"))))))</f>
        <v/>
      </c>
      <c r="N229" s="28">
        <f>IF(AND(V229=1,N(L229)&gt;0),AsOf-C229,"")</f>
        <v/>
      </c>
      <c r="O229" s="28">
        <f>IF(N229="","",MAX(0,AsOf-J229))</f>
        <v/>
      </c>
      <c r="P229" s="66">
        <f>IF(O229="","",IF(O229=0,"Current",IF(O229&lt;=30,"1-30",IF(O229&lt;=60,"31-60",IF(O229&lt;=90,"61-90","90+")))))</f>
        <v/>
      </c>
      <c r="Q229" s="66">
        <f>IF(T229&lt;&gt;"","⛔ "&amp;T229&amp;" — not posted",IF(U229&lt;&gt;"","⚠ "&amp;U229,IF(V229=1,"✓ OK","")))</f>
        <v/>
      </c>
      <c r="R229" s="67">
        <f>IF(AND(B229="",C229="",D229="",G229="",F229=""),1,0)</f>
        <v/>
      </c>
      <c r="S229" s="68">
        <f>IF(AND(TaxOn="Yes",ISNUMBER(H229)),H229,0)</f>
        <v/>
      </c>
      <c r="T229" s="67">
        <f>IF(R229=1,"",IF(B229="","Enter a bill #",IF(D229="","Select a vendor",IF(C229="","Missing bill date",IF(NOT(ISNUMBER(C229)),"Invalid date",IF(OR(C229&lt;DATE(2000,1,1),C229&gt;DATE(2099,12,31)),"Invalid date",IF(F229="","Select an expense account",IF(ISNA(MATCH(F229,coa_Name,0)),"Unknown account: "&amp;F229,IF(NOT(ISNUMBER(G229)),"Enter an amount",IF(G229&lt;=0,"Amount must be positive",IF(S229&gt;G229,"Tax is larger than the amount","")))))))))))</f>
        <v/>
      </c>
      <c r="U229" s="67">
        <f>IF(OR(R229=1,T229&lt;&gt;""),"",IF(COUNTIFS(ap_No,B229,ap_Party,D229)&gt;1,"Duplicate bill #",IF(N(L229)&lt;0,"Overpaid by "&amp;TEXT(-L229,"#,##0.00"),IF(AND(ISNUMBER(H229),N(H229)&lt;&gt;0,S229=0),"Tax ignored (tax tracking is off)",IF(AND(ISNUMBER(StartDate),C229&lt;StartDate),"Date is before the accounting start date",IF(OR(IFERROR(INDEX(coa_Type,MATCH(F229,coa_Name,0)),"")="Revenue",IFERROR(INDEX(coa_Type,MATCH(F229,coa_Name,0)),"")="Other Income",IFERROR(INDEX(coa_Type,MATCH(F229,coa_Name,0)),"")="Equity"),"Account is not an expense or asset account",""))))))</f>
        <v/>
      </c>
      <c r="V229" s="67">
        <f>IF(AND(R229=0,T229=""),1,0)</f>
        <v/>
      </c>
      <c r="W229" s="67">
        <f>IF(V229=1,F229,"")</f>
        <v/>
      </c>
      <c r="X229" s="67">
        <f>IF(V229=1,acctAP,"")</f>
        <v/>
      </c>
      <c r="Y229" s="68">
        <f>IF(V229=1,G229-S229,0)</f>
        <v/>
      </c>
      <c r="Z229" s="68">
        <f>IF(V229=1,G229,0)</f>
        <v/>
      </c>
      <c r="AA229" s="68">
        <f>IF(V229=1,S229,0)</f>
        <v/>
      </c>
    </row>
    <row r="230">
      <c r="B230" s="62" t="n"/>
      <c r="C230" s="63" t="n"/>
      <c r="D230" s="62" t="n"/>
      <c r="E230" s="62" t="n"/>
      <c r="F230" s="62" t="n"/>
      <c r="G230" s="64" t="n"/>
      <c r="H230" s="64" t="n"/>
      <c r="I230" s="63" t="n"/>
      <c r="J230" s="29">
        <f>IF(V230=1,IF(ISNUMBER(I230),I230,C230+IF(ISNUMBER(IFERROR(INDEX(vend_Terms,MATCH(D230,vend_Name,0)),"")),INDEX(vend_Terms,MATCH(D230,vend_Name,0)),TermsDays)),"")</f>
        <v/>
      </c>
      <c r="K230" s="65">
        <f>IF(V230=1,SUMIFS(tx_CrAmt,tx_Type,"Bill Payment",tx_Ref,B230&amp;"",tx_Vend,D230,tx_Date,"&lt;="&amp;AsOf),"")</f>
        <v/>
      </c>
      <c r="L230" s="65">
        <f>IF(V230=1,IF(C230&gt;AsOf,0,ROUND(G230-K230,2)),"")</f>
        <v/>
      </c>
      <c r="M230" s="66">
        <f>IF(V230&lt;&gt;1,"",IF(C230&gt;AsOf,"Future",IF(L230&lt;0,"Overpaid",IF(L230=0,"Paid",IF(AsOf&gt;J230,"Overdue",IF(K230&gt;0,"Partial","Unpaid"))))))</f>
        <v/>
      </c>
      <c r="N230" s="28">
        <f>IF(AND(V230=1,N(L230)&gt;0),AsOf-C230,"")</f>
        <v/>
      </c>
      <c r="O230" s="28">
        <f>IF(N230="","",MAX(0,AsOf-J230))</f>
        <v/>
      </c>
      <c r="P230" s="66">
        <f>IF(O230="","",IF(O230=0,"Current",IF(O230&lt;=30,"1-30",IF(O230&lt;=60,"31-60",IF(O230&lt;=90,"61-90","90+")))))</f>
        <v/>
      </c>
      <c r="Q230" s="66">
        <f>IF(T230&lt;&gt;"","⛔ "&amp;T230&amp;" — not posted",IF(U230&lt;&gt;"","⚠ "&amp;U230,IF(V230=1,"✓ OK","")))</f>
        <v/>
      </c>
      <c r="R230" s="67">
        <f>IF(AND(B230="",C230="",D230="",G230="",F230=""),1,0)</f>
        <v/>
      </c>
      <c r="S230" s="68">
        <f>IF(AND(TaxOn="Yes",ISNUMBER(H230)),H230,0)</f>
        <v/>
      </c>
      <c r="T230" s="67">
        <f>IF(R230=1,"",IF(B230="","Enter a bill #",IF(D230="","Select a vendor",IF(C230="","Missing bill date",IF(NOT(ISNUMBER(C230)),"Invalid date",IF(OR(C230&lt;DATE(2000,1,1),C230&gt;DATE(2099,12,31)),"Invalid date",IF(F230="","Select an expense account",IF(ISNA(MATCH(F230,coa_Name,0)),"Unknown account: "&amp;F230,IF(NOT(ISNUMBER(G230)),"Enter an amount",IF(G230&lt;=0,"Amount must be positive",IF(S230&gt;G230,"Tax is larger than the amount","")))))))))))</f>
        <v/>
      </c>
      <c r="U230" s="67">
        <f>IF(OR(R230=1,T230&lt;&gt;""),"",IF(COUNTIFS(ap_No,B230,ap_Party,D230)&gt;1,"Duplicate bill #",IF(N(L230)&lt;0,"Overpaid by "&amp;TEXT(-L230,"#,##0.00"),IF(AND(ISNUMBER(H230),N(H230)&lt;&gt;0,S230=0),"Tax ignored (tax tracking is off)",IF(AND(ISNUMBER(StartDate),C230&lt;StartDate),"Date is before the accounting start date",IF(OR(IFERROR(INDEX(coa_Type,MATCH(F230,coa_Name,0)),"")="Revenue",IFERROR(INDEX(coa_Type,MATCH(F230,coa_Name,0)),"")="Other Income",IFERROR(INDEX(coa_Type,MATCH(F230,coa_Name,0)),"")="Equity"),"Account is not an expense or asset account",""))))))</f>
        <v/>
      </c>
      <c r="V230" s="67">
        <f>IF(AND(R230=0,T230=""),1,0)</f>
        <v/>
      </c>
      <c r="W230" s="67">
        <f>IF(V230=1,F230,"")</f>
        <v/>
      </c>
      <c r="X230" s="67">
        <f>IF(V230=1,acctAP,"")</f>
        <v/>
      </c>
      <c r="Y230" s="68">
        <f>IF(V230=1,G230-S230,0)</f>
        <v/>
      </c>
      <c r="Z230" s="68">
        <f>IF(V230=1,G230,0)</f>
        <v/>
      </c>
      <c r="AA230" s="68">
        <f>IF(V230=1,S230,0)</f>
        <v/>
      </c>
    </row>
    <row r="231">
      <c r="B231" s="62" t="n"/>
      <c r="C231" s="63" t="n"/>
      <c r="D231" s="62" t="n"/>
      <c r="E231" s="62" t="n"/>
      <c r="F231" s="62" t="n"/>
      <c r="G231" s="64" t="n"/>
      <c r="H231" s="64" t="n"/>
      <c r="I231" s="63" t="n"/>
      <c r="J231" s="29">
        <f>IF(V231=1,IF(ISNUMBER(I231),I231,C231+IF(ISNUMBER(IFERROR(INDEX(vend_Terms,MATCH(D231,vend_Name,0)),"")),INDEX(vend_Terms,MATCH(D231,vend_Name,0)),TermsDays)),"")</f>
        <v/>
      </c>
      <c r="K231" s="65">
        <f>IF(V231=1,SUMIFS(tx_CrAmt,tx_Type,"Bill Payment",tx_Ref,B231&amp;"",tx_Vend,D231,tx_Date,"&lt;="&amp;AsOf),"")</f>
        <v/>
      </c>
      <c r="L231" s="65">
        <f>IF(V231=1,IF(C231&gt;AsOf,0,ROUND(G231-K231,2)),"")</f>
        <v/>
      </c>
      <c r="M231" s="66">
        <f>IF(V231&lt;&gt;1,"",IF(C231&gt;AsOf,"Future",IF(L231&lt;0,"Overpaid",IF(L231=0,"Paid",IF(AsOf&gt;J231,"Overdue",IF(K231&gt;0,"Partial","Unpaid"))))))</f>
        <v/>
      </c>
      <c r="N231" s="28">
        <f>IF(AND(V231=1,N(L231)&gt;0),AsOf-C231,"")</f>
        <v/>
      </c>
      <c r="O231" s="28">
        <f>IF(N231="","",MAX(0,AsOf-J231))</f>
        <v/>
      </c>
      <c r="P231" s="66">
        <f>IF(O231="","",IF(O231=0,"Current",IF(O231&lt;=30,"1-30",IF(O231&lt;=60,"31-60",IF(O231&lt;=90,"61-90","90+")))))</f>
        <v/>
      </c>
      <c r="Q231" s="66">
        <f>IF(T231&lt;&gt;"","⛔ "&amp;T231&amp;" — not posted",IF(U231&lt;&gt;"","⚠ "&amp;U231,IF(V231=1,"✓ OK","")))</f>
        <v/>
      </c>
      <c r="R231" s="67">
        <f>IF(AND(B231="",C231="",D231="",G231="",F231=""),1,0)</f>
        <v/>
      </c>
      <c r="S231" s="68">
        <f>IF(AND(TaxOn="Yes",ISNUMBER(H231)),H231,0)</f>
        <v/>
      </c>
      <c r="T231" s="67">
        <f>IF(R231=1,"",IF(B231="","Enter a bill #",IF(D231="","Select a vendor",IF(C231="","Missing bill date",IF(NOT(ISNUMBER(C231)),"Invalid date",IF(OR(C231&lt;DATE(2000,1,1),C231&gt;DATE(2099,12,31)),"Invalid date",IF(F231="","Select an expense account",IF(ISNA(MATCH(F231,coa_Name,0)),"Unknown account: "&amp;F231,IF(NOT(ISNUMBER(G231)),"Enter an amount",IF(G231&lt;=0,"Amount must be positive",IF(S231&gt;G231,"Tax is larger than the amount","")))))))))))</f>
        <v/>
      </c>
      <c r="U231" s="67">
        <f>IF(OR(R231=1,T231&lt;&gt;""),"",IF(COUNTIFS(ap_No,B231,ap_Party,D231)&gt;1,"Duplicate bill #",IF(N(L231)&lt;0,"Overpaid by "&amp;TEXT(-L231,"#,##0.00"),IF(AND(ISNUMBER(H231),N(H231)&lt;&gt;0,S231=0),"Tax ignored (tax tracking is off)",IF(AND(ISNUMBER(StartDate),C231&lt;StartDate),"Date is before the accounting start date",IF(OR(IFERROR(INDEX(coa_Type,MATCH(F231,coa_Name,0)),"")="Revenue",IFERROR(INDEX(coa_Type,MATCH(F231,coa_Name,0)),"")="Other Income",IFERROR(INDEX(coa_Type,MATCH(F231,coa_Name,0)),"")="Equity"),"Account is not an expense or asset account",""))))))</f>
        <v/>
      </c>
      <c r="V231" s="67">
        <f>IF(AND(R231=0,T231=""),1,0)</f>
        <v/>
      </c>
      <c r="W231" s="67">
        <f>IF(V231=1,F231,"")</f>
        <v/>
      </c>
      <c r="X231" s="67">
        <f>IF(V231=1,acctAP,"")</f>
        <v/>
      </c>
      <c r="Y231" s="68">
        <f>IF(V231=1,G231-S231,0)</f>
        <v/>
      </c>
      <c r="Z231" s="68">
        <f>IF(V231=1,G231,0)</f>
        <v/>
      </c>
      <c r="AA231" s="68">
        <f>IF(V231=1,S231,0)</f>
        <v/>
      </c>
    </row>
    <row r="232">
      <c r="B232" s="62" t="n"/>
      <c r="C232" s="63" t="n"/>
      <c r="D232" s="62" t="n"/>
      <c r="E232" s="62" t="n"/>
      <c r="F232" s="62" t="n"/>
      <c r="G232" s="64" t="n"/>
      <c r="H232" s="64" t="n"/>
      <c r="I232" s="63" t="n"/>
      <c r="J232" s="29">
        <f>IF(V232=1,IF(ISNUMBER(I232),I232,C232+IF(ISNUMBER(IFERROR(INDEX(vend_Terms,MATCH(D232,vend_Name,0)),"")),INDEX(vend_Terms,MATCH(D232,vend_Name,0)),TermsDays)),"")</f>
        <v/>
      </c>
      <c r="K232" s="65">
        <f>IF(V232=1,SUMIFS(tx_CrAmt,tx_Type,"Bill Payment",tx_Ref,B232&amp;"",tx_Vend,D232,tx_Date,"&lt;="&amp;AsOf),"")</f>
        <v/>
      </c>
      <c r="L232" s="65">
        <f>IF(V232=1,IF(C232&gt;AsOf,0,ROUND(G232-K232,2)),"")</f>
        <v/>
      </c>
      <c r="M232" s="66">
        <f>IF(V232&lt;&gt;1,"",IF(C232&gt;AsOf,"Future",IF(L232&lt;0,"Overpaid",IF(L232=0,"Paid",IF(AsOf&gt;J232,"Overdue",IF(K232&gt;0,"Partial","Unpaid"))))))</f>
        <v/>
      </c>
      <c r="N232" s="28">
        <f>IF(AND(V232=1,N(L232)&gt;0),AsOf-C232,"")</f>
        <v/>
      </c>
      <c r="O232" s="28">
        <f>IF(N232="","",MAX(0,AsOf-J232))</f>
        <v/>
      </c>
      <c r="P232" s="66">
        <f>IF(O232="","",IF(O232=0,"Current",IF(O232&lt;=30,"1-30",IF(O232&lt;=60,"31-60",IF(O232&lt;=90,"61-90","90+")))))</f>
        <v/>
      </c>
      <c r="Q232" s="66">
        <f>IF(T232&lt;&gt;"","⛔ "&amp;T232&amp;" — not posted",IF(U232&lt;&gt;"","⚠ "&amp;U232,IF(V232=1,"✓ OK","")))</f>
        <v/>
      </c>
      <c r="R232" s="67">
        <f>IF(AND(B232="",C232="",D232="",G232="",F232=""),1,0)</f>
        <v/>
      </c>
      <c r="S232" s="68">
        <f>IF(AND(TaxOn="Yes",ISNUMBER(H232)),H232,0)</f>
        <v/>
      </c>
      <c r="T232" s="67">
        <f>IF(R232=1,"",IF(B232="","Enter a bill #",IF(D232="","Select a vendor",IF(C232="","Missing bill date",IF(NOT(ISNUMBER(C232)),"Invalid date",IF(OR(C232&lt;DATE(2000,1,1),C232&gt;DATE(2099,12,31)),"Invalid date",IF(F232="","Select an expense account",IF(ISNA(MATCH(F232,coa_Name,0)),"Unknown account: "&amp;F232,IF(NOT(ISNUMBER(G232)),"Enter an amount",IF(G232&lt;=0,"Amount must be positive",IF(S232&gt;G232,"Tax is larger than the amount","")))))))))))</f>
        <v/>
      </c>
      <c r="U232" s="67">
        <f>IF(OR(R232=1,T232&lt;&gt;""),"",IF(COUNTIFS(ap_No,B232,ap_Party,D232)&gt;1,"Duplicate bill #",IF(N(L232)&lt;0,"Overpaid by "&amp;TEXT(-L232,"#,##0.00"),IF(AND(ISNUMBER(H232),N(H232)&lt;&gt;0,S232=0),"Tax ignored (tax tracking is off)",IF(AND(ISNUMBER(StartDate),C232&lt;StartDate),"Date is before the accounting start date",IF(OR(IFERROR(INDEX(coa_Type,MATCH(F232,coa_Name,0)),"")="Revenue",IFERROR(INDEX(coa_Type,MATCH(F232,coa_Name,0)),"")="Other Income",IFERROR(INDEX(coa_Type,MATCH(F232,coa_Name,0)),"")="Equity"),"Account is not an expense or asset account",""))))))</f>
        <v/>
      </c>
      <c r="V232" s="67">
        <f>IF(AND(R232=0,T232=""),1,0)</f>
        <v/>
      </c>
      <c r="W232" s="67">
        <f>IF(V232=1,F232,"")</f>
        <v/>
      </c>
      <c r="X232" s="67">
        <f>IF(V232=1,acctAP,"")</f>
        <v/>
      </c>
      <c r="Y232" s="68">
        <f>IF(V232=1,G232-S232,0)</f>
        <v/>
      </c>
      <c r="Z232" s="68">
        <f>IF(V232=1,G232,0)</f>
        <v/>
      </c>
      <c r="AA232" s="68">
        <f>IF(V232=1,S232,0)</f>
        <v/>
      </c>
    </row>
    <row r="233">
      <c r="B233" s="62" t="n"/>
      <c r="C233" s="63" t="n"/>
      <c r="D233" s="62" t="n"/>
      <c r="E233" s="62" t="n"/>
      <c r="F233" s="62" t="n"/>
      <c r="G233" s="64" t="n"/>
      <c r="H233" s="64" t="n"/>
      <c r="I233" s="63" t="n"/>
      <c r="J233" s="29">
        <f>IF(V233=1,IF(ISNUMBER(I233),I233,C233+IF(ISNUMBER(IFERROR(INDEX(vend_Terms,MATCH(D233,vend_Name,0)),"")),INDEX(vend_Terms,MATCH(D233,vend_Name,0)),TermsDays)),"")</f>
        <v/>
      </c>
      <c r="K233" s="65">
        <f>IF(V233=1,SUMIFS(tx_CrAmt,tx_Type,"Bill Payment",tx_Ref,B233&amp;"",tx_Vend,D233,tx_Date,"&lt;="&amp;AsOf),"")</f>
        <v/>
      </c>
      <c r="L233" s="65">
        <f>IF(V233=1,IF(C233&gt;AsOf,0,ROUND(G233-K233,2)),"")</f>
        <v/>
      </c>
      <c r="M233" s="66">
        <f>IF(V233&lt;&gt;1,"",IF(C233&gt;AsOf,"Future",IF(L233&lt;0,"Overpaid",IF(L233=0,"Paid",IF(AsOf&gt;J233,"Overdue",IF(K233&gt;0,"Partial","Unpaid"))))))</f>
        <v/>
      </c>
      <c r="N233" s="28">
        <f>IF(AND(V233=1,N(L233)&gt;0),AsOf-C233,"")</f>
        <v/>
      </c>
      <c r="O233" s="28">
        <f>IF(N233="","",MAX(0,AsOf-J233))</f>
        <v/>
      </c>
      <c r="P233" s="66">
        <f>IF(O233="","",IF(O233=0,"Current",IF(O233&lt;=30,"1-30",IF(O233&lt;=60,"31-60",IF(O233&lt;=90,"61-90","90+")))))</f>
        <v/>
      </c>
      <c r="Q233" s="66">
        <f>IF(T233&lt;&gt;"","⛔ "&amp;T233&amp;" — not posted",IF(U233&lt;&gt;"","⚠ "&amp;U233,IF(V233=1,"✓ OK","")))</f>
        <v/>
      </c>
      <c r="R233" s="67">
        <f>IF(AND(B233="",C233="",D233="",G233="",F233=""),1,0)</f>
        <v/>
      </c>
      <c r="S233" s="68">
        <f>IF(AND(TaxOn="Yes",ISNUMBER(H233)),H233,0)</f>
        <v/>
      </c>
      <c r="T233" s="67">
        <f>IF(R233=1,"",IF(B233="","Enter a bill #",IF(D233="","Select a vendor",IF(C233="","Missing bill date",IF(NOT(ISNUMBER(C233)),"Invalid date",IF(OR(C233&lt;DATE(2000,1,1),C233&gt;DATE(2099,12,31)),"Invalid date",IF(F233="","Select an expense account",IF(ISNA(MATCH(F233,coa_Name,0)),"Unknown account: "&amp;F233,IF(NOT(ISNUMBER(G233)),"Enter an amount",IF(G233&lt;=0,"Amount must be positive",IF(S233&gt;G233,"Tax is larger than the amount","")))))))))))</f>
        <v/>
      </c>
      <c r="U233" s="67">
        <f>IF(OR(R233=1,T233&lt;&gt;""),"",IF(COUNTIFS(ap_No,B233,ap_Party,D233)&gt;1,"Duplicate bill #",IF(N(L233)&lt;0,"Overpaid by "&amp;TEXT(-L233,"#,##0.00"),IF(AND(ISNUMBER(H233),N(H233)&lt;&gt;0,S233=0),"Tax ignored (tax tracking is off)",IF(AND(ISNUMBER(StartDate),C233&lt;StartDate),"Date is before the accounting start date",IF(OR(IFERROR(INDEX(coa_Type,MATCH(F233,coa_Name,0)),"")="Revenue",IFERROR(INDEX(coa_Type,MATCH(F233,coa_Name,0)),"")="Other Income",IFERROR(INDEX(coa_Type,MATCH(F233,coa_Name,0)),"")="Equity"),"Account is not an expense or asset account",""))))))</f>
        <v/>
      </c>
      <c r="V233" s="67">
        <f>IF(AND(R233=0,T233=""),1,0)</f>
        <v/>
      </c>
      <c r="W233" s="67">
        <f>IF(V233=1,F233,"")</f>
        <v/>
      </c>
      <c r="X233" s="67">
        <f>IF(V233=1,acctAP,"")</f>
        <v/>
      </c>
      <c r="Y233" s="68">
        <f>IF(V233=1,G233-S233,0)</f>
        <v/>
      </c>
      <c r="Z233" s="68">
        <f>IF(V233=1,G233,0)</f>
        <v/>
      </c>
      <c r="AA233" s="68">
        <f>IF(V233=1,S233,0)</f>
        <v/>
      </c>
    </row>
    <row r="234">
      <c r="B234" s="62" t="n"/>
      <c r="C234" s="63" t="n"/>
      <c r="D234" s="62" t="n"/>
      <c r="E234" s="62" t="n"/>
      <c r="F234" s="62" t="n"/>
      <c r="G234" s="64" t="n"/>
      <c r="H234" s="64" t="n"/>
      <c r="I234" s="63" t="n"/>
      <c r="J234" s="29">
        <f>IF(V234=1,IF(ISNUMBER(I234),I234,C234+IF(ISNUMBER(IFERROR(INDEX(vend_Terms,MATCH(D234,vend_Name,0)),"")),INDEX(vend_Terms,MATCH(D234,vend_Name,0)),TermsDays)),"")</f>
        <v/>
      </c>
      <c r="K234" s="65">
        <f>IF(V234=1,SUMIFS(tx_CrAmt,tx_Type,"Bill Payment",tx_Ref,B234&amp;"",tx_Vend,D234,tx_Date,"&lt;="&amp;AsOf),"")</f>
        <v/>
      </c>
      <c r="L234" s="65">
        <f>IF(V234=1,IF(C234&gt;AsOf,0,ROUND(G234-K234,2)),"")</f>
        <v/>
      </c>
      <c r="M234" s="66">
        <f>IF(V234&lt;&gt;1,"",IF(C234&gt;AsOf,"Future",IF(L234&lt;0,"Overpaid",IF(L234=0,"Paid",IF(AsOf&gt;J234,"Overdue",IF(K234&gt;0,"Partial","Unpaid"))))))</f>
        <v/>
      </c>
      <c r="N234" s="28">
        <f>IF(AND(V234=1,N(L234)&gt;0),AsOf-C234,"")</f>
        <v/>
      </c>
      <c r="O234" s="28">
        <f>IF(N234="","",MAX(0,AsOf-J234))</f>
        <v/>
      </c>
      <c r="P234" s="66">
        <f>IF(O234="","",IF(O234=0,"Current",IF(O234&lt;=30,"1-30",IF(O234&lt;=60,"31-60",IF(O234&lt;=90,"61-90","90+")))))</f>
        <v/>
      </c>
      <c r="Q234" s="66">
        <f>IF(T234&lt;&gt;"","⛔ "&amp;T234&amp;" — not posted",IF(U234&lt;&gt;"","⚠ "&amp;U234,IF(V234=1,"✓ OK","")))</f>
        <v/>
      </c>
      <c r="R234" s="67">
        <f>IF(AND(B234="",C234="",D234="",G234="",F234=""),1,0)</f>
        <v/>
      </c>
      <c r="S234" s="68">
        <f>IF(AND(TaxOn="Yes",ISNUMBER(H234)),H234,0)</f>
        <v/>
      </c>
      <c r="T234" s="67">
        <f>IF(R234=1,"",IF(B234="","Enter a bill #",IF(D234="","Select a vendor",IF(C234="","Missing bill date",IF(NOT(ISNUMBER(C234)),"Invalid date",IF(OR(C234&lt;DATE(2000,1,1),C234&gt;DATE(2099,12,31)),"Invalid date",IF(F234="","Select an expense account",IF(ISNA(MATCH(F234,coa_Name,0)),"Unknown account: "&amp;F234,IF(NOT(ISNUMBER(G234)),"Enter an amount",IF(G234&lt;=0,"Amount must be positive",IF(S234&gt;G234,"Tax is larger than the amount","")))))))))))</f>
        <v/>
      </c>
      <c r="U234" s="67">
        <f>IF(OR(R234=1,T234&lt;&gt;""),"",IF(COUNTIFS(ap_No,B234,ap_Party,D234)&gt;1,"Duplicate bill #",IF(N(L234)&lt;0,"Overpaid by "&amp;TEXT(-L234,"#,##0.00"),IF(AND(ISNUMBER(H234),N(H234)&lt;&gt;0,S234=0),"Tax ignored (tax tracking is off)",IF(AND(ISNUMBER(StartDate),C234&lt;StartDate),"Date is before the accounting start date",IF(OR(IFERROR(INDEX(coa_Type,MATCH(F234,coa_Name,0)),"")="Revenue",IFERROR(INDEX(coa_Type,MATCH(F234,coa_Name,0)),"")="Other Income",IFERROR(INDEX(coa_Type,MATCH(F234,coa_Name,0)),"")="Equity"),"Account is not an expense or asset account",""))))))</f>
        <v/>
      </c>
      <c r="V234" s="67">
        <f>IF(AND(R234=0,T234=""),1,0)</f>
        <v/>
      </c>
      <c r="W234" s="67">
        <f>IF(V234=1,F234,"")</f>
        <v/>
      </c>
      <c r="X234" s="67">
        <f>IF(V234=1,acctAP,"")</f>
        <v/>
      </c>
      <c r="Y234" s="68">
        <f>IF(V234=1,G234-S234,0)</f>
        <v/>
      </c>
      <c r="Z234" s="68">
        <f>IF(V234=1,G234,0)</f>
        <v/>
      </c>
      <c r="AA234" s="68">
        <f>IF(V234=1,S234,0)</f>
        <v/>
      </c>
    </row>
    <row r="235">
      <c r="B235" s="62" t="n"/>
      <c r="C235" s="63" t="n"/>
      <c r="D235" s="62" t="n"/>
      <c r="E235" s="62" t="n"/>
      <c r="F235" s="62" t="n"/>
      <c r="G235" s="64" t="n"/>
      <c r="H235" s="64" t="n"/>
      <c r="I235" s="63" t="n"/>
      <c r="J235" s="29">
        <f>IF(V235=1,IF(ISNUMBER(I235),I235,C235+IF(ISNUMBER(IFERROR(INDEX(vend_Terms,MATCH(D235,vend_Name,0)),"")),INDEX(vend_Terms,MATCH(D235,vend_Name,0)),TermsDays)),"")</f>
        <v/>
      </c>
      <c r="K235" s="65">
        <f>IF(V235=1,SUMIFS(tx_CrAmt,tx_Type,"Bill Payment",tx_Ref,B235&amp;"",tx_Vend,D235,tx_Date,"&lt;="&amp;AsOf),"")</f>
        <v/>
      </c>
      <c r="L235" s="65">
        <f>IF(V235=1,IF(C235&gt;AsOf,0,ROUND(G235-K235,2)),"")</f>
        <v/>
      </c>
      <c r="M235" s="66">
        <f>IF(V235&lt;&gt;1,"",IF(C235&gt;AsOf,"Future",IF(L235&lt;0,"Overpaid",IF(L235=0,"Paid",IF(AsOf&gt;J235,"Overdue",IF(K235&gt;0,"Partial","Unpaid"))))))</f>
        <v/>
      </c>
      <c r="N235" s="28">
        <f>IF(AND(V235=1,N(L235)&gt;0),AsOf-C235,"")</f>
        <v/>
      </c>
      <c r="O235" s="28">
        <f>IF(N235="","",MAX(0,AsOf-J235))</f>
        <v/>
      </c>
      <c r="P235" s="66">
        <f>IF(O235="","",IF(O235=0,"Current",IF(O235&lt;=30,"1-30",IF(O235&lt;=60,"31-60",IF(O235&lt;=90,"61-90","90+")))))</f>
        <v/>
      </c>
      <c r="Q235" s="66">
        <f>IF(T235&lt;&gt;"","⛔ "&amp;T235&amp;" — not posted",IF(U235&lt;&gt;"","⚠ "&amp;U235,IF(V235=1,"✓ OK","")))</f>
        <v/>
      </c>
      <c r="R235" s="67">
        <f>IF(AND(B235="",C235="",D235="",G235="",F235=""),1,0)</f>
        <v/>
      </c>
      <c r="S235" s="68">
        <f>IF(AND(TaxOn="Yes",ISNUMBER(H235)),H235,0)</f>
        <v/>
      </c>
      <c r="T235" s="67">
        <f>IF(R235=1,"",IF(B235="","Enter a bill #",IF(D235="","Select a vendor",IF(C235="","Missing bill date",IF(NOT(ISNUMBER(C235)),"Invalid date",IF(OR(C235&lt;DATE(2000,1,1),C235&gt;DATE(2099,12,31)),"Invalid date",IF(F235="","Select an expense account",IF(ISNA(MATCH(F235,coa_Name,0)),"Unknown account: "&amp;F235,IF(NOT(ISNUMBER(G235)),"Enter an amount",IF(G235&lt;=0,"Amount must be positive",IF(S235&gt;G235,"Tax is larger than the amount","")))))))))))</f>
        <v/>
      </c>
      <c r="U235" s="67">
        <f>IF(OR(R235=1,T235&lt;&gt;""),"",IF(COUNTIFS(ap_No,B235,ap_Party,D235)&gt;1,"Duplicate bill #",IF(N(L235)&lt;0,"Overpaid by "&amp;TEXT(-L235,"#,##0.00"),IF(AND(ISNUMBER(H235),N(H235)&lt;&gt;0,S235=0),"Tax ignored (tax tracking is off)",IF(AND(ISNUMBER(StartDate),C235&lt;StartDate),"Date is before the accounting start date",IF(OR(IFERROR(INDEX(coa_Type,MATCH(F235,coa_Name,0)),"")="Revenue",IFERROR(INDEX(coa_Type,MATCH(F235,coa_Name,0)),"")="Other Income",IFERROR(INDEX(coa_Type,MATCH(F235,coa_Name,0)),"")="Equity"),"Account is not an expense or asset account",""))))))</f>
        <v/>
      </c>
      <c r="V235" s="67">
        <f>IF(AND(R235=0,T235=""),1,0)</f>
        <v/>
      </c>
      <c r="W235" s="67">
        <f>IF(V235=1,F235,"")</f>
        <v/>
      </c>
      <c r="X235" s="67">
        <f>IF(V235=1,acctAP,"")</f>
        <v/>
      </c>
      <c r="Y235" s="68">
        <f>IF(V235=1,G235-S235,0)</f>
        <v/>
      </c>
      <c r="Z235" s="68">
        <f>IF(V235=1,G235,0)</f>
        <v/>
      </c>
      <c r="AA235" s="68">
        <f>IF(V235=1,S235,0)</f>
        <v/>
      </c>
    </row>
    <row r="236">
      <c r="B236" s="62" t="n"/>
      <c r="C236" s="63" t="n"/>
      <c r="D236" s="62" t="n"/>
      <c r="E236" s="62" t="n"/>
      <c r="F236" s="62" t="n"/>
      <c r="G236" s="64" t="n"/>
      <c r="H236" s="64" t="n"/>
      <c r="I236" s="63" t="n"/>
      <c r="J236" s="29">
        <f>IF(V236=1,IF(ISNUMBER(I236),I236,C236+IF(ISNUMBER(IFERROR(INDEX(vend_Terms,MATCH(D236,vend_Name,0)),"")),INDEX(vend_Terms,MATCH(D236,vend_Name,0)),TermsDays)),"")</f>
        <v/>
      </c>
      <c r="K236" s="65">
        <f>IF(V236=1,SUMIFS(tx_CrAmt,tx_Type,"Bill Payment",tx_Ref,B236&amp;"",tx_Vend,D236,tx_Date,"&lt;="&amp;AsOf),"")</f>
        <v/>
      </c>
      <c r="L236" s="65">
        <f>IF(V236=1,IF(C236&gt;AsOf,0,ROUND(G236-K236,2)),"")</f>
        <v/>
      </c>
      <c r="M236" s="66">
        <f>IF(V236&lt;&gt;1,"",IF(C236&gt;AsOf,"Future",IF(L236&lt;0,"Overpaid",IF(L236=0,"Paid",IF(AsOf&gt;J236,"Overdue",IF(K236&gt;0,"Partial","Unpaid"))))))</f>
        <v/>
      </c>
      <c r="N236" s="28">
        <f>IF(AND(V236=1,N(L236)&gt;0),AsOf-C236,"")</f>
        <v/>
      </c>
      <c r="O236" s="28">
        <f>IF(N236="","",MAX(0,AsOf-J236))</f>
        <v/>
      </c>
      <c r="P236" s="66">
        <f>IF(O236="","",IF(O236=0,"Current",IF(O236&lt;=30,"1-30",IF(O236&lt;=60,"31-60",IF(O236&lt;=90,"61-90","90+")))))</f>
        <v/>
      </c>
      <c r="Q236" s="66">
        <f>IF(T236&lt;&gt;"","⛔ "&amp;T236&amp;" — not posted",IF(U236&lt;&gt;"","⚠ "&amp;U236,IF(V236=1,"✓ OK","")))</f>
        <v/>
      </c>
      <c r="R236" s="67">
        <f>IF(AND(B236="",C236="",D236="",G236="",F236=""),1,0)</f>
        <v/>
      </c>
      <c r="S236" s="68">
        <f>IF(AND(TaxOn="Yes",ISNUMBER(H236)),H236,0)</f>
        <v/>
      </c>
      <c r="T236" s="67">
        <f>IF(R236=1,"",IF(B236="","Enter a bill #",IF(D236="","Select a vendor",IF(C236="","Missing bill date",IF(NOT(ISNUMBER(C236)),"Invalid date",IF(OR(C236&lt;DATE(2000,1,1),C236&gt;DATE(2099,12,31)),"Invalid date",IF(F236="","Select an expense account",IF(ISNA(MATCH(F236,coa_Name,0)),"Unknown account: "&amp;F236,IF(NOT(ISNUMBER(G236)),"Enter an amount",IF(G236&lt;=0,"Amount must be positive",IF(S236&gt;G236,"Tax is larger than the amount","")))))))))))</f>
        <v/>
      </c>
      <c r="U236" s="67">
        <f>IF(OR(R236=1,T236&lt;&gt;""),"",IF(COUNTIFS(ap_No,B236,ap_Party,D236)&gt;1,"Duplicate bill #",IF(N(L236)&lt;0,"Overpaid by "&amp;TEXT(-L236,"#,##0.00"),IF(AND(ISNUMBER(H236),N(H236)&lt;&gt;0,S236=0),"Tax ignored (tax tracking is off)",IF(AND(ISNUMBER(StartDate),C236&lt;StartDate),"Date is before the accounting start date",IF(OR(IFERROR(INDEX(coa_Type,MATCH(F236,coa_Name,0)),"")="Revenue",IFERROR(INDEX(coa_Type,MATCH(F236,coa_Name,0)),"")="Other Income",IFERROR(INDEX(coa_Type,MATCH(F236,coa_Name,0)),"")="Equity"),"Account is not an expense or asset account",""))))))</f>
        <v/>
      </c>
      <c r="V236" s="67">
        <f>IF(AND(R236=0,T236=""),1,0)</f>
        <v/>
      </c>
      <c r="W236" s="67">
        <f>IF(V236=1,F236,"")</f>
        <v/>
      </c>
      <c r="X236" s="67">
        <f>IF(V236=1,acctAP,"")</f>
        <v/>
      </c>
      <c r="Y236" s="68">
        <f>IF(V236=1,G236-S236,0)</f>
        <v/>
      </c>
      <c r="Z236" s="68">
        <f>IF(V236=1,G236,0)</f>
        <v/>
      </c>
      <c r="AA236" s="68">
        <f>IF(V236=1,S236,0)</f>
        <v/>
      </c>
    </row>
    <row r="237">
      <c r="B237" s="62" t="n"/>
      <c r="C237" s="63" t="n"/>
      <c r="D237" s="62" t="n"/>
      <c r="E237" s="62" t="n"/>
      <c r="F237" s="62" t="n"/>
      <c r="G237" s="64" t="n"/>
      <c r="H237" s="64" t="n"/>
      <c r="I237" s="63" t="n"/>
      <c r="J237" s="29">
        <f>IF(V237=1,IF(ISNUMBER(I237),I237,C237+IF(ISNUMBER(IFERROR(INDEX(vend_Terms,MATCH(D237,vend_Name,0)),"")),INDEX(vend_Terms,MATCH(D237,vend_Name,0)),TermsDays)),"")</f>
        <v/>
      </c>
      <c r="K237" s="65">
        <f>IF(V237=1,SUMIFS(tx_CrAmt,tx_Type,"Bill Payment",tx_Ref,B237&amp;"",tx_Vend,D237,tx_Date,"&lt;="&amp;AsOf),"")</f>
        <v/>
      </c>
      <c r="L237" s="65">
        <f>IF(V237=1,IF(C237&gt;AsOf,0,ROUND(G237-K237,2)),"")</f>
        <v/>
      </c>
      <c r="M237" s="66">
        <f>IF(V237&lt;&gt;1,"",IF(C237&gt;AsOf,"Future",IF(L237&lt;0,"Overpaid",IF(L237=0,"Paid",IF(AsOf&gt;J237,"Overdue",IF(K237&gt;0,"Partial","Unpaid"))))))</f>
        <v/>
      </c>
      <c r="N237" s="28">
        <f>IF(AND(V237=1,N(L237)&gt;0),AsOf-C237,"")</f>
        <v/>
      </c>
      <c r="O237" s="28">
        <f>IF(N237="","",MAX(0,AsOf-J237))</f>
        <v/>
      </c>
      <c r="P237" s="66">
        <f>IF(O237="","",IF(O237=0,"Current",IF(O237&lt;=30,"1-30",IF(O237&lt;=60,"31-60",IF(O237&lt;=90,"61-90","90+")))))</f>
        <v/>
      </c>
      <c r="Q237" s="66">
        <f>IF(T237&lt;&gt;"","⛔ "&amp;T237&amp;" — not posted",IF(U237&lt;&gt;"","⚠ "&amp;U237,IF(V237=1,"✓ OK","")))</f>
        <v/>
      </c>
      <c r="R237" s="67">
        <f>IF(AND(B237="",C237="",D237="",G237="",F237=""),1,0)</f>
        <v/>
      </c>
      <c r="S237" s="68">
        <f>IF(AND(TaxOn="Yes",ISNUMBER(H237)),H237,0)</f>
        <v/>
      </c>
      <c r="T237" s="67">
        <f>IF(R237=1,"",IF(B237="","Enter a bill #",IF(D237="","Select a vendor",IF(C237="","Missing bill date",IF(NOT(ISNUMBER(C237)),"Invalid date",IF(OR(C237&lt;DATE(2000,1,1),C237&gt;DATE(2099,12,31)),"Invalid date",IF(F237="","Select an expense account",IF(ISNA(MATCH(F237,coa_Name,0)),"Unknown account: "&amp;F237,IF(NOT(ISNUMBER(G237)),"Enter an amount",IF(G237&lt;=0,"Amount must be positive",IF(S237&gt;G237,"Tax is larger than the amount","")))))))))))</f>
        <v/>
      </c>
      <c r="U237" s="67">
        <f>IF(OR(R237=1,T237&lt;&gt;""),"",IF(COUNTIFS(ap_No,B237,ap_Party,D237)&gt;1,"Duplicate bill #",IF(N(L237)&lt;0,"Overpaid by "&amp;TEXT(-L237,"#,##0.00"),IF(AND(ISNUMBER(H237),N(H237)&lt;&gt;0,S237=0),"Tax ignored (tax tracking is off)",IF(AND(ISNUMBER(StartDate),C237&lt;StartDate),"Date is before the accounting start date",IF(OR(IFERROR(INDEX(coa_Type,MATCH(F237,coa_Name,0)),"")="Revenue",IFERROR(INDEX(coa_Type,MATCH(F237,coa_Name,0)),"")="Other Income",IFERROR(INDEX(coa_Type,MATCH(F237,coa_Name,0)),"")="Equity"),"Account is not an expense or asset account",""))))))</f>
        <v/>
      </c>
      <c r="V237" s="67">
        <f>IF(AND(R237=0,T237=""),1,0)</f>
        <v/>
      </c>
      <c r="W237" s="67">
        <f>IF(V237=1,F237,"")</f>
        <v/>
      </c>
      <c r="X237" s="67">
        <f>IF(V237=1,acctAP,"")</f>
        <v/>
      </c>
      <c r="Y237" s="68">
        <f>IF(V237=1,G237-S237,0)</f>
        <v/>
      </c>
      <c r="Z237" s="68">
        <f>IF(V237=1,G237,0)</f>
        <v/>
      </c>
      <c r="AA237" s="68">
        <f>IF(V237=1,S237,0)</f>
        <v/>
      </c>
    </row>
    <row r="238">
      <c r="B238" s="62" t="n"/>
      <c r="C238" s="63" t="n"/>
      <c r="D238" s="62" t="n"/>
      <c r="E238" s="62" t="n"/>
      <c r="F238" s="62" t="n"/>
      <c r="G238" s="64" t="n"/>
      <c r="H238" s="64" t="n"/>
      <c r="I238" s="63" t="n"/>
      <c r="J238" s="29">
        <f>IF(V238=1,IF(ISNUMBER(I238),I238,C238+IF(ISNUMBER(IFERROR(INDEX(vend_Terms,MATCH(D238,vend_Name,0)),"")),INDEX(vend_Terms,MATCH(D238,vend_Name,0)),TermsDays)),"")</f>
        <v/>
      </c>
      <c r="K238" s="65">
        <f>IF(V238=1,SUMIFS(tx_CrAmt,tx_Type,"Bill Payment",tx_Ref,B238&amp;"",tx_Vend,D238,tx_Date,"&lt;="&amp;AsOf),"")</f>
        <v/>
      </c>
      <c r="L238" s="65">
        <f>IF(V238=1,IF(C238&gt;AsOf,0,ROUND(G238-K238,2)),"")</f>
        <v/>
      </c>
      <c r="M238" s="66">
        <f>IF(V238&lt;&gt;1,"",IF(C238&gt;AsOf,"Future",IF(L238&lt;0,"Overpaid",IF(L238=0,"Paid",IF(AsOf&gt;J238,"Overdue",IF(K238&gt;0,"Partial","Unpaid"))))))</f>
        <v/>
      </c>
      <c r="N238" s="28">
        <f>IF(AND(V238=1,N(L238)&gt;0),AsOf-C238,"")</f>
        <v/>
      </c>
      <c r="O238" s="28">
        <f>IF(N238="","",MAX(0,AsOf-J238))</f>
        <v/>
      </c>
      <c r="P238" s="66">
        <f>IF(O238="","",IF(O238=0,"Current",IF(O238&lt;=30,"1-30",IF(O238&lt;=60,"31-60",IF(O238&lt;=90,"61-90","90+")))))</f>
        <v/>
      </c>
      <c r="Q238" s="66">
        <f>IF(T238&lt;&gt;"","⛔ "&amp;T238&amp;" — not posted",IF(U238&lt;&gt;"","⚠ "&amp;U238,IF(V238=1,"✓ OK","")))</f>
        <v/>
      </c>
      <c r="R238" s="67">
        <f>IF(AND(B238="",C238="",D238="",G238="",F238=""),1,0)</f>
        <v/>
      </c>
      <c r="S238" s="68">
        <f>IF(AND(TaxOn="Yes",ISNUMBER(H238)),H238,0)</f>
        <v/>
      </c>
      <c r="T238" s="67">
        <f>IF(R238=1,"",IF(B238="","Enter a bill #",IF(D238="","Select a vendor",IF(C238="","Missing bill date",IF(NOT(ISNUMBER(C238)),"Invalid date",IF(OR(C238&lt;DATE(2000,1,1),C238&gt;DATE(2099,12,31)),"Invalid date",IF(F238="","Select an expense account",IF(ISNA(MATCH(F238,coa_Name,0)),"Unknown account: "&amp;F238,IF(NOT(ISNUMBER(G238)),"Enter an amount",IF(G238&lt;=0,"Amount must be positive",IF(S238&gt;G238,"Tax is larger than the amount","")))))))))))</f>
        <v/>
      </c>
      <c r="U238" s="67">
        <f>IF(OR(R238=1,T238&lt;&gt;""),"",IF(COUNTIFS(ap_No,B238,ap_Party,D238)&gt;1,"Duplicate bill #",IF(N(L238)&lt;0,"Overpaid by "&amp;TEXT(-L238,"#,##0.00"),IF(AND(ISNUMBER(H238),N(H238)&lt;&gt;0,S238=0),"Tax ignored (tax tracking is off)",IF(AND(ISNUMBER(StartDate),C238&lt;StartDate),"Date is before the accounting start date",IF(OR(IFERROR(INDEX(coa_Type,MATCH(F238,coa_Name,0)),"")="Revenue",IFERROR(INDEX(coa_Type,MATCH(F238,coa_Name,0)),"")="Other Income",IFERROR(INDEX(coa_Type,MATCH(F238,coa_Name,0)),"")="Equity"),"Account is not an expense or asset account",""))))))</f>
        <v/>
      </c>
      <c r="V238" s="67">
        <f>IF(AND(R238=0,T238=""),1,0)</f>
        <v/>
      </c>
      <c r="W238" s="67">
        <f>IF(V238=1,F238,"")</f>
        <v/>
      </c>
      <c r="X238" s="67">
        <f>IF(V238=1,acctAP,"")</f>
        <v/>
      </c>
      <c r="Y238" s="68">
        <f>IF(V238=1,G238-S238,0)</f>
        <v/>
      </c>
      <c r="Z238" s="68">
        <f>IF(V238=1,G238,0)</f>
        <v/>
      </c>
      <c r="AA238" s="68">
        <f>IF(V238=1,S238,0)</f>
        <v/>
      </c>
    </row>
    <row r="239">
      <c r="B239" s="62" t="n"/>
      <c r="C239" s="63" t="n"/>
      <c r="D239" s="62" t="n"/>
      <c r="E239" s="62" t="n"/>
      <c r="F239" s="62" t="n"/>
      <c r="G239" s="64" t="n"/>
      <c r="H239" s="64" t="n"/>
      <c r="I239" s="63" t="n"/>
      <c r="J239" s="29">
        <f>IF(V239=1,IF(ISNUMBER(I239),I239,C239+IF(ISNUMBER(IFERROR(INDEX(vend_Terms,MATCH(D239,vend_Name,0)),"")),INDEX(vend_Terms,MATCH(D239,vend_Name,0)),TermsDays)),"")</f>
        <v/>
      </c>
      <c r="K239" s="65">
        <f>IF(V239=1,SUMIFS(tx_CrAmt,tx_Type,"Bill Payment",tx_Ref,B239&amp;"",tx_Vend,D239,tx_Date,"&lt;="&amp;AsOf),"")</f>
        <v/>
      </c>
      <c r="L239" s="65">
        <f>IF(V239=1,IF(C239&gt;AsOf,0,ROUND(G239-K239,2)),"")</f>
        <v/>
      </c>
      <c r="M239" s="66">
        <f>IF(V239&lt;&gt;1,"",IF(C239&gt;AsOf,"Future",IF(L239&lt;0,"Overpaid",IF(L239=0,"Paid",IF(AsOf&gt;J239,"Overdue",IF(K239&gt;0,"Partial","Unpaid"))))))</f>
        <v/>
      </c>
      <c r="N239" s="28">
        <f>IF(AND(V239=1,N(L239)&gt;0),AsOf-C239,"")</f>
        <v/>
      </c>
      <c r="O239" s="28">
        <f>IF(N239="","",MAX(0,AsOf-J239))</f>
        <v/>
      </c>
      <c r="P239" s="66">
        <f>IF(O239="","",IF(O239=0,"Current",IF(O239&lt;=30,"1-30",IF(O239&lt;=60,"31-60",IF(O239&lt;=90,"61-90","90+")))))</f>
        <v/>
      </c>
      <c r="Q239" s="66">
        <f>IF(T239&lt;&gt;"","⛔ "&amp;T239&amp;" — not posted",IF(U239&lt;&gt;"","⚠ "&amp;U239,IF(V239=1,"✓ OK","")))</f>
        <v/>
      </c>
      <c r="R239" s="67">
        <f>IF(AND(B239="",C239="",D239="",G239="",F239=""),1,0)</f>
        <v/>
      </c>
      <c r="S239" s="68">
        <f>IF(AND(TaxOn="Yes",ISNUMBER(H239)),H239,0)</f>
        <v/>
      </c>
      <c r="T239" s="67">
        <f>IF(R239=1,"",IF(B239="","Enter a bill #",IF(D239="","Select a vendor",IF(C239="","Missing bill date",IF(NOT(ISNUMBER(C239)),"Invalid date",IF(OR(C239&lt;DATE(2000,1,1),C239&gt;DATE(2099,12,31)),"Invalid date",IF(F239="","Select an expense account",IF(ISNA(MATCH(F239,coa_Name,0)),"Unknown account: "&amp;F239,IF(NOT(ISNUMBER(G239)),"Enter an amount",IF(G239&lt;=0,"Amount must be positive",IF(S239&gt;G239,"Tax is larger than the amount","")))))))))))</f>
        <v/>
      </c>
      <c r="U239" s="67">
        <f>IF(OR(R239=1,T239&lt;&gt;""),"",IF(COUNTIFS(ap_No,B239,ap_Party,D239)&gt;1,"Duplicate bill #",IF(N(L239)&lt;0,"Overpaid by "&amp;TEXT(-L239,"#,##0.00"),IF(AND(ISNUMBER(H239),N(H239)&lt;&gt;0,S239=0),"Tax ignored (tax tracking is off)",IF(AND(ISNUMBER(StartDate),C239&lt;StartDate),"Date is before the accounting start date",IF(OR(IFERROR(INDEX(coa_Type,MATCH(F239,coa_Name,0)),"")="Revenue",IFERROR(INDEX(coa_Type,MATCH(F239,coa_Name,0)),"")="Other Income",IFERROR(INDEX(coa_Type,MATCH(F239,coa_Name,0)),"")="Equity"),"Account is not an expense or asset account",""))))))</f>
        <v/>
      </c>
      <c r="V239" s="67">
        <f>IF(AND(R239=0,T239=""),1,0)</f>
        <v/>
      </c>
      <c r="W239" s="67">
        <f>IF(V239=1,F239,"")</f>
        <v/>
      </c>
      <c r="X239" s="67">
        <f>IF(V239=1,acctAP,"")</f>
        <v/>
      </c>
      <c r="Y239" s="68">
        <f>IF(V239=1,G239-S239,0)</f>
        <v/>
      </c>
      <c r="Z239" s="68">
        <f>IF(V239=1,G239,0)</f>
        <v/>
      </c>
      <c r="AA239" s="68">
        <f>IF(V239=1,S239,0)</f>
        <v/>
      </c>
    </row>
    <row r="240">
      <c r="B240" s="62" t="n"/>
      <c r="C240" s="63" t="n"/>
      <c r="D240" s="62" t="n"/>
      <c r="E240" s="62" t="n"/>
      <c r="F240" s="62" t="n"/>
      <c r="G240" s="64" t="n"/>
      <c r="H240" s="64" t="n"/>
      <c r="I240" s="63" t="n"/>
      <c r="J240" s="29">
        <f>IF(V240=1,IF(ISNUMBER(I240),I240,C240+IF(ISNUMBER(IFERROR(INDEX(vend_Terms,MATCH(D240,vend_Name,0)),"")),INDEX(vend_Terms,MATCH(D240,vend_Name,0)),TermsDays)),"")</f>
        <v/>
      </c>
      <c r="K240" s="65">
        <f>IF(V240=1,SUMIFS(tx_CrAmt,tx_Type,"Bill Payment",tx_Ref,B240&amp;"",tx_Vend,D240,tx_Date,"&lt;="&amp;AsOf),"")</f>
        <v/>
      </c>
      <c r="L240" s="65">
        <f>IF(V240=1,IF(C240&gt;AsOf,0,ROUND(G240-K240,2)),"")</f>
        <v/>
      </c>
      <c r="M240" s="66">
        <f>IF(V240&lt;&gt;1,"",IF(C240&gt;AsOf,"Future",IF(L240&lt;0,"Overpaid",IF(L240=0,"Paid",IF(AsOf&gt;J240,"Overdue",IF(K240&gt;0,"Partial","Unpaid"))))))</f>
        <v/>
      </c>
      <c r="N240" s="28">
        <f>IF(AND(V240=1,N(L240)&gt;0),AsOf-C240,"")</f>
        <v/>
      </c>
      <c r="O240" s="28">
        <f>IF(N240="","",MAX(0,AsOf-J240))</f>
        <v/>
      </c>
      <c r="P240" s="66">
        <f>IF(O240="","",IF(O240=0,"Current",IF(O240&lt;=30,"1-30",IF(O240&lt;=60,"31-60",IF(O240&lt;=90,"61-90","90+")))))</f>
        <v/>
      </c>
      <c r="Q240" s="66">
        <f>IF(T240&lt;&gt;"","⛔ "&amp;T240&amp;" — not posted",IF(U240&lt;&gt;"","⚠ "&amp;U240,IF(V240=1,"✓ OK","")))</f>
        <v/>
      </c>
      <c r="R240" s="67">
        <f>IF(AND(B240="",C240="",D240="",G240="",F240=""),1,0)</f>
        <v/>
      </c>
      <c r="S240" s="68">
        <f>IF(AND(TaxOn="Yes",ISNUMBER(H240)),H240,0)</f>
        <v/>
      </c>
      <c r="T240" s="67">
        <f>IF(R240=1,"",IF(B240="","Enter a bill #",IF(D240="","Select a vendor",IF(C240="","Missing bill date",IF(NOT(ISNUMBER(C240)),"Invalid date",IF(OR(C240&lt;DATE(2000,1,1),C240&gt;DATE(2099,12,31)),"Invalid date",IF(F240="","Select an expense account",IF(ISNA(MATCH(F240,coa_Name,0)),"Unknown account: "&amp;F240,IF(NOT(ISNUMBER(G240)),"Enter an amount",IF(G240&lt;=0,"Amount must be positive",IF(S240&gt;G240,"Tax is larger than the amount","")))))))))))</f>
        <v/>
      </c>
      <c r="U240" s="67">
        <f>IF(OR(R240=1,T240&lt;&gt;""),"",IF(COUNTIFS(ap_No,B240,ap_Party,D240)&gt;1,"Duplicate bill #",IF(N(L240)&lt;0,"Overpaid by "&amp;TEXT(-L240,"#,##0.00"),IF(AND(ISNUMBER(H240),N(H240)&lt;&gt;0,S240=0),"Tax ignored (tax tracking is off)",IF(AND(ISNUMBER(StartDate),C240&lt;StartDate),"Date is before the accounting start date",IF(OR(IFERROR(INDEX(coa_Type,MATCH(F240,coa_Name,0)),"")="Revenue",IFERROR(INDEX(coa_Type,MATCH(F240,coa_Name,0)),"")="Other Income",IFERROR(INDEX(coa_Type,MATCH(F240,coa_Name,0)),"")="Equity"),"Account is not an expense or asset account",""))))))</f>
        <v/>
      </c>
      <c r="V240" s="67">
        <f>IF(AND(R240=0,T240=""),1,0)</f>
        <v/>
      </c>
      <c r="W240" s="67">
        <f>IF(V240=1,F240,"")</f>
        <v/>
      </c>
      <c r="X240" s="67">
        <f>IF(V240=1,acctAP,"")</f>
        <v/>
      </c>
      <c r="Y240" s="68">
        <f>IF(V240=1,G240-S240,0)</f>
        <v/>
      </c>
      <c r="Z240" s="68">
        <f>IF(V240=1,G240,0)</f>
        <v/>
      </c>
      <c r="AA240" s="68">
        <f>IF(V240=1,S240,0)</f>
        <v/>
      </c>
    </row>
    <row r="241">
      <c r="B241" s="62" t="n"/>
      <c r="C241" s="63" t="n"/>
      <c r="D241" s="62" t="n"/>
      <c r="E241" s="62" t="n"/>
      <c r="F241" s="62" t="n"/>
      <c r="G241" s="64" t="n"/>
      <c r="H241" s="64" t="n"/>
      <c r="I241" s="63" t="n"/>
      <c r="J241" s="29">
        <f>IF(V241=1,IF(ISNUMBER(I241),I241,C241+IF(ISNUMBER(IFERROR(INDEX(vend_Terms,MATCH(D241,vend_Name,0)),"")),INDEX(vend_Terms,MATCH(D241,vend_Name,0)),TermsDays)),"")</f>
        <v/>
      </c>
      <c r="K241" s="65">
        <f>IF(V241=1,SUMIFS(tx_CrAmt,tx_Type,"Bill Payment",tx_Ref,B241&amp;"",tx_Vend,D241,tx_Date,"&lt;="&amp;AsOf),"")</f>
        <v/>
      </c>
      <c r="L241" s="65">
        <f>IF(V241=1,IF(C241&gt;AsOf,0,ROUND(G241-K241,2)),"")</f>
        <v/>
      </c>
      <c r="M241" s="66">
        <f>IF(V241&lt;&gt;1,"",IF(C241&gt;AsOf,"Future",IF(L241&lt;0,"Overpaid",IF(L241=0,"Paid",IF(AsOf&gt;J241,"Overdue",IF(K241&gt;0,"Partial","Unpaid"))))))</f>
        <v/>
      </c>
      <c r="N241" s="28">
        <f>IF(AND(V241=1,N(L241)&gt;0),AsOf-C241,"")</f>
        <v/>
      </c>
      <c r="O241" s="28">
        <f>IF(N241="","",MAX(0,AsOf-J241))</f>
        <v/>
      </c>
      <c r="P241" s="66">
        <f>IF(O241="","",IF(O241=0,"Current",IF(O241&lt;=30,"1-30",IF(O241&lt;=60,"31-60",IF(O241&lt;=90,"61-90","90+")))))</f>
        <v/>
      </c>
      <c r="Q241" s="66">
        <f>IF(T241&lt;&gt;"","⛔ "&amp;T241&amp;" — not posted",IF(U241&lt;&gt;"","⚠ "&amp;U241,IF(V241=1,"✓ OK","")))</f>
        <v/>
      </c>
      <c r="R241" s="67">
        <f>IF(AND(B241="",C241="",D241="",G241="",F241=""),1,0)</f>
        <v/>
      </c>
      <c r="S241" s="68">
        <f>IF(AND(TaxOn="Yes",ISNUMBER(H241)),H241,0)</f>
        <v/>
      </c>
      <c r="T241" s="67">
        <f>IF(R241=1,"",IF(B241="","Enter a bill #",IF(D241="","Select a vendor",IF(C241="","Missing bill date",IF(NOT(ISNUMBER(C241)),"Invalid date",IF(OR(C241&lt;DATE(2000,1,1),C241&gt;DATE(2099,12,31)),"Invalid date",IF(F241="","Select an expense account",IF(ISNA(MATCH(F241,coa_Name,0)),"Unknown account: "&amp;F241,IF(NOT(ISNUMBER(G241)),"Enter an amount",IF(G241&lt;=0,"Amount must be positive",IF(S241&gt;G241,"Tax is larger than the amount","")))))))))))</f>
        <v/>
      </c>
      <c r="U241" s="67">
        <f>IF(OR(R241=1,T241&lt;&gt;""),"",IF(COUNTIFS(ap_No,B241,ap_Party,D241)&gt;1,"Duplicate bill #",IF(N(L241)&lt;0,"Overpaid by "&amp;TEXT(-L241,"#,##0.00"),IF(AND(ISNUMBER(H241),N(H241)&lt;&gt;0,S241=0),"Tax ignored (tax tracking is off)",IF(AND(ISNUMBER(StartDate),C241&lt;StartDate),"Date is before the accounting start date",IF(OR(IFERROR(INDEX(coa_Type,MATCH(F241,coa_Name,0)),"")="Revenue",IFERROR(INDEX(coa_Type,MATCH(F241,coa_Name,0)),"")="Other Income",IFERROR(INDEX(coa_Type,MATCH(F241,coa_Name,0)),"")="Equity"),"Account is not an expense or asset account",""))))))</f>
        <v/>
      </c>
      <c r="V241" s="67">
        <f>IF(AND(R241=0,T241=""),1,0)</f>
        <v/>
      </c>
      <c r="W241" s="67">
        <f>IF(V241=1,F241,"")</f>
        <v/>
      </c>
      <c r="X241" s="67">
        <f>IF(V241=1,acctAP,"")</f>
        <v/>
      </c>
      <c r="Y241" s="68">
        <f>IF(V241=1,G241-S241,0)</f>
        <v/>
      </c>
      <c r="Z241" s="68">
        <f>IF(V241=1,G241,0)</f>
        <v/>
      </c>
      <c r="AA241" s="68">
        <f>IF(V241=1,S241,0)</f>
        <v/>
      </c>
    </row>
    <row r="242">
      <c r="B242" s="62" t="n"/>
      <c r="C242" s="63" t="n"/>
      <c r="D242" s="62" t="n"/>
      <c r="E242" s="62" t="n"/>
      <c r="F242" s="62" t="n"/>
      <c r="G242" s="64" t="n"/>
      <c r="H242" s="64" t="n"/>
      <c r="I242" s="63" t="n"/>
      <c r="J242" s="29">
        <f>IF(V242=1,IF(ISNUMBER(I242),I242,C242+IF(ISNUMBER(IFERROR(INDEX(vend_Terms,MATCH(D242,vend_Name,0)),"")),INDEX(vend_Terms,MATCH(D242,vend_Name,0)),TermsDays)),"")</f>
        <v/>
      </c>
      <c r="K242" s="65">
        <f>IF(V242=1,SUMIFS(tx_CrAmt,tx_Type,"Bill Payment",tx_Ref,B242&amp;"",tx_Vend,D242,tx_Date,"&lt;="&amp;AsOf),"")</f>
        <v/>
      </c>
      <c r="L242" s="65">
        <f>IF(V242=1,IF(C242&gt;AsOf,0,ROUND(G242-K242,2)),"")</f>
        <v/>
      </c>
      <c r="M242" s="66">
        <f>IF(V242&lt;&gt;1,"",IF(C242&gt;AsOf,"Future",IF(L242&lt;0,"Overpaid",IF(L242=0,"Paid",IF(AsOf&gt;J242,"Overdue",IF(K242&gt;0,"Partial","Unpaid"))))))</f>
        <v/>
      </c>
      <c r="N242" s="28">
        <f>IF(AND(V242=1,N(L242)&gt;0),AsOf-C242,"")</f>
        <v/>
      </c>
      <c r="O242" s="28">
        <f>IF(N242="","",MAX(0,AsOf-J242))</f>
        <v/>
      </c>
      <c r="P242" s="66">
        <f>IF(O242="","",IF(O242=0,"Current",IF(O242&lt;=30,"1-30",IF(O242&lt;=60,"31-60",IF(O242&lt;=90,"61-90","90+")))))</f>
        <v/>
      </c>
      <c r="Q242" s="66">
        <f>IF(T242&lt;&gt;"","⛔ "&amp;T242&amp;" — not posted",IF(U242&lt;&gt;"","⚠ "&amp;U242,IF(V242=1,"✓ OK","")))</f>
        <v/>
      </c>
      <c r="R242" s="67">
        <f>IF(AND(B242="",C242="",D242="",G242="",F242=""),1,0)</f>
        <v/>
      </c>
      <c r="S242" s="68">
        <f>IF(AND(TaxOn="Yes",ISNUMBER(H242)),H242,0)</f>
        <v/>
      </c>
      <c r="T242" s="67">
        <f>IF(R242=1,"",IF(B242="","Enter a bill #",IF(D242="","Select a vendor",IF(C242="","Missing bill date",IF(NOT(ISNUMBER(C242)),"Invalid date",IF(OR(C242&lt;DATE(2000,1,1),C242&gt;DATE(2099,12,31)),"Invalid date",IF(F242="","Select an expense account",IF(ISNA(MATCH(F242,coa_Name,0)),"Unknown account: "&amp;F242,IF(NOT(ISNUMBER(G242)),"Enter an amount",IF(G242&lt;=0,"Amount must be positive",IF(S242&gt;G242,"Tax is larger than the amount","")))))))))))</f>
        <v/>
      </c>
      <c r="U242" s="67">
        <f>IF(OR(R242=1,T242&lt;&gt;""),"",IF(COUNTIFS(ap_No,B242,ap_Party,D242)&gt;1,"Duplicate bill #",IF(N(L242)&lt;0,"Overpaid by "&amp;TEXT(-L242,"#,##0.00"),IF(AND(ISNUMBER(H242),N(H242)&lt;&gt;0,S242=0),"Tax ignored (tax tracking is off)",IF(AND(ISNUMBER(StartDate),C242&lt;StartDate),"Date is before the accounting start date",IF(OR(IFERROR(INDEX(coa_Type,MATCH(F242,coa_Name,0)),"")="Revenue",IFERROR(INDEX(coa_Type,MATCH(F242,coa_Name,0)),"")="Other Income",IFERROR(INDEX(coa_Type,MATCH(F242,coa_Name,0)),"")="Equity"),"Account is not an expense or asset account",""))))))</f>
        <v/>
      </c>
      <c r="V242" s="67">
        <f>IF(AND(R242=0,T242=""),1,0)</f>
        <v/>
      </c>
      <c r="W242" s="67">
        <f>IF(V242=1,F242,"")</f>
        <v/>
      </c>
      <c r="X242" s="67">
        <f>IF(V242=1,acctAP,"")</f>
        <v/>
      </c>
      <c r="Y242" s="68">
        <f>IF(V242=1,G242-S242,0)</f>
        <v/>
      </c>
      <c r="Z242" s="68">
        <f>IF(V242=1,G242,0)</f>
        <v/>
      </c>
      <c r="AA242" s="68">
        <f>IF(V242=1,S242,0)</f>
        <v/>
      </c>
    </row>
    <row r="243">
      <c r="B243" s="62" t="n"/>
      <c r="C243" s="63" t="n"/>
      <c r="D243" s="62" t="n"/>
      <c r="E243" s="62" t="n"/>
      <c r="F243" s="62" t="n"/>
      <c r="G243" s="64" t="n"/>
      <c r="H243" s="64" t="n"/>
      <c r="I243" s="63" t="n"/>
      <c r="J243" s="29">
        <f>IF(V243=1,IF(ISNUMBER(I243),I243,C243+IF(ISNUMBER(IFERROR(INDEX(vend_Terms,MATCH(D243,vend_Name,0)),"")),INDEX(vend_Terms,MATCH(D243,vend_Name,0)),TermsDays)),"")</f>
        <v/>
      </c>
      <c r="K243" s="65">
        <f>IF(V243=1,SUMIFS(tx_CrAmt,tx_Type,"Bill Payment",tx_Ref,B243&amp;"",tx_Vend,D243,tx_Date,"&lt;="&amp;AsOf),"")</f>
        <v/>
      </c>
      <c r="L243" s="65">
        <f>IF(V243=1,IF(C243&gt;AsOf,0,ROUND(G243-K243,2)),"")</f>
        <v/>
      </c>
      <c r="M243" s="66">
        <f>IF(V243&lt;&gt;1,"",IF(C243&gt;AsOf,"Future",IF(L243&lt;0,"Overpaid",IF(L243=0,"Paid",IF(AsOf&gt;J243,"Overdue",IF(K243&gt;0,"Partial","Unpaid"))))))</f>
        <v/>
      </c>
      <c r="N243" s="28">
        <f>IF(AND(V243=1,N(L243)&gt;0),AsOf-C243,"")</f>
        <v/>
      </c>
      <c r="O243" s="28">
        <f>IF(N243="","",MAX(0,AsOf-J243))</f>
        <v/>
      </c>
      <c r="P243" s="66">
        <f>IF(O243="","",IF(O243=0,"Current",IF(O243&lt;=30,"1-30",IF(O243&lt;=60,"31-60",IF(O243&lt;=90,"61-90","90+")))))</f>
        <v/>
      </c>
      <c r="Q243" s="66">
        <f>IF(T243&lt;&gt;"","⛔ "&amp;T243&amp;" — not posted",IF(U243&lt;&gt;"","⚠ "&amp;U243,IF(V243=1,"✓ OK","")))</f>
        <v/>
      </c>
      <c r="R243" s="67">
        <f>IF(AND(B243="",C243="",D243="",G243="",F243=""),1,0)</f>
        <v/>
      </c>
      <c r="S243" s="68">
        <f>IF(AND(TaxOn="Yes",ISNUMBER(H243)),H243,0)</f>
        <v/>
      </c>
      <c r="T243" s="67">
        <f>IF(R243=1,"",IF(B243="","Enter a bill #",IF(D243="","Select a vendor",IF(C243="","Missing bill date",IF(NOT(ISNUMBER(C243)),"Invalid date",IF(OR(C243&lt;DATE(2000,1,1),C243&gt;DATE(2099,12,31)),"Invalid date",IF(F243="","Select an expense account",IF(ISNA(MATCH(F243,coa_Name,0)),"Unknown account: "&amp;F243,IF(NOT(ISNUMBER(G243)),"Enter an amount",IF(G243&lt;=0,"Amount must be positive",IF(S243&gt;G243,"Tax is larger than the amount","")))))))))))</f>
        <v/>
      </c>
      <c r="U243" s="67">
        <f>IF(OR(R243=1,T243&lt;&gt;""),"",IF(COUNTIFS(ap_No,B243,ap_Party,D243)&gt;1,"Duplicate bill #",IF(N(L243)&lt;0,"Overpaid by "&amp;TEXT(-L243,"#,##0.00"),IF(AND(ISNUMBER(H243),N(H243)&lt;&gt;0,S243=0),"Tax ignored (tax tracking is off)",IF(AND(ISNUMBER(StartDate),C243&lt;StartDate),"Date is before the accounting start date",IF(OR(IFERROR(INDEX(coa_Type,MATCH(F243,coa_Name,0)),"")="Revenue",IFERROR(INDEX(coa_Type,MATCH(F243,coa_Name,0)),"")="Other Income",IFERROR(INDEX(coa_Type,MATCH(F243,coa_Name,0)),"")="Equity"),"Account is not an expense or asset account",""))))))</f>
        <v/>
      </c>
      <c r="V243" s="67">
        <f>IF(AND(R243=0,T243=""),1,0)</f>
        <v/>
      </c>
      <c r="W243" s="67">
        <f>IF(V243=1,F243,"")</f>
        <v/>
      </c>
      <c r="X243" s="67">
        <f>IF(V243=1,acctAP,"")</f>
        <v/>
      </c>
      <c r="Y243" s="68">
        <f>IF(V243=1,G243-S243,0)</f>
        <v/>
      </c>
      <c r="Z243" s="68">
        <f>IF(V243=1,G243,0)</f>
        <v/>
      </c>
      <c r="AA243" s="68">
        <f>IF(V243=1,S243,0)</f>
        <v/>
      </c>
    </row>
    <row r="244">
      <c r="B244" s="62" t="n"/>
      <c r="C244" s="63" t="n"/>
      <c r="D244" s="62" t="n"/>
      <c r="E244" s="62" t="n"/>
      <c r="F244" s="62" t="n"/>
      <c r="G244" s="64" t="n"/>
      <c r="H244" s="64" t="n"/>
      <c r="I244" s="63" t="n"/>
      <c r="J244" s="29">
        <f>IF(V244=1,IF(ISNUMBER(I244),I244,C244+IF(ISNUMBER(IFERROR(INDEX(vend_Terms,MATCH(D244,vend_Name,0)),"")),INDEX(vend_Terms,MATCH(D244,vend_Name,0)),TermsDays)),"")</f>
        <v/>
      </c>
      <c r="K244" s="65">
        <f>IF(V244=1,SUMIFS(tx_CrAmt,tx_Type,"Bill Payment",tx_Ref,B244&amp;"",tx_Vend,D244,tx_Date,"&lt;="&amp;AsOf),"")</f>
        <v/>
      </c>
      <c r="L244" s="65">
        <f>IF(V244=1,IF(C244&gt;AsOf,0,ROUND(G244-K244,2)),"")</f>
        <v/>
      </c>
      <c r="M244" s="66">
        <f>IF(V244&lt;&gt;1,"",IF(C244&gt;AsOf,"Future",IF(L244&lt;0,"Overpaid",IF(L244=0,"Paid",IF(AsOf&gt;J244,"Overdue",IF(K244&gt;0,"Partial","Unpaid"))))))</f>
        <v/>
      </c>
      <c r="N244" s="28">
        <f>IF(AND(V244=1,N(L244)&gt;0),AsOf-C244,"")</f>
        <v/>
      </c>
      <c r="O244" s="28">
        <f>IF(N244="","",MAX(0,AsOf-J244))</f>
        <v/>
      </c>
      <c r="P244" s="66">
        <f>IF(O244="","",IF(O244=0,"Current",IF(O244&lt;=30,"1-30",IF(O244&lt;=60,"31-60",IF(O244&lt;=90,"61-90","90+")))))</f>
        <v/>
      </c>
      <c r="Q244" s="66">
        <f>IF(T244&lt;&gt;"","⛔ "&amp;T244&amp;" — not posted",IF(U244&lt;&gt;"","⚠ "&amp;U244,IF(V244=1,"✓ OK","")))</f>
        <v/>
      </c>
      <c r="R244" s="67">
        <f>IF(AND(B244="",C244="",D244="",G244="",F244=""),1,0)</f>
        <v/>
      </c>
      <c r="S244" s="68">
        <f>IF(AND(TaxOn="Yes",ISNUMBER(H244)),H244,0)</f>
        <v/>
      </c>
      <c r="T244" s="67">
        <f>IF(R244=1,"",IF(B244="","Enter a bill #",IF(D244="","Select a vendor",IF(C244="","Missing bill date",IF(NOT(ISNUMBER(C244)),"Invalid date",IF(OR(C244&lt;DATE(2000,1,1),C244&gt;DATE(2099,12,31)),"Invalid date",IF(F244="","Select an expense account",IF(ISNA(MATCH(F244,coa_Name,0)),"Unknown account: "&amp;F244,IF(NOT(ISNUMBER(G244)),"Enter an amount",IF(G244&lt;=0,"Amount must be positive",IF(S244&gt;G244,"Tax is larger than the amount","")))))))))))</f>
        <v/>
      </c>
      <c r="U244" s="67">
        <f>IF(OR(R244=1,T244&lt;&gt;""),"",IF(COUNTIFS(ap_No,B244,ap_Party,D244)&gt;1,"Duplicate bill #",IF(N(L244)&lt;0,"Overpaid by "&amp;TEXT(-L244,"#,##0.00"),IF(AND(ISNUMBER(H244),N(H244)&lt;&gt;0,S244=0),"Tax ignored (tax tracking is off)",IF(AND(ISNUMBER(StartDate),C244&lt;StartDate),"Date is before the accounting start date",IF(OR(IFERROR(INDEX(coa_Type,MATCH(F244,coa_Name,0)),"")="Revenue",IFERROR(INDEX(coa_Type,MATCH(F244,coa_Name,0)),"")="Other Income",IFERROR(INDEX(coa_Type,MATCH(F244,coa_Name,0)),"")="Equity"),"Account is not an expense or asset account",""))))))</f>
        <v/>
      </c>
      <c r="V244" s="67">
        <f>IF(AND(R244=0,T244=""),1,0)</f>
        <v/>
      </c>
      <c r="W244" s="67">
        <f>IF(V244=1,F244,"")</f>
        <v/>
      </c>
      <c r="X244" s="67">
        <f>IF(V244=1,acctAP,"")</f>
        <v/>
      </c>
      <c r="Y244" s="68">
        <f>IF(V244=1,G244-S244,0)</f>
        <v/>
      </c>
      <c r="Z244" s="68">
        <f>IF(V244=1,G244,0)</f>
        <v/>
      </c>
      <c r="AA244" s="68">
        <f>IF(V244=1,S244,0)</f>
        <v/>
      </c>
    </row>
    <row r="245">
      <c r="B245" s="62" t="n"/>
      <c r="C245" s="63" t="n"/>
      <c r="D245" s="62" t="n"/>
      <c r="E245" s="62" t="n"/>
      <c r="F245" s="62" t="n"/>
      <c r="G245" s="64" t="n"/>
      <c r="H245" s="64" t="n"/>
      <c r="I245" s="63" t="n"/>
      <c r="J245" s="29">
        <f>IF(V245=1,IF(ISNUMBER(I245),I245,C245+IF(ISNUMBER(IFERROR(INDEX(vend_Terms,MATCH(D245,vend_Name,0)),"")),INDEX(vend_Terms,MATCH(D245,vend_Name,0)),TermsDays)),"")</f>
        <v/>
      </c>
      <c r="K245" s="65">
        <f>IF(V245=1,SUMIFS(tx_CrAmt,tx_Type,"Bill Payment",tx_Ref,B245&amp;"",tx_Vend,D245,tx_Date,"&lt;="&amp;AsOf),"")</f>
        <v/>
      </c>
      <c r="L245" s="65">
        <f>IF(V245=1,IF(C245&gt;AsOf,0,ROUND(G245-K245,2)),"")</f>
        <v/>
      </c>
      <c r="M245" s="66">
        <f>IF(V245&lt;&gt;1,"",IF(C245&gt;AsOf,"Future",IF(L245&lt;0,"Overpaid",IF(L245=0,"Paid",IF(AsOf&gt;J245,"Overdue",IF(K245&gt;0,"Partial","Unpaid"))))))</f>
        <v/>
      </c>
      <c r="N245" s="28">
        <f>IF(AND(V245=1,N(L245)&gt;0),AsOf-C245,"")</f>
        <v/>
      </c>
      <c r="O245" s="28">
        <f>IF(N245="","",MAX(0,AsOf-J245))</f>
        <v/>
      </c>
      <c r="P245" s="66">
        <f>IF(O245="","",IF(O245=0,"Current",IF(O245&lt;=30,"1-30",IF(O245&lt;=60,"31-60",IF(O245&lt;=90,"61-90","90+")))))</f>
        <v/>
      </c>
      <c r="Q245" s="66">
        <f>IF(T245&lt;&gt;"","⛔ "&amp;T245&amp;" — not posted",IF(U245&lt;&gt;"","⚠ "&amp;U245,IF(V245=1,"✓ OK","")))</f>
        <v/>
      </c>
      <c r="R245" s="67">
        <f>IF(AND(B245="",C245="",D245="",G245="",F245=""),1,0)</f>
        <v/>
      </c>
      <c r="S245" s="68">
        <f>IF(AND(TaxOn="Yes",ISNUMBER(H245)),H245,0)</f>
        <v/>
      </c>
      <c r="T245" s="67">
        <f>IF(R245=1,"",IF(B245="","Enter a bill #",IF(D245="","Select a vendor",IF(C245="","Missing bill date",IF(NOT(ISNUMBER(C245)),"Invalid date",IF(OR(C245&lt;DATE(2000,1,1),C245&gt;DATE(2099,12,31)),"Invalid date",IF(F245="","Select an expense account",IF(ISNA(MATCH(F245,coa_Name,0)),"Unknown account: "&amp;F245,IF(NOT(ISNUMBER(G245)),"Enter an amount",IF(G245&lt;=0,"Amount must be positive",IF(S245&gt;G245,"Tax is larger than the amount","")))))))))))</f>
        <v/>
      </c>
      <c r="U245" s="67">
        <f>IF(OR(R245=1,T245&lt;&gt;""),"",IF(COUNTIFS(ap_No,B245,ap_Party,D245)&gt;1,"Duplicate bill #",IF(N(L245)&lt;0,"Overpaid by "&amp;TEXT(-L245,"#,##0.00"),IF(AND(ISNUMBER(H245),N(H245)&lt;&gt;0,S245=0),"Tax ignored (tax tracking is off)",IF(AND(ISNUMBER(StartDate),C245&lt;StartDate),"Date is before the accounting start date",IF(OR(IFERROR(INDEX(coa_Type,MATCH(F245,coa_Name,0)),"")="Revenue",IFERROR(INDEX(coa_Type,MATCH(F245,coa_Name,0)),"")="Other Income",IFERROR(INDEX(coa_Type,MATCH(F245,coa_Name,0)),"")="Equity"),"Account is not an expense or asset account",""))))))</f>
        <v/>
      </c>
      <c r="V245" s="67">
        <f>IF(AND(R245=0,T245=""),1,0)</f>
        <v/>
      </c>
      <c r="W245" s="67">
        <f>IF(V245=1,F245,"")</f>
        <v/>
      </c>
      <c r="X245" s="67">
        <f>IF(V245=1,acctAP,"")</f>
        <v/>
      </c>
      <c r="Y245" s="68">
        <f>IF(V245=1,G245-S245,0)</f>
        <v/>
      </c>
      <c r="Z245" s="68">
        <f>IF(V245=1,G245,0)</f>
        <v/>
      </c>
      <c r="AA245" s="68">
        <f>IF(V245=1,S245,0)</f>
        <v/>
      </c>
    </row>
    <row r="246">
      <c r="B246" s="62" t="n"/>
      <c r="C246" s="63" t="n"/>
      <c r="D246" s="62" t="n"/>
      <c r="E246" s="62" t="n"/>
      <c r="F246" s="62" t="n"/>
      <c r="G246" s="64" t="n"/>
      <c r="H246" s="64" t="n"/>
      <c r="I246" s="63" t="n"/>
      <c r="J246" s="29">
        <f>IF(V246=1,IF(ISNUMBER(I246),I246,C246+IF(ISNUMBER(IFERROR(INDEX(vend_Terms,MATCH(D246,vend_Name,0)),"")),INDEX(vend_Terms,MATCH(D246,vend_Name,0)),TermsDays)),"")</f>
        <v/>
      </c>
      <c r="K246" s="65">
        <f>IF(V246=1,SUMIFS(tx_CrAmt,tx_Type,"Bill Payment",tx_Ref,B246&amp;"",tx_Vend,D246,tx_Date,"&lt;="&amp;AsOf),"")</f>
        <v/>
      </c>
      <c r="L246" s="65">
        <f>IF(V246=1,IF(C246&gt;AsOf,0,ROUND(G246-K246,2)),"")</f>
        <v/>
      </c>
      <c r="M246" s="66">
        <f>IF(V246&lt;&gt;1,"",IF(C246&gt;AsOf,"Future",IF(L246&lt;0,"Overpaid",IF(L246=0,"Paid",IF(AsOf&gt;J246,"Overdue",IF(K246&gt;0,"Partial","Unpaid"))))))</f>
        <v/>
      </c>
      <c r="N246" s="28">
        <f>IF(AND(V246=1,N(L246)&gt;0),AsOf-C246,"")</f>
        <v/>
      </c>
      <c r="O246" s="28">
        <f>IF(N246="","",MAX(0,AsOf-J246))</f>
        <v/>
      </c>
      <c r="P246" s="66">
        <f>IF(O246="","",IF(O246=0,"Current",IF(O246&lt;=30,"1-30",IF(O246&lt;=60,"31-60",IF(O246&lt;=90,"61-90","90+")))))</f>
        <v/>
      </c>
      <c r="Q246" s="66">
        <f>IF(T246&lt;&gt;"","⛔ "&amp;T246&amp;" — not posted",IF(U246&lt;&gt;"","⚠ "&amp;U246,IF(V246=1,"✓ OK","")))</f>
        <v/>
      </c>
      <c r="R246" s="67">
        <f>IF(AND(B246="",C246="",D246="",G246="",F246=""),1,0)</f>
        <v/>
      </c>
      <c r="S246" s="68">
        <f>IF(AND(TaxOn="Yes",ISNUMBER(H246)),H246,0)</f>
        <v/>
      </c>
      <c r="T246" s="67">
        <f>IF(R246=1,"",IF(B246="","Enter a bill #",IF(D246="","Select a vendor",IF(C246="","Missing bill date",IF(NOT(ISNUMBER(C246)),"Invalid date",IF(OR(C246&lt;DATE(2000,1,1),C246&gt;DATE(2099,12,31)),"Invalid date",IF(F246="","Select an expense account",IF(ISNA(MATCH(F246,coa_Name,0)),"Unknown account: "&amp;F246,IF(NOT(ISNUMBER(G246)),"Enter an amount",IF(G246&lt;=0,"Amount must be positive",IF(S246&gt;G246,"Tax is larger than the amount","")))))))))))</f>
        <v/>
      </c>
      <c r="U246" s="67">
        <f>IF(OR(R246=1,T246&lt;&gt;""),"",IF(COUNTIFS(ap_No,B246,ap_Party,D246)&gt;1,"Duplicate bill #",IF(N(L246)&lt;0,"Overpaid by "&amp;TEXT(-L246,"#,##0.00"),IF(AND(ISNUMBER(H246),N(H246)&lt;&gt;0,S246=0),"Tax ignored (tax tracking is off)",IF(AND(ISNUMBER(StartDate),C246&lt;StartDate),"Date is before the accounting start date",IF(OR(IFERROR(INDEX(coa_Type,MATCH(F246,coa_Name,0)),"")="Revenue",IFERROR(INDEX(coa_Type,MATCH(F246,coa_Name,0)),"")="Other Income",IFERROR(INDEX(coa_Type,MATCH(F246,coa_Name,0)),"")="Equity"),"Account is not an expense or asset account",""))))))</f>
        <v/>
      </c>
      <c r="V246" s="67">
        <f>IF(AND(R246=0,T246=""),1,0)</f>
        <v/>
      </c>
      <c r="W246" s="67">
        <f>IF(V246=1,F246,"")</f>
        <v/>
      </c>
      <c r="X246" s="67">
        <f>IF(V246=1,acctAP,"")</f>
        <v/>
      </c>
      <c r="Y246" s="68">
        <f>IF(V246=1,G246-S246,0)</f>
        <v/>
      </c>
      <c r="Z246" s="68">
        <f>IF(V246=1,G246,0)</f>
        <v/>
      </c>
      <c r="AA246" s="68">
        <f>IF(V246=1,S246,0)</f>
        <v/>
      </c>
    </row>
    <row r="247">
      <c r="B247" s="62" t="n"/>
      <c r="C247" s="63" t="n"/>
      <c r="D247" s="62" t="n"/>
      <c r="E247" s="62" t="n"/>
      <c r="F247" s="62" t="n"/>
      <c r="G247" s="64" t="n"/>
      <c r="H247" s="64" t="n"/>
      <c r="I247" s="63" t="n"/>
      <c r="J247" s="29">
        <f>IF(V247=1,IF(ISNUMBER(I247),I247,C247+IF(ISNUMBER(IFERROR(INDEX(vend_Terms,MATCH(D247,vend_Name,0)),"")),INDEX(vend_Terms,MATCH(D247,vend_Name,0)),TermsDays)),"")</f>
        <v/>
      </c>
      <c r="K247" s="65">
        <f>IF(V247=1,SUMIFS(tx_CrAmt,tx_Type,"Bill Payment",tx_Ref,B247&amp;"",tx_Vend,D247,tx_Date,"&lt;="&amp;AsOf),"")</f>
        <v/>
      </c>
      <c r="L247" s="65">
        <f>IF(V247=1,IF(C247&gt;AsOf,0,ROUND(G247-K247,2)),"")</f>
        <v/>
      </c>
      <c r="M247" s="66">
        <f>IF(V247&lt;&gt;1,"",IF(C247&gt;AsOf,"Future",IF(L247&lt;0,"Overpaid",IF(L247=0,"Paid",IF(AsOf&gt;J247,"Overdue",IF(K247&gt;0,"Partial","Unpaid"))))))</f>
        <v/>
      </c>
      <c r="N247" s="28">
        <f>IF(AND(V247=1,N(L247)&gt;0),AsOf-C247,"")</f>
        <v/>
      </c>
      <c r="O247" s="28">
        <f>IF(N247="","",MAX(0,AsOf-J247))</f>
        <v/>
      </c>
      <c r="P247" s="66">
        <f>IF(O247="","",IF(O247=0,"Current",IF(O247&lt;=30,"1-30",IF(O247&lt;=60,"31-60",IF(O247&lt;=90,"61-90","90+")))))</f>
        <v/>
      </c>
      <c r="Q247" s="66">
        <f>IF(T247&lt;&gt;"","⛔ "&amp;T247&amp;" — not posted",IF(U247&lt;&gt;"","⚠ "&amp;U247,IF(V247=1,"✓ OK","")))</f>
        <v/>
      </c>
      <c r="R247" s="67">
        <f>IF(AND(B247="",C247="",D247="",G247="",F247=""),1,0)</f>
        <v/>
      </c>
      <c r="S247" s="68">
        <f>IF(AND(TaxOn="Yes",ISNUMBER(H247)),H247,0)</f>
        <v/>
      </c>
      <c r="T247" s="67">
        <f>IF(R247=1,"",IF(B247="","Enter a bill #",IF(D247="","Select a vendor",IF(C247="","Missing bill date",IF(NOT(ISNUMBER(C247)),"Invalid date",IF(OR(C247&lt;DATE(2000,1,1),C247&gt;DATE(2099,12,31)),"Invalid date",IF(F247="","Select an expense account",IF(ISNA(MATCH(F247,coa_Name,0)),"Unknown account: "&amp;F247,IF(NOT(ISNUMBER(G247)),"Enter an amount",IF(G247&lt;=0,"Amount must be positive",IF(S247&gt;G247,"Tax is larger than the amount","")))))))))))</f>
        <v/>
      </c>
      <c r="U247" s="67">
        <f>IF(OR(R247=1,T247&lt;&gt;""),"",IF(COUNTIFS(ap_No,B247,ap_Party,D247)&gt;1,"Duplicate bill #",IF(N(L247)&lt;0,"Overpaid by "&amp;TEXT(-L247,"#,##0.00"),IF(AND(ISNUMBER(H247),N(H247)&lt;&gt;0,S247=0),"Tax ignored (tax tracking is off)",IF(AND(ISNUMBER(StartDate),C247&lt;StartDate),"Date is before the accounting start date",IF(OR(IFERROR(INDEX(coa_Type,MATCH(F247,coa_Name,0)),"")="Revenue",IFERROR(INDEX(coa_Type,MATCH(F247,coa_Name,0)),"")="Other Income",IFERROR(INDEX(coa_Type,MATCH(F247,coa_Name,0)),"")="Equity"),"Account is not an expense or asset account",""))))))</f>
        <v/>
      </c>
      <c r="V247" s="67">
        <f>IF(AND(R247=0,T247=""),1,0)</f>
        <v/>
      </c>
      <c r="W247" s="67">
        <f>IF(V247=1,F247,"")</f>
        <v/>
      </c>
      <c r="X247" s="67">
        <f>IF(V247=1,acctAP,"")</f>
        <v/>
      </c>
      <c r="Y247" s="68">
        <f>IF(V247=1,G247-S247,0)</f>
        <v/>
      </c>
      <c r="Z247" s="68">
        <f>IF(V247=1,G247,0)</f>
        <v/>
      </c>
      <c r="AA247" s="68">
        <f>IF(V247=1,S247,0)</f>
        <v/>
      </c>
    </row>
    <row r="248">
      <c r="B248" s="62" t="n"/>
      <c r="C248" s="63" t="n"/>
      <c r="D248" s="62" t="n"/>
      <c r="E248" s="62" t="n"/>
      <c r="F248" s="62" t="n"/>
      <c r="G248" s="64" t="n"/>
      <c r="H248" s="64" t="n"/>
      <c r="I248" s="63" t="n"/>
      <c r="J248" s="29">
        <f>IF(V248=1,IF(ISNUMBER(I248),I248,C248+IF(ISNUMBER(IFERROR(INDEX(vend_Terms,MATCH(D248,vend_Name,0)),"")),INDEX(vend_Terms,MATCH(D248,vend_Name,0)),TermsDays)),"")</f>
        <v/>
      </c>
      <c r="K248" s="65">
        <f>IF(V248=1,SUMIFS(tx_CrAmt,tx_Type,"Bill Payment",tx_Ref,B248&amp;"",tx_Vend,D248,tx_Date,"&lt;="&amp;AsOf),"")</f>
        <v/>
      </c>
      <c r="L248" s="65">
        <f>IF(V248=1,IF(C248&gt;AsOf,0,ROUND(G248-K248,2)),"")</f>
        <v/>
      </c>
      <c r="M248" s="66">
        <f>IF(V248&lt;&gt;1,"",IF(C248&gt;AsOf,"Future",IF(L248&lt;0,"Overpaid",IF(L248=0,"Paid",IF(AsOf&gt;J248,"Overdue",IF(K248&gt;0,"Partial","Unpaid"))))))</f>
        <v/>
      </c>
      <c r="N248" s="28">
        <f>IF(AND(V248=1,N(L248)&gt;0),AsOf-C248,"")</f>
        <v/>
      </c>
      <c r="O248" s="28">
        <f>IF(N248="","",MAX(0,AsOf-J248))</f>
        <v/>
      </c>
      <c r="P248" s="66">
        <f>IF(O248="","",IF(O248=0,"Current",IF(O248&lt;=30,"1-30",IF(O248&lt;=60,"31-60",IF(O248&lt;=90,"61-90","90+")))))</f>
        <v/>
      </c>
      <c r="Q248" s="66">
        <f>IF(T248&lt;&gt;"","⛔ "&amp;T248&amp;" — not posted",IF(U248&lt;&gt;"","⚠ "&amp;U248,IF(V248=1,"✓ OK","")))</f>
        <v/>
      </c>
      <c r="R248" s="67">
        <f>IF(AND(B248="",C248="",D248="",G248="",F248=""),1,0)</f>
        <v/>
      </c>
      <c r="S248" s="68">
        <f>IF(AND(TaxOn="Yes",ISNUMBER(H248)),H248,0)</f>
        <v/>
      </c>
      <c r="T248" s="67">
        <f>IF(R248=1,"",IF(B248="","Enter a bill #",IF(D248="","Select a vendor",IF(C248="","Missing bill date",IF(NOT(ISNUMBER(C248)),"Invalid date",IF(OR(C248&lt;DATE(2000,1,1),C248&gt;DATE(2099,12,31)),"Invalid date",IF(F248="","Select an expense account",IF(ISNA(MATCH(F248,coa_Name,0)),"Unknown account: "&amp;F248,IF(NOT(ISNUMBER(G248)),"Enter an amount",IF(G248&lt;=0,"Amount must be positive",IF(S248&gt;G248,"Tax is larger than the amount","")))))))))))</f>
        <v/>
      </c>
      <c r="U248" s="67">
        <f>IF(OR(R248=1,T248&lt;&gt;""),"",IF(COUNTIFS(ap_No,B248,ap_Party,D248)&gt;1,"Duplicate bill #",IF(N(L248)&lt;0,"Overpaid by "&amp;TEXT(-L248,"#,##0.00"),IF(AND(ISNUMBER(H248),N(H248)&lt;&gt;0,S248=0),"Tax ignored (tax tracking is off)",IF(AND(ISNUMBER(StartDate),C248&lt;StartDate),"Date is before the accounting start date",IF(OR(IFERROR(INDEX(coa_Type,MATCH(F248,coa_Name,0)),"")="Revenue",IFERROR(INDEX(coa_Type,MATCH(F248,coa_Name,0)),"")="Other Income",IFERROR(INDEX(coa_Type,MATCH(F248,coa_Name,0)),"")="Equity"),"Account is not an expense or asset account",""))))))</f>
        <v/>
      </c>
      <c r="V248" s="67">
        <f>IF(AND(R248=0,T248=""),1,0)</f>
        <v/>
      </c>
      <c r="W248" s="67">
        <f>IF(V248=1,F248,"")</f>
        <v/>
      </c>
      <c r="X248" s="67">
        <f>IF(V248=1,acctAP,"")</f>
        <v/>
      </c>
      <c r="Y248" s="68">
        <f>IF(V248=1,G248-S248,0)</f>
        <v/>
      </c>
      <c r="Z248" s="68">
        <f>IF(V248=1,G248,0)</f>
        <v/>
      </c>
      <c r="AA248" s="68">
        <f>IF(V248=1,S248,0)</f>
        <v/>
      </c>
    </row>
    <row r="249">
      <c r="B249" s="62" t="n"/>
      <c r="C249" s="63" t="n"/>
      <c r="D249" s="62" t="n"/>
      <c r="E249" s="62" t="n"/>
      <c r="F249" s="62" t="n"/>
      <c r="G249" s="64" t="n"/>
      <c r="H249" s="64" t="n"/>
      <c r="I249" s="63" t="n"/>
      <c r="J249" s="29">
        <f>IF(V249=1,IF(ISNUMBER(I249),I249,C249+IF(ISNUMBER(IFERROR(INDEX(vend_Terms,MATCH(D249,vend_Name,0)),"")),INDEX(vend_Terms,MATCH(D249,vend_Name,0)),TermsDays)),"")</f>
        <v/>
      </c>
      <c r="K249" s="65">
        <f>IF(V249=1,SUMIFS(tx_CrAmt,tx_Type,"Bill Payment",tx_Ref,B249&amp;"",tx_Vend,D249,tx_Date,"&lt;="&amp;AsOf),"")</f>
        <v/>
      </c>
      <c r="L249" s="65">
        <f>IF(V249=1,IF(C249&gt;AsOf,0,ROUND(G249-K249,2)),"")</f>
        <v/>
      </c>
      <c r="M249" s="66">
        <f>IF(V249&lt;&gt;1,"",IF(C249&gt;AsOf,"Future",IF(L249&lt;0,"Overpaid",IF(L249=0,"Paid",IF(AsOf&gt;J249,"Overdue",IF(K249&gt;0,"Partial","Unpaid"))))))</f>
        <v/>
      </c>
      <c r="N249" s="28">
        <f>IF(AND(V249=1,N(L249)&gt;0),AsOf-C249,"")</f>
        <v/>
      </c>
      <c r="O249" s="28">
        <f>IF(N249="","",MAX(0,AsOf-J249))</f>
        <v/>
      </c>
      <c r="P249" s="66">
        <f>IF(O249="","",IF(O249=0,"Current",IF(O249&lt;=30,"1-30",IF(O249&lt;=60,"31-60",IF(O249&lt;=90,"61-90","90+")))))</f>
        <v/>
      </c>
      <c r="Q249" s="66">
        <f>IF(T249&lt;&gt;"","⛔ "&amp;T249&amp;" — not posted",IF(U249&lt;&gt;"","⚠ "&amp;U249,IF(V249=1,"✓ OK","")))</f>
        <v/>
      </c>
      <c r="R249" s="67">
        <f>IF(AND(B249="",C249="",D249="",G249="",F249=""),1,0)</f>
        <v/>
      </c>
      <c r="S249" s="68">
        <f>IF(AND(TaxOn="Yes",ISNUMBER(H249)),H249,0)</f>
        <v/>
      </c>
      <c r="T249" s="67">
        <f>IF(R249=1,"",IF(B249="","Enter a bill #",IF(D249="","Select a vendor",IF(C249="","Missing bill date",IF(NOT(ISNUMBER(C249)),"Invalid date",IF(OR(C249&lt;DATE(2000,1,1),C249&gt;DATE(2099,12,31)),"Invalid date",IF(F249="","Select an expense account",IF(ISNA(MATCH(F249,coa_Name,0)),"Unknown account: "&amp;F249,IF(NOT(ISNUMBER(G249)),"Enter an amount",IF(G249&lt;=0,"Amount must be positive",IF(S249&gt;G249,"Tax is larger than the amount","")))))))))))</f>
        <v/>
      </c>
      <c r="U249" s="67">
        <f>IF(OR(R249=1,T249&lt;&gt;""),"",IF(COUNTIFS(ap_No,B249,ap_Party,D249)&gt;1,"Duplicate bill #",IF(N(L249)&lt;0,"Overpaid by "&amp;TEXT(-L249,"#,##0.00"),IF(AND(ISNUMBER(H249),N(H249)&lt;&gt;0,S249=0),"Tax ignored (tax tracking is off)",IF(AND(ISNUMBER(StartDate),C249&lt;StartDate),"Date is before the accounting start date",IF(OR(IFERROR(INDEX(coa_Type,MATCH(F249,coa_Name,0)),"")="Revenue",IFERROR(INDEX(coa_Type,MATCH(F249,coa_Name,0)),"")="Other Income",IFERROR(INDEX(coa_Type,MATCH(F249,coa_Name,0)),"")="Equity"),"Account is not an expense or asset account",""))))))</f>
        <v/>
      </c>
      <c r="V249" s="67">
        <f>IF(AND(R249=0,T249=""),1,0)</f>
        <v/>
      </c>
      <c r="W249" s="67">
        <f>IF(V249=1,F249,"")</f>
        <v/>
      </c>
      <c r="X249" s="67">
        <f>IF(V249=1,acctAP,"")</f>
        <v/>
      </c>
      <c r="Y249" s="68">
        <f>IF(V249=1,G249-S249,0)</f>
        <v/>
      </c>
      <c r="Z249" s="68">
        <f>IF(V249=1,G249,0)</f>
        <v/>
      </c>
      <c r="AA249" s="68">
        <f>IF(V249=1,S249,0)</f>
        <v/>
      </c>
    </row>
    <row r="250">
      <c r="B250" s="62" t="n"/>
      <c r="C250" s="63" t="n"/>
      <c r="D250" s="62" t="n"/>
      <c r="E250" s="62" t="n"/>
      <c r="F250" s="62" t="n"/>
      <c r="G250" s="64" t="n"/>
      <c r="H250" s="64" t="n"/>
      <c r="I250" s="63" t="n"/>
      <c r="J250" s="29">
        <f>IF(V250=1,IF(ISNUMBER(I250),I250,C250+IF(ISNUMBER(IFERROR(INDEX(vend_Terms,MATCH(D250,vend_Name,0)),"")),INDEX(vend_Terms,MATCH(D250,vend_Name,0)),TermsDays)),"")</f>
        <v/>
      </c>
      <c r="K250" s="65">
        <f>IF(V250=1,SUMIFS(tx_CrAmt,tx_Type,"Bill Payment",tx_Ref,B250&amp;"",tx_Vend,D250,tx_Date,"&lt;="&amp;AsOf),"")</f>
        <v/>
      </c>
      <c r="L250" s="65">
        <f>IF(V250=1,IF(C250&gt;AsOf,0,ROUND(G250-K250,2)),"")</f>
        <v/>
      </c>
      <c r="M250" s="66">
        <f>IF(V250&lt;&gt;1,"",IF(C250&gt;AsOf,"Future",IF(L250&lt;0,"Overpaid",IF(L250=0,"Paid",IF(AsOf&gt;J250,"Overdue",IF(K250&gt;0,"Partial","Unpaid"))))))</f>
        <v/>
      </c>
      <c r="N250" s="28">
        <f>IF(AND(V250=1,N(L250)&gt;0),AsOf-C250,"")</f>
        <v/>
      </c>
      <c r="O250" s="28">
        <f>IF(N250="","",MAX(0,AsOf-J250))</f>
        <v/>
      </c>
      <c r="P250" s="66">
        <f>IF(O250="","",IF(O250=0,"Current",IF(O250&lt;=30,"1-30",IF(O250&lt;=60,"31-60",IF(O250&lt;=90,"61-90","90+")))))</f>
        <v/>
      </c>
      <c r="Q250" s="66">
        <f>IF(T250&lt;&gt;"","⛔ "&amp;T250&amp;" — not posted",IF(U250&lt;&gt;"","⚠ "&amp;U250,IF(V250=1,"✓ OK","")))</f>
        <v/>
      </c>
      <c r="R250" s="67">
        <f>IF(AND(B250="",C250="",D250="",G250="",F250=""),1,0)</f>
        <v/>
      </c>
      <c r="S250" s="68">
        <f>IF(AND(TaxOn="Yes",ISNUMBER(H250)),H250,0)</f>
        <v/>
      </c>
      <c r="T250" s="67">
        <f>IF(R250=1,"",IF(B250="","Enter a bill #",IF(D250="","Select a vendor",IF(C250="","Missing bill date",IF(NOT(ISNUMBER(C250)),"Invalid date",IF(OR(C250&lt;DATE(2000,1,1),C250&gt;DATE(2099,12,31)),"Invalid date",IF(F250="","Select an expense account",IF(ISNA(MATCH(F250,coa_Name,0)),"Unknown account: "&amp;F250,IF(NOT(ISNUMBER(G250)),"Enter an amount",IF(G250&lt;=0,"Amount must be positive",IF(S250&gt;G250,"Tax is larger than the amount","")))))))))))</f>
        <v/>
      </c>
      <c r="U250" s="67">
        <f>IF(OR(R250=1,T250&lt;&gt;""),"",IF(COUNTIFS(ap_No,B250,ap_Party,D250)&gt;1,"Duplicate bill #",IF(N(L250)&lt;0,"Overpaid by "&amp;TEXT(-L250,"#,##0.00"),IF(AND(ISNUMBER(H250),N(H250)&lt;&gt;0,S250=0),"Tax ignored (tax tracking is off)",IF(AND(ISNUMBER(StartDate),C250&lt;StartDate),"Date is before the accounting start date",IF(OR(IFERROR(INDEX(coa_Type,MATCH(F250,coa_Name,0)),"")="Revenue",IFERROR(INDEX(coa_Type,MATCH(F250,coa_Name,0)),"")="Other Income",IFERROR(INDEX(coa_Type,MATCH(F250,coa_Name,0)),"")="Equity"),"Account is not an expense or asset account",""))))))</f>
        <v/>
      </c>
      <c r="V250" s="67">
        <f>IF(AND(R250=0,T250=""),1,0)</f>
        <v/>
      </c>
      <c r="W250" s="67">
        <f>IF(V250=1,F250,"")</f>
        <v/>
      </c>
      <c r="X250" s="67">
        <f>IF(V250=1,acctAP,"")</f>
        <v/>
      </c>
      <c r="Y250" s="68">
        <f>IF(V250=1,G250-S250,0)</f>
        <v/>
      </c>
      <c r="Z250" s="68">
        <f>IF(V250=1,G250,0)</f>
        <v/>
      </c>
      <c r="AA250" s="68">
        <f>IF(V250=1,S250,0)</f>
        <v/>
      </c>
    </row>
    <row r="251">
      <c r="B251" s="62" t="n"/>
      <c r="C251" s="63" t="n"/>
      <c r="D251" s="62" t="n"/>
      <c r="E251" s="62" t="n"/>
      <c r="F251" s="62" t="n"/>
      <c r="G251" s="64" t="n"/>
      <c r="H251" s="64" t="n"/>
      <c r="I251" s="63" t="n"/>
      <c r="J251" s="29">
        <f>IF(V251=1,IF(ISNUMBER(I251),I251,C251+IF(ISNUMBER(IFERROR(INDEX(vend_Terms,MATCH(D251,vend_Name,0)),"")),INDEX(vend_Terms,MATCH(D251,vend_Name,0)),TermsDays)),"")</f>
        <v/>
      </c>
      <c r="K251" s="65">
        <f>IF(V251=1,SUMIFS(tx_CrAmt,tx_Type,"Bill Payment",tx_Ref,B251&amp;"",tx_Vend,D251,tx_Date,"&lt;="&amp;AsOf),"")</f>
        <v/>
      </c>
      <c r="L251" s="65">
        <f>IF(V251=1,IF(C251&gt;AsOf,0,ROUND(G251-K251,2)),"")</f>
        <v/>
      </c>
      <c r="M251" s="66">
        <f>IF(V251&lt;&gt;1,"",IF(C251&gt;AsOf,"Future",IF(L251&lt;0,"Overpaid",IF(L251=0,"Paid",IF(AsOf&gt;J251,"Overdue",IF(K251&gt;0,"Partial","Unpaid"))))))</f>
        <v/>
      </c>
      <c r="N251" s="28">
        <f>IF(AND(V251=1,N(L251)&gt;0),AsOf-C251,"")</f>
        <v/>
      </c>
      <c r="O251" s="28">
        <f>IF(N251="","",MAX(0,AsOf-J251))</f>
        <v/>
      </c>
      <c r="P251" s="66">
        <f>IF(O251="","",IF(O251=0,"Current",IF(O251&lt;=30,"1-30",IF(O251&lt;=60,"31-60",IF(O251&lt;=90,"61-90","90+")))))</f>
        <v/>
      </c>
      <c r="Q251" s="66">
        <f>IF(T251&lt;&gt;"","⛔ "&amp;T251&amp;" — not posted",IF(U251&lt;&gt;"","⚠ "&amp;U251,IF(V251=1,"✓ OK","")))</f>
        <v/>
      </c>
      <c r="R251" s="67">
        <f>IF(AND(B251="",C251="",D251="",G251="",F251=""),1,0)</f>
        <v/>
      </c>
      <c r="S251" s="68">
        <f>IF(AND(TaxOn="Yes",ISNUMBER(H251)),H251,0)</f>
        <v/>
      </c>
      <c r="T251" s="67">
        <f>IF(R251=1,"",IF(B251="","Enter a bill #",IF(D251="","Select a vendor",IF(C251="","Missing bill date",IF(NOT(ISNUMBER(C251)),"Invalid date",IF(OR(C251&lt;DATE(2000,1,1),C251&gt;DATE(2099,12,31)),"Invalid date",IF(F251="","Select an expense account",IF(ISNA(MATCH(F251,coa_Name,0)),"Unknown account: "&amp;F251,IF(NOT(ISNUMBER(G251)),"Enter an amount",IF(G251&lt;=0,"Amount must be positive",IF(S251&gt;G251,"Tax is larger than the amount","")))))))))))</f>
        <v/>
      </c>
      <c r="U251" s="67">
        <f>IF(OR(R251=1,T251&lt;&gt;""),"",IF(COUNTIFS(ap_No,B251,ap_Party,D251)&gt;1,"Duplicate bill #",IF(N(L251)&lt;0,"Overpaid by "&amp;TEXT(-L251,"#,##0.00"),IF(AND(ISNUMBER(H251),N(H251)&lt;&gt;0,S251=0),"Tax ignored (tax tracking is off)",IF(AND(ISNUMBER(StartDate),C251&lt;StartDate),"Date is before the accounting start date",IF(OR(IFERROR(INDEX(coa_Type,MATCH(F251,coa_Name,0)),"")="Revenue",IFERROR(INDEX(coa_Type,MATCH(F251,coa_Name,0)),"")="Other Income",IFERROR(INDEX(coa_Type,MATCH(F251,coa_Name,0)),"")="Equity"),"Account is not an expense or asset account",""))))))</f>
        <v/>
      </c>
      <c r="V251" s="67">
        <f>IF(AND(R251=0,T251=""),1,0)</f>
        <v/>
      </c>
      <c r="W251" s="67">
        <f>IF(V251=1,F251,"")</f>
        <v/>
      </c>
      <c r="X251" s="67">
        <f>IF(V251=1,acctAP,"")</f>
        <v/>
      </c>
      <c r="Y251" s="68">
        <f>IF(V251=1,G251-S251,0)</f>
        <v/>
      </c>
      <c r="Z251" s="68">
        <f>IF(V251=1,G251,0)</f>
        <v/>
      </c>
      <c r="AA251" s="68">
        <f>IF(V251=1,S251,0)</f>
        <v/>
      </c>
    </row>
    <row r="252">
      <c r="B252" s="62" t="n"/>
      <c r="C252" s="63" t="n"/>
      <c r="D252" s="62" t="n"/>
      <c r="E252" s="62" t="n"/>
      <c r="F252" s="62" t="n"/>
      <c r="G252" s="64" t="n"/>
      <c r="H252" s="64" t="n"/>
      <c r="I252" s="63" t="n"/>
      <c r="J252" s="29">
        <f>IF(V252=1,IF(ISNUMBER(I252),I252,C252+IF(ISNUMBER(IFERROR(INDEX(vend_Terms,MATCH(D252,vend_Name,0)),"")),INDEX(vend_Terms,MATCH(D252,vend_Name,0)),TermsDays)),"")</f>
        <v/>
      </c>
      <c r="K252" s="65">
        <f>IF(V252=1,SUMIFS(tx_CrAmt,tx_Type,"Bill Payment",tx_Ref,B252&amp;"",tx_Vend,D252,tx_Date,"&lt;="&amp;AsOf),"")</f>
        <v/>
      </c>
      <c r="L252" s="65">
        <f>IF(V252=1,IF(C252&gt;AsOf,0,ROUND(G252-K252,2)),"")</f>
        <v/>
      </c>
      <c r="M252" s="66">
        <f>IF(V252&lt;&gt;1,"",IF(C252&gt;AsOf,"Future",IF(L252&lt;0,"Overpaid",IF(L252=0,"Paid",IF(AsOf&gt;J252,"Overdue",IF(K252&gt;0,"Partial","Unpaid"))))))</f>
        <v/>
      </c>
      <c r="N252" s="28">
        <f>IF(AND(V252=1,N(L252)&gt;0),AsOf-C252,"")</f>
        <v/>
      </c>
      <c r="O252" s="28">
        <f>IF(N252="","",MAX(0,AsOf-J252))</f>
        <v/>
      </c>
      <c r="P252" s="66">
        <f>IF(O252="","",IF(O252=0,"Current",IF(O252&lt;=30,"1-30",IF(O252&lt;=60,"31-60",IF(O252&lt;=90,"61-90","90+")))))</f>
        <v/>
      </c>
      <c r="Q252" s="66">
        <f>IF(T252&lt;&gt;"","⛔ "&amp;T252&amp;" — not posted",IF(U252&lt;&gt;"","⚠ "&amp;U252,IF(V252=1,"✓ OK","")))</f>
        <v/>
      </c>
      <c r="R252" s="67">
        <f>IF(AND(B252="",C252="",D252="",G252="",F252=""),1,0)</f>
        <v/>
      </c>
      <c r="S252" s="68">
        <f>IF(AND(TaxOn="Yes",ISNUMBER(H252)),H252,0)</f>
        <v/>
      </c>
      <c r="T252" s="67">
        <f>IF(R252=1,"",IF(B252="","Enter a bill #",IF(D252="","Select a vendor",IF(C252="","Missing bill date",IF(NOT(ISNUMBER(C252)),"Invalid date",IF(OR(C252&lt;DATE(2000,1,1),C252&gt;DATE(2099,12,31)),"Invalid date",IF(F252="","Select an expense account",IF(ISNA(MATCH(F252,coa_Name,0)),"Unknown account: "&amp;F252,IF(NOT(ISNUMBER(G252)),"Enter an amount",IF(G252&lt;=0,"Amount must be positive",IF(S252&gt;G252,"Tax is larger than the amount","")))))))))))</f>
        <v/>
      </c>
      <c r="U252" s="67">
        <f>IF(OR(R252=1,T252&lt;&gt;""),"",IF(COUNTIFS(ap_No,B252,ap_Party,D252)&gt;1,"Duplicate bill #",IF(N(L252)&lt;0,"Overpaid by "&amp;TEXT(-L252,"#,##0.00"),IF(AND(ISNUMBER(H252),N(H252)&lt;&gt;0,S252=0),"Tax ignored (tax tracking is off)",IF(AND(ISNUMBER(StartDate),C252&lt;StartDate),"Date is before the accounting start date",IF(OR(IFERROR(INDEX(coa_Type,MATCH(F252,coa_Name,0)),"")="Revenue",IFERROR(INDEX(coa_Type,MATCH(F252,coa_Name,0)),"")="Other Income",IFERROR(INDEX(coa_Type,MATCH(F252,coa_Name,0)),"")="Equity"),"Account is not an expense or asset account",""))))))</f>
        <v/>
      </c>
      <c r="V252" s="67">
        <f>IF(AND(R252=0,T252=""),1,0)</f>
        <v/>
      </c>
      <c r="W252" s="67">
        <f>IF(V252=1,F252,"")</f>
        <v/>
      </c>
      <c r="X252" s="67">
        <f>IF(V252=1,acctAP,"")</f>
        <v/>
      </c>
      <c r="Y252" s="68">
        <f>IF(V252=1,G252-S252,0)</f>
        <v/>
      </c>
      <c r="Z252" s="68">
        <f>IF(V252=1,G252,0)</f>
        <v/>
      </c>
      <c r="AA252" s="68">
        <f>IF(V252=1,S252,0)</f>
        <v/>
      </c>
    </row>
    <row r="253">
      <c r="B253" s="62" t="n"/>
      <c r="C253" s="63" t="n"/>
      <c r="D253" s="62" t="n"/>
      <c r="E253" s="62" t="n"/>
      <c r="F253" s="62" t="n"/>
      <c r="G253" s="64" t="n"/>
      <c r="H253" s="64" t="n"/>
      <c r="I253" s="63" t="n"/>
      <c r="J253" s="29">
        <f>IF(V253=1,IF(ISNUMBER(I253),I253,C253+IF(ISNUMBER(IFERROR(INDEX(vend_Terms,MATCH(D253,vend_Name,0)),"")),INDEX(vend_Terms,MATCH(D253,vend_Name,0)),TermsDays)),"")</f>
        <v/>
      </c>
      <c r="K253" s="65">
        <f>IF(V253=1,SUMIFS(tx_CrAmt,tx_Type,"Bill Payment",tx_Ref,B253&amp;"",tx_Vend,D253,tx_Date,"&lt;="&amp;AsOf),"")</f>
        <v/>
      </c>
      <c r="L253" s="65">
        <f>IF(V253=1,IF(C253&gt;AsOf,0,ROUND(G253-K253,2)),"")</f>
        <v/>
      </c>
      <c r="M253" s="66">
        <f>IF(V253&lt;&gt;1,"",IF(C253&gt;AsOf,"Future",IF(L253&lt;0,"Overpaid",IF(L253=0,"Paid",IF(AsOf&gt;J253,"Overdue",IF(K253&gt;0,"Partial","Unpaid"))))))</f>
        <v/>
      </c>
      <c r="N253" s="28">
        <f>IF(AND(V253=1,N(L253)&gt;0),AsOf-C253,"")</f>
        <v/>
      </c>
      <c r="O253" s="28">
        <f>IF(N253="","",MAX(0,AsOf-J253))</f>
        <v/>
      </c>
      <c r="P253" s="66">
        <f>IF(O253="","",IF(O253=0,"Current",IF(O253&lt;=30,"1-30",IF(O253&lt;=60,"31-60",IF(O253&lt;=90,"61-90","90+")))))</f>
        <v/>
      </c>
      <c r="Q253" s="66">
        <f>IF(T253&lt;&gt;"","⛔ "&amp;T253&amp;" — not posted",IF(U253&lt;&gt;"","⚠ "&amp;U253,IF(V253=1,"✓ OK","")))</f>
        <v/>
      </c>
      <c r="R253" s="67">
        <f>IF(AND(B253="",C253="",D253="",G253="",F253=""),1,0)</f>
        <v/>
      </c>
      <c r="S253" s="68">
        <f>IF(AND(TaxOn="Yes",ISNUMBER(H253)),H253,0)</f>
        <v/>
      </c>
      <c r="T253" s="67">
        <f>IF(R253=1,"",IF(B253="","Enter a bill #",IF(D253="","Select a vendor",IF(C253="","Missing bill date",IF(NOT(ISNUMBER(C253)),"Invalid date",IF(OR(C253&lt;DATE(2000,1,1),C253&gt;DATE(2099,12,31)),"Invalid date",IF(F253="","Select an expense account",IF(ISNA(MATCH(F253,coa_Name,0)),"Unknown account: "&amp;F253,IF(NOT(ISNUMBER(G253)),"Enter an amount",IF(G253&lt;=0,"Amount must be positive",IF(S253&gt;G253,"Tax is larger than the amount","")))))))))))</f>
        <v/>
      </c>
      <c r="U253" s="67">
        <f>IF(OR(R253=1,T253&lt;&gt;""),"",IF(COUNTIFS(ap_No,B253,ap_Party,D253)&gt;1,"Duplicate bill #",IF(N(L253)&lt;0,"Overpaid by "&amp;TEXT(-L253,"#,##0.00"),IF(AND(ISNUMBER(H253),N(H253)&lt;&gt;0,S253=0),"Tax ignored (tax tracking is off)",IF(AND(ISNUMBER(StartDate),C253&lt;StartDate),"Date is before the accounting start date",IF(OR(IFERROR(INDEX(coa_Type,MATCH(F253,coa_Name,0)),"")="Revenue",IFERROR(INDEX(coa_Type,MATCH(F253,coa_Name,0)),"")="Other Income",IFERROR(INDEX(coa_Type,MATCH(F253,coa_Name,0)),"")="Equity"),"Account is not an expense or asset account",""))))))</f>
        <v/>
      </c>
      <c r="V253" s="67">
        <f>IF(AND(R253=0,T253=""),1,0)</f>
        <v/>
      </c>
      <c r="W253" s="67">
        <f>IF(V253=1,F253,"")</f>
        <v/>
      </c>
      <c r="X253" s="67">
        <f>IF(V253=1,acctAP,"")</f>
        <v/>
      </c>
      <c r="Y253" s="68">
        <f>IF(V253=1,G253-S253,0)</f>
        <v/>
      </c>
      <c r="Z253" s="68">
        <f>IF(V253=1,G253,0)</f>
        <v/>
      </c>
      <c r="AA253" s="68">
        <f>IF(V253=1,S253,0)</f>
        <v/>
      </c>
    </row>
    <row r="254">
      <c r="B254" s="62" t="n"/>
      <c r="C254" s="63" t="n"/>
      <c r="D254" s="62" t="n"/>
      <c r="E254" s="62" t="n"/>
      <c r="F254" s="62" t="n"/>
      <c r="G254" s="64" t="n"/>
      <c r="H254" s="64" t="n"/>
      <c r="I254" s="63" t="n"/>
      <c r="J254" s="29">
        <f>IF(V254=1,IF(ISNUMBER(I254),I254,C254+IF(ISNUMBER(IFERROR(INDEX(vend_Terms,MATCH(D254,vend_Name,0)),"")),INDEX(vend_Terms,MATCH(D254,vend_Name,0)),TermsDays)),"")</f>
        <v/>
      </c>
      <c r="K254" s="65">
        <f>IF(V254=1,SUMIFS(tx_CrAmt,tx_Type,"Bill Payment",tx_Ref,B254&amp;"",tx_Vend,D254,tx_Date,"&lt;="&amp;AsOf),"")</f>
        <v/>
      </c>
      <c r="L254" s="65">
        <f>IF(V254=1,IF(C254&gt;AsOf,0,ROUND(G254-K254,2)),"")</f>
        <v/>
      </c>
      <c r="M254" s="66">
        <f>IF(V254&lt;&gt;1,"",IF(C254&gt;AsOf,"Future",IF(L254&lt;0,"Overpaid",IF(L254=0,"Paid",IF(AsOf&gt;J254,"Overdue",IF(K254&gt;0,"Partial","Unpaid"))))))</f>
        <v/>
      </c>
      <c r="N254" s="28">
        <f>IF(AND(V254=1,N(L254)&gt;0),AsOf-C254,"")</f>
        <v/>
      </c>
      <c r="O254" s="28">
        <f>IF(N254="","",MAX(0,AsOf-J254))</f>
        <v/>
      </c>
      <c r="P254" s="66">
        <f>IF(O254="","",IF(O254=0,"Current",IF(O254&lt;=30,"1-30",IF(O254&lt;=60,"31-60",IF(O254&lt;=90,"61-90","90+")))))</f>
        <v/>
      </c>
      <c r="Q254" s="66">
        <f>IF(T254&lt;&gt;"","⛔ "&amp;T254&amp;" — not posted",IF(U254&lt;&gt;"","⚠ "&amp;U254,IF(V254=1,"✓ OK","")))</f>
        <v/>
      </c>
      <c r="R254" s="67">
        <f>IF(AND(B254="",C254="",D254="",G254="",F254=""),1,0)</f>
        <v/>
      </c>
      <c r="S254" s="68">
        <f>IF(AND(TaxOn="Yes",ISNUMBER(H254)),H254,0)</f>
        <v/>
      </c>
      <c r="T254" s="67">
        <f>IF(R254=1,"",IF(B254="","Enter a bill #",IF(D254="","Select a vendor",IF(C254="","Missing bill date",IF(NOT(ISNUMBER(C254)),"Invalid date",IF(OR(C254&lt;DATE(2000,1,1),C254&gt;DATE(2099,12,31)),"Invalid date",IF(F254="","Select an expense account",IF(ISNA(MATCH(F254,coa_Name,0)),"Unknown account: "&amp;F254,IF(NOT(ISNUMBER(G254)),"Enter an amount",IF(G254&lt;=0,"Amount must be positive",IF(S254&gt;G254,"Tax is larger than the amount","")))))))))))</f>
        <v/>
      </c>
      <c r="U254" s="67">
        <f>IF(OR(R254=1,T254&lt;&gt;""),"",IF(COUNTIFS(ap_No,B254,ap_Party,D254)&gt;1,"Duplicate bill #",IF(N(L254)&lt;0,"Overpaid by "&amp;TEXT(-L254,"#,##0.00"),IF(AND(ISNUMBER(H254),N(H254)&lt;&gt;0,S254=0),"Tax ignored (tax tracking is off)",IF(AND(ISNUMBER(StartDate),C254&lt;StartDate),"Date is before the accounting start date",IF(OR(IFERROR(INDEX(coa_Type,MATCH(F254,coa_Name,0)),"")="Revenue",IFERROR(INDEX(coa_Type,MATCH(F254,coa_Name,0)),"")="Other Income",IFERROR(INDEX(coa_Type,MATCH(F254,coa_Name,0)),"")="Equity"),"Account is not an expense or asset account",""))))))</f>
        <v/>
      </c>
      <c r="V254" s="67">
        <f>IF(AND(R254=0,T254=""),1,0)</f>
        <v/>
      </c>
      <c r="W254" s="67">
        <f>IF(V254=1,F254,"")</f>
        <v/>
      </c>
      <c r="X254" s="67">
        <f>IF(V254=1,acctAP,"")</f>
        <v/>
      </c>
      <c r="Y254" s="68">
        <f>IF(V254=1,G254-S254,0)</f>
        <v/>
      </c>
      <c r="Z254" s="68">
        <f>IF(V254=1,G254,0)</f>
        <v/>
      </c>
      <c r="AA254" s="68">
        <f>IF(V254=1,S254,0)</f>
        <v/>
      </c>
    </row>
    <row r="255">
      <c r="B255" s="62" t="n"/>
      <c r="C255" s="63" t="n"/>
      <c r="D255" s="62" t="n"/>
      <c r="E255" s="62" t="n"/>
      <c r="F255" s="62" t="n"/>
      <c r="G255" s="64" t="n"/>
      <c r="H255" s="64" t="n"/>
      <c r="I255" s="63" t="n"/>
      <c r="J255" s="29">
        <f>IF(V255=1,IF(ISNUMBER(I255),I255,C255+IF(ISNUMBER(IFERROR(INDEX(vend_Terms,MATCH(D255,vend_Name,0)),"")),INDEX(vend_Terms,MATCH(D255,vend_Name,0)),TermsDays)),"")</f>
        <v/>
      </c>
      <c r="K255" s="65">
        <f>IF(V255=1,SUMIFS(tx_CrAmt,tx_Type,"Bill Payment",tx_Ref,B255&amp;"",tx_Vend,D255,tx_Date,"&lt;="&amp;AsOf),"")</f>
        <v/>
      </c>
      <c r="L255" s="65">
        <f>IF(V255=1,IF(C255&gt;AsOf,0,ROUND(G255-K255,2)),"")</f>
        <v/>
      </c>
      <c r="M255" s="66">
        <f>IF(V255&lt;&gt;1,"",IF(C255&gt;AsOf,"Future",IF(L255&lt;0,"Overpaid",IF(L255=0,"Paid",IF(AsOf&gt;J255,"Overdue",IF(K255&gt;0,"Partial","Unpaid"))))))</f>
        <v/>
      </c>
      <c r="N255" s="28">
        <f>IF(AND(V255=1,N(L255)&gt;0),AsOf-C255,"")</f>
        <v/>
      </c>
      <c r="O255" s="28">
        <f>IF(N255="","",MAX(0,AsOf-J255))</f>
        <v/>
      </c>
      <c r="P255" s="66">
        <f>IF(O255="","",IF(O255=0,"Current",IF(O255&lt;=30,"1-30",IF(O255&lt;=60,"31-60",IF(O255&lt;=90,"61-90","90+")))))</f>
        <v/>
      </c>
      <c r="Q255" s="66">
        <f>IF(T255&lt;&gt;"","⛔ "&amp;T255&amp;" — not posted",IF(U255&lt;&gt;"","⚠ "&amp;U255,IF(V255=1,"✓ OK","")))</f>
        <v/>
      </c>
      <c r="R255" s="67">
        <f>IF(AND(B255="",C255="",D255="",G255="",F255=""),1,0)</f>
        <v/>
      </c>
      <c r="S255" s="68">
        <f>IF(AND(TaxOn="Yes",ISNUMBER(H255)),H255,0)</f>
        <v/>
      </c>
      <c r="T255" s="67">
        <f>IF(R255=1,"",IF(B255="","Enter a bill #",IF(D255="","Select a vendor",IF(C255="","Missing bill date",IF(NOT(ISNUMBER(C255)),"Invalid date",IF(OR(C255&lt;DATE(2000,1,1),C255&gt;DATE(2099,12,31)),"Invalid date",IF(F255="","Select an expense account",IF(ISNA(MATCH(F255,coa_Name,0)),"Unknown account: "&amp;F255,IF(NOT(ISNUMBER(G255)),"Enter an amount",IF(G255&lt;=0,"Amount must be positive",IF(S255&gt;G255,"Tax is larger than the amount","")))))))))))</f>
        <v/>
      </c>
      <c r="U255" s="67">
        <f>IF(OR(R255=1,T255&lt;&gt;""),"",IF(COUNTIFS(ap_No,B255,ap_Party,D255)&gt;1,"Duplicate bill #",IF(N(L255)&lt;0,"Overpaid by "&amp;TEXT(-L255,"#,##0.00"),IF(AND(ISNUMBER(H255),N(H255)&lt;&gt;0,S255=0),"Tax ignored (tax tracking is off)",IF(AND(ISNUMBER(StartDate),C255&lt;StartDate),"Date is before the accounting start date",IF(OR(IFERROR(INDEX(coa_Type,MATCH(F255,coa_Name,0)),"")="Revenue",IFERROR(INDEX(coa_Type,MATCH(F255,coa_Name,0)),"")="Other Income",IFERROR(INDEX(coa_Type,MATCH(F255,coa_Name,0)),"")="Equity"),"Account is not an expense or asset account",""))))))</f>
        <v/>
      </c>
      <c r="V255" s="67">
        <f>IF(AND(R255=0,T255=""),1,0)</f>
        <v/>
      </c>
      <c r="W255" s="67">
        <f>IF(V255=1,F255,"")</f>
        <v/>
      </c>
      <c r="X255" s="67">
        <f>IF(V255=1,acctAP,"")</f>
        <v/>
      </c>
      <c r="Y255" s="68">
        <f>IF(V255=1,G255-S255,0)</f>
        <v/>
      </c>
      <c r="Z255" s="68">
        <f>IF(V255=1,G255,0)</f>
        <v/>
      </c>
      <c r="AA255" s="68">
        <f>IF(V255=1,S255,0)</f>
        <v/>
      </c>
    </row>
    <row r="256">
      <c r="B256" s="62" t="n"/>
      <c r="C256" s="63" t="n"/>
      <c r="D256" s="62" t="n"/>
      <c r="E256" s="62" t="n"/>
      <c r="F256" s="62" t="n"/>
      <c r="G256" s="64" t="n"/>
      <c r="H256" s="64" t="n"/>
      <c r="I256" s="63" t="n"/>
      <c r="J256" s="29">
        <f>IF(V256=1,IF(ISNUMBER(I256),I256,C256+IF(ISNUMBER(IFERROR(INDEX(vend_Terms,MATCH(D256,vend_Name,0)),"")),INDEX(vend_Terms,MATCH(D256,vend_Name,0)),TermsDays)),"")</f>
        <v/>
      </c>
      <c r="K256" s="65">
        <f>IF(V256=1,SUMIFS(tx_CrAmt,tx_Type,"Bill Payment",tx_Ref,B256&amp;"",tx_Vend,D256,tx_Date,"&lt;="&amp;AsOf),"")</f>
        <v/>
      </c>
      <c r="L256" s="65">
        <f>IF(V256=1,IF(C256&gt;AsOf,0,ROUND(G256-K256,2)),"")</f>
        <v/>
      </c>
      <c r="M256" s="66">
        <f>IF(V256&lt;&gt;1,"",IF(C256&gt;AsOf,"Future",IF(L256&lt;0,"Overpaid",IF(L256=0,"Paid",IF(AsOf&gt;J256,"Overdue",IF(K256&gt;0,"Partial","Unpaid"))))))</f>
        <v/>
      </c>
      <c r="N256" s="28">
        <f>IF(AND(V256=1,N(L256)&gt;0),AsOf-C256,"")</f>
        <v/>
      </c>
      <c r="O256" s="28">
        <f>IF(N256="","",MAX(0,AsOf-J256))</f>
        <v/>
      </c>
      <c r="P256" s="66">
        <f>IF(O256="","",IF(O256=0,"Current",IF(O256&lt;=30,"1-30",IF(O256&lt;=60,"31-60",IF(O256&lt;=90,"61-90","90+")))))</f>
        <v/>
      </c>
      <c r="Q256" s="66">
        <f>IF(T256&lt;&gt;"","⛔ "&amp;T256&amp;" — not posted",IF(U256&lt;&gt;"","⚠ "&amp;U256,IF(V256=1,"✓ OK","")))</f>
        <v/>
      </c>
      <c r="R256" s="67">
        <f>IF(AND(B256="",C256="",D256="",G256="",F256=""),1,0)</f>
        <v/>
      </c>
      <c r="S256" s="68">
        <f>IF(AND(TaxOn="Yes",ISNUMBER(H256)),H256,0)</f>
        <v/>
      </c>
      <c r="T256" s="67">
        <f>IF(R256=1,"",IF(B256="","Enter a bill #",IF(D256="","Select a vendor",IF(C256="","Missing bill date",IF(NOT(ISNUMBER(C256)),"Invalid date",IF(OR(C256&lt;DATE(2000,1,1),C256&gt;DATE(2099,12,31)),"Invalid date",IF(F256="","Select an expense account",IF(ISNA(MATCH(F256,coa_Name,0)),"Unknown account: "&amp;F256,IF(NOT(ISNUMBER(G256)),"Enter an amount",IF(G256&lt;=0,"Amount must be positive",IF(S256&gt;G256,"Tax is larger than the amount","")))))))))))</f>
        <v/>
      </c>
      <c r="U256" s="67">
        <f>IF(OR(R256=1,T256&lt;&gt;""),"",IF(COUNTIFS(ap_No,B256,ap_Party,D256)&gt;1,"Duplicate bill #",IF(N(L256)&lt;0,"Overpaid by "&amp;TEXT(-L256,"#,##0.00"),IF(AND(ISNUMBER(H256),N(H256)&lt;&gt;0,S256=0),"Tax ignored (tax tracking is off)",IF(AND(ISNUMBER(StartDate),C256&lt;StartDate),"Date is before the accounting start date",IF(OR(IFERROR(INDEX(coa_Type,MATCH(F256,coa_Name,0)),"")="Revenue",IFERROR(INDEX(coa_Type,MATCH(F256,coa_Name,0)),"")="Other Income",IFERROR(INDEX(coa_Type,MATCH(F256,coa_Name,0)),"")="Equity"),"Account is not an expense or asset account",""))))))</f>
        <v/>
      </c>
      <c r="V256" s="67">
        <f>IF(AND(R256=0,T256=""),1,0)</f>
        <v/>
      </c>
      <c r="W256" s="67">
        <f>IF(V256=1,F256,"")</f>
        <v/>
      </c>
      <c r="X256" s="67">
        <f>IF(V256=1,acctAP,"")</f>
        <v/>
      </c>
      <c r="Y256" s="68">
        <f>IF(V256=1,G256-S256,0)</f>
        <v/>
      </c>
      <c r="Z256" s="68">
        <f>IF(V256=1,G256,0)</f>
        <v/>
      </c>
      <c r="AA256" s="68">
        <f>IF(V256=1,S256,0)</f>
        <v/>
      </c>
    </row>
    <row r="257">
      <c r="B257" s="62" t="n"/>
      <c r="C257" s="63" t="n"/>
      <c r="D257" s="62" t="n"/>
      <c r="E257" s="62" t="n"/>
      <c r="F257" s="62" t="n"/>
      <c r="G257" s="64" t="n"/>
      <c r="H257" s="64" t="n"/>
      <c r="I257" s="63" t="n"/>
      <c r="J257" s="29">
        <f>IF(V257=1,IF(ISNUMBER(I257),I257,C257+IF(ISNUMBER(IFERROR(INDEX(vend_Terms,MATCH(D257,vend_Name,0)),"")),INDEX(vend_Terms,MATCH(D257,vend_Name,0)),TermsDays)),"")</f>
        <v/>
      </c>
      <c r="K257" s="65">
        <f>IF(V257=1,SUMIFS(tx_CrAmt,tx_Type,"Bill Payment",tx_Ref,B257&amp;"",tx_Vend,D257,tx_Date,"&lt;="&amp;AsOf),"")</f>
        <v/>
      </c>
      <c r="L257" s="65">
        <f>IF(V257=1,IF(C257&gt;AsOf,0,ROUND(G257-K257,2)),"")</f>
        <v/>
      </c>
      <c r="M257" s="66">
        <f>IF(V257&lt;&gt;1,"",IF(C257&gt;AsOf,"Future",IF(L257&lt;0,"Overpaid",IF(L257=0,"Paid",IF(AsOf&gt;J257,"Overdue",IF(K257&gt;0,"Partial","Unpaid"))))))</f>
        <v/>
      </c>
      <c r="N257" s="28">
        <f>IF(AND(V257=1,N(L257)&gt;0),AsOf-C257,"")</f>
        <v/>
      </c>
      <c r="O257" s="28">
        <f>IF(N257="","",MAX(0,AsOf-J257))</f>
        <v/>
      </c>
      <c r="P257" s="66">
        <f>IF(O257="","",IF(O257=0,"Current",IF(O257&lt;=30,"1-30",IF(O257&lt;=60,"31-60",IF(O257&lt;=90,"61-90","90+")))))</f>
        <v/>
      </c>
      <c r="Q257" s="66">
        <f>IF(T257&lt;&gt;"","⛔ "&amp;T257&amp;" — not posted",IF(U257&lt;&gt;"","⚠ "&amp;U257,IF(V257=1,"✓ OK","")))</f>
        <v/>
      </c>
      <c r="R257" s="67">
        <f>IF(AND(B257="",C257="",D257="",G257="",F257=""),1,0)</f>
        <v/>
      </c>
      <c r="S257" s="68">
        <f>IF(AND(TaxOn="Yes",ISNUMBER(H257)),H257,0)</f>
        <v/>
      </c>
      <c r="T257" s="67">
        <f>IF(R257=1,"",IF(B257="","Enter a bill #",IF(D257="","Select a vendor",IF(C257="","Missing bill date",IF(NOT(ISNUMBER(C257)),"Invalid date",IF(OR(C257&lt;DATE(2000,1,1),C257&gt;DATE(2099,12,31)),"Invalid date",IF(F257="","Select an expense account",IF(ISNA(MATCH(F257,coa_Name,0)),"Unknown account: "&amp;F257,IF(NOT(ISNUMBER(G257)),"Enter an amount",IF(G257&lt;=0,"Amount must be positive",IF(S257&gt;G257,"Tax is larger than the amount","")))))))))))</f>
        <v/>
      </c>
      <c r="U257" s="67">
        <f>IF(OR(R257=1,T257&lt;&gt;""),"",IF(COUNTIFS(ap_No,B257,ap_Party,D257)&gt;1,"Duplicate bill #",IF(N(L257)&lt;0,"Overpaid by "&amp;TEXT(-L257,"#,##0.00"),IF(AND(ISNUMBER(H257),N(H257)&lt;&gt;0,S257=0),"Tax ignored (tax tracking is off)",IF(AND(ISNUMBER(StartDate),C257&lt;StartDate),"Date is before the accounting start date",IF(OR(IFERROR(INDEX(coa_Type,MATCH(F257,coa_Name,0)),"")="Revenue",IFERROR(INDEX(coa_Type,MATCH(F257,coa_Name,0)),"")="Other Income",IFERROR(INDEX(coa_Type,MATCH(F257,coa_Name,0)),"")="Equity"),"Account is not an expense or asset account",""))))))</f>
        <v/>
      </c>
      <c r="V257" s="67">
        <f>IF(AND(R257=0,T257=""),1,0)</f>
        <v/>
      </c>
      <c r="W257" s="67">
        <f>IF(V257=1,F257,"")</f>
        <v/>
      </c>
      <c r="X257" s="67">
        <f>IF(V257=1,acctAP,"")</f>
        <v/>
      </c>
      <c r="Y257" s="68">
        <f>IF(V257=1,G257-S257,0)</f>
        <v/>
      </c>
      <c r="Z257" s="68">
        <f>IF(V257=1,G257,0)</f>
        <v/>
      </c>
      <c r="AA257" s="68">
        <f>IF(V257=1,S257,0)</f>
        <v/>
      </c>
    </row>
    <row r="258">
      <c r="B258" s="62" t="n"/>
      <c r="C258" s="63" t="n"/>
      <c r="D258" s="62" t="n"/>
      <c r="E258" s="62" t="n"/>
      <c r="F258" s="62" t="n"/>
      <c r="G258" s="64" t="n"/>
      <c r="H258" s="64" t="n"/>
      <c r="I258" s="63" t="n"/>
      <c r="J258" s="29">
        <f>IF(V258=1,IF(ISNUMBER(I258),I258,C258+IF(ISNUMBER(IFERROR(INDEX(vend_Terms,MATCH(D258,vend_Name,0)),"")),INDEX(vend_Terms,MATCH(D258,vend_Name,0)),TermsDays)),"")</f>
        <v/>
      </c>
      <c r="K258" s="65">
        <f>IF(V258=1,SUMIFS(tx_CrAmt,tx_Type,"Bill Payment",tx_Ref,B258&amp;"",tx_Vend,D258,tx_Date,"&lt;="&amp;AsOf),"")</f>
        <v/>
      </c>
      <c r="L258" s="65">
        <f>IF(V258=1,IF(C258&gt;AsOf,0,ROUND(G258-K258,2)),"")</f>
        <v/>
      </c>
      <c r="M258" s="66">
        <f>IF(V258&lt;&gt;1,"",IF(C258&gt;AsOf,"Future",IF(L258&lt;0,"Overpaid",IF(L258=0,"Paid",IF(AsOf&gt;J258,"Overdue",IF(K258&gt;0,"Partial","Unpaid"))))))</f>
        <v/>
      </c>
      <c r="N258" s="28">
        <f>IF(AND(V258=1,N(L258)&gt;0),AsOf-C258,"")</f>
        <v/>
      </c>
      <c r="O258" s="28">
        <f>IF(N258="","",MAX(0,AsOf-J258))</f>
        <v/>
      </c>
      <c r="P258" s="66">
        <f>IF(O258="","",IF(O258=0,"Current",IF(O258&lt;=30,"1-30",IF(O258&lt;=60,"31-60",IF(O258&lt;=90,"61-90","90+")))))</f>
        <v/>
      </c>
      <c r="Q258" s="66">
        <f>IF(T258&lt;&gt;"","⛔ "&amp;T258&amp;" — not posted",IF(U258&lt;&gt;"","⚠ "&amp;U258,IF(V258=1,"✓ OK","")))</f>
        <v/>
      </c>
      <c r="R258" s="67">
        <f>IF(AND(B258="",C258="",D258="",G258="",F258=""),1,0)</f>
        <v/>
      </c>
      <c r="S258" s="68">
        <f>IF(AND(TaxOn="Yes",ISNUMBER(H258)),H258,0)</f>
        <v/>
      </c>
      <c r="T258" s="67">
        <f>IF(R258=1,"",IF(B258="","Enter a bill #",IF(D258="","Select a vendor",IF(C258="","Missing bill date",IF(NOT(ISNUMBER(C258)),"Invalid date",IF(OR(C258&lt;DATE(2000,1,1),C258&gt;DATE(2099,12,31)),"Invalid date",IF(F258="","Select an expense account",IF(ISNA(MATCH(F258,coa_Name,0)),"Unknown account: "&amp;F258,IF(NOT(ISNUMBER(G258)),"Enter an amount",IF(G258&lt;=0,"Amount must be positive",IF(S258&gt;G258,"Tax is larger than the amount","")))))))))))</f>
        <v/>
      </c>
      <c r="U258" s="67">
        <f>IF(OR(R258=1,T258&lt;&gt;""),"",IF(COUNTIFS(ap_No,B258,ap_Party,D258)&gt;1,"Duplicate bill #",IF(N(L258)&lt;0,"Overpaid by "&amp;TEXT(-L258,"#,##0.00"),IF(AND(ISNUMBER(H258),N(H258)&lt;&gt;0,S258=0),"Tax ignored (tax tracking is off)",IF(AND(ISNUMBER(StartDate),C258&lt;StartDate),"Date is before the accounting start date",IF(OR(IFERROR(INDEX(coa_Type,MATCH(F258,coa_Name,0)),"")="Revenue",IFERROR(INDEX(coa_Type,MATCH(F258,coa_Name,0)),"")="Other Income",IFERROR(INDEX(coa_Type,MATCH(F258,coa_Name,0)),"")="Equity"),"Account is not an expense or asset account",""))))))</f>
        <v/>
      </c>
      <c r="V258" s="67">
        <f>IF(AND(R258=0,T258=""),1,0)</f>
        <v/>
      </c>
      <c r="W258" s="67">
        <f>IF(V258=1,F258,"")</f>
        <v/>
      </c>
      <c r="X258" s="67">
        <f>IF(V258=1,acctAP,"")</f>
        <v/>
      </c>
      <c r="Y258" s="68">
        <f>IF(V258=1,G258-S258,0)</f>
        <v/>
      </c>
      <c r="Z258" s="68">
        <f>IF(V258=1,G258,0)</f>
        <v/>
      </c>
      <c r="AA258" s="68">
        <f>IF(V258=1,S258,0)</f>
        <v/>
      </c>
    </row>
    <row r="259">
      <c r="B259" s="62" t="n"/>
      <c r="C259" s="63" t="n"/>
      <c r="D259" s="62" t="n"/>
      <c r="E259" s="62" t="n"/>
      <c r="F259" s="62" t="n"/>
      <c r="G259" s="64" t="n"/>
      <c r="H259" s="64" t="n"/>
      <c r="I259" s="63" t="n"/>
      <c r="J259" s="29">
        <f>IF(V259=1,IF(ISNUMBER(I259),I259,C259+IF(ISNUMBER(IFERROR(INDEX(vend_Terms,MATCH(D259,vend_Name,0)),"")),INDEX(vend_Terms,MATCH(D259,vend_Name,0)),TermsDays)),"")</f>
        <v/>
      </c>
      <c r="K259" s="65">
        <f>IF(V259=1,SUMIFS(tx_CrAmt,tx_Type,"Bill Payment",tx_Ref,B259&amp;"",tx_Vend,D259,tx_Date,"&lt;="&amp;AsOf),"")</f>
        <v/>
      </c>
      <c r="L259" s="65">
        <f>IF(V259=1,IF(C259&gt;AsOf,0,ROUND(G259-K259,2)),"")</f>
        <v/>
      </c>
      <c r="M259" s="66">
        <f>IF(V259&lt;&gt;1,"",IF(C259&gt;AsOf,"Future",IF(L259&lt;0,"Overpaid",IF(L259=0,"Paid",IF(AsOf&gt;J259,"Overdue",IF(K259&gt;0,"Partial","Unpaid"))))))</f>
        <v/>
      </c>
      <c r="N259" s="28">
        <f>IF(AND(V259=1,N(L259)&gt;0),AsOf-C259,"")</f>
        <v/>
      </c>
      <c r="O259" s="28">
        <f>IF(N259="","",MAX(0,AsOf-J259))</f>
        <v/>
      </c>
      <c r="P259" s="66">
        <f>IF(O259="","",IF(O259=0,"Current",IF(O259&lt;=30,"1-30",IF(O259&lt;=60,"31-60",IF(O259&lt;=90,"61-90","90+")))))</f>
        <v/>
      </c>
      <c r="Q259" s="66">
        <f>IF(T259&lt;&gt;"","⛔ "&amp;T259&amp;" — not posted",IF(U259&lt;&gt;"","⚠ "&amp;U259,IF(V259=1,"✓ OK","")))</f>
        <v/>
      </c>
      <c r="R259" s="67">
        <f>IF(AND(B259="",C259="",D259="",G259="",F259=""),1,0)</f>
        <v/>
      </c>
      <c r="S259" s="68">
        <f>IF(AND(TaxOn="Yes",ISNUMBER(H259)),H259,0)</f>
        <v/>
      </c>
      <c r="T259" s="67">
        <f>IF(R259=1,"",IF(B259="","Enter a bill #",IF(D259="","Select a vendor",IF(C259="","Missing bill date",IF(NOT(ISNUMBER(C259)),"Invalid date",IF(OR(C259&lt;DATE(2000,1,1),C259&gt;DATE(2099,12,31)),"Invalid date",IF(F259="","Select an expense account",IF(ISNA(MATCH(F259,coa_Name,0)),"Unknown account: "&amp;F259,IF(NOT(ISNUMBER(G259)),"Enter an amount",IF(G259&lt;=0,"Amount must be positive",IF(S259&gt;G259,"Tax is larger than the amount","")))))))))))</f>
        <v/>
      </c>
      <c r="U259" s="67">
        <f>IF(OR(R259=1,T259&lt;&gt;""),"",IF(COUNTIFS(ap_No,B259,ap_Party,D259)&gt;1,"Duplicate bill #",IF(N(L259)&lt;0,"Overpaid by "&amp;TEXT(-L259,"#,##0.00"),IF(AND(ISNUMBER(H259),N(H259)&lt;&gt;0,S259=0),"Tax ignored (tax tracking is off)",IF(AND(ISNUMBER(StartDate),C259&lt;StartDate),"Date is before the accounting start date",IF(OR(IFERROR(INDEX(coa_Type,MATCH(F259,coa_Name,0)),"")="Revenue",IFERROR(INDEX(coa_Type,MATCH(F259,coa_Name,0)),"")="Other Income",IFERROR(INDEX(coa_Type,MATCH(F259,coa_Name,0)),"")="Equity"),"Account is not an expense or asset account",""))))))</f>
        <v/>
      </c>
      <c r="V259" s="67">
        <f>IF(AND(R259=0,T259=""),1,0)</f>
        <v/>
      </c>
      <c r="W259" s="67">
        <f>IF(V259=1,F259,"")</f>
        <v/>
      </c>
      <c r="X259" s="67">
        <f>IF(V259=1,acctAP,"")</f>
        <v/>
      </c>
      <c r="Y259" s="68">
        <f>IF(V259=1,G259-S259,0)</f>
        <v/>
      </c>
      <c r="Z259" s="68">
        <f>IF(V259=1,G259,0)</f>
        <v/>
      </c>
      <c r="AA259" s="68">
        <f>IF(V259=1,S259,0)</f>
        <v/>
      </c>
    </row>
    <row r="260">
      <c r="B260" s="62" t="n"/>
      <c r="C260" s="63" t="n"/>
      <c r="D260" s="62" t="n"/>
      <c r="E260" s="62" t="n"/>
      <c r="F260" s="62" t="n"/>
      <c r="G260" s="64" t="n"/>
      <c r="H260" s="64" t="n"/>
      <c r="I260" s="63" t="n"/>
      <c r="J260" s="29">
        <f>IF(V260=1,IF(ISNUMBER(I260),I260,C260+IF(ISNUMBER(IFERROR(INDEX(vend_Terms,MATCH(D260,vend_Name,0)),"")),INDEX(vend_Terms,MATCH(D260,vend_Name,0)),TermsDays)),"")</f>
        <v/>
      </c>
      <c r="K260" s="65">
        <f>IF(V260=1,SUMIFS(tx_CrAmt,tx_Type,"Bill Payment",tx_Ref,B260&amp;"",tx_Vend,D260,tx_Date,"&lt;="&amp;AsOf),"")</f>
        <v/>
      </c>
      <c r="L260" s="65">
        <f>IF(V260=1,IF(C260&gt;AsOf,0,ROUND(G260-K260,2)),"")</f>
        <v/>
      </c>
      <c r="M260" s="66">
        <f>IF(V260&lt;&gt;1,"",IF(C260&gt;AsOf,"Future",IF(L260&lt;0,"Overpaid",IF(L260=0,"Paid",IF(AsOf&gt;J260,"Overdue",IF(K260&gt;0,"Partial","Unpaid"))))))</f>
        <v/>
      </c>
      <c r="N260" s="28">
        <f>IF(AND(V260=1,N(L260)&gt;0),AsOf-C260,"")</f>
        <v/>
      </c>
      <c r="O260" s="28">
        <f>IF(N260="","",MAX(0,AsOf-J260))</f>
        <v/>
      </c>
      <c r="P260" s="66">
        <f>IF(O260="","",IF(O260=0,"Current",IF(O260&lt;=30,"1-30",IF(O260&lt;=60,"31-60",IF(O260&lt;=90,"61-90","90+")))))</f>
        <v/>
      </c>
      <c r="Q260" s="66">
        <f>IF(T260&lt;&gt;"","⛔ "&amp;T260&amp;" — not posted",IF(U260&lt;&gt;"","⚠ "&amp;U260,IF(V260=1,"✓ OK","")))</f>
        <v/>
      </c>
      <c r="R260" s="67">
        <f>IF(AND(B260="",C260="",D260="",G260="",F260=""),1,0)</f>
        <v/>
      </c>
      <c r="S260" s="68">
        <f>IF(AND(TaxOn="Yes",ISNUMBER(H260)),H260,0)</f>
        <v/>
      </c>
      <c r="T260" s="67">
        <f>IF(R260=1,"",IF(B260="","Enter a bill #",IF(D260="","Select a vendor",IF(C260="","Missing bill date",IF(NOT(ISNUMBER(C260)),"Invalid date",IF(OR(C260&lt;DATE(2000,1,1),C260&gt;DATE(2099,12,31)),"Invalid date",IF(F260="","Select an expense account",IF(ISNA(MATCH(F260,coa_Name,0)),"Unknown account: "&amp;F260,IF(NOT(ISNUMBER(G260)),"Enter an amount",IF(G260&lt;=0,"Amount must be positive",IF(S260&gt;G260,"Tax is larger than the amount","")))))))))))</f>
        <v/>
      </c>
      <c r="U260" s="67">
        <f>IF(OR(R260=1,T260&lt;&gt;""),"",IF(COUNTIFS(ap_No,B260,ap_Party,D260)&gt;1,"Duplicate bill #",IF(N(L260)&lt;0,"Overpaid by "&amp;TEXT(-L260,"#,##0.00"),IF(AND(ISNUMBER(H260),N(H260)&lt;&gt;0,S260=0),"Tax ignored (tax tracking is off)",IF(AND(ISNUMBER(StartDate),C260&lt;StartDate),"Date is before the accounting start date",IF(OR(IFERROR(INDEX(coa_Type,MATCH(F260,coa_Name,0)),"")="Revenue",IFERROR(INDEX(coa_Type,MATCH(F260,coa_Name,0)),"")="Other Income",IFERROR(INDEX(coa_Type,MATCH(F260,coa_Name,0)),"")="Equity"),"Account is not an expense or asset account",""))))))</f>
        <v/>
      </c>
      <c r="V260" s="67">
        <f>IF(AND(R260=0,T260=""),1,0)</f>
        <v/>
      </c>
      <c r="W260" s="67">
        <f>IF(V260=1,F260,"")</f>
        <v/>
      </c>
      <c r="X260" s="67">
        <f>IF(V260=1,acctAP,"")</f>
        <v/>
      </c>
      <c r="Y260" s="68">
        <f>IF(V260=1,G260-S260,0)</f>
        <v/>
      </c>
      <c r="Z260" s="68">
        <f>IF(V260=1,G260,0)</f>
        <v/>
      </c>
      <c r="AA260" s="68">
        <f>IF(V260=1,S260,0)</f>
        <v/>
      </c>
    </row>
    <row r="261">
      <c r="B261" s="62" t="n"/>
      <c r="C261" s="63" t="n"/>
      <c r="D261" s="62" t="n"/>
      <c r="E261" s="62" t="n"/>
      <c r="F261" s="62" t="n"/>
      <c r="G261" s="64" t="n"/>
      <c r="H261" s="64" t="n"/>
      <c r="I261" s="63" t="n"/>
      <c r="J261" s="29">
        <f>IF(V261=1,IF(ISNUMBER(I261),I261,C261+IF(ISNUMBER(IFERROR(INDEX(vend_Terms,MATCH(D261,vend_Name,0)),"")),INDEX(vend_Terms,MATCH(D261,vend_Name,0)),TermsDays)),"")</f>
        <v/>
      </c>
      <c r="K261" s="65">
        <f>IF(V261=1,SUMIFS(tx_CrAmt,tx_Type,"Bill Payment",tx_Ref,B261&amp;"",tx_Vend,D261,tx_Date,"&lt;="&amp;AsOf),"")</f>
        <v/>
      </c>
      <c r="L261" s="65">
        <f>IF(V261=1,IF(C261&gt;AsOf,0,ROUND(G261-K261,2)),"")</f>
        <v/>
      </c>
      <c r="M261" s="66">
        <f>IF(V261&lt;&gt;1,"",IF(C261&gt;AsOf,"Future",IF(L261&lt;0,"Overpaid",IF(L261=0,"Paid",IF(AsOf&gt;J261,"Overdue",IF(K261&gt;0,"Partial","Unpaid"))))))</f>
        <v/>
      </c>
      <c r="N261" s="28">
        <f>IF(AND(V261=1,N(L261)&gt;0),AsOf-C261,"")</f>
        <v/>
      </c>
      <c r="O261" s="28">
        <f>IF(N261="","",MAX(0,AsOf-J261))</f>
        <v/>
      </c>
      <c r="P261" s="66">
        <f>IF(O261="","",IF(O261=0,"Current",IF(O261&lt;=30,"1-30",IF(O261&lt;=60,"31-60",IF(O261&lt;=90,"61-90","90+")))))</f>
        <v/>
      </c>
      <c r="Q261" s="66">
        <f>IF(T261&lt;&gt;"","⛔ "&amp;T261&amp;" — not posted",IF(U261&lt;&gt;"","⚠ "&amp;U261,IF(V261=1,"✓ OK","")))</f>
        <v/>
      </c>
      <c r="R261" s="67">
        <f>IF(AND(B261="",C261="",D261="",G261="",F261=""),1,0)</f>
        <v/>
      </c>
      <c r="S261" s="68">
        <f>IF(AND(TaxOn="Yes",ISNUMBER(H261)),H261,0)</f>
        <v/>
      </c>
      <c r="T261" s="67">
        <f>IF(R261=1,"",IF(B261="","Enter a bill #",IF(D261="","Select a vendor",IF(C261="","Missing bill date",IF(NOT(ISNUMBER(C261)),"Invalid date",IF(OR(C261&lt;DATE(2000,1,1),C261&gt;DATE(2099,12,31)),"Invalid date",IF(F261="","Select an expense account",IF(ISNA(MATCH(F261,coa_Name,0)),"Unknown account: "&amp;F261,IF(NOT(ISNUMBER(G261)),"Enter an amount",IF(G261&lt;=0,"Amount must be positive",IF(S261&gt;G261,"Tax is larger than the amount","")))))))))))</f>
        <v/>
      </c>
      <c r="U261" s="67">
        <f>IF(OR(R261=1,T261&lt;&gt;""),"",IF(COUNTIFS(ap_No,B261,ap_Party,D261)&gt;1,"Duplicate bill #",IF(N(L261)&lt;0,"Overpaid by "&amp;TEXT(-L261,"#,##0.00"),IF(AND(ISNUMBER(H261),N(H261)&lt;&gt;0,S261=0),"Tax ignored (tax tracking is off)",IF(AND(ISNUMBER(StartDate),C261&lt;StartDate),"Date is before the accounting start date",IF(OR(IFERROR(INDEX(coa_Type,MATCH(F261,coa_Name,0)),"")="Revenue",IFERROR(INDEX(coa_Type,MATCH(F261,coa_Name,0)),"")="Other Income",IFERROR(INDEX(coa_Type,MATCH(F261,coa_Name,0)),"")="Equity"),"Account is not an expense or asset account",""))))))</f>
        <v/>
      </c>
      <c r="V261" s="67">
        <f>IF(AND(R261=0,T261=""),1,0)</f>
        <v/>
      </c>
      <c r="W261" s="67">
        <f>IF(V261=1,F261,"")</f>
        <v/>
      </c>
      <c r="X261" s="67">
        <f>IF(V261=1,acctAP,"")</f>
        <v/>
      </c>
      <c r="Y261" s="68">
        <f>IF(V261=1,G261-S261,0)</f>
        <v/>
      </c>
      <c r="Z261" s="68">
        <f>IF(V261=1,G261,0)</f>
        <v/>
      </c>
      <c r="AA261" s="68">
        <f>IF(V261=1,S261,0)</f>
        <v/>
      </c>
    </row>
    <row r="262">
      <c r="B262" s="62" t="n"/>
      <c r="C262" s="63" t="n"/>
      <c r="D262" s="62" t="n"/>
      <c r="E262" s="62" t="n"/>
      <c r="F262" s="62" t="n"/>
      <c r="G262" s="64" t="n"/>
      <c r="H262" s="64" t="n"/>
      <c r="I262" s="63" t="n"/>
      <c r="J262" s="29">
        <f>IF(V262=1,IF(ISNUMBER(I262),I262,C262+IF(ISNUMBER(IFERROR(INDEX(vend_Terms,MATCH(D262,vend_Name,0)),"")),INDEX(vend_Terms,MATCH(D262,vend_Name,0)),TermsDays)),"")</f>
        <v/>
      </c>
      <c r="K262" s="65">
        <f>IF(V262=1,SUMIFS(tx_CrAmt,tx_Type,"Bill Payment",tx_Ref,B262&amp;"",tx_Vend,D262,tx_Date,"&lt;="&amp;AsOf),"")</f>
        <v/>
      </c>
      <c r="L262" s="65">
        <f>IF(V262=1,IF(C262&gt;AsOf,0,ROUND(G262-K262,2)),"")</f>
        <v/>
      </c>
      <c r="M262" s="66">
        <f>IF(V262&lt;&gt;1,"",IF(C262&gt;AsOf,"Future",IF(L262&lt;0,"Overpaid",IF(L262=0,"Paid",IF(AsOf&gt;J262,"Overdue",IF(K262&gt;0,"Partial","Unpaid"))))))</f>
        <v/>
      </c>
      <c r="N262" s="28">
        <f>IF(AND(V262=1,N(L262)&gt;0),AsOf-C262,"")</f>
        <v/>
      </c>
      <c r="O262" s="28">
        <f>IF(N262="","",MAX(0,AsOf-J262))</f>
        <v/>
      </c>
      <c r="P262" s="66">
        <f>IF(O262="","",IF(O262=0,"Current",IF(O262&lt;=30,"1-30",IF(O262&lt;=60,"31-60",IF(O262&lt;=90,"61-90","90+")))))</f>
        <v/>
      </c>
      <c r="Q262" s="66">
        <f>IF(T262&lt;&gt;"","⛔ "&amp;T262&amp;" — not posted",IF(U262&lt;&gt;"","⚠ "&amp;U262,IF(V262=1,"✓ OK","")))</f>
        <v/>
      </c>
      <c r="R262" s="67">
        <f>IF(AND(B262="",C262="",D262="",G262="",F262=""),1,0)</f>
        <v/>
      </c>
      <c r="S262" s="68">
        <f>IF(AND(TaxOn="Yes",ISNUMBER(H262)),H262,0)</f>
        <v/>
      </c>
      <c r="T262" s="67">
        <f>IF(R262=1,"",IF(B262="","Enter a bill #",IF(D262="","Select a vendor",IF(C262="","Missing bill date",IF(NOT(ISNUMBER(C262)),"Invalid date",IF(OR(C262&lt;DATE(2000,1,1),C262&gt;DATE(2099,12,31)),"Invalid date",IF(F262="","Select an expense account",IF(ISNA(MATCH(F262,coa_Name,0)),"Unknown account: "&amp;F262,IF(NOT(ISNUMBER(G262)),"Enter an amount",IF(G262&lt;=0,"Amount must be positive",IF(S262&gt;G262,"Tax is larger than the amount","")))))))))))</f>
        <v/>
      </c>
      <c r="U262" s="67">
        <f>IF(OR(R262=1,T262&lt;&gt;""),"",IF(COUNTIFS(ap_No,B262,ap_Party,D262)&gt;1,"Duplicate bill #",IF(N(L262)&lt;0,"Overpaid by "&amp;TEXT(-L262,"#,##0.00"),IF(AND(ISNUMBER(H262),N(H262)&lt;&gt;0,S262=0),"Tax ignored (tax tracking is off)",IF(AND(ISNUMBER(StartDate),C262&lt;StartDate),"Date is before the accounting start date",IF(OR(IFERROR(INDEX(coa_Type,MATCH(F262,coa_Name,0)),"")="Revenue",IFERROR(INDEX(coa_Type,MATCH(F262,coa_Name,0)),"")="Other Income",IFERROR(INDEX(coa_Type,MATCH(F262,coa_Name,0)),"")="Equity"),"Account is not an expense or asset account",""))))))</f>
        <v/>
      </c>
      <c r="V262" s="67">
        <f>IF(AND(R262=0,T262=""),1,0)</f>
        <v/>
      </c>
      <c r="W262" s="67">
        <f>IF(V262=1,F262,"")</f>
        <v/>
      </c>
      <c r="X262" s="67">
        <f>IF(V262=1,acctAP,"")</f>
        <v/>
      </c>
      <c r="Y262" s="68">
        <f>IF(V262=1,G262-S262,0)</f>
        <v/>
      </c>
      <c r="Z262" s="68">
        <f>IF(V262=1,G262,0)</f>
        <v/>
      </c>
      <c r="AA262" s="68">
        <f>IF(V262=1,S262,0)</f>
        <v/>
      </c>
    </row>
    <row r="263">
      <c r="B263" s="62" t="n"/>
      <c r="C263" s="63" t="n"/>
      <c r="D263" s="62" t="n"/>
      <c r="E263" s="62" t="n"/>
      <c r="F263" s="62" t="n"/>
      <c r="G263" s="64" t="n"/>
      <c r="H263" s="64" t="n"/>
      <c r="I263" s="63" t="n"/>
      <c r="J263" s="29">
        <f>IF(V263=1,IF(ISNUMBER(I263),I263,C263+IF(ISNUMBER(IFERROR(INDEX(vend_Terms,MATCH(D263,vend_Name,0)),"")),INDEX(vend_Terms,MATCH(D263,vend_Name,0)),TermsDays)),"")</f>
        <v/>
      </c>
      <c r="K263" s="65">
        <f>IF(V263=1,SUMIFS(tx_CrAmt,tx_Type,"Bill Payment",tx_Ref,B263&amp;"",tx_Vend,D263,tx_Date,"&lt;="&amp;AsOf),"")</f>
        <v/>
      </c>
      <c r="L263" s="65">
        <f>IF(V263=1,IF(C263&gt;AsOf,0,ROUND(G263-K263,2)),"")</f>
        <v/>
      </c>
      <c r="M263" s="66">
        <f>IF(V263&lt;&gt;1,"",IF(C263&gt;AsOf,"Future",IF(L263&lt;0,"Overpaid",IF(L263=0,"Paid",IF(AsOf&gt;J263,"Overdue",IF(K263&gt;0,"Partial","Unpaid"))))))</f>
        <v/>
      </c>
      <c r="N263" s="28">
        <f>IF(AND(V263=1,N(L263)&gt;0),AsOf-C263,"")</f>
        <v/>
      </c>
      <c r="O263" s="28">
        <f>IF(N263="","",MAX(0,AsOf-J263))</f>
        <v/>
      </c>
      <c r="P263" s="66">
        <f>IF(O263="","",IF(O263=0,"Current",IF(O263&lt;=30,"1-30",IF(O263&lt;=60,"31-60",IF(O263&lt;=90,"61-90","90+")))))</f>
        <v/>
      </c>
      <c r="Q263" s="66">
        <f>IF(T263&lt;&gt;"","⛔ "&amp;T263&amp;" — not posted",IF(U263&lt;&gt;"","⚠ "&amp;U263,IF(V263=1,"✓ OK","")))</f>
        <v/>
      </c>
      <c r="R263" s="67">
        <f>IF(AND(B263="",C263="",D263="",G263="",F263=""),1,0)</f>
        <v/>
      </c>
      <c r="S263" s="68">
        <f>IF(AND(TaxOn="Yes",ISNUMBER(H263)),H263,0)</f>
        <v/>
      </c>
      <c r="T263" s="67">
        <f>IF(R263=1,"",IF(B263="","Enter a bill #",IF(D263="","Select a vendor",IF(C263="","Missing bill date",IF(NOT(ISNUMBER(C263)),"Invalid date",IF(OR(C263&lt;DATE(2000,1,1),C263&gt;DATE(2099,12,31)),"Invalid date",IF(F263="","Select an expense account",IF(ISNA(MATCH(F263,coa_Name,0)),"Unknown account: "&amp;F263,IF(NOT(ISNUMBER(G263)),"Enter an amount",IF(G263&lt;=0,"Amount must be positive",IF(S263&gt;G263,"Tax is larger than the amount","")))))))))))</f>
        <v/>
      </c>
      <c r="U263" s="67">
        <f>IF(OR(R263=1,T263&lt;&gt;""),"",IF(COUNTIFS(ap_No,B263,ap_Party,D263)&gt;1,"Duplicate bill #",IF(N(L263)&lt;0,"Overpaid by "&amp;TEXT(-L263,"#,##0.00"),IF(AND(ISNUMBER(H263),N(H263)&lt;&gt;0,S263=0),"Tax ignored (tax tracking is off)",IF(AND(ISNUMBER(StartDate),C263&lt;StartDate),"Date is before the accounting start date",IF(OR(IFERROR(INDEX(coa_Type,MATCH(F263,coa_Name,0)),"")="Revenue",IFERROR(INDEX(coa_Type,MATCH(F263,coa_Name,0)),"")="Other Income",IFERROR(INDEX(coa_Type,MATCH(F263,coa_Name,0)),"")="Equity"),"Account is not an expense or asset account",""))))))</f>
        <v/>
      </c>
      <c r="V263" s="67">
        <f>IF(AND(R263=0,T263=""),1,0)</f>
        <v/>
      </c>
      <c r="W263" s="67">
        <f>IF(V263=1,F263,"")</f>
        <v/>
      </c>
      <c r="X263" s="67">
        <f>IF(V263=1,acctAP,"")</f>
        <v/>
      </c>
      <c r="Y263" s="68">
        <f>IF(V263=1,G263-S263,0)</f>
        <v/>
      </c>
      <c r="Z263" s="68">
        <f>IF(V263=1,G263,0)</f>
        <v/>
      </c>
      <c r="AA263" s="68">
        <f>IF(V263=1,S263,0)</f>
        <v/>
      </c>
    </row>
    <row r="264">
      <c r="B264" s="62" t="n"/>
      <c r="C264" s="63" t="n"/>
      <c r="D264" s="62" t="n"/>
      <c r="E264" s="62" t="n"/>
      <c r="F264" s="62" t="n"/>
      <c r="G264" s="64" t="n"/>
      <c r="H264" s="64" t="n"/>
      <c r="I264" s="63" t="n"/>
      <c r="J264" s="29">
        <f>IF(V264=1,IF(ISNUMBER(I264),I264,C264+IF(ISNUMBER(IFERROR(INDEX(vend_Terms,MATCH(D264,vend_Name,0)),"")),INDEX(vend_Terms,MATCH(D264,vend_Name,0)),TermsDays)),"")</f>
        <v/>
      </c>
      <c r="K264" s="65">
        <f>IF(V264=1,SUMIFS(tx_CrAmt,tx_Type,"Bill Payment",tx_Ref,B264&amp;"",tx_Vend,D264,tx_Date,"&lt;="&amp;AsOf),"")</f>
        <v/>
      </c>
      <c r="L264" s="65">
        <f>IF(V264=1,IF(C264&gt;AsOf,0,ROUND(G264-K264,2)),"")</f>
        <v/>
      </c>
      <c r="M264" s="66">
        <f>IF(V264&lt;&gt;1,"",IF(C264&gt;AsOf,"Future",IF(L264&lt;0,"Overpaid",IF(L264=0,"Paid",IF(AsOf&gt;J264,"Overdue",IF(K264&gt;0,"Partial","Unpaid"))))))</f>
        <v/>
      </c>
      <c r="N264" s="28">
        <f>IF(AND(V264=1,N(L264)&gt;0),AsOf-C264,"")</f>
        <v/>
      </c>
      <c r="O264" s="28">
        <f>IF(N264="","",MAX(0,AsOf-J264))</f>
        <v/>
      </c>
      <c r="P264" s="66">
        <f>IF(O264="","",IF(O264=0,"Current",IF(O264&lt;=30,"1-30",IF(O264&lt;=60,"31-60",IF(O264&lt;=90,"61-90","90+")))))</f>
        <v/>
      </c>
      <c r="Q264" s="66">
        <f>IF(T264&lt;&gt;"","⛔ "&amp;T264&amp;" — not posted",IF(U264&lt;&gt;"","⚠ "&amp;U264,IF(V264=1,"✓ OK","")))</f>
        <v/>
      </c>
      <c r="R264" s="67">
        <f>IF(AND(B264="",C264="",D264="",G264="",F264=""),1,0)</f>
        <v/>
      </c>
      <c r="S264" s="68">
        <f>IF(AND(TaxOn="Yes",ISNUMBER(H264)),H264,0)</f>
        <v/>
      </c>
      <c r="T264" s="67">
        <f>IF(R264=1,"",IF(B264="","Enter a bill #",IF(D264="","Select a vendor",IF(C264="","Missing bill date",IF(NOT(ISNUMBER(C264)),"Invalid date",IF(OR(C264&lt;DATE(2000,1,1),C264&gt;DATE(2099,12,31)),"Invalid date",IF(F264="","Select an expense account",IF(ISNA(MATCH(F264,coa_Name,0)),"Unknown account: "&amp;F264,IF(NOT(ISNUMBER(G264)),"Enter an amount",IF(G264&lt;=0,"Amount must be positive",IF(S264&gt;G264,"Tax is larger than the amount","")))))))))))</f>
        <v/>
      </c>
      <c r="U264" s="67">
        <f>IF(OR(R264=1,T264&lt;&gt;""),"",IF(COUNTIFS(ap_No,B264,ap_Party,D264)&gt;1,"Duplicate bill #",IF(N(L264)&lt;0,"Overpaid by "&amp;TEXT(-L264,"#,##0.00"),IF(AND(ISNUMBER(H264),N(H264)&lt;&gt;0,S264=0),"Tax ignored (tax tracking is off)",IF(AND(ISNUMBER(StartDate),C264&lt;StartDate),"Date is before the accounting start date",IF(OR(IFERROR(INDEX(coa_Type,MATCH(F264,coa_Name,0)),"")="Revenue",IFERROR(INDEX(coa_Type,MATCH(F264,coa_Name,0)),"")="Other Income",IFERROR(INDEX(coa_Type,MATCH(F264,coa_Name,0)),"")="Equity"),"Account is not an expense or asset account",""))))))</f>
        <v/>
      </c>
      <c r="V264" s="67">
        <f>IF(AND(R264=0,T264=""),1,0)</f>
        <v/>
      </c>
      <c r="W264" s="67">
        <f>IF(V264=1,F264,"")</f>
        <v/>
      </c>
      <c r="X264" s="67">
        <f>IF(V264=1,acctAP,"")</f>
        <v/>
      </c>
      <c r="Y264" s="68">
        <f>IF(V264=1,G264-S264,0)</f>
        <v/>
      </c>
      <c r="Z264" s="68">
        <f>IF(V264=1,G264,0)</f>
        <v/>
      </c>
      <c r="AA264" s="68">
        <f>IF(V264=1,S264,0)</f>
        <v/>
      </c>
    </row>
    <row r="265">
      <c r="B265" s="62" t="n"/>
      <c r="C265" s="63" t="n"/>
      <c r="D265" s="62" t="n"/>
      <c r="E265" s="62" t="n"/>
      <c r="F265" s="62" t="n"/>
      <c r="G265" s="64" t="n"/>
      <c r="H265" s="64" t="n"/>
      <c r="I265" s="63" t="n"/>
      <c r="J265" s="29">
        <f>IF(V265=1,IF(ISNUMBER(I265),I265,C265+IF(ISNUMBER(IFERROR(INDEX(vend_Terms,MATCH(D265,vend_Name,0)),"")),INDEX(vend_Terms,MATCH(D265,vend_Name,0)),TermsDays)),"")</f>
        <v/>
      </c>
      <c r="K265" s="65">
        <f>IF(V265=1,SUMIFS(tx_CrAmt,tx_Type,"Bill Payment",tx_Ref,B265&amp;"",tx_Vend,D265,tx_Date,"&lt;="&amp;AsOf),"")</f>
        <v/>
      </c>
      <c r="L265" s="65">
        <f>IF(V265=1,IF(C265&gt;AsOf,0,ROUND(G265-K265,2)),"")</f>
        <v/>
      </c>
      <c r="M265" s="66">
        <f>IF(V265&lt;&gt;1,"",IF(C265&gt;AsOf,"Future",IF(L265&lt;0,"Overpaid",IF(L265=0,"Paid",IF(AsOf&gt;J265,"Overdue",IF(K265&gt;0,"Partial","Unpaid"))))))</f>
        <v/>
      </c>
      <c r="N265" s="28">
        <f>IF(AND(V265=1,N(L265)&gt;0),AsOf-C265,"")</f>
        <v/>
      </c>
      <c r="O265" s="28">
        <f>IF(N265="","",MAX(0,AsOf-J265))</f>
        <v/>
      </c>
      <c r="P265" s="66">
        <f>IF(O265="","",IF(O265=0,"Current",IF(O265&lt;=30,"1-30",IF(O265&lt;=60,"31-60",IF(O265&lt;=90,"61-90","90+")))))</f>
        <v/>
      </c>
      <c r="Q265" s="66">
        <f>IF(T265&lt;&gt;"","⛔ "&amp;T265&amp;" — not posted",IF(U265&lt;&gt;"","⚠ "&amp;U265,IF(V265=1,"✓ OK","")))</f>
        <v/>
      </c>
      <c r="R265" s="67">
        <f>IF(AND(B265="",C265="",D265="",G265="",F265=""),1,0)</f>
        <v/>
      </c>
      <c r="S265" s="68">
        <f>IF(AND(TaxOn="Yes",ISNUMBER(H265)),H265,0)</f>
        <v/>
      </c>
      <c r="T265" s="67">
        <f>IF(R265=1,"",IF(B265="","Enter a bill #",IF(D265="","Select a vendor",IF(C265="","Missing bill date",IF(NOT(ISNUMBER(C265)),"Invalid date",IF(OR(C265&lt;DATE(2000,1,1),C265&gt;DATE(2099,12,31)),"Invalid date",IF(F265="","Select an expense account",IF(ISNA(MATCH(F265,coa_Name,0)),"Unknown account: "&amp;F265,IF(NOT(ISNUMBER(G265)),"Enter an amount",IF(G265&lt;=0,"Amount must be positive",IF(S265&gt;G265,"Tax is larger than the amount","")))))))))))</f>
        <v/>
      </c>
      <c r="U265" s="67">
        <f>IF(OR(R265=1,T265&lt;&gt;""),"",IF(COUNTIFS(ap_No,B265,ap_Party,D265)&gt;1,"Duplicate bill #",IF(N(L265)&lt;0,"Overpaid by "&amp;TEXT(-L265,"#,##0.00"),IF(AND(ISNUMBER(H265),N(H265)&lt;&gt;0,S265=0),"Tax ignored (tax tracking is off)",IF(AND(ISNUMBER(StartDate),C265&lt;StartDate),"Date is before the accounting start date",IF(OR(IFERROR(INDEX(coa_Type,MATCH(F265,coa_Name,0)),"")="Revenue",IFERROR(INDEX(coa_Type,MATCH(F265,coa_Name,0)),"")="Other Income",IFERROR(INDEX(coa_Type,MATCH(F265,coa_Name,0)),"")="Equity"),"Account is not an expense or asset account",""))))))</f>
        <v/>
      </c>
      <c r="V265" s="67">
        <f>IF(AND(R265=0,T265=""),1,0)</f>
        <v/>
      </c>
      <c r="W265" s="67">
        <f>IF(V265=1,F265,"")</f>
        <v/>
      </c>
      <c r="X265" s="67">
        <f>IF(V265=1,acctAP,"")</f>
        <v/>
      </c>
      <c r="Y265" s="68">
        <f>IF(V265=1,G265-S265,0)</f>
        <v/>
      </c>
      <c r="Z265" s="68">
        <f>IF(V265=1,G265,0)</f>
        <v/>
      </c>
      <c r="AA265" s="68">
        <f>IF(V265=1,S265,0)</f>
        <v/>
      </c>
    </row>
    <row r="266">
      <c r="B266" s="62" t="n"/>
      <c r="C266" s="63" t="n"/>
      <c r="D266" s="62" t="n"/>
      <c r="E266" s="62" t="n"/>
      <c r="F266" s="62" t="n"/>
      <c r="G266" s="64" t="n"/>
      <c r="H266" s="64" t="n"/>
      <c r="I266" s="63" t="n"/>
      <c r="J266" s="29">
        <f>IF(V266=1,IF(ISNUMBER(I266),I266,C266+IF(ISNUMBER(IFERROR(INDEX(vend_Terms,MATCH(D266,vend_Name,0)),"")),INDEX(vend_Terms,MATCH(D266,vend_Name,0)),TermsDays)),"")</f>
        <v/>
      </c>
      <c r="K266" s="65">
        <f>IF(V266=1,SUMIFS(tx_CrAmt,tx_Type,"Bill Payment",tx_Ref,B266&amp;"",tx_Vend,D266,tx_Date,"&lt;="&amp;AsOf),"")</f>
        <v/>
      </c>
      <c r="L266" s="65">
        <f>IF(V266=1,IF(C266&gt;AsOf,0,ROUND(G266-K266,2)),"")</f>
        <v/>
      </c>
      <c r="M266" s="66">
        <f>IF(V266&lt;&gt;1,"",IF(C266&gt;AsOf,"Future",IF(L266&lt;0,"Overpaid",IF(L266=0,"Paid",IF(AsOf&gt;J266,"Overdue",IF(K266&gt;0,"Partial","Unpaid"))))))</f>
        <v/>
      </c>
      <c r="N266" s="28">
        <f>IF(AND(V266=1,N(L266)&gt;0),AsOf-C266,"")</f>
        <v/>
      </c>
      <c r="O266" s="28">
        <f>IF(N266="","",MAX(0,AsOf-J266))</f>
        <v/>
      </c>
      <c r="P266" s="66">
        <f>IF(O266="","",IF(O266=0,"Current",IF(O266&lt;=30,"1-30",IF(O266&lt;=60,"31-60",IF(O266&lt;=90,"61-90","90+")))))</f>
        <v/>
      </c>
      <c r="Q266" s="66">
        <f>IF(T266&lt;&gt;"","⛔ "&amp;T266&amp;" — not posted",IF(U266&lt;&gt;"","⚠ "&amp;U266,IF(V266=1,"✓ OK","")))</f>
        <v/>
      </c>
      <c r="R266" s="67">
        <f>IF(AND(B266="",C266="",D266="",G266="",F266=""),1,0)</f>
        <v/>
      </c>
      <c r="S266" s="68">
        <f>IF(AND(TaxOn="Yes",ISNUMBER(H266)),H266,0)</f>
        <v/>
      </c>
      <c r="T266" s="67">
        <f>IF(R266=1,"",IF(B266="","Enter a bill #",IF(D266="","Select a vendor",IF(C266="","Missing bill date",IF(NOT(ISNUMBER(C266)),"Invalid date",IF(OR(C266&lt;DATE(2000,1,1),C266&gt;DATE(2099,12,31)),"Invalid date",IF(F266="","Select an expense account",IF(ISNA(MATCH(F266,coa_Name,0)),"Unknown account: "&amp;F266,IF(NOT(ISNUMBER(G266)),"Enter an amount",IF(G266&lt;=0,"Amount must be positive",IF(S266&gt;G266,"Tax is larger than the amount","")))))))))))</f>
        <v/>
      </c>
      <c r="U266" s="67">
        <f>IF(OR(R266=1,T266&lt;&gt;""),"",IF(COUNTIFS(ap_No,B266,ap_Party,D266)&gt;1,"Duplicate bill #",IF(N(L266)&lt;0,"Overpaid by "&amp;TEXT(-L266,"#,##0.00"),IF(AND(ISNUMBER(H266),N(H266)&lt;&gt;0,S266=0),"Tax ignored (tax tracking is off)",IF(AND(ISNUMBER(StartDate),C266&lt;StartDate),"Date is before the accounting start date",IF(OR(IFERROR(INDEX(coa_Type,MATCH(F266,coa_Name,0)),"")="Revenue",IFERROR(INDEX(coa_Type,MATCH(F266,coa_Name,0)),"")="Other Income",IFERROR(INDEX(coa_Type,MATCH(F266,coa_Name,0)),"")="Equity"),"Account is not an expense or asset account",""))))))</f>
        <v/>
      </c>
      <c r="V266" s="67">
        <f>IF(AND(R266=0,T266=""),1,0)</f>
        <v/>
      </c>
      <c r="W266" s="67">
        <f>IF(V266=1,F266,"")</f>
        <v/>
      </c>
      <c r="X266" s="67">
        <f>IF(V266=1,acctAP,"")</f>
        <v/>
      </c>
      <c r="Y266" s="68">
        <f>IF(V266=1,G266-S266,0)</f>
        <v/>
      </c>
      <c r="Z266" s="68">
        <f>IF(V266=1,G266,0)</f>
        <v/>
      </c>
      <c r="AA266" s="68">
        <f>IF(V266=1,S266,0)</f>
        <v/>
      </c>
    </row>
    <row r="267">
      <c r="B267" s="62" t="n"/>
      <c r="C267" s="63" t="n"/>
      <c r="D267" s="62" t="n"/>
      <c r="E267" s="62" t="n"/>
      <c r="F267" s="62" t="n"/>
      <c r="G267" s="64" t="n"/>
      <c r="H267" s="64" t="n"/>
      <c r="I267" s="63" t="n"/>
      <c r="J267" s="29">
        <f>IF(V267=1,IF(ISNUMBER(I267),I267,C267+IF(ISNUMBER(IFERROR(INDEX(vend_Terms,MATCH(D267,vend_Name,0)),"")),INDEX(vend_Terms,MATCH(D267,vend_Name,0)),TermsDays)),"")</f>
        <v/>
      </c>
      <c r="K267" s="65">
        <f>IF(V267=1,SUMIFS(tx_CrAmt,tx_Type,"Bill Payment",tx_Ref,B267&amp;"",tx_Vend,D267,tx_Date,"&lt;="&amp;AsOf),"")</f>
        <v/>
      </c>
      <c r="L267" s="65">
        <f>IF(V267=1,IF(C267&gt;AsOf,0,ROUND(G267-K267,2)),"")</f>
        <v/>
      </c>
      <c r="M267" s="66">
        <f>IF(V267&lt;&gt;1,"",IF(C267&gt;AsOf,"Future",IF(L267&lt;0,"Overpaid",IF(L267=0,"Paid",IF(AsOf&gt;J267,"Overdue",IF(K267&gt;0,"Partial","Unpaid"))))))</f>
        <v/>
      </c>
      <c r="N267" s="28">
        <f>IF(AND(V267=1,N(L267)&gt;0),AsOf-C267,"")</f>
        <v/>
      </c>
      <c r="O267" s="28">
        <f>IF(N267="","",MAX(0,AsOf-J267))</f>
        <v/>
      </c>
      <c r="P267" s="66">
        <f>IF(O267="","",IF(O267=0,"Current",IF(O267&lt;=30,"1-30",IF(O267&lt;=60,"31-60",IF(O267&lt;=90,"61-90","90+")))))</f>
        <v/>
      </c>
      <c r="Q267" s="66">
        <f>IF(T267&lt;&gt;"","⛔ "&amp;T267&amp;" — not posted",IF(U267&lt;&gt;"","⚠ "&amp;U267,IF(V267=1,"✓ OK","")))</f>
        <v/>
      </c>
      <c r="R267" s="67">
        <f>IF(AND(B267="",C267="",D267="",G267="",F267=""),1,0)</f>
        <v/>
      </c>
      <c r="S267" s="68">
        <f>IF(AND(TaxOn="Yes",ISNUMBER(H267)),H267,0)</f>
        <v/>
      </c>
      <c r="T267" s="67">
        <f>IF(R267=1,"",IF(B267="","Enter a bill #",IF(D267="","Select a vendor",IF(C267="","Missing bill date",IF(NOT(ISNUMBER(C267)),"Invalid date",IF(OR(C267&lt;DATE(2000,1,1),C267&gt;DATE(2099,12,31)),"Invalid date",IF(F267="","Select an expense account",IF(ISNA(MATCH(F267,coa_Name,0)),"Unknown account: "&amp;F267,IF(NOT(ISNUMBER(G267)),"Enter an amount",IF(G267&lt;=0,"Amount must be positive",IF(S267&gt;G267,"Tax is larger than the amount","")))))))))))</f>
        <v/>
      </c>
      <c r="U267" s="67">
        <f>IF(OR(R267=1,T267&lt;&gt;""),"",IF(COUNTIFS(ap_No,B267,ap_Party,D267)&gt;1,"Duplicate bill #",IF(N(L267)&lt;0,"Overpaid by "&amp;TEXT(-L267,"#,##0.00"),IF(AND(ISNUMBER(H267),N(H267)&lt;&gt;0,S267=0),"Tax ignored (tax tracking is off)",IF(AND(ISNUMBER(StartDate),C267&lt;StartDate),"Date is before the accounting start date",IF(OR(IFERROR(INDEX(coa_Type,MATCH(F267,coa_Name,0)),"")="Revenue",IFERROR(INDEX(coa_Type,MATCH(F267,coa_Name,0)),"")="Other Income",IFERROR(INDEX(coa_Type,MATCH(F267,coa_Name,0)),"")="Equity"),"Account is not an expense or asset account",""))))))</f>
        <v/>
      </c>
      <c r="V267" s="67">
        <f>IF(AND(R267=0,T267=""),1,0)</f>
        <v/>
      </c>
      <c r="W267" s="67">
        <f>IF(V267=1,F267,"")</f>
        <v/>
      </c>
      <c r="X267" s="67">
        <f>IF(V267=1,acctAP,"")</f>
        <v/>
      </c>
      <c r="Y267" s="68">
        <f>IF(V267=1,G267-S267,0)</f>
        <v/>
      </c>
      <c r="Z267" s="68">
        <f>IF(V267=1,G267,0)</f>
        <v/>
      </c>
      <c r="AA267" s="68">
        <f>IF(V267=1,S267,0)</f>
        <v/>
      </c>
    </row>
    <row r="268">
      <c r="B268" s="62" t="n"/>
      <c r="C268" s="63" t="n"/>
      <c r="D268" s="62" t="n"/>
      <c r="E268" s="62" t="n"/>
      <c r="F268" s="62" t="n"/>
      <c r="G268" s="64" t="n"/>
      <c r="H268" s="64" t="n"/>
      <c r="I268" s="63" t="n"/>
      <c r="J268" s="29">
        <f>IF(V268=1,IF(ISNUMBER(I268),I268,C268+IF(ISNUMBER(IFERROR(INDEX(vend_Terms,MATCH(D268,vend_Name,0)),"")),INDEX(vend_Terms,MATCH(D268,vend_Name,0)),TermsDays)),"")</f>
        <v/>
      </c>
      <c r="K268" s="65">
        <f>IF(V268=1,SUMIFS(tx_CrAmt,tx_Type,"Bill Payment",tx_Ref,B268&amp;"",tx_Vend,D268,tx_Date,"&lt;="&amp;AsOf),"")</f>
        <v/>
      </c>
      <c r="L268" s="65">
        <f>IF(V268=1,IF(C268&gt;AsOf,0,ROUND(G268-K268,2)),"")</f>
        <v/>
      </c>
      <c r="M268" s="66">
        <f>IF(V268&lt;&gt;1,"",IF(C268&gt;AsOf,"Future",IF(L268&lt;0,"Overpaid",IF(L268=0,"Paid",IF(AsOf&gt;J268,"Overdue",IF(K268&gt;0,"Partial","Unpaid"))))))</f>
        <v/>
      </c>
      <c r="N268" s="28">
        <f>IF(AND(V268=1,N(L268)&gt;0),AsOf-C268,"")</f>
        <v/>
      </c>
      <c r="O268" s="28">
        <f>IF(N268="","",MAX(0,AsOf-J268))</f>
        <v/>
      </c>
      <c r="P268" s="66">
        <f>IF(O268="","",IF(O268=0,"Current",IF(O268&lt;=30,"1-30",IF(O268&lt;=60,"31-60",IF(O268&lt;=90,"61-90","90+")))))</f>
        <v/>
      </c>
      <c r="Q268" s="66">
        <f>IF(T268&lt;&gt;"","⛔ "&amp;T268&amp;" — not posted",IF(U268&lt;&gt;"","⚠ "&amp;U268,IF(V268=1,"✓ OK","")))</f>
        <v/>
      </c>
      <c r="R268" s="67">
        <f>IF(AND(B268="",C268="",D268="",G268="",F268=""),1,0)</f>
        <v/>
      </c>
      <c r="S268" s="68">
        <f>IF(AND(TaxOn="Yes",ISNUMBER(H268)),H268,0)</f>
        <v/>
      </c>
      <c r="T268" s="67">
        <f>IF(R268=1,"",IF(B268="","Enter a bill #",IF(D268="","Select a vendor",IF(C268="","Missing bill date",IF(NOT(ISNUMBER(C268)),"Invalid date",IF(OR(C268&lt;DATE(2000,1,1),C268&gt;DATE(2099,12,31)),"Invalid date",IF(F268="","Select an expense account",IF(ISNA(MATCH(F268,coa_Name,0)),"Unknown account: "&amp;F268,IF(NOT(ISNUMBER(G268)),"Enter an amount",IF(G268&lt;=0,"Amount must be positive",IF(S268&gt;G268,"Tax is larger than the amount","")))))))))))</f>
        <v/>
      </c>
      <c r="U268" s="67">
        <f>IF(OR(R268=1,T268&lt;&gt;""),"",IF(COUNTIFS(ap_No,B268,ap_Party,D268)&gt;1,"Duplicate bill #",IF(N(L268)&lt;0,"Overpaid by "&amp;TEXT(-L268,"#,##0.00"),IF(AND(ISNUMBER(H268),N(H268)&lt;&gt;0,S268=0),"Tax ignored (tax tracking is off)",IF(AND(ISNUMBER(StartDate),C268&lt;StartDate),"Date is before the accounting start date",IF(OR(IFERROR(INDEX(coa_Type,MATCH(F268,coa_Name,0)),"")="Revenue",IFERROR(INDEX(coa_Type,MATCH(F268,coa_Name,0)),"")="Other Income",IFERROR(INDEX(coa_Type,MATCH(F268,coa_Name,0)),"")="Equity"),"Account is not an expense or asset account",""))))))</f>
        <v/>
      </c>
      <c r="V268" s="67">
        <f>IF(AND(R268=0,T268=""),1,0)</f>
        <v/>
      </c>
      <c r="W268" s="67">
        <f>IF(V268=1,F268,"")</f>
        <v/>
      </c>
      <c r="X268" s="67">
        <f>IF(V268=1,acctAP,"")</f>
        <v/>
      </c>
      <c r="Y268" s="68">
        <f>IF(V268=1,G268-S268,0)</f>
        <v/>
      </c>
      <c r="Z268" s="68">
        <f>IF(V268=1,G268,0)</f>
        <v/>
      </c>
      <c r="AA268" s="68">
        <f>IF(V268=1,S268,0)</f>
        <v/>
      </c>
    </row>
    <row r="269">
      <c r="B269" s="62" t="n"/>
      <c r="C269" s="63" t="n"/>
      <c r="D269" s="62" t="n"/>
      <c r="E269" s="62" t="n"/>
      <c r="F269" s="62" t="n"/>
      <c r="G269" s="64" t="n"/>
      <c r="H269" s="64" t="n"/>
      <c r="I269" s="63" t="n"/>
      <c r="J269" s="29">
        <f>IF(V269=1,IF(ISNUMBER(I269),I269,C269+IF(ISNUMBER(IFERROR(INDEX(vend_Terms,MATCH(D269,vend_Name,0)),"")),INDEX(vend_Terms,MATCH(D269,vend_Name,0)),TermsDays)),"")</f>
        <v/>
      </c>
      <c r="K269" s="65">
        <f>IF(V269=1,SUMIFS(tx_CrAmt,tx_Type,"Bill Payment",tx_Ref,B269&amp;"",tx_Vend,D269,tx_Date,"&lt;="&amp;AsOf),"")</f>
        <v/>
      </c>
      <c r="L269" s="65">
        <f>IF(V269=1,IF(C269&gt;AsOf,0,ROUND(G269-K269,2)),"")</f>
        <v/>
      </c>
      <c r="M269" s="66">
        <f>IF(V269&lt;&gt;1,"",IF(C269&gt;AsOf,"Future",IF(L269&lt;0,"Overpaid",IF(L269=0,"Paid",IF(AsOf&gt;J269,"Overdue",IF(K269&gt;0,"Partial","Unpaid"))))))</f>
        <v/>
      </c>
      <c r="N269" s="28">
        <f>IF(AND(V269=1,N(L269)&gt;0),AsOf-C269,"")</f>
        <v/>
      </c>
      <c r="O269" s="28">
        <f>IF(N269="","",MAX(0,AsOf-J269))</f>
        <v/>
      </c>
      <c r="P269" s="66">
        <f>IF(O269="","",IF(O269=0,"Current",IF(O269&lt;=30,"1-30",IF(O269&lt;=60,"31-60",IF(O269&lt;=90,"61-90","90+")))))</f>
        <v/>
      </c>
      <c r="Q269" s="66">
        <f>IF(T269&lt;&gt;"","⛔ "&amp;T269&amp;" — not posted",IF(U269&lt;&gt;"","⚠ "&amp;U269,IF(V269=1,"✓ OK","")))</f>
        <v/>
      </c>
      <c r="R269" s="67">
        <f>IF(AND(B269="",C269="",D269="",G269="",F269=""),1,0)</f>
        <v/>
      </c>
      <c r="S269" s="68">
        <f>IF(AND(TaxOn="Yes",ISNUMBER(H269)),H269,0)</f>
        <v/>
      </c>
      <c r="T269" s="67">
        <f>IF(R269=1,"",IF(B269="","Enter a bill #",IF(D269="","Select a vendor",IF(C269="","Missing bill date",IF(NOT(ISNUMBER(C269)),"Invalid date",IF(OR(C269&lt;DATE(2000,1,1),C269&gt;DATE(2099,12,31)),"Invalid date",IF(F269="","Select an expense account",IF(ISNA(MATCH(F269,coa_Name,0)),"Unknown account: "&amp;F269,IF(NOT(ISNUMBER(G269)),"Enter an amount",IF(G269&lt;=0,"Amount must be positive",IF(S269&gt;G269,"Tax is larger than the amount","")))))))))))</f>
        <v/>
      </c>
      <c r="U269" s="67">
        <f>IF(OR(R269=1,T269&lt;&gt;""),"",IF(COUNTIFS(ap_No,B269,ap_Party,D269)&gt;1,"Duplicate bill #",IF(N(L269)&lt;0,"Overpaid by "&amp;TEXT(-L269,"#,##0.00"),IF(AND(ISNUMBER(H269),N(H269)&lt;&gt;0,S269=0),"Tax ignored (tax tracking is off)",IF(AND(ISNUMBER(StartDate),C269&lt;StartDate),"Date is before the accounting start date",IF(OR(IFERROR(INDEX(coa_Type,MATCH(F269,coa_Name,0)),"")="Revenue",IFERROR(INDEX(coa_Type,MATCH(F269,coa_Name,0)),"")="Other Income",IFERROR(INDEX(coa_Type,MATCH(F269,coa_Name,0)),"")="Equity"),"Account is not an expense or asset account",""))))))</f>
        <v/>
      </c>
      <c r="V269" s="67">
        <f>IF(AND(R269=0,T269=""),1,0)</f>
        <v/>
      </c>
      <c r="W269" s="67">
        <f>IF(V269=1,F269,"")</f>
        <v/>
      </c>
      <c r="X269" s="67">
        <f>IF(V269=1,acctAP,"")</f>
        <v/>
      </c>
      <c r="Y269" s="68">
        <f>IF(V269=1,G269-S269,0)</f>
        <v/>
      </c>
      <c r="Z269" s="68">
        <f>IF(V269=1,G269,0)</f>
        <v/>
      </c>
      <c r="AA269" s="68">
        <f>IF(V269=1,S269,0)</f>
        <v/>
      </c>
    </row>
    <row r="270">
      <c r="B270" s="62" t="n"/>
      <c r="C270" s="63" t="n"/>
      <c r="D270" s="62" t="n"/>
      <c r="E270" s="62" t="n"/>
      <c r="F270" s="62" t="n"/>
      <c r="G270" s="64" t="n"/>
      <c r="H270" s="64" t="n"/>
      <c r="I270" s="63" t="n"/>
      <c r="J270" s="29">
        <f>IF(V270=1,IF(ISNUMBER(I270),I270,C270+IF(ISNUMBER(IFERROR(INDEX(vend_Terms,MATCH(D270,vend_Name,0)),"")),INDEX(vend_Terms,MATCH(D270,vend_Name,0)),TermsDays)),"")</f>
        <v/>
      </c>
      <c r="K270" s="65">
        <f>IF(V270=1,SUMIFS(tx_CrAmt,tx_Type,"Bill Payment",tx_Ref,B270&amp;"",tx_Vend,D270,tx_Date,"&lt;="&amp;AsOf),"")</f>
        <v/>
      </c>
      <c r="L270" s="65">
        <f>IF(V270=1,IF(C270&gt;AsOf,0,ROUND(G270-K270,2)),"")</f>
        <v/>
      </c>
      <c r="M270" s="66">
        <f>IF(V270&lt;&gt;1,"",IF(C270&gt;AsOf,"Future",IF(L270&lt;0,"Overpaid",IF(L270=0,"Paid",IF(AsOf&gt;J270,"Overdue",IF(K270&gt;0,"Partial","Unpaid"))))))</f>
        <v/>
      </c>
      <c r="N270" s="28">
        <f>IF(AND(V270=1,N(L270)&gt;0),AsOf-C270,"")</f>
        <v/>
      </c>
      <c r="O270" s="28">
        <f>IF(N270="","",MAX(0,AsOf-J270))</f>
        <v/>
      </c>
      <c r="P270" s="66">
        <f>IF(O270="","",IF(O270=0,"Current",IF(O270&lt;=30,"1-30",IF(O270&lt;=60,"31-60",IF(O270&lt;=90,"61-90","90+")))))</f>
        <v/>
      </c>
      <c r="Q270" s="66">
        <f>IF(T270&lt;&gt;"","⛔ "&amp;T270&amp;" — not posted",IF(U270&lt;&gt;"","⚠ "&amp;U270,IF(V270=1,"✓ OK","")))</f>
        <v/>
      </c>
      <c r="R270" s="67">
        <f>IF(AND(B270="",C270="",D270="",G270="",F270=""),1,0)</f>
        <v/>
      </c>
      <c r="S270" s="68">
        <f>IF(AND(TaxOn="Yes",ISNUMBER(H270)),H270,0)</f>
        <v/>
      </c>
      <c r="T270" s="67">
        <f>IF(R270=1,"",IF(B270="","Enter a bill #",IF(D270="","Select a vendor",IF(C270="","Missing bill date",IF(NOT(ISNUMBER(C270)),"Invalid date",IF(OR(C270&lt;DATE(2000,1,1),C270&gt;DATE(2099,12,31)),"Invalid date",IF(F270="","Select an expense account",IF(ISNA(MATCH(F270,coa_Name,0)),"Unknown account: "&amp;F270,IF(NOT(ISNUMBER(G270)),"Enter an amount",IF(G270&lt;=0,"Amount must be positive",IF(S270&gt;G270,"Tax is larger than the amount","")))))))))))</f>
        <v/>
      </c>
      <c r="U270" s="67">
        <f>IF(OR(R270=1,T270&lt;&gt;""),"",IF(COUNTIFS(ap_No,B270,ap_Party,D270)&gt;1,"Duplicate bill #",IF(N(L270)&lt;0,"Overpaid by "&amp;TEXT(-L270,"#,##0.00"),IF(AND(ISNUMBER(H270),N(H270)&lt;&gt;0,S270=0),"Tax ignored (tax tracking is off)",IF(AND(ISNUMBER(StartDate),C270&lt;StartDate),"Date is before the accounting start date",IF(OR(IFERROR(INDEX(coa_Type,MATCH(F270,coa_Name,0)),"")="Revenue",IFERROR(INDEX(coa_Type,MATCH(F270,coa_Name,0)),"")="Other Income",IFERROR(INDEX(coa_Type,MATCH(F270,coa_Name,0)),"")="Equity"),"Account is not an expense or asset account",""))))))</f>
        <v/>
      </c>
      <c r="V270" s="67">
        <f>IF(AND(R270=0,T270=""),1,0)</f>
        <v/>
      </c>
      <c r="W270" s="67">
        <f>IF(V270=1,F270,"")</f>
        <v/>
      </c>
      <c r="X270" s="67">
        <f>IF(V270=1,acctAP,"")</f>
        <v/>
      </c>
      <c r="Y270" s="68">
        <f>IF(V270=1,G270-S270,0)</f>
        <v/>
      </c>
      <c r="Z270" s="68">
        <f>IF(V270=1,G270,0)</f>
        <v/>
      </c>
      <c r="AA270" s="68">
        <f>IF(V270=1,S270,0)</f>
        <v/>
      </c>
    </row>
    <row r="271">
      <c r="B271" s="62" t="n"/>
      <c r="C271" s="63" t="n"/>
      <c r="D271" s="62" t="n"/>
      <c r="E271" s="62" t="n"/>
      <c r="F271" s="62" t="n"/>
      <c r="G271" s="64" t="n"/>
      <c r="H271" s="64" t="n"/>
      <c r="I271" s="63" t="n"/>
      <c r="J271" s="29">
        <f>IF(V271=1,IF(ISNUMBER(I271),I271,C271+IF(ISNUMBER(IFERROR(INDEX(vend_Terms,MATCH(D271,vend_Name,0)),"")),INDEX(vend_Terms,MATCH(D271,vend_Name,0)),TermsDays)),"")</f>
        <v/>
      </c>
      <c r="K271" s="65">
        <f>IF(V271=1,SUMIFS(tx_CrAmt,tx_Type,"Bill Payment",tx_Ref,B271&amp;"",tx_Vend,D271,tx_Date,"&lt;="&amp;AsOf),"")</f>
        <v/>
      </c>
      <c r="L271" s="65">
        <f>IF(V271=1,IF(C271&gt;AsOf,0,ROUND(G271-K271,2)),"")</f>
        <v/>
      </c>
      <c r="M271" s="66">
        <f>IF(V271&lt;&gt;1,"",IF(C271&gt;AsOf,"Future",IF(L271&lt;0,"Overpaid",IF(L271=0,"Paid",IF(AsOf&gt;J271,"Overdue",IF(K271&gt;0,"Partial","Unpaid"))))))</f>
        <v/>
      </c>
      <c r="N271" s="28">
        <f>IF(AND(V271=1,N(L271)&gt;0),AsOf-C271,"")</f>
        <v/>
      </c>
      <c r="O271" s="28">
        <f>IF(N271="","",MAX(0,AsOf-J271))</f>
        <v/>
      </c>
      <c r="P271" s="66">
        <f>IF(O271="","",IF(O271=0,"Current",IF(O271&lt;=30,"1-30",IF(O271&lt;=60,"31-60",IF(O271&lt;=90,"61-90","90+")))))</f>
        <v/>
      </c>
      <c r="Q271" s="66">
        <f>IF(T271&lt;&gt;"","⛔ "&amp;T271&amp;" — not posted",IF(U271&lt;&gt;"","⚠ "&amp;U271,IF(V271=1,"✓ OK","")))</f>
        <v/>
      </c>
      <c r="R271" s="67">
        <f>IF(AND(B271="",C271="",D271="",G271="",F271=""),1,0)</f>
        <v/>
      </c>
      <c r="S271" s="68">
        <f>IF(AND(TaxOn="Yes",ISNUMBER(H271)),H271,0)</f>
        <v/>
      </c>
      <c r="T271" s="67">
        <f>IF(R271=1,"",IF(B271="","Enter a bill #",IF(D271="","Select a vendor",IF(C271="","Missing bill date",IF(NOT(ISNUMBER(C271)),"Invalid date",IF(OR(C271&lt;DATE(2000,1,1),C271&gt;DATE(2099,12,31)),"Invalid date",IF(F271="","Select an expense account",IF(ISNA(MATCH(F271,coa_Name,0)),"Unknown account: "&amp;F271,IF(NOT(ISNUMBER(G271)),"Enter an amount",IF(G271&lt;=0,"Amount must be positive",IF(S271&gt;G271,"Tax is larger than the amount","")))))))))))</f>
        <v/>
      </c>
      <c r="U271" s="67">
        <f>IF(OR(R271=1,T271&lt;&gt;""),"",IF(COUNTIFS(ap_No,B271,ap_Party,D271)&gt;1,"Duplicate bill #",IF(N(L271)&lt;0,"Overpaid by "&amp;TEXT(-L271,"#,##0.00"),IF(AND(ISNUMBER(H271),N(H271)&lt;&gt;0,S271=0),"Tax ignored (tax tracking is off)",IF(AND(ISNUMBER(StartDate),C271&lt;StartDate),"Date is before the accounting start date",IF(OR(IFERROR(INDEX(coa_Type,MATCH(F271,coa_Name,0)),"")="Revenue",IFERROR(INDEX(coa_Type,MATCH(F271,coa_Name,0)),"")="Other Income",IFERROR(INDEX(coa_Type,MATCH(F271,coa_Name,0)),"")="Equity"),"Account is not an expense or asset account",""))))))</f>
        <v/>
      </c>
      <c r="V271" s="67">
        <f>IF(AND(R271=0,T271=""),1,0)</f>
        <v/>
      </c>
      <c r="W271" s="67">
        <f>IF(V271=1,F271,"")</f>
        <v/>
      </c>
      <c r="X271" s="67">
        <f>IF(V271=1,acctAP,"")</f>
        <v/>
      </c>
      <c r="Y271" s="68">
        <f>IF(V271=1,G271-S271,0)</f>
        <v/>
      </c>
      <c r="Z271" s="68">
        <f>IF(V271=1,G271,0)</f>
        <v/>
      </c>
      <c r="AA271" s="68">
        <f>IF(V271=1,S271,0)</f>
        <v/>
      </c>
    </row>
    <row r="272">
      <c r="B272" s="62" t="n"/>
      <c r="C272" s="63" t="n"/>
      <c r="D272" s="62" t="n"/>
      <c r="E272" s="62" t="n"/>
      <c r="F272" s="62" t="n"/>
      <c r="G272" s="64" t="n"/>
      <c r="H272" s="64" t="n"/>
      <c r="I272" s="63" t="n"/>
      <c r="J272" s="29">
        <f>IF(V272=1,IF(ISNUMBER(I272),I272,C272+IF(ISNUMBER(IFERROR(INDEX(vend_Terms,MATCH(D272,vend_Name,0)),"")),INDEX(vend_Terms,MATCH(D272,vend_Name,0)),TermsDays)),"")</f>
        <v/>
      </c>
      <c r="K272" s="65">
        <f>IF(V272=1,SUMIFS(tx_CrAmt,tx_Type,"Bill Payment",tx_Ref,B272&amp;"",tx_Vend,D272,tx_Date,"&lt;="&amp;AsOf),"")</f>
        <v/>
      </c>
      <c r="L272" s="65">
        <f>IF(V272=1,IF(C272&gt;AsOf,0,ROUND(G272-K272,2)),"")</f>
        <v/>
      </c>
      <c r="M272" s="66">
        <f>IF(V272&lt;&gt;1,"",IF(C272&gt;AsOf,"Future",IF(L272&lt;0,"Overpaid",IF(L272=0,"Paid",IF(AsOf&gt;J272,"Overdue",IF(K272&gt;0,"Partial","Unpaid"))))))</f>
        <v/>
      </c>
      <c r="N272" s="28">
        <f>IF(AND(V272=1,N(L272)&gt;0),AsOf-C272,"")</f>
        <v/>
      </c>
      <c r="O272" s="28">
        <f>IF(N272="","",MAX(0,AsOf-J272))</f>
        <v/>
      </c>
      <c r="P272" s="66">
        <f>IF(O272="","",IF(O272=0,"Current",IF(O272&lt;=30,"1-30",IF(O272&lt;=60,"31-60",IF(O272&lt;=90,"61-90","90+")))))</f>
        <v/>
      </c>
      <c r="Q272" s="66">
        <f>IF(T272&lt;&gt;"","⛔ "&amp;T272&amp;" — not posted",IF(U272&lt;&gt;"","⚠ "&amp;U272,IF(V272=1,"✓ OK","")))</f>
        <v/>
      </c>
      <c r="R272" s="67">
        <f>IF(AND(B272="",C272="",D272="",G272="",F272=""),1,0)</f>
        <v/>
      </c>
      <c r="S272" s="68">
        <f>IF(AND(TaxOn="Yes",ISNUMBER(H272)),H272,0)</f>
        <v/>
      </c>
      <c r="T272" s="67">
        <f>IF(R272=1,"",IF(B272="","Enter a bill #",IF(D272="","Select a vendor",IF(C272="","Missing bill date",IF(NOT(ISNUMBER(C272)),"Invalid date",IF(OR(C272&lt;DATE(2000,1,1),C272&gt;DATE(2099,12,31)),"Invalid date",IF(F272="","Select an expense account",IF(ISNA(MATCH(F272,coa_Name,0)),"Unknown account: "&amp;F272,IF(NOT(ISNUMBER(G272)),"Enter an amount",IF(G272&lt;=0,"Amount must be positive",IF(S272&gt;G272,"Tax is larger than the amount","")))))))))))</f>
        <v/>
      </c>
      <c r="U272" s="67">
        <f>IF(OR(R272=1,T272&lt;&gt;""),"",IF(COUNTIFS(ap_No,B272,ap_Party,D272)&gt;1,"Duplicate bill #",IF(N(L272)&lt;0,"Overpaid by "&amp;TEXT(-L272,"#,##0.00"),IF(AND(ISNUMBER(H272),N(H272)&lt;&gt;0,S272=0),"Tax ignored (tax tracking is off)",IF(AND(ISNUMBER(StartDate),C272&lt;StartDate),"Date is before the accounting start date",IF(OR(IFERROR(INDEX(coa_Type,MATCH(F272,coa_Name,0)),"")="Revenue",IFERROR(INDEX(coa_Type,MATCH(F272,coa_Name,0)),"")="Other Income",IFERROR(INDEX(coa_Type,MATCH(F272,coa_Name,0)),"")="Equity"),"Account is not an expense or asset account",""))))))</f>
        <v/>
      </c>
      <c r="V272" s="67">
        <f>IF(AND(R272=0,T272=""),1,0)</f>
        <v/>
      </c>
      <c r="W272" s="67">
        <f>IF(V272=1,F272,"")</f>
        <v/>
      </c>
      <c r="X272" s="67">
        <f>IF(V272=1,acctAP,"")</f>
        <v/>
      </c>
      <c r="Y272" s="68">
        <f>IF(V272=1,G272-S272,0)</f>
        <v/>
      </c>
      <c r="Z272" s="68">
        <f>IF(V272=1,G272,0)</f>
        <v/>
      </c>
      <c r="AA272" s="68">
        <f>IF(V272=1,S272,0)</f>
        <v/>
      </c>
    </row>
    <row r="273">
      <c r="B273" s="62" t="n"/>
      <c r="C273" s="63" t="n"/>
      <c r="D273" s="62" t="n"/>
      <c r="E273" s="62" t="n"/>
      <c r="F273" s="62" t="n"/>
      <c r="G273" s="64" t="n"/>
      <c r="H273" s="64" t="n"/>
      <c r="I273" s="63" t="n"/>
      <c r="J273" s="29">
        <f>IF(V273=1,IF(ISNUMBER(I273),I273,C273+IF(ISNUMBER(IFERROR(INDEX(vend_Terms,MATCH(D273,vend_Name,0)),"")),INDEX(vend_Terms,MATCH(D273,vend_Name,0)),TermsDays)),"")</f>
        <v/>
      </c>
      <c r="K273" s="65">
        <f>IF(V273=1,SUMIFS(tx_CrAmt,tx_Type,"Bill Payment",tx_Ref,B273&amp;"",tx_Vend,D273,tx_Date,"&lt;="&amp;AsOf),"")</f>
        <v/>
      </c>
      <c r="L273" s="65">
        <f>IF(V273=1,IF(C273&gt;AsOf,0,ROUND(G273-K273,2)),"")</f>
        <v/>
      </c>
      <c r="M273" s="66">
        <f>IF(V273&lt;&gt;1,"",IF(C273&gt;AsOf,"Future",IF(L273&lt;0,"Overpaid",IF(L273=0,"Paid",IF(AsOf&gt;J273,"Overdue",IF(K273&gt;0,"Partial","Unpaid"))))))</f>
        <v/>
      </c>
      <c r="N273" s="28">
        <f>IF(AND(V273=1,N(L273)&gt;0),AsOf-C273,"")</f>
        <v/>
      </c>
      <c r="O273" s="28">
        <f>IF(N273="","",MAX(0,AsOf-J273))</f>
        <v/>
      </c>
      <c r="P273" s="66">
        <f>IF(O273="","",IF(O273=0,"Current",IF(O273&lt;=30,"1-30",IF(O273&lt;=60,"31-60",IF(O273&lt;=90,"61-90","90+")))))</f>
        <v/>
      </c>
      <c r="Q273" s="66">
        <f>IF(T273&lt;&gt;"","⛔ "&amp;T273&amp;" — not posted",IF(U273&lt;&gt;"","⚠ "&amp;U273,IF(V273=1,"✓ OK","")))</f>
        <v/>
      </c>
      <c r="R273" s="67">
        <f>IF(AND(B273="",C273="",D273="",G273="",F273=""),1,0)</f>
        <v/>
      </c>
      <c r="S273" s="68">
        <f>IF(AND(TaxOn="Yes",ISNUMBER(H273)),H273,0)</f>
        <v/>
      </c>
      <c r="T273" s="67">
        <f>IF(R273=1,"",IF(B273="","Enter a bill #",IF(D273="","Select a vendor",IF(C273="","Missing bill date",IF(NOT(ISNUMBER(C273)),"Invalid date",IF(OR(C273&lt;DATE(2000,1,1),C273&gt;DATE(2099,12,31)),"Invalid date",IF(F273="","Select an expense account",IF(ISNA(MATCH(F273,coa_Name,0)),"Unknown account: "&amp;F273,IF(NOT(ISNUMBER(G273)),"Enter an amount",IF(G273&lt;=0,"Amount must be positive",IF(S273&gt;G273,"Tax is larger than the amount","")))))))))))</f>
        <v/>
      </c>
      <c r="U273" s="67">
        <f>IF(OR(R273=1,T273&lt;&gt;""),"",IF(COUNTIFS(ap_No,B273,ap_Party,D273)&gt;1,"Duplicate bill #",IF(N(L273)&lt;0,"Overpaid by "&amp;TEXT(-L273,"#,##0.00"),IF(AND(ISNUMBER(H273),N(H273)&lt;&gt;0,S273=0),"Tax ignored (tax tracking is off)",IF(AND(ISNUMBER(StartDate),C273&lt;StartDate),"Date is before the accounting start date",IF(OR(IFERROR(INDEX(coa_Type,MATCH(F273,coa_Name,0)),"")="Revenue",IFERROR(INDEX(coa_Type,MATCH(F273,coa_Name,0)),"")="Other Income",IFERROR(INDEX(coa_Type,MATCH(F273,coa_Name,0)),"")="Equity"),"Account is not an expense or asset account",""))))))</f>
        <v/>
      </c>
      <c r="V273" s="67">
        <f>IF(AND(R273=0,T273=""),1,0)</f>
        <v/>
      </c>
      <c r="W273" s="67">
        <f>IF(V273=1,F273,"")</f>
        <v/>
      </c>
      <c r="X273" s="67">
        <f>IF(V273=1,acctAP,"")</f>
        <v/>
      </c>
      <c r="Y273" s="68">
        <f>IF(V273=1,G273-S273,0)</f>
        <v/>
      </c>
      <c r="Z273" s="68">
        <f>IF(V273=1,G273,0)</f>
        <v/>
      </c>
      <c r="AA273" s="68">
        <f>IF(V273=1,S273,0)</f>
        <v/>
      </c>
    </row>
    <row r="274">
      <c r="B274" s="62" t="n"/>
      <c r="C274" s="63" t="n"/>
      <c r="D274" s="62" t="n"/>
      <c r="E274" s="62" t="n"/>
      <c r="F274" s="62" t="n"/>
      <c r="G274" s="64" t="n"/>
      <c r="H274" s="64" t="n"/>
      <c r="I274" s="63" t="n"/>
      <c r="J274" s="29">
        <f>IF(V274=1,IF(ISNUMBER(I274),I274,C274+IF(ISNUMBER(IFERROR(INDEX(vend_Terms,MATCH(D274,vend_Name,0)),"")),INDEX(vend_Terms,MATCH(D274,vend_Name,0)),TermsDays)),"")</f>
        <v/>
      </c>
      <c r="K274" s="65">
        <f>IF(V274=1,SUMIFS(tx_CrAmt,tx_Type,"Bill Payment",tx_Ref,B274&amp;"",tx_Vend,D274,tx_Date,"&lt;="&amp;AsOf),"")</f>
        <v/>
      </c>
      <c r="L274" s="65">
        <f>IF(V274=1,IF(C274&gt;AsOf,0,ROUND(G274-K274,2)),"")</f>
        <v/>
      </c>
      <c r="M274" s="66">
        <f>IF(V274&lt;&gt;1,"",IF(C274&gt;AsOf,"Future",IF(L274&lt;0,"Overpaid",IF(L274=0,"Paid",IF(AsOf&gt;J274,"Overdue",IF(K274&gt;0,"Partial","Unpaid"))))))</f>
        <v/>
      </c>
      <c r="N274" s="28">
        <f>IF(AND(V274=1,N(L274)&gt;0),AsOf-C274,"")</f>
        <v/>
      </c>
      <c r="O274" s="28">
        <f>IF(N274="","",MAX(0,AsOf-J274))</f>
        <v/>
      </c>
      <c r="P274" s="66">
        <f>IF(O274="","",IF(O274=0,"Current",IF(O274&lt;=30,"1-30",IF(O274&lt;=60,"31-60",IF(O274&lt;=90,"61-90","90+")))))</f>
        <v/>
      </c>
      <c r="Q274" s="66">
        <f>IF(T274&lt;&gt;"","⛔ "&amp;T274&amp;" — not posted",IF(U274&lt;&gt;"","⚠ "&amp;U274,IF(V274=1,"✓ OK","")))</f>
        <v/>
      </c>
      <c r="R274" s="67">
        <f>IF(AND(B274="",C274="",D274="",G274="",F274=""),1,0)</f>
        <v/>
      </c>
      <c r="S274" s="68">
        <f>IF(AND(TaxOn="Yes",ISNUMBER(H274)),H274,0)</f>
        <v/>
      </c>
      <c r="T274" s="67">
        <f>IF(R274=1,"",IF(B274="","Enter a bill #",IF(D274="","Select a vendor",IF(C274="","Missing bill date",IF(NOT(ISNUMBER(C274)),"Invalid date",IF(OR(C274&lt;DATE(2000,1,1),C274&gt;DATE(2099,12,31)),"Invalid date",IF(F274="","Select an expense account",IF(ISNA(MATCH(F274,coa_Name,0)),"Unknown account: "&amp;F274,IF(NOT(ISNUMBER(G274)),"Enter an amount",IF(G274&lt;=0,"Amount must be positive",IF(S274&gt;G274,"Tax is larger than the amount","")))))))))))</f>
        <v/>
      </c>
      <c r="U274" s="67">
        <f>IF(OR(R274=1,T274&lt;&gt;""),"",IF(COUNTIFS(ap_No,B274,ap_Party,D274)&gt;1,"Duplicate bill #",IF(N(L274)&lt;0,"Overpaid by "&amp;TEXT(-L274,"#,##0.00"),IF(AND(ISNUMBER(H274),N(H274)&lt;&gt;0,S274=0),"Tax ignored (tax tracking is off)",IF(AND(ISNUMBER(StartDate),C274&lt;StartDate),"Date is before the accounting start date",IF(OR(IFERROR(INDEX(coa_Type,MATCH(F274,coa_Name,0)),"")="Revenue",IFERROR(INDEX(coa_Type,MATCH(F274,coa_Name,0)),"")="Other Income",IFERROR(INDEX(coa_Type,MATCH(F274,coa_Name,0)),"")="Equity"),"Account is not an expense or asset account",""))))))</f>
        <v/>
      </c>
      <c r="V274" s="67">
        <f>IF(AND(R274=0,T274=""),1,0)</f>
        <v/>
      </c>
      <c r="W274" s="67">
        <f>IF(V274=1,F274,"")</f>
        <v/>
      </c>
      <c r="X274" s="67">
        <f>IF(V274=1,acctAP,"")</f>
        <v/>
      </c>
      <c r="Y274" s="68">
        <f>IF(V274=1,G274-S274,0)</f>
        <v/>
      </c>
      <c r="Z274" s="68">
        <f>IF(V274=1,G274,0)</f>
        <v/>
      </c>
      <c r="AA274" s="68">
        <f>IF(V274=1,S274,0)</f>
        <v/>
      </c>
    </row>
    <row r="275">
      <c r="B275" s="62" t="n"/>
      <c r="C275" s="63" t="n"/>
      <c r="D275" s="62" t="n"/>
      <c r="E275" s="62" t="n"/>
      <c r="F275" s="62" t="n"/>
      <c r="G275" s="64" t="n"/>
      <c r="H275" s="64" t="n"/>
      <c r="I275" s="63" t="n"/>
      <c r="J275" s="29">
        <f>IF(V275=1,IF(ISNUMBER(I275),I275,C275+IF(ISNUMBER(IFERROR(INDEX(vend_Terms,MATCH(D275,vend_Name,0)),"")),INDEX(vend_Terms,MATCH(D275,vend_Name,0)),TermsDays)),"")</f>
        <v/>
      </c>
      <c r="K275" s="65">
        <f>IF(V275=1,SUMIFS(tx_CrAmt,tx_Type,"Bill Payment",tx_Ref,B275&amp;"",tx_Vend,D275,tx_Date,"&lt;="&amp;AsOf),"")</f>
        <v/>
      </c>
      <c r="L275" s="65">
        <f>IF(V275=1,IF(C275&gt;AsOf,0,ROUND(G275-K275,2)),"")</f>
        <v/>
      </c>
      <c r="M275" s="66">
        <f>IF(V275&lt;&gt;1,"",IF(C275&gt;AsOf,"Future",IF(L275&lt;0,"Overpaid",IF(L275=0,"Paid",IF(AsOf&gt;J275,"Overdue",IF(K275&gt;0,"Partial","Unpaid"))))))</f>
        <v/>
      </c>
      <c r="N275" s="28">
        <f>IF(AND(V275=1,N(L275)&gt;0),AsOf-C275,"")</f>
        <v/>
      </c>
      <c r="O275" s="28">
        <f>IF(N275="","",MAX(0,AsOf-J275))</f>
        <v/>
      </c>
      <c r="P275" s="66">
        <f>IF(O275="","",IF(O275=0,"Current",IF(O275&lt;=30,"1-30",IF(O275&lt;=60,"31-60",IF(O275&lt;=90,"61-90","90+")))))</f>
        <v/>
      </c>
      <c r="Q275" s="66">
        <f>IF(T275&lt;&gt;"","⛔ "&amp;T275&amp;" — not posted",IF(U275&lt;&gt;"","⚠ "&amp;U275,IF(V275=1,"✓ OK","")))</f>
        <v/>
      </c>
      <c r="R275" s="67">
        <f>IF(AND(B275="",C275="",D275="",G275="",F275=""),1,0)</f>
        <v/>
      </c>
      <c r="S275" s="68">
        <f>IF(AND(TaxOn="Yes",ISNUMBER(H275)),H275,0)</f>
        <v/>
      </c>
      <c r="T275" s="67">
        <f>IF(R275=1,"",IF(B275="","Enter a bill #",IF(D275="","Select a vendor",IF(C275="","Missing bill date",IF(NOT(ISNUMBER(C275)),"Invalid date",IF(OR(C275&lt;DATE(2000,1,1),C275&gt;DATE(2099,12,31)),"Invalid date",IF(F275="","Select an expense account",IF(ISNA(MATCH(F275,coa_Name,0)),"Unknown account: "&amp;F275,IF(NOT(ISNUMBER(G275)),"Enter an amount",IF(G275&lt;=0,"Amount must be positive",IF(S275&gt;G275,"Tax is larger than the amount","")))))))))))</f>
        <v/>
      </c>
      <c r="U275" s="67">
        <f>IF(OR(R275=1,T275&lt;&gt;""),"",IF(COUNTIFS(ap_No,B275,ap_Party,D275)&gt;1,"Duplicate bill #",IF(N(L275)&lt;0,"Overpaid by "&amp;TEXT(-L275,"#,##0.00"),IF(AND(ISNUMBER(H275),N(H275)&lt;&gt;0,S275=0),"Tax ignored (tax tracking is off)",IF(AND(ISNUMBER(StartDate),C275&lt;StartDate),"Date is before the accounting start date",IF(OR(IFERROR(INDEX(coa_Type,MATCH(F275,coa_Name,0)),"")="Revenue",IFERROR(INDEX(coa_Type,MATCH(F275,coa_Name,0)),"")="Other Income",IFERROR(INDEX(coa_Type,MATCH(F275,coa_Name,0)),"")="Equity"),"Account is not an expense or asset account",""))))))</f>
        <v/>
      </c>
      <c r="V275" s="67">
        <f>IF(AND(R275=0,T275=""),1,0)</f>
        <v/>
      </c>
      <c r="W275" s="67">
        <f>IF(V275=1,F275,"")</f>
        <v/>
      </c>
      <c r="X275" s="67">
        <f>IF(V275=1,acctAP,"")</f>
        <v/>
      </c>
      <c r="Y275" s="68">
        <f>IF(V275=1,G275-S275,0)</f>
        <v/>
      </c>
      <c r="Z275" s="68">
        <f>IF(V275=1,G275,0)</f>
        <v/>
      </c>
      <c r="AA275" s="68">
        <f>IF(V275=1,S275,0)</f>
        <v/>
      </c>
    </row>
    <row r="276">
      <c r="B276" s="62" t="n"/>
      <c r="C276" s="63" t="n"/>
      <c r="D276" s="62" t="n"/>
      <c r="E276" s="62" t="n"/>
      <c r="F276" s="62" t="n"/>
      <c r="G276" s="64" t="n"/>
      <c r="H276" s="64" t="n"/>
      <c r="I276" s="63" t="n"/>
      <c r="J276" s="29">
        <f>IF(V276=1,IF(ISNUMBER(I276),I276,C276+IF(ISNUMBER(IFERROR(INDEX(vend_Terms,MATCH(D276,vend_Name,0)),"")),INDEX(vend_Terms,MATCH(D276,vend_Name,0)),TermsDays)),"")</f>
        <v/>
      </c>
      <c r="K276" s="65">
        <f>IF(V276=1,SUMIFS(tx_CrAmt,tx_Type,"Bill Payment",tx_Ref,B276&amp;"",tx_Vend,D276,tx_Date,"&lt;="&amp;AsOf),"")</f>
        <v/>
      </c>
      <c r="L276" s="65">
        <f>IF(V276=1,IF(C276&gt;AsOf,0,ROUND(G276-K276,2)),"")</f>
        <v/>
      </c>
      <c r="M276" s="66">
        <f>IF(V276&lt;&gt;1,"",IF(C276&gt;AsOf,"Future",IF(L276&lt;0,"Overpaid",IF(L276=0,"Paid",IF(AsOf&gt;J276,"Overdue",IF(K276&gt;0,"Partial","Unpaid"))))))</f>
        <v/>
      </c>
      <c r="N276" s="28">
        <f>IF(AND(V276=1,N(L276)&gt;0),AsOf-C276,"")</f>
        <v/>
      </c>
      <c r="O276" s="28">
        <f>IF(N276="","",MAX(0,AsOf-J276))</f>
        <v/>
      </c>
      <c r="P276" s="66">
        <f>IF(O276="","",IF(O276=0,"Current",IF(O276&lt;=30,"1-30",IF(O276&lt;=60,"31-60",IF(O276&lt;=90,"61-90","90+")))))</f>
        <v/>
      </c>
      <c r="Q276" s="66">
        <f>IF(T276&lt;&gt;"","⛔ "&amp;T276&amp;" — not posted",IF(U276&lt;&gt;"","⚠ "&amp;U276,IF(V276=1,"✓ OK","")))</f>
        <v/>
      </c>
      <c r="R276" s="67">
        <f>IF(AND(B276="",C276="",D276="",G276="",F276=""),1,0)</f>
        <v/>
      </c>
      <c r="S276" s="68">
        <f>IF(AND(TaxOn="Yes",ISNUMBER(H276)),H276,0)</f>
        <v/>
      </c>
      <c r="T276" s="67">
        <f>IF(R276=1,"",IF(B276="","Enter a bill #",IF(D276="","Select a vendor",IF(C276="","Missing bill date",IF(NOT(ISNUMBER(C276)),"Invalid date",IF(OR(C276&lt;DATE(2000,1,1),C276&gt;DATE(2099,12,31)),"Invalid date",IF(F276="","Select an expense account",IF(ISNA(MATCH(F276,coa_Name,0)),"Unknown account: "&amp;F276,IF(NOT(ISNUMBER(G276)),"Enter an amount",IF(G276&lt;=0,"Amount must be positive",IF(S276&gt;G276,"Tax is larger than the amount","")))))))))))</f>
        <v/>
      </c>
      <c r="U276" s="67">
        <f>IF(OR(R276=1,T276&lt;&gt;""),"",IF(COUNTIFS(ap_No,B276,ap_Party,D276)&gt;1,"Duplicate bill #",IF(N(L276)&lt;0,"Overpaid by "&amp;TEXT(-L276,"#,##0.00"),IF(AND(ISNUMBER(H276),N(H276)&lt;&gt;0,S276=0),"Tax ignored (tax tracking is off)",IF(AND(ISNUMBER(StartDate),C276&lt;StartDate),"Date is before the accounting start date",IF(OR(IFERROR(INDEX(coa_Type,MATCH(F276,coa_Name,0)),"")="Revenue",IFERROR(INDEX(coa_Type,MATCH(F276,coa_Name,0)),"")="Other Income",IFERROR(INDEX(coa_Type,MATCH(F276,coa_Name,0)),"")="Equity"),"Account is not an expense or asset account",""))))))</f>
        <v/>
      </c>
      <c r="V276" s="67">
        <f>IF(AND(R276=0,T276=""),1,0)</f>
        <v/>
      </c>
      <c r="W276" s="67">
        <f>IF(V276=1,F276,"")</f>
        <v/>
      </c>
      <c r="X276" s="67">
        <f>IF(V276=1,acctAP,"")</f>
        <v/>
      </c>
      <c r="Y276" s="68">
        <f>IF(V276=1,G276-S276,0)</f>
        <v/>
      </c>
      <c r="Z276" s="68">
        <f>IF(V276=1,G276,0)</f>
        <v/>
      </c>
      <c r="AA276" s="68">
        <f>IF(V276=1,S276,0)</f>
        <v/>
      </c>
    </row>
    <row r="277">
      <c r="B277" s="62" t="n"/>
      <c r="C277" s="63" t="n"/>
      <c r="D277" s="62" t="n"/>
      <c r="E277" s="62" t="n"/>
      <c r="F277" s="62" t="n"/>
      <c r="G277" s="64" t="n"/>
      <c r="H277" s="64" t="n"/>
      <c r="I277" s="63" t="n"/>
      <c r="J277" s="29">
        <f>IF(V277=1,IF(ISNUMBER(I277),I277,C277+IF(ISNUMBER(IFERROR(INDEX(vend_Terms,MATCH(D277,vend_Name,0)),"")),INDEX(vend_Terms,MATCH(D277,vend_Name,0)),TermsDays)),"")</f>
        <v/>
      </c>
      <c r="K277" s="65">
        <f>IF(V277=1,SUMIFS(tx_CrAmt,tx_Type,"Bill Payment",tx_Ref,B277&amp;"",tx_Vend,D277,tx_Date,"&lt;="&amp;AsOf),"")</f>
        <v/>
      </c>
      <c r="L277" s="65">
        <f>IF(V277=1,IF(C277&gt;AsOf,0,ROUND(G277-K277,2)),"")</f>
        <v/>
      </c>
      <c r="M277" s="66">
        <f>IF(V277&lt;&gt;1,"",IF(C277&gt;AsOf,"Future",IF(L277&lt;0,"Overpaid",IF(L277=0,"Paid",IF(AsOf&gt;J277,"Overdue",IF(K277&gt;0,"Partial","Unpaid"))))))</f>
        <v/>
      </c>
      <c r="N277" s="28">
        <f>IF(AND(V277=1,N(L277)&gt;0),AsOf-C277,"")</f>
        <v/>
      </c>
      <c r="O277" s="28">
        <f>IF(N277="","",MAX(0,AsOf-J277))</f>
        <v/>
      </c>
      <c r="P277" s="66">
        <f>IF(O277="","",IF(O277=0,"Current",IF(O277&lt;=30,"1-30",IF(O277&lt;=60,"31-60",IF(O277&lt;=90,"61-90","90+")))))</f>
        <v/>
      </c>
      <c r="Q277" s="66">
        <f>IF(T277&lt;&gt;"","⛔ "&amp;T277&amp;" — not posted",IF(U277&lt;&gt;"","⚠ "&amp;U277,IF(V277=1,"✓ OK","")))</f>
        <v/>
      </c>
      <c r="R277" s="67">
        <f>IF(AND(B277="",C277="",D277="",G277="",F277=""),1,0)</f>
        <v/>
      </c>
      <c r="S277" s="68">
        <f>IF(AND(TaxOn="Yes",ISNUMBER(H277)),H277,0)</f>
        <v/>
      </c>
      <c r="T277" s="67">
        <f>IF(R277=1,"",IF(B277="","Enter a bill #",IF(D277="","Select a vendor",IF(C277="","Missing bill date",IF(NOT(ISNUMBER(C277)),"Invalid date",IF(OR(C277&lt;DATE(2000,1,1),C277&gt;DATE(2099,12,31)),"Invalid date",IF(F277="","Select an expense account",IF(ISNA(MATCH(F277,coa_Name,0)),"Unknown account: "&amp;F277,IF(NOT(ISNUMBER(G277)),"Enter an amount",IF(G277&lt;=0,"Amount must be positive",IF(S277&gt;G277,"Tax is larger than the amount","")))))))))))</f>
        <v/>
      </c>
      <c r="U277" s="67">
        <f>IF(OR(R277=1,T277&lt;&gt;""),"",IF(COUNTIFS(ap_No,B277,ap_Party,D277)&gt;1,"Duplicate bill #",IF(N(L277)&lt;0,"Overpaid by "&amp;TEXT(-L277,"#,##0.00"),IF(AND(ISNUMBER(H277),N(H277)&lt;&gt;0,S277=0),"Tax ignored (tax tracking is off)",IF(AND(ISNUMBER(StartDate),C277&lt;StartDate),"Date is before the accounting start date",IF(OR(IFERROR(INDEX(coa_Type,MATCH(F277,coa_Name,0)),"")="Revenue",IFERROR(INDEX(coa_Type,MATCH(F277,coa_Name,0)),"")="Other Income",IFERROR(INDEX(coa_Type,MATCH(F277,coa_Name,0)),"")="Equity"),"Account is not an expense or asset account",""))))))</f>
        <v/>
      </c>
      <c r="V277" s="67">
        <f>IF(AND(R277=0,T277=""),1,0)</f>
        <v/>
      </c>
      <c r="W277" s="67">
        <f>IF(V277=1,F277,"")</f>
        <v/>
      </c>
      <c r="X277" s="67">
        <f>IF(V277=1,acctAP,"")</f>
        <v/>
      </c>
      <c r="Y277" s="68">
        <f>IF(V277=1,G277-S277,0)</f>
        <v/>
      </c>
      <c r="Z277" s="68">
        <f>IF(V277=1,G277,0)</f>
        <v/>
      </c>
      <c r="AA277" s="68">
        <f>IF(V277=1,S277,0)</f>
        <v/>
      </c>
    </row>
    <row r="278">
      <c r="B278" s="62" t="n"/>
      <c r="C278" s="63" t="n"/>
      <c r="D278" s="62" t="n"/>
      <c r="E278" s="62" t="n"/>
      <c r="F278" s="62" t="n"/>
      <c r="G278" s="64" t="n"/>
      <c r="H278" s="64" t="n"/>
      <c r="I278" s="63" t="n"/>
      <c r="J278" s="29">
        <f>IF(V278=1,IF(ISNUMBER(I278),I278,C278+IF(ISNUMBER(IFERROR(INDEX(vend_Terms,MATCH(D278,vend_Name,0)),"")),INDEX(vend_Terms,MATCH(D278,vend_Name,0)),TermsDays)),"")</f>
        <v/>
      </c>
      <c r="K278" s="65">
        <f>IF(V278=1,SUMIFS(tx_CrAmt,tx_Type,"Bill Payment",tx_Ref,B278&amp;"",tx_Vend,D278,tx_Date,"&lt;="&amp;AsOf),"")</f>
        <v/>
      </c>
      <c r="L278" s="65">
        <f>IF(V278=1,IF(C278&gt;AsOf,0,ROUND(G278-K278,2)),"")</f>
        <v/>
      </c>
      <c r="M278" s="66">
        <f>IF(V278&lt;&gt;1,"",IF(C278&gt;AsOf,"Future",IF(L278&lt;0,"Overpaid",IF(L278=0,"Paid",IF(AsOf&gt;J278,"Overdue",IF(K278&gt;0,"Partial","Unpaid"))))))</f>
        <v/>
      </c>
      <c r="N278" s="28">
        <f>IF(AND(V278=1,N(L278)&gt;0),AsOf-C278,"")</f>
        <v/>
      </c>
      <c r="O278" s="28">
        <f>IF(N278="","",MAX(0,AsOf-J278))</f>
        <v/>
      </c>
      <c r="P278" s="66">
        <f>IF(O278="","",IF(O278=0,"Current",IF(O278&lt;=30,"1-30",IF(O278&lt;=60,"31-60",IF(O278&lt;=90,"61-90","90+")))))</f>
        <v/>
      </c>
      <c r="Q278" s="66">
        <f>IF(T278&lt;&gt;"","⛔ "&amp;T278&amp;" — not posted",IF(U278&lt;&gt;"","⚠ "&amp;U278,IF(V278=1,"✓ OK","")))</f>
        <v/>
      </c>
      <c r="R278" s="67">
        <f>IF(AND(B278="",C278="",D278="",G278="",F278=""),1,0)</f>
        <v/>
      </c>
      <c r="S278" s="68">
        <f>IF(AND(TaxOn="Yes",ISNUMBER(H278)),H278,0)</f>
        <v/>
      </c>
      <c r="T278" s="67">
        <f>IF(R278=1,"",IF(B278="","Enter a bill #",IF(D278="","Select a vendor",IF(C278="","Missing bill date",IF(NOT(ISNUMBER(C278)),"Invalid date",IF(OR(C278&lt;DATE(2000,1,1),C278&gt;DATE(2099,12,31)),"Invalid date",IF(F278="","Select an expense account",IF(ISNA(MATCH(F278,coa_Name,0)),"Unknown account: "&amp;F278,IF(NOT(ISNUMBER(G278)),"Enter an amount",IF(G278&lt;=0,"Amount must be positive",IF(S278&gt;G278,"Tax is larger than the amount","")))))))))))</f>
        <v/>
      </c>
      <c r="U278" s="67">
        <f>IF(OR(R278=1,T278&lt;&gt;""),"",IF(COUNTIFS(ap_No,B278,ap_Party,D278)&gt;1,"Duplicate bill #",IF(N(L278)&lt;0,"Overpaid by "&amp;TEXT(-L278,"#,##0.00"),IF(AND(ISNUMBER(H278),N(H278)&lt;&gt;0,S278=0),"Tax ignored (tax tracking is off)",IF(AND(ISNUMBER(StartDate),C278&lt;StartDate),"Date is before the accounting start date",IF(OR(IFERROR(INDEX(coa_Type,MATCH(F278,coa_Name,0)),"")="Revenue",IFERROR(INDEX(coa_Type,MATCH(F278,coa_Name,0)),"")="Other Income",IFERROR(INDEX(coa_Type,MATCH(F278,coa_Name,0)),"")="Equity"),"Account is not an expense or asset account",""))))))</f>
        <v/>
      </c>
      <c r="V278" s="67">
        <f>IF(AND(R278=0,T278=""),1,0)</f>
        <v/>
      </c>
      <c r="W278" s="67">
        <f>IF(V278=1,F278,"")</f>
        <v/>
      </c>
      <c r="X278" s="67">
        <f>IF(V278=1,acctAP,"")</f>
        <v/>
      </c>
      <c r="Y278" s="68">
        <f>IF(V278=1,G278-S278,0)</f>
        <v/>
      </c>
      <c r="Z278" s="68">
        <f>IF(V278=1,G278,0)</f>
        <v/>
      </c>
      <c r="AA278" s="68">
        <f>IF(V278=1,S278,0)</f>
        <v/>
      </c>
    </row>
    <row r="279">
      <c r="B279" s="62" t="n"/>
      <c r="C279" s="63" t="n"/>
      <c r="D279" s="62" t="n"/>
      <c r="E279" s="62" t="n"/>
      <c r="F279" s="62" t="n"/>
      <c r="G279" s="64" t="n"/>
      <c r="H279" s="64" t="n"/>
      <c r="I279" s="63" t="n"/>
      <c r="J279" s="29">
        <f>IF(V279=1,IF(ISNUMBER(I279),I279,C279+IF(ISNUMBER(IFERROR(INDEX(vend_Terms,MATCH(D279,vend_Name,0)),"")),INDEX(vend_Terms,MATCH(D279,vend_Name,0)),TermsDays)),"")</f>
        <v/>
      </c>
      <c r="K279" s="65">
        <f>IF(V279=1,SUMIFS(tx_CrAmt,tx_Type,"Bill Payment",tx_Ref,B279&amp;"",tx_Vend,D279,tx_Date,"&lt;="&amp;AsOf),"")</f>
        <v/>
      </c>
      <c r="L279" s="65">
        <f>IF(V279=1,IF(C279&gt;AsOf,0,ROUND(G279-K279,2)),"")</f>
        <v/>
      </c>
      <c r="M279" s="66">
        <f>IF(V279&lt;&gt;1,"",IF(C279&gt;AsOf,"Future",IF(L279&lt;0,"Overpaid",IF(L279=0,"Paid",IF(AsOf&gt;J279,"Overdue",IF(K279&gt;0,"Partial","Unpaid"))))))</f>
        <v/>
      </c>
      <c r="N279" s="28">
        <f>IF(AND(V279=1,N(L279)&gt;0),AsOf-C279,"")</f>
        <v/>
      </c>
      <c r="O279" s="28">
        <f>IF(N279="","",MAX(0,AsOf-J279))</f>
        <v/>
      </c>
      <c r="P279" s="66">
        <f>IF(O279="","",IF(O279=0,"Current",IF(O279&lt;=30,"1-30",IF(O279&lt;=60,"31-60",IF(O279&lt;=90,"61-90","90+")))))</f>
        <v/>
      </c>
      <c r="Q279" s="66">
        <f>IF(T279&lt;&gt;"","⛔ "&amp;T279&amp;" — not posted",IF(U279&lt;&gt;"","⚠ "&amp;U279,IF(V279=1,"✓ OK","")))</f>
        <v/>
      </c>
      <c r="R279" s="67">
        <f>IF(AND(B279="",C279="",D279="",G279="",F279=""),1,0)</f>
        <v/>
      </c>
      <c r="S279" s="68">
        <f>IF(AND(TaxOn="Yes",ISNUMBER(H279)),H279,0)</f>
        <v/>
      </c>
      <c r="T279" s="67">
        <f>IF(R279=1,"",IF(B279="","Enter a bill #",IF(D279="","Select a vendor",IF(C279="","Missing bill date",IF(NOT(ISNUMBER(C279)),"Invalid date",IF(OR(C279&lt;DATE(2000,1,1),C279&gt;DATE(2099,12,31)),"Invalid date",IF(F279="","Select an expense account",IF(ISNA(MATCH(F279,coa_Name,0)),"Unknown account: "&amp;F279,IF(NOT(ISNUMBER(G279)),"Enter an amount",IF(G279&lt;=0,"Amount must be positive",IF(S279&gt;G279,"Tax is larger than the amount","")))))))))))</f>
        <v/>
      </c>
      <c r="U279" s="67">
        <f>IF(OR(R279=1,T279&lt;&gt;""),"",IF(COUNTIFS(ap_No,B279,ap_Party,D279)&gt;1,"Duplicate bill #",IF(N(L279)&lt;0,"Overpaid by "&amp;TEXT(-L279,"#,##0.00"),IF(AND(ISNUMBER(H279),N(H279)&lt;&gt;0,S279=0),"Tax ignored (tax tracking is off)",IF(AND(ISNUMBER(StartDate),C279&lt;StartDate),"Date is before the accounting start date",IF(OR(IFERROR(INDEX(coa_Type,MATCH(F279,coa_Name,0)),"")="Revenue",IFERROR(INDEX(coa_Type,MATCH(F279,coa_Name,0)),"")="Other Income",IFERROR(INDEX(coa_Type,MATCH(F279,coa_Name,0)),"")="Equity"),"Account is not an expense or asset account",""))))))</f>
        <v/>
      </c>
      <c r="V279" s="67">
        <f>IF(AND(R279=0,T279=""),1,0)</f>
        <v/>
      </c>
      <c r="W279" s="67">
        <f>IF(V279=1,F279,"")</f>
        <v/>
      </c>
      <c r="X279" s="67">
        <f>IF(V279=1,acctAP,"")</f>
        <v/>
      </c>
      <c r="Y279" s="68">
        <f>IF(V279=1,G279-S279,0)</f>
        <v/>
      </c>
      <c r="Z279" s="68">
        <f>IF(V279=1,G279,0)</f>
        <v/>
      </c>
      <c r="AA279" s="68">
        <f>IF(V279=1,S279,0)</f>
        <v/>
      </c>
    </row>
    <row r="280">
      <c r="B280" s="62" t="n"/>
      <c r="C280" s="63" t="n"/>
      <c r="D280" s="62" t="n"/>
      <c r="E280" s="62" t="n"/>
      <c r="F280" s="62" t="n"/>
      <c r="G280" s="64" t="n"/>
      <c r="H280" s="64" t="n"/>
      <c r="I280" s="63" t="n"/>
      <c r="J280" s="29">
        <f>IF(V280=1,IF(ISNUMBER(I280),I280,C280+IF(ISNUMBER(IFERROR(INDEX(vend_Terms,MATCH(D280,vend_Name,0)),"")),INDEX(vend_Terms,MATCH(D280,vend_Name,0)),TermsDays)),"")</f>
        <v/>
      </c>
      <c r="K280" s="65">
        <f>IF(V280=1,SUMIFS(tx_CrAmt,tx_Type,"Bill Payment",tx_Ref,B280&amp;"",tx_Vend,D280,tx_Date,"&lt;="&amp;AsOf),"")</f>
        <v/>
      </c>
      <c r="L280" s="65">
        <f>IF(V280=1,IF(C280&gt;AsOf,0,ROUND(G280-K280,2)),"")</f>
        <v/>
      </c>
      <c r="M280" s="66">
        <f>IF(V280&lt;&gt;1,"",IF(C280&gt;AsOf,"Future",IF(L280&lt;0,"Overpaid",IF(L280=0,"Paid",IF(AsOf&gt;J280,"Overdue",IF(K280&gt;0,"Partial","Unpaid"))))))</f>
        <v/>
      </c>
      <c r="N280" s="28">
        <f>IF(AND(V280=1,N(L280)&gt;0),AsOf-C280,"")</f>
        <v/>
      </c>
      <c r="O280" s="28">
        <f>IF(N280="","",MAX(0,AsOf-J280))</f>
        <v/>
      </c>
      <c r="P280" s="66">
        <f>IF(O280="","",IF(O280=0,"Current",IF(O280&lt;=30,"1-30",IF(O280&lt;=60,"31-60",IF(O280&lt;=90,"61-90","90+")))))</f>
        <v/>
      </c>
      <c r="Q280" s="66">
        <f>IF(T280&lt;&gt;"","⛔ "&amp;T280&amp;" — not posted",IF(U280&lt;&gt;"","⚠ "&amp;U280,IF(V280=1,"✓ OK","")))</f>
        <v/>
      </c>
      <c r="R280" s="67">
        <f>IF(AND(B280="",C280="",D280="",G280="",F280=""),1,0)</f>
        <v/>
      </c>
      <c r="S280" s="68">
        <f>IF(AND(TaxOn="Yes",ISNUMBER(H280)),H280,0)</f>
        <v/>
      </c>
      <c r="T280" s="67">
        <f>IF(R280=1,"",IF(B280="","Enter a bill #",IF(D280="","Select a vendor",IF(C280="","Missing bill date",IF(NOT(ISNUMBER(C280)),"Invalid date",IF(OR(C280&lt;DATE(2000,1,1),C280&gt;DATE(2099,12,31)),"Invalid date",IF(F280="","Select an expense account",IF(ISNA(MATCH(F280,coa_Name,0)),"Unknown account: "&amp;F280,IF(NOT(ISNUMBER(G280)),"Enter an amount",IF(G280&lt;=0,"Amount must be positive",IF(S280&gt;G280,"Tax is larger than the amount","")))))))))))</f>
        <v/>
      </c>
      <c r="U280" s="67">
        <f>IF(OR(R280=1,T280&lt;&gt;""),"",IF(COUNTIFS(ap_No,B280,ap_Party,D280)&gt;1,"Duplicate bill #",IF(N(L280)&lt;0,"Overpaid by "&amp;TEXT(-L280,"#,##0.00"),IF(AND(ISNUMBER(H280),N(H280)&lt;&gt;0,S280=0),"Tax ignored (tax tracking is off)",IF(AND(ISNUMBER(StartDate),C280&lt;StartDate),"Date is before the accounting start date",IF(OR(IFERROR(INDEX(coa_Type,MATCH(F280,coa_Name,0)),"")="Revenue",IFERROR(INDEX(coa_Type,MATCH(F280,coa_Name,0)),"")="Other Income",IFERROR(INDEX(coa_Type,MATCH(F280,coa_Name,0)),"")="Equity"),"Account is not an expense or asset account",""))))))</f>
        <v/>
      </c>
      <c r="V280" s="67">
        <f>IF(AND(R280=0,T280=""),1,0)</f>
        <v/>
      </c>
      <c r="W280" s="67">
        <f>IF(V280=1,F280,"")</f>
        <v/>
      </c>
      <c r="X280" s="67">
        <f>IF(V280=1,acctAP,"")</f>
        <v/>
      </c>
      <c r="Y280" s="68">
        <f>IF(V280=1,G280-S280,0)</f>
        <v/>
      </c>
      <c r="Z280" s="68">
        <f>IF(V280=1,G280,0)</f>
        <v/>
      </c>
      <c r="AA280" s="68">
        <f>IF(V280=1,S280,0)</f>
        <v/>
      </c>
    </row>
    <row r="281">
      <c r="B281" s="62" t="n"/>
      <c r="C281" s="63" t="n"/>
      <c r="D281" s="62" t="n"/>
      <c r="E281" s="62" t="n"/>
      <c r="F281" s="62" t="n"/>
      <c r="G281" s="64" t="n"/>
      <c r="H281" s="64" t="n"/>
      <c r="I281" s="63" t="n"/>
      <c r="J281" s="29">
        <f>IF(V281=1,IF(ISNUMBER(I281),I281,C281+IF(ISNUMBER(IFERROR(INDEX(vend_Terms,MATCH(D281,vend_Name,0)),"")),INDEX(vend_Terms,MATCH(D281,vend_Name,0)),TermsDays)),"")</f>
        <v/>
      </c>
      <c r="K281" s="65">
        <f>IF(V281=1,SUMIFS(tx_CrAmt,tx_Type,"Bill Payment",tx_Ref,B281&amp;"",tx_Vend,D281,tx_Date,"&lt;="&amp;AsOf),"")</f>
        <v/>
      </c>
      <c r="L281" s="65">
        <f>IF(V281=1,IF(C281&gt;AsOf,0,ROUND(G281-K281,2)),"")</f>
        <v/>
      </c>
      <c r="M281" s="66">
        <f>IF(V281&lt;&gt;1,"",IF(C281&gt;AsOf,"Future",IF(L281&lt;0,"Overpaid",IF(L281=0,"Paid",IF(AsOf&gt;J281,"Overdue",IF(K281&gt;0,"Partial","Unpaid"))))))</f>
        <v/>
      </c>
      <c r="N281" s="28">
        <f>IF(AND(V281=1,N(L281)&gt;0),AsOf-C281,"")</f>
        <v/>
      </c>
      <c r="O281" s="28">
        <f>IF(N281="","",MAX(0,AsOf-J281))</f>
        <v/>
      </c>
      <c r="P281" s="66">
        <f>IF(O281="","",IF(O281=0,"Current",IF(O281&lt;=30,"1-30",IF(O281&lt;=60,"31-60",IF(O281&lt;=90,"61-90","90+")))))</f>
        <v/>
      </c>
      <c r="Q281" s="66">
        <f>IF(T281&lt;&gt;"","⛔ "&amp;T281&amp;" — not posted",IF(U281&lt;&gt;"","⚠ "&amp;U281,IF(V281=1,"✓ OK","")))</f>
        <v/>
      </c>
      <c r="R281" s="67">
        <f>IF(AND(B281="",C281="",D281="",G281="",F281=""),1,0)</f>
        <v/>
      </c>
      <c r="S281" s="68">
        <f>IF(AND(TaxOn="Yes",ISNUMBER(H281)),H281,0)</f>
        <v/>
      </c>
      <c r="T281" s="67">
        <f>IF(R281=1,"",IF(B281="","Enter a bill #",IF(D281="","Select a vendor",IF(C281="","Missing bill date",IF(NOT(ISNUMBER(C281)),"Invalid date",IF(OR(C281&lt;DATE(2000,1,1),C281&gt;DATE(2099,12,31)),"Invalid date",IF(F281="","Select an expense account",IF(ISNA(MATCH(F281,coa_Name,0)),"Unknown account: "&amp;F281,IF(NOT(ISNUMBER(G281)),"Enter an amount",IF(G281&lt;=0,"Amount must be positive",IF(S281&gt;G281,"Tax is larger than the amount","")))))))))))</f>
        <v/>
      </c>
      <c r="U281" s="67">
        <f>IF(OR(R281=1,T281&lt;&gt;""),"",IF(COUNTIFS(ap_No,B281,ap_Party,D281)&gt;1,"Duplicate bill #",IF(N(L281)&lt;0,"Overpaid by "&amp;TEXT(-L281,"#,##0.00"),IF(AND(ISNUMBER(H281),N(H281)&lt;&gt;0,S281=0),"Tax ignored (tax tracking is off)",IF(AND(ISNUMBER(StartDate),C281&lt;StartDate),"Date is before the accounting start date",IF(OR(IFERROR(INDEX(coa_Type,MATCH(F281,coa_Name,0)),"")="Revenue",IFERROR(INDEX(coa_Type,MATCH(F281,coa_Name,0)),"")="Other Income",IFERROR(INDEX(coa_Type,MATCH(F281,coa_Name,0)),"")="Equity"),"Account is not an expense or asset account",""))))))</f>
        <v/>
      </c>
      <c r="V281" s="67">
        <f>IF(AND(R281=0,T281=""),1,0)</f>
        <v/>
      </c>
      <c r="W281" s="67">
        <f>IF(V281=1,F281,"")</f>
        <v/>
      </c>
      <c r="X281" s="67">
        <f>IF(V281=1,acctAP,"")</f>
        <v/>
      </c>
      <c r="Y281" s="68">
        <f>IF(V281=1,G281-S281,0)</f>
        <v/>
      </c>
      <c r="Z281" s="68">
        <f>IF(V281=1,G281,0)</f>
        <v/>
      </c>
      <c r="AA281" s="68">
        <f>IF(V281=1,S281,0)</f>
        <v/>
      </c>
    </row>
    <row r="282">
      <c r="B282" s="62" t="n"/>
      <c r="C282" s="63" t="n"/>
      <c r="D282" s="62" t="n"/>
      <c r="E282" s="62" t="n"/>
      <c r="F282" s="62" t="n"/>
      <c r="G282" s="64" t="n"/>
      <c r="H282" s="64" t="n"/>
      <c r="I282" s="63" t="n"/>
      <c r="J282" s="29">
        <f>IF(V282=1,IF(ISNUMBER(I282),I282,C282+IF(ISNUMBER(IFERROR(INDEX(vend_Terms,MATCH(D282,vend_Name,0)),"")),INDEX(vend_Terms,MATCH(D282,vend_Name,0)),TermsDays)),"")</f>
        <v/>
      </c>
      <c r="K282" s="65">
        <f>IF(V282=1,SUMIFS(tx_CrAmt,tx_Type,"Bill Payment",tx_Ref,B282&amp;"",tx_Vend,D282,tx_Date,"&lt;="&amp;AsOf),"")</f>
        <v/>
      </c>
      <c r="L282" s="65">
        <f>IF(V282=1,IF(C282&gt;AsOf,0,ROUND(G282-K282,2)),"")</f>
        <v/>
      </c>
      <c r="M282" s="66">
        <f>IF(V282&lt;&gt;1,"",IF(C282&gt;AsOf,"Future",IF(L282&lt;0,"Overpaid",IF(L282=0,"Paid",IF(AsOf&gt;J282,"Overdue",IF(K282&gt;0,"Partial","Unpaid"))))))</f>
        <v/>
      </c>
      <c r="N282" s="28">
        <f>IF(AND(V282=1,N(L282)&gt;0),AsOf-C282,"")</f>
        <v/>
      </c>
      <c r="O282" s="28">
        <f>IF(N282="","",MAX(0,AsOf-J282))</f>
        <v/>
      </c>
      <c r="P282" s="66">
        <f>IF(O282="","",IF(O282=0,"Current",IF(O282&lt;=30,"1-30",IF(O282&lt;=60,"31-60",IF(O282&lt;=90,"61-90","90+")))))</f>
        <v/>
      </c>
      <c r="Q282" s="66">
        <f>IF(T282&lt;&gt;"","⛔ "&amp;T282&amp;" — not posted",IF(U282&lt;&gt;"","⚠ "&amp;U282,IF(V282=1,"✓ OK","")))</f>
        <v/>
      </c>
      <c r="R282" s="67">
        <f>IF(AND(B282="",C282="",D282="",G282="",F282=""),1,0)</f>
        <v/>
      </c>
      <c r="S282" s="68">
        <f>IF(AND(TaxOn="Yes",ISNUMBER(H282)),H282,0)</f>
        <v/>
      </c>
      <c r="T282" s="67">
        <f>IF(R282=1,"",IF(B282="","Enter a bill #",IF(D282="","Select a vendor",IF(C282="","Missing bill date",IF(NOT(ISNUMBER(C282)),"Invalid date",IF(OR(C282&lt;DATE(2000,1,1),C282&gt;DATE(2099,12,31)),"Invalid date",IF(F282="","Select an expense account",IF(ISNA(MATCH(F282,coa_Name,0)),"Unknown account: "&amp;F282,IF(NOT(ISNUMBER(G282)),"Enter an amount",IF(G282&lt;=0,"Amount must be positive",IF(S282&gt;G282,"Tax is larger than the amount","")))))))))))</f>
        <v/>
      </c>
      <c r="U282" s="67">
        <f>IF(OR(R282=1,T282&lt;&gt;""),"",IF(COUNTIFS(ap_No,B282,ap_Party,D282)&gt;1,"Duplicate bill #",IF(N(L282)&lt;0,"Overpaid by "&amp;TEXT(-L282,"#,##0.00"),IF(AND(ISNUMBER(H282),N(H282)&lt;&gt;0,S282=0),"Tax ignored (tax tracking is off)",IF(AND(ISNUMBER(StartDate),C282&lt;StartDate),"Date is before the accounting start date",IF(OR(IFERROR(INDEX(coa_Type,MATCH(F282,coa_Name,0)),"")="Revenue",IFERROR(INDEX(coa_Type,MATCH(F282,coa_Name,0)),"")="Other Income",IFERROR(INDEX(coa_Type,MATCH(F282,coa_Name,0)),"")="Equity"),"Account is not an expense or asset account",""))))))</f>
        <v/>
      </c>
      <c r="V282" s="67">
        <f>IF(AND(R282=0,T282=""),1,0)</f>
        <v/>
      </c>
      <c r="W282" s="67">
        <f>IF(V282=1,F282,"")</f>
        <v/>
      </c>
      <c r="X282" s="67">
        <f>IF(V282=1,acctAP,"")</f>
        <v/>
      </c>
      <c r="Y282" s="68">
        <f>IF(V282=1,G282-S282,0)</f>
        <v/>
      </c>
      <c r="Z282" s="68">
        <f>IF(V282=1,G282,0)</f>
        <v/>
      </c>
      <c r="AA282" s="68">
        <f>IF(V282=1,S282,0)</f>
        <v/>
      </c>
    </row>
    <row r="283">
      <c r="B283" s="62" t="n"/>
      <c r="C283" s="63" t="n"/>
      <c r="D283" s="62" t="n"/>
      <c r="E283" s="62" t="n"/>
      <c r="F283" s="62" t="n"/>
      <c r="G283" s="64" t="n"/>
      <c r="H283" s="64" t="n"/>
      <c r="I283" s="63" t="n"/>
      <c r="J283" s="29">
        <f>IF(V283=1,IF(ISNUMBER(I283),I283,C283+IF(ISNUMBER(IFERROR(INDEX(vend_Terms,MATCH(D283,vend_Name,0)),"")),INDEX(vend_Terms,MATCH(D283,vend_Name,0)),TermsDays)),"")</f>
        <v/>
      </c>
      <c r="K283" s="65">
        <f>IF(V283=1,SUMIFS(tx_CrAmt,tx_Type,"Bill Payment",tx_Ref,B283&amp;"",tx_Vend,D283,tx_Date,"&lt;="&amp;AsOf),"")</f>
        <v/>
      </c>
      <c r="L283" s="65">
        <f>IF(V283=1,IF(C283&gt;AsOf,0,ROUND(G283-K283,2)),"")</f>
        <v/>
      </c>
      <c r="M283" s="66">
        <f>IF(V283&lt;&gt;1,"",IF(C283&gt;AsOf,"Future",IF(L283&lt;0,"Overpaid",IF(L283=0,"Paid",IF(AsOf&gt;J283,"Overdue",IF(K283&gt;0,"Partial","Unpaid"))))))</f>
        <v/>
      </c>
      <c r="N283" s="28">
        <f>IF(AND(V283=1,N(L283)&gt;0),AsOf-C283,"")</f>
        <v/>
      </c>
      <c r="O283" s="28">
        <f>IF(N283="","",MAX(0,AsOf-J283))</f>
        <v/>
      </c>
      <c r="P283" s="66">
        <f>IF(O283="","",IF(O283=0,"Current",IF(O283&lt;=30,"1-30",IF(O283&lt;=60,"31-60",IF(O283&lt;=90,"61-90","90+")))))</f>
        <v/>
      </c>
      <c r="Q283" s="66">
        <f>IF(T283&lt;&gt;"","⛔ "&amp;T283&amp;" — not posted",IF(U283&lt;&gt;"","⚠ "&amp;U283,IF(V283=1,"✓ OK","")))</f>
        <v/>
      </c>
      <c r="R283" s="67">
        <f>IF(AND(B283="",C283="",D283="",G283="",F283=""),1,0)</f>
        <v/>
      </c>
      <c r="S283" s="68">
        <f>IF(AND(TaxOn="Yes",ISNUMBER(H283)),H283,0)</f>
        <v/>
      </c>
      <c r="T283" s="67">
        <f>IF(R283=1,"",IF(B283="","Enter a bill #",IF(D283="","Select a vendor",IF(C283="","Missing bill date",IF(NOT(ISNUMBER(C283)),"Invalid date",IF(OR(C283&lt;DATE(2000,1,1),C283&gt;DATE(2099,12,31)),"Invalid date",IF(F283="","Select an expense account",IF(ISNA(MATCH(F283,coa_Name,0)),"Unknown account: "&amp;F283,IF(NOT(ISNUMBER(G283)),"Enter an amount",IF(G283&lt;=0,"Amount must be positive",IF(S283&gt;G283,"Tax is larger than the amount","")))))))))))</f>
        <v/>
      </c>
      <c r="U283" s="67">
        <f>IF(OR(R283=1,T283&lt;&gt;""),"",IF(COUNTIFS(ap_No,B283,ap_Party,D283)&gt;1,"Duplicate bill #",IF(N(L283)&lt;0,"Overpaid by "&amp;TEXT(-L283,"#,##0.00"),IF(AND(ISNUMBER(H283),N(H283)&lt;&gt;0,S283=0),"Tax ignored (tax tracking is off)",IF(AND(ISNUMBER(StartDate),C283&lt;StartDate),"Date is before the accounting start date",IF(OR(IFERROR(INDEX(coa_Type,MATCH(F283,coa_Name,0)),"")="Revenue",IFERROR(INDEX(coa_Type,MATCH(F283,coa_Name,0)),"")="Other Income",IFERROR(INDEX(coa_Type,MATCH(F283,coa_Name,0)),"")="Equity"),"Account is not an expense or asset account",""))))))</f>
        <v/>
      </c>
      <c r="V283" s="67">
        <f>IF(AND(R283=0,T283=""),1,0)</f>
        <v/>
      </c>
      <c r="W283" s="67">
        <f>IF(V283=1,F283,"")</f>
        <v/>
      </c>
      <c r="X283" s="67">
        <f>IF(V283=1,acctAP,"")</f>
        <v/>
      </c>
      <c r="Y283" s="68">
        <f>IF(V283=1,G283-S283,0)</f>
        <v/>
      </c>
      <c r="Z283" s="68">
        <f>IF(V283=1,G283,0)</f>
        <v/>
      </c>
      <c r="AA283" s="68">
        <f>IF(V283=1,S283,0)</f>
        <v/>
      </c>
    </row>
    <row r="284">
      <c r="B284" s="62" t="n"/>
      <c r="C284" s="63" t="n"/>
      <c r="D284" s="62" t="n"/>
      <c r="E284" s="62" t="n"/>
      <c r="F284" s="62" t="n"/>
      <c r="G284" s="64" t="n"/>
      <c r="H284" s="64" t="n"/>
      <c r="I284" s="63" t="n"/>
      <c r="J284" s="29">
        <f>IF(V284=1,IF(ISNUMBER(I284),I284,C284+IF(ISNUMBER(IFERROR(INDEX(vend_Terms,MATCH(D284,vend_Name,0)),"")),INDEX(vend_Terms,MATCH(D284,vend_Name,0)),TermsDays)),"")</f>
        <v/>
      </c>
      <c r="K284" s="65">
        <f>IF(V284=1,SUMIFS(tx_CrAmt,tx_Type,"Bill Payment",tx_Ref,B284&amp;"",tx_Vend,D284,tx_Date,"&lt;="&amp;AsOf),"")</f>
        <v/>
      </c>
      <c r="L284" s="65">
        <f>IF(V284=1,IF(C284&gt;AsOf,0,ROUND(G284-K284,2)),"")</f>
        <v/>
      </c>
      <c r="M284" s="66">
        <f>IF(V284&lt;&gt;1,"",IF(C284&gt;AsOf,"Future",IF(L284&lt;0,"Overpaid",IF(L284=0,"Paid",IF(AsOf&gt;J284,"Overdue",IF(K284&gt;0,"Partial","Unpaid"))))))</f>
        <v/>
      </c>
      <c r="N284" s="28">
        <f>IF(AND(V284=1,N(L284)&gt;0),AsOf-C284,"")</f>
        <v/>
      </c>
      <c r="O284" s="28">
        <f>IF(N284="","",MAX(0,AsOf-J284))</f>
        <v/>
      </c>
      <c r="P284" s="66">
        <f>IF(O284="","",IF(O284=0,"Current",IF(O284&lt;=30,"1-30",IF(O284&lt;=60,"31-60",IF(O284&lt;=90,"61-90","90+")))))</f>
        <v/>
      </c>
      <c r="Q284" s="66">
        <f>IF(T284&lt;&gt;"","⛔ "&amp;T284&amp;" — not posted",IF(U284&lt;&gt;"","⚠ "&amp;U284,IF(V284=1,"✓ OK","")))</f>
        <v/>
      </c>
      <c r="R284" s="67">
        <f>IF(AND(B284="",C284="",D284="",G284="",F284=""),1,0)</f>
        <v/>
      </c>
      <c r="S284" s="68">
        <f>IF(AND(TaxOn="Yes",ISNUMBER(H284)),H284,0)</f>
        <v/>
      </c>
      <c r="T284" s="67">
        <f>IF(R284=1,"",IF(B284="","Enter a bill #",IF(D284="","Select a vendor",IF(C284="","Missing bill date",IF(NOT(ISNUMBER(C284)),"Invalid date",IF(OR(C284&lt;DATE(2000,1,1),C284&gt;DATE(2099,12,31)),"Invalid date",IF(F284="","Select an expense account",IF(ISNA(MATCH(F284,coa_Name,0)),"Unknown account: "&amp;F284,IF(NOT(ISNUMBER(G284)),"Enter an amount",IF(G284&lt;=0,"Amount must be positive",IF(S284&gt;G284,"Tax is larger than the amount","")))))))))))</f>
        <v/>
      </c>
      <c r="U284" s="67">
        <f>IF(OR(R284=1,T284&lt;&gt;""),"",IF(COUNTIFS(ap_No,B284,ap_Party,D284)&gt;1,"Duplicate bill #",IF(N(L284)&lt;0,"Overpaid by "&amp;TEXT(-L284,"#,##0.00"),IF(AND(ISNUMBER(H284),N(H284)&lt;&gt;0,S284=0),"Tax ignored (tax tracking is off)",IF(AND(ISNUMBER(StartDate),C284&lt;StartDate),"Date is before the accounting start date",IF(OR(IFERROR(INDEX(coa_Type,MATCH(F284,coa_Name,0)),"")="Revenue",IFERROR(INDEX(coa_Type,MATCH(F284,coa_Name,0)),"")="Other Income",IFERROR(INDEX(coa_Type,MATCH(F284,coa_Name,0)),"")="Equity"),"Account is not an expense or asset account",""))))))</f>
        <v/>
      </c>
      <c r="V284" s="67">
        <f>IF(AND(R284=0,T284=""),1,0)</f>
        <v/>
      </c>
      <c r="W284" s="67">
        <f>IF(V284=1,F284,"")</f>
        <v/>
      </c>
      <c r="X284" s="67">
        <f>IF(V284=1,acctAP,"")</f>
        <v/>
      </c>
      <c r="Y284" s="68">
        <f>IF(V284=1,G284-S284,0)</f>
        <v/>
      </c>
      <c r="Z284" s="68">
        <f>IF(V284=1,G284,0)</f>
        <v/>
      </c>
      <c r="AA284" s="68">
        <f>IF(V284=1,S284,0)</f>
        <v/>
      </c>
    </row>
    <row r="285">
      <c r="B285" s="62" t="n"/>
      <c r="C285" s="63" t="n"/>
      <c r="D285" s="62" t="n"/>
      <c r="E285" s="62" t="n"/>
      <c r="F285" s="62" t="n"/>
      <c r="G285" s="64" t="n"/>
      <c r="H285" s="64" t="n"/>
      <c r="I285" s="63" t="n"/>
      <c r="J285" s="29">
        <f>IF(V285=1,IF(ISNUMBER(I285),I285,C285+IF(ISNUMBER(IFERROR(INDEX(vend_Terms,MATCH(D285,vend_Name,0)),"")),INDEX(vend_Terms,MATCH(D285,vend_Name,0)),TermsDays)),"")</f>
        <v/>
      </c>
      <c r="K285" s="65">
        <f>IF(V285=1,SUMIFS(tx_CrAmt,tx_Type,"Bill Payment",tx_Ref,B285&amp;"",tx_Vend,D285,tx_Date,"&lt;="&amp;AsOf),"")</f>
        <v/>
      </c>
      <c r="L285" s="65">
        <f>IF(V285=1,IF(C285&gt;AsOf,0,ROUND(G285-K285,2)),"")</f>
        <v/>
      </c>
      <c r="M285" s="66">
        <f>IF(V285&lt;&gt;1,"",IF(C285&gt;AsOf,"Future",IF(L285&lt;0,"Overpaid",IF(L285=0,"Paid",IF(AsOf&gt;J285,"Overdue",IF(K285&gt;0,"Partial","Unpaid"))))))</f>
        <v/>
      </c>
      <c r="N285" s="28">
        <f>IF(AND(V285=1,N(L285)&gt;0),AsOf-C285,"")</f>
        <v/>
      </c>
      <c r="O285" s="28">
        <f>IF(N285="","",MAX(0,AsOf-J285))</f>
        <v/>
      </c>
      <c r="P285" s="66">
        <f>IF(O285="","",IF(O285=0,"Current",IF(O285&lt;=30,"1-30",IF(O285&lt;=60,"31-60",IF(O285&lt;=90,"61-90","90+")))))</f>
        <v/>
      </c>
      <c r="Q285" s="66">
        <f>IF(T285&lt;&gt;"","⛔ "&amp;T285&amp;" — not posted",IF(U285&lt;&gt;"","⚠ "&amp;U285,IF(V285=1,"✓ OK","")))</f>
        <v/>
      </c>
      <c r="R285" s="67">
        <f>IF(AND(B285="",C285="",D285="",G285="",F285=""),1,0)</f>
        <v/>
      </c>
      <c r="S285" s="68">
        <f>IF(AND(TaxOn="Yes",ISNUMBER(H285)),H285,0)</f>
        <v/>
      </c>
      <c r="T285" s="67">
        <f>IF(R285=1,"",IF(B285="","Enter a bill #",IF(D285="","Select a vendor",IF(C285="","Missing bill date",IF(NOT(ISNUMBER(C285)),"Invalid date",IF(OR(C285&lt;DATE(2000,1,1),C285&gt;DATE(2099,12,31)),"Invalid date",IF(F285="","Select an expense account",IF(ISNA(MATCH(F285,coa_Name,0)),"Unknown account: "&amp;F285,IF(NOT(ISNUMBER(G285)),"Enter an amount",IF(G285&lt;=0,"Amount must be positive",IF(S285&gt;G285,"Tax is larger than the amount","")))))))))))</f>
        <v/>
      </c>
      <c r="U285" s="67">
        <f>IF(OR(R285=1,T285&lt;&gt;""),"",IF(COUNTIFS(ap_No,B285,ap_Party,D285)&gt;1,"Duplicate bill #",IF(N(L285)&lt;0,"Overpaid by "&amp;TEXT(-L285,"#,##0.00"),IF(AND(ISNUMBER(H285),N(H285)&lt;&gt;0,S285=0),"Tax ignored (tax tracking is off)",IF(AND(ISNUMBER(StartDate),C285&lt;StartDate),"Date is before the accounting start date",IF(OR(IFERROR(INDEX(coa_Type,MATCH(F285,coa_Name,0)),"")="Revenue",IFERROR(INDEX(coa_Type,MATCH(F285,coa_Name,0)),"")="Other Income",IFERROR(INDEX(coa_Type,MATCH(F285,coa_Name,0)),"")="Equity"),"Account is not an expense or asset account",""))))))</f>
        <v/>
      </c>
      <c r="V285" s="67">
        <f>IF(AND(R285=0,T285=""),1,0)</f>
        <v/>
      </c>
      <c r="W285" s="67">
        <f>IF(V285=1,F285,"")</f>
        <v/>
      </c>
      <c r="X285" s="67">
        <f>IF(V285=1,acctAP,"")</f>
        <v/>
      </c>
      <c r="Y285" s="68">
        <f>IF(V285=1,G285-S285,0)</f>
        <v/>
      </c>
      <c r="Z285" s="68">
        <f>IF(V285=1,G285,0)</f>
        <v/>
      </c>
      <c r="AA285" s="68">
        <f>IF(V285=1,S285,0)</f>
        <v/>
      </c>
    </row>
    <row r="286">
      <c r="B286" s="62" t="n"/>
      <c r="C286" s="63" t="n"/>
      <c r="D286" s="62" t="n"/>
      <c r="E286" s="62" t="n"/>
      <c r="F286" s="62" t="n"/>
      <c r="G286" s="64" t="n"/>
      <c r="H286" s="64" t="n"/>
      <c r="I286" s="63" t="n"/>
      <c r="J286" s="29">
        <f>IF(V286=1,IF(ISNUMBER(I286),I286,C286+IF(ISNUMBER(IFERROR(INDEX(vend_Terms,MATCH(D286,vend_Name,0)),"")),INDEX(vend_Terms,MATCH(D286,vend_Name,0)),TermsDays)),"")</f>
        <v/>
      </c>
      <c r="K286" s="65">
        <f>IF(V286=1,SUMIFS(tx_CrAmt,tx_Type,"Bill Payment",tx_Ref,B286&amp;"",tx_Vend,D286,tx_Date,"&lt;="&amp;AsOf),"")</f>
        <v/>
      </c>
      <c r="L286" s="65">
        <f>IF(V286=1,IF(C286&gt;AsOf,0,ROUND(G286-K286,2)),"")</f>
        <v/>
      </c>
      <c r="M286" s="66">
        <f>IF(V286&lt;&gt;1,"",IF(C286&gt;AsOf,"Future",IF(L286&lt;0,"Overpaid",IF(L286=0,"Paid",IF(AsOf&gt;J286,"Overdue",IF(K286&gt;0,"Partial","Unpaid"))))))</f>
        <v/>
      </c>
      <c r="N286" s="28">
        <f>IF(AND(V286=1,N(L286)&gt;0),AsOf-C286,"")</f>
        <v/>
      </c>
      <c r="O286" s="28">
        <f>IF(N286="","",MAX(0,AsOf-J286))</f>
        <v/>
      </c>
      <c r="P286" s="66">
        <f>IF(O286="","",IF(O286=0,"Current",IF(O286&lt;=30,"1-30",IF(O286&lt;=60,"31-60",IF(O286&lt;=90,"61-90","90+")))))</f>
        <v/>
      </c>
      <c r="Q286" s="66">
        <f>IF(T286&lt;&gt;"","⛔ "&amp;T286&amp;" — not posted",IF(U286&lt;&gt;"","⚠ "&amp;U286,IF(V286=1,"✓ OK","")))</f>
        <v/>
      </c>
      <c r="R286" s="67">
        <f>IF(AND(B286="",C286="",D286="",G286="",F286=""),1,0)</f>
        <v/>
      </c>
      <c r="S286" s="68">
        <f>IF(AND(TaxOn="Yes",ISNUMBER(H286)),H286,0)</f>
        <v/>
      </c>
      <c r="T286" s="67">
        <f>IF(R286=1,"",IF(B286="","Enter a bill #",IF(D286="","Select a vendor",IF(C286="","Missing bill date",IF(NOT(ISNUMBER(C286)),"Invalid date",IF(OR(C286&lt;DATE(2000,1,1),C286&gt;DATE(2099,12,31)),"Invalid date",IF(F286="","Select an expense account",IF(ISNA(MATCH(F286,coa_Name,0)),"Unknown account: "&amp;F286,IF(NOT(ISNUMBER(G286)),"Enter an amount",IF(G286&lt;=0,"Amount must be positive",IF(S286&gt;G286,"Tax is larger than the amount","")))))))))))</f>
        <v/>
      </c>
      <c r="U286" s="67">
        <f>IF(OR(R286=1,T286&lt;&gt;""),"",IF(COUNTIFS(ap_No,B286,ap_Party,D286)&gt;1,"Duplicate bill #",IF(N(L286)&lt;0,"Overpaid by "&amp;TEXT(-L286,"#,##0.00"),IF(AND(ISNUMBER(H286),N(H286)&lt;&gt;0,S286=0),"Tax ignored (tax tracking is off)",IF(AND(ISNUMBER(StartDate),C286&lt;StartDate),"Date is before the accounting start date",IF(OR(IFERROR(INDEX(coa_Type,MATCH(F286,coa_Name,0)),"")="Revenue",IFERROR(INDEX(coa_Type,MATCH(F286,coa_Name,0)),"")="Other Income",IFERROR(INDEX(coa_Type,MATCH(F286,coa_Name,0)),"")="Equity"),"Account is not an expense or asset account",""))))))</f>
        <v/>
      </c>
      <c r="V286" s="67">
        <f>IF(AND(R286=0,T286=""),1,0)</f>
        <v/>
      </c>
      <c r="W286" s="67">
        <f>IF(V286=1,F286,"")</f>
        <v/>
      </c>
      <c r="X286" s="67">
        <f>IF(V286=1,acctAP,"")</f>
        <v/>
      </c>
      <c r="Y286" s="68">
        <f>IF(V286=1,G286-S286,0)</f>
        <v/>
      </c>
      <c r="Z286" s="68">
        <f>IF(V286=1,G286,0)</f>
        <v/>
      </c>
      <c r="AA286" s="68">
        <f>IF(V286=1,S286,0)</f>
        <v/>
      </c>
    </row>
    <row r="287">
      <c r="B287" s="62" t="n"/>
      <c r="C287" s="63" t="n"/>
      <c r="D287" s="62" t="n"/>
      <c r="E287" s="62" t="n"/>
      <c r="F287" s="62" t="n"/>
      <c r="G287" s="64" t="n"/>
      <c r="H287" s="64" t="n"/>
      <c r="I287" s="63" t="n"/>
      <c r="J287" s="29">
        <f>IF(V287=1,IF(ISNUMBER(I287),I287,C287+IF(ISNUMBER(IFERROR(INDEX(vend_Terms,MATCH(D287,vend_Name,0)),"")),INDEX(vend_Terms,MATCH(D287,vend_Name,0)),TermsDays)),"")</f>
        <v/>
      </c>
      <c r="K287" s="65">
        <f>IF(V287=1,SUMIFS(tx_CrAmt,tx_Type,"Bill Payment",tx_Ref,B287&amp;"",tx_Vend,D287,tx_Date,"&lt;="&amp;AsOf),"")</f>
        <v/>
      </c>
      <c r="L287" s="65">
        <f>IF(V287=1,IF(C287&gt;AsOf,0,ROUND(G287-K287,2)),"")</f>
        <v/>
      </c>
      <c r="M287" s="66">
        <f>IF(V287&lt;&gt;1,"",IF(C287&gt;AsOf,"Future",IF(L287&lt;0,"Overpaid",IF(L287=0,"Paid",IF(AsOf&gt;J287,"Overdue",IF(K287&gt;0,"Partial","Unpaid"))))))</f>
        <v/>
      </c>
      <c r="N287" s="28">
        <f>IF(AND(V287=1,N(L287)&gt;0),AsOf-C287,"")</f>
        <v/>
      </c>
      <c r="O287" s="28">
        <f>IF(N287="","",MAX(0,AsOf-J287))</f>
        <v/>
      </c>
      <c r="P287" s="66">
        <f>IF(O287="","",IF(O287=0,"Current",IF(O287&lt;=30,"1-30",IF(O287&lt;=60,"31-60",IF(O287&lt;=90,"61-90","90+")))))</f>
        <v/>
      </c>
      <c r="Q287" s="66">
        <f>IF(T287&lt;&gt;"","⛔ "&amp;T287&amp;" — not posted",IF(U287&lt;&gt;"","⚠ "&amp;U287,IF(V287=1,"✓ OK","")))</f>
        <v/>
      </c>
      <c r="R287" s="67">
        <f>IF(AND(B287="",C287="",D287="",G287="",F287=""),1,0)</f>
        <v/>
      </c>
      <c r="S287" s="68">
        <f>IF(AND(TaxOn="Yes",ISNUMBER(H287)),H287,0)</f>
        <v/>
      </c>
      <c r="T287" s="67">
        <f>IF(R287=1,"",IF(B287="","Enter a bill #",IF(D287="","Select a vendor",IF(C287="","Missing bill date",IF(NOT(ISNUMBER(C287)),"Invalid date",IF(OR(C287&lt;DATE(2000,1,1),C287&gt;DATE(2099,12,31)),"Invalid date",IF(F287="","Select an expense account",IF(ISNA(MATCH(F287,coa_Name,0)),"Unknown account: "&amp;F287,IF(NOT(ISNUMBER(G287)),"Enter an amount",IF(G287&lt;=0,"Amount must be positive",IF(S287&gt;G287,"Tax is larger than the amount","")))))))))))</f>
        <v/>
      </c>
      <c r="U287" s="67">
        <f>IF(OR(R287=1,T287&lt;&gt;""),"",IF(COUNTIFS(ap_No,B287,ap_Party,D287)&gt;1,"Duplicate bill #",IF(N(L287)&lt;0,"Overpaid by "&amp;TEXT(-L287,"#,##0.00"),IF(AND(ISNUMBER(H287),N(H287)&lt;&gt;0,S287=0),"Tax ignored (tax tracking is off)",IF(AND(ISNUMBER(StartDate),C287&lt;StartDate),"Date is before the accounting start date",IF(OR(IFERROR(INDEX(coa_Type,MATCH(F287,coa_Name,0)),"")="Revenue",IFERROR(INDEX(coa_Type,MATCH(F287,coa_Name,0)),"")="Other Income",IFERROR(INDEX(coa_Type,MATCH(F287,coa_Name,0)),"")="Equity"),"Account is not an expense or asset account",""))))))</f>
        <v/>
      </c>
      <c r="V287" s="67">
        <f>IF(AND(R287=0,T287=""),1,0)</f>
        <v/>
      </c>
      <c r="W287" s="67">
        <f>IF(V287=1,F287,"")</f>
        <v/>
      </c>
      <c r="X287" s="67">
        <f>IF(V287=1,acctAP,"")</f>
        <v/>
      </c>
      <c r="Y287" s="68">
        <f>IF(V287=1,G287-S287,0)</f>
        <v/>
      </c>
      <c r="Z287" s="68">
        <f>IF(V287=1,G287,0)</f>
        <v/>
      </c>
      <c r="AA287" s="68">
        <f>IF(V287=1,S287,0)</f>
        <v/>
      </c>
    </row>
    <row r="288">
      <c r="B288" s="62" t="n"/>
      <c r="C288" s="63" t="n"/>
      <c r="D288" s="62" t="n"/>
      <c r="E288" s="62" t="n"/>
      <c r="F288" s="62" t="n"/>
      <c r="G288" s="64" t="n"/>
      <c r="H288" s="64" t="n"/>
      <c r="I288" s="63" t="n"/>
      <c r="J288" s="29">
        <f>IF(V288=1,IF(ISNUMBER(I288),I288,C288+IF(ISNUMBER(IFERROR(INDEX(vend_Terms,MATCH(D288,vend_Name,0)),"")),INDEX(vend_Terms,MATCH(D288,vend_Name,0)),TermsDays)),"")</f>
        <v/>
      </c>
      <c r="K288" s="65">
        <f>IF(V288=1,SUMIFS(tx_CrAmt,tx_Type,"Bill Payment",tx_Ref,B288&amp;"",tx_Vend,D288,tx_Date,"&lt;="&amp;AsOf),"")</f>
        <v/>
      </c>
      <c r="L288" s="65">
        <f>IF(V288=1,IF(C288&gt;AsOf,0,ROUND(G288-K288,2)),"")</f>
        <v/>
      </c>
      <c r="M288" s="66">
        <f>IF(V288&lt;&gt;1,"",IF(C288&gt;AsOf,"Future",IF(L288&lt;0,"Overpaid",IF(L288=0,"Paid",IF(AsOf&gt;J288,"Overdue",IF(K288&gt;0,"Partial","Unpaid"))))))</f>
        <v/>
      </c>
      <c r="N288" s="28">
        <f>IF(AND(V288=1,N(L288)&gt;0),AsOf-C288,"")</f>
        <v/>
      </c>
      <c r="O288" s="28">
        <f>IF(N288="","",MAX(0,AsOf-J288))</f>
        <v/>
      </c>
      <c r="P288" s="66">
        <f>IF(O288="","",IF(O288=0,"Current",IF(O288&lt;=30,"1-30",IF(O288&lt;=60,"31-60",IF(O288&lt;=90,"61-90","90+")))))</f>
        <v/>
      </c>
      <c r="Q288" s="66">
        <f>IF(T288&lt;&gt;"","⛔ "&amp;T288&amp;" — not posted",IF(U288&lt;&gt;"","⚠ "&amp;U288,IF(V288=1,"✓ OK","")))</f>
        <v/>
      </c>
      <c r="R288" s="67">
        <f>IF(AND(B288="",C288="",D288="",G288="",F288=""),1,0)</f>
        <v/>
      </c>
      <c r="S288" s="68">
        <f>IF(AND(TaxOn="Yes",ISNUMBER(H288)),H288,0)</f>
        <v/>
      </c>
      <c r="T288" s="67">
        <f>IF(R288=1,"",IF(B288="","Enter a bill #",IF(D288="","Select a vendor",IF(C288="","Missing bill date",IF(NOT(ISNUMBER(C288)),"Invalid date",IF(OR(C288&lt;DATE(2000,1,1),C288&gt;DATE(2099,12,31)),"Invalid date",IF(F288="","Select an expense account",IF(ISNA(MATCH(F288,coa_Name,0)),"Unknown account: "&amp;F288,IF(NOT(ISNUMBER(G288)),"Enter an amount",IF(G288&lt;=0,"Amount must be positive",IF(S288&gt;G288,"Tax is larger than the amount","")))))))))))</f>
        <v/>
      </c>
      <c r="U288" s="67">
        <f>IF(OR(R288=1,T288&lt;&gt;""),"",IF(COUNTIFS(ap_No,B288,ap_Party,D288)&gt;1,"Duplicate bill #",IF(N(L288)&lt;0,"Overpaid by "&amp;TEXT(-L288,"#,##0.00"),IF(AND(ISNUMBER(H288),N(H288)&lt;&gt;0,S288=0),"Tax ignored (tax tracking is off)",IF(AND(ISNUMBER(StartDate),C288&lt;StartDate),"Date is before the accounting start date",IF(OR(IFERROR(INDEX(coa_Type,MATCH(F288,coa_Name,0)),"")="Revenue",IFERROR(INDEX(coa_Type,MATCH(F288,coa_Name,0)),"")="Other Income",IFERROR(INDEX(coa_Type,MATCH(F288,coa_Name,0)),"")="Equity"),"Account is not an expense or asset account",""))))))</f>
        <v/>
      </c>
      <c r="V288" s="67">
        <f>IF(AND(R288=0,T288=""),1,0)</f>
        <v/>
      </c>
      <c r="W288" s="67">
        <f>IF(V288=1,F288,"")</f>
        <v/>
      </c>
      <c r="X288" s="67">
        <f>IF(V288=1,acctAP,"")</f>
        <v/>
      </c>
      <c r="Y288" s="68">
        <f>IF(V288=1,G288-S288,0)</f>
        <v/>
      </c>
      <c r="Z288" s="68">
        <f>IF(V288=1,G288,0)</f>
        <v/>
      </c>
      <c r="AA288" s="68">
        <f>IF(V288=1,S288,0)</f>
        <v/>
      </c>
    </row>
    <row r="289">
      <c r="B289" s="62" t="n"/>
      <c r="C289" s="63" t="n"/>
      <c r="D289" s="62" t="n"/>
      <c r="E289" s="62" t="n"/>
      <c r="F289" s="62" t="n"/>
      <c r="G289" s="64" t="n"/>
      <c r="H289" s="64" t="n"/>
      <c r="I289" s="63" t="n"/>
      <c r="J289" s="29">
        <f>IF(V289=1,IF(ISNUMBER(I289),I289,C289+IF(ISNUMBER(IFERROR(INDEX(vend_Terms,MATCH(D289,vend_Name,0)),"")),INDEX(vend_Terms,MATCH(D289,vend_Name,0)),TermsDays)),"")</f>
        <v/>
      </c>
      <c r="K289" s="65">
        <f>IF(V289=1,SUMIFS(tx_CrAmt,tx_Type,"Bill Payment",tx_Ref,B289&amp;"",tx_Vend,D289,tx_Date,"&lt;="&amp;AsOf),"")</f>
        <v/>
      </c>
      <c r="L289" s="65">
        <f>IF(V289=1,IF(C289&gt;AsOf,0,ROUND(G289-K289,2)),"")</f>
        <v/>
      </c>
      <c r="M289" s="66">
        <f>IF(V289&lt;&gt;1,"",IF(C289&gt;AsOf,"Future",IF(L289&lt;0,"Overpaid",IF(L289=0,"Paid",IF(AsOf&gt;J289,"Overdue",IF(K289&gt;0,"Partial","Unpaid"))))))</f>
        <v/>
      </c>
      <c r="N289" s="28">
        <f>IF(AND(V289=1,N(L289)&gt;0),AsOf-C289,"")</f>
        <v/>
      </c>
      <c r="O289" s="28">
        <f>IF(N289="","",MAX(0,AsOf-J289))</f>
        <v/>
      </c>
      <c r="P289" s="66">
        <f>IF(O289="","",IF(O289=0,"Current",IF(O289&lt;=30,"1-30",IF(O289&lt;=60,"31-60",IF(O289&lt;=90,"61-90","90+")))))</f>
        <v/>
      </c>
      <c r="Q289" s="66">
        <f>IF(T289&lt;&gt;"","⛔ "&amp;T289&amp;" — not posted",IF(U289&lt;&gt;"","⚠ "&amp;U289,IF(V289=1,"✓ OK","")))</f>
        <v/>
      </c>
      <c r="R289" s="67">
        <f>IF(AND(B289="",C289="",D289="",G289="",F289=""),1,0)</f>
        <v/>
      </c>
      <c r="S289" s="68">
        <f>IF(AND(TaxOn="Yes",ISNUMBER(H289)),H289,0)</f>
        <v/>
      </c>
      <c r="T289" s="67">
        <f>IF(R289=1,"",IF(B289="","Enter a bill #",IF(D289="","Select a vendor",IF(C289="","Missing bill date",IF(NOT(ISNUMBER(C289)),"Invalid date",IF(OR(C289&lt;DATE(2000,1,1),C289&gt;DATE(2099,12,31)),"Invalid date",IF(F289="","Select an expense account",IF(ISNA(MATCH(F289,coa_Name,0)),"Unknown account: "&amp;F289,IF(NOT(ISNUMBER(G289)),"Enter an amount",IF(G289&lt;=0,"Amount must be positive",IF(S289&gt;G289,"Tax is larger than the amount","")))))))))))</f>
        <v/>
      </c>
      <c r="U289" s="67">
        <f>IF(OR(R289=1,T289&lt;&gt;""),"",IF(COUNTIFS(ap_No,B289,ap_Party,D289)&gt;1,"Duplicate bill #",IF(N(L289)&lt;0,"Overpaid by "&amp;TEXT(-L289,"#,##0.00"),IF(AND(ISNUMBER(H289),N(H289)&lt;&gt;0,S289=0),"Tax ignored (tax tracking is off)",IF(AND(ISNUMBER(StartDate),C289&lt;StartDate),"Date is before the accounting start date",IF(OR(IFERROR(INDEX(coa_Type,MATCH(F289,coa_Name,0)),"")="Revenue",IFERROR(INDEX(coa_Type,MATCH(F289,coa_Name,0)),"")="Other Income",IFERROR(INDEX(coa_Type,MATCH(F289,coa_Name,0)),"")="Equity"),"Account is not an expense or asset account",""))))))</f>
        <v/>
      </c>
      <c r="V289" s="67">
        <f>IF(AND(R289=0,T289=""),1,0)</f>
        <v/>
      </c>
      <c r="W289" s="67">
        <f>IF(V289=1,F289,"")</f>
        <v/>
      </c>
      <c r="X289" s="67">
        <f>IF(V289=1,acctAP,"")</f>
        <v/>
      </c>
      <c r="Y289" s="68">
        <f>IF(V289=1,G289-S289,0)</f>
        <v/>
      </c>
      <c r="Z289" s="68">
        <f>IF(V289=1,G289,0)</f>
        <v/>
      </c>
      <c r="AA289" s="68">
        <f>IF(V289=1,S289,0)</f>
        <v/>
      </c>
    </row>
    <row r="290">
      <c r="B290" s="62" t="n"/>
      <c r="C290" s="63" t="n"/>
      <c r="D290" s="62" t="n"/>
      <c r="E290" s="62" t="n"/>
      <c r="F290" s="62" t="n"/>
      <c r="G290" s="64" t="n"/>
      <c r="H290" s="64" t="n"/>
      <c r="I290" s="63" t="n"/>
      <c r="J290" s="29">
        <f>IF(V290=1,IF(ISNUMBER(I290),I290,C290+IF(ISNUMBER(IFERROR(INDEX(vend_Terms,MATCH(D290,vend_Name,0)),"")),INDEX(vend_Terms,MATCH(D290,vend_Name,0)),TermsDays)),"")</f>
        <v/>
      </c>
      <c r="K290" s="65">
        <f>IF(V290=1,SUMIFS(tx_CrAmt,tx_Type,"Bill Payment",tx_Ref,B290&amp;"",tx_Vend,D290,tx_Date,"&lt;="&amp;AsOf),"")</f>
        <v/>
      </c>
      <c r="L290" s="65">
        <f>IF(V290=1,IF(C290&gt;AsOf,0,ROUND(G290-K290,2)),"")</f>
        <v/>
      </c>
      <c r="M290" s="66">
        <f>IF(V290&lt;&gt;1,"",IF(C290&gt;AsOf,"Future",IF(L290&lt;0,"Overpaid",IF(L290=0,"Paid",IF(AsOf&gt;J290,"Overdue",IF(K290&gt;0,"Partial","Unpaid"))))))</f>
        <v/>
      </c>
      <c r="N290" s="28">
        <f>IF(AND(V290=1,N(L290)&gt;0),AsOf-C290,"")</f>
        <v/>
      </c>
      <c r="O290" s="28">
        <f>IF(N290="","",MAX(0,AsOf-J290))</f>
        <v/>
      </c>
      <c r="P290" s="66">
        <f>IF(O290="","",IF(O290=0,"Current",IF(O290&lt;=30,"1-30",IF(O290&lt;=60,"31-60",IF(O290&lt;=90,"61-90","90+")))))</f>
        <v/>
      </c>
      <c r="Q290" s="66">
        <f>IF(T290&lt;&gt;"","⛔ "&amp;T290&amp;" — not posted",IF(U290&lt;&gt;"","⚠ "&amp;U290,IF(V290=1,"✓ OK","")))</f>
        <v/>
      </c>
      <c r="R290" s="67">
        <f>IF(AND(B290="",C290="",D290="",G290="",F290=""),1,0)</f>
        <v/>
      </c>
      <c r="S290" s="68">
        <f>IF(AND(TaxOn="Yes",ISNUMBER(H290)),H290,0)</f>
        <v/>
      </c>
      <c r="T290" s="67">
        <f>IF(R290=1,"",IF(B290="","Enter a bill #",IF(D290="","Select a vendor",IF(C290="","Missing bill date",IF(NOT(ISNUMBER(C290)),"Invalid date",IF(OR(C290&lt;DATE(2000,1,1),C290&gt;DATE(2099,12,31)),"Invalid date",IF(F290="","Select an expense account",IF(ISNA(MATCH(F290,coa_Name,0)),"Unknown account: "&amp;F290,IF(NOT(ISNUMBER(G290)),"Enter an amount",IF(G290&lt;=0,"Amount must be positive",IF(S290&gt;G290,"Tax is larger than the amount","")))))))))))</f>
        <v/>
      </c>
      <c r="U290" s="67">
        <f>IF(OR(R290=1,T290&lt;&gt;""),"",IF(COUNTIFS(ap_No,B290,ap_Party,D290)&gt;1,"Duplicate bill #",IF(N(L290)&lt;0,"Overpaid by "&amp;TEXT(-L290,"#,##0.00"),IF(AND(ISNUMBER(H290),N(H290)&lt;&gt;0,S290=0),"Tax ignored (tax tracking is off)",IF(AND(ISNUMBER(StartDate),C290&lt;StartDate),"Date is before the accounting start date",IF(OR(IFERROR(INDEX(coa_Type,MATCH(F290,coa_Name,0)),"")="Revenue",IFERROR(INDEX(coa_Type,MATCH(F290,coa_Name,0)),"")="Other Income",IFERROR(INDEX(coa_Type,MATCH(F290,coa_Name,0)),"")="Equity"),"Account is not an expense or asset account",""))))))</f>
        <v/>
      </c>
      <c r="V290" s="67">
        <f>IF(AND(R290=0,T290=""),1,0)</f>
        <v/>
      </c>
      <c r="W290" s="67">
        <f>IF(V290=1,F290,"")</f>
        <v/>
      </c>
      <c r="X290" s="67">
        <f>IF(V290=1,acctAP,"")</f>
        <v/>
      </c>
      <c r="Y290" s="68">
        <f>IF(V290=1,G290-S290,0)</f>
        <v/>
      </c>
      <c r="Z290" s="68">
        <f>IF(V290=1,G290,0)</f>
        <v/>
      </c>
      <c r="AA290" s="68">
        <f>IF(V290=1,S290,0)</f>
        <v/>
      </c>
    </row>
    <row r="291">
      <c r="B291" s="62" t="n"/>
      <c r="C291" s="63" t="n"/>
      <c r="D291" s="62" t="n"/>
      <c r="E291" s="62" t="n"/>
      <c r="F291" s="62" t="n"/>
      <c r="G291" s="64" t="n"/>
      <c r="H291" s="64" t="n"/>
      <c r="I291" s="63" t="n"/>
      <c r="J291" s="29">
        <f>IF(V291=1,IF(ISNUMBER(I291),I291,C291+IF(ISNUMBER(IFERROR(INDEX(vend_Terms,MATCH(D291,vend_Name,0)),"")),INDEX(vend_Terms,MATCH(D291,vend_Name,0)),TermsDays)),"")</f>
        <v/>
      </c>
      <c r="K291" s="65">
        <f>IF(V291=1,SUMIFS(tx_CrAmt,tx_Type,"Bill Payment",tx_Ref,B291&amp;"",tx_Vend,D291,tx_Date,"&lt;="&amp;AsOf),"")</f>
        <v/>
      </c>
      <c r="L291" s="65">
        <f>IF(V291=1,IF(C291&gt;AsOf,0,ROUND(G291-K291,2)),"")</f>
        <v/>
      </c>
      <c r="M291" s="66">
        <f>IF(V291&lt;&gt;1,"",IF(C291&gt;AsOf,"Future",IF(L291&lt;0,"Overpaid",IF(L291=0,"Paid",IF(AsOf&gt;J291,"Overdue",IF(K291&gt;0,"Partial","Unpaid"))))))</f>
        <v/>
      </c>
      <c r="N291" s="28">
        <f>IF(AND(V291=1,N(L291)&gt;0),AsOf-C291,"")</f>
        <v/>
      </c>
      <c r="O291" s="28">
        <f>IF(N291="","",MAX(0,AsOf-J291))</f>
        <v/>
      </c>
      <c r="P291" s="66">
        <f>IF(O291="","",IF(O291=0,"Current",IF(O291&lt;=30,"1-30",IF(O291&lt;=60,"31-60",IF(O291&lt;=90,"61-90","90+")))))</f>
        <v/>
      </c>
      <c r="Q291" s="66">
        <f>IF(T291&lt;&gt;"","⛔ "&amp;T291&amp;" — not posted",IF(U291&lt;&gt;"","⚠ "&amp;U291,IF(V291=1,"✓ OK","")))</f>
        <v/>
      </c>
      <c r="R291" s="67">
        <f>IF(AND(B291="",C291="",D291="",G291="",F291=""),1,0)</f>
        <v/>
      </c>
      <c r="S291" s="68">
        <f>IF(AND(TaxOn="Yes",ISNUMBER(H291)),H291,0)</f>
        <v/>
      </c>
      <c r="T291" s="67">
        <f>IF(R291=1,"",IF(B291="","Enter a bill #",IF(D291="","Select a vendor",IF(C291="","Missing bill date",IF(NOT(ISNUMBER(C291)),"Invalid date",IF(OR(C291&lt;DATE(2000,1,1),C291&gt;DATE(2099,12,31)),"Invalid date",IF(F291="","Select an expense account",IF(ISNA(MATCH(F291,coa_Name,0)),"Unknown account: "&amp;F291,IF(NOT(ISNUMBER(G291)),"Enter an amount",IF(G291&lt;=0,"Amount must be positive",IF(S291&gt;G291,"Tax is larger than the amount","")))))))))))</f>
        <v/>
      </c>
      <c r="U291" s="67">
        <f>IF(OR(R291=1,T291&lt;&gt;""),"",IF(COUNTIFS(ap_No,B291,ap_Party,D291)&gt;1,"Duplicate bill #",IF(N(L291)&lt;0,"Overpaid by "&amp;TEXT(-L291,"#,##0.00"),IF(AND(ISNUMBER(H291),N(H291)&lt;&gt;0,S291=0),"Tax ignored (tax tracking is off)",IF(AND(ISNUMBER(StartDate),C291&lt;StartDate),"Date is before the accounting start date",IF(OR(IFERROR(INDEX(coa_Type,MATCH(F291,coa_Name,0)),"")="Revenue",IFERROR(INDEX(coa_Type,MATCH(F291,coa_Name,0)),"")="Other Income",IFERROR(INDEX(coa_Type,MATCH(F291,coa_Name,0)),"")="Equity"),"Account is not an expense or asset account",""))))))</f>
        <v/>
      </c>
      <c r="V291" s="67">
        <f>IF(AND(R291=0,T291=""),1,0)</f>
        <v/>
      </c>
      <c r="W291" s="67">
        <f>IF(V291=1,F291,"")</f>
        <v/>
      </c>
      <c r="X291" s="67">
        <f>IF(V291=1,acctAP,"")</f>
        <v/>
      </c>
      <c r="Y291" s="68">
        <f>IF(V291=1,G291-S291,0)</f>
        <v/>
      </c>
      <c r="Z291" s="68">
        <f>IF(V291=1,G291,0)</f>
        <v/>
      </c>
      <c r="AA291" s="68">
        <f>IF(V291=1,S291,0)</f>
        <v/>
      </c>
    </row>
    <row r="292">
      <c r="B292" s="62" t="n"/>
      <c r="C292" s="63" t="n"/>
      <c r="D292" s="62" t="n"/>
      <c r="E292" s="62" t="n"/>
      <c r="F292" s="62" t="n"/>
      <c r="G292" s="64" t="n"/>
      <c r="H292" s="64" t="n"/>
      <c r="I292" s="63" t="n"/>
      <c r="J292" s="29">
        <f>IF(V292=1,IF(ISNUMBER(I292),I292,C292+IF(ISNUMBER(IFERROR(INDEX(vend_Terms,MATCH(D292,vend_Name,0)),"")),INDEX(vend_Terms,MATCH(D292,vend_Name,0)),TermsDays)),"")</f>
        <v/>
      </c>
      <c r="K292" s="65">
        <f>IF(V292=1,SUMIFS(tx_CrAmt,tx_Type,"Bill Payment",tx_Ref,B292&amp;"",tx_Vend,D292,tx_Date,"&lt;="&amp;AsOf),"")</f>
        <v/>
      </c>
      <c r="L292" s="65">
        <f>IF(V292=1,IF(C292&gt;AsOf,0,ROUND(G292-K292,2)),"")</f>
        <v/>
      </c>
      <c r="M292" s="66">
        <f>IF(V292&lt;&gt;1,"",IF(C292&gt;AsOf,"Future",IF(L292&lt;0,"Overpaid",IF(L292=0,"Paid",IF(AsOf&gt;J292,"Overdue",IF(K292&gt;0,"Partial","Unpaid"))))))</f>
        <v/>
      </c>
      <c r="N292" s="28">
        <f>IF(AND(V292=1,N(L292)&gt;0),AsOf-C292,"")</f>
        <v/>
      </c>
      <c r="O292" s="28">
        <f>IF(N292="","",MAX(0,AsOf-J292))</f>
        <v/>
      </c>
      <c r="P292" s="66">
        <f>IF(O292="","",IF(O292=0,"Current",IF(O292&lt;=30,"1-30",IF(O292&lt;=60,"31-60",IF(O292&lt;=90,"61-90","90+")))))</f>
        <v/>
      </c>
      <c r="Q292" s="66">
        <f>IF(T292&lt;&gt;"","⛔ "&amp;T292&amp;" — not posted",IF(U292&lt;&gt;"","⚠ "&amp;U292,IF(V292=1,"✓ OK","")))</f>
        <v/>
      </c>
      <c r="R292" s="67">
        <f>IF(AND(B292="",C292="",D292="",G292="",F292=""),1,0)</f>
        <v/>
      </c>
      <c r="S292" s="68">
        <f>IF(AND(TaxOn="Yes",ISNUMBER(H292)),H292,0)</f>
        <v/>
      </c>
      <c r="T292" s="67">
        <f>IF(R292=1,"",IF(B292="","Enter a bill #",IF(D292="","Select a vendor",IF(C292="","Missing bill date",IF(NOT(ISNUMBER(C292)),"Invalid date",IF(OR(C292&lt;DATE(2000,1,1),C292&gt;DATE(2099,12,31)),"Invalid date",IF(F292="","Select an expense account",IF(ISNA(MATCH(F292,coa_Name,0)),"Unknown account: "&amp;F292,IF(NOT(ISNUMBER(G292)),"Enter an amount",IF(G292&lt;=0,"Amount must be positive",IF(S292&gt;G292,"Tax is larger than the amount","")))))))))))</f>
        <v/>
      </c>
      <c r="U292" s="67">
        <f>IF(OR(R292=1,T292&lt;&gt;""),"",IF(COUNTIFS(ap_No,B292,ap_Party,D292)&gt;1,"Duplicate bill #",IF(N(L292)&lt;0,"Overpaid by "&amp;TEXT(-L292,"#,##0.00"),IF(AND(ISNUMBER(H292),N(H292)&lt;&gt;0,S292=0),"Tax ignored (tax tracking is off)",IF(AND(ISNUMBER(StartDate),C292&lt;StartDate),"Date is before the accounting start date",IF(OR(IFERROR(INDEX(coa_Type,MATCH(F292,coa_Name,0)),"")="Revenue",IFERROR(INDEX(coa_Type,MATCH(F292,coa_Name,0)),"")="Other Income",IFERROR(INDEX(coa_Type,MATCH(F292,coa_Name,0)),"")="Equity"),"Account is not an expense or asset account",""))))))</f>
        <v/>
      </c>
      <c r="V292" s="67">
        <f>IF(AND(R292=0,T292=""),1,0)</f>
        <v/>
      </c>
      <c r="W292" s="67">
        <f>IF(V292=1,F292,"")</f>
        <v/>
      </c>
      <c r="X292" s="67">
        <f>IF(V292=1,acctAP,"")</f>
        <v/>
      </c>
      <c r="Y292" s="68">
        <f>IF(V292=1,G292-S292,0)</f>
        <v/>
      </c>
      <c r="Z292" s="68">
        <f>IF(V292=1,G292,0)</f>
        <v/>
      </c>
      <c r="AA292" s="68">
        <f>IF(V292=1,S292,0)</f>
        <v/>
      </c>
    </row>
    <row r="293">
      <c r="B293" s="62" t="n"/>
      <c r="C293" s="63" t="n"/>
      <c r="D293" s="62" t="n"/>
      <c r="E293" s="62" t="n"/>
      <c r="F293" s="62" t="n"/>
      <c r="G293" s="64" t="n"/>
      <c r="H293" s="64" t="n"/>
      <c r="I293" s="63" t="n"/>
      <c r="J293" s="29">
        <f>IF(V293=1,IF(ISNUMBER(I293),I293,C293+IF(ISNUMBER(IFERROR(INDEX(vend_Terms,MATCH(D293,vend_Name,0)),"")),INDEX(vend_Terms,MATCH(D293,vend_Name,0)),TermsDays)),"")</f>
        <v/>
      </c>
      <c r="K293" s="65">
        <f>IF(V293=1,SUMIFS(tx_CrAmt,tx_Type,"Bill Payment",tx_Ref,B293&amp;"",tx_Vend,D293,tx_Date,"&lt;="&amp;AsOf),"")</f>
        <v/>
      </c>
      <c r="L293" s="65">
        <f>IF(V293=1,IF(C293&gt;AsOf,0,ROUND(G293-K293,2)),"")</f>
        <v/>
      </c>
      <c r="M293" s="66">
        <f>IF(V293&lt;&gt;1,"",IF(C293&gt;AsOf,"Future",IF(L293&lt;0,"Overpaid",IF(L293=0,"Paid",IF(AsOf&gt;J293,"Overdue",IF(K293&gt;0,"Partial","Unpaid"))))))</f>
        <v/>
      </c>
      <c r="N293" s="28">
        <f>IF(AND(V293=1,N(L293)&gt;0),AsOf-C293,"")</f>
        <v/>
      </c>
      <c r="O293" s="28">
        <f>IF(N293="","",MAX(0,AsOf-J293))</f>
        <v/>
      </c>
      <c r="P293" s="66">
        <f>IF(O293="","",IF(O293=0,"Current",IF(O293&lt;=30,"1-30",IF(O293&lt;=60,"31-60",IF(O293&lt;=90,"61-90","90+")))))</f>
        <v/>
      </c>
      <c r="Q293" s="66">
        <f>IF(T293&lt;&gt;"","⛔ "&amp;T293&amp;" — not posted",IF(U293&lt;&gt;"","⚠ "&amp;U293,IF(V293=1,"✓ OK","")))</f>
        <v/>
      </c>
      <c r="R293" s="67">
        <f>IF(AND(B293="",C293="",D293="",G293="",F293=""),1,0)</f>
        <v/>
      </c>
      <c r="S293" s="68">
        <f>IF(AND(TaxOn="Yes",ISNUMBER(H293)),H293,0)</f>
        <v/>
      </c>
      <c r="T293" s="67">
        <f>IF(R293=1,"",IF(B293="","Enter a bill #",IF(D293="","Select a vendor",IF(C293="","Missing bill date",IF(NOT(ISNUMBER(C293)),"Invalid date",IF(OR(C293&lt;DATE(2000,1,1),C293&gt;DATE(2099,12,31)),"Invalid date",IF(F293="","Select an expense account",IF(ISNA(MATCH(F293,coa_Name,0)),"Unknown account: "&amp;F293,IF(NOT(ISNUMBER(G293)),"Enter an amount",IF(G293&lt;=0,"Amount must be positive",IF(S293&gt;G293,"Tax is larger than the amount","")))))))))))</f>
        <v/>
      </c>
      <c r="U293" s="67">
        <f>IF(OR(R293=1,T293&lt;&gt;""),"",IF(COUNTIFS(ap_No,B293,ap_Party,D293)&gt;1,"Duplicate bill #",IF(N(L293)&lt;0,"Overpaid by "&amp;TEXT(-L293,"#,##0.00"),IF(AND(ISNUMBER(H293),N(H293)&lt;&gt;0,S293=0),"Tax ignored (tax tracking is off)",IF(AND(ISNUMBER(StartDate),C293&lt;StartDate),"Date is before the accounting start date",IF(OR(IFERROR(INDEX(coa_Type,MATCH(F293,coa_Name,0)),"")="Revenue",IFERROR(INDEX(coa_Type,MATCH(F293,coa_Name,0)),"")="Other Income",IFERROR(INDEX(coa_Type,MATCH(F293,coa_Name,0)),"")="Equity"),"Account is not an expense or asset account",""))))))</f>
        <v/>
      </c>
      <c r="V293" s="67">
        <f>IF(AND(R293=0,T293=""),1,0)</f>
        <v/>
      </c>
      <c r="W293" s="67">
        <f>IF(V293=1,F293,"")</f>
        <v/>
      </c>
      <c r="X293" s="67">
        <f>IF(V293=1,acctAP,"")</f>
        <v/>
      </c>
      <c r="Y293" s="68">
        <f>IF(V293=1,G293-S293,0)</f>
        <v/>
      </c>
      <c r="Z293" s="68">
        <f>IF(V293=1,G293,0)</f>
        <v/>
      </c>
      <c r="AA293" s="68">
        <f>IF(V293=1,S293,0)</f>
        <v/>
      </c>
    </row>
    <row r="294">
      <c r="B294" s="62" t="n"/>
      <c r="C294" s="63" t="n"/>
      <c r="D294" s="62" t="n"/>
      <c r="E294" s="62" t="n"/>
      <c r="F294" s="62" t="n"/>
      <c r="G294" s="64" t="n"/>
      <c r="H294" s="64" t="n"/>
      <c r="I294" s="63" t="n"/>
      <c r="J294" s="29">
        <f>IF(V294=1,IF(ISNUMBER(I294),I294,C294+IF(ISNUMBER(IFERROR(INDEX(vend_Terms,MATCH(D294,vend_Name,0)),"")),INDEX(vend_Terms,MATCH(D294,vend_Name,0)),TermsDays)),"")</f>
        <v/>
      </c>
      <c r="K294" s="65">
        <f>IF(V294=1,SUMIFS(tx_CrAmt,tx_Type,"Bill Payment",tx_Ref,B294&amp;"",tx_Vend,D294,tx_Date,"&lt;="&amp;AsOf),"")</f>
        <v/>
      </c>
      <c r="L294" s="65">
        <f>IF(V294=1,IF(C294&gt;AsOf,0,ROUND(G294-K294,2)),"")</f>
        <v/>
      </c>
      <c r="M294" s="66">
        <f>IF(V294&lt;&gt;1,"",IF(C294&gt;AsOf,"Future",IF(L294&lt;0,"Overpaid",IF(L294=0,"Paid",IF(AsOf&gt;J294,"Overdue",IF(K294&gt;0,"Partial","Unpaid"))))))</f>
        <v/>
      </c>
      <c r="N294" s="28">
        <f>IF(AND(V294=1,N(L294)&gt;0),AsOf-C294,"")</f>
        <v/>
      </c>
      <c r="O294" s="28">
        <f>IF(N294="","",MAX(0,AsOf-J294))</f>
        <v/>
      </c>
      <c r="P294" s="66">
        <f>IF(O294="","",IF(O294=0,"Current",IF(O294&lt;=30,"1-30",IF(O294&lt;=60,"31-60",IF(O294&lt;=90,"61-90","90+")))))</f>
        <v/>
      </c>
      <c r="Q294" s="66">
        <f>IF(T294&lt;&gt;"","⛔ "&amp;T294&amp;" — not posted",IF(U294&lt;&gt;"","⚠ "&amp;U294,IF(V294=1,"✓ OK","")))</f>
        <v/>
      </c>
      <c r="R294" s="67">
        <f>IF(AND(B294="",C294="",D294="",G294="",F294=""),1,0)</f>
        <v/>
      </c>
      <c r="S294" s="68">
        <f>IF(AND(TaxOn="Yes",ISNUMBER(H294)),H294,0)</f>
        <v/>
      </c>
      <c r="T294" s="67">
        <f>IF(R294=1,"",IF(B294="","Enter a bill #",IF(D294="","Select a vendor",IF(C294="","Missing bill date",IF(NOT(ISNUMBER(C294)),"Invalid date",IF(OR(C294&lt;DATE(2000,1,1),C294&gt;DATE(2099,12,31)),"Invalid date",IF(F294="","Select an expense account",IF(ISNA(MATCH(F294,coa_Name,0)),"Unknown account: "&amp;F294,IF(NOT(ISNUMBER(G294)),"Enter an amount",IF(G294&lt;=0,"Amount must be positive",IF(S294&gt;G294,"Tax is larger than the amount","")))))))))))</f>
        <v/>
      </c>
      <c r="U294" s="67">
        <f>IF(OR(R294=1,T294&lt;&gt;""),"",IF(COUNTIFS(ap_No,B294,ap_Party,D294)&gt;1,"Duplicate bill #",IF(N(L294)&lt;0,"Overpaid by "&amp;TEXT(-L294,"#,##0.00"),IF(AND(ISNUMBER(H294),N(H294)&lt;&gt;0,S294=0),"Tax ignored (tax tracking is off)",IF(AND(ISNUMBER(StartDate),C294&lt;StartDate),"Date is before the accounting start date",IF(OR(IFERROR(INDEX(coa_Type,MATCH(F294,coa_Name,0)),"")="Revenue",IFERROR(INDEX(coa_Type,MATCH(F294,coa_Name,0)),"")="Other Income",IFERROR(INDEX(coa_Type,MATCH(F294,coa_Name,0)),"")="Equity"),"Account is not an expense or asset account",""))))))</f>
        <v/>
      </c>
      <c r="V294" s="67">
        <f>IF(AND(R294=0,T294=""),1,0)</f>
        <v/>
      </c>
      <c r="W294" s="67">
        <f>IF(V294=1,F294,"")</f>
        <v/>
      </c>
      <c r="X294" s="67">
        <f>IF(V294=1,acctAP,"")</f>
        <v/>
      </c>
      <c r="Y294" s="68">
        <f>IF(V294=1,G294-S294,0)</f>
        <v/>
      </c>
      <c r="Z294" s="68">
        <f>IF(V294=1,G294,0)</f>
        <v/>
      </c>
      <c r="AA294" s="68">
        <f>IF(V294=1,S294,0)</f>
        <v/>
      </c>
    </row>
    <row r="295">
      <c r="B295" s="62" t="n"/>
      <c r="C295" s="63" t="n"/>
      <c r="D295" s="62" t="n"/>
      <c r="E295" s="62" t="n"/>
      <c r="F295" s="62" t="n"/>
      <c r="G295" s="64" t="n"/>
      <c r="H295" s="64" t="n"/>
      <c r="I295" s="63" t="n"/>
      <c r="J295" s="29">
        <f>IF(V295=1,IF(ISNUMBER(I295),I295,C295+IF(ISNUMBER(IFERROR(INDEX(vend_Terms,MATCH(D295,vend_Name,0)),"")),INDEX(vend_Terms,MATCH(D295,vend_Name,0)),TermsDays)),"")</f>
        <v/>
      </c>
      <c r="K295" s="65">
        <f>IF(V295=1,SUMIFS(tx_CrAmt,tx_Type,"Bill Payment",tx_Ref,B295&amp;"",tx_Vend,D295,tx_Date,"&lt;="&amp;AsOf),"")</f>
        <v/>
      </c>
      <c r="L295" s="65">
        <f>IF(V295=1,IF(C295&gt;AsOf,0,ROUND(G295-K295,2)),"")</f>
        <v/>
      </c>
      <c r="M295" s="66">
        <f>IF(V295&lt;&gt;1,"",IF(C295&gt;AsOf,"Future",IF(L295&lt;0,"Overpaid",IF(L295=0,"Paid",IF(AsOf&gt;J295,"Overdue",IF(K295&gt;0,"Partial","Unpaid"))))))</f>
        <v/>
      </c>
      <c r="N295" s="28">
        <f>IF(AND(V295=1,N(L295)&gt;0),AsOf-C295,"")</f>
        <v/>
      </c>
      <c r="O295" s="28">
        <f>IF(N295="","",MAX(0,AsOf-J295))</f>
        <v/>
      </c>
      <c r="P295" s="66">
        <f>IF(O295="","",IF(O295=0,"Current",IF(O295&lt;=30,"1-30",IF(O295&lt;=60,"31-60",IF(O295&lt;=90,"61-90","90+")))))</f>
        <v/>
      </c>
      <c r="Q295" s="66">
        <f>IF(T295&lt;&gt;"","⛔ "&amp;T295&amp;" — not posted",IF(U295&lt;&gt;"","⚠ "&amp;U295,IF(V295=1,"✓ OK","")))</f>
        <v/>
      </c>
      <c r="R295" s="67">
        <f>IF(AND(B295="",C295="",D295="",G295="",F295=""),1,0)</f>
        <v/>
      </c>
      <c r="S295" s="68">
        <f>IF(AND(TaxOn="Yes",ISNUMBER(H295)),H295,0)</f>
        <v/>
      </c>
      <c r="T295" s="67">
        <f>IF(R295=1,"",IF(B295="","Enter a bill #",IF(D295="","Select a vendor",IF(C295="","Missing bill date",IF(NOT(ISNUMBER(C295)),"Invalid date",IF(OR(C295&lt;DATE(2000,1,1),C295&gt;DATE(2099,12,31)),"Invalid date",IF(F295="","Select an expense account",IF(ISNA(MATCH(F295,coa_Name,0)),"Unknown account: "&amp;F295,IF(NOT(ISNUMBER(G295)),"Enter an amount",IF(G295&lt;=0,"Amount must be positive",IF(S295&gt;G295,"Tax is larger than the amount","")))))))))))</f>
        <v/>
      </c>
      <c r="U295" s="67">
        <f>IF(OR(R295=1,T295&lt;&gt;""),"",IF(COUNTIFS(ap_No,B295,ap_Party,D295)&gt;1,"Duplicate bill #",IF(N(L295)&lt;0,"Overpaid by "&amp;TEXT(-L295,"#,##0.00"),IF(AND(ISNUMBER(H295),N(H295)&lt;&gt;0,S295=0),"Tax ignored (tax tracking is off)",IF(AND(ISNUMBER(StartDate),C295&lt;StartDate),"Date is before the accounting start date",IF(OR(IFERROR(INDEX(coa_Type,MATCH(F295,coa_Name,0)),"")="Revenue",IFERROR(INDEX(coa_Type,MATCH(F295,coa_Name,0)),"")="Other Income",IFERROR(INDEX(coa_Type,MATCH(F295,coa_Name,0)),"")="Equity"),"Account is not an expense or asset account",""))))))</f>
        <v/>
      </c>
      <c r="V295" s="67">
        <f>IF(AND(R295=0,T295=""),1,0)</f>
        <v/>
      </c>
      <c r="W295" s="67">
        <f>IF(V295=1,F295,"")</f>
        <v/>
      </c>
      <c r="X295" s="67">
        <f>IF(V295=1,acctAP,"")</f>
        <v/>
      </c>
      <c r="Y295" s="68">
        <f>IF(V295=1,G295-S295,0)</f>
        <v/>
      </c>
      <c r="Z295" s="68">
        <f>IF(V295=1,G295,0)</f>
        <v/>
      </c>
      <c r="AA295" s="68">
        <f>IF(V295=1,S295,0)</f>
        <v/>
      </c>
    </row>
    <row r="296">
      <c r="B296" s="62" t="n"/>
      <c r="C296" s="63" t="n"/>
      <c r="D296" s="62" t="n"/>
      <c r="E296" s="62" t="n"/>
      <c r="F296" s="62" t="n"/>
      <c r="G296" s="64" t="n"/>
      <c r="H296" s="64" t="n"/>
      <c r="I296" s="63" t="n"/>
      <c r="J296" s="29">
        <f>IF(V296=1,IF(ISNUMBER(I296),I296,C296+IF(ISNUMBER(IFERROR(INDEX(vend_Terms,MATCH(D296,vend_Name,0)),"")),INDEX(vend_Terms,MATCH(D296,vend_Name,0)),TermsDays)),"")</f>
        <v/>
      </c>
      <c r="K296" s="65">
        <f>IF(V296=1,SUMIFS(tx_CrAmt,tx_Type,"Bill Payment",tx_Ref,B296&amp;"",tx_Vend,D296,tx_Date,"&lt;="&amp;AsOf),"")</f>
        <v/>
      </c>
      <c r="L296" s="65">
        <f>IF(V296=1,IF(C296&gt;AsOf,0,ROUND(G296-K296,2)),"")</f>
        <v/>
      </c>
      <c r="M296" s="66">
        <f>IF(V296&lt;&gt;1,"",IF(C296&gt;AsOf,"Future",IF(L296&lt;0,"Overpaid",IF(L296=0,"Paid",IF(AsOf&gt;J296,"Overdue",IF(K296&gt;0,"Partial","Unpaid"))))))</f>
        <v/>
      </c>
      <c r="N296" s="28">
        <f>IF(AND(V296=1,N(L296)&gt;0),AsOf-C296,"")</f>
        <v/>
      </c>
      <c r="O296" s="28">
        <f>IF(N296="","",MAX(0,AsOf-J296))</f>
        <v/>
      </c>
      <c r="P296" s="66">
        <f>IF(O296="","",IF(O296=0,"Current",IF(O296&lt;=30,"1-30",IF(O296&lt;=60,"31-60",IF(O296&lt;=90,"61-90","90+")))))</f>
        <v/>
      </c>
      <c r="Q296" s="66">
        <f>IF(T296&lt;&gt;"","⛔ "&amp;T296&amp;" — not posted",IF(U296&lt;&gt;"","⚠ "&amp;U296,IF(V296=1,"✓ OK","")))</f>
        <v/>
      </c>
      <c r="R296" s="67">
        <f>IF(AND(B296="",C296="",D296="",G296="",F296=""),1,0)</f>
        <v/>
      </c>
      <c r="S296" s="68">
        <f>IF(AND(TaxOn="Yes",ISNUMBER(H296)),H296,0)</f>
        <v/>
      </c>
      <c r="T296" s="67">
        <f>IF(R296=1,"",IF(B296="","Enter a bill #",IF(D296="","Select a vendor",IF(C296="","Missing bill date",IF(NOT(ISNUMBER(C296)),"Invalid date",IF(OR(C296&lt;DATE(2000,1,1),C296&gt;DATE(2099,12,31)),"Invalid date",IF(F296="","Select an expense account",IF(ISNA(MATCH(F296,coa_Name,0)),"Unknown account: "&amp;F296,IF(NOT(ISNUMBER(G296)),"Enter an amount",IF(G296&lt;=0,"Amount must be positive",IF(S296&gt;G296,"Tax is larger than the amount","")))))))))))</f>
        <v/>
      </c>
      <c r="U296" s="67">
        <f>IF(OR(R296=1,T296&lt;&gt;""),"",IF(COUNTIFS(ap_No,B296,ap_Party,D296)&gt;1,"Duplicate bill #",IF(N(L296)&lt;0,"Overpaid by "&amp;TEXT(-L296,"#,##0.00"),IF(AND(ISNUMBER(H296),N(H296)&lt;&gt;0,S296=0),"Tax ignored (tax tracking is off)",IF(AND(ISNUMBER(StartDate),C296&lt;StartDate),"Date is before the accounting start date",IF(OR(IFERROR(INDEX(coa_Type,MATCH(F296,coa_Name,0)),"")="Revenue",IFERROR(INDEX(coa_Type,MATCH(F296,coa_Name,0)),"")="Other Income",IFERROR(INDEX(coa_Type,MATCH(F296,coa_Name,0)),"")="Equity"),"Account is not an expense or asset account",""))))))</f>
        <v/>
      </c>
      <c r="V296" s="67">
        <f>IF(AND(R296=0,T296=""),1,0)</f>
        <v/>
      </c>
      <c r="W296" s="67">
        <f>IF(V296=1,F296,"")</f>
        <v/>
      </c>
      <c r="X296" s="67">
        <f>IF(V296=1,acctAP,"")</f>
        <v/>
      </c>
      <c r="Y296" s="68">
        <f>IF(V296=1,G296-S296,0)</f>
        <v/>
      </c>
      <c r="Z296" s="68">
        <f>IF(V296=1,G296,0)</f>
        <v/>
      </c>
      <c r="AA296" s="68">
        <f>IF(V296=1,S296,0)</f>
        <v/>
      </c>
    </row>
    <row r="297">
      <c r="B297" s="62" t="n"/>
      <c r="C297" s="63" t="n"/>
      <c r="D297" s="62" t="n"/>
      <c r="E297" s="62" t="n"/>
      <c r="F297" s="62" t="n"/>
      <c r="G297" s="64" t="n"/>
      <c r="H297" s="64" t="n"/>
      <c r="I297" s="63" t="n"/>
      <c r="J297" s="29">
        <f>IF(V297=1,IF(ISNUMBER(I297),I297,C297+IF(ISNUMBER(IFERROR(INDEX(vend_Terms,MATCH(D297,vend_Name,0)),"")),INDEX(vend_Terms,MATCH(D297,vend_Name,0)),TermsDays)),"")</f>
        <v/>
      </c>
      <c r="K297" s="65">
        <f>IF(V297=1,SUMIFS(tx_CrAmt,tx_Type,"Bill Payment",tx_Ref,B297&amp;"",tx_Vend,D297,tx_Date,"&lt;="&amp;AsOf),"")</f>
        <v/>
      </c>
      <c r="L297" s="65">
        <f>IF(V297=1,IF(C297&gt;AsOf,0,ROUND(G297-K297,2)),"")</f>
        <v/>
      </c>
      <c r="M297" s="66">
        <f>IF(V297&lt;&gt;1,"",IF(C297&gt;AsOf,"Future",IF(L297&lt;0,"Overpaid",IF(L297=0,"Paid",IF(AsOf&gt;J297,"Overdue",IF(K297&gt;0,"Partial","Unpaid"))))))</f>
        <v/>
      </c>
      <c r="N297" s="28">
        <f>IF(AND(V297=1,N(L297)&gt;0),AsOf-C297,"")</f>
        <v/>
      </c>
      <c r="O297" s="28">
        <f>IF(N297="","",MAX(0,AsOf-J297))</f>
        <v/>
      </c>
      <c r="P297" s="66">
        <f>IF(O297="","",IF(O297=0,"Current",IF(O297&lt;=30,"1-30",IF(O297&lt;=60,"31-60",IF(O297&lt;=90,"61-90","90+")))))</f>
        <v/>
      </c>
      <c r="Q297" s="66">
        <f>IF(T297&lt;&gt;"","⛔ "&amp;T297&amp;" — not posted",IF(U297&lt;&gt;"","⚠ "&amp;U297,IF(V297=1,"✓ OK","")))</f>
        <v/>
      </c>
      <c r="R297" s="67">
        <f>IF(AND(B297="",C297="",D297="",G297="",F297=""),1,0)</f>
        <v/>
      </c>
      <c r="S297" s="68">
        <f>IF(AND(TaxOn="Yes",ISNUMBER(H297)),H297,0)</f>
        <v/>
      </c>
      <c r="T297" s="67">
        <f>IF(R297=1,"",IF(B297="","Enter a bill #",IF(D297="","Select a vendor",IF(C297="","Missing bill date",IF(NOT(ISNUMBER(C297)),"Invalid date",IF(OR(C297&lt;DATE(2000,1,1),C297&gt;DATE(2099,12,31)),"Invalid date",IF(F297="","Select an expense account",IF(ISNA(MATCH(F297,coa_Name,0)),"Unknown account: "&amp;F297,IF(NOT(ISNUMBER(G297)),"Enter an amount",IF(G297&lt;=0,"Amount must be positive",IF(S297&gt;G297,"Tax is larger than the amount","")))))))))))</f>
        <v/>
      </c>
      <c r="U297" s="67">
        <f>IF(OR(R297=1,T297&lt;&gt;""),"",IF(COUNTIFS(ap_No,B297,ap_Party,D297)&gt;1,"Duplicate bill #",IF(N(L297)&lt;0,"Overpaid by "&amp;TEXT(-L297,"#,##0.00"),IF(AND(ISNUMBER(H297),N(H297)&lt;&gt;0,S297=0),"Tax ignored (tax tracking is off)",IF(AND(ISNUMBER(StartDate),C297&lt;StartDate),"Date is before the accounting start date",IF(OR(IFERROR(INDEX(coa_Type,MATCH(F297,coa_Name,0)),"")="Revenue",IFERROR(INDEX(coa_Type,MATCH(F297,coa_Name,0)),"")="Other Income",IFERROR(INDEX(coa_Type,MATCH(F297,coa_Name,0)),"")="Equity"),"Account is not an expense or asset account",""))))))</f>
        <v/>
      </c>
      <c r="V297" s="67">
        <f>IF(AND(R297=0,T297=""),1,0)</f>
        <v/>
      </c>
      <c r="W297" s="67">
        <f>IF(V297=1,F297,"")</f>
        <v/>
      </c>
      <c r="X297" s="67">
        <f>IF(V297=1,acctAP,"")</f>
        <v/>
      </c>
      <c r="Y297" s="68">
        <f>IF(V297=1,G297-S297,0)</f>
        <v/>
      </c>
      <c r="Z297" s="68">
        <f>IF(V297=1,G297,0)</f>
        <v/>
      </c>
      <c r="AA297" s="68">
        <f>IF(V297=1,S297,0)</f>
        <v/>
      </c>
    </row>
    <row r="298">
      <c r="B298" s="62" t="n"/>
      <c r="C298" s="63" t="n"/>
      <c r="D298" s="62" t="n"/>
      <c r="E298" s="62" t="n"/>
      <c r="F298" s="62" t="n"/>
      <c r="G298" s="64" t="n"/>
      <c r="H298" s="64" t="n"/>
      <c r="I298" s="63" t="n"/>
      <c r="J298" s="29">
        <f>IF(V298=1,IF(ISNUMBER(I298),I298,C298+IF(ISNUMBER(IFERROR(INDEX(vend_Terms,MATCH(D298,vend_Name,0)),"")),INDEX(vend_Terms,MATCH(D298,vend_Name,0)),TermsDays)),"")</f>
        <v/>
      </c>
      <c r="K298" s="65">
        <f>IF(V298=1,SUMIFS(tx_CrAmt,tx_Type,"Bill Payment",tx_Ref,B298&amp;"",tx_Vend,D298,tx_Date,"&lt;="&amp;AsOf),"")</f>
        <v/>
      </c>
      <c r="L298" s="65">
        <f>IF(V298=1,IF(C298&gt;AsOf,0,ROUND(G298-K298,2)),"")</f>
        <v/>
      </c>
      <c r="M298" s="66">
        <f>IF(V298&lt;&gt;1,"",IF(C298&gt;AsOf,"Future",IF(L298&lt;0,"Overpaid",IF(L298=0,"Paid",IF(AsOf&gt;J298,"Overdue",IF(K298&gt;0,"Partial","Unpaid"))))))</f>
        <v/>
      </c>
      <c r="N298" s="28">
        <f>IF(AND(V298=1,N(L298)&gt;0),AsOf-C298,"")</f>
        <v/>
      </c>
      <c r="O298" s="28">
        <f>IF(N298="","",MAX(0,AsOf-J298))</f>
        <v/>
      </c>
      <c r="P298" s="66">
        <f>IF(O298="","",IF(O298=0,"Current",IF(O298&lt;=30,"1-30",IF(O298&lt;=60,"31-60",IF(O298&lt;=90,"61-90","90+")))))</f>
        <v/>
      </c>
      <c r="Q298" s="66">
        <f>IF(T298&lt;&gt;"","⛔ "&amp;T298&amp;" — not posted",IF(U298&lt;&gt;"","⚠ "&amp;U298,IF(V298=1,"✓ OK","")))</f>
        <v/>
      </c>
      <c r="R298" s="67">
        <f>IF(AND(B298="",C298="",D298="",G298="",F298=""),1,0)</f>
        <v/>
      </c>
      <c r="S298" s="68">
        <f>IF(AND(TaxOn="Yes",ISNUMBER(H298)),H298,0)</f>
        <v/>
      </c>
      <c r="T298" s="67">
        <f>IF(R298=1,"",IF(B298="","Enter a bill #",IF(D298="","Select a vendor",IF(C298="","Missing bill date",IF(NOT(ISNUMBER(C298)),"Invalid date",IF(OR(C298&lt;DATE(2000,1,1),C298&gt;DATE(2099,12,31)),"Invalid date",IF(F298="","Select an expense account",IF(ISNA(MATCH(F298,coa_Name,0)),"Unknown account: "&amp;F298,IF(NOT(ISNUMBER(G298)),"Enter an amount",IF(G298&lt;=0,"Amount must be positive",IF(S298&gt;G298,"Tax is larger than the amount","")))))))))))</f>
        <v/>
      </c>
      <c r="U298" s="67">
        <f>IF(OR(R298=1,T298&lt;&gt;""),"",IF(COUNTIFS(ap_No,B298,ap_Party,D298)&gt;1,"Duplicate bill #",IF(N(L298)&lt;0,"Overpaid by "&amp;TEXT(-L298,"#,##0.00"),IF(AND(ISNUMBER(H298),N(H298)&lt;&gt;0,S298=0),"Tax ignored (tax tracking is off)",IF(AND(ISNUMBER(StartDate),C298&lt;StartDate),"Date is before the accounting start date",IF(OR(IFERROR(INDEX(coa_Type,MATCH(F298,coa_Name,0)),"")="Revenue",IFERROR(INDEX(coa_Type,MATCH(F298,coa_Name,0)),"")="Other Income",IFERROR(INDEX(coa_Type,MATCH(F298,coa_Name,0)),"")="Equity"),"Account is not an expense or asset account",""))))))</f>
        <v/>
      </c>
      <c r="V298" s="67">
        <f>IF(AND(R298=0,T298=""),1,0)</f>
        <v/>
      </c>
      <c r="W298" s="67">
        <f>IF(V298=1,F298,"")</f>
        <v/>
      </c>
      <c r="X298" s="67">
        <f>IF(V298=1,acctAP,"")</f>
        <v/>
      </c>
      <c r="Y298" s="68">
        <f>IF(V298=1,G298-S298,0)</f>
        <v/>
      </c>
      <c r="Z298" s="68">
        <f>IF(V298=1,G298,0)</f>
        <v/>
      </c>
      <c r="AA298" s="68">
        <f>IF(V298=1,S298,0)</f>
        <v/>
      </c>
    </row>
    <row r="299">
      <c r="B299" s="62" t="n"/>
      <c r="C299" s="63" t="n"/>
      <c r="D299" s="62" t="n"/>
      <c r="E299" s="62" t="n"/>
      <c r="F299" s="62" t="n"/>
      <c r="G299" s="64" t="n"/>
      <c r="H299" s="64" t="n"/>
      <c r="I299" s="63" t="n"/>
      <c r="J299" s="29">
        <f>IF(V299=1,IF(ISNUMBER(I299),I299,C299+IF(ISNUMBER(IFERROR(INDEX(vend_Terms,MATCH(D299,vend_Name,0)),"")),INDEX(vend_Terms,MATCH(D299,vend_Name,0)),TermsDays)),"")</f>
        <v/>
      </c>
      <c r="K299" s="65">
        <f>IF(V299=1,SUMIFS(tx_CrAmt,tx_Type,"Bill Payment",tx_Ref,B299&amp;"",tx_Vend,D299,tx_Date,"&lt;="&amp;AsOf),"")</f>
        <v/>
      </c>
      <c r="L299" s="65">
        <f>IF(V299=1,IF(C299&gt;AsOf,0,ROUND(G299-K299,2)),"")</f>
        <v/>
      </c>
      <c r="M299" s="66">
        <f>IF(V299&lt;&gt;1,"",IF(C299&gt;AsOf,"Future",IF(L299&lt;0,"Overpaid",IF(L299=0,"Paid",IF(AsOf&gt;J299,"Overdue",IF(K299&gt;0,"Partial","Unpaid"))))))</f>
        <v/>
      </c>
      <c r="N299" s="28">
        <f>IF(AND(V299=1,N(L299)&gt;0),AsOf-C299,"")</f>
        <v/>
      </c>
      <c r="O299" s="28">
        <f>IF(N299="","",MAX(0,AsOf-J299))</f>
        <v/>
      </c>
      <c r="P299" s="66">
        <f>IF(O299="","",IF(O299=0,"Current",IF(O299&lt;=30,"1-30",IF(O299&lt;=60,"31-60",IF(O299&lt;=90,"61-90","90+")))))</f>
        <v/>
      </c>
      <c r="Q299" s="66">
        <f>IF(T299&lt;&gt;"","⛔ "&amp;T299&amp;" — not posted",IF(U299&lt;&gt;"","⚠ "&amp;U299,IF(V299=1,"✓ OK","")))</f>
        <v/>
      </c>
      <c r="R299" s="67">
        <f>IF(AND(B299="",C299="",D299="",G299="",F299=""),1,0)</f>
        <v/>
      </c>
      <c r="S299" s="68">
        <f>IF(AND(TaxOn="Yes",ISNUMBER(H299)),H299,0)</f>
        <v/>
      </c>
      <c r="T299" s="67">
        <f>IF(R299=1,"",IF(B299="","Enter a bill #",IF(D299="","Select a vendor",IF(C299="","Missing bill date",IF(NOT(ISNUMBER(C299)),"Invalid date",IF(OR(C299&lt;DATE(2000,1,1),C299&gt;DATE(2099,12,31)),"Invalid date",IF(F299="","Select an expense account",IF(ISNA(MATCH(F299,coa_Name,0)),"Unknown account: "&amp;F299,IF(NOT(ISNUMBER(G299)),"Enter an amount",IF(G299&lt;=0,"Amount must be positive",IF(S299&gt;G299,"Tax is larger than the amount","")))))))))))</f>
        <v/>
      </c>
      <c r="U299" s="67">
        <f>IF(OR(R299=1,T299&lt;&gt;""),"",IF(COUNTIFS(ap_No,B299,ap_Party,D299)&gt;1,"Duplicate bill #",IF(N(L299)&lt;0,"Overpaid by "&amp;TEXT(-L299,"#,##0.00"),IF(AND(ISNUMBER(H299),N(H299)&lt;&gt;0,S299=0),"Tax ignored (tax tracking is off)",IF(AND(ISNUMBER(StartDate),C299&lt;StartDate),"Date is before the accounting start date",IF(OR(IFERROR(INDEX(coa_Type,MATCH(F299,coa_Name,0)),"")="Revenue",IFERROR(INDEX(coa_Type,MATCH(F299,coa_Name,0)),"")="Other Income",IFERROR(INDEX(coa_Type,MATCH(F299,coa_Name,0)),"")="Equity"),"Account is not an expense or asset account",""))))))</f>
        <v/>
      </c>
      <c r="V299" s="67">
        <f>IF(AND(R299=0,T299=""),1,0)</f>
        <v/>
      </c>
      <c r="W299" s="67">
        <f>IF(V299=1,F299,"")</f>
        <v/>
      </c>
      <c r="X299" s="67">
        <f>IF(V299=1,acctAP,"")</f>
        <v/>
      </c>
      <c r="Y299" s="68">
        <f>IF(V299=1,G299-S299,0)</f>
        <v/>
      </c>
      <c r="Z299" s="68">
        <f>IF(V299=1,G299,0)</f>
        <v/>
      </c>
      <c r="AA299" s="68">
        <f>IF(V299=1,S299,0)</f>
        <v/>
      </c>
    </row>
    <row r="300">
      <c r="B300" s="62" t="n"/>
      <c r="C300" s="63" t="n"/>
      <c r="D300" s="62" t="n"/>
      <c r="E300" s="62" t="n"/>
      <c r="F300" s="62" t="n"/>
      <c r="G300" s="64" t="n"/>
      <c r="H300" s="64" t="n"/>
      <c r="I300" s="63" t="n"/>
      <c r="J300" s="29">
        <f>IF(V300=1,IF(ISNUMBER(I300),I300,C300+IF(ISNUMBER(IFERROR(INDEX(vend_Terms,MATCH(D300,vend_Name,0)),"")),INDEX(vend_Terms,MATCH(D300,vend_Name,0)),TermsDays)),"")</f>
        <v/>
      </c>
      <c r="K300" s="65">
        <f>IF(V300=1,SUMIFS(tx_CrAmt,tx_Type,"Bill Payment",tx_Ref,B300&amp;"",tx_Vend,D300,tx_Date,"&lt;="&amp;AsOf),"")</f>
        <v/>
      </c>
      <c r="L300" s="65">
        <f>IF(V300=1,IF(C300&gt;AsOf,0,ROUND(G300-K300,2)),"")</f>
        <v/>
      </c>
      <c r="M300" s="66">
        <f>IF(V300&lt;&gt;1,"",IF(C300&gt;AsOf,"Future",IF(L300&lt;0,"Overpaid",IF(L300=0,"Paid",IF(AsOf&gt;J300,"Overdue",IF(K300&gt;0,"Partial","Unpaid"))))))</f>
        <v/>
      </c>
      <c r="N300" s="28">
        <f>IF(AND(V300=1,N(L300)&gt;0),AsOf-C300,"")</f>
        <v/>
      </c>
      <c r="O300" s="28">
        <f>IF(N300="","",MAX(0,AsOf-J300))</f>
        <v/>
      </c>
      <c r="P300" s="66">
        <f>IF(O300="","",IF(O300=0,"Current",IF(O300&lt;=30,"1-30",IF(O300&lt;=60,"31-60",IF(O300&lt;=90,"61-90","90+")))))</f>
        <v/>
      </c>
      <c r="Q300" s="66">
        <f>IF(T300&lt;&gt;"","⛔ "&amp;T300&amp;" — not posted",IF(U300&lt;&gt;"","⚠ "&amp;U300,IF(V300=1,"✓ OK","")))</f>
        <v/>
      </c>
      <c r="R300" s="67">
        <f>IF(AND(B300="",C300="",D300="",G300="",F300=""),1,0)</f>
        <v/>
      </c>
      <c r="S300" s="68">
        <f>IF(AND(TaxOn="Yes",ISNUMBER(H300)),H300,0)</f>
        <v/>
      </c>
      <c r="T300" s="67">
        <f>IF(R300=1,"",IF(B300="","Enter a bill #",IF(D300="","Select a vendor",IF(C300="","Missing bill date",IF(NOT(ISNUMBER(C300)),"Invalid date",IF(OR(C300&lt;DATE(2000,1,1),C300&gt;DATE(2099,12,31)),"Invalid date",IF(F300="","Select an expense account",IF(ISNA(MATCH(F300,coa_Name,0)),"Unknown account: "&amp;F300,IF(NOT(ISNUMBER(G300)),"Enter an amount",IF(G300&lt;=0,"Amount must be positive",IF(S300&gt;G300,"Tax is larger than the amount","")))))))))))</f>
        <v/>
      </c>
      <c r="U300" s="67">
        <f>IF(OR(R300=1,T300&lt;&gt;""),"",IF(COUNTIFS(ap_No,B300,ap_Party,D300)&gt;1,"Duplicate bill #",IF(N(L300)&lt;0,"Overpaid by "&amp;TEXT(-L300,"#,##0.00"),IF(AND(ISNUMBER(H300),N(H300)&lt;&gt;0,S300=0),"Tax ignored (tax tracking is off)",IF(AND(ISNUMBER(StartDate),C300&lt;StartDate),"Date is before the accounting start date",IF(OR(IFERROR(INDEX(coa_Type,MATCH(F300,coa_Name,0)),"")="Revenue",IFERROR(INDEX(coa_Type,MATCH(F300,coa_Name,0)),"")="Other Income",IFERROR(INDEX(coa_Type,MATCH(F300,coa_Name,0)),"")="Equity"),"Account is not an expense or asset account",""))))))</f>
        <v/>
      </c>
      <c r="V300" s="67">
        <f>IF(AND(R300=0,T300=""),1,0)</f>
        <v/>
      </c>
      <c r="W300" s="67">
        <f>IF(V300=1,F300,"")</f>
        <v/>
      </c>
      <c r="X300" s="67">
        <f>IF(V300=1,acctAP,"")</f>
        <v/>
      </c>
      <c r="Y300" s="68">
        <f>IF(V300=1,G300-S300,0)</f>
        <v/>
      </c>
      <c r="Z300" s="68">
        <f>IF(V300=1,G300,0)</f>
        <v/>
      </c>
      <c r="AA300" s="68">
        <f>IF(V300=1,S300,0)</f>
        <v/>
      </c>
    </row>
    <row r="301">
      <c r="B301" s="62" t="n"/>
      <c r="C301" s="63" t="n"/>
      <c r="D301" s="62" t="n"/>
      <c r="E301" s="62" t="n"/>
      <c r="F301" s="62" t="n"/>
      <c r="G301" s="64" t="n"/>
      <c r="H301" s="64" t="n"/>
      <c r="I301" s="63" t="n"/>
      <c r="J301" s="29">
        <f>IF(V301=1,IF(ISNUMBER(I301),I301,C301+IF(ISNUMBER(IFERROR(INDEX(vend_Terms,MATCH(D301,vend_Name,0)),"")),INDEX(vend_Terms,MATCH(D301,vend_Name,0)),TermsDays)),"")</f>
        <v/>
      </c>
      <c r="K301" s="65">
        <f>IF(V301=1,SUMIFS(tx_CrAmt,tx_Type,"Bill Payment",tx_Ref,B301&amp;"",tx_Vend,D301,tx_Date,"&lt;="&amp;AsOf),"")</f>
        <v/>
      </c>
      <c r="L301" s="65">
        <f>IF(V301=1,IF(C301&gt;AsOf,0,ROUND(G301-K301,2)),"")</f>
        <v/>
      </c>
      <c r="M301" s="66">
        <f>IF(V301&lt;&gt;1,"",IF(C301&gt;AsOf,"Future",IF(L301&lt;0,"Overpaid",IF(L301=0,"Paid",IF(AsOf&gt;J301,"Overdue",IF(K301&gt;0,"Partial","Unpaid"))))))</f>
        <v/>
      </c>
      <c r="N301" s="28">
        <f>IF(AND(V301=1,N(L301)&gt;0),AsOf-C301,"")</f>
        <v/>
      </c>
      <c r="O301" s="28">
        <f>IF(N301="","",MAX(0,AsOf-J301))</f>
        <v/>
      </c>
      <c r="P301" s="66">
        <f>IF(O301="","",IF(O301=0,"Current",IF(O301&lt;=30,"1-30",IF(O301&lt;=60,"31-60",IF(O301&lt;=90,"61-90","90+")))))</f>
        <v/>
      </c>
      <c r="Q301" s="66">
        <f>IF(T301&lt;&gt;"","⛔ "&amp;T301&amp;" — not posted",IF(U301&lt;&gt;"","⚠ "&amp;U301,IF(V301=1,"✓ OK","")))</f>
        <v/>
      </c>
      <c r="R301" s="67">
        <f>IF(AND(B301="",C301="",D301="",G301="",F301=""),1,0)</f>
        <v/>
      </c>
      <c r="S301" s="68">
        <f>IF(AND(TaxOn="Yes",ISNUMBER(H301)),H301,0)</f>
        <v/>
      </c>
      <c r="T301" s="67">
        <f>IF(R301=1,"",IF(B301="","Enter a bill #",IF(D301="","Select a vendor",IF(C301="","Missing bill date",IF(NOT(ISNUMBER(C301)),"Invalid date",IF(OR(C301&lt;DATE(2000,1,1),C301&gt;DATE(2099,12,31)),"Invalid date",IF(F301="","Select an expense account",IF(ISNA(MATCH(F301,coa_Name,0)),"Unknown account: "&amp;F301,IF(NOT(ISNUMBER(G301)),"Enter an amount",IF(G301&lt;=0,"Amount must be positive",IF(S301&gt;G301,"Tax is larger than the amount","")))))))))))</f>
        <v/>
      </c>
      <c r="U301" s="67">
        <f>IF(OR(R301=1,T301&lt;&gt;""),"",IF(COUNTIFS(ap_No,B301,ap_Party,D301)&gt;1,"Duplicate bill #",IF(N(L301)&lt;0,"Overpaid by "&amp;TEXT(-L301,"#,##0.00"),IF(AND(ISNUMBER(H301),N(H301)&lt;&gt;0,S301=0),"Tax ignored (tax tracking is off)",IF(AND(ISNUMBER(StartDate),C301&lt;StartDate),"Date is before the accounting start date",IF(OR(IFERROR(INDEX(coa_Type,MATCH(F301,coa_Name,0)),"")="Revenue",IFERROR(INDEX(coa_Type,MATCH(F301,coa_Name,0)),"")="Other Income",IFERROR(INDEX(coa_Type,MATCH(F301,coa_Name,0)),"")="Equity"),"Account is not an expense or asset account",""))))))</f>
        <v/>
      </c>
      <c r="V301" s="67">
        <f>IF(AND(R301=0,T301=""),1,0)</f>
        <v/>
      </c>
      <c r="W301" s="67">
        <f>IF(V301=1,F301,"")</f>
        <v/>
      </c>
      <c r="X301" s="67">
        <f>IF(V301=1,acctAP,"")</f>
        <v/>
      </c>
      <c r="Y301" s="68">
        <f>IF(V301=1,G301-S301,0)</f>
        <v/>
      </c>
      <c r="Z301" s="68">
        <f>IF(V301=1,G301,0)</f>
        <v/>
      </c>
      <c r="AA301" s="68">
        <f>IF(V301=1,S301,0)</f>
        <v/>
      </c>
    </row>
    <row r="302">
      <c r="B302" s="62" t="n"/>
      <c r="C302" s="63" t="n"/>
      <c r="D302" s="62" t="n"/>
      <c r="E302" s="62" t="n"/>
      <c r="F302" s="62" t="n"/>
      <c r="G302" s="64" t="n"/>
      <c r="H302" s="64" t="n"/>
      <c r="I302" s="63" t="n"/>
      <c r="J302" s="29">
        <f>IF(V302=1,IF(ISNUMBER(I302),I302,C302+IF(ISNUMBER(IFERROR(INDEX(vend_Terms,MATCH(D302,vend_Name,0)),"")),INDEX(vend_Terms,MATCH(D302,vend_Name,0)),TermsDays)),"")</f>
        <v/>
      </c>
      <c r="K302" s="65">
        <f>IF(V302=1,SUMIFS(tx_CrAmt,tx_Type,"Bill Payment",tx_Ref,B302&amp;"",tx_Vend,D302,tx_Date,"&lt;="&amp;AsOf),"")</f>
        <v/>
      </c>
      <c r="L302" s="65">
        <f>IF(V302=1,IF(C302&gt;AsOf,0,ROUND(G302-K302,2)),"")</f>
        <v/>
      </c>
      <c r="M302" s="66">
        <f>IF(V302&lt;&gt;1,"",IF(C302&gt;AsOf,"Future",IF(L302&lt;0,"Overpaid",IF(L302=0,"Paid",IF(AsOf&gt;J302,"Overdue",IF(K302&gt;0,"Partial","Unpaid"))))))</f>
        <v/>
      </c>
      <c r="N302" s="28">
        <f>IF(AND(V302=1,N(L302)&gt;0),AsOf-C302,"")</f>
        <v/>
      </c>
      <c r="O302" s="28">
        <f>IF(N302="","",MAX(0,AsOf-J302))</f>
        <v/>
      </c>
      <c r="P302" s="66">
        <f>IF(O302="","",IF(O302=0,"Current",IF(O302&lt;=30,"1-30",IF(O302&lt;=60,"31-60",IF(O302&lt;=90,"61-90","90+")))))</f>
        <v/>
      </c>
      <c r="Q302" s="66">
        <f>IF(T302&lt;&gt;"","⛔ "&amp;T302&amp;" — not posted",IF(U302&lt;&gt;"","⚠ "&amp;U302,IF(V302=1,"✓ OK","")))</f>
        <v/>
      </c>
      <c r="R302" s="67">
        <f>IF(AND(B302="",C302="",D302="",G302="",F302=""),1,0)</f>
        <v/>
      </c>
      <c r="S302" s="68">
        <f>IF(AND(TaxOn="Yes",ISNUMBER(H302)),H302,0)</f>
        <v/>
      </c>
      <c r="T302" s="67">
        <f>IF(R302=1,"",IF(B302="","Enter a bill #",IF(D302="","Select a vendor",IF(C302="","Missing bill date",IF(NOT(ISNUMBER(C302)),"Invalid date",IF(OR(C302&lt;DATE(2000,1,1),C302&gt;DATE(2099,12,31)),"Invalid date",IF(F302="","Select an expense account",IF(ISNA(MATCH(F302,coa_Name,0)),"Unknown account: "&amp;F302,IF(NOT(ISNUMBER(G302)),"Enter an amount",IF(G302&lt;=0,"Amount must be positive",IF(S302&gt;G302,"Tax is larger than the amount","")))))))))))</f>
        <v/>
      </c>
      <c r="U302" s="67">
        <f>IF(OR(R302=1,T302&lt;&gt;""),"",IF(COUNTIFS(ap_No,B302,ap_Party,D302)&gt;1,"Duplicate bill #",IF(N(L302)&lt;0,"Overpaid by "&amp;TEXT(-L302,"#,##0.00"),IF(AND(ISNUMBER(H302),N(H302)&lt;&gt;0,S302=0),"Tax ignored (tax tracking is off)",IF(AND(ISNUMBER(StartDate),C302&lt;StartDate),"Date is before the accounting start date",IF(OR(IFERROR(INDEX(coa_Type,MATCH(F302,coa_Name,0)),"")="Revenue",IFERROR(INDEX(coa_Type,MATCH(F302,coa_Name,0)),"")="Other Income",IFERROR(INDEX(coa_Type,MATCH(F302,coa_Name,0)),"")="Equity"),"Account is not an expense or asset account",""))))))</f>
        <v/>
      </c>
      <c r="V302" s="67">
        <f>IF(AND(R302=0,T302=""),1,0)</f>
        <v/>
      </c>
      <c r="W302" s="67">
        <f>IF(V302=1,F302,"")</f>
        <v/>
      </c>
      <c r="X302" s="67">
        <f>IF(V302=1,acctAP,"")</f>
        <v/>
      </c>
      <c r="Y302" s="68">
        <f>IF(V302=1,G302-S302,0)</f>
        <v/>
      </c>
      <c r="Z302" s="68">
        <f>IF(V302=1,G302,0)</f>
        <v/>
      </c>
      <c r="AA302" s="68">
        <f>IF(V302=1,S302,0)</f>
        <v/>
      </c>
    </row>
    <row r="303">
      <c r="B303" s="62" t="n"/>
      <c r="C303" s="63" t="n"/>
      <c r="D303" s="62" t="n"/>
      <c r="E303" s="62" t="n"/>
      <c r="F303" s="62" t="n"/>
      <c r="G303" s="64" t="n"/>
      <c r="H303" s="64" t="n"/>
      <c r="I303" s="63" t="n"/>
      <c r="J303" s="29">
        <f>IF(V303=1,IF(ISNUMBER(I303),I303,C303+IF(ISNUMBER(IFERROR(INDEX(vend_Terms,MATCH(D303,vend_Name,0)),"")),INDEX(vend_Terms,MATCH(D303,vend_Name,0)),TermsDays)),"")</f>
        <v/>
      </c>
      <c r="K303" s="65">
        <f>IF(V303=1,SUMIFS(tx_CrAmt,tx_Type,"Bill Payment",tx_Ref,B303&amp;"",tx_Vend,D303,tx_Date,"&lt;="&amp;AsOf),"")</f>
        <v/>
      </c>
      <c r="L303" s="65">
        <f>IF(V303=1,IF(C303&gt;AsOf,0,ROUND(G303-K303,2)),"")</f>
        <v/>
      </c>
      <c r="M303" s="66">
        <f>IF(V303&lt;&gt;1,"",IF(C303&gt;AsOf,"Future",IF(L303&lt;0,"Overpaid",IF(L303=0,"Paid",IF(AsOf&gt;J303,"Overdue",IF(K303&gt;0,"Partial","Unpaid"))))))</f>
        <v/>
      </c>
      <c r="N303" s="28">
        <f>IF(AND(V303=1,N(L303)&gt;0),AsOf-C303,"")</f>
        <v/>
      </c>
      <c r="O303" s="28">
        <f>IF(N303="","",MAX(0,AsOf-J303))</f>
        <v/>
      </c>
      <c r="P303" s="66">
        <f>IF(O303="","",IF(O303=0,"Current",IF(O303&lt;=30,"1-30",IF(O303&lt;=60,"31-60",IF(O303&lt;=90,"61-90","90+")))))</f>
        <v/>
      </c>
      <c r="Q303" s="66">
        <f>IF(T303&lt;&gt;"","⛔ "&amp;T303&amp;" — not posted",IF(U303&lt;&gt;"","⚠ "&amp;U303,IF(V303=1,"✓ OK","")))</f>
        <v/>
      </c>
      <c r="R303" s="67">
        <f>IF(AND(B303="",C303="",D303="",G303="",F303=""),1,0)</f>
        <v/>
      </c>
      <c r="S303" s="68">
        <f>IF(AND(TaxOn="Yes",ISNUMBER(H303)),H303,0)</f>
        <v/>
      </c>
      <c r="T303" s="67">
        <f>IF(R303=1,"",IF(B303="","Enter a bill #",IF(D303="","Select a vendor",IF(C303="","Missing bill date",IF(NOT(ISNUMBER(C303)),"Invalid date",IF(OR(C303&lt;DATE(2000,1,1),C303&gt;DATE(2099,12,31)),"Invalid date",IF(F303="","Select an expense account",IF(ISNA(MATCH(F303,coa_Name,0)),"Unknown account: "&amp;F303,IF(NOT(ISNUMBER(G303)),"Enter an amount",IF(G303&lt;=0,"Amount must be positive",IF(S303&gt;G303,"Tax is larger than the amount","")))))))))))</f>
        <v/>
      </c>
      <c r="U303" s="67">
        <f>IF(OR(R303=1,T303&lt;&gt;""),"",IF(COUNTIFS(ap_No,B303,ap_Party,D303)&gt;1,"Duplicate bill #",IF(N(L303)&lt;0,"Overpaid by "&amp;TEXT(-L303,"#,##0.00"),IF(AND(ISNUMBER(H303),N(H303)&lt;&gt;0,S303=0),"Tax ignored (tax tracking is off)",IF(AND(ISNUMBER(StartDate),C303&lt;StartDate),"Date is before the accounting start date",IF(OR(IFERROR(INDEX(coa_Type,MATCH(F303,coa_Name,0)),"")="Revenue",IFERROR(INDEX(coa_Type,MATCH(F303,coa_Name,0)),"")="Other Income",IFERROR(INDEX(coa_Type,MATCH(F303,coa_Name,0)),"")="Equity"),"Account is not an expense or asset account",""))))))</f>
        <v/>
      </c>
      <c r="V303" s="67">
        <f>IF(AND(R303=0,T303=""),1,0)</f>
        <v/>
      </c>
      <c r="W303" s="67">
        <f>IF(V303=1,F303,"")</f>
        <v/>
      </c>
      <c r="X303" s="67">
        <f>IF(V303=1,acctAP,"")</f>
        <v/>
      </c>
      <c r="Y303" s="68">
        <f>IF(V303=1,G303-S303,0)</f>
        <v/>
      </c>
      <c r="Z303" s="68">
        <f>IF(V303=1,G303,0)</f>
        <v/>
      </c>
      <c r="AA303" s="68">
        <f>IF(V303=1,S303,0)</f>
        <v/>
      </c>
    </row>
    <row r="304">
      <c r="B304" s="62" t="n"/>
      <c r="C304" s="63" t="n"/>
      <c r="D304" s="62" t="n"/>
      <c r="E304" s="62" t="n"/>
      <c r="F304" s="62" t="n"/>
      <c r="G304" s="64" t="n"/>
      <c r="H304" s="64" t="n"/>
      <c r="I304" s="63" t="n"/>
      <c r="J304" s="29">
        <f>IF(V304=1,IF(ISNUMBER(I304),I304,C304+IF(ISNUMBER(IFERROR(INDEX(vend_Terms,MATCH(D304,vend_Name,0)),"")),INDEX(vend_Terms,MATCH(D304,vend_Name,0)),TermsDays)),"")</f>
        <v/>
      </c>
      <c r="K304" s="65">
        <f>IF(V304=1,SUMIFS(tx_CrAmt,tx_Type,"Bill Payment",tx_Ref,B304&amp;"",tx_Vend,D304,tx_Date,"&lt;="&amp;AsOf),"")</f>
        <v/>
      </c>
      <c r="L304" s="65">
        <f>IF(V304=1,IF(C304&gt;AsOf,0,ROUND(G304-K304,2)),"")</f>
        <v/>
      </c>
      <c r="M304" s="66">
        <f>IF(V304&lt;&gt;1,"",IF(C304&gt;AsOf,"Future",IF(L304&lt;0,"Overpaid",IF(L304=0,"Paid",IF(AsOf&gt;J304,"Overdue",IF(K304&gt;0,"Partial","Unpaid"))))))</f>
        <v/>
      </c>
      <c r="N304" s="28">
        <f>IF(AND(V304=1,N(L304)&gt;0),AsOf-C304,"")</f>
        <v/>
      </c>
      <c r="O304" s="28">
        <f>IF(N304="","",MAX(0,AsOf-J304))</f>
        <v/>
      </c>
      <c r="P304" s="66">
        <f>IF(O304="","",IF(O304=0,"Current",IF(O304&lt;=30,"1-30",IF(O304&lt;=60,"31-60",IF(O304&lt;=90,"61-90","90+")))))</f>
        <v/>
      </c>
      <c r="Q304" s="66">
        <f>IF(T304&lt;&gt;"","⛔ "&amp;T304&amp;" — not posted",IF(U304&lt;&gt;"","⚠ "&amp;U304,IF(V304=1,"✓ OK","")))</f>
        <v/>
      </c>
      <c r="R304" s="67">
        <f>IF(AND(B304="",C304="",D304="",G304="",F304=""),1,0)</f>
        <v/>
      </c>
      <c r="S304" s="68">
        <f>IF(AND(TaxOn="Yes",ISNUMBER(H304)),H304,0)</f>
        <v/>
      </c>
      <c r="T304" s="67">
        <f>IF(R304=1,"",IF(B304="","Enter a bill #",IF(D304="","Select a vendor",IF(C304="","Missing bill date",IF(NOT(ISNUMBER(C304)),"Invalid date",IF(OR(C304&lt;DATE(2000,1,1),C304&gt;DATE(2099,12,31)),"Invalid date",IF(F304="","Select an expense account",IF(ISNA(MATCH(F304,coa_Name,0)),"Unknown account: "&amp;F304,IF(NOT(ISNUMBER(G304)),"Enter an amount",IF(G304&lt;=0,"Amount must be positive",IF(S304&gt;G304,"Tax is larger than the amount","")))))))))))</f>
        <v/>
      </c>
      <c r="U304" s="67">
        <f>IF(OR(R304=1,T304&lt;&gt;""),"",IF(COUNTIFS(ap_No,B304,ap_Party,D304)&gt;1,"Duplicate bill #",IF(N(L304)&lt;0,"Overpaid by "&amp;TEXT(-L304,"#,##0.00"),IF(AND(ISNUMBER(H304),N(H304)&lt;&gt;0,S304=0),"Tax ignored (tax tracking is off)",IF(AND(ISNUMBER(StartDate),C304&lt;StartDate),"Date is before the accounting start date",IF(OR(IFERROR(INDEX(coa_Type,MATCH(F304,coa_Name,0)),"")="Revenue",IFERROR(INDEX(coa_Type,MATCH(F304,coa_Name,0)),"")="Other Income",IFERROR(INDEX(coa_Type,MATCH(F304,coa_Name,0)),"")="Equity"),"Account is not an expense or asset account",""))))))</f>
        <v/>
      </c>
      <c r="V304" s="67">
        <f>IF(AND(R304=0,T304=""),1,0)</f>
        <v/>
      </c>
      <c r="W304" s="67">
        <f>IF(V304=1,F304,"")</f>
        <v/>
      </c>
      <c r="X304" s="67">
        <f>IF(V304=1,acctAP,"")</f>
        <v/>
      </c>
      <c r="Y304" s="68">
        <f>IF(V304=1,G304-S304,0)</f>
        <v/>
      </c>
      <c r="Z304" s="68">
        <f>IF(V304=1,G304,0)</f>
        <v/>
      </c>
      <c r="AA304" s="68">
        <f>IF(V304=1,S304,0)</f>
        <v/>
      </c>
    </row>
    <row r="305">
      <c r="B305" s="62" t="n"/>
      <c r="C305" s="63" t="n"/>
      <c r="D305" s="62" t="n"/>
      <c r="E305" s="62" t="n"/>
      <c r="F305" s="62" t="n"/>
      <c r="G305" s="64" t="n"/>
      <c r="H305" s="64" t="n"/>
      <c r="I305" s="63" t="n"/>
      <c r="J305" s="29">
        <f>IF(V305=1,IF(ISNUMBER(I305),I305,C305+IF(ISNUMBER(IFERROR(INDEX(vend_Terms,MATCH(D305,vend_Name,0)),"")),INDEX(vend_Terms,MATCH(D305,vend_Name,0)),TermsDays)),"")</f>
        <v/>
      </c>
      <c r="K305" s="65">
        <f>IF(V305=1,SUMIFS(tx_CrAmt,tx_Type,"Bill Payment",tx_Ref,B305&amp;"",tx_Vend,D305,tx_Date,"&lt;="&amp;AsOf),"")</f>
        <v/>
      </c>
      <c r="L305" s="65">
        <f>IF(V305=1,IF(C305&gt;AsOf,0,ROUND(G305-K305,2)),"")</f>
        <v/>
      </c>
      <c r="M305" s="66">
        <f>IF(V305&lt;&gt;1,"",IF(C305&gt;AsOf,"Future",IF(L305&lt;0,"Overpaid",IF(L305=0,"Paid",IF(AsOf&gt;J305,"Overdue",IF(K305&gt;0,"Partial","Unpaid"))))))</f>
        <v/>
      </c>
      <c r="N305" s="28">
        <f>IF(AND(V305=1,N(L305)&gt;0),AsOf-C305,"")</f>
        <v/>
      </c>
      <c r="O305" s="28">
        <f>IF(N305="","",MAX(0,AsOf-J305))</f>
        <v/>
      </c>
      <c r="P305" s="66">
        <f>IF(O305="","",IF(O305=0,"Current",IF(O305&lt;=30,"1-30",IF(O305&lt;=60,"31-60",IF(O305&lt;=90,"61-90","90+")))))</f>
        <v/>
      </c>
      <c r="Q305" s="66">
        <f>IF(T305&lt;&gt;"","⛔ "&amp;T305&amp;" — not posted",IF(U305&lt;&gt;"","⚠ "&amp;U305,IF(V305=1,"✓ OK","")))</f>
        <v/>
      </c>
      <c r="R305" s="67">
        <f>IF(AND(B305="",C305="",D305="",G305="",F305=""),1,0)</f>
        <v/>
      </c>
      <c r="S305" s="68">
        <f>IF(AND(TaxOn="Yes",ISNUMBER(H305)),H305,0)</f>
        <v/>
      </c>
      <c r="T305" s="67">
        <f>IF(R305=1,"",IF(B305="","Enter a bill #",IF(D305="","Select a vendor",IF(C305="","Missing bill date",IF(NOT(ISNUMBER(C305)),"Invalid date",IF(OR(C305&lt;DATE(2000,1,1),C305&gt;DATE(2099,12,31)),"Invalid date",IF(F305="","Select an expense account",IF(ISNA(MATCH(F305,coa_Name,0)),"Unknown account: "&amp;F305,IF(NOT(ISNUMBER(G305)),"Enter an amount",IF(G305&lt;=0,"Amount must be positive",IF(S305&gt;G305,"Tax is larger than the amount","")))))))))))</f>
        <v/>
      </c>
      <c r="U305" s="67">
        <f>IF(OR(R305=1,T305&lt;&gt;""),"",IF(COUNTIFS(ap_No,B305,ap_Party,D305)&gt;1,"Duplicate bill #",IF(N(L305)&lt;0,"Overpaid by "&amp;TEXT(-L305,"#,##0.00"),IF(AND(ISNUMBER(H305),N(H305)&lt;&gt;0,S305=0),"Tax ignored (tax tracking is off)",IF(AND(ISNUMBER(StartDate),C305&lt;StartDate),"Date is before the accounting start date",IF(OR(IFERROR(INDEX(coa_Type,MATCH(F305,coa_Name,0)),"")="Revenue",IFERROR(INDEX(coa_Type,MATCH(F305,coa_Name,0)),"")="Other Income",IFERROR(INDEX(coa_Type,MATCH(F305,coa_Name,0)),"")="Equity"),"Account is not an expense or asset account",""))))))</f>
        <v/>
      </c>
      <c r="V305" s="67">
        <f>IF(AND(R305=0,T305=""),1,0)</f>
        <v/>
      </c>
      <c r="W305" s="67">
        <f>IF(V305=1,F305,"")</f>
        <v/>
      </c>
      <c r="X305" s="67">
        <f>IF(V305=1,acctAP,"")</f>
        <v/>
      </c>
      <c r="Y305" s="68">
        <f>IF(V305=1,G305-S305,0)</f>
        <v/>
      </c>
      <c r="Z305" s="68">
        <f>IF(V305=1,G305,0)</f>
        <v/>
      </c>
      <c r="AA305" s="68">
        <f>IF(V305=1,S305,0)</f>
        <v/>
      </c>
    </row>
    <row r="306">
      <c r="B306" s="62" t="n"/>
      <c r="C306" s="63" t="n"/>
      <c r="D306" s="62" t="n"/>
      <c r="E306" s="62" t="n"/>
      <c r="F306" s="62" t="n"/>
      <c r="G306" s="64" t="n"/>
      <c r="H306" s="64" t="n"/>
      <c r="I306" s="63" t="n"/>
      <c r="J306" s="29">
        <f>IF(V306=1,IF(ISNUMBER(I306),I306,C306+IF(ISNUMBER(IFERROR(INDEX(vend_Terms,MATCH(D306,vend_Name,0)),"")),INDEX(vend_Terms,MATCH(D306,vend_Name,0)),TermsDays)),"")</f>
        <v/>
      </c>
      <c r="K306" s="65">
        <f>IF(V306=1,SUMIFS(tx_CrAmt,tx_Type,"Bill Payment",tx_Ref,B306&amp;"",tx_Vend,D306,tx_Date,"&lt;="&amp;AsOf),"")</f>
        <v/>
      </c>
      <c r="L306" s="65">
        <f>IF(V306=1,IF(C306&gt;AsOf,0,ROUND(G306-K306,2)),"")</f>
        <v/>
      </c>
      <c r="M306" s="66">
        <f>IF(V306&lt;&gt;1,"",IF(C306&gt;AsOf,"Future",IF(L306&lt;0,"Overpaid",IF(L306=0,"Paid",IF(AsOf&gt;J306,"Overdue",IF(K306&gt;0,"Partial","Unpaid"))))))</f>
        <v/>
      </c>
      <c r="N306" s="28">
        <f>IF(AND(V306=1,N(L306)&gt;0),AsOf-C306,"")</f>
        <v/>
      </c>
      <c r="O306" s="28">
        <f>IF(N306="","",MAX(0,AsOf-J306))</f>
        <v/>
      </c>
      <c r="P306" s="66">
        <f>IF(O306="","",IF(O306=0,"Current",IF(O306&lt;=30,"1-30",IF(O306&lt;=60,"31-60",IF(O306&lt;=90,"61-90","90+")))))</f>
        <v/>
      </c>
      <c r="Q306" s="66">
        <f>IF(T306&lt;&gt;"","⛔ "&amp;T306&amp;" — not posted",IF(U306&lt;&gt;"","⚠ "&amp;U306,IF(V306=1,"✓ OK","")))</f>
        <v/>
      </c>
      <c r="R306" s="67">
        <f>IF(AND(B306="",C306="",D306="",G306="",F306=""),1,0)</f>
        <v/>
      </c>
      <c r="S306" s="68">
        <f>IF(AND(TaxOn="Yes",ISNUMBER(H306)),H306,0)</f>
        <v/>
      </c>
      <c r="T306" s="67">
        <f>IF(R306=1,"",IF(B306="","Enter a bill #",IF(D306="","Select a vendor",IF(C306="","Missing bill date",IF(NOT(ISNUMBER(C306)),"Invalid date",IF(OR(C306&lt;DATE(2000,1,1),C306&gt;DATE(2099,12,31)),"Invalid date",IF(F306="","Select an expense account",IF(ISNA(MATCH(F306,coa_Name,0)),"Unknown account: "&amp;F306,IF(NOT(ISNUMBER(G306)),"Enter an amount",IF(G306&lt;=0,"Amount must be positive",IF(S306&gt;G306,"Tax is larger than the amount","")))))))))))</f>
        <v/>
      </c>
      <c r="U306" s="67">
        <f>IF(OR(R306=1,T306&lt;&gt;""),"",IF(COUNTIFS(ap_No,B306,ap_Party,D306)&gt;1,"Duplicate bill #",IF(N(L306)&lt;0,"Overpaid by "&amp;TEXT(-L306,"#,##0.00"),IF(AND(ISNUMBER(H306),N(H306)&lt;&gt;0,S306=0),"Tax ignored (tax tracking is off)",IF(AND(ISNUMBER(StartDate),C306&lt;StartDate),"Date is before the accounting start date",IF(OR(IFERROR(INDEX(coa_Type,MATCH(F306,coa_Name,0)),"")="Revenue",IFERROR(INDEX(coa_Type,MATCH(F306,coa_Name,0)),"")="Other Income",IFERROR(INDEX(coa_Type,MATCH(F306,coa_Name,0)),"")="Equity"),"Account is not an expense or asset account",""))))))</f>
        <v/>
      </c>
      <c r="V306" s="67">
        <f>IF(AND(R306=0,T306=""),1,0)</f>
        <v/>
      </c>
      <c r="W306" s="67">
        <f>IF(V306=1,F306,"")</f>
        <v/>
      </c>
      <c r="X306" s="67">
        <f>IF(V306=1,acctAP,"")</f>
        <v/>
      </c>
      <c r="Y306" s="68">
        <f>IF(V306=1,G306-S306,0)</f>
        <v/>
      </c>
      <c r="Z306" s="68">
        <f>IF(V306=1,G306,0)</f>
        <v/>
      </c>
      <c r="AA306" s="68">
        <f>IF(V306=1,S306,0)</f>
        <v/>
      </c>
    </row>
    <row r="307">
      <c r="B307" s="62" t="n"/>
      <c r="C307" s="63" t="n"/>
      <c r="D307" s="62" t="n"/>
      <c r="E307" s="62" t="n"/>
      <c r="F307" s="62" t="n"/>
      <c r="G307" s="64" t="n"/>
      <c r="H307" s="64" t="n"/>
      <c r="I307" s="63" t="n"/>
      <c r="J307" s="29">
        <f>IF(V307=1,IF(ISNUMBER(I307),I307,C307+IF(ISNUMBER(IFERROR(INDEX(vend_Terms,MATCH(D307,vend_Name,0)),"")),INDEX(vend_Terms,MATCH(D307,vend_Name,0)),TermsDays)),"")</f>
        <v/>
      </c>
      <c r="K307" s="65">
        <f>IF(V307=1,SUMIFS(tx_CrAmt,tx_Type,"Bill Payment",tx_Ref,B307&amp;"",tx_Vend,D307,tx_Date,"&lt;="&amp;AsOf),"")</f>
        <v/>
      </c>
      <c r="L307" s="65">
        <f>IF(V307=1,IF(C307&gt;AsOf,0,ROUND(G307-K307,2)),"")</f>
        <v/>
      </c>
      <c r="M307" s="66">
        <f>IF(V307&lt;&gt;1,"",IF(C307&gt;AsOf,"Future",IF(L307&lt;0,"Overpaid",IF(L307=0,"Paid",IF(AsOf&gt;J307,"Overdue",IF(K307&gt;0,"Partial","Unpaid"))))))</f>
        <v/>
      </c>
      <c r="N307" s="28">
        <f>IF(AND(V307=1,N(L307)&gt;0),AsOf-C307,"")</f>
        <v/>
      </c>
      <c r="O307" s="28">
        <f>IF(N307="","",MAX(0,AsOf-J307))</f>
        <v/>
      </c>
      <c r="P307" s="66">
        <f>IF(O307="","",IF(O307=0,"Current",IF(O307&lt;=30,"1-30",IF(O307&lt;=60,"31-60",IF(O307&lt;=90,"61-90","90+")))))</f>
        <v/>
      </c>
      <c r="Q307" s="66">
        <f>IF(T307&lt;&gt;"","⛔ "&amp;T307&amp;" — not posted",IF(U307&lt;&gt;"","⚠ "&amp;U307,IF(V307=1,"✓ OK","")))</f>
        <v/>
      </c>
      <c r="R307" s="67">
        <f>IF(AND(B307="",C307="",D307="",G307="",F307=""),1,0)</f>
        <v/>
      </c>
      <c r="S307" s="68">
        <f>IF(AND(TaxOn="Yes",ISNUMBER(H307)),H307,0)</f>
        <v/>
      </c>
      <c r="T307" s="67">
        <f>IF(R307=1,"",IF(B307="","Enter a bill #",IF(D307="","Select a vendor",IF(C307="","Missing bill date",IF(NOT(ISNUMBER(C307)),"Invalid date",IF(OR(C307&lt;DATE(2000,1,1),C307&gt;DATE(2099,12,31)),"Invalid date",IF(F307="","Select an expense account",IF(ISNA(MATCH(F307,coa_Name,0)),"Unknown account: "&amp;F307,IF(NOT(ISNUMBER(G307)),"Enter an amount",IF(G307&lt;=0,"Amount must be positive",IF(S307&gt;G307,"Tax is larger than the amount","")))))))))))</f>
        <v/>
      </c>
      <c r="U307" s="67">
        <f>IF(OR(R307=1,T307&lt;&gt;""),"",IF(COUNTIFS(ap_No,B307,ap_Party,D307)&gt;1,"Duplicate bill #",IF(N(L307)&lt;0,"Overpaid by "&amp;TEXT(-L307,"#,##0.00"),IF(AND(ISNUMBER(H307),N(H307)&lt;&gt;0,S307=0),"Tax ignored (tax tracking is off)",IF(AND(ISNUMBER(StartDate),C307&lt;StartDate),"Date is before the accounting start date",IF(OR(IFERROR(INDEX(coa_Type,MATCH(F307,coa_Name,0)),"")="Revenue",IFERROR(INDEX(coa_Type,MATCH(F307,coa_Name,0)),"")="Other Income",IFERROR(INDEX(coa_Type,MATCH(F307,coa_Name,0)),"")="Equity"),"Account is not an expense or asset account",""))))))</f>
        <v/>
      </c>
      <c r="V307" s="67">
        <f>IF(AND(R307=0,T307=""),1,0)</f>
        <v/>
      </c>
      <c r="W307" s="67">
        <f>IF(V307=1,F307,"")</f>
        <v/>
      </c>
      <c r="X307" s="67">
        <f>IF(V307=1,acctAP,"")</f>
        <v/>
      </c>
      <c r="Y307" s="68">
        <f>IF(V307=1,G307-S307,0)</f>
        <v/>
      </c>
      <c r="Z307" s="68">
        <f>IF(V307=1,G307,0)</f>
        <v/>
      </c>
      <c r="AA307" s="68">
        <f>IF(V307=1,S307,0)</f>
        <v/>
      </c>
    </row>
    <row r="308">
      <c r="B308" s="62" t="n"/>
      <c r="C308" s="63" t="n"/>
      <c r="D308" s="62" t="n"/>
      <c r="E308" s="62" t="n"/>
      <c r="F308" s="62" t="n"/>
      <c r="G308" s="64" t="n"/>
      <c r="H308" s="64" t="n"/>
      <c r="I308" s="63" t="n"/>
      <c r="J308" s="29">
        <f>IF(V308=1,IF(ISNUMBER(I308),I308,C308+IF(ISNUMBER(IFERROR(INDEX(vend_Terms,MATCH(D308,vend_Name,0)),"")),INDEX(vend_Terms,MATCH(D308,vend_Name,0)),TermsDays)),"")</f>
        <v/>
      </c>
      <c r="K308" s="65">
        <f>IF(V308=1,SUMIFS(tx_CrAmt,tx_Type,"Bill Payment",tx_Ref,B308&amp;"",tx_Vend,D308,tx_Date,"&lt;="&amp;AsOf),"")</f>
        <v/>
      </c>
      <c r="L308" s="65">
        <f>IF(V308=1,IF(C308&gt;AsOf,0,ROUND(G308-K308,2)),"")</f>
        <v/>
      </c>
      <c r="M308" s="66">
        <f>IF(V308&lt;&gt;1,"",IF(C308&gt;AsOf,"Future",IF(L308&lt;0,"Overpaid",IF(L308=0,"Paid",IF(AsOf&gt;J308,"Overdue",IF(K308&gt;0,"Partial","Unpaid"))))))</f>
        <v/>
      </c>
      <c r="N308" s="28">
        <f>IF(AND(V308=1,N(L308)&gt;0),AsOf-C308,"")</f>
        <v/>
      </c>
      <c r="O308" s="28">
        <f>IF(N308="","",MAX(0,AsOf-J308))</f>
        <v/>
      </c>
      <c r="P308" s="66">
        <f>IF(O308="","",IF(O308=0,"Current",IF(O308&lt;=30,"1-30",IF(O308&lt;=60,"31-60",IF(O308&lt;=90,"61-90","90+")))))</f>
        <v/>
      </c>
      <c r="Q308" s="66">
        <f>IF(T308&lt;&gt;"","⛔ "&amp;T308&amp;" — not posted",IF(U308&lt;&gt;"","⚠ "&amp;U308,IF(V308=1,"✓ OK","")))</f>
        <v/>
      </c>
      <c r="R308" s="67">
        <f>IF(AND(B308="",C308="",D308="",G308="",F308=""),1,0)</f>
        <v/>
      </c>
      <c r="S308" s="68">
        <f>IF(AND(TaxOn="Yes",ISNUMBER(H308)),H308,0)</f>
        <v/>
      </c>
      <c r="T308" s="67">
        <f>IF(R308=1,"",IF(B308="","Enter a bill #",IF(D308="","Select a vendor",IF(C308="","Missing bill date",IF(NOT(ISNUMBER(C308)),"Invalid date",IF(OR(C308&lt;DATE(2000,1,1),C308&gt;DATE(2099,12,31)),"Invalid date",IF(F308="","Select an expense account",IF(ISNA(MATCH(F308,coa_Name,0)),"Unknown account: "&amp;F308,IF(NOT(ISNUMBER(G308)),"Enter an amount",IF(G308&lt;=0,"Amount must be positive",IF(S308&gt;G308,"Tax is larger than the amount","")))))))))))</f>
        <v/>
      </c>
      <c r="U308" s="67">
        <f>IF(OR(R308=1,T308&lt;&gt;""),"",IF(COUNTIFS(ap_No,B308,ap_Party,D308)&gt;1,"Duplicate bill #",IF(N(L308)&lt;0,"Overpaid by "&amp;TEXT(-L308,"#,##0.00"),IF(AND(ISNUMBER(H308),N(H308)&lt;&gt;0,S308=0),"Tax ignored (tax tracking is off)",IF(AND(ISNUMBER(StartDate),C308&lt;StartDate),"Date is before the accounting start date",IF(OR(IFERROR(INDEX(coa_Type,MATCH(F308,coa_Name,0)),"")="Revenue",IFERROR(INDEX(coa_Type,MATCH(F308,coa_Name,0)),"")="Other Income",IFERROR(INDEX(coa_Type,MATCH(F308,coa_Name,0)),"")="Equity"),"Account is not an expense or asset account",""))))))</f>
        <v/>
      </c>
      <c r="V308" s="67">
        <f>IF(AND(R308=0,T308=""),1,0)</f>
        <v/>
      </c>
      <c r="W308" s="67">
        <f>IF(V308=1,F308,"")</f>
        <v/>
      </c>
      <c r="X308" s="67">
        <f>IF(V308=1,acctAP,"")</f>
        <v/>
      </c>
      <c r="Y308" s="68">
        <f>IF(V308=1,G308-S308,0)</f>
        <v/>
      </c>
      <c r="Z308" s="68">
        <f>IF(V308=1,G308,0)</f>
        <v/>
      </c>
      <c r="AA308" s="68">
        <f>IF(V308=1,S308,0)</f>
        <v/>
      </c>
    </row>
    <row r="309">
      <c r="B309" s="62" t="n"/>
      <c r="C309" s="63" t="n"/>
      <c r="D309" s="62" t="n"/>
      <c r="E309" s="62" t="n"/>
      <c r="F309" s="62" t="n"/>
      <c r="G309" s="64" t="n"/>
      <c r="H309" s="64" t="n"/>
      <c r="I309" s="63" t="n"/>
      <c r="J309" s="29">
        <f>IF(V309=1,IF(ISNUMBER(I309),I309,C309+IF(ISNUMBER(IFERROR(INDEX(vend_Terms,MATCH(D309,vend_Name,0)),"")),INDEX(vend_Terms,MATCH(D309,vend_Name,0)),TermsDays)),"")</f>
        <v/>
      </c>
      <c r="K309" s="65">
        <f>IF(V309=1,SUMIFS(tx_CrAmt,tx_Type,"Bill Payment",tx_Ref,B309&amp;"",tx_Vend,D309,tx_Date,"&lt;="&amp;AsOf),"")</f>
        <v/>
      </c>
      <c r="L309" s="65">
        <f>IF(V309=1,IF(C309&gt;AsOf,0,ROUND(G309-K309,2)),"")</f>
        <v/>
      </c>
      <c r="M309" s="66">
        <f>IF(V309&lt;&gt;1,"",IF(C309&gt;AsOf,"Future",IF(L309&lt;0,"Overpaid",IF(L309=0,"Paid",IF(AsOf&gt;J309,"Overdue",IF(K309&gt;0,"Partial","Unpaid"))))))</f>
        <v/>
      </c>
      <c r="N309" s="28">
        <f>IF(AND(V309=1,N(L309)&gt;0),AsOf-C309,"")</f>
        <v/>
      </c>
      <c r="O309" s="28">
        <f>IF(N309="","",MAX(0,AsOf-J309))</f>
        <v/>
      </c>
      <c r="P309" s="66">
        <f>IF(O309="","",IF(O309=0,"Current",IF(O309&lt;=30,"1-30",IF(O309&lt;=60,"31-60",IF(O309&lt;=90,"61-90","90+")))))</f>
        <v/>
      </c>
      <c r="Q309" s="66">
        <f>IF(T309&lt;&gt;"","⛔ "&amp;T309&amp;" — not posted",IF(U309&lt;&gt;"","⚠ "&amp;U309,IF(V309=1,"✓ OK","")))</f>
        <v/>
      </c>
      <c r="R309" s="67">
        <f>IF(AND(B309="",C309="",D309="",G309="",F309=""),1,0)</f>
        <v/>
      </c>
      <c r="S309" s="68">
        <f>IF(AND(TaxOn="Yes",ISNUMBER(H309)),H309,0)</f>
        <v/>
      </c>
      <c r="T309" s="67">
        <f>IF(R309=1,"",IF(B309="","Enter a bill #",IF(D309="","Select a vendor",IF(C309="","Missing bill date",IF(NOT(ISNUMBER(C309)),"Invalid date",IF(OR(C309&lt;DATE(2000,1,1),C309&gt;DATE(2099,12,31)),"Invalid date",IF(F309="","Select an expense account",IF(ISNA(MATCH(F309,coa_Name,0)),"Unknown account: "&amp;F309,IF(NOT(ISNUMBER(G309)),"Enter an amount",IF(G309&lt;=0,"Amount must be positive",IF(S309&gt;G309,"Tax is larger than the amount","")))))))))))</f>
        <v/>
      </c>
      <c r="U309" s="67">
        <f>IF(OR(R309=1,T309&lt;&gt;""),"",IF(COUNTIFS(ap_No,B309,ap_Party,D309)&gt;1,"Duplicate bill #",IF(N(L309)&lt;0,"Overpaid by "&amp;TEXT(-L309,"#,##0.00"),IF(AND(ISNUMBER(H309),N(H309)&lt;&gt;0,S309=0),"Tax ignored (tax tracking is off)",IF(AND(ISNUMBER(StartDate),C309&lt;StartDate),"Date is before the accounting start date",IF(OR(IFERROR(INDEX(coa_Type,MATCH(F309,coa_Name,0)),"")="Revenue",IFERROR(INDEX(coa_Type,MATCH(F309,coa_Name,0)),"")="Other Income",IFERROR(INDEX(coa_Type,MATCH(F309,coa_Name,0)),"")="Equity"),"Account is not an expense or asset account",""))))))</f>
        <v/>
      </c>
      <c r="V309" s="67">
        <f>IF(AND(R309=0,T309=""),1,0)</f>
        <v/>
      </c>
      <c r="W309" s="67">
        <f>IF(V309=1,F309,"")</f>
        <v/>
      </c>
      <c r="X309" s="67">
        <f>IF(V309=1,acctAP,"")</f>
        <v/>
      </c>
      <c r="Y309" s="68">
        <f>IF(V309=1,G309-S309,0)</f>
        <v/>
      </c>
      <c r="Z309" s="68">
        <f>IF(V309=1,G309,0)</f>
        <v/>
      </c>
      <c r="AA309" s="68">
        <f>IF(V309=1,S309,0)</f>
        <v/>
      </c>
    </row>
    <row r="310">
      <c r="B310" s="62" t="n"/>
      <c r="C310" s="63" t="n"/>
      <c r="D310" s="62" t="n"/>
      <c r="E310" s="62" t="n"/>
      <c r="F310" s="62" t="n"/>
      <c r="G310" s="64" t="n"/>
      <c r="H310" s="64" t="n"/>
      <c r="I310" s="63" t="n"/>
      <c r="J310" s="29">
        <f>IF(V310=1,IF(ISNUMBER(I310),I310,C310+IF(ISNUMBER(IFERROR(INDEX(vend_Terms,MATCH(D310,vend_Name,0)),"")),INDEX(vend_Terms,MATCH(D310,vend_Name,0)),TermsDays)),"")</f>
        <v/>
      </c>
      <c r="K310" s="65">
        <f>IF(V310=1,SUMIFS(tx_CrAmt,tx_Type,"Bill Payment",tx_Ref,B310&amp;"",tx_Vend,D310,tx_Date,"&lt;="&amp;AsOf),"")</f>
        <v/>
      </c>
      <c r="L310" s="65">
        <f>IF(V310=1,IF(C310&gt;AsOf,0,ROUND(G310-K310,2)),"")</f>
        <v/>
      </c>
      <c r="M310" s="66">
        <f>IF(V310&lt;&gt;1,"",IF(C310&gt;AsOf,"Future",IF(L310&lt;0,"Overpaid",IF(L310=0,"Paid",IF(AsOf&gt;J310,"Overdue",IF(K310&gt;0,"Partial","Unpaid"))))))</f>
        <v/>
      </c>
      <c r="N310" s="28">
        <f>IF(AND(V310=1,N(L310)&gt;0),AsOf-C310,"")</f>
        <v/>
      </c>
      <c r="O310" s="28">
        <f>IF(N310="","",MAX(0,AsOf-J310))</f>
        <v/>
      </c>
      <c r="P310" s="66">
        <f>IF(O310="","",IF(O310=0,"Current",IF(O310&lt;=30,"1-30",IF(O310&lt;=60,"31-60",IF(O310&lt;=90,"61-90","90+")))))</f>
        <v/>
      </c>
      <c r="Q310" s="66">
        <f>IF(T310&lt;&gt;"","⛔ "&amp;T310&amp;" — not posted",IF(U310&lt;&gt;"","⚠ "&amp;U310,IF(V310=1,"✓ OK","")))</f>
        <v/>
      </c>
      <c r="R310" s="67">
        <f>IF(AND(B310="",C310="",D310="",G310="",F310=""),1,0)</f>
        <v/>
      </c>
      <c r="S310" s="68">
        <f>IF(AND(TaxOn="Yes",ISNUMBER(H310)),H310,0)</f>
        <v/>
      </c>
      <c r="T310" s="67">
        <f>IF(R310=1,"",IF(B310="","Enter a bill #",IF(D310="","Select a vendor",IF(C310="","Missing bill date",IF(NOT(ISNUMBER(C310)),"Invalid date",IF(OR(C310&lt;DATE(2000,1,1),C310&gt;DATE(2099,12,31)),"Invalid date",IF(F310="","Select an expense account",IF(ISNA(MATCH(F310,coa_Name,0)),"Unknown account: "&amp;F310,IF(NOT(ISNUMBER(G310)),"Enter an amount",IF(G310&lt;=0,"Amount must be positive",IF(S310&gt;G310,"Tax is larger than the amount","")))))))))))</f>
        <v/>
      </c>
      <c r="U310" s="67">
        <f>IF(OR(R310=1,T310&lt;&gt;""),"",IF(COUNTIFS(ap_No,B310,ap_Party,D310)&gt;1,"Duplicate bill #",IF(N(L310)&lt;0,"Overpaid by "&amp;TEXT(-L310,"#,##0.00"),IF(AND(ISNUMBER(H310),N(H310)&lt;&gt;0,S310=0),"Tax ignored (tax tracking is off)",IF(AND(ISNUMBER(StartDate),C310&lt;StartDate),"Date is before the accounting start date",IF(OR(IFERROR(INDEX(coa_Type,MATCH(F310,coa_Name,0)),"")="Revenue",IFERROR(INDEX(coa_Type,MATCH(F310,coa_Name,0)),"")="Other Income",IFERROR(INDEX(coa_Type,MATCH(F310,coa_Name,0)),"")="Equity"),"Account is not an expense or asset account",""))))))</f>
        <v/>
      </c>
      <c r="V310" s="67">
        <f>IF(AND(R310=0,T310=""),1,0)</f>
        <v/>
      </c>
      <c r="W310" s="67">
        <f>IF(V310=1,F310,"")</f>
        <v/>
      </c>
      <c r="X310" s="67">
        <f>IF(V310=1,acctAP,"")</f>
        <v/>
      </c>
      <c r="Y310" s="68">
        <f>IF(V310=1,G310-S310,0)</f>
        <v/>
      </c>
      <c r="Z310" s="68">
        <f>IF(V310=1,G310,0)</f>
        <v/>
      </c>
      <c r="AA310" s="68">
        <f>IF(V310=1,S310,0)</f>
        <v/>
      </c>
    </row>
    <row r="311">
      <c r="B311" s="62" t="n"/>
      <c r="C311" s="63" t="n"/>
      <c r="D311" s="62" t="n"/>
      <c r="E311" s="62" t="n"/>
      <c r="F311" s="62" t="n"/>
      <c r="G311" s="64" t="n"/>
      <c r="H311" s="64" t="n"/>
      <c r="I311" s="63" t="n"/>
      <c r="J311" s="29">
        <f>IF(V311=1,IF(ISNUMBER(I311),I311,C311+IF(ISNUMBER(IFERROR(INDEX(vend_Terms,MATCH(D311,vend_Name,0)),"")),INDEX(vend_Terms,MATCH(D311,vend_Name,0)),TermsDays)),"")</f>
        <v/>
      </c>
      <c r="K311" s="65">
        <f>IF(V311=1,SUMIFS(tx_CrAmt,tx_Type,"Bill Payment",tx_Ref,B311&amp;"",tx_Vend,D311,tx_Date,"&lt;="&amp;AsOf),"")</f>
        <v/>
      </c>
      <c r="L311" s="65">
        <f>IF(V311=1,IF(C311&gt;AsOf,0,ROUND(G311-K311,2)),"")</f>
        <v/>
      </c>
      <c r="M311" s="66">
        <f>IF(V311&lt;&gt;1,"",IF(C311&gt;AsOf,"Future",IF(L311&lt;0,"Overpaid",IF(L311=0,"Paid",IF(AsOf&gt;J311,"Overdue",IF(K311&gt;0,"Partial","Unpaid"))))))</f>
        <v/>
      </c>
      <c r="N311" s="28">
        <f>IF(AND(V311=1,N(L311)&gt;0),AsOf-C311,"")</f>
        <v/>
      </c>
      <c r="O311" s="28">
        <f>IF(N311="","",MAX(0,AsOf-J311))</f>
        <v/>
      </c>
      <c r="P311" s="66">
        <f>IF(O311="","",IF(O311=0,"Current",IF(O311&lt;=30,"1-30",IF(O311&lt;=60,"31-60",IF(O311&lt;=90,"61-90","90+")))))</f>
        <v/>
      </c>
      <c r="Q311" s="66">
        <f>IF(T311&lt;&gt;"","⛔ "&amp;T311&amp;" — not posted",IF(U311&lt;&gt;"","⚠ "&amp;U311,IF(V311=1,"✓ OK","")))</f>
        <v/>
      </c>
      <c r="R311" s="67">
        <f>IF(AND(B311="",C311="",D311="",G311="",F311=""),1,0)</f>
        <v/>
      </c>
      <c r="S311" s="68">
        <f>IF(AND(TaxOn="Yes",ISNUMBER(H311)),H311,0)</f>
        <v/>
      </c>
      <c r="T311" s="67">
        <f>IF(R311=1,"",IF(B311="","Enter a bill #",IF(D311="","Select a vendor",IF(C311="","Missing bill date",IF(NOT(ISNUMBER(C311)),"Invalid date",IF(OR(C311&lt;DATE(2000,1,1),C311&gt;DATE(2099,12,31)),"Invalid date",IF(F311="","Select an expense account",IF(ISNA(MATCH(F311,coa_Name,0)),"Unknown account: "&amp;F311,IF(NOT(ISNUMBER(G311)),"Enter an amount",IF(G311&lt;=0,"Amount must be positive",IF(S311&gt;G311,"Tax is larger than the amount","")))))))))))</f>
        <v/>
      </c>
      <c r="U311" s="67">
        <f>IF(OR(R311=1,T311&lt;&gt;""),"",IF(COUNTIFS(ap_No,B311,ap_Party,D311)&gt;1,"Duplicate bill #",IF(N(L311)&lt;0,"Overpaid by "&amp;TEXT(-L311,"#,##0.00"),IF(AND(ISNUMBER(H311),N(H311)&lt;&gt;0,S311=0),"Tax ignored (tax tracking is off)",IF(AND(ISNUMBER(StartDate),C311&lt;StartDate),"Date is before the accounting start date",IF(OR(IFERROR(INDEX(coa_Type,MATCH(F311,coa_Name,0)),"")="Revenue",IFERROR(INDEX(coa_Type,MATCH(F311,coa_Name,0)),"")="Other Income",IFERROR(INDEX(coa_Type,MATCH(F311,coa_Name,0)),"")="Equity"),"Account is not an expense or asset account",""))))))</f>
        <v/>
      </c>
      <c r="V311" s="67">
        <f>IF(AND(R311=0,T311=""),1,0)</f>
        <v/>
      </c>
      <c r="W311" s="67">
        <f>IF(V311=1,F311,"")</f>
        <v/>
      </c>
      <c r="X311" s="67">
        <f>IF(V311=1,acctAP,"")</f>
        <v/>
      </c>
      <c r="Y311" s="68">
        <f>IF(V311=1,G311-S311,0)</f>
        <v/>
      </c>
      <c r="Z311" s="68">
        <f>IF(V311=1,G311,0)</f>
        <v/>
      </c>
      <c r="AA311" s="68">
        <f>IF(V311=1,S311,0)</f>
        <v/>
      </c>
    </row>
    <row r="312">
      <c r="B312" s="62" t="n"/>
      <c r="C312" s="63" t="n"/>
      <c r="D312" s="62" t="n"/>
      <c r="E312" s="62" t="n"/>
      <c r="F312" s="62" t="n"/>
      <c r="G312" s="64" t="n"/>
      <c r="H312" s="64" t="n"/>
      <c r="I312" s="63" t="n"/>
      <c r="J312" s="29">
        <f>IF(V312=1,IF(ISNUMBER(I312),I312,C312+IF(ISNUMBER(IFERROR(INDEX(vend_Terms,MATCH(D312,vend_Name,0)),"")),INDEX(vend_Terms,MATCH(D312,vend_Name,0)),TermsDays)),"")</f>
        <v/>
      </c>
      <c r="K312" s="65">
        <f>IF(V312=1,SUMIFS(tx_CrAmt,tx_Type,"Bill Payment",tx_Ref,B312&amp;"",tx_Vend,D312,tx_Date,"&lt;="&amp;AsOf),"")</f>
        <v/>
      </c>
      <c r="L312" s="65">
        <f>IF(V312=1,IF(C312&gt;AsOf,0,ROUND(G312-K312,2)),"")</f>
        <v/>
      </c>
      <c r="M312" s="66">
        <f>IF(V312&lt;&gt;1,"",IF(C312&gt;AsOf,"Future",IF(L312&lt;0,"Overpaid",IF(L312=0,"Paid",IF(AsOf&gt;J312,"Overdue",IF(K312&gt;0,"Partial","Unpaid"))))))</f>
        <v/>
      </c>
      <c r="N312" s="28">
        <f>IF(AND(V312=1,N(L312)&gt;0),AsOf-C312,"")</f>
        <v/>
      </c>
      <c r="O312" s="28">
        <f>IF(N312="","",MAX(0,AsOf-J312))</f>
        <v/>
      </c>
      <c r="P312" s="66">
        <f>IF(O312="","",IF(O312=0,"Current",IF(O312&lt;=30,"1-30",IF(O312&lt;=60,"31-60",IF(O312&lt;=90,"61-90","90+")))))</f>
        <v/>
      </c>
      <c r="Q312" s="66">
        <f>IF(T312&lt;&gt;"","⛔ "&amp;T312&amp;" — not posted",IF(U312&lt;&gt;"","⚠ "&amp;U312,IF(V312=1,"✓ OK","")))</f>
        <v/>
      </c>
      <c r="R312" s="67">
        <f>IF(AND(B312="",C312="",D312="",G312="",F312=""),1,0)</f>
        <v/>
      </c>
      <c r="S312" s="68">
        <f>IF(AND(TaxOn="Yes",ISNUMBER(H312)),H312,0)</f>
        <v/>
      </c>
      <c r="T312" s="67">
        <f>IF(R312=1,"",IF(B312="","Enter a bill #",IF(D312="","Select a vendor",IF(C312="","Missing bill date",IF(NOT(ISNUMBER(C312)),"Invalid date",IF(OR(C312&lt;DATE(2000,1,1),C312&gt;DATE(2099,12,31)),"Invalid date",IF(F312="","Select an expense account",IF(ISNA(MATCH(F312,coa_Name,0)),"Unknown account: "&amp;F312,IF(NOT(ISNUMBER(G312)),"Enter an amount",IF(G312&lt;=0,"Amount must be positive",IF(S312&gt;G312,"Tax is larger than the amount","")))))))))))</f>
        <v/>
      </c>
      <c r="U312" s="67">
        <f>IF(OR(R312=1,T312&lt;&gt;""),"",IF(COUNTIFS(ap_No,B312,ap_Party,D312)&gt;1,"Duplicate bill #",IF(N(L312)&lt;0,"Overpaid by "&amp;TEXT(-L312,"#,##0.00"),IF(AND(ISNUMBER(H312),N(H312)&lt;&gt;0,S312=0),"Tax ignored (tax tracking is off)",IF(AND(ISNUMBER(StartDate),C312&lt;StartDate),"Date is before the accounting start date",IF(OR(IFERROR(INDEX(coa_Type,MATCH(F312,coa_Name,0)),"")="Revenue",IFERROR(INDEX(coa_Type,MATCH(F312,coa_Name,0)),"")="Other Income",IFERROR(INDEX(coa_Type,MATCH(F312,coa_Name,0)),"")="Equity"),"Account is not an expense or asset account",""))))))</f>
        <v/>
      </c>
      <c r="V312" s="67">
        <f>IF(AND(R312=0,T312=""),1,0)</f>
        <v/>
      </c>
      <c r="W312" s="67">
        <f>IF(V312=1,F312,"")</f>
        <v/>
      </c>
      <c r="X312" s="67">
        <f>IF(V312=1,acctAP,"")</f>
        <v/>
      </c>
      <c r="Y312" s="68">
        <f>IF(V312=1,G312-S312,0)</f>
        <v/>
      </c>
      <c r="Z312" s="68">
        <f>IF(V312=1,G312,0)</f>
        <v/>
      </c>
      <c r="AA312" s="68">
        <f>IF(V312=1,S312,0)</f>
        <v/>
      </c>
    </row>
    <row r="313">
      <c r="B313" s="62" t="n"/>
      <c r="C313" s="63" t="n"/>
      <c r="D313" s="62" t="n"/>
      <c r="E313" s="62" t="n"/>
      <c r="F313" s="62" t="n"/>
      <c r="G313" s="64" t="n"/>
      <c r="H313" s="64" t="n"/>
      <c r="I313" s="63" t="n"/>
      <c r="J313" s="29">
        <f>IF(V313=1,IF(ISNUMBER(I313),I313,C313+IF(ISNUMBER(IFERROR(INDEX(vend_Terms,MATCH(D313,vend_Name,0)),"")),INDEX(vend_Terms,MATCH(D313,vend_Name,0)),TermsDays)),"")</f>
        <v/>
      </c>
      <c r="K313" s="65">
        <f>IF(V313=1,SUMIFS(tx_CrAmt,tx_Type,"Bill Payment",tx_Ref,B313&amp;"",tx_Vend,D313,tx_Date,"&lt;="&amp;AsOf),"")</f>
        <v/>
      </c>
      <c r="L313" s="65">
        <f>IF(V313=1,IF(C313&gt;AsOf,0,ROUND(G313-K313,2)),"")</f>
        <v/>
      </c>
      <c r="M313" s="66">
        <f>IF(V313&lt;&gt;1,"",IF(C313&gt;AsOf,"Future",IF(L313&lt;0,"Overpaid",IF(L313=0,"Paid",IF(AsOf&gt;J313,"Overdue",IF(K313&gt;0,"Partial","Unpaid"))))))</f>
        <v/>
      </c>
      <c r="N313" s="28">
        <f>IF(AND(V313=1,N(L313)&gt;0),AsOf-C313,"")</f>
        <v/>
      </c>
      <c r="O313" s="28">
        <f>IF(N313="","",MAX(0,AsOf-J313))</f>
        <v/>
      </c>
      <c r="P313" s="66">
        <f>IF(O313="","",IF(O313=0,"Current",IF(O313&lt;=30,"1-30",IF(O313&lt;=60,"31-60",IF(O313&lt;=90,"61-90","90+")))))</f>
        <v/>
      </c>
      <c r="Q313" s="66">
        <f>IF(T313&lt;&gt;"","⛔ "&amp;T313&amp;" — not posted",IF(U313&lt;&gt;"","⚠ "&amp;U313,IF(V313=1,"✓ OK","")))</f>
        <v/>
      </c>
      <c r="R313" s="67">
        <f>IF(AND(B313="",C313="",D313="",G313="",F313=""),1,0)</f>
        <v/>
      </c>
      <c r="S313" s="68">
        <f>IF(AND(TaxOn="Yes",ISNUMBER(H313)),H313,0)</f>
        <v/>
      </c>
      <c r="T313" s="67">
        <f>IF(R313=1,"",IF(B313="","Enter a bill #",IF(D313="","Select a vendor",IF(C313="","Missing bill date",IF(NOT(ISNUMBER(C313)),"Invalid date",IF(OR(C313&lt;DATE(2000,1,1),C313&gt;DATE(2099,12,31)),"Invalid date",IF(F313="","Select an expense account",IF(ISNA(MATCH(F313,coa_Name,0)),"Unknown account: "&amp;F313,IF(NOT(ISNUMBER(G313)),"Enter an amount",IF(G313&lt;=0,"Amount must be positive",IF(S313&gt;G313,"Tax is larger than the amount","")))))))))))</f>
        <v/>
      </c>
      <c r="U313" s="67">
        <f>IF(OR(R313=1,T313&lt;&gt;""),"",IF(COUNTIFS(ap_No,B313,ap_Party,D313)&gt;1,"Duplicate bill #",IF(N(L313)&lt;0,"Overpaid by "&amp;TEXT(-L313,"#,##0.00"),IF(AND(ISNUMBER(H313),N(H313)&lt;&gt;0,S313=0),"Tax ignored (tax tracking is off)",IF(AND(ISNUMBER(StartDate),C313&lt;StartDate),"Date is before the accounting start date",IF(OR(IFERROR(INDEX(coa_Type,MATCH(F313,coa_Name,0)),"")="Revenue",IFERROR(INDEX(coa_Type,MATCH(F313,coa_Name,0)),"")="Other Income",IFERROR(INDEX(coa_Type,MATCH(F313,coa_Name,0)),"")="Equity"),"Account is not an expense or asset account",""))))))</f>
        <v/>
      </c>
      <c r="V313" s="67">
        <f>IF(AND(R313=0,T313=""),1,0)</f>
        <v/>
      </c>
      <c r="W313" s="67">
        <f>IF(V313=1,F313,"")</f>
        <v/>
      </c>
      <c r="X313" s="67">
        <f>IF(V313=1,acctAP,"")</f>
        <v/>
      </c>
      <c r="Y313" s="68">
        <f>IF(V313=1,G313-S313,0)</f>
        <v/>
      </c>
      <c r="Z313" s="68">
        <f>IF(V313=1,G313,0)</f>
        <v/>
      </c>
      <c r="AA313" s="68">
        <f>IF(V313=1,S313,0)</f>
        <v/>
      </c>
    </row>
    <row r="314">
      <c r="B314" s="62" t="n"/>
      <c r="C314" s="63" t="n"/>
      <c r="D314" s="62" t="n"/>
      <c r="E314" s="62" t="n"/>
      <c r="F314" s="62" t="n"/>
      <c r="G314" s="64" t="n"/>
      <c r="H314" s="64" t="n"/>
      <c r="I314" s="63" t="n"/>
      <c r="J314" s="29">
        <f>IF(V314=1,IF(ISNUMBER(I314),I314,C314+IF(ISNUMBER(IFERROR(INDEX(vend_Terms,MATCH(D314,vend_Name,0)),"")),INDEX(vend_Terms,MATCH(D314,vend_Name,0)),TermsDays)),"")</f>
        <v/>
      </c>
      <c r="K314" s="65">
        <f>IF(V314=1,SUMIFS(tx_CrAmt,tx_Type,"Bill Payment",tx_Ref,B314&amp;"",tx_Vend,D314,tx_Date,"&lt;="&amp;AsOf),"")</f>
        <v/>
      </c>
      <c r="L314" s="65">
        <f>IF(V314=1,IF(C314&gt;AsOf,0,ROUND(G314-K314,2)),"")</f>
        <v/>
      </c>
      <c r="M314" s="66">
        <f>IF(V314&lt;&gt;1,"",IF(C314&gt;AsOf,"Future",IF(L314&lt;0,"Overpaid",IF(L314=0,"Paid",IF(AsOf&gt;J314,"Overdue",IF(K314&gt;0,"Partial","Unpaid"))))))</f>
        <v/>
      </c>
      <c r="N314" s="28">
        <f>IF(AND(V314=1,N(L314)&gt;0),AsOf-C314,"")</f>
        <v/>
      </c>
      <c r="O314" s="28">
        <f>IF(N314="","",MAX(0,AsOf-J314))</f>
        <v/>
      </c>
      <c r="P314" s="66">
        <f>IF(O314="","",IF(O314=0,"Current",IF(O314&lt;=30,"1-30",IF(O314&lt;=60,"31-60",IF(O314&lt;=90,"61-90","90+")))))</f>
        <v/>
      </c>
      <c r="Q314" s="66">
        <f>IF(T314&lt;&gt;"","⛔ "&amp;T314&amp;" — not posted",IF(U314&lt;&gt;"","⚠ "&amp;U314,IF(V314=1,"✓ OK","")))</f>
        <v/>
      </c>
      <c r="R314" s="67">
        <f>IF(AND(B314="",C314="",D314="",G314="",F314=""),1,0)</f>
        <v/>
      </c>
      <c r="S314" s="68">
        <f>IF(AND(TaxOn="Yes",ISNUMBER(H314)),H314,0)</f>
        <v/>
      </c>
      <c r="T314" s="67">
        <f>IF(R314=1,"",IF(B314="","Enter a bill #",IF(D314="","Select a vendor",IF(C314="","Missing bill date",IF(NOT(ISNUMBER(C314)),"Invalid date",IF(OR(C314&lt;DATE(2000,1,1),C314&gt;DATE(2099,12,31)),"Invalid date",IF(F314="","Select an expense account",IF(ISNA(MATCH(F314,coa_Name,0)),"Unknown account: "&amp;F314,IF(NOT(ISNUMBER(G314)),"Enter an amount",IF(G314&lt;=0,"Amount must be positive",IF(S314&gt;G314,"Tax is larger than the amount","")))))))))))</f>
        <v/>
      </c>
      <c r="U314" s="67">
        <f>IF(OR(R314=1,T314&lt;&gt;""),"",IF(COUNTIFS(ap_No,B314,ap_Party,D314)&gt;1,"Duplicate bill #",IF(N(L314)&lt;0,"Overpaid by "&amp;TEXT(-L314,"#,##0.00"),IF(AND(ISNUMBER(H314),N(H314)&lt;&gt;0,S314=0),"Tax ignored (tax tracking is off)",IF(AND(ISNUMBER(StartDate),C314&lt;StartDate),"Date is before the accounting start date",IF(OR(IFERROR(INDEX(coa_Type,MATCH(F314,coa_Name,0)),"")="Revenue",IFERROR(INDEX(coa_Type,MATCH(F314,coa_Name,0)),"")="Other Income",IFERROR(INDEX(coa_Type,MATCH(F314,coa_Name,0)),"")="Equity"),"Account is not an expense or asset account",""))))))</f>
        <v/>
      </c>
      <c r="V314" s="67">
        <f>IF(AND(R314=0,T314=""),1,0)</f>
        <v/>
      </c>
      <c r="W314" s="67">
        <f>IF(V314=1,F314,"")</f>
        <v/>
      </c>
      <c r="X314" s="67">
        <f>IF(V314=1,acctAP,"")</f>
        <v/>
      </c>
      <c r="Y314" s="68">
        <f>IF(V314=1,G314-S314,0)</f>
        <v/>
      </c>
      <c r="Z314" s="68">
        <f>IF(V314=1,G314,0)</f>
        <v/>
      </c>
      <c r="AA314" s="68">
        <f>IF(V314=1,S314,0)</f>
        <v/>
      </c>
    </row>
    <row r="315">
      <c r="B315" s="62" t="n"/>
      <c r="C315" s="63" t="n"/>
      <c r="D315" s="62" t="n"/>
      <c r="E315" s="62" t="n"/>
      <c r="F315" s="62" t="n"/>
      <c r="G315" s="64" t="n"/>
      <c r="H315" s="64" t="n"/>
      <c r="I315" s="63" t="n"/>
      <c r="J315" s="29">
        <f>IF(V315=1,IF(ISNUMBER(I315),I315,C315+IF(ISNUMBER(IFERROR(INDEX(vend_Terms,MATCH(D315,vend_Name,0)),"")),INDEX(vend_Terms,MATCH(D315,vend_Name,0)),TermsDays)),"")</f>
        <v/>
      </c>
      <c r="K315" s="65">
        <f>IF(V315=1,SUMIFS(tx_CrAmt,tx_Type,"Bill Payment",tx_Ref,B315&amp;"",tx_Vend,D315,tx_Date,"&lt;="&amp;AsOf),"")</f>
        <v/>
      </c>
      <c r="L315" s="65">
        <f>IF(V315=1,IF(C315&gt;AsOf,0,ROUND(G315-K315,2)),"")</f>
        <v/>
      </c>
      <c r="M315" s="66">
        <f>IF(V315&lt;&gt;1,"",IF(C315&gt;AsOf,"Future",IF(L315&lt;0,"Overpaid",IF(L315=0,"Paid",IF(AsOf&gt;J315,"Overdue",IF(K315&gt;0,"Partial","Unpaid"))))))</f>
        <v/>
      </c>
      <c r="N315" s="28">
        <f>IF(AND(V315=1,N(L315)&gt;0),AsOf-C315,"")</f>
        <v/>
      </c>
      <c r="O315" s="28">
        <f>IF(N315="","",MAX(0,AsOf-J315))</f>
        <v/>
      </c>
      <c r="P315" s="66">
        <f>IF(O315="","",IF(O315=0,"Current",IF(O315&lt;=30,"1-30",IF(O315&lt;=60,"31-60",IF(O315&lt;=90,"61-90","90+")))))</f>
        <v/>
      </c>
      <c r="Q315" s="66">
        <f>IF(T315&lt;&gt;"","⛔ "&amp;T315&amp;" — not posted",IF(U315&lt;&gt;"","⚠ "&amp;U315,IF(V315=1,"✓ OK","")))</f>
        <v/>
      </c>
      <c r="R315" s="67">
        <f>IF(AND(B315="",C315="",D315="",G315="",F315=""),1,0)</f>
        <v/>
      </c>
      <c r="S315" s="68">
        <f>IF(AND(TaxOn="Yes",ISNUMBER(H315)),H315,0)</f>
        <v/>
      </c>
      <c r="T315" s="67">
        <f>IF(R315=1,"",IF(B315="","Enter a bill #",IF(D315="","Select a vendor",IF(C315="","Missing bill date",IF(NOT(ISNUMBER(C315)),"Invalid date",IF(OR(C315&lt;DATE(2000,1,1),C315&gt;DATE(2099,12,31)),"Invalid date",IF(F315="","Select an expense account",IF(ISNA(MATCH(F315,coa_Name,0)),"Unknown account: "&amp;F315,IF(NOT(ISNUMBER(G315)),"Enter an amount",IF(G315&lt;=0,"Amount must be positive",IF(S315&gt;G315,"Tax is larger than the amount","")))))))))))</f>
        <v/>
      </c>
      <c r="U315" s="67">
        <f>IF(OR(R315=1,T315&lt;&gt;""),"",IF(COUNTIFS(ap_No,B315,ap_Party,D315)&gt;1,"Duplicate bill #",IF(N(L315)&lt;0,"Overpaid by "&amp;TEXT(-L315,"#,##0.00"),IF(AND(ISNUMBER(H315),N(H315)&lt;&gt;0,S315=0),"Tax ignored (tax tracking is off)",IF(AND(ISNUMBER(StartDate),C315&lt;StartDate),"Date is before the accounting start date",IF(OR(IFERROR(INDEX(coa_Type,MATCH(F315,coa_Name,0)),"")="Revenue",IFERROR(INDEX(coa_Type,MATCH(F315,coa_Name,0)),"")="Other Income",IFERROR(INDEX(coa_Type,MATCH(F315,coa_Name,0)),"")="Equity"),"Account is not an expense or asset account",""))))))</f>
        <v/>
      </c>
      <c r="V315" s="67">
        <f>IF(AND(R315=0,T315=""),1,0)</f>
        <v/>
      </c>
      <c r="W315" s="67">
        <f>IF(V315=1,F315,"")</f>
        <v/>
      </c>
      <c r="X315" s="67">
        <f>IF(V315=1,acctAP,"")</f>
        <v/>
      </c>
      <c r="Y315" s="68">
        <f>IF(V315=1,G315-S315,0)</f>
        <v/>
      </c>
      <c r="Z315" s="68">
        <f>IF(V315=1,G315,0)</f>
        <v/>
      </c>
      <c r="AA315" s="68">
        <f>IF(V315=1,S315,0)</f>
        <v/>
      </c>
    </row>
    <row r="316">
      <c r="B316" s="62" t="n"/>
      <c r="C316" s="63" t="n"/>
      <c r="D316" s="62" t="n"/>
      <c r="E316" s="62" t="n"/>
      <c r="F316" s="62" t="n"/>
      <c r="G316" s="64" t="n"/>
      <c r="H316" s="64" t="n"/>
      <c r="I316" s="63" t="n"/>
      <c r="J316" s="29">
        <f>IF(V316=1,IF(ISNUMBER(I316),I316,C316+IF(ISNUMBER(IFERROR(INDEX(vend_Terms,MATCH(D316,vend_Name,0)),"")),INDEX(vend_Terms,MATCH(D316,vend_Name,0)),TermsDays)),"")</f>
        <v/>
      </c>
      <c r="K316" s="65">
        <f>IF(V316=1,SUMIFS(tx_CrAmt,tx_Type,"Bill Payment",tx_Ref,B316&amp;"",tx_Vend,D316,tx_Date,"&lt;="&amp;AsOf),"")</f>
        <v/>
      </c>
      <c r="L316" s="65">
        <f>IF(V316=1,IF(C316&gt;AsOf,0,ROUND(G316-K316,2)),"")</f>
        <v/>
      </c>
      <c r="M316" s="66">
        <f>IF(V316&lt;&gt;1,"",IF(C316&gt;AsOf,"Future",IF(L316&lt;0,"Overpaid",IF(L316=0,"Paid",IF(AsOf&gt;J316,"Overdue",IF(K316&gt;0,"Partial","Unpaid"))))))</f>
        <v/>
      </c>
      <c r="N316" s="28">
        <f>IF(AND(V316=1,N(L316)&gt;0),AsOf-C316,"")</f>
        <v/>
      </c>
      <c r="O316" s="28">
        <f>IF(N316="","",MAX(0,AsOf-J316))</f>
        <v/>
      </c>
      <c r="P316" s="66">
        <f>IF(O316="","",IF(O316=0,"Current",IF(O316&lt;=30,"1-30",IF(O316&lt;=60,"31-60",IF(O316&lt;=90,"61-90","90+")))))</f>
        <v/>
      </c>
      <c r="Q316" s="66">
        <f>IF(T316&lt;&gt;"","⛔ "&amp;T316&amp;" — not posted",IF(U316&lt;&gt;"","⚠ "&amp;U316,IF(V316=1,"✓ OK","")))</f>
        <v/>
      </c>
      <c r="R316" s="67">
        <f>IF(AND(B316="",C316="",D316="",G316="",F316=""),1,0)</f>
        <v/>
      </c>
      <c r="S316" s="68">
        <f>IF(AND(TaxOn="Yes",ISNUMBER(H316)),H316,0)</f>
        <v/>
      </c>
      <c r="T316" s="67">
        <f>IF(R316=1,"",IF(B316="","Enter a bill #",IF(D316="","Select a vendor",IF(C316="","Missing bill date",IF(NOT(ISNUMBER(C316)),"Invalid date",IF(OR(C316&lt;DATE(2000,1,1),C316&gt;DATE(2099,12,31)),"Invalid date",IF(F316="","Select an expense account",IF(ISNA(MATCH(F316,coa_Name,0)),"Unknown account: "&amp;F316,IF(NOT(ISNUMBER(G316)),"Enter an amount",IF(G316&lt;=0,"Amount must be positive",IF(S316&gt;G316,"Tax is larger than the amount","")))))))))))</f>
        <v/>
      </c>
      <c r="U316" s="67">
        <f>IF(OR(R316=1,T316&lt;&gt;""),"",IF(COUNTIFS(ap_No,B316,ap_Party,D316)&gt;1,"Duplicate bill #",IF(N(L316)&lt;0,"Overpaid by "&amp;TEXT(-L316,"#,##0.00"),IF(AND(ISNUMBER(H316),N(H316)&lt;&gt;0,S316=0),"Tax ignored (tax tracking is off)",IF(AND(ISNUMBER(StartDate),C316&lt;StartDate),"Date is before the accounting start date",IF(OR(IFERROR(INDEX(coa_Type,MATCH(F316,coa_Name,0)),"")="Revenue",IFERROR(INDEX(coa_Type,MATCH(F316,coa_Name,0)),"")="Other Income",IFERROR(INDEX(coa_Type,MATCH(F316,coa_Name,0)),"")="Equity"),"Account is not an expense or asset account",""))))))</f>
        <v/>
      </c>
      <c r="V316" s="67">
        <f>IF(AND(R316=0,T316=""),1,0)</f>
        <v/>
      </c>
      <c r="W316" s="67">
        <f>IF(V316=1,F316,"")</f>
        <v/>
      </c>
      <c r="X316" s="67">
        <f>IF(V316=1,acctAP,"")</f>
        <v/>
      </c>
      <c r="Y316" s="68">
        <f>IF(V316=1,G316-S316,0)</f>
        <v/>
      </c>
      <c r="Z316" s="68">
        <f>IF(V316=1,G316,0)</f>
        <v/>
      </c>
      <c r="AA316" s="68">
        <f>IF(V316=1,S316,0)</f>
        <v/>
      </c>
    </row>
    <row r="317">
      <c r="B317" s="62" t="n"/>
      <c r="C317" s="63" t="n"/>
      <c r="D317" s="62" t="n"/>
      <c r="E317" s="62" t="n"/>
      <c r="F317" s="62" t="n"/>
      <c r="G317" s="64" t="n"/>
      <c r="H317" s="64" t="n"/>
      <c r="I317" s="63" t="n"/>
      <c r="J317" s="29">
        <f>IF(V317=1,IF(ISNUMBER(I317),I317,C317+IF(ISNUMBER(IFERROR(INDEX(vend_Terms,MATCH(D317,vend_Name,0)),"")),INDEX(vend_Terms,MATCH(D317,vend_Name,0)),TermsDays)),"")</f>
        <v/>
      </c>
      <c r="K317" s="65">
        <f>IF(V317=1,SUMIFS(tx_CrAmt,tx_Type,"Bill Payment",tx_Ref,B317&amp;"",tx_Vend,D317,tx_Date,"&lt;="&amp;AsOf),"")</f>
        <v/>
      </c>
      <c r="L317" s="65">
        <f>IF(V317=1,IF(C317&gt;AsOf,0,ROUND(G317-K317,2)),"")</f>
        <v/>
      </c>
      <c r="M317" s="66">
        <f>IF(V317&lt;&gt;1,"",IF(C317&gt;AsOf,"Future",IF(L317&lt;0,"Overpaid",IF(L317=0,"Paid",IF(AsOf&gt;J317,"Overdue",IF(K317&gt;0,"Partial","Unpaid"))))))</f>
        <v/>
      </c>
      <c r="N317" s="28">
        <f>IF(AND(V317=1,N(L317)&gt;0),AsOf-C317,"")</f>
        <v/>
      </c>
      <c r="O317" s="28">
        <f>IF(N317="","",MAX(0,AsOf-J317))</f>
        <v/>
      </c>
      <c r="P317" s="66">
        <f>IF(O317="","",IF(O317=0,"Current",IF(O317&lt;=30,"1-30",IF(O317&lt;=60,"31-60",IF(O317&lt;=90,"61-90","90+")))))</f>
        <v/>
      </c>
      <c r="Q317" s="66">
        <f>IF(T317&lt;&gt;"","⛔ "&amp;T317&amp;" — not posted",IF(U317&lt;&gt;"","⚠ "&amp;U317,IF(V317=1,"✓ OK","")))</f>
        <v/>
      </c>
      <c r="R317" s="67">
        <f>IF(AND(B317="",C317="",D317="",G317="",F317=""),1,0)</f>
        <v/>
      </c>
      <c r="S317" s="68">
        <f>IF(AND(TaxOn="Yes",ISNUMBER(H317)),H317,0)</f>
        <v/>
      </c>
      <c r="T317" s="67">
        <f>IF(R317=1,"",IF(B317="","Enter a bill #",IF(D317="","Select a vendor",IF(C317="","Missing bill date",IF(NOT(ISNUMBER(C317)),"Invalid date",IF(OR(C317&lt;DATE(2000,1,1),C317&gt;DATE(2099,12,31)),"Invalid date",IF(F317="","Select an expense account",IF(ISNA(MATCH(F317,coa_Name,0)),"Unknown account: "&amp;F317,IF(NOT(ISNUMBER(G317)),"Enter an amount",IF(G317&lt;=0,"Amount must be positive",IF(S317&gt;G317,"Tax is larger than the amount","")))))))))))</f>
        <v/>
      </c>
      <c r="U317" s="67">
        <f>IF(OR(R317=1,T317&lt;&gt;""),"",IF(COUNTIFS(ap_No,B317,ap_Party,D317)&gt;1,"Duplicate bill #",IF(N(L317)&lt;0,"Overpaid by "&amp;TEXT(-L317,"#,##0.00"),IF(AND(ISNUMBER(H317),N(H317)&lt;&gt;0,S317=0),"Tax ignored (tax tracking is off)",IF(AND(ISNUMBER(StartDate),C317&lt;StartDate),"Date is before the accounting start date",IF(OR(IFERROR(INDEX(coa_Type,MATCH(F317,coa_Name,0)),"")="Revenue",IFERROR(INDEX(coa_Type,MATCH(F317,coa_Name,0)),"")="Other Income",IFERROR(INDEX(coa_Type,MATCH(F317,coa_Name,0)),"")="Equity"),"Account is not an expense or asset account",""))))))</f>
        <v/>
      </c>
      <c r="V317" s="67">
        <f>IF(AND(R317=0,T317=""),1,0)</f>
        <v/>
      </c>
      <c r="W317" s="67">
        <f>IF(V317=1,F317,"")</f>
        <v/>
      </c>
      <c r="X317" s="67">
        <f>IF(V317=1,acctAP,"")</f>
        <v/>
      </c>
      <c r="Y317" s="68">
        <f>IF(V317=1,G317-S317,0)</f>
        <v/>
      </c>
      <c r="Z317" s="68">
        <f>IF(V317=1,G317,0)</f>
        <v/>
      </c>
      <c r="AA317" s="68">
        <f>IF(V317=1,S317,0)</f>
        <v/>
      </c>
    </row>
    <row r="318">
      <c r="B318" s="62" t="n"/>
      <c r="C318" s="63" t="n"/>
      <c r="D318" s="62" t="n"/>
      <c r="E318" s="62" t="n"/>
      <c r="F318" s="62" t="n"/>
      <c r="G318" s="64" t="n"/>
      <c r="H318" s="64" t="n"/>
      <c r="I318" s="63" t="n"/>
      <c r="J318" s="29">
        <f>IF(V318=1,IF(ISNUMBER(I318),I318,C318+IF(ISNUMBER(IFERROR(INDEX(vend_Terms,MATCH(D318,vend_Name,0)),"")),INDEX(vend_Terms,MATCH(D318,vend_Name,0)),TermsDays)),"")</f>
        <v/>
      </c>
      <c r="K318" s="65">
        <f>IF(V318=1,SUMIFS(tx_CrAmt,tx_Type,"Bill Payment",tx_Ref,B318&amp;"",tx_Vend,D318,tx_Date,"&lt;="&amp;AsOf),"")</f>
        <v/>
      </c>
      <c r="L318" s="65">
        <f>IF(V318=1,IF(C318&gt;AsOf,0,ROUND(G318-K318,2)),"")</f>
        <v/>
      </c>
      <c r="M318" s="66">
        <f>IF(V318&lt;&gt;1,"",IF(C318&gt;AsOf,"Future",IF(L318&lt;0,"Overpaid",IF(L318=0,"Paid",IF(AsOf&gt;J318,"Overdue",IF(K318&gt;0,"Partial","Unpaid"))))))</f>
        <v/>
      </c>
      <c r="N318" s="28">
        <f>IF(AND(V318=1,N(L318)&gt;0),AsOf-C318,"")</f>
        <v/>
      </c>
      <c r="O318" s="28">
        <f>IF(N318="","",MAX(0,AsOf-J318))</f>
        <v/>
      </c>
      <c r="P318" s="66">
        <f>IF(O318="","",IF(O318=0,"Current",IF(O318&lt;=30,"1-30",IF(O318&lt;=60,"31-60",IF(O318&lt;=90,"61-90","90+")))))</f>
        <v/>
      </c>
      <c r="Q318" s="66">
        <f>IF(T318&lt;&gt;"","⛔ "&amp;T318&amp;" — not posted",IF(U318&lt;&gt;"","⚠ "&amp;U318,IF(V318=1,"✓ OK","")))</f>
        <v/>
      </c>
      <c r="R318" s="67">
        <f>IF(AND(B318="",C318="",D318="",G318="",F318=""),1,0)</f>
        <v/>
      </c>
      <c r="S318" s="68">
        <f>IF(AND(TaxOn="Yes",ISNUMBER(H318)),H318,0)</f>
        <v/>
      </c>
      <c r="T318" s="67">
        <f>IF(R318=1,"",IF(B318="","Enter a bill #",IF(D318="","Select a vendor",IF(C318="","Missing bill date",IF(NOT(ISNUMBER(C318)),"Invalid date",IF(OR(C318&lt;DATE(2000,1,1),C318&gt;DATE(2099,12,31)),"Invalid date",IF(F318="","Select an expense account",IF(ISNA(MATCH(F318,coa_Name,0)),"Unknown account: "&amp;F318,IF(NOT(ISNUMBER(G318)),"Enter an amount",IF(G318&lt;=0,"Amount must be positive",IF(S318&gt;G318,"Tax is larger than the amount","")))))))))))</f>
        <v/>
      </c>
      <c r="U318" s="67">
        <f>IF(OR(R318=1,T318&lt;&gt;""),"",IF(COUNTIFS(ap_No,B318,ap_Party,D318)&gt;1,"Duplicate bill #",IF(N(L318)&lt;0,"Overpaid by "&amp;TEXT(-L318,"#,##0.00"),IF(AND(ISNUMBER(H318),N(H318)&lt;&gt;0,S318=0),"Tax ignored (tax tracking is off)",IF(AND(ISNUMBER(StartDate),C318&lt;StartDate),"Date is before the accounting start date",IF(OR(IFERROR(INDEX(coa_Type,MATCH(F318,coa_Name,0)),"")="Revenue",IFERROR(INDEX(coa_Type,MATCH(F318,coa_Name,0)),"")="Other Income",IFERROR(INDEX(coa_Type,MATCH(F318,coa_Name,0)),"")="Equity"),"Account is not an expense or asset account",""))))))</f>
        <v/>
      </c>
      <c r="V318" s="67">
        <f>IF(AND(R318=0,T318=""),1,0)</f>
        <v/>
      </c>
      <c r="W318" s="67">
        <f>IF(V318=1,F318,"")</f>
        <v/>
      </c>
      <c r="X318" s="67">
        <f>IF(V318=1,acctAP,"")</f>
        <v/>
      </c>
      <c r="Y318" s="68">
        <f>IF(V318=1,G318-S318,0)</f>
        <v/>
      </c>
      <c r="Z318" s="68">
        <f>IF(V318=1,G318,0)</f>
        <v/>
      </c>
      <c r="AA318" s="68">
        <f>IF(V318=1,S318,0)</f>
        <v/>
      </c>
    </row>
    <row r="319">
      <c r="B319" s="62" t="n"/>
      <c r="C319" s="63" t="n"/>
      <c r="D319" s="62" t="n"/>
      <c r="E319" s="62" t="n"/>
      <c r="F319" s="62" t="n"/>
      <c r="G319" s="64" t="n"/>
      <c r="H319" s="64" t="n"/>
      <c r="I319" s="63" t="n"/>
      <c r="J319" s="29">
        <f>IF(V319=1,IF(ISNUMBER(I319),I319,C319+IF(ISNUMBER(IFERROR(INDEX(vend_Terms,MATCH(D319,vend_Name,0)),"")),INDEX(vend_Terms,MATCH(D319,vend_Name,0)),TermsDays)),"")</f>
        <v/>
      </c>
      <c r="K319" s="65">
        <f>IF(V319=1,SUMIFS(tx_CrAmt,tx_Type,"Bill Payment",tx_Ref,B319&amp;"",tx_Vend,D319,tx_Date,"&lt;="&amp;AsOf),"")</f>
        <v/>
      </c>
      <c r="L319" s="65">
        <f>IF(V319=1,IF(C319&gt;AsOf,0,ROUND(G319-K319,2)),"")</f>
        <v/>
      </c>
      <c r="M319" s="66">
        <f>IF(V319&lt;&gt;1,"",IF(C319&gt;AsOf,"Future",IF(L319&lt;0,"Overpaid",IF(L319=0,"Paid",IF(AsOf&gt;J319,"Overdue",IF(K319&gt;0,"Partial","Unpaid"))))))</f>
        <v/>
      </c>
      <c r="N319" s="28">
        <f>IF(AND(V319=1,N(L319)&gt;0),AsOf-C319,"")</f>
        <v/>
      </c>
      <c r="O319" s="28">
        <f>IF(N319="","",MAX(0,AsOf-J319))</f>
        <v/>
      </c>
      <c r="P319" s="66">
        <f>IF(O319="","",IF(O319=0,"Current",IF(O319&lt;=30,"1-30",IF(O319&lt;=60,"31-60",IF(O319&lt;=90,"61-90","90+")))))</f>
        <v/>
      </c>
      <c r="Q319" s="66">
        <f>IF(T319&lt;&gt;"","⛔ "&amp;T319&amp;" — not posted",IF(U319&lt;&gt;"","⚠ "&amp;U319,IF(V319=1,"✓ OK","")))</f>
        <v/>
      </c>
      <c r="R319" s="67">
        <f>IF(AND(B319="",C319="",D319="",G319="",F319=""),1,0)</f>
        <v/>
      </c>
      <c r="S319" s="68">
        <f>IF(AND(TaxOn="Yes",ISNUMBER(H319)),H319,0)</f>
        <v/>
      </c>
      <c r="T319" s="67">
        <f>IF(R319=1,"",IF(B319="","Enter a bill #",IF(D319="","Select a vendor",IF(C319="","Missing bill date",IF(NOT(ISNUMBER(C319)),"Invalid date",IF(OR(C319&lt;DATE(2000,1,1),C319&gt;DATE(2099,12,31)),"Invalid date",IF(F319="","Select an expense account",IF(ISNA(MATCH(F319,coa_Name,0)),"Unknown account: "&amp;F319,IF(NOT(ISNUMBER(G319)),"Enter an amount",IF(G319&lt;=0,"Amount must be positive",IF(S319&gt;G319,"Tax is larger than the amount","")))))))))))</f>
        <v/>
      </c>
      <c r="U319" s="67">
        <f>IF(OR(R319=1,T319&lt;&gt;""),"",IF(COUNTIFS(ap_No,B319,ap_Party,D319)&gt;1,"Duplicate bill #",IF(N(L319)&lt;0,"Overpaid by "&amp;TEXT(-L319,"#,##0.00"),IF(AND(ISNUMBER(H319),N(H319)&lt;&gt;0,S319=0),"Tax ignored (tax tracking is off)",IF(AND(ISNUMBER(StartDate),C319&lt;StartDate),"Date is before the accounting start date",IF(OR(IFERROR(INDEX(coa_Type,MATCH(F319,coa_Name,0)),"")="Revenue",IFERROR(INDEX(coa_Type,MATCH(F319,coa_Name,0)),"")="Other Income",IFERROR(INDEX(coa_Type,MATCH(F319,coa_Name,0)),"")="Equity"),"Account is not an expense or asset account",""))))))</f>
        <v/>
      </c>
      <c r="V319" s="67">
        <f>IF(AND(R319=0,T319=""),1,0)</f>
        <v/>
      </c>
      <c r="W319" s="67">
        <f>IF(V319=1,F319,"")</f>
        <v/>
      </c>
      <c r="X319" s="67">
        <f>IF(V319=1,acctAP,"")</f>
        <v/>
      </c>
      <c r="Y319" s="68">
        <f>IF(V319=1,G319-S319,0)</f>
        <v/>
      </c>
      <c r="Z319" s="68">
        <f>IF(V319=1,G319,0)</f>
        <v/>
      </c>
      <c r="AA319" s="68">
        <f>IF(V319=1,S319,0)</f>
        <v/>
      </c>
    </row>
    <row r="320">
      <c r="B320" s="62" t="n"/>
      <c r="C320" s="63" t="n"/>
      <c r="D320" s="62" t="n"/>
      <c r="E320" s="62" t="n"/>
      <c r="F320" s="62" t="n"/>
      <c r="G320" s="64" t="n"/>
      <c r="H320" s="64" t="n"/>
      <c r="I320" s="63" t="n"/>
      <c r="J320" s="29">
        <f>IF(V320=1,IF(ISNUMBER(I320),I320,C320+IF(ISNUMBER(IFERROR(INDEX(vend_Terms,MATCH(D320,vend_Name,0)),"")),INDEX(vend_Terms,MATCH(D320,vend_Name,0)),TermsDays)),"")</f>
        <v/>
      </c>
      <c r="K320" s="65">
        <f>IF(V320=1,SUMIFS(tx_CrAmt,tx_Type,"Bill Payment",tx_Ref,B320&amp;"",tx_Vend,D320,tx_Date,"&lt;="&amp;AsOf),"")</f>
        <v/>
      </c>
      <c r="L320" s="65">
        <f>IF(V320=1,IF(C320&gt;AsOf,0,ROUND(G320-K320,2)),"")</f>
        <v/>
      </c>
      <c r="M320" s="66">
        <f>IF(V320&lt;&gt;1,"",IF(C320&gt;AsOf,"Future",IF(L320&lt;0,"Overpaid",IF(L320=0,"Paid",IF(AsOf&gt;J320,"Overdue",IF(K320&gt;0,"Partial","Unpaid"))))))</f>
        <v/>
      </c>
      <c r="N320" s="28">
        <f>IF(AND(V320=1,N(L320)&gt;0),AsOf-C320,"")</f>
        <v/>
      </c>
      <c r="O320" s="28">
        <f>IF(N320="","",MAX(0,AsOf-J320))</f>
        <v/>
      </c>
      <c r="P320" s="66">
        <f>IF(O320="","",IF(O320=0,"Current",IF(O320&lt;=30,"1-30",IF(O320&lt;=60,"31-60",IF(O320&lt;=90,"61-90","90+")))))</f>
        <v/>
      </c>
      <c r="Q320" s="66">
        <f>IF(T320&lt;&gt;"","⛔ "&amp;T320&amp;" — not posted",IF(U320&lt;&gt;"","⚠ "&amp;U320,IF(V320=1,"✓ OK","")))</f>
        <v/>
      </c>
      <c r="R320" s="67">
        <f>IF(AND(B320="",C320="",D320="",G320="",F320=""),1,0)</f>
        <v/>
      </c>
      <c r="S320" s="68">
        <f>IF(AND(TaxOn="Yes",ISNUMBER(H320)),H320,0)</f>
        <v/>
      </c>
      <c r="T320" s="67">
        <f>IF(R320=1,"",IF(B320="","Enter a bill #",IF(D320="","Select a vendor",IF(C320="","Missing bill date",IF(NOT(ISNUMBER(C320)),"Invalid date",IF(OR(C320&lt;DATE(2000,1,1),C320&gt;DATE(2099,12,31)),"Invalid date",IF(F320="","Select an expense account",IF(ISNA(MATCH(F320,coa_Name,0)),"Unknown account: "&amp;F320,IF(NOT(ISNUMBER(G320)),"Enter an amount",IF(G320&lt;=0,"Amount must be positive",IF(S320&gt;G320,"Tax is larger than the amount","")))))))))))</f>
        <v/>
      </c>
      <c r="U320" s="67">
        <f>IF(OR(R320=1,T320&lt;&gt;""),"",IF(COUNTIFS(ap_No,B320,ap_Party,D320)&gt;1,"Duplicate bill #",IF(N(L320)&lt;0,"Overpaid by "&amp;TEXT(-L320,"#,##0.00"),IF(AND(ISNUMBER(H320),N(H320)&lt;&gt;0,S320=0),"Tax ignored (tax tracking is off)",IF(AND(ISNUMBER(StartDate),C320&lt;StartDate),"Date is before the accounting start date",IF(OR(IFERROR(INDEX(coa_Type,MATCH(F320,coa_Name,0)),"")="Revenue",IFERROR(INDEX(coa_Type,MATCH(F320,coa_Name,0)),"")="Other Income",IFERROR(INDEX(coa_Type,MATCH(F320,coa_Name,0)),"")="Equity"),"Account is not an expense or asset account",""))))))</f>
        <v/>
      </c>
      <c r="V320" s="67">
        <f>IF(AND(R320=0,T320=""),1,0)</f>
        <v/>
      </c>
      <c r="W320" s="67">
        <f>IF(V320=1,F320,"")</f>
        <v/>
      </c>
      <c r="X320" s="67">
        <f>IF(V320=1,acctAP,"")</f>
        <v/>
      </c>
      <c r="Y320" s="68">
        <f>IF(V320=1,G320-S320,0)</f>
        <v/>
      </c>
      <c r="Z320" s="68">
        <f>IF(V320=1,G320,0)</f>
        <v/>
      </c>
      <c r="AA320" s="68">
        <f>IF(V320=1,S320,0)</f>
        <v/>
      </c>
    </row>
    <row r="321">
      <c r="B321" s="62" t="n"/>
      <c r="C321" s="63" t="n"/>
      <c r="D321" s="62" t="n"/>
      <c r="E321" s="62" t="n"/>
      <c r="F321" s="62" t="n"/>
      <c r="G321" s="64" t="n"/>
      <c r="H321" s="64" t="n"/>
      <c r="I321" s="63" t="n"/>
      <c r="J321" s="29">
        <f>IF(V321=1,IF(ISNUMBER(I321),I321,C321+IF(ISNUMBER(IFERROR(INDEX(vend_Terms,MATCH(D321,vend_Name,0)),"")),INDEX(vend_Terms,MATCH(D321,vend_Name,0)),TermsDays)),"")</f>
        <v/>
      </c>
      <c r="K321" s="65">
        <f>IF(V321=1,SUMIFS(tx_CrAmt,tx_Type,"Bill Payment",tx_Ref,B321&amp;"",tx_Vend,D321,tx_Date,"&lt;="&amp;AsOf),"")</f>
        <v/>
      </c>
      <c r="L321" s="65">
        <f>IF(V321=1,IF(C321&gt;AsOf,0,ROUND(G321-K321,2)),"")</f>
        <v/>
      </c>
      <c r="M321" s="66">
        <f>IF(V321&lt;&gt;1,"",IF(C321&gt;AsOf,"Future",IF(L321&lt;0,"Overpaid",IF(L321=0,"Paid",IF(AsOf&gt;J321,"Overdue",IF(K321&gt;0,"Partial","Unpaid"))))))</f>
        <v/>
      </c>
      <c r="N321" s="28">
        <f>IF(AND(V321=1,N(L321)&gt;0),AsOf-C321,"")</f>
        <v/>
      </c>
      <c r="O321" s="28">
        <f>IF(N321="","",MAX(0,AsOf-J321))</f>
        <v/>
      </c>
      <c r="P321" s="66">
        <f>IF(O321="","",IF(O321=0,"Current",IF(O321&lt;=30,"1-30",IF(O321&lt;=60,"31-60",IF(O321&lt;=90,"61-90","90+")))))</f>
        <v/>
      </c>
      <c r="Q321" s="66">
        <f>IF(T321&lt;&gt;"","⛔ "&amp;T321&amp;" — not posted",IF(U321&lt;&gt;"","⚠ "&amp;U321,IF(V321=1,"✓ OK","")))</f>
        <v/>
      </c>
      <c r="R321" s="67">
        <f>IF(AND(B321="",C321="",D321="",G321="",F321=""),1,0)</f>
        <v/>
      </c>
      <c r="S321" s="68">
        <f>IF(AND(TaxOn="Yes",ISNUMBER(H321)),H321,0)</f>
        <v/>
      </c>
      <c r="T321" s="67">
        <f>IF(R321=1,"",IF(B321="","Enter a bill #",IF(D321="","Select a vendor",IF(C321="","Missing bill date",IF(NOT(ISNUMBER(C321)),"Invalid date",IF(OR(C321&lt;DATE(2000,1,1),C321&gt;DATE(2099,12,31)),"Invalid date",IF(F321="","Select an expense account",IF(ISNA(MATCH(F321,coa_Name,0)),"Unknown account: "&amp;F321,IF(NOT(ISNUMBER(G321)),"Enter an amount",IF(G321&lt;=0,"Amount must be positive",IF(S321&gt;G321,"Tax is larger than the amount","")))))))))))</f>
        <v/>
      </c>
      <c r="U321" s="67">
        <f>IF(OR(R321=1,T321&lt;&gt;""),"",IF(COUNTIFS(ap_No,B321,ap_Party,D321)&gt;1,"Duplicate bill #",IF(N(L321)&lt;0,"Overpaid by "&amp;TEXT(-L321,"#,##0.00"),IF(AND(ISNUMBER(H321),N(H321)&lt;&gt;0,S321=0),"Tax ignored (tax tracking is off)",IF(AND(ISNUMBER(StartDate),C321&lt;StartDate),"Date is before the accounting start date",IF(OR(IFERROR(INDEX(coa_Type,MATCH(F321,coa_Name,0)),"")="Revenue",IFERROR(INDEX(coa_Type,MATCH(F321,coa_Name,0)),"")="Other Income",IFERROR(INDEX(coa_Type,MATCH(F321,coa_Name,0)),"")="Equity"),"Account is not an expense or asset account",""))))))</f>
        <v/>
      </c>
      <c r="V321" s="67">
        <f>IF(AND(R321=0,T321=""),1,0)</f>
        <v/>
      </c>
      <c r="W321" s="67">
        <f>IF(V321=1,F321,"")</f>
        <v/>
      </c>
      <c r="X321" s="67">
        <f>IF(V321=1,acctAP,"")</f>
        <v/>
      </c>
      <c r="Y321" s="68">
        <f>IF(V321=1,G321-S321,0)</f>
        <v/>
      </c>
      <c r="Z321" s="68">
        <f>IF(V321=1,G321,0)</f>
        <v/>
      </c>
      <c r="AA321" s="68">
        <f>IF(V321=1,S321,0)</f>
        <v/>
      </c>
    </row>
    <row r="322">
      <c r="B322" s="62" t="n"/>
      <c r="C322" s="63" t="n"/>
      <c r="D322" s="62" t="n"/>
      <c r="E322" s="62" t="n"/>
      <c r="F322" s="62" t="n"/>
      <c r="G322" s="64" t="n"/>
      <c r="H322" s="64" t="n"/>
      <c r="I322" s="63" t="n"/>
      <c r="J322" s="29">
        <f>IF(V322=1,IF(ISNUMBER(I322),I322,C322+IF(ISNUMBER(IFERROR(INDEX(vend_Terms,MATCH(D322,vend_Name,0)),"")),INDEX(vend_Terms,MATCH(D322,vend_Name,0)),TermsDays)),"")</f>
        <v/>
      </c>
      <c r="K322" s="65">
        <f>IF(V322=1,SUMIFS(tx_CrAmt,tx_Type,"Bill Payment",tx_Ref,B322&amp;"",tx_Vend,D322,tx_Date,"&lt;="&amp;AsOf),"")</f>
        <v/>
      </c>
      <c r="L322" s="65">
        <f>IF(V322=1,IF(C322&gt;AsOf,0,ROUND(G322-K322,2)),"")</f>
        <v/>
      </c>
      <c r="M322" s="66">
        <f>IF(V322&lt;&gt;1,"",IF(C322&gt;AsOf,"Future",IF(L322&lt;0,"Overpaid",IF(L322=0,"Paid",IF(AsOf&gt;J322,"Overdue",IF(K322&gt;0,"Partial","Unpaid"))))))</f>
        <v/>
      </c>
      <c r="N322" s="28">
        <f>IF(AND(V322=1,N(L322)&gt;0),AsOf-C322,"")</f>
        <v/>
      </c>
      <c r="O322" s="28">
        <f>IF(N322="","",MAX(0,AsOf-J322))</f>
        <v/>
      </c>
      <c r="P322" s="66">
        <f>IF(O322="","",IF(O322=0,"Current",IF(O322&lt;=30,"1-30",IF(O322&lt;=60,"31-60",IF(O322&lt;=90,"61-90","90+")))))</f>
        <v/>
      </c>
      <c r="Q322" s="66">
        <f>IF(T322&lt;&gt;"","⛔ "&amp;T322&amp;" — not posted",IF(U322&lt;&gt;"","⚠ "&amp;U322,IF(V322=1,"✓ OK","")))</f>
        <v/>
      </c>
      <c r="R322" s="67">
        <f>IF(AND(B322="",C322="",D322="",G322="",F322=""),1,0)</f>
        <v/>
      </c>
      <c r="S322" s="68">
        <f>IF(AND(TaxOn="Yes",ISNUMBER(H322)),H322,0)</f>
        <v/>
      </c>
      <c r="T322" s="67">
        <f>IF(R322=1,"",IF(B322="","Enter a bill #",IF(D322="","Select a vendor",IF(C322="","Missing bill date",IF(NOT(ISNUMBER(C322)),"Invalid date",IF(OR(C322&lt;DATE(2000,1,1),C322&gt;DATE(2099,12,31)),"Invalid date",IF(F322="","Select an expense account",IF(ISNA(MATCH(F322,coa_Name,0)),"Unknown account: "&amp;F322,IF(NOT(ISNUMBER(G322)),"Enter an amount",IF(G322&lt;=0,"Amount must be positive",IF(S322&gt;G322,"Tax is larger than the amount","")))))))))))</f>
        <v/>
      </c>
      <c r="U322" s="67">
        <f>IF(OR(R322=1,T322&lt;&gt;""),"",IF(COUNTIFS(ap_No,B322,ap_Party,D322)&gt;1,"Duplicate bill #",IF(N(L322)&lt;0,"Overpaid by "&amp;TEXT(-L322,"#,##0.00"),IF(AND(ISNUMBER(H322),N(H322)&lt;&gt;0,S322=0),"Tax ignored (tax tracking is off)",IF(AND(ISNUMBER(StartDate),C322&lt;StartDate),"Date is before the accounting start date",IF(OR(IFERROR(INDEX(coa_Type,MATCH(F322,coa_Name,0)),"")="Revenue",IFERROR(INDEX(coa_Type,MATCH(F322,coa_Name,0)),"")="Other Income",IFERROR(INDEX(coa_Type,MATCH(F322,coa_Name,0)),"")="Equity"),"Account is not an expense or asset account",""))))))</f>
        <v/>
      </c>
      <c r="V322" s="67">
        <f>IF(AND(R322=0,T322=""),1,0)</f>
        <v/>
      </c>
      <c r="W322" s="67">
        <f>IF(V322=1,F322,"")</f>
        <v/>
      </c>
      <c r="X322" s="67">
        <f>IF(V322=1,acctAP,"")</f>
        <v/>
      </c>
      <c r="Y322" s="68">
        <f>IF(V322=1,G322-S322,0)</f>
        <v/>
      </c>
      <c r="Z322" s="68">
        <f>IF(V322=1,G322,0)</f>
        <v/>
      </c>
      <c r="AA322" s="68">
        <f>IF(V322=1,S322,0)</f>
        <v/>
      </c>
    </row>
    <row r="323">
      <c r="B323" s="62" t="n"/>
      <c r="C323" s="63" t="n"/>
      <c r="D323" s="62" t="n"/>
      <c r="E323" s="62" t="n"/>
      <c r="F323" s="62" t="n"/>
      <c r="G323" s="64" t="n"/>
      <c r="H323" s="64" t="n"/>
      <c r="I323" s="63" t="n"/>
      <c r="J323" s="29">
        <f>IF(V323=1,IF(ISNUMBER(I323),I323,C323+IF(ISNUMBER(IFERROR(INDEX(vend_Terms,MATCH(D323,vend_Name,0)),"")),INDEX(vend_Terms,MATCH(D323,vend_Name,0)),TermsDays)),"")</f>
        <v/>
      </c>
      <c r="K323" s="65">
        <f>IF(V323=1,SUMIFS(tx_CrAmt,tx_Type,"Bill Payment",tx_Ref,B323&amp;"",tx_Vend,D323,tx_Date,"&lt;="&amp;AsOf),"")</f>
        <v/>
      </c>
      <c r="L323" s="65">
        <f>IF(V323=1,IF(C323&gt;AsOf,0,ROUND(G323-K323,2)),"")</f>
        <v/>
      </c>
      <c r="M323" s="66">
        <f>IF(V323&lt;&gt;1,"",IF(C323&gt;AsOf,"Future",IF(L323&lt;0,"Overpaid",IF(L323=0,"Paid",IF(AsOf&gt;J323,"Overdue",IF(K323&gt;0,"Partial","Unpaid"))))))</f>
        <v/>
      </c>
      <c r="N323" s="28">
        <f>IF(AND(V323=1,N(L323)&gt;0),AsOf-C323,"")</f>
        <v/>
      </c>
      <c r="O323" s="28">
        <f>IF(N323="","",MAX(0,AsOf-J323))</f>
        <v/>
      </c>
      <c r="P323" s="66">
        <f>IF(O323="","",IF(O323=0,"Current",IF(O323&lt;=30,"1-30",IF(O323&lt;=60,"31-60",IF(O323&lt;=90,"61-90","90+")))))</f>
        <v/>
      </c>
      <c r="Q323" s="66">
        <f>IF(T323&lt;&gt;"","⛔ "&amp;T323&amp;" — not posted",IF(U323&lt;&gt;"","⚠ "&amp;U323,IF(V323=1,"✓ OK","")))</f>
        <v/>
      </c>
      <c r="R323" s="67">
        <f>IF(AND(B323="",C323="",D323="",G323="",F323=""),1,0)</f>
        <v/>
      </c>
      <c r="S323" s="68">
        <f>IF(AND(TaxOn="Yes",ISNUMBER(H323)),H323,0)</f>
        <v/>
      </c>
      <c r="T323" s="67">
        <f>IF(R323=1,"",IF(B323="","Enter a bill #",IF(D323="","Select a vendor",IF(C323="","Missing bill date",IF(NOT(ISNUMBER(C323)),"Invalid date",IF(OR(C323&lt;DATE(2000,1,1),C323&gt;DATE(2099,12,31)),"Invalid date",IF(F323="","Select an expense account",IF(ISNA(MATCH(F323,coa_Name,0)),"Unknown account: "&amp;F323,IF(NOT(ISNUMBER(G323)),"Enter an amount",IF(G323&lt;=0,"Amount must be positive",IF(S323&gt;G323,"Tax is larger than the amount","")))))))))))</f>
        <v/>
      </c>
      <c r="U323" s="67">
        <f>IF(OR(R323=1,T323&lt;&gt;""),"",IF(COUNTIFS(ap_No,B323,ap_Party,D323)&gt;1,"Duplicate bill #",IF(N(L323)&lt;0,"Overpaid by "&amp;TEXT(-L323,"#,##0.00"),IF(AND(ISNUMBER(H323),N(H323)&lt;&gt;0,S323=0),"Tax ignored (tax tracking is off)",IF(AND(ISNUMBER(StartDate),C323&lt;StartDate),"Date is before the accounting start date",IF(OR(IFERROR(INDEX(coa_Type,MATCH(F323,coa_Name,0)),"")="Revenue",IFERROR(INDEX(coa_Type,MATCH(F323,coa_Name,0)),"")="Other Income",IFERROR(INDEX(coa_Type,MATCH(F323,coa_Name,0)),"")="Equity"),"Account is not an expense or asset account",""))))))</f>
        <v/>
      </c>
      <c r="V323" s="67">
        <f>IF(AND(R323=0,T323=""),1,0)</f>
        <v/>
      </c>
      <c r="W323" s="67">
        <f>IF(V323=1,F323,"")</f>
        <v/>
      </c>
      <c r="X323" s="67">
        <f>IF(V323=1,acctAP,"")</f>
        <v/>
      </c>
      <c r="Y323" s="68">
        <f>IF(V323=1,G323-S323,0)</f>
        <v/>
      </c>
      <c r="Z323" s="68">
        <f>IF(V323=1,G323,0)</f>
        <v/>
      </c>
      <c r="AA323" s="68">
        <f>IF(V323=1,S323,0)</f>
        <v/>
      </c>
    </row>
    <row r="324">
      <c r="B324" s="62" t="n"/>
      <c r="C324" s="63" t="n"/>
      <c r="D324" s="62" t="n"/>
      <c r="E324" s="62" t="n"/>
      <c r="F324" s="62" t="n"/>
      <c r="G324" s="64" t="n"/>
      <c r="H324" s="64" t="n"/>
      <c r="I324" s="63" t="n"/>
      <c r="J324" s="29">
        <f>IF(V324=1,IF(ISNUMBER(I324),I324,C324+IF(ISNUMBER(IFERROR(INDEX(vend_Terms,MATCH(D324,vend_Name,0)),"")),INDEX(vend_Terms,MATCH(D324,vend_Name,0)),TermsDays)),"")</f>
        <v/>
      </c>
      <c r="K324" s="65">
        <f>IF(V324=1,SUMIFS(tx_CrAmt,tx_Type,"Bill Payment",tx_Ref,B324&amp;"",tx_Vend,D324,tx_Date,"&lt;="&amp;AsOf),"")</f>
        <v/>
      </c>
      <c r="L324" s="65">
        <f>IF(V324=1,IF(C324&gt;AsOf,0,ROUND(G324-K324,2)),"")</f>
        <v/>
      </c>
      <c r="M324" s="66">
        <f>IF(V324&lt;&gt;1,"",IF(C324&gt;AsOf,"Future",IF(L324&lt;0,"Overpaid",IF(L324=0,"Paid",IF(AsOf&gt;J324,"Overdue",IF(K324&gt;0,"Partial","Unpaid"))))))</f>
        <v/>
      </c>
      <c r="N324" s="28">
        <f>IF(AND(V324=1,N(L324)&gt;0),AsOf-C324,"")</f>
        <v/>
      </c>
      <c r="O324" s="28">
        <f>IF(N324="","",MAX(0,AsOf-J324))</f>
        <v/>
      </c>
      <c r="P324" s="66">
        <f>IF(O324="","",IF(O324=0,"Current",IF(O324&lt;=30,"1-30",IF(O324&lt;=60,"31-60",IF(O324&lt;=90,"61-90","90+")))))</f>
        <v/>
      </c>
      <c r="Q324" s="66">
        <f>IF(T324&lt;&gt;"","⛔ "&amp;T324&amp;" — not posted",IF(U324&lt;&gt;"","⚠ "&amp;U324,IF(V324=1,"✓ OK","")))</f>
        <v/>
      </c>
      <c r="R324" s="67">
        <f>IF(AND(B324="",C324="",D324="",G324="",F324=""),1,0)</f>
        <v/>
      </c>
      <c r="S324" s="68">
        <f>IF(AND(TaxOn="Yes",ISNUMBER(H324)),H324,0)</f>
        <v/>
      </c>
      <c r="T324" s="67">
        <f>IF(R324=1,"",IF(B324="","Enter a bill #",IF(D324="","Select a vendor",IF(C324="","Missing bill date",IF(NOT(ISNUMBER(C324)),"Invalid date",IF(OR(C324&lt;DATE(2000,1,1),C324&gt;DATE(2099,12,31)),"Invalid date",IF(F324="","Select an expense account",IF(ISNA(MATCH(F324,coa_Name,0)),"Unknown account: "&amp;F324,IF(NOT(ISNUMBER(G324)),"Enter an amount",IF(G324&lt;=0,"Amount must be positive",IF(S324&gt;G324,"Tax is larger than the amount","")))))))))))</f>
        <v/>
      </c>
      <c r="U324" s="67">
        <f>IF(OR(R324=1,T324&lt;&gt;""),"",IF(COUNTIFS(ap_No,B324,ap_Party,D324)&gt;1,"Duplicate bill #",IF(N(L324)&lt;0,"Overpaid by "&amp;TEXT(-L324,"#,##0.00"),IF(AND(ISNUMBER(H324),N(H324)&lt;&gt;0,S324=0),"Tax ignored (tax tracking is off)",IF(AND(ISNUMBER(StartDate),C324&lt;StartDate),"Date is before the accounting start date",IF(OR(IFERROR(INDEX(coa_Type,MATCH(F324,coa_Name,0)),"")="Revenue",IFERROR(INDEX(coa_Type,MATCH(F324,coa_Name,0)),"")="Other Income",IFERROR(INDEX(coa_Type,MATCH(F324,coa_Name,0)),"")="Equity"),"Account is not an expense or asset account",""))))))</f>
        <v/>
      </c>
      <c r="V324" s="67">
        <f>IF(AND(R324=0,T324=""),1,0)</f>
        <v/>
      </c>
      <c r="W324" s="67">
        <f>IF(V324=1,F324,"")</f>
        <v/>
      </c>
      <c r="X324" s="67">
        <f>IF(V324=1,acctAP,"")</f>
        <v/>
      </c>
      <c r="Y324" s="68">
        <f>IF(V324=1,G324-S324,0)</f>
        <v/>
      </c>
      <c r="Z324" s="68">
        <f>IF(V324=1,G324,0)</f>
        <v/>
      </c>
      <c r="AA324" s="68">
        <f>IF(V324=1,S324,0)</f>
        <v/>
      </c>
    </row>
    <row r="325">
      <c r="B325" s="62" t="n"/>
      <c r="C325" s="63" t="n"/>
      <c r="D325" s="62" t="n"/>
      <c r="E325" s="62" t="n"/>
      <c r="F325" s="62" t="n"/>
      <c r="G325" s="64" t="n"/>
      <c r="H325" s="64" t="n"/>
      <c r="I325" s="63" t="n"/>
      <c r="J325" s="29">
        <f>IF(V325=1,IF(ISNUMBER(I325),I325,C325+IF(ISNUMBER(IFERROR(INDEX(vend_Terms,MATCH(D325,vend_Name,0)),"")),INDEX(vend_Terms,MATCH(D325,vend_Name,0)),TermsDays)),"")</f>
        <v/>
      </c>
      <c r="K325" s="65">
        <f>IF(V325=1,SUMIFS(tx_CrAmt,tx_Type,"Bill Payment",tx_Ref,B325&amp;"",tx_Vend,D325,tx_Date,"&lt;="&amp;AsOf),"")</f>
        <v/>
      </c>
      <c r="L325" s="65">
        <f>IF(V325=1,IF(C325&gt;AsOf,0,ROUND(G325-K325,2)),"")</f>
        <v/>
      </c>
      <c r="M325" s="66">
        <f>IF(V325&lt;&gt;1,"",IF(C325&gt;AsOf,"Future",IF(L325&lt;0,"Overpaid",IF(L325=0,"Paid",IF(AsOf&gt;J325,"Overdue",IF(K325&gt;0,"Partial","Unpaid"))))))</f>
        <v/>
      </c>
      <c r="N325" s="28">
        <f>IF(AND(V325=1,N(L325)&gt;0),AsOf-C325,"")</f>
        <v/>
      </c>
      <c r="O325" s="28">
        <f>IF(N325="","",MAX(0,AsOf-J325))</f>
        <v/>
      </c>
      <c r="P325" s="66">
        <f>IF(O325="","",IF(O325=0,"Current",IF(O325&lt;=30,"1-30",IF(O325&lt;=60,"31-60",IF(O325&lt;=90,"61-90","90+")))))</f>
        <v/>
      </c>
      <c r="Q325" s="66">
        <f>IF(T325&lt;&gt;"","⛔ "&amp;T325&amp;" — not posted",IF(U325&lt;&gt;"","⚠ "&amp;U325,IF(V325=1,"✓ OK","")))</f>
        <v/>
      </c>
      <c r="R325" s="67">
        <f>IF(AND(B325="",C325="",D325="",G325="",F325=""),1,0)</f>
        <v/>
      </c>
      <c r="S325" s="68">
        <f>IF(AND(TaxOn="Yes",ISNUMBER(H325)),H325,0)</f>
        <v/>
      </c>
      <c r="T325" s="67">
        <f>IF(R325=1,"",IF(B325="","Enter a bill #",IF(D325="","Select a vendor",IF(C325="","Missing bill date",IF(NOT(ISNUMBER(C325)),"Invalid date",IF(OR(C325&lt;DATE(2000,1,1),C325&gt;DATE(2099,12,31)),"Invalid date",IF(F325="","Select an expense account",IF(ISNA(MATCH(F325,coa_Name,0)),"Unknown account: "&amp;F325,IF(NOT(ISNUMBER(G325)),"Enter an amount",IF(G325&lt;=0,"Amount must be positive",IF(S325&gt;G325,"Tax is larger than the amount","")))))))))))</f>
        <v/>
      </c>
      <c r="U325" s="67">
        <f>IF(OR(R325=1,T325&lt;&gt;""),"",IF(COUNTIFS(ap_No,B325,ap_Party,D325)&gt;1,"Duplicate bill #",IF(N(L325)&lt;0,"Overpaid by "&amp;TEXT(-L325,"#,##0.00"),IF(AND(ISNUMBER(H325),N(H325)&lt;&gt;0,S325=0),"Tax ignored (tax tracking is off)",IF(AND(ISNUMBER(StartDate),C325&lt;StartDate),"Date is before the accounting start date",IF(OR(IFERROR(INDEX(coa_Type,MATCH(F325,coa_Name,0)),"")="Revenue",IFERROR(INDEX(coa_Type,MATCH(F325,coa_Name,0)),"")="Other Income",IFERROR(INDEX(coa_Type,MATCH(F325,coa_Name,0)),"")="Equity"),"Account is not an expense or asset account",""))))))</f>
        <v/>
      </c>
      <c r="V325" s="67">
        <f>IF(AND(R325=0,T325=""),1,0)</f>
        <v/>
      </c>
      <c r="W325" s="67">
        <f>IF(V325=1,F325,"")</f>
        <v/>
      </c>
      <c r="X325" s="67">
        <f>IF(V325=1,acctAP,"")</f>
        <v/>
      </c>
      <c r="Y325" s="68">
        <f>IF(V325=1,G325-S325,0)</f>
        <v/>
      </c>
      <c r="Z325" s="68">
        <f>IF(V325=1,G325,0)</f>
        <v/>
      </c>
      <c r="AA325" s="68">
        <f>IF(V325=1,S325,0)</f>
        <v/>
      </c>
    </row>
    <row r="326">
      <c r="B326" s="62" t="n"/>
      <c r="C326" s="63" t="n"/>
      <c r="D326" s="62" t="n"/>
      <c r="E326" s="62" t="n"/>
      <c r="F326" s="62" t="n"/>
      <c r="G326" s="64" t="n"/>
      <c r="H326" s="64" t="n"/>
      <c r="I326" s="63" t="n"/>
      <c r="J326" s="29">
        <f>IF(V326=1,IF(ISNUMBER(I326),I326,C326+IF(ISNUMBER(IFERROR(INDEX(vend_Terms,MATCH(D326,vend_Name,0)),"")),INDEX(vend_Terms,MATCH(D326,vend_Name,0)),TermsDays)),"")</f>
        <v/>
      </c>
      <c r="K326" s="65">
        <f>IF(V326=1,SUMIFS(tx_CrAmt,tx_Type,"Bill Payment",tx_Ref,B326&amp;"",tx_Vend,D326,tx_Date,"&lt;="&amp;AsOf),"")</f>
        <v/>
      </c>
      <c r="L326" s="65">
        <f>IF(V326=1,IF(C326&gt;AsOf,0,ROUND(G326-K326,2)),"")</f>
        <v/>
      </c>
      <c r="M326" s="66">
        <f>IF(V326&lt;&gt;1,"",IF(C326&gt;AsOf,"Future",IF(L326&lt;0,"Overpaid",IF(L326=0,"Paid",IF(AsOf&gt;J326,"Overdue",IF(K326&gt;0,"Partial","Unpaid"))))))</f>
        <v/>
      </c>
      <c r="N326" s="28">
        <f>IF(AND(V326=1,N(L326)&gt;0),AsOf-C326,"")</f>
        <v/>
      </c>
      <c r="O326" s="28">
        <f>IF(N326="","",MAX(0,AsOf-J326))</f>
        <v/>
      </c>
      <c r="P326" s="66">
        <f>IF(O326="","",IF(O326=0,"Current",IF(O326&lt;=30,"1-30",IF(O326&lt;=60,"31-60",IF(O326&lt;=90,"61-90","90+")))))</f>
        <v/>
      </c>
      <c r="Q326" s="66">
        <f>IF(T326&lt;&gt;"","⛔ "&amp;T326&amp;" — not posted",IF(U326&lt;&gt;"","⚠ "&amp;U326,IF(V326=1,"✓ OK","")))</f>
        <v/>
      </c>
      <c r="R326" s="67">
        <f>IF(AND(B326="",C326="",D326="",G326="",F326=""),1,0)</f>
        <v/>
      </c>
      <c r="S326" s="68">
        <f>IF(AND(TaxOn="Yes",ISNUMBER(H326)),H326,0)</f>
        <v/>
      </c>
      <c r="T326" s="67">
        <f>IF(R326=1,"",IF(B326="","Enter a bill #",IF(D326="","Select a vendor",IF(C326="","Missing bill date",IF(NOT(ISNUMBER(C326)),"Invalid date",IF(OR(C326&lt;DATE(2000,1,1),C326&gt;DATE(2099,12,31)),"Invalid date",IF(F326="","Select an expense account",IF(ISNA(MATCH(F326,coa_Name,0)),"Unknown account: "&amp;F326,IF(NOT(ISNUMBER(G326)),"Enter an amount",IF(G326&lt;=0,"Amount must be positive",IF(S326&gt;G326,"Tax is larger than the amount","")))))))))))</f>
        <v/>
      </c>
      <c r="U326" s="67">
        <f>IF(OR(R326=1,T326&lt;&gt;""),"",IF(COUNTIFS(ap_No,B326,ap_Party,D326)&gt;1,"Duplicate bill #",IF(N(L326)&lt;0,"Overpaid by "&amp;TEXT(-L326,"#,##0.00"),IF(AND(ISNUMBER(H326),N(H326)&lt;&gt;0,S326=0),"Tax ignored (tax tracking is off)",IF(AND(ISNUMBER(StartDate),C326&lt;StartDate),"Date is before the accounting start date",IF(OR(IFERROR(INDEX(coa_Type,MATCH(F326,coa_Name,0)),"")="Revenue",IFERROR(INDEX(coa_Type,MATCH(F326,coa_Name,0)),"")="Other Income",IFERROR(INDEX(coa_Type,MATCH(F326,coa_Name,0)),"")="Equity"),"Account is not an expense or asset account",""))))))</f>
        <v/>
      </c>
      <c r="V326" s="67">
        <f>IF(AND(R326=0,T326=""),1,0)</f>
        <v/>
      </c>
      <c r="W326" s="67">
        <f>IF(V326=1,F326,"")</f>
        <v/>
      </c>
      <c r="X326" s="67">
        <f>IF(V326=1,acctAP,"")</f>
        <v/>
      </c>
      <c r="Y326" s="68">
        <f>IF(V326=1,G326-S326,0)</f>
        <v/>
      </c>
      <c r="Z326" s="68">
        <f>IF(V326=1,G326,0)</f>
        <v/>
      </c>
      <c r="AA326" s="68">
        <f>IF(V326=1,S326,0)</f>
        <v/>
      </c>
    </row>
    <row r="327">
      <c r="B327" s="62" t="n"/>
      <c r="C327" s="63" t="n"/>
      <c r="D327" s="62" t="n"/>
      <c r="E327" s="62" t="n"/>
      <c r="F327" s="62" t="n"/>
      <c r="G327" s="64" t="n"/>
      <c r="H327" s="64" t="n"/>
      <c r="I327" s="63" t="n"/>
      <c r="J327" s="29">
        <f>IF(V327=1,IF(ISNUMBER(I327),I327,C327+IF(ISNUMBER(IFERROR(INDEX(vend_Terms,MATCH(D327,vend_Name,0)),"")),INDEX(vend_Terms,MATCH(D327,vend_Name,0)),TermsDays)),"")</f>
        <v/>
      </c>
      <c r="K327" s="65">
        <f>IF(V327=1,SUMIFS(tx_CrAmt,tx_Type,"Bill Payment",tx_Ref,B327&amp;"",tx_Vend,D327,tx_Date,"&lt;="&amp;AsOf),"")</f>
        <v/>
      </c>
      <c r="L327" s="65">
        <f>IF(V327=1,IF(C327&gt;AsOf,0,ROUND(G327-K327,2)),"")</f>
        <v/>
      </c>
      <c r="M327" s="66">
        <f>IF(V327&lt;&gt;1,"",IF(C327&gt;AsOf,"Future",IF(L327&lt;0,"Overpaid",IF(L327=0,"Paid",IF(AsOf&gt;J327,"Overdue",IF(K327&gt;0,"Partial","Unpaid"))))))</f>
        <v/>
      </c>
      <c r="N327" s="28">
        <f>IF(AND(V327=1,N(L327)&gt;0),AsOf-C327,"")</f>
        <v/>
      </c>
      <c r="O327" s="28">
        <f>IF(N327="","",MAX(0,AsOf-J327))</f>
        <v/>
      </c>
      <c r="P327" s="66">
        <f>IF(O327="","",IF(O327=0,"Current",IF(O327&lt;=30,"1-30",IF(O327&lt;=60,"31-60",IF(O327&lt;=90,"61-90","90+")))))</f>
        <v/>
      </c>
      <c r="Q327" s="66">
        <f>IF(T327&lt;&gt;"","⛔ "&amp;T327&amp;" — not posted",IF(U327&lt;&gt;"","⚠ "&amp;U327,IF(V327=1,"✓ OK","")))</f>
        <v/>
      </c>
      <c r="R327" s="67">
        <f>IF(AND(B327="",C327="",D327="",G327="",F327=""),1,0)</f>
        <v/>
      </c>
      <c r="S327" s="68">
        <f>IF(AND(TaxOn="Yes",ISNUMBER(H327)),H327,0)</f>
        <v/>
      </c>
      <c r="T327" s="67">
        <f>IF(R327=1,"",IF(B327="","Enter a bill #",IF(D327="","Select a vendor",IF(C327="","Missing bill date",IF(NOT(ISNUMBER(C327)),"Invalid date",IF(OR(C327&lt;DATE(2000,1,1),C327&gt;DATE(2099,12,31)),"Invalid date",IF(F327="","Select an expense account",IF(ISNA(MATCH(F327,coa_Name,0)),"Unknown account: "&amp;F327,IF(NOT(ISNUMBER(G327)),"Enter an amount",IF(G327&lt;=0,"Amount must be positive",IF(S327&gt;G327,"Tax is larger than the amount","")))))))))))</f>
        <v/>
      </c>
      <c r="U327" s="67">
        <f>IF(OR(R327=1,T327&lt;&gt;""),"",IF(COUNTIFS(ap_No,B327,ap_Party,D327)&gt;1,"Duplicate bill #",IF(N(L327)&lt;0,"Overpaid by "&amp;TEXT(-L327,"#,##0.00"),IF(AND(ISNUMBER(H327),N(H327)&lt;&gt;0,S327=0),"Tax ignored (tax tracking is off)",IF(AND(ISNUMBER(StartDate),C327&lt;StartDate),"Date is before the accounting start date",IF(OR(IFERROR(INDEX(coa_Type,MATCH(F327,coa_Name,0)),"")="Revenue",IFERROR(INDEX(coa_Type,MATCH(F327,coa_Name,0)),"")="Other Income",IFERROR(INDEX(coa_Type,MATCH(F327,coa_Name,0)),"")="Equity"),"Account is not an expense or asset account",""))))))</f>
        <v/>
      </c>
      <c r="V327" s="67">
        <f>IF(AND(R327=0,T327=""),1,0)</f>
        <v/>
      </c>
      <c r="W327" s="67">
        <f>IF(V327=1,F327,"")</f>
        <v/>
      </c>
      <c r="X327" s="67">
        <f>IF(V327=1,acctAP,"")</f>
        <v/>
      </c>
      <c r="Y327" s="68">
        <f>IF(V327=1,G327-S327,0)</f>
        <v/>
      </c>
      <c r="Z327" s="68">
        <f>IF(V327=1,G327,0)</f>
        <v/>
      </c>
      <c r="AA327" s="68">
        <f>IF(V327=1,S327,0)</f>
        <v/>
      </c>
    </row>
    <row r="328">
      <c r="B328" s="62" t="n"/>
      <c r="C328" s="63" t="n"/>
      <c r="D328" s="62" t="n"/>
      <c r="E328" s="62" t="n"/>
      <c r="F328" s="62" t="n"/>
      <c r="G328" s="64" t="n"/>
      <c r="H328" s="64" t="n"/>
      <c r="I328" s="63" t="n"/>
      <c r="J328" s="29">
        <f>IF(V328=1,IF(ISNUMBER(I328),I328,C328+IF(ISNUMBER(IFERROR(INDEX(vend_Terms,MATCH(D328,vend_Name,0)),"")),INDEX(vend_Terms,MATCH(D328,vend_Name,0)),TermsDays)),"")</f>
        <v/>
      </c>
      <c r="K328" s="65">
        <f>IF(V328=1,SUMIFS(tx_CrAmt,tx_Type,"Bill Payment",tx_Ref,B328&amp;"",tx_Vend,D328,tx_Date,"&lt;="&amp;AsOf),"")</f>
        <v/>
      </c>
      <c r="L328" s="65">
        <f>IF(V328=1,IF(C328&gt;AsOf,0,ROUND(G328-K328,2)),"")</f>
        <v/>
      </c>
      <c r="M328" s="66">
        <f>IF(V328&lt;&gt;1,"",IF(C328&gt;AsOf,"Future",IF(L328&lt;0,"Overpaid",IF(L328=0,"Paid",IF(AsOf&gt;J328,"Overdue",IF(K328&gt;0,"Partial","Unpaid"))))))</f>
        <v/>
      </c>
      <c r="N328" s="28">
        <f>IF(AND(V328=1,N(L328)&gt;0),AsOf-C328,"")</f>
        <v/>
      </c>
      <c r="O328" s="28">
        <f>IF(N328="","",MAX(0,AsOf-J328))</f>
        <v/>
      </c>
      <c r="P328" s="66">
        <f>IF(O328="","",IF(O328=0,"Current",IF(O328&lt;=30,"1-30",IF(O328&lt;=60,"31-60",IF(O328&lt;=90,"61-90","90+")))))</f>
        <v/>
      </c>
      <c r="Q328" s="66">
        <f>IF(T328&lt;&gt;"","⛔ "&amp;T328&amp;" — not posted",IF(U328&lt;&gt;"","⚠ "&amp;U328,IF(V328=1,"✓ OK","")))</f>
        <v/>
      </c>
      <c r="R328" s="67">
        <f>IF(AND(B328="",C328="",D328="",G328="",F328=""),1,0)</f>
        <v/>
      </c>
      <c r="S328" s="68">
        <f>IF(AND(TaxOn="Yes",ISNUMBER(H328)),H328,0)</f>
        <v/>
      </c>
      <c r="T328" s="67">
        <f>IF(R328=1,"",IF(B328="","Enter a bill #",IF(D328="","Select a vendor",IF(C328="","Missing bill date",IF(NOT(ISNUMBER(C328)),"Invalid date",IF(OR(C328&lt;DATE(2000,1,1),C328&gt;DATE(2099,12,31)),"Invalid date",IF(F328="","Select an expense account",IF(ISNA(MATCH(F328,coa_Name,0)),"Unknown account: "&amp;F328,IF(NOT(ISNUMBER(G328)),"Enter an amount",IF(G328&lt;=0,"Amount must be positive",IF(S328&gt;G328,"Tax is larger than the amount","")))))))))))</f>
        <v/>
      </c>
      <c r="U328" s="67">
        <f>IF(OR(R328=1,T328&lt;&gt;""),"",IF(COUNTIFS(ap_No,B328,ap_Party,D328)&gt;1,"Duplicate bill #",IF(N(L328)&lt;0,"Overpaid by "&amp;TEXT(-L328,"#,##0.00"),IF(AND(ISNUMBER(H328),N(H328)&lt;&gt;0,S328=0),"Tax ignored (tax tracking is off)",IF(AND(ISNUMBER(StartDate),C328&lt;StartDate),"Date is before the accounting start date",IF(OR(IFERROR(INDEX(coa_Type,MATCH(F328,coa_Name,0)),"")="Revenue",IFERROR(INDEX(coa_Type,MATCH(F328,coa_Name,0)),"")="Other Income",IFERROR(INDEX(coa_Type,MATCH(F328,coa_Name,0)),"")="Equity"),"Account is not an expense or asset account",""))))))</f>
        <v/>
      </c>
      <c r="V328" s="67">
        <f>IF(AND(R328=0,T328=""),1,0)</f>
        <v/>
      </c>
      <c r="W328" s="67">
        <f>IF(V328=1,F328,"")</f>
        <v/>
      </c>
      <c r="X328" s="67">
        <f>IF(V328=1,acctAP,"")</f>
        <v/>
      </c>
      <c r="Y328" s="68">
        <f>IF(V328=1,G328-S328,0)</f>
        <v/>
      </c>
      <c r="Z328" s="68">
        <f>IF(V328=1,G328,0)</f>
        <v/>
      </c>
      <c r="AA328" s="68">
        <f>IF(V328=1,S328,0)</f>
        <v/>
      </c>
    </row>
    <row r="329">
      <c r="B329" s="62" t="n"/>
      <c r="C329" s="63" t="n"/>
      <c r="D329" s="62" t="n"/>
      <c r="E329" s="62" t="n"/>
      <c r="F329" s="62" t="n"/>
      <c r="G329" s="64" t="n"/>
      <c r="H329" s="64" t="n"/>
      <c r="I329" s="63" t="n"/>
      <c r="J329" s="29">
        <f>IF(V329=1,IF(ISNUMBER(I329),I329,C329+IF(ISNUMBER(IFERROR(INDEX(vend_Terms,MATCH(D329,vend_Name,0)),"")),INDEX(vend_Terms,MATCH(D329,vend_Name,0)),TermsDays)),"")</f>
        <v/>
      </c>
      <c r="K329" s="65">
        <f>IF(V329=1,SUMIFS(tx_CrAmt,tx_Type,"Bill Payment",tx_Ref,B329&amp;"",tx_Vend,D329,tx_Date,"&lt;="&amp;AsOf),"")</f>
        <v/>
      </c>
      <c r="L329" s="65">
        <f>IF(V329=1,IF(C329&gt;AsOf,0,ROUND(G329-K329,2)),"")</f>
        <v/>
      </c>
      <c r="M329" s="66">
        <f>IF(V329&lt;&gt;1,"",IF(C329&gt;AsOf,"Future",IF(L329&lt;0,"Overpaid",IF(L329=0,"Paid",IF(AsOf&gt;J329,"Overdue",IF(K329&gt;0,"Partial","Unpaid"))))))</f>
        <v/>
      </c>
      <c r="N329" s="28">
        <f>IF(AND(V329=1,N(L329)&gt;0),AsOf-C329,"")</f>
        <v/>
      </c>
      <c r="O329" s="28">
        <f>IF(N329="","",MAX(0,AsOf-J329))</f>
        <v/>
      </c>
      <c r="P329" s="66">
        <f>IF(O329="","",IF(O329=0,"Current",IF(O329&lt;=30,"1-30",IF(O329&lt;=60,"31-60",IF(O329&lt;=90,"61-90","90+")))))</f>
        <v/>
      </c>
      <c r="Q329" s="66">
        <f>IF(T329&lt;&gt;"","⛔ "&amp;T329&amp;" — not posted",IF(U329&lt;&gt;"","⚠ "&amp;U329,IF(V329=1,"✓ OK","")))</f>
        <v/>
      </c>
      <c r="R329" s="67">
        <f>IF(AND(B329="",C329="",D329="",G329="",F329=""),1,0)</f>
        <v/>
      </c>
      <c r="S329" s="68">
        <f>IF(AND(TaxOn="Yes",ISNUMBER(H329)),H329,0)</f>
        <v/>
      </c>
      <c r="T329" s="67">
        <f>IF(R329=1,"",IF(B329="","Enter a bill #",IF(D329="","Select a vendor",IF(C329="","Missing bill date",IF(NOT(ISNUMBER(C329)),"Invalid date",IF(OR(C329&lt;DATE(2000,1,1),C329&gt;DATE(2099,12,31)),"Invalid date",IF(F329="","Select an expense account",IF(ISNA(MATCH(F329,coa_Name,0)),"Unknown account: "&amp;F329,IF(NOT(ISNUMBER(G329)),"Enter an amount",IF(G329&lt;=0,"Amount must be positive",IF(S329&gt;G329,"Tax is larger than the amount","")))))))))))</f>
        <v/>
      </c>
      <c r="U329" s="67">
        <f>IF(OR(R329=1,T329&lt;&gt;""),"",IF(COUNTIFS(ap_No,B329,ap_Party,D329)&gt;1,"Duplicate bill #",IF(N(L329)&lt;0,"Overpaid by "&amp;TEXT(-L329,"#,##0.00"),IF(AND(ISNUMBER(H329),N(H329)&lt;&gt;0,S329=0),"Tax ignored (tax tracking is off)",IF(AND(ISNUMBER(StartDate),C329&lt;StartDate),"Date is before the accounting start date",IF(OR(IFERROR(INDEX(coa_Type,MATCH(F329,coa_Name,0)),"")="Revenue",IFERROR(INDEX(coa_Type,MATCH(F329,coa_Name,0)),"")="Other Income",IFERROR(INDEX(coa_Type,MATCH(F329,coa_Name,0)),"")="Equity"),"Account is not an expense or asset account",""))))))</f>
        <v/>
      </c>
      <c r="V329" s="67">
        <f>IF(AND(R329=0,T329=""),1,0)</f>
        <v/>
      </c>
      <c r="W329" s="67">
        <f>IF(V329=1,F329,"")</f>
        <v/>
      </c>
      <c r="X329" s="67">
        <f>IF(V329=1,acctAP,"")</f>
        <v/>
      </c>
      <c r="Y329" s="68">
        <f>IF(V329=1,G329-S329,0)</f>
        <v/>
      </c>
      <c r="Z329" s="68">
        <f>IF(V329=1,G329,0)</f>
        <v/>
      </c>
      <c r="AA329" s="68">
        <f>IF(V329=1,S329,0)</f>
        <v/>
      </c>
    </row>
    <row r="330">
      <c r="B330" s="62" t="n"/>
      <c r="C330" s="63" t="n"/>
      <c r="D330" s="62" t="n"/>
      <c r="E330" s="62" t="n"/>
      <c r="F330" s="62" t="n"/>
      <c r="G330" s="64" t="n"/>
      <c r="H330" s="64" t="n"/>
      <c r="I330" s="63" t="n"/>
      <c r="J330" s="29">
        <f>IF(V330=1,IF(ISNUMBER(I330),I330,C330+IF(ISNUMBER(IFERROR(INDEX(vend_Terms,MATCH(D330,vend_Name,0)),"")),INDEX(vend_Terms,MATCH(D330,vend_Name,0)),TermsDays)),"")</f>
        <v/>
      </c>
      <c r="K330" s="65">
        <f>IF(V330=1,SUMIFS(tx_CrAmt,tx_Type,"Bill Payment",tx_Ref,B330&amp;"",tx_Vend,D330,tx_Date,"&lt;="&amp;AsOf),"")</f>
        <v/>
      </c>
      <c r="L330" s="65">
        <f>IF(V330=1,IF(C330&gt;AsOf,0,ROUND(G330-K330,2)),"")</f>
        <v/>
      </c>
      <c r="M330" s="66">
        <f>IF(V330&lt;&gt;1,"",IF(C330&gt;AsOf,"Future",IF(L330&lt;0,"Overpaid",IF(L330=0,"Paid",IF(AsOf&gt;J330,"Overdue",IF(K330&gt;0,"Partial","Unpaid"))))))</f>
        <v/>
      </c>
      <c r="N330" s="28">
        <f>IF(AND(V330=1,N(L330)&gt;0),AsOf-C330,"")</f>
        <v/>
      </c>
      <c r="O330" s="28">
        <f>IF(N330="","",MAX(0,AsOf-J330))</f>
        <v/>
      </c>
      <c r="P330" s="66">
        <f>IF(O330="","",IF(O330=0,"Current",IF(O330&lt;=30,"1-30",IF(O330&lt;=60,"31-60",IF(O330&lt;=90,"61-90","90+")))))</f>
        <v/>
      </c>
      <c r="Q330" s="66">
        <f>IF(T330&lt;&gt;"","⛔ "&amp;T330&amp;" — not posted",IF(U330&lt;&gt;"","⚠ "&amp;U330,IF(V330=1,"✓ OK","")))</f>
        <v/>
      </c>
      <c r="R330" s="67">
        <f>IF(AND(B330="",C330="",D330="",G330="",F330=""),1,0)</f>
        <v/>
      </c>
      <c r="S330" s="68">
        <f>IF(AND(TaxOn="Yes",ISNUMBER(H330)),H330,0)</f>
        <v/>
      </c>
      <c r="T330" s="67">
        <f>IF(R330=1,"",IF(B330="","Enter a bill #",IF(D330="","Select a vendor",IF(C330="","Missing bill date",IF(NOT(ISNUMBER(C330)),"Invalid date",IF(OR(C330&lt;DATE(2000,1,1),C330&gt;DATE(2099,12,31)),"Invalid date",IF(F330="","Select an expense account",IF(ISNA(MATCH(F330,coa_Name,0)),"Unknown account: "&amp;F330,IF(NOT(ISNUMBER(G330)),"Enter an amount",IF(G330&lt;=0,"Amount must be positive",IF(S330&gt;G330,"Tax is larger than the amount","")))))))))))</f>
        <v/>
      </c>
      <c r="U330" s="67">
        <f>IF(OR(R330=1,T330&lt;&gt;""),"",IF(COUNTIFS(ap_No,B330,ap_Party,D330)&gt;1,"Duplicate bill #",IF(N(L330)&lt;0,"Overpaid by "&amp;TEXT(-L330,"#,##0.00"),IF(AND(ISNUMBER(H330),N(H330)&lt;&gt;0,S330=0),"Tax ignored (tax tracking is off)",IF(AND(ISNUMBER(StartDate),C330&lt;StartDate),"Date is before the accounting start date",IF(OR(IFERROR(INDEX(coa_Type,MATCH(F330,coa_Name,0)),"")="Revenue",IFERROR(INDEX(coa_Type,MATCH(F330,coa_Name,0)),"")="Other Income",IFERROR(INDEX(coa_Type,MATCH(F330,coa_Name,0)),"")="Equity"),"Account is not an expense or asset account",""))))))</f>
        <v/>
      </c>
      <c r="V330" s="67">
        <f>IF(AND(R330=0,T330=""),1,0)</f>
        <v/>
      </c>
      <c r="W330" s="67">
        <f>IF(V330=1,F330,"")</f>
        <v/>
      </c>
      <c r="X330" s="67">
        <f>IF(V330=1,acctAP,"")</f>
        <v/>
      </c>
      <c r="Y330" s="68">
        <f>IF(V330=1,G330-S330,0)</f>
        <v/>
      </c>
      <c r="Z330" s="68">
        <f>IF(V330=1,G330,0)</f>
        <v/>
      </c>
      <c r="AA330" s="68">
        <f>IF(V330=1,S330,0)</f>
        <v/>
      </c>
    </row>
    <row r="331">
      <c r="B331" s="62" t="n"/>
      <c r="C331" s="63" t="n"/>
      <c r="D331" s="62" t="n"/>
      <c r="E331" s="62" t="n"/>
      <c r="F331" s="62" t="n"/>
      <c r="G331" s="64" t="n"/>
      <c r="H331" s="64" t="n"/>
      <c r="I331" s="63" t="n"/>
      <c r="J331" s="29">
        <f>IF(V331=1,IF(ISNUMBER(I331),I331,C331+IF(ISNUMBER(IFERROR(INDEX(vend_Terms,MATCH(D331,vend_Name,0)),"")),INDEX(vend_Terms,MATCH(D331,vend_Name,0)),TermsDays)),"")</f>
        <v/>
      </c>
      <c r="K331" s="65">
        <f>IF(V331=1,SUMIFS(tx_CrAmt,tx_Type,"Bill Payment",tx_Ref,B331&amp;"",tx_Vend,D331,tx_Date,"&lt;="&amp;AsOf),"")</f>
        <v/>
      </c>
      <c r="L331" s="65">
        <f>IF(V331=1,IF(C331&gt;AsOf,0,ROUND(G331-K331,2)),"")</f>
        <v/>
      </c>
      <c r="M331" s="66">
        <f>IF(V331&lt;&gt;1,"",IF(C331&gt;AsOf,"Future",IF(L331&lt;0,"Overpaid",IF(L331=0,"Paid",IF(AsOf&gt;J331,"Overdue",IF(K331&gt;0,"Partial","Unpaid"))))))</f>
        <v/>
      </c>
      <c r="N331" s="28">
        <f>IF(AND(V331=1,N(L331)&gt;0),AsOf-C331,"")</f>
        <v/>
      </c>
      <c r="O331" s="28">
        <f>IF(N331="","",MAX(0,AsOf-J331))</f>
        <v/>
      </c>
      <c r="P331" s="66">
        <f>IF(O331="","",IF(O331=0,"Current",IF(O331&lt;=30,"1-30",IF(O331&lt;=60,"31-60",IF(O331&lt;=90,"61-90","90+")))))</f>
        <v/>
      </c>
      <c r="Q331" s="66">
        <f>IF(T331&lt;&gt;"","⛔ "&amp;T331&amp;" — not posted",IF(U331&lt;&gt;"","⚠ "&amp;U331,IF(V331=1,"✓ OK","")))</f>
        <v/>
      </c>
      <c r="R331" s="67">
        <f>IF(AND(B331="",C331="",D331="",G331="",F331=""),1,0)</f>
        <v/>
      </c>
      <c r="S331" s="68">
        <f>IF(AND(TaxOn="Yes",ISNUMBER(H331)),H331,0)</f>
        <v/>
      </c>
      <c r="T331" s="67">
        <f>IF(R331=1,"",IF(B331="","Enter a bill #",IF(D331="","Select a vendor",IF(C331="","Missing bill date",IF(NOT(ISNUMBER(C331)),"Invalid date",IF(OR(C331&lt;DATE(2000,1,1),C331&gt;DATE(2099,12,31)),"Invalid date",IF(F331="","Select an expense account",IF(ISNA(MATCH(F331,coa_Name,0)),"Unknown account: "&amp;F331,IF(NOT(ISNUMBER(G331)),"Enter an amount",IF(G331&lt;=0,"Amount must be positive",IF(S331&gt;G331,"Tax is larger than the amount","")))))))))))</f>
        <v/>
      </c>
      <c r="U331" s="67">
        <f>IF(OR(R331=1,T331&lt;&gt;""),"",IF(COUNTIFS(ap_No,B331,ap_Party,D331)&gt;1,"Duplicate bill #",IF(N(L331)&lt;0,"Overpaid by "&amp;TEXT(-L331,"#,##0.00"),IF(AND(ISNUMBER(H331),N(H331)&lt;&gt;0,S331=0),"Tax ignored (tax tracking is off)",IF(AND(ISNUMBER(StartDate),C331&lt;StartDate),"Date is before the accounting start date",IF(OR(IFERROR(INDEX(coa_Type,MATCH(F331,coa_Name,0)),"")="Revenue",IFERROR(INDEX(coa_Type,MATCH(F331,coa_Name,0)),"")="Other Income",IFERROR(INDEX(coa_Type,MATCH(F331,coa_Name,0)),"")="Equity"),"Account is not an expense or asset account",""))))))</f>
        <v/>
      </c>
      <c r="V331" s="67">
        <f>IF(AND(R331=0,T331=""),1,0)</f>
        <v/>
      </c>
      <c r="W331" s="67">
        <f>IF(V331=1,F331,"")</f>
        <v/>
      </c>
      <c r="X331" s="67">
        <f>IF(V331=1,acctAP,"")</f>
        <v/>
      </c>
      <c r="Y331" s="68">
        <f>IF(V331=1,G331-S331,0)</f>
        <v/>
      </c>
      <c r="Z331" s="68">
        <f>IF(V331=1,G331,0)</f>
        <v/>
      </c>
      <c r="AA331" s="68">
        <f>IF(V331=1,S331,0)</f>
        <v/>
      </c>
    </row>
    <row r="332">
      <c r="B332" s="62" t="n"/>
      <c r="C332" s="63" t="n"/>
      <c r="D332" s="62" t="n"/>
      <c r="E332" s="62" t="n"/>
      <c r="F332" s="62" t="n"/>
      <c r="G332" s="64" t="n"/>
      <c r="H332" s="64" t="n"/>
      <c r="I332" s="63" t="n"/>
      <c r="J332" s="29">
        <f>IF(V332=1,IF(ISNUMBER(I332),I332,C332+IF(ISNUMBER(IFERROR(INDEX(vend_Terms,MATCH(D332,vend_Name,0)),"")),INDEX(vend_Terms,MATCH(D332,vend_Name,0)),TermsDays)),"")</f>
        <v/>
      </c>
      <c r="K332" s="65">
        <f>IF(V332=1,SUMIFS(tx_CrAmt,tx_Type,"Bill Payment",tx_Ref,B332&amp;"",tx_Vend,D332,tx_Date,"&lt;="&amp;AsOf),"")</f>
        <v/>
      </c>
      <c r="L332" s="65">
        <f>IF(V332=1,IF(C332&gt;AsOf,0,ROUND(G332-K332,2)),"")</f>
        <v/>
      </c>
      <c r="M332" s="66">
        <f>IF(V332&lt;&gt;1,"",IF(C332&gt;AsOf,"Future",IF(L332&lt;0,"Overpaid",IF(L332=0,"Paid",IF(AsOf&gt;J332,"Overdue",IF(K332&gt;0,"Partial","Unpaid"))))))</f>
        <v/>
      </c>
      <c r="N332" s="28">
        <f>IF(AND(V332=1,N(L332)&gt;0),AsOf-C332,"")</f>
        <v/>
      </c>
      <c r="O332" s="28">
        <f>IF(N332="","",MAX(0,AsOf-J332))</f>
        <v/>
      </c>
      <c r="P332" s="66">
        <f>IF(O332="","",IF(O332=0,"Current",IF(O332&lt;=30,"1-30",IF(O332&lt;=60,"31-60",IF(O332&lt;=90,"61-90","90+")))))</f>
        <v/>
      </c>
      <c r="Q332" s="66">
        <f>IF(T332&lt;&gt;"","⛔ "&amp;T332&amp;" — not posted",IF(U332&lt;&gt;"","⚠ "&amp;U332,IF(V332=1,"✓ OK","")))</f>
        <v/>
      </c>
      <c r="R332" s="67">
        <f>IF(AND(B332="",C332="",D332="",G332="",F332=""),1,0)</f>
        <v/>
      </c>
      <c r="S332" s="68">
        <f>IF(AND(TaxOn="Yes",ISNUMBER(H332)),H332,0)</f>
        <v/>
      </c>
      <c r="T332" s="67">
        <f>IF(R332=1,"",IF(B332="","Enter a bill #",IF(D332="","Select a vendor",IF(C332="","Missing bill date",IF(NOT(ISNUMBER(C332)),"Invalid date",IF(OR(C332&lt;DATE(2000,1,1),C332&gt;DATE(2099,12,31)),"Invalid date",IF(F332="","Select an expense account",IF(ISNA(MATCH(F332,coa_Name,0)),"Unknown account: "&amp;F332,IF(NOT(ISNUMBER(G332)),"Enter an amount",IF(G332&lt;=0,"Amount must be positive",IF(S332&gt;G332,"Tax is larger than the amount","")))))))))))</f>
        <v/>
      </c>
      <c r="U332" s="67">
        <f>IF(OR(R332=1,T332&lt;&gt;""),"",IF(COUNTIFS(ap_No,B332,ap_Party,D332)&gt;1,"Duplicate bill #",IF(N(L332)&lt;0,"Overpaid by "&amp;TEXT(-L332,"#,##0.00"),IF(AND(ISNUMBER(H332),N(H332)&lt;&gt;0,S332=0),"Tax ignored (tax tracking is off)",IF(AND(ISNUMBER(StartDate),C332&lt;StartDate),"Date is before the accounting start date",IF(OR(IFERROR(INDEX(coa_Type,MATCH(F332,coa_Name,0)),"")="Revenue",IFERROR(INDEX(coa_Type,MATCH(F332,coa_Name,0)),"")="Other Income",IFERROR(INDEX(coa_Type,MATCH(F332,coa_Name,0)),"")="Equity"),"Account is not an expense or asset account",""))))))</f>
        <v/>
      </c>
      <c r="V332" s="67">
        <f>IF(AND(R332=0,T332=""),1,0)</f>
        <v/>
      </c>
      <c r="W332" s="67">
        <f>IF(V332=1,F332,"")</f>
        <v/>
      </c>
      <c r="X332" s="67">
        <f>IF(V332=1,acctAP,"")</f>
        <v/>
      </c>
      <c r="Y332" s="68">
        <f>IF(V332=1,G332-S332,0)</f>
        <v/>
      </c>
      <c r="Z332" s="68">
        <f>IF(V332=1,G332,0)</f>
        <v/>
      </c>
      <c r="AA332" s="68">
        <f>IF(V332=1,S332,0)</f>
        <v/>
      </c>
    </row>
    <row r="333">
      <c r="B333" s="62" t="n"/>
      <c r="C333" s="63" t="n"/>
      <c r="D333" s="62" t="n"/>
      <c r="E333" s="62" t="n"/>
      <c r="F333" s="62" t="n"/>
      <c r="G333" s="64" t="n"/>
      <c r="H333" s="64" t="n"/>
      <c r="I333" s="63" t="n"/>
      <c r="J333" s="29">
        <f>IF(V333=1,IF(ISNUMBER(I333),I333,C333+IF(ISNUMBER(IFERROR(INDEX(vend_Terms,MATCH(D333,vend_Name,0)),"")),INDEX(vend_Terms,MATCH(D333,vend_Name,0)),TermsDays)),"")</f>
        <v/>
      </c>
      <c r="K333" s="65">
        <f>IF(V333=1,SUMIFS(tx_CrAmt,tx_Type,"Bill Payment",tx_Ref,B333&amp;"",tx_Vend,D333,tx_Date,"&lt;="&amp;AsOf),"")</f>
        <v/>
      </c>
      <c r="L333" s="65">
        <f>IF(V333=1,IF(C333&gt;AsOf,0,ROUND(G333-K333,2)),"")</f>
        <v/>
      </c>
      <c r="M333" s="66">
        <f>IF(V333&lt;&gt;1,"",IF(C333&gt;AsOf,"Future",IF(L333&lt;0,"Overpaid",IF(L333=0,"Paid",IF(AsOf&gt;J333,"Overdue",IF(K333&gt;0,"Partial","Unpaid"))))))</f>
        <v/>
      </c>
      <c r="N333" s="28">
        <f>IF(AND(V333=1,N(L333)&gt;0),AsOf-C333,"")</f>
        <v/>
      </c>
      <c r="O333" s="28">
        <f>IF(N333="","",MAX(0,AsOf-J333))</f>
        <v/>
      </c>
      <c r="P333" s="66">
        <f>IF(O333="","",IF(O333=0,"Current",IF(O333&lt;=30,"1-30",IF(O333&lt;=60,"31-60",IF(O333&lt;=90,"61-90","90+")))))</f>
        <v/>
      </c>
      <c r="Q333" s="66">
        <f>IF(T333&lt;&gt;"","⛔ "&amp;T333&amp;" — not posted",IF(U333&lt;&gt;"","⚠ "&amp;U333,IF(V333=1,"✓ OK","")))</f>
        <v/>
      </c>
      <c r="R333" s="67">
        <f>IF(AND(B333="",C333="",D333="",G333="",F333=""),1,0)</f>
        <v/>
      </c>
      <c r="S333" s="68">
        <f>IF(AND(TaxOn="Yes",ISNUMBER(H333)),H333,0)</f>
        <v/>
      </c>
      <c r="T333" s="67">
        <f>IF(R333=1,"",IF(B333="","Enter a bill #",IF(D333="","Select a vendor",IF(C333="","Missing bill date",IF(NOT(ISNUMBER(C333)),"Invalid date",IF(OR(C333&lt;DATE(2000,1,1),C333&gt;DATE(2099,12,31)),"Invalid date",IF(F333="","Select an expense account",IF(ISNA(MATCH(F333,coa_Name,0)),"Unknown account: "&amp;F333,IF(NOT(ISNUMBER(G333)),"Enter an amount",IF(G333&lt;=0,"Amount must be positive",IF(S333&gt;G333,"Tax is larger than the amount","")))))))))))</f>
        <v/>
      </c>
      <c r="U333" s="67">
        <f>IF(OR(R333=1,T333&lt;&gt;""),"",IF(COUNTIFS(ap_No,B333,ap_Party,D333)&gt;1,"Duplicate bill #",IF(N(L333)&lt;0,"Overpaid by "&amp;TEXT(-L333,"#,##0.00"),IF(AND(ISNUMBER(H333),N(H333)&lt;&gt;0,S333=0),"Tax ignored (tax tracking is off)",IF(AND(ISNUMBER(StartDate),C333&lt;StartDate),"Date is before the accounting start date",IF(OR(IFERROR(INDEX(coa_Type,MATCH(F333,coa_Name,0)),"")="Revenue",IFERROR(INDEX(coa_Type,MATCH(F333,coa_Name,0)),"")="Other Income",IFERROR(INDEX(coa_Type,MATCH(F333,coa_Name,0)),"")="Equity"),"Account is not an expense or asset account",""))))))</f>
        <v/>
      </c>
      <c r="V333" s="67">
        <f>IF(AND(R333=0,T333=""),1,0)</f>
        <v/>
      </c>
      <c r="W333" s="67">
        <f>IF(V333=1,F333,"")</f>
        <v/>
      </c>
      <c r="X333" s="67">
        <f>IF(V333=1,acctAP,"")</f>
        <v/>
      </c>
      <c r="Y333" s="68">
        <f>IF(V333=1,G333-S333,0)</f>
        <v/>
      </c>
      <c r="Z333" s="68">
        <f>IF(V333=1,G333,0)</f>
        <v/>
      </c>
      <c r="AA333" s="68">
        <f>IF(V333=1,S333,0)</f>
        <v/>
      </c>
    </row>
    <row r="334">
      <c r="B334" s="62" t="n"/>
      <c r="C334" s="63" t="n"/>
      <c r="D334" s="62" t="n"/>
      <c r="E334" s="62" t="n"/>
      <c r="F334" s="62" t="n"/>
      <c r="G334" s="64" t="n"/>
      <c r="H334" s="64" t="n"/>
      <c r="I334" s="63" t="n"/>
      <c r="J334" s="29">
        <f>IF(V334=1,IF(ISNUMBER(I334),I334,C334+IF(ISNUMBER(IFERROR(INDEX(vend_Terms,MATCH(D334,vend_Name,0)),"")),INDEX(vend_Terms,MATCH(D334,vend_Name,0)),TermsDays)),"")</f>
        <v/>
      </c>
      <c r="K334" s="65">
        <f>IF(V334=1,SUMIFS(tx_CrAmt,tx_Type,"Bill Payment",tx_Ref,B334&amp;"",tx_Vend,D334,tx_Date,"&lt;="&amp;AsOf),"")</f>
        <v/>
      </c>
      <c r="L334" s="65">
        <f>IF(V334=1,IF(C334&gt;AsOf,0,ROUND(G334-K334,2)),"")</f>
        <v/>
      </c>
      <c r="M334" s="66">
        <f>IF(V334&lt;&gt;1,"",IF(C334&gt;AsOf,"Future",IF(L334&lt;0,"Overpaid",IF(L334=0,"Paid",IF(AsOf&gt;J334,"Overdue",IF(K334&gt;0,"Partial","Unpaid"))))))</f>
        <v/>
      </c>
      <c r="N334" s="28">
        <f>IF(AND(V334=1,N(L334)&gt;0),AsOf-C334,"")</f>
        <v/>
      </c>
      <c r="O334" s="28">
        <f>IF(N334="","",MAX(0,AsOf-J334))</f>
        <v/>
      </c>
      <c r="P334" s="66">
        <f>IF(O334="","",IF(O334=0,"Current",IF(O334&lt;=30,"1-30",IF(O334&lt;=60,"31-60",IF(O334&lt;=90,"61-90","90+")))))</f>
        <v/>
      </c>
      <c r="Q334" s="66">
        <f>IF(T334&lt;&gt;"","⛔ "&amp;T334&amp;" — not posted",IF(U334&lt;&gt;"","⚠ "&amp;U334,IF(V334=1,"✓ OK","")))</f>
        <v/>
      </c>
      <c r="R334" s="67">
        <f>IF(AND(B334="",C334="",D334="",G334="",F334=""),1,0)</f>
        <v/>
      </c>
      <c r="S334" s="68">
        <f>IF(AND(TaxOn="Yes",ISNUMBER(H334)),H334,0)</f>
        <v/>
      </c>
      <c r="T334" s="67">
        <f>IF(R334=1,"",IF(B334="","Enter a bill #",IF(D334="","Select a vendor",IF(C334="","Missing bill date",IF(NOT(ISNUMBER(C334)),"Invalid date",IF(OR(C334&lt;DATE(2000,1,1),C334&gt;DATE(2099,12,31)),"Invalid date",IF(F334="","Select an expense account",IF(ISNA(MATCH(F334,coa_Name,0)),"Unknown account: "&amp;F334,IF(NOT(ISNUMBER(G334)),"Enter an amount",IF(G334&lt;=0,"Amount must be positive",IF(S334&gt;G334,"Tax is larger than the amount","")))))))))))</f>
        <v/>
      </c>
      <c r="U334" s="67">
        <f>IF(OR(R334=1,T334&lt;&gt;""),"",IF(COUNTIFS(ap_No,B334,ap_Party,D334)&gt;1,"Duplicate bill #",IF(N(L334)&lt;0,"Overpaid by "&amp;TEXT(-L334,"#,##0.00"),IF(AND(ISNUMBER(H334),N(H334)&lt;&gt;0,S334=0),"Tax ignored (tax tracking is off)",IF(AND(ISNUMBER(StartDate),C334&lt;StartDate),"Date is before the accounting start date",IF(OR(IFERROR(INDEX(coa_Type,MATCH(F334,coa_Name,0)),"")="Revenue",IFERROR(INDEX(coa_Type,MATCH(F334,coa_Name,0)),"")="Other Income",IFERROR(INDEX(coa_Type,MATCH(F334,coa_Name,0)),"")="Equity"),"Account is not an expense or asset account",""))))))</f>
        <v/>
      </c>
      <c r="V334" s="67">
        <f>IF(AND(R334=0,T334=""),1,0)</f>
        <v/>
      </c>
      <c r="W334" s="67">
        <f>IF(V334=1,F334,"")</f>
        <v/>
      </c>
      <c r="X334" s="67">
        <f>IF(V334=1,acctAP,"")</f>
        <v/>
      </c>
      <c r="Y334" s="68">
        <f>IF(V334=1,G334-S334,0)</f>
        <v/>
      </c>
      <c r="Z334" s="68">
        <f>IF(V334=1,G334,0)</f>
        <v/>
      </c>
      <c r="AA334" s="68">
        <f>IF(V334=1,S334,0)</f>
        <v/>
      </c>
    </row>
    <row r="335">
      <c r="B335" s="62" t="n"/>
      <c r="C335" s="63" t="n"/>
      <c r="D335" s="62" t="n"/>
      <c r="E335" s="62" t="n"/>
      <c r="F335" s="62" t="n"/>
      <c r="G335" s="64" t="n"/>
      <c r="H335" s="64" t="n"/>
      <c r="I335" s="63" t="n"/>
      <c r="J335" s="29">
        <f>IF(V335=1,IF(ISNUMBER(I335),I335,C335+IF(ISNUMBER(IFERROR(INDEX(vend_Terms,MATCH(D335,vend_Name,0)),"")),INDEX(vend_Terms,MATCH(D335,vend_Name,0)),TermsDays)),"")</f>
        <v/>
      </c>
      <c r="K335" s="65">
        <f>IF(V335=1,SUMIFS(tx_CrAmt,tx_Type,"Bill Payment",tx_Ref,B335&amp;"",tx_Vend,D335,tx_Date,"&lt;="&amp;AsOf),"")</f>
        <v/>
      </c>
      <c r="L335" s="65">
        <f>IF(V335=1,IF(C335&gt;AsOf,0,ROUND(G335-K335,2)),"")</f>
        <v/>
      </c>
      <c r="M335" s="66">
        <f>IF(V335&lt;&gt;1,"",IF(C335&gt;AsOf,"Future",IF(L335&lt;0,"Overpaid",IF(L335=0,"Paid",IF(AsOf&gt;J335,"Overdue",IF(K335&gt;0,"Partial","Unpaid"))))))</f>
        <v/>
      </c>
      <c r="N335" s="28">
        <f>IF(AND(V335=1,N(L335)&gt;0),AsOf-C335,"")</f>
        <v/>
      </c>
      <c r="O335" s="28">
        <f>IF(N335="","",MAX(0,AsOf-J335))</f>
        <v/>
      </c>
      <c r="P335" s="66">
        <f>IF(O335="","",IF(O335=0,"Current",IF(O335&lt;=30,"1-30",IF(O335&lt;=60,"31-60",IF(O335&lt;=90,"61-90","90+")))))</f>
        <v/>
      </c>
      <c r="Q335" s="66">
        <f>IF(T335&lt;&gt;"","⛔ "&amp;T335&amp;" — not posted",IF(U335&lt;&gt;"","⚠ "&amp;U335,IF(V335=1,"✓ OK","")))</f>
        <v/>
      </c>
      <c r="R335" s="67">
        <f>IF(AND(B335="",C335="",D335="",G335="",F335=""),1,0)</f>
        <v/>
      </c>
      <c r="S335" s="68">
        <f>IF(AND(TaxOn="Yes",ISNUMBER(H335)),H335,0)</f>
        <v/>
      </c>
      <c r="T335" s="67">
        <f>IF(R335=1,"",IF(B335="","Enter a bill #",IF(D335="","Select a vendor",IF(C335="","Missing bill date",IF(NOT(ISNUMBER(C335)),"Invalid date",IF(OR(C335&lt;DATE(2000,1,1),C335&gt;DATE(2099,12,31)),"Invalid date",IF(F335="","Select an expense account",IF(ISNA(MATCH(F335,coa_Name,0)),"Unknown account: "&amp;F335,IF(NOT(ISNUMBER(G335)),"Enter an amount",IF(G335&lt;=0,"Amount must be positive",IF(S335&gt;G335,"Tax is larger than the amount","")))))))))))</f>
        <v/>
      </c>
      <c r="U335" s="67">
        <f>IF(OR(R335=1,T335&lt;&gt;""),"",IF(COUNTIFS(ap_No,B335,ap_Party,D335)&gt;1,"Duplicate bill #",IF(N(L335)&lt;0,"Overpaid by "&amp;TEXT(-L335,"#,##0.00"),IF(AND(ISNUMBER(H335),N(H335)&lt;&gt;0,S335=0),"Tax ignored (tax tracking is off)",IF(AND(ISNUMBER(StartDate),C335&lt;StartDate),"Date is before the accounting start date",IF(OR(IFERROR(INDEX(coa_Type,MATCH(F335,coa_Name,0)),"")="Revenue",IFERROR(INDEX(coa_Type,MATCH(F335,coa_Name,0)),"")="Other Income",IFERROR(INDEX(coa_Type,MATCH(F335,coa_Name,0)),"")="Equity"),"Account is not an expense or asset account",""))))))</f>
        <v/>
      </c>
      <c r="V335" s="67">
        <f>IF(AND(R335=0,T335=""),1,0)</f>
        <v/>
      </c>
      <c r="W335" s="67">
        <f>IF(V335=1,F335,"")</f>
        <v/>
      </c>
      <c r="X335" s="67">
        <f>IF(V335=1,acctAP,"")</f>
        <v/>
      </c>
      <c r="Y335" s="68">
        <f>IF(V335=1,G335-S335,0)</f>
        <v/>
      </c>
      <c r="Z335" s="68">
        <f>IF(V335=1,G335,0)</f>
        <v/>
      </c>
      <c r="AA335" s="68">
        <f>IF(V335=1,S335,0)</f>
        <v/>
      </c>
    </row>
    <row r="336">
      <c r="B336" s="62" t="n"/>
      <c r="C336" s="63" t="n"/>
      <c r="D336" s="62" t="n"/>
      <c r="E336" s="62" t="n"/>
      <c r="F336" s="62" t="n"/>
      <c r="G336" s="64" t="n"/>
      <c r="H336" s="64" t="n"/>
      <c r="I336" s="63" t="n"/>
      <c r="J336" s="29">
        <f>IF(V336=1,IF(ISNUMBER(I336),I336,C336+IF(ISNUMBER(IFERROR(INDEX(vend_Terms,MATCH(D336,vend_Name,0)),"")),INDEX(vend_Terms,MATCH(D336,vend_Name,0)),TermsDays)),"")</f>
        <v/>
      </c>
      <c r="K336" s="65">
        <f>IF(V336=1,SUMIFS(tx_CrAmt,tx_Type,"Bill Payment",tx_Ref,B336&amp;"",tx_Vend,D336,tx_Date,"&lt;="&amp;AsOf),"")</f>
        <v/>
      </c>
      <c r="L336" s="65">
        <f>IF(V336=1,IF(C336&gt;AsOf,0,ROUND(G336-K336,2)),"")</f>
        <v/>
      </c>
      <c r="M336" s="66">
        <f>IF(V336&lt;&gt;1,"",IF(C336&gt;AsOf,"Future",IF(L336&lt;0,"Overpaid",IF(L336=0,"Paid",IF(AsOf&gt;J336,"Overdue",IF(K336&gt;0,"Partial","Unpaid"))))))</f>
        <v/>
      </c>
      <c r="N336" s="28">
        <f>IF(AND(V336=1,N(L336)&gt;0),AsOf-C336,"")</f>
        <v/>
      </c>
      <c r="O336" s="28">
        <f>IF(N336="","",MAX(0,AsOf-J336))</f>
        <v/>
      </c>
      <c r="P336" s="66">
        <f>IF(O336="","",IF(O336=0,"Current",IF(O336&lt;=30,"1-30",IF(O336&lt;=60,"31-60",IF(O336&lt;=90,"61-90","90+")))))</f>
        <v/>
      </c>
      <c r="Q336" s="66">
        <f>IF(T336&lt;&gt;"","⛔ "&amp;T336&amp;" — not posted",IF(U336&lt;&gt;"","⚠ "&amp;U336,IF(V336=1,"✓ OK","")))</f>
        <v/>
      </c>
      <c r="R336" s="67">
        <f>IF(AND(B336="",C336="",D336="",G336="",F336=""),1,0)</f>
        <v/>
      </c>
      <c r="S336" s="68">
        <f>IF(AND(TaxOn="Yes",ISNUMBER(H336)),H336,0)</f>
        <v/>
      </c>
      <c r="T336" s="67">
        <f>IF(R336=1,"",IF(B336="","Enter a bill #",IF(D336="","Select a vendor",IF(C336="","Missing bill date",IF(NOT(ISNUMBER(C336)),"Invalid date",IF(OR(C336&lt;DATE(2000,1,1),C336&gt;DATE(2099,12,31)),"Invalid date",IF(F336="","Select an expense account",IF(ISNA(MATCH(F336,coa_Name,0)),"Unknown account: "&amp;F336,IF(NOT(ISNUMBER(G336)),"Enter an amount",IF(G336&lt;=0,"Amount must be positive",IF(S336&gt;G336,"Tax is larger than the amount","")))))))))))</f>
        <v/>
      </c>
      <c r="U336" s="67">
        <f>IF(OR(R336=1,T336&lt;&gt;""),"",IF(COUNTIFS(ap_No,B336,ap_Party,D336)&gt;1,"Duplicate bill #",IF(N(L336)&lt;0,"Overpaid by "&amp;TEXT(-L336,"#,##0.00"),IF(AND(ISNUMBER(H336),N(H336)&lt;&gt;0,S336=0),"Tax ignored (tax tracking is off)",IF(AND(ISNUMBER(StartDate),C336&lt;StartDate),"Date is before the accounting start date",IF(OR(IFERROR(INDEX(coa_Type,MATCH(F336,coa_Name,0)),"")="Revenue",IFERROR(INDEX(coa_Type,MATCH(F336,coa_Name,0)),"")="Other Income",IFERROR(INDEX(coa_Type,MATCH(F336,coa_Name,0)),"")="Equity"),"Account is not an expense or asset account",""))))))</f>
        <v/>
      </c>
      <c r="V336" s="67">
        <f>IF(AND(R336=0,T336=""),1,0)</f>
        <v/>
      </c>
      <c r="W336" s="67">
        <f>IF(V336=1,F336,"")</f>
        <v/>
      </c>
      <c r="X336" s="67">
        <f>IF(V336=1,acctAP,"")</f>
        <v/>
      </c>
      <c r="Y336" s="68">
        <f>IF(V336=1,G336-S336,0)</f>
        <v/>
      </c>
      <c r="Z336" s="68">
        <f>IF(V336=1,G336,0)</f>
        <v/>
      </c>
      <c r="AA336" s="68">
        <f>IF(V336=1,S336,0)</f>
        <v/>
      </c>
    </row>
    <row r="337">
      <c r="B337" s="62" t="n"/>
      <c r="C337" s="63" t="n"/>
      <c r="D337" s="62" t="n"/>
      <c r="E337" s="62" t="n"/>
      <c r="F337" s="62" t="n"/>
      <c r="G337" s="64" t="n"/>
      <c r="H337" s="64" t="n"/>
      <c r="I337" s="63" t="n"/>
      <c r="J337" s="29">
        <f>IF(V337=1,IF(ISNUMBER(I337),I337,C337+IF(ISNUMBER(IFERROR(INDEX(vend_Terms,MATCH(D337,vend_Name,0)),"")),INDEX(vend_Terms,MATCH(D337,vend_Name,0)),TermsDays)),"")</f>
        <v/>
      </c>
      <c r="K337" s="65">
        <f>IF(V337=1,SUMIFS(tx_CrAmt,tx_Type,"Bill Payment",tx_Ref,B337&amp;"",tx_Vend,D337,tx_Date,"&lt;="&amp;AsOf),"")</f>
        <v/>
      </c>
      <c r="L337" s="65">
        <f>IF(V337=1,IF(C337&gt;AsOf,0,ROUND(G337-K337,2)),"")</f>
        <v/>
      </c>
      <c r="M337" s="66">
        <f>IF(V337&lt;&gt;1,"",IF(C337&gt;AsOf,"Future",IF(L337&lt;0,"Overpaid",IF(L337=0,"Paid",IF(AsOf&gt;J337,"Overdue",IF(K337&gt;0,"Partial","Unpaid"))))))</f>
        <v/>
      </c>
      <c r="N337" s="28">
        <f>IF(AND(V337=1,N(L337)&gt;0),AsOf-C337,"")</f>
        <v/>
      </c>
      <c r="O337" s="28">
        <f>IF(N337="","",MAX(0,AsOf-J337))</f>
        <v/>
      </c>
      <c r="P337" s="66">
        <f>IF(O337="","",IF(O337=0,"Current",IF(O337&lt;=30,"1-30",IF(O337&lt;=60,"31-60",IF(O337&lt;=90,"61-90","90+")))))</f>
        <v/>
      </c>
      <c r="Q337" s="66">
        <f>IF(T337&lt;&gt;"","⛔ "&amp;T337&amp;" — not posted",IF(U337&lt;&gt;"","⚠ "&amp;U337,IF(V337=1,"✓ OK","")))</f>
        <v/>
      </c>
      <c r="R337" s="67">
        <f>IF(AND(B337="",C337="",D337="",G337="",F337=""),1,0)</f>
        <v/>
      </c>
      <c r="S337" s="68">
        <f>IF(AND(TaxOn="Yes",ISNUMBER(H337)),H337,0)</f>
        <v/>
      </c>
      <c r="T337" s="67">
        <f>IF(R337=1,"",IF(B337="","Enter a bill #",IF(D337="","Select a vendor",IF(C337="","Missing bill date",IF(NOT(ISNUMBER(C337)),"Invalid date",IF(OR(C337&lt;DATE(2000,1,1),C337&gt;DATE(2099,12,31)),"Invalid date",IF(F337="","Select an expense account",IF(ISNA(MATCH(F337,coa_Name,0)),"Unknown account: "&amp;F337,IF(NOT(ISNUMBER(G337)),"Enter an amount",IF(G337&lt;=0,"Amount must be positive",IF(S337&gt;G337,"Tax is larger than the amount","")))))))))))</f>
        <v/>
      </c>
      <c r="U337" s="67">
        <f>IF(OR(R337=1,T337&lt;&gt;""),"",IF(COUNTIFS(ap_No,B337,ap_Party,D337)&gt;1,"Duplicate bill #",IF(N(L337)&lt;0,"Overpaid by "&amp;TEXT(-L337,"#,##0.00"),IF(AND(ISNUMBER(H337),N(H337)&lt;&gt;0,S337=0),"Tax ignored (tax tracking is off)",IF(AND(ISNUMBER(StartDate),C337&lt;StartDate),"Date is before the accounting start date",IF(OR(IFERROR(INDEX(coa_Type,MATCH(F337,coa_Name,0)),"")="Revenue",IFERROR(INDEX(coa_Type,MATCH(F337,coa_Name,0)),"")="Other Income",IFERROR(INDEX(coa_Type,MATCH(F337,coa_Name,0)),"")="Equity"),"Account is not an expense or asset account",""))))))</f>
        <v/>
      </c>
      <c r="V337" s="67">
        <f>IF(AND(R337=0,T337=""),1,0)</f>
        <v/>
      </c>
      <c r="W337" s="67">
        <f>IF(V337=1,F337,"")</f>
        <v/>
      </c>
      <c r="X337" s="67">
        <f>IF(V337=1,acctAP,"")</f>
        <v/>
      </c>
      <c r="Y337" s="68">
        <f>IF(V337=1,G337-S337,0)</f>
        <v/>
      </c>
      <c r="Z337" s="68">
        <f>IF(V337=1,G337,0)</f>
        <v/>
      </c>
      <c r="AA337" s="68">
        <f>IF(V337=1,S337,0)</f>
        <v/>
      </c>
    </row>
    <row r="338">
      <c r="B338" s="62" t="n"/>
      <c r="C338" s="63" t="n"/>
      <c r="D338" s="62" t="n"/>
      <c r="E338" s="62" t="n"/>
      <c r="F338" s="62" t="n"/>
      <c r="G338" s="64" t="n"/>
      <c r="H338" s="64" t="n"/>
      <c r="I338" s="63" t="n"/>
      <c r="J338" s="29">
        <f>IF(V338=1,IF(ISNUMBER(I338),I338,C338+IF(ISNUMBER(IFERROR(INDEX(vend_Terms,MATCH(D338,vend_Name,0)),"")),INDEX(vend_Terms,MATCH(D338,vend_Name,0)),TermsDays)),"")</f>
        <v/>
      </c>
      <c r="K338" s="65">
        <f>IF(V338=1,SUMIFS(tx_CrAmt,tx_Type,"Bill Payment",tx_Ref,B338&amp;"",tx_Vend,D338,tx_Date,"&lt;="&amp;AsOf),"")</f>
        <v/>
      </c>
      <c r="L338" s="65">
        <f>IF(V338=1,IF(C338&gt;AsOf,0,ROUND(G338-K338,2)),"")</f>
        <v/>
      </c>
      <c r="M338" s="66">
        <f>IF(V338&lt;&gt;1,"",IF(C338&gt;AsOf,"Future",IF(L338&lt;0,"Overpaid",IF(L338=0,"Paid",IF(AsOf&gt;J338,"Overdue",IF(K338&gt;0,"Partial","Unpaid"))))))</f>
        <v/>
      </c>
      <c r="N338" s="28">
        <f>IF(AND(V338=1,N(L338)&gt;0),AsOf-C338,"")</f>
        <v/>
      </c>
      <c r="O338" s="28">
        <f>IF(N338="","",MAX(0,AsOf-J338))</f>
        <v/>
      </c>
      <c r="P338" s="66">
        <f>IF(O338="","",IF(O338=0,"Current",IF(O338&lt;=30,"1-30",IF(O338&lt;=60,"31-60",IF(O338&lt;=90,"61-90","90+")))))</f>
        <v/>
      </c>
      <c r="Q338" s="66">
        <f>IF(T338&lt;&gt;"","⛔ "&amp;T338&amp;" — not posted",IF(U338&lt;&gt;"","⚠ "&amp;U338,IF(V338=1,"✓ OK","")))</f>
        <v/>
      </c>
      <c r="R338" s="67">
        <f>IF(AND(B338="",C338="",D338="",G338="",F338=""),1,0)</f>
        <v/>
      </c>
      <c r="S338" s="68">
        <f>IF(AND(TaxOn="Yes",ISNUMBER(H338)),H338,0)</f>
        <v/>
      </c>
      <c r="T338" s="67">
        <f>IF(R338=1,"",IF(B338="","Enter a bill #",IF(D338="","Select a vendor",IF(C338="","Missing bill date",IF(NOT(ISNUMBER(C338)),"Invalid date",IF(OR(C338&lt;DATE(2000,1,1),C338&gt;DATE(2099,12,31)),"Invalid date",IF(F338="","Select an expense account",IF(ISNA(MATCH(F338,coa_Name,0)),"Unknown account: "&amp;F338,IF(NOT(ISNUMBER(G338)),"Enter an amount",IF(G338&lt;=0,"Amount must be positive",IF(S338&gt;G338,"Tax is larger than the amount","")))))))))))</f>
        <v/>
      </c>
      <c r="U338" s="67">
        <f>IF(OR(R338=1,T338&lt;&gt;""),"",IF(COUNTIFS(ap_No,B338,ap_Party,D338)&gt;1,"Duplicate bill #",IF(N(L338)&lt;0,"Overpaid by "&amp;TEXT(-L338,"#,##0.00"),IF(AND(ISNUMBER(H338),N(H338)&lt;&gt;0,S338=0),"Tax ignored (tax tracking is off)",IF(AND(ISNUMBER(StartDate),C338&lt;StartDate),"Date is before the accounting start date",IF(OR(IFERROR(INDEX(coa_Type,MATCH(F338,coa_Name,0)),"")="Revenue",IFERROR(INDEX(coa_Type,MATCH(F338,coa_Name,0)),"")="Other Income",IFERROR(INDEX(coa_Type,MATCH(F338,coa_Name,0)),"")="Equity"),"Account is not an expense or asset account",""))))))</f>
        <v/>
      </c>
      <c r="V338" s="67">
        <f>IF(AND(R338=0,T338=""),1,0)</f>
        <v/>
      </c>
      <c r="W338" s="67">
        <f>IF(V338=1,F338,"")</f>
        <v/>
      </c>
      <c r="X338" s="67">
        <f>IF(V338=1,acctAP,"")</f>
        <v/>
      </c>
      <c r="Y338" s="68">
        <f>IF(V338=1,G338-S338,0)</f>
        <v/>
      </c>
      <c r="Z338" s="68">
        <f>IF(V338=1,G338,0)</f>
        <v/>
      </c>
      <c r="AA338" s="68">
        <f>IF(V338=1,S338,0)</f>
        <v/>
      </c>
    </row>
    <row r="339">
      <c r="B339" s="62" t="n"/>
      <c r="C339" s="63" t="n"/>
      <c r="D339" s="62" t="n"/>
      <c r="E339" s="62" t="n"/>
      <c r="F339" s="62" t="n"/>
      <c r="G339" s="64" t="n"/>
      <c r="H339" s="64" t="n"/>
      <c r="I339" s="63" t="n"/>
      <c r="J339" s="29">
        <f>IF(V339=1,IF(ISNUMBER(I339),I339,C339+IF(ISNUMBER(IFERROR(INDEX(vend_Terms,MATCH(D339,vend_Name,0)),"")),INDEX(vend_Terms,MATCH(D339,vend_Name,0)),TermsDays)),"")</f>
        <v/>
      </c>
      <c r="K339" s="65">
        <f>IF(V339=1,SUMIFS(tx_CrAmt,tx_Type,"Bill Payment",tx_Ref,B339&amp;"",tx_Vend,D339,tx_Date,"&lt;="&amp;AsOf),"")</f>
        <v/>
      </c>
      <c r="L339" s="65">
        <f>IF(V339=1,IF(C339&gt;AsOf,0,ROUND(G339-K339,2)),"")</f>
        <v/>
      </c>
      <c r="M339" s="66">
        <f>IF(V339&lt;&gt;1,"",IF(C339&gt;AsOf,"Future",IF(L339&lt;0,"Overpaid",IF(L339=0,"Paid",IF(AsOf&gt;J339,"Overdue",IF(K339&gt;0,"Partial","Unpaid"))))))</f>
        <v/>
      </c>
      <c r="N339" s="28">
        <f>IF(AND(V339=1,N(L339)&gt;0),AsOf-C339,"")</f>
        <v/>
      </c>
      <c r="O339" s="28">
        <f>IF(N339="","",MAX(0,AsOf-J339))</f>
        <v/>
      </c>
      <c r="P339" s="66">
        <f>IF(O339="","",IF(O339=0,"Current",IF(O339&lt;=30,"1-30",IF(O339&lt;=60,"31-60",IF(O339&lt;=90,"61-90","90+")))))</f>
        <v/>
      </c>
      <c r="Q339" s="66">
        <f>IF(T339&lt;&gt;"","⛔ "&amp;T339&amp;" — not posted",IF(U339&lt;&gt;"","⚠ "&amp;U339,IF(V339=1,"✓ OK","")))</f>
        <v/>
      </c>
      <c r="R339" s="67">
        <f>IF(AND(B339="",C339="",D339="",G339="",F339=""),1,0)</f>
        <v/>
      </c>
      <c r="S339" s="68">
        <f>IF(AND(TaxOn="Yes",ISNUMBER(H339)),H339,0)</f>
        <v/>
      </c>
      <c r="T339" s="67">
        <f>IF(R339=1,"",IF(B339="","Enter a bill #",IF(D339="","Select a vendor",IF(C339="","Missing bill date",IF(NOT(ISNUMBER(C339)),"Invalid date",IF(OR(C339&lt;DATE(2000,1,1),C339&gt;DATE(2099,12,31)),"Invalid date",IF(F339="","Select an expense account",IF(ISNA(MATCH(F339,coa_Name,0)),"Unknown account: "&amp;F339,IF(NOT(ISNUMBER(G339)),"Enter an amount",IF(G339&lt;=0,"Amount must be positive",IF(S339&gt;G339,"Tax is larger than the amount","")))))))))))</f>
        <v/>
      </c>
      <c r="U339" s="67">
        <f>IF(OR(R339=1,T339&lt;&gt;""),"",IF(COUNTIFS(ap_No,B339,ap_Party,D339)&gt;1,"Duplicate bill #",IF(N(L339)&lt;0,"Overpaid by "&amp;TEXT(-L339,"#,##0.00"),IF(AND(ISNUMBER(H339),N(H339)&lt;&gt;0,S339=0),"Tax ignored (tax tracking is off)",IF(AND(ISNUMBER(StartDate),C339&lt;StartDate),"Date is before the accounting start date",IF(OR(IFERROR(INDEX(coa_Type,MATCH(F339,coa_Name,0)),"")="Revenue",IFERROR(INDEX(coa_Type,MATCH(F339,coa_Name,0)),"")="Other Income",IFERROR(INDEX(coa_Type,MATCH(F339,coa_Name,0)),"")="Equity"),"Account is not an expense or asset account",""))))))</f>
        <v/>
      </c>
      <c r="V339" s="67">
        <f>IF(AND(R339=0,T339=""),1,0)</f>
        <v/>
      </c>
      <c r="W339" s="67">
        <f>IF(V339=1,F339,"")</f>
        <v/>
      </c>
      <c r="X339" s="67">
        <f>IF(V339=1,acctAP,"")</f>
        <v/>
      </c>
      <c r="Y339" s="68">
        <f>IF(V339=1,G339-S339,0)</f>
        <v/>
      </c>
      <c r="Z339" s="68">
        <f>IF(V339=1,G339,0)</f>
        <v/>
      </c>
      <c r="AA339" s="68">
        <f>IF(V339=1,S339,0)</f>
        <v/>
      </c>
    </row>
    <row r="340">
      <c r="B340" s="62" t="n"/>
      <c r="C340" s="63" t="n"/>
      <c r="D340" s="62" t="n"/>
      <c r="E340" s="62" t="n"/>
      <c r="F340" s="62" t="n"/>
      <c r="G340" s="64" t="n"/>
      <c r="H340" s="64" t="n"/>
      <c r="I340" s="63" t="n"/>
      <c r="J340" s="29">
        <f>IF(V340=1,IF(ISNUMBER(I340),I340,C340+IF(ISNUMBER(IFERROR(INDEX(vend_Terms,MATCH(D340,vend_Name,0)),"")),INDEX(vend_Terms,MATCH(D340,vend_Name,0)),TermsDays)),"")</f>
        <v/>
      </c>
      <c r="K340" s="65">
        <f>IF(V340=1,SUMIFS(tx_CrAmt,tx_Type,"Bill Payment",tx_Ref,B340&amp;"",tx_Vend,D340,tx_Date,"&lt;="&amp;AsOf),"")</f>
        <v/>
      </c>
      <c r="L340" s="65">
        <f>IF(V340=1,IF(C340&gt;AsOf,0,ROUND(G340-K340,2)),"")</f>
        <v/>
      </c>
      <c r="M340" s="66">
        <f>IF(V340&lt;&gt;1,"",IF(C340&gt;AsOf,"Future",IF(L340&lt;0,"Overpaid",IF(L340=0,"Paid",IF(AsOf&gt;J340,"Overdue",IF(K340&gt;0,"Partial","Unpaid"))))))</f>
        <v/>
      </c>
      <c r="N340" s="28">
        <f>IF(AND(V340=1,N(L340)&gt;0),AsOf-C340,"")</f>
        <v/>
      </c>
      <c r="O340" s="28">
        <f>IF(N340="","",MAX(0,AsOf-J340))</f>
        <v/>
      </c>
      <c r="P340" s="66">
        <f>IF(O340="","",IF(O340=0,"Current",IF(O340&lt;=30,"1-30",IF(O340&lt;=60,"31-60",IF(O340&lt;=90,"61-90","90+")))))</f>
        <v/>
      </c>
      <c r="Q340" s="66">
        <f>IF(T340&lt;&gt;"","⛔ "&amp;T340&amp;" — not posted",IF(U340&lt;&gt;"","⚠ "&amp;U340,IF(V340=1,"✓ OK","")))</f>
        <v/>
      </c>
      <c r="R340" s="67">
        <f>IF(AND(B340="",C340="",D340="",G340="",F340=""),1,0)</f>
        <v/>
      </c>
      <c r="S340" s="68">
        <f>IF(AND(TaxOn="Yes",ISNUMBER(H340)),H340,0)</f>
        <v/>
      </c>
      <c r="T340" s="67">
        <f>IF(R340=1,"",IF(B340="","Enter a bill #",IF(D340="","Select a vendor",IF(C340="","Missing bill date",IF(NOT(ISNUMBER(C340)),"Invalid date",IF(OR(C340&lt;DATE(2000,1,1),C340&gt;DATE(2099,12,31)),"Invalid date",IF(F340="","Select an expense account",IF(ISNA(MATCH(F340,coa_Name,0)),"Unknown account: "&amp;F340,IF(NOT(ISNUMBER(G340)),"Enter an amount",IF(G340&lt;=0,"Amount must be positive",IF(S340&gt;G340,"Tax is larger than the amount","")))))))))))</f>
        <v/>
      </c>
      <c r="U340" s="67">
        <f>IF(OR(R340=1,T340&lt;&gt;""),"",IF(COUNTIFS(ap_No,B340,ap_Party,D340)&gt;1,"Duplicate bill #",IF(N(L340)&lt;0,"Overpaid by "&amp;TEXT(-L340,"#,##0.00"),IF(AND(ISNUMBER(H340),N(H340)&lt;&gt;0,S340=0),"Tax ignored (tax tracking is off)",IF(AND(ISNUMBER(StartDate),C340&lt;StartDate),"Date is before the accounting start date",IF(OR(IFERROR(INDEX(coa_Type,MATCH(F340,coa_Name,0)),"")="Revenue",IFERROR(INDEX(coa_Type,MATCH(F340,coa_Name,0)),"")="Other Income",IFERROR(INDEX(coa_Type,MATCH(F340,coa_Name,0)),"")="Equity"),"Account is not an expense or asset account",""))))))</f>
        <v/>
      </c>
      <c r="V340" s="67">
        <f>IF(AND(R340=0,T340=""),1,0)</f>
        <v/>
      </c>
      <c r="W340" s="67">
        <f>IF(V340=1,F340,"")</f>
        <v/>
      </c>
      <c r="X340" s="67">
        <f>IF(V340=1,acctAP,"")</f>
        <v/>
      </c>
      <c r="Y340" s="68">
        <f>IF(V340=1,G340-S340,0)</f>
        <v/>
      </c>
      <c r="Z340" s="68">
        <f>IF(V340=1,G340,0)</f>
        <v/>
      </c>
      <c r="AA340" s="68">
        <f>IF(V340=1,S340,0)</f>
        <v/>
      </c>
    </row>
    <row r="341">
      <c r="B341" s="62" t="n"/>
      <c r="C341" s="63" t="n"/>
      <c r="D341" s="62" t="n"/>
      <c r="E341" s="62" t="n"/>
      <c r="F341" s="62" t="n"/>
      <c r="G341" s="64" t="n"/>
      <c r="H341" s="64" t="n"/>
      <c r="I341" s="63" t="n"/>
      <c r="J341" s="29">
        <f>IF(V341=1,IF(ISNUMBER(I341),I341,C341+IF(ISNUMBER(IFERROR(INDEX(vend_Terms,MATCH(D341,vend_Name,0)),"")),INDEX(vend_Terms,MATCH(D341,vend_Name,0)),TermsDays)),"")</f>
        <v/>
      </c>
      <c r="K341" s="65">
        <f>IF(V341=1,SUMIFS(tx_CrAmt,tx_Type,"Bill Payment",tx_Ref,B341&amp;"",tx_Vend,D341,tx_Date,"&lt;="&amp;AsOf),"")</f>
        <v/>
      </c>
      <c r="L341" s="65">
        <f>IF(V341=1,IF(C341&gt;AsOf,0,ROUND(G341-K341,2)),"")</f>
        <v/>
      </c>
      <c r="M341" s="66">
        <f>IF(V341&lt;&gt;1,"",IF(C341&gt;AsOf,"Future",IF(L341&lt;0,"Overpaid",IF(L341=0,"Paid",IF(AsOf&gt;J341,"Overdue",IF(K341&gt;0,"Partial","Unpaid"))))))</f>
        <v/>
      </c>
      <c r="N341" s="28">
        <f>IF(AND(V341=1,N(L341)&gt;0),AsOf-C341,"")</f>
        <v/>
      </c>
      <c r="O341" s="28">
        <f>IF(N341="","",MAX(0,AsOf-J341))</f>
        <v/>
      </c>
      <c r="P341" s="66">
        <f>IF(O341="","",IF(O341=0,"Current",IF(O341&lt;=30,"1-30",IF(O341&lt;=60,"31-60",IF(O341&lt;=90,"61-90","90+")))))</f>
        <v/>
      </c>
      <c r="Q341" s="66">
        <f>IF(T341&lt;&gt;"","⛔ "&amp;T341&amp;" — not posted",IF(U341&lt;&gt;"","⚠ "&amp;U341,IF(V341=1,"✓ OK","")))</f>
        <v/>
      </c>
      <c r="R341" s="67">
        <f>IF(AND(B341="",C341="",D341="",G341="",F341=""),1,0)</f>
        <v/>
      </c>
      <c r="S341" s="68">
        <f>IF(AND(TaxOn="Yes",ISNUMBER(H341)),H341,0)</f>
        <v/>
      </c>
      <c r="T341" s="67">
        <f>IF(R341=1,"",IF(B341="","Enter a bill #",IF(D341="","Select a vendor",IF(C341="","Missing bill date",IF(NOT(ISNUMBER(C341)),"Invalid date",IF(OR(C341&lt;DATE(2000,1,1),C341&gt;DATE(2099,12,31)),"Invalid date",IF(F341="","Select an expense account",IF(ISNA(MATCH(F341,coa_Name,0)),"Unknown account: "&amp;F341,IF(NOT(ISNUMBER(G341)),"Enter an amount",IF(G341&lt;=0,"Amount must be positive",IF(S341&gt;G341,"Tax is larger than the amount","")))))))))))</f>
        <v/>
      </c>
      <c r="U341" s="67">
        <f>IF(OR(R341=1,T341&lt;&gt;""),"",IF(COUNTIFS(ap_No,B341,ap_Party,D341)&gt;1,"Duplicate bill #",IF(N(L341)&lt;0,"Overpaid by "&amp;TEXT(-L341,"#,##0.00"),IF(AND(ISNUMBER(H341),N(H341)&lt;&gt;0,S341=0),"Tax ignored (tax tracking is off)",IF(AND(ISNUMBER(StartDate),C341&lt;StartDate),"Date is before the accounting start date",IF(OR(IFERROR(INDEX(coa_Type,MATCH(F341,coa_Name,0)),"")="Revenue",IFERROR(INDEX(coa_Type,MATCH(F341,coa_Name,0)),"")="Other Income",IFERROR(INDEX(coa_Type,MATCH(F341,coa_Name,0)),"")="Equity"),"Account is not an expense or asset account",""))))))</f>
        <v/>
      </c>
      <c r="V341" s="67">
        <f>IF(AND(R341=0,T341=""),1,0)</f>
        <v/>
      </c>
      <c r="W341" s="67">
        <f>IF(V341=1,F341,"")</f>
        <v/>
      </c>
      <c r="X341" s="67">
        <f>IF(V341=1,acctAP,"")</f>
        <v/>
      </c>
      <c r="Y341" s="68">
        <f>IF(V341=1,G341-S341,0)</f>
        <v/>
      </c>
      <c r="Z341" s="68">
        <f>IF(V341=1,G341,0)</f>
        <v/>
      </c>
      <c r="AA341" s="68">
        <f>IF(V341=1,S341,0)</f>
        <v/>
      </c>
    </row>
    <row r="342">
      <c r="B342" s="62" t="n"/>
      <c r="C342" s="63" t="n"/>
      <c r="D342" s="62" t="n"/>
      <c r="E342" s="62" t="n"/>
      <c r="F342" s="62" t="n"/>
      <c r="G342" s="64" t="n"/>
      <c r="H342" s="64" t="n"/>
      <c r="I342" s="63" t="n"/>
      <c r="J342" s="29">
        <f>IF(V342=1,IF(ISNUMBER(I342),I342,C342+IF(ISNUMBER(IFERROR(INDEX(vend_Terms,MATCH(D342,vend_Name,0)),"")),INDEX(vend_Terms,MATCH(D342,vend_Name,0)),TermsDays)),"")</f>
        <v/>
      </c>
      <c r="K342" s="65">
        <f>IF(V342=1,SUMIFS(tx_CrAmt,tx_Type,"Bill Payment",tx_Ref,B342&amp;"",tx_Vend,D342,tx_Date,"&lt;="&amp;AsOf),"")</f>
        <v/>
      </c>
      <c r="L342" s="65">
        <f>IF(V342=1,IF(C342&gt;AsOf,0,ROUND(G342-K342,2)),"")</f>
        <v/>
      </c>
      <c r="M342" s="66">
        <f>IF(V342&lt;&gt;1,"",IF(C342&gt;AsOf,"Future",IF(L342&lt;0,"Overpaid",IF(L342=0,"Paid",IF(AsOf&gt;J342,"Overdue",IF(K342&gt;0,"Partial","Unpaid"))))))</f>
        <v/>
      </c>
      <c r="N342" s="28">
        <f>IF(AND(V342=1,N(L342)&gt;0),AsOf-C342,"")</f>
        <v/>
      </c>
      <c r="O342" s="28">
        <f>IF(N342="","",MAX(0,AsOf-J342))</f>
        <v/>
      </c>
      <c r="P342" s="66">
        <f>IF(O342="","",IF(O342=0,"Current",IF(O342&lt;=30,"1-30",IF(O342&lt;=60,"31-60",IF(O342&lt;=90,"61-90","90+")))))</f>
        <v/>
      </c>
      <c r="Q342" s="66">
        <f>IF(T342&lt;&gt;"","⛔ "&amp;T342&amp;" — not posted",IF(U342&lt;&gt;"","⚠ "&amp;U342,IF(V342=1,"✓ OK","")))</f>
        <v/>
      </c>
      <c r="R342" s="67">
        <f>IF(AND(B342="",C342="",D342="",G342="",F342=""),1,0)</f>
        <v/>
      </c>
      <c r="S342" s="68">
        <f>IF(AND(TaxOn="Yes",ISNUMBER(H342)),H342,0)</f>
        <v/>
      </c>
      <c r="T342" s="67">
        <f>IF(R342=1,"",IF(B342="","Enter a bill #",IF(D342="","Select a vendor",IF(C342="","Missing bill date",IF(NOT(ISNUMBER(C342)),"Invalid date",IF(OR(C342&lt;DATE(2000,1,1),C342&gt;DATE(2099,12,31)),"Invalid date",IF(F342="","Select an expense account",IF(ISNA(MATCH(F342,coa_Name,0)),"Unknown account: "&amp;F342,IF(NOT(ISNUMBER(G342)),"Enter an amount",IF(G342&lt;=0,"Amount must be positive",IF(S342&gt;G342,"Tax is larger than the amount","")))))))))))</f>
        <v/>
      </c>
      <c r="U342" s="67">
        <f>IF(OR(R342=1,T342&lt;&gt;""),"",IF(COUNTIFS(ap_No,B342,ap_Party,D342)&gt;1,"Duplicate bill #",IF(N(L342)&lt;0,"Overpaid by "&amp;TEXT(-L342,"#,##0.00"),IF(AND(ISNUMBER(H342),N(H342)&lt;&gt;0,S342=0),"Tax ignored (tax tracking is off)",IF(AND(ISNUMBER(StartDate),C342&lt;StartDate),"Date is before the accounting start date",IF(OR(IFERROR(INDEX(coa_Type,MATCH(F342,coa_Name,0)),"")="Revenue",IFERROR(INDEX(coa_Type,MATCH(F342,coa_Name,0)),"")="Other Income",IFERROR(INDEX(coa_Type,MATCH(F342,coa_Name,0)),"")="Equity"),"Account is not an expense or asset account",""))))))</f>
        <v/>
      </c>
      <c r="V342" s="67">
        <f>IF(AND(R342=0,T342=""),1,0)</f>
        <v/>
      </c>
      <c r="W342" s="67">
        <f>IF(V342=1,F342,"")</f>
        <v/>
      </c>
      <c r="X342" s="67">
        <f>IF(V342=1,acctAP,"")</f>
        <v/>
      </c>
      <c r="Y342" s="68">
        <f>IF(V342=1,G342-S342,0)</f>
        <v/>
      </c>
      <c r="Z342" s="68">
        <f>IF(V342=1,G342,0)</f>
        <v/>
      </c>
      <c r="AA342" s="68">
        <f>IF(V342=1,S342,0)</f>
        <v/>
      </c>
    </row>
    <row r="343">
      <c r="B343" s="62" t="n"/>
      <c r="C343" s="63" t="n"/>
      <c r="D343" s="62" t="n"/>
      <c r="E343" s="62" t="n"/>
      <c r="F343" s="62" t="n"/>
      <c r="G343" s="64" t="n"/>
      <c r="H343" s="64" t="n"/>
      <c r="I343" s="63" t="n"/>
      <c r="J343" s="29">
        <f>IF(V343=1,IF(ISNUMBER(I343),I343,C343+IF(ISNUMBER(IFERROR(INDEX(vend_Terms,MATCH(D343,vend_Name,0)),"")),INDEX(vend_Terms,MATCH(D343,vend_Name,0)),TermsDays)),"")</f>
        <v/>
      </c>
      <c r="K343" s="65">
        <f>IF(V343=1,SUMIFS(tx_CrAmt,tx_Type,"Bill Payment",tx_Ref,B343&amp;"",tx_Vend,D343,tx_Date,"&lt;="&amp;AsOf),"")</f>
        <v/>
      </c>
      <c r="L343" s="65">
        <f>IF(V343=1,IF(C343&gt;AsOf,0,ROUND(G343-K343,2)),"")</f>
        <v/>
      </c>
      <c r="M343" s="66">
        <f>IF(V343&lt;&gt;1,"",IF(C343&gt;AsOf,"Future",IF(L343&lt;0,"Overpaid",IF(L343=0,"Paid",IF(AsOf&gt;J343,"Overdue",IF(K343&gt;0,"Partial","Unpaid"))))))</f>
        <v/>
      </c>
      <c r="N343" s="28">
        <f>IF(AND(V343=1,N(L343)&gt;0),AsOf-C343,"")</f>
        <v/>
      </c>
      <c r="O343" s="28">
        <f>IF(N343="","",MAX(0,AsOf-J343))</f>
        <v/>
      </c>
      <c r="P343" s="66">
        <f>IF(O343="","",IF(O343=0,"Current",IF(O343&lt;=30,"1-30",IF(O343&lt;=60,"31-60",IF(O343&lt;=90,"61-90","90+")))))</f>
        <v/>
      </c>
      <c r="Q343" s="66">
        <f>IF(T343&lt;&gt;"","⛔ "&amp;T343&amp;" — not posted",IF(U343&lt;&gt;"","⚠ "&amp;U343,IF(V343=1,"✓ OK","")))</f>
        <v/>
      </c>
      <c r="R343" s="67">
        <f>IF(AND(B343="",C343="",D343="",G343="",F343=""),1,0)</f>
        <v/>
      </c>
      <c r="S343" s="68">
        <f>IF(AND(TaxOn="Yes",ISNUMBER(H343)),H343,0)</f>
        <v/>
      </c>
      <c r="T343" s="67">
        <f>IF(R343=1,"",IF(B343="","Enter a bill #",IF(D343="","Select a vendor",IF(C343="","Missing bill date",IF(NOT(ISNUMBER(C343)),"Invalid date",IF(OR(C343&lt;DATE(2000,1,1),C343&gt;DATE(2099,12,31)),"Invalid date",IF(F343="","Select an expense account",IF(ISNA(MATCH(F343,coa_Name,0)),"Unknown account: "&amp;F343,IF(NOT(ISNUMBER(G343)),"Enter an amount",IF(G343&lt;=0,"Amount must be positive",IF(S343&gt;G343,"Tax is larger than the amount","")))))))))))</f>
        <v/>
      </c>
      <c r="U343" s="67">
        <f>IF(OR(R343=1,T343&lt;&gt;""),"",IF(COUNTIFS(ap_No,B343,ap_Party,D343)&gt;1,"Duplicate bill #",IF(N(L343)&lt;0,"Overpaid by "&amp;TEXT(-L343,"#,##0.00"),IF(AND(ISNUMBER(H343),N(H343)&lt;&gt;0,S343=0),"Tax ignored (tax tracking is off)",IF(AND(ISNUMBER(StartDate),C343&lt;StartDate),"Date is before the accounting start date",IF(OR(IFERROR(INDEX(coa_Type,MATCH(F343,coa_Name,0)),"")="Revenue",IFERROR(INDEX(coa_Type,MATCH(F343,coa_Name,0)),"")="Other Income",IFERROR(INDEX(coa_Type,MATCH(F343,coa_Name,0)),"")="Equity"),"Account is not an expense or asset account",""))))))</f>
        <v/>
      </c>
      <c r="V343" s="67">
        <f>IF(AND(R343=0,T343=""),1,0)</f>
        <v/>
      </c>
      <c r="W343" s="67">
        <f>IF(V343=1,F343,"")</f>
        <v/>
      </c>
      <c r="X343" s="67">
        <f>IF(V343=1,acctAP,"")</f>
        <v/>
      </c>
      <c r="Y343" s="68">
        <f>IF(V343=1,G343-S343,0)</f>
        <v/>
      </c>
      <c r="Z343" s="68">
        <f>IF(V343=1,G343,0)</f>
        <v/>
      </c>
      <c r="AA343" s="68">
        <f>IF(V343=1,S343,0)</f>
        <v/>
      </c>
    </row>
    <row r="344">
      <c r="B344" s="62" t="n"/>
      <c r="C344" s="63" t="n"/>
      <c r="D344" s="62" t="n"/>
      <c r="E344" s="62" t="n"/>
      <c r="F344" s="62" t="n"/>
      <c r="G344" s="64" t="n"/>
      <c r="H344" s="64" t="n"/>
      <c r="I344" s="63" t="n"/>
      <c r="J344" s="29">
        <f>IF(V344=1,IF(ISNUMBER(I344),I344,C344+IF(ISNUMBER(IFERROR(INDEX(vend_Terms,MATCH(D344,vend_Name,0)),"")),INDEX(vend_Terms,MATCH(D344,vend_Name,0)),TermsDays)),"")</f>
        <v/>
      </c>
      <c r="K344" s="65">
        <f>IF(V344=1,SUMIFS(tx_CrAmt,tx_Type,"Bill Payment",tx_Ref,B344&amp;"",tx_Vend,D344,tx_Date,"&lt;="&amp;AsOf),"")</f>
        <v/>
      </c>
      <c r="L344" s="65">
        <f>IF(V344=1,IF(C344&gt;AsOf,0,ROUND(G344-K344,2)),"")</f>
        <v/>
      </c>
      <c r="M344" s="66">
        <f>IF(V344&lt;&gt;1,"",IF(C344&gt;AsOf,"Future",IF(L344&lt;0,"Overpaid",IF(L344=0,"Paid",IF(AsOf&gt;J344,"Overdue",IF(K344&gt;0,"Partial","Unpaid"))))))</f>
        <v/>
      </c>
      <c r="N344" s="28">
        <f>IF(AND(V344=1,N(L344)&gt;0),AsOf-C344,"")</f>
        <v/>
      </c>
      <c r="O344" s="28">
        <f>IF(N344="","",MAX(0,AsOf-J344))</f>
        <v/>
      </c>
      <c r="P344" s="66">
        <f>IF(O344="","",IF(O344=0,"Current",IF(O344&lt;=30,"1-30",IF(O344&lt;=60,"31-60",IF(O344&lt;=90,"61-90","90+")))))</f>
        <v/>
      </c>
      <c r="Q344" s="66">
        <f>IF(T344&lt;&gt;"","⛔ "&amp;T344&amp;" — not posted",IF(U344&lt;&gt;"","⚠ "&amp;U344,IF(V344=1,"✓ OK","")))</f>
        <v/>
      </c>
      <c r="R344" s="67">
        <f>IF(AND(B344="",C344="",D344="",G344="",F344=""),1,0)</f>
        <v/>
      </c>
      <c r="S344" s="68">
        <f>IF(AND(TaxOn="Yes",ISNUMBER(H344)),H344,0)</f>
        <v/>
      </c>
      <c r="T344" s="67">
        <f>IF(R344=1,"",IF(B344="","Enter a bill #",IF(D344="","Select a vendor",IF(C344="","Missing bill date",IF(NOT(ISNUMBER(C344)),"Invalid date",IF(OR(C344&lt;DATE(2000,1,1),C344&gt;DATE(2099,12,31)),"Invalid date",IF(F344="","Select an expense account",IF(ISNA(MATCH(F344,coa_Name,0)),"Unknown account: "&amp;F344,IF(NOT(ISNUMBER(G344)),"Enter an amount",IF(G344&lt;=0,"Amount must be positive",IF(S344&gt;G344,"Tax is larger than the amount","")))))))))))</f>
        <v/>
      </c>
      <c r="U344" s="67">
        <f>IF(OR(R344=1,T344&lt;&gt;""),"",IF(COUNTIFS(ap_No,B344,ap_Party,D344)&gt;1,"Duplicate bill #",IF(N(L344)&lt;0,"Overpaid by "&amp;TEXT(-L344,"#,##0.00"),IF(AND(ISNUMBER(H344),N(H344)&lt;&gt;0,S344=0),"Tax ignored (tax tracking is off)",IF(AND(ISNUMBER(StartDate),C344&lt;StartDate),"Date is before the accounting start date",IF(OR(IFERROR(INDEX(coa_Type,MATCH(F344,coa_Name,0)),"")="Revenue",IFERROR(INDEX(coa_Type,MATCH(F344,coa_Name,0)),"")="Other Income",IFERROR(INDEX(coa_Type,MATCH(F344,coa_Name,0)),"")="Equity"),"Account is not an expense or asset account",""))))))</f>
        <v/>
      </c>
      <c r="V344" s="67">
        <f>IF(AND(R344=0,T344=""),1,0)</f>
        <v/>
      </c>
      <c r="W344" s="67">
        <f>IF(V344=1,F344,"")</f>
        <v/>
      </c>
      <c r="X344" s="67">
        <f>IF(V344=1,acctAP,"")</f>
        <v/>
      </c>
      <c r="Y344" s="68">
        <f>IF(V344=1,G344-S344,0)</f>
        <v/>
      </c>
      <c r="Z344" s="68">
        <f>IF(V344=1,G344,0)</f>
        <v/>
      </c>
      <c r="AA344" s="68">
        <f>IF(V344=1,S344,0)</f>
        <v/>
      </c>
    </row>
    <row r="345">
      <c r="B345" s="62" t="n"/>
      <c r="C345" s="63" t="n"/>
      <c r="D345" s="62" t="n"/>
      <c r="E345" s="62" t="n"/>
      <c r="F345" s="62" t="n"/>
      <c r="G345" s="64" t="n"/>
      <c r="H345" s="64" t="n"/>
      <c r="I345" s="63" t="n"/>
      <c r="J345" s="29">
        <f>IF(V345=1,IF(ISNUMBER(I345),I345,C345+IF(ISNUMBER(IFERROR(INDEX(vend_Terms,MATCH(D345,vend_Name,0)),"")),INDEX(vend_Terms,MATCH(D345,vend_Name,0)),TermsDays)),"")</f>
        <v/>
      </c>
      <c r="K345" s="65">
        <f>IF(V345=1,SUMIFS(tx_CrAmt,tx_Type,"Bill Payment",tx_Ref,B345&amp;"",tx_Vend,D345,tx_Date,"&lt;="&amp;AsOf),"")</f>
        <v/>
      </c>
      <c r="L345" s="65">
        <f>IF(V345=1,IF(C345&gt;AsOf,0,ROUND(G345-K345,2)),"")</f>
        <v/>
      </c>
      <c r="M345" s="66">
        <f>IF(V345&lt;&gt;1,"",IF(C345&gt;AsOf,"Future",IF(L345&lt;0,"Overpaid",IF(L345=0,"Paid",IF(AsOf&gt;J345,"Overdue",IF(K345&gt;0,"Partial","Unpaid"))))))</f>
        <v/>
      </c>
      <c r="N345" s="28">
        <f>IF(AND(V345=1,N(L345)&gt;0),AsOf-C345,"")</f>
        <v/>
      </c>
      <c r="O345" s="28">
        <f>IF(N345="","",MAX(0,AsOf-J345))</f>
        <v/>
      </c>
      <c r="P345" s="66">
        <f>IF(O345="","",IF(O345=0,"Current",IF(O345&lt;=30,"1-30",IF(O345&lt;=60,"31-60",IF(O345&lt;=90,"61-90","90+")))))</f>
        <v/>
      </c>
      <c r="Q345" s="66">
        <f>IF(T345&lt;&gt;"","⛔ "&amp;T345&amp;" — not posted",IF(U345&lt;&gt;"","⚠ "&amp;U345,IF(V345=1,"✓ OK","")))</f>
        <v/>
      </c>
      <c r="R345" s="67">
        <f>IF(AND(B345="",C345="",D345="",G345="",F345=""),1,0)</f>
        <v/>
      </c>
      <c r="S345" s="68">
        <f>IF(AND(TaxOn="Yes",ISNUMBER(H345)),H345,0)</f>
        <v/>
      </c>
      <c r="T345" s="67">
        <f>IF(R345=1,"",IF(B345="","Enter a bill #",IF(D345="","Select a vendor",IF(C345="","Missing bill date",IF(NOT(ISNUMBER(C345)),"Invalid date",IF(OR(C345&lt;DATE(2000,1,1),C345&gt;DATE(2099,12,31)),"Invalid date",IF(F345="","Select an expense account",IF(ISNA(MATCH(F345,coa_Name,0)),"Unknown account: "&amp;F345,IF(NOT(ISNUMBER(G345)),"Enter an amount",IF(G345&lt;=0,"Amount must be positive",IF(S345&gt;G345,"Tax is larger than the amount","")))))))))))</f>
        <v/>
      </c>
      <c r="U345" s="67">
        <f>IF(OR(R345=1,T345&lt;&gt;""),"",IF(COUNTIFS(ap_No,B345,ap_Party,D345)&gt;1,"Duplicate bill #",IF(N(L345)&lt;0,"Overpaid by "&amp;TEXT(-L345,"#,##0.00"),IF(AND(ISNUMBER(H345),N(H345)&lt;&gt;0,S345=0),"Tax ignored (tax tracking is off)",IF(AND(ISNUMBER(StartDate),C345&lt;StartDate),"Date is before the accounting start date",IF(OR(IFERROR(INDEX(coa_Type,MATCH(F345,coa_Name,0)),"")="Revenue",IFERROR(INDEX(coa_Type,MATCH(F345,coa_Name,0)),"")="Other Income",IFERROR(INDEX(coa_Type,MATCH(F345,coa_Name,0)),"")="Equity"),"Account is not an expense or asset account",""))))))</f>
        <v/>
      </c>
      <c r="V345" s="67">
        <f>IF(AND(R345=0,T345=""),1,0)</f>
        <v/>
      </c>
      <c r="W345" s="67">
        <f>IF(V345=1,F345,"")</f>
        <v/>
      </c>
      <c r="X345" s="67">
        <f>IF(V345=1,acctAP,"")</f>
        <v/>
      </c>
      <c r="Y345" s="68">
        <f>IF(V345=1,G345-S345,0)</f>
        <v/>
      </c>
      <c r="Z345" s="68">
        <f>IF(V345=1,G345,0)</f>
        <v/>
      </c>
      <c r="AA345" s="68">
        <f>IF(V345=1,S345,0)</f>
        <v/>
      </c>
    </row>
    <row r="346">
      <c r="B346" s="62" t="n"/>
      <c r="C346" s="63" t="n"/>
      <c r="D346" s="62" t="n"/>
      <c r="E346" s="62" t="n"/>
      <c r="F346" s="62" t="n"/>
      <c r="G346" s="64" t="n"/>
      <c r="H346" s="64" t="n"/>
      <c r="I346" s="63" t="n"/>
      <c r="J346" s="29">
        <f>IF(V346=1,IF(ISNUMBER(I346),I346,C346+IF(ISNUMBER(IFERROR(INDEX(vend_Terms,MATCH(D346,vend_Name,0)),"")),INDEX(vend_Terms,MATCH(D346,vend_Name,0)),TermsDays)),"")</f>
        <v/>
      </c>
      <c r="K346" s="65">
        <f>IF(V346=1,SUMIFS(tx_CrAmt,tx_Type,"Bill Payment",tx_Ref,B346&amp;"",tx_Vend,D346,tx_Date,"&lt;="&amp;AsOf),"")</f>
        <v/>
      </c>
      <c r="L346" s="65">
        <f>IF(V346=1,IF(C346&gt;AsOf,0,ROUND(G346-K346,2)),"")</f>
        <v/>
      </c>
      <c r="M346" s="66">
        <f>IF(V346&lt;&gt;1,"",IF(C346&gt;AsOf,"Future",IF(L346&lt;0,"Overpaid",IF(L346=0,"Paid",IF(AsOf&gt;J346,"Overdue",IF(K346&gt;0,"Partial","Unpaid"))))))</f>
        <v/>
      </c>
      <c r="N346" s="28">
        <f>IF(AND(V346=1,N(L346)&gt;0),AsOf-C346,"")</f>
        <v/>
      </c>
      <c r="O346" s="28">
        <f>IF(N346="","",MAX(0,AsOf-J346))</f>
        <v/>
      </c>
      <c r="P346" s="66">
        <f>IF(O346="","",IF(O346=0,"Current",IF(O346&lt;=30,"1-30",IF(O346&lt;=60,"31-60",IF(O346&lt;=90,"61-90","90+")))))</f>
        <v/>
      </c>
      <c r="Q346" s="66">
        <f>IF(T346&lt;&gt;"","⛔ "&amp;T346&amp;" — not posted",IF(U346&lt;&gt;"","⚠ "&amp;U346,IF(V346=1,"✓ OK","")))</f>
        <v/>
      </c>
      <c r="R346" s="67">
        <f>IF(AND(B346="",C346="",D346="",G346="",F346=""),1,0)</f>
        <v/>
      </c>
      <c r="S346" s="68">
        <f>IF(AND(TaxOn="Yes",ISNUMBER(H346)),H346,0)</f>
        <v/>
      </c>
      <c r="T346" s="67">
        <f>IF(R346=1,"",IF(B346="","Enter a bill #",IF(D346="","Select a vendor",IF(C346="","Missing bill date",IF(NOT(ISNUMBER(C346)),"Invalid date",IF(OR(C346&lt;DATE(2000,1,1),C346&gt;DATE(2099,12,31)),"Invalid date",IF(F346="","Select an expense account",IF(ISNA(MATCH(F346,coa_Name,0)),"Unknown account: "&amp;F346,IF(NOT(ISNUMBER(G346)),"Enter an amount",IF(G346&lt;=0,"Amount must be positive",IF(S346&gt;G346,"Tax is larger than the amount","")))))))))))</f>
        <v/>
      </c>
      <c r="U346" s="67">
        <f>IF(OR(R346=1,T346&lt;&gt;""),"",IF(COUNTIFS(ap_No,B346,ap_Party,D346)&gt;1,"Duplicate bill #",IF(N(L346)&lt;0,"Overpaid by "&amp;TEXT(-L346,"#,##0.00"),IF(AND(ISNUMBER(H346),N(H346)&lt;&gt;0,S346=0),"Tax ignored (tax tracking is off)",IF(AND(ISNUMBER(StartDate),C346&lt;StartDate),"Date is before the accounting start date",IF(OR(IFERROR(INDEX(coa_Type,MATCH(F346,coa_Name,0)),"")="Revenue",IFERROR(INDEX(coa_Type,MATCH(F346,coa_Name,0)),"")="Other Income",IFERROR(INDEX(coa_Type,MATCH(F346,coa_Name,0)),"")="Equity"),"Account is not an expense or asset account",""))))))</f>
        <v/>
      </c>
      <c r="V346" s="67">
        <f>IF(AND(R346=0,T346=""),1,0)</f>
        <v/>
      </c>
      <c r="W346" s="67">
        <f>IF(V346=1,F346,"")</f>
        <v/>
      </c>
      <c r="X346" s="67">
        <f>IF(V346=1,acctAP,"")</f>
        <v/>
      </c>
      <c r="Y346" s="68">
        <f>IF(V346=1,G346-S346,0)</f>
        <v/>
      </c>
      <c r="Z346" s="68">
        <f>IF(V346=1,G346,0)</f>
        <v/>
      </c>
      <c r="AA346" s="68">
        <f>IF(V346=1,S346,0)</f>
        <v/>
      </c>
    </row>
    <row r="347">
      <c r="B347" s="62" t="n"/>
      <c r="C347" s="63" t="n"/>
      <c r="D347" s="62" t="n"/>
      <c r="E347" s="62" t="n"/>
      <c r="F347" s="62" t="n"/>
      <c r="G347" s="64" t="n"/>
      <c r="H347" s="64" t="n"/>
      <c r="I347" s="63" t="n"/>
      <c r="J347" s="29">
        <f>IF(V347=1,IF(ISNUMBER(I347),I347,C347+IF(ISNUMBER(IFERROR(INDEX(vend_Terms,MATCH(D347,vend_Name,0)),"")),INDEX(vend_Terms,MATCH(D347,vend_Name,0)),TermsDays)),"")</f>
        <v/>
      </c>
      <c r="K347" s="65">
        <f>IF(V347=1,SUMIFS(tx_CrAmt,tx_Type,"Bill Payment",tx_Ref,B347&amp;"",tx_Vend,D347,tx_Date,"&lt;="&amp;AsOf),"")</f>
        <v/>
      </c>
      <c r="L347" s="65">
        <f>IF(V347=1,IF(C347&gt;AsOf,0,ROUND(G347-K347,2)),"")</f>
        <v/>
      </c>
      <c r="M347" s="66">
        <f>IF(V347&lt;&gt;1,"",IF(C347&gt;AsOf,"Future",IF(L347&lt;0,"Overpaid",IF(L347=0,"Paid",IF(AsOf&gt;J347,"Overdue",IF(K347&gt;0,"Partial","Unpaid"))))))</f>
        <v/>
      </c>
      <c r="N347" s="28">
        <f>IF(AND(V347=1,N(L347)&gt;0),AsOf-C347,"")</f>
        <v/>
      </c>
      <c r="O347" s="28">
        <f>IF(N347="","",MAX(0,AsOf-J347))</f>
        <v/>
      </c>
      <c r="P347" s="66">
        <f>IF(O347="","",IF(O347=0,"Current",IF(O347&lt;=30,"1-30",IF(O347&lt;=60,"31-60",IF(O347&lt;=90,"61-90","90+")))))</f>
        <v/>
      </c>
      <c r="Q347" s="66">
        <f>IF(T347&lt;&gt;"","⛔ "&amp;T347&amp;" — not posted",IF(U347&lt;&gt;"","⚠ "&amp;U347,IF(V347=1,"✓ OK","")))</f>
        <v/>
      </c>
      <c r="R347" s="67">
        <f>IF(AND(B347="",C347="",D347="",G347="",F347=""),1,0)</f>
        <v/>
      </c>
      <c r="S347" s="68">
        <f>IF(AND(TaxOn="Yes",ISNUMBER(H347)),H347,0)</f>
        <v/>
      </c>
      <c r="T347" s="67">
        <f>IF(R347=1,"",IF(B347="","Enter a bill #",IF(D347="","Select a vendor",IF(C347="","Missing bill date",IF(NOT(ISNUMBER(C347)),"Invalid date",IF(OR(C347&lt;DATE(2000,1,1),C347&gt;DATE(2099,12,31)),"Invalid date",IF(F347="","Select an expense account",IF(ISNA(MATCH(F347,coa_Name,0)),"Unknown account: "&amp;F347,IF(NOT(ISNUMBER(G347)),"Enter an amount",IF(G347&lt;=0,"Amount must be positive",IF(S347&gt;G347,"Tax is larger than the amount","")))))))))))</f>
        <v/>
      </c>
      <c r="U347" s="67">
        <f>IF(OR(R347=1,T347&lt;&gt;""),"",IF(COUNTIFS(ap_No,B347,ap_Party,D347)&gt;1,"Duplicate bill #",IF(N(L347)&lt;0,"Overpaid by "&amp;TEXT(-L347,"#,##0.00"),IF(AND(ISNUMBER(H347),N(H347)&lt;&gt;0,S347=0),"Tax ignored (tax tracking is off)",IF(AND(ISNUMBER(StartDate),C347&lt;StartDate),"Date is before the accounting start date",IF(OR(IFERROR(INDEX(coa_Type,MATCH(F347,coa_Name,0)),"")="Revenue",IFERROR(INDEX(coa_Type,MATCH(F347,coa_Name,0)),"")="Other Income",IFERROR(INDEX(coa_Type,MATCH(F347,coa_Name,0)),"")="Equity"),"Account is not an expense or asset account",""))))))</f>
        <v/>
      </c>
      <c r="V347" s="67">
        <f>IF(AND(R347=0,T347=""),1,0)</f>
        <v/>
      </c>
      <c r="W347" s="67">
        <f>IF(V347=1,F347,"")</f>
        <v/>
      </c>
      <c r="X347" s="67">
        <f>IF(V347=1,acctAP,"")</f>
        <v/>
      </c>
      <c r="Y347" s="68">
        <f>IF(V347=1,G347-S347,0)</f>
        <v/>
      </c>
      <c r="Z347" s="68">
        <f>IF(V347=1,G347,0)</f>
        <v/>
      </c>
      <c r="AA347" s="68">
        <f>IF(V347=1,S347,0)</f>
        <v/>
      </c>
    </row>
    <row r="348">
      <c r="B348" s="62" t="n"/>
      <c r="C348" s="63" t="n"/>
      <c r="D348" s="62" t="n"/>
      <c r="E348" s="62" t="n"/>
      <c r="F348" s="62" t="n"/>
      <c r="G348" s="64" t="n"/>
      <c r="H348" s="64" t="n"/>
      <c r="I348" s="63" t="n"/>
      <c r="J348" s="29">
        <f>IF(V348=1,IF(ISNUMBER(I348),I348,C348+IF(ISNUMBER(IFERROR(INDEX(vend_Terms,MATCH(D348,vend_Name,0)),"")),INDEX(vend_Terms,MATCH(D348,vend_Name,0)),TermsDays)),"")</f>
        <v/>
      </c>
      <c r="K348" s="65">
        <f>IF(V348=1,SUMIFS(tx_CrAmt,tx_Type,"Bill Payment",tx_Ref,B348&amp;"",tx_Vend,D348,tx_Date,"&lt;="&amp;AsOf),"")</f>
        <v/>
      </c>
      <c r="L348" s="65">
        <f>IF(V348=1,IF(C348&gt;AsOf,0,ROUND(G348-K348,2)),"")</f>
        <v/>
      </c>
      <c r="M348" s="66">
        <f>IF(V348&lt;&gt;1,"",IF(C348&gt;AsOf,"Future",IF(L348&lt;0,"Overpaid",IF(L348=0,"Paid",IF(AsOf&gt;J348,"Overdue",IF(K348&gt;0,"Partial","Unpaid"))))))</f>
        <v/>
      </c>
      <c r="N348" s="28">
        <f>IF(AND(V348=1,N(L348)&gt;0),AsOf-C348,"")</f>
        <v/>
      </c>
      <c r="O348" s="28">
        <f>IF(N348="","",MAX(0,AsOf-J348))</f>
        <v/>
      </c>
      <c r="P348" s="66">
        <f>IF(O348="","",IF(O348=0,"Current",IF(O348&lt;=30,"1-30",IF(O348&lt;=60,"31-60",IF(O348&lt;=90,"61-90","90+")))))</f>
        <v/>
      </c>
      <c r="Q348" s="66">
        <f>IF(T348&lt;&gt;"","⛔ "&amp;T348&amp;" — not posted",IF(U348&lt;&gt;"","⚠ "&amp;U348,IF(V348=1,"✓ OK","")))</f>
        <v/>
      </c>
      <c r="R348" s="67">
        <f>IF(AND(B348="",C348="",D348="",G348="",F348=""),1,0)</f>
        <v/>
      </c>
      <c r="S348" s="68">
        <f>IF(AND(TaxOn="Yes",ISNUMBER(H348)),H348,0)</f>
        <v/>
      </c>
      <c r="T348" s="67">
        <f>IF(R348=1,"",IF(B348="","Enter a bill #",IF(D348="","Select a vendor",IF(C348="","Missing bill date",IF(NOT(ISNUMBER(C348)),"Invalid date",IF(OR(C348&lt;DATE(2000,1,1),C348&gt;DATE(2099,12,31)),"Invalid date",IF(F348="","Select an expense account",IF(ISNA(MATCH(F348,coa_Name,0)),"Unknown account: "&amp;F348,IF(NOT(ISNUMBER(G348)),"Enter an amount",IF(G348&lt;=0,"Amount must be positive",IF(S348&gt;G348,"Tax is larger than the amount","")))))))))))</f>
        <v/>
      </c>
      <c r="U348" s="67">
        <f>IF(OR(R348=1,T348&lt;&gt;""),"",IF(COUNTIFS(ap_No,B348,ap_Party,D348)&gt;1,"Duplicate bill #",IF(N(L348)&lt;0,"Overpaid by "&amp;TEXT(-L348,"#,##0.00"),IF(AND(ISNUMBER(H348),N(H348)&lt;&gt;0,S348=0),"Tax ignored (tax tracking is off)",IF(AND(ISNUMBER(StartDate),C348&lt;StartDate),"Date is before the accounting start date",IF(OR(IFERROR(INDEX(coa_Type,MATCH(F348,coa_Name,0)),"")="Revenue",IFERROR(INDEX(coa_Type,MATCH(F348,coa_Name,0)),"")="Other Income",IFERROR(INDEX(coa_Type,MATCH(F348,coa_Name,0)),"")="Equity"),"Account is not an expense or asset account",""))))))</f>
        <v/>
      </c>
      <c r="V348" s="67">
        <f>IF(AND(R348=0,T348=""),1,0)</f>
        <v/>
      </c>
      <c r="W348" s="67">
        <f>IF(V348=1,F348,"")</f>
        <v/>
      </c>
      <c r="X348" s="67">
        <f>IF(V348=1,acctAP,"")</f>
        <v/>
      </c>
      <c r="Y348" s="68">
        <f>IF(V348=1,G348-S348,0)</f>
        <v/>
      </c>
      <c r="Z348" s="68">
        <f>IF(V348=1,G348,0)</f>
        <v/>
      </c>
      <c r="AA348" s="68">
        <f>IF(V348=1,S348,0)</f>
        <v/>
      </c>
    </row>
    <row r="349">
      <c r="B349" s="62" t="n"/>
      <c r="C349" s="63" t="n"/>
      <c r="D349" s="62" t="n"/>
      <c r="E349" s="62" t="n"/>
      <c r="F349" s="62" t="n"/>
      <c r="G349" s="64" t="n"/>
      <c r="H349" s="64" t="n"/>
      <c r="I349" s="63" t="n"/>
      <c r="J349" s="29">
        <f>IF(V349=1,IF(ISNUMBER(I349),I349,C349+IF(ISNUMBER(IFERROR(INDEX(vend_Terms,MATCH(D349,vend_Name,0)),"")),INDEX(vend_Terms,MATCH(D349,vend_Name,0)),TermsDays)),"")</f>
        <v/>
      </c>
      <c r="K349" s="65">
        <f>IF(V349=1,SUMIFS(tx_CrAmt,tx_Type,"Bill Payment",tx_Ref,B349&amp;"",tx_Vend,D349,tx_Date,"&lt;="&amp;AsOf),"")</f>
        <v/>
      </c>
      <c r="L349" s="65">
        <f>IF(V349=1,IF(C349&gt;AsOf,0,ROUND(G349-K349,2)),"")</f>
        <v/>
      </c>
      <c r="M349" s="66">
        <f>IF(V349&lt;&gt;1,"",IF(C349&gt;AsOf,"Future",IF(L349&lt;0,"Overpaid",IF(L349=0,"Paid",IF(AsOf&gt;J349,"Overdue",IF(K349&gt;0,"Partial","Unpaid"))))))</f>
        <v/>
      </c>
      <c r="N349" s="28">
        <f>IF(AND(V349=1,N(L349)&gt;0),AsOf-C349,"")</f>
        <v/>
      </c>
      <c r="O349" s="28">
        <f>IF(N349="","",MAX(0,AsOf-J349))</f>
        <v/>
      </c>
      <c r="P349" s="66">
        <f>IF(O349="","",IF(O349=0,"Current",IF(O349&lt;=30,"1-30",IF(O349&lt;=60,"31-60",IF(O349&lt;=90,"61-90","90+")))))</f>
        <v/>
      </c>
      <c r="Q349" s="66">
        <f>IF(T349&lt;&gt;"","⛔ "&amp;T349&amp;" — not posted",IF(U349&lt;&gt;"","⚠ "&amp;U349,IF(V349=1,"✓ OK","")))</f>
        <v/>
      </c>
      <c r="R349" s="67">
        <f>IF(AND(B349="",C349="",D349="",G349="",F349=""),1,0)</f>
        <v/>
      </c>
      <c r="S349" s="68">
        <f>IF(AND(TaxOn="Yes",ISNUMBER(H349)),H349,0)</f>
        <v/>
      </c>
      <c r="T349" s="67">
        <f>IF(R349=1,"",IF(B349="","Enter a bill #",IF(D349="","Select a vendor",IF(C349="","Missing bill date",IF(NOT(ISNUMBER(C349)),"Invalid date",IF(OR(C349&lt;DATE(2000,1,1),C349&gt;DATE(2099,12,31)),"Invalid date",IF(F349="","Select an expense account",IF(ISNA(MATCH(F349,coa_Name,0)),"Unknown account: "&amp;F349,IF(NOT(ISNUMBER(G349)),"Enter an amount",IF(G349&lt;=0,"Amount must be positive",IF(S349&gt;G349,"Tax is larger than the amount","")))))))))))</f>
        <v/>
      </c>
      <c r="U349" s="67">
        <f>IF(OR(R349=1,T349&lt;&gt;""),"",IF(COUNTIFS(ap_No,B349,ap_Party,D349)&gt;1,"Duplicate bill #",IF(N(L349)&lt;0,"Overpaid by "&amp;TEXT(-L349,"#,##0.00"),IF(AND(ISNUMBER(H349),N(H349)&lt;&gt;0,S349=0),"Tax ignored (tax tracking is off)",IF(AND(ISNUMBER(StartDate),C349&lt;StartDate),"Date is before the accounting start date",IF(OR(IFERROR(INDEX(coa_Type,MATCH(F349,coa_Name,0)),"")="Revenue",IFERROR(INDEX(coa_Type,MATCH(F349,coa_Name,0)),"")="Other Income",IFERROR(INDEX(coa_Type,MATCH(F349,coa_Name,0)),"")="Equity"),"Account is not an expense or asset account",""))))))</f>
        <v/>
      </c>
      <c r="V349" s="67">
        <f>IF(AND(R349=0,T349=""),1,0)</f>
        <v/>
      </c>
      <c r="W349" s="67">
        <f>IF(V349=1,F349,"")</f>
        <v/>
      </c>
      <c r="X349" s="67">
        <f>IF(V349=1,acctAP,"")</f>
        <v/>
      </c>
      <c r="Y349" s="68">
        <f>IF(V349=1,G349-S349,0)</f>
        <v/>
      </c>
      <c r="Z349" s="68">
        <f>IF(V349=1,G349,0)</f>
        <v/>
      </c>
      <c r="AA349" s="68">
        <f>IF(V349=1,S349,0)</f>
        <v/>
      </c>
    </row>
    <row r="350">
      <c r="B350" s="62" t="n"/>
      <c r="C350" s="63" t="n"/>
      <c r="D350" s="62" t="n"/>
      <c r="E350" s="62" t="n"/>
      <c r="F350" s="62" t="n"/>
      <c r="G350" s="64" t="n"/>
      <c r="H350" s="64" t="n"/>
      <c r="I350" s="63" t="n"/>
      <c r="J350" s="29">
        <f>IF(V350=1,IF(ISNUMBER(I350),I350,C350+IF(ISNUMBER(IFERROR(INDEX(vend_Terms,MATCH(D350,vend_Name,0)),"")),INDEX(vend_Terms,MATCH(D350,vend_Name,0)),TermsDays)),"")</f>
        <v/>
      </c>
      <c r="K350" s="65">
        <f>IF(V350=1,SUMIFS(tx_CrAmt,tx_Type,"Bill Payment",tx_Ref,B350&amp;"",tx_Vend,D350,tx_Date,"&lt;="&amp;AsOf),"")</f>
        <v/>
      </c>
      <c r="L350" s="65">
        <f>IF(V350=1,IF(C350&gt;AsOf,0,ROUND(G350-K350,2)),"")</f>
        <v/>
      </c>
      <c r="M350" s="66">
        <f>IF(V350&lt;&gt;1,"",IF(C350&gt;AsOf,"Future",IF(L350&lt;0,"Overpaid",IF(L350=0,"Paid",IF(AsOf&gt;J350,"Overdue",IF(K350&gt;0,"Partial","Unpaid"))))))</f>
        <v/>
      </c>
      <c r="N350" s="28">
        <f>IF(AND(V350=1,N(L350)&gt;0),AsOf-C350,"")</f>
        <v/>
      </c>
      <c r="O350" s="28">
        <f>IF(N350="","",MAX(0,AsOf-J350))</f>
        <v/>
      </c>
      <c r="P350" s="66">
        <f>IF(O350="","",IF(O350=0,"Current",IF(O350&lt;=30,"1-30",IF(O350&lt;=60,"31-60",IF(O350&lt;=90,"61-90","90+")))))</f>
        <v/>
      </c>
      <c r="Q350" s="66">
        <f>IF(T350&lt;&gt;"","⛔ "&amp;T350&amp;" — not posted",IF(U350&lt;&gt;"","⚠ "&amp;U350,IF(V350=1,"✓ OK","")))</f>
        <v/>
      </c>
      <c r="R350" s="67">
        <f>IF(AND(B350="",C350="",D350="",G350="",F350=""),1,0)</f>
        <v/>
      </c>
      <c r="S350" s="68">
        <f>IF(AND(TaxOn="Yes",ISNUMBER(H350)),H350,0)</f>
        <v/>
      </c>
      <c r="T350" s="67">
        <f>IF(R350=1,"",IF(B350="","Enter a bill #",IF(D350="","Select a vendor",IF(C350="","Missing bill date",IF(NOT(ISNUMBER(C350)),"Invalid date",IF(OR(C350&lt;DATE(2000,1,1),C350&gt;DATE(2099,12,31)),"Invalid date",IF(F350="","Select an expense account",IF(ISNA(MATCH(F350,coa_Name,0)),"Unknown account: "&amp;F350,IF(NOT(ISNUMBER(G350)),"Enter an amount",IF(G350&lt;=0,"Amount must be positive",IF(S350&gt;G350,"Tax is larger than the amount","")))))))))))</f>
        <v/>
      </c>
      <c r="U350" s="67">
        <f>IF(OR(R350=1,T350&lt;&gt;""),"",IF(COUNTIFS(ap_No,B350,ap_Party,D350)&gt;1,"Duplicate bill #",IF(N(L350)&lt;0,"Overpaid by "&amp;TEXT(-L350,"#,##0.00"),IF(AND(ISNUMBER(H350),N(H350)&lt;&gt;0,S350=0),"Tax ignored (tax tracking is off)",IF(AND(ISNUMBER(StartDate),C350&lt;StartDate),"Date is before the accounting start date",IF(OR(IFERROR(INDEX(coa_Type,MATCH(F350,coa_Name,0)),"")="Revenue",IFERROR(INDEX(coa_Type,MATCH(F350,coa_Name,0)),"")="Other Income",IFERROR(INDEX(coa_Type,MATCH(F350,coa_Name,0)),"")="Equity"),"Account is not an expense or asset account",""))))))</f>
        <v/>
      </c>
      <c r="V350" s="67">
        <f>IF(AND(R350=0,T350=""),1,0)</f>
        <v/>
      </c>
      <c r="W350" s="67">
        <f>IF(V350=1,F350,"")</f>
        <v/>
      </c>
      <c r="X350" s="67">
        <f>IF(V350=1,acctAP,"")</f>
        <v/>
      </c>
      <c r="Y350" s="68">
        <f>IF(V350=1,G350-S350,0)</f>
        <v/>
      </c>
      <c r="Z350" s="68">
        <f>IF(V350=1,G350,0)</f>
        <v/>
      </c>
      <c r="AA350" s="68">
        <f>IF(V350=1,S350,0)</f>
        <v/>
      </c>
    </row>
    <row r="351">
      <c r="B351" s="62" t="n"/>
      <c r="C351" s="63" t="n"/>
      <c r="D351" s="62" t="n"/>
      <c r="E351" s="62" t="n"/>
      <c r="F351" s="62" t="n"/>
      <c r="G351" s="64" t="n"/>
      <c r="H351" s="64" t="n"/>
      <c r="I351" s="63" t="n"/>
      <c r="J351" s="29">
        <f>IF(V351=1,IF(ISNUMBER(I351),I351,C351+IF(ISNUMBER(IFERROR(INDEX(vend_Terms,MATCH(D351,vend_Name,0)),"")),INDEX(vend_Terms,MATCH(D351,vend_Name,0)),TermsDays)),"")</f>
        <v/>
      </c>
      <c r="K351" s="65">
        <f>IF(V351=1,SUMIFS(tx_CrAmt,tx_Type,"Bill Payment",tx_Ref,B351&amp;"",tx_Vend,D351,tx_Date,"&lt;="&amp;AsOf),"")</f>
        <v/>
      </c>
      <c r="L351" s="65">
        <f>IF(V351=1,IF(C351&gt;AsOf,0,ROUND(G351-K351,2)),"")</f>
        <v/>
      </c>
      <c r="M351" s="66">
        <f>IF(V351&lt;&gt;1,"",IF(C351&gt;AsOf,"Future",IF(L351&lt;0,"Overpaid",IF(L351=0,"Paid",IF(AsOf&gt;J351,"Overdue",IF(K351&gt;0,"Partial","Unpaid"))))))</f>
        <v/>
      </c>
      <c r="N351" s="28">
        <f>IF(AND(V351=1,N(L351)&gt;0),AsOf-C351,"")</f>
        <v/>
      </c>
      <c r="O351" s="28">
        <f>IF(N351="","",MAX(0,AsOf-J351))</f>
        <v/>
      </c>
      <c r="P351" s="66">
        <f>IF(O351="","",IF(O351=0,"Current",IF(O351&lt;=30,"1-30",IF(O351&lt;=60,"31-60",IF(O351&lt;=90,"61-90","90+")))))</f>
        <v/>
      </c>
      <c r="Q351" s="66">
        <f>IF(T351&lt;&gt;"","⛔ "&amp;T351&amp;" — not posted",IF(U351&lt;&gt;"","⚠ "&amp;U351,IF(V351=1,"✓ OK","")))</f>
        <v/>
      </c>
      <c r="R351" s="67">
        <f>IF(AND(B351="",C351="",D351="",G351="",F351=""),1,0)</f>
        <v/>
      </c>
      <c r="S351" s="68">
        <f>IF(AND(TaxOn="Yes",ISNUMBER(H351)),H351,0)</f>
        <v/>
      </c>
      <c r="T351" s="67">
        <f>IF(R351=1,"",IF(B351="","Enter a bill #",IF(D351="","Select a vendor",IF(C351="","Missing bill date",IF(NOT(ISNUMBER(C351)),"Invalid date",IF(OR(C351&lt;DATE(2000,1,1),C351&gt;DATE(2099,12,31)),"Invalid date",IF(F351="","Select an expense account",IF(ISNA(MATCH(F351,coa_Name,0)),"Unknown account: "&amp;F351,IF(NOT(ISNUMBER(G351)),"Enter an amount",IF(G351&lt;=0,"Amount must be positive",IF(S351&gt;G351,"Tax is larger than the amount","")))))))))))</f>
        <v/>
      </c>
      <c r="U351" s="67">
        <f>IF(OR(R351=1,T351&lt;&gt;""),"",IF(COUNTIFS(ap_No,B351,ap_Party,D351)&gt;1,"Duplicate bill #",IF(N(L351)&lt;0,"Overpaid by "&amp;TEXT(-L351,"#,##0.00"),IF(AND(ISNUMBER(H351),N(H351)&lt;&gt;0,S351=0),"Tax ignored (tax tracking is off)",IF(AND(ISNUMBER(StartDate),C351&lt;StartDate),"Date is before the accounting start date",IF(OR(IFERROR(INDEX(coa_Type,MATCH(F351,coa_Name,0)),"")="Revenue",IFERROR(INDEX(coa_Type,MATCH(F351,coa_Name,0)),"")="Other Income",IFERROR(INDEX(coa_Type,MATCH(F351,coa_Name,0)),"")="Equity"),"Account is not an expense or asset account",""))))))</f>
        <v/>
      </c>
      <c r="V351" s="67">
        <f>IF(AND(R351=0,T351=""),1,0)</f>
        <v/>
      </c>
      <c r="W351" s="67">
        <f>IF(V351=1,F351,"")</f>
        <v/>
      </c>
      <c r="X351" s="67">
        <f>IF(V351=1,acctAP,"")</f>
        <v/>
      </c>
      <c r="Y351" s="68">
        <f>IF(V351=1,G351-S351,0)</f>
        <v/>
      </c>
      <c r="Z351" s="68">
        <f>IF(V351=1,G351,0)</f>
        <v/>
      </c>
      <c r="AA351" s="68">
        <f>IF(V351=1,S351,0)</f>
        <v/>
      </c>
    </row>
    <row r="352">
      <c r="B352" s="62" t="n"/>
      <c r="C352" s="63" t="n"/>
      <c r="D352" s="62" t="n"/>
      <c r="E352" s="62" t="n"/>
      <c r="F352" s="62" t="n"/>
      <c r="G352" s="64" t="n"/>
      <c r="H352" s="64" t="n"/>
      <c r="I352" s="63" t="n"/>
      <c r="J352" s="29">
        <f>IF(V352=1,IF(ISNUMBER(I352),I352,C352+IF(ISNUMBER(IFERROR(INDEX(vend_Terms,MATCH(D352,vend_Name,0)),"")),INDEX(vend_Terms,MATCH(D352,vend_Name,0)),TermsDays)),"")</f>
        <v/>
      </c>
      <c r="K352" s="65">
        <f>IF(V352=1,SUMIFS(tx_CrAmt,tx_Type,"Bill Payment",tx_Ref,B352&amp;"",tx_Vend,D352,tx_Date,"&lt;="&amp;AsOf),"")</f>
        <v/>
      </c>
      <c r="L352" s="65">
        <f>IF(V352=1,IF(C352&gt;AsOf,0,ROUND(G352-K352,2)),"")</f>
        <v/>
      </c>
      <c r="M352" s="66">
        <f>IF(V352&lt;&gt;1,"",IF(C352&gt;AsOf,"Future",IF(L352&lt;0,"Overpaid",IF(L352=0,"Paid",IF(AsOf&gt;J352,"Overdue",IF(K352&gt;0,"Partial","Unpaid"))))))</f>
        <v/>
      </c>
      <c r="N352" s="28">
        <f>IF(AND(V352=1,N(L352)&gt;0),AsOf-C352,"")</f>
        <v/>
      </c>
      <c r="O352" s="28">
        <f>IF(N352="","",MAX(0,AsOf-J352))</f>
        <v/>
      </c>
      <c r="P352" s="66">
        <f>IF(O352="","",IF(O352=0,"Current",IF(O352&lt;=30,"1-30",IF(O352&lt;=60,"31-60",IF(O352&lt;=90,"61-90","90+")))))</f>
        <v/>
      </c>
      <c r="Q352" s="66">
        <f>IF(T352&lt;&gt;"","⛔ "&amp;T352&amp;" — not posted",IF(U352&lt;&gt;"","⚠ "&amp;U352,IF(V352=1,"✓ OK","")))</f>
        <v/>
      </c>
      <c r="R352" s="67">
        <f>IF(AND(B352="",C352="",D352="",G352="",F352=""),1,0)</f>
        <v/>
      </c>
      <c r="S352" s="68">
        <f>IF(AND(TaxOn="Yes",ISNUMBER(H352)),H352,0)</f>
        <v/>
      </c>
      <c r="T352" s="67">
        <f>IF(R352=1,"",IF(B352="","Enter a bill #",IF(D352="","Select a vendor",IF(C352="","Missing bill date",IF(NOT(ISNUMBER(C352)),"Invalid date",IF(OR(C352&lt;DATE(2000,1,1),C352&gt;DATE(2099,12,31)),"Invalid date",IF(F352="","Select an expense account",IF(ISNA(MATCH(F352,coa_Name,0)),"Unknown account: "&amp;F352,IF(NOT(ISNUMBER(G352)),"Enter an amount",IF(G352&lt;=0,"Amount must be positive",IF(S352&gt;G352,"Tax is larger than the amount","")))))))))))</f>
        <v/>
      </c>
      <c r="U352" s="67">
        <f>IF(OR(R352=1,T352&lt;&gt;""),"",IF(COUNTIFS(ap_No,B352,ap_Party,D352)&gt;1,"Duplicate bill #",IF(N(L352)&lt;0,"Overpaid by "&amp;TEXT(-L352,"#,##0.00"),IF(AND(ISNUMBER(H352),N(H352)&lt;&gt;0,S352=0),"Tax ignored (tax tracking is off)",IF(AND(ISNUMBER(StartDate),C352&lt;StartDate),"Date is before the accounting start date",IF(OR(IFERROR(INDEX(coa_Type,MATCH(F352,coa_Name,0)),"")="Revenue",IFERROR(INDEX(coa_Type,MATCH(F352,coa_Name,0)),"")="Other Income",IFERROR(INDEX(coa_Type,MATCH(F352,coa_Name,0)),"")="Equity"),"Account is not an expense or asset account",""))))))</f>
        <v/>
      </c>
      <c r="V352" s="67">
        <f>IF(AND(R352=0,T352=""),1,0)</f>
        <v/>
      </c>
      <c r="W352" s="67">
        <f>IF(V352=1,F352,"")</f>
        <v/>
      </c>
      <c r="X352" s="67">
        <f>IF(V352=1,acctAP,"")</f>
        <v/>
      </c>
      <c r="Y352" s="68">
        <f>IF(V352=1,G352-S352,0)</f>
        <v/>
      </c>
      <c r="Z352" s="68">
        <f>IF(V352=1,G352,0)</f>
        <v/>
      </c>
      <c r="AA352" s="68">
        <f>IF(V352=1,S352,0)</f>
        <v/>
      </c>
    </row>
    <row r="353">
      <c r="B353" s="62" t="n"/>
      <c r="C353" s="63" t="n"/>
      <c r="D353" s="62" t="n"/>
      <c r="E353" s="62" t="n"/>
      <c r="F353" s="62" t="n"/>
      <c r="G353" s="64" t="n"/>
      <c r="H353" s="64" t="n"/>
      <c r="I353" s="63" t="n"/>
      <c r="J353" s="29">
        <f>IF(V353=1,IF(ISNUMBER(I353),I353,C353+IF(ISNUMBER(IFERROR(INDEX(vend_Terms,MATCH(D353,vend_Name,0)),"")),INDEX(vend_Terms,MATCH(D353,vend_Name,0)),TermsDays)),"")</f>
        <v/>
      </c>
      <c r="K353" s="65">
        <f>IF(V353=1,SUMIFS(tx_CrAmt,tx_Type,"Bill Payment",tx_Ref,B353&amp;"",tx_Vend,D353,tx_Date,"&lt;="&amp;AsOf),"")</f>
        <v/>
      </c>
      <c r="L353" s="65">
        <f>IF(V353=1,IF(C353&gt;AsOf,0,ROUND(G353-K353,2)),"")</f>
        <v/>
      </c>
      <c r="M353" s="66">
        <f>IF(V353&lt;&gt;1,"",IF(C353&gt;AsOf,"Future",IF(L353&lt;0,"Overpaid",IF(L353=0,"Paid",IF(AsOf&gt;J353,"Overdue",IF(K353&gt;0,"Partial","Unpaid"))))))</f>
        <v/>
      </c>
      <c r="N353" s="28">
        <f>IF(AND(V353=1,N(L353)&gt;0),AsOf-C353,"")</f>
        <v/>
      </c>
      <c r="O353" s="28">
        <f>IF(N353="","",MAX(0,AsOf-J353))</f>
        <v/>
      </c>
      <c r="P353" s="66">
        <f>IF(O353="","",IF(O353=0,"Current",IF(O353&lt;=30,"1-30",IF(O353&lt;=60,"31-60",IF(O353&lt;=90,"61-90","90+")))))</f>
        <v/>
      </c>
      <c r="Q353" s="66">
        <f>IF(T353&lt;&gt;"","⛔ "&amp;T353&amp;" — not posted",IF(U353&lt;&gt;"","⚠ "&amp;U353,IF(V353=1,"✓ OK","")))</f>
        <v/>
      </c>
      <c r="R353" s="67">
        <f>IF(AND(B353="",C353="",D353="",G353="",F353=""),1,0)</f>
        <v/>
      </c>
      <c r="S353" s="68">
        <f>IF(AND(TaxOn="Yes",ISNUMBER(H353)),H353,0)</f>
        <v/>
      </c>
      <c r="T353" s="67">
        <f>IF(R353=1,"",IF(B353="","Enter a bill #",IF(D353="","Select a vendor",IF(C353="","Missing bill date",IF(NOT(ISNUMBER(C353)),"Invalid date",IF(OR(C353&lt;DATE(2000,1,1),C353&gt;DATE(2099,12,31)),"Invalid date",IF(F353="","Select an expense account",IF(ISNA(MATCH(F353,coa_Name,0)),"Unknown account: "&amp;F353,IF(NOT(ISNUMBER(G353)),"Enter an amount",IF(G353&lt;=0,"Amount must be positive",IF(S353&gt;G353,"Tax is larger than the amount","")))))))))))</f>
        <v/>
      </c>
      <c r="U353" s="67">
        <f>IF(OR(R353=1,T353&lt;&gt;""),"",IF(COUNTIFS(ap_No,B353,ap_Party,D353)&gt;1,"Duplicate bill #",IF(N(L353)&lt;0,"Overpaid by "&amp;TEXT(-L353,"#,##0.00"),IF(AND(ISNUMBER(H353),N(H353)&lt;&gt;0,S353=0),"Tax ignored (tax tracking is off)",IF(AND(ISNUMBER(StartDate),C353&lt;StartDate),"Date is before the accounting start date",IF(OR(IFERROR(INDEX(coa_Type,MATCH(F353,coa_Name,0)),"")="Revenue",IFERROR(INDEX(coa_Type,MATCH(F353,coa_Name,0)),"")="Other Income",IFERROR(INDEX(coa_Type,MATCH(F353,coa_Name,0)),"")="Equity"),"Account is not an expense or asset account",""))))))</f>
        <v/>
      </c>
      <c r="V353" s="67">
        <f>IF(AND(R353=0,T353=""),1,0)</f>
        <v/>
      </c>
      <c r="W353" s="67">
        <f>IF(V353=1,F353,"")</f>
        <v/>
      </c>
      <c r="X353" s="67">
        <f>IF(V353=1,acctAP,"")</f>
        <v/>
      </c>
      <c r="Y353" s="68">
        <f>IF(V353=1,G353-S353,0)</f>
        <v/>
      </c>
      <c r="Z353" s="68">
        <f>IF(V353=1,G353,0)</f>
        <v/>
      </c>
      <c r="AA353" s="68">
        <f>IF(V353=1,S353,0)</f>
        <v/>
      </c>
    </row>
    <row r="354">
      <c r="B354" s="62" t="n"/>
      <c r="C354" s="63" t="n"/>
      <c r="D354" s="62" t="n"/>
      <c r="E354" s="62" t="n"/>
      <c r="F354" s="62" t="n"/>
      <c r="G354" s="64" t="n"/>
      <c r="H354" s="64" t="n"/>
      <c r="I354" s="63" t="n"/>
      <c r="J354" s="29">
        <f>IF(V354=1,IF(ISNUMBER(I354),I354,C354+IF(ISNUMBER(IFERROR(INDEX(vend_Terms,MATCH(D354,vend_Name,0)),"")),INDEX(vend_Terms,MATCH(D354,vend_Name,0)),TermsDays)),"")</f>
        <v/>
      </c>
      <c r="K354" s="65">
        <f>IF(V354=1,SUMIFS(tx_CrAmt,tx_Type,"Bill Payment",tx_Ref,B354&amp;"",tx_Vend,D354,tx_Date,"&lt;="&amp;AsOf),"")</f>
        <v/>
      </c>
      <c r="L354" s="65">
        <f>IF(V354=1,IF(C354&gt;AsOf,0,ROUND(G354-K354,2)),"")</f>
        <v/>
      </c>
      <c r="M354" s="66">
        <f>IF(V354&lt;&gt;1,"",IF(C354&gt;AsOf,"Future",IF(L354&lt;0,"Overpaid",IF(L354=0,"Paid",IF(AsOf&gt;J354,"Overdue",IF(K354&gt;0,"Partial","Unpaid"))))))</f>
        <v/>
      </c>
      <c r="N354" s="28">
        <f>IF(AND(V354=1,N(L354)&gt;0),AsOf-C354,"")</f>
        <v/>
      </c>
      <c r="O354" s="28">
        <f>IF(N354="","",MAX(0,AsOf-J354))</f>
        <v/>
      </c>
      <c r="P354" s="66">
        <f>IF(O354="","",IF(O354=0,"Current",IF(O354&lt;=30,"1-30",IF(O354&lt;=60,"31-60",IF(O354&lt;=90,"61-90","90+")))))</f>
        <v/>
      </c>
      <c r="Q354" s="66">
        <f>IF(T354&lt;&gt;"","⛔ "&amp;T354&amp;" — not posted",IF(U354&lt;&gt;"","⚠ "&amp;U354,IF(V354=1,"✓ OK","")))</f>
        <v/>
      </c>
      <c r="R354" s="67">
        <f>IF(AND(B354="",C354="",D354="",G354="",F354=""),1,0)</f>
        <v/>
      </c>
      <c r="S354" s="68">
        <f>IF(AND(TaxOn="Yes",ISNUMBER(H354)),H354,0)</f>
        <v/>
      </c>
      <c r="T354" s="67">
        <f>IF(R354=1,"",IF(B354="","Enter a bill #",IF(D354="","Select a vendor",IF(C354="","Missing bill date",IF(NOT(ISNUMBER(C354)),"Invalid date",IF(OR(C354&lt;DATE(2000,1,1),C354&gt;DATE(2099,12,31)),"Invalid date",IF(F354="","Select an expense account",IF(ISNA(MATCH(F354,coa_Name,0)),"Unknown account: "&amp;F354,IF(NOT(ISNUMBER(G354)),"Enter an amount",IF(G354&lt;=0,"Amount must be positive",IF(S354&gt;G354,"Tax is larger than the amount","")))))))))))</f>
        <v/>
      </c>
      <c r="U354" s="67">
        <f>IF(OR(R354=1,T354&lt;&gt;""),"",IF(COUNTIFS(ap_No,B354,ap_Party,D354)&gt;1,"Duplicate bill #",IF(N(L354)&lt;0,"Overpaid by "&amp;TEXT(-L354,"#,##0.00"),IF(AND(ISNUMBER(H354),N(H354)&lt;&gt;0,S354=0),"Tax ignored (tax tracking is off)",IF(AND(ISNUMBER(StartDate),C354&lt;StartDate),"Date is before the accounting start date",IF(OR(IFERROR(INDEX(coa_Type,MATCH(F354,coa_Name,0)),"")="Revenue",IFERROR(INDEX(coa_Type,MATCH(F354,coa_Name,0)),"")="Other Income",IFERROR(INDEX(coa_Type,MATCH(F354,coa_Name,0)),"")="Equity"),"Account is not an expense or asset account",""))))))</f>
        <v/>
      </c>
      <c r="V354" s="67">
        <f>IF(AND(R354=0,T354=""),1,0)</f>
        <v/>
      </c>
      <c r="W354" s="67">
        <f>IF(V354=1,F354,"")</f>
        <v/>
      </c>
      <c r="X354" s="67">
        <f>IF(V354=1,acctAP,"")</f>
        <v/>
      </c>
      <c r="Y354" s="68">
        <f>IF(V354=1,G354-S354,0)</f>
        <v/>
      </c>
      <c r="Z354" s="68">
        <f>IF(V354=1,G354,0)</f>
        <v/>
      </c>
      <c r="AA354" s="68">
        <f>IF(V354=1,S354,0)</f>
        <v/>
      </c>
    </row>
    <row r="355">
      <c r="B355" s="62" t="n"/>
      <c r="C355" s="63" t="n"/>
      <c r="D355" s="62" t="n"/>
      <c r="E355" s="62" t="n"/>
      <c r="F355" s="62" t="n"/>
      <c r="G355" s="64" t="n"/>
      <c r="H355" s="64" t="n"/>
      <c r="I355" s="63" t="n"/>
      <c r="J355" s="29">
        <f>IF(V355=1,IF(ISNUMBER(I355),I355,C355+IF(ISNUMBER(IFERROR(INDEX(vend_Terms,MATCH(D355,vend_Name,0)),"")),INDEX(vend_Terms,MATCH(D355,vend_Name,0)),TermsDays)),"")</f>
        <v/>
      </c>
      <c r="K355" s="65">
        <f>IF(V355=1,SUMIFS(tx_CrAmt,tx_Type,"Bill Payment",tx_Ref,B355&amp;"",tx_Vend,D355,tx_Date,"&lt;="&amp;AsOf),"")</f>
        <v/>
      </c>
      <c r="L355" s="65">
        <f>IF(V355=1,IF(C355&gt;AsOf,0,ROUND(G355-K355,2)),"")</f>
        <v/>
      </c>
      <c r="M355" s="66">
        <f>IF(V355&lt;&gt;1,"",IF(C355&gt;AsOf,"Future",IF(L355&lt;0,"Overpaid",IF(L355=0,"Paid",IF(AsOf&gt;J355,"Overdue",IF(K355&gt;0,"Partial","Unpaid"))))))</f>
        <v/>
      </c>
      <c r="N355" s="28">
        <f>IF(AND(V355=1,N(L355)&gt;0),AsOf-C355,"")</f>
        <v/>
      </c>
      <c r="O355" s="28">
        <f>IF(N355="","",MAX(0,AsOf-J355))</f>
        <v/>
      </c>
      <c r="P355" s="66">
        <f>IF(O355="","",IF(O355=0,"Current",IF(O355&lt;=30,"1-30",IF(O355&lt;=60,"31-60",IF(O355&lt;=90,"61-90","90+")))))</f>
        <v/>
      </c>
      <c r="Q355" s="66">
        <f>IF(T355&lt;&gt;"","⛔ "&amp;T355&amp;" — not posted",IF(U355&lt;&gt;"","⚠ "&amp;U355,IF(V355=1,"✓ OK","")))</f>
        <v/>
      </c>
      <c r="R355" s="67">
        <f>IF(AND(B355="",C355="",D355="",G355="",F355=""),1,0)</f>
        <v/>
      </c>
      <c r="S355" s="68">
        <f>IF(AND(TaxOn="Yes",ISNUMBER(H355)),H355,0)</f>
        <v/>
      </c>
      <c r="T355" s="67">
        <f>IF(R355=1,"",IF(B355="","Enter a bill #",IF(D355="","Select a vendor",IF(C355="","Missing bill date",IF(NOT(ISNUMBER(C355)),"Invalid date",IF(OR(C355&lt;DATE(2000,1,1),C355&gt;DATE(2099,12,31)),"Invalid date",IF(F355="","Select an expense account",IF(ISNA(MATCH(F355,coa_Name,0)),"Unknown account: "&amp;F355,IF(NOT(ISNUMBER(G355)),"Enter an amount",IF(G355&lt;=0,"Amount must be positive",IF(S355&gt;G355,"Tax is larger than the amount","")))))))))))</f>
        <v/>
      </c>
      <c r="U355" s="67">
        <f>IF(OR(R355=1,T355&lt;&gt;""),"",IF(COUNTIFS(ap_No,B355,ap_Party,D355)&gt;1,"Duplicate bill #",IF(N(L355)&lt;0,"Overpaid by "&amp;TEXT(-L355,"#,##0.00"),IF(AND(ISNUMBER(H355),N(H355)&lt;&gt;0,S355=0),"Tax ignored (tax tracking is off)",IF(AND(ISNUMBER(StartDate),C355&lt;StartDate),"Date is before the accounting start date",IF(OR(IFERROR(INDEX(coa_Type,MATCH(F355,coa_Name,0)),"")="Revenue",IFERROR(INDEX(coa_Type,MATCH(F355,coa_Name,0)),"")="Other Income",IFERROR(INDEX(coa_Type,MATCH(F355,coa_Name,0)),"")="Equity"),"Account is not an expense or asset account",""))))))</f>
        <v/>
      </c>
      <c r="V355" s="67">
        <f>IF(AND(R355=0,T355=""),1,0)</f>
        <v/>
      </c>
      <c r="W355" s="67">
        <f>IF(V355=1,F355,"")</f>
        <v/>
      </c>
      <c r="X355" s="67">
        <f>IF(V355=1,acctAP,"")</f>
        <v/>
      </c>
      <c r="Y355" s="68">
        <f>IF(V355=1,G355-S355,0)</f>
        <v/>
      </c>
      <c r="Z355" s="68">
        <f>IF(V355=1,G355,0)</f>
        <v/>
      </c>
      <c r="AA355" s="68">
        <f>IF(V355=1,S355,0)</f>
        <v/>
      </c>
    </row>
    <row r="356">
      <c r="B356" s="62" t="n"/>
      <c r="C356" s="63" t="n"/>
      <c r="D356" s="62" t="n"/>
      <c r="E356" s="62" t="n"/>
      <c r="F356" s="62" t="n"/>
      <c r="G356" s="64" t="n"/>
      <c r="H356" s="64" t="n"/>
      <c r="I356" s="63" t="n"/>
      <c r="J356" s="29">
        <f>IF(V356=1,IF(ISNUMBER(I356),I356,C356+IF(ISNUMBER(IFERROR(INDEX(vend_Terms,MATCH(D356,vend_Name,0)),"")),INDEX(vend_Terms,MATCH(D356,vend_Name,0)),TermsDays)),"")</f>
        <v/>
      </c>
      <c r="K356" s="65">
        <f>IF(V356=1,SUMIFS(tx_CrAmt,tx_Type,"Bill Payment",tx_Ref,B356&amp;"",tx_Vend,D356,tx_Date,"&lt;="&amp;AsOf),"")</f>
        <v/>
      </c>
      <c r="L356" s="65">
        <f>IF(V356=1,IF(C356&gt;AsOf,0,ROUND(G356-K356,2)),"")</f>
        <v/>
      </c>
      <c r="M356" s="66">
        <f>IF(V356&lt;&gt;1,"",IF(C356&gt;AsOf,"Future",IF(L356&lt;0,"Overpaid",IF(L356=0,"Paid",IF(AsOf&gt;J356,"Overdue",IF(K356&gt;0,"Partial","Unpaid"))))))</f>
        <v/>
      </c>
      <c r="N356" s="28">
        <f>IF(AND(V356=1,N(L356)&gt;0),AsOf-C356,"")</f>
        <v/>
      </c>
      <c r="O356" s="28">
        <f>IF(N356="","",MAX(0,AsOf-J356))</f>
        <v/>
      </c>
      <c r="P356" s="66">
        <f>IF(O356="","",IF(O356=0,"Current",IF(O356&lt;=30,"1-30",IF(O356&lt;=60,"31-60",IF(O356&lt;=90,"61-90","90+")))))</f>
        <v/>
      </c>
      <c r="Q356" s="66">
        <f>IF(T356&lt;&gt;"","⛔ "&amp;T356&amp;" — not posted",IF(U356&lt;&gt;"","⚠ "&amp;U356,IF(V356=1,"✓ OK","")))</f>
        <v/>
      </c>
      <c r="R356" s="67">
        <f>IF(AND(B356="",C356="",D356="",G356="",F356=""),1,0)</f>
        <v/>
      </c>
      <c r="S356" s="68">
        <f>IF(AND(TaxOn="Yes",ISNUMBER(H356)),H356,0)</f>
        <v/>
      </c>
      <c r="T356" s="67">
        <f>IF(R356=1,"",IF(B356="","Enter a bill #",IF(D356="","Select a vendor",IF(C356="","Missing bill date",IF(NOT(ISNUMBER(C356)),"Invalid date",IF(OR(C356&lt;DATE(2000,1,1),C356&gt;DATE(2099,12,31)),"Invalid date",IF(F356="","Select an expense account",IF(ISNA(MATCH(F356,coa_Name,0)),"Unknown account: "&amp;F356,IF(NOT(ISNUMBER(G356)),"Enter an amount",IF(G356&lt;=0,"Amount must be positive",IF(S356&gt;G356,"Tax is larger than the amount","")))))))))))</f>
        <v/>
      </c>
      <c r="U356" s="67">
        <f>IF(OR(R356=1,T356&lt;&gt;""),"",IF(COUNTIFS(ap_No,B356,ap_Party,D356)&gt;1,"Duplicate bill #",IF(N(L356)&lt;0,"Overpaid by "&amp;TEXT(-L356,"#,##0.00"),IF(AND(ISNUMBER(H356),N(H356)&lt;&gt;0,S356=0),"Tax ignored (tax tracking is off)",IF(AND(ISNUMBER(StartDate),C356&lt;StartDate),"Date is before the accounting start date",IF(OR(IFERROR(INDEX(coa_Type,MATCH(F356,coa_Name,0)),"")="Revenue",IFERROR(INDEX(coa_Type,MATCH(F356,coa_Name,0)),"")="Other Income",IFERROR(INDEX(coa_Type,MATCH(F356,coa_Name,0)),"")="Equity"),"Account is not an expense or asset account",""))))))</f>
        <v/>
      </c>
      <c r="V356" s="67">
        <f>IF(AND(R356=0,T356=""),1,0)</f>
        <v/>
      </c>
      <c r="W356" s="67">
        <f>IF(V356=1,F356,"")</f>
        <v/>
      </c>
      <c r="X356" s="67">
        <f>IF(V356=1,acctAP,"")</f>
        <v/>
      </c>
      <c r="Y356" s="68">
        <f>IF(V356=1,G356-S356,0)</f>
        <v/>
      </c>
      <c r="Z356" s="68">
        <f>IF(V356=1,G356,0)</f>
        <v/>
      </c>
      <c r="AA356" s="68">
        <f>IF(V356=1,S356,0)</f>
        <v/>
      </c>
    </row>
    <row r="357">
      <c r="B357" s="62" t="n"/>
      <c r="C357" s="63" t="n"/>
      <c r="D357" s="62" t="n"/>
      <c r="E357" s="62" t="n"/>
      <c r="F357" s="62" t="n"/>
      <c r="G357" s="64" t="n"/>
      <c r="H357" s="64" t="n"/>
      <c r="I357" s="63" t="n"/>
      <c r="J357" s="29">
        <f>IF(V357=1,IF(ISNUMBER(I357),I357,C357+IF(ISNUMBER(IFERROR(INDEX(vend_Terms,MATCH(D357,vend_Name,0)),"")),INDEX(vend_Terms,MATCH(D357,vend_Name,0)),TermsDays)),"")</f>
        <v/>
      </c>
      <c r="K357" s="65">
        <f>IF(V357=1,SUMIFS(tx_CrAmt,tx_Type,"Bill Payment",tx_Ref,B357&amp;"",tx_Vend,D357,tx_Date,"&lt;="&amp;AsOf),"")</f>
        <v/>
      </c>
      <c r="L357" s="65">
        <f>IF(V357=1,IF(C357&gt;AsOf,0,ROUND(G357-K357,2)),"")</f>
        <v/>
      </c>
      <c r="M357" s="66">
        <f>IF(V357&lt;&gt;1,"",IF(C357&gt;AsOf,"Future",IF(L357&lt;0,"Overpaid",IF(L357=0,"Paid",IF(AsOf&gt;J357,"Overdue",IF(K357&gt;0,"Partial","Unpaid"))))))</f>
        <v/>
      </c>
      <c r="N357" s="28">
        <f>IF(AND(V357=1,N(L357)&gt;0),AsOf-C357,"")</f>
        <v/>
      </c>
      <c r="O357" s="28">
        <f>IF(N357="","",MAX(0,AsOf-J357))</f>
        <v/>
      </c>
      <c r="P357" s="66">
        <f>IF(O357="","",IF(O357=0,"Current",IF(O357&lt;=30,"1-30",IF(O357&lt;=60,"31-60",IF(O357&lt;=90,"61-90","90+")))))</f>
        <v/>
      </c>
      <c r="Q357" s="66">
        <f>IF(T357&lt;&gt;"","⛔ "&amp;T357&amp;" — not posted",IF(U357&lt;&gt;"","⚠ "&amp;U357,IF(V357=1,"✓ OK","")))</f>
        <v/>
      </c>
      <c r="R357" s="67">
        <f>IF(AND(B357="",C357="",D357="",G357="",F357=""),1,0)</f>
        <v/>
      </c>
      <c r="S357" s="68">
        <f>IF(AND(TaxOn="Yes",ISNUMBER(H357)),H357,0)</f>
        <v/>
      </c>
      <c r="T357" s="67">
        <f>IF(R357=1,"",IF(B357="","Enter a bill #",IF(D357="","Select a vendor",IF(C357="","Missing bill date",IF(NOT(ISNUMBER(C357)),"Invalid date",IF(OR(C357&lt;DATE(2000,1,1),C357&gt;DATE(2099,12,31)),"Invalid date",IF(F357="","Select an expense account",IF(ISNA(MATCH(F357,coa_Name,0)),"Unknown account: "&amp;F357,IF(NOT(ISNUMBER(G357)),"Enter an amount",IF(G357&lt;=0,"Amount must be positive",IF(S357&gt;G357,"Tax is larger than the amount","")))))))))))</f>
        <v/>
      </c>
      <c r="U357" s="67">
        <f>IF(OR(R357=1,T357&lt;&gt;""),"",IF(COUNTIFS(ap_No,B357,ap_Party,D357)&gt;1,"Duplicate bill #",IF(N(L357)&lt;0,"Overpaid by "&amp;TEXT(-L357,"#,##0.00"),IF(AND(ISNUMBER(H357),N(H357)&lt;&gt;0,S357=0),"Tax ignored (tax tracking is off)",IF(AND(ISNUMBER(StartDate),C357&lt;StartDate),"Date is before the accounting start date",IF(OR(IFERROR(INDEX(coa_Type,MATCH(F357,coa_Name,0)),"")="Revenue",IFERROR(INDEX(coa_Type,MATCH(F357,coa_Name,0)),"")="Other Income",IFERROR(INDEX(coa_Type,MATCH(F357,coa_Name,0)),"")="Equity"),"Account is not an expense or asset account",""))))))</f>
        <v/>
      </c>
      <c r="V357" s="67">
        <f>IF(AND(R357=0,T357=""),1,0)</f>
        <v/>
      </c>
      <c r="W357" s="67">
        <f>IF(V357=1,F357,"")</f>
        <v/>
      </c>
      <c r="X357" s="67">
        <f>IF(V357=1,acctAP,"")</f>
        <v/>
      </c>
      <c r="Y357" s="68">
        <f>IF(V357=1,G357-S357,0)</f>
        <v/>
      </c>
      <c r="Z357" s="68">
        <f>IF(V357=1,G357,0)</f>
        <v/>
      </c>
      <c r="AA357" s="68">
        <f>IF(V357=1,S357,0)</f>
        <v/>
      </c>
    </row>
    <row r="358">
      <c r="B358" s="62" t="n"/>
      <c r="C358" s="63" t="n"/>
      <c r="D358" s="62" t="n"/>
      <c r="E358" s="62" t="n"/>
      <c r="F358" s="62" t="n"/>
      <c r="G358" s="64" t="n"/>
      <c r="H358" s="64" t="n"/>
      <c r="I358" s="63" t="n"/>
      <c r="J358" s="29">
        <f>IF(V358=1,IF(ISNUMBER(I358),I358,C358+IF(ISNUMBER(IFERROR(INDEX(vend_Terms,MATCH(D358,vend_Name,0)),"")),INDEX(vend_Terms,MATCH(D358,vend_Name,0)),TermsDays)),"")</f>
        <v/>
      </c>
      <c r="K358" s="65">
        <f>IF(V358=1,SUMIFS(tx_CrAmt,tx_Type,"Bill Payment",tx_Ref,B358&amp;"",tx_Vend,D358,tx_Date,"&lt;="&amp;AsOf),"")</f>
        <v/>
      </c>
      <c r="L358" s="65">
        <f>IF(V358=1,IF(C358&gt;AsOf,0,ROUND(G358-K358,2)),"")</f>
        <v/>
      </c>
      <c r="M358" s="66">
        <f>IF(V358&lt;&gt;1,"",IF(C358&gt;AsOf,"Future",IF(L358&lt;0,"Overpaid",IF(L358=0,"Paid",IF(AsOf&gt;J358,"Overdue",IF(K358&gt;0,"Partial","Unpaid"))))))</f>
        <v/>
      </c>
      <c r="N358" s="28">
        <f>IF(AND(V358=1,N(L358)&gt;0),AsOf-C358,"")</f>
        <v/>
      </c>
      <c r="O358" s="28">
        <f>IF(N358="","",MAX(0,AsOf-J358))</f>
        <v/>
      </c>
      <c r="P358" s="66">
        <f>IF(O358="","",IF(O358=0,"Current",IF(O358&lt;=30,"1-30",IF(O358&lt;=60,"31-60",IF(O358&lt;=90,"61-90","90+")))))</f>
        <v/>
      </c>
      <c r="Q358" s="66">
        <f>IF(T358&lt;&gt;"","⛔ "&amp;T358&amp;" — not posted",IF(U358&lt;&gt;"","⚠ "&amp;U358,IF(V358=1,"✓ OK","")))</f>
        <v/>
      </c>
      <c r="R358" s="67">
        <f>IF(AND(B358="",C358="",D358="",G358="",F358=""),1,0)</f>
        <v/>
      </c>
      <c r="S358" s="68">
        <f>IF(AND(TaxOn="Yes",ISNUMBER(H358)),H358,0)</f>
        <v/>
      </c>
      <c r="T358" s="67">
        <f>IF(R358=1,"",IF(B358="","Enter a bill #",IF(D358="","Select a vendor",IF(C358="","Missing bill date",IF(NOT(ISNUMBER(C358)),"Invalid date",IF(OR(C358&lt;DATE(2000,1,1),C358&gt;DATE(2099,12,31)),"Invalid date",IF(F358="","Select an expense account",IF(ISNA(MATCH(F358,coa_Name,0)),"Unknown account: "&amp;F358,IF(NOT(ISNUMBER(G358)),"Enter an amount",IF(G358&lt;=0,"Amount must be positive",IF(S358&gt;G358,"Tax is larger than the amount","")))))))))))</f>
        <v/>
      </c>
      <c r="U358" s="67">
        <f>IF(OR(R358=1,T358&lt;&gt;""),"",IF(COUNTIFS(ap_No,B358,ap_Party,D358)&gt;1,"Duplicate bill #",IF(N(L358)&lt;0,"Overpaid by "&amp;TEXT(-L358,"#,##0.00"),IF(AND(ISNUMBER(H358),N(H358)&lt;&gt;0,S358=0),"Tax ignored (tax tracking is off)",IF(AND(ISNUMBER(StartDate),C358&lt;StartDate),"Date is before the accounting start date",IF(OR(IFERROR(INDEX(coa_Type,MATCH(F358,coa_Name,0)),"")="Revenue",IFERROR(INDEX(coa_Type,MATCH(F358,coa_Name,0)),"")="Other Income",IFERROR(INDEX(coa_Type,MATCH(F358,coa_Name,0)),"")="Equity"),"Account is not an expense or asset account",""))))))</f>
        <v/>
      </c>
      <c r="V358" s="67">
        <f>IF(AND(R358=0,T358=""),1,0)</f>
        <v/>
      </c>
      <c r="W358" s="67">
        <f>IF(V358=1,F358,"")</f>
        <v/>
      </c>
      <c r="X358" s="67">
        <f>IF(V358=1,acctAP,"")</f>
        <v/>
      </c>
      <c r="Y358" s="68">
        <f>IF(V358=1,G358-S358,0)</f>
        <v/>
      </c>
      <c r="Z358" s="68">
        <f>IF(V358=1,G358,0)</f>
        <v/>
      </c>
      <c r="AA358" s="68">
        <f>IF(V358=1,S358,0)</f>
        <v/>
      </c>
    </row>
    <row r="359">
      <c r="B359" s="62" t="n"/>
      <c r="C359" s="63" t="n"/>
      <c r="D359" s="62" t="n"/>
      <c r="E359" s="62" t="n"/>
      <c r="F359" s="62" t="n"/>
      <c r="G359" s="64" t="n"/>
      <c r="H359" s="64" t="n"/>
      <c r="I359" s="63" t="n"/>
      <c r="J359" s="29">
        <f>IF(V359=1,IF(ISNUMBER(I359),I359,C359+IF(ISNUMBER(IFERROR(INDEX(vend_Terms,MATCH(D359,vend_Name,0)),"")),INDEX(vend_Terms,MATCH(D359,vend_Name,0)),TermsDays)),"")</f>
        <v/>
      </c>
      <c r="K359" s="65">
        <f>IF(V359=1,SUMIFS(tx_CrAmt,tx_Type,"Bill Payment",tx_Ref,B359&amp;"",tx_Vend,D359,tx_Date,"&lt;="&amp;AsOf),"")</f>
        <v/>
      </c>
      <c r="L359" s="65">
        <f>IF(V359=1,IF(C359&gt;AsOf,0,ROUND(G359-K359,2)),"")</f>
        <v/>
      </c>
      <c r="M359" s="66">
        <f>IF(V359&lt;&gt;1,"",IF(C359&gt;AsOf,"Future",IF(L359&lt;0,"Overpaid",IF(L359=0,"Paid",IF(AsOf&gt;J359,"Overdue",IF(K359&gt;0,"Partial","Unpaid"))))))</f>
        <v/>
      </c>
      <c r="N359" s="28">
        <f>IF(AND(V359=1,N(L359)&gt;0),AsOf-C359,"")</f>
        <v/>
      </c>
      <c r="O359" s="28">
        <f>IF(N359="","",MAX(0,AsOf-J359))</f>
        <v/>
      </c>
      <c r="P359" s="66">
        <f>IF(O359="","",IF(O359=0,"Current",IF(O359&lt;=30,"1-30",IF(O359&lt;=60,"31-60",IF(O359&lt;=90,"61-90","90+")))))</f>
        <v/>
      </c>
      <c r="Q359" s="66">
        <f>IF(T359&lt;&gt;"","⛔ "&amp;T359&amp;" — not posted",IF(U359&lt;&gt;"","⚠ "&amp;U359,IF(V359=1,"✓ OK","")))</f>
        <v/>
      </c>
      <c r="R359" s="67">
        <f>IF(AND(B359="",C359="",D359="",G359="",F359=""),1,0)</f>
        <v/>
      </c>
      <c r="S359" s="68">
        <f>IF(AND(TaxOn="Yes",ISNUMBER(H359)),H359,0)</f>
        <v/>
      </c>
      <c r="T359" s="67">
        <f>IF(R359=1,"",IF(B359="","Enter a bill #",IF(D359="","Select a vendor",IF(C359="","Missing bill date",IF(NOT(ISNUMBER(C359)),"Invalid date",IF(OR(C359&lt;DATE(2000,1,1),C359&gt;DATE(2099,12,31)),"Invalid date",IF(F359="","Select an expense account",IF(ISNA(MATCH(F359,coa_Name,0)),"Unknown account: "&amp;F359,IF(NOT(ISNUMBER(G359)),"Enter an amount",IF(G359&lt;=0,"Amount must be positive",IF(S359&gt;G359,"Tax is larger than the amount","")))))))))))</f>
        <v/>
      </c>
      <c r="U359" s="67">
        <f>IF(OR(R359=1,T359&lt;&gt;""),"",IF(COUNTIFS(ap_No,B359,ap_Party,D359)&gt;1,"Duplicate bill #",IF(N(L359)&lt;0,"Overpaid by "&amp;TEXT(-L359,"#,##0.00"),IF(AND(ISNUMBER(H359),N(H359)&lt;&gt;0,S359=0),"Tax ignored (tax tracking is off)",IF(AND(ISNUMBER(StartDate),C359&lt;StartDate),"Date is before the accounting start date",IF(OR(IFERROR(INDEX(coa_Type,MATCH(F359,coa_Name,0)),"")="Revenue",IFERROR(INDEX(coa_Type,MATCH(F359,coa_Name,0)),"")="Other Income",IFERROR(INDEX(coa_Type,MATCH(F359,coa_Name,0)),"")="Equity"),"Account is not an expense or asset account",""))))))</f>
        <v/>
      </c>
      <c r="V359" s="67">
        <f>IF(AND(R359=0,T359=""),1,0)</f>
        <v/>
      </c>
      <c r="W359" s="67">
        <f>IF(V359=1,F359,"")</f>
        <v/>
      </c>
      <c r="X359" s="67">
        <f>IF(V359=1,acctAP,"")</f>
        <v/>
      </c>
      <c r="Y359" s="68">
        <f>IF(V359=1,G359-S359,0)</f>
        <v/>
      </c>
      <c r="Z359" s="68">
        <f>IF(V359=1,G359,0)</f>
        <v/>
      </c>
      <c r="AA359" s="68">
        <f>IF(V359=1,S359,0)</f>
        <v/>
      </c>
    </row>
    <row r="360">
      <c r="B360" s="62" t="n"/>
      <c r="C360" s="63" t="n"/>
      <c r="D360" s="62" t="n"/>
      <c r="E360" s="62" t="n"/>
      <c r="F360" s="62" t="n"/>
      <c r="G360" s="64" t="n"/>
      <c r="H360" s="64" t="n"/>
      <c r="I360" s="63" t="n"/>
      <c r="J360" s="29">
        <f>IF(V360=1,IF(ISNUMBER(I360),I360,C360+IF(ISNUMBER(IFERROR(INDEX(vend_Terms,MATCH(D360,vend_Name,0)),"")),INDEX(vend_Terms,MATCH(D360,vend_Name,0)),TermsDays)),"")</f>
        <v/>
      </c>
      <c r="K360" s="65">
        <f>IF(V360=1,SUMIFS(tx_CrAmt,tx_Type,"Bill Payment",tx_Ref,B360&amp;"",tx_Vend,D360,tx_Date,"&lt;="&amp;AsOf),"")</f>
        <v/>
      </c>
      <c r="L360" s="65">
        <f>IF(V360=1,IF(C360&gt;AsOf,0,ROUND(G360-K360,2)),"")</f>
        <v/>
      </c>
      <c r="M360" s="66">
        <f>IF(V360&lt;&gt;1,"",IF(C360&gt;AsOf,"Future",IF(L360&lt;0,"Overpaid",IF(L360=0,"Paid",IF(AsOf&gt;J360,"Overdue",IF(K360&gt;0,"Partial","Unpaid"))))))</f>
        <v/>
      </c>
      <c r="N360" s="28">
        <f>IF(AND(V360=1,N(L360)&gt;0),AsOf-C360,"")</f>
        <v/>
      </c>
      <c r="O360" s="28">
        <f>IF(N360="","",MAX(0,AsOf-J360))</f>
        <v/>
      </c>
      <c r="P360" s="66">
        <f>IF(O360="","",IF(O360=0,"Current",IF(O360&lt;=30,"1-30",IF(O360&lt;=60,"31-60",IF(O360&lt;=90,"61-90","90+")))))</f>
        <v/>
      </c>
      <c r="Q360" s="66">
        <f>IF(T360&lt;&gt;"","⛔ "&amp;T360&amp;" — not posted",IF(U360&lt;&gt;"","⚠ "&amp;U360,IF(V360=1,"✓ OK","")))</f>
        <v/>
      </c>
      <c r="R360" s="67">
        <f>IF(AND(B360="",C360="",D360="",G360="",F360=""),1,0)</f>
        <v/>
      </c>
      <c r="S360" s="68">
        <f>IF(AND(TaxOn="Yes",ISNUMBER(H360)),H360,0)</f>
        <v/>
      </c>
      <c r="T360" s="67">
        <f>IF(R360=1,"",IF(B360="","Enter a bill #",IF(D360="","Select a vendor",IF(C360="","Missing bill date",IF(NOT(ISNUMBER(C360)),"Invalid date",IF(OR(C360&lt;DATE(2000,1,1),C360&gt;DATE(2099,12,31)),"Invalid date",IF(F360="","Select an expense account",IF(ISNA(MATCH(F360,coa_Name,0)),"Unknown account: "&amp;F360,IF(NOT(ISNUMBER(G360)),"Enter an amount",IF(G360&lt;=0,"Amount must be positive",IF(S360&gt;G360,"Tax is larger than the amount","")))))))))))</f>
        <v/>
      </c>
      <c r="U360" s="67">
        <f>IF(OR(R360=1,T360&lt;&gt;""),"",IF(COUNTIFS(ap_No,B360,ap_Party,D360)&gt;1,"Duplicate bill #",IF(N(L360)&lt;0,"Overpaid by "&amp;TEXT(-L360,"#,##0.00"),IF(AND(ISNUMBER(H360),N(H360)&lt;&gt;0,S360=0),"Tax ignored (tax tracking is off)",IF(AND(ISNUMBER(StartDate),C360&lt;StartDate),"Date is before the accounting start date",IF(OR(IFERROR(INDEX(coa_Type,MATCH(F360,coa_Name,0)),"")="Revenue",IFERROR(INDEX(coa_Type,MATCH(F360,coa_Name,0)),"")="Other Income",IFERROR(INDEX(coa_Type,MATCH(F360,coa_Name,0)),"")="Equity"),"Account is not an expense or asset account",""))))))</f>
        <v/>
      </c>
      <c r="V360" s="67">
        <f>IF(AND(R360=0,T360=""),1,0)</f>
        <v/>
      </c>
      <c r="W360" s="67">
        <f>IF(V360=1,F360,"")</f>
        <v/>
      </c>
      <c r="X360" s="67">
        <f>IF(V360=1,acctAP,"")</f>
        <v/>
      </c>
      <c r="Y360" s="68">
        <f>IF(V360=1,G360-S360,0)</f>
        <v/>
      </c>
      <c r="Z360" s="68">
        <f>IF(V360=1,G360,0)</f>
        <v/>
      </c>
      <c r="AA360" s="68">
        <f>IF(V360=1,S360,0)</f>
        <v/>
      </c>
    </row>
    <row r="361">
      <c r="B361" s="62" t="n"/>
      <c r="C361" s="63" t="n"/>
      <c r="D361" s="62" t="n"/>
      <c r="E361" s="62" t="n"/>
      <c r="F361" s="62" t="n"/>
      <c r="G361" s="64" t="n"/>
      <c r="H361" s="64" t="n"/>
      <c r="I361" s="63" t="n"/>
      <c r="J361" s="29">
        <f>IF(V361=1,IF(ISNUMBER(I361),I361,C361+IF(ISNUMBER(IFERROR(INDEX(vend_Terms,MATCH(D361,vend_Name,0)),"")),INDEX(vend_Terms,MATCH(D361,vend_Name,0)),TermsDays)),"")</f>
        <v/>
      </c>
      <c r="K361" s="65">
        <f>IF(V361=1,SUMIFS(tx_CrAmt,tx_Type,"Bill Payment",tx_Ref,B361&amp;"",tx_Vend,D361,tx_Date,"&lt;="&amp;AsOf),"")</f>
        <v/>
      </c>
      <c r="L361" s="65">
        <f>IF(V361=1,IF(C361&gt;AsOf,0,ROUND(G361-K361,2)),"")</f>
        <v/>
      </c>
      <c r="M361" s="66">
        <f>IF(V361&lt;&gt;1,"",IF(C361&gt;AsOf,"Future",IF(L361&lt;0,"Overpaid",IF(L361=0,"Paid",IF(AsOf&gt;J361,"Overdue",IF(K361&gt;0,"Partial","Unpaid"))))))</f>
        <v/>
      </c>
      <c r="N361" s="28">
        <f>IF(AND(V361=1,N(L361)&gt;0),AsOf-C361,"")</f>
        <v/>
      </c>
      <c r="O361" s="28">
        <f>IF(N361="","",MAX(0,AsOf-J361))</f>
        <v/>
      </c>
      <c r="P361" s="66">
        <f>IF(O361="","",IF(O361=0,"Current",IF(O361&lt;=30,"1-30",IF(O361&lt;=60,"31-60",IF(O361&lt;=90,"61-90","90+")))))</f>
        <v/>
      </c>
      <c r="Q361" s="66">
        <f>IF(T361&lt;&gt;"","⛔ "&amp;T361&amp;" — not posted",IF(U361&lt;&gt;"","⚠ "&amp;U361,IF(V361=1,"✓ OK","")))</f>
        <v/>
      </c>
      <c r="R361" s="67">
        <f>IF(AND(B361="",C361="",D361="",G361="",F361=""),1,0)</f>
        <v/>
      </c>
      <c r="S361" s="68">
        <f>IF(AND(TaxOn="Yes",ISNUMBER(H361)),H361,0)</f>
        <v/>
      </c>
      <c r="T361" s="67">
        <f>IF(R361=1,"",IF(B361="","Enter a bill #",IF(D361="","Select a vendor",IF(C361="","Missing bill date",IF(NOT(ISNUMBER(C361)),"Invalid date",IF(OR(C361&lt;DATE(2000,1,1),C361&gt;DATE(2099,12,31)),"Invalid date",IF(F361="","Select an expense account",IF(ISNA(MATCH(F361,coa_Name,0)),"Unknown account: "&amp;F361,IF(NOT(ISNUMBER(G361)),"Enter an amount",IF(G361&lt;=0,"Amount must be positive",IF(S361&gt;G361,"Tax is larger than the amount","")))))))))))</f>
        <v/>
      </c>
      <c r="U361" s="67">
        <f>IF(OR(R361=1,T361&lt;&gt;""),"",IF(COUNTIFS(ap_No,B361,ap_Party,D361)&gt;1,"Duplicate bill #",IF(N(L361)&lt;0,"Overpaid by "&amp;TEXT(-L361,"#,##0.00"),IF(AND(ISNUMBER(H361),N(H361)&lt;&gt;0,S361=0),"Tax ignored (tax tracking is off)",IF(AND(ISNUMBER(StartDate),C361&lt;StartDate),"Date is before the accounting start date",IF(OR(IFERROR(INDEX(coa_Type,MATCH(F361,coa_Name,0)),"")="Revenue",IFERROR(INDEX(coa_Type,MATCH(F361,coa_Name,0)),"")="Other Income",IFERROR(INDEX(coa_Type,MATCH(F361,coa_Name,0)),"")="Equity"),"Account is not an expense or asset account",""))))))</f>
        <v/>
      </c>
      <c r="V361" s="67">
        <f>IF(AND(R361=0,T361=""),1,0)</f>
        <v/>
      </c>
      <c r="W361" s="67">
        <f>IF(V361=1,F361,"")</f>
        <v/>
      </c>
      <c r="X361" s="67">
        <f>IF(V361=1,acctAP,"")</f>
        <v/>
      </c>
      <c r="Y361" s="68">
        <f>IF(V361=1,G361-S361,0)</f>
        <v/>
      </c>
      <c r="Z361" s="68">
        <f>IF(V361=1,G361,0)</f>
        <v/>
      </c>
      <c r="AA361" s="68">
        <f>IF(V361=1,S361,0)</f>
        <v/>
      </c>
    </row>
    <row r="362">
      <c r="B362" s="62" t="n"/>
      <c r="C362" s="63" t="n"/>
      <c r="D362" s="62" t="n"/>
      <c r="E362" s="62" t="n"/>
      <c r="F362" s="62" t="n"/>
      <c r="G362" s="64" t="n"/>
      <c r="H362" s="64" t="n"/>
      <c r="I362" s="63" t="n"/>
      <c r="J362" s="29">
        <f>IF(V362=1,IF(ISNUMBER(I362),I362,C362+IF(ISNUMBER(IFERROR(INDEX(vend_Terms,MATCH(D362,vend_Name,0)),"")),INDEX(vend_Terms,MATCH(D362,vend_Name,0)),TermsDays)),"")</f>
        <v/>
      </c>
      <c r="K362" s="65">
        <f>IF(V362=1,SUMIFS(tx_CrAmt,tx_Type,"Bill Payment",tx_Ref,B362&amp;"",tx_Vend,D362,tx_Date,"&lt;="&amp;AsOf),"")</f>
        <v/>
      </c>
      <c r="L362" s="65">
        <f>IF(V362=1,IF(C362&gt;AsOf,0,ROUND(G362-K362,2)),"")</f>
        <v/>
      </c>
      <c r="M362" s="66">
        <f>IF(V362&lt;&gt;1,"",IF(C362&gt;AsOf,"Future",IF(L362&lt;0,"Overpaid",IF(L362=0,"Paid",IF(AsOf&gt;J362,"Overdue",IF(K362&gt;0,"Partial","Unpaid"))))))</f>
        <v/>
      </c>
      <c r="N362" s="28">
        <f>IF(AND(V362=1,N(L362)&gt;0),AsOf-C362,"")</f>
        <v/>
      </c>
      <c r="O362" s="28">
        <f>IF(N362="","",MAX(0,AsOf-J362))</f>
        <v/>
      </c>
      <c r="P362" s="66">
        <f>IF(O362="","",IF(O362=0,"Current",IF(O362&lt;=30,"1-30",IF(O362&lt;=60,"31-60",IF(O362&lt;=90,"61-90","90+")))))</f>
        <v/>
      </c>
      <c r="Q362" s="66">
        <f>IF(T362&lt;&gt;"","⛔ "&amp;T362&amp;" — not posted",IF(U362&lt;&gt;"","⚠ "&amp;U362,IF(V362=1,"✓ OK","")))</f>
        <v/>
      </c>
      <c r="R362" s="67">
        <f>IF(AND(B362="",C362="",D362="",G362="",F362=""),1,0)</f>
        <v/>
      </c>
      <c r="S362" s="68">
        <f>IF(AND(TaxOn="Yes",ISNUMBER(H362)),H362,0)</f>
        <v/>
      </c>
      <c r="T362" s="67">
        <f>IF(R362=1,"",IF(B362="","Enter a bill #",IF(D362="","Select a vendor",IF(C362="","Missing bill date",IF(NOT(ISNUMBER(C362)),"Invalid date",IF(OR(C362&lt;DATE(2000,1,1),C362&gt;DATE(2099,12,31)),"Invalid date",IF(F362="","Select an expense account",IF(ISNA(MATCH(F362,coa_Name,0)),"Unknown account: "&amp;F362,IF(NOT(ISNUMBER(G362)),"Enter an amount",IF(G362&lt;=0,"Amount must be positive",IF(S362&gt;G362,"Tax is larger than the amount","")))))))))))</f>
        <v/>
      </c>
      <c r="U362" s="67">
        <f>IF(OR(R362=1,T362&lt;&gt;""),"",IF(COUNTIFS(ap_No,B362,ap_Party,D362)&gt;1,"Duplicate bill #",IF(N(L362)&lt;0,"Overpaid by "&amp;TEXT(-L362,"#,##0.00"),IF(AND(ISNUMBER(H362),N(H362)&lt;&gt;0,S362=0),"Tax ignored (tax tracking is off)",IF(AND(ISNUMBER(StartDate),C362&lt;StartDate),"Date is before the accounting start date",IF(OR(IFERROR(INDEX(coa_Type,MATCH(F362,coa_Name,0)),"")="Revenue",IFERROR(INDEX(coa_Type,MATCH(F362,coa_Name,0)),"")="Other Income",IFERROR(INDEX(coa_Type,MATCH(F362,coa_Name,0)),"")="Equity"),"Account is not an expense or asset account",""))))))</f>
        <v/>
      </c>
      <c r="V362" s="67">
        <f>IF(AND(R362=0,T362=""),1,0)</f>
        <v/>
      </c>
      <c r="W362" s="67">
        <f>IF(V362=1,F362,"")</f>
        <v/>
      </c>
      <c r="X362" s="67">
        <f>IF(V362=1,acctAP,"")</f>
        <v/>
      </c>
      <c r="Y362" s="68">
        <f>IF(V362=1,G362-S362,0)</f>
        <v/>
      </c>
      <c r="Z362" s="68">
        <f>IF(V362=1,G362,0)</f>
        <v/>
      </c>
      <c r="AA362" s="68">
        <f>IF(V362=1,S362,0)</f>
        <v/>
      </c>
    </row>
    <row r="363">
      <c r="B363" s="62" t="n"/>
      <c r="C363" s="63" t="n"/>
      <c r="D363" s="62" t="n"/>
      <c r="E363" s="62" t="n"/>
      <c r="F363" s="62" t="n"/>
      <c r="G363" s="64" t="n"/>
      <c r="H363" s="64" t="n"/>
      <c r="I363" s="63" t="n"/>
      <c r="J363" s="29">
        <f>IF(V363=1,IF(ISNUMBER(I363),I363,C363+IF(ISNUMBER(IFERROR(INDEX(vend_Terms,MATCH(D363,vend_Name,0)),"")),INDEX(vend_Terms,MATCH(D363,vend_Name,0)),TermsDays)),"")</f>
        <v/>
      </c>
      <c r="K363" s="65">
        <f>IF(V363=1,SUMIFS(tx_CrAmt,tx_Type,"Bill Payment",tx_Ref,B363&amp;"",tx_Vend,D363,tx_Date,"&lt;="&amp;AsOf),"")</f>
        <v/>
      </c>
      <c r="L363" s="65">
        <f>IF(V363=1,IF(C363&gt;AsOf,0,ROUND(G363-K363,2)),"")</f>
        <v/>
      </c>
      <c r="M363" s="66">
        <f>IF(V363&lt;&gt;1,"",IF(C363&gt;AsOf,"Future",IF(L363&lt;0,"Overpaid",IF(L363=0,"Paid",IF(AsOf&gt;J363,"Overdue",IF(K363&gt;0,"Partial","Unpaid"))))))</f>
        <v/>
      </c>
      <c r="N363" s="28">
        <f>IF(AND(V363=1,N(L363)&gt;0),AsOf-C363,"")</f>
        <v/>
      </c>
      <c r="O363" s="28">
        <f>IF(N363="","",MAX(0,AsOf-J363))</f>
        <v/>
      </c>
      <c r="P363" s="66">
        <f>IF(O363="","",IF(O363=0,"Current",IF(O363&lt;=30,"1-30",IF(O363&lt;=60,"31-60",IF(O363&lt;=90,"61-90","90+")))))</f>
        <v/>
      </c>
      <c r="Q363" s="66">
        <f>IF(T363&lt;&gt;"","⛔ "&amp;T363&amp;" — not posted",IF(U363&lt;&gt;"","⚠ "&amp;U363,IF(V363=1,"✓ OK","")))</f>
        <v/>
      </c>
      <c r="R363" s="67">
        <f>IF(AND(B363="",C363="",D363="",G363="",F363=""),1,0)</f>
        <v/>
      </c>
      <c r="S363" s="68">
        <f>IF(AND(TaxOn="Yes",ISNUMBER(H363)),H363,0)</f>
        <v/>
      </c>
      <c r="T363" s="67">
        <f>IF(R363=1,"",IF(B363="","Enter a bill #",IF(D363="","Select a vendor",IF(C363="","Missing bill date",IF(NOT(ISNUMBER(C363)),"Invalid date",IF(OR(C363&lt;DATE(2000,1,1),C363&gt;DATE(2099,12,31)),"Invalid date",IF(F363="","Select an expense account",IF(ISNA(MATCH(F363,coa_Name,0)),"Unknown account: "&amp;F363,IF(NOT(ISNUMBER(G363)),"Enter an amount",IF(G363&lt;=0,"Amount must be positive",IF(S363&gt;G363,"Tax is larger than the amount","")))))))))))</f>
        <v/>
      </c>
      <c r="U363" s="67">
        <f>IF(OR(R363=1,T363&lt;&gt;""),"",IF(COUNTIFS(ap_No,B363,ap_Party,D363)&gt;1,"Duplicate bill #",IF(N(L363)&lt;0,"Overpaid by "&amp;TEXT(-L363,"#,##0.00"),IF(AND(ISNUMBER(H363),N(H363)&lt;&gt;0,S363=0),"Tax ignored (tax tracking is off)",IF(AND(ISNUMBER(StartDate),C363&lt;StartDate),"Date is before the accounting start date",IF(OR(IFERROR(INDEX(coa_Type,MATCH(F363,coa_Name,0)),"")="Revenue",IFERROR(INDEX(coa_Type,MATCH(F363,coa_Name,0)),"")="Other Income",IFERROR(INDEX(coa_Type,MATCH(F363,coa_Name,0)),"")="Equity"),"Account is not an expense or asset account",""))))))</f>
        <v/>
      </c>
      <c r="V363" s="67">
        <f>IF(AND(R363=0,T363=""),1,0)</f>
        <v/>
      </c>
      <c r="W363" s="67">
        <f>IF(V363=1,F363,"")</f>
        <v/>
      </c>
      <c r="X363" s="67">
        <f>IF(V363=1,acctAP,"")</f>
        <v/>
      </c>
      <c r="Y363" s="68">
        <f>IF(V363=1,G363-S363,0)</f>
        <v/>
      </c>
      <c r="Z363" s="68">
        <f>IF(V363=1,G363,0)</f>
        <v/>
      </c>
      <c r="AA363" s="68">
        <f>IF(V363=1,S363,0)</f>
        <v/>
      </c>
    </row>
    <row r="364">
      <c r="B364" s="62" t="n"/>
      <c r="C364" s="63" t="n"/>
      <c r="D364" s="62" t="n"/>
      <c r="E364" s="62" t="n"/>
      <c r="F364" s="62" t="n"/>
      <c r="G364" s="64" t="n"/>
      <c r="H364" s="64" t="n"/>
      <c r="I364" s="63" t="n"/>
      <c r="J364" s="29">
        <f>IF(V364=1,IF(ISNUMBER(I364),I364,C364+IF(ISNUMBER(IFERROR(INDEX(vend_Terms,MATCH(D364,vend_Name,0)),"")),INDEX(vend_Terms,MATCH(D364,vend_Name,0)),TermsDays)),"")</f>
        <v/>
      </c>
      <c r="K364" s="65">
        <f>IF(V364=1,SUMIFS(tx_CrAmt,tx_Type,"Bill Payment",tx_Ref,B364&amp;"",tx_Vend,D364,tx_Date,"&lt;="&amp;AsOf),"")</f>
        <v/>
      </c>
      <c r="L364" s="65">
        <f>IF(V364=1,IF(C364&gt;AsOf,0,ROUND(G364-K364,2)),"")</f>
        <v/>
      </c>
      <c r="M364" s="66">
        <f>IF(V364&lt;&gt;1,"",IF(C364&gt;AsOf,"Future",IF(L364&lt;0,"Overpaid",IF(L364=0,"Paid",IF(AsOf&gt;J364,"Overdue",IF(K364&gt;0,"Partial","Unpaid"))))))</f>
        <v/>
      </c>
      <c r="N364" s="28">
        <f>IF(AND(V364=1,N(L364)&gt;0),AsOf-C364,"")</f>
        <v/>
      </c>
      <c r="O364" s="28">
        <f>IF(N364="","",MAX(0,AsOf-J364))</f>
        <v/>
      </c>
      <c r="P364" s="66">
        <f>IF(O364="","",IF(O364=0,"Current",IF(O364&lt;=30,"1-30",IF(O364&lt;=60,"31-60",IF(O364&lt;=90,"61-90","90+")))))</f>
        <v/>
      </c>
      <c r="Q364" s="66">
        <f>IF(T364&lt;&gt;"","⛔ "&amp;T364&amp;" — not posted",IF(U364&lt;&gt;"","⚠ "&amp;U364,IF(V364=1,"✓ OK","")))</f>
        <v/>
      </c>
      <c r="R364" s="67">
        <f>IF(AND(B364="",C364="",D364="",G364="",F364=""),1,0)</f>
        <v/>
      </c>
      <c r="S364" s="68">
        <f>IF(AND(TaxOn="Yes",ISNUMBER(H364)),H364,0)</f>
        <v/>
      </c>
      <c r="T364" s="67">
        <f>IF(R364=1,"",IF(B364="","Enter a bill #",IF(D364="","Select a vendor",IF(C364="","Missing bill date",IF(NOT(ISNUMBER(C364)),"Invalid date",IF(OR(C364&lt;DATE(2000,1,1),C364&gt;DATE(2099,12,31)),"Invalid date",IF(F364="","Select an expense account",IF(ISNA(MATCH(F364,coa_Name,0)),"Unknown account: "&amp;F364,IF(NOT(ISNUMBER(G364)),"Enter an amount",IF(G364&lt;=0,"Amount must be positive",IF(S364&gt;G364,"Tax is larger than the amount","")))))))))))</f>
        <v/>
      </c>
      <c r="U364" s="67">
        <f>IF(OR(R364=1,T364&lt;&gt;""),"",IF(COUNTIFS(ap_No,B364,ap_Party,D364)&gt;1,"Duplicate bill #",IF(N(L364)&lt;0,"Overpaid by "&amp;TEXT(-L364,"#,##0.00"),IF(AND(ISNUMBER(H364),N(H364)&lt;&gt;0,S364=0),"Tax ignored (tax tracking is off)",IF(AND(ISNUMBER(StartDate),C364&lt;StartDate),"Date is before the accounting start date",IF(OR(IFERROR(INDEX(coa_Type,MATCH(F364,coa_Name,0)),"")="Revenue",IFERROR(INDEX(coa_Type,MATCH(F364,coa_Name,0)),"")="Other Income",IFERROR(INDEX(coa_Type,MATCH(F364,coa_Name,0)),"")="Equity"),"Account is not an expense or asset account",""))))))</f>
        <v/>
      </c>
      <c r="V364" s="67">
        <f>IF(AND(R364=0,T364=""),1,0)</f>
        <v/>
      </c>
      <c r="W364" s="67">
        <f>IF(V364=1,F364,"")</f>
        <v/>
      </c>
      <c r="X364" s="67">
        <f>IF(V364=1,acctAP,"")</f>
        <v/>
      </c>
      <c r="Y364" s="68">
        <f>IF(V364=1,G364-S364,0)</f>
        <v/>
      </c>
      <c r="Z364" s="68">
        <f>IF(V364=1,G364,0)</f>
        <v/>
      </c>
      <c r="AA364" s="68">
        <f>IF(V364=1,S364,0)</f>
        <v/>
      </c>
    </row>
    <row r="365">
      <c r="B365" s="62" t="n"/>
      <c r="C365" s="63" t="n"/>
      <c r="D365" s="62" t="n"/>
      <c r="E365" s="62" t="n"/>
      <c r="F365" s="62" t="n"/>
      <c r="G365" s="64" t="n"/>
      <c r="H365" s="64" t="n"/>
      <c r="I365" s="63" t="n"/>
      <c r="J365" s="29">
        <f>IF(V365=1,IF(ISNUMBER(I365),I365,C365+IF(ISNUMBER(IFERROR(INDEX(vend_Terms,MATCH(D365,vend_Name,0)),"")),INDEX(vend_Terms,MATCH(D365,vend_Name,0)),TermsDays)),"")</f>
        <v/>
      </c>
      <c r="K365" s="65">
        <f>IF(V365=1,SUMIFS(tx_CrAmt,tx_Type,"Bill Payment",tx_Ref,B365&amp;"",tx_Vend,D365,tx_Date,"&lt;="&amp;AsOf),"")</f>
        <v/>
      </c>
      <c r="L365" s="65">
        <f>IF(V365=1,IF(C365&gt;AsOf,0,ROUND(G365-K365,2)),"")</f>
        <v/>
      </c>
      <c r="M365" s="66">
        <f>IF(V365&lt;&gt;1,"",IF(C365&gt;AsOf,"Future",IF(L365&lt;0,"Overpaid",IF(L365=0,"Paid",IF(AsOf&gt;J365,"Overdue",IF(K365&gt;0,"Partial","Unpaid"))))))</f>
        <v/>
      </c>
      <c r="N365" s="28">
        <f>IF(AND(V365=1,N(L365)&gt;0),AsOf-C365,"")</f>
        <v/>
      </c>
      <c r="O365" s="28">
        <f>IF(N365="","",MAX(0,AsOf-J365))</f>
        <v/>
      </c>
      <c r="P365" s="66">
        <f>IF(O365="","",IF(O365=0,"Current",IF(O365&lt;=30,"1-30",IF(O365&lt;=60,"31-60",IF(O365&lt;=90,"61-90","90+")))))</f>
        <v/>
      </c>
      <c r="Q365" s="66">
        <f>IF(T365&lt;&gt;"","⛔ "&amp;T365&amp;" — not posted",IF(U365&lt;&gt;"","⚠ "&amp;U365,IF(V365=1,"✓ OK","")))</f>
        <v/>
      </c>
      <c r="R365" s="67">
        <f>IF(AND(B365="",C365="",D365="",G365="",F365=""),1,0)</f>
        <v/>
      </c>
      <c r="S365" s="68">
        <f>IF(AND(TaxOn="Yes",ISNUMBER(H365)),H365,0)</f>
        <v/>
      </c>
      <c r="T365" s="67">
        <f>IF(R365=1,"",IF(B365="","Enter a bill #",IF(D365="","Select a vendor",IF(C365="","Missing bill date",IF(NOT(ISNUMBER(C365)),"Invalid date",IF(OR(C365&lt;DATE(2000,1,1),C365&gt;DATE(2099,12,31)),"Invalid date",IF(F365="","Select an expense account",IF(ISNA(MATCH(F365,coa_Name,0)),"Unknown account: "&amp;F365,IF(NOT(ISNUMBER(G365)),"Enter an amount",IF(G365&lt;=0,"Amount must be positive",IF(S365&gt;G365,"Tax is larger than the amount","")))))))))))</f>
        <v/>
      </c>
      <c r="U365" s="67">
        <f>IF(OR(R365=1,T365&lt;&gt;""),"",IF(COUNTIFS(ap_No,B365,ap_Party,D365)&gt;1,"Duplicate bill #",IF(N(L365)&lt;0,"Overpaid by "&amp;TEXT(-L365,"#,##0.00"),IF(AND(ISNUMBER(H365),N(H365)&lt;&gt;0,S365=0),"Tax ignored (tax tracking is off)",IF(AND(ISNUMBER(StartDate),C365&lt;StartDate),"Date is before the accounting start date",IF(OR(IFERROR(INDEX(coa_Type,MATCH(F365,coa_Name,0)),"")="Revenue",IFERROR(INDEX(coa_Type,MATCH(F365,coa_Name,0)),"")="Other Income",IFERROR(INDEX(coa_Type,MATCH(F365,coa_Name,0)),"")="Equity"),"Account is not an expense or asset account",""))))))</f>
        <v/>
      </c>
      <c r="V365" s="67">
        <f>IF(AND(R365=0,T365=""),1,0)</f>
        <v/>
      </c>
      <c r="W365" s="67">
        <f>IF(V365=1,F365,"")</f>
        <v/>
      </c>
      <c r="X365" s="67">
        <f>IF(V365=1,acctAP,"")</f>
        <v/>
      </c>
      <c r="Y365" s="68">
        <f>IF(V365=1,G365-S365,0)</f>
        <v/>
      </c>
      <c r="Z365" s="68">
        <f>IF(V365=1,G365,0)</f>
        <v/>
      </c>
      <c r="AA365" s="68">
        <f>IF(V365=1,S365,0)</f>
        <v/>
      </c>
    </row>
    <row r="366">
      <c r="B366" s="62" t="n"/>
      <c r="C366" s="63" t="n"/>
      <c r="D366" s="62" t="n"/>
      <c r="E366" s="62" t="n"/>
      <c r="F366" s="62" t="n"/>
      <c r="G366" s="64" t="n"/>
      <c r="H366" s="64" t="n"/>
      <c r="I366" s="63" t="n"/>
      <c r="J366" s="29">
        <f>IF(V366=1,IF(ISNUMBER(I366),I366,C366+IF(ISNUMBER(IFERROR(INDEX(vend_Terms,MATCH(D366,vend_Name,0)),"")),INDEX(vend_Terms,MATCH(D366,vend_Name,0)),TermsDays)),"")</f>
        <v/>
      </c>
      <c r="K366" s="65">
        <f>IF(V366=1,SUMIFS(tx_CrAmt,tx_Type,"Bill Payment",tx_Ref,B366&amp;"",tx_Vend,D366,tx_Date,"&lt;="&amp;AsOf),"")</f>
        <v/>
      </c>
      <c r="L366" s="65">
        <f>IF(V366=1,IF(C366&gt;AsOf,0,ROUND(G366-K366,2)),"")</f>
        <v/>
      </c>
      <c r="M366" s="66">
        <f>IF(V366&lt;&gt;1,"",IF(C366&gt;AsOf,"Future",IF(L366&lt;0,"Overpaid",IF(L366=0,"Paid",IF(AsOf&gt;J366,"Overdue",IF(K366&gt;0,"Partial","Unpaid"))))))</f>
        <v/>
      </c>
      <c r="N366" s="28">
        <f>IF(AND(V366=1,N(L366)&gt;0),AsOf-C366,"")</f>
        <v/>
      </c>
      <c r="O366" s="28">
        <f>IF(N366="","",MAX(0,AsOf-J366))</f>
        <v/>
      </c>
      <c r="P366" s="66">
        <f>IF(O366="","",IF(O366=0,"Current",IF(O366&lt;=30,"1-30",IF(O366&lt;=60,"31-60",IF(O366&lt;=90,"61-90","90+")))))</f>
        <v/>
      </c>
      <c r="Q366" s="66">
        <f>IF(T366&lt;&gt;"","⛔ "&amp;T366&amp;" — not posted",IF(U366&lt;&gt;"","⚠ "&amp;U366,IF(V366=1,"✓ OK","")))</f>
        <v/>
      </c>
      <c r="R366" s="67">
        <f>IF(AND(B366="",C366="",D366="",G366="",F366=""),1,0)</f>
        <v/>
      </c>
      <c r="S366" s="68">
        <f>IF(AND(TaxOn="Yes",ISNUMBER(H366)),H366,0)</f>
        <v/>
      </c>
      <c r="T366" s="67">
        <f>IF(R366=1,"",IF(B366="","Enter a bill #",IF(D366="","Select a vendor",IF(C366="","Missing bill date",IF(NOT(ISNUMBER(C366)),"Invalid date",IF(OR(C366&lt;DATE(2000,1,1),C366&gt;DATE(2099,12,31)),"Invalid date",IF(F366="","Select an expense account",IF(ISNA(MATCH(F366,coa_Name,0)),"Unknown account: "&amp;F366,IF(NOT(ISNUMBER(G366)),"Enter an amount",IF(G366&lt;=0,"Amount must be positive",IF(S366&gt;G366,"Tax is larger than the amount","")))))))))))</f>
        <v/>
      </c>
      <c r="U366" s="67">
        <f>IF(OR(R366=1,T366&lt;&gt;""),"",IF(COUNTIFS(ap_No,B366,ap_Party,D366)&gt;1,"Duplicate bill #",IF(N(L366)&lt;0,"Overpaid by "&amp;TEXT(-L366,"#,##0.00"),IF(AND(ISNUMBER(H366),N(H366)&lt;&gt;0,S366=0),"Tax ignored (tax tracking is off)",IF(AND(ISNUMBER(StartDate),C366&lt;StartDate),"Date is before the accounting start date",IF(OR(IFERROR(INDEX(coa_Type,MATCH(F366,coa_Name,0)),"")="Revenue",IFERROR(INDEX(coa_Type,MATCH(F366,coa_Name,0)),"")="Other Income",IFERROR(INDEX(coa_Type,MATCH(F366,coa_Name,0)),"")="Equity"),"Account is not an expense or asset account",""))))))</f>
        <v/>
      </c>
      <c r="V366" s="67">
        <f>IF(AND(R366=0,T366=""),1,0)</f>
        <v/>
      </c>
      <c r="W366" s="67">
        <f>IF(V366=1,F366,"")</f>
        <v/>
      </c>
      <c r="X366" s="67">
        <f>IF(V366=1,acctAP,"")</f>
        <v/>
      </c>
      <c r="Y366" s="68">
        <f>IF(V366=1,G366-S366,0)</f>
        <v/>
      </c>
      <c r="Z366" s="68">
        <f>IF(V366=1,G366,0)</f>
        <v/>
      </c>
      <c r="AA366" s="68">
        <f>IF(V366=1,S366,0)</f>
        <v/>
      </c>
    </row>
    <row r="367">
      <c r="B367" s="62" t="n"/>
      <c r="C367" s="63" t="n"/>
      <c r="D367" s="62" t="n"/>
      <c r="E367" s="62" t="n"/>
      <c r="F367" s="62" t="n"/>
      <c r="G367" s="64" t="n"/>
      <c r="H367" s="64" t="n"/>
      <c r="I367" s="63" t="n"/>
      <c r="J367" s="29">
        <f>IF(V367=1,IF(ISNUMBER(I367),I367,C367+IF(ISNUMBER(IFERROR(INDEX(vend_Terms,MATCH(D367,vend_Name,0)),"")),INDEX(vend_Terms,MATCH(D367,vend_Name,0)),TermsDays)),"")</f>
        <v/>
      </c>
      <c r="K367" s="65">
        <f>IF(V367=1,SUMIFS(tx_CrAmt,tx_Type,"Bill Payment",tx_Ref,B367&amp;"",tx_Vend,D367,tx_Date,"&lt;="&amp;AsOf),"")</f>
        <v/>
      </c>
      <c r="L367" s="65">
        <f>IF(V367=1,IF(C367&gt;AsOf,0,ROUND(G367-K367,2)),"")</f>
        <v/>
      </c>
      <c r="M367" s="66">
        <f>IF(V367&lt;&gt;1,"",IF(C367&gt;AsOf,"Future",IF(L367&lt;0,"Overpaid",IF(L367=0,"Paid",IF(AsOf&gt;J367,"Overdue",IF(K367&gt;0,"Partial","Unpaid"))))))</f>
        <v/>
      </c>
      <c r="N367" s="28">
        <f>IF(AND(V367=1,N(L367)&gt;0),AsOf-C367,"")</f>
        <v/>
      </c>
      <c r="O367" s="28">
        <f>IF(N367="","",MAX(0,AsOf-J367))</f>
        <v/>
      </c>
      <c r="P367" s="66">
        <f>IF(O367="","",IF(O367=0,"Current",IF(O367&lt;=30,"1-30",IF(O367&lt;=60,"31-60",IF(O367&lt;=90,"61-90","90+")))))</f>
        <v/>
      </c>
      <c r="Q367" s="66">
        <f>IF(T367&lt;&gt;"","⛔ "&amp;T367&amp;" — not posted",IF(U367&lt;&gt;"","⚠ "&amp;U367,IF(V367=1,"✓ OK","")))</f>
        <v/>
      </c>
      <c r="R367" s="67">
        <f>IF(AND(B367="",C367="",D367="",G367="",F367=""),1,0)</f>
        <v/>
      </c>
      <c r="S367" s="68">
        <f>IF(AND(TaxOn="Yes",ISNUMBER(H367)),H367,0)</f>
        <v/>
      </c>
      <c r="T367" s="67">
        <f>IF(R367=1,"",IF(B367="","Enter a bill #",IF(D367="","Select a vendor",IF(C367="","Missing bill date",IF(NOT(ISNUMBER(C367)),"Invalid date",IF(OR(C367&lt;DATE(2000,1,1),C367&gt;DATE(2099,12,31)),"Invalid date",IF(F367="","Select an expense account",IF(ISNA(MATCH(F367,coa_Name,0)),"Unknown account: "&amp;F367,IF(NOT(ISNUMBER(G367)),"Enter an amount",IF(G367&lt;=0,"Amount must be positive",IF(S367&gt;G367,"Tax is larger than the amount","")))))))))))</f>
        <v/>
      </c>
      <c r="U367" s="67">
        <f>IF(OR(R367=1,T367&lt;&gt;""),"",IF(COUNTIFS(ap_No,B367,ap_Party,D367)&gt;1,"Duplicate bill #",IF(N(L367)&lt;0,"Overpaid by "&amp;TEXT(-L367,"#,##0.00"),IF(AND(ISNUMBER(H367),N(H367)&lt;&gt;0,S367=0),"Tax ignored (tax tracking is off)",IF(AND(ISNUMBER(StartDate),C367&lt;StartDate),"Date is before the accounting start date",IF(OR(IFERROR(INDEX(coa_Type,MATCH(F367,coa_Name,0)),"")="Revenue",IFERROR(INDEX(coa_Type,MATCH(F367,coa_Name,0)),"")="Other Income",IFERROR(INDEX(coa_Type,MATCH(F367,coa_Name,0)),"")="Equity"),"Account is not an expense or asset account",""))))))</f>
        <v/>
      </c>
      <c r="V367" s="67">
        <f>IF(AND(R367=0,T367=""),1,0)</f>
        <v/>
      </c>
      <c r="W367" s="67">
        <f>IF(V367=1,F367,"")</f>
        <v/>
      </c>
      <c r="X367" s="67">
        <f>IF(V367=1,acctAP,"")</f>
        <v/>
      </c>
      <c r="Y367" s="68">
        <f>IF(V367=1,G367-S367,0)</f>
        <v/>
      </c>
      <c r="Z367" s="68">
        <f>IF(V367=1,G367,0)</f>
        <v/>
      </c>
      <c r="AA367" s="68">
        <f>IF(V367=1,S367,0)</f>
        <v/>
      </c>
    </row>
    <row r="368">
      <c r="B368" s="62" t="n"/>
      <c r="C368" s="63" t="n"/>
      <c r="D368" s="62" t="n"/>
      <c r="E368" s="62" t="n"/>
      <c r="F368" s="62" t="n"/>
      <c r="G368" s="64" t="n"/>
      <c r="H368" s="64" t="n"/>
      <c r="I368" s="63" t="n"/>
      <c r="J368" s="29">
        <f>IF(V368=1,IF(ISNUMBER(I368),I368,C368+IF(ISNUMBER(IFERROR(INDEX(vend_Terms,MATCH(D368,vend_Name,0)),"")),INDEX(vend_Terms,MATCH(D368,vend_Name,0)),TermsDays)),"")</f>
        <v/>
      </c>
      <c r="K368" s="65">
        <f>IF(V368=1,SUMIFS(tx_CrAmt,tx_Type,"Bill Payment",tx_Ref,B368&amp;"",tx_Vend,D368,tx_Date,"&lt;="&amp;AsOf),"")</f>
        <v/>
      </c>
      <c r="L368" s="65">
        <f>IF(V368=1,IF(C368&gt;AsOf,0,ROUND(G368-K368,2)),"")</f>
        <v/>
      </c>
      <c r="M368" s="66">
        <f>IF(V368&lt;&gt;1,"",IF(C368&gt;AsOf,"Future",IF(L368&lt;0,"Overpaid",IF(L368=0,"Paid",IF(AsOf&gt;J368,"Overdue",IF(K368&gt;0,"Partial","Unpaid"))))))</f>
        <v/>
      </c>
      <c r="N368" s="28">
        <f>IF(AND(V368=1,N(L368)&gt;0),AsOf-C368,"")</f>
        <v/>
      </c>
      <c r="O368" s="28">
        <f>IF(N368="","",MAX(0,AsOf-J368))</f>
        <v/>
      </c>
      <c r="P368" s="66">
        <f>IF(O368="","",IF(O368=0,"Current",IF(O368&lt;=30,"1-30",IF(O368&lt;=60,"31-60",IF(O368&lt;=90,"61-90","90+")))))</f>
        <v/>
      </c>
      <c r="Q368" s="66">
        <f>IF(T368&lt;&gt;"","⛔ "&amp;T368&amp;" — not posted",IF(U368&lt;&gt;"","⚠ "&amp;U368,IF(V368=1,"✓ OK","")))</f>
        <v/>
      </c>
      <c r="R368" s="67">
        <f>IF(AND(B368="",C368="",D368="",G368="",F368=""),1,0)</f>
        <v/>
      </c>
      <c r="S368" s="68">
        <f>IF(AND(TaxOn="Yes",ISNUMBER(H368)),H368,0)</f>
        <v/>
      </c>
      <c r="T368" s="67">
        <f>IF(R368=1,"",IF(B368="","Enter a bill #",IF(D368="","Select a vendor",IF(C368="","Missing bill date",IF(NOT(ISNUMBER(C368)),"Invalid date",IF(OR(C368&lt;DATE(2000,1,1),C368&gt;DATE(2099,12,31)),"Invalid date",IF(F368="","Select an expense account",IF(ISNA(MATCH(F368,coa_Name,0)),"Unknown account: "&amp;F368,IF(NOT(ISNUMBER(G368)),"Enter an amount",IF(G368&lt;=0,"Amount must be positive",IF(S368&gt;G368,"Tax is larger than the amount","")))))))))))</f>
        <v/>
      </c>
      <c r="U368" s="67">
        <f>IF(OR(R368=1,T368&lt;&gt;""),"",IF(COUNTIFS(ap_No,B368,ap_Party,D368)&gt;1,"Duplicate bill #",IF(N(L368)&lt;0,"Overpaid by "&amp;TEXT(-L368,"#,##0.00"),IF(AND(ISNUMBER(H368),N(H368)&lt;&gt;0,S368=0),"Tax ignored (tax tracking is off)",IF(AND(ISNUMBER(StartDate),C368&lt;StartDate),"Date is before the accounting start date",IF(OR(IFERROR(INDEX(coa_Type,MATCH(F368,coa_Name,0)),"")="Revenue",IFERROR(INDEX(coa_Type,MATCH(F368,coa_Name,0)),"")="Other Income",IFERROR(INDEX(coa_Type,MATCH(F368,coa_Name,0)),"")="Equity"),"Account is not an expense or asset account",""))))))</f>
        <v/>
      </c>
      <c r="V368" s="67">
        <f>IF(AND(R368=0,T368=""),1,0)</f>
        <v/>
      </c>
      <c r="W368" s="67">
        <f>IF(V368=1,F368,"")</f>
        <v/>
      </c>
      <c r="X368" s="67">
        <f>IF(V368=1,acctAP,"")</f>
        <v/>
      </c>
      <c r="Y368" s="68">
        <f>IF(V368=1,G368-S368,0)</f>
        <v/>
      </c>
      <c r="Z368" s="68">
        <f>IF(V368=1,G368,0)</f>
        <v/>
      </c>
      <c r="AA368" s="68">
        <f>IF(V368=1,S368,0)</f>
        <v/>
      </c>
    </row>
    <row r="369">
      <c r="B369" s="62" t="n"/>
      <c r="C369" s="63" t="n"/>
      <c r="D369" s="62" t="n"/>
      <c r="E369" s="62" t="n"/>
      <c r="F369" s="62" t="n"/>
      <c r="G369" s="64" t="n"/>
      <c r="H369" s="64" t="n"/>
      <c r="I369" s="63" t="n"/>
      <c r="J369" s="29">
        <f>IF(V369=1,IF(ISNUMBER(I369),I369,C369+IF(ISNUMBER(IFERROR(INDEX(vend_Terms,MATCH(D369,vend_Name,0)),"")),INDEX(vend_Terms,MATCH(D369,vend_Name,0)),TermsDays)),"")</f>
        <v/>
      </c>
      <c r="K369" s="65">
        <f>IF(V369=1,SUMIFS(tx_CrAmt,tx_Type,"Bill Payment",tx_Ref,B369&amp;"",tx_Vend,D369,tx_Date,"&lt;="&amp;AsOf),"")</f>
        <v/>
      </c>
      <c r="L369" s="65">
        <f>IF(V369=1,IF(C369&gt;AsOf,0,ROUND(G369-K369,2)),"")</f>
        <v/>
      </c>
      <c r="M369" s="66">
        <f>IF(V369&lt;&gt;1,"",IF(C369&gt;AsOf,"Future",IF(L369&lt;0,"Overpaid",IF(L369=0,"Paid",IF(AsOf&gt;J369,"Overdue",IF(K369&gt;0,"Partial","Unpaid"))))))</f>
        <v/>
      </c>
      <c r="N369" s="28">
        <f>IF(AND(V369=1,N(L369)&gt;0),AsOf-C369,"")</f>
        <v/>
      </c>
      <c r="O369" s="28">
        <f>IF(N369="","",MAX(0,AsOf-J369))</f>
        <v/>
      </c>
      <c r="P369" s="66">
        <f>IF(O369="","",IF(O369=0,"Current",IF(O369&lt;=30,"1-30",IF(O369&lt;=60,"31-60",IF(O369&lt;=90,"61-90","90+")))))</f>
        <v/>
      </c>
      <c r="Q369" s="66">
        <f>IF(T369&lt;&gt;"","⛔ "&amp;T369&amp;" — not posted",IF(U369&lt;&gt;"","⚠ "&amp;U369,IF(V369=1,"✓ OK","")))</f>
        <v/>
      </c>
      <c r="R369" s="67">
        <f>IF(AND(B369="",C369="",D369="",G369="",F369=""),1,0)</f>
        <v/>
      </c>
      <c r="S369" s="68">
        <f>IF(AND(TaxOn="Yes",ISNUMBER(H369)),H369,0)</f>
        <v/>
      </c>
      <c r="T369" s="67">
        <f>IF(R369=1,"",IF(B369="","Enter a bill #",IF(D369="","Select a vendor",IF(C369="","Missing bill date",IF(NOT(ISNUMBER(C369)),"Invalid date",IF(OR(C369&lt;DATE(2000,1,1),C369&gt;DATE(2099,12,31)),"Invalid date",IF(F369="","Select an expense account",IF(ISNA(MATCH(F369,coa_Name,0)),"Unknown account: "&amp;F369,IF(NOT(ISNUMBER(G369)),"Enter an amount",IF(G369&lt;=0,"Amount must be positive",IF(S369&gt;G369,"Tax is larger than the amount","")))))))))))</f>
        <v/>
      </c>
      <c r="U369" s="67">
        <f>IF(OR(R369=1,T369&lt;&gt;""),"",IF(COUNTIFS(ap_No,B369,ap_Party,D369)&gt;1,"Duplicate bill #",IF(N(L369)&lt;0,"Overpaid by "&amp;TEXT(-L369,"#,##0.00"),IF(AND(ISNUMBER(H369),N(H369)&lt;&gt;0,S369=0),"Tax ignored (tax tracking is off)",IF(AND(ISNUMBER(StartDate),C369&lt;StartDate),"Date is before the accounting start date",IF(OR(IFERROR(INDEX(coa_Type,MATCH(F369,coa_Name,0)),"")="Revenue",IFERROR(INDEX(coa_Type,MATCH(F369,coa_Name,0)),"")="Other Income",IFERROR(INDEX(coa_Type,MATCH(F369,coa_Name,0)),"")="Equity"),"Account is not an expense or asset account",""))))))</f>
        <v/>
      </c>
      <c r="V369" s="67">
        <f>IF(AND(R369=0,T369=""),1,0)</f>
        <v/>
      </c>
      <c r="W369" s="67">
        <f>IF(V369=1,F369,"")</f>
        <v/>
      </c>
      <c r="X369" s="67">
        <f>IF(V369=1,acctAP,"")</f>
        <v/>
      </c>
      <c r="Y369" s="68">
        <f>IF(V369=1,G369-S369,0)</f>
        <v/>
      </c>
      <c r="Z369" s="68">
        <f>IF(V369=1,G369,0)</f>
        <v/>
      </c>
      <c r="AA369" s="68">
        <f>IF(V369=1,S369,0)</f>
        <v/>
      </c>
    </row>
    <row r="370">
      <c r="B370" s="62" t="n"/>
      <c r="C370" s="63" t="n"/>
      <c r="D370" s="62" t="n"/>
      <c r="E370" s="62" t="n"/>
      <c r="F370" s="62" t="n"/>
      <c r="G370" s="64" t="n"/>
      <c r="H370" s="64" t="n"/>
      <c r="I370" s="63" t="n"/>
      <c r="J370" s="29">
        <f>IF(V370=1,IF(ISNUMBER(I370),I370,C370+IF(ISNUMBER(IFERROR(INDEX(vend_Terms,MATCH(D370,vend_Name,0)),"")),INDEX(vend_Terms,MATCH(D370,vend_Name,0)),TermsDays)),"")</f>
        <v/>
      </c>
      <c r="K370" s="65">
        <f>IF(V370=1,SUMIFS(tx_CrAmt,tx_Type,"Bill Payment",tx_Ref,B370&amp;"",tx_Vend,D370,tx_Date,"&lt;="&amp;AsOf),"")</f>
        <v/>
      </c>
      <c r="L370" s="65">
        <f>IF(V370=1,IF(C370&gt;AsOf,0,ROUND(G370-K370,2)),"")</f>
        <v/>
      </c>
      <c r="M370" s="66">
        <f>IF(V370&lt;&gt;1,"",IF(C370&gt;AsOf,"Future",IF(L370&lt;0,"Overpaid",IF(L370=0,"Paid",IF(AsOf&gt;J370,"Overdue",IF(K370&gt;0,"Partial","Unpaid"))))))</f>
        <v/>
      </c>
      <c r="N370" s="28">
        <f>IF(AND(V370=1,N(L370)&gt;0),AsOf-C370,"")</f>
        <v/>
      </c>
      <c r="O370" s="28">
        <f>IF(N370="","",MAX(0,AsOf-J370))</f>
        <v/>
      </c>
      <c r="P370" s="66">
        <f>IF(O370="","",IF(O370=0,"Current",IF(O370&lt;=30,"1-30",IF(O370&lt;=60,"31-60",IF(O370&lt;=90,"61-90","90+")))))</f>
        <v/>
      </c>
      <c r="Q370" s="66">
        <f>IF(T370&lt;&gt;"","⛔ "&amp;T370&amp;" — not posted",IF(U370&lt;&gt;"","⚠ "&amp;U370,IF(V370=1,"✓ OK","")))</f>
        <v/>
      </c>
      <c r="R370" s="67">
        <f>IF(AND(B370="",C370="",D370="",G370="",F370=""),1,0)</f>
        <v/>
      </c>
      <c r="S370" s="68">
        <f>IF(AND(TaxOn="Yes",ISNUMBER(H370)),H370,0)</f>
        <v/>
      </c>
      <c r="T370" s="67">
        <f>IF(R370=1,"",IF(B370="","Enter a bill #",IF(D370="","Select a vendor",IF(C370="","Missing bill date",IF(NOT(ISNUMBER(C370)),"Invalid date",IF(OR(C370&lt;DATE(2000,1,1),C370&gt;DATE(2099,12,31)),"Invalid date",IF(F370="","Select an expense account",IF(ISNA(MATCH(F370,coa_Name,0)),"Unknown account: "&amp;F370,IF(NOT(ISNUMBER(G370)),"Enter an amount",IF(G370&lt;=0,"Amount must be positive",IF(S370&gt;G370,"Tax is larger than the amount","")))))))))))</f>
        <v/>
      </c>
      <c r="U370" s="67">
        <f>IF(OR(R370=1,T370&lt;&gt;""),"",IF(COUNTIFS(ap_No,B370,ap_Party,D370)&gt;1,"Duplicate bill #",IF(N(L370)&lt;0,"Overpaid by "&amp;TEXT(-L370,"#,##0.00"),IF(AND(ISNUMBER(H370),N(H370)&lt;&gt;0,S370=0),"Tax ignored (tax tracking is off)",IF(AND(ISNUMBER(StartDate),C370&lt;StartDate),"Date is before the accounting start date",IF(OR(IFERROR(INDEX(coa_Type,MATCH(F370,coa_Name,0)),"")="Revenue",IFERROR(INDEX(coa_Type,MATCH(F370,coa_Name,0)),"")="Other Income",IFERROR(INDEX(coa_Type,MATCH(F370,coa_Name,0)),"")="Equity"),"Account is not an expense or asset account",""))))))</f>
        <v/>
      </c>
      <c r="V370" s="67">
        <f>IF(AND(R370=0,T370=""),1,0)</f>
        <v/>
      </c>
      <c r="W370" s="67">
        <f>IF(V370=1,F370,"")</f>
        <v/>
      </c>
      <c r="X370" s="67">
        <f>IF(V370=1,acctAP,"")</f>
        <v/>
      </c>
      <c r="Y370" s="68">
        <f>IF(V370=1,G370-S370,0)</f>
        <v/>
      </c>
      <c r="Z370" s="68">
        <f>IF(V370=1,G370,0)</f>
        <v/>
      </c>
      <c r="AA370" s="68">
        <f>IF(V370=1,S370,0)</f>
        <v/>
      </c>
    </row>
    <row r="371">
      <c r="B371" s="62" t="n"/>
      <c r="C371" s="63" t="n"/>
      <c r="D371" s="62" t="n"/>
      <c r="E371" s="62" t="n"/>
      <c r="F371" s="62" t="n"/>
      <c r="G371" s="64" t="n"/>
      <c r="H371" s="64" t="n"/>
      <c r="I371" s="63" t="n"/>
      <c r="J371" s="29">
        <f>IF(V371=1,IF(ISNUMBER(I371),I371,C371+IF(ISNUMBER(IFERROR(INDEX(vend_Terms,MATCH(D371,vend_Name,0)),"")),INDEX(vend_Terms,MATCH(D371,vend_Name,0)),TermsDays)),"")</f>
        <v/>
      </c>
      <c r="K371" s="65">
        <f>IF(V371=1,SUMIFS(tx_CrAmt,tx_Type,"Bill Payment",tx_Ref,B371&amp;"",tx_Vend,D371,tx_Date,"&lt;="&amp;AsOf),"")</f>
        <v/>
      </c>
      <c r="L371" s="65">
        <f>IF(V371=1,IF(C371&gt;AsOf,0,ROUND(G371-K371,2)),"")</f>
        <v/>
      </c>
      <c r="M371" s="66">
        <f>IF(V371&lt;&gt;1,"",IF(C371&gt;AsOf,"Future",IF(L371&lt;0,"Overpaid",IF(L371=0,"Paid",IF(AsOf&gt;J371,"Overdue",IF(K371&gt;0,"Partial","Unpaid"))))))</f>
        <v/>
      </c>
      <c r="N371" s="28">
        <f>IF(AND(V371=1,N(L371)&gt;0),AsOf-C371,"")</f>
        <v/>
      </c>
      <c r="O371" s="28">
        <f>IF(N371="","",MAX(0,AsOf-J371))</f>
        <v/>
      </c>
      <c r="P371" s="66">
        <f>IF(O371="","",IF(O371=0,"Current",IF(O371&lt;=30,"1-30",IF(O371&lt;=60,"31-60",IF(O371&lt;=90,"61-90","90+")))))</f>
        <v/>
      </c>
      <c r="Q371" s="66">
        <f>IF(T371&lt;&gt;"","⛔ "&amp;T371&amp;" — not posted",IF(U371&lt;&gt;"","⚠ "&amp;U371,IF(V371=1,"✓ OK","")))</f>
        <v/>
      </c>
      <c r="R371" s="67">
        <f>IF(AND(B371="",C371="",D371="",G371="",F371=""),1,0)</f>
        <v/>
      </c>
      <c r="S371" s="68">
        <f>IF(AND(TaxOn="Yes",ISNUMBER(H371)),H371,0)</f>
        <v/>
      </c>
      <c r="T371" s="67">
        <f>IF(R371=1,"",IF(B371="","Enter a bill #",IF(D371="","Select a vendor",IF(C371="","Missing bill date",IF(NOT(ISNUMBER(C371)),"Invalid date",IF(OR(C371&lt;DATE(2000,1,1),C371&gt;DATE(2099,12,31)),"Invalid date",IF(F371="","Select an expense account",IF(ISNA(MATCH(F371,coa_Name,0)),"Unknown account: "&amp;F371,IF(NOT(ISNUMBER(G371)),"Enter an amount",IF(G371&lt;=0,"Amount must be positive",IF(S371&gt;G371,"Tax is larger than the amount","")))))))))))</f>
        <v/>
      </c>
      <c r="U371" s="67">
        <f>IF(OR(R371=1,T371&lt;&gt;""),"",IF(COUNTIFS(ap_No,B371,ap_Party,D371)&gt;1,"Duplicate bill #",IF(N(L371)&lt;0,"Overpaid by "&amp;TEXT(-L371,"#,##0.00"),IF(AND(ISNUMBER(H371),N(H371)&lt;&gt;0,S371=0),"Tax ignored (tax tracking is off)",IF(AND(ISNUMBER(StartDate),C371&lt;StartDate),"Date is before the accounting start date",IF(OR(IFERROR(INDEX(coa_Type,MATCH(F371,coa_Name,0)),"")="Revenue",IFERROR(INDEX(coa_Type,MATCH(F371,coa_Name,0)),"")="Other Income",IFERROR(INDEX(coa_Type,MATCH(F371,coa_Name,0)),"")="Equity"),"Account is not an expense or asset account",""))))))</f>
        <v/>
      </c>
      <c r="V371" s="67">
        <f>IF(AND(R371=0,T371=""),1,0)</f>
        <v/>
      </c>
      <c r="W371" s="67">
        <f>IF(V371=1,F371,"")</f>
        <v/>
      </c>
      <c r="X371" s="67">
        <f>IF(V371=1,acctAP,"")</f>
        <v/>
      </c>
      <c r="Y371" s="68">
        <f>IF(V371=1,G371-S371,0)</f>
        <v/>
      </c>
      <c r="Z371" s="68">
        <f>IF(V371=1,G371,0)</f>
        <v/>
      </c>
      <c r="AA371" s="68">
        <f>IF(V371=1,S371,0)</f>
        <v/>
      </c>
    </row>
    <row r="372">
      <c r="B372" s="62" t="n"/>
      <c r="C372" s="63" t="n"/>
      <c r="D372" s="62" t="n"/>
      <c r="E372" s="62" t="n"/>
      <c r="F372" s="62" t="n"/>
      <c r="G372" s="64" t="n"/>
      <c r="H372" s="64" t="n"/>
      <c r="I372" s="63" t="n"/>
      <c r="J372" s="29">
        <f>IF(V372=1,IF(ISNUMBER(I372),I372,C372+IF(ISNUMBER(IFERROR(INDEX(vend_Terms,MATCH(D372,vend_Name,0)),"")),INDEX(vend_Terms,MATCH(D372,vend_Name,0)),TermsDays)),"")</f>
        <v/>
      </c>
      <c r="K372" s="65">
        <f>IF(V372=1,SUMIFS(tx_CrAmt,tx_Type,"Bill Payment",tx_Ref,B372&amp;"",tx_Vend,D372,tx_Date,"&lt;="&amp;AsOf),"")</f>
        <v/>
      </c>
      <c r="L372" s="65">
        <f>IF(V372=1,IF(C372&gt;AsOf,0,ROUND(G372-K372,2)),"")</f>
        <v/>
      </c>
      <c r="M372" s="66">
        <f>IF(V372&lt;&gt;1,"",IF(C372&gt;AsOf,"Future",IF(L372&lt;0,"Overpaid",IF(L372=0,"Paid",IF(AsOf&gt;J372,"Overdue",IF(K372&gt;0,"Partial","Unpaid"))))))</f>
        <v/>
      </c>
      <c r="N372" s="28">
        <f>IF(AND(V372=1,N(L372)&gt;0),AsOf-C372,"")</f>
        <v/>
      </c>
      <c r="O372" s="28">
        <f>IF(N372="","",MAX(0,AsOf-J372))</f>
        <v/>
      </c>
      <c r="P372" s="66">
        <f>IF(O372="","",IF(O372=0,"Current",IF(O372&lt;=30,"1-30",IF(O372&lt;=60,"31-60",IF(O372&lt;=90,"61-90","90+")))))</f>
        <v/>
      </c>
      <c r="Q372" s="66">
        <f>IF(T372&lt;&gt;"","⛔ "&amp;T372&amp;" — not posted",IF(U372&lt;&gt;"","⚠ "&amp;U372,IF(V372=1,"✓ OK","")))</f>
        <v/>
      </c>
      <c r="R372" s="67">
        <f>IF(AND(B372="",C372="",D372="",G372="",F372=""),1,0)</f>
        <v/>
      </c>
      <c r="S372" s="68">
        <f>IF(AND(TaxOn="Yes",ISNUMBER(H372)),H372,0)</f>
        <v/>
      </c>
      <c r="T372" s="67">
        <f>IF(R372=1,"",IF(B372="","Enter a bill #",IF(D372="","Select a vendor",IF(C372="","Missing bill date",IF(NOT(ISNUMBER(C372)),"Invalid date",IF(OR(C372&lt;DATE(2000,1,1),C372&gt;DATE(2099,12,31)),"Invalid date",IF(F372="","Select an expense account",IF(ISNA(MATCH(F372,coa_Name,0)),"Unknown account: "&amp;F372,IF(NOT(ISNUMBER(G372)),"Enter an amount",IF(G372&lt;=0,"Amount must be positive",IF(S372&gt;G372,"Tax is larger than the amount","")))))))))))</f>
        <v/>
      </c>
      <c r="U372" s="67">
        <f>IF(OR(R372=1,T372&lt;&gt;""),"",IF(COUNTIFS(ap_No,B372,ap_Party,D372)&gt;1,"Duplicate bill #",IF(N(L372)&lt;0,"Overpaid by "&amp;TEXT(-L372,"#,##0.00"),IF(AND(ISNUMBER(H372),N(H372)&lt;&gt;0,S372=0),"Tax ignored (tax tracking is off)",IF(AND(ISNUMBER(StartDate),C372&lt;StartDate),"Date is before the accounting start date",IF(OR(IFERROR(INDEX(coa_Type,MATCH(F372,coa_Name,0)),"")="Revenue",IFERROR(INDEX(coa_Type,MATCH(F372,coa_Name,0)),"")="Other Income",IFERROR(INDEX(coa_Type,MATCH(F372,coa_Name,0)),"")="Equity"),"Account is not an expense or asset account",""))))))</f>
        <v/>
      </c>
      <c r="V372" s="67">
        <f>IF(AND(R372=0,T372=""),1,0)</f>
        <v/>
      </c>
      <c r="W372" s="67">
        <f>IF(V372=1,F372,"")</f>
        <v/>
      </c>
      <c r="X372" s="67">
        <f>IF(V372=1,acctAP,"")</f>
        <v/>
      </c>
      <c r="Y372" s="68">
        <f>IF(V372=1,G372-S372,0)</f>
        <v/>
      </c>
      <c r="Z372" s="68">
        <f>IF(V372=1,G372,0)</f>
        <v/>
      </c>
      <c r="AA372" s="68">
        <f>IF(V372=1,S372,0)</f>
        <v/>
      </c>
    </row>
    <row r="373">
      <c r="B373" s="62" t="n"/>
      <c r="C373" s="63" t="n"/>
      <c r="D373" s="62" t="n"/>
      <c r="E373" s="62" t="n"/>
      <c r="F373" s="62" t="n"/>
      <c r="G373" s="64" t="n"/>
      <c r="H373" s="64" t="n"/>
      <c r="I373" s="63" t="n"/>
      <c r="J373" s="29">
        <f>IF(V373=1,IF(ISNUMBER(I373),I373,C373+IF(ISNUMBER(IFERROR(INDEX(vend_Terms,MATCH(D373,vend_Name,0)),"")),INDEX(vend_Terms,MATCH(D373,vend_Name,0)),TermsDays)),"")</f>
        <v/>
      </c>
      <c r="K373" s="65">
        <f>IF(V373=1,SUMIFS(tx_CrAmt,tx_Type,"Bill Payment",tx_Ref,B373&amp;"",tx_Vend,D373,tx_Date,"&lt;="&amp;AsOf),"")</f>
        <v/>
      </c>
      <c r="L373" s="65">
        <f>IF(V373=1,IF(C373&gt;AsOf,0,ROUND(G373-K373,2)),"")</f>
        <v/>
      </c>
      <c r="M373" s="66">
        <f>IF(V373&lt;&gt;1,"",IF(C373&gt;AsOf,"Future",IF(L373&lt;0,"Overpaid",IF(L373=0,"Paid",IF(AsOf&gt;J373,"Overdue",IF(K373&gt;0,"Partial","Unpaid"))))))</f>
        <v/>
      </c>
      <c r="N373" s="28">
        <f>IF(AND(V373=1,N(L373)&gt;0),AsOf-C373,"")</f>
        <v/>
      </c>
      <c r="O373" s="28">
        <f>IF(N373="","",MAX(0,AsOf-J373))</f>
        <v/>
      </c>
      <c r="P373" s="66">
        <f>IF(O373="","",IF(O373=0,"Current",IF(O373&lt;=30,"1-30",IF(O373&lt;=60,"31-60",IF(O373&lt;=90,"61-90","90+")))))</f>
        <v/>
      </c>
      <c r="Q373" s="66">
        <f>IF(T373&lt;&gt;"","⛔ "&amp;T373&amp;" — not posted",IF(U373&lt;&gt;"","⚠ "&amp;U373,IF(V373=1,"✓ OK","")))</f>
        <v/>
      </c>
      <c r="R373" s="67">
        <f>IF(AND(B373="",C373="",D373="",G373="",F373=""),1,0)</f>
        <v/>
      </c>
      <c r="S373" s="68">
        <f>IF(AND(TaxOn="Yes",ISNUMBER(H373)),H373,0)</f>
        <v/>
      </c>
      <c r="T373" s="67">
        <f>IF(R373=1,"",IF(B373="","Enter a bill #",IF(D373="","Select a vendor",IF(C373="","Missing bill date",IF(NOT(ISNUMBER(C373)),"Invalid date",IF(OR(C373&lt;DATE(2000,1,1),C373&gt;DATE(2099,12,31)),"Invalid date",IF(F373="","Select an expense account",IF(ISNA(MATCH(F373,coa_Name,0)),"Unknown account: "&amp;F373,IF(NOT(ISNUMBER(G373)),"Enter an amount",IF(G373&lt;=0,"Amount must be positive",IF(S373&gt;G373,"Tax is larger than the amount","")))))))))))</f>
        <v/>
      </c>
      <c r="U373" s="67">
        <f>IF(OR(R373=1,T373&lt;&gt;""),"",IF(COUNTIFS(ap_No,B373,ap_Party,D373)&gt;1,"Duplicate bill #",IF(N(L373)&lt;0,"Overpaid by "&amp;TEXT(-L373,"#,##0.00"),IF(AND(ISNUMBER(H373),N(H373)&lt;&gt;0,S373=0),"Tax ignored (tax tracking is off)",IF(AND(ISNUMBER(StartDate),C373&lt;StartDate),"Date is before the accounting start date",IF(OR(IFERROR(INDEX(coa_Type,MATCH(F373,coa_Name,0)),"")="Revenue",IFERROR(INDEX(coa_Type,MATCH(F373,coa_Name,0)),"")="Other Income",IFERROR(INDEX(coa_Type,MATCH(F373,coa_Name,0)),"")="Equity"),"Account is not an expense or asset account",""))))))</f>
        <v/>
      </c>
      <c r="V373" s="67">
        <f>IF(AND(R373=0,T373=""),1,0)</f>
        <v/>
      </c>
      <c r="W373" s="67">
        <f>IF(V373=1,F373,"")</f>
        <v/>
      </c>
      <c r="X373" s="67">
        <f>IF(V373=1,acctAP,"")</f>
        <v/>
      </c>
      <c r="Y373" s="68">
        <f>IF(V373=1,G373-S373,0)</f>
        <v/>
      </c>
      <c r="Z373" s="68">
        <f>IF(V373=1,G373,0)</f>
        <v/>
      </c>
      <c r="AA373" s="68">
        <f>IF(V373=1,S373,0)</f>
        <v/>
      </c>
    </row>
    <row r="374">
      <c r="B374" s="62" t="n"/>
      <c r="C374" s="63" t="n"/>
      <c r="D374" s="62" t="n"/>
      <c r="E374" s="62" t="n"/>
      <c r="F374" s="62" t="n"/>
      <c r="G374" s="64" t="n"/>
      <c r="H374" s="64" t="n"/>
      <c r="I374" s="63" t="n"/>
      <c r="J374" s="29">
        <f>IF(V374=1,IF(ISNUMBER(I374),I374,C374+IF(ISNUMBER(IFERROR(INDEX(vend_Terms,MATCH(D374,vend_Name,0)),"")),INDEX(vend_Terms,MATCH(D374,vend_Name,0)),TermsDays)),"")</f>
        <v/>
      </c>
      <c r="K374" s="65">
        <f>IF(V374=1,SUMIFS(tx_CrAmt,tx_Type,"Bill Payment",tx_Ref,B374&amp;"",tx_Vend,D374,tx_Date,"&lt;="&amp;AsOf),"")</f>
        <v/>
      </c>
      <c r="L374" s="65">
        <f>IF(V374=1,IF(C374&gt;AsOf,0,ROUND(G374-K374,2)),"")</f>
        <v/>
      </c>
      <c r="M374" s="66">
        <f>IF(V374&lt;&gt;1,"",IF(C374&gt;AsOf,"Future",IF(L374&lt;0,"Overpaid",IF(L374=0,"Paid",IF(AsOf&gt;J374,"Overdue",IF(K374&gt;0,"Partial","Unpaid"))))))</f>
        <v/>
      </c>
      <c r="N374" s="28">
        <f>IF(AND(V374=1,N(L374)&gt;0),AsOf-C374,"")</f>
        <v/>
      </c>
      <c r="O374" s="28">
        <f>IF(N374="","",MAX(0,AsOf-J374))</f>
        <v/>
      </c>
      <c r="P374" s="66">
        <f>IF(O374="","",IF(O374=0,"Current",IF(O374&lt;=30,"1-30",IF(O374&lt;=60,"31-60",IF(O374&lt;=90,"61-90","90+")))))</f>
        <v/>
      </c>
      <c r="Q374" s="66">
        <f>IF(T374&lt;&gt;"","⛔ "&amp;T374&amp;" — not posted",IF(U374&lt;&gt;"","⚠ "&amp;U374,IF(V374=1,"✓ OK","")))</f>
        <v/>
      </c>
      <c r="R374" s="67">
        <f>IF(AND(B374="",C374="",D374="",G374="",F374=""),1,0)</f>
        <v/>
      </c>
      <c r="S374" s="68">
        <f>IF(AND(TaxOn="Yes",ISNUMBER(H374)),H374,0)</f>
        <v/>
      </c>
      <c r="T374" s="67">
        <f>IF(R374=1,"",IF(B374="","Enter a bill #",IF(D374="","Select a vendor",IF(C374="","Missing bill date",IF(NOT(ISNUMBER(C374)),"Invalid date",IF(OR(C374&lt;DATE(2000,1,1),C374&gt;DATE(2099,12,31)),"Invalid date",IF(F374="","Select an expense account",IF(ISNA(MATCH(F374,coa_Name,0)),"Unknown account: "&amp;F374,IF(NOT(ISNUMBER(G374)),"Enter an amount",IF(G374&lt;=0,"Amount must be positive",IF(S374&gt;G374,"Tax is larger than the amount","")))))))))))</f>
        <v/>
      </c>
      <c r="U374" s="67">
        <f>IF(OR(R374=1,T374&lt;&gt;""),"",IF(COUNTIFS(ap_No,B374,ap_Party,D374)&gt;1,"Duplicate bill #",IF(N(L374)&lt;0,"Overpaid by "&amp;TEXT(-L374,"#,##0.00"),IF(AND(ISNUMBER(H374),N(H374)&lt;&gt;0,S374=0),"Tax ignored (tax tracking is off)",IF(AND(ISNUMBER(StartDate),C374&lt;StartDate),"Date is before the accounting start date",IF(OR(IFERROR(INDEX(coa_Type,MATCH(F374,coa_Name,0)),"")="Revenue",IFERROR(INDEX(coa_Type,MATCH(F374,coa_Name,0)),"")="Other Income",IFERROR(INDEX(coa_Type,MATCH(F374,coa_Name,0)),"")="Equity"),"Account is not an expense or asset account",""))))))</f>
        <v/>
      </c>
      <c r="V374" s="67">
        <f>IF(AND(R374=0,T374=""),1,0)</f>
        <v/>
      </c>
      <c r="W374" s="67">
        <f>IF(V374=1,F374,"")</f>
        <v/>
      </c>
      <c r="X374" s="67">
        <f>IF(V374=1,acctAP,"")</f>
        <v/>
      </c>
      <c r="Y374" s="68">
        <f>IF(V374=1,G374-S374,0)</f>
        <v/>
      </c>
      <c r="Z374" s="68">
        <f>IF(V374=1,G374,0)</f>
        <v/>
      </c>
      <c r="AA374" s="68">
        <f>IF(V374=1,S374,0)</f>
        <v/>
      </c>
    </row>
    <row r="375">
      <c r="B375" s="62" t="n"/>
      <c r="C375" s="63" t="n"/>
      <c r="D375" s="62" t="n"/>
      <c r="E375" s="62" t="n"/>
      <c r="F375" s="62" t="n"/>
      <c r="G375" s="64" t="n"/>
      <c r="H375" s="64" t="n"/>
      <c r="I375" s="63" t="n"/>
      <c r="J375" s="29">
        <f>IF(V375=1,IF(ISNUMBER(I375),I375,C375+IF(ISNUMBER(IFERROR(INDEX(vend_Terms,MATCH(D375,vend_Name,0)),"")),INDEX(vend_Terms,MATCH(D375,vend_Name,0)),TermsDays)),"")</f>
        <v/>
      </c>
      <c r="K375" s="65">
        <f>IF(V375=1,SUMIFS(tx_CrAmt,tx_Type,"Bill Payment",tx_Ref,B375&amp;"",tx_Vend,D375,tx_Date,"&lt;="&amp;AsOf),"")</f>
        <v/>
      </c>
      <c r="L375" s="65">
        <f>IF(V375=1,IF(C375&gt;AsOf,0,ROUND(G375-K375,2)),"")</f>
        <v/>
      </c>
      <c r="M375" s="66">
        <f>IF(V375&lt;&gt;1,"",IF(C375&gt;AsOf,"Future",IF(L375&lt;0,"Overpaid",IF(L375=0,"Paid",IF(AsOf&gt;J375,"Overdue",IF(K375&gt;0,"Partial","Unpaid"))))))</f>
        <v/>
      </c>
      <c r="N375" s="28">
        <f>IF(AND(V375=1,N(L375)&gt;0),AsOf-C375,"")</f>
        <v/>
      </c>
      <c r="O375" s="28">
        <f>IF(N375="","",MAX(0,AsOf-J375))</f>
        <v/>
      </c>
      <c r="P375" s="66">
        <f>IF(O375="","",IF(O375=0,"Current",IF(O375&lt;=30,"1-30",IF(O375&lt;=60,"31-60",IF(O375&lt;=90,"61-90","90+")))))</f>
        <v/>
      </c>
      <c r="Q375" s="66">
        <f>IF(T375&lt;&gt;"","⛔ "&amp;T375&amp;" — not posted",IF(U375&lt;&gt;"","⚠ "&amp;U375,IF(V375=1,"✓ OK","")))</f>
        <v/>
      </c>
      <c r="R375" s="67">
        <f>IF(AND(B375="",C375="",D375="",G375="",F375=""),1,0)</f>
        <v/>
      </c>
      <c r="S375" s="68">
        <f>IF(AND(TaxOn="Yes",ISNUMBER(H375)),H375,0)</f>
        <v/>
      </c>
      <c r="T375" s="67">
        <f>IF(R375=1,"",IF(B375="","Enter a bill #",IF(D375="","Select a vendor",IF(C375="","Missing bill date",IF(NOT(ISNUMBER(C375)),"Invalid date",IF(OR(C375&lt;DATE(2000,1,1),C375&gt;DATE(2099,12,31)),"Invalid date",IF(F375="","Select an expense account",IF(ISNA(MATCH(F375,coa_Name,0)),"Unknown account: "&amp;F375,IF(NOT(ISNUMBER(G375)),"Enter an amount",IF(G375&lt;=0,"Amount must be positive",IF(S375&gt;G375,"Tax is larger than the amount","")))))))))))</f>
        <v/>
      </c>
      <c r="U375" s="67">
        <f>IF(OR(R375=1,T375&lt;&gt;""),"",IF(COUNTIFS(ap_No,B375,ap_Party,D375)&gt;1,"Duplicate bill #",IF(N(L375)&lt;0,"Overpaid by "&amp;TEXT(-L375,"#,##0.00"),IF(AND(ISNUMBER(H375),N(H375)&lt;&gt;0,S375=0),"Tax ignored (tax tracking is off)",IF(AND(ISNUMBER(StartDate),C375&lt;StartDate),"Date is before the accounting start date",IF(OR(IFERROR(INDEX(coa_Type,MATCH(F375,coa_Name,0)),"")="Revenue",IFERROR(INDEX(coa_Type,MATCH(F375,coa_Name,0)),"")="Other Income",IFERROR(INDEX(coa_Type,MATCH(F375,coa_Name,0)),"")="Equity"),"Account is not an expense or asset account",""))))))</f>
        <v/>
      </c>
      <c r="V375" s="67">
        <f>IF(AND(R375=0,T375=""),1,0)</f>
        <v/>
      </c>
      <c r="W375" s="67">
        <f>IF(V375=1,F375,"")</f>
        <v/>
      </c>
      <c r="X375" s="67">
        <f>IF(V375=1,acctAP,"")</f>
        <v/>
      </c>
      <c r="Y375" s="68">
        <f>IF(V375=1,G375-S375,0)</f>
        <v/>
      </c>
      <c r="Z375" s="68">
        <f>IF(V375=1,G375,0)</f>
        <v/>
      </c>
      <c r="AA375" s="68">
        <f>IF(V375=1,S375,0)</f>
        <v/>
      </c>
    </row>
    <row r="376">
      <c r="B376" s="62" t="n"/>
      <c r="C376" s="63" t="n"/>
      <c r="D376" s="62" t="n"/>
      <c r="E376" s="62" t="n"/>
      <c r="F376" s="62" t="n"/>
      <c r="G376" s="64" t="n"/>
      <c r="H376" s="64" t="n"/>
      <c r="I376" s="63" t="n"/>
      <c r="J376" s="29">
        <f>IF(V376=1,IF(ISNUMBER(I376),I376,C376+IF(ISNUMBER(IFERROR(INDEX(vend_Terms,MATCH(D376,vend_Name,0)),"")),INDEX(vend_Terms,MATCH(D376,vend_Name,0)),TermsDays)),"")</f>
        <v/>
      </c>
      <c r="K376" s="65">
        <f>IF(V376=1,SUMIFS(tx_CrAmt,tx_Type,"Bill Payment",tx_Ref,B376&amp;"",tx_Vend,D376,tx_Date,"&lt;="&amp;AsOf),"")</f>
        <v/>
      </c>
      <c r="L376" s="65">
        <f>IF(V376=1,IF(C376&gt;AsOf,0,ROUND(G376-K376,2)),"")</f>
        <v/>
      </c>
      <c r="M376" s="66">
        <f>IF(V376&lt;&gt;1,"",IF(C376&gt;AsOf,"Future",IF(L376&lt;0,"Overpaid",IF(L376=0,"Paid",IF(AsOf&gt;J376,"Overdue",IF(K376&gt;0,"Partial","Unpaid"))))))</f>
        <v/>
      </c>
      <c r="N376" s="28">
        <f>IF(AND(V376=1,N(L376)&gt;0),AsOf-C376,"")</f>
        <v/>
      </c>
      <c r="O376" s="28">
        <f>IF(N376="","",MAX(0,AsOf-J376))</f>
        <v/>
      </c>
      <c r="P376" s="66">
        <f>IF(O376="","",IF(O376=0,"Current",IF(O376&lt;=30,"1-30",IF(O376&lt;=60,"31-60",IF(O376&lt;=90,"61-90","90+")))))</f>
        <v/>
      </c>
      <c r="Q376" s="66">
        <f>IF(T376&lt;&gt;"","⛔ "&amp;T376&amp;" — not posted",IF(U376&lt;&gt;"","⚠ "&amp;U376,IF(V376=1,"✓ OK","")))</f>
        <v/>
      </c>
      <c r="R376" s="67">
        <f>IF(AND(B376="",C376="",D376="",G376="",F376=""),1,0)</f>
        <v/>
      </c>
      <c r="S376" s="68">
        <f>IF(AND(TaxOn="Yes",ISNUMBER(H376)),H376,0)</f>
        <v/>
      </c>
      <c r="T376" s="67">
        <f>IF(R376=1,"",IF(B376="","Enter a bill #",IF(D376="","Select a vendor",IF(C376="","Missing bill date",IF(NOT(ISNUMBER(C376)),"Invalid date",IF(OR(C376&lt;DATE(2000,1,1),C376&gt;DATE(2099,12,31)),"Invalid date",IF(F376="","Select an expense account",IF(ISNA(MATCH(F376,coa_Name,0)),"Unknown account: "&amp;F376,IF(NOT(ISNUMBER(G376)),"Enter an amount",IF(G376&lt;=0,"Amount must be positive",IF(S376&gt;G376,"Tax is larger than the amount","")))))))))))</f>
        <v/>
      </c>
      <c r="U376" s="67">
        <f>IF(OR(R376=1,T376&lt;&gt;""),"",IF(COUNTIFS(ap_No,B376,ap_Party,D376)&gt;1,"Duplicate bill #",IF(N(L376)&lt;0,"Overpaid by "&amp;TEXT(-L376,"#,##0.00"),IF(AND(ISNUMBER(H376),N(H376)&lt;&gt;0,S376=0),"Tax ignored (tax tracking is off)",IF(AND(ISNUMBER(StartDate),C376&lt;StartDate),"Date is before the accounting start date",IF(OR(IFERROR(INDEX(coa_Type,MATCH(F376,coa_Name,0)),"")="Revenue",IFERROR(INDEX(coa_Type,MATCH(F376,coa_Name,0)),"")="Other Income",IFERROR(INDEX(coa_Type,MATCH(F376,coa_Name,0)),"")="Equity"),"Account is not an expense or asset account",""))))))</f>
        <v/>
      </c>
      <c r="V376" s="67">
        <f>IF(AND(R376=0,T376=""),1,0)</f>
        <v/>
      </c>
      <c r="W376" s="67">
        <f>IF(V376=1,F376,"")</f>
        <v/>
      </c>
      <c r="X376" s="67">
        <f>IF(V376=1,acctAP,"")</f>
        <v/>
      </c>
      <c r="Y376" s="68">
        <f>IF(V376=1,G376-S376,0)</f>
        <v/>
      </c>
      <c r="Z376" s="68">
        <f>IF(V376=1,G376,0)</f>
        <v/>
      </c>
      <c r="AA376" s="68">
        <f>IF(V376=1,S376,0)</f>
        <v/>
      </c>
    </row>
    <row r="377">
      <c r="B377" s="62" t="n"/>
      <c r="C377" s="63" t="n"/>
      <c r="D377" s="62" t="n"/>
      <c r="E377" s="62" t="n"/>
      <c r="F377" s="62" t="n"/>
      <c r="G377" s="64" t="n"/>
      <c r="H377" s="64" t="n"/>
      <c r="I377" s="63" t="n"/>
      <c r="J377" s="29">
        <f>IF(V377=1,IF(ISNUMBER(I377),I377,C377+IF(ISNUMBER(IFERROR(INDEX(vend_Terms,MATCH(D377,vend_Name,0)),"")),INDEX(vend_Terms,MATCH(D377,vend_Name,0)),TermsDays)),"")</f>
        <v/>
      </c>
      <c r="K377" s="65">
        <f>IF(V377=1,SUMIFS(tx_CrAmt,tx_Type,"Bill Payment",tx_Ref,B377&amp;"",tx_Vend,D377,tx_Date,"&lt;="&amp;AsOf),"")</f>
        <v/>
      </c>
      <c r="L377" s="65">
        <f>IF(V377=1,IF(C377&gt;AsOf,0,ROUND(G377-K377,2)),"")</f>
        <v/>
      </c>
      <c r="M377" s="66">
        <f>IF(V377&lt;&gt;1,"",IF(C377&gt;AsOf,"Future",IF(L377&lt;0,"Overpaid",IF(L377=0,"Paid",IF(AsOf&gt;J377,"Overdue",IF(K377&gt;0,"Partial","Unpaid"))))))</f>
        <v/>
      </c>
      <c r="N377" s="28">
        <f>IF(AND(V377=1,N(L377)&gt;0),AsOf-C377,"")</f>
        <v/>
      </c>
      <c r="O377" s="28">
        <f>IF(N377="","",MAX(0,AsOf-J377))</f>
        <v/>
      </c>
      <c r="P377" s="66">
        <f>IF(O377="","",IF(O377=0,"Current",IF(O377&lt;=30,"1-30",IF(O377&lt;=60,"31-60",IF(O377&lt;=90,"61-90","90+")))))</f>
        <v/>
      </c>
      <c r="Q377" s="66">
        <f>IF(T377&lt;&gt;"","⛔ "&amp;T377&amp;" — not posted",IF(U377&lt;&gt;"","⚠ "&amp;U377,IF(V377=1,"✓ OK","")))</f>
        <v/>
      </c>
      <c r="R377" s="67">
        <f>IF(AND(B377="",C377="",D377="",G377="",F377=""),1,0)</f>
        <v/>
      </c>
      <c r="S377" s="68">
        <f>IF(AND(TaxOn="Yes",ISNUMBER(H377)),H377,0)</f>
        <v/>
      </c>
      <c r="T377" s="67">
        <f>IF(R377=1,"",IF(B377="","Enter a bill #",IF(D377="","Select a vendor",IF(C377="","Missing bill date",IF(NOT(ISNUMBER(C377)),"Invalid date",IF(OR(C377&lt;DATE(2000,1,1),C377&gt;DATE(2099,12,31)),"Invalid date",IF(F377="","Select an expense account",IF(ISNA(MATCH(F377,coa_Name,0)),"Unknown account: "&amp;F377,IF(NOT(ISNUMBER(G377)),"Enter an amount",IF(G377&lt;=0,"Amount must be positive",IF(S377&gt;G377,"Tax is larger than the amount","")))))))))))</f>
        <v/>
      </c>
      <c r="U377" s="67">
        <f>IF(OR(R377=1,T377&lt;&gt;""),"",IF(COUNTIFS(ap_No,B377,ap_Party,D377)&gt;1,"Duplicate bill #",IF(N(L377)&lt;0,"Overpaid by "&amp;TEXT(-L377,"#,##0.00"),IF(AND(ISNUMBER(H377),N(H377)&lt;&gt;0,S377=0),"Tax ignored (tax tracking is off)",IF(AND(ISNUMBER(StartDate),C377&lt;StartDate),"Date is before the accounting start date",IF(OR(IFERROR(INDEX(coa_Type,MATCH(F377,coa_Name,0)),"")="Revenue",IFERROR(INDEX(coa_Type,MATCH(F377,coa_Name,0)),"")="Other Income",IFERROR(INDEX(coa_Type,MATCH(F377,coa_Name,0)),"")="Equity"),"Account is not an expense or asset account",""))))))</f>
        <v/>
      </c>
      <c r="V377" s="67">
        <f>IF(AND(R377=0,T377=""),1,0)</f>
        <v/>
      </c>
      <c r="W377" s="67">
        <f>IF(V377=1,F377,"")</f>
        <v/>
      </c>
      <c r="X377" s="67">
        <f>IF(V377=1,acctAP,"")</f>
        <v/>
      </c>
      <c r="Y377" s="68">
        <f>IF(V377=1,G377-S377,0)</f>
        <v/>
      </c>
      <c r="Z377" s="68">
        <f>IF(V377=1,G377,0)</f>
        <v/>
      </c>
      <c r="AA377" s="68">
        <f>IF(V377=1,S377,0)</f>
        <v/>
      </c>
    </row>
    <row r="378">
      <c r="B378" s="62" t="n"/>
      <c r="C378" s="63" t="n"/>
      <c r="D378" s="62" t="n"/>
      <c r="E378" s="62" t="n"/>
      <c r="F378" s="62" t="n"/>
      <c r="G378" s="64" t="n"/>
      <c r="H378" s="64" t="n"/>
      <c r="I378" s="63" t="n"/>
      <c r="J378" s="29">
        <f>IF(V378=1,IF(ISNUMBER(I378),I378,C378+IF(ISNUMBER(IFERROR(INDEX(vend_Terms,MATCH(D378,vend_Name,0)),"")),INDEX(vend_Terms,MATCH(D378,vend_Name,0)),TermsDays)),"")</f>
        <v/>
      </c>
      <c r="K378" s="65">
        <f>IF(V378=1,SUMIFS(tx_CrAmt,tx_Type,"Bill Payment",tx_Ref,B378&amp;"",tx_Vend,D378,tx_Date,"&lt;="&amp;AsOf),"")</f>
        <v/>
      </c>
      <c r="L378" s="65">
        <f>IF(V378=1,IF(C378&gt;AsOf,0,ROUND(G378-K378,2)),"")</f>
        <v/>
      </c>
      <c r="M378" s="66">
        <f>IF(V378&lt;&gt;1,"",IF(C378&gt;AsOf,"Future",IF(L378&lt;0,"Overpaid",IF(L378=0,"Paid",IF(AsOf&gt;J378,"Overdue",IF(K378&gt;0,"Partial","Unpaid"))))))</f>
        <v/>
      </c>
      <c r="N378" s="28">
        <f>IF(AND(V378=1,N(L378)&gt;0),AsOf-C378,"")</f>
        <v/>
      </c>
      <c r="O378" s="28">
        <f>IF(N378="","",MAX(0,AsOf-J378))</f>
        <v/>
      </c>
      <c r="P378" s="66">
        <f>IF(O378="","",IF(O378=0,"Current",IF(O378&lt;=30,"1-30",IF(O378&lt;=60,"31-60",IF(O378&lt;=90,"61-90","90+")))))</f>
        <v/>
      </c>
      <c r="Q378" s="66">
        <f>IF(T378&lt;&gt;"","⛔ "&amp;T378&amp;" — not posted",IF(U378&lt;&gt;"","⚠ "&amp;U378,IF(V378=1,"✓ OK","")))</f>
        <v/>
      </c>
      <c r="R378" s="67">
        <f>IF(AND(B378="",C378="",D378="",G378="",F378=""),1,0)</f>
        <v/>
      </c>
      <c r="S378" s="68">
        <f>IF(AND(TaxOn="Yes",ISNUMBER(H378)),H378,0)</f>
        <v/>
      </c>
      <c r="T378" s="67">
        <f>IF(R378=1,"",IF(B378="","Enter a bill #",IF(D378="","Select a vendor",IF(C378="","Missing bill date",IF(NOT(ISNUMBER(C378)),"Invalid date",IF(OR(C378&lt;DATE(2000,1,1),C378&gt;DATE(2099,12,31)),"Invalid date",IF(F378="","Select an expense account",IF(ISNA(MATCH(F378,coa_Name,0)),"Unknown account: "&amp;F378,IF(NOT(ISNUMBER(G378)),"Enter an amount",IF(G378&lt;=0,"Amount must be positive",IF(S378&gt;G378,"Tax is larger than the amount","")))))))))))</f>
        <v/>
      </c>
      <c r="U378" s="67">
        <f>IF(OR(R378=1,T378&lt;&gt;""),"",IF(COUNTIFS(ap_No,B378,ap_Party,D378)&gt;1,"Duplicate bill #",IF(N(L378)&lt;0,"Overpaid by "&amp;TEXT(-L378,"#,##0.00"),IF(AND(ISNUMBER(H378),N(H378)&lt;&gt;0,S378=0),"Tax ignored (tax tracking is off)",IF(AND(ISNUMBER(StartDate),C378&lt;StartDate),"Date is before the accounting start date",IF(OR(IFERROR(INDEX(coa_Type,MATCH(F378,coa_Name,0)),"")="Revenue",IFERROR(INDEX(coa_Type,MATCH(F378,coa_Name,0)),"")="Other Income",IFERROR(INDEX(coa_Type,MATCH(F378,coa_Name,0)),"")="Equity"),"Account is not an expense or asset account",""))))))</f>
        <v/>
      </c>
      <c r="V378" s="67">
        <f>IF(AND(R378=0,T378=""),1,0)</f>
        <v/>
      </c>
      <c r="W378" s="67">
        <f>IF(V378=1,F378,"")</f>
        <v/>
      </c>
      <c r="X378" s="67">
        <f>IF(V378=1,acctAP,"")</f>
        <v/>
      </c>
      <c r="Y378" s="68">
        <f>IF(V378=1,G378-S378,0)</f>
        <v/>
      </c>
      <c r="Z378" s="68">
        <f>IF(V378=1,G378,0)</f>
        <v/>
      </c>
      <c r="AA378" s="68">
        <f>IF(V378=1,S378,0)</f>
        <v/>
      </c>
    </row>
    <row r="379">
      <c r="B379" s="62" t="n"/>
      <c r="C379" s="63" t="n"/>
      <c r="D379" s="62" t="n"/>
      <c r="E379" s="62" t="n"/>
      <c r="F379" s="62" t="n"/>
      <c r="G379" s="64" t="n"/>
      <c r="H379" s="64" t="n"/>
      <c r="I379" s="63" t="n"/>
      <c r="J379" s="29">
        <f>IF(V379=1,IF(ISNUMBER(I379),I379,C379+IF(ISNUMBER(IFERROR(INDEX(vend_Terms,MATCH(D379,vend_Name,0)),"")),INDEX(vend_Terms,MATCH(D379,vend_Name,0)),TermsDays)),"")</f>
        <v/>
      </c>
      <c r="K379" s="65">
        <f>IF(V379=1,SUMIFS(tx_CrAmt,tx_Type,"Bill Payment",tx_Ref,B379&amp;"",tx_Vend,D379,tx_Date,"&lt;="&amp;AsOf),"")</f>
        <v/>
      </c>
      <c r="L379" s="65">
        <f>IF(V379=1,IF(C379&gt;AsOf,0,ROUND(G379-K379,2)),"")</f>
        <v/>
      </c>
      <c r="M379" s="66">
        <f>IF(V379&lt;&gt;1,"",IF(C379&gt;AsOf,"Future",IF(L379&lt;0,"Overpaid",IF(L379=0,"Paid",IF(AsOf&gt;J379,"Overdue",IF(K379&gt;0,"Partial","Unpaid"))))))</f>
        <v/>
      </c>
      <c r="N379" s="28">
        <f>IF(AND(V379=1,N(L379)&gt;0),AsOf-C379,"")</f>
        <v/>
      </c>
      <c r="O379" s="28">
        <f>IF(N379="","",MAX(0,AsOf-J379))</f>
        <v/>
      </c>
      <c r="P379" s="66">
        <f>IF(O379="","",IF(O379=0,"Current",IF(O379&lt;=30,"1-30",IF(O379&lt;=60,"31-60",IF(O379&lt;=90,"61-90","90+")))))</f>
        <v/>
      </c>
      <c r="Q379" s="66">
        <f>IF(T379&lt;&gt;"","⛔ "&amp;T379&amp;" — not posted",IF(U379&lt;&gt;"","⚠ "&amp;U379,IF(V379=1,"✓ OK","")))</f>
        <v/>
      </c>
      <c r="R379" s="67">
        <f>IF(AND(B379="",C379="",D379="",G379="",F379=""),1,0)</f>
        <v/>
      </c>
      <c r="S379" s="68">
        <f>IF(AND(TaxOn="Yes",ISNUMBER(H379)),H379,0)</f>
        <v/>
      </c>
      <c r="T379" s="67">
        <f>IF(R379=1,"",IF(B379="","Enter a bill #",IF(D379="","Select a vendor",IF(C379="","Missing bill date",IF(NOT(ISNUMBER(C379)),"Invalid date",IF(OR(C379&lt;DATE(2000,1,1),C379&gt;DATE(2099,12,31)),"Invalid date",IF(F379="","Select an expense account",IF(ISNA(MATCH(F379,coa_Name,0)),"Unknown account: "&amp;F379,IF(NOT(ISNUMBER(G379)),"Enter an amount",IF(G379&lt;=0,"Amount must be positive",IF(S379&gt;G379,"Tax is larger than the amount","")))))))))))</f>
        <v/>
      </c>
      <c r="U379" s="67">
        <f>IF(OR(R379=1,T379&lt;&gt;""),"",IF(COUNTIFS(ap_No,B379,ap_Party,D379)&gt;1,"Duplicate bill #",IF(N(L379)&lt;0,"Overpaid by "&amp;TEXT(-L379,"#,##0.00"),IF(AND(ISNUMBER(H379),N(H379)&lt;&gt;0,S379=0),"Tax ignored (tax tracking is off)",IF(AND(ISNUMBER(StartDate),C379&lt;StartDate),"Date is before the accounting start date",IF(OR(IFERROR(INDEX(coa_Type,MATCH(F379,coa_Name,0)),"")="Revenue",IFERROR(INDEX(coa_Type,MATCH(F379,coa_Name,0)),"")="Other Income",IFERROR(INDEX(coa_Type,MATCH(F379,coa_Name,0)),"")="Equity"),"Account is not an expense or asset account",""))))))</f>
        <v/>
      </c>
      <c r="V379" s="67">
        <f>IF(AND(R379=0,T379=""),1,0)</f>
        <v/>
      </c>
      <c r="W379" s="67">
        <f>IF(V379=1,F379,"")</f>
        <v/>
      </c>
      <c r="X379" s="67">
        <f>IF(V379=1,acctAP,"")</f>
        <v/>
      </c>
      <c r="Y379" s="68">
        <f>IF(V379=1,G379-S379,0)</f>
        <v/>
      </c>
      <c r="Z379" s="68">
        <f>IF(V379=1,G379,0)</f>
        <v/>
      </c>
      <c r="AA379" s="68">
        <f>IF(V379=1,S379,0)</f>
        <v/>
      </c>
    </row>
    <row r="380">
      <c r="B380" s="62" t="n"/>
      <c r="C380" s="63" t="n"/>
      <c r="D380" s="62" t="n"/>
      <c r="E380" s="62" t="n"/>
      <c r="F380" s="62" t="n"/>
      <c r="G380" s="64" t="n"/>
      <c r="H380" s="64" t="n"/>
      <c r="I380" s="63" t="n"/>
      <c r="J380" s="29">
        <f>IF(V380=1,IF(ISNUMBER(I380),I380,C380+IF(ISNUMBER(IFERROR(INDEX(vend_Terms,MATCH(D380,vend_Name,0)),"")),INDEX(vend_Terms,MATCH(D380,vend_Name,0)),TermsDays)),"")</f>
        <v/>
      </c>
      <c r="K380" s="65">
        <f>IF(V380=1,SUMIFS(tx_CrAmt,tx_Type,"Bill Payment",tx_Ref,B380&amp;"",tx_Vend,D380,tx_Date,"&lt;="&amp;AsOf),"")</f>
        <v/>
      </c>
      <c r="L380" s="65">
        <f>IF(V380=1,IF(C380&gt;AsOf,0,ROUND(G380-K380,2)),"")</f>
        <v/>
      </c>
      <c r="M380" s="66">
        <f>IF(V380&lt;&gt;1,"",IF(C380&gt;AsOf,"Future",IF(L380&lt;0,"Overpaid",IF(L380=0,"Paid",IF(AsOf&gt;J380,"Overdue",IF(K380&gt;0,"Partial","Unpaid"))))))</f>
        <v/>
      </c>
      <c r="N380" s="28">
        <f>IF(AND(V380=1,N(L380)&gt;0),AsOf-C380,"")</f>
        <v/>
      </c>
      <c r="O380" s="28">
        <f>IF(N380="","",MAX(0,AsOf-J380))</f>
        <v/>
      </c>
      <c r="P380" s="66">
        <f>IF(O380="","",IF(O380=0,"Current",IF(O380&lt;=30,"1-30",IF(O380&lt;=60,"31-60",IF(O380&lt;=90,"61-90","90+")))))</f>
        <v/>
      </c>
      <c r="Q380" s="66">
        <f>IF(T380&lt;&gt;"","⛔ "&amp;T380&amp;" — not posted",IF(U380&lt;&gt;"","⚠ "&amp;U380,IF(V380=1,"✓ OK","")))</f>
        <v/>
      </c>
      <c r="R380" s="67">
        <f>IF(AND(B380="",C380="",D380="",G380="",F380=""),1,0)</f>
        <v/>
      </c>
      <c r="S380" s="68">
        <f>IF(AND(TaxOn="Yes",ISNUMBER(H380)),H380,0)</f>
        <v/>
      </c>
      <c r="T380" s="67">
        <f>IF(R380=1,"",IF(B380="","Enter a bill #",IF(D380="","Select a vendor",IF(C380="","Missing bill date",IF(NOT(ISNUMBER(C380)),"Invalid date",IF(OR(C380&lt;DATE(2000,1,1),C380&gt;DATE(2099,12,31)),"Invalid date",IF(F380="","Select an expense account",IF(ISNA(MATCH(F380,coa_Name,0)),"Unknown account: "&amp;F380,IF(NOT(ISNUMBER(G380)),"Enter an amount",IF(G380&lt;=0,"Amount must be positive",IF(S380&gt;G380,"Tax is larger than the amount","")))))))))))</f>
        <v/>
      </c>
      <c r="U380" s="67">
        <f>IF(OR(R380=1,T380&lt;&gt;""),"",IF(COUNTIFS(ap_No,B380,ap_Party,D380)&gt;1,"Duplicate bill #",IF(N(L380)&lt;0,"Overpaid by "&amp;TEXT(-L380,"#,##0.00"),IF(AND(ISNUMBER(H380),N(H380)&lt;&gt;0,S380=0),"Tax ignored (tax tracking is off)",IF(AND(ISNUMBER(StartDate),C380&lt;StartDate),"Date is before the accounting start date",IF(OR(IFERROR(INDEX(coa_Type,MATCH(F380,coa_Name,0)),"")="Revenue",IFERROR(INDEX(coa_Type,MATCH(F380,coa_Name,0)),"")="Other Income",IFERROR(INDEX(coa_Type,MATCH(F380,coa_Name,0)),"")="Equity"),"Account is not an expense or asset account",""))))))</f>
        <v/>
      </c>
      <c r="V380" s="67">
        <f>IF(AND(R380=0,T380=""),1,0)</f>
        <v/>
      </c>
      <c r="W380" s="67">
        <f>IF(V380=1,F380,"")</f>
        <v/>
      </c>
      <c r="X380" s="67">
        <f>IF(V380=1,acctAP,"")</f>
        <v/>
      </c>
      <c r="Y380" s="68">
        <f>IF(V380=1,G380-S380,0)</f>
        <v/>
      </c>
      <c r="Z380" s="68">
        <f>IF(V380=1,G380,0)</f>
        <v/>
      </c>
      <c r="AA380" s="68">
        <f>IF(V380=1,S380,0)</f>
        <v/>
      </c>
    </row>
    <row r="381">
      <c r="B381" s="62" t="n"/>
      <c r="C381" s="63" t="n"/>
      <c r="D381" s="62" t="n"/>
      <c r="E381" s="62" t="n"/>
      <c r="F381" s="62" t="n"/>
      <c r="G381" s="64" t="n"/>
      <c r="H381" s="64" t="n"/>
      <c r="I381" s="63" t="n"/>
      <c r="J381" s="29">
        <f>IF(V381=1,IF(ISNUMBER(I381),I381,C381+IF(ISNUMBER(IFERROR(INDEX(vend_Terms,MATCH(D381,vend_Name,0)),"")),INDEX(vend_Terms,MATCH(D381,vend_Name,0)),TermsDays)),"")</f>
        <v/>
      </c>
      <c r="K381" s="65">
        <f>IF(V381=1,SUMIFS(tx_CrAmt,tx_Type,"Bill Payment",tx_Ref,B381&amp;"",tx_Vend,D381,tx_Date,"&lt;="&amp;AsOf),"")</f>
        <v/>
      </c>
      <c r="L381" s="65">
        <f>IF(V381=1,IF(C381&gt;AsOf,0,ROUND(G381-K381,2)),"")</f>
        <v/>
      </c>
      <c r="M381" s="66">
        <f>IF(V381&lt;&gt;1,"",IF(C381&gt;AsOf,"Future",IF(L381&lt;0,"Overpaid",IF(L381=0,"Paid",IF(AsOf&gt;J381,"Overdue",IF(K381&gt;0,"Partial","Unpaid"))))))</f>
        <v/>
      </c>
      <c r="N381" s="28">
        <f>IF(AND(V381=1,N(L381)&gt;0),AsOf-C381,"")</f>
        <v/>
      </c>
      <c r="O381" s="28">
        <f>IF(N381="","",MAX(0,AsOf-J381))</f>
        <v/>
      </c>
      <c r="P381" s="66">
        <f>IF(O381="","",IF(O381=0,"Current",IF(O381&lt;=30,"1-30",IF(O381&lt;=60,"31-60",IF(O381&lt;=90,"61-90","90+")))))</f>
        <v/>
      </c>
      <c r="Q381" s="66">
        <f>IF(T381&lt;&gt;"","⛔ "&amp;T381&amp;" — not posted",IF(U381&lt;&gt;"","⚠ "&amp;U381,IF(V381=1,"✓ OK","")))</f>
        <v/>
      </c>
      <c r="R381" s="67">
        <f>IF(AND(B381="",C381="",D381="",G381="",F381=""),1,0)</f>
        <v/>
      </c>
      <c r="S381" s="68">
        <f>IF(AND(TaxOn="Yes",ISNUMBER(H381)),H381,0)</f>
        <v/>
      </c>
      <c r="T381" s="67">
        <f>IF(R381=1,"",IF(B381="","Enter a bill #",IF(D381="","Select a vendor",IF(C381="","Missing bill date",IF(NOT(ISNUMBER(C381)),"Invalid date",IF(OR(C381&lt;DATE(2000,1,1),C381&gt;DATE(2099,12,31)),"Invalid date",IF(F381="","Select an expense account",IF(ISNA(MATCH(F381,coa_Name,0)),"Unknown account: "&amp;F381,IF(NOT(ISNUMBER(G381)),"Enter an amount",IF(G381&lt;=0,"Amount must be positive",IF(S381&gt;G381,"Tax is larger than the amount","")))))))))))</f>
        <v/>
      </c>
      <c r="U381" s="67">
        <f>IF(OR(R381=1,T381&lt;&gt;""),"",IF(COUNTIFS(ap_No,B381,ap_Party,D381)&gt;1,"Duplicate bill #",IF(N(L381)&lt;0,"Overpaid by "&amp;TEXT(-L381,"#,##0.00"),IF(AND(ISNUMBER(H381),N(H381)&lt;&gt;0,S381=0),"Tax ignored (tax tracking is off)",IF(AND(ISNUMBER(StartDate),C381&lt;StartDate),"Date is before the accounting start date",IF(OR(IFERROR(INDEX(coa_Type,MATCH(F381,coa_Name,0)),"")="Revenue",IFERROR(INDEX(coa_Type,MATCH(F381,coa_Name,0)),"")="Other Income",IFERROR(INDEX(coa_Type,MATCH(F381,coa_Name,0)),"")="Equity"),"Account is not an expense or asset account",""))))))</f>
        <v/>
      </c>
      <c r="V381" s="67">
        <f>IF(AND(R381=0,T381=""),1,0)</f>
        <v/>
      </c>
      <c r="W381" s="67">
        <f>IF(V381=1,F381,"")</f>
        <v/>
      </c>
      <c r="X381" s="67">
        <f>IF(V381=1,acctAP,"")</f>
        <v/>
      </c>
      <c r="Y381" s="68">
        <f>IF(V381=1,G381-S381,0)</f>
        <v/>
      </c>
      <c r="Z381" s="68">
        <f>IF(V381=1,G381,0)</f>
        <v/>
      </c>
      <c r="AA381" s="68">
        <f>IF(V381=1,S381,0)</f>
        <v/>
      </c>
    </row>
    <row r="382">
      <c r="B382" s="62" t="n"/>
      <c r="C382" s="63" t="n"/>
      <c r="D382" s="62" t="n"/>
      <c r="E382" s="62" t="n"/>
      <c r="F382" s="62" t="n"/>
      <c r="G382" s="64" t="n"/>
      <c r="H382" s="64" t="n"/>
      <c r="I382" s="63" t="n"/>
      <c r="J382" s="29">
        <f>IF(V382=1,IF(ISNUMBER(I382),I382,C382+IF(ISNUMBER(IFERROR(INDEX(vend_Terms,MATCH(D382,vend_Name,0)),"")),INDEX(vend_Terms,MATCH(D382,vend_Name,0)),TermsDays)),"")</f>
        <v/>
      </c>
      <c r="K382" s="65">
        <f>IF(V382=1,SUMIFS(tx_CrAmt,tx_Type,"Bill Payment",tx_Ref,B382&amp;"",tx_Vend,D382,tx_Date,"&lt;="&amp;AsOf),"")</f>
        <v/>
      </c>
      <c r="L382" s="65">
        <f>IF(V382=1,IF(C382&gt;AsOf,0,ROUND(G382-K382,2)),"")</f>
        <v/>
      </c>
      <c r="M382" s="66">
        <f>IF(V382&lt;&gt;1,"",IF(C382&gt;AsOf,"Future",IF(L382&lt;0,"Overpaid",IF(L382=0,"Paid",IF(AsOf&gt;J382,"Overdue",IF(K382&gt;0,"Partial","Unpaid"))))))</f>
        <v/>
      </c>
      <c r="N382" s="28">
        <f>IF(AND(V382=1,N(L382)&gt;0),AsOf-C382,"")</f>
        <v/>
      </c>
      <c r="O382" s="28">
        <f>IF(N382="","",MAX(0,AsOf-J382))</f>
        <v/>
      </c>
      <c r="P382" s="66">
        <f>IF(O382="","",IF(O382=0,"Current",IF(O382&lt;=30,"1-30",IF(O382&lt;=60,"31-60",IF(O382&lt;=90,"61-90","90+")))))</f>
        <v/>
      </c>
      <c r="Q382" s="66">
        <f>IF(T382&lt;&gt;"","⛔ "&amp;T382&amp;" — not posted",IF(U382&lt;&gt;"","⚠ "&amp;U382,IF(V382=1,"✓ OK","")))</f>
        <v/>
      </c>
      <c r="R382" s="67">
        <f>IF(AND(B382="",C382="",D382="",G382="",F382=""),1,0)</f>
        <v/>
      </c>
      <c r="S382" s="68">
        <f>IF(AND(TaxOn="Yes",ISNUMBER(H382)),H382,0)</f>
        <v/>
      </c>
      <c r="T382" s="67">
        <f>IF(R382=1,"",IF(B382="","Enter a bill #",IF(D382="","Select a vendor",IF(C382="","Missing bill date",IF(NOT(ISNUMBER(C382)),"Invalid date",IF(OR(C382&lt;DATE(2000,1,1),C382&gt;DATE(2099,12,31)),"Invalid date",IF(F382="","Select an expense account",IF(ISNA(MATCH(F382,coa_Name,0)),"Unknown account: "&amp;F382,IF(NOT(ISNUMBER(G382)),"Enter an amount",IF(G382&lt;=0,"Amount must be positive",IF(S382&gt;G382,"Tax is larger than the amount","")))))))))))</f>
        <v/>
      </c>
      <c r="U382" s="67">
        <f>IF(OR(R382=1,T382&lt;&gt;""),"",IF(COUNTIFS(ap_No,B382,ap_Party,D382)&gt;1,"Duplicate bill #",IF(N(L382)&lt;0,"Overpaid by "&amp;TEXT(-L382,"#,##0.00"),IF(AND(ISNUMBER(H382),N(H382)&lt;&gt;0,S382=0),"Tax ignored (tax tracking is off)",IF(AND(ISNUMBER(StartDate),C382&lt;StartDate),"Date is before the accounting start date",IF(OR(IFERROR(INDEX(coa_Type,MATCH(F382,coa_Name,0)),"")="Revenue",IFERROR(INDEX(coa_Type,MATCH(F382,coa_Name,0)),"")="Other Income",IFERROR(INDEX(coa_Type,MATCH(F382,coa_Name,0)),"")="Equity"),"Account is not an expense or asset account",""))))))</f>
        <v/>
      </c>
      <c r="V382" s="67">
        <f>IF(AND(R382=0,T382=""),1,0)</f>
        <v/>
      </c>
      <c r="W382" s="67">
        <f>IF(V382=1,F382,"")</f>
        <v/>
      </c>
      <c r="X382" s="67">
        <f>IF(V382=1,acctAP,"")</f>
        <v/>
      </c>
      <c r="Y382" s="68">
        <f>IF(V382=1,G382-S382,0)</f>
        <v/>
      </c>
      <c r="Z382" s="68">
        <f>IF(V382=1,G382,0)</f>
        <v/>
      </c>
      <c r="AA382" s="68">
        <f>IF(V382=1,S382,0)</f>
        <v/>
      </c>
    </row>
    <row r="383">
      <c r="B383" s="62" t="n"/>
      <c r="C383" s="63" t="n"/>
      <c r="D383" s="62" t="n"/>
      <c r="E383" s="62" t="n"/>
      <c r="F383" s="62" t="n"/>
      <c r="G383" s="64" t="n"/>
      <c r="H383" s="64" t="n"/>
      <c r="I383" s="63" t="n"/>
      <c r="J383" s="29">
        <f>IF(V383=1,IF(ISNUMBER(I383),I383,C383+IF(ISNUMBER(IFERROR(INDEX(vend_Terms,MATCH(D383,vend_Name,0)),"")),INDEX(vend_Terms,MATCH(D383,vend_Name,0)),TermsDays)),"")</f>
        <v/>
      </c>
      <c r="K383" s="65">
        <f>IF(V383=1,SUMIFS(tx_CrAmt,tx_Type,"Bill Payment",tx_Ref,B383&amp;"",tx_Vend,D383,tx_Date,"&lt;="&amp;AsOf),"")</f>
        <v/>
      </c>
      <c r="L383" s="65">
        <f>IF(V383=1,IF(C383&gt;AsOf,0,ROUND(G383-K383,2)),"")</f>
        <v/>
      </c>
      <c r="M383" s="66">
        <f>IF(V383&lt;&gt;1,"",IF(C383&gt;AsOf,"Future",IF(L383&lt;0,"Overpaid",IF(L383=0,"Paid",IF(AsOf&gt;J383,"Overdue",IF(K383&gt;0,"Partial","Unpaid"))))))</f>
        <v/>
      </c>
      <c r="N383" s="28">
        <f>IF(AND(V383=1,N(L383)&gt;0),AsOf-C383,"")</f>
        <v/>
      </c>
      <c r="O383" s="28">
        <f>IF(N383="","",MAX(0,AsOf-J383))</f>
        <v/>
      </c>
      <c r="P383" s="66">
        <f>IF(O383="","",IF(O383=0,"Current",IF(O383&lt;=30,"1-30",IF(O383&lt;=60,"31-60",IF(O383&lt;=90,"61-90","90+")))))</f>
        <v/>
      </c>
      <c r="Q383" s="66">
        <f>IF(T383&lt;&gt;"","⛔ "&amp;T383&amp;" — not posted",IF(U383&lt;&gt;"","⚠ "&amp;U383,IF(V383=1,"✓ OK","")))</f>
        <v/>
      </c>
      <c r="R383" s="67">
        <f>IF(AND(B383="",C383="",D383="",G383="",F383=""),1,0)</f>
        <v/>
      </c>
      <c r="S383" s="68">
        <f>IF(AND(TaxOn="Yes",ISNUMBER(H383)),H383,0)</f>
        <v/>
      </c>
      <c r="T383" s="67">
        <f>IF(R383=1,"",IF(B383="","Enter a bill #",IF(D383="","Select a vendor",IF(C383="","Missing bill date",IF(NOT(ISNUMBER(C383)),"Invalid date",IF(OR(C383&lt;DATE(2000,1,1),C383&gt;DATE(2099,12,31)),"Invalid date",IF(F383="","Select an expense account",IF(ISNA(MATCH(F383,coa_Name,0)),"Unknown account: "&amp;F383,IF(NOT(ISNUMBER(G383)),"Enter an amount",IF(G383&lt;=0,"Amount must be positive",IF(S383&gt;G383,"Tax is larger than the amount","")))))))))))</f>
        <v/>
      </c>
      <c r="U383" s="67">
        <f>IF(OR(R383=1,T383&lt;&gt;""),"",IF(COUNTIFS(ap_No,B383,ap_Party,D383)&gt;1,"Duplicate bill #",IF(N(L383)&lt;0,"Overpaid by "&amp;TEXT(-L383,"#,##0.00"),IF(AND(ISNUMBER(H383),N(H383)&lt;&gt;0,S383=0),"Tax ignored (tax tracking is off)",IF(AND(ISNUMBER(StartDate),C383&lt;StartDate),"Date is before the accounting start date",IF(OR(IFERROR(INDEX(coa_Type,MATCH(F383,coa_Name,0)),"")="Revenue",IFERROR(INDEX(coa_Type,MATCH(F383,coa_Name,0)),"")="Other Income",IFERROR(INDEX(coa_Type,MATCH(F383,coa_Name,0)),"")="Equity"),"Account is not an expense or asset account",""))))))</f>
        <v/>
      </c>
      <c r="V383" s="67">
        <f>IF(AND(R383=0,T383=""),1,0)</f>
        <v/>
      </c>
      <c r="W383" s="67">
        <f>IF(V383=1,F383,"")</f>
        <v/>
      </c>
      <c r="X383" s="67">
        <f>IF(V383=1,acctAP,"")</f>
        <v/>
      </c>
      <c r="Y383" s="68">
        <f>IF(V383=1,G383-S383,0)</f>
        <v/>
      </c>
      <c r="Z383" s="68">
        <f>IF(V383=1,G383,0)</f>
        <v/>
      </c>
      <c r="AA383" s="68">
        <f>IF(V383=1,S383,0)</f>
        <v/>
      </c>
    </row>
    <row r="384">
      <c r="B384" s="62" t="n"/>
      <c r="C384" s="63" t="n"/>
      <c r="D384" s="62" t="n"/>
      <c r="E384" s="62" t="n"/>
      <c r="F384" s="62" t="n"/>
      <c r="G384" s="64" t="n"/>
      <c r="H384" s="64" t="n"/>
      <c r="I384" s="63" t="n"/>
      <c r="J384" s="29">
        <f>IF(V384=1,IF(ISNUMBER(I384),I384,C384+IF(ISNUMBER(IFERROR(INDEX(vend_Terms,MATCH(D384,vend_Name,0)),"")),INDEX(vend_Terms,MATCH(D384,vend_Name,0)),TermsDays)),"")</f>
        <v/>
      </c>
      <c r="K384" s="65">
        <f>IF(V384=1,SUMIFS(tx_CrAmt,tx_Type,"Bill Payment",tx_Ref,B384&amp;"",tx_Vend,D384,tx_Date,"&lt;="&amp;AsOf),"")</f>
        <v/>
      </c>
      <c r="L384" s="65">
        <f>IF(V384=1,IF(C384&gt;AsOf,0,ROUND(G384-K384,2)),"")</f>
        <v/>
      </c>
      <c r="M384" s="66">
        <f>IF(V384&lt;&gt;1,"",IF(C384&gt;AsOf,"Future",IF(L384&lt;0,"Overpaid",IF(L384=0,"Paid",IF(AsOf&gt;J384,"Overdue",IF(K384&gt;0,"Partial","Unpaid"))))))</f>
        <v/>
      </c>
      <c r="N384" s="28">
        <f>IF(AND(V384=1,N(L384)&gt;0),AsOf-C384,"")</f>
        <v/>
      </c>
      <c r="O384" s="28">
        <f>IF(N384="","",MAX(0,AsOf-J384))</f>
        <v/>
      </c>
      <c r="P384" s="66">
        <f>IF(O384="","",IF(O384=0,"Current",IF(O384&lt;=30,"1-30",IF(O384&lt;=60,"31-60",IF(O384&lt;=90,"61-90","90+")))))</f>
        <v/>
      </c>
      <c r="Q384" s="66">
        <f>IF(T384&lt;&gt;"","⛔ "&amp;T384&amp;" — not posted",IF(U384&lt;&gt;"","⚠ "&amp;U384,IF(V384=1,"✓ OK","")))</f>
        <v/>
      </c>
      <c r="R384" s="67">
        <f>IF(AND(B384="",C384="",D384="",G384="",F384=""),1,0)</f>
        <v/>
      </c>
      <c r="S384" s="68">
        <f>IF(AND(TaxOn="Yes",ISNUMBER(H384)),H384,0)</f>
        <v/>
      </c>
      <c r="T384" s="67">
        <f>IF(R384=1,"",IF(B384="","Enter a bill #",IF(D384="","Select a vendor",IF(C384="","Missing bill date",IF(NOT(ISNUMBER(C384)),"Invalid date",IF(OR(C384&lt;DATE(2000,1,1),C384&gt;DATE(2099,12,31)),"Invalid date",IF(F384="","Select an expense account",IF(ISNA(MATCH(F384,coa_Name,0)),"Unknown account: "&amp;F384,IF(NOT(ISNUMBER(G384)),"Enter an amount",IF(G384&lt;=0,"Amount must be positive",IF(S384&gt;G384,"Tax is larger than the amount","")))))))))))</f>
        <v/>
      </c>
      <c r="U384" s="67">
        <f>IF(OR(R384=1,T384&lt;&gt;""),"",IF(COUNTIFS(ap_No,B384,ap_Party,D384)&gt;1,"Duplicate bill #",IF(N(L384)&lt;0,"Overpaid by "&amp;TEXT(-L384,"#,##0.00"),IF(AND(ISNUMBER(H384),N(H384)&lt;&gt;0,S384=0),"Tax ignored (tax tracking is off)",IF(AND(ISNUMBER(StartDate),C384&lt;StartDate),"Date is before the accounting start date",IF(OR(IFERROR(INDEX(coa_Type,MATCH(F384,coa_Name,0)),"")="Revenue",IFERROR(INDEX(coa_Type,MATCH(F384,coa_Name,0)),"")="Other Income",IFERROR(INDEX(coa_Type,MATCH(F384,coa_Name,0)),"")="Equity"),"Account is not an expense or asset account",""))))))</f>
        <v/>
      </c>
      <c r="V384" s="67">
        <f>IF(AND(R384=0,T384=""),1,0)</f>
        <v/>
      </c>
      <c r="W384" s="67">
        <f>IF(V384=1,F384,"")</f>
        <v/>
      </c>
      <c r="X384" s="67">
        <f>IF(V384=1,acctAP,"")</f>
        <v/>
      </c>
      <c r="Y384" s="68">
        <f>IF(V384=1,G384-S384,0)</f>
        <v/>
      </c>
      <c r="Z384" s="68">
        <f>IF(V384=1,G384,0)</f>
        <v/>
      </c>
      <c r="AA384" s="68">
        <f>IF(V384=1,S384,0)</f>
        <v/>
      </c>
    </row>
    <row r="385">
      <c r="B385" s="62" t="n"/>
      <c r="C385" s="63" t="n"/>
      <c r="D385" s="62" t="n"/>
      <c r="E385" s="62" t="n"/>
      <c r="F385" s="62" t="n"/>
      <c r="G385" s="64" t="n"/>
      <c r="H385" s="64" t="n"/>
      <c r="I385" s="63" t="n"/>
      <c r="J385" s="29">
        <f>IF(V385=1,IF(ISNUMBER(I385),I385,C385+IF(ISNUMBER(IFERROR(INDEX(vend_Terms,MATCH(D385,vend_Name,0)),"")),INDEX(vend_Terms,MATCH(D385,vend_Name,0)),TermsDays)),"")</f>
        <v/>
      </c>
      <c r="K385" s="65">
        <f>IF(V385=1,SUMIFS(tx_CrAmt,tx_Type,"Bill Payment",tx_Ref,B385&amp;"",tx_Vend,D385,tx_Date,"&lt;="&amp;AsOf),"")</f>
        <v/>
      </c>
      <c r="L385" s="65">
        <f>IF(V385=1,IF(C385&gt;AsOf,0,ROUND(G385-K385,2)),"")</f>
        <v/>
      </c>
      <c r="M385" s="66">
        <f>IF(V385&lt;&gt;1,"",IF(C385&gt;AsOf,"Future",IF(L385&lt;0,"Overpaid",IF(L385=0,"Paid",IF(AsOf&gt;J385,"Overdue",IF(K385&gt;0,"Partial","Unpaid"))))))</f>
        <v/>
      </c>
      <c r="N385" s="28">
        <f>IF(AND(V385=1,N(L385)&gt;0),AsOf-C385,"")</f>
        <v/>
      </c>
      <c r="O385" s="28">
        <f>IF(N385="","",MAX(0,AsOf-J385))</f>
        <v/>
      </c>
      <c r="P385" s="66">
        <f>IF(O385="","",IF(O385=0,"Current",IF(O385&lt;=30,"1-30",IF(O385&lt;=60,"31-60",IF(O385&lt;=90,"61-90","90+")))))</f>
        <v/>
      </c>
      <c r="Q385" s="66">
        <f>IF(T385&lt;&gt;"","⛔ "&amp;T385&amp;" — not posted",IF(U385&lt;&gt;"","⚠ "&amp;U385,IF(V385=1,"✓ OK","")))</f>
        <v/>
      </c>
      <c r="R385" s="67">
        <f>IF(AND(B385="",C385="",D385="",G385="",F385=""),1,0)</f>
        <v/>
      </c>
      <c r="S385" s="68">
        <f>IF(AND(TaxOn="Yes",ISNUMBER(H385)),H385,0)</f>
        <v/>
      </c>
      <c r="T385" s="67">
        <f>IF(R385=1,"",IF(B385="","Enter a bill #",IF(D385="","Select a vendor",IF(C385="","Missing bill date",IF(NOT(ISNUMBER(C385)),"Invalid date",IF(OR(C385&lt;DATE(2000,1,1),C385&gt;DATE(2099,12,31)),"Invalid date",IF(F385="","Select an expense account",IF(ISNA(MATCH(F385,coa_Name,0)),"Unknown account: "&amp;F385,IF(NOT(ISNUMBER(G385)),"Enter an amount",IF(G385&lt;=0,"Amount must be positive",IF(S385&gt;G385,"Tax is larger than the amount","")))))))))))</f>
        <v/>
      </c>
      <c r="U385" s="67">
        <f>IF(OR(R385=1,T385&lt;&gt;""),"",IF(COUNTIFS(ap_No,B385,ap_Party,D385)&gt;1,"Duplicate bill #",IF(N(L385)&lt;0,"Overpaid by "&amp;TEXT(-L385,"#,##0.00"),IF(AND(ISNUMBER(H385),N(H385)&lt;&gt;0,S385=0),"Tax ignored (tax tracking is off)",IF(AND(ISNUMBER(StartDate),C385&lt;StartDate),"Date is before the accounting start date",IF(OR(IFERROR(INDEX(coa_Type,MATCH(F385,coa_Name,0)),"")="Revenue",IFERROR(INDEX(coa_Type,MATCH(F385,coa_Name,0)),"")="Other Income",IFERROR(INDEX(coa_Type,MATCH(F385,coa_Name,0)),"")="Equity"),"Account is not an expense or asset account",""))))))</f>
        <v/>
      </c>
      <c r="V385" s="67">
        <f>IF(AND(R385=0,T385=""),1,0)</f>
        <v/>
      </c>
      <c r="W385" s="67">
        <f>IF(V385=1,F385,"")</f>
        <v/>
      </c>
      <c r="X385" s="67">
        <f>IF(V385=1,acctAP,"")</f>
        <v/>
      </c>
      <c r="Y385" s="68">
        <f>IF(V385=1,G385-S385,0)</f>
        <v/>
      </c>
      <c r="Z385" s="68">
        <f>IF(V385=1,G385,0)</f>
        <v/>
      </c>
      <c r="AA385" s="68">
        <f>IF(V385=1,S385,0)</f>
        <v/>
      </c>
    </row>
    <row r="386">
      <c r="B386" s="62" t="n"/>
      <c r="C386" s="63" t="n"/>
      <c r="D386" s="62" t="n"/>
      <c r="E386" s="62" t="n"/>
      <c r="F386" s="62" t="n"/>
      <c r="G386" s="64" t="n"/>
      <c r="H386" s="64" t="n"/>
      <c r="I386" s="63" t="n"/>
      <c r="J386" s="29">
        <f>IF(V386=1,IF(ISNUMBER(I386),I386,C386+IF(ISNUMBER(IFERROR(INDEX(vend_Terms,MATCH(D386,vend_Name,0)),"")),INDEX(vend_Terms,MATCH(D386,vend_Name,0)),TermsDays)),"")</f>
        <v/>
      </c>
      <c r="K386" s="65">
        <f>IF(V386=1,SUMIFS(tx_CrAmt,tx_Type,"Bill Payment",tx_Ref,B386&amp;"",tx_Vend,D386,tx_Date,"&lt;="&amp;AsOf),"")</f>
        <v/>
      </c>
      <c r="L386" s="65">
        <f>IF(V386=1,IF(C386&gt;AsOf,0,ROUND(G386-K386,2)),"")</f>
        <v/>
      </c>
      <c r="M386" s="66">
        <f>IF(V386&lt;&gt;1,"",IF(C386&gt;AsOf,"Future",IF(L386&lt;0,"Overpaid",IF(L386=0,"Paid",IF(AsOf&gt;J386,"Overdue",IF(K386&gt;0,"Partial","Unpaid"))))))</f>
        <v/>
      </c>
      <c r="N386" s="28">
        <f>IF(AND(V386=1,N(L386)&gt;0),AsOf-C386,"")</f>
        <v/>
      </c>
      <c r="O386" s="28">
        <f>IF(N386="","",MAX(0,AsOf-J386))</f>
        <v/>
      </c>
      <c r="P386" s="66">
        <f>IF(O386="","",IF(O386=0,"Current",IF(O386&lt;=30,"1-30",IF(O386&lt;=60,"31-60",IF(O386&lt;=90,"61-90","90+")))))</f>
        <v/>
      </c>
      <c r="Q386" s="66">
        <f>IF(T386&lt;&gt;"","⛔ "&amp;T386&amp;" — not posted",IF(U386&lt;&gt;"","⚠ "&amp;U386,IF(V386=1,"✓ OK","")))</f>
        <v/>
      </c>
      <c r="R386" s="67">
        <f>IF(AND(B386="",C386="",D386="",G386="",F386=""),1,0)</f>
        <v/>
      </c>
      <c r="S386" s="68">
        <f>IF(AND(TaxOn="Yes",ISNUMBER(H386)),H386,0)</f>
        <v/>
      </c>
      <c r="T386" s="67">
        <f>IF(R386=1,"",IF(B386="","Enter a bill #",IF(D386="","Select a vendor",IF(C386="","Missing bill date",IF(NOT(ISNUMBER(C386)),"Invalid date",IF(OR(C386&lt;DATE(2000,1,1),C386&gt;DATE(2099,12,31)),"Invalid date",IF(F386="","Select an expense account",IF(ISNA(MATCH(F386,coa_Name,0)),"Unknown account: "&amp;F386,IF(NOT(ISNUMBER(G386)),"Enter an amount",IF(G386&lt;=0,"Amount must be positive",IF(S386&gt;G386,"Tax is larger than the amount","")))))))))))</f>
        <v/>
      </c>
      <c r="U386" s="67">
        <f>IF(OR(R386=1,T386&lt;&gt;""),"",IF(COUNTIFS(ap_No,B386,ap_Party,D386)&gt;1,"Duplicate bill #",IF(N(L386)&lt;0,"Overpaid by "&amp;TEXT(-L386,"#,##0.00"),IF(AND(ISNUMBER(H386),N(H386)&lt;&gt;0,S386=0),"Tax ignored (tax tracking is off)",IF(AND(ISNUMBER(StartDate),C386&lt;StartDate),"Date is before the accounting start date",IF(OR(IFERROR(INDEX(coa_Type,MATCH(F386,coa_Name,0)),"")="Revenue",IFERROR(INDEX(coa_Type,MATCH(F386,coa_Name,0)),"")="Other Income",IFERROR(INDEX(coa_Type,MATCH(F386,coa_Name,0)),"")="Equity"),"Account is not an expense or asset account",""))))))</f>
        <v/>
      </c>
      <c r="V386" s="67">
        <f>IF(AND(R386=0,T386=""),1,0)</f>
        <v/>
      </c>
      <c r="W386" s="67">
        <f>IF(V386=1,F386,"")</f>
        <v/>
      </c>
      <c r="X386" s="67">
        <f>IF(V386=1,acctAP,"")</f>
        <v/>
      </c>
      <c r="Y386" s="68">
        <f>IF(V386=1,G386-S386,0)</f>
        <v/>
      </c>
      <c r="Z386" s="68">
        <f>IF(V386=1,G386,0)</f>
        <v/>
      </c>
      <c r="AA386" s="68">
        <f>IF(V386=1,S386,0)</f>
        <v/>
      </c>
    </row>
    <row r="387">
      <c r="B387" s="62" t="n"/>
      <c r="C387" s="63" t="n"/>
      <c r="D387" s="62" t="n"/>
      <c r="E387" s="62" t="n"/>
      <c r="F387" s="62" t="n"/>
      <c r="G387" s="64" t="n"/>
      <c r="H387" s="64" t="n"/>
      <c r="I387" s="63" t="n"/>
      <c r="J387" s="29">
        <f>IF(V387=1,IF(ISNUMBER(I387),I387,C387+IF(ISNUMBER(IFERROR(INDEX(vend_Terms,MATCH(D387,vend_Name,0)),"")),INDEX(vend_Terms,MATCH(D387,vend_Name,0)),TermsDays)),"")</f>
        <v/>
      </c>
      <c r="K387" s="65">
        <f>IF(V387=1,SUMIFS(tx_CrAmt,tx_Type,"Bill Payment",tx_Ref,B387&amp;"",tx_Vend,D387,tx_Date,"&lt;="&amp;AsOf),"")</f>
        <v/>
      </c>
      <c r="L387" s="65">
        <f>IF(V387=1,IF(C387&gt;AsOf,0,ROUND(G387-K387,2)),"")</f>
        <v/>
      </c>
      <c r="M387" s="66">
        <f>IF(V387&lt;&gt;1,"",IF(C387&gt;AsOf,"Future",IF(L387&lt;0,"Overpaid",IF(L387=0,"Paid",IF(AsOf&gt;J387,"Overdue",IF(K387&gt;0,"Partial","Unpaid"))))))</f>
        <v/>
      </c>
      <c r="N387" s="28">
        <f>IF(AND(V387=1,N(L387)&gt;0),AsOf-C387,"")</f>
        <v/>
      </c>
      <c r="O387" s="28">
        <f>IF(N387="","",MAX(0,AsOf-J387))</f>
        <v/>
      </c>
      <c r="P387" s="66">
        <f>IF(O387="","",IF(O387=0,"Current",IF(O387&lt;=30,"1-30",IF(O387&lt;=60,"31-60",IF(O387&lt;=90,"61-90","90+")))))</f>
        <v/>
      </c>
      <c r="Q387" s="66">
        <f>IF(T387&lt;&gt;"","⛔ "&amp;T387&amp;" — not posted",IF(U387&lt;&gt;"","⚠ "&amp;U387,IF(V387=1,"✓ OK","")))</f>
        <v/>
      </c>
      <c r="R387" s="67">
        <f>IF(AND(B387="",C387="",D387="",G387="",F387=""),1,0)</f>
        <v/>
      </c>
      <c r="S387" s="68">
        <f>IF(AND(TaxOn="Yes",ISNUMBER(H387)),H387,0)</f>
        <v/>
      </c>
      <c r="T387" s="67">
        <f>IF(R387=1,"",IF(B387="","Enter a bill #",IF(D387="","Select a vendor",IF(C387="","Missing bill date",IF(NOT(ISNUMBER(C387)),"Invalid date",IF(OR(C387&lt;DATE(2000,1,1),C387&gt;DATE(2099,12,31)),"Invalid date",IF(F387="","Select an expense account",IF(ISNA(MATCH(F387,coa_Name,0)),"Unknown account: "&amp;F387,IF(NOT(ISNUMBER(G387)),"Enter an amount",IF(G387&lt;=0,"Amount must be positive",IF(S387&gt;G387,"Tax is larger than the amount","")))))))))))</f>
        <v/>
      </c>
      <c r="U387" s="67">
        <f>IF(OR(R387=1,T387&lt;&gt;""),"",IF(COUNTIFS(ap_No,B387,ap_Party,D387)&gt;1,"Duplicate bill #",IF(N(L387)&lt;0,"Overpaid by "&amp;TEXT(-L387,"#,##0.00"),IF(AND(ISNUMBER(H387),N(H387)&lt;&gt;0,S387=0),"Tax ignored (tax tracking is off)",IF(AND(ISNUMBER(StartDate),C387&lt;StartDate),"Date is before the accounting start date",IF(OR(IFERROR(INDEX(coa_Type,MATCH(F387,coa_Name,0)),"")="Revenue",IFERROR(INDEX(coa_Type,MATCH(F387,coa_Name,0)),"")="Other Income",IFERROR(INDEX(coa_Type,MATCH(F387,coa_Name,0)),"")="Equity"),"Account is not an expense or asset account",""))))))</f>
        <v/>
      </c>
      <c r="V387" s="67">
        <f>IF(AND(R387=0,T387=""),1,0)</f>
        <v/>
      </c>
      <c r="W387" s="67">
        <f>IF(V387=1,F387,"")</f>
        <v/>
      </c>
      <c r="X387" s="67">
        <f>IF(V387=1,acctAP,"")</f>
        <v/>
      </c>
      <c r="Y387" s="68">
        <f>IF(V387=1,G387-S387,0)</f>
        <v/>
      </c>
      <c r="Z387" s="68">
        <f>IF(V387=1,G387,0)</f>
        <v/>
      </c>
      <c r="AA387" s="68">
        <f>IF(V387=1,S387,0)</f>
        <v/>
      </c>
    </row>
    <row r="388">
      <c r="B388" s="62" t="n"/>
      <c r="C388" s="63" t="n"/>
      <c r="D388" s="62" t="n"/>
      <c r="E388" s="62" t="n"/>
      <c r="F388" s="62" t="n"/>
      <c r="G388" s="64" t="n"/>
      <c r="H388" s="64" t="n"/>
      <c r="I388" s="63" t="n"/>
      <c r="J388" s="29">
        <f>IF(V388=1,IF(ISNUMBER(I388),I388,C388+IF(ISNUMBER(IFERROR(INDEX(vend_Terms,MATCH(D388,vend_Name,0)),"")),INDEX(vend_Terms,MATCH(D388,vend_Name,0)),TermsDays)),"")</f>
        <v/>
      </c>
      <c r="K388" s="65">
        <f>IF(V388=1,SUMIFS(tx_CrAmt,tx_Type,"Bill Payment",tx_Ref,B388&amp;"",tx_Vend,D388,tx_Date,"&lt;="&amp;AsOf),"")</f>
        <v/>
      </c>
      <c r="L388" s="65">
        <f>IF(V388=1,IF(C388&gt;AsOf,0,ROUND(G388-K388,2)),"")</f>
        <v/>
      </c>
      <c r="M388" s="66">
        <f>IF(V388&lt;&gt;1,"",IF(C388&gt;AsOf,"Future",IF(L388&lt;0,"Overpaid",IF(L388=0,"Paid",IF(AsOf&gt;J388,"Overdue",IF(K388&gt;0,"Partial","Unpaid"))))))</f>
        <v/>
      </c>
      <c r="N388" s="28">
        <f>IF(AND(V388=1,N(L388)&gt;0),AsOf-C388,"")</f>
        <v/>
      </c>
      <c r="O388" s="28">
        <f>IF(N388="","",MAX(0,AsOf-J388))</f>
        <v/>
      </c>
      <c r="P388" s="66">
        <f>IF(O388="","",IF(O388=0,"Current",IF(O388&lt;=30,"1-30",IF(O388&lt;=60,"31-60",IF(O388&lt;=90,"61-90","90+")))))</f>
        <v/>
      </c>
      <c r="Q388" s="66">
        <f>IF(T388&lt;&gt;"","⛔ "&amp;T388&amp;" — not posted",IF(U388&lt;&gt;"","⚠ "&amp;U388,IF(V388=1,"✓ OK","")))</f>
        <v/>
      </c>
      <c r="R388" s="67">
        <f>IF(AND(B388="",C388="",D388="",G388="",F388=""),1,0)</f>
        <v/>
      </c>
      <c r="S388" s="68">
        <f>IF(AND(TaxOn="Yes",ISNUMBER(H388)),H388,0)</f>
        <v/>
      </c>
      <c r="T388" s="67">
        <f>IF(R388=1,"",IF(B388="","Enter a bill #",IF(D388="","Select a vendor",IF(C388="","Missing bill date",IF(NOT(ISNUMBER(C388)),"Invalid date",IF(OR(C388&lt;DATE(2000,1,1),C388&gt;DATE(2099,12,31)),"Invalid date",IF(F388="","Select an expense account",IF(ISNA(MATCH(F388,coa_Name,0)),"Unknown account: "&amp;F388,IF(NOT(ISNUMBER(G388)),"Enter an amount",IF(G388&lt;=0,"Amount must be positive",IF(S388&gt;G388,"Tax is larger than the amount","")))))))))))</f>
        <v/>
      </c>
      <c r="U388" s="67">
        <f>IF(OR(R388=1,T388&lt;&gt;""),"",IF(COUNTIFS(ap_No,B388,ap_Party,D388)&gt;1,"Duplicate bill #",IF(N(L388)&lt;0,"Overpaid by "&amp;TEXT(-L388,"#,##0.00"),IF(AND(ISNUMBER(H388),N(H388)&lt;&gt;0,S388=0),"Tax ignored (tax tracking is off)",IF(AND(ISNUMBER(StartDate),C388&lt;StartDate),"Date is before the accounting start date",IF(OR(IFERROR(INDEX(coa_Type,MATCH(F388,coa_Name,0)),"")="Revenue",IFERROR(INDEX(coa_Type,MATCH(F388,coa_Name,0)),"")="Other Income",IFERROR(INDEX(coa_Type,MATCH(F388,coa_Name,0)),"")="Equity"),"Account is not an expense or asset account",""))))))</f>
        <v/>
      </c>
      <c r="V388" s="67">
        <f>IF(AND(R388=0,T388=""),1,0)</f>
        <v/>
      </c>
      <c r="W388" s="67">
        <f>IF(V388=1,F388,"")</f>
        <v/>
      </c>
      <c r="X388" s="67">
        <f>IF(V388=1,acctAP,"")</f>
        <v/>
      </c>
      <c r="Y388" s="68">
        <f>IF(V388=1,G388-S388,0)</f>
        <v/>
      </c>
      <c r="Z388" s="68">
        <f>IF(V388=1,G388,0)</f>
        <v/>
      </c>
      <c r="AA388" s="68">
        <f>IF(V388=1,S388,0)</f>
        <v/>
      </c>
    </row>
    <row r="389">
      <c r="B389" s="62" t="n"/>
      <c r="C389" s="63" t="n"/>
      <c r="D389" s="62" t="n"/>
      <c r="E389" s="62" t="n"/>
      <c r="F389" s="62" t="n"/>
      <c r="G389" s="64" t="n"/>
      <c r="H389" s="64" t="n"/>
      <c r="I389" s="63" t="n"/>
      <c r="J389" s="29">
        <f>IF(V389=1,IF(ISNUMBER(I389),I389,C389+IF(ISNUMBER(IFERROR(INDEX(vend_Terms,MATCH(D389,vend_Name,0)),"")),INDEX(vend_Terms,MATCH(D389,vend_Name,0)),TermsDays)),"")</f>
        <v/>
      </c>
      <c r="K389" s="65">
        <f>IF(V389=1,SUMIFS(tx_CrAmt,tx_Type,"Bill Payment",tx_Ref,B389&amp;"",tx_Vend,D389,tx_Date,"&lt;="&amp;AsOf),"")</f>
        <v/>
      </c>
      <c r="L389" s="65">
        <f>IF(V389=1,IF(C389&gt;AsOf,0,ROUND(G389-K389,2)),"")</f>
        <v/>
      </c>
      <c r="M389" s="66">
        <f>IF(V389&lt;&gt;1,"",IF(C389&gt;AsOf,"Future",IF(L389&lt;0,"Overpaid",IF(L389=0,"Paid",IF(AsOf&gt;J389,"Overdue",IF(K389&gt;0,"Partial","Unpaid"))))))</f>
        <v/>
      </c>
      <c r="N389" s="28">
        <f>IF(AND(V389=1,N(L389)&gt;0),AsOf-C389,"")</f>
        <v/>
      </c>
      <c r="O389" s="28">
        <f>IF(N389="","",MAX(0,AsOf-J389))</f>
        <v/>
      </c>
      <c r="P389" s="66">
        <f>IF(O389="","",IF(O389=0,"Current",IF(O389&lt;=30,"1-30",IF(O389&lt;=60,"31-60",IF(O389&lt;=90,"61-90","90+")))))</f>
        <v/>
      </c>
      <c r="Q389" s="66">
        <f>IF(T389&lt;&gt;"","⛔ "&amp;T389&amp;" — not posted",IF(U389&lt;&gt;"","⚠ "&amp;U389,IF(V389=1,"✓ OK","")))</f>
        <v/>
      </c>
      <c r="R389" s="67">
        <f>IF(AND(B389="",C389="",D389="",G389="",F389=""),1,0)</f>
        <v/>
      </c>
      <c r="S389" s="68">
        <f>IF(AND(TaxOn="Yes",ISNUMBER(H389)),H389,0)</f>
        <v/>
      </c>
      <c r="T389" s="67">
        <f>IF(R389=1,"",IF(B389="","Enter a bill #",IF(D389="","Select a vendor",IF(C389="","Missing bill date",IF(NOT(ISNUMBER(C389)),"Invalid date",IF(OR(C389&lt;DATE(2000,1,1),C389&gt;DATE(2099,12,31)),"Invalid date",IF(F389="","Select an expense account",IF(ISNA(MATCH(F389,coa_Name,0)),"Unknown account: "&amp;F389,IF(NOT(ISNUMBER(G389)),"Enter an amount",IF(G389&lt;=0,"Amount must be positive",IF(S389&gt;G389,"Tax is larger than the amount","")))))))))))</f>
        <v/>
      </c>
      <c r="U389" s="67">
        <f>IF(OR(R389=1,T389&lt;&gt;""),"",IF(COUNTIFS(ap_No,B389,ap_Party,D389)&gt;1,"Duplicate bill #",IF(N(L389)&lt;0,"Overpaid by "&amp;TEXT(-L389,"#,##0.00"),IF(AND(ISNUMBER(H389),N(H389)&lt;&gt;0,S389=0),"Tax ignored (tax tracking is off)",IF(AND(ISNUMBER(StartDate),C389&lt;StartDate),"Date is before the accounting start date",IF(OR(IFERROR(INDEX(coa_Type,MATCH(F389,coa_Name,0)),"")="Revenue",IFERROR(INDEX(coa_Type,MATCH(F389,coa_Name,0)),"")="Other Income",IFERROR(INDEX(coa_Type,MATCH(F389,coa_Name,0)),"")="Equity"),"Account is not an expense or asset account",""))))))</f>
        <v/>
      </c>
      <c r="V389" s="67">
        <f>IF(AND(R389=0,T389=""),1,0)</f>
        <v/>
      </c>
      <c r="W389" s="67">
        <f>IF(V389=1,F389,"")</f>
        <v/>
      </c>
      <c r="X389" s="67">
        <f>IF(V389=1,acctAP,"")</f>
        <v/>
      </c>
      <c r="Y389" s="68">
        <f>IF(V389=1,G389-S389,0)</f>
        <v/>
      </c>
      <c r="Z389" s="68">
        <f>IF(V389=1,G389,0)</f>
        <v/>
      </c>
      <c r="AA389" s="68">
        <f>IF(V389=1,S389,0)</f>
        <v/>
      </c>
    </row>
    <row r="390">
      <c r="B390" s="62" t="n"/>
      <c r="C390" s="63" t="n"/>
      <c r="D390" s="62" t="n"/>
      <c r="E390" s="62" t="n"/>
      <c r="F390" s="62" t="n"/>
      <c r="G390" s="64" t="n"/>
      <c r="H390" s="64" t="n"/>
      <c r="I390" s="63" t="n"/>
      <c r="J390" s="29">
        <f>IF(V390=1,IF(ISNUMBER(I390),I390,C390+IF(ISNUMBER(IFERROR(INDEX(vend_Terms,MATCH(D390,vend_Name,0)),"")),INDEX(vend_Terms,MATCH(D390,vend_Name,0)),TermsDays)),"")</f>
        <v/>
      </c>
      <c r="K390" s="65">
        <f>IF(V390=1,SUMIFS(tx_CrAmt,tx_Type,"Bill Payment",tx_Ref,B390&amp;"",tx_Vend,D390,tx_Date,"&lt;="&amp;AsOf),"")</f>
        <v/>
      </c>
      <c r="L390" s="65">
        <f>IF(V390=1,IF(C390&gt;AsOf,0,ROUND(G390-K390,2)),"")</f>
        <v/>
      </c>
      <c r="M390" s="66">
        <f>IF(V390&lt;&gt;1,"",IF(C390&gt;AsOf,"Future",IF(L390&lt;0,"Overpaid",IF(L390=0,"Paid",IF(AsOf&gt;J390,"Overdue",IF(K390&gt;0,"Partial","Unpaid"))))))</f>
        <v/>
      </c>
      <c r="N390" s="28">
        <f>IF(AND(V390=1,N(L390)&gt;0),AsOf-C390,"")</f>
        <v/>
      </c>
      <c r="O390" s="28">
        <f>IF(N390="","",MAX(0,AsOf-J390))</f>
        <v/>
      </c>
      <c r="P390" s="66">
        <f>IF(O390="","",IF(O390=0,"Current",IF(O390&lt;=30,"1-30",IF(O390&lt;=60,"31-60",IF(O390&lt;=90,"61-90","90+")))))</f>
        <v/>
      </c>
      <c r="Q390" s="66">
        <f>IF(T390&lt;&gt;"","⛔ "&amp;T390&amp;" — not posted",IF(U390&lt;&gt;"","⚠ "&amp;U390,IF(V390=1,"✓ OK","")))</f>
        <v/>
      </c>
      <c r="R390" s="67">
        <f>IF(AND(B390="",C390="",D390="",G390="",F390=""),1,0)</f>
        <v/>
      </c>
      <c r="S390" s="68">
        <f>IF(AND(TaxOn="Yes",ISNUMBER(H390)),H390,0)</f>
        <v/>
      </c>
      <c r="T390" s="67">
        <f>IF(R390=1,"",IF(B390="","Enter a bill #",IF(D390="","Select a vendor",IF(C390="","Missing bill date",IF(NOT(ISNUMBER(C390)),"Invalid date",IF(OR(C390&lt;DATE(2000,1,1),C390&gt;DATE(2099,12,31)),"Invalid date",IF(F390="","Select an expense account",IF(ISNA(MATCH(F390,coa_Name,0)),"Unknown account: "&amp;F390,IF(NOT(ISNUMBER(G390)),"Enter an amount",IF(G390&lt;=0,"Amount must be positive",IF(S390&gt;G390,"Tax is larger than the amount","")))))))))))</f>
        <v/>
      </c>
      <c r="U390" s="67">
        <f>IF(OR(R390=1,T390&lt;&gt;""),"",IF(COUNTIFS(ap_No,B390,ap_Party,D390)&gt;1,"Duplicate bill #",IF(N(L390)&lt;0,"Overpaid by "&amp;TEXT(-L390,"#,##0.00"),IF(AND(ISNUMBER(H390),N(H390)&lt;&gt;0,S390=0),"Tax ignored (tax tracking is off)",IF(AND(ISNUMBER(StartDate),C390&lt;StartDate),"Date is before the accounting start date",IF(OR(IFERROR(INDEX(coa_Type,MATCH(F390,coa_Name,0)),"")="Revenue",IFERROR(INDEX(coa_Type,MATCH(F390,coa_Name,0)),"")="Other Income",IFERROR(INDEX(coa_Type,MATCH(F390,coa_Name,0)),"")="Equity"),"Account is not an expense or asset account",""))))))</f>
        <v/>
      </c>
      <c r="V390" s="67">
        <f>IF(AND(R390=0,T390=""),1,0)</f>
        <v/>
      </c>
      <c r="W390" s="67">
        <f>IF(V390=1,F390,"")</f>
        <v/>
      </c>
      <c r="X390" s="67">
        <f>IF(V390=1,acctAP,"")</f>
        <v/>
      </c>
      <c r="Y390" s="68">
        <f>IF(V390=1,G390-S390,0)</f>
        <v/>
      </c>
      <c r="Z390" s="68">
        <f>IF(V390=1,G390,0)</f>
        <v/>
      </c>
      <c r="AA390" s="68">
        <f>IF(V390=1,S390,0)</f>
        <v/>
      </c>
    </row>
    <row r="391">
      <c r="B391" s="62" t="n"/>
      <c r="C391" s="63" t="n"/>
      <c r="D391" s="62" t="n"/>
      <c r="E391" s="62" t="n"/>
      <c r="F391" s="62" t="n"/>
      <c r="G391" s="64" t="n"/>
      <c r="H391" s="64" t="n"/>
      <c r="I391" s="63" t="n"/>
      <c r="J391" s="29">
        <f>IF(V391=1,IF(ISNUMBER(I391),I391,C391+IF(ISNUMBER(IFERROR(INDEX(vend_Terms,MATCH(D391,vend_Name,0)),"")),INDEX(vend_Terms,MATCH(D391,vend_Name,0)),TermsDays)),"")</f>
        <v/>
      </c>
      <c r="K391" s="65">
        <f>IF(V391=1,SUMIFS(tx_CrAmt,tx_Type,"Bill Payment",tx_Ref,B391&amp;"",tx_Vend,D391,tx_Date,"&lt;="&amp;AsOf),"")</f>
        <v/>
      </c>
      <c r="L391" s="65">
        <f>IF(V391=1,IF(C391&gt;AsOf,0,ROUND(G391-K391,2)),"")</f>
        <v/>
      </c>
      <c r="M391" s="66">
        <f>IF(V391&lt;&gt;1,"",IF(C391&gt;AsOf,"Future",IF(L391&lt;0,"Overpaid",IF(L391=0,"Paid",IF(AsOf&gt;J391,"Overdue",IF(K391&gt;0,"Partial","Unpaid"))))))</f>
        <v/>
      </c>
      <c r="N391" s="28">
        <f>IF(AND(V391=1,N(L391)&gt;0),AsOf-C391,"")</f>
        <v/>
      </c>
      <c r="O391" s="28">
        <f>IF(N391="","",MAX(0,AsOf-J391))</f>
        <v/>
      </c>
      <c r="P391" s="66">
        <f>IF(O391="","",IF(O391=0,"Current",IF(O391&lt;=30,"1-30",IF(O391&lt;=60,"31-60",IF(O391&lt;=90,"61-90","90+")))))</f>
        <v/>
      </c>
      <c r="Q391" s="66">
        <f>IF(T391&lt;&gt;"","⛔ "&amp;T391&amp;" — not posted",IF(U391&lt;&gt;"","⚠ "&amp;U391,IF(V391=1,"✓ OK","")))</f>
        <v/>
      </c>
      <c r="R391" s="67">
        <f>IF(AND(B391="",C391="",D391="",G391="",F391=""),1,0)</f>
        <v/>
      </c>
      <c r="S391" s="68">
        <f>IF(AND(TaxOn="Yes",ISNUMBER(H391)),H391,0)</f>
        <v/>
      </c>
      <c r="T391" s="67">
        <f>IF(R391=1,"",IF(B391="","Enter a bill #",IF(D391="","Select a vendor",IF(C391="","Missing bill date",IF(NOT(ISNUMBER(C391)),"Invalid date",IF(OR(C391&lt;DATE(2000,1,1),C391&gt;DATE(2099,12,31)),"Invalid date",IF(F391="","Select an expense account",IF(ISNA(MATCH(F391,coa_Name,0)),"Unknown account: "&amp;F391,IF(NOT(ISNUMBER(G391)),"Enter an amount",IF(G391&lt;=0,"Amount must be positive",IF(S391&gt;G391,"Tax is larger than the amount","")))))))))))</f>
        <v/>
      </c>
      <c r="U391" s="67">
        <f>IF(OR(R391=1,T391&lt;&gt;""),"",IF(COUNTIFS(ap_No,B391,ap_Party,D391)&gt;1,"Duplicate bill #",IF(N(L391)&lt;0,"Overpaid by "&amp;TEXT(-L391,"#,##0.00"),IF(AND(ISNUMBER(H391),N(H391)&lt;&gt;0,S391=0),"Tax ignored (tax tracking is off)",IF(AND(ISNUMBER(StartDate),C391&lt;StartDate),"Date is before the accounting start date",IF(OR(IFERROR(INDEX(coa_Type,MATCH(F391,coa_Name,0)),"")="Revenue",IFERROR(INDEX(coa_Type,MATCH(F391,coa_Name,0)),"")="Other Income",IFERROR(INDEX(coa_Type,MATCH(F391,coa_Name,0)),"")="Equity"),"Account is not an expense or asset account",""))))))</f>
        <v/>
      </c>
      <c r="V391" s="67">
        <f>IF(AND(R391=0,T391=""),1,0)</f>
        <v/>
      </c>
      <c r="W391" s="67">
        <f>IF(V391=1,F391,"")</f>
        <v/>
      </c>
      <c r="X391" s="67">
        <f>IF(V391=1,acctAP,"")</f>
        <v/>
      </c>
      <c r="Y391" s="68">
        <f>IF(V391=1,G391-S391,0)</f>
        <v/>
      </c>
      <c r="Z391" s="68">
        <f>IF(V391=1,G391,0)</f>
        <v/>
      </c>
      <c r="AA391" s="68">
        <f>IF(V391=1,S391,0)</f>
        <v/>
      </c>
    </row>
    <row r="392">
      <c r="B392" s="62" t="n"/>
      <c r="C392" s="63" t="n"/>
      <c r="D392" s="62" t="n"/>
      <c r="E392" s="62" t="n"/>
      <c r="F392" s="62" t="n"/>
      <c r="G392" s="64" t="n"/>
      <c r="H392" s="64" t="n"/>
      <c r="I392" s="63" t="n"/>
      <c r="J392" s="29">
        <f>IF(V392=1,IF(ISNUMBER(I392),I392,C392+IF(ISNUMBER(IFERROR(INDEX(vend_Terms,MATCH(D392,vend_Name,0)),"")),INDEX(vend_Terms,MATCH(D392,vend_Name,0)),TermsDays)),"")</f>
        <v/>
      </c>
      <c r="K392" s="65">
        <f>IF(V392=1,SUMIFS(tx_CrAmt,tx_Type,"Bill Payment",tx_Ref,B392&amp;"",tx_Vend,D392,tx_Date,"&lt;="&amp;AsOf),"")</f>
        <v/>
      </c>
      <c r="L392" s="65">
        <f>IF(V392=1,IF(C392&gt;AsOf,0,ROUND(G392-K392,2)),"")</f>
        <v/>
      </c>
      <c r="M392" s="66">
        <f>IF(V392&lt;&gt;1,"",IF(C392&gt;AsOf,"Future",IF(L392&lt;0,"Overpaid",IF(L392=0,"Paid",IF(AsOf&gt;J392,"Overdue",IF(K392&gt;0,"Partial","Unpaid"))))))</f>
        <v/>
      </c>
      <c r="N392" s="28">
        <f>IF(AND(V392=1,N(L392)&gt;0),AsOf-C392,"")</f>
        <v/>
      </c>
      <c r="O392" s="28">
        <f>IF(N392="","",MAX(0,AsOf-J392))</f>
        <v/>
      </c>
      <c r="P392" s="66">
        <f>IF(O392="","",IF(O392=0,"Current",IF(O392&lt;=30,"1-30",IF(O392&lt;=60,"31-60",IF(O392&lt;=90,"61-90","90+")))))</f>
        <v/>
      </c>
      <c r="Q392" s="66">
        <f>IF(T392&lt;&gt;"","⛔ "&amp;T392&amp;" — not posted",IF(U392&lt;&gt;"","⚠ "&amp;U392,IF(V392=1,"✓ OK","")))</f>
        <v/>
      </c>
      <c r="R392" s="67">
        <f>IF(AND(B392="",C392="",D392="",G392="",F392=""),1,0)</f>
        <v/>
      </c>
      <c r="S392" s="68">
        <f>IF(AND(TaxOn="Yes",ISNUMBER(H392)),H392,0)</f>
        <v/>
      </c>
      <c r="T392" s="67">
        <f>IF(R392=1,"",IF(B392="","Enter a bill #",IF(D392="","Select a vendor",IF(C392="","Missing bill date",IF(NOT(ISNUMBER(C392)),"Invalid date",IF(OR(C392&lt;DATE(2000,1,1),C392&gt;DATE(2099,12,31)),"Invalid date",IF(F392="","Select an expense account",IF(ISNA(MATCH(F392,coa_Name,0)),"Unknown account: "&amp;F392,IF(NOT(ISNUMBER(G392)),"Enter an amount",IF(G392&lt;=0,"Amount must be positive",IF(S392&gt;G392,"Tax is larger than the amount","")))))))))))</f>
        <v/>
      </c>
      <c r="U392" s="67">
        <f>IF(OR(R392=1,T392&lt;&gt;""),"",IF(COUNTIFS(ap_No,B392,ap_Party,D392)&gt;1,"Duplicate bill #",IF(N(L392)&lt;0,"Overpaid by "&amp;TEXT(-L392,"#,##0.00"),IF(AND(ISNUMBER(H392),N(H392)&lt;&gt;0,S392=0),"Tax ignored (tax tracking is off)",IF(AND(ISNUMBER(StartDate),C392&lt;StartDate),"Date is before the accounting start date",IF(OR(IFERROR(INDEX(coa_Type,MATCH(F392,coa_Name,0)),"")="Revenue",IFERROR(INDEX(coa_Type,MATCH(F392,coa_Name,0)),"")="Other Income",IFERROR(INDEX(coa_Type,MATCH(F392,coa_Name,0)),"")="Equity"),"Account is not an expense or asset account",""))))))</f>
        <v/>
      </c>
      <c r="V392" s="67">
        <f>IF(AND(R392=0,T392=""),1,0)</f>
        <v/>
      </c>
      <c r="W392" s="67">
        <f>IF(V392=1,F392,"")</f>
        <v/>
      </c>
      <c r="X392" s="67">
        <f>IF(V392=1,acctAP,"")</f>
        <v/>
      </c>
      <c r="Y392" s="68">
        <f>IF(V392=1,G392-S392,0)</f>
        <v/>
      </c>
      <c r="Z392" s="68">
        <f>IF(V392=1,G392,0)</f>
        <v/>
      </c>
      <c r="AA392" s="68">
        <f>IF(V392=1,S392,0)</f>
        <v/>
      </c>
    </row>
    <row r="393">
      <c r="B393" s="62" t="n"/>
      <c r="C393" s="63" t="n"/>
      <c r="D393" s="62" t="n"/>
      <c r="E393" s="62" t="n"/>
      <c r="F393" s="62" t="n"/>
      <c r="G393" s="64" t="n"/>
      <c r="H393" s="64" t="n"/>
      <c r="I393" s="63" t="n"/>
      <c r="J393" s="29">
        <f>IF(V393=1,IF(ISNUMBER(I393),I393,C393+IF(ISNUMBER(IFERROR(INDEX(vend_Terms,MATCH(D393,vend_Name,0)),"")),INDEX(vend_Terms,MATCH(D393,vend_Name,0)),TermsDays)),"")</f>
        <v/>
      </c>
      <c r="K393" s="65">
        <f>IF(V393=1,SUMIFS(tx_CrAmt,tx_Type,"Bill Payment",tx_Ref,B393&amp;"",tx_Vend,D393,tx_Date,"&lt;="&amp;AsOf),"")</f>
        <v/>
      </c>
      <c r="L393" s="65">
        <f>IF(V393=1,IF(C393&gt;AsOf,0,ROUND(G393-K393,2)),"")</f>
        <v/>
      </c>
      <c r="M393" s="66">
        <f>IF(V393&lt;&gt;1,"",IF(C393&gt;AsOf,"Future",IF(L393&lt;0,"Overpaid",IF(L393=0,"Paid",IF(AsOf&gt;J393,"Overdue",IF(K393&gt;0,"Partial","Unpaid"))))))</f>
        <v/>
      </c>
      <c r="N393" s="28">
        <f>IF(AND(V393=1,N(L393)&gt;0),AsOf-C393,"")</f>
        <v/>
      </c>
      <c r="O393" s="28">
        <f>IF(N393="","",MAX(0,AsOf-J393))</f>
        <v/>
      </c>
      <c r="P393" s="66">
        <f>IF(O393="","",IF(O393=0,"Current",IF(O393&lt;=30,"1-30",IF(O393&lt;=60,"31-60",IF(O393&lt;=90,"61-90","90+")))))</f>
        <v/>
      </c>
      <c r="Q393" s="66">
        <f>IF(T393&lt;&gt;"","⛔ "&amp;T393&amp;" — not posted",IF(U393&lt;&gt;"","⚠ "&amp;U393,IF(V393=1,"✓ OK","")))</f>
        <v/>
      </c>
      <c r="R393" s="67">
        <f>IF(AND(B393="",C393="",D393="",G393="",F393=""),1,0)</f>
        <v/>
      </c>
      <c r="S393" s="68">
        <f>IF(AND(TaxOn="Yes",ISNUMBER(H393)),H393,0)</f>
        <v/>
      </c>
      <c r="T393" s="67">
        <f>IF(R393=1,"",IF(B393="","Enter a bill #",IF(D393="","Select a vendor",IF(C393="","Missing bill date",IF(NOT(ISNUMBER(C393)),"Invalid date",IF(OR(C393&lt;DATE(2000,1,1),C393&gt;DATE(2099,12,31)),"Invalid date",IF(F393="","Select an expense account",IF(ISNA(MATCH(F393,coa_Name,0)),"Unknown account: "&amp;F393,IF(NOT(ISNUMBER(G393)),"Enter an amount",IF(G393&lt;=0,"Amount must be positive",IF(S393&gt;G393,"Tax is larger than the amount","")))))))))))</f>
        <v/>
      </c>
      <c r="U393" s="67">
        <f>IF(OR(R393=1,T393&lt;&gt;""),"",IF(COUNTIFS(ap_No,B393,ap_Party,D393)&gt;1,"Duplicate bill #",IF(N(L393)&lt;0,"Overpaid by "&amp;TEXT(-L393,"#,##0.00"),IF(AND(ISNUMBER(H393),N(H393)&lt;&gt;0,S393=0),"Tax ignored (tax tracking is off)",IF(AND(ISNUMBER(StartDate),C393&lt;StartDate),"Date is before the accounting start date",IF(OR(IFERROR(INDEX(coa_Type,MATCH(F393,coa_Name,0)),"")="Revenue",IFERROR(INDEX(coa_Type,MATCH(F393,coa_Name,0)),"")="Other Income",IFERROR(INDEX(coa_Type,MATCH(F393,coa_Name,0)),"")="Equity"),"Account is not an expense or asset account",""))))))</f>
        <v/>
      </c>
      <c r="V393" s="67">
        <f>IF(AND(R393=0,T393=""),1,0)</f>
        <v/>
      </c>
      <c r="W393" s="67">
        <f>IF(V393=1,F393,"")</f>
        <v/>
      </c>
      <c r="X393" s="67">
        <f>IF(V393=1,acctAP,"")</f>
        <v/>
      </c>
      <c r="Y393" s="68">
        <f>IF(V393=1,G393-S393,0)</f>
        <v/>
      </c>
      <c r="Z393" s="68">
        <f>IF(V393=1,G393,0)</f>
        <v/>
      </c>
      <c r="AA393" s="68">
        <f>IF(V393=1,S393,0)</f>
        <v/>
      </c>
    </row>
    <row r="394">
      <c r="B394" s="62" t="n"/>
      <c r="C394" s="63" t="n"/>
      <c r="D394" s="62" t="n"/>
      <c r="E394" s="62" t="n"/>
      <c r="F394" s="62" t="n"/>
      <c r="G394" s="64" t="n"/>
      <c r="H394" s="64" t="n"/>
      <c r="I394" s="63" t="n"/>
      <c r="J394" s="29">
        <f>IF(V394=1,IF(ISNUMBER(I394),I394,C394+IF(ISNUMBER(IFERROR(INDEX(vend_Terms,MATCH(D394,vend_Name,0)),"")),INDEX(vend_Terms,MATCH(D394,vend_Name,0)),TermsDays)),"")</f>
        <v/>
      </c>
      <c r="K394" s="65">
        <f>IF(V394=1,SUMIFS(tx_CrAmt,tx_Type,"Bill Payment",tx_Ref,B394&amp;"",tx_Vend,D394,tx_Date,"&lt;="&amp;AsOf),"")</f>
        <v/>
      </c>
      <c r="L394" s="65">
        <f>IF(V394=1,IF(C394&gt;AsOf,0,ROUND(G394-K394,2)),"")</f>
        <v/>
      </c>
      <c r="M394" s="66">
        <f>IF(V394&lt;&gt;1,"",IF(C394&gt;AsOf,"Future",IF(L394&lt;0,"Overpaid",IF(L394=0,"Paid",IF(AsOf&gt;J394,"Overdue",IF(K394&gt;0,"Partial","Unpaid"))))))</f>
        <v/>
      </c>
      <c r="N394" s="28">
        <f>IF(AND(V394=1,N(L394)&gt;0),AsOf-C394,"")</f>
        <v/>
      </c>
      <c r="O394" s="28">
        <f>IF(N394="","",MAX(0,AsOf-J394))</f>
        <v/>
      </c>
      <c r="P394" s="66">
        <f>IF(O394="","",IF(O394=0,"Current",IF(O394&lt;=30,"1-30",IF(O394&lt;=60,"31-60",IF(O394&lt;=90,"61-90","90+")))))</f>
        <v/>
      </c>
      <c r="Q394" s="66">
        <f>IF(T394&lt;&gt;"","⛔ "&amp;T394&amp;" — not posted",IF(U394&lt;&gt;"","⚠ "&amp;U394,IF(V394=1,"✓ OK","")))</f>
        <v/>
      </c>
      <c r="R394" s="67">
        <f>IF(AND(B394="",C394="",D394="",G394="",F394=""),1,0)</f>
        <v/>
      </c>
      <c r="S394" s="68">
        <f>IF(AND(TaxOn="Yes",ISNUMBER(H394)),H394,0)</f>
        <v/>
      </c>
      <c r="T394" s="67">
        <f>IF(R394=1,"",IF(B394="","Enter a bill #",IF(D394="","Select a vendor",IF(C394="","Missing bill date",IF(NOT(ISNUMBER(C394)),"Invalid date",IF(OR(C394&lt;DATE(2000,1,1),C394&gt;DATE(2099,12,31)),"Invalid date",IF(F394="","Select an expense account",IF(ISNA(MATCH(F394,coa_Name,0)),"Unknown account: "&amp;F394,IF(NOT(ISNUMBER(G394)),"Enter an amount",IF(G394&lt;=0,"Amount must be positive",IF(S394&gt;G394,"Tax is larger than the amount","")))))))))))</f>
        <v/>
      </c>
      <c r="U394" s="67">
        <f>IF(OR(R394=1,T394&lt;&gt;""),"",IF(COUNTIFS(ap_No,B394,ap_Party,D394)&gt;1,"Duplicate bill #",IF(N(L394)&lt;0,"Overpaid by "&amp;TEXT(-L394,"#,##0.00"),IF(AND(ISNUMBER(H394),N(H394)&lt;&gt;0,S394=0),"Tax ignored (tax tracking is off)",IF(AND(ISNUMBER(StartDate),C394&lt;StartDate),"Date is before the accounting start date",IF(OR(IFERROR(INDEX(coa_Type,MATCH(F394,coa_Name,0)),"")="Revenue",IFERROR(INDEX(coa_Type,MATCH(F394,coa_Name,0)),"")="Other Income",IFERROR(INDEX(coa_Type,MATCH(F394,coa_Name,0)),"")="Equity"),"Account is not an expense or asset account",""))))))</f>
        <v/>
      </c>
      <c r="V394" s="67">
        <f>IF(AND(R394=0,T394=""),1,0)</f>
        <v/>
      </c>
      <c r="W394" s="67">
        <f>IF(V394=1,F394,"")</f>
        <v/>
      </c>
      <c r="X394" s="67">
        <f>IF(V394=1,acctAP,"")</f>
        <v/>
      </c>
      <c r="Y394" s="68">
        <f>IF(V394=1,G394-S394,0)</f>
        <v/>
      </c>
      <c r="Z394" s="68">
        <f>IF(V394=1,G394,0)</f>
        <v/>
      </c>
      <c r="AA394" s="68">
        <f>IF(V394=1,S394,0)</f>
        <v/>
      </c>
    </row>
    <row r="395">
      <c r="B395" s="62" t="n"/>
      <c r="C395" s="63" t="n"/>
      <c r="D395" s="62" t="n"/>
      <c r="E395" s="62" t="n"/>
      <c r="F395" s="62" t="n"/>
      <c r="G395" s="64" t="n"/>
      <c r="H395" s="64" t="n"/>
      <c r="I395" s="63" t="n"/>
      <c r="J395" s="29">
        <f>IF(V395=1,IF(ISNUMBER(I395),I395,C395+IF(ISNUMBER(IFERROR(INDEX(vend_Terms,MATCH(D395,vend_Name,0)),"")),INDEX(vend_Terms,MATCH(D395,vend_Name,0)),TermsDays)),"")</f>
        <v/>
      </c>
      <c r="K395" s="65">
        <f>IF(V395=1,SUMIFS(tx_CrAmt,tx_Type,"Bill Payment",tx_Ref,B395&amp;"",tx_Vend,D395,tx_Date,"&lt;="&amp;AsOf),"")</f>
        <v/>
      </c>
      <c r="L395" s="65">
        <f>IF(V395=1,IF(C395&gt;AsOf,0,ROUND(G395-K395,2)),"")</f>
        <v/>
      </c>
      <c r="M395" s="66">
        <f>IF(V395&lt;&gt;1,"",IF(C395&gt;AsOf,"Future",IF(L395&lt;0,"Overpaid",IF(L395=0,"Paid",IF(AsOf&gt;J395,"Overdue",IF(K395&gt;0,"Partial","Unpaid"))))))</f>
        <v/>
      </c>
      <c r="N395" s="28">
        <f>IF(AND(V395=1,N(L395)&gt;0),AsOf-C395,"")</f>
        <v/>
      </c>
      <c r="O395" s="28">
        <f>IF(N395="","",MAX(0,AsOf-J395))</f>
        <v/>
      </c>
      <c r="P395" s="66">
        <f>IF(O395="","",IF(O395=0,"Current",IF(O395&lt;=30,"1-30",IF(O395&lt;=60,"31-60",IF(O395&lt;=90,"61-90","90+")))))</f>
        <v/>
      </c>
      <c r="Q395" s="66">
        <f>IF(T395&lt;&gt;"","⛔ "&amp;T395&amp;" — not posted",IF(U395&lt;&gt;"","⚠ "&amp;U395,IF(V395=1,"✓ OK","")))</f>
        <v/>
      </c>
      <c r="R395" s="67">
        <f>IF(AND(B395="",C395="",D395="",G395="",F395=""),1,0)</f>
        <v/>
      </c>
      <c r="S395" s="68">
        <f>IF(AND(TaxOn="Yes",ISNUMBER(H395)),H395,0)</f>
        <v/>
      </c>
      <c r="T395" s="67">
        <f>IF(R395=1,"",IF(B395="","Enter a bill #",IF(D395="","Select a vendor",IF(C395="","Missing bill date",IF(NOT(ISNUMBER(C395)),"Invalid date",IF(OR(C395&lt;DATE(2000,1,1),C395&gt;DATE(2099,12,31)),"Invalid date",IF(F395="","Select an expense account",IF(ISNA(MATCH(F395,coa_Name,0)),"Unknown account: "&amp;F395,IF(NOT(ISNUMBER(G395)),"Enter an amount",IF(G395&lt;=0,"Amount must be positive",IF(S395&gt;G395,"Tax is larger than the amount","")))))))))))</f>
        <v/>
      </c>
      <c r="U395" s="67">
        <f>IF(OR(R395=1,T395&lt;&gt;""),"",IF(COUNTIFS(ap_No,B395,ap_Party,D395)&gt;1,"Duplicate bill #",IF(N(L395)&lt;0,"Overpaid by "&amp;TEXT(-L395,"#,##0.00"),IF(AND(ISNUMBER(H395),N(H395)&lt;&gt;0,S395=0),"Tax ignored (tax tracking is off)",IF(AND(ISNUMBER(StartDate),C395&lt;StartDate),"Date is before the accounting start date",IF(OR(IFERROR(INDEX(coa_Type,MATCH(F395,coa_Name,0)),"")="Revenue",IFERROR(INDEX(coa_Type,MATCH(F395,coa_Name,0)),"")="Other Income",IFERROR(INDEX(coa_Type,MATCH(F395,coa_Name,0)),"")="Equity"),"Account is not an expense or asset account",""))))))</f>
        <v/>
      </c>
      <c r="V395" s="67">
        <f>IF(AND(R395=0,T395=""),1,0)</f>
        <v/>
      </c>
      <c r="W395" s="67">
        <f>IF(V395=1,F395,"")</f>
        <v/>
      </c>
      <c r="X395" s="67">
        <f>IF(V395=1,acctAP,"")</f>
        <v/>
      </c>
      <c r="Y395" s="68">
        <f>IF(V395=1,G395-S395,0)</f>
        <v/>
      </c>
      <c r="Z395" s="68">
        <f>IF(V395=1,G395,0)</f>
        <v/>
      </c>
      <c r="AA395" s="68">
        <f>IF(V395=1,S395,0)</f>
        <v/>
      </c>
    </row>
    <row r="396">
      <c r="B396" s="62" t="n"/>
      <c r="C396" s="63" t="n"/>
      <c r="D396" s="62" t="n"/>
      <c r="E396" s="62" t="n"/>
      <c r="F396" s="62" t="n"/>
      <c r="G396" s="64" t="n"/>
      <c r="H396" s="64" t="n"/>
      <c r="I396" s="63" t="n"/>
      <c r="J396" s="29">
        <f>IF(V396=1,IF(ISNUMBER(I396),I396,C396+IF(ISNUMBER(IFERROR(INDEX(vend_Terms,MATCH(D396,vend_Name,0)),"")),INDEX(vend_Terms,MATCH(D396,vend_Name,0)),TermsDays)),"")</f>
        <v/>
      </c>
      <c r="K396" s="65">
        <f>IF(V396=1,SUMIFS(tx_CrAmt,tx_Type,"Bill Payment",tx_Ref,B396&amp;"",tx_Vend,D396,tx_Date,"&lt;="&amp;AsOf),"")</f>
        <v/>
      </c>
      <c r="L396" s="65">
        <f>IF(V396=1,IF(C396&gt;AsOf,0,ROUND(G396-K396,2)),"")</f>
        <v/>
      </c>
      <c r="M396" s="66">
        <f>IF(V396&lt;&gt;1,"",IF(C396&gt;AsOf,"Future",IF(L396&lt;0,"Overpaid",IF(L396=0,"Paid",IF(AsOf&gt;J396,"Overdue",IF(K396&gt;0,"Partial","Unpaid"))))))</f>
        <v/>
      </c>
      <c r="N396" s="28">
        <f>IF(AND(V396=1,N(L396)&gt;0),AsOf-C396,"")</f>
        <v/>
      </c>
      <c r="O396" s="28">
        <f>IF(N396="","",MAX(0,AsOf-J396))</f>
        <v/>
      </c>
      <c r="P396" s="66">
        <f>IF(O396="","",IF(O396=0,"Current",IF(O396&lt;=30,"1-30",IF(O396&lt;=60,"31-60",IF(O396&lt;=90,"61-90","90+")))))</f>
        <v/>
      </c>
      <c r="Q396" s="66">
        <f>IF(T396&lt;&gt;"","⛔ "&amp;T396&amp;" — not posted",IF(U396&lt;&gt;"","⚠ "&amp;U396,IF(V396=1,"✓ OK","")))</f>
        <v/>
      </c>
      <c r="R396" s="67">
        <f>IF(AND(B396="",C396="",D396="",G396="",F396=""),1,0)</f>
        <v/>
      </c>
      <c r="S396" s="68">
        <f>IF(AND(TaxOn="Yes",ISNUMBER(H396)),H396,0)</f>
        <v/>
      </c>
      <c r="T396" s="67">
        <f>IF(R396=1,"",IF(B396="","Enter a bill #",IF(D396="","Select a vendor",IF(C396="","Missing bill date",IF(NOT(ISNUMBER(C396)),"Invalid date",IF(OR(C396&lt;DATE(2000,1,1),C396&gt;DATE(2099,12,31)),"Invalid date",IF(F396="","Select an expense account",IF(ISNA(MATCH(F396,coa_Name,0)),"Unknown account: "&amp;F396,IF(NOT(ISNUMBER(G396)),"Enter an amount",IF(G396&lt;=0,"Amount must be positive",IF(S396&gt;G396,"Tax is larger than the amount","")))))))))))</f>
        <v/>
      </c>
      <c r="U396" s="67">
        <f>IF(OR(R396=1,T396&lt;&gt;""),"",IF(COUNTIFS(ap_No,B396,ap_Party,D396)&gt;1,"Duplicate bill #",IF(N(L396)&lt;0,"Overpaid by "&amp;TEXT(-L396,"#,##0.00"),IF(AND(ISNUMBER(H396),N(H396)&lt;&gt;0,S396=0),"Tax ignored (tax tracking is off)",IF(AND(ISNUMBER(StartDate),C396&lt;StartDate),"Date is before the accounting start date",IF(OR(IFERROR(INDEX(coa_Type,MATCH(F396,coa_Name,0)),"")="Revenue",IFERROR(INDEX(coa_Type,MATCH(F396,coa_Name,0)),"")="Other Income",IFERROR(INDEX(coa_Type,MATCH(F396,coa_Name,0)),"")="Equity"),"Account is not an expense or asset account",""))))))</f>
        <v/>
      </c>
      <c r="V396" s="67">
        <f>IF(AND(R396=0,T396=""),1,0)</f>
        <v/>
      </c>
      <c r="W396" s="67">
        <f>IF(V396=1,F396,"")</f>
        <v/>
      </c>
      <c r="X396" s="67">
        <f>IF(V396=1,acctAP,"")</f>
        <v/>
      </c>
      <c r="Y396" s="68">
        <f>IF(V396=1,G396-S396,0)</f>
        <v/>
      </c>
      <c r="Z396" s="68">
        <f>IF(V396=1,G396,0)</f>
        <v/>
      </c>
      <c r="AA396" s="68">
        <f>IF(V396=1,S396,0)</f>
        <v/>
      </c>
    </row>
    <row r="397">
      <c r="B397" s="62" t="n"/>
      <c r="C397" s="63" t="n"/>
      <c r="D397" s="62" t="n"/>
      <c r="E397" s="62" t="n"/>
      <c r="F397" s="62" t="n"/>
      <c r="G397" s="64" t="n"/>
      <c r="H397" s="64" t="n"/>
      <c r="I397" s="63" t="n"/>
      <c r="J397" s="29">
        <f>IF(V397=1,IF(ISNUMBER(I397),I397,C397+IF(ISNUMBER(IFERROR(INDEX(vend_Terms,MATCH(D397,vend_Name,0)),"")),INDEX(vend_Terms,MATCH(D397,vend_Name,0)),TermsDays)),"")</f>
        <v/>
      </c>
      <c r="K397" s="65">
        <f>IF(V397=1,SUMIFS(tx_CrAmt,tx_Type,"Bill Payment",tx_Ref,B397&amp;"",tx_Vend,D397,tx_Date,"&lt;="&amp;AsOf),"")</f>
        <v/>
      </c>
      <c r="L397" s="65">
        <f>IF(V397=1,IF(C397&gt;AsOf,0,ROUND(G397-K397,2)),"")</f>
        <v/>
      </c>
      <c r="M397" s="66">
        <f>IF(V397&lt;&gt;1,"",IF(C397&gt;AsOf,"Future",IF(L397&lt;0,"Overpaid",IF(L397=0,"Paid",IF(AsOf&gt;J397,"Overdue",IF(K397&gt;0,"Partial","Unpaid"))))))</f>
        <v/>
      </c>
      <c r="N397" s="28">
        <f>IF(AND(V397=1,N(L397)&gt;0),AsOf-C397,"")</f>
        <v/>
      </c>
      <c r="O397" s="28">
        <f>IF(N397="","",MAX(0,AsOf-J397))</f>
        <v/>
      </c>
      <c r="P397" s="66">
        <f>IF(O397="","",IF(O397=0,"Current",IF(O397&lt;=30,"1-30",IF(O397&lt;=60,"31-60",IF(O397&lt;=90,"61-90","90+")))))</f>
        <v/>
      </c>
      <c r="Q397" s="66">
        <f>IF(T397&lt;&gt;"","⛔ "&amp;T397&amp;" — not posted",IF(U397&lt;&gt;"","⚠ "&amp;U397,IF(V397=1,"✓ OK","")))</f>
        <v/>
      </c>
      <c r="R397" s="67">
        <f>IF(AND(B397="",C397="",D397="",G397="",F397=""),1,0)</f>
        <v/>
      </c>
      <c r="S397" s="68">
        <f>IF(AND(TaxOn="Yes",ISNUMBER(H397)),H397,0)</f>
        <v/>
      </c>
      <c r="T397" s="67">
        <f>IF(R397=1,"",IF(B397="","Enter a bill #",IF(D397="","Select a vendor",IF(C397="","Missing bill date",IF(NOT(ISNUMBER(C397)),"Invalid date",IF(OR(C397&lt;DATE(2000,1,1),C397&gt;DATE(2099,12,31)),"Invalid date",IF(F397="","Select an expense account",IF(ISNA(MATCH(F397,coa_Name,0)),"Unknown account: "&amp;F397,IF(NOT(ISNUMBER(G397)),"Enter an amount",IF(G397&lt;=0,"Amount must be positive",IF(S397&gt;G397,"Tax is larger than the amount","")))))))))))</f>
        <v/>
      </c>
      <c r="U397" s="67">
        <f>IF(OR(R397=1,T397&lt;&gt;""),"",IF(COUNTIFS(ap_No,B397,ap_Party,D397)&gt;1,"Duplicate bill #",IF(N(L397)&lt;0,"Overpaid by "&amp;TEXT(-L397,"#,##0.00"),IF(AND(ISNUMBER(H397),N(H397)&lt;&gt;0,S397=0),"Tax ignored (tax tracking is off)",IF(AND(ISNUMBER(StartDate),C397&lt;StartDate),"Date is before the accounting start date",IF(OR(IFERROR(INDEX(coa_Type,MATCH(F397,coa_Name,0)),"")="Revenue",IFERROR(INDEX(coa_Type,MATCH(F397,coa_Name,0)),"")="Other Income",IFERROR(INDEX(coa_Type,MATCH(F397,coa_Name,0)),"")="Equity"),"Account is not an expense or asset account",""))))))</f>
        <v/>
      </c>
      <c r="V397" s="67">
        <f>IF(AND(R397=0,T397=""),1,0)</f>
        <v/>
      </c>
      <c r="W397" s="67">
        <f>IF(V397=1,F397,"")</f>
        <v/>
      </c>
      <c r="X397" s="67">
        <f>IF(V397=1,acctAP,"")</f>
        <v/>
      </c>
      <c r="Y397" s="68">
        <f>IF(V397=1,G397-S397,0)</f>
        <v/>
      </c>
      <c r="Z397" s="68">
        <f>IF(V397=1,G397,0)</f>
        <v/>
      </c>
      <c r="AA397" s="68">
        <f>IF(V397=1,S397,0)</f>
        <v/>
      </c>
    </row>
    <row r="398">
      <c r="B398" s="62" t="n"/>
      <c r="C398" s="63" t="n"/>
      <c r="D398" s="62" t="n"/>
      <c r="E398" s="62" t="n"/>
      <c r="F398" s="62" t="n"/>
      <c r="G398" s="64" t="n"/>
      <c r="H398" s="64" t="n"/>
      <c r="I398" s="63" t="n"/>
      <c r="J398" s="29">
        <f>IF(V398=1,IF(ISNUMBER(I398),I398,C398+IF(ISNUMBER(IFERROR(INDEX(vend_Terms,MATCH(D398,vend_Name,0)),"")),INDEX(vend_Terms,MATCH(D398,vend_Name,0)),TermsDays)),"")</f>
        <v/>
      </c>
      <c r="K398" s="65">
        <f>IF(V398=1,SUMIFS(tx_CrAmt,tx_Type,"Bill Payment",tx_Ref,B398&amp;"",tx_Vend,D398,tx_Date,"&lt;="&amp;AsOf),"")</f>
        <v/>
      </c>
      <c r="L398" s="65">
        <f>IF(V398=1,IF(C398&gt;AsOf,0,ROUND(G398-K398,2)),"")</f>
        <v/>
      </c>
      <c r="M398" s="66">
        <f>IF(V398&lt;&gt;1,"",IF(C398&gt;AsOf,"Future",IF(L398&lt;0,"Overpaid",IF(L398=0,"Paid",IF(AsOf&gt;J398,"Overdue",IF(K398&gt;0,"Partial","Unpaid"))))))</f>
        <v/>
      </c>
      <c r="N398" s="28">
        <f>IF(AND(V398=1,N(L398)&gt;0),AsOf-C398,"")</f>
        <v/>
      </c>
      <c r="O398" s="28">
        <f>IF(N398="","",MAX(0,AsOf-J398))</f>
        <v/>
      </c>
      <c r="P398" s="66">
        <f>IF(O398="","",IF(O398=0,"Current",IF(O398&lt;=30,"1-30",IF(O398&lt;=60,"31-60",IF(O398&lt;=90,"61-90","90+")))))</f>
        <v/>
      </c>
      <c r="Q398" s="66">
        <f>IF(T398&lt;&gt;"","⛔ "&amp;T398&amp;" — not posted",IF(U398&lt;&gt;"","⚠ "&amp;U398,IF(V398=1,"✓ OK","")))</f>
        <v/>
      </c>
      <c r="R398" s="67">
        <f>IF(AND(B398="",C398="",D398="",G398="",F398=""),1,0)</f>
        <v/>
      </c>
      <c r="S398" s="68">
        <f>IF(AND(TaxOn="Yes",ISNUMBER(H398)),H398,0)</f>
        <v/>
      </c>
      <c r="T398" s="67">
        <f>IF(R398=1,"",IF(B398="","Enter a bill #",IF(D398="","Select a vendor",IF(C398="","Missing bill date",IF(NOT(ISNUMBER(C398)),"Invalid date",IF(OR(C398&lt;DATE(2000,1,1),C398&gt;DATE(2099,12,31)),"Invalid date",IF(F398="","Select an expense account",IF(ISNA(MATCH(F398,coa_Name,0)),"Unknown account: "&amp;F398,IF(NOT(ISNUMBER(G398)),"Enter an amount",IF(G398&lt;=0,"Amount must be positive",IF(S398&gt;G398,"Tax is larger than the amount","")))))))))))</f>
        <v/>
      </c>
      <c r="U398" s="67">
        <f>IF(OR(R398=1,T398&lt;&gt;""),"",IF(COUNTIFS(ap_No,B398,ap_Party,D398)&gt;1,"Duplicate bill #",IF(N(L398)&lt;0,"Overpaid by "&amp;TEXT(-L398,"#,##0.00"),IF(AND(ISNUMBER(H398),N(H398)&lt;&gt;0,S398=0),"Tax ignored (tax tracking is off)",IF(AND(ISNUMBER(StartDate),C398&lt;StartDate),"Date is before the accounting start date",IF(OR(IFERROR(INDEX(coa_Type,MATCH(F398,coa_Name,0)),"")="Revenue",IFERROR(INDEX(coa_Type,MATCH(F398,coa_Name,0)),"")="Other Income",IFERROR(INDEX(coa_Type,MATCH(F398,coa_Name,0)),"")="Equity"),"Account is not an expense or asset account",""))))))</f>
        <v/>
      </c>
      <c r="V398" s="67">
        <f>IF(AND(R398=0,T398=""),1,0)</f>
        <v/>
      </c>
      <c r="W398" s="67">
        <f>IF(V398=1,F398,"")</f>
        <v/>
      </c>
      <c r="X398" s="67">
        <f>IF(V398=1,acctAP,"")</f>
        <v/>
      </c>
      <c r="Y398" s="68">
        <f>IF(V398=1,G398-S398,0)</f>
        <v/>
      </c>
      <c r="Z398" s="68">
        <f>IF(V398=1,G398,0)</f>
        <v/>
      </c>
      <c r="AA398" s="68">
        <f>IF(V398=1,S398,0)</f>
        <v/>
      </c>
    </row>
    <row r="399">
      <c r="B399" s="62" t="n"/>
      <c r="C399" s="63" t="n"/>
      <c r="D399" s="62" t="n"/>
      <c r="E399" s="62" t="n"/>
      <c r="F399" s="62" t="n"/>
      <c r="G399" s="64" t="n"/>
      <c r="H399" s="64" t="n"/>
      <c r="I399" s="63" t="n"/>
      <c r="J399" s="29">
        <f>IF(V399=1,IF(ISNUMBER(I399),I399,C399+IF(ISNUMBER(IFERROR(INDEX(vend_Terms,MATCH(D399,vend_Name,0)),"")),INDEX(vend_Terms,MATCH(D399,vend_Name,0)),TermsDays)),"")</f>
        <v/>
      </c>
      <c r="K399" s="65">
        <f>IF(V399=1,SUMIFS(tx_CrAmt,tx_Type,"Bill Payment",tx_Ref,B399&amp;"",tx_Vend,D399,tx_Date,"&lt;="&amp;AsOf),"")</f>
        <v/>
      </c>
      <c r="L399" s="65">
        <f>IF(V399=1,IF(C399&gt;AsOf,0,ROUND(G399-K399,2)),"")</f>
        <v/>
      </c>
      <c r="M399" s="66">
        <f>IF(V399&lt;&gt;1,"",IF(C399&gt;AsOf,"Future",IF(L399&lt;0,"Overpaid",IF(L399=0,"Paid",IF(AsOf&gt;J399,"Overdue",IF(K399&gt;0,"Partial","Unpaid"))))))</f>
        <v/>
      </c>
      <c r="N399" s="28">
        <f>IF(AND(V399=1,N(L399)&gt;0),AsOf-C399,"")</f>
        <v/>
      </c>
      <c r="O399" s="28">
        <f>IF(N399="","",MAX(0,AsOf-J399))</f>
        <v/>
      </c>
      <c r="P399" s="66">
        <f>IF(O399="","",IF(O399=0,"Current",IF(O399&lt;=30,"1-30",IF(O399&lt;=60,"31-60",IF(O399&lt;=90,"61-90","90+")))))</f>
        <v/>
      </c>
      <c r="Q399" s="66">
        <f>IF(T399&lt;&gt;"","⛔ "&amp;T399&amp;" — not posted",IF(U399&lt;&gt;"","⚠ "&amp;U399,IF(V399=1,"✓ OK","")))</f>
        <v/>
      </c>
      <c r="R399" s="67">
        <f>IF(AND(B399="",C399="",D399="",G399="",F399=""),1,0)</f>
        <v/>
      </c>
      <c r="S399" s="68">
        <f>IF(AND(TaxOn="Yes",ISNUMBER(H399)),H399,0)</f>
        <v/>
      </c>
      <c r="T399" s="67">
        <f>IF(R399=1,"",IF(B399="","Enter a bill #",IF(D399="","Select a vendor",IF(C399="","Missing bill date",IF(NOT(ISNUMBER(C399)),"Invalid date",IF(OR(C399&lt;DATE(2000,1,1),C399&gt;DATE(2099,12,31)),"Invalid date",IF(F399="","Select an expense account",IF(ISNA(MATCH(F399,coa_Name,0)),"Unknown account: "&amp;F399,IF(NOT(ISNUMBER(G399)),"Enter an amount",IF(G399&lt;=0,"Amount must be positive",IF(S399&gt;G399,"Tax is larger than the amount","")))))))))))</f>
        <v/>
      </c>
      <c r="U399" s="67">
        <f>IF(OR(R399=1,T399&lt;&gt;""),"",IF(COUNTIFS(ap_No,B399,ap_Party,D399)&gt;1,"Duplicate bill #",IF(N(L399)&lt;0,"Overpaid by "&amp;TEXT(-L399,"#,##0.00"),IF(AND(ISNUMBER(H399),N(H399)&lt;&gt;0,S399=0),"Tax ignored (tax tracking is off)",IF(AND(ISNUMBER(StartDate),C399&lt;StartDate),"Date is before the accounting start date",IF(OR(IFERROR(INDEX(coa_Type,MATCH(F399,coa_Name,0)),"")="Revenue",IFERROR(INDEX(coa_Type,MATCH(F399,coa_Name,0)),"")="Other Income",IFERROR(INDEX(coa_Type,MATCH(F399,coa_Name,0)),"")="Equity"),"Account is not an expense or asset account",""))))))</f>
        <v/>
      </c>
      <c r="V399" s="67">
        <f>IF(AND(R399=0,T399=""),1,0)</f>
        <v/>
      </c>
      <c r="W399" s="67">
        <f>IF(V399=1,F399,"")</f>
        <v/>
      </c>
      <c r="X399" s="67">
        <f>IF(V399=1,acctAP,"")</f>
        <v/>
      </c>
      <c r="Y399" s="68">
        <f>IF(V399=1,G399-S399,0)</f>
        <v/>
      </c>
      <c r="Z399" s="68">
        <f>IF(V399=1,G399,0)</f>
        <v/>
      </c>
      <c r="AA399" s="68">
        <f>IF(V399=1,S399,0)</f>
        <v/>
      </c>
    </row>
    <row r="400">
      <c r="B400" s="62" t="n"/>
      <c r="C400" s="63" t="n"/>
      <c r="D400" s="62" t="n"/>
      <c r="E400" s="62" t="n"/>
      <c r="F400" s="62" t="n"/>
      <c r="G400" s="64" t="n"/>
      <c r="H400" s="64" t="n"/>
      <c r="I400" s="63" t="n"/>
      <c r="J400" s="29">
        <f>IF(V400=1,IF(ISNUMBER(I400),I400,C400+IF(ISNUMBER(IFERROR(INDEX(vend_Terms,MATCH(D400,vend_Name,0)),"")),INDEX(vend_Terms,MATCH(D400,vend_Name,0)),TermsDays)),"")</f>
        <v/>
      </c>
      <c r="K400" s="65">
        <f>IF(V400=1,SUMIFS(tx_CrAmt,tx_Type,"Bill Payment",tx_Ref,B400&amp;"",tx_Vend,D400,tx_Date,"&lt;="&amp;AsOf),"")</f>
        <v/>
      </c>
      <c r="L400" s="65">
        <f>IF(V400=1,IF(C400&gt;AsOf,0,ROUND(G400-K400,2)),"")</f>
        <v/>
      </c>
      <c r="M400" s="66">
        <f>IF(V400&lt;&gt;1,"",IF(C400&gt;AsOf,"Future",IF(L400&lt;0,"Overpaid",IF(L400=0,"Paid",IF(AsOf&gt;J400,"Overdue",IF(K400&gt;0,"Partial","Unpaid"))))))</f>
        <v/>
      </c>
      <c r="N400" s="28">
        <f>IF(AND(V400=1,N(L400)&gt;0),AsOf-C400,"")</f>
        <v/>
      </c>
      <c r="O400" s="28">
        <f>IF(N400="","",MAX(0,AsOf-J400))</f>
        <v/>
      </c>
      <c r="P400" s="66">
        <f>IF(O400="","",IF(O400=0,"Current",IF(O400&lt;=30,"1-30",IF(O400&lt;=60,"31-60",IF(O400&lt;=90,"61-90","90+")))))</f>
        <v/>
      </c>
      <c r="Q400" s="66">
        <f>IF(T400&lt;&gt;"","⛔ "&amp;T400&amp;" — not posted",IF(U400&lt;&gt;"","⚠ "&amp;U400,IF(V400=1,"✓ OK","")))</f>
        <v/>
      </c>
      <c r="R400" s="67">
        <f>IF(AND(B400="",C400="",D400="",G400="",F400=""),1,0)</f>
        <v/>
      </c>
      <c r="S400" s="68">
        <f>IF(AND(TaxOn="Yes",ISNUMBER(H400)),H400,0)</f>
        <v/>
      </c>
      <c r="T400" s="67">
        <f>IF(R400=1,"",IF(B400="","Enter a bill #",IF(D400="","Select a vendor",IF(C400="","Missing bill date",IF(NOT(ISNUMBER(C400)),"Invalid date",IF(OR(C400&lt;DATE(2000,1,1),C400&gt;DATE(2099,12,31)),"Invalid date",IF(F400="","Select an expense account",IF(ISNA(MATCH(F400,coa_Name,0)),"Unknown account: "&amp;F400,IF(NOT(ISNUMBER(G400)),"Enter an amount",IF(G400&lt;=0,"Amount must be positive",IF(S400&gt;G400,"Tax is larger than the amount","")))))))))))</f>
        <v/>
      </c>
      <c r="U400" s="67">
        <f>IF(OR(R400=1,T400&lt;&gt;""),"",IF(COUNTIFS(ap_No,B400,ap_Party,D400)&gt;1,"Duplicate bill #",IF(N(L400)&lt;0,"Overpaid by "&amp;TEXT(-L400,"#,##0.00"),IF(AND(ISNUMBER(H400),N(H400)&lt;&gt;0,S400=0),"Tax ignored (tax tracking is off)",IF(AND(ISNUMBER(StartDate),C400&lt;StartDate),"Date is before the accounting start date",IF(OR(IFERROR(INDEX(coa_Type,MATCH(F400,coa_Name,0)),"")="Revenue",IFERROR(INDEX(coa_Type,MATCH(F400,coa_Name,0)),"")="Other Income",IFERROR(INDEX(coa_Type,MATCH(F400,coa_Name,0)),"")="Equity"),"Account is not an expense or asset account",""))))))</f>
        <v/>
      </c>
      <c r="V400" s="67">
        <f>IF(AND(R400=0,T400=""),1,0)</f>
        <v/>
      </c>
      <c r="W400" s="67">
        <f>IF(V400=1,F400,"")</f>
        <v/>
      </c>
      <c r="X400" s="67">
        <f>IF(V400=1,acctAP,"")</f>
        <v/>
      </c>
      <c r="Y400" s="68">
        <f>IF(V400=1,G400-S400,0)</f>
        <v/>
      </c>
      <c r="Z400" s="68">
        <f>IF(V400=1,G400,0)</f>
        <v/>
      </c>
      <c r="AA400" s="68">
        <f>IF(V400=1,S400,0)</f>
        <v/>
      </c>
    </row>
    <row r="401">
      <c r="B401" s="62" t="n"/>
      <c r="C401" s="63" t="n"/>
      <c r="D401" s="62" t="n"/>
      <c r="E401" s="62" t="n"/>
      <c r="F401" s="62" t="n"/>
      <c r="G401" s="64" t="n"/>
      <c r="H401" s="64" t="n"/>
      <c r="I401" s="63" t="n"/>
      <c r="J401" s="29">
        <f>IF(V401=1,IF(ISNUMBER(I401),I401,C401+IF(ISNUMBER(IFERROR(INDEX(vend_Terms,MATCH(D401,vend_Name,0)),"")),INDEX(vend_Terms,MATCH(D401,vend_Name,0)),TermsDays)),"")</f>
        <v/>
      </c>
      <c r="K401" s="65">
        <f>IF(V401=1,SUMIFS(tx_CrAmt,tx_Type,"Bill Payment",tx_Ref,B401&amp;"",tx_Vend,D401,tx_Date,"&lt;="&amp;AsOf),"")</f>
        <v/>
      </c>
      <c r="L401" s="65">
        <f>IF(V401=1,IF(C401&gt;AsOf,0,ROUND(G401-K401,2)),"")</f>
        <v/>
      </c>
      <c r="M401" s="66">
        <f>IF(V401&lt;&gt;1,"",IF(C401&gt;AsOf,"Future",IF(L401&lt;0,"Overpaid",IF(L401=0,"Paid",IF(AsOf&gt;J401,"Overdue",IF(K401&gt;0,"Partial","Unpaid"))))))</f>
        <v/>
      </c>
      <c r="N401" s="28">
        <f>IF(AND(V401=1,N(L401)&gt;0),AsOf-C401,"")</f>
        <v/>
      </c>
      <c r="O401" s="28">
        <f>IF(N401="","",MAX(0,AsOf-J401))</f>
        <v/>
      </c>
      <c r="P401" s="66">
        <f>IF(O401="","",IF(O401=0,"Current",IF(O401&lt;=30,"1-30",IF(O401&lt;=60,"31-60",IF(O401&lt;=90,"61-90","90+")))))</f>
        <v/>
      </c>
      <c r="Q401" s="66">
        <f>IF(T401&lt;&gt;"","⛔ "&amp;T401&amp;" — not posted",IF(U401&lt;&gt;"","⚠ "&amp;U401,IF(V401=1,"✓ OK","")))</f>
        <v/>
      </c>
      <c r="R401" s="67">
        <f>IF(AND(B401="",C401="",D401="",G401="",F401=""),1,0)</f>
        <v/>
      </c>
      <c r="S401" s="68">
        <f>IF(AND(TaxOn="Yes",ISNUMBER(H401)),H401,0)</f>
        <v/>
      </c>
      <c r="T401" s="67">
        <f>IF(R401=1,"",IF(B401="","Enter a bill #",IF(D401="","Select a vendor",IF(C401="","Missing bill date",IF(NOT(ISNUMBER(C401)),"Invalid date",IF(OR(C401&lt;DATE(2000,1,1),C401&gt;DATE(2099,12,31)),"Invalid date",IF(F401="","Select an expense account",IF(ISNA(MATCH(F401,coa_Name,0)),"Unknown account: "&amp;F401,IF(NOT(ISNUMBER(G401)),"Enter an amount",IF(G401&lt;=0,"Amount must be positive",IF(S401&gt;G401,"Tax is larger than the amount","")))))))))))</f>
        <v/>
      </c>
      <c r="U401" s="67">
        <f>IF(OR(R401=1,T401&lt;&gt;""),"",IF(COUNTIFS(ap_No,B401,ap_Party,D401)&gt;1,"Duplicate bill #",IF(N(L401)&lt;0,"Overpaid by "&amp;TEXT(-L401,"#,##0.00"),IF(AND(ISNUMBER(H401),N(H401)&lt;&gt;0,S401=0),"Tax ignored (tax tracking is off)",IF(AND(ISNUMBER(StartDate),C401&lt;StartDate),"Date is before the accounting start date",IF(OR(IFERROR(INDEX(coa_Type,MATCH(F401,coa_Name,0)),"")="Revenue",IFERROR(INDEX(coa_Type,MATCH(F401,coa_Name,0)),"")="Other Income",IFERROR(INDEX(coa_Type,MATCH(F401,coa_Name,0)),"")="Equity"),"Account is not an expense or asset account",""))))))</f>
        <v/>
      </c>
      <c r="V401" s="67">
        <f>IF(AND(R401=0,T401=""),1,0)</f>
        <v/>
      </c>
      <c r="W401" s="67">
        <f>IF(V401=1,F401,"")</f>
        <v/>
      </c>
      <c r="X401" s="67">
        <f>IF(V401=1,acctAP,"")</f>
        <v/>
      </c>
      <c r="Y401" s="68">
        <f>IF(V401=1,G401-S401,0)</f>
        <v/>
      </c>
      <c r="Z401" s="68">
        <f>IF(V401=1,G401,0)</f>
        <v/>
      </c>
      <c r="AA401" s="68">
        <f>IF(V401=1,S401,0)</f>
        <v/>
      </c>
    </row>
    <row r="402">
      <c r="B402" s="62" t="n"/>
      <c r="C402" s="63" t="n"/>
      <c r="D402" s="62" t="n"/>
      <c r="E402" s="62" t="n"/>
      <c r="F402" s="62" t="n"/>
      <c r="G402" s="64" t="n"/>
      <c r="H402" s="64" t="n"/>
      <c r="I402" s="63" t="n"/>
      <c r="J402" s="29">
        <f>IF(V402=1,IF(ISNUMBER(I402),I402,C402+IF(ISNUMBER(IFERROR(INDEX(vend_Terms,MATCH(D402,vend_Name,0)),"")),INDEX(vend_Terms,MATCH(D402,vend_Name,0)),TermsDays)),"")</f>
        <v/>
      </c>
      <c r="K402" s="65">
        <f>IF(V402=1,SUMIFS(tx_CrAmt,tx_Type,"Bill Payment",tx_Ref,B402&amp;"",tx_Vend,D402,tx_Date,"&lt;="&amp;AsOf),"")</f>
        <v/>
      </c>
      <c r="L402" s="65">
        <f>IF(V402=1,IF(C402&gt;AsOf,0,ROUND(G402-K402,2)),"")</f>
        <v/>
      </c>
      <c r="M402" s="66">
        <f>IF(V402&lt;&gt;1,"",IF(C402&gt;AsOf,"Future",IF(L402&lt;0,"Overpaid",IF(L402=0,"Paid",IF(AsOf&gt;J402,"Overdue",IF(K402&gt;0,"Partial","Unpaid"))))))</f>
        <v/>
      </c>
      <c r="N402" s="28">
        <f>IF(AND(V402=1,N(L402)&gt;0),AsOf-C402,"")</f>
        <v/>
      </c>
      <c r="O402" s="28">
        <f>IF(N402="","",MAX(0,AsOf-J402))</f>
        <v/>
      </c>
      <c r="P402" s="66">
        <f>IF(O402="","",IF(O402=0,"Current",IF(O402&lt;=30,"1-30",IF(O402&lt;=60,"31-60",IF(O402&lt;=90,"61-90","90+")))))</f>
        <v/>
      </c>
      <c r="Q402" s="66">
        <f>IF(T402&lt;&gt;"","⛔ "&amp;T402&amp;" — not posted",IF(U402&lt;&gt;"","⚠ "&amp;U402,IF(V402=1,"✓ OK","")))</f>
        <v/>
      </c>
      <c r="R402" s="67">
        <f>IF(AND(B402="",C402="",D402="",G402="",F402=""),1,0)</f>
        <v/>
      </c>
      <c r="S402" s="68">
        <f>IF(AND(TaxOn="Yes",ISNUMBER(H402)),H402,0)</f>
        <v/>
      </c>
      <c r="T402" s="67">
        <f>IF(R402=1,"",IF(B402="","Enter a bill #",IF(D402="","Select a vendor",IF(C402="","Missing bill date",IF(NOT(ISNUMBER(C402)),"Invalid date",IF(OR(C402&lt;DATE(2000,1,1),C402&gt;DATE(2099,12,31)),"Invalid date",IF(F402="","Select an expense account",IF(ISNA(MATCH(F402,coa_Name,0)),"Unknown account: "&amp;F402,IF(NOT(ISNUMBER(G402)),"Enter an amount",IF(G402&lt;=0,"Amount must be positive",IF(S402&gt;G402,"Tax is larger than the amount","")))))))))))</f>
        <v/>
      </c>
      <c r="U402" s="67">
        <f>IF(OR(R402=1,T402&lt;&gt;""),"",IF(COUNTIFS(ap_No,B402,ap_Party,D402)&gt;1,"Duplicate bill #",IF(N(L402)&lt;0,"Overpaid by "&amp;TEXT(-L402,"#,##0.00"),IF(AND(ISNUMBER(H402),N(H402)&lt;&gt;0,S402=0),"Tax ignored (tax tracking is off)",IF(AND(ISNUMBER(StartDate),C402&lt;StartDate),"Date is before the accounting start date",IF(OR(IFERROR(INDEX(coa_Type,MATCH(F402,coa_Name,0)),"")="Revenue",IFERROR(INDEX(coa_Type,MATCH(F402,coa_Name,0)),"")="Other Income",IFERROR(INDEX(coa_Type,MATCH(F402,coa_Name,0)),"")="Equity"),"Account is not an expense or asset account",""))))))</f>
        <v/>
      </c>
      <c r="V402" s="67">
        <f>IF(AND(R402=0,T402=""),1,0)</f>
        <v/>
      </c>
      <c r="W402" s="67">
        <f>IF(V402=1,F402,"")</f>
        <v/>
      </c>
      <c r="X402" s="67">
        <f>IF(V402=1,acctAP,"")</f>
        <v/>
      </c>
      <c r="Y402" s="68">
        <f>IF(V402=1,G402-S402,0)</f>
        <v/>
      </c>
      <c r="Z402" s="68">
        <f>IF(V402=1,G402,0)</f>
        <v/>
      </c>
      <c r="AA402" s="68">
        <f>IF(V402=1,S402,0)</f>
        <v/>
      </c>
    </row>
    <row r="403">
      <c r="B403" s="62" t="n"/>
      <c r="C403" s="63" t="n"/>
      <c r="D403" s="62" t="n"/>
      <c r="E403" s="62" t="n"/>
      <c r="F403" s="62" t="n"/>
      <c r="G403" s="64" t="n"/>
      <c r="H403" s="64" t="n"/>
      <c r="I403" s="63" t="n"/>
      <c r="J403" s="29">
        <f>IF(V403=1,IF(ISNUMBER(I403),I403,C403+IF(ISNUMBER(IFERROR(INDEX(vend_Terms,MATCH(D403,vend_Name,0)),"")),INDEX(vend_Terms,MATCH(D403,vend_Name,0)),TermsDays)),"")</f>
        <v/>
      </c>
      <c r="K403" s="65">
        <f>IF(V403=1,SUMIFS(tx_CrAmt,tx_Type,"Bill Payment",tx_Ref,B403&amp;"",tx_Vend,D403,tx_Date,"&lt;="&amp;AsOf),"")</f>
        <v/>
      </c>
      <c r="L403" s="65">
        <f>IF(V403=1,IF(C403&gt;AsOf,0,ROUND(G403-K403,2)),"")</f>
        <v/>
      </c>
      <c r="M403" s="66">
        <f>IF(V403&lt;&gt;1,"",IF(C403&gt;AsOf,"Future",IF(L403&lt;0,"Overpaid",IF(L403=0,"Paid",IF(AsOf&gt;J403,"Overdue",IF(K403&gt;0,"Partial","Unpaid"))))))</f>
        <v/>
      </c>
      <c r="N403" s="28">
        <f>IF(AND(V403=1,N(L403)&gt;0),AsOf-C403,"")</f>
        <v/>
      </c>
      <c r="O403" s="28">
        <f>IF(N403="","",MAX(0,AsOf-J403))</f>
        <v/>
      </c>
      <c r="P403" s="66">
        <f>IF(O403="","",IF(O403=0,"Current",IF(O403&lt;=30,"1-30",IF(O403&lt;=60,"31-60",IF(O403&lt;=90,"61-90","90+")))))</f>
        <v/>
      </c>
      <c r="Q403" s="66">
        <f>IF(T403&lt;&gt;"","⛔ "&amp;T403&amp;" — not posted",IF(U403&lt;&gt;"","⚠ "&amp;U403,IF(V403=1,"✓ OK","")))</f>
        <v/>
      </c>
      <c r="R403" s="67">
        <f>IF(AND(B403="",C403="",D403="",G403="",F403=""),1,0)</f>
        <v/>
      </c>
      <c r="S403" s="68">
        <f>IF(AND(TaxOn="Yes",ISNUMBER(H403)),H403,0)</f>
        <v/>
      </c>
      <c r="T403" s="67">
        <f>IF(R403=1,"",IF(B403="","Enter a bill #",IF(D403="","Select a vendor",IF(C403="","Missing bill date",IF(NOT(ISNUMBER(C403)),"Invalid date",IF(OR(C403&lt;DATE(2000,1,1),C403&gt;DATE(2099,12,31)),"Invalid date",IF(F403="","Select an expense account",IF(ISNA(MATCH(F403,coa_Name,0)),"Unknown account: "&amp;F403,IF(NOT(ISNUMBER(G403)),"Enter an amount",IF(G403&lt;=0,"Amount must be positive",IF(S403&gt;G403,"Tax is larger than the amount","")))))))))))</f>
        <v/>
      </c>
      <c r="U403" s="67">
        <f>IF(OR(R403=1,T403&lt;&gt;""),"",IF(COUNTIFS(ap_No,B403,ap_Party,D403)&gt;1,"Duplicate bill #",IF(N(L403)&lt;0,"Overpaid by "&amp;TEXT(-L403,"#,##0.00"),IF(AND(ISNUMBER(H403),N(H403)&lt;&gt;0,S403=0),"Tax ignored (tax tracking is off)",IF(AND(ISNUMBER(StartDate),C403&lt;StartDate),"Date is before the accounting start date",IF(OR(IFERROR(INDEX(coa_Type,MATCH(F403,coa_Name,0)),"")="Revenue",IFERROR(INDEX(coa_Type,MATCH(F403,coa_Name,0)),"")="Other Income",IFERROR(INDEX(coa_Type,MATCH(F403,coa_Name,0)),"")="Equity"),"Account is not an expense or asset account",""))))))</f>
        <v/>
      </c>
      <c r="V403" s="67">
        <f>IF(AND(R403=0,T403=""),1,0)</f>
        <v/>
      </c>
      <c r="W403" s="67">
        <f>IF(V403=1,F403,"")</f>
        <v/>
      </c>
      <c r="X403" s="67">
        <f>IF(V403=1,acctAP,"")</f>
        <v/>
      </c>
      <c r="Y403" s="68">
        <f>IF(V403=1,G403-S403,0)</f>
        <v/>
      </c>
      <c r="Z403" s="68">
        <f>IF(V403=1,G403,0)</f>
        <v/>
      </c>
      <c r="AA403" s="68">
        <f>IF(V403=1,S403,0)</f>
        <v/>
      </c>
    </row>
    <row r="404">
      <c r="B404" s="62" t="n"/>
      <c r="C404" s="63" t="n"/>
      <c r="D404" s="62" t="n"/>
      <c r="E404" s="62" t="n"/>
      <c r="F404" s="62" t="n"/>
      <c r="G404" s="64" t="n"/>
      <c r="H404" s="64" t="n"/>
      <c r="I404" s="63" t="n"/>
      <c r="J404" s="29">
        <f>IF(V404=1,IF(ISNUMBER(I404),I404,C404+IF(ISNUMBER(IFERROR(INDEX(vend_Terms,MATCH(D404,vend_Name,0)),"")),INDEX(vend_Terms,MATCH(D404,vend_Name,0)),TermsDays)),"")</f>
        <v/>
      </c>
      <c r="K404" s="65">
        <f>IF(V404=1,SUMIFS(tx_CrAmt,tx_Type,"Bill Payment",tx_Ref,B404&amp;"",tx_Vend,D404,tx_Date,"&lt;="&amp;AsOf),"")</f>
        <v/>
      </c>
      <c r="L404" s="65">
        <f>IF(V404=1,IF(C404&gt;AsOf,0,ROUND(G404-K404,2)),"")</f>
        <v/>
      </c>
      <c r="M404" s="66">
        <f>IF(V404&lt;&gt;1,"",IF(C404&gt;AsOf,"Future",IF(L404&lt;0,"Overpaid",IF(L404=0,"Paid",IF(AsOf&gt;J404,"Overdue",IF(K404&gt;0,"Partial","Unpaid"))))))</f>
        <v/>
      </c>
      <c r="N404" s="28">
        <f>IF(AND(V404=1,N(L404)&gt;0),AsOf-C404,"")</f>
        <v/>
      </c>
      <c r="O404" s="28">
        <f>IF(N404="","",MAX(0,AsOf-J404))</f>
        <v/>
      </c>
      <c r="P404" s="66">
        <f>IF(O404="","",IF(O404=0,"Current",IF(O404&lt;=30,"1-30",IF(O404&lt;=60,"31-60",IF(O404&lt;=90,"61-90","90+")))))</f>
        <v/>
      </c>
      <c r="Q404" s="66">
        <f>IF(T404&lt;&gt;"","⛔ "&amp;T404&amp;" — not posted",IF(U404&lt;&gt;"","⚠ "&amp;U404,IF(V404=1,"✓ OK","")))</f>
        <v/>
      </c>
      <c r="R404" s="67">
        <f>IF(AND(B404="",C404="",D404="",G404="",F404=""),1,0)</f>
        <v/>
      </c>
      <c r="S404" s="68">
        <f>IF(AND(TaxOn="Yes",ISNUMBER(H404)),H404,0)</f>
        <v/>
      </c>
      <c r="T404" s="67">
        <f>IF(R404=1,"",IF(B404="","Enter a bill #",IF(D404="","Select a vendor",IF(C404="","Missing bill date",IF(NOT(ISNUMBER(C404)),"Invalid date",IF(OR(C404&lt;DATE(2000,1,1),C404&gt;DATE(2099,12,31)),"Invalid date",IF(F404="","Select an expense account",IF(ISNA(MATCH(F404,coa_Name,0)),"Unknown account: "&amp;F404,IF(NOT(ISNUMBER(G404)),"Enter an amount",IF(G404&lt;=0,"Amount must be positive",IF(S404&gt;G404,"Tax is larger than the amount","")))))))))))</f>
        <v/>
      </c>
      <c r="U404" s="67">
        <f>IF(OR(R404=1,T404&lt;&gt;""),"",IF(COUNTIFS(ap_No,B404,ap_Party,D404)&gt;1,"Duplicate bill #",IF(N(L404)&lt;0,"Overpaid by "&amp;TEXT(-L404,"#,##0.00"),IF(AND(ISNUMBER(H404),N(H404)&lt;&gt;0,S404=0),"Tax ignored (tax tracking is off)",IF(AND(ISNUMBER(StartDate),C404&lt;StartDate),"Date is before the accounting start date",IF(OR(IFERROR(INDEX(coa_Type,MATCH(F404,coa_Name,0)),"")="Revenue",IFERROR(INDEX(coa_Type,MATCH(F404,coa_Name,0)),"")="Other Income",IFERROR(INDEX(coa_Type,MATCH(F404,coa_Name,0)),"")="Equity"),"Account is not an expense or asset account",""))))))</f>
        <v/>
      </c>
      <c r="V404" s="67">
        <f>IF(AND(R404=0,T404=""),1,0)</f>
        <v/>
      </c>
      <c r="W404" s="67">
        <f>IF(V404=1,F404,"")</f>
        <v/>
      </c>
      <c r="X404" s="67">
        <f>IF(V404=1,acctAP,"")</f>
        <v/>
      </c>
      <c r="Y404" s="68">
        <f>IF(V404=1,G404-S404,0)</f>
        <v/>
      </c>
      <c r="Z404" s="68">
        <f>IF(V404=1,G404,0)</f>
        <v/>
      </c>
      <c r="AA404" s="68">
        <f>IF(V404=1,S404,0)</f>
        <v/>
      </c>
    </row>
    <row r="405">
      <c r="B405" s="62" t="n"/>
      <c r="C405" s="63" t="n"/>
      <c r="D405" s="62" t="n"/>
      <c r="E405" s="62" t="n"/>
      <c r="F405" s="62" t="n"/>
      <c r="G405" s="64" t="n"/>
      <c r="H405" s="64" t="n"/>
      <c r="I405" s="63" t="n"/>
      <c r="J405" s="29">
        <f>IF(V405=1,IF(ISNUMBER(I405),I405,C405+IF(ISNUMBER(IFERROR(INDEX(vend_Terms,MATCH(D405,vend_Name,0)),"")),INDEX(vend_Terms,MATCH(D405,vend_Name,0)),TermsDays)),"")</f>
        <v/>
      </c>
      <c r="K405" s="65">
        <f>IF(V405=1,SUMIFS(tx_CrAmt,tx_Type,"Bill Payment",tx_Ref,B405&amp;"",tx_Vend,D405,tx_Date,"&lt;="&amp;AsOf),"")</f>
        <v/>
      </c>
      <c r="L405" s="65">
        <f>IF(V405=1,IF(C405&gt;AsOf,0,ROUND(G405-K405,2)),"")</f>
        <v/>
      </c>
      <c r="M405" s="66">
        <f>IF(V405&lt;&gt;1,"",IF(C405&gt;AsOf,"Future",IF(L405&lt;0,"Overpaid",IF(L405=0,"Paid",IF(AsOf&gt;J405,"Overdue",IF(K405&gt;0,"Partial","Unpaid"))))))</f>
        <v/>
      </c>
      <c r="N405" s="28">
        <f>IF(AND(V405=1,N(L405)&gt;0),AsOf-C405,"")</f>
        <v/>
      </c>
      <c r="O405" s="28">
        <f>IF(N405="","",MAX(0,AsOf-J405))</f>
        <v/>
      </c>
      <c r="P405" s="66">
        <f>IF(O405="","",IF(O405=0,"Current",IF(O405&lt;=30,"1-30",IF(O405&lt;=60,"31-60",IF(O405&lt;=90,"61-90","90+")))))</f>
        <v/>
      </c>
      <c r="Q405" s="66">
        <f>IF(T405&lt;&gt;"","⛔ "&amp;T405&amp;" — not posted",IF(U405&lt;&gt;"","⚠ "&amp;U405,IF(V405=1,"✓ OK","")))</f>
        <v/>
      </c>
      <c r="R405" s="67">
        <f>IF(AND(B405="",C405="",D405="",G405="",F405=""),1,0)</f>
        <v/>
      </c>
      <c r="S405" s="68">
        <f>IF(AND(TaxOn="Yes",ISNUMBER(H405)),H405,0)</f>
        <v/>
      </c>
      <c r="T405" s="67">
        <f>IF(R405=1,"",IF(B405="","Enter a bill #",IF(D405="","Select a vendor",IF(C405="","Missing bill date",IF(NOT(ISNUMBER(C405)),"Invalid date",IF(OR(C405&lt;DATE(2000,1,1),C405&gt;DATE(2099,12,31)),"Invalid date",IF(F405="","Select an expense account",IF(ISNA(MATCH(F405,coa_Name,0)),"Unknown account: "&amp;F405,IF(NOT(ISNUMBER(G405)),"Enter an amount",IF(G405&lt;=0,"Amount must be positive",IF(S405&gt;G405,"Tax is larger than the amount","")))))))))))</f>
        <v/>
      </c>
      <c r="U405" s="67">
        <f>IF(OR(R405=1,T405&lt;&gt;""),"",IF(COUNTIFS(ap_No,B405,ap_Party,D405)&gt;1,"Duplicate bill #",IF(N(L405)&lt;0,"Overpaid by "&amp;TEXT(-L405,"#,##0.00"),IF(AND(ISNUMBER(H405),N(H405)&lt;&gt;0,S405=0),"Tax ignored (tax tracking is off)",IF(AND(ISNUMBER(StartDate),C405&lt;StartDate),"Date is before the accounting start date",IF(OR(IFERROR(INDEX(coa_Type,MATCH(F405,coa_Name,0)),"")="Revenue",IFERROR(INDEX(coa_Type,MATCH(F405,coa_Name,0)),"")="Other Income",IFERROR(INDEX(coa_Type,MATCH(F405,coa_Name,0)),"")="Equity"),"Account is not an expense or asset account",""))))))</f>
        <v/>
      </c>
      <c r="V405" s="67">
        <f>IF(AND(R405=0,T405=""),1,0)</f>
        <v/>
      </c>
      <c r="W405" s="67">
        <f>IF(V405=1,F405,"")</f>
        <v/>
      </c>
      <c r="X405" s="67">
        <f>IF(V405=1,acctAP,"")</f>
        <v/>
      </c>
      <c r="Y405" s="68">
        <f>IF(V405=1,G405-S405,0)</f>
        <v/>
      </c>
      <c r="Z405" s="68">
        <f>IF(V405=1,G405,0)</f>
        <v/>
      </c>
      <c r="AA405" s="68">
        <f>IF(V405=1,S405,0)</f>
        <v/>
      </c>
    </row>
    <row r="406">
      <c r="B406" s="62" t="n"/>
      <c r="C406" s="63" t="n"/>
      <c r="D406" s="62" t="n"/>
      <c r="E406" s="62" t="n"/>
      <c r="F406" s="62" t="n"/>
      <c r="G406" s="64" t="n"/>
      <c r="H406" s="64" t="n"/>
      <c r="I406" s="63" t="n"/>
      <c r="J406" s="29">
        <f>IF(V406=1,IF(ISNUMBER(I406),I406,C406+IF(ISNUMBER(IFERROR(INDEX(vend_Terms,MATCH(D406,vend_Name,0)),"")),INDEX(vend_Terms,MATCH(D406,vend_Name,0)),TermsDays)),"")</f>
        <v/>
      </c>
      <c r="K406" s="65">
        <f>IF(V406=1,SUMIFS(tx_CrAmt,tx_Type,"Bill Payment",tx_Ref,B406&amp;"",tx_Vend,D406,tx_Date,"&lt;="&amp;AsOf),"")</f>
        <v/>
      </c>
      <c r="L406" s="65">
        <f>IF(V406=1,IF(C406&gt;AsOf,0,ROUND(G406-K406,2)),"")</f>
        <v/>
      </c>
      <c r="M406" s="66">
        <f>IF(V406&lt;&gt;1,"",IF(C406&gt;AsOf,"Future",IF(L406&lt;0,"Overpaid",IF(L406=0,"Paid",IF(AsOf&gt;J406,"Overdue",IF(K406&gt;0,"Partial","Unpaid"))))))</f>
        <v/>
      </c>
      <c r="N406" s="28">
        <f>IF(AND(V406=1,N(L406)&gt;0),AsOf-C406,"")</f>
        <v/>
      </c>
      <c r="O406" s="28">
        <f>IF(N406="","",MAX(0,AsOf-J406))</f>
        <v/>
      </c>
      <c r="P406" s="66">
        <f>IF(O406="","",IF(O406=0,"Current",IF(O406&lt;=30,"1-30",IF(O406&lt;=60,"31-60",IF(O406&lt;=90,"61-90","90+")))))</f>
        <v/>
      </c>
      <c r="Q406" s="66">
        <f>IF(T406&lt;&gt;"","⛔ "&amp;T406&amp;" — not posted",IF(U406&lt;&gt;"","⚠ "&amp;U406,IF(V406=1,"✓ OK","")))</f>
        <v/>
      </c>
      <c r="R406" s="67">
        <f>IF(AND(B406="",C406="",D406="",G406="",F406=""),1,0)</f>
        <v/>
      </c>
      <c r="S406" s="68">
        <f>IF(AND(TaxOn="Yes",ISNUMBER(H406)),H406,0)</f>
        <v/>
      </c>
      <c r="T406" s="67">
        <f>IF(R406=1,"",IF(B406="","Enter a bill #",IF(D406="","Select a vendor",IF(C406="","Missing bill date",IF(NOT(ISNUMBER(C406)),"Invalid date",IF(OR(C406&lt;DATE(2000,1,1),C406&gt;DATE(2099,12,31)),"Invalid date",IF(F406="","Select an expense account",IF(ISNA(MATCH(F406,coa_Name,0)),"Unknown account: "&amp;F406,IF(NOT(ISNUMBER(G406)),"Enter an amount",IF(G406&lt;=0,"Amount must be positive",IF(S406&gt;G406,"Tax is larger than the amount","")))))))))))</f>
        <v/>
      </c>
      <c r="U406" s="67">
        <f>IF(OR(R406=1,T406&lt;&gt;""),"",IF(COUNTIFS(ap_No,B406,ap_Party,D406)&gt;1,"Duplicate bill #",IF(N(L406)&lt;0,"Overpaid by "&amp;TEXT(-L406,"#,##0.00"),IF(AND(ISNUMBER(H406),N(H406)&lt;&gt;0,S406=0),"Tax ignored (tax tracking is off)",IF(AND(ISNUMBER(StartDate),C406&lt;StartDate),"Date is before the accounting start date",IF(OR(IFERROR(INDEX(coa_Type,MATCH(F406,coa_Name,0)),"")="Revenue",IFERROR(INDEX(coa_Type,MATCH(F406,coa_Name,0)),"")="Other Income",IFERROR(INDEX(coa_Type,MATCH(F406,coa_Name,0)),"")="Equity"),"Account is not an expense or asset account",""))))))</f>
        <v/>
      </c>
      <c r="V406" s="67">
        <f>IF(AND(R406=0,T406=""),1,0)</f>
        <v/>
      </c>
      <c r="W406" s="67">
        <f>IF(V406=1,F406,"")</f>
        <v/>
      </c>
      <c r="X406" s="67">
        <f>IF(V406=1,acctAP,"")</f>
        <v/>
      </c>
      <c r="Y406" s="68">
        <f>IF(V406=1,G406-S406,0)</f>
        <v/>
      </c>
      <c r="Z406" s="68">
        <f>IF(V406=1,G406,0)</f>
        <v/>
      </c>
      <c r="AA406" s="68">
        <f>IF(V406=1,S406,0)</f>
        <v/>
      </c>
    </row>
    <row r="407">
      <c r="B407" s="62" t="n"/>
      <c r="C407" s="63" t="n"/>
      <c r="D407" s="62" t="n"/>
      <c r="E407" s="62" t="n"/>
      <c r="F407" s="62" t="n"/>
      <c r="G407" s="64" t="n"/>
      <c r="H407" s="64" t="n"/>
      <c r="I407" s="63" t="n"/>
      <c r="J407" s="29">
        <f>IF(V407=1,IF(ISNUMBER(I407),I407,C407+IF(ISNUMBER(IFERROR(INDEX(vend_Terms,MATCH(D407,vend_Name,0)),"")),INDEX(vend_Terms,MATCH(D407,vend_Name,0)),TermsDays)),"")</f>
        <v/>
      </c>
      <c r="K407" s="65">
        <f>IF(V407=1,SUMIFS(tx_CrAmt,tx_Type,"Bill Payment",tx_Ref,B407&amp;"",tx_Vend,D407,tx_Date,"&lt;="&amp;AsOf),"")</f>
        <v/>
      </c>
      <c r="L407" s="65">
        <f>IF(V407=1,IF(C407&gt;AsOf,0,ROUND(G407-K407,2)),"")</f>
        <v/>
      </c>
      <c r="M407" s="66">
        <f>IF(V407&lt;&gt;1,"",IF(C407&gt;AsOf,"Future",IF(L407&lt;0,"Overpaid",IF(L407=0,"Paid",IF(AsOf&gt;J407,"Overdue",IF(K407&gt;0,"Partial","Unpaid"))))))</f>
        <v/>
      </c>
      <c r="N407" s="28">
        <f>IF(AND(V407=1,N(L407)&gt;0),AsOf-C407,"")</f>
        <v/>
      </c>
      <c r="O407" s="28">
        <f>IF(N407="","",MAX(0,AsOf-J407))</f>
        <v/>
      </c>
      <c r="P407" s="66">
        <f>IF(O407="","",IF(O407=0,"Current",IF(O407&lt;=30,"1-30",IF(O407&lt;=60,"31-60",IF(O407&lt;=90,"61-90","90+")))))</f>
        <v/>
      </c>
      <c r="Q407" s="66">
        <f>IF(T407&lt;&gt;"","⛔ "&amp;T407&amp;" — not posted",IF(U407&lt;&gt;"","⚠ "&amp;U407,IF(V407=1,"✓ OK","")))</f>
        <v/>
      </c>
      <c r="R407" s="67">
        <f>IF(AND(B407="",C407="",D407="",G407="",F407=""),1,0)</f>
        <v/>
      </c>
      <c r="S407" s="68">
        <f>IF(AND(TaxOn="Yes",ISNUMBER(H407)),H407,0)</f>
        <v/>
      </c>
      <c r="T407" s="67">
        <f>IF(R407=1,"",IF(B407="","Enter a bill #",IF(D407="","Select a vendor",IF(C407="","Missing bill date",IF(NOT(ISNUMBER(C407)),"Invalid date",IF(OR(C407&lt;DATE(2000,1,1),C407&gt;DATE(2099,12,31)),"Invalid date",IF(F407="","Select an expense account",IF(ISNA(MATCH(F407,coa_Name,0)),"Unknown account: "&amp;F407,IF(NOT(ISNUMBER(G407)),"Enter an amount",IF(G407&lt;=0,"Amount must be positive",IF(S407&gt;G407,"Tax is larger than the amount","")))))))))))</f>
        <v/>
      </c>
      <c r="U407" s="67">
        <f>IF(OR(R407=1,T407&lt;&gt;""),"",IF(COUNTIFS(ap_No,B407,ap_Party,D407)&gt;1,"Duplicate bill #",IF(N(L407)&lt;0,"Overpaid by "&amp;TEXT(-L407,"#,##0.00"),IF(AND(ISNUMBER(H407),N(H407)&lt;&gt;0,S407=0),"Tax ignored (tax tracking is off)",IF(AND(ISNUMBER(StartDate),C407&lt;StartDate),"Date is before the accounting start date",IF(OR(IFERROR(INDEX(coa_Type,MATCH(F407,coa_Name,0)),"")="Revenue",IFERROR(INDEX(coa_Type,MATCH(F407,coa_Name,0)),"")="Other Income",IFERROR(INDEX(coa_Type,MATCH(F407,coa_Name,0)),"")="Equity"),"Account is not an expense or asset account",""))))))</f>
        <v/>
      </c>
      <c r="V407" s="67">
        <f>IF(AND(R407=0,T407=""),1,0)</f>
        <v/>
      </c>
      <c r="W407" s="67">
        <f>IF(V407=1,F407,"")</f>
        <v/>
      </c>
      <c r="X407" s="67">
        <f>IF(V407=1,acctAP,"")</f>
        <v/>
      </c>
      <c r="Y407" s="68">
        <f>IF(V407=1,G407-S407,0)</f>
        <v/>
      </c>
      <c r="Z407" s="68">
        <f>IF(V407=1,G407,0)</f>
        <v/>
      </c>
      <c r="AA407" s="68">
        <f>IF(V407=1,S407,0)</f>
        <v/>
      </c>
    </row>
    <row r="408">
      <c r="B408" s="62" t="n"/>
      <c r="C408" s="63" t="n"/>
      <c r="D408" s="62" t="n"/>
      <c r="E408" s="62" t="n"/>
      <c r="F408" s="62" t="n"/>
      <c r="G408" s="64" t="n"/>
      <c r="H408" s="64" t="n"/>
      <c r="I408" s="63" t="n"/>
      <c r="J408" s="29">
        <f>IF(V408=1,IF(ISNUMBER(I408),I408,C408+IF(ISNUMBER(IFERROR(INDEX(vend_Terms,MATCH(D408,vend_Name,0)),"")),INDEX(vend_Terms,MATCH(D408,vend_Name,0)),TermsDays)),"")</f>
        <v/>
      </c>
      <c r="K408" s="65">
        <f>IF(V408=1,SUMIFS(tx_CrAmt,tx_Type,"Bill Payment",tx_Ref,B408&amp;"",tx_Vend,D408,tx_Date,"&lt;="&amp;AsOf),"")</f>
        <v/>
      </c>
      <c r="L408" s="65">
        <f>IF(V408=1,IF(C408&gt;AsOf,0,ROUND(G408-K408,2)),"")</f>
        <v/>
      </c>
      <c r="M408" s="66">
        <f>IF(V408&lt;&gt;1,"",IF(C408&gt;AsOf,"Future",IF(L408&lt;0,"Overpaid",IF(L408=0,"Paid",IF(AsOf&gt;J408,"Overdue",IF(K408&gt;0,"Partial","Unpaid"))))))</f>
        <v/>
      </c>
      <c r="N408" s="28">
        <f>IF(AND(V408=1,N(L408)&gt;0),AsOf-C408,"")</f>
        <v/>
      </c>
      <c r="O408" s="28">
        <f>IF(N408="","",MAX(0,AsOf-J408))</f>
        <v/>
      </c>
      <c r="P408" s="66">
        <f>IF(O408="","",IF(O408=0,"Current",IF(O408&lt;=30,"1-30",IF(O408&lt;=60,"31-60",IF(O408&lt;=90,"61-90","90+")))))</f>
        <v/>
      </c>
      <c r="Q408" s="66">
        <f>IF(T408&lt;&gt;"","⛔ "&amp;T408&amp;" — not posted",IF(U408&lt;&gt;"","⚠ "&amp;U408,IF(V408=1,"✓ OK","")))</f>
        <v/>
      </c>
      <c r="R408" s="67">
        <f>IF(AND(B408="",C408="",D408="",G408="",F408=""),1,0)</f>
        <v/>
      </c>
      <c r="S408" s="68">
        <f>IF(AND(TaxOn="Yes",ISNUMBER(H408)),H408,0)</f>
        <v/>
      </c>
      <c r="T408" s="67">
        <f>IF(R408=1,"",IF(B408="","Enter a bill #",IF(D408="","Select a vendor",IF(C408="","Missing bill date",IF(NOT(ISNUMBER(C408)),"Invalid date",IF(OR(C408&lt;DATE(2000,1,1),C408&gt;DATE(2099,12,31)),"Invalid date",IF(F408="","Select an expense account",IF(ISNA(MATCH(F408,coa_Name,0)),"Unknown account: "&amp;F408,IF(NOT(ISNUMBER(G408)),"Enter an amount",IF(G408&lt;=0,"Amount must be positive",IF(S408&gt;G408,"Tax is larger than the amount","")))))))))))</f>
        <v/>
      </c>
      <c r="U408" s="67">
        <f>IF(OR(R408=1,T408&lt;&gt;""),"",IF(COUNTIFS(ap_No,B408,ap_Party,D408)&gt;1,"Duplicate bill #",IF(N(L408)&lt;0,"Overpaid by "&amp;TEXT(-L408,"#,##0.00"),IF(AND(ISNUMBER(H408),N(H408)&lt;&gt;0,S408=0),"Tax ignored (tax tracking is off)",IF(AND(ISNUMBER(StartDate),C408&lt;StartDate),"Date is before the accounting start date",IF(OR(IFERROR(INDEX(coa_Type,MATCH(F408,coa_Name,0)),"")="Revenue",IFERROR(INDEX(coa_Type,MATCH(F408,coa_Name,0)),"")="Other Income",IFERROR(INDEX(coa_Type,MATCH(F408,coa_Name,0)),"")="Equity"),"Account is not an expense or asset account",""))))))</f>
        <v/>
      </c>
      <c r="V408" s="67">
        <f>IF(AND(R408=0,T408=""),1,0)</f>
        <v/>
      </c>
      <c r="W408" s="67">
        <f>IF(V408=1,F408,"")</f>
        <v/>
      </c>
      <c r="X408" s="67">
        <f>IF(V408=1,acctAP,"")</f>
        <v/>
      </c>
      <c r="Y408" s="68">
        <f>IF(V408=1,G408-S408,0)</f>
        <v/>
      </c>
      <c r="Z408" s="68">
        <f>IF(V408=1,G408,0)</f>
        <v/>
      </c>
      <c r="AA408" s="68">
        <f>IF(V408=1,S408,0)</f>
        <v/>
      </c>
    </row>
    <row r="409">
      <c r="B409" s="62" t="n"/>
      <c r="C409" s="63" t="n"/>
      <c r="D409" s="62" t="n"/>
      <c r="E409" s="62" t="n"/>
      <c r="F409" s="62" t="n"/>
      <c r="G409" s="64" t="n"/>
      <c r="H409" s="64" t="n"/>
      <c r="I409" s="63" t="n"/>
      <c r="J409" s="29">
        <f>IF(V409=1,IF(ISNUMBER(I409),I409,C409+IF(ISNUMBER(IFERROR(INDEX(vend_Terms,MATCH(D409,vend_Name,0)),"")),INDEX(vend_Terms,MATCH(D409,vend_Name,0)),TermsDays)),"")</f>
        <v/>
      </c>
      <c r="K409" s="65">
        <f>IF(V409=1,SUMIFS(tx_CrAmt,tx_Type,"Bill Payment",tx_Ref,B409&amp;"",tx_Vend,D409,tx_Date,"&lt;="&amp;AsOf),"")</f>
        <v/>
      </c>
      <c r="L409" s="65">
        <f>IF(V409=1,IF(C409&gt;AsOf,0,ROUND(G409-K409,2)),"")</f>
        <v/>
      </c>
      <c r="M409" s="66">
        <f>IF(V409&lt;&gt;1,"",IF(C409&gt;AsOf,"Future",IF(L409&lt;0,"Overpaid",IF(L409=0,"Paid",IF(AsOf&gt;J409,"Overdue",IF(K409&gt;0,"Partial","Unpaid"))))))</f>
        <v/>
      </c>
      <c r="N409" s="28">
        <f>IF(AND(V409=1,N(L409)&gt;0),AsOf-C409,"")</f>
        <v/>
      </c>
      <c r="O409" s="28">
        <f>IF(N409="","",MAX(0,AsOf-J409))</f>
        <v/>
      </c>
      <c r="P409" s="66">
        <f>IF(O409="","",IF(O409=0,"Current",IF(O409&lt;=30,"1-30",IF(O409&lt;=60,"31-60",IF(O409&lt;=90,"61-90","90+")))))</f>
        <v/>
      </c>
      <c r="Q409" s="66">
        <f>IF(T409&lt;&gt;"","⛔ "&amp;T409&amp;" — not posted",IF(U409&lt;&gt;"","⚠ "&amp;U409,IF(V409=1,"✓ OK","")))</f>
        <v/>
      </c>
      <c r="R409" s="67">
        <f>IF(AND(B409="",C409="",D409="",G409="",F409=""),1,0)</f>
        <v/>
      </c>
      <c r="S409" s="68">
        <f>IF(AND(TaxOn="Yes",ISNUMBER(H409)),H409,0)</f>
        <v/>
      </c>
      <c r="T409" s="67">
        <f>IF(R409=1,"",IF(B409="","Enter a bill #",IF(D409="","Select a vendor",IF(C409="","Missing bill date",IF(NOT(ISNUMBER(C409)),"Invalid date",IF(OR(C409&lt;DATE(2000,1,1),C409&gt;DATE(2099,12,31)),"Invalid date",IF(F409="","Select an expense account",IF(ISNA(MATCH(F409,coa_Name,0)),"Unknown account: "&amp;F409,IF(NOT(ISNUMBER(G409)),"Enter an amount",IF(G409&lt;=0,"Amount must be positive",IF(S409&gt;G409,"Tax is larger than the amount","")))))))))))</f>
        <v/>
      </c>
      <c r="U409" s="67">
        <f>IF(OR(R409=1,T409&lt;&gt;""),"",IF(COUNTIFS(ap_No,B409,ap_Party,D409)&gt;1,"Duplicate bill #",IF(N(L409)&lt;0,"Overpaid by "&amp;TEXT(-L409,"#,##0.00"),IF(AND(ISNUMBER(H409),N(H409)&lt;&gt;0,S409=0),"Tax ignored (tax tracking is off)",IF(AND(ISNUMBER(StartDate),C409&lt;StartDate),"Date is before the accounting start date",IF(OR(IFERROR(INDEX(coa_Type,MATCH(F409,coa_Name,0)),"")="Revenue",IFERROR(INDEX(coa_Type,MATCH(F409,coa_Name,0)),"")="Other Income",IFERROR(INDEX(coa_Type,MATCH(F409,coa_Name,0)),"")="Equity"),"Account is not an expense or asset account",""))))))</f>
        <v/>
      </c>
      <c r="V409" s="67">
        <f>IF(AND(R409=0,T409=""),1,0)</f>
        <v/>
      </c>
      <c r="W409" s="67">
        <f>IF(V409=1,F409,"")</f>
        <v/>
      </c>
      <c r="X409" s="67">
        <f>IF(V409=1,acctAP,"")</f>
        <v/>
      </c>
      <c r="Y409" s="68">
        <f>IF(V409=1,G409-S409,0)</f>
        <v/>
      </c>
      <c r="Z409" s="68">
        <f>IF(V409=1,G409,0)</f>
        <v/>
      </c>
      <c r="AA409" s="68">
        <f>IF(V409=1,S409,0)</f>
        <v/>
      </c>
    </row>
    <row r="410">
      <c r="B410" s="62" t="n"/>
      <c r="C410" s="63" t="n"/>
      <c r="D410" s="62" t="n"/>
      <c r="E410" s="62" t="n"/>
      <c r="F410" s="62" t="n"/>
      <c r="G410" s="64" t="n"/>
      <c r="H410" s="64" t="n"/>
      <c r="I410" s="63" t="n"/>
      <c r="J410" s="29">
        <f>IF(V410=1,IF(ISNUMBER(I410),I410,C410+IF(ISNUMBER(IFERROR(INDEX(vend_Terms,MATCH(D410,vend_Name,0)),"")),INDEX(vend_Terms,MATCH(D410,vend_Name,0)),TermsDays)),"")</f>
        <v/>
      </c>
      <c r="K410" s="65">
        <f>IF(V410=1,SUMIFS(tx_CrAmt,tx_Type,"Bill Payment",tx_Ref,B410&amp;"",tx_Vend,D410,tx_Date,"&lt;="&amp;AsOf),"")</f>
        <v/>
      </c>
      <c r="L410" s="65">
        <f>IF(V410=1,IF(C410&gt;AsOf,0,ROUND(G410-K410,2)),"")</f>
        <v/>
      </c>
      <c r="M410" s="66">
        <f>IF(V410&lt;&gt;1,"",IF(C410&gt;AsOf,"Future",IF(L410&lt;0,"Overpaid",IF(L410=0,"Paid",IF(AsOf&gt;J410,"Overdue",IF(K410&gt;0,"Partial","Unpaid"))))))</f>
        <v/>
      </c>
      <c r="N410" s="28">
        <f>IF(AND(V410=1,N(L410)&gt;0),AsOf-C410,"")</f>
        <v/>
      </c>
      <c r="O410" s="28">
        <f>IF(N410="","",MAX(0,AsOf-J410))</f>
        <v/>
      </c>
      <c r="P410" s="66">
        <f>IF(O410="","",IF(O410=0,"Current",IF(O410&lt;=30,"1-30",IF(O410&lt;=60,"31-60",IF(O410&lt;=90,"61-90","90+")))))</f>
        <v/>
      </c>
      <c r="Q410" s="66">
        <f>IF(T410&lt;&gt;"","⛔ "&amp;T410&amp;" — not posted",IF(U410&lt;&gt;"","⚠ "&amp;U410,IF(V410=1,"✓ OK","")))</f>
        <v/>
      </c>
      <c r="R410" s="67">
        <f>IF(AND(B410="",C410="",D410="",G410="",F410=""),1,0)</f>
        <v/>
      </c>
      <c r="S410" s="68">
        <f>IF(AND(TaxOn="Yes",ISNUMBER(H410)),H410,0)</f>
        <v/>
      </c>
      <c r="T410" s="67">
        <f>IF(R410=1,"",IF(B410="","Enter a bill #",IF(D410="","Select a vendor",IF(C410="","Missing bill date",IF(NOT(ISNUMBER(C410)),"Invalid date",IF(OR(C410&lt;DATE(2000,1,1),C410&gt;DATE(2099,12,31)),"Invalid date",IF(F410="","Select an expense account",IF(ISNA(MATCH(F410,coa_Name,0)),"Unknown account: "&amp;F410,IF(NOT(ISNUMBER(G410)),"Enter an amount",IF(G410&lt;=0,"Amount must be positive",IF(S410&gt;G410,"Tax is larger than the amount","")))))))))))</f>
        <v/>
      </c>
      <c r="U410" s="67">
        <f>IF(OR(R410=1,T410&lt;&gt;""),"",IF(COUNTIFS(ap_No,B410,ap_Party,D410)&gt;1,"Duplicate bill #",IF(N(L410)&lt;0,"Overpaid by "&amp;TEXT(-L410,"#,##0.00"),IF(AND(ISNUMBER(H410),N(H410)&lt;&gt;0,S410=0),"Tax ignored (tax tracking is off)",IF(AND(ISNUMBER(StartDate),C410&lt;StartDate),"Date is before the accounting start date",IF(OR(IFERROR(INDEX(coa_Type,MATCH(F410,coa_Name,0)),"")="Revenue",IFERROR(INDEX(coa_Type,MATCH(F410,coa_Name,0)),"")="Other Income",IFERROR(INDEX(coa_Type,MATCH(F410,coa_Name,0)),"")="Equity"),"Account is not an expense or asset account",""))))))</f>
        <v/>
      </c>
      <c r="V410" s="67">
        <f>IF(AND(R410=0,T410=""),1,0)</f>
        <v/>
      </c>
      <c r="W410" s="67">
        <f>IF(V410=1,F410,"")</f>
        <v/>
      </c>
      <c r="X410" s="67">
        <f>IF(V410=1,acctAP,"")</f>
        <v/>
      </c>
      <c r="Y410" s="68">
        <f>IF(V410=1,G410-S410,0)</f>
        <v/>
      </c>
      <c r="Z410" s="68">
        <f>IF(V410=1,G410,0)</f>
        <v/>
      </c>
      <c r="AA410" s="68">
        <f>IF(V410=1,S410,0)</f>
        <v/>
      </c>
    </row>
    <row r="411">
      <c r="B411" s="62" t="n"/>
      <c r="C411" s="63" t="n"/>
      <c r="D411" s="62" t="n"/>
      <c r="E411" s="62" t="n"/>
      <c r="F411" s="62" t="n"/>
      <c r="G411" s="64" t="n"/>
      <c r="H411" s="64" t="n"/>
      <c r="I411" s="63" t="n"/>
      <c r="J411" s="29">
        <f>IF(V411=1,IF(ISNUMBER(I411),I411,C411+IF(ISNUMBER(IFERROR(INDEX(vend_Terms,MATCH(D411,vend_Name,0)),"")),INDEX(vend_Terms,MATCH(D411,vend_Name,0)),TermsDays)),"")</f>
        <v/>
      </c>
      <c r="K411" s="65">
        <f>IF(V411=1,SUMIFS(tx_CrAmt,tx_Type,"Bill Payment",tx_Ref,B411&amp;"",tx_Vend,D411,tx_Date,"&lt;="&amp;AsOf),"")</f>
        <v/>
      </c>
      <c r="L411" s="65">
        <f>IF(V411=1,IF(C411&gt;AsOf,0,ROUND(G411-K411,2)),"")</f>
        <v/>
      </c>
      <c r="M411" s="66">
        <f>IF(V411&lt;&gt;1,"",IF(C411&gt;AsOf,"Future",IF(L411&lt;0,"Overpaid",IF(L411=0,"Paid",IF(AsOf&gt;J411,"Overdue",IF(K411&gt;0,"Partial","Unpaid"))))))</f>
        <v/>
      </c>
      <c r="N411" s="28">
        <f>IF(AND(V411=1,N(L411)&gt;0),AsOf-C411,"")</f>
        <v/>
      </c>
      <c r="O411" s="28">
        <f>IF(N411="","",MAX(0,AsOf-J411))</f>
        <v/>
      </c>
      <c r="P411" s="66">
        <f>IF(O411="","",IF(O411=0,"Current",IF(O411&lt;=30,"1-30",IF(O411&lt;=60,"31-60",IF(O411&lt;=90,"61-90","90+")))))</f>
        <v/>
      </c>
      <c r="Q411" s="66">
        <f>IF(T411&lt;&gt;"","⛔ "&amp;T411&amp;" — not posted",IF(U411&lt;&gt;"","⚠ "&amp;U411,IF(V411=1,"✓ OK","")))</f>
        <v/>
      </c>
      <c r="R411" s="67">
        <f>IF(AND(B411="",C411="",D411="",G411="",F411=""),1,0)</f>
        <v/>
      </c>
      <c r="S411" s="68">
        <f>IF(AND(TaxOn="Yes",ISNUMBER(H411)),H411,0)</f>
        <v/>
      </c>
      <c r="T411" s="67">
        <f>IF(R411=1,"",IF(B411="","Enter a bill #",IF(D411="","Select a vendor",IF(C411="","Missing bill date",IF(NOT(ISNUMBER(C411)),"Invalid date",IF(OR(C411&lt;DATE(2000,1,1),C411&gt;DATE(2099,12,31)),"Invalid date",IF(F411="","Select an expense account",IF(ISNA(MATCH(F411,coa_Name,0)),"Unknown account: "&amp;F411,IF(NOT(ISNUMBER(G411)),"Enter an amount",IF(G411&lt;=0,"Amount must be positive",IF(S411&gt;G411,"Tax is larger than the amount","")))))))))))</f>
        <v/>
      </c>
      <c r="U411" s="67">
        <f>IF(OR(R411=1,T411&lt;&gt;""),"",IF(COUNTIFS(ap_No,B411,ap_Party,D411)&gt;1,"Duplicate bill #",IF(N(L411)&lt;0,"Overpaid by "&amp;TEXT(-L411,"#,##0.00"),IF(AND(ISNUMBER(H411),N(H411)&lt;&gt;0,S411=0),"Tax ignored (tax tracking is off)",IF(AND(ISNUMBER(StartDate),C411&lt;StartDate),"Date is before the accounting start date",IF(OR(IFERROR(INDEX(coa_Type,MATCH(F411,coa_Name,0)),"")="Revenue",IFERROR(INDEX(coa_Type,MATCH(F411,coa_Name,0)),"")="Other Income",IFERROR(INDEX(coa_Type,MATCH(F411,coa_Name,0)),"")="Equity"),"Account is not an expense or asset account",""))))))</f>
        <v/>
      </c>
      <c r="V411" s="67">
        <f>IF(AND(R411=0,T411=""),1,0)</f>
        <v/>
      </c>
      <c r="W411" s="67">
        <f>IF(V411=1,F411,"")</f>
        <v/>
      </c>
      <c r="X411" s="67">
        <f>IF(V411=1,acctAP,"")</f>
        <v/>
      </c>
      <c r="Y411" s="68">
        <f>IF(V411=1,G411-S411,0)</f>
        <v/>
      </c>
      <c r="Z411" s="68">
        <f>IF(V411=1,G411,0)</f>
        <v/>
      </c>
      <c r="AA411" s="68">
        <f>IF(V411=1,S411,0)</f>
        <v/>
      </c>
    </row>
    <row r="412">
      <c r="B412" s="62" t="n"/>
      <c r="C412" s="63" t="n"/>
      <c r="D412" s="62" t="n"/>
      <c r="E412" s="62" t="n"/>
      <c r="F412" s="62" t="n"/>
      <c r="G412" s="64" t="n"/>
      <c r="H412" s="64" t="n"/>
      <c r="I412" s="63" t="n"/>
      <c r="J412" s="29">
        <f>IF(V412=1,IF(ISNUMBER(I412),I412,C412+IF(ISNUMBER(IFERROR(INDEX(vend_Terms,MATCH(D412,vend_Name,0)),"")),INDEX(vend_Terms,MATCH(D412,vend_Name,0)),TermsDays)),"")</f>
        <v/>
      </c>
      <c r="K412" s="65">
        <f>IF(V412=1,SUMIFS(tx_CrAmt,tx_Type,"Bill Payment",tx_Ref,B412&amp;"",tx_Vend,D412,tx_Date,"&lt;="&amp;AsOf),"")</f>
        <v/>
      </c>
      <c r="L412" s="65">
        <f>IF(V412=1,IF(C412&gt;AsOf,0,ROUND(G412-K412,2)),"")</f>
        <v/>
      </c>
      <c r="M412" s="66">
        <f>IF(V412&lt;&gt;1,"",IF(C412&gt;AsOf,"Future",IF(L412&lt;0,"Overpaid",IF(L412=0,"Paid",IF(AsOf&gt;J412,"Overdue",IF(K412&gt;0,"Partial","Unpaid"))))))</f>
        <v/>
      </c>
      <c r="N412" s="28">
        <f>IF(AND(V412=1,N(L412)&gt;0),AsOf-C412,"")</f>
        <v/>
      </c>
      <c r="O412" s="28">
        <f>IF(N412="","",MAX(0,AsOf-J412))</f>
        <v/>
      </c>
      <c r="P412" s="66">
        <f>IF(O412="","",IF(O412=0,"Current",IF(O412&lt;=30,"1-30",IF(O412&lt;=60,"31-60",IF(O412&lt;=90,"61-90","90+")))))</f>
        <v/>
      </c>
      <c r="Q412" s="66">
        <f>IF(T412&lt;&gt;"","⛔ "&amp;T412&amp;" — not posted",IF(U412&lt;&gt;"","⚠ "&amp;U412,IF(V412=1,"✓ OK","")))</f>
        <v/>
      </c>
      <c r="R412" s="67">
        <f>IF(AND(B412="",C412="",D412="",G412="",F412=""),1,0)</f>
        <v/>
      </c>
      <c r="S412" s="68">
        <f>IF(AND(TaxOn="Yes",ISNUMBER(H412)),H412,0)</f>
        <v/>
      </c>
      <c r="T412" s="67">
        <f>IF(R412=1,"",IF(B412="","Enter a bill #",IF(D412="","Select a vendor",IF(C412="","Missing bill date",IF(NOT(ISNUMBER(C412)),"Invalid date",IF(OR(C412&lt;DATE(2000,1,1),C412&gt;DATE(2099,12,31)),"Invalid date",IF(F412="","Select an expense account",IF(ISNA(MATCH(F412,coa_Name,0)),"Unknown account: "&amp;F412,IF(NOT(ISNUMBER(G412)),"Enter an amount",IF(G412&lt;=0,"Amount must be positive",IF(S412&gt;G412,"Tax is larger than the amount","")))))))))))</f>
        <v/>
      </c>
      <c r="U412" s="67">
        <f>IF(OR(R412=1,T412&lt;&gt;""),"",IF(COUNTIFS(ap_No,B412,ap_Party,D412)&gt;1,"Duplicate bill #",IF(N(L412)&lt;0,"Overpaid by "&amp;TEXT(-L412,"#,##0.00"),IF(AND(ISNUMBER(H412),N(H412)&lt;&gt;0,S412=0),"Tax ignored (tax tracking is off)",IF(AND(ISNUMBER(StartDate),C412&lt;StartDate),"Date is before the accounting start date",IF(OR(IFERROR(INDEX(coa_Type,MATCH(F412,coa_Name,0)),"")="Revenue",IFERROR(INDEX(coa_Type,MATCH(F412,coa_Name,0)),"")="Other Income",IFERROR(INDEX(coa_Type,MATCH(F412,coa_Name,0)),"")="Equity"),"Account is not an expense or asset account",""))))))</f>
        <v/>
      </c>
      <c r="V412" s="67">
        <f>IF(AND(R412=0,T412=""),1,0)</f>
        <v/>
      </c>
      <c r="W412" s="67">
        <f>IF(V412=1,F412,"")</f>
        <v/>
      </c>
      <c r="X412" s="67">
        <f>IF(V412=1,acctAP,"")</f>
        <v/>
      </c>
      <c r="Y412" s="68">
        <f>IF(V412=1,G412-S412,0)</f>
        <v/>
      </c>
      <c r="Z412" s="68">
        <f>IF(V412=1,G412,0)</f>
        <v/>
      </c>
      <c r="AA412" s="68">
        <f>IF(V412=1,S412,0)</f>
        <v/>
      </c>
    </row>
    <row r="413">
      <c r="B413" s="62" t="n"/>
      <c r="C413" s="63" t="n"/>
      <c r="D413" s="62" t="n"/>
      <c r="E413" s="62" t="n"/>
      <c r="F413" s="62" t="n"/>
      <c r="G413" s="64" t="n"/>
      <c r="H413" s="64" t="n"/>
      <c r="I413" s="63" t="n"/>
      <c r="J413" s="29">
        <f>IF(V413=1,IF(ISNUMBER(I413),I413,C413+IF(ISNUMBER(IFERROR(INDEX(vend_Terms,MATCH(D413,vend_Name,0)),"")),INDEX(vend_Terms,MATCH(D413,vend_Name,0)),TermsDays)),"")</f>
        <v/>
      </c>
      <c r="K413" s="65">
        <f>IF(V413=1,SUMIFS(tx_CrAmt,tx_Type,"Bill Payment",tx_Ref,B413&amp;"",tx_Vend,D413,tx_Date,"&lt;="&amp;AsOf),"")</f>
        <v/>
      </c>
      <c r="L413" s="65">
        <f>IF(V413=1,IF(C413&gt;AsOf,0,ROUND(G413-K413,2)),"")</f>
        <v/>
      </c>
      <c r="M413" s="66">
        <f>IF(V413&lt;&gt;1,"",IF(C413&gt;AsOf,"Future",IF(L413&lt;0,"Overpaid",IF(L413=0,"Paid",IF(AsOf&gt;J413,"Overdue",IF(K413&gt;0,"Partial","Unpaid"))))))</f>
        <v/>
      </c>
      <c r="N413" s="28">
        <f>IF(AND(V413=1,N(L413)&gt;0),AsOf-C413,"")</f>
        <v/>
      </c>
      <c r="O413" s="28">
        <f>IF(N413="","",MAX(0,AsOf-J413))</f>
        <v/>
      </c>
      <c r="P413" s="66">
        <f>IF(O413="","",IF(O413=0,"Current",IF(O413&lt;=30,"1-30",IF(O413&lt;=60,"31-60",IF(O413&lt;=90,"61-90","90+")))))</f>
        <v/>
      </c>
      <c r="Q413" s="66">
        <f>IF(T413&lt;&gt;"","⛔ "&amp;T413&amp;" — not posted",IF(U413&lt;&gt;"","⚠ "&amp;U413,IF(V413=1,"✓ OK","")))</f>
        <v/>
      </c>
      <c r="R413" s="67">
        <f>IF(AND(B413="",C413="",D413="",G413="",F413=""),1,0)</f>
        <v/>
      </c>
      <c r="S413" s="68">
        <f>IF(AND(TaxOn="Yes",ISNUMBER(H413)),H413,0)</f>
        <v/>
      </c>
      <c r="T413" s="67">
        <f>IF(R413=1,"",IF(B413="","Enter a bill #",IF(D413="","Select a vendor",IF(C413="","Missing bill date",IF(NOT(ISNUMBER(C413)),"Invalid date",IF(OR(C413&lt;DATE(2000,1,1),C413&gt;DATE(2099,12,31)),"Invalid date",IF(F413="","Select an expense account",IF(ISNA(MATCH(F413,coa_Name,0)),"Unknown account: "&amp;F413,IF(NOT(ISNUMBER(G413)),"Enter an amount",IF(G413&lt;=0,"Amount must be positive",IF(S413&gt;G413,"Tax is larger than the amount","")))))))))))</f>
        <v/>
      </c>
      <c r="U413" s="67">
        <f>IF(OR(R413=1,T413&lt;&gt;""),"",IF(COUNTIFS(ap_No,B413,ap_Party,D413)&gt;1,"Duplicate bill #",IF(N(L413)&lt;0,"Overpaid by "&amp;TEXT(-L413,"#,##0.00"),IF(AND(ISNUMBER(H413),N(H413)&lt;&gt;0,S413=0),"Tax ignored (tax tracking is off)",IF(AND(ISNUMBER(StartDate),C413&lt;StartDate),"Date is before the accounting start date",IF(OR(IFERROR(INDEX(coa_Type,MATCH(F413,coa_Name,0)),"")="Revenue",IFERROR(INDEX(coa_Type,MATCH(F413,coa_Name,0)),"")="Other Income",IFERROR(INDEX(coa_Type,MATCH(F413,coa_Name,0)),"")="Equity"),"Account is not an expense or asset account",""))))))</f>
        <v/>
      </c>
      <c r="V413" s="67">
        <f>IF(AND(R413=0,T413=""),1,0)</f>
        <v/>
      </c>
      <c r="W413" s="67">
        <f>IF(V413=1,F413,"")</f>
        <v/>
      </c>
      <c r="X413" s="67">
        <f>IF(V413=1,acctAP,"")</f>
        <v/>
      </c>
      <c r="Y413" s="68">
        <f>IF(V413=1,G413-S413,0)</f>
        <v/>
      </c>
      <c r="Z413" s="68">
        <f>IF(V413=1,G413,0)</f>
        <v/>
      </c>
      <c r="AA413" s="68">
        <f>IF(V413=1,S413,0)</f>
        <v/>
      </c>
    </row>
    <row r="414">
      <c r="B414" s="62" t="n"/>
      <c r="C414" s="63" t="n"/>
      <c r="D414" s="62" t="n"/>
      <c r="E414" s="62" t="n"/>
      <c r="F414" s="62" t="n"/>
      <c r="G414" s="64" t="n"/>
      <c r="H414" s="64" t="n"/>
      <c r="I414" s="63" t="n"/>
      <c r="J414" s="29">
        <f>IF(V414=1,IF(ISNUMBER(I414),I414,C414+IF(ISNUMBER(IFERROR(INDEX(vend_Terms,MATCH(D414,vend_Name,0)),"")),INDEX(vend_Terms,MATCH(D414,vend_Name,0)),TermsDays)),"")</f>
        <v/>
      </c>
      <c r="K414" s="65">
        <f>IF(V414=1,SUMIFS(tx_CrAmt,tx_Type,"Bill Payment",tx_Ref,B414&amp;"",tx_Vend,D414,tx_Date,"&lt;="&amp;AsOf),"")</f>
        <v/>
      </c>
      <c r="L414" s="65">
        <f>IF(V414=1,IF(C414&gt;AsOf,0,ROUND(G414-K414,2)),"")</f>
        <v/>
      </c>
      <c r="M414" s="66">
        <f>IF(V414&lt;&gt;1,"",IF(C414&gt;AsOf,"Future",IF(L414&lt;0,"Overpaid",IF(L414=0,"Paid",IF(AsOf&gt;J414,"Overdue",IF(K414&gt;0,"Partial","Unpaid"))))))</f>
        <v/>
      </c>
      <c r="N414" s="28">
        <f>IF(AND(V414=1,N(L414)&gt;0),AsOf-C414,"")</f>
        <v/>
      </c>
      <c r="O414" s="28">
        <f>IF(N414="","",MAX(0,AsOf-J414))</f>
        <v/>
      </c>
      <c r="P414" s="66">
        <f>IF(O414="","",IF(O414=0,"Current",IF(O414&lt;=30,"1-30",IF(O414&lt;=60,"31-60",IF(O414&lt;=90,"61-90","90+")))))</f>
        <v/>
      </c>
      <c r="Q414" s="66">
        <f>IF(T414&lt;&gt;"","⛔ "&amp;T414&amp;" — not posted",IF(U414&lt;&gt;"","⚠ "&amp;U414,IF(V414=1,"✓ OK","")))</f>
        <v/>
      </c>
      <c r="R414" s="67">
        <f>IF(AND(B414="",C414="",D414="",G414="",F414=""),1,0)</f>
        <v/>
      </c>
      <c r="S414" s="68">
        <f>IF(AND(TaxOn="Yes",ISNUMBER(H414)),H414,0)</f>
        <v/>
      </c>
      <c r="T414" s="67">
        <f>IF(R414=1,"",IF(B414="","Enter a bill #",IF(D414="","Select a vendor",IF(C414="","Missing bill date",IF(NOT(ISNUMBER(C414)),"Invalid date",IF(OR(C414&lt;DATE(2000,1,1),C414&gt;DATE(2099,12,31)),"Invalid date",IF(F414="","Select an expense account",IF(ISNA(MATCH(F414,coa_Name,0)),"Unknown account: "&amp;F414,IF(NOT(ISNUMBER(G414)),"Enter an amount",IF(G414&lt;=0,"Amount must be positive",IF(S414&gt;G414,"Tax is larger than the amount","")))))))))))</f>
        <v/>
      </c>
      <c r="U414" s="67">
        <f>IF(OR(R414=1,T414&lt;&gt;""),"",IF(COUNTIFS(ap_No,B414,ap_Party,D414)&gt;1,"Duplicate bill #",IF(N(L414)&lt;0,"Overpaid by "&amp;TEXT(-L414,"#,##0.00"),IF(AND(ISNUMBER(H414),N(H414)&lt;&gt;0,S414=0),"Tax ignored (tax tracking is off)",IF(AND(ISNUMBER(StartDate),C414&lt;StartDate),"Date is before the accounting start date",IF(OR(IFERROR(INDEX(coa_Type,MATCH(F414,coa_Name,0)),"")="Revenue",IFERROR(INDEX(coa_Type,MATCH(F414,coa_Name,0)),"")="Other Income",IFERROR(INDEX(coa_Type,MATCH(F414,coa_Name,0)),"")="Equity"),"Account is not an expense or asset account",""))))))</f>
        <v/>
      </c>
      <c r="V414" s="67">
        <f>IF(AND(R414=0,T414=""),1,0)</f>
        <v/>
      </c>
      <c r="W414" s="67">
        <f>IF(V414=1,F414,"")</f>
        <v/>
      </c>
      <c r="X414" s="67">
        <f>IF(V414=1,acctAP,"")</f>
        <v/>
      </c>
      <c r="Y414" s="68">
        <f>IF(V414=1,G414-S414,0)</f>
        <v/>
      </c>
      <c r="Z414" s="68">
        <f>IF(V414=1,G414,0)</f>
        <v/>
      </c>
      <c r="AA414" s="68">
        <f>IF(V414=1,S414,0)</f>
        <v/>
      </c>
    </row>
    <row r="415">
      <c r="B415" s="62" t="n"/>
      <c r="C415" s="63" t="n"/>
      <c r="D415" s="62" t="n"/>
      <c r="E415" s="62" t="n"/>
      <c r="F415" s="62" t="n"/>
      <c r="G415" s="64" t="n"/>
      <c r="H415" s="64" t="n"/>
      <c r="I415" s="63" t="n"/>
      <c r="J415" s="29">
        <f>IF(V415=1,IF(ISNUMBER(I415),I415,C415+IF(ISNUMBER(IFERROR(INDEX(vend_Terms,MATCH(D415,vend_Name,0)),"")),INDEX(vend_Terms,MATCH(D415,vend_Name,0)),TermsDays)),"")</f>
        <v/>
      </c>
      <c r="K415" s="65">
        <f>IF(V415=1,SUMIFS(tx_CrAmt,tx_Type,"Bill Payment",tx_Ref,B415&amp;"",tx_Vend,D415,tx_Date,"&lt;="&amp;AsOf),"")</f>
        <v/>
      </c>
      <c r="L415" s="65">
        <f>IF(V415=1,IF(C415&gt;AsOf,0,ROUND(G415-K415,2)),"")</f>
        <v/>
      </c>
      <c r="M415" s="66">
        <f>IF(V415&lt;&gt;1,"",IF(C415&gt;AsOf,"Future",IF(L415&lt;0,"Overpaid",IF(L415=0,"Paid",IF(AsOf&gt;J415,"Overdue",IF(K415&gt;0,"Partial","Unpaid"))))))</f>
        <v/>
      </c>
      <c r="N415" s="28">
        <f>IF(AND(V415=1,N(L415)&gt;0),AsOf-C415,"")</f>
        <v/>
      </c>
      <c r="O415" s="28">
        <f>IF(N415="","",MAX(0,AsOf-J415))</f>
        <v/>
      </c>
      <c r="P415" s="66">
        <f>IF(O415="","",IF(O415=0,"Current",IF(O415&lt;=30,"1-30",IF(O415&lt;=60,"31-60",IF(O415&lt;=90,"61-90","90+")))))</f>
        <v/>
      </c>
      <c r="Q415" s="66">
        <f>IF(T415&lt;&gt;"","⛔ "&amp;T415&amp;" — not posted",IF(U415&lt;&gt;"","⚠ "&amp;U415,IF(V415=1,"✓ OK","")))</f>
        <v/>
      </c>
      <c r="R415" s="67">
        <f>IF(AND(B415="",C415="",D415="",G415="",F415=""),1,0)</f>
        <v/>
      </c>
      <c r="S415" s="68">
        <f>IF(AND(TaxOn="Yes",ISNUMBER(H415)),H415,0)</f>
        <v/>
      </c>
      <c r="T415" s="67">
        <f>IF(R415=1,"",IF(B415="","Enter a bill #",IF(D415="","Select a vendor",IF(C415="","Missing bill date",IF(NOT(ISNUMBER(C415)),"Invalid date",IF(OR(C415&lt;DATE(2000,1,1),C415&gt;DATE(2099,12,31)),"Invalid date",IF(F415="","Select an expense account",IF(ISNA(MATCH(F415,coa_Name,0)),"Unknown account: "&amp;F415,IF(NOT(ISNUMBER(G415)),"Enter an amount",IF(G415&lt;=0,"Amount must be positive",IF(S415&gt;G415,"Tax is larger than the amount","")))))))))))</f>
        <v/>
      </c>
      <c r="U415" s="67">
        <f>IF(OR(R415=1,T415&lt;&gt;""),"",IF(COUNTIFS(ap_No,B415,ap_Party,D415)&gt;1,"Duplicate bill #",IF(N(L415)&lt;0,"Overpaid by "&amp;TEXT(-L415,"#,##0.00"),IF(AND(ISNUMBER(H415),N(H415)&lt;&gt;0,S415=0),"Tax ignored (tax tracking is off)",IF(AND(ISNUMBER(StartDate),C415&lt;StartDate),"Date is before the accounting start date",IF(OR(IFERROR(INDEX(coa_Type,MATCH(F415,coa_Name,0)),"")="Revenue",IFERROR(INDEX(coa_Type,MATCH(F415,coa_Name,0)),"")="Other Income",IFERROR(INDEX(coa_Type,MATCH(F415,coa_Name,0)),"")="Equity"),"Account is not an expense or asset account",""))))))</f>
        <v/>
      </c>
      <c r="V415" s="67">
        <f>IF(AND(R415=0,T415=""),1,0)</f>
        <v/>
      </c>
      <c r="W415" s="67">
        <f>IF(V415=1,F415,"")</f>
        <v/>
      </c>
      <c r="X415" s="67">
        <f>IF(V415=1,acctAP,"")</f>
        <v/>
      </c>
      <c r="Y415" s="68">
        <f>IF(V415=1,G415-S415,0)</f>
        <v/>
      </c>
      <c r="Z415" s="68">
        <f>IF(V415=1,G415,0)</f>
        <v/>
      </c>
      <c r="AA415" s="68">
        <f>IF(V415=1,S415,0)</f>
        <v/>
      </c>
    </row>
    <row r="416">
      <c r="B416" s="62" t="n"/>
      <c r="C416" s="63" t="n"/>
      <c r="D416" s="62" t="n"/>
      <c r="E416" s="62" t="n"/>
      <c r="F416" s="62" t="n"/>
      <c r="G416" s="64" t="n"/>
      <c r="H416" s="64" t="n"/>
      <c r="I416" s="63" t="n"/>
      <c r="J416" s="29">
        <f>IF(V416=1,IF(ISNUMBER(I416),I416,C416+IF(ISNUMBER(IFERROR(INDEX(vend_Terms,MATCH(D416,vend_Name,0)),"")),INDEX(vend_Terms,MATCH(D416,vend_Name,0)),TermsDays)),"")</f>
        <v/>
      </c>
      <c r="K416" s="65">
        <f>IF(V416=1,SUMIFS(tx_CrAmt,tx_Type,"Bill Payment",tx_Ref,B416&amp;"",tx_Vend,D416,tx_Date,"&lt;="&amp;AsOf),"")</f>
        <v/>
      </c>
      <c r="L416" s="65">
        <f>IF(V416=1,IF(C416&gt;AsOf,0,ROUND(G416-K416,2)),"")</f>
        <v/>
      </c>
      <c r="M416" s="66">
        <f>IF(V416&lt;&gt;1,"",IF(C416&gt;AsOf,"Future",IF(L416&lt;0,"Overpaid",IF(L416=0,"Paid",IF(AsOf&gt;J416,"Overdue",IF(K416&gt;0,"Partial","Unpaid"))))))</f>
        <v/>
      </c>
      <c r="N416" s="28">
        <f>IF(AND(V416=1,N(L416)&gt;0),AsOf-C416,"")</f>
        <v/>
      </c>
      <c r="O416" s="28">
        <f>IF(N416="","",MAX(0,AsOf-J416))</f>
        <v/>
      </c>
      <c r="P416" s="66">
        <f>IF(O416="","",IF(O416=0,"Current",IF(O416&lt;=30,"1-30",IF(O416&lt;=60,"31-60",IF(O416&lt;=90,"61-90","90+")))))</f>
        <v/>
      </c>
      <c r="Q416" s="66">
        <f>IF(T416&lt;&gt;"","⛔ "&amp;T416&amp;" — not posted",IF(U416&lt;&gt;"","⚠ "&amp;U416,IF(V416=1,"✓ OK","")))</f>
        <v/>
      </c>
      <c r="R416" s="67">
        <f>IF(AND(B416="",C416="",D416="",G416="",F416=""),1,0)</f>
        <v/>
      </c>
      <c r="S416" s="68">
        <f>IF(AND(TaxOn="Yes",ISNUMBER(H416)),H416,0)</f>
        <v/>
      </c>
      <c r="T416" s="67">
        <f>IF(R416=1,"",IF(B416="","Enter a bill #",IF(D416="","Select a vendor",IF(C416="","Missing bill date",IF(NOT(ISNUMBER(C416)),"Invalid date",IF(OR(C416&lt;DATE(2000,1,1),C416&gt;DATE(2099,12,31)),"Invalid date",IF(F416="","Select an expense account",IF(ISNA(MATCH(F416,coa_Name,0)),"Unknown account: "&amp;F416,IF(NOT(ISNUMBER(G416)),"Enter an amount",IF(G416&lt;=0,"Amount must be positive",IF(S416&gt;G416,"Tax is larger than the amount","")))))))))))</f>
        <v/>
      </c>
      <c r="U416" s="67">
        <f>IF(OR(R416=1,T416&lt;&gt;""),"",IF(COUNTIFS(ap_No,B416,ap_Party,D416)&gt;1,"Duplicate bill #",IF(N(L416)&lt;0,"Overpaid by "&amp;TEXT(-L416,"#,##0.00"),IF(AND(ISNUMBER(H416),N(H416)&lt;&gt;0,S416=0),"Tax ignored (tax tracking is off)",IF(AND(ISNUMBER(StartDate),C416&lt;StartDate),"Date is before the accounting start date",IF(OR(IFERROR(INDEX(coa_Type,MATCH(F416,coa_Name,0)),"")="Revenue",IFERROR(INDEX(coa_Type,MATCH(F416,coa_Name,0)),"")="Other Income",IFERROR(INDEX(coa_Type,MATCH(F416,coa_Name,0)),"")="Equity"),"Account is not an expense or asset account",""))))))</f>
        <v/>
      </c>
      <c r="V416" s="67">
        <f>IF(AND(R416=0,T416=""),1,0)</f>
        <v/>
      </c>
      <c r="W416" s="67">
        <f>IF(V416=1,F416,"")</f>
        <v/>
      </c>
      <c r="X416" s="67">
        <f>IF(V416=1,acctAP,"")</f>
        <v/>
      </c>
      <c r="Y416" s="68">
        <f>IF(V416=1,G416-S416,0)</f>
        <v/>
      </c>
      <c r="Z416" s="68">
        <f>IF(V416=1,G416,0)</f>
        <v/>
      </c>
      <c r="AA416" s="68">
        <f>IF(V416=1,S416,0)</f>
        <v/>
      </c>
    </row>
    <row r="417">
      <c r="B417" s="62" t="n"/>
      <c r="C417" s="63" t="n"/>
      <c r="D417" s="62" t="n"/>
      <c r="E417" s="62" t="n"/>
      <c r="F417" s="62" t="n"/>
      <c r="G417" s="64" t="n"/>
      <c r="H417" s="64" t="n"/>
      <c r="I417" s="63" t="n"/>
      <c r="J417" s="29">
        <f>IF(V417=1,IF(ISNUMBER(I417),I417,C417+IF(ISNUMBER(IFERROR(INDEX(vend_Terms,MATCH(D417,vend_Name,0)),"")),INDEX(vend_Terms,MATCH(D417,vend_Name,0)),TermsDays)),"")</f>
        <v/>
      </c>
      <c r="K417" s="65">
        <f>IF(V417=1,SUMIFS(tx_CrAmt,tx_Type,"Bill Payment",tx_Ref,B417&amp;"",tx_Vend,D417,tx_Date,"&lt;="&amp;AsOf),"")</f>
        <v/>
      </c>
      <c r="L417" s="65">
        <f>IF(V417=1,IF(C417&gt;AsOf,0,ROUND(G417-K417,2)),"")</f>
        <v/>
      </c>
      <c r="M417" s="66">
        <f>IF(V417&lt;&gt;1,"",IF(C417&gt;AsOf,"Future",IF(L417&lt;0,"Overpaid",IF(L417=0,"Paid",IF(AsOf&gt;J417,"Overdue",IF(K417&gt;0,"Partial","Unpaid"))))))</f>
        <v/>
      </c>
      <c r="N417" s="28">
        <f>IF(AND(V417=1,N(L417)&gt;0),AsOf-C417,"")</f>
        <v/>
      </c>
      <c r="O417" s="28">
        <f>IF(N417="","",MAX(0,AsOf-J417))</f>
        <v/>
      </c>
      <c r="P417" s="66">
        <f>IF(O417="","",IF(O417=0,"Current",IF(O417&lt;=30,"1-30",IF(O417&lt;=60,"31-60",IF(O417&lt;=90,"61-90","90+")))))</f>
        <v/>
      </c>
      <c r="Q417" s="66">
        <f>IF(T417&lt;&gt;"","⛔ "&amp;T417&amp;" — not posted",IF(U417&lt;&gt;"","⚠ "&amp;U417,IF(V417=1,"✓ OK","")))</f>
        <v/>
      </c>
      <c r="R417" s="67">
        <f>IF(AND(B417="",C417="",D417="",G417="",F417=""),1,0)</f>
        <v/>
      </c>
      <c r="S417" s="68">
        <f>IF(AND(TaxOn="Yes",ISNUMBER(H417)),H417,0)</f>
        <v/>
      </c>
      <c r="T417" s="67">
        <f>IF(R417=1,"",IF(B417="","Enter a bill #",IF(D417="","Select a vendor",IF(C417="","Missing bill date",IF(NOT(ISNUMBER(C417)),"Invalid date",IF(OR(C417&lt;DATE(2000,1,1),C417&gt;DATE(2099,12,31)),"Invalid date",IF(F417="","Select an expense account",IF(ISNA(MATCH(F417,coa_Name,0)),"Unknown account: "&amp;F417,IF(NOT(ISNUMBER(G417)),"Enter an amount",IF(G417&lt;=0,"Amount must be positive",IF(S417&gt;G417,"Tax is larger than the amount","")))))))))))</f>
        <v/>
      </c>
      <c r="U417" s="67">
        <f>IF(OR(R417=1,T417&lt;&gt;""),"",IF(COUNTIFS(ap_No,B417,ap_Party,D417)&gt;1,"Duplicate bill #",IF(N(L417)&lt;0,"Overpaid by "&amp;TEXT(-L417,"#,##0.00"),IF(AND(ISNUMBER(H417),N(H417)&lt;&gt;0,S417=0),"Tax ignored (tax tracking is off)",IF(AND(ISNUMBER(StartDate),C417&lt;StartDate),"Date is before the accounting start date",IF(OR(IFERROR(INDEX(coa_Type,MATCH(F417,coa_Name,0)),"")="Revenue",IFERROR(INDEX(coa_Type,MATCH(F417,coa_Name,0)),"")="Other Income",IFERROR(INDEX(coa_Type,MATCH(F417,coa_Name,0)),"")="Equity"),"Account is not an expense or asset account",""))))))</f>
        <v/>
      </c>
      <c r="V417" s="67">
        <f>IF(AND(R417=0,T417=""),1,0)</f>
        <v/>
      </c>
      <c r="W417" s="67">
        <f>IF(V417=1,F417,"")</f>
        <v/>
      </c>
      <c r="X417" s="67">
        <f>IF(V417=1,acctAP,"")</f>
        <v/>
      </c>
      <c r="Y417" s="68">
        <f>IF(V417=1,G417-S417,0)</f>
        <v/>
      </c>
      <c r="Z417" s="68">
        <f>IF(V417=1,G417,0)</f>
        <v/>
      </c>
      <c r="AA417" s="68">
        <f>IF(V417=1,S417,0)</f>
        <v/>
      </c>
    </row>
    <row r="418">
      <c r="B418" s="62" t="n"/>
      <c r="C418" s="63" t="n"/>
      <c r="D418" s="62" t="n"/>
      <c r="E418" s="62" t="n"/>
      <c r="F418" s="62" t="n"/>
      <c r="G418" s="64" t="n"/>
      <c r="H418" s="64" t="n"/>
      <c r="I418" s="63" t="n"/>
      <c r="J418" s="29">
        <f>IF(V418=1,IF(ISNUMBER(I418),I418,C418+IF(ISNUMBER(IFERROR(INDEX(vend_Terms,MATCH(D418,vend_Name,0)),"")),INDEX(vend_Terms,MATCH(D418,vend_Name,0)),TermsDays)),"")</f>
        <v/>
      </c>
      <c r="K418" s="65">
        <f>IF(V418=1,SUMIFS(tx_CrAmt,tx_Type,"Bill Payment",tx_Ref,B418&amp;"",tx_Vend,D418,tx_Date,"&lt;="&amp;AsOf),"")</f>
        <v/>
      </c>
      <c r="L418" s="65">
        <f>IF(V418=1,IF(C418&gt;AsOf,0,ROUND(G418-K418,2)),"")</f>
        <v/>
      </c>
      <c r="M418" s="66">
        <f>IF(V418&lt;&gt;1,"",IF(C418&gt;AsOf,"Future",IF(L418&lt;0,"Overpaid",IF(L418=0,"Paid",IF(AsOf&gt;J418,"Overdue",IF(K418&gt;0,"Partial","Unpaid"))))))</f>
        <v/>
      </c>
      <c r="N418" s="28">
        <f>IF(AND(V418=1,N(L418)&gt;0),AsOf-C418,"")</f>
        <v/>
      </c>
      <c r="O418" s="28">
        <f>IF(N418="","",MAX(0,AsOf-J418))</f>
        <v/>
      </c>
      <c r="P418" s="66">
        <f>IF(O418="","",IF(O418=0,"Current",IF(O418&lt;=30,"1-30",IF(O418&lt;=60,"31-60",IF(O418&lt;=90,"61-90","90+")))))</f>
        <v/>
      </c>
      <c r="Q418" s="66">
        <f>IF(T418&lt;&gt;"","⛔ "&amp;T418&amp;" — not posted",IF(U418&lt;&gt;"","⚠ "&amp;U418,IF(V418=1,"✓ OK","")))</f>
        <v/>
      </c>
      <c r="R418" s="67">
        <f>IF(AND(B418="",C418="",D418="",G418="",F418=""),1,0)</f>
        <v/>
      </c>
      <c r="S418" s="68">
        <f>IF(AND(TaxOn="Yes",ISNUMBER(H418)),H418,0)</f>
        <v/>
      </c>
      <c r="T418" s="67">
        <f>IF(R418=1,"",IF(B418="","Enter a bill #",IF(D418="","Select a vendor",IF(C418="","Missing bill date",IF(NOT(ISNUMBER(C418)),"Invalid date",IF(OR(C418&lt;DATE(2000,1,1),C418&gt;DATE(2099,12,31)),"Invalid date",IF(F418="","Select an expense account",IF(ISNA(MATCH(F418,coa_Name,0)),"Unknown account: "&amp;F418,IF(NOT(ISNUMBER(G418)),"Enter an amount",IF(G418&lt;=0,"Amount must be positive",IF(S418&gt;G418,"Tax is larger than the amount","")))))))))))</f>
        <v/>
      </c>
      <c r="U418" s="67">
        <f>IF(OR(R418=1,T418&lt;&gt;""),"",IF(COUNTIFS(ap_No,B418,ap_Party,D418)&gt;1,"Duplicate bill #",IF(N(L418)&lt;0,"Overpaid by "&amp;TEXT(-L418,"#,##0.00"),IF(AND(ISNUMBER(H418),N(H418)&lt;&gt;0,S418=0),"Tax ignored (tax tracking is off)",IF(AND(ISNUMBER(StartDate),C418&lt;StartDate),"Date is before the accounting start date",IF(OR(IFERROR(INDEX(coa_Type,MATCH(F418,coa_Name,0)),"")="Revenue",IFERROR(INDEX(coa_Type,MATCH(F418,coa_Name,0)),"")="Other Income",IFERROR(INDEX(coa_Type,MATCH(F418,coa_Name,0)),"")="Equity"),"Account is not an expense or asset account",""))))))</f>
        <v/>
      </c>
      <c r="V418" s="67">
        <f>IF(AND(R418=0,T418=""),1,0)</f>
        <v/>
      </c>
      <c r="W418" s="67">
        <f>IF(V418=1,F418,"")</f>
        <v/>
      </c>
      <c r="X418" s="67">
        <f>IF(V418=1,acctAP,"")</f>
        <v/>
      </c>
      <c r="Y418" s="68">
        <f>IF(V418=1,G418-S418,0)</f>
        <v/>
      </c>
      <c r="Z418" s="68">
        <f>IF(V418=1,G418,0)</f>
        <v/>
      </c>
      <c r="AA418" s="68">
        <f>IF(V418=1,S418,0)</f>
        <v/>
      </c>
    </row>
    <row r="419">
      <c r="B419" s="62" t="n"/>
      <c r="C419" s="63" t="n"/>
      <c r="D419" s="62" t="n"/>
      <c r="E419" s="62" t="n"/>
      <c r="F419" s="62" t="n"/>
      <c r="G419" s="64" t="n"/>
      <c r="H419" s="64" t="n"/>
      <c r="I419" s="63" t="n"/>
      <c r="J419" s="29">
        <f>IF(V419=1,IF(ISNUMBER(I419),I419,C419+IF(ISNUMBER(IFERROR(INDEX(vend_Terms,MATCH(D419,vend_Name,0)),"")),INDEX(vend_Terms,MATCH(D419,vend_Name,0)),TermsDays)),"")</f>
        <v/>
      </c>
      <c r="K419" s="65">
        <f>IF(V419=1,SUMIFS(tx_CrAmt,tx_Type,"Bill Payment",tx_Ref,B419&amp;"",tx_Vend,D419,tx_Date,"&lt;="&amp;AsOf),"")</f>
        <v/>
      </c>
      <c r="L419" s="65">
        <f>IF(V419=1,IF(C419&gt;AsOf,0,ROUND(G419-K419,2)),"")</f>
        <v/>
      </c>
      <c r="M419" s="66">
        <f>IF(V419&lt;&gt;1,"",IF(C419&gt;AsOf,"Future",IF(L419&lt;0,"Overpaid",IF(L419=0,"Paid",IF(AsOf&gt;J419,"Overdue",IF(K419&gt;0,"Partial","Unpaid"))))))</f>
        <v/>
      </c>
      <c r="N419" s="28">
        <f>IF(AND(V419=1,N(L419)&gt;0),AsOf-C419,"")</f>
        <v/>
      </c>
      <c r="O419" s="28">
        <f>IF(N419="","",MAX(0,AsOf-J419))</f>
        <v/>
      </c>
      <c r="P419" s="66">
        <f>IF(O419="","",IF(O419=0,"Current",IF(O419&lt;=30,"1-30",IF(O419&lt;=60,"31-60",IF(O419&lt;=90,"61-90","90+")))))</f>
        <v/>
      </c>
      <c r="Q419" s="66">
        <f>IF(T419&lt;&gt;"","⛔ "&amp;T419&amp;" — not posted",IF(U419&lt;&gt;"","⚠ "&amp;U419,IF(V419=1,"✓ OK","")))</f>
        <v/>
      </c>
      <c r="R419" s="67">
        <f>IF(AND(B419="",C419="",D419="",G419="",F419=""),1,0)</f>
        <v/>
      </c>
      <c r="S419" s="68">
        <f>IF(AND(TaxOn="Yes",ISNUMBER(H419)),H419,0)</f>
        <v/>
      </c>
      <c r="T419" s="67">
        <f>IF(R419=1,"",IF(B419="","Enter a bill #",IF(D419="","Select a vendor",IF(C419="","Missing bill date",IF(NOT(ISNUMBER(C419)),"Invalid date",IF(OR(C419&lt;DATE(2000,1,1),C419&gt;DATE(2099,12,31)),"Invalid date",IF(F419="","Select an expense account",IF(ISNA(MATCH(F419,coa_Name,0)),"Unknown account: "&amp;F419,IF(NOT(ISNUMBER(G419)),"Enter an amount",IF(G419&lt;=0,"Amount must be positive",IF(S419&gt;G419,"Tax is larger than the amount","")))))))))))</f>
        <v/>
      </c>
      <c r="U419" s="67">
        <f>IF(OR(R419=1,T419&lt;&gt;""),"",IF(COUNTIFS(ap_No,B419,ap_Party,D419)&gt;1,"Duplicate bill #",IF(N(L419)&lt;0,"Overpaid by "&amp;TEXT(-L419,"#,##0.00"),IF(AND(ISNUMBER(H419),N(H419)&lt;&gt;0,S419=0),"Tax ignored (tax tracking is off)",IF(AND(ISNUMBER(StartDate),C419&lt;StartDate),"Date is before the accounting start date",IF(OR(IFERROR(INDEX(coa_Type,MATCH(F419,coa_Name,0)),"")="Revenue",IFERROR(INDEX(coa_Type,MATCH(F419,coa_Name,0)),"")="Other Income",IFERROR(INDEX(coa_Type,MATCH(F419,coa_Name,0)),"")="Equity"),"Account is not an expense or asset account",""))))))</f>
        <v/>
      </c>
      <c r="V419" s="67">
        <f>IF(AND(R419=0,T419=""),1,0)</f>
        <v/>
      </c>
      <c r="W419" s="67">
        <f>IF(V419=1,F419,"")</f>
        <v/>
      </c>
      <c r="X419" s="67">
        <f>IF(V419=1,acctAP,"")</f>
        <v/>
      </c>
      <c r="Y419" s="68">
        <f>IF(V419=1,G419-S419,0)</f>
        <v/>
      </c>
      <c r="Z419" s="68">
        <f>IF(V419=1,G419,0)</f>
        <v/>
      </c>
      <c r="AA419" s="68">
        <f>IF(V419=1,S419,0)</f>
        <v/>
      </c>
    </row>
    <row r="420">
      <c r="B420" s="62" t="n"/>
      <c r="C420" s="63" t="n"/>
      <c r="D420" s="62" t="n"/>
      <c r="E420" s="62" t="n"/>
      <c r="F420" s="62" t="n"/>
      <c r="G420" s="64" t="n"/>
      <c r="H420" s="64" t="n"/>
      <c r="I420" s="63" t="n"/>
      <c r="J420" s="29">
        <f>IF(V420=1,IF(ISNUMBER(I420),I420,C420+IF(ISNUMBER(IFERROR(INDEX(vend_Terms,MATCH(D420,vend_Name,0)),"")),INDEX(vend_Terms,MATCH(D420,vend_Name,0)),TermsDays)),"")</f>
        <v/>
      </c>
      <c r="K420" s="65">
        <f>IF(V420=1,SUMIFS(tx_CrAmt,tx_Type,"Bill Payment",tx_Ref,B420&amp;"",tx_Vend,D420,tx_Date,"&lt;="&amp;AsOf),"")</f>
        <v/>
      </c>
      <c r="L420" s="65">
        <f>IF(V420=1,IF(C420&gt;AsOf,0,ROUND(G420-K420,2)),"")</f>
        <v/>
      </c>
      <c r="M420" s="66">
        <f>IF(V420&lt;&gt;1,"",IF(C420&gt;AsOf,"Future",IF(L420&lt;0,"Overpaid",IF(L420=0,"Paid",IF(AsOf&gt;J420,"Overdue",IF(K420&gt;0,"Partial","Unpaid"))))))</f>
        <v/>
      </c>
      <c r="N420" s="28">
        <f>IF(AND(V420=1,N(L420)&gt;0),AsOf-C420,"")</f>
        <v/>
      </c>
      <c r="O420" s="28">
        <f>IF(N420="","",MAX(0,AsOf-J420))</f>
        <v/>
      </c>
      <c r="P420" s="66">
        <f>IF(O420="","",IF(O420=0,"Current",IF(O420&lt;=30,"1-30",IF(O420&lt;=60,"31-60",IF(O420&lt;=90,"61-90","90+")))))</f>
        <v/>
      </c>
      <c r="Q420" s="66">
        <f>IF(T420&lt;&gt;"","⛔ "&amp;T420&amp;" — not posted",IF(U420&lt;&gt;"","⚠ "&amp;U420,IF(V420=1,"✓ OK","")))</f>
        <v/>
      </c>
      <c r="R420" s="67">
        <f>IF(AND(B420="",C420="",D420="",G420="",F420=""),1,0)</f>
        <v/>
      </c>
      <c r="S420" s="68">
        <f>IF(AND(TaxOn="Yes",ISNUMBER(H420)),H420,0)</f>
        <v/>
      </c>
      <c r="T420" s="67">
        <f>IF(R420=1,"",IF(B420="","Enter a bill #",IF(D420="","Select a vendor",IF(C420="","Missing bill date",IF(NOT(ISNUMBER(C420)),"Invalid date",IF(OR(C420&lt;DATE(2000,1,1),C420&gt;DATE(2099,12,31)),"Invalid date",IF(F420="","Select an expense account",IF(ISNA(MATCH(F420,coa_Name,0)),"Unknown account: "&amp;F420,IF(NOT(ISNUMBER(G420)),"Enter an amount",IF(G420&lt;=0,"Amount must be positive",IF(S420&gt;G420,"Tax is larger than the amount","")))))))))))</f>
        <v/>
      </c>
      <c r="U420" s="67">
        <f>IF(OR(R420=1,T420&lt;&gt;""),"",IF(COUNTIFS(ap_No,B420,ap_Party,D420)&gt;1,"Duplicate bill #",IF(N(L420)&lt;0,"Overpaid by "&amp;TEXT(-L420,"#,##0.00"),IF(AND(ISNUMBER(H420),N(H420)&lt;&gt;0,S420=0),"Tax ignored (tax tracking is off)",IF(AND(ISNUMBER(StartDate),C420&lt;StartDate),"Date is before the accounting start date",IF(OR(IFERROR(INDEX(coa_Type,MATCH(F420,coa_Name,0)),"")="Revenue",IFERROR(INDEX(coa_Type,MATCH(F420,coa_Name,0)),"")="Other Income",IFERROR(INDEX(coa_Type,MATCH(F420,coa_Name,0)),"")="Equity"),"Account is not an expense or asset account",""))))))</f>
        <v/>
      </c>
      <c r="V420" s="67">
        <f>IF(AND(R420=0,T420=""),1,0)</f>
        <v/>
      </c>
      <c r="W420" s="67">
        <f>IF(V420=1,F420,"")</f>
        <v/>
      </c>
      <c r="X420" s="67">
        <f>IF(V420=1,acctAP,"")</f>
        <v/>
      </c>
      <c r="Y420" s="68">
        <f>IF(V420=1,G420-S420,0)</f>
        <v/>
      </c>
      <c r="Z420" s="68">
        <f>IF(V420=1,G420,0)</f>
        <v/>
      </c>
      <c r="AA420" s="68">
        <f>IF(V420=1,S420,0)</f>
        <v/>
      </c>
    </row>
    <row r="421">
      <c r="B421" s="62" t="n"/>
      <c r="C421" s="63" t="n"/>
      <c r="D421" s="62" t="n"/>
      <c r="E421" s="62" t="n"/>
      <c r="F421" s="62" t="n"/>
      <c r="G421" s="64" t="n"/>
      <c r="H421" s="64" t="n"/>
      <c r="I421" s="63" t="n"/>
      <c r="J421" s="29">
        <f>IF(V421=1,IF(ISNUMBER(I421),I421,C421+IF(ISNUMBER(IFERROR(INDEX(vend_Terms,MATCH(D421,vend_Name,0)),"")),INDEX(vend_Terms,MATCH(D421,vend_Name,0)),TermsDays)),"")</f>
        <v/>
      </c>
      <c r="K421" s="65">
        <f>IF(V421=1,SUMIFS(tx_CrAmt,tx_Type,"Bill Payment",tx_Ref,B421&amp;"",tx_Vend,D421,tx_Date,"&lt;="&amp;AsOf),"")</f>
        <v/>
      </c>
      <c r="L421" s="65">
        <f>IF(V421=1,IF(C421&gt;AsOf,0,ROUND(G421-K421,2)),"")</f>
        <v/>
      </c>
      <c r="M421" s="66">
        <f>IF(V421&lt;&gt;1,"",IF(C421&gt;AsOf,"Future",IF(L421&lt;0,"Overpaid",IF(L421=0,"Paid",IF(AsOf&gt;J421,"Overdue",IF(K421&gt;0,"Partial","Unpaid"))))))</f>
        <v/>
      </c>
      <c r="N421" s="28">
        <f>IF(AND(V421=1,N(L421)&gt;0),AsOf-C421,"")</f>
        <v/>
      </c>
      <c r="O421" s="28">
        <f>IF(N421="","",MAX(0,AsOf-J421))</f>
        <v/>
      </c>
      <c r="P421" s="66">
        <f>IF(O421="","",IF(O421=0,"Current",IF(O421&lt;=30,"1-30",IF(O421&lt;=60,"31-60",IF(O421&lt;=90,"61-90","90+")))))</f>
        <v/>
      </c>
      <c r="Q421" s="66">
        <f>IF(T421&lt;&gt;"","⛔ "&amp;T421&amp;" — not posted",IF(U421&lt;&gt;"","⚠ "&amp;U421,IF(V421=1,"✓ OK","")))</f>
        <v/>
      </c>
      <c r="R421" s="67">
        <f>IF(AND(B421="",C421="",D421="",G421="",F421=""),1,0)</f>
        <v/>
      </c>
      <c r="S421" s="68">
        <f>IF(AND(TaxOn="Yes",ISNUMBER(H421)),H421,0)</f>
        <v/>
      </c>
      <c r="T421" s="67">
        <f>IF(R421=1,"",IF(B421="","Enter a bill #",IF(D421="","Select a vendor",IF(C421="","Missing bill date",IF(NOT(ISNUMBER(C421)),"Invalid date",IF(OR(C421&lt;DATE(2000,1,1),C421&gt;DATE(2099,12,31)),"Invalid date",IF(F421="","Select an expense account",IF(ISNA(MATCH(F421,coa_Name,0)),"Unknown account: "&amp;F421,IF(NOT(ISNUMBER(G421)),"Enter an amount",IF(G421&lt;=0,"Amount must be positive",IF(S421&gt;G421,"Tax is larger than the amount","")))))))))))</f>
        <v/>
      </c>
      <c r="U421" s="67">
        <f>IF(OR(R421=1,T421&lt;&gt;""),"",IF(COUNTIFS(ap_No,B421,ap_Party,D421)&gt;1,"Duplicate bill #",IF(N(L421)&lt;0,"Overpaid by "&amp;TEXT(-L421,"#,##0.00"),IF(AND(ISNUMBER(H421),N(H421)&lt;&gt;0,S421=0),"Tax ignored (tax tracking is off)",IF(AND(ISNUMBER(StartDate),C421&lt;StartDate),"Date is before the accounting start date",IF(OR(IFERROR(INDEX(coa_Type,MATCH(F421,coa_Name,0)),"")="Revenue",IFERROR(INDEX(coa_Type,MATCH(F421,coa_Name,0)),"")="Other Income",IFERROR(INDEX(coa_Type,MATCH(F421,coa_Name,0)),"")="Equity"),"Account is not an expense or asset account",""))))))</f>
        <v/>
      </c>
      <c r="V421" s="67">
        <f>IF(AND(R421=0,T421=""),1,0)</f>
        <v/>
      </c>
      <c r="W421" s="67">
        <f>IF(V421=1,F421,"")</f>
        <v/>
      </c>
      <c r="X421" s="67">
        <f>IF(V421=1,acctAP,"")</f>
        <v/>
      </c>
      <c r="Y421" s="68">
        <f>IF(V421=1,G421-S421,0)</f>
        <v/>
      </c>
      <c r="Z421" s="68">
        <f>IF(V421=1,G421,0)</f>
        <v/>
      </c>
      <c r="AA421" s="68">
        <f>IF(V421=1,S421,0)</f>
        <v/>
      </c>
    </row>
    <row r="422">
      <c r="B422" s="62" t="n"/>
      <c r="C422" s="63" t="n"/>
      <c r="D422" s="62" t="n"/>
      <c r="E422" s="62" t="n"/>
      <c r="F422" s="62" t="n"/>
      <c r="G422" s="64" t="n"/>
      <c r="H422" s="64" t="n"/>
      <c r="I422" s="63" t="n"/>
      <c r="J422" s="29">
        <f>IF(V422=1,IF(ISNUMBER(I422),I422,C422+IF(ISNUMBER(IFERROR(INDEX(vend_Terms,MATCH(D422,vend_Name,0)),"")),INDEX(vend_Terms,MATCH(D422,vend_Name,0)),TermsDays)),"")</f>
        <v/>
      </c>
      <c r="K422" s="65">
        <f>IF(V422=1,SUMIFS(tx_CrAmt,tx_Type,"Bill Payment",tx_Ref,B422&amp;"",tx_Vend,D422,tx_Date,"&lt;="&amp;AsOf),"")</f>
        <v/>
      </c>
      <c r="L422" s="65">
        <f>IF(V422=1,IF(C422&gt;AsOf,0,ROUND(G422-K422,2)),"")</f>
        <v/>
      </c>
      <c r="M422" s="66">
        <f>IF(V422&lt;&gt;1,"",IF(C422&gt;AsOf,"Future",IF(L422&lt;0,"Overpaid",IF(L422=0,"Paid",IF(AsOf&gt;J422,"Overdue",IF(K422&gt;0,"Partial","Unpaid"))))))</f>
        <v/>
      </c>
      <c r="N422" s="28">
        <f>IF(AND(V422=1,N(L422)&gt;0),AsOf-C422,"")</f>
        <v/>
      </c>
      <c r="O422" s="28">
        <f>IF(N422="","",MAX(0,AsOf-J422))</f>
        <v/>
      </c>
      <c r="P422" s="66">
        <f>IF(O422="","",IF(O422=0,"Current",IF(O422&lt;=30,"1-30",IF(O422&lt;=60,"31-60",IF(O422&lt;=90,"61-90","90+")))))</f>
        <v/>
      </c>
      <c r="Q422" s="66">
        <f>IF(T422&lt;&gt;"","⛔ "&amp;T422&amp;" — not posted",IF(U422&lt;&gt;"","⚠ "&amp;U422,IF(V422=1,"✓ OK","")))</f>
        <v/>
      </c>
      <c r="R422" s="67">
        <f>IF(AND(B422="",C422="",D422="",G422="",F422=""),1,0)</f>
        <v/>
      </c>
      <c r="S422" s="68">
        <f>IF(AND(TaxOn="Yes",ISNUMBER(H422)),H422,0)</f>
        <v/>
      </c>
      <c r="T422" s="67">
        <f>IF(R422=1,"",IF(B422="","Enter a bill #",IF(D422="","Select a vendor",IF(C422="","Missing bill date",IF(NOT(ISNUMBER(C422)),"Invalid date",IF(OR(C422&lt;DATE(2000,1,1),C422&gt;DATE(2099,12,31)),"Invalid date",IF(F422="","Select an expense account",IF(ISNA(MATCH(F422,coa_Name,0)),"Unknown account: "&amp;F422,IF(NOT(ISNUMBER(G422)),"Enter an amount",IF(G422&lt;=0,"Amount must be positive",IF(S422&gt;G422,"Tax is larger than the amount","")))))))))))</f>
        <v/>
      </c>
      <c r="U422" s="67">
        <f>IF(OR(R422=1,T422&lt;&gt;""),"",IF(COUNTIFS(ap_No,B422,ap_Party,D422)&gt;1,"Duplicate bill #",IF(N(L422)&lt;0,"Overpaid by "&amp;TEXT(-L422,"#,##0.00"),IF(AND(ISNUMBER(H422),N(H422)&lt;&gt;0,S422=0),"Tax ignored (tax tracking is off)",IF(AND(ISNUMBER(StartDate),C422&lt;StartDate),"Date is before the accounting start date",IF(OR(IFERROR(INDEX(coa_Type,MATCH(F422,coa_Name,0)),"")="Revenue",IFERROR(INDEX(coa_Type,MATCH(F422,coa_Name,0)),"")="Other Income",IFERROR(INDEX(coa_Type,MATCH(F422,coa_Name,0)),"")="Equity"),"Account is not an expense or asset account",""))))))</f>
        <v/>
      </c>
      <c r="V422" s="67">
        <f>IF(AND(R422=0,T422=""),1,0)</f>
        <v/>
      </c>
      <c r="W422" s="67">
        <f>IF(V422=1,F422,"")</f>
        <v/>
      </c>
      <c r="X422" s="67">
        <f>IF(V422=1,acctAP,"")</f>
        <v/>
      </c>
      <c r="Y422" s="68">
        <f>IF(V422=1,G422-S422,0)</f>
        <v/>
      </c>
      <c r="Z422" s="68">
        <f>IF(V422=1,G422,0)</f>
        <v/>
      </c>
      <c r="AA422" s="68">
        <f>IF(V422=1,S422,0)</f>
        <v/>
      </c>
    </row>
    <row r="423">
      <c r="B423" s="62" t="n"/>
      <c r="C423" s="63" t="n"/>
      <c r="D423" s="62" t="n"/>
      <c r="E423" s="62" t="n"/>
      <c r="F423" s="62" t="n"/>
      <c r="G423" s="64" t="n"/>
      <c r="H423" s="64" t="n"/>
      <c r="I423" s="63" t="n"/>
      <c r="J423" s="29">
        <f>IF(V423=1,IF(ISNUMBER(I423),I423,C423+IF(ISNUMBER(IFERROR(INDEX(vend_Terms,MATCH(D423,vend_Name,0)),"")),INDEX(vend_Terms,MATCH(D423,vend_Name,0)),TermsDays)),"")</f>
        <v/>
      </c>
      <c r="K423" s="65">
        <f>IF(V423=1,SUMIFS(tx_CrAmt,tx_Type,"Bill Payment",tx_Ref,B423&amp;"",tx_Vend,D423,tx_Date,"&lt;="&amp;AsOf),"")</f>
        <v/>
      </c>
      <c r="L423" s="65">
        <f>IF(V423=1,IF(C423&gt;AsOf,0,ROUND(G423-K423,2)),"")</f>
        <v/>
      </c>
      <c r="M423" s="66">
        <f>IF(V423&lt;&gt;1,"",IF(C423&gt;AsOf,"Future",IF(L423&lt;0,"Overpaid",IF(L423=0,"Paid",IF(AsOf&gt;J423,"Overdue",IF(K423&gt;0,"Partial","Unpaid"))))))</f>
        <v/>
      </c>
      <c r="N423" s="28">
        <f>IF(AND(V423=1,N(L423)&gt;0),AsOf-C423,"")</f>
        <v/>
      </c>
      <c r="O423" s="28">
        <f>IF(N423="","",MAX(0,AsOf-J423))</f>
        <v/>
      </c>
      <c r="P423" s="66">
        <f>IF(O423="","",IF(O423=0,"Current",IF(O423&lt;=30,"1-30",IF(O423&lt;=60,"31-60",IF(O423&lt;=90,"61-90","90+")))))</f>
        <v/>
      </c>
      <c r="Q423" s="66">
        <f>IF(T423&lt;&gt;"","⛔ "&amp;T423&amp;" — not posted",IF(U423&lt;&gt;"","⚠ "&amp;U423,IF(V423=1,"✓ OK","")))</f>
        <v/>
      </c>
      <c r="R423" s="67">
        <f>IF(AND(B423="",C423="",D423="",G423="",F423=""),1,0)</f>
        <v/>
      </c>
      <c r="S423" s="68">
        <f>IF(AND(TaxOn="Yes",ISNUMBER(H423)),H423,0)</f>
        <v/>
      </c>
      <c r="T423" s="67">
        <f>IF(R423=1,"",IF(B423="","Enter a bill #",IF(D423="","Select a vendor",IF(C423="","Missing bill date",IF(NOT(ISNUMBER(C423)),"Invalid date",IF(OR(C423&lt;DATE(2000,1,1),C423&gt;DATE(2099,12,31)),"Invalid date",IF(F423="","Select an expense account",IF(ISNA(MATCH(F423,coa_Name,0)),"Unknown account: "&amp;F423,IF(NOT(ISNUMBER(G423)),"Enter an amount",IF(G423&lt;=0,"Amount must be positive",IF(S423&gt;G423,"Tax is larger than the amount","")))))))))))</f>
        <v/>
      </c>
      <c r="U423" s="67">
        <f>IF(OR(R423=1,T423&lt;&gt;""),"",IF(COUNTIFS(ap_No,B423,ap_Party,D423)&gt;1,"Duplicate bill #",IF(N(L423)&lt;0,"Overpaid by "&amp;TEXT(-L423,"#,##0.00"),IF(AND(ISNUMBER(H423),N(H423)&lt;&gt;0,S423=0),"Tax ignored (tax tracking is off)",IF(AND(ISNUMBER(StartDate),C423&lt;StartDate),"Date is before the accounting start date",IF(OR(IFERROR(INDEX(coa_Type,MATCH(F423,coa_Name,0)),"")="Revenue",IFERROR(INDEX(coa_Type,MATCH(F423,coa_Name,0)),"")="Other Income",IFERROR(INDEX(coa_Type,MATCH(F423,coa_Name,0)),"")="Equity"),"Account is not an expense or asset account",""))))))</f>
        <v/>
      </c>
      <c r="V423" s="67">
        <f>IF(AND(R423=0,T423=""),1,0)</f>
        <v/>
      </c>
      <c r="W423" s="67">
        <f>IF(V423=1,F423,"")</f>
        <v/>
      </c>
      <c r="X423" s="67">
        <f>IF(V423=1,acctAP,"")</f>
        <v/>
      </c>
      <c r="Y423" s="68">
        <f>IF(V423=1,G423-S423,0)</f>
        <v/>
      </c>
      <c r="Z423" s="68">
        <f>IF(V423=1,G423,0)</f>
        <v/>
      </c>
      <c r="AA423" s="68">
        <f>IF(V423=1,S423,0)</f>
        <v/>
      </c>
    </row>
    <row r="424">
      <c r="B424" s="62" t="n"/>
      <c r="C424" s="63" t="n"/>
      <c r="D424" s="62" t="n"/>
      <c r="E424" s="62" t="n"/>
      <c r="F424" s="62" t="n"/>
      <c r="G424" s="64" t="n"/>
      <c r="H424" s="64" t="n"/>
      <c r="I424" s="63" t="n"/>
      <c r="J424" s="29">
        <f>IF(V424=1,IF(ISNUMBER(I424),I424,C424+IF(ISNUMBER(IFERROR(INDEX(vend_Terms,MATCH(D424,vend_Name,0)),"")),INDEX(vend_Terms,MATCH(D424,vend_Name,0)),TermsDays)),"")</f>
        <v/>
      </c>
      <c r="K424" s="65">
        <f>IF(V424=1,SUMIFS(tx_CrAmt,tx_Type,"Bill Payment",tx_Ref,B424&amp;"",tx_Vend,D424,tx_Date,"&lt;="&amp;AsOf),"")</f>
        <v/>
      </c>
      <c r="L424" s="65">
        <f>IF(V424=1,IF(C424&gt;AsOf,0,ROUND(G424-K424,2)),"")</f>
        <v/>
      </c>
      <c r="M424" s="66">
        <f>IF(V424&lt;&gt;1,"",IF(C424&gt;AsOf,"Future",IF(L424&lt;0,"Overpaid",IF(L424=0,"Paid",IF(AsOf&gt;J424,"Overdue",IF(K424&gt;0,"Partial","Unpaid"))))))</f>
        <v/>
      </c>
      <c r="N424" s="28">
        <f>IF(AND(V424=1,N(L424)&gt;0),AsOf-C424,"")</f>
        <v/>
      </c>
      <c r="O424" s="28">
        <f>IF(N424="","",MAX(0,AsOf-J424))</f>
        <v/>
      </c>
      <c r="P424" s="66">
        <f>IF(O424="","",IF(O424=0,"Current",IF(O424&lt;=30,"1-30",IF(O424&lt;=60,"31-60",IF(O424&lt;=90,"61-90","90+")))))</f>
        <v/>
      </c>
      <c r="Q424" s="66">
        <f>IF(T424&lt;&gt;"","⛔ "&amp;T424&amp;" — not posted",IF(U424&lt;&gt;"","⚠ "&amp;U424,IF(V424=1,"✓ OK","")))</f>
        <v/>
      </c>
      <c r="R424" s="67">
        <f>IF(AND(B424="",C424="",D424="",G424="",F424=""),1,0)</f>
        <v/>
      </c>
      <c r="S424" s="68">
        <f>IF(AND(TaxOn="Yes",ISNUMBER(H424)),H424,0)</f>
        <v/>
      </c>
      <c r="T424" s="67">
        <f>IF(R424=1,"",IF(B424="","Enter a bill #",IF(D424="","Select a vendor",IF(C424="","Missing bill date",IF(NOT(ISNUMBER(C424)),"Invalid date",IF(OR(C424&lt;DATE(2000,1,1),C424&gt;DATE(2099,12,31)),"Invalid date",IF(F424="","Select an expense account",IF(ISNA(MATCH(F424,coa_Name,0)),"Unknown account: "&amp;F424,IF(NOT(ISNUMBER(G424)),"Enter an amount",IF(G424&lt;=0,"Amount must be positive",IF(S424&gt;G424,"Tax is larger than the amount","")))))))))))</f>
        <v/>
      </c>
      <c r="U424" s="67">
        <f>IF(OR(R424=1,T424&lt;&gt;""),"",IF(COUNTIFS(ap_No,B424,ap_Party,D424)&gt;1,"Duplicate bill #",IF(N(L424)&lt;0,"Overpaid by "&amp;TEXT(-L424,"#,##0.00"),IF(AND(ISNUMBER(H424),N(H424)&lt;&gt;0,S424=0),"Tax ignored (tax tracking is off)",IF(AND(ISNUMBER(StartDate),C424&lt;StartDate),"Date is before the accounting start date",IF(OR(IFERROR(INDEX(coa_Type,MATCH(F424,coa_Name,0)),"")="Revenue",IFERROR(INDEX(coa_Type,MATCH(F424,coa_Name,0)),"")="Other Income",IFERROR(INDEX(coa_Type,MATCH(F424,coa_Name,0)),"")="Equity"),"Account is not an expense or asset account",""))))))</f>
        <v/>
      </c>
      <c r="V424" s="67">
        <f>IF(AND(R424=0,T424=""),1,0)</f>
        <v/>
      </c>
      <c r="W424" s="67">
        <f>IF(V424=1,F424,"")</f>
        <v/>
      </c>
      <c r="X424" s="67">
        <f>IF(V424=1,acctAP,"")</f>
        <v/>
      </c>
      <c r="Y424" s="68">
        <f>IF(V424=1,G424-S424,0)</f>
        <v/>
      </c>
      <c r="Z424" s="68">
        <f>IF(V424=1,G424,0)</f>
        <v/>
      </c>
      <c r="AA424" s="68">
        <f>IF(V424=1,S424,0)</f>
        <v/>
      </c>
    </row>
    <row r="425">
      <c r="B425" s="62" t="n"/>
      <c r="C425" s="63" t="n"/>
      <c r="D425" s="62" t="n"/>
      <c r="E425" s="62" t="n"/>
      <c r="F425" s="62" t="n"/>
      <c r="G425" s="64" t="n"/>
      <c r="H425" s="64" t="n"/>
      <c r="I425" s="63" t="n"/>
      <c r="J425" s="29">
        <f>IF(V425=1,IF(ISNUMBER(I425),I425,C425+IF(ISNUMBER(IFERROR(INDEX(vend_Terms,MATCH(D425,vend_Name,0)),"")),INDEX(vend_Terms,MATCH(D425,vend_Name,0)),TermsDays)),"")</f>
        <v/>
      </c>
      <c r="K425" s="65">
        <f>IF(V425=1,SUMIFS(tx_CrAmt,tx_Type,"Bill Payment",tx_Ref,B425&amp;"",tx_Vend,D425,tx_Date,"&lt;="&amp;AsOf),"")</f>
        <v/>
      </c>
      <c r="L425" s="65">
        <f>IF(V425=1,IF(C425&gt;AsOf,0,ROUND(G425-K425,2)),"")</f>
        <v/>
      </c>
      <c r="M425" s="66">
        <f>IF(V425&lt;&gt;1,"",IF(C425&gt;AsOf,"Future",IF(L425&lt;0,"Overpaid",IF(L425=0,"Paid",IF(AsOf&gt;J425,"Overdue",IF(K425&gt;0,"Partial","Unpaid"))))))</f>
        <v/>
      </c>
      <c r="N425" s="28">
        <f>IF(AND(V425=1,N(L425)&gt;0),AsOf-C425,"")</f>
        <v/>
      </c>
      <c r="O425" s="28">
        <f>IF(N425="","",MAX(0,AsOf-J425))</f>
        <v/>
      </c>
      <c r="P425" s="66">
        <f>IF(O425="","",IF(O425=0,"Current",IF(O425&lt;=30,"1-30",IF(O425&lt;=60,"31-60",IF(O425&lt;=90,"61-90","90+")))))</f>
        <v/>
      </c>
      <c r="Q425" s="66">
        <f>IF(T425&lt;&gt;"","⛔ "&amp;T425&amp;" — not posted",IF(U425&lt;&gt;"","⚠ "&amp;U425,IF(V425=1,"✓ OK","")))</f>
        <v/>
      </c>
      <c r="R425" s="67">
        <f>IF(AND(B425="",C425="",D425="",G425="",F425=""),1,0)</f>
        <v/>
      </c>
      <c r="S425" s="68">
        <f>IF(AND(TaxOn="Yes",ISNUMBER(H425)),H425,0)</f>
        <v/>
      </c>
      <c r="T425" s="67">
        <f>IF(R425=1,"",IF(B425="","Enter a bill #",IF(D425="","Select a vendor",IF(C425="","Missing bill date",IF(NOT(ISNUMBER(C425)),"Invalid date",IF(OR(C425&lt;DATE(2000,1,1),C425&gt;DATE(2099,12,31)),"Invalid date",IF(F425="","Select an expense account",IF(ISNA(MATCH(F425,coa_Name,0)),"Unknown account: "&amp;F425,IF(NOT(ISNUMBER(G425)),"Enter an amount",IF(G425&lt;=0,"Amount must be positive",IF(S425&gt;G425,"Tax is larger than the amount","")))))))))))</f>
        <v/>
      </c>
      <c r="U425" s="67">
        <f>IF(OR(R425=1,T425&lt;&gt;""),"",IF(COUNTIFS(ap_No,B425,ap_Party,D425)&gt;1,"Duplicate bill #",IF(N(L425)&lt;0,"Overpaid by "&amp;TEXT(-L425,"#,##0.00"),IF(AND(ISNUMBER(H425),N(H425)&lt;&gt;0,S425=0),"Tax ignored (tax tracking is off)",IF(AND(ISNUMBER(StartDate),C425&lt;StartDate),"Date is before the accounting start date",IF(OR(IFERROR(INDEX(coa_Type,MATCH(F425,coa_Name,0)),"")="Revenue",IFERROR(INDEX(coa_Type,MATCH(F425,coa_Name,0)),"")="Other Income",IFERROR(INDEX(coa_Type,MATCH(F425,coa_Name,0)),"")="Equity"),"Account is not an expense or asset account",""))))))</f>
        <v/>
      </c>
      <c r="V425" s="67">
        <f>IF(AND(R425=0,T425=""),1,0)</f>
        <v/>
      </c>
      <c r="W425" s="67">
        <f>IF(V425=1,F425,"")</f>
        <v/>
      </c>
      <c r="X425" s="67">
        <f>IF(V425=1,acctAP,"")</f>
        <v/>
      </c>
      <c r="Y425" s="68">
        <f>IF(V425=1,G425-S425,0)</f>
        <v/>
      </c>
      <c r="Z425" s="68">
        <f>IF(V425=1,G425,0)</f>
        <v/>
      </c>
      <c r="AA425" s="68">
        <f>IF(V425=1,S425,0)</f>
        <v/>
      </c>
    </row>
    <row r="426">
      <c r="B426" s="62" t="n"/>
      <c r="C426" s="63" t="n"/>
      <c r="D426" s="62" t="n"/>
      <c r="E426" s="62" t="n"/>
      <c r="F426" s="62" t="n"/>
      <c r="G426" s="64" t="n"/>
      <c r="H426" s="64" t="n"/>
      <c r="I426" s="63" t="n"/>
      <c r="J426" s="29">
        <f>IF(V426=1,IF(ISNUMBER(I426),I426,C426+IF(ISNUMBER(IFERROR(INDEX(vend_Terms,MATCH(D426,vend_Name,0)),"")),INDEX(vend_Terms,MATCH(D426,vend_Name,0)),TermsDays)),"")</f>
        <v/>
      </c>
      <c r="K426" s="65">
        <f>IF(V426=1,SUMIFS(tx_CrAmt,tx_Type,"Bill Payment",tx_Ref,B426&amp;"",tx_Vend,D426,tx_Date,"&lt;="&amp;AsOf),"")</f>
        <v/>
      </c>
      <c r="L426" s="65">
        <f>IF(V426=1,IF(C426&gt;AsOf,0,ROUND(G426-K426,2)),"")</f>
        <v/>
      </c>
      <c r="M426" s="66">
        <f>IF(V426&lt;&gt;1,"",IF(C426&gt;AsOf,"Future",IF(L426&lt;0,"Overpaid",IF(L426=0,"Paid",IF(AsOf&gt;J426,"Overdue",IF(K426&gt;0,"Partial","Unpaid"))))))</f>
        <v/>
      </c>
      <c r="N426" s="28">
        <f>IF(AND(V426=1,N(L426)&gt;0),AsOf-C426,"")</f>
        <v/>
      </c>
      <c r="O426" s="28">
        <f>IF(N426="","",MAX(0,AsOf-J426))</f>
        <v/>
      </c>
      <c r="P426" s="66">
        <f>IF(O426="","",IF(O426=0,"Current",IF(O426&lt;=30,"1-30",IF(O426&lt;=60,"31-60",IF(O426&lt;=90,"61-90","90+")))))</f>
        <v/>
      </c>
      <c r="Q426" s="66">
        <f>IF(T426&lt;&gt;"","⛔ "&amp;T426&amp;" — not posted",IF(U426&lt;&gt;"","⚠ "&amp;U426,IF(V426=1,"✓ OK","")))</f>
        <v/>
      </c>
      <c r="R426" s="67">
        <f>IF(AND(B426="",C426="",D426="",G426="",F426=""),1,0)</f>
        <v/>
      </c>
      <c r="S426" s="68">
        <f>IF(AND(TaxOn="Yes",ISNUMBER(H426)),H426,0)</f>
        <v/>
      </c>
      <c r="T426" s="67">
        <f>IF(R426=1,"",IF(B426="","Enter a bill #",IF(D426="","Select a vendor",IF(C426="","Missing bill date",IF(NOT(ISNUMBER(C426)),"Invalid date",IF(OR(C426&lt;DATE(2000,1,1),C426&gt;DATE(2099,12,31)),"Invalid date",IF(F426="","Select an expense account",IF(ISNA(MATCH(F426,coa_Name,0)),"Unknown account: "&amp;F426,IF(NOT(ISNUMBER(G426)),"Enter an amount",IF(G426&lt;=0,"Amount must be positive",IF(S426&gt;G426,"Tax is larger than the amount","")))))))))))</f>
        <v/>
      </c>
      <c r="U426" s="67">
        <f>IF(OR(R426=1,T426&lt;&gt;""),"",IF(COUNTIFS(ap_No,B426,ap_Party,D426)&gt;1,"Duplicate bill #",IF(N(L426)&lt;0,"Overpaid by "&amp;TEXT(-L426,"#,##0.00"),IF(AND(ISNUMBER(H426),N(H426)&lt;&gt;0,S426=0),"Tax ignored (tax tracking is off)",IF(AND(ISNUMBER(StartDate),C426&lt;StartDate),"Date is before the accounting start date",IF(OR(IFERROR(INDEX(coa_Type,MATCH(F426,coa_Name,0)),"")="Revenue",IFERROR(INDEX(coa_Type,MATCH(F426,coa_Name,0)),"")="Other Income",IFERROR(INDEX(coa_Type,MATCH(F426,coa_Name,0)),"")="Equity"),"Account is not an expense or asset account",""))))))</f>
        <v/>
      </c>
      <c r="V426" s="67">
        <f>IF(AND(R426=0,T426=""),1,0)</f>
        <v/>
      </c>
      <c r="W426" s="67">
        <f>IF(V426=1,F426,"")</f>
        <v/>
      </c>
      <c r="X426" s="67">
        <f>IF(V426=1,acctAP,"")</f>
        <v/>
      </c>
      <c r="Y426" s="68">
        <f>IF(V426=1,G426-S426,0)</f>
        <v/>
      </c>
      <c r="Z426" s="68">
        <f>IF(V426=1,G426,0)</f>
        <v/>
      </c>
      <c r="AA426" s="68">
        <f>IF(V426=1,S426,0)</f>
        <v/>
      </c>
    </row>
    <row r="427">
      <c r="B427" s="62" t="n"/>
      <c r="C427" s="63" t="n"/>
      <c r="D427" s="62" t="n"/>
      <c r="E427" s="62" t="n"/>
      <c r="F427" s="62" t="n"/>
      <c r="G427" s="64" t="n"/>
      <c r="H427" s="64" t="n"/>
      <c r="I427" s="63" t="n"/>
      <c r="J427" s="29">
        <f>IF(V427=1,IF(ISNUMBER(I427),I427,C427+IF(ISNUMBER(IFERROR(INDEX(vend_Terms,MATCH(D427,vend_Name,0)),"")),INDEX(vend_Terms,MATCH(D427,vend_Name,0)),TermsDays)),"")</f>
        <v/>
      </c>
      <c r="K427" s="65">
        <f>IF(V427=1,SUMIFS(tx_CrAmt,tx_Type,"Bill Payment",tx_Ref,B427&amp;"",tx_Vend,D427,tx_Date,"&lt;="&amp;AsOf),"")</f>
        <v/>
      </c>
      <c r="L427" s="65">
        <f>IF(V427=1,IF(C427&gt;AsOf,0,ROUND(G427-K427,2)),"")</f>
        <v/>
      </c>
      <c r="M427" s="66">
        <f>IF(V427&lt;&gt;1,"",IF(C427&gt;AsOf,"Future",IF(L427&lt;0,"Overpaid",IF(L427=0,"Paid",IF(AsOf&gt;J427,"Overdue",IF(K427&gt;0,"Partial","Unpaid"))))))</f>
        <v/>
      </c>
      <c r="N427" s="28">
        <f>IF(AND(V427=1,N(L427)&gt;0),AsOf-C427,"")</f>
        <v/>
      </c>
      <c r="O427" s="28">
        <f>IF(N427="","",MAX(0,AsOf-J427))</f>
        <v/>
      </c>
      <c r="P427" s="66">
        <f>IF(O427="","",IF(O427=0,"Current",IF(O427&lt;=30,"1-30",IF(O427&lt;=60,"31-60",IF(O427&lt;=90,"61-90","90+")))))</f>
        <v/>
      </c>
      <c r="Q427" s="66">
        <f>IF(T427&lt;&gt;"","⛔ "&amp;T427&amp;" — not posted",IF(U427&lt;&gt;"","⚠ "&amp;U427,IF(V427=1,"✓ OK","")))</f>
        <v/>
      </c>
      <c r="R427" s="67">
        <f>IF(AND(B427="",C427="",D427="",G427="",F427=""),1,0)</f>
        <v/>
      </c>
      <c r="S427" s="68">
        <f>IF(AND(TaxOn="Yes",ISNUMBER(H427)),H427,0)</f>
        <v/>
      </c>
      <c r="T427" s="67">
        <f>IF(R427=1,"",IF(B427="","Enter a bill #",IF(D427="","Select a vendor",IF(C427="","Missing bill date",IF(NOT(ISNUMBER(C427)),"Invalid date",IF(OR(C427&lt;DATE(2000,1,1),C427&gt;DATE(2099,12,31)),"Invalid date",IF(F427="","Select an expense account",IF(ISNA(MATCH(F427,coa_Name,0)),"Unknown account: "&amp;F427,IF(NOT(ISNUMBER(G427)),"Enter an amount",IF(G427&lt;=0,"Amount must be positive",IF(S427&gt;G427,"Tax is larger than the amount","")))))))))))</f>
        <v/>
      </c>
      <c r="U427" s="67">
        <f>IF(OR(R427=1,T427&lt;&gt;""),"",IF(COUNTIFS(ap_No,B427,ap_Party,D427)&gt;1,"Duplicate bill #",IF(N(L427)&lt;0,"Overpaid by "&amp;TEXT(-L427,"#,##0.00"),IF(AND(ISNUMBER(H427),N(H427)&lt;&gt;0,S427=0),"Tax ignored (tax tracking is off)",IF(AND(ISNUMBER(StartDate),C427&lt;StartDate),"Date is before the accounting start date",IF(OR(IFERROR(INDEX(coa_Type,MATCH(F427,coa_Name,0)),"")="Revenue",IFERROR(INDEX(coa_Type,MATCH(F427,coa_Name,0)),"")="Other Income",IFERROR(INDEX(coa_Type,MATCH(F427,coa_Name,0)),"")="Equity"),"Account is not an expense or asset account",""))))))</f>
        <v/>
      </c>
      <c r="V427" s="67">
        <f>IF(AND(R427=0,T427=""),1,0)</f>
        <v/>
      </c>
      <c r="W427" s="67">
        <f>IF(V427=1,F427,"")</f>
        <v/>
      </c>
      <c r="X427" s="67">
        <f>IF(V427=1,acctAP,"")</f>
        <v/>
      </c>
      <c r="Y427" s="68">
        <f>IF(V427=1,G427-S427,0)</f>
        <v/>
      </c>
      <c r="Z427" s="68">
        <f>IF(V427=1,G427,0)</f>
        <v/>
      </c>
      <c r="AA427" s="68">
        <f>IF(V427=1,S427,0)</f>
        <v/>
      </c>
    </row>
    <row r="428">
      <c r="B428" s="62" t="n"/>
      <c r="C428" s="63" t="n"/>
      <c r="D428" s="62" t="n"/>
      <c r="E428" s="62" t="n"/>
      <c r="F428" s="62" t="n"/>
      <c r="G428" s="64" t="n"/>
      <c r="H428" s="64" t="n"/>
      <c r="I428" s="63" t="n"/>
      <c r="J428" s="29">
        <f>IF(V428=1,IF(ISNUMBER(I428),I428,C428+IF(ISNUMBER(IFERROR(INDEX(vend_Terms,MATCH(D428,vend_Name,0)),"")),INDEX(vend_Terms,MATCH(D428,vend_Name,0)),TermsDays)),"")</f>
        <v/>
      </c>
      <c r="K428" s="65">
        <f>IF(V428=1,SUMIFS(tx_CrAmt,tx_Type,"Bill Payment",tx_Ref,B428&amp;"",tx_Vend,D428,tx_Date,"&lt;="&amp;AsOf),"")</f>
        <v/>
      </c>
      <c r="L428" s="65">
        <f>IF(V428=1,IF(C428&gt;AsOf,0,ROUND(G428-K428,2)),"")</f>
        <v/>
      </c>
      <c r="M428" s="66">
        <f>IF(V428&lt;&gt;1,"",IF(C428&gt;AsOf,"Future",IF(L428&lt;0,"Overpaid",IF(L428=0,"Paid",IF(AsOf&gt;J428,"Overdue",IF(K428&gt;0,"Partial","Unpaid"))))))</f>
        <v/>
      </c>
      <c r="N428" s="28">
        <f>IF(AND(V428=1,N(L428)&gt;0),AsOf-C428,"")</f>
        <v/>
      </c>
      <c r="O428" s="28">
        <f>IF(N428="","",MAX(0,AsOf-J428))</f>
        <v/>
      </c>
      <c r="P428" s="66">
        <f>IF(O428="","",IF(O428=0,"Current",IF(O428&lt;=30,"1-30",IF(O428&lt;=60,"31-60",IF(O428&lt;=90,"61-90","90+")))))</f>
        <v/>
      </c>
      <c r="Q428" s="66">
        <f>IF(T428&lt;&gt;"","⛔ "&amp;T428&amp;" — not posted",IF(U428&lt;&gt;"","⚠ "&amp;U428,IF(V428=1,"✓ OK","")))</f>
        <v/>
      </c>
      <c r="R428" s="67">
        <f>IF(AND(B428="",C428="",D428="",G428="",F428=""),1,0)</f>
        <v/>
      </c>
      <c r="S428" s="68">
        <f>IF(AND(TaxOn="Yes",ISNUMBER(H428)),H428,0)</f>
        <v/>
      </c>
      <c r="T428" s="67">
        <f>IF(R428=1,"",IF(B428="","Enter a bill #",IF(D428="","Select a vendor",IF(C428="","Missing bill date",IF(NOT(ISNUMBER(C428)),"Invalid date",IF(OR(C428&lt;DATE(2000,1,1),C428&gt;DATE(2099,12,31)),"Invalid date",IF(F428="","Select an expense account",IF(ISNA(MATCH(F428,coa_Name,0)),"Unknown account: "&amp;F428,IF(NOT(ISNUMBER(G428)),"Enter an amount",IF(G428&lt;=0,"Amount must be positive",IF(S428&gt;G428,"Tax is larger than the amount","")))))))))))</f>
        <v/>
      </c>
      <c r="U428" s="67">
        <f>IF(OR(R428=1,T428&lt;&gt;""),"",IF(COUNTIFS(ap_No,B428,ap_Party,D428)&gt;1,"Duplicate bill #",IF(N(L428)&lt;0,"Overpaid by "&amp;TEXT(-L428,"#,##0.00"),IF(AND(ISNUMBER(H428),N(H428)&lt;&gt;0,S428=0),"Tax ignored (tax tracking is off)",IF(AND(ISNUMBER(StartDate),C428&lt;StartDate),"Date is before the accounting start date",IF(OR(IFERROR(INDEX(coa_Type,MATCH(F428,coa_Name,0)),"")="Revenue",IFERROR(INDEX(coa_Type,MATCH(F428,coa_Name,0)),"")="Other Income",IFERROR(INDEX(coa_Type,MATCH(F428,coa_Name,0)),"")="Equity"),"Account is not an expense or asset account",""))))))</f>
        <v/>
      </c>
      <c r="V428" s="67">
        <f>IF(AND(R428=0,T428=""),1,0)</f>
        <v/>
      </c>
      <c r="W428" s="67">
        <f>IF(V428=1,F428,"")</f>
        <v/>
      </c>
      <c r="X428" s="67">
        <f>IF(V428=1,acctAP,"")</f>
        <v/>
      </c>
      <c r="Y428" s="68">
        <f>IF(V428=1,G428-S428,0)</f>
        <v/>
      </c>
      <c r="Z428" s="68">
        <f>IF(V428=1,G428,0)</f>
        <v/>
      </c>
      <c r="AA428" s="68">
        <f>IF(V428=1,S428,0)</f>
        <v/>
      </c>
    </row>
    <row r="429">
      <c r="B429" s="62" t="n"/>
      <c r="C429" s="63" t="n"/>
      <c r="D429" s="62" t="n"/>
      <c r="E429" s="62" t="n"/>
      <c r="F429" s="62" t="n"/>
      <c r="G429" s="64" t="n"/>
      <c r="H429" s="64" t="n"/>
      <c r="I429" s="63" t="n"/>
      <c r="J429" s="29">
        <f>IF(V429=1,IF(ISNUMBER(I429),I429,C429+IF(ISNUMBER(IFERROR(INDEX(vend_Terms,MATCH(D429,vend_Name,0)),"")),INDEX(vend_Terms,MATCH(D429,vend_Name,0)),TermsDays)),"")</f>
        <v/>
      </c>
      <c r="K429" s="65">
        <f>IF(V429=1,SUMIFS(tx_CrAmt,tx_Type,"Bill Payment",tx_Ref,B429&amp;"",tx_Vend,D429,tx_Date,"&lt;="&amp;AsOf),"")</f>
        <v/>
      </c>
      <c r="L429" s="65">
        <f>IF(V429=1,IF(C429&gt;AsOf,0,ROUND(G429-K429,2)),"")</f>
        <v/>
      </c>
      <c r="M429" s="66">
        <f>IF(V429&lt;&gt;1,"",IF(C429&gt;AsOf,"Future",IF(L429&lt;0,"Overpaid",IF(L429=0,"Paid",IF(AsOf&gt;J429,"Overdue",IF(K429&gt;0,"Partial","Unpaid"))))))</f>
        <v/>
      </c>
      <c r="N429" s="28">
        <f>IF(AND(V429=1,N(L429)&gt;0),AsOf-C429,"")</f>
        <v/>
      </c>
      <c r="O429" s="28">
        <f>IF(N429="","",MAX(0,AsOf-J429))</f>
        <v/>
      </c>
      <c r="P429" s="66">
        <f>IF(O429="","",IF(O429=0,"Current",IF(O429&lt;=30,"1-30",IF(O429&lt;=60,"31-60",IF(O429&lt;=90,"61-90","90+")))))</f>
        <v/>
      </c>
      <c r="Q429" s="66">
        <f>IF(T429&lt;&gt;"","⛔ "&amp;T429&amp;" — not posted",IF(U429&lt;&gt;"","⚠ "&amp;U429,IF(V429=1,"✓ OK","")))</f>
        <v/>
      </c>
      <c r="R429" s="67">
        <f>IF(AND(B429="",C429="",D429="",G429="",F429=""),1,0)</f>
        <v/>
      </c>
      <c r="S429" s="68">
        <f>IF(AND(TaxOn="Yes",ISNUMBER(H429)),H429,0)</f>
        <v/>
      </c>
      <c r="T429" s="67">
        <f>IF(R429=1,"",IF(B429="","Enter a bill #",IF(D429="","Select a vendor",IF(C429="","Missing bill date",IF(NOT(ISNUMBER(C429)),"Invalid date",IF(OR(C429&lt;DATE(2000,1,1),C429&gt;DATE(2099,12,31)),"Invalid date",IF(F429="","Select an expense account",IF(ISNA(MATCH(F429,coa_Name,0)),"Unknown account: "&amp;F429,IF(NOT(ISNUMBER(G429)),"Enter an amount",IF(G429&lt;=0,"Amount must be positive",IF(S429&gt;G429,"Tax is larger than the amount","")))))))))))</f>
        <v/>
      </c>
      <c r="U429" s="67">
        <f>IF(OR(R429=1,T429&lt;&gt;""),"",IF(COUNTIFS(ap_No,B429,ap_Party,D429)&gt;1,"Duplicate bill #",IF(N(L429)&lt;0,"Overpaid by "&amp;TEXT(-L429,"#,##0.00"),IF(AND(ISNUMBER(H429),N(H429)&lt;&gt;0,S429=0),"Tax ignored (tax tracking is off)",IF(AND(ISNUMBER(StartDate),C429&lt;StartDate),"Date is before the accounting start date",IF(OR(IFERROR(INDEX(coa_Type,MATCH(F429,coa_Name,0)),"")="Revenue",IFERROR(INDEX(coa_Type,MATCH(F429,coa_Name,0)),"")="Other Income",IFERROR(INDEX(coa_Type,MATCH(F429,coa_Name,0)),"")="Equity"),"Account is not an expense or asset account",""))))))</f>
        <v/>
      </c>
      <c r="V429" s="67">
        <f>IF(AND(R429=0,T429=""),1,0)</f>
        <v/>
      </c>
      <c r="W429" s="67">
        <f>IF(V429=1,F429,"")</f>
        <v/>
      </c>
      <c r="X429" s="67">
        <f>IF(V429=1,acctAP,"")</f>
        <v/>
      </c>
      <c r="Y429" s="68">
        <f>IF(V429=1,G429-S429,0)</f>
        <v/>
      </c>
      <c r="Z429" s="68">
        <f>IF(V429=1,G429,0)</f>
        <v/>
      </c>
      <c r="AA429" s="68">
        <f>IF(V429=1,S429,0)</f>
        <v/>
      </c>
    </row>
    <row r="430">
      <c r="B430" s="62" t="n"/>
      <c r="C430" s="63" t="n"/>
      <c r="D430" s="62" t="n"/>
      <c r="E430" s="62" t="n"/>
      <c r="F430" s="62" t="n"/>
      <c r="G430" s="64" t="n"/>
      <c r="H430" s="64" t="n"/>
      <c r="I430" s="63" t="n"/>
      <c r="J430" s="29">
        <f>IF(V430=1,IF(ISNUMBER(I430),I430,C430+IF(ISNUMBER(IFERROR(INDEX(vend_Terms,MATCH(D430,vend_Name,0)),"")),INDEX(vend_Terms,MATCH(D430,vend_Name,0)),TermsDays)),"")</f>
        <v/>
      </c>
      <c r="K430" s="65">
        <f>IF(V430=1,SUMIFS(tx_CrAmt,tx_Type,"Bill Payment",tx_Ref,B430&amp;"",tx_Vend,D430,tx_Date,"&lt;="&amp;AsOf),"")</f>
        <v/>
      </c>
      <c r="L430" s="65">
        <f>IF(V430=1,IF(C430&gt;AsOf,0,ROUND(G430-K430,2)),"")</f>
        <v/>
      </c>
      <c r="M430" s="66">
        <f>IF(V430&lt;&gt;1,"",IF(C430&gt;AsOf,"Future",IF(L430&lt;0,"Overpaid",IF(L430=0,"Paid",IF(AsOf&gt;J430,"Overdue",IF(K430&gt;0,"Partial","Unpaid"))))))</f>
        <v/>
      </c>
      <c r="N430" s="28">
        <f>IF(AND(V430=1,N(L430)&gt;0),AsOf-C430,"")</f>
        <v/>
      </c>
      <c r="O430" s="28">
        <f>IF(N430="","",MAX(0,AsOf-J430))</f>
        <v/>
      </c>
      <c r="P430" s="66">
        <f>IF(O430="","",IF(O430=0,"Current",IF(O430&lt;=30,"1-30",IF(O430&lt;=60,"31-60",IF(O430&lt;=90,"61-90","90+")))))</f>
        <v/>
      </c>
      <c r="Q430" s="66">
        <f>IF(T430&lt;&gt;"","⛔ "&amp;T430&amp;" — not posted",IF(U430&lt;&gt;"","⚠ "&amp;U430,IF(V430=1,"✓ OK","")))</f>
        <v/>
      </c>
      <c r="R430" s="67">
        <f>IF(AND(B430="",C430="",D430="",G430="",F430=""),1,0)</f>
        <v/>
      </c>
      <c r="S430" s="68">
        <f>IF(AND(TaxOn="Yes",ISNUMBER(H430)),H430,0)</f>
        <v/>
      </c>
      <c r="T430" s="67">
        <f>IF(R430=1,"",IF(B430="","Enter a bill #",IF(D430="","Select a vendor",IF(C430="","Missing bill date",IF(NOT(ISNUMBER(C430)),"Invalid date",IF(OR(C430&lt;DATE(2000,1,1),C430&gt;DATE(2099,12,31)),"Invalid date",IF(F430="","Select an expense account",IF(ISNA(MATCH(F430,coa_Name,0)),"Unknown account: "&amp;F430,IF(NOT(ISNUMBER(G430)),"Enter an amount",IF(G430&lt;=0,"Amount must be positive",IF(S430&gt;G430,"Tax is larger than the amount","")))))))))))</f>
        <v/>
      </c>
      <c r="U430" s="67">
        <f>IF(OR(R430=1,T430&lt;&gt;""),"",IF(COUNTIFS(ap_No,B430,ap_Party,D430)&gt;1,"Duplicate bill #",IF(N(L430)&lt;0,"Overpaid by "&amp;TEXT(-L430,"#,##0.00"),IF(AND(ISNUMBER(H430),N(H430)&lt;&gt;0,S430=0),"Tax ignored (tax tracking is off)",IF(AND(ISNUMBER(StartDate),C430&lt;StartDate),"Date is before the accounting start date",IF(OR(IFERROR(INDEX(coa_Type,MATCH(F430,coa_Name,0)),"")="Revenue",IFERROR(INDEX(coa_Type,MATCH(F430,coa_Name,0)),"")="Other Income",IFERROR(INDEX(coa_Type,MATCH(F430,coa_Name,0)),"")="Equity"),"Account is not an expense or asset account",""))))))</f>
        <v/>
      </c>
      <c r="V430" s="67">
        <f>IF(AND(R430=0,T430=""),1,0)</f>
        <v/>
      </c>
      <c r="W430" s="67">
        <f>IF(V430=1,F430,"")</f>
        <v/>
      </c>
      <c r="X430" s="67">
        <f>IF(V430=1,acctAP,"")</f>
        <v/>
      </c>
      <c r="Y430" s="68">
        <f>IF(V430=1,G430-S430,0)</f>
        <v/>
      </c>
      <c r="Z430" s="68">
        <f>IF(V430=1,G430,0)</f>
        <v/>
      </c>
      <c r="AA430" s="68">
        <f>IF(V430=1,S430,0)</f>
        <v/>
      </c>
    </row>
    <row r="431">
      <c r="B431" s="62" t="n"/>
      <c r="C431" s="63" t="n"/>
      <c r="D431" s="62" t="n"/>
      <c r="E431" s="62" t="n"/>
      <c r="F431" s="62" t="n"/>
      <c r="G431" s="64" t="n"/>
      <c r="H431" s="64" t="n"/>
      <c r="I431" s="63" t="n"/>
      <c r="J431" s="29">
        <f>IF(V431=1,IF(ISNUMBER(I431),I431,C431+IF(ISNUMBER(IFERROR(INDEX(vend_Terms,MATCH(D431,vend_Name,0)),"")),INDEX(vend_Terms,MATCH(D431,vend_Name,0)),TermsDays)),"")</f>
        <v/>
      </c>
      <c r="K431" s="65">
        <f>IF(V431=1,SUMIFS(tx_CrAmt,tx_Type,"Bill Payment",tx_Ref,B431&amp;"",tx_Vend,D431,tx_Date,"&lt;="&amp;AsOf),"")</f>
        <v/>
      </c>
      <c r="L431" s="65">
        <f>IF(V431=1,IF(C431&gt;AsOf,0,ROUND(G431-K431,2)),"")</f>
        <v/>
      </c>
      <c r="M431" s="66">
        <f>IF(V431&lt;&gt;1,"",IF(C431&gt;AsOf,"Future",IF(L431&lt;0,"Overpaid",IF(L431=0,"Paid",IF(AsOf&gt;J431,"Overdue",IF(K431&gt;0,"Partial","Unpaid"))))))</f>
        <v/>
      </c>
      <c r="N431" s="28">
        <f>IF(AND(V431=1,N(L431)&gt;0),AsOf-C431,"")</f>
        <v/>
      </c>
      <c r="O431" s="28">
        <f>IF(N431="","",MAX(0,AsOf-J431))</f>
        <v/>
      </c>
      <c r="P431" s="66">
        <f>IF(O431="","",IF(O431=0,"Current",IF(O431&lt;=30,"1-30",IF(O431&lt;=60,"31-60",IF(O431&lt;=90,"61-90","90+")))))</f>
        <v/>
      </c>
      <c r="Q431" s="66">
        <f>IF(T431&lt;&gt;"","⛔ "&amp;T431&amp;" — not posted",IF(U431&lt;&gt;"","⚠ "&amp;U431,IF(V431=1,"✓ OK","")))</f>
        <v/>
      </c>
      <c r="R431" s="67">
        <f>IF(AND(B431="",C431="",D431="",G431="",F431=""),1,0)</f>
        <v/>
      </c>
      <c r="S431" s="68">
        <f>IF(AND(TaxOn="Yes",ISNUMBER(H431)),H431,0)</f>
        <v/>
      </c>
      <c r="T431" s="67">
        <f>IF(R431=1,"",IF(B431="","Enter a bill #",IF(D431="","Select a vendor",IF(C431="","Missing bill date",IF(NOT(ISNUMBER(C431)),"Invalid date",IF(OR(C431&lt;DATE(2000,1,1),C431&gt;DATE(2099,12,31)),"Invalid date",IF(F431="","Select an expense account",IF(ISNA(MATCH(F431,coa_Name,0)),"Unknown account: "&amp;F431,IF(NOT(ISNUMBER(G431)),"Enter an amount",IF(G431&lt;=0,"Amount must be positive",IF(S431&gt;G431,"Tax is larger than the amount","")))))))))))</f>
        <v/>
      </c>
      <c r="U431" s="67">
        <f>IF(OR(R431=1,T431&lt;&gt;""),"",IF(COUNTIFS(ap_No,B431,ap_Party,D431)&gt;1,"Duplicate bill #",IF(N(L431)&lt;0,"Overpaid by "&amp;TEXT(-L431,"#,##0.00"),IF(AND(ISNUMBER(H431),N(H431)&lt;&gt;0,S431=0),"Tax ignored (tax tracking is off)",IF(AND(ISNUMBER(StartDate),C431&lt;StartDate),"Date is before the accounting start date",IF(OR(IFERROR(INDEX(coa_Type,MATCH(F431,coa_Name,0)),"")="Revenue",IFERROR(INDEX(coa_Type,MATCH(F431,coa_Name,0)),"")="Other Income",IFERROR(INDEX(coa_Type,MATCH(F431,coa_Name,0)),"")="Equity"),"Account is not an expense or asset account",""))))))</f>
        <v/>
      </c>
      <c r="V431" s="67">
        <f>IF(AND(R431=0,T431=""),1,0)</f>
        <v/>
      </c>
      <c r="W431" s="67">
        <f>IF(V431=1,F431,"")</f>
        <v/>
      </c>
      <c r="X431" s="67">
        <f>IF(V431=1,acctAP,"")</f>
        <v/>
      </c>
      <c r="Y431" s="68">
        <f>IF(V431=1,G431-S431,0)</f>
        <v/>
      </c>
      <c r="Z431" s="68">
        <f>IF(V431=1,G431,0)</f>
        <v/>
      </c>
      <c r="AA431" s="68">
        <f>IF(V431=1,S431,0)</f>
        <v/>
      </c>
    </row>
    <row r="432">
      <c r="B432" s="62" t="n"/>
      <c r="C432" s="63" t="n"/>
      <c r="D432" s="62" t="n"/>
      <c r="E432" s="62" t="n"/>
      <c r="F432" s="62" t="n"/>
      <c r="G432" s="64" t="n"/>
      <c r="H432" s="64" t="n"/>
      <c r="I432" s="63" t="n"/>
      <c r="J432" s="29">
        <f>IF(V432=1,IF(ISNUMBER(I432),I432,C432+IF(ISNUMBER(IFERROR(INDEX(vend_Terms,MATCH(D432,vend_Name,0)),"")),INDEX(vend_Terms,MATCH(D432,vend_Name,0)),TermsDays)),"")</f>
        <v/>
      </c>
      <c r="K432" s="65">
        <f>IF(V432=1,SUMIFS(tx_CrAmt,tx_Type,"Bill Payment",tx_Ref,B432&amp;"",tx_Vend,D432,tx_Date,"&lt;="&amp;AsOf),"")</f>
        <v/>
      </c>
      <c r="L432" s="65">
        <f>IF(V432=1,IF(C432&gt;AsOf,0,ROUND(G432-K432,2)),"")</f>
        <v/>
      </c>
      <c r="M432" s="66">
        <f>IF(V432&lt;&gt;1,"",IF(C432&gt;AsOf,"Future",IF(L432&lt;0,"Overpaid",IF(L432=0,"Paid",IF(AsOf&gt;J432,"Overdue",IF(K432&gt;0,"Partial","Unpaid"))))))</f>
        <v/>
      </c>
      <c r="N432" s="28">
        <f>IF(AND(V432=1,N(L432)&gt;0),AsOf-C432,"")</f>
        <v/>
      </c>
      <c r="O432" s="28">
        <f>IF(N432="","",MAX(0,AsOf-J432))</f>
        <v/>
      </c>
      <c r="P432" s="66">
        <f>IF(O432="","",IF(O432=0,"Current",IF(O432&lt;=30,"1-30",IF(O432&lt;=60,"31-60",IF(O432&lt;=90,"61-90","90+")))))</f>
        <v/>
      </c>
      <c r="Q432" s="66">
        <f>IF(T432&lt;&gt;"","⛔ "&amp;T432&amp;" — not posted",IF(U432&lt;&gt;"","⚠ "&amp;U432,IF(V432=1,"✓ OK","")))</f>
        <v/>
      </c>
      <c r="R432" s="67">
        <f>IF(AND(B432="",C432="",D432="",G432="",F432=""),1,0)</f>
        <v/>
      </c>
      <c r="S432" s="68">
        <f>IF(AND(TaxOn="Yes",ISNUMBER(H432)),H432,0)</f>
        <v/>
      </c>
      <c r="T432" s="67">
        <f>IF(R432=1,"",IF(B432="","Enter a bill #",IF(D432="","Select a vendor",IF(C432="","Missing bill date",IF(NOT(ISNUMBER(C432)),"Invalid date",IF(OR(C432&lt;DATE(2000,1,1),C432&gt;DATE(2099,12,31)),"Invalid date",IF(F432="","Select an expense account",IF(ISNA(MATCH(F432,coa_Name,0)),"Unknown account: "&amp;F432,IF(NOT(ISNUMBER(G432)),"Enter an amount",IF(G432&lt;=0,"Amount must be positive",IF(S432&gt;G432,"Tax is larger than the amount","")))))))))))</f>
        <v/>
      </c>
      <c r="U432" s="67">
        <f>IF(OR(R432=1,T432&lt;&gt;""),"",IF(COUNTIFS(ap_No,B432,ap_Party,D432)&gt;1,"Duplicate bill #",IF(N(L432)&lt;0,"Overpaid by "&amp;TEXT(-L432,"#,##0.00"),IF(AND(ISNUMBER(H432),N(H432)&lt;&gt;0,S432=0),"Tax ignored (tax tracking is off)",IF(AND(ISNUMBER(StartDate),C432&lt;StartDate),"Date is before the accounting start date",IF(OR(IFERROR(INDEX(coa_Type,MATCH(F432,coa_Name,0)),"")="Revenue",IFERROR(INDEX(coa_Type,MATCH(F432,coa_Name,0)),"")="Other Income",IFERROR(INDEX(coa_Type,MATCH(F432,coa_Name,0)),"")="Equity"),"Account is not an expense or asset account",""))))))</f>
        <v/>
      </c>
      <c r="V432" s="67">
        <f>IF(AND(R432=0,T432=""),1,0)</f>
        <v/>
      </c>
      <c r="W432" s="67">
        <f>IF(V432=1,F432,"")</f>
        <v/>
      </c>
      <c r="X432" s="67">
        <f>IF(V432=1,acctAP,"")</f>
        <v/>
      </c>
      <c r="Y432" s="68">
        <f>IF(V432=1,G432-S432,0)</f>
        <v/>
      </c>
      <c r="Z432" s="68">
        <f>IF(V432=1,G432,0)</f>
        <v/>
      </c>
      <c r="AA432" s="68">
        <f>IF(V432=1,S432,0)</f>
        <v/>
      </c>
    </row>
    <row r="433">
      <c r="B433" s="62" t="n"/>
      <c r="C433" s="63" t="n"/>
      <c r="D433" s="62" t="n"/>
      <c r="E433" s="62" t="n"/>
      <c r="F433" s="62" t="n"/>
      <c r="G433" s="64" t="n"/>
      <c r="H433" s="64" t="n"/>
      <c r="I433" s="63" t="n"/>
      <c r="J433" s="29">
        <f>IF(V433=1,IF(ISNUMBER(I433),I433,C433+IF(ISNUMBER(IFERROR(INDEX(vend_Terms,MATCH(D433,vend_Name,0)),"")),INDEX(vend_Terms,MATCH(D433,vend_Name,0)),TermsDays)),"")</f>
        <v/>
      </c>
      <c r="K433" s="65">
        <f>IF(V433=1,SUMIFS(tx_CrAmt,tx_Type,"Bill Payment",tx_Ref,B433&amp;"",tx_Vend,D433,tx_Date,"&lt;="&amp;AsOf),"")</f>
        <v/>
      </c>
      <c r="L433" s="65">
        <f>IF(V433=1,IF(C433&gt;AsOf,0,ROUND(G433-K433,2)),"")</f>
        <v/>
      </c>
      <c r="M433" s="66">
        <f>IF(V433&lt;&gt;1,"",IF(C433&gt;AsOf,"Future",IF(L433&lt;0,"Overpaid",IF(L433=0,"Paid",IF(AsOf&gt;J433,"Overdue",IF(K433&gt;0,"Partial","Unpaid"))))))</f>
        <v/>
      </c>
      <c r="N433" s="28">
        <f>IF(AND(V433=1,N(L433)&gt;0),AsOf-C433,"")</f>
        <v/>
      </c>
      <c r="O433" s="28">
        <f>IF(N433="","",MAX(0,AsOf-J433))</f>
        <v/>
      </c>
      <c r="P433" s="66">
        <f>IF(O433="","",IF(O433=0,"Current",IF(O433&lt;=30,"1-30",IF(O433&lt;=60,"31-60",IF(O433&lt;=90,"61-90","90+")))))</f>
        <v/>
      </c>
      <c r="Q433" s="66">
        <f>IF(T433&lt;&gt;"","⛔ "&amp;T433&amp;" — not posted",IF(U433&lt;&gt;"","⚠ "&amp;U433,IF(V433=1,"✓ OK","")))</f>
        <v/>
      </c>
      <c r="R433" s="67">
        <f>IF(AND(B433="",C433="",D433="",G433="",F433=""),1,0)</f>
        <v/>
      </c>
      <c r="S433" s="68">
        <f>IF(AND(TaxOn="Yes",ISNUMBER(H433)),H433,0)</f>
        <v/>
      </c>
      <c r="T433" s="67">
        <f>IF(R433=1,"",IF(B433="","Enter a bill #",IF(D433="","Select a vendor",IF(C433="","Missing bill date",IF(NOT(ISNUMBER(C433)),"Invalid date",IF(OR(C433&lt;DATE(2000,1,1),C433&gt;DATE(2099,12,31)),"Invalid date",IF(F433="","Select an expense account",IF(ISNA(MATCH(F433,coa_Name,0)),"Unknown account: "&amp;F433,IF(NOT(ISNUMBER(G433)),"Enter an amount",IF(G433&lt;=0,"Amount must be positive",IF(S433&gt;G433,"Tax is larger than the amount","")))))))))))</f>
        <v/>
      </c>
      <c r="U433" s="67">
        <f>IF(OR(R433=1,T433&lt;&gt;""),"",IF(COUNTIFS(ap_No,B433,ap_Party,D433)&gt;1,"Duplicate bill #",IF(N(L433)&lt;0,"Overpaid by "&amp;TEXT(-L433,"#,##0.00"),IF(AND(ISNUMBER(H433),N(H433)&lt;&gt;0,S433=0),"Tax ignored (tax tracking is off)",IF(AND(ISNUMBER(StartDate),C433&lt;StartDate),"Date is before the accounting start date",IF(OR(IFERROR(INDEX(coa_Type,MATCH(F433,coa_Name,0)),"")="Revenue",IFERROR(INDEX(coa_Type,MATCH(F433,coa_Name,0)),"")="Other Income",IFERROR(INDEX(coa_Type,MATCH(F433,coa_Name,0)),"")="Equity"),"Account is not an expense or asset account",""))))))</f>
        <v/>
      </c>
      <c r="V433" s="67">
        <f>IF(AND(R433=0,T433=""),1,0)</f>
        <v/>
      </c>
      <c r="W433" s="67">
        <f>IF(V433=1,F433,"")</f>
        <v/>
      </c>
      <c r="X433" s="67">
        <f>IF(V433=1,acctAP,"")</f>
        <v/>
      </c>
      <c r="Y433" s="68">
        <f>IF(V433=1,G433-S433,0)</f>
        <v/>
      </c>
      <c r="Z433" s="68">
        <f>IF(V433=1,G433,0)</f>
        <v/>
      </c>
      <c r="AA433" s="68">
        <f>IF(V433=1,S433,0)</f>
        <v/>
      </c>
    </row>
    <row r="434">
      <c r="B434" s="62" t="n"/>
      <c r="C434" s="63" t="n"/>
      <c r="D434" s="62" t="n"/>
      <c r="E434" s="62" t="n"/>
      <c r="F434" s="62" t="n"/>
      <c r="G434" s="64" t="n"/>
      <c r="H434" s="64" t="n"/>
      <c r="I434" s="63" t="n"/>
      <c r="J434" s="29">
        <f>IF(V434=1,IF(ISNUMBER(I434),I434,C434+IF(ISNUMBER(IFERROR(INDEX(vend_Terms,MATCH(D434,vend_Name,0)),"")),INDEX(vend_Terms,MATCH(D434,vend_Name,0)),TermsDays)),"")</f>
        <v/>
      </c>
      <c r="K434" s="65">
        <f>IF(V434=1,SUMIFS(tx_CrAmt,tx_Type,"Bill Payment",tx_Ref,B434&amp;"",tx_Vend,D434,tx_Date,"&lt;="&amp;AsOf),"")</f>
        <v/>
      </c>
      <c r="L434" s="65">
        <f>IF(V434=1,IF(C434&gt;AsOf,0,ROUND(G434-K434,2)),"")</f>
        <v/>
      </c>
      <c r="M434" s="66">
        <f>IF(V434&lt;&gt;1,"",IF(C434&gt;AsOf,"Future",IF(L434&lt;0,"Overpaid",IF(L434=0,"Paid",IF(AsOf&gt;J434,"Overdue",IF(K434&gt;0,"Partial","Unpaid"))))))</f>
        <v/>
      </c>
      <c r="N434" s="28">
        <f>IF(AND(V434=1,N(L434)&gt;0),AsOf-C434,"")</f>
        <v/>
      </c>
      <c r="O434" s="28">
        <f>IF(N434="","",MAX(0,AsOf-J434))</f>
        <v/>
      </c>
      <c r="P434" s="66">
        <f>IF(O434="","",IF(O434=0,"Current",IF(O434&lt;=30,"1-30",IF(O434&lt;=60,"31-60",IF(O434&lt;=90,"61-90","90+")))))</f>
        <v/>
      </c>
      <c r="Q434" s="66">
        <f>IF(T434&lt;&gt;"","⛔ "&amp;T434&amp;" — not posted",IF(U434&lt;&gt;"","⚠ "&amp;U434,IF(V434=1,"✓ OK","")))</f>
        <v/>
      </c>
      <c r="R434" s="67">
        <f>IF(AND(B434="",C434="",D434="",G434="",F434=""),1,0)</f>
        <v/>
      </c>
      <c r="S434" s="68">
        <f>IF(AND(TaxOn="Yes",ISNUMBER(H434)),H434,0)</f>
        <v/>
      </c>
      <c r="T434" s="67">
        <f>IF(R434=1,"",IF(B434="","Enter a bill #",IF(D434="","Select a vendor",IF(C434="","Missing bill date",IF(NOT(ISNUMBER(C434)),"Invalid date",IF(OR(C434&lt;DATE(2000,1,1),C434&gt;DATE(2099,12,31)),"Invalid date",IF(F434="","Select an expense account",IF(ISNA(MATCH(F434,coa_Name,0)),"Unknown account: "&amp;F434,IF(NOT(ISNUMBER(G434)),"Enter an amount",IF(G434&lt;=0,"Amount must be positive",IF(S434&gt;G434,"Tax is larger than the amount","")))))))))))</f>
        <v/>
      </c>
      <c r="U434" s="67">
        <f>IF(OR(R434=1,T434&lt;&gt;""),"",IF(COUNTIFS(ap_No,B434,ap_Party,D434)&gt;1,"Duplicate bill #",IF(N(L434)&lt;0,"Overpaid by "&amp;TEXT(-L434,"#,##0.00"),IF(AND(ISNUMBER(H434),N(H434)&lt;&gt;0,S434=0),"Tax ignored (tax tracking is off)",IF(AND(ISNUMBER(StartDate),C434&lt;StartDate),"Date is before the accounting start date",IF(OR(IFERROR(INDEX(coa_Type,MATCH(F434,coa_Name,0)),"")="Revenue",IFERROR(INDEX(coa_Type,MATCH(F434,coa_Name,0)),"")="Other Income",IFERROR(INDEX(coa_Type,MATCH(F434,coa_Name,0)),"")="Equity"),"Account is not an expense or asset account",""))))))</f>
        <v/>
      </c>
      <c r="V434" s="67">
        <f>IF(AND(R434=0,T434=""),1,0)</f>
        <v/>
      </c>
      <c r="W434" s="67">
        <f>IF(V434=1,F434,"")</f>
        <v/>
      </c>
      <c r="X434" s="67">
        <f>IF(V434=1,acctAP,"")</f>
        <v/>
      </c>
      <c r="Y434" s="68">
        <f>IF(V434=1,G434-S434,0)</f>
        <v/>
      </c>
      <c r="Z434" s="68">
        <f>IF(V434=1,G434,0)</f>
        <v/>
      </c>
      <c r="AA434" s="68">
        <f>IF(V434=1,S434,0)</f>
        <v/>
      </c>
    </row>
    <row r="435">
      <c r="B435" s="62" t="n"/>
      <c r="C435" s="63" t="n"/>
      <c r="D435" s="62" t="n"/>
      <c r="E435" s="62" t="n"/>
      <c r="F435" s="62" t="n"/>
      <c r="G435" s="64" t="n"/>
      <c r="H435" s="64" t="n"/>
      <c r="I435" s="63" t="n"/>
      <c r="J435" s="29">
        <f>IF(V435=1,IF(ISNUMBER(I435),I435,C435+IF(ISNUMBER(IFERROR(INDEX(vend_Terms,MATCH(D435,vend_Name,0)),"")),INDEX(vend_Terms,MATCH(D435,vend_Name,0)),TermsDays)),"")</f>
        <v/>
      </c>
      <c r="K435" s="65">
        <f>IF(V435=1,SUMIFS(tx_CrAmt,tx_Type,"Bill Payment",tx_Ref,B435&amp;"",tx_Vend,D435,tx_Date,"&lt;="&amp;AsOf),"")</f>
        <v/>
      </c>
      <c r="L435" s="65">
        <f>IF(V435=1,IF(C435&gt;AsOf,0,ROUND(G435-K435,2)),"")</f>
        <v/>
      </c>
      <c r="M435" s="66">
        <f>IF(V435&lt;&gt;1,"",IF(C435&gt;AsOf,"Future",IF(L435&lt;0,"Overpaid",IF(L435=0,"Paid",IF(AsOf&gt;J435,"Overdue",IF(K435&gt;0,"Partial","Unpaid"))))))</f>
        <v/>
      </c>
      <c r="N435" s="28">
        <f>IF(AND(V435=1,N(L435)&gt;0),AsOf-C435,"")</f>
        <v/>
      </c>
      <c r="O435" s="28">
        <f>IF(N435="","",MAX(0,AsOf-J435))</f>
        <v/>
      </c>
      <c r="P435" s="66">
        <f>IF(O435="","",IF(O435=0,"Current",IF(O435&lt;=30,"1-30",IF(O435&lt;=60,"31-60",IF(O435&lt;=90,"61-90","90+")))))</f>
        <v/>
      </c>
      <c r="Q435" s="66">
        <f>IF(T435&lt;&gt;"","⛔ "&amp;T435&amp;" — not posted",IF(U435&lt;&gt;"","⚠ "&amp;U435,IF(V435=1,"✓ OK","")))</f>
        <v/>
      </c>
      <c r="R435" s="67">
        <f>IF(AND(B435="",C435="",D435="",G435="",F435=""),1,0)</f>
        <v/>
      </c>
      <c r="S435" s="68">
        <f>IF(AND(TaxOn="Yes",ISNUMBER(H435)),H435,0)</f>
        <v/>
      </c>
      <c r="T435" s="67">
        <f>IF(R435=1,"",IF(B435="","Enter a bill #",IF(D435="","Select a vendor",IF(C435="","Missing bill date",IF(NOT(ISNUMBER(C435)),"Invalid date",IF(OR(C435&lt;DATE(2000,1,1),C435&gt;DATE(2099,12,31)),"Invalid date",IF(F435="","Select an expense account",IF(ISNA(MATCH(F435,coa_Name,0)),"Unknown account: "&amp;F435,IF(NOT(ISNUMBER(G435)),"Enter an amount",IF(G435&lt;=0,"Amount must be positive",IF(S435&gt;G435,"Tax is larger than the amount","")))))))))))</f>
        <v/>
      </c>
      <c r="U435" s="67">
        <f>IF(OR(R435=1,T435&lt;&gt;""),"",IF(COUNTIFS(ap_No,B435,ap_Party,D435)&gt;1,"Duplicate bill #",IF(N(L435)&lt;0,"Overpaid by "&amp;TEXT(-L435,"#,##0.00"),IF(AND(ISNUMBER(H435),N(H435)&lt;&gt;0,S435=0),"Tax ignored (tax tracking is off)",IF(AND(ISNUMBER(StartDate),C435&lt;StartDate),"Date is before the accounting start date",IF(OR(IFERROR(INDEX(coa_Type,MATCH(F435,coa_Name,0)),"")="Revenue",IFERROR(INDEX(coa_Type,MATCH(F435,coa_Name,0)),"")="Other Income",IFERROR(INDEX(coa_Type,MATCH(F435,coa_Name,0)),"")="Equity"),"Account is not an expense or asset account",""))))))</f>
        <v/>
      </c>
      <c r="V435" s="67">
        <f>IF(AND(R435=0,T435=""),1,0)</f>
        <v/>
      </c>
      <c r="W435" s="67">
        <f>IF(V435=1,F435,"")</f>
        <v/>
      </c>
      <c r="X435" s="67">
        <f>IF(V435=1,acctAP,"")</f>
        <v/>
      </c>
      <c r="Y435" s="68">
        <f>IF(V435=1,G435-S435,0)</f>
        <v/>
      </c>
      <c r="Z435" s="68">
        <f>IF(V435=1,G435,0)</f>
        <v/>
      </c>
      <c r="AA435" s="68">
        <f>IF(V435=1,S435,0)</f>
        <v/>
      </c>
    </row>
    <row r="436">
      <c r="B436" s="62" t="n"/>
      <c r="C436" s="63" t="n"/>
      <c r="D436" s="62" t="n"/>
      <c r="E436" s="62" t="n"/>
      <c r="F436" s="62" t="n"/>
      <c r="G436" s="64" t="n"/>
      <c r="H436" s="64" t="n"/>
      <c r="I436" s="63" t="n"/>
      <c r="J436" s="29">
        <f>IF(V436=1,IF(ISNUMBER(I436),I436,C436+IF(ISNUMBER(IFERROR(INDEX(vend_Terms,MATCH(D436,vend_Name,0)),"")),INDEX(vend_Terms,MATCH(D436,vend_Name,0)),TermsDays)),"")</f>
        <v/>
      </c>
      <c r="K436" s="65">
        <f>IF(V436=1,SUMIFS(tx_CrAmt,tx_Type,"Bill Payment",tx_Ref,B436&amp;"",tx_Vend,D436,tx_Date,"&lt;="&amp;AsOf),"")</f>
        <v/>
      </c>
      <c r="L436" s="65">
        <f>IF(V436=1,IF(C436&gt;AsOf,0,ROUND(G436-K436,2)),"")</f>
        <v/>
      </c>
      <c r="M436" s="66">
        <f>IF(V436&lt;&gt;1,"",IF(C436&gt;AsOf,"Future",IF(L436&lt;0,"Overpaid",IF(L436=0,"Paid",IF(AsOf&gt;J436,"Overdue",IF(K436&gt;0,"Partial","Unpaid"))))))</f>
        <v/>
      </c>
      <c r="N436" s="28">
        <f>IF(AND(V436=1,N(L436)&gt;0),AsOf-C436,"")</f>
        <v/>
      </c>
      <c r="O436" s="28">
        <f>IF(N436="","",MAX(0,AsOf-J436))</f>
        <v/>
      </c>
      <c r="P436" s="66">
        <f>IF(O436="","",IF(O436=0,"Current",IF(O436&lt;=30,"1-30",IF(O436&lt;=60,"31-60",IF(O436&lt;=90,"61-90","90+")))))</f>
        <v/>
      </c>
      <c r="Q436" s="66">
        <f>IF(T436&lt;&gt;"","⛔ "&amp;T436&amp;" — not posted",IF(U436&lt;&gt;"","⚠ "&amp;U436,IF(V436=1,"✓ OK","")))</f>
        <v/>
      </c>
      <c r="R436" s="67">
        <f>IF(AND(B436="",C436="",D436="",G436="",F436=""),1,0)</f>
        <v/>
      </c>
      <c r="S436" s="68">
        <f>IF(AND(TaxOn="Yes",ISNUMBER(H436)),H436,0)</f>
        <v/>
      </c>
      <c r="T436" s="67">
        <f>IF(R436=1,"",IF(B436="","Enter a bill #",IF(D436="","Select a vendor",IF(C436="","Missing bill date",IF(NOT(ISNUMBER(C436)),"Invalid date",IF(OR(C436&lt;DATE(2000,1,1),C436&gt;DATE(2099,12,31)),"Invalid date",IF(F436="","Select an expense account",IF(ISNA(MATCH(F436,coa_Name,0)),"Unknown account: "&amp;F436,IF(NOT(ISNUMBER(G436)),"Enter an amount",IF(G436&lt;=0,"Amount must be positive",IF(S436&gt;G436,"Tax is larger than the amount","")))))))))))</f>
        <v/>
      </c>
      <c r="U436" s="67">
        <f>IF(OR(R436=1,T436&lt;&gt;""),"",IF(COUNTIFS(ap_No,B436,ap_Party,D436)&gt;1,"Duplicate bill #",IF(N(L436)&lt;0,"Overpaid by "&amp;TEXT(-L436,"#,##0.00"),IF(AND(ISNUMBER(H436),N(H436)&lt;&gt;0,S436=0),"Tax ignored (tax tracking is off)",IF(AND(ISNUMBER(StartDate),C436&lt;StartDate),"Date is before the accounting start date",IF(OR(IFERROR(INDEX(coa_Type,MATCH(F436,coa_Name,0)),"")="Revenue",IFERROR(INDEX(coa_Type,MATCH(F436,coa_Name,0)),"")="Other Income",IFERROR(INDEX(coa_Type,MATCH(F436,coa_Name,0)),"")="Equity"),"Account is not an expense or asset account",""))))))</f>
        <v/>
      </c>
      <c r="V436" s="67">
        <f>IF(AND(R436=0,T436=""),1,0)</f>
        <v/>
      </c>
      <c r="W436" s="67">
        <f>IF(V436=1,F436,"")</f>
        <v/>
      </c>
      <c r="X436" s="67">
        <f>IF(V436=1,acctAP,"")</f>
        <v/>
      </c>
      <c r="Y436" s="68">
        <f>IF(V436=1,G436-S436,0)</f>
        <v/>
      </c>
      <c r="Z436" s="68">
        <f>IF(V436=1,G436,0)</f>
        <v/>
      </c>
      <c r="AA436" s="68">
        <f>IF(V436=1,S436,0)</f>
        <v/>
      </c>
    </row>
    <row r="437">
      <c r="B437" s="62" t="n"/>
      <c r="C437" s="63" t="n"/>
      <c r="D437" s="62" t="n"/>
      <c r="E437" s="62" t="n"/>
      <c r="F437" s="62" t="n"/>
      <c r="G437" s="64" t="n"/>
      <c r="H437" s="64" t="n"/>
      <c r="I437" s="63" t="n"/>
      <c r="J437" s="29">
        <f>IF(V437=1,IF(ISNUMBER(I437),I437,C437+IF(ISNUMBER(IFERROR(INDEX(vend_Terms,MATCH(D437,vend_Name,0)),"")),INDEX(vend_Terms,MATCH(D437,vend_Name,0)),TermsDays)),"")</f>
        <v/>
      </c>
      <c r="K437" s="65">
        <f>IF(V437=1,SUMIFS(tx_CrAmt,tx_Type,"Bill Payment",tx_Ref,B437&amp;"",tx_Vend,D437,tx_Date,"&lt;="&amp;AsOf),"")</f>
        <v/>
      </c>
      <c r="L437" s="65">
        <f>IF(V437=1,IF(C437&gt;AsOf,0,ROUND(G437-K437,2)),"")</f>
        <v/>
      </c>
      <c r="M437" s="66">
        <f>IF(V437&lt;&gt;1,"",IF(C437&gt;AsOf,"Future",IF(L437&lt;0,"Overpaid",IF(L437=0,"Paid",IF(AsOf&gt;J437,"Overdue",IF(K437&gt;0,"Partial","Unpaid"))))))</f>
        <v/>
      </c>
      <c r="N437" s="28">
        <f>IF(AND(V437=1,N(L437)&gt;0),AsOf-C437,"")</f>
        <v/>
      </c>
      <c r="O437" s="28">
        <f>IF(N437="","",MAX(0,AsOf-J437))</f>
        <v/>
      </c>
      <c r="P437" s="66">
        <f>IF(O437="","",IF(O437=0,"Current",IF(O437&lt;=30,"1-30",IF(O437&lt;=60,"31-60",IF(O437&lt;=90,"61-90","90+")))))</f>
        <v/>
      </c>
      <c r="Q437" s="66">
        <f>IF(T437&lt;&gt;"","⛔ "&amp;T437&amp;" — not posted",IF(U437&lt;&gt;"","⚠ "&amp;U437,IF(V437=1,"✓ OK","")))</f>
        <v/>
      </c>
      <c r="R437" s="67">
        <f>IF(AND(B437="",C437="",D437="",G437="",F437=""),1,0)</f>
        <v/>
      </c>
      <c r="S437" s="68">
        <f>IF(AND(TaxOn="Yes",ISNUMBER(H437)),H437,0)</f>
        <v/>
      </c>
      <c r="T437" s="67">
        <f>IF(R437=1,"",IF(B437="","Enter a bill #",IF(D437="","Select a vendor",IF(C437="","Missing bill date",IF(NOT(ISNUMBER(C437)),"Invalid date",IF(OR(C437&lt;DATE(2000,1,1),C437&gt;DATE(2099,12,31)),"Invalid date",IF(F437="","Select an expense account",IF(ISNA(MATCH(F437,coa_Name,0)),"Unknown account: "&amp;F437,IF(NOT(ISNUMBER(G437)),"Enter an amount",IF(G437&lt;=0,"Amount must be positive",IF(S437&gt;G437,"Tax is larger than the amount","")))))))))))</f>
        <v/>
      </c>
      <c r="U437" s="67">
        <f>IF(OR(R437=1,T437&lt;&gt;""),"",IF(COUNTIFS(ap_No,B437,ap_Party,D437)&gt;1,"Duplicate bill #",IF(N(L437)&lt;0,"Overpaid by "&amp;TEXT(-L437,"#,##0.00"),IF(AND(ISNUMBER(H437),N(H437)&lt;&gt;0,S437=0),"Tax ignored (tax tracking is off)",IF(AND(ISNUMBER(StartDate),C437&lt;StartDate),"Date is before the accounting start date",IF(OR(IFERROR(INDEX(coa_Type,MATCH(F437,coa_Name,0)),"")="Revenue",IFERROR(INDEX(coa_Type,MATCH(F437,coa_Name,0)),"")="Other Income",IFERROR(INDEX(coa_Type,MATCH(F437,coa_Name,0)),"")="Equity"),"Account is not an expense or asset account",""))))))</f>
        <v/>
      </c>
      <c r="V437" s="67">
        <f>IF(AND(R437=0,T437=""),1,0)</f>
        <v/>
      </c>
      <c r="W437" s="67">
        <f>IF(V437=1,F437,"")</f>
        <v/>
      </c>
      <c r="X437" s="67">
        <f>IF(V437=1,acctAP,"")</f>
        <v/>
      </c>
      <c r="Y437" s="68">
        <f>IF(V437=1,G437-S437,0)</f>
        <v/>
      </c>
      <c r="Z437" s="68">
        <f>IF(V437=1,G437,0)</f>
        <v/>
      </c>
      <c r="AA437" s="68">
        <f>IF(V437=1,S437,0)</f>
        <v/>
      </c>
    </row>
    <row r="438">
      <c r="B438" s="62" t="n"/>
      <c r="C438" s="63" t="n"/>
      <c r="D438" s="62" t="n"/>
      <c r="E438" s="62" t="n"/>
      <c r="F438" s="62" t="n"/>
      <c r="G438" s="64" t="n"/>
      <c r="H438" s="64" t="n"/>
      <c r="I438" s="63" t="n"/>
      <c r="J438" s="29">
        <f>IF(V438=1,IF(ISNUMBER(I438),I438,C438+IF(ISNUMBER(IFERROR(INDEX(vend_Terms,MATCH(D438,vend_Name,0)),"")),INDEX(vend_Terms,MATCH(D438,vend_Name,0)),TermsDays)),"")</f>
        <v/>
      </c>
      <c r="K438" s="65">
        <f>IF(V438=1,SUMIFS(tx_CrAmt,tx_Type,"Bill Payment",tx_Ref,B438&amp;"",tx_Vend,D438,tx_Date,"&lt;="&amp;AsOf),"")</f>
        <v/>
      </c>
      <c r="L438" s="65">
        <f>IF(V438=1,IF(C438&gt;AsOf,0,ROUND(G438-K438,2)),"")</f>
        <v/>
      </c>
      <c r="M438" s="66">
        <f>IF(V438&lt;&gt;1,"",IF(C438&gt;AsOf,"Future",IF(L438&lt;0,"Overpaid",IF(L438=0,"Paid",IF(AsOf&gt;J438,"Overdue",IF(K438&gt;0,"Partial","Unpaid"))))))</f>
        <v/>
      </c>
      <c r="N438" s="28">
        <f>IF(AND(V438=1,N(L438)&gt;0),AsOf-C438,"")</f>
        <v/>
      </c>
      <c r="O438" s="28">
        <f>IF(N438="","",MAX(0,AsOf-J438))</f>
        <v/>
      </c>
      <c r="P438" s="66">
        <f>IF(O438="","",IF(O438=0,"Current",IF(O438&lt;=30,"1-30",IF(O438&lt;=60,"31-60",IF(O438&lt;=90,"61-90","90+")))))</f>
        <v/>
      </c>
      <c r="Q438" s="66">
        <f>IF(T438&lt;&gt;"","⛔ "&amp;T438&amp;" — not posted",IF(U438&lt;&gt;"","⚠ "&amp;U438,IF(V438=1,"✓ OK","")))</f>
        <v/>
      </c>
      <c r="R438" s="67">
        <f>IF(AND(B438="",C438="",D438="",G438="",F438=""),1,0)</f>
        <v/>
      </c>
      <c r="S438" s="68">
        <f>IF(AND(TaxOn="Yes",ISNUMBER(H438)),H438,0)</f>
        <v/>
      </c>
      <c r="T438" s="67">
        <f>IF(R438=1,"",IF(B438="","Enter a bill #",IF(D438="","Select a vendor",IF(C438="","Missing bill date",IF(NOT(ISNUMBER(C438)),"Invalid date",IF(OR(C438&lt;DATE(2000,1,1),C438&gt;DATE(2099,12,31)),"Invalid date",IF(F438="","Select an expense account",IF(ISNA(MATCH(F438,coa_Name,0)),"Unknown account: "&amp;F438,IF(NOT(ISNUMBER(G438)),"Enter an amount",IF(G438&lt;=0,"Amount must be positive",IF(S438&gt;G438,"Tax is larger than the amount","")))))))))))</f>
        <v/>
      </c>
      <c r="U438" s="67">
        <f>IF(OR(R438=1,T438&lt;&gt;""),"",IF(COUNTIFS(ap_No,B438,ap_Party,D438)&gt;1,"Duplicate bill #",IF(N(L438)&lt;0,"Overpaid by "&amp;TEXT(-L438,"#,##0.00"),IF(AND(ISNUMBER(H438),N(H438)&lt;&gt;0,S438=0),"Tax ignored (tax tracking is off)",IF(AND(ISNUMBER(StartDate),C438&lt;StartDate),"Date is before the accounting start date",IF(OR(IFERROR(INDEX(coa_Type,MATCH(F438,coa_Name,0)),"")="Revenue",IFERROR(INDEX(coa_Type,MATCH(F438,coa_Name,0)),"")="Other Income",IFERROR(INDEX(coa_Type,MATCH(F438,coa_Name,0)),"")="Equity"),"Account is not an expense or asset account",""))))))</f>
        <v/>
      </c>
      <c r="V438" s="67">
        <f>IF(AND(R438=0,T438=""),1,0)</f>
        <v/>
      </c>
      <c r="W438" s="67">
        <f>IF(V438=1,F438,"")</f>
        <v/>
      </c>
      <c r="X438" s="67">
        <f>IF(V438=1,acctAP,"")</f>
        <v/>
      </c>
      <c r="Y438" s="68">
        <f>IF(V438=1,G438-S438,0)</f>
        <v/>
      </c>
      <c r="Z438" s="68">
        <f>IF(V438=1,G438,0)</f>
        <v/>
      </c>
      <c r="AA438" s="68">
        <f>IF(V438=1,S438,0)</f>
        <v/>
      </c>
    </row>
    <row r="439">
      <c r="B439" s="62" t="n"/>
      <c r="C439" s="63" t="n"/>
      <c r="D439" s="62" t="n"/>
      <c r="E439" s="62" t="n"/>
      <c r="F439" s="62" t="n"/>
      <c r="G439" s="64" t="n"/>
      <c r="H439" s="64" t="n"/>
      <c r="I439" s="63" t="n"/>
      <c r="J439" s="29">
        <f>IF(V439=1,IF(ISNUMBER(I439),I439,C439+IF(ISNUMBER(IFERROR(INDEX(vend_Terms,MATCH(D439,vend_Name,0)),"")),INDEX(vend_Terms,MATCH(D439,vend_Name,0)),TermsDays)),"")</f>
        <v/>
      </c>
      <c r="K439" s="65">
        <f>IF(V439=1,SUMIFS(tx_CrAmt,tx_Type,"Bill Payment",tx_Ref,B439&amp;"",tx_Vend,D439,tx_Date,"&lt;="&amp;AsOf),"")</f>
        <v/>
      </c>
      <c r="L439" s="65">
        <f>IF(V439=1,IF(C439&gt;AsOf,0,ROUND(G439-K439,2)),"")</f>
        <v/>
      </c>
      <c r="M439" s="66">
        <f>IF(V439&lt;&gt;1,"",IF(C439&gt;AsOf,"Future",IF(L439&lt;0,"Overpaid",IF(L439=0,"Paid",IF(AsOf&gt;J439,"Overdue",IF(K439&gt;0,"Partial","Unpaid"))))))</f>
        <v/>
      </c>
      <c r="N439" s="28">
        <f>IF(AND(V439=1,N(L439)&gt;0),AsOf-C439,"")</f>
        <v/>
      </c>
      <c r="O439" s="28">
        <f>IF(N439="","",MAX(0,AsOf-J439))</f>
        <v/>
      </c>
      <c r="P439" s="66">
        <f>IF(O439="","",IF(O439=0,"Current",IF(O439&lt;=30,"1-30",IF(O439&lt;=60,"31-60",IF(O439&lt;=90,"61-90","90+")))))</f>
        <v/>
      </c>
      <c r="Q439" s="66">
        <f>IF(T439&lt;&gt;"","⛔ "&amp;T439&amp;" — not posted",IF(U439&lt;&gt;"","⚠ "&amp;U439,IF(V439=1,"✓ OK","")))</f>
        <v/>
      </c>
      <c r="R439" s="67">
        <f>IF(AND(B439="",C439="",D439="",G439="",F439=""),1,0)</f>
        <v/>
      </c>
      <c r="S439" s="68">
        <f>IF(AND(TaxOn="Yes",ISNUMBER(H439)),H439,0)</f>
        <v/>
      </c>
      <c r="T439" s="67">
        <f>IF(R439=1,"",IF(B439="","Enter a bill #",IF(D439="","Select a vendor",IF(C439="","Missing bill date",IF(NOT(ISNUMBER(C439)),"Invalid date",IF(OR(C439&lt;DATE(2000,1,1),C439&gt;DATE(2099,12,31)),"Invalid date",IF(F439="","Select an expense account",IF(ISNA(MATCH(F439,coa_Name,0)),"Unknown account: "&amp;F439,IF(NOT(ISNUMBER(G439)),"Enter an amount",IF(G439&lt;=0,"Amount must be positive",IF(S439&gt;G439,"Tax is larger than the amount","")))))))))))</f>
        <v/>
      </c>
      <c r="U439" s="67">
        <f>IF(OR(R439=1,T439&lt;&gt;""),"",IF(COUNTIFS(ap_No,B439,ap_Party,D439)&gt;1,"Duplicate bill #",IF(N(L439)&lt;0,"Overpaid by "&amp;TEXT(-L439,"#,##0.00"),IF(AND(ISNUMBER(H439),N(H439)&lt;&gt;0,S439=0),"Tax ignored (tax tracking is off)",IF(AND(ISNUMBER(StartDate),C439&lt;StartDate),"Date is before the accounting start date",IF(OR(IFERROR(INDEX(coa_Type,MATCH(F439,coa_Name,0)),"")="Revenue",IFERROR(INDEX(coa_Type,MATCH(F439,coa_Name,0)),"")="Other Income",IFERROR(INDEX(coa_Type,MATCH(F439,coa_Name,0)),"")="Equity"),"Account is not an expense or asset account",""))))))</f>
        <v/>
      </c>
      <c r="V439" s="67">
        <f>IF(AND(R439=0,T439=""),1,0)</f>
        <v/>
      </c>
      <c r="W439" s="67">
        <f>IF(V439=1,F439,"")</f>
        <v/>
      </c>
      <c r="X439" s="67">
        <f>IF(V439=1,acctAP,"")</f>
        <v/>
      </c>
      <c r="Y439" s="68">
        <f>IF(V439=1,G439-S439,0)</f>
        <v/>
      </c>
      <c r="Z439" s="68">
        <f>IF(V439=1,G439,0)</f>
        <v/>
      </c>
      <c r="AA439" s="68">
        <f>IF(V439=1,S439,0)</f>
        <v/>
      </c>
    </row>
    <row r="440">
      <c r="B440" s="62" t="n"/>
      <c r="C440" s="63" t="n"/>
      <c r="D440" s="62" t="n"/>
      <c r="E440" s="62" t="n"/>
      <c r="F440" s="62" t="n"/>
      <c r="G440" s="64" t="n"/>
      <c r="H440" s="64" t="n"/>
      <c r="I440" s="63" t="n"/>
      <c r="J440" s="29">
        <f>IF(V440=1,IF(ISNUMBER(I440),I440,C440+IF(ISNUMBER(IFERROR(INDEX(vend_Terms,MATCH(D440,vend_Name,0)),"")),INDEX(vend_Terms,MATCH(D440,vend_Name,0)),TermsDays)),"")</f>
        <v/>
      </c>
      <c r="K440" s="65">
        <f>IF(V440=1,SUMIFS(tx_CrAmt,tx_Type,"Bill Payment",tx_Ref,B440&amp;"",tx_Vend,D440,tx_Date,"&lt;="&amp;AsOf),"")</f>
        <v/>
      </c>
      <c r="L440" s="65">
        <f>IF(V440=1,IF(C440&gt;AsOf,0,ROUND(G440-K440,2)),"")</f>
        <v/>
      </c>
      <c r="M440" s="66">
        <f>IF(V440&lt;&gt;1,"",IF(C440&gt;AsOf,"Future",IF(L440&lt;0,"Overpaid",IF(L440=0,"Paid",IF(AsOf&gt;J440,"Overdue",IF(K440&gt;0,"Partial","Unpaid"))))))</f>
        <v/>
      </c>
      <c r="N440" s="28">
        <f>IF(AND(V440=1,N(L440)&gt;0),AsOf-C440,"")</f>
        <v/>
      </c>
      <c r="O440" s="28">
        <f>IF(N440="","",MAX(0,AsOf-J440))</f>
        <v/>
      </c>
      <c r="P440" s="66">
        <f>IF(O440="","",IF(O440=0,"Current",IF(O440&lt;=30,"1-30",IF(O440&lt;=60,"31-60",IF(O440&lt;=90,"61-90","90+")))))</f>
        <v/>
      </c>
      <c r="Q440" s="66">
        <f>IF(T440&lt;&gt;"","⛔ "&amp;T440&amp;" — not posted",IF(U440&lt;&gt;"","⚠ "&amp;U440,IF(V440=1,"✓ OK","")))</f>
        <v/>
      </c>
      <c r="R440" s="67">
        <f>IF(AND(B440="",C440="",D440="",G440="",F440=""),1,0)</f>
        <v/>
      </c>
      <c r="S440" s="68">
        <f>IF(AND(TaxOn="Yes",ISNUMBER(H440)),H440,0)</f>
        <v/>
      </c>
      <c r="T440" s="67">
        <f>IF(R440=1,"",IF(B440="","Enter a bill #",IF(D440="","Select a vendor",IF(C440="","Missing bill date",IF(NOT(ISNUMBER(C440)),"Invalid date",IF(OR(C440&lt;DATE(2000,1,1),C440&gt;DATE(2099,12,31)),"Invalid date",IF(F440="","Select an expense account",IF(ISNA(MATCH(F440,coa_Name,0)),"Unknown account: "&amp;F440,IF(NOT(ISNUMBER(G440)),"Enter an amount",IF(G440&lt;=0,"Amount must be positive",IF(S440&gt;G440,"Tax is larger than the amount","")))))))))))</f>
        <v/>
      </c>
      <c r="U440" s="67">
        <f>IF(OR(R440=1,T440&lt;&gt;""),"",IF(COUNTIFS(ap_No,B440,ap_Party,D440)&gt;1,"Duplicate bill #",IF(N(L440)&lt;0,"Overpaid by "&amp;TEXT(-L440,"#,##0.00"),IF(AND(ISNUMBER(H440),N(H440)&lt;&gt;0,S440=0),"Tax ignored (tax tracking is off)",IF(AND(ISNUMBER(StartDate),C440&lt;StartDate),"Date is before the accounting start date",IF(OR(IFERROR(INDEX(coa_Type,MATCH(F440,coa_Name,0)),"")="Revenue",IFERROR(INDEX(coa_Type,MATCH(F440,coa_Name,0)),"")="Other Income",IFERROR(INDEX(coa_Type,MATCH(F440,coa_Name,0)),"")="Equity"),"Account is not an expense or asset account",""))))))</f>
        <v/>
      </c>
      <c r="V440" s="67">
        <f>IF(AND(R440=0,T440=""),1,0)</f>
        <v/>
      </c>
      <c r="W440" s="67">
        <f>IF(V440=1,F440,"")</f>
        <v/>
      </c>
      <c r="X440" s="67">
        <f>IF(V440=1,acctAP,"")</f>
        <v/>
      </c>
      <c r="Y440" s="68">
        <f>IF(V440=1,G440-S440,0)</f>
        <v/>
      </c>
      <c r="Z440" s="68">
        <f>IF(V440=1,G440,0)</f>
        <v/>
      </c>
      <c r="AA440" s="68">
        <f>IF(V440=1,S440,0)</f>
        <v/>
      </c>
    </row>
    <row r="441">
      <c r="B441" s="62" t="n"/>
      <c r="C441" s="63" t="n"/>
      <c r="D441" s="62" t="n"/>
      <c r="E441" s="62" t="n"/>
      <c r="F441" s="62" t="n"/>
      <c r="G441" s="64" t="n"/>
      <c r="H441" s="64" t="n"/>
      <c r="I441" s="63" t="n"/>
      <c r="J441" s="29">
        <f>IF(V441=1,IF(ISNUMBER(I441),I441,C441+IF(ISNUMBER(IFERROR(INDEX(vend_Terms,MATCH(D441,vend_Name,0)),"")),INDEX(vend_Terms,MATCH(D441,vend_Name,0)),TermsDays)),"")</f>
        <v/>
      </c>
      <c r="K441" s="65">
        <f>IF(V441=1,SUMIFS(tx_CrAmt,tx_Type,"Bill Payment",tx_Ref,B441&amp;"",tx_Vend,D441,tx_Date,"&lt;="&amp;AsOf),"")</f>
        <v/>
      </c>
      <c r="L441" s="65">
        <f>IF(V441=1,IF(C441&gt;AsOf,0,ROUND(G441-K441,2)),"")</f>
        <v/>
      </c>
      <c r="M441" s="66">
        <f>IF(V441&lt;&gt;1,"",IF(C441&gt;AsOf,"Future",IF(L441&lt;0,"Overpaid",IF(L441=0,"Paid",IF(AsOf&gt;J441,"Overdue",IF(K441&gt;0,"Partial","Unpaid"))))))</f>
        <v/>
      </c>
      <c r="N441" s="28">
        <f>IF(AND(V441=1,N(L441)&gt;0),AsOf-C441,"")</f>
        <v/>
      </c>
      <c r="O441" s="28">
        <f>IF(N441="","",MAX(0,AsOf-J441))</f>
        <v/>
      </c>
      <c r="P441" s="66">
        <f>IF(O441="","",IF(O441=0,"Current",IF(O441&lt;=30,"1-30",IF(O441&lt;=60,"31-60",IF(O441&lt;=90,"61-90","90+")))))</f>
        <v/>
      </c>
      <c r="Q441" s="66">
        <f>IF(T441&lt;&gt;"","⛔ "&amp;T441&amp;" — not posted",IF(U441&lt;&gt;"","⚠ "&amp;U441,IF(V441=1,"✓ OK","")))</f>
        <v/>
      </c>
      <c r="R441" s="67">
        <f>IF(AND(B441="",C441="",D441="",G441="",F441=""),1,0)</f>
        <v/>
      </c>
      <c r="S441" s="68">
        <f>IF(AND(TaxOn="Yes",ISNUMBER(H441)),H441,0)</f>
        <v/>
      </c>
      <c r="T441" s="67">
        <f>IF(R441=1,"",IF(B441="","Enter a bill #",IF(D441="","Select a vendor",IF(C441="","Missing bill date",IF(NOT(ISNUMBER(C441)),"Invalid date",IF(OR(C441&lt;DATE(2000,1,1),C441&gt;DATE(2099,12,31)),"Invalid date",IF(F441="","Select an expense account",IF(ISNA(MATCH(F441,coa_Name,0)),"Unknown account: "&amp;F441,IF(NOT(ISNUMBER(G441)),"Enter an amount",IF(G441&lt;=0,"Amount must be positive",IF(S441&gt;G441,"Tax is larger than the amount","")))))))))))</f>
        <v/>
      </c>
      <c r="U441" s="67">
        <f>IF(OR(R441=1,T441&lt;&gt;""),"",IF(COUNTIFS(ap_No,B441,ap_Party,D441)&gt;1,"Duplicate bill #",IF(N(L441)&lt;0,"Overpaid by "&amp;TEXT(-L441,"#,##0.00"),IF(AND(ISNUMBER(H441),N(H441)&lt;&gt;0,S441=0),"Tax ignored (tax tracking is off)",IF(AND(ISNUMBER(StartDate),C441&lt;StartDate),"Date is before the accounting start date",IF(OR(IFERROR(INDEX(coa_Type,MATCH(F441,coa_Name,0)),"")="Revenue",IFERROR(INDEX(coa_Type,MATCH(F441,coa_Name,0)),"")="Other Income",IFERROR(INDEX(coa_Type,MATCH(F441,coa_Name,0)),"")="Equity"),"Account is not an expense or asset account",""))))))</f>
        <v/>
      </c>
      <c r="V441" s="67">
        <f>IF(AND(R441=0,T441=""),1,0)</f>
        <v/>
      </c>
      <c r="W441" s="67">
        <f>IF(V441=1,F441,"")</f>
        <v/>
      </c>
      <c r="X441" s="67">
        <f>IF(V441=1,acctAP,"")</f>
        <v/>
      </c>
      <c r="Y441" s="68">
        <f>IF(V441=1,G441-S441,0)</f>
        <v/>
      </c>
      <c r="Z441" s="68">
        <f>IF(V441=1,G441,0)</f>
        <v/>
      </c>
      <c r="AA441" s="68">
        <f>IF(V441=1,S441,0)</f>
        <v/>
      </c>
    </row>
    <row r="442">
      <c r="B442" s="62" t="n"/>
      <c r="C442" s="63" t="n"/>
      <c r="D442" s="62" t="n"/>
      <c r="E442" s="62" t="n"/>
      <c r="F442" s="62" t="n"/>
      <c r="G442" s="64" t="n"/>
      <c r="H442" s="64" t="n"/>
      <c r="I442" s="63" t="n"/>
      <c r="J442" s="29">
        <f>IF(V442=1,IF(ISNUMBER(I442),I442,C442+IF(ISNUMBER(IFERROR(INDEX(vend_Terms,MATCH(D442,vend_Name,0)),"")),INDEX(vend_Terms,MATCH(D442,vend_Name,0)),TermsDays)),"")</f>
        <v/>
      </c>
      <c r="K442" s="65">
        <f>IF(V442=1,SUMIFS(tx_CrAmt,tx_Type,"Bill Payment",tx_Ref,B442&amp;"",tx_Vend,D442,tx_Date,"&lt;="&amp;AsOf),"")</f>
        <v/>
      </c>
      <c r="L442" s="65">
        <f>IF(V442=1,IF(C442&gt;AsOf,0,ROUND(G442-K442,2)),"")</f>
        <v/>
      </c>
      <c r="M442" s="66">
        <f>IF(V442&lt;&gt;1,"",IF(C442&gt;AsOf,"Future",IF(L442&lt;0,"Overpaid",IF(L442=0,"Paid",IF(AsOf&gt;J442,"Overdue",IF(K442&gt;0,"Partial","Unpaid"))))))</f>
        <v/>
      </c>
      <c r="N442" s="28">
        <f>IF(AND(V442=1,N(L442)&gt;0),AsOf-C442,"")</f>
        <v/>
      </c>
      <c r="O442" s="28">
        <f>IF(N442="","",MAX(0,AsOf-J442))</f>
        <v/>
      </c>
      <c r="P442" s="66">
        <f>IF(O442="","",IF(O442=0,"Current",IF(O442&lt;=30,"1-30",IF(O442&lt;=60,"31-60",IF(O442&lt;=90,"61-90","90+")))))</f>
        <v/>
      </c>
      <c r="Q442" s="66">
        <f>IF(T442&lt;&gt;"","⛔ "&amp;T442&amp;" — not posted",IF(U442&lt;&gt;"","⚠ "&amp;U442,IF(V442=1,"✓ OK","")))</f>
        <v/>
      </c>
      <c r="R442" s="67">
        <f>IF(AND(B442="",C442="",D442="",G442="",F442=""),1,0)</f>
        <v/>
      </c>
      <c r="S442" s="68">
        <f>IF(AND(TaxOn="Yes",ISNUMBER(H442)),H442,0)</f>
        <v/>
      </c>
      <c r="T442" s="67">
        <f>IF(R442=1,"",IF(B442="","Enter a bill #",IF(D442="","Select a vendor",IF(C442="","Missing bill date",IF(NOT(ISNUMBER(C442)),"Invalid date",IF(OR(C442&lt;DATE(2000,1,1),C442&gt;DATE(2099,12,31)),"Invalid date",IF(F442="","Select an expense account",IF(ISNA(MATCH(F442,coa_Name,0)),"Unknown account: "&amp;F442,IF(NOT(ISNUMBER(G442)),"Enter an amount",IF(G442&lt;=0,"Amount must be positive",IF(S442&gt;G442,"Tax is larger than the amount","")))))))))))</f>
        <v/>
      </c>
      <c r="U442" s="67">
        <f>IF(OR(R442=1,T442&lt;&gt;""),"",IF(COUNTIFS(ap_No,B442,ap_Party,D442)&gt;1,"Duplicate bill #",IF(N(L442)&lt;0,"Overpaid by "&amp;TEXT(-L442,"#,##0.00"),IF(AND(ISNUMBER(H442),N(H442)&lt;&gt;0,S442=0),"Tax ignored (tax tracking is off)",IF(AND(ISNUMBER(StartDate),C442&lt;StartDate),"Date is before the accounting start date",IF(OR(IFERROR(INDEX(coa_Type,MATCH(F442,coa_Name,0)),"")="Revenue",IFERROR(INDEX(coa_Type,MATCH(F442,coa_Name,0)),"")="Other Income",IFERROR(INDEX(coa_Type,MATCH(F442,coa_Name,0)),"")="Equity"),"Account is not an expense or asset account",""))))))</f>
        <v/>
      </c>
      <c r="V442" s="67">
        <f>IF(AND(R442=0,T442=""),1,0)</f>
        <v/>
      </c>
      <c r="W442" s="67">
        <f>IF(V442=1,F442,"")</f>
        <v/>
      </c>
      <c r="X442" s="67">
        <f>IF(V442=1,acctAP,"")</f>
        <v/>
      </c>
      <c r="Y442" s="68">
        <f>IF(V442=1,G442-S442,0)</f>
        <v/>
      </c>
      <c r="Z442" s="68">
        <f>IF(V442=1,G442,0)</f>
        <v/>
      </c>
      <c r="AA442" s="68">
        <f>IF(V442=1,S442,0)</f>
        <v/>
      </c>
    </row>
    <row r="443">
      <c r="B443" s="62" t="n"/>
      <c r="C443" s="63" t="n"/>
      <c r="D443" s="62" t="n"/>
      <c r="E443" s="62" t="n"/>
      <c r="F443" s="62" t="n"/>
      <c r="G443" s="64" t="n"/>
      <c r="H443" s="64" t="n"/>
      <c r="I443" s="63" t="n"/>
      <c r="J443" s="29">
        <f>IF(V443=1,IF(ISNUMBER(I443),I443,C443+IF(ISNUMBER(IFERROR(INDEX(vend_Terms,MATCH(D443,vend_Name,0)),"")),INDEX(vend_Terms,MATCH(D443,vend_Name,0)),TermsDays)),"")</f>
        <v/>
      </c>
      <c r="K443" s="65">
        <f>IF(V443=1,SUMIFS(tx_CrAmt,tx_Type,"Bill Payment",tx_Ref,B443&amp;"",tx_Vend,D443,tx_Date,"&lt;="&amp;AsOf),"")</f>
        <v/>
      </c>
      <c r="L443" s="65">
        <f>IF(V443=1,IF(C443&gt;AsOf,0,ROUND(G443-K443,2)),"")</f>
        <v/>
      </c>
      <c r="M443" s="66">
        <f>IF(V443&lt;&gt;1,"",IF(C443&gt;AsOf,"Future",IF(L443&lt;0,"Overpaid",IF(L443=0,"Paid",IF(AsOf&gt;J443,"Overdue",IF(K443&gt;0,"Partial","Unpaid"))))))</f>
        <v/>
      </c>
      <c r="N443" s="28">
        <f>IF(AND(V443=1,N(L443)&gt;0),AsOf-C443,"")</f>
        <v/>
      </c>
      <c r="O443" s="28">
        <f>IF(N443="","",MAX(0,AsOf-J443))</f>
        <v/>
      </c>
      <c r="P443" s="66">
        <f>IF(O443="","",IF(O443=0,"Current",IF(O443&lt;=30,"1-30",IF(O443&lt;=60,"31-60",IF(O443&lt;=90,"61-90","90+")))))</f>
        <v/>
      </c>
      <c r="Q443" s="66">
        <f>IF(T443&lt;&gt;"","⛔ "&amp;T443&amp;" — not posted",IF(U443&lt;&gt;"","⚠ "&amp;U443,IF(V443=1,"✓ OK","")))</f>
        <v/>
      </c>
      <c r="R443" s="67">
        <f>IF(AND(B443="",C443="",D443="",G443="",F443=""),1,0)</f>
        <v/>
      </c>
      <c r="S443" s="68">
        <f>IF(AND(TaxOn="Yes",ISNUMBER(H443)),H443,0)</f>
        <v/>
      </c>
      <c r="T443" s="67">
        <f>IF(R443=1,"",IF(B443="","Enter a bill #",IF(D443="","Select a vendor",IF(C443="","Missing bill date",IF(NOT(ISNUMBER(C443)),"Invalid date",IF(OR(C443&lt;DATE(2000,1,1),C443&gt;DATE(2099,12,31)),"Invalid date",IF(F443="","Select an expense account",IF(ISNA(MATCH(F443,coa_Name,0)),"Unknown account: "&amp;F443,IF(NOT(ISNUMBER(G443)),"Enter an amount",IF(G443&lt;=0,"Amount must be positive",IF(S443&gt;G443,"Tax is larger than the amount","")))))))))))</f>
        <v/>
      </c>
      <c r="U443" s="67">
        <f>IF(OR(R443=1,T443&lt;&gt;""),"",IF(COUNTIFS(ap_No,B443,ap_Party,D443)&gt;1,"Duplicate bill #",IF(N(L443)&lt;0,"Overpaid by "&amp;TEXT(-L443,"#,##0.00"),IF(AND(ISNUMBER(H443),N(H443)&lt;&gt;0,S443=0),"Tax ignored (tax tracking is off)",IF(AND(ISNUMBER(StartDate),C443&lt;StartDate),"Date is before the accounting start date",IF(OR(IFERROR(INDEX(coa_Type,MATCH(F443,coa_Name,0)),"")="Revenue",IFERROR(INDEX(coa_Type,MATCH(F443,coa_Name,0)),"")="Other Income",IFERROR(INDEX(coa_Type,MATCH(F443,coa_Name,0)),"")="Equity"),"Account is not an expense or asset account",""))))))</f>
        <v/>
      </c>
      <c r="V443" s="67">
        <f>IF(AND(R443=0,T443=""),1,0)</f>
        <v/>
      </c>
      <c r="W443" s="67">
        <f>IF(V443=1,F443,"")</f>
        <v/>
      </c>
      <c r="X443" s="67">
        <f>IF(V443=1,acctAP,"")</f>
        <v/>
      </c>
      <c r="Y443" s="68">
        <f>IF(V443=1,G443-S443,0)</f>
        <v/>
      </c>
      <c r="Z443" s="68">
        <f>IF(V443=1,G443,0)</f>
        <v/>
      </c>
      <c r="AA443" s="68">
        <f>IF(V443=1,S443,0)</f>
        <v/>
      </c>
    </row>
    <row r="444">
      <c r="B444" s="62" t="n"/>
      <c r="C444" s="63" t="n"/>
      <c r="D444" s="62" t="n"/>
      <c r="E444" s="62" t="n"/>
      <c r="F444" s="62" t="n"/>
      <c r="G444" s="64" t="n"/>
      <c r="H444" s="64" t="n"/>
      <c r="I444" s="63" t="n"/>
      <c r="J444" s="29">
        <f>IF(V444=1,IF(ISNUMBER(I444),I444,C444+IF(ISNUMBER(IFERROR(INDEX(vend_Terms,MATCH(D444,vend_Name,0)),"")),INDEX(vend_Terms,MATCH(D444,vend_Name,0)),TermsDays)),"")</f>
        <v/>
      </c>
      <c r="K444" s="65">
        <f>IF(V444=1,SUMIFS(tx_CrAmt,tx_Type,"Bill Payment",tx_Ref,B444&amp;"",tx_Vend,D444,tx_Date,"&lt;="&amp;AsOf),"")</f>
        <v/>
      </c>
      <c r="L444" s="65">
        <f>IF(V444=1,IF(C444&gt;AsOf,0,ROUND(G444-K444,2)),"")</f>
        <v/>
      </c>
      <c r="M444" s="66">
        <f>IF(V444&lt;&gt;1,"",IF(C444&gt;AsOf,"Future",IF(L444&lt;0,"Overpaid",IF(L444=0,"Paid",IF(AsOf&gt;J444,"Overdue",IF(K444&gt;0,"Partial","Unpaid"))))))</f>
        <v/>
      </c>
      <c r="N444" s="28">
        <f>IF(AND(V444=1,N(L444)&gt;0),AsOf-C444,"")</f>
        <v/>
      </c>
      <c r="O444" s="28">
        <f>IF(N444="","",MAX(0,AsOf-J444))</f>
        <v/>
      </c>
      <c r="P444" s="66">
        <f>IF(O444="","",IF(O444=0,"Current",IF(O444&lt;=30,"1-30",IF(O444&lt;=60,"31-60",IF(O444&lt;=90,"61-90","90+")))))</f>
        <v/>
      </c>
      <c r="Q444" s="66">
        <f>IF(T444&lt;&gt;"","⛔ "&amp;T444&amp;" — not posted",IF(U444&lt;&gt;"","⚠ "&amp;U444,IF(V444=1,"✓ OK","")))</f>
        <v/>
      </c>
      <c r="R444" s="67">
        <f>IF(AND(B444="",C444="",D444="",G444="",F444=""),1,0)</f>
        <v/>
      </c>
      <c r="S444" s="68">
        <f>IF(AND(TaxOn="Yes",ISNUMBER(H444)),H444,0)</f>
        <v/>
      </c>
      <c r="T444" s="67">
        <f>IF(R444=1,"",IF(B444="","Enter a bill #",IF(D444="","Select a vendor",IF(C444="","Missing bill date",IF(NOT(ISNUMBER(C444)),"Invalid date",IF(OR(C444&lt;DATE(2000,1,1),C444&gt;DATE(2099,12,31)),"Invalid date",IF(F444="","Select an expense account",IF(ISNA(MATCH(F444,coa_Name,0)),"Unknown account: "&amp;F444,IF(NOT(ISNUMBER(G444)),"Enter an amount",IF(G444&lt;=0,"Amount must be positive",IF(S444&gt;G444,"Tax is larger than the amount","")))))))))))</f>
        <v/>
      </c>
      <c r="U444" s="67">
        <f>IF(OR(R444=1,T444&lt;&gt;""),"",IF(COUNTIFS(ap_No,B444,ap_Party,D444)&gt;1,"Duplicate bill #",IF(N(L444)&lt;0,"Overpaid by "&amp;TEXT(-L444,"#,##0.00"),IF(AND(ISNUMBER(H444),N(H444)&lt;&gt;0,S444=0),"Tax ignored (tax tracking is off)",IF(AND(ISNUMBER(StartDate),C444&lt;StartDate),"Date is before the accounting start date",IF(OR(IFERROR(INDEX(coa_Type,MATCH(F444,coa_Name,0)),"")="Revenue",IFERROR(INDEX(coa_Type,MATCH(F444,coa_Name,0)),"")="Other Income",IFERROR(INDEX(coa_Type,MATCH(F444,coa_Name,0)),"")="Equity"),"Account is not an expense or asset account",""))))))</f>
        <v/>
      </c>
      <c r="V444" s="67">
        <f>IF(AND(R444=0,T444=""),1,0)</f>
        <v/>
      </c>
      <c r="W444" s="67">
        <f>IF(V444=1,F444,"")</f>
        <v/>
      </c>
      <c r="X444" s="67">
        <f>IF(V444=1,acctAP,"")</f>
        <v/>
      </c>
      <c r="Y444" s="68">
        <f>IF(V444=1,G444-S444,0)</f>
        <v/>
      </c>
      <c r="Z444" s="68">
        <f>IF(V444=1,G444,0)</f>
        <v/>
      </c>
      <c r="AA444" s="68">
        <f>IF(V444=1,S444,0)</f>
        <v/>
      </c>
    </row>
    <row r="445">
      <c r="B445" s="62" t="n"/>
      <c r="C445" s="63" t="n"/>
      <c r="D445" s="62" t="n"/>
      <c r="E445" s="62" t="n"/>
      <c r="F445" s="62" t="n"/>
      <c r="G445" s="64" t="n"/>
      <c r="H445" s="64" t="n"/>
      <c r="I445" s="63" t="n"/>
      <c r="J445" s="29">
        <f>IF(V445=1,IF(ISNUMBER(I445),I445,C445+IF(ISNUMBER(IFERROR(INDEX(vend_Terms,MATCH(D445,vend_Name,0)),"")),INDEX(vend_Terms,MATCH(D445,vend_Name,0)),TermsDays)),"")</f>
        <v/>
      </c>
      <c r="K445" s="65">
        <f>IF(V445=1,SUMIFS(tx_CrAmt,tx_Type,"Bill Payment",tx_Ref,B445&amp;"",tx_Vend,D445,tx_Date,"&lt;="&amp;AsOf),"")</f>
        <v/>
      </c>
      <c r="L445" s="65">
        <f>IF(V445=1,IF(C445&gt;AsOf,0,ROUND(G445-K445,2)),"")</f>
        <v/>
      </c>
      <c r="M445" s="66">
        <f>IF(V445&lt;&gt;1,"",IF(C445&gt;AsOf,"Future",IF(L445&lt;0,"Overpaid",IF(L445=0,"Paid",IF(AsOf&gt;J445,"Overdue",IF(K445&gt;0,"Partial","Unpaid"))))))</f>
        <v/>
      </c>
      <c r="N445" s="28">
        <f>IF(AND(V445=1,N(L445)&gt;0),AsOf-C445,"")</f>
        <v/>
      </c>
      <c r="O445" s="28">
        <f>IF(N445="","",MAX(0,AsOf-J445))</f>
        <v/>
      </c>
      <c r="P445" s="66">
        <f>IF(O445="","",IF(O445=0,"Current",IF(O445&lt;=30,"1-30",IF(O445&lt;=60,"31-60",IF(O445&lt;=90,"61-90","90+")))))</f>
        <v/>
      </c>
      <c r="Q445" s="66">
        <f>IF(T445&lt;&gt;"","⛔ "&amp;T445&amp;" — not posted",IF(U445&lt;&gt;"","⚠ "&amp;U445,IF(V445=1,"✓ OK","")))</f>
        <v/>
      </c>
      <c r="R445" s="67">
        <f>IF(AND(B445="",C445="",D445="",G445="",F445=""),1,0)</f>
        <v/>
      </c>
      <c r="S445" s="68">
        <f>IF(AND(TaxOn="Yes",ISNUMBER(H445)),H445,0)</f>
        <v/>
      </c>
      <c r="T445" s="67">
        <f>IF(R445=1,"",IF(B445="","Enter a bill #",IF(D445="","Select a vendor",IF(C445="","Missing bill date",IF(NOT(ISNUMBER(C445)),"Invalid date",IF(OR(C445&lt;DATE(2000,1,1),C445&gt;DATE(2099,12,31)),"Invalid date",IF(F445="","Select an expense account",IF(ISNA(MATCH(F445,coa_Name,0)),"Unknown account: "&amp;F445,IF(NOT(ISNUMBER(G445)),"Enter an amount",IF(G445&lt;=0,"Amount must be positive",IF(S445&gt;G445,"Tax is larger than the amount","")))))))))))</f>
        <v/>
      </c>
      <c r="U445" s="67">
        <f>IF(OR(R445=1,T445&lt;&gt;""),"",IF(COUNTIFS(ap_No,B445,ap_Party,D445)&gt;1,"Duplicate bill #",IF(N(L445)&lt;0,"Overpaid by "&amp;TEXT(-L445,"#,##0.00"),IF(AND(ISNUMBER(H445),N(H445)&lt;&gt;0,S445=0),"Tax ignored (tax tracking is off)",IF(AND(ISNUMBER(StartDate),C445&lt;StartDate),"Date is before the accounting start date",IF(OR(IFERROR(INDEX(coa_Type,MATCH(F445,coa_Name,0)),"")="Revenue",IFERROR(INDEX(coa_Type,MATCH(F445,coa_Name,0)),"")="Other Income",IFERROR(INDEX(coa_Type,MATCH(F445,coa_Name,0)),"")="Equity"),"Account is not an expense or asset account",""))))))</f>
        <v/>
      </c>
      <c r="V445" s="67">
        <f>IF(AND(R445=0,T445=""),1,0)</f>
        <v/>
      </c>
      <c r="W445" s="67">
        <f>IF(V445=1,F445,"")</f>
        <v/>
      </c>
      <c r="X445" s="67">
        <f>IF(V445=1,acctAP,"")</f>
        <v/>
      </c>
      <c r="Y445" s="68">
        <f>IF(V445=1,G445-S445,0)</f>
        <v/>
      </c>
      <c r="Z445" s="68">
        <f>IF(V445=1,G445,0)</f>
        <v/>
      </c>
      <c r="AA445" s="68">
        <f>IF(V445=1,S445,0)</f>
        <v/>
      </c>
    </row>
    <row r="446">
      <c r="B446" s="62" t="n"/>
      <c r="C446" s="63" t="n"/>
      <c r="D446" s="62" t="n"/>
      <c r="E446" s="62" t="n"/>
      <c r="F446" s="62" t="n"/>
      <c r="G446" s="64" t="n"/>
      <c r="H446" s="64" t="n"/>
      <c r="I446" s="63" t="n"/>
      <c r="J446" s="29">
        <f>IF(V446=1,IF(ISNUMBER(I446),I446,C446+IF(ISNUMBER(IFERROR(INDEX(vend_Terms,MATCH(D446,vend_Name,0)),"")),INDEX(vend_Terms,MATCH(D446,vend_Name,0)),TermsDays)),"")</f>
        <v/>
      </c>
      <c r="K446" s="65">
        <f>IF(V446=1,SUMIFS(tx_CrAmt,tx_Type,"Bill Payment",tx_Ref,B446&amp;"",tx_Vend,D446,tx_Date,"&lt;="&amp;AsOf),"")</f>
        <v/>
      </c>
      <c r="L446" s="65">
        <f>IF(V446=1,IF(C446&gt;AsOf,0,ROUND(G446-K446,2)),"")</f>
        <v/>
      </c>
      <c r="M446" s="66">
        <f>IF(V446&lt;&gt;1,"",IF(C446&gt;AsOf,"Future",IF(L446&lt;0,"Overpaid",IF(L446=0,"Paid",IF(AsOf&gt;J446,"Overdue",IF(K446&gt;0,"Partial","Unpaid"))))))</f>
        <v/>
      </c>
      <c r="N446" s="28">
        <f>IF(AND(V446=1,N(L446)&gt;0),AsOf-C446,"")</f>
        <v/>
      </c>
      <c r="O446" s="28">
        <f>IF(N446="","",MAX(0,AsOf-J446))</f>
        <v/>
      </c>
      <c r="P446" s="66">
        <f>IF(O446="","",IF(O446=0,"Current",IF(O446&lt;=30,"1-30",IF(O446&lt;=60,"31-60",IF(O446&lt;=90,"61-90","90+")))))</f>
        <v/>
      </c>
      <c r="Q446" s="66">
        <f>IF(T446&lt;&gt;"","⛔ "&amp;T446&amp;" — not posted",IF(U446&lt;&gt;"","⚠ "&amp;U446,IF(V446=1,"✓ OK","")))</f>
        <v/>
      </c>
      <c r="R446" s="67">
        <f>IF(AND(B446="",C446="",D446="",G446="",F446=""),1,0)</f>
        <v/>
      </c>
      <c r="S446" s="68">
        <f>IF(AND(TaxOn="Yes",ISNUMBER(H446)),H446,0)</f>
        <v/>
      </c>
      <c r="T446" s="67">
        <f>IF(R446=1,"",IF(B446="","Enter a bill #",IF(D446="","Select a vendor",IF(C446="","Missing bill date",IF(NOT(ISNUMBER(C446)),"Invalid date",IF(OR(C446&lt;DATE(2000,1,1),C446&gt;DATE(2099,12,31)),"Invalid date",IF(F446="","Select an expense account",IF(ISNA(MATCH(F446,coa_Name,0)),"Unknown account: "&amp;F446,IF(NOT(ISNUMBER(G446)),"Enter an amount",IF(G446&lt;=0,"Amount must be positive",IF(S446&gt;G446,"Tax is larger than the amount","")))))))))))</f>
        <v/>
      </c>
      <c r="U446" s="67">
        <f>IF(OR(R446=1,T446&lt;&gt;""),"",IF(COUNTIFS(ap_No,B446,ap_Party,D446)&gt;1,"Duplicate bill #",IF(N(L446)&lt;0,"Overpaid by "&amp;TEXT(-L446,"#,##0.00"),IF(AND(ISNUMBER(H446),N(H446)&lt;&gt;0,S446=0),"Tax ignored (tax tracking is off)",IF(AND(ISNUMBER(StartDate),C446&lt;StartDate),"Date is before the accounting start date",IF(OR(IFERROR(INDEX(coa_Type,MATCH(F446,coa_Name,0)),"")="Revenue",IFERROR(INDEX(coa_Type,MATCH(F446,coa_Name,0)),"")="Other Income",IFERROR(INDEX(coa_Type,MATCH(F446,coa_Name,0)),"")="Equity"),"Account is not an expense or asset account",""))))))</f>
        <v/>
      </c>
      <c r="V446" s="67">
        <f>IF(AND(R446=0,T446=""),1,0)</f>
        <v/>
      </c>
      <c r="W446" s="67">
        <f>IF(V446=1,F446,"")</f>
        <v/>
      </c>
      <c r="X446" s="67">
        <f>IF(V446=1,acctAP,"")</f>
        <v/>
      </c>
      <c r="Y446" s="68">
        <f>IF(V446=1,G446-S446,0)</f>
        <v/>
      </c>
      <c r="Z446" s="68">
        <f>IF(V446=1,G446,0)</f>
        <v/>
      </c>
      <c r="AA446" s="68">
        <f>IF(V446=1,S446,0)</f>
        <v/>
      </c>
    </row>
    <row r="447">
      <c r="B447" s="62" t="n"/>
      <c r="C447" s="63" t="n"/>
      <c r="D447" s="62" t="n"/>
      <c r="E447" s="62" t="n"/>
      <c r="F447" s="62" t="n"/>
      <c r="G447" s="64" t="n"/>
      <c r="H447" s="64" t="n"/>
      <c r="I447" s="63" t="n"/>
      <c r="J447" s="29">
        <f>IF(V447=1,IF(ISNUMBER(I447),I447,C447+IF(ISNUMBER(IFERROR(INDEX(vend_Terms,MATCH(D447,vend_Name,0)),"")),INDEX(vend_Terms,MATCH(D447,vend_Name,0)),TermsDays)),"")</f>
        <v/>
      </c>
      <c r="K447" s="65">
        <f>IF(V447=1,SUMIFS(tx_CrAmt,tx_Type,"Bill Payment",tx_Ref,B447&amp;"",tx_Vend,D447,tx_Date,"&lt;="&amp;AsOf),"")</f>
        <v/>
      </c>
      <c r="L447" s="65">
        <f>IF(V447=1,IF(C447&gt;AsOf,0,ROUND(G447-K447,2)),"")</f>
        <v/>
      </c>
      <c r="M447" s="66">
        <f>IF(V447&lt;&gt;1,"",IF(C447&gt;AsOf,"Future",IF(L447&lt;0,"Overpaid",IF(L447=0,"Paid",IF(AsOf&gt;J447,"Overdue",IF(K447&gt;0,"Partial","Unpaid"))))))</f>
        <v/>
      </c>
      <c r="N447" s="28">
        <f>IF(AND(V447=1,N(L447)&gt;0),AsOf-C447,"")</f>
        <v/>
      </c>
      <c r="O447" s="28">
        <f>IF(N447="","",MAX(0,AsOf-J447))</f>
        <v/>
      </c>
      <c r="P447" s="66">
        <f>IF(O447="","",IF(O447=0,"Current",IF(O447&lt;=30,"1-30",IF(O447&lt;=60,"31-60",IF(O447&lt;=90,"61-90","90+")))))</f>
        <v/>
      </c>
      <c r="Q447" s="66">
        <f>IF(T447&lt;&gt;"","⛔ "&amp;T447&amp;" — not posted",IF(U447&lt;&gt;"","⚠ "&amp;U447,IF(V447=1,"✓ OK","")))</f>
        <v/>
      </c>
      <c r="R447" s="67">
        <f>IF(AND(B447="",C447="",D447="",G447="",F447=""),1,0)</f>
        <v/>
      </c>
      <c r="S447" s="68">
        <f>IF(AND(TaxOn="Yes",ISNUMBER(H447)),H447,0)</f>
        <v/>
      </c>
      <c r="T447" s="67">
        <f>IF(R447=1,"",IF(B447="","Enter a bill #",IF(D447="","Select a vendor",IF(C447="","Missing bill date",IF(NOT(ISNUMBER(C447)),"Invalid date",IF(OR(C447&lt;DATE(2000,1,1),C447&gt;DATE(2099,12,31)),"Invalid date",IF(F447="","Select an expense account",IF(ISNA(MATCH(F447,coa_Name,0)),"Unknown account: "&amp;F447,IF(NOT(ISNUMBER(G447)),"Enter an amount",IF(G447&lt;=0,"Amount must be positive",IF(S447&gt;G447,"Tax is larger than the amount","")))))))))))</f>
        <v/>
      </c>
      <c r="U447" s="67">
        <f>IF(OR(R447=1,T447&lt;&gt;""),"",IF(COUNTIFS(ap_No,B447,ap_Party,D447)&gt;1,"Duplicate bill #",IF(N(L447)&lt;0,"Overpaid by "&amp;TEXT(-L447,"#,##0.00"),IF(AND(ISNUMBER(H447),N(H447)&lt;&gt;0,S447=0),"Tax ignored (tax tracking is off)",IF(AND(ISNUMBER(StartDate),C447&lt;StartDate),"Date is before the accounting start date",IF(OR(IFERROR(INDEX(coa_Type,MATCH(F447,coa_Name,0)),"")="Revenue",IFERROR(INDEX(coa_Type,MATCH(F447,coa_Name,0)),"")="Other Income",IFERROR(INDEX(coa_Type,MATCH(F447,coa_Name,0)),"")="Equity"),"Account is not an expense or asset account",""))))))</f>
        <v/>
      </c>
      <c r="V447" s="67">
        <f>IF(AND(R447=0,T447=""),1,0)</f>
        <v/>
      </c>
      <c r="W447" s="67">
        <f>IF(V447=1,F447,"")</f>
        <v/>
      </c>
      <c r="X447" s="67">
        <f>IF(V447=1,acctAP,"")</f>
        <v/>
      </c>
      <c r="Y447" s="68">
        <f>IF(V447=1,G447-S447,0)</f>
        <v/>
      </c>
      <c r="Z447" s="68">
        <f>IF(V447=1,G447,0)</f>
        <v/>
      </c>
      <c r="AA447" s="68">
        <f>IF(V447=1,S447,0)</f>
        <v/>
      </c>
    </row>
    <row r="448">
      <c r="B448" s="62" t="n"/>
      <c r="C448" s="63" t="n"/>
      <c r="D448" s="62" t="n"/>
      <c r="E448" s="62" t="n"/>
      <c r="F448" s="62" t="n"/>
      <c r="G448" s="64" t="n"/>
      <c r="H448" s="64" t="n"/>
      <c r="I448" s="63" t="n"/>
      <c r="J448" s="29">
        <f>IF(V448=1,IF(ISNUMBER(I448),I448,C448+IF(ISNUMBER(IFERROR(INDEX(vend_Terms,MATCH(D448,vend_Name,0)),"")),INDEX(vend_Terms,MATCH(D448,vend_Name,0)),TermsDays)),"")</f>
        <v/>
      </c>
      <c r="K448" s="65">
        <f>IF(V448=1,SUMIFS(tx_CrAmt,tx_Type,"Bill Payment",tx_Ref,B448&amp;"",tx_Vend,D448,tx_Date,"&lt;="&amp;AsOf),"")</f>
        <v/>
      </c>
      <c r="L448" s="65">
        <f>IF(V448=1,IF(C448&gt;AsOf,0,ROUND(G448-K448,2)),"")</f>
        <v/>
      </c>
      <c r="M448" s="66">
        <f>IF(V448&lt;&gt;1,"",IF(C448&gt;AsOf,"Future",IF(L448&lt;0,"Overpaid",IF(L448=0,"Paid",IF(AsOf&gt;J448,"Overdue",IF(K448&gt;0,"Partial","Unpaid"))))))</f>
        <v/>
      </c>
      <c r="N448" s="28">
        <f>IF(AND(V448=1,N(L448)&gt;0),AsOf-C448,"")</f>
        <v/>
      </c>
      <c r="O448" s="28">
        <f>IF(N448="","",MAX(0,AsOf-J448))</f>
        <v/>
      </c>
      <c r="P448" s="66">
        <f>IF(O448="","",IF(O448=0,"Current",IF(O448&lt;=30,"1-30",IF(O448&lt;=60,"31-60",IF(O448&lt;=90,"61-90","90+")))))</f>
        <v/>
      </c>
      <c r="Q448" s="66">
        <f>IF(T448&lt;&gt;"","⛔ "&amp;T448&amp;" — not posted",IF(U448&lt;&gt;"","⚠ "&amp;U448,IF(V448=1,"✓ OK","")))</f>
        <v/>
      </c>
      <c r="R448" s="67">
        <f>IF(AND(B448="",C448="",D448="",G448="",F448=""),1,0)</f>
        <v/>
      </c>
      <c r="S448" s="68">
        <f>IF(AND(TaxOn="Yes",ISNUMBER(H448)),H448,0)</f>
        <v/>
      </c>
      <c r="T448" s="67">
        <f>IF(R448=1,"",IF(B448="","Enter a bill #",IF(D448="","Select a vendor",IF(C448="","Missing bill date",IF(NOT(ISNUMBER(C448)),"Invalid date",IF(OR(C448&lt;DATE(2000,1,1),C448&gt;DATE(2099,12,31)),"Invalid date",IF(F448="","Select an expense account",IF(ISNA(MATCH(F448,coa_Name,0)),"Unknown account: "&amp;F448,IF(NOT(ISNUMBER(G448)),"Enter an amount",IF(G448&lt;=0,"Amount must be positive",IF(S448&gt;G448,"Tax is larger than the amount","")))))))))))</f>
        <v/>
      </c>
      <c r="U448" s="67">
        <f>IF(OR(R448=1,T448&lt;&gt;""),"",IF(COUNTIFS(ap_No,B448,ap_Party,D448)&gt;1,"Duplicate bill #",IF(N(L448)&lt;0,"Overpaid by "&amp;TEXT(-L448,"#,##0.00"),IF(AND(ISNUMBER(H448),N(H448)&lt;&gt;0,S448=0),"Tax ignored (tax tracking is off)",IF(AND(ISNUMBER(StartDate),C448&lt;StartDate),"Date is before the accounting start date",IF(OR(IFERROR(INDEX(coa_Type,MATCH(F448,coa_Name,0)),"")="Revenue",IFERROR(INDEX(coa_Type,MATCH(F448,coa_Name,0)),"")="Other Income",IFERROR(INDEX(coa_Type,MATCH(F448,coa_Name,0)),"")="Equity"),"Account is not an expense or asset account",""))))))</f>
        <v/>
      </c>
      <c r="V448" s="67">
        <f>IF(AND(R448=0,T448=""),1,0)</f>
        <v/>
      </c>
      <c r="W448" s="67">
        <f>IF(V448=1,F448,"")</f>
        <v/>
      </c>
      <c r="X448" s="67">
        <f>IF(V448=1,acctAP,"")</f>
        <v/>
      </c>
      <c r="Y448" s="68">
        <f>IF(V448=1,G448-S448,0)</f>
        <v/>
      </c>
      <c r="Z448" s="68">
        <f>IF(V448=1,G448,0)</f>
        <v/>
      </c>
      <c r="AA448" s="68">
        <f>IF(V448=1,S448,0)</f>
        <v/>
      </c>
    </row>
    <row r="449">
      <c r="B449" s="62" t="n"/>
      <c r="C449" s="63" t="n"/>
      <c r="D449" s="62" t="n"/>
      <c r="E449" s="62" t="n"/>
      <c r="F449" s="62" t="n"/>
      <c r="G449" s="64" t="n"/>
      <c r="H449" s="64" t="n"/>
      <c r="I449" s="63" t="n"/>
      <c r="J449" s="29">
        <f>IF(V449=1,IF(ISNUMBER(I449),I449,C449+IF(ISNUMBER(IFERROR(INDEX(vend_Terms,MATCH(D449,vend_Name,0)),"")),INDEX(vend_Terms,MATCH(D449,vend_Name,0)),TermsDays)),"")</f>
        <v/>
      </c>
      <c r="K449" s="65">
        <f>IF(V449=1,SUMIFS(tx_CrAmt,tx_Type,"Bill Payment",tx_Ref,B449&amp;"",tx_Vend,D449,tx_Date,"&lt;="&amp;AsOf),"")</f>
        <v/>
      </c>
      <c r="L449" s="65">
        <f>IF(V449=1,IF(C449&gt;AsOf,0,ROUND(G449-K449,2)),"")</f>
        <v/>
      </c>
      <c r="M449" s="66">
        <f>IF(V449&lt;&gt;1,"",IF(C449&gt;AsOf,"Future",IF(L449&lt;0,"Overpaid",IF(L449=0,"Paid",IF(AsOf&gt;J449,"Overdue",IF(K449&gt;0,"Partial","Unpaid"))))))</f>
        <v/>
      </c>
      <c r="N449" s="28">
        <f>IF(AND(V449=1,N(L449)&gt;0),AsOf-C449,"")</f>
        <v/>
      </c>
      <c r="O449" s="28">
        <f>IF(N449="","",MAX(0,AsOf-J449))</f>
        <v/>
      </c>
      <c r="P449" s="66">
        <f>IF(O449="","",IF(O449=0,"Current",IF(O449&lt;=30,"1-30",IF(O449&lt;=60,"31-60",IF(O449&lt;=90,"61-90","90+")))))</f>
        <v/>
      </c>
      <c r="Q449" s="66">
        <f>IF(T449&lt;&gt;"","⛔ "&amp;T449&amp;" — not posted",IF(U449&lt;&gt;"","⚠ "&amp;U449,IF(V449=1,"✓ OK","")))</f>
        <v/>
      </c>
      <c r="R449" s="67">
        <f>IF(AND(B449="",C449="",D449="",G449="",F449=""),1,0)</f>
        <v/>
      </c>
      <c r="S449" s="68">
        <f>IF(AND(TaxOn="Yes",ISNUMBER(H449)),H449,0)</f>
        <v/>
      </c>
      <c r="T449" s="67">
        <f>IF(R449=1,"",IF(B449="","Enter a bill #",IF(D449="","Select a vendor",IF(C449="","Missing bill date",IF(NOT(ISNUMBER(C449)),"Invalid date",IF(OR(C449&lt;DATE(2000,1,1),C449&gt;DATE(2099,12,31)),"Invalid date",IF(F449="","Select an expense account",IF(ISNA(MATCH(F449,coa_Name,0)),"Unknown account: "&amp;F449,IF(NOT(ISNUMBER(G449)),"Enter an amount",IF(G449&lt;=0,"Amount must be positive",IF(S449&gt;G449,"Tax is larger than the amount","")))))))))))</f>
        <v/>
      </c>
      <c r="U449" s="67">
        <f>IF(OR(R449=1,T449&lt;&gt;""),"",IF(COUNTIFS(ap_No,B449,ap_Party,D449)&gt;1,"Duplicate bill #",IF(N(L449)&lt;0,"Overpaid by "&amp;TEXT(-L449,"#,##0.00"),IF(AND(ISNUMBER(H449),N(H449)&lt;&gt;0,S449=0),"Tax ignored (tax tracking is off)",IF(AND(ISNUMBER(StartDate),C449&lt;StartDate),"Date is before the accounting start date",IF(OR(IFERROR(INDEX(coa_Type,MATCH(F449,coa_Name,0)),"")="Revenue",IFERROR(INDEX(coa_Type,MATCH(F449,coa_Name,0)),"")="Other Income",IFERROR(INDEX(coa_Type,MATCH(F449,coa_Name,0)),"")="Equity"),"Account is not an expense or asset account",""))))))</f>
        <v/>
      </c>
      <c r="V449" s="67">
        <f>IF(AND(R449=0,T449=""),1,0)</f>
        <v/>
      </c>
      <c r="W449" s="67">
        <f>IF(V449=1,F449,"")</f>
        <v/>
      </c>
      <c r="X449" s="67">
        <f>IF(V449=1,acctAP,"")</f>
        <v/>
      </c>
      <c r="Y449" s="68">
        <f>IF(V449=1,G449-S449,0)</f>
        <v/>
      </c>
      <c r="Z449" s="68">
        <f>IF(V449=1,G449,0)</f>
        <v/>
      </c>
      <c r="AA449" s="68">
        <f>IF(V449=1,S449,0)</f>
        <v/>
      </c>
    </row>
    <row r="450">
      <c r="B450" s="62" t="n"/>
      <c r="C450" s="63" t="n"/>
      <c r="D450" s="62" t="n"/>
      <c r="E450" s="62" t="n"/>
      <c r="F450" s="62" t="n"/>
      <c r="G450" s="64" t="n"/>
      <c r="H450" s="64" t="n"/>
      <c r="I450" s="63" t="n"/>
      <c r="J450" s="29">
        <f>IF(V450=1,IF(ISNUMBER(I450),I450,C450+IF(ISNUMBER(IFERROR(INDEX(vend_Terms,MATCH(D450,vend_Name,0)),"")),INDEX(vend_Terms,MATCH(D450,vend_Name,0)),TermsDays)),"")</f>
        <v/>
      </c>
      <c r="K450" s="65">
        <f>IF(V450=1,SUMIFS(tx_CrAmt,tx_Type,"Bill Payment",tx_Ref,B450&amp;"",tx_Vend,D450,tx_Date,"&lt;="&amp;AsOf),"")</f>
        <v/>
      </c>
      <c r="L450" s="65">
        <f>IF(V450=1,IF(C450&gt;AsOf,0,ROUND(G450-K450,2)),"")</f>
        <v/>
      </c>
      <c r="M450" s="66">
        <f>IF(V450&lt;&gt;1,"",IF(C450&gt;AsOf,"Future",IF(L450&lt;0,"Overpaid",IF(L450=0,"Paid",IF(AsOf&gt;J450,"Overdue",IF(K450&gt;0,"Partial","Unpaid"))))))</f>
        <v/>
      </c>
      <c r="N450" s="28">
        <f>IF(AND(V450=1,N(L450)&gt;0),AsOf-C450,"")</f>
        <v/>
      </c>
      <c r="O450" s="28">
        <f>IF(N450="","",MAX(0,AsOf-J450))</f>
        <v/>
      </c>
      <c r="P450" s="66">
        <f>IF(O450="","",IF(O450=0,"Current",IF(O450&lt;=30,"1-30",IF(O450&lt;=60,"31-60",IF(O450&lt;=90,"61-90","90+")))))</f>
        <v/>
      </c>
      <c r="Q450" s="66">
        <f>IF(T450&lt;&gt;"","⛔ "&amp;T450&amp;" — not posted",IF(U450&lt;&gt;"","⚠ "&amp;U450,IF(V450=1,"✓ OK","")))</f>
        <v/>
      </c>
      <c r="R450" s="67">
        <f>IF(AND(B450="",C450="",D450="",G450="",F450=""),1,0)</f>
        <v/>
      </c>
      <c r="S450" s="68">
        <f>IF(AND(TaxOn="Yes",ISNUMBER(H450)),H450,0)</f>
        <v/>
      </c>
      <c r="T450" s="67">
        <f>IF(R450=1,"",IF(B450="","Enter a bill #",IF(D450="","Select a vendor",IF(C450="","Missing bill date",IF(NOT(ISNUMBER(C450)),"Invalid date",IF(OR(C450&lt;DATE(2000,1,1),C450&gt;DATE(2099,12,31)),"Invalid date",IF(F450="","Select an expense account",IF(ISNA(MATCH(F450,coa_Name,0)),"Unknown account: "&amp;F450,IF(NOT(ISNUMBER(G450)),"Enter an amount",IF(G450&lt;=0,"Amount must be positive",IF(S450&gt;G450,"Tax is larger than the amount","")))))))))))</f>
        <v/>
      </c>
      <c r="U450" s="67">
        <f>IF(OR(R450=1,T450&lt;&gt;""),"",IF(COUNTIFS(ap_No,B450,ap_Party,D450)&gt;1,"Duplicate bill #",IF(N(L450)&lt;0,"Overpaid by "&amp;TEXT(-L450,"#,##0.00"),IF(AND(ISNUMBER(H450),N(H450)&lt;&gt;0,S450=0),"Tax ignored (tax tracking is off)",IF(AND(ISNUMBER(StartDate),C450&lt;StartDate),"Date is before the accounting start date",IF(OR(IFERROR(INDEX(coa_Type,MATCH(F450,coa_Name,0)),"")="Revenue",IFERROR(INDEX(coa_Type,MATCH(F450,coa_Name,0)),"")="Other Income",IFERROR(INDEX(coa_Type,MATCH(F450,coa_Name,0)),"")="Equity"),"Account is not an expense or asset account",""))))))</f>
        <v/>
      </c>
      <c r="V450" s="67">
        <f>IF(AND(R450=0,T450=""),1,0)</f>
        <v/>
      </c>
      <c r="W450" s="67">
        <f>IF(V450=1,F450,"")</f>
        <v/>
      </c>
      <c r="X450" s="67">
        <f>IF(V450=1,acctAP,"")</f>
        <v/>
      </c>
      <c r="Y450" s="68">
        <f>IF(V450=1,G450-S450,0)</f>
        <v/>
      </c>
      <c r="Z450" s="68">
        <f>IF(V450=1,G450,0)</f>
        <v/>
      </c>
      <c r="AA450" s="68">
        <f>IF(V450=1,S450,0)</f>
        <v/>
      </c>
    </row>
    <row r="451">
      <c r="B451" s="62" t="n"/>
      <c r="C451" s="63" t="n"/>
      <c r="D451" s="62" t="n"/>
      <c r="E451" s="62" t="n"/>
      <c r="F451" s="62" t="n"/>
      <c r="G451" s="64" t="n"/>
      <c r="H451" s="64" t="n"/>
      <c r="I451" s="63" t="n"/>
      <c r="J451" s="29">
        <f>IF(V451=1,IF(ISNUMBER(I451),I451,C451+IF(ISNUMBER(IFERROR(INDEX(vend_Terms,MATCH(D451,vend_Name,0)),"")),INDEX(vend_Terms,MATCH(D451,vend_Name,0)),TermsDays)),"")</f>
        <v/>
      </c>
      <c r="K451" s="65">
        <f>IF(V451=1,SUMIFS(tx_CrAmt,tx_Type,"Bill Payment",tx_Ref,B451&amp;"",tx_Vend,D451,tx_Date,"&lt;="&amp;AsOf),"")</f>
        <v/>
      </c>
      <c r="L451" s="65">
        <f>IF(V451=1,IF(C451&gt;AsOf,0,ROUND(G451-K451,2)),"")</f>
        <v/>
      </c>
      <c r="M451" s="66">
        <f>IF(V451&lt;&gt;1,"",IF(C451&gt;AsOf,"Future",IF(L451&lt;0,"Overpaid",IF(L451=0,"Paid",IF(AsOf&gt;J451,"Overdue",IF(K451&gt;0,"Partial","Unpaid"))))))</f>
        <v/>
      </c>
      <c r="N451" s="28">
        <f>IF(AND(V451=1,N(L451)&gt;0),AsOf-C451,"")</f>
        <v/>
      </c>
      <c r="O451" s="28">
        <f>IF(N451="","",MAX(0,AsOf-J451))</f>
        <v/>
      </c>
      <c r="P451" s="66">
        <f>IF(O451="","",IF(O451=0,"Current",IF(O451&lt;=30,"1-30",IF(O451&lt;=60,"31-60",IF(O451&lt;=90,"61-90","90+")))))</f>
        <v/>
      </c>
      <c r="Q451" s="66">
        <f>IF(T451&lt;&gt;"","⛔ "&amp;T451&amp;" — not posted",IF(U451&lt;&gt;"","⚠ "&amp;U451,IF(V451=1,"✓ OK","")))</f>
        <v/>
      </c>
      <c r="R451" s="67">
        <f>IF(AND(B451="",C451="",D451="",G451="",F451=""),1,0)</f>
        <v/>
      </c>
      <c r="S451" s="68">
        <f>IF(AND(TaxOn="Yes",ISNUMBER(H451)),H451,0)</f>
        <v/>
      </c>
      <c r="T451" s="67">
        <f>IF(R451=1,"",IF(B451="","Enter a bill #",IF(D451="","Select a vendor",IF(C451="","Missing bill date",IF(NOT(ISNUMBER(C451)),"Invalid date",IF(OR(C451&lt;DATE(2000,1,1),C451&gt;DATE(2099,12,31)),"Invalid date",IF(F451="","Select an expense account",IF(ISNA(MATCH(F451,coa_Name,0)),"Unknown account: "&amp;F451,IF(NOT(ISNUMBER(G451)),"Enter an amount",IF(G451&lt;=0,"Amount must be positive",IF(S451&gt;G451,"Tax is larger than the amount","")))))))))))</f>
        <v/>
      </c>
      <c r="U451" s="67">
        <f>IF(OR(R451=1,T451&lt;&gt;""),"",IF(COUNTIFS(ap_No,B451,ap_Party,D451)&gt;1,"Duplicate bill #",IF(N(L451)&lt;0,"Overpaid by "&amp;TEXT(-L451,"#,##0.00"),IF(AND(ISNUMBER(H451),N(H451)&lt;&gt;0,S451=0),"Tax ignored (tax tracking is off)",IF(AND(ISNUMBER(StartDate),C451&lt;StartDate),"Date is before the accounting start date",IF(OR(IFERROR(INDEX(coa_Type,MATCH(F451,coa_Name,0)),"")="Revenue",IFERROR(INDEX(coa_Type,MATCH(F451,coa_Name,0)),"")="Other Income",IFERROR(INDEX(coa_Type,MATCH(F451,coa_Name,0)),"")="Equity"),"Account is not an expense or asset account",""))))))</f>
        <v/>
      </c>
      <c r="V451" s="67">
        <f>IF(AND(R451=0,T451=""),1,0)</f>
        <v/>
      </c>
      <c r="W451" s="67">
        <f>IF(V451=1,F451,"")</f>
        <v/>
      </c>
      <c r="X451" s="67">
        <f>IF(V451=1,acctAP,"")</f>
        <v/>
      </c>
      <c r="Y451" s="68">
        <f>IF(V451=1,G451-S451,0)</f>
        <v/>
      </c>
      <c r="Z451" s="68">
        <f>IF(V451=1,G451,0)</f>
        <v/>
      </c>
      <c r="AA451" s="68">
        <f>IF(V451=1,S451,0)</f>
        <v/>
      </c>
    </row>
    <row r="452">
      <c r="B452" s="62" t="n"/>
      <c r="C452" s="63" t="n"/>
      <c r="D452" s="62" t="n"/>
      <c r="E452" s="62" t="n"/>
      <c r="F452" s="62" t="n"/>
      <c r="G452" s="64" t="n"/>
      <c r="H452" s="64" t="n"/>
      <c r="I452" s="63" t="n"/>
      <c r="J452" s="29">
        <f>IF(V452=1,IF(ISNUMBER(I452),I452,C452+IF(ISNUMBER(IFERROR(INDEX(vend_Terms,MATCH(D452,vend_Name,0)),"")),INDEX(vend_Terms,MATCH(D452,vend_Name,0)),TermsDays)),"")</f>
        <v/>
      </c>
      <c r="K452" s="65">
        <f>IF(V452=1,SUMIFS(tx_CrAmt,tx_Type,"Bill Payment",tx_Ref,B452&amp;"",tx_Vend,D452,tx_Date,"&lt;="&amp;AsOf),"")</f>
        <v/>
      </c>
      <c r="L452" s="65">
        <f>IF(V452=1,IF(C452&gt;AsOf,0,ROUND(G452-K452,2)),"")</f>
        <v/>
      </c>
      <c r="M452" s="66">
        <f>IF(V452&lt;&gt;1,"",IF(C452&gt;AsOf,"Future",IF(L452&lt;0,"Overpaid",IF(L452=0,"Paid",IF(AsOf&gt;J452,"Overdue",IF(K452&gt;0,"Partial","Unpaid"))))))</f>
        <v/>
      </c>
      <c r="N452" s="28">
        <f>IF(AND(V452=1,N(L452)&gt;0),AsOf-C452,"")</f>
        <v/>
      </c>
      <c r="O452" s="28">
        <f>IF(N452="","",MAX(0,AsOf-J452))</f>
        <v/>
      </c>
      <c r="P452" s="66">
        <f>IF(O452="","",IF(O452=0,"Current",IF(O452&lt;=30,"1-30",IF(O452&lt;=60,"31-60",IF(O452&lt;=90,"61-90","90+")))))</f>
        <v/>
      </c>
      <c r="Q452" s="66">
        <f>IF(T452&lt;&gt;"","⛔ "&amp;T452&amp;" — not posted",IF(U452&lt;&gt;"","⚠ "&amp;U452,IF(V452=1,"✓ OK","")))</f>
        <v/>
      </c>
      <c r="R452" s="67">
        <f>IF(AND(B452="",C452="",D452="",G452="",F452=""),1,0)</f>
        <v/>
      </c>
      <c r="S452" s="68">
        <f>IF(AND(TaxOn="Yes",ISNUMBER(H452)),H452,0)</f>
        <v/>
      </c>
      <c r="T452" s="67">
        <f>IF(R452=1,"",IF(B452="","Enter a bill #",IF(D452="","Select a vendor",IF(C452="","Missing bill date",IF(NOT(ISNUMBER(C452)),"Invalid date",IF(OR(C452&lt;DATE(2000,1,1),C452&gt;DATE(2099,12,31)),"Invalid date",IF(F452="","Select an expense account",IF(ISNA(MATCH(F452,coa_Name,0)),"Unknown account: "&amp;F452,IF(NOT(ISNUMBER(G452)),"Enter an amount",IF(G452&lt;=0,"Amount must be positive",IF(S452&gt;G452,"Tax is larger than the amount","")))))))))))</f>
        <v/>
      </c>
      <c r="U452" s="67">
        <f>IF(OR(R452=1,T452&lt;&gt;""),"",IF(COUNTIFS(ap_No,B452,ap_Party,D452)&gt;1,"Duplicate bill #",IF(N(L452)&lt;0,"Overpaid by "&amp;TEXT(-L452,"#,##0.00"),IF(AND(ISNUMBER(H452),N(H452)&lt;&gt;0,S452=0),"Tax ignored (tax tracking is off)",IF(AND(ISNUMBER(StartDate),C452&lt;StartDate),"Date is before the accounting start date",IF(OR(IFERROR(INDEX(coa_Type,MATCH(F452,coa_Name,0)),"")="Revenue",IFERROR(INDEX(coa_Type,MATCH(F452,coa_Name,0)),"")="Other Income",IFERROR(INDEX(coa_Type,MATCH(F452,coa_Name,0)),"")="Equity"),"Account is not an expense or asset account",""))))))</f>
        <v/>
      </c>
      <c r="V452" s="67">
        <f>IF(AND(R452=0,T452=""),1,0)</f>
        <v/>
      </c>
      <c r="W452" s="67">
        <f>IF(V452=1,F452,"")</f>
        <v/>
      </c>
      <c r="X452" s="67">
        <f>IF(V452=1,acctAP,"")</f>
        <v/>
      </c>
      <c r="Y452" s="68">
        <f>IF(V452=1,G452-S452,0)</f>
        <v/>
      </c>
      <c r="Z452" s="68">
        <f>IF(V452=1,G452,0)</f>
        <v/>
      </c>
      <c r="AA452" s="68">
        <f>IF(V452=1,S452,0)</f>
        <v/>
      </c>
    </row>
    <row r="453">
      <c r="B453" s="62" t="n"/>
      <c r="C453" s="63" t="n"/>
      <c r="D453" s="62" t="n"/>
      <c r="E453" s="62" t="n"/>
      <c r="F453" s="62" t="n"/>
      <c r="G453" s="64" t="n"/>
      <c r="H453" s="64" t="n"/>
      <c r="I453" s="63" t="n"/>
      <c r="J453" s="29">
        <f>IF(V453=1,IF(ISNUMBER(I453),I453,C453+IF(ISNUMBER(IFERROR(INDEX(vend_Terms,MATCH(D453,vend_Name,0)),"")),INDEX(vend_Terms,MATCH(D453,vend_Name,0)),TermsDays)),"")</f>
        <v/>
      </c>
      <c r="K453" s="65">
        <f>IF(V453=1,SUMIFS(tx_CrAmt,tx_Type,"Bill Payment",tx_Ref,B453&amp;"",tx_Vend,D453,tx_Date,"&lt;="&amp;AsOf),"")</f>
        <v/>
      </c>
      <c r="L453" s="65">
        <f>IF(V453=1,IF(C453&gt;AsOf,0,ROUND(G453-K453,2)),"")</f>
        <v/>
      </c>
      <c r="M453" s="66">
        <f>IF(V453&lt;&gt;1,"",IF(C453&gt;AsOf,"Future",IF(L453&lt;0,"Overpaid",IF(L453=0,"Paid",IF(AsOf&gt;J453,"Overdue",IF(K453&gt;0,"Partial","Unpaid"))))))</f>
        <v/>
      </c>
      <c r="N453" s="28">
        <f>IF(AND(V453=1,N(L453)&gt;0),AsOf-C453,"")</f>
        <v/>
      </c>
      <c r="O453" s="28">
        <f>IF(N453="","",MAX(0,AsOf-J453))</f>
        <v/>
      </c>
      <c r="P453" s="66">
        <f>IF(O453="","",IF(O453=0,"Current",IF(O453&lt;=30,"1-30",IF(O453&lt;=60,"31-60",IF(O453&lt;=90,"61-90","90+")))))</f>
        <v/>
      </c>
      <c r="Q453" s="66">
        <f>IF(T453&lt;&gt;"","⛔ "&amp;T453&amp;" — not posted",IF(U453&lt;&gt;"","⚠ "&amp;U453,IF(V453=1,"✓ OK","")))</f>
        <v/>
      </c>
      <c r="R453" s="67">
        <f>IF(AND(B453="",C453="",D453="",G453="",F453=""),1,0)</f>
        <v/>
      </c>
      <c r="S453" s="68">
        <f>IF(AND(TaxOn="Yes",ISNUMBER(H453)),H453,0)</f>
        <v/>
      </c>
      <c r="T453" s="67">
        <f>IF(R453=1,"",IF(B453="","Enter a bill #",IF(D453="","Select a vendor",IF(C453="","Missing bill date",IF(NOT(ISNUMBER(C453)),"Invalid date",IF(OR(C453&lt;DATE(2000,1,1),C453&gt;DATE(2099,12,31)),"Invalid date",IF(F453="","Select an expense account",IF(ISNA(MATCH(F453,coa_Name,0)),"Unknown account: "&amp;F453,IF(NOT(ISNUMBER(G453)),"Enter an amount",IF(G453&lt;=0,"Amount must be positive",IF(S453&gt;G453,"Tax is larger than the amount","")))))))))))</f>
        <v/>
      </c>
      <c r="U453" s="67">
        <f>IF(OR(R453=1,T453&lt;&gt;""),"",IF(COUNTIFS(ap_No,B453,ap_Party,D453)&gt;1,"Duplicate bill #",IF(N(L453)&lt;0,"Overpaid by "&amp;TEXT(-L453,"#,##0.00"),IF(AND(ISNUMBER(H453),N(H453)&lt;&gt;0,S453=0),"Tax ignored (tax tracking is off)",IF(AND(ISNUMBER(StartDate),C453&lt;StartDate),"Date is before the accounting start date",IF(OR(IFERROR(INDEX(coa_Type,MATCH(F453,coa_Name,0)),"")="Revenue",IFERROR(INDEX(coa_Type,MATCH(F453,coa_Name,0)),"")="Other Income",IFERROR(INDEX(coa_Type,MATCH(F453,coa_Name,0)),"")="Equity"),"Account is not an expense or asset account",""))))))</f>
        <v/>
      </c>
      <c r="V453" s="67">
        <f>IF(AND(R453=0,T453=""),1,0)</f>
        <v/>
      </c>
      <c r="W453" s="67">
        <f>IF(V453=1,F453,"")</f>
        <v/>
      </c>
      <c r="X453" s="67">
        <f>IF(V453=1,acctAP,"")</f>
        <v/>
      </c>
      <c r="Y453" s="68">
        <f>IF(V453=1,G453-S453,0)</f>
        <v/>
      </c>
      <c r="Z453" s="68">
        <f>IF(V453=1,G453,0)</f>
        <v/>
      </c>
      <c r="AA453" s="68">
        <f>IF(V453=1,S453,0)</f>
        <v/>
      </c>
    </row>
    <row r="454">
      <c r="B454" s="62" t="n"/>
      <c r="C454" s="63" t="n"/>
      <c r="D454" s="62" t="n"/>
      <c r="E454" s="62" t="n"/>
      <c r="F454" s="62" t="n"/>
      <c r="G454" s="64" t="n"/>
      <c r="H454" s="64" t="n"/>
      <c r="I454" s="63" t="n"/>
      <c r="J454" s="29">
        <f>IF(V454=1,IF(ISNUMBER(I454),I454,C454+IF(ISNUMBER(IFERROR(INDEX(vend_Terms,MATCH(D454,vend_Name,0)),"")),INDEX(vend_Terms,MATCH(D454,vend_Name,0)),TermsDays)),"")</f>
        <v/>
      </c>
      <c r="K454" s="65">
        <f>IF(V454=1,SUMIFS(tx_CrAmt,tx_Type,"Bill Payment",tx_Ref,B454&amp;"",tx_Vend,D454,tx_Date,"&lt;="&amp;AsOf),"")</f>
        <v/>
      </c>
      <c r="L454" s="65">
        <f>IF(V454=1,IF(C454&gt;AsOf,0,ROUND(G454-K454,2)),"")</f>
        <v/>
      </c>
      <c r="M454" s="66">
        <f>IF(V454&lt;&gt;1,"",IF(C454&gt;AsOf,"Future",IF(L454&lt;0,"Overpaid",IF(L454=0,"Paid",IF(AsOf&gt;J454,"Overdue",IF(K454&gt;0,"Partial","Unpaid"))))))</f>
        <v/>
      </c>
      <c r="N454" s="28">
        <f>IF(AND(V454=1,N(L454)&gt;0),AsOf-C454,"")</f>
        <v/>
      </c>
      <c r="O454" s="28">
        <f>IF(N454="","",MAX(0,AsOf-J454))</f>
        <v/>
      </c>
      <c r="P454" s="66">
        <f>IF(O454="","",IF(O454=0,"Current",IF(O454&lt;=30,"1-30",IF(O454&lt;=60,"31-60",IF(O454&lt;=90,"61-90","90+")))))</f>
        <v/>
      </c>
      <c r="Q454" s="66">
        <f>IF(T454&lt;&gt;"","⛔ "&amp;T454&amp;" — not posted",IF(U454&lt;&gt;"","⚠ "&amp;U454,IF(V454=1,"✓ OK","")))</f>
        <v/>
      </c>
      <c r="R454" s="67">
        <f>IF(AND(B454="",C454="",D454="",G454="",F454=""),1,0)</f>
        <v/>
      </c>
      <c r="S454" s="68">
        <f>IF(AND(TaxOn="Yes",ISNUMBER(H454)),H454,0)</f>
        <v/>
      </c>
      <c r="T454" s="67">
        <f>IF(R454=1,"",IF(B454="","Enter a bill #",IF(D454="","Select a vendor",IF(C454="","Missing bill date",IF(NOT(ISNUMBER(C454)),"Invalid date",IF(OR(C454&lt;DATE(2000,1,1),C454&gt;DATE(2099,12,31)),"Invalid date",IF(F454="","Select an expense account",IF(ISNA(MATCH(F454,coa_Name,0)),"Unknown account: "&amp;F454,IF(NOT(ISNUMBER(G454)),"Enter an amount",IF(G454&lt;=0,"Amount must be positive",IF(S454&gt;G454,"Tax is larger than the amount","")))))))))))</f>
        <v/>
      </c>
      <c r="U454" s="67">
        <f>IF(OR(R454=1,T454&lt;&gt;""),"",IF(COUNTIFS(ap_No,B454,ap_Party,D454)&gt;1,"Duplicate bill #",IF(N(L454)&lt;0,"Overpaid by "&amp;TEXT(-L454,"#,##0.00"),IF(AND(ISNUMBER(H454),N(H454)&lt;&gt;0,S454=0),"Tax ignored (tax tracking is off)",IF(AND(ISNUMBER(StartDate),C454&lt;StartDate),"Date is before the accounting start date",IF(OR(IFERROR(INDEX(coa_Type,MATCH(F454,coa_Name,0)),"")="Revenue",IFERROR(INDEX(coa_Type,MATCH(F454,coa_Name,0)),"")="Other Income",IFERROR(INDEX(coa_Type,MATCH(F454,coa_Name,0)),"")="Equity"),"Account is not an expense or asset account",""))))))</f>
        <v/>
      </c>
      <c r="V454" s="67">
        <f>IF(AND(R454=0,T454=""),1,0)</f>
        <v/>
      </c>
      <c r="W454" s="67">
        <f>IF(V454=1,F454,"")</f>
        <v/>
      </c>
      <c r="X454" s="67">
        <f>IF(V454=1,acctAP,"")</f>
        <v/>
      </c>
      <c r="Y454" s="68">
        <f>IF(V454=1,G454-S454,0)</f>
        <v/>
      </c>
      <c r="Z454" s="68">
        <f>IF(V454=1,G454,0)</f>
        <v/>
      </c>
      <c r="AA454" s="68">
        <f>IF(V454=1,S454,0)</f>
        <v/>
      </c>
    </row>
    <row r="455">
      <c r="B455" s="62" t="n"/>
      <c r="C455" s="63" t="n"/>
      <c r="D455" s="62" t="n"/>
      <c r="E455" s="62" t="n"/>
      <c r="F455" s="62" t="n"/>
      <c r="G455" s="64" t="n"/>
      <c r="H455" s="64" t="n"/>
      <c r="I455" s="63" t="n"/>
      <c r="J455" s="29">
        <f>IF(V455=1,IF(ISNUMBER(I455),I455,C455+IF(ISNUMBER(IFERROR(INDEX(vend_Terms,MATCH(D455,vend_Name,0)),"")),INDEX(vend_Terms,MATCH(D455,vend_Name,0)),TermsDays)),"")</f>
        <v/>
      </c>
      <c r="K455" s="65">
        <f>IF(V455=1,SUMIFS(tx_CrAmt,tx_Type,"Bill Payment",tx_Ref,B455&amp;"",tx_Vend,D455,tx_Date,"&lt;="&amp;AsOf),"")</f>
        <v/>
      </c>
      <c r="L455" s="65">
        <f>IF(V455=1,IF(C455&gt;AsOf,0,ROUND(G455-K455,2)),"")</f>
        <v/>
      </c>
      <c r="M455" s="66">
        <f>IF(V455&lt;&gt;1,"",IF(C455&gt;AsOf,"Future",IF(L455&lt;0,"Overpaid",IF(L455=0,"Paid",IF(AsOf&gt;J455,"Overdue",IF(K455&gt;0,"Partial","Unpaid"))))))</f>
        <v/>
      </c>
      <c r="N455" s="28">
        <f>IF(AND(V455=1,N(L455)&gt;0),AsOf-C455,"")</f>
        <v/>
      </c>
      <c r="O455" s="28">
        <f>IF(N455="","",MAX(0,AsOf-J455))</f>
        <v/>
      </c>
      <c r="P455" s="66">
        <f>IF(O455="","",IF(O455=0,"Current",IF(O455&lt;=30,"1-30",IF(O455&lt;=60,"31-60",IF(O455&lt;=90,"61-90","90+")))))</f>
        <v/>
      </c>
      <c r="Q455" s="66">
        <f>IF(T455&lt;&gt;"","⛔ "&amp;T455&amp;" — not posted",IF(U455&lt;&gt;"","⚠ "&amp;U455,IF(V455=1,"✓ OK","")))</f>
        <v/>
      </c>
      <c r="R455" s="67">
        <f>IF(AND(B455="",C455="",D455="",G455="",F455=""),1,0)</f>
        <v/>
      </c>
      <c r="S455" s="68">
        <f>IF(AND(TaxOn="Yes",ISNUMBER(H455)),H455,0)</f>
        <v/>
      </c>
      <c r="T455" s="67">
        <f>IF(R455=1,"",IF(B455="","Enter a bill #",IF(D455="","Select a vendor",IF(C455="","Missing bill date",IF(NOT(ISNUMBER(C455)),"Invalid date",IF(OR(C455&lt;DATE(2000,1,1),C455&gt;DATE(2099,12,31)),"Invalid date",IF(F455="","Select an expense account",IF(ISNA(MATCH(F455,coa_Name,0)),"Unknown account: "&amp;F455,IF(NOT(ISNUMBER(G455)),"Enter an amount",IF(G455&lt;=0,"Amount must be positive",IF(S455&gt;G455,"Tax is larger than the amount","")))))))))))</f>
        <v/>
      </c>
      <c r="U455" s="67">
        <f>IF(OR(R455=1,T455&lt;&gt;""),"",IF(COUNTIFS(ap_No,B455,ap_Party,D455)&gt;1,"Duplicate bill #",IF(N(L455)&lt;0,"Overpaid by "&amp;TEXT(-L455,"#,##0.00"),IF(AND(ISNUMBER(H455),N(H455)&lt;&gt;0,S455=0),"Tax ignored (tax tracking is off)",IF(AND(ISNUMBER(StartDate),C455&lt;StartDate),"Date is before the accounting start date",IF(OR(IFERROR(INDEX(coa_Type,MATCH(F455,coa_Name,0)),"")="Revenue",IFERROR(INDEX(coa_Type,MATCH(F455,coa_Name,0)),"")="Other Income",IFERROR(INDEX(coa_Type,MATCH(F455,coa_Name,0)),"")="Equity"),"Account is not an expense or asset account",""))))))</f>
        <v/>
      </c>
      <c r="V455" s="67">
        <f>IF(AND(R455=0,T455=""),1,0)</f>
        <v/>
      </c>
      <c r="W455" s="67">
        <f>IF(V455=1,F455,"")</f>
        <v/>
      </c>
      <c r="X455" s="67">
        <f>IF(V455=1,acctAP,"")</f>
        <v/>
      </c>
      <c r="Y455" s="68">
        <f>IF(V455=1,G455-S455,0)</f>
        <v/>
      </c>
      <c r="Z455" s="68">
        <f>IF(V455=1,G455,0)</f>
        <v/>
      </c>
      <c r="AA455" s="68">
        <f>IF(V455=1,S455,0)</f>
        <v/>
      </c>
    </row>
    <row r="456">
      <c r="B456" s="62" t="n"/>
      <c r="C456" s="63" t="n"/>
      <c r="D456" s="62" t="n"/>
      <c r="E456" s="62" t="n"/>
      <c r="F456" s="62" t="n"/>
      <c r="G456" s="64" t="n"/>
      <c r="H456" s="64" t="n"/>
      <c r="I456" s="63" t="n"/>
      <c r="J456" s="29">
        <f>IF(V456=1,IF(ISNUMBER(I456),I456,C456+IF(ISNUMBER(IFERROR(INDEX(vend_Terms,MATCH(D456,vend_Name,0)),"")),INDEX(vend_Terms,MATCH(D456,vend_Name,0)),TermsDays)),"")</f>
        <v/>
      </c>
      <c r="K456" s="65">
        <f>IF(V456=1,SUMIFS(tx_CrAmt,tx_Type,"Bill Payment",tx_Ref,B456&amp;"",tx_Vend,D456,tx_Date,"&lt;="&amp;AsOf),"")</f>
        <v/>
      </c>
      <c r="L456" s="65">
        <f>IF(V456=1,IF(C456&gt;AsOf,0,ROUND(G456-K456,2)),"")</f>
        <v/>
      </c>
      <c r="M456" s="66">
        <f>IF(V456&lt;&gt;1,"",IF(C456&gt;AsOf,"Future",IF(L456&lt;0,"Overpaid",IF(L456=0,"Paid",IF(AsOf&gt;J456,"Overdue",IF(K456&gt;0,"Partial","Unpaid"))))))</f>
        <v/>
      </c>
      <c r="N456" s="28">
        <f>IF(AND(V456=1,N(L456)&gt;0),AsOf-C456,"")</f>
        <v/>
      </c>
      <c r="O456" s="28">
        <f>IF(N456="","",MAX(0,AsOf-J456))</f>
        <v/>
      </c>
      <c r="P456" s="66">
        <f>IF(O456="","",IF(O456=0,"Current",IF(O456&lt;=30,"1-30",IF(O456&lt;=60,"31-60",IF(O456&lt;=90,"61-90","90+")))))</f>
        <v/>
      </c>
      <c r="Q456" s="66">
        <f>IF(T456&lt;&gt;"","⛔ "&amp;T456&amp;" — not posted",IF(U456&lt;&gt;"","⚠ "&amp;U456,IF(V456=1,"✓ OK","")))</f>
        <v/>
      </c>
      <c r="R456" s="67">
        <f>IF(AND(B456="",C456="",D456="",G456="",F456=""),1,0)</f>
        <v/>
      </c>
      <c r="S456" s="68">
        <f>IF(AND(TaxOn="Yes",ISNUMBER(H456)),H456,0)</f>
        <v/>
      </c>
      <c r="T456" s="67">
        <f>IF(R456=1,"",IF(B456="","Enter a bill #",IF(D456="","Select a vendor",IF(C456="","Missing bill date",IF(NOT(ISNUMBER(C456)),"Invalid date",IF(OR(C456&lt;DATE(2000,1,1),C456&gt;DATE(2099,12,31)),"Invalid date",IF(F456="","Select an expense account",IF(ISNA(MATCH(F456,coa_Name,0)),"Unknown account: "&amp;F456,IF(NOT(ISNUMBER(G456)),"Enter an amount",IF(G456&lt;=0,"Amount must be positive",IF(S456&gt;G456,"Tax is larger than the amount","")))))))))))</f>
        <v/>
      </c>
      <c r="U456" s="67">
        <f>IF(OR(R456=1,T456&lt;&gt;""),"",IF(COUNTIFS(ap_No,B456,ap_Party,D456)&gt;1,"Duplicate bill #",IF(N(L456)&lt;0,"Overpaid by "&amp;TEXT(-L456,"#,##0.00"),IF(AND(ISNUMBER(H456),N(H456)&lt;&gt;0,S456=0),"Tax ignored (tax tracking is off)",IF(AND(ISNUMBER(StartDate),C456&lt;StartDate),"Date is before the accounting start date",IF(OR(IFERROR(INDEX(coa_Type,MATCH(F456,coa_Name,0)),"")="Revenue",IFERROR(INDEX(coa_Type,MATCH(F456,coa_Name,0)),"")="Other Income",IFERROR(INDEX(coa_Type,MATCH(F456,coa_Name,0)),"")="Equity"),"Account is not an expense or asset account",""))))))</f>
        <v/>
      </c>
      <c r="V456" s="67">
        <f>IF(AND(R456=0,T456=""),1,0)</f>
        <v/>
      </c>
      <c r="W456" s="67">
        <f>IF(V456=1,F456,"")</f>
        <v/>
      </c>
      <c r="X456" s="67">
        <f>IF(V456=1,acctAP,"")</f>
        <v/>
      </c>
      <c r="Y456" s="68">
        <f>IF(V456=1,G456-S456,0)</f>
        <v/>
      </c>
      <c r="Z456" s="68">
        <f>IF(V456=1,G456,0)</f>
        <v/>
      </c>
      <c r="AA456" s="68">
        <f>IF(V456=1,S456,0)</f>
        <v/>
      </c>
    </row>
    <row r="457">
      <c r="B457" s="62" t="n"/>
      <c r="C457" s="63" t="n"/>
      <c r="D457" s="62" t="n"/>
      <c r="E457" s="62" t="n"/>
      <c r="F457" s="62" t="n"/>
      <c r="G457" s="64" t="n"/>
      <c r="H457" s="64" t="n"/>
      <c r="I457" s="63" t="n"/>
      <c r="J457" s="29">
        <f>IF(V457=1,IF(ISNUMBER(I457),I457,C457+IF(ISNUMBER(IFERROR(INDEX(vend_Terms,MATCH(D457,vend_Name,0)),"")),INDEX(vend_Terms,MATCH(D457,vend_Name,0)),TermsDays)),"")</f>
        <v/>
      </c>
      <c r="K457" s="65">
        <f>IF(V457=1,SUMIFS(tx_CrAmt,tx_Type,"Bill Payment",tx_Ref,B457&amp;"",tx_Vend,D457,tx_Date,"&lt;="&amp;AsOf),"")</f>
        <v/>
      </c>
      <c r="L457" s="65">
        <f>IF(V457=1,IF(C457&gt;AsOf,0,ROUND(G457-K457,2)),"")</f>
        <v/>
      </c>
      <c r="M457" s="66">
        <f>IF(V457&lt;&gt;1,"",IF(C457&gt;AsOf,"Future",IF(L457&lt;0,"Overpaid",IF(L457=0,"Paid",IF(AsOf&gt;J457,"Overdue",IF(K457&gt;0,"Partial","Unpaid"))))))</f>
        <v/>
      </c>
      <c r="N457" s="28">
        <f>IF(AND(V457=1,N(L457)&gt;0),AsOf-C457,"")</f>
        <v/>
      </c>
      <c r="O457" s="28">
        <f>IF(N457="","",MAX(0,AsOf-J457))</f>
        <v/>
      </c>
      <c r="P457" s="66">
        <f>IF(O457="","",IF(O457=0,"Current",IF(O457&lt;=30,"1-30",IF(O457&lt;=60,"31-60",IF(O457&lt;=90,"61-90","90+")))))</f>
        <v/>
      </c>
      <c r="Q457" s="66">
        <f>IF(T457&lt;&gt;"","⛔ "&amp;T457&amp;" — not posted",IF(U457&lt;&gt;"","⚠ "&amp;U457,IF(V457=1,"✓ OK","")))</f>
        <v/>
      </c>
      <c r="R457" s="67">
        <f>IF(AND(B457="",C457="",D457="",G457="",F457=""),1,0)</f>
        <v/>
      </c>
      <c r="S457" s="68">
        <f>IF(AND(TaxOn="Yes",ISNUMBER(H457)),H457,0)</f>
        <v/>
      </c>
      <c r="T457" s="67">
        <f>IF(R457=1,"",IF(B457="","Enter a bill #",IF(D457="","Select a vendor",IF(C457="","Missing bill date",IF(NOT(ISNUMBER(C457)),"Invalid date",IF(OR(C457&lt;DATE(2000,1,1),C457&gt;DATE(2099,12,31)),"Invalid date",IF(F457="","Select an expense account",IF(ISNA(MATCH(F457,coa_Name,0)),"Unknown account: "&amp;F457,IF(NOT(ISNUMBER(G457)),"Enter an amount",IF(G457&lt;=0,"Amount must be positive",IF(S457&gt;G457,"Tax is larger than the amount","")))))))))))</f>
        <v/>
      </c>
      <c r="U457" s="67">
        <f>IF(OR(R457=1,T457&lt;&gt;""),"",IF(COUNTIFS(ap_No,B457,ap_Party,D457)&gt;1,"Duplicate bill #",IF(N(L457)&lt;0,"Overpaid by "&amp;TEXT(-L457,"#,##0.00"),IF(AND(ISNUMBER(H457),N(H457)&lt;&gt;0,S457=0),"Tax ignored (tax tracking is off)",IF(AND(ISNUMBER(StartDate),C457&lt;StartDate),"Date is before the accounting start date",IF(OR(IFERROR(INDEX(coa_Type,MATCH(F457,coa_Name,0)),"")="Revenue",IFERROR(INDEX(coa_Type,MATCH(F457,coa_Name,0)),"")="Other Income",IFERROR(INDEX(coa_Type,MATCH(F457,coa_Name,0)),"")="Equity"),"Account is not an expense or asset account",""))))))</f>
        <v/>
      </c>
      <c r="V457" s="67">
        <f>IF(AND(R457=0,T457=""),1,0)</f>
        <v/>
      </c>
      <c r="W457" s="67">
        <f>IF(V457=1,F457,"")</f>
        <v/>
      </c>
      <c r="X457" s="67">
        <f>IF(V457=1,acctAP,"")</f>
        <v/>
      </c>
      <c r="Y457" s="68">
        <f>IF(V457=1,G457-S457,0)</f>
        <v/>
      </c>
      <c r="Z457" s="68">
        <f>IF(V457=1,G457,0)</f>
        <v/>
      </c>
      <c r="AA457" s="68">
        <f>IF(V457=1,S457,0)</f>
        <v/>
      </c>
    </row>
    <row r="458">
      <c r="B458" s="62" t="n"/>
      <c r="C458" s="63" t="n"/>
      <c r="D458" s="62" t="n"/>
      <c r="E458" s="62" t="n"/>
      <c r="F458" s="62" t="n"/>
      <c r="G458" s="64" t="n"/>
      <c r="H458" s="64" t="n"/>
      <c r="I458" s="63" t="n"/>
      <c r="J458" s="29">
        <f>IF(V458=1,IF(ISNUMBER(I458),I458,C458+IF(ISNUMBER(IFERROR(INDEX(vend_Terms,MATCH(D458,vend_Name,0)),"")),INDEX(vend_Terms,MATCH(D458,vend_Name,0)),TermsDays)),"")</f>
        <v/>
      </c>
      <c r="K458" s="65">
        <f>IF(V458=1,SUMIFS(tx_CrAmt,tx_Type,"Bill Payment",tx_Ref,B458&amp;"",tx_Vend,D458,tx_Date,"&lt;="&amp;AsOf),"")</f>
        <v/>
      </c>
      <c r="L458" s="65">
        <f>IF(V458=1,IF(C458&gt;AsOf,0,ROUND(G458-K458,2)),"")</f>
        <v/>
      </c>
      <c r="M458" s="66">
        <f>IF(V458&lt;&gt;1,"",IF(C458&gt;AsOf,"Future",IF(L458&lt;0,"Overpaid",IF(L458=0,"Paid",IF(AsOf&gt;J458,"Overdue",IF(K458&gt;0,"Partial","Unpaid"))))))</f>
        <v/>
      </c>
      <c r="N458" s="28">
        <f>IF(AND(V458=1,N(L458)&gt;0),AsOf-C458,"")</f>
        <v/>
      </c>
      <c r="O458" s="28">
        <f>IF(N458="","",MAX(0,AsOf-J458))</f>
        <v/>
      </c>
      <c r="P458" s="66">
        <f>IF(O458="","",IF(O458=0,"Current",IF(O458&lt;=30,"1-30",IF(O458&lt;=60,"31-60",IF(O458&lt;=90,"61-90","90+")))))</f>
        <v/>
      </c>
      <c r="Q458" s="66">
        <f>IF(T458&lt;&gt;"","⛔ "&amp;T458&amp;" — not posted",IF(U458&lt;&gt;"","⚠ "&amp;U458,IF(V458=1,"✓ OK","")))</f>
        <v/>
      </c>
      <c r="R458" s="67">
        <f>IF(AND(B458="",C458="",D458="",G458="",F458=""),1,0)</f>
        <v/>
      </c>
      <c r="S458" s="68">
        <f>IF(AND(TaxOn="Yes",ISNUMBER(H458)),H458,0)</f>
        <v/>
      </c>
      <c r="T458" s="67">
        <f>IF(R458=1,"",IF(B458="","Enter a bill #",IF(D458="","Select a vendor",IF(C458="","Missing bill date",IF(NOT(ISNUMBER(C458)),"Invalid date",IF(OR(C458&lt;DATE(2000,1,1),C458&gt;DATE(2099,12,31)),"Invalid date",IF(F458="","Select an expense account",IF(ISNA(MATCH(F458,coa_Name,0)),"Unknown account: "&amp;F458,IF(NOT(ISNUMBER(G458)),"Enter an amount",IF(G458&lt;=0,"Amount must be positive",IF(S458&gt;G458,"Tax is larger than the amount","")))))))))))</f>
        <v/>
      </c>
      <c r="U458" s="67">
        <f>IF(OR(R458=1,T458&lt;&gt;""),"",IF(COUNTIFS(ap_No,B458,ap_Party,D458)&gt;1,"Duplicate bill #",IF(N(L458)&lt;0,"Overpaid by "&amp;TEXT(-L458,"#,##0.00"),IF(AND(ISNUMBER(H458),N(H458)&lt;&gt;0,S458=0),"Tax ignored (tax tracking is off)",IF(AND(ISNUMBER(StartDate),C458&lt;StartDate),"Date is before the accounting start date",IF(OR(IFERROR(INDEX(coa_Type,MATCH(F458,coa_Name,0)),"")="Revenue",IFERROR(INDEX(coa_Type,MATCH(F458,coa_Name,0)),"")="Other Income",IFERROR(INDEX(coa_Type,MATCH(F458,coa_Name,0)),"")="Equity"),"Account is not an expense or asset account",""))))))</f>
        <v/>
      </c>
      <c r="V458" s="67">
        <f>IF(AND(R458=0,T458=""),1,0)</f>
        <v/>
      </c>
      <c r="W458" s="67">
        <f>IF(V458=1,F458,"")</f>
        <v/>
      </c>
      <c r="X458" s="67">
        <f>IF(V458=1,acctAP,"")</f>
        <v/>
      </c>
      <c r="Y458" s="68">
        <f>IF(V458=1,G458-S458,0)</f>
        <v/>
      </c>
      <c r="Z458" s="68">
        <f>IF(V458=1,G458,0)</f>
        <v/>
      </c>
      <c r="AA458" s="68">
        <f>IF(V458=1,S458,0)</f>
        <v/>
      </c>
    </row>
    <row r="459">
      <c r="B459" s="62" t="n"/>
      <c r="C459" s="63" t="n"/>
      <c r="D459" s="62" t="n"/>
      <c r="E459" s="62" t="n"/>
      <c r="F459" s="62" t="n"/>
      <c r="G459" s="64" t="n"/>
      <c r="H459" s="64" t="n"/>
      <c r="I459" s="63" t="n"/>
      <c r="J459" s="29">
        <f>IF(V459=1,IF(ISNUMBER(I459),I459,C459+IF(ISNUMBER(IFERROR(INDEX(vend_Terms,MATCH(D459,vend_Name,0)),"")),INDEX(vend_Terms,MATCH(D459,vend_Name,0)),TermsDays)),"")</f>
        <v/>
      </c>
      <c r="K459" s="65">
        <f>IF(V459=1,SUMIFS(tx_CrAmt,tx_Type,"Bill Payment",tx_Ref,B459&amp;"",tx_Vend,D459,tx_Date,"&lt;="&amp;AsOf),"")</f>
        <v/>
      </c>
      <c r="L459" s="65">
        <f>IF(V459=1,IF(C459&gt;AsOf,0,ROUND(G459-K459,2)),"")</f>
        <v/>
      </c>
      <c r="M459" s="66">
        <f>IF(V459&lt;&gt;1,"",IF(C459&gt;AsOf,"Future",IF(L459&lt;0,"Overpaid",IF(L459=0,"Paid",IF(AsOf&gt;J459,"Overdue",IF(K459&gt;0,"Partial","Unpaid"))))))</f>
        <v/>
      </c>
      <c r="N459" s="28">
        <f>IF(AND(V459=1,N(L459)&gt;0),AsOf-C459,"")</f>
        <v/>
      </c>
      <c r="O459" s="28">
        <f>IF(N459="","",MAX(0,AsOf-J459))</f>
        <v/>
      </c>
      <c r="P459" s="66">
        <f>IF(O459="","",IF(O459=0,"Current",IF(O459&lt;=30,"1-30",IF(O459&lt;=60,"31-60",IF(O459&lt;=90,"61-90","90+")))))</f>
        <v/>
      </c>
      <c r="Q459" s="66">
        <f>IF(T459&lt;&gt;"","⛔ "&amp;T459&amp;" — not posted",IF(U459&lt;&gt;"","⚠ "&amp;U459,IF(V459=1,"✓ OK","")))</f>
        <v/>
      </c>
      <c r="R459" s="67">
        <f>IF(AND(B459="",C459="",D459="",G459="",F459=""),1,0)</f>
        <v/>
      </c>
      <c r="S459" s="68">
        <f>IF(AND(TaxOn="Yes",ISNUMBER(H459)),H459,0)</f>
        <v/>
      </c>
      <c r="T459" s="67">
        <f>IF(R459=1,"",IF(B459="","Enter a bill #",IF(D459="","Select a vendor",IF(C459="","Missing bill date",IF(NOT(ISNUMBER(C459)),"Invalid date",IF(OR(C459&lt;DATE(2000,1,1),C459&gt;DATE(2099,12,31)),"Invalid date",IF(F459="","Select an expense account",IF(ISNA(MATCH(F459,coa_Name,0)),"Unknown account: "&amp;F459,IF(NOT(ISNUMBER(G459)),"Enter an amount",IF(G459&lt;=0,"Amount must be positive",IF(S459&gt;G459,"Tax is larger than the amount","")))))))))))</f>
        <v/>
      </c>
      <c r="U459" s="67">
        <f>IF(OR(R459=1,T459&lt;&gt;""),"",IF(COUNTIFS(ap_No,B459,ap_Party,D459)&gt;1,"Duplicate bill #",IF(N(L459)&lt;0,"Overpaid by "&amp;TEXT(-L459,"#,##0.00"),IF(AND(ISNUMBER(H459),N(H459)&lt;&gt;0,S459=0),"Tax ignored (tax tracking is off)",IF(AND(ISNUMBER(StartDate),C459&lt;StartDate),"Date is before the accounting start date",IF(OR(IFERROR(INDEX(coa_Type,MATCH(F459,coa_Name,0)),"")="Revenue",IFERROR(INDEX(coa_Type,MATCH(F459,coa_Name,0)),"")="Other Income",IFERROR(INDEX(coa_Type,MATCH(F459,coa_Name,0)),"")="Equity"),"Account is not an expense or asset account",""))))))</f>
        <v/>
      </c>
      <c r="V459" s="67">
        <f>IF(AND(R459=0,T459=""),1,0)</f>
        <v/>
      </c>
      <c r="W459" s="67">
        <f>IF(V459=1,F459,"")</f>
        <v/>
      </c>
      <c r="X459" s="67">
        <f>IF(V459=1,acctAP,"")</f>
        <v/>
      </c>
      <c r="Y459" s="68">
        <f>IF(V459=1,G459-S459,0)</f>
        <v/>
      </c>
      <c r="Z459" s="68">
        <f>IF(V459=1,G459,0)</f>
        <v/>
      </c>
      <c r="AA459" s="68">
        <f>IF(V459=1,S459,0)</f>
        <v/>
      </c>
    </row>
    <row r="460">
      <c r="B460" s="62" t="n"/>
      <c r="C460" s="63" t="n"/>
      <c r="D460" s="62" t="n"/>
      <c r="E460" s="62" t="n"/>
      <c r="F460" s="62" t="n"/>
      <c r="G460" s="64" t="n"/>
      <c r="H460" s="64" t="n"/>
      <c r="I460" s="63" t="n"/>
      <c r="J460" s="29">
        <f>IF(V460=1,IF(ISNUMBER(I460),I460,C460+IF(ISNUMBER(IFERROR(INDEX(vend_Terms,MATCH(D460,vend_Name,0)),"")),INDEX(vend_Terms,MATCH(D460,vend_Name,0)),TermsDays)),"")</f>
        <v/>
      </c>
      <c r="K460" s="65">
        <f>IF(V460=1,SUMIFS(tx_CrAmt,tx_Type,"Bill Payment",tx_Ref,B460&amp;"",tx_Vend,D460,tx_Date,"&lt;="&amp;AsOf),"")</f>
        <v/>
      </c>
      <c r="L460" s="65">
        <f>IF(V460=1,IF(C460&gt;AsOf,0,ROUND(G460-K460,2)),"")</f>
        <v/>
      </c>
      <c r="M460" s="66">
        <f>IF(V460&lt;&gt;1,"",IF(C460&gt;AsOf,"Future",IF(L460&lt;0,"Overpaid",IF(L460=0,"Paid",IF(AsOf&gt;J460,"Overdue",IF(K460&gt;0,"Partial","Unpaid"))))))</f>
        <v/>
      </c>
      <c r="N460" s="28">
        <f>IF(AND(V460=1,N(L460)&gt;0),AsOf-C460,"")</f>
        <v/>
      </c>
      <c r="O460" s="28">
        <f>IF(N460="","",MAX(0,AsOf-J460))</f>
        <v/>
      </c>
      <c r="P460" s="66">
        <f>IF(O460="","",IF(O460=0,"Current",IF(O460&lt;=30,"1-30",IF(O460&lt;=60,"31-60",IF(O460&lt;=90,"61-90","90+")))))</f>
        <v/>
      </c>
      <c r="Q460" s="66">
        <f>IF(T460&lt;&gt;"","⛔ "&amp;T460&amp;" — not posted",IF(U460&lt;&gt;"","⚠ "&amp;U460,IF(V460=1,"✓ OK","")))</f>
        <v/>
      </c>
      <c r="R460" s="67">
        <f>IF(AND(B460="",C460="",D460="",G460="",F460=""),1,0)</f>
        <v/>
      </c>
      <c r="S460" s="68">
        <f>IF(AND(TaxOn="Yes",ISNUMBER(H460)),H460,0)</f>
        <v/>
      </c>
      <c r="T460" s="67">
        <f>IF(R460=1,"",IF(B460="","Enter a bill #",IF(D460="","Select a vendor",IF(C460="","Missing bill date",IF(NOT(ISNUMBER(C460)),"Invalid date",IF(OR(C460&lt;DATE(2000,1,1),C460&gt;DATE(2099,12,31)),"Invalid date",IF(F460="","Select an expense account",IF(ISNA(MATCH(F460,coa_Name,0)),"Unknown account: "&amp;F460,IF(NOT(ISNUMBER(G460)),"Enter an amount",IF(G460&lt;=0,"Amount must be positive",IF(S460&gt;G460,"Tax is larger than the amount","")))))))))))</f>
        <v/>
      </c>
      <c r="U460" s="67">
        <f>IF(OR(R460=1,T460&lt;&gt;""),"",IF(COUNTIFS(ap_No,B460,ap_Party,D460)&gt;1,"Duplicate bill #",IF(N(L460)&lt;0,"Overpaid by "&amp;TEXT(-L460,"#,##0.00"),IF(AND(ISNUMBER(H460),N(H460)&lt;&gt;0,S460=0),"Tax ignored (tax tracking is off)",IF(AND(ISNUMBER(StartDate),C460&lt;StartDate),"Date is before the accounting start date",IF(OR(IFERROR(INDEX(coa_Type,MATCH(F460,coa_Name,0)),"")="Revenue",IFERROR(INDEX(coa_Type,MATCH(F460,coa_Name,0)),"")="Other Income",IFERROR(INDEX(coa_Type,MATCH(F460,coa_Name,0)),"")="Equity"),"Account is not an expense or asset account",""))))))</f>
        <v/>
      </c>
      <c r="V460" s="67">
        <f>IF(AND(R460=0,T460=""),1,0)</f>
        <v/>
      </c>
      <c r="W460" s="67">
        <f>IF(V460=1,F460,"")</f>
        <v/>
      </c>
      <c r="X460" s="67">
        <f>IF(V460=1,acctAP,"")</f>
        <v/>
      </c>
      <c r="Y460" s="68">
        <f>IF(V460=1,G460-S460,0)</f>
        <v/>
      </c>
      <c r="Z460" s="68">
        <f>IF(V460=1,G460,0)</f>
        <v/>
      </c>
      <c r="AA460" s="68">
        <f>IF(V460=1,S460,0)</f>
        <v/>
      </c>
    </row>
    <row r="461">
      <c r="B461" s="62" t="n"/>
      <c r="C461" s="63" t="n"/>
      <c r="D461" s="62" t="n"/>
      <c r="E461" s="62" t="n"/>
      <c r="F461" s="62" t="n"/>
      <c r="G461" s="64" t="n"/>
      <c r="H461" s="64" t="n"/>
      <c r="I461" s="63" t="n"/>
      <c r="J461" s="29">
        <f>IF(V461=1,IF(ISNUMBER(I461),I461,C461+IF(ISNUMBER(IFERROR(INDEX(vend_Terms,MATCH(D461,vend_Name,0)),"")),INDEX(vend_Terms,MATCH(D461,vend_Name,0)),TermsDays)),"")</f>
        <v/>
      </c>
      <c r="K461" s="65">
        <f>IF(V461=1,SUMIFS(tx_CrAmt,tx_Type,"Bill Payment",tx_Ref,B461&amp;"",tx_Vend,D461,tx_Date,"&lt;="&amp;AsOf),"")</f>
        <v/>
      </c>
      <c r="L461" s="65">
        <f>IF(V461=1,IF(C461&gt;AsOf,0,ROUND(G461-K461,2)),"")</f>
        <v/>
      </c>
      <c r="M461" s="66">
        <f>IF(V461&lt;&gt;1,"",IF(C461&gt;AsOf,"Future",IF(L461&lt;0,"Overpaid",IF(L461=0,"Paid",IF(AsOf&gt;J461,"Overdue",IF(K461&gt;0,"Partial","Unpaid"))))))</f>
        <v/>
      </c>
      <c r="N461" s="28">
        <f>IF(AND(V461=1,N(L461)&gt;0),AsOf-C461,"")</f>
        <v/>
      </c>
      <c r="O461" s="28">
        <f>IF(N461="","",MAX(0,AsOf-J461))</f>
        <v/>
      </c>
      <c r="P461" s="66">
        <f>IF(O461="","",IF(O461=0,"Current",IF(O461&lt;=30,"1-30",IF(O461&lt;=60,"31-60",IF(O461&lt;=90,"61-90","90+")))))</f>
        <v/>
      </c>
      <c r="Q461" s="66">
        <f>IF(T461&lt;&gt;"","⛔ "&amp;T461&amp;" — not posted",IF(U461&lt;&gt;"","⚠ "&amp;U461,IF(V461=1,"✓ OK","")))</f>
        <v/>
      </c>
      <c r="R461" s="67">
        <f>IF(AND(B461="",C461="",D461="",G461="",F461=""),1,0)</f>
        <v/>
      </c>
      <c r="S461" s="68">
        <f>IF(AND(TaxOn="Yes",ISNUMBER(H461)),H461,0)</f>
        <v/>
      </c>
      <c r="T461" s="67">
        <f>IF(R461=1,"",IF(B461="","Enter a bill #",IF(D461="","Select a vendor",IF(C461="","Missing bill date",IF(NOT(ISNUMBER(C461)),"Invalid date",IF(OR(C461&lt;DATE(2000,1,1),C461&gt;DATE(2099,12,31)),"Invalid date",IF(F461="","Select an expense account",IF(ISNA(MATCH(F461,coa_Name,0)),"Unknown account: "&amp;F461,IF(NOT(ISNUMBER(G461)),"Enter an amount",IF(G461&lt;=0,"Amount must be positive",IF(S461&gt;G461,"Tax is larger than the amount","")))))))))))</f>
        <v/>
      </c>
      <c r="U461" s="67">
        <f>IF(OR(R461=1,T461&lt;&gt;""),"",IF(COUNTIFS(ap_No,B461,ap_Party,D461)&gt;1,"Duplicate bill #",IF(N(L461)&lt;0,"Overpaid by "&amp;TEXT(-L461,"#,##0.00"),IF(AND(ISNUMBER(H461),N(H461)&lt;&gt;0,S461=0),"Tax ignored (tax tracking is off)",IF(AND(ISNUMBER(StartDate),C461&lt;StartDate),"Date is before the accounting start date",IF(OR(IFERROR(INDEX(coa_Type,MATCH(F461,coa_Name,0)),"")="Revenue",IFERROR(INDEX(coa_Type,MATCH(F461,coa_Name,0)),"")="Other Income",IFERROR(INDEX(coa_Type,MATCH(F461,coa_Name,0)),"")="Equity"),"Account is not an expense or asset account",""))))))</f>
        <v/>
      </c>
      <c r="V461" s="67">
        <f>IF(AND(R461=0,T461=""),1,0)</f>
        <v/>
      </c>
      <c r="W461" s="67">
        <f>IF(V461=1,F461,"")</f>
        <v/>
      </c>
      <c r="X461" s="67">
        <f>IF(V461=1,acctAP,"")</f>
        <v/>
      </c>
      <c r="Y461" s="68">
        <f>IF(V461=1,G461-S461,0)</f>
        <v/>
      </c>
      <c r="Z461" s="68">
        <f>IF(V461=1,G461,0)</f>
        <v/>
      </c>
      <c r="AA461" s="68">
        <f>IF(V461=1,S461,0)</f>
        <v/>
      </c>
    </row>
    <row r="462">
      <c r="B462" s="62" t="n"/>
      <c r="C462" s="63" t="n"/>
      <c r="D462" s="62" t="n"/>
      <c r="E462" s="62" t="n"/>
      <c r="F462" s="62" t="n"/>
      <c r="G462" s="64" t="n"/>
      <c r="H462" s="64" t="n"/>
      <c r="I462" s="63" t="n"/>
      <c r="J462" s="29">
        <f>IF(V462=1,IF(ISNUMBER(I462),I462,C462+IF(ISNUMBER(IFERROR(INDEX(vend_Terms,MATCH(D462,vend_Name,0)),"")),INDEX(vend_Terms,MATCH(D462,vend_Name,0)),TermsDays)),"")</f>
        <v/>
      </c>
      <c r="K462" s="65">
        <f>IF(V462=1,SUMIFS(tx_CrAmt,tx_Type,"Bill Payment",tx_Ref,B462&amp;"",tx_Vend,D462,tx_Date,"&lt;="&amp;AsOf),"")</f>
        <v/>
      </c>
      <c r="L462" s="65">
        <f>IF(V462=1,IF(C462&gt;AsOf,0,ROUND(G462-K462,2)),"")</f>
        <v/>
      </c>
      <c r="M462" s="66">
        <f>IF(V462&lt;&gt;1,"",IF(C462&gt;AsOf,"Future",IF(L462&lt;0,"Overpaid",IF(L462=0,"Paid",IF(AsOf&gt;J462,"Overdue",IF(K462&gt;0,"Partial","Unpaid"))))))</f>
        <v/>
      </c>
      <c r="N462" s="28">
        <f>IF(AND(V462=1,N(L462)&gt;0),AsOf-C462,"")</f>
        <v/>
      </c>
      <c r="O462" s="28">
        <f>IF(N462="","",MAX(0,AsOf-J462))</f>
        <v/>
      </c>
      <c r="P462" s="66">
        <f>IF(O462="","",IF(O462=0,"Current",IF(O462&lt;=30,"1-30",IF(O462&lt;=60,"31-60",IF(O462&lt;=90,"61-90","90+")))))</f>
        <v/>
      </c>
      <c r="Q462" s="66">
        <f>IF(T462&lt;&gt;"","⛔ "&amp;T462&amp;" — not posted",IF(U462&lt;&gt;"","⚠ "&amp;U462,IF(V462=1,"✓ OK","")))</f>
        <v/>
      </c>
      <c r="R462" s="67">
        <f>IF(AND(B462="",C462="",D462="",G462="",F462=""),1,0)</f>
        <v/>
      </c>
      <c r="S462" s="68">
        <f>IF(AND(TaxOn="Yes",ISNUMBER(H462)),H462,0)</f>
        <v/>
      </c>
      <c r="T462" s="67">
        <f>IF(R462=1,"",IF(B462="","Enter a bill #",IF(D462="","Select a vendor",IF(C462="","Missing bill date",IF(NOT(ISNUMBER(C462)),"Invalid date",IF(OR(C462&lt;DATE(2000,1,1),C462&gt;DATE(2099,12,31)),"Invalid date",IF(F462="","Select an expense account",IF(ISNA(MATCH(F462,coa_Name,0)),"Unknown account: "&amp;F462,IF(NOT(ISNUMBER(G462)),"Enter an amount",IF(G462&lt;=0,"Amount must be positive",IF(S462&gt;G462,"Tax is larger than the amount","")))))))))))</f>
        <v/>
      </c>
      <c r="U462" s="67">
        <f>IF(OR(R462=1,T462&lt;&gt;""),"",IF(COUNTIFS(ap_No,B462,ap_Party,D462)&gt;1,"Duplicate bill #",IF(N(L462)&lt;0,"Overpaid by "&amp;TEXT(-L462,"#,##0.00"),IF(AND(ISNUMBER(H462),N(H462)&lt;&gt;0,S462=0),"Tax ignored (tax tracking is off)",IF(AND(ISNUMBER(StartDate),C462&lt;StartDate),"Date is before the accounting start date",IF(OR(IFERROR(INDEX(coa_Type,MATCH(F462,coa_Name,0)),"")="Revenue",IFERROR(INDEX(coa_Type,MATCH(F462,coa_Name,0)),"")="Other Income",IFERROR(INDEX(coa_Type,MATCH(F462,coa_Name,0)),"")="Equity"),"Account is not an expense or asset account",""))))))</f>
        <v/>
      </c>
      <c r="V462" s="67">
        <f>IF(AND(R462=0,T462=""),1,0)</f>
        <v/>
      </c>
      <c r="W462" s="67">
        <f>IF(V462=1,F462,"")</f>
        <v/>
      </c>
      <c r="X462" s="67">
        <f>IF(V462=1,acctAP,"")</f>
        <v/>
      </c>
      <c r="Y462" s="68">
        <f>IF(V462=1,G462-S462,0)</f>
        <v/>
      </c>
      <c r="Z462" s="68">
        <f>IF(V462=1,G462,0)</f>
        <v/>
      </c>
      <c r="AA462" s="68">
        <f>IF(V462=1,S462,0)</f>
        <v/>
      </c>
    </row>
    <row r="463">
      <c r="B463" s="62" t="n"/>
      <c r="C463" s="63" t="n"/>
      <c r="D463" s="62" t="n"/>
      <c r="E463" s="62" t="n"/>
      <c r="F463" s="62" t="n"/>
      <c r="G463" s="64" t="n"/>
      <c r="H463" s="64" t="n"/>
      <c r="I463" s="63" t="n"/>
      <c r="J463" s="29">
        <f>IF(V463=1,IF(ISNUMBER(I463),I463,C463+IF(ISNUMBER(IFERROR(INDEX(vend_Terms,MATCH(D463,vend_Name,0)),"")),INDEX(vend_Terms,MATCH(D463,vend_Name,0)),TermsDays)),"")</f>
        <v/>
      </c>
      <c r="K463" s="65">
        <f>IF(V463=1,SUMIFS(tx_CrAmt,tx_Type,"Bill Payment",tx_Ref,B463&amp;"",tx_Vend,D463,tx_Date,"&lt;="&amp;AsOf),"")</f>
        <v/>
      </c>
      <c r="L463" s="65">
        <f>IF(V463=1,IF(C463&gt;AsOf,0,ROUND(G463-K463,2)),"")</f>
        <v/>
      </c>
      <c r="M463" s="66">
        <f>IF(V463&lt;&gt;1,"",IF(C463&gt;AsOf,"Future",IF(L463&lt;0,"Overpaid",IF(L463=0,"Paid",IF(AsOf&gt;J463,"Overdue",IF(K463&gt;0,"Partial","Unpaid"))))))</f>
        <v/>
      </c>
      <c r="N463" s="28">
        <f>IF(AND(V463=1,N(L463)&gt;0),AsOf-C463,"")</f>
        <v/>
      </c>
      <c r="O463" s="28">
        <f>IF(N463="","",MAX(0,AsOf-J463))</f>
        <v/>
      </c>
      <c r="P463" s="66">
        <f>IF(O463="","",IF(O463=0,"Current",IF(O463&lt;=30,"1-30",IF(O463&lt;=60,"31-60",IF(O463&lt;=90,"61-90","90+")))))</f>
        <v/>
      </c>
      <c r="Q463" s="66">
        <f>IF(T463&lt;&gt;"","⛔ "&amp;T463&amp;" — not posted",IF(U463&lt;&gt;"","⚠ "&amp;U463,IF(V463=1,"✓ OK","")))</f>
        <v/>
      </c>
      <c r="R463" s="67">
        <f>IF(AND(B463="",C463="",D463="",G463="",F463=""),1,0)</f>
        <v/>
      </c>
      <c r="S463" s="68">
        <f>IF(AND(TaxOn="Yes",ISNUMBER(H463)),H463,0)</f>
        <v/>
      </c>
      <c r="T463" s="67">
        <f>IF(R463=1,"",IF(B463="","Enter a bill #",IF(D463="","Select a vendor",IF(C463="","Missing bill date",IF(NOT(ISNUMBER(C463)),"Invalid date",IF(OR(C463&lt;DATE(2000,1,1),C463&gt;DATE(2099,12,31)),"Invalid date",IF(F463="","Select an expense account",IF(ISNA(MATCH(F463,coa_Name,0)),"Unknown account: "&amp;F463,IF(NOT(ISNUMBER(G463)),"Enter an amount",IF(G463&lt;=0,"Amount must be positive",IF(S463&gt;G463,"Tax is larger than the amount","")))))))))))</f>
        <v/>
      </c>
      <c r="U463" s="67">
        <f>IF(OR(R463=1,T463&lt;&gt;""),"",IF(COUNTIFS(ap_No,B463,ap_Party,D463)&gt;1,"Duplicate bill #",IF(N(L463)&lt;0,"Overpaid by "&amp;TEXT(-L463,"#,##0.00"),IF(AND(ISNUMBER(H463),N(H463)&lt;&gt;0,S463=0),"Tax ignored (tax tracking is off)",IF(AND(ISNUMBER(StartDate),C463&lt;StartDate),"Date is before the accounting start date",IF(OR(IFERROR(INDEX(coa_Type,MATCH(F463,coa_Name,0)),"")="Revenue",IFERROR(INDEX(coa_Type,MATCH(F463,coa_Name,0)),"")="Other Income",IFERROR(INDEX(coa_Type,MATCH(F463,coa_Name,0)),"")="Equity"),"Account is not an expense or asset account",""))))))</f>
        <v/>
      </c>
      <c r="V463" s="67">
        <f>IF(AND(R463=0,T463=""),1,0)</f>
        <v/>
      </c>
      <c r="W463" s="67">
        <f>IF(V463=1,F463,"")</f>
        <v/>
      </c>
      <c r="X463" s="67">
        <f>IF(V463=1,acctAP,"")</f>
        <v/>
      </c>
      <c r="Y463" s="68">
        <f>IF(V463=1,G463-S463,0)</f>
        <v/>
      </c>
      <c r="Z463" s="68">
        <f>IF(V463=1,G463,0)</f>
        <v/>
      </c>
      <c r="AA463" s="68">
        <f>IF(V463=1,S463,0)</f>
        <v/>
      </c>
    </row>
    <row r="464">
      <c r="B464" s="62" t="n"/>
      <c r="C464" s="63" t="n"/>
      <c r="D464" s="62" t="n"/>
      <c r="E464" s="62" t="n"/>
      <c r="F464" s="62" t="n"/>
      <c r="G464" s="64" t="n"/>
      <c r="H464" s="64" t="n"/>
      <c r="I464" s="63" t="n"/>
      <c r="J464" s="29">
        <f>IF(V464=1,IF(ISNUMBER(I464),I464,C464+IF(ISNUMBER(IFERROR(INDEX(vend_Terms,MATCH(D464,vend_Name,0)),"")),INDEX(vend_Terms,MATCH(D464,vend_Name,0)),TermsDays)),"")</f>
        <v/>
      </c>
      <c r="K464" s="65">
        <f>IF(V464=1,SUMIFS(tx_CrAmt,tx_Type,"Bill Payment",tx_Ref,B464&amp;"",tx_Vend,D464,tx_Date,"&lt;="&amp;AsOf),"")</f>
        <v/>
      </c>
      <c r="L464" s="65">
        <f>IF(V464=1,IF(C464&gt;AsOf,0,ROUND(G464-K464,2)),"")</f>
        <v/>
      </c>
      <c r="M464" s="66">
        <f>IF(V464&lt;&gt;1,"",IF(C464&gt;AsOf,"Future",IF(L464&lt;0,"Overpaid",IF(L464=0,"Paid",IF(AsOf&gt;J464,"Overdue",IF(K464&gt;0,"Partial","Unpaid"))))))</f>
        <v/>
      </c>
      <c r="N464" s="28">
        <f>IF(AND(V464=1,N(L464)&gt;0),AsOf-C464,"")</f>
        <v/>
      </c>
      <c r="O464" s="28">
        <f>IF(N464="","",MAX(0,AsOf-J464))</f>
        <v/>
      </c>
      <c r="P464" s="66">
        <f>IF(O464="","",IF(O464=0,"Current",IF(O464&lt;=30,"1-30",IF(O464&lt;=60,"31-60",IF(O464&lt;=90,"61-90","90+")))))</f>
        <v/>
      </c>
      <c r="Q464" s="66">
        <f>IF(T464&lt;&gt;"","⛔ "&amp;T464&amp;" — not posted",IF(U464&lt;&gt;"","⚠ "&amp;U464,IF(V464=1,"✓ OK","")))</f>
        <v/>
      </c>
      <c r="R464" s="67">
        <f>IF(AND(B464="",C464="",D464="",G464="",F464=""),1,0)</f>
        <v/>
      </c>
      <c r="S464" s="68">
        <f>IF(AND(TaxOn="Yes",ISNUMBER(H464)),H464,0)</f>
        <v/>
      </c>
      <c r="T464" s="67">
        <f>IF(R464=1,"",IF(B464="","Enter a bill #",IF(D464="","Select a vendor",IF(C464="","Missing bill date",IF(NOT(ISNUMBER(C464)),"Invalid date",IF(OR(C464&lt;DATE(2000,1,1),C464&gt;DATE(2099,12,31)),"Invalid date",IF(F464="","Select an expense account",IF(ISNA(MATCH(F464,coa_Name,0)),"Unknown account: "&amp;F464,IF(NOT(ISNUMBER(G464)),"Enter an amount",IF(G464&lt;=0,"Amount must be positive",IF(S464&gt;G464,"Tax is larger than the amount","")))))))))))</f>
        <v/>
      </c>
      <c r="U464" s="67">
        <f>IF(OR(R464=1,T464&lt;&gt;""),"",IF(COUNTIFS(ap_No,B464,ap_Party,D464)&gt;1,"Duplicate bill #",IF(N(L464)&lt;0,"Overpaid by "&amp;TEXT(-L464,"#,##0.00"),IF(AND(ISNUMBER(H464),N(H464)&lt;&gt;0,S464=0),"Tax ignored (tax tracking is off)",IF(AND(ISNUMBER(StartDate),C464&lt;StartDate),"Date is before the accounting start date",IF(OR(IFERROR(INDEX(coa_Type,MATCH(F464,coa_Name,0)),"")="Revenue",IFERROR(INDEX(coa_Type,MATCH(F464,coa_Name,0)),"")="Other Income",IFERROR(INDEX(coa_Type,MATCH(F464,coa_Name,0)),"")="Equity"),"Account is not an expense or asset account",""))))))</f>
        <v/>
      </c>
      <c r="V464" s="67">
        <f>IF(AND(R464=0,T464=""),1,0)</f>
        <v/>
      </c>
      <c r="W464" s="67">
        <f>IF(V464=1,F464,"")</f>
        <v/>
      </c>
      <c r="X464" s="67">
        <f>IF(V464=1,acctAP,"")</f>
        <v/>
      </c>
      <c r="Y464" s="68">
        <f>IF(V464=1,G464-S464,0)</f>
        <v/>
      </c>
      <c r="Z464" s="68">
        <f>IF(V464=1,G464,0)</f>
        <v/>
      </c>
      <c r="AA464" s="68">
        <f>IF(V464=1,S464,0)</f>
        <v/>
      </c>
    </row>
    <row r="465">
      <c r="B465" s="62" t="n"/>
      <c r="C465" s="63" t="n"/>
      <c r="D465" s="62" t="n"/>
      <c r="E465" s="62" t="n"/>
      <c r="F465" s="62" t="n"/>
      <c r="G465" s="64" t="n"/>
      <c r="H465" s="64" t="n"/>
      <c r="I465" s="63" t="n"/>
      <c r="J465" s="29">
        <f>IF(V465=1,IF(ISNUMBER(I465),I465,C465+IF(ISNUMBER(IFERROR(INDEX(vend_Terms,MATCH(D465,vend_Name,0)),"")),INDEX(vend_Terms,MATCH(D465,vend_Name,0)),TermsDays)),"")</f>
        <v/>
      </c>
      <c r="K465" s="65">
        <f>IF(V465=1,SUMIFS(tx_CrAmt,tx_Type,"Bill Payment",tx_Ref,B465&amp;"",tx_Vend,D465,tx_Date,"&lt;="&amp;AsOf),"")</f>
        <v/>
      </c>
      <c r="L465" s="65">
        <f>IF(V465=1,IF(C465&gt;AsOf,0,ROUND(G465-K465,2)),"")</f>
        <v/>
      </c>
      <c r="M465" s="66">
        <f>IF(V465&lt;&gt;1,"",IF(C465&gt;AsOf,"Future",IF(L465&lt;0,"Overpaid",IF(L465=0,"Paid",IF(AsOf&gt;J465,"Overdue",IF(K465&gt;0,"Partial","Unpaid"))))))</f>
        <v/>
      </c>
      <c r="N465" s="28">
        <f>IF(AND(V465=1,N(L465)&gt;0),AsOf-C465,"")</f>
        <v/>
      </c>
      <c r="O465" s="28">
        <f>IF(N465="","",MAX(0,AsOf-J465))</f>
        <v/>
      </c>
      <c r="P465" s="66">
        <f>IF(O465="","",IF(O465=0,"Current",IF(O465&lt;=30,"1-30",IF(O465&lt;=60,"31-60",IF(O465&lt;=90,"61-90","90+")))))</f>
        <v/>
      </c>
      <c r="Q465" s="66">
        <f>IF(T465&lt;&gt;"","⛔ "&amp;T465&amp;" — not posted",IF(U465&lt;&gt;"","⚠ "&amp;U465,IF(V465=1,"✓ OK","")))</f>
        <v/>
      </c>
      <c r="R465" s="67">
        <f>IF(AND(B465="",C465="",D465="",G465="",F465=""),1,0)</f>
        <v/>
      </c>
      <c r="S465" s="68">
        <f>IF(AND(TaxOn="Yes",ISNUMBER(H465)),H465,0)</f>
        <v/>
      </c>
      <c r="T465" s="67">
        <f>IF(R465=1,"",IF(B465="","Enter a bill #",IF(D465="","Select a vendor",IF(C465="","Missing bill date",IF(NOT(ISNUMBER(C465)),"Invalid date",IF(OR(C465&lt;DATE(2000,1,1),C465&gt;DATE(2099,12,31)),"Invalid date",IF(F465="","Select an expense account",IF(ISNA(MATCH(F465,coa_Name,0)),"Unknown account: "&amp;F465,IF(NOT(ISNUMBER(G465)),"Enter an amount",IF(G465&lt;=0,"Amount must be positive",IF(S465&gt;G465,"Tax is larger than the amount","")))))))))))</f>
        <v/>
      </c>
      <c r="U465" s="67">
        <f>IF(OR(R465=1,T465&lt;&gt;""),"",IF(COUNTIFS(ap_No,B465,ap_Party,D465)&gt;1,"Duplicate bill #",IF(N(L465)&lt;0,"Overpaid by "&amp;TEXT(-L465,"#,##0.00"),IF(AND(ISNUMBER(H465),N(H465)&lt;&gt;0,S465=0),"Tax ignored (tax tracking is off)",IF(AND(ISNUMBER(StartDate),C465&lt;StartDate),"Date is before the accounting start date",IF(OR(IFERROR(INDEX(coa_Type,MATCH(F465,coa_Name,0)),"")="Revenue",IFERROR(INDEX(coa_Type,MATCH(F465,coa_Name,0)),"")="Other Income",IFERROR(INDEX(coa_Type,MATCH(F465,coa_Name,0)),"")="Equity"),"Account is not an expense or asset account",""))))))</f>
        <v/>
      </c>
      <c r="V465" s="67">
        <f>IF(AND(R465=0,T465=""),1,0)</f>
        <v/>
      </c>
      <c r="W465" s="67">
        <f>IF(V465=1,F465,"")</f>
        <v/>
      </c>
      <c r="X465" s="67">
        <f>IF(V465=1,acctAP,"")</f>
        <v/>
      </c>
      <c r="Y465" s="68">
        <f>IF(V465=1,G465-S465,0)</f>
        <v/>
      </c>
      <c r="Z465" s="68">
        <f>IF(V465=1,G465,0)</f>
        <v/>
      </c>
      <c r="AA465" s="68">
        <f>IF(V465=1,S465,0)</f>
        <v/>
      </c>
    </row>
    <row r="466">
      <c r="B466" s="62" t="n"/>
      <c r="C466" s="63" t="n"/>
      <c r="D466" s="62" t="n"/>
      <c r="E466" s="62" t="n"/>
      <c r="F466" s="62" t="n"/>
      <c r="G466" s="64" t="n"/>
      <c r="H466" s="64" t="n"/>
      <c r="I466" s="63" t="n"/>
      <c r="J466" s="29">
        <f>IF(V466=1,IF(ISNUMBER(I466),I466,C466+IF(ISNUMBER(IFERROR(INDEX(vend_Terms,MATCH(D466,vend_Name,0)),"")),INDEX(vend_Terms,MATCH(D466,vend_Name,0)),TermsDays)),"")</f>
        <v/>
      </c>
      <c r="K466" s="65">
        <f>IF(V466=1,SUMIFS(tx_CrAmt,tx_Type,"Bill Payment",tx_Ref,B466&amp;"",tx_Vend,D466,tx_Date,"&lt;="&amp;AsOf),"")</f>
        <v/>
      </c>
      <c r="L466" s="65">
        <f>IF(V466=1,IF(C466&gt;AsOf,0,ROUND(G466-K466,2)),"")</f>
        <v/>
      </c>
      <c r="M466" s="66">
        <f>IF(V466&lt;&gt;1,"",IF(C466&gt;AsOf,"Future",IF(L466&lt;0,"Overpaid",IF(L466=0,"Paid",IF(AsOf&gt;J466,"Overdue",IF(K466&gt;0,"Partial","Unpaid"))))))</f>
        <v/>
      </c>
      <c r="N466" s="28">
        <f>IF(AND(V466=1,N(L466)&gt;0),AsOf-C466,"")</f>
        <v/>
      </c>
      <c r="O466" s="28">
        <f>IF(N466="","",MAX(0,AsOf-J466))</f>
        <v/>
      </c>
      <c r="P466" s="66">
        <f>IF(O466="","",IF(O466=0,"Current",IF(O466&lt;=30,"1-30",IF(O466&lt;=60,"31-60",IF(O466&lt;=90,"61-90","90+")))))</f>
        <v/>
      </c>
      <c r="Q466" s="66">
        <f>IF(T466&lt;&gt;"","⛔ "&amp;T466&amp;" — not posted",IF(U466&lt;&gt;"","⚠ "&amp;U466,IF(V466=1,"✓ OK","")))</f>
        <v/>
      </c>
      <c r="R466" s="67">
        <f>IF(AND(B466="",C466="",D466="",G466="",F466=""),1,0)</f>
        <v/>
      </c>
      <c r="S466" s="68">
        <f>IF(AND(TaxOn="Yes",ISNUMBER(H466)),H466,0)</f>
        <v/>
      </c>
      <c r="T466" s="67">
        <f>IF(R466=1,"",IF(B466="","Enter a bill #",IF(D466="","Select a vendor",IF(C466="","Missing bill date",IF(NOT(ISNUMBER(C466)),"Invalid date",IF(OR(C466&lt;DATE(2000,1,1),C466&gt;DATE(2099,12,31)),"Invalid date",IF(F466="","Select an expense account",IF(ISNA(MATCH(F466,coa_Name,0)),"Unknown account: "&amp;F466,IF(NOT(ISNUMBER(G466)),"Enter an amount",IF(G466&lt;=0,"Amount must be positive",IF(S466&gt;G466,"Tax is larger than the amount","")))))))))))</f>
        <v/>
      </c>
      <c r="U466" s="67">
        <f>IF(OR(R466=1,T466&lt;&gt;""),"",IF(COUNTIFS(ap_No,B466,ap_Party,D466)&gt;1,"Duplicate bill #",IF(N(L466)&lt;0,"Overpaid by "&amp;TEXT(-L466,"#,##0.00"),IF(AND(ISNUMBER(H466),N(H466)&lt;&gt;0,S466=0),"Tax ignored (tax tracking is off)",IF(AND(ISNUMBER(StartDate),C466&lt;StartDate),"Date is before the accounting start date",IF(OR(IFERROR(INDEX(coa_Type,MATCH(F466,coa_Name,0)),"")="Revenue",IFERROR(INDEX(coa_Type,MATCH(F466,coa_Name,0)),"")="Other Income",IFERROR(INDEX(coa_Type,MATCH(F466,coa_Name,0)),"")="Equity"),"Account is not an expense or asset account",""))))))</f>
        <v/>
      </c>
      <c r="V466" s="67">
        <f>IF(AND(R466=0,T466=""),1,0)</f>
        <v/>
      </c>
      <c r="W466" s="67">
        <f>IF(V466=1,F466,"")</f>
        <v/>
      </c>
      <c r="X466" s="67">
        <f>IF(V466=1,acctAP,"")</f>
        <v/>
      </c>
      <c r="Y466" s="68">
        <f>IF(V466=1,G466-S466,0)</f>
        <v/>
      </c>
      <c r="Z466" s="68">
        <f>IF(V466=1,G466,0)</f>
        <v/>
      </c>
      <c r="AA466" s="68">
        <f>IF(V466=1,S466,0)</f>
        <v/>
      </c>
    </row>
    <row r="467">
      <c r="B467" s="62" t="n"/>
      <c r="C467" s="63" t="n"/>
      <c r="D467" s="62" t="n"/>
      <c r="E467" s="62" t="n"/>
      <c r="F467" s="62" t="n"/>
      <c r="G467" s="64" t="n"/>
      <c r="H467" s="64" t="n"/>
      <c r="I467" s="63" t="n"/>
      <c r="J467" s="29">
        <f>IF(V467=1,IF(ISNUMBER(I467),I467,C467+IF(ISNUMBER(IFERROR(INDEX(vend_Terms,MATCH(D467,vend_Name,0)),"")),INDEX(vend_Terms,MATCH(D467,vend_Name,0)),TermsDays)),"")</f>
        <v/>
      </c>
      <c r="K467" s="65">
        <f>IF(V467=1,SUMIFS(tx_CrAmt,tx_Type,"Bill Payment",tx_Ref,B467&amp;"",tx_Vend,D467,tx_Date,"&lt;="&amp;AsOf),"")</f>
        <v/>
      </c>
      <c r="L467" s="65">
        <f>IF(V467=1,IF(C467&gt;AsOf,0,ROUND(G467-K467,2)),"")</f>
        <v/>
      </c>
      <c r="M467" s="66">
        <f>IF(V467&lt;&gt;1,"",IF(C467&gt;AsOf,"Future",IF(L467&lt;0,"Overpaid",IF(L467=0,"Paid",IF(AsOf&gt;J467,"Overdue",IF(K467&gt;0,"Partial","Unpaid"))))))</f>
        <v/>
      </c>
      <c r="N467" s="28">
        <f>IF(AND(V467=1,N(L467)&gt;0),AsOf-C467,"")</f>
        <v/>
      </c>
      <c r="O467" s="28">
        <f>IF(N467="","",MAX(0,AsOf-J467))</f>
        <v/>
      </c>
      <c r="P467" s="66">
        <f>IF(O467="","",IF(O467=0,"Current",IF(O467&lt;=30,"1-30",IF(O467&lt;=60,"31-60",IF(O467&lt;=90,"61-90","90+")))))</f>
        <v/>
      </c>
      <c r="Q467" s="66">
        <f>IF(T467&lt;&gt;"","⛔ "&amp;T467&amp;" — not posted",IF(U467&lt;&gt;"","⚠ "&amp;U467,IF(V467=1,"✓ OK","")))</f>
        <v/>
      </c>
      <c r="R467" s="67">
        <f>IF(AND(B467="",C467="",D467="",G467="",F467=""),1,0)</f>
        <v/>
      </c>
      <c r="S467" s="68">
        <f>IF(AND(TaxOn="Yes",ISNUMBER(H467)),H467,0)</f>
        <v/>
      </c>
      <c r="T467" s="67">
        <f>IF(R467=1,"",IF(B467="","Enter a bill #",IF(D467="","Select a vendor",IF(C467="","Missing bill date",IF(NOT(ISNUMBER(C467)),"Invalid date",IF(OR(C467&lt;DATE(2000,1,1),C467&gt;DATE(2099,12,31)),"Invalid date",IF(F467="","Select an expense account",IF(ISNA(MATCH(F467,coa_Name,0)),"Unknown account: "&amp;F467,IF(NOT(ISNUMBER(G467)),"Enter an amount",IF(G467&lt;=0,"Amount must be positive",IF(S467&gt;G467,"Tax is larger than the amount","")))))))))))</f>
        <v/>
      </c>
      <c r="U467" s="67">
        <f>IF(OR(R467=1,T467&lt;&gt;""),"",IF(COUNTIFS(ap_No,B467,ap_Party,D467)&gt;1,"Duplicate bill #",IF(N(L467)&lt;0,"Overpaid by "&amp;TEXT(-L467,"#,##0.00"),IF(AND(ISNUMBER(H467),N(H467)&lt;&gt;0,S467=0),"Tax ignored (tax tracking is off)",IF(AND(ISNUMBER(StartDate),C467&lt;StartDate),"Date is before the accounting start date",IF(OR(IFERROR(INDEX(coa_Type,MATCH(F467,coa_Name,0)),"")="Revenue",IFERROR(INDEX(coa_Type,MATCH(F467,coa_Name,0)),"")="Other Income",IFERROR(INDEX(coa_Type,MATCH(F467,coa_Name,0)),"")="Equity"),"Account is not an expense or asset account",""))))))</f>
        <v/>
      </c>
      <c r="V467" s="67">
        <f>IF(AND(R467=0,T467=""),1,0)</f>
        <v/>
      </c>
      <c r="W467" s="67">
        <f>IF(V467=1,F467,"")</f>
        <v/>
      </c>
      <c r="X467" s="67">
        <f>IF(V467=1,acctAP,"")</f>
        <v/>
      </c>
      <c r="Y467" s="68">
        <f>IF(V467=1,G467-S467,0)</f>
        <v/>
      </c>
      <c r="Z467" s="68">
        <f>IF(V467=1,G467,0)</f>
        <v/>
      </c>
      <c r="AA467" s="68">
        <f>IF(V467=1,S467,0)</f>
        <v/>
      </c>
    </row>
    <row r="468">
      <c r="B468" s="62" t="n"/>
      <c r="C468" s="63" t="n"/>
      <c r="D468" s="62" t="n"/>
      <c r="E468" s="62" t="n"/>
      <c r="F468" s="62" t="n"/>
      <c r="G468" s="64" t="n"/>
      <c r="H468" s="64" t="n"/>
      <c r="I468" s="63" t="n"/>
      <c r="J468" s="29">
        <f>IF(V468=1,IF(ISNUMBER(I468),I468,C468+IF(ISNUMBER(IFERROR(INDEX(vend_Terms,MATCH(D468,vend_Name,0)),"")),INDEX(vend_Terms,MATCH(D468,vend_Name,0)),TermsDays)),"")</f>
        <v/>
      </c>
      <c r="K468" s="65">
        <f>IF(V468=1,SUMIFS(tx_CrAmt,tx_Type,"Bill Payment",tx_Ref,B468&amp;"",tx_Vend,D468,tx_Date,"&lt;="&amp;AsOf),"")</f>
        <v/>
      </c>
      <c r="L468" s="65">
        <f>IF(V468=1,IF(C468&gt;AsOf,0,ROUND(G468-K468,2)),"")</f>
        <v/>
      </c>
      <c r="M468" s="66">
        <f>IF(V468&lt;&gt;1,"",IF(C468&gt;AsOf,"Future",IF(L468&lt;0,"Overpaid",IF(L468=0,"Paid",IF(AsOf&gt;J468,"Overdue",IF(K468&gt;0,"Partial","Unpaid"))))))</f>
        <v/>
      </c>
      <c r="N468" s="28">
        <f>IF(AND(V468=1,N(L468)&gt;0),AsOf-C468,"")</f>
        <v/>
      </c>
      <c r="O468" s="28">
        <f>IF(N468="","",MAX(0,AsOf-J468))</f>
        <v/>
      </c>
      <c r="P468" s="66">
        <f>IF(O468="","",IF(O468=0,"Current",IF(O468&lt;=30,"1-30",IF(O468&lt;=60,"31-60",IF(O468&lt;=90,"61-90","90+")))))</f>
        <v/>
      </c>
      <c r="Q468" s="66">
        <f>IF(T468&lt;&gt;"","⛔ "&amp;T468&amp;" — not posted",IF(U468&lt;&gt;"","⚠ "&amp;U468,IF(V468=1,"✓ OK","")))</f>
        <v/>
      </c>
      <c r="R468" s="67">
        <f>IF(AND(B468="",C468="",D468="",G468="",F468=""),1,0)</f>
        <v/>
      </c>
      <c r="S468" s="68">
        <f>IF(AND(TaxOn="Yes",ISNUMBER(H468)),H468,0)</f>
        <v/>
      </c>
      <c r="T468" s="67">
        <f>IF(R468=1,"",IF(B468="","Enter a bill #",IF(D468="","Select a vendor",IF(C468="","Missing bill date",IF(NOT(ISNUMBER(C468)),"Invalid date",IF(OR(C468&lt;DATE(2000,1,1),C468&gt;DATE(2099,12,31)),"Invalid date",IF(F468="","Select an expense account",IF(ISNA(MATCH(F468,coa_Name,0)),"Unknown account: "&amp;F468,IF(NOT(ISNUMBER(G468)),"Enter an amount",IF(G468&lt;=0,"Amount must be positive",IF(S468&gt;G468,"Tax is larger than the amount","")))))))))))</f>
        <v/>
      </c>
      <c r="U468" s="67">
        <f>IF(OR(R468=1,T468&lt;&gt;""),"",IF(COUNTIFS(ap_No,B468,ap_Party,D468)&gt;1,"Duplicate bill #",IF(N(L468)&lt;0,"Overpaid by "&amp;TEXT(-L468,"#,##0.00"),IF(AND(ISNUMBER(H468),N(H468)&lt;&gt;0,S468=0),"Tax ignored (tax tracking is off)",IF(AND(ISNUMBER(StartDate),C468&lt;StartDate),"Date is before the accounting start date",IF(OR(IFERROR(INDEX(coa_Type,MATCH(F468,coa_Name,0)),"")="Revenue",IFERROR(INDEX(coa_Type,MATCH(F468,coa_Name,0)),"")="Other Income",IFERROR(INDEX(coa_Type,MATCH(F468,coa_Name,0)),"")="Equity"),"Account is not an expense or asset account",""))))))</f>
        <v/>
      </c>
      <c r="V468" s="67">
        <f>IF(AND(R468=0,T468=""),1,0)</f>
        <v/>
      </c>
      <c r="W468" s="67">
        <f>IF(V468=1,F468,"")</f>
        <v/>
      </c>
      <c r="X468" s="67">
        <f>IF(V468=1,acctAP,"")</f>
        <v/>
      </c>
      <c r="Y468" s="68">
        <f>IF(V468=1,G468-S468,0)</f>
        <v/>
      </c>
      <c r="Z468" s="68">
        <f>IF(V468=1,G468,0)</f>
        <v/>
      </c>
      <c r="AA468" s="68">
        <f>IF(V468=1,S468,0)</f>
        <v/>
      </c>
    </row>
    <row r="469">
      <c r="B469" s="62" t="n"/>
      <c r="C469" s="63" t="n"/>
      <c r="D469" s="62" t="n"/>
      <c r="E469" s="62" t="n"/>
      <c r="F469" s="62" t="n"/>
      <c r="G469" s="64" t="n"/>
      <c r="H469" s="64" t="n"/>
      <c r="I469" s="63" t="n"/>
      <c r="J469" s="29">
        <f>IF(V469=1,IF(ISNUMBER(I469),I469,C469+IF(ISNUMBER(IFERROR(INDEX(vend_Terms,MATCH(D469,vend_Name,0)),"")),INDEX(vend_Terms,MATCH(D469,vend_Name,0)),TermsDays)),"")</f>
        <v/>
      </c>
      <c r="K469" s="65">
        <f>IF(V469=1,SUMIFS(tx_CrAmt,tx_Type,"Bill Payment",tx_Ref,B469&amp;"",tx_Vend,D469,tx_Date,"&lt;="&amp;AsOf),"")</f>
        <v/>
      </c>
      <c r="L469" s="65">
        <f>IF(V469=1,IF(C469&gt;AsOf,0,ROUND(G469-K469,2)),"")</f>
        <v/>
      </c>
      <c r="M469" s="66">
        <f>IF(V469&lt;&gt;1,"",IF(C469&gt;AsOf,"Future",IF(L469&lt;0,"Overpaid",IF(L469=0,"Paid",IF(AsOf&gt;J469,"Overdue",IF(K469&gt;0,"Partial","Unpaid"))))))</f>
        <v/>
      </c>
      <c r="N469" s="28">
        <f>IF(AND(V469=1,N(L469)&gt;0),AsOf-C469,"")</f>
        <v/>
      </c>
      <c r="O469" s="28">
        <f>IF(N469="","",MAX(0,AsOf-J469))</f>
        <v/>
      </c>
      <c r="P469" s="66">
        <f>IF(O469="","",IF(O469=0,"Current",IF(O469&lt;=30,"1-30",IF(O469&lt;=60,"31-60",IF(O469&lt;=90,"61-90","90+")))))</f>
        <v/>
      </c>
      <c r="Q469" s="66">
        <f>IF(T469&lt;&gt;"","⛔ "&amp;T469&amp;" — not posted",IF(U469&lt;&gt;"","⚠ "&amp;U469,IF(V469=1,"✓ OK","")))</f>
        <v/>
      </c>
      <c r="R469" s="67">
        <f>IF(AND(B469="",C469="",D469="",G469="",F469=""),1,0)</f>
        <v/>
      </c>
      <c r="S469" s="68">
        <f>IF(AND(TaxOn="Yes",ISNUMBER(H469)),H469,0)</f>
        <v/>
      </c>
      <c r="T469" s="67">
        <f>IF(R469=1,"",IF(B469="","Enter a bill #",IF(D469="","Select a vendor",IF(C469="","Missing bill date",IF(NOT(ISNUMBER(C469)),"Invalid date",IF(OR(C469&lt;DATE(2000,1,1),C469&gt;DATE(2099,12,31)),"Invalid date",IF(F469="","Select an expense account",IF(ISNA(MATCH(F469,coa_Name,0)),"Unknown account: "&amp;F469,IF(NOT(ISNUMBER(G469)),"Enter an amount",IF(G469&lt;=0,"Amount must be positive",IF(S469&gt;G469,"Tax is larger than the amount","")))))))))))</f>
        <v/>
      </c>
      <c r="U469" s="67">
        <f>IF(OR(R469=1,T469&lt;&gt;""),"",IF(COUNTIFS(ap_No,B469,ap_Party,D469)&gt;1,"Duplicate bill #",IF(N(L469)&lt;0,"Overpaid by "&amp;TEXT(-L469,"#,##0.00"),IF(AND(ISNUMBER(H469),N(H469)&lt;&gt;0,S469=0),"Tax ignored (tax tracking is off)",IF(AND(ISNUMBER(StartDate),C469&lt;StartDate),"Date is before the accounting start date",IF(OR(IFERROR(INDEX(coa_Type,MATCH(F469,coa_Name,0)),"")="Revenue",IFERROR(INDEX(coa_Type,MATCH(F469,coa_Name,0)),"")="Other Income",IFERROR(INDEX(coa_Type,MATCH(F469,coa_Name,0)),"")="Equity"),"Account is not an expense or asset account",""))))))</f>
        <v/>
      </c>
      <c r="V469" s="67">
        <f>IF(AND(R469=0,T469=""),1,0)</f>
        <v/>
      </c>
      <c r="W469" s="67">
        <f>IF(V469=1,F469,"")</f>
        <v/>
      </c>
      <c r="X469" s="67">
        <f>IF(V469=1,acctAP,"")</f>
        <v/>
      </c>
      <c r="Y469" s="68">
        <f>IF(V469=1,G469-S469,0)</f>
        <v/>
      </c>
      <c r="Z469" s="68">
        <f>IF(V469=1,G469,0)</f>
        <v/>
      </c>
      <c r="AA469" s="68">
        <f>IF(V469=1,S469,0)</f>
        <v/>
      </c>
    </row>
    <row r="470">
      <c r="B470" s="62" t="n"/>
      <c r="C470" s="63" t="n"/>
      <c r="D470" s="62" t="n"/>
      <c r="E470" s="62" t="n"/>
      <c r="F470" s="62" t="n"/>
      <c r="G470" s="64" t="n"/>
      <c r="H470" s="64" t="n"/>
      <c r="I470" s="63" t="n"/>
      <c r="J470" s="29">
        <f>IF(V470=1,IF(ISNUMBER(I470),I470,C470+IF(ISNUMBER(IFERROR(INDEX(vend_Terms,MATCH(D470,vend_Name,0)),"")),INDEX(vend_Terms,MATCH(D470,vend_Name,0)),TermsDays)),"")</f>
        <v/>
      </c>
      <c r="K470" s="65">
        <f>IF(V470=1,SUMIFS(tx_CrAmt,tx_Type,"Bill Payment",tx_Ref,B470&amp;"",tx_Vend,D470,tx_Date,"&lt;="&amp;AsOf),"")</f>
        <v/>
      </c>
      <c r="L470" s="65">
        <f>IF(V470=1,IF(C470&gt;AsOf,0,ROUND(G470-K470,2)),"")</f>
        <v/>
      </c>
      <c r="M470" s="66">
        <f>IF(V470&lt;&gt;1,"",IF(C470&gt;AsOf,"Future",IF(L470&lt;0,"Overpaid",IF(L470=0,"Paid",IF(AsOf&gt;J470,"Overdue",IF(K470&gt;0,"Partial","Unpaid"))))))</f>
        <v/>
      </c>
      <c r="N470" s="28">
        <f>IF(AND(V470=1,N(L470)&gt;0),AsOf-C470,"")</f>
        <v/>
      </c>
      <c r="O470" s="28">
        <f>IF(N470="","",MAX(0,AsOf-J470))</f>
        <v/>
      </c>
      <c r="P470" s="66">
        <f>IF(O470="","",IF(O470=0,"Current",IF(O470&lt;=30,"1-30",IF(O470&lt;=60,"31-60",IF(O470&lt;=90,"61-90","90+")))))</f>
        <v/>
      </c>
      <c r="Q470" s="66">
        <f>IF(T470&lt;&gt;"","⛔ "&amp;T470&amp;" — not posted",IF(U470&lt;&gt;"","⚠ "&amp;U470,IF(V470=1,"✓ OK","")))</f>
        <v/>
      </c>
      <c r="R470" s="67">
        <f>IF(AND(B470="",C470="",D470="",G470="",F470=""),1,0)</f>
        <v/>
      </c>
      <c r="S470" s="68">
        <f>IF(AND(TaxOn="Yes",ISNUMBER(H470)),H470,0)</f>
        <v/>
      </c>
      <c r="T470" s="67">
        <f>IF(R470=1,"",IF(B470="","Enter a bill #",IF(D470="","Select a vendor",IF(C470="","Missing bill date",IF(NOT(ISNUMBER(C470)),"Invalid date",IF(OR(C470&lt;DATE(2000,1,1),C470&gt;DATE(2099,12,31)),"Invalid date",IF(F470="","Select an expense account",IF(ISNA(MATCH(F470,coa_Name,0)),"Unknown account: "&amp;F470,IF(NOT(ISNUMBER(G470)),"Enter an amount",IF(G470&lt;=0,"Amount must be positive",IF(S470&gt;G470,"Tax is larger than the amount","")))))))))))</f>
        <v/>
      </c>
      <c r="U470" s="67">
        <f>IF(OR(R470=1,T470&lt;&gt;""),"",IF(COUNTIFS(ap_No,B470,ap_Party,D470)&gt;1,"Duplicate bill #",IF(N(L470)&lt;0,"Overpaid by "&amp;TEXT(-L470,"#,##0.00"),IF(AND(ISNUMBER(H470),N(H470)&lt;&gt;0,S470=0),"Tax ignored (tax tracking is off)",IF(AND(ISNUMBER(StartDate),C470&lt;StartDate),"Date is before the accounting start date",IF(OR(IFERROR(INDEX(coa_Type,MATCH(F470,coa_Name,0)),"")="Revenue",IFERROR(INDEX(coa_Type,MATCH(F470,coa_Name,0)),"")="Other Income",IFERROR(INDEX(coa_Type,MATCH(F470,coa_Name,0)),"")="Equity"),"Account is not an expense or asset account",""))))))</f>
        <v/>
      </c>
      <c r="V470" s="67">
        <f>IF(AND(R470=0,T470=""),1,0)</f>
        <v/>
      </c>
      <c r="W470" s="67">
        <f>IF(V470=1,F470,"")</f>
        <v/>
      </c>
      <c r="X470" s="67">
        <f>IF(V470=1,acctAP,"")</f>
        <v/>
      </c>
      <c r="Y470" s="68">
        <f>IF(V470=1,G470-S470,0)</f>
        <v/>
      </c>
      <c r="Z470" s="68">
        <f>IF(V470=1,G470,0)</f>
        <v/>
      </c>
      <c r="AA470" s="68">
        <f>IF(V470=1,S470,0)</f>
        <v/>
      </c>
    </row>
    <row r="471">
      <c r="B471" s="62" t="n"/>
      <c r="C471" s="63" t="n"/>
      <c r="D471" s="62" t="n"/>
      <c r="E471" s="62" t="n"/>
      <c r="F471" s="62" t="n"/>
      <c r="G471" s="64" t="n"/>
      <c r="H471" s="64" t="n"/>
      <c r="I471" s="63" t="n"/>
      <c r="J471" s="29">
        <f>IF(V471=1,IF(ISNUMBER(I471),I471,C471+IF(ISNUMBER(IFERROR(INDEX(vend_Terms,MATCH(D471,vend_Name,0)),"")),INDEX(vend_Terms,MATCH(D471,vend_Name,0)),TermsDays)),"")</f>
        <v/>
      </c>
      <c r="K471" s="65">
        <f>IF(V471=1,SUMIFS(tx_CrAmt,tx_Type,"Bill Payment",tx_Ref,B471&amp;"",tx_Vend,D471,tx_Date,"&lt;="&amp;AsOf),"")</f>
        <v/>
      </c>
      <c r="L471" s="65">
        <f>IF(V471=1,IF(C471&gt;AsOf,0,ROUND(G471-K471,2)),"")</f>
        <v/>
      </c>
      <c r="M471" s="66">
        <f>IF(V471&lt;&gt;1,"",IF(C471&gt;AsOf,"Future",IF(L471&lt;0,"Overpaid",IF(L471=0,"Paid",IF(AsOf&gt;J471,"Overdue",IF(K471&gt;0,"Partial","Unpaid"))))))</f>
        <v/>
      </c>
      <c r="N471" s="28">
        <f>IF(AND(V471=1,N(L471)&gt;0),AsOf-C471,"")</f>
        <v/>
      </c>
      <c r="O471" s="28">
        <f>IF(N471="","",MAX(0,AsOf-J471))</f>
        <v/>
      </c>
      <c r="P471" s="66">
        <f>IF(O471="","",IF(O471=0,"Current",IF(O471&lt;=30,"1-30",IF(O471&lt;=60,"31-60",IF(O471&lt;=90,"61-90","90+")))))</f>
        <v/>
      </c>
      <c r="Q471" s="66">
        <f>IF(T471&lt;&gt;"","⛔ "&amp;T471&amp;" — not posted",IF(U471&lt;&gt;"","⚠ "&amp;U471,IF(V471=1,"✓ OK","")))</f>
        <v/>
      </c>
      <c r="R471" s="67">
        <f>IF(AND(B471="",C471="",D471="",G471="",F471=""),1,0)</f>
        <v/>
      </c>
      <c r="S471" s="68">
        <f>IF(AND(TaxOn="Yes",ISNUMBER(H471)),H471,0)</f>
        <v/>
      </c>
      <c r="T471" s="67">
        <f>IF(R471=1,"",IF(B471="","Enter a bill #",IF(D471="","Select a vendor",IF(C471="","Missing bill date",IF(NOT(ISNUMBER(C471)),"Invalid date",IF(OR(C471&lt;DATE(2000,1,1),C471&gt;DATE(2099,12,31)),"Invalid date",IF(F471="","Select an expense account",IF(ISNA(MATCH(F471,coa_Name,0)),"Unknown account: "&amp;F471,IF(NOT(ISNUMBER(G471)),"Enter an amount",IF(G471&lt;=0,"Amount must be positive",IF(S471&gt;G471,"Tax is larger than the amount","")))))))))))</f>
        <v/>
      </c>
      <c r="U471" s="67">
        <f>IF(OR(R471=1,T471&lt;&gt;""),"",IF(COUNTIFS(ap_No,B471,ap_Party,D471)&gt;1,"Duplicate bill #",IF(N(L471)&lt;0,"Overpaid by "&amp;TEXT(-L471,"#,##0.00"),IF(AND(ISNUMBER(H471),N(H471)&lt;&gt;0,S471=0),"Tax ignored (tax tracking is off)",IF(AND(ISNUMBER(StartDate),C471&lt;StartDate),"Date is before the accounting start date",IF(OR(IFERROR(INDEX(coa_Type,MATCH(F471,coa_Name,0)),"")="Revenue",IFERROR(INDEX(coa_Type,MATCH(F471,coa_Name,0)),"")="Other Income",IFERROR(INDEX(coa_Type,MATCH(F471,coa_Name,0)),"")="Equity"),"Account is not an expense or asset account",""))))))</f>
        <v/>
      </c>
      <c r="V471" s="67">
        <f>IF(AND(R471=0,T471=""),1,0)</f>
        <v/>
      </c>
      <c r="W471" s="67">
        <f>IF(V471=1,F471,"")</f>
        <v/>
      </c>
      <c r="X471" s="67">
        <f>IF(V471=1,acctAP,"")</f>
        <v/>
      </c>
      <c r="Y471" s="68">
        <f>IF(V471=1,G471-S471,0)</f>
        <v/>
      </c>
      <c r="Z471" s="68">
        <f>IF(V471=1,G471,0)</f>
        <v/>
      </c>
      <c r="AA471" s="68">
        <f>IF(V471=1,S471,0)</f>
        <v/>
      </c>
    </row>
    <row r="472">
      <c r="B472" s="62" t="n"/>
      <c r="C472" s="63" t="n"/>
      <c r="D472" s="62" t="n"/>
      <c r="E472" s="62" t="n"/>
      <c r="F472" s="62" t="n"/>
      <c r="G472" s="64" t="n"/>
      <c r="H472" s="64" t="n"/>
      <c r="I472" s="63" t="n"/>
      <c r="J472" s="29">
        <f>IF(V472=1,IF(ISNUMBER(I472),I472,C472+IF(ISNUMBER(IFERROR(INDEX(vend_Terms,MATCH(D472,vend_Name,0)),"")),INDEX(vend_Terms,MATCH(D472,vend_Name,0)),TermsDays)),"")</f>
        <v/>
      </c>
      <c r="K472" s="65">
        <f>IF(V472=1,SUMIFS(tx_CrAmt,tx_Type,"Bill Payment",tx_Ref,B472&amp;"",tx_Vend,D472,tx_Date,"&lt;="&amp;AsOf),"")</f>
        <v/>
      </c>
      <c r="L472" s="65">
        <f>IF(V472=1,IF(C472&gt;AsOf,0,ROUND(G472-K472,2)),"")</f>
        <v/>
      </c>
      <c r="M472" s="66">
        <f>IF(V472&lt;&gt;1,"",IF(C472&gt;AsOf,"Future",IF(L472&lt;0,"Overpaid",IF(L472=0,"Paid",IF(AsOf&gt;J472,"Overdue",IF(K472&gt;0,"Partial","Unpaid"))))))</f>
        <v/>
      </c>
      <c r="N472" s="28">
        <f>IF(AND(V472=1,N(L472)&gt;0),AsOf-C472,"")</f>
        <v/>
      </c>
      <c r="O472" s="28">
        <f>IF(N472="","",MAX(0,AsOf-J472))</f>
        <v/>
      </c>
      <c r="P472" s="66">
        <f>IF(O472="","",IF(O472=0,"Current",IF(O472&lt;=30,"1-30",IF(O472&lt;=60,"31-60",IF(O472&lt;=90,"61-90","90+")))))</f>
        <v/>
      </c>
      <c r="Q472" s="66">
        <f>IF(T472&lt;&gt;"","⛔ "&amp;T472&amp;" — not posted",IF(U472&lt;&gt;"","⚠ "&amp;U472,IF(V472=1,"✓ OK","")))</f>
        <v/>
      </c>
      <c r="R472" s="67">
        <f>IF(AND(B472="",C472="",D472="",G472="",F472=""),1,0)</f>
        <v/>
      </c>
      <c r="S472" s="68">
        <f>IF(AND(TaxOn="Yes",ISNUMBER(H472)),H472,0)</f>
        <v/>
      </c>
      <c r="T472" s="67">
        <f>IF(R472=1,"",IF(B472="","Enter a bill #",IF(D472="","Select a vendor",IF(C472="","Missing bill date",IF(NOT(ISNUMBER(C472)),"Invalid date",IF(OR(C472&lt;DATE(2000,1,1),C472&gt;DATE(2099,12,31)),"Invalid date",IF(F472="","Select an expense account",IF(ISNA(MATCH(F472,coa_Name,0)),"Unknown account: "&amp;F472,IF(NOT(ISNUMBER(G472)),"Enter an amount",IF(G472&lt;=0,"Amount must be positive",IF(S472&gt;G472,"Tax is larger than the amount","")))))))))))</f>
        <v/>
      </c>
      <c r="U472" s="67">
        <f>IF(OR(R472=1,T472&lt;&gt;""),"",IF(COUNTIFS(ap_No,B472,ap_Party,D472)&gt;1,"Duplicate bill #",IF(N(L472)&lt;0,"Overpaid by "&amp;TEXT(-L472,"#,##0.00"),IF(AND(ISNUMBER(H472),N(H472)&lt;&gt;0,S472=0),"Tax ignored (tax tracking is off)",IF(AND(ISNUMBER(StartDate),C472&lt;StartDate),"Date is before the accounting start date",IF(OR(IFERROR(INDEX(coa_Type,MATCH(F472,coa_Name,0)),"")="Revenue",IFERROR(INDEX(coa_Type,MATCH(F472,coa_Name,0)),"")="Other Income",IFERROR(INDEX(coa_Type,MATCH(F472,coa_Name,0)),"")="Equity"),"Account is not an expense or asset account",""))))))</f>
        <v/>
      </c>
      <c r="V472" s="67">
        <f>IF(AND(R472=0,T472=""),1,0)</f>
        <v/>
      </c>
      <c r="W472" s="67">
        <f>IF(V472=1,F472,"")</f>
        <v/>
      </c>
      <c r="X472" s="67">
        <f>IF(V472=1,acctAP,"")</f>
        <v/>
      </c>
      <c r="Y472" s="68">
        <f>IF(V472=1,G472-S472,0)</f>
        <v/>
      </c>
      <c r="Z472" s="68">
        <f>IF(V472=1,G472,0)</f>
        <v/>
      </c>
      <c r="AA472" s="68">
        <f>IF(V472=1,S472,0)</f>
        <v/>
      </c>
    </row>
    <row r="473">
      <c r="B473" s="62" t="n"/>
      <c r="C473" s="63" t="n"/>
      <c r="D473" s="62" t="n"/>
      <c r="E473" s="62" t="n"/>
      <c r="F473" s="62" t="n"/>
      <c r="G473" s="64" t="n"/>
      <c r="H473" s="64" t="n"/>
      <c r="I473" s="63" t="n"/>
      <c r="J473" s="29">
        <f>IF(V473=1,IF(ISNUMBER(I473),I473,C473+IF(ISNUMBER(IFERROR(INDEX(vend_Terms,MATCH(D473,vend_Name,0)),"")),INDEX(vend_Terms,MATCH(D473,vend_Name,0)),TermsDays)),"")</f>
        <v/>
      </c>
      <c r="K473" s="65">
        <f>IF(V473=1,SUMIFS(tx_CrAmt,tx_Type,"Bill Payment",tx_Ref,B473&amp;"",tx_Vend,D473,tx_Date,"&lt;="&amp;AsOf),"")</f>
        <v/>
      </c>
      <c r="L473" s="65">
        <f>IF(V473=1,IF(C473&gt;AsOf,0,ROUND(G473-K473,2)),"")</f>
        <v/>
      </c>
      <c r="M473" s="66">
        <f>IF(V473&lt;&gt;1,"",IF(C473&gt;AsOf,"Future",IF(L473&lt;0,"Overpaid",IF(L473=0,"Paid",IF(AsOf&gt;J473,"Overdue",IF(K473&gt;0,"Partial","Unpaid"))))))</f>
        <v/>
      </c>
      <c r="N473" s="28">
        <f>IF(AND(V473=1,N(L473)&gt;0),AsOf-C473,"")</f>
        <v/>
      </c>
      <c r="O473" s="28">
        <f>IF(N473="","",MAX(0,AsOf-J473))</f>
        <v/>
      </c>
      <c r="P473" s="66">
        <f>IF(O473="","",IF(O473=0,"Current",IF(O473&lt;=30,"1-30",IF(O473&lt;=60,"31-60",IF(O473&lt;=90,"61-90","90+")))))</f>
        <v/>
      </c>
      <c r="Q473" s="66">
        <f>IF(T473&lt;&gt;"","⛔ "&amp;T473&amp;" — not posted",IF(U473&lt;&gt;"","⚠ "&amp;U473,IF(V473=1,"✓ OK","")))</f>
        <v/>
      </c>
      <c r="R473" s="67">
        <f>IF(AND(B473="",C473="",D473="",G473="",F473=""),1,0)</f>
        <v/>
      </c>
      <c r="S473" s="68">
        <f>IF(AND(TaxOn="Yes",ISNUMBER(H473)),H473,0)</f>
        <v/>
      </c>
      <c r="T473" s="67">
        <f>IF(R473=1,"",IF(B473="","Enter a bill #",IF(D473="","Select a vendor",IF(C473="","Missing bill date",IF(NOT(ISNUMBER(C473)),"Invalid date",IF(OR(C473&lt;DATE(2000,1,1),C473&gt;DATE(2099,12,31)),"Invalid date",IF(F473="","Select an expense account",IF(ISNA(MATCH(F473,coa_Name,0)),"Unknown account: "&amp;F473,IF(NOT(ISNUMBER(G473)),"Enter an amount",IF(G473&lt;=0,"Amount must be positive",IF(S473&gt;G473,"Tax is larger than the amount","")))))))))))</f>
        <v/>
      </c>
      <c r="U473" s="67">
        <f>IF(OR(R473=1,T473&lt;&gt;""),"",IF(COUNTIFS(ap_No,B473,ap_Party,D473)&gt;1,"Duplicate bill #",IF(N(L473)&lt;0,"Overpaid by "&amp;TEXT(-L473,"#,##0.00"),IF(AND(ISNUMBER(H473),N(H473)&lt;&gt;0,S473=0),"Tax ignored (tax tracking is off)",IF(AND(ISNUMBER(StartDate),C473&lt;StartDate),"Date is before the accounting start date",IF(OR(IFERROR(INDEX(coa_Type,MATCH(F473,coa_Name,0)),"")="Revenue",IFERROR(INDEX(coa_Type,MATCH(F473,coa_Name,0)),"")="Other Income",IFERROR(INDEX(coa_Type,MATCH(F473,coa_Name,0)),"")="Equity"),"Account is not an expense or asset account",""))))))</f>
        <v/>
      </c>
      <c r="V473" s="67">
        <f>IF(AND(R473=0,T473=""),1,0)</f>
        <v/>
      </c>
      <c r="W473" s="67">
        <f>IF(V473=1,F473,"")</f>
        <v/>
      </c>
      <c r="X473" s="67">
        <f>IF(V473=1,acctAP,"")</f>
        <v/>
      </c>
      <c r="Y473" s="68">
        <f>IF(V473=1,G473-S473,0)</f>
        <v/>
      </c>
      <c r="Z473" s="68">
        <f>IF(V473=1,G473,0)</f>
        <v/>
      </c>
      <c r="AA473" s="68">
        <f>IF(V473=1,S473,0)</f>
        <v/>
      </c>
    </row>
    <row r="474">
      <c r="B474" s="62" t="n"/>
      <c r="C474" s="63" t="n"/>
      <c r="D474" s="62" t="n"/>
      <c r="E474" s="62" t="n"/>
      <c r="F474" s="62" t="n"/>
      <c r="G474" s="64" t="n"/>
      <c r="H474" s="64" t="n"/>
      <c r="I474" s="63" t="n"/>
      <c r="J474" s="29">
        <f>IF(V474=1,IF(ISNUMBER(I474),I474,C474+IF(ISNUMBER(IFERROR(INDEX(vend_Terms,MATCH(D474,vend_Name,0)),"")),INDEX(vend_Terms,MATCH(D474,vend_Name,0)),TermsDays)),"")</f>
        <v/>
      </c>
      <c r="K474" s="65">
        <f>IF(V474=1,SUMIFS(tx_CrAmt,tx_Type,"Bill Payment",tx_Ref,B474&amp;"",tx_Vend,D474,tx_Date,"&lt;="&amp;AsOf),"")</f>
        <v/>
      </c>
      <c r="L474" s="65">
        <f>IF(V474=1,IF(C474&gt;AsOf,0,ROUND(G474-K474,2)),"")</f>
        <v/>
      </c>
      <c r="M474" s="66">
        <f>IF(V474&lt;&gt;1,"",IF(C474&gt;AsOf,"Future",IF(L474&lt;0,"Overpaid",IF(L474=0,"Paid",IF(AsOf&gt;J474,"Overdue",IF(K474&gt;0,"Partial","Unpaid"))))))</f>
        <v/>
      </c>
      <c r="N474" s="28">
        <f>IF(AND(V474=1,N(L474)&gt;0),AsOf-C474,"")</f>
        <v/>
      </c>
      <c r="O474" s="28">
        <f>IF(N474="","",MAX(0,AsOf-J474))</f>
        <v/>
      </c>
      <c r="P474" s="66">
        <f>IF(O474="","",IF(O474=0,"Current",IF(O474&lt;=30,"1-30",IF(O474&lt;=60,"31-60",IF(O474&lt;=90,"61-90","90+")))))</f>
        <v/>
      </c>
      <c r="Q474" s="66">
        <f>IF(T474&lt;&gt;"","⛔ "&amp;T474&amp;" — not posted",IF(U474&lt;&gt;"","⚠ "&amp;U474,IF(V474=1,"✓ OK","")))</f>
        <v/>
      </c>
      <c r="R474" s="67">
        <f>IF(AND(B474="",C474="",D474="",G474="",F474=""),1,0)</f>
        <v/>
      </c>
      <c r="S474" s="68">
        <f>IF(AND(TaxOn="Yes",ISNUMBER(H474)),H474,0)</f>
        <v/>
      </c>
      <c r="T474" s="67">
        <f>IF(R474=1,"",IF(B474="","Enter a bill #",IF(D474="","Select a vendor",IF(C474="","Missing bill date",IF(NOT(ISNUMBER(C474)),"Invalid date",IF(OR(C474&lt;DATE(2000,1,1),C474&gt;DATE(2099,12,31)),"Invalid date",IF(F474="","Select an expense account",IF(ISNA(MATCH(F474,coa_Name,0)),"Unknown account: "&amp;F474,IF(NOT(ISNUMBER(G474)),"Enter an amount",IF(G474&lt;=0,"Amount must be positive",IF(S474&gt;G474,"Tax is larger than the amount","")))))))))))</f>
        <v/>
      </c>
      <c r="U474" s="67">
        <f>IF(OR(R474=1,T474&lt;&gt;""),"",IF(COUNTIFS(ap_No,B474,ap_Party,D474)&gt;1,"Duplicate bill #",IF(N(L474)&lt;0,"Overpaid by "&amp;TEXT(-L474,"#,##0.00"),IF(AND(ISNUMBER(H474),N(H474)&lt;&gt;0,S474=0),"Tax ignored (tax tracking is off)",IF(AND(ISNUMBER(StartDate),C474&lt;StartDate),"Date is before the accounting start date",IF(OR(IFERROR(INDEX(coa_Type,MATCH(F474,coa_Name,0)),"")="Revenue",IFERROR(INDEX(coa_Type,MATCH(F474,coa_Name,0)),"")="Other Income",IFERROR(INDEX(coa_Type,MATCH(F474,coa_Name,0)),"")="Equity"),"Account is not an expense or asset account",""))))))</f>
        <v/>
      </c>
      <c r="V474" s="67">
        <f>IF(AND(R474=0,T474=""),1,0)</f>
        <v/>
      </c>
      <c r="W474" s="67">
        <f>IF(V474=1,F474,"")</f>
        <v/>
      </c>
      <c r="X474" s="67">
        <f>IF(V474=1,acctAP,"")</f>
        <v/>
      </c>
      <c r="Y474" s="68">
        <f>IF(V474=1,G474-S474,0)</f>
        <v/>
      </c>
      <c r="Z474" s="68">
        <f>IF(V474=1,G474,0)</f>
        <v/>
      </c>
      <c r="AA474" s="68">
        <f>IF(V474=1,S474,0)</f>
        <v/>
      </c>
    </row>
    <row r="475">
      <c r="B475" s="62" t="n"/>
      <c r="C475" s="63" t="n"/>
      <c r="D475" s="62" t="n"/>
      <c r="E475" s="62" t="n"/>
      <c r="F475" s="62" t="n"/>
      <c r="G475" s="64" t="n"/>
      <c r="H475" s="64" t="n"/>
      <c r="I475" s="63" t="n"/>
      <c r="J475" s="29">
        <f>IF(V475=1,IF(ISNUMBER(I475),I475,C475+IF(ISNUMBER(IFERROR(INDEX(vend_Terms,MATCH(D475,vend_Name,0)),"")),INDEX(vend_Terms,MATCH(D475,vend_Name,0)),TermsDays)),"")</f>
        <v/>
      </c>
      <c r="K475" s="65">
        <f>IF(V475=1,SUMIFS(tx_CrAmt,tx_Type,"Bill Payment",tx_Ref,B475&amp;"",tx_Vend,D475,tx_Date,"&lt;="&amp;AsOf),"")</f>
        <v/>
      </c>
      <c r="L475" s="65">
        <f>IF(V475=1,IF(C475&gt;AsOf,0,ROUND(G475-K475,2)),"")</f>
        <v/>
      </c>
      <c r="M475" s="66">
        <f>IF(V475&lt;&gt;1,"",IF(C475&gt;AsOf,"Future",IF(L475&lt;0,"Overpaid",IF(L475=0,"Paid",IF(AsOf&gt;J475,"Overdue",IF(K475&gt;0,"Partial","Unpaid"))))))</f>
        <v/>
      </c>
      <c r="N475" s="28">
        <f>IF(AND(V475=1,N(L475)&gt;0),AsOf-C475,"")</f>
        <v/>
      </c>
      <c r="O475" s="28">
        <f>IF(N475="","",MAX(0,AsOf-J475))</f>
        <v/>
      </c>
      <c r="P475" s="66">
        <f>IF(O475="","",IF(O475=0,"Current",IF(O475&lt;=30,"1-30",IF(O475&lt;=60,"31-60",IF(O475&lt;=90,"61-90","90+")))))</f>
        <v/>
      </c>
      <c r="Q475" s="66">
        <f>IF(T475&lt;&gt;"","⛔ "&amp;T475&amp;" — not posted",IF(U475&lt;&gt;"","⚠ "&amp;U475,IF(V475=1,"✓ OK","")))</f>
        <v/>
      </c>
      <c r="R475" s="67">
        <f>IF(AND(B475="",C475="",D475="",G475="",F475=""),1,0)</f>
        <v/>
      </c>
      <c r="S475" s="68">
        <f>IF(AND(TaxOn="Yes",ISNUMBER(H475)),H475,0)</f>
        <v/>
      </c>
      <c r="T475" s="67">
        <f>IF(R475=1,"",IF(B475="","Enter a bill #",IF(D475="","Select a vendor",IF(C475="","Missing bill date",IF(NOT(ISNUMBER(C475)),"Invalid date",IF(OR(C475&lt;DATE(2000,1,1),C475&gt;DATE(2099,12,31)),"Invalid date",IF(F475="","Select an expense account",IF(ISNA(MATCH(F475,coa_Name,0)),"Unknown account: "&amp;F475,IF(NOT(ISNUMBER(G475)),"Enter an amount",IF(G475&lt;=0,"Amount must be positive",IF(S475&gt;G475,"Tax is larger than the amount","")))))))))))</f>
        <v/>
      </c>
      <c r="U475" s="67">
        <f>IF(OR(R475=1,T475&lt;&gt;""),"",IF(COUNTIFS(ap_No,B475,ap_Party,D475)&gt;1,"Duplicate bill #",IF(N(L475)&lt;0,"Overpaid by "&amp;TEXT(-L475,"#,##0.00"),IF(AND(ISNUMBER(H475),N(H475)&lt;&gt;0,S475=0),"Tax ignored (tax tracking is off)",IF(AND(ISNUMBER(StartDate),C475&lt;StartDate),"Date is before the accounting start date",IF(OR(IFERROR(INDEX(coa_Type,MATCH(F475,coa_Name,0)),"")="Revenue",IFERROR(INDEX(coa_Type,MATCH(F475,coa_Name,0)),"")="Other Income",IFERROR(INDEX(coa_Type,MATCH(F475,coa_Name,0)),"")="Equity"),"Account is not an expense or asset account",""))))))</f>
        <v/>
      </c>
      <c r="V475" s="67">
        <f>IF(AND(R475=0,T475=""),1,0)</f>
        <v/>
      </c>
      <c r="W475" s="67">
        <f>IF(V475=1,F475,"")</f>
        <v/>
      </c>
      <c r="X475" s="67">
        <f>IF(V475=1,acctAP,"")</f>
        <v/>
      </c>
      <c r="Y475" s="68">
        <f>IF(V475=1,G475-S475,0)</f>
        <v/>
      </c>
      <c r="Z475" s="68">
        <f>IF(V475=1,G475,0)</f>
        <v/>
      </c>
      <c r="AA475" s="68">
        <f>IF(V475=1,S475,0)</f>
        <v/>
      </c>
    </row>
    <row r="476">
      <c r="B476" s="62" t="n"/>
      <c r="C476" s="63" t="n"/>
      <c r="D476" s="62" t="n"/>
      <c r="E476" s="62" t="n"/>
      <c r="F476" s="62" t="n"/>
      <c r="G476" s="64" t="n"/>
      <c r="H476" s="64" t="n"/>
      <c r="I476" s="63" t="n"/>
      <c r="J476" s="29">
        <f>IF(V476=1,IF(ISNUMBER(I476),I476,C476+IF(ISNUMBER(IFERROR(INDEX(vend_Terms,MATCH(D476,vend_Name,0)),"")),INDEX(vend_Terms,MATCH(D476,vend_Name,0)),TermsDays)),"")</f>
        <v/>
      </c>
      <c r="K476" s="65">
        <f>IF(V476=1,SUMIFS(tx_CrAmt,tx_Type,"Bill Payment",tx_Ref,B476&amp;"",tx_Vend,D476,tx_Date,"&lt;="&amp;AsOf),"")</f>
        <v/>
      </c>
      <c r="L476" s="65">
        <f>IF(V476=1,IF(C476&gt;AsOf,0,ROUND(G476-K476,2)),"")</f>
        <v/>
      </c>
      <c r="M476" s="66">
        <f>IF(V476&lt;&gt;1,"",IF(C476&gt;AsOf,"Future",IF(L476&lt;0,"Overpaid",IF(L476=0,"Paid",IF(AsOf&gt;J476,"Overdue",IF(K476&gt;0,"Partial","Unpaid"))))))</f>
        <v/>
      </c>
      <c r="N476" s="28">
        <f>IF(AND(V476=1,N(L476)&gt;0),AsOf-C476,"")</f>
        <v/>
      </c>
      <c r="O476" s="28">
        <f>IF(N476="","",MAX(0,AsOf-J476))</f>
        <v/>
      </c>
      <c r="P476" s="66">
        <f>IF(O476="","",IF(O476=0,"Current",IF(O476&lt;=30,"1-30",IF(O476&lt;=60,"31-60",IF(O476&lt;=90,"61-90","90+")))))</f>
        <v/>
      </c>
      <c r="Q476" s="66">
        <f>IF(T476&lt;&gt;"","⛔ "&amp;T476&amp;" — not posted",IF(U476&lt;&gt;"","⚠ "&amp;U476,IF(V476=1,"✓ OK","")))</f>
        <v/>
      </c>
      <c r="R476" s="67">
        <f>IF(AND(B476="",C476="",D476="",G476="",F476=""),1,0)</f>
        <v/>
      </c>
      <c r="S476" s="68">
        <f>IF(AND(TaxOn="Yes",ISNUMBER(H476)),H476,0)</f>
        <v/>
      </c>
      <c r="T476" s="67">
        <f>IF(R476=1,"",IF(B476="","Enter a bill #",IF(D476="","Select a vendor",IF(C476="","Missing bill date",IF(NOT(ISNUMBER(C476)),"Invalid date",IF(OR(C476&lt;DATE(2000,1,1),C476&gt;DATE(2099,12,31)),"Invalid date",IF(F476="","Select an expense account",IF(ISNA(MATCH(F476,coa_Name,0)),"Unknown account: "&amp;F476,IF(NOT(ISNUMBER(G476)),"Enter an amount",IF(G476&lt;=0,"Amount must be positive",IF(S476&gt;G476,"Tax is larger than the amount","")))))))))))</f>
        <v/>
      </c>
      <c r="U476" s="67">
        <f>IF(OR(R476=1,T476&lt;&gt;""),"",IF(COUNTIFS(ap_No,B476,ap_Party,D476)&gt;1,"Duplicate bill #",IF(N(L476)&lt;0,"Overpaid by "&amp;TEXT(-L476,"#,##0.00"),IF(AND(ISNUMBER(H476),N(H476)&lt;&gt;0,S476=0),"Tax ignored (tax tracking is off)",IF(AND(ISNUMBER(StartDate),C476&lt;StartDate),"Date is before the accounting start date",IF(OR(IFERROR(INDEX(coa_Type,MATCH(F476,coa_Name,0)),"")="Revenue",IFERROR(INDEX(coa_Type,MATCH(F476,coa_Name,0)),"")="Other Income",IFERROR(INDEX(coa_Type,MATCH(F476,coa_Name,0)),"")="Equity"),"Account is not an expense or asset account",""))))))</f>
        <v/>
      </c>
      <c r="V476" s="67">
        <f>IF(AND(R476=0,T476=""),1,0)</f>
        <v/>
      </c>
      <c r="W476" s="67">
        <f>IF(V476=1,F476,"")</f>
        <v/>
      </c>
      <c r="X476" s="67">
        <f>IF(V476=1,acctAP,"")</f>
        <v/>
      </c>
      <c r="Y476" s="68">
        <f>IF(V476=1,G476-S476,0)</f>
        <v/>
      </c>
      <c r="Z476" s="68">
        <f>IF(V476=1,G476,0)</f>
        <v/>
      </c>
      <c r="AA476" s="68">
        <f>IF(V476=1,S476,0)</f>
        <v/>
      </c>
    </row>
    <row r="477">
      <c r="B477" s="62" t="n"/>
      <c r="C477" s="63" t="n"/>
      <c r="D477" s="62" t="n"/>
      <c r="E477" s="62" t="n"/>
      <c r="F477" s="62" t="n"/>
      <c r="G477" s="64" t="n"/>
      <c r="H477" s="64" t="n"/>
      <c r="I477" s="63" t="n"/>
      <c r="J477" s="29">
        <f>IF(V477=1,IF(ISNUMBER(I477),I477,C477+IF(ISNUMBER(IFERROR(INDEX(vend_Terms,MATCH(D477,vend_Name,0)),"")),INDEX(vend_Terms,MATCH(D477,vend_Name,0)),TermsDays)),"")</f>
        <v/>
      </c>
      <c r="K477" s="65">
        <f>IF(V477=1,SUMIFS(tx_CrAmt,tx_Type,"Bill Payment",tx_Ref,B477&amp;"",tx_Vend,D477,tx_Date,"&lt;="&amp;AsOf),"")</f>
        <v/>
      </c>
      <c r="L477" s="65">
        <f>IF(V477=1,IF(C477&gt;AsOf,0,ROUND(G477-K477,2)),"")</f>
        <v/>
      </c>
      <c r="M477" s="66">
        <f>IF(V477&lt;&gt;1,"",IF(C477&gt;AsOf,"Future",IF(L477&lt;0,"Overpaid",IF(L477=0,"Paid",IF(AsOf&gt;J477,"Overdue",IF(K477&gt;0,"Partial","Unpaid"))))))</f>
        <v/>
      </c>
      <c r="N477" s="28">
        <f>IF(AND(V477=1,N(L477)&gt;0),AsOf-C477,"")</f>
        <v/>
      </c>
      <c r="O477" s="28">
        <f>IF(N477="","",MAX(0,AsOf-J477))</f>
        <v/>
      </c>
      <c r="P477" s="66">
        <f>IF(O477="","",IF(O477=0,"Current",IF(O477&lt;=30,"1-30",IF(O477&lt;=60,"31-60",IF(O477&lt;=90,"61-90","90+")))))</f>
        <v/>
      </c>
      <c r="Q477" s="66">
        <f>IF(T477&lt;&gt;"","⛔ "&amp;T477&amp;" — not posted",IF(U477&lt;&gt;"","⚠ "&amp;U477,IF(V477=1,"✓ OK","")))</f>
        <v/>
      </c>
      <c r="R477" s="67">
        <f>IF(AND(B477="",C477="",D477="",G477="",F477=""),1,0)</f>
        <v/>
      </c>
      <c r="S477" s="68">
        <f>IF(AND(TaxOn="Yes",ISNUMBER(H477)),H477,0)</f>
        <v/>
      </c>
      <c r="T477" s="67">
        <f>IF(R477=1,"",IF(B477="","Enter a bill #",IF(D477="","Select a vendor",IF(C477="","Missing bill date",IF(NOT(ISNUMBER(C477)),"Invalid date",IF(OR(C477&lt;DATE(2000,1,1),C477&gt;DATE(2099,12,31)),"Invalid date",IF(F477="","Select an expense account",IF(ISNA(MATCH(F477,coa_Name,0)),"Unknown account: "&amp;F477,IF(NOT(ISNUMBER(G477)),"Enter an amount",IF(G477&lt;=0,"Amount must be positive",IF(S477&gt;G477,"Tax is larger than the amount","")))))))))))</f>
        <v/>
      </c>
      <c r="U477" s="67">
        <f>IF(OR(R477=1,T477&lt;&gt;""),"",IF(COUNTIFS(ap_No,B477,ap_Party,D477)&gt;1,"Duplicate bill #",IF(N(L477)&lt;0,"Overpaid by "&amp;TEXT(-L477,"#,##0.00"),IF(AND(ISNUMBER(H477),N(H477)&lt;&gt;0,S477=0),"Tax ignored (tax tracking is off)",IF(AND(ISNUMBER(StartDate),C477&lt;StartDate),"Date is before the accounting start date",IF(OR(IFERROR(INDEX(coa_Type,MATCH(F477,coa_Name,0)),"")="Revenue",IFERROR(INDEX(coa_Type,MATCH(F477,coa_Name,0)),"")="Other Income",IFERROR(INDEX(coa_Type,MATCH(F477,coa_Name,0)),"")="Equity"),"Account is not an expense or asset account",""))))))</f>
        <v/>
      </c>
      <c r="V477" s="67">
        <f>IF(AND(R477=0,T477=""),1,0)</f>
        <v/>
      </c>
      <c r="W477" s="67">
        <f>IF(V477=1,F477,"")</f>
        <v/>
      </c>
      <c r="X477" s="67">
        <f>IF(V477=1,acctAP,"")</f>
        <v/>
      </c>
      <c r="Y477" s="68">
        <f>IF(V477=1,G477-S477,0)</f>
        <v/>
      </c>
      <c r="Z477" s="68">
        <f>IF(V477=1,G477,0)</f>
        <v/>
      </c>
      <c r="AA477" s="68">
        <f>IF(V477=1,S477,0)</f>
        <v/>
      </c>
    </row>
    <row r="478">
      <c r="B478" s="62" t="n"/>
      <c r="C478" s="63" t="n"/>
      <c r="D478" s="62" t="n"/>
      <c r="E478" s="62" t="n"/>
      <c r="F478" s="62" t="n"/>
      <c r="G478" s="64" t="n"/>
      <c r="H478" s="64" t="n"/>
      <c r="I478" s="63" t="n"/>
      <c r="J478" s="29">
        <f>IF(V478=1,IF(ISNUMBER(I478),I478,C478+IF(ISNUMBER(IFERROR(INDEX(vend_Terms,MATCH(D478,vend_Name,0)),"")),INDEX(vend_Terms,MATCH(D478,vend_Name,0)),TermsDays)),"")</f>
        <v/>
      </c>
      <c r="K478" s="65">
        <f>IF(V478=1,SUMIFS(tx_CrAmt,tx_Type,"Bill Payment",tx_Ref,B478&amp;"",tx_Vend,D478,tx_Date,"&lt;="&amp;AsOf),"")</f>
        <v/>
      </c>
      <c r="L478" s="65">
        <f>IF(V478=1,IF(C478&gt;AsOf,0,ROUND(G478-K478,2)),"")</f>
        <v/>
      </c>
      <c r="M478" s="66">
        <f>IF(V478&lt;&gt;1,"",IF(C478&gt;AsOf,"Future",IF(L478&lt;0,"Overpaid",IF(L478=0,"Paid",IF(AsOf&gt;J478,"Overdue",IF(K478&gt;0,"Partial","Unpaid"))))))</f>
        <v/>
      </c>
      <c r="N478" s="28">
        <f>IF(AND(V478=1,N(L478)&gt;0),AsOf-C478,"")</f>
        <v/>
      </c>
      <c r="O478" s="28">
        <f>IF(N478="","",MAX(0,AsOf-J478))</f>
        <v/>
      </c>
      <c r="P478" s="66">
        <f>IF(O478="","",IF(O478=0,"Current",IF(O478&lt;=30,"1-30",IF(O478&lt;=60,"31-60",IF(O478&lt;=90,"61-90","90+")))))</f>
        <v/>
      </c>
      <c r="Q478" s="66">
        <f>IF(T478&lt;&gt;"","⛔ "&amp;T478&amp;" — not posted",IF(U478&lt;&gt;"","⚠ "&amp;U478,IF(V478=1,"✓ OK","")))</f>
        <v/>
      </c>
      <c r="R478" s="67">
        <f>IF(AND(B478="",C478="",D478="",G478="",F478=""),1,0)</f>
        <v/>
      </c>
      <c r="S478" s="68">
        <f>IF(AND(TaxOn="Yes",ISNUMBER(H478)),H478,0)</f>
        <v/>
      </c>
      <c r="T478" s="67">
        <f>IF(R478=1,"",IF(B478="","Enter a bill #",IF(D478="","Select a vendor",IF(C478="","Missing bill date",IF(NOT(ISNUMBER(C478)),"Invalid date",IF(OR(C478&lt;DATE(2000,1,1),C478&gt;DATE(2099,12,31)),"Invalid date",IF(F478="","Select an expense account",IF(ISNA(MATCH(F478,coa_Name,0)),"Unknown account: "&amp;F478,IF(NOT(ISNUMBER(G478)),"Enter an amount",IF(G478&lt;=0,"Amount must be positive",IF(S478&gt;G478,"Tax is larger than the amount","")))))))))))</f>
        <v/>
      </c>
      <c r="U478" s="67">
        <f>IF(OR(R478=1,T478&lt;&gt;""),"",IF(COUNTIFS(ap_No,B478,ap_Party,D478)&gt;1,"Duplicate bill #",IF(N(L478)&lt;0,"Overpaid by "&amp;TEXT(-L478,"#,##0.00"),IF(AND(ISNUMBER(H478),N(H478)&lt;&gt;0,S478=0),"Tax ignored (tax tracking is off)",IF(AND(ISNUMBER(StartDate),C478&lt;StartDate),"Date is before the accounting start date",IF(OR(IFERROR(INDEX(coa_Type,MATCH(F478,coa_Name,0)),"")="Revenue",IFERROR(INDEX(coa_Type,MATCH(F478,coa_Name,0)),"")="Other Income",IFERROR(INDEX(coa_Type,MATCH(F478,coa_Name,0)),"")="Equity"),"Account is not an expense or asset account",""))))))</f>
        <v/>
      </c>
      <c r="V478" s="67">
        <f>IF(AND(R478=0,T478=""),1,0)</f>
        <v/>
      </c>
      <c r="W478" s="67">
        <f>IF(V478=1,F478,"")</f>
        <v/>
      </c>
      <c r="X478" s="67">
        <f>IF(V478=1,acctAP,"")</f>
        <v/>
      </c>
      <c r="Y478" s="68">
        <f>IF(V478=1,G478-S478,0)</f>
        <v/>
      </c>
      <c r="Z478" s="68">
        <f>IF(V478=1,G478,0)</f>
        <v/>
      </c>
      <c r="AA478" s="68">
        <f>IF(V478=1,S478,0)</f>
        <v/>
      </c>
    </row>
    <row r="479">
      <c r="B479" s="62" t="n"/>
      <c r="C479" s="63" t="n"/>
      <c r="D479" s="62" t="n"/>
      <c r="E479" s="62" t="n"/>
      <c r="F479" s="62" t="n"/>
      <c r="G479" s="64" t="n"/>
      <c r="H479" s="64" t="n"/>
      <c r="I479" s="63" t="n"/>
      <c r="J479" s="29">
        <f>IF(V479=1,IF(ISNUMBER(I479),I479,C479+IF(ISNUMBER(IFERROR(INDEX(vend_Terms,MATCH(D479,vend_Name,0)),"")),INDEX(vend_Terms,MATCH(D479,vend_Name,0)),TermsDays)),"")</f>
        <v/>
      </c>
      <c r="K479" s="65">
        <f>IF(V479=1,SUMIFS(tx_CrAmt,tx_Type,"Bill Payment",tx_Ref,B479&amp;"",tx_Vend,D479,tx_Date,"&lt;="&amp;AsOf),"")</f>
        <v/>
      </c>
      <c r="L479" s="65">
        <f>IF(V479=1,IF(C479&gt;AsOf,0,ROUND(G479-K479,2)),"")</f>
        <v/>
      </c>
      <c r="M479" s="66">
        <f>IF(V479&lt;&gt;1,"",IF(C479&gt;AsOf,"Future",IF(L479&lt;0,"Overpaid",IF(L479=0,"Paid",IF(AsOf&gt;J479,"Overdue",IF(K479&gt;0,"Partial","Unpaid"))))))</f>
        <v/>
      </c>
      <c r="N479" s="28">
        <f>IF(AND(V479=1,N(L479)&gt;0),AsOf-C479,"")</f>
        <v/>
      </c>
      <c r="O479" s="28">
        <f>IF(N479="","",MAX(0,AsOf-J479))</f>
        <v/>
      </c>
      <c r="P479" s="66">
        <f>IF(O479="","",IF(O479=0,"Current",IF(O479&lt;=30,"1-30",IF(O479&lt;=60,"31-60",IF(O479&lt;=90,"61-90","90+")))))</f>
        <v/>
      </c>
      <c r="Q479" s="66">
        <f>IF(T479&lt;&gt;"","⛔ "&amp;T479&amp;" — not posted",IF(U479&lt;&gt;"","⚠ "&amp;U479,IF(V479=1,"✓ OK","")))</f>
        <v/>
      </c>
      <c r="R479" s="67">
        <f>IF(AND(B479="",C479="",D479="",G479="",F479=""),1,0)</f>
        <v/>
      </c>
      <c r="S479" s="68">
        <f>IF(AND(TaxOn="Yes",ISNUMBER(H479)),H479,0)</f>
        <v/>
      </c>
      <c r="T479" s="67">
        <f>IF(R479=1,"",IF(B479="","Enter a bill #",IF(D479="","Select a vendor",IF(C479="","Missing bill date",IF(NOT(ISNUMBER(C479)),"Invalid date",IF(OR(C479&lt;DATE(2000,1,1),C479&gt;DATE(2099,12,31)),"Invalid date",IF(F479="","Select an expense account",IF(ISNA(MATCH(F479,coa_Name,0)),"Unknown account: "&amp;F479,IF(NOT(ISNUMBER(G479)),"Enter an amount",IF(G479&lt;=0,"Amount must be positive",IF(S479&gt;G479,"Tax is larger than the amount","")))))))))))</f>
        <v/>
      </c>
      <c r="U479" s="67">
        <f>IF(OR(R479=1,T479&lt;&gt;""),"",IF(COUNTIFS(ap_No,B479,ap_Party,D479)&gt;1,"Duplicate bill #",IF(N(L479)&lt;0,"Overpaid by "&amp;TEXT(-L479,"#,##0.00"),IF(AND(ISNUMBER(H479),N(H479)&lt;&gt;0,S479=0),"Tax ignored (tax tracking is off)",IF(AND(ISNUMBER(StartDate),C479&lt;StartDate),"Date is before the accounting start date",IF(OR(IFERROR(INDEX(coa_Type,MATCH(F479,coa_Name,0)),"")="Revenue",IFERROR(INDEX(coa_Type,MATCH(F479,coa_Name,0)),"")="Other Income",IFERROR(INDEX(coa_Type,MATCH(F479,coa_Name,0)),"")="Equity"),"Account is not an expense or asset account",""))))))</f>
        <v/>
      </c>
      <c r="V479" s="67">
        <f>IF(AND(R479=0,T479=""),1,0)</f>
        <v/>
      </c>
      <c r="W479" s="67">
        <f>IF(V479=1,F479,"")</f>
        <v/>
      </c>
      <c r="X479" s="67">
        <f>IF(V479=1,acctAP,"")</f>
        <v/>
      </c>
      <c r="Y479" s="68">
        <f>IF(V479=1,G479-S479,0)</f>
        <v/>
      </c>
      <c r="Z479" s="68">
        <f>IF(V479=1,G479,0)</f>
        <v/>
      </c>
      <c r="AA479" s="68">
        <f>IF(V479=1,S479,0)</f>
        <v/>
      </c>
    </row>
    <row r="480">
      <c r="B480" s="62" t="n"/>
      <c r="C480" s="63" t="n"/>
      <c r="D480" s="62" t="n"/>
      <c r="E480" s="62" t="n"/>
      <c r="F480" s="62" t="n"/>
      <c r="G480" s="64" t="n"/>
      <c r="H480" s="64" t="n"/>
      <c r="I480" s="63" t="n"/>
      <c r="J480" s="29">
        <f>IF(V480=1,IF(ISNUMBER(I480),I480,C480+IF(ISNUMBER(IFERROR(INDEX(vend_Terms,MATCH(D480,vend_Name,0)),"")),INDEX(vend_Terms,MATCH(D480,vend_Name,0)),TermsDays)),"")</f>
        <v/>
      </c>
      <c r="K480" s="65">
        <f>IF(V480=1,SUMIFS(tx_CrAmt,tx_Type,"Bill Payment",tx_Ref,B480&amp;"",tx_Vend,D480,tx_Date,"&lt;="&amp;AsOf),"")</f>
        <v/>
      </c>
      <c r="L480" s="65">
        <f>IF(V480=1,IF(C480&gt;AsOf,0,ROUND(G480-K480,2)),"")</f>
        <v/>
      </c>
      <c r="M480" s="66">
        <f>IF(V480&lt;&gt;1,"",IF(C480&gt;AsOf,"Future",IF(L480&lt;0,"Overpaid",IF(L480=0,"Paid",IF(AsOf&gt;J480,"Overdue",IF(K480&gt;0,"Partial","Unpaid"))))))</f>
        <v/>
      </c>
      <c r="N480" s="28">
        <f>IF(AND(V480=1,N(L480)&gt;0),AsOf-C480,"")</f>
        <v/>
      </c>
      <c r="O480" s="28">
        <f>IF(N480="","",MAX(0,AsOf-J480))</f>
        <v/>
      </c>
      <c r="P480" s="66">
        <f>IF(O480="","",IF(O480=0,"Current",IF(O480&lt;=30,"1-30",IF(O480&lt;=60,"31-60",IF(O480&lt;=90,"61-90","90+")))))</f>
        <v/>
      </c>
      <c r="Q480" s="66">
        <f>IF(T480&lt;&gt;"","⛔ "&amp;T480&amp;" — not posted",IF(U480&lt;&gt;"","⚠ "&amp;U480,IF(V480=1,"✓ OK","")))</f>
        <v/>
      </c>
      <c r="R480" s="67">
        <f>IF(AND(B480="",C480="",D480="",G480="",F480=""),1,0)</f>
        <v/>
      </c>
      <c r="S480" s="68">
        <f>IF(AND(TaxOn="Yes",ISNUMBER(H480)),H480,0)</f>
        <v/>
      </c>
      <c r="T480" s="67">
        <f>IF(R480=1,"",IF(B480="","Enter a bill #",IF(D480="","Select a vendor",IF(C480="","Missing bill date",IF(NOT(ISNUMBER(C480)),"Invalid date",IF(OR(C480&lt;DATE(2000,1,1),C480&gt;DATE(2099,12,31)),"Invalid date",IF(F480="","Select an expense account",IF(ISNA(MATCH(F480,coa_Name,0)),"Unknown account: "&amp;F480,IF(NOT(ISNUMBER(G480)),"Enter an amount",IF(G480&lt;=0,"Amount must be positive",IF(S480&gt;G480,"Tax is larger than the amount","")))))))))))</f>
        <v/>
      </c>
      <c r="U480" s="67">
        <f>IF(OR(R480=1,T480&lt;&gt;""),"",IF(COUNTIFS(ap_No,B480,ap_Party,D480)&gt;1,"Duplicate bill #",IF(N(L480)&lt;0,"Overpaid by "&amp;TEXT(-L480,"#,##0.00"),IF(AND(ISNUMBER(H480),N(H480)&lt;&gt;0,S480=0),"Tax ignored (tax tracking is off)",IF(AND(ISNUMBER(StartDate),C480&lt;StartDate),"Date is before the accounting start date",IF(OR(IFERROR(INDEX(coa_Type,MATCH(F480,coa_Name,0)),"")="Revenue",IFERROR(INDEX(coa_Type,MATCH(F480,coa_Name,0)),"")="Other Income",IFERROR(INDEX(coa_Type,MATCH(F480,coa_Name,0)),"")="Equity"),"Account is not an expense or asset account",""))))))</f>
        <v/>
      </c>
      <c r="V480" s="67">
        <f>IF(AND(R480=0,T480=""),1,0)</f>
        <v/>
      </c>
      <c r="W480" s="67">
        <f>IF(V480=1,F480,"")</f>
        <v/>
      </c>
      <c r="X480" s="67">
        <f>IF(V480=1,acctAP,"")</f>
        <v/>
      </c>
      <c r="Y480" s="68">
        <f>IF(V480=1,G480-S480,0)</f>
        <v/>
      </c>
      <c r="Z480" s="68">
        <f>IF(V480=1,G480,0)</f>
        <v/>
      </c>
      <c r="AA480" s="68">
        <f>IF(V480=1,S480,0)</f>
        <v/>
      </c>
    </row>
    <row r="481">
      <c r="B481" s="62" t="n"/>
      <c r="C481" s="63" t="n"/>
      <c r="D481" s="62" t="n"/>
      <c r="E481" s="62" t="n"/>
      <c r="F481" s="62" t="n"/>
      <c r="G481" s="64" t="n"/>
      <c r="H481" s="64" t="n"/>
      <c r="I481" s="63" t="n"/>
      <c r="J481" s="29">
        <f>IF(V481=1,IF(ISNUMBER(I481),I481,C481+IF(ISNUMBER(IFERROR(INDEX(vend_Terms,MATCH(D481,vend_Name,0)),"")),INDEX(vend_Terms,MATCH(D481,vend_Name,0)),TermsDays)),"")</f>
        <v/>
      </c>
      <c r="K481" s="65">
        <f>IF(V481=1,SUMIFS(tx_CrAmt,tx_Type,"Bill Payment",tx_Ref,B481&amp;"",tx_Vend,D481,tx_Date,"&lt;="&amp;AsOf),"")</f>
        <v/>
      </c>
      <c r="L481" s="65">
        <f>IF(V481=1,IF(C481&gt;AsOf,0,ROUND(G481-K481,2)),"")</f>
        <v/>
      </c>
      <c r="M481" s="66">
        <f>IF(V481&lt;&gt;1,"",IF(C481&gt;AsOf,"Future",IF(L481&lt;0,"Overpaid",IF(L481=0,"Paid",IF(AsOf&gt;J481,"Overdue",IF(K481&gt;0,"Partial","Unpaid"))))))</f>
        <v/>
      </c>
      <c r="N481" s="28">
        <f>IF(AND(V481=1,N(L481)&gt;0),AsOf-C481,"")</f>
        <v/>
      </c>
      <c r="O481" s="28">
        <f>IF(N481="","",MAX(0,AsOf-J481))</f>
        <v/>
      </c>
      <c r="P481" s="66">
        <f>IF(O481="","",IF(O481=0,"Current",IF(O481&lt;=30,"1-30",IF(O481&lt;=60,"31-60",IF(O481&lt;=90,"61-90","90+")))))</f>
        <v/>
      </c>
      <c r="Q481" s="66">
        <f>IF(T481&lt;&gt;"","⛔ "&amp;T481&amp;" — not posted",IF(U481&lt;&gt;"","⚠ "&amp;U481,IF(V481=1,"✓ OK","")))</f>
        <v/>
      </c>
      <c r="R481" s="67">
        <f>IF(AND(B481="",C481="",D481="",G481="",F481=""),1,0)</f>
        <v/>
      </c>
      <c r="S481" s="68">
        <f>IF(AND(TaxOn="Yes",ISNUMBER(H481)),H481,0)</f>
        <v/>
      </c>
      <c r="T481" s="67">
        <f>IF(R481=1,"",IF(B481="","Enter a bill #",IF(D481="","Select a vendor",IF(C481="","Missing bill date",IF(NOT(ISNUMBER(C481)),"Invalid date",IF(OR(C481&lt;DATE(2000,1,1),C481&gt;DATE(2099,12,31)),"Invalid date",IF(F481="","Select an expense account",IF(ISNA(MATCH(F481,coa_Name,0)),"Unknown account: "&amp;F481,IF(NOT(ISNUMBER(G481)),"Enter an amount",IF(G481&lt;=0,"Amount must be positive",IF(S481&gt;G481,"Tax is larger than the amount","")))))))))))</f>
        <v/>
      </c>
      <c r="U481" s="67">
        <f>IF(OR(R481=1,T481&lt;&gt;""),"",IF(COUNTIFS(ap_No,B481,ap_Party,D481)&gt;1,"Duplicate bill #",IF(N(L481)&lt;0,"Overpaid by "&amp;TEXT(-L481,"#,##0.00"),IF(AND(ISNUMBER(H481),N(H481)&lt;&gt;0,S481=0),"Tax ignored (tax tracking is off)",IF(AND(ISNUMBER(StartDate),C481&lt;StartDate),"Date is before the accounting start date",IF(OR(IFERROR(INDEX(coa_Type,MATCH(F481,coa_Name,0)),"")="Revenue",IFERROR(INDEX(coa_Type,MATCH(F481,coa_Name,0)),"")="Other Income",IFERROR(INDEX(coa_Type,MATCH(F481,coa_Name,0)),"")="Equity"),"Account is not an expense or asset account",""))))))</f>
        <v/>
      </c>
      <c r="V481" s="67">
        <f>IF(AND(R481=0,T481=""),1,0)</f>
        <v/>
      </c>
      <c r="W481" s="67">
        <f>IF(V481=1,F481,"")</f>
        <v/>
      </c>
      <c r="X481" s="67">
        <f>IF(V481=1,acctAP,"")</f>
        <v/>
      </c>
      <c r="Y481" s="68">
        <f>IF(V481=1,G481-S481,0)</f>
        <v/>
      </c>
      <c r="Z481" s="68">
        <f>IF(V481=1,G481,0)</f>
        <v/>
      </c>
      <c r="AA481" s="68">
        <f>IF(V481=1,S481,0)</f>
        <v/>
      </c>
    </row>
    <row r="482">
      <c r="B482" s="62" t="n"/>
      <c r="C482" s="63" t="n"/>
      <c r="D482" s="62" t="n"/>
      <c r="E482" s="62" t="n"/>
      <c r="F482" s="62" t="n"/>
      <c r="G482" s="64" t="n"/>
      <c r="H482" s="64" t="n"/>
      <c r="I482" s="63" t="n"/>
      <c r="J482" s="29">
        <f>IF(V482=1,IF(ISNUMBER(I482),I482,C482+IF(ISNUMBER(IFERROR(INDEX(vend_Terms,MATCH(D482,vend_Name,0)),"")),INDEX(vend_Terms,MATCH(D482,vend_Name,0)),TermsDays)),"")</f>
        <v/>
      </c>
      <c r="K482" s="65">
        <f>IF(V482=1,SUMIFS(tx_CrAmt,tx_Type,"Bill Payment",tx_Ref,B482&amp;"",tx_Vend,D482,tx_Date,"&lt;="&amp;AsOf),"")</f>
        <v/>
      </c>
      <c r="L482" s="65">
        <f>IF(V482=1,IF(C482&gt;AsOf,0,ROUND(G482-K482,2)),"")</f>
        <v/>
      </c>
      <c r="M482" s="66">
        <f>IF(V482&lt;&gt;1,"",IF(C482&gt;AsOf,"Future",IF(L482&lt;0,"Overpaid",IF(L482=0,"Paid",IF(AsOf&gt;J482,"Overdue",IF(K482&gt;0,"Partial","Unpaid"))))))</f>
        <v/>
      </c>
      <c r="N482" s="28">
        <f>IF(AND(V482=1,N(L482)&gt;0),AsOf-C482,"")</f>
        <v/>
      </c>
      <c r="O482" s="28">
        <f>IF(N482="","",MAX(0,AsOf-J482))</f>
        <v/>
      </c>
      <c r="P482" s="66">
        <f>IF(O482="","",IF(O482=0,"Current",IF(O482&lt;=30,"1-30",IF(O482&lt;=60,"31-60",IF(O482&lt;=90,"61-90","90+")))))</f>
        <v/>
      </c>
      <c r="Q482" s="66">
        <f>IF(T482&lt;&gt;"","⛔ "&amp;T482&amp;" — not posted",IF(U482&lt;&gt;"","⚠ "&amp;U482,IF(V482=1,"✓ OK","")))</f>
        <v/>
      </c>
      <c r="R482" s="67">
        <f>IF(AND(B482="",C482="",D482="",G482="",F482=""),1,0)</f>
        <v/>
      </c>
      <c r="S482" s="68">
        <f>IF(AND(TaxOn="Yes",ISNUMBER(H482)),H482,0)</f>
        <v/>
      </c>
      <c r="T482" s="67">
        <f>IF(R482=1,"",IF(B482="","Enter a bill #",IF(D482="","Select a vendor",IF(C482="","Missing bill date",IF(NOT(ISNUMBER(C482)),"Invalid date",IF(OR(C482&lt;DATE(2000,1,1),C482&gt;DATE(2099,12,31)),"Invalid date",IF(F482="","Select an expense account",IF(ISNA(MATCH(F482,coa_Name,0)),"Unknown account: "&amp;F482,IF(NOT(ISNUMBER(G482)),"Enter an amount",IF(G482&lt;=0,"Amount must be positive",IF(S482&gt;G482,"Tax is larger than the amount","")))))))))))</f>
        <v/>
      </c>
      <c r="U482" s="67">
        <f>IF(OR(R482=1,T482&lt;&gt;""),"",IF(COUNTIFS(ap_No,B482,ap_Party,D482)&gt;1,"Duplicate bill #",IF(N(L482)&lt;0,"Overpaid by "&amp;TEXT(-L482,"#,##0.00"),IF(AND(ISNUMBER(H482),N(H482)&lt;&gt;0,S482=0),"Tax ignored (tax tracking is off)",IF(AND(ISNUMBER(StartDate),C482&lt;StartDate),"Date is before the accounting start date",IF(OR(IFERROR(INDEX(coa_Type,MATCH(F482,coa_Name,0)),"")="Revenue",IFERROR(INDEX(coa_Type,MATCH(F482,coa_Name,0)),"")="Other Income",IFERROR(INDEX(coa_Type,MATCH(F482,coa_Name,0)),"")="Equity"),"Account is not an expense or asset account",""))))))</f>
        <v/>
      </c>
      <c r="V482" s="67">
        <f>IF(AND(R482=0,T482=""),1,0)</f>
        <v/>
      </c>
      <c r="W482" s="67">
        <f>IF(V482=1,F482,"")</f>
        <v/>
      </c>
      <c r="X482" s="67">
        <f>IF(V482=1,acctAP,"")</f>
        <v/>
      </c>
      <c r="Y482" s="68">
        <f>IF(V482=1,G482-S482,0)</f>
        <v/>
      </c>
      <c r="Z482" s="68">
        <f>IF(V482=1,G482,0)</f>
        <v/>
      </c>
      <c r="AA482" s="68">
        <f>IF(V482=1,S482,0)</f>
        <v/>
      </c>
    </row>
    <row r="483">
      <c r="B483" s="62" t="n"/>
      <c r="C483" s="63" t="n"/>
      <c r="D483" s="62" t="n"/>
      <c r="E483" s="62" t="n"/>
      <c r="F483" s="62" t="n"/>
      <c r="G483" s="64" t="n"/>
      <c r="H483" s="64" t="n"/>
      <c r="I483" s="63" t="n"/>
      <c r="J483" s="29">
        <f>IF(V483=1,IF(ISNUMBER(I483),I483,C483+IF(ISNUMBER(IFERROR(INDEX(vend_Terms,MATCH(D483,vend_Name,0)),"")),INDEX(vend_Terms,MATCH(D483,vend_Name,0)),TermsDays)),"")</f>
        <v/>
      </c>
      <c r="K483" s="65">
        <f>IF(V483=1,SUMIFS(tx_CrAmt,tx_Type,"Bill Payment",tx_Ref,B483&amp;"",tx_Vend,D483,tx_Date,"&lt;="&amp;AsOf),"")</f>
        <v/>
      </c>
      <c r="L483" s="65">
        <f>IF(V483=1,IF(C483&gt;AsOf,0,ROUND(G483-K483,2)),"")</f>
        <v/>
      </c>
      <c r="M483" s="66">
        <f>IF(V483&lt;&gt;1,"",IF(C483&gt;AsOf,"Future",IF(L483&lt;0,"Overpaid",IF(L483=0,"Paid",IF(AsOf&gt;J483,"Overdue",IF(K483&gt;0,"Partial","Unpaid"))))))</f>
        <v/>
      </c>
      <c r="N483" s="28">
        <f>IF(AND(V483=1,N(L483)&gt;0),AsOf-C483,"")</f>
        <v/>
      </c>
      <c r="O483" s="28">
        <f>IF(N483="","",MAX(0,AsOf-J483))</f>
        <v/>
      </c>
      <c r="P483" s="66">
        <f>IF(O483="","",IF(O483=0,"Current",IF(O483&lt;=30,"1-30",IF(O483&lt;=60,"31-60",IF(O483&lt;=90,"61-90","90+")))))</f>
        <v/>
      </c>
      <c r="Q483" s="66">
        <f>IF(T483&lt;&gt;"","⛔ "&amp;T483&amp;" — not posted",IF(U483&lt;&gt;"","⚠ "&amp;U483,IF(V483=1,"✓ OK","")))</f>
        <v/>
      </c>
      <c r="R483" s="67">
        <f>IF(AND(B483="",C483="",D483="",G483="",F483=""),1,0)</f>
        <v/>
      </c>
      <c r="S483" s="68">
        <f>IF(AND(TaxOn="Yes",ISNUMBER(H483)),H483,0)</f>
        <v/>
      </c>
      <c r="T483" s="67">
        <f>IF(R483=1,"",IF(B483="","Enter a bill #",IF(D483="","Select a vendor",IF(C483="","Missing bill date",IF(NOT(ISNUMBER(C483)),"Invalid date",IF(OR(C483&lt;DATE(2000,1,1),C483&gt;DATE(2099,12,31)),"Invalid date",IF(F483="","Select an expense account",IF(ISNA(MATCH(F483,coa_Name,0)),"Unknown account: "&amp;F483,IF(NOT(ISNUMBER(G483)),"Enter an amount",IF(G483&lt;=0,"Amount must be positive",IF(S483&gt;G483,"Tax is larger than the amount","")))))))))))</f>
        <v/>
      </c>
      <c r="U483" s="67">
        <f>IF(OR(R483=1,T483&lt;&gt;""),"",IF(COUNTIFS(ap_No,B483,ap_Party,D483)&gt;1,"Duplicate bill #",IF(N(L483)&lt;0,"Overpaid by "&amp;TEXT(-L483,"#,##0.00"),IF(AND(ISNUMBER(H483),N(H483)&lt;&gt;0,S483=0),"Tax ignored (tax tracking is off)",IF(AND(ISNUMBER(StartDate),C483&lt;StartDate),"Date is before the accounting start date",IF(OR(IFERROR(INDEX(coa_Type,MATCH(F483,coa_Name,0)),"")="Revenue",IFERROR(INDEX(coa_Type,MATCH(F483,coa_Name,0)),"")="Other Income",IFERROR(INDEX(coa_Type,MATCH(F483,coa_Name,0)),"")="Equity"),"Account is not an expense or asset account",""))))))</f>
        <v/>
      </c>
      <c r="V483" s="67">
        <f>IF(AND(R483=0,T483=""),1,0)</f>
        <v/>
      </c>
      <c r="W483" s="67">
        <f>IF(V483=1,F483,"")</f>
        <v/>
      </c>
      <c r="X483" s="67">
        <f>IF(V483=1,acctAP,"")</f>
        <v/>
      </c>
      <c r="Y483" s="68">
        <f>IF(V483=1,G483-S483,0)</f>
        <v/>
      </c>
      <c r="Z483" s="68">
        <f>IF(V483=1,G483,0)</f>
        <v/>
      </c>
      <c r="AA483" s="68">
        <f>IF(V483=1,S483,0)</f>
        <v/>
      </c>
    </row>
    <row r="484">
      <c r="B484" s="62" t="n"/>
      <c r="C484" s="63" t="n"/>
      <c r="D484" s="62" t="n"/>
      <c r="E484" s="62" t="n"/>
      <c r="F484" s="62" t="n"/>
      <c r="G484" s="64" t="n"/>
      <c r="H484" s="64" t="n"/>
      <c r="I484" s="63" t="n"/>
      <c r="J484" s="29">
        <f>IF(V484=1,IF(ISNUMBER(I484),I484,C484+IF(ISNUMBER(IFERROR(INDEX(vend_Terms,MATCH(D484,vend_Name,0)),"")),INDEX(vend_Terms,MATCH(D484,vend_Name,0)),TermsDays)),"")</f>
        <v/>
      </c>
      <c r="K484" s="65">
        <f>IF(V484=1,SUMIFS(tx_CrAmt,tx_Type,"Bill Payment",tx_Ref,B484&amp;"",tx_Vend,D484,tx_Date,"&lt;="&amp;AsOf),"")</f>
        <v/>
      </c>
      <c r="L484" s="65">
        <f>IF(V484=1,IF(C484&gt;AsOf,0,ROUND(G484-K484,2)),"")</f>
        <v/>
      </c>
      <c r="M484" s="66">
        <f>IF(V484&lt;&gt;1,"",IF(C484&gt;AsOf,"Future",IF(L484&lt;0,"Overpaid",IF(L484=0,"Paid",IF(AsOf&gt;J484,"Overdue",IF(K484&gt;0,"Partial","Unpaid"))))))</f>
        <v/>
      </c>
      <c r="N484" s="28">
        <f>IF(AND(V484=1,N(L484)&gt;0),AsOf-C484,"")</f>
        <v/>
      </c>
      <c r="O484" s="28">
        <f>IF(N484="","",MAX(0,AsOf-J484))</f>
        <v/>
      </c>
      <c r="P484" s="66">
        <f>IF(O484="","",IF(O484=0,"Current",IF(O484&lt;=30,"1-30",IF(O484&lt;=60,"31-60",IF(O484&lt;=90,"61-90","90+")))))</f>
        <v/>
      </c>
      <c r="Q484" s="66">
        <f>IF(T484&lt;&gt;"","⛔ "&amp;T484&amp;" — not posted",IF(U484&lt;&gt;"","⚠ "&amp;U484,IF(V484=1,"✓ OK","")))</f>
        <v/>
      </c>
      <c r="R484" s="67">
        <f>IF(AND(B484="",C484="",D484="",G484="",F484=""),1,0)</f>
        <v/>
      </c>
      <c r="S484" s="68">
        <f>IF(AND(TaxOn="Yes",ISNUMBER(H484)),H484,0)</f>
        <v/>
      </c>
      <c r="T484" s="67">
        <f>IF(R484=1,"",IF(B484="","Enter a bill #",IF(D484="","Select a vendor",IF(C484="","Missing bill date",IF(NOT(ISNUMBER(C484)),"Invalid date",IF(OR(C484&lt;DATE(2000,1,1),C484&gt;DATE(2099,12,31)),"Invalid date",IF(F484="","Select an expense account",IF(ISNA(MATCH(F484,coa_Name,0)),"Unknown account: "&amp;F484,IF(NOT(ISNUMBER(G484)),"Enter an amount",IF(G484&lt;=0,"Amount must be positive",IF(S484&gt;G484,"Tax is larger than the amount","")))))))))))</f>
        <v/>
      </c>
      <c r="U484" s="67">
        <f>IF(OR(R484=1,T484&lt;&gt;""),"",IF(COUNTIFS(ap_No,B484,ap_Party,D484)&gt;1,"Duplicate bill #",IF(N(L484)&lt;0,"Overpaid by "&amp;TEXT(-L484,"#,##0.00"),IF(AND(ISNUMBER(H484),N(H484)&lt;&gt;0,S484=0),"Tax ignored (tax tracking is off)",IF(AND(ISNUMBER(StartDate),C484&lt;StartDate),"Date is before the accounting start date",IF(OR(IFERROR(INDEX(coa_Type,MATCH(F484,coa_Name,0)),"")="Revenue",IFERROR(INDEX(coa_Type,MATCH(F484,coa_Name,0)),"")="Other Income",IFERROR(INDEX(coa_Type,MATCH(F484,coa_Name,0)),"")="Equity"),"Account is not an expense or asset account",""))))))</f>
        <v/>
      </c>
      <c r="V484" s="67">
        <f>IF(AND(R484=0,T484=""),1,0)</f>
        <v/>
      </c>
      <c r="W484" s="67">
        <f>IF(V484=1,F484,"")</f>
        <v/>
      </c>
      <c r="X484" s="67">
        <f>IF(V484=1,acctAP,"")</f>
        <v/>
      </c>
      <c r="Y484" s="68">
        <f>IF(V484=1,G484-S484,0)</f>
        <v/>
      </c>
      <c r="Z484" s="68">
        <f>IF(V484=1,G484,0)</f>
        <v/>
      </c>
      <c r="AA484" s="68">
        <f>IF(V484=1,S484,0)</f>
        <v/>
      </c>
    </row>
    <row r="485">
      <c r="B485" s="62" t="n"/>
      <c r="C485" s="63" t="n"/>
      <c r="D485" s="62" t="n"/>
      <c r="E485" s="62" t="n"/>
      <c r="F485" s="62" t="n"/>
      <c r="G485" s="64" t="n"/>
      <c r="H485" s="64" t="n"/>
      <c r="I485" s="63" t="n"/>
      <c r="J485" s="29">
        <f>IF(V485=1,IF(ISNUMBER(I485),I485,C485+IF(ISNUMBER(IFERROR(INDEX(vend_Terms,MATCH(D485,vend_Name,0)),"")),INDEX(vend_Terms,MATCH(D485,vend_Name,0)),TermsDays)),"")</f>
        <v/>
      </c>
      <c r="K485" s="65">
        <f>IF(V485=1,SUMIFS(tx_CrAmt,tx_Type,"Bill Payment",tx_Ref,B485&amp;"",tx_Vend,D485,tx_Date,"&lt;="&amp;AsOf),"")</f>
        <v/>
      </c>
      <c r="L485" s="65">
        <f>IF(V485=1,IF(C485&gt;AsOf,0,ROUND(G485-K485,2)),"")</f>
        <v/>
      </c>
      <c r="M485" s="66">
        <f>IF(V485&lt;&gt;1,"",IF(C485&gt;AsOf,"Future",IF(L485&lt;0,"Overpaid",IF(L485=0,"Paid",IF(AsOf&gt;J485,"Overdue",IF(K485&gt;0,"Partial","Unpaid"))))))</f>
        <v/>
      </c>
      <c r="N485" s="28">
        <f>IF(AND(V485=1,N(L485)&gt;0),AsOf-C485,"")</f>
        <v/>
      </c>
      <c r="O485" s="28">
        <f>IF(N485="","",MAX(0,AsOf-J485))</f>
        <v/>
      </c>
      <c r="P485" s="66">
        <f>IF(O485="","",IF(O485=0,"Current",IF(O485&lt;=30,"1-30",IF(O485&lt;=60,"31-60",IF(O485&lt;=90,"61-90","90+")))))</f>
        <v/>
      </c>
      <c r="Q485" s="66">
        <f>IF(T485&lt;&gt;"","⛔ "&amp;T485&amp;" — not posted",IF(U485&lt;&gt;"","⚠ "&amp;U485,IF(V485=1,"✓ OK","")))</f>
        <v/>
      </c>
      <c r="R485" s="67">
        <f>IF(AND(B485="",C485="",D485="",G485="",F485=""),1,0)</f>
        <v/>
      </c>
      <c r="S485" s="68">
        <f>IF(AND(TaxOn="Yes",ISNUMBER(H485)),H485,0)</f>
        <v/>
      </c>
      <c r="T485" s="67">
        <f>IF(R485=1,"",IF(B485="","Enter a bill #",IF(D485="","Select a vendor",IF(C485="","Missing bill date",IF(NOT(ISNUMBER(C485)),"Invalid date",IF(OR(C485&lt;DATE(2000,1,1),C485&gt;DATE(2099,12,31)),"Invalid date",IF(F485="","Select an expense account",IF(ISNA(MATCH(F485,coa_Name,0)),"Unknown account: "&amp;F485,IF(NOT(ISNUMBER(G485)),"Enter an amount",IF(G485&lt;=0,"Amount must be positive",IF(S485&gt;G485,"Tax is larger than the amount","")))))))))))</f>
        <v/>
      </c>
      <c r="U485" s="67">
        <f>IF(OR(R485=1,T485&lt;&gt;""),"",IF(COUNTIFS(ap_No,B485,ap_Party,D485)&gt;1,"Duplicate bill #",IF(N(L485)&lt;0,"Overpaid by "&amp;TEXT(-L485,"#,##0.00"),IF(AND(ISNUMBER(H485),N(H485)&lt;&gt;0,S485=0),"Tax ignored (tax tracking is off)",IF(AND(ISNUMBER(StartDate),C485&lt;StartDate),"Date is before the accounting start date",IF(OR(IFERROR(INDEX(coa_Type,MATCH(F485,coa_Name,0)),"")="Revenue",IFERROR(INDEX(coa_Type,MATCH(F485,coa_Name,0)),"")="Other Income",IFERROR(INDEX(coa_Type,MATCH(F485,coa_Name,0)),"")="Equity"),"Account is not an expense or asset account",""))))))</f>
        <v/>
      </c>
      <c r="V485" s="67">
        <f>IF(AND(R485=0,T485=""),1,0)</f>
        <v/>
      </c>
      <c r="W485" s="67">
        <f>IF(V485=1,F485,"")</f>
        <v/>
      </c>
      <c r="X485" s="67">
        <f>IF(V485=1,acctAP,"")</f>
        <v/>
      </c>
      <c r="Y485" s="68">
        <f>IF(V485=1,G485-S485,0)</f>
        <v/>
      </c>
      <c r="Z485" s="68">
        <f>IF(V485=1,G485,0)</f>
        <v/>
      </c>
      <c r="AA485" s="68">
        <f>IF(V485=1,S485,0)</f>
        <v/>
      </c>
    </row>
    <row r="486">
      <c r="B486" s="62" t="n"/>
      <c r="C486" s="63" t="n"/>
      <c r="D486" s="62" t="n"/>
      <c r="E486" s="62" t="n"/>
      <c r="F486" s="62" t="n"/>
      <c r="G486" s="64" t="n"/>
      <c r="H486" s="64" t="n"/>
      <c r="I486" s="63" t="n"/>
      <c r="J486" s="29">
        <f>IF(V486=1,IF(ISNUMBER(I486),I486,C486+IF(ISNUMBER(IFERROR(INDEX(vend_Terms,MATCH(D486,vend_Name,0)),"")),INDEX(vend_Terms,MATCH(D486,vend_Name,0)),TermsDays)),"")</f>
        <v/>
      </c>
      <c r="K486" s="65">
        <f>IF(V486=1,SUMIFS(tx_CrAmt,tx_Type,"Bill Payment",tx_Ref,B486&amp;"",tx_Vend,D486,tx_Date,"&lt;="&amp;AsOf),"")</f>
        <v/>
      </c>
      <c r="L486" s="65">
        <f>IF(V486=1,IF(C486&gt;AsOf,0,ROUND(G486-K486,2)),"")</f>
        <v/>
      </c>
      <c r="M486" s="66">
        <f>IF(V486&lt;&gt;1,"",IF(C486&gt;AsOf,"Future",IF(L486&lt;0,"Overpaid",IF(L486=0,"Paid",IF(AsOf&gt;J486,"Overdue",IF(K486&gt;0,"Partial","Unpaid"))))))</f>
        <v/>
      </c>
      <c r="N486" s="28">
        <f>IF(AND(V486=1,N(L486)&gt;0),AsOf-C486,"")</f>
        <v/>
      </c>
      <c r="O486" s="28">
        <f>IF(N486="","",MAX(0,AsOf-J486))</f>
        <v/>
      </c>
      <c r="P486" s="66">
        <f>IF(O486="","",IF(O486=0,"Current",IF(O486&lt;=30,"1-30",IF(O486&lt;=60,"31-60",IF(O486&lt;=90,"61-90","90+")))))</f>
        <v/>
      </c>
      <c r="Q486" s="66">
        <f>IF(T486&lt;&gt;"","⛔ "&amp;T486&amp;" — not posted",IF(U486&lt;&gt;"","⚠ "&amp;U486,IF(V486=1,"✓ OK","")))</f>
        <v/>
      </c>
      <c r="R486" s="67">
        <f>IF(AND(B486="",C486="",D486="",G486="",F486=""),1,0)</f>
        <v/>
      </c>
      <c r="S486" s="68">
        <f>IF(AND(TaxOn="Yes",ISNUMBER(H486)),H486,0)</f>
        <v/>
      </c>
      <c r="T486" s="67">
        <f>IF(R486=1,"",IF(B486="","Enter a bill #",IF(D486="","Select a vendor",IF(C486="","Missing bill date",IF(NOT(ISNUMBER(C486)),"Invalid date",IF(OR(C486&lt;DATE(2000,1,1),C486&gt;DATE(2099,12,31)),"Invalid date",IF(F486="","Select an expense account",IF(ISNA(MATCH(F486,coa_Name,0)),"Unknown account: "&amp;F486,IF(NOT(ISNUMBER(G486)),"Enter an amount",IF(G486&lt;=0,"Amount must be positive",IF(S486&gt;G486,"Tax is larger than the amount","")))))))))))</f>
        <v/>
      </c>
      <c r="U486" s="67">
        <f>IF(OR(R486=1,T486&lt;&gt;""),"",IF(COUNTIFS(ap_No,B486,ap_Party,D486)&gt;1,"Duplicate bill #",IF(N(L486)&lt;0,"Overpaid by "&amp;TEXT(-L486,"#,##0.00"),IF(AND(ISNUMBER(H486),N(H486)&lt;&gt;0,S486=0),"Tax ignored (tax tracking is off)",IF(AND(ISNUMBER(StartDate),C486&lt;StartDate),"Date is before the accounting start date",IF(OR(IFERROR(INDEX(coa_Type,MATCH(F486,coa_Name,0)),"")="Revenue",IFERROR(INDEX(coa_Type,MATCH(F486,coa_Name,0)),"")="Other Income",IFERROR(INDEX(coa_Type,MATCH(F486,coa_Name,0)),"")="Equity"),"Account is not an expense or asset account",""))))))</f>
        <v/>
      </c>
      <c r="V486" s="67">
        <f>IF(AND(R486=0,T486=""),1,0)</f>
        <v/>
      </c>
      <c r="W486" s="67">
        <f>IF(V486=1,F486,"")</f>
        <v/>
      </c>
      <c r="X486" s="67">
        <f>IF(V486=1,acctAP,"")</f>
        <v/>
      </c>
      <c r="Y486" s="68">
        <f>IF(V486=1,G486-S486,0)</f>
        <v/>
      </c>
      <c r="Z486" s="68">
        <f>IF(V486=1,G486,0)</f>
        <v/>
      </c>
      <c r="AA486" s="68">
        <f>IF(V486=1,S486,0)</f>
        <v/>
      </c>
    </row>
    <row r="487">
      <c r="B487" s="62" t="n"/>
      <c r="C487" s="63" t="n"/>
      <c r="D487" s="62" t="n"/>
      <c r="E487" s="62" t="n"/>
      <c r="F487" s="62" t="n"/>
      <c r="G487" s="64" t="n"/>
      <c r="H487" s="64" t="n"/>
      <c r="I487" s="63" t="n"/>
      <c r="J487" s="29">
        <f>IF(V487=1,IF(ISNUMBER(I487),I487,C487+IF(ISNUMBER(IFERROR(INDEX(vend_Terms,MATCH(D487,vend_Name,0)),"")),INDEX(vend_Terms,MATCH(D487,vend_Name,0)),TermsDays)),"")</f>
        <v/>
      </c>
      <c r="K487" s="65">
        <f>IF(V487=1,SUMIFS(tx_CrAmt,tx_Type,"Bill Payment",tx_Ref,B487&amp;"",tx_Vend,D487,tx_Date,"&lt;="&amp;AsOf),"")</f>
        <v/>
      </c>
      <c r="L487" s="65">
        <f>IF(V487=1,IF(C487&gt;AsOf,0,ROUND(G487-K487,2)),"")</f>
        <v/>
      </c>
      <c r="M487" s="66">
        <f>IF(V487&lt;&gt;1,"",IF(C487&gt;AsOf,"Future",IF(L487&lt;0,"Overpaid",IF(L487=0,"Paid",IF(AsOf&gt;J487,"Overdue",IF(K487&gt;0,"Partial","Unpaid"))))))</f>
        <v/>
      </c>
      <c r="N487" s="28">
        <f>IF(AND(V487=1,N(L487)&gt;0),AsOf-C487,"")</f>
        <v/>
      </c>
      <c r="O487" s="28">
        <f>IF(N487="","",MAX(0,AsOf-J487))</f>
        <v/>
      </c>
      <c r="P487" s="66">
        <f>IF(O487="","",IF(O487=0,"Current",IF(O487&lt;=30,"1-30",IF(O487&lt;=60,"31-60",IF(O487&lt;=90,"61-90","90+")))))</f>
        <v/>
      </c>
      <c r="Q487" s="66">
        <f>IF(T487&lt;&gt;"","⛔ "&amp;T487&amp;" — not posted",IF(U487&lt;&gt;"","⚠ "&amp;U487,IF(V487=1,"✓ OK","")))</f>
        <v/>
      </c>
      <c r="R487" s="67">
        <f>IF(AND(B487="",C487="",D487="",G487="",F487=""),1,0)</f>
        <v/>
      </c>
      <c r="S487" s="68">
        <f>IF(AND(TaxOn="Yes",ISNUMBER(H487)),H487,0)</f>
        <v/>
      </c>
      <c r="T487" s="67">
        <f>IF(R487=1,"",IF(B487="","Enter a bill #",IF(D487="","Select a vendor",IF(C487="","Missing bill date",IF(NOT(ISNUMBER(C487)),"Invalid date",IF(OR(C487&lt;DATE(2000,1,1),C487&gt;DATE(2099,12,31)),"Invalid date",IF(F487="","Select an expense account",IF(ISNA(MATCH(F487,coa_Name,0)),"Unknown account: "&amp;F487,IF(NOT(ISNUMBER(G487)),"Enter an amount",IF(G487&lt;=0,"Amount must be positive",IF(S487&gt;G487,"Tax is larger than the amount","")))))))))))</f>
        <v/>
      </c>
      <c r="U487" s="67">
        <f>IF(OR(R487=1,T487&lt;&gt;""),"",IF(COUNTIFS(ap_No,B487,ap_Party,D487)&gt;1,"Duplicate bill #",IF(N(L487)&lt;0,"Overpaid by "&amp;TEXT(-L487,"#,##0.00"),IF(AND(ISNUMBER(H487),N(H487)&lt;&gt;0,S487=0),"Tax ignored (tax tracking is off)",IF(AND(ISNUMBER(StartDate),C487&lt;StartDate),"Date is before the accounting start date",IF(OR(IFERROR(INDEX(coa_Type,MATCH(F487,coa_Name,0)),"")="Revenue",IFERROR(INDEX(coa_Type,MATCH(F487,coa_Name,0)),"")="Other Income",IFERROR(INDEX(coa_Type,MATCH(F487,coa_Name,0)),"")="Equity"),"Account is not an expense or asset account",""))))))</f>
        <v/>
      </c>
      <c r="V487" s="67">
        <f>IF(AND(R487=0,T487=""),1,0)</f>
        <v/>
      </c>
      <c r="W487" s="67">
        <f>IF(V487=1,F487,"")</f>
        <v/>
      </c>
      <c r="X487" s="67">
        <f>IF(V487=1,acctAP,"")</f>
        <v/>
      </c>
      <c r="Y487" s="68">
        <f>IF(V487=1,G487-S487,0)</f>
        <v/>
      </c>
      <c r="Z487" s="68">
        <f>IF(V487=1,G487,0)</f>
        <v/>
      </c>
      <c r="AA487" s="68">
        <f>IF(V487=1,S487,0)</f>
        <v/>
      </c>
    </row>
    <row r="488">
      <c r="B488" s="62" t="n"/>
      <c r="C488" s="63" t="n"/>
      <c r="D488" s="62" t="n"/>
      <c r="E488" s="62" t="n"/>
      <c r="F488" s="62" t="n"/>
      <c r="G488" s="64" t="n"/>
      <c r="H488" s="64" t="n"/>
      <c r="I488" s="63" t="n"/>
      <c r="J488" s="29">
        <f>IF(V488=1,IF(ISNUMBER(I488),I488,C488+IF(ISNUMBER(IFERROR(INDEX(vend_Terms,MATCH(D488,vend_Name,0)),"")),INDEX(vend_Terms,MATCH(D488,vend_Name,0)),TermsDays)),"")</f>
        <v/>
      </c>
      <c r="K488" s="65">
        <f>IF(V488=1,SUMIFS(tx_CrAmt,tx_Type,"Bill Payment",tx_Ref,B488&amp;"",tx_Vend,D488,tx_Date,"&lt;="&amp;AsOf),"")</f>
        <v/>
      </c>
      <c r="L488" s="65">
        <f>IF(V488=1,IF(C488&gt;AsOf,0,ROUND(G488-K488,2)),"")</f>
        <v/>
      </c>
      <c r="M488" s="66">
        <f>IF(V488&lt;&gt;1,"",IF(C488&gt;AsOf,"Future",IF(L488&lt;0,"Overpaid",IF(L488=0,"Paid",IF(AsOf&gt;J488,"Overdue",IF(K488&gt;0,"Partial","Unpaid"))))))</f>
        <v/>
      </c>
      <c r="N488" s="28">
        <f>IF(AND(V488=1,N(L488)&gt;0),AsOf-C488,"")</f>
        <v/>
      </c>
      <c r="O488" s="28">
        <f>IF(N488="","",MAX(0,AsOf-J488))</f>
        <v/>
      </c>
      <c r="P488" s="66">
        <f>IF(O488="","",IF(O488=0,"Current",IF(O488&lt;=30,"1-30",IF(O488&lt;=60,"31-60",IF(O488&lt;=90,"61-90","90+")))))</f>
        <v/>
      </c>
      <c r="Q488" s="66">
        <f>IF(T488&lt;&gt;"","⛔ "&amp;T488&amp;" — not posted",IF(U488&lt;&gt;"","⚠ "&amp;U488,IF(V488=1,"✓ OK","")))</f>
        <v/>
      </c>
      <c r="R488" s="67">
        <f>IF(AND(B488="",C488="",D488="",G488="",F488=""),1,0)</f>
        <v/>
      </c>
      <c r="S488" s="68">
        <f>IF(AND(TaxOn="Yes",ISNUMBER(H488)),H488,0)</f>
        <v/>
      </c>
      <c r="T488" s="67">
        <f>IF(R488=1,"",IF(B488="","Enter a bill #",IF(D488="","Select a vendor",IF(C488="","Missing bill date",IF(NOT(ISNUMBER(C488)),"Invalid date",IF(OR(C488&lt;DATE(2000,1,1),C488&gt;DATE(2099,12,31)),"Invalid date",IF(F488="","Select an expense account",IF(ISNA(MATCH(F488,coa_Name,0)),"Unknown account: "&amp;F488,IF(NOT(ISNUMBER(G488)),"Enter an amount",IF(G488&lt;=0,"Amount must be positive",IF(S488&gt;G488,"Tax is larger than the amount","")))))))))))</f>
        <v/>
      </c>
      <c r="U488" s="67">
        <f>IF(OR(R488=1,T488&lt;&gt;""),"",IF(COUNTIFS(ap_No,B488,ap_Party,D488)&gt;1,"Duplicate bill #",IF(N(L488)&lt;0,"Overpaid by "&amp;TEXT(-L488,"#,##0.00"),IF(AND(ISNUMBER(H488),N(H488)&lt;&gt;0,S488=0),"Tax ignored (tax tracking is off)",IF(AND(ISNUMBER(StartDate),C488&lt;StartDate),"Date is before the accounting start date",IF(OR(IFERROR(INDEX(coa_Type,MATCH(F488,coa_Name,0)),"")="Revenue",IFERROR(INDEX(coa_Type,MATCH(F488,coa_Name,0)),"")="Other Income",IFERROR(INDEX(coa_Type,MATCH(F488,coa_Name,0)),"")="Equity"),"Account is not an expense or asset account",""))))))</f>
        <v/>
      </c>
      <c r="V488" s="67">
        <f>IF(AND(R488=0,T488=""),1,0)</f>
        <v/>
      </c>
      <c r="W488" s="67">
        <f>IF(V488=1,F488,"")</f>
        <v/>
      </c>
      <c r="X488" s="67">
        <f>IF(V488=1,acctAP,"")</f>
        <v/>
      </c>
      <c r="Y488" s="68">
        <f>IF(V488=1,G488-S488,0)</f>
        <v/>
      </c>
      <c r="Z488" s="68">
        <f>IF(V488=1,G488,0)</f>
        <v/>
      </c>
      <c r="AA488" s="68">
        <f>IF(V488=1,S488,0)</f>
        <v/>
      </c>
    </row>
    <row r="489">
      <c r="B489" s="62" t="n"/>
      <c r="C489" s="63" t="n"/>
      <c r="D489" s="62" t="n"/>
      <c r="E489" s="62" t="n"/>
      <c r="F489" s="62" t="n"/>
      <c r="G489" s="64" t="n"/>
      <c r="H489" s="64" t="n"/>
      <c r="I489" s="63" t="n"/>
      <c r="J489" s="29">
        <f>IF(V489=1,IF(ISNUMBER(I489),I489,C489+IF(ISNUMBER(IFERROR(INDEX(vend_Terms,MATCH(D489,vend_Name,0)),"")),INDEX(vend_Terms,MATCH(D489,vend_Name,0)),TermsDays)),"")</f>
        <v/>
      </c>
      <c r="K489" s="65">
        <f>IF(V489=1,SUMIFS(tx_CrAmt,tx_Type,"Bill Payment",tx_Ref,B489&amp;"",tx_Vend,D489,tx_Date,"&lt;="&amp;AsOf),"")</f>
        <v/>
      </c>
      <c r="L489" s="65">
        <f>IF(V489=1,IF(C489&gt;AsOf,0,ROUND(G489-K489,2)),"")</f>
        <v/>
      </c>
      <c r="M489" s="66">
        <f>IF(V489&lt;&gt;1,"",IF(C489&gt;AsOf,"Future",IF(L489&lt;0,"Overpaid",IF(L489=0,"Paid",IF(AsOf&gt;J489,"Overdue",IF(K489&gt;0,"Partial","Unpaid"))))))</f>
        <v/>
      </c>
      <c r="N489" s="28">
        <f>IF(AND(V489=1,N(L489)&gt;0),AsOf-C489,"")</f>
        <v/>
      </c>
      <c r="O489" s="28">
        <f>IF(N489="","",MAX(0,AsOf-J489))</f>
        <v/>
      </c>
      <c r="P489" s="66">
        <f>IF(O489="","",IF(O489=0,"Current",IF(O489&lt;=30,"1-30",IF(O489&lt;=60,"31-60",IF(O489&lt;=90,"61-90","90+")))))</f>
        <v/>
      </c>
      <c r="Q489" s="66">
        <f>IF(T489&lt;&gt;"","⛔ "&amp;T489&amp;" — not posted",IF(U489&lt;&gt;"","⚠ "&amp;U489,IF(V489=1,"✓ OK","")))</f>
        <v/>
      </c>
      <c r="R489" s="67">
        <f>IF(AND(B489="",C489="",D489="",G489="",F489=""),1,0)</f>
        <v/>
      </c>
      <c r="S489" s="68">
        <f>IF(AND(TaxOn="Yes",ISNUMBER(H489)),H489,0)</f>
        <v/>
      </c>
      <c r="T489" s="67">
        <f>IF(R489=1,"",IF(B489="","Enter a bill #",IF(D489="","Select a vendor",IF(C489="","Missing bill date",IF(NOT(ISNUMBER(C489)),"Invalid date",IF(OR(C489&lt;DATE(2000,1,1),C489&gt;DATE(2099,12,31)),"Invalid date",IF(F489="","Select an expense account",IF(ISNA(MATCH(F489,coa_Name,0)),"Unknown account: "&amp;F489,IF(NOT(ISNUMBER(G489)),"Enter an amount",IF(G489&lt;=0,"Amount must be positive",IF(S489&gt;G489,"Tax is larger than the amount","")))))))))))</f>
        <v/>
      </c>
      <c r="U489" s="67">
        <f>IF(OR(R489=1,T489&lt;&gt;""),"",IF(COUNTIFS(ap_No,B489,ap_Party,D489)&gt;1,"Duplicate bill #",IF(N(L489)&lt;0,"Overpaid by "&amp;TEXT(-L489,"#,##0.00"),IF(AND(ISNUMBER(H489),N(H489)&lt;&gt;0,S489=0),"Tax ignored (tax tracking is off)",IF(AND(ISNUMBER(StartDate),C489&lt;StartDate),"Date is before the accounting start date",IF(OR(IFERROR(INDEX(coa_Type,MATCH(F489,coa_Name,0)),"")="Revenue",IFERROR(INDEX(coa_Type,MATCH(F489,coa_Name,0)),"")="Other Income",IFERROR(INDEX(coa_Type,MATCH(F489,coa_Name,0)),"")="Equity"),"Account is not an expense or asset account",""))))))</f>
        <v/>
      </c>
      <c r="V489" s="67">
        <f>IF(AND(R489=0,T489=""),1,0)</f>
        <v/>
      </c>
      <c r="W489" s="67">
        <f>IF(V489=1,F489,"")</f>
        <v/>
      </c>
      <c r="X489" s="67">
        <f>IF(V489=1,acctAP,"")</f>
        <v/>
      </c>
      <c r="Y489" s="68">
        <f>IF(V489=1,G489-S489,0)</f>
        <v/>
      </c>
      <c r="Z489" s="68">
        <f>IF(V489=1,G489,0)</f>
        <v/>
      </c>
      <c r="AA489" s="68">
        <f>IF(V489=1,S489,0)</f>
        <v/>
      </c>
    </row>
    <row r="490">
      <c r="B490" s="62" t="n"/>
      <c r="C490" s="63" t="n"/>
      <c r="D490" s="62" t="n"/>
      <c r="E490" s="62" t="n"/>
      <c r="F490" s="62" t="n"/>
      <c r="G490" s="64" t="n"/>
      <c r="H490" s="64" t="n"/>
      <c r="I490" s="63" t="n"/>
      <c r="J490" s="29">
        <f>IF(V490=1,IF(ISNUMBER(I490),I490,C490+IF(ISNUMBER(IFERROR(INDEX(vend_Terms,MATCH(D490,vend_Name,0)),"")),INDEX(vend_Terms,MATCH(D490,vend_Name,0)),TermsDays)),"")</f>
        <v/>
      </c>
      <c r="K490" s="65">
        <f>IF(V490=1,SUMIFS(tx_CrAmt,tx_Type,"Bill Payment",tx_Ref,B490&amp;"",tx_Vend,D490,tx_Date,"&lt;="&amp;AsOf),"")</f>
        <v/>
      </c>
      <c r="L490" s="65">
        <f>IF(V490=1,IF(C490&gt;AsOf,0,ROUND(G490-K490,2)),"")</f>
        <v/>
      </c>
      <c r="M490" s="66">
        <f>IF(V490&lt;&gt;1,"",IF(C490&gt;AsOf,"Future",IF(L490&lt;0,"Overpaid",IF(L490=0,"Paid",IF(AsOf&gt;J490,"Overdue",IF(K490&gt;0,"Partial","Unpaid"))))))</f>
        <v/>
      </c>
      <c r="N490" s="28">
        <f>IF(AND(V490=1,N(L490)&gt;0),AsOf-C490,"")</f>
        <v/>
      </c>
      <c r="O490" s="28">
        <f>IF(N490="","",MAX(0,AsOf-J490))</f>
        <v/>
      </c>
      <c r="P490" s="66">
        <f>IF(O490="","",IF(O490=0,"Current",IF(O490&lt;=30,"1-30",IF(O490&lt;=60,"31-60",IF(O490&lt;=90,"61-90","90+")))))</f>
        <v/>
      </c>
      <c r="Q490" s="66">
        <f>IF(T490&lt;&gt;"","⛔ "&amp;T490&amp;" — not posted",IF(U490&lt;&gt;"","⚠ "&amp;U490,IF(V490=1,"✓ OK","")))</f>
        <v/>
      </c>
      <c r="R490" s="67">
        <f>IF(AND(B490="",C490="",D490="",G490="",F490=""),1,0)</f>
        <v/>
      </c>
      <c r="S490" s="68">
        <f>IF(AND(TaxOn="Yes",ISNUMBER(H490)),H490,0)</f>
        <v/>
      </c>
      <c r="T490" s="67">
        <f>IF(R490=1,"",IF(B490="","Enter a bill #",IF(D490="","Select a vendor",IF(C490="","Missing bill date",IF(NOT(ISNUMBER(C490)),"Invalid date",IF(OR(C490&lt;DATE(2000,1,1),C490&gt;DATE(2099,12,31)),"Invalid date",IF(F490="","Select an expense account",IF(ISNA(MATCH(F490,coa_Name,0)),"Unknown account: "&amp;F490,IF(NOT(ISNUMBER(G490)),"Enter an amount",IF(G490&lt;=0,"Amount must be positive",IF(S490&gt;G490,"Tax is larger than the amount","")))))))))))</f>
        <v/>
      </c>
      <c r="U490" s="67">
        <f>IF(OR(R490=1,T490&lt;&gt;""),"",IF(COUNTIFS(ap_No,B490,ap_Party,D490)&gt;1,"Duplicate bill #",IF(N(L490)&lt;0,"Overpaid by "&amp;TEXT(-L490,"#,##0.00"),IF(AND(ISNUMBER(H490),N(H490)&lt;&gt;0,S490=0),"Tax ignored (tax tracking is off)",IF(AND(ISNUMBER(StartDate),C490&lt;StartDate),"Date is before the accounting start date",IF(OR(IFERROR(INDEX(coa_Type,MATCH(F490,coa_Name,0)),"")="Revenue",IFERROR(INDEX(coa_Type,MATCH(F490,coa_Name,0)),"")="Other Income",IFERROR(INDEX(coa_Type,MATCH(F490,coa_Name,0)),"")="Equity"),"Account is not an expense or asset account",""))))))</f>
        <v/>
      </c>
      <c r="V490" s="67">
        <f>IF(AND(R490=0,T490=""),1,0)</f>
        <v/>
      </c>
      <c r="W490" s="67">
        <f>IF(V490=1,F490,"")</f>
        <v/>
      </c>
      <c r="X490" s="67">
        <f>IF(V490=1,acctAP,"")</f>
        <v/>
      </c>
      <c r="Y490" s="68">
        <f>IF(V490=1,G490-S490,0)</f>
        <v/>
      </c>
      <c r="Z490" s="68">
        <f>IF(V490=1,G490,0)</f>
        <v/>
      </c>
      <c r="AA490" s="68">
        <f>IF(V490=1,S490,0)</f>
        <v/>
      </c>
    </row>
    <row r="491">
      <c r="B491" s="62" t="n"/>
      <c r="C491" s="63" t="n"/>
      <c r="D491" s="62" t="n"/>
      <c r="E491" s="62" t="n"/>
      <c r="F491" s="62" t="n"/>
      <c r="G491" s="64" t="n"/>
      <c r="H491" s="64" t="n"/>
      <c r="I491" s="63" t="n"/>
      <c r="J491" s="29">
        <f>IF(V491=1,IF(ISNUMBER(I491),I491,C491+IF(ISNUMBER(IFERROR(INDEX(vend_Terms,MATCH(D491,vend_Name,0)),"")),INDEX(vend_Terms,MATCH(D491,vend_Name,0)),TermsDays)),"")</f>
        <v/>
      </c>
      <c r="K491" s="65">
        <f>IF(V491=1,SUMIFS(tx_CrAmt,tx_Type,"Bill Payment",tx_Ref,B491&amp;"",tx_Vend,D491,tx_Date,"&lt;="&amp;AsOf),"")</f>
        <v/>
      </c>
      <c r="L491" s="65">
        <f>IF(V491=1,IF(C491&gt;AsOf,0,ROUND(G491-K491,2)),"")</f>
        <v/>
      </c>
      <c r="M491" s="66">
        <f>IF(V491&lt;&gt;1,"",IF(C491&gt;AsOf,"Future",IF(L491&lt;0,"Overpaid",IF(L491=0,"Paid",IF(AsOf&gt;J491,"Overdue",IF(K491&gt;0,"Partial","Unpaid"))))))</f>
        <v/>
      </c>
      <c r="N491" s="28">
        <f>IF(AND(V491=1,N(L491)&gt;0),AsOf-C491,"")</f>
        <v/>
      </c>
      <c r="O491" s="28">
        <f>IF(N491="","",MAX(0,AsOf-J491))</f>
        <v/>
      </c>
      <c r="P491" s="66">
        <f>IF(O491="","",IF(O491=0,"Current",IF(O491&lt;=30,"1-30",IF(O491&lt;=60,"31-60",IF(O491&lt;=90,"61-90","90+")))))</f>
        <v/>
      </c>
      <c r="Q491" s="66">
        <f>IF(T491&lt;&gt;"","⛔ "&amp;T491&amp;" — not posted",IF(U491&lt;&gt;"","⚠ "&amp;U491,IF(V491=1,"✓ OK","")))</f>
        <v/>
      </c>
      <c r="R491" s="67">
        <f>IF(AND(B491="",C491="",D491="",G491="",F491=""),1,0)</f>
        <v/>
      </c>
      <c r="S491" s="68">
        <f>IF(AND(TaxOn="Yes",ISNUMBER(H491)),H491,0)</f>
        <v/>
      </c>
      <c r="T491" s="67">
        <f>IF(R491=1,"",IF(B491="","Enter a bill #",IF(D491="","Select a vendor",IF(C491="","Missing bill date",IF(NOT(ISNUMBER(C491)),"Invalid date",IF(OR(C491&lt;DATE(2000,1,1),C491&gt;DATE(2099,12,31)),"Invalid date",IF(F491="","Select an expense account",IF(ISNA(MATCH(F491,coa_Name,0)),"Unknown account: "&amp;F491,IF(NOT(ISNUMBER(G491)),"Enter an amount",IF(G491&lt;=0,"Amount must be positive",IF(S491&gt;G491,"Tax is larger than the amount","")))))))))))</f>
        <v/>
      </c>
      <c r="U491" s="67">
        <f>IF(OR(R491=1,T491&lt;&gt;""),"",IF(COUNTIFS(ap_No,B491,ap_Party,D491)&gt;1,"Duplicate bill #",IF(N(L491)&lt;0,"Overpaid by "&amp;TEXT(-L491,"#,##0.00"),IF(AND(ISNUMBER(H491),N(H491)&lt;&gt;0,S491=0),"Tax ignored (tax tracking is off)",IF(AND(ISNUMBER(StartDate),C491&lt;StartDate),"Date is before the accounting start date",IF(OR(IFERROR(INDEX(coa_Type,MATCH(F491,coa_Name,0)),"")="Revenue",IFERROR(INDEX(coa_Type,MATCH(F491,coa_Name,0)),"")="Other Income",IFERROR(INDEX(coa_Type,MATCH(F491,coa_Name,0)),"")="Equity"),"Account is not an expense or asset account",""))))))</f>
        <v/>
      </c>
      <c r="V491" s="67">
        <f>IF(AND(R491=0,T491=""),1,0)</f>
        <v/>
      </c>
      <c r="W491" s="67">
        <f>IF(V491=1,F491,"")</f>
        <v/>
      </c>
      <c r="X491" s="67">
        <f>IF(V491=1,acctAP,"")</f>
        <v/>
      </c>
      <c r="Y491" s="68">
        <f>IF(V491=1,G491-S491,0)</f>
        <v/>
      </c>
      <c r="Z491" s="68">
        <f>IF(V491=1,G491,0)</f>
        <v/>
      </c>
      <c r="AA491" s="68">
        <f>IF(V491=1,S491,0)</f>
        <v/>
      </c>
    </row>
    <row r="492">
      <c r="B492" s="62" t="n"/>
      <c r="C492" s="63" t="n"/>
      <c r="D492" s="62" t="n"/>
      <c r="E492" s="62" t="n"/>
      <c r="F492" s="62" t="n"/>
      <c r="G492" s="64" t="n"/>
      <c r="H492" s="64" t="n"/>
      <c r="I492" s="63" t="n"/>
      <c r="J492" s="29">
        <f>IF(V492=1,IF(ISNUMBER(I492),I492,C492+IF(ISNUMBER(IFERROR(INDEX(vend_Terms,MATCH(D492,vend_Name,0)),"")),INDEX(vend_Terms,MATCH(D492,vend_Name,0)),TermsDays)),"")</f>
        <v/>
      </c>
      <c r="K492" s="65">
        <f>IF(V492=1,SUMIFS(tx_CrAmt,tx_Type,"Bill Payment",tx_Ref,B492&amp;"",tx_Vend,D492,tx_Date,"&lt;="&amp;AsOf),"")</f>
        <v/>
      </c>
      <c r="L492" s="65">
        <f>IF(V492=1,IF(C492&gt;AsOf,0,ROUND(G492-K492,2)),"")</f>
        <v/>
      </c>
      <c r="M492" s="66">
        <f>IF(V492&lt;&gt;1,"",IF(C492&gt;AsOf,"Future",IF(L492&lt;0,"Overpaid",IF(L492=0,"Paid",IF(AsOf&gt;J492,"Overdue",IF(K492&gt;0,"Partial","Unpaid"))))))</f>
        <v/>
      </c>
      <c r="N492" s="28">
        <f>IF(AND(V492=1,N(L492)&gt;0),AsOf-C492,"")</f>
        <v/>
      </c>
      <c r="O492" s="28">
        <f>IF(N492="","",MAX(0,AsOf-J492))</f>
        <v/>
      </c>
      <c r="P492" s="66">
        <f>IF(O492="","",IF(O492=0,"Current",IF(O492&lt;=30,"1-30",IF(O492&lt;=60,"31-60",IF(O492&lt;=90,"61-90","90+")))))</f>
        <v/>
      </c>
      <c r="Q492" s="66">
        <f>IF(T492&lt;&gt;"","⛔ "&amp;T492&amp;" — not posted",IF(U492&lt;&gt;"","⚠ "&amp;U492,IF(V492=1,"✓ OK","")))</f>
        <v/>
      </c>
      <c r="R492" s="67">
        <f>IF(AND(B492="",C492="",D492="",G492="",F492=""),1,0)</f>
        <v/>
      </c>
      <c r="S492" s="68">
        <f>IF(AND(TaxOn="Yes",ISNUMBER(H492)),H492,0)</f>
        <v/>
      </c>
      <c r="T492" s="67">
        <f>IF(R492=1,"",IF(B492="","Enter a bill #",IF(D492="","Select a vendor",IF(C492="","Missing bill date",IF(NOT(ISNUMBER(C492)),"Invalid date",IF(OR(C492&lt;DATE(2000,1,1),C492&gt;DATE(2099,12,31)),"Invalid date",IF(F492="","Select an expense account",IF(ISNA(MATCH(F492,coa_Name,0)),"Unknown account: "&amp;F492,IF(NOT(ISNUMBER(G492)),"Enter an amount",IF(G492&lt;=0,"Amount must be positive",IF(S492&gt;G492,"Tax is larger than the amount","")))))))))))</f>
        <v/>
      </c>
      <c r="U492" s="67">
        <f>IF(OR(R492=1,T492&lt;&gt;""),"",IF(COUNTIFS(ap_No,B492,ap_Party,D492)&gt;1,"Duplicate bill #",IF(N(L492)&lt;0,"Overpaid by "&amp;TEXT(-L492,"#,##0.00"),IF(AND(ISNUMBER(H492),N(H492)&lt;&gt;0,S492=0),"Tax ignored (tax tracking is off)",IF(AND(ISNUMBER(StartDate),C492&lt;StartDate),"Date is before the accounting start date",IF(OR(IFERROR(INDEX(coa_Type,MATCH(F492,coa_Name,0)),"")="Revenue",IFERROR(INDEX(coa_Type,MATCH(F492,coa_Name,0)),"")="Other Income",IFERROR(INDEX(coa_Type,MATCH(F492,coa_Name,0)),"")="Equity"),"Account is not an expense or asset account",""))))))</f>
        <v/>
      </c>
      <c r="V492" s="67">
        <f>IF(AND(R492=0,T492=""),1,0)</f>
        <v/>
      </c>
      <c r="W492" s="67">
        <f>IF(V492=1,F492,"")</f>
        <v/>
      </c>
      <c r="X492" s="67">
        <f>IF(V492=1,acctAP,"")</f>
        <v/>
      </c>
      <c r="Y492" s="68">
        <f>IF(V492=1,G492-S492,0)</f>
        <v/>
      </c>
      <c r="Z492" s="68">
        <f>IF(V492=1,G492,0)</f>
        <v/>
      </c>
      <c r="AA492" s="68">
        <f>IF(V492=1,S492,0)</f>
        <v/>
      </c>
    </row>
    <row r="493">
      <c r="B493" s="62" t="n"/>
      <c r="C493" s="63" t="n"/>
      <c r="D493" s="62" t="n"/>
      <c r="E493" s="62" t="n"/>
      <c r="F493" s="62" t="n"/>
      <c r="G493" s="64" t="n"/>
      <c r="H493" s="64" t="n"/>
      <c r="I493" s="63" t="n"/>
      <c r="J493" s="29">
        <f>IF(V493=1,IF(ISNUMBER(I493),I493,C493+IF(ISNUMBER(IFERROR(INDEX(vend_Terms,MATCH(D493,vend_Name,0)),"")),INDEX(vend_Terms,MATCH(D493,vend_Name,0)),TermsDays)),"")</f>
        <v/>
      </c>
      <c r="K493" s="65">
        <f>IF(V493=1,SUMIFS(tx_CrAmt,tx_Type,"Bill Payment",tx_Ref,B493&amp;"",tx_Vend,D493,tx_Date,"&lt;="&amp;AsOf),"")</f>
        <v/>
      </c>
      <c r="L493" s="65">
        <f>IF(V493=1,IF(C493&gt;AsOf,0,ROUND(G493-K493,2)),"")</f>
        <v/>
      </c>
      <c r="M493" s="66">
        <f>IF(V493&lt;&gt;1,"",IF(C493&gt;AsOf,"Future",IF(L493&lt;0,"Overpaid",IF(L493=0,"Paid",IF(AsOf&gt;J493,"Overdue",IF(K493&gt;0,"Partial","Unpaid"))))))</f>
        <v/>
      </c>
      <c r="N493" s="28">
        <f>IF(AND(V493=1,N(L493)&gt;0),AsOf-C493,"")</f>
        <v/>
      </c>
      <c r="O493" s="28">
        <f>IF(N493="","",MAX(0,AsOf-J493))</f>
        <v/>
      </c>
      <c r="P493" s="66">
        <f>IF(O493="","",IF(O493=0,"Current",IF(O493&lt;=30,"1-30",IF(O493&lt;=60,"31-60",IF(O493&lt;=90,"61-90","90+")))))</f>
        <v/>
      </c>
      <c r="Q493" s="66">
        <f>IF(T493&lt;&gt;"","⛔ "&amp;T493&amp;" — not posted",IF(U493&lt;&gt;"","⚠ "&amp;U493,IF(V493=1,"✓ OK","")))</f>
        <v/>
      </c>
      <c r="R493" s="67">
        <f>IF(AND(B493="",C493="",D493="",G493="",F493=""),1,0)</f>
        <v/>
      </c>
      <c r="S493" s="68">
        <f>IF(AND(TaxOn="Yes",ISNUMBER(H493)),H493,0)</f>
        <v/>
      </c>
      <c r="T493" s="67">
        <f>IF(R493=1,"",IF(B493="","Enter a bill #",IF(D493="","Select a vendor",IF(C493="","Missing bill date",IF(NOT(ISNUMBER(C493)),"Invalid date",IF(OR(C493&lt;DATE(2000,1,1),C493&gt;DATE(2099,12,31)),"Invalid date",IF(F493="","Select an expense account",IF(ISNA(MATCH(F493,coa_Name,0)),"Unknown account: "&amp;F493,IF(NOT(ISNUMBER(G493)),"Enter an amount",IF(G493&lt;=0,"Amount must be positive",IF(S493&gt;G493,"Tax is larger than the amount","")))))))))))</f>
        <v/>
      </c>
      <c r="U493" s="67">
        <f>IF(OR(R493=1,T493&lt;&gt;""),"",IF(COUNTIFS(ap_No,B493,ap_Party,D493)&gt;1,"Duplicate bill #",IF(N(L493)&lt;0,"Overpaid by "&amp;TEXT(-L493,"#,##0.00"),IF(AND(ISNUMBER(H493),N(H493)&lt;&gt;0,S493=0),"Tax ignored (tax tracking is off)",IF(AND(ISNUMBER(StartDate),C493&lt;StartDate),"Date is before the accounting start date",IF(OR(IFERROR(INDEX(coa_Type,MATCH(F493,coa_Name,0)),"")="Revenue",IFERROR(INDEX(coa_Type,MATCH(F493,coa_Name,0)),"")="Other Income",IFERROR(INDEX(coa_Type,MATCH(F493,coa_Name,0)),"")="Equity"),"Account is not an expense or asset account",""))))))</f>
        <v/>
      </c>
      <c r="V493" s="67">
        <f>IF(AND(R493=0,T493=""),1,0)</f>
        <v/>
      </c>
      <c r="W493" s="67">
        <f>IF(V493=1,F493,"")</f>
        <v/>
      </c>
      <c r="X493" s="67">
        <f>IF(V493=1,acctAP,"")</f>
        <v/>
      </c>
      <c r="Y493" s="68">
        <f>IF(V493=1,G493-S493,0)</f>
        <v/>
      </c>
      <c r="Z493" s="68">
        <f>IF(V493=1,G493,0)</f>
        <v/>
      </c>
      <c r="AA493" s="68">
        <f>IF(V493=1,S493,0)</f>
        <v/>
      </c>
    </row>
    <row r="494">
      <c r="B494" s="62" t="n"/>
      <c r="C494" s="63" t="n"/>
      <c r="D494" s="62" t="n"/>
      <c r="E494" s="62" t="n"/>
      <c r="F494" s="62" t="n"/>
      <c r="G494" s="64" t="n"/>
      <c r="H494" s="64" t="n"/>
      <c r="I494" s="63" t="n"/>
      <c r="J494" s="29">
        <f>IF(V494=1,IF(ISNUMBER(I494),I494,C494+IF(ISNUMBER(IFERROR(INDEX(vend_Terms,MATCH(D494,vend_Name,0)),"")),INDEX(vend_Terms,MATCH(D494,vend_Name,0)),TermsDays)),"")</f>
        <v/>
      </c>
      <c r="K494" s="65">
        <f>IF(V494=1,SUMIFS(tx_CrAmt,tx_Type,"Bill Payment",tx_Ref,B494&amp;"",tx_Vend,D494,tx_Date,"&lt;="&amp;AsOf),"")</f>
        <v/>
      </c>
      <c r="L494" s="65">
        <f>IF(V494=1,IF(C494&gt;AsOf,0,ROUND(G494-K494,2)),"")</f>
        <v/>
      </c>
      <c r="M494" s="66">
        <f>IF(V494&lt;&gt;1,"",IF(C494&gt;AsOf,"Future",IF(L494&lt;0,"Overpaid",IF(L494=0,"Paid",IF(AsOf&gt;J494,"Overdue",IF(K494&gt;0,"Partial","Unpaid"))))))</f>
        <v/>
      </c>
      <c r="N494" s="28">
        <f>IF(AND(V494=1,N(L494)&gt;0),AsOf-C494,"")</f>
        <v/>
      </c>
      <c r="O494" s="28">
        <f>IF(N494="","",MAX(0,AsOf-J494))</f>
        <v/>
      </c>
      <c r="P494" s="66">
        <f>IF(O494="","",IF(O494=0,"Current",IF(O494&lt;=30,"1-30",IF(O494&lt;=60,"31-60",IF(O494&lt;=90,"61-90","90+")))))</f>
        <v/>
      </c>
      <c r="Q494" s="66">
        <f>IF(T494&lt;&gt;"","⛔ "&amp;T494&amp;" — not posted",IF(U494&lt;&gt;"","⚠ "&amp;U494,IF(V494=1,"✓ OK","")))</f>
        <v/>
      </c>
      <c r="R494" s="67">
        <f>IF(AND(B494="",C494="",D494="",G494="",F494=""),1,0)</f>
        <v/>
      </c>
      <c r="S494" s="68">
        <f>IF(AND(TaxOn="Yes",ISNUMBER(H494)),H494,0)</f>
        <v/>
      </c>
      <c r="T494" s="67">
        <f>IF(R494=1,"",IF(B494="","Enter a bill #",IF(D494="","Select a vendor",IF(C494="","Missing bill date",IF(NOT(ISNUMBER(C494)),"Invalid date",IF(OR(C494&lt;DATE(2000,1,1),C494&gt;DATE(2099,12,31)),"Invalid date",IF(F494="","Select an expense account",IF(ISNA(MATCH(F494,coa_Name,0)),"Unknown account: "&amp;F494,IF(NOT(ISNUMBER(G494)),"Enter an amount",IF(G494&lt;=0,"Amount must be positive",IF(S494&gt;G494,"Tax is larger than the amount","")))))))))))</f>
        <v/>
      </c>
      <c r="U494" s="67">
        <f>IF(OR(R494=1,T494&lt;&gt;""),"",IF(COUNTIFS(ap_No,B494,ap_Party,D494)&gt;1,"Duplicate bill #",IF(N(L494)&lt;0,"Overpaid by "&amp;TEXT(-L494,"#,##0.00"),IF(AND(ISNUMBER(H494),N(H494)&lt;&gt;0,S494=0),"Tax ignored (tax tracking is off)",IF(AND(ISNUMBER(StartDate),C494&lt;StartDate),"Date is before the accounting start date",IF(OR(IFERROR(INDEX(coa_Type,MATCH(F494,coa_Name,0)),"")="Revenue",IFERROR(INDEX(coa_Type,MATCH(F494,coa_Name,0)),"")="Other Income",IFERROR(INDEX(coa_Type,MATCH(F494,coa_Name,0)),"")="Equity"),"Account is not an expense or asset account",""))))))</f>
        <v/>
      </c>
      <c r="V494" s="67">
        <f>IF(AND(R494=0,T494=""),1,0)</f>
        <v/>
      </c>
      <c r="W494" s="67">
        <f>IF(V494=1,F494,"")</f>
        <v/>
      </c>
      <c r="X494" s="67">
        <f>IF(V494=1,acctAP,"")</f>
        <v/>
      </c>
      <c r="Y494" s="68">
        <f>IF(V494=1,G494-S494,0)</f>
        <v/>
      </c>
      <c r="Z494" s="68">
        <f>IF(V494=1,G494,0)</f>
        <v/>
      </c>
      <c r="AA494" s="68">
        <f>IF(V494=1,S494,0)</f>
        <v/>
      </c>
    </row>
    <row r="495">
      <c r="B495" s="62" t="n"/>
      <c r="C495" s="63" t="n"/>
      <c r="D495" s="62" t="n"/>
      <c r="E495" s="62" t="n"/>
      <c r="F495" s="62" t="n"/>
      <c r="G495" s="64" t="n"/>
      <c r="H495" s="64" t="n"/>
      <c r="I495" s="63" t="n"/>
      <c r="J495" s="29">
        <f>IF(V495=1,IF(ISNUMBER(I495),I495,C495+IF(ISNUMBER(IFERROR(INDEX(vend_Terms,MATCH(D495,vend_Name,0)),"")),INDEX(vend_Terms,MATCH(D495,vend_Name,0)),TermsDays)),"")</f>
        <v/>
      </c>
      <c r="K495" s="65">
        <f>IF(V495=1,SUMIFS(tx_CrAmt,tx_Type,"Bill Payment",tx_Ref,B495&amp;"",tx_Vend,D495,tx_Date,"&lt;="&amp;AsOf),"")</f>
        <v/>
      </c>
      <c r="L495" s="65">
        <f>IF(V495=1,IF(C495&gt;AsOf,0,ROUND(G495-K495,2)),"")</f>
        <v/>
      </c>
      <c r="M495" s="66">
        <f>IF(V495&lt;&gt;1,"",IF(C495&gt;AsOf,"Future",IF(L495&lt;0,"Overpaid",IF(L495=0,"Paid",IF(AsOf&gt;J495,"Overdue",IF(K495&gt;0,"Partial","Unpaid"))))))</f>
        <v/>
      </c>
      <c r="N495" s="28">
        <f>IF(AND(V495=1,N(L495)&gt;0),AsOf-C495,"")</f>
        <v/>
      </c>
      <c r="O495" s="28">
        <f>IF(N495="","",MAX(0,AsOf-J495))</f>
        <v/>
      </c>
      <c r="P495" s="66">
        <f>IF(O495="","",IF(O495=0,"Current",IF(O495&lt;=30,"1-30",IF(O495&lt;=60,"31-60",IF(O495&lt;=90,"61-90","90+")))))</f>
        <v/>
      </c>
      <c r="Q495" s="66">
        <f>IF(T495&lt;&gt;"","⛔ "&amp;T495&amp;" — not posted",IF(U495&lt;&gt;"","⚠ "&amp;U495,IF(V495=1,"✓ OK","")))</f>
        <v/>
      </c>
      <c r="R495" s="67">
        <f>IF(AND(B495="",C495="",D495="",G495="",F495=""),1,0)</f>
        <v/>
      </c>
      <c r="S495" s="68">
        <f>IF(AND(TaxOn="Yes",ISNUMBER(H495)),H495,0)</f>
        <v/>
      </c>
      <c r="T495" s="67">
        <f>IF(R495=1,"",IF(B495="","Enter a bill #",IF(D495="","Select a vendor",IF(C495="","Missing bill date",IF(NOT(ISNUMBER(C495)),"Invalid date",IF(OR(C495&lt;DATE(2000,1,1),C495&gt;DATE(2099,12,31)),"Invalid date",IF(F495="","Select an expense account",IF(ISNA(MATCH(F495,coa_Name,0)),"Unknown account: "&amp;F495,IF(NOT(ISNUMBER(G495)),"Enter an amount",IF(G495&lt;=0,"Amount must be positive",IF(S495&gt;G495,"Tax is larger than the amount","")))))))))))</f>
        <v/>
      </c>
      <c r="U495" s="67">
        <f>IF(OR(R495=1,T495&lt;&gt;""),"",IF(COUNTIFS(ap_No,B495,ap_Party,D495)&gt;1,"Duplicate bill #",IF(N(L495)&lt;0,"Overpaid by "&amp;TEXT(-L495,"#,##0.00"),IF(AND(ISNUMBER(H495),N(H495)&lt;&gt;0,S495=0),"Tax ignored (tax tracking is off)",IF(AND(ISNUMBER(StartDate),C495&lt;StartDate),"Date is before the accounting start date",IF(OR(IFERROR(INDEX(coa_Type,MATCH(F495,coa_Name,0)),"")="Revenue",IFERROR(INDEX(coa_Type,MATCH(F495,coa_Name,0)),"")="Other Income",IFERROR(INDEX(coa_Type,MATCH(F495,coa_Name,0)),"")="Equity"),"Account is not an expense or asset account",""))))))</f>
        <v/>
      </c>
      <c r="V495" s="67">
        <f>IF(AND(R495=0,T495=""),1,0)</f>
        <v/>
      </c>
      <c r="W495" s="67">
        <f>IF(V495=1,F495,"")</f>
        <v/>
      </c>
      <c r="X495" s="67">
        <f>IF(V495=1,acctAP,"")</f>
        <v/>
      </c>
      <c r="Y495" s="68">
        <f>IF(V495=1,G495-S495,0)</f>
        <v/>
      </c>
      <c r="Z495" s="68">
        <f>IF(V495=1,G495,0)</f>
        <v/>
      </c>
      <c r="AA495" s="68">
        <f>IF(V495=1,S495,0)</f>
        <v/>
      </c>
    </row>
    <row r="496">
      <c r="B496" s="62" t="n"/>
      <c r="C496" s="63" t="n"/>
      <c r="D496" s="62" t="n"/>
      <c r="E496" s="62" t="n"/>
      <c r="F496" s="62" t="n"/>
      <c r="G496" s="64" t="n"/>
      <c r="H496" s="64" t="n"/>
      <c r="I496" s="63" t="n"/>
      <c r="J496" s="29">
        <f>IF(V496=1,IF(ISNUMBER(I496),I496,C496+IF(ISNUMBER(IFERROR(INDEX(vend_Terms,MATCH(D496,vend_Name,0)),"")),INDEX(vend_Terms,MATCH(D496,vend_Name,0)),TermsDays)),"")</f>
        <v/>
      </c>
      <c r="K496" s="65">
        <f>IF(V496=1,SUMIFS(tx_CrAmt,tx_Type,"Bill Payment",tx_Ref,B496&amp;"",tx_Vend,D496,tx_Date,"&lt;="&amp;AsOf),"")</f>
        <v/>
      </c>
      <c r="L496" s="65">
        <f>IF(V496=1,IF(C496&gt;AsOf,0,ROUND(G496-K496,2)),"")</f>
        <v/>
      </c>
      <c r="M496" s="66">
        <f>IF(V496&lt;&gt;1,"",IF(C496&gt;AsOf,"Future",IF(L496&lt;0,"Overpaid",IF(L496=0,"Paid",IF(AsOf&gt;J496,"Overdue",IF(K496&gt;0,"Partial","Unpaid"))))))</f>
        <v/>
      </c>
      <c r="N496" s="28">
        <f>IF(AND(V496=1,N(L496)&gt;0),AsOf-C496,"")</f>
        <v/>
      </c>
      <c r="O496" s="28">
        <f>IF(N496="","",MAX(0,AsOf-J496))</f>
        <v/>
      </c>
      <c r="P496" s="66">
        <f>IF(O496="","",IF(O496=0,"Current",IF(O496&lt;=30,"1-30",IF(O496&lt;=60,"31-60",IF(O496&lt;=90,"61-90","90+")))))</f>
        <v/>
      </c>
      <c r="Q496" s="66">
        <f>IF(T496&lt;&gt;"","⛔ "&amp;T496&amp;" — not posted",IF(U496&lt;&gt;"","⚠ "&amp;U496,IF(V496=1,"✓ OK","")))</f>
        <v/>
      </c>
      <c r="R496" s="67">
        <f>IF(AND(B496="",C496="",D496="",G496="",F496=""),1,0)</f>
        <v/>
      </c>
      <c r="S496" s="68">
        <f>IF(AND(TaxOn="Yes",ISNUMBER(H496)),H496,0)</f>
        <v/>
      </c>
      <c r="T496" s="67">
        <f>IF(R496=1,"",IF(B496="","Enter a bill #",IF(D496="","Select a vendor",IF(C496="","Missing bill date",IF(NOT(ISNUMBER(C496)),"Invalid date",IF(OR(C496&lt;DATE(2000,1,1),C496&gt;DATE(2099,12,31)),"Invalid date",IF(F496="","Select an expense account",IF(ISNA(MATCH(F496,coa_Name,0)),"Unknown account: "&amp;F496,IF(NOT(ISNUMBER(G496)),"Enter an amount",IF(G496&lt;=0,"Amount must be positive",IF(S496&gt;G496,"Tax is larger than the amount","")))))))))))</f>
        <v/>
      </c>
      <c r="U496" s="67">
        <f>IF(OR(R496=1,T496&lt;&gt;""),"",IF(COUNTIFS(ap_No,B496,ap_Party,D496)&gt;1,"Duplicate bill #",IF(N(L496)&lt;0,"Overpaid by "&amp;TEXT(-L496,"#,##0.00"),IF(AND(ISNUMBER(H496),N(H496)&lt;&gt;0,S496=0),"Tax ignored (tax tracking is off)",IF(AND(ISNUMBER(StartDate),C496&lt;StartDate),"Date is before the accounting start date",IF(OR(IFERROR(INDEX(coa_Type,MATCH(F496,coa_Name,0)),"")="Revenue",IFERROR(INDEX(coa_Type,MATCH(F496,coa_Name,0)),"")="Other Income",IFERROR(INDEX(coa_Type,MATCH(F496,coa_Name,0)),"")="Equity"),"Account is not an expense or asset account",""))))))</f>
        <v/>
      </c>
      <c r="V496" s="67">
        <f>IF(AND(R496=0,T496=""),1,0)</f>
        <v/>
      </c>
      <c r="W496" s="67">
        <f>IF(V496=1,F496,"")</f>
        <v/>
      </c>
      <c r="X496" s="67">
        <f>IF(V496=1,acctAP,"")</f>
        <v/>
      </c>
      <c r="Y496" s="68">
        <f>IF(V496=1,G496-S496,0)</f>
        <v/>
      </c>
      <c r="Z496" s="68">
        <f>IF(V496=1,G496,0)</f>
        <v/>
      </c>
      <c r="AA496" s="68">
        <f>IF(V496=1,S496,0)</f>
        <v/>
      </c>
    </row>
    <row r="497">
      <c r="B497" s="62" t="n"/>
      <c r="C497" s="63" t="n"/>
      <c r="D497" s="62" t="n"/>
      <c r="E497" s="62" t="n"/>
      <c r="F497" s="62" t="n"/>
      <c r="G497" s="64" t="n"/>
      <c r="H497" s="64" t="n"/>
      <c r="I497" s="63" t="n"/>
      <c r="J497" s="29">
        <f>IF(V497=1,IF(ISNUMBER(I497),I497,C497+IF(ISNUMBER(IFERROR(INDEX(vend_Terms,MATCH(D497,vend_Name,0)),"")),INDEX(vend_Terms,MATCH(D497,vend_Name,0)),TermsDays)),"")</f>
        <v/>
      </c>
      <c r="K497" s="65">
        <f>IF(V497=1,SUMIFS(tx_CrAmt,tx_Type,"Bill Payment",tx_Ref,B497&amp;"",tx_Vend,D497,tx_Date,"&lt;="&amp;AsOf),"")</f>
        <v/>
      </c>
      <c r="L497" s="65">
        <f>IF(V497=1,IF(C497&gt;AsOf,0,ROUND(G497-K497,2)),"")</f>
        <v/>
      </c>
      <c r="M497" s="66">
        <f>IF(V497&lt;&gt;1,"",IF(C497&gt;AsOf,"Future",IF(L497&lt;0,"Overpaid",IF(L497=0,"Paid",IF(AsOf&gt;J497,"Overdue",IF(K497&gt;0,"Partial","Unpaid"))))))</f>
        <v/>
      </c>
      <c r="N497" s="28">
        <f>IF(AND(V497=1,N(L497)&gt;0),AsOf-C497,"")</f>
        <v/>
      </c>
      <c r="O497" s="28">
        <f>IF(N497="","",MAX(0,AsOf-J497))</f>
        <v/>
      </c>
      <c r="P497" s="66">
        <f>IF(O497="","",IF(O497=0,"Current",IF(O497&lt;=30,"1-30",IF(O497&lt;=60,"31-60",IF(O497&lt;=90,"61-90","90+")))))</f>
        <v/>
      </c>
      <c r="Q497" s="66">
        <f>IF(T497&lt;&gt;"","⛔ "&amp;T497&amp;" — not posted",IF(U497&lt;&gt;"","⚠ "&amp;U497,IF(V497=1,"✓ OK","")))</f>
        <v/>
      </c>
      <c r="R497" s="67">
        <f>IF(AND(B497="",C497="",D497="",G497="",F497=""),1,0)</f>
        <v/>
      </c>
      <c r="S497" s="68">
        <f>IF(AND(TaxOn="Yes",ISNUMBER(H497)),H497,0)</f>
        <v/>
      </c>
      <c r="T497" s="67">
        <f>IF(R497=1,"",IF(B497="","Enter a bill #",IF(D497="","Select a vendor",IF(C497="","Missing bill date",IF(NOT(ISNUMBER(C497)),"Invalid date",IF(OR(C497&lt;DATE(2000,1,1),C497&gt;DATE(2099,12,31)),"Invalid date",IF(F497="","Select an expense account",IF(ISNA(MATCH(F497,coa_Name,0)),"Unknown account: "&amp;F497,IF(NOT(ISNUMBER(G497)),"Enter an amount",IF(G497&lt;=0,"Amount must be positive",IF(S497&gt;G497,"Tax is larger than the amount","")))))))))))</f>
        <v/>
      </c>
      <c r="U497" s="67">
        <f>IF(OR(R497=1,T497&lt;&gt;""),"",IF(COUNTIFS(ap_No,B497,ap_Party,D497)&gt;1,"Duplicate bill #",IF(N(L497)&lt;0,"Overpaid by "&amp;TEXT(-L497,"#,##0.00"),IF(AND(ISNUMBER(H497),N(H497)&lt;&gt;0,S497=0),"Tax ignored (tax tracking is off)",IF(AND(ISNUMBER(StartDate),C497&lt;StartDate),"Date is before the accounting start date",IF(OR(IFERROR(INDEX(coa_Type,MATCH(F497,coa_Name,0)),"")="Revenue",IFERROR(INDEX(coa_Type,MATCH(F497,coa_Name,0)),"")="Other Income",IFERROR(INDEX(coa_Type,MATCH(F497,coa_Name,0)),"")="Equity"),"Account is not an expense or asset account",""))))))</f>
        <v/>
      </c>
      <c r="V497" s="67">
        <f>IF(AND(R497=0,T497=""),1,0)</f>
        <v/>
      </c>
      <c r="W497" s="67">
        <f>IF(V497=1,F497,"")</f>
        <v/>
      </c>
      <c r="X497" s="67">
        <f>IF(V497=1,acctAP,"")</f>
        <v/>
      </c>
      <c r="Y497" s="68">
        <f>IF(V497=1,G497-S497,0)</f>
        <v/>
      </c>
      <c r="Z497" s="68">
        <f>IF(V497=1,G497,0)</f>
        <v/>
      </c>
      <c r="AA497" s="68">
        <f>IF(V497=1,S497,0)</f>
        <v/>
      </c>
    </row>
    <row r="498">
      <c r="B498" s="62" t="n"/>
      <c r="C498" s="63" t="n"/>
      <c r="D498" s="62" t="n"/>
      <c r="E498" s="62" t="n"/>
      <c r="F498" s="62" t="n"/>
      <c r="G498" s="64" t="n"/>
      <c r="H498" s="64" t="n"/>
      <c r="I498" s="63" t="n"/>
      <c r="J498" s="29">
        <f>IF(V498=1,IF(ISNUMBER(I498),I498,C498+IF(ISNUMBER(IFERROR(INDEX(vend_Terms,MATCH(D498,vend_Name,0)),"")),INDEX(vend_Terms,MATCH(D498,vend_Name,0)),TermsDays)),"")</f>
        <v/>
      </c>
      <c r="K498" s="65">
        <f>IF(V498=1,SUMIFS(tx_CrAmt,tx_Type,"Bill Payment",tx_Ref,B498&amp;"",tx_Vend,D498,tx_Date,"&lt;="&amp;AsOf),"")</f>
        <v/>
      </c>
      <c r="L498" s="65">
        <f>IF(V498=1,IF(C498&gt;AsOf,0,ROUND(G498-K498,2)),"")</f>
        <v/>
      </c>
      <c r="M498" s="66">
        <f>IF(V498&lt;&gt;1,"",IF(C498&gt;AsOf,"Future",IF(L498&lt;0,"Overpaid",IF(L498=0,"Paid",IF(AsOf&gt;J498,"Overdue",IF(K498&gt;0,"Partial","Unpaid"))))))</f>
        <v/>
      </c>
      <c r="N498" s="28">
        <f>IF(AND(V498=1,N(L498)&gt;0),AsOf-C498,"")</f>
        <v/>
      </c>
      <c r="O498" s="28">
        <f>IF(N498="","",MAX(0,AsOf-J498))</f>
        <v/>
      </c>
      <c r="P498" s="66">
        <f>IF(O498="","",IF(O498=0,"Current",IF(O498&lt;=30,"1-30",IF(O498&lt;=60,"31-60",IF(O498&lt;=90,"61-90","90+")))))</f>
        <v/>
      </c>
      <c r="Q498" s="66">
        <f>IF(T498&lt;&gt;"","⛔ "&amp;T498&amp;" — not posted",IF(U498&lt;&gt;"","⚠ "&amp;U498,IF(V498=1,"✓ OK","")))</f>
        <v/>
      </c>
      <c r="R498" s="67">
        <f>IF(AND(B498="",C498="",D498="",G498="",F498=""),1,0)</f>
        <v/>
      </c>
      <c r="S498" s="68">
        <f>IF(AND(TaxOn="Yes",ISNUMBER(H498)),H498,0)</f>
        <v/>
      </c>
      <c r="T498" s="67">
        <f>IF(R498=1,"",IF(B498="","Enter a bill #",IF(D498="","Select a vendor",IF(C498="","Missing bill date",IF(NOT(ISNUMBER(C498)),"Invalid date",IF(OR(C498&lt;DATE(2000,1,1),C498&gt;DATE(2099,12,31)),"Invalid date",IF(F498="","Select an expense account",IF(ISNA(MATCH(F498,coa_Name,0)),"Unknown account: "&amp;F498,IF(NOT(ISNUMBER(G498)),"Enter an amount",IF(G498&lt;=0,"Amount must be positive",IF(S498&gt;G498,"Tax is larger than the amount","")))))))))))</f>
        <v/>
      </c>
      <c r="U498" s="67">
        <f>IF(OR(R498=1,T498&lt;&gt;""),"",IF(COUNTIFS(ap_No,B498,ap_Party,D498)&gt;1,"Duplicate bill #",IF(N(L498)&lt;0,"Overpaid by "&amp;TEXT(-L498,"#,##0.00"),IF(AND(ISNUMBER(H498),N(H498)&lt;&gt;0,S498=0),"Tax ignored (tax tracking is off)",IF(AND(ISNUMBER(StartDate),C498&lt;StartDate),"Date is before the accounting start date",IF(OR(IFERROR(INDEX(coa_Type,MATCH(F498,coa_Name,0)),"")="Revenue",IFERROR(INDEX(coa_Type,MATCH(F498,coa_Name,0)),"")="Other Income",IFERROR(INDEX(coa_Type,MATCH(F498,coa_Name,0)),"")="Equity"),"Account is not an expense or asset account",""))))))</f>
        <v/>
      </c>
      <c r="V498" s="67">
        <f>IF(AND(R498=0,T498=""),1,0)</f>
        <v/>
      </c>
      <c r="W498" s="67">
        <f>IF(V498=1,F498,"")</f>
        <v/>
      </c>
      <c r="X498" s="67">
        <f>IF(V498=1,acctAP,"")</f>
        <v/>
      </c>
      <c r="Y498" s="68">
        <f>IF(V498=1,G498-S498,0)</f>
        <v/>
      </c>
      <c r="Z498" s="68">
        <f>IF(V498=1,G498,0)</f>
        <v/>
      </c>
      <c r="AA498" s="68">
        <f>IF(V498=1,S498,0)</f>
        <v/>
      </c>
    </row>
    <row r="499">
      <c r="B499" s="62" t="n"/>
      <c r="C499" s="63" t="n"/>
      <c r="D499" s="62" t="n"/>
      <c r="E499" s="62" t="n"/>
      <c r="F499" s="62" t="n"/>
      <c r="G499" s="64" t="n"/>
      <c r="H499" s="64" t="n"/>
      <c r="I499" s="63" t="n"/>
      <c r="J499" s="29">
        <f>IF(V499=1,IF(ISNUMBER(I499),I499,C499+IF(ISNUMBER(IFERROR(INDEX(vend_Terms,MATCH(D499,vend_Name,0)),"")),INDEX(vend_Terms,MATCH(D499,vend_Name,0)),TermsDays)),"")</f>
        <v/>
      </c>
      <c r="K499" s="65">
        <f>IF(V499=1,SUMIFS(tx_CrAmt,tx_Type,"Bill Payment",tx_Ref,B499&amp;"",tx_Vend,D499,tx_Date,"&lt;="&amp;AsOf),"")</f>
        <v/>
      </c>
      <c r="L499" s="65">
        <f>IF(V499=1,IF(C499&gt;AsOf,0,ROUND(G499-K499,2)),"")</f>
        <v/>
      </c>
      <c r="M499" s="66">
        <f>IF(V499&lt;&gt;1,"",IF(C499&gt;AsOf,"Future",IF(L499&lt;0,"Overpaid",IF(L499=0,"Paid",IF(AsOf&gt;J499,"Overdue",IF(K499&gt;0,"Partial","Unpaid"))))))</f>
        <v/>
      </c>
      <c r="N499" s="28">
        <f>IF(AND(V499=1,N(L499)&gt;0),AsOf-C499,"")</f>
        <v/>
      </c>
      <c r="O499" s="28">
        <f>IF(N499="","",MAX(0,AsOf-J499))</f>
        <v/>
      </c>
      <c r="P499" s="66">
        <f>IF(O499="","",IF(O499=0,"Current",IF(O499&lt;=30,"1-30",IF(O499&lt;=60,"31-60",IF(O499&lt;=90,"61-90","90+")))))</f>
        <v/>
      </c>
      <c r="Q499" s="66">
        <f>IF(T499&lt;&gt;"","⛔ "&amp;T499&amp;" — not posted",IF(U499&lt;&gt;"","⚠ "&amp;U499,IF(V499=1,"✓ OK","")))</f>
        <v/>
      </c>
      <c r="R499" s="67">
        <f>IF(AND(B499="",C499="",D499="",G499="",F499=""),1,0)</f>
        <v/>
      </c>
      <c r="S499" s="68">
        <f>IF(AND(TaxOn="Yes",ISNUMBER(H499)),H499,0)</f>
        <v/>
      </c>
      <c r="T499" s="67">
        <f>IF(R499=1,"",IF(B499="","Enter a bill #",IF(D499="","Select a vendor",IF(C499="","Missing bill date",IF(NOT(ISNUMBER(C499)),"Invalid date",IF(OR(C499&lt;DATE(2000,1,1),C499&gt;DATE(2099,12,31)),"Invalid date",IF(F499="","Select an expense account",IF(ISNA(MATCH(F499,coa_Name,0)),"Unknown account: "&amp;F499,IF(NOT(ISNUMBER(G499)),"Enter an amount",IF(G499&lt;=0,"Amount must be positive",IF(S499&gt;G499,"Tax is larger than the amount","")))))))))))</f>
        <v/>
      </c>
      <c r="U499" s="67">
        <f>IF(OR(R499=1,T499&lt;&gt;""),"",IF(COUNTIFS(ap_No,B499,ap_Party,D499)&gt;1,"Duplicate bill #",IF(N(L499)&lt;0,"Overpaid by "&amp;TEXT(-L499,"#,##0.00"),IF(AND(ISNUMBER(H499),N(H499)&lt;&gt;0,S499=0),"Tax ignored (tax tracking is off)",IF(AND(ISNUMBER(StartDate),C499&lt;StartDate),"Date is before the accounting start date",IF(OR(IFERROR(INDEX(coa_Type,MATCH(F499,coa_Name,0)),"")="Revenue",IFERROR(INDEX(coa_Type,MATCH(F499,coa_Name,0)),"")="Other Income",IFERROR(INDEX(coa_Type,MATCH(F499,coa_Name,0)),"")="Equity"),"Account is not an expense or asset account",""))))))</f>
        <v/>
      </c>
      <c r="V499" s="67">
        <f>IF(AND(R499=0,T499=""),1,0)</f>
        <v/>
      </c>
      <c r="W499" s="67">
        <f>IF(V499=1,F499,"")</f>
        <v/>
      </c>
      <c r="X499" s="67">
        <f>IF(V499=1,acctAP,"")</f>
        <v/>
      </c>
      <c r="Y499" s="68">
        <f>IF(V499=1,G499-S499,0)</f>
        <v/>
      </c>
      <c r="Z499" s="68">
        <f>IF(V499=1,G499,0)</f>
        <v/>
      </c>
      <c r="AA499" s="68">
        <f>IF(V499=1,S499,0)</f>
        <v/>
      </c>
    </row>
    <row r="500">
      <c r="B500" s="62" t="n"/>
      <c r="C500" s="63" t="n"/>
      <c r="D500" s="62" t="n"/>
      <c r="E500" s="62" t="n"/>
      <c r="F500" s="62" t="n"/>
      <c r="G500" s="64" t="n"/>
      <c r="H500" s="64" t="n"/>
      <c r="I500" s="63" t="n"/>
      <c r="J500" s="29">
        <f>IF(V500=1,IF(ISNUMBER(I500),I500,C500+IF(ISNUMBER(IFERROR(INDEX(vend_Terms,MATCH(D500,vend_Name,0)),"")),INDEX(vend_Terms,MATCH(D500,vend_Name,0)),TermsDays)),"")</f>
        <v/>
      </c>
      <c r="K500" s="65">
        <f>IF(V500=1,SUMIFS(tx_CrAmt,tx_Type,"Bill Payment",tx_Ref,B500&amp;"",tx_Vend,D500,tx_Date,"&lt;="&amp;AsOf),"")</f>
        <v/>
      </c>
      <c r="L500" s="65">
        <f>IF(V500=1,IF(C500&gt;AsOf,0,ROUND(G500-K500,2)),"")</f>
        <v/>
      </c>
      <c r="M500" s="66">
        <f>IF(V500&lt;&gt;1,"",IF(C500&gt;AsOf,"Future",IF(L500&lt;0,"Overpaid",IF(L500=0,"Paid",IF(AsOf&gt;J500,"Overdue",IF(K500&gt;0,"Partial","Unpaid"))))))</f>
        <v/>
      </c>
      <c r="N500" s="28">
        <f>IF(AND(V500=1,N(L500)&gt;0),AsOf-C500,"")</f>
        <v/>
      </c>
      <c r="O500" s="28">
        <f>IF(N500="","",MAX(0,AsOf-J500))</f>
        <v/>
      </c>
      <c r="P500" s="66">
        <f>IF(O500="","",IF(O500=0,"Current",IF(O500&lt;=30,"1-30",IF(O500&lt;=60,"31-60",IF(O500&lt;=90,"61-90","90+")))))</f>
        <v/>
      </c>
      <c r="Q500" s="66">
        <f>IF(T500&lt;&gt;"","⛔ "&amp;T500&amp;" — not posted",IF(U500&lt;&gt;"","⚠ "&amp;U500,IF(V500=1,"✓ OK","")))</f>
        <v/>
      </c>
      <c r="R500" s="67">
        <f>IF(AND(B500="",C500="",D500="",G500="",F500=""),1,0)</f>
        <v/>
      </c>
      <c r="S500" s="68">
        <f>IF(AND(TaxOn="Yes",ISNUMBER(H500)),H500,0)</f>
        <v/>
      </c>
      <c r="T500" s="67">
        <f>IF(R500=1,"",IF(B500="","Enter a bill #",IF(D500="","Select a vendor",IF(C500="","Missing bill date",IF(NOT(ISNUMBER(C500)),"Invalid date",IF(OR(C500&lt;DATE(2000,1,1),C500&gt;DATE(2099,12,31)),"Invalid date",IF(F500="","Select an expense account",IF(ISNA(MATCH(F500,coa_Name,0)),"Unknown account: "&amp;F500,IF(NOT(ISNUMBER(G500)),"Enter an amount",IF(G500&lt;=0,"Amount must be positive",IF(S500&gt;G500,"Tax is larger than the amount","")))))))))))</f>
        <v/>
      </c>
      <c r="U500" s="67">
        <f>IF(OR(R500=1,T500&lt;&gt;""),"",IF(COUNTIFS(ap_No,B500,ap_Party,D500)&gt;1,"Duplicate bill #",IF(N(L500)&lt;0,"Overpaid by "&amp;TEXT(-L500,"#,##0.00"),IF(AND(ISNUMBER(H500),N(H500)&lt;&gt;0,S500=0),"Tax ignored (tax tracking is off)",IF(AND(ISNUMBER(StartDate),C500&lt;StartDate),"Date is before the accounting start date",IF(OR(IFERROR(INDEX(coa_Type,MATCH(F500,coa_Name,0)),"")="Revenue",IFERROR(INDEX(coa_Type,MATCH(F500,coa_Name,0)),"")="Other Income",IFERROR(INDEX(coa_Type,MATCH(F500,coa_Name,0)),"")="Equity"),"Account is not an expense or asset account",""))))))</f>
        <v/>
      </c>
      <c r="V500" s="67">
        <f>IF(AND(R500=0,T500=""),1,0)</f>
        <v/>
      </c>
      <c r="W500" s="67">
        <f>IF(V500=1,F500,"")</f>
        <v/>
      </c>
      <c r="X500" s="67">
        <f>IF(V500=1,acctAP,"")</f>
        <v/>
      </c>
      <c r="Y500" s="68">
        <f>IF(V500=1,G500-S500,0)</f>
        <v/>
      </c>
      <c r="Z500" s="68">
        <f>IF(V500=1,G500,0)</f>
        <v/>
      </c>
      <c r="AA500" s="68">
        <f>IF(V500=1,S500,0)</f>
        <v/>
      </c>
    </row>
    <row r="501">
      <c r="B501" s="62" t="n"/>
      <c r="C501" s="63" t="n"/>
      <c r="D501" s="62" t="n"/>
      <c r="E501" s="62" t="n"/>
      <c r="F501" s="62" t="n"/>
      <c r="G501" s="64" t="n"/>
      <c r="H501" s="64" t="n"/>
      <c r="I501" s="63" t="n"/>
      <c r="J501" s="29">
        <f>IF(V501=1,IF(ISNUMBER(I501),I501,C501+IF(ISNUMBER(IFERROR(INDEX(vend_Terms,MATCH(D501,vend_Name,0)),"")),INDEX(vend_Terms,MATCH(D501,vend_Name,0)),TermsDays)),"")</f>
        <v/>
      </c>
      <c r="K501" s="65">
        <f>IF(V501=1,SUMIFS(tx_CrAmt,tx_Type,"Bill Payment",tx_Ref,B501&amp;"",tx_Vend,D501,tx_Date,"&lt;="&amp;AsOf),"")</f>
        <v/>
      </c>
      <c r="L501" s="65">
        <f>IF(V501=1,IF(C501&gt;AsOf,0,ROUND(G501-K501,2)),"")</f>
        <v/>
      </c>
      <c r="M501" s="66">
        <f>IF(V501&lt;&gt;1,"",IF(C501&gt;AsOf,"Future",IF(L501&lt;0,"Overpaid",IF(L501=0,"Paid",IF(AsOf&gt;J501,"Overdue",IF(K501&gt;0,"Partial","Unpaid"))))))</f>
        <v/>
      </c>
      <c r="N501" s="28">
        <f>IF(AND(V501=1,N(L501)&gt;0),AsOf-C501,"")</f>
        <v/>
      </c>
      <c r="O501" s="28">
        <f>IF(N501="","",MAX(0,AsOf-J501))</f>
        <v/>
      </c>
      <c r="P501" s="66">
        <f>IF(O501="","",IF(O501=0,"Current",IF(O501&lt;=30,"1-30",IF(O501&lt;=60,"31-60",IF(O501&lt;=90,"61-90","90+")))))</f>
        <v/>
      </c>
      <c r="Q501" s="66">
        <f>IF(T501&lt;&gt;"","⛔ "&amp;T501&amp;" — not posted",IF(U501&lt;&gt;"","⚠ "&amp;U501,IF(V501=1,"✓ OK","")))</f>
        <v/>
      </c>
      <c r="R501" s="67">
        <f>IF(AND(B501="",C501="",D501="",G501="",F501=""),1,0)</f>
        <v/>
      </c>
      <c r="S501" s="68">
        <f>IF(AND(TaxOn="Yes",ISNUMBER(H501)),H501,0)</f>
        <v/>
      </c>
      <c r="T501" s="67">
        <f>IF(R501=1,"",IF(B501="","Enter a bill #",IF(D501="","Select a vendor",IF(C501="","Missing bill date",IF(NOT(ISNUMBER(C501)),"Invalid date",IF(OR(C501&lt;DATE(2000,1,1),C501&gt;DATE(2099,12,31)),"Invalid date",IF(F501="","Select an expense account",IF(ISNA(MATCH(F501,coa_Name,0)),"Unknown account: "&amp;F501,IF(NOT(ISNUMBER(G501)),"Enter an amount",IF(G501&lt;=0,"Amount must be positive",IF(S501&gt;G501,"Tax is larger than the amount","")))))))))))</f>
        <v/>
      </c>
      <c r="U501" s="67">
        <f>IF(OR(R501=1,T501&lt;&gt;""),"",IF(COUNTIFS(ap_No,B501,ap_Party,D501)&gt;1,"Duplicate bill #",IF(N(L501)&lt;0,"Overpaid by "&amp;TEXT(-L501,"#,##0.00"),IF(AND(ISNUMBER(H501),N(H501)&lt;&gt;0,S501=0),"Tax ignored (tax tracking is off)",IF(AND(ISNUMBER(StartDate),C501&lt;StartDate),"Date is before the accounting start date",IF(OR(IFERROR(INDEX(coa_Type,MATCH(F501,coa_Name,0)),"")="Revenue",IFERROR(INDEX(coa_Type,MATCH(F501,coa_Name,0)),"")="Other Income",IFERROR(INDEX(coa_Type,MATCH(F501,coa_Name,0)),"")="Equity"),"Account is not an expense or asset account",""))))))</f>
        <v/>
      </c>
      <c r="V501" s="67">
        <f>IF(AND(R501=0,T501=""),1,0)</f>
        <v/>
      </c>
      <c r="W501" s="67">
        <f>IF(V501=1,F501,"")</f>
        <v/>
      </c>
      <c r="X501" s="67">
        <f>IF(V501=1,acctAP,"")</f>
        <v/>
      </c>
      <c r="Y501" s="68">
        <f>IF(V501=1,G501-S501,0)</f>
        <v/>
      </c>
      <c r="Z501" s="68">
        <f>IF(V501=1,G501,0)</f>
        <v/>
      </c>
      <c r="AA501" s="68">
        <f>IF(V501=1,S501,0)</f>
        <v/>
      </c>
    </row>
    <row r="502">
      <c r="B502" s="62" t="n"/>
      <c r="C502" s="63" t="n"/>
      <c r="D502" s="62" t="n"/>
      <c r="E502" s="62" t="n"/>
      <c r="F502" s="62" t="n"/>
      <c r="G502" s="64" t="n"/>
      <c r="H502" s="64" t="n"/>
      <c r="I502" s="63" t="n"/>
      <c r="J502" s="29">
        <f>IF(V502=1,IF(ISNUMBER(I502),I502,C502+IF(ISNUMBER(IFERROR(INDEX(vend_Terms,MATCH(D502,vend_Name,0)),"")),INDEX(vend_Terms,MATCH(D502,vend_Name,0)),TermsDays)),"")</f>
        <v/>
      </c>
      <c r="K502" s="65">
        <f>IF(V502=1,SUMIFS(tx_CrAmt,tx_Type,"Bill Payment",tx_Ref,B502&amp;"",tx_Vend,D502,tx_Date,"&lt;="&amp;AsOf),"")</f>
        <v/>
      </c>
      <c r="L502" s="65">
        <f>IF(V502=1,IF(C502&gt;AsOf,0,ROUND(G502-K502,2)),"")</f>
        <v/>
      </c>
      <c r="M502" s="66">
        <f>IF(V502&lt;&gt;1,"",IF(C502&gt;AsOf,"Future",IF(L502&lt;0,"Overpaid",IF(L502=0,"Paid",IF(AsOf&gt;J502,"Overdue",IF(K502&gt;0,"Partial","Unpaid"))))))</f>
        <v/>
      </c>
      <c r="N502" s="28">
        <f>IF(AND(V502=1,N(L502)&gt;0),AsOf-C502,"")</f>
        <v/>
      </c>
      <c r="O502" s="28">
        <f>IF(N502="","",MAX(0,AsOf-J502))</f>
        <v/>
      </c>
      <c r="P502" s="66">
        <f>IF(O502="","",IF(O502=0,"Current",IF(O502&lt;=30,"1-30",IF(O502&lt;=60,"31-60",IF(O502&lt;=90,"61-90","90+")))))</f>
        <v/>
      </c>
      <c r="Q502" s="66">
        <f>IF(T502&lt;&gt;"","⛔ "&amp;T502&amp;" — not posted",IF(U502&lt;&gt;"","⚠ "&amp;U502,IF(V502=1,"✓ OK","")))</f>
        <v/>
      </c>
      <c r="R502" s="67">
        <f>IF(AND(B502="",C502="",D502="",G502="",F502=""),1,0)</f>
        <v/>
      </c>
      <c r="S502" s="68">
        <f>IF(AND(TaxOn="Yes",ISNUMBER(H502)),H502,0)</f>
        <v/>
      </c>
      <c r="T502" s="67">
        <f>IF(R502=1,"",IF(B502="","Enter a bill #",IF(D502="","Select a vendor",IF(C502="","Missing bill date",IF(NOT(ISNUMBER(C502)),"Invalid date",IF(OR(C502&lt;DATE(2000,1,1),C502&gt;DATE(2099,12,31)),"Invalid date",IF(F502="","Select an expense account",IF(ISNA(MATCH(F502,coa_Name,0)),"Unknown account: "&amp;F502,IF(NOT(ISNUMBER(G502)),"Enter an amount",IF(G502&lt;=0,"Amount must be positive",IF(S502&gt;G502,"Tax is larger than the amount","")))))))))))</f>
        <v/>
      </c>
      <c r="U502" s="67">
        <f>IF(OR(R502=1,T502&lt;&gt;""),"",IF(COUNTIFS(ap_No,B502,ap_Party,D502)&gt;1,"Duplicate bill #",IF(N(L502)&lt;0,"Overpaid by "&amp;TEXT(-L502,"#,##0.00"),IF(AND(ISNUMBER(H502),N(H502)&lt;&gt;0,S502=0),"Tax ignored (tax tracking is off)",IF(AND(ISNUMBER(StartDate),C502&lt;StartDate),"Date is before the accounting start date",IF(OR(IFERROR(INDEX(coa_Type,MATCH(F502,coa_Name,0)),"")="Revenue",IFERROR(INDEX(coa_Type,MATCH(F502,coa_Name,0)),"")="Other Income",IFERROR(INDEX(coa_Type,MATCH(F502,coa_Name,0)),"")="Equity"),"Account is not an expense or asset account",""))))))</f>
        <v/>
      </c>
      <c r="V502" s="67">
        <f>IF(AND(R502=0,T502=""),1,0)</f>
        <v/>
      </c>
      <c r="W502" s="67">
        <f>IF(V502=1,F502,"")</f>
        <v/>
      </c>
      <c r="X502" s="67">
        <f>IF(V502=1,acctAP,"")</f>
        <v/>
      </c>
      <c r="Y502" s="68">
        <f>IF(V502=1,G502-S502,0)</f>
        <v/>
      </c>
      <c r="Z502" s="68">
        <f>IF(V502=1,G502,0)</f>
        <v/>
      </c>
      <c r="AA502" s="68">
        <f>IF(V502=1,S502,0)</f>
        <v/>
      </c>
    </row>
    <row r="503">
      <c r="B503" s="62" t="n"/>
      <c r="C503" s="63" t="n"/>
      <c r="D503" s="62" t="n"/>
      <c r="E503" s="62" t="n"/>
      <c r="F503" s="62" t="n"/>
      <c r="G503" s="64" t="n"/>
      <c r="H503" s="64" t="n"/>
      <c r="I503" s="63" t="n"/>
      <c r="J503" s="29">
        <f>IF(V503=1,IF(ISNUMBER(I503),I503,C503+IF(ISNUMBER(IFERROR(INDEX(vend_Terms,MATCH(D503,vend_Name,0)),"")),INDEX(vend_Terms,MATCH(D503,vend_Name,0)),TermsDays)),"")</f>
        <v/>
      </c>
      <c r="K503" s="65">
        <f>IF(V503=1,SUMIFS(tx_CrAmt,tx_Type,"Bill Payment",tx_Ref,B503&amp;"",tx_Vend,D503,tx_Date,"&lt;="&amp;AsOf),"")</f>
        <v/>
      </c>
      <c r="L503" s="65">
        <f>IF(V503=1,IF(C503&gt;AsOf,0,ROUND(G503-K503,2)),"")</f>
        <v/>
      </c>
      <c r="M503" s="66">
        <f>IF(V503&lt;&gt;1,"",IF(C503&gt;AsOf,"Future",IF(L503&lt;0,"Overpaid",IF(L503=0,"Paid",IF(AsOf&gt;J503,"Overdue",IF(K503&gt;0,"Partial","Unpaid"))))))</f>
        <v/>
      </c>
      <c r="N503" s="28">
        <f>IF(AND(V503=1,N(L503)&gt;0),AsOf-C503,"")</f>
        <v/>
      </c>
      <c r="O503" s="28">
        <f>IF(N503="","",MAX(0,AsOf-J503))</f>
        <v/>
      </c>
      <c r="P503" s="66">
        <f>IF(O503="","",IF(O503=0,"Current",IF(O503&lt;=30,"1-30",IF(O503&lt;=60,"31-60",IF(O503&lt;=90,"61-90","90+")))))</f>
        <v/>
      </c>
      <c r="Q503" s="66">
        <f>IF(T503&lt;&gt;"","⛔ "&amp;T503&amp;" — not posted",IF(U503&lt;&gt;"","⚠ "&amp;U503,IF(V503=1,"✓ OK","")))</f>
        <v/>
      </c>
      <c r="R503" s="67">
        <f>IF(AND(B503="",C503="",D503="",G503="",F503=""),1,0)</f>
        <v/>
      </c>
      <c r="S503" s="68">
        <f>IF(AND(TaxOn="Yes",ISNUMBER(H503)),H503,0)</f>
        <v/>
      </c>
      <c r="T503" s="67">
        <f>IF(R503=1,"",IF(B503="","Enter a bill #",IF(D503="","Select a vendor",IF(C503="","Missing bill date",IF(NOT(ISNUMBER(C503)),"Invalid date",IF(OR(C503&lt;DATE(2000,1,1),C503&gt;DATE(2099,12,31)),"Invalid date",IF(F503="","Select an expense account",IF(ISNA(MATCH(F503,coa_Name,0)),"Unknown account: "&amp;F503,IF(NOT(ISNUMBER(G503)),"Enter an amount",IF(G503&lt;=0,"Amount must be positive",IF(S503&gt;G503,"Tax is larger than the amount","")))))))))))</f>
        <v/>
      </c>
      <c r="U503" s="67">
        <f>IF(OR(R503=1,T503&lt;&gt;""),"",IF(COUNTIFS(ap_No,B503,ap_Party,D503)&gt;1,"Duplicate bill #",IF(N(L503)&lt;0,"Overpaid by "&amp;TEXT(-L503,"#,##0.00"),IF(AND(ISNUMBER(H503),N(H503)&lt;&gt;0,S503=0),"Tax ignored (tax tracking is off)",IF(AND(ISNUMBER(StartDate),C503&lt;StartDate),"Date is before the accounting start date",IF(OR(IFERROR(INDEX(coa_Type,MATCH(F503,coa_Name,0)),"")="Revenue",IFERROR(INDEX(coa_Type,MATCH(F503,coa_Name,0)),"")="Other Income",IFERROR(INDEX(coa_Type,MATCH(F503,coa_Name,0)),"")="Equity"),"Account is not an expense or asset account",""))))))</f>
        <v/>
      </c>
      <c r="V503" s="67">
        <f>IF(AND(R503=0,T503=""),1,0)</f>
        <v/>
      </c>
      <c r="W503" s="67">
        <f>IF(V503=1,F503,"")</f>
        <v/>
      </c>
      <c r="X503" s="67">
        <f>IF(V503=1,acctAP,"")</f>
        <v/>
      </c>
      <c r="Y503" s="68">
        <f>IF(V503=1,G503-S503,0)</f>
        <v/>
      </c>
      <c r="Z503" s="68">
        <f>IF(V503=1,G503,0)</f>
        <v/>
      </c>
      <c r="AA503" s="68">
        <f>IF(V503=1,S503,0)</f>
        <v/>
      </c>
    </row>
    <row r="504">
      <c r="B504" s="62" t="n"/>
      <c r="C504" s="63" t="n"/>
      <c r="D504" s="62" t="n"/>
      <c r="E504" s="62" t="n"/>
      <c r="F504" s="62" t="n"/>
      <c r="G504" s="64" t="n"/>
      <c r="H504" s="64" t="n"/>
      <c r="I504" s="63" t="n"/>
      <c r="J504" s="29">
        <f>IF(V504=1,IF(ISNUMBER(I504),I504,C504+IF(ISNUMBER(IFERROR(INDEX(vend_Terms,MATCH(D504,vend_Name,0)),"")),INDEX(vend_Terms,MATCH(D504,vend_Name,0)),TermsDays)),"")</f>
        <v/>
      </c>
      <c r="K504" s="65">
        <f>IF(V504=1,SUMIFS(tx_CrAmt,tx_Type,"Bill Payment",tx_Ref,B504&amp;"",tx_Vend,D504,tx_Date,"&lt;="&amp;AsOf),"")</f>
        <v/>
      </c>
      <c r="L504" s="65">
        <f>IF(V504=1,IF(C504&gt;AsOf,0,ROUND(G504-K504,2)),"")</f>
        <v/>
      </c>
      <c r="M504" s="66">
        <f>IF(V504&lt;&gt;1,"",IF(C504&gt;AsOf,"Future",IF(L504&lt;0,"Overpaid",IF(L504=0,"Paid",IF(AsOf&gt;J504,"Overdue",IF(K504&gt;0,"Partial","Unpaid"))))))</f>
        <v/>
      </c>
      <c r="N504" s="28">
        <f>IF(AND(V504=1,N(L504)&gt;0),AsOf-C504,"")</f>
        <v/>
      </c>
      <c r="O504" s="28">
        <f>IF(N504="","",MAX(0,AsOf-J504))</f>
        <v/>
      </c>
      <c r="P504" s="66">
        <f>IF(O504="","",IF(O504=0,"Current",IF(O504&lt;=30,"1-30",IF(O504&lt;=60,"31-60",IF(O504&lt;=90,"61-90","90+")))))</f>
        <v/>
      </c>
      <c r="Q504" s="66">
        <f>IF(T504&lt;&gt;"","⛔ "&amp;T504&amp;" — not posted",IF(U504&lt;&gt;"","⚠ "&amp;U504,IF(V504=1,"✓ OK","")))</f>
        <v/>
      </c>
      <c r="R504" s="67">
        <f>IF(AND(B504="",C504="",D504="",G504="",F504=""),1,0)</f>
        <v/>
      </c>
      <c r="S504" s="68">
        <f>IF(AND(TaxOn="Yes",ISNUMBER(H504)),H504,0)</f>
        <v/>
      </c>
      <c r="T504" s="67">
        <f>IF(R504=1,"",IF(B504="","Enter a bill #",IF(D504="","Select a vendor",IF(C504="","Missing bill date",IF(NOT(ISNUMBER(C504)),"Invalid date",IF(OR(C504&lt;DATE(2000,1,1),C504&gt;DATE(2099,12,31)),"Invalid date",IF(F504="","Select an expense account",IF(ISNA(MATCH(F504,coa_Name,0)),"Unknown account: "&amp;F504,IF(NOT(ISNUMBER(G504)),"Enter an amount",IF(G504&lt;=0,"Amount must be positive",IF(S504&gt;G504,"Tax is larger than the amount","")))))))))))</f>
        <v/>
      </c>
      <c r="U504" s="67">
        <f>IF(OR(R504=1,T504&lt;&gt;""),"",IF(COUNTIFS(ap_No,B504,ap_Party,D504)&gt;1,"Duplicate bill #",IF(N(L504)&lt;0,"Overpaid by "&amp;TEXT(-L504,"#,##0.00"),IF(AND(ISNUMBER(H504),N(H504)&lt;&gt;0,S504=0),"Tax ignored (tax tracking is off)",IF(AND(ISNUMBER(StartDate),C504&lt;StartDate),"Date is before the accounting start date",IF(OR(IFERROR(INDEX(coa_Type,MATCH(F504,coa_Name,0)),"")="Revenue",IFERROR(INDEX(coa_Type,MATCH(F504,coa_Name,0)),"")="Other Income",IFERROR(INDEX(coa_Type,MATCH(F504,coa_Name,0)),"")="Equity"),"Account is not an expense or asset account",""))))))</f>
        <v/>
      </c>
      <c r="V504" s="67">
        <f>IF(AND(R504=0,T504=""),1,0)</f>
        <v/>
      </c>
      <c r="W504" s="67">
        <f>IF(V504=1,F504,"")</f>
        <v/>
      </c>
      <c r="X504" s="67">
        <f>IF(V504=1,acctAP,"")</f>
        <v/>
      </c>
      <c r="Y504" s="68">
        <f>IF(V504=1,G504-S504,0)</f>
        <v/>
      </c>
      <c r="Z504" s="68">
        <f>IF(V504=1,G504,0)</f>
        <v/>
      </c>
      <c r="AA504" s="68">
        <f>IF(V504=1,S504,0)</f>
        <v/>
      </c>
    </row>
    <row r="505">
      <c r="B505" s="62" t="n"/>
      <c r="C505" s="63" t="n"/>
      <c r="D505" s="62" t="n"/>
      <c r="E505" s="62" t="n"/>
      <c r="F505" s="62" t="n"/>
      <c r="G505" s="64" t="n"/>
      <c r="H505" s="64" t="n"/>
      <c r="I505" s="63" t="n"/>
      <c r="J505" s="29">
        <f>IF(V505=1,IF(ISNUMBER(I505),I505,C505+IF(ISNUMBER(IFERROR(INDEX(vend_Terms,MATCH(D505,vend_Name,0)),"")),INDEX(vend_Terms,MATCH(D505,vend_Name,0)),TermsDays)),"")</f>
        <v/>
      </c>
      <c r="K505" s="65">
        <f>IF(V505=1,SUMIFS(tx_CrAmt,tx_Type,"Bill Payment",tx_Ref,B505&amp;"",tx_Vend,D505,tx_Date,"&lt;="&amp;AsOf),"")</f>
        <v/>
      </c>
      <c r="L505" s="65">
        <f>IF(V505=1,IF(C505&gt;AsOf,0,ROUND(G505-K505,2)),"")</f>
        <v/>
      </c>
      <c r="M505" s="66">
        <f>IF(V505&lt;&gt;1,"",IF(C505&gt;AsOf,"Future",IF(L505&lt;0,"Overpaid",IF(L505=0,"Paid",IF(AsOf&gt;J505,"Overdue",IF(K505&gt;0,"Partial","Unpaid"))))))</f>
        <v/>
      </c>
      <c r="N505" s="28">
        <f>IF(AND(V505=1,N(L505)&gt;0),AsOf-C505,"")</f>
        <v/>
      </c>
      <c r="O505" s="28">
        <f>IF(N505="","",MAX(0,AsOf-J505))</f>
        <v/>
      </c>
      <c r="P505" s="66">
        <f>IF(O505="","",IF(O505=0,"Current",IF(O505&lt;=30,"1-30",IF(O505&lt;=60,"31-60",IF(O505&lt;=90,"61-90","90+")))))</f>
        <v/>
      </c>
      <c r="Q505" s="66">
        <f>IF(T505&lt;&gt;"","⛔ "&amp;T505&amp;" — not posted",IF(U505&lt;&gt;"","⚠ "&amp;U505,IF(V505=1,"✓ OK","")))</f>
        <v/>
      </c>
      <c r="R505" s="67">
        <f>IF(AND(B505="",C505="",D505="",G505="",F505=""),1,0)</f>
        <v/>
      </c>
      <c r="S505" s="68">
        <f>IF(AND(TaxOn="Yes",ISNUMBER(H505)),H505,0)</f>
        <v/>
      </c>
      <c r="T505" s="67">
        <f>IF(R505=1,"",IF(B505="","Enter a bill #",IF(D505="","Select a vendor",IF(C505="","Missing bill date",IF(NOT(ISNUMBER(C505)),"Invalid date",IF(OR(C505&lt;DATE(2000,1,1),C505&gt;DATE(2099,12,31)),"Invalid date",IF(F505="","Select an expense account",IF(ISNA(MATCH(F505,coa_Name,0)),"Unknown account: "&amp;F505,IF(NOT(ISNUMBER(G505)),"Enter an amount",IF(G505&lt;=0,"Amount must be positive",IF(S505&gt;G505,"Tax is larger than the amount","")))))))))))</f>
        <v/>
      </c>
      <c r="U505" s="67">
        <f>IF(OR(R505=1,T505&lt;&gt;""),"",IF(COUNTIFS(ap_No,B505,ap_Party,D505)&gt;1,"Duplicate bill #",IF(N(L505)&lt;0,"Overpaid by "&amp;TEXT(-L505,"#,##0.00"),IF(AND(ISNUMBER(H505),N(H505)&lt;&gt;0,S505=0),"Tax ignored (tax tracking is off)",IF(AND(ISNUMBER(StartDate),C505&lt;StartDate),"Date is before the accounting start date",IF(OR(IFERROR(INDEX(coa_Type,MATCH(F505,coa_Name,0)),"")="Revenue",IFERROR(INDEX(coa_Type,MATCH(F505,coa_Name,0)),"")="Other Income",IFERROR(INDEX(coa_Type,MATCH(F505,coa_Name,0)),"")="Equity"),"Account is not an expense or asset account",""))))))</f>
        <v/>
      </c>
      <c r="V505" s="67">
        <f>IF(AND(R505=0,T505=""),1,0)</f>
        <v/>
      </c>
      <c r="W505" s="67">
        <f>IF(V505=1,F505,"")</f>
        <v/>
      </c>
      <c r="X505" s="67">
        <f>IF(V505=1,acctAP,"")</f>
        <v/>
      </c>
      <c r="Y505" s="68">
        <f>IF(V505=1,G505-S505,0)</f>
        <v/>
      </c>
      <c r="Z505" s="68">
        <f>IF(V505=1,G505,0)</f>
        <v/>
      </c>
      <c r="AA505" s="68">
        <f>IF(V505=1,S505,0)</f>
        <v/>
      </c>
    </row>
    <row r="506">
      <c r="B506" s="62" t="n"/>
      <c r="C506" s="63" t="n"/>
      <c r="D506" s="62" t="n"/>
      <c r="E506" s="62" t="n"/>
      <c r="F506" s="62" t="n"/>
      <c r="G506" s="64" t="n"/>
      <c r="H506" s="64" t="n"/>
      <c r="I506" s="63" t="n"/>
      <c r="J506" s="29">
        <f>IF(V506=1,IF(ISNUMBER(I506),I506,C506+IF(ISNUMBER(IFERROR(INDEX(vend_Terms,MATCH(D506,vend_Name,0)),"")),INDEX(vend_Terms,MATCH(D506,vend_Name,0)),TermsDays)),"")</f>
        <v/>
      </c>
      <c r="K506" s="65">
        <f>IF(V506=1,SUMIFS(tx_CrAmt,tx_Type,"Bill Payment",tx_Ref,B506&amp;"",tx_Vend,D506,tx_Date,"&lt;="&amp;AsOf),"")</f>
        <v/>
      </c>
      <c r="L506" s="65">
        <f>IF(V506=1,IF(C506&gt;AsOf,0,ROUND(G506-K506,2)),"")</f>
        <v/>
      </c>
      <c r="M506" s="66">
        <f>IF(V506&lt;&gt;1,"",IF(C506&gt;AsOf,"Future",IF(L506&lt;0,"Overpaid",IF(L506=0,"Paid",IF(AsOf&gt;J506,"Overdue",IF(K506&gt;0,"Partial","Unpaid"))))))</f>
        <v/>
      </c>
      <c r="N506" s="28">
        <f>IF(AND(V506=1,N(L506)&gt;0),AsOf-C506,"")</f>
        <v/>
      </c>
      <c r="O506" s="28">
        <f>IF(N506="","",MAX(0,AsOf-J506))</f>
        <v/>
      </c>
      <c r="P506" s="66">
        <f>IF(O506="","",IF(O506=0,"Current",IF(O506&lt;=30,"1-30",IF(O506&lt;=60,"31-60",IF(O506&lt;=90,"61-90","90+")))))</f>
        <v/>
      </c>
      <c r="Q506" s="66">
        <f>IF(T506&lt;&gt;"","⛔ "&amp;T506&amp;" — not posted",IF(U506&lt;&gt;"","⚠ "&amp;U506,IF(V506=1,"✓ OK","")))</f>
        <v/>
      </c>
      <c r="R506" s="67">
        <f>IF(AND(B506="",C506="",D506="",G506="",F506=""),1,0)</f>
        <v/>
      </c>
      <c r="S506" s="68">
        <f>IF(AND(TaxOn="Yes",ISNUMBER(H506)),H506,0)</f>
        <v/>
      </c>
      <c r="T506" s="67">
        <f>IF(R506=1,"",IF(B506="","Enter a bill #",IF(D506="","Select a vendor",IF(C506="","Missing bill date",IF(NOT(ISNUMBER(C506)),"Invalid date",IF(OR(C506&lt;DATE(2000,1,1),C506&gt;DATE(2099,12,31)),"Invalid date",IF(F506="","Select an expense account",IF(ISNA(MATCH(F506,coa_Name,0)),"Unknown account: "&amp;F506,IF(NOT(ISNUMBER(G506)),"Enter an amount",IF(G506&lt;=0,"Amount must be positive",IF(S506&gt;G506,"Tax is larger than the amount","")))))))))))</f>
        <v/>
      </c>
      <c r="U506" s="67">
        <f>IF(OR(R506=1,T506&lt;&gt;""),"",IF(COUNTIFS(ap_No,B506,ap_Party,D506)&gt;1,"Duplicate bill #",IF(N(L506)&lt;0,"Overpaid by "&amp;TEXT(-L506,"#,##0.00"),IF(AND(ISNUMBER(H506),N(H506)&lt;&gt;0,S506=0),"Tax ignored (tax tracking is off)",IF(AND(ISNUMBER(StartDate),C506&lt;StartDate),"Date is before the accounting start date",IF(OR(IFERROR(INDEX(coa_Type,MATCH(F506,coa_Name,0)),"")="Revenue",IFERROR(INDEX(coa_Type,MATCH(F506,coa_Name,0)),"")="Other Income",IFERROR(INDEX(coa_Type,MATCH(F506,coa_Name,0)),"")="Equity"),"Account is not an expense or asset account",""))))))</f>
        <v/>
      </c>
      <c r="V506" s="67">
        <f>IF(AND(R506=0,T506=""),1,0)</f>
        <v/>
      </c>
      <c r="W506" s="67">
        <f>IF(V506=1,F506,"")</f>
        <v/>
      </c>
      <c r="X506" s="67">
        <f>IF(V506=1,acctAP,"")</f>
        <v/>
      </c>
      <c r="Y506" s="68">
        <f>IF(V506=1,G506-S506,0)</f>
        <v/>
      </c>
      <c r="Z506" s="68">
        <f>IF(V506=1,G506,0)</f>
        <v/>
      </c>
      <c r="AA506" s="68">
        <f>IF(V506=1,S506,0)</f>
        <v/>
      </c>
    </row>
  </sheetData>
  <conditionalFormatting sqref="Q7:Q506">
    <cfRule type="expression" priority="1" dxfId="0">
      <formula>LEFT(Q7,1)="⛔"</formula>
    </cfRule>
    <cfRule type="expression" priority="2" dxfId="1">
      <formula>LEFT(Q7,1)="⚠"</formula>
    </cfRule>
    <cfRule type="expression" priority="3" dxfId="2">
      <formula>LEFT(Q7,1)="✓"</formula>
    </cfRule>
  </conditionalFormatting>
  <conditionalFormatting sqref="M7:M506">
    <cfRule type="expression" priority="4" dxfId="3">
      <formula>M7="Overdue"</formula>
    </cfRule>
    <cfRule type="expression" priority="5" dxfId="2">
      <formula>M7="Paid"</formula>
    </cfRule>
  </conditionalFormatting>
  <dataValidations count="6">
    <dataValidation sqref="C7:C506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I7:I506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  <dataValidation sqref="D7:D506" showDropDown="0" showInputMessage="0" showErrorMessage="1" allowBlank="1" errorTitle="Please pick from the list" error="This value is not in the list. Add it to its master list first, or press Yes to keep it." type="list" errorStyle="warning">
      <formula1>=vend_Name</formula1>
    </dataValidation>
    <dataValidation sqref="F7:F506" showDropDown="0" showInputMessage="0" showErrorMessage="1" allowBlank="1" errorTitle="Please pick from the list" error="This value is not in the list. Add it to its master list first, or press Yes to keep it." type="list" errorStyle="warning">
      <formula1>=lstAccounts</formula1>
    </dataValidation>
    <dataValidation sqref="G7:G506" showDropDown="0" showInputMessage="0" showErrorMessage="1" allowBlank="1" errorTitle="Numbers only" error="Enter a number without currency symbols." type="decimal" errorStyle="stop" operator="between">
      <formula1>-1E+12</formula1>
      <formula2>1E+12</formula2>
    </dataValidation>
    <dataValidation sqref="H7:H506" showDropDown="0" showInputMessage="0" showErrorMessage="1" allowBlank="1" errorTitle="Numbers only" error="Enter a number without currency symbols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26" customWidth="1" min="4" max="4"/>
    <col width="16" customWidth="1" min="5" max="5"/>
    <col width="30" customWidth="1" min="6" max="6"/>
    <col width="12" customWidth="1" min="7" max="7"/>
    <col width="26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hidden="1" outlineLevel="1" width="8" customWidth="1" min="14" max="14"/>
  </cols>
  <sheetData>
    <row r="1" ht="26" customHeight="1">
      <c r="B1" s="19" t="inlineStr">
        <is>
          <t>Customers</t>
        </is>
      </c>
    </row>
    <row r="2">
      <c r="B2" s="20" t="inlineStr">
        <is>
          <t>Add each customer once; then pick them from dropdowns. Balances are as of the report date.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I5" s="31" t="inlineStr">
        <is>
          <t>▼ AUTOMATIC  (grey columns — calculated, do not type)</t>
        </is>
      </c>
    </row>
    <row r="6" ht="30" customHeight="1">
      <c r="B6" s="7" t="inlineStr">
        <is>
          <t>Customer Name</t>
        </is>
      </c>
      <c r="C6" s="7" t="inlineStr">
        <is>
          <t>Contact Person</t>
        </is>
      </c>
      <c r="D6" s="7" t="inlineStr">
        <is>
          <t>Email</t>
        </is>
      </c>
      <c r="E6" s="7" t="inlineStr">
        <is>
          <t>Phone</t>
        </is>
      </c>
      <c r="F6" s="7" t="inlineStr">
        <is>
          <t>Address</t>
        </is>
      </c>
      <c r="G6" s="7" t="inlineStr">
        <is>
          <t>Payment Terms (days)</t>
        </is>
      </c>
      <c r="H6" s="7" t="inlineStr">
        <is>
          <t>Notes</t>
        </is>
      </c>
      <c r="I6" s="61" t="inlineStr">
        <is>
          <t>Total Invoiced</t>
        </is>
      </c>
      <c r="J6" s="61" t="inlineStr">
        <is>
          <t>Paid</t>
        </is>
      </c>
      <c r="K6" s="61" t="inlineStr">
        <is>
          <t>Outstanding</t>
        </is>
      </c>
      <c r="L6" s="61" t="inlineStr">
        <is>
          <t>Overdue</t>
        </is>
      </c>
      <c r="M6" s="61" t="inlineStr">
        <is>
          <t>Check</t>
        </is>
      </c>
      <c r="N6" s="61" t="inlineStr">
        <is>
          <t>Rank key</t>
        </is>
      </c>
    </row>
    <row r="7">
      <c r="B7" s="62" t="inlineStr">
        <is>
          <t>Brightpath Academy</t>
        </is>
      </c>
      <c r="C7" s="62" t="inlineStr">
        <is>
          <t>Ana Reyes</t>
        </is>
      </c>
      <c r="D7" s="62" t="inlineStr">
        <is>
          <t>admin@brightpath.example</t>
        </is>
      </c>
      <c r="E7" s="62" t="inlineStr">
        <is>
          <t>0917 555 0101</t>
        </is>
      </c>
      <c r="F7" s="62" t="n"/>
      <c r="G7" s="69" t="n">
        <v>30</v>
      </c>
      <c r="H7" s="62" t="n"/>
      <c r="I7" s="65">
        <f>IF(B7="","",SUMIFS(ar_Amount,ar_Party,B7,ar_Posted,1,ar_Date,"&lt;="&amp;AsOf))</f>
        <v/>
      </c>
      <c r="J7" s="65">
        <f>IF(B7="","",SUMIFS(ar_Paid,ar_Party,B7))</f>
        <v/>
      </c>
      <c r="K7" s="65">
        <f>IF(B7="","",SUMIFS(ar_Balance,ar_Party,B7))</f>
        <v/>
      </c>
      <c r="L7" s="65">
        <f>IF(B7="","",SUMIFS(ar_Balance,ar_Party,B7,ar_Status,"Overdue"))</f>
        <v/>
      </c>
      <c r="M7" s="66">
        <f>IF(B7="","",IF(COUNTIF(cust_Name,B7)&gt;1,"⚠ Duplicate name","✓ OK"))</f>
        <v/>
      </c>
      <c r="N7" s="67">
        <f>IF(AND(B7&lt;&gt;"",N(K7)&gt;0),K7+1/1000000,"")</f>
        <v/>
      </c>
    </row>
    <row r="8">
      <c r="B8" s="62" t="inlineStr">
        <is>
          <t>Northwind Offices</t>
        </is>
      </c>
      <c r="C8" s="62" t="inlineStr">
        <is>
          <t>Carlo Dizon</t>
        </is>
      </c>
      <c r="D8" s="62" t="inlineStr">
        <is>
          <t>events@northwind.example</t>
        </is>
      </c>
      <c r="E8" s="62" t="inlineStr">
        <is>
          <t>0917 555 0102</t>
        </is>
      </c>
      <c r="F8" s="62" t="n"/>
      <c r="G8" s="69" t="n">
        <v>15</v>
      </c>
      <c r="H8" s="62" t="n"/>
      <c r="I8" s="65">
        <f>IF(B8="","",SUMIFS(ar_Amount,ar_Party,B8,ar_Posted,1,ar_Date,"&lt;="&amp;AsOf))</f>
        <v/>
      </c>
      <c r="J8" s="65">
        <f>IF(B8="","",SUMIFS(ar_Paid,ar_Party,B8))</f>
        <v/>
      </c>
      <c r="K8" s="65">
        <f>IF(B8="","",SUMIFS(ar_Balance,ar_Party,B8))</f>
        <v/>
      </c>
      <c r="L8" s="65">
        <f>IF(B8="","",SUMIFS(ar_Balance,ar_Party,B8,ar_Status,"Overdue"))</f>
        <v/>
      </c>
      <c r="M8" s="66">
        <f>IF(B8="","",IF(COUNTIF(cust_Name,B8)&gt;1,"⚠ Duplicate name","✓ OK"))</f>
        <v/>
      </c>
      <c r="N8" s="67">
        <f>IF(AND(B8&lt;&gt;"",N(K8)&gt;0),K8+2/1000000,"")</f>
        <v/>
      </c>
    </row>
    <row r="9">
      <c r="B9" s="62" t="inlineStr">
        <is>
          <t>Casa Verde Events</t>
        </is>
      </c>
      <c r="C9" s="62" t="inlineStr">
        <is>
          <t>Bea Lim</t>
        </is>
      </c>
      <c r="D9" s="62" t="inlineStr">
        <is>
          <t>bea@casaverde.example</t>
        </is>
      </c>
      <c r="E9" s="62" t="inlineStr">
        <is>
          <t>0917 555 0103</t>
        </is>
      </c>
      <c r="F9" s="62" t="n"/>
      <c r="G9" s="69" t="n">
        <v>30</v>
      </c>
      <c r="H9" s="62" t="n"/>
      <c r="I9" s="65">
        <f>IF(B9="","",SUMIFS(ar_Amount,ar_Party,B9,ar_Posted,1,ar_Date,"&lt;="&amp;AsOf))</f>
        <v/>
      </c>
      <c r="J9" s="65">
        <f>IF(B9="","",SUMIFS(ar_Paid,ar_Party,B9))</f>
        <v/>
      </c>
      <c r="K9" s="65">
        <f>IF(B9="","",SUMIFS(ar_Balance,ar_Party,B9))</f>
        <v/>
      </c>
      <c r="L9" s="65">
        <f>IF(B9="","",SUMIFS(ar_Balance,ar_Party,B9,ar_Status,"Overdue"))</f>
        <v/>
      </c>
      <c r="M9" s="66">
        <f>IF(B9="","",IF(COUNTIF(cust_Name,B9)&gt;1,"⚠ Duplicate name","✓ OK"))</f>
        <v/>
      </c>
      <c r="N9" s="67">
        <f>IF(AND(B9&lt;&gt;"",N(K9)&gt;0),K9+3/1000000,"")</f>
        <v/>
      </c>
    </row>
    <row r="10">
      <c r="B10" s="62" t="inlineStr">
        <is>
          <t>Luntian Coworking</t>
        </is>
      </c>
      <c r="C10" s="62" t="inlineStr">
        <is>
          <t>Paolo Cruz</t>
        </is>
      </c>
      <c r="D10" s="62" t="inlineStr">
        <is>
          <t>ops@luntian.example</t>
        </is>
      </c>
      <c r="E10" s="62" t="inlineStr">
        <is>
          <t>0917 555 0104</t>
        </is>
      </c>
      <c r="F10" s="62" t="n"/>
      <c r="G10" s="69" t="n">
        <v>15</v>
      </c>
      <c r="H10" s="62" t="n"/>
      <c r="I10" s="65">
        <f>IF(B10="","",SUMIFS(ar_Amount,ar_Party,B10,ar_Posted,1,ar_Date,"&lt;="&amp;AsOf))</f>
        <v/>
      </c>
      <c r="J10" s="65">
        <f>IF(B10="","",SUMIFS(ar_Paid,ar_Party,B10))</f>
        <v/>
      </c>
      <c r="K10" s="65">
        <f>IF(B10="","",SUMIFS(ar_Balance,ar_Party,B10))</f>
        <v/>
      </c>
      <c r="L10" s="65">
        <f>IF(B10="","",SUMIFS(ar_Balance,ar_Party,B10,ar_Status,"Overdue"))</f>
        <v/>
      </c>
      <c r="M10" s="66">
        <f>IF(B10="","",IF(COUNTIF(cust_Name,B10)&gt;1,"⚠ Duplicate name","✓ OK"))</f>
        <v/>
      </c>
      <c r="N10" s="67">
        <f>IF(AND(B10&lt;&gt;"",N(K10)&gt;0),K10+4/1000000,"")</f>
        <v/>
      </c>
    </row>
    <row r="11">
      <c r="B11" s="62" t="inlineStr">
        <is>
          <t>St. Jude Clinic</t>
        </is>
      </c>
      <c r="C11" s="62" t="inlineStr">
        <is>
          <t>Dr. Rosa Tan</t>
        </is>
      </c>
      <c r="D11" s="62" t="inlineStr">
        <is>
          <t>office@stjude.example</t>
        </is>
      </c>
      <c r="E11" s="62" t="inlineStr">
        <is>
          <t>0917 555 0105</t>
        </is>
      </c>
      <c r="F11" s="62" t="n"/>
      <c r="G11" s="69" t="n">
        <v>30</v>
      </c>
      <c r="H11" s="62" t="n"/>
      <c r="I11" s="65">
        <f>IF(B11="","",SUMIFS(ar_Amount,ar_Party,B11,ar_Posted,1,ar_Date,"&lt;="&amp;AsOf))</f>
        <v/>
      </c>
      <c r="J11" s="65">
        <f>IF(B11="","",SUMIFS(ar_Paid,ar_Party,B11))</f>
        <v/>
      </c>
      <c r="K11" s="65">
        <f>IF(B11="","",SUMIFS(ar_Balance,ar_Party,B11))</f>
        <v/>
      </c>
      <c r="L11" s="65">
        <f>IF(B11="","",SUMIFS(ar_Balance,ar_Party,B11,ar_Status,"Overdue"))</f>
        <v/>
      </c>
      <c r="M11" s="66">
        <f>IF(B11="","",IF(COUNTIF(cust_Name,B11)&gt;1,"⚠ Duplicate name","✓ OK"))</f>
        <v/>
      </c>
      <c r="N11" s="67">
        <f>IF(AND(B11&lt;&gt;"",N(K11)&gt;0),K11+5/1000000,"")</f>
        <v/>
      </c>
    </row>
    <row r="12">
      <c r="B12" s="62" t="n"/>
      <c r="C12" s="62" t="n"/>
      <c r="D12" s="62" t="n"/>
      <c r="E12" s="62" t="n"/>
      <c r="F12" s="62" t="n"/>
      <c r="G12" s="69" t="n"/>
      <c r="H12" s="62" t="n"/>
      <c r="I12" s="65">
        <f>IF(B12="","",SUMIFS(ar_Amount,ar_Party,B12,ar_Posted,1,ar_Date,"&lt;="&amp;AsOf))</f>
        <v/>
      </c>
      <c r="J12" s="65">
        <f>IF(B12="","",SUMIFS(ar_Paid,ar_Party,B12))</f>
        <v/>
      </c>
      <c r="K12" s="65">
        <f>IF(B12="","",SUMIFS(ar_Balance,ar_Party,B12))</f>
        <v/>
      </c>
      <c r="L12" s="65">
        <f>IF(B12="","",SUMIFS(ar_Balance,ar_Party,B12,ar_Status,"Overdue"))</f>
        <v/>
      </c>
      <c r="M12" s="66">
        <f>IF(B12="","",IF(COUNTIF(cust_Name,B12)&gt;1,"⚠ Duplicate name","✓ OK"))</f>
        <v/>
      </c>
      <c r="N12" s="67">
        <f>IF(AND(B12&lt;&gt;"",N(K12)&gt;0),K12+6/1000000,"")</f>
        <v/>
      </c>
    </row>
    <row r="13">
      <c r="B13" s="62" t="n"/>
      <c r="C13" s="62" t="n"/>
      <c r="D13" s="62" t="n"/>
      <c r="E13" s="62" t="n"/>
      <c r="F13" s="62" t="n"/>
      <c r="G13" s="69" t="n"/>
      <c r="H13" s="62" t="n"/>
      <c r="I13" s="65">
        <f>IF(B13="","",SUMIFS(ar_Amount,ar_Party,B13,ar_Posted,1,ar_Date,"&lt;="&amp;AsOf))</f>
        <v/>
      </c>
      <c r="J13" s="65">
        <f>IF(B13="","",SUMIFS(ar_Paid,ar_Party,B13))</f>
        <v/>
      </c>
      <c r="K13" s="65">
        <f>IF(B13="","",SUMIFS(ar_Balance,ar_Party,B13))</f>
        <v/>
      </c>
      <c r="L13" s="65">
        <f>IF(B13="","",SUMIFS(ar_Balance,ar_Party,B13,ar_Status,"Overdue"))</f>
        <v/>
      </c>
      <c r="M13" s="66">
        <f>IF(B13="","",IF(COUNTIF(cust_Name,B13)&gt;1,"⚠ Duplicate name","✓ OK"))</f>
        <v/>
      </c>
      <c r="N13" s="67">
        <f>IF(AND(B13&lt;&gt;"",N(K13)&gt;0),K13+7/1000000,"")</f>
        <v/>
      </c>
    </row>
    <row r="14">
      <c r="B14" s="62" t="n"/>
      <c r="C14" s="62" t="n"/>
      <c r="D14" s="62" t="n"/>
      <c r="E14" s="62" t="n"/>
      <c r="F14" s="62" t="n"/>
      <c r="G14" s="69" t="n"/>
      <c r="H14" s="62" t="n"/>
      <c r="I14" s="65">
        <f>IF(B14="","",SUMIFS(ar_Amount,ar_Party,B14,ar_Posted,1,ar_Date,"&lt;="&amp;AsOf))</f>
        <v/>
      </c>
      <c r="J14" s="65">
        <f>IF(B14="","",SUMIFS(ar_Paid,ar_Party,B14))</f>
        <v/>
      </c>
      <c r="K14" s="65">
        <f>IF(B14="","",SUMIFS(ar_Balance,ar_Party,B14))</f>
        <v/>
      </c>
      <c r="L14" s="65">
        <f>IF(B14="","",SUMIFS(ar_Balance,ar_Party,B14,ar_Status,"Overdue"))</f>
        <v/>
      </c>
      <c r="M14" s="66">
        <f>IF(B14="","",IF(COUNTIF(cust_Name,B14)&gt;1,"⚠ Duplicate name","✓ OK"))</f>
        <v/>
      </c>
      <c r="N14" s="67">
        <f>IF(AND(B14&lt;&gt;"",N(K14)&gt;0),K14+8/1000000,"")</f>
        <v/>
      </c>
    </row>
    <row r="15">
      <c r="B15" s="62" t="n"/>
      <c r="C15" s="62" t="n"/>
      <c r="D15" s="62" t="n"/>
      <c r="E15" s="62" t="n"/>
      <c r="F15" s="62" t="n"/>
      <c r="G15" s="69" t="n"/>
      <c r="H15" s="62" t="n"/>
      <c r="I15" s="65">
        <f>IF(B15="","",SUMIFS(ar_Amount,ar_Party,B15,ar_Posted,1,ar_Date,"&lt;="&amp;AsOf))</f>
        <v/>
      </c>
      <c r="J15" s="65">
        <f>IF(B15="","",SUMIFS(ar_Paid,ar_Party,B15))</f>
        <v/>
      </c>
      <c r="K15" s="65">
        <f>IF(B15="","",SUMIFS(ar_Balance,ar_Party,B15))</f>
        <v/>
      </c>
      <c r="L15" s="65">
        <f>IF(B15="","",SUMIFS(ar_Balance,ar_Party,B15,ar_Status,"Overdue"))</f>
        <v/>
      </c>
      <c r="M15" s="66">
        <f>IF(B15="","",IF(COUNTIF(cust_Name,B15)&gt;1,"⚠ Duplicate name","✓ OK"))</f>
        <v/>
      </c>
      <c r="N15" s="67">
        <f>IF(AND(B15&lt;&gt;"",N(K15)&gt;0),K15+9/1000000,"")</f>
        <v/>
      </c>
    </row>
    <row r="16">
      <c r="B16" s="62" t="n"/>
      <c r="C16" s="62" t="n"/>
      <c r="D16" s="62" t="n"/>
      <c r="E16" s="62" t="n"/>
      <c r="F16" s="62" t="n"/>
      <c r="G16" s="69" t="n"/>
      <c r="H16" s="62" t="n"/>
      <c r="I16" s="65">
        <f>IF(B16="","",SUMIFS(ar_Amount,ar_Party,B16,ar_Posted,1,ar_Date,"&lt;="&amp;AsOf))</f>
        <v/>
      </c>
      <c r="J16" s="65">
        <f>IF(B16="","",SUMIFS(ar_Paid,ar_Party,B16))</f>
        <v/>
      </c>
      <c r="K16" s="65">
        <f>IF(B16="","",SUMIFS(ar_Balance,ar_Party,B16))</f>
        <v/>
      </c>
      <c r="L16" s="65">
        <f>IF(B16="","",SUMIFS(ar_Balance,ar_Party,B16,ar_Status,"Overdue"))</f>
        <v/>
      </c>
      <c r="M16" s="66">
        <f>IF(B16="","",IF(COUNTIF(cust_Name,B16)&gt;1,"⚠ Duplicate name","✓ OK"))</f>
        <v/>
      </c>
      <c r="N16" s="67">
        <f>IF(AND(B16&lt;&gt;"",N(K16)&gt;0),K16+10/1000000,"")</f>
        <v/>
      </c>
    </row>
    <row r="17">
      <c r="B17" s="62" t="n"/>
      <c r="C17" s="62" t="n"/>
      <c r="D17" s="62" t="n"/>
      <c r="E17" s="62" t="n"/>
      <c r="F17" s="62" t="n"/>
      <c r="G17" s="69" t="n"/>
      <c r="H17" s="62" t="n"/>
      <c r="I17" s="65">
        <f>IF(B17="","",SUMIFS(ar_Amount,ar_Party,B17,ar_Posted,1,ar_Date,"&lt;="&amp;AsOf))</f>
        <v/>
      </c>
      <c r="J17" s="65">
        <f>IF(B17="","",SUMIFS(ar_Paid,ar_Party,B17))</f>
        <v/>
      </c>
      <c r="K17" s="65">
        <f>IF(B17="","",SUMIFS(ar_Balance,ar_Party,B17))</f>
        <v/>
      </c>
      <c r="L17" s="65">
        <f>IF(B17="","",SUMIFS(ar_Balance,ar_Party,B17,ar_Status,"Overdue"))</f>
        <v/>
      </c>
      <c r="M17" s="66">
        <f>IF(B17="","",IF(COUNTIF(cust_Name,B17)&gt;1,"⚠ Duplicate name","✓ OK"))</f>
        <v/>
      </c>
      <c r="N17" s="67">
        <f>IF(AND(B17&lt;&gt;"",N(K17)&gt;0),K17+11/1000000,"")</f>
        <v/>
      </c>
    </row>
    <row r="18">
      <c r="B18" s="62" t="n"/>
      <c r="C18" s="62" t="n"/>
      <c r="D18" s="62" t="n"/>
      <c r="E18" s="62" t="n"/>
      <c r="F18" s="62" t="n"/>
      <c r="G18" s="69" t="n"/>
      <c r="H18" s="62" t="n"/>
      <c r="I18" s="65">
        <f>IF(B18="","",SUMIFS(ar_Amount,ar_Party,B18,ar_Posted,1,ar_Date,"&lt;="&amp;AsOf))</f>
        <v/>
      </c>
      <c r="J18" s="65">
        <f>IF(B18="","",SUMIFS(ar_Paid,ar_Party,B18))</f>
        <v/>
      </c>
      <c r="K18" s="65">
        <f>IF(B18="","",SUMIFS(ar_Balance,ar_Party,B18))</f>
        <v/>
      </c>
      <c r="L18" s="65">
        <f>IF(B18="","",SUMIFS(ar_Balance,ar_Party,B18,ar_Status,"Overdue"))</f>
        <v/>
      </c>
      <c r="M18" s="66">
        <f>IF(B18="","",IF(COUNTIF(cust_Name,B18)&gt;1,"⚠ Duplicate name","✓ OK"))</f>
        <v/>
      </c>
      <c r="N18" s="67">
        <f>IF(AND(B18&lt;&gt;"",N(K18)&gt;0),K18+12/1000000,"")</f>
        <v/>
      </c>
    </row>
    <row r="19">
      <c r="B19" s="62" t="n"/>
      <c r="C19" s="62" t="n"/>
      <c r="D19" s="62" t="n"/>
      <c r="E19" s="62" t="n"/>
      <c r="F19" s="62" t="n"/>
      <c r="G19" s="69" t="n"/>
      <c r="H19" s="62" t="n"/>
      <c r="I19" s="65">
        <f>IF(B19="","",SUMIFS(ar_Amount,ar_Party,B19,ar_Posted,1,ar_Date,"&lt;="&amp;AsOf))</f>
        <v/>
      </c>
      <c r="J19" s="65">
        <f>IF(B19="","",SUMIFS(ar_Paid,ar_Party,B19))</f>
        <v/>
      </c>
      <c r="K19" s="65">
        <f>IF(B19="","",SUMIFS(ar_Balance,ar_Party,B19))</f>
        <v/>
      </c>
      <c r="L19" s="65">
        <f>IF(B19="","",SUMIFS(ar_Balance,ar_Party,B19,ar_Status,"Overdue"))</f>
        <v/>
      </c>
      <c r="M19" s="66">
        <f>IF(B19="","",IF(COUNTIF(cust_Name,B19)&gt;1,"⚠ Duplicate name","✓ OK"))</f>
        <v/>
      </c>
      <c r="N19" s="67">
        <f>IF(AND(B19&lt;&gt;"",N(K19)&gt;0),K19+13/1000000,"")</f>
        <v/>
      </c>
    </row>
    <row r="20">
      <c r="B20" s="62" t="n"/>
      <c r="C20" s="62" t="n"/>
      <c r="D20" s="62" t="n"/>
      <c r="E20" s="62" t="n"/>
      <c r="F20" s="62" t="n"/>
      <c r="G20" s="69" t="n"/>
      <c r="H20" s="62" t="n"/>
      <c r="I20" s="65">
        <f>IF(B20="","",SUMIFS(ar_Amount,ar_Party,B20,ar_Posted,1,ar_Date,"&lt;="&amp;AsOf))</f>
        <v/>
      </c>
      <c r="J20" s="65">
        <f>IF(B20="","",SUMIFS(ar_Paid,ar_Party,B20))</f>
        <v/>
      </c>
      <c r="K20" s="65">
        <f>IF(B20="","",SUMIFS(ar_Balance,ar_Party,B20))</f>
        <v/>
      </c>
      <c r="L20" s="65">
        <f>IF(B20="","",SUMIFS(ar_Balance,ar_Party,B20,ar_Status,"Overdue"))</f>
        <v/>
      </c>
      <c r="M20" s="66">
        <f>IF(B20="","",IF(COUNTIF(cust_Name,B20)&gt;1,"⚠ Duplicate name","✓ OK"))</f>
        <v/>
      </c>
      <c r="N20" s="67">
        <f>IF(AND(B20&lt;&gt;"",N(K20)&gt;0),K20+14/1000000,"")</f>
        <v/>
      </c>
    </row>
    <row r="21">
      <c r="B21" s="62" t="n"/>
      <c r="C21" s="62" t="n"/>
      <c r="D21" s="62" t="n"/>
      <c r="E21" s="62" t="n"/>
      <c r="F21" s="62" t="n"/>
      <c r="G21" s="69" t="n"/>
      <c r="H21" s="62" t="n"/>
      <c r="I21" s="65">
        <f>IF(B21="","",SUMIFS(ar_Amount,ar_Party,B21,ar_Posted,1,ar_Date,"&lt;="&amp;AsOf))</f>
        <v/>
      </c>
      <c r="J21" s="65">
        <f>IF(B21="","",SUMIFS(ar_Paid,ar_Party,B21))</f>
        <v/>
      </c>
      <c r="K21" s="65">
        <f>IF(B21="","",SUMIFS(ar_Balance,ar_Party,B21))</f>
        <v/>
      </c>
      <c r="L21" s="65">
        <f>IF(B21="","",SUMIFS(ar_Balance,ar_Party,B21,ar_Status,"Overdue"))</f>
        <v/>
      </c>
      <c r="M21" s="66">
        <f>IF(B21="","",IF(COUNTIF(cust_Name,B21)&gt;1,"⚠ Duplicate name","✓ OK"))</f>
        <v/>
      </c>
      <c r="N21" s="67">
        <f>IF(AND(B21&lt;&gt;"",N(K21)&gt;0),K21+15/1000000,"")</f>
        <v/>
      </c>
    </row>
    <row r="22">
      <c r="B22" s="62" t="n"/>
      <c r="C22" s="62" t="n"/>
      <c r="D22" s="62" t="n"/>
      <c r="E22" s="62" t="n"/>
      <c r="F22" s="62" t="n"/>
      <c r="G22" s="69" t="n"/>
      <c r="H22" s="62" t="n"/>
      <c r="I22" s="65">
        <f>IF(B22="","",SUMIFS(ar_Amount,ar_Party,B22,ar_Posted,1,ar_Date,"&lt;="&amp;AsOf))</f>
        <v/>
      </c>
      <c r="J22" s="65">
        <f>IF(B22="","",SUMIFS(ar_Paid,ar_Party,B22))</f>
        <v/>
      </c>
      <c r="K22" s="65">
        <f>IF(B22="","",SUMIFS(ar_Balance,ar_Party,B22))</f>
        <v/>
      </c>
      <c r="L22" s="65">
        <f>IF(B22="","",SUMIFS(ar_Balance,ar_Party,B22,ar_Status,"Overdue"))</f>
        <v/>
      </c>
      <c r="M22" s="66">
        <f>IF(B22="","",IF(COUNTIF(cust_Name,B22)&gt;1,"⚠ Duplicate name","✓ OK"))</f>
        <v/>
      </c>
      <c r="N22" s="67">
        <f>IF(AND(B22&lt;&gt;"",N(K22)&gt;0),K22+16/1000000,"")</f>
        <v/>
      </c>
    </row>
    <row r="23">
      <c r="B23" s="62" t="n"/>
      <c r="C23" s="62" t="n"/>
      <c r="D23" s="62" t="n"/>
      <c r="E23" s="62" t="n"/>
      <c r="F23" s="62" t="n"/>
      <c r="G23" s="69" t="n"/>
      <c r="H23" s="62" t="n"/>
      <c r="I23" s="65">
        <f>IF(B23="","",SUMIFS(ar_Amount,ar_Party,B23,ar_Posted,1,ar_Date,"&lt;="&amp;AsOf))</f>
        <v/>
      </c>
      <c r="J23" s="65">
        <f>IF(B23="","",SUMIFS(ar_Paid,ar_Party,B23))</f>
        <v/>
      </c>
      <c r="K23" s="65">
        <f>IF(B23="","",SUMIFS(ar_Balance,ar_Party,B23))</f>
        <v/>
      </c>
      <c r="L23" s="65">
        <f>IF(B23="","",SUMIFS(ar_Balance,ar_Party,B23,ar_Status,"Overdue"))</f>
        <v/>
      </c>
      <c r="M23" s="66">
        <f>IF(B23="","",IF(COUNTIF(cust_Name,B23)&gt;1,"⚠ Duplicate name","✓ OK"))</f>
        <v/>
      </c>
      <c r="N23" s="67">
        <f>IF(AND(B23&lt;&gt;"",N(K23)&gt;0),K23+17/1000000,"")</f>
        <v/>
      </c>
    </row>
    <row r="24">
      <c r="B24" s="62" t="n"/>
      <c r="C24" s="62" t="n"/>
      <c r="D24" s="62" t="n"/>
      <c r="E24" s="62" t="n"/>
      <c r="F24" s="62" t="n"/>
      <c r="G24" s="69" t="n"/>
      <c r="H24" s="62" t="n"/>
      <c r="I24" s="65">
        <f>IF(B24="","",SUMIFS(ar_Amount,ar_Party,B24,ar_Posted,1,ar_Date,"&lt;="&amp;AsOf))</f>
        <v/>
      </c>
      <c r="J24" s="65">
        <f>IF(B24="","",SUMIFS(ar_Paid,ar_Party,B24))</f>
        <v/>
      </c>
      <c r="K24" s="65">
        <f>IF(B24="","",SUMIFS(ar_Balance,ar_Party,B24))</f>
        <v/>
      </c>
      <c r="L24" s="65">
        <f>IF(B24="","",SUMIFS(ar_Balance,ar_Party,B24,ar_Status,"Overdue"))</f>
        <v/>
      </c>
      <c r="M24" s="66">
        <f>IF(B24="","",IF(COUNTIF(cust_Name,B24)&gt;1,"⚠ Duplicate name","✓ OK"))</f>
        <v/>
      </c>
      <c r="N24" s="67">
        <f>IF(AND(B24&lt;&gt;"",N(K24)&gt;0),K24+18/1000000,"")</f>
        <v/>
      </c>
    </row>
    <row r="25">
      <c r="B25" s="62" t="n"/>
      <c r="C25" s="62" t="n"/>
      <c r="D25" s="62" t="n"/>
      <c r="E25" s="62" t="n"/>
      <c r="F25" s="62" t="n"/>
      <c r="G25" s="69" t="n"/>
      <c r="H25" s="62" t="n"/>
      <c r="I25" s="65">
        <f>IF(B25="","",SUMIFS(ar_Amount,ar_Party,B25,ar_Posted,1,ar_Date,"&lt;="&amp;AsOf))</f>
        <v/>
      </c>
      <c r="J25" s="65">
        <f>IF(B25="","",SUMIFS(ar_Paid,ar_Party,B25))</f>
        <v/>
      </c>
      <c r="K25" s="65">
        <f>IF(B25="","",SUMIFS(ar_Balance,ar_Party,B25))</f>
        <v/>
      </c>
      <c r="L25" s="65">
        <f>IF(B25="","",SUMIFS(ar_Balance,ar_Party,B25,ar_Status,"Overdue"))</f>
        <v/>
      </c>
      <c r="M25" s="66">
        <f>IF(B25="","",IF(COUNTIF(cust_Name,B25)&gt;1,"⚠ Duplicate name","✓ OK"))</f>
        <v/>
      </c>
      <c r="N25" s="67">
        <f>IF(AND(B25&lt;&gt;"",N(K25)&gt;0),K25+19/1000000,"")</f>
        <v/>
      </c>
    </row>
    <row r="26">
      <c r="B26" s="62" t="n"/>
      <c r="C26" s="62" t="n"/>
      <c r="D26" s="62" t="n"/>
      <c r="E26" s="62" t="n"/>
      <c r="F26" s="62" t="n"/>
      <c r="G26" s="69" t="n"/>
      <c r="H26" s="62" t="n"/>
      <c r="I26" s="65">
        <f>IF(B26="","",SUMIFS(ar_Amount,ar_Party,B26,ar_Posted,1,ar_Date,"&lt;="&amp;AsOf))</f>
        <v/>
      </c>
      <c r="J26" s="65">
        <f>IF(B26="","",SUMIFS(ar_Paid,ar_Party,B26))</f>
        <v/>
      </c>
      <c r="K26" s="65">
        <f>IF(B26="","",SUMIFS(ar_Balance,ar_Party,B26))</f>
        <v/>
      </c>
      <c r="L26" s="65">
        <f>IF(B26="","",SUMIFS(ar_Balance,ar_Party,B26,ar_Status,"Overdue"))</f>
        <v/>
      </c>
      <c r="M26" s="66">
        <f>IF(B26="","",IF(COUNTIF(cust_Name,B26)&gt;1,"⚠ Duplicate name","✓ OK"))</f>
        <v/>
      </c>
      <c r="N26" s="67">
        <f>IF(AND(B26&lt;&gt;"",N(K26)&gt;0),K26+20/1000000,"")</f>
        <v/>
      </c>
    </row>
    <row r="27">
      <c r="B27" s="62" t="n"/>
      <c r="C27" s="62" t="n"/>
      <c r="D27" s="62" t="n"/>
      <c r="E27" s="62" t="n"/>
      <c r="F27" s="62" t="n"/>
      <c r="G27" s="69" t="n"/>
      <c r="H27" s="62" t="n"/>
      <c r="I27" s="65">
        <f>IF(B27="","",SUMIFS(ar_Amount,ar_Party,B27,ar_Posted,1,ar_Date,"&lt;="&amp;AsOf))</f>
        <v/>
      </c>
      <c r="J27" s="65">
        <f>IF(B27="","",SUMIFS(ar_Paid,ar_Party,B27))</f>
        <v/>
      </c>
      <c r="K27" s="65">
        <f>IF(B27="","",SUMIFS(ar_Balance,ar_Party,B27))</f>
        <v/>
      </c>
      <c r="L27" s="65">
        <f>IF(B27="","",SUMIFS(ar_Balance,ar_Party,B27,ar_Status,"Overdue"))</f>
        <v/>
      </c>
      <c r="M27" s="66">
        <f>IF(B27="","",IF(COUNTIF(cust_Name,B27)&gt;1,"⚠ Duplicate name","✓ OK"))</f>
        <v/>
      </c>
      <c r="N27" s="67">
        <f>IF(AND(B27&lt;&gt;"",N(K27)&gt;0),K27+21/1000000,"")</f>
        <v/>
      </c>
    </row>
    <row r="28">
      <c r="B28" s="62" t="n"/>
      <c r="C28" s="62" t="n"/>
      <c r="D28" s="62" t="n"/>
      <c r="E28" s="62" t="n"/>
      <c r="F28" s="62" t="n"/>
      <c r="G28" s="69" t="n"/>
      <c r="H28" s="62" t="n"/>
      <c r="I28" s="65">
        <f>IF(B28="","",SUMIFS(ar_Amount,ar_Party,B28,ar_Posted,1,ar_Date,"&lt;="&amp;AsOf))</f>
        <v/>
      </c>
      <c r="J28" s="65">
        <f>IF(B28="","",SUMIFS(ar_Paid,ar_Party,B28))</f>
        <v/>
      </c>
      <c r="K28" s="65">
        <f>IF(B28="","",SUMIFS(ar_Balance,ar_Party,B28))</f>
        <v/>
      </c>
      <c r="L28" s="65">
        <f>IF(B28="","",SUMIFS(ar_Balance,ar_Party,B28,ar_Status,"Overdue"))</f>
        <v/>
      </c>
      <c r="M28" s="66">
        <f>IF(B28="","",IF(COUNTIF(cust_Name,B28)&gt;1,"⚠ Duplicate name","✓ OK"))</f>
        <v/>
      </c>
      <c r="N28" s="67">
        <f>IF(AND(B28&lt;&gt;"",N(K28)&gt;0),K28+22/1000000,"")</f>
        <v/>
      </c>
    </row>
    <row r="29">
      <c r="B29" s="62" t="n"/>
      <c r="C29" s="62" t="n"/>
      <c r="D29" s="62" t="n"/>
      <c r="E29" s="62" t="n"/>
      <c r="F29" s="62" t="n"/>
      <c r="G29" s="69" t="n"/>
      <c r="H29" s="62" t="n"/>
      <c r="I29" s="65">
        <f>IF(B29="","",SUMIFS(ar_Amount,ar_Party,B29,ar_Posted,1,ar_Date,"&lt;="&amp;AsOf))</f>
        <v/>
      </c>
      <c r="J29" s="65">
        <f>IF(B29="","",SUMIFS(ar_Paid,ar_Party,B29))</f>
        <v/>
      </c>
      <c r="K29" s="65">
        <f>IF(B29="","",SUMIFS(ar_Balance,ar_Party,B29))</f>
        <v/>
      </c>
      <c r="L29" s="65">
        <f>IF(B29="","",SUMIFS(ar_Balance,ar_Party,B29,ar_Status,"Overdue"))</f>
        <v/>
      </c>
      <c r="M29" s="66">
        <f>IF(B29="","",IF(COUNTIF(cust_Name,B29)&gt;1,"⚠ Duplicate name","✓ OK"))</f>
        <v/>
      </c>
      <c r="N29" s="67">
        <f>IF(AND(B29&lt;&gt;"",N(K29)&gt;0),K29+23/1000000,"")</f>
        <v/>
      </c>
    </row>
    <row r="30">
      <c r="B30" s="62" t="n"/>
      <c r="C30" s="62" t="n"/>
      <c r="D30" s="62" t="n"/>
      <c r="E30" s="62" t="n"/>
      <c r="F30" s="62" t="n"/>
      <c r="G30" s="69" t="n"/>
      <c r="H30" s="62" t="n"/>
      <c r="I30" s="65">
        <f>IF(B30="","",SUMIFS(ar_Amount,ar_Party,B30,ar_Posted,1,ar_Date,"&lt;="&amp;AsOf))</f>
        <v/>
      </c>
      <c r="J30" s="65">
        <f>IF(B30="","",SUMIFS(ar_Paid,ar_Party,B30))</f>
        <v/>
      </c>
      <c r="K30" s="65">
        <f>IF(B30="","",SUMIFS(ar_Balance,ar_Party,B30))</f>
        <v/>
      </c>
      <c r="L30" s="65">
        <f>IF(B30="","",SUMIFS(ar_Balance,ar_Party,B30,ar_Status,"Overdue"))</f>
        <v/>
      </c>
      <c r="M30" s="66">
        <f>IF(B30="","",IF(COUNTIF(cust_Name,B30)&gt;1,"⚠ Duplicate name","✓ OK"))</f>
        <v/>
      </c>
      <c r="N30" s="67">
        <f>IF(AND(B30&lt;&gt;"",N(K30)&gt;0),K30+24/1000000,"")</f>
        <v/>
      </c>
    </row>
    <row r="31">
      <c r="B31" s="62" t="n"/>
      <c r="C31" s="62" t="n"/>
      <c r="D31" s="62" t="n"/>
      <c r="E31" s="62" t="n"/>
      <c r="F31" s="62" t="n"/>
      <c r="G31" s="69" t="n"/>
      <c r="H31" s="62" t="n"/>
      <c r="I31" s="65">
        <f>IF(B31="","",SUMIFS(ar_Amount,ar_Party,B31,ar_Posted,1,ar_Date,"&lt;="&amp;AsOf))</f>
        <v/>
      </c>
      <c r="J31" s="65">
        <f>IF(B31="","",SUMIFS(ar_Paid,ar_Party,B31))</f>
        <v/>
      </c>
      <c r="K31" s="65">
        <f>IF(B31="","",SUMIFS(ar_Balance,ar_Party,B31))</f>
        <v/>
      </c>
      <c r="L31" s="65">
        <f>IF(B31="","",SUMIFS(ar_Balance,ar_Party,B31,ar_Status,"Overdue"))</f>
        <v/>
      </c>
      <c r="M31" s="66">
        <f>IF(B31="","",IF(COUNTIF(cust_Name,B31)&gt;1,"⚠ Duplicate name","✓ OK"))</f>
        <v/>
      </c>
      <c r="N31" s="67">
        <f>IF(AND(B31&lt;&gt;"",N(K31)&gt;0),K31+25/1000000,"")</f>
        <v/>
      </c>
    </row>
    <row r="32">
      <c r="B32" s="62" t="n"/>
      <c r="C32" s="62" t="n"/>
      <c r="D32" s="62" t="n"/>
      <c r="E32" s="62" t="n"/>
      <c r="F32" s="62" t="n"/>
      <c r="G32" s="69" t="n"/>
      <c r="H32" s="62" t="n"/>
      <c r="I32" s="65">
        <f>IF(B32="","",SUMIFS(ar_Amount,ar_Party,B32,ar_Posted,1,ar_Date,"&lt;="&amp;AsOf))</f>
        <v/>
      </c>
      <c r="J32" s="65">
        <f>IF(B32="","",SUMIFS(ar_Paid,ar_Party,B32))</f>
        <v/>
      </c>
      <c r="K32" s="65">
        <f>IF(B32="","",SUMIFS(ar_Balance,ar_Party,B32))</f>
        <v/>
      </c>
      <c r="L32" s="65">
        <f>IF(B32="","",SUMIFS(ar_Balance,ar_Party,B32,ar_Status,"Overdue"))</f>
        <v/>
      </c>
      <c r="M32" s="66">
        <f>IF(B32="","",IF(COUNTIF(cust_Name,B32)&gt;1,"⚠ Duplicate name","✓ OK"))</f>
        <v/>
      </c>
      <c r="N32" s="67">
        <f>IF(AND(B32&lt;&gt;"",N(K32)&gt;0),K32+26/1000000,"")</f>
        <v/>
      </c>
    </row>
    <row r="33">
      <c r="B33" s="62" t="n"/>
      <c r="C33" s="62" t="n"/>
      <c r="D33" s="62" t="n"/>
      <c r="E33" s="62" t="n"/>
      <c r="F33" s="62" t="n"/>
      <c r="G33" s="69" t="n"/>
      <c r="H33" s="62" t="n"/>
      <c r="I33" s="65">
        <f>IF(B33="","",SUMIFS(ar_Amount,ar_Party,B33,ar_Posted,1,ar_Date,"&lt;="&amp;AsOf))</f>
        <v/>
      </c>
      <c r="J33" s="65">
        <f>IF(B33="","",SUMIFS(ar_Paid,ar_Party,B33))</f>
        <v/>
      </c>
      <c r="K33" s="65">
        <f>IF(B33="","",SUMIFS(ar_Balance,ar_Party,B33))</f>
        <v/>
      </c>
      <c r="L33" s="65">
        <f>IF(B33="","",SUMIFS(ar_Balance,ar_Party,B33,ar_Status,"Overdue"))</f>
        <v/>
      </c>
      <c r="M33" s="66">
        <f>IF(B33="","",IF(COUNTIF(cust_Name,B33)&gt;1,"⚠ Duplicate name","✓ OK"))</f>
        <v/>
      </c>
      <c r="N33" s="67">
        <f>IF(AND(B33&lt;&gt;"",N(K33)&gt;0),K33+27/1000000,"")</f>
        <v/>
      </c>
    </row>
    <row r="34">
      <c r="B34" s="62" t="n"/>
      <c r="C34" s="62" t="n"/>
      <c r="D34" s="62" t="n"/>
      <c r="E34" s="62" t="n"/>
      <c r="F34" s="62" t="n"/>
      <c r="G34" s="69" t="n"/>
      <c r="H34" s="62" t="n"/>
      <c r="I34" s="65">
        <f>IF(B34="","",SUMIFS(ar_Amount,ar_Party,B34,ar_Posted,1,ar_Date,"&lt;="&amp;AsOf))</f>
        <v/>
      </c>
      <c r="J34" s="65">
        <f>IF(B34="","",SUMIFS(ar_Paid,ar_Party,B34))</f>
        <v/>
      </c>
      <c r="K34" s="65">
        <f>IF(B34="","",SUMIFS(ar_Balance,ar_Party,B34))</f>
        <v/>
      </c>
      <c r="L34" s="65">
        <f>IF(B34="","",SUMIFS(ar_Balance,ar_Party,B34,ar_Status,"Overdue"))</f>
        <v/>
      </c>
      <c r="M34" s="66">
        <f>IF(B34="","",IF(COUNTIF(cust_Name,B34)&gt;1,"⚠ Duplicate name","✓ OK"))</f>
        <v/>
      </c>
      <c r="N34" s="67">
        <f>IF(AND(B34&lt;&gt;"",N(K34)&gt;0),K34+28/1000000,"")</f>
        <v/>
      </c>
    </row>
    <row r="35">
      <c r="B35" s="62" t="n"/>
      <c r="C35" s="62" t="n"/>
      <c r="D35" s="62" t="n"/>
      <c r="E35" s="62" t="n"/>
      <c r="F35" s="62" t="n"/>
      <c r="G35" s="69" t="n"/>
      <c r="H35" s="62" t="n"/>
      <c r="I35" s="65">
        <f>IF(B35="","",SUMIFS(ar_Amount,ar_Party,B35,ar_Posted,1,ar_Date,"&lt;="&amp;AsOf))</f>
        <v/>
      </c>
      <c r="J35" s="65">
        <f>IF(B35="","",SUMIFS(ar_Paid,ar_Party,B35))</f>
        <v/>
      </c>
      <c r="K35" s="65">
        <f>IF(B35="","",SUMIFS(ar_Balance,ar_Party,B35))</f>
        <v/>
      </c>
      <c r="L35" s="65">
        <f>IF(B35="","",SUMIFS(ar_Balance,ar_Party,B35,ar_Status,"Overdue"))</f>
        <v/>
      </c>
      <c r="M35" s="66">
        <f>IF(B35="","",IF(COUNTIF(cust_Name,B35)&gt;1,"⚠ Duplicate name","✓ OK"))</f>
        <v/>
      </c>
      <c r="N35" s="67">
        <f>IF(AND(B35&lt;&gt;"",N(K35)&gt;0),K35+29/1000000,"")</f>
        <v/>
      </c>
    </row>
    <row r="36">
      <c r="B36" s="62" t="n"/>
      <c r="C36" s="62" t="n"/>
      <c r="D36" s="62" t="n"/>
      <c r="E36" s="62" t="n"/>
      <c r="F36" s="62" t="n"/>
      <c r="G36" s="69" t="n"/>
      <c r="H36" s="62" t="n"/>
      <c r="I36" s="65">
        <f>IF(B36="","",SUMIFS(ar_Amount,ar_Party,B36,ar_Posted,1,ar_Date,"&lt;="&amp;AsOf))</f>
        <v/>
      </c>
      <c r="J36" s="65">
        <f>IF(B36="","",SUMIFS(ar_Paid,ar_Party,B36))</f>
        <v/>
      </c>
      <c r="K36" s="65">
        <f>IF(B36="","",SUMIFS(ar_Balance,ar_Party,B36))</f>
        <v/>
      </c>
      <c r="L36" s="65">
        <f>IF(B36="","",SUMIFS(ar_Balance,ar_Party,B36,ar_Status,"Overdue"))</f>
        <v/>
      </c>
      <c r="M36" s="66">
        <f>IF(B36="","",IF(COUNTIF(cust_Name,B36)&gt;1,"⚠ Duplicate name","✓ OK"))</f>
        <v/>
      </c>
      <c r="N36" s="67">
        <f>IF(AND(B36&lt;&gt;"",N(K36)&gt;0),K36+30/1000000,"")</f>
        <v/>
      </c>
    </row>
    <row r="37">
      <c r="B37" s="62" t="n"/>
      <c r="C37" s="62" t="n"/>
      <c r="D37" s="62" t="n"/>
      <c r="E37" s="62" t="n"/>
      <c r="F37" s="62" t="n"/>
      <c r="G37" s="69" t="n"/>
      <c r="H37" s="62" t="n"/>
      <c r="I37" s="65">
        <f>IF(B37="","",SUMIFS(ar_Amount,ar_Party,B37,ar_Posted,1,ar_Date,"&lt;="&amp;AsOf))</f>
        <v/>
      </c>
      <c r="J37" s="65">
        <f>IF(B37="","",SUMIFS(ar_Paid,ar_Party,B37))</f>
        <v/>
      </c>
      <c r="K37" s="65">
        <f>IF(B37="","",SUMIFS(ar_Balance,ar_Party,B37))</f>
        <v/>
      </c>
      <c r="L37" s="65">
        <f>IF(B37="","",SUMIFS(ar_Balance,ar_Party,B37,ar_Status,"Overdue"))</f>
        <v/>
      </c>
      <c r="M37" s="66">
        <f>IF(B37="","",IF(COUNTIF(cust_Name,B37)&gt;1,"⚠ Duplicate name","✓ OK"))</f>
        <v/>
      </c>
      <c r="N37" s="67">
        <f>IF(AND(B37&lt;&gt;"",N(K37)&gt;0),K37+31/1000000,"")</f>
        <v/>
      </c>
    </row>
    <row r="38">
      <c r="B38" s="62" t="n"/>
      <c r="C38" s="62" t="n"/>
      <c r="D38" s="62" t="n"/>
      <c r="E38" s="62" t="n"/>
      <c r="F38" s="62" t="n"/>
      <c r="G38" s="69" t="n"/>
      <c r="H38" s="62" t="n"/>
      <c r="I38" s="65">
        <f>IF(B38="","",SUMIFS(ar_Amount,ar_Party,B38,ar_Posted,1,ar_Date,"&lt;="&amp;AsOf))</f>
        <v/>
      </c>
      <c r="J38" s="65">
        <f>IF(B38="","",SUMIFS(ar_Paid,ar_Party,B38))</f>
        <v/>
      </c>
      <c r="K38" s="65">
        <f>IF(B38="","",SUMIFS(ar_Balance,ar_Party,B38))</f>
        <v/>
      </c>
      <c r="L38" s="65">
        <f>IF(B38="","",SUMIFS(ar_Balance,ar_Party,B38,ar_Status,"Overdue"))</f>
        <v/>
      </c>
      <c r="M38" s="66">
        <f>IF(B38="","",IF(COUNTIF(cust_Name,B38)&gt;1,"⚠ Duplicate name","✓ OK"))</f>
        <v/>
      </c>
      <c r="N38" s="67">
        <f>IF(AND(B38&lt;&gt;"",N(K38)&gt;0),K38+32/1000000,"")</f>
        <v/>
      </c>
    </row>
    <row r="39">
      <c r="B39" s="62" t="n"/>
      <c r="C39" s="62" t="n"/>
      <c r="D39" s="62" t="n"/>
      <c r="E39" s="62" t="n"/>
      <c r="F39" s="62" t="n"/>
      <c r="G39" s="69" t="n"/>
      <c r="H39" s="62" t="n"/>
      <c r="I39" s="65">
        <f>IF(B39="","",SUMIFS(ar_Amount,ar_Party,B39,ar_Posted,1,ar_Date,"&lt;="&amp;AsOf))</f>
        <v/>
      </c>
      <c r="J39" s="65">
        <f>IF(B39="","",SUMIFS(ar_Paid,ar_Party,B39))</f>
        <v/>
      </c>
      <c r="K39" s="65">
        <f>IF(B39="","",SUMIFS(ar_Balance,ar_Party,B39))</f>
        <v/>
      </c>
      <c r="L39" s="65">
        <f>IF(B39="","",SUMIFS(ar_Balance,ar_Party,B39,ar_Status,"Overdue"))</f>
        <v/>
      </c>
      <c r="M39" s="66">
        <f>IF(B39="","",IF(COUNTIF(cust_Name,B39)&gt;1,"⚠ Duplicate name","✓ OK"))</f>
        <v/>
      </c>
      <c r="N39" s="67">
        <f>IF(AND(B39&lt;&gt;"",N(K39)&gt;0),K39+33/1000000,"")</f>
        <v/>
      </c>
    </row>
    <row r="40">
      <c r="B40" s="62" t="n"/>
      <c r="C40" s="62" t="n"/>
      <c r="D40" s="62" t="n"/>
      <c r="E40" s="62" t="n"/>
      <c r="F40" s="62" t="n"/>
      <c r="G40" s="69" t="n"/>
      <c r="H40" s="62" t="n"/>
      <c r="I40" s="65">
        <f>IF(B40="","",SUMIFS(ar_Amount,ar_Party,B40,ar_Posted,1,ar_Date,"&lt;="&amp;AsOf))</f>
        <v/>
      </c>
      <c r="J40" s="65">
        <f>IF(B40="","",SUMIFS(ar_Paid,ar_Party,B40))</f>
        <v/>
      </c>
      <c r="K40" s="65">
        <f>IF(B40="","",SUMIFS(ar_Balance,ar_Party,B40))</f>
        <v/>
      </c>
      <c r="L40" s="65">
        <f>IF(B40="","",SUMIFS(ar_Balance,ar_Party,B40,ar_Status,"Overdue"))</f>
        <v/>
      </c>
      <c r="M40" s="66">
        <f>IF(B40="","",IF(COUNTIF(cust_Name,B40)&gt;1,"⚠ Duplicate name","✓ OK"))</f>
        <v/>
      </c>
      <c r="N40" s="67">
        <f>IF(AND(B40&lt;&gt;"",N(K40)&gt;0),K40+34/1000000,"")</f>
        <v/>
      </c>
    </row>
    <row r="41">
      <c r="B41" s="62" t="n"/>
      <c r="C41" s="62" t="n"/>
      <c r="D41" s="62" t="n"/>
      <c r="E41" s="62" t="n"/>
      <c r="F41" s="62" t="n"/>
      <c r="G41" s="69" t="n"/>
      <c r="H41" s="62" t="n"/>
      <c r="I41" s="65">
        <f>IF(B41="","",SUMIFS(ar_Amount,ar_Party,B41,ar_Posted,1,ar_Date,"&lt;="&amp;AsOf))</f>
        <v/>
      </c>
      <c r="J41" s="65">
        <f>IF(B41="","",SUMIFS(ar_Paid,ar_Party,B41))</f>
        <v/>
      </c>
      <c r="K41" s="65">
        <f>IF(B41="","",SUMIFS(ar_Balance,ar_Party,B41))</f>
        <v/>
      </c>
      <c r="L41" s="65">
        <f>IF(B41="","",SUMIFS(ar_Balance,ar_Party,B41,ar_Status,"Overdue"))</f>
        <v/>
      </c>
      <c r="M41" s="66">
        <f>IF(B41="","",IF(COUNTIF(cust_Name,B41)&gt;1,"⚠ Duplicate name","✓ OK"))</f>
        <v/>
      </c>
      <c r="N41" s="67">
        <f>IF(AND(B41&lt;&gt;"",N(K41)&gt;0),K41+35/1000000,"")</f>
        <v/>
      </c>
    </row>
    <row r="42">
      <c r="B42" s="62" t="n"/>
      <c r="C42" s="62" t="n"/>
      <c r="D42" s="62" t="n"/>
      <c r="E42" s="62" t="n"/>
      <c r="F42" s="62" t="n"/>
      <c r="G42" s="69" t="n"/>
      <c r="H42" s="62" t="n"/>
      <c r="I42" s="65">
        <f>IF(B42="","",SUMIFS(ar_Amount,ar_Party,B42,ar_Posted,1,ar_Date,"&lt;="&amp;AsOf))</f>
        <v/>
      </c>
      <c r="J42" s="65">
        <f>IF(B42="","",SUMIFS(ar_Paid,ar_Party,B42))</f>
        <v/>
      </c>
      <c r="K42" s="65">
        <f>IF(B42="","",SUMIFS(ar_Balance,ar_Party,B42))</f>
        <v/>
      </c>
      <c r="L42" s="65">
        <f>IF(B42="","",SUMIFS(ar_Balance,ar_Party,B42,ar_Status,"Overdue"))</f>
        <v/>
      </c>
      <c r="M42" s="66">
        <f>IF(B42="","",IF(COUNTIF(cust_Name,B42)&gt;1,"⚠ Duplicate name","✓ OK"))</f>
        <v/>
      </c>
      <c r="N42" s="67">
        <f>IF(AND(B42&lt;&gt;"",N(K42)&gt;0),K42+36/1000000,"")</f>
        <v/>
      </c>
    </row>
    <row r="43">
      <c r="B43" s="62" t="n"/>
      <c r="C43" s="62" t="n"/>
      <c r="D43" s="62" t="n"/>
      <c r="E43" s="62" t="n"/>
      <c r="F43" s="62" t="n"/>
      <c r="G43" s="69" t="n"/>
      <c r="H43" s="62" t="n"/>
      <c r="I43" s="65">
        <f>IF(B43="","",SUMIFS(ar_Amount,ar_Party,B43,ar_Posted,1,ar_Date,"&lt;="&amp;AsOf))</f>
        <v/>
      </c>
      <c r="J43" s="65">
        <f>IF(B43="","",SUMIFS(ar_Paid,ar_Party,B43))</f>
        <v/>
      </c>
      <c r="K43" s="65">
        <f>IF(B43="","",SUMIFS(ar_Balance,ar_Party,B43))</f>
        <v/>
      </c>
      <c r="L43" s="65">
        <f>IF(B43="","",SUMIFS(ar_Balance,ar_Party,B43,ar_Status,"Overdue"))</f>
        <v/>
      </c>
      <c r="M43" s="66">
        <f>IF(B43="","",IF(COUNTIF(cust_Name,B43)&gt;1,"⚠ Duplicate name","✓ OK"))</f>
        <v/>
      </c>
      <c r="N43" s="67">
        <f>IF(AND(B43&lt;&gt;"",N(K43)&gt;0),K43+37/1000000,"")</f>
        <v/>
      </c>
    </row>
    <row r="44">
      <c r="B44" s="62" t="n"/>
      <c r="C44" s="62" t="n"/>
      <c r="D44" s="62" t="n"/>
      <c r="E44" s="62" t="n"/>
      <c r="F44" s="62" t="n"/>
      <c r="G44" s="69" t="n"/>
      <c r="H44" s="62" t="n"/>
      <c r="I44" s="65">
        <f>IF(B44="","",SUMIFS(ar_Amount,ar_Party,B44,ar_Posted,1,ar_Date,"&lt;="&amp;AsOf))</f>
        <v/>
      </c>
      <c r="J44" s="65">
        <f>IF(B44="","",SUMIFS(ar_Paid,ar_Party,B44))</f>
        <v/>
      </c>
      <c r="K44" s="65">
        <f>IF(B44="","",SUMIFS(ar_Balance,ar_Party,B44))</f>
        <v/>
      </c>
      <c r="L44" s="65">
        <f>IF(B44="","",SUMIFS(ar_Balance,ar_Party,B44,ar_Status,"Overdue"))</f>
        <v/>
      </c>
      <c r="M44" s="66">
        <f>IF(B44="","",IF(COUNTIF(cust_Name,B44)&gt;1,"⚠ Duplicate name","✓ OK"))</f>
        <v/>
      </c>
      <c r="N44" s="67">
        <f>IF(AND(B44&lt;&gt;"",N(K44)&gt;0),K44+38/1000000,"")</f>
        <v/>
      </c>
    </row>
    <row r="45">
      <c r="B45" s="62" t="n"/>
      <c r="C45" s="62" t="n"/>
      <c r="D45" s="62" t="n"/>
      <c r="E45" s="62" t="n"/>
      <c r="F45" s="62" t="n"/>
      <c r="G45" s="69" t="n"/>
      <c r="H45" s="62" t="n"/>
      <c r="I45" s="65">
        <f>IF(B45="","",SUMIFS(ar_Amount,ar_Party,B45,ar_Posted,1,ar_Date,"&lt;="&amp;AsOf))</f>
        <v/>
      </c>
      <c r="J45" s="65">
        <f>IF(B45="","",SUMIFS(ar_Paid,ar_Party,B45))</f>
        <v/>
      </c>
      <c r="K45" s="65">
        <f>IF(B45="","",SUMIFS(ar_Balance,ar_Party,B45))</f>
        <v/>
      </c>
      <c r="L45" s="65">
        <f>IF(B45="","",SUMIFS(ar_Balance,ar_Party,B45,ar_Status,"Overdue"))</f>
        <v/>
      </c>
      <c r="M45" s="66">
        <f>IF(B45="","",IF(COUNTIF(cust_Name,B45)&gt;1,"⚠ Duplicate name","✓ OK"))</f>
        <v/>
      </c>
      <c r="N45" s="67">
        <f>IF(AND(B45&lt;&gt;"",N(K45)&gt;0),K45+39/1000000,"")</f>
        <v/>
      </c>
    </row>
    <row r="46">
      <c r="B46" s="62" t="n"/>
      <c r="C46" s="62" t="n"/>
      <c r="D46" s="62" t="n"/>
      <c r="E46" s="62" t="n"/>
      <c r="F46" s="62" t="n"/>
      <c r="G46" s="69" t="n"/>
      <c r="H46" s="62" t="n"/>
      <c r="I46" s="65">
        <f>IF(B46="","",SUMIFS(ar_Amount,ar_Party,B46,ar_Posted,1,ar_Date,"&lt;="&amp;AsOf))</f>
        <v/>
      </c>
      <c r="J46" s="65">
        <f>IF(B46="","",SUMIFS(ar_Paid,ar_Party,B46))</f>
        <v/>
      </c>
      <c r="K46" s="65">
        <f>IF(B46="","",SUMIFS(ar_Balance,ar_Party,B46))</f>
        <v/>
      </c>
      <c r="L46" s="65">
        <f>IF(B46="","",SUMIFS(ar_Balance,ar_Party,B46,ar_Status,"Overdue"))</f>
        <v/>
      </c>
      <c r="M46" s="66">
        <f>IF(B46="","",IF(COUNTIF(cust_Name,B46)&gt;1,"⚠ Duplicate name","✓ OK"))</f>
        <v/>
      </c>
      <c r="N46" s="67">
        <f>IF(AND(B46&lt;&gt;"",N(K46)&gt;0),K46+40/1000000,"")</f>
        <v/>
      </c>
    </row>
    <row r="47">
      <c r="B47" s="62" t="n"/>
      <c r="C47" s="62" t="n"/>
      <c r="D47" s="62" t="n"/>
      <c r="E47" s="62" t="n"/>
      <c r="F47" s="62" t="n"/>
      <c r="G47" s="69" t="n"/>
      <c r="H47" s="62" t="n"/>
      <c r="I47" s="65">
        <f>IF(B47="","",SUMIFS(ar_Amount,ar_Party,B47,ar_Posted,1,ar_Date,"&lt;="&amp;AsOf))</f>
        <v/>
      </c>
      <c r="J47" s="65">
        <f>IF(B47="","",SUMIFS(ar_Paid,ar_Party,B47))</f>
        <v/>
      </c>
      <c r="K47" s="65">
        <f>IF(B47="","",SUMIFS(ar_Balance,ar_Party,B47))</f>
        <v/>
      </c>
      <c r="L47" s="65">
        <f>IF(B47="","",SUMIFS(ar_Balance,ar_Party,B47,ar_Status,"Overdue"))</f>
        <v/>
      </c>
      <c r="M47" s="66">
        <f>IF(B47="","",IF(COUNTIF(cust_Name,B47)&gt;1,"⚠ Duplicate name","✓ OK"))</f>
        <v/>
      </c>
      <c r="N47" s="67">
        <f>IF(AND(B47&lt;&gt;"",N(K47)&gt;0),K47+41/1000000,"")</f>
        <v/>
      </c>
    </row>
    <row r="48">
      <c r="B48" s="62" t="n"/>
      <c r="C48" s="62" t="n"/>
      <c r="D48" s="62" t="n"/>
      <c r="E48" s="62" t="n"/>
      <c r="F48" s="62" t="n"/>
      <c r="G48" s="69" t="n"/>
      <c r="H48" s="62" t="n"/>
      <c r="I48" s="65">
        <f>IF(B48="","",SUMIFS(ar_Amount,ar_Party,B48,ar_Posted,1,ar_Date,"&lt;="&amp;AsOf))</f>
        <v/>
      </c>
      <c r="J48" s="65">
        <f>IF(B48="","",SUMIFS(ar_Paid,ar_Party,B48))</f>
        <v/>
      </c>
      <c r="K48" s="65">
        <f>IF(B48="","",SUMIFS(ar_Balance,ar_Party,B48))</f>
        <v/>
      </c>
      <c r="L48" s="65">
        <f>IF(B48="","",SUMIFS(ar_Balance,ar_Party,B48,ar_Status,"Overdue"))</f>
        <v/>
      </c>
      <c r="M48" s="66">
        <f>IF(B48="","",IF(COUNTIF(cust_Name,B48)&gt;1,"⚠ Duplicate name","✓ OK"))</f>
        <v/>
      </c>
      <c r="N48" s="67">
        <f>IF(AND(B48&lt;&gt;"",N(K48)&gt;0),K48+42/1000000,"")</f>
        <v/>
      </c>
    </row>
    <row r="49">
      <c r="B49" s="62" t="n"/>
      <c r="C49" s="62" t="n"/>
      <c r="D49" s="62" t="n"/>
      <c r="E49" s="62" t="n"/>
      <c r="F49" s="62" t="n"/>
      <c r="G49" s="69" t="n"/>
      <c r="H49" s="62" t="n"/>
      <c r="I49" s="65">
        <f>IF(B49="","",SUMIFS(ar_Amount,ar_Party,B49,ar_Posted,1,ar_Date,"&lt;="&amp;AsOf))</f>
        <v/>
      </c>
      <c r="J49" s="65">
        <f>IF(B49="","",SUMIFS(ar_Paid,ar_Party,B49))</f>
        <v/>
      </c>
      <c r="K49" s="65">
        <f>IF(B49="","",SUMIFS(ar_Balance,ar_Party,B49))</f>
        <v/>
      </c>
      <c r="L49" s="65">
        <f>IF(B49="","",SUMIFS(ar_Balance,ar_Party,B49,ar_Status,"Overdue"))</f>
        <v/>
      </c>
      <c r="M49" s="66">
        <f>IF(B49="","",IF(COUNTIF(cust_Name,B49)&gt;1,"⚠ Duplicate name","✓ OK"))</f>
        <v/>
      </c>
      <c r="N49" s="67">
        <f>IF(AND(B49&lt;&gt;"",N(K49)&gt;0),K49+43/1000000,"")</f>
        <v/>
      </c>
    </row>
    <row r="50">
      <c r="B50" s="62" t="n"/>
      <c r="C50" s="62" t="n"/>
      <c r="D50" s="62" t="n"/>
      <c r="E50" s="62" t="n"/>
      <c r="F50" s="62" t="n"/>
      <c r="G50" s="69" t="n"/>
      <c r="H50" s="62" t="n"/>
      <c r="I50" s="65">
        <f>IF(B50="","",SUMIFS(ar_Amount,ar_Party,B50,ar_Posted,1,ar_Date,"&lt;="&amp;AsOf))</f>
        <v/>
      </c>
      <c r="J50" s="65">
        <f>IF(B50="","",SUMIFS(ar_Paid,ar_Party,B50))</f>
        <v/>
      </c>
      <c r="K50" s="65">
        <f>IF(B50="","",SUMIFS(ar_Balance,ar_Party,B50))</f>
        <v/>
      </c>
      <c r="L50" s="65">
        <f>IF(B50="","",SUMIFS(ar_Balance,ar_Party,B50,ar_Status,"Overdue"))</f>
        <v/>
      </c>
      <c r="M50" s="66">
        <f>IF(B50="","",IF(COUNTIF(cust_Name,B50)&gt;1,"⚠ Duplicate name","✓ OK"))</f>
        <v/>
      </c>
      <c r="N50" s="67">
        <f>IF(AND(B50&lt;&gt;"",N(K50)&gt;0),K50+44/1000000,"")</f>
        <v/>
      </c>
    </row>
    <row r="51">
      <c r="B51" s="62" t="n"/>
      <c r="C51" s="62" t="n"/>
      <c r="D51" s="62" t="n"/>
      <c r="E51" s="62" t="n"/>
      <c r="F51" s="62" t="n"/>
      <c r="G51" s="69" t="n"/>
      <c r="H51" s="62" t="n"/>
      <c r="I51" s="65">
        <f>IF(B51="","",SUMIFS(ar_Amount,ar_Party,B51,ar_Posted,1,ar_Date,"&lt;="&amp;AsOf))</f>
        <v/>
      </c>
      <c r="J51" s="65">
        <f>IF(B51="","",SUMIFS(ar_Paid,ar_Party,B51))</f>
        <v/>
      </c>
      <c r="K51" s="65">
        <f>IF(B51="","",SUMIFS(ar_Balance,ar_Party,B51))</f>
        <v/>
      </c>
      <c r="L51" s="65">
        <f>IF(B51="","",SUMIFS(ar_Balance,ar_Party,B51,ar_Status,"Overdue"))</f>
        <v/>
      </c>
      <c r="M51" s="66">
        <f>IF(B51="","",IF(COUNTIF(cust_Name,B51)&gt;1,"⚠ Duplicate name","✓ OK"))</f>
        <v/>
      </c>
      <c r="N51" s="67">
        <f>IF(AND(B51&lt;&gt;"",N(K51)&gt;0),K51+45/1000000,"")</f>
        <v/>
      </c>
    </row>
    <row r="52">
      <c r="B52" s="62" t="n"/>
      <c r="C52" s="62" t="n"/>
      <c r="D52" s="62" t="n"/>
      <c r="E52" s="62" t="n"/>
      <c r="F52" s="62" t="n"/>
      <c r="G52" s="69" t="n"/>
      <c r="H52" s="62" t="n"/>
      <c r="I52" s="65">
        <f>IF(B52="","",SUMIFS(ar_Amount,ar_Party,B52,ar_Posted,1,ar_Date,"&lt;="&amp;AsOf))</f>
        <v/>
      </c>
      <c r="J52" s="65">
        <f>IF(B52="","",SUMIFS(ar_Paid,ar_Party,B52))</f>
        <v/>
      </c>
      <c r="K52" s="65">
        <f>IF(B52="","",SUMIFS(ar_Balance,ar_Party,B52))</f>
        <v/>
      </c>
      <c r="L52" s="65">
        <f>IF(B52="","",SUMIFS(ar_Balance,ar_Party,B52,ar_Status,"Overdue"))</f>
        <v/>
      </c>
      <c r="M52" s="66">
        <f>IF(B52="","",IF(COUNTIF(cust_Name,B52)&gt;1,"⚠ Duplicate name","✓ OK"))</f>
        <v/>
      </c>
      <c r="N52" s="67">
        <f>IF(AND(B52&lt;&gt;"",N(K52)&gt;0),K52+46/1000000,"")</f>
        <v/>
      </c>
    </row>
    <row r="53">
      <c r="B53" s="62" t="n"/>
      <c r="C53" s="62" t="n"/>
      <c r="D53" s="62" t="n"/>
      <c r="E53" s="62" t="n"/>
      <c r="F53" s="62" t="n"/>
      <c r="G53" s="69" t="n"/>
      <c r="H53" s="62" t="n"/>
      <c r="I53" s="65">
        <f>IF(B53="","",SUMIFS(ar_Amount,ar_Party,B53,ar_Posted,1,ar_Date,"&lt;="&amp;AsOf))</f>
        <v/>
      </c>
      <c r="J53" s="65">
        <f>IF(B53="","",SUMIFS(ar_Paid,ar_Party,B53))</f>
        <v/>
      </c>
      <c r="K53" s="65">
        <f>IF(B53="","",SUMIFS(ar_Balance,ar_Party,B53))</f>
        <v/>
      </c>
      <c r="L53" s="65">
        <f>IF(B53="","",SUMIFS(ar_Balance,ar_Party,B53,ar_Status,"Overdue"))</f>
        <v/>
      </c>
      <c r="M53" s="66">
        <f>IF(B53="","",IF(COUNTIF(cust_Name,B53)&gt;1,"⚠ Duplicate name","✓ OK"))</f>
        <v/>
      </c>
      <c r="N53" s="67">
        <f>IF(AND(B53&lt;&gt;"",N(K53)&gt;0),K53+47/1000000,"")</f>
        <v/>
      </c>
    </row>
    <row r="54">
      <c r="B54" s="62" t="n"/>
      <c r="C54" s="62" t="n"/>
      <c r="D54" s="62" t="n"/>
      <c r="E54" s="62" t="n"/>
      <c r="F54" s="62" t="n"/>
      <c r="G54" s="69" t="n"/>
      <c r="H54" s="62" t="n"/>
      <c r="I54" s="65">
        <f>IF(B54="","",SUMIFS(ar_Amount,ar_Party,B54,ar_Posted,1,ar_Date,"&lt;="&amp;AsOf))</f>
        <v/>
      </c>
      <c r="J54" s="65">
        <f>IF(B54="","",SUMIFS(ar_Paid,ar_Party,B54))</f>
        <v/>
      </c>
      <c r="K54" s="65">
        <f>IF(B54="","",SUMIFS(ar_Balance,ar_Party,B54))</f>
        <v/>
      </c>
      <c r="L54" s="65">
        <f>IF(B54="","",SUMIFS(ar_Balance,ar_Party,B54,ar_Status,"Overdue"))</f>
        <v/>
      </c>
      <c r="M54" s="66">
        <f>IF(B54="","",IF(COUNTIF(cust_Name,B54)&gt;1,"⚠ Duplicate name","✓ OK"))</f>
        <v/>
      </c>
      <c r="N54" s="67">
        <f>IF(AND(B54&lt;&gt;"",N(K54)&gt;0),K54+48/1000000,"")</f>
        <v/>
      </c>
    </row>
    <row r="55">
      <c r="B55" s="62" t="n"/>
      <c r="C55" s="62" t="n"/>
      <c r="D55" s="62" t="n"/>
      <c r="E55" s="62" t="n"/>
      <c r="F55" s="62" t="n"/>
      <c r="G55" s="69" t="n"/>
      <c r="H55" s="62" t="n"/>
      <c r="I55" s="65">
        <f>IF(B55="","",SUMIFS(ar_Amount,ar_Party,B55,ar_Posted,1,ar_Date,"&lt;="&amp;AsOf))</f>
        <v/>
      </c>
      <c r="J55" s="65">
        <f>IF(B55="","",SUMIFS(ar_Paid,ar_Party,B55))</f>
        <v/>
      </c>
      <c r="K55" s="65">
        <f>IF(B55="","",SUMIFS(ar_Balance,ar_Party,B55))</f>
        <v/>
      </c>
      <c r="L55" s="65">
        <f>IF(B55="","",SUMIFS(ar_Balance,ar_Party,B55,ar_Status,"Overdue"))</f>
        <v/>
      </c>
      <c r="M55" s="66">
        <f>IF(B55="","",IF(COUNTIF(cust_Name,B55)&gt;1,"⚠ Duplicate name","✓ OK"))</f>
        <v/>
      </c>
      <c r="N55" s="67">
        <f>IF(AND(B55&lt;&gt;"",N(K55)&gt;0),K55+49/1000000,"")</f>
        <v/>
      </c>
    </row>
    <row r="56">
      <c r="B56" s="62" t="n"/>
      <c r="C56" s="62" t="n"/>
      <c r="D56" s="62" t="n"/>
      <c r="E56" s="62" t="n"/>
      <c r="F56" s="62" t="n"/>
      <c r="G56" s="69" t="n"/>
      <c r="H56" s="62" t="n"/>
      <c r="I56" s="65">
        <f>IF(B56="","",SUMIFS(ar_Amount,ar_Party,B56,ar_Posted,1,ar_Date,"&lt;="&amp;AsOf))</f>
        <v/>
      </c>
      <c r="J56" s="65">
        <f>IF(B56="","",SUMIFS(ar_Paid,ar_Party,B56))</f>
        <v/>
      </c>
      <c r="K56" s="65">
        <f>IF(B56="","",SUMIFS(ar_Balance,ar_Party,B56))</f>
        <v/>
      </c>
      <c r="L56" s="65">
        <f>IF(B56="","",SUMIFS(ar_Balance,ar_Party,B56,ar_Status,"Overdue"))</f>
        <v/>
      </c>
      <c r="M56" s="66">
        <f>IF(B56="","",IF(COUNTIF(cust_Name,B56)&gt;1,"⚠ Duplicate name","✓ OK"))</f>
        <v/>
      </c>
      <c r="N56" s="67">
        <f>IF(AND(B56&lt;&gt;"",N(K56)&gt;0),K56+50/1000000,"")</f>
        <v/>
      </c>
    </row>
    <row r="57">
      <c r="B57" s="62" t="n"/>
      <c r="C57" s="62" t="n"/>
      <c r="D57" s="62" t="n"/>
      <c r="E57" s="62" t="n"/>
      <c r="F57" s="62" t="n"/>
      <c r="G57" s="69" t="n"/>
      <c r="H57" s="62" t="n"/>
      <c r="I57" s="65">
        <f>IF(B57="","",SUMIFS(ar_Amount,ar_Party,B57,ar_Posted,1,ar_Date,"&lt;="&amp;AsOf))</f>
        <v/>
      </c>
      <c r="J57" s="65">
        <f>IF(B57="","",SUMIFS(ar_Paid,ar_Party,B57))</f>
        <v/>
      </c>
      <c r="K57" s="65">
        <f>IF(B57="","",SUMIFS(ar_Balance,ar_Party,B57))</f>
        <v/>
      </c>
      <c r="L57" s="65">
        <f>IF(B57="","",SUMIFS(ar_Balance,ar_Party,B57,ar_Status,"Overdue"))</f>
        <v/>
      </c>
      <c r="M57" s="66">
        <f>IF(B57="","",IF(COUNTIF(cust_Name,B57)&gt;1,"⚠ Duplicate name","✓ OK"))</f>
        <v/>
      </c>
      <c r="N57" s="67">
        <f>IF(AND(B57&lt;&gt;"",N(K57)&gt;0),K57+51/1000000,"")</f>
        <v/>
      </c>
    </row>
    <row r="58">
      <c r="B58" s="62" t="n"/>
      <c r="C58" s="62" t="n"/>
      <c r="D58" s="62" t="n"/>
      <c r="E58" s="62" t="n"/>
      <c r="F58" s="62" t="n"/>
      <c r="G58" s="69" t="n"/>
      <c r="H58" s="62" t="n"/>
      <c r="I58" s="65">
        <f>IF(B58="","",SUMIFS(ar_Amount,ar_Party,B58,ar_Posted,1,ar_Date,"&lt;="&amp;AsOf))</f>
        <v/>
      </c>
      <c r="J58" s="65">
        <f>IF(B58="","",SUMIFS(ar_Paid,ar_Party,B58))</f>
        <v/>
      </c>
      <c r="K58" s="65">
        <f>IF(B58="","",SUMIFS(ar_Balance,ar_Party,B58))</f>
        <v/>
      </c>
      <c r="L58" s="65">
        <f>IF(B58="","",SUMIFS(ar_Balance,ar_Party,B58,ar_Status,"Overdue"))</f>
        <v/>
      </c>
      <c r="M58" s="66">
        <f>IF(B58="","",IF(COUNTIF(cust_Name,B58)&gt;1,"⚠ Duplicate name","✓ OK"))</f>
        <v/>
      </c>
      <c r="N58" s="67">
        <f>IF(AND(B58&lt;&gt;"",N(K58)&gt;0),K58+52/1000000,"")</f>
        <v/>
      </c>
    </row>
    <row r="59">
      <c r="B59" s="62" t="n"/>
      <c r="C59" s="62" t="n"/>
      <c r="D59" s="62" t="n"/>
      <c r="E59" s="62" t="n"/>
      <c r="F59" s="62" t="n"/>
      <c r="G59" s="69" t="n"/>
      <c r="H59" s="62" t="n"/>
      <c r="I59" s="65">
        <f>IF(B59="","",SUMIFS(ar_Amount,ar_Party,B59,ar_Posted,1,ar_Date,"&lt;="&amp;AsOf))</f>
        <v/>
      </c>
      <c r="J59" s="65">
        <f>IF(B59="","",SUMIFS(ar_Paid,ar_Party,B59))</f>
        <v/>
      </c>
      <c r="K59" s="65">
        <f>IF(B59="","",SUMIFS(ar_Balance,ar_Party,B59))</f>
        <v/>
      </c>
      <c r="L59" s="65">
        <f>IF(B59="","",SUMIFS(ar_Balance,ar_Party,B59,ar_Status,"Overdue"))</f>
        <v/>
      </c>
      <c r="M59" s="66">
        <f>IF(B59="","",IF(COUNTIF(cust_Name,B59)&gt;1,"⚠ Duplicate name","✓ OK"))</f>
        <v/>
      </c>
      <c r="N59" s="67">
        <f>IF(AND(B59&lt;&gt;"",N(K59)&gt;0),K59+53/1000000,"")</f>
        <v/>
      </c>
    </row>
    <row r="60">
      <c r="B60" s="62" t="n"/>
      <c r="C60" s="62" t="n"/>
      <c r="D60" s="62" t="n"/>
      <c r="E60" s="62" t="n"/>
      <c r="F60" s="62" t="n"/>
      <c r="G60" s="69" t="n"/>
      <c r="H60" s="62" t="n"/>
      <c r="I60" s="65">
        <f>IF(B60="","",SUMIFS(ar_Amount,ar_Party,B60,ar_Posted,1,ar_Date,"&lt;="&amp;AsOf))</f>
        <v/>
      </c>
      <c r="J60" s="65">
        <f>IF(B60="","",SUMIFS(ar_Paid,ar_Party,B60))</f>
        <v/>
      </c>
      <c r="K60" s="65">
        <f>IF(B60="","",SUMIFS(ar_Balance,ar_Party,B60))</f>
        <v/>
      </c>
      <c r="L60" s="65">
        <f>IF(B60="","",SUMIFS(ar_Balance,ar_Party,B60,ar_Status,"Overdue"))</f>
        <v/>
      </c>
      <c r="M60" s="66">
        <f>IF(B60="","",IF(COUNTIF(cust_Name,B60)&gt;1,"⚠ Duplicate name","✓ OK"))</f>
        <v/>
      </c>
      <c r="N60" s="67">
        <f>IF(AND(B60&lt;&gt;"",N(K60)&gt;0),K60+54/1000000,"")</f>
        <v/>
      </c>
    </row>
    <row r="61">
      <c r="B61" s="62" t="n"/>
      <c r="C61" s="62" t="n"/>
      <c r="D61" s="62" t="n"/>
      <c r="E61" s="62" t="n"/>
      <c r="F61" s="62" t="n"/>
      <c r="G61" s="69" t="n"/>
      <c r="H61" s="62" t="n"/>
      <c r="I61" s="65">
        <f>IF(B61="","",SUMIFS(ar_Amount,ar_Party,B61,ar_Posted,1,ar_Date,"&lt;="&amp;AsOf))</f>
        <v/>
      </c>
      <c r="J61" s="65">
        <f>IF(B61="","",SUMIFS(ar_Paid,ar_Party,B61))</f>
        <v/>
      </c>
      <c r="K61" s="65">
        <f>IF(B61="","",SUMIFS(ar_Balance,ar_Party,B61))</f>
        <v/>
      </c>
      <c r="L61" s="65">
        <f>IF(B61="","",SUMIFS(ar_Balance,ar_Party,B61,ar_Status,"Overdue"))</f>
        <v/>
      </c>
      <c r="M61" s="66">
        <f>IF(B61="","",IF(COUNTIF(cust_Name,B61)&gt;1,"⚠ Duplicate name","✓ OK"))</f>
        <v/>
      </c>
      <c r="N61" s="67">
        <f>IF(AND(B61&lt;&gt;"",N(K61)&gt;0),K61+55/1000000,"")</f>
        <v/>
      </c>
    </row>
    <row r="62">
      <c r="B62" s="62" t="n"/>
      <c r="C62" s="62" t="n"/>
      <c r="D62" s="62" t="n"/>
      <c r="E62" s="62" t="n"/>
      <c r="F62" s="62" t="n"/>
      <c r="G62" s="69" t="n"/>
      <c r="H62" s="62" t="n"/>
      <c r="I62" s="65">
        <f>IF(B62="","",SUMIFS(ar_Amount,ar_Party,B62,ar_Posted,1,ar_Date,"&lt;="&amp;AsOf))</f>
        <v/>
      </c>
      <c r="J62" s="65">
        <f>IF(B62="","",SUMIFS(ar_Paid,ar_Party,B62))</f>
        <v/>
      </c>
      <c r="K62" s="65">
        <f>IF(B62="","",SUMIFS(ar_Balance,ar_Party,B62))</f>
        <v/>
      </c>
      <c r="L62" s="65">
        <f>IF(B62="","",SUMIFS(ar_Balance,ar_Party,B62,ar_Status,"Overdue"))</f>
        <v/>
      </c>
      <c r="M62" s="66">
        <f>IF(B62="","",IF(COUNTIF(cust_Name,B62)&gt;1,"⚠ Duplicate name","✓ OK"))</f>
        <v/>
      </c>
      <c r="N62" s="67">
        <f>IF(AND(B62&lt;&gt;"",N(K62)&gt;0),K62+56/1000000,"")</f>
        <v/>
      </c>
    </row>
    <row r="63">
      <c r="B63" s="62" t="n"/>
      <c r="C63" s="62" t="n"/>
      <c r="D63" s="62" t="n"/>
      <c r="E63" s="62" t="n"/>
      <c r="F63" s="62" t="n"/>
      <c r="G63" s="69" t="n"/>
      <c r="H63" s="62" t="n"/>
      <c r="I63" s="65">
        <f>IF(B63="","",SUMIFS(ar_Amount,ar_Party,B63,ar_Posted,1,ar_Date,"&lt;="&amp;AsOf))</f>
        <v/>
      </c>
      <c r="J63" s="65">
        <f>IF(B63="","",SUMIFS(ar_Paid,ar_Party,B63))</f>
        <v/>
      </c>
      <c r="K63" s="65">
        <f>IF(B63="","",SUMIFS(ar_Balance,ar_Party,B63))</f>
        <v/>
      </c>
      <c r="L63" s="65">
        <f>IF(B63="","",SUMIFS(ar_Balance,ar_Party,B63,ar_Status,"Overdue"))</f>
        <v/>
      </c>
      <c r="M63" s="66">
        <f>IF(B63="","",IF(COUNTIF(cust_Name,B63)&gt;1,"⚠ Duplicate name","✓ OK"))</f>
        <v/>
      </c>
      <c r="N63" s="67">
        <f>IF(AND(B63&lt;&gt;"",N(K63)&gt;0),K63+57/1000000,"")</f>
        <v/>
      </c>
    </row>
    <row r="64">
      <c r="B64" s="62" t="n"/>
      <c r="C64" s="62" t="n"/>
      <c r="D64" s="62" t="n"/>
      <c r="E64" s="62" t="n"/>
      <c r="F64" s="62" t="n"/>
      <c r="G64" s="69" t="n"/>
      <c r="H64" s="62" t="n"/>
      <c r="I64" s="65">
        <f>IF(B64="","",SUMIFS(ar_Amount,ar_Party,B64,ar_Posted,1,ar_Date,"&lt;="&amp;AsOf))</f>
        <v/>
      </c>
      <c r="J64" s="65">
        <f>IF(B64="","",SUMIFS(ar_Paid,ar_Party,B64))</f>
        <v/>
      </c>
      <c r="K64" s="65">
        <f>IF(B64="","",SUMIFS(ar_Balance,ar_Party,B64))</f>
        <v/>
      </c>
      <c r="L64" s="65">
        <f>IF(B64="","",SUMIFS(ar_Balance,ar_Party,B64,ar_Status,"Overdue"))</f>
        <v/>
      </c>
      <c r="M64" s="66">
        <f>IF(B64="","",IF(COUNTIF(cust_Name,B64)&gt;1,"⚠ Duplicate name","✓ OK"))</f>
        <v/>
      </c>
      <c r="N64" s="67">
        <f>IF(AND(B64&lt;&gt;"",N(K64)&gt;0),K64+58/1000000,"")</f>
        <v/>
      </c>
    </row>
    <row r="65">
      <c r="B65" s="62" t="n"/>
      <c r="C65" s="62" t="n"/>
      <c r="D65" s="62" t="n"/>
      <c r="E65" s="62" t="n"/>
      <c r="F65" s="62" t="n"/>
      <c r="G65" s="69" t="n"/>
      <c r="H65" s="62" t="n"/>
      <c r="I65" s="65">
        <f>IF(B65="","",SUMIFS(ar_Amount,ar_Party,B65,ar_Posted,1,ar_Date,"&lt;="&amp;AsOf))</f>
        <v/>
      </c>
      <c r="J65" s="65">
        <f>IF(B65="","",SUMIFS(ar_Paid,ar_Party,B65))</f>
        <v/>
      </c>
      <c r="K65" s="65">
        <f>IF(B65="","",SUMIFS(ar_Balance,ar_Party,B65))</f>
        <v/>
      </c>
      <c r="L65" s="65">
        <f>IF(B65="","",SUMIFS(ar_Balance,ar_Party,B65,ar_Status,"Overdue"))</f>
        <v/>
      </c>
      <c r="M65" s="66">
        <f>IF(B65="","",IF(COUNTIF(cust_Name,B65)&gt;1,"⚠ Duplicate name","✓ OK"))</f>
        <v/>
      </c>
      <c r="N65" s="67">
        <f>IF(AND(B65&lt;&gt;"",N(K65)&gt;0),K65+59/1000000,"")</f>
        <v/>
      </c>
    </row>
    <row r="66">
      <c r="B66" s="62" t="n"/>
      <c r="C66" s="62" t="n"/>
      <c r="D66" s="62" t="n"/>
      <c r="E66" s="62" t="n"/>
      <c r="F66" s="62" t="n"/>
      <c r="G66" s="69" t="n"/>
      <c r="H66" s="62" t="n"/>
      <c r="I66" s="65">
        <f>IF(B66="","",SUMIFS(ar_Amount,ar_Party,B66,ar_Posted,1,ar_Date,"&lt;="&amp;AsOf))</f>
        <v/>
      </c>
      <c r="J66" s="65">
        <f>IF(B66="","",SUMIFS(ar_Paid,ar_Party,B66))</f>
        <v/>
      </c>
      <c r="K66" s="65">
        <f>IF(B66="","",SUMIFS(ar_Balance,ar_Party,B66))</f>
        <v/>
      </c>
      <c r="L66" s="65">
        <f>IF(B66="","",SUMIFS(ar_Balance,ar_Party,B66,ar_Status,"Overdue"))</f>
        <v/>
      </c>
      <c r="M66" s="66">
        <f>IF(B66="","",IF(COUNTIF(cust_Name,B66)&gt;1,"⚠ Duplicate name","✓ OK"))</f>
        <v/>
      </c>
      <c r="N66" s="67">
        <f>IF(AND(B66&lt;&gt;"",N(K66)&gt;0),K66+60/1000000,"")</f>
        <v/>
      </c>
    </row>
    <row r="67">
      <c r="B67" s="62" t="n"/>
      <c r="C67" s="62" t="n"/>
      <c r="D67" s="62" t="n"/>
      <c r="E67" s="62" t="n"/>
      <c r="F67" s="62" t="n"/>
      <c r="G67" s="69" t="n"/>
      <c r="H67" s="62" t="n"/>
      <c r="I67" s="65">
        <f>IF(B67="","",SUMIFS(ar_Amount,ar_Party,B67,ar_Posted,1,ar_Date,"&lt;="&amp;AsOf))</f>
        <v/>
      </c>
      <c r="J67" s="65">
        <f>IF(B67="","",SUMIFS(ar_Paid,ar_Party,B67))</f>
        <v/>
      </c>
      <c r="K67" s="65">
        <f>IF(B67="","",SUMIFS(ar_Balance,ar_Party,B67))</f>
        <v/>
      </c>
      <c r="L67" s="65">
        <f>IF(B67="","",SUMIFS(ar_Balance,ar_Party,B67,ar_Status,"Overdue"))</f>
        <v/>
      </c>
      <c r="M67" s="66">
        <f>IF(B67="","",IF(COUNTIF(cust_Name,B67)&gt;1,"⚠ Duplicate name","✓ OK"))</f>
        <v/>
      </c>
      <c r="N67" s="67">
        <f>IF(AND(B67&lt;&gt;"",N(K67)&gt;0),K67+61/1000000,"")</f>
        <v/>
      </c>
    </row>
    <row r="68">
      <c r="B68" s="62" t="n"/>
      <c r="C68" s="62" t="n"/>
      <c r="D68" s="62" t="n"/>
      <c r="E68" s="62" t="n"/>
      <c r="F68" s="62" t="n"/>
      <c r="G68" s="69" t="n"/>
      <c r="H68" s="62" t="n"/>
      <c r="I68" s="65">
        <f>IF(B68="","",SUMIFS(ar_Amount,ar_Party,B68,ar_Posted,1,ar_Date,"&lt;="&amp;AsOf))</f>
        <v/>
      </c>
      <c r="J68" s="65">
        <f>IF(B68="","",SUMIFS(ar_Paid,ar_Party,B68))</f>
        <v/>
      </c>
      <c r="K68" s="65">
        <f>IF(B68="","",SUMIFS(ar_Balance,ar_Party,B68))</f>
        <v/>
      </c>
      <c r="L68" s="65">
        <f>IF(B68="","",SUMIFS(ar_Balance,ar_Party,B68,ar_Status,"Overdue"))</f>
        <v/>
      </c>
      <c r="M68" s="66">
        <f>IF(B68="","",IF(COUNTIF(cust_Name,B68)&gt;1,"⚠ Duplicate name","✓ OK"))</f>
        <v/>
      </c>
      <c r="N68" s="67">
        <f>IF(AND(B68&lt;&gt;"",N(K68)&gt;0),K68+62/1000000,"")</f>
        <v/>
      </c>
    </row>
    <row r="69">
      <c r="B69" s="62" t="n"/>
      <c r="C69" s="62" t="n"/>
      <c r="D69" s="62" t="n"/>
      <c r="E69" s="62" t="n"/>
      <c r="F69" s="62" t="n"/>
      <c r="G69" s="69" t="n"/>
      <c r="H69" s="62" t="n"/>
      <c r="I69" s="65">
        <f>IF(B69="","",SUMIFS(ar_Amount,ar_Party,B69,ar_Posted,1,ar_Date,"&lt;="&amp;AsOf))</f>
        <v/>
      </c>
      <c r="J69" s="65">
        <f>IF(B69="","",SUMIFS(ar_Paid,ar_Party,B69))</f>
        <v/>
      </c>
      <c r="K69" s="65">
        <f>IF(B69="","",SUMIFS(ar_Balance,ar_Party,B69))</f>
        <v/>
      </c>
      <c r="L69" s="65">
        <f>IF(B69="","",SUMIFS(ar_Balance,ar_Party,B69,ar_Status,"Overdue"))</f>
        <v/>
      </c>
      <c r="M69" s="66">
        <f>IF(B69="","",IF(COUNTIF(cust_Name,B69)&gt;1,"⚠ Duplicate name","✓ OK"))</f>
        <v/>
      </c>
      <c r="N69" s="67">
        <f>IF(AND(B69&lt;&gt;"",N(K69)&gt;0),K69+63/1000000,"")</f>
        <v/>
      </c>
    </row>
    <row r="70">
      <c r="B70" s="62" t="n"/>
      <c r="C70" s="62" t="n"/>
      <c r="D70" s="62" t="n"/>
      <c r="E70" s="62" t="n"/>
      <c r="F70" s="62" t="n"/>
      <c r="G70" s="69" t="n"/>
      <c r="H70" s="62" t="n"/>
      <c r="I70" s="65">
        <f>IF(B70="","",SUMIFS(ar_Amount,ar_Party,B70,ar_Posted,1,ar_Date,"&lt;="&amp;AsOf))</f>
        <v/>
      </c>
      <c r="J70" s="65">
        <f>IF(B70="","",SUMIFS(ar_Paid,ar_Party,B70))</f>
        <v/>
      </c>
      <c r="K70" s="65">
        <f>IF(B70="","",SUMIFS(ar_Balance,ar_Party,B70))</f>
        <v/>
      </c>
      <c r="L70" s="65">
        <f>IF(B70="","",SUMIFS(ar_Balance,ar_Party,B70,ar_Status,"Overdue"))</f>
        <v/>
      </c>
      <c r="M70" s="66">
        <f>IF(B70="","",IF(COUNTIF(cust_Name,B70)&gt;1,"⚠ Duplicate name","✓ OK"))</f>
        <v/>
      </c>
      <c r="N70" s="67">
        <f>IF(AND(B70&lt;&gt;"",N(K70)&gt;0),K70+64/1000000,"")</f>
        <v/>
      </c>
    </row>
    <row r="71">
      <c r="B71" s="62" t="n"/>
      <c r="C71" s="62" t="n"/>
      <c r="D71" s="62" t="n"/>
      <c r="E71" s="62" t="n"/>
      <c r="F71" s="62" t="n"/>
      <c r="G71" s="69" t="n"/>
      <c r="H71" s="62" t="n"/>
      <c r="I71" s="65">
        <f>IF(B71="","",SUMIFS(ar_Amount,ar_Party,B71,ar_Posted,1,ar_Date,"&lt;="&amp;AsOf))</f>
        <v/>
      </c>
      <c r="J71" s="65">
        <f>IF(B71="","",SUMIFS(ar_Paid,ar_Party,B71))</f>
        <v/>
      </c>
      <c r="K71" s="65">
        <f>IF(B71="","",SUMIFS(ar_Balance,ar_Party,B71))</f>
        <v/>
      </c>
      <c r="L71" s="65">
        <f>IF(B71="","",SUMIFS(ar_Balance,ar_Party,B71,ar_Status,"Overdue"))</f>
        <v/>
      </c>
      <c r="M71" s="66">
        <f>IF(B71="","",IF(COUNTIF(cust_Name,B71)&gt;1,"⚠ Duplicate name","✓ OK"))</f>
        <v/>
      </c>
      <c r="N71" s="67">
        <f>IF(AND(B71&lt;&gt;"",N(K71)&gt;0),K71+65/1000000,"")</f>
        <v/>
      </c>
    </row>
    <row r="72">
      <c r="B72" s="62" t="n"/>
      <c r="C72" s="62" t="n"/>
      <c r="D72" s="62" t="n"/>
      <c r="E72" s="62" t="n"/>
      <c r="F72" s="62" t="n"/>
      <c r="G72" s="69" t="n"/>
      <c r="H72" s="62" t="n"/>
      <c r="I72" s="65">
        <f>IF(B72="","",SUMIFS(ar_Amount,ar_Party,B72,ar_Posted,1,ar_Date,"&lt;="&amp;AsOf))</f>
        <v/>
      </c>
      <c r="J72" s="65">
        <f>IF(B72="","",SUMIFS(ar_Paid,ar_Party,B72))</f>
        <v/>
      </c>
      <c r="K72" s="65">
        <f>IF(B72="","",SUMIFS(ar_Balance,ar_Party,B72))</f>
        <v/>
      </c>
      <c r="L72" s="65">
        <f>IF(B72="","",SUMIFS(ar_Balance,ar_Party,B72,ar_Status,"Overdue"))</f>
        <v/>
      </c>
      <c r="M72" s="66">
        <f>IF(B72="","",IF(COUNTIF(cust_Name,B72)&gt;1,"⚠ Duplicate name","✓ OK"))</f>
        <v/>
      </c>
      <c r="N72" s="67">
        <f>IF(AND(B72&lt;&gt;"",N(K72)&gt;0),K72+66/1000000,"")</f>
        <v/>
      </c>
    </row>
    <row r="73">
      <c r="B73" s="62" t="n"/>
      <c r="C73" s="62" t="n"/>
      <c r="D73" s="62" t="n"/>
      <c r="E73" s="62" t="n"/>
      <c r="F73" s="62" t="n"/>
      <c r="G73" s="69" t="n"/>
      <c r="H73" s="62" t="n"/>
      <c r="I73" s="65">
        <f>IF(B73="","",SUMIFS(ar_Amount,ar_Party,B73,ar_Posted,1,ar_Date,"&lt;="&amp;AsOf))</f>
        <v/>
      </c>
      <c r="J73" s="65">
        <f>IF(B73="","",SUMIFS(ar_Paid,ar_Party,B73))</f>
        <v/>
      </c>
      <c r="K73" s="65">
        <f>IF(B73="","",SUMIFS(ar_Balance,ar_Party,B73))</f>
        <v/>
      </c>
      <c r="L73" s="65">
        <f>IF(B73="","",SUMIFS(ar_Balance,ar_Party,B73,ar_Status,"Overdue"))</f>
        <v/>
      </c>
      <c r="M73" s="66">
        <f>IF(B73="","",IF(COUNTIF(cust_Name,B73)&gt;1,"⚠ Duplicate name","✓ OK"))</f>
        <v/>
      </c>
      <c r="N73" s="67">
        <f>IF(AND(B73&lt;&gt;"",N(K73)&gt;0),K73+67/1000000,"")</f>
        <v/>
      </c>
    </row>
    <row r="74">
      <c r="B74" s="62" t="n"/>
      <c r="C74" s="62" t="n"/>
      <c r="D74" s="62" t="n"/>
      <c r="E74" s="62" t="n"/>
      <c r="F74" s="62" t="n"/>
      <c r="G74" s="69" t="n"/>
      <c r="H74" s="62" t="n"/>
      <c r="I74" s="65">
        <f>IF(B74="","",SUMIFS(ar_Amount,ar_Party,B74,ar_Posted,1,ar_Date,"&lt;="&amp;AsOf))</f>
        <v/>
      </c>
      <c r="J74" s="65">
        <f>IF(B74="","",SUMIFS(ar_Paid,ar_Party,B74))</f>
        <v/>
      </c>
      <c r="K74" s="65">
        <f>IF(B74="","",SUMIFS(ar_Balance,ar_Party,B74))</f>
        <v/>
      </c>
      <c r="L74" s="65">
        <f>IF(B74="","",SUMIFS(ar_Balance,ar_Party,B74,ar_Status,"Overdue"))</f>
        <v/>
      </c>
      <c r="M74" s="66">
        <f>IF(B74="","",IF(COUNTIF(cust_Name,B74)&gt;1,"⚠ Duplicate name","✓ OK"))</f>
        <v/>
      </c>
      <c r="N74" s="67">
        <f>IF(AND(B74&lt;&gt;"",N(K74)&gt;0),K74+68/1000000,"")</f>
        <v/>
      </c>
    </row>
    <row r="75">
      <c r="B75" s="62" t="n"/>
      <c r="C75" s="62" t="n"/>
      <c r="D75" s="62" t="n"/>
      <c r="E75" s="62" t="n"/>
      <c r="F75" s="62" t="n"/>
      <c r="G75" s="69" t="n"/>
      <c r="H75" s="62" t="n"/>
      <c r="I75" s="65">
        <f>IF(B75="","",SUMIFS(ar_Amount,ar_Party,B75,ar_Posted,1,ar_Date,"&lt;="&amp;AsOf))</f>
        <v/>
      </c>
      <c r="J75" s="65">
        <f>IF(B75="","",SUMIFS(ar_Paid,ar_Party,B75))</f>
        <v/>
      </c>
      <c r="K75" s="65">
        <f>IF(B75="","",SUMIFS(ar_Balance,ar_Party,B75))</f>
        <v/>
      </c>
      <c r="L75" s="65">
        <f>IF(B75="","",SUMIFS(ar_Balance,ar_Party,B75,ar_Status,"Overdue"))</f>
        <v/>
      </c>
      <c r="M75" s="66">
        <f>IF(B75="","",IF(COUNTIF(cust_Name,B75)&gt;1,"⚠ Duplicate name","✓ OK"))</f>
        <v/>
      </c>
      <c r="N75" s="67">
        <f>IF(AND(B75&lt;&gt;"",N(K75)&gt;0),K75+69/1000000,"")</f>
        <v/>
      </c>
    </row>
    <row r="76">
      <c r="B76" s="62" t="n"/>
      <c r="C76" s="62" t="n"/>
      <c r="D76" s="62" t="n"/>
      <c r="E76" s="62" t="n"/>
      <c r="F76" s="62" t="n"/>
      <c r="G76" s="69" t="n"/>
      <c r="H76" s="62" t="n"/>
      <c r="I76" s="65">
        <f>IF(B76="","",SUMIFS(ar_Amount,ar_Party,B76,ar_Posted,1,ar_Date,"&lt;="&amp;AsOf))</f>
        <v/>
      </c>
      <c r="J76" s="65">
        <f>IF(B76="","",SUMIFS(ar_Paid,ar_Party,B76))</f>
        <v/>
      </c>
      <c r="K76" s="65">
        <f>IF(B76="","",SUMIFS(ar_Balance,ar_Party,B76))</f>
        <v/>
      </c>
      <c r="L76" s="65">
        <f>IF(B76="","",SUMIFS(ar_Balance,ar_Party,B76,ar_Status,"Overdue"))</f>
        <v/>
      </c>
      <c r="M76" s="66">
        <f>IF(B76="","",IF(COUNTIF(cust_Name,B76)&gt;1,"⚠ Duplicate name","✓ OK"))</f>
        <v/>
      </c>
      <c r="N76" s="67">
        <f>IF(AND(B76&lt;&gt;"",N(K76)&gt;0),K76+70/1000000,"")</f>
        <v/>
      </c>
    </row>
    <row r="77">
      <c r="B77" s="62" t="n"/>
      <c r="C77" s="62" t="n"/>
      <c r="D77" s="62" t="n"/>
      <c r="E77" s="62" t="n"/>
      <c r="F77" s="62" t="n"/>
      <c r="G77" s="69" t="n"/>
      <c r="H77" s="62" t="n"/>
      <c r="I77" s="65">
        <f>IF(B77="","",SUMIFS(ar_Amount,ar_Party,B77,ar_Posted,1,ar_Date,"&lt;="&amp;AsOf))</f>
        <v/>
      </c>
      <c r="J77" s="65">
        <f>IF(B77="","",SUMIFS(ar_Paid,ar_Party,B77))</f>
        <v/>
      </c>
      <c r="K77" s="65">
        <f>IF(B77="","",SUMIFS(ar_Balance,ar_Party,B77))</f>
        <v/>
      </c>
      <c r="L77" s="65">
        <f>IF(B77="","",SUMIFS(ar_Balance,ar_Party,B77,ar_Status,"Overdue"))</f>
        <v/>
      </c>
      <c r="M77" s="66">
        <f>IF(B77="","",IF(COUNTIF(cust_Name,B77)&gt;1,"⚠ Duplicate name","✓ OK"))</f>
        <v/>
      </c>
      <c r="N77" s="67">
        <f>IF(AND(B77&lt;&gt;"",N(K77)&gt;0),K77+71/1000000,"")</f>
        <v/>
      </c>
    </row>
    <row r="78">
      <c r="B78" s="62" t="n"/>
      <c r="C78" s="62" t="n"/>
      <c r="D78" s="62" t="n"/>
      <c r="E78" s="62" t="n"/>
      <c r="F78" s="62" t="n"/>
      <c r="G78" s="69" t="n"/>
      <c r="H78" s="62" t="n"/>
      <c r="I78" s="65">
        <f>IF(B78="","",SUMIFS(ar_Amount,ar_Party,B78,ar_Posted,1,ar_Date,"&lt;="&amp;AsOf))</f>
        <v/>
      </c>
      <c r="J78" s="65">
        <f>IF(B78="","",SUMIFS(ar_Paid,ar_Party,B78))</f>
        <v/>
      </c>
      <c r="K78" s="65">
        <f>IF(B78="","",SUMIFS(ar_Balance,ar_Party,B78))</f>
        <v/>
      </c>
      <c r="L78" s="65">
        <f>IF(B78="","",SUMIFS(ar_Balance,ar_Party,B78,ar_Status,"Overdue"))</f>
        <v/>
      </c>
      <c r="M78" s="66">
        <f>IF(B78="","",IF(COUNTIF(cust_Name,B78)&gt;1,"⚠ Duplicate name","✓ OK"))</f>
        <v/>
      </c>
      <c r="N78" s="67">
        <f>IF(AND(B78&lt;&gt;"",N(K78)&gt;0),K78+72/1000000,"")</f>
        <v/>
      </c>
    </row>
    <row r="79">
      <c r="B79" s="62" t="n"/>
      <c r="C79" s="62" t="n"/>
      <c r="D79" s="62" t="n"/>
      <c r="E79" s="62" t="n"/>
      <c r="F79" s="62" t="n"/>
      <c r="G79" s="69" t="n"/>
      <c r="H79" s="62" t="n"/>
      <c r="I79" s="65">
        <f>IF(B79="","",SUMIFS(ar_Amount,ar_Party,B79,ar_Posted,1,ar_Date,"&lt;="&amp;AsOf))</f>
        <v/>
      </c>
      <c r="J79" s="65">
        <f>IF(B79="","",SUMIFS(ar_Paid,ar_Party,B79))</f>
        <v/>
      </c>
      <c r="K79" s="65">
        <f>IF(B79="","",SUMIFS(ar_Balance,ar_Party,B79))</f>
        <v/>
      </c>
      <c r="L79" s="65">
        <f>IF(B79="","",SUMIFS(ar_Balance,ar_Party,B79,ar_Status,"Overdue"))</f>
        <v/>
      </c>
      <c r="M79" s="66">
        <f>IF(B79="","",IF(COUNTIF(cust_Name,B79)&gt;1,"⚠ Duplicate name","✓ OK"))</f>
        <v/>
      </c>
      <c r="N79" s="67">
        <f>IF(AND(B79&lt;&gt;"",N(K79)&gt;0),K79+73/1000000,"")</f>
        <v/>
      </c>
    </row>
    <row r="80">
      <c r="B80" s="62" t="n"/>
      <c r="C80" s="62" t="n"/>
      <c r="D80" s="62" t="n"/>
      <c r="E80" s="62" t="n"/>
      <c r="F80" s="62" t="n"/>
      <c r="G80" s="69" t="n"/>
      <c r="H80" s="62" t="n"/>
      <c r="I80" s="65">
        <f>IF(B80="","",SUMIFS(ar_Amount,ar_Party,B80,ar_Posted,1,ar_Date,"&lt;="&amp;AsOf))</f>
        <v/>
      </c>
      <c r="J80" s="65">
        <f>IF(B80="","",SUMIFS(ar_Paid,ar_Party,B80))</f>
        <v/>
      </c>
      <c r="K80" s="65">
        <f>IF(B80="","",SUMIFS(ar_Balance,ar_Party,B80))</f>
        <v/>
      </c>
      <c r="L80" s="65">
        <f>IF(B80="","",SUMIFS(ar_Balance,ar_Party,B80,ar_Status,"Overdue"))</f>
        <v/>
      </c>
      <c r="M80" s="66">
        <f>IF(B80="","",IF(COUNTIF(cust_Name,B80)&gt;1,"⚠ Duplicate name","✓ OK"))</f>
        <v/>
      </c>
      <c r="N80" s="67">
        <f>IF(AND(B80&lt;&gt;"",N(K80)&gt;0),K80+74/1000000,"")</f>
        <v/>
      </c>
    </row>
    <row r="81">
      <c r="B81" s="62" t="n"/>
      <c r="C81" s="62" t="n"/>
      <c r="D81" s="62" t="n"/>
      <c r="E81" s="62" t="n"/>
      <c r="F81" s="62" t="n"/>
      <c r="G81" s="69" t="n"/>
      <c r="H81" s="62" t="n"/>
      <c r="I81" s="65">
        <f>IF(B81="","",SUMIFS(ar_Amount,ar_Party,B81,ar_Posted,1,ar_Date,"&lt;="&amp;AsOf))</f>
        <v/>
      </c>
      <c r="J81" s="65">
        <f>IF(B81="","",SUMIFS(ar_Paid,ar_Party,B81))</f>
        <v/>
      </c>
      <c r="K81" s="65">
        <f>IF(B81="","",SUMIFS(ar_Balance,ar_Party,B81))</f>
        <v/>
      </c>
      <c r="L81" s="65">
        <f>IF(B81="","",SUMIFS(ar_Balance,ar_Party,B81,ar_Status,"Overdue"))</f>
        <v/>
      </c>
      <c r="M81" s="66">
        <f>IF(B81="","",IF(COUNTIF(cust_Name,B81)&gt;1,"⚠ Duplicate name","✓ OK"))</f>
        <v/>
      </c>
      <c r="N81" s="67">
        <f>IF(AND(B81&lt;&gt;"",N(K81)&gt;0),K81+75/1000000,"")</f>
        <v/>
      </c>
    </row>
    <row r="82">
      <c r="B82" s="62" t="n"/>
      <c r="C82" s="62" t="n"/>
      <c r="D82" s="62" t="n"/>
      <c r="E82" s="62" t="n"/>
      <c r="F82" s="62" t="n"/>
      <c r="G82" s="69" t="n"/>
      <c r="H82" s="62" t="n"/>
      <c r="I82" s="65">
        <f>IF(B82="","",SUMIFS(ar_Amount,ar_Party,B82,ar_Posted,1,ar_Date,"&lt;="&amp;AsOf))</f>
        <v/>
      </c>
      <c r="J82" s="65">
        <f>IF(B82="","",SUMIFS(ar_Paid,ar_Party,B82))</f>
        <v/>
      </c>
      <c r="K82" s="65">
        <f>IF(B82="","",SUMIFS(ar_Balance,ar_Party,B82))</f>
        <v/>
      </c>
      <c r="L82" s="65">
        <f>IF(B82="","",SUMIFS(ar_Balance,ar_Party,B82,ar_Status,"Overdue"))</f>
        <v/>
      </c>
      <c r="M82" s="66">
        <f>IF(B82="","",IF(COUNTIF(cust_Name,B82)&gt;1,"⚠ Duplicate name","✓ OK"))</f>
        <v/>
      </c>
      <c r="N82" s="67">
        <f>IF(AND(B82&lt;&gt;"",N(K82)&gt;0),K82+76/1000000,"")</f>
        <v/>
      </c>
    </row>
    <row r="83">
      <c r="B83" s="62" t="n"/>
      <c r="C83" s="62" t="n"/>
      <c r="D83" s="62" t="n"/>
      <c r="E83" s="62" t="n"/>
      <c r="F83" s="62" t="n"/>
      <c r="G83" s="69" t="n"/>
      <c r="H83" s="62" t="n"/>
      <c r="I83" s="65">
        <f>IF(B83="","",SUMIFS(ar_Amount,ar_Party,B83,ar_Posted,1,ar_Date,"&lt;="&amp;AsOf))</f>
        <v/>
      </c>
      <c r="J83" s="65">
        <f>IF(B83="","",SUMIFS(ar_Paid,ar_Party,B83))</f>
        <v/>
      </c>
      <c r="K83" s="65">
        <f>IF(B83="","",SUMIFS(ar_Balance,ar_Party,B83))</f>
        <v/>
      </c>
      <c r="L83" s="65">
        <f>IF(B83="","",SUMIFS(ar_Balance,ar_Party,B83,ar_Status,"Overdue"))</f>
        <v/>
      </c>
      <c r="M83" s="66">
        <f>IF(B83="","",IF(COUNTIF(cust_Name,B83)&gt;1,"⚠ Duplicate name","✓ OK"))</f>
        <v/>
      </c>
      <c r="N83" s="67">
        <f>IF(AND(B83&lt;&gt;"",N(K83)&gt;0),K83+77/1000000,"")</f>
        <v/>
      </c>
    </row>
    <row r="84">
      <c r="B84" s="62" t="n"/>
      <c r="C84" s="62" t="n"/>
      <c r="D84" s="62" t="n"/>
      <c r="E84" s="62" t="n"/>
      <c r="F84" s="62" t="n"/>
      <c r="G84" s="69" t="n"/>
      <c r="H84" s="62" t="n"/>
      <c r="I84" s="65">
        <f>IF(B84="","",SUMIFS(ar_Amount,ar_Party,B84,ar_Posted,1,ar_Date,"&lt;="&amp;AsOf))</f>
        <v/>
      </c>
      <c r="J84" s="65">
        <f>IF(B84="","",SUMIFS(ar_Paid,ar_Party,B84))</f>
        <v/>
      </c>
      <c r="K84" s="65">
        <f>IF(B84="","",SUMIFS(ar_Balance,ar_Party,B84))</f>
        <v/>
      </c>
      <c r="L84" s="65">
        <f>IF(B84="","",SUMIFS(ar_Balance,ar_Party,B84,ar_Status,"Overdue"))</f>
        <v/>
      </c>
      <c r="M84" s="66">
        <f>IF(B84="","",IF(COUNTIF(cust_Name,B84)&gt;1,"⚠ Duplicate name","✓ OK"))</f>
        <v/>
      </c>
      <c r="N84" s="67">
        <f>IF(AND(B84&lt;&gt;"",N(K84)&gt;0),K84+78/1000000,"")</f>
        <v/>
      </c>
    </row>
    <row r="85">
      <c r="B85" s="62" t="n"/>
      <c r="C85" s="62" t="n"/>
      <c r="D85" s="62" t="n"/>
      <c r="E85" s="62" t="n"/>
      <c r="F85" s="62" t="n"/>
      <c r="G85" s="69" t="n"/>
      <c r="H85" s="62" t="n"/>
      <c r="I85" s="65">
        <f>IF(B85="","",SUMIFS(ar_Amount,ar_Party,B85,ar_Posted,1,ar_Date,"&lt;="&amp;AsOf))</f>
        <v/>
      </c>
      <c r="J85" s="65">
        <f>IF(B85="","",SUMIFS(ar_Paid,ar_Party,B85))</f>
        <v/>
      </c>
      <c r="K85" s="65">
        <f>IF(B85="","",SUMIFS(ar_Balance,ar_Party,B85))</f>
        <v/>
      </c>
      <c r="L85" s="65">
        <f>IF(B85="","",SUMIFS(ar_Balance,ar_Party,B85,ar_Status,"Overdue"))</f>
        <v/>
      </c>
      <c r="M85" s="66">
        <f>IF(B85="","",IF(COUNTIF(cust_Name,B85)&gt;1,"⚠ Duplicate name","✓ OK"))</f>
        <v/>
      </c>
      <c r="N85" s="67">
        <f>IF(AND(B85&lt;&gt;"",N(K85)&gt;0),K85+79/1000000,"")</f>
        <v/>
      </c>
    </row>
    <row r="86">
      <c r="B86" s="62" t="n"/>
      <c r="C86" s="62" t="n"/>
      <c r="D86" s="62" t="n"/>
      <c r="E86" s="62" t="n"/>
      <c r="F86" s="62" t="n"/>
      <c r="G86" s="69" t="n"/>
      <c r="H86" s="62" t="n"/>
      <c r="I86" s="65">
        <f>IF(B86="","",SUMIFS(ar_Amount,ar_Party,B86,ar_Posted,1,ar_Date,"&lt;="&amp;AsOf))</f>
        <v/>
      </c>
      <c r="J86" s="65">
        <f>IF(B86="","",SUMIFS(ar_Paid,ar_Party,B86))</f>
        <v/>
      </c>
      <c r="K86" s="65">
        <f>IF(B86="","",SUMIFS(ar_Balance,ar_Party,B86))</f>
        <v/>
      </c>
      <c r="L86" s="65">
        <f>IF(B86="","",SUMIFS(ar_Balance,ar_Party,B86,ar_Status,"Overdue"))</f>
        <v/>
      </c>
      <c r="M86" s="66">
        <f>IF(B86="","",IF(COUNTIF(cust_Name,B86)&gt;1,"⚠ Duplicate name","✓ OK"))</f>
        <v/>
      </c>
      <c r="N86" s="67">
        <f>IF(AND(B86&lt;&gt;"",N(K86)&gt;0),K86+80/1000000,"")</f>
        <v/>
      </c>
    </row>
    <row r="87">
      <c r="B87" s="62" t="n"/>
      <c r="C87" s="62" t="n"/>
      <c r="D87" s="62" t="n"/>
      <c r="E87" s="62" t="n"/>
      <c r="F87" s="62" t="n"/>
      <c r="G87" s="69" t="n"/>
      <c r="H87" s="62" t="n"/>
      <c r="I87" s="65">
        <f>IF(B87="","",SUMIFS(ar_Amount,ar_Party,B87,ar_Posted,1,ar_Date,"&lt;="&amp;AsOf))</f>
        <v/>
      </c>
      <c r="J87" s="65">
        <f>IF(B87="","",SUMIFS(ar_Paid,ar_Party,B87))</f>
        <v/>
      </c>
      <c r="K87" s="65">
        <f>IF(B87="","",SUMIFS(ar_Balance,ar_Party,B87))</f>
        <v/>
      </c>
      <c r="L87" s="65">
        <f>IF(B87="","",SUMIFS(ar_Balance,ar_Party,B87,ar_Status,"Overdue"))</f>
        <v/>
      </c>
      <c r="M87" s="66">
        <f>IF(B87="","",IF(COUNTIF(cust_Name,B87)&gt;1,"⚠ Duplicate name","✓ OK"))</f>
        <v/>
      </c>
      <c r="N87" s="67">
        <f>IF(AND(B87&lt;&gt;"",N(K87)&gt;0),K87+81/1000000,"")</f>
        <v/>
      </c>
    </row>
    <row r="88">
      <c r="B88" s="62" t="n"/>
      <c r="C88" s="62" t="n"/>
      <c r="D88" s="62" t="n"/>
      <c r="E88" s="62" t="n"/>
      <c r="F88" s="62" t="n"/>
      <c r="G88" s="69" t="n"/>
      <c r="H88" s="62" t="n"/>
      <c r="I88" s="65">
        <f>IF(B88="","",SUMIFS(ar_Amount,ar_Party,B88,ar_Posted,1,ar_Date,"&lt;="&amp;AsOf))</f>
        <v/>
      </c>
      <c r="J88" s="65">
        <f>IF(B88="","",SUMIFS(ar_Paid,ar_Party,B88))</f>
        <v/>
      </c>
      <c r="K88" s="65">
        <f>IF(B88="","",SUMIFS(ar_Balance,ar_Party,B88))</f>
        <v/>
      </c>
      <c r="L88" s="65">
        <f>IF(B88="","",SUMIFS(ar_Balance,ar_Party,B88,ar_Status,"Overdue"))</f>
        <v/>
      </c>
      <c r="M88" s="66">
        <f>IF(B88="","",IF(COUNTIF(cust_Name,B88)&gt;1,"⚠ Duplicate name","✓ OK"))</f>
        <v/>
      </c>
      <c r="N88" s="67">
        <f>IF(AND(B88&lt;&gt;"",N(K88)&gt;0),K88+82/1000000,"")</f>
        <v/>
      </c>
    </row>
    <row r="89">
      <c r="B89" s="62" t="n"/>
      <c r="C89" s="62" t="n"/>
      <c r="D89" s="62" t="n"/>
      <c r="E89" s="62" t="n"/>
      <c r="F89" s="62" t="n"/>
      <c r="G89" s="69" t="n"/>
      <c r="H89" s="62" t="n"/>
      <c r="I89" s="65">
        <f>IF(B89="","",SUMIFS(ar_Amount,ar_Party,B89,ar_Posted,1,ar_Date,"&lt;="&amp;AsOf))</f>
        <v/>
      </c>
      <c r="J89" s="65">
        <f>IF(B89="","",SUMIFS(ar_Paid,ar_Party,B89))</f>
        <v/>
      </c>
      <c r="K89" s="65">
        <f>IF(B89="","",SUMIFS(ar_Balance,ar_Party,B89))</f>
        <v/>
      </c>
      <c r="L89" s="65">
        <f>IF(B89="","",SUMIFS(ar_Balance,ar_Party,B89,ar_Status,"Overdue"))</f>
        <v/>
      </c>
      <c r="M89" s="66">
        <f>IF(B89="","",IF(COUNTIF(cust_Name,B89)&gt;1,"⚠ Duplicate name","✓ OK"))</f>
        <v/>
      </c>
      <c r="N89" s="67">
        <f>IF(AND(B89&lt;&gt;"",N(K89)&gt;0),K89+83/1000000,"")</f>
        <v/>
      </c>
    </row>
    <row r="90">
      <c r="B90" s="62" t="n"/>
      <c r="C90" s="62" t="n"/>
      <c r="D90" s="62" t="n"/>
      <c r="E90" s="62" t="n"/>
      <c r="F90" s="62" t="n"/>
      <c r="G90" s="69" t="n"/>
      <c r="H90" s="62" t="n"/>
      <c r="I90" s="65">
        <f>IF(B90="","",SUMIFS(ar_Amount,ar_Party,B90,ar_Posted,1,ar_Date,"&lt;="&amp;AsOf))</f>
        <v/>
      </c>
      <c r="J90" s="65">
        <f>IF(B90="","",SUMIFS(ar_Paid,ar_Party,B90))</f>
        <v/>
      </c>
      <c r="K90" s="65">
        <f>IF(B90="","",SUMIFS(ar_Balance,ar_Party,B90))</f>
        <v/>
      </c>
      <c r="L90" s="65">
        <f>IF(B90="","",SUMIFS(ar_Balance,ar_Party,B90,ar_Status,"Overdue"))</f>
        <v/>
      </c>
      <c r="M90" s="66">
        <f>IF(B90="","",IF(COUNTIF(cust_Name,B90)&gt;1,"⚠ Duplicate name","✓ OK"))</f>
        <v/>
      </c>
      <c r="N90" s="67">
        <f>IF(AND(B90&lt;&gt;"",N(K90)&gt;0),K90+84/1000000,"")</f>
        <v/>
      </c>
    </row>
    <row r="91">
      <c r="B91" s="62" t="n"/>
      <c r="C91" s="62" t="n"/>
      <c r="D91" s="62" t="n"/>
      <c r="E91" s="62" t="n"/>
      <c r="F91" s="62" t="n"/>
      <c r="G91" s="69" t="n"/>
      <c r="H91" s="62" t="n"/>
      <c r="I91" s="65">
        <f>IF(B91="","",SUMIFS(ar_Amount,ar_Party,B91,ar_Posted,1,ar_Date,"&lt;="&amp;AsOf))</f>
        <v/>
      </c>
      <c r="J91" s="65">
        <f>IF(B91="","",SUMIFS(ar_Paid,ar_Party,B91))</f>
        <v/>
      </c>
      <c r="K91" s="65">
        <f>IF(B91="","",SUMIFS(ar_Balance,ar_Party,B91))</f>
        <v/>
      </c>
      <c r="L91" s="65">
        <f>IF(B91="","",SUMIFS(ar_Balance,ar_Party,B91,ar_Status,"Overdue"))</f>
        <v/>
      </c>
      <c r="M91" s="66">
        <f>IF(B91="","",IF(COUNTIF(cust_Name,B91)&gt;1,"⚠ Duplicate name","✓ OK"))</f>
        <v/>
      </c>
      <c r="N91" s="67">
        <f>IF(AND(B91&lt;&gt;"",N(K91)&gt;0),K91+85/1000000,"")</f>
        <v/>
      </c>
    </row>
    <row r="92">
      <c r="B92" s="62" t="n"/>
      <c r="C92" s="62" t="n"/>
      <c r="D92" s="62" t="n"/>
      <c r="E92" s="62" t="n"/>
      <c r="F92" s="62" t="n"/>
      <c r="G92" s="69" t="n"/>
      <c r="H92" s="62" t="n"/>
      <c r="I92" s="65">
        <f>IF(B92="","",SUMIFS(ar_Amount,ar_Party,B92,ar_Posted,1,ar_Date,"&lt;="&amp;AsOf))</f>
        <v/>
      </c>
      <c r="J92" s="65">
        <f>IF(B92="","",SUMIFS(ar_Paid,ar_Party,B92))</f>
        <v/>
      </c>
      <c r="K92" s="65">
        <f>IF(B92="","",SUMIFS(ar_Balance,ar_Party,B92))</f>
        <v/>
      </c>
      <c r="L92" s="65">
        <f>IF(B92="","",SUMIFS(ar_Balance,ar_Party,B92,ar_Status,"Overdue"))</f>
        <v/>
      </c>
      <c r="M92" s="66">
        <f>IF(B92="","",IF(COUNTIF(cust_Name,B92)&gt;1,"⚠ Duplicate name","✓ OK"))</f>
        <v/>
      </c>
      <c r="N92" s="67">
        <f>IF(AND(B92&lt;&gt;"",N(K92)&gt;0),K92+86/1000000,"")</f>
        <v/>
      </c>
    </row>
    <row r="93">
      <c r="B93" s="62" t="n"/>
      <c r="C93" s="62" t="n"/>
      <c r="D93" s="62" t="n"/>
      <c r="E93" s="62" t="n"/>
      <c r="F93" s="62" t="n"/>
      <c r="G93" s="69" t="n"/>
      <c r="H93" s="62" t="n"/>
      <c r="I93" s="65">
        <f>IF(B93="","",SUMIFS(ar_Amount,ar_Party,B93,ar_Posted,1,ar_Date,"&lt;="&amp;AsOf))</f>
        <v/>
      </c>
      <c r="J93" s="65">
        <f>IF(B93="","",SUMIFS(ar_Paid,ar_Party,B93))</f>
        <v/>
      </c>
      <c r="K93" s="65">
        <f>IF(B93="","",SUMIFS(ar_Balance,ar_Party,B93))</f>
        <v/>
      </c>
      <c r="L93" s="65">
        <f>IF(B93="","",SUMIFS(ar_Balance,ar_Party,B93,ar_Status,"Overdue"))</f>
        <v/>
      </c>
      <c r="M93" s="66">
        <f>IF(B93="","",IF(COUNTIF(cust_Name,B93)&gt;1,"⚠ Duplicate name","✓ OK"))</f>
        <v/>
      </c>
      <c r="N93" s="67">
        <f>IF(AND(B93&lt;&gt;"",N(K93)&gt;0),K93+87/1000000,"")</f>
        <v/>
      </c>
    </row>
    <row r="94">
      <c r="B94" s="62" t="n"/>
      <c r="C94" s="62" t="n"/>
      <c r="D94" s="62" t="n"/>
      <c r="E94" s="62" t="n"/>
      <c r="F94" s="62" t="n"/>
      <c r="G94" s="69" t="n"/>
      <c r="H94" s="62" t="n"/>
      <c r="I94" s="65">
        <f>IF(B94="","",SUMIFS(ar_Amount,ar_Party,B94,ar_Posted,1,ar_Date,"&lt;="&amp;AsOf))</f>
        <v/>
      </c>
      <c r="J94" s="65">
        <f>IF(B94="","",SUMIFS(ar_Paid,ar_Party,B94))</f>
        <v/>
      </c>
      <c r="K94" s="65">
        <f>IF(B94="","",SUMIFS(ar_Balance,ar_Party,B94))</f>
        <v/>
      </c>
      <c r="L94" s="65">
        <f>IF(B94="","",SUMIFS(ar_Balance,ar_Party,B94,ar_Status,"Overdue"))</f>
        <v/>
      </c>
      <c r="M94" s="66">
        <f>IF(B94="","",IF(COUNTIF(cust_Name,B94)&gt;1,"⚠ Duplicate name","✓ OK"))</f>
        <v/>
      </c>
      <c r="N94" s="67">
        <f>IF(AND(B94&lt;&gt;"",N(K94)&gt;0),K94+88/1000000,"")</f>
        <v/>
      </c>
    </row>
    <row r="95">
      <c r="B95" s="62" t="n"/>
      <c r="C95" s="62" t="n"/>
      <c r="D95" s="62" t="n"/>
      <c r="E95" s="62" t="n"/>
      <c r="F95" s="62" t="n"/>
      <c r="G95" s="69" t="n"/>
      <c r="H95" s="62" t="n"/>
      <c r="I95" s="65">
        <f>IF(B95="","",SUMIFS(ar_Amount,ar_Party,B95,ar_Posted,1,ar_Date,"&lt;="&amp;AsOf))</f>
        <v/>
      </c>
      <c r="J95" s="65">
        <f>IF(B95="","",SUMIFS(ar_Paid,ar_Party,B95))</f>
        <v/>
      </c>
      <c r="K95" s="65">
        <f>IF(B95="","",SUMIFS(ar_Balance,ar_Party,B95))</f>
        <v/>
      </c>
      <c r="L95" s="65">
        <f>IF(B95="","",SUMIFS(ar_Balance,ar_Party,B95,ar_Status,"Overdue"))</f>
        <v/>
      </c>
      <c r="M95" s="66">
        <f>IF(B95="","",IF(COUNTIF(cust_Name,B95)&gt;1,"⚠ Duplicate name","✓ OK"))</f>
        <v/>
      </c>
      <c r="N95" s="67">
        <f>IF(AND(B95&lt;&gt;"",N(K95)&gt;0),K95+89/1000000,"")</f>
        <v/>
      </c>
    </row>
    <row r="96">
      <c r="B96" s="62" t="n"/>
      <c r="C96" s="62" t="n"/>
      <c r="D96" s="62" t="n"/>
      <c r="E96" s="62" t="n"/>
      <c r="F96" s="62" t="n"/>
      <c r="G96" s="69" t="n"/>
      <c r="H96" s="62" t="n"/>
      <c r="I96" s="65">
        <f>IF(B96="","",SUMIFS(ar_Amount,ar_Party,B96,ar_Posted,1,ar_Date,"&lt;="&amp;AsOf))</f>
        <v/>
      </c>
      <c r="J96" s="65">
        <f>IF(B96="","",SUMIFS(ar_Paid,ar_Party,B96))</f>
        <v/>
      </c>
      <c r="K96" s="65">
        <f>IF(B96="","",SUMIFS(ar_Balance,ar_Party,B96))</f>
        <v/>
      </c>
      <c r="L96" s="65">
        <f>IF(B96="","",SUMIFS(ar_Balance,ar_Party,B96,ar_Status,"Overdue"))</f>
        <v/>
      </c>
      <c r="M96" s="66">
        <f>IF(B96="","",IF(COUNTIF(cust_Name,B96)&gt;1,"⚠ Duplicate name","✓ OK"))</f>
        <v/>
      </c>
      <c r="N96" s="67">
        <f>IF(AND(B96&lt;&gt;"",N(K96)&gt;0),K96+90/1000000,"")</f>
        <v/>
      </c>
    </row>
    <row r="97">
      <c r="B97" s="62" t="n"/>
      <c r="C97" s="62" t="n"/>
      <c r="D97" s="62" t="n"/>
      <c r="E97" s="62" t="n"/>
      <c r="F97" s="62" t="n"/>
      <c r="G97" s="69" t="n"/>
      <c r="H97" s="62" t="n"/>
      <c r="I97" s="65">
        <f>IF(B97="","",SUMIFS(ar_Amount,ar_Party,B97,ar_Posted,1,ar_Date,"&lt;="&amp;AsOf))</f>
        <v/>
      </c>
      <c r="J97" s="65">
        <f>IF(B97="","",SUMIFS(ar_Paid,ar_Party,B97))</f>
        <v/>
      </c>
      <c r="K97" s="65">
        <f>IF(B97="","",SUMIFS(ar_Balance,ar_Party,B97))</f>
        <v/>
      </c>
      <c r="L97" s="65">
        <f>IF(B97="","",SUMIFS(ar_Balance,ar_Party,B97,ar_Status,"Overdue"))</f>
        <v/>
      </c>
      <c r="M97" s="66">
        <f>IF(B97="","",IF(COUNTIF(cust_Name,B97)&gt;1,"⚠ Duplicate name","✓ OK"))</f>
        <v/>
      </c>
      <c r="N97" s="67">
        <f>IF(AND(B97&lt;&gt;"",N(K97)&gt;0),K97+91/1000000,"")</f>
        <v/>
      </c>
    </row>
    <row r="98">
      <c r="B98" s="62" t="n"/>
      <c r="C98" s="62" t="n"/>
      <c r="D98" s="62" t="n"/>
      <c r="E98" s="62" t="n"/>
      <c r="F98" s="62" t="n"/>
      <c r="G98" s="69" t="n"/>
      <c r="H98" s="62" t="n"/>
      <c r="I98" s="65">
        <f>IF(B98="","",SUMIFS(ar_Amount,ar_Party,B98,ar_Posted,1,ar_Date,"&lt;="&amp;AsOf))</f>
        <v/>
      </c>
      <c r="J98" s="65">
        <f>IF(B98="","",SUMIFS(ar_Paid,ar_Party,B98))</f>
        <v/>
      </c>
      <c r="K98" s="65">
        <f>IF(B98="","",SUMIFS(ar_Balance,ar_Party,B98))</f>
        <v/>
      </c>
      <c r="L98" s="65">
        <f>IF(B98="","",SUMIFS(ar_Balance,ar_Party,B98,ar_Status,"Overdue"))</f>
        <v/>
      </c>
      <c r="M98" s="66">
        <f>IF(B98="","",IF(COUNTIF(cust_Name,B98)&gt;1,"⚠ Duplicate name","✓ OK"))</f>
        <v/>
      </c>
      <c r="N98" s="67">
        <f>IF(AND(B98&lt;&gt;"",N(K98)&gt;0),K98+92/1000000,"")</f>
        <v/>
      </c>
    </row>
    <row r="99">
      <c r="B99" s="62" t="n"/>
      <c r="C99" s="62" t="n"/>
      <c r="D99" s="62" t="n"/>
      <c r="E99" s="62" t="n"/>
      <c r="F99" s="62" t="n"/>
      <c r="G99" s="69" t="n"/>
      <c r="H99" s="62" t="n"/>
      <c r="I99" s="65">
        <f>IF(B99="","",SUMIFS(ar_Amount,ar_Party,B99,ar_Posted,1,ar_Date,"&lt;="&amp;AsOf))</f>
        <v/>
      </c>
      <c r="J99" s="65">
        <f>IF(B99="","",SUMIFS(ar_Paid,ar_Party,B99))</f>
        <v/>
      </c>
      <c r="K99" s="65">
        <f>IF(B99="","",SUMIFS(ar_Balance,ar_Party,B99))</f>
        <v/>
      </c>
      <c r="L99" s="65">
        <f>IF(B99="","",SUMIFS(ar_Balance,ar_Party,B99,ar_Status,"Overdue"))</f>
        <v/>
      </c>
      <c r="M99" s="66">
        <f>IF(B99="","",IF(COUNTIF(cust_Name,B99)&gt;1,"⚠ Duplicate name","✓ OK"))</f>
        <v/>
      </c>
      <c r="N99" s="67">
        <f>IF(AND(B99&lt;&gt;"",N(K99)&gt;0),K99+93/1000000,"")</f>
        <v/>
      </c>
    </row>
    <row r="100">
      <c r="B100" s="62" t="n"/>
      <c r="C100" s="62" t="n"/>
      <c r="D100" s="62" t="n"/>
      <c r="E100" s="62" t="n"/>
      <c r="F100" s="62" t="n"/>
      <c r="G100" s="69" t="n"/>
      <c r="H100" s="62" t="n"/>
      <c r="I100" s="65">
        <f>IF(B100="","",SUMIFS(ar_Amount,ar_Party,B100,ar_Posted,1,ar_Date,"&lt;="&amp;AsOf))</f>
        <v/>
      </c>
      <c r="J100" s="65">
        <f>IF(B100="","",SUMIFS(ar_Paid,ar_Party,B100))</f>
        <v/>
      </c>
      <c r="K100" s="65">
        <f>IF(B100="","",SUMIFS(ar_Balance,ar_Party,B100))</f>
        <v/>
      </c>
      <c r="L100" s="65">
        <f>IF(B100="","",SUMIFS(ar_Balance,ar_Party,B100,ar_Status,"Overdue"))</f>
        <v/>
      </c>
      <c r="M100" s="66">
        <f>IF(B100="","",IF(COUNTIF(cust_Name,B100)&gt;1,"⚠ Duplicate name","✓ OK"))</f>
        <v/>
      </c>
      <c r="N100" s="67">
        <f>IF(AND(B100&lt;&gt;"",N(K100)&gt;0),K100+94/1000000,"")</f>
        <v/>
      </c>
    </row>
    <row r="101">
      <c r="B101" s="62" t="n"/>
      <c r="C101" s="62" t="n"/>
      <c r="D101" s="62" t="n"/>
      <c r="E101" s="62" t="n"/>
      <c r="F101" s="62" t="n"/>
      <c r="G101" s="69" t="n"/>
      <c r="H101" s="62" t="n"/>
      <c r="I101" s="65">
        <f>IF(B101="","",SUMIFS(ar_Amount,ar_Party,B101,ar_Posted,1,ar_Date,"&lt;="&amp;AsOf))</f>
        <v/>
      </c>
      <c r="J101" s="65">
        <f>IF(B101="","",SUMIFS(ar_Paid,ar_Party,B101))</f>
        <v/>
      </c>
      <c r="K101" s="65">
        <f>IF(B101="","",SUMIFS(ar_Balance,ar_Party,B101))</f>
        <v/>
      </c>
      <c r="L101" s="65">
        <f>IF(B101="","",SUMIFS(ar_Balance,ar_Party,B101,ar_Status,"Overdue"))</f>
        <v/>
      </c>
      <c r="M101" s="66">
        <f>IF(B101="","",IF(COUNTIF(cust_Name,B101)&gt;1,"⚠ Duplicate name","✓ OK"))</f>
        <v/>
      </c>
      <c r="N101" s="67">
        <f>IF(AND(B101&lt;&gt;"",N(K101)&gt;0),K101+95/1000000,"")</f>
        <v/>
      </c>
    </row>
    <row r="102">
      <c r="B102" s="62" t="n"/>
      <c r="C102" s="62" t="n"/>
      <c r="D102" s="62" t="n"/>
      <c r="E102" s="62" t="n"/>
      <c r="F102" s="62" t="n"/>
      <c r="G102" s="69" t="n"/>
      <c r="H102" s="62" t="n"/>
      <c r="I102" s="65">
        <f>IF(B102="","",SUMIFS(ar_Amount,ar_Party,B102,ar_Posted,1,ar_Date,"&lt;="&amp;AsOf))</f>
        <v/>
      </c>
      <c r="J102" s="65">
        <f>IF(B102="","",SUMIFS(ar_Paid,ar_Party,B102))</f>
        <v/>
      </c>
      <c r="K102" s="65">
        <f>IF(B102="","",SUMIFS(ar_Balance,ar_Party,B102))</f>
        <v/>
      </c>
      <c r="L102" s="65">
        <f>IF(B102="","",SUMIFS(ar_Balance,ar_Party,B102,ar_Status,"Overdue"))</f>
        <v/>
      </c>
      <c r="M102" s="66">
        <f>IF(B102="","",IF(COUNTIF(cust_Name,B102)&gt;1,"⚠ Duplicate name","✓ OK"))</f>
        <v/>
      </c>
      <c r="N102" s="67">
        <f>IF(AND(B102&lt;&gt;"",N(K102)&gt;0),K102+96/1000000,"")</f>
        <v/>
      </c>
    </row>
    <row r="103">
      <c r="B103" s="62" t="n"/>
      <c r="C103" s="62" t="n"/>
      <c r="D103" s="62" t="n"/>
      <c r="E103" s="62" t="n"/>
      <c r="F103" s="62" t="n"/>
      <c r="G103" s="69" t="n"/>
      <c r="H103" s="62" t="n"/>
      <c r="I103" s="65">
        <f>IF(B103="","",SUMIFS(ar_Amount,ar_Party,B103,ar_Posted,1,ar_Date,"&lt;="&amp;AsOf))</f>
        <v/>
      </c>
      <c r="J103" s="65">
        <f>IF(B103="","",SUMIFS(ar_Paid,ar_Party,B103))</f>
        <v/>
      </c>
      <c r="K103" s="65">
        <f>IF(B103="","",SUMIFS(ar_Balance,ar_Party,B103))</f>
        <v/>
      </c>
      <c r="L103" s="65">
        <f>IF(B103="","",SUMIFS(ar_Balance,ar_Party,B103,ar_Status,"Overdue"))</f>
        <v/>
      </c>
      <c r="M103" s="66">
        <f>IF(B103="","",IF(COUNTIF(cust_Name,B103)&gt;1,"⚠ Duplicate name","✓ OK"))</f>
        <v/>
      </c>
      <c r="N103" s="67">
        <f>IF(AND(B103&lt;&gt;"",N(K103)&gt;0),K103+97/1000000,"")</f>
        <v/>
      </c>
    </row>
    <row r="104">
      <c r="B104" s="62" t="n"/>
      <c r="C104" s="62" t="n"/>
      <c r="D104" s="62" t="n"/>
      <c r="E104" s="62" t="n"/>
      <c r="F104" s="62" t="n"/>
      <c r="G104" s="69" t="n"/>
      <c r="H104" s="62" t="n"/>
      <c r="I104" s="65">
        <f>IF(B104="","",SUMIFS(ar_Amount,ar_Party,B104,ar_Posted,1,ar_Date,"&lt;="&amp;AsOf))</f>
        <v/>
      </c>
      <c r="J104" s="65">
        <f>IF(B104="","",SUMIFS(ar_Paid,ar_Party,B104))</f>
        <v/>
      </c>
      <c r="K104" s="65">
        <f>IF(B104="","",SUMIFS(ar_Balance,ar_Party,B104))</f>
        <v/>
      </c>
      <c r="L104" s="65">
        <f>IF(B104="","",SUMIFS(ar_Balance,ar_Party,B104,ar_Status,"Overdue"))</f>
        <v/>
      </c>
      <c r="M104" s="66">
        <f>IF(B104="","",IF(COUNTIF(cust_Name,B104)&gt;1,"⚠ Duplicate name","✓ OK"))</f>
        <v/>
      </c>
      <c r="N104" s="67">
        <f>IF(AND(B104&lt;&gt;"",N(K104)&gt;0),K104+98/1000000,"")</f>
        <v/>
      </c>
    </row>
    <row r="105">
      <c r="B105" s="62" t="n"/>
      <c r="C105" s="62" t="n"/>
      <c r="D105" s="62" t="n"/>
      <c r="E105" s="62" t="n"/>
      <c r="F105" s="62" t="n"/>
      <c r="G105" s="69" t="n"/>
      <c r="H105" s="62" t="n"/>
      <c r="I105" s="65">
        <f>IF(B105="","",SUMIFS(ar_Amount,ar_Party,B105,ar_Posted,1,ar_Date,"&lt;="&amp;AsOf))</f>
        <v/>
      </c>
      <c r="J105" s="65">
        <f>IF(B105="","",SUMIFS(ar_Paid,ar_Party,B105))</f>
        <v/>
      </c>
      <c r="K105" s="65">
        <f>IF(B105="","",SUMIFS(ar_Balance,ar_Party,B105))</f>
        <v/>
      </c>
      <c r="L105" s="65">
        <f>IF(B105="","",SUMIFS(ar_Balance,ar_Party,B105,ar_Status,"Overdue"))</f>
        <v/>
      </c>
      <c r="M105" s="66">
        <f>IF(B105="","",IF(COUNTIF(cust_Name,B105)&gt;1,"⚠ Duplicate name","✓ OK"))</f>
        <v/>
      </c>
      <c r="N105" s="67">
        <f>IF(AND(B105&lt;&gt;"",N(K105)&gt;0),K105+99/1000000,"")</f>
        <v/>
      </c>
    </row>
    <row r="106">
      <c r="B106" s="62" t="n"/>
      <c r="C106" s="62" t="n"/>
      <c r="D106" s="62" t="n"/>
      <c r="E106" s="62" t="n"/>
      <c r="F106" s="62" t="n"/>
      <c r="G106" s="69" t="n"/>
      <c r="H106" s="62" t="n"/>
      <c r="I106" s="65">
        <f>IF(B106="","",SUMIFS(ar_Amount,ar_Party,B106,ar_Posted,1,ar_Date,"&lt;="&amp;AsOf))</f>
        <v/>
      </c>
      <c r="J106" s="65">
        <f>IF(B106="","",SUMIFS(ar_Paid,ar_Party,B106))</f>
        <v/>
      </c>
      <c r="K106" s="65">
        <f>IF(B106="","",SUMIFS(ar_Balance,ar_Party,B106))</f>
        <v/>
      </c>
      <c r="L106" s="65">
        <f>IF(B106="","",SUMIFS(ar_Balance,ar_Party,B106,ar_Status,"Overdue"))</f>
        <v/>
      </c>
      <c r="M106" s="66">
        <f>IF(B106="","",IF(COUNTIF(cust_Name,B106)&gt;1,"⚠ Duplicate name","✓ OK"))</f>
        <v/>
      </c>
      <c r="N106" s="67">
        <f>IF(AND(B106&lt;&gt;"",N(K106)&gt;0),K106+100/1000000,"")</f>
        <v/>
      </c>
    </row>
    <row r="107">
      <c r="B107" s="62" t="n"/>
      <c r="C107" s="62" t="n"/>
      <c r="D107" s="62" t="n"/>
      <c r="E107" s="62" t="n"/>
      <c r="F107" s="62" t="n"/>
      <c r="G107" s="69" t="n"/>
      <c r="H107" s="62" t="n"/>
      <c r="I107" s="65">
        <f>IF(B107="","",SUMIFS(ar_Amount,ar_Party,B107,ar_Posted,1,ar_Date,"&lt;="&amp;AsOf))</f>
        <v/>
      </c>
      <c r="J107" s="65">
        <f>IF(B107="","",SUMIFS(ar_Paid,ar_Party,B107))</f>
        <v/>
      </c>
      <c r="K107" s="65">
        <f>IF(B107="","",SUMIFS(ar_Balance,ar_Party,B107))</f>
        <v/>
      </c>
      <c r="L107" s="65">
        <f>IF(B107="","",SUMIFS(ar_Balance,ar_Party,B107,ar_Status,"Overdue"))</f>
        <v/>
      </c>
      <c r="M107" s="66">
        <f>IF(B107="","",IF(COUNTIF(cust_Name,B107)&gt;1,"⚠ Duplicate name","✓ OK"))</f>
        <v/>
      </c>
      <c r="N107" s="67">
        <f>IF(AND(B107&lt;&gt;"",N(K107)&gt;0),K107+101/1000000,"")</f>
        <v/>
      </c>
    </row>
    <row r="108">
      <c r="B108" s="62" t="n"/>
      <c r="C108" s="62" t="n"/>
      <c r="D108" s="62" t="n"/>
      <c r="E108" s="62" t="n"/>
      <c r="F108" s="62" t="n"/>
      <c r="G108" s="69" t="n"/>
      <c r="H108" s="62" t="n"/>
      <c r="I108" s="65">
        <f>IF(B108="","",SUMIFS(ar_Amount,ar_Party,B108,ar_Posted,1,ar_Date,"&lt;="&amp;AsOf))</f>
        <v/>
      </c>
      <c r="J108" s="65">
        <f>IF(B108="","",SUMIFS(ar_Paid,ar_Party,B108))</f>
        <v/>
      </c>
      <c r="K108" s="65">
        <f>IF(B108="","",SUMIFS(ar_Balance,ar_Party,B108))</f>
        <v/>
      </c>
      <c r="L108" s="65">
        <f>IF(B108="","",SUMIFS(ar_Balance,ar_Party,B108,ar_Status,"Overdue"))</f>
        <v/>
      </c>
      <c r="M108" s="66">
        <f>IF(B108="","",IF(COUNTIF(cust_Name,B108)&gt;1,"⚠ Duplicate name","✓ OK"))</f>
        <v/>
      </c>
      <c r="N108" s="67">
        <f>IF(AND(B108&lt;&gt;"",N(K108)&gt;0),K108+102/1000000,"")</f>
        <v/>
      </c>
    </row>
    <row r="109">
      <c r="B109" s="62" t="n"/>
      <c r="C109" s="62" t="n"/>
      <c r="D109" s="62" t="n"/>
      <c r="E109" s="62" t="n"/>
      <c r="F109" s="62" t="n"/>
      <c r="G109" s="69" t="n"/>
      <c r="H109" s="62" t="n"/>
      <c r="I109" s="65">
        <f>IF(B109="","",SUMIFS(ar_Amount,ar_Party,B109,ar_Posted,1,ar_Date,"&lt;="&amp;AsOf))</f>
        <v/>
      </c>
      <c r="J109" s="65">
        <f>IF(B109="","",SUMIFS(ar_Paid,ar_Party,B109))</f>
        <v/>
      </c>
      <c r="K109" s="65">
        <f>IF(B109="","",SUMIFS(ar_Balance,ar_Party,B109))</f>
        <v/>
      </c>
      <c r="L109" s="65">
        <f>IF(B109="","",SUMIFS(ar_Balance,ar_Party,B109,ar_Status,"Overdue"))</f>
        <v/>
      </c>
      <c r="M109" s="66">
        <f>IF(B109="","",IF(COUNTIF(cust_Name,B109)&gt;1,"⚠ Duplicate name","✓ OK"))</f>
        <v/>
      </c>
      <c r="N109" s="67">
        <f>IF(AND(B109&lt;&gt;"",N(K109)&gt;0),K109+103/1000000,"")</f>
        <v/>
      </c>
    </row>
    <row r="110">
      <c r="B110" s="62" t="n"/>
      <c r="C110" s="62" t="n"/>
      <c r="D110" s="62" t="n"/>
      <c r="E110" s="62" t="n"/>
      <c r="F110" s="62" t="n"/>
      <c r="G110" s="69" t="n"/>
      <c r="H110" s="62" t="n"/>
      <c r="I110" s="65">
        <f>IF(B110="","",SUMIFS(ar_Amount,ar_Party,B110,ar_Posted,1,ar_Date,"&lt;="&amp;AsOf))</f>
        <v/>
      </c>
      <c r="J110" s="65">
        <f>IF(B110="","",SUMIFS(ar_Paid,ar_Party,B110))</f>
        <v/>
      </c>
      <c r="K110" s="65">
        <f>IF(B110="","",SUMIFS(ar_Balance,ar_Party,B110))</f>
        <v/>
      </c>
      <c r="L110" s="65">
        <f>IF(B110="","",SUMIFS(ar_Balance,ar_Party,B110,ar_Status,"Overdue"))</f>
        <v/>
      </c>
      <c r="M110" s="66">
        <f>IF(B110="","",IF(COUNTIF(cust_Name,B110)&gt;1,"⚠ Duplicate name","✓ OK"))</f>
        <v/>
      </c>
      <c r="N110" s="67">
        <f>IF(AND(B110&lt;&gt;"",N(K110)&gt;0),K110+104/1000000,"")</f>
        <v/>
      </c>
    </row>
    <row r="111">
      <c r="B111" s="62" t="n"/>
      <c r="C111" s="62" t="n"/>
      <c r="D111" s="62" t="n"/>
      <c r="E111" s="62" t="n"/>
      <c r="F111" s="62" t="n"/>
      <c r="G111" s="69" t="n"/>
      <c r="H111" s="62" t="n"/>
      <c r="I111" s="65">
        <f>IF(B111="","",SUMIFS(ar_Amount,ar_Party,B111,ar_Posted,1,ar_Date,"&lt;="&amp;AsOf))</f>
        <v/>
      </c>
      <c r="J111" s="65">
        <f>IF(B111="","",SUMIFS(ar_Paid,ar_Party,B111))</f>
        <v/>
      </c>
      <c r="K111" s="65">
        <f>IF(B111="","",SUMIFS(ar_Balance,ar_Party,B111))</f>
        <v/>
      </c>
      <c r="L111" s="65">
        <f>IF(B111="","",SUMIFS(ar_Balance,ar_Party,B111,ar_Status,"Overdue"))</f>
        <v/>
      </c>
      <c r="M111" s="66">
        <f>IF(B111="","",IF(COUNTIF(cust_Name,B111)&gt;1,"⚠ Duplicate name","✓ OK"))</f>
        <v/>
      </c>
      <c r="N111" s="67">
        <f>IF(AND(B111&lt;&gt;"",N(K111)&gt;0),K111+105/1000000,"")</f>
        <v/>
      </c>
    </row>
    <row r="112">
      <c r="B112" s="62" t="n"/>
      <c r="C112" s="62" t="n"/>
      <c r="D112" s="62" t="n"/>
      <c r="E112" s="62" t="n"/>
      <c r="F112" s="62" t="n"/>
      <c r="G112" s="69" t="n"/>
      <c r="H112" s="62" t="n"/>
      <c r="I112" s="65">
        <f>IF(B112="","",SUMIFS(ar_Amount,ar_Party,B112,ar_Posted,1,ar_Date,"&lt;="&amp;AsOf))</f>
        <v/>
      </c>
      <c r="J112" s="65">
        <f>IF(B112="","",SUMIFS(ar_Paid,ar_Party,B112))</f>
        <v/>
      </c>
      <c r="K112" s="65">
        <f>IF(B112="","",SUMIFS(ar_Balance,ar_Party,B112))</f>
        <v/>
      </c>
      <c r="L112" s="65">
        <f>IF(B112="","",SUMIFS(ar_Balance,ar_Party,B112,ar_Status,"Overdue"))</f>
        <v/>
      </c>
      <c r="M112" s="66">
        <f>IF(B112="","",IF(COUNTIF(cust_Name,B112)&gt;1,"⚠ Duplicate name","✓ OK"))</f>
        <v/>
      </c>
      <c r="N112" s="67">
        <f>IF(AND(B112&lt;&gt;"",N(K112)&gt;0),K112+106/1000000,"")</f>
        <v/>
      </c>
    </row>
    <row r="113">
      <c r="B113" s="62" t="n"/>
      <c r="C113" s="62" t="n"/>
      <c r="D113" s="62" t="n"/>
      <c r="E113" s="62" t="n"/>
      <c r="F113" s="62" t="n"/>
      <c r="G113" s="69" t="n"/>
      <c r="H113" s="62" t="n"/>
      <c r="I113" s="65">
        <f>IF(B113="","",SUMIFS(ar_Amount,ar_Party,B113,ar_Posted,1,ar_Date,"&lt;="&amp;AsOf))</f>
        <v/>
      </c>
      <c r="J113" s="65">
        <f>IF(B113="","",SUMIFS(ar_Paid,ar_Party,B113))</f>
        <v/>
      </c>
      <c r="K113" s="65">
        <f>IF(B113="","",SUMIFS(ar_Balance,ar_Party,B113))</f>
        <v/>
      </c>
      <c r="L113" s="65">
        <f>IF(B113="","",SUMIFS(ar_Balance,ar_Party,B113,ar_Status,"Overdue"))</f>
        <v/>
      </c>
      <c r="M113" s="66">
        <f>IF(B113="","",IF(COUNTIF(cust_Name,B113)&gt;1,"⚠ Duplicate name","✓ OK"))</f>
        <v/>
      </c>
      <c r="N113" s="67">
        <f>IF(AND(B113&lt;&gt;"",N(K113)&gt;0),K113+107/1000000,"")</f>
        <v/>
      </c>
    </row>
    <row r="114">
      <c r="B114" s="62" t="n"/>
      <c r="C114" s="62" t="n"/>
      <c r="D114" s="62" t="n"/>
      <c r="E114" s="62" t="n"/>
      <c r="F114" s="62" t="n"/>
      <c r="G114" s="69" t="n"/>
      <c r="H114" s="62" t="n"/>
      <c r="I114" s="65">
        <f>IF(B114="","",SUMIFS(ar_Amount,ar_Party,B114,ar_Posted,1,ar_Date,"&lt;="&amp;AsOf))</f>
        <v/>
      </c>
      <c r="J114" s="65">
        <f>IF(B114="","",SUMIFS(ar_Paid,ar_Party,B114))</f>
        <v/>
      </c>
      <c r="K114" s="65">
        <f>IF(B114="","",SUMIFS(ar_Balance,ar_Party,B114))</f>
        <v/>
      </c>
      <c r="L114" s="65">
        <f>IF(B114="","",SUMIFS(ar_Balance,ar_Party,B114,ar_Status,"Overdue"))</f>
        <v/>
      </c>
      <c r="M114" s="66">
        <f>IF(B114="","",IF(COUNTIF(cust_Name,B114)&gt;1,"⚠ Duplicate name","✓ OK"))</f>
        <v/>
      </c>
      <c r="N114" s="67">
        <f>IF(AND(B114&lt;&gt;"",N(K114)&gt;0),K114+108/1000000,"")</f>
        <v/>
      </c>
    </row>
    <row r="115">
      <c r="B115" s="62" t="n"/>
      <c r="C115" s="62" t="n"/>
      <c r="D115" s="62" t="n"/>
      <c r="E115" s="62" t="n"/>
      <c r="F115" s="62" t="n"/>
      <c r="G115" s="69" t="n"/>
      <c r="H115" s="62" t="n"/>
      <c r="I115" s="65">
        <f>IF(B115="","",SUMIFS(ar_Amount,ar_Party,B115,ar_Posted,1,ar_Date,"&lt;="&amp;AsOf))</f>
        <v/>
      </c>
      <c r="J115" s="65">
        <f>IF(B115="","",SUMIFS(ar_Paid,ar_Party,B115))</f>
        <v/>
      </c>
      <c r="K115" s="65">
        <f>IF(B115="","",SUMIFS(ar_Balance,ar_Party,B115))</f>
        <v/>
      </c>
      <c r="L115" s="65">
        <f>IF(B115="","",SUMIFS(ar_Balance,ar_Party,B115,ar_Status,"Overdue"))</f>
        <v/>
      </c>
      <c r="M115" s="66">
        <f>IF(B115="","",IF(COUNTIF(cust_Name,B115)&gt;1,"⚠ Duplicate name","✓ OK"))</f>
        <v/>
      </c>
      <c r="N115" s="67">
        <f>IF(AND(B115&lt;&gt;"",N(K115)&gt;0),K115+109/1000000,"")</f>
        <v/>
      </c>
    </row>
    <row r="116">
      <c r="B116" s="62" t="n"/>
      <c r="C116" s="62" t="n"/>
      <c r="D116" s="62" t="n"/>
      <c r="E116" s="62" t="n"/>
      <c r="F116" s="62" t="n"/>
      <c r="G116" s="69" t="n"/>
      <c r="H116" s="62" t="n"/>
      <c r="I116" s="65">
        <f>IF(B116="","",SUMIFS(ar_Amount,ar_Party,B116,ar_Posted,1,ar_Date,"&lt;="&amp;AsOf))</f>
        <v/>
      </c>
      <c r="J116" s="65">
        <f>IF(B116="","",SUMIFS(ar_Paid,ar_Party,B116))</f>
        <v/>
      </c>
      <c r="K116" s="65">
        <f>IF(B116="","",SUMIFS(ar_Balance,ar_Party,B116))</f>
        <v/>
      </c>
      <c r="L116" s="65">
        <f>IF(B116="","",SUMIFS(ar_Balance,ar_Party,B116,ar_Status,"Overdue"))</f>
        <v/>
      </c>
      <c r="M116" s="66">
        <f>IF(B116="","",IF(COUNTIF(cust_Name,B116)&gt;1,"⚠ Duplicate name","✓ OK"))</f>
        <v/>
      </c>
      <c r="N116" s="67">
        <f>IF(AND(B116&lt;&gt;"",N(K116)&gt;0),K116+110/1000000,"")</f>
        <v/>
      </c>
    </row>
    <row r="117">
      <c r="B117" s="62" t="n"/>
      <c r="C117" s="62" t="n"/>
      <c r="D117" s="62" t="n"/>
      <c r="E117" s="62" t="n"/>
      <c r="F117" s="62" t="n"/>
      <c r="G117" s="69" t="n"/>
      <c r="H117" s="62" t="n"/>
      <c r="I117" s="65">
        <f>IF(B117="","",SUMIFS(ar_Amount,ar_Party,B117,ar_Posted,1,ar_Date,"&lt;="&amp;AsOf))</f>
        <v/>
      </c>
      <c r="J117" s="65">
        <f>IF(B117="","",SUMIFS(ar_Paid,ar_Party,B117))</f>
        <v/>
      </c>
      <c r="K117" s="65">
        <f>IF(B117="","",SUMIFS(ar_Balance,ar_Party,B117))</f>
        <v/>
      </c>
      <c r="L117" s="65">
        <f>IF(B117="","",SUMIFS(ar_Balance,ar_Party,B117,ar_Status,"Overdue"))</f>
        <v/>
      </c>
      <c r="M117" s="66">
        <f>IF(B117="","",IF(COUNTIF(cust_Name,B117)&gt;1,"⚠ Duplicate name","✓ OK"))</f>
        <v/>
      </c>
      <c r="N117" s="67">
        <f>IF(AND(B117&lt;&gt;"",N(K117)&gt;0),K117+111/1000000,"")</f>
        <v/>
      </c>
    </row>
    <row r="118">
      <c r="B118" s="62" t="n"/>
      <c r="C118" s="62" t="n"/>
      <c r="D118" s="62" t="n"/>
      <c r="E118" s="62" t="n"/>
      <c r="F118" s="62" t="n"/>
      <c r="G118" s="69" t="n"/>
      <c r="H118" s="62" t="n"/>
      <c r="I118" s="65">
        <f>IF(B118="","",SUMIFS(ar_Amount,ar_Party,B118,ar_Posted,1,ar_Date,"&lt;="&amp;AsOf))</f>
        <v/>
      </c>
      <c r="J118" s="65">
        <f>IF(B118="","",SUMIFS(ar_Paid,ar_Party,B118))</f>
        <v/>
      </c>
      <c r="K118" s="65">
        <f>IF(B118="","",SUMIFS(ar_Balance,ar_Party,B118))</f>
        <v/>
      </c>
      <c r="L118" s="65">
        <f>IF(B118="","",SUMIFS(ar_Balance,ar_Party,B118,ar_Status,"Overdue"))</f>
        <v/>
      </c>
      <c r="M118" s="66">
        <f>IF(B118="","",IF(COUNTIF(cust_Name,B118)&gt;1,"⚠ Duplicate name","✓ OK"))</f>
        <v/>
      </c>
      <c r="N118" s="67">
        <f>IF(AND(B118&lt;&gt;"",N(K118)&gt;0),K118+112/1000000,"")</f>
        <v/>
      </c>
    </row>
    <row r="119">
      <c r="B119" s="62" t="n"/>
      <c r="C119" s="62" t="n"/>
      <c r="D119" s="62" t="n"/>
      <c r="E119" s="62" t="n"/>
      <c r="F119" s="62" t="n"/>
      <c r="G119" s="69" t="n"/>
      <c r="H119" s="62" t="n"/>
      <c r="I119" s="65">
        <f>IF(B119="","",SUMIFS(ar_Amount,ar_Party,B119,ar_Posted,1,ar_Date,"&lt;="&amp;AsOf))</f>
        <v/>
      </c>
      <c r="J119" s="65">
        <f>IF(B119="","",SUMIFS(ar_Paid,ar_Party,B119))</f>
        <v/>
      </c>
      <c r="K119" s="65">
        <f>IF(B119="","",SUMIFS(ar_Balance,ar_Party,B119))</f>
        <v/>
      </c>
      <c r="L119" s="65">
        <f>IF(B119="","",SUMIFS(ar_Balance,ar_Party,B119,ar_Status,"Overdue"))</f>
        <v/>
      </c>
      <c r="M119" s="66">
        <f>IF(B119="","",IF(COUNTIF(cust_Name,B119)&gt;1,"⚠ Duplicate name","✓ OK"))</f>
        <v/>
      </c>
      <c r="N119" s="67">
        <f>IF(AND(B119&lt;&gt;"",N(K119)&gt;0),K119+113/1000000,"")</f>
        <v/>
      </c>
    </row>
    <row r="120">
      <c r="B120" s="62" t="n"/>
      <c r="C120" s="62" t="n"/>
      <c r="D120" s="62" t="n"/>
      <c r="E120" s="62" t="n"/>
      <c r="F120" s="62" t="n"/>
      <c r="G120" s="69" t="n"/>
      <c r="H120" s="62" t="n"/>
      <c r="I120" s="65">
        <f>IF(B120="","",SUMIFS(ar_Amount,ar_Party,B120,ar_Posted,1,ar_Date,"&lt;="&amp;AsOf))</f>
        <v/>
      </c>
      <c r="J120" s="65">
        <f>IF(B120="","",SUMIFS(ar_Paid,ar_Party,B120))</f>
        <v/>
      </c>
      <c r="K120" s="65">
        <f>IF(B120="","",SUMIFS(ar_Balance,ar_Party,B120))</f>
        <v/>
      </c>
      <c r="L120" s="65">
        <f>IF(B120="","",SUMIFS(ar_Balance,ar_Party,B120,ar_Status,"Overdue"))</f>
        <v/>
      </c>
      <c r="M120" s="66">
        <f>IF(B120="","",IF(COUNTIF(cust_Name,B120)&gt;1,"⚠ Duplicate name","✓ OK"))</f>
        <v/>
      </c>
      <c r="N120" s="67">
        <f>IF(AND(B120&lt;&gt;"",N(K120)&gt;0),K120+114/1000000,"")</f>
        <v/>
      </c>
    </row>
    <row r="121">
      <c r="B121" s="62" t="n"/>
      <c r="C121" s="62" t="n"/>
      <c r="D121" s="62" t="n"/>
      <c r="E121" s="62" t="n"/>
      <c r="F121" s="62" t="n"/>
      <c r="G121" s="69" t="n"/>
      <c r="H121" s="62" t="n"/>
      <c r="I121" s="65">
        <f>IF(B121="","",SUMIFS(ar_Amount,ar_Party,B121,ar_Posted,1,ar_Date,"&lt;="&amp;AsOf))</f>
        <v/>
      </c>
      <c r="J121" s="65">
        <f>IF(B121="","",SUMIFS(ar_Paid,ar_Party,B121))</f>
        <v/>
      </c>
      <c r="K121" s="65">
        <f>IF(B121="","",SUMIFS(ar_Balance,ar_Party,B121))</f>
        <v/>
      </c>
      <c r="L121" s="65">
        <f>IF(B121="","",SUMIFS(ar_Balance,ar_Party,B121,ar_Status,"Overdue"))</f>
        <v/>
      </c>
      <c r="M121" s="66">
        <f>IF(B121="","",IF(COUNTIF(cust_Name,B121)&gt;1,"⚠ Duplicate name","✓ OK"))</f>
        <v/>
      </c>
      <c r="N121" s="67">
        <f>IF(AND(B121&lt;&gt;"",N(K121)&gt;0),K121+115/1000000,"")</f>
        <v/>
      </c>
    </row>
    <row r="122">
      <c r="B122" s="62" t="n"/>
      <c r="C122" s="62" t="n"/>
      <c r="D122" s="62" t="n"/>
      <c r="E122" s="62" t="n"/>
      <c r="F122" s="62" t="n"/>
      <c r="G122" s="69" t="n"/>
      <c r="H122" s="62" t="n"/>
      <c r="I122" s="65">
        <f>IF(B122="","",SUMIFS(ar_Amount,ar_Party,B122,ar_Posted,1,ar_Date,"&lt;="&amp;AsOf))</f>
        <v/>
      </c>
      <c r="J122" s="65">
        <f>IF(B122="","",SUMIFS(ar_Paid,ar_Party,B122))</f>
        <v/>
      </c>
      <c r="K122" s="65">
        <f>IF(B122="","",SUMIFS(ar_Balance,ar_Party,B122))</f>
        <v/>
      </c>
      <c r="L122" s="65">
        <f>IF(B122="","",SUMIFS(ar_Balance,ar_Party,B122,ar_Status,"Overdue"))</f>
        <v/>
      </c>
      <c r="M122" s="66">
        <f>IF(B122="","",IF(COUNTIF(cust_Name,B122)&gt;1,"⚠ Duplicate name","✓ OK"))</f>
        <v/>
      </c>
      <c r="N122" s="67">
        <f>IF(AND(B122&lt;&gt;"",N(K122)&gt;0),K122+116/1000000,"")</f>
        <v/>
      </c>
    </row>
    <row r="123">
      <c r="B123" s="62" t="n"/>
      <c r="C123" s="62" t="n"/>
      <c r="D123" s="62" t="n"/>
      <c r="E123" s="62" t="n"/>
      <c r="F123" s="62" t="n"/>
      <c r="G123" s="69" t="n"/>
      <c r="H123" s="62" t="n"/>
      <c r="I123" s="65">
        <f>IF(B123="","",SUMIFS(ar_Amount,ar_Party,B123,ar_Posted,1,ar_Date,"&lt;="&amp;AsOf))</f>
        <v/>
      </c>
      <c r="J123" s="65">
        <f>IF(B123="","",SUMIFS(ar_Paid,ar_Party,B123))</f>
        <v/>
      </c>
      <c r="K123" s="65">
        <f>IF(B123="","",SUMIFS(ar_Balance,ar_Party,B123))</f>
        <v/>
      </c>
      <c r="L123" s="65">
        <f>IF(B123="","",SUMIFS(ar_Balance,ar_Party,B123,ar_Status,"Overdue"))</f>
        <v/>
      </c>
      <c r="M123" s="66">
        <f>IF(B123="","",IF(COUNTIF(cust_Name,B123)&gt;1,"⚠ Duplicate name","✓ OK"))</f>
        <v/>
      </c>
      <c r="N123" s="67">
        <f>IF(AND(B123&lt;&gt;"",N(K123)&gt;0),K123+117/1000000,"")</f>
        <v/>
      </c>
    </row>
    <row r="124">
      <c r="B124" s="62" t="n"/>
      <c r="C124" s="62" t="n"/>
      <c r="D124" s="62" t="n"/>
      <c r="E124" s="62" t="n"/>
      <c r="F124" s="62" t="n"/>
      <c r="G124" s="69" t="n"/>
      <c r="H124" s="62" t="n"/>
      <c r="I124" s="65">
        <f>IF(B124="","",SUMIFS(ar_Amount,ar_Party,B124,ar_Posted,1,ar_Date,"&lt;="&amp;AsOf))</f>
        <v/>
      </c>
      <c r="J124" s="65">
        <f>IF(B124="","",SUMIFS(ar_Paid,ar_Party,B124))</f>
        <v/>
      </c>
      <c r="K124" s="65">
        <f>IF(B124="","",SUMIFS(ar_Balance,ar_Party,B124))</f>
        <v/>
      </c>
      <c r="L124" s="65">
        <f>IF(B124="","",SUMIFS(ar_Balance,ar_Party,B124,ar_Status,"Overdue"))</f>
        <v/>
      </c>
      <c r="M124" s="66">
        <f>IF(B124="","",IF(COUNTIF(cust_Name,B124)&gt;1,"⚠ Duplicate name","✓ OK"))</f>
        <v/>
      </c>
      <c r="N124" s="67">
        <f>IF(AND(B124&lt;&gt;"",N(K124)&gt;0),K124+118/1000000,"")</f>
        <v/>
      </c>
    </row>
    <row r="125">
      <c r="B125" s="62" t="n"/>
      <c r="C125" s="62" t="n"/>
      <c r="D125" s="62" t="n"/>
      <c r="E125" s="62" t="n"/>
      <c r="F125" s="62" t="n"/>
      <c r="G125" s="69" t="n"/>
      <c r="H125" s="62" t="n"/>
      <c r="I125" s="65">
        <f>IF(B125="","",SUMIFS(ar_Amount,ar_Party,B125,ar_Posted,1,ar_Date,"&lt;="&amp;AsOf))</f>
        <v/>
      </c>
      <c r="J125" s="65">
        <f>IF(B125="","",SUMIFS(ar_Paid,ar_Party,B125))</f>
        <v/>
      </c>
      <c r="K125" s="65">
        <f>IF(B125="","",SUMIFS(ar_Balance,ar_Party,B125))</f>
        <v/>
      </c>
      <c r="L125" s="65">
        <f>IF(B125="","",SUMIFS(ar_Balance,ar_Party,B125,ar_Status,"Overdue"))</f>
        <v/>
      </c>
      <c r="M125" s="66">
        <f>IF(B125="","",IF(COUNTIF(cust_Name,B125)&gt;1,"⚠ Duplicate name","✓ OK"))</f>
        <v/>
      </c>
      <c r="N125" s="67">
        <f>IF(AND(B125&lt;&gt;"",N(K125)&gt;0),K125+119/1000000,"")</f>
        <v/>
      </c>
    </row>
    <row r="126">
      <c r="B126" s="62" t="n"/>
      <c r="C126" s="62" t="n"/>
      <c r="D126" s="62" t="n"/>
      <c r="E126" s="62" t="n"/>
      <c r="F126" s="62" t="n"/>
      <c r="G126" s="69" t="n"/>
      <c r="H126" s="62" t="n"/>
      <c r="I126" s="65">
        <f>IF(B126="","",SUMIFS(ar_Amount,ar_Party,B126,ar_Posted,1,ar_Date,"&lt;="&amp;AsOf))</f>
        <v/>
      </c>
      <c r="J126" s="65">
        <f>IF(B126="","",SUMIFS(ar_Paid,ar_Party,B126))</f>
        <v/>
      </c>
      <c r="K126" s="65">
        <f>IF(B126="","",SUMIFS(ar_Balance,ar_Party,B126))</f>
        <v/>
      </c>
      <c r="L126" s="65">
        <f>IF(B126="","",SUMIFS(ar_Balance,ar_Party,B126,ar_Status,"Overdue"))</f>
        <v/>
      </c>
      <c r="M126" s="66">
        <f>IF(B126="","",IF(COUNTIF(cust_Name,B126)&gt;1,"⚠ Duplicate name","✓ OK"))</f>
        <v/>
      </c>
      <c r="N126" s="67">
        <f>IF(AND(B126&lt;&gt;"",N(K126)&gt;0),K126+120/1000000,"")</f>
        <v/>
      </c>
    </row>
    <row r="127">
      <c r="B127" s="62" t="n"/>
      <c r="C127" s="62" t="n"/>
      <c r="D127" s="62" t="n"/>
      <c r="E127" s="62" t="n"/>
      <c r="F127" s="62" t="n"/>
      <c r="G127" s="69" t="n"/>
      <c r="H127" s="62" t="n"/>
      <c r="I127" s="65">
        <f>IF(B127="","",SUMIFS(ar_Amount,ar_Party,B127,ar_Posted,1,ar_Date,"&lt;="&amp;AsOf))</f>
        <v/>
      </c>
      <c r="J127" s="65">
        <f>IF(B127="","",SUMIFS(ar_Paid,ar_Party,B127))</f>
        <v/>
      </c>
      <c r="K127" s="65">
        <f>IF(B127="","",SUMIFS(ar_Balance,ar_Party,B127))</f>
        <v/>
      </c>
      <c r="L127" s="65">
        <f>IF(B127="","",SUMIFS(ar_Balance,ar_Party,B127,ar_Status,"Overdue"))</f>
        <v/>
      </c>
      <c r="M127" s="66">
        <f>IF(B127="","",IF(COUNTIF(cust_Name,B127)&gt;1,"⚠ Duplicate name","✓ OK"))</f>
        <v/>
      </c>
      <c r="N127" s="67">
        <f>IF(AND(B127&lt;&gt;"",N(K127)&gt;0),K127+121/1000000,"")</f>
        <v/>
      </c>
    </row>
    <row r="128">
      <c r="B128" s="62" t="n"/>
      <c r="C128" s="62" t="n"/>
      <c r="D128" s="62" t="n"/>
      <c r="E128" s="62" t="n"/>
      <c r="F128" s="62" t="n"/>
      <c r="G128" s="69" t="n"/>
      <c r="H128" s="62" t="n"/>
      <c r="I128" s="65">
        <f>IF(B128="","",SUMIFS(ar_Amount,ar_Party,B128,ar_Posted,1,ar_Date,"&lt;="&amp;AsOf))</f>
        <v/>
      </c>
      <c r="J128" s="65">
        <f>IF(B128="","",SUMIFS(ar_Paid,ar_Party,B128))</f>
        <v/>
      </c>
      <c r="K128" s="65">
        <f>IF(B128="","",SUMIFS(ar_Balance,ar_Party,B128))</f>
        <v/>
      </c>
      <c r="L128" s="65">
        <f>IF(B128="","",SUMIFS(ar_Balance,ar_Party,B128,ar_Status,"Overdue"))</f>
        <v/>
      </c>
      <c r="M128" s="66">
        <f>IF(B128="","",IF(COUNTIF(cust_Name,B128)&gt;1,"⚠ Duplicate name","✓ OK"))</f>
        <v/>
      </c>
      <c r="N128" s="67">
        <f>IF(AND(B128&lt;&gt;"",N(K128)&gt;0),K128+122/1000000,"")</f>
        <v/>
      </c>
    </row>
    <row r="129">
      <c r="B129" s="62" t="n"/>
      <c r="C129" s="62" t="n"/>
      <c r="D129" s="62" t="n"/>
      <c r="E129" s="62" t="n"/>
      <c r="F129" s="62" t="n"/>
      <c r="G129" s="69" t="n"/>
      <c r="H129" s="62" t="n"/>
      <c r="I129" s="65">
        <f>IF(B129="","",SUMIFS(ar_Amount,ar_Party,B129,ar_Posted,1,ar_Date,"&lt;="&amp;AsOf))</f>
        <v/>
      </c>
      <c r="J129" s="65">
        <f>IF(B129="","",SUMIFS(ar_Paid,ar_Party,B129))</f>
        <v/>
      </c>
      <c r="K129" s="65">
        <f>IF(B129="","",SUMIFS(ar_Balance,ar_Party,B129))</f>
        <v/>
      </c>
      <c r="L129" s="65">
        <f>IF(B129="","",SUMIFS(ar_Balance,ar_Party,B129,ar_Status,"Overdue"))</f>
        <v/>
      </c>
      <c r="M129" s="66">
        <f>IF(B129="","",IF(COUNTIF(cust_Name,B129)&gt;1,"⚠ Duplicate name","✓ OK"))</f>
        <v/>
      </c>
      <c r="N129" s="67">
        <f>IF(AND(B129&lt;&gt;"",N(K129)&gt;0),K129+123/1000000,"")</f>
        <v/>
      </c>
    </row>
    <row r="130">
      <c r="B130" s="62" t="n"/>
      <c r="C130" s="62" t="n"/>
      <c r="D130" s="62" t="n"/>
      <c r="E130" s="62" t="n"/>
      <c r="F130" s="62" t="n"/>
      <c r="G130" s="69" t="n"/>
      <c r="H130" s="62" t="n"/>
      <c r="I130" s="65">
        <f>IF(B130="","",SUMIFS(ar_Amount,ar_Party,B130,ar_Posted,1,ar_Date,"&lt;="&amp;AsOf))</f>
        <v/>
      </c>
      <c r="J130" s="65">
        <f>IF(B130="","",SUMIFS(ar_Paid,ar_Party,B130))</f>
        <v/>
      </c>
      <c r="K130" s="65">
        <f>IF(B130="","",SUMIFS(ar_Balance,ar_Party,B130))</f>
        <v/>
      </c>
      <c r="L130" s="65">
        <f>IF(B130="","",SUMIFS(ar_Balance,ar_Party,B130,ar_Status,"Overdue"))</f>
        <v/>
      </c>
      <c r="M130" s="66">
        <f>IF(B130="","",IF(COUNTIF(cust_Name,B130)&gt;1,"⚠ Duplicate name","✓ OK"))</f>
        <v/>
      </c>
      <c r="N130" s="67">
        <f>IF(AND(B130&lt;&gt;"",N(K130)&gt;0),K130+124/1000000,"")</f>
        <v/>
      </c>
    </row>
    <row r="131">
      <c r="B131" s="62" t="n"/>
      <c r="C131" s="62" t="n"/>
      <c r="D131" s="62" t="n"/>
      <c r="E131" s="62" t="n"/>
      <c r="F131" s="62" t="n"/>
      <c r="G131" s="69" t="n"/>
      <c r="H131" s="62" t="n"/>
      <c r="I131" s="65">
        <f>IF(B131="","",SUMIFS(ar_Amount,ar_Party,B131,ar_Posted,1,ar_Date,"&lt;="&amp;AsOf))</f>
        <v/>
      </c>
      <c r="J131" s="65">
        <f>IF(B131="","",SUMIFS(ar_Paid,ar_Party,B131))</f>
        <v/>
      </c>
      <c r="K131" s="65">
        <f>IF(B131="","",SUMIFS(ar_Balance,ar_Party,B131))</f>
        <v/>
      </c>
      <c r="L131" s="65">
        <f>IF(B131="","",SUMIFS(ar_Balance,ar_Party,B131,ar_Status,"Overdue"))</f>
        <v/>
      </c>
      <c r="M131" s="66">
        <f>IF(B131="","",IF(COUNTIF(cust_Name,B131)&gt;1,"⚠ Duplicate name","✓ OK"))</f>
        <v/>
      </c>
      <c r="N131" s="67">
        <f>IF(AND(B131&lt;&gt;"",N(K131)&gt;0),K131+125/1000000,"")</f>
        <v/>
      </c>
    </row>
    <row r="132">
      <c r="B132" s="62" t="n"/>
      <c r="C132" s="62" t="n"/>
      <c r="D132" s="62" t="n"/>
      <c r="E132" s="62" t="n"/>
      <c r="F132" s="62" t="n"/>
      <c r="G132" s="69" t="n"/>
      <c r="H132" s="62" t="n"/>
      <c r="I132" s="65">
        <f>IF(B132="","",SUMIFS(ar_Amount,ar_Party,B132,ar_Posted,1,ar_Date,"&lt;="&amp;AsOf))</f>
        <v/>
      </c>
      <c r="J132" s="65">
        <f>IF(B132="","",SUMIFS(ar_Paid,ar_Party,B132))</f>
        <v/>
      </c>
      <c r="K132" s="65">
        <f>IF(B132="","",SUMIFS(ar_Balance,ar_Party,B132))</f>
        <v/>
      </c>
      <c r="L132" s="65">
        <f>IF(B132="","",SUMIFS(ar_Balance,ar_Party,B132,ar_Status,"Overdue"))</f>
        <v/>
      </c>
      <c r="M132" s="66">
        <f>IF(B132="","",IF(COUNTIF(cust_Name,B132)&gt;1,"⚠ Duplicate name","✓ OK"))</f>
        <v/>
      </c>
      <c r="N132" s="67">
        <f>IF(AND(B132&lt;&gt;"",N(K132)&gt;0),K132+126/1000000,"")</f>
        <v/>
      </c>
    </row>
    <row r="133">
      <c r="B133" s="62" t="n"/>
      <c r="C133" s="62" t="n"/>
      <c r="D133" s="62" t="n"/>
      <c r="E133" s="62" t="n"/>
      <c r="F133" s="62" t="n"/>
      <c r="G133" s="69" t="n"/>
      <c r="H133" s="62" t="n"/>
      <c r="I133" s="65">
        <f>IF(B133="","",SUMIFS(ar_Amount,ar_Party,B133,ar_Posted,1,ar_Date,"&lt;="&amp;AsOf))</f>
        <v/>
      </c>
      <c r="J133" s="65">
        <f>IF(B133="","",SUMIFS(ar_Paid,ar_Party,B133))</f>
        <v/>
      </c>
      <c r="K133" s="65">
        <f>IF(B133="","",SUMIFS(ar_Balance,ar_Party,B133))</f>
        <v/>
      </c>
      <c r="L133" s="65">
        <f>IF(B133="","",SUMIFS(ar_Balance,ar_Party,B133,ar_Status,"Overdue"))</f>
        <v/>
      </c>
      <c r="M133" s="66">
        <f>IF(B133="","",IF(COUNTIF(cust_Name,B133)&gt;1,"⚠ Duplicate name","✓ OK"))</f>
        <v/>
      </c>
      <c r="N133" s="67">
        <f>IF(AND(B133&lt;&gt;"",N(K133)&gt;0),K133+127/1000000,"")</f>
        <v/>
      </c>
    </row>
    <row r="134">
      <c r="B134" s="62" t="n"/>
      <c r="C134" s="62" t="n"/>
      <c r="D134" s="62" t="n"/>
      <c r="E134" s="62" t="n"/>
      <c r="F134" s="62" t="n"/>
      <c r="G134" s="69" t="n"/>
      <c r="H134" s="62" t="n"/>
      <c r="I134" s="65">
        <f>IF(B134="","",SUMIFS(ar_Amount,ar_Party,B134,ar_Posted,1,ar_Date,"&lt;="&amp;AsOf))</f>
        <v/>
      </c>
      <c r="J134" s="65">
        <f>IF(B134="","",SUMIFS(ar_Paid,ar_Party,B134))</f>
        <v/>
      </c>
      <c r="K134" s="65">
        <f>IF(B134="","",SUMIFS(ar_Balance,ar_Party,B134))</f>
        <v/>
      </c>
      <c r="L134" s="65">
        <f>IF(B134="","",SUMIFS(ar_Balance,ar_Party,B134,ar_Status,"Overdue"))</f>
        <v/>
      </c>
      <c r="M134" s="66">
        <f>IF(B134="","",IF(COUNTIF(cust_Name,B134)&gt;1,"⚠ Duplicate name","✓ OK"))</f>
        <v/>
      </c>
      <c r="N134" s="67">
        <f>IF(AND(B134&lt;&gt;"",N(K134)&gt;0),K134+128/1000000,"")</f>
        <v/>
      </c>
    </row>
    <row r="135">
      <c r="B135" s="62" t="n"/>
      <c r="C135" s="62" t="n"/>
      <c r="D135" s="62" t="n"/>
      <c r="E135" s="62" t="n"/>
      <c r="F135" s="62" t="n"/>
      <c r="G135" s="69" t="n"/>
      <c r="H135" s="62" t="n"/>
      <c r="I135" s="65">
        <f>IF(B135="","",SUMIFS(ar_Amount,ar_Party,B135,ar_Posted,1,ar_Date,"&lt;="&amp;AsOf))</f>
        <v/>
      </c>
      <c r="J135" s="65">
        <f>IF(B135="","",SUMIFS(ar_Paid,ar_Party,B135))</f>
        <v/>
      </c>
      <c r="K135" s="65">
        <f>IF(B135="","",SUMIFS(ar_Balance,ar_Party,B135))</f>
        <v/>
      </c>
      <c r="L135" s="65">
        <f>IF(B135="","",SUMIFS(ar_Balance,ar_Party,B135,ar_Status,"Overdue"))</f>
        <v/>
      </c>
      <c r="M135" s="66">
        <f>IF(B135="","",IF(COUNTIF(cust_Name,B135)&gt;1,"⚠ Duplicate name","✓ OK"))</f>
        <v/>
      </c>
      <c r="N135" s="67">
        <f>IF(AND(B135&lt;&gt;"",N(K135)&gt;0),K135+129/1000000,"")</f>
        <v/>
      </c>
    </row>
    <row r="136">
      <c r="B136" s="62" t="n"/>
      <c r="C136" s="62" t="n"/>
      <c r="D136" s="62" t="n"/>
      <c r="E136" s="62" t="n"/>
      <c r="F136" s="62" t="n"/>
      <c r="G136" s="69" t="n"/>
      <c r="H136" s="62" t="n"/>
      <c r="I136" s="65">
        <f>IF(B136="","",SUMIFS(ar_Amount,ar_Party,B136,ar_Posted,1,ar_Date,"&lt;="&amp;AsOf))</f>
        <v/>
      </c>
      <c r="J136" s="65">
        <f>IF(B136="","",SUMIFS(ar_Paid,ar_Party,B136))</f>
        <v/>
      </c>
      <c r="K136" s="65">
        <f>IF(B136="","",SUMIFS(ar_Balance,ar_Party,B136))</f>
        <v/>
      </c>
      <c r="L136" s="65">
        <f>IF(B136="","",SUMIFS(ar_Balance,ar_Party,B136,ar_Status,"Overdue"))</f>
        <v/>
      </c>
      <c r="M136" s="66">
        <f>IF(B136="","",IF(COUNTIF(cust_Name,B136)&gt;1,"⚠ Duplicate name","✓ OK"))</f>
        <v/>
      </c>
      <c r="N136" s="67">
        <f>IF(AND(B136&lt;&gt;"",N(K136)&gt;0),K136+130/1000000,"")</f>
        <v/>
      </c>
    </row>
    <row r="137">
      <c r="B137" s="62" t="n"/>
      <c r="C137" s="62" t="n"/>
      <c r="D137" s="62" t="n"/>
      <c r="E137" s="62" t="n"/>
      <c r="F137" s="62" t="n"/>
      <c r="G137" s="69" t="n"/>
      <c r="H137" s="62" t="n"/>
      <c r="I137" s="65">
        <f>IF(B137="","",SUMIFS(ar_Amount,ar_Party,B137,ar_Posted,1,ar_Date,"&lt;="&amp;AsOf))</f>
        <v/>
      </c>
      <c r="J137" s="65">
        <f>IF(B137="","",SUMIFS(ar_Paid,ar_Party,B137))</f>
        <v/>
      </c>
      <c r="K137" s="65">
        <f>IF(B137="","",SUMIFS(ar_Balance,ar_Party,B137))</f>
        <v/>
      </c>
      <c r="L137" s="65">
        <f>IF(B137="","",SUMIFS(ar_Balance,ar_Party,B137,ar_Status,"Overdue"))</f>
        <v/>
      </c>
      <c r="M137" s="66">
        <f>IF(B137="","",IF(COUNTIF(cust_Name,B137)&gt;1,"⚠ Duplicate name","✓ OK"))</f>
        <v/>
      </c>
      <c r="N137" s="67">
        <f>IF(AND(B137&lt;&gt;"",N(K137)&gt;0),K137+131/1000000,"")</f>
        <v/>
      </c>
    </row>
    <row r="138">
      <c r="B138" s="62" t="n"/>
      <c r="C138" s="62" t="n"/>
      <c r="D138" s="62" t="n"/>
      <c r="E138" s="62" t="n"/>
      <c r="F138" s="62" t="n"/>
      <c r="G138" s="69" t="n"/>
      <c r="H138" s="62" t="n"/>
      <c r="I138" s="65">
        <f>IF(B138="","",SUMIFS(ar_Amount,ar_Party,B138,ar_Posted,1,ar_Date,"&lt;="&amp;AsOf))</f>
        <v/>
      </c>
      <c r="J138" s="65">
        <f>IF(B138="","",SUMIFS(ar_Paid,ar_Party,B138))</f>
        <v/>
      </c>
      <c r="K138" s="65">
        <f>IF(B138="","",SUMIFS(ar_Balance,ar_Party,B138))</f>
        <v/>
      </c>
      <c r="L138" s="65">
        <f>IF(B138="","",SUMIFS(ar_Balance,ar_Party,B138,ar_Status,"Overdue"))</f>
        <v/>
      </c>
      <c r="M138" s="66">
        <f>IF(B138="","",IF(COUNTIF(cust_Name,B138)&gt;1,"⚠ Duplicate name","✓ OK"))</f>
        <v/>
      </c>
      <c r="N138" s="67">
        <f>IF(AND(B138&lt;&gt;"",N(K138)&gt;0),K138+132/1000000,"")</f>
        <v/>
      </c>
    </row>
    <row r="139">
      <c r="B139" s="62" t="n"/>
      <c r="C139" s="62" t="n"/>
      <c r="D139" s="62" t="n"/>
      <c r="E139" s="62" t="n"/>
      <c r="F139" s="62" t="n"/>
      <c r="G139" s="69" t="n"/>
      <c r="H139" s="62" t="n"/>
      <c r="I139" s="65">
        <f>IF(B139="","",SUMIFS(ar_Amount,ar_Party,B139,ar_Posted,1,ar_Date,"&lt;="&amp;AsOf))</f>
        <v/>
      </c>
      <c r="J139" s="65">
        <f>IF(B139="","",SUMIFS(ar_Paid,ar_Party,B139))</f>
        <v/>
      </c>
      <c r="K139" s="65">
        <f>IF(B139="","",SUMIFS(ar_Balance,ar_Party,B139))</f>
        <v/>
      </c>
      <c r="L139" s="65">
        <f>IF(B139="","",SUMIFS(ar_Balance,ar_Party,B139,ar_Status,"Overdue"))</f>
        <v/>
      </c>
      <c r="M139" s="66">
        <f>IF(B139="","",IF(COUNTIF(cust_Name,B139)&gt;1,"⚠ Duplicate name","✓ OK"))</f>
        <v/>
      </c>
      <c r="N139" s="67">
        <f>IF(AND(B139&lt;&gt;"",N(K139)&gt;0),K139+133/1000000,"")</f>
        <v/>
      </c>
    </row>
    <row r="140">
      <c r="B140" s="62" t="n"/>
      <c r="C140" s="62" t="n"/>
      <c r="D140" s="62" t="n"/>
      <c r="E140" s="62" t="n"/>
      <c r="F140" s="62" t="n"/>
      <c r="G140" s="69" t="n"/>
      <c r="H140" s="62" t="n"/>
      <c r="I140" s="65">
        <f>IF(B140="","",SUMIFS(ar_Amount,ar_Party,B140,ar_Posted,1,ar_Date,"&lt;="&amp;AsOf))</f>
        <v/>
      </c>
      <c r="J140" s="65">
        <f>IF(B140="","",SUMIFS(ar_Paid,ar_Party,B140))</f>
        <v/>
      </c>
      <c r="K140" s="65">
        <f>IF(B140="","",SUMIFS(ar_Balance,ar_Party,B140))</f>
        <v/>
      </c>
      <c r="L140" s="65">
        <f>IF(B140="","",SUMIFS(ar_Balance,ar_Party,B140,ar_Status,"Overdue"))</f>
        <v/>
      </c>
      <c r="M140" s="66">
        <f>IF(B140="","",IF(COUNTIF(cust_Name,B140)&gt;1,"⚠ Duplicate name","✓ OK"))</f>
        <v/>
      </c>
      <c r="N140" s="67">
        <f>IF(AND(B140&lt;&gt;"",N(K140)&gt;0),K140+134/1000000,"")</f>
        <v/>
      </c>
    </row>
    <row r="141">
      <c r="B141" s="62" t="n"/>
      <c r="C141" s="62" t="n"/>
      <c r="D141" s="62" t="n"/>
      <c r="E141" s="62" t="n"/>
      <c r="F141" s="62" t="n"/>
      <c r="G141" s="69" t="n"/>
      <c r="H141" s="62" t="n"/>
      <c r="I141" s="65">
        <f>IF(B141="","",SUMIFS(ar_Amount,ar_Party,B141,ar_Posted,1,ar_Date,"&lt;="&amp;AsOf))</f>
        <v/>
      </c>
      <c r="J141" s="65">
        <f>IF(B141="","",SUMIFS(ar_Paid,ar_Party,B141))</f>
        <v/>
      </c>
      <c r="K141" s="65">
        <f>IF(B141="","",SUMIFS(ar_Balance,ar_Party,B141))</f>
        <v/>
      </c>
      <c r="L141" s="65">
        <f>IF(B141="","",SUMIFS(ar_Balance,ar_Party,B141,ar_Status,"Overdue"))</f>
        <v/>
      </c>
      <c r="M141" s="66">
        <f>IF(B141="","",IF(COUNTIF(cust_Name,B141)&gt;1,"⚠ Duplicate name","✓ OK"))</f>
        <v/>
      </c>
      <c r="N141" s="67">
        <f>IF(AND(B141&lt;&gt;"",N(K141)&gt;0),K141+135/1000000,"")</f>
        <v/>
      </c>
    </row>
    <row r="142">
      <c r="B142" s="62" t="n"/>
      <c r="C142" s="62" t="n"/>
      <c r="D142" s="62" t="n"/>
      <c r="E142" s="62" t="n"/>
      <c r="F142" s="62" t="n"/>
      <c r="G142" s="69" t="n"/>
      <c r="H142" s="62" t="n"/>
      <c r="I142" s="65">
        <f>IF(B142="","",SUMIFS(ar_Amount,ar_Party,B142,ar_Posted,1,ar_Date,"&lt;="&amp;AsOf))</f>
        <v/>
      </c>
      <c r="J142" s="65">
        <f>IF(B142="","",SUMIFS(ar_Paid,ar_Party,B142))</f>
        <v/>
      </c>
      <c r="K142" s="65">
        <f>IF(B142="","",SUMIFS(ar_Balance,ar_Party,B142))</f>
        <v/>
      </c>
      <c r="L142" s="65">
        <f>IF(B142="","",SUMIFS(ar_Balance,ar_Party,B142,ar_Status,"Overdue"))</f>
        <v/>
      </c>
      <c r="M142" s="66">
        <f>IF(B142="","",IF(COUNTIF(cust_Name,B142)&gt;1,"⚠ Duplicate name","✓ OK"))</f>
        <v/>
      </c>
      <c r="N142" s="67">
        <f>IF(AND(B142&lt;&gt;"",N(K142)&gt;0),K142+136/1000000,"")</f>
        <v/>
      </c>
    </row>
    <row r="143">
      <c r="B143" s="62" t="n"/>
      <c r="C143" s="62" t="n"/>
      <c r="D143" s="62" t="n"/>
      <c r="E143" s="62" t="n"/>
      <c r="F143" s="62" t="n"/>
      <c r="G143" s="69" t="n"/>
      <c r="H143" s="62" t="n"/>
      <c r="I143" s="65">
        <f>IF(B143="","",SUMIFS(ar_Amount,ar_Party,B143,ar_Posted,1,ar_Date,"&lt;="&amp;AsOf))</f>
        <v/>
      </c>
      <c r="J143" s="65">
        <f>IF(B143="","",SUMIFS(ar_Paid,ar_Party,B143))</f>
        <v/>
      </c>
      <c r="K143" s="65">
        <f>IF(B143="","",SUMIFS(ar_Balance,ar_Party,B143))</f>
        <v/>
      </c>
      <c r="L143" s="65">
        <f>IF(B143="","",SUMIFS(ar_Balance,ar_Party,B143,ar_Status,"Overdue"))</f>
        <v/>
      </c>
      <c r="M143" s="66">
        <f>IF(B143="","",IF(COUNTIF(cust_Name,B143)&gt;1,"⚠ Duplicate name","✓ OK"))</f>
        <v/>
      </c>
      <c r="N143" s="67">
        <f>IF(AND(B143&lt;&gt;"",N(K143)&gt;0),K143+137/1000000,"")</f>
        <v/>
      </c>
    </row>
    <row r="144">
      <c r="B144" s="62" t="n"/>
      <c r="C144" s="62" t="n"/>
      <c r="D144" s="62" t="n"/>
      <c r="E144" s="62" t="n"/>
      <c r="F144" s="62" t="n"/>
      <c r="G144" s="69" t="n"/>
      <c r="H144" s="62" t="n"/>
      <c r="I144" s="65">
        <f>IF(B144="","",SUMIFS(ar_Amount,ar_Party,B144,ar_Posted,1,ar_Date,"&lt;="&amp;AsOf))</f>
        <v/>
      </c>
      <c r="J144" s="65">
        <f>IF(B144="","",SUMIFS(ar_Paid,ar_Party,B144))</f>
        <v/>
      </c>
      <c r="K144" s="65">
        <f>IF(B144="","",SUMIFS(ar_Balance,ar_Party,B144))</f>
        <v/>
      </c>
      <c r="L144" s="65">
        <f>IF(B144="","",SUMIFS(ar_Balance,ar_Party,B144,ar_Status,"Overdue"))</f>
        <v/>
      </c>
      <c r="M144" s="66">
        <f>IF(B144="","",IF(COUNTIF(cust_Name,B144)&gt;1,"⚠ Duplicate name","✓ OK"))</f>
        <v/>
      </c>
      <c r="N144" s="67">
        <f>IF(AND(B144&lt;&gt;"",N(K144)&gt;0),K144+138/1000000,"")</f>
        <v/>
      </c>
    </row>
    <row r="145">
      <c r="B145" s="62" t="n"/>
      <c r="C145" s="62" t="n"/>
      <c r="D145" s="62" t="n"/>
      <c r="E145" s="62" t="n"/>
      <c r="F145" s="62" t="n"/>
      <c r="G145" s="69" t="n"/>
      <c r="H145" s="62" t="n"/>
      <c r="I145" s="65">
        <f>IF(B145="","",SUMIFS(ar_Amount,ar_Party,B145,ar_Posted,1,ar_Date,"&lt;="&amp;AsOf))</f>
        <v/>
      </c>
      <c r="J145" s="65">
        <f>IF(B145="","",SUMIFS(ar_Paid,ar_Party,B145))</f>
        <v/>
      </c>
      <c r="K145" s="65">
        <f>IF(B145="","",SUMIFS(ar_Balance,ar_Party,B145))</f>
        <v/>
      </c>
      <c r="L145" s="65">
        <f>IF(B145="","",SUMIFS(ar_Balance,ar_Party,B145,ar_Status,"Overdue"))</f>
        <v/>
      </c>
      <c r="M145" s="66">
        <f>IF(B145="","",IF(COUNTIF(cust_Name,B145)&gt;1,"⚠ Duplicate name","✓ OK"))</f>
        <v/>
      </c>
      <c r="N145" s="67">
        <f>IF(AND(B145&lt;&gt;"",N(K145)&gt;0),K145+139/1000000,"")</f>
        <v/>
      </c>
    </row>
    <row r="146">
      <c r="B146" s="62" t="n"/>
      <c r="C146" s="62" t="n"/>
      <c r="D146" s="62" t="n"/>
      <c r="E146" s="62" t="n"/>
      <c r="F146" s="62" t="n"/>
      <c r="G146" s="69" t="n"/>
      <c r="H146" s="62" t="n"/>
      <c r="I146" s="65">
        <f>IF(B146="","",SUMIFS(ar_Amount,ar_Party,B146,ar_Posted,1,ar_Date,"&lt;="&amp;AsOf))</f>
        <v/>
      </c>
      <c r="J146" s="65">
        <f>IF(B146="","",SUMIFS(ar_Paid,ar_Party,B146))</f>
        <v/>
      </c>
      <c r="K146" s="65">
        <f>IF(B146="","",SUMIFS(ar_Balance,ar_Party,B146))</f>
        <v/>
      </c>
      <c r="L146" s="65">
        <f>IF(B146="","",SUMIFS(ar_Balance,ar_Party,B146,ar_Status,"Overdue"))</f>
        <v/>
      </c>
      <c r="M146" s="66">
        <f>IF(B146="","",IF(COUNTIF(cust_Name,B146)&gt;1,"⚠ Duplicate name","✓ OK"))</f>
        <v/>
      </c>
      <c r="N146" s="67">
        <f>IF(AND(B146&lt;&gt;"",N(K146)&gt;0),K146+140/1000000,"")</f>
        <v/>
      </c>
    </row>
    <row r="147">
      <c r="B147" s="62" t="n"/>
      <c r="C147" s="62" t="n"/>
      <c r="D147" s="62" t="n"/>
      <c r="E147" s="62" t="n"/>
      <c r="F147" s="62" t="n"/>
      <c r="G147" s="69" t="n"/>
      <c r="H147" s="62" t="n"/>
      <c r="I147" s="65">
        <f>IF(B147="","",SUMIFS(ar_Amount,ar_Party,B147,ar_Posted,1,ar_Date,"&lt;="&amp;AsOf))</f>
        <v/>
      </c>
      <c r="J147" s="65">
        <f>IF(B147="","",SUMIFS(ar_Paid,ar_Party,B147))</f>
        <v/>
      </c>
      <c r="K147" s="65">
        <f>IF(B147="","",SUMIFS(ar_Balance,ar_Party,B147))</f>
        <v/>
      </c>
      <c r="L147" s="65">
        <f>IF(B147="","",SUMIFS(ar_Balance,ar_Party,B147,ar_Status,"Overdue"))</f>
        <v/>
      </c>
      <c r="M147" s="66">
        <f>IF(B147="","",IF(COUNTIF(cust_Name,B147)&gt;1,"⚠ Duplicate name","✓ OK"))</f>
        <v/>
      </c>
      <c r="N147" s="67">
        <f>IF(AND(B147&lt;&gt;"",N(K147)&gt;0),K147+141/1000000,"")</f>
        <v/>
      </c>
    </row>
    <row r="148">
      <c r="B148" s="62" t="n"/>
      <c r="C148" s="62" t="n"/>
      <c r="D148" s="62" t="n"/>
      <c r="E148" s="62" t="n"/>
      <c r="F148" s="62" t="n"/>
      <c r="G148" s="69" t="n"/>
      <c r="H148" s="62" t="n"/>
      <c r="I148" s="65">
        <f>IF(B148="","",SUMIFS(ar_Amount,ar_Party,B148,ar_Posted,1,ar_Date,"&lt;="&amp;AsOf))</f>
        <v/>
      </c>
      <c r="J148" s="65">
        <f>IF(B148="","",SUMIFS(ar_Paid,ar_Party,B148))</f>
        <v/>
      </c>
      <c r="K148" s="65">
        <f>IF(B148="","",SUMIFS(ar_Balance,ar_Party,B148))</f>
        <v/>
      </c>
      <c r="L148" s="65">
        <f>IF(B148="","",SUMIFS(ar_Balance,ar_Party,B148,ar_Status,"Overdue"))</f>
        <v/>
      </c>
      <c r="M148" s="66">
        <f>IF(B148="","",IF(COUNTIF(cust_Name,B148)&gt;1,"⚠ Duplicate name","✓ OK"))</f>
        <v/>
      </c>
      <c r="N148" s="67">
        <f>IF(AND(B148&lt;&gt;"",N(K148)&gt;0),K148+142/1000000,"")</f>
        <v/>
      </c>
    </row>
    <row r="149">
      <c r="B149" s="62" t="n"/>
      <c r="C149" s="62" t="n"/>
      <c r="D149" s="62" t="n"/>
      <c r="E149" s="62" t="n"/>
      <c r="F149" s="62" t="n"/>
      <c r="G149" s="69" t="n"/>
      <c r="H149" s="62" t="n"/>
      <c r="I149" s="65">
        <f>IF(B149="","",SUMIFS(ar_Amount,ar_Party,B149,ar_Posted,1,ar_Date,"&lt;="&amp;AsOf))</f>
        <v/>
      </c>
      <c r="J149" s="65">
        <f>IF(B149="","",SUMIFS(ar_Paid,ar_Party,B149))</f>
        <v/>
      </c>
      <c r="K149" s="65">
        <f>IF(B149="","",SUMIFS(ar_Balance,ar_Party,B149))</f>
        <v/>
      </c>
      <c r="L149" s="65">
        <f>IF(B149="","",SUMIFS(ar_Balance,ar_Party,B149,ar_Status,"Overdue"))</f>
        <v/>
      </c>
      <c r="M149" s="66">
        <f>IF(B149="","",IF(COUNTIF(cust_Name,B149)&gt;1,"⚠ Duplicate name","✓ OK"))</f>
        <v/>
      </c>
      <c r="N149" s="67">
        <f>IF(AND(B149&lt;&gt;"",N(K149)&gt;0),K149+143/1000000,"")</f>
        <v/>
      </c>
    </row>
    <row r="150">
      <c r="B150" s="62" t="n"/>
      <c r="C150" s="62" t="n"/>
      <c r="D150" s="62" t="n"/>
      <c r="E150" s="62" t="n"/>
      <c r="F150" s="62" t="n"/>
      <c r="G150" s="69" t="n"/>
      <c r="H150" s="62" t="n"/>
      <c r="I150" s="65">
        <f>IF(B150="","",SUMIFS(ar_Amount,ar_Party,B150,ar_Posted,1,ar_Date,"&lt;="&amp;AsOf))</f>
        <v/>
      </c>
      <c r="J150" s="65">
        <f>IF(B150="","",SUMIFS(ar_Paid,ar_Party,B150))</f>
        <v/>
      </c>
      <c r="K150" s="65">
        <f>IF(B150="","",SUMIFS(ar_Balance,ar_Party,B150))</f>
        <v/>
      </c>
      <c r="L150" s="65">
        <f>IF(B150="","",SUMIFS(ar_Balance,ar_Party,B150,ar_Status,"Overdue"))</f>
        <v/>
      </c>
      <c r="M150" s="66">
        <f>IF(B150="","",IF(COUNTIF(cust_Name,B150)&gt;1,"⚠ Duplicate name","✓ OK"))</f>
        <v/>
      </c>
      <c r="N150" s="67">
        <f>IF(AND(B150&lt;&gt;"",N(K150)&gt;0),K150+144/1000000,"")</f>
        <v/>
      </c>
    </row>
    <row r="151">
      <c r="B151" s="62" t="n"/>
      <c r="C151" s="62" t="n"/>
      <c r="D151" s="62" t="n"/>
      <c r="E151" s="62" t="n"/>
      <c r="F151" s="62" t="n"/>
      <c r="G151" s="69" t="n"/>
      <c r="H151" s="62" t="n"/>
      <c r="I151" s="65">
        <f>IF(B151="","",SUMIFS(ar_Amount,ar_Party,B151,ar_Posted,1,ar_Date,"&lt;="&amp;AsOf))</f>
        <v/>
      </c>
      <c r="J151" s="65">
        <f>IF(B151="","",SUMIFS(ar_Paid,ar_Party,B151))</f>
        <v/>
      </c>
      <c r="K151" s="65">
        <f>IF(B151="","",SUMIFS(ar_Balance,ar_Party,B151))</f>
        <v/>
      </c>
      <c r="L151" s="65">
        <f>IF(B151="","",SUMIFS(ar_Balance,ar_Party,B151,ar_Status,"Overdue"))</f>
        <v/>
      </c>
      <c r="M151" s="66">
        <f>IF(B151="","",IF(COUNTIF(cust_Name,B151)&gt;1,"⚠ Duplicate name","✓ OK"))</f>
        <v/>
      </c>
      <c r="N151" s="67">
        <f>IF(AND(B151&lt;&gt;"",N(K151)&gt;0),K151+145/1000000,"")</f>
        <v/>
      </c>
    </row>
    <row r="152">
      <c r="B152" s="62" t="n"/>
      <c r="C152" s="62" t="n"/>
      <c r="D152" s="62" t="n"/>
      <c r="E152" s="62" t="n"/>
      <c r="F152" s="62" t="n"/>
      <c r="G152" s="69" t="n"/>
      <c r="H152" s="62" t="n"/>
      <c r="I152" s="65">
        <f>IF(B152="","",SUMIFS(ar_Amount,ar_Party,B152,ar_Posted,1,ar_Date,"&lt;="&amp;AsOf))</f>
        <v/>
      </c>
      <c r="J152" s="65">
        <f>IF(B152="","",SUMIFS(ar_Paid,ar_Party,B152))</f>
        <v/>
      </c>
      <c r="K152" s="65">
        <f>IF(B152="","",SUMIFS(ar_Balance,ar_Party,B152))</f>
        <v/>
      </c>
      <c r="L152" s="65">
        <f>IF(B152="","",SUMIFS(ar_Balance,ar_Party,B152,ar_Status,"Overdue"))</f>
        <v/>
      </c>
      <c r="M152" s="66">
        <f>IF(B152="","",IF(COUNTIF(cust_Name,B152)&gt;1,"⚠ Duplicate name","✓ OK"))</f>
        <v/>
      </c>
      <c r="N152" s="67">
        <f>IF(AND(B152&lt;&gt;"",N(K152)&gt;0),K152+146/1000000,"")</f>
        <v/>
      </c>
    </row>
    <row r="153">
      <c r="B153" s="62" t="n"/>
      <c r="C153" s="62" t="n"/>
      <c r="D153" s="62" t="n"/>
      <c r="E153" s="62" t="n"/>
      <c r="F153" s="62" t="n"/>
      <c r="G153" s="69" t="n"/>
      <c r="H153" s="62" t="n"/>
      <c r="I153" s="65">
        <f>IF(B153="","",SUMIFS(ar_Amount,ar_Party,B153,ar_Posted,1,ar_Date,"&lt;="&amp;AsOf))</f>
        <v/>
      </c>
      <c r="J153" s="65">
        <f>IF(B153="","",SUMIFS(ar_Paid,ar_Party,B153))</f>
        <v/>
      </c>
      <c r="K153" s="65">
        <f>IF(B153="","",SUMIFS(ar_Balance,ar_Party,B153))</f>
        <v/>
      </c>
      <c r="L153" s="65">
        <f>IF(B153="","",SUMIFS(ar_Balance,ar_Party,B153,ar_Status,"Overdue"))</f>
        <v/>
      </c>
      <c r="M153" s="66">
        <f>IF(B153="","",IF(COUNTIF(cust_Name,B153)&gt;1,"⚠ Duplicate name","✓ OK"))</f>
        <v/>
      </c>
      <c r="N153" s="67">
        <f>IF(AND(B153&lt;&gt;"",N(K153)&gt;0),K153+147/1000000,"")</f>
        <v/>
      </c>
    </row>
    <row r="154">
      <c r="B154" s="62" t="n"/>
      <c r="C154" s="62" t="n"/>
      <c r="D154" s="62" t="n"/>
      <c r="E154" s="62" t="n"/>
      <c r="F154" s="62" t="n"/>
      <c r="G154" s="69" t="n"/>
      <c r="H154" s="62" t="n"/>
      <c r="I154" s="65">
        <f>IF(B154="","",SUMIFS(ar_Amount,ar_Party,B154,ar_Posted,1,ar_Date,"&lt;="&amp;AsOf))</f>
        <v/>
      </c>
      <c r="J154" s="65">
        <f>IF(B154="","",SUMIFS(ar_Paid,ar_Party,B154))</f>
        <v/>
      </c>
      <c r="K154" s="65">
        <f>IF(B154="","",SUMIFS(ar_Balance,ar_Party,B154))</f>
        <v/>
      </c>
      <c r="L154" s="65">
        <f>IF(B154="","",SUMIFS(ar_Balance,ar_Party,B154,ar_Status,"Overdue"))</f>
        <v/>
      </c>
      <c r="M154" s="66">
        <f>IF(B154="","",IF(COUNTIF(cust_Name,B154)&gt;1,"⚠ Duplicate name","✓ OK"))</f>
        <v/>
      </c>
      <c r="N154" s="67">
        <f>IF(AND(B154&lt;&gt;"",N(K154)&gt;0),K154+148/1000000,"")</f>
        <v/>
      </c>
    </row>
    <row r="155">
      <c r="B155" s="62" t="n"/>
      <c r="C155" s="62" t="n"/>
      <c r="D155" s="62" t="n"/>
      <c r="E155" s="62" t="n"/>
      <c r="F155" s="62" t="n"/>
      <c r="G155" s="69" t="n"/>
      <c r="H155" s="62" t="n"/>
      <c r="I155" s="65">
        <f>IF(B155="","",SUMIFS(ar_Amount,ar_Party,B155,ar_Posted,1,ar_Date,"&lt;="&amp;AsOf))</f>
        <v/>
      </c>
      <c r="J155" s="65">
        <f>IF(B155="","",SUMIFS(ar_Paid,ar_Party,B155))</f>
        <v/>
      </c>
      <c r="K155" s="65">
        <f>IF(B155="","",SUMIFS(ar_Balance,ar_Party,B155))</f>
        <v/>
      </c>
      <c r="L155" s="65">
        <f>IF(B155="","",SUMIFS(ar_Balance,ar_Party,B155,ar_Status,"Overdue"))</f>
        <v/>
      </c>
      <c r="M155" s="66">
        <f>IF(B155="","",IF(COUNTIF(cust_Name,B155)&gt;1,"⚠ Duplicate name","✓ OK"))</f>
        <v/>
      </c>
      <c r="N155" s="67">
        <f>IF(AND(B155&lt;&gt;"",N(K155)&gt;0),K155+149/1000000,"")</f>
        <v/>
      </c>
    </row>
    <row r="156">
      <c r="B156" s="62" t="n"/>
      <c r="C156" s="62" t="n"/>
      <c r="D156" s="62" t="n"/>
      <c r="E156" s="62" t="n"/>
      <c r="F156" s="62" t="n"/>
      <c r="G156" s="69" t="n"/>
      <c r="H156" s="62" t="n"/>
      <c r="I156" s="65">
        <f>IF(B156="","",SUMIFS(ar_Amount,ar_Party,B156,ar_Posted,1,ar_Date,"&lt;="&amp;AsOf))</f>
        <v/>
      </c>
      <c r="J156" s="65">
        <f>IF(B156="","",SUMIFS(ar_Paid,ar_Party,B156))</f>
        <v/>
      </c>
      <c r="K156" s="65">
        <f>IF(B156="","",SUMIFS(ar_Balance,ar_Party,B156))</f>
        <v/>
      </c>
      <c r="L156" s="65">
        <f>IF(B156="","",SUMIFS(ar_Balance,ar_Party,B156,ar_Status,"Overdue"))</f>
        <v/>
      </c>
      <c r="M156" s="66">
        <f>IF(B156="","",IF(COUNTIF(cust_Name,B156)&gt;1,"⚠ Duplicate name","✓ OK"))</f>
        <v/>
      </c>
      <c r="N156" s="67">
        <f>IF(AND(B156&lt;&gt;"",N(K156)&gt;0),K156+150/1000000,"")</f>
        <v/>
      </c>
    </row>
    <row r="157">
      <c r="B157" s="62" t="n"/>
      <c r="C157" s="62" t="n"/>
      <c r="D157" s="62" t="n"/>
      <c r="E157" s="62" t="n"/>
      <c r="F157" s="62" t="n"/>
      <c r="G157" s="69" t="n"/>
      <c r="H157" s="62" t="n"/>
      <c r="I157" s="65">
        <f>IF(B157="","",SUMIFS(ar_Amount,ar_Party,B157,ar_Posted,1,ar_Date,"&lt;="&amp;AsOf))</f>
        <v/>
      </c>
      <c r="J157" s="65">
        <f>IF(B157="","",SUMIFS(ar_Paid,ar_Party,B157))</f>
        <v/>
      </c>
      <c r="K157" s="65">
        <f>IF(B157="","",SUMIFS(ar_Balance,ar_Party,B157))</f>
        <v/>
      </c>
      <c r="L157" s="65">
        <f>IF(B157="","",SUMIFS(ar_Balance,ar_Party,B157,ar_Status,"Overdue"))</f>
        <v/>
      </c>
      <c r="M157" s="66">
        <f>IF(B157="","",IF(COUNTIF(cust_Name,B157)&gt;1,"⚠ Duplicate name","✓ OK"))</f>
        <v/>
      </c>
      <c r="N157" s="67">
        <f>IF(AND(B157&lt;&gt;"",N(K157)&gt;0),K157+151/1000000,"")</f>
        <v/>
      </c>
    </row>
    <row r="158">
      <c r="B158" s="62" t="n"/>
      <c r="C158" s="62" t="n"/>
      <c r="D158" s="62" t="n"/>
      <c r="E158" s="62" t="n"/>
      <c r="F158" s="62" t="n"/>
      <c r="G158" s="69" t="n"/>
      <c r="H158" s="62" t="n"/>
      <c r="I158" s="65">
        <f>IF(B158="","",SUMIFS(ar_Amount,ar_Party,B158,ar_Posted,1,ar_Date,"&lt;="&amp;AsOf))</f>
        <v/>
      </c>
      <c r="J158" s="65">
        <f>IF(B158="","",SUMIFS(ar_Paid,ar_Party,B158))</f>
        <v/>
      </c>
      <c r="K158" s="65">
        <f>IF(B158="","",SUMIFS(ar_Balance,ar_Party,B158))</f>
        <v/>
      </c>
      <c r="L158" s="65">
        <f>IF(B158="","",SUMIFS(ar_Balance,ar_Party,B158,ar_Status,"Overdue"))</f>
        <v/>
      </c>
      <c r="M158" s="66">
        <f>IF(B158="","",IF(COUNTIF(cust_Name,B158)&gt;1,"⚠ Duplicate name","✓ OK"))</f>
        <v/>
      </c>
      <c r="N158" s="67">
        <f>IF(AND(B158&lt;&gt;"",N(K158)&gt;0),K158+152/1000000,"")</f>
        <v/>
      </c>
    </row>
    <row r="159">
      <c r="B159" s="62" t="n"/>
      <c r="C159" s="62" t="n"/>
      <c r="D159" s="62" t="n"/>
      <c r="E159" s="62" t="n"/>
      <c r="F159" s="62" t="n"/>
      <c r="G159" s="69" t="n"/>
      <c r="H159" s="62" t="n"/>
      <c r="I159" s="65">
        <f>IF(B159="","",SUMIFS(ar_Amount,ar_Party,B159,ar_Posted,1,ar_Date,"&lt;="&amp;AsOf))</f>
        <v/>
      </c>
      <c r="J159" s="65">
        <f>IF(B159="","",SUMIFS(ar_Paid,ar_Party,B159))</f>
        <v/>
      </c>
      <c r="K159" s="65">
        <f>IF(B159="","",SUMIFS(ar_Balance,ar_Party,B159))</f>
        <v/>
      </c>
      <c r="L159" s="65">
        <f>IF(B159="","",SUMIFS(ar_Balance,ar_Party,B159,ar_Status,"Overdue"))</f>
        <v/>
      </c>
      <c r="M159" s="66">
        <f>IF(B159="","",IF(COUNTIF(cust_Name,B159)&gt;1,"⚠ Duplicate name","✓ OK"))</f>
        <v/>
      </c>
      <c r="N159" s="67">
        <f>IF(AND(B159&lt;&gt;"",N(K159)&gt;0),K159+153/1000000,"")</f>
        <v/>
      </c>
    </row>
    <row r="160">
      <c r="B160" s="62" t="n"/>
      <c r="C160" s="62" t="n"/>
      <c r="D160" s="62" t="n"/>
      <c r="E160" s="62" t="n"/>
      <c r="F160" s="62" t="n"/>
      <c r="G160" s="69" t="n"/>
      <c r="H160" s="62" t="n"/>
      <c r="I160" s="65">
        <f>IF(B160="","",SUMIFS(ar_Amount,ar_Party,B160,ar_Posted,1,ar_Date,"&lt;="&amp;AsOf))</f>
        <v/>
      </c>
      <c r="J160" s="65">
        <f>IF(B160="","",SUMIFS(ar_Paid,ar_Party,B160))</f>
        <v/>
      </c>
      <c r="K160" s="65">
        <f>IF(B160="","",SUMIFS(ar_Balance,ar_Party,B160))</f>
        <v/>
      </c>
      <c r="L160" s="65">
        <f>IF(B160="","",SUMIFS(ar_Balance,ar_Party,B160,ar_Status,"Overdue"))</f>
        <v/>
      </c>
      <c r="M160" s="66">
        <f>IF(B160="","",IF(COUNTIF(cust_Name,B160)&gt;1,"⚠ Duplicate name","✓ OK"))</f>
        <v/>
      </c>
      <c r="N160" s="67">
        <f>IF(AND(B160&lt;&gt;"",N(K160)&gt;0),K160+154/1000000,"")</f>
        <v/>
      </c>
    </row>
    <row r="161">
      <c r="B161" s="62" t="n"/>
      <c r="C161" s="62" t="n"/>
      <c r="D161" s="62" t="n"/>
      <c r="E161" s="62" t="n"/>
      <c r="F161" s="62" t="n"/>
      <c r="G161" s="69" t="n"/>
      <c r="H161" s="62" t="n"/>
      <c r="I161" s="65">
        <f>IF(B161="","",SUMIFS(ar_Amount,ar_Party,B161,ar_Posted,1,ar_Date,"&lt;="&amp;AsOf))</f>
        <v/>
      </c>
      <c r="J161" s="65">
        <f>IF(B161="","",SUMIFS(ar_Paid,ar_Party,B161))</f>
        <v/>
      </c>
      <c r="K161" s="65">
        <f>IF(B161="","",SUMIFS(ar_Balance,ar_Party,B161))</f>
        <v/>
      </c>
      <c r="L161" s="65">
        <f>IF(B161="","",SUMIFS(ar_Balance,ar_Party,B161,ar_Status,"Overdue"))</f>
        <v/>
      </c>
      <c r="M161" s="66">
        <f>IF(B161="","",IF(COUNTIF(cust_Name,B161)&gt;1,"⚠ Duplicate name","✓ OK"))</f>
        <v/>
      </c>
      <c r="N161" s="67">
        <f>IF(AND(B161&lt;&gt;"",N(K161)&gt;0),K161+155/1000000,"")</f>
        <v/>
      </c>
    </row>
    <row r="162">
      <c r="B162" s="62" t="n"/>
      <c r="C162" s="62" t="n"/>
      <c r="D162" s="62" t="n"/>
      <c r="E162" s="62" t="n"/>
      <c r="F162" s="62" t="n"/>
      <c r="G162" s="69" t="n"/>
      <c r="H162" s="62" t="n"/>
      <c r="I162" s="65">
        <f>IF(B162="","",SUMIFS(ar_Amount,ar_Party,B162,ar_Posted,1,ar_Date,"&lt;="&amp;AsOf))</f>
        <v/>
      </c>
      <c r="J162" s="65">
        <f>IF(B162="","",SUMIFS(ar_Paid,ar_Party,B162))</f>
        <v/>
      </c>
      <c r="K162" s="65">
        <f>IF(B162="","",SUMIFS(ar_Balance,ar_Party,B162))</f>
        <v/>
      </c>
      <c r="L162" s="65">
        <f>IF(B162="","",SUMIFS(ar_Balance,ar_Party,B162,ar_Status,"Overdue"))</f>
        <v/>
      </c>
      <c r="M162" s="66">
        <f>IF(B162="","",IF(COUNTIF(cust_Name,B162)&gt;1,"⚠ Duplicate name","✓ OK"))</f>
        <v/>
      </c>
      <c r="N162" s="67">
        <f>IF(AND(B162&lt;&gt;"",N(K162)&gt;0),K162+156/1000000,"")</f>
        <v/>
      </c>
    </row>
    <row r="163">
      <c r="B163" s="62" t="n"/>
      <c r="C163" s="62" t="n"/>
      <c r="D163" s="62" t="n"/>
      <c r="E163" s="62" t="n"/>
      <c r="F163" s="62" t="n"/>
      <c r="G163" s="69" t="n"/>
      <c r="H163" s="62" t="n"/>
      <c r="I163" s="65">
        <f>IF(B163="","",SUMIFS(ar_Amount,ar_Party,B163,ar_Posted,1,ar_Date,"&lt;="&amp;AsOf))</f>
        <v/>
      </c>
      <c r="J163" s="65">
        <f>IF(B163="","",SUMIFS(ar_Paid,ar_Party,B163))</f>
        <v/>
      </c>
      <c r="K163" s="65">
        <f>IF(B163="","",SUMIFS(ar_Balance,ar_Party,B163))</f>
        <v/>
      </c>
      <c r="L163" s="65">
        <f>IF(B163="","",SUMIFS(ar_Balance,ar_Party,B163,ar_Status,"Overdue"))</f>
        <v/>
      </c>
      <c r="M163" s="66">
        <f>IF(B163="","",IF(COUNTIF(cust_Name,B163)&gt;1,"⚠ Duplicate name","✓ OK"))</f>
        <v/>
      </c>
      <c r="N163" s="67">
        <f>IF(AND(B163&lt;&gt;"",N(K163)&gt;0),K163+157/1000000,"")</f>
        <v/>
      </c>
    </row>
    <row r="164">
      <c r="B164" s="62" t="n"/>
      <c r="C164" s="62" t="n"/>
      <c r="D164" s="62" t="n"/>
      <c r="E164" s="62" t="n"/>
      <c r="F164" s="62" t="n"/>
      <c r="G164" s="69" t="n"/>
      <c r="H164" s="62" t="n"/>
      <c r="I164" s="65">
        <f>IF(B164="","",SUMIFS(ar_Amount,ar_Party,B164,ar_Posted,1,ar_Date,"&lt;="&amp;AsOf))</f>
        <v/>
      </c>
      <c r="J164" s="65">
        <f>IF(B164="","",SUMIFS(ar_Paid,ar_Party,B164))</f>
        <v/>
      </c>
      <c r="K164" s="65">
        <f>IF(B164="","",SUMIFS(ar_Balance,ar_Party,B164))</f>
        <v/>
      </c>
      <c r="L164" s="65">
        <f>IF(B164="","",SUMIFS(ar_Balance,ar_Party,B164,ar_Status,"Overdue"))</f>
        <v/>
      </c>
      <c r="M164" s="66">
        <f>IF(B164="","",IF(COUNTIF(cust_Name,B164)&gt;1,"⚠ Duplicate name","✓ OK"))</f>
        <v/>
      </c>
      <c r="N164" s="67">
        <f>IF(AND(B164&lt;&gt;"",N(K164)&gt;0),K164+158/1000000,"")</f>
        <v/>
      </c>
    </row>
    <row r="165">
      <c r="B165" s="62" t="n"/>
      <c r="C165" s="62" t="n"/>
      <c r="D165" s="62" t="n"/>
      <c r="E165" s="62" t="n"/>
      <c r="F165" s="62" t="n"/>
      <c r="G165" s="69" t="n"/>
      <c r="H165" s="62" t="n"/>
      <c r="I165" s="65">
        <f>IF(B165="","",SUMIFS(ar_Amount,ar_Party,B165,ar_Posted,1,ar_Date,"&lt;="&amp;AsOf))</f>
        <v/>
      </c>
      <c r="J165" s="65">
        <f>IF(B165="","",SUMIFS(ar_Paid,ar_Party,B165))</f>
        <v/>
      </c>
      <c r="K165" s="65">
        <f>IF(B165="","",SUMIFS(ar_Balance,ar_Party,B165))</f>
        <v/>
      </c>
      <c r="L165" s="65">
        <f>IF(B165="","",SUMIFS(ar_Balance,ar_Party,B165,ar_Status,"Overdue"))</f>
        <v/>
      </c>
      <c r="M165" s="66">
        <f>IF(B165="","",IF(COUNTIF(cust_Name,B165)&gt;1,"⚠ Duplicate name","✓ OK"))</f>
        <v/>
      </c>
      <c r="N165" s="67">
        <f>IF(AND(B165&lt;&gt;"",N(K165)&gt;0),K165+159/1000000,"")</f>
        <v/>
      </c>
    </row>
    <row r="166">
      <c r="B166" s="62" t="n"/>
      <c r="C166" s="62" t="n"/>
      <c r="D166" s="62" t="n"/>
      <c r="E166" s="62" t="n"/>
      <c r="F166" s="62" t="n"/>
      <c r="G166" s="69" t="n"/>
      <c r="H166" s="62" t="n"/>
      <c r="I166" s="65">
        <f>IF(B166="","",SUMIFS(ar_Amount,ar_Party,B166,ar_Posted,1,ar_Date,"&lt;="&amp;AsOf))</f>
        <v/>
      </c>
      <c r="J166" s="65">
        <f>IF(B166="","",SUMIFS(ar_Paid,ar_Party,B166))</f>
        <v/>
      </c>
      <c r="K166" s="65">
        <f>IF(B166="","",SUMIFS(ar_Balance,ar_Party,B166))</f>
        <v/>
      </c>
      <c r="L166" s="65">
        <f>IF(B166="","",SUMIFS(ar_Balance,ar_Party,B166,ar_Status,"Overdue"))</f>
        <v/>
      </c>
      <c r="M166" s="66">
        <f>IF(B166="","",IF(COUNTIF(cust_Name,B166)&gt;1,"⚠ Duplicate name","✓ OK"))</f>
        <v/>
      </c>
      <c r="N166" s="67">
        <f>IF(AND(B166&lt;&gt;"",N(K166)&gt;0),K166+160/1000000,"")</f>
        <v/>
      </c>
    </row>
    <row r="167">
      <c r="B167" s="62" t="n"/>
      <c r="C167" s="62" t="n"/>
      <c r="D167" s="62" t="n"/>
      <c r="E167" s="62" t="n"/>
      <c r="F167" s="62" t="n"/>
      <c r="G167" s="69" t="n"/>
      <c r="H167" s="62" t="n"/>
      <c r="I167" s="65">
        <f>IF(B167="","",SUMIFS(ar_Amount,ar_Party,B167,ar_Posted,1,ar_Date,"&lt;="&amp;AsOf))</f>
        <v/>
      </c>
      <c r="J167" s="65">
        <f>IF(B167="","",SUMIFS(ar_Paid,ar_Party,B167))</f>
        <v/>
      </c>
      <c r="K167" s="65">
        <f>IF(B167="","",SUMIFS(ar_Balance,ar_Party,B167))</f>
        <v/>
      </c>
      <c r="L167" s="65">
        <f>IF(B167="","",SUMIFS(ar_Balance,ar_Party,B167,ar_Status,"Overdue"))</f>
        <v/>
      </c>
      <c r="M167" s="66">
        <f>IF(B167="","",IF(COUNTIF(cust_Name,B167)&gt;1,"⚠ Duplicate name","✓ OK"))</f>
        <v/>
      </c>
      <c r="N167" s="67">
        <f>IF(AND(B167&lt;&gt;"",N(K167)&gt;0),K167+161/1000000,"")</f>
        <v/>
      </c>
    </row>
    <row r="168">
      <c r="B168" s="62" t="n"/>
      <c r="C168" s="62" t="n"/>
      <c r="D168" s="62" t="n"/>
      <c r="E168" s="62" t="n"/>
      <c r="F168" s="62" t="n"/>
      <c r="G168" s="69" t="n"/>
      <c r="H168" s="62" t="n"/>
      <c r="I168" s="65">
        <f>IF(B168="","",SUMIFS(ar_Amount,ar_Party,B168,ar_Posted,1,ar_Date,"&lt;="&amp;AsOf))</f>
        <v/>
      </c>
      <c r="J168" s="65">
        <f>IF(B168="","",SUMIFS(ar_Paid,ar_Party,B168))</f>
        <v/>
      </c>
      <c r="K168" s="65">
        <f>IF(B168="","",SUMIFS(ar_Balance,ar_Party,B168))</f>
        <v/>
      </c>
      <c r="L168" s="65">
        <f>IF(B168="","",SUMIFS(ar_Balance,ar_Party,B168,ar_Status,"Overdue"))</f>
        <v/>
      </c>
      <c r="M168" s="66">
        <f>IF(B168="","",IF(COUNTIF(cust_Name,B168)&gt;1,"⚠ Duplicate name","✓ OK"))</f>
        <v/>
      </c>
      <c r="N168" s="67">
        <f>IF(AND(B168&lt;&gt;"",N(K168)&gt;0),K168+162/1000000,"")</f>
        <v/>
      </c>
    </row>
    <row r="169">
      <c r="B169" s="62" t="n"/>
      <c r="C169" s="62" t="n"/>
      <c r="D169" s="62" t="n"/>
      <c r="E169" s="62" t="n"/>
      <c r="F169" s="62" t="n"/>
      <c r="G169" s="69" t="n"/>
      <c r="H169" s="62" t="n"/>
      <c r="I169" s="65">
        <f>IF(B169="","",SUMIFS(ar_Amount,ar_Party,B169,ar_Posted,1,ar_Date,"&lt;="&amp;AsOf))</f>
        <v/>
      </c>
      <c r="J169" s="65">
        <f>IF(B169="","",SUMIFS(ar_Paid,ar_Party,B169))</f>
        <v/>
      </c>
      <c r="K169" s="65">
        <f>IF(B169="","",SUMIFS(ar_Balance,ar_Party,B169))</f>
        <v/>
      </c>
      <c r="L169" s="65">
        <f>IF(B169="","",SUMIFS(ar_Balance,ar_Party,B169,ar_Status,"Overdue"))</f>
        <v/>
      </c>
      <c r="M169" s="66">
        <f>IF(B169="","",IF(COUNTIF(cust_Name,B169)&gt;1,"⚠ Duplicate name","✓ OK"))</f>
        <v/>
      </c>
      <c r="N169" s="67">
        <f>IF(AND(B169&lt;&gt;"",N(K169)&gt;0),K169+163/1000000,"")</f>
        <v/>
      </c>
    </row>
    <row r="170">
      <c r="B170" s="62" t="n"/>
      <c r="C170" s="62" t="n"/>
      <c r="D170" s="62" t="n"/>
      <c r="E170" s="62" t="n"/>
      <c r="F170" s="62" t="n"/>
      <c r="G170" s="69" t="n"/>
      <c r="H170" s="62" t="n"/>
      <c r="I170" s="65">
        <f>IF(B170="","",SUMIFS(ar_Amount,ar_Party,B170,ar_Posted,1,ar_Date,"&lt;="&amp;AsOf))</f>
        <v/>
      </c>
      <c r="J170" s="65">
        <f>IF(B170="","",SUMIFS(ar_Paid,ar_Party,B170))</f>
        <v/>
      </c>
      <c r="K170" s="65">
        <f>IF(B170="","",SUMIFS(ar_Balance,ar_Party,B170))</f>
        <v/>
      </c>
      <c r="L170" s="65">
        <f>IF(B170="","",SUMIFS(ar_Balance,ar_Party,B170,ar_Status,"Overdue"))</f>
        <v/>
      </c>
      <c r="M170" s="66">
        <f>IF(B170="","",IF(COUNTIF(cust_Name,B170)&gt;1,"⚠ Duplicate name","✓ OK"))</f>
        <v/>
      </c>
      <c r="N170" s="67">
        <f>IF(AND(B170&lt;&gt;"",N(K170)&gt;0),K170+164/1000000,"")</f>
        <v/>
      </c>
    </row>
    <row r="171">
      <c r="B171" s="62" t="n"/>
      <c r="C171" s="62" t="n"/>
      <c r="D171" s="62" t="n"/>
      <c r="E171" s="62" t="n"/>
      <c r="F171" s="62" t="n"/>
      <c r="G171" s="69" t="n"/>
      <c r="H171" s="62" t="n"/>
      <c r="I171" s="65">
        <f>IF(B171="","",SUMIFS(ar_Amount,ar_Party,B171,ar_Posted,1,ar_Date,"&lt;="&amp;AsOf))</f>
        <v/>
      </c>
      <c r="J171" s="65">
        <f>IF(B171="","",SUMIFS(ar_Paid,ar_Party,B171))</f>
        <v/>
      </c>
      <c r="K171" s="65">
        <f>IF(B171="","",SUMIFS(ar_Balance,ar_Party,B171))</f>
        <v/>
      </c>
      <c r="L171" s="65">
        <f>IF(B171="","",SUMIFS(ar_Balance,ar_Party,B171,ar_Status,"Overdue"))</f>
        <v/>
      </c>
      <c r="M171" s="66">
        <f>IF(B171="","",IF(COUNTIF(cust_Name,B171)&gt;1,"⚠ Duplicate name","✓ OK"))</f>
        <v/>
      </c>
      <c r="N171" s="67">
        <f>IF(AND(B171&lt;&gt;"",N(K171)&gt;0),K171+165/1000000,"")</f>
        <v/>
      </c>
    </row>
    <row r="172">
      <c r="B172" s="62" t="n"/>
      <c r="C172" s="62" t="n"/>
      <c r="D172" s="62" t="n"/>
      <c r="E172" s="62" t="n"/>
      <c r="F172" s="62" t="n"/>
      <c r="G172" s="69" t="n"/>
      <c r="H172" s="62" t="n"/>
      <c r="I172" s="65">
        <f>IF(B172="","",SUMIFS(ar_Amount,ar_Party,B172,ar_Posted,1,ar_Date,"&lt;="&amp;AsOf))</f>
        <v/>
      </c>
      <c r="J172" s="65">
        <f>IF(B172="","",SUMIFS(ar_Paid,ar_Party,B172))</f>
        <v/>
      </c>
      <c r="K172" s="65">
        <f>IF(B172="","",SUMIFS(ar_Balance,ar_Party,B172))</f>
        <v/>
      </c>
      <c r="L172" s="65">
        <f>IF(B172="","",SUMIFS(ar_Balance,ar_Party,B172,ar_Status,"Overdue"))</f>
        <v/>
      </c>
      <c r="M172" s="66">
        <f>IF(B172="","",IF(COUNTIF(cust_Name,B172)&gt;1,"⚠ Duplicate name","✓ OK"))</f>
        <v/>
      </c>
      <c r="N172" s="67">
        <f>IF(AND(B172&lt;&gt;"",N(K172)&gt;0),K172+166/1000000,"")</f>
        <v/>
      </c>
    </row>
    <row r="173">
      <c r="B173" s="62" t="n"/>
      <c r="C173" s="62" t="n"/>
      <c r="D173" s="62" t="n"/>
      <c r="E173" s="62" t="n"/>
      <c r="F173" s="62" t="n"/>
      <c r="G173" s="69" t="n"/>
      <c r="H173" s="62" t="n"/>
      <c r="I173" s="65">
        <f>IF(B173="","",SUMIFS(ar_Amount,ar_Party,B173,ar_Posted,1,ar_Date,"&lt;="&amp;AsOf))</f>
        <v/>
      </c>
      <c r="J173" s="65">
        <f>IF(B173="","",SUMIFS(ar_Paid,ar_Party,B173))</f>
        <v/>
      </c>
      <c r="K173" s="65">
        <f>IF(B173="","",SUMIFS(ar_Balance,ar_Party,B173))</f>
        <v/>
      </c>
      <c r="L173" s="65">
        <f>IF(B173="","",SUMIFS(ar_Balance,ar_Party,B173,ar_Status,"Overdue"))</f>
        <v/>
      </c>
      <c r="M173" s="66">
        <f>IF(B173="","",IF(COUNTIF(cust_Name,B173)&gt;1,"⚠ Duplicate name","✓ OK"))</f>
        <v/>
      </c>
      <c r="N173" s="67">
        <f>IF(AND(B173&lt;&gt;"",N(K173)&gt;0),K173+167/1000000,"")</f>
        <v/>
      </c>
    </row>
    <row r="174">
      <c r="B174" s="62" t="n"/>
      <c r="C174" s="62" t="n"/>
      <c r="D174" s="62" t="n"/>
      <c r="E174" s="62" t="n"/>
      <c r="F174" s="62" t="n"/>
      <c r="G174" s="69" t="n"/>
      <c r="H174" s="62" t="n"/>
      <c r="I174" s="65">
        <f>IF(B174="","",SUMIFS(ar_Amount,ar_Party,B174,ar_Posted,1,ar_Date,"&lt;="&amp;AsOf))</f>
        <v/>
      </c>
      <c r="J174" s="65">
        <f>IF(B174="","",SUMIFS(ar_Paid,ar_Party,B174))</f>
        <v/>
      </c>
      <c r="K174" s="65">
        <f>IF(B174="","",SUMIFS(ar_Balance,ar_Party,B174))</f>
        <v/>
      </c>
      <c r="L174" s="65">
        <f>IF(B174="","",SUMIFS(ar_Balance,ar_Party,B174,ar_Status,"Overdue"))</f>
        <v/>
      </c>
      <c r="M174" s="66">
        <f>IF(B174="","",IF(COUNTIF(cust_Name,B174)&gt;1,"⚠ Duplicate name","✓ OK"))</f>
        <v/>
      </c>
      <c r="N174" s="67">
        <f>IF(AND(B174&lt;&gt;"",N(K174)&gt;0),K174+168/1000000,"")</f>
        <v/>
      </c>
    </row>
    <row r="175">
      <c r="B175" s="62" t="n"/>
      <c r="C175" s="62" t="n"/>
      <c r="D175" s="62" t="n"/>
      <c r="E175" s="62" t="n"/>
      <c r="F175" s="62" t="n"/>
      <c r="G175" s="69" t="n"/>
      <c r="H175" s="62" t="n"/>
      <c r="I175" s="65">
        <f>IF(B175="","",SUMIFS(ar_Amount,ar_Party,B175,ar_Posted,1,ar_Date,"&lt;="&amp;AsOf))</f>
        <v/>
      </c>
      <c r="J175" s="65">
        <f>IF(B175="","",SUMIFS(ar_Paid,ar_Party,B175))</f>
        <v/>
      </c>
      <c r="K175" s="65">
        <f>IF(B175="","",SUMIFS(ar_Balance,ar_Party,B175))</f>
        <v/>
      </c>
      <c r="L175" s="65">
        <f>IF(B175="","",SUMIFS(ar_Balance,ar_Party,B175,ar_Status,"Overdue"))</f>
        <v/>
      </c>
      <c r="M175" s="66">
        <f>IF(B175="","",IF(COUNTIF(cust_Name,B175)&gt;1,"⚠ Duplicate name","✓ OK"))</f>
        <v/>
      </c>
      <c r="N175" s="67">
        <f>IF(AND(B175&lt;&gt;"",N(K175)&gt;0),K175+169/1000000,"")</f>
        <v/>
      </c>
    </row>
    <row r="176">
      <c r="B176" s="62" t="n"/>
      <c r="C176" s="62" t="n"/>
      <c r="D176" s="62" t="n"/>
      <c r="E176" s="62" t="n"/>
      <c r="F176" s="62" t="n"/>
      <c r="G176" s="69" t="n"/>
      <c r="H176" s="62" t="n"/>
      <c r="I176" s="65">
        <f>IF(B176="","",SUMIFS(ar_Amount,ar_Party,B176,ar_Posted,1,ar_Date,"&lt;="&amp;AsOf))</f>
        <v/>
      </c>
      <c r="J176" s="65">
        <f>IF(B176="","",SUMIFS(ar_Paid,ar_Party,B176))</f>
        <v/>
      </c>
      <c r="K176" s="65">
        <f>IF(B176="","",SUMIFS(ar_Balance,ar_Party,B176))</f>
        <v/>
      </c>
      <c r="L176" s="65">
        <f>IF(B176="","",SUMIFS(ar_Balance,ar_Party,B176,ar_Status,"Overdue"))</f>
        <v/>
      </c>
      <c r="M176" s="66">
        <f>IF(B176="","",IF(COUNTIF(cust_Name,B176)&gt;1,"⚠ Duplicate name","✓ OK"))</f>
        <v/>
      </c>
      <c r="N176" s="67">
        <f>IF(AND(B176&lt;&gt;"",N(K176)&gt;0),K176+170/1000000,"")</f>
        <v/>
      </c>
    </row>
    <row r="177">
      <c r="B177" s="62" t="n"/>
      <c r="C177" s="62" t="n"/>
      <c r="D177" s="62" t="n"/>
      <c r="E177" s="62" t="n"/>
      <c r="F177" s="62" t="n"/>
      <c r="G177" s="69" t="n"/>
      <c r="H177" s="62" t="n"/>
      <c r="I177" s="65">
        <f>IF(B177="","",SUMIFS(ar_Amount,ar_Party,B177,ar_Posted,1,ar_Date,"&lt;="&amp;AsOf))</f>
        <v/>
      </c>
      <c r="J177" s="65">
        <f>IF(B177="","",SUMIFS(ar_Paid,ar_Party,B177))</f>
        <v/>
      </c>
      <c r="K177" s="65">
        <f>IF(B177="","",SUMIFS(ar_Balance,ar_Party,B177))</f>
        <v/>
      </c>
      <c r="L177" s="65">
        <f>IF(B177="","",SUMIFS(ar_Balance,ar_Party,B177,ar_Status,"Overdue"))</f>
        <v/>
      </c>
      <c r="M177" s="66">
        <f>IF(B177="","",IF(COUNTIF(cust_Name,B177)&gt;1,"⚠ Duplicate name","✓ OK"))</f>
        <v/>
      </c>
      <c r="N177" s="67">
        <f>IF(AND(B177&lt;&gt;"",N(K177)&gt;0),K177+171/1000000,"")</f>
        <v/>
      </c>
    </row>
    <row r="178">
      <c r="B178" s="62" t="n"/>
      <c r="C178" s="62" t="n"/>
      <c r="D178" s="62" t="n"/>
      <c r="E178" s="62" t="n"/>
      <c r="F178" s="62" t="n"/>
      <c r="G178" s="69" t="n"/>
      <c r="H178" s="62" t="n"/>
      <c r="I178" s="65">
        <f>IF(B178="","",SUMIFS(ar_Amount,ar_Party,B178,ar_Posted,1,ar_Date,"&lt;="&amp;AsOf))</f>
        <v/>
      </c>
      <c r="J178" s="65">
        <f>IF(B178="","",SUMIFS(ar_Paid,ar_Party,B178))</f>
        <v/>
      </c>
      <c r="K178" s="65">
        <f>IF(B178="","",SUMIFS(ar_Balance,ar_Party,B178))</f>
        <v/>
      </c>
      <c r="L178" s="65">
        <f>IF(B178="","",SUMIFS(ar_Balance,ar_Party,B178,ar_Status,"Overdue"))</f>
        <v/>
      </c>
      <c r="M178" s="66">
        <f>IF(B178="","",IF(COUNTIF(cust_Name,B178)&gt;1,"⚠ Duplicate name","✓ OK"))</f>
        <v/>
      </c>
      <c r="N178" s="67">
        <f>IF(AND(B178&lt;&gt;"",N(K178)&gt;0),K178+172/1000000,"")</f>
        <v/>
      </c>
    </row>
    <row r="179">
      <c r="B179" s="62" t="n"/>
      <c r="C179" s="62" t="n"/>
      <c r="D179" s="62" t="n"/>
      <c r="E179" s="62" t="n"/>
      <c r="F179" s="62" t="n"/>
      <c r="G179" s="69" t="n"/>
      <c r="H179" s="62" t="n"/>
      <c r="I179" s="65">
        <f>IF(B179="","",SUMIFS(ar_Amount,ar_Party,B179,ar_Posted,1,ar_Date,"&lt;="&amp;AsOf))</f>
        <v/>
      </c>
      <c r="J179" s="65">
        <f>IF(B179="","",SUMIFS(ar_Paid,ar_Party,B179))</f>
        <v/>
      </c>
      <c r="K179" s="65">
        <f>IF(B179="","",SUMIFS(ar_Balance,ar_Party,B179))</f>
        <v/>
      </c>
      <c r="L179" s="65">
        <f>IF(B179="","",SUMIFS(ar_Balance,ar_Party,B179,ar_Status,"Overdue"))</f>
        <v/>
      </c>
      <c r="M179" s="66">
        <f>IF(B179="","",IF(COUNTIF(cust_Name,B179)&gt;1,"⚠ Duplicate name","✓ OK"))</f>
        <v/>
      </c>
      <c r="N179" s="67">
        <f>IF(AND(B179&lt;&gt;"",N(K179)&gt;0),K179+173/1000000,"")</f>
        <v/>
      </c>
    </row>
    <row r="180">
      <c r="B180" s="62" t="n"/>
      <c r="C180" s="62" t="n"/>
      <c r="D180" s="62" t="n"/>
      <c r="E180" s="62" t="n"/>
      <c r="F180" s="62" t="n"/>
      <c r="G180" s="69" t="n"/>
      <c r="H180" s="62" t="n"/>
      <c r="I180" s="65">
        <f>IF(B180="","",SUMIFS(ar_Amount,ar_Party,B180,ar_Posted,1,ar_Date,"&lt;="&amp;AsOf))</f>
        <v/>
      </c>
      <c r="J180" s="65">
        <f>IF(B180="","",SUMIFS(ar_Paid,ar_Party,B180))</f>
        <v/>
      </c>
      <c r="K180" s="65">
        <f>IF(B180="","",SUMIFS(ar_Balance,ar_Party,B180))</f>
        <v/>
      </c>
      <c r="L180" s="65">
        <f>IF(B180="","",SUMIFS(ar_Balance,ar_Party,B180,ar_Status,"Overdue"))</f>
        <v/>
      </c>
      <c r="M180" s="66">
        <f>IF(B180="","",IF(COUNTIF(cust_Name,B180)&gt;1,"⚠ Duplicate name","✓ OK"))</f>
        <v/>
      </c>
      <c r="N180" s="67">
        <f>IF(AND(B180&lt;&gt;"",N(K180)&gt;0),K180+174/1000000,"")</f>
        <v/>
      </c>
    </row>
    <row r="181">
      <c r="B181" s="62" t="n"/>
      <c r="C181" s="62" t="n"/>
      <c r="D181" s="62" t="n"/>
      <c r="E181" s="62" t="n"/>
      <c r="F181" s="62" t="n"/>
      <c r="G181" s="69" t="n"/>
      <c r="H181" s="62" t="n"/>
      <c r="I181" s="65">
        <f>IF(B181="","",SUMIFS(ar_Amount,ar_Party,B181,ar_Posted,1,ar_Date,"&lt;="&amp;AsOf))</f>
        <v/>
      </c>
      <c r="J181" s="65">
        <f>IF(B181="","",SUMIFS(ar_Paid,ar_Party,B181))</f>
        <v/>
      </c>
      <c r="K181" s="65">
        <f>IF(B181="","",SUMIFS(ar_Balance,ar_Party,B181))</f>
        <v/>
      </c>
      <c r="L181" s="65">
        <f>IF(B181="","",SUMIFS(ar_Balance,ar_Party,B181,ar_Status,"Overdue"))</f>
        <v/>
      </c>
      <c r="M181" s="66">
        <f>IF(B181="","",IF(COUNTIF(cust_Name,B181)&gt;1,"⚠ Duplicate name","✓ OK"))</f>
        <v/>
      </c>
      <c r="N181" s="67">
        <f>IF(AND(B181&lt;&gt;"",N(K181)&gt;0),K181+175/1000000,"")</f>
        <v/>
      </c>
    </row>
    <row r="182">
      <c r="B182" s="62" t="n"/>
      <c r="C182" s="62" t="n"/>
      <c r="D182" s="62" t="n"/>
      <c r="E182" s="62" t="n"/>
      <c r="F182" s="62" t="n"/>
      <c r="G182" s="69" t="n"/>
      <c r="H182" s="62" t="n"/>
      <c r="I182" s="65">
        <f>IF(B182="","",SUMIFS(ar_Amount,ar_Party,B182,ar_Posted,1,ar_Date,"&lt;="&amp;AsOf))</f>
        <v/>
      </c>
      <c r="J182" s="65">
        <f>IF(B182="","",SUMIFS(ar_Paid,ar_Party,B182))</f>
        <v/>
      </c>
      <c r="K182" s="65">
        <f>IF(B182="","",SUMIFS(ar_Balance,ar_Party,B182))</f>
        <v/>
      </c>
      <c r="L182" s="65">
        <f>IF(B182="","",SUMIFS(ar_Balance,ar_Party,B182,ar_Status,"Overdue"))</f>
        <v/>
      </c>
      <c r="M182" s="66">
        <f>IF(B182="","",IF(COUNTIF(cust_Name,B182)&gt;1,"⚠ Duplicate name","✓ OK"))</f>
        <v/>
      </c>
      <c r="N182" s="67">
        <f>IF(AND(B182&lt;&gt;"",N(K182)&gt;0),K182+176/1000000,"")</f>
        <v/>
      </c>
    </row>
    <row r="183">
      <c r="B183" s="62" t="n"/>
      <c r="C183" s="62" t="n"/>
      <c r="D183" s="62" t="n"/>
      <c r="E183" s="62" t="n"/>
      <c r="F183" s="62" t="n"/>
      <c r="G183" s="69" t="n"/>
      <c r="H183" s="62" t="n"/>
      <c r="I183" s="65">
        <f>IF(B183="","",SUMIFS(ar_Amount,ar_Party,B183,ar_Posted,1,ar_Date,"&lt;="&amp;AsOf))</f>
        <v/>
      </c>
      <c r="J183" s="65">
        <f>IF(B183="","",SUMIFS(ar_Paid,ar_Party,B183))</f>
        <v/>
      </c>
      <c r="K183" s="65">
        <f>IF(B183="","",SUMIFS(ar_Balance,ar_Party,B183))</f>
        <v/>
      </c>
      <c r="L183" s="65">
        <f>IF(B183="","",SUMIFS(ar_Balance,ar_Party,B183,ar_Status,"Overdue"))</f>
        <v/>
      </c>
      <c r="M183" s="66">
        <f>IF(B183="","",IF(COUNTIF(cust_Name,B183)&gt;1,"⚠ Duplicate name","✓ OK"))</f>
        <v/>
      </c>
      <c r="N183" s="67">
        <f>IF(AND(B183&lt;&gt;"",N(K183)&gt;0),K183+177/1000000,"")</f>
        <v/>
      </c>
    </row>
    <row r="184">
      <c r="B184" s="62" t="n"/>
      <c r="C184" s="62" t="n"/>
      <c r="D184" s="62" t="n"/>
      <c r="E184" s="62" t="n"/>
      <c r="F184" s="62" t="n"/>
      <c r="G184" s="69" t="n"/>
      <c r="H184" s="62" t="n"/>
      <c r="I184" s="65">
        <f>IF(B184="","",SUMIFS(ar_Amount,ar_Party,B184,ar_Posted,1,ar_Date,"&lt;="&amp;AsOf))</f>
        <v/>
      </c>
      <c r="J184" s="65">
        <f>IF(B184="","",SUMIFS(ar_Paid,ar_Party,B184))</f>
        <v/>
      </c>
      <c r="K184" s="65">
        <f>IF(B184="","",SUMIFS(ar_Balance,ar_Party,B184))</f>
        <v/>
      </c>
      <c r="L184" s="65">
        <f>IF(B184="","",SUMIFS(ar_Balance,ar_Party,B184,ar_Status,"Overdue"))</f>
        <v/>
      </c>
      <c r="M184" s="66">
        <f>IF(B184="","",IF(COUNTIF(cust_Name,B184)&gt;1,"⚠ Duplicate name","✓ OK"))</f>
        <v/>
      </c>
      <c r="N184" s="67">
        <f>IF(AND(B184&lt;&gt;"",N(K184)&gt;0),K184+178/1000000,"")</f>
        <v/>
      </c>
    </row>
    <row r="185">
      <c r="B185" s="62" t="n"/>
      <c r="C185" s="62" t="n"/>
      <c r="D185" s="62" t="n"/>
      <c r="E185" s="62" t="n"/>
      <c r="F185" s="62" t="n"/>
      <c r="G185" s="69" t="n"/>
      <c r="H185" s="62" t="n"/>
      <c r="I185" s="65">
        <f>IF(B185="","",SUMIFS(ar_Amount,ar_Party,B185,ar_Posted,1,ar_Date,"&lt;="&amp;AsOf))</f>
        <v/>
      </c>
      <c r="J185" s="65">
        <f>IF(B185="","",SUMIFS(ar_Paid,ar_Party,B185))</f>
        <v/>
      </c>
      <c r="K185" s="65">
        <f>IF(B185="","",SUMIFS(ar_Balance,ar_Party,B185))</f>
        <v/>
      </c>
      <c r="L185" s="65">
        <f>IF(B185="","",SUMIFS(ar_Balance,ar_Party,B185,ar_Status,"Overdue"))</f>
        <v/>
      </c>
      <c r="M185" s="66">
        <f>IF(B185="","",IF(COUNTIF(cust_Name,B185)&gt;1,"⚠ Duplicate name","✓ OK"))</f>
        <v/>
      </c>
      <c r="N185" s="67">
        <f>IF(AND(B185&lt;&gt;"",N(K185)&gt;0),K185+179/1000000,"")</f>
        <v/>
      </c>
    </row>
    <row r="186">
      <c r="B186" s="62" t="n"/>
      <c r="C186" s="62" t="n"/>
      <c r="D186" s="62" t="n"/>
      <c r="E186" s="62" t="n"/>
      <c r="F186" s="62" t="n"/>
      <c r="G186" s="69" t="n"/>
      <c r="H186" s="62" t="n"/>
      <c r="I186" s="65">
        <f>IF(B186="","",SUMIFS(ar_Amount,ar_Party,B186,ar_Posted,1,ar_Date,"&lt;="&amp;AsOf))</f>
        <v/>
      </c>
      <c r="J186" s="65">
        <f>IF(B186="","",SUMIFS(ar_Paid,ar_Party,B186))</f>
        <v/>
      </c>
      <c r="K186" s="65">
        <f>IF(B186="","",SUMIFS(ar_Balance,ar_Party,B186))</f>
        <v/>
      </c>
      <c r="L186" s="65">
        <f>IF(B186="","",SUMIFS(ar_Balance,ar_Party,B186,ar_Status,"Overdue"))</f>
        <v/>
      </c>
      <c r="M186" s="66">
        <f>IF(B186="","",IF(COUNTIF(cust_Name,B186)&gt;1,"⚠ Duplicate name","✓ OK"))</f>
        <v/>
      </c>
      <c r="N186" s="67">
        <f>IF(AND(B186&lt;&gt;"",N(K186)&gt;0),K186+180/1000000,"")</f>
        <v/>
      </c>
    </row>
    <row r="187">
      <c r="B187" s="62" t="n"/>
      <c r="C187" s="62" t="n"/>
      <c r="D187" s="62" t="n"/>
      <c r="E187" s="62" t="n"/>
      <c r="F187" s="62" t="n"/>
      <c r="G187" s="69" t="n"/>
      <c r="H187" s="62" t="n"/>
      <c r="I187" s="65">
        <f>IF(B187="","",SUMIFS(ar_Amount,ar_Party,B187,ar_Posted,1,ar_Date,"&lt;="&amp;AsOf))</f>
        <v/>
      </c>
      <c r="J187" s="65">
        <f>IF(B187="","",SUMIFS(ar_Paid,ar_Party,B187))</f>
        <v/>
      </c>
      <c r="K187" s="65">
        <f>IF(B187="","",SUMIFS(ar_Balance,ar_Party,B187))</f>
        <v/>
      </c>
      <c r="L187" s="65">
        <f>IF(B187="","",SUMIFS(ar_Balance,ar_Party,B187,ar_Status,"Overdue"))</f>
        <v/>
      </c>
      <c r="M187" s="66">
        <f>IF(B187="","",IF(COUNTIF(cust_Name,B187)&gt;1,"⚠ Duplicate name","✓ OK"))</f>
        <v/>
      </c>
      <c r="N187" s="67">
        <f>IF(AND(B187&lt;&gt;"",N(K187)&gt;0),K187+181/1000000,"")</f>
        <v/>
      </c>
    </row>
    <row r="188">
      <c r="B188" s="62" t="n"/>
      <c r="C188" s="62" t="n"/>
      <c r="D188" s="62" t="n"/>
      <c r="E188" s="62" t="n"/>
      <c r="F188" s="62" t="n"/>
      <c r="G188" s="69" t="n"/>
      <c r="H188" s="62" t="n"/>
      <c r="I188" s="65">
        <f>IF(B188="","",SUMIFS(ar_Amount,ar_Party,B188,ar_Posted,1,ar_Date,"&lt;="&amp;AsOf))</f>
        <v/>
      </c>
      <c r="J188" s="65">
        <f>IF(B188="","",SUMIFS(ar_Paid,ar_Party,B188))</f>
        <v/>
      </c>
      <c r="K188" s="65">
        <f>IF(B188="","",SUMIFS(ar_Balance,ar_Party,B188))</f>
        <v/>
      </c>
      <c r="L188" s="65">
        <f>IF(B188="","",SUMIFS(ar_Balance,ar_Party,B188,ar_Status,"Overdue"))</f>
        <v/>
      </c>
      <c r="M188" s="66">
        <f>IF(B188="","",IF(COUNTIF(cust_Name,B188)&gt;1,"⚠ Duplicate name","✓ OK"))</f>
        <v/>
      </c>
      <c r="N188" s="67">
        <f>IF(AND(B188&lt;&gt;"",N(K188)&gt;0),K188+182/1000000,"")</f>
        <v/>
      </c>
    </row>
    <row r="189">
      <c r="B189" s="62" t="n"/>
      <c r="C189" s="62" t="n"/>
      <c r="D189" s="62" t="n"/>
      <c r="E189" s="62" t="n"/>
      <c r="F189" s="62" t="n"/>
      <c r="G189" s="69" t="n"/>
      <c r="H189" s="62" t="n"/>
      <c r="I189" s="65">
        <f>IF(B189="","",SUMIFS(ar_Amount,ar_Party,B189,ar_Posted,1,ar_Date,"&lt;="&amp;AsOf))</f>
        <v/>
      </c>
      <c r="J189" s="65">
        <f>IF(B189="","",SUMIFS(ar_Paid,ar_Party,B189))</f>
        <v/>
      </c>
      <c r="K189" s="65">
        <f>IF(B189="","",SUMIFS(ar_Balance,ar_Party,B189))</f>
        <v/>
      </c>
      <c r="L189" s="65">
        <f>IF(B189="","",SUMIFS(ar_Balance,ar_Party,B189,ar_Status,"Overdue"))</f>
        <v/>
      </c>
      <c r="M189" s="66">
        <f>IF(B189="","",IF(COUNTIF(cust_Name,B189)&gt;1,"⚠ Duplicate name","✓ OK"))</f>
        <v/>
      </c>
      <c r="N189" s="67">
        <f>IF(AND(B189&lt;&gt;"",N(K189)&gt;0),K189+183/1000000,"")</f>
        <v/>
      </c>
    </row>
    <row r="190">
      <c r="B190" s="62" t="n"/>
      <c r="C190" s="62" t="n"/>
      <c r="D190" s="62" t="n"/>
      <c r="E190" s="62" t="n"/>
      <c r="F190" s="62" t="n"/>
      <c r="G190" s="69" t="n"/>
      <c r="H190" s="62" t="n"/>
      <c r="I190" s="65">
        <f>IF(B190="","",SUMIFS(ar_Amount,ar_Party,B190,ar_Posted,1,ar_Date,"&lt;="&amp;AsOf))</f>
        <v/>
      </c>
      <c r="J190" s="65">
        <f>IF(B190="","",SUMIFS(ar_Paid,ar_Party,B190))</f>
        <v/>
      </c>
      <c r="K190" s="65">
        <f>IF(B190="","",SUMIFS(ar_Balance,ar_Party,B190))</f>
        <v/>
      </c>
      <c r="L190" s="65">
        <f>IF(B190="","",SUMIFS(ar_Balance,ar_Party,B190,ar_Status,"Overdue"))</f>
        <v/>
      </c>
      <c r="M190" s="66">
        <f>IF(B190="","",IF(COUNTIF(cust_Name,B190)&gt;1,"⚠ Duplicate name","✓ OK"))</f>
        <v/>
      </c>
      <c r="N190" s="67">
        <f>IF(AND(B190&lt;&gt;"",N(K190)&gt;0),K190+184/1000000,"")</f>
        <v/>
      </c>
    </row>
    <row r="191">
      <c r="B191" s="62" t="n"/>
      <c r="C191" s="62" t="n"/>
      <c r="D191" s="62" t="n"/>
      <c r="E191" s="62" t="n"/>
      <c r="F191" s="62" t="n"/>
      <c r="G191" s="69" t="n"/>
      <c r="H191" s="62" t="n"/>
      <c r="I191" s="65">
        <f>IF(B191="","",SUMIFS(ar_Amount,ar_Party,B191,ar_Posted,1,ar_Date,"&lt;="&amp;AsOf))</f>
        <v/>
      </c>
      <c r="J191" s="65">
        <f>IF(B191="","",SUMIFS(ar_Paid,ar_Party,B191))</f>
        <v/>
      </c>
      <c r="K191" s="65">
        <f>IF(B191="","",SUMIFS(ar_Balance,ar_Party,B191))</f>
        <v/>
      </c>
      <c r="L191" s="65">
        <f>IF(B191="","",SUMIFS(ar_Balance,ar_Party,B191,ar_Status,"Overdue"))</f>
        <v/>
      </c>
      <c r="M191" s="66">
        <f>IF(B191="","",IF(COUNTIF(cust_Name,B191)&gt;1,"⚠ Duplicate name","✓ OK"))</f>
        <v/>
      </c>
      <c r="N191" s="67">
        <f>IF(AND(B191&lt;&gt;"",N(K191)&gt;0),K191+185/1000000,"")</f>
        <v/>
      </c>
    </row>
    <row r="192">
      <c r="B192" s="62" t="n"/>
      <c r="C192" s="62" t="n"/>
      <c r="D192" s="62" t="n"/>
      <c r="E192" s="62" t="n"/>
      <c r="F192" s="62" t="n"/>
      <c r="G192" s="69" t="n"/>
      <c r="H192" s="62" t="n"/>
      <c r="I192" s="65">
        <f>IF(B192="","",SUMIFS(ar_Amount,ar_Party,B192,ar_Posted,1,ar_Date,"&lt;="&amp;AsOf))</f>
        <v/>
      </c>
      <c r="J192" s="65">
        <f>IF(B192="","",SUMIFS(ar_Paid,ar_Party,B192))</f>
        <v/>
      </c>
      <c r="K192" s="65">
        <f>IF(B192="","",SUMIFS(ar_Balance,ar_Party,B192))</f>
        <v/>
      </c>
      <c r="L192" s="65">
        <f>IF(B192="","",SUMIFS(ar_Balance,ar_Party,B192,ar_Status,"Overdue"))</f>
        <v/>
      </c>
      <c r="M192" s="66">
        <f>IF(B192="","",IF(COUNTIF(cust_Name,B192)&gt;1,"⚠ Duplicate name","✓ OK"))</f>
        <v/>
      </c>
      <c r="N192" s="67">
        <f>IF(AND(B192&lt;&gt;"",N(K192)&gt;0),K192+186/1000000,"")</f>
        <v/>
      </c>
    </row>
    <row r="193">
      <c r="B193" s="62" t="n"/>
      <c r="C193" s="62" t="n"/>
      <c r="D193" s="62" t="n"/>
      <c r="E193" s="62" t="n"/>
      <c r="F193" s="62" t="n"/>
      <c r="G193" s="69" t="n"/>
      <c r="H193" s="62" t="n"/>
      <c r="I193" s="65">
        <f>IF(B193="","",SUMIFS(ar_Amount,ar_Party,B193,ar_Posted,1,ar_Date,"&lt;="&amp;AsOf))</f>
        <v/>
      </c>
      <c r="J193" s="65">
        <f>IF(B193="","",SUMIFS(ar_Paid,ar_Party,B193))</f>
        <v/>
      </c>
      <c r="K193" s="65">
        <f>IF(B193="","",SUMIFS(ar_Balance,ar_Party,B193))</f>
        <v/>
      </c>
      <c r="L193" s="65">
        <f>IF(B193="","",SUMIFS(ar_Balance,ar_Party,B193,ar_Status,"Overdue"))</f>
        <v/>
      </c>
      <c r="M193" s="66">
        <f>IF(B193="","",IF(COUNTIF(cust_Name,B193)&gt;1,"⚠ Duplicate name","✓ OK"))</f>
        <v/>
      </c>
      <c r="N193" s="67">
        <f>IF(AND(B193&lt;&gt;"",N(K193)&gt;0),K193+187/1000000,"")</f>
        <v/>
      </c>
    </row>
    <row r="194">
      <c r="B194" s="62" t="n"/>
      <c r="C194" s="62" t="n"/>
      <c r="D194" s="62" t="n"/>
      <c r="E194" s="62" t="n"/>
      <c r="F194" s="62" t="n"/>
      <c r="G194" s="69" t="n"/>
      <c r="H194" s="62" t="n"/>
      <c r="I194" s="65">
        <f>IF(B194="","",SUMIFS(ar_Amount,ar_Party,B194,ar_Posted,1,ar_Date,"&lt;="&amp;AsOf))</f>
        <v/>
      </c>
      <c r="J194" s="65">
        <f>IF(B194="","",SUMIFS(ar_Paid,ar_Party,B194))</f>
        <v/>
      </c>
      <c r="K194" s="65">
        <f>IF(B194="","",SUMIFS(ar_Balance,ar_Party,B194))</f>
        <v/>
      </c>
      <c r="L194" s="65">
        <f>IF(B194="","",SUMIFS(ar_Balance,ar_Party,B194,ar_Status,"Overdue"))</f>
        <v/>
      </c>
      <c r="M194" s="66">
        <f>IF(B194="","",IF(COUNTIF(cust_Name,B194)&gt;1,"⚠ Duplicate name","✓ OK"))</f>
        <v/>
      </c>
      <c r="N194" s="67">
        <f>IF(AND(B194&lt;&gt;"",N(K194)&gt;0),K194+188/1000000,"")</f>
        <v/>
      </c>
    </row>
    <row r="195">
      <c r="B195" s="62" t="n"/>
      <c r="C195" s="62" t="n"/>
      <c r="D195" s="62" t="n"/>
      <c r="E195" s="62" t="n"/>
      <c r="F195" s="62" t="n"/>
      <c r="G195" s="69" t="n"/>
      <c r="H195" s="62" t="n"/>
      <c r="I195" s="65">
        <f>IF(B195="","",SUMIFS(ar_Amount,ar_Party,B195,ar_Posted,1,ar_Date,"&lt;="&amp;AsOf))</f>
        <v/>
      </c>
      <c r="J195" s="65">
        <f>IF(B195="","",SUMIFS(ar_Paid,ar_Party,B195))</f>
        <v/>
      </c>
      <c r="K195" s="65">
        <f>IF(B195="","",SUMIFS(ar_Balance,ar_Party,B195))</f>
        <v/>
      </c>
      <c r="L195" s="65">
        <f>IF(B195="","",SUMIFS(ar_Balance,ar_Party,B195,ar_Status,"Overdue"))</f>
        <v/>
      </c>
      <c r="M195" s="66">
        <f>IF(B195="","",IF(COUNTIF(cust_Name,B195)&gt;1,"⚠ Duplicate name","✓ OK"))</f>
        <v/>
      </c>
      <c r="N195" s="67">
        <f>IF(AND(B195&lt;&gt;"",N(K195)&gt;0),K195+189/1000000,"")</f>
        <v/>
      </c>
    </row>
    <row r="196">
      <c r="B196" s="62" t="n"/>
      <c r="C196" s="62" t="n"/>
      <c r="D196" s="62" t="n"/>
      <c r="E196" s="62" t="n"/>
      <c r="F196" s="62" t="n"/>
      <c r="G196" s="69" t="n"/>
      <c r="H196" s="62" t="n"/>
      <c r="I196" s="65">
        <f>IF(B196="","",SUMIFS(ar_Amount,ar_Party,B196,ar_Posted,1,ar_Date,"&lt;="&amp;AsOf))</f>
        <v/>
      </c>
      <c r="J196" s="65">
        <f>IF(B196="","",SUMIFS(ar_Paid,ar_Party,B196))</f>
        <v/>
      </c>
      <c r="K196" s="65">
        <f>IF(B196="","",SUMIFS(ar_Balance,ar_Party,B196))</f>
        <v/>
      </c>
      <c r="L196" s="65">
        <f>IF(B196="","",SUMIFS(ar_Balance,ar_Party,B196,ar_Status,"Overdue"))</f>
        <v/>
      </c>
      <c r="M196" s="66">
        <f>IF(B196="","",IF(COUNTIF(cust_Name,B196)&gt;1,"⚠ Duplicate name","✓ OK"))</f>
        <v/>
      </c>
      <c r="N196" s="67">
        <f>IF(AND(B196&lt;&gt;"",N(K196)&gt;0),K196+190/1000000,"")</f>
        <v/>
      </c>
    </row>
    <row r="197">
      <c r="B197" s="62" t="n"/>
      <c r="C197" s="62" t="n"/>
      <c r="D197" s="62" t="n"/>
      <c r="E197" s="62" t="n"/>
      <c r="F197" s="62" t="n"/>
      <c r="G197" s="69" t="n"/>
      <c r="H197" s="62" t="n"/>
      <c r="I197" s="65">
        <f>IF(B197="","",SUMIFS(ar_Amount,ar_Party,B197,ar_Posted,1,ar_Date,"&lt;="&amp;AsOf))</f>
        <v/>
      </c>
      <c r="J197" s="65">
        <f>IF(B197="","",SUMIFS(ar_Paid,ar_Party,B197))</f>
        <v/>
      </c>
      <c r="K197" s="65">
        <f>IF(B197="","",SUMIFS(ar_Balance,ar_Party,B197))</f>
        <v/>
      </c>
      <c r="L197" s="65">
        <f>IF(B197="","",SUMIFS(ar_Balance,ar_Party,B197,ar_Status,"Overdue"))</f>
        <v/>
      </c>
      <c r="M197" s="66">
        <f>IF(B197="","",IF(COUNTIF(cust_Name,B197)&gt;1,"⚠ Duplicate name","✓ OK"))</f>
        <v/>
      </c>
      <c r="N197" s="67">
        <f>IF(AND(B197&lt;&gt;"",N(K197)&gt;0),K197+191/1000000,"")</f>
        <v/>
      </c>
    </row>
    <row r="198">
      <c r="B198" s="62" t="n"/>
      <c r="C198" s="62" t="n"/>
      <c r="D198" s="62" t="n"/>
      <c r="E198" s="62" t="n"/>
      <c r="F198" s="62" t="n"/>
      <c r="G198" s="69" t="n"/>
      <c r="H198" s="62" t="n"/>
      <c r="I198" s="65">
        <f>IF(B198="","",SUMIFS(ar_Amount,ar_Party,B198,ar_Posted,1,ar_Date,"&lt;="&amp;AsOf))</f>
        <v/>
      </c>
      <c r="J198" s="65">
        <f>IF(B198="","",SUMIFS(ar_Paid,ar_Party,B198))</f>
        <v/>
      </c>
      <c r="K198" s="65">
        <f>IF(B198="","",SUMIFS(ar_Balance,ar_Party,B198))</f>
        <v/>
      </c>
      <c r="L198" s="65">
        <f>IF(B198="","",SUMIFS(ar_Balance,ar_Party,B198,ar_Status,"Overdue"))</f>
        <v/>
      </c>
      <c r="M198" s="66">
        <f>IF(B198="","",IF(COUNTIF(cust_Name,B198)&gt;1,"⚠ Duplicate name","✓ OK"))</f>
        <v/>
      </c>
      <c r="N198" s="67">
        <f>IF(AND(B198&lt;&gt;"",N(K198)&gt;0),K198+192/1000000,"")</f>
        <v/>
      </c>
    </row>
    <row r="199">
      <c r="B199" s="62" t="n"/>
      <c r="C199" s="62" t="n"/>
      <c r="D199" s="62" t="n"/>
      <c r="E199" s="62" t="n"/>
      <c r="F199" s="62" t="n"/>
      <c r="G199" s="69" t="n"/>
      <c r="H199" s="62" t="n"/>
      <c r="I199" s="65">
        <f>IF(B199="","",SUMIFS(ar_Amount,ar_Party,B199,ar_Posted,1,ar_Date,"&lt;="&amp;AsOf))</f>
        <v/>
      </c>
      <c r="J199" s="65">
        <f>IF(B199="","",SUMIFS(ar_Paid,ar_Party,B199))</f>
        <v/>
      </c>
      <c r="K199" s="65">
        <f>IF(B199="","",SUMIFS(ar_Balance,ar_Party,B199))</f>
        <v/>
      </c>
      <c r="L199" s="65">
        <f>IF(B199="","",SUMIFS(ar_Balance,ar_Party,B199,ar_Status,"Overdue"))</f>
        <v/>
      </c>
      <c r="M199" s="66">
        <f>IF(B199="","",IF(COUNTIF(cust_Name,B199)&gt;1,"⚠ Duplicate name","✓ OK"))</f>
        <v/>
      </c>
      <c r="N199" s="67">
        <f>IF(AND(B199&lt;&gt;"",N(K199)&gt;0),K199+193/1000000,"")</f>
        <v/>
      </c>
    </row>
    <row r="200">
      <c r="B200" s="62" t="n"/>
      <c r="C200" s="62" t="n"/>
      <c r="D200" s="62" t="n"/>
      <c r="E200" s="62" t="n"/>
      <c r="F200" s="62" t="n"/>
      <c r="G200" s="69" t="n"/>
      <c r="H200" s="62" t="n"/>
      <c r="I200" s="65">
        <f>IF(B200="","",SUMIFS(ar_Amount,ar_Party,B200,ar_Posted,1,ar_Date,"&lt;="&amp;AsOf))</f>
        <v/>
      </c>
      <c r="J200" s="65">
        <f>IF(B200="","",SUMIFS(ar_Paid,ar_Party,B200))</f>
        <v/>
      </c>
      <c r="K200" s="65">
        <f>IF(B200="","",SUMIFS(ar_Balance,ar_Party,B200))</f>
        <v/>
      </c>
      <c r="L200" s="65">
        <f>IF(B200="","",SUMIFS(ar_Balance,ar_Party,B200,ar_Status,"Overdue"))</f>
        <v/>
      </c>
      <c r="M200" s="66">
        <f>IF(B200="","",IF(COUNTIF(cust_Name,B200)&gt;1,"⚠ Duplicate name","✓ OK"))</f>
        <v/>
      </c>
      <c r="N200" s="67">
        <f>IF(AND(B200&lt;&gt;"",N(K200)&gt;0),K200+194/1000000,"")</f>
        <v/>
      </c>
    </row>
    <row r="201">
      <c r="B201" s="62" t="n"/>
      <c r="C201" s="62" t="n"/>
      <c r="D201" s="62" t="n"/>
      <c r="E201" s="62" t="n"/>
      <c r="F201" s="62" t="n"/>
      <c r="G201" s="69" t="n"/>
      <c r="H201" s="62" t="n"/>
      <c r="I201" s="65">
        <f>IF(B201="","",SUMIFS(ar_Amount,ar_Party,B201,ar_Posted,1,ar_Date,"&lt;="&amp;AsOf))</f>
        <v/>
      </c>
      <c r="J201" s="65">
        <f>IF(B201="","",SUMIFS(ar_Paid,ar_Party,B201))</f>
        <v/>
      </c>
      <c r="K201" s="65">
        <f>IF(B201="","",SUMIFS(ar_Balance,ar_Party,B201))</f>
        <v/>
      </c>
      <c r="L201" s="65">
        <f>IF(B201="","",SUMIFS(ar_Balance,ar_Party,B201,ar_Status,"Overdue"))</f>
        <v/>
      </c>
      <c r="M201" s="66">
        <f>IF(B201="","",IF(COUNTIF(cust_Name,B201)&gt;1,"⚠ Duplicate name","✓ OK"))</f>
        <v/>
      </c>
      <c r="N201" s="67">
        <f>IF(AND(B201&lt;&gt;"",N(K201)&gt;0),K201+195/1000000,"")</f>
        <v/>
      </c>
    </row>
    <row r="202">
      <c r="B202" s="62" t="n"/>
      <c r="C202" s="62" t="n"/>
      <c r="D202" s="62" t="n"/>
      <c r="E202" s="62" t="n"/>
      <c r="F202" s="62" t="n"/>
      <c r="G202" s="69" t="n"/>
      <c r="H202" s="62" t="n"/>
      <c r="I202" s="65">
        <f>IF(B202="","",SUMIFS(ar_Amount,ar_Party,B202,ar_Posted,1,ar_Date,"&lt;="&amp;AsOf))</f>
        <v/>
      </c>
      <c r="J202" s="65">
        <f>IF(B202="","",SUMIFS(ar_Paid,ar_Party,B202))</f>
        <v/>
      </c>
      <c r="K202" s="65">
        <f>IF(B202="","",SUMIFS(ar_Balance,ar_Party,B202))</f>
        <v/>
      </c>
      <c r="L202" s="65">
        <f>IF(B202="","",SUMIFS(ar_Balance,ar_Party,B202,ar_Status,"Overdue"))</f>
        <v/>
      </c>
      <c r="M202" s="66">
        <f>IF(B202="","",IF(COUNTIF(cust_Name,B202)&gt;1,"⚠ Duplicate name","✓ OK"))</f>
        <v/>
      </c>
      <c r="N202" s="67">
        <f>IF(AND(B202&lt;&gt;"",N(K202)&gt;0),K202+196/1000000,"")</f>
        <v/>
      </c>
    </row>
    <row r="203">
      <c r="B203" s="62" t="n"/>
      <c r="C203" s="62" t="n"/>
      <c r="D203" s="62" t="n"/>
      <c r="E203" s="62" t="n"/>
      <c r="F203" s="62" t="n"/>
      <c r="G203" s="69" t="n"/>
      <c r="H203" s="62" t="n"/>
      <c r="I203" s="65">
        <f>IF(B203="","",SUMIFS(ar_Amount,ar_Party,B203,ar_Posted,1,ar_Date,"&lt;="&amp;AsOf))</f>
        <v/>
      </c>
      <c r="J203" s="65">
        <f>IF(B203="","",SUMIFS(ar_Paid,ar_Party,B203))</f>
        <v/>
      </c>
      <c r="K203" s="65">
        <f>IF(B203="","",SUMIFS(ar_Balance,ar_Party,B203))</f>
        <v/>
      </c>
      <c r="L203" s="65">
        <f>IF(B203="","",SUMIFS(ar_Balance,ar_Party,B203,ar_Status,"Overdue"))</f>
        <v/>
      </c>
      <c r="M203" s="66">
        <f>IF(B203="","",IF(COUNTIF(cust_Name,B203)&gt;1,"⚠ Duplicate name","✓ OK"))</f>
        <v/>
      </c>
      <c r="N203" s="67">
        <f>IF(AND(B203&lt;&gt;"",N(K203)&gt;0),K203+197/1000000,"")</f>
        <v/>
      </c>
    </row>
    <row r="204">
      <c r="B204" s="62" t="n"/>
      <c r="C204" s="62" t="n"/>
      <c r="D204" s="62" t="n"/>
      <c r="E204" s="62" t="n"/>
      <c r="F204" s="62" t="n"/>
      <c r="G204" s="69" t="n"/>
      <c r="H204" s="62" t="n"/>
      <c r="I204" s="65">
        <f>IF(B204="","",SUMIFS(ar_Amount,ar_Party,B204,ar_Posted,1,ar_Date,"&lt;="&amp;AsOf))</f>
        <v/>
      </c>
      <c r="J204" s="65">
        <f>IF(B204="","",SUMIFS(ar_Paid,ar_Party,B204))</f>
        <v/>
      </c>
      <c r="K204" s="65">
        <f>IF(B204="","",SUMIFS(ar_Balance,ar_Party,B204))</f>
        <v/>
      </c>
      <c r="L204" s="65">
        <f>IF(B204="","",SUMIFS(ar_Balance,ar_Party,B204,ar_Status,"Overdue"))</f>
        <v/>
      </c>
      <c r="M204" s="66">
        <f>IF(B204="","",IF(COUNTIF(cust_Name,B204)&gt;1,"⚠ Duplicate name","✓ OK"))</f>
        <v/>
      </c>
      <c r="N204" s="67">
        <f>IF(AND(B204&lt;&gt;"",N(K204)&gt;0),K204+198/1000000,"")</f>
        <v/>
      </c>
    </row>
    <row r="205">
      <c r="B205" s="62" t="n"/>
      <c r="C205" s="62" t="n"/>
      <c r="D205" s="62" t="n"/>
      <c r="E205" s="62" t="n"/>
      <c r="F205" s="62" t="n"/>
      <c r="G205" s="69" t="n"/>
      <c r="H205" s="62" t="n"/>
      <c r="I205" s="65">
        <f>IF(B205="","",SUMIFS(ar_Amount,ar_Party,B205,ar_Posted,1,ar_Date,"&lt;="&amp;AsOf))</f>
        <v/>
      </c>
      <c r="J205" s="65">
        <f>IF(B205="","",SUMIFS(ar_Paid,ar_Party,B205))</f>
        <v/>
      </c>
      <c r="K205" s="65">
        <f>IF(B205="","",SUMIFS(ar_Balance,ar_Party,B205))</f>
        <v/>
      </c>
      <c r="L205" s="65">
        <f>IF(B205="","",SUMIFS(ar_Balance,ar_Party,B205,ar_Status,"Overdue"))</f>
        <v/>
      </c>
      <c r="M205" s="66">
        <f>IF(B205="","",IF(COUNTIF(cust_Name,B205)&gt;1,"⚠ Duplicate name","✓ OK"))</f>
        <v/>
      </c>
      <c r="N205" s="67">
        <f>IF(AND(B205&lt;&gt;"",N(K205)&gt;0),K205+199/1000000,"")</f>
        <v/>
      </c>
    </row>
    <row r="206">
      <c r="B206" s="62" t="n"/>
      <c r="C206" s="62" t="n"/>
      <c r="D206" s="62" t="n"/>
      <c r="E206" s="62" t="n"/>
      <c r="F206" s="62" t="n"/>
      <c r="G206" s="69" t="n"/>
      <c r="H206" s="62" t="n"/>
      <c r="I206" s="65">
        <f>IF(B206="","",SUMIFS(ar_Amount,ar_Party,B206,ar_Posted,1,ar_Date,"&lt;="&amp;AsOf))</f>
        <v/>
      </c>
      <c r="J206" s="65">
        <f>IF(B206="","",SUMIFS(ar_Paid,ar_Party,B206))</f>
        <v/>
      </c>
      <c r="K206" s="65">
        <f>IF(B206="","",SUMIFS(ar_Balance,ar_Party,B206))</f>
        <v/>
      </c>
      <c r="L206" s="65">
        <f>IF(B206="","",SUMIFS(ar_Balance,ar_Party,B206,ar_Status,"Overdue"))</f>
        <v/>
      </c>
      <c r="M206" s="66">
        <f>IF(B206="","",IF(COUNTIF(cust_Name,B206)&gt;1,"⚠ Duplicate name","✓ OK"))</f>
        <v/>
      </c>
      <c r="N206" s="67">
        <f>IF(AND(B206&lt;&gt;"",N(K206)&gt;0),K206+200/1000000,"")</f>
        <v/>
      </c>
    </row>
    <row r="207">
      <c r="B207" s="62" t="n"/>
      <c r="C207" s="62" t="n"/>
      <c r="D207" s="62" t="n"/>
      <c r="E207" s="62" t="n"/>
      <c r="F207" s="62" t="n"/>
      <c r="G207" s="69" t="n"/>
      <c r="H207" s="62" t="n"/>
      <c r="I207" s="65">
        <f>IF(B207="","",SUMIFS(ar_Amount,ar_Party,B207,ar_Posted,1,ar_Date,"&lt;="&amp;AsOf))</f>
        <v/>
      </c>
      <c r="J207" s="65">
        <f>IF(B207="","",SUMIFS(ar_Paid,ar_Party,B207))</f>
        <v/>
      </c>
      <c r="K207" s="65">
        <f>IF(B207="","",SUMIFS(ar_Balance,ar_Party,B207))</f>
        <v/>
      </c>
      <c r="L207" s="65">
        <f>IF(B207="","",SUMIFS(ar_Balance,ar_Party,B207,ar_Status,"Overdue"))</f>
        <v/>
      </c>
      <c r="M207" s="66">
        <f>IF(B207="","",IF(COUNTIF(cust_Name,B207)&gt;1,"⚠ Duplicate name","✓ OK"))</f>
        <v/>
      </c>
      <c r="N207" s="67">
        <f>IF(AND(B207&lt;&gt;"",N(K207)&gt;0),K207+201/1000000,"")</f>
        <v/>
      </c>
    </row>
    <row r="208">
      <c r="B208" s="62" t="n"/>
      <c r="C208" s="62" t="n"/>
      <c r="D208" s="62" t="n"/>
      <c r="E208" s="62" t="n"/>
      <c r="F208" s="62" t="n"/>
      <c r="G208" s="69" t="n"/>
      <c r="H208" s="62" t="n"/>
      <c r="I208" s="65">
        <f>IF(B208="","",SUMIFS(ar_Amount,ar_Party,B208,ar_Posted,1,ar_Date,"&lt;="&amp;AsOf))</f>
        <v/>
      </c>
      <c r="J208" s="65">
        <f>IF(B208="","",SUMIFS(ar_Paid,ar_Party,B208))</f>
        <v/>
      </c>
      <c r="K208" s="65">
        <f>IF(B208="","",SUMIFS(ar_Balance,ar_Party,B208))</f>
        <v/>
      </c>
      <c r="L208" s="65">
        <f>IF(B208="","",SUMIFS(ar_Balance,ar_Party,B208,ar_Status,"Overdue"))</f>
        <v/>
      </c>
      <c r="M208" s="66">
        <f>IF(B208="","",IF(COUNTIF(cust_Name,B208)&gt;1,"⚠ Duplicate name","✓ OK"))</f>
        <v/>
      </c>
      <c r="N208" s="67">
        <f>IF(AND(B208&lt;&gt;"",N(K208)&gt;0),K208+202/1000000,"")</f>
        <v/>
      </c>
    </row>
    <row r="209">
      <c r="B209" s="62" t="n"/>
      <c r="C209" s="62" t="n"/>
      <c r="D209" s="62" t="n"/>
      <c r="E209" s="62" t="n"/>
      <c r="F209" s="62" t="n"/>
      <c r="G209" s="69" t="n"/>
      <c r="H209" s="62" t="n"/>
      <c r="I209" s="65">
        <f>IF(B209="","",SUMIFS(ar_Amount,ar_Party,B209,ar_Posted,1,ar_Date,"&lt;="&amp;AsOf))</f>
        <v/>
      </c>
      <c r="J209" s="65">
        <f>IF(B209="","",SUMIFS(ar_Paid,ar_Party,B209))</f>
        <v/>
      </c>
      <c r="K209" s="65">
        <f>IF(B209="","",SUMIFS(ar_Balance,ar_Party,B209))</f>
        <v/>
      </c>
      <c r="L209" s="65">
        <f>IF(B209="","",SUMIFS(ar_Balance,ar_Party,B209,ar_Status,"Overdue"))</f>
        <v/>
      </c>
      <c r="M209" s="66">
        <f>IF(B209="","",IF(COUNTIF(cust_Name,B209)&gt;1,"⚠ Duplicate name","✓ OK"))</f>
        <v/>
      </c>
      <c r="N209" s="67">
        <f>IF(AND(B209&lt;&gt;"",N(K209)&gt;0),K209+203/1000000,"")</f>
        <v/>
      </c>
    </row>
    <row r="210">
      <c r="B210" s="62" t="n"/>
      <c r="C210" s="62" t="n"/>
      <c r="D210" s="62" t="n"/>
      <c r="E210" s="62" t="n"/>
      <c r="F210" s="62" t="n"/>
      <c r="G210" s="69" t="n"/>
      <c r="H210" s="62" t="n"/>
      <c r="I210" s="65">
        <f>IF(B210="","",SUMIFS(ar_Amount,ar_Party,B210,ar_Posted,1,ar_Date,"&lt;="&amp;AsOf))</f>
        <v/>
      </c>
      <c r="J210" s="65">
        <f>IF(B210="","",SUMIFS(ar_Paid,ar_Party,B210))</f>
        <v/>
      </c>
      <c r="K210" s="65">
        <f>IF(B210="","",SUMIFS(ar_Balance,ar_Party,B210))</f>
        <v/>
      </c>
      <c r="L210" s="65">
        <f>IF(B210="","",SUMIFS(ar_Balance,ar_Party,B210,ar_Status,"Overdue"))</f>
        <v/>
      </c>
      <c r="M210" s="66">
        <f>IF(B210="","",IF(COUNTIF(cust_Name,B210)&gt;1,"⚠ Duplicate name","✓ OK"))</f>
        <v/>
      </c>
      <c r="N210" s="67">
        <f>IF(AND(B210&lt;&gt;"",N(K210)&gt;0),K210+204/1000000,"")</f>
        <v/>
      </c>
    </row>
    <row r="211">
      <c r="B211" s="62" t="n"/>
      <c r="C211" s="62" t="n"/>
      <c r="D211" s="62" t="n"/>
      <c r="E211" s="62" t="n"/>
      <c r="F211" s="62" t="n"/>
      <c r="G211" s="69" t="n"/>
      <c r="H211" s="62" t="n"/>
      <c r="I211" s="65">
        <f>IF(B211="","",SUMIFS(ar_Amount,ar_Party,B211,ar_Posted,1,ar_Date,"&lt;="&amp;AsOf))</f>
        <v/>
      </c>
      <c r="J211" s="65">
        <f>IF(B211="","",SUMIFS(ar_Paid,ar_Party,B211))</f>
        <v/>
      </c>
      <c r="K211" s="65">
        <f>IF(B211="","",SUMIFS(ar_Balance,ar_Party,B211))</f>
        <v/>
      </c>
      <c r="L211" s="65">
        <f>IF(B211="","",SUMIFS(ar_Balance,ar_Party,B211,ar_Status,"Overdue"))</f>
        <v/>
      </c>
      <c r="M211" s="66">
        <f>IF(B211="","",IF(COUNTIF(cust_Name,B211)&gt;1,"⚠ Duplicate name","✓ OK"))</f>
        <v/>
      </c>
      <c r="N211" s="67">
        <f>IF(AND(B211&lt;&gt;"",N(K211)&gt;0),K211+205/1000000,"")</f>
        <v/>
      </c>
    </row>
    <row r="212">
      <c r="B212" s="62" t="n"/>
      <c r="C212" s="62" t="n"/>
      <c r="D212" s="62" t="n"/>
      <c r="E212" s="62" t="n"/>
      <c r="F212" s="62" t="n"/>
      <c r="G212" s="69" t="n"/>
      <c r="H212" s="62" t="n"/>
      <c r="I212" s="65">
        <f>IF(B212="","",SUMIFS(ar_Amount,ar_Party,B212,ar_Posted,1,ar_Date,"&lt;="&amp;AsOf))</f>
        <v/>
      </c>
      <c r="J212" s="65">
        <f>IF(B212="","",SUMIFS(ar_Paid,ar_Party,B212))</f>
        <v/>
      </c>
      <c r="K212" s="65">
        <f>IF(B212="","",SUMIFS(ar_Balance,ar_Party,B212))</f>
        <v/>
      </c>
      <c r="L212" s="65">
        <f>IF(B212="","",SUMIFS(ar_Balance,ar_Party,B212,ar_Status,"Overdue"))</f>
        <v/>
      </c>
      <c r="M212" s="66">
        <f>IF(B212="","",IF(COUNTIF(cust_Name,B212)&gt;1,"⚠ Duplicate name","✓ OK"))</f>
        <v/>
      </c>
      <c r="N212" s="67">
        <f>IF(AND(B212&lt;&gt;"",N(K212)&gt;0),K212+206/1000000,"")</f>
        <v/>
      </c>
    </row>
    <row r="213">
      <c r="B213" s="62" t="n"/>
      <c r="C213" s="62" t="n"/>
      <c r="D213" s="62" t="n"/>
      <c r="E213" s="62" t="n"/>
      <c r="F213" s="62" t="n"/>
      <c r="G213" s="69" t="n"/>
      <c r="H213" s="62" t="n"/>
      <c r="I213" s="65">
        <f>IF(B213="","",SUMIFS(ar_Amount,ar_Party,B213,ar_Posted,1,ar_Date,"&lt;="&amp;AsOf))</f>
        <v/>
      </c>
      <c r="J213" s="65">
        <f>IF(B213="","",SUMIFS(ar_Paid,ar_Party,B213))</f>
        <v/>
      </c>
      <c r="K213" s="65">
        <f>IF(B213="","",SUMIFS(ar_Balance,ar_Party,B213))</f>
        <v/>
      </c>
      <c r="L213" s="65">
        <f>IF(B213="","",SUMIFS(ar_Balance,ar_Party,B213,ar_Status,"Overdue"))</f>
        <v/>
      </c>
      <c r="M213" s="66">
        <f>IF(B213="","",IF(COUNTIF(cust_Name,B213)&gt;1,"⚠ Duplicate name","✓ OK"))</f>
        <v/>
      </c>
      <c r="N213" s="67">
        <f>IF(AND(B213&lt;&gt;"",N(K213)&gt;0),K213+207/1000000,"")</f>
        <v/>
      </c>
    </row>
    <row r="214">
      <c r="B214" s="62" t="n"/>
      <c r="C214" s="62" t="n"/>
      <c r="D214" s="62" t="n"/>
      <c r="E214" s="62" t="n"/>
      <c r="F214" s="62" t="n"/>
      <c r="G214" s="69" t="n"/>
      <c r="H214" s="62" t="n"/>
      <c r="I214" s="65">
        <f>IF(B214="","",SUMIFS(ar_Amount,ar_Party,B214,ar_Posted,1,ar_Date,"&lt;="&amp;AsOf))</f>
        <v/>
      </c>
      <c r="J214" s="65">
        <f>IF(B214="","",SUMIFS(ar_Paid,ar_Party,B214))</f>
        <v/>
      </c>
      <c r="K214" s="65">
        <f>IF(B214="","",SUMIFS(ar_Balance,ar_Party,B214))</f>
        <v/>
      </c>
      <c r="L214" s="65">
        <f>IF(B214="","",SUMIFS(ar_Balance,ar_Party,B214,ar_Status,"Overdue"))</f>
        <v/>
      </c>
      <c r="M214" s="66">
        <f>IF(B214="","",IF(COUNTIF(cust_Name,B214)&gt;1,"⚠ Duplicate name","✓ OK"))</f>
        <v/>
      </c>
      <c r="N214" s="67">
        <f>IF(AND(B214&lt;&gt;"",N(K214)&gt;0),K214+208/1000000,"")</f>
        <v/>
      </c>
    </row>
    <row r="215">
      <c r="B215" s="62" t="n"/>
      <c r="C215" s="62" t="n"/>
      <c r="D215" s="62" t="n"/>
      <c r="E215" s="62" t="n"/>
      <c r="F215" s="62" t="n"/>
      <c r="G215" s="69" t="n"/>
      <c r="H215" s="62" t="n"/>
      <c r="I215" s="65">
        <f>IF(B215="","",SUMIFS(ar_Amount,ar_Party,B215,ar_Posted,1,ar_Date,"&lt;="&amp;AsOf))</f>
        <v/>
      </c>
      <c r="J215" s="65">
        <f>IF(B215="","",SUMIFS(ar_Paid,ar_Party,B215))</f>
        <v/>
      </c>
      <c r="K215" s="65">
        <f>IF(B215="","",SUMIFS(ar_Balance,ar_Party,B215))</f>
        <v/>
      </c>
      <c r="L215" s="65">
        <f>IF(B215="","",SUMIFS(ar_Balance,ar_Party,B215,ar_Status,"Overdue"))</f>
        <v/>
      </c>
      <c r="M215" s="66">
        <f>IF(B215="","",IF(COUNTIF(cust_Name,B215)&gt;1,"⚠ Duplicate name","✓ OK"))</f>
        <v/>
      </c>
      <c r="N215" s="67">
        <f>IF(AND(B215&lt;&gt;"",N(K215)&gt;0),K215+209/1000000,"")</f>
        <v/>
      </c>
    </row>
    <row r="216">
      <c r="B216" s="62" t="n"/>
      <c r="C216" s="62" t="n"/>
      <c r="D216" s="62" t="n"/>
      <c r="E216" s="62" t="n"/>
      <c r="F216" s="62" t="n"/>
      <c r="G216" s="69" t="n"/>
      <c r="H216" s="62" t="n"/>
      <c r="I216" s="65">
        <f>IF(B216="","",SUMIFS(ar_Amount,ar_Party,B216,ar_Posted,1,ar_Date,"&lt;="&amp;AsOf))</f>
        <v/>
      </c>
      <c r="J216" s="65">
        <f>IF(B216="","",SUMIFS(ar_Paid,ar_Party,B216))</f>
        <v/>
      </c>
      <c r="K216" s="65">
        <f>IF(B216="","",SUMIFS(ar_Balance,ar_Party,B216))</f>
        <v/>
      </c>
      <c r="L216" s="65">
        <f>IF(B216="","",SUMIFS(ar_Balance,ar_Party,B216,ar_Status,"Overdue"))</f>
        <v/>
      </c>
      <c r="M216" s="66">
        <f>IF(B216="","",IF(COUNTIF(cust_Name,B216)&gt;1,"⚠ Duplicate name","✓ OK"))</f>
        <v/>
      </c>
      <c r="N216" s="67">
        <f>IF(AND(B216&lt;&gt;"",N(K216)&gt;0),K216+210/1000000,"")</f>
        <v/>
      </c>
    </row>
    <row r="217">
      <c r="B217" s="62" t="n"/>
      <c r="C217" s="62" t="n"/>
      <c r="D217" s="62" t="n"/>
      <c r="E217" s="62" t="n"/>
      <c r="F217" s="62" t="n"/>
      <c r="G217" s="69" t="n"/>
      <c r="H217" s="62" t="n"/>
      <c r="I217" s="65">
        <f>IF(B217="","",SUMIFS(ar_Amount,ar_Party,B217,ar_Posted,1,ar_Date,"&lt;="&amp;AsOf))</f>
        <v/>
      </c>
      <c r="J217" s="65">
        <f>IF(B217="","",SUMIFS(ar_Paid,ar_Party,B217))</f>
        <v/>
      </c>
      <c r="K217" s="65">
        <f>IF(B217="","",SUMIFS(ar_Balance,ar_Party,B217))</f>
        <v/>
      </c>
      <c r="L217" s="65">
        <f>IF(B217="","",SUMIFS(ar_Balance,ar_Party,B217,ar_Status,"Overdue"))</f>
        <v/>
      </c>
      <c r="M217" s="66">
        <f>IF(B217="","",IF(COUNTIF(cust_Name,B217)&gt;1,"⚠ Duplicate name","✓ OK"))</f>
        <v/>
      </c>
      <c r="N217" s="67">
        <f>IF(AND(B217&lt;&gt;"",N(K217)&gt;0),K217+211/1000000,"")</f>
        <v/>
      </c>
    </row>
    <row r="218">
      <c r="B218" s="62" t="n"/>
      <c r="C218" s="62" t="n"/>
      <c r="D218" s="62" t="n"/>
      <c r="E218" s="62" t="n"/>
      <c r="F218" s="62" t="n"/>
      <c r="G218" s="69" t="n"/>
      <c r="H218" s="62" t="n"/>
      <c r="I218" s="65">
        <f>IF(B218="","",SUMIFS(ar_Amount,ar_Party,B218,ar_Posted,1,ar_Date,"&lt;="&amp;AsOf))</f>
        <v/>
      </c>
      <c r="J218" s="65">
        <f>IF(B218="","",SUMIFS(ar_Paid,ar_Party,B218))</f>
        <v/>
      </c>
      <c r="K218" s="65">
        <f>IF(B218="","",SUMIFS(ar_Balance,ar_Party,B218))</f>
        <v/>
      </c>
      <c r="L218" s="65">
        <f>IF(B218="","",SUMIFS(ar_Balance,ar_Party,B218,ar_Status,"Overdue"))</f>
        <v/>
      </c>
      <c r="M218" s="66">
        <f>IF(B218="","",IF(COUNTIF(cust_Name,B218)&gt;1,"⚠ Duplicate name","✓ OK"))</f>
        <v/>
      </c>
      <c r="N218" s="67">
        <f>IF(AND(B218&lt;&gt;"",N(K218)&gt;0),K218+212/1000000,"")</f>
        <v/>
      </c>
    </row>
    <row r="219">
      <c r="B219" s="62" t="n"/>
      <c r="C219" s="62" t="n"/>
      <c r="D219" s="62" t="n"/>
      <c r="E219" s="62" t="n"/>
      <c r="F219" s="62" t="n"/>
      <c r="G219" s="69" t="n"/>
      <c r="H219" s="62" t="n"/>
      <c r="I219" s="65">
        <f>IF(B219="","",SUMIFS(ar_Amount,ar_Party,B219,ar_Posted,1,ar_Date,"&lt;="&amp;AsOf))</f>
        <v/>
      </c>
      <c r="J219" s="65">
        <f>IF(B219="","",SUMIFS(ar_Paid,ar_Party,B219))</f>
        <v/>
      </c>
      <c r="K219" s="65">
        <f>IF(B219="","",SUMIFS(ar_Balance,ar_Party,B219))</f>
        <v/>
      </c>
      <c r="L219" s="65">
        <f>IF(B219="","",SUMIFS(ar_Balance,ar_Party,B219,ar_Status,"Overdue"))</f>
        <v/>
      </c>
      <c r="M219" s="66">
        <f>IF(B219="","",IF(COUNTIF(cust_Name,B219)&gt;1,"⚠ Duplicate name","✓ OK"))</f>
        <v/>
      </c>
      <c r="N219" s="67">
        <f>IF(AND(B219&lt;&gt;"",N(K219)&gt;0),K219+213/1000000,"")</f>
        <v/>
      </c>
    </row>
    <row r="220">
      <c r="B220" s="62" t="n"/>
      <c r="C220" s="62" t="n"/>
      <c r="D220" s="62" t="n"/>
      <c r="E220" s="62" t="n"/>
      <c r="F220" s="62" t="n"/>
      <c r="G220" s="69" t="n"/>
      <c r="H220" s="62" t="n"/>
      <c r="I220" s="65">
        <f>IF(B220="","",SUMIFS(ar_Amount,ar_Party,B220,ar_Posted,1,ar_Date,"&lt;="&amp;AsOf))</f>
        <v/>
      </c>
      <c r="J220" s="65">
        <f>IF(B220="","",SUMIFS(ar_Paid,ar_Party,B220))</f>
        <v/>
      </c>
      <c r="K220" s="65">
        <f>IF(B220="","",SUMIFS(ar_Balance,ar_Party,B220))</f>
        <v/>
      </c>
      <c r="L220" s="65">
        <f>IF(B220="","",SUMIFS(ar_Balance,ar_Party,B220,ar_Status,"Overdue"))</f>
        <v/>
      </c>
      <c r="M220" s="66">
        <f>IF(B220="","",IF(COUNTIF(cust_Name,B220)&gt;1,"⚠ Duplicate name","✓ OK"))</f>
        <v/>
      </c>
      <c r="N220" s="67">
        <f>IF(AND(B220&lt;&gt;"",N(K220)&gt;0),K220+214/1000000,"")</f>
        <v/>
      </c>
    </row>
    <row r="221">
      <c r="B221" s="62" t="n"/>
      <c r="C221" s="62" t="n"/>
      <c r="D221" s="62" t="n"/>
      <c r="E221" s="62" t="n"/>
      <c r="F221" s="62" t="n"/>
      <c r="G221" s="69" t="n"/>
      <c r="H221" s="62" t="n"/>
      <c r="I221" s="65">
        <f>IF(B221="","",SUMIFS(ar_Amount,ar_Party,B221,ar_Posted,1,ar_Date,"&lt;="&amp;AsOf))</f>
        <v/>
      </c>
      <c r="J221" s="65">
        <f>IF(B221="","",SUMIFS(ar_Paid,ar_Party,B221))</f>
        <v/>
      </c>
      <c r="K221" s="65">
        <f>IF(B221="","",SUMIFS(ar_Balance,ar_Party,B221))</f>
        <v/>
      </c>
      <c r="L221" s="65">
        <f>IF(B221="","",SUMIFS(ar_Balance,ar_Party,B221,ar_Status,"Overdue"))</f>
        <v/>
      </c>
      <c r="M221" s="66">
        <f>IF(B221="","",IF(COUNTIF(cust_Name,B221)&gt;1,"⚠ Duplicate name","✓ OK"))</f>
        <v/>
      </c>
      <c r="N221" s="67">
        <f>IF(AND(B221&lt;&gt;"",N(K221)&gt;0),K221+215/1000000,"")</f>
        <v/>
      </c>
    </row>
    <row r="222">
      <c r="B222" s="62" t="n"/>
      <c r="C222" s="62" t="n"/>
      <c r="D222" s="62" t="n"/>
      <c r="E222" s="62" t="n"/>
      <c r="F222" s="62" t="n"/>
      <c r="G222" s="69" t="n"/>
      <c r="H222" s="62" t="n"/>
      <c r="I222" s="65">
        <f>IF(B222="","",SUMIFS(ar_Amount,ar_Party,B222,ar_Posted,1,ar_Date,"&lt;="&amp;AsOf))</f>
        <v/>
      </c>
      <c r="J222" s="65">
        <f>IF(B222="","",SUMIFS(ar_Paid,ar_Party,B222))</f>
        <v/>
      </c>
      <c r="K222" s="65">
        <f>IF(B222="","",SUMIFS(ar_Balance,ar_Party,B222))</f>
        <v/>
      </c>
      <c r="L222" s="65">
        <f>IF(B222="","",SUMIFS(ar_Balance,ar_Party,B222,ar_Status,"Overdue"))</f>
        <v/>
      </c>
      <c r="M222" s="66">
        <f>IF(B222="","",IF(COUNTIF(cust_Name,B222)&gt;1,"⚠ Duplicate name","✓ OK"))</f>
        <v/>
      </c>
      <c r="N222" s="67">
        <f>IF(AND(B222&lt;&gt;"",N(K222)&gt;0),K222+216/1000000,"")</f>
        <v/>
      </c>
    </row>
    <row r="223">
      <c r="B223" s="62" t="n"/>
      <c r="C223" s="62" t="n"/>
      <c r="D223" s="62" t="n"/>
      <c r="E223" s="62" t="n"/>
      <c r="F223" s="62" t="n"/>
      <c r="G223" s="69" t="n"/>
      <c r="H223" s="62" t="n"/>
      <c r="I223" s="65">
        <f>IF(B223="","",SUMIFS(ar_Amount,ar_Party,B223,ar_Posted,1,ar_Date,"&lt;="&amp;AsOf))</f>
        <v/>
      </c>
      <c r="J223" s="65">
        <f>IF(B223="","",SUMIFS(ar_Paid,ar_Party,B223))</f>
        <v/>
      </c>
      <c r="K223" s="65">
        <f>IF(B223="","",SUMIFS(ar_Balance,ar_Party,B223))</f>
        <v/>
      </c>
      <c r="L223" s="65">
        <f>IF(B223="","",SUMIFS(ar_Balance,ar_Party,B223,ar_Status,"Overdue"))</f>
        <v/>
      </c>
      <c r="M223" s="66">
        <f>IF(B223="","",IF(COUNTIF(cust_Name,B223)&gt;1,"⚠ Duplicate name","✓ OK"))</f>
        <v/>
      </c>
      <c r="N223" s="67">
        <f>IF(AND(B223&lt;&gt;"",N(K223)&gt;0),K223+217/1000000,"")</f>
        <v/>
      </c>
    </row>
    <row r="224">
      <c r="B224" s="62" t="n"/>
      <c r="C224" s="62" t="n"/>
      <c r="D224" s="62" t="n"/>
      <c r="E224" s="62" t="n"/>
      <c r="F224" s="62" t="n"/>
      <c r="G224" s="69" t="n"/>
      <c r="H224" s="62" t="n"/>
      <c r="I224" s="65">
        <f>IF(B224="","",SUMIFS(ar_Amount,ar_Party,B224,ar_Posted,1,ar_Date,"&lt;="&amp;AsOf))</f>
        <v/>
      </c>
      <c r="J224" s="65">
        <f>IF(B224="","",SUMIFS(ar_Paid,ar_Party,B224))</f>
        <v/>
      </c>
      <c r="K224" s="65">
        <f>IF(B224="","",SUMIFS(ar_Balance,ar_Party,B224))</f>
        <v/>
      </c>
      <c r="L224" s="65">
        <f>IF(B224="","",SUMIFS(ar_Balance,ar_Party,B224,ar_Status,"Overdue"))</f>
        <v/>
      </c>
      <c r="M224" s="66">
        <f>IF(B224="","",IF(COUNTIF(cust_Name,B224)&gt;1,"⚠ Duplicate name","✓ OK"))</f>
        <v/>
      </c>
      <c r="N224" s="67">
        <f>IF(AND(B224&lt;&gt;"",N(K224)&gt;0),K224+218/1000000,"")</f>
        <v/>
      </c>
    </row>
    <row r="225">
      <c r="B225" s="62" t="n"/>
      <c r="C225" s="62" t="n"/>
      <c r="D225" s="62" t="n"/>
      <c r="E225" s="62" t="n"/>
      <c r="F225" s="62" t="n"/>
      <c r="G225" s="69" t="n"/>
      <c r="H225" s="62" t="n"/>
      <c r="I225" s="65">
        <f>IF(B225="","",SUMIFS(ar_Amount,ar_Party,B225,ar_Posted,1,ar_Date,"&lt;="&amp;AsOf))</f>
        <v/>
      </c>
      <c r="J225" s="65">
        <f>IF(B225="","",SUMIFS(ar_Paid,ar_Party,B225))</f>
        <v/>
      </c>
      <c r="K225" s="65">
        <f>IF(B225="","",SUMIFS(ar_Balance,ar_Party,B225))</f>
        <v/>
      </c>
      <c r="L225" s="65">
        <f>IF(B225="","",SUMIFS(ar_Balance,ar_Party,B225,ar_Status,"Overdue"))</f>
        <v/>
      </c>
      <c r="M225" s="66">
        <f>IF(B225="","",IF(COUNTIF(cust_Name,B225)&gt;1,"⚠ Duplicate name","✓ OK"))</f>
        <v/>
      </c>
      <c r="N225" s="67">
        <f>IF(AND(B225&lt;&gt;"",N(K225)&gt;0),K225+219/1000000,"")</f>
        <v/>
      </c>
    </row>
    <row r="226">
      <c r="B226" s="62" t="n"/>
      <c r="C226" s="62" t="n"/>
      <c r="D226" s="62" t="n"/>
      <c r="E226" s="62" t="n"/>
      <c r="F226" s="62" t="n"/>
      <c r="G226" s="69" t="n"/>
      <c r="H226" s="62" t="n"/>
      <c r="I226" s="65">
        <f>IF(B226="","",SUMIFS(ar_Amount,ar_Party,B226,ar_Posted,1,ar_Date,"&lt;="&amp;AsOf))</f>
        <v/>
      </c>
      <c r="J226" s="65">
        <f>IF(B226="","",SUMIFS(ar_Paid,ar_Party,B226))</f>
        <v/>
      </c>
      <c r="K226" s="65">
        <f>IF(B226="","",SUMIFS(ar_Balance,ar_Party,B226))</f>
        <v/>
      </c>
      <c r="L226" s="65">
        <f>IF(B226="","",SUMIFS(ar_Balance,ar_Party,B226,ar_Status,"Overdue"))</f>
        <v/>
      </c>
      <c r="M226" s="66">
        <f>IF(B226="","",IF(COUNTIF(cust_Name,B226)&gt;1,"⚠ Duplicate name","✓ OK"))</f>
        <v/>
      </c>
      <c r="N226" s="67">
        <f>IF(AND(B226&lt;&gt;"",N(K226)&gt;0),K226+220/1000000,"")</f>
        <v/>
      </c>
    </row>
    <row r="227">
      <c r="B227" s="62" t="n"/>
      <c r="C227" s="62" t="n"/>
      <c r="D227" s="62" t="n"/>
      <c r="E227" s="62" t="n"/>
      <c r="F227" s="62" t="n"/>
      <c r="G227" s="69" t="n"/>
      <c r="H227" s="62" t="n"/>
      <c r="I227" s="65">
        <f>IF(B227="","",SUMIFS(ar_Amount,ar_Party,B227,ar_Posted,1,ar_Date,"&lt;="&amp;AsOf))</f>
        <v/>
      </c>
      <c r="J227" s="65">
        <f>IF(B227="","",SUMIFS(ar_Paid,ar_Party,B227))</f>
        <v/>
      </c>
      <c r="K227" s="65">
        <f>IF(B227="","",SUMIFS(ar_Balance,ar_Party,B227))</f>
        <v/>
      </c>
      <c r="L227" s="65">
        <f>IF(B227="","",SUMIFS(ar_Balance,ar_Party,B227,ar_Status,"Overdue"))</f>
        <v/>
      </c>
      <c r="M227" s="66">
        <f>IF(B227="","",IF(COUNTIF(cust_Name,B227)&gt;1,"⚠ Duplicate name","✓ OK"))</f>
        <v/>
      </c>
      <c r="N227" s="67">
        <f>IF(AND(B227&lt;&gt;"",N(K227)&gt;0),K227+221/1000000,"")</f>
        <v/>
      </c>
    </row>
    <row r="228">
      <c r="B228" s="62" t="n"/>
      <c r="C228" s="62" t="n"/>
      <c r="D228" s="62" t="n"/>
      <c r="E228" s="62" t="n"/>
      <c r="F228" s="62" t="n"/>
      <c r="G228" s="69" t="n"/>
      <c r="H228" s="62" t="n"/>
      <c r="I228" s="65">
        <f>IF(B228="","",SUMIFS(ar_Amount,ar_Party,B228,ar_Posted,1,ar_Date,"&lt;="&amp;AsOf))</f>
        <v/>
      </c>
      <c r="J228" s="65">
        <f>IF(B228="","",SUMIFS(ar_Paid,ar_Party,B228))</f>
        <v/>
      </c>
      <c r="K228" s="65">
        <f>IF(B228="","",SUMIFS(ar_Balance,ar_Party,B228))</f>
        <v/>
      </c>
      <c r="L228" s="65">
        <f>IF(B228="","",SUMIFS(ar_Balance,ar_Party,B228,ar_Status,"Overdue"))</f>
        <v/>
      </c>
      <c r="M228" s="66">
        <f>IF(B228="","",IF(COUNTIF(cust_Name,B228)&gt;1,"⚠ Duplicate name","✓ OK"))</f>
        <v/>
      </c>
      <c r="N228" s="67">
        <f>IF(AND(B228&lt;&gt;"",N(K228)&gt;0),K228+222/1000000,"")</f>
        <v/>
      </c>
    </row>
    <row r="229">
      <c r="B229" s="62" t="n"/>
      <c r="C229" s="62" t="n"/>
      <c r="D229" s="62" t="n"/>
      <c r="E229" s="62" t="n"/>
      <c r="F229" s="62" t="n"/>
      <c r="G229" s="69" t="n"/>
      <c r="H229" s="62" t="n"/>
      <c r="I229" s="65">
        <f>IF(B229="","",SUMIFS(ar_Amount,ar_Party,B229,ar_Posted,1,ar_Date,"&lt;="&amp;AsOf))</f>
        <v/>
      </c>
      <c r="J229" s="65">
        <f>IF(B229="","",SUMIFS(ar_Paid,ar_Party,B229))</f>
        <v/>
      </c>
      <c r="K229" s="65">
        <f>IF(B229="","",SUMIFS(ar_Balance,ar_Party,B229))</f>
        <v/>
      </c>
      <c r="L229" s="65">
        <f>IF(B229="","",SUMIFS(ar_Balance,ar_Party,B229,ar_Status,"Overdue"))</f>
        <v/>
      </c>
      <c r="M229" s="66">
        <f>IF(B229="","",IF(COUNTIF(cust_Name,B229)&gt;1,"⚠ Duplicate name","✓ OK"))</f>
        <v/>
      </c>
      <c r="N229" s="67">
        <f>IF(AND(B229&lt;&gt;"",N(K229)&gt;0),K229+223/1000000,"")</f>
        <v/>
      </c>
    </row>
    <row r="230">
      <c r="B230" s="62" t="n"/>
      <c r="C230" s="62" t="n"/>
      <c r="D230" s="62" t="n"/>
      <c r="E230" s="62" t="n"/>
      <c r="F230" s="62" t="n"/>
      <c r="G230" s="69" t="n"/>
      <c r="H230" s="62" t="n"/>
      <c r="I230" s="65">
        <f>IF(B230="","",SUMIFS(ar_Amount,ar_Party,B230,ar_Posted,1,ar_Date,"&lt;="&amp;AsOf))</f>
        <v/>
      </c>
      <c r="J230" s="65">
        <f>IF(B230="","",SUMIFS(ar_Paid,ar_Party,B230))</f>
        <v/>
      </c>
      <c r="K230" s="65">
        <f>IF(B230="","",SUMIFS(ar_Balance,ar_Party,B230))</f>
        <v/>
      </c>
      <c r="L230" s="65">
        <f>IF(B230="","",SUMIFS(ar_Balance,ar_Party,B230,ar_Status,"Overdue"))</f>
        <v/>
      </c>
      <c r="M230" s="66">
        <f>IF(B230="","",IF(COUNTIF(cust_Name,B230)&gt;1,"⚠ Duplicate name","✓ OK"))</f>
        <v/>
      </c>
      <c r="N230" s="67">
        <f>IF(AND(B230&lt;&gt;"",N(K230)&gt;0),K230+224/1000000,"")</f>
        <v/>
      </c>
    </row>
    <row r="231">
      <c r="B231" s="62" t="n"/>
      <c r="C231" s="62" t="n"/>
      <c r="D231" s="62" t="n"/>
      <c r="E231" s="62" t="n"/>
      <c r="F231" s="62" t="n"/>
      <c r="G231" s="69" t="n"/>
      <c r="H231" s="62" t="n"/>
      <c r="I231" s="65">
        <f>IF(B231="","",SUMIFS(ar_Amount,ar_Party,B231,ar_Posted,1,ar_Date,"&lt;="&amp;AsOf))</f>
        <v/>
      </c>
      <c r="J231" s="65">
        <f>IF(B231="","",SUMIFS(ar_Paid,ar_Party,B231))</f>
        <v/>
      </c>
      <c r="K231" s="65">
        <f>IF(B231="","",SUMIFS(ar_Balance,ar_Party,B231))</f>
        <v/>
      </c>
      <c r="L231" s="65">
        <f>IF(B231="","",SUMIFS(ar_Balance,ar_Party,B231,ar_Status,"Overdue"))</f>
        <v/>
      </c>
      <c r="M231" s="66">
        <f>IF(B231="","",IF(COUNTIF(cust_Name,B231)&gt;1,"⚠ Duplicate name","✓ OK"))</f>
        <v/>
      </c>
      <c r="N231" s="67">
        <f>IF(AND(B231&lt;&gt;"",N(K231)&gt;0),K231+225/1000000,"")</f>
        <v/>
      </c>
    </row>
    <row r="232">
      <c r="B232" s="62" t="n"/>
      <c r="C232" s="62" t="n"/>
      <c r="D232" s="62" t="n"/>
      <c r="E232" s="62" t="n"/>
      <c r="F232" s="62" t="n"/>
      <c r="G232" s="69" t="n"/>
      <c r="H232" s="62" t="n"/>
      <c r="I232" s="65">
        <f>IF(B232="","",SUMIFS(ar_Amount,ar_Party,B232,ar_Posted,1,ar_Date,"&lt;="&amp;AsOf))</f>
        <v/>
      </c>
      <c r="J232" s="65">
        <f>IF(B232="","",SUMIFS(ar_Paid,ar_Party,B232))</f>
        <v/>
      </c>
      <c r="K232" s="65">
        <f>IF(B232="","",SUMIFS(ar_Balance,ar_Party,B232))</f>
        <v/>
      </c>
      <c r="L232" s="65">
        <f>IF(B232="","",SUMIFS(ar_Balance,ar_Party,B232,ar_Status,"Overdue"))</f>
        <v/>
      </c>
      <c r="M232" s="66">
        <f>IF(B232="","",IF(COUNTIF(cust_Name,B232)&gt;1,"⚠ Duplicate name","✓ OK"))</f>
        <v/>
      </c>
      <c r="N232" s="67">
        <f>IF(AND(B232&lt;&gt;"",N(K232)&gt;0),K232+226/1000000,"")</f>
        <v/>
      </c>
    </row>
    <row r="233">
      <c r="B233" s="62" t="n"/>
      <c r="C233" s="62" t="n"/>
      <c r="D233" s="62" t="n"/>
      <c r="E233" s="62" t="n"/>
      <c r="F233" s="62" t="n"/>
      <c r="G233" s="69" t="n"/>
      <c r="H233" s="62" t="n"/>
      <c r="I233" s="65">
        <f>IF(B233="","",SUMIFS(ar_Amount,ar_Party,B233,ar_Posted,1,ar_Date,"&lt;="&amp;AsOf))</f>
        <v/>
      </c>
      <c r="J233" s="65">
        <f>IF(B233="","",SUMIFS(ar_Paid,ar_Party,B233))</f>
        <v/>
      </c>
      <c r="K233" s="65">
        <f>IF(B233="","",SUMIFS(ar_Balance,ar_Party,B233))</f>
        <v/>
      </c>
      <c r="L233" s="65">
        <f>IF(B233="","",SUMIFS(ar_Balance,ar_Party,B233,ar_Status,"Overdue"))</f>
        <v/>
      </c>
      <c r="M233" s="66">
        <f>IF(B233="","",IF(COUNTIF(cust_Name,B233)&gt;1,"⚠ Duplicate name","✓ OK"))</f>
        <v/>
      </c>
      <c r="N233" s="67">
        <f>IF(AND(B233&lt;&gt;"",N(K233)&gt;0),K233+227/1000000,"")</f>
        <v/>
      </c>
    </row>
    <row r="234">
      <c r="B234" s="62" t="n"/>
      <c r="C234" s="62" t="n"/>
      <c r="D234" s="62" t="n"/>
      <c r="E234" s="62" t="n"/>
      <c r="F234" s="62" t="n"/>
      <c r="G234" s="69" t="n"/>
      <c r="H234" s="62" t="n"/>
      <c r="I234" s="65">
        <f>IF(B234="","",SUMIFS(ar_Amount,ar_Party,B234,ar_Posted,1,ar_Date,"&lt;="&amp;AsOf))</f>
        <v/>
      </c>
      <c r="J234" s="65">
        <f>IF(B234="","",SUMIFS(ar_Paid,ar_Party,B234))</f>
        <v/>
      </c>
      <c r="K234" s="65">
        <f>IF(B234="","",SUMIFS(ar_Balance,ar_Party,B234))</f>
        <v/>
      </c>
      <c r="L234" s="65">
        <f>IF(B234="","",SUMIFS(ar_Balance,ar_Party,B234,ar_Status,"Overdue"))</f>
        <v/>
      </c>
      <c r="M234" s="66">
        <f>IF(B234="","",IF(COUNTIF(cust_Name,B234)&gt;1,"⚠ Duplicate name","✓ OK"))</f>
        <v/>
      </c>
      <c r="N234" s="67">
        <f>IF(AND(B234&lt;&gt;"",N(K234)&gt;0),K234+228/1000000,"")</f>
        <v/>
      </c>
    </row>
    <row r="235">
      <c r="B235" s="62" t="n"/>
      <c r="C235" s="62" t="n"/>
      <c r="D235" s="62" t="n"/>
      <c r="E235" s="62" t="n"/>
      <c r="F235" s="62" t="n"/>
      <c r="G235" s="69" t="n"/>
      <c r="H235" s="62" t="n"/>
      <c r="I235" s="65">
        <f>IF(B235="","",SUMIFS(ar_Amount,ar_Party,B235,ar_Posted,1,ar_Date,"&lt;="&amp;AsOf))</f>
        <v/>
      </c>
      <c r="J235" s="65">
        <f>IF(B235="","",SUMIFS(ar_Paid,ar_Party,B235))</f>
        <v/>
      </c>
      <c r="K235" s="65">
        <f>IF(B235="","",SUMIFS(ar_Balance,ar_Party,B235))</f>
        <v/>
      </c>
      <c r="L235" s="65">
        <f>IF(B235="","",SUMIFS(ar_Balance,ar_Party,B235,ar_Status,"Overdue"))</f>
        <v/>
      </c>
      <c r="M235" s="66">
        <f>IF(B235="","",IF(COUNTIF(cust_Name,B235)&gt;1,"⚠ Duplicate name","✓ OK"))</f>
        <v/>
      </c>
      <c r="N235" s="67">
        <f>IF(AND(B235&lt;&gt;"",N(K235)&gt;0),K235+229/1000000,"")</f>
        <v/>
      </c>
    </row>
    <row r="236">
      <c r="B236" s="62" t="n"/>
      <c r="C236" s="62" t="n"/>
      <c r="D236" s="62" t="n"/>
      <c r="E236" s="62" t="n"/>
      <c r="F236" s="62" t="n"/>
      <c r="G236" s="69" t="n"/>
      <c r="H236" s="62" t="n"/>
      <c r="I236" s="65">
        <f>IF(B236="","",SUMIFS(ar_Amount,ar_Party,B236,ar_Posted,1,ar_Date,"&lt;="&amp;AsOf))</f>
        <v/>
      </c>
      <c r="J236" s="65">
        <f>IF(B236="","",SUMIFS(ar_Paid,ar_Party,B236))</f>
        <v/>
      </c>
      <c r="K236" s="65">
        <f>IF(B236="","",SUMIFS(ar_Balance,ar_Party,B236))</f>
        <v/>
      </c>
      <c r="L236" s="65">
        <f>IF(B236="","",SUMIFS(ar_Balance,ar_Party,B236,ar_Status,"Overdue"))</f>
        <v/>
      </c>
      <c r="M236" s="66">
        <f>IF(B236="","",IF(COUNTIF(cust_Name,B236)&gt;1,"⚠ Duplicate name","✓ OK"))</f>
        <v/>
      </c>
      <c r="N236" s="67">
        <f>IF(AND(B236&lt;&gt;"",N(K236)&gt;0),K236+230/1000000,"")</f>
        <v/>
      </c>
    </row>
    <row r="237">
      <c r="B237" s="62" t="n"/>
      <c r="C237" s="62" t="n"/>
      <c r="D237" s="62" t="n"/>
      <c r="E237" s="62" t="n"/>
      <c r="F237" s="62" t="n"/>
      <c r="G237" s="69" t="n"/>
      <c r="H237" s="62" t="n"/>
      <c r="I237" s="65">
        <f>IF(B237="","",SUMIFS(ar_Amount,ar_Party,B237,ar_Posted,1,ar_Date,"&lt;="&amp;AsOf))</f>
        <v/>
      </c>
      <c r="J237" s="65">
        <f>IF(B237="","",SUMIFS(ar_Paid,ar_Party,B237))</f>
        <v/>
      </c>
      <c r="K237" s="65">
        <f>IF(B237="","",SUMIFS(ar_Balance,ar_Party,B237))</f>
        <v/>
      </c>
      <c r="L237" s="65">
        <f>IF(B237="","",SUMIFS(ar_Balance,ar_Party,B237,ar_Status,"Overdue"))</f>
        <v/>
      </c>
      <c r="M237" s="66">
        <f>IF(B237="","",IF(COUNTIF(cust_Name,B237)&gt;1,"⚠ Duplicate name","✓ OK"))</f>
        <v/>
      </c>
      <c r="N237" s="67">
        <f>IF(AND(B237&lt;&gt;"",N(K237)&gt;0),K237+231/1000000,"")</f>
        <v/>
      </c>
    </row>
    <row r="238">
      <c r="B238" s="62" t="n"/>
      <c r="C238" s="62" t="n"/>
      <c r="D238" s="62" t="n"/>
      <c r="E238" s="62" t="n"/>
      <c r="F238" s="62" t="n"/>
      <c r="G238" s="69" t="n"/>
      <c r="H238" s="62" t="n"/>
      <c r="I238" s="65">
        <f>IF(B238="","",SUMIFS(ar_Amount,ar_Party,B238,ar_Posted,1,ar_Date,"&lt;="&amp;AsOf))</f>
        <v/>
      </c>
      <c r="J238" s="65">
        <f>IF(B238="","",SUMIFS(ar_Paid,ar_Party,B238))</f>
        <v/>
      </c>
      <c r="K238" s="65">
        <f>IF(B238="","",SUMIFS(ar_Balance,ar_Party,B238))</f>
        <v/>
      </c>
      <c r="L238" s="65">
        <f>IF(B238="","",SUMIFS(ar_Balance,ar_Party,B238,ar_Status,"Overdue"))</f>
        <v/>
      </c>
      <c r="M238" s="66">
        <f>IF(B238="","",IF(COUNTIF(cust_Name,B238)&gt;1,"⚠ Duplicate name","✓ OK"))</f>
        <v/>
      </c>
      <c r="N238" s="67">
        <f>IF(AND(B238&lt;&gt;"",N(K238)&gt;0),K238+232/1000000,"")</f>
        <v/>
      </c>
    </row>
    <row r="239">
      <c r="B239" s="62" t="n"/>
      <c r="C239" s="62" t="n"/>
      <c r="D239" s="62" t="n"/>
      <c r="E239" s="62" t="n"/>
      <c r="F239" s="62" t="n"/>
      <c r="G239" s="69" t="n"/>
      <c r="H239" s="62" t="n"/>
      <c r="I239" s="65">
        <f>IF(B239="","",SUMIFS(ar_Amount,ar_Party,B239,ar_Posted,1,ar_Date,"&lt;="&amp;AsOf))</f>
        <v/>
      </c>
      <c r="J239" s="65">
        <f>IF(B239="","",SUMIFS(ar_Paid,ar_Party,B239))</f>
        <v/>
      </c>
      <c r="K239" s="65">
        <f>IF(B239="","",SUMIFS(ar_Balance,ar_Party,B239))</f>
        <v/>
      </c>
      <c r="L239" s="65">
        <f>IF(B239="","",SUMIFS(ar_Balance,ar_Party,B239,ar_Status,"Overdue"))</f>
        <v/>
      </c>
      <c r="M239" s="66">
        <f>IF(B239="","",IF(COUNTIF(cust_Name,B239)&gt;1,"⚠ Duplicate name","✓ OK"))</f>
        <v/>
      </c>
      <c r="N239" s="67">
        <f>IF(AND(B239&lt;&gt;"",N(K239)&gt;0),K239+233/1000000,"")</f>
        <v/>
      </c>
    </row>
    <row r="240">
      <c r="B240" s="62" t="n"/>
      <c r="C240" s="62" t="n"/>
      <c r="D240" s="62" t="n"/>
      <c r="E240" s="62" t="n"/>
      <c r="F240" s="62" t="n"/>
      <c r="G240" s="69" t="n"/>
      <c r="H240" s="62" t="n"/>
      <c r="I240" s="65">
        <f>IF(B240="","",SUMIFS(ar_Amount,ar_Party,B240,ar_Posted,1,ar_Date,"&lt;="&amp;AsOf))</f>
        <v/>
      </c>
      <c r="J240" s="65">
        <f>IF(B240="","",SUMIFS(ar_Paid,ar_Party,B240))</f>
        <v/>
      </c>
      <c r="K240" s="65">
        <f>IF(B240="","",SUMIFS(ar_Balance,ar_Party,B240))</f>
        <v/>
      </c>
      <c r="L240" s="65">
        <f>IF(B240="","",SUMIFS(ar_Balance,ar_Party,B240,ar_Status,"Overdue"))</f>
        <v/>
      </c>
      <c r="M240" s="66">
        <f>IF(B240="","",IF(COUNTIF(cust_Name,B240)&gt;1,"⚠ Duplicate name","✓ OK"))</f>
        <v/>
      </c>
      <c r="N240" s="67">
        <f>IF(AND(B240&lt;&gt;"",N(K240)&gt;0),K240+234/1000000,"")</f>
        <v/>
      </c>
    </row>
    <row r="241">
      <c r="B241" s="62" t="n"/>
      <c r="C241" s="62" t="n"/>
      <c r="D241" s="62" t="n"/>
      <c r="E241" s="62" t="n"/>
      <c r="F241" s="62" t="n"/>
      <c r="G241" s="69" t="n"/>
      <c r="H241" s="62" t="n"/>
      <c r="I241" s="65">
        <f>IF(B241="","",SUMIFS(ar_Amount,ar_Party,B241,ar_Posted,1,ar_Date,"&lt;="&amp;AsOf))</f>
        <v/>
      </c>
      <c r="J241" s="65">
        <f>IF(B241="","",SUMIFS(ar_Paid,ar_Party,B241))</f>
        <v/>
      </c>
      <c r="K241" s="65">
        <f>IF(B241="","",SUMIFS(ar_Balance,ar_Party,B241))</f>
        <v/>
      </c>
      <c r="L241" s="65">
        <f>IF(B241="","",SUMIFS(ar_Balance,ar_Party,B241,ar_Status,"Overdue"))</f>
        <v/>
      </c>
      <c r="M241" s="66">
        <f>IF(B241="","",IF(COUNTIF(cust_Name,B241)&gt;1,"⚠ Duplicate name","✓ OK"))</f>
        <v/>
      </c>
      <c r="N241" s="67">
        <f>IF(AND(B241&lt;&gt;"",N(K241)&gt;0),K241+235/1000000,"")</f>
        <v/>
      </c>
    </row>
    <row r="242">
      <c r="B242" s="62" t="n"/>
      <c r="C242" s="62" t="n"/>
      <c r="D242" s="62" t="n"/>
      <c r="E242" s="62" t="n"/>
      <c r="F242" s="62" t="n"/>
      <c r="G242" s="69" t="n"/>
      <c r="H242" s="62" t="n"/>
      <c r="I242" s="65">
        <f>IF(B242="","",SUMIFS(ar_Amount,ar_Party,B242,ar_Posted,1,ar_Date,"&lt;="&amp;AsOf))</f>
        <v/>
      </c>
      <c r="J242" s="65">
        <f>IF(B242="","",SUMIFS(ar_Paid,ar_Party,B242))</f>
        <v/>
      </c>
      <c r="K242" s="65">
        <f>IF(B242="","",SUMIFS(ar_Balance,ar_Party,B242))</f>
        <v/>
      </c>
      <c r="L242" s="65">
        <f>IF(B242="","",SUMIFS(ar_Balance,ar_Party,B242,ar_Status,"Overdue"))</f>
        <v/>
      </c>
      <c r="M242" s="66">
        <f>IF(B242="","",IF(COUNTIF(cust_Name,B242)&gt;1,"⚠ Duplicate name","✓ OK"))</f>
        <v/>
      </c>
      <c r="N242" s="67">
        <f>IF(AND(B242&lt;&gt;"",N(K242)&gt;0),K242+236/1000000,"")</f>
        <v/>
      </c>
    </row>
    <row r="243">
      <c r="B243" s="62" t="n"/>
      <c r="C243" s="62" t="n"/>
      <c r="D243" s="62" t="n"/>
      <c r="E243" s="62" t="n"/>
      <c r="F243" s="62" t="n"/>
      <c r="G243" s="69" t="n"/>
      <c r="H243" s="62" t="n"/>
      <c r="I243" s="65">
        <f>IF(B243="","",SUMIFS(ar_Amount,ar_Party,B243,ar_Posted,1,ar_Date,"&lt;="&amp;AsOf))</f>
        <v/>
      </c>
      <c r="J243" s="65">
        <f>IF(B243="","",SUMIFS(ar_Paid,ar_Party,B243))</f>
        <v/>
      </c>
      <c r="K243" s="65">
        <f>IF(B243="","",SUMIFS(ar_Balance,ar_Party,B243))</f>
        <v/>
      </c>
      <c r="L243" s="65">
        <f>IF(B243="","",SUMIFS(ar_Balance,ar_Party,B243,ar_Status,"Overdue"))</f>
        <v/>
      </c>
      <c r="M243" s="66">
        <f>IF(B243="","",IF(COUNTIF(cust_Name,B243)&gt;1,"⚠ Duplicate name","✓ OK"))</f>
        <v/>
      </c>
      <c r="N243" s="67">
        <f>IF(AND(B243&lt;&gt;"",N(K243)&gt;0),K243+237/1000000,"")</f>
        <v/>
      </c>
    </row>
    <row r="244">
      <c r="B244" s="62" t="n"/>
      <c r="C244" s="62" t="n"/>
      <c r="D244" s="62" t="n"/>
      <c r="E244" s="62" t="n"/>
      <c r="F244" s="62" t="n"/>
      <c r="G244" s="69" t="n"/>
      <c r="H244" s="62" t="n"/>
      <c r="I244" s="65">
        <f>IF(B244="","",SUMIFS(ar_Amount,ar_Party,B244,ar_Posted,1,ar_Date,"&lt;="&amp;AsOf))</f>
        <v/>
      </c>
      <c r="J244" s="65">
        <f>IF(B244="","",SUMIFS(ar_Paid,ar_Party,B244))</f>
        <v/>
      </c>
      <c r="K244" s="65">
        <f>IF(B244="","",SUMIFS(ar_Balance,ar_Party,B244))</f>
        <v/>
      </c>
      <c r="L244" s="65">
        <f>IF(B244="","",SUMIFS(ar_Balance,ar_Party,B244,ar_Status,"Overdue"))</f>
        <v/>
      </c>
      <c r="M244" s="66">
        <f>IF(B244="","",IF(COUNTIF(cust_Name,B244)&gt;1,"⚠ Duplicate name","✓ OK"))</f>
        <v/>
      </c>
      <c r="N244" s="67">
        <f>IF(AND(B244&lt;&gt;"",N(K244)&gt;0),K244+238/1000000,"")</f>
        <v/>
      </c>
    </row>
    <row r="245">
      <c r="B245" s="62" t="n"/>
      <c r="C245" s="62" t="n"/>
      <c r="D245" s="62" t="n"/>
      <c r="E245" s="62" t="n"/>
      <c r="F245" s="62" t="n"/>
      <c r="G245" s="69" t="n"/>
      <c r="H245" s="62" t="n"/>
      <c r="I245" s="65">
        <f>IF(B245="","",SUMIFS(ar_Amount,ar_Party,B245,ar_Posted,1,ar_Date,"&lt;="&amp;AsOf))</f>
        <v/>
      </c>
      <c r="J245" s="65">
        <f>IF(B245="","",SUMIFS(ar_Paid,ar_Party,B245))</f>
        <v/>
      </c>
      <c r="K245" s="65">
        <f>IF(B245="","",SUMIFS(ar_Balance,ar_Party,B245))</f>
        <v/>
      </c>
      <c r="L245" s="65">
        <f>IF(B245="","",SUMIFS(ar_Balance,ar_Party,B245,ar_Status,"Overdue"))</f>
        <v/>
      </c>
      <c r="M245" s="66">
        <f>IF(B245="","",IF(COUNTIF(cust_Name,B245)&gt;1,"⚠ Duplicate name","✓ OK"))</f>
        <v/>
      </c>
      <c r="N245" s="67">
        <f>IF(AND(B245&lt;&gt;"",N(K245)&gt;0),K245+239/1000000,"")</f>
        <v/>
      </c>
    </row>
    <row r="246">
      <c r="B246" s="62" t="n"/>
      <c r="C246" s="62" t="n"/>
      <c r="D246" s="62" t="n"/>
      <c r="E246" s="62" t="n"/>
      <c r="F246" s="62" t="n"/>
      <c r="G246" s="69" t="n"/>
      <c r="H246" s="62" t="n"/>
      <c r="I246" s="65">
        <f>IF(B246="","",SUMIFS(ar_Amount,ar_Party,B246,ar_Posted,1,ar_Date,"&lt;="&amp;AsOf))</f>
        <v/>
      </c>
      <c r="J246" s="65">
        <f>IF(B246="","",SUMIFS(ar_Paid,ar_Party,B246))</f>
        <v/>
      </c>
      <c r="K246" s="65">
        <f>IF(B246="","",SUMIFS(ar_Balance,ar_Party,B246))</f>
        <v/>
      </c>
      <c r="L246" s="65">
        <f>IF(B246="","",SUMIFS(ar_Balance,ar_Party,B246,ar_Status,"Overdue"))</f>
        <v/>
      </c>
      <c r="M246" s="66">
        <f>IF(B246="","",IF(COUNTIF(cust_Name,B246)&gt;1,"⚠ Duplicate name","✓ OK"))</f>
        <v/>
      </c>
      <c r="N246" s="67">
        <f>IF(AND(B246&lt;&gt;"",N(K246)&gt;0),K246+240/1000000,"")</f>
        <v/>
      </c>
    </row>
    <row r="247">
      <c r="B247" s="62" t="n"/>
      <c r="C247" s="62" t="n"/>
      <c r="D247" s="62" t="n"/>
      <c r="E247" s="62" t="n"/>
      <c r="F247" s="62" t="n"/>
      <c r="G247" s="69" t="n"/>
      <c r="H247" s="62" t="n"/>
      <c r="I247" s="65">
        <f>IF(B247="","",SUMIFS(ar_Amount,ar_Party,B247,ar_Posted,1,ar_Date,"&lt;="&amp;AsOf))</f>
        <v/>
      </c>
      <c r="J247" s="65">
        <f>IF(B247="","",SUMIFS(ar_Paid,ar_Party,B247))</f>
        <v/>
      </c>
      <c r="K247" s="65">
        <f>IF(B247="","",SUMIFS(ar_Balance,ar_Party,B247))</f>
        <v/>
      </c>
      <c r="L247" s="65">
        <f>IF(B247="","",SUMIFS(ar_Balance,ar_Party,B247,ar_Status,"Overdue"))</f>
        <v/>
      </c>
      <c r="M247" s="66">
        <f>IF(B247="","",IF(COUNTIF(cust_Name,B247)&gt;1,"⚠ Duplicate name","✓ OK"))</f>
        <v/>
      </c>
      <c r="N247" s="67">
        <f>IF(AND(B247&lt;&gt;"",N(K247)&gt;0),K247+241/1000000,"")</f>
        <v/>
      </c>
    </row>
    <row r="248">
      <c r="B248" s="62" t="n"/>
      <c r="C248" s="62" t="n"/>
      <c r="D248" s="62" t="n"/>
      <c r="E248" s="62" t="n"/>
      <c r="F248" s="62" t="n"/>
      <c r="G248" s="69" t="n"/>
      <c r="H248" s="62" t="n"/>
      <c r="I248" s="65">
        <f>IF(B248="","",SUMIFS(ar_Amount,ar_Party,B248,ar_Posted,1,ar_Date,"&lt;="&amp;AsOf))</f>
        <v/>
      </c>
      <c r="J248" s="65">
        <f>IF(B248="","",SUMIFS(ar_Paid,ar_Party,B248))</f>
        <v/>
      </c>
      <c r="K248" s="65">
        <f>IF(B248="","",SUMIFS(ar_Balance,ar_Party,B248))</f>
        <v/>
      </c>
      <c r="L248" s="65">
        <f>IF(B248="","",SUMIFS(ar_Balance,ar_Party,B248,ar_Status,"Overdue"))</f>
        <v/>
      </c>
      <c r="M248" s="66">
        <f>IF(B248="","",IF(COUNTIF(cust_Name,B248)&gt;1,"⚠ Duplicate name","✓ OK"))</f>
        <v/>
      </c>
      <c r="N248" s="67">
        <f>IF(AND(B248&lt;&gt;"",N(K248)&gt;0),K248+242/1000000,"")</f>
        <v/>
      </c>
    </row>
    <row r="249">
      <c r="B249" s="62" t="n"/>
      <c r="C249" s="62" t="n"/>
      <c r="D249" s="62" t="n"/>
      <c r="E249" s="62" t="n"/>
      <c r="F249" s="62" t="n"/>
      <c r="G249" s="69" t="n"/>
      <c r="H249" s="62" t="n"/>
      <c r="I249" s="65">
        <f>IF(B249="","",SUMIFS(ar_Amount,ar_Party,B249,ar_Posted,1,ar_Date,"&lt;="&amp;AsOf))</f>
        <v/>
      </c>
      <c r="J249" s="65">
        <f>IF(B249="","",SUMIFS(ar_Paid,ar_Party,B249))</f>
        <v/>
      </c>
      <c r="K249" s="65">
        <f>IF(B249="","",SUMIFS(ar_Balance,ar_Party,B249))</f>
        <v/>
      </c>
      <c r="L249" s="65">
        <f>IF(B249="","",SUMIFS(ar_Balance,ar_Party,B249,ar_Status,"Overdue"))</f>
        <v/>
      </c>
      <c r="M249" s="66">
        <f>IF(B249="","",IF(COUNTIF(cust_Name,B249)&gt;1,"⚠ Duplicate name","✓ OK"))</f>
        <v/>
      </c>
      <c r="N249" s="67">
        <f>IF(AND(B249&lt;&gt;"",N(K249)&gt;0),K249+243/1000000,"")</f>
        <v/>
      </c>
    </row>
    <row r="250">
      <c r="B250" s="62" t="n"/>
      <c r="C250" s="62" t="n"/>
      <c r="D250" s="62" t="n"/>
      <c r="E250" s="62" t="n"/>
      <c r="F250" s="62" t="n"/>
      <c r="G250" s="69" t="n"/>
      <c r="H250" s="62" t="n"/>
      <c r="I250" s="65">
        <f>IF(B250="","",SUMIFS(ar_Amount,ar_Party,B250,ar_Posted,1,ar_Date,"&lt;="&amp;AsOf))</f>
        <v/>
      </c>
      <c r="J250" s="65">
        <f>IF(B250="","",SUMIFS(ar_Paid,ar_Party,B250))</f>
        <v/>
      </c>
      <c r="K250" s="65">
        <f>IF(B250="","",SUMIFS(ar_Balance,ar_Party,B250))</f>
        <v/>
      </c>
      <c r="L250" s="65">
        <f>IF(B250="","",SUMIFS(ar_Balance,ar_Party,B250,ar_Status,"Overdue"))</f>
        <v/>
      </c>
      <c r="M250" s="66">
        <f>IF(B250="","",IF(COUNTIF(cust_Name,B250)&gt;1,"⚠ Duplicate name","✓ OK"))</f>
        <v/>
      </c>
      <c r="N250" s="67">
        <f>IF(AND(B250&lt;&gt;"",N(K250)&gt;0),K250+244/1000000,"")</f>
        <v/>
      </c>
    </row>
    <row r="251">
      <c r="B251" s="62" t="n"/>
      <c r="C251" s="62" t="n"/>
      <c r="D251" s="62" t="n"/>
      <c r="E251" s="62" t="n"/>
      <c r="F251" s="62" t="n"/>
      <c r="G251" s="69" t="n"/>
      <c r="H251" s="62" t="n"/>
      <c r="I251" s="65">
        <f>IF(B251="","",SUMIFS(ar_Amount,ar_Party,B251,ar_Posted,1,ar_Date,"&lt;="&amp;AsOf))</f>
        <v/>
      </c>
      <c r="J251" s="65">
        <f>IF(B251="","",SUMIFS(ar_Paid,ar_Party,B251))</f>
        <v/>
      </c>
      <c r="K251" s="65">
        <f>IF(B251="","",SUMIFS(ar_Balance,ar_Party,B251))</f>
        <v/>
      </c>
      <c r="L251" s="65">
        <f>IF(B251="","",SUMIFS(ar_Balance,ar_Party,B251,ar_Status,"Overdue"))</f>
        <v/>
      </c>
      <c r="M251" s="66">
        <f>IF(B251="","",IF(COUNTIF(cust_Name,B251)&gt;1,"⚠ Duplicate name","✓ OK"))</f>
        <v/>
      </c>
      <c r="N251" s="67">
        <f>IF(AND(B251&lt;&gt;"",N(K251)&gt;0),K251+245/1000000,"")</f>
        <v/>
      </c>
    </row>
    <row r="252">
      <c r="B252" s="62" t="n"/>
      <c r="C252" s="62" t="n"/>
      <c r="D252" s="62" t="n"/>
      <c r="E252" s="62" t="n"/>
      <c r="F252" s="62" t="n"/>
      <c r="G252" s="69" t="n"/>
      <c r="H252" s="62" t="n"/>
      <c r="I252" s="65">
        <f>IF(B252="","",SUMIFS(ar_Amount,ar_Party,B252,ar_Posted,1,ar_Date,"&lt;="&amp;AsOf))</f>
        <v/>
      </c>
      <c r="J252" s="65">
        <f>IF(B252="","",SUMIFS(ar_Paid,ar_Party,B252))</f>
        <v/>
      </c>
      <c r="K252" s="65">
        <f>IF(B252="","",SUMIFS(ar_Balance,ar_Party,B252))</f>
        <v/>
      </c>
      <c r="L252" s="65">
        <f>IF(B252="","",SUMIFS(ar_Balance,ar_Party,B252,ar_Status,"Overdue"))</f>
        <v/>
      </c>
      <c r="M252" s="66">
        <f>IF(B252="","",IF(COUNTIF(cust_Name,B252)&gt;1,"⚠ Duplicate name","✓ OK"))</f>
        <v/>
      </c>
      <c r="N252" s="67">
        <f>IF(AND(B252&lt;&gt;"",N(K252)&gt;0),K252+246/1000000,"")</f>
        <v/>
      </c>
    </row>
    <row r="253">
      <c r="B253" s="62" t="n"/>
      <c r="C253" s="62" t="n"/>
      <c r="D253" s="62" t="n"/>
      <c r="E253" s="62" t="n"/>
      <c r="F253" s="62" t="n"/>
      <c r="G253" s="69" t="n"/>
      <c r="H253" s="62" t="n"/>
      <c r="I253" s="65">
        <f>IF(B253="","",SUMIFS(ar_Amount,ar_Party,B253,ar_Posted,1,ar_Date,"&lt;="&amp;AsOf))</f>
        <v/>
      </c>
      <c r="J253" s="65">
        <f>IF(B253="","",SUMIFS(ar_Paid,ar_Party,B253))</f>
        <v/>
      </c>
      <c r="K253" s="65">
        <f>IF(B253="","",SUMIFS(ar_Balance,ar_Party,B253))</f>
        <v/>
      </c>
      <c r="L253" s="65">
        <f>IF(B253="","",SUMIFS(ar_Balance,ar_Party,B253,ar_Status,"Overdue"))</f>
        <v/>
      </c>
      <c r="M253" s="66">
        <f>IF(B253="","",IF(COUNTIF(cust_Name,B253)&gt;1,"⚠ Duplicate name","✓ OK"))</f>
        <v/>
      </c>
      <c r="N253" s="67">
        <f>IF(AND(B253&lt;&gt;"",N(K253)&gt;0),K253+247/1000000,"")</f>
        <v/>
      </c>
    </row>
    <row r="254">
      <c r="B254" s="62" t="n"/>
      <c r="C254" s="62" t="n"/>
      <c r="D254" s="62" t="n"/>
      <c r="E254" s="62" t="n"/>
      <c r="F254" s="62" t="n"/>
      <c r="G254" s="69" t="n"/>
      <c r="H254" s="62" t="n"/>
      <c r="I254" s="65">
        <f>IF(B254="","",SUMIFS(ar_Amount,ar_Party,B254,ar_Posted,1,ar_Date,"&lt;="&amp;AsOf))</f>
        <v/>
      </c>
      <c r="J254" s="65">
        <f>IF(B254="","",SUMIFS(ar_Paid,ar_Party,B254))</f>
        <v/>
      </c>
      <c r="K254" s="65">
        <f>IF(B254="","",SUMIFS(ar_Balance,ar_Party,B254))</f>
        <v/>
      </c>
      <c r="L254" s="65">
        <f>IF(B254="","",SUMIFS(ar_Balance,ar_Party,B254,ar_Status,"Overdue"))</f>
        <v/>
      </c>
      <c r="M254" s="66">
        <f>IF(B254="","",IF(COUNTIF(cust_Name,B254)&gt;1,"⚠ Duplicate name","✓ OK"))</f>
        <v/>
      </c>
      <c r="N254" s="67">
        <f>IF(AND(B254&lt;&gt;"",N(K254)&gt;0),K254+248/1000000,"")</f>
        <v/>
      </c>
    </row>
    <row r="255">
      <c r="B255" s="62" t="n"/>
      <c r="C255" s="62" t="n"/>
      <c r="D255" s="62" t="n"/>
      <c r="E255" s="62" t="n"/>
      <c r="F255" s="62" t="n"/>
      <c r="G255" s="69" t="n"/>
      <c r="H255" s="62" t="n"/>
      <c r="I255" s="65">
        <f>IF(B255="","",SUMIFS(ar_Amount,ar_Party,B255,ar_Posted,1,ar_Date,"&lt;="&amp;AsOf))</f>
        <v/>
      </c>
      <c r="J255" s="65">
        <f>IF(B255="","",SUMIFS(ar_Paid,ar_Party,B255))</f>
        <v/>
      </c>
      <c r="K255" s="65">
        <f>IF(B255="","",SUMIFS(ar_Balance,ar_Party,B255))</f>
        <v/>
      </c>
      <c r="L255" s="65">
        <f>IF(B255="","",SUMIFS(ar_Balance,ar_Party,B255,ar_Status,"Overdue"))</f>
        <v/>
      </c>
      <c r="M255" s="66">
        <f>IF(B255="","",IF(COUNTIF(cust_Name,B255)&gt;1,"⚠ Duplicate name","✓ OK"))</f>
        <v/>
      </c>
      <c r="N255" s="67">
        <f>IF(AND(B255&lt;&gt;"",N(K255)&gt;0),K255+249/1000000,"")</f>
        <v/>
      </c>
    </row>
    <row r="256">
      <c r="B256" s="62" t="n"/>
      <c r="C256" s="62" t="n"/>
      <c r="D256" s="62" t="n"/>
      <c r="E256" s="62" t="n"/>
      <c r="F256" s="62" t="n"/>
      <c r="G256" s="69" t="n"/>
      <c r="H256" s="62" t="n"/>
      <c r="I256" s="65">
        <f>IF(B256="","",SUMIFS(ar_Amount,ar_Party,B256,ar_Posted,1,ar_Date,"&lt;="&amp;AsOf))</f>
        <v/>
      </c>
      <c r="J256" s="65">
        <f>IF(B256="","",SUMIFS(ar_Paid,ar_Party,B256))</f>
        <v/>
      </c>
      <c r="K256" s="65">
        <f>IF(B256="","",SUMIFS(ar_Balance,ar_Party,B256))</f>
        <v/>
      </c>
      <c r="L256" s="65">
        <f>IF(B256="","",SUMIFS(ar_Balance,ar_Party,B256,ar_Status,"Overdue"))</f>
        <v/>
      </c>
      <c r="M256" s="66">
        <f>IF(B256="","",IF(COUNTIF(cust_Name,B256)&gt;1,"⚠ Duplicate name","✓ OK"))</f>
        <v/>
      </c>
      <c r="N256" s="67">
        <f>IF(AND(B256&lt;&gt;"",N(K256)&gt;0),K256+250/1000000,"")</f>
        <v/>
      </c>
    </row>
    <row r="257">
      <c r="B257" s="62" t="n"/>
      <c r="C257" s="62" t="n"/>
      <c r="D257" s="62" t="n"/>
      <c r="E257" s="62" t="n"/>
      <c r="F257" s="62" t="n"/>
      <c r="G257" s="69" t="n"/>
      <c r="H257" s="62" t="n"/>
      <c r="I257" s="65">
        <f>IF(B257="","",SUMIFS(ar_Amount,ar_Party,B257,ar_Posted,1,ar_Date,"&lt;="&amp;AsOf))</f>
        <v/>
      </c>
      <c r="J257" s="65">
        <f>IF(B257="","",SUMIFS(ar_Paid,ar_Party,B257))</f>
        <v/>
      </c>
      <c r="K257" s="65">
        <f>IF(B257="","",SUMIFS(ar_Balance,ar_Party,B257))</f>
        <v/>
      </c>
      <c r="L257" s="65">
        <f>IF(B257="","",SUMIFS(ar_Balance,ar_Party,B257,ar_Status,"Overdue"))</f>
        <v/>
      </c>
      <c r="M257" s="66">
        <f>IF(B257="","",IF(COUNTIF(cust_Name,B257)&gt;1,"⚠ Duplicate name","✓ OK"))</f>
        <v/>
      </c>
      <c r="N257" s="67">
        <f>IF(AND(B257&lt;&gt;"",N(K257)&gt;0),K257+251/1000000,"")</f>
        <v/>
      </c>
    </row>
    <row r="258">
      <c r="B258" s="62" t="n"/>
      <c r="C258" s="62" t="n"/>
      <c r="D258" s="62" t="n"/>
      <c r="E258" s="62" t="n"/>
      <c r="F258" s="62" t="n"/>
      <c r="G258" s="69" t="n"/>
      <c r="H258" s="62" t="n"/>
      <c r="I258" s="65">
        <f>IF(B258="","",SUMIFS(ar_Amount,ar_Party,B258,ar_Posted,1,ar_Date,"&lt;="&amp;AsOf))</f>
        <v/>
      </c>
      <c r="J258" s="65">
        <f>IF(B258="","",SUMIFS(ar_Paid,ar_Party,B258))</f>
        <v/>
      </c>
      <c r="K258" s="65">
        <f>IF(B258="","",SUMIFS(ar_Balance,ar_Party,B258))</f>
        <v/>
      </c>
      <c r="L258" s="65">
        <f>IF(B258="","",SUMIFS(ar_Balance,ar_Party,B258,ar_Status,"Overdue"))</f>
        <v/>
      </c>
      <c r="M258" s="66">
        <f>IF(B258="","",IF(COUNTIF(cust_Name,B258)&gt;1,"⚠ Duplicate name","✓ OK"))</f>
        <v/>
      </c>
      <c r="N258" s="67">
        <f>IF(AND(B258&lt;&gt;"",N(K258)&gt;0),K258+252/1000000,"")</f>
        <v/>
      </c>
    </row>
    <row r="259">
      <c r="B259" s="62" t="n"/>
      <c r="C259" s="62" t="n"/>
      <c r="D259" s="62" t="n"/>
      <c r="E259" s="62" t="n"/>
      <c r="F259" s="62" t="n"/>
      <c r="G259" s="69" t="n"/>
      <c r="H259" s="62" t="n"/>
      <c r="I259" s="65">
        <f>IF(B259="","",SUMIFS(ar_Amount,ar_Party,B259,ar_Posted,1,ar_Date,"&lt;="&amp;AsOf))</f>
        <v/>
      </c>
      <c r="J259" s="65">
        <f>IF(B259="","",SUMIFS(ar_Paid,ar_Party,B259))</f>
        <v/>
      </c>
      <c r="K259" s="65">
        <f>IF(B259="","",SUMIFS(ar_Balance,ar_Party,B259))</f>
        <v/>
      </c>
      <c r="L259" s="65">
        <f>IF(B259="","",SUMIFS(ar_Balance,ar_Party,B259,ar_Status,"Overdue"))</f>
        <v/>
      </c>
      <c r="M259" s="66">
        <f>IF(B259="","",IF(COUNTIF(cust_Name,B259)&gt;1,"⚠ Duplicate name","✓ OK"))</f>
        <v/>
      </c>
      <c r="N259" s="67">
        <f>IF(AND(B259&lt;&gt;"",N(K259)&gt;0),K259+253/1000000,"")</f>
        <v/>
      </c>
    </row>
    <row r="260">
      <c r="B260" s="62" t="n"/>
      <c r="C260" s="62" t="n"/>
      <c r="D260" s="62" t="n"/>
      <c r="E260" s="62" t="n"/>
      <c r="F260" s="62" t="n"/>
      <c r="G260" s="69" t="n"/>
      <c r="H260" s="62" t="n"/>
      <c r="I260" s="65">
        <f>IF(B260="","",SUMIFS(ar_Amount,ar_Party,B260,ar_Posted,1,ar_Date,"&lt;="&amp;AsOf))</f>
        <v/>
      </c>
      <c r="J260" s="65">
        <f>IF(B260="","",SUMIFS(ar_Paid,ar_Party,B260))</f>
        <v/>
      </c>
      <c r="K260" s="65">
        <f>IF(B260="","",SUMIFS(ar_Balance,ar_Party,B260))</f>
        <v/>
      </c>
      <c r="L260" s="65">
        <f>IF(B260="","",SUMIFS(ar_Balance,ar_Party,B260,ar_Status,"Overdue"))</f>
        <v/>
      </c>
      <c r="M260" s="66">
        <f>IF(B260="","",IF(COUNTIF(cust_Name,B260)&gt;1,"⚠ Duplicate name","✓ OK"))</f>
        <v/>
      </c>
      <c r="N260" s="67">
        <f>IF(AND(B260&lt;&gt;"",N(K260)&gt;0),K260+254/1000000,"")</f>
        <v/>
      </c>
    </row>
    <row r="261">
      <c r="B261" s="62" t="n"/>
      <c r="C261" s="62" t="n"/>
      <c r="D261" s="62" t="n"/>
      <c r="E261" s="62" t="n"/>
      <c r="F261" s="62" t="n"/>
      <c r="G261" s="69" t="n"/>
      <c r="H261" s="62" t="n"/>
      <c r="I261" s="65">
        <f>IF(B261="","",SUMIFS(ar_Amount,ar_Party,B261,ar_Posted,1,ar_Date,"&lt;="&amp;AsOf))</f>
        <v/>
      </c>
      <c r="J261" s="65">
        <f>IF(B261="","",SUMIFS(ar_Paid,ar_Party,B261))</f>
        <v/>
      </c>
      <c r="K261" s="65">
        <f>IF(B261="","",SUMIFS(ar_Balance,ar_Party,B261))</f>
        <v/>
      </c>
      <c r="L261" s="65">
        <f>IF(B261="","",SUMIFS(ar_Balance,ar_Party,B261,ar_Status,"Overdue"))</f>
        <v/>
      </c>
      <c r="M261" s="66">
        <f>IF(B261="","",IF(COUNTIF(cust_Name,B261)&gt;1,"⚠ Duplicate name","✓ OK"))</f>
        <v/>
      </c>
      <c r="N261" s="67">
        <f>IF(AND(B261&lt;&gt;"",N(K261)&gt;0),K261+255/1000000,"")</f>
        <v/>
      </c>
    </row>
    <row r="262">
      <c r="B262" s="62" t="n"/>
      <c r="C262" s="62" t="n"/>
      <c r="D262" s="62" t="n"/>
      <c r="E262" s="62" t="n"/>
      <c r="F262" s="62" t="n"/>
      <c r="G262" s="69" t="n"/>
      <c r="H262" s="62" t="n"/>
      <c r="I262" s="65">
        <f>IF(B262="","",SUMIFS(ar_Amount,ar_Party,B262,ar_Posted,1,ar_Date,"&lt;="&amp;AsOf))</f>
        <v/>
      </c>
      <c r="J262" s="65">
        <f>IF(B262="","",SUMIFS(ar_Paid,ar_Party,B262))</f>
        <v/>
      </c>
      <c r="K262" s="65">
        <f>IF(B262="","",SUMIFS(ar_Balance,ar_Party,B262))</f>
        <v/>
      </c>
      <c r="L262" s="65">
        <f>IF(B262="","",SUMIFS(ar_Balance,ar_Party,B262,ar_Status,"Overdue"))</f>
        <v/>
      </c>
      <c r="M262" s="66">
        <f>IF(B262="","",IF(COUNTIF(cust_Name,B262)&gt;1,"⚠ Duplicate name","✓ OK"))</f>
        <v/>
      </c>
      <c r="N262" s="67">
        <f>IF(AND(B262&lt;&gt;"",N(K262)&gt;0),K262+256/1000000,"")</f>
        <v/>
      </c>
    </row>
    <row r="263">
      <c r="B263" s="62" t="n"/>
      <c r="C263" s="62" t="n"/>
      <c r="D263" s="62" t="n"/>
      <c r="E263" s="62" t="n"/>
      <c r="F263" s="62" t="n"/>
      <c r="G263" s="69" t="n"/>
      <c r="H263" s="62" t="n"/>
      <c r="I263" s="65">
        <f>IF(B263="","",SUMIFS(ar_Amount,ar_Party,B263,ar_Posted,1,ar_Date,"&lt;="&amp;AsOf))</f>
        <v/>
      </c>
      <c r="J263" s="65">
        <f>IF(B263="","",SUMIFS(ar_Paid,ar_Party,B263))</f>
        <v/>
      </c>
      <c r="K263" s="65">
        <f>IF(B263="","",SUMIFS(ar_Balance,ar_Party,B263))</f>
        <v/>
      </c>
      <c r="L263" s="65">
        <f>IF(B263="","",SUMIFS(ar_Balance,ar_Party,B263,ar_Status,"Overdue"))</f>
        <v/>
      </c>
      <c r="M263" s="66">
        <f>IF(B263="","",IF(COUNTIF(cust_Name,B263)&gt;1,"⚠ Duplicate name","✓ OK"))</f>
        <v/>
      </c>
      <c r="N263" s="67">
        <f>IF(AND(B263&lt;&gt;"",N(K263)&gt;0),K263+257/1000000,"")</f>
        <v/>
      </c>
    </row>
    <row r="264">
      <c r="B264" s="62" t="n"/>
      <c r="C264" s="62" t="n"/>
      <c r="D264" s="62" t="n"/>
      <c r="E264" s="62" t="n"/>
      <c r="F264" s="62" t="n"/>
      <c r="G264" s="69" t="n"/>
      <c r="H264" s="62" t="n"/>
      <c r="I264" s="65">
        <f>IF(B264="","",SUMIFS(ar_Amount,ar_Party,B264,ar_Posted,1,ar_Date,"&lt;="&amp;AsOf))</f>
        <v/>
      </c>
      <c r="J264" s="65">
        <f>IF(B264="","",SUMIFS(ar_Paid,ar_Party,B264))</f>
        <v/>
      </c>
      <c r="K264" s="65">
        <f>IF(B264="","",SUMIFS(ar_Balance,ar_Party,B264))</f>
        <v/>
      </c>
      <c r="L264" s="65">
        <f>IF(B264="","",SUMIFS(ar_Balance,ar_Party,B264,ar_Status,"Overdue"))</f>
        <v/>
      </c>
      <c r="M264" s="66">
        <f>IF(B264="","",IF(COUNTIF(cust_Name,B264)&gt;1,"⚠ Duplicate name","✓ OK"))</f>
        <v/>
      </c>
      <c r="N264" s="67">
        <f>IF(AND(B264&lt;&gt;"",N(K264)&gt;0),K264+258/1000000,"")</f>
        <v/>
      </c>
    </row>
    <row r="265">
      <c r="B265" s="62" t="n"/>
      <c r="C265" s="62" t="n"/>
      <c r="D265" s="62" t="n"/>
      <c r="E265" s="62" t="n"/>
      <c r="F265" s="62" t="n"/>
      <c r="G265" s="69" t="n"/>
      <c r="H265" s="62" t="n"/>
      <c r="I265" s="65">
        <f>IF(B265="","",SUMIFS(ar_Amount,ar_Party,B265,ar_Posted,1,ar_Date,"&lt;="&amp;AsOf))</f>
        <v/>
      </c>
      <c r="J265" s="65">
        <f>IF(B265="","",SUMIFS(ar_Paid,ar_Party,B265))</f>
        <v/>
      </c>
      <c r="K265" s="65">
        <f>IF(B265="","",SUMIFS(ar_Balance,ar_Party,B265))</f>
        <v/>
      </c>
      <c r="L265" s="65">
        <f>IF(B265="","",SUMIFS(ar_Balance,ar_Party,B265,ar_Status,"Overdue"))</f>
        <v/>
      </c>
      <c r="M265" s="66">
        <f>IF(B265="","",IF(COUNTIF(cust_Name,B265)&gt;1,"⚠ Duplicate name","✓ OK"))</f>
        <v/>
      </c>
      <c r="N265" s="67">
        <f>IF(AND(B265&lt;&gt;"",N(K265)&gt;0),K265+259/1000000,"")</f>
        <v/>
      </c>
    </row>
    <row r="266">
      <c r="B266" s="62" t="n"/>
      <c r="C266" s="62" t="n"/>
      <c r="D266" s="62" t="n"/>
      <c r="E266" s="62" t="n"/>
      <c r="F266" s="62" t="n"/>
      <c r="G266" s="69" t="n"/>
      <c r="H266" s="62" t="n"/>
      <c r="I266" s="65">
        <f>IF(B266="","",SUMIFS(ar_Amount,ar_Party,B266,ar_Posted,1,ar_Date,"&lt;="&amp;AsOf))</f>
        <v/>
      </c>
      <c r="J266" s="65">
        <f>IF(B266="","",SUMIFS(ar_Paid,ar_Party,B266))</f>
        <v/>
      </c>
      <c r="K266" s="65">
        <f>IF(B266="","",SUMIFS(ar_Balance,ar_Party,B266))</f>
        <v/>
      </c>
      <c r="L266" s="65">
        <f>IF(B266="","",SUMIFS(ar_Balance,ar_Party,B266,ar_Status,"Overdue"))</f>
        <v/>
      </c>
      <c r="M266" s="66">
        <f>IF(B266="","",IF(COUNTIF(cust_Name,B266)&gt;1,"⚠ Duplicate name","✓ OK"))</f>
        <v/>
      </c>
      <c r="N266" s="67">
        <f>IF(AND(B266&lt;&gt;"",N(K266)&gt;0),K266+260/1000000,"")</f>
        <v/>
      </c>
    </row>
    <row r="267">
      <c r="B267" s="62" t="n"/>
      <c r="C267" s="62" t="n"/>
      <c r="D267" s="62" t="n"/>
      <c r="E267" s="62" t="n"/>
      <c r="F267" s="62" t="n"/>
      <c r="G267" s="69" t="n"/>
      <c r="H267" s="62" t="n"/>
      <c r="I267" s="65">
        <f>IF(B267="","",SUMIFS(ar_Amount,ar_Party,B267,ar_Posted,1,ar_Date,"&lt;="&amp;AsOf))</f>
        <v/>
      </c>
      <c r="J267" s="65">
        <f>IF(B267="","",SUMIFS(ar_Paid,ar_Party,B267))</f>
        <v/>
      </c>
      <c r="K267" s="65">
        <f>IF(B267="","",SUMIFS(ar_Balance,ar_Party,B267))</f>
        <v/>
      </c>
      <c r="L267" s="65">
        <f>IF(B267="","",SUMIFS(ar_Balance,ar_Party,B267,ar_Status,"Overdue"))</f>
        <v/>
      </c>
      <c r="M267" s="66">
        <f>IF(B267="","",IF(COUNTIF(cust_Name,B267)&gt;1,"⚠ Duplicate name","✓ OK"))</f>
        <v/>
      </c>
      <c r="N267" s="67">
        <f>IF(AND(B267&lt;&gt;"",N(K267)&gt;0),K267+261/1000000,"")</f>
        <v/>
      </c>
    </row>
    <row r="268">
      <c r="B268" s="62" t="n"/>
      <c r="C268" s="62" t="n"/>
      <c r="D268" s="62" t="n"/>
      <c r="E268" s="62" t="n"/>
      <c r="F268" s="62" t="n"/>
      <c r="G268" s="69" t="n"/>
      <c r="H268" s="62" t="n"/>
      <c r="I268" s="65">
        <f>IF(B268="","",SUMIFS(ar_Amount,ar_Party,B268,ar_Posted,1,ar_Date,"&lt;="&amp;AsOf))</f>
        <v/>
      </c>
      <c r="J268" s="65">
        <f>IF(B268="","",SUMIFS(ar_Paid,ar_Party,B268))</f>
        <v/>
      </c>
      <c r="K268" s="65">
        <f>IF(B268="","",SUMIFS(ar_Balance,ar_Party,B268))</f>
        <v/>
      </c>
      <c r="L268" s="65">
        <f>IF(B268="","",SUMIFS(ar_Balance,ar_Party,B268,ar_Status,"Overdue"))</f>
        <v/>
      </c>
      <c r="M268" s="66">
        <f>IF(B268="","",IF(COUNTIF(cust_Name,B268)&gt;1,"⚠ Duplicate name","✓ OK"))</f>
        <v/>
      </c>
      <c r="N268" s="67">
        <f>IF(AND(B268&lt;&gt;"",N(K268)&gt;0),K268+262/1000000,"")</f>
        <v/>
      </c>
    </row>
    <row r="269">
      <c r="B269" s="62" t="n"/>
      <c r="C269" s="62" t="n"/>
      <c r="D269" s="62" t="n"/>
      <c r="E269" s="62" t="n"/>
      <c r="F269" s="62" t="n"/>
      <c r="G269" s="69" t="n"/>
      <c r="H269" s="62" t="n"/>
      <c r="I269" s="65">
        <f>IF(B269="","",SUMIFS(ar_Amount,ar_Party,B269,ar_Posted,1,ar_Date,"&lt;="&amp;AsOf))</f>
        <v/>
      </c>
      <c r="J269" s="65">
        <f>IF(B269="","",SUMIFS(ar_Paid,ar_Party,B269))</f>
        <v/>
      </c>
      <c r="K269" s="65">
        <f>IF(B269="","",SUMIFS(ar_Balance,ar_Party,B269))</f>
        <v/>
      </c>
      <c r="L269" s="65">
        <f>IF(B269="","",SUMIFS(ar_Balance,ar_Party,B269,ar_Status,"Overdue"))</f>
        <v/>
      </c>
      <c r="M269" s="66">
        <f>IF(B269="","",IF(COUNTIF(cust_Name,B269)&gt;1,"⚠ Duplicate name","✓ OK"))</f>
        <v/>
      </c>
      <c r="N269" s="67">
        <f>IF(AND(B269&lt;&gt;"",N(K269)&gt;0),K269+263/1000000,"")</f>
        <v/>
      </c>
    </row>
    <row r="270">
      <c r="B270" s="62" t="n"/>
      <c r="C270" s="62" t="n"/>
      <c r="D270" s="62" t="n"/>
      <c r="E270" s="62" t="n"/>
      <c r="F270" s="62" t="n"/>
      <c r="G270" s="69" t="n"/>
      <c r="H270" s="62" t="n"/>
      <c r="I270" s="65">
        <f>IF(B270="","",SUMIFS(ar_Amount,ar_Party,B270,ar_Posted,1,ar_Date,"&lt;="&amp;AsOf))</f>
        <v/>
      </c>
      <c r="J270" s="65">
        <f>IF(B270="","",SUMIFS(ar_Paid,ar_Party,B270))</f>
        <v/>
      </c>
      <c r="K270" s="65">
        <f>IF(B270="","",SUMIFS(ar_Balance,ar_Party,B270))</f>
        <v/>
      </c>
      <c r="L270" s="65">
        <f>IF(B270="","",SUMIFS(ar_Balance,ar_Party,B270,ar_Status,"Overdue"))</f>
        <v/>
      </c>
      <c r="M270" s="66">
        <f>IF(B270="","",IF(COUNTIF(cust_Name,B270)&gt;1,"⚠ Duplicate name","✓ OK"))</f>
        <v/>
      </c>
      <c r="N270" s="67">
        <f>IF(AND(B270&lt;&gt;"",N(K270)&gt;0),K270+264/1000000,"")</f>
        <v/>
      </c>
    </row>
    <row r="271">
      <c r="B271" s="62" t="n"/>
      <c r="C271" s="62" t="n"/>
      <c r="D271" s="62" t="n"/>
      <c r="E271" s="62" t="n"/>
      <c r="F271" s="62" t="n"/>
      <c r="G271" s="69" t="n"/>
      <c r="H271" s="62" t="n"/>
      <c r="I271" s="65">
        <f>IF(B271="","",SUMIFS(ar_Amount,ar_Party,B271,ar_Posted,1,ar_Date,"&lt;="&amp;AsOf))</f>
        <v/>
      </c>
      <c r="J271" s="65">
        <f>IF(B271="","",SUMIFS(ar_Paid,ar_Party,B271))</f>
        <v/>
      </c>
      <c r="K271" s="65">
        <f>IF(B271="","",SUMIFS(ar_Balance,ar_Party,B271))</f>
        <v/>
      </c>
      <c r="L271" s="65">
        <f>IF(B271="","",SUMIFS(ar_Balance,ar_Party,B271,ar_Status,"Overdue"))</f>
        <v/>
      </c>
      <c r="M271" s="66">
        <f>IF(B271="","",IF(COUNTIF(cust_Name,B271)&gt;1,"⚠ Duplicate name","✓ OK"))</f>
        <v/>
      </c>
      <c r="N271" s="67">
        <f>IF(AND(B271&lt;&gt;"",N(K271)&gt;0),K271+265/1000000,"")</f>
        <v/>
      </c>
    </row>
    <row r="272">
      <c r="B272" s="62" t="n"/>
      <c r="C272" s="62" t="n"/>
      <c r="D272" s="62" t="n"/>
      <c r="E272" s="62" t="n"/>
      <c r="F272" s="62" t="n"/>
      <c r="G272" s="69" t="n"/>
      <c r="H272" s="62" t="n"/>
      <c r="I272" s="65">
        <f>IF(B272="","",SUMIFS(ar_Amount,ar_Party,B272,ar_Posted,1,ar_Date,"&lt;="&amp;AsOf))</f>
        <v/>
      </c>
      <c r="J272" s="65">
        <f>IF(B272="","",SUMIFS(ar_Paid,ar_Party,B272))</f>
        <v/>
      </c>
      <c r="K272" s="65">
        <f>IF(B272="","",SUMIFS(ar_Balance,ar_Party,B272))</f>
        <v/>
      </c>
      <c r="L272" s="65">
        <f>IF(B272="","",SUMIFS(ar_Balance,ar_Party,B272,ar_Status,"Overdue"))</f>
        <v/>
      </c>
      <c r="M272" s="66">
        <f>IF(B272="","",IF(COUNTIF(cust_Name,B272)&gt;1,"⚠ Duplicate name","✓ OK"))</f>
        <v/>
      </c>
      <c r="N272" s="67">
        <f>IF(AND(B272&lt;&gt;"",N(K272)&gt;0),K272+266/1000000,"")</f>
        <v/>
      </c>
    </row>
    <row r="273">
      <c r="B273" s="62" t="n"/>
      <c r="C273" s="62" t="n"/>
      <c r="D273" s="62" t="n"/>
      <c r="E273" s="62" t="n"/>
      <c r="F273" s="62" t="n"/>
      <c r="G273" s="69" t="n"/>
      <c r="H273" s="62" t="n"/>
      <c r="I273" s="65">
        <f>IF(B273="","",SUMIFS(ar_Amount,ar_Party,B273,ar_Posted,1,ar_Date,"&lt;="&amp;AsOf))</f>
        <v/>
      </c>
      <c r="J273" s="65">
        <f>IF(B273="","",SUMIFS(ar_Paid,ar_Party,B273))</f>
        <v/>
      </c>
      <c r="K273" s="65">
        <f>IF(B273="","",SUMIFS(ar_Balance,ar_Party,B273))</f>
        <v/>
      </c>
      <c r="L273" s="65">
        <f>IF(B273="","",SUMIFS(ar_Balance,ar_Party,B273,ar_Status,"Overdue"))</f>
        <v/>
      </c>
      <c r="M273" s="66">
        <f>IF(B273="","",IF(COUNTIF(cust_Name,B273)&gt;1,"⚠ Duplicate name","✓ OK"))</f>
        <v/>
      </c>
      <c r="N273" s="67">
        <f>IF(AND(B273&lt;&gt;"",N(K273)&gt;0),K273+267/1000000,"")</f>
        <v/>
      </c>
    </row>
    <row r="274">
      <c r="B274" s="62" t="n"/>
      <c r="C274" s="62" t="n"/>
      <c r="D274" s="62" t="n"/>
      <c r="E274" s="62" t="n"/>
      <c r="F274" s="62" t="n"/>
      <c r="G274" s="69" t="n"/>
      <c r="H274" s="62" t="n"/>
      <c r="I274" s="65">
        <f>IF(B274="","",SUMIFS(ar_Amount,ar_Party,B274,ar_Posted,1,ar_Date,"&lt;="&amp;AsOf))</f>
        <v/>
      </c>
      <c r="J274" s="65">
        <f>IF(B274="","",SUMIFS(ar_Paid,ar_Party,B274))</f>
        <v/>
      </c>
      <c r="K274" s="65">
        <f>IF(B274="","",SUMIFS(ar_Balance,ar_Party,B274))</f>
        <v/>
      </c>
      <c r="L274" s="65">
        <f>IF(B274="","",SUMIFS(ar_Balance,ar_Party,B274,ar_Status,"Overdue"))</f>
        <v/>
      </c>
      <c r="M274" s="66">
        <f>IF(B274="","",IF(COUNTIF(cust_Name,B274)&gt;1,"⚠ Duplicate name","✓ OK"))</f>
        <v/>
      </c>
      <c r="N274" s="67">
        <f>IF(AND(B274&lt;&gt;"",N(K274)&gt;0),K274+268/1000000,"")</f>
        <v/>
      </c>
    </row>
    <row r="275">
      <c r="B275" s="62" t="n"/>
      <c r="C275" s="62" t="n"/>
      <c r="D275" s="62" t="n"/>
      <c r="E275" s="62" t="n"/>
      <c r="F275" s="62" t="n"/>
      <c r="G275" s="69" t="n"/>
      <c r="H275" s="62" t="n"/>
      <c r="I275" s="65">
        <f>IF(B275="","",SUMIFS(ar_Amount,ar_Party,B275,ar_Posted,1,ar_Date,"&lt;="&amp;AsOf))</f>
        <v/>
      </c>
      <c r="J275" s="65">
        <f>IF(B275="","",SUMIFS(ar_Paid,ar_Party,B275))</f>
        <v/>
      </c>
      <c r="K275" s="65">
        <f>IF(B275="","",SUMIFS(ar_Balance,ar_Party,B275))</f>
        <v/>
      </c>
      <c r="L275" s="65">
        <f>IF(B275="","",SUMIFS(ar_Balance,ar_Party,B275,ar_Status,"Overdue"))</f>
        <v/>
      </c>
      <c r="M275" s="66">
        <f>IF(B275="","",IF(COUNTIF(cust_Name,B275)&gt;1,"⚠ Duplicate name","✓ OK"))</f>
        <v/>
      </c>
      <c r="N275" s="67">
        <f>IF(AND(B275&lt;&gt;"",N(K275)&gt;0),K275+269/1000000,"")</f>
        <v/>
      </c>
    </row>
    <row r="276">
      <c r="B276" s="62" t="n"/>
      <c r="C276" s="62" t="n"/>
      <c r="D276" s="62" t="n"/>
      <c r="E276" s="62" t="n"/>
      <c r="F276" s="62" t="n"/>
      <c r="G276" s="69" t="n"/>
      <c r="H276" s="62" t="n"/>
      <c r="I276" s="65">
        <f>IF(B276="","",SUMIFS(ar_Amount,ar_Party,B276,ar_Posted,1,ar_Date,"&lt;="&amp;AsOf))</f>
        <v/>
      </c>
      <c r="J276" s="65">
        <f>IF(B276="","",SUMIFS(ar_Paid,ar_Party,B276))</f>
        <v/>
      </c>
      <c r="K276" s="65">
        <f>IF(B276="","",SUMIFS(ar_Balance,ar_Party,B276))</f>
        <v/>
      </c>
      <c r="L276" s="65">
        <f>IF(B276="","",SUMIFS(ar_Balance,ar_Party,B276,ar_Status,"Overdue"))</f>
        <v/>
      </c>
      <c r="M276" s="66">
        <f>IF(B276="","",IF(COUNTIF(cust_Name,B276)&gt;1,"⚠ Duplicate name","✓ OK"))</f>
        <v/>
      </c>
      <c r="N276" s="67">
        <f>IF(AND(B276&lt;&gt;"",N(K276)&gt;0),K276+270/1000000,"")</f>
        <v/>
      </c>
    </row>
    <row r="277">
      <c r="B277" s="62" t="n"/>
      <c r="C277" s="62" t="n"/>
      <c r="D277" s="62" t="n"/>
      <c r="E277" s="62" t="n"/>
      <c r="F277" s="62" t="n"/>
      <c r="G277" s="69" t="n"/>
      <c r="H277" s="62" t="n"/>
      <c r="I277" s="65">
        <f>IF(B277="","",SUMIFS(ar_Amount,ar_Party,B277,ar_Posted,1,ar_Date,"&lt;="&amp;AsOf))</f>
        <v/>
      </c>
      <c r="J277" s="65">
        <f>IF(B277="","",SUMIFS(ar_Paid,ar_Party,B277))</f>
        <v/>
      </c>
      <c r="K277" s="65">
        <f>IF(B277="","",SUMIFS(ar_Balance,ar_Party,B277))</f>
        <v/>
      </c>
      <c r="L277" s="65">
        <f>IF(B277="","",SUMIFS(ar_Balance,ar_Party,B277,ar_Status,"Overdue"))</f>
        <v/>
      </c>
      <c r="M277" s="66">
        <f>IF(B277="","",IF(COUNTIF(cust_Name,B277)&gt;1,"⚠ Duplicate name","✓ OK"))</f>
        <v/>
      </c>
      <c r="N277" s="67">
        <f>IF(AND(B277&lt;&gt;"",N(K277)&gt;0),K277+271/1000000,"")</f>
        <v/>
      </c>
    </row>
    <row r="278">
      <c r="B278" s="62" t="n"/>
      <c r="C278" s="62" t="n"/>
      <c r="D278" s="62" t="n"/>
      <c r="E278" s="62" t="n"/>
      <c r="F278" s="62" t="n"/>
      <c r="G278" s="69" t="n"/>
      <c r="H278" s="62" t="n"/>
      <c r="I278" s="65">
        <f>IF(B278="","",SUMIFS(ar_Amount,ar_Party,B278,ar_Posted,1,ar_Date,"&lt;="&amp;AsOf))</f>
        <v/>
      </c>
      <c r="J278" s="65">
        <f>IF(B278="","",SUMIFS(ar_Paid,ar_Party,B278))</f>
        <v/>
      </c>
      <c r="K278" s="65">
        <f>IF(B278="","",SUMIFS(ar_Balance,ar_Party,B278))</f>
        <v/>
      </c>
      <c r="L278" s="65">
        <f>IF(B278="","",SUMIFS(ar_Balance,ar_Party,B278,ar_Status,"Overdue"))</f>
        <v/>
      </c>
      <c r="M278" s="66">
        <f>IF(B278="","",IF(COUNTIF(cust_Name,B278)&gt;1,"⚠ Duplicate name","✓ OK"))</f>
        <v/>
      </c>
      <c r="N278" s="67">
        <f>IF(AND(B278&lt;&gt;"",N(K278)&gt;0),K278+272/1000000,"")</f>
        <v/>
      </c>
    </row>
    <row r="279">
      <c r="B279" s="62" t="n"/>
      <c r="C279" s="62" t="n"/>
      <c r="D279" s="62" t="n"/>
      <c r="E279" s="62" t="n"/>
      <c r="F279" s="62" t="n"/>
      <c r="G279" s="69" t="n"/>
      <c r="H279" s="62" t="n"/>
      <c r="I279" s="65">
        <f>IF(B279="","",SUMIFS(ar_Amount,ar_Party,B279,ar_Posted,1,ar_Date,"&lt;="&amp;AsOf))</f>
        <v/>
      </c>
      <c r="J279" s="65">
        <f>IF(B279="","",SUMIFS(ar_Paid,ar_Party,B279))</f>
        <v/>
      </c>
      <c r="K279" s="65">
        <f>IF(B279="","",SUMIFS(ar_Balance,ar_Party,B279))</f>
        <v/>
      </c>
      <c r="L279" s="65">
        <f>IF(B279="","",SUMIFS(ar_Balance,ar_Party,B279,ar_Status,"Overdue"))</f>
        <v/>
      </c>
      <c r="M279" s="66">
        <f>IF(B279="","",IF(COUNTIF(cust_Name,B279)&gt;1,"⚠ Duplicate name","✓ OK"))</f>
        <v/>
      </c>
      <c r="N279" s="67">
        <f>IF(AND(B279&lt;&gt;"",N(K279)&gt;0),K279+273/1000000,"")</f>
        <v/>
      </c>
    </row>
    <row r="280">
      <c r="B280" s="62" t="n"/>
      <c r="C280" s="62" t="n"/>
      <c r="D280" s="62" t="n"/>
      <c r="E280" s="62" t="n"/>
      <c r="F280" s="62" t="n"/>
      <c r="G280" s="69" t="n"/>
      <c r="H280" s="62" t="n"/>
      <c r="I280" s="65">
        <f>IF(B280="","",SUMIFS(ar_Amount,ar_Party,B280,ar_Posted,1,ar_Date,"&lt;="&amp;AsOf))</f>
        <v/>
      </c>
      <c r="J280" s="65">
        <f>IF(B280="","",SUMIFS(ar_Paid,ar_Party,B280))</f>
        <v/>
      </c>
      <c r="K280" s="65">
        <f>IF(B280="","",SUMIFS(ar_Balance,ar_Party,B280))</f>
        <v/>
      </c>
      <c r="L280" s="65">
        <f>IF(B280="","",SUMIFS(ar_Balance,ar_Party,B280,ar_Status,"Overdue"))</f>
        <v/>
      </c>
      <c r="M280" s="66">
        <f>IF(B280="","",IF(COUNTIF(cust_Name,B280)&gt;1,"⚠ Duplicate name","✓ OK"))</f>
        <v/>
      </c>
      <c r="N280" s="67">
        <f>IF(AND(B280&lt;&gt;"",N(K280)&gt;0),K280+274/1000000,"")</f>
        <v/>
      </c>
    </row>
    <row r="281">
      <c r="B281" s="62" t="n"/>
      <c r="C281" s="62" t="n"/>
      <c r="D281" s="62" t="n"/>
      <c r="E281" s="62" t="n"/>
      <c r="F281" s="62" t="n"/>
      <c r="G281" s="69" t="n"/>
      <c r="H281" s="62" t="n"/>
      <c r="I281" s="65">
        <f>IF(B281="","",SUMIFS(ar_Amount,ar_Party,B281,ar_Posted,1,ar_Date,"&lt;="&amp;AsOf))</f>
        <v/>
      </c>
      <c r="J281" s="65">
        <f>IF(B281="","",SUMIFS(ar_Paid,ar_Party,B281))</f>
        <v/>
      </c>
      <c r="K281" s="65">
        <f>IF(B281="","",SUMIFS(ar_Balance,ar_Party,B281))</f>
        <v/>
      </c>
      <c r="L281" s="65">
        <f>IF(B281="","",SUMIFS(ar_Balance,ar_Party,B281,ar_Status,"Overdue"))</f>
        <v/>
      </c>
      <c r="M281" s="66">
        <f>IF(B281="","",IF(COUNTIF(cust_Name,B281)&gt;1,"⚠ Duplicate name","✓ OK"))</f>
        <v/>
      </c>
      <c r="N281" s="67">
        <f>IF(AND(B281&lt;&gt;"",N(K281)&gt;0),K281+275/1000000,"")</f>
        <v/>
      </c>
    </row>
    <row r="282">
      <c r="B282" s="62" t="n"/>
      <c r="C282" s="62" t="n"/>
      <c r="D282" s="62" t="n"/>
      <c r="E282" s="62" t="n"/>
      <c r="F282" s="62" t="n"/>
      <c r="G282" s="69" t="n"/>
      <c r="H282" s="62" t="n"/>
      <c r="I282" s="65">
        <f>IF(B282="","",SUMIFS(ar_Amount,ar_Party,B282,ar_Posted,1,ar_Date,"&lt;="&amp;AsOf))</f>
        <v/>
      </c>
      <c r="J282" s="65">
        <f>IF(B282="","",SUMIFS(ar_Paid,ar_Party,B282))</f>
        <v/>
      </c>
      <c r="K282" s="65">
        <f>IF(B282="","",SUMIFS(ar_Balance,ar_Party,B282))</f>
        <v/>
      </c>
      <c r="L282" s="65">
        <f>IF(B282="","",SUMIFS(ar_Balance,ar_Party,B282,ar_Status,"Overdue"))</f>
        <v/>
      </c>
      <c r="M282" s="66">
        <f>IF(B282="","",IF(COUNTIF(cust_Name,B282)&gt;1,"⚠ Duplicate name","✓ OK"))</f>
        <v/>
      </c>
      <c r="N282" s="67">
        <f>IF(AND(B282&lt;&gt;"",N(K282)&gt;0),K282+276/1000000,"")</f>
        <v/>
      </c>
    </row>
    <row r="283">
      <c r="B283" s="62" t="n"/>
      <c r="C283" s="62" t="n"/>
      <c r="D283" s="62" t="n"/>
      <c r="E283" s="62" t="n"/>
      <c r="F283" s="62" t="n"/>
      <c r="G283" s="69" t="n"/>
      <c r="H283" s="62" t="n"/>
      <c r="I283" s="65">
        <f>IF(B283="","",SUMIFS(ar_Amount,ar_Party,B283,ar_Posted,1,ar_Date,"&lt;="&amp;AsOf))</f>
        <v/>
      </c>
      <c r="J283" s="65">
        <f>IF(B283="","",SUMIFS(ar_Paid,ar_Party,B283))</f>
        <v/>
      </c>
      <c r="K283" s="65">
        <f>IF(B283="","",SUMIFS(ar_Balance,ar_Party,B283))</f>
        <v/>
      </c>
      <c r="L283" s="65">
        <f>IF(B283="","",SUMIFS(ar_Balance,ar_Party,B283,ar_Status,"Overdue"))</f>
        <v/>
      </c>
      <c r="M283" s="66">
        <f>IF(B283="","",IF(COUNTIF(cust_Name,B283)&gt;1,"⚠ Duplicate name","✓ OK"))</f>
        <v/>
      </c>
      <c r="N283" s="67">
        <f>IF(AND(B283&lt;&gt;"",N(K283)&gt;0),K283+277/1000000,"")</f>
        <v/>
      </c>
    </row>
    <row r="284">
      <c r="B284" s="62" t="n"/>
      <c r="C284" s="62" t="n"/>
      <c r="D284" s="62" t="n"/>
      <c r="E284" s="62" t="n"/>
      <c r="F284" s="62" t="n"/>
      <c r="G284" s="69" t="n"/>
      <c r="H284" s="62" t="n"/>
      <c r="I284" s="65">
        <f>IF(B284="","",SUMIFS(ar_Amount,ar_Party,B284,ar_Posted,1,ar_Date,"&lt;="&amp;AsOf))</f>
        <v/>
      </c>
      <c r="J284" s="65">
        <f>IF(B284="","",SUMIFS(ar_Paid,ar_Party,B284))</f>
        <v/>
      </c>
      <c r="K284" s="65">
        <f>IF(B284="","",SUMIFS(ar_Balance,ar_Party,B284))</f>
        <v/>
      </c>
      <c r="L284" s="65">
        <f>IF(B284="","",SUMIFS(ar_Balance,ar_Party,B284,ar_Status,"Overdue"))</f>
        <v/>
      </c>
      <c r="M284" s="66">
        <f>IF(B284="","",IF(COUNTIF(cust_Name,B284)&gt;1,"⚠ Duplicate name","✓ OK"))</f>
        <v/>
      </c>
      <c r="N284" s="67">
        <f>IF(AND(B284&lt;&gt;"",N(K284)&gt;0),K284+278/1000000,"")</f>
        <v/>
      </c>
    </row>
    <row r="285">
      <c r="B285" s="62" t="n"/>
      <c r="C285" s="62" t="n"/>
      <c r="D285" s="62" t="n"/>
      <c r="E285" s="62" t="n"/>
      <c r="F285" s="62" t="n"/>
      <c r="G285" s="69" t="n"/>
      <c r="H285" s="62" t="n"/>
      <c r="I285" s="65">
        <f>IF(B285="","",SUMIFS(ar_Amount,ar_Party,B285,ar_Posted,1,ar_Date,"&lt;="&amp;AsOf))</f>
        <v/>
      </c>
      <c r="J285" s="65">
        <f>IF(B285="","",SUMIFS(ar_Paid,ar_Party,B285))</f>
        <v/>
      </c>
      <c r="K285" s="65">
        <f>IF(B285="","",SUMIFS(ar_Balance,ar_Party,B285))</f>
        <v/>
      </c>
      <c r="L285" s="65">
        <f>IF(B285="","",SUMIFS(ar_Balance,ar_Party,B285,ar_Status,"Overdue"))</f>
        <v/>
      </c>
      <c r="M285" s="66">
        <f>IF(B285="","",IF(COUNTIF(cust_Name,B285)&gt;1,"⚠ Duplicate name","✓ OK"))</f>
        <v/>
      </c>
      <c r="N285" s="67">
        <f>IF(AND(B285&lt;&gt;"",N(K285)&gt;0),K285+279/1000000,"")</f>
        <v/>
      </c>
    </row>
    <row r="286">
      <c r="B286" s="62" t="n"/>
      <c r="C286" s="62" t="n"/>
      <c r="D286" s="62" t="n"/>
      <c r="E286" s="62" t="n"/>
      <c r="F286" s="62" t="n"/>
      <c r="G286" s="69" t="n"/>
      <c r="H286" s="62" t="n"/>
      <c r="I286" s="65">
        <f>IF(B286="","",SUMIFS(ar_Amount,ar_Party,B286,ar_Posted,1,ar_Date,"&lt;="&amp;AsOf))</f>
        <v/>
      </c>
      <c r="J286" s="65">
        <f>IF(B286="","",SUMIFS(ar_Paid,ar_Party,B286))</f>
        <v/>
      </c>
      <c r="K286" s="65">
        <f>IF(B286="","",SUMIFS(ar_Balance,ar_Party,B286))</f>
        <v/>
      </c>
      <c r="L286" s="65">
        <f>IF(B286="","",SUMIFS(ar_Balance,ar_Party,B286,ar_Status,"Overdue"))</f>
        <v/>
      </c>
      <c r="M286" s="66">
        <f>IF(B286="","",IF(COUNTIF(cust_Name,B286)&gt;1,"⚠ Duplicate name","✓ OK"))</f>
        <v/>
      </c>
      <c r="N286" s="67">
        <f>IF(AND(B286&lt;&gt;"",N(K286)&gt;0),K286+280/1000000,"")</f>
        <v/>
      </c>
    </row>
    <row r="287">
      <c r="B287" s="62" t="n"/>
      <c r="C287" s="62" t="n"/>
      <c r="D287" s="62" t="n"/>
      <c r="E287" s="62" t="n"/>
      <c r="F287" s="62" t="n"/>
      <c r="G287" s="69" t="n"/>
      <c r="H287" s="62" t="n"/>
      <c r="I287" s="65">
        <f>IF(B287="","",SUMIFS(ar_Amount,ar_Party,B287,ar_Posted,1,ar_Date,"&lt;="&amp;AsOf))</f>
        <v/>
      </c>
      <c r="J287" s="65">
        <f>IF(B287="","",SUMIFS(ar_Paid,ar_Party,B287))</f>
        <v/>
      </c>
      <c r="K287" s="65">
        <f>IF(B287="","",SUMIFS(ar_Balance,ar_Party,B287))</f>
        <v/>
      </c>
      <c r="L287" s="65">
        <f>IF(B287="","",SUMIFS(ar_Balance,ar_Party,B287,ar_Status,"Overdue"))</f>
        <v/>
      </c>
      <c r="M287" s="66">
        <f>IF(B287="","",IF(COUNTIF(cust_Name,B287)&gt;1,"⚠ Duplicate name","✓ OK"))</f>
        <v/>
      </c>
      <c r="N287" s="67">
        <f>IF(AND(B287&lt;&gt;"",N(K287)&gt;0),K287+281/1000000,"")</f>
        <v/>
      </c>
    </row>
    <row r="288">
      <c r="B288" s="62" t="n"/>
      <c r="C288" s="62" t="n"/>
      <c r="D288" s="62" t="n"/>
      <c r="E288" s="62" t="n"/>
      <c r="F288" s="62" t="n"/>
      <c r="G288" s="69" t="n"/>
      <c r="H288" s="62" t="n"/>
      <c r="I288" s="65">
        <f>IF(B288="","",SUMIFS(ar_Amount,ar_Party,B288,ar_Posted,1,ar_Date,"&lt;="&amp;AsOf))</f>
        <v/>
      </c>
      <c r="J288" s="65">
        <f>IF(B288="","",SUMIFS(ar_Paid,ar_Party,B288))</f>
        <v/>
      </c>
      <c r="K288" s="65">
        <f>IF(B288="","",SUMIFS(ar_Balance,ar_Party,B288))</f>
        <v/>
      </c>
      <c r="L288" s="65">
        <f>IF(B288="","",SUMIFS(ar_Balance,ar_Party,B288,ar_Status,"Overdue"))</f>
        <v/>
      </c>
      <c r="M288" s="66">
        <f>IF(B288="","",IF(COUNTIF(cust_Name,B288)&gt;1,"⚠ Duplicate name","✓ OK"))</f>
        <v/>
      </c>
      <c r="N288" s="67">
        <f>IF(AND(B288&lt;&gt;"",N(K288)&gt;0),K288+282/1000000,"")</f>
        <v/>
      </c>
    </row>
    <row r="289">
      <c r="B289" s="62" t="n"/>
      <c r="C289" s="62" t="n"/>
      <c r="D289" s="62" t="n"/>
      <c r="E289" s="62" t="n"/>
      <c r="F289" s="62" t="n"/>
      <c r="G289" s="69" t="n"/>
      <c r="H289" s="62" t="n"/>
      <c r="I289" s="65">
        <f>IF(B289="","",SUMIFS(ar_Amount,ar_Party,B289,ar_Posted,1,ar_Date,"&lt;="&amp;AsOf))</f>
        <v/>
      </c>
      <c r="J289" s="65">
        <f>IF(B289="","",SUMIFS(ar_Paid,ar_Party,B289))</f>
        <v/>
      </c>
      <c r="K289" s="65">
        <f>IF(B289="","",SUMIFS(ar_Balance,ar_Party,B289))</f>
        <v/>
      </c>
      <c r="L289" s="65">
        <f>IF(B289="","",SUMIFS(ar_Balance,ar_Party,B289,ar_Status,"Overdue"))</f>
        <v/>
      </c>
      <c r="M289" s="66">
        <f>IF(B289="","",IF(COUNTIF(cust_Name,B289)&gt;1,"⚠ Duplicate name","✓ OK"))</f>
        <v/>
      </c>
      <c r="N289" s="67">
        <f>IF(AND(B289&lt;&gt;"",N(K289)&gt;0),K289+283/1000000,"")</f>
        <v/>
      </c>
    </row>
    <row r="290">
      <c r="B290" s="62" t="n"/>
      <c r="C290" s="62" t="n"/>
      <c r="D290" s="62" t="n"/>
      <c r="E290" s="62" t="n"/>
      <c r="F290" s="62" t="n"/>
      <c r="G290" s="69" t="n"/>
      <c r="H290" s="62" t="n"/>
      <c r="I290" s="65">
        <f>IF(B290="","",SUMIFS(ar_Amount,ar_Party,B290,ar_Posted,1,ar_Date,"&lt;="&amp;AsOf))</f>
        <v/>
      </c>
      <c r="J290" s="65">
        <f>IF(B290="","",SUMIFS(ar_Paid,ar_Party,B290))</f>
        <v/>
      </c>
      <c r="K290" s="65">
        <f>IF(B290="","",SUMIFS(ar_Balance,ar_Party,B290))</f>
        <v/>
      </c>
      <c r="L290" s="65">
        <f>IF(B290="","",SUMIFS(ar_Balance,ar_Party,B290,ar_Status,"Overdue"))</f>
        <v/>
      </c>
      <c r="M290" s="66">
        <f>IF(B290="","",IF(COUNTIF(cust_Name,B290)&gt;1,"⚠ Duplicate name","✓ OK"))</f>
        <v/>
      </c>
      <c r="N290" s="67">
        <f>IF(AND(B290&lt;&gt;"",N(K290)&gt;0),K290+284/1000000,"")</f>
        <v/>
      </c>
    </row>
    <row r="291">
      <c r="B291" s="62" t="n"/>
      <c r="C291" s="62" t="n"/>
      <c r="D291" s="62" t="n"/>
      <c r="E291" s="62" t="n"/>
      <c r="F291" s="62" t="n"/>
      <c r="G291" s="69" t="n"/>
      <c r="H291" s="62" t="n"/>
      <c r="I291" s="65">
        <f>IF(B291="","",SUMIFS(ar_Amount,ar_Party,B291,ar_Posted,1,ar_Date,"&lt;="&amp;AsOf))</f>
        <v/>
      </c>
      <c r="J291" s="65">
        <f>IF(B291="","",SUMIFS(ar_Paid,ar_Party,B291))</f>
        <v/>
      </c>
      <c r="K291" s="65">
        <f>IF(B291="","",SUMIFS(ar_Balance,ar_Party,B291))</f>
        <v/>
      </c>
      <c r="L291" s="65">
        <f>IF(B291="","",SUMIFS(ar_Balance,ar_Party,B291,ar_Status,"Overdue"))</f>
        <v/>
      </c>
      <c r="M291" s="66">
        <f>IF(B291="","",IF(COUNTIF(cust_Name,B291)&gt;1,"⚠ Duplicate name","✓ OK"))</f>
        <v/>
      </c>
      <c r="N291" s="67">
        <f>IF(AND(B291&lt;&gt;"",N(K291)&gt;0),K291+285/1000000,"")</f>
        <v/>
      </c>
    </row>
    <row r="292">
      <c r="B292" s="62" t="n"/>
      <c r="C292" s="62" t="n"/>
      <c r="D292" s="62" t="n"/>
      <c r="E292" s="62" t="n"/>
      <c r="F292" s="62" t="n"/>
      <c r="G292" s="69" t="n"/>
      <c r="H292" s="62" t="n"/>
      <c r="I292" s="65">
        <f>IF(B292="","",SUMIFS(ar_Amount,ar_Party,B292,ar_Posted,1,ar_Date,"&lt;="&amp;AsOf))</f>
        <v/>
      </c>
      <c r="J292" s="65">
        <f>IF(B292="","",SUMIFS(ar_Paid,ar_Party,B292))</f>
        <v/>
      </c>
      <c r="K292" s="65">
        <f>IF(B292="","",SUMIFS(ar_Balance,ar_Party,B292))</f>
        <v/>
      </c>
      <c r="L292" s="65">
        <f>IF(B292="","",SUMIFS(ar_Balance,ar_Party,B292,ar_Status,"Overdue"))</f>
        <v/>
      </c>
      <c r="M292" s="66">
        <f>IF(B292="","",IF(COUNTIF(cust_Name,B292)&gt;1,"⚠ Duplicate name","✓ OK"))</f>
        <v/>
      </c>
      <c r="N292" s="67">
        <f>IF(AND(B292&lt;&gt;"",N(K292)&gt;0),K292+286/1000000,"")</f>
        <v/>
      </c>
    </row>
    <row r="293">
      <c r="B293" s="62" t="n"/>
      <c r="C293" s="62" t="n"/>
      <c r="D293" s="62" t="n"/>
      <c r="E293" s="62" t="n"/>
      <c r="F293" s="62" t="n"/>
      <c r="G293" s="69" t="n"/>
      <c r="H293" s="62" t="n"/>
      <c r="I293" s="65">
        <f>IF(B293="","",SUMIFS(ar_Amount,ar_Party,B293,ar_Posted,1,ar_Date,"&lt;="&amp;AsOf))</f>
        <v/>
      </c>
      <c r="J293" s="65">
        <f>IF(B293="","",SUMIFS(ar_Paid,ar_Party,B293))</f>
        <v/>
      </c>
      <c r="K293" s="65">
        <f>IF(B293="","",SUMIFS(ar_Balance,ar_Party,B293))</f>
        <v/>
      </c>
      <c r="L293" s="65">
        <f>IF(B293="","",SUMIFS(ar_Balance,ar_Party,B293,ar_Status,"Overdue"))</f>
        <v/>
      </c>
      <c r="M293" s="66">
        <f>IF(B293="","",IF(COUNTIF(cust_Name,B293)&gt;1,"⚠ Duplicate name","✓ OK"))</f>
        <v/>
      </c>
      <c r="N293" s="67">
        <f>IF(AND(B293&lt;&gt;"",N(K293)&gt;0),K293+287/1000000,"")</f>
        <v/>
      </c>
    </row>
    <row r="294">
      <c r="B294" s="62" t="n"/>
      <c r="C294" s="62" t="n"/>
      <c r="D294" s="62" t="n"/>
      <c r="E294" s="62" t="n"/>
      <c r="F294" s="62" t="n"/>
      <c r="G294" s="69" t="n"/>
      <c r="H294" s="62" t="n"/>
      <c r="I294" s="65">
        <f>IF(B294="","",SUMIFS(ar_Amount,ar_Party,B294,ar_Posted,1,ar_Date,"&lt;="&amp;AsOf))</f>
        <v/>
      </c>
      <c r="J294" s="65">
        <f>IF(B294="","",SUMIFS(ar_Paid,ar_Party,B294))</f>
        <v/>
      </c>
      <c r="K294" s="65">
        <f>IF(B294="","",SUMIFS(ar_Balance,ar_Party,B294))</f>
        <v/>
      </c>
      <c r="L294" s="65">
        <f>IF(B294="","",SUMIFS(ar_Balance,ar_Party,B294,ar_Status,"Overdue"))</f>
        <v/>
      </c>
      <c r="M294" s="66">
        <f>IF(B294="","",IF(COUNTIF(cust_Name,B294)&gt;1,"⚠ Duplicate name","✓ OK"))</f>
        <v/>
      </c>
      <c r="N294" s="67">
        <f>IF(AND(B294&lt;&gt;"",N(K294)&gt;0),K294+288/1000000,"")</f>
        <v/>
      </c>
    </row>
    <row r="295">
      <c r="B295" s="62" t="n"/>
      <c r="C295" s="62" t="n"/>
      <c r="D295" s="62" t="n"/>
      <c r="E295" s="62" t="n"/>
      <c r="F295" s="62" t="n"/>
      <c r="G295" s="69" t="n"/>
      <c r="H295" s="62" t="n"/>
      <c r="I295" s="65">
        <f>IF(B295="","",SUMIFS(ar_Amount,ar_Party,B295,ar_Posted,1,ar_Date,"&lt;="&amp;AsOf))</f>
        <v/>
      </c>
      <c r="J295" s="65">
        <f>IF(B295="","",SUMIFS(ar_Paid,ar_Party,B295))</f>
        <v/>
      </c>
      <c r="K295" s="65">
        <f>IF(B295="","",SUMIFS(ar_Balance,ar_Party,B295))</f>
        <v/>
      </c>
      <c r="L295" s="65">
        <f>IF(B295="","",SUMIFS(ar_Balance,ar_Party,B295,ar_Status,"Overdue"))</f>
        <v/>
      </c>
      <c r="M295" s="66">
        <f>IF(B295="","",IF(COUNTIF(cust_Name,B295)&gt;1,"⚠ Duplicate name","✓ OK"))</f>
        <v/>
      </c>
      <c r="N295" s="67">
        <f>IF(AND(B295&lt;&gt;"",N(K295)&gt;0),K295+289/1000000,"")</f>
        <v/>
      </c>
    </row>
    <row r="296">
      <c r="B296" s="62" t="n"/>
      <c r="C296" s="62" t="n"/>
      <c r="D296" s="62" t="n"/>
      <c r="E296" s="62" t="n"/>
      <c r="F296" s="62" t="n"/>
      <c r="G296" s="69" t="n"/>
      <c r="H296" s="62" t="n"/>
      <c r="I296" s="65">
        <f>IF(B296="","",SUMIFS(ar_Amount,ar_Party,B296,ar_Posted,1,ar_Date,"&lt;="&amp;AsOf))</f>
        <v/>
      </c>
      <c r="J296" s="65">
        <f>IF(B296="","",SUMIFS(ar_Paid,ar_Party,B296))</f>
        <v/>
      </c>
      <c r="K296" s="65">
        <f>IF(B296="","",SUMIFS(ar_Balance,ar_Party,B296))</f>
        <v/>
      </c>
      <c r="L296" s="65">
        <f>IF(B296="","",SUMIFS(ar_Balance,ar_Party,B296,ar_Status,"Overdue"))</f>
        <v/>
      </c>
      <c r="M296" s="66">
        <f>IF(B296="","",IF(COUNTIF(cust_Name,B296)&gt;1,"⚠ Duplicate name","✓ OK"))</f>
        <v/>
      </c>
      <c r="N296" s="67">
        <f>IF(AND(B296&lt;&gt;"",N(K296)&gt;0),K296+290/1000000,"")</f>
        <v/>
      </c>
    </row>
    <row r="297">
      <c r="B297" s="62" t="n"/>
      <c r="C297" s="62" t="n"/>
      <c r="D297" s="62" t="n"/>
      <c r="E297" s="62" t="n"/>
      <c r="F297" s="62" t="n"/>
      <c r="G297" s="69" t="n"/>
      <c r="H297" s="62" t="n"/>
      <c r="I297" s="65">
        <f>IF(B297="","",SUMIFS(ar_Amount,ar_Party,B297,ar_Posted,1,ar_Date,"&lt;="&amp;AsOf))</f>
        <v/>
      </c>
      <c r="J297" s="65">
        <f>IF(B297="","",SUMIFS(ar_Paid,ar_Party,B297))</f>
        <v/>
      </c>
      <c r="K297" s="65">
        <f>IF(B297="","",SUMIFS(ar_Balance,ar_Party,B297))</f>
        <v/>
      </c>
      <c r="L297" s="65">
        <f>IF(B297="","",SUMIFS(ar_Balance,ar_Party,B297,ar_Status,"Overdue"))</f>
        <v/>
      </c>
      <c r="M297" s="66">
        <f>IF(B297="","",IF(COUNTIF(cust_Name,B297)&gt;1,"⚠ Duplicate name","✓ OK"))</f>
        <v/>
      </c>
      <c r="N297" s="67">
        <f>IF(AND(B297&lt;&gt;"",N(K297)&gt;0),K297+291/1000000,"")</f>
        <v/>
      </c>
    </row>
    <row r="298">
      <c r="B298" s="62" t="n"/>
      <c r="C298" s="62" t="n"/>
      <c r="D298" s="62" t="n"/>
      <c r="E298" s="62" t="n"/>
      <c r="F298" s="62" t="n"/>
      <c r="G298" s="69" t="n"/>
      <c r="H298" s="62" t="n"/>
      <c r="I298" s="65">
        <f>IF(B298="","",SUMIFS(ar_Amount,ar_Party,B298,ar_Posted,1,ar_Date,"&lt;="&amp;AsOf))</f>
        <v/>
      </c>
      <c r="J298" s="65">
        <f>IF(B298="","",SUMIFS(ar_Paid,ar_Party,B298))</f>
        <v/>
      </c>
      <c r="K298" s="65">
        <f>IF(B298="","",SUMIFS(ar_Balance,ar_Party,B298))</f>
        <v/>
      </c>
      <c r="L298" s="65">
        <f>IF(B298="","",SUMIFS(ar_Balance,ar_Party,B298,ar_Status,"Overdue"))</f>
        <v/>
      </c>
      <c r="M298" s="66">
        <f>IF(B298="","",IF(COUNTIF(cust_Name,B298)&gt;1,"⚠ Duplicate name","✓ OK"))</f>
        <v/>
      </c>
      <c r="N298" s="67">
        <f>IF(AND(B298&lt;&gt;"",N(K298)&gt;0),K298+292/1000000,"")</f>
        <v/>
      </c>
    </row>
    <row r="299">
      <c r="B299" s="62" t="n"/>
      <c r="C299" s="62" t="n"/>
      <c r="D299" s="62" t="n"/>
      <c r="E299" s="62" t="n"/>
      <c r="F299" s="62" t="n"/>
      <c r="G299" s="69" t="n"/>
      <c r="H299" s="62" t="n"/>
      <c r="I299" s="65">
        <f>IF(B299="","",SUMIFS(ar_Amount,ar_Party,B299,ar_Posted,1,ar_Date,"&lt;="&amp;AsOf))</f>
        <v/>
      </c>
      <c r="J299" s="65">
        <f>IF(B299="","",SUMIFS(ar_Paid,ar_Party,B299))</f>
        <v/>
      </c>
      <c r="K299" s="65">
        <f>IF(B299="","",SUMIFS(ar_Balance,ar_Party,B299))</f>
        <v/>
      </c>
      <c r="L299" s="65">
        <f>IF(B299="","",SUMIFS(ar_Balance,ar_Party,B299,ar_Status,"Overdue"))</f>
        <v/>
      </c>
      <c r="M299" s="66">
        <f>IF(B299="","",IF(COUNTIF(cust_Name,B299)&gt;1,"⚠ Duplicate name","✓ OK"))</f>
        <v/>
      </c>
      <c r="N299" s="67">
        <f>IF(AND(B299&lt;&gt;"",N(K299)&gt;0),K299+293/1000000,"")</f>
        <v/>
      </c>
    </row>
    <row r="300">
      <c r="B300" s="62" t="n"/>
      <c r="C300" s="62" t="n"/>
      <c r="D300" s="62" t="n"/>
      <c r="E300" s="62" t="n"/>
      <c r="F300" s="62" t="n"/>
      <c r="G300" s="69" t="n"/>
      <c r="H300" s="62" t="n"/>
      <c r="I300" s="65">
        <f>IF(B300="","",SUMIFS(ar_Amount,ar_Party,B300,ar_Posted,1,ar_Date,"&lt;="&amp;AsOf))</f>
        <v/>
      </c>
      <c r="J300" s="65">
        <f>IF(B300="","",SUMIFS(ar_Paid,ar_Party,B300))</f>
        <v/>
      </c>
      <c r="K300" s="65">
        <f>IF(B300="","",SUMIFS(ar_Balance,ar_Party,B300))</f>
        <v/>
      </c>
      <c r="L300" s="65">
        <f>IF(B300="","",SUMIFS(ar_Balance,ar_Party,B300,ar_Status,"Overdue"))</f>
        <v/>
      </c>
      <c r="M300" s="66">
        <f>IF(B300="","",IF(COUNTIF(cust_Name,B300)&gt;1,"⚠ Duplicate name","✓ OK"))</f>
        <v/>
      </c>
      <c r="N300" s="67">
        <f>IF(AND(B300&lt;&gt;"",N(K300)&gt;0),K300+294/1000000,"")</f>
        <v/>
      </c>
    </row>
    <row r="301">
      <c r="B301" s="62" t="n"/>
      <c r="C301" s="62" t="n"/>
      <c r="D301" s="62" t="n"/>
      <c r="E301" s="62" t="n"/>
      <c r="F301" s="62" t="n"/>
      <c r="G301" s="69" t="n"/>
      <c r="H301" s="62" t="n"/>
      <c r="I301" s="65">
        <f>IF(B301="","",SUMIFS(ar_Amount,ar_Party,B301,ar_Posted,1,ar_Date,"&lt;="&amp;AsOf))</f>
        <v/>
      </c>
      <c r="J301" s="65">
        <f>IF(B301="","",SUMIFS(ar_Paid,ar_Party,B301))</f>
        <v/>
      </c>
      <c r="K301" s="65">
        <f>IF(B301="","",SUMIFS(ar_Balance,ar_Party,B301))</f>
        <v/>
      </c>
      <c r="L301" s="65">
        <f>IF(B301="","",SUMIFS(ar_Balance,ar_Party,B301,ar_Status,"Overdue"))</f>
        <v/>
      </c>
      <c r="M301" s="66">
        <f>IF(B301="","",IF(COUNTIF(cust_Name,B301)&gt;1,"⚠ Duplicate name","✓ OK"))</f>
        <v/>
      </c>
      <c r="N301" s="67">
        <f>IF(AND(B301&lt;&gt;"",N(K301)&gt;0),K301+295/1000000,"")</f>
        <v/>
      </c>
    </row>
    <row r="302">
      <c r="B302" s="62" t="n"/>
      <c r="C302" s="62" t="n"/>
      <c r="D302" s="62" t="n"/>
      <c r="E302" s="62" t="n"/>
      <c r="F302" s="62" t="n"/>
      <c r="G302" s="69" t="n"/>
      <c r="H302" s="62" t="n"/>
      <c r="I302" s="65">
        <f>IF(B302="","",SUMIFS(ar_Amount,ar_Party,B302,ar_Posted,1,ar_Date,"&lt;="&amp;AsOf))</f>
        <v/>
      </c>
      <c r="J302" s="65">
        <f>IF(B302="","",SUMIFS(ar_Paid,ar_Party,B302))</f>
        <v/>
      </c>
      <c r="K302" s="65">
        <f>IF(B302="","",SUMIFS(ar_Balance,ar_Party,B302))</f>
        <v/>
      </c>
      <c r="L302" s="65">
        <f>IF(B302="","",SUMIFS(ar_Balance,ar_Party,B302,ar_Status,"Overdue"))</f>
        <v/>
      </c>
      <c r="M302" s="66">
        <f>IF(B302="","",IF(COUNTIF(cust_Name,B302)&gt;1,"⚠ Duplicate name","✓ OK"))</f>
        <v/>
      </c>
      <c r="N302" s="67">
        <f>IF(AND(B302&lt;&gt;"",N(K302)&gt;0),K302+296/1000000,"")</f>
        <v/>
      </c>
    </row>
    <row r="303">
      <c r="B303" s="62" t="n"/>
      <c r="C303" s="62" t="n"/>
      <c r="D303" s="62" t="n"/>
      <c r="E303" s="62" t="n"/>
      <c r="F303" s="62" t="n"/>
      <c r="G303" s="69" t="n"/>
      <c r="H303" s="62" t="n"/>
      <c r="I303" s="65">
        <f>IF(B303="","",SUMIFS(ar_Amount,ar_Party,B303,ar_Posted,1,ar_Date,"&lt;="&amp;AsOf))</f>
        <v/>
      </c>
      <c r="J303" s="65">
        <f>IF(B303="","",SUMIFS(ar_Paid,ar_Party,B303))</f>
        <v/>
      </c>
      <c r="K303" s="65">
        <f>IF(B303="","",SUMIFS(ar_Balance,ar_Party,B303))</f>
        <v/>
      </c>
      <c r="L303" s="65">
        <f>IF(B303="","",SUMIFS(ar_Balance,ar_Party,B303,ar_Status,"Overdue"))</f>
        <v/>
      </c>
      <c r="M303" s="66">
        <f>IF(B303="","",IF(COUNTIF(cust_Name,B303)&gt;1,"⚠ Duplicate name","✓ OK"))</f>
        <v/>
      </c>
      <c r="N303" s="67">
        <f>IF(AND(B303&lt;&gt;"",N(K303)&gt;0),K303+297/1000000,"")</f>
        <v/>
      </c>
    </row>
    <row r="304">
      <c r="B304" s="62" t="n"/>
      <c r="C304" s="62" t="n"/>
      <c r="D304" s="62" t="n"/>
      <c r="E304" s="62" t="n"/>
      <c r="F304" s="62" t="n"/>
      <c r="G304" s="69" t="n"/>
      <c r="H304" s="62" t="n"/>
      <c r="I304" s="65">
        <f>IF(B304="","",SUMIFS(ar_Amount,ar_Party,B304,ar_Posted,1,ar_Date,"&lt;="&amp;AsOf))</f>
        <v/>
      </c>
      <c r="J304" s="65">
        <f>IF(B304="","",SUMIFS(ar_Paid,ar_Party,B304))</f>
        <v/>
      </c>
      <c r="K304" s="65">
        <f>IF(B304="","",SUMIFS(ar_Balance,ar_Party,B304))</f>
        <v/>
      </c>
      <c r="L304" s="65">
        <f>IF(B304="","",SUMIFS(ar_Balance,ar_Party,B304,ar_Status,"Overdue"))</f>
        <v/>
      </c>
      <c r="M304" s="66">
        <f>IF(B304="","",IF(COUNTIF(cust_Name,B304)&gt;1,"⚠ Duplicate name","✓ OK"))</f>
        <v/>
      </c>
      <c r="N304" s="67">
        <f>IF(AND(B304&lt;&gt;"",N(K304)&gt;0),K304+298/1000000,"")</f>
        <v/>
      </c>
    </row>
    <row r="305">
      <c r="B305" s="62" t="n"/>
      <c r="C305" s="62" t="n"/>
      <c r="D305" s="62" t="n"/>
      <c r="E305" s="62" t="n"/>
      <c r="F305" s="62" t="n"/>
      <c r="G305" s="69" t="n"/>
      <c r="H305" s="62" t="n"/>
      <c r="I305" s="65">
        <f>IF(B305="","",SUMIFS(ar_Amount,ar_Party,B305,ar_Posted,1,ar_Date,"&lt;="&amp;AsOf))</f>
        <v/>
      </c>
      <c r="J305" s="65">
        <f>IF(B305="","",SUMIFS(ar_Paid,ar_Party,B305))</f>
        <v/>
      </c>
      <c r="K305" s="65">
        <f>IF(B305="","",SUMIFS(ar_Balance,ar_Party,B305))</f>
        <v/>
      </c>
      <c r="L305" s="65">
        <f>IF(B305="","",SUMIFS(ar_Balance,ar_Party,B305,ar_Status,"Overdue"))</f>
        <v/>
      </c>
      <c r="M305" s="66">
        <f>IF(B305="","",IF(COUNTIF(cust_Name,B305)&gt;1,"⚠ Duplicate name","✓ OK"))</f>
        <v/>
      </c>
      <c r="N305" s="67">
        <f>IF(AND(B305&lt;&gt;"",N(K305)&gt;0),K305+299/1000000,"")</f>
        <v/>
      </c>
    </row>
    <row r="306">
      <c r="B306" s="62" t="n"/>
      <c r="C306" s="62" t="n"/>
      <c r="D306" s="62" t="n"/>
      <c r="E306" s="62" t="n"/>
      <c r="F306" s="62" t="n"/>
      <c r="G306" s="69" t="n"/>
      <c r="H306" s="62" t="n"/>
      <c r="I306" s="65">
        <f>IF(B306="","",SUMIFS(ar_Amount,ar_Party,B306,ar_Posted,1,ar_Date,"&lt;="&amp;AsOf))</f>
        <v/>
      </c>
      <c r="J306" s="65">
        <f>IF(B306="","",SUMIFS(ar_Paid,ar_Party,B306))</f>
        <v/>
      </c>
      <c r="K306" s="65">
        <f>IF(B306="","",SUMIFS(ar_Balance,ar_Party,B306))</f>
        <v/>
      </c>
      <c r="L306" s="65">
        <f>IF(B306="","",SUMIFS(ar_Balance,ar_Party,B306,ar_Status,"Overdue"))</f>
        <v/>
      </c>
      <c r="M306" s="66">
        <f>IF(B306="","",IF(COUNTIF(cust_Name,B306)&gt;1,"⚠ Duplicate name","✓ OK"))</f>
        <v/>
      </c>
      <c r="N306" s="67">
        <f>IF(AND(B306&lt;&gt;"",N(K306)&gt;0),K306+300/1000000,"")</f>
        <v/>
      </c>
    </row>
  </sheetData>
  <conditionalFormatting sqref="M7:M306">
    <cfRule type="expression" priority="1" dxfId="0">
      <formula>LEFT(M7,1)="⛔"</formula>
    </cfRule>
    <cfRule type="expression" priority="2" dxfId="1">
      <formula>LEFT(M7,1)="⚠"</formula>
    </cfRule>
    <cfRule type="expression" priority="3" dxfId="2">
      <formula>LEFT(M7,1)="✓"</formula>
    </cfRule>
  </conditionalFormatting>
  <dataValidations count="1">
    <dataValidation sqref="G7:G306" showDropDown="0" showInputMessage="0" showErrorMessage="1" allowBlank="1" errorTitle="Numbers only" error="Enter a number without currency symbols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26" customWidth="1" min="4" max="4"/>
    <col width="16" customWidth="1" min="5" max="5"/>
    <col width="30" customWidth="1" min="6" max="6"/>
    <col width="12" customWidth="1" min="7" max="7"/>
    <col width="26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hidden="1" outlineLevel="1" width="8" customWidth="1" min="14" max="14"/>
  </cols>
  <sheetData>
    <row r="1" ht="26" customHeight="1">
      <c r="B1" s="19" t="inlineStr">
        <is>
          <t>Vendors (Suppliers)</t>
        </is>
      </c>
    </row>
    <row r="2">
      <c r="B2" s="20" t="inlineStr">
        <is>
          <t>Add each supplier once; then pick them from dropdowns. Balances are as of the report date.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I5" s="31" t="inlineStr">
        <is>
          <t>▼ AUTOMATIC  (grey columns — calculated, do not type)</t>
        </is>
      </c>
    </row>
    <row r="6" ht="30" customHeight="1">
      <c r="B6" s="7" t="inlineStr">
        <is>
          <t>Vendor Name</t>
        </is>
      </c>
      <c r="C6" s="7" t="inlineStr">
        <is>
          <t>Contact Person</t>
        </is>
      </c>
      <c r="D6" s="7" t="inlineStr">
        <is>
          <t>Email</t>
        </is>
      </c>
      <c r="E6" s="7" t="inlineStr">
        <is>
          <t>Phone</t>
        </is>
      </c>
      <c r="F6" s="7" t="inlineStr">
        <is>
          <t>Address</t>
        </is>
      </c>
      <c r="G6" s="7" t="inlineStr">
        <is>
          <t>Payment Terms (days)</t>
        </is>
      </c>
      <c r="H6" s="7" t="inlineStr">
        <is>
          <t>Notes</t>
        </is>
      </c>
      <c r="I6" s="61" t="inlineStr">
        <is>
          <t>Total Billed</t>
        </is>
      </c>
      <c r="J6" s="61" t="inlineStr">
        <is>
          <t>Paid</t>
        </is>
      </c>
      <c r="K6" s="61" t="inlineStr">
        <is>
          <t>Outstanding</t>
        </is>
      </c>
      <c r="L6" s="61" t="inlineStr">
        <is>
          <t>Overdue</t>
        </is>
      </c>
      <c r="M6" s="61" t="inlineStr">
        <is>
          <t>Check</t>
        </is>
      </c>
      <c r="N6" s="61" t="inlineStr">
        <is>
          <t>Rank key</t>
        </is>
      </c>
    </row>
    <row r="7">
      <c r="B7" s="62" t="inlineStr">
        <is>
          <t>Golden Grain Flour Mill</t>
        </is>
      </c>
      <c r="C7" s="62" t="inlineStr">
        <is>
          <t>Mr. Uy</t>
        </is>
      </c>
      <c r="D7" s="62" t="n"/>
      <c r="E7" s="62" t="inlineStr">
        <is>
          <t>02 8555 0201</t>
        </is>
      </c>
      <c r="F7" s="62" t="n"/>
      <c r="G7" s="69" t="n">
        <v>30</v>
      </c>
      <c r="H7" s="62" t="n"/>
      <c r="I7" s="65">
        <f>IF(B7="","",SUMIFS(ap_Amount,ap_Party,B7,ap_Posted,1,ap_Date,"&lt;="&amp;AsOf))</f>
        <v/>
      </c>
      <c r="J7" s="65">
        <f>IF(B7="","",SUMIFS(ap_Paid,ap_Party,B7))</f>
        <v/>
      </c>
      <c r="K7" s="65">
        <f>IF(B7="","",SUMIFS(ap_Balance,ap_Party,B7))</f>
        <v/>
      </c>
      <c r="L7" s="65">
        <f>IF(B7="","",SUMIFS(ap_Balance,ap_Party,B7,ap_Status,"Overdue"))</f>
        <v/>
      </c>
      <c r="M7" s="66">
        <f>IF(B7="","",IF(COUNTIF(vend_Name,B7)&gt;1,"⚠ Duplicate name","✓ OK"))</f>
        <v/>
      </c>
      <c r="N7" s="67">
        <f>IF(AND(B7&lt;&gt;"",N(K7)&gt;0),K7+1/1000000,"")</f>
        <v/>
      </c>
    </row>
    <row r="8">
      <c r="B8" s="62" t="inlineStr">
        <is>
          <t>Fresh Dairy Co.</t>
        </is>
      </c>
      <c r="C8" s="62" t="inlineStr">
        <is>
          <t>Liza</t>
        </is>
      </c>
      <c r="D8" s="62" t="n"/>
      <c r="E8" s="62" t="inlineStr">
        <is>
          <t>02 8555 0202</t>
        </is>
      </c>
      <c r="F8" s="62" t="n"/>
      <c r="G8" s="69" t="n">
        <v>15</v>
      </c>
      <c r="H8" s="62" t="n"/>
      <c r="I8" s="65">
        <f>IF(B8="","",SUMIFS(ap_Amount,ap_Party,B8,ap_Posted,1,ap_Date,"&lt;="&amp;AsOf))</f>
        <v/>
      </c>
      <c r="J8" s="65">
        <f>IF(B8="","",SUMIFS(ap_Paid,ap_Party,B8))</f>
        <v/>
      </c>
      <c r="K8" s="65">
        <f>IF(B8="","",SUMIFS(ap_Balance,ap_Party,B8))</f>
        <v/>
      </c>
      <c r="L8" s="65">
        <f>IF(B8="","",SUMIFS(ap_Balance,ap_Party,B8,ap_Status,"Overdue"))</f>
        <v/>
      </c>
      <c r="M8" s="66">
        <f>IF(B8="","",IF(COUNTIF(vend_Name,B8)&gt;1,"⚠ Duplicate name","✓ OK"))</f>
        <v/>
      </c>
      <c r="N8" s="67">
        <f>IF(AND(B8&lt;&gt;"",N(K8)&gt;0),K8+2/1000000,"")</f>
        <v/>
      </c>
    </row>
    <row r="9">
      <c r="B9" s="62" t="inlineStr">
        <is>
          <t>PackRight Supplies</t>
        </is>
      </c>
      <c r="C9" s="62" t="inlineStr">
        <is>
          <t>Jun</t>
        </is>
      </c>
      <c r="D9" s="62" t="n"/>
      <c r="E9" s="62" t="inlineStr">
        <is>
          <t>02 8555 0203</t>
        </is>
      </c>
      <c r="F9" s="62" t="n"/>
      <c r="G9" s="69" t="n">
        <v>30</v>
      </c>
      <c r="H9" s="62" t="n"/>
      <c r="I9" s="65">
        <f>IF(B9="","",SUMIFS(ap_Amount,ap_Party,B9,ap_Posted,1,ap_Date,"&lt;="&amp;AsOf))</f>
        <v/>
      </c>
      <c r="J9" s="65">
        <f>IF(B9="","",SUMIFS(ap_Paid,ap_Party,B9))</f>
        <v/>
      </c>
      <c r="K9" s="65">
        <f>IF(B9="","",SUMIFS(ap_Balance,ap_Party,B9))</f>
        <v/>
      </c>
      <c r="L9" s="65">
        <f>IF(B9="","",SUMIFS(ap_Balance,ap_Party,B9,ap_Status,"Overdue"))</f>
        <v/>
      </c>
      <c r="M9" s="66">
        <f>IF(B9="","",IF(COUNTIF(vend_Name,B9)&gt;1,"⚠ Duplicate name","✓ OK"))</f>
        <v/>
      </c>
      <c r="N9" s="67">
        <f>IF(AND(B9&lt;&gt;"",N(K9)&gt;0),K9+3/1000000,"")</f>
        <v/>
      </c>
    </row>
    <row r="10">
      <c r="B10" s="62" t="n"/>
      <c r="C10" s="62" t="n"/>
      <c r="D10" s="62" t="n"/>
      <c r="E10" s="62" t="n"/>
      <c r="F10" s="62" t="n"/>
      <c r="G10" s="69" t="n"/>
      <c r="H10" s="62" t="n"/>
      <c r="I10" s="65">
        <f>IF(B10="","",SUMIFS(ap_Amount,ap_Party,B10,ap_Posted,1,ap_Date,"&lt;="&amp;AsOf))</f>
        <v/>
      </c>
      <c r="J10" s="65">
        <f>IF(B10="","",SUMIFS(ap_Paid,ap_Party,B10))</f>
        <v/>
      </c>
      <c r="K10" s="65">
        <f>IF(B10="","",SUMIFS(ap_Balance,ap_Party,B10))</f>
        <v/>
      </c>
      <c r="L10" s="65">
        <f>IF(B10="","",SUMIFS(ap_Balance,ap_Party,B10,ap_Status,"Overdue"))</f>
        <v/>
      </c>
      <c r="M10" s="66">
        <f>IF(B10="","",IF(COUNTIF(vend_Name,B10)&gt;1,"⚠ Duplicate name","✓ OK"))</f>
        <v/>
      </c>
      <c r="N10" s="67">
        <f>IF(AND(B10&lt;&gt;"",N(K10)&gt;0),K10+4/1000000,"")</f>
        <v/>
      </c>
    </row>
    <row r="11">
      <c r="B11" s="62" t="n"/>
      <c r="C11" s="62" t="n"/>
      <c r="D11" s="62" t="n"/>
      <c r="E11" s="62" t="n"/>
      <c r="F11" s="62" t="n"/>
      <c r="G11" s="69" t="n"/>
      <c r="H11" s="62" t="n"/>
      <c r="I11" s="65">
        <f>IF(B11="","",SUMIFS(ap_Amount,ap_Party,B11,ap_Posted,1,ap_Date,"&lt;="&amp;AsOf))</f>
        <v/>
      </c>
      <c r="J11" s="65">
        <f>IF(B11="","",SUMIFS(ap_Paid,ap_Party,B11))</f>
        <v/>
      </c>
      <c r="K11" s="65">
        <f>IF(B11="","",SUMIFS(ap_Balance,ap_Party,B11))</f>
        <v/>
      </c>
      <c r="L11" s="65">
        <f>IF(B11="","",SUMIFS(ap_Balance,ap_Party,B11,ap_Status,"Overdue"))</f>
        <v/>
      </c>
      <c r="M11" s="66">
        <f>IF(B11="","",IF(COUNTIF(vend_Name,B11)&gt;1,"⚠ Duplicate name","✓ OK"))</f>
        <v/>
      </c>
      <c r="N11" s="67">
        <f>IF(AND(B11&lt;&gt;"",N(K11)&gt;0),K11+5/1000000,"")</f>
        <v/>
      </c>
    </row>
    <row r="12">
      <c r="B12" s="62" t="n"/>
      <c r="C12" s="62" t="n"/>
      <c r="D12" s="62" t="n"/>
      <c r="E12" s="62" t="n"/>
      <c r="F12" s="62" t="n"/>
      <c r="G12" s="69" t="n"/>
      <c r="H12" s="62" t="n"/>
      <c r="I12" s="65">
        <f>IF(B12="","",SUMIFS(ap_Amount,ap_Party,B12,ap_Posted,1,ap_Date,"&lt;="&amp;AsOf))</f>
        <v/>
      </c>
      <c r="J12" s="65">
        <f>IF(B12="","",SUMIFS(ap_Paid,ap_Party,B12))</f>
        <v/>
      </c>
      <c r="K12" s="65">
        <f>IF(B12="","",SUMIFS(ap_Balance,ap_Party,B12))</f>
        <v/>
      </c>
      <c r="L12" s="65">
        <f>IF(B12="","",SUMIFS(ap_Balance,ap_Party,B12,ap_Status,"Overdue"))</f>
        <v/>
      </c>
      <c r="M12" s="66">
        <f>IF(B12="","",IF(COUNTIF(vend_Name,B12)&gt;1,"⚠ Duplicate name","✓ OK"))</f>
        <v/>
      </c>
      <c r="N12" s="67">
        <f>IF(AND(B12&lt;&gt;"",N(K12)&gt;0),K12+6/1000000,"")</f>
        <v/>
      </c>
    </row>
    <row r="13">
      <c r="B13" s="62" t="n"/>
      <c r="C13" s="62" t="n"/>
      <c r="D13" s="62" t="n"/>
      <c r="E13" s="62" t="n"/>
      <c r="F13" s="62" t="n"/>
      <c r="G13" s="69" t="n"/>
      <c r="H13" s="62" t="n"/>
      <c r="I13" s="65">
        <f>IF(B13="","",SUMIFS(ap_Amount,ap_Party,B13,ap_Posted,1,ap_Date,"&lt;="&amp;AsOf))</f>
        <v/>
      </c>
      <c r="J13" s="65">
        <f>IF(B13="","",SUMIFS(ap_Paid,ap_Party,B13))</f>
        <v/>
      </c>
      <c r="K13" s="65">
        <f>IF(B13="","",SUMIFS(ap_Balance,ap_Party,B13))</f>
        <v/>
      </c>
      <c r="L13" s="65">
        <f>IF(B13="","",SUMIFS(ap_Balance,ap_Party,B13,ap_Status,"Overdue"))</f>
        <v/>
      </c>
      <c r="M13" s="66">
        <f>IF(B13="","",IF(COUNTIF(vend_Name,B13)&gt;1,"⚠ Duplicate name","✓ OK"))</f>
        <v/>
      </c>
      <c r="N13" s="67">
        <f>IF(AND(B13&lt;&gt;"",N(K13)&gt;0),K13+7/1000000,"")</f>
        <v/>
      </c>
    </row>
    <row r="14">
      <c r="B14" s="62" t="n"/>
      <c r="C14" s="62" t="n"/>
      <c r="D14" s="62" t="n"/>
      <c r="E14" s="62" t="n"/>
      <c r="F14" s="62" t="n"/>
      <c r="G14" s="69" t="n"/>
      <c r="H14" s="62" t="n"/>
      <c r="I14" s="65">
        <f>IF(B14="","",SUMIFS(ap_Amount,ap_Party,B14,ap_Posted,1,ap_Date,"&lt;="&amp;AsOf))</f>
        <v/>
      </c>
      <c r="J14" s="65">
        <f>IF(B14="","",SUMIFS(ap_Paid,ap_Party,B14))</f>
        <v/>
      </c>
      <c r="K14" s="65">
        <f>IF(B14="","",SUMIFS(ap_Balance,ap_Party,B14))</f>
        <v/>
      </c>
      <c r="L14" s="65">
        <f>IF(B14="","",SUMIFS(ap_Balance,ap_Party,B14,ap_Status,"Overdue"))</f>
        <v/>
      </c>
      <c r="M14" s="66">
        <f>IF(B14="","",IF(COUNTIF(vend_Name,B14)&gt;1,"⚠ Duplicate name","✓ OK"))</f>
        <v/>
      </c>
      <c r="N14" s="67">
        <f>IF(AND(B14&lt;&gt;"",N(K14)&gt;0),K14+8/1000000,"")</f>
        <v/>
      </c>
    </row>
    <row r="15">
      <c r="B15" s="62" t="n"/>
      <c r="C15" s="62" t="n"/>
      <c r="D15" s="62" t="n"/>
      <c r="E15" s="62" t="n"/>
      <c r="F15" s="62" t="n"/>
      <c r="G15" s="69" t="n"/>
      <c r="H15" s="62" t="n"/>
      <c r="I15" s="65">
        <f>IF(B15="","",SUMIFS(ap_Amount,ap_Party,B15,ap_Posted,1,ap_Date,"&lt;="&amp;AsOf))</f>
        <v/>
      </c>
      <c r="J15" s="65">
        <f>IF(B15="","",SUMIFS(ap_Paid,ap_Party,B15))</f>
        <v/>
      </c>
      <c r="K15" s="65">
        <f>IF(B15="","",SUMIFS(ap_Balance,ap_Party,B15))</f>
        <v/>
      </c>
      <c r="L15" s="65">
        <f>IF(B15="","",SUMIFS(ap_Balance,ap_Party,B15,ap_Status,"Overdue"))</f>
        <v/>
      </c>
      <c r="M15" s="66">
        <f>IF(B15="","",IF(COUNTIF(vend_Name,B15)&gt;1,"⚠ Duplicate name","✓ OK"))</f>
        <v/>
      </c>
      <c r="N15" s="67">
        <f>IF(AND(B15&lt;&gt;"",N(K15)&gt;0),K15+9/1000000,"")</f>
        <v/>
      </c>
    </row>
    <row r="16">
      <c r="B16" s="62" t="n"/>
      <c r="C16" s="62" t="n"/>
      <c r="D16" s="62" t="n"/>
      <c r="E16" s="62" t="n"/>
      <c r="F16" s="62" t="n"/>
      <c r="G16" s="69" t="n"/>
      <c r="H16" s="62" t="n"/>
      <c r="I16" s="65">
        <f>IF(B16="","",SUMIFS(ap_Amount,ap_Party,B16,ap_Posted,1,ap_Date,"&lt;="&amp;AsOf))</f>
        <v/>
      </c>
      <c r="J16" s="65">
        <f>IF(B16="","",SUMIFS(ap_Paid,ap_Party,B16))</f>
        <v/>
      </c>
      <c r="K16" s="65">
        <f>IF(B16="","",SUMIFS(ap_Balance,ap_Party,B16))</f>
        <v/>
      </c>
      <c r="L16" s="65">
        <f>IF(B16="","",SUMIFS(ap_Balance,ap_Party,B16,ap_Status,"Overdue"))</f>
        <v/>
      </c>
      <c r="M16" s="66">
        <f>IF(B16="","",IF(COUNTIF(vend_Name,B16)&gt;1,"⚠ Duplicate name","✓ OK"))</f>
        <v/>
      </c>
      <c r="N16" s="67">
        <f>IF(AND(B16&lt;&gt;"",N(K16)&gt;0),K16+10/1000000,"")</f>
        <v/>
      </c>
    </row>
    <row r="17">
      <c r="B17" s="62" t="n"/>
      <c r="C17" s="62" t="n"/>
      <c r="D17" s="62" t="n"/>
      <c r="E17" s="62" t="n"/>
      <c r="F17" s="62" t="n"/>
      <c r="G17" s="69" t="n"/>
      <c r="H17" s="62" t="n"/>
      <c r="I17" s="65">
        <f>IF(B17="","",SUMIFS(ap_Amount,ap_Party,B17,ap_Posted,1,ap_Date,"&lt;="&amp;AsOf))</f>
        <v/>
      </c>
      <c r="J17" s="65">
        <f>IF(B17="","",SUMIFS(ap_Paid,ap_Party,B17))</f>
        <v/>
      </c>
      <c r="K17" s="65">
        <f>IF(B17="","",SUMIFS(ap_Balance,ap_Party,B17))</f>
        <v/>
      </c>
      <c r="L17" s="65">
        <f>IF(B17="","",SUMIFS(ap_Balance,ap_Party,B17,ap_Status,"Overdue"))</f>
        <v/>
      </c>
      <c r="M17" s="66">
        <f>IF(B17="","",IF(COUNTIF(vend_Name,B17)&gt;1,"⚠ Duplicate name","✓ OK"))</f>
        <v/>
      </c>
      <c r="N17" s="67">
        <f>IF(AND(B17&lt;&gt;"",N(K17)&gt;0),K17+11/1000000,"")</f>
        <v/>
      </c>
    </row>
    <row r="18">
      <c r="B18" s="62" t="n"/>
      <c r="C18" s="62" t="n"/>
      <c r="D18" s="62" t="n"/>
      <c r="E18" s="62" t="n"/>
      <c r="F18" s="62" t="n"/>
      <c r="G18" s="69" t="n"/>
      <c r="H18" s="62" t="n"/>
      <c r="I18" s="65">
        <f>IF(B18="","",SUMIFS(ap_Amount,ap_Party,B18,ap_Posted,1,ap_Date,"&lt;="&amp;AsOf))</f>
        <v/>
      </c>
      <c r="J18" s="65">
        <f>IF(B18="","",SUMIFS(ap_Paid,ap_Party,B18))</f>
        <v/>
      </c>
      <c r="K18" s="65">
        <f>IF(B18="","",SUMIFS(ap_Balance,ap_Party,B18))</f>
        <v/>
      </c>
      <c r="L18" s="65">
        <f>IF(B18="","",SUMIFS(ap_Balance,ap_Party,B18,ap_Status,"Overdue"))</f>
        <v/>
      </c>
      <c r="M18" s="66">
        <f>IF(B18="","",IF(COUNTIF(vend_Name,B18)&gt;1,"⚠ Duplicate name","✓ OK"))</f>
        <v/>
      </c>
      <c r="N18" s="67">
        <f>IF(AND(B18&lt;&gt;"",N(K18)&gt;0),K18+12/1000000,"")</f>
        <v/>
      </c>
    </row>
    <row r="19">
      <c r="B19" s="62" t="n"/>
      <c r="C19" s="62" t="n"/>
      <c r="D19" s="62" t="n"/>
      <c r="E19" s="62" t="n"/>
      <c r="F19" s="62" t="n"/>
      <c r="G19" s="69" t="n"/>
      <c r="H19" s="62" t="n"/>
      <c r="I19" s="65">
        <f>IF(B19="","",SUMIFS(ap_Amount,ap_Party,B19,ap_Posted,1,ap_Date,"&lt;="&amp;AsOf))</f>
        <v/>
      </c>
      <c r="J19" s="65">
        <f>IF(B19="","",SUMIFS(ap_Paid,ap_Party,B19))</f>
        <v/>
      </c>
      <c r="K19" s="65">
        <f>IF(B19="","",SUMIFS(ap_Balance,ap_Party,B19))</f>
        <v/>
      </c>
      <c r="L19" s="65">
        <f>IF(B19="","",SUMIFS(ap_Balance,ap_Party,B19,ap_Status,"Overdue"))</f>
        <v/>
      </c>
      <c r="M19" s="66">
        <f>IF(B19="","",IF(COUNTIF(vend_Name,B19)&gt;1,"⚠ Duplicate name","✓ OK"))</f>
        <v/>
      </c>
      <c r="N19" s="67">
        <f>IF(AND(B19&lt;&gt;"",N(K19)&gt;0),K19+13/1000000,"")</f>
        <v/>
      </c>
    </row>
    <row r="20">
      <c r="B20" s="62" t="n"/>
      <c r="C20" s="62" t="n"/>
      <c r="D20" s="62" t="n"/>
      <c r="E20" s="62" t="n"/>
      <c r="F20" s="62" t="n"/>
      <c r="G20" s="69" t="n"/>
      <c r="H20" s="62" t="n"/>
      <c r="I20" s="65">
        <f>IF(B20="","",SUMIFS(ap_Amount,ap_Party,B20,ap_Posted,1,ap_Date,"&lt;="&amp;AsOf))</f>
        <v/>
      </c>
      <c r="J20" s="65">
        <f>IF(B20="","",SUMIFS(ap_Paid,ap_Party,B20))</f>
        <v/>
      </c>
      <c r="K20" s="65">
        <f>IF(B20="","",SUMIFS(ap_Balance,ap_Party,B20))</f>
        <v/>
      </c>
      <c r="L20" s="65">
        <f>IF(B20="","",SUMIFS(ap_Balance,ap_Party,B20,ap_Status,"Overdue"))</f>
        <v/>
      </c>
      <c r="M20" s="66">
        <f>IF(B20="","",IF(COUNTIF(vend_Name,B20)&gt;1,"⚠ Duplicate name","✓ OK"))</f>
        <v/>
      </c>
      <c r="N20" s="67">
        <f>IF(AND(B20&lt;&gt;"",N(K20)&gt;0),K20+14/1000000,"")</f>
        <v/>
      </c>
    </row>
    <row r="21">
      <c r="B21" s="62" t="n"/>
      <c r="C21" s="62" t="n"/>
      <c r="D21" s="62" t="n"/>
      <c r="E21" s="62" t="n"/>
      <c r="F21" s="62" t="n"/>
      <c r="G21" s="69" t="n"/>
      <c r="H21" s="62" t="n"/>
      <c r="I21" s="65">
        <f>IF(B21="","",SUMIFS(ap_Amount,ap_Party,B21,ap_Posted,1,ap_Date,"&lt;="&amp;AsOf))</f>
        <v/>
      </c>
      <c r="J21" s="65">
        <f>IF(B21="","",SUMIFS(ap_Paid,ap_Party,B21))</f>
        <v/>
      </c>
      <c r="K21" s="65">
        <f>IF(B21="","",SUMIFS(ap_Balance,ap_Party,B21))</f>
        <v/>
      </c>
      <c r="L21" s="65">
        <f>IF(B21="","",SUMIFS(ap_Balance,ap_Party,B21,ap_Status,"Overdue"))</f>
        <v/>
      </c>
      <c r="M21" s="66">
        <f>IF(B21="","",IF(COUNTIF(vend_Name,B21)&gt;1,"⚠ Duplicate name","✓ OK"))</f>
        <v/>
      </c>
      <c r="N21" s="67">
        <f>IF(AND(B21&lt;&gt;"",N(K21)&gt;0),K21+15/1000000,"")</f>
        <v/>
      </c>
    </row>
    <row r="22">
      <c r="B22" s="62" t="n"/>
      <c r="C22" s="62" t="n"/>
      <c r="D22" s="62" t="n"/>
      <c r="E22" s="62" t="n"/>
      <c r="F22" s="62" t="n"/>
      <c r="G22" s="69" t="n"/>
      <c r="H22" s="62" t="n"/>
      <c r="I22" s="65">
        <f>IF(B22="","",SUMIFS(ap_Amount,ap_Party,B22,ap_Posted,1,ap_Date,"&lt;="&amp;AsOf))</f>
        <v/>
      </c>
      <c r="J22" s="65">
        <f>IF(B22="","",SUMIFS(ap_Paid,ap_Party,B22))</f>
        <v/>
      </c>
      <c r="K22" s="65">
        <f>IF(B22="","",SUMIFS(ap_Balance,ap_Party,B22))</f>
        <v/>
      </c>
      <c r="L22" s="65">
        <f>IF(B22="","",SUMIFS(ap_Balance,ap_Party,B22,ap_Status,"Overdue"))</f>
        <v/>
      </c>
      <c r="M22" s="66">
        <f>IF(B22="","",IF(COUNTIF(vend_Name,B22)&gt;1,"⚠ Duplicate name","✓ OK"))</f>
        <v/>
      </c>
      <c r="N22" s="67">
        <f>IF(AND(B22&lt;&gt;"",N(K22)&gt;0),K22+16/1000000,"")</f>
        <v/>
      </c>
    </row>
    <row r="23">
      <c r="B23" s="62" t="n"/>
      <c r="C23" s="62" t="n"/>
      <c r="D23" s="62" t="n"/>
      <c r="E23" s="62" t="n"/>
      <c r="F23" s="62" t="n"/>
      <c r="G23" s="69" t="n"/>
      <c r="H23" s="62" t="n"/>
      <c r="I23" s="65">
        <f>IF(B23="","",SUMIFS(ap_Amount,ap_Party,B23,ap_Posted,1,ap_Date,"&lt;="&amp;AsOf))</f>
        <v/>
      </c>
      <c r="J23" s="65">
        <f>IF(B23="","",SUMIFS(ap_Paid,ap_Party,B23))</f>
        <v/>
      </c>
      <c r="K23" s="65">
        <f>IF(B23="","",SUMIFS(ap_Balance,ap_Party,B23))</f>
        <v/>
      </c>
      <c r="L23" s="65">
        <f>IF(B23="","",SUMIFS(ap_Balance,ap_Party,B23,ap_Status,"Overdue"))</f>
        <v/>
      </c>
      <c r="M23" s="66">
        <f>IF(B23="","",IF(COUNTIF(vend_Name,B23)&gt;1,"⚠ Duplicate name","✓ OK"))</f>
        <v/>
      </c>
      <c r="N23" s="67">
        <f>IF(AND(B23&lt;&gt;"",N(K23)&gt;0),K23+17/1000000,"")</f>
        <v/>
      </c>
    </row>
    <row r="24">
      <c r="B24" s="62" t="n"/>
      <c r="C24" s="62" t="n"/>
      <c r="D24" s="62" t="n"/>
      <c r="E24" s="62" t="n"/>
      <c r="F24" s="62" t="n"/>
      <c r="G24" s="69" t="n"/>
      <c r="H24" s="62" t="n"/>
      <c r="I24" s="65">
        <f>IF(B24="","",SUMIFS(ap_Amount,ap_Party,B24,ap_Posted,1,ap_Date,"&lt;="&amp;AsOf))</f>
        <v/>
      </c>
      <c r="J24" s="65">
        <f>IF(B24="","",SUMIFS(ap_Paid,ap_Party,B24))</f>
        <v/>
      </c>
      <c r="K24" s="65">
        <f>IF(B24="","",SUMIFS(ap_Balance,ap_Party,B24))</f>
        <v/>
      </c>
      <c r="L24" s="65">
        <f>IF(B24="","",SUMIFS(ap_Balance,ap_Party,B24,ap_Status,"Overdue"))</f>
        <v/>
      </c>
      <c r="M24" s="66">
        <f>IF(B24="","",IF(COUNTIF(vend_Name,B24)&gt;1,"⚠ Duplicate name","✓ OK"))</f>
        <v/>
      </c>
      <c r="N24" s="67">
        <f>IF(AND(B24&lt;&gt;"",N(K24)&gt;0),K24+18/1000000,"")</f>
        <v/>
      </c>
    </row>
    <row r="25">
      <c r="B25" s="62" t="n"/>
      <c r="C25" s="62" t="n"/>
      <c r="D25" s="62" t="n"/>
      <c r="E25" s="62" t="n"/>
      <c r="F25" s="62" t="n"/>
      <c r="G25" s="69" t="n"/>
      <c r="H25" s="62" t="n"/>
      <c r="I25" s="65">
        <f>IF(B25="","",SUMIFS(ap_Amount,ap_Party,B25,ap_Posted,1,ap_Date,"&lt;="&amp;AsOf))</f>
        <v/>
      </c>
      <c r="J25" s="65">
        <f>IF(B25="","",SUMIFS(ap_Paid,ap_Party,B25))</f>
        <v/>
      </c>
      <c r="K25" s="65">
        <f>IF(B25="","",SUMIFS(ap_Balance,ap_Party,B25))</f>
        <v/>
      </c>
      <c r="L25" s="65">
        <f>IF(B25="","",SUMIFS(ap_Balance,ap_Party,B25,ap_Status,"Overdue"))</f>
        <v/>
      </c>
      <c r="M25" s="66">
        <f>IF(B25="","",IF(COUNTIF(vend_Name,B25)&gt;1,"⚠ Duplicate name","✓ OK"))</f>
        <v/>
      </c>
      <c r="N25" s="67">
        <f>IF(AND(B25&lt;&gt;"",N(K25)&gt;0),K25+19/1000000,"")</f>
        <v/>
      </c>
    </row>
    <row r="26">
      <c r="B26" s="62" t="n"/>
      <c r="C26" s="62" t="n"/>
      <c r="D26" s="62" t="n"/>
      <c r="E26" s="62" t="n"/>
      <c r="F26" s="62" t="n"/>
      <c r="G26" s="69" t="n"/>
      <c r="H26" s="62" t="n"/>
      <c r="I26" s="65">
        <f>IF(B26="","",SUMIFS(ap_Amount,ap_Party,B26,ap_Posted,1,ap_Date,"&lt;="&amp;AsOf))</f>
        <v/>
      </c>
      <c r="J26" s="65">
        <f>IF(B26="","",SUMIFS(ap_Paid,ap_Party,B26))</f>
        <v/>
      </c>
      <c r="K26" s="65">
        <f>IF(B26="","",SUMIFS(ap_Balance,ap_Party,B26))</f>
        <v/>
      </c>
      <c r="L26" s="65">
        <f>IF(B26="","",SUMIFS(ap_Balance,ap_Party,B26,ap_Status,"Overdue"))</f>
        <v/>
      </c>
      <c r="M26" s="66">
        <f>IF(B26="","",IF(COUNTIF(vend_Name,B26)&gt;1,"⚠ Duplicate name","✓ OK"))</f>
        <v/>
      </c>
      <c r="N26" s="67">
        <f>IF(AND(B26&lt;&gt;"",N(K26)&gt;0),K26+20/1000000,"")</f>
        <v/>
      </c>
    </row>
    <row r="27">
      <c r="B27" s="62" t="n"/>
      <c r="C27" s="62" t="n"/>
      <c r="D27" s="62" t="n"/>
      <c r="E27" s="62" t="n"/>
      <c r="F27" s="62" t="n"/>
      <c r="G27" s="69" t="n"/>
      <c r="H27" s="62" t="n"/>
      <c r="I27" s="65">
        <f>IF(B27="","",SUMIFS(ap_Amount,ap_Party,B27,ap_Posted,1,ap_Date,"&lt;="&amp;AsOf))</f>
        <v/>
      </c>
      <c r="J27" s="65">
        <f>IF(B27="","",SUMIFS(ap_Paid,ap_Party,B27))</f>
        <v/>
      </c>
      <c r="K27" s="65">
        <f>IF(B27="","",SUMIFS(ap_Balance,ap_Party,B27))</f>
        <v/>
      </c>
      <c r="L27" s="65">
        <f>IF(B27="","",SUMIFS(ap_Balance,ap_Party,B27,ap_Status,"Overdue"))</f>
        <v/>
      </c>
      <c r="M27" s="66">
        <f>IF(B27="","",IF(COUNTIF(vend_Name,B27)&gt;1,"⚠ Duplicate name","✓ OK"))</f>
        <v/>
      </c>
      <c r="N27" s="67">
        <f>IF(AND(B27&lt;&gt;"",N(K27)&gt;0),K27+21/1000000,"")</f>
        <v/>
      </c>
    </row>
    <row r="28">
      <c r="B28" s="62" t="n"/>
      <c r="C28" s="62" t="n"/>
      <c r="D28" s="62" t="n"/>
      <c r="E28" s="62" t="n"/>
      <c r="F28" s="62" t="n"/>
      <c r="G28" s="69" t="n"/>
      <c r="H28" s="62" t="n"/>
      <c r="I28" s="65">
        <f>IF(B28="","",SUMIFS(ap_Amount,ap_Party,B28,ap_Posted,1,ap_Date,"&lt;="&amp;AsOf))</f>
        <v/>
      </c>
      <c r="J28" s="65">
        <f>IF(B28="","",SUMIFS(ap_Paid,ap_Party,B28))</f>
        <v/>
      </c>
      <c r="K28" s="65">
        <f>IF(B28="","",SUMIFS(ap_Balance,ap_Party,B28))</f>
        <v/>
      </c>
      <c r="L28" s="65">
        <f>IF(B28="","",SUMIFS(ap_Balance,ap_Party,B28,ap_Status,"Overdue"))</f>
        <v/>
      </c>
      <c r="M28" s="66">
        <f>IF(B28="","",IF(COUNTIF(vend_Name,B28)&gt;1,"⚠ Duplicate name","✓ OK"))</f>
        <v/>
      </c>
      <c r="N28" s="67">
        <f>IF(AND(B28&lt;&gt;"",N(K28)&gt;0),K28+22/1000000,"")</f>
        <v/>
      </c>
    </row>
    <row r="29">
      <c r="B29" s="62" t="n"/>
      <c r="C29" s="62" t="n"/>
      <c r="D29" s="62" t="n"/>
      <c r="E29" s="62" t="n"/>
      <c r="F29" s="62" t="n"/>
      <c r="G29" s="69" t="n"/>
      <c r="H29" s="62" t="n"/>
      <c r="I29" s="65">
        <f>IF(B29="","",SUMIFS(ap_Amount,ap_Party,B29,ap_Posted,1,ap_Date,"&lt;="&amp;AsOf))</f>
        <v/>
      </c>
      <c r="J29" s="65">
        <f>IF(B29="","",SUMIFS(ap_Paid,ap_Party,B29))</f>
        <v/>
      </c>
      <c r="K29" s="65">
        <f>IF(B29="","",SUMIFS(ap_Balance,ap_Party,B29))</f>
        <v/>
      </c>
      <c r="L29" s="65">
        <f>IF(B29="","",SUMIFS(ap_Balance,ap_Party,B29,ap_Status,"Overdue"))</f>
        <v/>
      </c>
      <c r="M29" s="66">
        <f>IF(B29="","",IF(COUNTIF(vend_Name,B29)&gt;1,"⚠ Duplicate name","✓ OK"))</f>
        <v/>
      </c>
      <c r="N29" s="67">
        <f>IF(AND(B29&lt;&gt;"",N(K29)&gt;0),K29+23/1000000,"")</f>
        <v/>
      </c>
    </row>
    <row r="30">
      <c r="B30" s="62" t="n"/>
      <c r="C30" s="62" t="n"/>
      <c r="D30" s="62" t="n"/>
      <c r="E30" s="62" t="n"/>
      <c r="F30" s="62" t="n"/>
      <c r="G30" s="69" t="n"/>
      <c r="H30" s="62" t="n"/>
      <c r="I30" s="65">
        <f>IF(B30="","",SUMIFS(ap_Amount,ap_Party,B30,ap_Posted,1,ap_Date,"&lt;="&amp;AsOf))</f>
        <v/>
      </c>
      <c r="J30" s="65">
        <f>IF(B30="","",SUMIFS(ap_Paid,ap_Party,B30))</f>
        <v/>
      </c>
      <c r="K30" s="65">
        <f>IF(B30="","",SUMIFS(ap_Balance,ap_Party,B30))</f>
        <v/>
      </c>
      <c r="L30" s="65">
        <f>IF(B30="","",SUMIFS(ap_Balance,ap_Party,B30,ap_Status,"Overdue"))</f>
        <v/>
      </c>
      <c r="M30" s="66">
        <f>IF(B30="","",IF(COUNTIF(vend_Name,B30)&gt;1,"⚠ Duplicate name","✓ OK"))</f>
        <v/>
      </c>
      <c r="N30" s="67">
        <f>IF(AND(B30&lt;&gt;"",N(K30)&gt;0),K30+24/1000000,"")</f>
        <v/>
      </c>
    </row>
    <row r="31">
      <c r="B31" s="62" t="n"/>
      <c r="C31" s="62" t="n"/>
      <c r="D31" s="62" t="n"/>
      <c r="E31" s="62" t="n"/>
      <c r="F31" s="62" t="n"/>
      <c r="G31" s="69" t="n"/>
      <c r="H31" s="62" t="n"/>
      <c r="I31" s="65">
        <f>IF(B31="","",SUMIFS(ap_Amount,ap_Party,B31,ap_Posted,1,ap_Date,"&lt;="&amp;AsOf))</f>
        <v/>
      </c>
      <c r="J31" s="65">
        <f>IF(B31="","",SUMIFS(ap_Paid,ap_Party,B31))</f>
        <v/>
      </c>
      <c r="K31" s="65">
        <f>IF(B31="","",SUMIFS(ap_Balance,ap_Party,B31))</f>
        <v/>
      </c>
      <c r="L31" s="65">
        <f>IF(B31="","",SUMIFS(ap_Balance,ap_Party,B31,ap_Status,"Overdue"))</f>
        <v/>
      </c>
      <c r="M31" s="66">
        <f>IF(B31="","",IF(COUNTIF(vend_Name,B31)&gt;1,"⚠ Duplicate name","✓ OK"))</f>
        <v/>
      </c>
      <c r="N31" s="67">
        <f>IF(AND(B31&lt;&gt;"",N(K31)&gt;0),K31+25/1000000,"")</f>
        <v/>
      </c>
    </row>
    <row r="32">
      <c r="B32" s="62" t="n"/>
      <c r="C32" s="62" t="n"/>
      <c r="D32" s="62" t="n"/>
      <c r="E32" s="62" t="n"/>
      <c r="F32" s="62" t="n"/>
      <c r="G32" s="69" t="n"/>
      <c r="H32" s="62" t="n"/>
      <c r="I32" s="65">
        <f>IF(B32="","",SUMIFS(ap_Amount,ap_Party,B32,ap_Posted,1,ap_Date,"&lt;="&amp;AsOf))</f>
        <v/>
      </c>
      <c r="J32" s="65">
        <f>IF(B32="","",SUMIFS(ap_Paid,ap_Party,B32))</f>
        <v/>
      </c>
      <c r="K32" s="65">
        <f>IF(B32="","",SUMIFS(ap_Balance,ap_Party,B32))</f>
        <v/>
      </c>
      <c r="L32" s="65">
        <f>IF(B32="","",SUMIFS(ap_Balance,ap_Party,B32,ap_Status,"Overdue"))</f>
        <v/>
      </c>
      <c r="M32" s="66">
        <f>IF(B32="","",IF(COUNTIF(vend_Name,B32)&gt;1,"⚠ Duplicate name","✓ OK"))</f>
        <v/>
      </c>
      <c r="N32" s="67">
        <f>IF(AND(B32&lt;&gt;"",N(K32)&gt;0),K32+26/1000000,"")</f>
        <v/>
      </c>
    </row>
    <row r="33">
      <c r="B33" s="62" t="n"/>
      <c r="C33" s="62" t="n"/>
      <c r="D33" s="62" t="n"/>
      <c r="E33" s="62" t="n"/>
      <c r="F33" s="62" t="n"/>
      <c r="G33" s="69" t="n"/>
      <c r="H33" s="62" t="n"/>
      <c r="I33" s="65">
        <f>IF(B33="","",SUMIFS(ap_Amount,ap_Party,B33,ap_Posted,1,ap_Date,"&lt;="&amp;AsOf))</f>
        <v/>
      </c>
      <c r="J33" s="65">
        <f>IF(B33="","",SUMIFS(ap_Paid,ap_Party,B33))</f>
        <v/>
      </c>
      <c r="K33" s="65">
        <f>IF(B33="","",SUMIFS(ap_Balance,ap_Party,B33))</f>
        <v/>
      </c>
      <c r="L33" s="65">
        <f>IF(B33="","",SUMIFS(ap_Balance,ap_Party,B33,ap_Status,"Overdue"))</f>
        <v/>
      </c>
      <c r="M33" s="66">
        <f>IF(B33="","",IF(COUNTIF(vend_Name,B33)&gt;1,"⚠ Duplicate name","✓ OK"))</f>
        <v/>
      </c>
      <c r="N33" s="67">
        <f>IF(AND(B33&lt;&gt;"",N(K33)&gt;0),K33+27/1000000,"")</f>
        <v/>
      </c>
    </row>
    <row r="34">
      <c r="B34" s="62" t="n"/>
      <c r="C34" s="62" t="n"/>
      <c r="D34" s="62" t="n"/>
      <c r="E34" s="62" t="n"/>
      <c r="F34" s="62" t="n"/>
      <c r="G34" s="69" t="n"/>
      <c r="H34" s="62" t="n"/>
      <c r="I34" s="65">
        <f>IF(B34="","",SUMIFS(ap_Amount,ap_Party,B34,ap_Posted,1,ap_Date,"&lt;="&amp;AsOf))</f>
        <v/>
      </c>
      <c r="J34" s="65">
        <f>IF(B34="","",SUMIFS(ap_Paid,ap_Party,B34))</f>
        <v/>
      </c>
      <c r="K34" s="65">
        <f>IF(B34="","",SUMIFS(ap_Balance,ap_Party,B34))</f>
        <v/>
      </c>
      <c r="L34" s="65">
        <f>IF(B34="","",SUMIFS(ap_Balance,ap_Party,B34,ap_Status,"Overdue"))</f>
        <v/>
      </c>
      <c r="M34" s="66">
        <f>IF(B34="","",IF(COUNTIF(vend_Name,B34)&gt;1,"⚠ Duplicate name","✓ OK"))</f>
        <v/>
      </c>
      <c r="N34" s="67">
        <f>IF(AND(B34&lt;&gt;"",N(K34)&gt;0),K34+28/1000000,"")</f>
        <v/>
      </c>
    </row>
    <row r="35">
      <c r="B35" s="62" t="n"/>
      <c r="C35" s="62" t="n"/>
      <c r="D35" s="62" t="n"/>
      <c r="E35" s="62" t="n"/>
      <c r="F35" s="62" t="n"/>
      <c r="G35" s="69" t="n"/>
      <c r="H35" s="62" t="n"/>
      <c r="I35" s="65">
        <f>IF(B35="","",SUMIFS(ap_Amount,ap_Party,B35,ap_Posted,1,ap_Date,"&lt;="&amp;AsOf))</f>
        <v/>
      </c>
      <c r="J35" s="65">
        <f>IF(B35="","",SUMIFS(ap_Paid,ap_Party,B35))</f>
        <v/>
      </c>
      <c r="K35" s="65">
        <f>IF(B35="","",SUMIFS(ap_Balance,ap_Party,B35))</f>
        <v/>
      </c>
      <c r="L35" s="65">
        <f>IF(B35="","",SUMIFS(ap_Balance,ap_Party,B35,ap_Status,"Overdue"))</f>
        <v/>
      </c>
      <c r="M35" s="66">
        <f>IF(B35="","",IF(COUNTIF(vend_Name,B35)&gt;1,"⚠ Duplicate name","✓ OK"))</f>
        <v/>
      </c>
      <c r="N35" s="67">
        <f>IF(AND(B35&lt;&gt;"",N(K35)&gt;0),K35+29/1000000,"")</f>
        <v/>
      </c>
    </row>
    <row r="36">
      <c r="B36" s="62" t="n"/>
      <c r="C36" s="62" t="n"/>
      <c r="D36" s="62" t="n"/>
      <c r="E36" s="62" t="n"/>
      <c r="F36" s="62" t="n"/>
      <c r="G36" s="69" t="n"/>
      <c r="H36" s="62" t="n"/>
      <c r="I36" s="65">
        <f>IF(B36="","",SUMIFS(ap_Amount,ap_Party,B36,ap_Posted,1,ap_Date,"&lt;="&amp;AsOf))</f>
        <v/>
      </c>
      <c r="J36" s="65">
        <f>IF(B36="","",SUMIFS(ap_Paid,ap_Party,B36))</f>
        <v/>
      </c>
      <c r="K36" s="65">
        <f>IF(B36="","",SUMIFS(ap_Balance,ap_Party,B36))</f>
        <v/>
      </c>
      <c r="L36" s="65">
        <f>IF(B36="","",SUMIFS(ap_Balance,ap_Party,B36,ap_Status,"Overdue"))</f>
        <v/>
      </c>
      <c r="M36" s="66">
        <f>IF(B36="","",IF(COUNTIF(vend_Name,B36)&gt;1,"⚠ Duplicate name","✓ OK"))</f>
        <v/>
      </c>
      <c r="N36" s="67">
        <f>IF(AND(B36&lt;&gt;"",N(K36)&gt;0),K36+30/1000000,"")</f>
        <v/>
      </c>
    </row>
    <row r="37">
      <c r="B37" s="62" t="n"/>
      <c r="C37" s="62" t="n"/>
      <c r="D37" s="62" t="n"/>
      <c r="E37" s="62" t="n"/>
      <c r="F37" s="62" t="n"/>
      <c r="G37" s="69" t="n"/>
      <c r="H37" s="62" t="n"/>
      <c r="I37" s="65">
        <f>IF(B37="","",SUMIFS(ap_Amount,ap_Party,B37,ap_Posted,1,ap_Date,"&lt;="&amp;AsOf))</f>
        <v/>
      </c>
      <c r="J37" s="65">
        <f>IF(B37="","",SUMIFS(ap_Paid,ap_Party,B37))</f>
        <v/>
      </c>
      <c r="K37" s="65">
        <f>IF(B37="","",SUMIFS(ap_Balance,ap_Party,B37))</f>
        <v/>
      </c>
      <c r="L37" s="65">
        <f>IF(B37="","",SUMIFS(ap_Balance,ap_Party,B37,ap_Status,"Overdue"))</f>
        <v/>
      </c>
      <c r="M37" s="66">
        <f>IF(B37="","",IF(COUNTIF(vend_Name,B37)&gt;1,"⚠ Duplicate name","✓ OK"))</f>
        <v/>
      </c>
      <c r="N37" s="67">
        <f>IF(AND(B37&lt;&gt;"",N(K37)&gt;0),K37+31/1000000,"")</f>
        <v/>
      </c>
    </row>
    <row r="38">
      <c r="B38" s="62" t="n"/>
      <c r="C38" s="62" t="n"/>
      <c r="D38" s="62" t="n"/>
      <c r="E38" s="62" t="n"/>
      <c r="F38" s="62" t="n"/>
      <c r="G38" s="69" t="n"/>
      <c r="H38" s="62" t="n"/>
      <c r="I38" s="65">
        <f>IF(B38="","",SUMIFS(ap_Amount,ap_Party,B38,ap_Posted,1,ap_Date,"&lt;="&amp;AsOf))</f>
        <v/>
      </c>
      <c r="J38" s="65">
        <f>IF(B38="","",SUMIFS(ap_Paid,ap_Party,B38))</f>
        <v/>
      </c>
      <c r="K38" s="65">
        <f>IF(B38="","",SUMIFS(ap_Balance,ap_Party,B38))</f>
        <v/>
      </c>
      <c r="L38" s="65">
        <f>IF(B38="","",SUMIFS(ap_Balance,ap_Party,B38,ap_Status,"Overdue"))</f>
        <v/>
      </c>
      <c r="M38" s="66">
        <f>IF(B38="","",IF(COUNTIF(vend_Name,B38)&gt;1,"⚠ Duplicate name","✓ OK"))</f>
        <v/>
      </c>
      <c r="N38" s="67">
        <f>IF(AND(B38&lt;&gt;"",N(K38)&gt;0),K38+32/1000000,"")</f>
        <v/>
      </c>
    </row>
    <row r="39">
      <c r="B39" s="62" t="n"/>
      <c r="C39" s="62" t="n"/>
      <c r="D39" s="62" t="n"/>
      <c r="E39" s="62" t="n"/>
      <c r="F39" s="62" t="n"/>
      <c r="G39" s="69" t="n"/>
      <c r="H39" s="62" t="n"/>
      <c r="I39" s="65">
        <f>IF(B39="","",SUMIFS(ap_Amount,ap_Party,B39,ap_Posted,1,ap_Date,"&lt;="&amp;AsOf))</f>
        <v/>
      </c>
      <c r="J39" s="65">
        <f>IF(B39="","",SUMIFS(ap_Paid,ap_Party,B39))</f>
        <v/>
      </c>
      <c r="K39" s="65">
        <f>IF(B39="","",SUMIFS(ap_Balance,ap_Party,B39))</f>
        <v/>
      </c>
      <c r="L39" s="65">
        <f>IF(B39="","",SUMIFS(ap_Balance,ap_Party,B39,ap_Status,"Overdue"))</f>
        <v/>
      </c>
      <c r="M39" s="66">
        <f>IF(B39="","",IF(COUNTIF(vend_Name,B39)&gt;1,"⚠ Duplicate name","✓ OK"))</f>
        <v/>
      </c>
      <c r="N39" s="67">
        <f>IF(AND(B39&lt;&gt;"",N(K39)&gt;0),K39+33/1000000,"")</f>
        <v/>
      </c>
    </row>
    <row r="40">
      <c r="B40" s="62" t="n"/>
      <c r="C40" s="62" t="n"/>
      <c r="D40" s="62" t="n"/>
      <c r="E40" s="62" t="n"/>
      <c r="F40" s="62" t="n"/>
      <c r="G40" s="69" t="n"/>
      <c r="H40" s="62" t="n"/>
      <c r="I40" s="65">
        <f>IF(B40="","",SUMIFS(ap_Amount,ap_Party,B40,ap_Posted,1,ap_Date,"&lt;="&amp;AsOf))</f>
        <v/>
      </c>
      <c r="J40" s="65">
        <f>IF(B40="","",SUMIFS(ap_Paid,ap_Party,B40))</f>
        <v/>
      </c>
      <c r="K40" s="65">
        <f>IF(B40="","",SUMIFS(ap_Balance,ap_Party,B40))</f>
        <v/>
      </c>
      <c r="L40" s="65">
        <f>IF(B40="","",SUMIFS(ap_Balance,ap_Party,B40,ap_Status,"Overdue"))</f>
        <v/>
      </c>
      <c r="M40" s="66">
        <f>IF(B40="","",IF(COUNTIF(vend_Name,B40)&gt;1,"⚠ Duplicate name","✓ OK"))</f>
        <v/>
      </c>
      <c r="N40" s="67">
        <f>IF(AND(B40&lt;&gt;"",N(K40)&gt;0),K40+34/1000000,"")</f>
        <v/>
      </c>
    </row>
    <row r="41">
      <c r="B41" s="62" t="n"/>
      <c r="C41" s="62" t="n"/>
      <c r="D41" s="62" t="n"/>
      <c r="E41" s="62" t="n"/>
      <c r="F41" s="62" t="n"/>
      <c r="G41" s="69" t="n"/>
      <c r="H41" s="62" t="n"/>
      <c r="I41" s="65">
        <f>IF(B41="","",SUMIFS(ap_Amount,ap_Party,B41,ap_Posted,1,ap_Date,"&lt;="&amp;AsOf))</f>
        <v/>
      </c>
      <c r="J41" s="65">
        <f>IF(B41="","",SUMIFS(ap_Paid,ap_Party,B41))</f>
        <v/>
      </c>
      <c r="K41" s="65">
        <f>IF(B41="","",SUMIFS(ap_Balance,ap_Party,B41))</f>
        <v/>
      </c>
      <c r="L41" s="65">
        <f>IF(B41="","",SUMIFS(ap_Balance,ap_Party,B41,ap_Status,"Overdue"))</f>
        <v/>
      </c>
      <c r="M41" s="66">
        <f>IF(B41="","",IF(COUNTIF(vend_Name,B41)&gt;1,"⚠ Duplicate name","✓ OK"))</f>
        <v/>
      </c>
      <c r="N41" s="67">
        <f>IF(AND(B41&lt;&gt;"",N(K41)&gt;0),K41+35/1000000,"")</f>
        <v/>
      </c>
    </row>
    <row r="42">
      <c r="B42" s="62" t="n"/>
      <c r="C42" s="62" t="n"/>
      <c r="D42" s="62" t="n"/>
      <c r="E42" s="62" t="n"/>
      <c r="F42" s="62" t="n"/>
      <c r="G42" s="69" t="n"/>
      <c r="H42" s="62" t="n"/>
      <c r="I42" s="65">
        <f>IF(B42="","",SUMIFS(ap_Amount,ap_Party,B42,ap_Posted,1,ap_Date,"&lt;="&amp;AsOf))</f>
        <v/>
      </c>
      <c r="J42" s="65">
        <f>IF(B42="","",SUMIFS(ap_Paid,ap_Party,B42))</f>
        <v/>
      </c>
      <c r="K42" s="65">
        <f>IF(B42="","",SUMIFS(ap_Balance,ap_Party,B42))</f>
        <v/>
      </c>
      <c r="L42" s="65">
        <f>IF(B42="","",SUMIFS(ap_Balance,ap_Party,B42,ap_Status,"Overdue"))</f>
        <v/>
      </c>
      <c r="M42" s="66">
        <f>IF(B42="","",IF(COUNTIF(vend_Name,B42)&gt;1,"⚠ Duplicate name","✓ OK"))</f>
        <v/>
      </c>
      <c r="N42" s="67">
        <f>IF(AND(B42&lt;&gt;"",N(K42)&gt;0),K42+36/1000000,"")</f>
        <v/>
      </c>
    </row>
    <row r="43">
      <c r="B43" s="62" t="n"/>
      <c r="C43" s="62" t="n"/>
      <c r="D43" s="62" t="n"/>
      <c r="E43" s="62" t="n"/>
      <c r="F43" s="62" t="n"/>
      <c r="G43" s="69" t="n"/>
      <c r="H43" s="62" t="n"/>
      <c r="I43" s="65">
        <f>IF(B43="","",SUMIFS(ap_Amount,ap_Party,B43,ap_Posted,1,ap_Date,"&lt;="&amp;AsOf))</f>
        <v/>
      </c>
      <c r="J43" s="65">
        <f>IF(B43="","",SUMIFS(ap_Paid,ap_Party,B43))</f>
        <v/>
      </c>
      <c r="K43" s="65">
        <f>IF(B43="","",SUMIFS(ap_Balance,ap_Party,B43))</f>
        <v/>
      </c>
      <c r="L43" s="65">
        <f>IF(B43="","",SUMIFS(ap_Balance,ap_Party,B43,ap_Status,"Overdue"))</f>
        <v/>
      </c>
      <c r="M43" s="66">
        <f>IF(B43="","",IF(COUNTIF(vend_Name,B43)&gt;1,"⚠ Duplicate name","✓ OK"))</f>
        <v/>
      </c>
      <c r="N43" s="67">
        <f>IF(AND(B43&lt;&gt;"",N(K43)&gt;0),K43+37/1000000,"")</f>
        <v/>
      </c>
    </row>
    <row r="44">
      <c r="B44" s="62" t="n"/>
      <c r="C44" s="62" t="n"/>
      <c r="D44" s="62" t="n"/>
      <c r="E44" s="62" t="n"/>
      <c r="F44" s="62" t="n"/>
      <c r="G44" s="69" t="n"/>
      <c r="H44" s="62" t="n"/>
      <c r="I44" s="65">
        <f>IF(B44="","",SUMIFS(ap_Amount,ap_Party,B44,ap_Posted,1,ap_Date,"&lt;="&amp;AsOf))</f>
        <v/>
      </c>
      <c r="J44" s="65">
        <f>IF(B44="","",SUMIFS(ap_Paid,ap_Party,B44))</f>
        <v/>
      </c>
      <c r="K44" s="65">
        <f>IF(B44="","",SUMIFS(ap_Balance,ap_Party,B44))</f>
        <v/>
      </c>
      <c r="L44" s="65">
        <f>IF(B44="","",SUMIFS(ap_Balance,ap_Party,B44,ap_Status,"Overdue"))</f>
        <v/>
      </c>
      <c r="M44" s="66">
        <f>IF(B44="","",IF(COUNTIF(vend_Name,B44)&gt;1,"⚠ Duplicate name","✓ OK"))</f>
        <v/>
      </c>
      <c r="N44" s="67">
        <f>IF(AND(B44&lt;&gt;"",N(K44)&gt;0),K44+38/1000000,"")</f>
        <v/>
      </c>
    </row>
    <row r="45">
      <c r="B45" s="62" t="n"/>
      <c r="C45" s="62" t="n"/>
      <c r="D45" s="62" t="n"/>
      <c r="E45" s="62" t="n"/>
      <c r="F45" s="62" t="n"/>
      <c r="G45" s="69" t="n"/>
      <c r="H45" s="62" t="n"/>
      <c r="I45" s="65">
        <f>IF(B45="","",SUMIFS(ap_Amount,ap_Party,B45,ap_Posted,1,ap_Date,"&lt;="&amp;AsOf))</f>
        <v/>
      </c>
      <c r="J45" s="65">
        <f>IF(B45="","",SUMIFS(ap_Paid,ap_Party,B45))</f>
        <v/>
      </c>
      <c r="K45" s="65">
        <f>IF(B45="","",SUMIFS(ap_Balance,ap_Party,B45))</f>
        <v/>
      </c>
      <c r="L45" s="65">
        <f>IF(B45="","",SUMIFS(ap_Balance,ap_Party,B45,ap_Status,"Overdue"))</f>
        <v/>
      </c>
      <c r="M45" s="66">
        <f>IF(B45="","",IF(COUNTIF(vend_Name,B45)&gt;1,"⚠ Duplicate name","✓ OK"))</f>
        <v/>
      </c>
      <c r="N45" s="67">
        <f>IF(AND(B45&lt;&gt;"",N(K45)&gt;0),K45+39/1000000,"")</f>
        <v/>
      </c>
    </row>
    <row r="46">
      <c r="B46" s="62" t="n"/>
      <c r="C46" s="62" t="n"/>
      <c r="D46" s="62" t="n"/>
      <c r="E46" s="62" t="n"/>
      <c r="F46" s="62" t="n"/>
      <c r="G46" s="69" t="n"/>
      <c r="H46" s="62" t="n"/>
      <c r="I46" s="65">
        <f>IF(B46="","",SUMIFS(ap_Amount,ap_Party,B46,ap_Posted,1,ap_Date,"&lt;="&amp;AsOf))</f>
        <v/>
      </c>
      <c r="J46" s="65">
        <f>IF(B46="","",SUMIFS(ap_Paid,ap_Party,B46))</f>
        <v/>
      </c>
      <c r="K46" s="65">
        <f>IF(B46="","",SUMIFS(ap_Balance,ap_Party,B46))</f>
        <v/>
      </c>
      <c r="L46" s="65">
        <f>IF(B46="","",SUMIFS(ap_Balance,ap_Party,B46,ap_Status,"Overdue"))</f>
        <v/>
      </c>
      <c r="M46" s="66">
        <f>IF(B46="","",IF(COUNTIF(vend_Name,B46)&gt;1,"⚠ Duplicate name","✓ OK"))</f>
        <v/>
      </c>
      <c r="N46" s="67">
        <f>IF(AND(B46&lt;&gt;"",N(K46)&gt;0),K46+40/1000000,"")</f>
        <v/>
      </c>
    </row>
    <row r="47">
      <c r="B47" s="62" t="n"/>
      <c r="C47" s="62" t="n"/>
      <c r="D47" s="62" t="n"/>
      <c r="E47" s="62" t="n"/>
      <c r="F47" s="62" t="n"/>
      <c r="G47" s="69" t="n"/>
      <c r="H47" s="62" t="n"/>
      <c r="I47" s="65">
        <f>IF(B47="","",SUMIFS(ap_Amount,ap_Party,B47,ap_Posted,1,ap_Date,"&lt;="&amp;AsOf))</f>
        <v/>
      </c>
      <c r="J47" s="65">
        <f>IF(B47="","",SUMIFS(ap_Paid,ap_Party,B47))</f>
        <v/>
      </c>
      <c r="K47" s="65">
        <f>IF(B47="","",SUMIFS(ap_Balance,ap_Party,B47))</f>
        <v/>
      </c>
      <c r="L47" s="65">
        <f>IF(B47="","",SUMIFS(ap_Balance,ap_Party,B47,ap_Status,"Overdue"))</f>
        <v/>
      </c>
      <c r="M47" s="66">
        <f>IF(B47="","",IF(COUNTIF(vend_Name,B47)&gt;1,"⚠ Duplicate name","✓ OK"))</f>
        <v/>
      </c>
      <c r="N47" s="67">
        <f>IF(AND(B47&lt;&gt;"",N(K47)&gt;0),K47+41/1000000,"")</f>
        <v/>
      </c>
    </row>
    <row r="48">
      <c r="B48" s="62" t="n"/>
      <c r="C48" s="62" t="n"/>
      <c r="D48" s="62" t="n"/>
      <c r="E48" s="62" t="n"/>
      <c r="F48" s="62" t="n"/>
      <c r="G48" s="69" t="n"/>
      <c r="H48" s="62" t="n"/>
      <c r="I48" s="65">
        <f>IF(B48="","",SUMIFS(ap_Amount,ap_Party,B48,ap_Posted,1,ap_Date,"&lt;="&amp;AsOf))</f>
        <v/>
      </c>
      <c r="J48" s="65">
        <f>IF(B48="","",SUMIFS(ap_Paid,ap_Party,B48))</f>
        <v/>
      </c>
      <c r="K48" s="65">
        <f>IF(B48="","",SUMIFS(ap_Balance,ap_Party,B48))</f>
        <v/>
      </c>
      <c r="L48" s="65">
        <f>IF(B48="","",SUMIFS(ap_Balance,ap_Party,B48,ap_Status,"Overdue"))</f>
        <v/>
      </c>
      <c r="M48" s="66">
        <f>IF(B48="","",IF(COUNTIF(vend_Name,B48)&gt;1,"⚠ Duplicate name","✓ OK"))</f>
        <v/>
      </c>
      <c r="N48" s="67">
        <f>IF(AND(B48&lt;&gt;"",N(K48)&gt;0),K48+42/1000000,"")</f>
        <v/>
      </c>
    </row>
    <row r="49">
      <c r="B49" s="62" t="n"/>
      <c r="C49" s="62" t="n"/>
      <c r="D49" s="62" t="n"/>
      <c r="E49" s="62" t="n"/>
      <c r="F49" s="62" t="n"/>
      <c r="G49" s="69" t="n"/>
      <c r="H49" s="62" t="n"/>
      <c r="I49" s="65">
        <f>IF(B49="","",SUMIFS(ap_Amount,ap_Party,B49,ap_Posted,1,ap_Date,"&lt;="&amp;AsOf))</f>
        <v/>
      </c>
      <c r="J49" s="65">
        <f>IF(B49="","",SUMIFS(ap_Paid,ap_Party,B49))</f>
        <v/>
      </c>
      <c r="K49" s="65">
        <f>IF(B49="","",SUMIFS(ap_Balance,ap_Party,B49))</f>
        <v/>
      </c>
      <c r="L49" s="65">
        <f>IF(B49="","",SUMIFS(ap_Balance,ap_Party,B49,ap_Status,"Overdue"))</f>
        <v/>
      </c>
      <c r="M49" s="66">
        <f>IF(B49="","",IF(COUNTIF(vend_Name,B49)&gt;1,"⚠ Duplicate name","✓ OK"))</f>
        <v/>
      </c>
      <c r="N49" s="67">
        <f>IF(AND(B49&lt;&gt;"",N(K49)&gt;0),K49+43/1000000,"")</f>
        <v/>
      </c>
    </row>
    <row r="50">
      <c r="B50" s="62" t="n"/>
      <c r="C50" s="62" t="n"/>
      <c r="D50" s="62" t="n"/>
      <c r="E50" s="62" t="n"/>
      <c r="F50" s="62" t="n"/>
      <c r="G50" s="69" t="n"/>
      <c r="H50" s="62" t="n"/>
      <c r="I50" s="65">
        <f>IF(B50="","",SUMIFS(ap_Amount,ap_Party,B50,ap_Posted,1,ap_Date,"&lt;="&amp;AsOf))</f>
        <v/>
      </c>
      <c r="J50" s="65">
        <f>IF(B50="","",SUMIFS(ap_Paid,ap_Party,B50))</f>
        <v/>
      </c>
      <c r="K50" s="65">
        <f>IF(B50="","",SUMIFS(ap_Balance,ap_Party,B50))</f>
        <v/>
      </c>
      <c r="L50" s="65">
        <f>IF(B50="","",SUMIFS(ap_Balance,ap_Party,B50,ap_Status,"Overdue"))</f>
        <v/>
      </c>
      <c r="M50" s="66">
        <f>IF(B50="","",IF(COUNTIF(vend_Name,B50)&gt;1,"⚠ Duplicate name","✓ OK"))</f>
        <v/>
      </c>
      <c r="N50" s="67">
        <f>IF(AND(B50&lt;&gt;"",N(K50)&gt;0),K50+44/1000000,"")</f>
        <v/>
      </c>
    </row>
    <row r="51">
      <c r="B51" s="62" t="n"/>
      <c r="C51" s="62" t="n"/>
      <c r="D51" s="62" t="n"/>
      <c r="E51" s="62" t="n"/>
      <c r="F51" s="62" t="n"/>
      <c r="G51" s="69" t="n"/>
      <c r="H51" s="62" t="n"/>
      <c r="I51" s="65">
        <f>IF(B51="","",SUMIFS(ap_Amount,ap_Party,B51,ap_Posted,1,ap_Date,"&lt;="&amp;AsOf))</f>
        <v/>
      </c>
      <c r="J51" s="65">
        <f>IF(B51="","",SUMIFS(ap_Paid,ap_Party,B51))</f>
        <v/>
      </c>
      <c r="K51" s="65">
        <f>IF(B51="","",SUMIFS(ap_Balance,ap_Party,B51))</f>
        <v/>
      </c>
      <c r="L51" s="65">
        <f>IF(B51="","",SUMIFS(ap_Balance,ap_Party,B51,ap_Status,"Overdue"))</f>
        <v/>
      </c>
      <c r="M51" s="66">
        <f>IF(B51="","",IF(COUNTIF(vend_Name,B51)&gt;1,"⚠ Duplicate name","✓ OK"))</f>
        <v/>
      </c>
      <c r="N51" s="67">
        <f>IF(AND(B51&lt;&gt;"",N(K51)&gt;0),K51+45/1000000,"")</f>
        <v/>
      </c>
    </row>
    <row r="52">
      <c r="B52" s="62" t="n"/>
      <c r="C52" s="62" t="n"/>
      <c r="D52" s="62" t="n"/>
      <c r="E52" s="62" t="n"/>
      <c r="F52" s="62" t="n"/>
      <c r="G52" s="69" t="n"/>
      <c r="H52" s="62" t="n"/>
      <c r="I52" s="65">
        <f>IF(B52="","",SUMIFS(ap_Amount,ap_Party,B52,ap_Posted,1,ap_Date,"&lt;="&amp;AsOf))</f>
        <v/>
      </c>
      <c r="J52" s="65">
        <f>IF(B52="","",SUMIFS(ap_Paid,ap_Party,B52))</f>
        <v/>
      </c>
      <c r="K52" s="65">
        <f>IF(B52="","",SUMIFS(ap_Balance,ap_Party,B52))</f>
        <v/>
      </c>
      <c r="L52" s="65">
        <f>IF(B52="","",SUMIFS(ap_Balance,ap_Party,B52,ap_Status,"Overdue"))</f>
        <v/>
      </c>
      <c r="M52" s="66">
        <f>IF(B52="","",IF(COUNTIF(vend_Name,B52)&gt;1,"⚠ Duplicate name","✓ OK"))</f>
        <v/>
      </c>
      <c r="N52" s="67">
        <f>IF(AND(B52&lt;&gt;"",N(K52)&gt;0),K52+46/1000000,"")</f>
        <v/>
      </c>
    </row>
    <row r="53">
      <c r="B53" s="62" t="n"/>
      <c r="C53" s="62" t="n"/>
      <c r="D53" s="62" t="n"/>
      <c r="E53" s="62" t="n"/>
      <c r="F53" s="62" t="n"/>
      <c r="G53" s="69" t="n"/>
      <c r="H53" s="62" t="n"/>
      <c r="I53" s="65">
        <f>IF(B53="","",SUMIFS(ap_Amount,ap_Party,B53,ap_Posted,1,ap_Date,"&lt;="&amp;AsOf))</f>
        <v/>
      </c>
      <c r="J53" s="65">
        <f>IF(B53="","",SUMIFS(ap_Paid,ap_Party,B53))</f>
        <v/>
      </c>
      <c r="K53" s="65">
        <f>IF(B53="","",SUMIFS(ap_Balance,ap_Party,B53))</f>
        <v/>
      </c>
      <c r="L53" s="65">
        <f>IF(B53="","",SUMIFS(ap_Balance,ap_Party,B53,ap_Status,"Overdue"))</f>
        <v/>
      </c>
      <c r="M53" s="66">
        <f>IF(B53="","",IF(COUNTIF(vend_Name,B53)&gt;1,"⚠ Duplicate name","✓ OK"))</f>
        <v/>
      </c>
      <c r="N53" s="67">
        <f>IF(AND(B53&lt;&gt;"",N(K53)&gt;0),K53+47/1000000,"")</f>
        <v/>
      </c>
    </row>
    <row r="54">
      <c r="B54" s="62" t="n"/>
      <c r="C54" s="62" t="n"/>
      <c r="D54" s="62" t="n"/>
      <c r="E54" s="62" t="n"/>
      <c r="F54" s="62" t="n"/>
      <c r="G54" s="69" t="n"/>
      <c r="H54" s="62" t="n"/>
      <c r="I54" s="65">
        <f>IF(B54="","",SUMIFS(ap_Amount,ap_Party,B54,ap_Posted,1,ap_Date,"&lt;="&amp;AsOf))</f>
        <v/>
      </c>
      <c r="J54" s="65">
        <f>IF(B54="","",SUMIFS(ap_Paid,ap_Party,B54))</f>
        <v/>
      </c>
      <c r="K54" s="65">
        <f>IF(B54="","",SUMIFS(ap_Balance,ap_Party,B54))</f>
        <v/>
      </c>
      <c r="L54" s="65">
        <f>IF(B54="","",SUMIFS(ap_Balance,ap_Party,B54,ap_Status,"Overdue"))</f>
        <v/>
      </c>
      <c r="M54" s="66">
        <f>IF(B54="","",IF(COUNTIF(vend_Name,B54)&gt;1,"⚠ Duplicate name","✓ OK"))</f>
        <v/>
      </c>
      <c r="N54" s="67">
        <f>IF(AND(B54&lt;&gt;"",N(K54)&gt;0),K54+48/1000000,"")</f>
        <v/>
      </c>
    </row>
    <row r="55">
      <c r="B55" s="62" t="n"/>
      <c r="C55" s="62" t="n"/>
      <c r="D55" s="62" t="n"/>
      <c r="E55" s="62" t="n"/>
      <c r="F55" s="62" t="n"/>
      <c r="G55" s="69" t="n"/>
      <c r="H55" s="62" t="n"/>
      <c r="I55" s="65">
        <f>IF(B55="","",SUMIFS(ap_Amount,ap_Party,B55,ap_Posted,1,ap_Date,"&lt;="&amp;AsOf))</f>
        <v/>
      </c>
      <c r="J55" s="65">
        <f>IF(B55="","",SUMIFS(ap_Paid,ap_Party,B55))</f>
        <v/>
      </c>
      <c r="K55" s="65">
        <f>IF(B55="","",SUMIFS(ap_Balance,ap_Party,B55))</f>
        <v/>
      </c>
      <c r="L55" s="65">
        <f>IF(B55="","",SUMIFS(ap_Balance,ap_Party,B55,ap_Status,"Overdue"))</f>
        <v/>
      </c>
      <c r="M55" s="66">
        <f>IF(B55="","",IF(COUNTIF(vend_Name,B55)&gt;1,"⚠ Duplicate name","✓ OK"))</f>
        <v/>
      </c>
      <c r="N55" s="67">
        <f>IF(AND(B55&lt;&gt;"",N(K55)&gt;0),K55+49/1000000,"")</f>
        <v/>
      </c>
    </row>
    <row r="56">
      <c r="B56" s="62" t="n"/>
      <c r="C56" s="62" t="n"/>
      <c r="D56" s="62" t="n"/>
      <c r="E56" s="62" t="n"/>
      <c r="F56" s="62" t="n"/>
      <c r="G56" s="69" t="n"/>
      <c r="H56" s="62" t="n"/>
      <c r="I56" s="65">
        <f>IF(B56="","",SUMIFS(ap_Amount,ap_Party,B56,ap_Posted,1,ap_Date,"&lt;="&amp;AsOf))</f>
        <v/>
      </c>
      <c r="J56" s="65">
        <f>IF(B56="","",SUMIFS(ap_Paid,ap_Party,B56))</f>
        <v/>
      </c>
      <c r="K56" s="65">
        <f>IF(B56="","",SUMIFS(ap_Balance,ap_Party,B56))</f>
        <v/>
      </c>
      <c r="L56" s="65">
        <f>IF(B56="","",SUMIFS(ap_Balance,ap_Party,B56,ap_Status,"Overdue"))</f>
        <v/>
      </c>
      <c r="M56" s="66">
        <f>IF(B56="","",IF(COUNTIF(vend_Name,B56)&gt;1,"⚠ Duplicate name","✓ OK"))</f>
        <v/>
      </c>
      <c r="N56" s="67">
        <f>IF(AND(B56&lt;&gt;"",N(K56)&gt;0),K56+50/1000000,"")</f>
        <v/>
      </c>
    </row>
    <row r="57">
      <c r="B57" s="62" t="n"/>
      <c r="C57" s="62" t="n"/>
      <c r="D57" s="62" t="n"/>
      <c r="E57" s="62" t="n"/>
      <c r="F57" s="62" t="n"/>
      <c r="G57" s="69" t="n"/>
      <c r="H57" s="62" t="n"/>
      <c r="I57" s="65">
        <f>IF(B57="","",SUMIFS(ap_Amount,ap_Party,B57,ap_Posted,1,ap_Date,"&lt;="&amp;AsOf))</f>
        <v/>
      </c>
      <c r="J57" s="65">
        <f>IF(B57="","",SUMIFS(ap_Paid,ap_Party,B57))</f>
        <v/>
      </c>
      <c r="K57" s="65">
        <f>IF(B57="","",SUMIFS(ap_Balance,ap_Party,B57))</f>
        <v/>
      </c>
      <c r="L57" s="65">
        <f>IF(B57="","",SUMIFS(ap_Balance,ap_Party,B57,ap_Status,"Overdue"))</f>
        <v/>
      </c>
      <c r="M57" s="66">
        <f>IF(B57="","",IF(COUNTIF(vend_Name,B57)&gt;1,"⚠ Duplicate name","✓ OK"))</f>
        <v/>
      </c>
      <c r="N57" s="67">
        <f>IF(AND(B57&lt;&gt;"",N(K57)&gt;0),K57+51/1000000,"")</f>
        <v/>
      </c>
    </row>
    <row r="58">
      <c r="B58" s="62" t="n"/>
      <c r="C58" s="62" t="n"/>
      <c r="D58" s="62" t="n"/>
      <c r="E58" s="62" t="n"/>
      <c r="F58" s="62" t="n"/>
      <c r="G58" s="69" t="n"/>
      <c r="H58" s="62" t="n"/>
      <c r="I58" s="65">
        <f>IF(B58="","",SUMIFS(ap_Amount,ap_Party,B58,ap_Posted,1,ap_Date,"&lt;="&amp;AsOf))</f>
        <v/>
      </c>
      <c r="J58" s="65">
        <f>IF(B58="","",SUMIFS(ap_Paid,ap_Party,B58))</f>
        <v/>
      </c>
      <c r="K58" s="65">
        <f>IF(B58="","",SUMIFS(ap_Balance,ap_Party,B58))</f>
        <v/>
      </c>
      <c r="L58" s="65">
        <f>IF(B58="","",SUMIFS(ap_Balance,ap_Party,B58,ap_Status,"Overdue"))</f>
        <v/>
      </c>
      <c r="M58" s="66">
        <f>IF(B58="","",IF(COUNTIF(vend_Name,B58)&gt;1,"⚠ Duplicate name","✓ OK"))</f>
        <v/>
      </c>
      <c r="N58" s="67">
        <f>IF(AND(B58&lt;&gt;"",N(K58)&gt;0),K58+52/1000000,"")</f>
        <v/>
      </c>
    </row>
    <row r="59">
      <c r="B59" s="62" t="n"/>
      <c r="C59" s="62" t="n"/>
      <c r="D59" s="62" t="n"/>
      <c r="E59" s="62" t="n"/>
      <c r="F59" s="62" t="n"/>
      <c r="G59" s="69" t="n"/>
      <c r="H59" s="62" t="n"/>
      <c r="I59" s="65">
        <f>IF(B59="","",SUMIFS(ap_Amount,ap_Party,B59,ap_Posted,1,ap_Date,"&lt;="&amp;AsOf))</f>
        <v/>
      </c>
      <c r="J59" s="65">
        <f>IF(B59="","",SUMIFS(ap_Paid,ap_Party,B59))</f>
        <v/>
      </c>
      <c r="K59" s="65">
        <f>IF(B59="","",SUMIFS(ap_Balance,ap_Party,B59))</f>
        <v/>
      </c>
      <c r="L59" s="65">
        <f>IF(B59="","",SUMIFS(ap_Balance,ap_Party,B59,ap_Status,"Overdue"))</f>
        <v/>
      </c>
      <c r="M59" s="66">
        <f>IF(B59="","",IF(COUNTIF(vend_Name,B59)&gt;1,"⚠ Duplicate name","✓ OK"))</f>
        <v/>
      </c>
      <c r="N59" s="67">
        <f>IF(AND(B59&lt;&gt;"",N(K59)&gt;0),K59+53/1000000,"")</f>
        <v/>
      </c>
    </row>
    <row r="60">
      <c r="B60" s="62" t="n"/>
      <c r="C60" s="62" t="n"/>
      <c r="D60" s="62" t="n"/>
      <c r="E60" s="62" t="n"/>
      <c r="F60" s="62" t="n"/>
      <c r="G60" s="69" t="n"/>
      <c r="H60" s="62" t="n"/>
      <c r="I60" s="65">
        <f>IF(B60="","",SUMIFS(ap_Amount,ap_Party,B60,ap_Posted,1,ap_Date,"&lt;="&amp;AsOf))</f>
        <v/>
      </c>
      <c r="J60" s="65">
        <f>IF(B60="","",SUMIFS(ap_Paid,ap_Party,B60))</f>
        <v/>
      </c>
      <c r="K60" s="65">
        <f>IF(B60="","",SUMIFS(ap_Balance,ap_Party,B60))</f>
        <v/>
      </c>
      <c r="L60" s="65">
        <f>IF(B60="","",SUMIFS(ap_Balance,ap_Party,B60,ap_Status,"Overdue"))</f>
        <v/>
      </c>
      <c r="M60" s="66">
        <f>IF(B60="","",IF(COUNTIF(vend_Name,B60)&gt;1,"⚠ Duplicate name","✓ OK"))</f>
        <v/>
      </c>
      <c r="N60" s="67">
        <f>IF(AND(B60&lt;&gt;"",N(K60)&gt;0),K60+54/1000000,"")</f>
        <v/>
      </c>
    </row>
    <row r="61">
      <c r="B61" s="62" t="n"/>
      <c r="C61" s="62" t="n"/>
      <c r="D61" s="62" t="n"/>
      <c r="E61" s="62" t="n"/>
      <c r="F61" s="62" t="n"/>
      <c r="G61" s="69" t="n"/>
      <c r="H61" s="62" t="n"/>
      <c r="I61" s="65">
        <f>IF(B61="","",SUMIFS(ap_Amount,ap_Party,B61,ap_Posted,1,ap_Date,"&lt;="&amp;AsOf))</f>
        <v/>
      </c>
      <c r="J61" s="65">
        <f>IF(B61="","",SUMIFS(ap_Paid,ap_Party,B61))</f>
        <v/>
      </c>
      <c r="K61" s="65">
        <f>IF(B61="","",SUMIFS(ap_Balance,ap_Party,B61))</f>
        <v/>
      </c>
      <c r="L61" s="65">
        <f>IF(B61="","",SUMIFS(ap_Balance,ap_Party,B61,ap_Status,"Overdue"))</f>
        <v/>
      </c>
      <c r="M61" s="66">
        <f>IF(B61="","",IF(COUNTIF(vend_Name,B61)&gt;1,"⚠ Duplicate name","✓ OK"))</f>
        <v/>
      </c>
      <c r="N61" s="67">
        <f>IF(AND(B61&lt;&gt;"",N(K61)&gt;0),K61+55/1000000,"")</f>
        <v/>
      </c>
    </row>
    <row r="62">
      <c r="B62" s="62" t="n"/>
      <c r="C62" s="62" t="n"/>
      <c r="D62" s="62" t="n"/>
      <c r="E62" s="62" t="n"/>
      <c r="F62" s="62" t="n"/>
      <c r="G62" s="69" t="n"/>
      <c r="H62" s="62" t="n"/>
      <c r="I62" s="65">
        <f>IF(B62="","",SUMIFS(ap_Amount,ap_Party,B62,ap_Posted,1,ap_Date,"&lt;="&amp;AsOf))</f>
        <v/>
      </c>
      <c r="J62" s="65">
        <f>IF(B62="","",SUMIFS(ap_Paid,ap_Party,B62))</f>
        <v/>
      </c>
      <c r="K62" s="65">
        <f>IF(B62="","",SUMIFS(ap_Balance,ap_Party,B62))</f>
        <v/>
      </c>
      <c r="L62" s="65">
        <f>IF(B62="","",SUMIFS(ap_Balance,ap_Party,B62,ap_Status,"Overdue"))</f>
        <v/>
      </c>
      <c r="M62" s="66">
        <f>IF(B62="","",IF(COUNTIF(vend_Name,B62)&gt;1,"⚠ Duplicate name","✓ OK"))</f>
        <v/>
      </c>
      <c r="N62" s="67">
        <f>IF(AND(B62&lt;&gt;"",N(K62)&gt;0),K62+56/1000000,"")</f>
        <v/>
      </c>
    </row>
    <row r="63">
      <c r="B63" s="62" t="n"/>
      <c r="C63" s="62" t="n"/>
      <c r="D63" s="62" t="n"/>
      <c r="E63" s="62" t="n"/>
      <c r="F63" s="62" t="n"/>
      <c r="G63" s="69" t="n"/>
      <c r="H63" s="62" t="n"/>
      <c r="I63" s="65">
        <f>IF(B63="","",SUMIFS(ap_Amount,ap_Party,B63,ap_Posted,1,ap_Date,"&lt;="&amp;AsOf))</f>
        <v/>
      </c>
      <c r="J63" s="65">
        <f>IF(B63="","",SUMIFS(ap_Paid,ap_Party,B63))</f>
        <v/>
      </c>
      <c r="K63" s="65">
        <f>IF(B63="","",SUMIFS(ap_Balance,ap_Party,B63))</f>
        <v/>
      </c>
      <c r="L63" s="65">
        <f>IF(B63="","",SUMIFS(ap_Balance,ap_Party,B63,ap_Status,"Overdue"))</f>
        <v/>
      </c>
      <c r="M63" s="66">
        <f>IF(B63="","",IF(COUNTIF(vend_Name,B63)&gt;1,"⚠ Duplicate name","✓ OK"))</f>
        <v/>
      </c>
      <c r="N63" s="67">
        <f>IF(AND(B63&lt;&gt;"",N(K63)&gt;0),K63+57/1000000,"")</f>
        <v/>
      </c>
    </row>
    <row r="64">
      <c r="B64" s="62" t="n"/>
      <c r="C64" s="62" t="n"/>
      <c r="D64" s="62" t="n"/>
      <c r="E64" s="62" t="n"/>
      <c r="F64" s="62" t="n"/>
      <c r="G64" s="69" t="n"/>
      <c r="H64" s="62" t="n"/>
      <c r="I64" s="65">
        <f>IF(B64="","",SUMIFS(ap_Amount,ap_Party,B64,ap_Posted,1,ap_Date,"&lt;="&amp;AsOf))</f>
        <v/>
      </c>
      <c r="J64" s="65">
        <f>IF(B64="","",SUMIFS(ap_Paid,ap_Party,B64))</f>
        <v/>
      </c>
      <c r="K64" s="65">
        <f>IF(B64="","",SUMIFS(ap_Balance,ap_Party,B64))</f>
        <v/>
      </c>
      <c r="L64" s="65">
        <f>IF(B64="","",SUMIFS(ap_Balance,ap_Party,B64,ap_Status,"Overdue"))</f>
        <v/>
      </c>
      <c r="M64" s="66">
        <f>IF(B64="","",IF(COUNTIF(vend_Name,B64)&gt;1,"⚠ Duplicate name","✓ OK"))</f>
        <v/>
      </c>
      <c r="N64" s="67">
        <f>IF(AND(B64&lt;&gt;"",N(K64)&gt;0),K64+58/1000000,"")</f>
        <v/>
      </c>
    </row>
    <row r="65">
      <c r="B65" s="62" t="n"/>
      <c r="C65" s="62" t="n"/>
      <c r="D65" s="62" t="n"/>
      <c r="E65" s="62" t="n"/>
      <c r="F65" s="62" t="n"/>
      <c r="G65" s="69" t="n"/>
      <c r="H65" s="62" t="n"/>
      <c r="I65" s="65">
        <f>IF(B65="","",SUMIFS(ap_Amount,ap_Party,B65,ap_Posted,1,ap_Date,"&lt;="&amp;AsOf))</f>
        <v/>
      </c>
      <c r="J65" s="65">
        <f>IF(B65="","",SUMIFS(ap_Paid,ap_Party,B65))</f>
        <v/>
      </c>
      <c r="K65" s="65">
        <f>IF(B65="","",SUMIFS(ap_Balance,ap_Party,B65))</f>
        <v/>
      </c>
      <c r="L65" s="65">
        <f>IF(B65="","",SUMIFS(ap_Balance,ap_Party,B65,ap_Status,"Overdue"))</f>
        <v/>
      </c>
      <c r="M65" s="66">
        <f>IF(B65="","",IF(COUNTIF(vend_Name,B65)&gt;1,"⚠ Duplicate name","✓ OK"))</f>
        <v/>
      </c>
      <c r="N65" s="67">
        <f>IF(AND(B65&lt;&gt;"",N(K65)&gt;0),K65+59/1000000,"")</f>
        <v/>
      </c>
    </row>
    <row r="66">
      <c r="B66" s="62" t="n"/>
      <c r="C66" s="62" t="n"/>
      <c r="D66" s="62" t="n"/>
      <c r="E66" s="62" t="n"/>
      <c r="F66" s="62" t="n"/>
      <c r="G66" s="69" t="n"/>
      <c r="H66" s="62" t="n"/>
      <c r="I66" s="65">
        <f>IF(B66="","",SUMIFS(ap_Amount,ap_Party,B66,ap_Posted,1,ap_Date,"&lt;="&amp;AsOf))</f>
        <v/>
      </c>
      <c r="J66" s="65">
        <f>IF(B66="","",SUMIFS(ap_Paid,ap_Party,B66))</f>
        <v/>
      </c>
      <c r="K66" s="65">
        <f>IF(B66="","",SUMIFS(ap_Balance,ap_Party,B66))</f>
        <v/>
      </c>
      <c r="L66" s="65">
        <f>IF(B66="","",SUMIFS(ap_Balance,ap_Party,B66,ap_Status,"Overdue"))</f>
        <v/>
      </c>
      <c r="M66" s="66">
        <f>IF(B66="","",IF(COUNTIF(vend_Name,B66)&gt;1,"⚠ Duplicate name","✓ OK"))</f>
        <v/>
      </c>
      <c r="N66" s="67">
        <f>IF(AND(B66&lt;&gt;"",N(K66)&gt;0),K66+60/1000000,"")</f>
        <v/>
      </c>
    </row>
    <row r="67">
      <c r="B67" s="62" t="n"/>
      <c r="C67" s="62" t="n"/>
      <c r="D67" s="62" t="n"/>
      <c r="E67" s="62" t="n"/>
      <c r="F67" s="62" t="n"/>
      <c r="G67" s="69" t="n"/>
      <c r="H67" s="62" t="n"/>
      <c r="I67" s="65">
        <f>IF(B67="","",SUMIFS(ap_Amount,ap_Party,B67,ap_Posted,1,ap_Date,"&lt;="&amp;AsOf))</f>
        <v/>
      </c>
      <c r="J67" s="65">
        <f>IF(B67="","",SUMIFS(ap_Paid,ap_Party,B67))</f>
        <v/>
      </c>
      <c r="K67" s="65">
        <f>IF(B67="","",SUMIFS(ap_Balance,ap_Party,B67))</f>
        <v/>
      </c>
      <c r="L67" s="65">
        <f>IF(B67="","",SUMIFS(ap_Balance,ap_Party,B67,ap_Status,"Overdue"))</f>
        <v/>
      </c>
      <c r="M67" s="66">
        <f>IF(B67="","",IF(COUNTIF(vend_Name,B67)&gt;1,"⚠ Duplicate name","✓ OK"))</f>
        <v/>
      </c>
      <c r="N67" s="67">
        <f>IF(AND(B67&lt;&gt;"",N(K67)&gt;0),K67+61/1000000,"")</f>
        <v/>
      </c>
    </row>
    <row r="68">
      <c r="B68" s="62" t="n"/>
      <c r="C68" s="62" t="n"/>
      <c r="D68" s="62" t="n"/>
      <c r="E68" s="62" t="n"/>
      <c r="F68" s="62" t="n"/>
      <c r="G68" s="69" t="n"/>
      <c r="H68" s="62" t="n"/>
      <c r="I68" s="65">
        <f>IF(B68="","",SUMIFS(ap_Amount,ap_Party,B68,ap_Posted,1,ap_Date,"&lt;="&amp;AsOf))</f>
        <v/>
      </c>
      <c r="J68" s="65">
        <f>IF(B68="","",SUMIFS(ap_Paid,ap_Party,B68))</f>
        <v/>
      </c>
      <c r="K68" s="65">
        <f>IF(B68="","",SUMIFS(ap_Balance,ap_Party,B68))</f>
        <v/>
      </c>
      <c r="L68" s="65">
        <f>IF(B68="","",SUMIFS(ap_Balance,ap_Party,B68,ap_Status,"Overdue"))</f>
        <v/>
      </c>
      <c r="M68" s="66">
        <f>IF(B68="","",IF(COUNTIF(vend_Name,B68)&gt;1,"⚠ Duplicate name","✓ OK"))</f>
        <v/>
      </c>
      <c r="N68" s="67">
        <f>IF(AND(B68&lt;&gt;"",N(K68)&gt;0),K68+62/1000000,"")</f>
        <v/>
      </c>
    </row>
    <row r="69">
      <c r="B69" s="62" t="n"/>
      <c r="C69" s="62" t="n"/>
      <c r="D69" s="62" t="n"/>
      <c r="E69" s="62" t="n"/>
      <c r="F69" s="62" t="n"/>
      <c r="G69" s="69" t="n"/>
      <c r="H69" s="62" t="n"/>
      <c r="I69" s="65">
        <f>IF(B69="","",SUMIFS(ap_Amount,ap_Party,B69,ap_Posted,1,ap_Date,"&lt;="&amp;AsOf))</f>
        <v/>
      </c>
      <c r="J69" s="65">
        <f>IF(B69="","",SUMIFS(ap_Paid,ap_Party,B69))</f>
        <v/>
      </c>
      <c r="K69" s="65">
        <f>IF(B69="","",SUMIFS(ap_Balance,ap_Party,B69))</f>
        <v/>
      </c>
      <c r="L69" s="65">
        <f>IF(B69="","",SUMIFS(ap_Balance,ap_Party,B69,ap_Status,"Overdue"))</f>
        <v/>
      </c>
      <c r="M69" s="66">
        <f>IF(B69="","",IF(COUNTIF(vend_Name,B69)&gt;1,"⚠ Duplicate name","✓ OK"))</f>
        <v/>
      </c>
      <c r="N69" s="67">
        <f>IF(AND(B69&lt;&gt;"",N(K69)&gt;0),K69+63/1000000,"")</f>
        <v/>
      </c>
    </row>
    <row r="70">
      <c r="B70" s="62" t="n"/>
      <c r="C70" s="62" t="n"/>
      <c r="D70" s="62" t="n"/>
      <c r="E70" s="62" t="n"/>
      <c r="F70" s="62" t="n"/>
      <c r="G70" s="69" t="n"/>
      <c r="H70" s="62" t="n"/>
      <c r="I70" s="65">
        <f>IF(B70="","",SUMIFS(ap_Amount,ap_Party,B70,ap_Posted,1,ap_Date,"&lt;="&amp;AsOf))</f>
        <v/>
      </c>
      <c r="J70" s="65">
        <f>IF(B70="","",SUMIFS(ap_Paid,ap_Party,B70))</f>
        <v/>
      </c>
      <c r="K70" s="65">
        <f>IF(B70="","",SUMIFS(ap_Balance,ap_Party,B70))</f>
        <v/>
      </c>
      <c r="L70" s="65">
        <f>IF(B70="","",SUMIFS(ap_Balance,ap_Party,B70,ap_Status,"Overdue"))</f>
        <v/>
      </c>
      <c r="M70" s="66">
        <f>IF(B70="","",IF(COUNTIF(vend_Name,B70)&gt;1,"⚠ Duplicate name","✓ OK"))</f>
        <v/>
      </c>
      <c r="N70" s="67">
        <f>IF(AND(B70&lt;&gt;"",N(K70)&gt;0),K70+64/1000000,"")</f>
        <v/>
      </c>
    </row>
    <row r="71">
      <c r="B71" s="62" t="n"/>
      <c r="C71" s="62" t="n"/>
      <c r="D71" s="62" t="n"/>
      <c r="E71" s="62" t="n"/>
      <c r="F71" s="62" t="n"/>
      <c r="G71" s="69" t="n"/>
      <c r="H71" s="62" t="n"/>
      <c r="I71" s="65">
        <f>IF(B71="","",SUMIFS(ap_Amount,ap_Party,B71,ap_Posted,1,ap_Date,"&lt;="&amp;AsOf))</f>
        <v/>
      </c>
      <c r="J71" s="65">
        <f>IF(B71="","",SUMIFS(ap_Paid,ap_Party,B71))</f>
        <v/>
      </c>
      <c r="K71" s="65">
        <f>IF(B71="","",SUMIFS(ap_Balance,ap_Party,B71))</f>
        <v/>
      </c>
      <c r="L71" s="65">
        <f>IF(B71="","",SUMIFS(ap_Balance,ap_Party,B71,ap_Status,"Overdue"))</f>
        <v/>
      </c>
      <c r="M71" s="66">
        <f>IF(B71="","",IF(COUNTIF(vend_Name,B71)&gt;1,"⚠ Duplicate name","✓ OK"))</f>
        <v/>
      </c>
      <c r="N71" s="67">
        <f>IF(AND(B71&lt;&gt;"",N(K71)&gt;0),K71+65/1000000,"")</f>
        <v/>
      </c>
    </row>
    <row r="72">
      <c r="B72" s="62" t="n"/>
      <c r="C72" s="62" t="n"/>
      <c r="D72" s="62" t="n"/>
      <c r="E72" s="62" t="n"/>
      <c r="F72" s="62" t="n"/>
      <c r="G72" s="69" t="n"/>
      <c r="H72" s="62" t="n"/>
      <c r="I72" s="65">
        <f>IF(B72="","",SUMIFS(ap_Amount,ap_Party,B72,ap_Posted,1,ap_Date,"&lt;="&amp;AsOf))</f>
        <v/>
      </c>
      <c r="J72" s="65">
        <f>IF(B72="","",SUMIFS(ap_Paid,ap_Party,B72))</f>
        <v/>
      </c>
      <c r="K72" s="65">
        <f>IF(B72="","",SUMIFS(ap_Balance,ap_Party,B72))</f>
        <v/>
      </c>
      <c r="L72" s="65">
        <f>IF(B72="","",SUMIFS(ap_Balance,ap_Party,B72,ap_Status,"Overdue"))</f>
        <v/>
      </c>
      <c r="M72" s="66">
        <f>IF(B72="","",IF(COUNTIF(vend_Name,B72)&gt;1,"⚠ Duplicate name","✓ OK"))</f>
        <v/>
      </c>
      <c r="N72" s="67">
        <f>IF(AND(B72&lt;&gt;"",N(K72)&gt;0),K72+66/1000000,"")</f>
        <v/>
      </c>
    </row>
    <row r="73">
      <c r="B73" s="62" t="n"/>
      <c r="C73" s="62" t="n"/>
      <c r="D73" s="62" t="n"/>
      <c r="E73" s="62" t="n"/>
      <c r="F73" s="62" t="n"/>
      <c r="G73" s="69" t="n"/>
      <c r="H73" s="62" t="n"/>
      <c r="I73" s="65">
        <f>IF(B73="","",SUMIFS(ap_Amount,ap_Party,B73,ap_Posted,1,ap_Date,"&lt;="&amp;AsOf))</f>
        <v/>
      </c>
      <c r="J73" s="65">
        <f>IF(B73="","",SUMIFS(ap_Paid,ap_Party,B73))</f>
        <v/>
      </c>
      <c r="K73" s="65">
        <f>IF(B73="","",SUMIFS(ap_Balance,ap_Party,B73))</f>
        <v/>
      </c>
      <c r="L73" s="65">
        <f>IF(B73="","",SUMIFS(ap_Balance,ap_Party,B73,ap_Status,"Overdue"))</f>
        <v/>
      </c>
      <c r="M73" s="66">
        <f>IF(B73="","",IF(COUNTIF(vend_Name,B73)&gt;1,"⚠ Duplicate name","✓ OK"))</f>
        <v/>
      </c>
      <c r="N73" s="67">
        <f>IF(AND(B73&lt;&gt;"",N(K73)&gt;0),K73+67/1000000,"")</f>
        <v/>
      </c>
    </row>
    <row r="74">
      <c r="B74" s="62" t="n"/>
      <c r="C74" s="62" t="n"/>
      <c r="D74" s="62" t="n"/>
      <c r="E74" s="62" t="n"/>
      <c r="F74" s="62" t="n"/>
      <c r="G74" s="69" t="n"/>
      <c r="H74" s="62" t="n"/>
      <c r="I74" s="65">
        <f>IF(B74="","",SUMIFS(ap_Amount,ap_Party,B74,ap_Posted,1,ap_Date,"&lt;="&amp;AsOf))</f>
        <v/>
      </c>
      <c r="J74" s="65">
        <f>IF(B74="","",SUMIFS(ap_Paid,ap_Party,B74))</f>
        <v/>
      </c>
      <c r="K74" s="65">
        <f>IF(B74="","",SUMIFS(ap_Balance,ap_Party,B74))</f>
        <v/>
      </c>
      <c r="L74" s="65">
        <f>IF(B74="","",SUMIFS(ap_Balance,ap_Party,B74,ap_Status,"Overdue"))</f>
        <v/>
      </c>
      <c r="M74" s="66">
        <f>IF(B74="","",IF(COUNTIF(vend_Name,B74)&gt;1,"⚠ Duplicate name","✓ OK"))</f>
        <v/>
      </c>
      <c r="N74" s="67">
        <f>IF(AND(B74&lt;&gt;"",N(K74)&gt;0),K74+68/1000000,"")</f>
        <v/>
      </c>
    </row>
    <row r="75">
      <c r="B75" s="62" t="n"/>
      <c r="C75" s="62" t="n"/>
      <c r="D75" s="62" t="n"/>
      <c r="E75" s="62" t="n"/>
      <c r="F75" s="62" t="n"/>
      <c r="G75" s="69" t="n"/>
      <c r="H75" s="62" t="n"/>
      <c r="I75" s="65">
        <f>IF(B75="","",SUMIFS(ap_Amount,ap_Party,B75,ap_Posted,1,ap_Date,"&lt;="&amp;AsOf))</f>
        <v/>
      </c>
      <c r="J75" s="65">
        <f>IF(B75="","",SUMIFS(ap_Paid,ap_Party,B75))</f>
        <v/>
      </c>
      <c r="K75" s="65">
        <f>IF(B75="","",SUMIFS(ap_Balance,ap_Party,B75))</f>
        <v/>
      </c>
      <c r="L75" s="65">
        <f>IF(B75="","",SUMIFS(ap_Balance,ap_Party,B75,ap_Status,"Overdue"))</f>
        <v/>
      </c>
      <c r="M75" s="66">
        <f>IF(B75="","",IF(COUNTIF(vend_Name,B75)&gt;1,"⚠ Duplicate name","✓ OK"))</f>
        <v/>
      </c>
      <c r="N75" s="67">
        <f>IF(AND(B75&lt;&gt;"",N(K75)&gt;0),K75+69/1000000,"")</f>
        <v/>
      </c>
    </row>
    <row r="76">
      <c r="B76" s="62" t="n"/>
      <c r="C76" s="62" t="n"/>
      <c r="D76" s="62" t="n"/>
      <c r="E76" s="62" t="n"/>
      <c r="F76" s="62" t="n"/>
      <c r="G76" s="69" t="n"/>
      <c r="H76" s="62" t="n"/>
      <c r="I76" s="65">
        <f>IF(B76="","",SUMIFS(ap_Amount,ap_Party,B76,ap_Posted,1,ap_Date,"&lt;="&amp;AsOf))</f>
        <v/>
      </c>
      <c r="J76" s="65">
        <f>IF(B76="","",SUMIFS(ap_Paid,ap_Party,B76))</f>
        <v/>
      </c>
      <c r="K76" s="65">
        <f>IF(B76="","",SUMIFS(ap_Balance,ap_Party,B76))</f>
        <v/>
      </c>
      <c r="L76" s="65">
        <f>IF(B76="","",SUMIFS(ap_Balance,ap_Party,B76,ap_Status,"Overdue"))</f>
        <v/>
      </c>
      <c r="M76" s="66">
        <f>IF(B76="","",IF(COUNTIF(vend_Name,B76)&gt;1,"⚠ Duplicate name","✓ OK"))</f>
        <v/>
      </c>
      <c r="N76" s="67">
        <f>IF(AND(B76&lt;&gt;"",N(K76)&gt;0),K76+70/1000000,"")</f>
        <v/>
      </c>
    </row>
    <row r="77">
      <c r="B77" s="62" t="n"/>
      <c r="C77" s="62" t="n"/>
      <c r="D77" s="62" t="n"/>
      <c r="E77" s="62" t="n"/>
      <c r="F77" s="62" t="n"/>
      <c r="G77" s="69" t="n"/>
      <c r="H77" s="62" t="n"/>
      <c r="I77" s="65">
        <f>IF(B77="","",SUMIFS(ap_Amount,ap_Party,B77,ap_Posted,1,ap_Date,"&lt;="&amp;AsOf))</f>
        <v/>
      </c>
      <c r="J77" s="65">
        <f>IF(B77="","",SUMIFS(ap_Paid,ap_Party,B77))</f>
        <v/>
      </c>
      <c r="K77" s="65">
        <f>IF(B77="","",SUMIFS(ap_Balance,ap_Party,B77))</f>
        <v/>
      </c>
      <c r="L77" s="65">
        <f>IF(B77="","",SUMIFS(ap_Balance,ap_Party,B77,ap_Status,"Overdue"))</f>
        <v/>
      </c>
      <c r="M77" s="66">
        <f>IF(B77="","",IF(COUNTIF(vend_Name,B77)&gt;1,"⚠ Duplicate name","✓ OK"))</f>
        <v/>
      </c>
      <c r="N77" s="67">
        <f>IF(AND(B77&lt;&gt;"",N(K77)&gt;0),K77+71/1000000,"")</f>
        <v/>
      </c>
    </row>
    <row r="78">
      <c r="B78" s="62" t="n"/>
      <c r="C78" s="62" t="n"/>
      <c r="D78" s="62" t="n"/>
      <c r="E78" s="62" t="n"/>
      <c r="F78" s="62" t="n"/>
      <c r="G78" s="69" t="n"/>
      <c r="H78" s="62" t="n"/>
      <c r="I78" s="65">
        <f>IF(B78="","",SUMIFS(ap_Amount,ap_Party,B78,ap_Posted,1,ap_Date,"&lt;="&amp;AsOf))</f>
        <v/>
      </c>
      <c r="J78" s="65">
        <f>IF(B78="","",SUMIFS(ap_Paid,ap_Party,B78))</f>
        <v/>
      </c>
      <c r="K78" s="65">
        <f>IF(B78="","",SUMIFS(ap_Balance,ap_Party,B78))</f>
        <v/>
      </c>
      <c r="L78" s="65">
        <f>IF(B78="","",SUMIFS(ap_Balance,ap_Party,B78,ap_Status,"Overdue"))</f>
        <v/>
      </c>
      <c r="M78" s="66">
        <f>IF(B78="","",IF(COUNTIF(vend_Name,B78)&gt;1,"⚠ Duplicate name","✓ OK"))</f>
        <v/>
      </c>
      <c r="N78" s="67">
        <f>IF(AND(B78&lt;&gt;"",N(K78)&gt;0),K78+72/1000000,"")</f>
        <v/>
      </c>
    </row>
    <row r="79">
      <c r="B79" s="62" t="n"/>
      <c r="C79" s="62" t="n"/>
      <c r="D79" s="62" t="n"/>
      <c r="E79" s="62" t="n"/>
      <c r="F79" s="62" t="n"/>
      <c r="G79" s="69" t="n"/>
      <c r="H79" s="62" t="n"/>
      <c r="I79" s="65">
        <f>IF(B79="","",SUMIFS(ap_Amount,ap_Party,B79,ap_Posted,1,ap_Date,"&lt;="&amp;AsOf))</f>
        <v/>
      </c>
      <c r="J79" s="65">
        <f>IF(B79="","",SUMIFS(ap_Paid,ap_Party,B79))</f>
        <v/>
      </c>
      <c r="K79" s="65">
        <f>IF(B79="","",SUMIFS(ap_Balance,ap_Party,B79))</f>
        <v/>
      </c>
      <c r="L79" s="65">
        <f>IF(B79="","",SUMIFS(ap_Balance,ap_Party,B79,ap_Status,"Overdue"))</f>
        <v/>
      </c>
      <c r="M79" s="66">
        <f>IF(B79="","",IF(COUNTIF(vend_Name,B79)&gt;1,"⚠ Duplicate name","✓ OK"))</f>
        <v/>
      </c>
      <c r="N79" s="67">
        <f>IF(AND(B79&lt;&gt;"",N(K79)&gt;0),K79+73/1000000,"")</f>
        <v/>
      </c>
    </row>
    <row r="80">
      <c r="B80" s="62" t="n"/>
      <c r="C80" s="62" t="n"/>
      <c r="D80" s="62" t="n"/>
      <c r="E80" s="62" t="n"/>
      <c r="F80" s="62" t="n"/>
      <c r="G80" s="69" t="n"/>
      <c r="H80" s="62" t="n"/>
      <c r="I80" s="65">
        <f>IF(B80="","",SUMIFS(ap_Amount,ap_Party,B80,ap_Posted,1,ap_Date,"&lt;="&amp;AsOf))</f>
        <v/>
      </c>
      <c r="J80" s="65">
        <f>IF(B80="","",SUMIFS(ap_Paid,ap_Party,B80))</f>
        <v/>
      </c>
      <c r="K80" s="65">
        <f>IF(B80="","",SUMIFS(ap_Balance,ap_Party,B80))</f>
        <v/>
      </c>
      <c r="L80" s="65">
        <f>IF(B80="","",SUMIFS(ap_Balance,ap_Party,B80,ap_Status,"Overdue"))</f>
        <v/>
      </c>
      <c r="M80" s="66">
        <f>IF(B80="","",IF(COUNTIF(vend_Name,B80)&gt;1,"⚠ Duplicate name","✓ OK"))</f>
        <v/>
      </c>
      <c r="N80" s="67">
        <f>IF(AND(B80&lt;&gt;"",N(K80)&gt;0),K80+74/1000000,"")</f>
        <v/>
      </c>
    </row>
    <row r="81">
      <c r="B81" s="62" t="n"/>
      <c r="C81" s="62" t="n"/>
      <c r="D81" s="62" t="n"/>
      <c r="E81" s="62" t="n"/>
      <c r="F81" s="62" t="n"/>
      <c r="G81" s="69" t="n"/>
      <c r="H81" s="62" t="n"/>
      <c r="I81" s="65">
        <f>IF(B81="","",SUMIFS(ap_Amount,ap_Party,B81,ap_Posted,1,ap_Date,"&lt;="&amp;AsOf))</f>
        <v/>
      </c>
      <c r="J81" s="65">
        <f>IF(B81="","",SUMIFS(ap_Paid,ap_Party,B81))</f>
        <v/>
      </c>
      <c r="K81" s="65">
        <f>IF(B81="","",SUMIFS(ap_Balance,ap_Party,B81))</f>
        <v/>
      </c>
      <c r="L81" s="65">
        <f>IF(B81="","",SUMIFS(ap_Balance,ap_Party,B81,ap_Status,"Overdue"))</f>
        <v/>
      </c>
      <c r="M81" s="66">
        <f>IF(B81="","",IF(COUNTIF(vend_Name,B81)&gt;1,"⚠ Duplicate name","✓ OK"))</f>
        <v/>
      </c>
      <c r="N81" s="67">
        <f>IF(AND(B81&lt;&gt;"",N(K81)&gt;0),K81+75/1000000,"")</f>
        <v/>
      </c>
    </row>
    <row r="82">
      <c r="B82" s="62" t="n"/>
      <c r="C82" s="62" t="n"/>
      <c r="D82" s="62" t="n"/>
      <c r="E82" s="62" t="n"/>
      <c r="F82" s="62" t="n"/>
      <c r="G82" s="69" t="n"/>
      <c r="H82" s="62" t="n"/>
      <c r="I82" s="65">
        <f>IF(B82="","",SUMIFS(ap_Amount,ap_Party,B82,ap_Posted,1,ap_Date,"&lt;="&amp;AsOf))</f>
        <v/>
      </c>
      <c r="J82" s="65">
        <f>IF(B82="","",SUMIFS(ap_Paid,ap_Party,B82))</f>
        <v/>
      </c>
      <c r="K82" s="65">
        <f>IF(B82="","",SUMIFS(ap_Balance,ap_Party,B82))</f>
        <v/>
      </c>
      <c r="L82" s="65">
        <f>IF(B82="","",SUMIFS(ap_Balance,ap_Party,B82,ap_Status,"Overdue"))</f>
        <v/>
      </c>
      <c r="M82" s="66">
        <f>IF(B82="","",IF(COUNTIF(vend_Name,B82)&gt;1,"⚠ Duplicate name","✓ OK"))</f>
        <v/>
      </c>
      <c r="N82" s="67">
        <f>IF(AND(B82&lt;&gt;"",N(K82)&gt;0),K82+76/1000000,"")</f>
        <v/>
      </c>
    </row>
    <row r="83">
      <c r="B83" s="62" t="n"/>
      <c r="C83" s="62" t="n"/>
      <c r="D83" s="62" t="n"/>
      <c r="E83" s="62" t="n"/>
      <c r="F83" s="62" t="n"/>
      <c r="G83" s="69" t="n"/>
      <c r="H83" s="62" t="n"/>
      <c r="I83" s="65">
        <f>IF(B83="","",SUMIFS(ap_Amount,ap_Party,B83,ap_Posted,1,ap_Date,"&lt;="&amp;AsOf))</f>
        <v/>
      </c>
      <c r="J83" s="65">
        <f>IF(B83="","",SUMIFS(ap_Paid,ap_Party,B83))</f>
        <v/>
      </c>
      <c r="K83" s="65">
        <f>IF(B83="","",SUMIFS(ap_Balance,ap_Party,B83))</f>
        <v/>
      </c>
      <c r="L83" s="65">
        <f>IF(B83="","",SUMIFS(ap_Balance,ap_Party,B83,ap_Status,"Overdue"))</f>
        <v/>
      </c>
      <c r="M83" s="66">
        <f>IF(B83="","",IF(COUNTIF(vend_Name,B83)&gt;1,"⚠ Duplicate name","✓ OK"))</f>
        <v/>
      </c>
      <c r="N83" s="67">
        <f>IF(AND(B83&lt;&gt;"",N(K83)&gt;0),K83+77/1000000,"")</f>
        <v/>
      </c>
    </row>
    <row r="84">
      <c r="B84" s="62" t="n"/>
      <c r="C84" s="62" t="n"/>
      <c r="D84" s="62" t="n"/>
      <c r="E84" s="62" t="n"/>
      <c r="F84" s="62" t="n"/>
      <c r="G84" s="69" t="n"/>
      <c r="H84" s="62" t="n"/>
      <c r="I84" s="65">
        <f>IF(B84="","",SUMIFS(ap_Amount,ap_Party,B84,ap_Posted,1,ap_Date,"&lt;="&amp;AsOf))</f>
        <v/>
      </c>
      <c r="J84" s="65">
        <f>IF(B84="","",SUMIFS(ap_Paid,ap_Party,B84))</f>
        <v/>
      </c>
      <c r="K84" s="65">
        <f>IF(B84="","",SUMIFS(ap_Balance,ap_Party,B84))</f>
        <v/>
      </c>
      <c r="L84" s="65">
        <f>IF(B84="","",SUMIFS(ap_Balance,ap_Party,B84,ap_Status,"Overdue"))</f>
        <v/>
      </c>
      <c r="M84" s="66">
        <f>IF(B84="","",IF(COUNTIF(vend_Name,B84)&gt;1,"⚠ Duplicate name","✓ OK"))</f>
        <v/>
      </c>
      <c r="N84" s="67">
        <f>IF(AND(B84&lt;&gt;"",N(K84)&gt;0),K84+78/1000000,"")</f>
        <v/>
      </c>
    </row>
    <row r="85">
      <c r="B85" s="62" t="n"/>
      <c r="C85" s="62" t="n"/>
      <c r="D85" s="62" t="n"/>
      <c r="E85" s="62" t="n"/>
      <c r="F85" s="62" t="n"/>
      <c r="G85" s="69" t="n"/>
      <c r="H85" s="62" t="n"/>
      <c r="I85" s="65">
        <f>IF(B85="","",SUMIFS(ap_Amount,ap_Party,B85,ap_Posted,1,ap_Date,"&lt;="&amp;AsOf))</f>
        <v/>
      </c>
      <c r="J85" s="65">
        <f>IF(B85="","",SUMIFS(ap_Paid,ap_Party,B85))</f>
        <v/>
      </c>
      <c r="K85" s="65">
        <f>IF(B85="","",SUMIFS(ap_Balance,ap_Party,B85))</f>
        <v/>
      </c>
      <c r="L85" s="65">
        <f>IF(B85="","",SUMIFS(ap_Balance,ap_Party,B85,ap_Status,"Overdue"))</f>
        <v/>
      </c>
      <c r="M85" s="66">
        <f>IF(B85="","",IF(COUNTIF(vend_Name,B85)&gt;1,"⚠ Duplicate name","✓ OK"))</f>
        <v/>
      </c>
      <c r="N85" s="67">
        <f>IF(AND(B85&lt;&gt;"",N(K85)&gt;0),K85+79/1000000,"")</f>
        <v/>
      </c>
    </row>
    <row r="86">
      <c r="B86" s="62" t="n"/>
      <c r="C86" s="62" t="n"/>
      <c r="D86" s="62" t="n"/>
      <c r="E86" s="62" t="n"/>
      <c r="F86" s="62" t="n"/>
      <c r="G86" s="69" t="n"/>
      <c r="H86" s="62" t="n"/>
      <c r="I86" s="65">
        <f>IF(B86="","",SUMIFS(ap_Amount,ap_Party,B86,ap_Posted,1,ap_Date,"&lt;="&amp;AsOf))</f>
        <v/>
      </c>
      <c r="J86" s="65">
        <f>IF(B86="","",SUMIFS(ap_Paid,ap_Party,B86))</f>
        <v/>
      </c>
      <c r="K86" s="65">
        <f>IF(B86="","",SUMIFS(ap_Balance,ap_Party,B86))</f>
        <v/>
      </c>
      <c r="L86" s="65">
        <f>IF(B86="","",SUMIFS(ap_Balance,ap_Party,B86,ap_Status,"Overdue"))</f>
        <v/>
      </c>
      <c r="M86" s="66">
        <f>IF(B86="","",IF(COUNTIF(vend_Name,B86)&gt;1,"⚠ Duplicate name","✓ OK"))</f>
        <v/>
      </c>
      <c r="N86" s="67">
        <f>IF(AND(B86&lt;&gt;"",N(K86)&gt;0),K86+80/1000000,"")</f>
        <v/>
      </c>
    </row>
    <row r="87">
      <c r="B87" s="62" t="n"/>
      <c r="C87" s="62" t="n"/>
      <c r="D87" s="62" t="n"/>
      <c r="E87" s="62" t="n"/>
      <c r="F87" s="62" t="n"/>
      <c r="G87" s="69" t="n"/>
      <c r="H87" s="62" t="n"/>
      <c r="I87" s="65">
        <f>IF(B87="","",SUMIFS(ap_Amount,ap_Party,B87,ap_Posted,1,ap_Date,"&lt;="&amp;AsOf))</f>
        <v/>
      </c>
      <c r="J87" s="65">
        <f>IF(B87="","",SUMIFS(ap_Paid,ap_Party,B87))</f>
        <v/>
      </c>
      <c r="K87" s="65">
        <f>IF(B87="","",SUMIFS(ap_Balance,ap_Party,B87))</f>
        <v/>
      </c>
      <c r="L87" s="65">
        <f>IF(B87="","",SUMIFS(ap_Balance,ap_Party,B87,ap_Status,"Overdue"))</f>
        <v/>
      </c>
      <c r="M87" s="66">
        <f>IF(B87="","",IF(COUNTIF(vend_Name,B87)&gt;1,"⚠ Duplicate name","✓ OK"))</f>
        <v/>
      </c>
      <c r="N87" s="67">
        <f>IF(AND(B87&lt;&gt;"",N(K87)&gt;0),K87+81/1000000,"")</f>
        <v/>
      </c>
    </row>
    <row r="88">
      <c r="B88" s="62" t="n"/>
      <c r="C88" s="62" t="n"/>
      <c r="D88" s="62" t="n"/>
      <c r="E88" s="62" t="n"/>
      <c r="F88" s="62" t="n"/>
      <c r="G88" s="69" t="n"/>
      <c r="H88" s="62" t="n"/>
      <c r="I88" s="65">
        <f>IF(B88="","",SUMIFS(ap_Amount,ap_Party,B88,ap_Posted,1,ap_Date,"&lt;="&amp;AsOf))</f>
        <v/>
      </c>
      <c r="J88" s="65">
        <f>IF(B88="","",SUMIFS(ap_Paid,ap_Party,B88))</f>
        <v/>
      </c>
      <c r="K88" s="65">
        <f>IF(B88="","",SUMIFS(ap_Balance,ap_Party,B88))</f>
        <v/>
      </c>
      <c r="L88" s="65">
        <f>IF(B88="","",SUMIFS(ap_Balance,ap_Party,B88,ap_Status,"Overdue"))</f>
        <v/>
      </c>
      <c r="M88" s="66">
        <f>IF(B88="","",IF(COUNTIF(vend_Name,B88)&gt;1,"⚠ Duplicate name","✓ OK"))</f>
        <v/>
      </c>
      <c r="N88" s="67">
        <f>IF(AND(B88&lt;&gt;"",N(K88)&gt;0),K88+82/1000000,"")</f>
        <v/>
      </c>
    </row>
    <row r="89">
      <c r="B89" s="62" t="n"/>
      <c r="C89" s="62" t="n"/>
      <c r="D89" s="62" t="n"/>
      <c r="E89" s="62" t="n"/>
      <c r="F89" s="62" t="n"/>
      <c r="G89" s="69" t="n"/>
      <c r="H89" s="62" t="n"/>
      <c r="I89" s="65">
        <f>IF(B89="","",SUMIFS(ap_Amount,ap_Party,B89,ap_Posted,1,ap_Date,"&lt;="&amp;AsOf))</f>
        <v/>
      </c>
      <c r="J89" s="65">
        <f>IF(B89="","",SUMIFS(ap_Paid,ap_Party,B89))</f>
        <v/>
      </c>
      <c r="K89" s="65">
        <f>IF(B89="","",SUMIFS(ap_Balance,ap_Party,B89))</f>
        <v/>
      </c>
      <c r="L89" s="65">
        <f>IF(B89="","",SUMIFS(ap_Balance,ap_Party,B89,ap_Status,"Overdue"))</f>
        <v/>
      </c>
      <c r="M89" s="66">
        <f>IF(B89="","",IF(COUNTIF(vend_Name,B89)&gt;1,"⚠ Duplicate name","✓ OK"))</f>
        <v/>
      </c>
      <c r="N89" s="67">
        <f>IF(AND(B89&lt;&gt;"",N(K89)&gt;0),K89+83/1000000,"")</f>
        <v/>
      </c>
    </row>
    <row r="90">
      <c r="B90" s="62" t="n"/>
      <c r="C90" s="62" t="n"/>
      <c r="D90" s="62" t="n"/>
      <c r="E90" s="62" t="n"/>
      <c r="F90" s="62" t="n"/>
      <c r="G90" s="69" t="n"/>
      <c r="H90" s="62" t="n"/>
      <c r="I90" s="65">
        <f>IF(B90="","",SUMIFS(ap_Amount,ap_Party,B90,ap_Posted,1,ap_Date,"&lt;="&amp;AsOf))</f>
        <v/>
      </c>
      <c r="J90" s="65">
        <f>IF(B90="","",SUMIFS(ap_Paid,ap_Party,B90))</f>
        <v/>
      </c>
      <c r="K90" s="65">
        <f>IF(B90="","",SUMIFS(ap_Balance,ap_Party,B90))</f>
        <v/>
      </c>
      <c r="L90" s="65">
        <f>IF(B90="","",SUMIFS(ap_Balance,ap_Party,B90,ap_Status,"Overdue"))</f>
        <v/>
      </c>
      <c r="M90" s="66">
        <f>IF(B90="","",IF(COUNTIF(vend_Name,B90)&gt;1,"⚠ Duplicate name","✓ OK"))</f>
        <v/>
      </c>
      <c r="N90" s="67">
        <f>IF(AND(B90&lt;&gt;"",N(K90)&gt;0),K90+84/1000000,"")</f>
        <v/>
      </c>
    </row>
    <row r="91">
      <c r="B91" s="62" t="n"/>
      <c r="C91" s="62" t="n"/>
      <c r="D91" s="62" t="n"/>
      <c r="E91" s="62" t="n"/>
      <c r="F91" s="62" t="n"/>
      <c r="G91" s="69" t="n"/>
      <c r="H91" s="62" t="n"/>
      <c r="I91" s="65">
        <f>IF(B91="","",SUMIFS(ap_Amount,ap_Party,B91,ap_Posted,1,ap_Date,"&lt;="&amp;AsOf))</f>
        <v/>
      </c>
      <c r="J91" s="65">
        <f>IF(B91="","",SUMIFS(ap_Paid,ap_Party,B91))</f>
        <v/>
      </c>
      <c r="K91" s="65">
        <f>IF(B91="","",SUMIFS(ap_Balance,ap_Party,B91))</f>
        <v/>
      </c>
      <c r="L91" s="65">
        <f>IF(B91="","",SUMIFS(ap_Balance,ap_Party,B91,ap_Status,"Overdue"))</f>
        <v/>
      </c>
      <c r="M91" s="66">
        <f>IF(B91="","",IF(COUNTIF(vend_Name,B91)&gt;1,"⚠ Duplicate name","✓ OK"))</f>
        <v/>
      </c>
      <c r="N91" s="67">
        <f>IF(AND(B91&lt;&gt;"",N(K91)&gt;0),K91+85/1000000,"")</f>
        <v/>
      </c>
    </row>
    <row r="92">
      <c r="B92" s="62" t="n"/>
      <c r="C92" s="62" t="n"/>
      <c r="D92" s="62" t="n"/>
      <c r="E92" s="62" t="n"/>
      <c r="F92" s="62" t="n"/>
      <c r="G92" s="69" t="n"/>
      <c r="H92" s="62" t="n"/>
      <c r="I92" s="65">
        <f>IF(B92="","",SUMIFS(ap_Amount,ap_Party,B92,ap_Posted,1,ap_Date,"&lt;="&amp;AsOf))</f>
        <v/>
      </c>
      <c r="J92" s="65">
        <f>IF(B92="","",SUMIFS(ap_Paid,ap_Party,B92))</f>
        <v/>
      </c>
      <c r="K92" s="65">
        <f>IF(B92="","",SUMIFS(ap_Balance,ap_Party,B92))</f>
        <v/>
      </c>
      <c r="L92" s="65">
        <f>IF(B92="","",SUMIFS(ap_Balance,ap_Party,B92,ap_Status,"Overdue"))</f>
        <v/>
      </c>
      <c r="M92" s="66">
        <f>IF(B92="","",IF(COUNTIF(vend_Name,B92)&gt;1,"⚠ Duplicate name","✓ OK"))</f>
        <v/>
      </c>
      <c r="N92" s="67">
        <f>IF(AND(B92&lt;&gt;"",N(K92)&gt;0),K92+86/1000000,"")</f>
        <v/>
      </c>
    </row>
    <row r="93">
      <c r="B93" s="62" t="n"/>
      <c r="C93" s="62" t="n"/>
      <c r="D93" s="62" t="n"/>
      <c r="E93" s="62" t="n"/>
      <c r="F93" s="62" t="n"/>
      <c r="G93" s="69" t="n"/>
      <c r="H93" s="62" t="n"/>
      <c r="I93" s="65">
        <f>IF(B93="","",SUMIFS(ap_Amount,ap_Party,B93,ap_Posted,1,ap_Date,"&lt;="&amp;AsOf))</f>
        <v/>
      </c>
      <c r="J93" s="65">
        <f>IF(B93="","",SUMIFS(ap_Paid,ap_Party,B93))</f>
        <v/>
      </c>
      <c r="K93" s="65">
        <f>IF(B93="","",SUMIFS(ap_Balance,ap_Party,B93))</f>
        <v/>
      </c>
      <c r="L93" s="65">
        <f>IF(B93="","",SUMIFS(ap_Balance,ap_Party,B93,ap_Status,"Overdue"))</f>
        <v/>
      </c>
      <c r="M93" s="66">
        <f>IF(B93="","",IF(COUNTIF(vend_Name,B93)&gt;1,"⚠ Duplicate name","✓ OK"))</f>
        <v/>
      </c>
      <c r="N93" s="67">
        <f>IF(AND(B93&lt;&gt;"",N(K93)&gt;0),K93+87/1000000,"")</f>
        <v/>
      </c>
    </row>
    <row r="94">
      <c r="B94" s="62" t="n"/>
      <c r="C94" s="62" t="n"/>
      <c r="D94" s="62" t="n"/>
      <c r="E94" s="62" t="n"/>
      <c r="F94" s="62" t="n"/>
      <c r="G94" s="69" t="n"/>
      <c r="H94" s="62" t="n"/>
      <c r="I94" s="65">
        <f>IF(B94="","",SUMIFS(ap_Amount,ap_Party,B94,ap_Posted,1,ap_Date,"&lt;="&amp;AsOf))</f>
        <v/>
      </c>
      <c r="J94" s="65">
        <f>IF(B94="","",SUMIFS(ap_Paid,ap_Party,B94))</f>
        <v/>
      </c>
      <c r="K94" s="65">
        <f>IF(B94="","",SUMIFS(ap_Balance,ap_Party,B94))</f>
        <v/>
      </c>
      <c r="L94" s="65">
        <f>IF(B94="","",SUMIFS(ap_Balance,ap_Party,B94,ap_Status,"Overdue"))</f>
        <v/>
      </c>
      <c r="M94" s="66">
        <f>IF(B94="","",IF(COUNTIF(vend_Name,B94)&gt;1,"⚠ Duplicate name","✓ OK"))</f>
        <v/>
      </c>
      <c r="N94" s="67">
        <f>IF(AND(B94&lt;&gt;"",N(K94)&gt;0),K94+88/1000000,"")</f>
        <v/>
      </c>
    </row>
    <row r="95">
      <c r="B95" s="62" t="n"/>
      <c r="C95" s="62" t="n"/>
      <c r="D95" s="62" t="n"/>
      <c r="E95" s="62" t="n"/>
      <c r="F95" s="62" t="n"/>
      <c r="G95" s="69" t="n"/>
      <c r="H95" s="62" t="n"/>
      <c r="I95" s="65">
        <f>IF(B95="","",SUMIFS(ap_Amount,ap_Party,B95,ap_Posted,1,ap_Date,"&lt;="&amp;AsOf))</f>
        <v/>
      </c>
      <c r="J95" s="65">
        <f>IF(B95="","",SUMIFS(ap_Paid,ap_Party,B95))</f>
        <v/>
      </c>
      <c r="K95" s="65">
        <f>IF(B95="","",SUMIFS(ap_Balance,ap_Party,B95))</f>
        <v/>
      </c>
      <c r="L95" s="65">
        <f>IF(B95="","",SUMIFS(ap_Balance,ap_Party,B95,ap_Status,"Overdue"))</f>
        <v/>
      </c>
      <c r="M95" s="66">
        <f>IF(B95="","",IF(COUNTIF(vend_Name,B95)&gt;1,"⚠ Duplicate name","✓ OK"))</f>
        <v/>
      </c>
      <c r="N95" s="67">
        <f>IF(AND(B95&lt;&gt;"",N(K95)&gt;0),K95+89/1000000,"")</f>
        <v/>
      </c>
    </row>
    <row r="96">
      <c r="B96" s="62" t="n"/>
      <c r="C96" s="62" t="n"/>
      <c r="D96" s="62" t="n"/>
      <c r="E96" s="62" t="n"/>
      <c r="F96" s="62" t="n"/>
      <c r="G96" s="69" t="n"/>
      <c r="H96" s="62" t="n"/>
      <c r="I96" s="65">
        <f>IF(B96="","",SUMIFS(ap_Amount,ap_Party,B96,ap_Posted,1,ap_Date,"&lt;="&amp;AsOf))</f>
        <v/>
      </c>
      <c r="J96" s="65">
        <f>IF(B96="","",SUMIFS(ap_Paid,ap_Party,B96))</f>
        <v/>
      </c>
      <c r="K96" s="65">
        <f>IF(B96="","",SUMIFS(ap_Balance,ap_Party,B96))</f>
        <v/>
      </c>
      <c r="L96" s="65">
        <f>IF(B96="","",SUMIFS(ap_Balance,ap_Party,B96,ap_Status,"Overdue"))</f>
        <v/>
      </c>
      <c r="M96" s="66">
        <f>IF(B96="","",IF(COUNTIF(vend_Name,B96)&gt;1,"⚠ Duplicate name","✓ OK"))</f>
        <v/>
      </c>
      <c r="N96" s="67">
        <f>IF(AND(B96&lt;&gt;"",N(K96)&gt;0),K96+90/1000000,"")</f>
        <v/>
      </c>
    </row>
    <row r="97">
      <c r="B97" s="62" t="n"/>
      <c r="C97" s="62" t="n"/>
      <c r="D97" s="62" t="n"/>
      <c r="E97" s="62" t="n"/>
      <c r="F97" s="62" t="n"/>
      <c r="G97" s="69" t="n"/>
      <c r="H97" s="62" t="n"/>
      <c r="I97" s="65">
        <f>IF(B97="","",SUMIFS(ap_Amount,ap_Party,B97,ap_Posted,1,ap_Date,"&lt;="&amp;AsOf))</f>
        <v/>
      </c>
      <c r="J97" s="65">
        <f>IF(B97="","",SUMIFS(ap_Paid,ap_Party,B97))</f>
        <v/>
      </c>
      <c r="K97" s="65">
        <f>IF(B97="","",SUMIFS(ap_Balance,ap_Party,B97))</f>
        <v/>
      </c>
      <c r="L97" s="65">
        <f>IF(B97="","",SUMIFS(ap_Balance,ap_Party,B97,ap_Status,"Overdue"))</f>
        <v/>
      </c>
      <c r="M97" s="66">
        <f>IF(B97="","",IF(COUNTIF(vend_Name,B97)&gt;1,"⚠ Duplicate name","✓ OK"))</f>
        <v/>
      </c>
      <c r="N97" s="67">
        <f>IF(AND(B97&lt;&gt;"",N(K97)&gt;0),K97+91/1000000,"")</f>
        <v/>
      </c>
    </row>
    <row r="98">
      <c r="B98" s="62" t="n"/>
      <c r="C98" s="62" t="n"/>
      <c r="D98" s="62" t="n"/>
      <c r="E98" s="62" t="n"/>
      <c r="F98" s="62" t="n"/>
      <c r="G98" s="69" t="n"/>
      <c r="H98" s="62" t="n"/>
      <c r="I98" s="65">
        <f>IF(B98="","",SUMIFS(ap_Amount,ap_Party,B98,ap_Posted,1,ap_Date,"&lt;="&amp;AsOf))</f>
        <v/>
      </c>
      <c r="J98" s="65">
        <f>IF(B98="","",SUMIFS(ap_Paid,ap_Party,B98))</f>
        <v/>
      </c>
      <c r="K98" s="65">
        <f>IF(B98="","",SUMIFS(ap_Balance,ap_Party,B98))</f>
        <v/>
      </c>
      <c r="L98" s="65">
        <f>IF(B98="","",SUMIFS(ap_Balance,ap_Party,B98,ap_Status,"Overdue"))</f>
        <v/>
      </c>
      <c r="M98" s="66">
        <f>IF(B98="","",IF(COUNTIF(vend_Name,B98)&gt;1,"⚠ Duplicate name","✓ OK"))</f>
        <v/>
      </c>
      <c r="N98" s="67">
        <f>IF(AND(B98&lt;&gt;"",N(K98)&gt;0),K98+92/1000000,"")</f>
        <v/>
      </c>
    </row>
    <row r="99">
      <c r="B99" s="62" t="n"/>
      <c r="C99" s="62" t="n"/>
      <c r="D99" s="62" t="n"/>
      <c r="E99" s="62" t="n"/>
      <c r="F99" s="62" t="n"/>
      <c r="G99" s="69" t="n"/>
      <c r="H99" s="62" t="n"/>
      <c r="I99" s="65">
        <f>IF(B99="","",SUMIFS(ap_Amount,ap_Party,B99,ap_Posted,1,ap_Date,"&lt;="&amp;AsOf))</f>
        <v/>
      </c>
      <c r="J99" s="65">
        <f>IF(B99="","",SUMIFS(ap_Paid,ap_Party,B99))</f>
        <v/>
      </c>
      <c r="K99" s="65">
        <f>IF(B99="","",SUMIFS(ap_Balance,ap_Party,B99))</f>
        <v/>
      </c>
      <c r="L99" s="65">
        <f>IF(B99="","",SUMIFS(ap_Balance,ap_Party,B99,ap_Status,"Overdue"))</f>
        <v/>
      </c>
      <c r="M99" s="66">
        <f>IF(B99="","",IF(COUNTIF(vend_Name,B99)&gt;1,"⚠ Duplicate name","✓ OK"))</f>
        <v/>
      </c>
      <c r="N99" s="67">
        <f>IF(AND(B99&lt;&gt;"",N(K99)&gt;0),K99+93/1000000,"")</f>
        <v/>
      </c>
    </row>
    <row r="100">
      <c r="B100" s="62" t="n"/>
      <c r="C100" s="62" t="n"/>
      <c r="D100" s="62" t="n"/>
      <c r="E100" s="62" t="n"/>
      <c r="F100" s="62" t="n"/>
      <c r="G100" s="69" t="n"/>
      <c r="H100" s="62" t="n"/>
      <c r="I100" s="65">
        <f>IF(B100="","",SUMIFS(ap_Amount,ap_Party,B100,ap_Posted,1,ap_Date,"&lt;="&amp;AsOf))</f>
        <v/>
      </c>
      <c r="J100" s="65">
        <f>IF(B100="","",SUMIFS(ap_Paid,ap_Party,B100))</f>
        <v/>
      </c>
      <c r="K100" s="65">
        <f>IF(B100="","",SUMIFS(ap_Balance,ap_Party,B100))</f>
        <v/>
      </c>
      <c r="L100" s="65">
        <f>IF(B100="","",SUMIFS(ap_Balance,ap_Party,B100,ap_Status,"Overdue"))</f>
        <v/>
      </c>
      <c r="M100" s="66">
        <f>IF(B100="","",IF(COUNTIF(vend_Name,B100)&gt;1,"⚠ Duplicate name","✓ OK"))</f>
        <v/>
      </c>
      <c r="N100" s="67">
        <f>IF(AND(B100&lt;&gt;"",N(K100)&gt;0),K100+94/1000000,"")</f>
        <v/>
      </c>
    </row>
    <row r="101">
      <c r="B101" s="62" t="n"/>
      <c r="C101" s="62" t="n"/>
      <c r="D101" s="62" t="n"/>
      <c r="E101" s="62" t="n"/>
      <c r="F101" s="62" t="n"/>
      <c r="G101" s="69" t="n"/>
      <c r="H101" s="62" t="n"/>
      <c r="I101" s="65">
        <f>IF(B101="","",SUMIFS(ap_Amount,ap_Party,B101,ap_Posted,1,ap_Date,"&lt;="&amp;AsOf))</f>
        <v/>
      </c>
      <c r="J101" s="65">
        <f>IF(B101="","",SUMIFS(ap_Paid,ap_Party,B101))</f>
        <v/>
      </c>
      <c r="K101" s="65">
        <f>IF(B101="","",SUMIFS(ap_Balance,ap_Party,B101))</f>
        <v/>
      </c>
      <c r="L101" s="65">
        <f>IF(B101="","",SUMIFS(ap_Balance,ap_Party,B101,ap_Status,"Overdue"))</f>
        <v/>
      </c>
      <c r="M101" s="66">
        <f>IF(B101="","",IF(COUNTIF(vend_Name,B101)&gt;1,"⚠ Duplicate name","✓ OK"))</f>
        <v/>
      </c>
      <c r="N101" s="67">
        <f>IF(AND(B101&lt;&gt;"",N(K101)&gt;0),K101+95/1000000,"")</f>
        <v/>
      </c>
    </row>
    <row r="102">
      <c r="B102" s="62" t="n"/>
      <c r="C102" s="62" t="n"/>
      <c r="D102" s="62" t="n"/>
      <c r="E102" s="62" t="n"/>
      <c r="F102" s="62" t="n"/>
      <c r="G102" s="69" t="n"/>
      <c r="H102" s="62" t="n"/>
      <c r="I102" s="65">
        <f>IF(B102="","",SUMIFS(ap_Amount,ap_Party,B102,ap_Posted,1,ap_Date,"&lt;="&amp;AsOf))</f>
        <v/>
      </c>
      <c r="J102" s="65">
        <f>IF(B102="","",SUMIFS(ap_Paid,ap_Party,B102))</f>
        <v/>
      </c>
      <c r="K102" s="65">
        <f>IF(B102="","",SUMIFS(ap_Balance,ap_Party,B102))</f>
        <v/>
      </c>
      <c r="L102" s="65">
        <f>IF(B102="","",SUMIFS(ap_Balance,ap_Party,B102,ap_Status,"Overdue"))</f>
        <v/>
      </c>
      <c r="M102" s="66">
        <f>IF(B102="","",IF(COUNTIF(vend_Name,B102)&gt;1,"⚠ Duplicate name","✓ OK"))</f>
        <v/>
      </c>
      <c r="N102" s="67">
        <f>IF(AND(B102&lt;&gt;"",N(K102)&gt;0),K102+96/1000000,"")</f>
        <v/>
      </c>
    </row>
    <row r="103">
      <c r="B103" s="62" t="n"/>
      <c r="C103" s="62" t="n"/>
      <c r="D103" s="62" t="n"/>
      <c r="E103" s="62" t="n"/>
      <c r="F103" s="62" t="n"/>
      <c r="G103" s="69" t="n"/>
      <c r="H103" s="62" t="n"/>
      <c r="I103" s="65">
        <f>IF(B103="","",SUMIFS(ap_Amount,ap_Party,B103,ap_Posted,1,ap_Date,"&lt;="&amp;AsOf))</f>
        <v/>
      </c>
      <c r="J103" s="65">
        <f>IF(B103="","",SUMIFS(ap_Paid,ap_Party,B103))</f>
        <v/>
      </c>
      <c r="K103" s="65">
        <f>IF(B103="","",SUMIFS(ap_Balance,ap_Party,B103))</f>
        <v/>
      </c>
      <c r="L103" s="65">
        <f>IF(B103="","",SUMIFS(ap_Balance,ap_Party,B103,ap_Status,"Overdue"))</f>
        <v/>
      </c>
      <c r="M103" s="66">
        <f>IF(B103="","",IF(COUNTIF(vend_Name,B103)&gt;1,"⚠ Duplicate name","✓ OK"))</f>
        <v/>
      </c>
      <c r="N103" s="67">
        <f>IF(AND(B103&lt;&gt;"",N(K103)&gt;0),K103+97/1000000,"")</f>
        <v/>
      </c>
    </row>
    <row r="104">
      <c r="B104" s="62" t="n"/>
      <c r="C104" s="62" t="n"/>
      <c r="D104" s="62" t="n"/>
      <c r="E104" s="62" t="n"/>
      <c r="F104" s="62" t="n"/>
      <c r="G104" s="69" t="n"/>
      <c r="H104" s="62" t="n"/>
      <c r="I104" s="65">
        <f>IF(B104="","",SUMIFS(ap_Amount,ap_Party,B104,ap_Posted,1,ap_Date,"&lt;="&amp;AsOf))</f>
        <v/>
      </c>
      <c r="J104" s="65">
        <f>IF(B104="","",SUMIFS(ap_Paid,ap_Party,B104))</f>
        <v/>
      </c>
      <c r="K104" s="65">
        <f>IF(B104="","",SUMIFS(ap_Balance,ap_Party,B104))</f>
        <v/>
      </c>
      <c r="L104" s="65">
        <f>IF(B104="","",SUMIFS(ap_Balance,ap_Party,B104,ap_Status,"Overdue"))</f>
        <v/>
      </c>
      <c r="M104" s="66">
        <f>IF(B104="","",IF(COUNTIF(vend_Name,B104)&gt;1,"⚠ Duplicate name","✓ OK"))</f>
        <v/>
      </c>
      <c r="N104" s="67">
        <f>IF(AND(B104&lt;&gt;"",N(K104)&gt;0),K104+98/1000000,"")</f>
        <v/>
      </c>
    </row>
    <row r="105">
      <c r="B105" s="62" t="n"/>
      <c r="C105" s="62" t="n"/>
      <c r="D105" s="62" t="n"/>
      <c r="E105" s="62" t="n"/>
      <c r="F105" s="62" t="n"/>
      <c r="G105" s="69" t="n"/>
      <c r="H105" s="62" t="n"/>
      <c r="I105" s="65">
        <f>IF(B105="","",SUMIFS(ap_Amount,ap_Party,B105,ap_Posted,1,ap_Date,"&lt;="&amp;AsOf))</f>
        <v/>
      </c>
      <c r="J105" s="65">
        <f>IF(B105="","",SUMIFS(ap_Paid,ap_Party,B105))</f>
        <v/>
      </c>
      <c r="K105" s="65">
        <f>IF(B105="","",SUMIFS(ap_Balance,ap_Party,B105))</f>
        <v/>
      </c>
      <c r="L105" s="65">
        <f>IF(B105="","",SUMIFS(ap_Balance,ap_Party,B105,ap_Status,"Overdue"))</f>
        <v/>
      </c>
      <c r="M105" s="66">
        <f>IF(B105="","",IF(COUNTIF(vend_Name,B105)&gt;1,"⚠ Duplicate name","✓ OK"))</f>
        <v/>
      </c>
      <c r="N105" s="67">
        <f>IF(AND(B105&lt;&gt;"",N(K105)&gt;0),K105+99/1000000,"")</f>
        <v/>
      </c>
    </row>
    <row r="106">
      <c r="B106" s="62" t="n"/>
      <c r="C106" s="62" t="n"/>
      <c r="D106" s="62" t="n"/>
      <c r="E106" s="62" t="n"/>
      <c r="F106" s="62" t="n"/>
      <c r="G106" s="69" t="n"/>
      <c r="H106" s="62" t="n"/>
      <c r="I106" s="65">
        <f>IF(B106="","",SUMIFS(ap_Amount,ap_Party,B106,ap_Posted,1,ap_Date,"&lt;="&amp;AsOf))</f>
        <v/>
      </c>
      <c r="J106" s="65">
        <f>IF(B106="","",SUMIFS(ap_Paid,ap_Party,B106))</f>
        <v/>
      </c>
      <c r="K106" s="65">
        <f>IF(B106="","",SUMIFS(ap_Balance,ap_Party,B106))</f>
        <v/>
      </c>
      <c r="L106" s="65">
        <f>IF(B106="","",SUMIFS(ap_Balance,ap_Party,B106,ap_Status,"Overdue"))</f>
        <v/>
      </c>
      <c r="M106" s="66">
        <f>IF(B106="","",IF(COUNTIF(vend_Name,B106)&gt;1,"⚠ Duplicate name","✓ OK"))</f>
        <v/>
      </c>
      <c r="N106" s="67">
        <f>IF(AND(B106&lt;&gt;"",N(K106)&gt;0),K106+100/1000000,"")</f>
        <v/>
      </c>
    </row>
    <row r="107">
      <c r="B107" s="62" t="n"/>
      <c r="C107" s="62" t="n"/>
      <c r="D107" s="62" t="n"/>
      <c r="E107" s="62" t="n"/>
      <c r="F107" s="62" t="n"/>
      <c r="G107" s="69" t="n"/>
      <c r="H107" s="62" t="n"/>
      <c r="I107" s="65">
        <f>IF(B107="","",SUMIFS(ap_Amount,ap_Party,B107,ap_Posted,1,ap_Date,"&lt;="&amp;AsOf))</f>
        <v/>
      </c>
      <c r="J107" s="65">
        <f>IF(B107="","",SUMIFS(ap_Paid,ap_Party,B107))</f>
        <v/>
      </c>
      <c r="K107" s="65">
        <f>IF(B107="","",SUMIFS(ap_Balance,ap_Party,B107))</f>
        <v/>
      </c>
      <c r="L107" s="65">
        <f>IF(B107="","",SUMIFS(ap_Balance,ap_Party,B107,ap_Status,"Overdue"))</f>
        <v/>
      </c>
      <c r="M107" s="66">
        <f>IF(B107="","",IF(COUNTIF(vend_Name,B107)&gt;1,"⚠ Duplicate name","✓ OK"))</f>
        <v/>
      </c>
      <c r="N107" s="67">
        <f>IF(AND(B107&lt;&gt;"",N(K107)&gt;0),K107+101/1000000,"")</f>
        <v/>
      </c>
    </row>
    <row r="108">
      <c r="B108" s="62" t="n"/>
      <c r="C108" s="62" t="n"/>
      <c r="D108" s="62" t="n"/>
      <c r="E108" s="62" t="n"/>
      <c r="F108" s="62" t="n"/>
      <c r="G108" s="69" t="n"/>
      <c r="H108" s="62" t="n"/>
      <c r="I108" s="65">
        <f>IF(B108="","",SUMIFS(ap_Amount,ap_Party,B108,ap_Posted,1,ap_Date,"&lt;="&amp;AsOf))</f>
        <v/>
      </c>
      <c r="J108" s="65">
        <f>IF(B108="","",SUMIFS(ap_Paid,ap_Party,B108))</f>
        <v/>
      </c>
      <c r="K108" s="65">
        <f>IF(B108="","",SUMIFS(ap_Balance,ap_Party,B108))</f>
        <v/>
      </c>
      <c r="L108" s="65">
        <f>IF(B108="","",SUMIFS(ap_Balance,ap_Party,B108,ap_Status,"Overdue"))</f>
        <v/>
      </c>
      <c r="M108" s="66">
        <f>IF(B108="","",IF(COUNTIF(vend_Name,B108)&gt;1,"⚠ Duplicate name","✓ OK"))</f>
        <v/>
      </c>
      <c r="N108" s="67">
        <f>IF(AND(B108&lt;&gt;"",N(K108)&gt;0),K108+102/1000000,"")</f>
        <v/>
      </c>
    </row>
    <row r="109">
      <c r="B109" s="62" t="n"/>
      <c r="C109" s="62" t="n"/>
      <c r="D109" s="62" t="n"/>
      <c r="E109" s="62" t="n"/>
      <c r="F109" s="62" t="n"/>
      <c r="G109" s="69" t="n"/>
      <c r="H109" s="62" t="n"/>
      <c r="I109" s="65">
        <f>IF(B109="","",SUMIFS(ap_Amount,ap_Party,B109,ap_Posted,1,ap_Date,"&lt;="&amp;AsOf))</f>
        <v/>
      </c>
      <c r="J109" s="65">
        <f>IF(B109="","",SUMIFS(ap_Paid,ap_Party,B109))</f>
        <v/>
      </c>
      <c r="K109" s="65">
        <f>IF(B109="","",SUMIFS(ap_Balance,ap_Party,B109))</f>
        <v/>
      </c>
      <c r="L109" s="65">
        <f>IF(B109="","",SUMIFS(ap_Balance,ap_Party,B109,ap_Status,"Overdue"))</f>
        <v/>
      </c>
      <c r="M109" s="66">
        <f>IF(B109="","",IF(COUNTIF(vend_Name,B109)&gt;1,"⚠ Duplicate name","✓ OK"))</f>
        <v/>
      </c>
      <c r="N109" s="67">
        <f>IF(AND(B109&lt;&gt;"",N(K109)&gt;0),K109+103/1000000,"")</f>
        <v/>
      </c>
    </row>
    <row r="110">
      <c r="B110" s="62" t="n"/>
      <c r="C110" s="62" t="n"/>
      <c r="D110" s="62" t="n"/>
      <c r="E110" s="62" t="n"/>
      <c r="F110" s="62" t="n"/>
      <c r="G110" s="69" t="n"/>
      <c r="H110" s="62" t="n"/>
      <c r="I110" s="65">
        <f>IF(B110="","",SUMIFS(ap_Amount,ap_Party,B110,ap_Posted,1,ap_Date,"&lt;="&amp;AsOf))</f>
        <v/>
      </c>
      <c r="J110" s="65">
        <f>IF(B110="","",SUMIFS(ap_Paid,ap_Party,B110))</f>
        <v/>
      </c>
      <c r="K110" s="65">
        <f>IF(B110="","",SUMIFS(ap_Balance,ap_Party,B110))</f>
        <v/>
      </c>
      <c r="L110" s="65">
        <f>IF(B110="","",SUMIFS(ap_Balance,ap_Party,B110,ap_Status,"Overdue"))</f>
        <v/>
      </c>
      <c r="M110" s="66">
        <f>IF(B110="","",IF(COUNTIF(vend_Name,B110)&gt;1,"⚠ Duplicate name","✓ OK"))</f>
        <v/>
      </c>
      <c r="N110" s="67">
        <f>IF(AND(B110&lt;&gt;"",N(K110)&gt;0),K110+104/1000000,"")</f>
        <v/>
      </c>
    </row>
    <row r="111">
      <c r="B111" s="62" t="n"/>
      <c r="C111" s="62" t="n"/>
      <c r="D111" s="62" t="n"/>
      <c r="E111" s="62" t="n"/>
      <c r="F111" s="62" t="n"/>
      <c r="G111" s="69" t="n"/>
      <c r="H111" s="62" t="n"/>
      <c r="I111" s="65">
        <f>IF(B111="","",SUMIFS(ap_Amount,ap_Party,B111,ap_Posted,1,ap_Date,"&lt;="&amp;AsOf))</f>
        <v/>
      </c>
      <c r="J111" s="65">
        <f>IF(B111="","",SUMIFS(ap_Paid,ap_Party,B111))</f>
        <v/>
      </c>
      <c r="K111" s="65">
        <f>IF(B111="","",SUMIFS(ap_Balance,ap_Party,B111))</f>
        <v/>
      </c>
      <c r="L111" s="65">
        <f>IF(B111="","",SUMIFS(ap_Balance,ap_Party,B111,ap_Status,"Overdue"))</f>
        <v/>
      </c>
      <c r="M111" s="66">
        <f>IF(B111="","",IF(COUNTIF(vend_Name,B111)&gt;1,"⚠ Duplicate name","✓ OK"))</f>
        <v/>
      </c>
      <c r="N111" s="67">
        <f>IF(AND(B111&lt;&gt;"",N(K111)&gt;0),K111+105/1000000,"")</f>
        <v/>
      </c>
    </row>
    <row r="112">
      <c r="B112" s="62" t="n"/>
      <c r="C112" s="62" t="n"/>
      <c r="D112" s="62" t="n"/>
      <c r="E112" s="62" t="n"/>
      <c r="F112" s="62" t="n"/>
      <c r="G112" s="69" t="n"/>
      <c r="H112" s="62" t="n"/>
      <c r="I112" s="65">
        <f>IF(B112="","",SUMIFS(ap_Amount,ap_Party,B112,ap_Posted,1,ap_Date,"&lt;="&amp;AsOf))</f>
        <v/>
      </c>
      <c r="J112" s="65">
        <f>IF(B112="","",SUMIFS(ap_Paid,ap_Party,B112))</f>
        <v/>
      </c>
      <c r="K112" s="65">
        <f>IF(B112="","",SUMIFS(ap_Balance,ap_Party,B112))</f>
        <v/>
      </c>
      <c r="L112" s="65">
        <f>IF(B112="","",SUMIFS(ap_Balance,ap_Party,B112,ap_Status,"Overdue"))</f>
        <v/>
      </c>
      <c r="M112" s="66">
        <f>IF(B112="","",IF(COUNTIF(vend_Name,B112)&gt;1,"⚠ Duplicate name","✓ OK"))</f>
        <v/>
      </c>
      <c r="N112" s="67">
        <f>IF(AND(B112&lt;&gt;"",N(K112)&gt;0),K112+106/1000000,"")</f>
        <v/>
      </c>
    </row>
    <row r="113">
      <c r="B113" s="62" t="n"/>
      <c r="C113" s="62" t="n"/>
      <c r="D113" s="62" t="n"/>
      <c r="E113" s="62" t="n"/>
      <c r="F113" s="62" t="n"/>
      <c r="G113" s="69" t="n"/>
      <c r="H113" s="62" t="n"/>
      <c r="I113" s="65">
        <f>IF(B113="","",SUMIFS(ap_Amount,ap_Party,B113,ap_Posted,1,ap_Date,"&lt;="&amp;AsOf))</f>
        <v/>
      </c>
      <c r="J113" s="65">
        <f>IF(B113="","",SUMIFS(ap_Paid,ap_Party,B113))</f>
        <v/>
      </c>
      <c r="K113" s="65">
        <f>IF(B113="","",SUMIFS(ap_Balance,ap_Party,B113))</f>
        <v/>
      </c>
      <c r="L113" s="65">
        <f>IF(B113="","",SUMIFS(ap_Balance,ap_Party,B113,ap_Status,"Overdue"))</f>
        <v/>
      </c>
      <c r="M113" s="66">
        <f>IF(B113="","",IF(COUNTIF(vend_Name,B113)&gt;1,"⚠ Duplicate name","✓ OK"))</f>
        <v/>
      </c>
      <c r="N113" s="67">
        <f>IF(AND(B113&lt;&gt;"",N(K113)&gt;0),K113+107/1000000,"")</f>
        <v/>
      </c>
    </row>
    <row r="114">
      <c r="B114" s="62" t="n"/>
      <c r="C114" s="62" t="n"/>
      <c r="D114" s="62" t="n"/>
      <c r="E114" s="62" t="n"/>
      <c r="F114" s="62" t="n"/>
      <c r="G114" s="69" t="n"/>
      <c r="H114" s="62" t="n"/>
      <c r="I114" s="65">
        <f>IF(B114="","",SUMIFS(ap_Amount,ap_Party,B114,ap_Posted,1,ap_Date,"&lt;="&amp;AsOf))</f>
        <v/>
      </c>
      <c r="J114" s="65">
        <f>IF(B114="","",SUMIFS(ap_Paid,ap_Party,B114))</f>
        <v/>
      </c>
      <c r="K114" s="65">
        <f>IF(B114="","",SUMIFS(ap_Balance,ap_Party,B114))</f>
        <v/>
      </c>
      <c r="L114" s="65">
        <f>IF(B114="","",SUMIFS(ap_Balance,ap_Party,B114,ap_Status,"Overdue"))</f>
        <v/>
      </c>
      <c r="M114" s="66">
        <f>IF(B114="","",IF(COUNTIF(vend_Name,B114)&gt;1,"⚠ Duplicate name","✓ OK"))</f>
        <v/>
      </c>
      <c r="N114" s="67">
        <f>IF(AND(B114&lt;&gt;"",N(K114)&gt;0),K114+108/1000000,"")</f>
        <v/>
      </c>
    </row>
    <row r="115">
      <c r="B115" s="62" t="n"/>
      <c r="C115" s="62" t="n"/>
      <c r="D115" s="62" t="n"/>
      <c r="E115" s="62" t="n"/>
      <c r="F115" s="62" t="n"/>
      <c r="G115" s="69" t="n"/>
      <c r="H115" s="62" t="n"/>
      <c r="I115" s="65">
        <f>IF(B115="","",SUMIFS(ap_Amount,ap_Party,B115,ap_Posted,1,ap_Date,"&lt;="&amp;AsOf))</f>
        <v/>
      </c>
      <c r="J115" s="65">
        <f>IF(B115="","",SUMIFS(ap_Paid,ap_Party,B115))</f>
        <v/>
      </c>
      <c r="K115" s="65">
        <f>IF(B115="","",SUMIFS(ap_Balance,ap_Party,B115))</f>
        <v/>
      </c>
      <c r="L115" s="65">
        <f>IF(B115="","",SUMIFS(ap_Balance,ap_Party,B115,ap_Status,"Overdue"))</f>
        <v/>
      </c>
      <c r="M115" s="66">
        <f>IF(B115="","",IF(COUNTIF(vend_Name,B115)&gt;1,"⚠ Duplicate name","✓ OK"))</f>
        <v/>
      </c>
      <c r="N115" s="67">
        <f>IF(AND(B115&lt;&gt;"",N(K115)&gt;0),K115+109/1000000,"")</f>
        <v/>
      </c>
    </row>
    <row r="116">
      <c r="B116" s="62" t="n"/>
      <c r="C116" s="62" t="n"/>
      <c r="D116" s="62" t="n"/>
      <c r="E116" s="62" t="n"/>
      <c r="F116" s="62" t="n"/>
      <c r="G116" s="69" t="n"/>
      <c r="H116" s="62" t="n"/>
      <c r="I116" s="65">
        <f>IF(B116="","",SUMIFS(ap_Amount,ap_Party,B116,ap_Posted,1,ap_Date,"&lt;="&amp;AsOf))</f>
        <v/>
      </c>
      <c r="J116" s="65">
        <f>IF(B116="","",SUMIFS(ap_Paid,ap_Party,B116))</f>
        <v/>
      </c>
      <c r="K116" s="65">
        <f>IF(B116="","",SUMIFS(ap_Balance,ap_Party,B116))</f>
        <v/>
      </c>
      <c r="L116" s="65">
        <f>IF(B116="","",SUMIFS(ap_Balance,ap_Party,B116,ap_Status,"Overdue"))</f>
        <v/>
      </c>
      <c r="M116" s="66">
        <f>IF(B116="","",IF(COUNTIF(vend_Name,B116)&gt;1,"⚠ Duplicate name","✓ OK"))</f>
        <v/>
      </c>
      <c r="N116" s="67">
        <f>IF(AND(B116&lt;&gt;"",N(K116)&gt;0),K116+110/1000000,"")</f>
        <v/>
      </c>
    </row>
    <row r="117">
      <c r="B117" s="62" t="n"/>
      <c r="C117" s="62" t="n"/>
      <c r="D117" s="62" t="n"/>
      <c r="E117" s="62" t="n"/>
      <c r="F117" s="62" t="n"/>
      <c r="G117" s="69" t="n"/>
      <c r="H117" s="62" t="n"/>
      <c r="I117" s="65">
        <f>IF(B117="","",SUMIFS(ap_Amount,ap_Party,B117,ap_Posted,1,ap_Date,"&lt;="&amp;AsOf))</f>
        <v/>
      </c>
      <c r="J117" s="65">
        <f>IF(B117="","",SUMIFS(ap_Paid,ap_Party,B117))</f>
        <v/>
      </c>
      <c r="K117" s="65">
        <f>IF(B117="","",SUMIFS(ap_Balance,ap_Party,B117))</f>
        <v/>
      </c>
      <c r="L117" s="65">
        <f>IF(B117="","",SUMIFS(ap_Balance,ap_Party,B117,ap_Status,"Overdue"))</f>
        <v/>
      </c>
      <c r="M117" s="66">
        <f>IF(B117="","",IF(COUNTIF(vend_Name,B117)&gt;1,"⚠ Duplicate name","✓ OK"))</f>
        <v/>
      </c>
      <c r="N117" s="67">
        <f>IF(AND(B117&lt;&gt;"",N(K117)&gt;0),K117+111/1000000,"")</f>
        <v/>
      </c>
    </row>
    <row r="118">
      <c r="B118" s="62" t="n"/>
      <c r="C118" s="62" t="n"/>
      <c r="D118" s="62" t="n"/>
      <c r="E118" s="62" t="n"/>
      <c r="F118" s="62" t="n"/>
      <c r="G118" s="69" t="n"/>
      <c r="H118" s="62" t="n"/>
      <c r="I118" s="65">
        <f>IF(B118="","",SUMIFS(ap_Amount,ap_Party,B118,ap_Posted,1,ap_Date,"&lt;="&amp;AsOf))</f>
        <v/>
      </c>
      <c r="J118" s="65">
        <f>IF(B118="","",SUMIFS(ap_Paid,ap_Party,B118))</f>
        <v/>
      </c>
      <c r="K118" s="65">
        <f>IF(B118="","",SUMIFS(ap_Balance,ap_Party,B118))</f>
        <v/>
      </c>
      <c r="L118" s="65">
        <f>IF(B118="","",SUMIFS(ap_Balance,ap_Party,B118,ap_Status,"Overdue"))</f>
        <v/>
      </c>
      <c r="M118" s="66">
        <f>IF(B118="","",IF(COUNTIF(vend_Name,B118)&gt;1,"⚠ Duplicate name","✓ OK"))</f>
        <v/>
      </c>
      <c r="N118" s="67">
        <f>IF(AND(B118&lt;&gt;"",N(K118)&gt;0),K118+112/1000000,"")</f>
        <v/>
      </c>
    </row>
    <row r="119">
      <c r="B119" s="62" t="n"/>
      <c r="C119" s="62" t="n"/>
      <c r="D119" s="62" t="n"/>
      <c r="E119" s="62" t="n"/>
      <c r="F119" s="62" t="n"/>
      <c r="G119" s="69" t="n"/>
      <c r="H119" s="62" t="n"/>
      <c r="I119" s="65">
        <f>IF(B119="","",SUMIFS(ap_Amount,ap_Party,B119,ap_Posted,1,ap_Date,"&lt;="&amp;AsOf))</f>
        <v/>
      </c>
      <c r="J119" s="65">
        <f>IF(B119="","",SUMIFS(ap_Paid,ap_Party,B119))</f>
        <v/>
      </c>
      <c r="K119" s="65">
        <f>IF(B119="","",SUMIFS(ap_Balance,ap_Party,B119))</f>
        <v/>
      </c>
      <c r="L119" s="65">
        <f>IF(B119="","",SUMIFS(ap_Balance,ap_Party,B119,ap_Status,"Overdue"))</f>
        <v/>
      </c>
      <c r="M119" s="66">
        <f>IF(B119="","",IF(COUNTIF(vend_Name,B119)&gt;1,"⚠ Duplicate name","✓ OK"))</f>
        <v/>
      </c>
      <c r="N119" s="67">
        <f>IF(AND(B119&lt;&gt;"",N(K119)&gt;0),K119+113/1000000,"")</f>
        <v/>
      </c>
    </row>
    <row r="120">
      <c r="B120" s="62" t="n"/>
      <c r="C120" s="62" t="n"/>
      <c r="D120" s="62" t="n"/>
      <c r="E120" s="62" t="n"/>
      <c r="F120" s="62" t="n"/>
      <c r="G120" s="69" t="n"/>
      <c r="H120" s="62" t="n"/>
      <c r="I120" s="65">
        <f>IF(B120="","",SUMIFS(ap_Amount,ap_Party,B120,ap_Posted,1,ap_Date,"&lt;="&amp;AsOf))</f>
        <v/>
      </c>
      <c r="J120" s="65">
        <f>IF(B120="","",SUMIFS(ap_Paid,ap_Party,B120))</f>
        <v/>
      </c>
      <c r="K120" s="65">
        <f>IF(B120="","",SUMIFS(ap_Balance,ap_Party,B120))</f>
        <v/>
      </c>
      <c r="L120" s="65">
        <f>IF(B120="","",SUMIFS(ap_Balance,ap_Party,B120,ap_Status,"Overdue"))</f>
        <v/>
      </c>
      <c r="M120" s="66">
        <f>IF(B120="","",IF(COUNTIF(vend_Name,B120)&gt;1,"⚠ Duplicate name","✓ OK"))</f>
        <v/>
      </c>
      <c r="N120" s="67">
        <f>IF(AND(B120&lt;&gt;"",N(K120)&gt;0),K120+114/1000000,"")</f>
        <v/>
      </c>
    </row>
    <row r="121">
      <c r="B121" s="62" t="n"/>
      <c r="C121" s="62" t="n"/>
      <c r="D121" s="62" t="n"/>
      <c r="E121" s="62" t="n"/>
      <c r="F121" s="62" t="n"/>
      <c r="G121" s="69" t="n"/>
      <c r="H121" s="62" t="n"/>
      <c r="I121" s="65">
        <f>IF(B121="","",SUMIFS(ap_Amount,ap_Party,B121,ap_Posted,1,ap_Date,"&lt;="&amp;AsOf))</f>
        <v/>
      </c>
      <c r="J121" s="65">
        <f>IF(B121="","",SUMIFS(ap_Paid,ap_Party,B121))</f>
        <v/>
      </c>
      <c r="K121" s="65">
        <f>IF(B121="","",SUMIFS(ap_Balance,ap_Party,B121))</f>
        <v/>
      </c>
      <c r="L121" s="65">
        <f>IF(B121="","",SUMIFS(ap_Balance,ap_Party,B121,ap_Status,"Overdue"))</f>
        <v/>
      </c>
      <c r="M121" s="66">
        <f>IF(B121="","",IF(COUNTIF(vend_Name,B121)&gt;1,"⚠ Duplicate name","✓ OK"))</f>
        <v/>
      </c>
      <c r="N121" s="67">
        <f>IF(AND(B121&lt;&gt;"",N(K121)&gt;0),K121+115/1000000,"")</f>
        <v/>
      </c>
    </row>
    <row r="122">
      <c r="B122" s="62" t="n"/>
      <c r="C122" s="62" t="n"/>
      <c r="D122" s="62" t="n"/>
      <c r="E122" s="62" t="n"/>
      <c r="F122" s="62" t="n"/>
      <c r="G122" s="69" t="n"/>
      <c r="H122" s="62" t="n"/>
      <c r="I122" s="65">
        <f>IF(B122="","",SUMIFS(ap_Amount,ap_Party,B122,ap_Posted,1,ap_Date,"&lt;="&amp;AsOf))</f>
        <v/>
      </c>
      <c r="J122" s="65">
        <f>IF(B122="","",SUMIFS(ap_Paid,ap_Party,B122))</f>
        <v/>
      </c>
      <c r="K122" s="65">
        <f>IF(B122="","",SUMIFS(ap_Balance,ap_Party,B122))</f>
        <v/>
      </c>
      <c r="L122" s="65">
        <f>IF(B122="","",SUMIFS(ap_Balance,ap_Party,B122,ap_Status,"Overdue"))</f>
        <v/>
      </c>
      <c r="M122" s="66">
        <f>IF(B122="","",IF(COUNTIF(vend_Name,B122)&gt;1,"⚠ Duplicate name","✓ OK"))</f>
        <v/>
      </c>
      <c r="N122" s="67">
        <f>IF(AND(B122&lt;&gt;"",N(K122)&gt;0),K122+116/1000000,"")</f>
        <v/>
      </c>
    </row>
    <row r="123">
      <c r="B123" s="62" t="n"/>
      <c r="C123" s="62" t="n"/>
      <c r="D123" s="62" t="n"/>
      <c r="E123" s="62" t="n"/>
      <c r="F123" s="62" t="n"/>
      <c r="G123" s="69" t="n"/>
      <c r="H123" s="62" t="n"/>
      <c r="I123" s="65">
        <f>IF(B123="","",SUMIFS(ap_Amount,ap_Party,B123,ap_Posted,1,ap_Date,"&lt;="&amp;AsOf))</f>
        <v/>
      </c>
      <c r="J123" s="65">
        <f>IF(B123="","",SUMIFS(ap_Paid,ap_Party,B123))</f>
        <v/>
      </c>
      <c r="K123" s="65">
        <f>IF(B123="","",SUMIFS(ap_Balance,ap_Party,B123))</f>
        <v/>
      </c>
      <c r="L123" s="65">
        <f>IF(B123="","",SUMIFS(ap_Balance,ap_Party,B123,ap_Status,"Overdue"))</f>
        <v/>
      </c>
      <c r="M123" s="66">
        <f>IF(B123="","",IF(COUNTIF(vend_Name,B123)&gt;1,"⚠ Duplicate name","✓ OK"))</f>
        <v/>
      </c>
      <c r="N123" s="67">
        <f>IF(AND(B123&lt;&gt;"",N(K123)&gt;0),K123+117/1000000,"")</f>
        <v/>
      </c>
    </row>
    <row r="124">
      <c r="B124" s="62" t="n"/>
      <c r="C124" s="62" t="n"/>
      <c r="D124" s="62" t="n"/>
      <c r="E124" s="62" t="n"/>
      <c r="F124" s="62" t="n"/>
      <c r="G124" s="69" t="n"/>
      <c r="H124" s="62" t="n"/>
      <c r="I124" s="65">
        <f>IF(B124="","",SUMIFS(ap_Amount,ap_Party,B124,ap_Posted,1,ap_Date,"&lt;="&amp;AsOf))</f>
        <v/>
      </c>
      <c r="J124" s="65">
        <f>IF(B124="","",SUMIFS(ap_Paid,ap_Party,B124))</f>
        <v/>
      </c>
      <c r="K124" s="65">
        <f>IF(B124="","",SUMIFS(ap_Balance,ap_Party,B124))</f>
        <v/>
      </c>
      <c r="L124" s="65">
        <f>IF(B124="","",SUMIFS(ap_Balance,ap_Party,B124,ap_Status,"Overdue"))</f>
        <v/>
      </c>
      <c r="M124" s="66">
        <f>IF(B124="","",IF(COUNTIF(vend_Name,B124)&gt;1,"⚠ Duplicate name","✓ OK"))</f>
        <v/>
      </c>
      <c r="N124" s="67">
        <f>IF(AND(B124&lt;&gt;"",N(K124)&gt;0),K124+118/1000000,"")</f>
        <v/>
      </c>
    </row>
    <row r="125">
      <c r="B125" s="62" t="n"/>
      <c r="C125" s="62" t="n"/>
      <c r="D125" s="62" t="n"/>
      <c r="E125" s="62" t="n"/>
      <c r="F125" s="62" t="n"/>
      <c r="G125" s="69" t="n"/>
      <c r="H125" s="62" t="n"/>
      <c r="I125" s="65">
        <f>IF(B125="","",SUMIFS(ap_Amount,ap_Party,B125,ap_Posted,1,ap_Date,"&lt;="&amp;AsOf))</f>
        <v/>
      </c>
      <c r="J125" s="65">
        <f>IF(B125="","",SUMIFS(ap_Paid,ap_Party,B125))</f>
        <v/>
      </c>
      <c r="K125" s="65">
        <f>IF(B125="","",SUMIFS(ap_Balance,ap_Party,B125))</f>
        <v/>
      </c>
      <c r="L125" s="65">
        <f>IF(B125="","",SUMIFS(ap_Balance,ap_Party,B125,ap_Status,"Overdue"))</f>
        <v/>
      </c>
      <c r="M125" s="66">
        <f>IF(B125="","",IF(COUNTIF(vend_Name,B125)&gt;1,"⚠ Duplicate name","✓ OK"))</f>
        <v/>
      </c>
      <c r="N125" s="67">
        <f>IF(AND(B125&lt;&gt;"",N(K125)&gt;0),K125+119/1000000,"")</f>
        <v/>
      </c>
    </row>
    <row r="126">
      <c r="B126" s="62" t="n"/>
      <c r="C126" s="62" t="n"/>
      <c r="D126" s="62" t="n"/>
      <c r="E126" s="62" t="n"/>
      <c r="F126" s="62" t="n"/>
      <c r="G126" s="69" t="n"/>
      <c r="H126" s="62" t="n"/>
      <c r="I126" s="65">
        <f>IF(B126="","",SUMIFS(ap_Amount,ap_Party,B126,ap_Posted,1,ap_Date,"&lt;="&amp;AsOf))</f>
        <v/>
      </c>
      <c r="J126" s="65">
        <f>IF(B126="","",SUMIFS(ap_Paid,ap_Party,B126))</f>
        <v/>
      </c>
      <c r="K126" s="65">
        <f>IF(B126="","",SUMIFS(ap_Balance,ap_Party,B126))</f>
        <v/>
      </c>
      <c r="L126" s="65">
        <f>IF(B126="","",SUMIFS(ap_Balance,ap_Party,B126,ap_Status,"Overdue"))</f>
        <v/>
      </c>
      <c r="M126" s="66">
        <f>IF(B126="","",IF(COUNTIF(vend_Name,B126)&gt;1,"⚠ Duplicate name","✓ OK"))</f>
        <v/>
      </c>
      <c r="N126" s="67">
        <f>IF(AND(B126&lt;&gt;"",N(K126)&gt;0),K126+120/1000000,"")</f>
        <v/>
      </c>
    </row>
    <row r="127">
      <c r="B127" s="62" t="n"/>
      <c r="C127" s="62" t="n"/>
      <c r="D127" s="62" t="n"/>
      <c r="E127" s="62" t="n"/>
      <c r="F127" s="62" t="n"/>
      <c r="G127" s="69" t="n"/>
      <c r="H127" s="62" t="n"/>
      <c r="I127" s="65">
        <f>IF(B127="","",SUMIFS(ap_Amount,ap_Party,B127,ap_Posted,1,ap_Date,"&lt;="&amp;AsOf))</f>
        <v/>
      </c>
      <c r="J127" s="65">
        <f>IF(B127="","",SUMIFS(ap_Paid,ap_Party,B127))</f>
        <v/>
      </c>
      <c r="K127" s="65">
        <f>IF(B127="","",SUMIFS(ap_Balance,ap_Party,B127))</f>
        <v/>
      </c>
      <c r="L127" s="65">
        <f>IF(B127="","",SUMIFS(ap_Balance,ap_Party,B127,ap_Status,"Overdue"))</f>
        <v/>
      </c>
      <c r="M127" s="66">
        <f>IF(B127="","",IF(COUNTIF(vend_Name,B127)&gt;1,"⚠ Duplicate name","✓ OK"))</f>
        <v/>
      </c>
      <c r="N127" s="67">
        <f>IF(AND(B127&lt;&gt;"",N(K127)&gt;0),K127+121/1000000,"")</f>
        <v/>
      </c>
    </row>
    <row r="128">
      <c r="B128" s="62" t="n"/>
      <c r="C128" s="62" t="n"/>
      <c r="D128" s="62" t="n"/>
      <c r="E128" s="62" t="n"/>
      <c r="F128" s="62" t="n"/>
      <c r="G128" s="69" t="n"/>
      <c r="H128" s="62" t="n"/>
      <c r="I128" s="65">
        <f>IF(B128="","",SUMIFS(ap_Amount,ap_Party,B128,ap_Posted,1,ap_Date,"&lt;="&amp;AsOf))</f>
        <v/>
      </c>
      <c r="J128" s="65">
        <f>IF(B128="","",SUMIFS(ap_Paid,ap_Party,B128))</f>
        <v/>
      </c>
      <c r="K128" s="65">
        <f>IF(B128="","",SUMIFS(ap_Balance,ap_Party,B128))</f>
        <v/>
      </c>
      <c r="L128" s="65">
        <f>IF(B128="","",SUMIFS(ap_Balance,ap_Party,B128,ap_Status,"Overdue"))</f>
        <v/>
      </c>
      <c r="M128" s="66">
        <f>IF(B128="","",IF(COUNTIF(vend_Name,B128)&gt;1,"⚠ Duplicate name","✓ OK"))</f>
        <v/>
      </c>
      <c r="N128" s="67">
        <f>IF(AND(B128&lt;&gt;"",N(K128)&gt;0),K128+122/1000000,"")</f>
        <v/>
      </c>
    </row>
    <row r="129">
      <c r="B129" s="62" t="n"/>
      <c r="C129" s="62" t="n"/>
      <c r="D129" s="62" t="n"/>
      <c r="E129" s="62" t="n"/>
      <c r="F129" s="62" t="n"/>
      <c r="G129" s="69" t="n"/>
      <c r="H129" s="62" t="n"/>
      <c r="I129" s="65">
        <f>IF(B129="","",SUMIFS(ap_Amount,ap_Party,B129,ap_Posted,1,ap_Date,"&lt;="&amp;AsOf))</f>
        <v/>
      </c>
      <c r="J129" s="65">
        <f>IF(B129="","",SUMIFS(ap_Paid,ap_Party,B129))</f>
        <v/>
      </c>
      <c r="K129" s="65">
        <f>IF(B129="","",SUMIFS(ap_Balance,ap_Party,B129))</f>
        <v/>
      </c>
      <c r="L129" s="65">
        <f>IF(B129="","",SUMIFS(ap_Balance,ap_Party,B129,ap_Status,"Overdue"))</f>
        <v/>
      </c>
      <c r="M129" s="66">
        <f>IF(B129="","",IF(COUNTIF(vend_Name,B129)&gt;1,"⚠ Duplicate name","✓ OK"))</f>
        <v/>
      </c>
      <c r="N129" s="67">
        <f>IF(AND(B129&lt;&gt;"",N(K129)&gt;0),K129+123/1000000,"")</f>
        <v/>
      </c>
    </row>
    <row r="130">
      <c r="B130" s="62" t="n"/>
      <c r="C130" s="62" t="n"/>
      <c r="D130" s="62" t="n"/>
      <c r="E130" s="62" t="n"/>
      <c r="F130" s="62" t="n"/>
      <c r="G130" s="69" t="n"/>
      <c r="H130" s="62" t="n"/>
      <c r="I130" s="65">
        <f>IF(B130="","",SUMIFS(ap_Amount,ap_Party,B130,ap_Posted,1,ap_Date,"&lt;="&amp;AsOf))</f>
        <v/>
      </c>
      <c r="J130" s="65">
        <f>IF(B130="","",SUMIFS(ap_Paid,ap_Party,B130))</f>
        <v/>
      </c>
      <c r="K130" s="65">
        <f>IF(B130="","",SUMIFS(ap_Balance,ap_Party,B130))</f>
        <v/>
      </c>
      <c r="L130" s="65">
        <f>IF(B130="","",SUMIFS(ap_Balance,ap_Party,B130,ap_Status,"Overdue"))</f>
        <v/>
      </c>
      <c r="M130" s="66">
        <f>IF(B130="","",IF(COUNTIF(vend_Name,B130)&gt;1,"⚠ Duplicate name","✓ OK"))</f>
        <v/>
      </c>
      <c r="N130" s="67">
        <f>IF(AND(B130&lt;&gt;"",N(K130)&gt;0),K130+124/1000000,"")</f>
        <v/>
      </c>
    </row>
    <row r="131">
      <c r="B131" s="62" t="n"/>
      <c r="C131" s="62" t="n"/>
      <c r="D131" s="62" t="n"/>
      <c r="E131" s="62" t="n"/>
      <c r="F131" s="62" t="n"/>
      <c r="G131" s="69" t="n"/>
      <c r="H131" s="62" t="n"/>
      <c r="I131" s="65">
        <f>IF(B131="","",SUMIFS(ap_Amount,ap_Party,B131,ap_Posted,1,ap_Date,"&lt;="&amp;AsOf))</f>
        <v/>
      </c>
      <c r="J131" s="65">
        <f>IF(B131="","",SUMIFS(ap_Paid,ap_Party,B131))</f>
        <v/>
      </c>
      <c r="K131" s="65">
        <f>IF(B131="","",SUMIFS(ap_Balance,ap_Party,B131))</f>
        <v/>
      </c>
      <c r="L131" s="65">
        <f>IF(B131="","",SUMIFS(ap_Balance,ap_Party,B131,ap_Status,"Overdue"))</f>
        <v/>
      </c>
      <c r="M131" s="66">
        <f>IF(B131="","",IF(COUNTIF(vend_Name,B131)&gt;1,"⚠ Duplicate name","✓ OK"))</f>
        <v/>
      </c>
      <c r="N131" s="67">
        <f>IF(AND(B131&lt;&gt;"",N(K131)&gt;0),K131+125/1000000,"")</f>
        <v/>
      </c>
    </row>
    <row r="132">
      <c r="B132" s="62" t="n"/>
      <c r="C132" s="62" t="n"/>
      <c r="D132" s="62" t="n"/>
      <c r="E132" s="62" t="n"/>
      <c r="F132" s="62" t="n"/>
      <c r="G132" s="69" t="n"/>
      <c r="H132" s="62" t="n"/>
      <c r="I132" s="65">
        <f>IF(B132="","",SUMIFS(ap_Amount,ap_Party,B132,ap_Posted,1,ap_Date,"&lt;="&amp;AsOf))</f>
        <v/>
      </c>
      <c r="J132" s="65">
        <f>IF(B132="","",SUMIFS(ap_Paid,ap_Party,B132))</f>
        <v/>
      </c>
      <c r="K132" s="65">
        <f>IF(B132="","",SUMIFS(ap_Balance,ap_Party,B132))</f>
        <v/>
      </c>
      <c r="L132" s="65">
        <f>IF(B132="","",SUMIFS(ap_Balance,ap_Party,B132,ap_Status,"Overdue"))</f>
        <v/>
      </c>
      <c r="M132" s="66">
        <f>IF(B132="","",IF(COUNTIF(vend_Name,B132)&gt;1,"⚠ Duplicate name","✓ OK"))</f>
        <v/>
      </c>
      <c r="N132" s="67">
        <f>IF(AND(B132&lt;&gt;"",N(K132)&gt;0),K132+126/1000000,"")</f>
        <v/>
      </c>
    </row>
    <row r="133">
      <c r="B133" s="62" t="n"/>
      <c r="C133" s="62" t="n"/>
      <c r="D133" s="62" t="n"/>
      <c r="E133" s="62" t="n"/>
      <c r="F133" s="62" t="n"/>
      <c r="G133" s="69" t="n"/>
      <c r="H133" s="62" t="n"/>
      <c r="I133" s="65">
        <f>IF(B133="","",SUMIFS(ap_Amount,ap_Party,B133,ap_Posted,1,ap_Date,"&lt;="&amp;AsOf))</f>
        <v/>
      </c>
      <c r="J133" s="65">
        <f>IF(B133="","",SUMIFS(ap_Paid,ap_Party,B133))</f>
        <v/>
      </c>
      <c r="K133" s="65">
        <f>IF(B133="","",SUMIFS(ap_Balance,ap_Party,B133))</f>
        <v/>
      </c>
      <c r="L133" s="65">
        <f>IF(B133="","",SUMIFS(ap_Balance,ap_Party,B133,ap_Status,"Overdue"))</f>
        <v/>
      </c>
      <c r="M133" s="66">
        <f>IF(B133="","",IF(COUNTIF(vend_Name,B133)&gt;1,"⚠ Duplicate name","✓ OK"))</f>
        <v/>
      </c>
      <c r="N133" s="67">
        <f>IF(AND(B133&lt;&gt;"",N(K133)&gt;0),K133+127/1000000,"")</f>
        <v/>
      </c>
    </row>
    <row r="134">
      <c r="B134" s="62" t="n"/>
      <c r="C134" s="62" t="n"/>
      <c r="D134" s="62" t="n"/>
      <c r="E134" s="62" t="n"/>
      <c r="F134" s="62" t="n"/>
      <c r="G134" s="69" t="n"/>
      <c r="H134" s="62" t="n"/>
      <c r="I134" s="65">
        <f>IF(B134="","",SUMIFS(ap_Amount,ap_Party,B134,ap_Posted,1,ap_Date,"&lt;="&amp;AsOf))</f>
        <v/>
      </c>
      <c r="J134" s="65">
        <f>IF(B134="","",SUMIFS(ap_Paid,ap_Party,B134))</f>
        <v/>
      </c>
      <c r="K134" s="65">
        <f>IF(B134="","",SUMIFS(ap_Balance,ap_Party,B134))</f>
        <v/>
      </c>
      <c r="L134" s="65">
        <f>IF(B134="","",SUMIFS(ap_Balance,ap_Party,B134,ap_Status,"Overdue"))</f>
        <v/>
      </c>
      <c r="M134" s="66">
        <f>IF(B134="","",IF(COUNTIF(vend_Name,B134)&gt;1,"⚠ Duplicate name","✓ OK"))</f>
        <v/>
      </c>
      <c r="N134" s="67">
        <f>IF(AND(B134&lt;&gt;"",N(K134)&gt;0),K134+128/1000000,"")</f>
        <v/>
      </c>
    </row>
    <row r="135">
      <c r="B135" s="62" t="n"/>
      <c r="C135" s="62" t="n"/>
      <c r="D135" s="62" t="n"/>
      <c r="E135" s="62" t="n"/>
      <c r="F135" s="62" t="n"/>
      <c r="G135" s="69" t="n"/>
      <c r="H135" s="62" t="n"/>
      <c r="I135" s="65">
        <f>IF(B135="","",SUMIFS(ap_Amount,ap_Party,B135,ap_Posted,1,ap_Date,"&lt;="&amp;AsOf))</f>
        <v/>
      </c>
      <c r="J135" s="65">
        <f>IF(B135="","",SUMIFS(ap_Paid,ap_Party,B135))</f>
        <v/>
      </c>
      <c r="K135" s="65">
        <f>IF(B135="","",SUMIFS(ap_Balance,ap_Party,B135))</f>
        <v/>
      </c>
      <c r="L135" s="65">
        <f>IF(B135="","",SUMIFS(ap_Balance,ap_Party,B135,ap_Status,"Overdue"))</f>
        <v/>
      </c>
      <c r="M135" s="66">
        <f>IF(B135="","",IF(COUNTIF(vend_Name,B135)&gt;1,"⚠ Duplicate name","✓ OK"))</f>
        <v/>
      </c>
      <c r="N135" s="67">
        <f>IF(AND(B135&lt;&gt;"",N(K135)&gt;0),K135+129/1000000,"")</f>
        <v/>
      </c>
    </row>
    <row r="136">
      <c r="B136" s="62" t="n"/>
      <c r="C136" s="62" t="n"/>
      <c r="D136" s="62" t="n"/>
      <c r="E136" s="62" t="n"/>
      <c r="F136" s="62" t="n"/>
      <c r="G136" s="69" t="n"/>
      <c r="H136" s="62" t="n"/>
      <c r="I136" s="65">
        <f>IF(B136="","",SUMIFS(ap_Amount,ap_Party,B136,ap_Posted,1,ap_Date,"&lt;="&amp;AsOf))</f>
        <v/>
      </c>
      <c r="J136" s="65">
        <f>IF(B136="","",SUMIFS(ap_Paid,ap_Party,B136))</f>
        <v/>
      </c>
      <c r="K136" s="65">
        <f>IF(B136="","",SUMIFS(ap_Balance,ap_Party,B136))</f>
        <v/>
      </c>
      <c r="L136" s="65">
        <f>IF(B136="","",SUMIFS(ap_Balance,ap_Party,B136,ap_Status,"Overdue"))</f>
        <v/>
      </c>
      <c r="M136" s="66">
        <f>IF(B136="","",IF(COUNTIF(vend_Name,B136)&gt;1,"⚠ Duplicate name","✓ OK"))</f>
        <v/>
      </c>
      <c r="N136" s="67">
        <f>IF(AND(B136&lt;&gt;"",N(K136)&gt;0),K136+130/1000000,"")</f>
        <v/>
      </c>
    </row>
    <row r="137">
      <c r="B137" s="62" t="n"/>
      <c r="C137" s="62" t="n"/>
      <c r="D137" s="62" t="n"/>
      <c r="E137" s="62" t="n"/>
      <c r="F137" s="62" t="n"/>
      <c r="G137" s="69" t="n"/>
      <c r="H137" s="62" t="n"/>
      <c r="I137" s="65">
        <f>IF(B137="","",SUMIFS(ap_Amount,ap_Party,B137,ap_Posted,1,ap_Date,"&lt;="&amp;AsOf))</f>
        <v/>
      </c>
      <c r="J137" s="65">
        <f>IF(B137="","",SUMIFS(ap_Paid,ap_Party,B137))</f>
        <v/>
      </c>
      <c r="K137" s="65">
        <f>IF(B137="","",SUMIFS(ap_Balance,ap_Party,B137))</f>
        <v/>
      </c>
      <c r="L137" s="65">
        <f>IF(B137="","",SUMIFS(ap_Balance,ap_Party,B137,ap_Status,"Overdue"))</f>
        <v/>
      </c>
      <c r="M137" s="66">
        <f>IF(B137="","",IF(COUNTIF(vend_Name,B137)&gt;1,"⚠ Duplicate name","✓ OK"))</f>
        <v/>
      </c>
      <c r="N137" s="67">
        <f>IF(AND(B137&lt;&gt;"",N(K137)&gt;0),K137+131/1000000,"")</f>
        <v/>
      </c>
    </row>
    <row r="138">
      <c r="B138" s="62" t="n"/>
      <c r="C138" s="62" t="n"/>
      <c r="D138" s="62" t="n"/>
      <c r="E138" s="62" t="n"/>
      <c r="F138" s="62" t="n"/>
      <c r="G138" s="69" t="n"/>
      <c r="H138" s="62" t="n"/>
      <c r="I138" s="65">
        <f>IF(B138="","",SUMIFS(ap_Amount,ap_Party,B138,ap_Posted,1,ap_Date,"&lt;="&amp;AsOf))</f>
        <v/>
      </c>
      <c r="J138" s="65">
        <f>IF(B138="","",SUMIFS(ap_Paid,ap_Party,B138))</f>
        <v/>
      </c>
      <c r="K138" s="65">
        <f>IF(B138="","",SUMIFS(ap_Balance,ap_Party,B138))</f>
        <v/>
      </c>
      <c r="L138" s="65">
        <f>IF(B138="","",SUMIFS(ap_Balance,ap_Party,B138,ap_Status,"Overdue"))</f>
        <v/>
      </c>
      <c r="M138" s="66">
        <f>IF(B138="","",IF(COUNTIF(vend_Name,B138)&gt;1,"⚠ Duplicate name","✓ OK"))</f>
        <v/>
      </c>
      <c r="N138" s="67">
        <f>IF(AND(B138&lt;&gt;"",N(K138)&gt;0),K138+132/1000000,"")</f>
        <v/>
      </c>
    </row>
    <row r="139">
      <c r="B139" s="62" t="n"/>
      <c r="C139" s="62" t="n"/>
      <c r="D139" s="62" t="n"/>
      <c r="E139" s="62" t="n"/>
      <c r="F139" s="62" t="n"/>
      <c r="G139" s="69" t="n"/>
      <c r="H139" s="62" t="n"/>
      <c r="I139" s="65">
        <f>IF(B139="","",SUMIFS(ap_Amount,ap_Party,B139,ap_Posted,1,ap_Date,"&lt;="&amp;AsOf))</f>
        <v/>
      </c>
      <c r="J139" s="65">
        <f>IF(B139="","",SUMIFS(ap_Paid,ap_Party,B139))</f>
        <v/>
      </c>
      <c r="K139" s="65">
        <f>IF(B139="","",SUMIFS(ap_Balance,ap_Party,B139))</f>
        <v/>
      </c>
      <c r="L139" s="65">
        <f>IF(B139="","",SUMIFS(ap_Balance,ap_Party,B139,ap_Status,"Overdue"))</f>
        <v/>
      </c>
      <c r="M139" s="66">
        <f>IF(B139="","",IF(COUNTIF(vend_Name,B139)&gt;1,"⚠ Duplicate name","✓ OK"))</f>
        <v/>
      </c>
      <c r="N139" s="67">
        <f>IF(AND(B139&lt;&gt;"",N(K139)&gt;0),K139+133/1000000,"")</f>
        <v/>
      </c>
    </row>
    <row r="140">
      <c r="B140" s="62" t="n"/>
      <c r="C140" s="62" t="n"/>
      <c r="D140" s="62" t="n"/>
      <c r="E140" s="62" t="n"/>
      <c r="F140" s="62" t="n"/>
      <c r="G140" s="69" t="n"/>
      <c r="H140" s="62" t="n"/>
      <c r="I140" s="65">
        <f>IF(B140="","",SUMIFS(ap_Amount,ap_Party,B140,ap_Posted,1,ap_Date,"&lt;="&amp;AsOf))</f>
        <v/>
      </c>
      <c r="J140" s="65">
        <f>IF(B140="","",SUMIFS(ap_Paid,ap_Party,B140))</f>
        <v/>
      </c>
      <c r="K140" s="65">
        <f>IF(B140="","",SUMIFS(ap_Balance,ap_Party,B140))</f>
        <v/>
      </c>
      <c r="L140" s="65">
        <f>IF(B140="","",SUMIFS(ap_Balance,ap_Party,B140,ap_Status,"Overdue"))</f>
        <v/>
      </c>
      <c r="M140" s="66">
        <f>IF(B140="","",IF(COUNTIF(vend_Name,B140)&gt;1,"⚠ Duplicate name","✓ OK"))</f>
        <v/>
      </c>
      <c r="N140" s="67">
        <f>IF(AND(B140&lt;&gt;"",N(K140)&gt;0),K140+134/1000000,"")</f>
        <v/>
      </c>
    </row>
    <row r="141">
      <c r="B141" s="62" t="n"/>
      <c r="C141" s="62" t="n"/>
      <c r="D141" s="62" t="n"/>
      <c r="E141" s="62" t="n"/>
      <c r="F141" s="62" t="n"/>
      <c r="G141" s="69" t="n"/>
      <c r="H141" s="62" t="n"/>
      <c r="I141" s="65">
        <f>IF(B141="","",SUMIFS(ap_Amount,ap_Party,B141,ap_Posted,1,ap_Date,"&lt;="&amp;AsOf))</f>
        <v/>
      </c>
      <c r="J141" s="65">
        <f>IF(B141="","",SUMIFS(ap_Paid,ap_Party,B141))</f>
        <v/>
      </c>
      <c r="K141" s="65">
        <f>IF(B141="","",SUMIFS(ap_Balance,ap_Party,B141))</f>
        <v/>
      </c>
      <c r="L141" s="65">
        <f>IF(B141="","",SUMIFS(ap_Balance,ap_Party,B141,ap_Status,"Overdue"))</f>
        <v/>
      </c>
      <c r="M141" s="66">
        <f>IF(B141="","",IF(COUNTIF(vend_Name,B141)&gt;1,"⚠ Duplicate name","✓ OK"))</f>
        <v/>
      </c>
      <c r="N141" s="67">
        <f>IF(AND(B141&lt;&gt;"",N(K141)&gt;0),K141+135/1000000,"")</f>
        <v/>
      </c>
    </row>
    <row r="142">
      <c r="B142" s="62" t="n"/>
      <c r="C142" s="62" t="n"/>
      <c r="D142" s="62" t="n"/>
      <c r="E142" s="62" t="n"/>
      <c r="F142" s="62" t="n"/>
      <c r="G142" s="69" t="n"/>
      <c r="H142" s="62" t="n"/>
      <c r="I142" s="65">
        <f>IF(B142="","",SUMIFS(ap_Amount,ap_Party,B142,ap_Posted,1,ap_Date,"&lt;="&amp;AsOf))</f>
        <v/>
      </c>
      <c r="J142" s="65">
        <f>IF(B142="","",SUMIFS(ap_Paid,ap_Party,B142))</f>
        <v/>
      </c>
      <c r="K142" s="65">
        <f>IF(B142="","",SUMIFS(ap_Balance,ap_Party,B142))</f>
        <v/>
      </c>
      <c r="L142" s="65">
        <f>IF(B142="","",SUMIFS(ap_Balance,ap_Party,B142,ap_Status,"Overdue"))</f>
        <v/>
      </c>
      <c r="M142" s="66">
        <f>IF(B142="","",IF(COUNTIF(vend_Name,B142)&gt;1,"⚠ Duplicate name","✓ OK"))</f>
        <v/>
      </c>
      <c r="N142" s="67">
        <f>IF(AND(B142&lt;&gt;"",N(K142)&gt;0),K142+136/1000000,"")</f>
        <v/>
      </c>
    </row>
    <row r="143">
      <c r="B143" s="62" t="n"/>
      <c r="C143" s="62" t="n"/>
      <c r="D143" s="62" t="n"/>
      <c r="E143" s="62" t="n"/>
      <c r="F143" s="62" t="n"/>
      <c r="G143" s="69" t="n"/>
      <c r="H143" s="62" t="n"/>
      <c r="I143" s="65">
        <f>IF(B143="","",SUMIFS(ap_Amount,ap_Party,B143,ap_Posted,1,ap_Date,"&lt;="&amp;AsOf))</f>
        <v/>
      </c>
      <c r="J143" s="65">
        <f>IF(B143="","",SUMIFS(ap_Paid,ap_Party,B143))</f>
        <v/>
      </c>
      <c r="K143" s="65">
        <f>IF(B143="","",SUMIFS(ap_Balance,ap_Party,B143))</f>
        <v/>
      </c>
      <c r="L143" s="65">
        <f>IF(B143="","",SUMIFS(ap_Balance,ap_Party,B143,ap_Status,"Overdue"))</f>
        <v/>
      </c>
      <c r="M143" s="66">
        <f>IF(B143="","",IF(COUNTIF(vend_Name,B143)&gt;1,"⚠ Duplicate name","✓ OK"))</f>
        <v/>
      </c>
      <c r="N143" s="67">
        <f>IF(AND(B143&lt;&gt;"",N(K143)&gt;0),K143+137/1000000,"")</f>
        <v/>
      </c>
    </row>
    <row r="144">
      <c r="B144" s="62" t="n"/>
      <c r="C144" s="62" t="n"/>
      <c r="D144" s="62" t="n"/>
      <c r="E144" s="62" t="n"/>
      <c r="F144" s="62" t="n"/>
      <c r="G144" s="69" t="n"/>
      <c r="H144" s="62" t="n"/>
      <c r="I144" s="65">
        <f>IF(B144="","",SUMIFS(ap_Amount,ap_Party,B144,ap_Posted,1,ap_Date,"&lt;="&amp;AsOf))</f>
        <v/>
      </c>
      <c r="J144" s="65">
        <f>IF(B144="","",SUMIFS(ap_Paid,ap_Party,B144))</f>
        <v/>
      </c>
      <c r="K144" s="65">
        <f>IF(B144="","",SUMIFS(ap_Balance,ap_Party,B144))</f>
        <v/>
      </c>
      <c r="L144" s="65">
        <f>IF(B144="","",SUMIFS(ap_Balance,ap_Party,B144,ap_Status,"Overdue"))</f>
        <v/>
      </c>
      <c r="M144" s="66">
        <f>IF(B144="","",IF(COUNTIF(vend_Name,B144)&gt;1,"⚠ Duplicate name","✓ OK"))</f>
        <v/>
      </c>
      <c r="N144" s="67">
        <f>IF(AND(B144&lt;&gt;"",N(K144)&gt;0),K144+138/1000000,"")</f>
        <v/>
      </c>
    </row>
    <row r="145">
      <c r="B145" s="62" t="n"/>
      <c r="C145" s="62" t="n"/>
      <c r="D145" s="62" t="n"/>
      <c r="E145" s="62" t="n"/>
      <c r="F145" s="62" t="n"/>
      <c r="G145" s="69" t="n"/>
      <c r="H145" s="62" t="n"/>
      <c r="I145" s="65">
        <f>IF(B145="","",SUMIFS(ap_Amount,ap_Party,B145,ap_Posted,1,ap_Date,"&lt;="&amp;AsOf))</f>
        <v/>
      </c>
      <c r="J145" s="65">
        <f>IF(B145="","",SUMIFS(ap_Paid,ap_Party,B145))</f>
        <v/>
      </c>
      <c r="K145" s="65">
        <f>IF(B145="","",SUMIFS(ap_Balance,ap_Party,B145))</f>
        <v/>
      </c>
      <c r="L145" s="65">
        <f>IF(B145="","",SUMIFS(ap_Balance,ap_Party,B145,ap_Status,"Overdue"))</f>
        <v/>
      </c>
      <c r="M145" s="66">
        <f>IF(B145="","",IF(COUNTIF(vend_Name,B145)&gt;1,"⚠ Duplicate name","✓ OK"))</f>
        <v/>
      </c>
      <c r="N145" s="67">
        <f>IF(AND(B145&lt;&gt;"",N(K145)&gt;0),K145+139/1000000,"")</f>
        <v/>
      </c>
    </row>
    <row r="146">
      <c r="B146" s="62" t="n"/>
      <c r="C146" s="62" t="n"/>
      <c r="D146" s="62" t="n"/>
      <c r="E146" s="62" t="n"/>
      <c r="F146" s="62" t="n"/>
      <c r="G146" s="69" t="n"/>
      <c r="H146" s="62" t="n"/>
      <c r="I146" s="65">
        <f>IF(B146="","",SUMIFS(ap_Amount,ap_Party,B146,ap_Posted,1,ap_Date,"&lt;="&amp;AsOf))</f>
        <v/>
      </c>
      <c r="J146" s="65">
        <f>IF(B146="","",SUMIFS(ap_Paid,ap_Party,B146))</f>
        <v/>
      </c>
      <c r="K146" s="65">
        <f>IF(B146="","",SUMIFS(ap_Balance,ap_Party,B146))</f>
        <v/>
      </c>
      <c r="L146" s="65">
        <f>IF(B146="","",SUMIFS(ap_Balance,ap_Party,B146,ap_Status,"Overdue"))</f>
        <v/>
      </c>
      <c r="M146" s="66">
        <f>IF(B146="","",IF(COUNTIF(vend_Name,B146)&gt;1,"⚠ Duplicate name","✓ OK"))</f>
        <v/>
      </c>
      <c r="N146" s="67">
        <f>IF(AND(B146&lt;&gt;"",N(K146)&gt;0),K146+140/1000000,"")</f>
        <v/>
      </c>
    </row>
    <row r="147">
      <c r="B147" s="62" t="n"/>
      <c r="C147" s="62" t="n"/>
      <c r="D147" s="62" t="n"/>
      <c r="E147" s="62" t="n"/>
      <c r="F147" s="62" t="n"/>
      <c r="G147" s="69" t="n"/>
      <c r="H147" s="62" t="n"/>
      <c r="I147" s="65">
        <f>IF(B147="","",SUMIFS(ap_Amount,ap_Party,B147,ap_Posted,1,ap_Date,"&lt;="&amp;AsOf))</f>
        <v/>
      </c>
      <c r="J147" s="65">
        <f>IF(B147="","",SUMIFS(ap_Paid,ap_Party,B147))</f>
        <v/>
      </c>
      <c r="K147" s="65">
        <f>IF(B147="","",SUMIFS(ap_Balance,ap_Party,B147))</f>
        <v/>
      </c>
      <c r="L147" s="65">
        <f>IF(B147="","",SUMIFS(ap_Balance,ap_Party,B147,ap_Status,"Overdue"))</f>
        <v/>
      </c>
      <c r="M147" s="66">
        <f>IF(B147="","",IF(COUNTIF(vend_Name,B147)&gt;1,"⚠ Duplicate name","✓ OK"))</f>
        <v/>
      </c>
      <c r="N147" s="67">
        <f>IF(AND(B147&lt;&gt;"",N(K147)&gt;0),K147+141/1000000,"")</f>
        <v/>
      </c>
    </row>
    <row r="148">
      <c r="B148" s="62" t="n"/>
      <c r="C148" s="62" t="n"/>
      <c r="D148" s="62" t="n"/>
      <c r="E148" s="62" t="n"/>
      <c r="F148" s="62" t="n"/>
      <c r="G148" s="69" t="n"/>
      <c r="H148" s="62" t="n"/>
      <c r="I148" s="65">
        <f>IF(B148="","",SUMIFS(ap_Amount,ap_Party,B148,ap_Posted,1,ap_Date,"&lt;="&amp;AsOf))</f>
        <v/>
      </c>
      <c r="J148" s="65">
        <f>IF(B148="","",SUMIFS(ap_Paid,ap_Party,B148))</f>
        <v/>
      </c>
      <c r="K148" s="65">
        <f>IF(B148="","",SUMIFS(ap_Balance,ap_Party,B148))</f>
        <v/>
      </c>
      <c r="L148" s="65">
        <f>IF(B148="","",SUMIFS(ap_Balance,ap_Party,B148,ap_Status,"Overdue"))</f>
        <v/>
      </c>
      <c r="M148" s="66">
        <f>IF(B148="","",IF(COUNTIF(vend_Name,B148)&gt;1,"⚠ Duplicate name","✓ OK"))</f>
        <v/>
      </c>
      <c r="N148" s="67">
        <f>IF(AND(B148&lt;&gt;"",N(K148)&gt;0),K148+142/1000000,"")</f>
        <v/>
      </c>
    </row>
    <row r="149">
      <c r="B149" s="62" t="n"/>
      <c r="C149" s="62" t="n"/>
      <c r="D149" s="62" t="n"/>
      <c r="E149" s="62" t="n"/>
      <c r="F149" s="62" t="n"/>
      <c r="G149" s="69" t="n"/>
      <c r="H149" s="62" t="n"/>
      <c r="I149" s="65">
        <f>IF(B149="","",SUMIFS(ap_Amount,ap_Party,B149,ap_Posted,1,ap_Date,"&lt;="&amp;AsOf))</f>
        <v/>
      </c>
      <c r="J149" s="65">
        <f>IF(B149="","",SUMIFS(ap_Paid,ap_Party,B149))</f>
        <v/>
      </c>
      <c r="K149" s="65">
        <f>IF(B149="","",SUMIFS(ap_Balance,ap_Party,B149))</f>
        <v/>
      </c>
      <c r="L149" s="65">
        <f>IF(B149="","",SUMIFS(ap_Balance,ap_Party,B149,ap_Status,"Overdue"))</f>
        <v/>
      </c>
      <c r="M149" s="66">
        <f>IF(B149="","",IF(COUNTIF(vend_Name,B149)&gt;1,"⚠ Duplicate name","✓ OK"))</f>
        <v/>
      </c>
      <c r="N149" s="67">
        <f>IF(AND(B149&lt;&gt;"",N(K149)&gt;0),K149+143/1000000,"")</f>
        <v/>
      </c>
    </row>
    <row r="150">
      <c r="B150" s="62" t="n"/>
      <c r="C150" s="62" t="n"/>
      <c r="D150" s="62" t="n"/>
      <c r="E150" s="62" t="n"/>
      <c r="F150" s="62" t="n"/>
      <c r="G150" s="69" t="n"/>
      <c r="H150" s="62" t="n"/>
      <c r="I150" s="65">
        <f>IF(B150="","",SUMIFS(ap_Amount,ap_Party,B150,ap_Posted,1,ap_Date,"&lt;="&amp;AsOf))</f>
        <v/>
      </c>
      <c r="J150" s="65">
        <f>IF(B150="","",SUMIFS(ap_Paid,ap_Party,B150))</f>
        <v/>
      </c>
      <c r="K150" s="65">
        <f>IF(B150="","",SUMIFS(ap_Balance,ap_Party,B150))</f>
        <v/>
      </c>
      <c r="L150" s="65">
        <f>IF(B150="","",SUMIFS(ap_Balance,ap_Party,B150,ap_Status,"Overdue"))</f>
        <v/>
      </c>
      <c r="M150" s="66">
        <f>IF(B150="","",IF(COUNTIF(vend_Name,B150)&gt;1,"⚠ Duplicate name","✓ OK"))</f>
        <v/>
      </c>
      <c r="N150" s="67">
        <f>IF(AND(B150&lt;&gt;"",N(K150)&gt;0),K150+144/1000000,"")</f>
        <v/>
      </c>
    </row>
    <row r="151">
      <c r="B151" s="62" t="n"/>
      <c r="C151" s="62" t="n"/>
      <c r="D151" s="62" t="n"/>
      <c r="E151" s="62" t="n"/>
      <c r="F151" s="62" t="n"/>
      <c r="G151" s="69" t="n"/>
      <c r="H151" s="62" t="n"/>
      <c r="I151" s="65">
        <f>IF(B151="","",SUMIFS(ap_Amount,ap_Party,B151,ap_Posted,1,ap_Date,"&lt;="&amp;AsOf))</f>
        <v/>
      </c>
      <c r="J151" s="65">
        <f>IF(B151="","",SUMIFS(ap_Paid,ap_Party,B151))</f>
        <v/>
      </c>
      <c r="K151" s="65">
        <f>IF(B151="","",SUMIFS(ap_Balance,ap_Party,B151))</f>
        <v/>
      </c>
      <c r="L151" s="65">
        <f>IF(B151="","",SUMIFS(ap_Balance,ap_Party,B151,ap_Status,"Overdue"))</f>
        <v/>
      </c>
      <c r="M151" s="66">
        <f>IF(B151="","",IF(COUNTIF(vend_Name,B151)&gt;1,"⚠ Duplicate name","✓ OK"))</f>
        <v/>
      </c>
      <c r="N151" s="67">
        <f>IF(AND(B151&lt;&gt;"",N(K151)&gt;0),K151+145/1000000,"")</f>
        <v/>
      </c>
    </row>
    <row r="152">
      <c r="B152" s="62" t="n"/>
      <c r="C152" s="62" t="n"/>
      <c r="D152" s="62" t="n"/>
      <c r="E152" s="62" t="n"/>
      <c r="F152" s="62" t="n"/>
      <c r="G152" s="69" t="n"/>
      <c r="H152" s="62" t="n"/>
      <c r="I152" s="65">
        <f>IF(B152="","",SUMIFS(ap_Amount,ap_Party,B152,ap_Posted,1,ap_Date,"&lt;="&amp;AsOf))</f>
        <v/>
      </c>
      <c r="J152" s="65">
        <f>IF(B152="","",SUMIFS(ap_Paid,ap_Party,B152))</f>
        <v/>
      </c>
      <c r="K152" s="65">
        <f>IF(B152="","",SUMIFS(ap_Balance,ap_Party,B152))</f>
        <v/>
      </c>
      <c r="L152" s="65">
        <f>IF(B152="","",SUMIFS(ap_Balance,ap_Party,B152,ap_Status,"Overdue"))</f>
        <v/>
      </c>
      <c r="M152" s="66">
        <f>IF(B152="","",IF(COUNTIF(vend_Name,B152)&gt;1,"⚠ Duplicate name","✓ OK"))</f>
        <v/>
      </c>
      <c r="N152" s="67">
        <f>IF(AND(B152&lt;&gt;"",N(K152)&gt;0),K152+146/1000000,"")</f>
        <v/>
      </c>
    </row>
    <row r="153">
      <c r="B153" s="62" t="n"/>
      <c r="C153" s="62" t="n"/>
      <c r="D153" s="62" t="n"/>
      <c r="E153" s="62" t="n"/>
      <c r="F153" s="62" t="n"/>
      <c r="G153" s="69" t="n"/>
      <c r="H153" s="62" t="n"/>
      <c r="I153" s="65">
        <f>IF(B153="","",SUMIFS(ap_Amount,ap_Party,B153,ap_Posted,1,ap_Date,"&lt;="&amp;AsOf))</f>
        <v/>
      </c>
      <c r="J153" s="65">
        <f>IF(B153="","",SUMIFS(ap_Paid,ap_Party,B153))</f>
        <v/>
      </c>
      <c r="K153" s="65">
        <f>IF(B153="","",SUMIFS(ap_Balance,ap_Party,B153))</f>
        <v/>
      </c>
      <c r="L153" s="65">
        <f>IF(B153="","",SUMIFS(ap_Balance,ap_Party,B153,ap_Status,"Overdue"))</f>
        <v/>
      </c>
      <c r="M153" s="66">
        <f>IF(B153="","",IF(COUNTIF(vend_Name,B153)&gt;1,"⚠ Duplicate name","✓ OK"))</f>
        <v/>
      </c>
      <c r="N153" s="67">
        <f>IF(AND(B153&lt;&gt;"",N(K153)&gt;0),K153+147/1000000,"")</f>
        <v/>
      </c>
    </row>
    <row r="154">
      <c r="B154" s="62" t="n"/>
      <c r="C154" s="62" t="n"/>
      <c r="D154" s="62" t="n"/>
      <c r="E154" s="62" t="n"/>
      <c r="F154" s="62" t="n"/>
      <c r="G154" s="69" t="n"/>
      <c r="H154" s="62" t="n"/>
      <c r="I154" s="65">
        <f>IF(B154="","",SUMIFS(ap_Amount,ap_Party,B154,ap_Posted,1,ap_Date,"&lt;="&amp;AsOf))</f>
        <v/>
      </c>
      <c r="J154" s="65">
        <f>IF(B154="","",SUMIFS(ap_Paid,ap_Party,B154))</f>
        <v/>
      </c>
      <c r="K154" s="65">
        <f>IF(B154="","",SUMIFS(ap_Balance,ap_Party,B154))</f>
        <v/>
      </c>
      <c r="L154" s="65">
        <f>IF(B154="","",SUMIFS(ap_Balance,ap_Party,B154,ap_Status,"Overdue"))</f>
        <v/>
      </c>
      <c r="M154" s="66">
        <f>IF(B154="","",IF(COUNTIF(vend_Name,B154)&gt;1,"⚠ Duplicate name","✓ OK"))</f>
        <v/>
      </c>
      <c r="N154" s="67">
        <f>IF(AND(B154&lt;&gt;"",N(K154)&gt;0),K154+148/1000000,"")</f>
        <v/>
      </c>
    </row>
    <row r="155">
      <c r="B155" s="62" t="n"/>
      <c r="C155" s="62" t="n"/>
      <c r="D155" s="62" t="n"/>
      <c r="E155" s="62" t="n"/>
      <c r="F155" s="62" t="n"/>
      <c r="G155" s="69" t="n"/>
      <c r="H155" s="62" t="n"/>
      <c r="I155" s="65">
        <f>IF(B155="","",SUMIFS(ap_Amount,ap_Party,B155,ap_Posted,1,ap_Date,"&lt;="&amp;AsOf))</f>
        <v/>
      </c>
      <c r="J155" s="65">
        <f>IF(B155="","",SUMIFS(ap_Paid,ap_Party,B155))</f>
        <v/>
      </c>
      <c r="K155" s="65">
        <f>IF(B155="","",SUMIFS(ap_Balance,ap_Party,B155))</f>
        <v/>
      </c>
      <c r="L155" s="65">
        <f>IF(B155="","",SUMIFS(ap_Balance,ap_Party,B155,ap_Status,"Overdue"))</f>
        <v/>
      </c>
      <c r="M155" s="66">
        <f>IF(B155="","",IF(COUNTIF(vend_Name,B155)&gt;1,"⚠ Duplicate name","✓ OK"))</f>
        <v/>
      </c>
      <c r="N155" s="67">
        <f>IF(AND(B155&lt;&gt;"",N(K155)&gt;0),K155+149/1000000,"")</f>
        <v/>
      </c>
    </row>
    <row r="156">
      <c r="B156" s="62" t="n"/>
      <c r="C156" s="62" t="n"/>
      <c r="D156" s="62" t="n"/>
      <c r="E156" s="62" t="n"/>
      <c r="F156" s="62" t="n"/>
      <c r="G156" s="69" t="n"/>
      <c r="H156" s="62" t="n"/>
      <c r="I156" s="65">
        <f>IF(B156="","",SUMIFS(ap_Amount,ap_Party,B156,ap_Posted,1,ap_Date,"&lt;="&amp;AsOf))</f>
        <v/>
      </c>
      <c r="J156" s="65">
        <f>IF(B156="","",SUMIFS(ap_Paid,ap_Party,B156))</f>
        <v/>
      </c>
      <c r="K156" s="65">
        <f>IF(B156="","",SUMIFS(ap_Balance,ap_Party,B156))</f>
        <v/>
      </c>
      <c r="L156" s="65">
        <f>IF(B156="","",SUMIFS(ap_Balance,ap_Party,B156,ap_Status,"Overdue"))</f>
        <v/>
      </c>
      <c r="M156" s="66">
        <f>IF(B156="","",IF(COUNTIF(vend_Name,B156)&gt;1,"⚠ Duplicate name","✓ OK"))</f>
        <v/>
      </c>
      <c r="N156" s="67">
        <f>IF(AND(B156&lt;&gt;"",N(K156)&gt;0),K156+150/1000000,"")</f>
        <v/>
      </c>
    </row>
    <row r="157">
      <c r="B157" s="62" t="n"/>
      <c r="C157" s="62" t="n"/>
      <c r="D157" s="62" t="n"/>
      <c r="E157" s="62" t="n"/>
      <c r="F157" s="62" t="n"/>
      <c r="G157" s="69" t="n"/>
      <c r="H157" s="62" t="n"/>
      <c r="I157" s="65">
        <f>IF(B157="","",SUMIFS(ap_Amount,ap_Party,B157,ap_Posted,1,ap_Date,"&lt;="&amp;AsOf))</f>
        <v/>
      </c>
      <c r="J157" s="65">
        <f>IF(B157="","",SUMIFS(ap_Paid,ap_Party,B157))</f>
        <v/>
      </c>
      <c r="K157" s="65">
        <f>IF(B157="","",SUMIFS(ap_Balance,ap_Party,B157))</f>
        <v/>
      </c>
      <c r="L157" s="65">
        <f>IF(B157="","",SUMIFS(ap_Balance,ap_Party,B157,ap_Status,"Overdue"))</f>
        <v/>
      </c>
      <c r="M157" s="66">
        <f>IF(B157="","",IF(COUNTIF(vend_Name,B157)&gt;1,"⚠ Duplicate name","✓ OK"))</f>
        <v/>
      </c>
      <c r="N157" s="67">
        <f>IF(AND(B157&lt;&gt;"",N(K157)&gt;0),K157+151/1000000,"")</f>
        <v/>
      </c>
    </row>
    <row r="158">
      <c r="B158" s="62" t="n"/>
      <c r="C158" s="62" t="n"/>
      <c r="D158" s="62" t="n"/>
      <c r="E158" s="62" t="n"/>
      <c r="F158" s="62" t="n"/>
      <c r="G158" s="69" t="n"/>
      <c r="H158" s="62" t="n"/>
      <c r="I158" s="65">
        <f>IF(B158="","",SUMIFS(ap_Amount,ap_Party,B158,ap_Posted,1,ap_Date,"&lt;="&amp;AsOf))</f>
        <v/>
      </c>
      <c r="J158" s="65">
        <f>IF(B158="","",SUMIFS(ap_Paid,ap_Party,B158))</f>
        <v/>
      </c>
      <c r="K158" s="65">
        <f>IF(B158="","",SUMIFS(ap_Balance,ap_Party,B158))</f>
        <v/>
      </c>
      <c r="L158" s="65">
        <f>IF(B158="","",SUMIFS(ap_Balance,ap_Party,B158,ap_Status,"Overdue"))</f>
        <v/>
      </c>
      <c r="M158" s="66">
        <f>IF(B158="","",IF(COUNTIF(vend_Name,B158)&gt;1,"⚠ Duplicate name","✓ OK"))</f>
        <v/>
      </c>
      <c r="N158" s="67">
        <f>IF(AND(B158&lt;&gt;"",N(K158)&gt;0),K158+152/1000000,"")</f>
        <v/>
      </c>
    </row>
    <row r="159">
      <c r="B159" s="62" t="n"/>
      <c r="C159" s="62" t="n"/>
      <c r="D159" s="62" t="n"/>
      <c r="E159" s="62" t="n"/>
      <c r="F159" s="62" t="n"/>
      <c r="G159" s="69" t="n"/>
      <c r="H159" s="62" t="n"/>
      <c r="I159" s="65">
        <f>IF(B159="","",SUMIFS(ap_Amount,ap_Party,B159,ap_Posted,1,ap_Date,"&lt;="&amp;AsOf))</f>
        <v/>
      </c>
      <c r="J159" s="65">
        <f>IF(B159="","",SUMIFS(ap_Paid,ap_Party,B159))</f>
        <v/>
      </c>
      <c r="K159" s="65">
        <f>IF(B159="","",SUMIFS(ap_Balance,ap_Party,B159))</f>
        <v/>
      </c>
      <c r="L159" s="65">
        <f>IF(B159="","",SUMIFS(ap_Balance,ap_Party,B159,ap_Status,"Overdue"))</f>
        <v/>
      </c>
      <c r="M159" s="66">
        <f>IF(B159="","",IF(COUNTIF(vend_Name,B159)&gt;1,"⚠ Duplicate name","✓ OK"))</f>
        <v/>
      </c>
      <c r="N159" s="67">
        <f>IF(AND(B159&lt;&gt;"",N(K159)&gt;0),K159+153/1000000,"")</f>
        <v/>
      </c>
    </row>
    <row r="160">
      <c r="B160" s="62" t="n"/>
      <c r="C160" s="62" t="n"/>
      <c r="D160" s="62" t="n"/>
      <c r="E160" s="62" t="n"/>
      <c r="F160" s="62" t="n"/>
      <c r="G160" s="69" t="n"/>
      <c r="H160" s="62" t="n"/>
      <c r="I160" s="65">
        <f>IF(B160="","",SUMIFS(ap_Amount,ap_Party,B160,ap_Posted,1,ap_Date,"&lt;="&amp;AsOf))</f>
        <v/>
      </c>
      <c r="J160" s="65">
        <f>IF(B160="","",SUMIFS(ap_Paid,ap_Party,B160))</f>
        <v/>
      </c>
      <c r="K160" s="65">
        <f>IF(B160="","",SUMIFS(ap_Balance,ap_Party,B160))</f>
        <v/>
      </c>
      <c r="L160" s="65">
        <f>IF(B160="","",SUMIFS(ap_Balance,ap_Party,B160,ap_Status,"Overdue"))</f>
        <v/>
      </c>
      <c r="M160" s="66">
        <f>IF(B160="","",IF(COUNTIF(vend_Name,B160)&gt;1,"⚠ Duplicate name","✓ OK"))</f>
        <v/>
      </c>
      <c r="N160" s="67">
        <f>IF(AND(B160&lt;&gt;"",N(K160)&gt;0),K160+154/1000000,"")</f>
        <v/>
      </c>
    </row>
    <row r="161">
      <c r="B161" s="62" t="n"/>
      <c r="C161" s="62" t="n"/>
      <c r="D161" s="62" t="n"/>
      <c r="E161" s="62" t="n"/>
      <c r="F161" s="62" t="n"/>
      <c r="G161" s="69" t="n"/>
      <c r="H161" s="62" t="n"/>
      <c r="I161" s="65">
        <f>IF(B161="","",SUMIFS(ap_Amount,ap_Party,B161,ap_Posted,1,ap_Date,"&lt;="&amp;AsOf))</f>
        <v/>
      </c>
      <c r="J161" s="65">
        <f>IF(B161="","",SUMIFS(ap_Paid,ap_Party,B161))</f>
        <v/>
      </c>
      <c r="K161" s="65">
        <f>IF(B161="","",SUMIFS(ap_Balance,ap_Party,B161))</f>
        <v/>
      </c>
      <c r="L161" s="65">
        <f>IF(B161="","",SUMIFS(ap_Balance,ap_Party,B161,ap_Status,"Overdue"))</f>
        <v/>
      </c>
      <c r="M161" s="66">
        <f>IF(B161="","",IF(COUNTIF(vend_Name,B161)&gt;1,"⚠ Duplicate name","✓ OK"))</f>
        <v/>
      </c>
      <c r="N161" s="67">
        <f>IF(AND(B161&lt;&gt;"",N(K161)&gt;0),K161+155/1000000,"")</f>
        <v/>
      </c>
    </row>
    <row r="162">
      <c r="B162" s="62" t="n"/>
      <c r="C162" s="62" t="n"/>
      <c r="D162" s="62" t="n"/>
      <c r="E162" s="62" t="n"/>
      <c r="F162" s="62" t="n"/>
      <c r="G162" s="69" t="n"/>
      <c r="H162" s="62" t="n"/>
      <c r="I162" s="65">
        <f>IF(B162="","",SUMIFS(ap_Amount,ap_Party,B162,ap_Posted,1,ap_Date,"&lt;="&amp;AsOf))</f>
        <v/>
      </c>
      <c r="J162" s="65">
        <f>IF(B162="","",SUMIFS(ap_Paid,ap_Party,B162))</f>
        <v/>
      </c>
      <c r="K162" s="65">
        <f>IF(B162="","",SUMIFS(ap_Balance,ap_Party,B162))</f>
        <v/>
      </c>
      <c r="L162" s="65">
        <f>IF(B162="","",SUMIFS(ap_Balance,ap_Party,B162,ap_Status,"Overdue"))</f>
        <v/>
      </c>
      <c r="M162" s="66">
        <f>IF(B162="","",IF(COUNTIF(vend_Name,B162)&gt;1,"⚠ Duplicate name","✓ OK"))</f>
        <v/>
      </c>
      <c r="N162" s="67">
        <f>IF(AND(B162&lt;&gt;"",N(K162)&gt;0),K162+156/1000000,"")</f>
        <v/>
      </c>
    </row>
    <row r="163">
      <c r="B163" s="62" t="n"/>
      <c r="C163" s="62" t="n"/>
      <c r="D163" s="62" t="n"/>
      <c r="E163" s="62" t="n"/>
      <c r="F163" s="62" t="n"/>
      <c r="G163" s="69" t="n"/>
      <c r="H163" s="62" t="n"/>
      <c r="I163" s="65">
        <f>IF(B163="","",SUMIFS(ap_Amount,ap_Party,B163,ap_Posted,1,ap_Date,"&lt;="&amp;AsOf))</f>
        <v/>
      </c>
      <c r="J163" s="65">
        <f>IF(B163="","",SUMIFS(ap_Paid,ap_Party,B163))</f>
        <v/>
      </c>
      <c r="K163" s="65">
        <f>IF(B163="","",SUMIFS(ap_Balance,ap_Party,B163))</f>
        <v/>
      </c>
      <c r="L163" s="65">
        <f>IF(B163="","",SUMIFS(ap_Balance,ap_Party,B163,ap_Status,"Overdue"))</f>
        <v/>
      </c>
      <c r="M163" s="66">
        <f>IF(B163="","",IF(COUNTIF(vend_Name,B163)&gt;1,"⚠ Duplicate name","✓ OK"))</f>
        <v/>
      </c>
      <c r="N163" s="67">
        <f>IF(AND(B163&lt;&gt;"",N(K163)&gt;0),K163+157/1000000,"")</f>
        <v/>
      </c>
    </row>
    <row r="164">
      <c r="B164" s="62" t="n"/>
      <c r="C164" s="62" t="n"/>
      <c r="D164" s="62" t="n"/>
      <c r="E164" s="62" t="n"/>
      <c r="F164" s="62" t="n"/>
      <c r="G164" s="69" t="n"/>
      <c r="H164" s="62" t="n"/>
      <c r="I164" s="65">
        <f>IF(B164="","",SUMIFS(ap_Amount,ap_Party,B164,ap_Posted,1,ap_Date,"&lt;="&amp;AsOf))</f>
        <v/>
      </c>
      <c r="J164" s="65">
        <f>IF(B164="","",SUMIFS(ap_Paid,ap_Party,B164))</f>
        <v/>
      </c>
      <c r="K164" s="65">
        <f>IF(B164="","",SUMIFS(ap_Balance,ap_Party,B164))</f>
        <v/>
      </c>
      <c r="L164" s="65">
        <f>IF(B164="","",SUMIFS(ap_Balance,ap_Party,B164,ap_Status,"Overdue"))</f>
        <v/>
      </c>
      <c r="M164" s="66">
        <f>IF(B164="","",IF(COUNTIF(vend_Name,B164)&gt;1,"⚠ Duplicate name","✓ OK"))</f>
        <v/>
      </c>
      <c r="N164" s="67">
        <f>IF(AND(B164&lt;&gt;"",N(K164)&gt;0),K164+158/1000000,"")</f>
        <v/>
      </c>
    </row>
    <row r="165">
      <c r="B165" s="62" t="n"/>
      <c r="C165" s="62" t="n"/>
      <c r="D165" s="62" t="n"/>
      <c r="E165" s="62" t="n"/>
      <c r="F165" s="62" t="n"/>
      <c r="G165" s="69" t="n"/>
      <c r="H165" s="62" t="n"/>
      <c r="I165" s="65">
        <f>IF(B165="","",SUMIFS(ap_Amount,ap_Party,B165,ap_Posted,1,ap_Date,"&lt;="&amp;AsOf))</f>
        <v/>
      </c>
      <c r="J165" s="65">
        <f>IF(B165="","",SUMIFS(ap_Paid,ap_Party,B165))</f>
        <v/>
      </c>
      <c r="K165" s="65">
        <f>IF(B165="","",SUMIFS(ap_Balance,ap_Party,B165))</f>
        <v/>
      </c>
      <c r="L165" s="65">
        <f>IF(B165="","",SUMIFS(ap_Balance,ap_Party,B165,ap_Status,"Overdue"))</f>
        <v/>
      </c>
      <c r="M165" s="66">
        <f>IF(B165="","",IF(COUNTIF(vend_Name,B165)&gt;1,"⚠ Duplicate name","✓ OK"))</f>
        <v/>
      </c>
      <c r="N165" s="67">
        <f>IF(AND(B165&lt;&gt;"",N(K165)&gt;0),K165+159/1000000,"")</f>
        <v/>
      </c>
    </row>
    <row r="166">
      <c r="B166" s="62" t="n"/>
      <c r="C166" s="62" t="n"/>
      <c r="D166" s="62" t="n"/>
      <c r="E166" s="62" t="n"/>
      <c r="F166" s="62" t="n"/>
      <c r="G166" s="69" t="n"/>
      <c r="H166" s="62" t="n"/>
      <c r="I166" s="65">
        <f>IF(B166="","",SUMIFS(ap_Amount,ap_Party,B166,ap_Posted,1,ap_Date,"&lt;="&amp;AsOf))</f>
        <v/>
      </c>
      <c r="J166" s="65">
        <f>IF(B166="","",SUMIFS(ap_Paid,ap_Party,B166))</f>
        <v/>
      </c>
      <c r="K166" s="65">
        <f>IF(B166="","",SUMIFS(ap_Balance,ap_Party,B166))</f>
        <v/>
      </c>
      <c r="L166" s="65">
        <f>IF(B166="","",SUMIFS(ap_Balance,ap_Party,B166,ap_Status,"Overdue"))</f>
        <v/>
      </c>
      <c r="M166" s="66">
        <f>IF(B166="","",IF(COUNTIF(vend_Name,B166)&gt;1,"⚠ Duplicate name","✓ OK"))</f>
        <v/>
      </c>
      <c r="N166" s="67">
        <f>IF(AND(B166&lt;&gt;"",N(K166)&gt;0),K166+160/1000000,"")</f>
        <v/>
      </c>
    </row>
    <row r="167">
      <c r="B167" s="62" t="n"/>
      <c r="C167" s="62" t="n"/>
      <c r="D167" s="62" t="n"/>
      <c r="E167" s="62" t="n"/>
      <c r="F167" s="62" t="n"/>
      <c r="G167" s="69" t="n"/>
      <c r="H167" s="62" t="n"/>
      <c r="I167" s="65">
        <f>IF(B167="","",SUMIFS(ap_Amount,ap_Party,B167,ap_Posted,1,ap_Date,"&lt;="&amp;AsOf))</f>
        <v/>
      </c>
      <c r="J167" s="65">
        <f>IF(B167="","",SUMIFS(ap_Paid,ap_Party,B167))</f>
        <v/>
      </c>
      <c r="K167" s="65">
        <f>IF(B167="","",SUMIFS(ap_Balance,ap_Party,B167))</f>
        <v/>
      </c>
      <c r="L167" s="65">
        <f>IF(B167="","",SUMIFS(ap_Balance,ap_Party,B167,ap_Status,"Overdue"))</f>
        <v/>
      </c>
      <c r="M167" s="66">
        <f>IF(B167="","",IF(COUNTIF(vend_Name,B167)&gt;1,"⚠ Duplicate name","✓ OK"))</f>
        <v/>
      </c>
      <c r="N167" s="67">
        <f>IF(AND(B167&lt;&gt;"",N(K167)&gt;0),K167+161/1000000,"")</f>
        <v/>
      </c>
    </row>
    <row r="168">
      <c r="B168" s="62" t="n"/>
      <c r="C168" s="62" t="n"/>
      <c r="D168" s="62" t="n"/>
      <c r="E168" s="62" t="n"/>
      <c r="F168" s="62" t="n"/>
      <c r="G168" s="69" t="n"/>
      <c r="H168" s="62" t="n"/>
      <c r="I168" s="65">
        <f>IF(B168="","",SUMIFS(ap_Amount,ap_Party,B168,ap_Posted,1,ap_Date,"&lt;="&amp;AsOf))</f>
        <v/>
      </c>
      <c r="J168" s="65">
        <f>IF(B168="","",SUMIFS(ap_Paid,ap_Party,B168))</f>
        <v/>
      </c>
      <c r="K168" s="65">
        <f>IF(B168="","",SUMIFS(ap_Balance,ap_Party,B168))</f>
        <v/>
      </c>
      <c r="L168" s="65">
        <f>IF(B168="","",SUMIFS(ap_Balance,ap_Party,B168,ap_Status,"Overdue"))</f>
        <v/>
      </c>
      <c r="M168" s="66">
        <f>IF(B168="","",IF(COUNTIF(vend_Name,B168)&gt;1,"⚠ Duplicate name","✓ OK"))</f>
        <v/>
      </c>
      <c r="N168" s="67">
        <f>IF(AND(B168&lt;&gt;"",N(K168)&gt;0),K168+162/1000000,"")</f>
        <v/>
      </c>
    </row>
    <row r="169">
      <c r="B169" s="62" t="n"/>
      <c r="C169" s="62" t="n"/>
      <c r="D169" s="62" t="n"/>
      <c r="E169" s="62" t="n"/>
      <c r="F169" s="62" t="n"/>
      <c r="G169" s="69" t="n"/>
      <c r="H169" s="62" t="n"/>
      <c r="I169" s="65">
        <f>IF(B169="","",SUMIFS(ap_Amount,ap_Party,B169,ap_Posted,1,ap_Date,"&lt;="&amp;AsOf))</f>
        <v/>
      </c>
      <c r="J169" s="65">
        <f>IF(B169="","",SUMIFS(ap_Paid,ap_Party,B169))</f>
        <v/>
      </c>
      <c r="K169" s="65">
        <f>IF(B169="","",SUMIFS(ap_Balance,ap_Party,B169))</f>
        <v/>
      </c>
      <c r="L169" s="65">
        <f>IF(B169="","",SUMIFS(ap_Balance,ap_Party,B169,ap_Status,"Overdue"))</f>
        <v/>
      </c>
      <c r="M169" s="66">
        <f>IF(B169="","",IF(COUNTIF(vend_Name,B169)&gt;1,"⚠ Duplicate name","✓ OK"))</f>
        <v/>
      </c>
      <c r="N169" s="67">
        <f>IF(AND(B169&lt;&gt;"",N(K169)&gt;0),K169+163/1000000,"")</f>
        <v/>
      </c>
    </row>
    <row r="170">
      <c r="B170" s="62" t="n"/>
      <c r="C170" s="62" t="n"/>
      <c r="D170" s="62" t="n"/>
      <c r="E170" s="62" t="n"/>
      <c r="F170" s="62" t="n"/>
      <c r="G170" s="69" t="n"/>
      <c r="H170" s="62" t="n"/>
      <c r="I170" s="65">
        <f>IF(B170="","",SUMIFS(ap_Amount,ap_Party,B170,ap_Posted,1,ap_Date,"&lt;="&amp;AsOf))</f>
        <v/>
      </c>
      <c r="J170" s="65">
        <f>IF(B170="","",SUMIFS(ap_Paid,ap_Party,B170))</f>
        <v/>
      </c>
      <c r="K170" s="65">
        <f>IF(B170="","",SUMIFS(ap_Balance,ap_Party,B170))</f>
        <v/>
      </c>
      <c r="L170" s="65">
        <f>IF(B170="","",SUMIFS(ap_Balance,ap_Party,B170,ap_Status,"Overdue"))</f>
        <v/>
      </c>
      <c r="M170" s="66">
        <f>IF(B170="","",IF(COUNTIF(vend_Name,B170)&gt;1,"⚠ Duplicate name","✓ OK"))</f>
        <v/>
      </c>
      <c r="N170" s="67">
        <f>IF(AND(B170&lt;&gt;"",N(K170)&gt;0),K170+164/1000000,"")</f>
        <v/>
      </c>
    </row>
    <row r="171">
      <c r="B171" s="62" t="n"/>
      <c r="C171" s="62" t="n"/>
      <c r="D171" s="62" t="n"/>
      <c r="E171" s="62" t="n"/>
      <c r="F171" s="62" t="n"/>
      <c r="G171" s="69" t="n"/>
      <c r="H171" s="62" t="n"/>
      <c r="I171" s="65">
        <f>IF(B171="","",SUMIFS(ap_Amount,ap_Party,B171,ap_Posted,1,ap_Date,"&lt;="&amp;AsOf))</f>
        <v/>
      </c>
      <c r="J171" s="65">
        <f>IF(B171="","",SUMIFS(ap_Paid,ap_Party,B171))</f>
        <v/>
      </c>
      <c r="K171" s="65">
        <f>IF(B171="","",SUMIFS(ap_Balance,ap_Party,B171))</f>
        <v/>
      </c>
      <c r="L171" s="65">
        <f>IF(B171="","",SUMIFS(ap_Balance,ap_Party,B171,ap_Status,"Overdue"))</f>
        <v/>
      </c>
      <c r="M171" s="66">
        <f>IF(B171="","",IF(COUNTIF(vend_Name,B171)&gt;1,"⚠ Duplicate name","✓ OK"))</f>
        <v/>
      </c>
      <c r="N171" s="67">
        <f>IF(AND(B171&lt;&gt;"",N(K171)&gt;0),K171+165/1000000,"")</f>
        <v/>
      </c>
    </row>
    <row r="172">
      <c r="B172" s="62" t="n"/>
      <c r="C172" s="62" t="n"/>
      <c r="D172" s="62" t="n"/>
      <c r="E172" s="62" t="n"/>
      <c r="F172" s="62" t="n"/>
      <c r="G172" s="69" t="n"/>
      <c r="H172" s="62" t="n"/>
      <c r="I172" s="65">
        <f>IF(B172="","",SUMIFS(ap_Amount,ap_Party,B172,ap_Posted,1,ap_Date,"&lt;="&amp;AsOf))</f>
        <v/>
      </c>
      <c r="J172" s="65">
        <f>IF(B172="","",SUMIFS(ap_Paid,ap_Party,B172))</f>
        <v/>
      </c>
      <c r="K172" s="65">
        <f>IF(B172="","",SUMIFS(ap_Balance,ap_Party,B172))</f>
        <v/>
      </c>
      <c r="L172" s="65">
        <f>IF(B172="","",SUMIFS(ap_Balance,ap_Party,B172,ap_Status,"Overdue"))</f>
        <v/>
      </c>
      <c r="M172" s="66">
        <f>IF(B172="","",IF(COUNTIF(vend_Name,B172)&gt;1,"⚠ Duplicate name","✓ OK"))</f>
        <v/>
      </c>
      <c r="N172" s="67">
        <f>IF(AND(B172&lt;&gt;"",N(K172)&gt;0),K172+166/1000000,"")</f>
        <v/>
      </c>
    </row>
    <row r="173">
      <c r="B173" s="62" t="n"/>
      <c r="C173" s="62" t="n"/>
      <c r="D173" s="62" t="n"/>
      <c r="E173" s="62" t="n"/>
      <c r="F173" s="62" t="n"/>
      <c r="G173" s="69" t="n"/>
      <c r="H173" s="62" t="n"/>
      <c r="I173" s="65">
        <f>IF(B173="","",SUMIFS(ap_Amount,ap_Party,B173,ap_Posted,1,ap_Date,"&lt;="&amp;AsOf))</f>
        <v/>
      </c>
      <c r="J173" s="65">
        <f>IF(B173="","",SUMIFS(ap_Paid,ap_Party,B173))</f>
        <v/>
      </c>
      <c r="K173" s="65">
        <f>IF(B173="","",SUMIFS(ap_Balance,ap_Party,B173))</f>
        <v/>
      </c>
      <c r="L173" s="65">
        <f>IF(B173="","",SUMIFS(ap_Balance,ap_Party,B173,ap_Status,"Overdue"))</f>
        <v/>
      </c>
      <c r="M173" s="66">
        <f>IF(B173="","",IF(COUNTIF(vend_Name,B173)&gt;1,"⚠ Duplicate name","✓ OK"))</f>
        <v/>
      </c>
      <c r="N173" s="67">
        <f>IF(AND(B173&lt;&gt;"",N(K173)&gt;0),K173+167/1000000,"")</f>
        <v/>
      </c>
    </row>
    <row r="174">
      <c r="B174" s="62" t="n"/>
      <c r="C174" s="62" t="n"/>
      <c r="D174" s="62" t="n"/>
      <c r="E174" s="62" t="n"/>
      <c r="F174" s="62" t="n"/>
      <c r="G174" s="69" t="n"/>
      <c r="H174" s="62" t="n"/>
      <c r="I174" s="65">
        <f>IF(B174="","",SUMIFS(ap_Amount,ap_Party,B174,ap_Posted,1,ap_Date,"&lt;="&amp;AsOf))</f>
        <v/>
      </c>
      <c r="J174" s="65">
        <f>IF(B174="","",SUMIFS(ap_Paid,ap_Party,B174))</f>
        <v/>
      </c>
      <c r="K174" s="65">
        <f>IF(B174="","",SUMIFS(ap_Balance,ap_Party,B174))</f>
        <v/>
      </c>
      <c r="L174" s="65">
        <f>IF(B174="","",SUMIFS(ap_Balance,ap_Party,B174,ap_Status,"Overdue"))</f>
        <v/>
      </c>
      <c r="M174" s="66">
        <f>IF(B174="","",IF(COUNTIF(vend_Name,B174)&gt;1,"⚠ Duplicate name","✓ OK"))</f>
        <v/>
      </c>
      <c r="N174" s="67">
        <f>IF(AND(B174&lt;&gt;"",N(K174)&gt;0),K174+168/1000000,"")</f>
        <v/>
      </c>
    </row>
    <row r="175">
      <c r="B175" s="62" t="n"/>
      <c r="C175" s="62" t="n"/>
      <c r="D175" s="62" t="n"/>
      <c r="E175" s="62" t="n"/>
      <c r="F175" s="62" t="n"/>
      <c r="G175" s="69" t="n"/>
      <c r="H175" s="62" t="n"/>
      <c r="I175" s="65">
        <f>IF(B175="","",SUMIFS(ap_Amount,ap_Party,B175,ap_Posted,1,ap_Date,"&lt;="&amp;AsOf))</f>
        <v/>
      </c>
      <c r="J175" s="65">
        <f>IF(B175="","",SUMIFS(ap_Paid,ap_Party,B175))</f>
        <v/>
      </c>
      <c r="K175" s="65">
        <f>IF(B175="","",SUMIFS(ap_Balance,ap_Party,B175))</f>
        <v/>
      </c>
      <c r="L175" s="65">
        <f>IF(B175="","",SUMIFS(ap_Balance,ap_Party,B175,ap_Status,"Overdue"))</f>
        <v/>
      </c>
      <c r="M175" s="66">
        <f>IF(B175="","",IF(COUNTIF(vend_Name,B175)&gt;1,"⚠ Duplicate name","✓ OK"))</f>
        <v/>
      </c>
      <c r="N175" s="67">
        <f>IF(AND(B175&lt;&gt;"",N(K175)&gt;0),K175+169/1000000,"")</f>
        <v/>
      </c>
    </row>
    <row r="176">
      <c r="B176" s="62" t="n"/>
      <c r="C176" s="62" t="n"/>
      <c r="D176" s="62" t="n"/>
      <c r="E176" s="62" t="n"/>
      <c r="F176" s="62" t="n"/>
      <c r="G176" s="69" t="n"/>
      <c r="H176" s="62" t="n"/>
      <c r="I176" s="65">
        <f>IF(B176="","",SUMIFS(ap_Amount,ap_Party,B176,ap_Posted,1,ap_Date,"&lt;="&amp;AsOf))</f>
        <v/>
      </c>
      <c r="J176" s="65">
        <f>IF(B176="","",SUMIFS(ap_Paid,ap_Party,B176))</f>
        <v/>
      </c>
      <c r="K176" s="65">
        <f>IF(B176="","",SUMIFS(ap_Balance,ap_Party,B176))</f>
        <v/>
      </c>
      <c r="L176" s="65">
        <f>IF(B176="","",SUMIFS(ap_Balance,ap_Party,B176,ap_Status,"Overdue"))</f>
        <v/>
      </c>
      <c r="M176" s="66">
        <f>IF(B176="","",IF(COUNTIF(vend_Name,B176)&gt;1,"⚠ Duplicate name","✓ OK"))</f>
        <v/>
      </c>
      <c r="N176" s="67">
        <f>IF(AND(B176&lt;&gt;"",N(K176)&gt;0),K176+170/1000000,"")</f>
        <v/>
      </c>
    </row>
    <row r="177">
      <c r="B177" s="62" t="n"/>
      <c r="C177" s="62" t="n"/>
      <c r="D177" s="62" t="n"/>
      <c r="E177" s="62" t="n"/>
      <c r="F177" s="62" t="n"/>
      <c r="G177" s="69" t="n"/>
      <c r="H177" s="62" t="n"/>
      <c r="I177" s="65">
        <f>IF(B177="","",SUMIFS(ap_Amount,ap_Party,B177,ap_Posted,1,ap_Date,"&lt;="&amp;AsOf))</f>
        <v/>
      </c>
      <c r="J177" s="65">
        <f>IF(B177="","",SUMIFS(ap_Paid,ap_Party,B177))</f>
        <v/>
      </c>
      <c r="K177" s="65">
        <f>IF(B177="","",SUMIFS(ap_Balance,ap_Party,B177))</f>
        <v/>
      </c>
      <c r="L177" s="65">
        <f>IF(B177="","",SUMIFS(ap_Balance,ap_Party,B177,ap_Status,"Overdue"))</f>
        <v/>
      </c>
      <c r="M177" s="66">
        <f>IF(B177="","",IF(COUNTIF(vend_Name,B177)&gt;1,"⚠ Duplicate name","✓ OK"))</f>
        <v/>
      </c>
      <c r="N177" s="67">
        <f>IF(AND(B177&lt;&gt;"",N(K177)&gt;0),K177+171/1000000,"")</f>
        <v/>
      </c>
    </row>
    <row r="178">
      <c r="B178" s="62" t="n"/>
      <c r="C178" s="62" t="n"/>
      <c r="D178" s="62" t="n"/>
      <c r="E178" s="62" t="n"/>
      <c r="F178" s="62" t="n"/>
      <c r="G178" s="69" t="n"/>
      <c r="H178" s="62" t="n"/>
      <c r="I178" s="65">
        <f>IF(B178="","",SUMIFS(ap_Amount,ap_Party,B178,ap_Posted,1,ap_Date,"&lt;="&amp;AsOf))</f>
        <v/>
      </c>
      <c r="J178" s="65">
        <f>IF(B178="","",SUMIFS(ap_Paid,ap_Party,B178))</f>
        <v/>
      </c>
      <c r="K178" s="65">
        <f>IF(B178="","",SUMIFS(ap_Balance,ap_Party,B178))</f>
        <v/>
      </c>
      <c r="L178" s="65">
        <f>IF(B178="","",SUMIFS(ap_Balance,ap_Party,B178,ap_Status,"Overdue"))</f>
        <v/>
      </c>
      <c r="M178" s="66">
        <f>IF(B178="","",IF(COUNTIF(vend_Name,B178)&gt;1,"⚠ Duplicate name","✓ OK"))</f>
        <v/>
      </c>
      <c r="N178" s="67">
        <f>IF(AND(B178&lt;&gt;"",N(K178)&gt;0),K178+172/1000000,"")</f>
        <v/>
      </c>
    </row>
    <row r="179">
      <c r="B179" s="62" t="n"/>
      <c r="C179" s="62" t="n"/>
      <c r="D179" s="62" t="n"/>
      <c r="E179" s="62" t="n"/>
      <c r="F179" s="62" t="n"/>
      <c r="G179" s="69" t="n"/>
      <c r="H179" s="62" t="n"/>
      <c r="I179" s="65">
        <f>IF(B179="","",SUMIFS(ap_Amount,ap_Party,B179,ap_Posted,1,ap_Date,"&lt;="&amp;AsOf))</f>
        <v/>
      </c>
      <c r="J179" s="65">
        <f>IF(B179="","",SUMIFS(ap_Paid,ap_Party,B179))</f>
        <v/>
      </c>
      <c r="K179" s="65">
        <f>IF(B179="","",SUMIFS(ap_Balance,ap_Party,B179))</f>
        <v/>
      </c>
      <c r="L179" s="65">
        <f>IF(B179="","",SUMIFS(ap_Balance,ap_Party,B179,ap_Status,"Overdue"))</f>
        <v/>
      </c>
      <c r="M179" s="66">
        <f>IF(B179="","",IF(COUNTIF(vend_Name,B179)&gt;1,"⚠ Duplicate name","✓ OK"))</f>
        <v/>
      </c>
      <c r="N179" s="67">
        <f>IF(AND(B179&lt;&gt;"",N(K179)&gt;0),K179+173/1000000,"")</f>
        <v/>
      </c>
    </row>
    <row r="180">
      <c r="B180" s="62" t="n"/>
      <c r="C180" s="62" t="n"/>
      <c r="D180" s="62" t="n"/>
      <c r="E180" s="62" t="n"/>
      <c r="F180" s="62" t="n"/>
      <c r="G180" s="69" t="n"/>
      <c r="H180" s="62" t="n"/>
      <c r="I180" s="65">
        <f>IF(B180="","",SUMIFS(ap_Amount,ap_Party,B180,ap_Posted,1,ap_Date,"&lt;="&amp;AsOf))</f>
        <v/>
      </c>
      <c r="J180" s="65">
        <f>IF(B180="","",SUMIFS(ap_Paid,ap_Party,B180))</f>
        <v/>
      </c>
      <c r="K180" s="65">
        <f>IF(B180="","",SUMIFS(ap_Balance,ap_Party,B180))</f>
        <v/>
      </c>
      <c r="L180" s="65">
        <f>IF(B180="","",SUMIFS(ap_Balance,ap_Party,B180,ap_Status,"Overdue"))</f>
        <v/>
      </c>
      <c r="M180" s="66">
        <f>IF(B180="","",IF(COUNTIF(vend_Name,B180)&gt;1,"⚠ Duplicate name","✓ OK"))</f>
        <v/>
      </c>
      <c r="N180" s="67">
        <f>IF(AND(B180&lt;&gt;"",N(K180)&gt;0),K180+174/1000000,"")</f>
        <v/>
      </c>
    </row>
    <row r="181">
      <c r="B181" s="62" t="n"/>
      <c r="C181" s="62" t="n"/>
      <c r="D181" s="62" t="n"/>
      <c r="E181" s="62" t="n"/>
      <c r="F181" s="62" t="n"/>
      <c r="G181" s="69" t="n"/>
      <c r="H181" s="62" t="n"/>
      <c r="I181" s="65">
        <f>IF(B181="","",SUMIFS(ap_Amount,ap_Party,B181,ap_Posted,1,ap_Date,"&lt;="&amp;AsOf))</f>
        <v/>
      </c>
      <c r="J181" s="65">
        <f>IF(B181="","",SUMIFS(ap_Paid,ap_Party,B181))</f>
        <v/>
      </c>
      <c r="K181" s="65">
        <f>IF(B181="","",SUMIFS(ap_Balance,ap_Party,B181))</f>
        <v/>
      </c>
      <c r="L181" s="65">
        <f>IF(B181="","",SUMIFS(ap_Balance,ap_Party,B181,ap_Status,"Overdue"))</f>
        <v/>
      </c>
      <c r="M181" s="66">
        <f>IF(B181="","",IF(COUNTIF(vend_Name,B181)&gt;1,"⚠ Duplicate name","✓ OK"))</f>
        <v/>
      </c>
      <c r="N181" s="67">
        <f>IF(AND(B181&lt;&gt;"",N(K181)&gt;0),K181+175/1000000,"")</f>
        <v/>
      </c>
    </row>
    <row r="182">
      <c r="B182" s="62" t="n"/>
      <c r="C182" s="62" t="n"/>
      <c r="D182" s="62" t="n"/>
      <c r="E182" s="62" t="n"/>
      <c r="F182" s="62" t="n"/>
      <c r="G182" s="69" t="n"/>
      <c r="H182" s="62" t="n"/>
      <c r="I182" s="65">
        <f>IF(B182="","",SUMIFS(ap_Amount,ap_Party,B182,ap_Posted,1,ap_Date,"&lt;="&amp;AsOf))</f>
        <v/>
      </c>
      <c r="J182" s="65">
        <f>IF(B182="","",SUMIFS(ap_Paid,ap_Party,B182))</f>
        <v/>
      </c>
      <c r="K182" s="65">
        <f>IF(B182="","",SUMIFS(ap_Balance,ap_Party,B182))</f>
        <v/>
      </c>
      <c r="L182" s="65">
        <f>IF(B182="","",SUMIFS(ap_Balance,ap_Party,B182,ap_Status,"Overdue"))</f>
        <v/>
      </c>
      <c r="M182" s="66">
        <f>IF(B182="","",IF(COUNTIF(vend_Name,B182)&gt;1,"⚠ Duplicate name","✓ OK"))</f>
        <v/>
      </c>
      <c r="N182" s="67">
        <f>IF(AND(B182&lt;&gt;"",N(K182)&gt;0),K182+176/1000000,"")</f>
        <v/>
      </c>
    </row>
    <row r="183">
      <c r="B183" s="62" t="n"/>
      <c r="C183" s="62" t="n"/>
      <c r="D183" s="62" t="n"/>
      <c r="E183" s="62" t="n"/>
      <c r="F183" s="62" t="n"/>
      <c r="G183" s="69" t="n"/>
      <c r="H183" s="62" t="n"/>
      <c r="I183" s="65">
        <f>IF(B183="","",SUMIFS(ap_Amount,ap_Party,B183,ap_Posted,1,ap_Date,"&lt;="&amp;AsOf))</f>
        <v/>
      </c>
      <c r="J183" s="65">
        <f>IF(B183="","",SUMIFS(ap_Paid,ap_Party,B183))</f>
        <v/>
      </c>
      <c r="K183" s="65">
        <f>IF(B183="","",SUMIFS(ap_Balance,ap_Party,B183))</f>
        <v/>
      </c>
      <c r="L183" s="65">
        <f>IF(B183="","",SUMIFS(ap_Balance,ap_Party,B183,ap_Status,"Overdue"))</f>
        <v/>
      </c>
      <c r="M183" s="66">
        <f>IF(B183="","",IF(COUNTIF(vend_Name,B183)&gt;1,"⚠ Duplicate name","✓ OK"))</f>
        <v/>
      </c>
      <c r="N183" s="67">
        <f>IF(AND(B183&lt;&gt;"",N(K183)&gt;0),K183+177/1000000,"")</f>
        <v/>
      </c>
    </row>
    <row r="184">
      <c r="B184" s="62" t="n"/>
      <c r="C184" s="62" t="n"/>
      <c r="D184" s="62" t="n"/>
      <c r="E184" s="62" t="n"/>
      <c r="F184" s="62" t="n"/>
      <c r="G184" s="69" t="n"/>
      <c r="H184" s="62" t="n"/>
      <c r="I184" s="65">
        <f>IF(B184="","",SUMIFS(ap_Amount,ap_Party,B184,ap_Posted,1,ap_Date,"&lt;="&amp;AsOf))</f>
        <v/>
      </c>
      <c r="J184" s="65">
        <f>IF(B184="","",SUMIFS(ap_Paid,ap_Party,B184))</f>
        <v/>
      </c>
      <c r="K184" s="65">
        <f>IF(B184="","",SUMIFS(ap_Balance,ap_Party,B184))</f>
        <v/>
      </c>
      <c r="L184" s="65">
        <f>IF(B184="","",SUMIFS(ap_Balance,ap_Party,B184,ap_Status,"Overdue"))</f>
        <v/>
      </c>
      <c r="M184" s="66">
        <f>IF(B184="","",IF(COUNTIF(vend_Name,B184)&gt;1,"⚠ Duplicate name","✓ OK"))</f>
        <v/>
      </c>
      <c r="N184" s="67">
        <f>IF(AND(B184&lt;&gt;"",N(K184)&gt;0),K184+178/1000000,"")</f>
        <v/>
      </c>
    </row>
    <row r="185">
      <c r="B185" s="62" t="n"/>
      <c r="C185" s="62" t="n"/>
      <c r="D185" s="62" t="n"/>
      <c r="E185" s="62" t="n"/>
      <c r="F185" s="62" t="n"/>
      <c r="G185" s="69" t="n"/>
      <c r="H185" s="62" t="n"/>
      <c r="I185" s="65">
        <f>IF(B185="","",SUMIFS(ap_Amount,ap_Party,B185,ap_Posted,1,ap_Date,"&lt;="&amp;AsOf))</f>
        <v/>
      </c>
      <c r="J185" s="65">
        <f>IF(B185="","",SUMIFS(ap_Paid,ap_Party,B185))</f>
        <v/>
      </c>
      <c r="K185" s="65">
        <f>IF(B185="","",SUMIFS(ap_Balance,ap_Party,B185))</f>
        <v/>
      </c>
      <c r="L185" s="65">
        <f>IF(B185="","",SUMIFS(ap_Balance,ap_Party,B185,ap_Status,"Overdue"))</f>
        <v/>
      </c>
      <c r="M185" s="66">
        <f>IF(B185="","",IF(COUNTIF(vend_Name,B185)&gt;1,"⚠ Duplicate name","✓ OK"))</f>
        <v/>
      </c>
      <c r="N185" s="67">
        <f>IF(AND(B185&lt;&gt;"",N(K185)&gt;0),K185+179/1000000,"")</f>
        <v/>
      </c>
    </row>
    <row r="186">
      <c r="B186" s="62" t="n"/>
      <c r="C186" s="62" t="n"/>
      <c r="D186" s="62" t="n"/>
      <c r="E186" s="62" t="n"/>
      <c r="F186" s="62" t="n"/>
      <c r="G186" s="69" t="n"/>
      <c r="H186" s="62" t="n"/>
      <c r="I186" s="65">
        <f>IF(B186="","",SUMIFS(ap_Amount,ap_Party,B186,ap_Posted,1,ap_Date,"&lt;="&amp;AsOf))</f>
        <v/>
      </c>
      <c r="J186" s="65">
        <f>IF(B186="","",SUMIFS(ap_Paid,ap_Party,B186))</f>
        <v/>
      </c>
      <c r="K186" s="65">
        <f>IF(B186="","",SUMIFS(ap_Balance,ap_Party,B186))</f>
        <v/>
      </c>
      <c r="L186" s="65">
        <f>IF(B186="","",SUMIFS(ap_Balance,ap_Party,B186,ap_Status,"Overdue"))</f>
        <v/>
      </c>
      <c r="M186" s="66">
        <f>IF(B186="","",IF(COUNTIF(vend_Name,B186)&gt;1,"⚠ Duplicate name","✓ OK"))</f>
        <v/>
      </c>
      <c r="N186" s="67">
        <f>IF(AND(B186&lt;&gt;"",N(K186)&gt;0),K186+180/1000000,"")</f>
        <v/>
      </c>
    </row>
    <row r="187">
      <c r="B187" s="62" t="n"/>
      <c r="C187" s="62" t="n"/>
      <c r="D187" s="62" t="n"/>
      <c r="E187" s="62" t="n"/>
      <c r="F187" s="62" t="n"/>
      <c r="G187" s="69" t="n"/>
      <c r="H187" s="62" t="n"/>
      <c r="I187" s="65">
        <f>IF(B187="","",SUMIFS(ap_Amount,ap_Party,B187,ap_Posted,1,ap_Date,"&lt;="&amp;AsOf))</f>
        <v/>
      </c>
      <c r="J187" s="65">
        <f>IF(B187="","",SUMIFS(ap_Paid,ap_Party,B187))</f>
        <v/>
      </c>
      <c r="K187" s="65">
        <f>IF(B187="","",SUMIFS(ap_Balance,ap_Party,B187))</f>
        <v/>
      </c>
      <c r="L187" s="65">
        <f>IF(B187="","",SUMIFS(ap_Balance,ap_Party,B187,ap_Status,"Overdue"))</f>
        <v/>
      </c>
      <c r="M187" s="66">
        <f>IF(B187="","",IF(COUNTIF(vend_Name,B187)&gt;1,"⚠ Duplicate name","✓ OK"))</f>
        <v/>
      </c>
      <c r="N187" s="67">
        <f>IF(AND(B187&lt;&gt;"",N(K187)&gt;0),K187+181/1000000,"")</f>
        <v/>
      </c>
    </row>
    <row r="188">
      <c r="B188" s="62" t="n"/>
      <c r="C188" s="62" t="n"/>
      <c r="D188" s="62" t="n"/>
      <c r="E188" s="62" t="n"/>
      <c r="F188" s="62" t="n"/>
      <c r="G188" s="69" t="n"/>
      <c r="H188" s="62" t="n"/>
      <c r="I188" s="65">
        <f>IF(B188="","",SUMIFS(ap_Amount,ap_Party,B188,ap_Posted,1,ap_Date,"&lt;="&amp;AsOf))</f>
        <v/>
      </c>
      <c r="J188" s="65">
        <f>IF(B188="","",SUMIFS(ap_Paid,ap_Party,B188))</f>
        <v/>
      </c>
      <c r="K188" s="65">
        <f>IF(B188="","",SUMIFS(ap_Balance,ap_Party,B188))</f>
        <v/>
      </c>
      <c r="L188" s="65">
        <f>IF(B188="","",SUMIFS(ap_Balance,ap_Party,B188,ap_Status,"Overdue"))</f>
        <v/>
      </c>
      <c r="M188" s="66">
        <f>IF(B188="","",IF(COUNTIF(vend_Name,B188)&gt;1,"⚠ Duplicate name","✓ OK"))</f>
        <v/>
      </c>
      <c r="N188" s="67">
        <f>IF(AND(B188&lt;&gt;"",N(K188)&gt;0),K188+182/1000000,"")</f>
        <v/>
      </c>
    </row>
    <row r="189">
      <c r="B189" s="62" t="n"/>
      <c r="C189" s="62" t="n"/>
      <c r="D189" s="62" t="n"/>
      <c r="E189" s="62" t="n"/>
      <c r="F189" s="62" t="n"/>
      <c r="G189" s="69" t="n"/>
      <c r="H189" s="62" t="n"/>
      <c r="I189" s="65">
        <f>IF(B189="","",SUMIFS(ap_Amount,ap_Party,B189,ap_Posted,1,ap_Date,"&lt;="&amp;AsOf))</f>
        <v/>
      </c>
      <c r="J189" s="65">
        <f>IF(B189="","",SUMIFS(ap_Paid,ap_Party,B189))</f>
        <v/>
      </c>
      <c r="K189" s="65">
        <f>IF(B189="","",SUMIFS(ap_Balance,ap_Party,B189))</f>
        <v/>
      </c>
      <c r="L189" s="65">
        <f>IF(B189="","",SUMIFS(ap_Balance,ap_Party,B189,ap_Status,"Overdue"))</f>
        <v/>
      </c>
      <c r="M189" s="66">
        <f>IF(B189="","",IF(COUNTIF(vend_Name,B189)&gt;1,"⚠ Duplicate name","✓ OK"))</f>
        <v/>
      </c>
      <c r="N189" s="67">
        <f>IF(AND(B189&lt;&gt;"",N(K189)&gt;0),K189+183/1000000,"")</f>
        <v/>
      </c>
    </row>
    <row r="190">
      <c r="B190" s="62" t="n"/>
      <c r="C190" s="62" t="n"/>
      <c r="D190" s="62" t="n"/>
      <c r="E190" s="62" t="n"/>
      <c r="F190" s="62" t="n"/>
      <c r="G190" s="69" t="n"/>
      <c r="H190" s="62" t="n"/>
      <c r="I190" s="65">
        <f>IF(B190="","",SUMIFS(ap_Amount,ap_Party,B190,ap_Posted,1,ap_Date,"&lt;="&amp;AsOf))</f>
        <v/>
      </c>
      <c r="J190" s="65">
        <f>IF(B190="","",SUMIFS(ap_Paid,ap_Party,B190))</f>
        <v/>
      </c>
      <c r="K190" s="65">
        <f>IF(B190="","",SUMIFS(ap_Balance,ap_Party,B190))</f>
        <v/>
      </c>
      <c r="L190" s="65">
        <f>IF(B190="","",SUMIFS(ap_Balance,ap_Party,B190,ap_Status,"Overdue"))</f>
        <v/>
      </c>
      <c r="M190" s="66">
        <f>IF(B190="","",IF(COUNTIF(vend_Name,B190)&gt;1,"⚠ Duplicate name","✓ OK"))</f>
        <v/>
      </c>
      <c r="N190" s="67">
        <f>IF(AND(B190&lt;&gt;"",N(K190)&gt;0),K190+184/1000000,"")</f>
        <v/>
      </c>
    </row>
    <row r="191">
      <c r="B191" s="62" t="n"/>
      <c r="C191" s="62" t="n"/>
      <c r="D191" s="62" t="n"/>
      <c r="E191" s="62" t="n"/>
      <c r="F191" s="62" t="n"/>
      <c r="G191" s="69" t="n"/>
      <c r="H191" s="62" t="n"/>
      <c r="I191" s="65">
        <f>IF(B191="","",SUMIFS(ap_Amount,ap_Party,B191,ap_Posted,1,ap_Date,"&lt;="&amp;AsOf))</f>
        <v/>
      </c>
      <c r="J191" s="65">
        <f>IF(B191="","",SUMIFS(ap_Paid,ap_Party,B191))</f>
        <v/>
      </c>
      <c r="K191" s="65">
        <f>IF(B191="","",SUMIFS(ap_Balance,ap_Party,B191))</f>
        <v/>
      </c>
      <c r="L191" s="65">
        <f>IF(B191="","",SUMIFS(ap_Balance,ap_Party,B191,ap_Status,"Overdue"))</f>
        <v/>
      </c>
      <c r="M191" s="66">
        <f>IF(B191="","",IF(COUNTIF(vend_Name,B191)&gt;1,"⚠ Duplicate name","✓ OK"))</f>
        <v/>
      </c>
      <c r="N191" s="67">
        <f>IF(AND(B191&lt;&gt;"",N(K191)&gt;0),K191+185/1000000,"")</f>
        <v/>
      </c>
    </row>
    <row r="192">
      <c r="B192" s="62" t="n"/>
      <c r="C192" s="62" t="n"/>
      <c r="D192" s="62" t="n"/>
      <c r="E192" s="62" t="n"/>
      <c r="F192" s="62" t="n"/>
      <c r="G192" s="69" t="n"/>
      <c r="H192" s="62" t="n"/>
      <c r="I192" s="65">
        <f>IF(B192="","",SUMIFS(ap_Amount,ap_Party,B192,ap_Posted,1,ap_Date,"&lt;="&amp;AsOf))</f>
        <v/>
      </c>
      <c r="J192" s="65">
        <f>IF(B192="","",SUMIFS(ap_Paid,ap_Party,B192))</f>
        <v/>
      </c>
      <c r="K192" s="65">
        <f>IF(B192="","",SUMIFS(ap_Balance,ap_Party,B192))</f>
        <v/>
      </c>
      <c r="L192" s="65">
        <f>IF(B192="","",SUMIFS(ap_Balance,ap_Party,B192,ap_Status,"Overdue"))</f>
        <v/>
      </c>
      <c r="M192" s="66">
        <f>IF(B192="","",IF(COUNTIF(vend_Name,B192)&gt;1,"⚠ Duplicate name","✓ OK"))</f>
        <v/>
      </c>
      <c r="N192" s="67">
        <f>IF(AND(B192&lt;&gt;"",N(K192)&gt;0),K192+186/1000000,"")</f>
        <v/>
      </c>
    </row>
    <row r="193">
      <c r="B193" s="62" t="n"/>
      <c r="C193" s="62" t="n"/>
      <c r="D193" s="62" t="n"/>
      <c r="E193" s="62" t="n"/>
      <c r="F193" s="62" t="n"/>
      <c r="G193" s="69" t="n"/>
      <c r="H193" s="62" t="n"/>
      <c r="I193" s="65">
        <f>IF(B193="","",SUMIFS(ap_Amount,ap_Party,B193,ap_Posted,1,ap_Date,"&lt;="&amp;AsOf))</f>
        <v/>
      </c>
      <c r="J193" s="65">
        <f>IF(B193="","",SUMIFS(ap_Paid,ap_Party,B193))</f>
        <v/>
      </c>
      <c r="K193" s="65">
        <f>IF(B193="","",SUMIFS(ap_Balance,ap_Party,B193))</f>
        <v/>
      </c>
      <c r="L193" s="65">
        <f>IF(B193="","",SUMIFS(ap_Balance,ap_Party,B193,ap_Status,"Overdue"))</f>
        <v/>
      </c>
      <c r="M193" s="66">
        <f>IF(B193="","",IF(COUNTIF(vend_Name,B193)&gt;1,"⚠ Duplicate name","✓ OK"))</f>
        <v/>
      </c>
      <c r="N193" s="67">
        <f>IF(AND(B193&lt;&gt;"",N(K193)&gt;0),K193+187/1000000,"")</f>
        <v/>
      </c>
    </row>
    <row r="194">
      <c r="B194" s="62" t="n"/>
      <c r="C194" s="62" t="n"/>
      <c r="D194" s="62" t="n"/>
      <c r="E194" s="62" t="n"/>
      <c r="F194" s="62" t="n"/>
      <c r="G194" s="69" t="n"/>
      <c r="H194" s="62" t="n"/>
      <c r="I194" s="65">
        <f>IF(B194="","",SUMIFS(ap_Amount,ap_Party,B194,ap_Posted,1,ap_Date,"&lt;="&amp;AsOf))</f>
        <v/>
      </c>
      <c r="J194" s="65">
        <f>IF(B194="","",SUMIFS(ap_Paid,ap_Party,B194))</f>
        <v/>
      </c>
      <c r="K194" s="65">
        <f>IF(B194="","",SUMIFS(ap_Balance,ap_Party,B194))</f>
        <v/>
      </c>
      <c r="L194" s="65">
        <f>IF(B194="","",SUMIFS(ap_Balance,ap_Party,B194,ap_Status,"Overdue"))</f>
        <v/>
      </c>
      <c r="M194" s="66">
        <f>IF(B194="","",IF(COUNTIF(vend_Name,B194)&gt;1,"⚠ Duplicate name","✓ OK"))</f>
        <v/>
      </c>
      <c r="N194" s="67">
        <f>IF(AND(B194&lt;&gt;"",N(K194)&gt;0),K194+188/1000000,"")</f>
        <v/>
      </c>
    </row>
    <row r="195">
      <c r="B195" s="62" t="n"/>
      <c r="C195" s="62" t="n"/>
      <c r="D195" s="62" t="n"/>
      <c r="E195" s="62" t="n"/>
      <c r="F195" s="62" t="n"/>
      <c r="G195" s="69" t="n"/>
      <c r="H195" s="62" t="n"/>
      <c r="I195" s="65">
        <f>IF(B195="","",SUMIFS(ap_Amount,ap_Party,B195,ap_Posted,1,ap_Date,"&lt;="&amp;AsOf))</f>
        <v/>
      </c>
      <c r="J195" s="65">
        <f>IF(B195="","",SUMIFS(ap_Paid,ap_Party,B195))</f>
        <v/>
      </c>
      <c r="K195" s="65">
        <f>IF(B195="","",SUMIFS(ap_Balance,ap_Party,B195))</f>
        <v/>
      </c>
      <c r="L195" s="65">
        <f>IF(B195="","",SUMIFS(ap_Balance,ap_Party,B195,ap_Status,"Overdue"))</f>
        <v/>
      </c>
      <c r="M195" s="66">
        <f>IF(B195="","",IF(COUNTIF(vend_Name,B195)&gt;1,"⚠ Duplicate name","✓ OK"))</f>
        <v/>
      </c>
      <c r="N195" s="67">
        <f>IF(AND(B195&lt;&gt;"",N(K195)&gt;0),K195+189/1000000,"")</f>
        <v/>
      </c>
    </row>
    <row r="196">
      <c r="B196" s="62" t="n"/>
      <c r="C196" s="62" t="n"/>
      <c r="D196" s="62" t="n"/>
      <c r="E196" s="62" t="n"/>
      <c r="F196" s="62" t="n"/>
      <c r="G196" s="69" t="n"/>
      <c r="H196" s="62" t="n"/>
      <c r="I196" s="65">
        <f>IF(B196="","",SUMIFS(ap_Amount,ap_Party,B196,ap_Posted,1,ap_Date,"&lt;="&amp;AsOf))</f>
        <v/>
      </c>
      <c r="J196" s="65">
        <f>IF(B196="","",SUMIFS(ap_Paid,ap_Party,B196))</f>
        <v/>
      </c>
      <c r="K196" s="65">
        <f>IF(B196="","",SUMIFS(ap_Balance,ap_Party,B196))</f>
        <v/>
      </c>
      <c r="L196" s="65">
        <f>IF(B196="","",SUMIFS(ap_Balance,ap_Party,B196,ap_Status,"Overdue"))</f>
        <v/>
      </c>
      <c r="M196" s="66">
        <f>IF(B196="","",IF(COUNTIF(vend_Name,B196)&gt;1,"⚠ Duplicate name","✓ OK"))</f>
        <v/>
      </c>
      <c r="N196" s="67">
        <f>IF(AND(B196&lt;&gt;"",N(K196)&gt;0),K196+190/1000000,"")</f>
        <v/>
      </c>
    </row>
    <row r="197">
      <c r="B197" s="62" t="n"/>
      <c r="C197" s="62" t="n"/>
      <c r="D197" s="62" t="n"/>
      <c r="E197" s="62" t="n"/>
      <c r="F197" s="62" t="n"/>
      <c r="G197" s="69" t="n"/>
      <c r="H197" s="62" t="n"/>
      <c r="I197" s="65">
        <f>IF(B197="","",SUMIFS(ap_Amount,ap_Party,B197,ap_Posted,1,ap_Date,"&lt;="&amp;AsOf))</f>
        <v/>
      </c>
      <c r="J197" s="65">
        <f>IF(B197="","",SUMIFS(ap_Paid,ap_Party,B197))</f>
        <v/>
      </c>
      <c r="K197" s="65">
        <f>IF(B197="","",SUMIFS(ap_Balance,ap_Party,B197))</f>
        <v/>
      </c>
      <c r="L197" s="65">
        <f>IF(B197="","",SUMIFS(ap_Balance,ap_Party,B197,ap_Status,"Overdue"))</f>
        <v/>
      </c>
      <c r="M197" s="66">
        <f>IF(B197="","",IF(COUNTIF(vend_Name,B197)&gt;1,"⚠ Duplicate name","✓ OK"))</f>
        <v/>
      </c>
      <c r="N197" s="67">
        <f>IF(AND(B197&lt;&gt;"",N(K197)&gt;0),K197+191/1000000,"")</f>
        <v/>
      </c>
    </row>
    <row r="198">
      <c r="B198" s="62" t="n"/>
      <c r="C198" s="62" t="n"/>
      <c r="D198" s="62" t="n"/>
      <c r="E198" s="62" t="n"/>
      <c r="F198" s="62" t="n"/>
      <c r="G198" s="69" t="n"/>
      <c r="H198" s="62" t="n"/>
      <c r="I198" s="65">
        <f>IF(B198="","",SUMIFS(ap_Amount,ap_Party,B198,ap_Posted,1,ap_Date,"&lt;="&amp;AsOf))</f>
        <v/>
      </c>
      <c r="J198" s="65">
        <f>IF(B198="","",SUMIFS(ap_Paid,ap_Party,B198))</f>
        <v/>
      </c>
      <c r="K198" s="65">
        <f>IF(B198="","",SUMIFS(ap_Balance,ap_Party,B198))</f>
        <v/>
      </c>
      <c r="L198" s="65">
        <f>IF(B198="","",SUMIFS(ap_Balance,ap_Party,B198,ap_Status,"Overdue"))</f>
        <v/>
      </c>
      <c r="M198" s="66">
        <f>IF(B198="","",IF(COUNTIF(vend_Name,B198)&gt;1,"⚠ Duplicate name","✓ OK"))</f>
        <v/>
      </c>
      <c r="N198" s="67">
        <f>IF(AND(B198&lt;&gt;"",N(K198)&gt;0),K198+192/1000000,"")</f>
        <v/>
      </c>
    </row>
    <row r="199">
      <c r="B199" s="62" t="n"/>
      <c r="C199" s="62" t="n"/>
      <c r="D199" s="62" t="n"/>
      <c r="E199" s="62" t="n"/>
      <c r="F199" s="62" t="n"/>
      <c r="G199" s="69" t="n"/>
      <c r="H199" s="62" t="n"/>
      <c r="I199" s="65">
        <f>IF(B199="","",SUMIFS(ap_Amount,ap_Party,B199,ap_Posted,1,ap_Date,"&lt;="&amp;AsOf))</f>
        <v/>
      </c>
      <c r="J199" s="65">
        <f>IF(B199="","",SUMIFS(ap_Paid,ap_Party,B199))</f>
        <v/>
      </c>
      <c r="K199" s="65">
        <f>IF(B199="","",SUMIFS(ap_Balance,ap_Party,B199))</f>
        <v/>
      </c>
      <c r="L199" s="65">
        <f>IF(B199="","",SUMIFS(ap_Balance,ap_Party,B199,ap_Status,"Overdue"))</f>
        <v/>
      </c>
      <c r="M199" s="66">
        <f>IF(B199="","",IF(COUNTIF(vend_Name,B199)&gt;1,"⚠ Duplicate name","✓ OK"))</f>
        <v/>
      </c>
      <c r="N199" s="67">
        <f>IF(AND(B199&lt;&gt;"",N(K199)&gt;0),K199+193/1000000,"")</f>
        <v/>
      </c>
    </row>
    <row r="200">
      <c r="B200" s="62" t="n"/>
      <c r="C200" s="62" t="n"/>
      <c r="D200" s="62" t="n"/>
      <c r="E200" s="62" t="n"/>
      <c r="F200" s="62" t="n"/>
      <c r="G200" s="69" t="n"/>
      <c r="H200" s="62" t="n"/>
      <c r="I200" s="65">
        <f>IF(B200="","",SUMIFS(ap_Amount,ap_Party,B200,ap_Posted,1,ap_Date,"&lt;="&amp;AsOf))</f>
        <v/>
      </c>
      <c r="J200" s="65">
        <f>IF(B200="","",SUMIFS(ap_Paid,ap_Party,B200))</f>
        <v/>
      </c>
      <c r="K200" s="65">
        <f>IF(B200="","",SUMIFS(ap_Balance,ap_Party,B200))</f>
        <v/>
      </c>
      <c r="L200" s="65">
        <f>IF(B200="","",SUMIFS(ap_Balance,ap_Party,B200,ap_Status,"Overdue"))</f>
        <v/>
      </c>
      <c r="M200" s="66">
        <f>IF(B200="","",IF(COUNTIF(vend_Name,B200)&gt;1,"⚠ Duplicate name","✓ OK"))</f>
        <v/>
      </c>
      <c r="N200" s="67">
        <f>IF(AND(B200&lt;&gt;"",N(K200)&gt;0),K200+194/1000000,"")</f>
        <v/>
      </c>
    </row>
    <row r="201">
      <c r="B201" s="62" t="n"/>
      <c r="C201" s="62" t="n"/>
      <c r="D201" s="62" t="n"/>
      <c r="E201" s="62" t="n"/>
      <c r="F201" s="62" t="n"/>
      <c r="G201" s="69" t="n"/>
      <c r="H201" s="62" t="n"/>
      <c r="I201" s="65">
        <f>IF(B201="","",SUMIFS(ap_Amount,ap_Party,B201,ap_Posted,1,ap_Date,"&lt;="&amp;AsOf))</f>
        <v/>
      </c>
      <c r="J201" s="65">
        <f>IF(B201="","",SUMIFS(ap_Paid,ap_Party,B201))</f>
        <v/>
      </c>
      <c r="K201" s="65">
        <f>IF(B201="","",SUMIFS(ap_Balance,ap_Party,B201))</f>
        <v/>
      </c>
      <c r="L201" s="65">
        <f>IF(B201="","",SUMIFS(ap_Balance,ap_Party,B201,ap_Status,"Overdue"))</f>
        <v/>
      </c>
      <c r="M201" s="66">
        <f>IF(B201="","",IF(COUNTIF(vend_Name,B201)&gt;1,"⚠ Duplicate name","✓ OK"))</f>
        <v/>
      </c>
      <c r="N201" s="67">
        <f>IF(AND(B201&lt;&gt;"",N(K201)&gt;0),K201+195/1000000,"")</f>
        <v/>
      </c>
    </row>
    <row r="202">
      <c r="B202" s="62" t="n"/>
      <c r="C202" s="62" t="n"/>
      <c r="D202" s="62" t="n"/>
      <c r="E202" s="62" t="n"/>
      <c r="F202" s="62" t="n"/>
      <c r="G202" s="69" t="n"/>
      <c r="H202" s="62" t="n"/>
      <c r="I202" s="65">
        <f>IF(B202="","",SUMIFS(ap_Amount,ap_Party,B202,ap_Posted,1,ap_Date,"&lt;="&amp;AsOf))</f>
        <v/>
      </c>
      <c r="J202" s="65">
        <f>IF(B202="","",SUMIFS(ap_Paid,ap_Party,B202))</f>
        <v/>
      </c>
      <c r="K202" s="65">
        <f>IF(B202="","",SUMIFS(ap_Balance,ap_Party,B202))</f>
        <v/>
      </c>
      <c r="L202" s="65">
        <f>IF(B202="","",SUMIFS(ap_Balance,ap_Party,B202,ap_Status,"Overdue"))</f>
        <v/>
      </c>
      <c r="M202" s="66">
        <f>IF(B202="","",IF(COUNTIF(vend_Name,B202)&gt;1,"⚠ Duplicate name","✓ OK"))</f>
        <v/>
      </c>
      <c r="N202" s="67">
        <f>IF(AND(B202&lt;&gt;"",N(K202)&gt;0),K202+196/1000000,"")</f>
        <v/>
      </c>
    </row>
    <row r="203">
      <c r="B203" s="62" t="n"/>
      <c r="C203" s="62" t="n"/>
      <c r="D203" s="62" t="n"/>
      <c r="E203" s="62" t="n"/>
      <c r="F203" s="62" t="n"/>
      <c r="G203" s="69" t="n"/>
      <c r="H203" s="62" t="n"/>
      <c r="I203" s="65">
        <f>IF(B203="","",SUMIFS(ap_Amount,ap_Party,B203,ap_Posted,1,ap_Date,"&lt;="&amp;AsOf))</f>
        <v/>
      </c>
      <c r="J203" s="65">
        <f>IF(B203="","",SUMIFS(ap_Paid,ap_Party,B203))</f>
        <v/>
      </c>
      <c r="K203" s="65">
        <f>IF(B203="","",SUMIFS(ap_Balance,ap_Party,B203))</f>
        <v/>
      </c>
      <c r="L203" s="65">
        <f>IF(B203="","",SUMIFS(ap_Balance,ap_Party,B203,ap_Status,"Overdue"))</f>
        <v/>
      </c>
      <c r="M203" s="66">
        <f>IF(B203="","",IF(COUNTIF(vend_Name,B203)&gt;1,"⚠ Duplicate name","✓ OK"))</f>
        <v/>
      </c>
      <c r="N203" s="67">
        <f>IF(AND(B203&lt;&gt;"",N(K203)&gt;0),K203+197/1000000,"")</f>
        <v/>
      </c>
    </row>
    <row r="204">
      <c r="B204" s="62" t="n"/>
      <c r="C204" s="62" t="n"/>
      <c r="D204" s="62" t="n"/>
      <c r="E204" s="62" t="n"/>
      <c r="F204" s="62" t="n"/>
      <c r="G204" s="69" t="n"/>
      <c r="H204" s="62" t="n"/>
      <c r="I204" s="65">
        <f>IF(B204="","",SUMIFS(ap_Amount,ap_Party,B204,ap_Posted,1,ap_Date,"&lt;="&amp;AsOf))</f>
        <v/>
      </c>
      <c r="J204" s="65">
        <f>IF(B204="","",SUMIFS(ap_Paid,ap_Party,B204))</f>
        <v/>
      </c>
      <c r="K204" s="65">
        <f>IF(B204="","",SUMIFS(ap_Balance,ap_Party,B204))</f>
        <v/>
      </c>
      <c r="L204" s="65">
        <f>IF(B204="","",SUMIFS(ap_Balance,ap_Party,B204,ap_Status,"Overdue"))</f>
        <v/>
      </c>
      <c r="M204" s="66">
        <f>IF(B204="","",IF(COUNTIF(vend_Name,B204)&gt;1,"⚠ Duplicate name","✓ OK"))</f>
        <v/>
      </c>
      <c r="N204" s="67">
        <f>IF(AND(B204&lt;&gt;"",N(K204)&gt;0),K204+198/1000000,"")</f>
        <v/>
      </c>
    </row>
    <row r="205">
      <c r="B205" s="62" t="n"/>
      <c r="C205" s="62" t="n"/>
      <c r="D205" s="62" t="n"/>
      <c r="E205" s="62" t="n"/>
      <c r="F205" s="62" t="n"/>
      <c r="G205" s="69" t="n"/>
      <c r="H205" s="62" t="n"/>
      <c r="I205" s="65">
        <f>IF(B205="","",SUMIFS(ap_Amount,ap_Party,B205,ap_Posted,1,ap_Date,"&lt;="&amp;AsOf))</f>
        <v/>
      </c>
      <c r="J205" s="65">
        <f>IF(B205="","",SUMIFS(ap_Paid,ap_Party,B205))</f>
        <v/>
      </c>
      <c r="K205" s="65">
        <f>IF(B205="","",SUMIFS(ap_Balance,ap_Party,B205))</f>
        <v/>
      </c>
      <c r="L205" s="65">
        <f>IF(B205="","",SUMIFS(ap_Balance,ap_Party,B205,ap_Status,"Overdue"))</f>
        <v/>
      </c>
      <c r="M205" s="66">
        <f>IF(B205="","",IF(COUNTIF(vend_Name,B205)&gt;1,"⚠ Duplicate name","✓ OK"))</f>
        <v/>
      </c>
      <c r="N205" s="67">
        <f>IF(AND(B205&lt;&gt;"",N(K205)&gt;0),K205+199/1000000,"")</f>
        <v/>
      </c>
    </row>
    <row r="206">
      <c r="B206" s="62" t="n"/>
      <c r="C206" s="62" t="n"/>
      <c r="D206" s="62" t="n"/>
      <c r="E206" s="62" t="n"/>
      <c r="F206" s="62" t="n"/>
      <c r="G206" s="69" t="n"/>
      <c r="H206" s="62" t="n"/>
      <c r="I206" s="65">
        <f>IF(B206="","",SUMIFS(ap_Amount,ap_Party,B206,ap_Posted,1,ap_Date,"&lt;="&amp;AsOf))</f>
        <v/>
      </c>
      <c r="J206" s="65">
        <f>IF(B206="","",SUMIFS(ap_Paid,ap_Party,B206))</f>
        <v/>
      </c>
      <c r="K206" s="65">
        <f>IF(B206="","",SUMIFS(ap_Balance,ap_Party,B206))</f>
        <v/>
      </c>
      <c r="L206" s="65">
        <f>IF(B206="","",SUMIFS(ap_Balance,ap_Party,B206,ap_Status,"Overdue"))</f>
        <v/>
      </c>
      <c r="M206" s="66">
        <f>IF(B206="","",IF(COUNTIF(vend_Name,B206)&gt;1,"⚠ Duplicate name","✓ OK"))</f>
        <v/>
      </c>
      <c r="N206" s="67">
        <f>IF(AND(B206&lt;&gt;"",N(K206)&gt;0),K206+200/1000000,"")</f>
        <v/>
      </c>
    </row>
    <row r="207">
      <c r="B207" s="62" t="n"/>
      <c r="C207" s="62" t="n"/>
      <c r="D207" s="62" t="n"/>
      <c r="E207" s="62" t="n"/>
      <c r="F207" s="62" t="n"/>
      <c r="G207" s="69" t="n"/>
      <c r="H207" s="62" t="n"/>
      <c r="I207" s="65">
        <f>IF(B207="","",SUMIFS(ap_Amount,ap_Party,B207,ap_Posted,1,ap_Date,"&lt;="&amp;AsOf))</f>
        <v/>
      </c>
      <c r="J207" s="65">
        <f>IF(B207="","",SUMIFS(ap_Paid,ap_Party,B207))</f>
        <v/>
      </c>
      <c r="K207" s="65">
        <f>IF(B207="","",SUMIFS(ap_Balance,ap_Party,B207))</f>
        <v/>
      </c>
      <c r="L207" s="65">
        <f>IF(B207="","",SUMIFS(ap_Balance,ap_Party,B207,ap_Status,"Overdue"))</f>
        <v/>
      </c>
      <c r="M207" s="66">
        <f>IF(B207="","",IF(COUNTIF(vend_Name,B207)&gt;1,"⚠ Duplicate name","✓ OK"))</f>
        <v/>
      </c>
      <c r="N207" s="67">
        <f>IF(AND(B207&lt;&gt;"",N(K207)&gt;0),K207+201/1000000,"")</f>
        <v/>
      </c>
    </row>
    <row r="208">
      <c r="B208" s="62" t="n"/>
      <c r="C208" s="62" t="n"/>
      <c r="D208" s="62" t="n"/>
      <c r="E208" s="62" t="n"/>
      <c r="F208" s="62" t="n"/>
      <c r="G208" s="69" t="n"/>
      <c r="H208" s="62" t="n"/>
      <c r="I208" s="65">
        <f>IF(B208="","",SUMIFS(ap_Amount,ap_Party,B208,ap_Posted,1,ap_Date,"&lt;="&amp;AsOf))</f>
        <v/>
      </c>
      <c r="J208" s="65">
        <f>IF(B208="","",SUMIFS(ap_Paid,ap_Party,B208))</f>
        <v/>
      </c>
      <c r="K208" s="65">
        <f>IF(B208="","",SUMIFS(ap_Balance,ap_Party,B208))</f>
        <v/>
      </c>
      <c r="L208" s="65">
        <f>IF(B208="","",SUMIFS(ap_Balance,ap_Party,B208,ap_Status,"Overdue"))</f>
        <v/>
      </c>
      <c r="M208" s="66">
        <f>IF(B208="","",IF(COUNTIF(vend_Name,B208)&gt;1,"⚠ Duplicate name","✓ OK"))</f>
        <v/>
      </c>
      <c r="N208" s="67">
        <f>IF(AND(B208&lt;&gt;"",N(K208)&gt;0),K208+202/1000000,"")</f>
        <v/>
      </c>
    </row>
    <row r="209">
      <c r="B209" s="62" t="n"/>
      <c r="C209" s="62" t="n"/>
      <c r="D209" s="62" t="n"/>
      <c r="E209" s="62" t="n"/>
      <c r="F209" s="62" t="n"/>
      <c r="G209" s="69" t="n"/>
      <c r="H209" s="62" t="n"/>
      <c r="I209" s="65">
        <f>IF(B209="","",SUMIFS(ap_Amount,ap_Party,B209,ap_Posted,1,ap_Date,"&lt;="&amp;AsOf))</f>
        <v/>
      </c>
      <c r="J209" s="65">
        <f>IF(B209="","",SUMIFS(ap_Paid,ap_Party,B209))</f>
        <v/>
      </c>
      <c r="K209" s="65">
        <f>IF(B209="","",SUMIFS(ap_Balance,ap_Party,B209))</f>
        <v/>
      </c>
      <c r="L209" s="65">
        <f>IF(B209="","",SUMIFS(ap_Balance,ap_Party,B209,ap_Status,"Overdue"))</f>
        <v/>
      </c>
      <c r="M209" s="66">
        <f>IF(B209="","",IF(COUNTIF(vend_Name,B209)&gt;1,"⚠ Duplicate name","✓ OK"))</f>
        <v/>
      </c>
      <c r="N209" s="67">
        <f>IF(AND(B209&lt;&gt;"",N(K209)&gt;0),K209+203/1000000,"")</f>
        <v/>
      </c>
    </row>
    <row r="210">
      <c r="B210" s="62" t="n"/>
      <c r="C210" s="62" t="n"/>
      <c r="D210" s="62" t="n"/>
      <c r="E210" s="62" t="n"/>
      <c r="F210" s="62" t="n"/>
      <c r="G210" s="69" t="n"/>
      <c r="H210" s="62" t="n"/>
      <c r="I210" s="65">
        <f>IF(B210="","",SUMIFS(ap_Amount,ap_Party,B210,ap_Posted,1,ap_Date,"&lt;="&amp;AsOf))</f>
        <v/>
      </c>
      <c r="J210" s="65">
        <f>IF(B210="","",SUMIFS(ap_Paid,ap_Party,B210))</f>
        <v/>
      </c>
      <c r="K210" s="65">
        <f>IF(B210="","",SUMIFS(ap_Balance,ap_Party,B210))</f>
        <v/>
      </c>
      <c r="L210" s="65">
        <f>IF(B210="","",SUMIFS(ap_Balance,ap_Party,B210,ap_Status,"Overdue"))</f>
        <v/>
      </c>
      <c r="M210" s="66">
        <f>IF(B210="","",IF(COUNTIF(vend_Name,B210)&gt;1,"⚠ Duplicate name","✓ OK"))</f>
        <v/>
      </c>
      <c r="N210" s="67">
        <f>IF(AND(B210&lt;&gt;"",N(K210)&gt;0),K210+204/1000000,"")</f>
        <v/>
      </c>
    </row>
    <row r="211">
      <c r="B211" s="62" t="n"/>
      <c r="C211" s="62" t="n"/>
      <c r="D211" s="62" t="n"/>
      <c r="E211" s="62" t="n"/>
      <c r="F211" s="62" t="n"/>
      <c r="G211" s="69" t="n"/>
      <c r="H211" s="62" t="n"/>
      <c r="I211" s="65">
        <f>IF(B211="","",SUMIFS(ap_Amount,ap_Party,B211,ap_Posted,1,ap_Date,"&lt;="&amp;AsOf))</f>
        <v/>
      </c>
      <c r="J211" s="65">
        <f>IF(B211="","",SUMIFS(ap_Paid,ap_Party,B211))</f>
        <v/>
      </c>
      <c r="K211" s="65">
        <f>IF(B211="","",SUMIFS(ap_Balance,ap_Party,B211))</f>
        <v/>
      </c>
      <c r="L211" s="65">
        <f>IF(B211="","",SUMIFS(ap_Balance,ap_Party,B211,ap_Status,"Overdue"))</f>
        <v/>
      </c>
      <c r="M211" s="66">
        <f>IF(B211="","",IF(COUNTIF(vend_Name,B211)&gt;1,"⚠ Duplicate name","✓ OK"))</f>
        <v/>
      </c>
      <c r="N211" s="67">
        <f>IF(AND(B211&lt;&gt;"",N(K211)&gt;0),K211+205/1000000,"")</f>
        <v/>
      </c>
    </row>
    <row r="212">
      <c r="B212" s="62" t="n"/>
      <c r="C212" s="62" t="n"/>
      <c r="D212" s="62" t="n"/>
      <c r="E212" s="62" t="n"/>
      <c r="F212" s="62" t="n"/>
      <c r="G212" s="69" t="n"/>
      <c r="H212" s="62" t="n"/>
      <c r="I212" s="65">
        <f>IF(B212="","",SUMIFS(ap_Amount,ap_Party,B212,ap_Posted,1,ap_Date,"&lt;="&amp;AsOf))</f>
        <v/>
      </c>
      <c r="J212" s="65">
        <f>IF(B212="","",SUMIFS(ap_Paid,ap_Party,B212))</f>
        <v/>
      </c>
      <c r="K212" s="65">
        <f>IF(B212="","",SUMIFS(ap_Balance,ap_Party,B212))</f>
        <v/>
      </c>
      <c r="L212" s="65">
        <f>IF(B212="","",SUMIFS(ap_Balance,ap_Party,B212,ap_Status,"Overdue"))</f>
        <v/>
      </c>
      <c r="M212" s="66">
        <f>IF(B212="","",IF(COUNTIF(vend_Name,B212)&gt;1,"⚠ Duplicate name","✓ OK"))</f>
        <v/>
      </c>
      <c r="N212" s="67">
        <f>IF(AND(B212&lt;&gt;"",N(K212)&gt;0),K212+206/1000000,"")</f>
        <v/>
      </c>
    </row>
    <row r="213">
      <c r="B213" s="62" t="n"/>
      <c r="C213" s="62" t="n"/>
      <c r="D213" s="62" t="n"/>
      <c r="E213" s="62" t="n"/>
      <c r="F213" s="62" t="n"/>
      <c r="G213" s="69" t="n"/>
      <c r="H213" s="62" t="n"/>
      <c r="I213" s="65">
        <f>IF(B213="","",SUMIFS(ap_Amount,ap_Party,B213,ap_Posted,1,ap_Date,"&lt;="&amp;AsOf))</f>
        <v/>
      </c>
      <c r="J213" s="65">
        <f>IF(B213="","",SUMIFS(ap_Paid,ap_Party,B213))</f>
        <v/>
      </c>
      <c r="K213" s="65">
        <f>IF(B213="","",SUMIFS(ap_Balance,ap_Party,B213))</f>
        <v/>
      </c>
      <c r="L213" s="65">
        <f>IF(B213="","",SUMIFS(ap_Balance,ap_Party,B213,ap_Status,"Overdue"))</f>
        <v/>
      </c>
      <c r="M213" s="66">
        <f>IF(B213="","",IF(COUNTIF(vend_Name,B213)&gt;1,"⚠ Duplicate name","✓ OK"))</f>
        <v/>
      </c>
      <c r="N213" s="67">
        <f>IF(AND(B213&lt;&gt;"",N(K213)&gt;0),K213+207/1000000,"")</f>
        <v/>
      </c>
    </row>
    <row r="214">
      <c r="B214" s="62" t="n"/>
      <c r="C214" s="62" t="n"/>
      <c r="D214" s="62" t="n"/>
      <c r="E214" s="62" t="n"/>
      <c r="F214" s="62" t="n"/>
      <c r="G214" s="69" t="n"/>
      <c r="H214" s="62" t="n"/>
      <c r="I214" s="65">
        <f>IF(B214="","",SUMIFS(ap_Amount,ap_Party,B214,ap_Posted,1,ap_Date,"&lt;="&amp;AsOf))</f>
        <v/>
      </c>
      <c r="J214" s="65">
        <f>IF(B214="","",SUMIFS(ap_Paid,ap_Party,B214))</f>
        <v/>
      </c>
      <c r="K214" s="65">
        <f>IF(B214="","",SUMIFS(ap_Balance,ap_Party,B214))</f>
        <v/>
      </c>
      <c r="L214" s="65">
        <f>IF(B214="","",SUMIFS(ap_Balance,ap_Party,B214,ap_Status,"Overdue"))</f>
        <v/>
      </c>
      <c r="M214" s="66">
        <f>IF(B214="","",IF(COUNTIF(vend_Name,B214)&gt;1,"⚠ Duplicate name","✓ OK"))</f>
        <v/>
      </c>
      <c r="N214" s="67">
        <f>IF(AND(B214&lt;&gt;"",N(K214)&gt;0),K214+208/1000000,"")</f>
        <v/>
      </c>
    </row>
    <row r="215">
      <c r="B215" s="62" t="n"/>
      <c r="C215" s="62" t="n"/>
      <c r="D215" s="62" t="n"/>
      <c r="E215" s="62" t="n"/>
      <c r="F215" s="62" t="n"/>
      <c r="G215" s="69" t="n"/>
      <c r="H215" s="62" t="n"/>
      <c r="I215" s="65">
        <f>IF(B215="","",SUMIFS(ap_Amount,ap_Party,B215,ap_Posted,1,ap_Date,"&lt;="&amp;AsOf))</f>
        <v/>
      </c>
      <c r="J215" s="65">
        <f>IF(B215="","",SUMIFS(ap_Paid,ap_Party,B215))</f>
        <v/>
      </c>
      <c r="K215" s="65">
        <f>IF(B215="","",SUMIFS(ap_Balance,ap_Party,B215))</f>
        <v/>
      </c>
      <c r="L215" s="65">
        <f>IF(B215="","",SUMIFS(ap_Balance,ap_Party,B215,ap_Status,"Overdue"))</f>
        <v/>
      </c>
      <c r="M215" s="66">
        <f>IF(B215="","",IF(COUNTIF(vend_Name,B215)&gt;1,"⚠ Duplicate name","✓ OK"))</f>
        <v/>
      </c>
      <c r="N215" s="67">
        <f>IF(AND(B215&lt;&gt;"",N(K215)&gt;0),K215+209/1000000,"")</f>
        <v/>
      </c>
    </row>
    <row r="216">
      <c r="B216" s="62" t="n"/>
      <c r="C216" s="62" t="n"/>
      <c r="D216" s="62" t="n"/>
      <c r="E216" s="62" t="n"/>
      <c r="F216" s="62" t="n"/>
      <c r="G216" s="69" t="n"/>
      <c r="H216" s="62" t="n"/>
      <c r="I216" s="65">
        <f>IF(B216="","",SUMIFS(ap_Amount,ap_Party,B216,ap_Posted,1,ap_Date,"&lt;="&amp;AsOf))</f>
        <v/>
      </c>
      <c r="J216" s="65">
        <f>IF(B216="","",SUMIFS(ap_Paid,ap_Party,B216))</f>
        <v/>
      </c>
      <c r="K216" s="65">
        <f>IF(B216="","",SUMIFS(ap_Balance,ap_Party,B216))</f>
        <v/>
      </c>
      <c r="L216" s="65">
        <f>IF(B216="","",SUMIFS(ap_Balance,ap_Party,B216,ap_Status,"Overdue"))</f>
        <v/>
      </c>
      <c r="M216" s="66">
        <f>IF(B216="","",IF(COUNTIF(vend_Name,B216)&gt;1,"⚠ Duplicate name","✓ OK"))</f>
        <v/>
      </c>
      <c r="N216" s="67">
        <f>IF(AND(B216&lt;&gt;"",N(K216)&gt;0),K216+210/1000000,"")</f>
        <v/>
      </c>
    </row>
    <row r="217">
      <c r="B217" s="62" t="n"/>
      <c r="C217" s="62" t="n"/>
      <c r="D217" s="62" t="n"/>
      <c r="E217" s="62" t="n"/>
      <c r="F217" s="62" t="n"/>
      <c r="G217" s="69" t="n"/>
      <c r="H217" s="62" t="n"/>
      <c r="I217" s="65">
        <f>IF(B217="","",SUMIFS(ap_Amount,ap_Party,B217,ap_Posted,1,ap_Date,"&lt;="&amp;AsOf))</f>
        <v/>
      </c>
      <c r="J217" s="65">
        <f>IF(B217="","",SUMIFS(ap_Paid,ap_Party,B217))</f>
        <v/>
      </c>
      <c r="K217" s="65">
        <f>IF(B217="","",SUMIFS(ap_Balance,ap_Party,B217))</f>
        <v/>
      </c>
      <c r="L217" s="65">
        <f>IF(B217="","",SUMIFS(ap_Balance,ap_Party,B217,ap_Status,"Overdue"))</f>
        <v/>
      </c>
      <c r="M217" s="66">
        <f>IF(B217="","",IF(COUNTIF(vend_Name,B217)&gt;1,"⚠ Duplicate name","✓ OK"))</f>
        <v/>
      </c>
      <c r="N217" s="67">
        <f>IF(AND(B217&lt;&gt;"",N(K217)&gt;0),K217+211/1000000,"")</f>
        <v/>
      </c>
    </row>
    <row r="218">
      <c r="B218" s="62" t="n"/>
      <c r="C218" s="62" t="n"/>
      <c r="D218" s="62" t="n"/>
      <c r="E218" s="62" t="n"/>
      <c r="F218" s="62" t="n"/>
      <c r="G218" s="69" t="n"/>
      <c r="H218" s="62" t="n"/>
      <c r="I218" s="65">
        <f>IF(B218="","",SUMIFS(ap_Amount,ap_Party,B218,ap_Posted,1,ap_Date,"&lt;="&amp;AsOf))</f>
        <v/>
      </c>
      <c r="J218" s="65">
        <f>IF(B218="","",SUMIFS(ap_Paid,ap_Party,B218))</f>
        <v/>
      </c>
      <c r="K218" s="65">
        <f>IF(B218="","",SUMIFS(ap_Balance,ap_Party,B218))</f>
        <v/>
      </c>
      <c r="L218" s="65">
        <f>IF(B218="","",SUMIFS(ap_Balance,ap_Party,B218,ap_Status,"Overdue"))</f>
        <v/>
      </c>
      <c r="M218" s="66">
        <f>IF(B218="","",IF(COUNTIF(vend_Name,B218)&gt;1,"⚠ Duplicate name","✓ OK"))</f>
        <v/>
      </c>
      <c r="N218" s="67">
        <f>IF(AND(B218&lt;&gt;"",N(K218)&gt;0),K218+212/1000000,"")</f>
        <v/>
      </c>
    </row>
    <row r="219">
      <c r="B219" s="62" t="n"/>
      <c r="C219" s="62" t="n"/>
      <c r="D219" s="62" t="n"/>
      <c r="E219" s="62" t="n"/>
      <c r="F219" s="62" t="n"/>
      <c r="G219" s="69" t="n"/>
      <c r="H219" s="62" t="n"/>
      <c r="I219" s="65">
        <f>IF(B219="","",SUMIFS(ap_Amount,ap_Party,B219,ap_Posted,1,ap_Date,"&lt;="&amp;AsOf))</f>
        <v/>
      </c>
      <c r="J219" s="65">
        <f>IF(B219="","",SUMIFS(ap_Paid,ap_Party,B219))</f>
        <v/>
      </c>
      <c r="K219" s="65">
        <f>IF(B219="","",SUMIFS(ap_Balance,ap_Party,B219))</f>
        <v/>
      </c>
      <c r="L219" s="65">
        <f>IF(B219="","",SUMIFS(ap_Balance,ap_Party,B219,ap_Status,"Overdue"))</f>
        <v/>
      </c>
      <c r="M219" s="66">
        <f>IF(B219="","",IF(COUNTIF(vend_Name,B219)&gt;1,"⚠ Duplicate name","✓ OK"))</f>
        <v/>
      </c>
      <c r="N219" s="67">
        <f>IF(AND(B219&lt;&gt;"",N(K219)&gt;0),K219+213/1000000,"")</f>
        <v/>
      </c>
    </row>
    <row r="220">
      <c r="B220" s="62" t="n"/>
      <c r="C220" s="62" t="n"/>
      <c r="D220" s="62" t="n"/>
      <c r="E220" s="62" t="n"/>
      <c r="F220" s="62" t="n"/>
      <c r="G220" s="69" t="n"/>
      <c r="H220" s="62" t="n"/>
      <c r="I220" s="65">
        <f>IF(B220="","",SUMIFS(ap_Amount,ap_Party,B220,ap_Posted,1,ap_Date,"&lt;="&amp;AsOf))</f>
        <v/>
      </c>
      <c r="J220" s="65">
        <f>IF(B220="","",SUMIFS(ap_Paid,ap_Party,B220))</f>
        <v/>
      </c>
      <c r="K220" s="65">
        <f>IF(B220="","",SUMIFS(ap_Balance,ap_Party,B220))</f>
        <v/>
      </c>
      <c r="L220" s="65">
        <f>IF(B220="","",SUMIFS(ap_Balance,ap_Party,B220,ap_Status,"Overdue"))</f>
        <v/>
      </c>
      <c r="M220" s="66">
        <f>IF(B220="","",IF(COUNTIF(vend_Name,B220)&gt;1,"⚠ Duplicate name","✓ OK"))</f>
        <v/>
      </c>
      <c r="N220" s="67">
        <f>IF(AND(B220&lt;&gt;"",N(K220)&gt;0),K220+214/1000000,"")</f>
        <v/>
      </c>
    </row>
    <row r="221">
      <c r="B221" s="62" t="n"/>
      <c r="C221" s="62" t="n"/>
      <c r="D221" s="62" t="n"/>
      <c r="E221" s="62" t="n"/>
      <c r="F221" s="62" t="n"/>
      <c r="G221" s="69" t="n"/>
      <c r="H221" s="62" t="n"/>
      <c r="I221" s="65">
        <f>IF(B221="","",SUMIFS(ap_Amount,ap_Party,B221,ap_Posted,1,ap_Date,"&lt;="&amp;AsOf))</f>
        <v/>
      </c>
      <c r="J221" s="65">
        <f>IF(B221="","",SUMIFS(ap_Paid,ap_Party,B221))</f>
        <v/>
      </c>
      <c r="K221" s="65">
        <f>IF(B221="","",SUMIFS(ap_Balance,ap_Party,B221))</f>
        <v/>
      </c>
      <c r="L221" s="65">
        <f>IF(B221="","",SUMIFS(ap_Balance,ap_Party,B221,ap_Status,"Overdue"))</f>
        <v/>
      </c>
      <c r="M221" s="66">
        <f>IF(B221="","",IF(COUNTIF(vend_Name,B221)&gt;1,"⚠ Duplicate name","✓ OK"))</f>
        <v/>
      </c>
      <c r="N221" s="67">
        <f>IF(AND(B221&lt;&gt;"",N(K221)&gt;0),K221+215/1000000,"")</f>
        <v/>
      </c>
    </row>
    <row r="222">
      <c r="B222" s="62" t="n"/>
      <c r="C222" s="62" t="n"/>
      <c r="D222" s="62" t="n"/>
      <c r="E222" s="62" t="n"/>
      <c r="F222" s="62" t="n"/>
      <c r="G222" s="69" t="n"/>
      <c r="H222" s="62" t="n"/>
      <c r="I222" s="65">
        <f>IF(B222="","",SUMIFS(ap_Amount,ap_Party,B222,ap_Posted,1,ap_Date,"&lt;="&amp;AsOf))</f>
        <v/>
      </c>
      <c r="J222" s="65">
        <f>IF(B222="","",SUMIFS(ap_Paid,ap_Party,B222))</f>
        <v/>
      </c>
      <c r="K222" s="65">
        <f>IF(B222="","",SUMIFS(ap_Balance,ap_Party,B222))</f>
        <v/>
      </c>
      <c r="L222" s="65">
        <f>IF(B222="","",SUMIFS(ap_Balance,ap_Party,B222,ap_Status,"Overdue"))</f>
        <v/>
      </c>
      <c r="M222" s="66">
        <f>IF(B222="","",IF(COUNTIF(vend_Name,B222)&gt;1,"⚠ Duplicate name","✓ OK"))</f>
        <v/>
      </c>
      <c r="N222" s="67">
        <f>IF(AND(B222&lt;&gt;"",N(K222)&gt;0),K222+216/1000000,"")</f>
        <v/>
      </c>
    </row>
    <row r="223">
      <c r="B223" s="62" t="n"/>
      <c r="C223" s="62" t="n"/>
      <c r="D223" s="62" t="n"/>
      <c r="E223" s="62" t="n"/>
      <c r="F223" s="62" t="n"/>
      <c r="G223" s="69" t="n"/>
      <c r="H223" s="62" t="n"/>
      <c r="I223" s="65">
        <f>IF(B223="","",SUMIFS(ap_Amount,ap_Party,B223,ap_Posted,1,ap_Date,"&lt;="&amp;AsOf))</f>
        <v/>
      </c>
      <c r="J223" s="65">
        <f>IF(B223="","",SUMIFS(ap_Paid,ap_Party,B223))</f>
        <v/>
      </c>
      <c r="K223" s="65">
        <f>IF(B223="","",SUMIFS(ap_Balance,ap_Party,B223))</f>
        <v/>
      </c>
      <c r="L223" s="65">
        <f>IF(B223="","",SUMIFS(ap_Balance,ap_Party,B223,ap_Status,"Overdue"))</f>
        <v/>
      </c>
      <c r="M223" s="66">
        <f>IF(B223="","",IF(COUNTIF(vend_Name,B223)&gt;1,"⚠ Duplicate name","✓ OK"))</f>
        <v/>
      </c>
      <c r="N223" s="67">
        <f>IF(AND(B223&lt;&gt;"",N(K223)&gt;0),K223+217/1000000,"")</f>
        <v/>
      </c>
    </row>
    <row r="224">
      <c r="B224" s="62" t="n"/>
      <c r="C224" s="62" t="n"/>
      <c r="D224" s="62" t="n"/>
      <c r="E224" s="62" t="n"/>
      <c r="F224" s="62" t="n"/>
      <c r="G224" s="69" t="n"/>
      <c r="H224" s="62" t="n"/>
      <c r="I224" s="65">
        <f>IF(B224="","",SUMIFS(ap_Amount,ap_Party,B224,ap_Posted,1,ap_Date,"&lt;="&amp;AsOf))</f>
        <v/>
      </c>
      <c r="J224" s="65">
        <f>IF(B224="","",SUMIFS(ap_Paid,ap_Party,B224))</f>
        <v/>
      </c>
      <c r="K224" s="65">
        <f>IF(B224="","",SUMIFS(ap_Balance,ap_Party,B224))</f>
        <v/>
      </c>
      <c r="L224" s="65">
        <f>IF(B224="","",SUMIFS(ap_Balance,ap_Party,B224,ap_Status,"Overdue"))</f>
        <v/>
      </c>
      <c r="M224" s="66">
        <f>IF(B224="","",IF(COUNTIF(vend_Name,B224)&gt;1,"⚠ Duplicate name","✓ OK"))</f>
        <v/>
      </c>
      <c r="N224" s="67">
        <f>IF(AND(B224&lt;&gt;"",N(K224)&gt;0),K224+218/1000000,"")</f>
        <v/>
      </c>
    </row>
    <row r="225">
      <c r="B225" s="62" t="n"/>
      <c r="C225" s="62" t="n"/>
      <c r="D225" s="62" t="n"/>
      <c r="E225" s="62" t="n"/>
      <c r="F225" s="62" t="n"/>
      <c r="G225" s="69" t="n"/>
      <c r="H225" s="62" t="n"/>
      <c r="I225" s="65">
        <f>IF(B225="","",SUMIFS(ap_Amount,ap_Party,B225,ap_Posted,1,ap_Date,"&lt;="&amp;AsOf))</f>
        <v/>
      </c>
      <c r="J225" s="65">
        <f>IF(B225="","",SUMIFS(ap_Paid,ap_Party,B225))</f>
        <v/>
      </c>
      <c r="K225" s="65">
        <f>IF(B225="","",SUMIFS(ap_Balance,ap_Party,B225))</f>
        <v/>
      </c>
      <c r="L225" s="65">
        <f>IF(B225="","",SUMIFS(ap_Balance,ap_Party,B225,ap_Status,"Overdue"))</f>
        <v/>
      </c>
      <c r="M225" s="66">
        <f>IF(B225="","",IF(COUNTIF(vend_Name,B225)&gt;1,"⚠ Duplicate name","✓ OK"))</f>
        <v/>
      </c>
      <c r="N225" s="67">
        <f>IF(AND(B225&lt;&gt;"",N(K225)&gt;0),K225+219/1000000,"")</f>
        <v/>
      </c>
    </row>
    <row r="226">
      <c r="B226" s="62" t="n"/>
      <c r="C226" s="62" t="n"/>
      <c r="D226" s="62" t="n"/>
      <c r="E226" s="62" t="n"/>
      <c r="F226" s="62" t="n"/>
      <c r="G226" s="69" t="n"/>
      <c r="H226" s="62" t="n"/>
      <c r="I226" s="65">
        <f>IF(B226="","",SUMIFS(ap_Amount,ap_Party,B226,ap_Posted,1,ap_Date,"&lt;="&amp;AsOf))</f>
        <v/>
      </c>
      <c r="J226" s="65">
        <f>IF(B226="","",SUMIFS(ap_Paid,ap_Party,B226))</f>
        <v/>
      </c>
      <c r="K226" s="65">
        <f>IF(B226="","",SUMIFS(ap_Balance,ap_Party,B226))</f>
        <v/>
      </c>
      <c r="L226" s="65">
        <f>IF(B226="","",SUMIFS(ap_Balance,ap_Party,B226,ap_Status,"Overdue"))</f>
        <v/>
      </c>
      <c r="M226" s="66">
        <f>IF(B226="","",IF(COUNTIF(vend_Name,B226)&gt;1,"⚠ Duplicate name","✓ OK"))</f>
        <v/>
      </c>
      <c r="N226" s="67">
        <f>IF(AND(B226&lt;&gt;"",N(K226)&gt;0),K226+220/1000000,"")</f>
        <v/>
      </c>
    </row>
    <row r="227">
      <c r="B227" s="62" t="n"/>
      <c r="C227" s="62" t="n"/>
      <c r="D227" s="62" t="n"/>
      <c r="E227" s="62" t="n"/>
      <c r="F227" s="62" t="n"/>
      <c r="G227" s="69" t="n"/>
      <c r="H227" s="62" t="n"/>
      <c r="I227" s="65">
        <f>IF(B227="","",SUMIFS(ap_Amount,ap_Party,B227,ap_Posted,1,ap_Date,"&lt;="&amp;AsOf))</f>
        <v/>
      </c>
      <c r="J227" s="65">
        <f>IF(B227="","",SUMIFS(ap_Paid,ap_Party,B227))</f>
        <v/>
      </c>
      <c r="K227" s="65">
        <f>IF(B227="","",SUMIFS(ap_Balance,ap_Party,B227))</f>
        <v/>
      </c>
      <c r="L227" s="65">
        <f>IF(B227="","",SUMIFS(ap_Balance,ap_Party,B227,ap_Status,"Overdue"))</f>
        <v/>
      </c>
      <c r="M227" s="66">
        <f>IF(B227="","",IF(COUNTIF(vend_Name,B227)&gt;1,"⚠ Duplicate name","✓ OK"))</f>
        <v/>
      </c>
      <c r="N227" s="67">
        <f>IF(AND(B227&lt;&gt;"",N(K227)&gt;0),K227+221/1000000,"")</f>
        <v/>
      </c>
    </row>
    <row r="228">
      <c r="B228" s="62" t="n"/>
      <c r="C228" s="62" t="n"/>
      <c r="D228" s="62" t="n"/>
      <c r="E228" s="62" t="n"/>
      <c r="F228" s="62" t="n"/>
      <c r="G228" s="69" t="n"/>
      <c r="H228" s="62" t="n"/>
      <c r="I228" s="65">
        <f>IF(B228="","",SUMIFS(ap_Amount,ap_Party,B228,ap_Posted,1,ap_Date,"&lt;="&amp;AsOf))</f>
        <v/>
      </c>
      <c r="J228" s="65">
        <f>IF(B228="","",SUMIFS(ap_Paid,ap_Party,B228))</f>
        <v/>
      </c>
      <c r="K228" s="65">
        <f>IF(B228="","",SUMIFS(ap_Balance,ap_Party,B228))</f>
        <v/>
      </c>
      <c r="L228" s="65">
        <f>IF(B228="","",SUMIFS(ap_Balance,ap_Party,B228,ap_Status,"Overdue"))</f>
        <v/>
      </c>
      <c r="M228" s="66">
        <f>IF(B228="","",IF(COUNTIF(vend_Name,B228)&gt;1,"⚠ Duplicate name","✓ OK"))</f>
        <v/>
      </c>
      <c r="N228" s="67">
        <f>IF(AND(B228&lt;&gt;"",N(K228)&gt;0),K228+222/1000000,"")</f>
        <v/>
      </c>
    </row>
    <row r="229">
      <c r="B229" s="62" t="n"/>
      <c r="C229" s="62" t="n"/>
      <c r="D229" s="62" t="n"/>
      <c r="E229" s="62" t="n"/>
      <c r="F229" s="62" t="n"/>
      <c r="G229" s="69" t="n"/>
      <c r="H229" s="62" t="n"/>
      <c r="I229" s="65">
        <f>IF(B229="","",SUMIFS(ap_Amount,ap_Party,B229,ap_Posted,1,ap_Date,"&lt;="&amp;AsOf))</f>
        <v/>
      </c>
      <c r="J229" s="65">
        <f>IF(B229="","",SUMIFS(ap_Paid,ap_Party,B229))</f>
        <v/>
      </c>
      <c r="K229" s="65">
        <f>IF(B229="","",SUMIFS(ap_Balance,ap_Party,B229))</f>
        <v/>
      </c>
      <c r="L229" s="65">
        <f>IF(B229="","",SUMIFS(ap_Balance,ap_Party,B229,ap_Status,"Overdue"))</f>
        <v/>
      </c>
      <c r="M229" s="66">
        <f>IF(B229="","",IF(COUNTIF(vend_Name,B229)&gt;1,"⚠ Duplicate name","✓ OK"))</f>
        <v/>
      </c>
      <c r="N229" s="67">
        <f>IF(AND(B229&lt;&gt;"",N(K229)&gt;0),K229+223/1000000,"")</f>
        <v/>
      </c>
    </row>
    <row r="230">
      <c r="B230" s="62" t="n"/>
      <c r="C230" s="62" t="n"/>
      <c r="D230" s="62" t="n"/>
      <c r="E230" s="62" t="n"/>
      <c r="F230" s="62" t="n"/>
      <c r="G230" s="69" t="n"/>
      <c r="H230" s="62" t="n"/>
      <c r="I230" s="65">
        <f>IF(B230="","",SUMIFS(ap_Amount,ap_Party,B230,ap_Posted,1,ap_Date,"&lt;="&amp;AsOf))</f>
        <v/>
      </c>
      <c r="J230" s="65">
        <f>IF(B230="","",SUMIFS(ap_Paid,ap_Party,B230))</f>
        <v/>
      </c>
      <c r="K230" s="65">
        <f>IF(B230="","",SUMIFS(ap_Balance,ap_Party,B230))</f>
        <v/>
      </c>
      <c r="L230" s="65">
        <f>IF(B230="","",SUMIFS(ap_Balance,ap_Party,B230,ap_Status,"Overdue"))</f>
        <v/>
      </c>
      <c r="M230" s="66">
        <f>IF(B230="","",IF(COUNTIF(vend_Name,B230)&gt;1,"⚠ Duplicate name","✓ OK"))</f>
        <v/>
      </c>
      <c r="N230" s="67">
        <f>IF(AND(B230&lt;&gt;"",N(K230)&gt;0),K230+224/1000000,"")</f>
        <v/>
      </c>
    </row>
    <row r="231">
      <c r="B231" s="62" t="n"/>
      <c r="C231" s="62" t="n"/>
      <c r="D231" s="62" t="n"/>
      <c r="E231" s="62" t="n"/>
      <c r="F231" s="62" t="n"/>
      <c r="G231" s="69" t="n"/>
      <c r="H231" s="62" t="n"/>
      <c r="I231" s="65">
        <f>IF(B231="","",SUMIFS(ap_Amount,ap_Party,B231,ap_Posted,1,ap_Date,"&lt;="&amp;AsOf))</f>
        <v/>
      </c>
      <c r="J231" s="65">
        <f>IF(B231="","",SUMIFS(ap_Paid,ap_Party,B231))</f>
        <v/>
      </c>
      <c r="K231" s="65">
        <f>IF(B231="","",SUMIFS(ap_Balance,ap_Party,B231))</f>
        <v/>
      </c>
      <c r="L231" s="65">
        <f>IF(B231="","",SUMIFS(ap_Balance,ap_Party,B231,ap_Status,"Overdue"))</f>
        <v/>
      </c>
      <c r="M231" s="66">
        <f>IF(B231="","",IF(COUNTIF(vend_Name,B231)&gt;1,"⚠ Duplicate name","✓ OK"))</f>
        <v/>
      </c>
      <c r="N231" s="67">
        <f>IF(AND(B231&lt;&gt;"",N(K231)&gt;0),K231+225/1000000,"")</f>
        <v/>
      </c>
    </row>
    <row r="232">
      <c r="B232" s="62" t="n"/>
      <c r="C232" s="62" t="n"/>
      <c r="D232" s="62" t="n"/>
      <c r="E232" s="62" t="n"/>
      <c r="F232" s="62" t="n"/>
      <c r="G232" s="69" t="n"/>
      <c r="H232" s="62" t="n"/>
      <c r="I232" s="65">
        <f>IF(B232="","",SUMIFS(ap_Amount,ap_Party,B232,ap_Posted,1,ap_Date,"&lt;="&amp;AsOf))</f>
        <v/>
      </c>
      <c r="J232" s="65">
        <f>IF(B232="","",SUMIFS(ap_Paid,ap_Party,B232))</f>
        <v/>
      </c>
      <c r="K232" s="65">
        <f>IF(B232="","",SUMIFS(ap_Balance,ap_Party,B232))</f>
        <v/>
      </c>
      <c r="L232" s="65">
        <f>IF(B232="","",SUMIFS(ap_Balance,ap_Party,B232,ap_Status,"Overdue"))</f>
        <v/>
      </c>
      <c r="M232" s="66">
        <f>IF(B232="","",IF(COUNTIF(vend_Name,B232)&gt;1,"⚠ Duplicate name","✓ OK"))</f>
        <v/>
      </c>
      <c r="N232" s="67">
        <f>IF(AND(B232&lt;&gt;"",N(K232)&gt;0),K232+226/1000000,"")</f>
        <v/>
      </c>
    </row>
    <row r="233">
      <c r="B233" s="62" t="n"/>
      <c r="C233" s="62" t="n"/>
      <c r="D233" s="62" t="n"/>
      <c r="E233" s="62" t="n"/>
      <c r="F233" s="62" t="n"/>
      <c r="G233" s="69" t="n"/>
      <c r="H233" s="62" t="n"/>
      <c r="I233" s="65">
        <f>IF(B233="","",SUMIFS(ap_Amount,ap_Party,B233,ap_Posted,1,ap_Date,"&lt;="&amp;AsOf))</f>
        <v/>
      </c>
      <c r="J233" s="65">
        <f>IF(B233="","",SUMIFS(ap_Paid,ap_Party,B233))</f>
        <v/>
      </c>
      <c r="K233" s="65">
        <f>IF(B233="","",SUMIFS(ap_Balance,ap_Party,B233))</f>
        <v/>
      </c>
      <c r="L233" s="65">
        <f>IF(B233="","",SUMIFS(ap_Balance,ap_Party,B233,ap_Status,"Overdue"))</f>
        <v/>
      </c>
      <c r="M233" s="66">
        <f>IF(B233="","",IF(COUNTIF(vend_Name,B233)&gt;1,"⚠ Duplicate name","✓ OK"))</f>
        <v/>
      </c>
      <c r="N233" s="67">
        <f>IF(AND(B233&lt;&gt;"",N(K233)&gt;0),K233+227/1000000,"")</f>
        <v/>
      </c>
    </row>
    <row r="234">
      <c r="B234" s="62" t="n"/>
      <c r="C234" s="62" t="n"/>
      <c r="D234" s="62" t="n"/>
      <c r="E234" s="62" t="n"/>
      <c r="F234" s="62" t="n"/>
      <c r="G234" s="69" t="n"/>
      <c r="H234" s="62" t="n"/>
      <c r="I234" s="65">
        <f>IF(B234="","",SUMIFS(ap_Amount,ap_Party,B234,ap_Posted,1,ap_Date,"&lt;="&amp;AsOf))</f>
        <v/>
      </c>
      <c r="J234" s="65">
        <f>IF(B234="","",SUMIFS(ap_Paid,ap_Party,B234))</f>
        <v/>
      </c>
      <c r="K234" s="65">
        <f>IF(B234="","",SUMIFS(ap_Balance,ap_Party,B234))</f>
        <v/>
      </c>
      <c r="L234" s="65">
        <f>IF(B234="","",SUMIFS(ap_Balance,ap_Party,B234,ap_Status,"Overdue"))</f>
        <v/>
      </c>
      <c r="M234" s="66">
        <f>IF(B234="","",IF(COUNTIF(vend_Name,B234)&gt;1,"⚠ Duplicate name","✓ OK"))</f>
        <v/>
      </c>
      <c r="N234" s="67">
        <f>IF(AND(B234&lt;&gt;"",N(K234)&gt;0),K234+228/1000000,"")</f>
        <v/>
      </c>
    </row>
    <row r="235">
      <c r="B235" s="62" t="n"/>
      <c r="C235" s="62" t="n"/>
      <c r="D235" s="62" t="n"/>
      <c r="E235" s="62" t="n"/>
      <c r="F235" s="62" t="n"/>
      <c r="G235" s="69" t="n"/>
      <c r="H235" s="62" t="n"/>
      <c r="I235" s="65">
        <f>IF(B235="","",SUMIFS(ap_Amount,ap_Party,B235,ap_Posted,1,ap_Date,"&lt;="&amp;AsOf))</f>
        <v/>
      </c>
      <c r="J235" s="65">
        <f>IF(B235="","",SUMIFS(ap_Paid,ap_Party,B235))</f>
        <v/>
      </c>
      <c r="K235" s="65">
        <f>IF(B235="","",SUMIFS(ap_Balance,ap_Party,B235))</f>
        <v/>
      </c>
      <c r="L235" s="65">
        <f>IF(B235="","",SUMIFS(ap_Balance,ap_Party,B235,ap_Status,"Overdue"))</f>
        <v/>
      </c>
      <c r="M235" s="66">
        <f>IF(B235="","",IF(COUNTIF(vend_Name,B235)&gt;1,"⚠ Duplicate name","✓ OK"))</f>
        <v/>
      </c>
      <c r="N235" s="67">
        <f>IF(AND(B235&lt;&gt;"",N(K235)&gt;0),K235+229/1000000,"")</f>
        <v/>
      </c>
    </row>
    <row r="236">
      <c r="B236" s="62" t="n"/>
      <c r="C236" s="62" t="n"/>
      <c r="D236" s="62" t="n"/>
      <c r="E236" s="62" t="n"/>
      <c r="F236" s="62" t="n"/>
      <c r="G236" s="69" t="n"/>
      <c r="H236" s="62" t="n"/>
      <c r="I236" s="65">
        <f>IF(B236="","",SUMIFS(ap_Amount,ap_Party,B236,ap_Posted,1,ap_Date,"&lt;="&amp;AsOf))</f>
        <v/>
      </c>
      <c r="J236" s="65">
        <f>IF(B236="","",SUMIFS(ap_Paid,ap_Party,B236))</f>
        <v/>
      </c>
      <c r="K236" s="65">
        <f>IF(B236="","",SUMIFS(ap_Balance,ap_Party,B236))</f>
        <v/>
      </c>
      <c r="L236" s="65">
        <f>IF(B236="","",SUMIFS(ap_Balance,ap_Party,B236,ap_Status,"Overdue"))</f>
        <v/>
      </c>
      <c r="M236" s="66">
        <f>IF(B236="","",IF(COUNTIF(vend_Name,B236)&gt;1,"⚠ Duplicate name","✓ OK"))</f>
        <v/>
      </c>
      <c r="N236" s="67">
        <f>IF(AND(B236&lt;&gt;"",N(K236)&gt;0),K236+230/1000000,"")</f>
        <v/>
      </c>
    </row>
    <row r="237">
      <c r="B237" s="62" t="n"/>
      <c r="C237" s="62" t="n"/>
      <c r="D237" s="62" t="n"/>
      <c r="E237" s="62" t="n"/>
      <c r="F237" s="62" t="n"/>
      <c r="G237" s="69" t="n"/>
      <c r="H237" s="62" t="n"/>
      <c r="I237" s="65">
        <f>IF(B237="","",SUMIFS(ap_Amount,ap_Party,B237,ap_Posted,1,ap_Date,"&lt;="&amp;AsOf))</f>
        <v/>
      </c>
      <c r="J237" s="65">
        <f>IF(B237="","",SUMIFS(ap_Paid,ap_Party,B237))</f>
        <v/>
      </c>
      <c r="K237" s="65">
        <f>IF(B237="","",SUMIFS(ap_Balance,ap_Party,B237))</f>
        <v/>
      </c>
      <c r="L237" s="65">
        <f>IF(B237="","",SUMIFS(ap_Balance,ap_Party,B237,ap_Status,"Overdue"))</f>
        <v/>
      </c>
      <c r="M237" s="66">
        <f>IF(B237="","",IF(COUNTIF(vend_Name,B237)&gt;1,"⚠ Duplicate name","✓ OK"))</f>
        <v/>
      </c>
      <c r="N237" s="67">
        <f>IF(AND(B237&lt;&gt;"",N(K237)&gt;0),K237+231/1000000,"")</f>
        <v/>
      </c>
    </row>
    <row r="238">
      <c r="B238" s="62" t="n"/>
      <c r="C238" s="62" t="n"/>
      <c r="D238" s="62" t="n"/>
      <c r="E238" s="62" t="n"/>
      <c r="F238" s="62" t="n"/>
      <c r="G238" s="69" t="n"/>
      <c r="H238" s="62" t="n"/>
      <c r="I238" s="65">
        <f>IF(B238="","",SUMIFS(ap_Amount,ap_Party,B238,ap_Posted,1,ap_Date,"&lt;="&amp;AsOf))</f>
        <v/>
      </c>
      <c r="J238" s="65">
        <f>IF(B238="","",SUMIFS(ap_Paid,ap_Party,B238))</f>
        <v/>
      </c>
      <c r="K238" s="65">
        <f>IF(B238="","",SUMIFS(ap_Balance,ap_Party,B238))</f>
        <v/>
      </c>
      <c r="L238" s="65">
        <f>IF(B238="","",SUMIFS(ap_Balance,ap_Party,B238,ap_Status,"Overdue"))</f>
        <v/>
      </c>
      <c r="M238" s="66">
        <f>IF(B238="","",IF(COUNTIF(vend_Name,B238)&gt;1,"⚠ Duplicate name","✓ OK"))</f>
        <v/>
      </c>
      <c r="N238" s="67">
        <f>IF(AND(B238&lt;&gt;"",N(K238)&gt;0),K238+232/1000000,"")</f>
        <v/>
      </c>
    </row>
    <row r="239">
      <c r="B239" s="62" t="n"/>
      <c r="C239" s="62" t="n"/>
      <c r="D239" s="62" t="n"/>
      <c r="E239" s="62" t="n"/>
      <c r="F239" s="62" t="n"/>
      <c r="G239" s="69" t="n"/>
      <c r="H239" s="62" t="n"/>
      <c r="I239" s="65">
        <f>IF(B239="","",SUMIFS(ap_Amount,ap_Party,B239,ap_Posted,1,ap_Date,"&lt;="&amp;AsOf))</f>
        <v/>
      </c>
      <c r="J239" s="65">
        <f>IF(B239="","",SUMIFS(ap_Paid,ap_Party,B239))</f>
        <v/>
      </c>
      <c r="K239" s="65">
        <f>IF(B239="","",SUMIFS(ap_Balance,ap_Party,B239))</f>
        <v/>
      </c>
      <c r="L239" s="65">
        <f>IF(B239="","",SUMIFS(ap_Balance,ap_Party,B239,ap_Status,"Overdue"))</f>
        <v/>
      </c>
      <c r="M239" s="66">
        <f>IF(B239="","",IF(COUNTIF(vend_Name,B239)&gt;1,"⚠ Duplicate name","✓ OK"))</f>
        <v/>
      </c>
      <c r="N239" s="67">
        <f>IF(AND(B239&lt;&gt;"",N(K239)&gt;0),K239+233/1000000,"")</f>
        <v/>
      </c>
    </row>
    <row r="240">
      <c r="B240" s="62" t="n"/>
      <c r="C240" s="62" t="n"/>
      <c r="D240" s="62" t="n"/>
      <c r="E240" s="62" t="n"/>
      <c r="F240" s="62" t="n"/>
      <c r="G240" s="69" t="n"/>
      <c r="H240" s="62" t="n"/>
      <c r="I240" s="65">
        <f>IF(B240="","",SUMIFS(ap_Amount,ap_Party,B240,ap_Posted,1,ap_Date,"&lt;="&amp;AsOf))</f>
        <v/>
      </c>
      <c r="J240" s="65">
        <f>IF(B240="","",SUMIFS(ap_Paid,ap_Party,B240))</f>
        <v/>
      </c>
      <c r="K240" s="65">
        <f>IF(B240="","",SUMIFS(ap_Balance,ap_Party,B240))</f>
        <v/>
      </c>
      <c r="L240" s="65">
        <f>IF(B240="","",SUMIFS(ap_Balance,ap_Party,B240,ap_Status,"Overdue"))</f>
        <v/>
      </c>
      <c r="M240" s="66">
        <f>IF(B240="","",IF(COUNTIF(vend_Name,B240)&gt;1,"⚠ Duplicate name","✓ OK"))</f>
        <v/>
      </c>
      <c r="N240" s="67">
        <f>IF(AND(B240&lt;&gt;"",N(K240)&gt;0),K240+234/1000000,"")</f>
        <v/>
      </c>
    </row>
    <row r="241">
      <c r="B241" s="62" t="n"/>
      <c r="C241" s="62" t="n"/>
      <c r="D241" s="62" t="n"/>
      <c r="E241" s="62" t="n"/>
      <c r="F241" s="62" t="n"/>
      <c r="G241" s="69" t="n"/>
      <c r="H241" s="62" t="n"/>
      <c r="I241" s="65">
        <f>IF(B241="","",SUMIFS(ap_Amount,ap_Party,B241,ap_Posted,1,ap_Date,"&lt;="&amp;AsOf))</f>
        <v/>
      </c>
      <c r="J241" s="65">
        <f>IF(B241="","",SUMIFS(ap_Paid,ap_Party,B241))</f>
        <v/>
      </c>
      <c r="K241" s="65">
        <f>IF(B241="","",SUMIFS(ap_Balance,ap_Party,B241))</f>
        <v/>
      </c>
      <c r="L241" s="65">
        <f>IF(B241="","",SUMIFS(ap_Balance,ap_Party,B241,ap_Status,"Overdue"))</f>
        <v/>
      </c>
      <c r="M241" s="66">
        <f>IF(B241="","",IF(COUNTIF(vend_Name,B241)&gt;1,"⚠ Duplicate name","✓ OK"))</f>
        <v/>
      </c>
      <c r="N241" s="67">
        <f>IF(AND(B241&lt;&gt;"",N(K241)&gt;0),K241+235/1000000,"")</f>
        <v/>
      </c>
    </row>
    <row r="242">
      <c r="B242" s="62" t="n"/>
      <c r="C242" s="62" t="n"/>
      <c r="D242" s="62" t="n"/>
      <c r="E242" s="62" t="n"/>
      <c r="F242" s="62" t="n"/>
      <c r="G242" s="69" t="n"/>
      <c r="H242" s="62" t="n"/>
      <c r="I242" s="65">
        <f>IF(B242="","",SUMIFS(ap_Amount,ap_Party,B242,ap_Posted,1,ap_Date,"&lt;="&amp;AsOf))</f>
        <v/>
      </c>
      <c r="J242" s="65">
        <f>IF(B242="","",SUMIFS(ap_Paid,ap_Party,B242))</f>
        <v/>
      </c>
      <c r="K242" s="65">
        <f>IF(B242="","",SUMIFS(ap_Balance,ap_Party,B242))</f>
        <v/>
      </c>
      <c r="L242" s="65">
        <f>IF(B242="","",SUMIFS(ap_Balance,ap_Party,B242,ap_Status,"Overdue"))</f>
        <v/>
      </c>
      <c r="M242" s="66">
        <f>IF(B242="","",IF(COUNTIF(vend_Name,B242)&gt;1,"⚠ Duplicate name","✓ OK"))</f>
        <v/>
      </c>
      <c r="N242" s="67">
        <f>IF(AND(B242&lt;&gt;"",N(K242)&gt;0),K242+236/1000000,"")</f>
        <v/>
      </c>
    </row>
    <row r="243">
      <c r="B243" s="62" t="n"/>
      <c r="C243" s="62" t="n"/>
      <c r="D243" s="62" t="n"/>
      <c r="E243" s="62" t="n"/>
      <c r="F243" s="62" t="n"/>
      <c r="G243" s="69" t="n"/>
      <c r="H243" s="62" t="n"/>
      <c r="I243" s="65">
        <f>IF(B243="","",SUMIFS(ap_Amount,ap_Party,B243,ap_Posted,1,ap_Date,"&lt;="&amp;AsOf))</f>
        <v/>
      </c>
      <c r="J243" s="65">
        <f>IF(B243="","",SUMIFS(ap_Paid,ap_Party,B243))</f>
        <v/>
      </c>
      <c r="K243" s="65">
        <f>IF(B243="","",SUMIFS(ap_Balance,ap_Party,B243))</f>
        <v/>
      </c>
      <c r="L243" s="65">
        <f>IF(B243="","",SUMIFS(ap_Balance,ap_Party,B243,ap_Status,"Overdue"))</f>
        <v/>
      </c>
      <c r="M243" s="66">
        <f>IF(B243="","",IF(COUNTIF(vend_Name,B243)&gt;1,"⚠ Duplicate name","✓ OK"))</f>
        <v/>
      </c>
      <c r="N243" s="67">
        <f>IF(AND(B243&lt;&gt;"",N(K243)&gt;0),K243+237/1000000,"")</f>
        <v/>
      </c>
    </row>
    <row r="244">
      <c r="B244" s="62" t="n"/>
      <c r="C244" s="62" t="n"/>
      <c r="D244" s="62" t="n"/>
      <c r="E244" s="62" t="n"/>
      <c r="F244" s="62" t="n"/>
      <c r="G244" s="69" t="n"/>
      <c r="H244" s="62" t="n"/>
      <c r="I244" s="65">
        <f>IF(B244="","",SUMIFS(ap_Amount,ap_Party,B244,ap_Posted,1,ap_Date,"&lt;="&amp;AsOf))</f>
        <v/>
      </c>
      <c r="J244" s="65">
        <f>IF(B244="","",SUMIFS(ap_Paid,ap_Party,B244))</f>
        <v/>
      </c>
      <c r="K244" s="65">
        <f>IF(B244="","",SUMIFS(ap_Balance,ap_Party,B244))</f>
        <v/>
      </c>
      <c r="L244" s="65">
        <f>IF(B244="","",SUMIFS(ap_Balance,ap_Party,B244,ap_Status,"Overdue"))</f>
        <v/>
      </c>
      <c r="M244" s="66">
        <f>IF(B244="","",IF(COUNTIF(vend_Name,B244)&gt;1,"⚠ Duplicate name","✓ OK"))</f>
        <v/>
      </c>
      <c r="N244" s="67">
        <f>IF(AND(B244&lt;&gt;"",N(K244)&gt;0),K244+238/1000000,"")</f>
        <v/>
      </c>
    </row>
    <row r="245">
      <c r="B245" s="62" t="n"/>
      <c r="C245" s="62" t="n"/>
      <c r="D245" s="62" t="n"/>
      <c r="E245" s="62" t="n"/>
      <c r="F245" s="62" t="n"/>
      <c r="G245" s="69" t="n"/>
      <c r="H245" s="62" t="n"/>
      <c r="I245" s="65">
        <f>IF(B245="","",SUMIFS(ap_Amount,ap_Party,B245,ap_Posted,1,ap_Date,"&lt;="&amp;AsOf))</f>
        <v/>
      </c>
      <c r="J245" s="65">
        <f>IF(B245="","",SUMIFS(ap_Paid,ap_Party,B245))</f>
        <v/>
      </c>
      <c r="K245" s="65">
        <f>IF(B245="","",SUMIFS(ap_Balance,ap_Party,B245))</f>
        <v/>
      </c>
      <c r="L245" s="65">
        <f>IF(B245="","",SUMIFS(ap_Balance,ap_Party,B245,ap_Status,"Overdue"))</f>
        <v/>
      </c>
      <c r="M245" s="66">
        <f>IF(B245="","",IF(COUNTIF(vend_Name,B245)&gt;1,"⚠ Duplicate name","✓ OK"))</f>
        <v/>
      </c>
      <c r="N245" s="67">
        <f>IF(AND(B245&lt;&gt;"",N(K245)&gt;0),K245+239/1000000,"")</f>
        <v/>
      </c>
    </row>
    <row r="246">
      <c r="B246" s="62" t="n"/>
      <c r="C246" s="62" t="n"/>
      <c r="D246" s="62" t="n"/>
      <c r="E246" s="62" t="n"/>
      <c r="F246" s="62" t="n"/>
      <c r="G246" s="69" t="n"/>
      <c r="H246" s="62" t="n"/>
      <c r="I246" s="65">
        <f>IF(B246="","",SUMIFS(ap_Amount,ap_Party,B246,ap_Posted,1,ap_Date,"&lt;="&amp;AsOf))</f>
        <v/>
      </c>
      <c r="J246" s="65">
        <f>IF(B246="","",SUMIFS(ap_Paid,ap_Party,B246))</f>
        <v/>
      </c>
      <c r="K246" s="65">
        <f>IF(B246="","",SUMIFS(ap_Balance,ap_Party,B246))</f>
        <v/>
      </c>
      <c r="L246" s="65">
        <f>IF(B246="","",SUMIFS(ap_Balance,ap_Party,B246,ap_Status,"Overdue"))</f>
        <v/>
      </c>
      <c r="M246" s="66">
        <f>IF(B246="","",IF(COUNTIF(vend_Name,B246)&gt;1,"⚠ Duplicate name","✓ OK"))</f>
        <v/>
      </c>
      <c r="N246" s="67">
        <f>IF(AND(B246&lt;&gt;"",N(K246)&gt;0),K246+240/1000000,"")</f>
        <v/>
      </c>
    </row>
    <row r="247">
      <c r="B247" s="62" t="n"/>
      <c r="C247" s="62" t="n"/>
      <c r="D247" s="62" t="n"/>
      <c r="E247" s="62" t="n"/>
      <c r="F247" s="62" t="n"/>
      <c r="G247" s="69" t="n"/>
      <c r="H247" s="62" t="n"/>
      <c r="I247" s="65">
        <f>IF(B247="","",SUMIFS(ap_Amount,ap_Party,B247,ap_Posted,1,ap_Date,"&lt;="&amp;AsOf))</f>
        <v/>
      </c>
      <c r="J247" s="65">
        <f>IF(B247="","",SUMIFS(ap_Paid,ap_Party,B247))</f>
        <v/>
      </c>
      <c r="K247" s="65">
        <f>IF(B247="","",SUMIFS(ap_Balance,ap_Party,B247))</f>
        <v/>
      </c>
      <c r="L247" s="65">
        <f>IF(B247="","",SUMIFS(ap_Balance,ap_Party,B247,ap_Status,"Overdue"))</f>
        <v/>
      </c>
      <c r="M247" s="66">
        <f>IF(B247="","",IF(COUNTIF(vend_Name,B247)&gt;1,"⚠ Duplicate name","✓ OK"))</f>
        <v/>
      </c>
      <c r="N247" s="67">
        <f>IF(AND(B247&lt;&gt;"",N(K247)&gt;0),K247+241/1000000,"")</f>
        <v/>
      </c>
    </row>
    <row r="248">
      <c r="B248" s="62" t="n"/>
      <c r="C248" s="62" t="n"/>
      <c r="D248" s="62" t="n"/>
      <c r="E248" s="62" t="n"/>
      <c r="F248" s="62" t="n"/>
      <c r="G248" s="69" t="n"/>
      <c r="H248" s="62" t="n"/>
      <c r="I248" s="65">
        <f>IF(B248="","",SUMIFS(ap_Amount,ap_Party,B248,ap_Posted,1,ap_Date,"&lt;="&amp;AsOf))</f>
        <v/>
      </c>
      <c r="J248" s="65">
        <f>IF(B248="","",SUMIFS(ap_Paid,ap_Party,B248))</f>
        <v/>
      </c>
      <c r="K248" s="65">
        <f>IF(B248="","",SUMIFS(ap_Balance,ap_Party,B248))</f>
        <v/>
      </c>
      <c r="L248" s="65">
        <f>IF(B248="","",SUMIFS(ap_Balance,ap_Party,B248,ap_Status,"Overdue"))</f>
        <v/>
      </c>
      <c r="M248" s="66">
        <f>IF(B248="","",IF(COUNTIF(vend_Name,B248)&gt;1,"⚠ Duplicate name","✓ OK"))</f>
        <v/>
      </c>
      <c r="N248" s="67">
        <f>IF(AND(B248&lt;&gt;"",N(K248)&gt;0),K248+242/1000000,"")</f>
        <v/>
      </c>
    </row>
    <row r="249">
      <c r="B249" s="62" t="n"/>
      <c r="C249" s="62" t="n"/>
      <c r="D249" s="62" t="n"/>
      <c r="E249" s="62" t="n"/>
      <c r="F249" s="62" t="n"/>
      <c r="G249" s="69" t="n"/>
      <c r="H249" s="62" t="n"/>
      <c r="I249" s="65">
        <f>IF(B249="","",SUMIFS(ap_Amount,ap_Party,B249,ap_Posted,1,ap_Date,"&lt;="&amp;AsOf))</f>
        <v/>
      </c>
      <c r="J249" s="65">
        <f>IF(B249="","",SUMIFS(ap_Paid,ap_Party,B249))</f>
        <v/>
      </c>
      <c r="K249" s="65">
        <f>IF(B249="","",SUMIFS(ap_Balance,ap_Party,B249))</f>
        <v/>
      </c>
      <c r="L249" s="65">
        <f>IF(B249="","",SUMIFS(ap_Balance,ap_Party,B249,ap_Status,"Overdue"))</f>
        <v/>
      </c>
      <c r="M249" s="66">
        <f>IF(B249="","",IF(COUNTIF(vend_Name,B249)&gt;1,"⚠ Duplicate name","✓ OK"))</f>
        <v/>
      </c>
      <c r="N249" s="67">
        <f>IF(AND(B249&lt;&gt;"",N(K249)&gt;0),K249+243/1000000,"")</f>
        <v/>
      </c>
    </row>
    <row r="250">
      <c r="B250" s="62" t="n"/>
      <c r="C250" s="62" t="n"/>
      <c r="D250" s="62" t="n"/>
      <c r="E250" s="62" t="n"/>
      <c r="F250" s="62" t="n"/>
      <c r="G250" s="69" t="n"/>
      <c r="H250" s="62" t="n"/>
      <c r="I250" s="65">
        <f>IF(B250="","",SUMIFS(ap_Amount,ap_Party,B250,ap_Posted,1,ap_Date,"&lt;="&amp;AsOf))</f>
        <v/>
      </c>
      <c r="J250" s="65">
        <f>IF(B250="","",SUMIFS(ap_Paid,ap_Party,B250))</f>
        <v/>
      </c>
      <c r="K250" s="65">
        <f>IF(B250="","",SUMIFS(ap_Balance,ap_Party,B250))</f>
        <v/>
      </c>
      <c r="L250" s="65">
        <f>IF(B250="","",SUMIFS(ap_Balance,ap_Party,B250,ap_Status,"Overdue"))</f>
        <v/>
      </c>
      <c r="M250" s="66">
        <f>IF(B250="","",IF(COUNTIF(vend_Name,B250)&gt;1,"⚠ Duplicate name","✓ OK"))</f>
        <v/>
      </c>
      <c r="N250" s="67">
        <f>IF(AND(B250&lt;&gt;"",N(K250)&gt;0),K250+244/1000000,"")</f>
        <v/>
      </c>
    </row>
    <row r="251">
      <c r="B251" s="62" t="n"/>
      <c r="C251" s="62" t="n"/>
      <c r="D251" s="62" t="n"/>
      <c r="E251" s="62" t="n"/>
      <c r="F251" s="62" t="n"/>
      <c r="G251" s="69" t="n"/>
      <c r="H251" s="62" t="n"/>
      <c r="I251" s="65">
        <f>IF(B251="","",SUMIFS(ap_Amount,ap_Party,B251,ap_Posted,1,ap_Date,"&lt;="&amp;AsOf))</f>
        <v/>
      </c>
      <c r="J251" s="65">
        <f>IF(B251="","",SUMIFS(ap_Paid,ap_Party,B251))</f>
        <v/>
      </c>
      <c r="K251" s="65">
        <f>IF(B251="","",SUMIFS(ap_Balance,ap_Party,B251))</f>
        <v/>
      </c>
      <c r="L251" s="65">
        <f>IF(B251="","",SUMIFS(ap_Balance,ap_Party,B251,ap_Status,"Overdue"))</f>
        <v/>
      </c>
      <c r="M251" s="66">
        <f>IF(B251="","",IF(COUNTIF(vend_Name,B251)&gt;1,"⚠ Duplicate name","✓ OK"))</f>
        <v/>
      </c>
      <c r="N251" s="67">
        <f>IF(AND(B251&lt;&gt;"",N(K251)&gt;0),K251+245/1000000,"")</f>
        <v/>
      </c>
    </row>
    <row r="252">
      <c r="B252" s="62" t="n"/>
      <c r="C252" s="62" t="n"/>
      <c r="D252" s="62" t="n"/>
      <c r="E252" s="62" t="n"/>
      <c r="F252" s="62" t="n"/>
      <c r="G252" s="69" t="n"/>
      <c r="H252" s="62" t="n"/>
      <c r="I252" s="65">
        <f>IF(B252="","",SUMIFS(ap_Amount,ap_Party,B252,ap_Posted,1,ap_Date,"&lt;="&amp;AsOf))</f>
        <v/>
      </c>
      <c r="J252" s="65">
        <f>IF(B252="","",SUMIFS(ap_Paid,ap_Party,B252))</f>
        <v/>
      </c>
      <c r="K252" s="65">
        <f>IF(B252="","",SUMIFS(ap_Balance,ap_Party,B252))</f>
        <v/>
      </c>
      <c r="L252" s="65">
        <f>IF(B252="","",SUMIFS(ap_Balance,ap_Party,B252,ap_Status,"Overdue"))</f>
        <v/>
      </c>
      <c r="M252" s="66">
        <f>IF(B252="","",IF(COUNTIF(vend_Name,B252)&gt;1,"⚠ Duplicate name","✓ OK"))</f>
        <v/>
      </c>
      <c r="N252" s="67">
        <f>IF(AND(B252&lt;&gt;"",N(K252)&gt;0),K252+246/1000000,"")</f>
        <v/>
      </c>
    </row>
    <row r="253">
      <c r="B253" s="62" t="n"/>
      <c r="C253" s="62" t="n"/>
      <c r="D253" s="62" t="n"/>
      <c r="E253" s="62" t="n"/>
      <c r="F253" s="62" t="n"/>
      <c r="G253" s="69" t="n"/>
      <c r="H253" s="62" t="n"/>
      <c r="I253" s="65">
        <f>IF(B253="","",SUMIFS(ap_Amount,ap_Party,B253,ap_Posted,1,ap_Date,"&lt;="&amp;AsOf))</f>
        <v/>
      </c>
      <c r="J253" s="65">
        <f>IF(B253="","",SUMIFS(ap_Paid,ap_Party,B253))</f>
        <v/>
      </c>
      <c r="K253" s="65">
        <f>IF(B253="","",SUMIFS(ap_Balance,ap_Party,B253))</f>
        <v/>
      </c>
      <c r="L253" s="65">
        <f>IF(B253="","",SUMIFS(ap_Balance,ap_Party,B253,ap_Status,"Overdue"))</f>
        <v/>
      </c>
      <c r="M253" s="66">
        <f>IF(B253="","",IF(COUNTIF(vend_Name,B253)&gt;1,"⚠ Duplicate name","✓ OK"))</f>
        <v/>
      </c>
      <c r="N253" s="67">
        <f>IF(AND(B253&lt;&gt;"",N(K253)&gt;0),K253+247/1000000,"")</f>
        <v/>
      </c>
    </row>
    <row r="254">
      <c r="B254" s="62" t="n"/>
      <c r="C254" s="62" t="n"/>
      <c r="D254" s="62" t="n"/>
      <c r="E254" s="62" t="n"/>
      <c r="F254" s="62" t="n"/>
      <c r="G254" s="69" t="n"/>
      <c r="H254" s="62" t="n"/>
      <c r="I254" s="65">
        <f>IF(B254="","",SUMIFS(ap_Amount,ap_Party,B254,ap_Posted,1,ap_Date,"&lt;="&amp;AsOf))</f>
        <v/>
      </c>
      <c r="J254" s="65">
        <f>IF(B254="","",SUMIFS(ap_Paid,ap_Party,B254))</f>
        <v/>
      </c>
      <c r="K254" s="65">
        <f>IF(B254="","",SUMIFS(ap_Balance,ap_Party,B254))</f>
        <v/>
      </c>
      <c r="L254" s="65">
        <f>IF(B254="","",SUMIFS(ap_Balance,ap_Party,B254,ap_Status,"Overdue"))</f>
        <v/>
      </c>
      <c r="M254" s="66">
        <f>IF(B254="","",IF(COUNTIF(vend_Name,B254)&gt;1,"⚠ Duplicate name","✓ OK"))</f>
        <v/>
      </c>
      <c r="N254" s="67">
        <f>IF(AND(B254&lt;&gt;"",N(K254)&gt;0),K254+248/1000000,"")</f>
        <v/>
      </c>
    </row>
    <row r="255">
      <c r="B255" s="62" t="n"/>
      <c r="C255" s="62" t="n"/>
      <c r="D255" s="62" t="n"/>
      <c r="E255" s="62" t="n"/>
      <c r="F255" s="62" t="n"/>
      <c r="G255" s="69" t="n"/>
      <c r="H255" s="62" t="n"/>
      <c r="I255" s="65">
        <f>IF(B255="","",SUMIFS(ap_Amount,ap_Party,B255,ap_Posted,1,ap_Date,"&lt;="&amp;AsOf))</f>
        <v/>
      </c>
      <c r="J255" s="65">
        <f>IF(B255="","",SUMIFS(ap_Paid,ap_Party,B255))</f>
        <v/>
      </c>
      <c r="K255" s="65">
        <f>IF(B255="","",SUMIFS(ap_Balance,ap_Party,B255))</f>
        <v/>
      </c>
      <c r="L255" s="65">
        <f>IF(B255="","",SUMIFS(ap_Balance,ap_Party,B255,ap_Status,"Overdue"))</f>
        <v/>
      </c>
      <c r="M255" s="66">
        <f>IF(B255="","",IF(COUNTIF(vend_Name,B255)&gt;1,"⚠ Duplicate name","✓ OK"))</f>
        <v/>
      </c>
      <c r="N255" s="67">
        <f>IF(AND(B255&lt;&gt;"",N(K255)&gt;0),K255+249/1000000,"")</f>
        <v/>
      </c>
    </row>
    <row r="256">
      <c r="B256" s="62" t="n"/>
      <c r="C256" s="62" t="n"/>
      <c r="D256" s="62" t="n"/>
      <c r="E256" s="62" t="n"/>
      <c r="F256" s="62" t="n"/>
      <c r="G256" s="69" t="n"/>
      <c r="H256" s="62" t="n"/>
      <c r="I256" s="65">
        <f>IF(B256="","",SUMIFS(ap_Amount,ap_Party,B256,ap_Posted,1,ap_Date,"&lt;="&amp;AsOf))</f>
        <v/>
      </c>
      <c r="J256" s="65">
        <f>IF(B256="","",SUMIFS(ap_Paid,ap_Party,B256))</f>
        <v/>
      </c>
      <c r="K256" s="65">
        <f>IF(B256="","",SUMIFS(ap_Balance,ap_Party,B256))</f>
        <v/>
      </c>
      <c r="L256" s="65">
        <f>IF(B256="","",SUMIFS(ap_Balance,ap_Party,B256,ap_Status,"Overdue"))</f>
        <v/>
      </c>
      <c r="M256" s="66">
        <f>IF(B256="","",IF(COUNTIF(vend_Name,B256)&gt;1,"⚠ Duplicate name","✓ OK"))</f>
        <v/>
      </c>
      <c r="N256" s="67">
        <f>IF(AND(B256&lt;&gt;"",N(K256)&gt;0),K256+250/1000000,"")</f>
        <v/>
      </c>
    </row>
    <row r="257">
      <c r="B257" s="62" t="n"/>
      <c r="C257" s="62" t="n"/>
      <c r="D257" s="62" t="n"/>
      <c r="E257" s="62" t="n"/>
      <c r="F257" s="62" t="n"/>
      <c r="G257" s="69" t="n"/>
      <c r="H257" s="62" t="n"/>
      <c r="I257" s="65">
        <f>IF(B257="","",SUMIFS(ap_Amount,ap_Party,B257,ap_Posted,1,ap_Date,"&lt;="&amp;AsOf))</f>
        <v/>
      </c>
      <c r="J257" s="65">
        <f>IF(B257="","",SUMIFS(ap_Paid,ap_Party,B257))</f>
        <v/>
      </c>
      <c r="K257" s="65">
        <f>IF(B257="","",SUMIFS(ap_Balance,ap_Party,B257))</f>
        <v/>
      </c>
      <c r="L257" s="65">
        <f>IF(B257="","",SUMIFS(ap_Balance,ap_Party,B257,ap_Status,"Overdue"))</f>
        <v/>
      </c>
      <c r="M257" s="66">
        <f>IF(B257="","",IF(COUNTIF(vend_Name,B257)&gt;1,"⚠ Duplicate name","✓ OK"))</f>
        <v/>
      </c>
      <c r="N257" s="67">
        <f>IF(AND(B257&lt;&gt;"",N(K257)&gt;0),K257+251/1000000,"")</f>
        <v/>
      </c>
    </row>
    <row r="258">
      <c r="B258" s="62" t="n"/>
      <c r="C258" s="62" t="n"/>
      <c r="D258" s="62" t="n"/>
      <c r="E258" s="62" t="n"/>
      <c r="F258" s="62" t="n"/>
      <c r="G258" s="69" t="n"/>
      <c r="H258" s="62" t="n"/>
      <c r="I258" s="65">
        <f>IF(B258="","",SUMIFS(ap_Amount,ap_Party,B258,ap_Posted,1,ap_Date,"&lt;="&amp;AsOf))</f>
        <v/>
      </c>
      <c r="J258" s="65">
        <f>IF(B258="","",SUMIFS(ap_Paid,ap_Party,B258))</f>
        <v/>
      </c>
      <c r="K258" s="65">
        <f>IF(B258="","",SUMIFS(ap_Balance,ap_Party,B258))</f>
        <v/>
      </c>
      <c r="L258" s="65">
        <f>IF(B258="","",SUMIFS(ap_Balance,ap_Party,B258,ap_Status,"Overdue"))</f>
        <v/>
      </c>
      <c r="M258" s="66">
        <f>IF(B258="","",IF(COUNTIF(vend_Name,B258)&gt;1,"⚠ Duplicate name","✓ OK"))</f>
        <v/>
      </c>
      <c r="N258" s="67">
        <f>IF(AND(B258&lt;&gt;"",N(K258)&gt;0),K258+252/1000000,"")</f>
        <v/>
      </c>
    </row>
    <row r="259">
      <c r="B259" s="62" t="n"/>
      <c r="C259" s="62" t="n"/>
      <c r="D259" s="62" t="n"/>
      <c r="E259" s="62" t="n"/>
      <c r="F259" s="62" t="n"/>
      <c r="G259" s="69" t="n"/>
      <c r="H259" s="62" t="n"/>
      <c r="I259" s="65">
        <f>IF(B259="","",SUMIFS(ap_Amount,ap_Party,B259,ap_Posted,1,ap_Date,"&lt;="&amp;AsOf))</f>
        <v/>
      </c>
      <c r="J259" s="65">
        <f>IF(B259="","",SUMIFS(ap_Paid,ap_Party,B259))</f>
        <v/>
      </c>
      <c r="K259" s="65">
        <f>IF(B259="","",SUMIFS(ap_Balance,ap_Party,B259))</f>
        <v/>
      </c>
      <c r="L259" s="65">
        <f>IF(B259="","",SUMIFS(ap_Balance,ap_Party,B259,ap_Status,"Overdue"))</f>
        <v/>
      </c>
      <c r="M259" s="66">
        <f>IF(B259="","",IF(COUNTIF(vend_Name,B259)&gt;1,"⚠ Duplicate name","✓ OK"))</f>
        <v/>
      </c>
      <c r="N259" s="67">
        <f>IF(AND(B259&lt;&gt;"",N(K259)&gt;0),K259+253/1000000,"")</f>
        <v/>
      </c>
    </row>
    <row r="260">
      <c r="B260" s="62" t="n"/>
      <c r="C260" s="62" t="n"/>
      <c r="D260" s="62" t="n"/>
      <c r="E260" s="62" t="n"/>
      <c r="F260" s="62" t="n"/>
      <c r="G260" s="69" t="n"/>
      <c r="H260" s="62" t="n"/>
      <c r="I260" s="65">
        <f>IF(B260="","",SUMIFS(ap_Amount,ap_Party,B260,ap_Posted,1,ap_Date,"&lt;="&amp;AsOf))</f>
        <v/>
      </c>
      <c r="J260" s="65">
        <f>IF(B260="","",SUMIFS(ap_Paid,ap_Party,B260))</f>
        <v/>
      </c>
      <c r="K260" s="65">
        <f>IF(B260="","",SUMIFS(ap_Balance,ap_Party,B260))</f>
        <v/>
      </c>
      <c r="L260" s="65">
        <f>IF(B260="","",SUMIFS(ap_Balance,ap_Party,B260,ap_Status,"Overdue"))</f>
        <v/>
      </c>
      <c r="M260" s="66">
        <f>IF(B260="","",IF(COUNTIF(vend_Name,B260)&gt;1,"⚠ Duplicate name","✓ OK"))</f>
        <v/>
      </c>
      <c r="N260" s="67">
        <f>IF(AND(B260&lt;&gt;"",N(K260)&gt;0),K260+254/1000000,"")</f>
        <v/>
      </c>
    </row>
    <row r="261">
      <c r="B261" s="62" t="n"/>
      <c r="C261" s="62" t="n"/>
      <c r="D261" s="62" t="n"/>
      <c r="E261" s="62" t="n"/>
      <c r="F261" s="62" t="n"/>
      <c r="G261" s="69" t="n"/>
      <c r="H261" s="62" t="n"/>
      <c r="I261" s="65">
        <f>IF(B261="","",SUMIFS(ap_Amount,ap_Party,B261,ap_Posted,1,ap_Date,"&lt;="&amp;AsOf))</f>
        <v/>
      </c>
      <c r="J261" s="65">
        <f>IF(B261="","",SUMIFS(ap_Paid,ap_Party,B261))</f>
        <v/>
      </c>
      <c r="K261" s="65">
        <f>IF(B261="","",SUMIFS(ap_Balance,ap_Party,B261))</f>
        <v/>
      </c>
      <c r="L261" s="65">
        <f>IF(B261="","",SUMIFS(ap_Balance,ap_Party,B261,ap_Status,"Overdue"))</f>
        <v/>
      </c>
      <c r="M261" s="66">
        <f>IF(B261="","",IF(COUNTIF(vend_Name,B261)&gt;1,"⚠ Duplicate name","✓ OK"))</f>
        <v/>
      </c>
      <c r="N261" s="67">
        <f>IF(AND(B261&lt;&gt;"",N(K261)&gt;0),K261+255/1000000,"")</f>
        <v/>
      </c>
    </row>
    <row r="262">
      <c r="B262" s="62" t="n"/>
      <c r="C262" s="62" t="n"/>
      <c r="D262" s="62" t="n"/>
      <c r="E262" s="62" t="n"/>
      <c r="F262" s="62" t="n"/>
      <c r="G262" s="69" t="n"/>
      <c r="H262" s="62" t="n"/>
      <c r="I262" s="65">
        <f>IF(B262="","",SUMIFS(ap_Amount,ap_Party,B262,ap_Posted,1,ap_Date,"&lt;="&amp;AsOf))</f>
        <v/>
      </c>
      <c r="J262" s="65">
        <f>IF(B262="","",SUMIFS(ap_Paid,ap_Party,B262))</f>
        <v/>
      </c>
      <c r="K262" s="65">
        <f>IF(B262="","",SUMIFS(ap_Balance,ap_Party,B262))</f>
        <v/>
      </c>
      <c r="L262" s="65">
        <f>IF(B262="","",SUMIFS(ap_Balance,ap_Party,B262,ap_Status,"Overdue"))</f>
        <v/>
      </c>
      <c r="M262" s="66">
        <f>IF(B262="","",IF(COUNTIF(vend_Name,B262)&gt;1,"⚠ Duplicate name","✓ OK"))</f>
        <v/>
      </c>
      <c r="N262" s="67">
        <f>IF(AND(B262&lt;&gt;"",N(K262)&gt;0),K262+256/1000000,"")</f>
        <v/>
      </c>
    </row>
    <row r="263">
      <c r="B263" s="62" t="n"/>
      <c r="C263" s="62" t="n"/>
      <c r="D263" s="62" t="n"/>
      <c r="E263" s="62" t="n"/>
      <c r="F263" s="62" t="n"/>
      <c r="G263" s="69" t="n"/>
      <c r="H263" s="62" t="n"/>
      <c r="I263" s="65">
        <f>IF(B263="","",SUMIFS(ap_Amount,ap_Party,B263,ap_Posted,1,ap_Date,"&lt;="&amp;AsOf))</f>
        <v/>
      </c>
      <c r="J263" s="65">
        <f>IF(B263="","",SUMIFS(ap_Paid,ap_Party,B263))</f>
        <v/>
      </c>
      <c r="K263" s="65">
        <f>IF(B263="","",SUMIFS(ap_Balance,ap_Party,B263))</f>
        <v/>
      </c>
      <c r="L263" s="65">
        <f>IF(B263="","",SUMIFS(ap_Balance,ap_Party,B263,ap_Status,"Overdue"))</f>
        <v/>
      </c>
      <c r="M263" s="66">
        <f>IF(B263="","",IF(COUNTIF(vend_Name,B263)&gt;1,"⚠ Duplicate name","✓ OK"))</f>
        <v/>
      </c>
      <c r="N263" s="67">
        <f>IF(AND(B263&lt;&gt;"",N(K263)&gt;0),K263+257/1000000,"")</f>
        <v/>
      </c>
    </row>
    <row r="264">
      <c r="B264" s="62" t="n"/>
      <c r="C264" s="62" t="n"/>
      <c r="D264" s="62" t="n"/>
      <c r="E264" s="62" t="n"/>
      <c r="F264" s="62" t="n"/>
      <c r="G264" s="69" t="n"/>
      <c r="H264" s="62" t="n"/>
      <c r="I264" s="65">
        <f>IF(B264="","",SUMIFS(ap_Amount,ap_Party,B264,ap_Posted,1,ap_Date,"&lt;="&amp;AsOf))</f>
        <v/>
      </c>
      <c r="J264" s="65">
        <f>IF(B264="","",SUMIFS(ap_Paid,ap_Party,B264))</f>
        <v/>
      </c>
      <c r="K264" s="65">
        <f>IF(B264="","",SUMIFS(ap_Balance,ap_Party,B264))</f>
        <v/>
      </c>
      <c r="L264" s="65">
        <f>IF(B264="","",SUMIFS(ap_Balance,ap_Party,B264,ap_Status,"Overdue"))</f>
        <v/>
      </c>
      <c r="M264" s="66">
        <f>IF(B264="","",IF(COUNTIF(vend_Name,B264)&gt;1,"⚠ Duplicate name","✓ OK"))</f>
        <v/>
      </c>
      <c r="N264" s="67">
        <f>IF(AND(B264&lt;&gt;"",N(K264)&gt;0),K264+258/1000000,"")</f>
        <v/>
      </c>
    </row>
    <row r="265">
      <c r="B265" s="62" t="n"/>
      <c r="C265" s="62" t="n"/>
      <c r="D265" s="62" t="n"/>
      <c r="E265" s="62" t="n"/>
      <c r="F265" s="62" t="n"/>
      <c r="G265" s="69" t="n"/>
      <c r="H265" s="62" t="n"/>
      <c r="I265" s="65">
        <f>IF(B265="","",SUMIFS(ap_Amount,ap_Party,B265,ap_Posted,1,ap_Date,"&lt;="&amp;AsOf))</f>
        <v/>
      </c>
      <c r="J265" s="65">
        <f>IF(B265="","",SUMIFS(ap_Paid,ap_Party,B265))</f>
        <v/>
      </c>
      <c r="K265" s="65">
        <f>IF(B265="","",SUMIFS(ap_Balance,ap_Party,B265))</f>
        <v/>
      </c>
      <c r="L265" s="65">
        <f>IF(B265="","",SUMIFS(ap_Balance,ap_Party,B265,ap_Status,"Overdue"))</f>
        <v/>
      </c>
      <c r="M265" s="66">
        <f>IF(B265="","",IF(COUNTIF(vend_Name,B265)&gt;1,"⚠ Duplicate name","✓ OK"))</f>
        <v/>
      </c>
      <c r="N265" s="67">
        <f>IF(AND(B265&lt;&gt;"",N(K265)&gt;0),K265+259/1000000,"")</f>
        <v/>
      </c>
    </row>
    <row r="266">
      <c r="B266" s="62" t="n"/>
      <c r="C266" s="62" t="n"/>
      <c r="D266" s="62" t="n"/>
      <c r="E266" s="62" t="n"/>
      <c r="F266" s="62" t="n"/>
      <c r="G266" s="69" t="n"/>
      <c r="H266" s="62" t="n"/>
      <c r="I266" s="65">
        <f>IF(B266="","",SUMIFS(ap_Amount,ap_Party,B266,ap_Posted,1,ap_Date,"&lt;="&amp;AsOf))</f>
        <v/>
      </c>
      <c r="J266" s="65">
        <f>IF(B266="","",SUMIFS(ap_Paid,ap_Party,B266))</f>
        <v/>
      </c>
      <c r="K266" s="65">
        <f>IF(B266="","",SUMIFS(ap_Balance,ap_Party,B266))</f>
        <v/>
      </c>
      <c r="L266" s="65">
        <f>IF(B266="","",SUMIFS(ap_Balance,ap_Party,B266,ap_Status,"Overdue"))</f>
        <v/>
      </c>
      <c r="M266" s="66">
        <f>IF(B266="","",IF(COUNTIF(vend_Name,B266)&gt;1,"⚠ Duplicate name","✓ OK"))</f>
        <v/>
      </c>
      <c r="N266" s="67">
        <f>IF(AND(B266&lt;&gt;"",N(K266)&gt;0),K266+260/1000000,"")</f>
        <v/>
      </c>
    </row>
    <row r="267">
      <c r="B267" s="62" t="n"/>
      <c r="C267" s="62" t="n"/>
      <c r="D267" s="62" t="n"/>
      <c r="E267" s="62" t="n"/>
      <c r="F267" s="62" t="n"/>
      <c r="G267" s="69" t="n"/>
      <c r="H267" s="62" t="n"/>
      <c r="I267" s="65">
        <f>IF(B267="","",SUMIFS(ap_Amount,ap_Party,B267,ap_Posted,1,ap_Date,"&lt;="&amp;AsOf))</f>
        <v/>
      </c>
      <c r="J267" s="65">
        <f>IF(B267="","",SUMIFS(ap_Paid,ap_Party,B267))</f>
        <v/>
      </c>
      <c r="K267" s="65">
        <f>IF(B267="","",SUMIFS(ap_Balance,ap_Party,B267))</f>
        <v/>
      </c>
      <c r="L267" s="65">
        <f>IF(B267="","",SUMIFS(ap_Balance,ap_Party,B267,ap_Status,"Overdue"))</f>
        <v/>
      </c>
      <c r="M267" s="66">
        <f>IF(B267="","",IF(COUNTIF(vend_Name,B267)&gt;1,"⚠ Duplicate name","✓ OK"))</f>
        <v/>
      </c>
      <c r="N267" s="67">
        <f>IF(AND(B267&lt;&gt;"",N(K267)&gt;0),K267+261/1000000,"")</f>
        <v/>
      </c>
    </row>
    <row r="268">
      <c r="B268" s="62" t="n"/>
      <c r="C268" s="62" t="n"/>
      <c r="D268" s="62" t="n"/>
      <c r="E268" s="62" t="n"/>
      <c r="F268" s="62" t="n"/>
      <c r="G268" s="69" t="n"/>
      <c r="H268" s="62" t="n"/>
      <c r="I268" s="65">
        <f>IF(B268="","",SUMIFS(ap_Amount,ap_Party,B268,ap_Posted,1,ap_Date,"&lt;="&amp;AsOf))</f>
        <v/>
      </c>
      <c r="J268" s="65">
        <f>IF(B268="","",SUMIFS(ap_Paid,ap_Party,B268))</f>
        <v/>
      </c>
      <c r="K268" s="65">
        <f>IF(B268="","",SUMIFS(ap_Balance,ap_Party,B268))</f>
        <v/>
      </c>
      <c r="L268" s="65">
        <f>IF(B268="","",SUMIFS(ap_Balance,ap_Party,B268,ap_Status,"Overdue"))</f>
        <v/>
      </c>
      <c r="M268" s="66">
        <f>IF(B268="","",IF(COUNTIF(vend_Name,B268)&gt;1,"⚠ Duplicate name","✓ OK"))</f>
        <v/>
      </c>
      <c r="N268" s="67">
        <f>IF(AND(B268&lt;&gt;"",N(K268)&gt;0),K268+262/1000000,"")</f>
        <v/>
      </c>
    </row>
    <row r="269">
      <c r="B269" s="62" t="n"/>
      <c r="C269" s="62" t="n"/>
      <c r="D269" s="62" t="n"/>
      <c r="E269" s="62" t="n"/>
      <c r="F269" s="62" t="n"/>
      <c r="G269" s="69" t="n"/>
      <c r="H269" s="62" t="n"/>
      <c r="I269" s="65">
        <f>IF(B269="","",SUMIFS(ap_Amount,ap_Party,B269,ap_Posted,1,ap_Date,"&lt;="&amp;AsOf))</f>
        <v/>
      </c>
      <c r="J269" s="65">
        <f>IF(B269="","",SUMIFS(ap_Paid,ap_Party,B269))</f>
        <v/>
      </c>
      <c r="K269" s="65">
        <f>IF(B269="","",SUMIFS(ap_Balance,ap_Party,B269))</f>
        <v/>
      </c>
      <c r="L269" s="65">
        <f>IF(B269="","",SUMIFS(ap_Balance,ap_Party,B269,ap_Status,"Overdue"))</f>
        <v/>
      </c>
      <c r="M269" s="66">
        <f>IF(B269="","",IF(COUNTIF(vend_Name,B269)&gt;1,"⚠ Duplicate name","✓ OK"))</f>
        <v/>
      </c>
      <c r="N269" s="67">
        <f>IF(AND(B269&lt;&gt;"",N(K269)&gt;0),K269+263/1000000,"")</f>
        <v/>
      </c>
    </row>
    <row r="270">
      <c r="B270" s="62" t="n"/>
      <c r="C270" s="62" t="n"/>
      <c r="D270" s="62" t="n"/>
      <c r="E270" s="62" t="n"/>
      <c r="F270" s="62" t="n"/>
      <c r="G270" s="69" t="n"/>
      <c r="H270" s="62" t="n"/>
      <c r="I270" s="65">
        <f>IF(B270="","",SUMIFS(ap_Amount,ap_Party,B270,ap_Posted,1,ap_Date,"&lt;="&amp;AsOf))</f>
        <v/>
      </c>
      <c r="J270" s="65">
        <f>IF(B270="","",SUMIFS(ap_Paid,ap_Party,B270))</f>
        <v/>
      </c>
      <c r="K270" s="65">
        <f>IF(B270="","",SUMIFS(ap_Balance,ap_Party,B270))</f>
        <v/>
      </c>
      <c r="L270" s="65">
        <f>IF(B270="","",SUMIFS(ap_Balance,ap_Party,B270,ap_Status,"Overdue"))</f>
        <v/>
      </c>
      <c r="M270" s="66">
        <f>IF(B270="","",IF(COUNTIF(vend_Name,B270)&gt;1,"⚠ Duplicate name","✓ OK"))</f>
        <v/>
      </c>
      <c r="N270" s="67">
        <f>IF(AND(B270&lt;&gt;"",N(K270)&gt;0),K270+264/1000000,"")</f>
        <v/>
      </c>
    </row>
    <row r="271">
      <c r="B271" s="62" t="n"/>
      <c r="C271" s="62" t="n"/>
      <c r="D271" s="62" t="n"/>
      <c r="E271" s="62" t="n"/>
      <c r="F271" s="62" t="n"/>
      <c r="G271" s="69" t="n"/>
      <c r="H271" s="62" t="n"/>
      <c r="I271" s="65">
        <f>IF(B271="","",SUMIFS(ap_Amount,ap_Party,B271,ap_Posted,1,ap_Date,"&lt;="&amp;AsOf))</f>
        <v/>
      </c>
      <c r="J271" s="65">
        <f>IF(B271="","",SUMIFS(ap_Paid,ap_Party,B271))</f>
        <v/>
      </c>
      <c r="K271" s="65">
        <f>IF(B271="","",SUMIFS(ap_Balance,ap_Party,B271))</f>
        <v/>
      </c>
      <c r="L271" s="65">
        <f>IF(B271="","",SUMIFS(ap_Balance,ap_Party,B271,ap_Status,"Overdue"))</f>
        <v/>
      </c>
      <c r="M271" s="66">
        <f>IF(B271="","",IF(COUNTIF(vend_Name,B271)&gt;1,"⚠ Duplicate name","✓ OK"))</f>
        <v/>
      </c>
      <c r="N271" s="67">
        <f>IF(AND(B271&lt;&gt;"",N(K271)&gt;0),K271+265/1000000,"")</f>
        <v/>
      </c>
    </row>
    <row r="272">
      <c r="B272" s="62" t="n"/>
      <c r="C272" s="62" t="n"/>
      <c r="D272" s="62" t="n"/>
      <c r="E272" s="62" t="n"/>
      <c r="F272" s="62" t="n"/>
      <c r="G272" s="69" t="n"/>
      <c r="H272" s="62" t="n"/>
      <c r="I272" s="65">
        <f>IF(B272="","",SUMIFS(ap_Amount,ap_Party,B272,ap_Posted,1,ap_Date,"&lt;="&amp;AsOf))</f>
        <v/>
      </c>
      <c r="J272" s="65">
        <f>IF(B272="","",SUMIFS(ap_Paid,ap_Party,B272))</f>
        <v/>
      </c>
      <c r="K272" s="65">
        <f>IF(B272="","",SUMIFS(ap_Balance,ap_Party,B272))</f>
        <v/>
      </c>
      <c r="L272" s="65">
        <f>IF(B272="","",SUMIFS(ap_Balance,ap_Party,B272,ap_Status,"Overdue"))</f>
        <v/>
      </c>
      <c r="M272" s="66">
        <f>IF(B272="","",IF(COUNTIF(vend_Name,B272)&gt;1,"⚠ Duplicate name","✓ OK"))</f>
        <v/>
      </c>
      <c r="N272" s="67">
        <f>IF(AND(B272&lt;&gt;"",N(K272)&gt;0),K272+266/1000000,"")</f>
        <v/>
      </c>
    </row>
    <row r="273">
      <c r="B273" s="62" t="n"/>
      <c r="C273" s="62" t="n"/>
      <c r="D273" s="62" t="n"/>
      <c r="E273" s="62" t="n"/>
      <c r="F273" s="62" t="n"/>
      <c r="G273" s="69" t="n"/>
      <c r="H273" s="62" t="n"/>
      <c r="I273" s="65">
        <f>IF(B273="","",SUMIFS(ap_Amount,ap_Party,B273,ap_Posted,1,ap_Date,"&lt;="&amp;AsOf))</f>
        <v/>
      </c>
      <c r="J273" s="65">
        <f>IF(B273="","",SUMIFS(ap_Paid,ap_Party,B273))</f>
        <v/>
      </c>
      <c r="K273" s="65">
        <f>IF(B273="","",SUMIFS(ap_Balance,ap_Party,B273))</f>
        <v/>
      </c>
      <c r="L273" s="65">
        <f>IF(B273="","",SUMIFS(ap_Balance,ap_Party,B273,ap_Status,"Overdue"))</f>
        <v/>
      </c>
      <c r="M273" s="66">
        <f>IF(B273="","",IF(COUNTIF(vend_Name,B273)&gt;1,"⚠ Duplicate name","✓ OK"))</f>
        <v/>
      </c>
      <c r="N273" s="67">
        <f>IF(AND(B273&lt;&gt;"",N(K273)&gt;0),K273+267/1000000,"")</f>
        <v/>
      </c>
    </row>
    <row r="274">
      <c r="B274" s="62" t="n"/>
      <c r="C274" s="62" t="n"/>
      <c r="D274" s="62" t="n"/>
      <c r="E274" s="62" t="n"/>
      <c r="F274" s="62" t="n"/>
      <c r="G274" s="69" t="n"/>
      <c r="H274" s="62" t="n"/>
      <c r="I274" s="65">
        <f>IF(B274="","",SUMIFS(ap_Amount,ap_Party,B274,ap_Posted,1,ap_Date,"&lt;="&amp;AsOf))</f>
        <v/>
      </c>
      <c r="J274" s="65">
        <f>IF(B274="","",SUMIFS(ap_Paid,ap_Party,B274))</f>
        <v/>
      </c>
      <c r="K274" s="65">
        <f>IF(B274="","",SUMIFS(ap_Balance,ap_Party,B274))</f>
        <v/>
      </c>
      <c r="L274" s="65">
        <f>IF(B274="","",SUMIFS(ap_Balance,ap_Party,B274,ap_Status,"Overdue"))</f>
        <v/>
      </c>
      <c r="M274" s="66">
        <f>IF(B274="","",IF(COUNTIF(vend_Name,B274)&gt;1,"⚠ Duplicate name","✓ OK"))</f>
        <v/>
      </c>
      <c r="N274" s="67">
        <f>IF(AND(B274&lt;&gt;"",N(K274)&gt;0),K274+268/1000000,"")</f>
        <v/>
      </c>
    </row>
    <row r="275">
      <c r="B275" s="62" t="n"/>
      <c r="C275" s="62" t="n"/>
      <c r="D275" s="62" t="n"/>
      <c r="E275" s="62" t="n"/>
      <c r="F275" s="62" t="n"/>
      <c r="G275" s="69" t="n"/>
      <c r="H275" s="62" t="n"/>
      <c r="I275" s="65">
        <f>IF(B275="","",SUMIFS(ap_Amount,ap_Party,B275,ap_Posted,1,ap_Date,"&lt;="&amp;AsOf))</f>
        <v/>
      </c>
      <c r="J275" s="65">
        <f>IF(B275="","",SUMIFS(ap_Paid,ap_Party,B275))</f>
        <v/>
      </c>
      <c r="K275" s="65">
        <f>IF(B275="","",SUMIFS(ap_Balance,ap_Party,B275))</f>
        <v/>
      </c>
      <c r="L275" s="65">
        <f>IF(B275="","",SUMIFS(ap_Balance,ap_Party,B275,ap_Status,"Overdue"))</f>
        <v/>
      </c>
      <c r="M275" s="66">
        <f>IF(B275="","",IF(COUNTIF(vend_Name,B275)&gt;1,"⚠ Duplicate name","✓ OK"))</f>
        <v/>
      </c>
      <c r="N275" s="67">
        <f>IF(AND(B275&lt;&gt;"",N(K275)&gt;0),K275+269/1000000,"")</f>
        <v/>
      </c>
    </row>
    <row r="276">
      <c r="B276" s="62" t="n"/>
      <c r="C276" s="62" t="n"/>
      <c r="D276" s="62" t="n"/>
      <c r="E276" s="62" t="n"/>
      <c r="F276" s="62" t="n"/>
      <c r="G276" s="69" t="n"/>
      <c r="H276" s="62" t="n"/>
      <c r="I276" s="65">
        <f>IF(B276="","",SUMIFS(ap_Amount,ap_Party,B276,ap_Posted,1,ap_Date,"&lt;="&amp;AsOf))</f>
        <v/>
      </c>
      <c r="J276" s="65">
        <f>IF(B276="","",SUMIFS(ap_Paid,ap_Party,B276))</f>
        <v/>
      </c>
      <c r="K276" s="65">
        <f>IF(B276="","",SUMIFS(ap_Balance,ap_Party,B276))</f>
        <v/>
      </c>
      <c r="L276" s="65">
        <f>IF(B276="","",SUMIFS(ap_Balance,ap_Party,B276,ap_Status,"Overdue"))</f>
        <v/>
      </c>
      <c r="M276" s="66">
        <f>IF(B276="","",IF(COUNTIF(vend_Name,B276)&gt;1,"⚠ Duplicate name","✓ OK"))</f>
        <v/>
      </c>
      <c r="N276" s="67">
        <f>IF(AND(B276&lt;&gt;"",N(K276)&gt;0),K276+270/1000000,"")</f>
        <v/>
      </c>
    </row>
    <row r="277">
      <c r="B277" s="62" t="n"/>
      <c r="C277" s="62" t="n"/>
      <c r="D277" s="62" t="n"/>
      <c r="E277" s="62" t="n"/>
      <c r="F277" s="62" t="n"/>
      <c r="G277" s="69" t="n"/>
      <c r="H277" s="62" t="n"/>
      <c r="I277" s="65">
        <f>IF(B277="","",SUMIFS(ap_Amount,ap_Party,B277,ap_Posted,1,ap_Date,"&lt;="&amp;AsOf))</f>
        <v/>
      </c>
      <c r="J277" s="65">
        <f>IF(B277="","",SUMIFS(ap_Paid,ap_Party,B277))</f>
        <v/>
      </c>
      <c r="K277" s="65">
        <f>IF(B277="","",SUMIFS(ap_Balance,ap_Party,B277))</f>
        <v/>
      </c>
      <c r="L277" s="65">
        <f>IF(B277="","",SUMIFS(ap_Balance,ap_Party,B277,ap_Status,"Overdue"))</f>
        <v/>
      </c>
      <c r="M277" s="66">
        <f>IF(B277="","",IF(COUNTIF(vend_Name,B277)&gt;1,"⚠ Duplicate name","✓ OK"))</f>
        <v/>
      </c>
      <c r="N277" s="67">
        <f>IF(AND(B277&lt;&gt;"",N(K277)&gt;0),K277+271/1000000,"")</f>
        <v/>
      </c>
    </row>
    <row r="278">
      <c r="B278" s="62" t="n"/>
      <c r="C278" s="62" t="n"/>
      <c r="D278" s="62" t="n"/>
      <c r="E278" s="62" t="n"/>
      <c r="F278" s="62" t="n"/>
      <c r="G278" s="69" t="n"/>
      <c r="H278" s="62" t="n"/>
      <c r="I278" s="65">
        <f>IF(B278="","",SUMIFS(ap_Amount,ap_Party,B278,ap_Posted,1,ap_Date,"&lt;="&amp;AsOf))</f>
        <v/>
      </c>
      <c r="J278" s="65">
        <f>IF(B278="","",SUMIFS(ap_Paid,ap_Party,B278))</f>
        <v/>
      </c>
      <c r="K278" s="65">
        <f>IF(B278="","",SUMIFS(ap_Balance,ap_Party,B278))</f>
        <v/>
      </c>
      <c r="L278" s="65">
        <f>IF(B278="","",SUMIFS(ap_Balance,ap_Party,B278,ap_Status,"Overdue"))</f>
        <v/>
      </c>
      <c r="M278" s="66">
        <f>IF(B278="","",IF(COUNTIF(vend_Name,B278)&gt;1,"⚠ Duplicate name","✓ OK"))</f>
        <v/>
      </c>
      <c r="N278" s="67">
        <f>IF(AND(B278&lt;&gt;"",N(K278)&gt;0),K278+272/1000000,"")</f>
        <v/>
      </c>
    </row>
    <row r="279">
      <c r="B279" s="62" t="n"/>
      <c r="C279" s="62" t="n"/>
      <c r="D279" s="62" t="n"/>
      <c r="E279" s="62" t="n"/>
      <c r="F279" s="62" t="n"/>
      <c r="G279" s="69" t="n"/>
      <c r="H279" s="62" t="n"/>
      <c r="I279" s="65">
        <f>IF(B279="","",SUMIFS(ap_Amount,ap_Party,B279,ap_Posted,1,ap_Date,"&lt;="&amp;AsOf))</f>
        <v/>
      </c>
      <c r="J279" s="65">
        <f>IF(B279="","",SUMIFS(ap_Paid,ap_Party,B279))</f>
        <v/>
      </c>
      <c r="K279" s="65">
        <f>IF(B279="","",SUMIFS(ap_Balance,ap_Party,B279))</f>
        <v/>
      </c>
      <c r="L279" s="65">
        <f>IF(B279="","",SUMIFS(ap_Balance,ap_Party,B279,ap_Status,"Overdue"))</f>
        <v/>
      </c>
      <c r="M279" s="66">
        <f>IF(B279="","",IF(COUNTIF(vend_Name,B279)&gt;1,"⚠ Duplicate name","✓ OK"))</f>
        <v/>
      </c>
      <c r="N279" s="67">
        <f>IF(AND(B279&lt;&gt;"",N(K279)&gt;0),K279+273/1000000,"")</f>
        <v/>
      </c>
    </row>
    <row r="280">
      <c r="B280" s="62" t="n"/>
      <c r="C280" s="62" t="n"/>
      <c r="D280" s="62" t="n"/>
      <c r="E280" s="62" t="n"/>
      <c r="F280" s="62" t="n"/>
      <c r="G280" s="69" t="n"/>
      <c r="H280" s="62" t="n"/>
      <c r="I280" s="65">
        <f>IF(B280="","",SUMIFS(ap_Amount,ap_Party,B280,ap_Posted,1,ap_Date,"&lt;="&amp;AsOf))</f>
        <v/>
      </c>
      <c r="J280" s="65">
        <f>IF(B280="","",SUMIFS(ap_Paid,ap_Party,B280))</f>
        <v/>
      </c>
      <c r="K280" s="65">
        <f>IF(B280="","",SUMIFS(ap_Balance,ap_Party,B280))</f>
        <v/>
      </c>
      <c r="L280" s="65">
        <f>IF(B280="","",SUMIFS(ap_Balance,ap_Party,B280,ap_Status,"Overdue"))</f>
        <v/>
      </c>
      <c r="M280" s="66">
        <f>IF(B280="","",IF(COUNTIF(vend_Name,B280)&gt;1,"⚠ Duplicate name","✓ OK"))</f>
        <v/>
      </c>
      <c r="N280" s="67">
        <f>IF(AND(B280&lt;&gt;"",N(K280)&gt;0),K280+274/1000000,"")</f>
        <v/>
      </c>
    </row>
    <row r="281">
      <c r="B281" s="62" t="n"/>
      <c r="C281" s="62" t="n"/>
      <c r="D281" s="62" t="n"/>
      <c r="E281" s="62" t="n"/>
      <c r="F281" s="62" t="n"/>
      <c r="G281" s="69" t="n"/>
      <c r="H281" s="62" t="n"/>
      <c r="I281" s="65">
        <f>IF(B281="","",SUMIFS(ap_Amount,ap_Party,B281,ap_Posted,1,ap_Date,"&lt;="&amp;AsOf))</f>
        <v/>
      </c>
      <c r="J281" s="65">
        <f>IF(B281="","",SUMIFS(ap_Paid,ap_Party,B281))</f>
        <v/>
      </c>
      <c r="K281" s="65">
        <f>IF(B281="","",SUMIFS(ap_Balance,ap_Party,B281))</f>
        <v/>
      </c>
      <c r="L281" s="65">
        <f>IF(B281="","",SUMIFS(ap_Balance,ap_Party,B281,ap_Status,"Overdue"))</f>
        <v/>
      </c>
      <c r="M281" s="66">
        <f>IF(B281="","",IF(COUNTIF(vend_Name,B281)&gt;1,"⚠ Duplicate name","✓ OK"))</f>
        <v/>
      </c>
      <c r="N281" s="67">
        <f>IF(AND(B281&lt;&gt;"",N(K281)&gt;0),K281+275/1000000,"")</f>
        <v/>
      </c>
    </row>
    <row r="282">
      <c r="B282" s="62" t="n"/>
      <c r="C282" s="62" t="n"/>
      <c r="D282" s="62" t="n"/>
      <c r="E282" s="62" t="n"/>
      <c r="F282" s="62" t="n"/>
      <c r="G282" s="69" t="n"/>
      <c r="H282" s="62" t="n"/>
      <c r="I282" s="65">
        <f>IF(B282="","",SUMIFS(ap_Amount,ap_Party,B282,ap_Posted,1,ap_Date,"&lt;="&amp;AsOf))</f>
        <v/>
      </c>
      <c r="J282" s="65">
        <f>IF(B282="","",SUMIFS(ap_Paid,ap_Party,B282))</f>
        <v/>
      </c>
      <c r="K282" s="65">
        <f>IF(B282="","",SUMIFS(ap_Balance,ap_Party,B282))</f>
        <v/>
      </c>
      <c r="L282" s="65">
        <f>IF(B282="","",SUMIFS(ap_Balance,ap_Party,B282,ap_Status,"Overdue"))</f>
        <v/>
      </c>
      <c r="M282" s="66">
        <f>IF(B282="","",IF(COUNTIF(vend_Name,B282)&gt;1,"⚠ Duplicate name","✓ OK"))</f>
        <v/>
      </c>
      <c r="N282" s="67">
        <f>IF(AND(B282&lt;&gt;"",N(K282)&gt;0),K282+276/1000000,"")</f>
        <v/>
      </c>
    </row>
    <row r="283">
      <c r="B283" s="62" t="n"/>
      <c r="C283" s="62" t="n"/>
      <c r="D283" s="62" t="n"/>
      <c r="E283" s="62" t="n"/>
      <c r="F283" s="62" t="n"/>
      <c r="G283" s="69" t="n"/>
      <c r="H283" s="62" t="n"/>
      <c r="I283" s="65">
        <f>IF(B283="","",SUMIFS(ap_Amount,ap_Party,B283,ap_Posted,1,ap_Date,"&lt;="&amp;AsOf))</f>
        <v/>
      </c>
      <c r="J283" s="65">
        <f>IF(B283="","",SUMIFS(ap_Paid,ap_Party,B283))</f>
        <v/>
      </c>
      <c r="K283" s="65">
        <f>IF(B283="","",SUMIFS(ap_Balance,ap_Party,B283))</f>
        <v/>
      </c>
      <c r="L283" s="65">
        <f>IF(B283="","",SUMIFS(ap_Balance,ap_Party,B283,ap_Status,"Overdue"))</f>
        <v/>
      </c>
      <c r="M283" s="66">
        <f>IF(B283="","",IF(COUNTIF(vend_Name,B283)&gt;1,"⚠ Duplicate name","✓ OK"))</f>
        <v/>
      </c>
      <c r="N283" s="67">
        <f>IF(AND(B283&lt;&gt;"",N(K283)&gt;0),K283+277/1000000,"")</f>
        <v/>
      </c>
    </row>
    <row r="284">
      <c r="B284" s="62" t="n"/>
      <c r="C284" s="62" t="n"/>
      <c r="D284" s="62" t="n"/>
      <c r="E284" s="62" t="n"/>
      <c r="F284" s="62" t="n"/>
      <c r="G284" s="69" t="n"/>
      <c r="H284" s="62" t="n"/>
      <c r="I284" s="65">
        <f>IF(B284="","",SUMIFS(ap_Amount,ap_Party,B284,ap_Posted,1,ap_Date,"&lt;="&amp;AsOf))</f>
        <v/>
      </c>
      <c r="J284" s="65">
        <f>IF(B284="","",SUMIFS(ap_Paid,ap_Party,B284))</f>
        <v/>
      </c>
      <c r="K284" s="65">
        <f>IF(B284="","",SUMIFS(ap_Balance,ap_Party,B284))</f>
        <v/>
      </c>
      <c r="L284" s="65">
        <f>IF(B284="","",SUMIFS(ap_Balance,ap_Party,B284,ap_Status,"Overdue"))</f>
        <v/>
      </c>
      <c r="M284" s="66">
        <f>IF(B284="","",IF(COUNTIF(vend_Name,B284)&gt;1,"⚠ Duplicate name","✓ OK"))</f>
        <v/>
      </c>
      <c r="N284" s="67">
        <f>IF(AND(B284&lt;&gt;"",N(K284)&gt;0),K284+278/1000000,"")</f>
        <v/>
      </c>
    </row>
    <row r="285">
      <c r="B285" s="62" t="n"/>
      <c r="C285" s="62" t="n"/>
      <c r="D285" s="62" t="n"/>
      <c r="E285" s="62" t="n"/>
      <c r="F285" s="62" t="n"/>
      <c r="G285" s="69" t="n"/>
      <c r="H285" s="62" t="n"/>
      <c r="I285" s="65">
        <f>IF(B285="","",SUMIFS(ap_Amount,ap_Party,B285,ap_Posted,1,ap_Date,"&lt;="&amp;AsOf))</f>
        <v/>
      </c>
      <c r="J285" s="65">
        <f>IF(B285="","",SUMIFS(ap_Paid,ap_Party,B285))</f>
        <v/>
      </c>
      <c r="K285" s="65">
        <f>IF(B285="","",SUMIFS(ap_Balance,ap_Party,B285))</f>
        <v/>
      </c>
      <c r="L285" s="65">
        <f>IF(B285="","",SUMIFS(ap_Balance,ap_Party,B285,ap_Status,"Overdue"))</f>
        <v/>
      </c>
      <c r="M285" s="66">
        <f>IF(B285="","",IF(COUNTIF(vend_Name,B285)&gt;1,"⚠ Duplicate name","✓ OK"))</f>
        <v/>
      </c>
      <c r="N285" s="67">
        <f>IF(AND(B285&lt;&gt;"",N(K285)&gt;0),K285+279/1000000,"")</f>
        <v/>
      </c>
    </row>
    <row r="286">
      <c r="B286" s="62" t="n"/>
      <c r="C286" s="62" t="n"/>
      <c r="D286" s="62" t="n"/>
      <c r="E286" s="62" t="n"/>
      <c r="F286" s="62" t="n"/>
      <c r="G286" s="69" t="n"/>
      <c r="H286" s="62" t="n"/>
      <c r="I286" s="65">
        <f>IF(B286="","",SUMIFS(ap_Amount,ap_Party,B286,ap_Posted,1,ap_Date,"&lt;="&amp;AsOf))</f>
        <v/>
      </c>
      <c r="J286" s="65">
        <f>IF(B286="","",SUMIFS(ap_Paid,ap_Party,B286))</f>
        <v/>
      </c>
      <c r="K286" s="65">
        <f>IF(B286="","",SUMIFS(ap_Balance,ap_Party,B286))</f>
        <v/>
      </c>
      <c r="L286" s="65">
        <f>IF(B286="","",SUMIFS(ap_Balance,ap_Party,B286,ap_Status,"Overdue"))</f>
        <v/>
      </c>
      <c r="M286" s="66">
        <f>IF(B286="","",IF(COUNTIF(vend_Name,B286)&gt;1,"⚠ Duplicate name","✓ OK"))</f>
        <v/>
      </c>
      <c r="N286" s="67">
        <f>IF(AND(B286&lt;&gt;"",N(K286)&gt;0),K286+280/1000000,"")</f>
        <v/>
      </c>
    </row>
    <row r="287">
      <c r="B287" s="62" t="n"/>
      <c r="C287" s="62" t="n"/>
      <c r="D287" s="62" t="n"/>
      <c r="E287" s="62" t="n"/>
      <c r="F287" s="62" t="n"/>
      <c r="G287" s="69" t="n"/>
      <c r="H287" s="62" t="n"/>
      <c r="I287" s="65">
        <f>IF(B287="","",SUMIFS(ap_Amount,ap_Party,B287,ap_Posted,1,ap_Date,"&lt;="&amp;AsOf))</f>
        <v/>
      </c>
      <c r="J287" s="65">
        <f>IF(B287="","",SUMIFS(ap_Paid,ap_Party,B287))</f>
        <v/>
      </c>
      <c r="K287" s="65">
        <f>IF(B287="","",SUMIFS(ap_Balance,ap_Party,B287))</f>
        <v/>
      </c>
      <c r="L287" s="65">
        <f>IF(B287="","",SUMIFS(ap_Balance,ap_Party,B287,ap_Status,"Overdue"))</f>
        <v/>
      </c>
      <c r="M287" s="66">
        <f>IF(B287="","",IF(COUNTIF(vend_Name,B287)&gt;1,"⚠ Duplicate name","✓ OK"))</f>
        <v/>
      </c>
      <c r="N287" s="67">
        <f>IF(AND(B287&lt;&gt;"",N(K287)&gt;0),K287+281/1000000,"")</f>
        <v/>
      </c>
    </row>
    <row r="288">
      <c r="B288" s="62" t="n"/>
      <c r="C288" s="62" t="n"/>
      <c r="D288" s="62" t="n"/>
      <c r="E288" s="62" t="n"/>
      <c r="F288" s="62" t="n"/>
      <c r="G288" s="69" t="n"/>
      <c r="H288" s="62" t="n"/>
      <c r="I288" s="65">
        <f>IF(B288="","",SUMIFS(ap_Amount,ap_Party,B288,ap_Posted,1,ap_Date,"&lt;="&amp;AsOf))</f>
        <v/>
      </c>
      <c r="J288" s="65">
        <f>IF(B288="","",SUMIFS(ap_Paid,ap_Party,B288))</f>
        <v/>
      </c>
      <c r="K288" s="65">
        <f>IF(B288="","",SUMIFS(ap_Balance,ap_Party,B288))</f>
        <v/>
      </c>
      <c r="L288" s="65">
        <f>IF(B288="","",SUMIFS(ap_Balance,ap_Party,B288,ap_Status,"Overdue"))</f>
        <v/>
      </c>
      <c r="M288" s="66">
        <f>IF(B288="","",IF(COUNTIF(vend_Name,B288)&gt;1,"⚠ Duplicate name","✓ OK"))</f>
        <v/>
      </c>
      <c r="N288" s="67">
        <f>IF(AND(B288&lt;&gt;"",N(K288)&gt;0),K288+282/1000000,"")</f>
        <v/>
      </c>
    </row>
    <row r="289">
      <c r="B289" s="62" t="n"/>
      <c r="C289" s="62" t="n"/>
      <c r="D289" s="62" t="n"/>
      <c r="E289" s="62" t="n"/>
      <c r="F289" s="62" t="n"/>
      <c r="G289" s="69" t="n"/>
      <c r="H289" s="62" t="n"/>
      <c r="I289" s="65">
        <f>IF(B289="","",SUMIFS(ap_Amount,ap_Party,B289,ap_Posted,1,ap_Date,"&lt;="&amp;AsOf))</f>
        <v/>
      </c>
      <c r="J289" s="65">
        <f>IF(B289="","",SUMIFS(ap_Paid,ap_Party,B289))</f>
        <v/>
      </c>
      <c r="K289" s="65">
        <f>IF(B289="","",SUMIFS(ap_Balance,ap_Party,B289))</f>
        <v/>
      </c>
      <c r="L289" s="65">
        <f>IF(B289="","",SUMIFS(ap_Balance,ap_Party,B289,ap_Status,"Overdue"))</f>
        <v/>
      </c>
      <c r="M289" s="66">
        <f>IF(B289="","",IF(COUNTIF(vend_Name,B289)&gt;1,"⚠ Duplicate name","✓ OK"))</f>
        <v/>
      </c>
      <c r="N289" s="67">
        <f>IF(AND(B289&lt;&gt;"",N(K289)&gt;0),K289+283/1000000,"")</f>
        <v/>
      </c>
    </row>
    <row r="290">
      <c r="B290" s="62" t="n"/>
      <c r="C290" s="62" t="n"/>
      <c r="D290" s="62" t="n"/>
      <c r="E290" s="62" t="n"/>
      <c r="F290" s="62" t="n"/>
      <c r="G290" s="69" t="n"/>
      <c r="H290" s="62" t="n"/>
      <c r="I290" s="65">
        <f>IF(B290="","",SUMIFS(ap_Amount,ap_Party,B290,ap_Posted,1,ap_Date,"&lt;="&amp;AsOf))</f>
        <v/>
      </c>
      <c r="J290" s="65">
        <f>IF(B290="","",SUMIFS(ap_Paid,ap_Party,B290))</f>
        <v/>
      </c>
      <c r="K290" s="65">
        <f>IF(B290="","",SUMIFS(ap_Balance,ap_Party,B290))</f>
        <v/>
      </c>
      <c r="L290" s="65">
        <f>IF(B290="","",SUMIFS(ap_Balance,ap_Party,B290,ap_Status,"Overdue"))</f>
        <v/>
      </c>
      <c r="M290" s="66">
        <f>IF(B290="","",IF(COUNTIF(vend_Name,B290)&gt;1,"⚠ Duplicate name","✓ OK"))</f>
        <v/>
      </c>
      <c r="N290" s="67">
        <f>IF(AND(B290&lt;&gt;"",N(K290)&gt;0),K290+284/1000000,"")</f>
        <v/>
      </c>
    </row>
    <row r="291">
      <c r="B291" s="62" t="n"/>
      <c r="C291" s="62" t="n"/>
      <c r="D291" s="62" t="n"/>
      <c r="E291" s="62" t="n"/>
      <c r="F291" s="62" t="n"/>
      <c r="G291" s="69" t="n"/>
      <c r="H291" s="62" t="n"/>
      <c r="I291" s="65">
        <f>IF(B291="","",SUMIFS(ap_Amount,ap_Party,B291,ap_Posted,1,ap_Date,"&lt;="&amp;AsOf))</f>
        <v/>
      </c>
      <c r="J291" s="65">
        <f>IF(B291="","",SUMIFS(ap_Paid,ap_Party,B291))</f>
        <v/>
      </c>
      <c r="K291" s="65">
        <f>IF(B291="","",SUMIFS(ap_Balance,ap_Party,B291))</f>
        <v/>
      </c>
      <c r="L291" s="65">
        <f>IF(B291="","",SUMIFS(ap_Balance,ap_Party,B291,ap_Status,"Overdue"))</f>
        <v/>
      </c>
      <c r="M291" s="66">
        <f>IF(B291="","",IF(COUNTIF(vend_Name,B291)&gt;1,"⚠ Duplicate name","✓ OK"))</f>
        <v/>
      </c>
      <c r="N291" s="67">
        <f>IF(AND(B291&lt;&gt;"",N(K291)&gt;0),K291+285/1000000,"")</f>
        <v/>
      </c>
    </row>
    <row r="292">
      <c r="B292" s="62" t="n"/>
      <c r="C292" s="62" t="n"/>
      <c r="D292" s="62" t="n"/>
      <c r="E292" s="62" t="n"/>
      <c r="F292" s="62" t="n"/>
      <c r="G292" s="69" t="n"/>
      <c r="H292" s="62" t="n"/>
      <c r="I292" s="65">
        <f>IF(B292="","",SUMIFS(ap_Amount,ap_Party,B292,ap_Posted,1,ap_Date,"&lt;="&amp;AsOf))</f>
        <v/>
      </c>
      <c r="J292" s="65">
        <f>IF(B292="","",SUMIFS(ap_Paid,ap_Party,B292))</f>
        <v/>
      </c>
      <c r="K292" s="65">
        <f>IF(B292="","",SUMIFS(ap_Balance,ap_Party,B292))</f>
        <v/>
      </c>
      <c r="L292" s="65">
        <f>IF(B292="","",SUMIFS(ap_Balance,ap_Party,B292,ap_Status,"Overdue"))</f>
        <v/>
      </c>
      <c r="M292" s="66">
        <f>IF(B292="","",IF(COUNTIF(vend_Name,B292)&gt;1,"⚠ Duplicate name","✓ OK"))</f>
        <v/>
      </c>
      <c r="N292" s="67">
        <f>IF(AND(B292&lt;&gt;"",N(K292)&gt;0),K292+286/1000000,"")</f>
        <v/>
      </c>
    </row>
    <row r="293">
      <c r="B293" s="62" t="n"/>
      <c r="C293" s="62" t="n"/>
      <c r="D293" s="62" t="n"/>
      <c r="E293" s="62" t="n"/>
      <c r="F293" s="62" t="n"/>
      <c r="G293" s="69" t="n"/>
      <c r="H293" s="62" t="n"/>
      <c r="I293" s="65">
        <f>IF(B293="","",SUMIFS(ap_Amount,ap_Party,B293,ap_Posted,1,ap_Date,"&lt;="&amp;AsOf))</f>
        <v/>
      </c>
      <c r="J293" s="65">
        <f>IF(B293="","",SUMIFS(ap_Paid,ap_Party,B293))</f>
        <v/>
      </c>
      <c r="K293" s="65">
        <f>IF(B293="","",SUMIFS(ap_Balance,ap_Party,B293))</f>
        <v/>
      </c>
      <c r="L293" s="65">
        <f>IF(B293="","",SUMIFS(ap_Balance,ap_Party,B293,ap_Status,"Overdue"))</f>
        <v/>
      </c>
      <c r="M293" s="66">
        <f>IF(B293="","",IF(COUNTIF(vend_Name,B293)&gt;1,"⚠ Duplicate name","✓ OK"))</f>
        <v/>
      </c>
      <c r="N293" s="67">
        <f>IF(AND(B293&lt;&gt;"",N(K293)&gt;0),K293+287/1000000,"")</f>
        <v/>
      </c>
    </row>
    <row r="294">
      <c r="B294" s="62" t="n"/>
      <c r="C294" s="62" t="n"/>
      <c r="D294" s="62" t="n"/>
      <c r="E294" s="62" t="n"/>
      <c r="F294" s="62" t="n"/>
      <c r="G294" s="69" t="n"/>
      <c r="H294" s="62" t="n"/>
      <c r="I294" s="65">
        <f>IF(B294="","",SUMIFS(ap_Amount,ap_Party,B294,ap_Posted,1,ap_Date,"&lt;="&amp;AsOf))</f>
        <v/>
      </c>
      <c r="J294" s="65">
        <f>IF(B294="","",SUMIFS(ap_Paid,ap_Party,B294))</f>
        <v/>
      </c>
      <c r="K294" s="65">
        <f>IF(B294="","",SUMIFS(ap_Balance,ap_Party,B294))</f>
        <v/>
      </c>
      <c r="L294" s="65">
        <f>IF(B294="","",SUMIFS(ap_Balance,ap_Party,B294,ap_Status,"Overdue"))</f>
        <v/>
      </c>
      <c r="M294" s="66">
        <f>IF(B294="","",IF(COUNTIF(vend_Name,B294)&gt;1,"⚠ Duplicate name","✓ OK"))</f>
        <v/>
      </c>
      <c r="N294" s="67">
        <f>IF(AND(B294&lt;&gt;"",N(K294)&gt;0),K294+288/1000000,"")</f>
        <v/>
      </c>
    </row>
    <row r="295">
      <c r="B295" s="62" t="n"/>
      <c r="C295" s="62" t="n"/>
      <c r="D295" s="62" t="n"/>
      <c r="E295" s="62" t="n"/>
      <c r="F295" s="62" t="n"/>
      <c r="G295" s="69" t="n"/>
      <c r="H295" s="62" t="n"/>
      <c r="I295" s="65">
        <f>IF(B295="","",SUMIFS(ap_Amount,ap_Party,B295,ap_Posted,1,ap_Date,"&lt;="&amp;AsOf))</f>
        <v/>
      </c>
      <c r="J295" s="65">
        <f>IF(B295="","",SUMIFS(ap_Paid,ap_Party,B295))</f>
        <v/>
      </c>
      <c r="K295" s="65">
        <f>IF(B295="","",SUMIFS(ap_Balance,ap_Party,B295))</f>
        <v/>
      </c>
      <c r="L295" s="65">
        <f>IF(B295="","",SUMIFS(ap_Balance,ap_Party,B295,ap_Status,"Overdue"))</f>
        <v/>
      </c>
      <c r="M295" s="66">
        <f>IF(B295="","",IF(COUNTIF(vend_Name,B295)&gt;1,"⚠ Duplicate name","✓ OK"))</f>
        <v/>
      </c>
      <c r="N295" s="67">
        <f>IF(AND(B295&lt;&gt;"",N(K295)&gt;0),K295+289/1000000,"")</f>
        <v/>
      </c>
    </row>
    <row r="296">
      <c r="B296" s="62" t="n"/>
      <c r="C296" s="62" t="n"/>
      <c r="D296" s="62" t="n"/>
      <c r="E296" s="62" t="n"/>
      <c r="F296" s="62" t="n"/>
      <c r="G296" s="69" t="n"/>
      <c r="H296" s="62" t="n"/>
      <c r="I296" s="65">
        <f>IF(B296="","",SUMIFS(ap_Amount,ap_Party,B296,ap_Posted,1,ap_Date,"&lt;="&amp;AsOf))</f>
        <v/>
      </c>
      <c r="J296" s="65">
        <f>IF(B296="","",SUMIFS(ap_Paid,ap_Party,B296))</f>
        <v/>
      </c>
      <c r="K296" s="65">
        <f>IF(B296="","",SUMIFS(ap_Balance,ap_Party,B296))</f>
        <v/>
      </c>
      <c r="L296" s="65">
        <f>IF(B296="","",SUMIFS(ap_Balance,ap_Party,B296,ap_Status,"Overdue"))</f>
        <v/>
      </c>
      <c r="M296" s="66">
        <f>IF(B296="","",IF(COUNTIF(vend_Name,B296)&gt;1,"⚠ Duplicate name","✓ OK"))</f>
        <v/>
      </c>
      <c r="N296" s="67">
        <f>IF(AND(B296&lt;&gt;"",N(K296)&gt;0),K296+290/1000000,"")</f>
        <v/>
      </c>
    </row>
    <row r="297">
      <c r="B297" s="62" t="n"/>
      <c r="C297" s="62" t="n"/>
      <c r="D297" s="62" t="n"/>
      <c r="E297" s="62" t="n"/>
      <c r="F297" s="62" t="n"/>
      <c r="G297" s="69" t="n"/>
      <c r="H297" s="62" t="n"/>
      <c r="I297" s="65">
        <f>IF(B297="","",SUMIFS(ap_Amount,ap_Party,B297,ap_Posted,1,ap_Date,"&lt;="&amp;AsOf))</f>
        <v/>
      </c>
      <c r="J297" s="65">
        <f>IF(B297="","",SUMIFS(ap_Paid,ap_Party,B297))</f>
        <v/>
      </c>
      <c r="K297" s="65">
        <f>IF(B297="","",SUMIFS(ap_Balance,ap_Party,B297))</f>
        <v/>
      </c>
      <c r="L297" s="65">
        <f>IF(B297="","",SUMIFS(ap_Balance,ap_Party,B297,ap_Status,"Overdue"))</f>
        <v/>
      </c>
      <c r="M297" s="66">
        <f>IF(B297="","",IF(COUNTIF(vend_Name,B297)&gt;1,"⚠ Duplicate name","✓ OK"))</f>
        <v/>
      </c>
      <c r="N297" s="67">
        <f>IF(AND(B297&lt;&gt;"",N(K297)&gt;0),K297+291/1000000,"")</f>
        <v/>
      </c>
    </row>
    <row r="298">
      <c r="B298" s="62" t="n"/>
      <c r="C298" s="62" t="n"/>
      <c r="D298" s="62" t="n"/>
      <c r="E298" s="62" t="n"/>
      <c r="F298" s="62" t="n"/>
      <c r="G298" s="69" t="n"/>
      <c r="H298" s="62" t="n"/>
      <c r="I298" s="65">
        <f>IF(B298="","",SUMIFS(ap_Amount,ap_Party,B298,ap_Posted,1,ap_Date,"&lt;="&amp;AsOf))</f>
        <v/>
      </c>
      <c r="J298" s="65">
        <f>IF(B298="","",SUMIFS(ap_Paid,ap_Party,B298))</f>
        <v/>
      </c>
      <c r="K298" s="65">
        <f>IF(B298="","",SUMIFS(ap_Balance,ap_Party,B298))</f>
        <v/>
      </c>
      <c r="L298" s="65">
        <f>IF(B298="","",SUMIFS(ap_Balance,ap_Party,B298,ap_Status,"Overdue"))</f>
        <v/>
      </c>
      <c r="M298" s="66">
        <f>IF(B298="","",IF(COUNTIF(vend_Name,B298)&gt;1,"⚠ Duplicate name","✓ OK"))</f>
        <v/>
      </c>
      <c r="N298" s="67">
        <f>IF(AND(B298&lt;&gt;"",N(K298)&gt;0),K298+292/1000000,"")</f>
        <v/>
      </c>
    </row>
    <row r="299">
      <c r="B299" s="62" t="n"/>
      <c r="C299" s="62" t="n"/>
      <c r="D299" s="62" t="n"/>
      <c r="E299" s="62" t="n"/>
      <c r="F299" s="62" t="n"/>
      <c r="G299" s="69" t="n"/>
      <c r="H299" s="62" t="n"/>
      <c r="I299" s="65">
        <f>IF(B299="","",SUMIFS(ap_Amount,ap_Party,B299,ap_Posted,1,ap_Date,"&lt;="&amp;AsOf))</f>
        <v/>
      </c>
      <c r="J299" s="65">
        <f>IF(B299="","",SUMIFS(ap_Paid,ap_Party,B299))</f>
        <v/>
      </c>
      <c r="K299" s="65">
        <f>IF(B299="","",SUMIFS(ap_Balance,ap_Party,B299))</f>
        <v/>
      </c>
      <c r="L299" s="65">
        <f>IF(B299="","",SUMIFS(ap_Balance,ap_Party,B299,ap_Status,"Overdue"))</f>
        <v/>
      </c>
      <c r="M299" s="66">
        <f>IF(B299="","",IF(COUNTIF(vend_Name,B299)&gt;1,"⚠ Duplicate name","✓ OK"))</f>
        <v/>
      </c>
      <c r="N299" s="67">
        <f>IF(AND(B299&lt;&gt;"",N(K299)&gt;0),K299+293/1000000,"")</f>
        <v/>
      </c>
    </row>
    <row r="300">
      <c r="B300" s="62" t="n"/>
      <c r="C300" s="62" t="n"/>
      <c r="D300" s="62" t="n"/>
      <c r="E300" s="62" t="n"/>
      <c r="F300" s="62" t="n"/>
      <c r="G300" s="69" t="n"/>
      <c r="H300" s="62" t="n"/>
      <c r="I300" s="65">
        <f>IF(B300="","",SUMIFS(ap_Amount,ap_Party,B300,ap_Posted,1,ap_Date,"&lt;="&amp;AsOf))</f>
        <v/>
      </c>
      <c r="J300" s="65">
        <f>IF(B300="","",SUMIFS(ap_Paid,ap_Party,B300))</f>
        <v/>
      </c>
      <c r="K300" s="65">
        <f>IF(B300="","",SUMIFS(ap_Balance,ap_Party,B300))</f>
        <v/>
      </c>
      <c r="L300" s="65">
        <f>IF(B300="","",SUMIFS(ap_Balance,ap_Party,B300,ap_Status,"Overdue"))</f>
        <v/>
      </c>
      <c r="M300" s="66">
        <f>IF(B300="","",IF(COUNTIF(vend_Name,B300)&gt;1,"⚠ Duplicate name","✓ OK"))</f>
        <v/>
      </c>
      <c r="N300" s="67">
        <f>IF(AND(B300&lt;&gt;"",N(K300)&gt;0),K300+294/1000000,"")</f>
        <v/>
      </c>
    </row>
    <row r="301">
      <c r="B301" s="62" t="n"/>
      <c r="C301" s="62" t="n"/>
      <c r="D301" s="62" t="n"/>
      <c r="E301" s="62" t="n"/>
      <c r="F301" s="62" t="n"/>
      <c r="G301" s="69" t="n"/>
      <c r="H301" s="62" t="n"/>
      <c r="I301" s="65">
        <f>IF(B301="","",SUMIFS(ap_Amount,ap_Party,B301,ap_Posted,1,ap_Date,"&lt;="&amp;AsOf))</f>
        <v/>
      </c>
      <c r="J301" s="65">
        <f>IF(B301="","",SUMIFS(ap_Paid,ap_Party,B301))</f>
        <v/>
      </c>
      <c r="K301" s="65">
        <f>IF(B301="","",SUMIFS(ap_Balance,ap_Party,B301))</f>
        <v/>
      </c>
      <c r="L301" s="65">
        <f>IF(B301="","",SUMIFS(ap_Balance,ap_Party,B301,ap_Status,"Overdue"))</f>
        <v/>
      </c>
      <c r="M301" s="66">
        <f>IF(B301="","",IF(COUNTIF(vend_Name,B301)&gt;1,"⚠ Duplicate name","✓ OK"))</f>
        <v/>
      </c>
      <c r="N301" s="67">
        <f>IF(AND(B301&lt;&gt;"",N(K301)&gt;0),K301+295/1000000,"")</f>
        <v/>
      </c>
    </row>
    <row r="302">
      <c r="B302" s="62" t="n"/>
      <c r="C302" s="62" t="n"/>
      <c r="D302" s="62" t="n"/>
      <c r="E302" s="62" t="n"/>
      <c r="F302" s="62" t="n"/>
      <c r="G302" s="69" t="n"/>
      <c r="H302" s="62" t="n"/>
      <c r="I302" s="65">
        <f>IF(B302="","",SUMIFS(ap_Amount,ap_Party,B302,ap_Posted,1,ap_Date,"&lt;="&amp;AsOf))</f>
        <v/>
      </c>
      <c r="J302" s="65">
        <f>IF(B302="","",SUMIFS(ap_Paid,ap_Party,B302))</f>
        <v/>
      </c>
      <c r="K302" s="65">
        <f>IF(B302="","",SUMIFS(ap_Balance,ap_Party,B302))</f>
        <v/>
      </c>
      <c r="L302" s="65">
        <f>IF(B302="","",SUMIFS(ap_Balance,ap_Party,B302,ap_Status,"Overdue"))</f>
        <v/>
      </c>
      <c r="M302" s="66">
        <f>IF(B302="","",IF(COUNTIF(vend_Name,B302)&gt;1,"⚠ Duplicate name","✓ OK"))</f>
        <v/>
      </c>
      <c r="N302" s="67">
        <f>IF(AND(B302&lt;&gt;"",N(K302)&gt;0),K302+296/1000000,"")</f>
        <v/>
      </c>
    </row>
    <row r="303">
      <c r="B303" s="62" t="n"/>
      <c r="C303" s="62" t="n"/>
      <c r="D303" s="62" t="n"/>
      <c r="E303" s="62" t="n"/>
      <c r="F303" s="62" t="n"/>
      <c r="G303" s="69" t="n"/>
      <c r="H303" s="62" t="n"/>
      <c r="I303" s="65">
        <f>IF(B303="","",SUMIFS(ap_Amount,ap_Party,B303,ap_Posted,1,ap_Date,"&lt;="&amp;AsOf))</f>
        <v/>
      </c>
      <c r="J303" s="65">
        <f>IF(B303="","",SUMIFS(ap_Paid,ap_Party,B303))</f>
        <v/>
      </c>
      <c r="K303" s="65">
        <f>IF(B303="","",SUMIFS(ap_Balance,ap_Party,B303))</f>
        <v/>
      </c>
      <c r="L303" s="65">
        <f>IF(B303="","",SUMIFS(ap_Balance,ap_Party,B303,ap_Status,"Overdue"))</f>
        <v/>
      </c>
      <c r="M303" s="66">
        <f>IF(B303="","",IF(COUNTIF(vend_Name,B303)&gt;1,"⚠ Duplicate name","✓ OK"))</f>
        <v/>
      </c>
      <c r="N303" s="67">
        <f>IF(AND(B303&lt;&gt;"",N(K303)&gt;0),K303+297/1000000,"")</f>
        <v/>
      </c>
    </row>
    <row r="304">
      <c r="B304" s="62" t="n"/>
      <c r="C304" s="62" t="n"/>
      <c r="D304" s="62" t="n"/>
      <c r="E304" s="62" t="n"/>
      <c r="F304" s="62" t="n"/>
      <c r="G304" s="69" t="n"/>
      <c r="H304" s="62" t="n"/>
      <c r="I304" s="65">
        <f>IF(B304="","",SUMIFS(ap_Amount,ap_Party,B304,ap_Posted,1,ap_Date,"&lt;="&amp;AsOf))</f>
        <v/>
      </c>
      <c r="J304" s="65">
        <f>IF(B304="","",SUMIFS(ap_Paid,ap_Party,B304))</f>
        <v/>
      </c>
      <c r="K304" s="65">
        <f>IF(B304="","",SUMIFS(ap_Balance,ap_Party,B304))</f>
        <v/>
      </c>
      <c r="L304" s="65">
        <f>IF(B304="","",SUMIFS(ap_Balance,ap_Party,B304,ap_Status,"Overdue"))</f>
        <v/>
      </c>
      <c r="M304" s="66">
        <f>IF(B304="","",IF(COUNTIF(vend_Name,B304)&gt;1,"⚠ Duplicate name","✓ OK"))</f>
        <v/>
      </c>
      <c r="N304" s="67">
        <f>IF(AND(B304&lt;&gt;"",N(K304)&gt;0),K304+298/1000000,"")</f>
        <v/>
      </c>
    </row>
    <row r="305">
      <c r="B305" s="62" t="n"/>
      <c r="C305" s="62" t="n"/>
      <c r="D305" s="62" t="n"/>
      <c r="E305" s="62" t="n"/>
      <c r="F305" s="62" t="n"/>
      <c r="G305" s="69" t="n"/>
      <c r="H305" s="62" t="n"/>
      <c r="I305" s="65">
        <f>IF(B305="","",SUMIFS(ap_Amount,ap_Party,B305,ap_Posted,1,ap_Date,"&lt;="&amp;AsOf))</f>
        <v/>
      </c>
      <c r="J305" s="65">
        <f>IF(B305="","",SUMIFS(ap_Paid,ap_Party,B305))</f>
        <v/>
      </c>
      <c r="K305" s="65">
        <f>IF(B305="","",SUMIFS(ap_Balance,ap_Party,B305))</f>
        <v/>
      </c>
      <c r="L305" s="65">
        <f>IF(B305="","",SUMIFS(ap_Balance,ap_Party,B305,ap_Status,"Overdue"))</f>
        <v/>
      </c>
      <c r="M305" s="66">
        <f>IF(B305="","",IF(COUNTIF(vend_Name,B305)&gt;1,"⚠ Duplicate name","✓ OK"))</f>
        <v/>
      </c>
      <c r="N305" s="67">
        <f>IF(AND(B305&lt;&gt;"",N(K305)&gt;0),K305+299/1000000,"")</f>
        <v/>
      </c>
    </row>
    <row r="306">
      <c r="B306" s="62" t="n"/>
      <c r="C306" s="62" t="n"/>
      <c r="D306" s="62" t="n"/>
      <c r="E306" s="62" t="n"/>
      <c r="F306" s="62" t="n"/>
      <c r="G306" s="69" t="n"/>
      <c r="H306" s="62" t="n"/>
      <c r="I306" s="65">
        <f>IF(B306="","",SUMIFS(ap_Amount,ap_Party,B306,ap_Posted,1,ap_Date,"&lt;="&amp;AsOf))</f>
        <v/>
      </c>
      <c r="J306" s="65">
        <f>IF(B306="","",SUMIFS(ap_Paid,ap_Party,B306))</f>
        <v/>
      </c>
      <c r="K306" s="65">
        <f>IF(B306="","",SUMIFS(ap_Balance,ap_Party,B306))</f>
        <v/>
      </c>
      <c r="L306" s="65">
        <f>IF(B306="","",SUMIFS(ap_Balance,ap_Party,B306,ap_Status,"Overdue"))</f>
        <v/>
      </c>
      <c r="M306" s="66">
        <f>IF(B306="","",IF(COUNTIF(vend_Name,B306)&gt;1,"⚠ Duplicate name","✓ OK"))</f>
        <v/>
      </c>
      <c r="N306" s="67">
        <f>IF(AND(B306&lt;&gt;"",N(K306)&gt;0),K306+300/1000000,"")</f>
        <v/>
      </c>
    </row>
  </sheetData>
  <conditionalFormatting sqref="M7:M306">
    <cfRule type="expression" priority="1" dxfId="0">
      <formula>LEFT(M7,1)="⛔"</formula>
    </cfRule>
    <cfRule type="expression" priority="2" dxfId="1">
      <formula>LEFT(M7,1)="⚠"</formula>
    </cfRule>
    <cfRule type="expression" priority="3" dxfId="2">
      <formula>LEFT(M7,1)="✓"</formula>
    </cfRule>
  </conditionalFormatting>
  <dataValidations count="1">
    <dataValidation sqref="G7:G306" showDropDown="0" showInputMessage="0" showErrorMessage="1" allowBlank="1" errorTitle="Numbers only" error="Enter a number without currency symbols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30" customWidth="1" min="3" max="3"/>
    <col width="20" customWidth="1" min="4" max="4"/>
    <col width="10" customWidth="1" min="5" max="5"/>
    <col width="12" customWidth="1" min="6" max="6"/>
    <col width="10" customWidth="1" min="7" max="7"/>
    <col width="8" customWidth="1" min="8" max="8"/>
    <col width="15" customWidth="1" min="9" max="9"/>
    <col width="46" customWidth="1" min="10" max="10"/>
    <col width="16" customWidth="1" min="11" max="11"/>
    <col width="34" customWidth="1" min="12" max="12"/>
    <col hidden="1" outlineLevel="1" width="7" customWidth="1" min="13" max="14"/>
  </cols>
  <sheetData>
    <row r="1" ht="26" customHeight="1">
      <c r="B1" s="19" t="inlineStr">
        <is>
          <t>Chart of Accounts</t>
        </is>
      </c>
    </row>
    <row r="2">
      <c r="B2" s="20" t="inlineStr">
        <is>
          <t>Your categories. Rename, add or deactivate accounts here — reports pick them up automatically.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>
      <c r="B4" s="23" t="inlineStr">
        <is>
          <t>Tip: work top-to-bottom, one row per entry. Rows with ⛔ are NOT included in reports until fixed; ⚠ rows are included but worth a look.</t>
        </is>
      </c>
    </row>
    <row r="5">
      <c r="B5" s="60" t="inlineStr">
        <is>
          <t>▼ YOUR ENTRIES  (white columns — type or pick from the dropdown)</t>
        </is>
      </c>
      <c r="K5" s="31" t="inlineStr">
        <is>
          <t>▼ AUTOMATIC  (grey columns — calculated, do not type)</t>
        </is>
      </c>
    </row>
    <row r="6" ht="30" customHeight="1">
      <c r="B6" s="7" t="inlineStr">
        <is>
          <t>Code</t>
        </is>
      </c>
      <c r="C6" s="7" t="inlineStr">
        <is>
          <t>Account Name</t>
        </is>
      </c>
      <c r="D6" s="7" t="inlineStr">
        <is>
          <t>Account Type</t>
        </is>
      </c>
      <c r="E6" s="7" t="inlineStr">
        <is>
          <t>Normal Balance</t>
        </is>
      </c>
      <c r="F6" s="7" t="inlineStr">
        <is>
          <t>Cash Flow Section</t>
        </is>
      </c>
      <c r="G6" s="7" t="inlineStr">
        <is>
          <t>Payment Account?</t>
        </is>
      </c>
      <c r="H6" s="7" t="inlineStr">
        <is>
          <t>Active?</t>
        </is>
      </c>
      <c r="I6" s="7" t="inlineStr">
        <is>
          <t>Opening Balance</t>
        </is>
      </c>
      <c r="J6" s="7" t="inlineStr">
        <is>
          <t>Description</t>
        </is>
      </c>
      <c r="K6" s="61" t="inlineStr">
        <is>
          <t>Balance at Report Date</t>
        </is>
      </c>
      <c r="L6" s="61" t="inlineStr">
        <is>
          <t>Check</t>
        </is>
      </c>
      <c r="M6" s="61" t="inlineStr">
        <is>
          <t>Active #</t>
        </is>
      </c>
      <c r="N6" s="61" t="inlineStr">
        <is>
          <t>Payment #</t>
        </is>
      </c>
    </row>
    <row r="7">
      <c r="B7" s="69" t="n">
        <v>1000</v>
      </c>
      <c r="C7" s="62" t="inlineStr">
        <is>
          <t>Cash on Hand</t>
        </is>
      </c>
      <c r="D7" s="62" t="inlineStr">
        <is>
          <t>Current Asset</t>
        </is>
      </c>
      <c r="E7" s="62" t="inlineStr">
        <is>
          <t>Debit</t>
        </is>
      </c>
      <c r="F7" s="62" t="inlineStr">
        <is>
          <t>Cash</t>
        </is>
      </c>
      <c r="G7" s="62" t="inlineStr">
        <is>
          <t>Yes</t>
        </is>
      </c>
      <c r="H7" s="62" t="inlineStr">
        <is>
          <t>Yes</t>
        </is>
      </c>
      <c r="I7" s="65">
        <f>OpenCash</f>
        <v/>
      </c>
      <c r="J7" s="62" t="inlineStr">
        <is>
          <t>Physical cash / cash register / petty cash</t>
        </is>
      </c>
      <c r="K7" s="65">
        <f>IF(C7="","",IFERROR(INDEX(calc_Bal,MATCH(C7,calc_Name,0))*IF(E7="Credit",-1,1),0))</f>
        <v/>
      </c>
      <c r="L7" s="66">
        <f>IF(AND(C7="",B7="",D7=""),"",IF(C7="","⛔ Enter an account name",IF(COUNTIF(coa_Name,C7)&gt;1,"⛔ Duplicate account name",IF(ISNA(MATCH(D7,at_Type,0)),"⛔ Select an account type",IF(AND(E7&lt;&gt;"Debit",E7&lt;&gt;"Credit"),"⛔ Normal balance must be Debit or Credit",IF(ISNA(MATCH(F7,lstCF,0)),"⚠ Select a cash flow section",IF(AND(B7&lt;&gt;"",COUNTIF(coa_Code,B7)&gt;1),"⚠ Duplicate account code",IF(AND(N(I7)&lt;&gt;0,INDEX(at_Stmt,MATCH(D7,at_Type,0))="PL"),"⚠ Opening balance on a profit &amp; loss account","✓ OK"))))))))</f>
        <v/>
      </c>
      <c r="M7" s="67">
        <f>IF(AND(C7&lt;&gt;"",H7&lt;&gt;"No"),COUNTIFS($C$7:C7,"&lt;&gt;",$H$7:H7,"&lt;&gt;No"),"")</f>
        <v/>
      </c>
      <c r="N7" s="67">
        <f>IF(AND(C7&lt;&gt;"",H7&lt;&gt;"No",G7="Yes"),COUNTIFS($C$7:C7,"&lt;&gt;",$H$7:H7,"&lt;&gt;No",$G$7:G7,"Yes"),"")</f>
        <v/>
      </c>
    </row>
    <row r="8">
      <c r="B8" s="69" t="n">
        <v>1010</v>
      </c>
      <c r="C8" s="62" t="inlineStr">
        <is>
          <t>Bank Account</t>
        </is>
      </c>
      <c r="D8" s="62" t="inlineStr">
        <is>
          <t>Current Asset</t>
        </is>
      </c>
      <c r="E8" s="62" t="inlineStr">
        <is>
          <t>Debit</t>
        </is>
      </c>
      <c r="F8" s="62" t="inlineStr">
        <is>
          <t>Cash</t>
        </is>
      </c>
      <c r="G8" s="62" t="inlineStr">
        <is>
          <t>Yes</t>
        </is>
      </c>
      <c r="H8" s="62" t="inlineStr">
        <is>
          <t>Yes</t>
        </is>
      </c>
      <c r="I8" s="65">
        <f>OpenBank</f>
        <v/>
      </c>
      <c r="J8" s="62" t="inlineStr">
        <is>
          <t>Main business bank account</t>
        </is>
      </c>
      <c r="K8" s="65">
        <f>IF(C8="","",IFERROR(INDEX(calc_Bal,MATCH(C8,calc_Name,0))*IF(E8="Credit",-1,1),0))</f>
        <v/>
      </c>
      <c r="L8" s="66">
        <f>IF(AND(C8="",B8="",D8=""),"",IF(C8="","⛔ Enter an account name",IF(COUNTIF(coa_Name,C8)&gt;1,"⛔ Duplicate account name",IF(ISNA(MATCH(D8,at_Type,0)),"⛔ Select an account type",IF(AND(E8&lt;&gt;"Debit",E8&lt;&gt;"Credit"),"⛔ Normal balance must be Debit or Credit",IF(ISNA(MATCH(F8,lstCF,0)),"⚠ Select a cash flow section",IF(AND(B8&lt;&gt;"",COUNTIF(coa_Code,B8)&gt;1),"⚠ Duplicate account code",IF(AND(N(I8)&lt;&gt;0,INDEX(at_Stmt,MATCH(D8,at_Type,0))="PL"),"⚠ Opening balance on a profit &amp; loss account","✓ OK"))))))))</f>
        <v/>
      </c>
      <c r="M8" s="67">
        <f>IF(AND(C8&lt;&gt;"",H8&lt;&gt;"No"),COUNTIFS($C$7:C8,"&lt;&gt;",$H$7:H8,"&lt;&gt;No"),"")</f>
        <v/>
      </c>
      <c r="N8" s="67">
        <f>IF(AND(C8&lt;&gt;"",H8&lt;&gt;"No",G8="Yes"),COUNTIFS($C$7:C8,"&lt;&gt;",$H$7:H8,"&lt;&gt;No",$G$7:G8,"Yes"),"")</f>
        <v/>
      </c>
    </row>
    <row r="9">
      <c r="B9" s="69" t="n">
        <v>1020</v>
      </c>
      <c r="C9" s="62" t="inlineStr">
        <is>
          <t>E-Wallet / Online Payments</t>
        </is>
      </c>
      <c r="D9" s="62" t="inlineStr">
        <is>
          <t>Current Asset</t>
        </is>
      </c>
      <c r="E9" s="62" t="inlineStr">
        <is>
          <t>Debit</t>
        </is>
      </c>
      <c r="F9" s="62" t="inlineStr">
        <is>
          <t>Cash</t>
        </is>
      </c>
      <c r="G9" s="62" t="inlineStr">
        <is>
          <t>Yes</t>
        </is>
      </c>
      <c r="H9" s="62" t="inlineStr">
        <is>
          <t>Yes</t>
        </is>
      </c>
      <c r="I9" s="64" t="n"/>
      <c r="J9" s="62" t="inlineStr">
        <is>
          <t>GCash, PayPal, Stripe, Maya, etc.</t>
        </is>
      </c>
      <c r="K9" s="65">
        <f>IF(C9="","",IFERROR(INDEX(calc_Bal,MATCH(C9,calc_Name,0))*IF(E9="Credit",-1,1),0))</f>
        <v/>
      </c>
      <c r="L9" s="66">
        <f>IF(AND(C9="",B9="",D9=""),"",IF(C9="","⛔ Enter an account name",IF(COUNTIF(coa_Name,C9)&gt;1,"⛔ Duplicate account name",IF(ISNA(MATCH(D9,at_Type,0)),"⛔ Select an account type",IF(AND(E9&lt;&gt;"Debit",E9&lt;&gt;"Credit"),"⛔ Normal balance must be Debit or Credit",IF(ISNA(MATCH(F9,lstCF,0)),"⚠ Select a cash flow section",IF(AND(B9&lt;&gt;"",COUNTIF(coa_Code,B9)&gt;1),"⚠ Duplicate account code",IF(AND(N(I9)&lt;&gt;0,INDEX(at_Stmt,MATCH(D9,at_Type,0))="PL"),"⚠ Opening balance on a profit &amp; loss account","✓ OK"))))))))</f>
        <v/>
      </c>
      <c r="M9" s="67">
        <f>IF(AND(C9&lt;&gt;"",H9&lt;&gt;"No"),COUNTIFS($C$7:C9,"&lt;&gt;",$H$7:H9,"&lt;&gt;No"),"")</f>
        <v/>
      </c>
      <c r="N9" s="67">
        <f>IF(AND(C9&lt;&gt;"",H9&lt;&gt;"No",G9="Yes"),COUNTIFS($C$7:C9,"&lt;&gt;",$H$7:H9,"&lt;&gt;No",$G$7:G9,"Yes"),"")</f>
        <v/>
      </c>
    </row>
    <row r="10">
      <c r="B10" s="69" t="n">
        <v>1200</v>
      </c>
      <c r="C10" s="62" t="inlineStr">
        <is>
          <t>Accounts Receivable</t>
        </is>
      </c>
      <c r="D10" s="62" t="inlineStr">
        <is>
          <t>Current Asset</t>
        </is>
      </c>
      <c r="E10" s="62" t="inlineStr">
        <is>
          <t>Debit</t>
        </is>
      </c>
      <c r="F10" s="62" t="inlineStr">
        <is>
          <t>Operating</t>
        </is>
      </c>
      <c r="G10" s="62" t="inlineStr">
        <is>
          <t>No</t>
        </is>
      </c>
      <c r="H10" s="62" t="inlineStr">
        <is>
          <t>Yes</t>
        </is>
      </c>
      <c r="I10" s="64" t="n"/>
      <c r="J10" s="62" t="inlineStr">
        <is>
          <t>Money customers owe you (from AR invoices)</t>
        </is>
      </c>
      <c r="K10" s="65">
        <f>IF(C10="","",IFERROR(INDEX(calc_Bal,MATCH(C10,calc_Name,0))*IF(E10="Credit",-1,1),0))</f>
        <v/>
      </c>
      <c r="L10" s="66">
        <f>IF(AND(C10="",B10="",D10=""),"",IF(C10="","⛔ Enter an account name",IF(COUNTIF(coa_Name,C10)&gt;1,"⛔ Duplicate account name",IF(ISNA(MATCH(D10,at_Type,0)),"⛔ Select an account type",IF(AND(E10&lt;&gt;"Debit",E10&lt;&gt;"Credit"),"⛔ Normal balance must be Debit or Credit",IF(ISNA(MATCH(F10,lstCF,0)),"⚠ Select a cash flow section",IF(AND(B10&lt;&gt;"",COUNTIF(coa_Code,B10)&gt;1),"⚠ Duplicate account code",IF(AND(N(I10)&lt;&gt;0,INDEX(at_Stmt,MATCH(D10,at_Type,0))="PL"),"⚠ Opening balance on a profit &amp; loss account","✓ OK"))))))))</f>
        <v/>
      </c>
      <c r="M10" s="67">
        <f>IF(AND(C10&lt;&gt;"",H10&lt;&gt;"No"),COUNTIFS($C$7:C10,"&lt;&gt;",$H$7:H10,"&lt;&gt;No"),"")</f>
        <v/>
      </c>
      <c r="N10" s="67">
        <f>IF(AND(C10&lt;&gt;"",H10&lt;&gt;"No",G10="Yes"),COUNTIFS($C$7:C10,"&lt;&gt;",$H$7:H10,"&lt;&gt;No",$G$7:G10,"Yes"),"")</f>
        <v/>
      </c>
    </row>
    <row r="11">
      <c r="B11" s="69" t="n">
        <v>1300</v>
      </c>
      <c r="C11" s="62" t="inlineStr">
        <is>
          <t>Inventory</t>
        </is>
      </c>
      <c r="D11" s="62" t="inlineStr">
        <is>
          <t>Current Asset</t>
        </is>
      </c>
      <c r="E11" s="62" t="inlineStr">
        <is>
          <t>Debit</t>
        </is>
      </c>
      <c r="F11" s="62" t="inlineStr">
        <is>
          <t>Operating</t>
        </is>
      </c>
      <c r="G11" s="62" t="inlineStr">
        <is>
          <t>No</t>
        </is>
      </c>
      <c r="H11" s="62" t="inlineStr">
        <is>
          <t>Yes</t>
        </is>
      </c>
      <c r="I11" s="64" t="n">
        <v>20000</v>
      </c>
      <c r="J11" s="62" t="inlineStr">
        <is>
          <t>Goods held for sale</t>
        </is>
      </c>
      <c r="K11" s="65">
        <f>IF(C11="","",IFERROR(INDEX(calc_Bal,MATCH(C11,calc_Name,0))*IF(E11="Credit",-1,1),0))</f>
        <v/>
      </c>
      <c r="L11" s="66">
        <f>IF(AND(C11="",B11="",D11=""),"",IF(C11="","⛔ Enter an account name",IF(COUNTIF(coa_Name,C11)&gt;1,"⛔ Duplicate account name",IF(ISNA(MATCH(D11,at_Type,0)),"⛔ Select an account type",IF(AND(E11&lt;&gt;"Debit",E11&lt;&gt;"Credit"),"⛔ Normal balance must be Debit or Credit",IF(ISNA(MATCH(F11,lstCF,0)),"⚠ Select a cash flow section",IF(AND(B11&lt;&gt;"",COUNTIF(coa_Code,B11)&gt;1),"⚠ Duplicate account code",IF(AND(N(I11)&lt;&gt;0,INDEX(at_Stmt,MATCH(D11,at_Type,0))="PL"),"⚠ Opening balance on a profit &amp; loss account","✓ OK"))))))))</f>
        <v/>
      </c>
      <c r="M11" s="67">
        <f>IF(AND(C11&lt;&gt;"",H11&lt;&gt;"No"),COUNTIFS($C$7:C11,"&lt;&gt;",$H$7:H11,"&lt;&gt;No"),"")</f>
        <v/>
      </c>
      <c r="N11" s="67">
        <f>IF(AND(C11&lt;&gt;"",H11&lt;&gt;"No",G11="Yes"),COUNTIFS($C$7:C11,"&lt;&gt;",$H$7:H11,"&lt;&gt;No",$G$7:G11,"Yes"),"")</f>
        <v/>
      </c>
    </row>
    <row r="12">
      <c r="B12" s="69" t="n">
        <v>1400</v>
      </c>
      <c r="C12" s="62" t="inlineStr">
        <is>
          <t>Other Current Assets</t>
        </is>
      </c>
      <c r="D12" s="62" t="inlineStr">
        <is>
          <t>Current Asset</t>
        </is>
      </c>
      <c r="E12" s="62" t="inlineStr">
        <is>
          <t>Debit</t>
        </is>
      </c>
      <c r="F12" s="62" t="inlineStr">
        <is>
          <t>Operating</t>
        </is>
      </c>
      <c r="G12" s="62" t="inlineStr">
        <is>
          <t>No</t>
        </is>
      </c>
      <c r="H12" s="62" t="inlineStr">
        <is>
          <t>Yes</t>
        </is>
      </c>
      <c r="I12" s="64" t="n"/>
      <c r="J12" s="62" t="inlineStr">
        <is>
          <t>Deposits, prepaid rent, advances</t>
        </is>
      </c>
      <c r="K12" s="65">
        <f>IF(C12="","",IFERROR(INDEX(calc_Bal,MATCH(C12,calc_Name,0))*IF(E12="Credit",-1,1),0))</f>
        <v/>
      </c>
      <c r="L12" s="66">
        <f>IF(AND(C12="",B12="",D12=""),"",IF(C12="","⛔ Enter an account name",IF(COUNTIF(coa_Name,C12)&gt;1,"⛔ Duplicate account name",IF(ISNA(MATCH(D12,at_Type,0)),"⛔ Select an account type",IF(AND(E12&lt;&gt;"Debit",E12&lt;&gt;"Credit"),"⛔ Normal balance must be Debit or Credit",IF(ISNA(MATCH(F12,lstCF,0)),"⚠ Select a cash flow section",IF(AND(B12&lt;&gt;"",COUNTIF(coa_Code,B12)&gt;1),"⚠ Duplicate account code",IF(AND(N(I12)&lt;&gt;0,INDEX(at_Stmt,MATCH(D12,at_Type,0))="PL"),"⚠ Opening balance on a profit &amp; loss account","✓ OK"))))))))</f>
        <v/>
      </c>
      <c r="M12" s="67">
        <f>IF(AND(C12&lt;&gt;"",H12&lt;&gt;"No"),COUNTIFS($C$7:C12,"&lt;&gt;",$H$7:H12,"&lt;&gt;No"),"")</f>
        <v/>
      </c>
      <c r="N12" s="67">
        <f>IF(AND(C12&lt;&gt;"",H12&lt;&gt;"No",G12="Yes"),COUNTIFS($C$7:C12,"&lt;&gt;",$H$7:H12,"&lt;&gt;No",$G$7:G12,"Yes"),"")</f>
        <v/>
      </c>
    </row>
    <row r="13">
      <c r="B13" s="69" t="n">
        <v>1500</v>
      </c>
      <c r="C13" s="62" t="inlineStr">
        <is>
          <t>Equipment</t>
        </is>
      </c>
      <c r="D13" s="62" t="inlineStr">
        <is>
          <t>Fixed Asset</t>
        </is>
      </c>
      <c r="E13" s="62" t="inlineStr">
        <is>
          <t>Debit</t>
        </is>
      </c>
      <c r="F13" s="62" t="inlineStr">
        <is>
          <t>Investing</t>
        </is>
      </c>
      <c r="G13" s="62" t="inlineStr">
        <is>
          <t>No</t>
        </is>
      </c>
      <c r="H13" s="62" t="inlineStr">
        <is>
          <t>Yes</t>
        </is>
      </c>
      <c r="I13" s="64" t="n">
        <v>180000</v>
      </c>
      <c r="J13" s="62" t="inlineStr">
        <is>
          <t>Machines, computers, furniture</t>
        </is>
      </c>
      <c r="K13" s="65">
        <f>IF(C13="","",IFERROR(INDEX(calc_Bal,MATCH(C13,calc_Name,0))*IF(E13="Credit",-1,1),0))</f>
        <v/>
      </c>
      <c r="L13" s="66">
        <f>IF(AND(C13="",B13="",D13=""),"",IF(C13="","⛔ Enter an account name",IF(COUNTIF(coa_Name,C13)&gt;1,"⛔ Duplicate account name",IF(ISNA(MATCH(D13,at_Type,0)),"⛔ Select an account type",IF(AND(E13&lt;&gt;"Debit",E13&lt;&gt;"Credit"),"⛔ Normal balance must be Debit or Credit",IF(ISNA(MATCH(F13,lstCF,0)),"⚠ Select a cash flow section",IF(AND(B13&lt;&gt;"",COUNTIF(coa_Code,B13)&gt;1),"⚠ Duplicate account code",IF(AND(N(I13)&lt;&gt;0,INDEX(at_Stmt,MATCH(D13,at_Type,0))="PL"),"⚠ Opening balance on a profit &amp; loss account","✓ OK"))))))))</f>
        <v/>
      </c>
      <c r="M13" s="67">
        <f>IF(AND(C13&lt;&gt;"",H13&lt;&gt;"No"),COUNTIFS($C$7:C13,"&lt;&gt;",$H$7:H13,"&lt;&gt;No"),"")</f>
        <v/>
      </c>
      <c r="N13" s="67">
        <f>IF(AND(C13&lt;&gt;"",H13&lt;&gt;"No",G13="Yes"),COUNTIFS($C$7:C13,"&lt;&gt;",$H$7:H13,"&lt;&gt;No",$G$7:G13,"Yes"),"")</f>
        <v/>
      </c>
    </row>
    <row r="14">
      <c r="B14" s="69" t="n">
        <v>1510</v>
      </c>
      <c r="C14" s="62" t="inlineStr">
        <is>
          <t>Vehicles</t>
        </is>
      </c>
      <c r="D14" s="62" t="inlineStr">
        <is>
          <t>Fixed Asset</t>
        </is>
      </c>
      <c r="E14" s="62" t="inlineStr">
        <is>
          <t>Debit</t>
        </is>
      </c>
      <c r="F14" s="62" t="inlineStr">
        <is>
          <t>Investing</t>
        </is>
      </c>
      <c r="G14" s="62" t="inlineStr">
        <is>
          <t>No</t>
        </is>
      </c>
      <c r="H14" s="62" t="inlineStr">
        <is>
          <t>Yes</t>
        </is>
      </c>
      <c r="I14" s="64" t="n"/>
      <c r="J14" s="62" t="inlineStr">
        <is>
          <t>Cars, motorcycles, delivery vans</t>
        </is>
      </c>
      <c r="K14" s="65">
        <f>IF(C14="","",IFERROR(INDEX(calc_Bal,MATCH(C14,calc_Name,0))*IF(E14="Credit",-1,1),0))</f>
        <v/>
      </c>
      <c r="L14" s="66">
        <f>IF(AND(C14="",B14="",D14=""),"",IF(C14="","⛔ Enter an account name",IF(COUNTIF(coa_Name,C14)&gt;1,"⛔ Duplicate account name",IF(ISNA(MATCH(D14,at_Type,0)),"⛔ Select an account type",IF(AND(E14&lt;&gt;"Debit",E14&lt;&gt;"Credit"),"⛔ Normal balance must be Debit or Credit",IF(ISNA(MATCH(F14,lstCF,0)),"⚠ Select a cash flow section",IF(AND(B14&lt;&gt;"",COUNTIF(coa_Code,B14)&gt;1),"⚠ Duplicate account code",IF(AND(N(I14)&lt;&gt;0,INDEX(at_Stmt,MATCH(D14,at_Type,0))="PL"),"⚠ Opening balance on a profit &amp; loss account","✓ OK"))))))))</f>
        <v/>
      </c>
      <c r="M14" s="67">
        <f>IF(AND(C14&lt;&gt;"",H14&lt;&gt;"No"),COUNTIFS($C$7:C14,"&lt;&gt;",$H$7:H14,"&lt;&gt;No"),"")</f>
        <v/>
      </c>
      <c r="N14" s="67">
        <f>IF(AND(C14&lt;&gt;"",H14&lt;&gt;"No",G14="Yes"),COUNTIFS($C$7:C14,"&lt;&gt;",$H$7:H14,"&lt;&gt;No",$G$7:G14,"Yes"),"")</f>
        <v/>
      </c>
    </row>
    <row r="15">
      <c r="B15" s="69" t="n">
        <v>1590</v>
      </c>
      <c r="C15" s="62" t="inlineStr">
        <is>
          <t>Accumulated Depreciation</t>
        </is>
      </c>
      <c r="D15" s="62" t="inlineStr">
        <is>
          <t>Fixed Asset</t>
        </is>
      </c>
      <c r="E15" s="62" t="inlineStr">
        <is>
          <t>Credit</t>
        </is>
      </c>
      <c r="F15" s="62" t="inlineStr">
        <is>
          <t>Investing</t>
        </is>
      </c>
      <c r="G15" s="62" t="inlineStr">
        <is>
          <t>No</t>
        </is>
      </c>
      <c r="H15" s="62" t="inlineStr">
        <is>
          <t>Yes</t>
        </is>
      </c>
      <c r="I15" s="64" t="n"/>
      <c r="J15" s="62" t="inlineStr">
        <is>
          <t>Wear and tear of fixed assets (negative)</t>
        </is>
      </c>
      <c r="K15" s="65">
        <f>IF(C15="","",IFERROR(INDEX(calc_Bal,MATCH(C15,calc_Name,0))*IF(E15="Credit",-1,1),0))</f>
        <v/>
      </c>
      <c r="L15" s="66">
        <f>IF(AND(C15="",B15="",D15=""),"",IF(C15="","⛔ Enter an account name",IF(COUNTIF(coa_Name,C15)&gt;1,"⛔ Duplicate account name",IF(ISNA(MATCH(D15,at_Type,0)),"⛔ Select an account type",IF(AND(E15&lt;&gt;"Debit",E15&lt;&gt;"Credit"),"⛔ Normal balance must be Debit or Credit",IF(ISNA(MATCH(F15,lstCF,0)),"⚠ Select a cash flow section",IF(AND(B15&lt;&gt;"",COUNTIF(coa_Code,B15)&gt;1),"⚠ Duplicate account code",IF(AND(N(I15)&lt;&gt;0,INDEX(at_Stmt,MATCH(D15,at_Type,0))="PL"),"⚠ Opening balance on a profit &amp; loss account","✓ OK"))))))))</f>
        <v/>
      </c>
      <c r="M15" s="67">
        <f>IF(AND(C15&lt;&gt;"",H15&lt;&gt;"No"),COUNTIFS($C$7:C15,"&lt;&gt;",$H$7:H15,"&lt;&gt;No"),"")</f>
        <v/>
      </c>
      <c r="N15" s="67">
        <f>IF(AND(C15&lt;&gt;"",H15&lt;&gt;"No",G15="Yes"),COUNTIFS($C$7:C15,"&lt;&gt;",$H$7:H15,"&lt;&gt;No",$G$7:G15,"Yes"),"")</f>
        <v/>
      </c>
    </row>
    <row r="16">
      <c r="B16" s="69" t="n">
        <v>2000</v>
      </c>
      <c r="C16" s="62" t="inlineStr">
        <is>
          <t>Accounts Payable</t>
        </is>
      </c>
      <c r="D16" s="62" t="inlineStr">
        <is>
          <t>Current Liability</t>
        </is>
      </c>
      <c r="E16" s="62" t="inlineStr">
        <is>
          <t>Credit</t>
        </is>
      </c>
      <c r="F16" s="62" t="inlineStr">
        <is>
          <t>Operating</t>
        </is>
      </c>
      <c r="G16" s="62" t="inlineStr">
        <is>
          <t>No</t>
        </is>
      </c>
      <c r="H16" s="62" t="inlineStr">
        <is>
          <t>Yes</t>
        </is>
      </c>
      <c r="I16" s="64" t="n"/>
      <c r="J16" s="62" t="inlineStr">
        <is>
          <t>Money you owe suppliers (from AP bills)</t>
        </is>
      </c>
      <c r="K16" s="65">
        <f>IF(C16="","",IFERROR(INDEX(calc_Bal,MATCH(C16,calc_Name,0))*IF(E16="Credit",-1,1),0))</f>
        <v/>
      </c>
      <c r="L16" s="66">
        <f>IF(AND(C16="",B16="",D16=""),"",IF(C16="","⛔ Enter an account name",IF(COUNTIF(coa_Name,C16)&gt;1,"⛔ Duplicate account name",IF(ISNA(MATCH(D16,at_Type,0)),"⛔ Select an account type",IF(AND(E16&lt;&gt;"Debit",E16&lt;&gt;"Credit"),"⛔ Normal balance must be Debit or Credit",IF(ISNA(MATCH(F16,lstCF,0)),"⚠ Select a cash flow section",IF(AND(B16&lt;&gt;"",COUNTIF(coa_Code,B16)&gt;1),"⚠ Duplicate account code",IF(AND(N(I16)&lt;&gt;0,INDEX(at_Stmt,MATCH(D16,at_Type,0))="PL"),"⚠ Opening balance on a profit &amp; loss account","✓ OK"))))))))</f>
        <v/>
      </c>
      <c r="M16" s="67">
        <f>IF(AND(C16&lt;&gt;"",H16&lt;&gt;"No"),COUNTIFS($C$7:C16,"&lt;&gt;",$H$7:H16,"&lt;&gt;No"),"")</f>
        <v/>
      </c>
      <c r="N16" s="67">
        <f>IF(AND(C16&lt;&gt;"",H16&lt;&gt;"No",G16="Yes"),COUNTIFS($C$7:C16,"&lt;&gt;",$H$7:H16,"&lt;&gt;No",$G$7:G16,"Yes"),"")</f>
        <v/>
      </c>
    </row>
    <row r="17">
      <c r="B17" s="69" t="n">
        <v>2100</v>
      </c>
      <c r="C17" s="62" t="inlineStr">
        <is>
          <t>Credit Card</t>
        </is>
      </c>
      <c r="D17" s="62" t="inlineStr">
        <is>
          <t>Current Liability</t>
        </is>
      </c>
      <c r="E17" s="62" t="inlineStr">
        <is>
          <t>Credit</t>
        </is>
      </c>
      <c r="F17" s="62" t="inlineStr">
        <is>
          <t>Operating</t>
        </is>
      </c>
      <c r="G17" s="62" t="inlineStr">
        <is>
          <t>Yes</t>
        </is>
      </c>
      <c r="H17" s="62" t="inlineStr">
        <is>
          <t>Yes</t>
        </is>
      </c>
      <c r="I17" s="64" t="n"/>
      <c r="J17" s="62" t="inlineStr">
        <is>
          <t>Business credit card balance</t>
        </is>
      </c>
      <c r="K17" s="65">
        <f>IF(C17="","",IFERROR(INDEX(calc_Bal,MATCH(C17,calc_Name,0))*IF(E17="Credit",-1,1),0))</f>
        <v/>
      </c>
      <c r="L17" s="66">
        <f>IF(AND(C17="",B17="",D17=""),"",IF(C17="","⛔ Enter an account name",IF(COUNTIF(coa_Name,C17)&gt;1,"⛔ Duplicate account name",IF(ISNA(MATCH(D17,at_Type,0)),"⛔ Select an account type",IF(AND(E17&lt;&gt;"Debit",E17&lt;&gt;"Credit"),"⛔ Normal balance must be Debit or Credit",IF(ISNA(MATCH(F17,lstCF,0)),"⚠ Select a cash flow section",IF(AND(B17&lt;&gt;"",COUNTIF(coa_Code,B17)&gt;1),"⚠ Duplicate account code",IF(AND(N(I17)&lt;&gt;0,INDEX(at_Stmt,MATCH(D17,at_Type,0))="PL"),"⚠ Opening balance on a profit &amp; loss account","✓ OK"))))))))</f>
        <v/>
      </c>
      <c r="M17" s="67">
        <f>IF(AND(C17&lt;&gt;"",H17&lt;&gt;"No"),COUNTIFS($C$7:C17,"&lt;&gt;",$H$7:H17,"&lt;&gt;No"),"")</f>
        <v/>
      </c>
      <c r="N17" s="67">
        <f>IF(AND(C17&lt;&gt;"",H17&lt;&gt;"No",G17="Yes"),COUNTIFS($C$7:C17,"&lt;&gt;",$H$7:H17,"&lt;&gt;No",$G$7:G17,"Yes"),"")</f>
        <v/>
      </c>
    </row>
    <row r="18">
      <c r="B18" s="69" t="n">
        <v>2200</v>
      </c>
      <c r="C18" s="62" t="inlineStr">
        <is>
          <t>Tax Payable</t>
        </is>
      </c>
      <c r="D18" s="62" t="inlineStr">
        <is>
          <t>Current Liability</t>
        </is>
      </c>
      <c r="E18" s="62" t="inlineStr">
        <is>
          <t>Credit</t>
        </is>
      </c>
      <c r="F18" s="62" t="inlineStr">
        <is>
          <t>Operating</t>
        </is>
      </c>
      <c r="G18" s="62" t="inlineStr">
        <is>
          <t>No</t>
        </is>
      </c>
      <c r="H18" s="62" t="inlineStr">
        <is>
          <t>Yes</t>
        </is>
      </c>
      <c r="I18" s="64" t="n"/>
      <c r="J18" s="62" t="inlineStr">
        <is>
          <t>VAT / GST / sales tax collected minus tax paid</t>
        </is>
      </c>
      <c r="K18" s="65">
        <f>IF(C18="","",IFERROR(INDEX(calc_Bal,MATCH(C18,calc_Name,0))*IF(E18="Credit",-1,1),0))</f>
        <v/>
      </c>
      <c r="L18" s="66">
        <f>IF(AND(C18="",B18="",D18=""),"",IF(C18="","⛔ Enter an account name",IF(COUNTIF(coa_Name,C18)&gt;1,"⛔ Duplicate account name",IF(ISNA(MATCH(D18,at_Type,0)),"⛔ Select an account type",IF(AND(E18&lt;&gt;"Debit",E18&lt;&gt;"Credit"),"⛔ Normal balance must be Debit or Credit",IF(ISNA(MATCH(F18,lstCF,0)),"⚠ Select a cash flow section",IF(AND(B18&lt;&gt;"",COUNTIF(coa_Code,B18)&gt;1),"⚠ Duplicate account code",IF(AND(N(I18)&lt;&gt;0,INDEX(at_Stmt,MATCH(D18,at_Type,0))="PL"),"⚠ Opening balance on a profit &amp; loss account","✓ OK"))))))))</f>
        <v/>
      </c>
      <c r="M18" s="67">
        <f>IF(AND(C18&lt;&gt;"",H18&lt;&gt;"No"),COUNTIFS($C$7:C18,"&lt;&gt;",$H$7:H18,"&lt;&gt;No"),"")</f>
        <v/>
      </c>
      <c r="N18" s="67">
        <f>IF(AND(C18&lt;&gt;"",H18&lt;&gt;"No",G18="Yes"),COUNTIFS($C$7:C18,"&lt;&gt;",$H$7:H18,"&lt;&gt;No",$G$7:G18,"Yes"),"")</f>
        <v/>
      </c>
    </row>
    <row r="19">
      <c r="B19" s="69" t="n">
        <v>2300</v>
      </c>
      <c r="C19" s="62" t="inlineStr">
        <is>
          <t>Other Current Liabilities</t>
        </is>
      </c>
      <c r="D19" s="62" t="inlineStr">
        <is>
          <t>Current Liability</t>
        </is>
      </c>
      <c r="E19" s="62" t="inlineStr">
        <is>
          <t>Credit</t>
        </is>
      </c>
      <c r="F19" s="62" t="inlineStr">
        <is>
          <t>Operating</t>
        </is>
      </c>
      <c r="G19" s="62" t="inlineStr">
        <is>
          <t>No</t>
        </is>
      </c>
      <c r="H19" s="62" t="inlineStr">
        <is>
          <t>Yes</t>
        </is>
      </c>
      <c r="I19" s="64" t="n"/>
      <c r="J19" s="62" t="inlineStr">
        <is>
          <t>Customer deposits, accrued expenses</t>
        </is>
      </c>
      <c r="K19" s="65">
        <f>IF(C19="","",IFERROR(INDEX(calc_Bal,MATCH(C19,calc_Name,0))*IF(E19="Credit",-1,1),0))</f>
        <v/>
      </c>
      <c r="L19" s="66">
        <f>IF(AND(C19="",B19="",D19=""),"",IF(C19="","⛔ Enter an account name",IF(COUNTIF(coa_Name,C19)&gt;1,"⛔ Duplicate account name",IF(ISNA(MATCH(D19,at_Type,0)),"⛔ Select an account type",IF(AND(E19&lt;&gt;"Debit",E19&lt;&gt;"Credit"),"⛔ Normal balance must be Debit or Credit",IF(ISNA(MATCH(F19,lstCF,0)),"⚠ Select a cash flow section",IF(AND(B19&lt;&gt;"",COUNTIF(coa_Code,B19)&gt;1),"⚠ Duplicate account code",IF(AND(N(I19)&lt;&gt;0,INDEX(at_Stmt,MATCH(D19,at_Type,0))="PL"),"⚠ Opening balance on a profit &amp; loss account","✓ OK"))))))))</f>
        <v/>
      </c>
      <c r="M19" s="67">
        <f>IF(AND(C19&lt;&gt;"",H19&lt;&gt;"No"),COUNTIFS($C$7:C19,"&lt;&gt;",$H$7:H19,"&lt;&gt;No"),"")</f>
        <v/>
      </c>
      <c r="N19" s="67">
        <f>IF(AND(C19&lt;&gt;"",H19&lt;&gt;"No",G19="Yes"),COUNTIFS($C$7:C19,"&lt;&gt;",$H$7:H19,"&lt;&gt;No",$G$7:G19,"Yes"),"")</f>
        <v/>
      </c>
    </row>
    <row r="20">
      <c r="B20" s="69" t="n">
        <v>2500</v>
      </c>
      <c r="C20" s="62" t="inlineStr">
        <is>
          <t>Loans Payable</t>
        </is>
      </c>
      <c r="D20" s="62" t="inlineStr">
        <is>
          <t>Long-term Liability</t>
        </is>
      </c>
      <c r="E20" s="62" t="inlineStr">
        <is>
          <t>Credit</t>
        </is>
      </c>
      <c r="F20" s="62" t="inlineStr">
        <is>
          <t>Financing</t>
        </is>
      </c>
      <c r="G20" s="62" t="inlineStr">
        <is>
          <t>No</t>
        </is>
      </c>
      <c r="H20" s="62" t="inlineStr">
        <is>
          <t>Yes</t>
        </is>
      </c>
      <c r="I20" s="64" t="n">
        <v>150000</v>
      </c>
      <c r="J20" s="62" t="inlineStr">
        <is>
          <t>Bank or private loans</t>
        </is>
      </c>
      <c r="K20" s="65">
        <f>IF(C20="","",IFERROR(INDEX(calc_Bal,MATCH(C20,calc_Name,0))*IF(E20="Credit",-1,1),0))</f>
        <v/>
      </c>
      <c r="L20" s="66">
        <f>IF(AND(C20="",B20="",D20=""),"",IF(C20="","⛔ Enter an account name",IF(COUNTIF(coa_Name,C20)&gt;1,"⛔ Duplicate account name",IF(ISNA(MATCH(D20,at_Type,0)),"⛔ Select an account type",IF(AND(E20&lt;&gt;"Debit",E20&lt;&gt;"Credit"),"⛔ Normal balance must be Debit or Credit",IF(ISNA(MATCH(F20,lstCF,0)),"⚠ Select a cash flow section",IF(AND(B20&lt;&gt;"",COUNTIF(coa_Code,B20)&gt;1),"⚠ Duplicate account code",IF(AND(N(I20)&lt;&gt;0,INDEX(at_Stmt,MATCH(D20,at_Type,0))="PL"),"⚠ Opening balance on a profit &amp; loss account","✓ OK"))))))))</f>
        <v/>
      </c>
      <c r="M20" s="67">
        <f>IF(AND(C20&lt;&gt;"",H20&lt;&gt;"No"),COUNTIFS($C$7:C20,"&lt;&gt;",$H$7:H20,"&lt;&gt;No"),"")</f>
        <v/>
      </c>
      <c r="N20" s="67">
        <f>IF(AND(C20&lt;&gt;"",H20&lt;&gt;"No",G20="Yes"),COUNTIFS($C$7:C20,"&lt;&gt;",$H$7:H20,"&lt;&gt;No",$G$7:G20,"Yes"),"")</f>
        <v/>
      </c>
    </row>
    <row r="21">
      <c r="B21" s="69" t="n">
        <v>3000</v>
      </c>
      <c r="C21" s="62" t="inlineStr">
        <is>
          <t>Owner Capital</t>
        </is>
      </c>
      <c r="D21" s="62" t="inlineStr">
        <is>
          <t>Equity</t>
        </is>
      </c>
      <c r="E21" s="62" t="inlineStr">
        <is>
          <t>Credit</t>
        </is>
      </c>
      <c r="F21" s="62" t="inlineStr">
        <is>
          <t>Financing</t>
        </is>
      </c>
      <c r="G21" s="62" t="inlineStr">
        <is>
          <t>No</t>
        </is>
      </c>
      <c r="H21" s="62" t="inlineStr">
        <is>
          <t>Yes</t>
        </is>
      </c>
      <c r="I21" s="64" t="n"/>
      <c r="J21" s="62" t="inlineStr">
        <is>
          <t>Money the owner put into the business</t>
        </is>
      </c>
      <c r="K21" s="65">
        <f>IF(C21="","",IFERROR(INDEX(calc_Bal,MATCH(C21,calc_Name,0))*IF(E21="Credit",-1,1),0))</f>
        <v/>
      </c>
      <c r="L21" s="66">
        <f>IF(AND(C21="",B21="",D21=""),"",IF(C21="","⛔ Enter an account name",IF(COUNTIF(coa_Name,C21)&gt;1,"⛔ Duplicate account name",IF(ISNA(MATCH(D21,at_Type,0)),"⛔ Select an account type",IF(AND(E21&lt;&gt;"Debit",E21&lt;&gt;"Credit"),"⛔ Normal balance must be Debit or Credit",IF(ISNA(MATCH(F21,lstCF,0)),"⚠ Select a cash flow section",IF(AND(B21&lt;&gt;"",COUNTIF(coa_Code,B21)&gt;1),"⚠ Duplicate account code",IF(AND(N(I21)&lt;&gt;0,INDEX(at_Stmt,MATCH(D21,at_Type,0))="PL"),"⚠ Opening balance on a profit &amp; loss account","✓ OK"))))))))</f>
        <v/>
      </c>
      <c r="M21" s="67">
        <f>IF(AND(C21&lt;&gt;"",H21&lt;&gt;"No"),COUNTIFS($C$7:C21,"&lt;&gt;",$H$7:H21,"&lt;&gt;No"),"")</f>
        <v/>
      </c>
      <c r="N21" s="67">
        <f>IF(AND(C21&lt;&gt;"",H21&lt;&gt;"No",G21="Yes"),COUNTIFS($C$7:C21,"&lt;&gt;",$H$7:H21,"&lt;&gt;No",$G$7:G21,"Yes"),"")</f>
        <v/>
      </c>
    </row>
    <row r="22">
      <c r="B22" s="69" t="n">
        <v>3100</v>
      </c>
      <c r="C22" s="62" t="inlineStr">
        <is>
          <t>Owner Drawings</t>
        </is>
      </c>
      <c r="D22" s="62" t="inlineStr">
        <is>
          <t>Equity</t>
        </is>
      </c>
      <c r="E22" s="62" t="inlineStr">
        <is>
          <t>Debit</t>
        </is>
      </c>
      <c r="F22" s="62" t="inlineStr">
        <is>
          <t>Financing</t>
        </is>
      </c>
      <c r="G22" s="62" t="inlineStr">
        <is>
          <t>No</t>
        </is>
      </c>
      <c r="H22" s="62" t="inlineStr">
        <is>
          <t>Yes</t>
        </is>
      </c>
      <c r="I22" s="64" t="n"/>
      <c r="J22" s="62" t="inlineStr">
        <is>
          <t>Money the owner took out for personal use</t>
        </is>
      </c>
      <c r="K22" s="65">
        <f>IF(C22="","",IFERROR(INDEX(calc_Bal,MATCH(C22,calc_Name,0))*IF(E22="Credit",-1,1),0))</f>
        <v/>
      </c>
      <c r="L22" s="66">
        <f>IF(AND(C22="",B22="",D22=""),"",IF(C22="","⛔ Enter an account name",IF(COUNTIF(coa_Name,C22)&gt;1,"⛔ Duplicate account name",IF(ISNA(MATCH(D22,at_Type,0)),"⛔ Select an account type",IF(AND(E22&lt;&gt;"Debit",E22&lt;&gt;"Credit"),"⛔ Normal balance must be Debit or Credit",IF(ISNA(MATCH(F22,lstCF,0)),"⚠ Select a cash flow section",IF(AND(B22&lt;&gt;"",COUNTIF(coa_Code,B22)&gt;1),"⚠ Duplicate account code",IF(AND(N(I22)&lt;&gt;0,INDEX(at_Stmt,MATCH(D22,at_Type,0))="PL"),"⚠ Opening balance on a profit &amp; loss account","✓ OK"))))))))</f>
        <v/>
      </c>
      <c r="M22" s="67">
        <f>IF(AND(C22&lt;&gt;"",H22&lt;&gt;"No"),COUNTIFS($C$7:C22,"&lt;&gt;",$H$7:H22,"&lt;&gt;No"),"")</f>
        <v/>
      </c>
      <c r="N22" s="67">
        <f>IF(AND(C22&lt;&gt;"",H22&lt;&gt;"No",G22="Yes"),COUNTIFS($C$7:C22,"&lt;&gt;",$H$7:H22,"&lt;&gt;No",$G$7:G22,"Yes"),"")</f>
        <v/>
      </c>
    </row>
    <row r="23">
      <c r="B23" s="69" t="n">
        <v>3200</v>
      </c>
      <c r="C23" s="62" t="inlineStr">
        <is>
          <t>Retained Earnings</t>
        </is>
      </c>
      <c r="D23" s="62" t="inlineStr">
        <is>
          <t>Equity</t>
        </is>
      </c>
      <c r="E23" s="62" t="inlineStr">
        <is>
          <t>Credit</t>
        </is>
      </c>
      <c r="F23" s="62" t="inlineStr">
        <is>
          <t>Financing</t>
        </is>
      </c>
      <c r="G23" s="62" t="inlineStr">
        <is>
          <t>No</t>
        </is>
      </c>
      <c r="H23" s="62" t="inlineStr">
        <is>
          <t>Yes</t>
        </is>
      </c>
      <c r="I23" s="64" t="n"/>
      <c r="J23" s="62" t="inlineStr">
        <is>
          <t>Profits kept from earlier years</t>
        </is>
      </c>
      <c r="K23" s="65">
        <f>IF(C23="","",IFERROR(INDEX(calc_Bal,MATCH(C23,calc_Name,0))*IF(E23="Credit",-1,1),0))</f>
        <v/>
      </c>
      <c r="L23" s="66">
        <f>IF(AND(C23="",B23="",D23=""),"",IF(C23="","⛔ Enter an account name",IF(COUNTIF(coa_Name,C23)&gt;1,"⛔ Duplicate account name",IF(ISNA(MATCH(D23,at_Type,0)),"⛔ Select an account type",IF(AND(E23&lt;&gt;"Debit",E23&lt;&gt;"Credit"),"⛔ Normal balance must be Debit or Credit",IF(ISNA(MATCH(F23,lstCF,0)),"⚠ Select a cash flow section",IF(AND(B23&lt;&gt;"",COUNTIF(coa_Code,B23)&gt;1),"⚠ Duplicate account code",IF(AND(N(I23)&lt;&gt;0,INDEX(at_Stmt,MATCH(D23,at_Type,0))="PL"),"⚠ Opening balance on a profit &amp; loss account","✓ OK"))))))))</f>
        <v/>
      </c>
      <c r="M23" s="67">
        <f>IF(AND(C23&lt;&gt;"",H23&lt;&gt;"No"),COUNTIFS($C$7:C23,"&lt;&gt;",$H$7:H23,"&lt;&gt;No"),"")</f>
        <v/>
      </c>
      <c r="N23" s="67">
        <f>IF(AND(C23&lt;&gt;"",H23&lt;&gt;"No",G23="Yes"),COUNTIFS($C$7:C23,"&lt;&gt;",$H$7:H23,"&lt;&gt;No",$G$7:G23,"Yes"),"")</f>
        <v/>
      </c>
    </row>
    <row r="24">
      <c r="B24" s="69" t="n">
        <v>3900</v>
      </c>
      <c r="C24" s="62" t="inlineStr">
        <is>
          <t>Opening Balance Equity</t>
        </is>
      </c>
      <c r="D24" s="62" t="inlineStr">
        <is>
          <t>Equity</t>
        </is>
      </c>
      <c r="E24" s="62" t="inlineStr">
        <is>
          <t>Credit</t>
        </is>
      </c>
      <c r="F24" s="62" t="inlineStr">
        <is>
          <t>Financing</t>
        </is>
      </c>
      <c r="G24" s="62" t="inlineStr">
        <is>
          <t>No</t>
        </is>
      </c>
      <c r="H24" s="62" t="inlineStr">
        <is>
          <t>Yes</t>
        </is>
      </c>
      <c r="I24" s="65" t="inlineStr">
        <is>
          <t>(automatic)</t>
        </is>
      </c>
      <c r="J24" s="62" t="inlineStr">
        <is>
          <t>Automatic balancing figure for opening balances</t>
        </is>
      </c>
      <c r="K24" s="65">
        <f>IF(C24="","",IFERROR(INDEX(calc_Bal,MATCH(C24,calc_Name,0))*IF(E24="Credit",-1,1),0))</f>
        <v/>
      </c>
      <c r="L24" s="66">
        <f>IF(AND(C24="",B24="",D24=""),"",IF(C24="","⛔ Enter an account name",IF(COUNTIF(coa_Name,C24)&gt;1,"⛔ Duplicate account name",IF(ISNA(MATCH(D24,at_Type,0)),"⛔ Select an account type",IF(AND(E24&lt;&gt;"Debit",E24&lt;&gt;"Credit"),"⛔ Normal balance must be Debit or Credit",IF(ISNA(MATCH(F24,lstCF,0)),"⚠ Select a cash flow section",IF(AND(B24&lt;&gt;"",COUNTIF(coa_Code,B24)&gt;1),"⚠ Duplicate account code",IF(AND(N(I24)&lt;&gt;0,INDEX(at_Stmt,MATCH(D24,at_Type,0))="PL"),"⚠ Opening balance on a profit &amp; loss account","✓ OK"))))))))</f>
        <v/>
      </c>
      <c r="M24" s="67">
        <f>IF(AND(C24&lt;&gt;"",H24&lt;&gt;"No"),COUNTIFS($C$7:C24,"&lt;&gt;",$H$7:H24,"&lt;&gt;No"),"")</f>
        <v/>
      </c>
      <c r="N24" s="67">
        <f>IF(AND(C24&lt;&gt;"",H24&lt;&gt;"No",G24="Yes"),COUNTIFS($C$7:C24,"&lt;&gt;",$H$7:H24,"&lt;&gt;No",$G$7:G24,"Yes"),"")</f>
        <v/>
      </c>
    </row>
    <row r="25">
      <c r="B25" s="69" t="n">
        <v>4000</v>
      </c>
      <c r="C25" s="62" t="inlineStr">
        <is>
          <t>Product Sales</t>
        </is>
      </c>
      <c r="D25" s="62" t="inlineStr">
        <is>
          <t>Revenue</t>
        </is>
      </c>
      <c r="E25" s="62" t="inlineStr">
        <is>
          <t>Credit</t>
        </is>
      </c>
      <c r="F25" s="62" t="inlineStr">
        <is>
          <t>Operating</t>
        </is>
      </c>
      <c r="G25" s="62" t="inlineStr">
        <is>
          <t>No</t>
        </is>
      </c>
      <c r="H25" s="62" t="inlineStr">
        <is>
          <t>Yes</t>
        </is>
      </c>
      <c r="I25" s="64" t="n"/>
      <c r="J25" s="62" t="inlineStr">
        <is>
          <t>Sales of goods</t>
        </is>
      </c>
      <c r="K25" s="65">
        <f>IF(C25="","",IFERROR(INDEX(calc_Bal,MATCH(C25,calc_Name,0))*IF(E25="Credit",-1,1),0))</f>
        <v/>
      </c>
      <c r="L25" s="66">
        <f>IF(AND(C25="",B25="",D25=""),"",IF(C25="","⛔ Enter an account name",IF(COUNTIF(coa_Name,C25)&gt;1,"⛔ Duplicate account name",IF(ISNA(MATCH(D25,at_Type,0)),"⛔ Select an account type",IF(AND(E25&lt;&gt;"Debit",E25&lt;&gt;"Credit"),"⛔ Normal balance must be Debit or Credit",IF(ISNA(MATCH(F25,lstCF,0)),"⚠ Select a cash flow section",IF(AND(B25&lt;&gt;"",COUNTIF(coa_Code,B25)&gt;1),"⚠ Duplicate account code",IF(AND(N(I25)&lt;&gt;0,INDEX(at_Stmt,MATCH(D25,at_Type,0))="PL"),"⚠ Opening balance on a profit &amp; loss account","✓ OK"))))))))</f>
        <v/>
      </c>
      <c r="M25" s="67">
        <f>IF(AND(C25&lt;&gt;"",H25&lt;&gt;"No"),COUNTIFS($C$7:C25,"&lt;&gt;",$H$7:H25,"&lt;&gt;No"),"")</f>
        <v/>
      </c>
      <c r="N25" s="67">
        <f>IF(AND(C25&lt;&gt;"",H25&lt;&gt;"No",G25="Yes"),COUNTIFS($C$7:C25,"&lt;&gt;",$H$7:H25,"&lt;&gt;No",$G$7:G25,"Yes"),"")</f>
        <v/>
      </c>
    </row>
    <row r="26">
      <c r="B26" s="69" t="n">
        <v>4100</v>
      </c>
      <c r="C26" s="62" t="inlineStr">
        <is>
          <t>Service Income</t>
        </is>
      </c>
      <c r="D26" s="62" t="inlineStr">
        <is>
          <t>Revenue</t>
        </is>
      </c>
      <c r="E26" s="62" t="inlineStr">
        <is>
          <t>Credit</t>
        </is>
      </c>
      <c r="F26" s="62" t="inlineStr">
        <is>
          <t>Operating</t>
        </is>
      </c>
      <c r="G26" s="62" t="inlineStr">
        <is>
          <t>No</t>
        </is>
      </c>
      <c r="H26" s="62" t="inlineStr">
        <is>
          <t>Yes</t>
        </is>
      </c>
      <c r="I26" s="64" t="n"/>
      <c r="J26" s="62" t="inlineStr">
        <is>
          <t>Fees for services</t>
        </is>
      </c>
      <c r="K26" s="65">
        <f>IF(C26="","",IFERROR(INDEX(calc_Bal,MATCH(C26,calc_Name,0))*IF(E26="Credit",-1,1),0))</f>
        <v/>
      </c>
      <c r="L26" s="66">
        <f>IF(AND(C26="",B26="",D26=""),"",IF(C26="","⛔ Enter an account name",IF(COUNTIF(coa_Name,C26)&gt;1,"⛔ Duplicate account name",IF(ISNA(MATCH(D26,at_Type,0)),"⛔ Select an account type",IF(AND(E26&lt;&gt;"Debit",E26&lt;&gt;"Credit"),"⛔ Normal balance must be Debit or Credit",IF(ISNA(MATCH(F26,lstCF,0)),"⚠ Select a cash flow section",IF(AND(B26&lt;&gt;"",COUNTIF(coa_Code,B26)&gt;1),"⚠ Duplicate account code",IF(AND(N(I26)&lt;&gt;0,INDEX(at_Stmt,MATCH(D26,at_Type,0))="PL"),"⚠ Opening balance on a profit &amp; loss account","✓ OK"))))))))</f>
        <v/>
      </c>
      <c r="M26" s="67">
        <f>IF(AND(C26&lt;&gt;"",H26&lt;&gt;"No"),COUNTIFS($C$7:C26,"&lt;&gt;",$H$7:H26,"&lt;&gt;No"),"")</f>
        <v/>
      </c>
      <c r="N26" s="67">
        <f>IF(AND(C26&lt;&gt;"",H26&lt;&gt;"No",G26="Yes"),COUNTIFS($C$7:C26,"&lt;&gt;",$H$7:H26,"&lt;&gt;No",$G$7:G26,"Yes"),"")</f>
        <v/>
      </c>
    </row>
    <row r="27">
      <c r="B27" s="69" t="n">
        <v>4900</v>
      </c>
      <c r="C27" s="62" t="inlineStr">
        <is>
          <t>Refunds &amp; Discounts</t>
        </is>
      </c>
      <c r="D27" s="62" t="inlineStr">
        <is>
          <t>Revenue</t>
        </is>
      </c>
      <c r="E27" s="62" t="inlineStr">
        <is>
          <t>Debit</t>
        </is>
      </c>
      <c r="F27" s="62" t="inlineStr">
        <is>
          <t>Operating</t>
        </is>
      </c>
      <c r="G27" s="62" t="inlineStr">
        <is>
          <t>No</t>
        </is>
      </c>
      <c r="H27" s="62" t="inlineStr">
        <is>
          <t>Yes</t>
        </is>
      </c>
      <c r="I27" s="64" t="n"/>
      <c r="J27" s="62" t="inlineStr">
        <is>
          <t>Refunds and discounts given to customers (reduces revenue)</t>
        </is>
      </c>
      <c r="K27" s="65">
        <f>IF(C27="","",IFERROR(INDEX(calc_Bal,MATCH(C27,calc_Name,0))*IF(E27="Credit",-1,1),0))</f>
        <v/>
      </c>
      <c r="L27" s="66">
        <f>IF(AND(C27="",B27="",D27=""),"",IF(C27="","⛔ Enter an account name",IF(COUNTIF(coa_Name,C27)&gt;1,"⛔ Duplicate account name",IF(ISNA(MATCH(D27,at_Type,0)),"⛔ Select an account type",IF(AND(E27&lt;&gt;"Debit",E27&lt;&gt;"Credit"),"⛔ Normal balance must be Debit or Credit",IF(ISNA(MATCH(F27,lstCF,0)),"⚠ Select a cash flow section",IF(AND(B27&lt;&gt;"",COUNTIF(coa_Code,B27)&gt;1),"⚠ Duplicate account code",IF(AND(N(I27)&lt;&gt;0,INDEX(at_Stmt,MATCH(D27,at_Type,0))="PL"),"⚠ Opening balance on a profit &amp; loss account","✓ OK"))))))))</f>
        <v/>
      </c>
      <c r="M27" s="67">
        <f>IF(AND(C27&lt;&gt;"",H27&lt;&gt;"No"),COUNTIFS($C$7:C27,"&lt;&gt;",$H$7:H27,"&lt;&gt;No"),"")</f>
        <v/>
      </c>
      <c r="N27" s="67">
        <f>IF(AND(C27&lt;&gt;"",H27&lt;&gt;"No",G27="Yes"),COUNTIFS($C$7:C27,"&lt;&gt;",$H$7:H27,"&lt;&gt;No",$G$7:G27,"Yes"),"")</f>
        <v/>
      </c>
    </row>
    <row r="28">
      <c r="B28" s="69" t="n">
        <v>5000</v>
      </c>
      <c r="C28" s="62" t="inlineStr">
        <is>
          <t>Cost of Goods Sold</t>
        </is>
      </c>
      <c r="D28" s="62" t="inlineStr">
        <is>
          <t>Cost of Sales</t>
        </is>
      </c>
      <c r="E28" s="62" t="inlineStr">
        <is>
          <t>Debit</t>
        </is>
      </c>
      <c r="F28" s="62" t="inlineStr">
        <is>
          <t>Operating</t>
        </is>
      </c>
      <c r="G28" s="62" t="inlineStr">
        <is>
          <t>No</t>
        </is>
      </c>
      <c r="H28" s="62" t="inlineStr">
        <is>
          <t>Yes</t>
        </is>
      </c>
      <c r="I28" s="64" t="n"/>
      <c r="J28" s="62" t="inlineStr">
        <is>
          <t>Purchase cost of goods you sold</t>
        </is>
      </c>
      <c r="K28" s="65">
        <f>IF(C28="","",IFERROR(INDEX(calc_Bal,MATCH(C28,calc_Name,0))*IF(E28="Credit",-1,1),0))</f>
        <v/>
      </c>
      <c r="L28" s="66">
        <f>IF(AND(C28="",B28="",D28=""),"",IF(C28="","⛔ Enter an account name",IF(COUNTIF(coa_Name,C28)&gt;1,"⛔ Duplicate account name",IF(ISNA(MATCH(D28,at_Type,0)),"⛔ Select an account type",IF(AND(E28&lt;&gt;"Debit",E28&lt;&gt;"Credit"),"⛔ Normal balance must be Debit or Credit",IF(ISNA(MATCH(F28,lstCF,0)),"⚠ Select a cash flow section",IF(AND(B28&lt;&gt;"",COUNTIF(coa_Code,B28)&gt;1),"⚠ Duplicate account code",IF(AND(N(I28)&lt;&gt;0,INDEX(at_Stmt,MATCH(D28,at_Type,0))="PL"),"⚠ Opening balance on a profit &amp; loss account","✓ OK"))))))))</f>
        <v/>
      </c>
      <c r="M28" s="67">
        <f>IF(AND(C28&lt;&gt;"",H28&lt;&gt;"No"),COUNTIFS($C$7:C28,"&lt;&gt;",$H$7:H28,"&lt;&gt;No"),"")</f>
        <v/>
      </c>
      <c r="N28" s="67">
        <f>IF(AND(C28&lt;&gt;"",H28&lt;&gt;"No",G28="Yes"),COUNTIFS($C$7:C28,"&lt;&gt;",$H$7:H28,"&lt;&gt;No",$G$7:G28,"Yes"),"")</f>
        <v/>
      </c>
    </row>
    <row r="29">
      <c r="B29" s="69" t="n">
        <v>5100</v>
      </c>
      <c r="C29" s="62" t="inlineStr">
        <is>
          <t>Direct Materials</t>
        </is>
      </c>
      <c r="D29" s="62" t="inlineStr">
        <is>
          <t>Cost of Sales</t>
        </is>
      </c>
      <c r="E29" s="62" t="inlineStr">
        <is>
          <t>Debit</t>
        </is>
      </c>
      <c r="F29" s="62" t="inlineStr">
        <is>
          <t>Operating</t>
        </is>
      </c>
      <c r="G29" s="62" t="inlineStr">
        <is>
          <t>No</t>
        </is>
      </c>
      <c r="H29" s="62" t="inlineStr">
        <is>
          <t>Yes</t>
        </is>
      </c>
      <c r="I29" s="64" t="n"/>
      <c r="J29" s="62" t="inlineStr">
        <is>
          <t>Ingredients, raw materials</t>
        </is>
      </c>
      <c r="K29" s="65">
        <f>IF(C29="","",IFERROR(INDEX(calc_Bal,MATCH(C29,calc_Name,0))*IF(E29="Credit",-1,1),0))</f>
        <v/>
      </c>
      <c r="L29" s="66">
        <f>IF(AND(C29="",B29="",D29=""),"",IF(C29="","⛔ Enter an account name",IF(COUNTIF(coa_Name,C29)&gt;1,"⛔ Duplicate account name",IF(ISNA(MATCH(D29,at_Type,0)),"⛔ Select an account type",IF(AND(E29&lt;&gt;"Debit",E29&lt;&gt;"Credit"),"⛔ Normal balance must be Debit or Credit",IF(ISNA(MATCH(F29,lstCF,0)),"⚠ Select a cash flow section",IF(AND(B29&lt;&gt;"",COUNTIF(coa_Code,B29)&gt;1),"⚠ Duplicate account code",IF(AND(N(I29)&lt;&gt;0,INDEX(at_Stmt,MATCH(D29,at_Type,0))="PL"),"⚠ Opening balance on a profit &amp; loss account","✓ OK"))))))))</f>
        <v/>
      </c>
      <c r="M29" s="67">
        <f>IF(AND(C29&lt;&gt;"",H29&lt;&gt;"No"),COUNTIFS($C$7:C29,"&lt;&gt;",$H$7:H29,"&lt;&gt;No"),"")</f>
        <v/>
      </c>
      <c r="N29" s="67">
        <f>IF(AND(C29&lt;&gt;"",H29&lt;&gt;"No",G29="Yes"),COUNTIFS($C$7:C29,"&lt;&gt;",$H$7:H29,"&lt;&gt;No",$G$7:G29,"Yes"),"")</f>
        <v/>
      </c>
    </row>
    <row r="30">
      <c r="B30" s="69" t="n">
        <v>5200</v>
      </c>
      <c r="C30" s="62" t="inlineStr">
        <is>
          <t>Direct Labor</t>
        </is>
      </c>
      <c r="D30" s="62" t="inlineStr">
        <is>
          <t>Cost of Sales</t>
        </is>
      </c>
      <c r="E30" s="62" t="inlineStr">
        <is>
          <t>Debit</t>
        </is>
      </c>
      <c r="F30" s="62" t="inlineStr">
        <is>
          <t>Operating</t>
        </is>
      </c>
      <c r="G30" s="62" t="inlineStr">
        <is>
          <t>No</t>
        </is>
      </c>
      <c r="H30" s="62" t="inlineStr">
        <is>
          <t>Yes</t>
        </is>
      </c>
      <c r="I30" s="64" t="n"/>
      <c r="J30" s="62" t="inlineStr">
        <is>
          <t>Wages of staff who make the product / deliver the service</t>
        </is>
      </c>
      <c r="K30" s="65">
        <f>IF(C30="","",IFERROR(INDEX(calc_Bal,MATCH(C30,calc_Name,0))*IF(E30="Credit",-1,1),0))</f>
        <v/>
      </c>
      <c r="L30" s="66">
        <f>IF(AND(C30="",B30="",D30=""),"",IF(C30="","⛔ Enter an account name",IF(COUNTIF(coa_Name,C30)&gt;1,"⛔ Duplicate account name",IF(ISNA(MATCH(D30,at_Type,0)),"⛔ Select an account type",IF(AND(E30&lt;&gt;"Debit",E30&lt;&gt;"Credit"),"⛔ Normal balance must be Debit or Credit",IF(ISNA(MATCH(F30,lstCF,0)),"⚠ Select a cash flow section",IF(AND(B30&lt;&gt;"",COUNTIF(coa_Code,B30)&gt;1),"⚠ Duplicate account code",IF(AND(N(I30)&lt;&gt;0,INDEX(at_Stmt,MATCH(D30,at_Type,0))="PL"),"⚠ Opening balance on a profit &amp; loss account","✓ OK"))))))))</f>
        <v/>
      </c>
      <c r="M30" s="67">
        <f>IF(AND(C30&lt;&gt;"",H30&lt;&gt;"No"),COUNTIFS($C$7:C30,"&lt;&gt;",$H$7:H30,"&lt;&gt;No"),"")</f>
        <v/>
      </c>
      <c r="N30" s="67">
        <f>IF(AND(C30&lt;&gt;"",H30&lt;&gt;"No",G30="Yes"),COUNTIFS($C$7:C30,"&lt;&gt;",$H$7:H30,"&lt;&gt;No",$G$7:G30,"Yes"),"")</f>
        <v/>
      </c>
    </row>
    <row r="31">
      <c r="B31" s="69" t="n">
        <v>5300</v>
      </c>
      <c r="C31" s="62" t="inlineStr">
        <is>
          <t>Other Direct Costs</t>
        </is>
      </c>
      <c r="D31" s="62" t="inlineStr">
        <is>
          <t>Cost of Sales</t>
        </is>
      </c>
      <c r="E31" s="62" t="inlineStr">
        <is>
          <t>Debit</t>
        </is>
      </c>
      <c r="F31" s="62" t="inlineStr">
        <is>
          <t>Operating</t>
        </is>
      </c>
      <c r="G31" s="62" t="inlineStr">
        <is>
          <t>No</t>
        </is>
      </c>
      <c r="H31" s="62" t="inlineStr">
        <is>
          <t>Yes</t>
        </is>
      </c>
      <c r="I31" s="64" t="n"/>
      <c r="J31" s="62" t="inlineStr">
        <is>
          <t>Packaging, shipping to customer, platform fees per sale</t>
        </is>
      </c>
      <c r="K31" s="65">
        <f>IF(C31="","",IFERROR(INDEX(calc_Bal,MATCH(C31,calc_Name,0))*IF(E31="Credit",-1,1),0))</f>
        <v/>
      </c>
      <c r="L31" s="66">
        <f>IF(AND(C31="",B31="",D31=""),"",IF(C31="","⛔ Enter an account name",IF(COUNTIF(coa_Name,C31)&gt;1,"⛔ Duplicate account name",IF(ISNA(MATCH(D31,at_Type,0)),"⛔ Select an account type",IF(AND(E31&lt;&gt;"Debit",E31&lt;&gt;"Credit"),"⛔ Normal balance must be Debit or Credit",IF(ISNA(MATCH(F31,lstCF,0)),"⚠ Select a cash flow section",IF(AND(B31&lt;&gt;"",COUNTIF(coa_Code,B31)&gt;1),"⚠ Duplicate account code",IF(AND(N(I31)&lt;&gt;0,INDEX(at_Stmt,MATCH(D31,at_Type,0))="PL"),"⚠ Opening balance on a profit &amp; loss account","✓ OK"))))))))</f>
        <v/>
      </c>
      <c r="M31" s="67">
        <f>IF(AND(C31&lt;&gt;"",H31&lt;&gt;"No"),COUNTIFS($C$7:C31,"&lt;&gt;",$H$7:H31,"&lt;&gt;No"),"")</f>
        <v/>
      </c>
      <c r="N31" s="67">
        <f>IF(AND(C31&lt;&gt;"",H31&lt;&gt;"No",G31="Yes"),COUNTIFS($C$7:C31,"&lt;&gt;",$H$7:H31,"&lt;&gt;No",$G$7:G31,"Yes"),"")</f>
        <v/>
      </c>
    </row>
    <row r="32">
      <c r="B32" s="69" t="n">
        <v>6000</v>
      </c>
      <c r="C32" s="62" t="inlineStr">
        <is>
          <t>Rent</t>
        </is>
      </c>
      <c r="D32" s="62" t="inlineStr">
        <is>
          <t>Operating Expense</t>
        </is>
      </c>
      <c r="E32" s="62" t="inlineStr">
        <is>
          <t>Debit</t>
        </is>
      </c>
      <c r="F32" s="62" t="inlineStr">
        <is>
          <t>Operating</t>
        </is>
      </c>
      <c r="G32" s="62" t="inlineStr">
        <is>
          <t>No</t>
        </is>
      </c>
      <c r="H32" s="62" t="inlineStr">
        <is>
          <t>Yes</t>
        </is>
      </c>
      <c r="I32" s="64" t="n"/>
      <c r="J32" s="62" t="inlineStr">
        <is>
          <t>Shop, office or storage rent</t>
        </is>
      </c>
      <c r="K32" s="65">
        <f>IF(C32="","",IFERROR(INDEX(calc_Bal,MATCH(C32,calc_Name,0))*IF(E32="Credit",-1,1),0))</f>
        <v/>
      </c>
      <c r="L32" s="66">
        <f>IF(AND(C32="",B32="",D32=""),"",IF(C32="","⛔ Enter an account name",IF(COUNTIF(coa_Name,C32)&gt;1,"⛔ Duplicate account name",IF(ISNA(MATCH(D32,at_Type,0)),"⛔ Select an account type",IF(AND(E32&lt;&gt;"Debit",E32&lt;&gt;"Credit"),"⛔ Normal balance must be Debit or Credit",IF(ISNA(MATCH(F32,lstCF,0)),"⚠ Select a cash flow section",IF(AND(B32&lt;&gt;"",COUNTIF(coa_Code,B32)&gt;1),"⚠ Duplicate account code",IF(AND(N(I32)&lt;&gt;0,INDEX(at_Stmt,MATCH(D32,at_Type,0))="PL"),"⚠ Opening balance on a profit &amp; loss account","✓ OK"))))))))</f>
        <v/>
      </c>
      <c r="M32" s="67">
        <f>IF(AND(C32&lt;&gt;"",H32&lt;&gt;"No"),COUNTIFS($C$7:C32,"&lt;&gt;",$H$7:H32,"&lt;&gt;No"),"")</f>
        <v/>
      </c>
      <c r="N32" s="67">
        <f>IF(AND(C32&lt;&gt;"",H32&lt;&gt;"No",G32="Yes"),COUNTIFS($C$7:C32,"&lt;&gt;",$H$7:H32,"&lt;&gt;No",$G$7:G32,"Yes"),"")</f>
        <v/>
      </c>
    </row>
    <row r="33">
      <c r="B33" s="69" t="n">
        <v>6100</v>
      </c>
      <c r="C33" s="62" t="inlineStr">
        <is>
          <t>Utilities</t>
        </is>
      </c>
      <c r="D33" s="62" t="inlineStr">
        <is>
          <t>Operating Expense</t>
        </is>
      </c>
      <c r="E33" s="62" t="inlineStr">
        <is>
          <t>Debit</t>
        </is>
      </c>
      <c r="F33" s="62" t="inlineStr">
        <is>
          <t>Operating</t>
        </is>
      </c>
      <c r="G33" s="62" t="inlineStr">
        <is>
          <t>No</t>
        </is>
      </c>
      <c r="H33" s="62" t="inlineStr">
        <is>
          <t>Yes</t>
        </is>
      </c>
      <c r="I33" s="64" t="n"/>
      <c r="J33" s="62" t="inlineStr">
        <is>
          <t>Electricity, water, gas</t>
        </is>
      </c>
      <c r="K33" s="65">
        <f>IF(C33="","",IFERROR(INDEX(calc_Bal,MATCH(C33,calc_Name,0))*IF(E33="Credit",-1,1),0))</f>
        <v/>
      </c>
      <c r="L33" s="66">
        <f>IF(AND(C33="",B33="",D33=""),"",IF(C33="","⛔ Enter an account name",IF(COUNTIF(coa_Name,C33)&gt;1,"⛔ Duplicate account name",IF(ISNA(MATCH(D33,at_Type,0)),"⛔ Select an account type",IF(AND(E33&lt;&gt;"Debit",E33&lt;&gt;"Credit"),"⛔ Normal balance must be Debit or Credit",IF(ISNA(MATCH(F33,lstCF,0)),"⚠ Select a cash flow section",IF(AND(B33&lt;&gt;"",COUNTIF(coa_Code,B33)&gt;1),"⚠ Duplicate account code",IF(AND(N(I33)&lt;&gt;0,INDEX(at_Stmt,MATCH(D33,at_Type,0))="PL"),"⚠ Opening balance on a profit &amp; loss account","✓ OK"))))))))</f>
        <v/>
      </c>
      <c r="M33" s="67">
        <f>IF(AND(C33&lt;&gt;"",H33&lt;&gt;"No"),COUNTIFS($C$7:C33,"&lt;&gt;",$H$7:H33,"&lt;&gt;No"),"")</f>
        <v/>
      </c>
      <c r="N33" s="67">
        <f>IF(AND(C33&lt;&gt;"",H33&lt;&gt;"No",G33="Yes"),COUNTIFS($C$7:C33,"&lt;&gt;",$H$7:H33,"&lt;&gt;No",$G$7:G33,"Yes"),"")</f>
        <v/>
      </c>
    </row>
    <row r="34">
      <c r="B34" s="69" t="n">
        <v>6150</v>
      </c>
      <c r="C34" s="62" t="inlineStr">
        <is>
          <t>Internet &amp; Phone</t>
        </is>
      </c>
      <c r="D34" s="62" t="inlineStr">
        <is>
          <t>Operating Expense</t>
        </is>
      </c>
      <c r="E34" s="62" t="inlineStr">
        <is>
          <t>Debit</t>
        </is>
      </c>
      <c r="F34" s="62" t="inlineStr">
        <is>
          <t>Operating</t>
        </is>
      </c>
      <c r="G34" s="62" t="inlineStr">
        <is>
          <t>No</t>
        </is>
      </c>
      <c r="H34" s="62" t="inlineStr">
        <is>
          <t>Yes</t>
        </is>
      </c>
      <c r="I34" s="64" t="n"/>
      <c r="J34" s="62" t="inlineStr">
        <is>
          <t>Internet, mobile load, landline</t>
        </is>
      </c>
      <c r="K34" s="65">
        <f>IF(C34="","",IFERROR(INDEX(calc_Bal,MATCH(C34,calc_Name,0))*IF(E34="Credit",-1,1),0))</f>
        <v/>
      </c>
      <c r="L34" s="66">
        <f>IF(AND(C34="",B34="",D34=""),"",IF(C34="","⛔ Enter an account name",IF(COUNTIF(coa_Name,C34)&gt;1,"⛔ Duplicate account name",IF(ISNA(MATCH(D34,at_Type,0)),"⛔ Select an account type",IF(AND(E34&lt;&gt;"Debit",E34&lt;&gt;"Credit"),"⛔ Normal balance must be Debit or Credit",IF(ISNA(MATCH(F34,lstCF,0)),"⚠ Select a cash flow section",IF(AND(B34&lt;&gt;"",COUNTIF(coa_Code,B34)&gt;1),"⚠ Duplicate account code",IF(AND(N(I34)&lt;&gt;0,INDEX(at_Stmt,MATCH(D34,at_Type,0))="PL"),"⚠ Opening balance on a profit &amp; loss account","✓ OK"))))))))</f>
        <v/>
      </c>
      <c r="M34" s="67">
        <f>IF(AND(C34&lt;&gt;"",H34&lt;&gt;"No"),COUNTIFS($C$7:C34,"&lt;&gt;",$H$7:H34,"&lt;&gt;No"),"")</f>
        <v/>
      </c>
      <c r="N34" s="67">
        <f>IF(AND(C34&lt;&gt;"",H34&lt;&gt;"No",G34="Yes"),COUNTIFS($C$7:C34,"&lt;&gt;",$H$7:H34,"&lt;&gt;No",$G$7:G34,"Yes"),"")</f>
        <v/>
      </c>
    </row>
    <row r="35">
      <c r="B35" s="69" t="n">
        <v>6200</v>
      </c>
      <c r="C35" s="62" t="inlineStr">
        <is>
          <t>Salaries &amp; Wages</t>
        </is>
      </c>
      <c r="D35" s="62" t="inlineStr">
        <is>
          <t>Operating Expense</t>
        </is>
      </c>
      <c r="E35" s="62" t="inlineStr">
        <is>
          <t>Debit</t>
        </is>
      </c>
      <c r="F35" s="62" t="inlineStr">
        <is>
          <t>Operating</t>
        </is>
      </c>
      <c r="G35" s="62" t="inlineStr">
        <is>
          <t>No</t>
        </is>
      </c>
      <c r="H35" s="62" t="inlineStr">
        <is>
          <t>Yes</t>
        </is>
      </c>
      <c r="I35" s="64" t="n"/>
      <c r="J35" s="62" t="inlineStr">
        <is>
          <t>Office / admin staff pay</t>
        </is>
      </c>
      <c r="K35" s="65">
        <f>IF(C35="","",IFERROR(INDEX(calc_Bal,MATCH(C35,calc_Name,0))*IF(E35="Credit",-1,1),0))</f>
        <v/>
      </c>
      <c r="L35" s="66">
        <f>IF(AND(C35="",B35="",D35=""),"",IF(C35="","⛔ Enter an account name",IF(COUNTIF(coa_Name,C35)&gt;1,"⛔ Duplicate account name",IF(ISNA(MATCH(D35,at_Type,0)),"⛔ Select an account type",IF(AND(E35&lt;&gt;"Debit",E35&lt;&gt;"Credit"),"⛔ Normal balance must be Debit or Credit",IF(ISNA(MATCH(F35,lstCF,0)),"⚠ Select a cash flow section",IF(AND(B35&lt;&gt;"",COUNTIF(coa_Code,B35)&gt;1),"⚠ Duplicate account code",IF(AND(N(I35)&lt;&gt;0,INDEX(at_Stmt,MATCH(D35,at_Type,0))="PL"),"⚠ Opening balance on a profit &amp; loss account","✓ OK"))))))))</f>
        <v/>
      </c>
      <c r="M35" s="67">
        <f>IF(AND(C35&lt;&gt;"",H35&lt;&gt;"No"),COUNTIFS($C$7:C35,"&lt;&gt;",$H$7:H35,"&lt;&gt;No"),"")</f>
        <v/>
      </c>
      <c r="N35" s="67">
        <f>IF(AND(C35&lt;&gt;"",H35&lt;&gt;"No",G35="Yes"),COUNTIFS($C$7:C35,"&lt;&gt;",$H$7:H35,"&lt;&gt;No",$G$7:G35,"Yes"),"")</f>
        <v/>
      </c>
    </row>
    <row r="36">
      <c r="B36" s="69" t="n">
        <v>6300</v>
      </c>
      <c r="C36" s="62" t="inlineStr">
        <is>
          <t>Advertising &amp; Marketing</t>
        </is>
      </c>
      <c r="D36" s="62" t="inlineStr">
        <is>
          <t>Operating Expense</t>
        </is>
      </c>
      <c r="E36" s="62" t="inlineStr">
        <is>
          <t>Debit</t>
        </is>
      </c>
      <c r="F36" s="62" t="inlineStr">
        <is>
          <t>Operating</t>
        </is>
      </c>
      <c r="G36" s="62" t="inlineStr">
        <is>
          <t>No</t>
        </is>
      </c>
      <c r="H36" s="62" t="inlineStr">
        <is>
          <t>Yes</t>
        </is>
      </c>
      <c r="I36" s="64" t="n"/>
      <c r="J36" s="62" t="inlineStr">
        <is>
          <t>Ads, flyers, boosted posts</t>
        </is>
      </c>
      <c r="K36" s="65">
        <f>IF(C36="","",IFERROR(INDEX(calc_Bal,MATCH(C36,calc_Name,0))*IF(E36="Credit",-1,1),0))</f>
        <v/>
      </c>
      <c r="L36" s="66">
        <f>IF(AND(C36="",B36="",D36=""),"",IF(C36="","⛔ Enter an account name",IF(COUNTIF(coa_Name,C36)&gt;1,"⛔ Duplicate account name",IF(ISNA(MATCH(D36,at_Type,0)),"⛔ Select an account type",IF(AND(E36&lt;&gt;"Debit",E36&lt;&gt;"Credit"),"⛔ Normal balance must be Debit or Credit",IF(ISNA(MATCH(F36,lstCF,0)),"⚠ Select a cash flow section",IF(AND(B36&lt;&gt;"",COUNTIF(coa_Code,B36)&gt;1),"⚠ Duplicate account code",IF(AND(N(I36)&lt;&gt;0,INDEX(at_Stmt,MATCH(D36,at_Type,0))="PL"),"⚠ Opening balance on a profit &amp; loss account","✓ OK"))))))))</f>
        <v/>
      </c>
      <c r="M36" s="67">
        <f>IF(AND(C36&lt;&gt;"",H36&lt;&gt;"No"),COUNTIFS($C$7:C36,"&lt;&gt;",$H$7:H36,"&lt;&gt;No"),"")</f>
        <v/>
      </c>
      <c r="N36" s="67">
        <f>IF(AND(C36&lt;&gt;"",H36&lt;&gt;"No",G36="Yes"),COUNTIFS($C$7:C36,"&lt;&gt;",$H$7:H36,"&lt;&gt;No",$G$7:G36,"Yes"),"")</f>
        <v/>
      </c>
    </row>
    <row r="37">
      <c r="B37" s="69" t="n">
        <v>6400</v>
      </c>
      <c r="C37" s="62" t="inlineStr">
        <is>
          <t>Transportation &amp; Delivery</t>
        </is>
      </c>
      <c r="D37" s="62" t="inlineStr">
        <is>
          <t>Operating Expense</t>
        </is>
      </c>
      <c r="E37" s="62" t="inlineStr">
        <is>
          <t>Debit</t>
        </is>
      </c>
      <c r="F37" s="62" t="inlineStr">
        <is>
          <t>Operating</t>
        </is>
      </c>
      <c r="G37" s="62" t="inlineStr">
        <is>
          <t>No</t>
        </is>
      </c>
      <c r="H37" s="62" t="inlineStr">
        <is>
          <t>Yes</t>
        </is>
      </c>
      <c r="I37" s="64" t="n"/>
      <c r="J37" s="62" t="inlineStr">
        <is>
          <t>Fuel, fares, couriers</t>
        </is>
      </c>
      <c r="K37" s="65">
        <f>IF(C37="","",IFERROR(INDEX(calc_Bal,MATCH(C37,calc_Name,0))*IF(E37="Credit",-1,1),0))</f>
        <v/>
      </c>
      <c r="L37" s="66">
        <f>IF(AND(C37="",B37="",D37=""),"",IF(C37="","⛔ Enter an account name",IF(COUNTIF(coa_Name,C37)&gt;1,"⛔ Duplicate account name",IF(ISNA(MATCH(D37,at_Type,0)),"⛔ Select an account type",IF(AND(E37&lt;&gt;"Debit",E37&lt;&gt;"Credit"),"⛔ Normal balance must be Debit or Credit",IF(ISNA(MATCH(F37,lstCF,0)),"⚠ Select a cash flow section",IF(AND(B37&lt;&gt;"",COUNTIF(coa_Code,B37)&gt;1),"⚠ Duplicate account code",IF(AND(N(I37)&lt;&gt;0,INDEX(at_Stmt,MATCH(D37,at_Type,0))="PL"),"⚠ Opening balance on a profit &amp; loss account","✓ OK"))))))))</f>
        <v/>
      </c>
      <c r="M37" s="67">
        <f>IF(AND(C37&lt;&gt;"",H37&lt;&gt;"No"),COUNTIFS($C$7:C37,"&lt;&gt;",$H$7:H37,"&lt;&gt;No"),"")</f>
        <v/>
      </c>
      <c r="N37" s="67">
        <f>IF(AND(C37&lt;&gt;"",H37&lt;&gt;"No",G37="Yes"),COUNTIFS($C$7:C37,"&lt;&gt;",$H$7:H37,"&lt;&gt;No",$G$7:G37,"Yes"),"")</f>
        <v/>
      </c>
    </row>
    <row r="38">
      <c r="B38" s="69" t="n">
        <v>6500</v>
      </c>
      <c r="C38" s="62" t="inlineStr">
        <is>
          <t>Office Supplies</t>
        </is>
      </c>
      <c r="D38" s="62" t="inlineStr">
        <is>
          <t>Operating Expense</t>
        </is>
      </c>
      <c r="E38" s="62" t="inlineStr">
        <is>
          <t>Debit</t>
        </is>
      </c>
      <c r="F38" s="62" t="inlineStr">
        <is>
          <t>Operating</t>
        </is>
      </c>
      <c r="G38" s="62" t="inlineStr">
        <is>
          <t>No</t>
        </is>
      </c>
      <c r="H38" s="62" t="inlineStr">
        <is>
          <t>Yes</t>
        </is>
      </c>
      <c r="I38" s="64" t="n"/>
      <c r="J38" s="62" t="inlineStr">
        <is>
          <t>Paper, ink, small tools</t>
        </is>
      </c>
      <c r="K38" s="65">
        <f>IF(C38="","",IFERROR(INDEX(calc_Bal,MATCH(C38,calc_Name,0))*IF(E38="Credit",-1,1),0))</f>
        <v/>
      </c>
      <c r="L38" s="66">
        <f>IF(AND(C38="",B38="",D38=""),"",IF(C38="","⛔ Enter an account name",IF(COUNTIF(coa_Name,C38)&gt;1,"⛔ Duplicate account name",IF(ISNA(MATCH(D38,at_Type,0)),"⛔ Select an account type",IF(AND(E38&lt;&gt;"Debit",E38&lt;&gt;"Credit"),"⛔ Normal balance must be Debit or Credit",IF(ISNA(MATCH(F38,lstCF,0)),"⚠ Select a cash flow section",IF(AND(B38&lt;&gt;"",COUNTIF(coa_Code,B38)&gt;1),"⚠ Duplicate account code",IF(AND(N(I38)&lt;&gt;0,INDEX(at_Stmt,MATCH(D38,at_Type,0))="PL"),"⚠ Opening balance on a profit &amp; loss account","✓ OK"))))))))</f>
        <v/>
      </c>
      <c r="M38" s="67">
        <f>IF(AND(C38&lt;&gt;"",H38&lt;&gt;"No"),COUNTIFS($C$7:C38,"&lt;&gt;",$H$7:H38,"&lt;&gt;No"),"")</f>
        <v/>
      </c>
      <c r="N38" s="67">
        <f>IF(AND(C38&lt;&gt;"",H38&lt;&gt;"No",G38="Yes"),COUNTIFS($C$7:C38,"&lt;&gt;",$H$7:H38,"&lt;&gt;No",$G$7:G38,"Yes"),"")</f>
        <v/>
      </c>
    </row>
    <row r="39">
      <c r="B39" s="69" t="n">
        <v>6550</v>
      </c>
      <c r="C39" s="62" t="inlineStr">
        <is>
          <t>Software &amp; Subscriptions</t>
        </is>
      </c>
      <c r="D39" s="62" t="inlineStr">
        <is>
          <t>Operating Expense</t>
        </is>
      </c>
      <c r="E39" s="62" t="inlineStr">
        <is>
          <t>Debit</t>
        </is>
      </c>
      <c r="F39" s="62" t="inlineStr">
        <is>
          <t>Operating</t>
        </is>
      </c>
      <c r="G39" s="62" t="inlineStr">
        <is>
          <t>No</t>
        </is>
      </c>
      <c r="H39" s="62" t="inlineStr">
        <is>
          <t>Yes</t>
        </is>
      </c>
      <c r="I39" s="64" t="n"/>
      <c r="J39" s="62" t="inlineStr">
        <is>
          <t>Apps, SaaS, website hosting</t>
        </is>
      </c>
      <c r="K39" s="65">
        <f>IF(C39="","",IFERROR(INDEX(calc_Bal,MATCH(C39,calc_Name,0))*IF(E39="Credit",-1,1),0))</f>
        <v/>
      </c>
      <c r="L39" s="66">
        <f>IF(AND(C39="",B39="",D39=""),"",IF(C39="","⛔ Enter an account name",IF(COUNTIF(coa_Name,C39)&gt;1,"⛔ Duplicate account name",IF(ISNA(MATCH(D39,at_Type,0)),"⛔ Select an account type",IF(AND(E39&lt;&gt;"Debit",E39&lt;&gt;"Credit"),"⛔ Normal balance must be Debit or Credit",IF(ISNA(MATCH(F39,lstCF,0)),"⚠ Select a cash flow section",IF(AND(B39&lt;&gt;"",COUNTIF(coa_Code,B39)&gt;1),"⚠ Duplicate account code",IF(AND(N(I39)&lt;&gt;0,INDEX(at_Stmt,MATCH(D39,at_Type,0))="PL"),"⚠ Opening balance on a profit &amp; loss account","✓ OK"))))))))</f>
        <v/>
      </c>
      <c r="M39" s="67">
        <f>IF(AND(C39&lt;&gt;"",H39&lt;&gt;"No"),COUNTIFS($C$7:C39,"&lt;&gt;",$H$7:H39,"&lt;&gt;No"),"")</f>
        <v/>
      </c>
      <c r="N39" s="67">
        <f>IF(AND(C39&lt;&gt;"",H39&lt;&gt;"No",G39="Yes"),COUNTIFS($C$7:C39,"&lt;&gt;",$H$7:H39,"&lt;&gt;No",$G$7:G39,"Yes"),"")</f>
        <v/>
      </c>
    </row>
    <row r="40">
      <c r="B40" s="69" t="n">
        <v>6600</v>
      </c>
      <c r="C40" s="62" t="inlineStr">
        <is>
          <t>Bank &amp; Payment Fees</t>
        </is>
      </c>
      <c r="D40" s="62" t="inlineStr">
        <is>
          <t>Operating Expense</t>
        </is>
      </c>
      <c r="E40" s="62" t="inlineStr">
        <is>
          <t>Debit</t>
        </is>
      </c>
      <c r="F40" s="62" t="inlineStr">
        <is>
          <t>Operating</t>
        </is>
      </c>
      <c r="G40" s="62" t="inlineStr">
        <is>
          <t>No</t>
        </is>
      </c>
      <c r="H40" s="62" t="inlineStr">
        <is>
          <t>Yes</t>
        </is>
      </c>
      <c r="I40" s="64" t="n"/>
      <c r="J40" s="62" t="inlineStr">
        <is>
          <t>Bank charges, card and e-wallet fees</t>
        </is>
      </c>
      <c r="K40" s="65">
        <f>IF(C40="","",IFERROR(INDEX(calc_Bal,MATCH(C40,calc_Name,0))*IF(E40="Credit",-1,1),0))</f>
        <v/>
      </c>
      <c r="L40" s="66">
        <f>IF(AND(C40="",B40="",D40=""),"",IF(C40="","⛔ Enter an account name",IF(COUNTIF(coa_Name,C40)&gt;1,"⛔ Duplicate account name",IF(ISNA(MATCH(D40,at_Type,0)),"⛔ Select an account type",IF(AND(E40&lt;&gt;"Debit",E40&lt;&gt;"Credit"),"⛔ Normal balance must be Debit or Credit",IF(ISNA(MATCH(F40,lstCF,0)),"⚠ Select a cash flow section",IF(AND(B40&lt;&gt;"",COUNTIF(coa_Code,B40)&gt;1),"⚠ Duplicate account code",IF(AND(N(I40)&lt;&gt;0,INDEX(at_Stmt,MATCH(D40,at_Type,0))="PL"),"⚠ Opening balance on a profit &amp; loss account","✓ OK"))))))))</f>
        <v/>
      </c>
      <c r="M40" s="67">
        <f>IF(AND(C40&lt;&gt;"",H40&lt;&gt;"No"),COUNTIFS($C$7:C40,"&lt;&gt;",$H$7:H40,"&lt;&gt;No"),"")</f>
        <v/>
      </c>
      <c r="N40" s="67">
        <f>IF(AND(C40&lt;&gt;"",H40&lt;&gt;"No",G40="Yes"),COUNTIFS($C$7:C40,"&lt;&gt;",$H$7:H40,"&lt;&gt;No",$G$7:G40,"Yes"),"")</f>
        <v/>
      </c>
    </row>
    <row r="41">
      <c r="B41" s="69" t="n">
        <v>6700</v>
      </c>
      <c r="C41" s="62" t="inlineStr">
        <is>
          <t>Professional Fees</t>
        </is>
      </c>
      <c r="D41" s="62" t="inlineStr">
        <is>
          <t>Operating Expense</t>
        </is>
      </c>
      <c r="E41" s="62" t="inlineStr">
        <is>
          <t>Debit</t>
        </is>
      </c>
      <c r="F41" s="62" t="inlineStr">
        <is>
          <t>Operating</t>
        </is>
      </c>
      <c r="G41" s="62" t="inlineStr">
        <is>
          <t>No</t>
        </is>
      </c>
      <c r="H41" s="62" t="inlineStr">
        <is>
          <t>Yes</t>
        </is>
      </c>
      <c r="I41" s="64" t="n"/>
      <c r="J41" s="62" t="inlineStr">
        <is>
          <t>Accountant, lawyer, consultants</t>
        </is>
      </c>
      <c r="K41" s="65">
        <f>IF(C41="","",IFERROR(INDEX(calc_Bal,MATCH(C41,calc_Name,0))*IF(E41="Credit",-1,1),0))</f>
        <v/>
      </c>
      <c r="L41" s="66">
        <f>IF(AND(C41="",B41="",D41=""),"",IF(C41="","⛔ Enter an account name",IF(COUNTIF(coa_Name,C41)&gt;1,"⛔ Duplicate account name",IF(ISNA(MATCH(D41,at_Type,0)),"⛔ Select an account type",IF(AND(E41&lt;&gt;"Debit",E41&lt;&gt;"Credit"),"⛔ Normal balance must be Debit or Credit",IF(ISNA(MATCH(F41,lstCF,0)),"⚠ Select a cash flow section",IF(AND(B41&lt;&gt;"",COUNTIF(coa_Code,B41)&gt;1),"⚠ Duplicate account code",IF(AND(N(I41)&lt;&gt;0,INDEX(at_Stmt,MATCH(D41,at_Type,0))="PL"),"⚠ Opening balance on a profit &amp; loss account","✓ OK"))))))))</f>
        <v/>
      </c>
      <c r="M41" s="67">
        <f>IF(AND(C41&lt;&gt;"",H41&lt;&gt;"No"),COUNTIFS($C$7:C41,"&lt;&gt;",$H$7:H41,"&lt;&gt;No"),"")</f>
        <v/>
      </c>
      <c r="N41" s="67">
        <f>IF(AND(C41&lt;&gt;"",H41&lt;&gt;"No",G41="Yes"),COUNTIFS($C$7:C41,"&lt;&gt;",$H$7:H41,"&lt;&gt;No",$G$7:G41,"Yes"),"")</f>
        <v/>
      </c>
    </row>
    <row r="42">
      <c r="B42" s="69" t="n">
        <v>6800</v>
      </c>
      <c r="C42" s="62" t="inlineStr">
        <is>
          <t>Repairs &amp; Maintenance</t>
        </is>
      </c>
      <c r="D42" s="62" t="inlineStr">
        <is>
          <t>Operating Expense</t>
        </is>
      </c>
      <c r="E42" s="62" t="inlineStr">
        <is>
          <t>Debit</t>
        </is>
      </c>
      <c r="F42" s="62" t="inlineStr">
        <is>
          <t>Operating</t>
        </is>
      </c>
      <c r="G42" s="62" t="inlineStr">
        <is>
          <t>No</t>
        </is>
      </c>
      <c r="H42" s="62" t="inlineStr">
        <is>
          <t>Yes</t>
        </is>
      </c>
      <c r="I42" s="64" t="n"/>
      <c r="J42" s="62" t="inlineStr">
        <is>
          <t>Fixing equipment and premises</t>
        </is>
      </c>
      <c r="K42" s="65">
        <f>IF(C42="","",IFERROR(INDEX(calc_Bal,MATCH(C42,calc_Name,0))*IF(E42="Credit",-1,1),0))</f>
        <v/>
      </c>
      <c r="L42" s="66">
        <f>IF(AND(C42="",B42="",D42=""),"",IF(C42="","⛔ Enter an account name",IF(COUNTIF(coa_Name,C42)&gt;1,"⛔ Duplicate account name",IF(ISNA(MATCH(D42,at_Type,0)),"⛔ Select an account type",IF(AND(E42&lt;&gt;"Debit",E42&lt;&gt;"Credit"),"⛔ Normal balance must be Debit or Credit",IF(ISNA(MATCH(F42,lstCF,0)),"⚠ Select a cash flow section",IF(AND(B42&lt;&gt;"",COUNTIF(coa_Code,B42)&gt;1),"⚠ Duplicate account code",IF(AND(N(I42)&lt;&gt;0,INDEX(at_Stmt,MATCH(D42,at_Type,0))="PL"),"⚠ Opening balance on a profit &amp; loss account","✓ OK"))))))))</f>
        <v/>
      </c>
      <c r="M42" s="67">
        <f>IF(AND(C42&lt;&gt;"",H42&lt;&gt;"No"),COUNTIFS($C$7:C42,"&lt;&gt;",$H$7:H42,"&lt;&gt;No"),"")</f>
        <v/>
      </c>
      <c r="N42" s="67">
        <f>IF(AND(C42&lt;&gt;"",H42&lt;&gt;"No",G42="Yes"),COUNTIFS($C$7:C42,"&lt;&gt;",$H$7:H42,"&lt;&gt;No",$G$7:G42,"Yes"),"")</f>
        <v/>
      </c>
    </row>
    <row r="43">
      <c r="B43" s="69" t="n">
        <v>6850</v>
      </c>
      <c r="C43" s="62" t="inlineStr">
        <is>
          <t>Insurance</t>
        </is>
      </c>
      <c r="D43" s="62" t="inlineStr">
        <is>
          <t>Operating Expense</t>
        </is>
      </c>
      <c r="E43" s="62" t="inlineStr">
        <is>
          <t>Debit</t>
        </is>
      </c>
      <c r="F43" s="62" t="inlineStr">
        <is>
          <t>Operating</t>
        </is>
      </c>
      <c r="G43" s="62" t="inlineStr">
        <is>
          <t>No</t>
        </is>
      </c>
      <c r="H43" s="62" t="inlineStr">
        <is>
          <t>Yes</t>
        </is>
      </c>
      <c r="I43" s="64" t="n"/>
      <c r="J43" s="62" t="inlineStr">
        <is>
          <t>Business insurance premiums</t>
        </is>
      </c>
      <c r="K43" s="65">
        <f>IF(C43="","",IFERROR(INDEX(calc_Bal,MATCH(C43,calc_Name,0))*IF(E43="Credit",-1,1),0))</f>
        <v/>
      </c>
      <c r="L43" s="66">
        <f>IF(AND(C43="",B43="",D43=""),"",IF(C43="","⛔ Enter an account name",IF(COUNTIF(coa_Name,C43)&gt;1,"⛔ Duplicate account name",IF(ISNA(MATCH(D43,at_Type,0)),"⛔ Select an account type",IF(AND(E43&lt;&gt;"Debit",E43&lt;&gt;"Credit"),"⛔ Normal balance must be Debit or Credit",IF(ISNA(MATCH(F43,lstCF,0)),"⚠ Select a cash flow section",IF(AND(B43&lt;&gt;"",COUNTIF(coa_Code,B43)&gt;1),"⚠ Duplicate account code",IF(AND(N(I43)&lt;&gt;0,INDEX(at_Stmt,MATCH(D43,at_Type,0))="PL"),"⚠ Opening balance on a profit &amp; loss account","✓ OK"))))))))</f>
        <v/>
      </c>
      <c r="M43" s="67">
        <f>IF(AND(C43&lt;&gt;"",H43&lt;&gt;"No"),COUNTIFS($C$7:C43,"&lt;&gt;",$H$7:H43,"&lt;&gt;No"),"")</f>
        <v/>
      </c>
      <c r="N43" s="67">
        <f>IF(AND(C43&lt;&gt;"",H43&lt;&gt;"No",G43="Yes"),COUNTIFS($C$7:C43,"&lt;&gt;",$H$7:H43,"&lt;&gt;No",$G$7:G43,"Yes"),"")</f>
        <v/>
      </c>
    </row>
    <row r="44">
      <c r="B44" s="69" t="n">
        <v>6870</v>
      </c>
      <c r="C44" s="62" t="inlineStr">
        <is>
          <t>Taxes &amp; Licenses</t>
        </is>
      </c>
      <c r="D44" s="62" t="inlineStr">
        <is>
          <t>Operating Expense</t>
        </is>
      </c>
      <c r="E44" s="62" t="inlineStr">
        <is>
          <t>Debit</t>
        </is>
      </c>
      <c r="F44" s="62" t="inlineStr">
        <is>
          <t>Operating</t>
        </is>
      </c>
      <c r="G44" s="62" t="inlineStr">
        <is>
          <t>No</t>
        </is>
      </c>
      <c r="H44" s="62" t="inlineStr">
        <is>
          <t>Yes</t>
        </is>
      </c>
      <c r="I44" s="64" t="n"/>
      <c r="J44" s="62" t="inlineStr">
        <is>
          <t>Permits, business licenses, non-income taxes</t>
        </is>
      </c>
      <c r="K44" s="65">
        <f>IF(C44="","",IFERROR(INDEX(calc_Bal,MATCH(C44,calc_Name,0))*IF(E44="Credit",-1,1),0))</f>
        <v/>
      </c>
      <c r="L44" s="66">
        <f>IF(AND(C44="",B44="",D44=""),"",IF(C44="","⛔ Enter an account name",IF(COUNTIF(coa_Name,C44)&gt;1,"⛔ Duplicate account name",IF(ISNA(MATCH(D44,at_Type,0)),"⛔ Select an account type",IF(AND(E44&lt;&gt;"Debit",E44&lt;&gt;"Credit"),"⛔ Normal balance must be Debit or Credit",IF(ISNA(MATCH(F44,lstCF,0)),"⚠ Select a cash flow section",IF(AND(B44&lt;&gt;"",COUNTIF(coa_Code,B44)&gt;1),"⚠ Duplicate account code",IF(AND(N(I44)&lt;&gt;0,INDEX(at_Stmt,MATCH(D44,at_Type,0))="PL"),"⚠ Opening balance on a profit &amp; loss account","✓ OK"))))))))</f>
        <v/>
      </c>
      <c r="M44" s="67">
        <f>IF(AND(C44&lt;&gt;"",H44&lt;&gt;"No"),COUNTIFS($C$7:C44,"&lt;&gt;",$H$7:H44,"&lt;&gt;No"),"")</f>
        <v/>
      </c>
      <c r="N44" s="67">
        <f>IF(AND(C44&lt;&gt;"",H44&lt;&gt;"No",G44="Yes"),COUNTIFS($C$7:C44,"&lt;&gt;",$H$7:H44,"&lt;&gt;No",$G$7:G44,"Yes"),"")</f>
        <v/>
      </c>
    </row>
    <row r="45">
      <c r="B45" s="69" t="n">
        <v>6880</v>
      </c>
      <c r="C45" s="62" t="inlineStr">
        <is>
          <t>Depreciation</t>
        </is>
      </c>
      <c r="D45" s="62" t="inlineStr">
        <is>
          <t>Operating Expense</t>
        </is>
      </c>
      <c r="E45" s="62" t="inlineStr">
        <is>
          <t>Debit</t>
        </is>
      </c>
      <c r="F45" s="62" t="inlineStr">
        <is>
          <t>Operating</t>
        </is>
      </c>
      <c r="G45" s="62" t="inlineStr">
        <is>
          <t>No</t>
        </is>
      </c>
      <c r="H45" s="62" t="inlineStr">
        <is>
          <t>Yes</t>
        </is>
      </c>
      <c r="I45" s="64" t="n"/>
      <c r="J45" s="62" t="inlineStr">
        <is>
          <t>Wear and tear of equipment (non-cash)</t>
        </is>
      </c>
      <c r="K45" s="65">
        <f>IF(C45="","",IFERROR(INDEX(calc_Bal,MATCH(C45,calc_Name,0))*IF(E45="Credit",-1,1),0))</f>
        <v/>
      </c>
      <c r="L45" s="66">
        <f>IF(AND(C45="",B45="",D45=""),"",IF(C45="","⛔ Enter an account name",IF(COUNTIF(coa_Name,C45)&gt;1,"⛔ Duplicate account name",IF(ISNA(MATCH(D45,at_Type,0)),"⛔ Select an account type",IF(AND(E45&lt;&gt;"Debit",E45&lt;&gt;"Credit"),"⛔ Normal balance must be Debit or Credit",IF(ISNA(MATCH(F45,lstCF,0)),"⚠ Select a cash flow section",IF(AND(B45&lt;&gt;"",COUNTIF(coa_Code,B45)&gt;1),"⚠ Duplicate account code",IF(AND(N(I45)&lt;&gt;0,INDEX(at_Stmt,MATCH(D45,at_Type,0))="PL"),"⚠ Opening balance on a profit &amp; loss account","✓ OK"))))))))</f>
        <v/>
      </c>
      <c r="M45" s="67">
        <f>IF(AND(C45&lt;&gt;"",H45&lt;&gt;"No"),COUNTIFS($C$7:C45,"&lt;&gt;",$H$7:H45,"&lt;&gt;No"),"")</f>
        <v/>
      </c>
      <c r="N45" s="67">
        <f>IF(AND(C45&lt;&gt;"",H45&lt;&gt;"No",G45="Yes"),COUNTIFS($C$7:C45,"&lt;&gt;",$H$7:H45,"&lt;&gt;No",$G$7:G45,"Yes"),"")</f>
        <v/>
      </c>
    </row>
    <row r="46">
      <c r="B46" s="69" t="n">
        <v>6990</v>
      </c>
      <c r="C46" s="62" t="inlineStr">
        <is>
          <t>Miscellaneous Expense</t>
        </is>
      </c>
      <c r="D46" s="62" t="inlineStr">
        <is>
          <t>Operating Expense</t>
        </is>
      </c>
      <c r="E46" s="62" t="inlineStr">
        <is>
          <t>Debit</t>
        </is>
      </c>
      <c r="F46" s="62" t="inlineStr">
        <is>
          <t>Operating</t>
        </is>
      </c>
      <c r="G46" s="62" t="inlineStr">
        <is>
          <t>No</t>
        </is>
      </c>
      <c r="H46" s="62" t="inlineStr">
        <is>
          <t>Yes</t>
        </is>
      </c>
      <c r="I46" s="64" t="n"/>
      <c r="J46" s="62" t="inlineStr">
        <is>
          <t>Small items that fit nowhere else</t>
        </is>
      </c>
      <c r="K46" s="65">
        <f>IF(C46="","",IFERROR(INDEX(calc_Bal,MATCH(C46,calc_Name,0))*IF(E46="Credit",-1,1),0))</f>
        <v/>
      </c>
      <c r="L46" s="66">
        <f>IF(AND(C46="",B46="",D46=""),"",IF(C46="","⛔ Enter an account name",IF(COUNTIF(coa_Name,C46)&gt;1,"⛔ Duplicate account name",IF(ISNA(MATCH(D46,at_Type,0)),"⛔ Select an account type",IF(AND(E46&lt;&gt;"Debit",E46&lt;&gt;"Credit"),"⛔ Normal balance must be Debit or Credit",IF(ISNA(MATCH(F46,lstCF,0)),"⚠ Select a cash flow section",IF(AND(B46&lt;&gt;"",COUNTIF(coa_Code,B46)&gt;1),"⚠ Duplicate account code",IF(AND(N(I46)&lt;&gt;0,INDEX(at_Stmt,MATCH(D46,at_Type,0))="PL"),"⚠ Opening balance on a profit &amp; loss account","✓ OK"))))))))</f>
        <v/>
      </c>
      <c r="M46" s="67">
        <f>IF(AND(C46&lt;&gt;"",H46&lt;&gt;"No"),COUNTIFS($C$7:C46,"&lt;&gt;",$H$7:H46,"&lt;&gt;No"),"")</f>
        <v/>
      </c>
      <c r="N46" s="67">
        <f>IF(AND(C46&lt;&gt;"",H46&lt;&gt;"No",G46="Yes"),COUNTIFS($C$7:C46,"&lt;&gt;",$H$7:H46,"&lt;&gt;No",$G$7:G46,"Yes"),"")</f>
        <v/>
      </c>
    </row>
    <row r="47">
      <c r="B47" s="69" t="n">
        <v>7000</v>
      </c>
      <c r="C47" s="62" t="inlineStr">
        <is>
          <t>Interest Income</t>
        </is>
      </c>
      <c r="D47" s="62" t="inlineStr">
        <is>
          <t>Other Income</t>
        </is>
      </c>
      <c r="E47" s="62" t="inlineStr">
        <is>
          <t>Credit</t>
        </is>
      </c>
      <c r="F47" s="62" t="inlineStr">
        <is>
          <t>Operating</t>
        </is>
      </c>
      <c r="G47" s="62" t="inlineStr">
        <is>
          <t>No</t>
        </is>
      </c>
      <c r="H47" s="62" t="inlineStr">
        <is>
          <t>Yes</t>
        </is>
      </c>
      <c r="I47" s="64" t="n"/>
      <c r="J47" s="62" t="inlineStr">
        <is>
          <t>Bank interest earned</t>
        </is>
      </c>
      <c r="K47" s="65">
        <f>IF(C47="","",IFERROR(INDEX(calc_Bal,MATCH(C47,calc_Name,0))*IF(E47="Credit",-1,1),0))</f>
        <v/>
      </c>
      <c r="L47" s="66">
        <f>IF(AND(C47="",B47="",D47=""),"",IF(C47="","⛔ Enter an account name",IF(COUNTIF(coa_Name,C47)&gt;1,"⛔ Duplicate account name",IF(ISNA(MATCH(D47,at_Type,0)),"⛔ Select an account type",IF(AND(E47&lt;&gt;"Debit",E47&lt;&gt;"Credit"),"⛔ Normal balance must be Debit or Credit",IF(ISNA(MATCH(F47,lstCF,0)),"⚠ Select a cash flow section",IF(AND(B47&lt;&gt;"",COUNTIF(coa_Code,B47)&gt;1),"⚠ Duplicate account code",IF(AND(N(I47)&lt;&gt;0,INDEX(at_Stmt,MATCH(D47,at_Type,0))="PL"),"⚠ Opening balance on a profit &amp; loss account","✓ OK"))))))))</f>
        <v/>
      </c>
      <c r="M47" s="67">
        <f>IF(AND(C47&lt;&gt;"",H47&lt;&gt;"No"),COUNTIFS($C$7:C47,"&lt;&gt;",$H$7:H47,"&lt;&gt;No"),"")</f>
        <v/>
      </c>
      <c r="N47" s="67">
        <f>IF(AND(C47&lt;&gt;"",H47&lt;&gt;"No",G47="Yes"),COUNTIFS($C$7:C47,"&lt;&gt;",$H$7:H47,"&lt;&gt;No",$G$7:G47,"Yes"),"")</f>
        <v/>
      </c>
    </row>
    <row r="48">
      <c r="B48" s="69" t="n">
        <v>7100</v>
      </c>
      <c r="C48" s="62" t="inlineStr">
        <is>
          <t>Other Income</t>
        </is>
      </c>
      <c r="D48" s="62" t="inlineStr">
        <is>
          <t>Other Income</t>
        </is>
      </c>
      <c r="E48" s="62" t="inlineStr">
        <is>
          <t>Credit</t>
        </is>
      </c>
      <c r="F48" s="62" t="inlineStr">
        <is>
          <t>Operating</t>
        </is>
      </c>
      <c r="G48" s="62" t="inlineStr">
        <is>
          <t>No</t>
        </is>
      </c>
      <c r="H48" s="62" t="inlineStr">
        <is>
          <t>Yes</t>
        </is>
      </c>
      <c r="I48" s="64" t="n"/>
      <c r="J48" s="62" t="inlineStr">
        <is>
          <t>Income outside your main business</t>
        </is>
      </c>
      <c r="K48" s="65">
        <f>IF(C48="","",IFERROR(INDEX(calc_Bal,MATCH(C48,calc_Name,0))*IF(E48="Credit",-1,1),0))</f>
        <v/>
      </c>
      <c r="L48" s="66">
        <f>IF(AND(C48="",B48="",D48=""),"",IF(C48="","⛔ Enter an account name",IF(COUNTIF(coa_Name,C48)&gt;1,"⛔ Duplicate account name",IF(ISNA(MATCH(D48,at_Type,0)),"⛔ Select an account type",IF(AND(E48&lt;&gt;"Debit",E48&lt;&gt;"Credit"),"⛔ Normal balance must be Debit or Credit",IF(ISNA(MATCH(F48,lstCF,0)),"⚠ Select a cash flow section",IF(AND(B48&lt;&gt;"",COUNTIF(coa_Code,B48)&gt;1),"⚠ Duplicate account code",IF(AND(N(I48)&lt;&gt;0,INDEX(at_Stmt,MATCH(D48,at_Type,0))="PL"),"⚠ Opening balance on a profit &amp; loss account","✓ OK"))))))))</f>
        <v/>
      </c>
      <c r="M48" s="67">
        <f>IF(AND(C48&lt;&gt;"",H48&lt;&gt;"No"),COUNTIFS($C$7:C48,"&lt;&gt;",$H$7:H48,"&lt;&gt;No"),"")</f>
        <v/>
      </c>
      <c r="N48" s="67">
        <f>IF(AND(C48&lt;&gt;"",H48&lt;&gt;"No",G48="Yes"),COUNTIFS($C$7:C48,"&lt;&gt;",$H$7:H48,"&lt;&gt;No",$G$7:G48,"Yes"),"")</f>
        <v/>
      </c>
    </row>
    <row r="49">
      <c r="B49" s="69" t="n">
        <v>8000</v>
      </c>
      <c r="C49" s="62" t="inlineStr">
        <is>
          <t>Interest Expense</t>
        </is>
      </c>
      <c r="D49" s="62" t="inlineStr">
        <is>
          <t>Other Expense</t>
        </is>
      </c>
      <c r="E49" s="62" t="inlineStr">
        <is>
          <t>Debit</t>
        </is>
      </c>
      <c r="F49" s="62" t="inlineStr">
        <is>
          <t>Operating</t>
        </is>
      </c>
      <c r="G49" s="62" t="inlineStr">
        <is>
          <t>No</t>
        </is>
      </c>
      <c r="H49" s="62" t="inlineStr">
        <is>
          <t>Yes</t>
        </is>
      </c>
      <c r="I49" s="64" t="n"/>
      <c r="J49" s="62" t="inlineStr">
        <is>
          <t>Interest paid on loans</t>
        </is>
      </c>
      <c r="K49" s="65">
        <f>IF(C49="","",IFERROR(INDEX(calc_Bal,MATCH(C49,calc_Name,0))*IF(E49="Credit",-1,1),0))</f>
        <v/>
      </c>
      <c r="L49" s="66">
        <f>IF(AND(C49="",B49="",D49=""),"",IF(C49="","⛔ Enter an account name",IF(COUNTIF(coa_Name,C49)&gt;1,"⛔ Duplicate account name",IF(ISNA(MATCH(D49,at_Type,0)),"⛔ Select an account type",IF(AND(E49&lt;&gt;"Debit",E49&lt;&gt;"Credit"),"⛔ Normal balance must be Debit or Credit",IF(ISNA(MATCH(F49,lstCF,0)),"⚠ Select a cash flow section",IF(AND(B49&lt;&gt;"",COUNTIF(coa_Code,B49)&gt;1),"⚠ Duplicate account code",IF(AND(N(I49)&lt;&gt;0,INDEX(at_Stmt,MATCH(D49,at_Type,0))="PL"),"⚠ Opening balance on a profit &amp; loss account","✓ OK"))))))))</f>
        <v/>
      </c>
      <c r="M49" s="67">
        <f>IF(AND(C49&lt;&gt;"",H49&lt;&gt;"No"),COUNTIFS($C$7:C49,"&lt;&gt;",$H$7:H49,"&lt;&gt;No"),"")</f>
        <v/>
      </c>
      <c r="N49" s="67">
        <f>IF(AND(C49&lt;&gt;"",H49&lt;&gt;"No",G49="Yes"),COUNTIFS($C$7:C49,"&lt;&gt;",$H$7:H49,"&lt;&gt;No",$G$7:G49,"Yes"),"")</f>
        <v/>
      </c>
    </row>
    <row r="50">
      <c r="B50" s="69" t="n">
        <v>8100</v>
      </c>
      <c r="C50" s="62" t="inlineStr">
        <is>
          <t>Other Expenses</t>
        </is>
      </c>
      <c r="D50" s="62" t="inlineStr">
        <is>
          <t>Other Expense</t>
        </is>
      </c>
      <c r="E50" s="62" t="inlineStr">
        <is>
          <t>Debit</t>
        </is>
      </c>
      <c r="F50" s="62" t="inlineStr">
        <is>
          <t>Operating</t>
        </is>
      </c>
      <c r="G50" s="62" t="inlineStr">
        <is>
          <t>No</t>
        </is>
      </c>
      <c r="H50" s="62" t="inlineStr">
        <is>
          <t>Yes</t>
        </is>
      </c>
      <c r="I50" s="64" t="n"/>
      <c r="J50" s="62" t="inlineStr">
        <is>
          <t>Penalties, losses, unusual costs</t>
        </is>
      </c>
      <c r="K50" s="65">
        <f>IF(C50="","",IFERROR(INDEX(calc_Bal,MATCH(C50,calc_Name,0))*IF(E50="Credit",-1,1),0))</f>
        <v/>
      </c>
      <c r="L50" s="66">
        <f>IF(AND(C50="",B50="",D50=""),"",IF(C50="","⛔ Enter an account name",IF(COUNTIF(coa_Name,C50)&gt;1,"⛔ Duplicate account name",IF(ISNA(MATCH(D50,at_Type,0)),"⛔ Select an account type",IF(AND(E50&lt;&gt;"Debit",E50&lt;&gt;"Credit"),"⛔ Normal balance must be Debit or Credit",IF(ISNA(MATCH(F50,lstCF,0)),"⚠ Select a cash flow section",IF(AND(B50&lt;&gt;"",COUNTIF(coa_Code,B50)&gt;1),"⚠ Duplicate account code",IF(AND(N(I50)&lt;&gt;0,INDEX(at_Stmt,MATCH(D50,at_Type,0))="PL"),"⚠ Opening balance on a profit &amp; loss account","✓ OK"))))))))</f>
        <v/>
      </c>
      <c r="M50" s="67">
        <f>IF(AND(C50&lt;&gt;"",H50&lt;&gt;"No"),COUNTIFS($C$7:C50,"&lt;&gt;",$H$7:H50,"&lt;&gt;No"),"")</f>
        <v/>
      </c>
      <c r="N50" s="67">
        <f>IF(AND(C50&lt;&gt;"",H50&lt;&gt;"No",G50="Yes"),COUNTIFS($C$7:C50,"&lt;&gt;",$H$7:H50,"&lt;&gt;No",$G$7:G50,"Yes"),"")</f>
        <v/>
      </c>
    </row>
    <row r="51">
      <c r="B51" s="69" t="n"/>
      <c r="C51" s="62" t="n"/>
      <c r="D51" s="62" t="n"/>
      <c r="E51" s="62" t="n"/>
      <c r="F51" s="62" t="n"/>
      <c r="G51" s="62" t="n"/>
      <c r="H51" s="62" t="n"/>
      <c r="I51" s="64" t="n"/>
      <c r="J51" s="62" t="n"/>
      <c r="K51" s="65">
        <f>IF(C51="","",IFERROR(INDEX(calc_Bal,MATCH(C51,calc_Name,0))*IF(E51="Credit",-1,1),0))</f>
        <v/>
      </c>
      <c r="L51" s="66">
        <f>IF(AND(C51="",B51="",D51=""),"",IF(C51="","⛔ Enter an account name",IF(COUNTIF(coa_Name,C51)&gt;1,"⛔ Duplicate account name",IF(ISNA(MATCH(D51,at_Type,0)),"⛔ Select an account type",IF(AND(E51&lt;&gt;"Debit",E51&lt;&gt;"Credit"),"⛔ Normal balance must be Debit or Credit",IF(ISNA(MATCH(F51,lstCF,0)),"⚠ Select a cash flow section",IF(AND(B51&lt;&gt;"",COUNTIF(coa_Code,B51)&gt;1),"⚠ Duplicate account code",IF(AND(N(I51)&lt;&gt;0,INDEX(at_Stmt,MATCH(D51,at_Type,0))="PL"),"⚠ Opening balance on a profit &amp; loss account","✓ OK"))))))))</f>
        <v/>
      </c>
      <c r="M51" s="67">
        <f>IF(AND(C51&lt;&gt;"",H51&lt;&gt;"No"),COUNTIFS($C$7:C51,"&lt;&gt;",$H$7:H51,"&lt;&gt;No"),"")</f>
        <v/>
      </c>
      <c r="N51" s="67">
        <f>IF(AND(C51&lt;&gt;"",H51&lt;&gt;"No",G51="Yes"),COUNTIFS($C$7:C51,"&lt;&gt;",$H$7:H51,"&lt;&gt;No",$G$7:G51,"Yes"),"")</f>
        <v/>
      </c>
    </row>
    <row r="52">
      <c r="B52" s="69" t="n"/>
      <c r="C52" s="62" t="n"/>
      <c r="D52" s="62" t="n"/>
      <c r="E52" s="62" t="n"/>
      <c r="F52" s="62" t="n"/>
      <c r="G52" s="62" t="n"/>
      <c r="H52" s="62" t="n"/>
      <c r="I52" s="64" t="n"/>
      <c r="J52" s="62" t="n"/>
      <c r="K52" s="65">
        <f>IF(C52="","",IFERROR(INDEX(calc_Bal,MATCH(C52,calc_Name,0))*IF(E52="Credit",-1,1),0))</f>
        <v/>
      </c>
      <c r="L52" s="66">
        <f>IF(AND(C52="",B52="",D52=""),"",IF(C52="","⛔ Enter an account name",IF(COUNTIF(coa_Name,C52)&gt;1,"⛔ Duplicate account name",IF(ISNA(MATCH(D52,at_Type,0)),"⛔ Select an account type",IF(AND(E52&lt;&gt;"Debit",E52&lt;&gt;"Credit"),"⛔ Normal balance must be Debit or Credit",IF(ISNA(MATCH(F52,lstCF,0)),"⚠ Select a cash flow section",IF(AND(B52&lt;&gt;"",COUNTIF(coa_Code,B52)&gt;1),"⚠ Duplicate account code",IF(AND(N(I52)&lt;&gt;0,INDEX(at_Stmt,MATCH(D52,at_Type,0))="PL"),"⚠ Opening balance on a profit &amp; loss account","✓ OK"))))))))</f>
        <v/>
      </c>
      <c r="M52" s="67">
        <f>IF(AND(C52&lt;&gt;"",H52&lt;&gt;"No"),COUNTIFS($C$7:C52,"&lt;&gt;",$H$7:H52,"&lt;&gt;No"),"")</f>
        <v/>
      </c>
      <c r="N52" s="67">
        <f>IF(AND(C52&lt;&gt;"",H52&lt;&gt;"No",G52="Yes"),COUNTIFS($C$7:C52,"&lt;&gt;",$H$7:H52,"&lt;&gt;No",$G$7:G52,"Yes"),"")</f>
        <v/>
      </c>
    </row>
    <row r="53">
      <c r="B53" s="69" t="n"/>
      <c r="C53" s="62" t="n"/>
      <c r="D53" s="62" t="n"/>
      <c r="E53" s="62" t="n"/>
      <c r="F53" s="62" t="n"/>
      <c r="G53" s="62" t="n"/>
      <c r="H53" s="62" t="n"/>
      <c r="I53" s="64" t="n"/>
      <c r="J53" s="62" t="n"/>
      <c r="K53" s="65">
        <f>IF(C53="","",IFERROR(INDEX(calc_Bal,MATCH(C53,calc_Name,0))*IF(E53="Credit",-1,1),0))</f>
        <v/>
      </c>
      <c r="L53" s="66">
        <f>IF(AND(C53="",B53="",D53=""),"",IF(C53="","⛔ Enter an account name",IF(COUNTIF(coa_Name,C53)&gt;1,"⛔ Duplicate account name",IF(ISNA(MATCH(D53,at_Type,0)),"⛔ Select an account type",IF(AND(E53&lt;&gt;"Debit",E53&lt;&gt;"Credit"),"⛔ Normal balance must be Debit or Credit",IF(ISNA(MATCH(F53,lstCF,0)),"⚠ Select a cash flow section",IF(AND(B53&lt;&gt;"",COUNTIF(coa_Code,B53)&gt;1),"⚠ Duplicate account code",IF(AND(N(I53)&lt;&gt;0,INDEX(at_Stmt,MATCH(D53,at_Type,0))="PL"),"⚠ Opening balance on a profit &amp; loss account","✓ OK"))))))))</f>
        <v/>
      </c>
      <c r="M53" s="67">
        <f>IF(AND(C53&lt;&gt;"",H53&lt;&gt;"No"),COUNTIFS($C$7:C53,"&lt;&gt;",$H$7:H53,"&lt;&gt;No"),"")</f>
        <v/>
      </c>
      <c r="N53" s="67">
        <f>IF(AND(C53&lt;&gt;"",H53&lt;&gt;"No",G53="Yes"),COUNTIFS($C$7:C53,"&lt;&gt;",$H$7:H53,"&lt;&gt;No",$G$7:G53,"Yes"),"")</f>
        <v/>
      </c>
    </row>
    <row r="54">
      <c r="B54" s="69" t="n"/>
      <c r="C54" s="62" t="n"/>
      <c r="D54" s="62" t="n"/>
      <c r="E54" s="62" t="n"/>
      <c r="F54" s="62" t="n"/>
      <c r="G54" s="62" t="n"/>
      <c r="H54" s="62" t="n"/>
      <c r="I54" s="64" t="n"/>
      <c r="J54" s="62" t="n"/>
      <c r="K54" s="65">
        <f>IF(C54="","",IFERROR(INDEX(calc_Bal,MATCH(C54,calc_Name,0))*IF(E54="Credit",-1,1),0))</f>
        <v/>
      </c>
      <c r="L54" s="66">
        <f>IF(AND(C54="",B54="",D54=""),"",IF(C54="","⛔ Enter an account name",IF(COUNTIF(coa_Name,C54)&gt;1,"⛔ Duplicate account name",IF(ISNA(MATCH(D54,at_Type,0)),"⛔ Select an account type",IF(AND(E54&lt;&gt;"Debit",E54&lt;&gt;"Credit"),"⛔ Normal balance must be Debit or Credit",IF(ISNA(MATCH(F54,lstCF,0)),"⚠ Select a cash flow section",IF(AND(B54&lt;&gt;"",COUNTIF(coa_Code,B54)&gt;1),"⚠ Duplicate account code",IF(AND(N(I54)&lt;&gt;0,INDEX(at_Stmt,MATCH(D54,at_Type,0))="PL"),"⚠ Opening balance on a profit &amp; loss account","✓ OK"))))))))</f>
        <v/>
      </c>
      <c r="M54" s="67">
        <f>IF(AND(C54&lt;&gt;"",H54&lt;&gt;"No"),COUNTIFS($C$7:C54,"&lt;&gt;",$H$7:H54,"&lt;&gt;No"),"")</f>
        <v/>
      </c>
      <c r="N54" s="67">
        <f>IF(AND(C54&lt;&gt;"",H54&lt;&gt;"No",G54="Yes"),COUNTIFS($C$7:C54,"&lt;&gt;",$H$7:H54,"&lt;&gt;No",$G$7:G54,"Yes"),"")</f>
        <v/>
      </c>
    </row>
    <row r="55">
      <c r="B55" s="69" t="n"/>
      <c r="C55" s="62" t="n"/>
      <c r="D55" s="62" t="n"/>
      <c r="E55" s="62" t="n"/>
      <c r="F55" s="62" t="n"/>
      <c r="G55" s="62" t="n"/>
      <c r="H55" s="62" t="n"/>
      <c r="I55" s="64" t="n"/>
      <c r="J55" s="62" t="n"/>
      <c r="K55" s="65">
        <f>IF(C55="","",IFERROR(INDEX(calc_Bal,MATCH(C55,calc_Name,0))*IF(E55="Credit",-1,1),0))</f>
        <v/>
      </c>
      <c r="L55" s="66">
        <f>IF(AND(C55="",B55="",D55=""),"",IF(C55="","⛔ Enter an account name",IF(COUNTIF(coa_Name,C55)&gt;1,"⛔ Duplicate account name",IF(ISNA(MATCH(D55,at_Type,0)),"⛔ Select an account type",IF(AND(E55&lt;&gt;"Debit",E55&lt;&gt;"Credit"),"⛔ Normal balance must be Debit or Credit",IF(ISNA(MATCH(F55,lstCF,0)),"⚠ Select a cash flow section",IF(AND(B55&lt;&gt;"",COUNTIF(coa_Code,B55)&gt;1),"⚠ Duplicate account code",IF(AND(N(I55)&lt;&gt;0,INDEX(at_Stmt,MATCH(D55,at_Type,0))="PL"),"⚠ Opening balance on a profit &amp; loss account","✓ OK"))))))))</f>
        <v/>
      </c>
      <c r="M55" s="67">
        <f>IF(AND(C55&lt;&gt;"",H55&lt;&gt;"No"),COUNTIFS($C$7:C55,"&lt;&gt;",$H$7:H55,"&lt;&gt;No"),"")</f>
        <v/>
      </c>
      <c r="N55" s="67">
        <f>IF(AND(C55&lt;&gt;"",H55&lt;&gt;"No",G55="Yes"),COUNTIFS($C$7:C55,"&lt;&gt;",$H$7:H55,"&lt;&gt;No",$G$7:G55,"Yes"),"")</f>
        <v/>
      </c>
    </row>
    <row r="56">
      <c r="B56" s="69" t="n"/>
      <c r="C56" s="62" t="n"/>
      <c r="D56" s="62" t="n"/>
      <c r="E56" s="62" t="n"/>
      <c r="F56" s="62" t="n"/>
      <c r="G56" s="62" t="n"/>
      <c r="H56" s="62" t="n"/>
      <c r="I56" s="64" t="n"/>
      <c r="J56" s="62" t="n"/>
      <c r="K56" s="65">
        <f>IF(C56="","",IFERROR(INDEX(calc_Bal,MATCH(C56,calc_Name,0))*IF(E56="Credit",-1,1),0))</f>
        <v/>
      </c>
      <c r="L56" s="66">
        <f>IF(AND(C56="",B56="",D56=""),"",IF(C56="","⛔ Enter an account name",IF(COUNTIF(coa_Name,C56)&gt;1,"⛔ Duplicate account name",IF(ISNA(MATCH(D56,at_Type,0)),"⛔ Select an account type",IF(AND(E56&lt;&gt;"Debit",E56&lt;&gt;"Credit"),"⛔ Normal balance must be Debit or Credit",IF(ISNA(MATCH(F56,lstCF,0)),"⚠ Select a cash flow section",IF(AND(B56&lt;&gt;"",COUNTIF(coa_Code,B56)&gt;1),"⚠ Duplicate account code",IF(AND(N(I56)&lt;&gt;0,INDEX(at_Stmt,MATCH(D56,at_Type,0))="PL"),"⚠ Opening balance on a profit &amp; loss account","✓ OK"))))))))</f>
        <v/>
      </c>
      <c r="M56" s="67">
        <f>IF(AND(C56&lt;&gt;"",H56&lt;&gt;"No"),COUNTIFS($C$7:C56,"&lt;&gt;",$H$7:H56,"&lt;&gt;No"),"")</f>
        <v/>
      </c>
      <c r="N56" s="67">
        <f>IF(AND(C56&lt;&gt;"",H56&lt;&gt;"No",G56="Yes"),COUNTIFS($C$7:C56,"&lt;&gt;",$H$7:H56,"&lt;&gt;No",$G$7:G56,"Yes"),"")</f>
        <v/>
      </c>
    </row>
    <row r="57">
      <c r="B57" s="69" t="n"/>
      <c r="C57" s="62" t="n"/>
      <c r="D57" s="62" t="n"/>
      <c r="E57" s="62" t="n"/>
      <c r="F57" s="62" t="n"/>
      <c r="G57" s="62" t="n"/>
      <c r="H57" s="62" t="n"/>
      <c r="I57" s="64" t="n"/>
      <c r="J57" s="62" t="n"/>
      <c r="K57" s="65">
        <f>IF(C57="","",IFERROR(INDEX(calc_Bal,MATCH(C57,calc_Name,0))*IF(E57="Credit",-1,1),0))</f>
        <v/>
      </c>
      <c r="L57" s="66">
        <f>IF(AND(C57="",B57="",D57=""),"",IF(C57="","⛔ Enter an account name",IF(COUNTIF(coa_Name,C57)&gt;1,"⛔ Duplicate account name",IF(ISNA(MATCH(D57,at_Type,0)),"⛔ Select an account type",IF(AND(E57&lt;&gt;"Debit",E57&lt;&gt;"Credit"),"⛔ Normal balance must be Debit or Credit",IF(ISNA(MATCH(F57,lstCF,0)),"⚠ Select a cash flow section",IF(AND(B57&lt;&gt;"",COUNTIF(coa_Code,B57)&gt;1),"⚠ Duplicate account code",IF(AND(N(I57)&lt;&gt;0,INDEX(at_Stmt,MATCH(D57,at_Type,0))="PL"),"⚠ Opening balance on a profit &amp; loss account","✓ OK"))))))))</f>
        <v/>
      </c>
      <c r="M57" s="67">
        <f>IF(AND(C57&lt;&gt;"",H57&lt;&gt;"No"),COUNTIFS($C$7:C57,"&lt;&gt;",$H$7:H57,"&lt;&gt;No"),"")</f>
        <v/>
      </c>
      <c r="N57" s="67">
        <f>IF(AND(C57&lt;&gt;"",H57&lt;&gt;"No",G57="Yes"),COUNTIFS($C$7:C57,"&lt;&gt;",$H$7:H57,"&lt;&gt;No",$G$7:G57,"Yes"),"")</f>
        <v/>
      </c>
    </row>
    <row r="58">
      <c r="B58" s="69" t="n"/>
      <c r="C58" s="62" t="n"/>
      <c r="D58" s="62" t="n"/>
      <c r="E58" s="62" t="n"/>
      <c r="F58" s="62" t="n"/>
      <c r="G58" s="62" t="n"/>
      <c r="H58" s="62" t="n"/>
      <c r="I58" s="64" t="n"/>
      <c r="J58" s="62" t="n"/>
      <c r="K58" s="65">
        <f>IF(C58="","",IFERROR(INDEX(calc_Bal,MATCH(C58,calc_Name,0))*IF(E58="Credit",-1,1),0))</f>
        <v/>
      </c>
      <c r="L58" s="66">
        <f>IF(AND(C58="",B58="",D58=""),"",IF(C58="","⛔ Enter an account name",IF(COUNTIF(coa_Name,C58)&gt;1,"⛔ Duplicate account name",IF(ISNA(MATCH(D58,at_Type,0)),"⛔ Select an account type",IF(AND(E58&lt;&gt;"Debit",E58&lt;&gt;"Credit"),"⛔ Normal balance must be Debit or Credit",IF(ISNA(MATCH(F58,lstCF,0)),"⚠ Select a cash flow section",IF(AND(B58&lt;&gt;"",COUNTIF(coa_Code,B58)&gt;1),"⚠ Duplicate account code",IF(AND(N(I58)&lt;&gt;0,INDEX(at_Stmt,MATCH(D58,at_Type,0))="PL"),"⚠ Opening balance on a profit &amp; loss account","✓ OK"))))))))</f>
        <v/>
      </c>
      <c r="M58" s="67">
        <f>IF(AND(C58&lt;&gt;"",H58&lt;&gt;"No"),COUNTIFS($C$7:C58,"&lt;&gt;",$H$7:H58,"&lt;&gt;No"),"")</f>
        <v/>
      </c>
      <c r="N58" s="67">
        <f>IF(AND(C58&lt;&gt;"",H58&lt;&gt;"No",G58="Yes"),COUNTIFS($C$7:C58,"&lt;&gt;",$H$7:H58,"&lt;&gt;No",$G$7:G58,"Yes"),"")</f>
        <v/>
      </c>
    </row>
    <row r="59">
      <c r="B59" s="69" t="n"/>
      <c r="C59" s="62" t="n"/>
      <c r="D59" s="62" t="n"/>
      <c r="E59" s="62" t="n"/>
      <c r="F59" s="62" t="n"/>
      <c r="G59" s="62" t="n"/>
      <c r="H59" s="62" t="n"/>
      <c r="I59" s="64" t="n"/>
      <c r="J59" s="62" t="n"/>
      <c r="K59" s="65">
        <f>IF(C59="","",IFERROR(INDEX(calc_Bal,MATCH(C59,calc_Name,0))*IF(E59="Credit",-1,1),0))</f>
        <v/>
      </c>
      <c r="L59" s="66">
        <f>IF(AND(C59="",B59="",D59=""),"",IF(C59="","⛔ Enter an account name",IF(COUNTIF(coa_Name,C59)&gt;1,"⛔ Duplicate account name",IF(ISNA(MATCH(D59,at_Type,0)),"⛔ Select an account type",IF(AND(E59&lt;&gt;"Debit",E59&lt;&gt;"Credit"),"⛔ Normal balance must be Debit or Credit",IF(ISNA(MATCH(F59,lstCF,0)),"⚠ Select a cash flow section",IF(AND(B59&lt;&gt;"",COUNTIF(coa_Code,B59)&gt;1),"⚠ Duplicate account code",IF(AND(N(I59)&lt;&gt;0,INDEX(at_Stmt,MATCH(D59,at_Type,0))="PL"),"⚠ Opening balance on a profit &amp; loss account","✓ OK"))))))))</f>
        <v/>
      </c>
      <c r="M59" s="67">
        <f>IF(AND(C59&lt;&gt;"",H59&lt;&gt;"No"),COUNTIFS($C$7:C59,"&lt;&gt;",$H$7:H59,"&lt;&gt;No"),"")</f>
        <v/>
      </c>
      <c r="N59" s="67">
        <f>IF(AND(C59&lt;&gt;"",H59&lt;&gt;"No",G59="Yes"),COUNTIFS($C$7:C59,"&lt;&gt;",$H$7:H59,"&lt;&gt;No",$G$7:G59,"Yes"),"")</f>
        <v/>
      </c>
    </row>
    <row r="60">
      <c r="B60" s="69" t="n"/>
      <c r="C60" s="62" t="n"/>
      <c r="D60" s="62" t="n"/>
      <c r="E60" s="62" t="n"/>
      <c r="F60" s="62" t="n"/>
      <c r="G60" s="62" t="n"/>
      <c r="H60" s="62" t="n"/>
      <c r="I60" s="64" t="n"/>
      <c r="J60" s="62" t="n"/>
      <c r="K60" s="65">
        <f>IF(C60="","",IFERROR(INDEX(calc_Bal,MATCH(C60,calc_Name,0))*IF(E60="Credit",-1,1),0))</f>
        <v/>
      </c>
      <c r="L60" s="66">
        <f>IF(AND(C60="",B60="",D60=""),"",IF(C60="","⛔ Enter an account name",IF(COUNTIF(coa_Name,C60)&gt;1,"⛔ Duplicate account name",IF(ISNA(MATCH(D60,at_Type,0)),"⛔ Select an account type",IF(AND(E60&lt;&gt;"Debit",E60&lt;&gt;"Credit"),"⛔ Normal balance must be Debit or Credit",IF(ISNA(MATCH(F60,lstCF,0)),"⚠ Select a cash flow section",IF(AND(B60&lt;&gt;"",COUNTIF(coa_Code,B60)&gt;1),"⚠ Duplicate account code",IF(AND(N(I60)&lt;&gt;0,INDEX(at_Stmt,MATCH(D60,at_Type,0))="PL"),"⚠ Opening balance on a profit &amp; loss account","✓ OK"))))))))</f>
        <v/>
      </c>
      <c r="M60" s="67">
        <f>IF(AND(C60&lt;&gt;"",H60&lt;&gt;"No"),COUNTIFS($C$7:C60,"&lt;&gt;",$H$7:H60,"&lt;&gt;No"),"")</f>
        <v/>
      </c>
      <c r="N60" s="67">
        <f>IF(AND(C60&lt;&gt;"",H60&lt;&gt;"No",G60="Yes"),COUNTIFS($C$7:C60,"&lt;&gt;",$H$7:H60,"&lt;&gt;No",$G$7:G60,"Yes"),"")</f>
        <v/>
      </c>
    </row>
    <row r="61">
      <c r="B61" s="69" t="n"/>
      <c r="C61" s="62" t="n"/>
      <c r="D61" s="62" t="n"/>
      <c r="E61" s="62" t="n"/>
      <c r="F61" s="62" t="n"/>
      <c r="G61" s="62" t="n"/>
      <c r="H61" s="62" t="n"/>
      <c r="I61" s="64" t="n"/>
      <c r="J61" s="62" t="n"/>
      <c r="K61" s="65">
        <f>IF(C61="","",IFERROR(INDEX(calc_Bal,MATCH(C61,calc_Name,0))*IF(E61="Credit",-1,1),0))</f>
        <v/>
      </c>
      <c r="L61" s="66">
        <f>IF(AND(C61="",B61="",D61=""),"",IF(C61="","⛔ Enter an account name",IF(COUNTIF(coa_Name,C61)&gt;1,"⛔ Duplicate account name",IF(ISNA(MATCH(D61,at_Type,0)),"⛔ Select an account type",IF(AND(E61&lt;&gt;"Debit",E61&lt;&gt;"Credit"),"⛔ Normal balance must be Debit or Credit",IF(ISNA(MATCH(F61,lstCF,0)),"⚠ Select a cash flow section",IF(AND(B61&lt;&gt;"",COUNTIF(coa_Code,B61)&gt;1),"⚠ Duplicate account code",IF(AND(N(I61)&lt;&gt;0,INDEX(at_Stmt,MATCH(D61,at_Type,0))="PL"),"⚠ Opening balance on a profit &amp; loss account","✓ OK"))))))))</f>
        <v/>
      </c>
      <c r="M61" s="67">
        <f>IF(AND(C61&lt;&gt;"",H61&lt;&gt;"No"),COUNTIFS($C$7:C61,"&lt;&gt;",$H$7:H61,"&lt;&gt;No"),"")</f>
        <v/>
      </c>
      <c r="N61" s="67">
        <f>IF(AND(C61&lt;&gt;"",H61&lt;&gt;"No",G61="Yes"),COUNTIFS($C$7:C61,"&lt;&gt;",$H$7:H61,"&lt;&gt;No",$G$7:G61,"Yes"),"")</f>
        <v/>
      </c>
    </row>
    <row r="62">
      <c r="B62" s="69" t="n"/>
      <c r="C62" s="62" t="n"/>
      <c r="D62" s="62" t="n"/>
      <c r="E62" s="62" t="n"/>
      <c r="F62" s="62" t="n"/>
      <c r="G62" s="62" t="n"/>
      <c r="H62" s="62" t="n"/>
      <c r="I62" s="64" t="n"/>
      <c r="J62" s="62" t="n"/>
      <c r="K62" s="65">
        <f>IF(C62="","",IFERROR(INDEX(calc_Bal,MATCH(C62,calc_Name,0))*IF(E62="Credit",-1,1),0))</f>
        <v/>
      </c>
      <c r="L62" s="66">
        <f>IF(AND(C62="",B62="",D62=""),"",IF(C62="","⛔ Enter an account name",IF(COUNTIF(coa_Name,C62)&gt;1,"⛔ Duplicate account name",IF(ISNA(MATCH(D62,at_Type,0)),"⛔ Select an account type",IF(AND(E62&lt;&gt;"Debit",E62&lt;&gt;"Credit"),"⛔ Normal balance must be Debit or Credit",IF(ISNA(MATCH(F62,lstCF,0)),"⚠ Select a cash flow section",IF(AND(B62&lt;&gt;"",COUNTIF(coa_Code,B62)&gt;1),"⚠ Duplicate account code",IF(AND(N(I62)&lt;&gt;0,INDEX(at_Stmt,MATCH(D62,at_Type,0))="PL"),"⚠ Opening balance on a profit &amp; loss account","✓ OK"))))))))</f>
        <v/>
      </c>
      <c r="M62" s="67">
        <f>IF(AND(C62&lt;&gt;"",H62&lt;&gt;"No"),COUNTIFS($C$7:C62,"&lt;&gt;",$H$7:H62,"&lt;&gt;No"),"")</f>
        <v/>
      </c>
      <c r="N62" s="67">
        <f>IF(AND(C62&lt;&gt;"",H62&lt;&gt;"No",G62="Yes"),COUNTIFS($C$7:C62,"&lt;&gt;",$H$7:H62,"&lt;&gt;No",$G$7:G62,"Yes"),"")</f>
        <v/>
      </c>
    </row>
    <row r="63">
      <c r="B63" s="69" t="n"/>
      <c r="C63" s="62" t="n"/>
      <c r="D63" s="62" t="n"/>
      <c r="E63" s="62" t="n"/>
      <c r="F63" s="62" t="n"/>
      <c r="G63" s="62" t="n"/>
      <c r="H63" s="62" t="n"/>
      <c r="I63" s="64" t="n"/>
      <c r="J63" s="62" t="n"/>
      <c r="K63" s="65">
        <f>IF(C63="","",IFERROR(INDEX(calc_Bal,MATCH(C63,calc_Name,0))*IF(E63="Credit",-1,1),0))</f>
        <v/>
      </c>
      <c r="L63" s="66">
        <f>IF(AND(C63="",B63="",D63=""),"",IF(C63="","⛔ Enter an account name",IF(COUNTIF(coa_Name,C63)&gt;1,"⛔ Duplicate account name",IF(ISNA(MATCH(D63,at_Type,0)),"⛔ Select an account type",IF(AND(E63&lt;&gt;"Debit",E63&lt;&gt;"Credit"),"⛔ Normal balance must be Debit or Credit",IF(ISNA(MATCH(F63,lstCF,0)),"⚠ Select a cash flow section",IF(AND(B63&lt;&gt;"",COUNTIF(coa_Code,B63)&gt;1),"⚠ Duplicate account code",IF(AND(N(I63)&lt;&gt;0,INDEX(at_Stmt,MATCH(D63,at_Type,0))="PL"),"⚠ Opening balance on a profit &amp; loss account","✓ OK"))))))))</f>
        <v/>
      </c>
      <c r="M63" s="67">
        <f>IF(AND(C63&lt;&gt;"",H63&lt;&gt;"No"),COUNTIFS($C$7:C63,"&lt;&gt;",$H$7:H63,"&lt;&gt;No"),"")</f>
        <v/>
      </c>
      <c r="N63" s="67">
        <f>IF(AND(C63&lt;&gt;"",H63&lt;&gt;"No",G63="Yes"),COUNTIFS($C$7:C63,"&lt;&gt;",$H$7:H63,"&lt;&gt;No",$G$7:G63,"Yes"),"")</f>
        <v/>
      </c>
    </row>
    <row r="64">
      <c r="B64" s="69" t="n"/>
      <c r="C64" s="62" t="n"/>
      <c r="D64" s="62" t="n"/>
      <c r="E64" s="62" t="n"/>
      <c r="F64" s="62" t="n"/>
      <c r="G64" s="62" t="n"/>
      <c r="H64" s="62" t="n"/>
      <c r="I64" s="64" t="n"/>
      <c r="J64" s="62" t="n"/>
      <c r="K64" s="65">
        <f>IF(C64="","",IFERROR(INDEX(calc_Bal,MATCH(C64,calc_Name,0))*IF(E64="Credit",-1,1),0))</f>
        <v/>
      </c>
      <c r="L64" s="66">
        <f>IF(AND(C64="",B64="",D64=""),"",IF(C64="","⛔ Enter an account name",IF(COUNTIF(coa_Name,C64)&gt;1,"⛔ Duplicate account name",IF(ISNA(MATCH(D64,at_Type,0)),"⛔ Select an account type",IF(AND(E64&lt;&gt;"Debit",E64&lt;&gt;"Credit"),"⛔ Normal balance must be Debit or Credit",IF(ISNA(MATCH(F64,lstCF,0)),"⚠ Select a cash flow section",IF(AND(B64&lt;&gt;"",COUNTIF(coa_Code,B64)&gt;1),"⚠ Duplicate account code",IF(AND(N(I64)&lt;&gt;0,INDEX(at_Stmt,MATCH(D64,at_Type,0))="PL"),"⚠ Opening balance on a profit &amp; loss account","✓ OK"))))))))</f>
        <v/>
      </c>
      <c r="M64" s="67">
        <f>IF(AND(C64&lt;&gt;"",H64&lt;&gt;"No"),COUNTIFS($C$7:C64,"&lt;&gt;",$H$7:H64,"&lt;&gt;No"),"")</f>
        <v/>
      </c>
      <c r="N64" s="67">
        <f>IF(AND(C64&lt;&gt;"",H64&lt;&gt;"No",G64="Yes"),COUNTIFS($C$7:C64,"&lt;&gt;",$H$7:H64,"&lt;&gt;No",$G$7:G64,"Yes"),"")</f>
        <v/>
      </c>
    </row>
    <row r="65">
      <c r="B65" s="69" t="n"/>
      <c r="C65" s="62" t="n"/>
      <c r="D65" s="62" t="n"/>
      <c r="E65" s="62" t="n"/>
      <c r="F65" s="62" t="n"/>
      <c r="G65" s="62" t="n"/>
      <c r="H65" s="62" t="n"/>
      <c r="I65" s="64" t="n"/>
      <c r="J65" s="62" t="n"/>
      <c r="K65" s="65">
        <f>IF(C65="","",IFERROR(INDEX(calc_Bal,MATCH(C65,calc_Name,0))*IF(E65="Credit",-1,1),0))</f>
        <v/>
      </c>
      <c r="L65" s="66">
        <f>IF(AND(C65="",B65="",D65=""),"",IF(C65="","⛔ Enter an account name",IF(COUNTIF(coa_Name,C65)&gt;1,"⛔ Duplicate account name",IF(ISNA(MATCH(D65,at_Type,0)),"⛔ Select an account type",IF(AND(E65&lt;&gt;"Debit",E65&lt;&gt;"Credit"),"⛔ Normal balance must be Debit or Credit",IF(ISNA(MATCH(F65,lstCF,0)),"⚠ Select a cash flow section",IF(AND(B65&lt;&gt;"",COUNTIF(coa_Code,B65)&gt;1),"⚠ Duplicate account code",IF(AND(N(I65)&lt;&gt;0,INDEX(at_Stmt,MATCH(D65,at_Type,0))="PL"),"⚠ Opening balance on a profit &amp; loss account","✓ OK"))))))))</f>
        <v/>
      </c>
      <c r="M65" s="67">
        <f>IF(AND(C65&lt;&gt;"",H65&lt;&gt;"No"),COUNTIFS($C$7:C65,"&lt;&gt;",$H$7:H65,"&lt;&gt;No"),"")</f>
        <v/>
      </c>
      <c r="N65" s="67">
        <f>IF(AND(C65&lt;&gt;"",H65&lt;&gt;"No",G65="Yes"),COUNTIFS($C$7:C65,"&lt;&gt;",$H$7:H65,"&lt;&gt;No",$G$7:G65,"Yes"),"")</f>
        <v/>
      </c>
    </row>
    <row r="66">
      <c r="B66" s="69" t="n"/>
      <c r="C66" s="62" t="n"/>
      <c r="D66" s="62" t="n"/>
      <c r="E66" s="62" t="n"/>
      <c r="F66" s="62" t="n"/>
      <c r="G66" s="62" t="n"/>
      <c r="H66" s="62" t="n"/>
      <c r="I66" s="64" t="n"/>
      <c r="J66" s="62" t="n"/>
      <c r="K66" s="65">
        <f>IF(C66="","",IFERROR(INDEX(calc_Bal,MATCH(C66,calc_Name,0))*IF(E66="Credit",-1,1),0))</f>
        <v/>
      </c>
      <c r="L66" s="66">
        <f>IF(AND(C66="",B66="",D66=""),"",IF(C66="","⛔ Enter an account name",IF(COUNTIF(coa_Name,C66)&gt;1,"⛔ Duplicate account name",IF(ISNA(MATCH(D66,at_Type,0)),"⛔ Select an account type",IF(AND(E66&lt;&gt;"Debit",E66&lt;&gt;"Credit"),"⛔ Normal balance must be Debit or Credit",IF(ISNA(MATCH(F66,lstCF,0)),"⚠ Select a cash flow section",IF(AND(B66&lt;&gt;"",COUNTIF(coa_Code,B66)&gt;1),"⚠ Duplicate account code",IF(AND(N(I66)&lt;&gt;0,INDEX(at_Stmt,MATCH(D66,at_Type,0))="PL"),"⚠ Opening balance on a profit &amp; loss account","✓ OK"))))))))</f>
        <v/>
      </c>
      <c r="M66" s="67">
        <f>IF(AND(C66&lt;&gt;"",H66&lt;&gt;"No"),COUNTIFS($C$7:C66,"&lt;&gt;",$H$7:H66,"&lt;&gt;No"),"")</f>
        <v/>
      </c>
      <c r="N66" s="67">
        <f>IF(AND(C66&lt;&gt;"",H66&lt;&gt;"No",G66="Yes"),COUNTIFS($C$7:C66,"&lt;&gt;",$H$7:H66,"&lt;&gt;No",$G$7:G66,"Yes"),"")</f>
        <v/>
      </c>
    </row>
    <row r="67">
      <c r="B67" s="69" t="n"/>
      <c r="C67" s="62" t="n"/>
      <c r="D67" s="62" t="n"/>
      <c r="E67" s="62" t="n"/>
      <c r="F67" s="62" t="n"/>
      <c r="G67" s="62" t="n"/>
      <c r="H67" s="62" t="n"/>
      <c r="I67" s="64" t="n"/>
      <c r="J67" s="62" t="n"/>
      <c r="K67" s="65">
        <f>IF(C67="","",IFERROR(INDEX(calc_Bal,MATCH(C67,calc_Name,0))*IF(E67="Credit",-1,1),0))</f>
        <v/>
      </c>
      <c r="L67" s="66">
        <f>IF(AND(C67="",B67="",D67=""),"",IF(C67="","⛔ Enter an account name",IF(COUNTIF(coa_Name,C67)&gt;1,"⛔ Duplicate account name",IF(ISNA(MATCH(D67,at_Type,0)),"⛔ Select an account type",IF(AND(E67&lt;&gt;"Debit",E67&lt;&gt;"Credit"),"⛔ Normal balance must be Debit or Credit",IF(ISNA(MATCH(F67,lstCF,0)),"⚠ Select a cash flow section",IF(AND(B67&lt;&gt;"",COUNTIF(coa_Code,B67)&gt;1),"⚠ Duplicate account code",IF(AND(N(I67)&lt;&gt;0,INDEX(at_Stmt,MATCH(D67,at_Type,0))="PL"),"⚠ Opening balance on a profit &amp; loss account","✓ OK"))))))))</f>
        <v/>
      </c>
      <c r="M67" s="67">
        <f>IF(AND(C67&lt;&gt;"",H67&lt;&gt;"No"),COUNTIFS($C$7:C67,"&lt;&gt;",$H$7:H67,"&lt;&gt;No"),"")</f>
        <v/>
      </c>
      <c r="N67" s="67">
        <f>IF(AND(C67&lt;&gt;"",H67&lt;&gt;"No",G67="Yes"),COUNTIFS($C$7:C67,"&lt;&gt;",$H$7:H67,"&lt;&gt;No",$G$7:G67,"Yes"),"")</f>
        <v/>
      </c>
    </row>
    <row r="68">
      <c r="B68" s="69" t="n"/>
      <c r="C68" s="62" t="n"/>
      <c r="D68" s="62" t="n"/>
      <c r="E68" s="62" t="n"/>
      <c r="F68" s="62" t="n"/>
      <c r="G68" s="62" t="n"/>
      <c r="H68" s="62" t="n"/>
      <c r="I68" s="64" t="n"/>
      <c r="J68" s="62" t="n"/>
      <c r="K68" s="65">
        <f>IF(C68="","",IFERROR(INDEX(calc_Bal,MATCH(C68,calc_Name,0))*IF(E68="Credit",-1,1),0))</f>
        <v/>
      </c>
      <c r="L68" s="66">
        <f>IF(AND(C68="",B68="",D68=""),"",IF(C68="","⛔ Enter an account name",IF(COUNTIF(coa_Name,C68)&gt;1,"⛔ Duplicate account name",IF(ISNA(MATCH(D68,at_Type,0)),"⛔ Select an account type",IF(AND(E68&lt;&gt;"Debit",E68&lt;&gt;"Credit"),"⛔ Normal balance must be Debit or Credit",IF(ISNA(MATCH(F68,lstCF,0)),"⚠ Select a cash flow section",IF(AND(B68&lt;&gt;"",COUNTIF(coa_Code,B68)&gt;1),"⚠ Duplicate account code",IF(AND(N(I68)&lt;&gt;0,INDEX(at_Stmt,MATCH(D68,at_Type,0))="PL"),"⚠ Opening balance on a profit &amp; loss account","✓ OK"))))))))</f>
        <v/>
      </c>
      <c r="M68" s="67">
        <f>IF(AND(C68&lt;&gt;"",H68&lt;&gt;"No"),COUNTIFS($C$7:C68,"&lt;&gt;",$H$7:H68,"&lt;&gt;No"),"")</f>
        <v/>
      </c>
      <c r="N68" s="67">
        <f>IF(AND(C68&lt;&gt;"",H68&lt;&gt;"No",G68="Yes"),COUNTIFS($C$7:C68,"&lt;&gt;",$H$7:H68,"&lt;&gt;No",$G$7:G68,"Yes"),"")</f>
        <v/>
      </c>
    </row>
    <row r="69">
      <c r="B69" s="69" t="n"/>
      <c r="C69" s="62" t="n"/>
      <c r="D69" s="62" t="n"/>
      <c r="E69" s="62" t="n"/>
      <c r="F69" s="62" t="n"/>
      <c r="G69" s="62" t="n"/>
      <c r="H69" s="62" t="n"/>
      <c r="I69" s="64" t="n"/>
      <c r="J69" s="62" t="n"/>
      <c r="K69" s="65">
        <f>IF(C69="","",IFERROR(INDEX(calc_Bal,MATCH(C69,calc_Name,0))*IF(E69="Credit",-1,1),0))</f>
        <v/>
      </c>
      <c r="L69" s="66">
        <f>IF(AND(C69="",B69="",D69=""),"",IF(C69="","⛔ Enter an account name",IF(COUNTIF(coa_Name,C69)&gt;1,"⛔ Duplicate account name",IF(ISNA(MATCH(D69,at_Type,0)),"⛔ Select an account type",IF(AND(E69&lt;&gt;"Debit",E69&lt;&gt;"Credit"),"⛔ Normal balance must be Debit or Credit",IF(ISNA(MATCH(F69,lstCF,0)),"⚠ Select a cash flow section",IF(AND(B69&lt;&gt;"",COUNTIF(coa_Code,B69)&gt;1),"⚠ Duplicate account code",IF(AND(N(I69)&lt;&gt;0,INDEX(at_Stmt,MATCH(D69,at_Type,0))="PL"),"⚠ Opening balance on a profit &amp; loss account","✓ OK"))))))))</f>
        <v/>
      </c>
      <c r="M69" s="67">
        <f>IF(AND(C69&lt;&gt;"",H69&lt;&gt;"No"),COUNTIFS($C$7:C69,"&lt;&gt;",$H$7:H69,"&lt;&gt;No"),"")</f>
        <v/>
      </c>
      <c r="N69" s="67">
        <f>IF(AND(C69&lt;&gt;"",H69&lt;&gt;"No",G69="Yes"),COUNTIFS($C$7:C69,"&lt;&gt;",$H$7:H69,"&lt;&gt;No",$G$7:G69,"Yes"),"")</f>
        <v/>
      </c>
    </row>
    <row r="70">
      <c r="B70" s="69" t="n"/>
      <c r="C70" s="62" t="n"/>
      <c r="D70" s="62" t="n"/>
      <c r="E70" s="62" t="n"/>
      <c r="F70" s="62" t="n"/>
      <c r="G70" s="62" t="n"/>
      <c r="H70" s="62" t="n"/>
      <c r="I70" s="64" t="n"/>
      <c r="J70" s="62" t="n"/>
      <c r="K70" s="65">
        <f>IF(C70="","",IFERROR(INDEX(calc_Bal,MATCH(C70,calc_Name,0))*IF(E70="Credit",-1,1),0))</f>
        <v/>
      </c>
      <c r="L70" s="66">
        <f>IF(AND(C70="",B70="",D70=""),"",IF(C70="","⛔ Enter an account name",IF(COUNTIF(coa_Name,C70)&gt;1,"⛔ Duplicate account name",IF(ISNA(MATCH(D70,at_Type,0)),"⛔ Select an account type",IF(AND(E70&lt;&gt;"Debit",E70&lt;&gt;"Credit"),"⛔ Normal balance must be Debit or Credit",IF(ISNA(MATCH(F70,lstCF,0)),"⚠ Select a cash flow section",IF(AND(B70&lt;&gt;"",COUNTIF(coa_Code,B70)&gt;1),"⚠ Duplicate account code",IF(AND(N(I70)&lt;&gt;0,INDEX(at_Stmt,MATCH(D70,at_Type,0))="PL"),"⚠ Opening balance on a profit &amp; loss account","✓ OK"))))))))</f>
        <v/>
      </c>
      <c r="M70" s="67">
        <f>IF(AND(C70&lt;&gt;"",H70&lt;&gt;"No"),COUNTIFS($C$7:C70,"&lt;&gt;",$H$7:H70,"&lt;&gt;No"),"")</f>
        <v/>
      </c>
      <c r="N70" s="67">
        <f>IF(AND(C70&lt;&gt;"",H70&lt;&gt;"No",G70="Yes"),COUNTIFS($C$7:C70,"&lt;&gt;",$H$7:H70,"&lt;&gt;No",$G$7:G70,"Yes"),"")</f>
        <v/>
      </c>
    </row>
    <row r="71">
      <c r="B71" s="69" t="n"/>
      <c r="C71" s="62" t="n"/>
      <c r="D71" s="62" t="n"/>
      <c r="E71" s="62" t="n"/>
      <c r="F71" s="62" t="n"/>
      <c r="G71" s="62" t="n"/>
      <c r="H71" s="62" t="n"/>
      <c r="I71" s="64" t="n"/>
      <c r="J71" s="62" t="n"/>
      <c r="K71" s="65">
        <f>IF(C71="","",IFERROR(INDEX(calc_Bal,MATCH(C71,calc_Name,0))*IF(E71="Credit",-1,1),0))</f>
        <v/>
      </c>
      <c r="L71" s="66">
        <f>IF(AND(C71="",B71="",D71=""),"",IF(C71="","⛔ Enter an account name",IF(COUNTIF(coa_Name,C71)&gt;1,"⛔ Duplicate account name",IF(ISNA(MATCH(D71,at_Type,0)),"⛔ Select an account type",IF(AND(E71&lt;&gt;"Debit",E71&lt;&gt;"Credit"),"⛔ Normal balance must be Debit or Credit",IF(ISNA(MATCH(F71,lstCF,0)),"⚠ Select a cash flow section",IF(AND(B71&lt;&gt;"",COUNTIF(coa_Code,B71)&gt;1),"⚠ Duplicate account code",IF(AND(N(I71)&lt;&gt;0,INDEX(at_Stmt,MATCH(D71,at_Type,0))="PL"),"⚠ Opening balance on a profit &amp; loss account","✓ OK"))))))))</f>
        <v/>
      </c>
      <c r="M71" s="67">
        <f>IF(AND(C71&lt;&gt;"",H71&lt;&gt;"No"),COUNTIFS($C$7:C71,"&lt;&gt;",$H$7:H71,"&lt;&gt;No"),"")</f>
        <v/>
      </c>
      <c r="N71" s="67">
        <f>IF(AND(C71&lt;&gt;"",H71&lt;&gt;"No",G71="Yes"),COUNTIFS($C$7:C71,"&lt;&gt;",$H$7:H71,"&lt;&gt;No",$G$7:G71,"Yes"),"")</f>
        <v/>
      </c>
    </row>
    <row r="72">
      <c r="B72" s="69" t="n"/>
      <c r="C72" s="62" t="n"/>
      <c r="D72" s="62" t="n"/>
      <c r="E72" s="62" t="n"/>
      <c r="F72" s="62" t="n"/>
      <c r="G72" s="62" t="n"/>
      <c r="H72" s="62" t="n"/>
      <c r="I72" s="64" t="n"/>
      <c r="J72" s="62" t="n"/>
      <c r="K72" s="65">
        <f>IF(C72="","",IFERROR(INDEX(calc_Bal,MATCH(C72,calc_Name,0))*IF(E72="Credit",-1,1),0))</f>
        <v/>
      </c>
      <c r="L72" s="66">
        <f>IF(AND(C72="",B72="",D72=""),"",IF(C72="","⛔ Enter an account name",IF(COUNTIF(coa_Name,C72)&gt;1,"⛔ Duplicate account name",IF(ISNA(MATCH(D72,at_Type,0)),"⛔ Select an account type",IF(AND(E72&lt;&gt;"Debit",E72&lt;&gt;"Credit"),"⛔ Normal balance must be Debit or Credit",IF(ISNA(MATCH(F72,lstCF,0)),"⚠ Select a cash flow section",IF(AND(B72&lt;&gt;"",COUNTIF(coa_Code,B72)&gt;1),"⚠ Duplicate account code",IF(AND(N(I72)&lt;&gt;0,INDEX(at_Stmt,MATCH(D72,at_Type,0))="PL"),"⚠ Opening balance on a profit &amp; loss account","✓ OK"))))))))</f>
        <v/>
      </c>
      <c r="M72" s="67">
        <f>IF(AND(C72&lt;&gt;"",H72&lt;&gt;"No"),COUNTIFS($C$7:C72,"&lt;&gt;",$H$7:H72,"&lt;&gt;No"),"")</f>
        <v/>
      </c>
      <c r="N72" s="67">
        <f>IF(AND(C72&lt;&gt;"",H72&lt;&gt;"No",G72="Yes"),COUNTIFS($C$7:C72,"&lt;&gt;",$H$7:H72,"&lt;&gt;No",$G$7:G72,"Yes"),"")</f>
        <v/>
      </c>
    </row>
    <row r="73">
      <c r="B73" s="69" t="n"/>
      <c r="C73" s="62" t="n"/>
      <c r="D73" s="62" t="n"/>
      <c r="E73" s="62" t="n"/>
      <c r="F73" s="62" t="n"/>
      <c r="G73" s="62" t="n"/>
      <c r="H73" s="62" t="n"/>
      <c r="I73" s="64" t="n"/>
      <c r="J73" s="62" t="n"/>
      <c r="K73" s="65">
        <f>IF(C73="","",IFERROR(INDEX(calc_Bal,MATCH(C73,calc_Name,0))*IF(E73="Credit",-1,1),0))</f>
        <v/>
      </c>
      <c r="L73" s="66">
        <f>IF(AND(C73="",B73="",D73=""),"",IF(C73="","⛔ Enter an account name",IF(COUNTIF(coa_Name,C73)&gt;1,"⛔ Duplicate account name",IF(ISNA(MATCH(D73,at_Type,0)),"⛔ Select an account type",IF(AND(E73&lt;&gt;"Debit",E73&lt;&gt;"Credit"),"⛔ Normal balance must be Debit or Credit",IF(ISNA(MATCH(F73,lstCF,0)),"⚠ Select a cash flow section",IF(AND(B73&lt;&gt;"",COUNTIF(coa_Code,B73)&gt;1),"⚠ Duplicate account code",IF(AND(N(I73)&lt;&gt;0,INDEX(at_Stmt,MATCH(D73,at_Type,0))="PL"),"⚠ Opening balance on a profit &amp; loss account","✓ OK"))))))))</f>
        <v/>
      </c>
      <c r="M73" s="67">
        <f>IF(AND(C73&lt;&gt;"",H73&lt;&gt;"No"),COUNTIFS($C$7:C73,"&lt;&gt;",$H$7:H73,"&lt;&gt;No"),"")</f>
        <v/>
      </c>
      <c r="N73" s="67">
        <f>IF(AND(C73&lt;&gt;"",H73&lt;&gt;"No",G73="Yes"),COUNTIFS($C$7:C73,"&lt;&gt;",$H$7:H73,"&lt;&gt;No",$G$7:G73,"Yes"),"")</f>
        <v/>
      </c>
    </row>
    <row r="74">
      <c r="B74" s="69" t="n"/>
      <c r="C74" s="62" t="n"/>
      <c r="D74" s="62" t="n"/>
      <c r="E74" s="62" t="n"/>
      <c r="F74" s="62" t="n"/>
      <c r="G74" s="62" t="n"/>
      <c r="H74" s="62" t="n"/>
      <c r="I74" s="64" t="n"/>
      <c r="J74" s="62" t="n"/>
      <c r="K74" s="65">
        <f>IF(C74="","",IFERROR(INDEX(calc_Bal,MATCH(C74,calc_Name,0))*IF(E74="Credit",-1,1),0))</f>
        <v/>
      </c>
      <c r="L74" s="66">
        <f>IF(AND(C74="",B74="",D74=""),"",IF(C74="","⛔ Enter an account name",IF(COUNTIF(coa_Name,C74)&gt;1,"⛔ Duplicate account name",IF(ISNA(MATCH(D74,at_Type,0)),"⛔ Select an account type",IF(AND(E74&lt;&gt;"Debit",E74&lt;&gt;"Credit"),"⛔ Normal balance must be Debit or Credit",IF(ISNA(MATCH(F74,lstCF,0)),"⚠ Select a cash flow section",IF(AND(B74&lt;&gt;"",COUNTIF(coa_Code,B74)&gt;1),"⚠ Duplicate account code",IF(AND(N(I74)&lt;&gt;0,INDEX(at_Stmt,MATCH(D74,at_Type,0))="PL"),"⚠ Opening balance on a profit &amp; loss account","✓ OK"))))))))</f>
        <v/>
      </c>
      <c r="M74" s="67">
        <f>IF(AND(C74&lt;&gt;"",H74&lt;&gt;"No"),COUNTIFS($C$7:C74,"&lt;&gt;",$H$7:H74,"&lt;&gt;No"),"")</f>
        <v/>
      </c>
      <c r="N74" s="67">
        <f>IF(AND(C74&lt;&gt;"",H74&lt;&gt;"No",G74="Yes"),COUNTIFS($C$7:C74,"&lt;&gt;",$H$7:H74,"&lt;&gt;No",$G$7:G74,"Yes"),"")</f>
        <v/>
      </c>
    </row>
    <row r="75">
      <c r="B75" s="69" t="n"/>
      <c r="C75" s="62" t="n"/>
      <c r="D75" s="62" t="n"/>
      <c r="E75" s="62" t="n"/>
      <c r="F75" s="62" t="n"/>
      <c r="G75" s="62" t="n"/>
      <c r="H75" s="62" t="n"/>
      <c r="I75" s="64" t="n"/>
      <c r="J75" s="62" t="n"/>
      <c r="K75" s="65">
        <f>IF(C75="","",IFERROR(INDEX(calc_Bal,MATCH(C75,calc_Name,0))*IF(E75="Credit",-1,1),0))</f>
        <v/>
      </c>
      <c r="L75" s="66">
        <f>IF(AND(C75="",B75="",D75=""),"",IF(C75="","⛔ Enter an account name",IF(COUNTIF(coa_Name,C75)&gt;1,"⛔ Duplicate account name",IF(ISNA(MATCH(D75,at_Type,0)),"⛔ Select an account type",IF(AND(E75&lt;&gt;"Debit",E75&lt;&gt;"Credit"),"⛔ Normal balance must be Debit or Credit",IF(ISNA(MATCH(F75,lstCF,0)),"⚠ Select a cash flow section",IF(AND(B75&lt;&gt;"",COUNTIF(coa_Code,B75)&gt;1),"⚠ Duplicate account code",IF(AND(N(I75)&lt;&gt;0,INDEX(at_Stmt,MATCH(D75,at_Type,0))="PL"),"⚠ Opening balance on a profit &amp; loss account","✓ OK"))))))))</f>
        <v/>
      </c>
      <c r="M75" s="67">
        <f>IF(AND(C75&lt;&gt;"",H75&lt;&gt;"No"),COUNTIFS($C$7:C75,"&lt;&gt;",$H$7:H75,"&lt;&gt;No"),"")</f>
        <v/>
      </c>
      <c r="N75" s="67">
        <f>IF(AND(C75&lt;&gt;"",H75&lt;&gt;"No",G75="Yes"),COUNTIFS($C$7:C75,"&lt;&gt;",$H$7:H75,"&lt;&gt;No",$G$7:G75,"Yes"),"")</f>
        <v/>
      </c>
    </row>
    <row r="76">
      <c r="B76" s="69" t="n"/>
      <c r="C76" s="62" t="n"/>
      <c r="D76" s="62" t="n"/>
      <c r="E76" s="62" t="n"/>
      <c r="F76" s="62" t="n"/>
      <c r="G76" s="62" t="n"/>
      <c r="H76" s="62" t="n"/>
      <c r="I76" s="64" t="n"/>
      <c r="J76" s="62" t="n"/>
      <c r="K76" s="65">
        <f>IF(C76="","",IFERROR(INDEX(calc_Bal,MATCH(C76,calc_Name,0))*IF(E76="Credit",-1,1),0))</f>
        <v/>
      </c>
      <c r="L76" s="66">
        <f>IF(AND(C76="",B76="",D76=""),"",IF(C76="","⛔ Enter an account name",IF(COUNTIF(coa_Name,C76)&gt;1,"⛔ Duplicate account name",IF(ISNA(MATCH(D76,at_Type,0)),"⛔ Select an account type",IF(AND(E76&lt;&gt;"Debit",E76&lt;&gt;"Credit"),"⛔ Normal balance must be Debit or Credit",IF(ISNA(MATCH(F76,lstCF,0)),"⚠ Select a cash flow section",IF(AND(B76&lt;&gt;"",COUNTIF(coa_Code,B76)&gt;1),"⚠ Duplicate account code",IF(AND(N(I76)&lt;&gt;0,INDEX(at_Stmt,MATCH(D76,at_Type,0))="PL"),"⚠ Opening balance on a profit &amp; loss account","✓ OK"))))))))</f>
        <v/>
      </c>
      <c r="M76" s="67">
        <f>IF(AND(C76&lt;&gt;"",H76&lt;&gt;"No"),COUNTIFS($C$7:C76,"&lt;&gt;",$H$7:H76,"&lt;&gt;No"),"")</f>
        <v/>
      </c>
      <c r="N76" s="67">
        <f>IF(AND(C76&lt;&gt;"",H76&lt;&gt;"No",G76="Yes"),COUNTIFS($C$7:C76,"&lt;&gt;",$H$7:H76,"&lt;&gt;No",$G$7:G76,"Yes"),"")</f>
        <v/>
      </c>
    </row>
    <row r="77">
      <c r="B77" s="69" t="n"/>
      <c r="C77" s="62" t="n"/>
      <c r="D77" s="62" t="n"/>
      <c r="E77" s="62" t="n"/>
      <c r="F77" s="62" t="n"/>
      <c r="G77" s="62" t="n"/>
      <c r="H77" s="62" t="n"/>
      <c r="I77" s="64" t="n"/>
      <c r="J77" s="62" t="n"/>
      <c r="K77" s="65">
        <f>IF(C77="","",IFERROR(INDEX(calc_Bal,MATCH(C77,calc_Name,0))*IF(E77="Credit",-1,1),0))</f>
        <v/>
      </c>
      <c r="L77" s="66">
        <f>IF(AND(C77="",B77="",D77=""),"",IF(C77="","⛔ Enter an account name",IF(COUNTIF(coa_Name,C77)&gt;1,"⛔ Duplicate account name",IF(ISNA(MATCH(D77,at_Type,0)),"⛔ Select an account type",IF(AND(E77&lt;&gt;"Debit",E77&lt;&gt;"Credit"),"⛔ Normal balance must be Debit or Credit",IF(ISNA(MATCH(F77,lstCF,0)),"⚠ Select a cash flow section",IF(AND(B77&lt;&gt;"",COUNTIF(coa_Code,B77)&gt;1),"⚠ Duplicate account code",IF(AND(N(I77)&lt;&gt;0,INDEX(at_Stmt,MATCH(D77,at_Type,0))="PL"),"⚠ Opening balance on a profit &amp; loss account","✓ OK"))))))))</f>
        <v/>
      </c>
      <c r="M77" s="67">
        <f>IF(AND(C77&lt;&gt;"",H77&lt;&gt;"No"),COUNTIFS($C$7:C77,"&lt;&gt;",$H$7:H77,"&lt;&gt;No"),"")</f>
        <v/>
      </c>
      <c r="N77" s="67">
        <f>IF(AND(C77&lt;&gt;"",H77&lt;&gt;"No",G77="Yes"),COUNTIFS($C$7:C77,"&lt;&gt;",$H$7:H77,"&lt;&gt;No",$G$7:G77,"Yes"),"")</f>
        <v/>
      </c>
    </row>
    <row r="78">
      <c r="B78" s="69" t="n"/>
      <c r="C78" s="62" t="n"/>
      <c r="D78" s="62" t="n"/>
      <c r="E78" s="62" t="n"/>
      <c r="F78" s="62" t="n"/>
      <c r="G78" s="62" t="n"/>
      <c r="H78" s="62" t="n"/>
      <c r="I78" s="64" t="n"/>
      <c r="J78" s="62" t="n"/>
      <c r="K78" s="65">
        <f>IF(C78="","",IFERROR(INDEX(calc_Bal,MATCH(C78,calc_Name,0))*IF(E78="Credit",-1,1),0))</f>
        <v/>
      </c>
      <c r="L78" s="66">
        <f>IF(AND(C78="",B78="",D78=""),"",IF(C78="","⛔ Enter an account name",IF(COUNTIF(coa_Name,C78)&gt;1,"⛔ Duplicate account name",IF(ISNA(MATCH(D78,at_Type,0)),"⛔ Select an account type",IF(AND(E78&lt;&gt;"Debit",E78&lt;&gt;"Credit"),"⛔ Normal balance must be Debit or Credit",IF(ISNA(MATCH(F78,lstCF,0)),"⚠ Select a cash flow section",IF(AND(B78&lt;&gt;"",COUNTIF(coa_Code,B78)&gt;1),"⚠ Duplicate account code",IF(AND(N(I78)&lt;&gt;0,INDEX(at_Stmt,MATCH(D78,at_Type,0))="PL"),"⚠ Opening balance on a profit &amp; loss account","✓ OK"))))))))</f>
        <v/>
      </c>
      <c r="M78" s="67">
        <f>IF(AND(C78&lt;&gt;"",H78&lt;&gt;"No"),COUNTIFS($C$7:C78,"&lt;&gt;",$H$7:H78,"&lt;&gt;No"),"")</f>
        <v/>
      </c>
      <c r="N78" s="67">
        <f>IF(AND(C78&lt;&gt;"",H78&lt;&gt;"No",G78="Yes"),COUNTIFS($C$7:C78,"&lt;&gt;",$H$7:H78,"&lt;&gt;No",$G$7:G78,"Yes"),"")</f>
        <v/>
      </c>
    </row>
    <row r="79">
      <c r="B79" s="69" t="n"/>
      <c r="C79" s="62" t="n"/>
      <c r="D79" s="62" t="n"/>
      <c r="E79" s="62" t="n"/>
      <c r="F79" s="62" t="n"/>
      <c r="G79" s="62" t="n"/>
      <c r="H79" s="62" t="n"/>
      <c r="I79" s="64" t="n"/>
      <c r="J79" s="62" t="n"/>
      <c r="K79" s="65">
        <f>IF(C79="","",IFERROR(INDEX(calc_Bal,MATCH(C79,calc_Name,0))*IF(E79="Credit",-1,1),0))</f>
        <v/>
      </c>
      <c r="L79" s="66">
        <f>IF(AND(C79="",B79="",D79=""),"",IF(C79="","⛔ Enter an account name",IF(COUNTIF(coa_Name,C79)&gt;1,"⛔ Duplicate account name",IF(ISNA(MATCH(D79,at_Type,0)),"⛔ Select an account type",IF(AND(E79&lt;&gt;"Debit",E79&lt;&gt;"Credit"),"⛔ Normal balance must be Debit or Credit",IF(ISNA(MATCH(F79,lstCF,0)),"⚠ Select a cash flow section",IF(AND(B79&lt;&gt;"",COUNTIF(coa_Code,B79)&gt;1),"⚠ Duplicate account code",IF(AND(N(I79)&lt;&gt;0,INDEX(at_Stmt,MATCH(D79,at_Type,0))="PL"),"⚠ Opening balance on a profit &amp; loss account","✓ OK"))))))))</f>
        <v/>
      </c>
      <c r="M79" s="67">
        <f>IF(AND(C79&lt;&gt;"",H79&lt;&gt;"No"),COUNTIFS($C$7:C79,"&lt;&gt;",$H$7:H79,"&lt;&gt;No"),"")</f>
        <v/>
      </c>
      <c r="N79" s="67">
        <f>IF(AND(C79&lt;&gt;"",H79&lt;&gt;"No",G79="Yes"),COUNTIFS($C$7:C79,"&lt;&gt;",$H$7:H79,"&lt;&gt;No",$G$7:G79,"Yes"),"")</f>
        <v/>
      </c>
    </row>
    <row r="80">
      <c r="B80" s="69" t="n"/>
      <c r="C80" s="62" t="n"/>
      <c r="D80" s="62" t="n"/>
      <c r="E80" s="62" t="n"/>
      <c r="F80" s="62" t="n"/>
      <c r="G80" s="62" t="n"/>
      <c r="H80" s="62" t="n"/>
      <c r="I80" s="64" t="n"/>
      <c r="J80" s="62" t="n"/>
      <c r="K80" s="65">
        <f>IF(C80="","",IFERROR(INDEX(calc_Bal,MATCH(C80,calc_Name,0))*IF(E80="Credit",-1,1),0))</f>
        <v/>
      </c>
      <c r="L80" s="66">
        <f>IF(AND(C80="",B80="",D80=""),"",IF(C80="","⛔ Enter an account name",IF(COUNTIF(coa_Name,C80)&gt;1,"⛔ Duplicate account name",IF(ISNA(MATCH(D80,at_Type,0)),"⛔ Select an account type",IF(AND(E80&lt;&gt;"Debit",E80&lt;&gt;"Credit"),"⛔ Normal balance must be Debit or Credit",IF(ISNA(MATCH(F80,lstCF,0)),"⚠ Select a cash flow section",IF(AND(B80&lt;&gt;"",COUNTIF(coa_Code,B80)&gt;1),"⚠ Duplicate account code",IF(AND(N(I80)&lt;&gt;0,INDEX(at_Stmt,MATCH(D80,at_Type,0))="PL"),"⚠ Opening balance on a profit &amp; loss account","✓ OK"))))))))</f>
        <v/>
      </c>
      <c r="M80" s="67">
        <f>IF(AND(C80&lt;&gt;"",H80&lt;&gt;"No"),COUNTIFS($C$7:C80,"&lt;&gt;",$H$7:H80,"&lt;&gt;No"),"")</f>
        <v/>
      </c>
      <c r="N80" s="67">
        <f>IF(AND(C80&lt;&gt;"",H80&lt;&gt;"No",G80="Yes"),COUNTIFS($C$7:C80,"&lt;&gt;",$H$7:H80,"&lt;&gt;No",$G$7:G80,"Yes"),"")</f>
        <v/>
      </c>
    </row>
    <row r="81">
      <c r="B81" s="69" t="n"/>
      <c r="C81" s="62" t="n"/>
      <c r="D81" s="62" t="n"/>
      <c r="E81" s="62" t="n"/>
      <c r="F81" s="62" t="n"/>
      <c r="G81" s="62" t="n"/>
      <c r="H81" s="62" t="n"/>
      <c r="I81" s="64" t="n"/>
      <c r="J81" s="62" t="n"/>
      <c r="K81" s="65">
        <f>IF(C81="","",IFERROR(INDEX(calc_Bal,MATCH(C81,calc_Name,0))*IF(E81="Credit",-1,1),0))</f>
        <v/>
      </c>
      <c r="L81" s="66">
        <f>IF(AND(C81="",B81="",D81=""),"",IF(C81="","⛔ Enter an account name",IF(COUNTIF(coa_Name,C81)&gt;1,"⛔ Duplicate account name",IF(ISNA(MATCH(D81,at_Type,0)),"⛔ Select an account type",IF(AND(E81&lt;&gt;"Debit",E81&lt;&gt;"Credit"),"⛔ Normal balance must be Debit or Credit",IF(ISNA(MATCH(F81,lstCF,0)),"⚠ Select a cash flow section",IF(AND(B81&lt;&gt;"",COUNTIF(coa_Code,B81)&gt;1),"⚠ Duplicate account code",IF(AND(N(I81)&lt;&gt;0,INDEX(at_Stmt,MATCH(D81,at_Type,0))="PL"),"⚠ Opening balance on a profit &amp; loss account","✓ OK"))))))))</f>
        <v/>
      </c>
      <c r="M81" s="67">
        <f>IF(AND(C81&lt;&gt;"",H81&lt;&gt;"No"),COUNTIFS($C$7:C81,"&lt;&gt;",$H$7:H81,"&lt;&gt;No"),"")</f>
        <v/>
      </c>
      <c r="N81" s="67">
        <f>IF(AND(C81&lt;&gt;"",H81&lt;&gt;"No",G81="Yes"),COUNTIFS($C$7:C81,"&lt;&gt;",$H$7:H81,"&lt;&gt;No",$G$7:G81,"Yes"),"")</f>
        <v/>
      </c>
    </row>
    <row r="82">
      <c r="B82" s="69" t="n"/>
      <c r="C82" s="62" t="n"/>
      <c r="D82" s="62" t="n"/>
      <c r="E82" s="62" t="n"/>
      <c r="F82" s="62" t="n"/>
      <c r="G82" s="62" t="n"/>
      <c r="H82" s="62" t="n"/>
      <c r="I82" s="64" t="n"/>
      <c r="J82" s="62" t="n"/>
      <c r="K82" s="65">
        <f>IF(C82="","",IFERROR(INDEX(calc_Bal,MATCH(C82,calc_Name,0))*IF(E82="Credit",-1,1),0))</f>
        <v/>
      </c>
      <c r="L82" s="66">
        <f>IF(AND(C82="",B82="",D82=""),"",IF(C82="","⛔ Enter an account name",IF(COUNTIF(coa_Name,C82)&gt;1,"⛔ Duplicate account name",IF(ISNA(MATCH(D82,at_Type,0)),"⛔ Select an account type",IF(AND(E82&lt;&gt;"Debit",E82&lt;&gt;"Credit"),"⛔ Normal balance must be Debit or Credit",IF(ISNA(MATCH(F82,lstCF,0)),"⚠ Select a cash flow section",IF(AND(B82&lt;&gt;"",COUNTIF(coa_Code,B82)&gt;1),"⚠ Duplicate account code",IF(AND(N(I82)&lt;&gt;0,INDEX(at_Stmt,MATCH(D82,at_Type,0))="PL"),"⚠ Opening balance on a profit &amp; loss account","✓ OK"))))))))</f>
        <v/>
      </c>
      <c r="M82" s="67">
        <f>IF(AND(C82&lt;&gt;"",H82&lt;&gt;"No"),COUNTIFS($C$7:C82,"&lt;&gt;",$H$7:H82,"&lt;&gt;No"),"")</f>
        <v/>
      </c>
      <c r="N82" s="67">
        <f>IF(AND(C82&lt;&gt;"",H82&lt;&gt;"No",G82="Yes"),COUNTIFS($C$7:C82,"&lt;&gt;",$H$7:H82,"&lt;&gt;No",$G$7:G82,"Yes"),"")</f>
        <v/>
      </c>
    </row>
    <row r="83">
      <c r="B83" s="69" t="n"/>
      <c r="C83" s="62" t="n"/>
      <c r="D83" s="62" t="n"/>
      <c r="E83" s="62" t="n"/>
      <c r="F83" s="62" t="n"/>
      <c r="G83" s="62" t="n"/>
      <c r="H83" s="62" t="n"/>
      <c r="I83" s="64" t="n"/>
      <c r="J83" s="62" t="n"/>
      <c r="K83" s="65">
        <f>IF(C83="","",IFERROR(INDEX(calc_Bal,MATCH(C83,calc_Name,0))*IF(E83="Credit",-1,1),0))</f>
        <v/>
      </c>
      <c r="L83" s="66">
        <f>IF(AND(C83="",B83="",D83=""),"",IF(C83="","⛔ Enter an account name",IF(COUNTIF(coa_Name,C83)&gt;1,"⛔ Duplicate account name",IF(ISNA(MATCH(D83,at_Type,0)),"⛔ Select an account type",IF(AND(E83&lt;&gt;"Debit",E83&lt;&gt;"Credit"),"⛔ Normal balance must be Debit or Credit",IF(ISNA(MATCH(F83,lstCF,0)),"⚠ Select a cash flow section",IF(AND(B83&lt;&gt;"",COUNTIF(coa_Code,B83)&gt;1),"⚠ Duplicate account code",IF(AND(N(I83)&lt;&gt;0,INDEX(at_Stmt,MATCH(D83,at_Type,0))="PL"),"⚠ Opening balance on a profit &amp; loss account","✓ OK"))))))))</f>
        <v/>
      </c>
      <c r="M83" s="67">
        <f>IF(AND(C83&lt;&gt;"",H83&lt;&gt;"No"),COUNTIFS($C$7:C83,"&lt;&gt;",$H$7:H83,"&lt;&gt;No"),"")</f>
        <v/>
      </c>
      <c r="N83" s="67">
        <f>IF(AND(C83&lt;&gt;"",H83&lt;&gt;"No",G83="Yes"),COUNTIFS($C$7:C83,"&lt;&gt;",$H$7:H83,"&lt;&gt;No",$G$7:G83,"Yes"),"")</f>
        <v/>
      </c>
    </row>
    <row r="84">
      <c r="B84" s="69" t="n"/>
      <c r="C84" s="62" t="n"/>
      <c r="D84" s="62" t="n"/>
      <c r="E84" s="62" t="n"/>
      <c r="F84" s="62" t="n"/>
      <c r="G84" s="62" t="n"/>
      <c r="H84" s="62" t="n"/>
      <c r="I84" s="64" t="n"/>
      <c r="J84" s="62" t="n"/>
      <c r="K84" s="65">
        <f>IF(C84="","",IFERROR(INDEX(calc_Bal,MATCH(C84,calc_Name,0))*IF(E84="Credit",-1,1),0))</f>
        <v/>
      </c>
      <c r="L84" s="66">
        <f>IF(AND(C84="",B84="",D84=""),"",IF(C84="","⛔ Enter an account name",IF(COUNTIF(coa_Name,C84)&gt;1,"⛔ Duplicate account name",IF(ISNA(MATCH(D84,at_Type,0)),"⛔ Select an account type",IF(AND(E84&lt;&gt;"Debit",E84&lt;&gt;"Credit"),"⛔ Normal balance must be Debit or Credit",IF(ISNA(MATCH(F84,lstCF,0)),"⚠ Select a cash flow section",IF(AND(B84&lt;&gt;"",COUNTIF(coa_Code,B84)&gt;1),"⚠ Duplicate account code",IF(AND(N(I84)&lt;&gt;0,INDEX(at_Stmt,MATCH(D84,at_Type,0))="PL"),"⚠ Opening balance on a profit &amp; loss account","✓ OK"))))))))</f>
        <v/>
      </c>
      <c r="M84" s="67">
        <f>IF(AND(C84&lt;&gt;"",H84&lt;&gt;"No"),COUNTIFS($C$7:C84,"&lt;&gt;",$H$7:H84,"&lt;&gt;No"),"")</f>
        <v/>
      </c>
      <c r="N84" s="67">
        <f>IF(AND(C84&lt;&gt;"",H84&lt;&gt;"No",G84="Yes"),COUNTIFS($C$7:C84,"&lt;&gt;",$H$7:H84,"&lt;&gt;No",$G$7:G84,"Yes"),"")</f>
        <v/>
      </c>
    </row>
    <row r="85">
      <c r="B85" s="69" t="n"/>
      <c r="C85" s="62" t="n"/>
      <c r="D85" s="62" t="n"/>
      <c r="E85" s="62" t="n"/>
      <c r="F85" s="62" t="n"/>
      <c r="G85" s="62" t="n"/>
      <c r="H85" s="62" t="n"/>
      <c r="I85" s="64" t="n"/>
      <c r="J85" s="62" t="n"/>
      <c r="K85" s="65">
        <f>IF(C85="","",IFERROR(INDEX(calc_Bal,MATCH(C85,calc_Name,0))*IF(E85="Credit",-1,1),0))</f>
        <v/>
      </c>
      <c r="L85" s="66">
        <f>IF(AND(C85="",B85="",D85=""),"",IF(C85="","⛔ Enter an account name",IF(COUNTIF(coa_Name,C85)&gt;1,"⛔ Duplicate account name",IF(ISNA(MATCH(D85,at_Type,0)),"⛔ Select an account type",IF(AND(E85&lt;&gt;"Debit",E85&lt;&gt;"Credit"),"⛔ Normal balance must be Debit or Credit",IF(ISNA(MATCH(F85,lstCF,0)),"⚠ Select a cash flow section",IF(AND(B85&lt;&gt;"",COUNTIF(coa_Code,B85)&gt;1),"⚠ Duplicate account code",IF(AND(N(I85)&lt;&gt;0,INDEX(at_Stmt,MATCH(D85,at_Type,0))="PL"),"⚠ Opening balance on a profit &amp; loss account","✓ OK"))))))))</f>
        <v/>
      </c>
      <c r="M85" s="67">
        <f>IF(AND(C85&lt;&gt;"",H85&lt;&gt;"No"),COUNTIFS($C$7:C85,"&lt;&gt;",$H$7:H85,"&lt;&gt;No"),"")</f>
        <v/>
      </c>
      <c r="N85" s="67">
        <f>IF(AND(C85&lt;&gt;"",H85&lt;&gt;"No",G85="Yes"),COUNTIFS($C$7:C85,"&lt;&gt;",$H$7:H85,"&lt;&gt;No",$G$7:G85,"Yes"),"")</f>
        <v/>
      </c>
    </row>
    <row r="86">
      <c r="B86" s="69" t="n"/>
      <c r="C86" s="62" t="n"/>
      <c r="D86" s="62" t="n"/>
      <c r="E86" s="62" t="n"/>
      <c r="F86" s="62" t="n"/>
      <c r="G86" s="62" t="n"/>
      <c r="H86" s="62" t="n"/>
      <c r="I86" s="64" t="n"/>
      <c r="J86" s="62" t="n"/>
      <c r="K86" s="65">
        <f>IF(C86="","",IFERROR(INDEX(calc_Bal,MATCH(C86,calc_Name,0))*IF(E86="Credit",-1,1),0))</f>
        <v/>
      </c>
      <c r="L86" s="66">
        <f>IF(AND(C86="",B86="",D86=""),"",IF(C86="","⛔ Enter an account name",IF(COUNTIF(coa_Name,C86)&gt;1,"⛔ Duplicate account name",IF(ISNA(MATCH(D86,at_Type,0)),"⛔ Select an account type",IF(AND(E86&lt;&gt;"Debit",E86&lt;&gt;"Credit"),"⛔ Normal balance must be Debit or Credit",IF(ISNA(MATCH(F86,lstCF,0)),"⚠ Select a cash flow section",IF(AND(B86&lt;&gt;"",COUNTIF(coa_Code,B86)&gt;1),"⚠ Duplicate account code",IF(AND(N(I86)&lt;&gt;0,INDEX(at_Stmt,MATCH(D86,at_Type,0))="PL"),"⚠ Opening balance on a profit &amp; loss account","✓ OK"))))))))</f>
        <v/>
      </c>
      <c r="M86" s="67">
        <f>IF(AND(C86&lt;&gt;"",H86&lt;&gt;"No"),COUNTIFS($C$7:C86,"&lt;&gt;",$H$7:H86,"&lt;&gt;No"),"")</f>
        <v/>
      </c>
      <c r="N86" s="67">
        <f>IF(AND(C86&lt;&gt;"",H86&lt;&gt;"No",G86="Yes"),COUNTIFS($C$7:C86,"&lt;&gt;",$H$7:H86,"&lt;&gt;No",$G$7:G86,"Yes"),"")</f>
        <v/>
      </c>
    </row>
    <row r="87">
      <c r="B87" s="69" t="n"/>
      <c r="C87" s="62" t="n"/>
      <c r="D87" s="62" t="n"/>
      <c r="E87" s="62" t="n"/>
      <c r="F87" s="62" t="n"/>
      <c r="G87" s="62" t="n"/>
      <c r="H87" s="62" t="n"/>
      <c r="I87" s="64" t="n"/>
      <c r="J87" s="62" t="n"/>
      <c r="K87" s="65">
        <f>IF(C87="","",IFERROR(INDEX(calc_Bal,MATCH(C87,calc_Name,0))*IF(E87="Credit",-1,1),0))</f>
        <v/>
      </c>
      <c r="L87" s="66">
        <f>IF(AND(C87="",B87="",D87=""),"",IF(C87="","⛔ Enter an account name",IF(COUNTIF(coa_Name,C87)&gt;1,"⛔ Duplicate account name",IF(ISNA(MATCH(D87,at_Type,0)),"⛔ Select an account type",IF(AND(E87&lt;&gt;"Debit",E87&lt;&gt;"Credit"),"⛔ Normal balance must be Debit or Credit",IF(ISNA(MATCH(F87,lstCF,0)),"⚠ Select a cash flow section",IF(AND(B87&lt;&gt;"",COUNTIF(coa_Code,B87)&gt;1),"⚠ Duplicate account code",IF(AND(N(I87)&lt;&gt;0,INDEX(at_Stmt,MATCH(D87,at_Type,0))="PL"),"⚠ Opening balance on a profit &amp; loss account","✓ OK"))))))))</f>
        <v/>
      </c>
      <c r="M87" s="67">
        <f>IF(AND(C87&lt;&gt;"",H87&lt;&gt;"No"),COUNTIFS($C$7:C87,"&lt;&gt;",$H$7:H87,"&lt;&gt;No"),"")</f>
        <v/>
      </c>
      <c r="N87" s="67">
        <f>IF(AND(C87&lt;&gt;"",H87&lt;&gt;"No",G87="Yes"),COUNTIFS($C$7:C87,"&lt;&gt;",$H$7:H87,"&lt;&gt;No",$G$7:G87,"Yes"),"")</f>
        <v/>
      </c>
    </row>
    <row r="88">
      <c r="B88" s="69" t="n"/>
      <c r="C88" s="62" t="n"/>
      <c r="D88" s="62" t="n"/>
      <c r="E88" s="62" t="n"/>
      <c r="F88" s="62" t="n"/>
      <c r="G88" s="62" t="n"/>
      <c r="H88" s="62" t="n"/>
      <c r="I88" s="64" t="n"/>
      <c r="J88" s="62" t="n"/>
      <c r="K88" s="65">
        <f>IF(C88="","",IFERROR(INDEX(calc_Bal,MATCH(C88,calc_Name,0))*IF(E88="Credit",-1,1),0))</f>
        <v/>
      </c>
      <c r="L88" s="66">
        <f>IF(AND(C88="",B88="",D88=""),"",IF(C88="","⛔ Enter an account name",IF(COUNTIF(coa_Name,C88)&gt;1,"⛔ Duplicate account name",IF(ISNA(MATCH(D88,at_Type,0)),"⛔ Select an account type",IF(AND(E88&lt;&gt;"Debit",E88&lt;&gt;"Credit"),"⛔ Normal balance must be Debit or Credit",IF(ISNA(MATCH(F88,lstCF,0)),"⚠ Select a cash flow section",IF(AND(B88&lt;&gt;"",COUNTIF(coa_Code,B88)&gt;1),"⚠ Duplicate account code",IF(AND(N(I88)&lt;&gt;0,INDEX(at_Stmt,MATCH(D88,at_Type,0))="PL"),"⚠ Opening balance on a profit &amp; loss account","✓ OK"))))))))</f>
        <v/>
      </c>
      <c r="M88" s="67">
        <f>IF(AND(C88&lt;&gt;"",H88&lt;&gt;"No"),COUNTIFS($C$7:C88,"&lt;&gt;",$H$7:H88,"&lt;&gt;No"),"")</f>
        <v/>
      </c>
      <c r="N88" s="67">
        <f>IF(AND(C88&lt;&gt;"",H88&lt;&gt;"No",G88="Yes"),COUNTIFS($C$7:C88,"&lt;&gt;",$H$7:H88,"&lt;&gt;No",$G$7:G88,"Yes"),"")</f>
        <v/>
      </c>
    </row>
    <row r="89">
      <c r="B89" s="69" t="n"/>
      <c r="C89" s="62" t="n"/>
      <c r="D89" s="62" t="n"/>
      <c r="E89" s="62" t="n"/>
      <c r="F89" s="62" t="n"/>
      <c r="G89" s="62" t="n"/>
      <c r="H89" s="62" t="n"/>
      <c r="I89" s="64" t="n"/>
      <c r="J89" s="62" t="n"/>
      <c r="K89" s="65">
        <f>IF(C89="","",IFERROR(INDEX(calc_Bal,MATCH(C89,calc_Name,0))*IF(E89="Credit",-1,1),0))</f>
        <v/>
      </c>
      <c r="L89" s="66">
        <f>IF(AND(C89="",B89="",D89=""),"",IF(C89="","⛔ Enter an account name",IF(COUNTIF(coa_Name,C89)&gt;1,"⛔ Duplicate account name",IF(ISNA(MATCH(D89,at_Type,0)),"⛔ Select an account type",IF(AND(E89&lt;&gt;"Debit",E89&lt;&gt;"Credit"),"⛔ Normal balance must be Debit or Credit",IF(ISNA(MATCH(F89,lstCF,0)),"⚠ Select a cash flow section",IF(AND(B89&lt;&gt;"",COUNTIF(coa_Code,B89)&gt;1),"⚠ Duplicate account code",IF(AND(N(I89)&lt;&gt;0,INDEX(at_Stmt,MATCH(D89,at_Type,0))="PL"),"⚠ Opening balance on a profit &amp; loss account","✓ OK"))))))))</f>
        <v/>
      </c>
      <c r="M89" s="67">
        <f>IF(AND(C89&lt;&gt;"",H89&lt;&gt;"No"),COUNTIFS($C$7:C89,"&lt;&gt;",$H$7:H89,"&lt;&gt;No"),"")</f>
        <v/>
      </c>
      <c r="N89" s="67">
        <f>IF(AND(C89&lt;&gt;"",H89&lt;&gt;"No",G89="Yes"),COUNTIFS($C$7:C89,"&lt;&gt;",$H$7:H89,"&lt;&gt;No",$G$7:G89,"Yes"),"")</f>
        <v/>
      </c>
    </row>
    <row r="90">
      <c r="B90" s="69" t="n"/>
      <c r="C90" s="62" t="n"/>
      <c r="D90" s="62" t="n"/>
      <c r="E90" s="62" t="n"/>
      <c r="F90" s="62" t="n"/>
      <c r="G90" s="62" t="n"/>
      <c r="H90" s="62" t="n"/>
      <c r="I90" s="64" t="n"/>
      <c r="J90" s="62" t="n"/>
      <c r="K90" s="65">
        <f>IF(C90="","",IFERROR(INDEX(calc_Bal,MATCH(C90,calc_Name,0))*IF(E90="Credit",-1,1),0))</f>
        <v/>
      </c>
      <c r="L90" s="66">
        <f>IF(AND(C90="",B90="",D90=""),"",IF(C90="","⛔ Enter an account name",IF(COUNTIF(coa_Name,C90)&gt;1,"⛔ Duplicate account name",IF(ISNA(MATCH(D90,at_Type,0)),"⛔ Select an account type",IF(AND(E90&lt;&gt;"Debit",E90&lt;&gt;"Credit"),"⛔ Normal balance must be Debit or Credit",IF(ISNA(MATCH(F90,lstCF,0)),"⚠ Select a cash flow section",IF(AND(B90&lt;&gt;"",COUNTIF(coa_Code,B90)&gt;1),"⚠ Duplicate account code",IF(AND(N(I90)&lt;&gt;0,INDEX(at_Stmt,MATCH(D90,at_Type,0))="PL"),"⚠ Opening balance on a profit &amp; loss account","✓ OK"))))))))</f>
        <v/>
      </c>
      <c r="M90" s="67">
        <f>IF(AND(C90&lt;&gt;"",H90&lt;&gt;"No"),COUNTIFS($C$7:C90,"&lt;&gt;",$H$7:H90,"&lt;&gt;No"),"")</f>
        <v/>
      </c>
      <c r="N90" s="67">
        <f>IF(AND(C90&lt;&gt;"",H90&lt;&gt;"No",G90="Yes"),COUNTIFS($C$7:C90,"&lt;&gt;",$H$7:H90,"&lt;&gt;No",$G$7:G90,"Yes"),"")</f>
        <v/>
      </c>
    </row>
    <row r="91">
      <c r="B91" s="69" t="n"/>
      <c r="C91" s="62" t="n"/>
      <c r="D91" s="62" t="n"/>
      <c r="E91" s="62" t="n"/>
      <c r="F91" s="62" t="n"/>
      <c r="G91" s="62" t="n"/>
      <c r="H91" s="62" t="n"/>
      <c r="I91" s="64" t="n"/>
      <c r="J91" s="62" t="n"/>
      <c r="K91" s="65">
        <f>IF(C91="","",IFERROR(INDEX(calc_Bal,MATCH(C91,calc_Name,0))*IF(E91="Credit",-1,1),0))</f>
        <v/>
      </c>
      <c r="L91" s="66">
        <f>IF(AND(C91="",B91="",D91=""),"",IF(C91="","⛔ Enter an account name",IF(COUNTIF(coa_Name,C91)&gt;1,"⛔ Duplicate account name",IF(ISNA(MATCH(D91,at_Type,0)),"⛔ Select an account type",IF(AND(E91&lt;&gt;"Debit",E91&lt;&gt;"Credit"),"⛔ Normal balance must be Debit or Credit",IF(ISNA(MATCH(F91,lstCF,0)),"⚠ Select a cash flow section",IF(AND(B91&lt;&gt;"",COUNTIF(coa_Code,B91)&gt;1),"⚠ Duplicate account code",IF(AND(N(I91)&lt;&gt;0,INDEX(at_Stmt,MATCH(D91,at_Type,0))="PL"),"⚠ Opening balance on a profit &amp; loss account","✓ OK"))))))))</f>
        <v/>
      </c>
      <c r="M91" s="67">
        <f>IF(AND(C91&lt;&gt;"",H91&lt;&gt;"No"),COUNTIFS($C$7:C91,"&lt;&gt;",$H$7:H91,"&lt;&gt;No"),"")</f>
        <v/>
      </c>
      <c r="N91" s="67">
        <f>IF(AND(C91&lt;&gt;"",H91&lt;&gt;"No",G91="Yes"),COUNTIFS($C$7:C91,"&lt;&gt;",$H$7:H91,"&lt;&gt;No",$G$7:G91,"Yes"),"")</f>
        <v/>
      </c>
    </row>
    <row r="92">
      <c r="B92" s="69" t="n"/>
      <c r="C92" s="62" t="n"/>
      <c r="D92" s="62" t="n"/>
      <c r="E92" s="62" t="n"/>
      <c r="F92" s="62" t="n"/>
      <c r="G92" s="62" t="n"/>
      <c r="H92" s="62" t="n"/>
      <c r="I92" s="64" t="n"/>
      <c r="J92" s="62" t="n"/>
      <c r="K92" s="65">
        <f>IF(C92="","",IFERROR(INDEX(calc_Bal,MATCH(C92,calc_Name,0))*IF(E92="Credit",-1,1),0))</f>
        <v/>
      </c>
      <c r="L92" s="66">
        <f>IF(AND(C92="",B92="",D92=""),"",IF(C92="","⛔ Enter an account name",IF(COUNTIF(coa_Name,C92)&gt;1,"⛔ Duplicate account name",IF(ISNA(MATCH(D92,at_Type,0)),"⛔ Select an account type",IF(AND(E92&lt;&gt;"Debit",E92&lt;&gt;"Credit"),"⛔ Normal balance must be Debit or Credit",IF(ISNA(MATCH(F92,lstCF,0)),"⚠ Select a cash flow section",IF(AND(B92&lt;&gt;"",COUNTIF(coa_Code,B92)&gt;1),"⚠ Duplicate account code",IF(AND(N(I92)&lt;&gt;0,INDEX(at_Stmt,MATCH(D92,at_Type,0))="PL"),"⚠ Opening balance on a profit &amp; loss account","✓ OK"))))))))</f>
        <v/>
      </c>
      <c r="M92" s="67">
        <f>IF(AND(C92&lt;&gt;"",H92&lt;&gt;"No"),COUNTIFS($C$7:C92,"&lt;&gt;",$H$7:H92,"&lt;&gt;No"),"")</f>
        <v/>
      </c>
      <c r="N92" s="67">
        <f>IF(AND(C92&lt;&gt;"",H92&lt;&gt;"No",G92="Yes"),COUNTIFS($C$7:C92,"&lt;&gt;",$H$7:H92,"&lt;&gt;No",$G$7:G92,"Yes"),"")</f>
        <v/>
      </c>
    </row>
    <row r="93">
      <c r="B93" s="69" t="n"/>
      <c r="C93" s="62" t="n"/>
      <c r="D93" s="62" t="n"/>
      <c r="E93" s="62" t="n"/>
      <c r="F93" s="62" t="n"/>
      <c r="G93" s="62" t="n"/>
      <c r="H93" s="62" t="n"/>
      <c r="I93" s="64" t="n"/>
      <c r="J93" s="62" t="n"/>
      <c r="K93" s="65">
        <f>IF(C93="","",IFERROR(INDEX(calc_Bal,MATCH(C93,calc_Name,0))*IF(E93="Credit",-1,1),0))</f>
        <v/>
      </c>
      <c r="L93" s="66">
        <f>IF(AND(C93="",B93="",D93=""),"",IF(C93="","⛔ Enter an account name",IF(COUNTIF(coa_Name,C93)&gt;1,"⛔ Duplicate account name",IF(ISNA(MATCH(D93,at_Type,0)),"⛔ Select an account type",IF(AND(E93&lt;&gt;"Debit",E93&lt;&gt;"Credit"),"⛔ Normal balance must be Debit or Credit",IF(ISNA(MATCH(F93,lstCF,0)),"⚠ Select a cash flow section",IF(AND(B93&lt;&gt;"",COUNTIF(coa_Code,B93)&gt;1),"⚠ Duplicate account code",IF(AND(N(I93)&lt;&gt;0,INDEX(at_Stmt,MATCH(D93,at_Type,0))="PL"),"⚠ Opening balance on a profit &amp; loss account","✓ OK"))))))))</f>
        <v/>
      </c>
      <c r="M93" s="67">
        <f>IF(AND(C93&lt;&gt;"",H93&lt;&gt;"No"),COUNTIFS($C$7:C93,"&lt;&gt;",$H$7:H93,"&lt;&gt;No"),"")</f>
        <v/>
      </c>
      <c r="N93" s="67">
        <f>IF(AND(C93&lt;&gt;"",H93&lt;&gt;"No",G93="Yes"),COUNTIFS($C$7:C93,"&lt;&gt;",$H$7:H93,"&lt;&gt;No",$G$7:G93,"Yes"),"")</f>
        <v/>
      </c>
    </row>
    <row r="94">
      <c r="B94" s="69" t="n"/>
      <c r="C94" s="62" t="n"/>
      <c r="D94" s="62" t="n"/>
      <c r="E94" s="62" t="n"/>
      <c r="F94" s="62" t="n"/>
      <c r="G94" s="62" t="n"/>
      <c r="H94" s="62" t="n"/>
      <c r="I94" s="64" t="n"/>
      <c r="J94" s="62" t="n"/>
      <c r="K94" s="65">
        <f>IF(C94="","",IFERROR(INDEX(calc_Bal,MATCH(C94,calc_Name,0))*IF(E94="Credit",-1,1),0))</f>
        <v/>
      </c>
      <c r="L94" s="66">
        <f>IF(AND(C94="",B94="",D94=""),"",IF(C94="","⛔ Enter an account name",IF(COUNTIF(coa_Name,C94)&gt;1,"⛔ Duplicate account name",IF(ISNA(MATCH(D94,at_Type,0)),"⛔ Select an account type",IF(AND(E94&lt;&gt;"Debit",E94&lt;&gt;"Credit"),"⛔ Normal balance must be Debit or Credit",IF(ISNA(MATCH(F94,lstCF,0)),"⚠ Select a cash flow section",IF(AND(B94&lt;&gt;"",COUNTIF(coa_Code,B94)&gt;1),"⚠ Duplicate account code",IF(AND(N(I94)&lt;&gt;0,INDEX(at_Stmt,MATCH(D94,at_Type,0))="PL"),"⚠ Opening balance on a profit &amp; loss account","✓ OK"))))))))</f>
        <v/>
      </c>
      <c r="M94" s="67">
        <f>IF(AND(C94&lt;&gt;"",H94&lt;&gt;"No"),COUNTIFS($C$7:C94,"&lt;&gt;",$H$7:H94,"&lt;&gt;No"),"")</f>
        <v/>
      </c>
      <c r="N94" s="67">
        <f>IF(AND(C94&lt;&gt;"",H94&lt;&gt;"No",G94="Yes"),COUNTIFS($C$7:C94,"&lt;&gt;",$H$7:H94,"&lt;&gt;No",$G$7:G94,"Yes"),"")</f>
        <v/>
      </c>
    </row>
    <row r="95">
      <c r="B95" s="69" t="n"/>
      <c r="C95" s="62" t="n"/>
      <c r="D95" s="62" t="n"/>
      <c r="E95" s="62" t="n"/>
      <c r="F95" s="62" t="n"/>
      <c r="G95" s="62" t="n"/>
      <c r="H95" s="62" t="n"/>
      <c r="I95" s="64" t="n"/>
      <c r="J95" s="62" t="n"/>
      <c r="K95" s="65">
        <f>IF(C95="","",IFERROR(INDEX(calc_Bal,MATCH(C95,calc_Name,0))*IF(E95="Credit",-1,1),0))</f>
        <v/>
      </c>
      <c r="L95" s="66">
        <f>IF(AND(C95="",B95="",D95=""),"",IF(C95="","⛔ Enter an account name",IF(COUNTIF(coa_Name,C95)&gt;1,"⛔ Duplicate account name",IF(ISNA(MATCH(D95,at_Type,0)),"⛔ Select an account type",IF(AND(E95&lt;&gt;"Debit",E95&lt;&gt;"Credit"),"⛔ Normal balance must be Debit or Credit",IF(ISNA(MATCH(F95,lstCF,0)),"⚠ Select a cash flow section",IF(AND(B95&lt;&gt;"",COUNTIF(coa_Code,B95)&gt;1),"⚠ Duplicate account code",IF(AND(N(I95)&lt;&gt;0,INDEX(at_Stmt,MATCH(D95,at_Type,0))="PL"),"⚠ Opening balance on a profit &amp; loss account","✓ OK"))))))))</f>
        <v/>
      </c>
      <c r="M95" s="67">
        <f>IF(AND(C95&lt;&gt;"",H95&lt;&gt;"No"),COUNTIFS($C$7:C95,"&lt;&gt;",$H$7:H95,"&lt;&gt;No"),"")</f>
        <v/>
      </c>
      <c r="N95" s="67">
        <f>IF(AND(C95&lt;&gt;"",H95&lt;&gt;"No",G95="Yes"),COUNTIFS($C$7:C95,"&lt;&gt;",$H$7:H95,"&lt;&gt;No",$G$7:G95,"Yes"),"")</f>
        <v/>
      </c>
    </row>
    <row r="96">
      <c r="B96" s="69" t="n"/>
      <c r="C96" s="62" t="n"/>
      <c r="D96" s="62" t="n"/>
      <c r="E96" s="62" t="n"/>
      <c r="F96" s="62" t="n"/>
      <c r="G96" s="62" t="n"/>
      <c r="H96" s="62" t="n"/>
      <c r="I96" s="64" t="n"/>
      <c r="J96" s="62" t="n"/>
      <c r="K96" s="65">
        <f>IF(C96="","",IFERROR(INDEX(calc_Bal,MATCH(C96,calc_Name,0))*IF(E96="Credit",-1,1),0))</f>
        <v/>
      </c>
      <c r="L96" s="66">
        <f>IF(AND(C96="",B96="",D96=""),"",IF(C96="","⛔ Enter an account name",IF(COUNTIF(coa_Name,C96)&gt;1,"⛔ Duplicate account name",IF(ISNA(MATCH(D96,at_Type,0)),"⛔ Select an account type",IF(AND(E96&lt;&gt;"Debit",E96&lt;&gt;"Credit"),"⛔ Normal balance must be Debit or Credit",IF(ISNA(MATCH(F96,lstCF,0)),"⚠ Select a cash flow section",IF(AND(B96&lt;&gt;"",COUNTIF(coa_Code,B96)&gt;1),"⚠ Duplicate account code",IF(AND(N(I96)&lt;&gt;0,INDEX(at_Stmt,MATCH(D96,at_Type,0))="PL"),"⚠ Opening balance on a profit &amp; loss account","✓ OK"))))))))</f>
        <v/>
      </c>
      <c r="M96" s="67">
        <f>IF(AND(C96&lt;&gt;"",H96&lt;&gt;"No"),COUNTIFS($C$7:C96,"&lt;&gt;",$H$7:H96,"&lt;&gt;No"),"")</f>
        <v/>
      </c>
      <c r="N96" s="67">
        <f>IF(AND(C96&lt;&gt;"",H96&lt;&gt;"No",G96="Yes"),COUNTIFS($C$7:C96,"&lt;&gt;",$H$7:H96,"&lt;&gt;No",$G$7:G96,"Yes"),"")</f>
        <v/>
      </c>
    </row>
    <row r="97">
      <c r="B97" s="69" t="n"/>
      <c r="C97" s="62" t="n"/>
      <c r="D97" s="62" t="n"/>
      <c r="E97" s="62" t="n"/>
      <c r="F97" s="62" t="n"/>
      <c r="G97" s="62" t="n"/>
      <c r="H97" s="62" t="n"/>
      <c r="I97" s="64" t="n"/>
      <c r="J97" s="62" t="n"/>
      <c r="K97" s="65">
        <f>IF(C97="","",IFERROR(INDEX(calc_Bal,MATCH(C97,calc_Name,0))*IF(E97="Credit",-1,1),0))</f>
        <v/>
      </c>
      <c r="L97" s="66">
        <f>IF(AND(C97="",B97="",D97=""),"",IF(C97="","⛔ Enter an account name",IF(COUNTIF(coa_Name,C97)&gt;1,"⛔ Duplicate account name",IF(ISNA(MATCH(D97,at_Type,0)),"⛔ Select an account type",IF(AND(E97&lt;&gt;"Debit",E97&lt;&gt;"Credit"),"⛔ Normal balance must be Debit or Credit",IF(ISNA(MATCH(F97,lstCF,0)),"⚠ Select a cash flow section",IF(AND(B97&lt;&gt;"",COUNTIF(coa_Code,B97)&gt;1),"⚠ Duplicate account code",IF(AND(N(I97)&lt;&gt;0,INDEX(at_Stmt,MATCH(D97,at_Type,0))="PL"),"⚠ Opening balance on a profit &amp; loss account","✓ OK"))))))))</f>
        <v/>
      </c>
      <c r="M97" s="67">
        <f>IF(AND(C97&lt;&gt;"",H97&lt;&gt;"No"),COUNTIFS($C$7:C97,"&lt;&gt;",$H$7:H97,"&lt;&gt;No"),"")</f>
        <v/>
      </c>
      <c r="N97" s="67">
        <f>IF(AND(C97&lt;&gt;"",H97&lt;&gt;"No",G97="Yes"),COUNTIFS($C$7:C97,"&lt;&gt;",$H$7:H97,"&lt;&gt;No",$G$7:G97,"Yes"),"")</f>
        <v/>
      </c>
    </row>
    <row r="98">
      <c r="B98" s="69" t="n"/>
      <c r="C98" s="62" t="n"/>
      <c r="D98" s="62" t="n"/>
      <c r="E98" s="62" t="n"/>
      <c r="F98" s="62" t="n"/>
      <c r="G98" s="62" t="n"/>
      <c r="H98" s="62" t="n"/>
      <c r="I98" s="64" t="n"/>
      <c r="J98" s="62" t="n"/>
      <c r="K98" s="65">
        <f>IF(C98="","",IFERROR(INDEX(calc_Bal,MATCH(C98,calc_Name,0))*IF(E98="Credit",-1,1),0))</f>
        <v/>
      </c>
      <c r="L98" s="66">
        <f>IF(AND(C98="",B98="",D98=""),"",IF(C98="","⛔ Enter an account name",IF(COUNTIF(coa_Name,C98)&gt;1,"⛔ Duplicate account name",IF(ISNA(MATCH(D98,at_Type,0)),"⛔ Select an account type",IF(AND(E98&lt;&gt;"Debit",E98&lt;&gt;"Credit"),"⛔ Normal balance must be Debit or Credit",IF(ISNA(MATCH(F98,lstCF,0)),"⚠ Select a cash flow section",IF(AND(B98&lt;&gt;"",COUNTIF(coa_Code,B98)&gt;1),"⚠ Duplicate account code",IF(AND(N(I98)&lt;&gt;0,INDEX(at_Stmt,MATCH(D98,at_Type,0))="PL"),"⚠ Opening balance on a profit &amp; loss account","✓ OK"))))))))</f>
        <v/>
      </c>
      <c r="M98" s="67">
        <f>IF(AND(C98&lt;&gt;"",H98&lt;&gt;"No"),COUNTIFS($C$7:C98,"&lt;&gt;",$H$7:H98,"&lt;&gt;No"),"")</f>
        <v/>
      </c>
      <c r="N98" s="67">
        <f>IF(AND(C98&lt;&gt;"",H98&lt;&gt;"No",G98="Yes"),COUNTIFS($C$7:C98,"&lt;&gt;",$H$7:H98,"&lt;&gt;No",$G$7:G98,"Yes"),"")</f>
        <v/>
      </c>
    </row>
    <row r="99">
      <c r="B99" s="69" t="n"/>
      <c r="C99" s="62" t="n"/>
      <c r="D99" s="62" t="n"/>
      <c r="E99" s="62" t="n"/>
      <c r="F99" s="62" t="n"/>
      <c r="G99" s="62" t="n"/>
      <c r="H99" s="62" t="n"/>
      <c r="I99" s="64" t="n"/>
      <c r="J99" s="62" t="n"/>
      <c r="K99" s="65">
        <f>IF(C99="","",IFERROR(INDEX(calc_Bal,MATCH(C99,calc_Name,0))*IF(E99="Credit",-1,1),0))</f>
        <v/>
      </c>
      <c r="L99" s="66">
        <f>IF(AND(C99="",B99="",D99=""),"",IF(C99="","⛔ Enter an account name",IF(COUNTIF(coa_Name,C99)&gt;1,"⛔ Duplicate account name",IF(ISNA(MATCH(D99,at_Type,0)),"⛔ Select an account type",IF(AND(E99&lt;&gt;"Debit",E99&lt;&gt;"Credit"),"⛔ Normal balance must be Debit or Credit",IF(ISNA(MATCH(F99,lstCF,0)),"⚠ Select a cash flow section",IF(AND(B99&lt;&gt;"",COUNTIF(coa_Code,B99)&gt;1),"⚠ Duplicate account code",IF(AND(N(I99)&lt;&gt;0,INDEX(at_Stmt,MATCH(D99,at_Type,0))="PL"),"⚠ Opening balance on a profit &amp; loss account","✓ OK"))))))))</f>
        <v/>
      </c>
      <c r="M99" s="67">
        <f>IF(AND(C99&lt;&gt;"",H99&lt;&gt;"No"),COUNTIFS($C$7:C99,"&lt;&gt;",$H$7:H99,"&lt;&gt;No"),"")</f>
        <v/>
      </c>
      <c r="N99" s="67">
        <f>IF(AND(C99&lt;&gt;"",H99&lt;&gt;"No",G99="Yes"),COUNTIFS($C$7:C99,"&lt;&gt;",$H$7:H99,"&lt;&gt;No",$G$7:G99,"Yes"),"")</f>
        <v/>
      </c>
    </row>
    <row r="100">
      <c r="B100" s="69" t="n"/>
      <c r="C100" s="62" t="n"/>
      <c r="D100" s="62" t="n"/>
      <c r="E100" s="62" t="n"/>
      <c r="F100" s="62" t="n"/>
      <c r="G100" s="62" t="n"/>
      <c r="H100" s="62" t="n"/>
      <c r="I100" s="64" t="n"/>
      <c r="J100" s="62" t="n"/>
      <c r="K100" s="65">
        <f>IF(C100="","",IFERROR(INDEX(calc_Bal,MATCH(C100,calc_Name,0))*IF(E100="Credit",-1,1),0))</f>
        <v/>
      </c>
      <c r="L100" s="66">
        <f>IF(AND(C100="",B100="",D100=""),"",IF(C100="","⛔ Enter an account name",IF(COUNTIF(coa_Name,C100)&gt;1,"⛔ Duplicate account name",IF(ISNA(MATCH(D100,at_Type,0)),"⛔ Select an account type",IF(AND(E100&lt;&gt;"Debit",E100&lt;&gt;"Credit"),"⛔ Normal balance must be Debit or Credit",IF(ISNA(MATCH(F100,lstCF,0)),"⚠ Select a cash flow section",IF(AND(B100&lt;&gt;"",COUNTIF(coa_Code,B100)&gt;1),"⚠ Duplicate account code",IF(AND(N(I100)&lt;&gt;0,INDEX(at_Stmt,MATCH(D100,at_Type,0))="PL"),"⚠ Opening balance on a profit &amp; loss account","✓ OK"))))))))</f>
        <v/>
      </c>
      <c r="M100" s="67">
        <f>IF(AND(C100&lt;&gt;"",H100&lt;&gt;"No"),COUNTIFS($C$7:C100,"&lt;&gt;",$H$7:H100,"&lt;&gt;No"),"")</f>
        <v/>
      </c>
      <c r="N100" s="67">
        <f>IF(AND(C100&lt;&gt;"",H100&lt;&gt;"No",G100="Yes"),COUNTIFS($C$7:C100,"&lt;&gt;",$H$7:H100,"&lt;&gt;No",$G$7:G100,"Yes"),"")</f>
        <v/>
      </c>
    </row>
    <row r="101">
      <c r="B101" s="69" t="n"/>
      <c r="C101" s="62" t="n"/>
      <c r="D101" s="62" t="n"/>
      <c r="E101" s="62" t="n"/>
      <c r="F101" s="62" t="n"/>
      <c r="G101" s="62" t="n"/>
      <c r="H101" s="62" t="n"/>
      <c r="I101" s="64" t="n"/>
      <c r="J101" s="62" t="n"/>
      <c r="K101" s="65">
        <f>IF(C101="","",IFERROR(INDEX(calc_Bal,MATCH(C101,calc_Name,0))*IF(E101="Credit",-1,1),0))</f>
        <v/>
      </c>
      <c r="L101" s="66">
        <f>IF(AND(C101="",B101="",D101=""),"",IF(C101="","⛔ Enter an account name",IF(COUNTIF(coa_Name,C101)&gt;1,"⛔ Duplicate account name",IF(ISNA(MATCH(D101,at_Type,0)),"⛔ Select an account type",IF(AND(E101&lt;&gt;"Debit",E101&lt;&gt;"Credit"),"⛔ Normal balance must be Debit or Credit",IF(ISNA(MATCH(F101,lstCF,0)),"⚠ Select a cash flow section",IF(AND(B101&lt;&gt;"",COUNTIF(coa_Code,B101)&gt;1),"⚠ Duplicate account code",IF(AND(N(I101)&lt;&gt;0,INDEX(at_Stmt,MATCH(D101,at_Type,0))="PL"),"⚠ Opening balance on a profit &amp; loss account","✓ OK"))))))))</f>
        <v/>
      </c>
      <c r="M101" s="67">
        <f>IF(AND(C101&lt;&gt;"",H101&lt;&gt;"No"),COUNTIFS($C$7:C101,"&lt;&gt;",$H$7:H101,"&lt;&gt;No"),"")</f>
        <v/>
      </c>
      <c r="N101" s="67">
        <f>IF(AND(C101&lt;&gt;"",H101&lt;&gt;"No",G101="Yes"),COUNTIFS($C$7:C101,"&lt;&gt;",$H$7:H101,"&lt;&gt;No",$G$7:G101,"Yes"),"")</f>
        <v/>
      </c>
    </row>
    <row r="102">
      <c r="B102" s="69" t="n"/>
      <c r="C102" s="62" t="n"/>
      <c r="D102" s="62" t="n"/>
      <c r="E102" s="62" t="n"/>
      <c r="F102" s="62" t="n"/>
      <c r="G102" s="62" t="n"/>
      <c r="H102" s="62" t="n"/>
      <c r="I102" s="64" t="n"/>
      <c r="J102" s="62" t="n"/>
      <c r="K102" s="65">
        <f>IF(C102="","",IFERROR(INDEX(calc_Bal,MATCH(C102,calc_Name,0))*IF(E102="Credit",-1,1),0))</f>
        <v/>
      </c>
      <c r="L102" s="66">
        <f>IF(AND(C102="",B102="",D102=""),"",IF(C102="","⛔ Enter an account name",IF(COUNTIF(coa_Name,C102)&gt;1,"⛔ Duplicate account name",IF(ISNA(MATCH(D102,at_Type,0)),"⛔ Select an account type",IF(AND(E102&lt;&gt;"Debit",E102&lt;&gt;"Credit"),"⛔ Normal balance must be Debit or Credit",IF(ISNA(MATCH(F102,lstCF,0)),"⚠ Select a cash flow section",IF(AND(B102&lt;&gt;"",COUNTIF(coa_Code,B102)&gt;1),"⚠ Duplicate account code",IF(AND(N(I102)&lt;&gt;0,INDEX(at_Stmt,MATCH(D102,at_Type,0))="PL"),"⚠ Opening balance on a profit &amp; loss account","✓ OK"))))))))</f>
        <v/>
      </c>
      <c r="M102" s="67">
        <f>IF(AND(C102&lt;&gt;"",H102&lt;&gt;"No"),COUNTIFS($C$7:C102,"&lt;&gt;",$H$7:H102,"&lt;&gt;No"),"")</f>
        <v/>
      </c>
      <c r="N102" s="67">
        <f>IF(AND(C102&lt;&gt;"",H102&lt;&gt;"No",G102="Yes"),COUNTIFS($C$7:C102,"&lt;&gt;",$H$7:H102,"&lt;&gt;No",$G$7:G102,"Yes"),"")</f>
        <v/>
      </c>
    </row>
    <row r="103">
      <c r="B103" s="69" t="n"/>
      <c r="C103" s="62" t="n"/>
      <c r="D103" s="62" t="n"/>
      <c r="E103" s="62" t="n"/>
      <c r="F103" s="62" t="n"/>
      <c r="G103" s="62" t="n"/>
      <c r="H103" s="62" t="n"/>
      <c r="I103" s="64" t="n"/>
      <c r="J103" s="62" t="n"/>
      <c r="K103" s="65">
        <f>IF(C103="","",IFERROR(INDEX(calc_Bal,MATCH(C103,calc_Name,0))*IF(E103="Credit",-1,1),0))</f>
        <v/>
      </c>
      <c r="L103" s="66">
        <f>IF(AND(C103="",B103="",D103=""),"",IF(C103="","⛔ Enter an account name",IF(COUNTIF(coa_Name,C103)&gt;1,"⛔ Duplicate account name",IF(ISNA(MATCH(D103,at_Type,0)),"⛔ Select an account type",IF(AND(E103&lt;&gt;"Debit",E103&lt;&gt;"Credit"),"⛔ Normal balance must be Debit or Credit",IF(ISNA(MATCH(F103,lstCF,0)),"⚠ Select a cash flow section",IF(AND(B103&lt;&gt;"",COUNTIF(coa_Code,B103)&gt;1),"⚠ Duplicate account code",IF(AND(N(I103)&lt;&gt;0,INDEX(at_Stmt,MATCH(D103,at_Type,0))="PL"),"⚠ Opening balance on a profit &amp; loss account","✓ OK"))))))))</f>
        <v/>
      </c>
      <c r="M103" s="67">
        <f>IF(AND(C103&lt;&gt;"",H103&lt;&gt;"No"),COUNTIFS($C$7:C103,"&lt;&gt;",$H$7:H103,"&lt;&gt;No"),"")</f>
        <v/>
      </c>
      <c r="N103" s="67">
        <f>IF(AND(C103&lt;&gt;"",H103&lt;&gt;"No",G103="Yes"),COUNTIFS($C$7:C103,"&lt;&gt;",$H$7:H103,"&lt;&gt;No",$G$7:G103,"Yes"),"")</f>
        <v/>
      </c>
    </row>
    <row r="104">
      <c r="B104" s="69" t="n"/>
      <c r="C104" s="62" t="n"/>
      <c r="D104" s="62" t="n"/>
      <c r="E104" s="62" t="n"/>
      <c r="F104" s="62" t="n"/>
      <c r="G104" s="62" t="n"/>
      <c r="H104" s="62" t="n"/>
      <c r="I104" s="64" t="n"/>
      <c r="J104" s="62" t="n"/>
      <c r="K104" s="65">
        <f>IF(C104="","",IFERROR(INDEX(calc_Bal,MATCH(C104,calc_Name,0))*IF(E104="Credit",-1,1),0))</f>
        <v/>
      </c>
      <c r="L104" s="66">
        <f>IF(AND(C104="",B104="",D104=""),"",IF(C104="","⛔ Enter an account name",IF(COUNTIF(coa_Name,C104)&gt;1,"⛔ Duplicate account name",IF(ISNA(MATCH(D104,at_Type,0)),"⛔ Select an account type",IF(AND(E104&lt;&gt;"Debit",E104&lt;&gt;"Credit"),"⛔ Normal balance must be Debit or Credit",IF(ISNA(MATCH(F104,lstCF,0)),"⚠ Select a cash flow section",IF(AND(B104&lt;&gt;"",COUNTIF(coa_Code,B104)&gt;1),"⚠ Duplicate account code",IF(AND(N(I104)&lt;&gt;0,INDEX(at_Stmt,MATCH(D104,at_Type,0))="PL"),"⚠ Opening balance on a profit &amp; loss account","✓ OK"))))))))</f>
        <v/>
      </c>
      <c r="M104" s="67">
        <f>IF(AND(C104&lt;&gt;"",H104&lt;&gt;"No"),COUNTIFS($C$7:C104,"&lt;&gt;",$H$7:H104,"&lt;&gt;No"),"")</f>
        <v/>
      </c>
      <c r="N104" s="67">
        <f>IF(AND(C104&lt;&gt;"",H104&lt;&gt;"No",G104="Yes"),COUNTIFS($C$7:C104,"&lt;&gt;",$H$7:H104,"&lt;&gt;No",$G$7:G104,"Yes"),"")</f>
        <v/>
      </c>
    </row>
    <row r="105">
      <c r="B105" s="69" t="n"/>
      <c r="C105" s="62" t="n"/>
      <c r="D105" s="62" t="n"/>
      <c r="E105" s="62" t="n"/>
      <c r="F105" s="62" t="n"/>
      <c r="G105" s="62" t="n"/>
      <c r="H105" s="62" t="n"/>
      <c r="I105" s="64" t="n"/>
      <c r="J105" s="62" t="n"/>
      <c r="K105" s="65">
        <f>IF(C105="","",IFERROR(INDEX(calc_Bal,MATCH(C105,calc_Name,0))*IF(E105="Credit",-1,1),0))</f>
        <v/>
      </c>
      <c r="L105" s="66">
        <f>IF(AND(C105="",B105="",D105=""),"",IF(C105="","⛔ Enter an account name",IF(COUNTIF(coa_Name,C105)&gt;1,"⛔ Duplicate account name",IF(ISNA(MATCH(D105,at_Type,0)),"⛔ Select an account type",IF(AND(E105&lt;&gt;"Debit",E105&lt;&gt;"Credit"),"⛔ Normal balance must be Debit or Credit",IF(ISNA(MATCH(F105,lstCF,0)),"⚠ Select a cash flow section",IF(AND(B105&lt;&gt;"",COUNTIF(coa_Code,B105)&gt;1),"⚠ Duplicate account code",IF(AND(N(I105)&lt;&gt;0,INDEX(at_Stmt,MATCH(D105,at_Type,0))="PL"),"⚠ Opening balance on a profit &amp; loss account","✓ OK"))))))))</f>
        <v/>
      </c>
      <c r="M105" s="67">
        <f>IF(AND(C105&lt;&gt;"",H105&lt;&gt;"No"),COUNTIFS($C$7:C105,"&lt;&gt;",$H$7:H105,"&lt;&gt;No"),"")</f>
        <v/>
      </c>
      <c r="N105" s="67">
        <f>IF(AND(C105&lt;&gt;"",H105&lt;&gt;"No",G105="Yes"),COUNTIFS($C$7:C105,"&lt;&gt;",$H$7:H105,"&lt;&gt;No",$G$7:G105,"Yes"),"")</f>
        <v/>
      </c>
    </row>
    <row r="106">
      <c r="B106" s="69" t="n"/>
      <c r="C106" s="62" t="n"/>
      <c r="D106" s="62" t="n"/>
      <c r="E106" s="62" t="n"/>
      <c r="F106" s="62" t="n"/>
      <c r="G106" s="62" t="n"/>
      <c r="H106" s="62" t="n"/>
      <c r="I106" s="64" t="n"/>
      <c r="J106" s="62" t="n"/>
      <c r="K106" s="65">
        <f>IF(C106="","",IFERROR(INDEX(calc_Bal,MATCH(C106,calc_Name,0))*IF(E106="Credit",-1,1),0))</f>
        <v/>
      </c>
      <c r="L106" s="66">
        <f>IF(AND(C106="",B106="",D106=""),"",IF(C106="","⛔ Enter an account name",IF(COUNTIF(coa_Name,C106)&gt;1,"⛔ Duplicate account name",IF(ISNA(MATCH(D106,at_Type,0)),"⛔ Select an account type",IF(AND(E106&lt;&gt;"Debit",E106&lt;&gt;"Credit"),"⛔ Normal balance must be Debit or Credit",IF(ISNA(MATCH(F106,lstCF,0)),"⚠ Select a cash flow section",IF(AND(B106&lt;&gt;"",COUNTIF(coa_Code,B106)&gt;1),"⚠ Duplicate account code",IF(AND(N(I106)&lt;&gt;0,INDEX(at_Stmt,MATCH(D106,at_Type,0))="PL"),"⚠ Opening balance on a profit &amp; loss account","✓ OK"))))))))</f>
        <v/>
      </c>
      <c r="M106" s="67">
        <f>IF(AND(C106&lt;&gt;"",H106&lt;&gt;"No"),COUNTIFS($C$7:C106,"&lt;&gt;",$H$7:H106,"&lt;&gt;No"),"")</f>
        <v/>
      </c>
      <c r="N106" s="67">
        <f>IF(AND(C106&lt;&gt;"",H106&lt;&gt;"No",G106="Yes"),COUNTIFS($C$7:C106,"&lt;&gt;",$H$7:H106,"&lt;&gt;No",$G$7:G106,"Yes"),"")</f>
        <v/>
      </c>
    </row>
    <row r="107">
      <c r="B107" s="69" t="n"/>
      <c r="C107" s="62" t="n"/>
      <c r="D107" s="62" t="n"/>
      <c r="E107" s="62" t="n"/>
      <c r="F107" s="62" t="n"/>
      <c r="G107" s="62" t="n"/>
      <c r="H107" s="62" t="n"/>
      <c r="I107" s="64" t="n"/>
      <c r="J107" s="62" t="n"/>
      <c r="K107" s="65">
        <f>IF(C107="","",IFERROR(INDEX(calc_Bal,MATCH(C107,calc_Name,0))*IF(E107="Credit",-1,1),0))</f>
        <v/>
      </c>
      <c r="L107" s="66">
        <f>IF(AND(C107="",B107="",D107=""),"",IF(C107="","⛔ Enter an account name",IF(COUNTIF(coa_Name,C107)&gt;1,"⛔ Duplicate account name",IF(ISNA(MATCH(D107,at_Type,0)),"⛔ Select an account type",IF(AND(E107&lt;&gt;"Debit",E107&lt;&gt;"Credit"),"⛔ Normal balance must be Debit or Credit",IF(ISNA(MATCH(F107,lstCF,0)),"⚠ Select a cash flow section",IF(AND(B107&lt;&gt;"",COUNTIF(coa_Code,B107)&gt;1),"⚠ Duplicate account code",IF(AND(N(I107)&lt;&gt;0,INDEX(at_Stmt,MATCH(D107,at_Type,0))="PL"),"⚠ Opening balance on a profit &amp; loss account","✓ OK"))))))))</f>
        <v/>
      </c>
      <c r="M107" s="67">
        <f>IF(AND(C107&lt;&gt;"",H107&lt;&gt;"No"),COUNTIFS($C$7:C107,"&lt;&gt;",$H$7:H107,"&lt;&gt;No"),"")</f>
        <v/>
      </c>
      <c r="N107" s="67">
        <f>IF(AND(C107&lt;&gt;"",H107&lt;&gt;"No",G107="Yes"),COUNTIFS($C$7:C107,"&lt;&gt;",$H$7:H107,"&lt;&gt;No",$G$7:G107,"Yes"),"")</f>
        <v/>
      </c>
    </row>
    <row r="108">
      <c r="B108" s="69" t="n"/>
      <c r="C108" s="62" t="n"/>
      <c r="D108" s="62" t="n"/>
      <c r="E108" s="62" t="n"/>
      <c r="F108" s="62" t="n"/>
      <c r="G108" s="62" t="n"/>
      <c r="H108" s="62" t="n"/>
      <c r="I108" s="64" t="n"/>
      <c r="J108" s="62" t="n"/>
      <c r="K108" s="65">
        <f>IF(C108="","",IFERROR(INDEX(calc_Bal,MATCH(C108,calc_Name,0))*IF(E108="Credit",-1,1),0))</f>
        <v/>
      </c>
      <c r="L108" s="66">
        <f>IF(AND(C108="",B108="",D108=""),"",IF(C108="","⛔ Enter an account name",IF(COUNTIF(coa_Name,C108)&gt;1,"⛔ Duplicate account name",IF(ISNA(MATCH(D108,at_Type,0)),"⛔ Select an account type",IF(AND(E108&lt;&gt;"Debit",E108&lt;&gt;"Credit"),"⛔ Normal balance must be Debit or Credit",IF(ISNA(MATCH(F108,lstCF,0)),"⚠ Select a cash flow section",IF(AND(B108&lt;&gt;"",COUNTIF(coa_Code,B108)&gt;1),"⚠ Duplicate account code",IF(AND(N(I108)&lt;&gt;0,INDEX(at_Stmt,MATCH(D108,at_Type,0))="PL"),"⚠ Opening balance on a profit &amp; loss account","✓ OK"))))))))</f>
        <v/>
      </c>
      <c r="M108" s="67">
        <f>IF(AND(C108&lt;&gt;"",H108&lt;&gt;"No"),COUNTIFS($C$7:C108,"&lt;&gt;",$H$7:H108,"&lt;&gt;No"),"")</f>
        <v/>
      </c>
      <c r="N108" s="67">
        <f>IF(AND(C108&lt;&gt;"",H108&lt;&gt;"No",G108="Yes"),COUNTIFS($C$7:C108,"&lt;&gt;",$H$7:H108,"&lt;&gt;No",$G$7:G108,"Yes"),"")</f>
        <v/>
      </c>
    </row>
    <row r="109">
      <c r="B109" s="69" t="n"/>
      <c r="C109" s="62" t="n"/>
      <c r="D109" s="62" t="n"/>
      <c r="E109" s="62" t="n"/>
      <c r="F109" s="62" t="n"/>
      <c r="G109" s="62" t="n"/>
      <c r="H109" s="62" t="n"/>
      <c r="I109" s="64" t="n"/>
      <c r="J109" s="62" t="n"/>
      <c r="K109" s="65">
        <f>IF(C109="","",IFERROR(INDEX(calc_Bal,MATCH(C109,calc_Name,0))*IF(E109="Credit",-1,1),0))</f>
        <v/>
      </c>
      <c r="L109" s="66">
        <f>IF(AND(C109="",B109="",D109=""),"",IF(C109="","⛔ Enter an account name",IF(COUNTIF(coa_Name,C109)&gt;1,"⛔ Duplicate account name",IF(ISNA(MATCH(D109,at_Type,0)),"⛔ Select an account type",IF(AND(E109&lt;&gt;"Debit",E109&lt;&gt;"Credit"),"⛔ Normal balance must be Debit or Credit",IF(ISNA(MATCH(F109,lstCF,0)),"⚠ Select a cash flow section",IF(AND(B109&lt;&gt;"",COUNTIF(coa_Code,B109)&gt;1),"⚠ Duplicate account code",IF(AND(N(I109)&lt;&gt;0,INDEX(at_Stmt,MATCH(D109,at_Type,0))="PL"),"⚠ Opening balance on a profit &amp; loss account","✓ OK"))))))))</f>
        <v/>
      </c>
      <c r="M109" s="67">
        <f>IF(AND(C109&lt;&gt;"",H109&lt;&gt;"No"),COUNTIFS($C$7:C109,"&lt;&gt;",$H$7:H109,"&lt;&gt;No"),"")</f>
        <v/>
      </c>
      <c r="N109" s="67">
        <f>IF(AND(C109&lt;&gt;"",H109&lt;&gt;"No",G109="Yes"),COUNTIFS($C$7:C109,"&lt;&gt;",$H$7:H109,"&lt;&gt;No",$G$7:G109,"Yes"),"")</f>
        <v/>
      </c>
    </row>
    <row r="110">
      <c r="B110" s="69" t="n"/>
      <c r="C110" s="62" t="n"/>
      <c r="D110" s="62" t="n"/>
      <c r="E110" s="62" t="n"/>
      <c r="F110" s="62" t="n"/>
      <c r="G110" s="62" t="n"/>
      <c r="H110" s="62" t="n"/>
      <c r="I110" s="64" t="n"/>
      <c r="J110" s="62" t="n"/>
      <c r="K110" s="65">
        <f>IF(C110="","",IFERROR(INDEX(calc_Bal,MATCH(C110,calc_Name,0))*IF(E110="Credit",-1,1),0))</f>
        <v/>
      </c>
      <c r="L110" s="66">
        <f>IF(AND(C110="",B110="",D110=""),"",IF(C110="","⛔ Enter an account name",IF(COUNTIF(coa_Name,C110)&gt;1,"⛔ Duplicate account name",IF(ISNA(MATCH(D110,at_Type,0)),"⛔ Select an account type",IF(AND(E110&lt;&gt;"Debit",E110&lt;&gt;"Credit"),"⛔ Normal balance must be Debit or Credit",IF(ISNA(MATCH(F110,lstCF,0)),"⚠ Select a cash flow section",IF(AND(B110&lt;&gt;"",COUNTIF(coa_Code,B110)&gt;1),"⚠ Duplicate account code",IF(AND(N(I110)&lt;&gt;0,INDEX(at_Stmt,MATCH(D110,at_Type,0))="PL"),"⚠ Opening balance on a profit &amp; loss account","✓ OK"))))))))</f>
        <v/>
      </c>
      <c r="M110" s="67">
        <f>IF(AND(C110&lt;&gt;"",H110&lt;&gt;"No"),COUNTIFS($C$7:C110,"&lt;&gt;",$H$7:H110,"&lt;&gt;No"),"")</f>
        <v/>
      </c>
      <c r="N110" s="67">
        <f>IF(AND(C110&lt;&gt;"",H110&lt;&gt;"No",G110="Yes"),COUNTIFS($C$7:C110,"&lt;&gt;",$H$7:H110,"&lt;&gt;No",$G$7:G110,"Yes"),"")</f>
        <v/>
      </c>
    </row>
    <row r="111">
      <c r="B111" s="69" t="n"/>
      <c r="C111" s="62" t="n"/>
      <c r="D111" s="62" t="n"/>
      <c r="E111" s="62" t="n"/>
      <c r="F111" s="62" t="n"/>
      <c r="G111" s="62" t="n"/>
      <c r="H111" s="62" t="n"/>
      <c r="I111" s="64" t="n"/>
      <c r="J111" s="62" t="n"/>
      <c r="K111" s="65">
        <f>IF(C111="","",IFERROR(INDEX(calc_Bal,MATCH(C111,calc_Name,0))*IF(E111="Credit",-1,1),0))</f>
        <v/>
      </c>
      <c r="L111" s="66">
        <f>IF(AND(C111="",B111="",D111=""),"",IF(C111="","⛔ Enter an account name",IF(COUNTIF(coa_Name,C111)&gt;1,"⛔ Duplicate account name",IF(ISNA(MATCH(D111,at_Type,0)),"⛔ Select an account type",IF(AND(E111&lt;&gt;"Debit",E111&lt;&gt;"Credit"),"⛔ Normal balance must be Debit or Credit",IF(ISNA(MATCH(F111,lstCF,0)),"⚠ Select a cash flow section",IF(AND(B111&lt;&gt;"",COUNTIF(coa_Code,B111)&gt;1),"⚠ Duplicate account code",IF(AND(N(I111)&lt;&gt;0,INDEX(at_Stmt,MATCH(D111,at_Type,0))="PL"),"⚠ Opening balance on a profit &amp; loss account","✓ OK"))))))))</f>
        <v/>
      </c>
      <c r="M111" s="67">
        <f>IF(AND(C111&lt;&gt;"",H111&lt;&gt;"No"),COUNTIFS($C$7:C111,"&lt;&gt;",$H$7:H111,"&lt;&gt;No"),"")</f>
        <v/>
      </c>
      <c r="N111" s="67">
        <f>IF(AND(C111&lt;&gt;"",H111&lt;&gt;"No",G111="Yes"),COUNTIFS($C$7:C111,"&lt;&gt;",$H$7:H111,"&lt;&gt;No",$G$7:G111,"Yes"),"")</f>
        <v/>
      </c>
    </row>
    <row r="112">
      <c r="B112" s="69" t="n"/>
      <c r="C112" s="62" t="n"/>
      <c r="D112" s="62" t="n"/>
      <c r="E112" s="62" t="n"/>
      <c r="F112" s="62" t="n"/>
      <c r="G112" s="62" t="n"/>
      <c r="H112" s="62" t="n"/>
      <c r="I112" s="64" t="n"/>
      <c r="J112" s="62" t="n"/>
      <c r="K112" s="65">
        <f>IF(C112="","",IFERROR(INDEX(calc_Bal,MATCH(C112,calc_Name,0))*IF(E112="Credit",-1,1),0))</f>
        <v/>
      </c>
      <c r="L112" s="66">
        <f>IF(AND(C112="",B112="",D112=""),"",IF(C112="","⛔ Enter an account name",IF(COUNTIF(coa_Name,C112)&gt;1,"⛔ Duplicate account name",IF(ISNA(MATCH(D112,at_Type,0)),"⛔ Select an account type",IF(AND(E112&lt;&gt;"Debit",E112&lt;&gt;"Credit"),"⛔ Normal balance must be Debit or Credit",IF(ISNA(MATCH(F112,lstCF,0)),"⚠ Select a cash flow section",IF(AND(B112&lt;&gt;"",COUNTIF(coa_Code,B112)&gt;1),"⚠ Duplicate account code",IF(AND(N(I112)&lt;&gt;0,INDEX(at_Stmt,MATCH(D112,at_Type,0))="PL"),"⚠ Opening balance on a profit &amp; loss account","✓ OK"))))))))</f>
        <v/>
      </c>
      <c r="M112" s="67">
        <f>IF(AND(C112&lt;&gt;"",H112&lt;&gt;"No"),COUNTIFS($C$7:C112,"&lt;&gt;",$H$7:H112,"&lt;&gt;No"),"")</f>
        <v/>
      </c>
      <c r="N112" s="67">
        <f>IF(AND(C112&lt;&gt;"",H112&lt;&gt;"No",G112="Yes"),COUNTIFS($C$7:C112,"&lt;&gt;",$H$7:H112,"&lt;&gt;No",$G$7:G112,"Yes"),"")</f>
        <v/>
      </c>
    </row>
    <row r="113">
      <c r="B113" s="69" t="n"/>
      <c r="C113" s="62" t="n"/>
      <c r="D113" s="62" t="n"/>
      <c r="E113" s="62" t="n"/>
      <c r="F113" s="62" t="n"/>
      <c r="G113" s="62" t="n"/>
      <c r="H113" s="62" t="n"/>
      <c r="I113" s="64" t="n"/>
      <c r="J113" s="62" t="n"/>
      <c r="K113" s="65">
        <f>IF(C113="","",IFERROR(INDEX(calc_Bal,MATCH(C113,calc_Name,0))*IF(E113="Credit",-1,1),0))</f>
        <v/>
      </c>
      <c r="L113" s="66">
        <f>IF(AND(C113="",B113="",D113=""),"",IF(C113="","⛔ Enter an account name",IF(COUNTIF(coa_Name,C113)&gt;1,"⛔ Duplicate account name",IF(ISNA(MATCH(D113,at_Type,0)),"⛔ Select an account type",IF(AND(E113&lt;&gt;"Debit",E113&lt;&gt;"Credit"),"⛔ Normal balance must be Debit or Credit",IF(ISNA(MATCH(F113,lstCF,0)),"⚠ Select a cash flow section",IF(AND(B113&lt;&gt;"",COUNTIF(coa_Code,B113)&gt;1),"⚠ Duplicate account code",IF(AND(N(I113)&lt;&gt;0,INDEX(at_Stmt,MATCH(D113,at_Type,0))="PL"),"⚠ Opening balance on a profit &amp; loss account","✓ OK"))))))))</f>
        <v/>
      </c>
      <c r="M113" s="67">
        <f>IF(AND(C113&lt;&gt;"",H113&lt;&gt;"No"),COUNTIFS($C$7:C113,"&lt;&gt;",$H$7:H113,"&lt;&gt;No"),"")</f>
        <v/>
      </c>
      <c r="N113" s="67">
        <f>IF(AND(C113&lt;&gt;"",H113&lt;&gt;"No",G113="Yes"),COUNTIFS($C$7:C113,"&lt;&gt;",$H$7:H113,"&lt;&gt;No",$G$7:G113,"Yes"),"")</f>
        <v/>
      </c>
    </row>
    <row r="114">
      <c r="B114" s="69" t="n"/>
      <c r="C114" s="62" t="n"/>
      <c r="D114" s="62" t="n"/>
      <c r="E114" s="62" t="n"/>
      <c r="F114" s="62" t="n"/>
      <c r="G114" s="62" t="n"/>
      <c r="H114" s="62" t="n"/>
      <c r="I114" s="64" t="n"/>
      <c r="J114" s="62" t="n"/>
      <c r="K114" s="65">
        <f>IF(C114="","",IFERROR(INDEX(calc_Bal,MATCH(C114,calc_Name,0))*IF(E114="Credit",-1,1),0))</f>
        <v/>
      </c>
      <c r="L114" s="66">
        <f>IF(AND(C114="",B114="",D114=""),"",IF(C114="","⛔ Enter an account name",IF(COUNTIF(coa_Name,C114)&gt;1,"⛔ Duplicate account name",IF(ISNA(MATCH(D114,at_Type,0)),"⛔ Select an account type",IF(AND(E114&lt;&gt;"Debit",E114&lt;&gt;"Credit"),"⛔ Normal balance must be Debit or Credit",IF(ISNA(MATCH(F114,lstCF,0)),"⚠ Select a cash flow section",IF(AND(B114&lt;&gt;"",COUNTIF(coa_Code,B114)&gt;1),"⚠ Duplicate account code",IF(AND(N(I114)&lt;&gt;0,INDEX(at_Stmt,MATCH(D114,at_Type,0))="PL"),"⚠ Opening balance on a profit &amp; loss account","✓ OK"))))))))</f>
        <v/>
      </c>
      <c r="M114" s="67">
        <f>IF(AND(C114&lt;&gt;"",H114&lt;&gt;"No"),COUNTIFS($C$7:C114,"&lt;&gt;",$H$7:H114,"&lt;&gt;No"),"")</f>
        <v/>
      </c>
      <c r="N114" s="67">
        <f>IF(AND(C114&lt;&gt;"",H114&lt;&gt;"No",G114="Yes"),COUNTIFS($C$7:C114,"&lt;&gt;",$H$7:H114,"&lt;&gt;No",$G$7:G114,"Yes"),"")</f>
        <v/>
      </c>
    </row>
    <row r="115">
      <c r="B115" s="69" t="n"/>
      <c r="C115" s="62" t="n"/>
      <c r="D115" s="62" t="n"/>
      <c r="E115" s="62" t="n"/>
      <c r="F115" s="62" t="n"/>
      <c r="G115" s="62" t="n"/>
      <c r="H115" s="62" t="n"/>
      <c r="I115" s="64" t="n"/>
      <c r="J115" s="62" t="n"/>
      <c r="K115" s="65">
        <f>IF(C115="","",IFERROR(INDEX(calc_Bal,MATCH(C115,calc_Name,0))*IF(E115="Credit",-1,1),0))</f>
        <v/>
      </c>
      <c r="L115" s="66">
        <f>IF(AND(C115="",B115="",D115=""),"",IF(C115="","⛔ Enter an account name",IF(COUNTIF(coa_Name,C115)&gt;1,"⛔ Duplicate account name",IF(ISNA(MATCH(D115,at_Type,0)),"⛔ Select an account type",IF(AND(E115&lt;&gt;"Debit",E115&lt;&gt;"Credit"),"⛔ Normal balance must be Debit or Credit",IF(ISNA(MATCH(F115,lstCF,0)),"⚠ Select a cash flow section",IF(AND(B115&lt;&gt;"",COUNTIF(coa_Code,B115)&gt;1),"⚠ Duplicate account code",IF(AND(N(I115)&lt;&gt;0,INDEX(at_Stmt,MATCH(D115,at_Type,0))="PL"),"⚠ Opening balance on a profit &amp; loss account","✓ OK"))))))))</f>
        <v/>
      </c>
      <c r="M115" s="67">
        <f>IF(AND(C115&lt;&gt;"",H115&lt;&gt;"No"),COUNTIFS($C$7:C115,"&lt;&gt;",$H$7:H115,"&lt;&gt;No"),"")</f>
        <v/>
      </c>
      <c r="N115" s="67">
        <f>IF(AND(C115&lt;&gt;"",H115&lt;&gt;"No",G115="Yes"),COUNTIFS($C$7:C115,"&lt;&gt;",$H$7:H115,"&lt;&gt;No",$G$7:G115,"Yes"),"")</f>
        <v/>
      </c>
    </row>
    <row r="116">
      <c r="B116" s="69" t="n"/>
      <c r="C116" s="62" t="n"/>
      <c r="D116" s="62" t="n"/>
      <c r="E116" s="62" t="n"/>
      <c r="F116" s="62" t="n"/>
      <c r="G116" s="62" t="n"/>
      <c r="H116" s="62" t="n"/>
      <c r="I116" s="64" t="n"/>
      <c r="J116" s="62" t="n"/>
      <c r="K116" s="65">
        <f>IF(C116="","",IFERROR(INDEX(calc_Bal,MATCH(C116,calc_Name,0))*IF(E116="Credit",-1,1),0))</f>
        <v/>
      </c>
      <c r="L116" s="66">
        <f>IF(AND(C116="",B116="",D116=""),"",IF(C116="","⛔ Enter an account name",IF(COUNTIF(coa_Name,C116)&gt;1,"⛔ Duplicate account name",IF(ISNA(MATCH(D116,at_Type,0)),"⛔ Select an account type",IF(AND(E116&lt;&gt;"Debit",E116&lt;&gt;"Credit"),"⛔ Normal balance must be Debit or Credit",IF(ISNA(MATCH(F116,lstCF,0)),"⚠ Select a cash flow section",IF(AND(B116&lt;&gt;"",COUNTIF(coa_Code,B116)&gt;1),"⚠ Duplicate account code",IF(AND(N(I116)&lt;&gt;0,INDEX(at_Stmt,MATCH(D116,at_Type,0))="PL"),"⚠ Opening balance on a profit &amp; loss account","✓ OK"))))))))</f>
        <v/>
      </c>
      <c r="M116" s="67">
        <f>IF(AND(C116&lt;&gt;"",H116&lt;&gt;"No"),COUNTIFS($C$7:C116,"&lt;&gt;",$H$7:H116,"&lt;&gt;No"),"")</f>
        <v/>
      </c>
      <c r="N116" s="67">
        <f>IF(AND(C116&lt;&gt;"",H116&lt;&gt;"No",G116="Yes"),COUNTIFS($C$7:C116,"&lt;&gt;",$H$7:H116,"&lt;&gt;No",$G$7:G116,"Yes"),"")</f>
        <v/>
      </c>
    </row>
    <row r="117">
      <c r="B117" s="69" t="n"/>
      <c r="C117" s="62" t="n"/>
      <c r="D117" s="62" t="n"/>
      <c r="E117" s="62" t="n"/>
      <c r="F117" s="62" t="n"/>
      <c r="G117" s="62" t="n"/>
      <c r="H117" s="62" t="n"/>
      <c r="I117" s="64" t="n"/>
      <c r="J117" s="62" t="n"/>
      <c r="K117" s="65">
        <f>IF(C117="","",IFERROR(INDEX(calc_Bal,MATCH(C117,calc_Name,0))*IF(E117="Credit",-1,1),0))</f>
        <v/>
      </c>
      <c r="L117" s="66">
        <f>IF(AND(C117="",B117="",D117=""),"",IF(C117="","⛔ Enter an account name",IF(COUNTIF(coa_Name,C117)&gt;1,"⛔ Duplicate account name",IF(ISNA(MATCH(D117,at_Type,0)),"⛔ Select an account type",IF(AND(E117&lt;&gt;"Debit",E117&lt;&gt;"Credit"),"⛔ Normal balance must be Debit or Credit",IF(ISNA(MATCH(F117,lstCF,0)),"⚠ Select a cash flow section",IF(AND(B117&lt;&gt;"",COUNTIF(coa_Code,B117)&gt;1),"⚠ Duplicate account code",IF(AND(N(I117)&lt;&gt;0,INDEX(at_Stmt,MATCH(D117,at_Type,0))="PL"),"⚠ Opening balance on a profit &amp; loss account","✓ OK"))))))))</f>
        <v/>
      </c>
      <c r="M117" s="67">
        <f>IF(AND(C117&lt;&gt;"",H117&lt;&gt;"No"),COUNTIFS($C$7:C117,"&lt;&gt;",$H$7:H117,"&lt;&gt;No"),"")</f>
        <v/>
      </c>
      <c r="N117" s="67">
        <f>IF(AND(C117&lt;&gt;"",H117&lt;&gt;"No",G117="Yes"),COUNTIFS($C$7:C117,"&lt;&gt;",$H$7:H117,"&lt;&gt;No",$G$7:G117,"Yes"),"")</f>
        <v/>
      </c>
    </row>
    <row r="118">
      <c r="B118" s="69" t="n"/>
      <c r="C118" s="62" t="n"/>
      <c r="D118" s="62" t="n"/>
      <c r="E118" s="62" t="n"/>
      <c r="F118" s="62" t="n"/>
      <c r="G118" s="62" t="n"/>
      <c r="H118" s="62" t="n"/>
      <c r="I118" s="64" t="n"/>
      <c r="J118" s="62" t="n"/>
      <c r="K118" s="65">
        <f>IF(C118="","",IFERROR(INDEX(calc_Bal,MATCH(C118,calc_Name,0))*IF(E118="Credit",-1,1),0))</f>
        <v/>
      </c>
      <c r="L118" s="66">
        <f>IF(AND(C118="",B118="",D118=""),"",IF(C118="","⛔ Enter an account name",IF(COUNTIF(coa_Name,C118)&gt;1,"⛔ Duplicate account name",IF(ISNA(MATCH(D118,at_Type,0)),"⛔ Select an account type",IF(AND(E118&lt;&gt;"Debit",E118&lt;&gt;"Credit"),"⛔ Normal balance must be Debit or Credit",IF(ISNA(MATCH(F118,lstCF,0)),"⚠ Select a cash flow section",IF(AND(B118&lt;&gt;"",COUNTIF(coa_Code,B118)&gt;1),"⚠ Duplicate account code",IF(AND(N(I118)&lt;&gt;0,INDEX(at_Stmt,MATCH(D118,at_Type,0))="PL"),"⚠ Opening balance on a profit &amp; loss account","✓ OK"))))))))</f>
        <v/>
      </c>
      <c r="M118" s="67">
        <f>IF(AND(C118&lt;&gt;"",H118&lt;&gt;"No"),COUNTIFS($C$7:C118,"&lt;&gt;",$H$7:H118,"&lt;&gt;No"),"")</f>
        <v/>
      </c>
      <c r="N118" s="67">
        <f>IF(AND(C118&lt;&gt;"",H118&lt;&gt;"No",G118="Yes"),COUNTIFS($C$7:C118,"&lt;&gt;",$H$7:H118,"&lt;&gt;No",$G$7:G118,"Yes"),"")</f>
        <v/>
      </c>
    </row>
    <row r="119">
      <c r="B119" s="69" t="n"/>
      <c r="C119" s="62" t="n"/>
      <c r="D119" s="62" t="n"/>
      <c r="E119" s="62" t="n"/>
      <c r="F119" s="62" t="n"/>
      <c r="G119" s="62" t="n"/>
      <c r="H119" s="62" t="n"/>
      <c r="I119" s="64" t="n"/>
      <c r="J119" s="62" t="n"/>
      <c r="K119" s="65">
        <f>IF(C119="","",IFERROR(INDEX(calc_Bal,MATCH(C119,calc_Name,0))*IF(E119="Credit",-1,1),0))</f>
        <v/>
      </c>
      <c r="L119" s="66">
        <f>IF(AND(C119="",B119="",D119=""),"",IF(C119="","⛔ Enter an account name",IF(COUNTIF(coa_Name,C119)&gt;1,"⛔ Duplicate account name",IF(ISNA(MATCH(D119,at_Type,0)),"⛔ Select an account type",IF(AND(E119&lt;&gt;"Debit",E119&lt;&gt;"Credit"),"⛔ Normal balance must be Debit or Credit",IF(ISNA(MATCH(F119,lstCF,0)),"⚠ Select a cash flow section",IF(AND(B119&lt;&gt;"",COUNTIF(coa_Code,B119)&gt;1),"⚠ Duplicate account code",IF(AND(N(I119)&lt;&gt;0,INDEX(at_Stmt,MATCH(D119,at_Type,0))="PL"),"⚠ Opening balance on a profit &amp; loss account","✓ OK"))))))))</f>
        <v/>
      </c>
      <c r="M119" s="67">
        <f>IF(AND(C119&lt;&gt;"",H119&lt;&gt;"No"),COUNTIFS($C$7:C119,"&lt;&gt;",$H$7:H119,"&lt;&gt;No"),"")</f>
        <v/>
      </c>
      <c r="N119" s="67">
        <f>IF(AND(C119&lt;&gt;"",H119&lt;&gt;"No",G119="Yes"),COUNTIFS($C$7:C119,"&lt;&gt;",$H$7:H119,"&lt;&gt;No",$G$7:G119,"Yes"),"")</f>
        <v/>
      </c>
    </row>
    <row r="120">
      <c r="B120" s="69" t="n"/>
      <c r="C120" s="62" t="n"/>
      <c r="D120" s="62" t="n"/>
      <c r="E120" s="62" t="n"/>
      <c r="F120" s="62" t="n"/>
      <c r="G120" s="62" t="n"/>
      <c r="H120" s="62" t="n"/>
      <c r="I120" s="64" t="n"/>
      <c r="J120" s="62" t="n"/>
      <c r="K120" s="65">
        <f>IF(C120="","",IFERROR(INDEX(calc_Bal,MATCH(C120,calc_Name,0))*IF(E120="Credit",-1,1),0))</f>
        <v/>
      </c>
      <c r="L120" s="66">
        <f>IF(AND(C120="",B120="",D120=""),"",IF(C120="","⛔ Enter an account name",IF(COUNTIF(coa_Name,C120)&gt;1,"⛔ Duplicate account name",IF(ISNA(MATCH(D120,at_Type,0)),"⛔ Select an account type",IF(AND(E120&lt;&gt;"Debit",E120&lt;&gt;"Credit"),"⛔ Normal balance must be Debit or Credit",IF(ISNA(MATCH(F120,lstCF,0)),"⚠ Select a cash flow section",IF(AND(B120&lt;&gt;"",COUNTIF(coa_Code,B120)&gt;1),"⚠ Duplicate account code",IF(AND(N(I120)&lt;&gt;0,INDEX(at_Stmt,MATCH(D120,at_Type,0))="PL"),"⚠ Opening balance on a profit &amp; loss account","✓ OK"))))))))</f>
        <v/>
      </c>
      <c r="M120" s="67">
        <f>IF(AND(C120&lt;&gt;"",H120&lt;&gt;"No"),COUNTIFS($C$7:C120,"&lt;&gt;",$H$7:H120,"&lt;&gt;No"),"")</f>
        <v/>
      </c>
      <c r="N120" s="67">
        <f>IF(AND(C120&lt;&gt;"",H120&lt;&gt;"No",G120="Yes"),COUNTIFS($C$7:C120,"&lt;&gt;",$H$7:H120,"&lt;&gt;No",$G$7:G120,"Yes"),"")</f>
        <v/>
      </c>
    </row>
    <row r="121">
      <c r="B121" s="69" t="n"/>
      <c r="C121" s="62" t="n"/>
      <c r="D121" s="62" t="n"/>
      <c r="E121" s="62" t="n"/>
      <c r="F121" s="62" t="n"/>
      <c r="G121" s="62" t="n"/>
      <c r="H121" s="62" t="n"/>
      <c r="I121" s="64" t="n"/>
      <c r="J121" s="62" t="n"/>
      <c r="K121" s="65">
        <f>IF(C121="","",IFERROR(INDEX(calc_Bal,MATCH(C121,calc_Name,0))*IF(E121="Credit",-1,1),0))</f>
        <v/>
      </c>
      <c r="L121" s="66">
        <f>IF(AND(C121="",B121="",D121=""),"",IF(C121="","⛔ Enter an account name",IF(COUNTIF(coa_Name,C121)&gt;1,"⛔ Duplicate account name",IF(ISNA(MATCH(D121,at_Type,0)),"⛔ Select an account type",IF(AND(E121&lt;&gt;"Debit",E121&lt;&gt;"Credit"),"⛔ Normal balance must be Debit or Credit",IF(ISNA(MATCH(F121,lstCF,0)),"⚠ Select a cash flow section",IF(AND(B121&lt;&gt;"",COUNTIF(coa_Code,B121)&gt;1),"⚠ Duplicate account code",IF(AND(N(I121)&lt;&gt;0,INDEX(at_Stmt,MATCH(D121,at_Type,0))="PL"),"⚠ Opening balance on a profit &amp; loss account","✓ OK"))))))))</f>
        <v/>
      </c>
      <c r="M121" s="67">
        <f>IF(AND(C121&lt;&gt;"",H121&lt;&gt;"No"),COUNTIFS($C$7:C121,"&lt;&gt;",$H$7:H121,"&lt;&gt;No"),"")</f>
        <v/>
      </c>
      <c r="N121" s="67">
        <f>IF(AND(C121&lt;&gt;"",H121&lt;&gt;"No",G121="Yes"),COUNTIFS($C$7:C121,"&lt;&gt;",$H$7:H121,"&lt;&gt;No",$G$7:G121,"Yes"),"")</f>
        <v/>
      </c>
    </row>
    <row r="122">
      <c r="B122" s="69" t="n"/>
      <c r="C122" s="62" t="n"/>
      <c r="D122" s="62" t="n"/>
      <c r="E122" s="62" t="n"/>
      <c r="F122" s="62" t="n"/>
      <c r="G122" s="62" t="n"/>
      <c r="H122" s="62" t="n"/>
      <c r="I122" s="64" t="n"/>
      <c r="J122" s="62" t="n"/>
      <c r="K122" s="65">
        <f>IF(C122="","",IFERROR(INDEX(calc_Bal,MATCH(C122,calc_Name,0))*IF(E122="Credit",-1,1),0))</f>
        <v/>
      </c>
      <c r="L122" s="66">
        <f>IF(AND(C122="",B122="",D122=""),"",IF(C122="","⛔ Enter an account name",IF(COUNTIF(coa_Name,C122)&gt;1,"⛔ Duplicate account name",IF(ISNA(MATCH(D122,at_Type,0)),"⛔ Select an account type",IF(AND(E122&lt;&gt;"Debit",E122&lt;&gt;"Credit"),"⛔ Normal balance must be Debit or Credit",IF(ISNA(MATCH(F122,lstCF,0)),"⚠ Select a cash flow section",IF(AND(B122&lt;&gt;"",COUNTIF(coa_Code,B122)&gt;1),"⚠ Duplicate account code",IF(AND(N(I122)&lt;&gt;0,INDEX(at_Stmt,MATCH(D122,at_Type,0))="PL"),"⚠ Opening balance on a profit &amp; loss account","✓ OK"))))))))</f>
        <v/>
      </c>
      <c r="M122" s="67">
        <f>IF(AND(C122&lt;&gt;"",H122&lt;&gt;"No"),COUNTIFS($C$7:C122,"&lt;&gt;",$H$7:H122,"&lt;&gt;No"),"")</f>
        <v/>
      </c>
      <c r="N122" s="67">
        <f>IF(AND(C122&lt;&gt;"",H122&lt;&gt;"No",G122="Yes"),COUNTIFS($C$7:C122,"&lt;&gt;",$H$7:H122,"&lt;&gt;No",$G$7:G122,"Yes"),"")</f>
        <v/>
      </c>
    </row>
    <row r="123">
      <c r="B123" s="69" t="n"/>
      <c r="C123" s="62" t="n"/>
      <c r="D123" s="62" t="n"/>
      <c r="E123" s="62" t="n"/>
      <c r="F123" s="62" t="n"/>
      <c r="G123" s="62" t="n"/>
      <c r="H123" s="62" t="n"/>
      <c r="I123" s="64" t="n"/>
      <c r="J123" s="62" t="n"/>
      <c r="K123" s="65">
        <f>IF(C123="","",IFERROR(INDEX(calc_Bal,MATCH(C123,calc_Name,0))*IF(E123="Credit",-1,1),0))</f>
        <v/>
      </c>
      <c r="L123" s="66">
        <f>IF(AND(C123="",B123="",D123=""),"",IF(C123="","⛔ Enter an account name",IF(COUNTIF(coa_Name,C123)&gt;1,"⛔ Duplicate account name",IF(ISNA(MATCH(D123,at_Type,0)),"⛔ Select an account type",IF(AND(E123&lt;&gt;"Debit",E123&lt;&gt;"Credit"),"⛔ Normal balance must be Debit or Credit",IF(ISNA(MATCH(F123,lstCF,0)),"⚠ Select a cash flow section",IF(AND(B123&lt;&gt;"",COUNTIF(coa_Code,B123)&gt;1),"⚠ Duplicate account code",IF(AND(N(I123)&lt;&gt;0,INDEX(at_Stmt,MATCH(D123,at_Type,0))="PL"),"⚠ Opening balance on a profit &amp; loss account","✓ OK"))))))))</f>
        <v/>
      </c>
      <c r="M123" s="67">
        <f>IF(AND(C123&lt;&gt;"",H123&lt;&gt;"No"),COUNTIFS($C$7:C123,"&lt;&gt;",$H$7:H123,"&lt;&gt;No"),"")</f>
        <v/>
      </c>
      <c r="N123" s="67">
        <f>IF(AND(C123&lt;&gt;"",H123&lt;&gt;"No",G123="Yes"),COUNTIFS($C$7:C123,"&lt;&gt;",$H$7:H123,"&lt;&gt;No",$G$7:G123,"Yes"),"")</f>
        <v/>
      </c>
    </row>
    <row r="124">
      <c r="B124" s="69" t="n"/>
      <c r="C124" s="62" t="n"/>
      <c r="D124" s="62" t="n"/>
      <c r="E124" s="62" t="n"/>
      <c r="F124" s="62" t="n"/>
      <c r="G124" s="62" t="n"/>
      <c r="H124" s="62" t="n"/>
      <c r="I124" s="64" t="n"/>
      <c r="J124" s="62" t="n"/>
      <c r="K124" s="65">
        <f>IF(C124="","",IFERROR(INDEX(calc_Bal,MATCH(C124,calc_Name,0))*IF(E124="Credit",-1,1),0))</f>
        <v/>
      </c>
      <c r="L124" s="66">
        <f>IF(AND(C124="",B124="",D124=""),"",IF(C124="","⛔ Enter an account name",IF(COUNTIF(coa_Name,C124)&gt;1,"⛔ Duplicate account name",IF(ISNA(MATCH(D124,at_Type,0)),"⛔ Select an account type",IF(AND(E124&lt;&gt;"Debit",E124&lt;&gt;"Credit"),"⛔ Normal balance must be Debit or Credit",IF(ISNA(MATCH(F124,lstCF,0)),"⚠ Select a cash flow section",IF(AND(B124&lt;&gt;"",COUNTIF(coa_Code,B124)&gt;1),"⚠ Duplicate account code",IF(AND(N(I124)&lt;&gt;0,INDEX(at_Stmt,MATCH(D124,at_Type,0))="PL"),"⚠ Opening balance on a profit &amp; loss account","✓ OK"))))))))</f>
        <v/>
      </c>
      <c r="M124" s="67">
        <f>IF(AND(C124&lt;&gt;"",H124&lt;&gt;"No"),COUNTIFS($C$7:C124,"&lt;&gt;",$H$7:H124,"&lt;&gt;No"),"")</f>
        <v/>
      </c>
      <c r="N124" s="67">
        <f>IF(AND(C124&lt;&gt;"",H124&lt;&gt;"No",G124="Yes"),COUNTIFS($C$7:C124,"&lt;&gt;",$H$7:H124,"&lt;&gt;No",$G$7:G124,"Yes"),"")</f>
        <v/>
      </c>
    </row>
    <row r="125">
      <c r="B125" s="69" t="n"/>
      <c r="C125" s="62" t="n"/>
      <c r="D125" s="62" t="n"/>
      <c r="E125" s="62" t="n"/>
      <c r="F125" s="62" t="n"/>
      <c r="G125" s="62" t="n"/>
      <c r="H125" s="62" t="n"/>
      <c r="I125" s="64" t="n"/>
      <c r="J125" s="62" t="n"/>
      <c r="K125" s="65">
        <f>IF(C125="","",IFERROR(INDEX(calc_Bal,MATCH(C125,calc_Name,0))*IF(E125="Credit",-1,1),0))</f>
        <v/>
      </c>
      <c r="L125" s="66">
        <f>IF(AND(C125="",B125="",D125=""),"",IF(C125="","⛔ Enter an account name",IF(COUNTIF(coa_Name,C125)&gt;1,"⛔ Duplicate account name",IF(ISNA(MATCH(D125,at_Type,0)),"⛔ Select an account type",IF(AND(E125&lt;&gt;"Debit",E125&lt;&gt;"Credit"),"⛔ Normal balance must be Debit or Credit",IF(ISNA(MATCH(F125,lstCF,0)),"⚠ Select a cash flow section",IF(AND(B125&lt;&gt;"",COUNTIF(coa_Code,B125)&gt;1),"⚠ Duplicate account code",IF(AND(N(I125)&lt;&gt;0,INDEX(at_Stmt,MATCH(D125,at_Type,0))="PL"),"⚠ Opening balance on a profit &amp; loss account","✓ OK"))))))))</f>
        <v/>
      </c>
      <c r="M125" s="67">
        <f>IF(AND(C125&lt;&gt;"",H125&lt;&gt;"No"),COUNTIFS($C$7:C125,"&lt;&gt;",$H$7:H125,"&lt;&gt;No"),"")</f>
        <v/>
      </c>
      <c r="N125" s="67">
        <f>IF(AND(C125&lt;&gt;"",H125&lt;&gt;"No",G125="Yes"),COUNTIFS($C$7:C125,"&lt;&gt;",$H$7:H125,"&lt;&gt;No",$G$7:G125,"Yes"),"")</f>
        <v/>
      </c>
    </row>
    <row r="126">
      <c r="B126" s="69" t="n"/>
      <c r="C126" s="62" t="n"/>
      <c r="D126" s="62" t="n"/>
      <c r="E126" s="62" t="n"/>
      <c r="F126" s="62" t="n"/>
      <c r="G126" s="62" t="n"/>
      <c r="H126" s="62" t="n"/>
      <c r="I126" s="64" t="n"/>
      <c r="J126" s="62" t="n"/>
      <c r="K126" s="65">
        <f>IF(C126="","",IFERROR(INDEX(calc_Bal,MATCH(C126,calc_Name,0))*IF(E126="Credit",-1,1),0))</f>
        <v/>
      </c>
      <c r="L126" s="66">
        <f>IF(AND(C126="",B126="",D126=""),"",IF(C126="","⛔ Enter an account name",IF(COUNTIF(coa_Name,C126)&gt;1,"⛔ Duplicate account name",IF(ISNA(MATCH(D126,at_Type,0)),"⛔ Select an account type",IF(AND(E126&lt;&gt;"Debit",E126&lt;&gt;"Credit"),"⛔ Normal balance must be Debit or Credit",IF(ISNA(MATCH(F126,lstCF,0)),"⚠ Select a cash flow section",IF(AND(B126&lt;&gt;"",COUNTIF(coa_Code,B126)&gt;1),"⚠ Duplicate account code",IF(AND(N(I126)&lt;&gt;0,INDEX(at_Stmt,MATCH(D126,at_Type,0))="PL"),"⚠ Opening balance on a profit &amp; loss account","✓ OK"))))))))</f>
        <v/>
      </c>
      <c r="M126" s="67">
        <f>IF(AND(C126&lt;&gt;"",H126&lt;&gt;"No"),COUNTIFS($C$7:C126,"&lt;&gt;",$H$7:H126,"&lt;&gt;No"),"")</f>
        <v/>
      </c>
      <c r="N126" s="67">
        <f>IF(AND(C126&lt;&gt;"",H126&lt;&gt;"No",G126="Yes"),COUNTIFS($C$7:C126,"&lt;&gt;",$H$7:H126,"&lt;&gt;No",$G$7:G126,"Yes"),"")</f>
        <v/>
      </c>
    </row>
    <row r="127">
      <c r="B127" s="69" t="n"/>
      <c r="C127" s="62" t="n"/>
      <c r="D127" s="62" t="n"/>
      <c r="E127" s="62" t="n"/>
      <c r="F127" s="62" t="n"/>
      <c r="G127" s="62" t="n"/>
      <c r="H127" s="62" t="n"/>
      <c r="I127" s="64" t="n"/>
      <c r="J127" s="62" t="n"/>
      <c r="K127" s="65">
        <f>IF(C127="","",IFERROR(INDEX(calc_Bal,MATCH(C127,calc_Name,0))*IF(E127="Credit",-1,1),0))</f>
        <v/>
      </c>
      <c r="L127" s="66">
        <f>IF(AND(C127="",B127="",D127=""),"",IF(C127="","⛔ Enter an account name",IF(COUNTIF(coa_Name,C127)&gt;1,"⛔ Duplicate account name",IF(ISNA(MATCH(D127,at_Type,0)),"⛔ Select an account type",IF(AND(E127&lt;&gt;"Debit",E127&lt;&gt;"Credit"),"⛔ Normal balance must be Debit or Credit",IF(ISNA(MATCH(F127,lstCF,0)),"⚠ Select a cash flow section",IF(AND(B127&lt;&gt;"",COUNTIF(coa_Code,B127)&gt;1),"⚠ Duplicate account code",IF(AND(N(I127)&lt;&gt;0,INDEX(at_Stmt,MATCH(D127,at_Type,0))="PL"),"⚠ Opening balance on a profit &amp; loss account","✓ OK"))))))))</f>
        <v/>
      </c>
      <c r="M127" s="67">
        <f>IF(AND(C127&lt;&gt;"",H127&lt;&gt;"No"),COUNTIFS($C$7:C127,"&lt;&gt;",$H$7:H127,"&lt;&gt;No"),"")</f>
        <v/>
      </c>
      <c r="N127" s="67">
        <f>IF(AND(C127&lt;&gt;"",H127&lt;&gt;"No",G127="Yes"),COUNTIFS($C$7:C127,"&lt;&gt;",$H$7:H127,"&lt;&gt;No",$G$7:G127,"Yes"),"")</f>
        <v/>
      </c>
    </row>
    <row r="128">
      <c r="B128" s="69" t="n"/>
      <c r="C128" s="62" t="n"/>
      <c r="D128" s="62" t="n"/>
      <c r="E128" s="62" t="n"/>
      <c r="F128" s="62" t="n"/>
      <c r="G128" s="62" t="n"/>
      <c r="H128" s="62" t="n"/>
      <c r="I128" s="64" t="n"/>
      <c r="J128" s="62" t="n"/>
      <c r="K128" s="65">
        <f>IF(C128="","",IFERROR(INDEX(calc_Bal,MATCH(C128,calc_Name,0))*IF(E128="Credit",-1,1),0))</f>
        <v/>
      </c>
      <c r="L128" s="66">
        <f>IF(AND(C128="",B128="",D128=""),"",IF(C128="","⛔ Enter an account name",IF(COUNTIF(coa_Name,C128)&gt;1,"⛔ Duplicate account name",IF(ISNA(MATCH(D128,at_Type,0)),"⛔ Select an account type",IF(AND(E128&lt;&gt;"Debit",E128&lt;&gt;"Credit"),"⛔ Normal balance must be Debit or Credit",IF(ISNA(MATCH(F128,lstCF,0)),"⚠ Select a cash flow section",IF(AND(B128&lt;&gt;"",COUNTIF(coa_Code,B128)&gt;1),"⚠ Duplicate account code",IF(AND(N(I128)&lt;&gt;0,INDEX(at_Stmt,MATCH(D128,at_Type,0))="PL"),"⚠ Opening balance on a profit &amp; loss account","✓ OK"))))))))</f>
        <v/>
      </c>
      <c r="M128" s="67">
        <f>IF(AND(C128&lt;&gt;"",H128&lt;&gt;"No"),COUNTIFS($C$7:C128,"&lt;&gt;",$H$7:H128,"&lt;&gt;No"),"")</f>
        <v/>
      </c>
      <c r="N128" s="67">
        <f>IF(AND(C128&lt;&gt;"",H128&lt;&gt;"No",G128="Yes"),COUNTIFS($C$7:C128,"&lt;&gt;",$H$7:H128,"&lt;&gt;No",$G$7:G128,"Yes"),"")</f>
        <v/>
      </c>
    </row>
    <row r="129">
      <c r="B129" s="69" t="n"/>
      <c r="C129" s="62" t="n"/>
      <c r="D129" s="62" t="n"/>
      <c r="E129" s="62" t="n"/>
      <c r="F129" s="62" t="n"/>
      <c r="G129" s="62" t="n"/>
      <c r="H129" s="62" t="n"/>
      <c r="I129" s="64" t="n"/>
      <c r="J129" s="62" t="n"/>
      <c r="K129" s="65">
        <f>IF(C129="","",IFERROR(INDEX(calc_Bal,MATCH(C129,calc_Name,0))*IF(E129="Credit",-1,1),0))</f>
        <v/>
      </c>
      <c r="L129" s="66">
        <f>IF(AND(C129="",B129="",D129=""),"",IF(C129="","⛔ Enter an account name",IF(COUNTIF(coa_Name,C129)&gt;1,"⛔ Duplicate account name",IF(ISNA(MATCH(D129,at_Type,0)),"⛔ Select an account type",IF(AND(E129&lt;&gt;"Debit",E129&lt;&gt;"Credit"),"⛔ Normal balance must be Debit or Credit",IF(ISNA(MATCH(F129,lstCF,0)),"⚠ Select a cash flow section",IF(AND(B129&lt;&gt;"",COUNTIF(coa_Code,B129)&gt;1),"⚠ Duplicate account code",IF(AND(N(I129)&lt;&gt;0,INDEX(at_Stmt,MATCH(D129,at_Type,0))="PL"),"⚠ Opening balance on a profit &amp; loss account","✓ OK"))))))))</f>
        <v/>
      </c>
      <c r="M129" s="67">
        <f>IF(AND(C129&lt;&gt;"",H129&lt;&gt;"No"),COUNTIFS($C$7:C129,"&lt;&gt;",$H$7:H129,"&lt;&gt;No"),"")</f>
        <v/>
      </c>
      <c r="N129" s="67">
        <f>IF(AND(C129&lt;&gt;"",H129&lt;&gt;"No",G129="Yes"),COUNTIFS($C$7:C129,"&lt;&gt;",$H$7:H129,"&lt;&gt;No",$G$7:G129,"Yes"),"")</f>
        <v/>
      </c>
    </row>
    <row r="130">
      <c r="B130" s="69" t="n"/>
      <c r="C130" s="62" t="n"/>
      <c r="D130" s="62" t="n"/>
      <c r="E130" s="62" t="n"/>
      <c r="F130" s="62" t="n"/>
      <c r="G130" s="62" t="n"/>
      <c r="H130" s="62" t="n"/>
      <c r="I130" s="64" t="n"/>
      <c r="J130" s="62" t="n"/>
      <c r="K130" s="65">
        <f>IF(C130="","",IFERROR(INDEX(calc_Bal,MATCH(C130,calc_Name,0))*IF(E130="Credit",-1,1),0))</f>
        <v/>
      </c>
      <c r="L130" s="66">
        <f>IF(AND(C130="",B130="",D130=""),"",IF(C130="","⛔ Enter an account name",IF(COUNTIF(coa_Name,C130)&gt;1,"⛔ Duplicate account name",IF(ISNA(MATCH(D130,at_Type,0)),"⛔ Select an account type",IF(AND(E130&lt;&gt;"Debit",E130&lt;&gt;"Credit"),"⛔ Normal balance must be Debit or Credit",IF(ISNA(MATCH(F130,lstCF,0)),"⚠ Select a cash flow section",IF(AND(B130&lt;&gt;"",COUNTIF(coa_Code,B130)&gt;1),"⚠ Duplicate account code",IF(AND(N(I130)&lt;&gt;0,INDEX(at_Stmt,MATCH(D130,at_Type,0))="PL"),"⚠ Opening balance on a profit &amp; loss account","✓ OK"))))))))</f>
        <v/>
      </c>
      <c r="M130" s="67">
        <f>IF(AND(C130&lt;&gt;"",H130&lt;&gt;"No"),COUNTIFS($C$7:C130,"&lt;&gt;",$H$7:H130,"&lt;&gt;No"),"")</f>
        <v/>
      </c>
      <c r="N130" s="67">
        <f>IF(AND(C130&lt;&gt;"",H130&lt;&gt;"No",G130="Yes"),COUNTIFS($C$7:C130,"&lt;&gt;",$H$7:H130,"&lt;&gt;No",$G$7:G130,"Yes"),"")</f>
        <v/>
      </c>
    </row>
    <row r="131">
      <c r="B131" s="69" t="n"/>
      <c r="C131" s="62" t="n"/>
      <c r="D131" s="62" t="n"/>
      <c r="E131" s="62" t="n"/>
      <c r="F131" s="62" t="n"/>
      <c r="G131" s="62" t="n"/>
      <c r="H131" s="62" t="n"/>
      <c r="I131" s="64" t="n"/>
      <c r="J131" s="62" t="n"/>
      <c r="K131" s="65">
        <f>IF(C131="","",IFERROR(INDEX(calc_Bal,MATCH(C131,calc_Name,0))*IF(E131="Credit",-1,1),0))</f>
        <v/>
      </c>
      <c r="L131" s="66">
        <f>IF(AND(C131="",B131="",D131=""),"",IF(C131="","⛔ Enter an account name",IF(COUNTIF(coa_Name,C131)&gt;1,"⛔ Duplicate account name",IF(ISNA(MATCH(D131,at_Type,0)),"⛔ Select an account type",IF(AND(E131&lt;&gt;"Debit",E131&lt;&gt;"Credit"),"⛔ Normal balance must be Debit or Credit",IF(ISNA(MATCH(F131,lstCF,0)),"⚠ Select a cash flow section",IF(AND(B131&lt;&gt;"",COUNTIF(coa_Code,B131)&gt;1),"⚠ Duplicate account code",IF(AND(N(I131)&lt;&gt;0,INDEX(at_Stmt,MATCH(D131,at_Type,0))="PL"),"⚠ Opening balance on a profit &amp; loss account","✓ OK"))))))))</f>
        <v/>
      </c>
      <c r="M131" s="67">
        <f>IF(AND(C131&lt;&gt;"",H131&lt;&gt;"No"),COUNTIFS($C$7:C131,"&lt;&gt;",$H$7:H131,"&lt;&gt;No"),"")</f>
        <v/>
      </c>
      <c r="N131" s="67">
        <f>IF(AND(C131&lt;&gt;"",H131&lt;&gt;"No",G131="Yes"),COUNTIFS($C$7:C131,"&lt;&gt;",$H$7:H131,"&lt;&gt;No",$G$7:G131,"Yes"),"")</f>
        <v/>
      </c>
    </row>
    <row r="132">
      <c r="B132" s="69" t="n"/>
      <c r="C132" s="62" t="n"/>
      <c r="D132" s="62" t="n"/>
      <c r="E132" s="62" t="n"/>
      <c r="F132" s="62" t="n"/>
      <c r="G132" s="62" t="n"/>
      <c r="H132" s="62" t="n"/>
      <c r="I132" s="64" t="n"/>
      <c r="J132" s="62" t="n"/>
      <c r="K132" s="65">
        <f>IF(C132="","",IFERROR(INDEX(calc_Bal,MATCH(C132,calc_Name,0))*IF(E132="Credit",-1,1),0))</f>
        <v/>
      </c>
      <c r="L132" s="66">
        <f>IF(AND(C132="",B132="",D132=""),"",IF(C132="","⛔ Enter an account name",IF(COUNTIF(coa_Name,C132)&gt;1,"⛔ Duplicate account name",IF(ISNA(MATCH(D132,at_Type,0)),"⛔ Select an account type",IF(AND(E132&lt;&gt;"Debit",E132&lt;&gt;"Credit"),"⛔ Normal balance must be Debit or Credit",IF(ISNA(MATCH(F132,lstCF,0)),"⚠ Select a cash flow section",IF(AND(B132&lt;&gt;"",COUNTIF(coa_Code,B132)&gt;1),"⚠ Duplicate account code",IF(AND(N(I132)&lt;&gt;0,INDEX(at_Stmt,MATCH(D132,at_Type,0))="PL"),"⚠ Opening balance on a profit &amp; loss account","✓ OK"))))))))</f>
        <v/>
      </c>
      <c r="M132" s="67">
        <f>IF(AND(C132&lt;&gt;"",H132&lt;&gt;"No"),COUNTIFS($C$7:C132,"&lt;&gt;",$H$7:H132,"&lt;&gt;No"),"")</f>
        <v/>
      </c>
      <c r="N132" s="67">
        <f>IF(AND(C132&lt;&gt;"",H132&lt;&gt;"No",G132="Yes"),COUNTIFS($C$7:C132,"&lt;&gt;",$H$7:H132,"&lt;&gt;No",$G$7:G132,"Yes"),"")</f>
        <v/>
      </c>
    </row>
    <row r="133">
      <c r="B133" s="69" t="n"/>
      <c r="C133" s="62" t="n"/>
      <c r="D133" s="62" t="n"/>
      <c r="E133" s="62" t="n"/>
      <c r="F133" s="62" t="n"/>
      <c r="G133" s="62" t="n"/>
      <c r="H133" s="62" t="n"/>
      <c r="I133" s="64" t="n"/>
      <c r="J133" s="62" t="n"/>
      <c r="K133" s="65">
        <f>IF(C133="","",IFERROR(INDEX(calc_Bal,MATCH(C133,calc_Name,0))*IF(E133="Credit",-1,1),0))</f>
        <v/>
      </c>
      <c r="L133" s="66">
        <f>IF(AND(C133="",B133="",D133=""),"",IF(C133="","⛔ Enter an account name",IF(COUNTIF(coa_Name,C133)&gt;1,"⛔ Duplicate account name",IF(ISNA(MATCH(D133,at_Type,0)),"⛔ Select an account type",IF(AND(E133&lt;&gt;"Debit",E133&lt;&gt;"Credit"),"⛔ Normal balance must be Debit or Credit",IF(ISNA(MATCH(F133,lstCF,0)),"⚠ Select a cash flow section",IF(AND(B133&lt;&gt;"",COUNTIF(coa_Code,B133)&gt;1),"⚠ Duplicate account code",IF(AND(N(I133)&lt;&gt;0,INDEX(at_Stmt,MATCH(D133,at_Type,0))="PL"),"⚠ Opening balance on a profit &amp; loss account","✓ OK"))))))))</f>
        <v/>
      </c>
      <c r="M133" s="67">
        <f>IF(AND(C133&lt;&gt;"",H133&lt;&gt;"No"),COUNTIFS($C$7:C133,"&lt;&gt;",$H$7:H133,"&lt;&gt;No"),"")</f>
        <v/>
      </c>
      <c r="N133" s="67">
        <f>IF(AND(C133&lt;&gt;"",H133&lt;&gt;"No",G133="Yes"),COUNTIFS($C$7:C133,"&lt;&gt;",$H$7:H133,"&lt;&gt;No",$G$7:G133,"Yes"),"")</f>
        <v/>
      </c>
    </row>
    <row r="134">
      <c r="B134" s="69" t="n"/>
      <c r="C134" s="62" t="n"/>
      <c r="D134" s="62" t="n"/>
      <c r="E134" s="62" t="n"/>
      <c r="F134" s="62" t="n"/>
      <c r="G134" s="62" t="n"/>
      <c r="H134" s="62" t="n"/>
      <c r="I134" s="64" t="n"/>
      <c r="J134" s="62" t="n"/>
      <c r="K134" s="65">
        <f>IF(C134="","",IFERROR(INDEX(calc_Bal,MATCH(C134,calc_Name,0))*IF(E134="Credit",-1,1),0))</f>
        <v/>
      </c>
      <c r="L134" s="66">
        <f>IF(AND(C134="",B134="",D134=""),"",IF(C134="","⛔ Enter an account name",IF(COUNTIF(coa_Name,C134)&gt;1,"⛔ Duplicate account name",IF(ISNA(MATCH(D134,at_Type,0)),"⛔ Select an account type",IF(AND(E134&lt;&gt;"Debit",E134&lt;&gt;"Credit"),"⛔ Normal balance must be Debit or Credit",IF(ISNA(MATCH(F134,lstCF,0)),"⚠ Select a cash flow section",IF(AND(B134&lt;&gt;"",COUNTIF(coa_Code,B134)&gt;1),"⚠ Duplicate account code",IF(AND(N(I134)&lt;&gt;0,INDEX(at_Stmt,MATCH(D134,at_Type,0))="PL"),"⚠ Opening balance on a profit &amp; loss account","✓ OK"))))))))</f>
        <v/>
      </c>
      <c r="M134" s="67">
        <f>IF(AND(C134&lt;&gt;"",H134&lt;&gt;"No"),COUNTIFS($C$7:C134,"&lt;&gt;",$H$7:H134,"&lt;&gt;No"),"")</f>
        <v/>
      </c>
      <c r="N134" s="67">
        <f>IF(AND(C134&lt;&gt;"",H134&lt;&gt;"No",G134="Yes"),COUNTIFS($C$7:C134,"&lt;&gt;",$H$7:H134,"&lt;&gt;No",$G$7:G134,"Yes"),"")</f>
        <v/>
      </c>
    </row>
    <row r="135">
      <c r="B135" s="69" t="n"/>
      <c r="C135" s="62" t="n"/>
      <c r="D135" s="62" t="n"/>
      <c r="E135" s="62" t="n"/>
      <c r="F135" s="62" t="n"/>
      <c r="G135" s="62" t="n"/>
      <c r="H135" s="62" t="n"/>
      <c r="I135" s="64" t="n"/>
      <c r="J135" s="62" t="n"/>
      <c r="K135" s="65">
        <f>IF(C135="","",IFERROR(INDEX(calc_Bal,MATCH(C135,calc_Name,0))*IF(E135="Credit",-1,1),0))</f>
        <v/>
      </c>
      <c r="L135" s="66">
        <f>IF(AND(C135="",B135="",D135=""),"",IF(C135="","⛔ Enter an account name",IF(COUNTIF(coa_Name,C135)&gt;1,"⛔ Duplicate account name",IF(ISNA(MATCH(D135,at_Type,0)),"⛔ Select an account type",IF(AND(E135&lt;&gt;"Debit",E135&lt;&gt;"Credit"),"⛔ Normal balance must be Debit or Credit",IF(ISNA(MATCH(F135,lstCF,0)),"⚠ Select a cash flow section",IF(AND(B135&lt;&gt;"",COUNTIF(coa_Code,B135)&gt;1),"⚠ Duplicate account code",IF(AND(N(I135)&lt;&gt;0,INDEX(at_Stmt,MATCH(D135,at_Type,0))="PL"),"⚠ Opening balance on a profit &amp; loss account","✓ OK"))))))))</f>
        <v/>
      </c>
      <c r="M135" s="67">
        <f>IF(AND(C135&lt;&gt;"",H135&lt;&gt;"No"),COUNTIFS($C$7:C135,"&lt;&gt;",$H$7:H135,"&lt;&gt;No"),"")</f>
        <v/>
      </c>
      <c r="N135" s="67">
        <f>IF(AND(C135&lt;&gt;"",H135&lt;&gt;"No",G135="Yes"),COUNTIFS($C$7:C135,"&lt;&gt;",$H$7:H135,"&lt;&gt;No",$G$7:G135,"Yes"),"")</f>
        <v/>
      </c>
    </row>
    <row r="136">
      <c r="B136" s="69" t="n"/>
      <c r="C136" s="62" t="n"/>
      <c r="D136" s="62" t="n"/>
      <c r="E136" s="62" t="n"/>
      <c r="F136" s="62" t="n"/>
      <c r="G136" s="62" t="n"/>
      <c r="H136" s="62" t="n"/>
      <c r="I136" s="64" t="n"/>
      <c r="J136" s="62" t="n"/>
      <c r="K136" s="65">
        <f>IF(C136="","",IFERROR(INDEX(calc_Bal,MATCH(C136,calc_Name,0))*IF(E136="Credit",-1,1),0))</f>
        <v/>
      </c>
      <c r="L136" s="66">
        <f>IF(AND(C136="",B136="",D136=""),"",IF(C136="","⛔ Enter an account name",IF(COUNTIF(coa_Name,C136)&gt;1,"⛔ Duplicate account name",IF(ISNA(MATCH(D136,at_Type,0)),"⛔ Select an account type",IF(AND(E136&lt;&gt;"Debit",E136&lt;&gt;"Credit"),"⛔ Normal balance must be Debit or Credit",IF(ISNA(MATCH(F136,lstCF,0)),"⚠ Select a cash flow section",IF(AND(B136&lt;&gt;"",COUNTIF(coa_Code,B136)&gt;1),"⚠ Duplicate account code",IF(AND(N(I136)&lt;&gt;0,INDEX(at_Stmt,MATCH(D136,at_Type,0))="PL"),"⚠ Opening balance on a profit &amp; loss account","✓ OK"))))))))</f>
        <v/>
      </c>
      <c r="M136" s="67">
        <f>IF(AND(C136&lt;&gt;"",H136&lt;&gt;"No"),COUNTIFS($C$7:C136,"&lt;&gt;",$H$7:H136,"&lt;&gt;No"),"")</f>
        <v/>
      </c>
      <c r="N136" s="67">
        <f>IF(AND(C136&lt;&gt;"",H136&lt;&gt;"No",G136="Yes"),COUNTIFS($C$7:C136,"&lt;&gt;",$H$7:H136,"&lt;&gt;No",$G$7:G136,"Yes"),"")</f>
        <v/>
      </c>
    </row>
    <row r="137">
      <c r="B137" s="69" t="n"/>
      <c r="C137" s="62" t="n"/>
      <c r="D137" s="62" t="n"/>
      <c r="E137" s="62" t="n"/>
      <c r="F137" s="62" t="n"/>
      <c r="G137" s="62" t="n"/>
      <c r="H137" s="62" t="n"/>
      <c r="I137" s="64" t="n"/>
      <c r="J137" s="62" t="n"/>
      <c r="K137" s="65">
        <f>IF(C137="","",IFERROR(INDEX(calc_Bal,MATCH(C137,calc_Name,0))*IF(E137="Credit",-1,1),0))</f>
        <v/>
      </c>
      <c r="L137" s="66">
        <f>IF(AND(C137="",B137="",D137=""),"",IF(C137="","⛔ Enter an account name",IF(COUNTIF(coa_Name,C137)&gt;1,"⛔ Duplicate account name",IF(ISNA(MATCH(D137,at_Type,0)),"⛔ Select an account type",IF(AND(E137&lt;&gt;"Debit",E137&lt;&gt;"Credit"),"⛔ Normal balance must be Debit or Credit",IF(ISNA(MATCH(F137,lstCF,0)),"⚠ Select a cash flow section",IF(AND(B137&lt;&gt;"",COUNTIF(coa_Code,B137)&gt;1),"⚠ Duplicate account code",IF(AND(N(I137)&lt;&gt;0,INDEX(at_Stmt,MATCH(D137,at_Type,0))="PL"),"⚠ Opening balance on a profit &amp; loss account","✓ OK"))))))))</f>
        <v/>
      </c>
      <c r="M137" s="67">
        <f>IF(AND(C137&lt;&gt;"",H137&lt;&gt;"No"),COUNTIFS($C$7:C137,"&lt;&gt;",$H$7:H137,"&lt;&gt;No"),"")</f>
        <v/>
      </c>
      <c r="N137" s="67">
        <f>IF(AND(C137&lt;&gt;"",H137&lt;&gt;"No",G137="Yes"),COUNTIFS($C$7:C137,"&lt;&gt;",$H$7:H137,"&lt;&gt;No",$G$7:G137,"Yes"),"")</f>
        <v/>
      </c>
    </row>
    <row r="138">
      <c r="B138" s="69" t="n"/>
      <c r="C138" s="62" t="n"/>
      <c r="D138" s="62" t="n"/>
      <c r="E138" s="62" t="n"/>
      <c r="F138" s="62" t="n"/>
      <c r="G138" s="62" t="n"/>
      <c r="H138" s="62" t="n"/>
      <c r="I138" s="64" t="n"/>
      <c r="J138" s="62" t="n"/>
      <c r="K138" s="65">
        <f>IF(C138="","",IFERROR(INDEX(calc_Bal,MATCH(C138,calc_Name,0))*IF(E138="Credit",-1,1),0))</f>
        <v/>
      </c>
      <c r="L138" s="66">
        <f>IF(AND(C138="",B138="",D138=""),"",IF(C138="","⛔ Enter an account name",IF(COUNTIF(coa_Name,C138)&gt;1,"⛔ Duplicate account name",IF(ISNA(MATCH(D138,at_Type,0)),"⛔ Select an account type",IF(AND(E138&lt;&gt;"Debit",E138&lt;&gt;"Credit"),"⛔ Normal balance must be Debit or Credit",IF(ISNA(MATCH(F138,lstCF,0)),"⚠ Select a cash flow section",IF(AND(B138&lt;&gt;"",COUNTIF(coa_Code,B138)&gt;1),"⚠ Duplicate account code",IF(AND(N(I138)&lt;&gt;0,INDEX(at_Stmt,MATCH(D138,at_Type,0))="PL"),"⚠ Opening balance on a profit &amp; loss account","✓ OK"))))))))</f>
        <v/>
      </c>
      <c r="M138" s="67">
        <f>IF(AND(C138&lt;&gt;"",H138&lt;&gt;"No"),COUNTIFS($C$7:C138,"&lt;&gt;",$H$7:H138,"&lt;&gt;No"),"")</f>
        <v/>
      </c>
      <c r="N138" s="67">
        <f>IF(AND(C138&lt;&gt;"",H138&lt;&gt;"No",G138="Yes"),COUNTIFS($C$7:C138,"&lt;&gt;",$H$7:H138,"&lt;&gt;No",$G$7:G138,"Yes"),"")</f>
        <v/>
      </c>
    </row>
    <row r="139">
      <c r="B139" s="69" t="n"/>
      <c r="C139" s="62" t="n"/>
      <c r="D139" s="62" t="n"/>
      <c r="E139" s="62" t="n"/>
      <c r="F139" s="62" t="n"/>
      <c r="G139" s="62" t="n"/>
      <c r="H139" s="62" t="n"/>
      <c r="I139" s="64" t="n"/>
      <c r="J139" s="62" t="n"/>
      <c r="K139" s="65">
        <f>IF(C139="","",IFERROR(INDEX(calc_Bal,MATCH(C139,calc_Name,0))*IF(E139="Credit",-1,1),0))</f>
        <v/>
      </c>
      <c r="L139" s="66">
        <f>IF(AND(C139="",B139="",D139=""),"",IF(C139="","⛔ Enter an account name",IF(COUNTIF(coa_Name,C139)&gt;1,"⛔ Duplicate account name",IF(ISNA(MATCH(D139,at_Type,0)),"⛔ Select an account type",IF(AND(E139&lt;&gt;"Debit",E139&lt;&gt;"Credit"),"⛔ Normal balance must be Debit or Credit",IF(ISNA(MATCH(F139,lstCF,0)),"⚠ Select a cash flow section",IF(AND(B139&lt;&gt;"",COUNTIF(coa_Code,B139)&gt;1),"⚠ Duplicate account code",IF(AND(N(I139)&lt;&gt;0,INDEX(at_Stmt,MATCH(D139,at_Type,0))="PL"),"⚠ Opening balance on a profit &amp; loss account","✓ OK"))))))))</f>
        <v/>
      </c>
      <c r="M139" s="67">
        <f>IF(AND(C139&lt;&gt;"",H139&lt;&gt;"No"),COUNTIFS($C$7:C139,"&lt;&gt;",$H$7:H139,"&lt;&gt;No"),"")</f>
        <v/>
      </c>
      <c r="N139" s="67">
        <f>IF(AND(C139&lt;&gt;"",H139&lt;&gt;"No",G139="Yes"),COUNTIFS($C$7:C139,"&lt;&gt;",$H$7:H139,"&lt;&gt;No",$G$7:G139,"Yes"),"")</f>
        <v/>
      </c>
    </row>
    <row r="140">
      <c r="B140" s="69" t="n"/>
      <c r="C140" s="62" t="n"/>
      <c r="D140" s="62" t="n"/>
      <c r="E140" s="62" t="n"/>
      <c r="F140" s="62" t="n"/>
      <c r="G140" s="62" t="n"/>
      <c r="H140" s="62" t="n"/>
      <c r="I140" s="64" t="n"/>
      <c r="J140" s="62" t="n"/>
      <c r="K140" s="65">
        <f>IF(C140="","",IFERROR(INDEX(calc_Bal,MATCH(C140,calc_Name,0))*IF(E140="Credit",-1,1),0))</f>
        <v/>
      </c>
      <c r="L140" s="66">
        <f>IF(AND(C140="",B140="",D140=""),"",IF(C140="","⛔ Enter an account name",IF(COUNTIF(coa_Name,C140)&gt;1,"⛔ Duplicate account name",IF(ISNA(MATCH(D140,at_Type,0)),"⛔ Select an account type",IF(AND(E140&lt;&gt;"Debit",E140&lt;&gt;"Credit"),"⛔ Normal balance must be Debit or Credit",IF(ISNA(MATCH(F140,lstCF,0)),"⚠ Select a cash flow section",IF(AND(B140&lt;&gt;"",COUNTIF(coa_Code,B140)&gt;1),"⚠ Duplicate account code",IF(AND(N(I140)&lt;&gt;0,INDEX(at_Stmt,MATCH(D140,at_Type,0))="PL"),"⚠ Opening balance on a profit &amp; loss account","✓ OK"))))))))</f>
        <v/>
      </c>
      <c r="M140" s="67">
        <f>IF(AND(C140&lt;&gt;"",H140&lt;&gt;"No"),COUNTIFS($C$7:C140,"&lt;&gt;",$H$7:H140,"&lt;&gt;No"),"")</f>
        <v/>
      </c>
      <c r="N140" s="67">
        <f>IF(AND(C140&lt;&gt;"",H140&lt;&gt;"No",G140="Yes"),COUNTIFS($C$7:C140,"&lt;&gt;",$H$7:H140,"&lt;&gt;No",$G$7:G140,"Yes"),"")</f>
        <v/>
      </c>
    </row>
    <row r="141">
      <c r="B141" s="69" t="n"/>
      <c r="C141" s="62" t="n"/>
      <c r="D141" s="62" t="n"/>
      <c r="E141" s="62" t="n"/>
      <c r="F141" s="62" t="n"/>
      <c r="G141" s="62" t="n"/>
      <c r="H141" s="62" t="n"/>
      <c r="I141" s="64" t="n"/>
      <c r="J141" s="62" t="n"/>
      <c r="K141" s="65">
        <f>IF(C141="","",IFERROR(INDEX(calc_Bal,MATCH(C141,calc_Name,0))*IF(E141="Credit",-1,1),0))</f>
        <v/>
      </c>
      <c r="L141" s="66">
        <f>IF(AND(C141="",B141="",D141=""),"",IF(C141="","⛔ Enter an account name",IF(COUNTIF(coa_Name,C141)&gt;1,"⛔ Duplicate account name",IF(ISNA(MATCH(D141,at_Type,0)),"⛔ Select an account type",IF(AND(E141&lt;&gt;"Debit",E141&lt;&gt;"Credit"),"⛔ Normal balance must be Debit or Credit",IF(ISNA(MATCH(F141,lstCF,0)),"⚠ Select a cash flow section",IF(AND(B141&lt;&gt;"",COUNTIF(coa_Code,B141)&gt;1),"⚠ Duplicate account code",IF(AND(N(I141)&lt;&gt;0,INDEX(at_Stmt,MATCH(D141,at_Type,0))="PL"),"⚠ Opening balance on a profit &amp; loss account","✓ OK"))))))))</f>
        <v/>
      </c>
      <c r="M141" s="67">
        <f>IF(AND(C141&lt;&gt;"",H141&lt;&gt;"No"),COUNTIFS($C$7:C141,"&lt;&gt;",$H$7:H141,"&lt;&gt;No"),"")</f>
        <v/>
      </c>
      <c r="N141" s="67">
        <f>IF(AND(C141&lt;&gt;"",H141&lt;&gt;"No",G141="Yes"),COUNTIFS($C$7:C141,"&lt;&gt;",$H$7:H141,"&lt;&gt;No",$G$7:G141,"Yes"),"")</f>
        <v/>
      </c>
    </row>
    <row r="142">
      <c r="B142" s="69" t="n"/>
      <c r="C142" s="62" t="n"/>
      <c r="D142" s="62" t="n"/>
      <c r="E142" s="62" t="n"/>
      <c r="F142" s="62" t="n"/>
      <c r="G142" s="62" t="n"/>
      <c r="H142" s="62" t="n"/>
      <c r="I142" s="64" t="n"/>
      <c r="J142" s="62" t="n"/>
      <c r="K142" s="65">
        <f>IF(C142="","",IFERROR(INDEX(calc_Bal,MATCH(C142,calc_Name,0))*IF(E142="Credit",-1,1),0))</f>
        <v/>
      </c>
      <c r="L142" s="66">
        <f>IF(AND(C142="",B142="",D142=""),"",IF(C142="","⛔ Enter an account name",IF(COUNTIF(coa_Name,C142)&gt;1,"⛔ Duplicate account name",IF(ISNA(MATCH(D142,at_Type,0)),"⛔ Select an account type",IF(AND(E142&lt;&gt;"Debit",E142&lt;&gt;"Credit"),"⛔ Normal balance must be Debit or Credit",IF(ISNA(MATCH(F142,lstCF,0)),"⚠ Select a cash flow section",IF(AND(B142&lt;&gt;"",COUNTIF(coa_Code,B142)&gt;1),"⚠ Duplicate account code",IF(AND(N(I142)&lt;&gt;0,INDEX(at_Stmt,MATCH(D142,at_Type,0))="PL"),"⚠ Opening balance on a profit &amp; loss account","✓ OK"))))))))</f>
        <v/>
      </c>
      <c r="M142" s="67">
        <f>IF(AND(C142&lt;&gt;"",H142&lt;&gt;"No"),COUNTIFS($C$7:C142,"&lt;&gt;",$H$7:H142,"&lt;&gt;No"),"")</f>
        <v/>
      </c>
      <c r="N142" s="67">
        <f>IF(AND(C142&lt;&gt;"",H142&lt;&gt;"No",G142="Yes"),COUNTIFS($C$7:C142,"&lt;&gt;",$H$7:H142,"&lt;&gt;No",$G$7:G142,"Yes"),"")</f>
        <v/>
      </c>
    </row>
    <row r="143">
      <c r="B143" s="69" t="n"/>
      <c r="C143" s="62" t="n"/>
      <c r="D143" s="62" t="n"/>
      <c r="E143" s="62" t="n"/>
      <c r="F143" s="62" t="n"/>
      <c r="G143" s="62" t="n"/>
      <c r="H143" s="62" t="n"/>
      <c r="I143" s="64" t="n"/>
      <c r="J143" s="62" t="n"/>
      <c r="K143" s="65">
        <f>IF(C143="","",IFERROR(INDEX(calc_Bal,MATCH(C143,calc_Name,0))*IF(E143="Credit",-1,1),0))</f>
        <v/>
      </c>
      <c r="L143" s="66">
        <f>IF(AND(C143="",B143="",D143=""),"",IF(C143="","⛔ Enter an account name",IF(COUNTIF(coa_Name,C143)&gt;1,"⛔ Duplicate account name",IF(ISNA(MATCH(D143,at_Type,0)),"⛔ Select an account type",IF(AND(E143&lt;&gt;"Debit",E143&lt;&gt;"Credit"),"⛔ Normal balance must be Debit or Credit",IF(ISNA(MATCH(F143,lstCF,0)),"⚠ Select a cash flow section",IF(AND(B143&lt;&gt;"",COUNTIF(coa_Code,B143)&gt;1),"⚠ Duplicate account code",IF(AND(N(I143)&lt;&gt;0,INDEX(at_Stmt,MATCH(D143,at_Type,0))="PL"),"⚠ Opening balance on a profit &amp; loss account","✓ OK"))))))))</f>
        <v/>
      </c>
      <c r="M143" s="67">
        <f>IF(AND(C143&lt;&gt;"",H143&lt;&gt;"No"),COUNTIFS($C$7:C143,"&lt;&gt;",$H$7:H143,"&lt;&gt;No"),"")</f>
        <v/>
      </c>
      <c r="N143" s="67">
        <f>IF(AND(C143&lt;&gt;"",H143&lt;&gt;"No",G143="Yes"),COUNTIFS($C$7:C143,"&lt;&gt;",$H$7:H143,"&lt;&gt;No",$G$7:G143,"Yes"),"")</f>
        <v/>
      </c>
    </row>
    <row r="144">
      <c r="B144" s="69" t="n"/>
      <c r="C144" s="62" t="n"/>
      <c r="D144" s="62" t="n"/>
      <c r="E144" s="62" t="n"/>
      <c r="F144" s="62" t="n"/>
      <c r="G144" s="62" t="n"/>
      <c r="H144" s="62" t="n"/>
      <c r="I144" s="64" t="n"/>
      <c r="J144" s="62" t="n"/>
      <c r="K144" s="65">
        <f>IF(C144="","",IFERROR(INDEX(calc_Bal,MATCH(C144,calc_Name,0))*IF(E144="Credit",-1,1),0))</f>
        <v/>
      </c>
      <c r="L144" s="66">
        <f>IF(AND(C144="",B144="",D144=""),"",IF(C144="","⛔ Enter an account name",IF(COUNTIF(coa_Name,C144)&gt;1,"⛔ Duplicate account name",IF(ISNA(MATCH(D144,at_Type,0)),"⛔ Select an account type",IF(AND(E144&lt;&gt;"Debit",E144&lt;&gt;"Credit"),"⛔ Normal balance must be Debit or Credit",IF(ISNA(MATCH(F144,lstCF,0)),"⚠ Select a cash flow section",IF(AND(B144&lt;&gt;"",COUNTIF(coa_Code,B144)&gt;1),"⚠ Duplicate account code",IF(AND(N(I144)&lt;&gt;0,INDEX(at_Stmt,MATCH(D144,at_Type,0))="PL"),"⚠ Opening balance on a profit &amp; loss account","✓ OK"))))))))</f>
        <v/>
      </c>
      <c r="M144" s="67">
        <f>IF(AND(C144&lt;&gt;"",H144&lt;&gt;"No"),COUNTIFS($C$7:C144,"&lt;&gt;",$H$7:H144,"&lt;&gt;No"),"")</f>
        <v/>
      </c>
      <c r="N144" s="67">
        <f>IF(AND(C144&lt;&gt;"",H144&lt;&gt;"No",G144="Yes"),COUNTIFS($C$7:C144,"&lt;&gt;",$H$7:H144,"&lt;&gt;No",$G$7:G144,"Yes"),"")</f>
        <v/>
      </c>
    </row>
    <row r="145">
      <c r="B145" s="69" t="n"/>
      <c r="C145" s="62" t="n"/>
      <c r="D145" s="62" t="n"/>
      <c r="E145" s="62" t="n"/>
      <c r="F145" s="62" t="n"/>
      <c r="G145" s="62" t="n"/>
      <c r="H145" s="62" t="n"/>
      <c r="I145" s="64" t="n"/>
      <c r="J145" s="62" t="n"/>
      <c r="K145" s="65">
        <f>IF(C145="","",IFERROR(INDEX(calc_Bal,MATCH(C145,calc_Name,0))*IF(E145="Credit",-1,1),0))</f>
        <v/>
      </c>
      <c r="L145" s="66">
        <f>IF(AND(C145="",B145="",D145=""),"",IF(C145="","⛔ Enter an account name",IF(COUNTIF(coa_Name,C145)&gt;1,"⛔ Duplicate account name",IF(ISNA(MATCH(D145,at_Type,0)),"⛔ Select an account type",IF(AND(E145&lt;&gt;"Debit",E145&lt;&gt;"Credit"),"⛔ Normal balance must be Debit or Credit",IF(ISNA(MATCH(F145,lstCF,0)),"⚠ Select a cash flow section",IF(AND(B145&lt;&gt;"",COUNTIF(coa_Code,B145)&gt;1),"⚠ Duplicate account code",IF(AND(N(I145)&lt;&gt;0,INDEX(at_Stmt,MATCH(D145,at_Type,0))="PL"),"⚠ Opening balance on a profit &amp; loss account","✓ OK"))))))))</f>
        <v/>
      </c>
      <c r="M145" s="67">
        <f>IF(AND(C145&lt;&gt;"",H145&lt;&gt;"No"),COUNTIFS($C$7:C145,"&lt;&gt;",$H$7:H145,"&lt;&gt;No"),"")</f>
        <v/>
      </c>
      <c r="N145" s="67">
        <f>IF(AND(C145&lt;&gt;"",H145&lt;&gt;"No",G145="Yes"),COUNTIFS($C$7:C145,"&lt;&gt;",$H$7:H145,"&lt;&gt;No",$G$7:G145,"Yes"),"")</f>
        <v/>
      </c>
    </row>
    <row r="146">
      <c r="B146" s="69" t="n"/>
      <c r="C146" s="62" t="n"/>
      <c r="D146" s="62" t="n"/>
      <c r="E146" s="62" t="n"/>
      <c r="F146" s="62" t="n"/>
      <c r="G146" s="62" t="n"/>
      <c r="H146" s="62" t="n"/>
      <c r="I146" s="64" t="n"/>
      <c r="J146" s="62" t="n"/>
      <c r="K146" s="65">
        <f>IF(C146="","",IFERROR(INDEX(calc_Bal,MATCH(C146,calc_Name,0))*IF(E146="Credit",-1,1),0))</f>
        <v/>
      </c>
      <c r="L146" s="66">
        <f>IF(AND(C146="",B146="",D146=""),"",IF(C146="","⛔ Enter an account name",IF(COUNTIF(coa_Name,C146)&gt;1,"⛔ Duplicate account name",IF(ISNA(MATCH(D146,at_Type,0)),"⛔ Select an account type",IF(AND(E146&lt;&gt;"Debit",E146&lt;&gt;"Credit"),"⛔ Normal balance must be Debit or Credit",IF(ISNA(MATCH(F146,lstCF,0)),"⚠ Select a cash flow section",IF(AND(B146&lt;&gt;"",COUNTIF(coa_Code,B146)&gt;1),"⚠ Duplicate account code",IF(AND(N(I146)&lt;&gt;0,INDEX(at_Stmt,MATCH(D146,at_Type,0))="PL"),"⚠ Opening balance on a profit &amp; loss account","✓ OK"))))))))</f>
        <v/>
      </c>
      <c r="M146" s="67">
        <f>IF(AND(C146&lt;&gt;"",H146&lt;&gt;"No"),COUNTIFS($C$7:C146,"&lt;&gt;",$H$7:H146,"&lt;&gt;No"),"")</f>
        <v/>
      </c>
      <c r="N146" s="67">
        <f>IF(AND(C146&lt;&gt;"",H146&lt;&gt;"No",G146="Yes"),COUNTIFS($C$7:C146,"&lt;&gt;",$H$7:H146,"&lt;&gt;No",$G$7:G146,"Yes"),"")</f>
        <v/>
      </c>
    </row>
    <row r="147">
      <c r="B147" s="69" t="n"/>
      <c r="C147" s="62" t="n"/>
      <c r="D147" s="62" t="n"/>
      <c r="E147" s="62" t="n"/>
      <c r="F147" s="62" t="n"/>
      <c r="G147" s="62" t="n"/>
      <c r="H147" s="62" t="n"/>
      <c r="I147" s="64" t="n"/>
      <c r="J147" s="62" t="n"/>
      <c r="K147" s="65">
        <f>IF(C147="","",IFERROR(INDEX(calc_Bal,MATCH(C147,calc_Name,0))*IF(E147="Credit",-1,1),0))</f>
        <v/>
      </c>
      <c r="L147" s="66">
        <f>IF(AND(C147="",B147="",D147=""),"",IF(C147="","⛔ Enter an account name",IF(COUNTIF(coa_Name,C147)&gt;1,"⛔ Duplicate account name",IF(ISNA(MATCH(D147,at_Type,0)),"⛔ Select an account type",IF(AND(E147&lt;&gt;"Debit",E147&lt;&gt;"Credit"),"⛔ Normal balance must be Debit or Credit",IF(ISNA(MATCH(F147,lstCF,0)),"⚠ Select a cash flow section",IF(AND(B147&lt;&gt;"",COUNTIF(coa_Code,B147)&gt;1),"⚠ Duplicate account code",IF(AND(N(I147)&lt;&gt;0,INDEX(at_Stmt,MATCH(D147,at_Type,0))="PL"),"⚠ Opening balance on a profit &amp; loss account","✓ OK"))))))))</f>
        <v/>
      </c>
      <c r="M147" s="67">
        <f>IF(AND(C147&lt;&gt;"",H147&lt;&gt;"No"),COUNTIFS($C$7:C147,"&lt;&gt;",$H$7:H147,"&lt;&gt;No"),"")</f>
        <v/>
      </c>
      <c r="N147" s="67">
        <f>IF(AND(C147&lt;&gt;"",H147&lt;&gt;"No",G147="Yes"),COUNTIFS($C$7:C147,"&lt;&gt;",$H$7:H147,"&lt;&gt;No",$G$7:G147,"Yes"),"")</f>
        <v/>
      </c>
    </row>
    <row r="148">
      <c r="B148" s="69" t="n"/>
      <c r="C148" s="62" t="n"/>
      <c r="D148" s="62" t="n"/>
      <c r="E148" s="62" t="n"/>
      <c r="F148" s="62" t="n"/>
      <c r="G148" s="62" t="n"/>
      <c r="H148" s="62" t="n"/>
      <c r="I148" s="64" t="n"/>
      <c r="J148" s="62" t="n"/>
      <c r="K148" s="65">
        <f>IF(C148="","",IFERROR(INDEX(calc_Bal,MATCH(C148,calc_Name,0))*IF(E148="Credit",-1,1),0))</f>
        <v/>
      </c>
      <c r="L148" s="66">
        <f>IF(AND(C148="",B148="",D148=""),"",IF(C148="","⛔ Enter an account name",IF(COUNTIF(coa_Name,C148)&gt;1,"⛔ Duplicate account name",IF(ISNA(MATCH(D148,at_Type,0)),"⛔ Select an account type",IF(AND(E148&lt;&gt;"Debit",E148&lt;&gt;"Credit"),"⛔ Normal balance must be Debit or Credit",IF(ISNA(MATCH(F148,lstCF,0)),"⚠ Select a cash flow section",IF(AND(B148&lt;&gt;"",COUNTIF(coa_Code,B148)&gt;1),"⚠ Duplicate account code",IF(AND(N(I148)&lt;&gt;0,INDEX(at_Stmt,MATCH(D148,at_Type,0))="PL"),"⚠ Opening balance on a profit &amp; loss account","✓ OK"))))))))</f>
        <v/>
      </c>
      <c r="M148" s="67">
        <f>IF(AND(C148&lt;&gt;"",H148&lt;&gt;"No"),COUNTIFS($C$7:C148,"&lt;&gt;",$H$7:H148,"&lt;&gt;No"),"")</f>
        <v/>
      </c>
      <c r="N148" s="67">
        <f>IF(AND(C148&lt;&gt;"",H148&lt;&gt;"No",G148="Yes"),COUNTIFS($C$7:C148,"&lt;&gt;",$H$7:H148,"&lt;&gt;No",$G$7:G148,"Yes"),"")</f>
        <v/>
      </c>
    </row>
    <row r="149">
      <c r="B149" s="69" t="n"/>
      <c r="C149" s="62" t="n"/>
      <c r="D149" s="62" t="n"/>
      <c r="E149" s="62" t="n"/>
      <c r="F149" s="62" t="n"/>
      <c r="G149" s="62" t="n"/>
      <c r="H149" s="62" t="n"/>
      <c r="I149" s="64" t="n"/>
      <c r="J149" s="62" t="n"/>
      <c r="K149" s="65">
        <f>IF(C149="","",IFERROR(INDEX(calc_Bal,MATCH(C149,calc_Name,0))*IF(E149="Credit",-1,1),0))</f>
        <v/>
      </c>
      <c r="L149" s="66">
        <f>IF(AND(C149="",B149="",D149=""),"",IF(C149="","⛔ Enter an account name",IF(COUNTIF(coa_Name,C149)&gt;1,"⛔ Duplicate account name",IF(ISNA(MATCH(D149,at_Type,0)),"⛔ Select an account type",IF(AND(E149&lt;&gt;"Debit",E149&lt;&gt;"Credit"),"⛔ Normal balance must be Debit or Credit",IF(ISNA(MATCH(F149,lstCF,0)),"⚠ Select a cash flow section",IF(AND(B149&lt;&gt;"",COUNTIF(coa_Code,B149)&gt;1),"⚠ Duplicate account code",IF(AND(N(I149)&lt;&gt;0,INDEX(at_Stmt,MATCH(D149,at_Type,0))="PL"),"⚠ Opening balance on a profit &amp; loss account","✓ OK"))))))))</f>
        <v/>
      </c>
      <c r="M149" s="67">
        <f>IF(AND(C149&lt;&gt;"",H149&lt;&gt;"No"),COUNTIFS($C$7:C149,"&lt;&gt;",$H$7:H149,"&lt;&gt;No"),"")</f>
        <v/>
      </c>
      <c r="N149" s="67">
        <f>IF(AND(C149&lt;&gt;"",H149&lt;&gt;"No",G149="Yes"),COUNTIFS($C$7:C149,"&lt;&gt;",$H$7:H149,"&lt;&gt;No",$G$7:G149,"Yes"),"")</f>
        <v/>
      </c>
    </row>
    <row r="150">
      <c r="B150" s="69" t="n"/>
      <c r="C150" s="62" t="n"/>
      <c r="D150" s="62" t="n"/>
      <c r="E150" s="62" t="n"/>
      <c r="F150" s="62" t="n"/>
      <c r="G150" s="62" t="n"/>
      <c r="H150" s="62" t="n"/>
      <c r="I150" s="64" t="n"/>
      <c r="J150" s="62" t="n"/>
      <c r="K150" s="65">
        <f>IF(C150="","",IFERROR(INDEX(calc_Bal,MATCH(C150,calc_Name,0))*IF(E150="Credit",-1,1),0))</f>
        <v/>
      </c>
      <c r="L150" s="66">
        <f>IF(AND(C150="",B150="",D150=""),"",IF(C150="","⛔ Enter an account name",IF(COUNTIF(coa_Name,C150)&gt;1,"⛔ Duplicate account name",IF(ISNA(MATCH(D150,at_Type,0)),"⛔ Select an account type",IF(AND(E150&lt;&gt;"Debit",E150&lt;&gt;"Credit"),"⛔ Normal balance must be Debit or Credit",IF(ISNA(MATCH(F150,lstCF,0)),"⚠ Select a cash flow section",IF(AND(B150&lt;&gt;"",COUNTIF(coa_Code,B150)&gt;1),"⚠ Duplicate account code",IF(AND(N(I150)&lt;&gt;0,INDEX(at_Stmt,MATCH(D150,at_Type,0))="PL"),"⚠ Opening balance on a profit &amp; loss account","✓ OK"))))))))</f>
        <v/>
      </c>
      <c r="M150" s="67">
        <f>IF(AND(C150&lt;&gt;"",H150&lt;&gt;"No"),COUNTIFS($C$7:C150,"&lt;&gt;",$H$7:H150,"&lt;&gt;No"),"")</f>
        <v/>
      </c>
      <c r="N150" s="67">
        <f>IF(AND(C150&lt;&gt;"",H150&lt;&gt;"No",G150="Yes"),COUNTIFS($C$7:C150,"&lt;&gt;",$H$7:H150,"&lt;&gt;No",$G$7:G150,"Yes"),"")</f>
        <v/>
      </c>
    </row>
    <row r="151">
      <c r="B151" s="69" t="n"/>
      <c r="C151" s="62" t="n"/>
      <c r="D151" s="62" t="n"/>
      <c r="E151" s="62" t="n"/>
      <c r="F151" s="62" t="n"/>
      <c r="G151" s="62" t="n"/>
      <c r="H151" s="62" t="n"/>
      <c r="I151" s="64" t="n"/>
      <c r="J151" s="62" t="n"/>
      <c r="K151" s="65">
        <f>IF(C151="","",IFERROR(INDEX(calc_Bal,MATCH(C151,calc_Name,0))*IF(E151="Credit",-1,1),0))</f>
        <v/>
      </c>
      <c r="L151" s="66">
        <f>IF(AND(C151="",B151="",D151=""),"",IF(C151="","⛔ Enter an account name",IF(COUNTIF(coa_Name,C151)&gt;1,"⛔ Duplicate account name",IF(ISNA(MATCH(D151,at_Type,0)),"⛔ Select an account type",IF(AND(E151&lt;&gt;"Debit",E151&lt;&gt;"Credit"),"⛔ Normal balance must be Debit or Credit",IF(ISNA(MATCH(F151,lstCF,0)),"⚠ Select a cash flow section",IF(AND(B151&lt;&gt;"",COUNTIF(coa_Code,B151)&gt;1),"⚠ Duplicate account code",IF(AND(N(I151)&lt;&gt;0,INDEX(at_Stmt,MATCH(D151,at_Type,0))="PL"),"⚠ Opening balance on a profit &amp; loss account","✓ OK"))))))))</f>
        <v/>
      </c>
      <c r="M151" s="67">
        <f>IF(AND(C151&lt;&gt;"",H151&lt;&gt;"No"),COUNTIFS($C$7:C151,"&lt;&gt;",$H$7:H151,"&lt;&gt;No"),"")</f>
        <v/>
      </c>
      <c r="N151" s="67">
        <f>IF(AND(C151&lt;&gt;"",H151&lt;&gt;"No",G151="Yes"),COUNTIFS($C$7:C151,"&lt;&gt;",$H$7:H151,"&lt;&gt;No",$G$7:G151,"Yes"),"")</f>
        <v/>
      </c>
    </row>
    <row r="152">
      <c r="B152" s="69" t="n"/>
      <c r="C152" s="62" t="n"/>
      <c r="D152" s="62" t="n"/>
      <c r="E152" s="62" t="n"/>
      <c r="F152" s="62" t="n"/>
      <c r="G152" s="62" t="n"/>
      <c r="H152" s="62" t="n"/>
      <c r="I152" s="64" t="n"/>
      <c r="J152" s="62" t="n"/>
      <c r="K152" s="65">
        <f>IF(C152="","",IFERROR(INDEX(calc_Bal,MATCH(C152,calc_Name,0))*IF(E152="Credit",-1,1),0))</f>
        <v/>
      </c>
      <c r="L152" s="66">
        <f>IF(AND(C152="",B152="",D152=""),"",IF(C152="","⛔ Enter an account name",IF(COUNTIF(coa_Name,C152)&gt;1,"⛔ Duplicate account name",IF(ISNA(MATCH(D152,at_Type,0)),"⛔ Select an account type",IF(AND(E152&lt;&gt;"Debit",E152&lt;&gt;"Credit"),"⛔ Normal balance must be Debit or Credit",IF(ISNA(MATCH(F152,lstCF,0)),"⚠ Select a cash flow section",IF(AND(B152&lt;&gt;"",COUNTIF(coa_Code,B152)&gt;1),"⚠ Duplicate account code",IF(AND(N(I152)&lt;&gt;0,INDEX(at_Stmt,MATCH(D152,at_Type,0))="PL"),"⚠ Opening balance on a profit &amp; loss account","✓ OK"))))))))</f>
        <v/>
      </c>
      <c r="M152" s="67">
        <f>IF(AND(C152&lt;&gt;"",H152&lt;&gt;"No"),COUNTIFS($C$7:C152,"&lt;&gt;",$H$7:H152,"&lt;&gt;No"),"")</f>
        <v/>
      </c>
      <c r="N152" s="67">
        <f>IF(AND(C152&lt;&gt;"",H152&lt;&gt;"No",G152="Yes"),COUNTIFS($C$7:C152,"&lt;&gt;",$H$7:H152,"&lt;&gt;No",$G$7:G152,"Yes"),"")</f>
        <v/>
      </c>
    </row>
    <row r="153">
      <c r="B153" s="69" t="n"/>
      <c r="C153" s="62" t="n"/>
      <c r="D153" s="62" t="n"/>
      <c r="E153" s="62" t="n"/>
      <c r="F153" s="62" t="n"/>
      <c r="G153" s="62" t="n"/>
      <c r="H153" s="62" t="n"/>
      <c r="I153" s="64" t="n"/>
      <c r="J153" s="62" t="n"/>
      <c r="K153" s="65">
        <f>IF(C153="","",IFERROR(INDEX(calc_Bal,MATCH(C153,calc_Name,0))*IF(E153="Credit",-1,1),0))</f>
        <v/>
      </c>
      <c r="L153" s="66">
        <f>IF(AND(C153="",B153="",D153=""),"",IF(C153="","⛔ Enter an account name",IF(COUNTIF(coa_Name,C153)&gt;1,"⛔ Duplicate account name",IF(ISNA(MATCH(D153,at_Type,0)),"⛔ Select an account type",IF(AND(E153&lt;&gt;"Debit",E153&lt;&gt;"Credit"),"⛔ Normal balance must be Debit or Credit",IF(ISNA(MATCH(F153,lstCF,0)),"⚠ Select a cash flow section",IF(AND(B153&lt;&gt;"",COUNTIF(coa_Code,B153)&gt;1),"⚠ Duplicate account code",IF(AND(N(I153)&lt;&gt;0,INDEX(at_Stmt,MATCH(D153,at_Type,0))="PL"),"⚠ Opening balance on a profit &amp; loss account","✓ OK"))))))))</f>
        <v/>
      </c>
      <c r="M153" s="67">
        <f>IF(AND(C153&lt;&gt;"",H153&lt;&gt;"No"),COUNTIFS($C$7:C153,"&lt;&gt;",$H$7:H153,"&lt;&gt;No"),"")</f>
        <v/>
      </c>
      <c r="N153" s="67">
        <f>IF(AND(C153&lt;&gt;"",H153&lt;&gt;"No",G153="Yes"),COUNTIFS($C$7:C153,"&lt;&gt;",$H$7:H153,"&lt;&gt;No",$G$7:G153,"Yes"),"")</f>
        <v/>
      </c>
    </row>
    <row r="154">
      <c r="B154" s="69" t="n"/>
      <c r="C154" s="62" t="n"/>
      <c r="D154" s="62" t="n"/>
      <c r="E154" s="62" t="n"/>
      <c r="F154" s="62" t="n"/>
      <c r="G154" s="62" t="n"/>
      <c r="H154" s="62" t="n"/>
      <c r="I154" s="64" t="n"/>
      <c r="J154" s="62" t="n"/>
      <c r="K154" s="65">
        <f>IF(C154="","",IFERROR(INDEX(calc_Bal,MATCH(C154,calc_Name,0))*IF(E154="Credit",-1,1),0))</f>
        <v/>
      </c>
      <c r="L154" s="66">
        <f>IF(AND(C154="",B154="",D154=""),"",IF(C154="","⛔ Enter an account name",IF(COUNTIF(coa_Name,C154)&gt;1,"⛔ Duplicate account name",IF(ISNA(MATCH(D154,at_Type,0)),"⛔ Select an account type",IF(AND(E154&lt;&gt;"Debit",E154&lt;&gt;"Credit"),"⛔ Normal balance must be Debit or Credit",IF(ISNA(MATCH(F154,lstCF,0)),"⚠ Select a cash flow section",IF(AND(B154&lt;&gt;"",COUNTIF(coa_Code,B154)&gt;1),"⚠ Duplicate account code",IF(AND(N(I154)&lt;&gt;0,INDEX(at_Stmt,MATCH(D154,at_Type,0))="PL"),"⚠ Opening balance on a profit &amp; loss account","✓ OK"))))))))</f>
        <v/>
      </c>
      <c r="M154" s="67">
        <f>IF(AND(C154&lt;&gt;"",H154&lt;&gt;"No"),COUNTIFS($C$7:C154,"&lt;&gt;",$H$7:H154,"&lt;&gt;No"),"")</f>
        <v/>
      </c>
      <c r="N154" s="67">
        <f>IF(AND(C154&lt;&gt;"",H154&lt;&gt;"No",G154="Yes"),COUNTIFS($C$7:C154,"&lt;&gt;",$H$7:H154,"&lt;&gt;No",$G$7:G154,"Yes"),"")</f>
        <v/>
      </c>
    </row>
    <row r="155">
      <c r="B155" s="69" t="n"/>
      <c r="C155" s="62" t="n"/>
      <c r="D155" s="62" t="n"/>
      <c r="E155" s="62" t="n"/>
      <c r="F155" s="62" t="n"/>
      <c r="G155" s="62" t="n"/>
      <c r="H155" s="62" t="n"/>
      <c r="I155" s="64" t="n"/>
      <c r="J155" s="62" t="n"/>
      <c r="K155" s="65">
        <f>IF(C155="","",IFERROR(INDEX(calc_Bal,MATCH(C155,calc_Name,0))*IF(E155="Credit",-1,1),0))</f>
        <v/>
      </c>
      <c r="L155" s="66">
        <f>IF(AND(C155="",B155="",D155=""),"",IF(C155="","⛔ Enter an account name",IF(COUNTIF(coa_Name,C155)&gt;1,"⛔ Duplicate account name",IF(ISNA(MATCH(D155,at_Type,0)),"⛔ Select an account type",IF(AND(E155&lt;&gt;"Debit",E155&lt;&gt;"Credit"),"⛔ Normal balance must be Debit or Credit",IF(ISNA(MATCH(F155,lstCF,0)),"⚠ Select a cash flow section",IF(AND(B155&lt;&gt;"",COUNTIF(coa_Code,B155)&gt;1),"⚠ Duplicate account code",IF(AND(N(I155)&lt;&gt;0,INDEX(at_Stmt,MATCH(D155,at_Type,0))="PL"),"⚠ Opening balance on a profit &amp; loss account","✓ OK"))))))))</f>
        <v/>
      </c>
      <c r="M155" s="67">
        <f>IF(AND(C155&lt;&gt;"",H155&lt;&gt;"No"),COUNTIFS($C$7:C155,"&lt;&gt;",$H$7:H155,"&lt;&gt;No"),"")</f>
        <v/>
      </c>
      <c r="N155" s="67">
        <f>IF(AND(C155&lt;&gt;"",H155&lt;&gt;"No",G155="Yes"),COUNTIFS($C$7:C155,"&lt;&gt;",$H$7:H155,"&lt;&gt;No",$G$7:G155,"Yes"),"")</f>
        <v/>
      </c>
    </row>
    <row r="156">
      <c r="B156" s="69" t="n"/>
      <c r="C156" s="62" t="n"/>
      <c r="D156" s="62" t="n"/>
      <c r="E156" s="62" t="n"/>
      <c r="F156" s="62" t="n"/>
      <c r="G156" s="62" t="n"/>
      <c r="H156" s="62" t="n"/>
      <c r="I156" s="64" t="n"/>
      <c r="J156" s="62" t="n"/>
      <c r="K156" s="65">
        <f>IF(C156="","",IFERROR(INDEX(calc_Bal,MATCH(C156,calc_Name,0))*IF(E156="Credit",-1,1),0))</f>
        <v/>
      </c>
      <c r="L156" s="66">
        <f>IF(AND(C156="",B156="",D156=""),"",IF(C156="","⛔ Enter an account name",IF(COUNTIF(coa_Name,C156)&gt;1,"⛔ Duplicate account name",IF(ISNA(MATCH(D156,at_Type,0)),"⛔ Select an account type",IF(AND(E156&lt;&gt;"Debit",E156&lt;&gt;"Credit"),"⛔ Normal balance must be Debit or Credit",IF(ISNA(MATCH(F156,lstCF,0)),"⚠ Select a cash flow section",IF(AND(B156&lt;&gt;"",COUNTIF(coa_Code,B156)&gt;1),"⚠ Duplicate account code",IF(AND(N(I156)&lt;&gt;0,INDEX(at_Stmt,MATCH(D156,at_Type,0))="PL"),"⚠ Opening balance on a profit &amp; loss account","✓ OK"))))))))</f>
        <v/>
      </c>
      <c r="M156" s="67">
        <f>IF(AND(C156&lt;&gt;"",H156&lt;&gt;"No"),COUNTIFS($C$7:C156,"&lt;&gt;",$H$7:H156,"&lt;&gt;No"),"")</f>
        <v/>
      </c>
      <c r="N156" s="67">
        <f>IF(AND(C156&lt;&gt;"",H156&lt;&gt;"No",G156="Yes"),COUNTIFS($C$7:C156,"&lt;&gt;",$H$7:H156,"&lt;&gt;No",$G$7:G156,"Yes"),"")</f>
        <v/>
      </c>
    </row>
  </sheetData>
  <conditionalFormatting sqref="L7:L156">
    <cfRule type="expression" priority="1" dxfId="0">
      <formula>LEFT(L7,1)="⛔"</formula>
    </cfRule>
    <cfRule type="expression" priority="2" dxfId="1">
      <formula>LEFT(L7,1)="⚠"</formula>
    </cfRule>
    <cfRule type="expression" priority="3" dxfId="2">
      <formula>LEFT(L7,1)="✓"</formula>
    </cfRule>
  </conditionalFormatting>
  <dataValidations count="6">
    <dataValidation sqref="D7:D156" showDropDown="0" showInputMessage="0" showErrorMessage="1" allowBlank="1" errorTitle="Please pick from the list" error="Choose a value from the dropdown." type="list" errorStyle="stop">
      <formula1>=at_Type</formula1>
    </dataValidation>
    <dataValidation sqref="E7:E156" showDropDown="0" showInputMessage="0" showErrorMessage="1" allowBlank="1" errorTitle="Please pick from the list" error="Choose a value from the dropdown." type="list" errorStyle="stop">
      <formula1>=lstNormal</formula1>
    </dataValidation>
    <dataValidation sqref="F7:F156" showDropDown="0" showInputMessage="0" showErrorMessage="1" allowBlank="1" errorTitle="Please pick from the list" error="Choose a value from the dropdown." type="list" errorStyle="stop">
      <formula1>=lstCF</formula1>
    </dataValidation>
    <dataValidation sqref="G7:G156" showDropDown="0" showInputMessage="0" showErrorMessage="1" allowBlank="1" errorTitle="Please pick from the list" error="Choose a value from the dropdown." type="list" errorStyle="stop">
      <formula1>=lstYesNo</formula1>
    </dataValidation>
    <dataValidation sqref="H7:H156" showDropDown="0" showInputMessage="0" showErrorMessage="1" allowBlank="1" errorTitle="Please pick from the list" error="Choose a value from the dropdown." type="list" errorStyle="stop">
      <formula1>=lstYesNo</formula1>
    </dataValidation>
    <dataValidation sqref="I7:I156" showDropDown="0" showInputMessage="0" showErrorMessage="1" allowBlank="1" errorTitle="Numbers only" error="Enter a number without currency symbols." type="decimal" errorStyle="warning" operator="between">
      <formula1>-1E+12</formula1>
      <formula2>1E+12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7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2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26" customHeight="1">
      <c r="B1" s="19" t="inlineStr">
        <is>
          <t>Profit &amp; Loss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</row>
    <row r="4">
      <c r="B4" s="23">
        <f>"For the month of "&amp;TEXT(RptStart,"mmmm yyyy")&amp;"  ·  Fiscal year "&amp;TEXT(FYStart,"mmm yyyy")&amp;" – "&amp;TEXT(FYEnd,"mmm yyyy")&amp;"  ·  Amounts in "&amp;Currency</f>
        <v/>
      </c>
    </row>
    <row r="6" ht="28" customHeight="1">
      <c r="B6" s="70" t="inlineStr">
        <is>
          <t>Account</t>
        </is>
      </c>
      <c r="C6" s="70" t="inlineStr">
        <is>
          <t>This Month</t>
        </is>
      </c>
      <c r="D6" s="70" t="inlineStr">
        <is>
          <t>Previous Month</t>
        </is>
      </c>
      <c r="E6" s="70" t="inlineStr">
        <is>
          <t>Year to Date</t>
        </is>
      </c>
      <c r="F6" s="70" t="inlineStr">
        <is>
          <t>Full Year</t>
        </is>
      </c>
      <c r="H6" s="71">
        <f>EDATE(FYStart,0)</f>
        <v/>
      </c>
      <c r="I6" s="71">
        <f>EDATE(FYStart,1)</f>
        <v/>
      </c>
      <c r="J6" s="71">
        <f>EDATE(FYStart,2)</f>
        <v/>
      </c>
      <c r="K6" s="71">
        <f>EDATE(FYStart,3)</f>
        <v/>
      </c>
      <c r="L6" s="71">
        <f>EDATE(FYStart,4)</f>
        <v/>
      </c>
      <c r="M6" s="71">
        <f>EDATE(FYStart,5)</f>
        <v/>
      </c>
      <c r="N6" s="71">
        <f>EDATE(FYStart,6)</f>
        <v/>
      </c>
      <c r="O6" s="71">
        <f>EDATE(FYStart,7)</f>
        <v/>
      </c>
      <c r="P6" s="71">
        <f>EDATE(FYStart,8)</f>
        <v/>
      </c>
      <c r="Q6" s="71">
        <f>EDATE(FYStart,9)</f>
        <v/>
      </c>
      <c r="R6" s="71">
        <f>EDATE(FYStart,10)</f>
        <v/>
      </c>
      <c r="S6" s="71">
        <f>EDATE(FYStart,11)</f>
        <v/>
      </c>
    </row>
    <row r="8">
      <c r="B8" s="72" t="inlineStr">
        <is>
          <t>REVENUE</t>
        </is>
      </c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</row>
    <row r="9">
      <c r="B9" s="74">
        <f>IFERROR(INDEX(calc_Name,MATCH("Revenue|1",calc_Key,0)),"")</f>
        <v/>
      </c>
      <c r="C9" s="54">
        <f>IF($B9="","",-1*IFERROR(INDEX(calc_Cur,MATCH($B9,calc_Name,0)),0))</f>
        <v/>
      </c>
      <c r="D9" s="54">
        <f>IF($B9="","",-1*IFERROR(INDEX(calc_Prev,MATCH($B9,calc_Name,0)),0))</f>
        <v/>
      </c>
      <c r="E9" s="54">
        <f>IF($B9="","",-1*IFERROR(INDEX(calc_YTD,MATCH($B9,calc_Name,0)),0))</f>
        <v/>
      </c>
      <c r="F9" s="54">
        <f>IF($B9="","",-1*IFERROR(INDEX(calc_FY,MATCH($B9,calc_Name,0)),0))</f>
        <v/>
      </c>
      <c r="H9" s="54">
        <f>IF($B9="","",-1*IFERROR(INDEX(calc_M1,MATCH($B9,calc_Name,0)),0))</f>
        <v/>
      </c>
      <c r="I9" s="54">
        <f>IF($B9="","",-1*IFERROR(INDEX(calc_M2,MATCH($B9,calc_Name,0)),0))</f>
        <v/>
      </c>
      <c r="J9" s="54">
        <f>IF($B9="","",-1*IFERROR(INDEX(calc_M3,MATCH($B9,calc_Name,0)),0))</f>
        <v/>
      </c>
      <c r="K9" s="54">
        <f>IF($B9="","",-1*IFERROR(INDEX(calc_M4,MATCH($B9,calc_Name,0)),0))</f>
        <v/>
      </c>
      <c r="L9" s="54">
        <f>IF($B9="","",-1*IFERROR(INDEX(calc_M5,MATCH($B9,calc_Name,0)),0))</f>
        <v/>
      </c>
      <c r="M9" s="54">
        <f>IF($B9="","",-1*IFERROR(INDEX(calc_M6,MATCH($B9,calc_Name,0)),0))</f>
        <v/>
      </c>
      <c r="N9" s="54">
        <f>IF($B9="","",-1*IFERROR(INDEX(calc_M7,MATCH($B9,calc_Name,0)),0))</f>
        <v/>
      </c>
      <c r="O9" s="54">
        <f>IF($B9="","",-1*IFERROR(INDEX(calc_M8,MATCH($B9,calc_Name,0)),0))</f>
        <v/>
      </c>
      <c r="P9" s="54">
        <f>IF($B9="","",-1*IFERROR(INDEX(calc_M9,MATCH($B9,calc_Name,0)),0))</f>
        <v/>
      </c>
      <c r="Q9" s="54">
        <f>IF($B9="","",-1*IFERROR(INDEX(calc_M10,MATCH($B9,calc_Name,0)),0))</f>
        <v/>
      </c>
      <c r="R9" s="54">
        <f>IF($B9="","",-1*IFERROR(INDEX(calc_M11,MATCH($B9,calc_Name,0)),0))</f>
        <v/>
      </c>
      <c r="S9" s="54">
        <f>IF($B9="","",-1*IFERROR(INDEX(calc_M12,MATCH($B9,calc_Name,0)),0))</f>
        <v/>
      </c>
    </row>
    <row r="10">
      <c r="B10" s="74">
        <f>IFERROR(INDEX(calc_Name,MATCH("Revenue|2",calc_Key,0)),"")</f>
        <v/>
      </c>
      <c r="C10" s="54">
        <f>IF($B10="","",-1*IFERROR(INDEX(calc_Cur,MATCH($B10,calc_Name,0)),0))</f>
        <v/>
      </c>
      <c r="D10" s="54">
        <f>IF($B10="","",-1*IFERROR(INDEX(calc_Prev,MATCH($B10,calc_Name,0)),0))</f>
        <v/>
      </c>
      <c r="E10" s="54">
        <f>IF($B10="","",-1*IFERROR(INDEX(calc_YTD,MATCH($B10,calc_Name,0)),0))</f>
        <v/>
      </c>
      <c r="F10" s="54">
        <f>IF($B10="","",-1*IFERROR(INDEX(calc_FY,MATCH($B10,calc_Name,0)),0))</f>
        <v/>
      </c>
      <c r="H10" s="54">
        <f>IF($B10="","",-1*IFERROR(INDEX(calc_M1,MATCH($B10,calc_Name,0)),0))</f>
        <v/>
      </c>
      <c r="I10" s="54">
        <f>IF($B10="","",-1*IFERROR(INDEX(calc_M2,MATCH($B10,calc_Name,0)),0))</f>
        <v/>
      </c>
      <c r="J10" s="54">
        <f>IF($B10="","",-1*IFERROR(INDEX(calc_M3,MATCH($B10,calc_Name,0)),0))</f>
        <v/>
      </c>
      <c r="K10" s="54">
        <f>IF($B10="","",-1*IFERROR(INDEX(calc_M4,MATCH($B10,calc_Name,0)),0))</f>
        <v/>
      </c>
      <c r="L10" s="54">
        <f>IF($B10="","",-1*IFERROR(INDEX(calc_M5,MATCH($B10,calc_Name,0)),0))</f>
        <v/>
      </c>
      <c r="M10" s="54">
        <f>IF($B10="","",-1*IFERROR(INDEX(calc_M6,MATCH($B10,calc_Name,0)),0))</f>
        <v/>
      </c>
      <c r="N10" s="54">
        <f>IF($B10="","",-1*IFERROR(INDEX(calc_M7,MATCH($B10,calc_Name,0)),0))</f>
        <v/>
      </c>
      <c r="O10" s="54">
        <f>IF($B10="","",-1*IFERROR(INDEX(calc_M8,MATCH($B10,calc_Name,0)),0))</f>
        <v/>
      </c>
      <c r="P10" s="54">
        <f>IF($B10="","",-1*IFERROR(INDEX(calc_M9,MATCH($B10,calc_Name,0)),0))</f>
        <v/>
      </c>
      <c r="Q10" s="54">
        <f>IF($B10="","",-1*IFERROR(INDEX(calc_M10,MATCH($B10,calc_Name,0)),0))</f>
        <v/>
      </c>
      <c r="R10" s="54">
        <f>IF($B10="","",-1*IFERROR(INDEX(calc_M11,MATCH($B10,calc_Name,0)),0))</f>
        <v/>
      </c>
      <c r="S10" s="54">
        <f>IF($B10="","",-1*IFERROR(INDEX(calc_M12,MATCH($B10,calc_Name,0)),0))</f>
        <v/>
      </c>
    </row>
    <row r="11">
      <c r="B11" s="74">
        <f>IFERROR(INDEX(calc_Name,MATCH("Revenue|3",calc_Key,0)),"")</f>
        <v/>
      </c>
      <c r="C11" s="54">
        <f>IF($B11="","",-1*IFERROR(INDEX(calc_Cur,MATCH($B11,calc_Name,0)),0))</f>
        <v/>
      </c>
      <c r="D11" s="54">
        <f>IF($B11="","",-1*IFERROR(INDEX(calc_Prev,MATCH($B11,calc_Name,0)),0))</f>
        <v/>
      </c>
      <c r="E11" s="54">
        <f>IF($B11="","",-1*IFERROR(INDEX(calc_YTD,MATCH($B11,calc_Name,0)),0))</f>
        <v/>
      </c>
      <c r="F11" s="54">
        <f>IF($B11="","",-1*IFERROR(INDEX(calc_FY,MATCH($B11,calc_Name,0)),0))</f>
        <v/>
      </c>
      <c r="H11" s="54">
        <f>IF($B11="","",-1*IFERROR(INDEX(calc_M1,MATCH($B11,calc_Name,0)),0))</f>
        <v/>
      </c>
      <c r="I11" s="54">
        <f>IF($B11="","",-1*IFERROR(INDEX(calc_M2,MATCH($B11,calc_Name,0)),0))</f>
        <v/>
      </c>
      <c r="J11" s="54">
        <f>IF($B11="","",-1*IFERROR(INDEX(calc_M3,MATCH($B11,calc_Name,0)),0))</f>
        <v/>
      </c>
      <c r="K11" s="54">
        <f>IF($B11="","",-1*IFERROR(INDEX(calc_M4,MATCH($B11,calc_Name,0)),0))</f>
        <v/>
      </c>
      <c r="L11" s="54">
        <f>IF($B11="","",-1*IFERROR(INDEX(calc_M5,MATCH($B11,calc_Name,0)),0))</f>
        <v/>
      </c>
      <c r="M11" s="54">
        <f>IF($B11="","",-1*IFERROR(INDEX(calc_M6,MATCH($B11,calc_Name,0)),0))</f>
        <v/>
      </c>
      <c r="N11" s="54">
        <f>IF($B11="","",-1*IFERROR(INDEX(calc_M7,MATCH($B11,calc_Name,0)),0))</f>
        <v/>
      </c>
      <c r="O11" s="54">
        <f>IF($B11="","",-1*IFERROR(INDEX(calc_M8,MATCH($B11,calc_Name,0)),0))</f>
        <v/>
      </c>
      <c r="P11" s="54">
        <f>IF($B11="","",-1*IFERROR(INDEX(calc_M9,MATCH($B11,calc_Name,0)),0))</f>
        <v/>
      </c>
      <c r="Q11" s="54">
        <f>IF($B11="","",-1*IFERROR(INDEX(calc_M10,MATCH($B11,calc_Name,0)),0))</f>
        <v/>
      </c>
      <c r="R11" s="54">
        <f>IF($B11="","",-1*IFERROR(INDEX(calc_M11,MATCH($B11,calc_Name,0)),0))</f>
        <v/>
      </c>
      <c r="S11" s="54">
        <f>IF($B11="","",-1*IFERROR(INDEX(calc_M12,MATCH($B11,calc_Name,0)),0))</f>
        <v/>
      </c>
    </row>
    <row r="12">
      <c r="B12" s="74">
        <f>IFERROR(INDEX(calc_Name,MATCH("Revenue|4",calc_Key,0)),"")</f>
        <v/>
      </c>
      <c r="C12" s="54">
        <f>IF($B12="","",-1*IFERROR(INDEX(calc_Cur,MATCH($B12,calc_Name,0)),0))</f>
        <v/>
      </c>
      <c r="D12" s="54">
        <f>IF($B12="","",-1*IFERROR(INDEX(calc_Prev,MATCH($B12,calc_Name,0)),0))</f>
        <v/>
      </c>
      <c r="E12" s="54">
        <f>IF($B12="","",-1*IFERROR(INDEX(calc_YTD,MATCH($B12,calc_Name,0)),0))</f>
        <v/>
      </c>
      <c r="F12" s="54">
        <f>IF($B12="","",-1*IFERROR(INDEX(calc_FY,MATCH($B12,calc_Name,0)),0))</f>
        <v/>
      </c>
      <c r="H12" s="54">
        <f>IF($B12="","",-1*IFERROR(INDEX(calc_M1,MATCH($B12,calc_Name,0)),0))</f>
        <v/>
      </c>
      <c r="I12" s="54">
        <f>IF($B12="","",-1*IFERROR(INDEX(calc_M2,MATCH($B12,calc_Name,0)),0))</f>
        <v/>
      </c>
      <c r="J12" s="54">
        <f>IF($B12="","",-1*IFERROR(INDEX(calc_M3,MATCH($B12,calc_Name,0)),0))</f>
        <v/>
      </c>
      <c r="K12" s="54">
        <f>IF($B12="","",-1*IFERROR(INDEX(calc_M4,MATCH($B12,calc_Name,0)),0))</f>
        <v/>
      </c>
      <c r="L12" s="54">
        <f>IF($B12="","",-1*IFERROR(INDEX(calc_M5,MATCH($B12,calc_Name,0)),0))</f>
        <v/>
      </c>
      <c r="M12" s="54">
        <f>IF($B12="","",-1*IFERROR(INDEX(calc_M6,MATCH($B12,calc_Name,0)),0))</f>
        <v/>
      </c>
      <c r="N12" s="54">
        <f>IF($B12="","",-1*IFERROR(INDEX(calc_M7,MATCH($B12,calc_Name,0)),0))</f>
        <v/>
      </c>
      <c r="O12" s="54">
        <f>IF($B12="","",-1*IFERROR(INDEX(calc_M8,MATCH($B12,calc_Name,0)),0))</f>
        <v/>
      </c>
      <c r="P12" s="54">
        <f>IF($B12="","",-1*IFERROR(INDEX(calc_M9,MATCH($B12,calc_Name,0)),0))</f>
        <v/>
      </c>
      <c r="Q12" s="54">
        <f>IF($B12="","",-1*IFERROR(INDEX(calc_M10,MATCH($B12,calc_Name,0)),0))</f>
        <v/>
      </c>
      <c r="R12" s="54">
        <f>IF($B12="","",-1*IFERROR(INDEX(calc_M11,MATCH($B12,calc_Name,0)),0))</f>
        <v/>
      </c>
      <c r="S12" s="54">
        <f>IF($B12="","",-1*IFERROR(INDEX(calc_M12,MATCH($B12,calc_Name,0)),0))</f>
        <v/>
      </c>
    </row>
    <row r="13">
      <c r="B13" s="74">
        <f>IFERROR(INDEX(calc_Name,MATCH("Revenue|5",calc_Key,0)),"")</f>
        <v/>
      </c>
      <c r="C13" s="54">
        <f>IF($B13="","",-1*IFERROR(INDEX(calc_Cur,MATCH($B13,calc_Name,0)),0))</f>
        <v/>
      </c>
      <c r="D13" s="54">
        <f>IF($B13="","",-1*IFERROR(INDEX(calc_Prev,MATCH($B13,calc_Name,0)),0))</f>
        <v/>
      </c>
      <c r="E13" s="54">
        <f>IF($B13="","",-1*IFERROR(INDEX(calc_YTD,MATCH($B13,calc_Name,0)),0))</f>
        <v/>
      </c>
      <c r="F13" s="54">
        <f>IF($B13="","",-1*IFERROR(INDEX(calc_FY,MATCH($B13,calc_Name,0)),0))</f>
        <v/>
      </c>
      <c r="H13" s="54">
        <f>IF($B13="","",-1*IFERROR(INDEX(calc_M1,MATCH($B13,calc_Name,0)),0))</f>
        <v/>
      </c>
      <c r="I13" s="54">
        <f>IF($B13="","",-1*IFERROR(INDEX(calc_M2,MATCH($B13,calc_Name,0)),0))</f>
        <v/>
      </c>
      <c r="J13" s="54">
        <f>IF($B13="","",-1*IFERROR(INDEX(calc_M3,MATCH($B13,calc_Name,0)),0))</f>
        <v/>
      </c>
      <c r="K13" s="54">
        <f>IF($B13="","",-1*IFERROR(INDEX(calc_M4,MATCH($B13,calc_Name,0)),0))</f>
        <v/>
      </c>
      <c r="L13" s="54">
        <f>IF($B13="","",-1*IFERROR(INDEX(calc_M5,MATCH($B13,calc_Name,0)),0))</f>
        <v/>
      </c>
      <c r="M13" s="54">
        <f>IF($B13="","",-1*IFERROR(INDEX(calc_M6,MATCH($B13,calc_Name,0)),0))</f>
        <v/>
      </c>
      <c r="N13" s="54">
        <f>IF($B13="","",-1*IFERROR(INDEX(calc_M7,MATCH($B13,calc_Name,0)),0))</f>
        <v/>
      </c>
      <c r="O13" s="54">
        <f>IF($B13="","",-1*IFERROR(INDEX(calc_M8,MATCH($B13,calc_Name,0)),0))</f>
        <v/>
      </c>
      <c r="P13" s="54">
        <f>IF($B13="","",-1*IFERROR(INDEX(calc_M9,MATCH($B13,calc_Name,0)),0))</f>
        <v/>
      </c>
      <c r="Q13" s="54">
        <f>IF($B13="","",-1*IFERROR(INDEX(calc_M10,MATCH($B13,calc_Name,0)),0))</f>
        <v/>
      </c>
      <c r="R13" s="54">
        <f>IF($B13="","",-1*IFERROR(INDEX(calc_M11,MATCH($B13,calc_Name,0)),0))</f>
        <v/>
      </c>
      <c r="S13" s="54">
        <f>IF($B13="","",-1*IFERROR(INDEX(calc_M12,MATCH($B13,calc_Name,0)),0))</f>
        <v/>
      </c>
    </row>
    <row r="14">
      <c r="B14" s="74">
        <f>IFERROR(INDEX(calc_Name,MATCH("Revenue|6",calc_Key,0)),"")</f>
        <v/>
      </c>
      <c r="C14" s="54">
        <f>IF($B14="","",-1*IFERROR(INDEX(calc_Cur,MATCH($B14,calc_Name,0)),0))</f>
        <v/>
      </c>
      <c r="D14" s="54">
        <f>IF($B14="","",-1*IFERROR(INDEX(calc_Prev,MATCH($B14,calc_Name,0)),0))</f>
        <v/>
      </c>
      <c r="E14" s="54">
        <f>IF($B14="","",-1*IFERROR(INDEX(calc_YTD,MATCH($B14,calc_Name,0)),0))</f>
        <v/>
      </c>
      <c r="F14" s="54">
        <f>IF($B14="","",-1*IFERROR(INDEX(calc_FY,MATCH($B14,calc_Name,0)),0))</f>
        <v/>
      </c>
      <c r="H14" s="54">
        <f>IF($B14="","",-1*IFERROR(INDEX(calc_M1,MATCH($B14,calc_Name,0)),0))</f>
        <v/>
      </c>
      <c r="I14" s="54">
        <f>IF($B14="","",-1*IFERROR(INDEX(calc_M2,MATCH($B14,calc_Name,0)),0))</f>
        <v/>
      </c>
      <c r="J14" s="54">
        <f>IF($B14="","",-1*IFERROR(INDEX(calc_M3,MATCH($B14,calc_Name,0)),0))</f>
        <v/>
      </c>
      <c r="K14" s="54">
        <f>IF($B14="","",-1*IFERROR(INDEX(calc_M4,MATCH($B14,calc_Name,0)),0))</f>
        <v/>
      </c>
      <c r="L14" s="54">
        <f>IF($B14="","",-1*IFERROR(INDEX(calc_M5,MATCH($B14,calc_Name,0)),0))</f>
        <v/>
      </c>
      <c r="M14" s="54">
        <f>IF($B14="","",-1*IFERROR(INDEX(calc_M6,MATCH($B14,calc_Name,0)),0))</f>
        <v/>
      </c>
      <c r="N14" s="54">
        <f>IF($B14="","",-1*IFERROR(INDEX(calc_M7,MATCH($B14,calc_Name,0)),0))</f>
        <v/>
      </c>
      <c r="O14" s="54">
        <f>IF($B14="","",-1*IFERROR(INDEX(calc_M8,MATCH($B14,calc_Name,0)),0))</f>
        <v/>
      </c>
      <c r="P14" s="54">
        <f>IF($B14="","",-1*IFERROR(INDEX(calc_M9,MATCH($B14,calc_Name,0)),0))</f>
        <v/>
      </c>
      <c r="Q14" s="54">
        <f>IF($B14="","",-1*IFERROR(INDEX(calc_M10,MATCH($B14,calc_Name,0)),0))</f>
        <v/>
      </c>
      <c r="R14" s="54">
        <f>IF($B14="","",-1*IFERROR(INDEX(calc_M11,MATCH($B14,calc_Name,0)),0))</f>
        <v/>
      </c>
      <c r="S14" s="54">
        <f>IF($B14="","",-1*IFERROR(INDEX(calc_M12,MATCH($B14,calc_Name,0)),0))</f>
        <v/>
      </c>
    </row>
    <row r="15">
      <c r="B15" s="35" t="inlineStr">
        <is>
          <t>Total Revenue</t>
        </is>
      </c>
      <c r="C15" s="75">
        <f>-1*SUMIFS(calc_Cur,calc_Type,"Revenue")</f>
        <v/>
      </c>
      <c r="D15" s="75">
        <f>-1*SUMIFS(calc_Prev,calc_Type,"Revenue")</f>
        <v/>
      </c>
      <c r="E15" s="75">
        <f>-1*SUMIFS(calc_YTD,calc_Type,"Revenue")</f>
        <v/>
      </c>
      <c r="F15" s="75">
        <f>-1*SUMIFS(calc_FY,calc_Type,"Revenue")</f>
        <v/>
      </c>
      <c r="G15" s="75" t="n"/>
      <c r="H15" s="75">
        <f>-1*SUMIFS(calc_M1,calc_Type,"Revenue")</f>
        <v/>
      </c>
      <c r="I15" s="75">
        <f>-1*SUMIFS(calc_M2,calc_Type,"Revenue")</f>
        <v/>
      </c>
      <c r="J15" s="75">
        <f>-1*SUMIFS(calc_M3,calc_Type,"Revenue")</f>
        <v/>
      </c>
      <c r="K15" s="75">
        <f>-1*SUMIFS(calc_M4,calc_Type,"Revenue")</f>
        <v/>
      </c>
      <c r="L15" s="75">
        <f>-1*SUMIFS(calc_M5,calc_Type,"Revenue")</f>
        <v/>
      </c>
      <c r="M15" s="75">
        <f>-1*SUMIFS(calc_M6,calc_Type,"Revenue")</f>
        <v/>
      </c>
      <c r="N15" s="75">
        <f>-1*SUMIFS(calc_M7,calc_Type,"Revenue")</f>
        <v/>
      </c>
      <c r="O15" s="75">
        <f>-1*SUMIFS(calc_M8,calc_Type,"Revenue")</f>
        <v/>
      </c>
      <c r="P15" s="75">
        <f>-1*SUMIFS(calc_M9,calc_Type,"Revenue")</f>
        <v/>
      </c>
      <c r="Q15" s="75">
        <f>-1*SUMIFS(calc_M10,calc_Type,"Revenue")</f>
        <v/>
      </c>
      <c r="R15" s="75">
        <f>-1*SUMIFS(calc_M11,calc_Type,"Revenue")</f>
        <v/>
      </c>
      <c r="S15" s="75">
        <f>-1*SUMIFS(calc_M12,calc_Type,"Revenue")</f>
        <v/>
      </c>
    </row>
    <row r="17">
      <c r="B17" s="72" t="inlineStr">
        <is>
          <t>COST OF SALES</t>
        </is>
      </c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</row>
    <row r="18">
      <c r="B18" s="74">
        <f>IFERROR(INDEX(calc_Name,MATCH("Cost of Sales|1",calc_Key,0)),"")</f>
        <v/>
      </c>
      <c r="C18" s="54">
        <f>IF($B18="","",1*IFERROR(INDEX(calc_Cur,MATCH($B18,calc_Name,0)),0))</f>
        <v/>
      </c>
      <c r="D18" s="54">
        <f>IF($B18="","",1*IFERROR(INDEX(calc_Prev,MATCH($B18,calc_Name,0)),0))</f>
        <v/>
      </c>
      <c r="E18" s="54">
        <f>IF($B18="","",1*IFERROR(INDEX(calc_YTD,MATCH($B18,calc_Name,0)),0))</f>
        <v/>
      </c>
      <c r="F18" s="54">
        <f>IF($B18="","",1*IFERROR(INDEX(calc_FY,MATCH($B18,calc_Name,0)),0))</f>
        <v/>
      </c>
      <c r="H18" s="54">
        <f>IF($B18="","",1*IFERROR(INDEX(calc_M1,MATCH($B18,calc_Name,0)),0))</f>
        <v/>
      </c>
      <c r="I18" s="54">
        <f>IF($B18="","",1*IFERROR(INDEX(calc_M2,MATCH($B18,calc_Name,0)),0))</f>
        <v/>
      </c>
      <c r="J18" s="54">
        <f>IF($B18="","",1*IFERROR(INDEX(calc_M3,MATCH($B18,calc_Name,0)),0))</f>
        <v/>
      </c>
      <c r="K18" s="54">
        <f>IF($B18="","",1*IFERROR(INDEX(calc_M4,MATCH($B18,calc_Name,0)),0))</f>
        <v/>
      </c>
      <c r="L18" s="54">
        <f>IF($B18="","",1*IFERROR(INDEX(calc_M5,MATCH($B18,calc_Name,0)),0))</f>
        <v/>
      </c>
      <c r="M18" s="54">
        <f>IF($B18="","",1*IFERROR(INDEX(calc_M6,MATCH($B18,calc_Name,0)),0))</f>
        <v/>
      </c>
      <c r="N18" s="54">
        <f>IF($B18="","",1*IFERROR(INDEX(calc_M7,MATCH($B18,calc_Name,0)),0))</f>
        <v/>
      </c>
      <c r="O18" s="54">
        <f>IF($B18="","",1*IFERROR(INDEX(calc_M8,MATCH($B18,calc_Name,0)),0))</f>
        <v/>
      </c>
      <c r="P18" s="54">
        <f>IF($B18="","",1*IFERROR(INDEX(calc_M9,MATCH($B18,calc_Name,0)),0))</f>
        <v/>
      </c>
      <c r="Q18" s="54">
        <f>IF($B18="","",1*IFERROR(INDEX(calc_M10,MATCH($B18,calc_Name,0)),0))</f>
        <v/>
      </c>
      <c r="R18" s="54">
        <f>IF($B18="","",1*IFERROR(INDEX(calc_M11,MATCH($B18,calc_Name,0)),0))</f>
        <v/>
      </c>
      <c r="S18" s="54">
        <f>IF($B18="","",1*IFERROR(INDEX(calc_M12,MATCH($B18,calc_Name,0)),0))</f>
        <v/>
      </c>
    </row>
    <row r="19">
      <c r="B19" s="74">
        <f>IFERROR(INDEX(calc_Name,MATCH("Cost of Sales|2",calc_Key,0)),"")</f>
        <v/>
      </c>
      <c r="C19" s="54">
        <f>IF($B19="","",1*IFERROR(INDEX(calc_Cur,MATCH($B19,calc_Name,0)),0))</f>
        <v/>
      </c>
      <c r="D19" s="54">
        <f>IF($B19="","",1*IFERROR(INDEX(calc_Prev,MATCH($B19,calc_Name,0)),0))</f>
        <v/>
      </c>
      <c r="E19" s="54">
        <f>IF($B19="","",1*IFERROR(INDEX(calc_YTD,MATCH($B19,calc_Name,0)),0))</f>
        <v/>
      </c>
      <c r="F19" s="54">
        <f>IF($B19="","",1*IFERROR(INDEX(calc_FY,MATCH($B19,calc_Name,0)),0))</f>
        <v/>
      </c>
      <c r="H19" s="54">
        <f>IF($B19="","",1*IFERROR(INDEX(calc_M1,MATCH($B19,calc_Name,0)),0))</f>
        <v/>
      </c>
      <c r="I19" s="54">
        <f>IF($B19="","",1*IFERROR(INDEX(calc_M2,MATCH($B19,calc_Name,0)),0))</f>
        <v/>
      </c>
      <c r="J19" s="54">
        <f>IF($B19="","",1*IFERROR(INDEX(calc_M3,MATCH($B19,calc_Name,0)),0))</f>
        <v/>
      </c>
      <c r="K19" s="54">
        <f>IF($B19="","",1*IFERROR(INDEX(calc_M4,MATCH($B19,calc_Name,0)),0))</f>
        <v/>
      </c>
      <c r="L19" s="54">
        <f>IF($B19="","",1*IFERROR(INDEX(calc_M5,MATCH($B19,calc_Name,0)),0))</f>
        <v/>
      </c>
      <c r="M19" s="54">
        <f>IF($B19="","",1*IFERROR(INDEX(calc_M6,MATCH($B19,calc_Name,0)),0))</f>
        <v/>
      </c>
      <c r="N19" s="54">
        <f>IF($B19="","",1*IFERROR(INDEX(calc_M7,MATCH($B19,calc_Name,0)),0))</f>
        <v/>
      </c>
      <c r="O19" s="54">
        <f>IF($B19="","",1*IFERROR(INDEX(calc_M8,MATCH($B19,calc_Name,0)),0))</f>
        <v/>
      </c>
      <c r="P19" s="54">
        <f>IF($B19="","",1*IFERROR(INDEX(calc_M9,MATCH($B19,calc_Name,0)),0))</f>
        <v/>
      </c>
      <c r="Q19" s="54">
        <f>IF($B19="","",1*IFERROR(INDEX(calc_M10,MATCH($B19,calc_Name,0)),0))</f>
        <v/>
      </c>
      <c r="R19" s="54">
        <f>IF($B19="","",1*IFERROR(INDEX(calc_M11,MATCH($B19,calc_Name,0)),0))</f>
        <v/>
      </c>
      <c r="S19" s="54">
        <f>IF($B19="","",1*IFERROR(INDEX(calc_M12,MATCH($B19,calc_Name,0)),0))</f>
        <v/>
      </c>
    </row>
    <row r="20">
      <c r="B20" s="74">
        <f>IFERROR(INDEX(calc_Name,MATCH("Cost of Sales|3",calc_Key,0)),"")</f>
        <v/>
      </c>
      <c r="C20" s="54">
        <f>IF($B20="","",1*IFERROR(INDEX(calc_Cur,MATCH($B20,calc_Name,0)),0))</f>
        <v/>
      </c>
      <c r="D20" s="54">
        <f>IF($B20="","",1*IFERROR(INDEX(calc_Prev,MATCH($B20,calc_Name,0)),0))</f>
        <v/>
      </c>
      <c r="E20" s="54">
        <f>IF($B20="","",1*IFERROR(INDEX(calc_YTD,MATCH($B20,calc_Name,0)),0))</f>
        <v/>
      </c>
      <c r="F20" s="54">
        <f>IF($B20="","",1*IFERROR(INDEX(calc_FY,MATCH($B20,calc_Name,0)),0))</f>
        <v/>
      </c>
      <c r="H20" s="54">
        <f>IF($B20="","",1*IFERROR(INDEX(calc_M1,MATCH($B20,calc_Name,0)),0))</f>
        <v/>
      </c>
      <c r="I20" s="54">
        <f>IF($B20="","",1*IFERROR(INDEX(calc_M2,MATCH($B20,calc_Name,0)),0))</f>
        <v/>
      </c>
      <c r="J20" s="54">
        <f>IF($B20="","",1*IFERROR(INDEX(calc_M3,MATCH($B20,calc_Name,0)),0))</f>
        <v/>
      </c>
      <c r="K20" s="54">
        <f>IF($B20="","",1*IFERROR(INDEX(calc_M4,MATCH($B20,calc_Name,0)),0))</f>
        <v/>
      </c>
      <c r="L20" s="54">
        <f>IF($B20="","",1*IFERROR(INDEX(calc_M5,MATCH($B20,calc_Name,0)),0))</f>
        <v/>
      </c>
      <c r="M20" s="54">
        <f>IF($B20="","",1*IFERROR(INDEX(calc_M6,MATCH($B20,calc_Name,0)),0))</f>
        <v/>
      </c>
      <c r="N20" s="54">
        <f>IF($B20="","",1*IFERROR(INDEX(calc_M7,MATCH($B20,calc_Name,0)),0))</f>
        <v/>
      </c>
      <c r="O20" s="54">
        <f>IF($B20="","",1*IFERROR(INDEX(calc_M8,MATCH($B20,calc_Name,0)),0))</f>
        <v/>
      </c>
      <c r="P20" s="54">
        <f>IF($B20="","",1*IFERROR(INDEX(calc_M9,MATCH($B20,calc_Name,0)),0))</f>
        <v/>
      </c>
      <c r="Q20" s="54">
        <f>IF($B20="","",1*IFERROR(INDEX(calc_M10,MATCH($B20,calc_Name,0)),0))</f>
        <v/>
      </c>
      <c r="R20" s="54">
        <f>IF($B20="","",1*IFERROR(INDEX(calc_M11,MATCH($B20,calc_Name,0)),0))</f>
        <v/>
      </c>
      <c r="S20" s="54">
        <f>IF($B20="","",1*IFERROR(INDEX(calc_M12,MATCH($B20,calc_Name,0)),0))</f>
        <v/>
      </c>
    </row>
    <row r="21">
      <c r="B21" s="74">
        <f>IFERROR(INDEX(calc_Name,MATCH("Cost of Sales|4",calc_Key,0)),"")</f>
        <v/>
      </c>
      <c r="C21" s="54">
        <f>IF($B21="","",1*IFERROR(INDEX(calc_Cur,MATCH($B21,calc_Name,0)),0))</f>
        <v/>
      </c>
      <c r="D21" s="54">
        <f>IF($B21="","",1*IFERROR(INDEX(calc_Prev,MATCH($B21,calc_Name,0)),0))</f>
        <v/>
      </c>
      <c r="E21" s="54">
        <f>IF($B21="","",1*IFERROR(INDEX(calc_YTD,MATCH($B21,calc_Name,0)),0))</f>
        <v/>
      </c>
      <c r="F21" s="54">
        <f>IF($B21="","",1*IFERROR(INDEX(calc_FY,MATCH($B21,calc_Name,0)),0))</f>
        <v/>
      </c>
      <c r="H21" s="54">
        <f>IF($B21="","",1*IFERROR(INDEX(calc_M1,MATCH($B21,calc_Name,0)),0))</f>
        <v/>
      </c>
      <c r="I21" s="54">
        <f>IF($B21="","",1*IFERROR(INDEX(calc_M2,MATCH($B21,calc_Name,0)),0))</f>
        <v/>
      </c>
      <c r="J21" s="54">
        <f>IF($B21="","",1*IFERROR(INDEX(calc_M3,MATCH($B21,calc_Name,0)),0))</f>
        <v/>
      </c>
      <c r="K21" s="54">
        <f>IF($B21="","",1*IFERROR(INDEX(calc_M4,MATCH($B21,calc_Name,0)),0))</f>
        <v/>
      </c>
      <c r="L21" s="54">
        <f>IF($B21="","",1*IFERROR(INDEX(calc_M5,MATCH($B21,calc_Name,0)),0))</f>
        <v/>
      </c>
      <c r="M21" s="54">
        <f>IF($B21="","",1*IFERROR(INDEX(calc_M6,MATCH($B21,calc_Name,0)),0))</f>
        <v/>
      </c>
      <c r="N21" s="54">
        <f>IF($B21="","",1*IFERROR(INDEX(calc_M7,MATCH($B21,calc_Name,0)),0))</f>
        <v/>
      </c>
      <c r="O21" s="54">
        <f>IF($B21="","",1*IFERROR(INDEX(calc_M8,MATCH($B21,calc_Name,0)),0))</f>
        <v/>
      </c>
      <c r="P21" s="54">
        <f>IF($B21="","",1*IFERROR(INDEX(calc_M9,MATCH($B21,calc_Name,0)),0))</f>
        <v/>
      </c>
      <c r="Q21" s="54">
        <f>IF($B21="","",1*IFERROR(INDEX(calc_M10,MATCH($B21,calc_Name,0)),0))</f>
        <v/>
      </c>
      <c r="R21" s="54">
        <f>IF($B21="","",1*IFERROR(INDEX(calc_M11,MATCH($B21,calc_Name,0)),0))</f>
        <v/>
      </c>
      <c r="S21" s="54">
        <f>IF($B21="","",1*IFERROR(INDEX(calc_M12,MATCH($B21,calc_Name,0)),0))</f>
        <v/>
      </c>
    </row>
    <row r="22">
      <c r="B22" s="74">
        <f>IFERROR(INDEX(calc_Name,MATCH("Cost of Sales|5",calc_Key,0)),"")</f>
        <v/>
      </c>
      <c r="C22" s="54">
        <f>IF($B22="","",1*IFERROR(INDEX(calc_Cur,MATCH($B22,calc_Name,0)),0))</f>
        <v/>
      </c>
      <c r="D22" s="54">
        <f>IF($B22="","",1*IFERROR(INDEX(calc_Prev,MATCH($B22,calc_Name,0)),0))</f>
        <v/>
      </c>
      <c r="E22" s="54">
        <f>IF($B22="","",1*IFERROR(INDEX(calc_YTD,MATCH($B22,calc_Name,0)),0))</f>
        <v/>
      </c>
      <c r="F22" s="54">
        <f>IF($B22="","",1*IFERROR(INDEX(calc_FY,MATCH($B22,calc_Name,0)),0))</f>
        <v/>
      </c>
      <c r="H22" s="54">
        <f>IF($B22="","",1*IFERROR(INDEX(calc_M1,MATCH($B22,calc_Name,0)),0))</f>
        <v/>
      </c>
      <c r="I22" s="54">
        <f>IF($B22="","",1*IFERROR(INDEX(calc_M2,MATCH($B22,calc_Name,0)),0))</f>
        <v/>
      </c>
      <c r="J22" s="54">
        <f>IF($B22="","",1*IFERROR(INDEX(calc_M3,MATCH($B22,calc_Name,0)),0))</f>
        <v/>
      </c>
      <c r="K22" s="54">
        <f>IF($B22="","",1*IFERROR(INDEX(calc_M4,MATCH($B22,calc_Name,0)),0))</f>
        <v/>
      </c>
      <c r="L22" s="54">
        <f>IF($B22="","",1*IFERROR(INDEX(calc_M5,MATCH($B22,calc_Name,0)),0))</f>
        <v/>
      </c>
      <c r="M22" s="54">
        <f>IF($B22="","",1*IFERROR(INDEX(calc_M6,MATCH($B22,calc_Name,0)),0))</f>
        <v/>
      </c>
      <c r="N22" s="54">
        <f>IF($B22="","",1*IFERROR(INDEX(calc_M7,MATCH($B22,calc_Name,0)),0))</f>
        <v/>
      </c>
      <c r="O22" s="54">
        <f>IF($B22="","",1*IFERROR(INDEX(calc_M8,MATCH($B22,calc_Name,0)),0))</f>
        <v/>
      </c>
      <c r="P22" s="54">
        <f>IF($B22="","",1*IFERROR(INDEX(calc_M9,MATCH($B22,calc_Name,0)),0))</f>
        <v/>
      </c>
      <c r="Q22" s="54">
        <f>IF($B22="","",1*IFERROR(INDEX(calc_M10,MATCH($B22,calc_Name,0)),0))</f>
        <v/>
      </c>
      <c r="R22" s="54">
        <f>IF($B22="","",1*IFERROR(INDEX(calc_M11,MATCH($B22,calc_Name,0)),0))</f>
        <v/>
      </c>
      <c r="S22" s="54">
        <f>IF($B22="","",1*IFERROR(INDEX(calc_M12,MATCH($B22,calc_Name,0)),0))</f>
        <v/>
      </c>
    </row>
    <row r="23">
      <c r="B23" s="74">
        <f>IFERROR(INDEX(calc_Name,MATCH("Cost of Sales|6",calc_Key,0)),"")</f>
        <v/>
      </c>
      <c r="C23" s="54">
        <f>IF($B23="","",1*IFERROR(INDEX(calc_Cur,MATCH($B23,calc_Name,0)),0))</f>
        <v/>
      </c>
      <c r="D23" s="54">
        <f>IF($B23="","",1*IFERROR(INDEX(calc_Prev,MATCH($B23,calc_Name,0)),0))</f>
        <v/>
      </c>
      <c r="E23" s="54">
        <f>IF($B23="","",1*IFERROR(INDEX(calc_YTD,MATCH($B23,calc_Name,0)),0))</f>
        <v/>
      </c>
      <c r="F23" s="54">
        <f>IF($B23="","",1*IFERROR(INDEX(calc_FY,MATCH($B23,calc_Name,0)),0))</f>
        <v/>
      </c>
      <c r="H23" s="54">
        <f>IF($B23="","",1*IFERROR(INDEX(calc_M1,MATCH($B23,calc_Name,0)),0))</f>
        <v/>
      </c>
      <c r="I23" s="54">
        <f>IF($B23="","",1*IFERROR(INDEX(calc_M2,MATCH($B23,calc_Name,0)),0))</f>
        <v/>
      </c>
      <c r="J23" s="54">
        <f>IF($B23="","",1*IFERROR(INDEX(calc_M3,MATCH($B23,calc_Name,0)),0))</f>
        <v/>
      </c>
      <c r="K23" s="54">
        <f>IF($B23="","",1*IFERROR(INDEX(calc_M4,MATCH($B23,calc_Name,0)),0))</f>
        <v/>
      </c>
      <c r="L23" s="54">
        <f>IF($B23="","",1*IFERROR(INDEX(calc_M5,MATCH($B23,calc_Name,0)),0))</f>
        <v/>
      </c>
      <c r="M23" s="54">
        <f>IF($B23="","",1*IFERROR(INDEX(calc_M6,MATCH($B23,calc_Name,0)),0))</f>
        <v/>
      </c>
      <c r="N23" s="54">
        <f>IF($B23="","",1*IFERROR(INDEX(calc_M7,MATCH($B23,calc_Name,0)),0))</f>
        <v/>
      </c>
      <c r="O23" s="54">
        <f>IF($B23="","",1*IFERROR(INDEX(calc_M8,MATCH($B23,calc_Name,0)),0))</f>
        <v/>
      </c>
      <c r="P23" s="54">
        <f>IF($B23="","",1*IFERROR(INDEX(calc_M9,MATCH($B23,calc_Name,0)),0))</f>
        <v/>
      </c>
      <c r="Q23" s="54">
        <f>IF($B23="","",1*IFERROR(INDEX(calc_M10,MATCH($B23,calc_Name,0)),0))</f>
        <v/>
      </c>
      <c r="R23" s="54">
        <f>IF($B23="","",1*IFERROR(INDEX(calc_M11,MATCH($B23,calc_Name,0)),0))</f>
        <v/>
      </c>
      <c r="S23" s="54">
        <f>IF($B23="","",1*IFERROR(INDEX(calc_M12,MATCH($B23,calc_Name,0)),0))</f>
        <v/>
      </c>
    </row>
    <row r="24">
      <c r="B24" s="35" t="inlineStr">
        <is>
          <t>Total Cost of Sales</t>
        </is>
      </c>
      <c r="C24" s="75">
        <f>1*SUMIFS(calc_Cur,calc_Type,"Cost of Sales")</f>
        <v/>
      </c>
      <c r="D24" s="75">
        <f>1*SUMIFS(calc_Prev,calc_Type,"Cost of Sales")</f>
        <v/>
      </c>
      <c r="E24" s="75">
        <f>1*SUMIFS(calc_YTD,calc_Type,"Cost of Sales")</f>
        <v/>
      </c>
      <c r="F24" s="75">
        <f>1*SUMIFS(calc_FY,calc_Type,"Cost of Sales")</f>
        <v/>
      </c>
      <c r="G24" s="75" t="n"/>
      <c r="H24" s="75">
        <f>1*SUMIFS(calc_M1,calc_Type,"Cost of Sales")</f>
        <v/>
      </c>
      <c r="I24" s="75">
        <f>1*SUMIFS(calc_M2,calc_Type,"Cost of Sales")</f>
        <v/>
      </c>
      <c r="J24" s="75">
        <f>1*SUMIFS(calc_M3,calc_Type,"Cost of Sales")</f>
        <v/>
      </c>
      <c r="K24" s="75">
        <f>1*SUMIFS(calc_M4,calc_Type,"Cost of Sales")</f>
        <v/>
      </c>
      <c r="L24" s="75">
        <f>1*SUMIFS(calc_M5,calc_Type,"Cost of Sales")</f>
        <v/>
      </c>
      <c r="M24" s="75">
        <f>1*SUMIFS(calc_M6,calc_Type,"Cost of Sales")</f>
        <v/>
      </c>
      <c r="N24" s="75">
        <f>1*SUMIFS(calc_M7,calc_Type,"Cost of Sales")</f>
        <v/>
      </c>
      <c r="O24" s="75">
        <f>1*SUMIFS(calc_M8,calc_Type,"Cost of Sales")</f>
        <v/>
      </c>
      <c r="P24" s="75">
        <f>1*SUMIFS(calc_M9,calc_Type,"Cost of Sales")</f>
        <v/>
      </c>
      <c r="Q24" s="75">
        <f>1*SUMIFS(calc_M10,calc_Type,"Cost of Sales")</f>
        <v/>
      </c>
      <c r="R24" s="75">
        <f>1*SUMIFS(calc_M11,calc_Type,"Cost of Sales")</f>
        <v/>
      </c>
      <c r="S24" s="75">
        <f>1*SUMIFS(calc_M12,calc_Type,"Cost of Sales")</f>
        <v/>
      </c>
    </row>
    <row r="26">
      <c r="B26" s="76" t="inlineStr">
        <is>
          <t>GROSS PROFIT</t>
        </is>
      </c>
      <c r="C26" s="77">
        <f>C15-C24</f>
        <v/>
      </c>
      <c r="D26" s="77">
        <f>D15-D24</f>
        <v/>
      </c>
      <c r="E26" s="77">
        <f>E15-E24</f>
        <v/>
      </c>
      <c r="F26" s="77">
        <f>F15-F24</f>
        <v/>
      </c>
      <c r="G26" s="77" t="n"/>
      <c r="H26" s="77">
        <f>H15-H24</f>
        <v/>
      </c>
      <c r="I26" s="77">
        <f>I15-I24</f>
        <v/>
      </c>
      <c r="J26" s="77">
        <f>J15-J24</f>
        <v/>
      </c>
      <c r="K26" s="77">
        <f>K15-K24</f>
        <v/>
      </c>
      <c r="L26" s="77">
        <f>L15-L24</f>
        <v/>
      </c>
      <c r="M26" s="77">
        <f>M15-M24</f>
        <v/>
      </c>
      <c r="N26" s="77">
        <f>N15-N24</f>
        <v/>
      </c>
      <c r="O26" s="77">
        <f>O15-O24</f>
        <v/>
      </c>
      <c r="P26" s="77">
        <f>P15-P24</f>
        <v/>
      </c>
      <c r="Q26" s="77">
        <f>Q15-Q24</f>
        <v/>
      </c>
      <c r="R26" s="77">
        <f>R15-R24</f>
        <v/>
      </c>
      <c r="S26" s="77">
        <f>S15-S24</f>
        <v/>
      </c>
    </row>
    <row r="27">
      <c r="B27" s="20" t="inlineStr">
        <is>
          <t>Gross margin</t>
        </is>
      </c>
      <c r="C27" s="78">
        <f>IF(C15=0,"",C26/C15)</f>
        <v/>
      </c>
      <c r="D27" s="78">
        <f>IF(D15=0,"",D26/D15)</f>
        <v/>
      </c>
      <c r="E27" s="78">
        <f>IF(E15=0,"",E26/E15)</f>
        <v/>
      </c>
      <c r="F27" s="78">
        <f>IF(F15=0,"",F26/F15)</f>
        <v/>
      </c>
      <c r="H27" s="78">
        <f>IF(H15=0,"",H26/H15)</f>
        <v/>
      </c>
      <c r="I27" s="78">
        <f>IF(I15=0,"",I26/I15)</f>
        <v/>
      </c>
      <c r="J27" s="78">
        <f>IF(J15=0,"",J26/J15)</f>
        <v/>
      </c>
      <c r="K27" s="78">
        <f>IF(K15=0,"",K26/K15)</f>
        <v/>
      </c>
      <c r="L27" s="78">
        <f>IF(L15=0,"",L26/L15)</f>
        <v/>
      </c>
      <c r="M27" s="78">
        <f>IF(M15=0,"",M26/M15)</f>
        <v/>
      </c>
      <c r="N27" s="78">
        <f>IF(N15=0,"",N26/N15)</f>
        <v/>
      </c>
      <c r="O27" s="78">
        <f>IF(O15=0,"",O26/O15)</f>
        <v/>
      </c>
      <c r="P27" s="78">
        <f>IF(P15=0,"",P26/P15)</f>
        <v/>
      </c>
      <c r="Q27" s="78">
        <f>IF(Q15=0,"",Q26/Q15)</f>
        <v/>
      </c>
      <c r="R27" s="78">
        <f>IF(R15=0,"",R26/R15)</f>
        <v/>
      </c>
      <c r="S27" s="78">
        <f>IF(S15=0,"",S26/S15)</f>
        <v/>
      </c>
    </row>
    <row r="29">
      <c r="B29" s="72" t="inlineStr">
        <is>
          <t>OPERATING EXPENSES</t>
        </is>
      </c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</row>
    <row r="30">
      <c r="B30" s="74">
        <f>IFERROR(INDEX(calc_Name,MATCH("Operating Expense|1",calc_Key,0)),"")</f>
        <v/>
      </c>
      <c r="C30" s="54">
        <f>IF($B30="","",1*IFERROR(INDEX(calc_Cur,MATCH($B30,calc_Name,0)),0))</f>
        <v/>
      </c>
      <c r="D30" s="54">
        <f>IF($B30="","",1*IFERROR(INDEX(calc_Prev,MATCH($B30,calc_Name,0)),0))</f>
        <v/>
      </c>
      <c r="E30" s="54">
        <f>IF($B30="","",1*IFERROR(INDEX(calc_YTD,MATCH($B30,calc_Name,0)),0))</f>
        <v/>
      </c>
      <c r="F30" s="54">
        <f>IF($B30="","",1*IFERROR(INDEX(calc_FY,MATCH($B30,calc_Name,0)),0))</f>
        <v/>
      </c>
      <c r="H30" s="54">
        <f>IF($B30="","",1*IFERROR(INDEX(calc_M1,MATCH($B30,calc_Name,0)),0))</f>
        <v/>
      </c>
      <c r="I30" s="54">
        <f>IF($B30="","",1*IFERROR(INDEX(calc_M2,MATCH($B30,calc_Name,0)),0))</f>
        <v/>
      </c>
      <c r="J30" s="54">
        <f>IF($B30="","",1*IFERROR(INDEX(calc_M3,MATCH($B30,calc_Name,0)),0))</f>
        <v/>
      </c>
      <c r="K30" s="54">
        <f>IF($B30="","",1*IFERROR(INDEX(calc_M4,MATCH($B30,calc_Name,0)),0))</f>
        <v/>
      </c>
      <c r="L30" s="54">
        <f>IF($B30="","",1*IFERROR(INDEX(calc_M5,MATCH($B30,calc_Name,0)),0))</f>
        <v/>
      </c>
      <c r="M30" s="54">
        <f>IF($B30="","",1*IFERROR(INDEX(calc_M6,MATCH($B30,calc_Name,0)),0))</f>
        <v/>
      </c>
      <c r="N30" s="54">
        <f>IF($B30="","",1*IFERROR(INDEX(calc_M7,MATCH($B30,calc_Name,0)),0))</f>
        <v/>
      </c>
      <c r="O30" s="54">
        <f>IF($B30="","",1*IFERROR(INDEX(calc_M8,MATCH($B30,calc_Name,0)),0))</f>
        <v/>
      </c>
      <c r="P30" s="54">
        <f>IF($B30="","",1*IFERROR(INDEX(calc_M9,MATCH($B30,calc_Name,0)),0))</f>
        <v/>
      </c>
      <c r="Q30" s="54">
        <f>IF($B30="","",1*IFERROR(INDEX(calc_M10,MATCH($B30,calc_Name,0)),0))</f>
        <v/>
      </c>
      <c r="R30" s="54">
        <f>IF($B30="","",1*IFERROR(INDEX(calc_M11,MATCH($B30,calc_Name,0)),0))</f>
        <v/>
      </c>
      <c r="S30" s="54">
        <f>IF($B30="","",1*IFERROR(INDEX(calc_M12,MATCH($B30,calc_Name,0)),0))</f>
        <v/>
      </c>
    </row>
    <row r="31">
      <c r="B31" s="74">
        <f>IFERROR(INDEX(calc_Name,MATCH("Operating Expense|2",calc_Key,0)),"")</f>
        <v/>
      </c>
      <c r="C31" s="54">
        <f>IF($B31="","",1*IFERROR(INDEX(calc_Cur,MATCH($B31,calc_Name,0)),0))</f>
        <v/>
      </c>
      <c r="D31" s="54">
        <f>IF($B31="","",1*IFERROR(INDEX(calc_Prev,MATCH($B31,calc_Name,0)),0))</f>
        <v/>
      </c>
      <c r="E31" s="54">
        <f>IF($B31="","",1*IFERROR(INDEX(calc_YTD,MATCH($B31,calc_Name,0)),0))</f>
        <v/>
      </c>
      <c r="F31" s="54">
        <f>IF($B31="","",1*IFERROR(INDEX(calc_FY,MATCH($B31,calc_Name,0)),0))</f>
        <v/>
      </c>
      <c r="H31" s="54">
        <f>IF($B31="","",1*IFERROR(INDEX(calc_M1,MATCH($B31,calc_Name,0)),0))</f>
        <v/>
      </c>
      <c r="I31" s="54">
        <f>IF($B31="","",1*IFERROR(INDEX(calc_M2,MATCH($B31,calc_Name,0)),0))</f>
        <v/>
      </c>
      <c r="J31" s="54">
        <f>IF($B31="","",1*IFERROR(INDEX(calc_M3,MATCH($B31,calc_Name,0)),0))</f>
        <v/>
      </c>
      <c r="K31" s="54">
        <f>IF($B31="","",1*IFERROR(INDEX(calc_M4,MATCH($B31,calc_Name,0)),0))</f>
        <v/>
      </c>
      <c r="L31" s="54">
        <f>IF($B31="","",1*IFERROR(INDEX(calc_M5,MATCH($B31,calc_Name,0)),0))</f>
        <v/>
      </c>
      <c r="M31" s="54">
        <f>IF($B31="","",1*IFERROR(INDEX(calc_M6,MATCH($B31,calc_Name,0)),0))</f>
        <v/>
      </c>
      <c r="N31" s="54">
        <f>IF($B31="","",1*IFERROR(INDEX(calc_M7,MATCH($B31,calc_Name,0)),0))</f>
        <v/>
      </c>
      <c r="O31" s="54">
        <f>IF($B31="","",1*IFERROR(INDEX(calc_M8,MATCH($B31,calc_Name,0)),0))</f>
        <v/>
      </c>
      <c r="P31" s="54">
        <f>IF($B31="","",1*IFERROR(INDEX(calc_M9,MATCH($B31,calc_Name,0)),0))</f>
        <v/>
      </c>
      <c r="Q31" s="54">
        <f>IF($B31="","",1*IFERROR(INDEX(calc_M10,MATCH($B31,calc_Name,0)),0))</f>
        <v/>
      </c>
      <c r="R31" s="54">
        <f>IF($B31="","",1*IFERROR(INDEX(calc_M11,MATCH($B31,calc_Name,0)),0))</f>
        <v/>
      </c>
      <c r="S31" s="54">
        <f>IF($B31="","",1*IFERROR(INDEX(calc_M12,MATCH($B31,calc_Name,0)),0))</f>
        <v/>
      </c>
    </row>
    <row r="32">
      <c r="B32" s="74">
        <f>IFERROR(INDEX(calc_Name,MATCH("Operating Expense|3",calc_Key,0)),"")</f>
        <v/>
      </c>
      <c r="C32" s="54">
        <f>IF($B32="","",1*IFERROR(INDEX(calc_Cur,MATCH($B32,calc_Name,0)),0))</f>
        <v/>
      </c>
      <c r="D32" s="54">
        <f>IF($B32="","",1*IFERROR(INDEX(calc_Prev,MATCH($B32,calc_Name,0)),0))</f>
        <v/>
      </c>
      <c r="E32" s="54">
        <f>IF($B32="","",1*IFERROR(INDEX(calc_YTD,MATCH($B32,calc_Name,0)),0))</f>
        <v/>
      </c>
      <c r="F32" s="54">
        <f>IF($B32="","",1*IFERROR(INDEX(calc_FY,MATCH($B32,calc_Name,0)),0))</f>
        <v/>
      </c>
      <c r="H32" s="54">
        <f>IF($B32="","",1*IFERROR(INDEX(calc_M1,MATCH($B32,calc_Name,0)),0))</f>
        <v/>
      </c>
      <c r="I32" s="54">
        <f>IF($B32="","",1*IFERROR(INDEX(calc_M2,MATCH($B32,calc_Name,0)),0))</f>
        <v/>
      </c>
      <c r="J32" s="54">
        <f>IF($B32="","",1*IFERROR(INDEX(calc_M3,MATCH($B32,calc_Name,0)),0))</f>
        <v/>
      </c>
      <c r="K32" s="54">
        <f>IF($B32="","",1*IFERROR(INDEX(calc_M4,MATCH($B32,calc_Name,0)),0))</f>
        <v/>
      </c>
      <c r="L32" s="54">
        <f>IF($B32="","",1*IFERROR(INDEX(calc_M5,MATCH($B32,calc_Name,0)),0))</f>
        <v/>
      </c>
      <c r="M32" s="54">
        <f>IF($B32="","",1*IFERROR(INDEX(calc_M6,MATCH($B32,calc_Name,0)),0))</f>
        <v/>
      </c>
      <c r="N32" s="54">
        <f>IF($B32="","",1*IFERROR(INDEX(calc_M7,MATCH($B32,calc_Name,0)),0))</f>
        <v/>
      </c>
      <c r="O32" s="54">
        <f>IF($B32="","",1*IFERROR(INDEX(calc_M8,MATCH($B32,calc_Name,0)),0))</f>
        <v/>
      </c>
      <c r="P32" s="54">
        <f>IF($B32="","",1*IFERROR(INDEX(calc_M9,MATCH($B32,calc_Name,0)),0))</f>
        <v/>
      </c>
      <c r="Q32" s="54">
        <f>IF($B32="","",1*IFERROR(INDEX(calc_M10,MATCH($B32,calc_Name,0)),0))</f>
        <v/>
      </c>
      <c r="R32" s="54">
        <f>IF($B32="","",1*IFERROR(INDEX(calc_M11,MATCH($B32,calc_Name,0)),0))</f>
        <v/>
      </c>
      <c r="S32" s="54">
        <f>IF($B32="","",1*IFERROR(INDEX(calc_M12,MATCH($B32,calc_Name,0)),0))</f>
        <v/>
      </c>
    </row>
    <row r="33">
      <c r="B33" s="74">
        <f>IFERROR(INDEX(calc_Name,MATCH("Operating Expense|4",calc_Key,0)),"")</f>
        <v/>
      </c>
      <c r="C33" s="54">
        <f>IF($B33="","",1*IFERROR(INDEX(calc_Cur,MATCH($B33,calc_Name,0)),0))</f>
        <v/>
      </c>
      <c r="D33" s="54">
        <f>IF($B33="","",1*IFERROR(INDEX(calc_Prev,MATCH($B33,calc_Name,0)),0))</f>
        <v/>
      </c>
      <c r="E33" s="54">
        <f>IF($B33="","",1*IFERROR(INDEX(calc_YTD,MATCH($B33,calc_Name,0)),0))</f>
        <v/>
      </c>
      <c r="F33" s="54">
        <f>IF($B33="","",1*IFERROR(INDEX(calc_FY,MATCH($B33,calc_Name,0)),0))</f>
        <v/>
      </c>
      <c r="H33" s="54">
        <f>IF($B33="","",1*IFERROR(INDEX(calc_M1,MATCH($B33,calc_Name,0)),0))</f>
        <v/>
      </c>
      <c r="I33" s="54">
        <f>IF($B33="","",1*IFERROR(INDEX(calc_M2,MATCH($B33,calc_Name,0)),0))</f>
        <v/>
      </c>
      <c r="J33" s="54">
        <f>IF($B33="","",1*IFERROR(INDEX(calc_M3,MATCH($B33,calc_Name,0)),0))</f>
        <v/>
      </c>
      <c r="K33" s="54">
        <f>IF($B33="","",1*IFERROR(INDEX(calc_M4,MATCH($B33,calc_Name,0)),0))</f>
        <v/>
      </c>
      <c r="L33" s="54">
        <f>IF($B33="","",1*IFERROR(INDEX(calc_M5,MATCH($B33,calc_Name,0)),0))</f>
        <v/>
      </c>
      <c r="M33" s="54">
        <f>IF($B33="","",1*IFERROR(INDEX(calc_M6,MATCH($B33,calc_Name,0)),0))</f>
        <v/>
      </c>
      <c r="N33" s="54">
        <f>IF($B33="","",1*IFERROR(INDEX(calc_M7,MATCH($B33,calc_Name,0)),0))</f>
        <v/>
      </c>
      <c r="O33" s="54">
        <f>IF($B33="","",1*IFERROR(INDEX(calc_M8,MATCH($B33,calc_Name,0)),0))</f>
        <v/>
      </c>
      <c r="P33" s="54">
        <f>IF($B33="","",1*IFERROR(INDEX(calc_M9,MATCH($B33,calc_Name,0)),0))</f>
        <v/>
      </c>
      <c r="Q33" s="54">
        <f>IF($B33="","",1*IFERROR(INDEX(calc_M10,MATCH($B33,calc_Name,0)),0))</f>
        <v/>
      </c>
      <c r="R33" s="54">
        <f>IF($B33="","",1*IFERROR(INDEX(calc_M11,MATCH($B33,calc_Name,0)),0))</f>
        <v/>
      </c>
      <c r="S33" s="54">
        <f>IF($B33="","",1*IFERROR(INDEX(calc_M12,MATCH($B33,calc_Name,0)),0))</f>
        <v/>
      </c>
    </row>
    <row r="34">
      <c r="B34" s="74">
        <f>IFERROR(INDEX(calc_Name,MATCH("Operating Expense|5",calc_Key,0)),"")</f>
        <v/>
      </c>
      <c r="C34" s="54">
        <f>IF($B34="","",1*IFERROR(INDEX(calc_Cur,MATCH($B34,calc_Name,0)),0))</f>
        <v/>
      </c>
      <c r="D34" s="54">
        <f>IF($B34="","",1*IFERROR(INDEX(calc_Prev,MATCH($B34,calc_Name,0)),0))</f>
        <v/>
      </c>
      <c r="E34" s="54">
        <f>IF($B34="","",1*IFERROR(INDEX(calc_YTD,MATCH($B34,calc_Name,0)),0))</f>
        <v/>
      </c>
      <c r="F34" s="54">
        <f>IF($B34="","",1*IFERROR(INDEX(calc_FY,MATCH($B34,calc_Name,0)),0))</f>
        <v/>
      </c>
      <c r="H34" s="54">
        <f>IF($B34="","",1*IFERROR(INDEX(calc_M1,MATCH($B34,calc_Name,0)),0))</f>
        <v/>
      </c>
      <c r="I34" s="54">
        <f>IF($B34="","",1*IFERROR(INDEX(calc_M2,MATCH($B34,calc_Name,0)),0))</f>
        <v/>
      </c>
      <c r="J34" s="54">
        <f>IF($B34="","",1*IFERROR(INDEX(calc_M3,MATCH($B34,calc_Name,0)),0))</f>
        <v/>
      </c>
      <c r="K34" s="54">
        <f>IF($B34="","",1*IFERROR(INDEX(calc_M4,MATCH($B34,calc_Name,0)),0))</f>
        <v/>
      </c>
      <c r="L34" s="54">
        <f>IF($B34="","",1*IFERROR(INDEX(calc_M5,MATCH($B34,calc_Name,0)),0))</f>
        <v/>
      </c>
      <c r="M34" s="54">
        <f>IF($B34="","",1*IFERROR(INDEX(calc_M6,MATCH($B34,calc_Name,0)),0))</f>
        <v/>
      </c>
      <c r="N34" s="54">
        <f>IF($B34="","",1*IFERROR(INDEX(calc_M7,MATCH($B34,calc_Name,0)),0))</f>
        <v/>
      </c>
      <c r="O34" s="54">
        <f>IF($B34="","",1*IFERROR(INDEX(calc_M8,MATCH($B34,calc_Name,0)),0))</f>
        <v/>
      </c>
      <c r="P34" s="54">
        <f>IF($B34="","",1*IFERROR(INDEX(calc_M9,MATCH($B34,calc_Name,0)),0))</f>
        <v/>
      </c>
      <c r="Q34" s="54">
        <f>IF($B34="","",1*IFERROR(INDEX(calc_M10,MATCH($B34,calc_Name,0)),0))</f>
        <v/>
      </c>
      <c r="R34" s="54">
        <f>IF($B34="","",1*IFERROR(INDEX(calc_M11,MATCH($B34,calc_Name,0)),0))</f>
        <v/>
      </c>
      <c r="S34" s="54">
        <f>IF($B34="","",1*IFERROR(INDEX(calc_M12,MATCH($B34,calc_Name,0)),0))</f>
        <v/>
      </c>
    </row>
    <row r="35">
      <c r="B35" s="74">
        <f>IFERROR(INDEX(calc_Name,MATCH("Operating Expense|6",calc_Key,0)),"")</f>
        <v/>
      </c>
      <c r="C35" s="54">
        <f>IF($B35="","",1*IFERROR(INDEX(calc_Cur,MATCH($B35,calc_Name,0)),0))</f>
        <v/>
      </c>
      <c r="D35" s="54">
        <f>IF($B35="","",1*IFERROR(INDEX(calc_Prev,MATCH($B35,calc_Name,0)),0))</f>
        <v/>
      </c>
      <c r="E35" s="54">
        <f>IF($B35="","",1*IFERROR(INDEX(calc_YTD,MATCH($B35,calc_Name,0)),0))</f>
        <v/>
      </c>
      <c r="F35" s="54">
        <f>IF($B35="","",1*IFERROR(INDEX(calc_FY,MATCH($B35,calc_Name,0)),0))</f>
        <v/>
      </c>
      <c r="H35" s="54">
        <f>IF($B35="","",1*IFERROR(INDEX(calc_M1,MATCH($B35,calc_Name,0)),0))</f>
        <v/>
      </c>
      <c r="I35" s="54">
        <f>IF($B35="","",1*IFERROR(INDEX(calc_M2,MATCH($B35,calc_Name,0)),0))</f>
        <v/>
      </c>
      <c r="J35" s="54">
        <f>IF($B35="","",1*IFERROR(INDEX(calc_M3,MATCH($B35,calc_Name,0)),0))</f>
        <v/>
      </c>
      <c r="K35" s="54">
        <f>IF($B35="","",1*IFERROR(INDEX(calc_M4,MATCH($B35,calc_Name,0)),0))</f>
        <v/>
      </c>
      <c r="L35" s="54">
        <f>IF($B35="","",1*IFERROR(INDEX(calc_M5,MATCH($B35,calc_Name,0)),0))</f>
        <v/>
      </c>
      <c r="M35" s="54">
        <f>IF($B35="","",1*IFERROR(INDEX(calc_M6,MATCH($B35,calc_Name,0)),0))</f>
        <v/>
      </c>
      <c r="N35" s="54">
        <f>IF($B35="","",1*IFERROR(INDEX(calc_M7,MATCH($B35,calc_Name,0)),0))</f>
        <v/>
      </c>
      <c r="O35" s="54">
        <f>IF($B35="","",1*IFERROR(INDEX(calc_M8,MATCH($B35,calc_Name,0)),0))</f>
        <v/>
      </c>
      <c r="P35" s="54">
        <f>IF($B35="","",1*IFERROR(INDEX(calc_M9,MATCH($B35,calc_Name,0)),0))</f>
        <v/>
      </c>
      <c r="Q35" s="54">
        <f>IF($B35="","",1*IFERROR(INDEX(calc_M10,MATCH($B35,calc_Name,0)),0))</f>
        <v/>
      </c>
      <c r="R35" s="54">
        <f>IF($B35="","",1*IFERROR(INDEX(calc_M11,MATCH($B35,calc_Name,0)),0))</f>
        <v/>
      </c>
      <c r="S35" s="54">
        <f>IF($B35="","",1*IFERROR(INDEX(calc_M12,MATCH($B35,calc_Name,0)),0))</f>
        <v/>
      </c>
    </row>
    <row r="36">
      <c r="B36" s="74">
        <f>IFERROR(INDEX(calc_Name,MATCH("Operating Expense|7",calc_Key,0)),"")</f>
        <v/>
      </c>
      <c r="C36" s="54">
        <f>IF($B36="","",1*IFERROR(INDEX(calc_Cur,MATCH($B36,calc_Name,0)),0))</f>
        <v/>
      </c>
      <c r="D36" s="54">
        <f>IF($B36="","",1*IFERROR(INDEX(calc_Prev,MATCH($B36,calc_Name,0)),0))</f>
        <v/>
      </c>
      <c r="E36" s="54">
        <f>IF($B36="","",1*IFERROR(INDEX(calc_YTD,MATCH($B36,calc_Name,0)),0))</f>
        <v/>
      </c>
      <c r="F36" s="54">
        <f>IF($B36="","",1*IFERROR(INDEX(calc_FY,MATCH($B36,calc_Name,0)),0))</f>
        <v/>
      </c>
      <c r="H36" s="54">
        <f>IF($B36="","",1*IFERROR(INDEX(calc_M1,MATCH($B36,calc_Name,0)),0))</f>
        <v/>
      </c>
      <c r="I36" s="54">
        <f>IF($B36="","",1*IFERROR(INDEX(calc_M2,MATCH($B36,calc_Name,0)),0))</f>
        <v/>
      </c>
      <c r="J36" s="54">
        <f>IF($B36="","",1*IFERROR(INDEX(calc_M3,MATCH($B36,calc_Name,0)),0))</f>
        <v/>
      </c>
      <c r="K36" s="54">
        <f>IF($B36="","",1*IFERROR(INDEX(calc_M4,MATCH($B36,calc_Name,0)),0))</f>
        <v/>
      </c>
      <c r="L36" s="54">
        <f>IF($B36="","",1*IFERROR(INDEX(calc_M5,MATCH($B36,calc_Name,0)),0))</f>
        <v/>
      </c>
      <c r="M36" s="54">
        <f>IF($B36="","",1*IFERROR(INDEX(calc_M6,MATCH($B36,calc_Name,0)),0))</f>
        <v/>
      </c>
      <c r="N36" s="54">
        <f>IF($B36="","",1*IFERROR(INDEX(calc_M7,MATCH($B36,calc_Name,0)),0))</f>
        <v/>
      </c>
      <c r="O36" s="54">
        <f>IF($B36="","",1*IFERROR(INDEX(calc_M8,MATCH($B36,calc_Name,0)),0))</f>
        <v/>
      </c>
      <c r="P36" s="54">
        <f>IF($B36="","",1*IFERROR(INDEX(calc_M9,MATCH($B36,calc_Name,0)),0))</f>
        <v/>
      </c>
      <c r="Q36" s="54">
        <f>IF($B36="","",1*IFERROR(INDEX(calc_M10,MATCH($B36,calc_Name,0)),0))</f>
        <v/>
      </c>
      <c r="R36" s="54">
        <f>IF($B36="","",1*IFERROR(INDEX(calc_M11,MATCH($B36,calc_Name,0)),0))</f>
        <v/>
      </c>
      <c r="S36" s="54">
        <f>IF($B36="","",1*IFERROR(INDEX(calc_M12,MATCH($B36,calc_Name,0)),0))</f>
        <v/>
      </c>
    </row>
    <row r="37">
      <c r="B37" s="74">
        <f>IFERROR(INDEX(calc_Name,MATCH("Operating Expense|8",calc_Key,0)),"")</f>
        <v/>
      </c>
      <c r="C37" s="54">
        <f>IF($B37="","",1*IFERROR(INDEX(calc_Cur,MATCH($B37,calc_Name,0)),0))</f>
        <v/>
      </c>
      <c r="D37" s="54">
        <f>IF($B37="","",1*IFERROR(INDEX(calc_Prev,MATCH($B37,calc_Name,0)),0))</f>
        <v/>
      </c>
      <c r="E37" s="54">
        <f>IF($B37="","",1*IFERROR(INDEX(calc_YTD,MATCH($B37,calc_Name,0)),0))</f>
        <v/>
      </c>
      <c r="F37" s="54">
        <f>IF($B37="","",1*IFERROR(INDEX(calc_FY,MATCH($B37,calc_Name,0)),0))</f>
        <v/>
      </c>
      <c r="H37" s="54">
        <f>IF($B37="","",1*IFERROR(INDEX(calc_M1,MATCH($B37,calc_Name,0)),0))</f>
        <v/>
      </c>
      <c r="I37" s="54">
        <f>IF($B37="","",1*IFERROR(INDEX(calc_M2,MATCH($B37,calc_Name,0)),0))</f>
        <v/>
      </c>
      <c r="J37" s="54">
        <f>IF($B37="","",1*IFERROR(INDEX(calc_M3,MATCH($B37,calc_Name,0)),0))</f>
        <v/>
      </c>
      <c r="K37" s="54">
        <f>IF($B37="","",1*IFERROR(INDEX(calc_M4,MATCH($B37,calc_Name,0)),0))</f>
        <v/>
      </c>
      <c r="L37" s="54">
        <f>IF($B37="","",1*IFERROR(INDEX(calc_M5,MATCH($B37,calc_Name,0)),0))</f>
        <v/>
      </c>
      <c r="M37" s="54">
        <f>IF($B37="","",1*IFERROR(INDEX(calc_M6,MATCH($B37,calc_Name,0)),0))</f>
        <v/>
      </c>
      <c r="N37" s="54">
        <f>IF($B37="","",1*IFERROR(INDEX(calc_M7,MATCH($B37,calc_Name,0)),0))</f>
        <v/>
      </c>
      <c r="O37" s="54">
        <f>IF($B37="","",1*IFERROR(INDEX(calc_M8,MATCH($B37,calc_Name,0)),0))</f>
        <v/>
      </c>
      <c r="P37" s="54">
        <f>IF($B37="","",1*IFERROR(INDEX(calc_M9,MATCH($B37,calc_Name,0)),0))</f>
        <v/>
      </c>
      <c r="Q37" s="54">
        <f>IF($B37="","",1*IFERROR(INDEX(calc_M10,MATCH($B37,calc_Name,0)),0))</f>
        <v/>
      </c>
      <c r="R37" s="54">
        <f>IF($B37="","",1*IFERROR(INDEX(calc_M11,MATCH($B37,calc_Name,0)),0))</f>
        <v/>
      </c>
      <c r="S37" s="54">
        <f>IF($B37="","",1*IFERROR(INDEX(calc_M12,MATCH($B37,calc_Name,0)),0))</f>
        <v/>
      </c>
    </row>
    <row r="38">
      <c r="B38" s="74">
        <f>IFERROR(INDEX(calc_Name,MATCH("Operating Expense|9",calc_Key,0)),"")</f>
        <v/>
      </c>
      <c r="C38" s="54">
        <f>IF($B38="","",1*IFERROR(INDEX(calc_Cur,MATCH($B38,calc_Name,0)),0))</f>
        <v/>
      </c>
      <c r="D38" s="54">
        <f>IF($B38="","",1*IFERROR(INDEX(calc_Prev,MATCH($B38,calc_Name,0)),0))</f>
        <v/>
      </c>
      <c r="E38" s="54">
        <f>IF($B38="","",1*IFERROR(INDEX(calc_YTD,MATCH($B38,calc_Name,0)),0))</f>
        <v/>
      </c>
      <c r="F38" s="54">
        <f>IF($B38="","",1*IFERROR(INDEX(calc_FY,MATCH($B38,calc_Name,0)),0))</f>
        <v/>
      </c>
      <c r="H38" s="54">
        <f>IF($B38="","",1*IFERROR(INDEX(calc_M1,MATCH($B38,calc_Name,0)),0))</f>
        <v/>
      </c>
      <c r="I38" s="54">
        <f>IF($B38="","",1*IFERROR(INDEX(calc_M2,MATCH($B38,calc_Name,0)),0))</f>
        <v/>
      </c>
      <c r="J38" s="54">
        <f>IF($B38="","",1*IFERROR(INDEX(calc_M3,MATCH($B38,calc_Name,0)),0))</f>
        <v/>
      </c>
      <c r="K38" s="54">
        <f>IF($B38="","",1*IFERROR(INDEX(calc_M4,MATCH($B38,calc_Name,0)),0))</f>
        <v/>
      </c>
      <c r="L38" s="54">
        <f>IF($B38="","",1*IFERROR(INDEX(calc_M5,MATCH($B38,calc_Name,0)),0))</f>
        <v/>
      </c>
      <c r="M38" s="54">
        <f>IF($B38="","",1*IFERROR(INDEX(calc_M6,MATCH($B38,calc_Name,0)),0))</f>
        <v/>
      </c>
      <c r="N38" s="54">
        <f>IF($B38="","",1*IFERROR(INDEX(calc_M7,MATCH($B38,calc_Name,0)),0))</f>
        <v/>
      </c>
      <c r="O38" s="54">
        <f>IF($B38="","",1*IFERROR(INDEX(calc_M8,MATCH($B38,calc_Name,0)),0))</f>
        <v/>
      </c>
      <c r="P38" s="54">
        <f>IF($B38="","",1*IFERROR(INDEX(calc_M9,MATCH($B38,calc_Name,0)),0))</f>
        <v/>
      </c>
      <c r="Q38" s="54">
        <f>IF($B38="","",1*IFERROR(INDEX(calc_M10,MATCH($B38,calc_Name,0)),0))</f>
        <v/>
      </c>
      <c r="R38" s="54">
        <f>IF($B38="","",1*IFERROR(INDEX(calc_M11,MATCH($B38,calc_Name,0)),0))</f>
        <v/>
      </c>
      <c r="S38" s="54">
        <f>IF($B38="","",1*IFERROR(INDEX(calc_M12,MATCH($B38,calc_Name,0)),0))</f>
        <v/>
      </c>
    </row>
    <row r="39">
      <c r="B39" s="74">
        <f>IFERROR(INDEX(calc_Name,MATCH("Operating Expense|10",calc_Key,0)),"")</f>
        <v/>
      </c>
      <c r="C39" s="54">
        <f>IF($B39="","",1*IFERROR(INDEX(calc_Cur,MATCH($B39,calc_Name,0)),0))</f>
        <v/>
      </c>
      <c r="D39" s="54">
        <f>IF($B39="","",1*IFERROR(INDEX(calc_Prev,MATCH($B39,calc_Name,0)),0))</f>
        <v/>
      </c>
      <c r="E39" s="54">
        <f>IF($B39="","",1*IFERROR(INDEX(calc_YTD,MATCH($B39,calc_Name,0)),0))</f>
        <v/>
      </c>
      <c r="F39" s="54">
        <f>IF($B39="","",1*IFERROR(INDEX(calc_FY,MATCH($B39,calc_Name,0)),0))</f>
        <v/>
      </c>
      <c r="H39" s="54">
        <f>IF($B39="","",1*IFERROR(INDEX(calc_M1,MATCH($B39,calc_Name,0)),0))</f>
        <v/>
      </c>
      <c r="I39" s="54">
        <f>IF($B39="","",1*IFERROR(INDEX(calc_M2,MATCH($B39,calc_Name,0)),0))</f>
        <v/>
      </c>
      <c r="J39" s="54">
        <f>IF($B39="","",1*IFERROR(INDEX(calc_M3,MATCH($B39,calc_Name,0)),0))</f>
        <v/>
      </c>
      <c r="K39" s="54">
        <f>IF($B39="","",1*IFERROR(INDEX(calc_M4,MATCH($B39,calc_Name,0)),0))</f>
        <v/>
      </c>
      <c r="L39" s="54">
        <f>IF($B39="","",1*IFERROR(INDEX(calc_M5,MATCH($B39,calc_Name,0)),0))</f>
        <v/>
      </c>
      <c r="M39" s="54">
        <f>IF($B39="","",1*IFERROR(INDEX(calc_M6,MATCH($B39,calc_Name,0)),0))</f>
        <v/>
      </c>
      <c r="N39" s="54">
        <f>IF($B39="","",1*IFERROR(INDEX(calc_M7,MATCH($B39,calc_Name,0)),0))</f>
        <v/>
      </c>
      <c r="O39" s="54">
        <f>IF($B39="","",1*IFERROR(INDEX(calc_M8,MATCH($B39,calc_Name,0)),0))</f>
        <v/>
      </c>
      <c r="P39" s="54">
        <f>IF($B39="","",1*IFERROR(INDEX(calc_M9,MATCH($B39,calc_Name,0)),0))</f>
        <v/>
      </c>
      <c r="Q39" s="54">
        <f>IF($B39="","",1*IFERROR(INDEX(calc_M10,MATCH($B39,calc_Name,0)),0))</f>
        <v/>
      </c>
      <c r="R39" s="54">
        <f>IF($B39="","",1*IFERROR(INDEX(calc_M11,MATCH($B39,calc_Name,0)),0))</f>
        <v/>
      </c>
      <c r="S39" s="54">
        <f>IF($B39="","",1*IFERROR(INDEX(calc_M12,MATCH($B39,calc_Name,0)),0))</f>
        <v/>
      </c>
    </row>
    <row r="40">
      <c r="B40" s="74">
        <f>IFERROR(INDEX(calc_Name,MATCH("Operating Expense|11",calc_Key,0)),"")</f>
        <v/>
      </c>
      <c r="C40" s="54">
        <f>IF($B40="","",1*IFERROR(INDEX(calc_Cur,MATCH($B40,calc_Name,0)),0))</f>
        <v/>
      </c>
      <c r="D40" s="54">
        <f>IF($B40="","",1*IFERROR(INDEX(calc_Prev,MATCH($B40,calc_Name,0)),0))</f>
        <v/>
      </c>
      <c r="E40" s="54">
        <f>IF($B40="","",1*IFERROR(INDEX(calc_YTD,MATCH($B40,calc_Name,0)),0))</f>
        <v/>
      </c>
      <c r="F40" s="54">
        <f>IF($B40="","",1*IFERROR(INDEX(calc_FY,MATCH($B40,calc_Name,0)),0))</f>
        <v/>
      </c>
      <c r="H40" s="54">
        <f>IF($B40="","",1*IFERROR(INDEX(calc_M1,MATCH($B40,calc_Name,0)),0))</f>
        <v/>
      </c>
      <c r="I40" s="54">
        <f>IF($B40="","",1*IFERROR(INDEX(calc_M2,MATCH($B40,calc_Name,0)),0))</f>
        <v/>
      </c>
      <c r="J40" s="54">
        <f>IF($B40="","",1*IFERROR(INDEX(calc_M3,MATCH($B40,calc_Name,0)),0))</f>
        <v/>
      </c>
      <c r="K40" s="54">
        <f>IF($B40="","",1*IFERROR(INDEX(calc_M4,MATCH($B40,calc_Name,0)),0))</f>
        <v/>
      </c>
      <c r="L40" s="54">
        <f>IF($B40="","",1*IFERROR(INDEX(calc_M5,MATCH($B40,calc_Name,0)),0))</f>
        <v/>
      </c>
      <c r="M40" s="54">
        <f>IF($B40="","",1*IFERROR(INDEX(calc_M6,MATCH($B40,calc_Name,0)),0))</f>
        <v/>
      </c>
      <c r="N40" s="54">
        <f>IF($B40="","",1*IFERROR(INDEX(calc_M7,MATCH($B40,calc_Name,0)),0))</f>
        <v/>
      </c>
      <c r="O40" s="54">
        <f>IF($B40="","",1*IFERROR(INDEX(calc_M8,MATCH($B40,calc_Name,0)),0))</f>
        <v/>
      </c>
      <c r="P40" s="54">
        <f>IF($B40="","",1*IFERROR(INDEX(calc_M9,MATCH($B40,calc_Name,0)),0))</f>
        <v/>
      </c>
      <c r="Q40" s="54">
        <f>IF($B40="","",1*IFERROR(INDEX(calc_M10,MATCH($B40,calc_Name,0)),0))</f>
        <v/>
      </c>
      <c r="R40" s="54">
        <f>IF($B40="","",1*IFERROR(INDEX(calc_M11,MATCH($B40,calc_Name,0)),0))</f>
        <v/>
      </c>
      <c r="S40" s="54">
        <f>IF($B40="","",1*IFERROR(INDEX(calc_M12,MATCH($B40,calc_Name,0)),0))</f>
        <v/>
      </c>
    </row>
    <row r="41">
      <c r="B41" s="74">
        <f>IFERROR(INDEX(calc_Name,MATCH("Operating Expense|12",calc_Key,0)),"")</f>
        <v/>
      </c>
      <c r="C41" s="54">
        <f>IF($B41="","",1*IFERROR(INDEX(calc_Cur,MATCH($B41,calc_Name,0)),0))</f>
        <v/>
      </c>
      <c r="D41" s="54">
        <f>IF($B41="","",1*IFERROR(INDEX(calc_Prev,MATCH($B41,calc_Name,0)),0))</f>
        <v/>
      </c>
      <c r="E41" s="54">
        <f>IF($B41="","",1*IFERROR(INDEX(calc_YTD,MATCH($B41,calc_Name,0)),0))</f>
        <v/>
      </c>
      <c r="F41" s="54">
        <f>IF($B41="","",1*IFERROR(INDEX(calc_FY,MATCH($B41,calc_Name,0)),0))</f>
        <v/>
      </c>
      <c r="H41" s="54">
        <f>IF($B41="","",1*IFERROR(INDEX(calc_M1,MATCH($B41,calc_Name,0)),0))</f>
        <v/>
      </c>
      <c r="I41" s="54">
        <f>IF($B41="","",1*IFERROR(INDEX(calc_M2,MATCH($B41,calc_Name,0)),0))</f>
        <v/>
      </c>
      <c r="J41" s="54">
        <f>IF($B41="","",1*IFERROR(INDEX(calc_M3,MATCH($B41,calc_Name,0)),0))</f>
        <v/>
      </c>
      <c r="K41" s="54">
        <f>IF($B41="","",1*IFERROR(INDEX(calc_M4,MATCH($B41,calc_Name,0)),0))</f>
        <v/>
      </c>
      <c r="L41" s="54">
        <f>IF($B41="","",1*IFERROR(INDEX(calc_M5,MATCH($B41,calc_Name,0)),0))</f>
        <v/>
      </c>
      <c r="M41" s="54">
        <f>IF($B41="","",1*IFERROR(INDEX(calc_M6,MATCH($B41,calc_Name,0)),0))</f>
        <v/>
      </c>
      <c r="N41" s="54">
        <f>IF($B41="","",1*IFERROR(INDEX(calc_M7,MATCH($B41,calc_Name,0)),0))</f>
        <v/>
      </c>
      <c r="O41" s="54">
        <f>IF($B41="","",1*IFERROR(INDEX(calc_M8,MATCH($B41,calc_Name,0)),0))</f>
        <v/>
      </c>
      <c r="P41" s="54">
        <f>IF($B41="","",1*IFERROR(INDEX(calc_M9,MATCH($B41,calc_Name,0)),0))</f>
        <v/>
      </c>
      <c r="Q41" s="54">
        <f>IF($B41="","",1*IFERROR(INDEX(calc_M10,MATCH($B41,calc_Name,0)),0))</f>
        <v/>
      </c>
      <c r="R41" s="54">
        <f>IF($B41="","",1*IFERROR(INDEX(calc_M11,MATCH($B41,calc_Name,0)),0))</f>
        <v/>
      </c>
      <c r="S41" s="54">
        <f>IF($B41="","",1*IFERROR(INDEX(calc_M12,MATCH($B41,calc_Name,0)),0))</f>
        <v/>
      </c>
    </row>
    <row r="42">
      <c r="B42" s="74">
        <f>IFERROR(INDEX(calc_Name,MATCH("Operating Expense|13",calc_Key,0)),"")</f>
        <v/>
      </c>
      <c r="C42" s="54">
        <f>IF($B42="","",1*IFERROR(INDEX(calc_Cur,MATCH($B42,calc_Name,0)),0))</f>
        <v/>
      </c>
      <c r="D42" s="54">
        <f>IF($B42="","",1*IFERROR(INDEX(calc_Prev,MATCH($B42,calc_Name,0)),0))</f>
        <v/>
      </c>
      <c r="E42" s="54">
        <f>IF($B42="","",1*IFERROR(INDEX(calc_YTD,MATCH($B42,calc_Name,0)),0))</f>
        <v/>
      </c>
      <c r="F42" s="54">
        <f>IF($B42="","",1*IFERROR(INDEX(calc_FY,MATCH($B42,calc_Name,0)),0))</f>
        <v/>
      </c>
      <c r="H42" s="54">
        <f>IF($B42="","",1*IFERROR(INDEX(calc_M1,MATCH($B42,calc_Name,0)),0))</f>
        <v/>
      </c>
      <c r="I42" s="54">
        <f>IF($B42="","",1*IFERROR(INDEX(calc_M2,MATCH($B42,calc_Name,0)),0))</f>
        <v/>
      </c>
      <c r="J42" s="54">
        <f>IF($B42="","",1*IFERROR(INDEX(calc_M3,MATCH($B42,calc_Name,0)),0))</f>
        <v/>
      </c>
      <c r="K42" s="54">
        <f>IF($B42="","",1*IFERROR(INDEX(calc_M4,MATCH($B42,calc_Name,0)),0))</f>
        <v/>
      </c>
      <c r="L42" s="54">
        <f>IF($B42="","",1*IFERROR(INDEX(calc_M5,MATCH($B42,calc_Name,0)),0))</f>
        <v/>
      </c>
      <c r="M42" s="54">
        <f>IF($B42="","",1*IFERROR(INDEX(calc_M6,MATCH($B42,calc_Name,0)),0))</f>
        <v/>
      </c>
      <c r="N42" s="54">
        <f>IF($B42="","",1*IFERROR(INDEX(calc_M7,MATCH($B42,calc_Name,0)),0))</f>
        <v/>
      </c>
      <c r="O42" s="54">
        <f>IF($B42="","",1*IFERROR(INDEX(calc_M8,MATCH($B42,calc_Name,0)),0))</f>
        <v/>
      </c>
      <c r="P42" s="54">
        <f>IF($B42="","",1*IFERROR(INDEX(calc_M9,MATCH($B42,calc_Name,0)),0))</f>
        <v/>
      </c>
      <c r="Q42" s="54">
        <f>IF($B42="","",1*IFERROR(INDEX(calc_M10,MATCH($B42,calc_Name,0)),0))</f>
        <v/>
      </c>
      <c r="R42" s="54">
        <f>IF($B42="","",1*IFERROR(INDEX(calc_M11,MATCH($B42,calc_Name,0)),0))</f>
        <v/>
      </c>
      <c r="S42" s="54">
        <f>IF($B42="","",1*IFERROR(INDEX(calc_M12,MATCH($B42,calc_Name,0)),0))</f>
        <v/>
      </c>
    </row>
    <row r="43">
      <c r="B43" s="74">
        <f>IFERROR(INDEX(calc_Name,MATCH("Operating Expense|14",calc_Key,0)),"")</f>
        <v/>
      </c>
      <c r="C43" s="54">
        <f>IF($B43="","",1*IFERROR(INDEX(calc_Cur,MATCH($B43,calc_Name,0)),0))</f>
        <v/>
      </c>
      <c r="D43" s="54">
        <f>IF($B43="","",1*IFERROR(INDEX(calc_Prev,MATCH($B43,calc_Name,0)),0))</f>
        <v/>
      </c>
      <c r="E43" s="54">
        <f>IF($B43="","",1*IFERROR(INDEX(calc_YTD,MATCH($B43,calc_Name,0)),0))</f>
        <v/>
      </c>
      <c r="F43" s="54">
        <f>IF($B43="","",1*IFERROR(INDEX(calc_FY,MATCH($B43,calc_Name,0)),0))</f>
        <v/>
      </c>
      <c r="H43" s="54">
        <f>IF($B43="","",1*IFERROR(INDEX(calc_M1,MATCH($B43,calc_Name,0)),0))</f>
        <v/>
      </c>
      <c r="I43" s="54">
        <f>IF($B43="","",1*IFERROR(INDEX(calc_M2,MATCH($B43,calc_Name,0)),0))</f>
        <v/>
      </c>
      <c r="J43" s="54">
        <f>IF($B43="","",1*IFERROR(INDEX(calc_M3,MATCH($B43,calc_Name,0)),0))</f>
        <v/>
      </c>
      <c r="K43" s="54">
        <f>IF($B43="","",1*IFERROR(INDEX(calc_M4,MATCH($B43,calc_Name,0)),0))</f>
        <v/>
      </c>
      <c r="L43" s="54">
        <f>IF($B43="","",1*IFERROR(INDEX(calc_M5,MATCH($B43,calc_Name,0)),0))</f>
        <v/>
      </c>
      <c r="M43" s="54">
        <f>IF($B43="","",1*IFERROR(INDEX(calc_M6,MATCH($B43,calc_Name,0)),0))</f>
        <v/>
      </c>
      <c r="N43" s="54">
        <f>IF($B43="","",1*IFERROR(INDEX(calc_M7,MATCH($B43,calc_Name,0)),0))</f>
        <v/>
      </c>
      <c r="O43" s="54">
        <f>IF($B43="","",1*IFERROR(INDEX(calc_M8,MATCH($B43,calc_Name,0)),0))</f>
        <v/>
      </c>
      <c r="P43" s="54">
        <f>IF($B43="","",1*IFERROR(INDEX(calc_M9,MATCH($B43,calc_Name,0)),0))</f>
        <v/>
      </c>
      <c r="Q43" s="54">
        <f>IF($B43="","",1*IFERROR(INDEX(calc_M10,MATCH($B43,calc_Name,0)),0))</f>
        <v/>
      </c>
      <c r="R43" s="54">
        <f>IF($B43="","",1*IFERROR(INDEX(calc_M11,MATCH($B43,calc_Name,0)),0))</f>
        <v/>
      </c>
      <c r="S43" s="54">
        <f>IF($B43="","",1*IFERROR(INDEX(calc_M12,MATCH($B43,calc_Name,0)),0))</f>
        <v/>
      </c>
    </row>
    <row r="44">
      <c r="B44" s="74">
        <f>IFERROR(INDEX(calc_Name,MATCH("Operating Expense|15",calc_Key,0)),"")</f>
        <v/>
      </c>
      <c r="C44" s="54">
        <f>IF($B44="","",1*IFERROR(INDEX(calc_Cur,MATCH($B44,calc_Name,0)),0))</f>
        <v/>
      </c>
      <c r="D44" s="54">
        <f>IF($B44="","",1*IFERROR(INDEX(calc_Prev,MATCH($B44,calc_Name,0)),0))</f>
        <v/>
      </c>
      <c r="E44" s="54">
        <f>IF($B44="","",1*IFERROR(INDEX(calc_YTD,MATCH($B44,calc_Name,0)),0))</f>
        <v/>
      </c>
      <c r="F44" s="54">
        <f>IF($B44="","",1*IFERROR(INDEX(calc_FY,MATCH($B44,calc_Name,0)),0))</f>
        <v/>
      </c>
      <c r="H44" s="54">
        <f>IF($B44="","",1*IFERROR(INDEX(calc_M1,MATCH($B44,calc_Name,0)),0))</f>
        <v/>
      </c>
      <c r="I44" s="54">
        <f>IF($B44="","",1*IFERROR(INDEX(calc_M2,MATCH($B44,calc_Name,0)),0))</f>
        <v/>
      </c>
      <c r="J44" s="54">
        <f>IF($B44="","",1*IFERROR(INDEX(calc_M3,MATCH($B44,calc_Name,0)),0))</f>
        <v/>
      </c>
      <c r="K44" s="54">
        <f>IF($B44="","",1*IFERROR(INDEX(calc_M4,MATCH($B44,calc_Name,0)),0))</f>
        <v/>
      </c>
      <c r="L44" s="54">
        <f>IF($B44="","",1*IFERROR(INDEX(calc_M5,MATCH($B44,calc_Name,0)),0))</f>
        <v/>
      </c>
      <c r="M44" s="54">
        <f>IF($B44="","",1*IFERROR(INDEX(calc_M6,MATCH($B44,calc_Name,0)),0))</f>
        <v/>
      </c>
      <c r="N44" s="54">
        <f>IF($B44="","",1*IFERROR(INDEX(calc_M7,MATCH($B44,calc_Name,0)),0))</f>
        <v/>
      </c>
      <c r="O44" s="54">
        <f>IF($B44="","",1*IFERROR(INDEX(calc_M8,MATCH($B44,calc_Name,0)),0))</f>
        <v/>
      </c>
      <c r="P44" s="54">
        <f>IF($B44="","",1*IFERROR(INDEX(calc_M9,MATCH($B44,calc_Name,0)),0))</f>
        <v/>
      </c>
      <c r="Q44" s="54">
        <f>IF($B44="","",1*IFERROR(INDEX(calc_M10,MATCH($B44,calc_Name,0)),0))</f>
        <v/>
      </c>
      <c r="R44" s="54">
        <f>IF($B44="","",1*IFERROR(INDEX(calc_M11,MATCH($B44,calc_Name,0)),0))</f>
        <v/>
      </c>
      <c r="S44" s="54">
        <f>IF($B44="","",1*IFERROR(INDEX(calc_M12,MATCH($B44,calc_Name,0)),0))</f>
        <v/>
      </c>
    </row>
    <row r="45">
      <c r="B45" s="74">
        <f>IFERROR(INDEX(calc_Name,MATCH("Operating Expense|16",calc_Key,0)),"")</f>
        <v/>
      </c>
      <c r="C45" s="54">
        <f>IF($B45="","",1*IFERROR(INDEX(calc_Cur,MATCH($B45,calc_Name,0)),0))</f>
        <v/>
      </c>
      <c r="D45" s="54">
        <f>IF($B45="","",1*IFERROR(INDEX(calc_Prev,MATCH($B45,calc_Name,0)),0))</f>
        <v/>
      </c>
      <c r="E45" s="54">
        <f>IF($B45="","",1*IFERROR(INDEX(calc_YTD,MATCH($B45,calc_Name,0)),0))</f>
        <v/>
      </c>
      <c r="F45" s="54">
        <f>IF($B45="","",1*IFERROR(INDEX(calc_FY,MATCH($B45,calc_Name,0)),0))</f>
        <v/>
      </c>
      <c r="H45" s="54">
        <f>IF($B45="","",1*IFERROR(INDEX(calc_M1,MATCH($B45,calc_Name,0)),0))</f>
        <v/>
      </c>
      <c r="I45" s="54">
        <f>IF($B45="","",1*IFERROR(INDEX(calc_M2,MATCH($B45,calc_Name,0)),0))</f>
        <v/>
      </c>
      <c r="J45" s="54">
        <f>IF($B45="","",1*IFERROR(INDEX(calc_M3,MATCH($B45,calc_Name,0)),0))</f>
        <v/>
      </c>
      <c r="K45" s="54">
        <f>IF($B45="","",1*IFERROR(INDEX(calc_M4,MATCH($B45,calc_Name,0)),0))</f>
        <v/>
      </c>
      <c r="L45" s="54">
        <f>IF($B45="","",1*IFERROR(INDEX(calc_M5,MATCH($B45,calc_Name,0)),0))</f>
        <v/>
      </c>
      <c r="M45" s="54">
        <f>IF($B45="","",1*IFERROR(INDEX(calc_M6,MATCH($B45,calc_Name,0)),0))</f>
        <v/>
      </c>
      <c r="N45" s="54">
        <f>IF($B45="","",1*IFERROR(INDEX(calc_M7,MATCH($B45,calc_Name,0)),0))</f>
        <v/>
      </c>
      <c r="O45" s="54">
        <f>IF($B45="","",1*IFERROR(INDEX(calc_M8,MATCH($B45,calc_Name,0)),0))</f>
        <v/>
      </c>
      <c r="P45" s="54">
        <f>IF($B45="","",1*IFERROR(INDEX(calc_M9,MATCH($B45,calc_Name,0)),0))</f>
        <v/>
      </c>
      <c r="Q45" s="54">
        <f>IF($B45="","",1*IFERROR(INDEX(calc_M10,MATCH($B45,calc_Name,0)),0))</f>
        <v/>
      </c>
      <c r="R45" s="54">
        <f>IF($B45="","",1*IFERROR(INDEX(calc_M11,MATCH($B45,calc_Name,0)),0))</f>
        <v/>
      </c>
      <c r="S45" s="54">
        <f>IF($B45="","",1*IFERROR(INDEX(calc_M12,MATCH($B45,calc_Name,0)),0))</f>
        <v/>
      </c>
    </row>
    <row r="46">
      <c r="B46" s="74">
        <f>IFERROR(INDEX(calc_Name,MATCH("Operating Expense|17",calc_Key,0)),"")</f>
        <v/>
      </c>
      <c r="C46" s="54">
        <f>IF($B46="","",1*IFERROR(INDEX(calc_Cur,MATCH($B46,calc_Name,0)),0))</f>
        <v/>
      </c>
      <c r="D46" s="54">
        <f>IF($B46="","",1*IFERROR(INDEX(calc_Prev,MATCH($B46,calc_Name,0)),0))</f>
        <v/>
      </c>
      <c r="E46" s="54">
        <f>IF($B46="","",1*IFERROR(INDEX(calc_YTD,MATCH($B46,calc_Name,0)),0))</f>
        <v/>
      </c>
      <c r="F46" s="54">
        <f>IF($B46="","",1*IFERROR(INDEX(calc_FY,MATCH($B46,calc_Name,0)),0))</f>
        <v/>
      </c>
      <c r="H46" s="54">
        <f>IF($B46="","",1*IFERROR(INDEX(calc_M1,MATCH($B46,calc_Name,0)),0))</f>
        <v/>
      </c>
      <c r="I46" s="54">
        <f>IF($B46="","",1*IFERROR(INDEX(calc_M2,MATCH($B46,calc_Name,0)),0))</f>
        <v/>
      </c>
      <c r="J46" s="54">
        <f>IF($B46="","",1*IFERROR(INDEX(calc_M3,MATCH($B46,calc_Name,0)),0))</f>
        <v/>
      </c>
      <c r="K46" s="54">
        <f>IF($B46="","",1*IFERROR(INDEX(calc_M4,MATCH($B46,calc_Name,0)),0))</f>
        <v/>
      </c>
      <c r="L46" s="54">
        <f>IF($B46="","",1*IFERROR(INDEX(calc_M5,MATCH($B46,calc_Name,0)),0))</f>
        <v/>
      </c>
      <c r="M46" s="54">
        <f>IF($B46="","",1*IFERROR(INDEX(calc_M6,MATCH($B46,calc_Name,0)),0))</f>
        <v/>
      </c>
      <c r="N46" s="54">
        <f>IF($B46="","",1*IFERROR(INDEX(calc_M7,MATCH($B46,calc_Name,0)),0))</f>
        <v/>
      </c>
      <c r="O46" s="54">
        <f>IF($B46="","",1*IFERROR(INDEX(calc_M8,MATCH($B46,calc_Name,0)),0))</f>
        <v/>
      </c>
      <c r="P46" s="54">
        <f>IF($B46="","",1*IFERROR(INDEX(calc_M9,MATCH($B46,calc_Name,0)),0))</f>
        <v/>
      </c>
      <c r="Q46" s="54">
        <f>IF($B46="","",1*IFERROR(INDEX(calc_M10,MATCH($B46,calc_Name,0)),0))</f>
        <v/>
      </c>
      <c r="R46" s="54">
        <f>IF($B46="","",1*IFERROR(INDEX(calc_M11,MATCH($B46,calc_Name,0)),0))</f>
        <v/>
      </c>
      <c r="S46" s="54">
        <f>IF($B46="","",1*IFERROR(INDEX(calc_M12,MATCH($B46,calc_Name,0)),0))</f>
        <v/>
      </c>
    </row>
    <row r="47">
      <c r="B47" s="74">
        <f>IFERROR(INDEX(calc_Name,MATCH("Operating Expense|18",calc_Key,0)),"")</f>
        <v/>
      </c>
      <c r="C47" s="54">
        <f>IF($B47="","",1*IFERROR(INDEX(calc_Cur,MATCH($B47,calc_Name,0)),0))</f>
        <v/>
      </c>
      <c r="D47" s="54">
        <f>IF($B47="","",1*IFERROR(INDEX(calc_Prev,MATCH($B47,calc_Name,0)),0))</f>
        <v/>
      </c>
      <c r="E47" s="54">
        <f>IF($B47="","",1*IFERROR(INDEX(calc_YTD,MATCH($B47,calc_Name,0)),0))</f>
        <v/>
      </c>
      <c r="F47" s="54">
        <f>IF($B47="","",1*IFERROR(INDEX(calc_FY,MATCH($B47,calc_Name,0)),0))</f>
        <v/>
      </c>
      <c r="H47" s="54">
        <f>IF($B47="","",1*IFERROR(INDEX(calc_M1,MATCH($B47,calc_Name,0)),0))</f>
        <v/>
      </c>
      <c r="I47" s="54">
        <f>IF($B47="","",1*IFERROR(INDEX(calc_M2,MATCH($B47,calc_Name,0)),0))</f>
        <v/>
      </c>
      <c r="J47" s="54">
        <f>IF($B47="","",1*IFERROR(INDEX(calc_M3,MATCH($B47,calc_Name,0)),0))</f>
        <v/>
      </c>
      <c r="K47" s="54">
        <f>IF($B47="","",1*IFERROR(INDEX(calc_M4,MATCH($B47,calc_Name,0)),0))</f>
        <v/>
      </c>
      <c r="L47" s="54">
        <f>IF($B47="","",1*IFERROR(INDEX(calc_M5,MATCH($B47,calc_Name,0)),0))</f>
        <v/>
      </c>
      <c r="M47" s="54">
        <f>IF($B47="","",1*IFERROR(INDEX(calc_M6,MATCH($B47,calc_Name,0)),0))</f>
        <v/>
      </c>
      <c r="N47" s="54">
        <f>IF($B47="","",1*IFERROR(INDEX(calc_M7,MATCH($B47,calc_Name,0)),0))</f>
        <v/>
      </c>
      <c r="O47" s="54">
        <f>IF($B47="","",1*IFERROR(INDEX(calc_M8,MATCH($B47,calc_Name,0)),0))</f>
        <v/>
      </c>
      <c r="P47" s="54">
        <f>IF($B47="","",1*IFERROR(INDEX(calc_M9,MATCH($B47,calc_Name,0)),0))</f>
        <v/>
      </c>
      <c r="Q47" s="54">
        <f>IF($B47="","",1*IFERROR(INDEX(calc_M10,MATCH($B47,calc_Name,0)),0))</f>
        <v/>
      </c>
      <c r="R47" s="54">
        <f>IF($B47="","",1*IFERROR(INDEX(calc_M11,MATCH($B47,calc_Name,0)),0))</f>
        <v/>
      </c>
      <c r="S47" s="54">
        <f>IF($B47="","",1*IFERROR(INDEX(calc_M12,MATCH($B47,calc_Name,0)),0))</f>
        <v/>
      </c>
    </row>
    <row r="48">
      <c r="B48" s="74">
        <f>IFERROR(INDEX(calc_Name,MATCH("Operating Expense|19",calc_Key,0)),"")</f>
        <v/>
      </c>
      <c r="C48" s="54">
        <f>IF($B48="","",1*IFERROR(INDEX(calc_Cur,MATCH($B48,calc_Name,0)),0))</f>
        <v/>
      </c>
      <c r="D48" s="54">
        <f>IF($B48="","",1*IFERROR(INDEX(calc_Prev,MATCH($B48,calc_Name,0)),0))</f>
        <v/>
      </c>
      <c r="E48" s="54">
        <f>IF($B48="","",1*IFERROR(INDEX(calc_YTD,MATCH($B48,calc_Name,0)),0))</f>
        <v/>
      </c>
      <c r="F48" s="54">
        <f>IF($B48="","",1*IFERROR(INDEX(calc_FY,MATCH($B48,calc_Name,0)),0))</f>
        <v/>
      </c>
      <c r="H48" s="54">
        <f>IF($B48="","",1*IFERROR(INDEX(calc_M1,MATCH($B48,calc_Name,0)),0))</f>
        <v/>
      </c>
      <c r="I48" s="54">
        <f>IF($B48="","",1*IFERROR(INDEX(calc_M2,MATCH($B48,calc_Name,0)),0))</f>
        <v/>
      </c>
      <c r="J48" s="54">
        <f>IF($B48="","",1*IFERROR(INDEX(calc_M3,MATCH($B48,calc_Name,0)),0))</f>
        <v/>
      </c>
      <c r="K48" s="54">
        <f>IF($B48="","",1*IFERROR(INDEX(calc_M4,MATCH($B48,calc_Name,0)),0))</f>
        <v/>
      </c>
      <c r="L48" s="54">
        <f>IF($B48="","",1*IFERROR(INDEX(calc_M5,MATCH($B48,calc_Name,0)),0))</f>
        <v/>
      </c>
      <c r="M48" s="54">
        <f>IF($B48="","",1*IFERROR(INDEX(calc_M6,MATCH($B48,calc_Name,0)),0))</f>
        <v/>
      </c>
      <c r="N48" s="54">
        <f>IF($B48="","",1*IFERROR(INDEX(calc_M7,MATCH($B48,calc_Name,0)),0))</f>
        <v/>
      </c>
      <c r="O48" s="54">
        <f>IF($B48="","",1*IFERROR(INDEX(calc_M8,MATCH($B48,calc_Name,0)),0))</f>
        <v/>
      </c>
      <c r="P48" s="54">
        <f>IF($B48="","",1*IFERROR(INDEX(calc_M9,MATCH($B48,calc_Name,0)),0))</f>
        <v/>
      </c>
      <c r="Q48" s="54">
        <f>IF($B48="","",1*IFERROR(INDEX(calc_M10,MATCH($B48,calc_Name,0)),0))</f>
        <v/>
      </c>
      <c r="R48" s="54">
        <f>IF($B48="","",1*IFERROR(INDEX(calc_M11,MATCH($B48,calc_Name,0)),0))</f>
        <v/>
      </c>
      <c r="S48" s="54">
        <f>IF($B48="","",1*IFERROR(INDEX(calc_M12,MATCH($B48,calc_Name,0)),0))</f>
        <v/>
      </c>
    </row>
    <row r="49">
      <c r="B49" s="74">
        <f>IFERROR(INDEX(calc_Name,MATCH("Operating Expense|20",calc_Key,0)),"")</f>
        <v/>
      </c>
      <c r="C49" s="54">
        <f>IF($B49="","",1*IFERROR(INDEX(calc_Cur,MATCH($B49,calc_Name,0)),0))</f>
        <v/>
      </c>
      <c r="D49" s="54">
        <f>IF($B49="","",1*IFERROR(INDEX(calc_Prev,MATCH($B49,calc_Name,0)),0))</f>
        <v/>
      </c>
      <c r="E49" s="54">
        <f>IF($B49="","",1*IFERROR(INDEX(calc_YTD,MATCH($B49,calc_Name,0)),0))</f>
        <v/>
      </c>
      <c r="F49" s="54">
        <f>IF($B49="","",1*IFERROR(INDEX(calc_FY,MATCH($B49,calc_Name,0)),0))</f>
        <v/>
      </c>
      <c r="H49" s="54">
        <f>IF($B49="","",1*IFERROR(INDEX(calc_M1,MATCH($B49,calc_Name,0)),0))</f>
        <v/>
      </c>
      <c r="I49" s="54">
        <f>IF($B49="","",1*IFERROR(INDEX(calc_M2,MATCH($B49,calc_Name,0)),0))</f>
        <v/>
      </c>
      <c r="J49" s="54">
        <f>IF($B49="","",1*IFERROR(INDEX(calc_M3,MATCH($B49,calc_Name,0)),0))</f>
        <v/>
      </c>
      <c r="K49" s="54">
        <f>IF($B49="","",1*IFERROR(INDEX(calc_M4,MATCH($B49,calc_Name,0)),0))</f>
        <v/>
      </c>
      <c r="L49" s="54">
        <f>IF($B49="","",1*IFERROR(INDEX(calc_M5,MATCH($B49,calc_Name,0)),0))</f>
        <v/>
      </c>
      <c r="M49" s="54">
        <f>IF($B49="","",1*IFERROR(INDEX(calc_M6,MATCH($B49,calc_Name,0)),0))</f>
        <v/>
      </c>
      <c r="N49" s="54">
        <f>IF($B49="","",1*IFERROR(INDEX(calc_M7,MATCH($B49,calc_Name,0)),0))</f>
        <v/>
      </c>
      <c r="O49" s="54">
        <f>IF($B49="","",1*IFERROR(INDEX(calc_M8,MATCH($B49,calc_Name,0)),0))</f>
        <v/>
      </c>
      <c r="P49" s="54">
        <f>IF($B49="","",1*IFERROR(INDEX(calc_M9,MATCH($B49,calc_Name,0)),0))</f>
        <v/>
      </c>
      <c r="Q49" s="54">
        <f>IF($B49="","",1*IFERROR(INDEX(calc_M10,MATCH($B49,calc_Name,0)),0))</f>
        <v/>
      </c>
      <c r="R49" s="54">
        <f>IF($B49="","",1*IFERROR(INDEX(calc_M11,MATCH($B49,calc_Name,0)),0))</f>
        <v/>
      </c>
      <c r="S49" s="54">
        <f>IF($B49="","",1*IFERROR(INDEX(calc_M12,MATCH($B49,calc_Name,0)),0))</f>
        <v/>
      </c>
    </row>
    <row r="50">
      <c r="B50" s="74">
        <f>IFERROR(INDEX(calc_Name,MATCH("Operating Expense|21",calc_Key,0)),"")</f>
        <v/>
      </c>
      <c r="C50" s="54">
        <f>IF($B50="","",1*IFERROR(INDEX(calc_Cur,MATCH($B50,calc_Name,0)),0))</f>
        <v/>
      </c>
      <c r="D50" s="54">
        <f>IF($B50="","",1*IFERROR(INDEX(calc_Prev,MATCH($B50,calc_Name,0)),0))</f>
        <v/>
      </c>
      <c r="E50" s="54">
        <f>IF($B50="","",1*IFERROR(INDEX(calc_YTD,MATCH($B50,calc_Name,0)),0))</f>
        <v/>
      </c>
      <c r="F50" s="54">
        <f>IF($B50="","",1*IFERROR(INDEX(calc_FY,MATCH($B50,calc_Name,0)),0))</f>
        <v/>
      </c>
      <c r="H50" s="54">
        <f>IF($B50="","",1*IFERROR(INDEX(calc_M1,MATCH($B50,calc_Name,0)),0))</f>
        <v/>
      </c>
      <c r="I50" s="54">
        <f>IF($B50="","",1*IFERROR(INDEX(calc_M2,MATCH($B50,calc_Name,0)),0))</f>
        <v/>
      </c>
      <c r="J50" s="54">
        <f>IF($B50="","",1*IFERROR(INDEX(calc_M3,MATCH($B50,calc_Name,0)),0))</f>
        <v/>
      </c>
      <c r="K50" s="54">
        <f>IF($B50="","",1*IFERROR(INDEX(calc_M4,MATCH($B50,calc_Name,0)),0))</f>
        <v/>
      </c>
      <c r="L50" s="54">
        <f>IF($B50="","",1*IFERROR(INDEX(calc_M5,MATCH($B50,calc_Name,0)),0))</f>
        <v/>
      </c>
      <c r="M50" s="54">
        <f>IF($B50="","",1*IFERROR(INDEX(calc_M6,MATCH($B50,calc_Name,0)),0))</f>
        <v/>
      </c>
      <c r="N50" s="54">
        <f>IF($B50="","",1*IFERROR(INDEX(calc_M7,MATCH($B50,calc_Name,0)),0))</f>
        <v/>
      </c>
      <c r="O50" s="54">
        <f>IF($B50="","",1*IFERROR(INDEX(calc_M8,MATCH($B50,calc_Name,0)),0))</f>
        <v/>
      </c>
      <c r="P50" s="54">
        <f>IF($B50="","",1*IFERROR(INDEX(calc_M9,MATCH($B50,calc_Name,0)),0))</f>
        <v/>
      </c>
      <c r="Q50" s="54">
        <f>IF($B50="","",1*IFERROR(INDEX(calc_M10,MATCH($B50,calc_Name,0)),0))</f>
        <v/>
      </c>
      <c r="R50" s="54">
        <f>IF($B50="","",1*IFERROR(INDEX(calc_M11,MATCH($B50,calc_Name,0)),0))</f>
        <v/>
      </c>
      <c r="S50" s="54">
        <f>IF($B50="","",1*IFERROR(INDEX(calc_M12,MATCH($B50,calc_Name,0)),0))</f>
        <v/>
      </c>
    </row>
    <row r="51">
      <c r="B51" s="74">
        <f>IFERROR(INDEX(calc_Name,MATCH("Operating Expense|22",calc_Key,0)),"")</f>
        <v/>
      </c>
      <c r="C51" s="54">
        <f>IF($B51="","",1*IFERROR(INDEX(calc_Cur,MATCH($B51,calc_Name,0)),0))</f>
        <v/>
      </c>
      <c r="D51" s="54">
        <f>IF($B51="","",1*IFERROR(INDEX(calc_Prev,MATCH($B51,calc_Name,0)),0))</f>
        <v/>
      </c>
      <c r="E51" s="54">
        <f>IF($B51="","",1*IFERROR(INDEX(calc_YTD,MATCH($B51,calc_Name,0)),0))</f>
        <v/>
      </c>
      <c r="F51" s="54">
        <f>IF($B51="","",1*IFERROR(INDEX(calc_FY,MATCH($B51,calc_Name,0)),0))</f>
        <v/>
      </c>
      <c r="H51" s="54">
        <f>IF($B51="","",1*IFERROR(INDEX(calc_M1,MATCH($B51,calc_Name,0)),0))</f>
        <v/>
      </c>
      <c r="I51" s="54">
        <f>IF($B51="","",1*IFERROR(INDEX(calc_M2,MATCH($B51,calc_Name,0)),0))</f>
        <v/>
      </c>
      <c r="J51" s="54">
        <f>IF($B51="","",1*IFERROR(INDEX(calc_M3,MATCH($B51,calc_Name,0)),0))</f>
        <v/>
      </c>
      <c r="K51" s="54">
        <f>IF($B51="","",1*IFERROR(INDEX(calc_M4,MATCH($B51,calc_Name,0)),0))</f>
        <v/>
      </c>
      <c r="L51" s="54">
        <f>IF($B51="","",1*IFERROR(INDEX(calc_M5,MATCH($B51,calc_Name,0)),0))</f>
        <v/>
      </c>
      <c r="M51" s="54">
        <f>IF($B51="","",1*IFERROR(INDEX(calc_M6,MATCH($B51,calc_Name,0)),0))</f>
        <v/>
      </c>
      <c r="N51" s="54">
        <f>IF($B51="","",1*IFERROR(INDEX(calc_M7,MATCH($B51,calc_Name,0)),0))</f>
        <v/>
      </c>
      <c r="O51" s="54">
        <f>IF($B51="","",1*IFERROR(INDEX(calc_M8,MATCH($B51,calc_Name,0)),0))</f>
        <v/>
      </c>
      <c r="P51" s="54">
        <f>IF($B51="","",1*IFERROR(INDEX(calc_M9,MATCH($B51,calc_Name,0)),0))</f>
        <v/>
      </c>
      <c r="Q51" s="54">
        <f>IF($B51="","",1*IFERROR(INDEX(calc_M10,MATCH($B51,calc_Name,0)),0))</f>
        <v/>
      </c>
      <c r="R51" s="54">
        <f>IF($B51="","",1*IFERROR(INDEX(calc_M11,MATCH($B51,calc_Name,0)),0))</f>
        <v/>
      </c>
      <c r="S51" s="54">
        <f>IF($B51="","",1*IFERROR(INDEX(calc_M12,MATCH($B51,calc_Name,0)),0))</f>
        <v/>
      </c>
    </row>
    <row r="52">
      <c r="B52" s="35" t="inlineStr">
        <is>
          <t>Total Operating Expenses</t>
        </is>
      </c>
      <c r="C52" s="75">
        <f>1*SUMIFS(calc_Cur,calc_Type,"Operating Expense")</f>
        <v/>
      </c>
      <c r="D52" s="75">
        <f>1*SUMIFS(calc_Prev,calc_Type,"Operating Expense")</f>
        <v/>
      </c>
      <c r="E52" s="75">
        <f>1*SUMIFS(calc_YTD,calc_Type,"Operating Expense")</f>
        <v/>
      </c>
      <c r="F52" s="75">
        <f>1*SUMIFS(calc_FY,calc_Type,"Operating Expense")</f>
        <v/>
      </c>
      <c r="G52" s="75" t="n"/>
      <c r="H52" s="75">
        <f>1*SUMIFS(calc_M1,calc_Type,"Operating Expense")</f>
        <v/>
      </c>
      <c r="I52" s="75">
        <f>1*SUMIFS(calc_M2,calc_Type,"Operating Expense")</f>
        <v/>
      </c>
      <c r="J52" s="75">
        <f>1*SUMIFS(calc_M3,calc_Type,"Operating Expense")</f>
        <v/>
      </c>
      <c r="K52" s="75">
        <f>1*SUMIFS(calc_M4,calc_Type,"Operating Expense")</f>
        <v/>
      </c>
      <c r="L52" s="75">
        <f>1*SUMIFS(calc_M5,calc_Type,"Operating Expense")</f>
        <v/>
      </c>
      <c r="M52" s="75">
        <f>1*SUMIFS(calc_M6,calc_Type,"Operating Expense")</f>
        <v/>
      </c>
      <c r="N52" s="75">
        <f>1*SUMIFS(calc_M7,calc_Type,"Operating Expense")</f>
        <v/>
      </c>
      <c r="O52" s="75">
        <f>1*SUMIFS(calc_M8,calc_Type,"Operating Expense")</f>
        <v/>
      </c>
      <c r="P52" s="75">
        <f>1*SUMIFS(calc_M9,calc_Type,"Operating Expense")</f>
        <v/>
      </c>
      <c r="Q52" s="75">
        <f>1*SUMIFS(calc_M10,calc_Type,"Operating Expense")</f>
        <v/>
      </c>
      <c r="R52" s="75">
        <f>1*SUMIFS(calc_M11,calc_Type,"Operating Expense")</f>
        <v/>
      </c>
      <c r="S52" s="75">
        <f>1*SUMIFS(calc_M12,calc_Type,"Operating Expense")</f>
        <v/>
      </c>
    </row>
    <row r="54">
      <c r="B54" s="76" t="inlineStr">
        <is>
          <t>NET OPERATING INCOME</t>
        </is>
      </c>
      <c r="C54" s="77">
        <f>C26-C52</f>
        <v/>
      </c>
      <c r="D54" s="77">
        <f>D26-D52</f>
        <v/>
      </c>
      <c r="E54" s="77">
        <f>E26-E52</f>
        <v/>
      </c>
      <c r="F54" s="77">
        <f>F26-F52</f>
        <v/>
      </c>
      <c r="G54" s="77" t="n"/>
      <c r="H54" s="77">
        <f>H26-H52</f>
        <v/>
      </c>
      <c r="I54" s="77">
        <f>I26-I52</f>
        <v/>
      </c>
      <c r="J54" s="77">
        <f>J26-J52</f>
        <v/>
      </c>
      <c r="K54" s="77">
        <f>K26-K52</f>
        <v/>
      </c>
      <c r="L54" s="77">
        <f>L26-L52</f>
        <v/>
      </c>
      <c r="M54" s="77">
        <f>M26-M52</f>
        <v/>
      </c>
      <c r="N54" s="77">
        <f>N26-N52</f>
        <v/>
      </c>
      <c r="O54" s="77">
        <f>O26-O52</f>
        <v/>
      </c>
      <c r="P54" s="77">
        <f>P26-P52</f>
        <v/>
      </c>
      <c r="Q54" s="77">
        <f>Q26-Q52</f>
        <v/>
      </c>
      <c r="R54" s="77">
        <f>R26-R52</f>
        <v/>
      </c>
      <c r="S54" s="77">
        <f>S26-S52</f>
        <v/>
      </c>
    </row>
    <row r="56">
      <c r="B56" s="72" t="inlineStr">
        <is>
          <t>OTHER INCOME</t>
        </is>
      </c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</row>
    <row r="57">
      <c r="B57" s="74">
        <f>IFERROR(INDEX(calc_Name,MATCH("Other Income|1",calc_Key,0)),"")</f>
        <v/>
      </c>
      <c r="C57" s="54">
        <f>IF($B57="","",-1*IFERROR(INDEX(calc_Cur,MATCH($B57,calc_Name,0)),0))</f>
        <v/>
      </c>
      <c r="D57" s="54">
        <f>IF($B57="","",-1*IFERROR(INDEX(calc_Prev,MATCH($B57,calc_Name,0)),0))</f>
        <v/>
      </c>
      <c r="E57" s="54">
        <f>IF($B57="","",-1*IFERROR(INDEX(calc_YTD,MATCH($B57,calc_Name,0)),0))</f>
        <v/>
      </c>
      <c r="F57" s="54">
        <f>IF($B57="","",-1*IFERROR(INDEX(calc_FY,MATCH($B57,calc_Name,0)),0))</f>
        <v/>
      </c>
      <c r="H57" s="54">
        <f>IF($B57="","",-1*IFERROR(INDEX(calc_M1,MATCH($B57,calc_Name,0)),0))</f>
        <v/>
      </c>
      <c r="I57" s="54">
        <f>IF($B57="","",-1*IFERROR(INDEX(calc_M2,MATCH($B57,calc_Name,0)),0))</f>
        <v/>
      </c>
      <c r="J57" s="54">
        <f>IF($B57="","",-1*IFERROR(INDEX(calc_M3,MATCH($B57,calc_Name,0)),0))</f>
        <v/>
      </c>
      <c r="K57" s="54">
        <f>IF($B57="","",-1*IFERROR(INDEX(calc_M4,MATCH($B57,calc_Name,0)),0))</f>
        <v/>
      </c>
      <c r="L57" s="54">
        <f>IF($B57="","",-1*IFERROR(INDEX(calc_M5,MATCH($B57,calc_Name,0)),0))</f>
        <v/>
      </c>
      <c r="M57" s="54">
        <f>IF($B57="","",-1*IFERROR(INDEX(calc_M6,MATCH($B57,calc_Name,0)),0))</f>
        <v/>
      </c>
      <c r="N57" s="54">
        <f>IF($B57="","",-1*IFERROR(INDEX(calc_M7,MATCH($B57,calc_Name,0)),0))</f>
        <v/>
      </c>
      <c r="O57" s="54">
        <f>IF($B57="","",-1*IFERROR(INDEX(calc_M8,MATCH($B57,calc_Name,0)),0))</f>
        <v/>
      </c>
      <c r="P57" s="54">
        <f>IF($B57="","",-1*IFERROR(INDEX(calc_M9,MATCH($B57,calc_Name,0)),0))</f>
        <v/>
      </c>
      <c r="Q57" s="54">
        <f>IF($B57="","",-1*IFERROR(INDEX(calc_M10,MATCH($B57,calc_Name,0)),0))</f>
        <v/>
      </c>
      <c r="R57" s="54">
        <f>IF($B57="","",-1*IFERROR(INDEX(calc_M11,MATCH($B57,calc_Name,0)),0))</f>
        <v/>
      </c>
      <c r="S57" s="54">
        <f>IF($B57="","",-1*IFERROR(INDEX(calc_M12,MATCH($B57,calc_Name,0)),0))</f>
        <v/>
      </c>
    </row>
    <row r="58">
      <c r="B58" s="74">
        <f>IFERROR(INDEX(calc_Name,MATCH("Other Income|2",calc_Key,0)),"")</f>
        <v/>
      </c>
      <c r="C58" s="54">
        <f>IF($B58="","",-1*IFERROR(INDEX(calc_Cur,MATCH($B58,calc_Name,0)),0))</f>
        <v/>
      </c>
      <c r="D58" s="54">
        <f>IF($B58="","",-1*IFERROR(INDEX(calc_Prev,MATCH($B58,calc_Name,0)),0))</f>
        <v/>
      </c>
      <c r="E58" s="54">
        <f>IF($B58="","",-1*IFERROR(INDEX(calc_YTD,MATCH($B58,calc_Name,0)),0))</f>
        <v/>
      </c>
      <c r="F58" s="54">
        <f>IF($B58="","",-1*IFERROR(INDEX(calc_FY,MATCH($B58,calc_Name,0)),0))</f>
        <v/>
      </c>
      <c r="H58" s="54">
        <f>IF($B58="","",-1*IFERROR(INDEX(calc_M1,MATCH($B58,calc_Name,0)),0))</f>
        <v/>
      </c>
      <c r="I58" s="54">
        <f>IF($B58="","",-1*IFERROR(INDEX(calc_M2,MATCH($B58,calc_Name,0)),0))</f>
        <v/>
      </c>
      <c r="J58" s="54">
        <f>IF($B58="","",-1*IFERROR(INDEX(calc_M3,MATCH($B58,calc_Name,0)),0))</f>
        <v/>
      </c>
      <c r="K58" s="54">
        <f>IF($B58="","",-1*IFERROR(INDEX(calc_M4,MATCH($B58,calc_Name,0)),0))</f>
        <v/>
      </c>
      <c r="L58" s="54">
        <f>IF($B58="","",-1*IFERROR(INDEX(calc_M5,MATCH($B58,calc_Name,0)),0))</f>
        <v/>
      </c>
      <c r="M58" s="54">
        <f>IF($B58="","",-1*IFERROR(INDEX(calc_M6,MATCH($B58,calc_Name,0)),0))</f>
        <v/>
      </c>
      <c r="N58" s="54">
        <f>IF($B58="","",-1*IFERROR(INDEX(calc_M7,MATCH($B58,calc_Name,0)),0))</f>
        <v/>
      </c>
      <c r="O58" s="54">
        <f>IF($B58="","",-1*IFERROR(INDEX(calc_M8,MATCH($B58,calc_Name,0)),0))</f>
        <v/>
      </c>
      <c r="P58" s="54">
        <f>IF($B58="","",-1*IFERROR(INDEX(calc_M9,MATCH($B58,calc_Name,0)),0))</f>
        <v/>
      </c>
      <c r="Q58" s="54">
        <f>IF($B58="","",-1*IFERROR(INDEX(calc_M10,MATCH($B58,calc_Name,0)),0))</f>
        <v/>
      </c>
      <c r="R58" s="54">
        <f>IF($B58="","",-1*IFERROR(INDEX(calc_M11,MATCH($B58,calc_Name,0)),0))</f>
        <v/>
      </c>
      <c r="S58" s="54">
        <f>IF($B58="","",-1*IFERROR(INDEX(calc_M12,MATCH($B58,calc_Name,0)),0))</f>
        <v/>
      </c>
    </row>
    <row r="59">
      <c r="B59" s="74">
        <f>IFERROR(INDEX(calc_Name,MATCH("Other Income|3",calc_Key,0)),"")</f>
        <v/>
      </c>
      <c r="C59" s="54">
        <f>IF($B59="","",-1*IFERROR(INDEX(calc_Cur,MATCH($B59,calc_Name,0)),0))</f>
        <v/>
      </c>
      <c r="D59" s="54">
        <f>IF($B59="","",-1*IFERROR(INDEX(calc_Prev,MATCH($B59,calc_Name,0)),0))</f>
        <v/>
      </c>
      <c r="E59" s="54">
        <f>IF($B59="","",-1*IFERROR(INDEX(calc_YTD,MATCH($B59,calc_Name,0)),0))</f>
        <v/>
      </c>
      <c r="F59" s="54">
        <f>IF($B59="","",-1*IFERROR(INDEX(calc_FY,MATCH($B59,calc_Name,0)),0))</f>
        <v/>
      </c>
      <c r="H59" s="54">
        <f>IF($B59="","",-1*IFERROR(INDEX(calc_M1,MATCH($B59,calc_Name,0)),0))</f>
        <v/>
      </c>
      <c r="I59" s="54">
        <f>IF($B59="","",-1*IFERROR(INDEX(calc_M2,MATCH($B59,calc_Name,0)),0))</f>
        <v/>
      </c>
      <c r="J59" s="54">
        <f>IF($B59="","",-1*IFERROR(INDEX(calc_M3,MATCH($B59,calc_Name,0)),0))</f>
        <v/>
      </c>
      <c r="K59" s="54">
        <f>IF($B59="","",-1*IFERROR(INDEX(calc_M4,MATCH($B59,calc_Name,0)),0))</f>
        <v/>
      </c>
      <c r="L59" s="54">
        <f>IF($B59="","",-1*IFERROR(INDEX(calc_M5,MATCH($B59,calc_Name,0)),0))</f>
        <v/>
      </c>
      <c r="M59" s="54">
        <f>IF($B59="","",-1*IFERROR(INDEX(calc_M6,MATCH($B59,calc_Name,0)),0))</f>
        <v/>
      </c>
      <c r="N59" s="54">
        <f>IF($B59="","",-1*IFERROR(INDEX(calc_M7,MATCH($B59,calc_Name,0)),0))</f>
        <v/>
      </c>
      <c r="O59" s="54">
        <f>IF($B59="","",-1*IFERROR(INDEX(calc_M8,MATCH($B59,calc_Name,0)),0))</f>
        <v/>
      </c>
      <c r="P59" s="54">
        <f>IF($B59="","",-1*IFERROR(INDEX(calc_M9,MATCH($B59,calc_Name,0)),0))</f>
        <v/>
      </c>
      <c r="Q59" s="54">
        <f>IF($B59="","",-1*IFERROR(INDEX(calc_M10,MATCH($B59,calc_Name,0)),0))</f>
        <v/>
      </c>
      <c r="R59" s="54">
        <f>IF($B59="","",-1*IFERROR(INDEX(calc_M11,MATCH($B59,calc_Name,0)),0))</f>
        <v/>
      </c>
      <c r="S59" s="54">
        <f>IF($B59="","",-1*IFERROR(INDEX(calc_M12,MATCH($B59,calc_Name,0)),0))</f>
        <v/>
      </c>
    </row>
    <row r="60">
      <c r="B60" s="74">
        <f>IFERROR(INDEX(calc_Name,MATCH("Other Income|4",calc_Key,0)),"")</f>
        <v/>
      </c>
      <c r="C60" s="54">
        <f>IF($B60="","",-1*IFERROR(INDEX(calc_Cur,MATCH($B60,calc_Name,0)),0))</f>
        <v/>
      </c>
      <c r="D60" s="54">
        <f>IF($B60="","",-1*IFERROR(INDEX(calc_Prev,MATCH($B60,calc_Name,0)),0))</f>
        <v/>
      </c>
      <c r="E60" s="54">
        <f>IF($B60="","",-1*IFERROR(INDEX(calc_YTD,MATCH($B60,calc_Name,0)),0))</f>
        <v/>
      </c>
      <c r="F60" s="54">
        <f>IF($B60="","",-1*IFERROR(INDEX(calc_FY,MATCH($B60,calc_Name,0)),0))</f>
        <v/>
      </c>
      <c r="H60" s="54">
        <f>IF($B60="","",-1*IFERROR(INDEX(calc_M1,MATCH($B60,calc_Name,0)),0))</f>
        <v/>
      </c>
      <c r="I60" s="54">
        <f>IF($B60="","",-1*IFERROR(INDEX(calc_M2,MATCH($B60,calc_Name,0)),0))</f>
        <v/>
      </c>
      <c r="J60" s="54">
        <f>IF($B60="","",-1*IFERROR(INDEX(calc_M3,MATCH($B60,calc_Name,0)),0))</f>
        <v/>
      </c>
      <c r="K60" s="54">
        <f>IF($B60="","",-1*IFERROR(INDEX(calc_M4,MATCH($B60,calc_Name,0)),0))</f>
        <v/>
      </c>
      <c r="L60" s="54">
        <f>IF($B60="","",-1*IFERROR(INDEX(calc_M5,MATCH($B60,calc_Name,0)),0))</f>
        <v/>
      </c>
      <c r="M60" s="54">
        <f>IF($B60="","",-1*IFERROR(INDEX(calc_M6,MATCH($B60,calc_Name,0)),0))</f>
        <v/>
      </c>
      <c r="N60" s="54">
        <f>IF($B60="","",-1*IFERROR(INDEX(calc_M7,MATCH($B60,calc_Name,0)),0))</f>
        <v/>
      </c>
      <c r="O60" s="54">
        <f>IF($B60="","",-1*IFERROR(INDEX(calc_M8,MATCH($B60,calc_Name,0)),0))</f>
        <v/>
      </c>
      <c r="P60" s="54">
        <f>IF($B60="","",-1*IFERROR(INDEX(calc_M9,MATCH($B60,calc_Name,0)),0))</f>
        <v/>
      </c>
      <c r="Q60" s="54">
        <f>IF($B60="","",-1*IFERROR(INDEX(calc_M10,MATCH($B60,calc_Name,0)),0))</f>
        <v/>
      </c>
      <c r="R60" s="54">
        <f>IF($B60="","",-1*IFERROR(INDEX(calc_M11,MATCH($B60,calc_Name,0)),0))</f>
        <v/>
      </c>
      <c r="S60" s="54">
        <f>IF($B60="","",-1*IFERROR(INDEX(calc_M12,MATCH($B60,calc_Name,0)),0))</f>
        <v/>
      </c>
    </row>
    <row r="61">
      <c r="B61" s="35" t="inlineStr">
        <is>
          <t>Total Other Income</t>
        </is>
      </c>
      <c r="C61" s="75">
        <f>-1*SUMIFS(calc_Cur,calc_Type,"Other Income")</f>
        <v/>
      </c>
      <c r="D61" s="75">
        <f>-1*SUMIFS(calc_Prev,calc_Type,"Other Income")</f>
        <v/>
      </c>
      <c r="E61" s="75">
        <f>-1*SUMIFS(calc_YTD,calc_Type,"Other Income")</f>
        <v/>
      </c>
      <c r="F61" s="75">
        <f>-1*SUMIFS(calc_FY,calc_Type,"Other Income")</f>
        <v/>
      </c>
      <c r="G61" s="75" t="n"/>
      <c r="H61" s="75">
        <f>-1*SUMIFS(calc_M1,calc_Type,"Other Income")</f>
        <v/>
      </c>
      <c r="I61" s="75">
        <f>-1*SUMIFS(calc_M2,calc_Type,"Other Income")</f>
        <v/>
      </c>
      <c r="J61" s="75">
        <f>-1*SUMIFS(calc_M3,calc_Type,"Other Income")</f>
        <v/>
      </c>
      <c r="K61" s="75">
        <f>-1*SUMIFS(calc_M4,calc_Type,"Other Income")</f>
        <v/>
      </c>
      <c r="L61" s="75">
        <f>-1*SUMIFS(calc_M5,calc_Type,"Other Income")</f>
        <v/>
      </c>
      <c r="M61" s="75">
        <f>-1*SUMIFS(calc_M6,calc_Type,"Other Income")</f>
        <v/>
      </c>
      <c r="N61" s="75">
        <f>-1*SUMIFS(calc_M7,calc_Type,"Other Income")</f>
        <v/>
      </c>
      <c r="O61" s="75">
        <f>-1*SUMIFS(calc_M8,calc_Type,"Other Income")</f>
        <v/>
      </c>
      <c r="P61" s="75">
        <f>-1*SUMIFS(calc_M9,calc_Type,"Other Income")</f>
        <v/>
      </c>
      <c r="Q61" s="75">
        <f>-1*SUMIFS(calc_M10,calc_Type,"Other Income")</f>
        <v/>
      </c>
      <c r="R61" s="75">
        <f>-1*SUMIFS(calc_M11,calc_Type,"Other Income")</f>
        <v/>
      </c>
      <c r="S61" s="75">
        <f>-1*SUMIFS(calc_M12,calc_Type,"Other Income")</f>
        <v/>
      </c>
    </row>
    <row r="63">
      <c r="B63" s="72" t="inlineStr">
        <is>
          <t>OTHER EXPENSES</t>
        </is>
      </c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</row>
    <row r="64">
      <c r="B64" s="74">
        <f>IFERROR(INDEX(calc_Name,MATCH("Other Expense|1",calc_Key,0)),"")</f>
        <v/>
      </c>
      <c r="C64" s="54">
        <f>IF($B64="","",1*IFERROR(INDEX(calc_Cur,MATCH($B64,calc_Name,0)),0))</f>
        <v/>
      </c>
      <c r="D64" s="54">
        <f>IF($B64="","",1*IFERROR(INDEX(calc_Prev,MATCH($B64,calc_Name,0)),0))</f>
        <v/>
      </c>
      <c r="E64" s="54">
        <f>IF($B64="","",1*IFERROR(INDEX(calc_YTD,MATCH($B64,calc_Name,0)),0))</f>
        <v/>
      </c>
      <c r="F64" s="54">
        <f>IF($B64="","",1*IFERROR(INDEX(calc_FY,MATCH($B64,calc_Name,0)),0))</f>
        <v/>
      </c>
      <c r="H64" s="54">
        <f>IF($B64="","",1*IFERROR(INDEX(calc_M1,MATCH($B64,calc_Name,0)),0))</f>
        <v/>
      </c>
      <c r="I64" s="54">
        <f>IF($B64="","",1*IFERROR(INDEX(calc_M2,MATCH($B64,calc_Name,0)),0))</f>
        <v/>
      </c>
      <c r="J64" s="54">
        <f>IF($B64="","",1*IFERROR(INDEX(calc_M3,MATCH($B64,calc_Name,0)),0))</f>
        <v/>
      </c>
      <c r="K64" s="54">
        <f>IF($B64="","",1*IFERROR(INDEX(calc_M4,MATCH($B64,calc_Name,0)),0))</f>
        <v/>
      </c>
      <c r="L64" s="54">
        <f>IF($B64="","",1*IFERROR(INDEX(calc_M5,MATCH($B64,calc_Name,0)),0))</f>
        <v/>
      </c>
      <c r="M64" s="54">
        <f>IF($B64="","",1*IFERROR(INDEX(calc_M6,MATCH($B64,calc_Name,0)),0))</f>
        <v/>
      </c>
      <c r="N64" s="54">
        <f>IF($B64="","",1*IFERROR(INDEX(calc_M7,MATCH($B64,calc_Name,0)),0))</f>
        <v/>
      </c>
      <c r="O64" s="54">
        <f>IF($B64="","",1*IFERROR(INDEX(calc_M8,MATCH($B64,calc_Name,0)),0))</f>
        <v/>
      </c>
      <c r="P64" s="54">
        <f>IF($B64="","",1*IFERROR(INDEX(calc_M9,MATCH($B64,calc_Name,0)),0))</f>
        <v/>
      </c>
      <c r="Q64" s="54">
        <f>IF($B64="","",1*IFERROR(INDEX(calc_M10,MATCH($B64,calc_Name,0)),0))</f>
        <v/>
      </c>
      <c r="R64" s="54">
        <f>IF($B64="","",1*IFERROR(INDEX(calc_M11,MATCH($B64,calc_Name,0)),0))</f>
        <v/>
      </c>
      <c r="S64" s="54">
        <f>IF($B64="","",1*IFERROR(INDEX(calc_M12,MATCH($B64,calc_Name,0)),0))</f>
        <v/>
      </c>
    </row>
    <row r="65">
      <c r="B65" s="74">
        <f>IFERROR(INDEX(calc_Name,MATCH("Other Expense|2",calc_Key,0)),"")</f>
        <v/>
      </c>
      <c r="C65" s="54">
        <f>IF($B65="","",1*IFERROR(INDEX(calc_Cur,MATCH($B65,calc_Name,0)),0))</f>
        <v/>
      </c>
      <c r="D65" s="54">
        <f>IF($B65="","",1*IFERROR(INDEX(calc_Prev,MATCH($B65,calc_Name,0)),0))</f>
        <v/>
      </c>
      <c r="E65" s="54">
        <f>IF($B65="","",1*IFERROR(INDEX(calc_YTD,MATCH($B65,calc_Name,0)),0))</f>
        <v/>
      </c>
      <c r="F65" s="54">
        <f>IF($B65="","",1*IFERROR(INDEX(calc_FY,MATCH($B65,calc_Name,0)),0))</f>
        <v/>
      </c>
      <c r="H65" s="54">
        <f>IF($B65="","",1*IFERROR(INDEX(calc_M1,MATCH($B65,calc_Name,0)),0))</f>
        <v/>
      </c>
      <c r="I65" s="54">
        <f>IF($B65="","",1*IFERROR(INDEX(calc_M2,MATCH($B65,calc_Name,0)),0))</f>
        <v/>
      </c>
      <c r="J65" s="54">
        <f>IF($B65="","",1*IFERROR(INDEX(calc_M3,MATCH($B65,calc_Name,0)),0))</f>
        <v/>
      </c>
      <c r="K65" s="54">
        <f>IF($B65="","",1*IFERROR(INDEX(calc_M4,MATCH($B65,calc_Name,0)),0))</f>
        <v/>
      </c>
      <c r="L65" s="54">
        <f>IF($B65="","",1*IFERROR(INDEX(calc_M5,MATCH($B65,calc_Name,0)),0))</f>
        <v/>
      </c>
      <c r="M65" s="54">
        <f>IF($B65="","",1*IFERROR(INDEX(calc_M6,MATCH($B65,calc_Name,0)),0))</f>
        <v/>
      </c>
      <c r="N65" s="54">
        <f>IF($B65="","",1*IFERROR(INDEX(calc_M7,MATCH($B65,calc_Name,0)),0))</f>
        <v/>
      </c>
      <c r="O65" s="54">
        <f>IF($B65="","",1*IFERROR(INDEX(calc_M8,MATCH($B65,calc_Name,0)),0))</f>
        <v/>
      </c>
      <c r="P65" s="54">
        <f>IF($B65="","",1*IFERROR(INDEX(calc_M9,MATCH($B65,calc_Name,0)),0))</f>
        <v/>
      </c>
      <c r="Q65" s="54">
        <f>IF($B65="","",1*IFERROR(INDEX(calc_M10,MATCH($B65,calc_Name,0)),0))</f>
        <v/>
      </c>
      <c r="R65" s="54">
        <f>IF($B65="","",1*IFERROR(INDEX(calc_M11,MATCH($B65,calc_Name,0)),0))</f>
        <v/>
      </c>
      <c r="S65" s="54">
        <f>IF($B65="","",1*IFERROR(INDEX(calc_M12,MATCH($B65,calc_Name,0)),0))</f>
        <v/>
      </c>
    </row>
    <row r="66">
      <c r="B66" s="74">
        <f>IFERROR(INDEX(calc_Name,MATCH("Other Expense|3",calc_Key,0)),"")</f>
        <v/>
      </c>
      <c r="C66" s="54">
        <f>IF($B66="","",1*IFERROR(INDEX(calc_Cur,MATCH($B66,calc_Name,0)),0))</f>
        <v/>
      </c>
      <c r="D66" s="54">
        <f>IF($B66="","",1*IFERROR(INDEX(calc_Prev,MATCH($B66,calc_Name,0)),0))</f>
        <v/>
      </c>
      <c r="E66" s="54">
        <f>IF($B66="","",1*IFERROR(INDEX(calc_YTD,MATCH($B66,calc_Name,0)),0))</f>
        <v/>
      </c>
      <c r="F66" s="54">
        <f>IF($B66="","",1*IFERROR(INDEX(calc_FY,MATCH($B66,calc_Name,0)),0))</f>
        <v/>
      </c>
      <c r="H66" s="54">
        <f>IF($B66="","",1*IFERROR(INDEX(calc_M1,MATCH($B66,calc_Name,0)),0))</f>
        <v/>
      </c>
      <c r="I66" s="54">
        <f>IF($B66="","",1*IFERROR(INDEX(calc_M2,MATCH($B66,calc_Name,0)),0))</f>
        <v/>
      </c>
      <c r="J66" s="54">
        <f>IF($B66="","",1*IFERROR(INDEX(calc_M3,MATCH($B66,calc_Name,0)),0))</f>
        <v/>
      </c>
      <c r="K66" s="54">
        <f>IF($B66="","",1*IFERROR(INDEX(calc_M4,MATCH($B66,calc_Name,0)),0))</f>
        <v/>
      </c>
      <c r="L66" s="54">
        <f>IF($B66="","",1*IFERROR(INDEX(calc_M5,MATCH($B66,calc_Name,0)),0))</f>
        <v/>
      </c>
      <c r="M66" s="54">
        <f>IF($B66="","",1*IFERROR(INDEX(calc_M6,MATCH($B66,calc_Name,0)),0))</f>
        <v/>
      </c>
      <c r="N66" s="54">
        <f>IF($B66="","",1*IFERROR(INDEX(calc_M7,MATCH($B66,calc_Name,0)),0))</f>
        <v/>
      </c>
      <c r="O66" s="54">
        <f>IF($B66="","",1*IFERROR(INDEX(calc_M8,MATCH($B66,calc_Name,0)),0))</f>
        <v/>
      </c>
      <c r="P66" s="54">
        <f>IF($B66="","",1*IFERROR(INDEX(calc_M9,MATCH($B66,calc_Name,0)),0))</f>
        <v/>
      </c>
      <c r="Q66" s="54">
        <f>IF($B66="","",1*IFERROR(INDEX(calc_M10,MATCH($B66,calc_Name,0)),0))</f>
        <v/>
      </c>
      <c r="R66" s="54">
        <f>IF($B66="","",1*IFERROR(INDEX(calc_M11,MATCH($B66,calc_Name,0)),0))</f>
        <v/>
      </c>
      <c r="S66" s="54">
        <f>IF($B66="","",1*IFERROR(INDEX(calc_M12,MATCH($B66,calc_Name,0)),0))</f>
        <v/>
      </c>
    </row>
    <row r="67">
      <c r="B67" s="74">
        <f>IFERROR(INDEX(calc_Name,MATCH("Other Expense|4",calc_Key,0)),"")</f>
        <v/>
      </c>
      <c r="C67" s="54">
        <f>IF($B67="","",1*IFERROR(INDEX(calc_Cur,MATCH($B67,calc_Name,0)),0))</f>
        <v/>
      </c>
      <c r="D67" s="54">
        <f>IF($B67="","",1*IFERROR(INDEX(calc_Prev,MATCH($B67,calc_Name,0)),0))</f>
        <v/>
      </c>
      <c r="E67" s="54">
        <f>IF($B67="","",1*IFERROR(INDEX(calc_YTD,MATCH($B67,calc_Name,0)),0))</f>
        <v/>
      </c>
      <c r="F67" s="54">
        <f>IF($B67="","",1*IFERROR(INDEX(calc_FY,MATCH($B67,calc_Name,0)),0))</f>
        <v/>
      </c>
      <c r="H67" s="54">
        <f>IF($B67="","",1*IFERROR(INDEX(calc_M1,MATCH($B67,calc_Name,0)),0))</f>
        <v/>
      </c>
      <c r="I67" s="54">
        <f>IF($B67="","",1*IFERROR(INDEX(calc_M2,MATCH($B67,calc_Name,0)),0))</f>
        <v/>
      </c>
      <c r="J67" s="54">
        <f>IF($B67="","",1*IFERROR(INDEX(calc_M3,MATCH($B67,calc_Name,0)),0))</f>
        <v/>
      </c>
      <c r="K67" s="54">
        <f>IF($B67="","",1*IFERROR(INDEX(calc_M4,MATCH($B67,calc_Name,0)),0))</f>
        <v/>
      </c>
      <c r="L67" s="54">
        <f>IF($B67="","",1*IFERROR(INDEX(calc_M5,MATCH($B67,calc_Name,0)),0))</f>
        <v/>
      </c>
      <c r="M67" s="54">
        <f>IF($B67="","",1*IFERROR(INDEX(calc_M6,MATCH($B67,calc_Name,0)),0))</f>
        <v/>
      </c>
      <c r="N67" s="54">
        <f>IF($B67="","",1*IFERROR(INDEX(calc_M7,MATCH($B67,calc_Name,0)),0))</f>
        <v/>
      </c>
      <c r="O67" s="54">
        <f>IF($B67="","",1*IFERROR(INDEX(calc_M8,MATCH($B67,calc_Name,0)),0))</f>
        <v/>
      </c>
      <c r="P67" s="54">
        <f>IF($B67="","",1*IFERROR(INDEX(calc_M9,MATCH($B67,calc_Name,0)),0))</f>
        <v/>
      </c>
      <c r="Q67" s="54">
        <f>IF($B67="","",1*IFERROR(INDEX(calc_M10,MATCH($B67,calc_Name,0)),0))</f>
        <v/>
      </c>
      <c r="R67" s="54">
        <f>IF($B67="","",1*IFERROR(INDEX(calc_M11,MATCH($B67,calc_Name,0)),0))</f>
        <v/>
      </c>
      <c r="S67" s="54">
        <f>IF($B67="","",1*IFERROR(INDEX(calc_M12,MATCH($B67,calc_Name,0)),0))</f>
        <v/>
      </c>
    </row>
    <row r="68">
      <c r="B68" s="35" t="inlineStr">
        <is>
          <t>Total Other Expenses</t>
        </is>
      </c>
      <c r="C68" s="75">
        <f>1*SUMIFS(calc_Cur,calc_Type,"Other Expense")</f>
        <v/>
      </c>
      <c r="D68" s="75">
        <f>1*SUMIFS(calc_Prev,calc_Type,"Other Expense")</f>
        <v/>
      </c>
      <c r="E68" s="75">
        <f>1*SUMIFS(calc_YTD,calc_Type,"Other Expense")</f>
        <v/>
      </c>
      <c r="F68" s="75">
        <f>1*SUMIFS(calc_FY,calc_Type,"Other Expense")</f>
        <v/>
      </c>
      <c r="G68" s="75" t="n"/>
      <c r="H68" s="75">
        <f>1*SUMIFS(calc_M1,calc_Type,"Other Expense")</f>
        <v/>
      </c>
      <c r="I68" s="75">
        <f>1*SUMIFS(calc_M2,calc_Type,"Other Expense")</f>
        <v/>
      </c>
      <c r="J68" s="75">
        <f>1*SUMIFS(calc_M3,calc_Type,"Other Expense")</f>
        <v/>
      </c>
      <c r="K68" s="75">
        <f>1*SUMIFS(calc_M4,calc_Type,"Other Expense")</f>
        <v/>
      </c>
      <c r="L68" s="75">
        <f>1*SUMIFS(calc_M5,calc_Type,"Other Expense")</f>
        <v/>
      </c>
      <c r="M68" s="75">
        <f>1*SUMIFS(calc_M6,calc_Type,"Other Expense")</f>
        <v/>
      </c>
      <c r="N68" s="75">
        <f>1*SUMIFS(calc_M7,calc_Type,"Other Expense")</f>
        <v/>
      </c>
      <c r="O68" s="75">
        <f>1*SUMIFS(calc_M8,calc_Type,"Other Expense")</f>
        <v/>
      </c>
      <c r="P68" s="75">
        <f>1*SUMIFS(calc_M9,calc_Type,"Other Expense")</f>
        <v/>
      </c>
      <c r="Q68" s="75">
        <f>1*SUMIFS(calc_M10,calc_Type,"Other Expense")</f>
        <v/>
      </c>
      <c r="R68" s="75">
        <f>1*SUMIFS(calc_M11,calc_Type,"Other Expense")</f>
        <v/>
      </c>
      <c r="S68" s="75">
        <f>1*SUMIFS(calc_M12,calc_Type,"Other Expense")</f>
        <v/>
      </c>
    </row>
    <row r="70">
      <c r="B70" s="76" t="inlineStr">
        <is>
          <t>NET PROFIT</t>
        </is>
      </c>
      <c r="C70" s="77">
        <f>C54+C61-C68</f>
        <v/>
      </c>
      <c r="D70" s="77">
        <f>D54+D61-D68</f>
        <v/>
      </c>
      <c r="E70" s="77">
        <f>E54+E61-E68</f>
        <v/>
      </c>
      <c r="F70" s="77">
        <f>F54+F61-F68</f>
        <v/>
      </c>
      <c r="G70" s="77" t="n"/>
      <c r="H70" s="77">
        <f>H54+H61-H68</f>
        <v/>
      </c>
      <c r="I70" s="77">
        <f>I54+I61-I68</f>
        <v/>
      </c>
      <c r="J70" s="77">
        <f>J54+J61-J68</f>
        <v/>
      </c>
      <c r="K70" s="77">
        <f>K54+K61-K68</f>
        <v/>
      </c>
      <c r="L70" s="77">
        <f>L54+L61-L68</f>
        <v/>
      </c>
      <c r="M70" s="77">
        <f>M54+M61-M68</f>
        <v/>
      </c>
      <c r="N70" s="77">
        <f>N54+N61-N68</f>
        <v/>
      </c>
      <c r="O70" s="77">
        <f>O54+O61-O68</f>
        <v/>
      </c>
      <c r="P70" s="77">
        <f>P54+P61-P68</f>
        <v/>
      </c>
      <c r="Q70" s="77">
        <f>Q54+Q61-Q68</f>
        <v/>
      </c>
      <c r="R70" s="77">
        <f>R54+R61-R68</f>
        <v/>
      </c>
      <c r="S70" s="77">
        <f>S54+S61-S68</f>
        <v/>
      </c>
    </row>
    <row r="71">
      <c r="B71" s="20" t="inlineStr">
        <is>
          <t>Net margin</t>
        </is>
      </c>
      <c r="C71" s="78">
        <f>IF(C15=0,"",C70/C15)</f>
        <v/>
      </c>
      <c r="D71" s="78">
        <f>IF(D15=0,"",D70/D15)</f>
        <v/>
      </c>
      <c r="E71" s="78">
        <f>IF(E15=0,"",E70/E15)</f>
        <v/>
      </c>
      <c r="F71" s="78">
        <f>IF(F15=0,"",F70/F15)</f>
        <v/>
      </c>
      <c r="H71" s="78">
        <f>IF(H15=0,"",H70/H15)</f>
        <v/>
      </c>
      <c r="I71" s="78">
        <f>IF(I15=0,"",I70/I15)</f>
        <v/>
      </c>
      <c r="J71" s="78">
        <f>IF(J15=0,"",J70/J15)</f>
        <v/>
      </c>
      <c r="K71" s="78">
        <f>IF(K15=0,"",K70/K15)</f>
        <v/>
      </c>
      <c r="L71" s="78">
        <f>IF(L15=0,"",L70/L15)</f>
        <v/>
      </c>
      <c r="M71" s="78">
        <f>IF(M15=0,"",M70/M15)</f>
        <v/>
      </c>
      <c r="N71" s="78">
        <f>IF(N15=0,"",N70/N15)</f>
        <v/>
      </c>
      <c r="O71" s="78">
        <f>IF(O15=0,"",O70/O15)</f>
        <v/>
      </c>
      <c r="P71" s="78">
        <f>IF(P15=0,"",P70/P15)</f>
        <v/>
      </c>
      <c r="Q71" s="78">
        <f>IF(Q15=0,"",Q70/Q15)</f>
        <v/>
      </c>
      <c r="R71" s="78">
        <f>IF(R15=0,"",R70/R15)</f>
        <v/>
      </c>
      <c r="S71" s="78">
        <f>IF(S15=0,"",S70/S15)</f>
        <v/>
      </c>
    </row>
    <row r="73">
      <c r="B73">
        <f>IF((MAX(0,COUNTIFS(calc_Type,"Revenue",calc_Name,"&lt;&gt;")-6)+MAX(0,COUNTIFS(calc_Type,"Cost of Sales",calc_Name,"&lt;&gt;")-6)+MAX(0,COUNTIFS(calc_Type,"Operating Expense",calc_Name,"&lt;&gt;")-22)+MAX(0,COUNTIFS(calc_Type,"Other Income",calc_Name,"&lt;&gt;")-4)+MAX(0,COUNTIFS(calc_Type,"Other Expense",calc_Name,"&lt;&gt;")-4))=0,"✓ All accounts listed","⚠ "&amp;(MAX(0,COUNTIFS(calc_Type,"Revenue",calc_Name,"&lt;&gt;")-6)+MAX(0,COUNTIFS(calc_Type,"Cost of Sales",calc_Name,"&lt;&gt;")-6)+MAX(0,COUNTIFS(calc_Type,"Operating Expense",calc_Name,"&lt;&gt;")-22)+MAX(0,COUNTIFS(calc_Type,"Other Income",calc_Name,"&lt;&gt;")-4)+MAX(0,COUNTIFS(calc_Type,"Other Expense",calc_Name,"&lt;&gt;")-4))&amp;" account(s) not listed individually — totals are still complete")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73">
    <cfRule type="expression" priority="1" dxfId="0">
      <formula>LEFT(B73,1)="⛔"</formula>
    </cfRule>
    <cfRule type="expression" priority="2" dxfId="1">
      <formula>LEFT(B73,1)="⚠"</formula>
    </cfRule>
    <cfRule type="expression" priority="3" dxfId="2">
      <formula>LEFT(B73,1)="✓"</formula>
    </cfRule>
  </conditionalFormatting>
  <printOptions horizontalCentered="1"/>
  <pageMargins left="0.4" right="0.4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8" customWidth="1" min="3" max="3"/>
    <col width="18" customWidth="1" min="4" max="4"/>
  </cols>
  <sheetData>
    <row r="1" ht="26" customHeight="1">
      <c r="B1" s="19" t="inlineStr">
        <is>
          <t>Balance Sheet</t>
        </is>
      </c>
    </row>
    <row r="2">
      <c r="B2" s="32">
        <f>BizName</f>
        <v/>
      </c>
    </row>
    <row r="3">
      <c r="B3" s="21" t="n"/>
      <c r="C3" s="21" t="n"/>
      <c r="D3" s="21" t="n"/>
    </row>
    <row r="4">
      <c r="B4" s="23">
        <f>"As of "&amp;TEXT(AsOf,"dd mmmm yyyy")&amp;"  ·  Amounts in "&amp;Currency</f>
        <v/>
      </c>
    </row>
    <row r="6" ht="28" customHeight="1">
      <c r="B6" s="70" t="inlineStr"/>
      <c r="C6" s="70">
        <f>"As of "&amp;TEXT(AsOf,"dd-mmm-yyyy")</f>
        <v/>
      </c>
      <c r="D6" s="70">
        <f>"As of "&amp;TEXT(PrevEnd,"dd-mmm-yyyy")</f>
        <v/>
      </c>
    </row>
    <row r="8">
      <c r="B8" s="72" t="inlineStr">
        <is>
          <t>ASSETS</t>
        </is>
      </c>
      <c r="C8" s="73" t="n"/>
      <c r="D8" s="73" t="n"/>
    </row>
    <row r="9">
      <c r="B9" s="79" t="inlineStr">
        <is>
          <t>Current Assets</t>
        </is>
      </c>
    </row>
    <row r="10">
      <c r="B10" s="80">
        <f>IFERROR(INDEX(calc_Name,MATCH("Current Asset|1",calc_Key,0)),"")</f>
        <v/>
      </c>
      <c r="C10" s="54">
        <f>IF($B10="","",1*IFERROR(INDEX(calc_Bal,MATCH($B10,calc_Name,0)),0))</f>
        <v/>
      </c>
      <c r="D10" s="54">
        <f>IF($B10="","",1*IFERROR(INDEX(calc_BalPrev,MATCH($B10,calc_Name,0)),0))</f>
        <v/>
      </c>
    </row>
    <row r="11">
      <c r="B11" s="80">
        <f>IFERROR(INDEX(calc_Name,MATCH("Current Asset|2",calc_Key,0)),"")</f>
        <v/>
      </c>
      <c r="C11" s="54">
        <f>IF($B11="","",1*IFERROR(INDEX(calc_Bal,MATCH($B11,calc_Name,0)),0))</f>
        <v/>
      </c>
      <c r="D11" s="54">
        <f>IF($B11="","",1*IFERROR(INDEX(calc_BalPrev,MATCH($B11,calc_Name,0)),0))</f>
        <v/>
      </c>
    </row>
    <row r="12">
      <c r="B12" s="80">
        <f>IFERROR(INDEX(calc_Name,MATCH("Current Asset|3",calc_Key,0)),"")</f>
        <v/>
      </c>
      <c r="C12" s="54">
        <f>IF($B12="","",1*IFERROR(INDEX(calc_Bal,MATCH($B12,calc_Name,0)),0))</f>
        <v/>
      </c>
      <c r="D12" s="54">
        <f>IF($B12="","",1*IFERROR(INDEX(calc_BalPrev,MATCH($B12,calc_Name,0)),0))</f>
        <v/>
      </c>
    </row>
    <row r="13">
      <c r="B13" s="80">
        <f>IFERROR(INDEX(calc_Name,MATCH("Current Asset|4",calc_Key,0)),"")</f>
        <v/>
      </c>
      <c r="C13" s="54">
        <f>IF($B13="","",1*IFERROR(INDEX(calc_Bal,MATCH($B13,calc_Name,0)),0))</f>
        <v/>
      </c>
      <c r="D13" s="54">
        <f>IF($B13="","",1*IFERROR(INDEX(calc_BalPrev,MATCH($B13,calc_Name,0)),0))</f>
        <v/>
      </c>
    </row>
    <row r="14">
      <c r="B14" s="80">
        <f>IFERROR(INDEX(calc_Name,MATCH("Current Asset|5",calc_Key,0)),"")</f>
        <v/>
      </c>
      <c r="C14" s="54">
        <f>IF($B14="","",1*IFERROR(INDEX(calc_Bal,MATCH($B14,calc_Name,0)),0))</f>
        <v/>
      </c>
      <c r="D14" s="54">
        <f>IF($B14="","",1*IFERROR(INDEX(calc_BalPrev,MATCH($B14,calc_Name,0)),0))</f>
        <v/>
      </c>
    </row>
    <row r="15">
      <c r="B15" s="80">
        <f>IFERROR(INDEX(calc_Name,MATCH("Current Asset|6",calc_Key,0)),"")</f>
        <v/>
      </c>
      <c r="C15" s="54">
        <f>IF($B15="","",1*IFERROR(INDEX(calc_Bal,MATCH($B15,calc_Name,0)),0))</f>
        <v/>
      </c>
      <c r="D15" s="54">
        <f>IF($B15="","",1*IFERROR(INDEX(calc_BalPrev,MATCH($B15,calc_Name,0)),0))</f>
        <v/>
      </c>
    </row>
    <row r="16">
      <c r="B16" s="80">
        <f>IFERROR(INDEX(calc_Name,MATCH("Current Asset|7",calc_Key,0)),"")</f>
        <v/>
      </c>
      <c r="C16" s="54">
        <f>IF($B16="","",1*IFERROR(INDEX(calc_Bal,MATCH($B16,calc_Name,0)),0))</f>
        <v/>
      </c>
      <c r="D16" s="54">
        <f>IF($B16="","",1*IFERROR(INDEX(calc_BalPrev,MATCH($B16,calc_Name,0)),0))</f>
        <v/>
      </c>
    </row>
    <row r="17">
      <c r="B17" s="80">
        <f>IFERROR(INDEX(calc_Name,MATCH("Current Asset|8",calc_Key,0)),"")</f>
        <v/>
      </c>
      <c r="C17" s="54">
        <f>IF($B17="","",1*IFERROR(INDEX(calc_Bal,MATCH($B17,calc_Name,0)),0))</f>
        <v/>
      </c>
      <c r="D17" s="54">
        <f>IF($B17="","",1*IFERROR(INDEX(calc_BalPrev,MATCH($B17,calc_Name,0)),0))</f>
        <v/>
      </c>
    </row>
    <row r="18">
      <c r="B18" s="80">
        <f>IFERROR(INDEX(calc_Name,MATCH("Current Asset|9",calc_Key,0)),"")</f>
        <v/>
      </c>
      <c r="C18" s="54">
        <f>IF($B18="","",1*IFERROR(INDEX(calc_Bal,MATCH($B18,calc_Name,0)),0))</f>
        <v/>
      </c>
      <c r="D18" s="54">
        <f>IF($B18="","",1*IFERROR(INDEX(calc_BalPrev,MATCH($B18,calc_Name,0)),0))</f>
        <v/>
      </c>
    </row>
    <row r="19">
      <c r="B19" s="80">
        <f>IFERROR(INDEX(calc_Name,MATCH("Current Asset|10",calc_Key,0)),"")</f>
        <v/>
      </c>
      <c r="C19" s="54">
        <f>IF($B19="","",1*IFERROR(INDEX(calc_Bal,MATCH($B19,calc_Name,0)),0))</f>
        <v/>
      </c>
      <c r="D19" s="54">
        <f>IF($B19="","",1*IFERROR(INDEX(calc_BalPrev,MATCH($B19,calc_Name,0)),0))</f>
        <v/>
      </c>
    </row>
    <row r="20">
      <c r="B20" s="79" t="inlineStr">
        <is>
          <t>Total Current Assets</t>
        </is>
      </c>
      <c r="C20" s="75">
        <f>1*SUMIFS(calc_Bal,calc_Type,"Current Asset")</f>
        <v/>
      </c>
      <c r="D20" s="75">
        <f>1*SUMIFS(calc_BalPrev,calc_Type,"Current Asset")</f>
        <v/>
      </c>
    </row>
    <row r="22">
      <c r="B22" s="79" t="inlineStr">
        <is>
          <t>Fixed Assets</t>
        </is>
      </c>
    </row>
    <row r="23">
      <c r="B23" s="80">
        <f>IFERROR(INDEX(calc_Name,MATCH("Fixed Asset|1",calc_Key,0)),"")</f>
        <v/>
      </c>
      <c r="C23" s="54">
        <f>IF($B23="","",1*IFERROR(INDEX(calc_Bal,MATCH($B23,calc_Name,0)),0))</f>
        <v/>
      </c>
      <c r="D23" s="54">
        <f>IF($B23="","",1*IFERROR(INDEX(calc_BalPrev,MATCH($B23,calc_Name,0)),0))</f>
        <v/>
      </c>
    </row>
    <row r="24">
      <c r="B24" s="80">
        <f>IFERROR(INDEX(calc_Name,MATCH("Fixed Asset|2",calc_Key,0)),"")</f>
        <v/>
      </c>
      <c r="C24" s="54">
        <f>IF($B24="","",1*IFERROR(INDEX(calc_Bal,MATCH($B24,calc_Name,0)),0))</f>
        <v/>
      </c>
      <c r="D24" s="54">
        <f>IF($B24="","",1*IFERROR(INDEX(calc_BalPrev,MATCH($B24,calc_Name,0)),0))</f>
        <v/>
      </c>
    </row>
    <row r="25">
      <c r="B25" s="80">
        <f>IFERROR(INDEX(calc_Name,MATCH("Fixed Asset|3",calc_Key,0)),"")</f>
        <v/>
      </c>
      <c r="C25" s="54">
        <f>IF($B25="","",1*IFERROR(INDEX(calc_Bal,MATCH($B25,calc_Name,0)),0))</f>
        <v/>
      </c>
      <c r="D25" s="54">
        <f>IF($B25="","",1*IFERROR(INDEX(calc_BalPrev,MATCH($B25,calc_Name,0)),0))</f>
        <v/>
      </c>
    </row>
    <row r="26">
      <c r="B26" s="80">
        <f>IFERROR(INDEX(calc_Name,MATCH("Fixed Asset|4",calc_Key,0)),"")</f>
        <v/>
      </c>
      <c r="C26" s="54">
        <f>IF($B26="","",1*IFERROR(INDEX(calc_Bal,MATCH($B26,calc_Name,0)),0))</f>
        <v/>
      </c>
      <c r="D26" s="54">
        <f>IF($B26="","",1*IFERROR(INDEX(calc_BalPrev,MATCH($B26,calc_Name,0)),0))</f>
        <v/>
      </c>
    </row>
    <row r="27">
      <c r="B27" s="80">
        <f>IFERROR(INDEX(calc_Name,MATCH("Fixed Asset|5",calc_Key,0)),"")</f>
        <v/>
      </c>
      <c r="C27" s="54">
        <f>IF($B27="","",1*IFERROR(INDEX(calc_Bal,MATCH($B27,calc_Name,0)),0))</f>
        <v/>
      </c>
      <c r="D27" s="54">
        <f>IF($B27="","",1*IFERROR(INDEX(calc_BalPrev,MATCH($B27,calc_Name,0)),0))</f>
        <v/>
      </c>
    </row>
    <row r="28">
      <c r="B28" s="80">
        <f>IFERROR(INDEX(calc_Name,MATCH("Fixed Asset|6",calc_Key,0)),"")</f>
        <v/>
      </c>
      <c r="C28" s="54">
        <f>IF($B28="","",1*IFERROR(INDEX(calc_Bal,MATCH($B28,calc_Name,0)),0))</f>
        <v/>
      </c>
      <c r="D28" s="54">
        <f>IF($B28="","",1*IFERROR(INDEX(calc_BalPrev,MATCH($B28,calc_Name,0)),0))</f>
        <v/>
      </c>
    </row>
    <row r="29">
      <c r="B29" s="79" t="inlineStr">
        <is>
          <t>Total Fixed Assets</t>
        </is>
      </c>
      <c r="C29" s="75">
        <f>1*SUMIFS(calc_Bal,calc_Type,"Fixed Asset")</f>
        <v/>
      </c>
      <c r="D29" s="75">
        <f>1*SUMIFS(calc_BalPrev,calc_Type,"Fixed Asset")</f>
        <v/>
      </c>
    </row>
    <row r="31">
      <c r="B31" s="76" t="inlineStr">
        <is>
          <t>TOTAL ASSETS</t>
        </is>
      </c>
      <c r="C31" s="77">
        <f>C20+C29</f>
        <v/>
      </c>
      <c r="D31" s="77">
        <f>D20+D29</f>
        <v/>
      </c>
    </row>
    <row r="33">
      <c r="B33" s="72" t="inlineStr">
        <is>
          <t>LIABILITIES</t>
        </is>
      </c>
      <c r="C33" s="73" t="n"/>
      <c r="D33" s="73" t="n"/>
    </row>
    <row r="34">
      <c r="B34" s="79" t="inlineStr">
        <is>
          <t>Current Liabilities</t>
        </is>
      </c>
    </row>
    <row r="35">
      <c r="B35" s="80">
        <f>IFERROR(INDEX(calc_Name,MATCH("Current Liability|1",calc_Key,0)),"")</f>
        <v/>
      </c>
      <c r="C35" s="54">
        <f>IF($B35="","",-1*IFERROR(INDEX(calc_Bal,MATCH($B35,calc_Name,0)),0))</f>
        <v/>
      </c>
      <c r="D35" s="54">
        <f>IF($B35="","",-1*IFERROR(INDEX(calc_BalPrev,MATCH($B35,calc_Name,0)),0))</f>
        <v/>
      </c>
    </row>
    <row r="36">
      <c r="B36" s="80">
        <f>IFERROR(INDEX(calc_Name,MATCH("Current Liability|2",calc_Key,0)),"")</f>
        <v/>
      </c>
      <c r="C36" s="54">
        <f>IF($B36="","",-1*IFERROR(INDEX(calc_Bal,MATCH($B36,calc_Name,0)),0))</f>
        <v/>
      </c>
      <c r="D36" s="54">
        <f>IF($B36="","",-1*IFERROR(INDEX(calc_BalPrev,MATCH($B36,calc_Name,0)),0))</f>
        <v/>
      </c>
    </row>
    <row r="37">
      <c r="B37" s="80">
        <f>IFERROR(INDEX(calc_Name,MATCH("Current Liability|3",calc_Key,0)),"")</f>
        <v/>
      </c>
      <c r="C37" s="54">
        <f>IF($B37="","",-1*IFERROR(INDEX(calc_Bal,MATCH($B37,calc_Name,0)),0))</f>
        <v/>
      </c>
      <c r="D37" s="54">
        <f>IF($B37="","",-1*IFERROR(INDEX(calc_BalPrev,MATCH($B37,calc_Name,0)),0))</f>
        <v/>
      </c>
    </row>
    <row r="38">
      <c r="B38" s="80">
        <f>IFERROR(INDEX(calc_Name,MATCH("Current Liability|4",calc_Key,0)),"")</f>
        <v/>
      </c>
      <c r="C38" s="54">
        <f>IF($B38="","",-1*IFERROR(INDEX(calc_Bal,MATCH($B38,calc_Name,0)),0))</f>
        <v/>
      </c>
      <c r="D38" s="54">
        <f>IF($B38="","",-1*IFERROR(INDEX(calc_BalPrev,MATCH($B38,calc_Name,0)),0))</f>
        <v/>
      </c>
    </row>
    <row r="39">
      <c r="B39" s="80">
        <f>IFERROR(INDEX(calc_Name,MATCH("Current Liability|5",calc_Key,0)),"")</f>
        <v/>
      </c>
      <c r="C39" s="54">
        <f>IF($B39="","",-1*IFERROR(INDEX(calc_Bal,MATCH($B39,calc_Name,0)),0))</f>
        <v/>
      </c>
      <c r="D39" s="54">
        <f>IF($B39="","",-1*IFERROR(INDEX(calc_BalPrev,MATCH($B39,calc_Name,0)),0))</f>
        <v/>
      </c>
    </row>
    <row r="40">
      <c r="B40" s="80">
        <f>IFERROR(INDEX(calc_Name,MATCH("Current Liability|6",calc_Key,0)),"")</f>
        <v/>
      </c>
      <c r="C40" s="54">
        <f>IF($B40="","",-1*IFERROR(INDEX(calc_Bal,MATCH($B40,calc_Name,0)),0))</f>
        <v/>
      </c>
      <c r="D40" s="54">
        <f>IF($B40="","",-1*IFERROR(INDEX(calc_BalPrev,MATCH($B40,calc_Name,0)),0))</f>
        <v/>
      </c>
    </row>
    <row r="41">
      <c r="B41" s="80">
        <f>IFERROR(INDEX(calc_Name,MATCH("Current Liability|7",calc_Key,0)),"")</f>
        <v/>
      </c>
      <c r="C41" s="54">
        <f>IF($B41="","",-1*IFERROR(INDEX(calc_Bal,MATCH($B41,calc_Name,0)),0))</f>
        <v/>
      </c>
      <c r="D41" s="54">
        <f>IF($B41="","",-1*IFERROR(INDEX(calc_BalPrev,MATCH($B41,calc_Name,0)),0))</f>
        <v/>
      </c>
    </row>
    <row r="42">
      <c r="B42" s="80">
        <f>IFERROR(INDEX(calc_Name,MATCH("Current Liability|8",calc_Key,0)),"")</f>
        <v/>
      </c>
      <c r="C42" s="54">
        <f>IF($B42="","",-1*IFERROR(INDEX(calc_Bal,MATCH($B42,calc_Name,0)),0))</f>
        <v/>
      </c>
      <c r="D42" s="54">
        <f>IF($B42="","",-1*IFERROR(INDEX(calc_BalPrev,MATCH($B42,calc_Name,0)),0))</f>
        <v/>
      </c>
    </row>
    <row r="43">
      <c r="B43" s="79" t="inlineStr">
        <is>
          <t>Total Current Liabilities</t>
        </is>
      </c>
      <c r="C43" s="75">
        <f>-1*SUMIFS(calc_Bal,calc_Type,"Current Liability")</f>
        <v/>
      </c>
      <c r="D43" s="75">
        <f>-1*SUMIFS(calc_BalPrev,calc_Type,"Current Liability")</f>
        <v/>
      </c>
    </row>
    <row r="45">
      <c r="B45" s="79" t="inlineStr">
        <is>
          <t>Long-term Liabilities</t>
        </is>
      </c>
    </row>
    <row r="46">
      <c r="B46" s="80">
        <f>IFERROR(INDEX(calc_Name,MATCH("Long-term Liability|1",calc_Key,0)),"")</f>
        <v/>
      </c>
      <c r="C46" s="54">
        <f>IF($B46="","",-1*IFERROR(INDEX(calc_Bal,MATCH($B46,calc_Name,0)),0))</f>
        <v/>
      </c>
      <c r="D46" s="54">
        <f>IF($B46="","",-1*IFERROR(INDEX(calc_BalPrev,MATCH($B46,calc_Name,0)),0))</f>
        <v/>
      </c>
    </row>
    <row r="47">
      <c r="B47" s="80">
        <f>IFERROR(INDEX(calc_Name,MATCH("Long-term Liability|2",calc_Key,0)),"")</f>
        <v/>
      </c>
      <c r="C47" s="54">
        <f>IF($B47="","",-1*IFERROR(INDEX(calc_Bal,MATCH($B47,calc_Name,0)),0))</f>
        <v/>
      </c>
      <c r="D47" s="54">
        <f>IF($B47="","",-1*IFERROR(INDEX(calc_BalPrev,MATCH($B47,calc_Name,0)),0))</f>
        <v/>
      </c>
    </row>
    <row r="48">
      <c r="B48" s="80">
        <f>IFERROR(INDEX(calc_Name,MATCH("Long-term Liability|3",calc_Key,0)),"")</f>
        <v/>
      </c>
      <c r="C48" s="54">
        <f>IF($B48="","",-1*IFERROR(INDEX(calc_Bal,MATCH($B48,calc_Name,0)),0))</f>
        <v/>
      </c>
      <c r="D48" s="54">
        <f>IF($B48="","",-1*IFERROR(INDEX(calc_BalPrev,MATCH($B48,calc_Name,0)),0))</f>
        <v/>
      </c>
    </row>
    <row r="49">
      <c r="B49" s="80">
        <f>IFERROR(INDEX(calc_Name,MATCH("Long-term Liability|4",calc_Key,0)),"")</f>
        <v/>
      </c>
      <c r="C49" s="54">
        <f>IF($B49="","",-1*IFERROR(INDEX(calc_Bal,MATCH($B49,calc_Name,0)),0))</f>
        <v/>
      </c>
      <c r="D49" s="54">
        <f>IF($B49="","",-1*IFERROR(INDEX(calc_BalPrev,MATCH($B49,calc_Name,0)),0))</f>
        <v/>
      </c>
    </row>
    <row r="50">
      <c r="B50" s="79" t="inlineStr">
        <is>
          <t>Total Long-term Liabilities</t>
        </is>
      </c>
      <c r="C50" s="75">
        <f>-1*SUMIFS(calc_Bal,calc_Type,"Long-term Liability")</f>
        <v/>
      </c>
      <c r="D50" s="75">
        <f>-1*SUMIFS(calc_BalPrev,calc_Type,"Long-term Liability")</f>
        <v/>
      </c>
    </row>
    <row r="52">
      <c r="B52" s="35" t="inlineStr">
        <is>
          <t>TOTAL LIABILITIES</t>
        </is>
      </c>
      <c r="C52" s="75">
        <f>C43+C50</f>
        <v/>
      </c>
      <c r="D52" s="75">
        <f>D43+D50</f>
        <v/>
      </c>
    </row>
    <row r="54">
      <c r="B54" s="72" t="inlineStr">
        <is>
          <t>EQUITY</t>
        </is>
      </c>
      <c r="C54" s="73" t="n"/>
      <c r="D54" s="73" t="n"/>
    </row>
    <row r="55">
      <c r="B55" s="80">
        <f>IFERROR(INDEX(calc_Name,MATCH("Equity|1",calc_Key,0)),"")</f>
        <v/>
      </c>
      <c r="C55" s="54">
        <f>IF($B55="","",-1*IFERROR(INDEX(calc_Bal,MATCH($B55,calc_Name,0)),0))</f>
        <v/>
      </c>
      <c r="D55" s="54">
        <f>IF($B55="","",-1*IFERROR(INDEX(calc_BalPrev,MATCH($B55,calc_Name,0)),0))</f>
        <v/>
      </c>
    </row>
    <row r="56">
      <c r="B56" s="80">
        <f>IFERROR(INDEX(calc_Name,MATCH("Equity|2",calc_Key,0)),"")</f>
        <v/>
      </c>
      <c r="C56" s="54">
        <f>IF($B56="","",-1*IFERROR(INDEX(calc_Bal,MATCH($B56,calc_Name,0)),0))</f>
        <v/>
      </c>
      <c r="D56" s="54">
        <f>IF($B56="","",-1*IFERROR(INDEX(calc_BalPrev,MATCH($B56,calc_Name,0)),0))</f>
        <v/>
      </c>
    </row>
    <row r="57">
      <c r="B57" s="80">
        <f>IFERROR(INDEX(calc_Name,MATCH("Equity|3",calc_Key,0)),"")</f>
        <v/>
      </c>
      <c r="C57" s="54">
        <f>IF($B57="","",-1*IFERROR(INDEX(calc_Bal,MATCH($B57,calc_Name,0)),0))</f>
        <v/>
      </c>
      <c r="D57" s="54">
        <f>IF($B57="","",-1*IFERROR(INDEX(calc_BalPrev,MATCH($B57,calc_Name,0)),0))</f>
        <v/>
      </c>
    </row>
    <row r="58">
      <c r="B58" s="80">
        <f>IFERROR(INDEX(calc_Name,MATCH("Equity|4",calc_Key,0)),"")</f>
        <v/>
      </c>
      <c r="C58" s="54">
        <f>IF($B58="","",-1*IFERROR(INDEX(calc_Bal,MATCH($B58,calc_Name,0)),0))</f>
        <v/>
      </c>
      <c r="D58" s="54">
        <f>IF($B58="","",-1*IFERROR(INDEX(calc_BalPrev,MATCH($B58,calc_Name,0)),0))</f>
        <v/>
      </c>
    </row>
    <row r="59">
      <c r="B59" s="80">
        <f>IFERROR(INDEX(calc_Name,MATCH("Equity|5",calc_Key,0)),"")</f>
        <v/>
      </c>
      <c r="C59" s="54">
        <f>IF($B59="","",-1*IFERROR(INDEX(calc_Bal,MATCH($B59,calc_Name,0)),0))</f>
        <v/>
      </c>
      <c r="D59" s="54">
        <f>IF($B59="","",-1*IFERROR(INDEX(calc_BalPrev,MATCH($B59,calc_Name,0)),0))</f>
        <v/>
      </c>
    </row>
    <row r="60">
      <c r="B60" s="80">
        <f>IFERROR(INDEX(calc_Name,MATCH("Equity|6",calc_Key,0)),"")</f>
        <v/>
      </c>
      <c r="C60" s="54">
        <f>IF($B60="","",-1*IFERROR(INDEX(calc_Bal,MATCH($B60,calc_Name,0)),0))</f>
        <v/>
      </c>
      <c r="D60" s="54">
        <f>IF($B60="","",-1*IFERROR(INDEX(calc_BalPrev,MATCH($B60,calc_Name,0)),0))</f>
        <v/>
      </c>
    </row>
    <row r="61">
      <c r="B61" s="80" t="inlineStr">
        <is>
          <t>Profit from earlier years</t>
        </is>
      </c>
      <c r="C61" s="54">
        <f>-SUMPRODUCT((calc_Stmt="PL")*(calc_Open+calc_PreFY))</f>
        <v/>
      </c>
      <c r="D61" s="54">
        <f>-SUMPRODUCT((calc_Stmt="PL")*(calc_Open+calc_PreFY))</f>
        <v/>
      </c>
    </row>
    <row r="62">
      <c r="B62" s="80" t="inlineStr">
        <is>
          <t>Current year profit (year to date)</t>
        </is>
      </c>
      <c r="C62" s="54">
        <f>-SUMPRODUCT((calc_Stmt="PL")*calc_YTD)</f>
        <v/>
      </c>
      <c r="D62" s="54">
        <f>-SUMPRODUCT((calc_Stmt="PL")*(calc_YTD-calc_Cur))</f>
        <v/>
      </c>
    </row>
    <row r="63">
      <c r="B63" s="35" t="inlineStr">
        <is>
          <t>TOTAL EQUITY</t>
        </is>
      </c>
      <c r="C63" s="75">
        <f>-SUMIFS(calc_Bal,calc_Type,"Equity")+C61+C62</f>
        <v/>
      </c>
      <c r="D63" s="75">
        <f>-SUMIFS(calc_BalPrev,calc_Type,"Equity")+D61+D62</f>
        <v/>
      </c>
    </row>
    <row r="65">
      <c r="B65" s="76" t="inlineStr">
        <is>
          <t>TOTAL LIABILITIES + EQUITY</t>
        </is>
      </c>
      <c r="C65" s="77">
        <f>C52+C63</f>
        <v/>
      </c>
      <c r="D65" s="77">
        <f>D52+D63</f>
        <v/>
      </c>
    </row>
    <row r="67">
      <c r="B67" s="81" t="inlineStr">
        <is>
          <t>Difference (must be zero)</t>
        </is>
      </c>
      <c r="C67" s="82">
        <f>ROUND(C31-C65,2)</f>
        <v/>
      </c>
      <c r="D67" s="82">
        <f>ROUND(D31-D65,2)</f>
        <v/>
      </c>
    </row>
    <row r="68">
      <c r="B68" s="35">
        <f>IF(AND(C67=0,D67=0),"✓ Balanced: Assets = Liabilities + Equity","⚠ Balance Sheet is out of balance by "&amp;Currency&amp;" "&amp;TEXT(ABS(C67),"#,##0.00"))</f>
        <v/>
      </c>
    </row>
    <row r="69">
      <c r="B69">
        <f>IF((MAX(0,COUNTIFS(calc_Type,"Current Asset",calc_Name,"&lt;&gt;")-10)+MAX(0,COUNTIFS(calc_Type,"Fixed Asset",calc_Name,"&lt;&gt;")-6)+MAX(0,COUNTIFS(calc_Type,"Current Liability",calc_Name,"&lt;&gt;")-8)+MAX(0,COUNTIFS(calc_Type,"Long-term Liability",calc_Name,"&lt;&gt;")-4)+MAX(0,COUNTIFS(calc_Type,"Equity",calc_Name,"&lt;&gt;")-6))=0,"","⚠ "&amp;(MAX(0,COUNTIFS(calc_Type,"Current Asset",calc_Name,"&lt;&gt;")-10)+MAX(0,COUNTIFS(calc_Type,"Fixed Asset",calc_Name,"&lt;&gt;")-6)+MAX(0,COUNTIFS(calc_Type,"Current Liability",calc_Name,"&lt;&gt;")-8)+MAX(0,COUNTIFS(calc_Type,"Long-term Liability",calc_Name,"&lt;&gt;")-4)+MAX(0,COUNTIFS(calc_Type,"Equity",calc_Name,"&lt;&gt;")-6))&amp;" account(s) not listed individually — totals are still complete")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68">
    <cfRule type="expression" priority="1" dxfId="0">
      <formula>LEFT(B68,1)="⛔"</formula>
    </cfRule>
    <cfRule type="expression" priority="2" dxfId="1">
      <formula>LEFT(B68,1)="⚠"</formula>
    </cfRule>
    <cfRule type="expression" priority="3" dxfId="2">
      <formula>LEFT(B68,1)="✓"</formula>
    </cfRule>
  </conditionalFormatting>
  <conditionalFormatting sqref="B69">
    <cfRule type="expression" priority="4" dxfId="0">
      <formula>LEFT(B69,1)="⛔"</formula>
    </cfRule>
    <cfRule type="expression" priority="5" dxfId="1">
      <formula>LEFT(B69,1)="⚠"</formula>
    </cfRule>
    <cfRule type="expression" priority="6" dxfId="2">
      <formula>LEFT(B69,1)="✓"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18" customWidth="1" min="4" max="4"/>
    <col width="18" customWidth="1" min="5" max="5"/>
  </cols>
  <sheetData>
    <row r="1" ht="26" customHeight="1">
      <c r="B1" s="19" t="inlineStr">
        <is>
          <t>Cash Flow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</row>
    <row r="4">
      <c r="B4" s="23">
        <f>"For the month of "&amp;TEXT(RptStart,"mmmm yyyy")&amp;"  ·  Fiscal year "&amp;TEXT(FYStart,"mmm yyyy")&amp;" – "&amp;TEXT(FYEnd,"mmm yyyy")&amp;"  ·  Amounts in "&amp;Currency</f>
        <v/>
      </c>
    </row>
    <row r="6" ht="24" customHeight="1">
      <c r="B6" s="70" t="inlineStr"/>
      <c r="C6" s="70" t="inlineStr">
        <is>
          <t>This Month</t>
        </is>
      </c>
      <c r="D6" s="70" t="inlineStr">
        <is>
          <t>Year to Date</t>
        </is>
      </c>
    </row>
    <row r="8">
      <c r="B8" s="83" t="inlineStr">
        <is>
          <t>Cash at beginning of period</t>
        </is>
      </c>
      <c r="C8" s="52">
        <f>SUMIFS(calc_BalPrev,calc_CF,"Cash")</f>
        <v/>
      </c>
      <c r="D8" s="52">
        <f>SUMIFS(calc_Open,calc_CF,"Cash")+SUMIFS(calc_PreFY,calc_CF,"Cash")</f>
        <v/>
      </c>
    </row>
    <row r="10">
      <c r="B10" s="72" t="inlineStr">
        <is>
          <t>OPERATING ACTIVITIES — running the business</t>
        </is>
      </c>
      <c r="C10" s="73" t="n"/>
      <c r="D10" s="73" t="n"/>
    </row>
    <row r="11">
      <c r="B11" s="74" t="inlineStr">
        <is>
          <t>Money received (sales, customer payments, other income)</t>
        </is>
      </c>
      <c r="C11" s="54">
        <f>SUMIFS(j_CFMain,j_CFGroup,"Operating",j_CFMain,"&gt;0",j_Per,RptIdx)+SUMIFS(j_CFTax,j_CFTax,"&gt;0",j_Per,RptIdx)</f>
        <v/>
      </c>
      <c r="D11" s="54">
        <f>SUMIFS(j_CFMain,j_CFGroup,"Operating",j_CFMain,"&gt;0",j_Per,"&gt;=1",j_Per,"&lt;="&amp;RptIdx)+SUMIFS(j_CFTax,j_CFTax,"&gt;0",j_Per,"&gt;=1",j_Per,"&lt;="&amp;RptIdx)</f>
        <v/>
      </c>
    </row>
    <row r="12">
      <c r="B12" s="74" t="inlineStr">
        <is>
          <t>Money paid (suppliers, expenses, wages, taxes)</t>
        </is>
      </c>
      <c r="C12" s="54">
        <f>SUMIFS(j_CFMain,j_CFGroup,"Operating",j_CFMain,"&lt;0",j_Per,RptIdx)+SUMIFS(j_CFTax,j_CFTax,"&lt;0",j_Per,RptIdx)</f>
        <v/>
      </c>
      <c r="D12" s="54">
        <f>SUMIFS(j_CFMain,j_CFGroup,"Operating",j_CFMain,"&lt;0",j_Per,"&gt;=1",j_Per,"&lt;="&amp;RptIdx)+SUMIFS(j_CFTax,j_CFTax,"&lt;0",j_Per,"&gt;=1",j_Per,"&lt;="&amp;RptIdx)</f>
        <v/>
      </c>
    </row>
    <row r="13">
      <c r="B13" s="35" t="inlineStr">
        <is>
          <t>Net cash from operating activities</t>
        </is>
      </c>
      <c r="C13" s="75">
        <f>C11+C12</f>
        <v/>
      </c>
      <c r="D13" s="75">
        <f>D11+D12</f>
        <v/>
      </c>
    </row>
    <row r="15">
      <c r="B15" s="72" t="inlineStr">
        <is>
          <t>INVESTING ACTIVITIES — equipment and other long-term assets</t>
        </is>
      </c>
      <c r="C15" s="73" t="n"/>
      <c r="D15" s="73" t="n"/>
    </row>
    <row r="16">
      <c r="B16" s="74" t="inlineStr">
        <is>
          <t>Money received from selling assets</t>
        </is>
      </c>
      <c r="C16" s="54">
        <f>SUMIFS(j_CFMain,j_CFGroup,"Investing",j_CFMain,"&gt;0",j_Per,RptIdx)</f>
        <v/>
      </c>
      <c r="D16" s="54">
        <f>SUMIFS(j_CFMain,j_CFGroup,"Investing",j_CFMain,"&gt;0",j_Per,"&gt;=1",j_Per,"&lt;="&amp;RptIdx)</f>
        <v/>
      </c>
    </row>
    <row r="17">
      <c r="B17" s="74" t="inlineStr">
        <is>
          <t>Money paid for equipment / assets</t>
        </is>
      </c>
      <c r="C17" s="54">
        <f>SUMIFS(j_CFMain,j_CFGroup,"Investing",j_CFMain,"&lt;0",j_Per,RptIdx)</f>
        <v/>
      </c>
      <c r="D17" s="54">
        <f>SUMIFS(j_CFMain,j_CFGroup,"Investing",j_CFMain,"&lt;0",j_Per,"&gt;=1",j_Per,"&lt;="&amp;RptIdx)</f>
        <v/>
      </c>
    </row>
    <row r="18">
      <c r="B18" s="35" t="inlineStr">
        <is>
          <t>Net cash from investing activities</t>
        </is>
      </c>
      <c r="C18" s="75">
        <f>C16+C17</f>
        <v/>
      </c>
      <c r="D18" s="75">
        <f>D16+D17</f>
        <v/>
      </c>
    </row>
    <row r="20">
      <c r="B20" s="72" t="inlineStr">
        <is>
          <t>FINANCING ACTIVITIES — owners and lenders</t>
        </is>
      </c>
      <c r="C20" s="73" t="n"/>
      <c r="D20" s="73" t="n"/>
    </row>
    <row r="21">
      <c r="B21" s="74" t="inlineStr">
        <is>
          <t>Money in from owners and loans</t>
        </is>
      </c>
      <c r="C21" s="54">
        <f>SUMIFS(j_CFMain,j_CFGroup,"Financing",j_CFMain,"&gt;0",j_Per,RptIdx)</f>
        <v/>
      </c>
      <c r="D21" s="54">
        <f>SUMIFS(j_CFMain,j_CFGroup,"Financing",j_CFMain,"&gt;0",j_Per,"&gt;=1",j_Per,"&lt;="&amp;RptIdx)</f>
        <v/>
      </c>
    </row>
    <row r="22">
      <c r="B22" s="74" t="inlineStr">
        <is>
          <t>Money out to owners and loan repayments</t>
        </is>
      </c>
      <c r="C22" s="54">
        <f>SUMIFS(j_CFMain,j_CFGroup,"Financing",j_CFMain,"&lt;0",j_Per,RptIdx)</f>
        <v/>
      </c>
      <c r="D22" s="54">
        <f>SUMIFS(j_CFMain,j_CFGroup,"Financing",j_CFMain,"&lt;0",j_Per,"&gt;=1",j_Per,"&lt;="&amp;RptIdx)</f>
        <v/>
      </c>
    </row>
    <row r="23">
      <c r="B23" s="35" t="inlineStr">
        <is>
          <t>Net cash from financing activities</t>
        </is>
      </c>
      <c r="C23" s="75">
        <f>C21+C22</f>
        <v/>
      </c>
      <c r="D23" s="75">
        <f>D21+D22</f>
        <v/>
      </c>
    </row>
    <row r="25">
      <c r="B25" s="76" t="inlineStr">
        <is>
          <t>NET CHANGE IN CASH</t>
        </is>
      </c>
      <c r="C25" s="77">
        <f>C13+C18+C23</f>
        <v/>
      </c>
      <c r="D25" s="77">
        <f>D13+D18+D23</f>
        <v/>
      </c>
    </row>
    <row r="26">
      <c r="B26" s="76" t="inlineStr">
        <is>
          <t>CASH AT END OF PERIOD</t>
        </is>
      </c>
      <c r="C26" s="77">
        <f>C8+C25</f>
        <v/>
      </c>
      <c r="D26" s="77">
        <f>D8+D25</f>
        <v/>
      </c>
    </row>
    <row r="28">
      <c r="B28" s="81" t="inlineStr">
        <is>
          <t>Cash per Balance Sheet (check)</t>
        </is>
      </c>
      <c r="C28" s="82">
        <f>SUMIFS(calc_Bal,calc_CF,"Cash")</f>
        <v/>
      </c>
      <c r="D28" s="82">
        <f>SUMIFS(calc_Bal,calc_CF,"Cash")</f>
        <v/>
      </c>
    </row>
    <row r="29">
      <c r="B29" s="35">
        <f>IF(AND(ROUND(C26-C28,2)=0,ROUND(D26-D28,2)=0),"✓ Cash flow reconciles to the Balance Sheet","⚠ Cash flow does not reconcile — check entries")</f>
        <v/>
      </c>
    </row>
    <row r="31">
      <c r="B31" s="72" t="inlineStr">
        <is>
          <t>CASH BY ACCOUNT</t>
        </is>
      </c>
      <c r="C31" s="73" t="n"/>
      <c r="D31" s="73" t="n"/>
      <c r="E31" s="73" t="n"/>
    </row>
    <row r="32">
      <c r="B32" s="70" t="inlineStr">
        <is>
          <t>Account</t>
        </is>
      </c>
      <c r="C32" s="70" t="inlineStr">
        <is>
          <t>Start of month</t>
        </is>
      </c>
      <c r="D32" s="70" t="inlineStr">
        <is>
          <t>End of month</t>
        </is>
      </c>
      <c r="E32" s="70" t="inlineStr">
        <is>
          <t>Change</t>
        </is>
      </c>
    </row>
    <row r="33">
      <c r="B33" s="84">
        <f>IFERROR(INDEX(calc_Name,MATCH("Cash|1",calc_CashKey,0)),"")</f>
        <v/>
      </c>
      <c r="C33" s="53">
        <f>IF($B33="","",INDEX(calc_BalPrev,MATCH($B33,calc_Name,0)))</f>
        <v/>
      </c>
      <c r="D33" s="53">
        <f>IF($B33="","",INDEX(calc_Bal,MATCH($B33,calc_Name,0)))</f>
        <v/>
      </c>
      <c r="E33" s="53">
        <f>IF($B33="","",D33-C33)</f>
        <v/>
      </c>
    </row>
    <row r="34">
      <c r="B34" s="84">
        <f>IFERROR(INDEX(calc_Name,MATCH("Cash|2",calc_CashKey,0)),"")</f>
        <v/>
      </c>
      <c r="C34" s="53">
        <f>IF($B34="","",INDEX(calc_BalPrev,MATCH($B34,calc_Name,0)))</f>
        <v/>
      </c>
      <c r="D34" s="53">
        <f>IF($B34="","",INDEX(calc_Bal,MATCH($B34,calc_Name,0)))</f>
        <v/>
      </c>
      <c r="E34" s="53">
        <f>IF($B34="","",D34-C34)</f>
        <v/>
      </c>
    </row>
    <row r="35">
      <c r="B35" s="84">
        <f>IFERROR(INDEX(calc_Name,MATCH("Cash|3",calc_CashKey,0)),"")</f>
        <v/>
      </c>
      <c r="C35" s="53">
        <f>IF($B35="","",INDEX(calc_BalPrev,MATCH($B35,calc_Name,0)))</f>
        <v/>
      </c>
      <c r="D35" s="53">
        <f>IF($B35="","",INDEX(calc_Bal,MATCH($B35,calc_Name,0)))</f>
        <v/>
      </c>
      <c r="E35" s="53">
        <f>IF($B35="","",D35-C35)</f>
        <v/>
      </c>
    </row>
    <row r="36">
      <c r="B36" s="84">
        <f>IFERROR(INDEX(calc_Name,MATCH("Cash|4",calc_CashKey,0)),"")</f>
        <v/>
      </c>
      <c r="C36" s="53">
        <f>IF($B36="","",INDEX(calc_BalPrev,MATCH($B36,calc_Name,0)))</f>
        <v/>
      </c>
      <c r="D36" s="53">
        <f>IF($B36="","",INDEX(calc_Bal,MATCH($B36,calc_Name,0)))</f>
        <v/>
      </c>
      <c r="E36" s="53">
        <f>IF($B36="","",D36-C36)</f>
        <v/>
      </c>
    </row>
    <row r="37">
      <c r="B37" s="84">
        <f>IFERROR(INDEX(calc_Name,MATCH("Cash|5",calc_CashKey,0)),"")</f>
        <v/>
      </c>
      <c r="C37" s="53">
        <f>IF($B37="","",INDEX(calc_BalPrev,MATCH($B37,calc_Name,0)))</f>
        <v/>
      </c>
      <c r="D37" s="53">
        <f>IF($B37="","",INDEX(calc_Bal,MATCH($B37,calc_Name,0)))</f>
        <v/>
      </c>
      <c r="E37" s="53">
        <f>IF($B37="","",D37-C37)</f>
        <v/>
      </c>
    </row>
    <row r="38">
      <c r="B38" s="84">
        <f>IFERROR(INDEX(calc_Name,MATCH("Cash|6",calc_CashKey,0)),"")</f>
        <v/>
      </c>
      <c r="C38" s="53">
        <f>IF($B38="","",INDEX(calc_BalPrev,MATCH($B38,calc_Name,0)))</f>
        <v/>
      </c>
      <c r="D38" s="53">
        <f>IF($B38="","",INDEX(calc_Bal,MATCH($B38,calc_Name,0)))</f>
        <v/>
      </c>
      <c r="E38" s="53">
        <f>IF($B38="","",D38-C38)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29">
    <cfRule type="expression" priority="1" dxfId="0">
      <formula>LEFT(B29,1)="⛔"</formula>
    </cfRule>
    <cfRule type="expression" priority="2" dxfId="1">
      <formula>LEFT(B29,1)="⚠"</formula>
    </cfRule>
    <cfRule type="expression" priority="3" dxfId="2">
      <formula>LEFT(B29,1)="✓"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B1" s="19" t="inlineStr">
        <is>
          <t>Monthly Summary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</row>
    <row r="4">
      <c r="B4" s="23">
        <f>"Fiscal year "&amp;TEXT(FYStart,"mmm yyyy")&amp;" – "&amp;TEXT(FYEnd,"mmm yyyy")&amp;"  ·  Amounts in "&amp;Currency</f>
        <v/>
      </c>
    </row>
    <row r="6" ht="30" customHeight="1">
      <c r="B6" s="70" t="inlineStr">
        <is>
          <t>Month</t>
        </is>
      </c>
      <c r="C6" s="70" t="inlineStr">
        <is>
          <t>Revenue</t>
        </is>
      </c>
      <c r="D6" s="70" t="inlineStr">
        <is>
          <t>Cost of Sales</t>
        </is>
      </c>
      <c r="E6" s="70" t="inlineStr">
        <is>
          <t>Gross Profit</t>
        </is>
      </c>
      <c r="F6" s="70" t="inlineStr">
        <is>
          <t>Operating Expenses</t>
        </is>
      </c>
      <c r="G6" s="70" t="inlineStr">
        <is>
          <t>Other Income (net)</t>
        </is>
      </c>
      <c r="H6" s="70" t="inlineStr">
        <is>
          <t>Net Profit</t>
        </is>
      </c>
      <c r="I6" s="70" t="inlineStr">
        <is>
          <t>Net Margin</t>
        </is>
      </c>
      <c r="J6" s="70" t="inlineStr">
        <is>
          <t>Cash In</t>
        </is>
      </c>
      <c r="K6" s="70" t="inlineStr">
        <is>
          <t>Cash Out</t>
        </is>
      </c>
      <c r="L6" s="70" t="inlineStr">
        <is>
          <t>Net Cash Flow</t>
        </is>
      </c>
      <c r="M6" s="70" t="inlineStr">
        <is>
          <t>Ending Cash</t>
        </is>
      </c>
      <c r="N6" s="70" t="inlineStr">
        <is>
          <t>Receivables</t>
        </is>
      </c>
      <c r="O6" s="70" t="inlineStr">
        <is>
          <t>Payables</t>
        </is>
      </c>
    </row>
    <row r="7">
      <c r="B7" s="85">
        <f>EDATE(FYStart,0)</f>
        <v/>
      </c>
      <c r="C7" s="86">
        <f>-SUMIFS(calc_M1,calc_Type,"Revenue")</f>
        <v/>
      </c>
      <c r="D7" s="86">
        <f>SUMIFS(calc_M1,calc_Type,"Cost of Sales")</f>
        <v/>
      </c>
      <c r="E7" s="86">
        <f>C7-D7</f>
        <v/>
      </c>
      <c r="F7" s="86">
        <f>SUMIFS(calc_M1,calc_Type,"Operating Expense")</f>
        <v/>
      </c>
      <c r="G7" s="86">
        <f>-SUMIFS(calc_M1,calc_Type,"Other Income")-SUMIFS(calc_M1,calc_Type,"Other Expense")</f>
        <v/>
      </c>
      <c r="H7" s="86">
        <f>E7-F7+G7</f>
        <v/>
      </c>
      <c r="I7" s="87">
        <f>IF(C7=0,"",H7/C7)</f>
        <v/>
      </c>
      <c r="J7" s="86">
        <f>SUMIFS(j_CFMain,j_CFMain,"&gt;0",j_Per,1)+SUMIFS(j_CFTax,j_CFTax,"&gt;0",j_Per,1)</f>
        <v/>
      </c>
      <c r="K7" s="86">
        <f>SUMIFS(j_CFMain,j_CFMain,"&lt;0",j_Per,1)+SUMIFS(j_CFTax,j_CFTax,"&lt;0",j_Per,1)</f>
        <v/>
      </c>
      <c r="L7" s="86">
        <f>J7+K7</f>
        <v/>
      </c>
      <c r="M7" s="86">
        <f>SUMIFS(calc_E1,calc_CF,"Cash")</f>
        <v/>
      </c>
      <c r="N7" s="86">
        <f>SUMIFS(calc_E1,calc_Name,acctAR)</f>
        <v/>
      </c>
      <c r="O7" s="86">
        <f>-SUMIFS(calc_E1,calc_Name,acctAP)</f>
        <v/>
      </c>
    </row>
    <row r="8">
      <c r="B8" s="85">
        <f>EDATE(FYStart,1)</f>
        <v/>
      </c>
      <c r="C8" s="86">
        <f>-SUMIFS(calc_M2,calc_Type,"Revenue")</f>
        <v/>
      </c>
      <c r="D8" s="86">
        <f>SUMIFS(calc_M2,calc_Type,"Cost of Sales")</f>
        <v/>
      </c>
      <c r="E8" s="86">
        <f>C8-D8</f>
        <v/>
      </c>
      <c r="F8" s="86">
        <f>SUMIFS(calc_M2,calc_Type,"Operating Expense")</f>
        <v/>
      </c>
      <c r="G8" s="86">
        <f>-SUMIFS(calc_M2,calc_Type,"Other Income")-SUMIFS(calc_M2,calc_Type,"Other Expense")</f>
        <v/>
      </c>
      <c r="H8" s="86">
        <f>E8-F8+G8</f>
        <v/>
      </c>
      <c r="I8" s="87">
        <f>IF(C8=0,"",H8/C8)</f>
        <v/>
      </c>
      <c r="J8" s="86">
        <f>SUMIFS(j_CFMain,j_CFMain,"&gt;0",j_Per,2)+SUMIFS(j_CFTax,j_CFTax,"&gt;0",j_Per,2)</f>
        <v/>
      </c>
      <c r="K8" s="86">
        <f>SUMIFS(j_CFMain,j_CFMain,"&lt;0",j_Per,2)+SUMIFS(j_CFTax,j_CFTax,"&lt;0",j_Per,2)</f>
        <v/>
      </c>
      <c r="L8" s="86">
        <f>J8+K8</f>
        <v/>
      </c>
      <c r="M8" s="86">
        <f>SUMIFS(calc_E2,calc_CF,"Cash")</f>
        <v/>
      </c>
      <c r="N8" s="86">
        <f>SUMIFS(calc_E2,calc_Name,acctAR)</f>
        <v/>
      </c>
      <c r="O8" s="86">
        <f>-SUMIFS(calc_E2,calc_Name,acctAP)</f>
        <v/>
      </c>
    </row>
    <row r="9">
      <c r="B9" s="85">
        <f>EDATE(FYStart,2)</f>
        <v/>
      </c>
      <c r="C9" s="86">
        <f>-SUMIFS(calc_M3,calc_Type,"Revenue")</f>
        <v/>
      </c>
      <c r="D9" s="86">
        <f>SUMIFS(calc_M3,calc_Type,"Cost of Sales")</f>
        <v/>
      </c>
      <c r="E9" s="86">
        <f>C9-D9</f>
        <v/>
      </c>
      <c r="F9" s="86">
        <f>SUMIFS(calc_M3,calc_Type,"Operating Expense")</f>
        <v/>
      </c>
      <c r="G9" s="86">
        <f>-SUMIFS(calc_M3,calc_Type,"Other Income")-SUMIFS(calc_M3,calc_Type,"Other Expense")</f>
        <v/>
      </c>
      <c r="H9" s="86">
        <f>E9-F9+G9</f>
        <v/>
      </c>
      <c r="I9" s="87">
        <f>IF(C9=0,"",H9/C9)</f>
        <v/>
      </c>
      <c r="J9" s="86">
        <f>SUMIFS(j_CFMain,j_CFMain,"&gt;0",j_Per,3)+SUMIFS(j_CFTax,j_CFTax,"&gt;0",j_Per,3)</f>
        <v/>
      </c>
      <c r="K9" s="86">
        <f>SUMIFS(j_CFMain,j_CFMain,"&lt;0",j_Per,3)+SUMIFS(j_CFTax,j_CFTax,"&lt;0",j_Per,3)</f>
        <v/>
      </c>
      <c r="L9" s="86">
        <f>J9+K9</f>
        <v/>
      </c>
      <c r="M9" s="86">
        <f>SUMIFS(calc_E3,calc_CF,"Cash")</f>
        <v/>
      </c>
      <c r="N9" s="86">
        <f>SUMIFS(calc_E3,calc_Name,acctAR)</f>
        <v/>
      </c>
      <c r="O9" s="86">
        <f>-SUMIFS(calc_E3,calc_Name,acctAP)</f>
        <v/>
      </c>
    </row>
    <row r="10">
      <c r="B10" s="85">
        <f>EDATE(FYStart,3)</f>
        <v/>
      </c>
      <c r="C10" s="86">
        <f>-SUMIFS(calc_M4,calc_Type,"Revenue")</f>
        <v/>
      </c>
      <c r="D10" s="86">
        <f>SUMIFS(calc_M4,calc_Type,"Cost of Sales")</f>
        <v/>
      </c>
      <c r="E10" s="86">
        <f>C10-D10</f>
        <v/>
      </c>
      <c r="F10" s="86">
        <f>SUMIFS(calc_M4,calc_Type,"Operating Expense")</f>
        <v/>
      </c>
      <c r="G10" s="86">
        <f>-SUMIFS(calc_M4,calc_Type,"Other Income")-SUMIFS(calc_M4,calc_Type,"Other Expense")</f>
        <v/>
      </c>
      <c r="H10" s="86">
        <f>E10-F10+G10</f>
        <v/>
      </c>
      <c r="I10" s="87">
        <f>IF(C10=0,"",H10/C10)</f>
        <v/>
      </c>
      <c r="J10" s="86">
        <f>SUMIFS(j_CFMain,j_CFMain,"&gt;0",j_Per,4)+SUMIFS(j_CFTax,j_CFTax,"&gt;0",j_Per,4)</f>
        <v/>
      </c>
      <c r="K10" s="86">
        <f>SUMIFS(j_CFMain,j_CFMain,"&lt;0",j_Per,4)+SUMIFS(j_CFTax,j_CFTax,"&lt;0",j_Per,4)</f>
        <v/>
      </c>
      <c r="L10" s="86">
        <f>J10+K10</f>
        <v/>
      </c>
      <c r="M10" s="86">
        <f>SUMIFS(calc_E4,calc_CF,"Cash")</f>
        <v/>
      </c>
      <c r="N10" s="86">
        <f>SUMIFS(calc_E4,calc_Name,acctAR)</f>
        <v/>
      </c>
      <c r="O10" s="86">
        <f>-SUMIFS(calc_E4,calc_Name,acctAP)</f>
        <v/>
      </c>
    </row>
    <row r="11">
      <c r="B11" s="85">
        <f>EDATE(FYStart,4)</f>
        <v/>
      </c>
      <c r="C11" s="86">
        <f>-SUMIFS(calc_M5,calc_Type,"Revenue")</f>
        <v/>
      </c>
      <c r="D11" s="86">
        <f>SUMIFS(calc_M5,calc_Type,"Cost of Sales")</f>
        <v/>
      </c>
      <c r="E11" s="86">
        <f>C11-D11</f>
        <v/>
      </c>
      <c r="F11" s="86">
        <f>SUMIFS(calc_M5,calc_Type,"Operating Expense")</f>
        <v/>
      </c>
      <c r="G11" s="86">
        <f>-SUMIFS(calc_M5,calc_Type,"Other Income")-SUMIFS(calc_M5,calc_Type,"Other Expense")</f>
        <v/>
      </c>
      <c r="H11" s="86">
        <f>E11-F11+G11</f>
        <v/>
      </c>
      <c r="I11" s="87">
        <f>IF(C11=0,"",H11/C11)</f>
        <v/>
      </c>
      <c r="J11" s="86">
        <f>SUMIFS(j_CFMain,j_CFMain,"&gt;0",j_Per,5)+SUMIFS(j_CFTax,j_CFTax,"&gt;0",j_Per,5)</f>
        <v/>
      </c>
      <c r="K11" s="86">
        <f>SUMIFS(j_CFMain,j_CFMain,"&lt;0",j_Per,5)+SUMIFS(j_CFTax,j_CFTax,"&lt;0",j_Per,5)</f>
        <v/>
      </c>
      <c r="L11" s="86">
        <f>J11+K11</f>
        <v/>
      </c>
      <c r="M11" s="86">
        <f>SUMIFS(calc_E5,calc_CF,"Cash")</f>
        <v/>
      </c>
      <c r="N11" s="86">
        <f>SUMIFS(calc_E5,calc_Name,acctAR)</f>
        <v/>
      </c>
      <c r="O11" s="86">
        <f>-SUMIFS(calc_E5,calc_Name,acctAP)</f>
        <v/>
      </c>
    </row>
    <row r="12">
      <c r="B12" s="85">
        <f>EDATE(FYStart,5)</f>
        <v/>
      </c>
      <c r="C12" s="86">
        <f>-SUMIFS(calc_M6,calc_Type,"Revenue")</f>
        <v/>
      </c>
      <c r="D12" s="86">
        <f>SUMIFS(calc_M6,calc_Type,"Cost of Sales")</f>
        <v/>
      </c>
      <c r="E12" s="86">
        <f>C12-D12</f>
        <v/>
      </c>
      <c r="F12" s="86">
        <f>SUMIFS(calc_M6,calc_Type,"Operating Expense")</f>
        <v/>
      </c>
      <c r="G12" s="86">
        <f>-SUMIFS(calc_M6,calc_Type,"Other Income")-SUMIFS(calc_M6,calc_Type,"Other Expense")</f>
        <v/>
      </c>
      <c r="H12" s="86">
        <f>E12-F12+G12</f>
        <v/>
      </c>
      <c r="I12" s="87">
        <f>IF(C12=0,"",H12/C12)</f>
        <v/>
      </c>
      <c r="J12" s="86">
        <f>SUMIFS(j_CFMain,j_CFMain,"&gt;0",j_Per,6)+SUMIFS(j_CFTax,j_CFTax,"&gt;0",j_Per,6)</f>
        <v/>
      </c>
      <c r="K12" s="86">
        <f>SUMIFS(j_CFMain,j_CFMain,"&lt;0",j_Per,6)+SUMIFS(j_CFTax,j_CFTax,"&lt;0",j_Per,6)</f>
        <v/>
      </c>
      <c r="L12" s="86">
        <f>J12+K12</f>
        <v/>
      </c>
      <c r="M12" s="86">
        <f>SUMIFS(calc_E6,calc_CF,"Cash")</f>
        <v/>
      </c>
      <c r="N12" s="86">
        <f>SUMIFS(calc_E6,calc_Name,acctAR)</f>
        <v/>
      </c>
      <c r="O12" s="86">
        <f>-SUMIFS(calc_E6,calc_Name,acctAP)</f>
        <v/>
      </c>
    </row>
    <row r="13">
      <c r="B13" s="85">
        <f>EDATE(FYStart,6)</f>
        <v/>
      </c>
      <c r="C13" s="86">
        <f>-SUMIFS(calc_M7,calc_Type,"Revenue")</f>
        <v/>
      </c>
      <c r="D13" s="86">
        <f>SUMIFS(calc_M7,calc_Type,"Cost of Sales")</f>
        <v/>
      </c>
      <c r="E13" s="86">
        <f>C13-D13</f>
        <v/>
      </c>
      <c r="F13" s="86">
        <f>SUMIFS(calc_M7,calc_Type,"Operating Expense")</f>
        <v/>
      </c>
      <c r="G13" s="86">
        <f>-SUMIFS(calc_M7,calc_Type,"Other Income")-SUMIFS(calc_M7,calc_Type,"Other Expense")</f>
        <v/>
      </c>
      <c r="H13" s="86">
        <f>E13-F13+G13</f>
        <v/>
      </c>
      <c r="I13" s="87">
        <f>IF(C13=0,"",H13/C13)</f>
        <v/>
      </c>
      <c r="J13" s="86">
        <f>SUMIFS(j_CFMain,j_CFMain,"&gt;0",j_Per,7)+SUMIFS(j_CFTax,j_CFTax,"&gt;0",j_Per,7)</f>
        <v/>
      </c>
      <c r="K13" s="86">
        <f>SUMIFS(j_CFMain,j_CFMain,"&lt;0",j_Per,7)+SUMIFS(j_CFTax,j_CFTax,"&lt;0",j_Per,7)</f>
        <v/>
      </c>
      <c r="L13" s="86">
        <f>J13+K13</f>
        <v/>
      </c>
      <c r="M13" s="86">
        <f>SUMIFS(calc_E7,calc_CF,"Cash")</f>
        <v/>
      </c>
      <c r="N13" s="86">
        <f>SUMIFS(calc_E7,calc_Name,acctAR)</f>
        <v/>
      </c>
      <c r="O13" s="86">
        <f>-SUMIFS(calc_E7,calc_Name,acctAP)</f>
        <v/>
      </c>
    </row>
    <row r="14">
      <c r="B14" s="85">
        <f>EDATE(FYStart,7)</f>
        <v/>
      </c>
      <c r="C14" s="86">
        <f>-SUMIFS(calc_M8,calc_Type,"Revenue")</f>
        <v/>
      </c>
      <c r="D14" s="86">
        <f>SUMIFS(calc_M8,calc_Type,"Cost of Sales")</f>
        <v/>
      </c>
      <c r="E14" s="86">
        <f>C14-D14</f>
        <v/>
      </c>
      <c r="F14" s="86">
        <f>SUMIFS(calc_M8,calc_Type,"Operating Expense")</f>
        <v/>
      </c>
      <c r="G14" s="86">
        <f>-SUMIFS(calc_M8,calc_Type,"Other Income")-SUMIFS(calc_M8,calc_Type,"Other Expense")</f>
        <v/>
      </c>
      <c r="H14" s="86">
        <f>E14-F14+G14</f>
        <v/>
      </c>
      <c r="I14" s="87">
        <f>IF(C14=0,"",H14/C14)</f>
        <v/>
      </c>
      <c r="J14" s="86">
        <f>SUMIFS(j_CFMain,j_CFMain,"&gt;0",j_Per,8)+SUMIFS(j_CFTax,j_CFTax,"&gt;0",j_Per,8)</f>
        <v/>
      </c>
      <c r="K14" s="86">
        <f>SUMIFS(j_CFMain,j_CFMain,"&lt;0",j_Per,8)+SUMIFS(j_CFTax,j_CFTax,"&lt;0",j_Per,8)</f>
        <v/>
      </c>
      <c r="L14" s="86">
        <f>J14+K14</f>
        <v/>
      </c>
      <c r="M14" s="86">
        <f>SUMIFS(calc_E8,calc_CF,"Cash")</f>
        <v/>
      </c>
      <c r="N14" s="86">
        <f>SUMIFS(calc_E8,calc_Name,acctAR)</f>
        <v/>
      </c>
      <c r="O14" s="86">
        <f>-SUMIFS(calc_E8,calc_Name,acctAP)</f>
        <v/>
      </c>
    </row>
    <row r="15">
      <c r="B15" s="85">
        <f>EDATE(FYStart,8)</f>
        <v/>
      </c>
      <c r="C15" s="86">
        <f>-SUMIFS(calc_M9,calc_Type,"Revenue")</f>
        <v/>
      </c>
      <c r="D15" s="86">
        <f>SUMIFS(calc_M9,calc_Type,"Cost of Sales")</f>
        <v/>
      </c>
      <c r="E15" s="86">
        <f>C15-D15</f>
        <v/>
      </c>
      <c r="F15" s="86">
        <f>SUMIFS(calc_M9,calc_Type,"Operating Expense")</f>
        <v/>
      </c>
      <c r="G15" s="86">
        <f>-SUMIFS(calc_M9,calc_Type,"Other Income")-SUMIFS(calc_M9,calc_Type,"Other Expense")</f>
        <v/>
      </c>
      <c r="H15" s="86">
        <f>E15-F15+G15</f>
        <v/>
      </c>
      <c r="I15" s="87">
        <f>IF(C15=0,"",H15/C15)</f>
        <v/>
      </c>
      <c r="J15" s="86">
        <f>SUMIFS(j_CFMain,j_CFMain,"&gt;0",j_Per,9)+SUMIFS(j_CFTax,j_CFTax,"&gt;0",j_Per,9)</f>
        <v/>
      </c>
      <c r="K15" s="86">
        <f>SUMIFS(j_CFMain,j_CFMain,"&lt;0",j_Per,9)+SUMIFS(j_CFTax,j_CFTax,"&lt;0",j_Per,9)</f>
        <v/>
      </c>
      <c r="L15" s="86">
        <f>J15+K15</f>
        <v/>
      </c>
      <c r="M15" s="86">
        <f>SUMIFS(calc_E9,calc_CF,"Cash")</f>
        <v/>
      </c>
      <c r="N15" s="86">
        <f>SUMIFS(calc_E9,calc_Name,acctAR)</f>
        <v/>
      </c>
      <c r="O15" s="86">
        <f>-SUMIFS(calc_E9,calc_Name,acctAP)</f>
        <v/>
      </c>
    </row>
    <row r="16">
      <c r="B16" s="85">
        <f>EDATE(FYStart,9)</f>
        <v/>
      </c>
      <c r="C16" s="86">
        <f>-SUMIFS(calc_M10,calc_Type,"Revenue")</f>
        <v/>
      </c>
      <c r="D16" s="86">
        <f>SUMIFS(calc_M10,calc_Type,"Cost of Sales")</f>
        <v/>
      </c>
      <c r="E16" s="86">
        <f>C16-D16</f>
        <v/>
      </c>
      <c r="F16" s="86">
        <f>SUMIFS(calc_M10,calc_Type,"Operating Expense")</f>
        <v/>
      </c>
      <c r="G16" s="86">
        <f>-SUMIFS(calc_M10,calc_Type,"Other Income")-SUMIFS(calc_M10,calc_Type,"Other Expense")</f>
        <v/>
      </c>
      <c r="H16" s="86">
        <f>E16-F16+G16</f>
        <v/>
      </c>
      <c r="I16" s="87">
        <f>IF(C16=0,"",H16/C16)</f>
        <v/>
      </c>
      <c r="J16" s="86">
        <f>SUMIFS(j_CFMain,j_CFMain,"&gt;0",j_Per,10)+SUMIFS(j_CFTax,j_CFTax,"&gt;0",j_Per,10)</f>
        <v/>
      </c>
      <c r="K16" s="86">
        <f>SUMIFS(j_CFMain,j_CFMain,"&lt;0",j_Per,10)+SUMIFS(j_CFTax,j_CFTax,"&lt;0",j_Per,10)</f>
        <v/>
      </c>
      <c r="L16" s="86">
        <f>J16+K16</f>
        <v/>
      </c>
      <c r="M16" s="86">
        <f>SUMIFS(calc_E10,calc_CF,"Cash")</f>
        <v/>
      </c>
      <c r="N16" s="86">
        <f>SUMIFS(calc_E10,calc_Name,acctAR)</f>
        <v/>
      </c>
      <c r="O16" s="86">
        <f>-SUMIFS(calc_E10,calc_Name,acctAP)</f>
        <v/>
      </c>
    </row>
    <row r="17">
      <c r="B17" s="85">
        <f>EDATE(FYStart,10)</f>
        <v/>
      </c>
      <c r="C17" s="86">
        <f>-SUMIFS(calc_M11,calc_Type,"Revenue")</f>
        <v/>
      </c>
      <c r="D17" s="86">
        <f>SUMIFS(calc_M11,calc_Type,"Cost of Sales")</f>
        <v/>
      </c>
      <c r="E17" s="86">
        <f>C17-D17</f>
        <v/>
      </c>
      <c r="F17" s="86">
        <f>SUMIFS(calc_M11,calc_Type,"Operating Expense")</f>
        <v/>
      </c>
      <c r="G17" s="86">
        <f>-SUMIFS(calc_M11,calc_Type,"Other Income")-SUMIFS(calc_M11,calc_Type,"Other Expense")</f>
        <v/>
      </c>
      <c r="H17" s="86">
        <f>E17-F17+G17</f>
        <v/>
      </c>
      <c r="I17" s="87">
        <f>IF(C17=0,"",H17/C17)</f>
        <v/>
      </c>
      <c r="J17" s="86">
        <f>SUMIFS(j_CFMain,j_CFMain,"&gt;0",j_Per,11)+SUMIFS(j_CFTax,j_CFTax,"&gt;0",j_Per,11)</f>
        <v/>
      </c>
      <c r="K17" s="86">
        <f>SUMIFS(j_CFMain,j_CFMain,"&lt;0",j_Per,11)+SUMIFS(j_CFTax,j_CFTax,"&lt;0",j_Per,11)</f>
        <v/>
      </c>
      <c r="L17" s="86">
        <f>J17+K17</f>
        <v/>
      </c>
      <c r="M17" s="86">
        <f>SUMIFS(calc_E11,calc_CF,"Cash")</f>
        <v/>
      </c>
      <c r="N17" s="86">
        <f>SUMIFS(calc_E11,calc_Name,acctAR)</f>
        <v/>
      </c>
      <c r="O17" s="86">
        <f>-SUMIFS(calc_E11,calc_Name,acctAP)</f>
        <v/>
      </c>
    </row>
    <row r="18">
      <c r="B18" s="85">
        <f>EDATE(FYStart,11)</f>
        <v/>
      </c>
      <c r="C18" s="86">
        <f>-SUMIFS(calc_M12,calc_Type,"Revenue")</f>
        <v/>
      </c>
      <c r="D18" s="86">
        <f>SUMIFS(calc_M12,calc_Type,"Cost of Sales")</f>
        <v/>
      </c>
      <c r="E18" s="86">
        <f>C18-D18</f>
        <v/>
      </c>
      <c r="F18" s="86">
        <f>SUMIFS(calc_M12,calc_Type,"Operating Expense")</f>
        <v/>
      </c>
      <c r="G18" s="86">
        <f>-SUMIFS(calc_M12,calc_Type,"Other Income")-SUMIFS(calc_M12,calc_Type,"Other Expense")</f>
        <v/>
      </c>
      <c r="H18" s="86">
        <f>E18-F18+G18</f>
        <v/>
      </c>
      <c r="I18" s="87">
        <f>IF(C18=0,"",H18/C18)</f>
        <v/>
      </c>
      <c r="J18" s="86">
        <f>SUMIFS(j_CFMain,j_CFMain,"&gt;0",j_Per,12)+SUMIFS(j_CFTax,j_CFTax,"&gt;0",j_Per,12)</f>
        <v/>
      </c>
      <c r="K18" s="86">
        <f>SUMIFS(j_CFMain,j_CFMain,"&lt;0",j_Per,12)+SUMIFS(j_CFTax,j_CFTax,"&lt;0",j_Per,12)</f>
        <v/>
      </c>
      <c r="L18" s="86">
        <f>J18+K18</f>
        <v/>
      </c>
      <c r="M18" s="86">
        <f>SUMIFS(calc_E12,calc_CF,"Cash")</f>
        <v/>
      </c>
      <c r="N18" s="86">
        <f>SUMIFS(calc_E12,calc_Name,acctAR)</f>
        <v/>
      </c>
      <c r="O18" s="86">
        <f>-SUMIFS(calc_E12,calc_Name,acctAP)</f>
        <v/>
      </c>
    </row>
    <row r="19">
      <c r="B19" s="76" t="inlineStr">
        <is>
          <t>Full year</t>
        </is>
      </c>
      <c r="C19" s="77">
        <f>SUM(C7:C18)</f>
        <v/>
      </c>
      <c r="D19" s="77">
        <f>SUM(D7:D18)</f>
        <v/>
      </c>
      <c r="E19" s="77">
        <f>SUM(E7:E18)</f>
        <v/>
      </c>
      <c r="F19" s="77">
        <f>SUM(F7:F18)</f>
        <v/>
      </c>
      <c r="G19" s="77">
        <f>SUM(G7:G18)</f>
        <v/>
      </c>
      <c r="H19" s="77">
        <f>SUM(H7:H18)</f>
        <v/>
      </c>
      <c r="I19" s="88">
        <f>IF(C19=0,"",H19/C19)</f>
        <v/>
      </c>
      <c r="J19" s="77">
        <f>SUM(J7:J18)</f>
        <v/>
      </c>
      <c r="K19" s="77">
        <f>SUM(K7:K18)</f>
        <v/>
      </c>
      <c r="L19" s="77">
        <f>SUM(L7:L18)</f>
        <v/>
      </c>
      <c r="M19" s="77">
        <f>M18</f>
        <v/>
      </c>
      <c r="N19" s="77">
        <f>N18</f>
        <v/>
      </c>
      <c r="O19" s="77">
        <f>O18</f>
        <v/>
      </c>
    </row>
    <row r="21">
      <c r="B21" s="23" t="inlineStr">
        <is>
          <t>The highlighted row is the report month selected on the Dashboard. Cash/AR/AP are month-end balances.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7:O18">
    <cfRule type="expression" priority="1" dxfId="4">
      <formula>ROW()-6=RptIdx</formula>
    </cfRule>
  </conditionalFormatting>
  <printOptions horizontalCentered="1"/>
  <pageMargins left="0.4" right="0.4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161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9" customWidth="1" min="2" max="2"/>
    <col width="32" customWidth="1" min="3" max="3"/>
    <col width="20" customWidth="1" min="4" max="4"/>
    <col width="16" customWidth="1" min="5" max="5"/>
    <col width="16" customWidth="1" min="6" max="6"/>
    <col width="18" customWidth="1" min="7" max="7"/>
  </cols>
  <sheetData>
    <row r="1" ht="26" customHeight="1">
      <c r="B1" s="19" t="inlineStr">
        <is>
          <t>Trial Balance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  <c r="F3" s="21" t="n"/>
      <c r="G3" s="21" t="n"/>
    </row>
    <row r="4">
      <c r="B4" s="23">
        <f>"As of "&amp;TEXT(AsOf,"dd mmmm yyyy")&amp;"  ·  Amounts in "&amp;Currency</f>
        <v/>
      </c>
    </row>
    <row r="6">
      <c r="C6" t="inlineStr">
        <is>
          <t>Total debits</t>
        </is>
      </c>
      <c r="E6" s="52">
        <f>SUM(E12:E161)</f>
        <v/>
      </c>
    </row>
    <row r="7">
      <c r="C7" t="inlineStr">
        <is>
          <t>Total credits</t>
        </is>
      </c>
      <c r="F7" s="52">
        <f>SUM(F12:F161)</f>
        <v/>
      </c>
    </row>
    <row r="8">
      <c r="C8" t="inlineStr">
        <is>
          <t>Journal integrity (debits − credits of every posting)</t>
        </is>
      </c>
      <c r="G8" s="52">
        <f>ROUND(SUM(j_DrAmt)+SUM(j_TaxDr)-SUM(j_CrAmt)-SUM(j_TaxCr),2)</f>
        <v/>
      </c>
    </row>
    <row r="9">
      <c r="C9" t="inlineStr">
        <is>
          <t>Status</t>
        </is>
      </c>
      <c r="D9" s="89">
        <f>IF(AND(ROUND(E6-F7,2)=0,G8=0),"✓ BALANCED","⚠ CHECK DATA")</f>
        <v/>
      </c>
    </row>
    <row r="11">
      <c r="B11" s="70" t="inlineStr">
        <is>
          <t>Code</t>
        </is>
      </c>
      <c r="C11" s="70" t="inlineStr">
        <is>
          <t>Account Name</t>
        </is>
      </c>
      <c r="D11" s="70" t="inlineStr">
        <is>
          <t>Type</t>
        </is>
      </c>
      <c r="E11" s="70" t="inlineStr">
        <is>
          <t>Debit</t>
        </is>
      </c>
      <c r="F11" s="70" t="inlineStr">
        <is>
          <t>Credit</t>
        </is>
      </c>
      <c r="G11" s="70" t="inlineStr">
        <is>
          <t>Net Balance (Dr+ / Cr−)</t>
        </is>
      </c>
    </row>
    <row r="12">
      <c r="B12" s="90">
        <f>IF(CALC!$D$7="","",CALC!$E$7)</f>
        <v/>
      </c>
      <c r="C12" s="90">
        <f>CALC!$D$7</f>
        <v/>
      </c>
      <c r="D12" s="90">
        <f>IF(CALC!$D$7="","",CALC!$F$7)</f>
        <v/>
      </c>
      <c r="E12" s="91">
        <f>IF(CALC!$D$7="","",IF(ROUND(CALC!$AD$7,2)&gt;0,CALC!$AD$7,0))</f>
        <v/>
      </c>
      <c r="F12" s="91">
        <f>IF(CALC!$D$7="","",IF(ROUND(CALC!$AD$7,2)&lt;0,-CALC!$AD$7,0))</f>
        <v/>
      </c>
      <c r="G12" s="91">
        <f>IF(CALC!$D$7="","",CALC!$AD$7)</f>
        <v/>
      </c>
    </row>
    <row r="13">
      <c r="B13" s="90">
        <f>IF(CALC!$D$8="","",CALC!$E$8)</f>
        <v/>
      </c>
      <c r="C13" s="90">
        <f>CALC!$D$8</f>
        <v/>
      </c>
      <c r="D13" s="90">
        <f>IF(CALC!$D$8="","",CALC!$F$8)</f>
        <v/>
      </c>
      <c r="E13" s="91">
        <f>IF(CALC!$D$8="","",IF(ROUND(CALC!$AD$8,2)&gt;0,CALC!$AD$8,0))</f>
        <v/>
      </c>
      <c r="F13" s="91">
        <f>IF(CALC!$D$8="","",IF(ROUND(CALC!$AD$8,2)&lt;0,-CALC!$AD$8,0))</f>
        <v/>
      </c>
      <c r="G13" s="91">
        <f>IF(CALC!$D$8="","",CALC!$AD$8)</f>
        <v/>
      </c>
    </row>
    <row r="14">
      <c r="B14" s="90">
        <f>IF(CALC!$D$9="","",CALC!$E$9)</f>
        <v/>
      </c>
      <c r="C14" s="90">
        <f>CALC!$D$9</f>
        <v/>
      </c>
      <c r="D14" s="90">
        <f>IF(CALC!$D$9="","",CALC!$F$9)</f>
        <v/>
      </c>
      <c r="E14" s="91">
        <f>IF(CALC!$D$9="","",IF(ROUND(CALC!$AD$9,2)&gt;0,CALC!$AD$9,0))</f>
        <v/>
      </c>
      <c r="F14" s="91">
        <f>IF(CALC!$D$9="","",IF(ROUND(CALC!$AD$9,2)&lt;0,-CALC!$AD$9,0))</f>
        <v/>
      </c>
      <c r="G14" s="91">
        <f>IF(CALC!$D$9="","",CALC!$AD$9)</f>
        <v/>
      </c>
    </row>
    <row r="15">
      <c r="B15" s="90">
        <f>IF(CALC!$D$10="","",CALC!$E$10)</f>
        <v/>
      </c>
      <c r="C15" s="90">
        <f>CALC!$D$10</f>
        <v/>
      </c>
      <c r="D15" s="90">
        <f>IF(CALC!$D$10="","",CALC!$F$10)</f>
        <v/>
      </c>
      <c r="E15" s="91">
        <f>IF(CALC!$D$10="","",IF(ROUND(CALC!$AD$10,2)&gt;0,CALC!$AD$10,0))</f>
        <v/>
      </c>
      <c r="F15" s="91">
        <f>IF(CALC!$D$10="","",IF(ROUND(CALC!$AD$10,2)&lt;0,-CALC!$AD$10,0))</f>
        <v/>
      </c>
      <c r="G15" s="91">
        <f>IF(CALC!$D$10="","",CALC!$AD$10)</f>
        <v/>
      </c>
    </row>
    <row r="16">
      <c r="B16" s="90">
        <f>IF(CALC!$D$11="","",CALC!$E$11)</f>
        <v/>
      </c>
      <c r="C16" s="90">
        <f>CALC!$D$11</f>
        <v/>
      </c>
      <c r="D16" s="90">
        <f>IF(CALC!$D$11="","",CALC!$F$11)</f>
        <v/>
      </c>
      <c r="E16" s="91">
        <f>IF(CALC!$D$11="","",IF(ROUND(CALC!$AD$11,2)&gt;0,CALC!$AD$11,0))</f>
        <v/>
      </c>
      <c r="F16" s="91">
        <f>IF(CALC!$D$11="","",IF(ROUND(CALC!$AD$11,2)&lt;0,-CALC!$AD$11,0))</f>
        <v/>
      </c>
      <c r="G16" s="91">
        <f>IF(CALC!$D$11="","",CALC!$AD$11)</f>
        <v/>
      </c>
    </row>
    <row r="17">
      <c r="B17" s="90">
        <f>IF(CALC!$D$12="","",CALC!$E$12)</f>
        <v/>
      </c>
      <c r="C17" s="90">
        <f>CALC!$D$12</f>
        <v/>
      </c>
      <c r="D17" s="90">
        <f>IF(CALC!$D$12="","",CALC!$F$12)</f>
        <v/>
      </c>
      <c r="E17" s="91">
        <f>IF(CALC!$D$12="","",IF(ROUND(CALC!$AD$12,2)&gt;0,CALC!$AD$12,0))</f>
        <v/>
      </c>
      <c r="F17" s="91">
        <f>IF(CALC!$D$12="","",IF(ROUND(CALC!$AD$12,2)&lt;0,-CALC!$AD$12,0))</f>
        <v/>
      </c>
      <c r="G17" s="91">
        <f>IF(CALC!$D$12="","",CALC!$AD$12)</f>
        <v/>
      </c>
    </row>
    <row r="18">
      <c r="B18" s="90">
        <f>IF(CALC!$D$13="","",CALC!$E$13)</f>
        <v/>
      </c>
      <c r="C18" s="90">
        <f>CALC!$D$13</f>
        <v/>
      </c>
      <c r="D18" s="90">
        <f>IF(CALC!$D$13="","",CALC!$F$13)</f>
        <v/>
      </c>
      <c r="E18" s="91">
        <f>IF(CALC!$D$13="","",IF(ROUND(CALC!$AD$13,2)&gt;0,CALC!$AD$13,0))</f>
        <v/>
      </c>
      <c r="F18" s="91">
        <f>IF(CALC!$D$13="","",IF(ROUND(CALC!$AD$13,2)&lt;0,-CALC!$AD$13,0))</f>
        <v/>
      </c>
      <c r="G18" s="91">
        <f>IF(CALC!$D$13="","",CALC!$AD$13)</f>
        <v/>
      </c>
    </row>
    <row r="19">
      <c r="B19" s="90">
        <f>IF(CALC!$D$14="","",CALC!$E$14)</f>
        <v/>
      </c>
      <c r="C19" s="90">
        <f>CALC!$D$14</f>
        <v/>
      </c>
      <c r="D19" s="90">
        <f>IF(CALC!$D$14="","",CALC!$F$14)</f>
        <v/>
      </c>
      <c r="E19" s="91">
        <f>IF(CALC!$D$14="","",IF(ROUND(CALC!$AD$14,2)&gt;0,CALC!$AD$14,0))</f>
        <v/>
      </c>
      <c r="F19" s="91">
        <f>IF(CALC!$D$14="","",IF(ROUND(CALC!$AD$14,2)&lt;0,-CALC!$AD$14,0))</f>
        <v/>
      </c>
      <c r="G19" s="91">
        <f>IF(CALC!$D$14="","",CALC!$AD$14)</f>
        <v/>
      </c>
    </row>
    <row r="20">
      <c r="B20" s="90">
        <f>IF(CALC!$D$15="","",CALC!$E$15)</f>
        <v/>
      </c>
      <c r="C20" s="90">
        <f>CALC!$D$15</f>
        <v/>
      </c>
      <c r="D20" s="90">
        <f>IF(CALC!$D$15="","",CALC!$F$15)</f>
        <v/>
      </c>
      <c r="E20" s="91">
        <f>IF(CALC!$D$15="","",IF(ROUND(CALC!$AD$15,2)&gt;0,CALC!$AD$15,0))</f>
        <v/>
      </c>
      <c r="F20" s="91">
        <f>IF(CALC!$D$15="","",IF(ROUND(CALC!$AD$15,2)&lt;0,-CALC!$AD$15,0))</f>
        <v/>
      </c>
      <c r="G20" s="91">
        <f>IF(CALC!$D$15="","",CALC!$AD$15)</f>
        <v/>
      </c>
    </row>
    <row r="21">
      <c r="B21" s="90">
        <f>IF(CALC!$D$16="","",CALC!$E$16)</f>
        <v/>
      </c>
      <c r="C21" s="90">
        <f>CALC!$D$16</f>
        <v/>
      </c>
      <c r="D21" s="90">
        <f>IF(CALC!$D$16="","",CALC!$F$16)</f>
        <v/>
      </c>
      <c r="E21" s="91">
        <f>IF(CALC!$D$16="","",IF(ROUND(CALC!$AD$16,2)&gt;0,CALC!$AD$16,0))</f>
        <v/>
      </c>
      <c r="F21" s="91">
        <f>IF(CALC!$D$16="","",IF(ROUND(CALC!$AD$16,2)&lt;0,-CALC!$AD$16,0))</f>
        <v/>
      </c>
      <c r="G21" s="91">
        <f>IF(CALC!$D$16="","",CALC!$AD$16)</f>
        <v/>
      </c>
    </row>
    <row r="22">
      <c r="B22" s="90">
        <f>IF(CALC!$D$17="","",CALC!$E$17)</f>
        <v/>
      </c>
      <c r="C22" s="90">
        <f>CALC!$D$17</f>
        <v/>
      </c>
      <c r="D22" s="90">
        <f>IF(CALC!$D$17="","",CALC!$F$17)</f>
        <v/>
      </c>
      <c r="E22" s="91">
        <f>IF(CALC!$D$17="","",IF(ROUND(CALC!$AD$17,2)&gt;0,CALC!$AD$17,0))</f>
        <v/>
      </c>
      <c r="F22" s="91">
        <f>IF(CALC!$D$17="","",IF(ROUND(CALC!$AD$17,2)&lt;0,-CALC!$AD$17,0))</f>
        <v/>
      </c>
      <c r="G22" s="91">
        <f>IF(CALC!$D$17="","",CALC!$AD$17)</f>
        <v/>
      </c>
    </row>
    <row r="23">
      <c r="B23" s="90">
        <f>IF(CALC!$D$18="","",CALC!$E$18)</f>
        <v/>
      </c>
      <c r="C23" s="90">
        <f>CALC!$D$18</f>
        <v/>
      </c>
      <c r="D23" s="90">
        <f>IF(CALC!$D$18="","",CALC!$F$18)</f>
        <v/>
      </c>
      <c r="E23" s="91">
        <f>IF(CALC!$D$18="","",IF(ROUND(CALC!$AD$18,2)&gt;0,CALC!$AD$18,0))</f>
        <v/>
      </c>
      <c r="F23" s="91">
        <f>IF(CALC!$D$18="","",IF(ROUND(CALC!$AD$18,2)&lt;0,-CALC!$AD$18,0))</f>
        <v/>
      </c>
      <c r="G23" s="91">
        <f>IF(CALC!$D$18="","",CALC!$AD$18)</f>
        <v/>
      </c>
    </row>
    <row r="24">
      <c r="B24" s="90">
        <f>IF(CALC!$D$19="","",CALC!$E$19)</f>
        <v/>
      </c>
      <c r="C24" s="90">
        <f>CALC!$D$19</f>
        <v/>
      </c>
      <c r="D24" s="90">
        <f>IF(CALC!$D$19="","",CALC!$F$19)</f>
        <v/>
      </c>
      <c r="E24" s="91">
        <f>IF(CALC!$D$19="","",IF(ROUND(CALC!$AD$19,2)&gt;0,CALC!$AD$19,0))</f>
        <v/>
      </c>
      <c r="F24" s="91">
        <f>IF(CALC!$D$19="","",IF(ROUND(CALC!$AD$19,2)&lt;0,-CALC!$AD$19,0))</f>
        <v/>
      </c>
      <c r="G24" s="91">
        <f>IF(CALC!$D$19="","",CALC!$AD$19)</f>
        <v/>
      </c>
    </row>
    <row r="25">
      <c r="B25" s="90">
        <f>IF(CALC!$D$20="","",CALC!$E$20)</f>
        <v/>
      </c>
      <c r="C25" s="90">
        <f>CALC!$D$20</f>
        <v/>
      </c>
      <c r="D25" s="90">
        <f>IF(CALC!$D$20="","",CALC!$F$20)</f>
        <v/>
      </c>
      <c r="E25" s="91">
        <f>IF(CALC!$D$20="","",IF(ROUND(CALC!$AD$20,2)&gt;0,CALC!$AD$20,0))</f>
        <v/>
      </c>
      <c r="F25" s="91">
        <f>IF(CALC!$D$20="","",IF(ROUND(CALC!$AD$20,2)&lt;0,-CALC!$AD$20,0))</f>
        <v/>
      </c>
      <c r="G25" s="91">
        <f>IF(CALC!$D$20="","",CALC!$AD$20)</f>
        <v/>
      </c>
    </row>
    <row r="26">
      <c r="B26" s="90">
        <f>IF(CALC!$D$21="","",CALC!$E$21)</f>
        <v/>
      </c>
      <c r="C26" s="90">
        <f>CALC!$D$21</f>
        <v/>
      </c>
      <c r="D26" s="90">
        <f>IF(CALC!$D$21="","",CALC!$F$21)</f>
        <v/>
      </c>
      <c r="E26" s="91">
        <f>IF(CALC!$D$21="","",IF(ROUND(CALC!$AD$21,2)&gt;0,CALC!$AD$21,0))</f>
        <v/>
      </c>
      <c r="F26" s="91">
        <f>IF(CALC!$D$21="","",IF(ROUND(CALC!$AD$21,2)&lt;0,-CALC!$AD$21,0))</f>
        <v/>
      </c>
      <c r="G26" s="91">
        <f>IF(CALC!$D$21="","",CALC!$AD$21)</f>
        <v/>
      </c>
    </row>
    <row r="27">
      <c r="B27" s="90">
        <f>IF(CALC!$D$22="","",CALC!$E$22)</f>
        <v/>
      </c>
      <c r="C27" s="90">
        <f>CALC!$D$22</f>
        <v/>
      </c>
      <c r="D27" s="90">
        <f>IF(CALC!$D$22="","",CALC!$F$22)</f>
        <v/>
      </c>
      <c r="E27" s="91">
        <f>IF(CALC!$D$22="","",IF(ROUND(CALC!$AD$22,2)&gt;0,CALC!$AD$22,0))</f>
        <v/>
      </c>
      <c r="F27" s="91">
        <f>IF(CALC!$D$22="","",IF(ROUND(CALC!$AD$22,2)&lt;0,-CALC!$AD$22,0))</f>
        <v/>
      </c>
      <c r="G27" s="91">
        <f>IF(CALC!$D$22="","",CALC!$AD$22)</f>
        <v/>
      </c>
    </row>
    <row r="28">
      <c r="B28" s="90">
        <f>IF(CALC!$D$23="","",CALC!$E$23)</f>
        <v/>
      </c>
      <c r="C28" s="90">
        <f>CALC!$D$23</f>
        <v/>
      </c>
      <c r="D28" s="90">
        <f>IF(CALC!$D$23="","",CALC!$F$23)</f>
        <v/>
      </c>
      <c r="E28" s="91">
        <f>IF(CALC!$D$23="","",IF(ROUND(CALC!$AD$23,2)&gt;0,CALC!$AD$23,0))</f>
        <v/>
      </c>
      <c r="F28" s="91">
        <f>IF(CALC!$D$23="","",IF(ROUND(CALC!$AD$23,2)&lt;0,-CALC!$AD$23,0))</f>
        <v/>
      </c>
      <c r="G28" s="91">
        <f>IF(CALC!$D$23="","",CALC!$AD$23)</f>
        <v/>
      </c>
    </row>
    <row r="29">
      <c r="B29" s="90">
        <f>IF(CALC!$D$24="","",CALC!$E$24)</f>
        <v/>
      </c>
      <c r="C29" s="90">
        <f>CALC!$D$24</f>
        <v/>
      </c>
      <c r="D29" s="90">
        <f>IF(CALC!$D$24="","",CALC!$F$24)</f>
        <v/>
      </c>
      <c r="E29" s="91">
        <f>IF(CALC!$D$24="","",IF(ROUND(CALC!$AD$24,2)&gt;0,CALC!$AD$24,0))</f>
        <v/>
      </c>
      <c r="F29" s="91">
        <f>IF(CALC!$D$24="","",IF(ROUND(CALC!$AD$24,2)&lt;0,-CALC!$AD$24,0))</f>
        <v/>
      </c>
      <c r="G29" s="91">
        <f>IF(CALC!$D$24="","",CALC!$AD$24)</f>
        <v/>
      </c>
    </row>
    <row r="30">
      <c r="B30" s="90">
        <f>IF(CALC!$D$25="","",CALC!$E$25)</f>
        <v/>
      </c>
      <c r="C30" s="90">
        <f>CALC!$D$25</f>
        <v/>
      </c>
      <c r="D30" s="90">
        <f>IF(CALC!$D$25="","",CALC!$F$25)</f>
        <v/>
      </c>
      <c r="E30" s="91">
        <f>IF(CALC!$D$25="","",IF(ROUND(CALC!$AD$25,2)&gt;0,CALC!$AD$25,0))</f>
        <v/>
      </c>
      <c r="F30" s="91">
        <f>IF(CALC!$D$25="","",IF(ROUND(CALC!$AD$25,2)&lt;0,-CALC!$AD$25,0))</f>
        <v/>
      </c>
      <c r="G30" s="91">
        <f>IF(CALC!$D$25="","",CALC!$AD$25)</f>
        <v/>
      </c>
    </row>
    <row r="31">
      <c r="B31" s="90">
        <f>IF(CALC!$D$26="","",CALC!$E$26)</f>
        <v/>
      </c>
      <c r="C31" s="90">
        <f>CALC!$D$26</f>
        <v/>
      </c>
      <c r="D31" s="90">
        <f>IF(CALC!$D$26="","",CALC!$F$26)</f>
        <v/>
      </c>
      <c r="E31" s="91">
        <f>IF(CALC!$D$26="","",IF(ROUND(CALC!$AD$26,2)&gt;0,CALC!$AD$26,0))</f>
        <v/>
      </c>
      <c r="F31" s="91">
        <f>IF(CALC!$D$26="","",IF(ROUND(CALC!$AD$26,2)&lt;0,-CALC!$AD$26,0))</f>
        <v/>
      </c>
      <c r="G31" s="91">
        <f>IF(CALC!$D$26="","",CALC!$AD$26)</f>
        <v/>
      </c>
    </row>
    <row r="32">
      <c r="B32" s="90">
        <f>IF(CALC!$D$27="","",CALC!$E$27)</f>
        <v/>
      </c>
      <c r="C32" s="90">
        <f>CALC!$D$27</f>
        <v/>
      </c>
      <c r="D32" s="90">
        <f>IF(CALC!$D$27="","",CALC!$F$27)</f>
        <v/>
      </c>
      <c r="E32" s="91">
        <f>IF(CALC!$D$27="","",IF(ROUND(CALC!$AD$27,2)&gt;0,CALC!$AD$27,0))</f>
        <v/>
      </c>
      <c r="F32" s="91">
        <f>IF(CALC!$D$27="","",IF(ROUND(CALC!$AD$27,2)&lt;0,-CALC!$AD$27,0))</f>
        <v/>
      </c>
      <c r="G32" s="91">
        <f>IF(CALC!$D$27="","",CALC!$AD$27)</f>
        <v/>
      </c>
    </row>
    <row r="33">
      <c r="B33" s="90">
        <f>IF(CALC!$D$28="","",CALC!$E$28)</f>
        <v/>
      </c>
      <c r="C33" s="90">
        <f>CALC!$D$28</f>
        <v/>
      </c>
      <c r="D33" s="90">
        <f>IF(CALC!$D$28="","",CALC!$F$28)</f>
        <v/>
      </c>
      <c r="E33" s="91">
        <f>IF(CALC!$D$28="","",IF(ROUND(CALC!$AD$28,2)&gt;0,CALC!$AD$28,0))</f>
        <v/>
      </c>
      <c r="F33" s="91">
        <f>IF(CALC!$D$28="","",IF(ROUND(CALC!$AD$28,2)&lt;0,-CALC!$AD$28,0))</f>
        <v/>
      </c>
      <c r="G33" s="91">
        <f>IF(CALC!$D$28="","",CALC!$AD$28)</f>
        <v/>
      </c>
    </row>
    <row r="34">
      <c r="B34" s="90">
        <f>IF(CALC!$D$29="","",CALC!$E$29)</f>
        <v/>
      </c>
      <c r="C34" s="90">
        <f>CALC!$D$29</f>
        <v/>
      </c>
      <c r="D34" s="90">
        <f>IF(CALC!$D$29="","",CALC!$F$29)</f>
        <v/>
      </c>
      <c r="E34" s="91">
        <f>IF(CALC!$D$29="","",IF(ROUND(CALC!$AD$29,2)&gt;0,CALC!$AD$29,0))</f>
        <v/>
      </c>
      <c r="F34" s="91">
        <f>IF(CALC!$D$29="","",IF(ROUND(CALC!$AD$29,2)&lt;0,-CALC!$AD$29,0))</f>
        <v/>
      </c>
      <c r="G34" s="91">
        <f>IF(CALC!$D$29="","",CALC!$AD$29)</f>
        <v/>
      </c>
    </row>
    <row r="35">
      <c r="B35" s="90">
        <f>IF(CALC!$D$30="","",CALC!$E$30)</f>
        <v/>
      </c>
      <c r="C35" s="90">
        <f>CALC!$D$30</f>
        <v/>
      </c>
      <c r="D35" s="90">
        <f>IF(CALC!$D$30="","",CALC!$F$30)</f>
        <v/>
      </c>
      <c r="E35" s="91">
        <f>IF(CALC!$D$30="","",IF(ROUND(CALC!$AD$30,2)&gt;0,CALC!$AD$30,0))</f>
        <v/>
      </c>
      <c r="F35" s="91">
        <f>IF(CALC!$D$30="","",IF(ROUND(CALC!$AD$30,2)&lt;0,-CALC!$AD$30,0))</f>
        <v/>
      </c>
      <c r="G35" s="91">
        <f>IF(CALC!$D$30="","",CALC!$AD$30)</f>
        <v/>
      </c>
    </row>
    <row r="36">
      <c r="B36" s="90">
        <f>IF(CALC!$D$31="","",CALC!$E$31)</f>
        <v/>
      </c>
      <c r="C36" s="90">
        <f>CALC!$D$31</f>
        <v/>
      </c>
      <c r="D36" s="90">
        <f>IF(CALC!$D$31="","",CALC!$F$31)</f>
        <v/>
      </c>
      <c r="E36" s="91">
        <f>IF(CALC!$D$31="","",IF(ROUND(CALC!$AD$31,2)&gt;0,CALC!$AD$31,0))</f>
        <v/>
      </c>
      <c r="F36" s="91">
        <f>IF(CALC!$D$31="","",IF(ROUND(CALC!$AD$31,2)&lt;0,-CALC!$AD$31,0))</f>
        <v/>
      </c>
      <c r="G36" s="91">
        <f>IF(CALC!$D$31="","",CALC!$AD$31)</f>
        <v/>
      </c>
    </row>
    <row r="37">
      <c r="B37" s="90">
        <f>IF(CALC!$D$32="","",CALC!$E$32)</f>
        <v/>
      </c>
      <c r="C37" s="90">
        <f>CALC!$D$32</f>
        <v/>
      </c>
      <c r="D37" s="90">
        <f>IF(CALC!$D$32="","",CALC!$F$32)</f>
        <v/>
      </c>
      <c r="E37" s="91">
        <f>IF(CALC!$D$32="","",IF(ROUND(CALC!$AD$32,2)&gt;0,CALC!$AD$32,0))</f>
        <v/>
      </c>
      <c r="F37" s="91">
        <f>IF(CALC!$D$32="","",IF(ROUND(CALC!$AD$32,2)&lt;0,-CALC!$AD$32,0))</f>
        <v/>
      </c>
      <c r="G37" s="91">
        <f>IF(CALC!$D$32="","",CALC!$AD$32)</f>
        <v/>
      </c>
    </row>
    <row r="38">
      <c r="B38" s="90">
        <f>IF(CALC!$D$33="","",CALC!$E$33)</f>
        <v/>
      </c>
      <c r="C38" s="90">
        <f>CALC!$D$33</f>
        <v/>
      </c>
      <c r="D38" s="90">
        <f>IF(CALC!$D$33="","",CALC!$F$33)</f>
        <v/>
      </c>
      <c r="E38" s="91">
        <f>IF(CALC!$D$33="","",IF(ROUND(CALC!$AD$33,2)&gt;0,CALC!$AD$33,0))</f>
        <v/>
      </c>
      <c r="F38" s="91">
        <f>IF(CALC!$D$33="","",IF(ROUND(CALC!$AD$33,2)&lt;0,-CALC!$AD$33,0))</f>
        <v/>
      </c>
      <c r="G38" s="91">
        <f>IF(CALC!$D$33="","",CALC!$AD$33)</f>
        <v/>
      </c>
    </row>
    <row r="39">
      <c r="B39" s="90">
        <f>IF(CALC!$D$34="","",CALC!$E$34)</f>
        <v/>
      </c>
      <c r="C39" s="90">
        <f>CALC!$D$34</f>
        <v/>
      </c>
      <c r="D39" s="90">
        <f>IF(CALC!$D$34="","",CALC!$F$34)</f>
        <v/>
      </c>
      <c r="E39" s="91">
        <f>IF(CALC!$D$34="","",IF(ROUND(CALC!$AD$34,2)&gt;0,CALC!$AD$34,0))</f>
        <v/>
      </c>
      <c r="F39" s="91">
        <f>IF(CALC!$D$34="","",IF(ROUND(CALC!$AD$34,2)&lt;0,-CALC!$AD$34,0))</f>
        <v/>
      </c>
      <c r="G39" s="91">
        <f>IF(CALC!$D$34="","",CALC!$AD$34)</f>
        <v/>
      </c>
    </row>
    <row r="40">
      <c r="B40" s="90">
        <f>IF(CALC!$D$35="","",CALC!$E$35)</f>
        <v/>
      </c>
      <c r="C40" s="90">
        <f>CALC!$D$35</f>
        <v/>
      </c>
      <c r="D40" s="90">
        <f>IF(CALC!$D$35="","",CALC!$F$35)</f>
        <v/>
      </c>
      <c r="E40" s="91">
        <f>IF(CALC!$D$35="","",IF(ROUND(CALC!$AD$35,2)&gt;0,CALC!$AD$35,0))</f>
        <v/>
      </c>
      <c r="F40" s="91">
        <f>IF(CALC!$D$35="","",IF(ROUND(CALC!$AD$35,2)&lt;0,-CALC!$AD$35,0))</f>
        <v/>
      </c>
      <c r="G40" s="91">
        <f>IF(CALC!$D$35="","",CALC!$AD$35)</f>
        <v/>
      </c>
    </row>
    <row r="41">
      <c r="B41" s="90">
        <f>IF(CALC!$D$36="","",CALC!$E$36)</f>
        <v/>
      </c>
      <c r="C41" s="90">
        <f>CALC!$D$36</f>
        <v/>
      </c>
      <c r="D41" s="90">
        <f>IF(CALC!$D$36="","",CALC!$F$36)</f>
        <v/>
      </c>
      <c r="E41" s="91">
        <f>IF(CALC!$D$36="","",IF(ROUND(CALC!$AD$36,2)&gt;0,CALC!$AD$36,0))</f>
        <v/>
      </c>
      <c r="F41" s="91">
        <f>IF(CALC!$D$36="","",IF(ROUND(CALC!$AD$36,2)&lt;0,-CALC!$AD$36,0))</f>
        <v/>
      </c>
      <c r="G41" s="91">
        <f>IF(CALC!$D$36="","",CALC!$AD$36)</f>
        <v/>
      </c>
    </row>
    <row r="42">
      <c r="B42" s="90">
        <f>IF(CALC!$D$37="","",CALC!$E$37)</f>
        <v/>
      </c>
      <c r="C42" s="90">
        <f>CALC!$D$37</f>
        <v/>
      </c>
      <c r="D42" s="90">
        <f>IF(CALC!$D$37="","",CALC!$F$37)</f>
        <v/>
      </c>
      <c r="E42" s="91">
        <f>IF(CALC!$D$37="","",IF(ROUND(CALC!$AD$37,2)&gt;0,CALC!$AD$37,0))</f>
        <v/>
      </c>
      <c r="F42" s="91">
        <f>IF(CALC!$D$37="","",IF(ROUND(CALC!$AD$37,2)&lt;0,-CALC!$AD$37,0))</f>
        <v/>
      </c>
      <c r="G42" s="91">
        <f>IF(CALC!$D$37="","",CALC!$AD$37)</f>
        <v/>
      </c>
    </row>
    <row r="43">
      <c r="B43" s="90">
        <f>IF(CALC!$D$38="","",CALC!$E$38)</f>
        <v/>
      </c>
      <c r="C43" s="90">
        <f>CALC!$D$38</f>
        <v/>
      </c>
      <c r="D43" s="90">
        <f>IF(CALC!$D$38="","",CALC!$F$38)</f>
        <v/>
      </c>
      <c r="E43" s="91">
        <f>IF(CALC!$D$38="","",IF(ROUND(CALC!$AD$38,2)&gt;0,CALC!$AD$38,0))</f>
        <v/>
      </c>
      <c r="F43" s="91">
        <f>IF(CALC!$D$38="","",IF(ROUND(CALC!$AD$38,2)&lt;0,-CALC!$AD$38,0))</f>
        <v/>
      </c>
      <c r="G43" s="91">
        <f>IF(CALC!$D$38="","",CALC!$AD$38)</f>
        <v/>
      </c>
    </row>
    <row r="44">
      <c r="B44" s="90">
        <f>IF(CALC!$D$39="","",CALC!$E$39)</f>
        <v/>
      </c>
      <c r="C44" s="90">
        <f>CALC!$D$39</f>
        <v/>
      </c>
      <c r="D44" s="90">
        <f>IF(CALC!$D$39="","",CALC!$F$39)</f>
        <v/>
      </c>
      <c r="E44" s="91">
        <f>IF(CALC!$D$39="","",IF(ROUND(CALC!$AD$39,2)&gt;0,CALC!$AD$39,0))</f>
        <v/>
      </c>
      <c r="F44" s="91">
        <f>IF(CALC!$D$39="","",IF(ROUND(CALC!$AD$39,2)&lt;0,-CALC!$AD$39,0))</f>
        <v/>
      </c>
      <c r="G44" s="91">
        <f>IF(CALC!$D$39="","",CALC!$AD$39)</f>
        <v/>
      </c>
    </row>
    <row r="45">
      <c r="B45" s="90">
        <f>IF(CALC!$D$40="","",CALC!$E$40)</f>
        <v/>
      </c>
      <c r="C45" s="90">
        <f>CALC!$D$40</f>
        <v/>
      </c>
      <c r="D45" s="90">
        <f>IF(CALC!$D$40="","",CALC!$F$40)</f>
        <v/>
      </c>
      <c r="E45" s="91">
        <f>IF(CALC!$D$40="","",IF(ROUND(CALC!$AD$40,2)&gt;0,CALC!$AD$40,0))</f>
        <v/>
      </c>
      <c r="F45" s="91">
        <f>IF(CALC!$D$40="","",IF(ROUND(CALC!$AD$40,2)&lt;0,-CALC!$AD$40,0))</f>
        <v/>
      </c>
      <c r="G45" s="91">
        <f>IF(CALC!$D$40="","",CALC!$AD$40)</f>
        <v/>
      </c>
    </row>
    <row r="46">
      <c r="B46" s="90">
        <f>IF(CALC!$D$41="","",CALC!$E$41)</f>
        <v/>
      </c>
      <c r="C46" s="90">
        <f>CALC!$D$41</f>
        <v/>
      </c>
      <c r="D46" s="90">
        <f>IF(CALC!$D$41="","",CALC!$F$41)</f>
        <v/>
      </c>
      <c r="E46" s="91">
        <f>IF(CALC!$D$41="","",IF(ROUND(CALC!$AD$41,2)&gt;0,CALC!$AD$41,0))</f>
        <v/>
      </c>
      <c r="F46" s="91">
        <f>IF(CALC!$D$41="","",IF(ROUND(CALC!$AD$41,2)&lt;0,-CALC!$AD$41,0))</f>
        <v/>
      </c>
      <c r="G46" s="91">
        <f>IF(CALC!$D$41="","",CALC!$AD$41)</f>
        <v/>
      </c>
    </row>
    <row r="47">
      <c r="B47" s="90">
        <f>IF(CALC!$D$42="","",CALC!$E$42)</f>
        <v/>
      </c>
      <c r="C47" s="90">
        <f>CALC!$D$42</f>
        <v/>
      </c>
      <c r="D47" s="90">
        <f>IF(CALC!$D$42="","",CALC!$F$42)</f>
        <v/>
      </c>
      <c r="E47" s="91">
        <f>IF(CALC!$D$42="","",IF(ROUND(CALC!$AD$42,2)&gt;0,CALC!$AD$42,0))</f>
        <v/>
      </c>
      <c r="F47" s="91">
        <f>IF(CALC!$D$42="","",IF(ROUND(CALC!$AD$42,2)&lt;0,-CALC!$AD$42,0))</f>
        <v/>
      </c>
      <c r="G47" s="91">
        <f>IF(CALC!$D$42="","",CALC!$AD$42)</f>
        <v/>
      </c>
    </row>
    <row r="48">
      <c r="B48" s="90">
        <f>IF(CALC!$D$43="","",CALC!$E$43)</f>
        <v/>
      </c>
      <c r="C48" s="90">
        <f>CALC!$D$43</f>
        <v/>
      </c>
      <c r="D48" s="90">
        <f>IF(CALC!$D$43="","",CALC!$F$43)</f>
        <v/>
      </c>
      <c r="E48" s="91">
        <f>IF(CALC!$D$43="","",IF(ROUND(CALC!$AD$43,2)&gt;0,CALC!$AD$43,0))</f>
        <v/>
      </c>
      <c r="F48" s="91">
        <f>IF(CALC!$D$43="","",IF(ROUND(CALC!$AD$43,2)&lt;0,-CALC!$AD$43,0))</f>
        <v/>
      </c>
      <c r="G48" s="91">
        <f>IF(CALC!$D$43="","",CALC!$AD$43)</f>
        <v/>
      </c>
    </row>
    <row r="49">
      <c r="B49" s="90">
        <f>IF(CALC!$D$44="","",CALC!$E$44)</f>
        <v/>
      </c>
      <c r="C49" s="90">
        <f>CALC!$D$44</f>
        <v/>
      </c>
      <c r="D49" s="90">
        <f>IF(CALC!$D$44="","",CALC!$F$44)</f>
        <v/>
      </c>
      <c r="E49" s="91">
        <f>IF(CALC!$D$44="","",IF(ROUND(CALC!$AD$44,2)&gt;0,CALC!$AD$44,0))</f>
        <v/>
      </c>
      <c r="F49" s="91">
        <f>IF(CALC!$D$44="","",IF(ROUND(CALC!$AD$44,2)&lt;0,-CALC!$AD$44,0))</f>
        <v/>
      </c>
      <c r="G49" s="91">
        <f>IF(CALC!$D$44="","",CALC!$AD$44)</f>
        <v/>
      </c>
    </row>
    <row r="50">
      <c r="B50" s="90">
        <f>IF(CALC!$D$45="","",CALC!$E$45)</f>
        <v/>
      </c>
      <c r="C50" s="90">
        <f>CALC!$D$45</f>
        <v/>
      </c>
      <c r="D50" s="90">
        <f>IF(CALC!$D$45="","",CALC!$F$45)</f>
        <v/>
      </c>
      <c r="E50" s="91">
        <f>IF(CALC!$D$45="","",IF(ROUND(CALC!$AD$45,2)&gt;0,CALC!$AD$45,0))</f>
        <v/>
      </c>
      <c r="F50" s="91">
        <f>IF(CALC!$D$45="","",IF(ROUND(CALC!$AD$45,2)&lt;0,-CALC!$AD$45,0))</f>
        <v/>
      </c>
      <c r="G50" s="91">
        <f>IF(CALC!$D$45="","",CALC!$AD$45)</f>
        <v/>
      </c>
    </row>
    <row r="51">
      <c r="B51" s="90">
        <f>IF(CALC!$D$46="","",CALC!$E$46)</f>
        <v/>
      </c>
      <c r="C51" s="90">
        <f>CALC!$D$46</f>
        <v/>
      </c>
      <c r="D51" s="90">
        <f>IF(CALC!$D$46="","",CALC!$F$46)</f>
        <v/>
      </c>
      <c r="E51" s="91">
        <f>IF(CALC!$D$46="","",IF(ROUND(CALC!$AD$46,2)&gt;0,CALC!$AD$46,0))</f>
        <v/>
      </c>
      <c r="F51" s="91">
        <f>IF(CALC!$D$46="","",IF(ROUND(CALC!$AD$46,2)&lt;0,-CALC!$AD$46,0))</f>
        <v/>
      </c>
      <c r="G51" s="91">
        <f>IF(CALC!$D$46="","",CALC!$AD$46)</f>
        <v/>
      </c>
    </row>
    <row r="52">
      <c r="B52" s="90">
        <f>IF(CALC!$D$47="","",CALC!$E$47)</f>
        <v/>
      </c>
      <c r="C52" s="90">
        <f>CALC!$D$47</f>
        <v/>
      </c>
      <c r="D52" s="90">
        <f>IF(CALC!$D$47="","",CALC!$F$47)</f>
        <v/>
      </c>
      <c r="E52" s="91">
        <f>IF(CALC!$D$47="","",IF(ROUND(CALC!$AD$47,2)&gt;0,CALC!$AD$47,0))</f>
        <v/>
      </c>
      <c r="F52" s="91">
        <f>IF(CALC!$D$47="","",IF(ROUND(CALC!$AD$47,2)&lt;0,-CALC!$AD$47,0))</f>
        <v/>
      </c>
      <c r="G52" s="91">
        <f>IF(CALC!$D$47="","",CALC!$AD$47)</f>
        <v/>
      </c>
    </row>
    <row r="53">
      <c r="B53" s="90">
        <f>IF(CALC!$D$48="","",CALC!$E$48)</f>
        <v/>
      </c>
      <c r="C53" s="90">
        <f>CALC!$D$48</f>
        <v/>
      </c>
      <c r="D53" s="90">
        <f>IF(CALC!$D$48="","",CALC!$F$48)</f>
        <v/>
      </c>
      <c r="E53" s="91">
        <f>IF(CALC!$D$48="","",IF(ROUND(CALC!$AD$48,2)&gt;0,CALC!$AD$48,0))</f>
        <v/>
      </c>
      <c r="F53" s="91">
        <f>IF(CALC!$D$48="","",IF(ROUND(CALC!$AD$48,2)&lt;0,-CALC!$AD$48,0))</f>
        <v/>
      </c>
      <c r="G53" s="91">
        <f>IF(CALC!$D$48="","",CALC!$AD$48)</f>
        <v/>
      </c>
    </row>
    <row r="54">
      <c r="B54" s="90">
        <f>IF(CALC!$D$49="","",CALC!$E$49)</f>
        <v/>
      </c>
      <c r="C54" s="90">
        <f>CALC!$D$49</f>
        <v/>
      </c>
      <c r="D54" s="90">
        <f>IF(CALC!$D$49="","",CALC!$F$49)</f>
        <v/>
      </c>
      <c r="E54" s="91">
        <f>IF(CALC!$D$49="","",IF(ROUND(CALC!$AD$49,2)&gt;0,CALC!$AD$49,0))</f>
        <v/>
      </c>
      <c r="F54" s="91">
        <f>IF(CALC!$D$49="","",IF(ROUND(CALC!$AD$49,2)&lt;0,-CALC!$AD$49,0))</f>
        <v/>
      </c>
      <c r="G54" s="91">
        <f>IF(CALC!$D$49="","",CALC!$AD$49)</f>
        <v/>
      </c>
    </row>
    <row r="55">
      <c r="B55" s="90">
        <f>IF(CALC!$D$50="","",CALC!$E$50)</f>
        <v/>
      </c>
      <c r="C55" s="90">
        <f>CALC!$D$50</f>
        <v/>
      </c>
      <c r="D55" s="90">
        <f>IF(CALC!$D$50="","",CALC!$F$50)</f>
        <v/>
      </c>
      <c r="E55" s="91">
        <f>IF(CALC!$D$50="","",IF(ROUND(CALC!$AD$50,2)&gt;0,CALC!$AD$50,0))</f>
        <v/>
      </c>
      <c r="F55" s="91">
        <f>IF(CALC!$D$50="","",IF(ROUND(CALC!$AD$50,2)&lt;0,-CALC!$AD$50,0))</f>
        <v/>
      </c>
      <c r="G55" s="91">
        <f>IF(CALC!$D$50="","",CALC!$AD$50)</f>
        <v/>
      </c>
    </row>
    <row r="56">
      <c r="B56" s="90">
        <f>IF(CALC!$D$51="","",CALC!$E$51)</f>
        <v/>
      </c>
      <c r="C56" s="90">
        <f>CALC!$D$51</f>
        <v/>
      </c>
      <c r="D56" s="90">
        <f>IF(CALC!$D$51="","",CALC!$F$51)</f>
        <v/>
      </c>
      <c r="E56" s="91">
        <f>IF(CALC!$D$51="","",IF(ROUND(CALC!$AD$51,2)&gt;0,CALC!$AD$51,0))</f>
        <v/>
      </c>
      <c r="F56" s="91">
        <f>IF(CALC!$D$51="","",IF(ROUND(CALC!$AD$51,2)&lt;0,-CALC!$AD$51,0))</f>
        <v/>
      </c>
      <c r="G56" s="91">
        <f>IF(CALC!$D$51="","",CALC!$AD$51)</f>
        <v/>
      </c>
    </row>
    <row r="57">
      <c r="B57" s="90">
        <f>IF(CALC!$D$52="","",CALC!$E$52)</f>
        <v/>
      </c>
      <c r="C57" s="90">
        <f>CALC!$D$52</f>
        <v/>
      </c>
      <c r="D57" s="90">
        <f>IF(CALC!$D$52="","",CALC!$F$52)</f>
        <v/>
      </c>
      <c r="E57" s="91">
        <f>IF(CALC!$D$52="","",IF(ROUND(CALC!$AD$52,2)&gt;0,CALC!$AD$52,0))</f>
        <v/>
      </c>
      <c r="F57" s="91">
        <f>IF(CALC!$D$52="","",IF(ROUND(CALC!$AD$52,2)&lt;0,-CALC!$AD$52,0))</f>
        <v/>
      </c>
      <c r="G57" s="91">
        <f>IF(CALC!$D$52="","",CALC!$AD$52)</f>
        <v/>
      </c>
    </row>
    <row r="58">
      <c r="B58" s="90">
        <f>IF(CALC!$D$53="","",CALC!$E$53)</f>
        <v/>
      </c>
      <c r="C58" s="90">
        <f>CALC!$D$53</f>
        <v/>
      </c>
      <c r="D58" s="90">
        <f>IF(CALC!$D$53="","",CALC!$F$53)</f>
        <v/>
      </c>
      <c r="E58" s="91">
        <f>IF(CALC!$D$53="","",IF(ROUND(CALC!$AD$53,2)&gt;0,CALC!$AD$53,0))</f>
        <v/>
      </c>
      <c r="F58" s="91">
        <f>IF(CALC!$D$53="","",IF(ROUND(CALC!$AD$53,2)&lt;0,-CALC!$AD$53,0))</f>
        <v/>
      </c>
      <c r="G58" s="91">
        <f>IF(CALC!$D$53="","",CALC!$AD$53)</f>
        <v/>
      </c>
    </row>
    <row r="59">
      <c r="B59" s="90">
        <f>IF(CALC!$D$54="","",CALC!$E$54)</f>
        <v/>
      </c>
      <c r="C59" s="90">
        <f>CALC!$D$54</f>
        <v/>
      </c>
      <c r="D59" s="90">
        <f>IF(CALC!$D$54="","",CALC!$F$54)</f>
        <v/>
      </c>
      <c r="E59" s="91">
        <f>IF(CALC!$D$54="","",IF(ROUND(CALC!$AD$54,2)&gt;0,CALC!$AD$54,0))</f>
        <v/>
      </c>
      <c r="F59" s="91">
        <f>IF(CALC!$D$54="","",IF(ROUND(CALC!$AD$54,2)&lt;0,-CALC!$AD$54,0))</f>
        <v/>
      </c>
      <c r="G59" s="91">
        <f>IF(CALC!$D$54="","",CALC!$AD$54)</f>
        <v/>
      </c>
    </row>
    <row r="60">
      <c r="B60" s="90">
        <f>IF(CALC!$D$55="","",CALC!$E$55)</f>
        <v/>
      </c>
      <c r="C60" s="90">
        <f>CALC!$D$55</f>
        <v/>
      </c>
      <c r="D60" s="90">
        <f>IF(CALC!$D$55="","",CALC!$F$55)</f>
        <v/>
      </c>
      <c r="E60" s="91">
        <f>IF(CALC!$D$55="","",IF(ROUND(CALC!$AD$55,2)&gt;0,CALC!$AD$55,0))</f>
        <v/>
      </c>
      <c r="F60" s="91">
        <f>IF(CALC!$D$55="","",IF(ROUND(CALC!$AD$55,2)&lt;0,-CALC!$AD$55,0))</f>
        <v/>
      </c>
      <c r="G60" s="91">
        <f>IF(CALC!$D$55="","",CALC!$AD$55)</f>
        <v/>
      </c>
    </row>
    <row r="61">
      <c r="B61" s="90">
        <f>IF(CALC!$D$56="","",CALC!$E$56)</f>
        <v/>
      </c>
      <c r="C61" s="90">
        <f>CALC!$D$56</f>
        <v/>
      </c>
      <c r="D61" s="90">
        <f>IF(CALC!$D$56="","",CALC!$F$56)</f>
        <v/>
      </c>
      <c r="E61" s="91">
        <f>IF(CALC!$D$56="","",IF(ROUND(CALC!$AD$56,2)&gt;0,CALC!$AD$56,0))</f>
        <v/>
      </c>
      <c r="F61" s="91">
        <f>IF(CALC!$D$56="","",IF(ROUND(CALC!$AD$56,2)&lt;0,-CALC!$AD$56,0))</f>
        <v/>
      </c>
      <c r="G61" s="91">
        <f>IF(CALC!$D$56="","",CALC!$AD$56)</f>
        <v/>
      </c>
    </row>
    <row r="62">
      <c r="B62" s="90">
        <f>IF(CALC!$D$57="","",CALC!$E$57)</f>
        <v/>
      </c>
      <c r="C62" s="90">
        <f>CALC!$D$57</f>
        <v/>
      </c>
      <c r="D62" s="90">
        <f>IF(CALC!$D$57="","",CALC!$F$57)</f>
        <v/>
      </c>
      <c r="E62" s="91">
        <f>IF(CALC!$D$57="","",IF(ROUND(CALC!$AD$57,2)&gt;0,CALC!$AD$57,0))</f>
        <v/>
      </c>
      <c r="F62" s="91">
        <f>IF(CALC!$D$57="","",IF(ROUND(CALC!$AD$57,2)&lt;0,-CALC!$AD$57,0))</f>
        <v/>
      </c>
      <c r="G62" s="91">
        <f>IF(CALC!$D$57="","",CALC!$AD$57)</f>
        <v/>
      </c>
    </row>
    <row r="63">
      <c r="B63" s="90">
        <f>IF(CALC!$D$58="","",CALC!$E$58)</f>
        <v/>
      </c>
      <c r="C63" s="90">
        <f>CALC!$D$58</f>
        <v/>
      </c>
      <c r="D63" s="90">
        <f>IF(CALC!$D$58="","",CALC!$F$58)</f>
        <v/>
      </c>
      <c r="E63" s="91">
        <f>IF(CALC!$D$58="","",IF(ROUND(CALC!$AD$58,2)&gt;0,CALC!$AD$58,0))</f>
        <v/>
      </c>
      <c r="F63" s="91">
        <f>IF(CALC!$D$58="","",IF(ROUND(CALC!$AD$58,2)&lt;0,-CALC!$AD$58,0))</f>
        <v/>
      </c>
      <c r="G63" s="91">
        <f>IF(CALC!$D$58="","",CALC!$AD$58)</f>
        <v/>
      </c>
    </row>
    <row r="64">
      <c r="B64" s="90">
        <f>IF(CALC!$D$59="","",CALC!$E$59)</f>
        <v/>
      </c>
      <c r="C64" s="90">
        <f>CALC!$D$59</f>
        <v/>
      </c>
      <c r="D64" s="90">
        <f>IF(CALC!$D$59="","",CALC!$F$59)</f>
        <v/>
      </c>
      <c r="E64" s="91">
        <f>IF(CALC!$D$59="","",IF(ROUND(CALC!$AD$59,2)&gt;0,CALC!$AD$59,0))</f>
        <v/>
      </c>
      <c r="F64" s="91">
        <f>IF(CALC!$D$59="","",IF(ROUND(CALC!$AD$59,2)&lt;0,-CALC!$AD$59,0))</f>
        <v/>
      </c>
      <c r="G64" s="91">
        <f>IF(CALC!$D$59="","",CALC!$AD$59)</f>
        <v/>
      </c>
    </row>
    <row r="65">
      <c r="B65" s="90">
        <f>IF(CALC!$D$60="","",CALC!$E$60)</f>
        <v/>
      </c>
      <c r="C65" s="90">
        <f>CALC!$D$60</f>
        <v/>
      </c>
      <c r="D65" s="90">
        <f>IF(CALC!$D$60="","",CALC!$F$60)</f>
        <v/>
      </c>
      <c r="E65" s="91">
        <f>IF(CALC!$D$60="","",IF(ROUND(CALC!$AD$60,2)&gt;0,CALC!$AD$60,0))</f>
        <v/>
      </c>
      <c r="F65" s="91">
        <f>IF(CALC!$D$60="","",IF(ROUND(CALC!$AD$60,2)&lt;0,-CALC!$AD$60,0))</f>
        <v/>
      </c>
      <c r="G65" s="91">
        <f>IF(CALC!$D$60="","",CALC!$AD$60)</f>
        <v/>
      </c>
    </row>
    <row r="66">
      <c r="B66" s="90">
        <f>IF(CALC!$D$61="","",CALC!$E$61)</f>
        <v/>
      </c>
      <c r="C66" s="90">
        <f>CALC!$D$61</f>
        <v/>
      </c>
      <c r="D66" s="90">
        <f>IF(CALC!$D$61="","",CALC!$F$61)</f>
        <v/>
      </c>
      <c r="E66" s="91">
        <f>IF(CALC!$D$61="","",IF(ROUND(CALC!$AD$61,2)&gt;0,CALC!$AD$61,0))</f>
        <v/>
      </c>
      <c r="F66" s="91">
        <f>IF(CALC!$D$61="","",IF(ROUND(CALC!$AD$61,2)&lt;0,-CALC!$AD$61,0))</f>
        <v/>
      </c>
      <c r="G66" s="91">
        <f>IF(CALC!$D$61="","",CALC!$AD$61)</f>
        <v/>
      </c>
    </row>
    <row r="67">
      <c r="B67" s="90">
        <f>IF(CALC!$D$62="","",CALC!$E$62)</f>
        <v/>
      </c>
      <c r="C67" s="90">
        <f>CALC!$D$62</f>
        <v/>
      </c>
      <c r="D67" s="90">
        <f>IF(CALC!$D$62="","",CALC!$F$62)</f>
        <v/>
      </c>
      <c r="E67" s="91">
        <f>IF(CALC!$D$62="","",IF(ROUND(CALC!$AD$62,2)&gt;0,CALC!$AD$62,0))</f>
        <v/>
      </c>
      <c r="F67" s="91">
        <f>IF(CALC!$D$62="","",IF(ROUND(CALC!$AD$62,2)&lt;0,-CALC!$AD$62,0))</f>
        <v/>
      </c>
      <c r="G67" s="91">
        <f>IF(CALC!$D$62="","",CALC!$AD$62)</f>
        <v/>
      </c>
    </row>
    <row r="68">
      <c r="B68" s="90">
        <f>IF(CALC!$D$63="","",CALC!$E$63)</f>
        <v/>
      </c>
      <c r="C68" s="90">
        <f>CALC!$D$63</f>
        <v/>
      </c>
      <c r="D68" s="90">
        <f>IF(CALC!$D$63="","",CALC!$F$63)</f>
        <v/>
      </c>
      <c r="E68" s="91">
        <f>IF(CALC!$D$63="","",IF(ROUND(CALC!$AD$63,2)&gt;0,CALC!$AD$63,0))</f>
        <v/>
      </c>
      <c r="F68" s="91">
        <f>IF(CALC!$D$63="","",IF(ROUND(CALC!$AD$63,2)&lt;0,-CALC!$AD$63,0))</f>
        <v/>
      </c>
      <c r="G68" s="91">
        <f>IF(CALC!$D$63="","",CALC!$AD$63)</f>
        <v/>
      </c>
    </row>
    <row r="69">
      <c r="B69" s="90">
        <f>IF(CALC!$D$64="","",CALC!$E$64)</f>
        <v/>
      </c>
      <c r="C69" s="90">
        <f>CALC!$D$64</f>
        <v/>
      </c>
      <c r="D69" s="90">
        <f>IF(CALC!$D$64="","",CALC!$F$64)</f>
        <v/>
      </c>
      <c r="E69" s="91">
        <f>IF(CALC!$D$64="","",IF(ROUND(CALC!$AD$64,2)&gt;0,CALC!$AD$64,0))</f>
        <v/>
      </c>
      <c r="F69" s="91">
        <f>IF(CALC!$D$64="","",IF(ROUND(CALC!$AD$64,2)&lt;0,-CALC!$AD$64,0))</f>
        <v/>
      </c>
      <c r="G69" s="91">
        <f>IF(CALC!$D$64="","",CALC!$AD$64)</f>
        <v/>
      </c>
    </row>
    <row r="70">
      <c r="B70" s="90">
        <f>IF(CALC!$D$65="","",CALC!$E$65)</f>
        <v/>
      </c>
      <c r="C70" s="90">
        <f>CALC!$D$65</f>
        <v/>
      </c>
      <c r="D70" s="90">
        <f>IF(CALC!$D$65="","",CALC!$F$65)</f>
        <v/>
      </c>
      <c r="E70" s="91">
        <f>IF(CALC!$D$65="","",IF(ROUND(CALC!$AD$65,2)&gt;0,CALC!$AD$65,0))</f>
        <v/>
      </c>
      <c r="F70" s="91">
        <f>IF(CALC!$D$65="","",IF(ROUND(CALC!$AD$65,2)&lt;0,-CALC!$AD$65,0))</f>
        <v/>
      </c>
      <c r="G70" s="91">
        <f>IF(CALC!$D$65="","",CALC!$AD$65)</f>
        <v/>
      </c>
    </row>
    <row r="71">
      <c r="B71" s="90">
        <f>IF(CALC!$D$66="","",CALC!$E$66)</f>
        <v/>
      </c>
      <c r="C71" s="90">
        <f>CALC!$D$66</f>
        <v/>
      </c>
      <c r="D71" s="90">
        <f>IF(CALC!$D$66="","",CALC!$F$66)</f>
        <v/>
      </c>
      <c r="E71" s="91">
        <f>IF(CALC!$D$66="","",IF(ROUND(CALC!$AD$66,2)&gt;0,CALC!$AD$66,0))</f>
        <v/>
      </c>
      <c r="F71" s="91">
        <f>IF(CALC!$D$66="","",IF(ROUND(CALC!$AD$66,2)&lt;0,-CALC!$AD$66,0))</f>
        <v/>
      </c>
      <c r="G71" s="91">
        <f>IF(CALC!$D$66="","",CALC!$AD$66)</f>
        <v/>
      </c>
    </row>
    <row r="72">
      <c r="B72" s="90">
        <f>IF(CALC!$D$67="","",CALC!$E$67)</f>
        <v/>
      </c>
      <c r="C72" s="90">
        <f>CALC!$D$67</f>
        <v/>
      </c>
      <c r="D72" s="90">
        <f>IF(CALC!$D$67="","",CALC!$F$67)</f>
        <v/>
      </c>
      <c r="E72" s="91">
        <f>IF(CALC!$D$67="","",IF(ROUND(CALC!$AD$67,2)&gt;0,CALC!$AD$67,0))</f>
        <v/>
      </c>
      <c r="F72" s="91">
        <f>IF(CALC!$D$67="","",IF(ROUND(CALC!$AD$67,2)&lt;0,-CALC!$AD$67,0))</f>
        <v/>
      </c>
      <c r="G72" s="91">
        <f>IF(CALC!$D$67="","",CALC!$AD$67)</f>
        <v/>
      </c>
    </row>
    <row r="73">
      <c r="B73" s="90">
        <f>IF(CALC!$D$68="","",CALC!$E$68)</f>
        <v/>
      </c>
      <c r="C73" s="90">
        <f>CALC!$D$68</f>
        <v/>
      </c>
      <c r="D73" s="90">
        <f>IF(CALC!$D$68="","",CALC!$F$68)</f>
        <v/>
      </c>
      <c r="E73" s="91">
        <f>IF(CALC!$D$68="","",IF(ROUND(CALC!$AD$68,2)&gt;0,CALC!$AD$68,0))</f>
        <v/>
      </c>
      <c r="F73" s="91">
        <f>IF(CALC!$D$68="","",IF(ROUND(CALC!$AD$68,2)&lt;0,-CALC!$AD$68,0))</f>
        <v/>
      </c>
      <c r="G73" s="91">
        <f>IF(CALC!$D$68="","",CALC!$AD$68)</f>
        <v/>
      </c>
    </row>
    <row r="74">
      <c r="B74" s="90">
        <f>IF(CALC!$D$69="","",CALC!$E$69)</f>
        <v/>
      </c>
      <c r="C74" s="90">
        <f>CALC!$D$69</f>
        <v/>
      </c>
      <c r="D74" s="90">
        <f>IF(CALC!$D$69="","",CALC!$F$69)</f>
        <v/>
      </c>
      <c r="E74" s="91">
        <f>IF(CALC!$D$69="","",IF(ROUND(CALC!$AD$69,2)&gt;0,CALC!$AD$69,0))</f>
        <v/>
      </c>
      <c r="F74" s="91">
        <f>IF(CALC!$D$69="","",IF(ROUND(CALC!$AD$69,2)&lt;0,-CALC!$AD$69,0))</f>
        <v/>
      </c>
      <c r="G74" s="91">
        <f>IF(CALC!$D$69="","",CALC!$AD$69)</f>
        <v/>
      </c>
    </row>
    <row r="75">
      <c r="B75" s="90">
        <f>IF(CALC!$D$70="","",CALC!$E$70)</f>
        <v/>
      </c>
      <c r="C75" s="90">
        <f>CALC!$D$70</f>
        <v/>
      </c>
      <c r="D75" s="90">
        <f>IF(CALC!$D$70="","",CALC!$F$70)</f>
        <v/>
      </c>
      <c r="E75" s="91">
        <f>IF(CALC!$D$70="","",IF(ROUND(CALC!$AD$70,2)&gt;0,CALC!$AD$70,0))</f>
        <v/>
      </c>
      <c r="F75" s="91">
        <f>IF(CALC!$D$70="","",IF(ROUND(CALC!$AD$70,2)&lt;0,-CALC!$AD$70,0))</f>
        <v/>
      </c>
      <c r="G75" s="91">
        <f>IF(CALC!$D$70="","",CALC!$AD$70)</f>
        <v/>
      </c>
    </row>
    <row r="76">
      <c r="B76" s="90">
        <f>IF(CALC!$D$71="","",CALC!$E$71)</f>
        <v/>
      </c>
      <c r="C76" s="90">
        <f>CALC!$D$71</f>
        <v/>
      </c>
      <c r="D76" s="90">
        <f>IF(CALC!$D$71="","",CALC!$F$71)</f>
        <v/>
      </c>
      <c r="E76" s="91">
        <f>IF(CALC!$D$71="","",IF(ROUND(CALC!$AD$71,2)&gt;0,CALC!$AD$71,0))</f>
        <v/>
      </c>
      <c r="F76" s="91">
        <f>IF(CALC!$D$71="","",IF(ROUND(CALC!$AD$71,2)&lt;0,-CALC!$AD$71,0))</f>
        <v/>
      </c>
      <c r="G76" s="91">
        <f>IF(CALC!$D$71="","",CALC!$AD$71)</f>
        <v/>
      </c>
    </row>
    <row r="77">
      <c r="B77" s="90">
        <f>IF(CALC!$D$72="","",CALC!$E$72)</f>
        <v/>
      </c>
      <c r="C77" s="90">
        <f>CALC!$D$72</f>
        <v/>
      </c>
      <c r="D77" s="90">
        <f>IF(CALC!$D$72="","",CALC!$F$72)</f>
        <v/>
      </c>
      <c r="E77" s="91">
        <f>IF(CALC!$D$72="","",IF(ROUND(CALC!$AD$72,2)&gt;0,CALC!$AD$72,0))</f>
        <v/>
      </c>
      <c r="F77" s="91">
        <f>IF(CALC!$D$72="","",IF(ROUND(CALC!$AD$72,2)&lt;0,-CALC!$AD$72,0))</f>
        <v/>
      </c>
      <c r="G77" s="91">
        <f>IF(CALC!$D$72="","",CALC!$AD$72)</f>
        <v/>
      </c>
    </row>
    <row r="78">
      <c r="B78" s="90">
        <f>IF(CALC!$D$73="","",CALC!$E$73)</f>
        <v/>
      </c>
      <c r="C78" s="90">
        <f>CALC!$D$73</f>
        <v/>
      </c>
      <c r="D78" s="90">
        <f>IF(CALC!$D$73="","",CALC!$F$73)</f>
        <v/>
      </c>
      <c r="E78" s="91">
        <f>IF(CALC!$D$73="","",IF(ROUND(CALC!$AD$73,2)&gt;0,CALC!$AD$73,0))</f>
        <v/>
      </c>
      <c r="F78" s="91">
        <f>IF(CALC!$D$73="","",IF(ROUND(CALC!$AD$73,2)&lt;0,-CALC!$AD$73,0))</f>
        <v/>
      </c>
      <c r="G78" s="91">
        <f>IF(CALC!$D$73="","",CALC!$AD$73)</f>
        <v/>
      </c>
    </row>
    <row r="79">
      <c r="B79" s="90">
        <f>IF(CALC!$D$74="","",CALC!$E$74)</f>
        <v/>
      </c>
      <c r="C79" s="90">
        <f>CALC!$D$74</f>
        <v/>
      </c>
      <c r="D79" s="90">
        <f>IF(CALC!$D$74="","",CALC!$F$74)</f>
        <v/>
      </c>
      <c r="E79" s="91">
        <f>IF(CALC!$D$74="","",IF(ROUND(CALC!$AD$74,2)&gt;0,CALC!$AD$74,0))</f>
        <v/>
      </c>
      <c r="F79" s="91">
        <f>IF(CALC!$D$74="","",IF(ROUND(CALC!$AD$74,2)&lt;0,-CALC!$AD$74,0))</f>
        <v/>
      </c>
      <c r="G79" s="91">
        <f>IF(CALC!$D$74="","",CALC!$AD$74)</f>
        <v/>
      </c>
    </row>
    <row r="80">
      <c r="B80" s="90">
        <f>IF(CALC!$D$75="","",CALC!$E$75)</f>
        <v/>
      </c>
      <c r="C80" s="90">
        <f>CALC!$D$75</f>
        <v/>
      </c>
      <c r="D80" s="90">
        <f>IF(CALC!$D$75="","",CALC!$F$75)</f>
        <v/>
      </c>
      <c r="E80" s="91">
        <f>IF(CALC!$D$75="","",IF(ROUND(CALC!$AD$75,2)&gt;0,CALC!$AD$75,0))</f>
        <v/>
      </c>
      <c r="F80" s="91">
        <f>IF(CALC!$D$75="","",IF(ROUND(CALC!$AD$75,2)&lt;0,-CALC!$AD$75,0))</f>
        <v/>
      </c>
      <c r="G80" s="91">
        <f>IF(CALC!$D$75="","",CALC!$AD$75)</f>
        <v/>
      </c>
    </row>
    <row r="81">
      <c r="B81" s="90">
        <f>IF(CALC!$D$76="","",CALC!$E$76)</f>
        <v/>
      </c>
      <c r="C81" s="90">
        <f>CALC!$D$76</f>
        <v/>
      </c>
      <c r="D81" s="90">
        <f>IF(CALC!$D$76="","",CALC!$F$76)</f>
        <v/>
      </c>
      <c r="E81" s="91">
        <f>IF(CALC!$D$76="","",IF(ROUND(CALC!$AD$76,2)&gt;0,CALC!$AD$76,0))</f>
        <v/>
      </c>
      <c r="F81" s="91">
        <f>IF(CALC!$D$76="","",IF(ROUND(CALC!$AD$76,2)&lt;0,-CALC!$AD$76,0))</f>
        <v/>
      </c>
      <c r="G81" s="91">
        <f>IF(CALC!$D$76="","",CALC!$AD$76)</f>
        <v/>
      </c>
    </row>
    <row r="82">
      <c r="B82" s="90">
        <f>IF(CALC!$D$77="","",CALC!$E$77)</f>
        <v/>
      </c>
      <c r="C82" s="90">
        <f>CALC!$D$77</f>
        <v/>
      </c>
      <c r="D82" s="90">
        <f>IF(CALC!$D$77="","",CALC!$F$77)</f>
        <v/>
      </c>
      <c r="E82" s="91">
        <f>IF(CALC!$D$77="","",IF(ROUND(CALC!$AD$77,2)&gt;0,CALC!$AD$77,0))</f>
        <v/>
      </c>
      <c r="F82" s="91">
        <f>IF(CALC!$D$77="","",IF(ROUND(CALC!$AD$77,2)&lt;0,-CALC!$AD$77,0))</f>
        <v/>
      </c>
      <c r="G82" s="91">
        <f>IF(CALC!$D$77="","",CALC!$AD$77)</f>
        <v/>
      </c>
    </row>
    <row r="83">
      <c r="B83" s="90">
        <f>IF(CALC!$D$78="","",CALC!$E$78)</f>
        <v/>
      </c>
      <c r="C83" s="90">
        <f>CALC!$D$78</f>
        <v/>
      </c>
      <c r="D83" s="90">
        <f>IF(CALC!$D$78="","",CALC!$F$78)</f>
        <v/>
      </c>
      <c r="E83" s="91">
        <f>IF(CALC!$D$78="","",IF(ROUND(CALC!$AD$78,2)&gt;0,CALC!$AD$78,0))</f>
        <v/>
      </c>
      <c r="F83" s="91">
        <f>IF(CALC!$D$78="","",IF(ROUND(CALC!$AD$78,2)&lt;0,-CALC!$AD$78,0))</f>
        <v/>
      </c>
      <c r="G83" s="91">
        <f>IF(CALC!$D$78="","",CALC!$AD$78)</f>
        <v/>
      </c>
    </row>
    <row r="84">
      <c r="B84" s="90">
        <f>IF(CALC!$D$79="","",CALC!$E$79)</f>
        <v/>
      </c>
      <c r="C84" s="90">
        <f>CALC!$D$79</f>
        <v/>
      </c>
      <c r="D84" s="90">
        <f>IF(CALC!$D$79="","",CALC!$F$79)</f>
        <v/>
      </c>
      <c r="E84" s="91">
        <f>IF(CALC!$D$79="","",IF(ROUND(CALC!$AD$79,2)&gt;0,CALC!$AD$79,0))</f>
        <v/>
      </c>
      <c r="F84" s="91">
        <f>IF(CALC!$D$79="","",IF(ROUND(CALC!$AD$79,2)&lt;0,-CALC!$AD$79,0))</f>
        <v/>
      </c>
      <c r="G84" s="91">
        <f>IF(CALC!$D$79="","",CALC!$AD$79)</f>
        <v/>
      </c>
    </row>
    <row r="85">
      <c r="B85" s="90">
        <f>IF(CALC!$D$80="","",CALC!$E$80)</f>
        <v/>
      </c>
      <c r="C85" s="90">
        <f>CALC!$D$80</f>
        <v/>
      </c>
      <c r="D85" s="90">
        <f>IF(CALC!$D$80="","",CALC!$F$80)</f>
        <v/>
      </c>
      <c r="E85" s="91">
        <f>IF(CALC!$D$80="","",IF(ROUND(CALC!$AD$80,2)&gt;0,CALC!$AD$80,0))</f>
        <v/>
      </c>
      <c r="F85" s="91">
        <f>IF(CALC!$D$80="","",IF(ROUND(CALC!$AD$80,2)&lt;0,-CALC!$AD$80,0))</f>
        <v/>
      </c>
      <c r="G85" s="91">
        <f>IF(CALC!$D$80="","",CALC!$AD$80)</f>
        <v/>
      </c>
    </row>
    <row r="86">
      <c r="B86" s="90">
        <f>IF(CALC!$D$81="","",CALC!$E$81)</f>
        <v/>
      </c>
      <c r="C86" s="90">
        <f>CALC!$D$81</f>
        <v/>
      </c>
      <c r="D86" s="90">
        <f>IF(CALC!$D$81="","",CALC!$F$81)</f>
        <v/>
      </c>
      <c r="E86" s="91">
        <f>IF(CALC!$D$81="","",IF(ROUND(CALC!$AD$81,2)&gt;0,CALC!$AD$81,0))</f>
        <v/>
      </c>
      <c r="F86" s="91">
        <f>IF(CALC!$D$81="","",IF(ROUND(CALC!$AD$81,2)&lt;0,-CALC!$AD$81,0))</f>
        <v/>
      </c>
      <c r="G86" s="91">
        <f>IF(CALC!$D$81="","",CALC!$AD$81)</f>
        <v/>
      </c>
    </row>
    <row r="87">
      <c r="B87" s="90">
        <f>IF(CALC!$D$82="","",CALC!$E$82)</f>
        <v/>
      </c>
      <c r="C87" s="90">
        <f>CALC!$D$82</f>
        <v/>
      </c>
      <c r="D87" s="90">
        <f>IF(CALC!$D$82="","",CALC!$F$82)</f>
        <v/>
      </c>
      <c r="E87" s="91">
        <f>IF(CALC!$D$82="","",IF(ROUND(CALC!$AD$82,2)&gt;0,CALC!$AD$82,0))</f>
        <v/>
      </c>
      <c r="F87" s="91">
        <f>IF(CALC!$D$82="","",IF(ROUND(CALC!$AD$82,2)&lt;0,-CALC!$AD$82,0))</f>
        <v/>
      </c>
      <c r="G87" s="91">
        <f>IF(CALC!$D$82="","",CALC!$AD$82)</f>
        <v/>
      </c>
    </row>
    <row r="88">
      <c r="B88" s="90">
        <f>IF(CALC!$D$83="","",CALC!$E$83)</f>
        <v/>
      </c>
      <c r="C88" s="90">
        <f>CALC!$D$83</f>
        <v/>
      </c>
      <c r="D88" s="90">
        <f>IF(CALC!$D$83="","",CALC!$F$83)</f>
        <v/>
      </c>
      <c r="E88" s="91">
        <f>IF(CALC!$D$83="","",IF(ROUND(CALC!$AD$83,2)&gt;0,CALC!$AD$83,0))</f>
        <v/>
      </c>
      <c r="F88" s="91">
        <f>IF(CALC!$D$83="","",IF(ROUND(CALC!$AD$83,2)&lt;0,-CALC!$AD$83,0))</f>
        <v/>
      </c>
      <c r="G88" s="91">
        <f>IF(CALC!$D$83="","",CALC!$AD$83)</f>
        <v/>
      </c>
    </row>
    <row r="89">
      <c r="B89" s="90">
        <f>IF(CALC!$D$84="","",CALC!$E$84)</f>
        <v/>
      </c>
      <c r="C89" s="90">
        <f>CALC!$D$84</f>
        <v/>
      </c>
      <c r="D89" s="90">
        <f>IF(CALC!$D$84="","",CALC!$F$84)</f>
        <v/>
      </c>
      <c r="E89" s="91">
        <f>IF(CALC!$D$84="","",IF(ROUND(CALC!$AD$84,2)&gt;0,CALC!$AD$84,0))</f>
        <v/>
      </c>
      <c r="F89" s="91">
        <f>IF(CALC!$D$84="","",IF(ROUND(CALC!$AD$84,2)&lt;0,-CALC!$AD$84,0))</f>
        <v/>
      </c>
      <c r="G89" s="91">
        <f>IF(CALC!$D$84="","",CALC!$AD$84)</f>
        <v/>
      </c>
    </row>
    <row r="90">
      <c r="B90" s="90">
        <f>IF(CALC!$D$85="","",CALC!$E$85)</f>
        <v/>
      </c>
      <c r="C90" s="90">
        <f>CALC!$D$85</f>
        <v/>
      </c>
      <c r="D90" s="90">
        <f>IF(CALC!$D$85="","",CALC!$F$85)</f>
        <v/>
      </c>
      <c r="E90" s="91">
        <f>IF(CALC!$D$85="","",IF(ROUND(CALC!$AD$85,2)&gt;0,CALC!$AD$85,0))</f>
        <v/>
      </c>
      <c r="F90" s="91">
        <f>IF(CALC!$D$85="","",IF(ROUND(CALC!$AD$85,2)&lt;0,-CALC!$AD$85,0))</f>
        <v/>
      </c>
      <c r="G90" s="91">
        <f>IF(CALC!$D$85="","",CALC!$AD$85)</f>
        <v/>
      </c>
    </row>
    <row r="91">
      <c r="B91" s="90">
        <f>IF(CALC!$D$86="","",CALC!$E$86)</f>
        <v/>
      </c>
      <c r="C91" s="90">
        <f>CALC!$D$86</f>
        <v/>
      </c>
      <c r="D91" s="90">
        <f>IF(CALC!$D$86="","",CALC!$F$86)</f>
        <v/>
      </c>
      <c r="E91" s="91">
        <f>IF(CALC!$D$86="","",IF(ROUND(CALC!$AD$86,2)&gt;0,CALC!$AD$86,0))</f>
        <v/>
      </c>
      <c r="F91" s="91">
        <f>IF(CALC!$D$86="","",IF(ROUND(CALC!$AD$86,2)&lt;0,-CALC!$AD$86,0))</f>
        <v/>
      </c>
      <c r="G91" s="91">
        <f>IF(CALC!$D$86="","",CALC!$AD$86)</f>
        <v/>
      </c>
    </row>
    <row r="92">
      <c r="B92" s="90">
        <f>IF(CALC!$D$87="","",CALC!$E$87)</f>
        <v/>
      </c>
      <c r="C92" s="90">
        <f>CALC!$D$87</f>
        <v/>
      </c>
      <c r="D92" s="90">
        <f>IF(CALC!$D$87="","",CALC!$F$87)</f>
        <v/>
      </c>
      <c r="E92" s="91">
        <f>IF(CALC!$D$87="","",IF(ROUND(CALC!$AD$87,2)&gt;0,CALC!$AD$87,0))</f>
        <v/>
      </c>
      <c r="F92" s="91">
        <f>IF(CALC!$D$87="","",IF(ROUND(CALC!$AD$87,2)&lt;0,-CALC!$AD$87,0))</f>
        <v/>
      </c>
      <c r="G92" s="91">
        <f>IF(CALC!$D$87="","",CALC!$AD$87)</f>
        <v/>
      </c>
    </row>
    <row r="93">
      <c r="B93" s="90">
        <f>IF(CALC!$D$88="","",CALC!$E$88)</f>
        <v/>
      </c>
      <c r="C93" s="90">
        <f>CALC!$D$88</f>
        <v/>
      </c>
      <c r="D93" s="90">
        <f>IF(CALC!$D$88="","",CALC!$F$88)</f>
        <v/>
      </c>
      <c r="E93" s="91">
        <f>IF(CALC!$D$88="","",IF(ROUND(CALC!$AD$88,2)&gt;0,CALC!$AD$88,0))</f>
        <v/>
      </c>
      <c r="F93" s="91">
        <f>IF(CALC!$D$88="","",IF(ROUND(CALC!$AD$88,2)&lt;0,-CALC!$AD$88,0))</f>
        <v/>
      </c>
      <c r="G93" s="91">
        <f>IF(CALC!$D$88="","",CALC!$AD$88)</f>
        <v/>
      </c>
    </row>
    <row r="94">
      <c r="B94" s="90">
        <f>IF(CALC!$D$89="","",CALC!$E$89)</f>
        <v/>
      </c>
      <c r="C94" s="90">
        <f>CALC!$D$89</f>
        <v/>
      </c>
      <c r="D94" s="90">
        <f>IF(CALC!$D$89="","",CALC!$F$89)</f>
        <v/>
      </c>
      <c r="E94" s="91">
        <f>IF(CALC!$D$89="","",IF(ROUND(CALC!$AD$89,2)&gt;0,CALC!$AD$89,0))</f>
        <v/>
      </c>
      <c r="F94" s="91">
        <f>IF(CALC!$D$89="","",IF(ROUND(CALC!$AD$89,2)&lt;0,-CALC!$AD$89,0))</f>
        <v/>
      </c>
      <c r="G94" s="91">
        <f>IF(CALC!$D$89="","",CALC!$AD$89)</f>
        <v/>
      </c>
    </row>
    <row r="95">
      <c r="B95" s="90">
        <f>IF(CALC!$D$90="","",CALC!$E$90)</f>
        <v/>
      </c>
      <c r="C95" s="90">
        <f>CALC!$D$90</f>
        <v/>
      </c>
      <c r="D95" s="90">
        <f>IF(CALC!$D$90="","",CALC!$F$90)</f>
        <v/>
      </c>
      <c r="E95" s="91">
        <f>IF(CALC!$D$90="","",IF(ROUND(CALC!$AD$90,2)&gt;0,CALC!$AD$90,0))</f>
        <v/>
      </c>
      <c r="F95" s="91">
        <f>IF(CALC!$D$90="","",IF(ROUND(CALC!$AD$90,2)&lt;0,-CALC!$AD$90,0))</f>
        <v/>
      </c>
      <c r="G95" s="91">
        <f>IF(CALC!$D$90="","",CALC!$AD$90)</f>
        <v/>
      </c>
    </row>
    <row r="96">
      <c r="B96" s="90">
        <f>IF(CALC!$D$91="","",CALC!$E$91)</f>
        <v/>
      </c>
      <c r="C96" s="90">
        <f>CALC!$D$91</f>
        <v/>
      </c>
      <c r="D96" s="90">
        <f>IF(CALC!$D$91="","",CALC!$F$91)</f>
        <v/>
      </c>
      <c r="E96" s="91">
        <f>IF(CALC!$D$91="","",IF(ROUND(CALC!$AD$91,2)&gt;0,CALC!$AD$91,0))</f>
        <v/>
      </c>
      <c r="F96" s="91">
        <f>IF(CALC!$D$91="","",IF(ROUND(CALC!$AD$91,2)&lt;0,-CALC!$AD$91,0))</f>
        <v/>
      </c>
      <c r="G96" s="91">
        <f>IF(CALC!$D$91="","",CALC!$AD$91)</f>
        <v/>
      </c>
    </row>
    <row r="97">
      <c r="B97" s="90">
        <f>IF(CALC!$D$92="","",CALC!$E$92)</f>
        <v/>
      </c>
      <c r="C97" s="90">
        <f>CALC!$D$92</f>
        <v/>
      </c>
      <c r="D97" s="90">
        <f>IF(CALC!$D$92="","",CALC!$F$92)</f>
        <v/>
      </c>
      <c r="E97" s="91">
        <f>IF(CALC!$D$92="","",IF(ROUND(CALC!$AD$92,2)&gt;0,CALC!$AD$92,0))</f>
        <v/>
      </c>
      <c r="F97" s="91">
        <f>IF(CALC!$D$92="","",IF(ROUND(CALC!$AD$92,2)&lt;0,-CALC!$AD$92,0))</f>
        <v/>
      </c>
      <c r="G97" s="91">
        <f>IF(CALC!$D$92="","",CALC!$AD$92)</f>
        <v/>
      </c>
    </row>
    <row r="98">
      <c r="B98" s="90">
        <f>IF(CALC!$D$93="","",CALC!$E$93)</f>
        <v/>
      </c>
      <c r="C98" s="90">
        <f>CALC!$D$93</f>
        <v/>
      </c>
      <c r="D98" s="90">
        <f>IF(CALC!$D$93="","",CALC!$F$93)</f>
        <v/>
      </c>
      <c r="E98" s="91">
        <f>IF(CALC!$D$93="","",IF(ROUND(CALC!$AD$93,2)&gt;0,CALC!$AD$93,0))</f>
        <v/>
      </c>
      <c r="F98" s="91">
        <f>IF(CALC!$D$93="","",IF(ROUND(CALC!$AD$93,2)&lt;0,-CALC!$AD$93,0))</f>
        <v/>
      </c>
      <c r="G98" s="91">
        <f>IF(CALC!$D$93="","",CALC!$AD$93)</f>
        <v/>
      </c>
    </row>
    <row r="99">
      <c r="B99" s="90">
        <f>IF(CALC!$D$94="","",CALC!$E$94)</f>
        <v/>
      </c>
      <c r="C99" s="90">
        <f>CALC!$D$94</f>
        <v/>
      </c>
      <c r="D99" s="90">
        <f>IF(CALC!$D$94="","",CALC!$F$94)</f>
        <v/>
      </c>
      <c r="E99" s="91">
        <f>IF(CALC!$D$94="","",IF(ROUND(CALC!$AD$94,2)&gt;0,CALC!$AD$94,0))</f>
        <v/>
      </c>
      <c r="F99" s="91">
        <f>IF(CALC!$D$94="","",IF(ROUND(CALC!$AD$94,2)&lt;0,-CALC!$AD$94,0))</f>
        <v/>
      </c>
      <c r="G99" s="91">
        <f>IF(CALC!$D$94="","",CALC!$AD$94)</f>
        <v/>
      </c>
    </row>
    <row r="100">
      <c r="B100" s="90">
        <f>IF(CALC!$D$95="","",CALC!$E$95)</f>
        <v/>
      </c>
      <c r="C100" s="90">
        <f>CALC!$D$95</f>
        <v/>
      </c>
      <c r="D100" s="90">
        <f>IF(CALC!$D$95="","",CALC!$F$95)</f>
        <v/>
      </c>
      <c r="E100" s="91">
        <f>IF(CALC!$D$95="","",IF(ROUND(CALC!$AD$95,2)&gt;0,CALC!$AD$95,0))</f>
        <v/>
      </c>
      <c r="F100" s="91">
        <f>IF(CALC!$D$95="","",IF(ROUND(CALC!$AD$95,2)&lt;0,-CALC!$AD$95,0))</f>
        <v/>
      </c>
      <c r="G100" s="91">
        <f>IF(CALC!$D$95="","",CALC!$AD$95)</f>
        <v/>
      </c>
    </row>
    <row r="101">
      <c r="B101" s="90">
        <f>IF(CALC!$D$96="","",CALC!$E$96)</f>
        <v/>
      </c>
      <c r="C101" s="90">
        <f>CALC!$D$96</f>
        <v/>
      </c>
      <c r="D101" s="90">
        <f>IF(CALC!$D$96="","",CALC!$F$96)</f>
        <v/>
      </c>
      <c r="E101" s="91">
        <f>IF(CALC!$D$96="","",IF(ROUND(CALC!$AD$96,2)&gt;0,CALC!$AD$96,0))</f>
        <v/>
      </c>
      <c r="F101" s="91">
        <f>IF(CALC!$D$96="","",IF(ROUND(CALC!$AD$96,2)&lt;0,-CALC!$AD$96,0))</f>
        <v/>
      </c>
      <c r="G101" s="91">
        <f>IF(CALC!$D$96="","",CALC!$AD$96)</f>
        <v/>
      </c>
    </row>
    <row r="102">
      <c r="B102" s="90">
        <f>IF(CALC!$D$97="","",CALC!$E$97)</f>
        <v/>
      </c>
      <c r="C102" s="90">
        <f>CALC!$D$97</f>
        <v/>
      </c>
      <c r="D102" s="90">
        <f>IF(CALC!$D$97="","",CALC!$F$97)</f>
        <v/>
      </c>
      <c r="E102" s="91">
        <f>IF(CALC!$D$97="","",IF(ROUND(CALC!$AD$97,2)&gt;0,CALC!$AD$97,0))</f>
        <v/>
      </c>
      <c r="F102" s="91">
        <f>IF(CALC!$D$97="","",IF(ROUND(CALC!$AD$97,2)&lt;0,-CALC!$AD$97,0))</f>
        <v/>
      </c>
      <c r="G102" s="91">
        <f>IF(CALC!$D$97="","",CALC!$AD$97)</f>
        <v/>
      </c>
    </row>
    <row r="103">
      <c r="B103" s="90">
        <f>IF(CALC!$D$98="","",CALC!$E$98)</f>
        <v/>
      </c>
      <c r="C103" s="90">
        <f>CALC!$D$98</f>
        <v/>
      </c>
      <c r="D103" s="90">
        <f>IF(CALC!$D$98="","",CALC!$F$98)</f>
        <v/>
      </c>
      <c r="E103" s="91">
        <f>IF(CALC!$D$98="","",IF(ROUND(CALC!$AD$98,2)&gt;0,CALC!$AD$98,0))</f>
        <v/>
      </c>
      <c r="F103" s="91">
        <f>IF(CALC!$D$98="","",IF(ROUND(CALC!$AD$98,2)&lt;0,-CALC!$AD$98,0))</f>
        <v/>
      </c>
      <c r="G103" s="91">
        <f>IF(CALC!$D$98="","",CALC!$AD$98)</f>
        <v/>
      </c>
    </row>
    <row r="104">
      <c r="B104" s="90">
        <f>IF(CALC!$D$99="","",CALC!$E$99)</f>
        <v/>
      </c>
      <c r="C104" s="90">
        <f>CALC!$D$99</f>
        <v/>
      </c>
      <c r="D104" s="90">
        <f>IF(CALC!$D$99="","",CALC!$F$99)</f>
        <v/>
      </c>
      <c r="E104" s="91">
        <f>IF(CALC!$D$99="","",IF(ROUND(CALC!$AD$99,2)&gt;0,CALC!$AD$99,0))</f>
        <v/>
      </c>
      <c r="F104" s="91">
        <f>IF(CALC!$D$99="","",IF(ROUND(CALC!$AD$99,2)&lt;0,-CALC!$AD$99,0))</f>
        <v/>
      </c>
      <c r="G104" s="91">
        <f>IF(CALC!$D$99="","",CALC!$AD$99)</f>
        <v/>
      </c>
    </row>
    <row r="105">
      <c r="B105" s="90">
        <f>IF(CALC!$D$100="","",CALC!$E$100)</f>
        <v/>
      </c>
      <c r="C105" s="90">
        <f>CALC!$D$100</f>
        <v/>
      </c>
      <c r="D105" s="90">
        <f>IF(CALC!$D$100="","",CALC!$F$100)</f>
        <v/>
      </c>
      <c r="E105" s="91">
        <f>IF(CALC!$D$100="","",IF(ROUND(CALC!$AD$100,2)&gt;0,CALC!$AD$100,0))</f>
        <v/>
      </c>
      <c r="F105" s="91">
        <f>IF(CALC!$D$100="","",IF(ROUND(CALC!$AD$100,2)&lt;0,-CALC!$AD$100,0))</f>
        <v/>
      </c>
      <c r="G105" s="91">
        <f>IF(CALC!$D$100="","",CALC!$AD$100)</f>
        <v/>
      </c>
    </row>
    <row r="106">
      <c r="B106" s="90">
        <f>IF(CALC!$D$101="","",CALC!$E$101)</f>
        <v/>
      </c>
      <c r="C106" s="90">
        <f>CALC!$D$101</f>
        <v/>
      </c>
      <c r="D106" s="90">
        <f>IF(CALC!$D$101="","",CALC!$F$101)</f>
        <v/>
      </c>
      <c r="E106" s="91">
        <f>IF(CALC!$D$101="","",IF(ROUND(CALC!$AD$101,2)&gt;0,CALC!$AD$101,0))</f>
        <v/>
      </c>
      <c r="F106" s="91">
        <f>IF(CALC!$D$101="","",IF(ROUND(CALC!$AD$101,2)&lt;0,-CALC!$AD$101,0))</f>
        <v/>
      </c>
      <c r="G106" s="91">
        <f>IF(CALC!$D$101="","",CALC!$AD$101)</f>
        <v/>
      </c>
    </row>
    <row r="107">
      <c r="B107" s="90">
        <f>IF(CALC!$D$102="","",CALC!$E$102)</f>
        <v/>
      </c>
      <c r="C107" s="90">
        <f>CALC!$D$102</f>
        <v/>
      </c>
      <c r="D107" s="90">
        <f>IF(CALC!$D$102="","",CALC!$F$102)</f>
        <v/>
      </c>
      <c r="E107" s="91">
        <f>IF(CALC!$D$102="","",IF(ROUND(CALC!$AD$102,2)&gt;0,CALC!$AD$102,0))</f>
        <v/>
      </c>
      <c r="F107" s="91">
        <f>IF(CALC!$D$102="","",IF(ROUND(CALC!$AD$102,2)&lt;0,-CALC!$AD$102,0))</f>
        <v/>
      </c>
      <c r="G107" s="91">
        <f>IF(CALC!$D$102="","",CALC!$AD$102)</f>
        <v/>
      </c>
    </row>
    <row r="108">
      <c r="B108" s="90">
        <f>IF(CALC!$D$103="","",CALC!$E$103)</f>
        <v/>
      </c>
      <c r="C108" s="90">
        <f>CALC!$D$103</f>
        <v/>
      </c>
      <c r="D108" s="90">
        <f>IF(CALC!$D$103="","",CALC!$F$103)</f>
        <v/>
      </c>
      <c r="E108" s="91">
        <f>IF(CALC!$D$103="","",IF(ROUND(CALC!$AD$103,2)&gt;0,CALC!$AD$103,0))</f>
        <v/>
      </c>
      <c r="F108" s="91">
        <f>IF(CALC!$D$103="","",IF(ROUND(CALC!$AD$103,2)&lt;0,-CALC!$AD$103,0))</f>
        <v/>
      </c>
      <c r="G108" s="91">
        <f>IF(CALC!$D$103="","",CALC!$AD$103)</f>
        <v/>
      </c>
    </row>
    <row r="109">
      <c r="B109" s="90">
        <f>IF(CALC!$D$104="","",CALC!$E$104)</f>
        <v/>
      </c>
      <c r="C109" s="90">
        <f>CALC!$D$104</f>
        <v/>
      </c>
      <c r="D109" s="90">
        <f>IF(CALC!$D$104="","",CALC!$F$104)</f>
        <v/>
      </c>
      <c r="E109" s="91">
        <f>IF(CALC!$D$104="","",IF(ROUND(CALC!$AD$104,2)&gt;0,CALC!$AD$104,0))</f>
        <v/>
      </c>
      <c r="F109" s="91">
        <f>IF(CALC!$D$104="","",IF(ROUND(CALC!$AD$104,2)&lt;0,-CALC!$AD$104,0))</f>
        <v/>
      </c>
      <c r="G109" s="91">
        <f>IF(CALC!$D$104="","",CALC!$AD$104)</f>
        <v/>
      </c>
    </row>
    <row r="110">
      <c r="B110" s="90">
        <f>IF(CALC!$D$105="","",CALC!$E$105)</f>
        <v/>
      </c>
      <c r="C110" s="90">
        <f>CALC!$D$105</f>
        <v/>
      </c>
      <c r="D110" s="90">
        <f>IF(CALC!$D$105="","",CALC!$F$105)</f>
        <v/>
      </c>
      <c r="E110" s="91">
        <f>IF(CALC!$D$105="","",IF(ROUND(CALC!$AD$105,2)&gt;0,CALC!$AD$105,0))</f>
        <v/>
      </c>
      <c r="F110" s="91">
        <f>IF(CALC!$D$105="","",IF(ROUND(CALC!$AD$105,2)&lt;0,-CALC!$AD$105,0))</f>
        <v/>
      </c>
      <c r="G110" s="91">
        <f>IF(CALC!$D$105="","",CALC!$AD$105)</f>
        <v/>
      </c>
    </row>
    <row r="111">
      <c r="B111" s="90">
        <f>IF(CALC!$D$106="","",CALC!$E$106)</f>
        <v/>
      </c>
      <c r="C111" s="90">
        <f>CALC!$D$106</f>
        <v/>
      </c>
      <c r="D111" s="90">
        <f>IF(CALC!$D$106="","",CALC!$F$106)</f>
        <v/>
      </c>
      <c r="E111" s="91">
        <f>IF(CALC!$D$106="","",IF(ROUND(CALC!$AD$106,2)&gt;0,CALC!$AD$106,0))</f>
        <v/>
      </c>
      <c r="F111" s="91">
        <f>IF(CALC!$D$106="","",IF(ROUND(CALC!$AD$106,2)&lt;0,-CALC!$AD$106,0))</f>
        <v/>
      </c>
      <c r="G111" s="91">
        <f>IF(CALC!$D$106="","",CALC!$AD$106)</f>
        <v/>
      </c>
    </row>
    <row r="112">
      <c r="B112" s="90">
        <f>IF(CALC!$D$107="","",CALC!$E$107)</f>
        <v/>
      </c>
      <c r="C112" s="90">
        <f>CALC!$D$107</f>
        <v/>
      </c>
      <c r="D112" s="90">
        <f>IF(CALC!$D$107="","",CALC!$F$107)</f>
        <v/>
      </c>
      <c r="E112" s="91">
        <f>IF(CALC!$D$107="","",IF(ROUND(CALC!$AD$107,2)&gt;0,CALC!$AD$107,0))</f>
        <v/>
      </c>
      <c r="F112" s="91">
        <f>IF(CALC!$D$107="","",IF(ROUND(CALC!$AD$107,2)&lt;0,-CALC!$AD$107,0))</f>
        <v/>
      </c>
      <c r="G112" s="91">
        <f>IF(CALC!$D$107="","",CALC!$AD$107)</f>
        <v/>
      </c>
    </row>
    <row r="113">
      <c r="B113" s="90">
        <f>IF(CALC!$D$108="","",CALC!$E$108)</f>
        <v/>
      </c>
      <c r="C113" s="90">
        <f>CALC!$D$108</f>
        <v/>
      </c>
      <c r="D113" s="90">
        <f>IF(CALC!$D$108="","",CALC!$F$108)</f>
        <v/>
      </c>
      <c r="E113" s="91">
        <f>IF(CALC!$D$108="","",IF(ROUND(CALC!$AD$108,2)&gt;0,CALC!$AD$108,0))</f>
        <v/>
      </c>
      <c r="F113" s="91">
        <f>IF(CALC!$D$108="","",IF(ROUND(CALC!$AD$108,2)&lt;0,-CALC!$AD$108,0))</f>
        <v/>
      </c>
      <c r="G113" s="91">
        <f>IF(CALC!$D$108="","",CALC!$AD$108)</f>
        <v/>
      </c>
    </row>
    <row r="114">
      <c r="B114" s="90">
        <f>IF(CALC!$D$109="","",CALC!$E$109)</f>
        <v/>
      </c>
      <c r="C114" s="90">
        <f>CALC!$D$109</f>
        <v/>
      </c>
      <c r="D114" s="90">
        <f>IF(CALC!$D$109="","",CALC!$F$109)</f>
        <v/>
      </c>
      <c r="E114" s="91">
        <f>IF(CALC!$D$109="","",IF(ROUND(CALC!$AD$109,2)&gt;0,CALC!$AD$109,0))</f>
        <v/>
      </c>
      <c r="F114" s="91">
        <f>IF(CALC!$D$109="","",IF(ROUND(CALC!$AD$109,2)&lt;0,-CALC!$AD$109,0))</f>
        <v/>
      </c>
      <c r="G114" s="91">
        <f>IF(CALC!$D$109="","",CALC!$AD$109)</f>
        <v/>
      </c>
    </row>
    <row r="115">
      <c r="B115" s="90">
        <f>IF(CALC!$D$110="","",CALC!$E$110)</f>
        <v/>
      </c>
      <c r="C115" s="90">
        <f>CALC!$D$110</f>
        <v/>
      </c>
      <c r="D115" s="90">
        <f>IF(CALC!$D$110="","",CALC!$F$110)</f>
        <v/>
      </c>
      <c r="E115" s="91">
        <f>IF(CALC!$D$110="","",IF(ROUND(CALC!$AD$110,2)&gt;0,CALC!$AD$110,0))</f>
        <v/>
      </c>
      <c r="F115" s="91">
        <f>IF(CALC!$D$110="","",IF(ROUND(CALC!$AD$110,2)&lt;0,-CALC!$AD$110,0))</f>
        <v/>
      </c>
      <c r="G115" s="91">
        <f>IF(CALC!$D$110="","",CALC!$AD$110)</f>
        <v/>
      </c>
    </row>
    <row r="116">
      <c r="B116" s="90">
        <f>IF(CALC!$D$111="","",CALC!$E$111)</f>
        <v/>
      </c>
      <c r="C116" s="90">
        <f>CALC!$D$111</f>
        <v/>
      </c>
      <c r="D116" s="90">
        <f>IF(CALC!$D$111="","",CALC!$F$111)</f>
        <v/>
      </c>
      <c r="E116" s="91">
        <f>IF(CALC!$D$111="","",IF(ROUND(CALC!$AD$111,2)&gt;0,CALC!$AD$111,0))</f>
        <v/>
      </c>
      <c r="F116" s="91">
        <f>IF(CALC!$D$111="","",IF(ROUND(CALC!$AD$111,2)&lt;0,-CALC!$AD$111,0))</f>
        <v/>
      </c>
      <c r="G116" s="91">
        <f>IF(CALC!$D$111="","",CALC!$AD$111)</f>
        <v/>
      </c>
    </row>
    <row r="117">
      <c r="B117" s="90">
        <f>IF(CALC!$D$112="","",CALC!$E$112)</f>
        <v/>
      </c>
      <c r="C117" s="90">
        <f>CALC!$D$112</f>
        <v/>
      </c>
      <c r="D117" s="90">
        <f>IF(CALC!$D$112="","",CALC!$F$112)</f>
        <v/>
      </c>
      <c r="E117" s="91">
        <f>IF(CALC!$D$112="","",IF(ROUND(CALC!$AD$112,2)&gt;0,CALC!$AD$112,0))</f>
        <v/>
      </c>
      <c r="F117" s="91">
        <f>IF(CALC!$D$112="","",IF(ROUND(CALC!$AD$112,2)&lt;0,-CALC!$AD$112,0))</f>
        <v/>
      </c>
      <c r="G117" s="91">
        <f>IF(CALC!$D$112="","",CALC!$AD$112)</f>
        <v/>
      </c>
    </row>
    <row r="118">
      <c r="B118" s="90">
        <f>IF(CALC!$D$113="","",CALC!$E$113)</f>
        <v/>
      </c>
      <c r="C118" s="90">
        <f>CALC!$D$113</f>
        <v/>
      </c>
      <c r="D118" s="90">
        <f>IF(CALC!$D$113="","",CALC!$F$113)</f>
        <v/>
      </c>
      <c r="E118" s="91">
        <f>IF(CALC!$D$113="","",IF(ROUND(CALC!$AD$113,2)&gt;0,CALC!$AD$113,0))</f>
        <v/>
      </c>
      <c r="F118" s="91">
        <f>IF(CALC!$D$113="","",IF(ROUND(CALC!$AD$113,2)&lt;0,-CALC!$AD$113,0))</f>
        <v/>
      </c>
      <c r="G118" s="91">
        <f>IF(CALC!$D$113="","",CALC!$AD$113)</f>
        <v/>
      </c>
    </row>
    <row r="119">
      <c r="B119" s="90">
        <f>IF(CALC!$D$114="","",CALC!$E$114)</f>
        <v/>
      </c>
      <c r="C119" s="90">
        <f>CALC!$D$114</f>
        <v/>
      </c>
      <c r="D119" s="90">
        <f>IF(CALC!$D$114="","",CALC!$F$114)</f>
        <v/>
      </c>
      <c r="E119" s="91">
        <f>IF(CALC!$D$114="","",IF(ROUND(CALC!$AD$114,2)&gt;0,CALC!$AD$114,0))</f>
        <v/>
      </c>
      <c r="F119" s="91">
        <f>IF(CALC!$D$114="","",IF(ROUND(CALC!$AD$114,2)&lt;0,-CALC!$AD$114,0))</f>
        <v/>
      </c>
      <c r="G119" s="91">
        <f>IF(CALC!$D$114="","",CALC!$AD$114)</f>
        <v/>
      </c>
    </row>
    <row r="120">
      <c r="B120" s="90">
        <f>IF(CALC!$D$115="","",CALC!$E$115)</f>
        <v/>
      </c>
      <c r="C120" s="90">
        <f>CALC!$D$115</f>
        <v/>
      </c>
      <c r="D120" s="90">
        <f>IF(CALC!$D$115="","",CALC!$F$115)</f>
        <v/>
      </c>
      <c r="E120" s="91">
        <f>IF(CALC!$D$115="","",IF(ROUND(CALC!$AD$115,2)&gt;0,CALC!$AD$115,0))</f>
        <v/>
      </c>
      <c r="F120" s="91">
        <f>IF(CALC!$D$115="","",IF(ROUND(CALC!$AD$115,2)&lt;0,-CALC!$AD$115,0))</f>
        <v/>
      </c>
      <c r="G120" s="91">
        <f>IF(CALC!$D$115="","",CALC!$AD$115)</f>
        <v/>
      </c>
    </row>
    <row r="121">
      <c r="B121" s="90">
        <f>IF(CALC!$D$116="","",CALC!$E$116)</f>
        <v/>
      </c>
      <c r="C121" s="90">
        <f>CALC!$D$116</f>
        <v/>
      </c>
      <c r="D121" s="90">
        <f>IF(CALC!$D$116="","",CALC!$F$116)</f>
        <v/>
      </c>
      <c r="E121" s="91">
        <f>IF(CALC!$D$116="","",IF(ROUND(CALC!$AD$116,2)&gt;0,CALC!$AD$116,0))</f>
        <v/>
      </c>
      <c r="F121" s="91">
        <f>IF(CALC!$D$116="","",IF(ROUND(CALC!$AD$116,2)&lt;0,-CALC!$AD$116,0))</f>
        <v/>
      </c>
      <c r="G121" s="91">
        <f>IF(CALC!$D$116="","",CALC!$AD$116)</f>
        <v/>
      </c>
    </row>
    <row r="122">
      <c r="B122" s="90">
        <f>IF(CALC!$D$117="","",CALC!$E$117)</f>
        <v/>
      </c>
      <c r="C122" s="90">
        <f>CALC!$D$117</f>
        <v/>
      </c>
      <c r="D122" s="90">
        <f>IF(CALC!$D$117="","",CALC!$F$117)</f>
        <v/>
      </c>
      <c r="E122" s="91">
        <f>IF(CALC!$D$117="","",IF(ROUND(CALC!$AD$117,2)&gt;0,CALC!$AD$117,0))</f>
        <v/>
      </c>
      <c r="F122" s="91">
        <f>IF(CALC!$D$117="","",IF(ROUND(CALC!$AD$117,2)&lt;0,-CALC!$AD$117,0))</f>
        <v/>
      </c>
      <c r="G122" s="91">
        <f>IF(CALC!$D$117="","",CALC!$AD$117)</f>
        <v/>
      </c>
    </row>
    <row r="123">
      <c r="B123" s="90">
        <f>IF(CALC!$D$118="","",CALC!$E$118)</f>
        <v/>
      </c>
      <c r="C123" s="90">
        <f>CALC!$D$118</f>
        <v/>
      </c>
      <c r="D123" s="90">
        <f>IF(CALC!$D$118="","",CALC!$F$118)</f>
        <v/>
      </c>
      <c r="E123" s="91">
        <f>IF(CALC!$D$118="","",IF(ROUND(CALC!$AD$118,2)&gt;0,CALC!$AD$118,0))</f>
        <v/>
      </c>
      <c r="F123" s="91">
        <f>IF(CALC!$D$118="","",IF(ROUND(CALC!$AD$118,2)&lt;0,-CALC!$AD$118,0))</f>
        <v/>
      </c>
      <c r="G123" s="91">
        <f>IF(CALC!$D$118="","",CALC!$AD$118)</f>
        <v/>
      </c>
    </row>
    <row r="124">
      <c r="B124" s="90">
        <f>IF(CALC!$D$119="","",CALC!$E$119)</f>
        <v/>
      </c>
      <c r="C124" s="90">
        <f>CALC!$D$119</f>
        <v/>
      </c>
      <c r="D124" s="90">
        <f>IF(CALC!$D$119="","",CALC!$F$119)</f>
        <v/>
      </c>
      <c r="E124" s="91">
        <f>IF(CALC!$D$119="","",IF(ROUND(CALC!$AD$119,2)&gt;0,CALC!$AD$119,0))</f>
        <v/>
      </c>
      <c r="F124" s="91">
        <f>IF(CALC!$D$119="","",IF(ROUND(CALC!$AD$119,2)&lt;0,-CALC!$AD$119,0))</f>
        <v/>
      </c>
      <c r="G124" s="91">
        <f>IF(CALC!$D$119="","",CALC!$AD$119)</f>
        <v/>
      </c>
    </row>
    <row r="125">
      <c r="B125" s="90">
        <f>IF(CALC!$D$120="","",CALC!$E$120)</f>
        <v/>
      </c>
      <c r="C125" s="90">
        <f>CALC!$D$120</f>
        <v/>
      </c>
      <c r="D125" s="90">
        <f>IF(CALC!$D$120="","",CALC!$F$120)</f>
        <v/>
      </c>
      <c r="E125" s="91">
        <f>IF(CALC!$D$120="","",IF(ROUND(CALC!$AD$120,2)&gt;0,CALC!$AD$120,0))</f>
        <v/>
      </c>
      <c r="F125" s="91">
        <f>IF(CALC!$D$120="","",IF(ROUND(CALC!$AD$120,2)&lt;0,-CALC!$AD$120,0))</f>
        <v/>
      </c>
      <c r="G125" s="91">
        <f>IF(CALC!$D$120="","",CALC!$AD$120)</f>
        <v/>
      </c>
    </row>
    <row r="126">
      <c r="B126" s="90">
        <f>IF(CALC!$D$121="","",CALC!$E$121)</f>
        <v/>
      </c>
      <c r="C126" s="90">
        <f>CALC!$D$121</f>
        <v/>
      </c>
      <c r="D126" s="90">
        <f>IF(CALC!$D$121="","",CALC!$F$121)</f>
        <v/>
      </c>
      <c r="E126" s="91">
        <f>IF(CALC!$D$121="","",IF(ROUND(CALC!$AD$121,2)&gt;0,CALC!$AD$121,0))</f>
        <v/>
      </c>
      <c r="F126" s="91">
        <f>IF(CALC!$D$121="","",IF(ROUND(CALC!$AD$121,2)&lt;0,-CALC!$AD$121,0))</f>
        <v/>
      </c>
      <c r="G126" s="91">
        <f>IF(CALC!$D$121="","",CALC!$AD$121)</f>
        <v/>
      </c>
    </row>
    <row r="127">
      <c r="B127" s="90">
        <f>IF(CALC!$D$122="","",CALC!$E$122)</f>
        <v/>
      </c>
      <c r="C127" s="90">
        <f>CALC!$D$122</f>
        <v/>
      </c>
      <c r="D127" s="90">
        <f>IF(CALC!$D$122="","",CALC!$F$122)</f>
        <v/>
      </c>
      <c r="E127" s="91">
        <f>IF(CALC!$D$122="","",IF(ROUND(CALC!$AD$122,2)&gt;0,CALC!$AD$122,0))</f>
        <v/>
      </c>
      <c r="F127" s="91">
        <f>IF(CALC!$D$122="","",IF(ROUND(CALC!$AD$122,2)&lt;0,-CALC!$AD$122,0))</f>
        <v/>
      </c>
      <c r="G127" s="91">
        <f>IF(CALC!$D$122="","",CALC!$AD$122)</f>
        <v/>
      </c>
    </row>
    <row r="128">
      <c r="B128" s="90">
        <f>IF(CALC!$D$123="","",CALC!$E$123)</f>
        <v/>
      </c>
      <c r="C128" s="90">
        <f>CALC!$D$123</f>
        <v/>
      </c>
      <c r="D128" s="90">
        <f>IF(CALC!$D$123="","",CALC!$F$123)</f>
        <v/>
      </c>
      <c r="E128" s="91">
        <f>IF(CALC!$D$123="","",IF(ROUND(CALC!$AD$123,2)&gt;0,CALC!$AD$123,0))</f>
        <v/>
      </c>
      <c r="F128" s="91">
        <f>IF(CALC!$D$123="","",IF(ROUND(CALC!$AD$123,2)&lt;0,-CALC!$AD$123,0))</f>
        <v/>
      </c>
      <c r="G128" s="91">
        <f>IF(CALC!$D$123="","",CALC!$AD$123)</f>
        <v/>
      </c>
    </row>
    <row r="129">
      <c r="B129" s="90">
        <f>IF(CALC!$D$124="","",CALC!$E$124)</f>
        <v/>
      </c>
      <c r="C129" s="90">
        <f>CALC!$D$124</f>
        <v/>
      </c>
      <c r="D129" s="90">
        <f>IF(CALC!$D$124="","",CALC!$F$124)</f>
        <v/>
      </c>
      <c r="E129" s="91">
        <f>IF(CALC!$D$124="","",IF(ROUND(CALC!$AD$124,2)&gt;0,CALC!$AD$124,0))</f>
        <v/>
      </c>
      <c r="F129" s="91">
        <f>IF(CALC!$D$124="","",IF(ROUND(CALC!$AD$124,2)&lt;0,-CALC!$AD$124,0))</f>
        <v/>
      </c>
      <c r="G129" s="91">
        <f>IF(CALC!$D$124="","",CALC!$AD$124)</f>
        <v/>
      </c>
    </row>
    <row r="130">
      <c r="B130" s="90">
        <f>IF(CALC!$D$125="","",CALC!$E$125)</f>
        <v/>
      </c>
      <c r="C130" s="90">
        <f>CALC!$D$125</f>
        <v/>
      </c>
      <c r="D130" s="90">
        <f>IF(CALC!$D$125="","",CALC!$F$125)</f>
        <v/>
      </c>
      <c r="E130" s="91">
        <f>IF(CALC!$D$125="","",IF(ROUND(CALC!$AD$125,2)&gt;0,CALC!$AD$125,0))</f>
        <v/>
      </c>
      <c r="F130" s="91">
        <f>IF(CALC!$D$125="","",IF(ROUND(CALC!$AD$125,2)&lt;0,-CALC!$AD$125,0))</f>
        <v/>
      </c>
      <c r="G130" s="91">
        <f>IF(CALC!$D$125="","",CALC!$AD$125)</f>
        <v/>
      </c>
    </row>
    <row r="131">
      <c r="B131" s="90">
        <f>IF(CALC!$D$126="","",CALC!$E$126)</f>
        <v/>
      </c>
      <c r="C131" s="90">
        <f>CALC!$D$126</f>
        <v/>
      </c>
      <c r="D131" s="90">
        <f>IF(CALC!$D$126="","",CALC!$F$126)</f>
        <v/>
      </c>
      <c r="E131" s="91">
        <f>IF(CALC!$D$126="","",IF(ROUND(CALC!$AD$126,2)&gt;0,CALC!$AD$126,0))</f>
        <v/>
      </c>
      <c r="F131" s="91">
        <f>IF(CALC!$D$126="","",IF(ROUND(CALC!$AD$126,2)&lt;0,-CALC!$AD$126,0))</f>
        <v/>
      </c>
      <c r="G131" s="91">
        <f>IF(CALC!$D$126="","",CALC!$AD$126)</f>
        <v/>
      </c>
    </row>
    <row r="132">
      <c r="B132" s="90">
        <f>IF(CALC!$D$127="","",CALC!$E$127)</f>
        <v/>
      </c>
      <c r="C132" s="90">
        <f>CALC!$D$127</f>
        <v/>
      </c>
      <c r="D132" s="90">
        <f>IF(CALC!$D$127="","",CALC!$F$127)</f>
        <v/>
      </c>
      <c r="E132" s="91">
        <f>IF(CALC!$D$127="","",IF(ROUND(CALC!$AD$127,2)&gt;0,CALC!$AD$127,0))</f>
        <v/>
      </c>
      <c r="F132" s="91">
        <f>IF(CALC!$D$127="","",IF(ROUND(CALC!$AD$127,2)&lt;0,-CALC!$AD$127,0))</f>
        <v/>
      </c>
      <c r="G132" s="91">
        <f>IF(CALC!$D$127="","",CALC!$AD$127)</f>
        <v/>
      </c>
    </row>
    <row r="133">
      <c r="B133" s="90">
        <f>IF(CALC!$D$128="","",CALC!$E$128)</f>
        <v/>
      </c>
      <c r="C133" s="90">
        <f>CALC!$D$128</f>
        <v/>
      </c>
      <c r="D133" s="90">
        <f>IF(CALC!$D$128="","",CALC!$F$128)</f>
        <v/>
      </c>
      <c r="E133" s="91">
        <f>IF(CALC!$D$128="","",IF(ROUND(CALC!$AD$128,2)&gt;0,CALC!$AD$128,0))</f>
        <v/>
      </c>
      <c r="F133" s="91">
        <f>IF(CALC!$D$128="","",IF(ROUND(CALC!$AD$128,2)&lt;0,-CALC!$AD$128,0))</f>
        <v/>
      </c>
      <c r="G133" s="91">
        <f>IF(CALC!$D$128="","",CALC!$AD$128)</f>
        <v/>
      </c>
    </row>
    <row r="134">
      <c r="B134" s="90">
        <f>IF(CALC!$D$129="","",CALC!$E$129)</f>
        <v/>
      </c>
      <c r="C134" s="90">
        <f>CALC!$D$129</f>
        <v/>
      </c>
      <c r="D134" s="90">
        <f>IF(CALC!$D$129="","",CALC!$F$129)</f>
        <v/>
      </c>
      <c r="E134" s="91">
        <f>IF(CALC!$D$129="","",IF(ROUND(CALC!$AD$129,2)&gt;0,CALC!$AD$129,0))</f>
        <v/>
      </c>
      <c r="F134" s="91">
        <f>IF(CALC!$D$129="","",IF(ROUND(CALC!$AD$129,2)&lt;0,-CALC!$AD$129,0))</f>
        <v/>
      </c>
      <c r="G134" s="91">
        <f>IF(CALC!$D$129="","",CALC!$AD$129)</f>
        <v/>
      </c>
    </row>
    <row r="135">
      <c r="B135" s="90">
        <f>IF(CALC!$D$130="","",CALC!$E$130)</f>
        <v/>
      </c>
      <c r="C135" s="90">
        <f>CALC!$D$130</f>
        <v/>
      </c>
      <c r="D135" s="90">
        <f>IF(CALC!$D$130="","",CALC!$F$130)</f>
        <v/>
      </c>
      <c r="E135" s="91">
        <f>IF(CALC!$D$130="","",IF(ROUND(CALC!$AD$130,2)&gt;0,CALC!$AD$130,0))</f>
        <v/>
      </c>
      <c r="F135" s="91">
        <f>IF(CALC!$D$130="","",IF(ROUND(CALC!$AD$130,2)&lt;0,-CALC!$AD$130,0))</f>
        <v/>
      </c>
      <c r="G135" s="91">
        <f>IF(CALC!$D$130="","",CALC!$AD$130)</f>
        <v/>
      </c>
    </row>
    <row r="136">
      <c r="B136" s="90">
        <f>IF(CALC!$D$131="","",CALC!$E$131)</f>
        <v/>
      </c>
      <c r="C136" s="90">
        <f>CALC!$D$131</f>
        <v/>
      </c>
      <c r="D136" s="90">
        <f>IF(CALC!$D$131="","",CALC!$F$131)</f>
        <v/>
      </c>
      <c r="E136" s="91">
        <f>IF(CALC!$D$131="","",IF(ROUND(CALC!$AD$131,2)&gt;0,CALC!$AD$131,0))</f>
        <v/>
      </c>
      <c r="F136" s="91">
        <f>IF(CALC!$D$131="","",IF(ROUND(CALC!$AD$131,2)&lt;0,-CALC!$AD$131,0))</f>
        <v/>
      </c>
      <c r="G136" s="91">
        <f>IF(CALC!$D$131="","",CALC!$AD$131)</f>
        <v/>
      </c>
    </row>
    <row r="137">
      <c r="B137" s="90">
        <f>IF(CALC!$D$132="","",CALC!$E$132)</f>
        <v/>
      </c>
      <c r="C137" s="90">
        <f>CALC!$D$132</f>
        <v/>
      </c>
      <c r="D137" s="90">
        <f>IF(CALC!$D$132="","",CALC!$F$132)</f>
        <v/>
      </c>
      <c r="E137" s="91">
        <f>IF(CALC!$D$132="","",IF(ROUND(CALC!$AD$132,2)&gt;0,CALC!$AD$132,0))</f>
        <v/>
      </c>
      <c r="F137" s="91">
        <f>IF(CALC!$D$132="","",IF(ROUND(CALC!$AD$132,2)&lt;0,-CALC!$AD$132,0))</f>
        <v/>
      </c>
      <c r="G137" s="91">
        <f>IF(CALC!$D$132="","",CALC!$AD$132)</f>
        <v/>
      </c>
    </row>
    <row r="138">
      <c r="B138" s="90">
        <f>IF(CALC!$D$133="","",CALC!$E$133)</f>
        <v/>
      </c>
      <c r="C138" s="90">
        <f>CALC!$D$133</f>
        <v/>
      </c>
      <c r="D138" s="90">
        <f>IF(CALC!$D$133="","",CALC!$F$133)</f>
        <v/>
      </c>
      <c r="E138" s="91">
        <f>IF(CALC!$D$133="","",IF(ROUND(CALC!$AD$133,2)&gt;0,CALC!$AD$133,0))</f>
        <v/>
      </c>
      <c r="F138" s="91">
        <f>IF(CALC!$D$133="","",IF(ROUND(CALC!$AD$133,2)&lt;0,-CALC!$AD$133,0))</f>
        <v/>
      </c>
      <c r="G138" s="91">
        <f>IF(CALC!$D$133="","",CALC!$AD$133)</f>
        <v/>
      </c>
    </row>
    <row r="139">
      <c r="B139" s="90">
        <f>IF(CALC!$D$134="","",CALC!$E$134)</f>
        <v/>
      </c>
      <c r="C139" s="90">
        <f>CALC!$D$134</f>
        <v/>
      </c>
      <c r="D139" s="90">
        <f>IF(CALC!$D$134="","",CALC!$F$134)</f>
        <v/>
      </c>
      <c r="E139" s="91">
        <f>IF(CALC!$D$134="","",IF(ROUND(CALC!$AD$134,2)&gt;0,CALC!$AD$134,0))</f>
        <v/>
      </c>
      <c r="F139" s="91">
        <f>IF(CALC!$D$134="","",IF(ROUND(CALC!$AD$134,2)&lt;0,-CALC!$AD$134,0))</f>
        <v/>
      </c>
      <c r="G139" s="91">
        <f>IF(CALC!$D$134="","",CALC!$AD$134)</f>
        <v/>
      </c>
    </row>
    <row r="140">
      <c r="B140" s="90">
        <f>IF(CALC!$D$135="","",CALC!$E$135)</f>
        <v/>
      </c>
      <c r="C140" s="90">
        <f>CALC!$D$135</f>
        <v/>
      </c>
      <c r="D140" s="90">
        <f>IF(CALC!$D$135="","",CALC!$F$135)</f>
        <v/>
      </c>
      <c r="E140" s="91">
        <f>IF(CALC!$D$135="","",IF(ROUND(CALC!$AD$135,2)&gt;0,CALC!$AD$135,0))</f>
        <v/>
      </c>
      <c r="F140" s="91">
        <f>IF(CALC!$D$135="","",IF(ROUND(CALC!$AD$135,2)&lt;0,-CALC!$AD$135,0))</f>
        <v/>
      </c>
      <c r="G140" s="91">
        <f>IF(CALC!$D$135="","",CALC!$AD$135)</f>
        <v/>
      </c>
    </row>
    <row r="141">
      <c r="B141" s="90">
        <f>IF(CALC!$D$136="","",CALC!$E$136)</f>
        <v/>
      </c>
      <c r="C141" s="90">
        <f>CALC!$D$136</f>
        <v/>
      </c>
      <c r="D141" s="90">
        <f>IF(CALC!$D$136="","",CALC!$F$136)</f>
        <v/>
      </c>
      <c r="E141" s="91">
        <f>IF(CALC!$D$136="","",IF(ROUND(CALC!$AD$136,2)&gt;0,CALC!$AD$136,0))</f>
        <v/>
      </c>
      <c r="F141" s="91">
        <f>IF(CALC!$D$136="","",IF(ROUND(CALC!$AD$136,2)&lt;0,-CALC!$AD$136,0))</f>
        <v/>
      </c>
      <c r="G141" s="91">
        <f>IF(CALC!$D$136="","",CALC!$AD$136)</f>
        <v/>
      </c>
    </row>
    <row r="142">
      <c r="B142" s="90">
        <f>IF(CALC!$D$137="","",CALC!$E$137)</f>
        <v/>
      </c>
      <c r="C142" s="90">
        <f>CALC!$D$137</f>
        <v/>
      </c>
      <c r="D142" s="90">
        <f>IF(CALC!$D$137="","",CALC!$F$137)</f>
        <v/>
      </c>
      <c r="E142" s="91">
        <f>IF(CALC!$D$137="","",IF(ROUND(CALC!$AD$137,2)&gt;0,CALC!$AD$137,0))</f>
        <v/>
      </c>
      <c r="F142" s="91">
        <f>IF(CALC!$D$137="","",IF(ROUND(CALC!$AD$137,2)&lt;0,-CALC!$AD$137,0))</f>
        <v/>
      </c>
      <c r="G142" s="91">
        <f>IF(CALC!$D$137="","",CALC!$AD$137)</f>
        <v/>
      </c>
    </row>
    <row r="143">
      <c r="B143" s="90">
        <f>IF(CALC!$D$138="","",CALC!$E$138)</f>
        <v/>
      </c>
      <c r="C143" s="90">
        <f>CALC!$D$138</f>
        <v/>
      </c>
      <c r="D143" s="90">
        <f>IF(CALC!$D$138="","",CALC!$F$138)</f>
        <v/>
      </c>
      <c r="E143" s="91">
        <f>IF(CALC!$D$138="","",IF(ROUND(CALC!$AD$138,2)&gt;0,CALC!$AD$138,0))</f>
        <v/>
      </c>
      <c r="F143" s="91">
        <f>IF(CALC!$D$138="","",IF(ROUND(CALC!$AD$138,2)&lt;0,-CALC!$AD$138,0))</f>
        <v/>
      </c>
      <c r="G143" s="91">
        <f>IF(CALC!$D$138="","",CALC!$AD$138)</f>
        <v/>
      </c>
    </row>
    <row r="144">
      <c r="B144" s="90">
        <f>IF(CALC!$D$139="","",CALC!$E$139)</f>
        <v/>
      </c>
      <c r="C144" s="90">
        <f>CALC!$D$139</f>
        <v/>
      </c>
      <c r="D144" s="90">
        <f>IF(CALC!$D$139="","",CALC!$F$139)</f>
        <v/>
      </c>
      <c r="E144" s="91">
        <f>IF(CALC!$D$139="","",IF(ROUND(CALC!$AD$139,2)&gt;0,CALC!$AD$139,0))</f>
        <v/>
      </c>
      <c r="F144" s="91">
        <f>IF(CALC!$D$139="","",IF(ROUND(CALC!$AD$139,2)&lt;0,-CALC!$AD$139,0))</f>
        <v/>
      </c>
      <c r="G144" s="91">
        <f>IF(CALC!$D$139="","",CALC!$AD$139)</f>
        <v/>
      </c>
    </row>
    <row r="145">
      <c r="B145" s="90">
        <f>IF(CALC!$D$140="","",CALC!$E$140)</f>
        <v/>
      </c>
      <c r="C145" s="90">
        <f>CALC!$D$140</f>
        <v/>
      </c>
      <c r="D145" s="90">
        <f>IF(CALC!$D$140="","",CALC!$F$140)</f>
        <v/>
      </c>
      <c r="E145" s="91">
        <f>IF(CALC!$D$140="","",IF(ROUND(CALC!$AD$140,2)&gt;0,CALC!$AD$140,0))</f>
        <v/>
      </c>
      <c r="F145" s="91">
        <f>IF(CALC!$D$140="","",IF(ROUND(CALC!$AD$140,2)&lt;0,-CALC!$AD$140,0))</f>
        <v/>
      </c>
      <c r="G145" s="91">
        <f>IF(CALC!$D$140="","",CALC!$AD$140)</f>
        <v/>
      </c>
    </row>
    <row r="146">
      <c r="B146" s="90">
        <f>IF(CALC!$D$141="","",CALC!$E$141)</f>
        <v/>
      </c>
      <c r="C146" s="90">
        <f>CALC!$D$141</f>
        <v/>
      </c>
      <c r="D146" s="90">
        <f>IF(CALC!$D$141="","",CALC!$F$141)</f>
        <v/>
      </c>
      <c r="E146" s="91">
        <f>IF(CALC!$D$141="","",IF(ROUND(CALC!$AD$141,2)&gt;0,CALC!$AD$141,0))</f>
        <v/>
      </c>
      <c r="F146" s="91">
        <f>IF(CALC!$D$141="","",IF(ROUND(CALC!$AD$141,2)&lt;0,-CALC!$AD$141,0))</f>
        <v/>
      </c>
      <c r="G146" s="91">
        <f>IF(CALC!$D$141="","",CALC!$AD$141)</f>
        <v/>
      </c>
    </row>
    <row r="147">
      <c r="B147" s="90">
        <f>IF(CALC!$D$142="","",CALC!$E$142)</f>
        <v/>
      </c>
      <c r="C147" s="90">
        <f>CALC!$D$142</f>
        <v/>
      </c>
      <c r="D147" s="90">
        <f>IF(CALC!$D$142="","",CALC!$F$142)</f>
        <v/>
      </c>
      <c r="E147" s="91">
        <f>IF(CALC!$D$142="","",IF(ROUND(CALC!$AD$142,2)&gt;0,CALC!$AD$142,0))</f>
        <v/>
      </c>
      <c r="F147" s="91">
        <f>IF(CALC!$D$142="","",IF(ROUND(CALC!$AD$142,2)&lt;0,-CALC!$AD$142,0))</f>
        <v/>
      </c>
      <c r="G147" s="91">
        <f>IF(CALC!$D$142="","",CALC!$AD$142)</f>
        <v/>
      </c>
    </row>
    <row r="148">
      <c r="B148" s="90">
        <f>IF(CALC!$D$143="","",CALC!$E$143)</f>
        <v/>
      </c>
      <c r="C148" s="90">
        <f>CALC!$D$143</f>
        <v/>
      </c>
      <c r="D148" s="90">
        <f>IF(CALC!$D$143="","",CALC!$F$143)</f>
        <v/>
      </c>
      <c r="E148" s="91">
        <f>IF(CALC!$D$143="","",IF(ROUND(CALC!$AD$143,2)&gt;0,CALC!$AD$143,0))</f>
        <v/>
      </c>
      <c r="F148" s="91">
        <f>IF(CALC!$D$143="","",IF(ROUND(CALC!$AD$143,2)&lt;0,-CALC!$AD$143,0))</f>
        <v/>
      </c>
      <c r="G148" s="91">
        <f>IF(CALC!$D$143="","",CALC!$AD$143)</f>
        <v/>
      </c>
    </row>
    <row r="149">
      <c r="B149" s="90">
        <f>IF(CALC!$D$144="","",CALC!$E$144)</f>
        <v/>
      </c>
      <c r="C149" s="90">
        <f>CALC!$D$144</f>
        <v/>
      </c>
      <c r="D149" s="90">
        <f>IF(CALC!$D$144="","",CALC!$F$144)</f>
        <v/>
      </c>
      <c r="E149" s="91">
        <f>IF(CALC!$D$144="","",IF(ROUND(CALC!$AD$144,2)&gt;0,CALC!$AD$144,0))</f>
        <v/>
      </c>
      <c r="F149" s="91">
        <f>IF(CALC!$D$144="","",IF(ROUND(CALC!$AD$144,2)&lt;0,-CALC!$AD$144,0))</f>
        <v/>
      </c>
      <c r="G149" s="91">
        <f>IF(CALC!$D$144="","",CALC!$AD$144)</f>
        <v/>
      </c>
    </row>
    <row r="150">
      <c r="B150" s="90">
        <f>IF(CALC!$D$145="","",CALC!$E$145)</f>
        <v/>
      </c>
      <c r="C150" s="90">
        <f>CALC!$D$145</f>
        <v/>
      </c>
      <c r="D150" s="90">
        <f>IF(CALC!$D$145="","",CALC!$F$145)</f>
        <v/>
      </c>
      <c r="E150" s="91">
        <f>IF(CALC!$D$145="","",IF(ROUND(CALC!$AD$145,2)&gt;0,CALC!$AD$145,0))</f>
        <v/>
      </c>
      <c r="F150" s="91">
        <f>IF(CALC!$D$145="","",IF(ROUND(CALC!$AD$145,2)&lt;0,-CALC!$AD$145,0))</f>
        <v/>
      </c>
      <c r="G150" s="91">
        <f>IF(CALC!$D$145="","",CALC!$AD$145)</f>
        <v/>
      </c>
    </row>
    <row r="151">
      <c r="B151" s="90">
        <f>IF(CALC!$D$146="","",CALC!$E$146)</f>
        <v/>
      </c>
      <c r="C151" s="90">
        <f>CALC!$D$146</f>
        <v/>
      </c>
      <c r="D151" s="90">
        <f>IF(CALC!$D$146="","",CALC!$F$146)</f>
        <v/>
      </c>
      <c r="E151" s="91">
        <f>IF(CALC!$D$146="","",IF(ROUND(CALC!$AD$146,2)&gt;0,CALC!$AD$146,0))</f>
        <v/>
      </c>
      <c r="F151" s="91">
        <f>IF(CALC!$D$146="","",IF(ROUND(CALC!$AD$146,2)&lt;0,-CALC!$AD$146,0))</f>
        <v/>
      </c>
      <c r="G151" s="91">
        <f>IF(CALC!$D$146="","",CALC!$AD$146)</f>
        <v/>
      </c>
    </row>
    <row r="152">
      <c r="B152" s="90">
        <f>IF(CALC!$D$147="","",CALC!$E$147)</f>
        <v/>
      </c>
      <c r="C152" s="90">
        <f>CALC!$D$147</f>
        <v/>
      </c>
      <c r="D152" s="90">
        <f>IF(CALC!$D$147="","",CALC!$F$147)</f>
        <v/>
      </c>
      <c r="E152" s="91">
        <f>IF(CALC!$D$147="","",IF(ROUND(CALC!$AD$147,2)&gt;0,CALC!$AD$147,0))</f>
        <v/>
      </c>
      <c r="F152" s="91">
        <f>IF(CALC!$D$147="","",IF(ROUND(CALC!$AD$147,2)&lt;0,-CALC!$AD$147,0))</f>
        <v/>
      </c>
      <c r="G152" s="91">
        <f>IF(CALC!$D$147="","",CALC!$AD$147)</f>
        <v/>
      </c>
    </row>
    <row r="153">
      <c r="B153" s="90">
        <f>IF(CALC!$D$148="","",CALC!$E$148)</f>
        <v/>
      </c>
      <c r="C153" s="90">
        <f>CALC!$D$148</f>
        <v/>
      </c>
      <c r="D153" s="90">
        <f>IF(CALC!$D$148="","",CALC!$F$148)</f>
        <v/>
      </c>
      <c r="E153" s="91">
        <f>IF(CALC!$D$148="","",IF(ROUND(CALC!$AD$148,2)&gt;0,CALC!$AD$148,0))</f>
        <v/>
      </c>
      <c r="F153" s="91">
        <f>IF(CALC!$D$148="","",IF(ROUND(CALC!$AD$148,2)&lt;0,-CALC!$AD$148,0))</f>
        <v/>
      </c>
      <c r="G153" s="91">
        <f>IF(CALC!$D$148="","",CALC!$AD$148)</f>
        <v/>
      </c>
    </row>
    <row r="154">
      <c r="B154" s="90">
        <f>IF(CALC!$D$149="","",CALC!$E$149)</f>
        <v/>
      </c>
      <c r="C154" s="90">
        <f>CALC!$D$149</f>
        <v/>
      </c>
      <c r="D154" s="90">
        <f>IF(CALC!$D$149="","",CALC!$F$149)</f>
        <v/>
      </c>
      <c r="E154" s="91">
        <f>IF(CALC!$D$149="","",IF(ROUND(CALC!$AD$149,2)&gt;0,CALC!$AD$149,0))</f>
        <v/>
      </c>
      <c r="F154" s="91">
        <f>IF(CALC!$D$149="","",IF(ROUND(CALC!$AD$149,2)&lt;0,-CALC!$AD$149,0))</f>
        <v/>
      </c>
      <c r="G154" s="91">
        <f>IF(CALC!$D$149="","",CALC!$AD$149)</f>
        <v/>
      </c>
    </row>
    <row r="155">
      <c r="B155" s="90">
        <f>IF(CALC!$D$150="","",CALC!$E$150)</f>
        <v/>
      </c>
      <c r="C155" s="90">
        <f>CALC!$D$150</f>
        <v/>
      </c>
      <c r="D155" s="90">
        <f>IF(CALC!$D$150="","",CALC!$F$150)</f>
        <v/>
      </c>
      <c r="E155" s="91">
        <f>IF(CALC!$D$150="","",IF(ROUND(CALC!$AD$150,2)&gt;0,CALC!$AD$150,0))</f>
        <v/>
      </c>
      <c r="F155" s="91">
        <f>IF(CALC!$D$150="","",IF(ROUND(CALC!$AD$150,2)&lt;0,-CALC!$AD$150,0))</f>
        <v/>
      </c>
      <c r="G155" s="91">
        <f>IF(CALC!$D$150="","",CALC!$AD$150)</f>
        <v/>
      </c>
    </row>
    <row r="156">
      <c r="B156" s="90">
        <f>IF(CALC!$D$151="","",CALC!$E$151)</f>
        <v/>
      </c>
      <c r="C156" s="90">
        <f>CALC!$D$151</f>
        <v/>
      </c>
      <c r="D156" s="90">
        <f>IF(CALC!$D$151="","",CALC!$F$151)</f>
        <v/>
      </c>
      <c r="E156" s="91">
        <f>IF(CALC!$D$151="","",IF(ROUND(CALC!$AD$151,2)&gt;0,CALC!$AD$151,0))</f>
        <v/>
      </c>
      <c r="F156" s="91">
        <f>IF(CALC!$D$151="","",IF(ROUND(CALC!$AD$151,2)&lt;0,-CALC!$AD$151,0))</f>
        <v/>
      </c>
      <c r="G156" s="91">
        <f>IF(CALC!$D$151="","",CALC!$AD$151)</f>
        <v/>
      </c>
    </row>
    <row r="157">
      <c r="B157" s="90">
        <f>IF(CALC!$D$152="","",CALC!$E$152)</f>
        <v/>
      </c>
      <c r="C157" s="90">
        <f>CALC!$D$152</f>
        <v/>
      </c>
      <c r="D157" s="90">
        <f>IF(CALC!$D$152="","",CALC!$F$152)</f>
        <v/>
      </c>
      <c r="E157" s="91">
        <f>IF(CALC!$D$152="","",IF(ROUND(CALC!$AD$152,2)&gt;0,CALC!$AD$152,0))</f>
        <v/>
      </c>
      <c r="F157" s="91">
        <f>IF(CALC!$D$152="","",IF(ROUND(CALC!$AD$152,2)&lt;0,-CALC!$AD$152,0))</f>
        <v/>
      </c>
      <c r="G157" s="91">
        <f>IF(CALC!$D$152="","",CALC!$AD$152)</f>
        <v/>
      </c>
    </row>
    <row r="158">
      <c r="B158" s="90">
        <f>IF(CALC!$D$153="","",CALC!$E$153)</f>
        <v/>
      </c>
      <c r="C158" s="90">
        <f>CALC!$D$153</f>
        <v/>
      </c>
      <c r="D158" s="90">
        <f>IF(CALC!$D$153="","",CALC!$F$153)</f>
        <v/>
      </c>
      <c r="E158" s="91">
        <f>IF(CALC!$D$153="","",IF(ROUND(CALC!$AD$153,2)&gt;0,CALC!$AD$153,0))</f>
        <v/>
      </c>
      <c r="F158" s="91">
        <f>IF(CALC!$D$153="","",IF(ROUND(CALC!$AD$153,2)&lt;0,-CALC!$AD$153,0))</f>
        <v/>
      </c>
      <c r="G158" s="91">
        <f>IF(CALC!$D$153="","",CALC!$AD$153)</f>
        <v/>
      </c>
    </row>
    <row r="159">
      <c r="B159" s="90">
        <f>IF(CALC!$D$154="","",CALC!$E$154)</f>
        <v/>
      </c>
      <c r="C159" s="90">
        <f>CALC!$D$154</f>
        <v/>
      </c>
      <c r="D159" s="90">
        <f>IF(CALC!$D$154="","",CALC!$F$154)</f>
        <v/>
      </c>
      <c r="E159" s="91">
        <f>IF(CALC!$D$154="","",IF(ROUND(CALC!$AD$154,2)&gt;0,CALC!$AD$154,0))</f>
        <v/>
      </c>
      <c r="F159" s="91">
        <f>IF(CALC!$D$154="","",IF(ROUND(CALC!$AD$154,2)&lt;0,-CALC!$AD$154,0))</f>
        <v/>
      </c>
      <c r="G159" s="91">
        <f>IF(CALC!$D$154="","",CALC!$AD$154)</f>
        <v/>
      </c>
    </row>
    <row r="160">
      <c r="B160" s="90">
        <f>IF(CALC!$D$155="","",CALC!$E$155)</f>
        <v/>
      </c>
      <c r="C160" s="90">
        <f>CALC!$D$155</f>
        <v/>
      </c>
      <c r="D160" s="90">
        <f>IF(CALC!$D$155="","",CALC!$F$155)</f>
        <v/>
      </c>
      <c r="E160" s="91">
        <f>IF(CALC!$D$155="","",IF(ROUND(CALC!$AD$155,2)&gt;0,CALC!$AD$155,0))</f>
        <v/>
      </c>
      <c r="F160" s="91">
        <f>IF(CALC!$D$155="","",IF(ROUND(CALC!$AD$155,2)&lt;0,-CALC!$AD$155,0))</f>
        <v/>
      </c>
      <c r="G160" s="91">
        <f>IF(CALC!$D$155="","",CALC!$AD$155)</f>
        <v/>
      </c>
    </row>
    <row r="161">
      <c r="B161" s="90">
        <f>IF(CALC!$D$156="","",CALC!$E$156)</f>
        <v/>
      </c>
      <c r="C161" s="90">
        <f>CALC!$D$156</f>
        <v/>
      </c>
      <c r="D161" s="90">
        <f>IF(CALC!$D$156="","",CALC!$F$156)</f>
        <v/>
      </c>
      <c r="E161" s="91">
        <f>IF(CALC!$D$156="","",IF(ROUND(CALC!$AD$156,2)&gt;0,CALC!$AD$156,0))</f>
        <v/>
      </c>
      <c r="F161" s="91">
        <f>IF(CALC!$D$156="","",IF(ROUND(CALC!$AD$156,2)&lt;0,-CALC!$AD$156,0))</f>
        <v/>
      </c>
      <c r="G161" s="91">
        <f>IF(CALC!$D$156="","",CALC!$AD$156)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D9">
    <cfRule type="expression" priority="1" dxfId="0">
      <formula>LEFT(D9,1)="⛔"</formula>
    </cfRule>
    <cfRule type="expression" priority="2" dxfId="1">
      <formula>LEFT(D9,1)="⚠"</formula>
    </cfRule>
    <cfRule type="expression" priority="3" dxfId="2">
      <formula>LEFT(D9,1)="✓"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415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3" customWidth="1" min="3" max="3"/>
    <col width="12" customWidth="1" min="4" max="4"/>
    <col width="12" customWidth="1" min="5" max="5"/>
    <col width="32" customWidth="1" min="6" max="6"/>
    <col width="20" customWidth="1" min="7" max="7"/>
    <col width="14" customWidth="1" min="8" max="8"/>
    <col width="14" customWidth="1" min="9" max="9"/>
    <col width="16" customWidth="1" min="10" max="10"/>
    <col width="4" customWidth="1" min="11" max="11"/>
    <col width="12" customWidth="1" min="12" max="12"/>
  </cols>
  <sheetData>
    <row r="1" ht="26" customHeight="1">
      <c r="B1" s="19" t="inlineStr">
        <is>
          <t>Account Ledger</t>
        </is>
      </c>
    </row>
    <row r="2">
      <c r="B2" s="32">
        <f>BizName</f>
        <v/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>
      <c r="B4" s="23">
        <f>"Every posting to one account, in date order  ·  Amounts in "&amp;Currency</f>
        <v/>
      </c>
    </row>
    <row r="6">
      <c r="B6" t="inlineStr">
        <is>
          <t>Account</t>
        </is>
      </c>
      <c r="D6" s="22" t="inlineStr">
        <is>
          <t>Bank Account</t>
        </is>
      </c>
      <c r="E6" s="92" t="n"/>
      <c r="F6" s="93" t="n"/>
      <c r="I6" s="81">
        <f>IF(LedAcct="","",IFERROR("Normal balance: "&amp;INDEX(calc_Normal,MATCH(LedAcct,calc_Name,0)),"⛔ Unknown account"))</f>
        <v/>
      </c>
      <c r="L6" s="18">
        <f>IF(IFERROR(INDEX(calc_Normal,MATCH(LedAcct,calc_Name,0)),"Debit")="Credit",-1,1)</f>
        <v/>
      </c>
    </row>
    <row r="7">
      <c r="B7" t="inlineStr">
        <is>
          <t>From</t>
        </is>
      </c>
      <c r="D7" s="24" t="n"/>
      <c r="G7" s="29">
        <f>IF(ISNUMBER(D7),D7,FYStart)</f>
        <v/>
      </c>
      <c r="H7" s="23" t="inlineStr">
        <is>
          <t>← blank = start of fiscal year</t>
        </is>
      </c>
    </row>
    <row r="8">
      <c r="B8" t="inlineStr">
        <is>
          <t>To</t>
        </is>
      </c>
      <c r="D8" s="24" t="n"/>
      <c r="G8" s="29">
        <f>IF(ISNUMBER(D8),D8,AsOf)</f>
        <v/>
      </c>
      <c r="H8" s="23" t="inlineStr">
        <is>
          <t>← blank = report date</t>
        </is>
      </c>
    </row>
    <row r="10">
      <c r="B10" s="23">
        <f>COUNT(j_Key)&amp;" entries"&amp;IF(COUNT(j_Key)&gt;400," — showing the first 400; narrow the date range","")</f>
        <v/>
      </c>
      <c r="I10" s="35" t="inlineStr">
        <is>
          <t>Opening balance</t>
        </is>
      </c>
      <c r="J10" s="52">
        <f>IF(LedAcct="",0,LedSign*(IFERROR(INDEX(calc_Open,MATCH(LedAcct,calc_Name,0)),0)+SUMIFS(j_DrAmt,j_DrAcct,LedAcct,j_Date,"&lt;"&amp;LedFrom)-SUMIFS(j_CrAmt,j_CrAcct,LedAcct,j_Date,"&lt;"&amp;LedFrom)+IF(LedAcct=acctTax,SUMIFS(j_TaxDr,j_Date,"&lt;"&amp;LedFrom)-SUMIFS(j_TaxCr,j_Date,"&lt;"&amp;LedFrom),0)))</f>
        <v/>
      </c>
    </row>
    <row r="11">
      <c r="I11" s="11" t="inlineStr">
        <is>
          <t>Total debits</t>
        </is>
      </c>
      <c r="J11" s="54">
        <f>SUM(H16:H415)</f>
        <v/>
      </c>
    </row>
    <row r="12">
      <c r="I12" s="11" t="inlineStr">
        <is>
          <t>Total credits</t>
        </is>
      </c>
      <c r="J12" s="54">
        <f>SUM(I16:I415)</f>
        <v/>
      </c>
    </row>
    <row r="13">
      <c r="I13" s="35" t="inlineStr">
        <is>
          <t>Closing balance</t>
        </is>
      </c>
      <c r="J13" s="52">
        <f>J10+LedSign*(J11-J12)</f>
        <v/>
      </c>
    </row>
    <row r="15">
      <c r="B15" s="70" t="inlineStr">
        <is>
          <t>#</t>
        </is>
      </c>
      <c r="C15" s="70" t="inlineStr">
        <is>
          <t>Date</t>
        </is>
      </c>
      <c r="D15" s="70" t="inlineStr">
        <is>
          <t>Source</t>
        </is>
      </c>
      <c r="E15" s="70" t="inlineStr">
        <is>
          <t>Source ID</t>
        </is>
      </c>
      <c r="F15" s="70" t="inlineStr">
        <is>
          <t>Description</t>
        </is>
      </c>
      <c r="G15" s="70" t="inlineStr">
        <is>
          <t>Customer / Vendor</t>
        </is>
      </c>
      <c r="H15" s="70" t="inlineStr">
        <is>
          <t>Debit</t>
        </is>
      </c>
      <c r="I15" s="70" t="inlineStr">
        <is>
          <t>Credit</t>
        </is>
      </c>
      <c r="J15" s="70" t="inlineStr">
        <is>
          <t>Running Balance</t>
        </is>
      </c>
      <c r="L15" s="70" t="inlineStr">
        <is>
          <t>key</t>
        </is>
      </c>
    </row>
    <row r="16">
      <c r="B16" s="58">
        <f>IF($L16="","",1)</f>
        <v/>
      </c>
      <c r="C16" s="94">
        <f>IF($L16="","",INDEX(j_Date,MOD($L16,10000)))</f>
        <v/>
      </c>
      <c r="D16" s="58">
        <f>IF($L16="","",INDEX(j_Source,MOD($L16,10000)))</f>
        <v/>
      </c>
      <c r="E16" s="58">
        <f>IF($L16="","",INDEX(j_ID,MOD($L16,10000)))</f>
        <v/>
      </c>
      <c r="F16" s="58">
        <f>IF($L16="","",INDEX(j_Desc,MOD($L16,10000)))</f>
        <v/>
      </c>
      <c r="G16" s="58">
        <f>IF($L16="","",INDEX(j_Party,MOD($L16,10000)))</f>
        <v/>
      </c>
      <c r="H16" s="95">
        <f>IF($L16="","",IF(INDEX(j_DrAcct,MOD($L16,10000))=LedAcct,INDEX(j_DrAmt,MOD($L16,10000)),0)+IF(LedAcct=acctTax,INDEX(j_TaxDr,MOD($L16,10000)),0))</f>
        <v/>
      </c>
      <c r="I16" s="95">
        <f>IF($L16="","",IF(INDEX(j_CrAcct,MOD($L16,10000))=LedAcct,INDEX(j_CrAmt,MOD($L16,10000)),0)+IF(LedAcct=acctTax,INDEX(j_TaxCr,MOD($L16,10000)),0))</f>
        <v/>
      </c>
      <c r="J16" s="95">
        <f>IF($L16="","",$J$10+LedSign*(H16-I16))</f>
        <v/>
      </c>
      <c r="L16" s="96">
        <f>IFERROR(SMALL(j_Key,1),"")</f>
        <v/>
      </c>
    </row>
    <row r="17">
      <c r="B17" s="58">
        <f>IF($L17="","",2)</f>
        <v/>
      </c>
      <c r="C17" s="94">
        <f>IF($L17="","",INDEX(j_Date,MOD($L17,10000)))</f>
        <v/>
      </c>
      <c r="D17" s="58">
        <f>IF($L17="","",INDEX(j_Source,MOD($L17,10000)))</f>
        <v/>
      </c>
      <c r="E17" s="58">
        <f>IF($L17="","",INDEX(j_ID,MOD($L17,10000)))</f>
        <v/>
      </c>
      <c r="F17" s="58">
        <f>IF($L17="","",INDEX(j_Desc,MOD($L17,10000)))</f>
        <v/>
      </c>
      <c r="G17" s="58">
        <f>IF($L17="","",INDEX(j_Party,MOD($L17,10000)))</f>
        <v/>
      </c>
      <c r="H17" s="95">
        <f>IF($L17="","",IF(INDEX(j_DrAcct,MOD($L17,10000))=LedAcct,INDEX(j_DrAmt,MOD($L17,10000)),0)+IF(LedAcct=acctTax,INDEX(j_TaxDr,MOD($L17,10000)),0))</f>
        <v/>
      </c>
      <c r="I17" s="95">
        <f>IF($L17="","",IF(INDEX(j_CrAcct,MOD($L17,10000))=LedAcct,INDEX(j_CrAmt,MOD($L17,10000)),0)+IF(LedAcct=acctTax,INDEX(j_TaxCr,MOD($L17,10000)),0))</f>
        <v/>
      </c>
      <c r="J17" s="95">
        <f>IF($L17="","",N(J16)+LedSign*(H17-I17))</f>
        <v/>
      </c>
      <c r="L17" s="96">
        <f>IFERROR(SMALL(j_Key,2),"")</f>
        <v/>
      </c>
    </row>
    <row r="18">
      <c r="B18" s="58">
        <f>IF($L18="","",3)</f>
        <v/>
      </c>
      <c r="C18" s="94">
        <f>IF($L18="","",INDEX(j_Date,MOD($L18,10000)))</f>
        <v/>
      </c>
      <c r="D18" s="58">
        <f>IF($L18="","",INDEX(j_Source,MOD($L18,10000)))</f>
        <v/>
      </c>
      <c r="E18" s="58">
        <f>IF($L18="","",INDEX(j_ID,MOD($L18,10000)))</f>
        <v/>
      </c>
      <c r="F18" s="58">
        <f>IF($L18="","",INDEX(j_Desc,MOD($L18,10000)))</f>
        <v/>
      </c>
      <c r="G18" s="58">
        <f>IF($L18="","",INDEX(j_Party,MOD($L18,10000)))</f>
        <v/>
      </c>
      <c r="H18" s="95">
        <f>IF($L18="","",IF(INDEX(j_DrAcct,MOD($L18,10000))=LedAcct,INDEX(j_DrAmt,MOD($L18,10000)),0)+IF(LedAcct=acctTax,INDEX(j_TaxDr,MOD($L18,10000)),0))</f>
        <v/>
      </c>
      <c r="I18" s="95">
        <f>IF($L18="","",IF(INDEX(j_CrAcct,MOD($L18,10000))=LedAcct,INDEX(j_CrAmt,MOD($L18,10000)),0)+IF(LedAcct=acctTax,INDEX(j_TaxCr,MOD($L18,10000)),0))</f>
        <v/>
      </c>
      <c r="J18" s="95">
        <f>IF($L18="","",N(J17)+LedSign*(H18-I18))</f>
        <v/>
      </c>
      <c r="L18" s="96">
        <f>IFERROR(SMALL(j_Key,3),"")</f>
        <v/>
      </c>
    </row>
    <row r="19">
      <c r="B19" s="58">
        <f>IF($L19="","",4)</f>
        <v/>
      </c>
      <c r="C19" s="94">
        <f>IF($L19="","",INDEX(j_Date,MOD($L19,10000)))</f>
        <v/>
      </c>
      <c r="D19" s="58">
        <f>IF($L19="","",INDEX(j_Source,MOD($L19,10000)))</f>
        <v/>
      </c>
      <c r="E19" s="58">
        <f>IF($L19="","",INDEX(j_ID,MOD($L19,10000)))</f>
        <v/>
      </c>
      <c r="F19" s="58">
        <f>IF($L19="","",INDEX(j_Desc,MOD($L19,10000)))</f>
        <v/>
      </c>
      <c r="G19" s="58">
        <f>IF($L19="","",INDEX(j_Party,MOD($L19,10000)))</f>
        <v/>
      </c>
      <c r="H19" s="95">
        <f>IF($L19="","",IF(INDEX(j_DrAcct,MOD($L19,10000))=LedAcct,INDEX(j_DrAmt,MOD($L19,10000)),0)+IF(LedAcct=acctTax,INDEX(j_TaxDr,MOD($L19,10000)),0))</f>
        <v/>
      </c>
      <c r="I19" s="95">
        <f>IF($L19="","",IF(INDEX(j_CrAcct,MOD($L19,10000))=LedAcct,INDEX(j_CrAmt,MOD($L19,10000)),0)+IF(LedAcct=acctTax,INDEX(j_TaxCr,MOD($L19,10000)),0))</f>
        <v/>
      </c>
      <c r="J19" s="95">
        <f>IF($L19="","",N(J18)+LedSign*(H19-I19))</f>
        <v/>
      </c>
      <c r="L19" s="96">
        <f>IFERROR(SMALL(j_Key,4),"")</f>
        <v/>
      </c>
    </row>
    <row r="20">
      <c r="B20" s="58">
        <f>IF($L20="","",5)</f>
        <v/>
      </c>
      <c r="C20" s="94">
        <f>IF($L20="","",INDEX(j_Date,MOD($L20,10000)))</f>
        <v/>
      </c>
      <c r="D20" s="58">
        <f>IF($L20="","",INDEX(j_Source,MOD($L20,10000)))</f>
        <v/>
      </c>
      <c r="E20" s="58">
        <f>IF($L20="","",INDEX(j_ID,MOD($L20,10000)))</f>
        <v/>
      </c>
      <c r="F20" s="58">
        <f>IF($L20="","",INDEX(j_Desc,MOD($L20,10000)))</f>
        <v/>
      </c>
      <c r="G20" s="58">
        <f>IF($L20="","",INDEX(j_Party,MOD($L20,10000)))</f>
        <v/>
      </c>
      <c r="H20" s="95">
        <f>IF($L20="","",IF(INDEX(j_DrAcct,MOD($L20,10000))=LedAcct,INDEX(j_DrAmt,MOD($L20,10000)),0)+IF(LedAcct=acctTax,INDEX(j_TaxDr,MOD($L20,10000)),0))</f>
        <v/>
      </c>
      <c r="I20" s="95">
        <f>IF($L20="","",IF(INDEX(j_CrAcct,MOD($L20,10000))=LedAcct,INDEX(j_CrAmt,MOD($L20,10000)),0)+IF(LedAcct=acctTax,INDEX(j_TaxCr,MOD($L20,10000)),0))</f>
        <v/>
      </c>
      <c r="J20" s="95">
        <f>IF($L20="","",N(J19)+LedSign*(H20-I20))</f>
        <v/>
      </c>
      <c r="L20" s="96">
        <f>IFERROR(SMALL(j_Key,5),"")</f>
        <v/>
      </c>
    </row>
    <row r="21">
      <c r="B21" s="58">
        <f>IF($L21="","",6)</f>
        <v/>
      </c>
      <c r="C21" s="94">
        <f>IF($L21="","",INDEX(j_Date,MOD($L21,10000)))</f>
        <v/>
      </c>
      <c r="D21" s="58">
        <f>IF($L21="","",INDEX(j_Source,MOD($L21,10000)))</f>
        <v/>
      </c>
      <c r="E21" s="58">
        <f>IF($L21="","",INDEX(j_ID,MOD($L21,10000)))</f>
        <v/>
      </c>
      <c r="F21" s="58">
        <f>IF($L21="","",INDEX(j_Desc,MOD($L21,10000)))</f>
        <v/>
      </c>
      <c r="G21" s="58">
        <f>IF($L21="","",INDEX(j_Party,MOD($L21,10000)))</f>
        <v/>
      </c>
      <c r="H21" s="95">
        <f>IF($L21="","",IF(INDEX(j_DrAcct,MOD($L21,10000))=LedAcct,INDEX(j_DrAmt,MOD($L21,10000)),0)+IF(LedAcct=acctTax,INDEX(j_TaxDr,MOD($L21,10000)),0))</f>
        <v/>
      </c>
      <c r="I21" s="95">
        <f>IF($L21="","",IF(INDEX(j_CrAcct,MOD($L21,10000))=LedAcct,INDEX(j_CrAmt,MOD($L21,10000)),0)+IF(LedAcct=acctTax,INDEX(j_TaxCr,MOD($L21,10000)),0))</f>
        <v/>
      </c>
      <c r="J21" s="95">
        <f>IF($L21="","",N(J20)+LedSign*(H21-I21))</f>
        <v/>
      </c>
      <c r="L21" s="96">
        <f>IFERROR(SMALL(j_Key,6),"")</f>
        <v/>
      </c>
    </row>
    <row r="22">
      <c r="B22" s="58">
        <f>IF($L22="","",7)</f>
        <v/>
      </c>
      <c r="C22" s="94">
        <f>IF($L22="","",INDEX(j_Date,MOD($L22,10000)))</f>
        <v/>
      </c>
      <c r="D22" s="58">
        <f>IF($L22="","",INDEX(j_Source,MOD($L22,10000)))</f>
        <v/>
      </c>
      <c r="E22" s="58">
        <f>IF($L22="","",INDEX(j_ID,MOD($L22,10000)))</f>
        <v/>
      </c>
      <c r="F22" s="58">
        <f>IF($L22="","",INDEX(j_Desc,MOD($L22,10000)))</f>
        <v/>
      </c>
      <c r="G22" s="58">
        <f>IF($L22="","",INDEX(j_Party,MOD($L22,10000)))</f>
        <v/>
      </c>
      <c r="H22" s="95">
        <f>IF($L22="","",IF(INDEX(j_DrAcct,MOD($L22,10000))=LedAcct,INDEX(j_DrAmt,MOD($L22,10000)),0)+IF(LedAcct=acctTax,INDEX(j_TaxDr,MOD($L22,10000)),0))</f>
        <v/>
      </c>
      <c r="I22" s="95">
        <f>IF($L22="","",IF(INDEX(j_CrAcct,MOD($L22,10000))=LedAcct,INDEX(j_CrAmt,MOD($L22,10000)),0)+IF(LedAcct=acctTax,INDEX(j_TaxCr,MOD($L22,10000)),0))</f>
        <v/>
      </c>
      <c r="J22" s="95">
        <f>IF($L22="","",N(J21)+LedSign*(H22-I22))</f>
        <v/>
      </c>
      <c r="L22" s="96">
        <f>IFERROR(SMALL(j_Key,7),"")</f>
        <v/>
      </c>
    </row>
    <row r="23">
      <c r="B23" s="58">
        <f>IF($L23="","",8)</f>
        <v/>
      </c>
      <c r="C23" s="94">
        <f>IF($L23="","",INDEX(j_Date,MOD($L23,10000)))</f>
        <v/>
      </c>
      <c r="D23" s="58">
        <f>IF($L23="","",INDEX(j_Source,MOD($L23,10000)))</f>
        <v/>
      </c>
      <c r="E23" s="58">
        <f>IF($L23="","",INDEX(j_ID,MOD($L23,10000)))</f>
        <v/>
      </c>
      <c r="F23" s="58">
        <f>IF($L23="","",INDEX(j_Desc,MOD($L23,10000)))</f>
        <v/>
      </c>
      <c r="G23" s="58">
        <f>IF($L23="","",INDEX(j_Party,MOD($L23,10000)))</f>
        <v/>
      </c>
      <c r="H23" s="95">
        <f>IF($L23="","",IF(INDEX(j_DrAcct,MOD($L23,10000))=LedAcct,INDEX(j_DrAmt,MOD($L23,10000)),0)+IF(LedAcct=acctTax,INDEX(j_TaxDr,MOD($L23,10000)),0))</f>
        <v/>
      </c>
      <c r="I23" s="95">
        <f>IF($L23="","",IF(INDEX(j_CrAcct,MOD($L23,10000))=LedAcct,INDEX(j_CrAmt,MOD($L23,10000)),0)+IF(LedAcct=acctTax,INDEX(j_TaxCr,MOD($L23,10000)),0))</f>
        <v/>
      </c>
      <c r="J23" s="95">
        <f>IF($L23="","",N(J22)+LedSign*(H23-I23))</f>
        <v/>
      </c>
      <c r="L23" s="96">
        <f>IFERROR(SMALL(j_Key,8),"")</f>
        <v/>
      </c>
    </row>
    <row r="24">
      <c r="B24" s="58">
        <f>IF($L24="","",9)</f>
        <v/>
      </c>
      <c r="C24" s="94">
        <f>IF($L24="","",INDEX(j_Date,MOD($L24,10000)))</f>
        <v/>
      </c>
      <c r="D24" s="58">
        <f>IF($L24="","",INDEX(j_Source,MOD($L24,10000)))</f>
        <v/>
      </c>
      <c r="E24" s="58">
        <f>IF($L24="","",INDEX(j_ID,MOD($L24,10000)))</f>
        <v/>
      </c>
      <c r="F24" s="58">
        <f>IF($L24="","",INDEX(j_Desc,MOD($L24,10000)))</f>
        <v/>
      </c>
      <c r="G24" s="58">
        <f>IF($L24="","",INDEX(j_Party,MOD($L24,10000)))</f>
        <v/>
      </c>
      <c r="H24" s="95">
        <f>IF($L24="","",IF(INDEX(j_DrAcct,MOD($L24,10000))=LedAcct,INDEX(j_DrAmt,MOD($L24,10000)),0)+IF(LedAcct=acctTax,INDEX(j_TaxDr,MOD($L24,10000)),0))</f>
        <v/>
      </c>
      <c r="I24" s="95">
        <f>IF($L24="","",IF(INDEX(j_CrAcct,MOD($L24,10000))=LedAcct,INDEX(j_CrAmt,MOD($L24,10000)),0)+IF(LedAcct=acctTax,INDEX(j_TaxCr,MOD($L24,10000)),0))</f>
        <v/>
      </c>
      <c r="J24" s="95">
        <f>IF($L24="","",N(J23)+LedSign*(H24-I24))</f>
        <v/>
      </c>
      <c r="L24" s="96">
        <f>IFERROR(SMALL(j_Key,9),"")</f>
        <v/>
      </c>
    </row>
    <row r="25">
      <c r="B25" s="58">
        <f>IF($L25="","",10)</f>
        <v/>
      </c>
      <c r="C25" s="94">
        <f>IF($L25="","",INDEX(j_Date,MOD($L25,10000)))</f>
        <v/>
      </c>
      <c r="D25" s="58">
        <f>IF($L25="","",INDEX(j_Source,MOD($L25,10000)))</f>
        <v/>
      </c>
      <c r="E25" s="58">
        <f>IF($L25="","",INDEX(j_ID,MOD($L25,10000)))</f>
        <v/>
      </c>
      <c r="F25" s="58">
        <f>IF($L25="","",INDEX(j_Desc,MOD($L25,10000)))</f>
        <v/>
      </c>
      <c r="G25" s="58">
        <f>IF($L25="","",INDEX(j_Party,MOD($L25,10000)))</f>
        <v/>
      </c>
      <c r="H25" s="95">
        <f>IF($L25="","",IF(INDEX(j_DrAcct,MOD($L25,10000))=LedAcct,INDEX(j_DrAmt,MOD($L25,10000)),0)+IF(LedAcct=acctTax,INDEX(j_TaxDr,MOD($L25,10000)),0))</f>
        <v/>
      </c>
      <c r="I25" s="95">
        <f>IF($L25="","",IF(INDEX(j_CrAcct,MOD($L25,10000))=LedAcct,INDEX(j_CrAmt,MOD($L25,10000)),0)+IF(LedAcct=acctTax,INDEX(j_TaxCr,MOD($L25,10000)),0))</f>
        <v/>
      </c>
      <c r="J25" s="95">
        <f>IF($L25="","",N(J24)+LedSign*(H25-I25))</f>
        <v/>
      </c>
      <c r="L25" s="96">
        <f>IFERROR(SMALL(j_Key,10),"")</f>
        <v/>
      </c>
    </row>
    <row r="26">
      <c r="B26" s="58">
        <f>IF($L26="","",11)</f>
        <v/>
      </c>
      <c r="C26" s="94">
        <f>IF($L26="","",INDEX(j_Date,MOD($L26,10000)))</f>
        <v/>
      </c>
      <c r="D26" s="58">
        <f>IF($L26="","",INDEX(j_Source,MOD($L26,10000)))</f>
        <v/>
      </c>
      <c r="E26" s="58">
        <f>IF($L26="","",INDEX(j_ID,MOD($L26,10000)))</f>
        <v/>
      </c>
      <c r="F26" s="58">
        <f>IF($L26="","",INDEX(j_Desc,MOD($L26,10000)))</f>
        <v/>
      </c>
      <c r="G26" s="58">
        <f>IF($L26="","",INDEX(j_Party,MOD($L26,10000)))</f>
        <v/>
      </c>
      <c r="H26" s="95">
        <f>IF($L26="","",IF(INDEX(j_DrAcct,MOD($L26,10000))=LedAcct,INDEX(j_DrAmt,MOD($L26,10000)),0)+IF(LedAcct=acctTax,INDEX(j_TaxDr,MOD($L26,10000)),0))</f>
        <v/>
      </c>
      <c r="I26" s="95">
        <f>IF($L26="","",IF(INDEX(j_CrAcct,MOD($L26,10000))=LedAcct,INDEX(j_CrAmt,MOD($L26,10000)),0)+IF(LedAcct=acctTax,INDEX(j_TaxCr,MOD($L26,10000)),0))</f>
        <v/>
      </c>
      <c r="J26" s="95">
        <f>IF($L26="","",N(J25)+LedSign*(H26-I26))</f>
        <v/>
      </c>
      <c r="L26" s="96">
        <f>IFERROR(SMALL(j_Key,11),"")</f>
        <v/>
      </c>
    </row>
    <row r="27">
      <c r="B27" s="58">
        <f>IF($L27="","",12)</f>
        <v/>
      </c>
      <c r="C27" s="94">
        <f>IF($L27="","",INDEX(j_Date,MOD($L27,10000)))</f>
        <v/>
      </c>
      <c r="D27" s="58">
        <f>IF($L27="","",INDEX(j_Source,MOD($L27,10000)))</f>
        <v/>
      </c>
      <c r="E27" s="58">
        <f>IF($L27="","",INDEX(j_ID,MOD($L27,10000)))</f>
        <v/>
      </c>
      <c r="F27" s="58">
        <f>IF($L27="","",INDEX(j_Desc,MOD($L27,10000)))</f>
        <v/>
      </c>
      <c r="G27" s="58">
        <f>IF($L27="","",INDEX(j_Party,MOD($L27,10000)))</f>
        <v/>
      </c>
      <c r="H27" s="95">
        <f>IF($L27="","",IF(INDEX(j_DrAcct,MOD($L27,10000))=LedAcct,INDEX(j_DrAmt,MOD($L27,10000)),0)+IF(LedAcct=acctTax,INDEX(j_TaxDr,MOD($L27,10000)),0))</f>
        <v/>
      </c>
      <c r="I27" s="95">
        <f>IF($L27="","",IF(INDEX(j_CrAcct,MOD($L27,10000))=LedAcct,INDEX(j_CrAmt,MOD($L27,10000)),0)+IF(LedAcct=acctTax,INDEX(j_TaxCr,MOD($L27,10000)),0))</f>
        <v/>
      </c>
      <c r="J27" s="95">
        <f>IF($L27="","",N(J26)+LedSign*(H27-I27))</f>
        <v/>
      </c>
      <c r="L27" s="96">
        <f>IFERROR(SMALL(j_Key,12),"")</f>
        <v/>
      </c>
    </row>
    <row r="28">
      <c r="B28" s="58">
        <f>IF($L28="","",13)</f>
        <v/>
      </c>
      <c r="C28" s="94">
        <f>IF($L28="","",INDEX(j_Date,MOD($L28,10000)))</f>
        <v/>
      </c>
      <c r="D28" s="58">
        <f>IF($L28="","",INDEX(j_Source,MOD($L28,10000)))</f>
        <v/>
      </c>
      <c r="E28" s="58">
        <f>IF($L28="","",INDEX(j_ID,MOD($L28,10000)))</f>
        <v/>
      </c>
      <c r="F28" s="58">
        <f>IF($L28="","",INDEX(j_Desc,MOD($L28,10000)))</f>
        <v/>
      </c>
      <c r="G28" s="58">
        <f>IF($L28="","",INDEX(j_Party,MOD($L28,10000)))</f>
        <v/>
      </c>
      <c r="H28" s="95">
        <f>IF($L28="","",IF(INDEX(j_DrAcct,MOD($L28,10000))=LedAcct,INDEX(j_DrAmt,MOD($L28,10000)),0)+IF(LedAcct=acctTax,INDEX(j_TaxDr,MOD($L28,10000)),0))</f>
        <v/>
      </c>
      <c r="I28" s="95">
        <f>IF($L28="","",IF(INDEX(j_CrAcct,MOD($L28,10000))=LedAcct,INDEX(j_CrAmt,MOD($L28,10000)),0)+IF(LedAcct=acctTax,INDEX(j_TaxCr,MOD($L28,10000)),0))</f>
        <v/>
      </c>
      <c r="J28" s="95">
        <f>IF($L28="","",N(J27)+LedSign*(H28-I28))</f>
        <v/>
      </c>
      <c r="L28" s="96">
        <f>IFERROR(SMALL(j_Key,13),"")</f>
        <v/>
      </c>
    </row>
    <row r="29">
      <c r="B29" s="58">
        <f>IF($L29="","",14)</f>
        <v/>
      </c>
      <c r="C29" s="94">
        <f>IF($L29="","",INDEX(j_Date,MOD($L29,10000)))</f>
        <v/>
      </c>
      <c r="D29" s="58">
        <f>IF($L29="","",INDEX(j_Source,MOD($L29,10000)))</f>
        <v/>
      </c>
      <c r="E29" s="58">
        <f>IF($L29="","",INDEX(j_ID,MOD($L29,10000)))</f>
        <v/>
      </c>
      <c r="F29" s="58">
        <f>IF($L29="","",INDEX(j_Desc,MOD($L29,10000)))</f>
        <v/>
      </c>
      <c r="G29" s="58">
        <f>IF($L29="","",INDEX(j_Party,MOD($L29,10000)))</f>
        <v/>
      </c>
      <c r="H29" s="95">
        <f>IF($L29="","",IF(INDEX(j_DrAcct,MOD($L29,10000))=LedAcct,INDEX(j_DrAmt,MOD($L29,10000)),0)+IF(LedAcct=acctTax,INDEX(j_TaxDr,MOD($L29,10000)),0))</f>
        <v/>
      </c>
      <c r="I29" s="95">
        <f>IF($L29="","",IF(INDEX(j_CrAcct,MOD($L29,10000))=LedAcct,INDEX(j_CrAmt,MOD($L29,10000)),0)+IF(LedAcct=acctTax,INDEX(j_TaxCr,MOD($L29,10000)),0))</f>
        <v/>
      </c>
      <c r="J29" s="95">
        <f>IF($L29="","",N(J28)+LedSign*(H29-I29))</f>
        <v/>
      </c>
      <c r="L29" s="96">
        <f>IFERROR(SMALL(j_Key,14),"")</f>
        <v/>
      </c>
    </row>
    <row r="30">
      <c r="B30" s="58">
        <f>IF($L30="","",15)</f>
        <v/>
      </c>
      <c r="C30" s="94">
        <f>IF($L30="","",INDEX(j_Date,MOD($L30,10000)))</f>
        <v/>
      </c>
      <c r="D30" s="58">
        <f>IF($L30="","",INDEX(j_Source,MOD($L30,10000)))</f>
        <v/>
      </c>
      <c r="E30" s="58">
        <f>IF($L30="","",INDEX(j_ID,MOD($L30,10000)))</f>
        <v/>
      </c>
      <c r="F30" s="58">
        <f>IF($L30="","",INDEX(j_Desc,MOD($L30,10000)))</f>
        <v/>
      </c>
      <c r="G30" s="58">
        <f>IF($L30="","",INDEX(j_Party,MOD($L30,10000)))</f>
        <v/>
      </c>
      <c r="H30" s="95">
        <f>IF($L30="","",IF(INDEX(j_DrAcct,MOD($L30,10000))=LedAcct,INDEX(j_DrAmt,MOD($L30,10000)),0)+IF(LedAcct=acctTax,INDEX(j_TaxDr,MOD($L30,10000)),0))</f>
        <v/>
      </c>
      <c r="I30" s="95">
        <f>IF($L30="","",IF(INDEX(j_CrAcct,MOD($L30,10000))=LedAcct,INDEX(j_CrAmt,MOD($L30,10000)),0)+IF(LedAcct=acctTax,INDEX(j_TaxCr,MOD($L30,10000)),0))</f>
        <v/>
      </c>
      <c r="J30" s="95">
        <f>IF($L30="","",N(J29)+LedSign*(H30-I30))</f>
        <v/>
      </c>
      <c r="L30" s="96">
        <f>IFERROR(SMALL(j_Key,15),"")</f>
        <v/>
      </c>
    </row>
    <row r="31">
      <c r="B31" s="58">
        <f>IF($L31="","",16)</f>
        <v/>
      </c>
      <c r="C31" s="94">
        <f>IF($L31="","",INDEX(j_Date,MOD($L31,10000)))</f>
        <v/>
      </c>
      <c r="D31" s="58">
        <f>IF($L31="","",INDEX(j_Source,MOD($L31,10000)))</f>
        <v/>
      </c>
      <c r="E31" s="58">
        <f>IF($L31="","",INDEX(j_ID,MOD($L31,10000)))</f>
        <v/>
      </c>
      <c r="F31" s="58">
        <f>IF($L31="","",INDEX(j_Desc,MOD($L31,10000)))</f>
        <v/>
      </c>
      <c r="G31" s="58">
        <f>IF($L31="","",INDEX(j_Party,MOD($L31,10000)))</f>
        <v/>
      </c>
      <c r="H31" s="95">
        <f>IF($L31="","",IF(INDEX(j_DrAcct,MOD($L31,10000))=LedAcct,INDEX(j_DrAmt,MOD($L31,10000)),0)+IF(LedAcct=acctTax,INDEX(j_TaxDr,MOD($L31,10000)),0))</f>
        <v/>
      </c>
      <c r="I31" s="95">
        <f>IF($L31="","",IF(INDEX(j_CrAcct,MOD($L31,10000))=LedAcct,INDEX(j_CrAmt,MOD($L31,10000)),0)+IF(LedAcct=acctTax,INDEX(j_TaxCr,MOD($L31,10000)),0))</f>
        <v/>
      </c>
      <c r="J31" s="95">
        <f>IF($L31="","",N(J30)+LedSign*(H31-I31))</f>
        <v/>
      </c>
      <c r="L31" s="96">
        <f>IFERROR(SMALL(j_Key,16),"")</f>
        <v/>
      </c>
    </row>
    <row r="32">
      <c r="B32" s="58">
        <f>IF($L32="","",17)</f>
        <v/>
      </c>
      <c r="C32" s="94">
        <f>IF($L32="","",INDEX(j_Date,MOD($L32,10000)))</f>
        <v/>
      </c>
      <c r="D32" s="58">
        <f>IF($L32="","",INDEX(j_Source,MOD($L32,10000)))</f>
        <v/>
      </c>
      <c r="E32" s="58">
        <f>IF($L32="","",INDEX(j_ID,MOD($L32,10000)))</f>
        <v/>
      </c>
      <c r="F32" s="58">
        <f>IF($L32="","",INDEX(j_Desc,MOD($L32,10000)))</f>
        <v/>
      </c>
      <c r="G32" s="58">
        <f>IF($L32="","",INDEX(j_Party,MOD($L32,10000)))</f>
        <v/>
      </c>
      <c r="H32" s="95">
        <f>IF($L32="","",IF(INDEX(j_DrAcct,MOD($L32,10000))=LedAcct,INDEX(j_DrAmt,MOD($L32,10000)),0)+IF(LedAcct=acctTax,INDEX(j_TaxDr,MOD($L32,10000)),0))</f>
        <v/>
      </c>
      <c r="I32" s="95">
        <f>IF($L32="","",IF(INDEX(j_CrAcct,MOD($L32,10000))=LedAcct,INDEX(j_CrAmt,MOD($L32,10000)),0)+IF(LedAcct=acctTax,INDEX(j_TaxCr,MOD($L32,10000)),0))</f>
        <v/>
      </c>
      <c r="J32" s="95">
        <f>IF($L32="","",N(J31)+LedSign*(H32-I32))</f>
        <v/>
      </c>
      <c r="L32" s="96">
        <f>IFERROR(SMALL(j_Key,17),"")</f>
        <v/>
      </c>
    </row>
    <row r="33">
      <c r="B33" s="58">
        <f>IF($L33="","",18)</f>
        <v/>
      </c>
      <c r="C33" s="94">
        <f>IF($L33="","",INDEX(j_Date,MOD($L33,10000)))</f>
        <v/>
      </c>
      <c r="D33" s="58">
        <f>IF($L33="","",INDEX(j_Source,MOD($L33,10000)))</f>
        <v/>
      </c>
      <c r="E33" s="58">
        <f>IF($L33="","",INDEX(j_ID,MOD($L33,10000)))</f>
        <v/>
      </c>
      <c r="F33" s="58">
        <f>IF($L33="","",INDEX(j_Desc,MOD($L33,10000)))</f>
        <v/>
      </c>
      <c r="G33" s="58">
        <f>IF($L33="","",INDEX(j_Party,MOD($L33,10000)))</f>
        <v/>
      </c>
      <c r="H33" s="95">
        <f>IF($L33="","",IF(INDEX(j_DrAcct,MOD($L33,10000))=LedAcct,INDEX(j_DrAmt,MOD($L33,10000)),0)+IF(LedAcct=acctTax,INDEX(j_TaxDr,MOD($L33,10000)),0))</f>
        <v/>
      </c>
      <c r="I33" s="95">
        <f>IF($L33="","",IF(INDEX(j_CrAcct,MOD($L33,10000))=LedAcct,INDEX(j_CrAmt,MOD($L33,10000)),0)+IF(LedAcct=acctTax,INDEX(j_TaxCr,MOD($L33,10000)),0))</f>
        <v/>
      </c>
      <c r="J33" s="95">
        <f>IF($L33="","",N(J32)+LedSign*(H33-I33))</f>
        <v/>
      </c>
      <c r="L33" s="96">
        <f>IFERROR(SMALL(j_Key,18),"")</f>
        <v/>
      </c>
    </row>
    <row r="34">
      <c r="B34" s="58">
        <f>IF($L34="","",19)</f>
        <v/>
      </c>
      <c r="C34" s="94">
        <f>IF($L34="","",INDEX(j_Date,MOD($L34,10000)))</f>
        <v/>
      </c>
      <c r="D34" s="58">
        <f>IF($L34="","",INDEX(j_Source,MOD($L34,10000)))</f>
        <v/>
      </c>
      <c r="E34" s="58">
        <f>IF($L34="","",INDEX(j_ID,MOD($L34,10000)))</f>
        <v/>
      </c>
      <c r="F34" s="58">
        <f>IF($L34="","",INDEX(j_Desc,MOD($L34,10000)))</f>
        <v/>
      </c>
      <c r="G34" s="58">
        <f>IF($L34="","",INDEX(j_Party,MOD($L34,10000)))</f>
        <v/>
      </c>
      <c r="H34" s="95">
        <f>IF($L34="","",IF(INDEX(j_DrAcct,MOD($L34,10000))=LedAcct,INDEX(j_DrAmt,MOD($L34,10000)),0)+IF(LedAcct=acctTax,INDEX(j_TaxDr,MOD($L34,10000)),0))</f>
        <v/>
      </c>
      <c r="I34" s="95">
        <f>IF($L34="","",IF(INDEX(j_CrAcct,MOD($L34,10000))=LedAcct,INDEX(j_CrAmt,MOD($L34,10000)),0)+IF(LedAcct=acctTax,INDEX(j_TaxCr,MOD($L34,10000)),0))</f>
        <v/>
      </c>
      <c r="J34" s="95">
        <f>IF($L34="","",N(J33)+LedSign*(H34-I34))</f>
        <v/>
      </c>
      <c r="L34" s="96">
        <f>IFERROR(SMALL(j_Key,19),"")</f>
        <v/>
      </c>
    </row>
    <row r="35">
      <c r="B35" s="58">
        <f>IF($L35="","",20)</f>
        <v/>
      </c>
      <c r="C35" s="94">
        <f>IF($L35="","",INDEX(j_Date,MOD($L35,10000)))</f>
        <v/>
      </c>
      <c r="D35" s="58">
        <f>IF($L35="","",INDEX(j_Source,MOD($L35,10000)))</f>
        <v/>
      </c>
      <c r="E35" s="58">
        <f>IF($L35="","",INDEX(j_ID,MOD($L35,10000)))</f>
        <v/>
      </c>
      <c r="F35" s="58">
        <f>IF($L35="","",INDEX(j_Desc,MOD($L35,10000)))</f>
        <v/>
      </c>
      <c r="G35" s="58">
        <f>IF($L35="","",INDEX(j_Party,MOD($L35,10000)))</f>
        <v/>
      </c>
      <c r="H35" s="95">
        <f>IF($L35="","",IF(INDEX(j_DrAcct,MOD($L35,10000))=LedAcct,INDEX(j_DrAmt,MOD($L35,10000)),0)+IF(LedAcct=acctTax,INDEX(j_TaxDr,MOD($L35,10000)),0))</f>
        <v/>
      </c>
      <c r="I35" s="95">
        <f>IF($L35="","",IF(INDEX(j_CrAcct,MOD($L35,10000))=LedAcct,INDEX(j_CrAmt,MOD($L35,10000)),0)+IF(LedAcct=acctTax,INDEX(j_TaxCr,MOD($L35,10000)),0))</f>
        <v/>
      </c>
      <c r="J35" s="95">
        <f>IF($L35="","",N(J34)+LedSign*(H35-I35))</f>
        <v/>
      </c>
      <c r="L35" s="96">
        <f>IFERROR(SMALL(j_Key,20),"")</f>
        <v/>
      </c>
    </row>
    <row r="36">
      <c r="B36" s="58">
        <f>IF($L36="","",21)</f>
        <v/>
      </c>
      <c r="C36" s="94">
        <f>IF($L36="","",INDEX(j_Date,MOD($L36,10000)))</f>
        <v/>
      </c>
      <c r="D36" s="58">
        <f>IF($L36="","",INDEX(j_Source,MOD($L36,10000)))</f>
        <v/>
      </c>
      <c r="E36" s="58">
        <f>IF($L36="","",INDEX(j_ID,MOD($L36,10000)))</f>
        <v/>
      </c>
      <c r="F36" s="58">
        <f>IF($L36="","",INDEX(j_Desc,MOD($L36,10000)))</f>
        <v/>
      </c>
      <c r="G36" s="58">
        <f>IF($L36="","",INDEX(j_Party,MOD($L36,10000)))</f>
        <v/>
      </c>
      <c r="H36" s="95">
        <f>IF($L36="","",IF(INDEX(j_DrAcct,MOD($L36,10000))=LedAcct,INDEX(j_DrAmt,MOD($L36,10000)),0)+IF(LedAcct=acctTax,INDEX(j_TaxDr,MOD($L36,10000)),0))</f>
        <v/>
      </c>
      <c r="I36" s="95">
        <f>IF($L36="","",IF(INDEX(j_CrAcct,MOD($L36,10000))=LedAcct,INDEX(j_CrAmt,MOD($L36,10000)),0)+IF(LedAcct=acctTax,INDEX(j_TaxCr,MOD($L36,10000)),0))</f>
        <v/>
      </c>
      <c r="J36" s="95">
        <f>IF($L36="","",N(J35)+LedSign*(H36-I36))</f>
        <v/>
      </c>
      <c r="L36" s="96">
        <f>IFERROR(SMALL(j_Key,21),"")</f>
        <v/>
      </c>
    </row>
    <row r="37">
      <c r="B37" s="58">
        <f>IF($L37="","",22)</f>
        <v/>
      </c>
      <c r="C37" s="94">
        <f>IF($L37="","",INDEX(j_Date,MOD($L37,10000)))</f>
        <v/>
      </c>
      <c r="D37" s="58">
        <f>IF($L37="","",INDEX(j_Source,MOD($L37,10000)))</f>
        <v/>
      </c>
      <c r="E37" s="58">
        <f>IF($L37="","",INDEX(j_ID,MOD($L37,10000)))</f>
        <v/>
      </c>
      <c r="F37" s="58">
        <f>IF($L37="","",INDEX(j_Desc,MOD($L37,10000)))</f>
        <v/>
      </c>
      <c r="G37" s="58">
        <f>IF($L37="","",INDEX(j_Party,MOD($L37,10000)))</f>
        <v/>
      </c>
      <c r="H37" s="95">
        <f>IF($L37="","",IF(INDEX(j_DrAcct,MOD($L37,10000))=LedAcct,INDEX(j_DrAmt,MOD($L37,10000)),0)+IF(LedAcct=acctTax,INDEX(j_TaxDr,MOD($L37,10000)),0))</f>
        <v/>
      </c>
      <c r="I37" s="95">
        <f>IF($L37="","",IF(INDEX(j_CrAcct,MOD($L37,10000))=LedAcct,INDEX(j_CrAmt,MOD($L37,10000)),0)+IF(LedAcct=acctTax,INDEX(j_TaxCr,MOD($L37,10000)),0))</f>
        <v/>
      </c>
      <c r="J37" s="95">
        <f>IF($L37="","",N(J36)+LedSign*(H37-I37))</f>
        <v/>
      </c>
      <c r="L37" s="96">
        <f>IFERROR(SMALL(j_Key,22),"")</f>
        <v/>
      </c>
    </row>
    <row r="38">
      <c r="B38" s="58">
        <f>IF($L38="","",23)</f>
        <v/>
      </c>
      <c r="C38" s="94">
        <f>IF($L38="","",INDEX(j_Date,MOD($L38,10000)))</f>
        <v/>
      </c>
      <c r="D38" s="58">
        <f>IF($L38="","",INDEX(j_Source,MOD($L38,10000)))</f>
        <v/>
      </c>
      <c r="E38" s="58">
        <f>IF($L38="","",INDEX(j_ID,MOD($L38,10000)))</f>
        <v/>
      </c>
      <c r="F38" s="58">
        <f>IF($L38="","",INDEX(j_Desc,MOD($L38,10000)))</f>
        <v/>
      </c>
      <c r="G38" s="58">
        <f>IF($L38="","",INDEX(j_Party,MOD($L38,10000)))</f>
        <v/>
      </c>
      <c r="H38" s="95">
        <f>IF($L38="","",IF(INDEX(j_DrAcct,MOD($L38,10000))=LedAcct,INDEX(j_DrAmt,MOD($L38,10000)),0)+IF(LedAcct=acctTax,INDEX(j_TaxDr,MOD($L38,10000)),0))</f>
        <v/>
      </c>
      <c r="I38" s="95">
        <f>IF($L38="","",IF(INDEX(j_CrAcct,MOD($L38,10000))=LedAcct,INDEX(j_CrAmt,MOD($L38,10000)),0)+IF(LedAcct=acctTax,INDEX(j_TaxCr,MOD($L38,10000)),0))</f>
        <v/>
      </c>
      <c r="J38" s="95">
        <f>IF($L38="","",N(J37)+LedSign*(H38-I38))</f>
        <v/>
      </c>
      <c r="L38" s="96">
        <f>IFERROR(SMALL(j_Key,23),"")</f>
        <v/>
      </c>
    </row>
    <row r="39">
      <c r="B39" s="58">
        <f>IF($L39="","",24)</f>
        <v/>
      </c>
      <c r="C39" s="94">
        <f>IF($L39="","",INDEX(j_Date,MOD($L39,10000)))</f>
        <v/>
      </c>
      <c r="D39" s="58">
        <f>IF($L39="","",INDEX(j_Source,MOD($L39,10000)))</f>
        <v/>
      </c>
      <c r="E39" s="58">
        <f>IF($L39="","",INDEX(j_ID,MOD($L39,10000)))</f>
        <v/>
      </c>
      <c r="F39" s="58">
        <f>IF($L39="","",INDEX(j_Desc,MOD($L39,10000)))</f>
        <v/>
      </c>
      <c r="G39" s="58">
        <f>IF($L39="","",INDEX(j_Party,MOD($L39,10000)))</f>
        <v/>
      </c>
      <c r="H39" s="95">
        <f>IF($L39="","",IF(INDEX(j_DrAcct,MOD($L39,10000))=LedAcct,INDEX(j_DrAmt,MOD($L39,10000)),0)+IF(LedAcct=acctTax,INDEX(j_TaxDr,MOD($L39,10000)),0))</f>
        <v/>
      </c>
      <c r="I39" s="95">
        <f>IF($L39="","",IF(INDEX(j_CrAcct,MOD($L39,10000))=LedAcct,INDEX(j_CrAmt,MOD($L39,10000)),0)+IF(LedAcct=acctTax,INDEX(j_TaxCr,MOD($L39,10000)),0))</f>
        <v/>
      </c>
      <c r="J39" s="95">
        <f>IF($L39="","",N(J38)+LedSign*(H39-I39))</f>
        <v/>
      </c>
      <c r="L39" s="96">
        <f>IFERROR(SMALL(j_Key,24),"")</f>
        <v/>
      </c>
    </row>
    <row r="40">
      <c r="B40" s="58">
        <f>IF($L40="","",25)</f>
        <v/>
      </c>
      <c r="C40" s="94">
        <f>IF($L40="","",INDEX(j_Date,MOD($L40,10000)))</f>
        <v/>
      </c>
      <c r="D40" s="58">
        <f>IF($L40="","",INDEX(j_Source,MOD($L40,10000)))</f>
        <v/>
      </c>
      <c r="E40" s="58">
        <f>IF($L40="","",INDEX(j_ID,MOD($L40,10000)))</f>
        <v/>
      </c>
      <c r="F40" s="58">
        <f>IF($L40="","",INDEX(j_Desc,MOD($L40,10000)))</f>
        <v/>
      </c>
      <c r="G40" s="58">
        <f>IF($L40="","",INDEX(j_Party,MOD($L40,10000)))</f>
        <v/>
      </c>
      <c r="H40" s="95">
        <f>IF($L40="","",IF(INDEX(j_DrAcct,MOD($L40,10000))=LedAcct,INDEX(j_DrAmt,MOD($L40,10000)),0)+IF(LedAcct=acctTax,INDEX(j_TaxDr,MOD($L40,10000)),0))</f>
        <v/>
      </c>
      <c r="I40" s="95">
        <f>IF($L40="","",IF(INDEX(j_CrAcct,MOD($L40,10000))=LedAcct,INDEX(j_CrAmt,MOD($L40,10000)),0)+IF(LedAcct=acctTax,INDEX(j_TaxCr,MOD($L40,10000)),0))</f>
        <v/>
      </c>
      <c r="J40" s="95">
        <f>IF($L40="","",N(J39)+LedSign*(H40-I40))</f>
        <v/>
      </c>
      <c r="L40" s="96">
        <f>IFERROR(SMALL(j_Key,25),"")</f>
        <v/>
      </c>
    </row>
    <row r="41">
      <c r="B41" s="58">
        <f>IF($L41="","",26)</f>
        <v/>
      </c>
      <c r="C41" s="94">
        <f>IF($L41="","",INDEX(j_Date,MOD($L41,10000)))</f>
        <v/>
      </c>
      <c r="D41" s="58">
        <f>IF($L41="","",INDEX(j_Source,MOD($L41,10000)))</f>
        <v/>
      </c>
      <c r="E41" s="58">
        <f>IF($L41="","",INDEX(j_ID,MOD($L41,10000)))</f>
        <v/>
      </c>
      <c r="F41" s="58">
        <f>IF($L41="","",INDEX(j_Desc,MOD($L41,10000)))</f>
        <v/>
      </c>
      <c r="G41" s="58">
        <f>IF($L41="","",INDEX(j_Party,MOD($L41,10000)))</f>
        <v/>
      </c>
      <c r="H41" s="95">
        <f>IF($L41="","",IF(INDEX(j_DrAcct,MOD($L41,10000))=LedAcct,INDEX(j_DrAmt,MOD($L41,10000)),0)+IF(LedAcct=acctTax,INDEX(j_TaxDr,MOD($L41,10000)),0))</f>
        <v/>
      </c>
      <c r="I41" s="95">
        <f>IF($L41="","",IF(INDEX(j_CrAcct,MOD($L41,10000))=LedAcct,INDEX(j_CrAmt,MOD($L41,10000)),0)+IF(LedAcct=acctTax,INDEX(j_TaxCr,MOD($L41,10000)),0))</f>
        <v/>
      </c>
      <c r="J41" s="95">
        <f>IF($L41="","",N(J40)+LedSign*(H41-I41))</f>
        <v/>
      </c>
      <c r="L41" s="96">
        <f>IFERROR(SMALL(j_Key,26),"")</f>
        <v/>
      </c>
    </row>
    <row r="42">
      <c r="B42" s="58">
        <f>IF($L42="","",27)</f>
        <v/>
      </c>
      <c r="C42" s="94">
        <f>IF($L42="","",INDEX(j_Date,MOD($L42,10000)))</f>
        <v/>
      </c>
      <c r="D42" s="58">
        <f>IF($L42="","",INDEX(j_Source,MOD($L42,10000)))</f>
        <v/>
      </c>
      <c r="E42" s="58">
        <f>IF($L42="","",INDEX(j_ID,MOD($L42,10000)))</f>
        <v/>
      </c>
      <c r="F42" s="58">
        <f>IF($L42="","",INDEX(j_Desc,MOD($L42,10000)))</f>
        <v/>
      </c>
      <c r="G42" s="58">
        <f>IF($L42="","",INDEX(j_Party,MOD($L42,10000)))</f>
        <v/>
      </c>
      <c r="H42" s="95">
        <f>IF($L42="","",IF(INDEX(j_DrAcct,MOD($L42,10000))=LedAcct,INDEX(j_DrAmt,MOD($L42,10000)),0)+IF(LedAcct=acctTax,INDEX(j_TaxDr,MOD($L42,10000)),0))</f>
        <v/>
      </c>
      <c r="I42" s="95">
        <f>IF($L42="","",IF(INDEX(j_CrAcct,MOD($L42,10000))=LedAcct,INDEX(j_CrAmt,MOD($L42,10000)),0)+IF(LedAcct=acctTax,INDEX(j_TaxCr,MOD($L42,10000)),0))</f>
        <v/>
      </c>
      <c r="J42" s="95">
        <f>IF($L42="","",N(J41)+LedSign*(H42-I42))</f>
        <v/>
      </c>
      <c r="L42" s="96">
        <f>IFERROR(SMALL(j_Key,27),"")</f>
        <v/>
      </c>
    </row>
    <row r="43">
      <c r="B43" s="58">
        <f>IF($L43="","",28)</f>
        <v/>
      </c>
      <c r="C43" s="94">
        <f>IF($L43="","",INDEX(j_Date,MOD($L43,10000)))</f>
        <v/>
      </c>
      <c r="D43" s="58">
        <f>IF($L43="","",INDEX(j_Source,MOD($L43,10000)))</f>
        <v/>
      </c>
      <c r="E43" s="58">
        <f>IF($L43="","",INDEX(j_ID,MOD($L43,10000)))</f>
        <v/>
      </c>
      <c r="F43" s="58">
        <f>IF($L43="","",INDEX(j_Desc,MOD($L43,10000)))</f>
        <v/>
      </c>
      <c r="G43" s="58">
        <f>IF($L43="","",INDEX(j_Party,MOD($L43,10000)))</f>
        <v/>
      </c>
      <c r="H43" s="95">
        <f>IF($L43="","",IF(INDEX(j_DrAcct,MOD($L43,10000))=LedAcct,INDEX(j_DrAmt,MOD($L43,10000)),0)+IF(LedAcct=acctTax,INDEX(j_TaxDr,MOD($L43,10000)),0))</f>
        <v/>
      </c>
      <c r="I43" s="95">
        <f>IF($L43="","",IF(INDEX(j_CrAcct,MOD($L43,10000))=LedAcct,INDEX(j_CrAmt,MOD($L43,10000)),0)+IF(LedAcct=acctTax,INDEX(j_TaxCr,MOD($L43,10000)),0))</f>
        <v/>
      </c>
      <c r="J43" s="95">
        <f>IF($L43="","",N(J42)+LedSign*(H43-I43))</f>
        <v/>
      </c>
      <c r="L43" s="96">
        <f>IFERROR(SMALL(j_Key,28),"")</f>
        <v/>
      </c>
    </row>
    <row r="44">
      <c r="B44" s="58">
        <f>IF($L44="","",29)</f>
        <v/>
      </c>
      <c r="C44" s="94">
        <f>IF($L44="","",INDEX(j_Date,MOD($L44,10000)))</f>
        <v/>
      </c>
      <c r="D44" s="58">
        <f>IF($L44="","",INDEX(j_Source,MOD($L44,10000)))</f>
        <v/>
      </c>
      <c r="E44" s="58">
        <f>IF($L44="","",INDEX(j_ID,MOD($L44,10000)))</f>
        <v/>
      </c>
      <c r="F44" s="58">
        <f>IF($L44="","",INDEX(j_Desc,MOD($L44,10000)))</f>
        <v/>
      </c>
      <c r="G44" s="58">
        <f>IF($L44="","",INDEX(j_Party,MOD($L44,10000)))</f>
        <v/>
      </c>
      <c r="H44" s="95">
        <f>IF($L44="","",IF(INDEX(j_DrAcct,MOD($L44,10000))=LedAcct,INDEX(j_DrAmt,MOD($L44,10000)),0)+IF(LedAcct=acctTax,INDEX(j_TaxDr,MOD($L44,10000)),0))</f>
        <v/>
      </c>
      <c r="I44" s="95">
        <f>IF($L44="","",IF(INDEX(j_CrAcct,MOD($L44,10000))=LedAcct,INDEX(j_CrAmt,MOD($L44,10000)),0)+IF(LedAcct=acctTax,INDEX(j_TaxCr,MOD($L44,10000)),0))</f>
        <v/>
      </c>
      <c r="J44" s="95">
        <f>IF($L44="","",N(J43)+LedSign*(H44-I44))</f>
        <v/>
      </c>
      <c r="L44" s="96">
        <f>IFERROR(SMALL(j_Key,29),"")</f>
        <v/>
      </c>
    </row>
    <row r="45">
      <c r="B45" s="58">
        <f>IF($L45="","",30)</f>
        <v/>
      </c>
      <c r="C45" s="94">
        <f>IF($L45="","",INDEX(j_Date,MOD($L45,10000)))</f>
        <v/>
      </c>
      <c r="D45" s="58">
        <f>IF($L45="","",INDEX(j_Source,MOD($L45,10000)))</f>
        <v/>
      </c>
      <c r="E45" s="58">
        <f>IF($L45="","",INDEX(j_ID,MOD($L45,10000)))</f>
        <v/>
      </c>
      <c r="F45" s="58">
        <f>IF($L45="","",INDEX(j_Desc,MOD($L45,10000)))</f>
        <v/>
      </c>
      <c r="G45" s="58">
        <f>IF($L45="","",INDEX(j_Party,MOD($L45,10000)))</f>
        <v/>
      </c>
      <c r="H45" s="95">
        <f>IF($L45="","",IF(INDEX(j_DrAcct,MOD($L45,10000))=LedAcct,INDEX(j_DrAmt,MOD($L45,10000)),0)+IF(LedAcct=acctTax,INDEX(j_TaxDr,MOD($L45,10000)),0))</f>
        <v/>
      </c>
      <c r="I45" s="95">
        <f>IF($L45="","",IF(INDEX(j_CrAcct,MOD($L45,10000))=LedAcct,INDEX(j_CrAmt,MOD($L45,10000)),0)+IF(LedAcct=acctTax,INDEX(j_TaxCr,MOD($L45,10000)),0))</f>
        <v/>
      </c>
      <c r="J45" s="95">
        <f>IF($L45="","",N(J44)+LedSign*(H45-I45))</f>
        <v/>
      </c>
      <c r="L45" s="96">
        <f>IFERROR(SMALL(j_Key,30),"")</f>
        <v/>
      </c>
    </row>
    <row r="46">
      <c r="B46" s="58">
        <f>IF($L46="","",31)</f>
        <v/>
      </c>
      <c r="C46" s="94">
        <f>IF($L46="","",INDEX(j_Date,MOD($L46,10000)))</f>
        <v/>
      </c>
      <c r="D46" s="58">
        <f>IF($L46="","",INDEX(j_Source,MOD($L46,10000)))</f>
        <v/>
      </c>
      <c r="E46" s="58">
        <f>IF($L46="","",INDEX(j_ID,MOD($L46,10000)))</f>
        <v/>
      </c>
      <c r="F46" s="58">
        <f>IF($L46="","",INDEX(j_Desc,MOD($L46,10000)))</f>
        <v/>
      </c>
      <c r="G46" s="58">
        <f>IF($L46="","",INDEX(j_Party,MOD($L46,10000)))</f>
        <v/>
      </c>
      <c r="H46" s="95">
        <f>IF($L46="","",IF(INDEX(j_DrAcct,MOD($L46,10000))=LedAcct,INDEX(j_DrAmt,MOD($L46,10000)),0)+IF(LedAcct=acctTax,INDEX(j_TaxDr,MOD($L46,10000)),0))</f>
        <v/>
      </c>
      <c r="I46" s="95">
        <f>IF($L46="","",IF(INDEX(j_CrAcct,MOD($L46,10000))=LedAcct,INDEX(j_CrAmt,MOD($L46,10000)),0)+IF(LedAcct=acctTax,INDEX(j_TaxCr,MOD($L46,10000)),0))</f>
        <v/>
      </c>
      <c r="J46" s="95">
        <f>IF($L46="","",N(J45)+LedSign*(H46-I46))</f>
        <v/>
      </c>
      <c r="L46" s="96">
        <f>IFERROR(SMALL(j_Key,31),"")</f>
        <v/>
      </c>
    </row>
    <row r="47">
      <c r="B47" s="58">
        <f>IF($L47="","",32)</f>
        <v/>
      </c>
      <c r="C47" s="94">
        <f>IF($L47="","",INDEX(j_Date,MOD($L47,10000)))</f>
        <v/>
      </c>
      <c r="D47" s="58">
        <f>IF($L47="","",INDEX(j_Source,MOD($L47,10000)))</f>
        <v/>
      </c>
      <c r="E47" s="58">
        <f>IF($L47="","",INDEX(j_ID,MOD($L47,10000)))</f>
        <v/>
      </c>
      <c r="F47" s="58">
        <f>IF($L47="","",INDEX(j_Desc,MOD($L47,10000)))</f>
        <v/>
      </c>
      <c r="G47" s="58">
        <f>IF($L47="","",INDEX(j_Party,MOD($L47,10000)))</f>
        <v/>
      </c>
      <c r="H47" s="95">
        <f>IF($L47="","",IF(INDEX(j_DrAcct,MOD($L47,10000))=LedAcct,INDEX(j_DrAmt,MOD($L47,10000)),0)+IF(LedAcct=acctTax,INDEX(j_TaxDr,MOD($L47,10000)),0))</f>
        <v/>
      </c>
      <c r="I47" s="95">
        <f>IF($L47="","",IF(INDEX(j_CrAcct,MOD($L47,10000))=LedAcct,INDEX(j_CrAmt,MOD($L47,10000)),0)+IF(LedAcct=acctTax,INDEX(j_TaxCr,MOD($L47,10000)),0))</f>
        <v/>
      </c>
      <c r="J47" s="95">
        <f>IF($L47="","",N(J46)+LedSign*(H47-I47))</f>
        <v/>
      </c>
      <c r="L47" s="96">
        <f>IFERROR(SMALL(j_Key,32),"")</f>
        <v/>
      </c>
    </row>
    <row r="48">
      <c r="B48" s="58">
        <f>IF($L48="","",33)</f>
        <v/>
      </c>
      <c r="C48" s="94">
        <f>IF($L48="","",INDEX(j_Date,MOD($L48,10000)))</f>
        <v/>
      </c>
      <c r="D48" s="58">
        <f>IF($L48="","",INDEX(j_Source,MOD($L48,10000)))</f>
        <v/>
      </c>
      <c r="E48" s="58">
        <f>IF($L48="","",INDEX(j_ID,MOD($L48,10000)))</f>
        <v/>
      </c>
      <c r="F48" s="58">
        <f>IF($L48="","",INDEX(j_Desc,MOD($L48,10000)))</f>
        <v/>
      </c>
      <c r="G48" s="58">
        <f>IF($L48="","",INDEX(j_Party,MOD($L48,10000)))</f>
        <v/>
      </c>
      <c r="H48" s="95">
        <f>IF($L48="","",IF(INDEX(j_DrAcct,MOD($L48,10000))=LedAcct,INDEX(j_DrAmt,MOD($L48,10000)),0)+IF(LedAcct=acctTax,INDEX(j_TaxDr,MOD($L48,10000)),0))</f>
        <v/>
      </c>
      <c r="I48" s="95">
        <f>IF($L48="","",IF(INDEX(j_CrAcct,MOD($L48,10000))=LedAcct,INDEX(j_CrAmt,MOD($L48,10000)),0)+IF(LedAcct=acctTax,INDEX(j_TaxCr,MOD($L48,10000)),0))</f>
        <v/>
      </c>
      <c r="J48" s="95">
        <f>IF($L48="","",N(J47)+LedSign*(H48-I48))</f>
        <v/>
      </c>
      <c r="L48" s="96">
        <f>IFERROR(SMALL(j_Key,33),"")</f>
        <v/>
      </c>
    </row>
    <row r="49">
      <c r="B49" s="58">
        <f>IF($L49="","",34)</f>
        <v/>
      </c>
      <c r="C49" s="94">
        <f>IF($L49="","",INDEX(j_Date,MOD($L49,10000)))</f>
        <v/>
      </c>
      <c r="D49" s="58">
        <f>IF($L49="","",INDEX(j_Source,MOD($L49,10000)))</f>
        <v/>
      </c>
      <c r="E49" s="58">
        <f>IF($L49="","",INDEX(j_ID,MOD($L49,10000)))</f>
        <v/>
      </c>
      <c r="F49" s="58">
        <f>IF($L49="","",INDEX(j_Desc,MOD($L49,10000)))</f>
        <v/>
      </c>
      <c r="G49" s="58">
        <f>IF($L49="","",INDEX(j_Party,MOD($L49,10000)))</f>
        <v/>
      </c>
      <c r="H49" s="95">
        <f>IF($L49="","",IF(INDEX(j_DrAcct,MOD($L49,10000))=LedAcct,INDEX(j_DrAmt,MOD($L49,10000)),0)+IF(LedAcct=acctTax,INDEX(j_TaxDr,MOD($L49,10000)),0))</f>
        <v/>
      </c>
      <c r="I49" s="95">
        <f>IF($L49="","",IF(INDEX(j_CrAcct,MOD($L49,10000))=LedAcct,INDEX(j_CrAmt,MOD($L49,10000)),0)+IF(LedAcct=acctTax,INDEX(j_TaxCr,MOD($L49,10000)),0))</f>
        <v/>
      </c>
      <c r="J49" s="95">
        <f>IF($L49="","",N(J48)+LedSign*(H49-I49))</f>
        <v/>
      </c>
      <c r="L49" s="96">
        <f>IFERROR(SMALL(j_Key,34),"")</f>
        <v/>
      </c>
    </row>
    <row r="50">
      <c r="B50" s="58">
        <f>IF($L50="","",35)</f>
        <v/>
      </c>
      <c r="C50" s="94">
        <f>IF($L50="","",INDEX(j_Date,MOD($L50,10000)))</f>
        <v/>
      </c>
      <c r="D50" s="58">
        <f>IF($L50="","",INDEX(j_Source,MOD($L50,10000)))</f>
        <v/>
      </c>
      <c r="E50" s="58">
        <f>IF($L50="","",INDEX(j_ID,MOD($L50,10000)))</f>
        <v/>
      </c>
      <c r="F50" s="58">
        <f>IF($L50="","",INDEX(j_Desc,MOD($L50,10000)))</f>
        <v/>
      </c>
      <c r="G50" s="58">
        <f>IF($L50="","",INDEX(j_Party,MOD($L50,10000)))</f>
        <v/>
      </c>
      <c r="H50" s="95">
        <f>IF($L50="","",IF(INDEX(j_DrAcct,MOD($L50,10000))=LedAcct,INDEX(j_DrAmt,MOD($L50,10000)),0)+IF(LedAcct=acctTax,INDEX(j_TaxDr,MOD($L50,10000)),0))</f>
        <v/>
      </c>
      <c r="I50" s="95">
        <f>IF($L50="","",IF(INDEX(j_CrAcct,MOD($L50,10000))=LedAcct,INDEX(j_CrAmt,MOD($L50,10000)),0)+IF(LedAcct=acctTax,INDEX(j_TaxCr,MOD($L50,10000)),0))</f>
        <v/>
      </c>
      <c r="J50" s="95">
        <f>IF($L50="","",N(J49)+LedSign*(H50-I50))</f>
        <v/>
      </c>
      <c r="L50" s="96">
        <f>IFERROR(SMALL(j_Key,35),"")</f>
        <v/>
      </c>
    </row>
    <row r="51">
      <c r="B51" s="58">
        <f>IF($L51="","",36)</f>
        <v/>
      </c>
      <c r="C51" s="94">
        <f>IF($L51="","",INDEX(j_Date,MOD($L51,10000)))</f>
        <v/>
      </c>
      <c r="D51" s="58">
        <f>IF($L51="","",INDEX(j_Source,MOD($L51,10000)))</f>
        <v/>
      </c>
      <c r="E51" s="58">
        <f>IF($L51="","",INDEX(j_ID,MOD($L51,10000)))</f>
        <v/>
      </c>
      <c r="F51" s="58">
        <f>IF($L51="","",INDEX(j_Desc,MOD($L51,10000)))</f>
        <v/>
      </c>
      <c r="G51" s="58">
        <f>IF($L51="","",INDEX(j_Party,MOD($L51,10000)))</f>
        <v/>
      </c>
      <c r="H51" s="95">
        <f>IF($L51="","",IF(INDEX(j_DrAcct,MOD($L51,10000))=LedAcct,INDEX(j_DrAmt,MOD($L51,10000)),0)+IF(LedAcct=acctTax,INDEX(j_TaxDr,MOD($L51,10000)),0))</f>
        <v/>
      </c>
      <c r="I51" s="95">
        <f>IF($L51="","",IF(INDEX(j_CrAcct,MOD($L51,10000))=LedAcct,INDEX(j_CrAmt,MOD($L51,10000)),0)+IF(LedAcct=acctTax,INDEX(j_TaxCr,MOD($L51,10000)),0))</f>
        <v/>
      </c>
      <c r="J51" s="95">
        <f>IF($L51="","",N(J50)+LedSign*(H51-I51))</f>
        <v/>
      </c>
      <c r="L51" s="96">
        <f>IFERROR(SMALL(j_Key,36),"")</f>
        <v/>
      </c>
    </row>
    <row r="52">
      <c r="B52" s="58">
        <f>IF($L52="","",37)</f>
        <v/>
      </c>
      <c r="C52" s="94">
        <f>IF($L52="","",INDEX(j_Date,MOD($L52,10000)))</f>
        <v/>
      </c>
      <c r="D52" s="58">
        <f>IF($L52="","",INDEX(j_Source,MOD($L52,10000)))</f>
        <v/>
      </c>
      <c r="E52" s="58">
        <f>IF($L52="","",INDEX(j_ID,MOD($L52,10000)))</f>
        <v/>
      </c>
      <c r="F52" s="58">
        <f>IF($L52="","",INDEX(j_Desc,MOD($L52,10000)))</f>
        <v/>
      </c>
      <c r="G52" s="58">
        <f>IF($L52="","",INDEX(j_Party,MOD($L52,10000)))</f>
        <v/>
      </c>
      <c r="H52" s="95">
        <f>IF($L52="","",IF(INDEX(j_DrAcct,MOD($L52,10000))=LedAcct,INDEX(j_DrAmt,MOD($L52,10000)),0)+IF(LedAcct=acctTax,INDEX(j_TaxDr,MOD($L52,10000)),0))</f>
        <v/>
      </c>
      <c r="I52" s="95">
        <f>IF($L52="","",IF(INDEX(j_CrAcct,MOD($L52,10000))=LedAcct,INDEX(j_CrAmt,MOD($L52,10000)),0)+IF(LedAcct=acctTax,INDEX(j_TaxCr,MOD($L52,10000)),0))</f>
        <v/>
      </c>
      <c r="J52" s="95">
        <f>IF($L52="","",N(J51)+LedSign*(H52-I52))</f>
        <v/>
      </c>
      <c r="L52" s="96">
        <f>IFERROR(SMALL(j_Key,37),"")</f>
        <v/>
      </c>
    </row>
    <row r="53">
      <c r="B53" s="58">
        <f>IF($L53="","",38)</f>
        <v/>
      </c>
      <c r="C53" s="94">
        <f>IF($L53="","",INDEX(j_Date,MOD($L53,10000)))</f>
        <v/>
      </c>
      <c r="D53" s="58">
        <f>IF($L53="","",INDEX(j_Source,MOD($L53,10000)))</f>
        <v/>
      </c>
      <c r="E53" s="58">
        <f>IF($L53="","",INDEX(j_ID,MOD($L53,10000)))</f>
        <v/>
      </c>
      <c r="F53" s="58">
        <f>IF($L53="","",INDEX(j_Desc,MOD($L53,10000)))</f>
        <v/>
      </c>
      <c r="G53" s="58">
        <f>IF($L53="","",INDEX(j_Party,MOD($L53,10000)))</f>
        <v/>
      </c>
      <c r="H53" s="95">
        <f>IF($L53="","",IF(INDEX(j_DrAcct,MOD($L53,10000))=LedAcct,INDEX(j_DrAmt,MOD($L53,10000)),0)+IF(LedAcct=acctTax,INDEX(j_TaxDr,MOD($L53,10000)),0))</f>
        <v/>
      </c>
      <c r="I53" s="95">
        <f>IF($L53="","",IF(INDEX(j_CrAcct,MOD($L53,10000))=LedAcct,INDEX(j_CrAmt,MOD($L53,10000)),0)+IF(LedAcct=acctTax,INDEX(j_TaxCr,MOD($L53,10000)),0))</f>
        <v/>
      </c>
      <c r="J53" s="95">
        <f>IF($L53="","",N(J52)+LedSign*(H53-I53))</f>
        <v/>
      </c>
      <c r="L53" s="96">
        <f>IFERROR(SMALL(j_Key,38),"")</f>
        <v/>
      </c>
    </row>
    <row r="54">
      <c r="B54" s="58">
        <f>IF($L54="","",39)</f>
        <v/>
      </c>
      <c r="C54" s="94">
        <f>IF($L54="","",INDEX(j_Date,MOD($L54,10000)))</f>
        <v/>
      </c>
      <c r="D54" s="58">
        <f>IF($L54="","",INDEX(j_Source,MOD($L54,10000)))</f>
        <v/>
      </c>
      <c r="E54" s="58">
        <f>IF($L54="","",INDEX(j_ID,MOD($L54,10000)))</f>
        <v/>
      </c>
      <c r="F54" s="58">
        <f>IF($L54="","",INDEX(j_Desc,MOD($L54,10000)))</f>
        <v/>
      </c>
      <c r="G54" s="58">
        <f>IF($L54="","",INDEX(j_Party,MOD($L54,10000)))</f>
        <v/>
      </c>
      <c r="H54" s="95">
        <f>IF($L54="","",IF(INDEX(j_DrAcct,MOD($L54,10000))=LedAcct,INDEX(j_DrAmt,MOD($L54,10000)),0)+IF(LedAcct=acctTax,INDEX(j_TaxDr,MOD($L54,10000)),0))</f>
        <v/>
      </c>
      <c r="I54" s="95">
        <f>IF($L54="","",IF(INDEX(j_CrAcct,MOD($L54,10000))=LedAcct,INDEX(j_CrAmt,MOD($L54,10000)),0)+IF(LedAcct=acctTax,INDEX(j_TaxCr,MOD($L54,10000)),0))</f>
        <v/>
      </c>
      <c r="J54" s="95">
        <f>IF($L54="","",N(J53)+LedSign*(H54-I54))</f>
        <v/>
      </c>
      <c r="L54" s="96">
        <f>IFERROR(SMALL(j_Key,39),"")</f>
        <v/>
      </c>
    </row>
    <row r="55">
      <c r="B55" s="58">
        <f>IF($L55="","",40)</f>
        <v/>
      </c>
      <c r="C55" s="94">
        <f>IF($L55="","",INDEX(j_Date,MOD($L55,10000)))</f>
        <v/>
      </c>
      <c r="D55" s="58">
        <f>IF($L55="","",INDEX(j_Source,MOD($L55,10000)))</f>
        <v/>
      </c>
      <c r="E55" s="58">
        <f>IF($L55="","",INDEX(j_ID,MOD($L55,10000)))</f>
        <v/>
      </c>
      <c r="F55" s="58">
        <f>IF($L55="","",INDEX(j_Desc,MOD($L55,10000)))</f>
        <v/>
      </c>
      <c r="G55" s="58">
        <f>IF($L55="","",INDEX(j_Party,MOD($L55,10000)))</f>
        <v/>
      </c>
      <c r="H55" s="95">
        <f>IF($L55="","",IF(INDEX(j_DrAcct,MOD($L55,10000))=LedAcct,INDEX(j_DrAmt,MOD($L55,10000)),0)+IF(LedAcct=acctTax,INDEX(j_TaxDr,MOD($L55,10000)),0))</f>
        <v/>
      </c>
      <c r="I55" s="95">
        <f>IF($L55="","",IF(INDEX(j_CrAcct,MOD($L55,10000))=LedAcct,INDEX(j_CrAmt,MOD($L55,10000)),0)+IF(LedAcct=acctTax,INDEX(j_TaxCr,MOD($L55,10000)),0))</f>
        <v/>
      </c>
      <c r="J55" s="95">
        <f>IF($L55="","",N(J54)+LedSign*(H55-I55))</f>
        <v/>
      </c>
      <c r="L55" s="96">
        <f>IFERROR(SMALL(j_Key,40),"")</f>
        <v/>
      </c>
    </row>
    <row r="56">
      <c r="B56" s="58">
        <f>IF($L56="","",41)</f>
        <v/>
      </c>
      <c r="C56" s="94">
        <f>IF($L56="","",INDEX(j_Date,MOD($L56,10000)))</f>
        <v/>
      </c>
      <c r="D56" s="58">
        <f>IF($L56="","",INDEX(j_Source,MOD($L56,10000)))</f>
        <v/>
      </c>
      <c r="E56" s="58">
        <f>IF($L56="","",INDEX(j_ID,MOD($L56,10000)))</f>
        <v/>
      </c>
      <c r="F56" s="58">
        <f>IF($L56="","",INDEX(j_Desc,MOD($L56,10000)))</f>
        <v/>
      </c>
      <c r="G56" s="58">
        <f>IF($L56="","",INDEX(j_Party,MOD($L56,10000)))</f>
        <v/>
      </c>
      <c r="H56" s="95">
        <f>IF($L56="","",IF(INDEX(j_DrAcct,MOD($L56,10000))=LedAcct,INDEX(j_DrAmt,MOD($L56,10000)),0)+IF(LedAcct=acctTax,INDEX(j_TaxDr,MOD($L56,10000)),0))</f>
        <v/>
      </c>
      <c r="I56" s="95">
        <f>IF($L56="","",IF(INDEX(j_CrAcct,MOD($L56,10000))=LedAcct,INDEX(j_CrAmt,MOD($L56,10000)),0)+IF(LedAcct=acctTax,INDEX(j_TaxCr,MOD($L56,10000)),0))</f>
        <v/>
      </c>
      <c r="J56" s="95">
        <f>IF($L56="","",N(J55)+LedSign*(H56-I56))</f>
        <v/>
      </c>
      <c r="L56" s="96">
        <f>IFERROR(SMALL(j_Key,41),"")</f>
        <v/>
      </c>
    </row>
    <row r="57">
      <c r="B57" s="58">
        <f>IF($L57="","",42)</f>
        <v/>
      </c>
      <c r="C57" s="94">
        <f>IF($L57="","",INDEX(j_Date,MOD($L57,10000)))</f>
        <v/>
      </c>
      <c r="D57" s="58">
        <f>IF($L57="","",INDEX(j_Source,MOD($L57,10000)))</f>
        <v/>
      </c>
      <c r="E57" s="58">
        <f>IF($L57="","",INDEX(j_ID,MOD($L57,10000)))</f>
        <v/>
      </c>
      <c r="F57" s="58">
        <f>IF($L57="","",INDEX(j_Desc,MOD($L57,10000)))</f>
        <v/>
      </c>
      <c r="G57" s="58">
        <f>IF($L57="","",INDEX(j_Party,MOD($L57,10000)))</f>
        <v/>
      </c>
      <c r="H57" s="95">
        <f>IF($L57="","",IF(INDEX(j_DrAcct,MOD($L57,10000))=LedAcct,INDEX(j_DrAmt,MOD($L57,10000)),0)+IF(LedAcct=acctTax,INDEX(j_TaxDr,MOD($L57,10000)),0))</f>
        <v/>
      </c>
      <c r="I57" s="95">
        <f>IF($L57="","",IF(INDEX(j_CrAcct,MOD($L57,10000))=LedAcct,INDEX(j_CrAmt,MOD($L57,10000)),0)+IF(LedAcct=acctTax,INDEX(j_TaxCr,MOD($L57,10000)),0))</f>
        <v/>
      </c>
      <c r="J57" s="95">
        <f>IF($L57="","",N(J56)+LedSign*(H57-I57))</f>
        <v/>
      </c>
      <c r="L57" s="96">
        <f>IFERROR(SMALL(j_Key,42),"")</f>
        <v/>
      </c>
    </row>
    <row r="58">
      <c r="B58" s="58">
        <f>IF($L58="","",43)</f>
        <v/>
      </c>
      <c r="C58" s="94">
        <f>IF($L58="","",INDEX(j_Date,MOD($L58,10000)))</f>
        <v/>
      </c>
      <c r="D58" s="58">
        <f>IF($L58="","",INDEX(j_Source,MOD($L58,10000)))</f>
        <v/>
      </c>
      <c r="E58" s="58">
        <f>IF($L58="","",INDEX(j_ID,MOD($L58,10000)))</f>
        <v/>
      </c>
      <c r="F58" s="58">
        <f>IF($L58="","",INDEX(j_Desc,MOD($L58,10000)))</f>
        <v/>
      </c>
      <c r="G58" s="58">
        <f>IF($L58="","",INDEX(j_Party,MOD($L58,10000)))</f>
        <v/>
      </c>
      <c r="H58" s="95">
        <f>IF($L58="","",IF(INDEX(j_DrAcct,MOD($L58,10000))=LedAcct,INDEX(j_DrAmt,MOD($L58,10000)),0)+IF(LedAcct=acctTax,INDEX(j_TaxDr,MOD($L58,10000)),0))</f>
        <v/>
      </c>
      <c r="I58" s="95">
        <f>IF($L58="","",IF(INDEX(j_CrAcct,MOD($L58,10000))=LedAcct,INDEX(j_CrAmt,MOD($L58,10000)),0)+IF(LedAcct=acctTax,INDEX(j_TaxCr,MOD($L58,10000)),0))</f>
        <v/>
      </c>
      <c r="J58" s="95">
        <f>IF($L58="","",N(J57)+LedSign*(H58-I58))</f>
        <v/>
      </c>
      <c r="L58" s="96">
        <f>IFERROR(SMALL(j_Key,43),"")</f>
        <v/>
      </c>
    </row>
    <row r="59">
      <c r="B59" s="58">
        <f>IF($L59="","",44)</f>
        <v/>
      </c>
      <c r="C59" s="94">
        <f>IF($L59="","",INDEX(j_Date,MOD($L59,10000)))</f>
        <v/>
      </c>
      <c r="D59" s="58">
        <f>IF($L59="","",INDEX(j_Source,MOD($L59,10000)))</f>
        <v/>
      </c>
      <c r="E59" s="58">
        <f>IF($L59="","",INDEX(j_ID,MOD($L59,10000)))</f>
        <v/>
      </c>
      <c r="F59" s="58">
        <f>IF($L59="","",INDEX(j_Desc,MOD($L59,10000)))</f>
        <v/>
      </c>
      <c r="G59" s="58">
        <f>IF($L59="","",INDEX(j_Party,MOD($L59,10000)))</f>
        <v/>
      </c>
      <c r="H59" s="95">
        <f>IF($L59="","",IF(INDEX(j_DrAcct,MOD($L59,10000))=LedAcct,INDEX(j_DrAmt,MOD($L59,10000)),0)+IF(LedAcct=acctTax,INDEX(j_TaxDr,MOD($L59,10000)),0))</f>
        <v/>
      </c>
      <c r="I59" s="95">
        <f>IF($L59="","",IF(INDEX(j_CrAcct,MOD($L59,10000))=LedAcct,INDEX(j_CrAmt,MOD($L59,10000)),0)+IF(LedAcct=acctTax,INDEX(j_TaxCr,MOD($L59,10000)),0))</f>
        <v/>
      </c>
      <c r="J59" s="95">
        <f>IF($L59="","",N(J58)+LedSign*(H59-I59))</f>
        <v/>
      </c>
      <c r="L59" s="96">
        <f>IFERROR(SMALL(j_Key,44),"")</f>
        <v/>
      </c>
    </row>
    <row r="60">
      <c r="B60" s="58">
        <f>IF($L60="","",45)</f>
        <v/>
      </c>
      <c r="C60" s="94">
        <f>IF($L60="","",INDEX(j_Date,MOD($L60,10000)))</f>
        <v/>
      </c>
      <c r="D60" s="58">
        <f>IF($L60="","",INDEX(j_Source,MOD($L60,10000)))</f>
        <v/>
      </c>
      <c r="E60" s="58">
        <f>IF($L60="","",INDEX(j_ID,MOD($L60,10000)))</f>
        <v/>
      </c>
      <c r="F60" s="58">
        <f>IF($L60="","",INDEX(j_Desc,MOD($L60,10000)))</f>
        <v/>
      </c>
      <c r="G60" s="58">
        <f>IF($L60="","",INDEX(j_Party,MOD($L60,10000)))</f>
        <v/>
      </c>
      <c r="H60" s="95">
        <f>IF($L60="","",IF(INDEX(j_DrAcct,MOD($L60,10000))=LedAcct,INDEX(j_DrAmt,MOD($L60,10000)),0)+IF(LedAcct=acctTax,INDEX(j_TaxDr,MOD($L60,10000)),0))</f>
        <v/>
      </c>
      <c r="I60" s="95">
        <f>IF($L60="","",IF(INDEX(j_CrAcct,MOD($L60,10000))=LedAcct,INDEX(j_CrAmt,MOD($L60,10000)),0)+IF(LedAcct=acctTax,INDEX(j_TaxCr,MOD($L60,10000)),0))</f>
        <v/>
      </c>
      <c r="J60" s="95">
        <f>IF($L60="","",N(J59)+LedSign*(H60-I60))</f>
        <v/>
      </c>
      <c r="L60" s="96">
        <f>IFERROR(SMALL(j_Key,45),"")</f>
        <v/>
      </c>
    </row>
    <row r="61">
      <c r="B61" s="58">
        <f>IF($L61="","",46)</f>
        <v/>
      </c>
      <c r="C61" s="94">
        <f>IF($L61="","",INDEX(j_Date,MOD($L61,10000)))</f>
        <v/>
      </c>
      <c r="D61" s="58">
        <f>IF($L61="","",INDEX(j_Source,MOD($L61,10000)))</f>
        <v/>
      </c>
      <c r="E61" s="58">
        <f>IF($L61="","",INDEX(j_ID,MOD($L61,10000)))</f>
        <v/>
      </c>
      <c r="F61" s="58">
        <f>IF($L61="","",INDEX(j_Desc,MOD($L61,10000)))</f>
        <v/>
      </c>
      <c r="G61" s="58">
        <f>IF($L61="","",INDEX(j_Party,MOD($L61,10000)))</f>
        <v/>
      </c>
      <c r="H61" s="95">
        <f>IF($L61="","",IF(INDEX(j_DrAcct,MOD($L61,10000))=LedAcct,INDEX(j_DrAmt,MOD($L61,10000)),0)+IF(LedAcct=acctTax,INDEX(j_TaxDr,MOD($L61,10000)),0))</f>
        <v/>
      </c>
      <c r="I61" s="95">
        <f>IF($L61="","",IF(INDEX(j_CrAcct,MOD($L61,10000))=LedAcct,INDEX(j_CrAmt,MOD($L61,10000)),0)+IF(LedAcct=acctTax,INDEX(j_TaxCr,MOD($L61,10000)),0))</f>
        <v/>
      </c>
      <c r="J61" s="95">
        <f>IF($L61="","",N(J60)+LedSign*(H61-I61))</f>
        <v/>
      </c>
      <c r="L61" s="96">
        <f>IFERROR(SMALL(j_Key,46),"")</f>
        <v/>
      </c>
    </row>
    <row r="62">
      <c r="B62" s="58">
        <f>IF($L62="","",47)</f>
        <v/>
      </c>
      <c r="C62" s="94">
        <f>IF($L62="","",INDEX(j_Date,MOD($L62,10000)))</f>
        <v/>
      </c>
      <c r="D62" s="58">
        <f>IF($L62="","",INDEX(j_Source,MOD($L62,10000)))</f>
        <v/>
      </c>
      <c r="E62" s="58">
        <f>IF($L62="","",INDEX(j_ID,MOD($L62,10000)))</f>
        <v/>
      </c>
      <c r="F62" s="58">
        <f>IF($L62="","",INDEX(j_Desc,MOD($L62,10000)))</f>
        <v/>
      </c>
      <c r="G62" s="58">
        <f>IF($L62="","",INDEX(j_Party,MOD($L62,10000)))</f>
        <v/>
      </c>
      <c r="H62" s="95">
        <f>IF($L62="","",IF(INDEX(j_DrAcct,MOD($L62,10000))=LedAcct,INDEX(j_DrAmt,MOD($L62,10000)),0)+IF(LedAcct=acctTax,INDEX(j_TaxDr,MOD($L62,10000)),0))</f>
        <v/>
      </c>
      <c r="I62" s="95">
        <f>IF($L62="","",IF(INDEX(j_CrAcct,MOD($L62,10000))=LedAcct,INDEX(j_CrAmt,MOD($L62,10000)),0)+IF(LedAcct=acctTax,INDEX(j_TaxCr,MOD($L62,10000)),0))</f>
        <v/>
      </c>
      <c r="J62" s="95">
        <f>IF($L62="","",N(J61)+LedSign*(H62-I62))</f>
        <v/>
      </c>
      <c r="L62" s="96">
        <f>IFERROR(SMALL(j_Key,47),"")</f>
        <v/>
      </c>
    </row>
    <row r="63">
      <c r="B63" s="58">
        <f>IF($L63="","",48)</f>
        <v/>
      </c>
      <c r="C63" s="94">
        <f>IF($L63="","",INDEX(j_Date,MOD($L63,10000)))</f>
        <v/>
      </c>
      <c r="D63" s="58">
        <f>IF($L63="","",INDEX(j_Source,MOD($L63,10000)))</f>
        <v/>
      </c>
      <c r="E63" s="58">
        <f>IF($L63="","",INDEX(j_ID,MOD($L63,10000)))</f>
        <v/>
      </c>
      <c r="F63" s="58">
        <f>IF($L63="","",INDEX(j_Desc,MOD($L63,10000)))</f>
        <v/>
      </c>
      <c r="G63" s="58">
        <f>IF($L63="","",INDEX(j_Party,MOD($L63,10000)))</f>
        <v/>
      </c>
      <c r="H63" s="95">
        <f>IF($L63="","",IF(INDEX(j_DrAcct,MOD($L63,10000))=LedAcct,INDEX(j_DrAmt,MOD($L63,10000)),0)+IF(LedAcct=acctTax,INDEX(j_TaxDr,MOD($L63,10000)),0))</f>
        <v/>
      </c>
      <c r="I63" s="95">
        <f>IF($L63="","",IF(INDEX(j_CrAcct,MOD($L63,10000))=LedAcct,INDEX(j_CrAmt,MOD($L63,10000)),0)+IF(LedAcct=acctTax,INDEX(j_TaxCr,MOD($L63,10000)),0))</f>
        <v/>
      </c>
      <c r="J63" s="95">
        <f>IF($L63="","",N(J62)+LedSign*(H63-I63))</f>
        <v/>
      </c>
      <c r="L63" s="96">
        <f>IFERROR(SMALL(j_Key,48),"")</f>
        <v/>
      </c>
    </row>
    <row r="64">
      <c r="B64" s="58">
        <f>IF($L64="","",49)</f>
        <v/>
      </c>
      <c r="C64" s="94">
        <f>IF($L64="","",INDEX(j_Date,MOD($L64,10000)))</f>
        <v/>
      </c>
      <c r="D64" s="58">
        <f>IF($L64="","",INDEX(j_Source,MOD($L64,10000)))</f>
        <v/>
      </c>
      <c r="E64" s="58">
        <f>IF($L64="","",INDEX(j_ID,MOD($L64,10000)))</f>
        <v/>
      </c>
      <c r="F64" s="58">
        <f>IF($L64="","",INDEX(j_Desc,MOD($L64,10000)))</f>
        <v/>
      </c>
      <c r="G64" s="58">
        <f>IF($L64="","",INDEX(j_Party,MOD($L64,10000)))</f>
        <v/>
      </c>
      <c r="H64" s="95">
        <f>IF($L64="","",IF(INDEX(j_DrAcct,MOD($L64,10000))=LedAcct,INDEX(j_DrAmt,MOD($L64,10000)),0)+IF(LedAcct=acctTax,INDEX(j_TaxDr,MOD($L64,10000)),0))</f>
        <v/>
      </c>
      <c r="I64" s="95">
        <f>IF($L64="","",IF(INDEX(j_CrAcct,MOD($L64,10000))=LedAcct,INDEX(j_CrAmt,MOD($L64,10000)),0)+IF(LedAcct=acctTax,INDEX(j_TaxCr,MOD($L64,10000)),0))</f>
        <v/>
      </c>
      <c r="J64" s="95">
        <f>IF($L64="","",N(J63)+LedSign*(H64-I64))</f>
        <v/>
      </c>
      <c r="L64" s="96">
        <f>IFERROR(SMALL(j_Key,49),"")</f>
        <v/>
      </c>
    </row>
    <row r="65">
      <c r="B65" s="58">
        <f>IF($L65="","",50)</f>
        <v/>
      </c>
      <c r="C65" s="94">
        <f>IF($L65="","",INDEX(j_Date,MOD($L65,10000)))</f>
        <v/>
      </c>
      <c r="D65" s="58">
        <f>IF($L65="","",INDEX(j_Source,MOD($L65,10000)))</f>
        <v/>
      </c>
      <c r="E65" s="58">
        <f>IF($L65="","",INDEX(j_ID,MOD($L65,10000)))</f>
        <v/>
      </c>
      <c r="F65" s="58">
        <f>IF($L65="","",INDEX(j_Desc,MOD($L65,10000)))</f>
        <v/>
      </c>
      <c r="G65" s="58">
        <f>IF($L65="","",INDEX(j_Party,MOD($L65,10000)))</f>
        <v/>
      </c>
      <c r="H65" s="95">
        <f>IF($L65="","",IF(INDEX(j_DrAcct,MOD($L65,10000))=LedAcct,INDEX(j_DrAmt,MOD($L65,10000)),0)+IF(LedAcct=acctTax,INDEX(j_TaxDr,MOD($L65,10000)),0))</f>
        <v/>
      </c>
      <c r="I65" s="95">
        <f>IF($L65="","",IF(INDEX(j_CrAcct,MOD($L65,10000))=LedAcct,INDEX(j_CrAmt,MOD($L65,10000)),0)+IF(LedAcct=acctTax,INDEX(j_TaxCr,MOD($L65,10000)),0))</f>
        <v/>
      </c>
      <c r="J65" s="95">
        <f>IF($L65="","",N(J64)+LedSign*(H65-I65))</f>
        <v/>
      </c>
      <c r="L65" s="96">
        <f>IFERROR(SMALL(j_Key,50),"")</f>
        <v/>
      </c>
    </row>
    <row r="66">
      <c r="B66" s="58">
        <f>IF($L66="","",51)</f>
        <v/>
      </c>
      <c r="C66" s="94">
        <f>IF($L66="","",INDEX(j_Date,MOD($L66,10000)))</f>
        <v/>
      </c>
      <c r="D66" s="58">
        <f>IF($L66="","",INDEX(j_Source,MOD($L66,10000)))</f>
        <v/>
      </c>
      <c r="E66" s="58">
        <f>IF($L66="","",INDEX(j_ID,MOD($L66,10000)))</f>
        <v/>
      </c>
      <c r="F66" s="58">
        <f>IF($L66="","",INDEX(j_Desc,MOD($L66,10000)))</f>
        <v/>
      </c>
      <c r="G66" s="58">
        <f>IF($L66="","",INDEX(j_Party,MOD($L66,10000)))</f>
        <v/>
      </c>
      <c r="H66" s="95">
        <f>IF($L66="","",IF(INDEX(j_DrAcct,MOD($L66,10000))=LedAcct,INDEX(j_DrAmt,MOD($L66,10000)),0)+IF(LedAcct=acctTax,INDEX(j_TaxDr,MOD($L66,10000)),0))</f>
        <v/>
      </c>
      <c r="I66" s="95">
        <f>IF($L66="","",IF(INDEX(j_CrAcct,MOD($L66,10000))=LedAcct,INDEX(j_CrAmt,MOD($L66,10000)),0)+IF(LedAcct=acctTax,INDEX(j_TaxCr,MOD($L66,10000)),0))</f>
        <v/>
      </c>
      <c r="J66" s="95">
        <f>IF($L66="","",N(J65)+LedSign*(H66-I66))</f>
        <v/>
      </c>
      <c r="L66" s="96">
        <f>IFERROR(SMALL(j_Key,51),"")</f>
        <v/>
      </c>
    </row>
    <row r="67">
      <c r="B67" s="58">
        <f>IF($L67="","",52)</f>
        <v/>
      </c>
      <c r="C67" s="94">
        <f>IF($L67="","",INDEX(j_Date,MOD($L67,10000)))</f>
        <v/>
      </c>
      <c r="D67" s="58">
        <f>IF($L67="","",INDEX(j_Source,MOD($L67,10000)))</f>
        <v/>
      </c>
      <c r="E67" s="58">
        <f>IF($L67="","",INDEX(j_ID,MOD($L67,10000)))</f>
        <v/>
      </c>
      <c r="F67" s="58">
        <f>IF($L67="","",INDEX(j_Desc,MOD($L67,10000)))</f>
        <v/>
      </c>
      <c r="G67" s="58">
        <f>IF($L67="","",INDEX(j_Party,MOD($L67,10000)))</f>
        <v/>
      </c>
      <c r="H67" s="95">
        <f>IF($L67="","",IF(INDEX(j_DrAcct,MOD($L67,10000))=LedAcct,INDEX(j_DrAmt,MOD($L67,10000)),0)+IF(LedAcct=acctTax,INDEX(j_TaxDr,MOD($L67,10000)),0))</f>
        <v/>
      </c>
      <c r="I67" s="95">
        <f>IF($L67="","",IF(INDEX(j_CrAcct,MOD($L67,10000))=LedAcct,INDEX(j_CrAmt,MOD($L67,10000)),0)+IF(LedAcct=acctTax,INDEX(j_TaxCr,MOD($L67,10000)),0))</f>
        <v/>
      </c>
      <c r="J67" s="95">
        <f>IF($L67="","",N(J66)+LedSign*(H67-I67))</f>
        <v/>
      </c>
      <c r="L67" s="96">
        <f>IFERROR(SMALL(j_Key,52),"")</f>
        <v/>
      </c>
    </row>
    <row r="68">
      <c r="B68" s="58">
        <f>IF($L68="","",53)</f>
        <v/>
      </c>
      <c r="C68" s="94">
        <f>IF($L68="","",INDEX(j_Date,MOD($L68,10000)))</f>
        <v/>
      </c>
      <c r="D68" s="58">
        <f>IF($L68="","",INDEX(j_Source,MOD($L68,10000)))</f>
        <v/>
      </c>
      <c r="E68" s="58">
        <f>IF($L68="","",INDEX(j_ID,MOD($L68,10000)))</f>
        <v/>
      </c>
      <c r="F68" s="58">
        <f>IF($L68="","",INDEX(j_Desc,MOD($L68,10000)))</f>
        <v/>
      </c>
      <c r="G68" s="58">
        <f>IF($L68="","",INDEX(j_Party,MOD($L68,10000)))</f>
        <v/>
      </c>
      <c r="H68" s="95">
        <f>IF($L68="","",IF(INDEX(j_DrAcct,MOD($L68,10000))=LedAcct,INDEX(j_DrAmt,MOD($L68,10000)),0)+IF(LedAcct=acctTax,INDEX(j_TaxDr,MOD($L68,10000)),0))</f>
        <v/>
      </c>
      <c r="I68" s="95">
        <f>IF($L68="","",IF(INDEX(j_CrAcct,MOD($L68,10000))=LedAcct,INDEX(j_CrAmt,MOD($L68,10000)),0)+IF(LedAcct=acctTax,INDEX(j_TaxCr,MOD($L68,10000)),0))</f>
        <v/>
      </c>
      <c r="J68" s="95">
        <f>IF($L68="","",N(J67)+LedSign*(H68-I68))</f>
        <v/>
      </c>
      <c r="L68" s="96">
        <f>IFERROR(SMALL(j_Key,53),"")</f>
        <v/>
      </c>
    </row>
    <row r="69">
      <c r="B69" s="58">
        <f>IF($L69="","",54)</f>
        <v/>
      </c>
      <c r="C69" s="94">
        <f>IF($L69="","",INDEX(j_Date,MOD($L69,10000)))</f>
        <v/>
      </c>
      <c r="D69" s="58">
        <f>IF($L69="","",INDEX(j_Source,MOD($L69,10000)))</f>
        <v/>
      </c>
      <c r="E69" s="58">
        <f>IF($L69="","",INDEX(j_ID,MOD($L69,10000)))</f>
        <v/>
      </c>
      <c r="F69" s="58">
        <f>IF($L69="","",INDEX(j_Desc,MOD($L69,10000)))</f>
        <v/>
      </c>
      <c r="G69" s="58">
        <f>IF($L69="","",INDEX(j_Party,MOD($L69,10000)))</f>
        <v/>
      </c>
      <c r="H69" s="95">
        <f>IF($L69="","",IF(INDEX(j_DrAcct,MOD($L69,10000))=LedAcct,INDEX(j_DrAmt,MOD($L69,10000)),0)+IF(LedAcct=acctTax,INDEX(j_TaxDr,MOD($L69,10000)),0))</f>
        <v/>
      </c>
      <c r="I69" s="95">
        <f>IF($L69="","",IF(INDEX(j_CrAcct,MOD($L69,10000))=LedAcct,INDEX(j_CrAmt,MOD($L69,10000)),0)+IF(LedAcct=acctTax,INDEX(j_TaxCr,MOD($L69,10000)),0))</f>
        <v/>
      </c>
      <c r="J69" s="95">
        <f>IF($L69="","",N(J68)+LedSign*(H69-I69))</f>
        <v/>
      </c>
      <c r="L69" s="96">
        <f>IFERROR(SMALL(j_Key,54),"")</f>
        <v/>
      </c>
    </row>
    <row r="70">
      <c r="B70" s="58">
        <f>IF($L70="","",55)</f>
        <v/>
      </c>
      <c r="C70" s="94">
        <f>IF($L70="","",INDEX(j_Date,MOD($L70,10000)))</f>
        <v/>
      </c>
      <c r="D70" s="58">
        <f>IF($L70="","",INDEX(j_Source,MOD($L70,10000)))</f>
        <v/>
      </c>
      <c r="E70" s="58">
        <f>IF($L70="","",INDEX(j_ID,MOD($L70,10000)))</f>
        <v/>
      </c>
      <c r="F70" s="58">
        <f>IF($L70="","",INDEX(j_Desc,MOD($L70,10000)))</f>
        <v/>
      </c>
      <c r="G70" s="58">
        <f>IF($L70="","",INDEX(j_Party,MOD($L70,10000)))</f>
        <v/>
      </c>
      <c r="H70" s="95">
        <f>IF($L70="","",IF(INDEX(j_DrAcct,MOD($L70,10000))=LedAcct,INDEX(j_DrAmt,MOD($L70,10000)),0)+IF(LedAcct=acctTax,INDEX(j_TaxDr,MOD($L70,10000)),0))</f>
        <v/>
      </c>
      <c r="I70" s="95">
        <f>IF($L70="","",IF(INDEX(j_CrAcct,MOD($L70,10000))=LedAcct,INDEX(j_CrAmt,MOD($L70,10000)),0)+IF(LedAcct=acctTax,INDEX(j_TaxCr,MOD($L70,10000)),0))</f>
        <v/>
      </c>
      <c r="J70" s="95">
        <f>IF($L70="","",N(J69)+LedSign*(H70-I70))</f>
        <v/>
      </c>
      <c r="L70" s="96">
        <f>IFERROR(SMALL(j_Key,55),"")</f>
        <v/>
      </c>
    </row>
    <row r="71">
      <c r="B71" s="58">
        <f>IF($L71="","",56)</f>
        <v/>
      </c>
      <c r="C71" s="94">
        <f>IF($L71="","",INDEX(j_Date,MOD($L71,10000)))</f>
        <v/>
      </c>
      <c r="D71" s="58">
        <f>IF($L71="","",INDEX(j_Source,MOD($L71,10000)))</f>
        <v/>
      </c>
      <c r="E71" s="58">
        <f>IF($L71="","",INDEX(j_ID,MOD($L71,10000)))</f>
        <v/>
      </c>
      <c r="F71" s="58">
        <f>IF($L71="","",INDEX(j_Desc,MOD($L71,10000)))</f>
        <v/>
      </c>
      <c r="G71" s="58">
        <f>IF($L71="","",INDEX(j_Party,MOD($L71,10000)))</f>
        <v/>
      </c>
      <c r="H71" s="95">
        <f>IF($L71="","",IF(INDEX(j_DrAcct,MOD($L71,10000))=LedAcct,INDEX(j_DrAmt,MOD($L71,10000)),0)+IF(LedAcct=acctTax,INDEX(j_TaxDr,MOD($L71,10000)),0))</f>
        <v/>
      </c>
      <c r="I71" s="95">
        <f>IF($L71="","",IF(INDEX(j_CrAcct,MOD($L71,10000))=LedAcct,INDEX(j_CrAmt,MOD($L71,10000)),0)+IF(LedAcct=acctTax,INDEX(j_TaxCr,MOD($L71,10000)),0))</f>
        <v/>
      </c>
      <c r="J71" s="95">
        <f>IF($L71="","",N(J70)+LedSign*(H71-I71))</f>
        <v/>
      </c>
      <c r="L71" s="96">
        <f>IFERROR(SMALL(j_Key,56),"")</f>
        <v/>
      </c>
    </row>
    <row r="72">
      <c r="B72" s="58">
        <f>IF($L72="","",57)</f>
        <v/>
      </c>
      <c r="C72" s="94">
        <f>IF($L72="","",INDEX(j_Date,MOD($L72,10000)))</f>
        <v/>
      </c>
      <c r="D72" s="58">
        <f>IF($L72="","",INDEX(j_Source,MOD($L72,10000)))</f>
        <v/>
      </c>
      <c r="E72" s="58">
        <f>IF($L72="","",INDEX(j_ID,MOD($L72,10000)))</f>
        <v/>
      </c>
      <c r="F72" s="58">
        <f>IF($L72="","",INDEX(j_Desc,MOD($L72,10000)))</f>
        <v/>
      </c>
      <c r="G72" s="58">
        <f>IF($L72="","",INDEX(j_Party,MOD($L72,10000)))</f>
        <v/>
      </c>
      <c r="H72" s="95">
        <f>IF($L72="","",IF(INDEX(j_DrAcct,MOD($L72,10000))=LedAcct,INDEX(j_DrAmt,MOD($L72,10000)),0)+IF(LedAcct=acctTax,INDEX(j_TaxDr,MOD($L72,10000)),0))</f>
        <v/>
      </c>
      <c r="I72" s="95">
        <f>IF($L72="","",IF(INDEX(j_CrAcct,MOD($L72,10000))=LedAcct,INDEX(j_CrAmt,MOD($L72,10000)),0)+IF(LedAcct=acctTax,INDEX(j_TaxCr,MOD($L72,10000)),0))</f>
        <v/>
      </c>
      <c r="J72" s="95">
        <f>IF($L72="","",N(J71)+LedSign*(H72-I72))</f>
        <v/>
      </c>
      <c r="L72" s="96">
        <f>IFERROR(SMALL(j_Key,57),"")</f>
        <v/>
      </c>
    </row>
    <row r="73">
      <c r="B73" s="58">
        <f>IF($L73="","",58)</f>
        <v/>
      </c>
      <c r="C73" s="94">
        <f>IF($L73="","",INDEX(j_Date,MOD($L73,10000)))</f>
        <v/>
      </c>
      <c r="D73" s="58">
        <f>IF($L73="","",INDEX(j_Source,MOD($L73,10000)))</f>
        <v/>
      </c>
      <c r="E73" s="58">
        <f>IF($L73="","",INDEX(j_ID,MOD($L73,10000)))</f>
        <v/>
      </c>
      <c r="F73" s="58">
        <f>IF($L73="","",INDEX(j_Desc,MOD($L73,10000)))</f>
        <v/>
      </c>
      <c r="G73" s="58">
        <f>IF($L73="","",INDEX(j_Party,MOD($L73,10000)))</f>
        <v/>
      </c>
      <c r="H73" s="95">
        <f>IF($L73="","",IF(INDEX(j_DrAcct,MOD($L73,10000))=LedAcct,INDEX(j_DrAmt,MOD($L73,10000)),0)+IF(LedAcct=acctTax,INDEX(j_TaxDr,MOD($L73,10000)),0))</f>
        <v/>
      </c>
      <c r="I73" s="95">
        <f>IF($L73="","",IF(INDEX(j_CrAcct,MOD($L73,10000))=LedAcct,INDEX(j_CrAmt,MOD($L73,10000)),0)+IF(LedAcct=acctTax,INDEX(j_TaxCr,MOD($L73,10000)),0))</f>
        <v/>
      </c>
      <c r="J73" s="95">
        <f>IF($L73="","",N(J72)+LedSign*(H73-I73))</f>
        <v/>
      </c>
      <c r="L73" s="96">
        <f>IFERROR(SMALL(j_Key,58),"")</f>
        <v/>
      </c>
    </row>
    <row r="74">
      <c r="B74" s="58">
        <f>IF($L74="","",59)</f>
        <v/>
      </c>
      <c r="C74" s="94">
        <f>IF($L74="","",INDEX(j_Date,MOD($L74,10000)))</f>
        <v/>
      </c>
      <c r="D74" s="58">
        <f>IF($L74="","",INDEX(j_Source,MOD($L74,10000)))</f>
        <v/>
      </c>
      <c r="E74" s="58">
        <f>IF($L74="","",INDEX(j_ID,MOD($L74,10000)))</f>
        <v/>
      </c>
      <c r="F74" s="58">
        <f>IF($L74="","",INDEX(j_Desc,MOD($L74,10000)))</f>
        <v/>
      </c>
      <c r="G74" s="58">
        <f>IF($L74="","",INDEX(j_Party,MOD($L74,10000)))</f>
        <v/>
      </c>
      <c r="H74" s="95">
        <f>IF($L74="","",IF(INDEX(j_DrAcct,MOD($L74,10000))=LedAcct,INDEX(j_DrAmt,MOD($L74,10000)),0)+IF(LedAcct=acctTax,INDEX(j_TaxDr,MOD($L74,10000)),0))</f>
        <v/>
      </c>
      <c r="I74" s="95">
        <f>IF($L74="","",IF(INDEX(j_CrAcct,MOD($L74,10000))=LedAcct,INDEX(j_CrAmt,MOD($L74,10000)),0)+IF(LedAcct=acctTax,INDEX(j_TaxCr,MOD($L74,10000)),0))</f>
        <v/>
      </c>
      <c r="J74" s="95">
        <f>IF($L74="","",N(J73)+LedSign*(H74-I74))</f>
        <v/>
      </c>
      <c r="L74" s="96">
        <f>IFERROR(SMALL(j_Key,59),"")</f>
        <v/>
      </c>
    </row>
    <row r="75">
      <c r="B75" s="58">
        <f>IF($L75="","",60)</f>
        <v/>
      </c>
      <c r="C75" s="94">
        <f>IF($L75="","",INDEX(j_Date,MOD($L75,10000)))</f>
        <v/>
      </c>
      <c r="D75" s="58">
        <f>IF($L75="","",INDEX(j_Source,MOD($L75,10000)))</f>
        <v/>
      </c>
      <c r="E75" s="58">
        <f>IF($L75="","",INDEX(j_ID,MOD($L75,10000)))</f>
        <v/>
      </c>
      <c r="F75" s="58">
        <f>IF($L75="","",INDEX(j_Desc,MOD($L75,10000)))</f>
        <v/>
      </c>
      <c r="G75" s="58">
        <f>IF($L75="","",INDEX(j_Party,MOD($L75,10000)))</f>
        <v/>
      </c>
      <c r="H75" s="95">
        <f>IF($L75="","",IF(INDEX(j_DrAcct,MOD($L75,10000))=LedAcct,INDEX(j_DrAmt,MOD($L75,10000)),0)+IF(LedAcct=acctTax,INDEX(j_TaxDr,MOD($L75,10000)),0))</f>
        <v/>
      </c>
      <c r="I75" s="95">
        <f>IF($L75="","",IF(INDEX(j_CrAcct,MOD($L75,10000))=LedAcct,INDEX(j_CrAmt,MOD($L75,10000)),0)+IF(LedAcct=acctTax,INDEX(j_TaxCr,MOD($L75,10000)),0))</f>
        <v/>
      </c>
      <c r="J75" s="95">
        <f>IF($L75="","",N(J74)+LedSign*(H75-I75))</f>
        <v/>
      </c>
      <c r="L75" s="96">
        <f>IFERROR(SMALL(j_Key,60),"")</f>
        <v/>
      </c>
    </row>
    <row r="76">
      <c r="B76" s="58">
        <f>IF($L76="","",61)</f>
        <v/>
      </c>
      <c r="C76" s="94">
        <f>IF($L76="","",INDEX(j_Date,MOD($L76,10000)))</f>
        <v/>
      </c>
      <c r="D76" s="58">
        <f>IF($L76="","",INDEX(j_Source,MOD($L76,10000)))</f>
        <v/>
      </c>
      <c r="E76" s="58">
        <f>IF($L76="","",INDEX(j_ID,MOD($L76,10000)))</f>
        <v/>
      </c>
      <c r="F76" s="58">
        <f>IF($L76="","",INDEX(j_Desc,MOD($L76,10000)))</f>
        <v/>
      </c>
      <c r="G76" s="58">
        <f>IF($L76="","",INDEX(j_Party,MOD($L76,10000)))</f>
        <v/>
      </c>
      <c r="H76" s="95">
        <f>IF($L76="","",IF(INDEX(j_DrAcct,MOD($L76,10000))=LedAcct,INDEX(j_DrAmt,MOD($L76,10000)),0)+IF(LedAcct=acctTax,INDEX(j_TaxDr,MOD($L76,10000)),0))</f>
        <v/>
      </c>
      <c r="I76" s="95">
        <f>IF($L76="","",IF(INDEX(j_CrAcct,MOD($L76,10000))=LedAcct,INDEX(j_CrAmt,MOD($L76,10000)),0)+IF(LedAcct=acctTax,INDEX(j_TaxCr,MOD($L76,10000)),0))</f>
        <v/>
      </c>
      <c r="J76" s="95">
        <f>IF($L76="","",N(J75)+LedSign*(H76-I76))</f>
        <v/>
      </c>
      <c r="L76" s="96">
        <f>IFERROR(SMALL(j_Key,61),"")</f>
        <v/>
      </c>
    </row>
    <row r="77">
      <c r="B77" s="58">
        <f>IF($L77="","",62)</f>
        <v/>
      </c>
      <c r="C77" s="94">
        <f>IF($L77="","",INDEX(j_Date,MOD($L77,10000)))</f>
        <v/>
      </c>
      <c r="D77" s="58">
        <f>IF($L77="","",INDEX(j_Source,MOD($L77,10000)))</f>
        <v/>
      </c>
      <c r="E77" s="58">
        <f>IF($L77="","",INDEX(j_ID,MOD($L77,10000)))</f>
        <v/>
      </c>
      <c r="F77" s="58">
        <f>IF($L77="","",INDEX(j_Desc,MOD($L77,10000)))</f>
        <v/>
      </c>
      <c r="G77" s="58">
        <f>IF($L77="","",INDEX(j_Party,MOD($L77,10000)))</f>
        <v/>
      </c>
      <c r="H77" s="95">
        <f>IF($L77="","",IF(INDEX(j_DrAcct,MOD($L77,10000))=LedAcct,INDEX(j_DrAmt,MOD($L77,10000)),0)+IF(LedAcct=acctTax,INDEX(j_TaxDr,MOD($L77,10000)),0))</f>
        <v/>
      </c>
      <c r="I77" s="95">
        <f>IF($L77="","",IF(INDEX(j_CrAcct,MOD($L77,10000))=LedAcct,INDEX(j_CrAmt,MOD($L77,10000)),0)+IF(LedAcct=acctTax,INDEX(j_TaxCr,MOD($L77,10000)),0))</f>
        <v/>
      </c>
      <c r="J77" s="95">
        <f>IF($L77="","",N(J76)+LedSign*(H77-I77))</f>
        <v/>
      </c>
      <c r="L77" s="96">
        <f>IFERROR(SMALL(j_Key,62),"")</f>
        <v/>
      </c>
    </row>
    <row r="78">
      <c r="B78" s="58">
        <f>IF($L78="","",63)</f>
        <v/>
      </c>
      <c r="C78" s="94">
        <f>IF($L78="","",INDEX(j_Date,MOD($L78,10000)))</f>
        <v/>
      </c>
      <c r="D78" s="58">
        <f>IF($L78="","",INDEX(j_Source,MOD($L78,10000)))</f>
        <v/>
      </c>
      <c r="E78" s="58">
        <f>IF($L78="","",INDEX(j_ID,MOD($L78,10000)))</f>
        <v/>
      </c>
      <c r="F78" s="58">
        <f>IF($L78="","",INDEX(j_Desc,MOD($L78,10000)))</f>
        <v/>
      </c>
      <c r="G78" s="58">
        <f>IF($L78="","",INDEX(j_Party,MOD($L78,10000)))</f>
        <v/>
      </c>
      <c r="H78" s="95">
        <f>IF($L78="","",IF(INDEX(j_DrAcct,MOD($L78,10000))=LedAcct,INDEX(j_DrAmt,MOD($L78,10000)),0)+IF(LedAcct=acctTax,INDEX(j_TaxDr,MOD($L78,10000)),0))</f>
        <v/>
      </c>
      <c r="I78" s="95">
        <f>IF($L78="","",IF(INDEX(j_CrAcct,MOD($L78,10000))=LedAcct,INDEX(j_CrAmt,MOD($L78,10000)),0)+IF(LedAcct=acctTax,INDEX(j_TaxCr,MOD($L78,10000)),0))</f>
        <v/>
      </c>
      <c r="J78" s="95">
        <f>IF($L78="","",N(J77)+LedSign*(H78-I78))</f>
        <v/>
      </c>
      <c r="L78" s="96">
        <f>IFERROR(SMALL(j_Key,63),"")</f>
        <v/>
      </c>
    </row>
    <row r="79">
      <c r="B79" s="58">
        <f>IF($L79="","",64)</f>
        <v/>
      </c>
      <c r="C79" s="94">
        <f>IF($L79="","",INDEX(j_Date,MOD($L79,10000)))</f>
        <v/>
      </c>
      <c r="D79" s="58">
        <f>IF($L79="","",INDEX(j_Source,MOD($L79,10000)))</f>
        <v/>
      </c>
      <c r="E79" s="58">
        <f>IF($L79="","",INDEX(j_ID,MOD($L79,10000)))</f>
        <v/>
      </c>
      <c r="F79" s="58">
        <f>IF($L79="","",INDEX(j_Desc,MOD($L79,10000)))</f>
        <v/>
      </c>
      <c r="G79" s="58">
        <f>IF($L79="","",INDEX(j_Party,MOD($L79,10000)))</f>
        <v/>
      </c>
      <c r="H79" s="95">
        <f>IF($L79="","",IF(INDEX(j_DrAcct,MOD($L79,10000))=LedAcct,INDEX(j_DrAmt,MOD($L79,10000)),0)+IF(LedAcct=acctTax,INDEX(j_TaxDr,MOD($L79,10000)),0))</f>
        <v/>
      </c>
      <c r="I79" s="95">
        <f>IF($L79="","",IF(INDEX(j_CrAcct,MOD($L79,10000))=LedAcct,INDEX(j_CrAmt,MOD($L79,10000)),0)+IF(LedAcct=acctTax,INDEX(j_TaxCr,MOD($L79,10000)),0))</f>
        <v/>
      </c>
      <c r="J79" s="95">
        <f>IF($L79="","",N(J78)+LedSign*(H79-I79))</f>
        <v/>
      </c>
      <c r="L79" s="96">
        <f>IFERROR(SMALL(j_Key,64),"")</f>
        <v/>
      </c>
    </row>
    <row r="80">
      <c r="B80" s="58">
        <f>IF($L80="","",65)</f>
        <v/>
      </c>
      <c r="C80" s="94">
        <f>IF($L80="","",INDEX(j_Date,MOD($L80,10000)))</f>
        <v/>
      </c>
      <c r="D80" s="58">
        <f>IF($L80="","",INDEX(j_Source,MOD($L80,10000)))</f>
        <v/>
      </c>
      <c r="E80" s="58">
        <f>IF($L80="","",INDEX(j_ID,MOD($L80,10000)))</f>
        <v/>
      </c>
      <c r="F80" s="58">
        <f>IF($L80="","",INDEX(j_Desc,MOD($L80,10000)))</f>
        <v/>
      </c>
      <c r="G80" s="58">
        <f>IF($L80="","",INDEX(j_Party,MOD($L80,10000)))</f>
        <v/>
      </c>
      <c r="H80" s="95">
        <f>IF($L80="","",IF(INDEX(j_DrAcct,MOD($L80,10000))=LedAcct,INDEX(j_DrAmt,MOD($L80,10000)),0)+IF(LedAcct=acctTax,INDEX(j_TaxDr,MOD($L80,10000)),0))</f>
        <v/>
      </c>
      <c r="I80" s="95">
        <f>IF($L80="","",IF(INDEX(j_CrAcct,MOD($L80,10000))=LedAcct,INDEX(j_CrAmt,MOD($L80,10000)),0)+IF(LedAcct=acctTax,INDEX(j_TaxCr,MOD($L80,10000)),0))</f>
        <v/>
      </c>
      <c r="J80" s="95">
        <f>IF($L80="","",N(J79)+LedSign*(H80-I80))</f>
        <v/>
      </c>
      <c r="L80" s="96">
        <f>IFERROR(SMALL(j_Key,65),"")</f>
        <v/>
      </c>
    </row>
    <row r="81">
      <c r="B81" s="58">
        <f>IF($L81="","",66)</f>
        <v/>
      </c>
      <c r="C81" s="94">
        <f>IF($L81="","",INDEX(j_Date,MOD($L81,10000)))</f>
        <v/>
      </c>
      <c r="D81" s="58">
        <f>IF($L81="","",INDEX(j_Source,MOD($L81,10000)))</f>
        <v/>
      </c>
      <c r="E81" s="58">
        <f>IF($L81="","",INDEX(j_ID,MOD($L81,10000)))</f>
        <v/>
      </c>
      <c r="F81" s="58">
        <f>IF($L81="","",INDEX(j_Desc,MOD($L81,10000)))</f>
        <v/>
      </c>
      <c r="G81" s="58">
        <f>IF($L81="","",INDEX(j_Party,MOD($L81,10000)))</f>
        <v/>
      </c>
      <c r="H81" s="95">
        <f>IF($L81="","",IF(INDEX(j_DrAcct,MOD($L81,10000))=LedAcct,INDEX(j_DrAmt,MOD($L81,10000)),0)+IF(LedAcct=acctTax,INDEX(j_TaxDr,MOD($L81,10000)),0))</f>
        <v/>
      </c>
      <c r="I81" s="95">
        <f>IF($L81="","",IF(INDEX(j_CrAcct,MOD($L81,10000))=LedAcct,INDEX(j_CrAmt,MOD($L81,10000)),0)+IF(LedAcct=acctTax,INDEX(j_TaxCr,MOD($L81,10000)),0))</f>
        <v/>
      </c>
      <c r="J81" s="95">
        <f>IF($L81="","",N(J80)+LedSign*(H81-I81))</f>
        <v/>
      </c>
      <c r="L81" s="96">
        <f>IFERROR(SMALL(j_Key,66),"")</f>
        <v/>
      </c>
    </row>
    <row r="82">
      <c r="B82" s="58">
        <f>IF($L82="","",67)</f>
        <v/>
      </c>
      <c r="C82" s="94">
        <f>IF($L82="","",INDEX(j_Date,MOD($L82,10000)))</f>
        <v/>
      </c>
      <c r="D82" s="58">
        <f>IF($L82="","",INDEX(j_Source,MOD($L82,10000)))</f>
        <v/>
      </c>
      <c r="E82" s="58">
        <f>IF($L82="","",INDEX(j_ID,MOD($L82,10000)))</f>
        <v/>
      </c>
      <c r="F82" s="58">
        <f>IF($L82="","",INDEX(j_Desc,MOD($L82,10000)))</f>
        <v/>
      </c>
      <c r="G82" s="58">
        <f>IF($L82="","",INDEX(j_Party,MOD($L82,10000)))</f>
        <v/>
      </c>
      <c r="H82" s="95">
        <f>IF($L82="","",IF(INDEX(j_DrAcct,MOD($L82,10000))=LedAcct,INDEX(j_DrAmt,MOD($L82,10000)),0)+IF(LedAcct=acctTax,INDEX(j_TaxDr,MOD($L82,10000)),0))</f>
        <v/>
      </c>
      <c r="I82" s="95">
        <f>IF($L82="","",IF(INDEX(j_CrAcct,MOD($L82,10000))=LedAcct,INDEX(j_CrAmt,MOD($L82,10000)),0)+IF(LedAcct=acctTax,INDEX(j_TaxCr,MOD($L82,10000)),0))</f>
        <v/>
      </c>
      <c r="J82" s="95">
        <f>IF($L82="","",N(J81)+LedSign*(H82-I82))</f>
        <v/>
      </c>
      <c r="L82" s="96">
        <f>IFERROR(SMALL(j_Key,67),"")</f>
        <v/>
      </c>
    </row>
    <row r="83">
      <c r="B83" s="58">
        <f>IF($L83="","",68)</f>
        <v/>
      </c>
      <c r="C83" s="94">
        <f>IF($L83="","",INDEX(j_Date,MOD($L83,10000)))</f>
        <v/>
      </c>
      <c r="D83" s="58">
        <f>IF($L83="","",INDEX(j_Source,MOD($L83,10000)))</f>
        <v/>
      </c>
      <c r="E83" s="58">
        <f>IF($L83="","",INDEX(j_ID,MOD($L83,10000)))</f>
        <v/>
      </c>
      <c r="F83" s="58">
        <f>IF($L83="","",INDEX(j_Desc,MOD($L83,10000)))</f>
        <v/>
      </c>
      <c r="G83" s="58">
        <f>IF($L83="","",INDEX(j_Party,MOD($L83,10000)))</f>
        <v/>
      </c>
      <c r="H83" s="95">
        <f>IF($L83="","",IF(INDEX(j_DrAcct,MOD($L83,10000))=LedAcct,INDEX(j_DrAmt,MOD($L83,10000)),0)+IF(LedAcct=acctTax,INDEX(j_TaxDr,MOD($L83,10000)),0))</f>
        <v/>
      </c>
      <c r="I83" s="95">
        <f>IF($L83="","",IF(INDEX(j_CrAcct,MOD($L83,10000))=LedAcct,INDEX(j_CrAmt,MOD($L83,10000)),0)+IF(LedAcct=acctTax,INDEX(j_TaxCr,MOD($L83,10000)),0))</f>
        <v/>
      </c>
      <c r="J83" s="95">
        <f>IF($L83="","",N(J82)+LedSign*(H83-I83))</f>
        <v/>
      </c>
      <c r="L83" s="96">
        <f>IFERROR(SMALL(j_Key,68),"")</f>
        <v/>
      </c>
    </row>
    <row r="84">
      <c r="B84" s="58">
        <f>IF($L84="","",69)</f>
        <v/>
      </c>
      <c r="C84" s="94">
        <f>IF($L84="","",INDEX(j_Date,MOD($L84,10000)))</f>
        <v/>
      </c>
      <c r="D84" s="58">
        <f>IF($L84="","",INDEX(j_Source,MOD($L84,10000)))</f>
        <v/>
      </c>
      <c r="E84" s="58">
        <f>IF($L84="","",INDEX(j_ID,MOD($L84,10000)))</f>
        <v/>
      </c>
      <c r="F84" s="58">
        <f>IF($L84="","",INDEX(j_Desc,MOD($L84,10000)))</f>
        <v/>
      </c>
      <c r="G84" s="58">
        <f>IF($L84="","",INDEX(j_Party,MOD($L84,10000)))</f>
        <v/>
      </c>
      <c r="H84" s="95">
        <f>IF($L84="","",IF(INDEX(j_DrAcct,MOD($L84,10000))=LedAcct,INDEX(j_DrAmt,MOD($L84,10000)),0)+IF(LedAcct=acctTax,INDEX(j_TaxDr,MOD($L84,10000)),0))</f>
        <v/>
      </c>
      <c r="I84" s="95">
        <f>IF($L84="","",IF(INDEX(j_CrAcct,MOD($L84,10000))=LedAcct,INDEX(j_CrAmt,MOD($L84,10000)),0)+IF(LedAcct=acctTax,INDEX(j_TaxCr,MOD($L84,10000)),0))</f>
        <v/>
      </c>
      <c r="J84" s="95">
        <f>IF($L84="","",N(J83)+LedSign*(H84-I84))</f>
        <v/>
      </c>
      <c r="L84" s="96">
        <f>IFERROR(SMALL(j_Key,69),"")</f>
        <v/>
      </c>
    </row>
    <row r="85">
      <c r="B85" s="58">
        <f>IF($L85="","",70)</f>
        <v/>
      </c>
      <c r="C85" s="94">
        <f>IF($L85="","",INDEX(j_Date,MOD($L85,10000)))</f>
        <v/>
      </c>
      <c r="D85" s="58">
        <f>IF($L85="","",INDEX(j_Source,MOD($L85,10000)))</f>
        <v/>
      </c>
      <c r="E85" s="58">
        <f>IF($L85="","",INDEX(j_ID,MOD($L85,10000)))</f>
        <v/>
      </c>
      <c r="F85" s="58">
        <f>IF($L85="","",INDEX(j_Desc,MOD($L85,10000)))</f>
        <v/>
      </c>
      <c r="G85" s="58">
        <f>IF($L85="","",INDEX(j_Party,MOD($L85,10000)))</f>
        <v/>
      </c>
      <c r="H85" s="95">
        <f>IF($L85="","",IF(INDEX(j_DrAcct,MOD($L85,10000))=LedAcct,INDEX(j_DrAmt,MOD($L85,10000)),0)+IF(LedAcct=acctTax,INDEX(j_TaxDr,MOD($L85,10000)),0))</f>
        <v/>
      </c>
      <c r="I85" s="95">
        <f>IF($L85="","",IF(INDEX(j_CrAcct,MOD($L85,10000))=LedAcct,INDEX(j_CrAmt,MOD($L85,10000)),0)+IF(LedAcct=acctTax,INDEX(j_TaxCr,MOD($L85,10000)),0))</f>
        <v/>
      </c>
      <c r="J85" s="95">
        <f>IF($L85="","",N(J84)+LedSign*(H85-I85))</f>
        <v/>
      </c>
      <c r="L85" s="96">
        <f>IFERROR(SMALL(j_Key,70),"")</f>
        <v/>
      </c>
    </row>
    <row r="86">
      <c r="B86" s="58">
        <f>IF($L86="","",71)</f>
        <v/>
      </c>
      <c r="C86" s="94">
        <f>IF($L86="","",INDEX(j_Date,MOD($L86,10000)))</f>
        <v/>
      </c>
      <c r="D86" s="58">
        <f>IF($L86="","",INDEX(j_Source,MOD($L86,10000)))</f>
        <v/>
      </c>
      <c r="E86" s="58">
        <f>IF($L86="","",INDEX(j_ID,MOD($L86,10000)))</f>
        <v/>
      </c>
      <c r="F86" s="58">
        <f>IF($L86="","",INDEX(j_Desc,MOD($L86,10000)))</f>
        <v/>
      </c>
      <c r="G86" s="58">
        <f>IF($L86="","",INDEX(j_Party,MOD($L86,10000)))</f>
        <v/>
      </c>
      <c r="H86" s="95">
        <f>IF($L86="","",IF(INDEX(j_DrAcct,MOD($L86,10000))=LedAcct,INDEX(j_DrAmt,MOD($L86,10000)),0)+IF(LedAcct=acctTax,INDEX(j_TaxDr,MOD($L86,10000)),0))</f>
        <v/>
      </c>
      <c r="I86" s="95">
        <f>IF($L86="","",IF(INDEX(j_CrAcct,MOD($L86,10000))=LedAcct,INDEX(j_CrAmt,MOD($L86,10000)),0)+IF(LedAcct=acctTax,INDEX(j_TaxCr,MOD($L86,10000)),0))</f>
        <v/>
      </c>
      <c r="J86" s="95">
        <f>IF($L86="","",N(J85)+LedSign*(H86-I86))</f>
        <v/>
      </c>
      <c r="L86" s="96">
        <f>IFERROR(SMALL(j_Key,71),"")</f>
        <v/>
      </c>
    </row>
    <row r="87">
      <c r="B87" s="58">
        <f>IF($L87="","",72)</f>
        <v/>
      </c>
      <c r="C87" s="94">
        <f>IF($L87="","",INDEX(j_Date,MOD($L87,10000)))</f>
        <v/>
      </c>
      <c r="D87" s="58">
        <f>IF($L87="","",INDEX(j_Source,MOD($L87,10000)))</f>
        <v/>
      </c>
      <c r="E87" s="58">
        <f>IF($L87="","",INDEX(j_ID,MOD($L87,10000)))</f>
        <v/>
      </c>
      <c r="F87" s="58">
        <f>IF($L87="","",INDEX(j_Desc,MOD($L87,10000)))</f>
        <v/>
      </c>
      <c r="G87" s="58">
        <f>IF($L87="","",INDEX(j_Party,MOD($L87,10000)))</f>
        <v/>
      </c>
      <c r="H87" s="95">
        <f>IF($L87="","",IF(INDEX(j_DrAcct,MOD($L87,10000))=LedAcct,INDEX(j_DrAmt,MOD($L87,10000)),0)+IF(LedAcct=acctTax,INDEX(j_TaxDr,MOD($L87,10000)),0))</f>
        <v/>
      </c>
      <c r="I87" s="95">
        <f>IF($L87="","",IF(INDEX(j_CrAcct,MOD($L87,10000))=LedAcct,INDEX(j_CrAmt,MOD($L87,10000)),0)+IF(LedAcct=acctTax,INDEX(j_TaxCr,MOD($L87,10000)),0))</f>
        <v/>
      </c>
      <c r="J87" s="95">
        <f>IF($L87="","",N(J86)+LedSign*(H87-I87))</f>
        <v/>
      </c>
      <c r="L87" s="96">
        <f>IFERROR(SMALL(j_Key,72),"")</f>
        <v/>
      </c>
    </row>
    <row r="88">
      <c r="B88" s="58">
        <f>IF($L88="","",73)</f>
        <v/>
      </c>
      <c r="C88" s="94">
        <f>IF($L88="","",INDEX(j_Date,MOD($L88,10000)))</f>
        <v/>
      </c>
      <c r="D88" s="58">
        <f>IF($L88="","",INDEX(j_Source,MOD($L88,10000)))</f>
        <v/>
      </c>
      <c r="E88" s="58">
        <f>IF($L88="","",INDEX(j_ID,MOD($L88,10000)))</f>
        <v/>
      </c>
      <c r="F88" s="58">
        <f>IF($L88="","",INDEX(j_Desc,MOD($L88,10000)))</f>
        <v/>
      </c>
      <c r="G88" s="58">
        <f>IF($L88="","",INDEX(j_Party,MOD($L88,10000)))</f>
        <v/>
      </c>
      <c r="H88" s="95">
        <f>IF($L88="","",IF(INDEX(j_DrAcct,MOD($L88,10000))=LedAcct,INDEX(j_DrAmt,MOD($L88,10000)),0)+IF(LedAcct=acctTax,INDEX(j_TaxDr,MOD($L88,10000)),0))</f>
        <v/>
      </c>
      <c r="I88" s="95">
        <f>IF($L88="","",IF(INDEX(j_CrAcct,MOD($L88,10000))=LedAcct,INDEX(j_CrAmt,MOD($L88,10000)),0)+IF(LedAcct=acctTax,INDEX(j_TaxCr,MOD($L88,10000)),0))</f>
        <v/>
      </c>
      <c r="J88" s="95">
        <f>IF($L88="","",N(J87)+LedSign*(H88-I88))</f>
        <v/>
      </c>
      <c r="L88" s="96">
        <f>IFERROR(SMALL(j_Key,73),"")</f>
        <v/>
      </c>
    </row>
    <row r="89">
      <c r="B89" s="58">
        <f>IF($L89="","",74)</f>
        <v/>
      </c>
      <c r="C89" s="94">
        <f>IF($L89="","",INDEX(j_Date,MOD($L89,10000)))</f>
        <v/>
      </c>
      <c r="D89" s="58">
        <f>IF($L89="","",INDEX(j_Source,MOD($L89,10000)))</f>
        <v/>
      </c>
      <c r="E89" s="58">
        <f>IF($L89="","",INDEX(j_ID,MOD($L89,10000)))</f>
        <v/>
      </c>
      <c r="F89" s="58">
        <f>IF($L89="","",INDEX(j_Desc,MOD($L89,10000)))</f>
        <v/>
      </c>
      <c r="G89" s="58">
        <f>IF($L89="","",INDEX(j_Party,MOD($L89,10000)))</f>
        <v/>
      </c>
      <c r="H89" s="95">
        <f>IF($L89="","",IF(INDEX(j_DrAcct,MOD($L89,10000))=LedAcct,INDEX(j_DrAmt,MOD($L89,10000)),0)+IF(LedAcct=acctTax,INDEX(j_TaxDr,MOD($L89,10000)),0))</f>
        <v/>
      </c>
      <c r="I89" s="95">
        <f>IF($L89="","",IF(INDEX(j_CrAcct,MOD($L89,10000))=LedAcct,INDEX(j_CrAmt,MOD($L89,10000)),0)+IF(LedAcct=acctTax,INDEX(j_TaxCr,MOD($L89,10000)),0))</f>
        <v/>
      </c>
      <c r="J89" s="95">
        <f>IF($L89="","",N(J88)+LedSign*(H89-I89))</f>
        <v/>
      </c>
      <c r="L89" s="96">
        <f>IFERROR(SMALL(j_Key,74),"")</f>
        <v/>
      </c>
    </row>
    <row r="90">
      <c r="B90" s="58">
        <f>IF($L90="","",75)</f>
        <v/>
      </c>
      <c r="C90" s="94">
        <f>IF($L90="","",INDEX(j_Date,MOD($L90,10000)))</f>
        <v/>
      </c>
      <c r="D90" s="58">
        <f>IF($L90="","",INDEX(j_Source,MOD($L90,10000)))</f>
        <v/>
      </c>
      <c r="E90" s="58">
        <f>IF($L90="","",INDEX(j_ID,MOD($L90,10000)))</f>
        <v/>
      </c>
      <c r="F90" s="58">
        <f>IF($L90="","",INDEX(j_Desc,MOD($L90,10000)))</f>
        <v/>
      </c>
      <c r="G90" s="58">
        <f>IF($L90="","",INDEX(j_Party,MOD($L90,10000)))</f>
        <v/>
      </c>
      <c r="H90" s="95">
        <f>IF($L90="","",IF(INDEX(j_DrAcct,MOD($L90,10000))=LedAcct,INDEX(j_DrAmt,MOD($L90,10000)),0)+IF(LedAcct=acctTax,INDEX(j_TaxDr,MOD($L90,10000)),0))</f>
        <v/>
      </c>
      <c r="I90" s="95">
        <f>IF($L90="","",IF(INDEX(j_CrAcct,MOD($L90,10000))=LedAcct,INDEX(j_CrAmt,MOD($L90,10000)),0)+IF(LedAcct=acctTax,INDEX(j_TaxCr,MOD($L90,10000)),0))</f>
        <v/>
      </c>
      <c r="J90" s="95">
        <f>IF($L90="","",N(J89)+LedSign*(H90-I90))</f>
        <v/>
      </c>
      <c r="L90" s="96">
        <f>IFERROR(SMALL(j_Key,75),"")</f>
        <v/>
      </c>
    </row>
    <row r="91">
      <c r="B91" s="58">
        <f>IF($L91="","",76)</f>
        <v/>
      </c>
      <c r="C91" s="94">
        <f>IF($L91="","",INDEX(j_Date,MOD($L91,10000)))</f>
        <v/>
      </c>
      <c r="D91" s="58">
        <f>IF($L91="","",INDEX(j_Source,MOD($L91,10000)))</f>
        <v/>
      </c>
      <c r="E91" s="58">
        <f>IF($L91="","",INDEX(j_ID,MOD($L91,10000)))</f>
        <v/>
      </c>
      <c r="F91" s="58">
        <f>IF($L91="","",INDEX(j_Desc,MOD($L91,10000)))</f>
        <v/>
      </c>
      <c r="G91" s="58">
        <f>IF($L91="","",INDEX(j_Party,MOD($L91,10000)))</f>
        <v/>
      </c>
      <c r="H91" s="95">
        <f>IF($L91="","",IF(INDEX(j_DrAcct,MOD($L91,10000))=LedAcct,INDEX(j_DrAmt,MOD($L91,10000)),0)+IF(LedAcct=acctTax,INDEX(j_TaxDr,MOD($L91,10000)),0))</f>
        <v/>
      </c>
      <c r="I91" s="95">
        <f>IF($L91="","",IF(INDEX(j_CrAcct,MOD($L91,10000))=LedAcct,INDEX(j_CrAmt,MOD($L91,10000)),0)+IF(LedAcct=acctTax,INDEX(j_TaxCr,MOD($L91,10000)),0))</f>
        <v/>
      </c>
      <c r="J91" s="95">
        <f>IF($L91="","",N(J90)+LedSign*(H91-I91))</f>
        <v/>
      </c>
      <c r="L91" s="96">
        <f>IFERROR(SMALL(j_Key,76),"")</f>
        <v/>
      </c>
    </row>
    <row r="92">
      <c r="B92" s="58">
        <f>IF($L92="","",77)</f>
        <v/>
      </c>
      <c r="C92" s="94">
        <f>IF($L92="","",INDEX(j_Date,MOD($L92,10000)))</f>
        <v/>
      </c>
      <c r="D92" s="58">
        <f>IF($L92="","",INDEX(j_Source,MOD($L92,10000)))</f>
        <v/>
      </c>
      <c r="E92" s="58">
        <f>IF($L92="","",INDEX(j_ID,MOD($L92,10000)))</f>
        <v/>
      </c>
      <c r="F92" s="58">
        <f>IF($L92="","",INDEX(j_Desc,MOD($L92,10000)))</f>
        <v/>
      </c>
      <c r="G92" s="58">
        <f>IF($L92="","",INDEX(j_Party,MOD($L92,10000)))</f>
        <v/>
      </c>
      <c r="H92" s="95">
        <f>IF($L92="","",IF(INDEX(j_DrAcct,MOD($L92,10000))=LedAcct,INDEX(j_DrAmt,MOD($L92,10000)),0)+IF(LedAcct=acctTax,INDEX(j_TaxDr,MOD($L92,10000)),0))</f>
        <v/>
      </c>
      <c r="I92" s="95">
        <f>IF($L92="","",IF(INDEX(j_CrAcct,MOD($L92,10000))=LedAcct,INDEX(j_CrAmt,MOD($L92,10000)),0)+IF(LedAcct=acctTax,INDEX(j_TaxCr,MOD($L92,10000)),0))</f>
        <v/>
      </c>
      <c r="J92" s="95">
        <f>IF($L92="","",N(J91)+LedSign*(H92-I92))</f>
        <v/>
      </c>
      <c r="L92" s="96">
        <f>IFERROR(SMALL(j_Key,77),"")</f>
        <v/>
      </c>
    </row>
    <row r="93">
      <c r="B93" s="58">
        <f>IF($L93="","",78)</f>
        <v/>
      </c>
      <c r="C93" s="94">
        <f>IF($L93="","",INDEX(j_Date,MOD($L93,10000)))</f>
        <v/>
      </c>
      <c r="D93" s="58">
        <f>IF($L93="","",INDEX(j_Source,MOD($L93,10000)))</f>
        <v/>
      </c>
      <c r="E93" s="58">
        <f>IF($L93="","",INDEX(j_ID,MOD($L93,10000)))</f>
        <v/>
      </c>
      <c r="F93" s="58">
        <f>IF($L93="","",INDEX(j_Desc,MOD($L93,10000)))</f>
        <v/>
      </c>
      <c r="G93" s="58">
        <f>IF($L93="","",INDEX(j_Party,MOD($L93,10000)))</f>
        <v/>
      </c>
      <c r="H93" s="95">
        <f>IF($L93="","",IF(INDEX(j_DrAcct,MOD($L93,10000))=LedAcct,INDEX(j_DrAmt,MOD($L93,10000)),0)+IF(LedAcct=acctTax,INDEX(j_TaxDr,MOD($L93,10000)),0))</f>
        <v/>
      </c>
      <c r="I93" s="95">
        <f>IF($L93="","",IF(INDEX(j_CrAcct,MOD($L93,10000))=LedAcct,INDEX(j_CrAmt,MOD($L93,10000)),0)+IF(LedAcct=acctTax,INDEX(j_TaxCr,MOD($L93,10000)),0))</f>
        <v/>
      </c>
      <c r="J93" s="95">
        <f>IF($L93="","",N(J92)+LedSign*(H93-I93))</f>
        <v/>
      </c>
      <c r="L93" s="96">
        <f>IFERROR(SMALL(j_Key,78),"")</f>
        <v/>
      </c>
    </row>
    <row r="94">
      <c r="B94" s="58">
        <f>IF($L94="","",79)</f>
        <v/>
      </c>
      <c r="C94" s="94">
        <f>IF($L94="","",INDEX(j_Date,MOD($L94,10000)))</f>
        <v/>
      </c>
      <c r="D94" s="58">
        <f>IF($L94="","",INDEX(j_Source,MOD($L94,10000)))</f>
        <v/>
      </c>
      <c r="E94" s="58">
        <f>IF($L94="","",INDEX(j_ID,MOD($L94,10000)))</f>
        <v/>
      </c>
      <c r="F94" s="58">
        <f>IF($L94="","",INDEX(j_Desc,MOD($L94,10000)))</f>
        <v/>
      </c>
      <c r="G94" s="58">
        <f>IF($L94="","",INDEX(j_Party,MOD($L94,10000)))</f>
        <v/>
      </c>
      <c r="H94" s="95">
        <f>IF($L94="","",IF(INDEX(j_DrAcct,MOD($L94,10000))=LedAcct,INDEX(j_DrAmt,MOD($L94,10000)),0)+IF(LedAcct=acctTax,INDEX(j_TaxDr,MOD($L94,10000)),0))</f>
        <v/>
      </c>
      <c r="I94" s="95">
        <f>IF($L94="","",IF(INDEX(j_CrAcct,MOD($L94,10000))=LedAcct,INDEX(j_CrAmt,MOD($L94,10000)),0)+IF(LedAcct=acctTax,INDEX(j_TaxCr,MOD($L94,10000)),0))</f>
        <v/>
      </c>
      <c r="J94" s="95">
        <f>IF($L94="","",N(J93)+LedSign*(H94-I94))</f>
        <v/>
      </c>
      <c r="L94" s="96">
        <f>IFERROR(SMALL(j_Key,79),"")</f>
        <v/>
      </c>
    </row>
    <row r="95">
      <c r="B95" s="58">
        <f>IF($L95="","",80)</f>
        <v/>
      </c>
      <c r="C95" s="94">
        <f>IF($L95="","",INDEX(j_Date,MOD($L95,10000)))</f>
        <v/>
      </c>
      <c r="D95" s="58">
        <f>IF($L95="","",INDEX(j_Source,MOD($L95,10000)))</f>
        <v/>
      </c>
      <c r="E95" s="58">
        <f>IF($L95="","",INDEX(j_ID,MOD($L95,10000)))</f>
        <v/>
      </c>
      <c r="F95" s="58">
        <f>IF($L95="","",INDEX(j_Desc,MOD($L95,10000)))</f>
        <v/>
      </c>
      <c r="G95" s="58">
        <f>IF($L95="","",INDEX(j_Party,MOD($L95,10000)))</f>
        <v/>
      </c>
      <c r="H95" s="95">
        <f>IF($L95="","",IF(INDEX(j_DrAcct,MOD($L95,10000))=LedAcct,INDEX(j_DrAmt,MOD($L95,10000)),0)+IF(LedAcct=acctTax,INDEX(j_TaxDr,MOD($L95,10000)),0))</f>
        <v/>
      </c>
      <c r="I95" s="95">
        <f>IF($L95="","",IF(INDEX(j_CrAcct,MOD($L95,10000))=LedAcct,INDEX(j_CrAmt,MOD($L95,10000)),0)+IF(LedAcct=acctTax,INDEX(j_TaxCr,MOD($L95,10000)),0))</f>
        <v/>
      </c>
      <c r="J95" s="95">
        <f>IF($L95="","",N(J94)+LedSign*(H95-I95))</f>
        <v/>
      </c>
      <c r="L95" s="96">
        <f>IFERROR(SMALL(j_Key,80),"")</f>
        <v/>
      </c>
    </row>
    <row r="96">
      <c r="B96" s="58">
        <f>IF($L96="","",81)</f>
        <v/>
      </c>
      <c r="C96" s="94">
        <f>IF($L96="","",INDEX(j_Date,MOD($L96,10000)))</f>
        <v/>
      </c>
      <c r="D96" s="58">
        <f>IF($L96="","",INDEX(j_Source,MOD($L96,10000)))</f>
        <v/>
      </c>
      <c r="E96" s="58">
        <f>IF($L96="","",INDEX(j_ID,MOD($L96,10000)))</f>
        <v/>
      </c>
      <c r="F96" s="58">
        <f>IF($L96="","",INDEX(j_Desc,MOD($L96,10000)))</f>
        <v/>
      </c>
      <c r="G96" s="58">
        <f>IF($L96="","",INDEX(j_Party,MOD($L96,10000)))</f>
        <v/>
      </c>
      <c r="H96" s="95">
        <f>IF($L96="","",IF(INDEX(j_DrAcct,MOD($L96,10000))=LedAcct,INDEX(j_DrAmt,MOD($L96,10000)),0)+IF(LedAcct=acctTax,INDEX(j_TaxDr,MOD($L96,10000)),0))</f>
        <v/>
      </c>
      <c r="I96" s="95">
        <f>IF($L96="","",IF(INDEX(j_CrAcct,MOD($L96,10000))=LedAcct,INDEX(j_CrAmt,MOD($L96,10000)),0)+IF(LedAcct=acctTax,INDEX(j_TaxCr,MOD($L96,10000)),0))</f>
        <v/>
      </c>
      <c r="J96" s="95">
        <f>IF($L96="","",N(J95)+LedSign*(H96-I96))</f>
        <v/>
      </c>
      <c r="L96" s="96">
        <f>IFERROR(SMALL(j_Key,81),"")</f>
        <v/>
      </c>
    </row>
    <row r="97">
      <c r="B97" s="58">
        <f>IF($L97="","",82)</f>
        <v/>
      </c>
      <c r="C97" s="94">
        <f>IF($L97="","",INDEX(j_Date,MOD($L97,10000)))</f>
        <v/>
      </c>
      <c r="D97" s="58">
        <f>IF($L97="","",INDEX(j_Source,MOD($L97,10000)))</f>
        <v/>
      </c>
      <c r="E97" s="58">
        <f>IF($L97="","",INDEX(j_ID,MOD($L97,10000)))</f>
        <v/>
      </c>
      <c r="F97" s="58">
        <f>IF($L97="","",INDEX(j_Desc,MOD($L97,10000)))</f>
        <v/>
      </c>
      <c r="G97" s="58">
        <f>IF($L97="","",INDEX(j_Party,MOD($L97,10000)))</f>
        <v/>
      </c>
      <c r="H97" s="95">
        <f>IF($L97="","",IF(INDEX(j_DrAcct,MOD($L97,10000))=LedAcct,INDEX(j_DrAmt,MOD($L97,10000)),0)+IF(LedAcct=acctTax,INDEX(j_TaxDr,MOD($L97,10000)),0))</f>
        <v/>
      </c>
      <c r="I97" s="95">
        <f>IF($L97="","",IF(INDEX(j_CrAcct,MOD($L97,10000))=LedAcct,INDEX(j_CrAmt,MOD($L97,10000)),0)+IF(LedAcct=acctTax,INDEX(j_TaxCr,MOD($L97,10000)),0))</f>
        <v/>
      </c>
      <c r="J97" s="95">
        <f>IF($L97="","",N(J96)+LedSign*(H97-I97))</f>
        <v/>
      </c>
      <c r="L97" s="96">
        <f>IFERROR(SMALL(j_Key,82),"")</f>
        <v/>
      </c>
    </row>
    <row r="98">
      <c r="B98" s="58">
        <f>IF($L98="","",83)</f>
        <v/>
      </c>
      <c r="C98" s="94">
        <f>IF($L98="","",INDEX(j_Date,MOD($L98,10000)))</f>
        <v/>
      </c>
      <c r="D98" s="58">
        <f>IF($L98="","",INDEX(j_Source,MOD($L98,10000)))</f>
        <v/>
      </c>
      <c r="E98" s="58">
        <f>IF($L98="","",INDEX(j_ID,MOD($L98,10000)))</f>
        <v/>
      </c>
      <c r="F98" s="58">
        <f>IF($L98="","",INDEX(j_Desc,MOD($L98,10000)))</f>
        <v/>
      </c>
      <c r="G98" s="58">
        <f>IF($L98="","",INDEX(j_Party,MOD($L98,10000)))</f>
        <v/>
      </c>
      <c r="H98" s="95">
        <f>IF($L98="","",IF(INDEX(j_DrAcct,MOD($L98,10000))=LedAcct,INDEX(j_DrAmt,MOD($L98,10000)),0)+IF(LedAcct=acctTax,INDEX(j_TaxDr,MOD($L98,10000)),0))</f>
        <v/>
      </c>
      <c r="I98" s="95">
        <f>IF($L98="","",IF(INDEX(j_CrAcct,MOD($L98,10000))=LedAcct,INDEX(j_CrAmt,MOD($L98,10000)),0)+IF(LedAcct=acctTax,INDEX(j_TaxCr,MOD($L98,10000)),0))</f>
        <v/>
      </c>
      <c r="J98" s="95">
        <f>IF($L98="","",N(J97)+LedSign*(H98-I98))</f>
        <v/>
      </c>
      <c r="L98" s="96">
        <f>IFERROR(SMALL(j_Key,83),"")</f>
        <v/>
      </c>
    </row>
    <row r="99">
      <c r="B99" s="58">
        <f>IF($L99="","",84)</f>
        <v/>
      </c>
      <c r="C99" s="94">
        <f>IF($L99="","",INDEX(j_Date,MOD($L99,10000)))</f>
        <v/>
      </c>
      <c r="D99" s="58">
        <f>IF($L99="","",INDEX(j_Source,MOD($L99,10000)))</f>
        <v/>
      </c>
      <c r="E99" s="58">
        <f>IF($L99="","",INDEX(j_ID,MOD($L99,10000)))</f>
        <v/>
      </c>
      <c r="F99" s="58">
        <f>IF($L99="","",INDEX(j_Desc,MOD($L99,10000)))</f>
        <v/>
      </c>
      <c r="G99" s="58">
        <f>IF($L99="","",INDEX(j_Party,MOD($L99,10000)))</f>
        <v/>
      </c>
      <c r="H99" s="95">
        <f>IF($L99="","",IF(INDEX(j_DrAcct,MOD($L99,10000))=LedAcct,INDEX(j_DrAmt,MOD($L99,10000)),0)+IF(LedAcct=acctTax,INDEX(j_TaxDr,MOD($L99,10000)),0))</f>
        <v/>
      </c>
      <c r="I99" s="95">
        <f>IF($L99="","",IF(INDEX(j_CrAcct,MOD($L99,10000))=LedAcct,INDEX(j_CrAmt,MOD($L99,10000)),0)+IF(LedAcct=acctTax,INDEX(j_TaxCr,MOD($L99,10000)),0))</f>
        <v/>
      </c>
      <c r="J99" s="95">
        <f>IF($L99="","",N(J98)+LedSign*(H99-I99))</f>
        <v/>
      </c>
      <c r="L99" s="96">
        <f>IFERROR(SMALL(j_Key,84),"")</f>
        <v/>
      </c>
    </row>
    <row r="100">
      <c r="B100" s="58">
        <f>IF($L100="","",85)</f>
        <v/>
      </c>
      <c r="C100" s="94">
        <f>IF($L100="","",INDEX(j_Date,MOD($L100,10000)))</f>
        <v/>
      </c>
      <c r="D100" s="58">
        <f>IF($L100="","",INDEX(j_Source,MOD($L100,10000)))</f>
        <v/>
      </c>
      <c r="E100" s="58">
        <f>IF($L100="","",INDEX(j_ID,MOD($L100,10000)))</f>
        <v/>
      </c>
      <c r="F100" s="58">
        <f>IF($L100="","",INDEX(j_Desc,MOD($L100,10000)))</f>
        <v/>
      </c>
      <c r="G100" s="58">
        <f>IF($L100="","",INDEX(j_Party,MOD($L100,10000)))</f>
        <v/>
      </c>
      <c r="H100" s="95">
        <f>IF($L100="","",IF(INDEX(j_DrAcct,MOD($L100,10000))=LedAcct,INDEX(j_DrAmt,MOD($L100,10000)),0)+IF(LedAcct=acctTax,INDEX(j_TaxDr,MOD($L100,10000)),0))</f>
        <v/>
      </c>
      <c r="I100" s="95">
        <f>IF($L100="","",IF(INDEX(j_CrAcct,MOD($L100,10000))=LedAcct,INDEX(j_CrAmt,MOD($L100,10000)),0)+IF(LedAcct=acctTax,INDEX(j_TaxCr,MOD($L100,10000)),0))</f>
        <v/>
      </c>
      <c r="J100" s="95">
        <f>IF($L100="","",N(J99)+LedSign*(H100-I100))</f>
        <v/>
      </c>
      <c r="L100" s="96">
        <f>IFERROR(SMALL(j_Key,85),"")</f>
        <v/>
      </c>
    </row>
    <row r="101">
      <c r="B101" s="58">
        <f>IF($L101="","",86)</f>
        <v/>
      </c>
      <c r="C101" s="94">
        <f>IF($L101="","",INDEX(j_Date,MOD($L101,10000)))</f>
        <v/>
      </c>
      <c r="D101" s="58">
        <f>IF($L101="","",INDEX(j_Source,MOD($L101,10000)))</f>
        <v/>
      </c>
      <c r="E101" s="58">
        <f>IF($L101="","",INDEX(j_ID,MOD($L101,10000)))</f>
        <v/>
      </c>
      <c r="F101" s="58">
        <f>IF($L101="","",INDEX(j_Desc,MOD($L101,10000)))</f>
        <v/>
      </c>
      <c r="G101" s="58">
        <f>IF($L101="","",INDEX(j_Party,MOD($L101,10000)))</f>
        <v/>
      </c>
      <c r="H101" s="95">
        <f>IF($L101="","",IF(INDEX(j_DrAcct,MOD($L101,10000))=LedAcct,INDEX(j_DrAmt,MOD($L101,10000)),0)+IF(LedAcct=acctTax,INDEX(j_TaxDr,MOD($L101,10000)),0))</f>
        <v/>
      </c>
      <c r="I101" s="95">
        <f>IF($L101="","",IF(INDEX(j_CrAcct,MOD($L101,10000))=LedAcct,INDEX(j_CrAmt,MOD($L101,10000)),0)+IF(LedAcct=acctTax,INDEX(j_TaxCr,MOD($L101,10000)),0))</f>
        <v/>
      </c>
      <c r="J101" s="95">
        <f>IF($L101="","",N(J100)+LedSign*(H101-I101))</f>
        <v/>
      </c>
      <c r="L101" s="96">
        <f>IFERROR(SMALL(j_Key,86),"")</f>
        <v/>
      </c>
    </row>
    <row r="102">
      <c r="B102" s="58">
        <f>IF($L102="","",87)</f>
        <v/>
      </c>
      <c r="C102" s="94">
        <f>IF($L102="","",INDEX(j_Date,MOD($L102,10000)))</f>
        <v/>
      </c>
      <c r="D102" s="58">
        <f>IF($L102="","",INDEX(j_Source,MOD($L102,10000)))</f>
        <v/>
      </c>
      <c r="E102" s="58">
        <f>IF($L102="","",INDEX(j_ID,MOD($L102,10000)))</f>
        <v/>
      </c>
      <c r="F102" s="58">
        <f>IF($L102="","",INDEX(j_Desc,MOD($L102,10000)))</f>
        <v/>
      </c>
      <c r="G102" s="58">
        <f>IF($L102="","",INDEX(j_Party,MOD($L102,10000)))</f>
        <v/>
      </c>
      <c r="H102" s="95">
        <f>IF($L102="","",IF(INDEX(j_DrAcct,MOD($L102,10000))=LedAcct,INDEX(j_DrAmt,MOD($L102,10000)),0)+IF(LedAcct=acctTax,INDEX(j_TaxDr,MOD($L102,10000)),0))</f>
        <v/>
      </c>
      <c r="I102" s="95">
        <f>IF($L102="","",IF(INDEX(j_CrAcct,MOD($L102,10000))=LedAcct,INDEX(j_CrAmt,MOD($L102,10000)),0)+IF(LedAcct=acctTax,INDEX(j_TaxCr,MOD($L102,10000)),0))</f>
        <v/>
      </c>
      <c r="J102" s="95">
        <f>IF($L102="","",N(J101)+LedSign*(H102-I102))</f>
        <v/>
      </c>
      <c r="L102" s="96">
        <f>IFERROR(SMALL(j_Key,87),"")</f>
        <v/>
      </c>
    </row>
    <row r="103">
      <c r="B103" s="58">
        <f>IF($L103="","",88)</f>
        <v/>
      </c>
      <c r="C103" s="94">
        <f>IF($L103="","",INDEX(j_Date,MOD($L103,10000)))</f>
        <v/>
      </c>
      <c r="D103" s="58">
        <f>IF($L103="","",INDEX(j_Source,MOD($L103,10000)))</f>
        <v/>
      </c>
      <c r="E103" s="58">
        <f>IF($L103="","",INDEX(j_ID,MOD($L103,10000)))</f>
        <v/>
      </c>
      <c r="F103" s="58">
        <f>IF($L103="","",INDEX(j_Desc,MOD($L103,10000)))</f>
        <v/>
      </c>
      <c r="G103" s="58">
        <f>IF($L103="","",INDEX(j_Party,MOD($L103,10000)))</f>
        <v/>
      </c>
      <c r="H103" s="95">
        <f>IF($L103="","",IF(INDEX(j_DrAcct,MOD($L103,10000))=LedAcct,INDEX(j_DrAmt,MOD($L103,10000)),0)+IF(LedAcct=acctTax,INDEX(j_TaxDr,MOD($L103,10000)),0))</f>
        <v/>
      </c>
      <c r="I103" s="95">
        <f>IF($L103="","",IF(INDEX(j_CrAcct,MOD($L103,10000))=LedAcct,INDEX(j_CrAmt,MOD($L103,10000)),0)+IF(LedAcct=acctTax,INDEX(j_TaxCr,MOD($L103,10000)),0))</f>
        <v/>
      </c>
      <c r="J103" s="95">
        <f>IF($L103="","",N(J102)+LedSign*(H103-I103))</f>
        <v/>
      </c>
      <c r="L103" s="96">
        <f>IFERROR(SMALL(j_Key,88),"")</f>
        <v/>
      </c>
    </row>
    <row r="104">
      <c r="B104" s="58">
        <f>IF($L104="","",89)</f>
        <v/>
      </c>
      <c r="C104" s="94">
        <f>IF($L104="","",INDEX(j_Date,MOD($L104,10000)))</f>
        <v/>
      </c>
      <c r="D104" s="58">
        <f>IF($L104="","",INDEX(j_Source,MOD($L104,10000)))</f>
        <v/>
      </c>
      <c r="E104" s="58">
        <f>IF($L104="","",INDEX(j_ID,MOD($L104,10000)))</f>
        <v/>
      </c>
      <c r="F104" s="58">
        <f>IF($L104="","",INDEX(j_Desc,MOD($L104,10000)))</f>
        <v/>
      </c>
      <c r="G104" s="58">
        <f>IF($L104="","",INDEX(j_Party,MOD($L104,10000)))</f>
        <v/>
      </c>
      <c r="H104" s="95">
        <f>IF($L104="","",IF(INDEX(j_DrAcct,MOD($L104,10000))=LedAcct,INDEX(j_DrAmt,MOD($L104,10000)),0)+IF(LedAcct=acctTax,INDEX(j_TaxDr,MOD($L104,10000)),0))</f>
        <v/>
      </c>
      <c r="I104" s="95">
        <f>IF($L104="","",IF(INDEX(j_CrAcct,MOD($L104,10000))=LedAcct,INDEX(j_CrAmt,MOD($L104,10000)),0)+IF(LedAcct=acctTax,INDEX(j_TaxCr,MOD($L104,10000)),0))</f>
        <v/>
      </c>
      <c r="J104" s="95">
        <f>IF($L104="","",N(J103)+LedSign*(H104-I104))</f>
        <v/>
      </c>
      <c r="L104" s="96">
        <f>IFERROR(SMALL(j_Key,89),"")</f>
        <v/>
      </c>
    </row>
    <row r="105">
      <c r="B105" s="58">
        <f>IF($L105="","",90)</f>
        <v/>
      </c>
      <c r="C105" s="94">
        <f>IF($L105="","",INDEX(j_Date,MOD($L105,10000)))</f>
        <v/>
      </c>
      <c r="D105" s="58">
        <f>IF($L105="","",INDEX(j_Source,MOD($L105,10000)))</f>
        <v/>
      </c>
      <c r="E105" s="58">
        <f>IF($L105="","",INDEX(j_ID,MOD($L105,10000)))</f>
        <v/>
      </c>
      <c r="F105" s="58">
        <f>IF($L105="","",INDEX(j_Desc,MOD($L105,10000)))</f>
        <v/>
      </c>
      <c r="G105" s="58">
        <f>IF($L105="","",INDEX(j_Party,MOD($L105,10000)))</f>
        <v/>
      </c>
      <c r="H105" s="95">
        <f>IF($L105="","",IF(INDEX(j_DrAcct,MOD($L105,10000))=LedAcct,INDEX(j_DrAmt,MOD($L105,10000)),0)+IF(LedAcct=acctTax,INDEX(j_TaxDr,MOD($L105,10000)),0))</f>
        <v/>
      </c>
      <c r="I105" s="95">
        <f>IF($L105="","",IF(INDEX(j_CrAcct,MOD($L105,10000))=LedAcct,INDEX(j_CrAmt,MOD($L105,10000)),0)+IF(LedAcct=acctTax,INDEX(j_TaxCr,MOD($L105,10000)),0))</f>
        <v/>
      </c>
      <c r="J105" s="95">
        <f>IF($L105="","",N(J104)+LedSign*(H105-I105))</f>
        <v/>
      </c>
      <c r="L105" s="96">
        <f>IFERROR(SMALL(j_Key,90),"")</f>
        <v/>
      </c>
    </row>
    <row r="106">
      <c r="B106" s="58">
        <f>IF($L106="","",91)</f>
        <v/>
      </c>
      <c r="C106" s="94">
        <f>IF($L106="","",INDEX(j_Date,MOD($L106,10000)))</f>
        <v/>
      </c>
      <c r="D106" s="58">
        <f>IF($L106="","",INDEX(j_Source,MOD($L106,10000)))</f>
        <v/>
      </c>
      <c r="E106" s="58">
        <f>IF($L106="","",INDEX(j_ID,MOD($L106,10000)))</f>
        <v/>
      </c>
      <c r="F106" s="58">
        <f>IF($L106="","",INDEX(j_Desc,MOD($L106,10000)))</f>
        <v/>
      </c>
      <c r="G106" s="58">
        <f>IF($L106="","",INDEX(j_Party,MOD($L106,10000)))</f>
        <v/>
      </c>
      <c r="H106" s="95">
        <f>IF($L106="","",IF(INDEX(j_DrAcct,MOD($L106,10000))=LedAcct,INDEX(j_DrAmt,MOD($L106,10000)),0)+IF(LedAcct=acctTax,INDEX(j_TaxDr,MOD($L106,10000)),0))</f>
        <v/>
      </c>
      <c r="I106" s="95">
        <f>IF($L106="","",IF(INDEX(j_CrAcct,MOD($L106,10000))=LedAcct,INDEX(j_CrAmt,MOD($L106,10000)),0)+IF(LedAcct=acctTax,INDEX(j_TaxCr,MOD($L106,10000)),0))</f>
        <v/>
      </c>
      <c r="J106" s="95">
        <f>IF($L106="","",N(J105)+LedSign*(H106-I106))</f>
        <v/>
      </c>
      <c r="L106" s="96">
        <f>IFERROR(SMALL(j_Key,91),"")</f>
        <v/>
      </c>
    </row>
    <row r="107">
      <c r="B107" s="58">
        <f>IF($L107="","",92)</f>
        <v/>
      </c>
      <c r="C107" s="94">
        <f>IF($L107="","",INDEX(j_Date,MOD($L107,10000)))</f>
        <v/>
      </c>
      <c r="D107" s="58">
        <f>IF($L107="","",INDEX(j_Source,MOD($L107,10000)))</f>
        <v/>
      </c>
      <c r="E107" s="58">
        <f>IF($L107="","",INDEX(j_ID,MOD($L107,10000)))</f>
        <v/>
      </c>
      <c r="F107" s="58">
        <f>IF($L107="","",INDEX(j_Desc,MOD($L107,10000)))</f>
        <v/>
      </c>
      <c r="G107" s="58">
        <f>IF($L107="","",INDEX(j_Party,MOD($L107,10000)))</f>
        <v/>
      </c>
      <c r="H107" s="95">
        <f>IF($L107="","",IF(INDEX(j_DrAcct,MOD($L107,10000))=LedAcct,INDEX(j_DrAmt,MOD($L107,10000)),0)+IF(LedAcct=acctTax,INDEX(j_TaxDr,MOD($L107,10000)),0))</f>
        <v/>
      </c>
      <c r="I107" s="95">
        <f>IF($L107="","",IF(INDEX(j_CrAcct,MOD($L107,10000))=LedAcct,INDEX(j_CrAmt,MOD($L107,10000)),0)+IF(LedAcct=acctTax,INDEX(j_TaxCr,MOD($L107,10000)),0))</f>
        <v/>
      </c>
      <c r="J107" s="95">
        <f>IF($L107="","",N(J106)+LedSign*(H107-I107))</f>
        <v/>
      </c>
      <c r="L107" s="96">
        <f>IFERROR(SMALL(j_Key,92),"")</f>
        <v/>
      </c>
    </row>
    <row r="108">
      <c r="B108" s="58">
        <f>IF($L108="","",93)</f>
        <v/>
      </c>
      <c r="C108" s="94">
        <f>IF($L108="","",INDEX(j_Date,MOD($L108,10000)))</f>
        <v/>
      </c>
      <c r="D108" s="58">
        <f>IF($L108="","",INDEX(j_Source,MOD($L108,10000)))</f>
        <v/>
      </c>
      <c r="E108" s="58">
        <f>IF($L108="","",INDEX(j_ID,MOD($L108,10000)))</f>
        <v/>
      </c>
      <c r="F108" s="58">
        <f>IF($L108="","",INDEX(j_Desc,MOD($L108,10000)))</f>
        <v/>
      </c>
      <c r="G108" s="58">
        <f>IF($L108="","",INDEX(j_Party,MOD($L108,10000)))</f>
        <v/>
      </c>
      <c r="H108" s="95">
        <f>IF($L108="","",IF(INDEX(j_DrAcct,MOD($L108,10000))=LedAcct,INDEX(j_DrAmt,MOD($L108,10000)),0)+IF(LedAcct=acctTax,INDEX(j_TaxDr,MOD($L108,10000)),0))</f>
        <v/>
      </c>
      <c r="I108" s="95">
        <f>IF($L108="","",IF(INDEX(j_CrAcct,MOD($L108,10000))=LedAcct,INDEX(j_CrAmt,MOD($L108,10000)),0)+IF(LedAcct=acctTax,INDEX(j_TaxCr,MOD($L108,10000)),0))</f>
        <v/>
      </c>
      <c r="J108" s="95">
        <f>IF($L108="","",N(J107)+LedSign*(H108-I108))</f>
        <v/>
      </c>
      <c r="L108" s="96">
        <f>IFERROR(SMALL(j_Key,93),"")</f>
        <v/>
      </c>
    </row>
    <row r="109">
      <c r="B109" s="58">
        <f>IF($L109="","",94)</f>
        <v/>
      </c>
      <c r="C109" s="94">
        <f>IF($L109="","",INDEX(j_Date,MOD($L109,10000)))</f>
        <v/>
      </c>
      <c r="D109" s="58">
        <f>IF($L109="","",INDEX(j_Source,MOD($L109,10000)))</f>
        <v/>
      </c>
      <c r="E109" s="58">
        <f>IF($L109="","",INDEX(j_ID,MOD($L109,10000)))</f>
        <v/>
      </c>
      <c r="F109" s="58">
        <f>IF($L109="","",INDEX(j_Desc,MOD($L109,10000)))</f>
        <v/>
      </c>
      <c r="G109" s="58">
        <f>IF($L109="","",INDEX(j_Party,MOD($L109,10000)))</f>
        <v/>
      </c>
      <c r="H109" s="95">
        <f>IF($L109="","",IF(INDEX(j_DrAcct,MOD($L109,10000))=LedAcct,INDEX(j_DrAmt,MOD($L109,10000)),0)+IF(LedAcct=acctTax,INDEX(j_TaxDr,MOD($L109,10000)),0))</f>
        <v/>
      </c>
      <c r="I109" s="95">
        <f>IF($L109="","",IF(INDEX(j_CrAcct,MOD($L109,10000))=LedAcct,INDEX(j_CrAmt,MOD($L109,10000)),0)+IF(LedAcct=acctTax,INDEX(j_TaxCr,MOD($L109,10000)),0))</f>
        <v/>
      </c>
      <c r="J109" s="95">
        <f>IF($L109="","",N(J108)+LedSign*(H109-I109))</f>
        <v/>
      </c>
      <c r="L109" s="96">
        <f>IFERROR(SMALL(j_Key,94),"")</f>
        <v/>
      </c>
    </row>
    <row r="110">
      <c r="B110" s="58">
        <f>IF($L110="","",95)</f>
        <v/>
      </c>
      <c r="C110" s="94">
        <f>IF($L110="","",INDEX(j_Date,MOD($L110,10000)))</f>
        <v/>
      </c>
      <c r="D110" s="58">
        <f>IF($L110="","",INDEX(j_Source,MOD($L110,10000)))</f>
        <v/>
      </c>
      <c r="E110" s="58">
        <f>IF($L110="","",INDEX(j_ID,MOD($L110,10000)))</f>
        <v/>
      </c>
      <c r="F110" s="58">
        <f>IF($L110="","",INDEX(j_Desc,MOD($L110,10000)))</f>
        <v/>
      </c>
      <c r="G110" s="58">
        <f>IF($L110="","",INDEX(j_Party,MOD($L110,10000)))</f>
        <v/>
      </c>
      <c r="H110" s="95">
        <f>IF($L110="","",IF(INDEX(j_DrAcct,MOD($L110,10000))=LedAcct,INDEX(j_DrAmt,MOD($L110,10000)),0)+IF(LedAcct=acctTax,INDEX(j_TaxDr,MOD($L110,10000)),0))</f>
        <v/>
      </c>
      <c r="I110" s="95">
        <f>IF($L110="","",IF(INDEX(j_CrAcct,MOD($L110,10000))=LedAcct,INDEX(j_CrAmt,MOD($L110,10000)),0)+IF(LedAcct=acctTax,INDEX(j_TaxCr,MOD($L110,10000)),0))</f>
        <v/>
      </c>
      <c r="J110" s="95">
        <f>IF($L110="","",N(J109)+LedSign*(H110-I110))</f>
        <v/>
      </c>
      <c r="L110" s="96">
        <f>IFERROR(SMALL(j_Key,95),"")</f>
        <v/>
      </c>
    </row>
    <row r="111">
      <c r="B111" s="58">
        <f>IF($L111="","",96)</f>
        <v/>
      </c>
      <c r="C111" s="94">
        <f>IF($L111="","",INDEX(j_Date,MOD($L111,10000)))</f>
        <v/>
      </c>
      <c r="D111" s="58">
        <f>IF($L111="","",INDEX(j_Source,MOD($L111,10000)))</f>
        <v/>
      </c>
      <c r="E111" s="58">
        <f>IF($L111="","",INDEX(j_ID,MOD($L111,10000)))</f>
        <v/>
      </c>
      <c r="F111" s="58">
        <f>IF($L111="","",INDEX(j_Desc,MOD($L111,10000)))</f>
        <v/>
      </c>
      <c r="G111" s="58">
        <f>IF($L111="","",INDEX(j_Party,MOD($L111,10000)))</f>
        <v/>
      </c>
      <c r="H111" s="95">
        <f>IF($L111="","",IF(INDEX(j_DrAcct,MOD($L111,10000))=LedAcct,INDEX(j_DrAmt,MOD($L111,10000)),0)+IF(LedAcct=acctTax,INDEX(j_TaxDr,MOD($L111,10000)),0))</f>
        <v/>
      </c>
      <c r="I111" s="95">
        <f>IF($L111="","",IF(INDEX(j_CrAcct,MOD($L111,10000))=LedAcct,INDEX(j_CrAmt,MOD($L111,10000)),0)+IF(LedAcct=acctTax,INDEX(j_TaxCr,MOD($L111,10000)),0))</f>
        <v/>
      </c>
      <c r="J111" s="95">
        <f>IF($L111="","",N(J110)+LedSign*(H111-I111))</f>
        <v/>
      </c>
      <c r="L111" s="96">
        <f>IFERROR(SMALL(j_Key,96),"")</f>
        <v/>
      </c>
    </row>
    <row r="112">
      <c r="B112" s="58">
        <f>IF($L112="","",97)</f>
        <v/>
      </c>
      <c r="C112" s="94">
        <f>IF($L112="","",INDEX(j_Date,MOD($L112,10000)))</f>
        <v/>
      </c>
      <c r="D112" s="58">
        <f>IF($L112="","",INDEX(j_Source,MOD($L112,10000)))</f>
        <v/>
      </c>
      <c r="E112" s="58">
        <f>IF($L112="","",INDEX(j_ID,MOD($L112,10000)))</f>
        <v/>
      </c>
      <c r="F112" s="58">
        <f>IF($L112="","",INDEX(j_Desc,MOD($L112,10000)))</f>
        <v/>
      </c>
      <c r="G112" s="58">
        <f>IF($L112="","",INDEX(j_Party,MOD($L112,10000)))</f>
        <v/>
      </c>
      <c r="H112" s="95">
        <f>IF($L112="","",IF(INDEX(j_DrAcct,MOD($L112,10000))=LedAcct,INDEX(j_DrAmt,MOD($L112,10000)),0)+IF(LedAcct=acctTax,INDEX(j_TaxDr,MOD($L112,10000)),0))</f>
        <v/>
      </c>
      <c r="I112" s="95">
        <f>IF($L112="","",IF(INDEX(j_CrAcct,MOD($L112,10000))=LedAcct,INDEX(j_CrAmt,MOD($L112,10000)),0)+IF(LedAcct=acctTax,INDEX(j_TaxCr,MOD($L112,10000)),0))</f>
        <v/>
      </c>
      <c r="J112" s="95">
        <f>IF($L112="","",N(J111)+LedSign*(H112-I112))</f>
        <v/>
      </c>
      <c r="L112" s="96">
        <f>IFERROR(SMALL(j_Key,97),"")</f>
        <v/>
      </c>
    </row>
    <row r="113">
      <c r="B113" s="58">
        <f>IF($L113="","",98)</f>
        <v/>
      </c>
      <c r="C113" s="94">
        <f>IF($L113="","",INDEX(j_Date,MOD($L113,10000)))</f>
        <v/>
      </c>
      <c r="D113" s="58">
        <f>IF($L113="","",INDEX(j_Source,MOD($L113,10000)))</f>
        <v/>
      </c>
      <c r="E113" s="58">
        <f>IF($L113="","",INDEX(j_ID,MOD($L113,10000)))</f>
        <v/>
      </c>
      <c r="F113" s="58">
        <f>IF($L113="","",INDEX(j_Desc,MOD($L113,10000)))</f>
        <v/>
      </c>
      <c r="G113" s="58">
        <f>IF($L113="","",INDEX(j_Party,MOD($L113,10000)))</f>
        <v/>
      </c>
      <c r="H113" s="95">
        <f>IF($L113="","",IF(INDEX(j_DrAcct,MOD($L113,10000))=LedAcct,INDEX(j_DrAmt,MOD($L113,10000)),0)+IF(LedAcct=acctTax,INDEX(j_TaxDr,MOD($L113,10000)),0))</f>
        <v/>
      </c>
      <c r="I113" s="95">
        <f>IF($L113="","",IF(INDEX(j_CrAcct,MOD($L113,10000))=LedAcct,INDEX(j_CrAmt,MOD($L113,10000)),0)+IF(LedAcct=acctTax,INDEX(j_TaxCr,MOD($L113,10000)),0))</f>
        <v/>
      </c>
      <c r="J113" s="95">
        <f>IF($L113="","",N(J112)+LedSign*(H113-I113))</f>
        <v/>
      </c>
      <c r="L113" s="96">
        <f>IFERROR(SMALL(j_Key,98),"")</f>
        <v/>
      </c>
    </row>
    <row r="114">
      <c r="B114" s="58">
        <f>IF($L114="","",99)</f>
        <v/>
      </c>
      <c r="C114" s="94">
        <f>IF($L114="","",INDEX(j_Date,MOD($L114,10000)))</f>
        <v/>
      </c>
      <c r="D114" s="58">
        <f>IF($L114="","",INDEX(j_Source,MOD($L114,10000)))</f>
        <v/>
      </c>
      <c r="E114" s="58">
        <f>IF($L114="","",INDEX(j_ID,MOD($L114,10000)))</f>
        <v/>
      </c>
      <c r="F114" s="58">
        <f>IF($L114="","",INDEX(j_Desc,MOD($L114,10000)))</f>
        <v/>
      </c>
      <c r="G114" s="58">
        <f>IF($L114="","",INDEX(j_Party,MOD($L114,10000)))</f>
        <v/>
      </c>
      <c r="H114" s="95">
        <f>IF($L114="","",IF(INDEX(j_DrAcct,MOD($L114,10000))=LedAcct,INDEX(j_DrAmt,MOD($L114,10000)),0)+IF(LedAcct=acctTax,INDEX(j_TaxDr,MOD($L114,10000)),0))</f>
        <v/>
      </c>
      <c r="I114" s="95">
        <f>IF($L114="","",IF(INDEX(j_CrAcct,MOD($L114,10000))=LedAcct,INDEX(j_CrAmt,MOD($L114,10000)),0)+IF(LedAcct=acctTax,INDEX(j_TaxCr,MOD($L114,10000)),0))</f>
        <v/>
      </c>
      <c r="J114" s="95">
        <f>IF($L114="","",N(J113)+LedSign*(H114-I114))</f>
        <v/>
      </c>
      <c r="L114" s="96">
        <f>IFERROR(SMALL(j_Key,99),"")</f>
        <v/>
      </c>
    </row>
    <row r="115">
      <c r="B115" s="58">
        <f>IF($L115="","",100)</f>
        <v/>
      </c>
      <c r="C115" s="94">
        <f>IF($L115="","",INDEX(j_Date,MOD($L115,10000)))</f>
        <v/>
      </c>
      <c r="D115" s="58">
        <f>IF($L115="","",INDEX(j_Source,MOD($L115,10000)))</f>
        <v/>
      </c>
      <c r="E115" s="58">
        <f>IF($L115="","",INDEX(j_ID,MOD($L115,10000)))</f>
        <v/>
      </c>
      <c r="F115" s="58">
        <f>IF($L115="","",INDEX(j_Desc,MOD($L115,10000)))</f>
        <v/>
      </c>
      <c r="G115" s="58">
        <f>IF($L115="","",INDEX(j_Party,MOD($L115,10000)))</f>
        <v/>
      </c>
      <c r="H115" s="95">
        <f>IF($L115="","",IF(INDEX(j_DrAcct,MOD($L115,10000))=LedAcct,INDEX(j_DrAmt,MOD($L115,10000)),0)+IF(LedAcct=acctTax,INDEX(j_TaxDr,MOD($L115,10000)),0))</f>
        <v/>
      </c>
      <c r="I115" s="95">
        <f>IF($L115="","",IF(INDEX(j_CrAcct,MOD($L115,10000))=LedAcct,INDEX(j_CrAmt,MOD($L115,10000)),0)+IF(LedAcct=acctTax,INDEX(j_TaxCr,MOD($L115,10000)),0))</f>
        <v/>
      </c>
      <c r="J115" s="95">
        <f>IF($L115="","",N(J114)+LedSign*(H115-I115))</f>
        <v/>
      </c>
      <c r="L115" s="96">
        <f>IFERROR(SMALL(j_Key,100),"")</f>
        <v/>
      </c>
    </row>
    <row r="116">
      <c r="B116" s="58">
        <f>IF($L116="","",101)</f>
        <v/>
      </c>
      <c r="C116" s="94">
        <f>IF($L116="","",INDEX(j_Date,MOD($L116,10000)))</f>
        <v/>
      </c>
      <c r="D116" s="58">
        <f>IF($L116="","",INDEX(j_Source,MOD($L116,10000)))</f>
        <v/>
      </c>
      <c r="E116" s="58">
        <f>IF($L116="","",INDEX(j_ID,MOD($L116,10000)))</f>
        <v/>
      </c>
      <c r="F116" s="58">
        <f>IF($L116="","",INDEX(j_Desc,MOD($L116,10000)))</f>
        <v/>
      </c>
      <c r="G116" s="58">
        <f>IF($L116="","",INDEX(j_Party,MOD($L116,10000)))</f>
        <v/>
      </c>
      <c r="H116" s="95">
        <f>IF($L116="","",IF(INDEX(j_DrAcct,MOD($L116,10000))=LedAcct,INDEX(j_DrAmt,MOD($L116,10000)),0)+IF(LedAcct=acctTax,INDEX(j_TaxDr,MOD($L116,10000)),0))</f>
        <v/>
      </c>
      <c r="I116" s="95">
        <f>IF($L116="","",IF(INDEX(j_CrAcct,MOD($L116,10000))=LedAcct,INDEX(j_CrAmt,MOD($L116,10000)),0)+IF(LedAcct=acctTax,INDEX(j_TaxCr,MOD($L116,10000)),0))</f>
        <v/>
      </c>
      <c r="J116" s="95">
        <f>IF($L116="","",N(J115)+LedSign*(H116-I116))</f>
        <v/>
      </c>
      <c r="L116" s="96">
        <f>IFERROR(SMALL(j_Key,101),"")</f>
        <v/>
      </c>
    </row>
    <row r="117">
      <c r="B117" s="58">
        <f>IF($L117="","",102)</f>
        <v/>
      </c>
      <c r="C117" s="94">
        <f>IF($L117="","",INDEX(j_Date,MOD($L117,10000)))</f>
        <v/>
      </c>
      <c r="D117" s="58">
        <f>IF($L117="","",INDEX(j_Source,MOD($L117,10000)))</f>
        <v/>
      </c>
      <c r="E117" s="58">
        <f>IF($L117="","",INDEX(j_ID,MOD($L117,10000)))</f>
        <v/>
      </c>
      <c r="F117" s="58">
        <f>IF($L117="","",INDEX(j_Desc,MOD($L117,10000)))</f>
        <v/>
      </c>
      <c r="G117" s="58">
        <f>IF($L117="","",INDEX(j_Party,MOD($L117,10000)))</f>
        <v/>
      </c>
      <c r="H117" s="95">
        <f>IF($L117="","",IF(INDEX(j_DrAcct,MOD($L117,10000))=LedAcct,INDEX(j_DrAmt,MOD($L117,10000)),0)+IF(LedAcct=acctTax,INDEX(j_TaxDr,MOD($L117,10000)),0))</f>
        <v/>
      </c>
      <c r="I117" s="95">
        <f>IF($L117="","",IF(INDEX(j_CrAcct,MOD($L117,10000))=LedAcct,INDEX(j_CrAmt,MOD($L117,10000)),0)+IF(LedAcct=acctTax,INDEX(j_TaxCr,MOD($L117,10000)),0))</f>
        <v/>
      </c>
      <c r="J117" s="95">
        <f>IF($L117="","",N(J116)+LedSign*(H117-I117))</f>
        <v/>
      </c>
      <c r="L117" s="96">
        <f>IFERROR(SMALL(j_Key,102),"")</f>
        <v/>
      </c>
    </row>
    <row r="118">
      <c r="B118" s="58">
        <f>IF($L118="","",103)</f>
        <v/>
      </c>
      <c r="C118" s="94">
        <f>IF($L118="","",INDEX(j_Date,MOD($L118,10000)))</f>
        <v/>
      </c>
      <c r="D118" s="58">
        <f>IF($L118="","",INDEX(j_Source,MOD($L118,10000)))</f>
        <v/>
      </c>
      <c r="E118" s="58">
        <f>IF($L118="","",INDEX(j_ID,MOD($L118,10000)))</f>
        <v/>
      </c>
      <c r="F118" s="58">
        <f>IF($L118="","",INDEX(j_Desc,MOD($L118,10000)))</f>
        <v/>
      </c>
      <c r="G118" s="58">
        <f>IF($L118="","",INDEX(j_Party,MOD($L118,10000)))</f>
        <v/>
      </c>
      <c r="H118" s="95">
        <f>IF($L118="","",IF(INDEX(j_DrAcct,MOD($L118,10000))=LedAcct,INDEX(j_DrAmt,MOD($L118,10000)),0)+IF(LedAcct=acctTax,INDEX(j_TaxDr,MOD($L118,10000)),0))</f>
        <v/>
      </c>
      <c r="I118" s="95">
        <f>IF($L118="","",IF(INDEX(j_CrAcct,MOD($L118,10000))=LedAcct,INDEX(j_CrAmt,MOD($L118,10000)),0)+IF(LedAcct=acctTax,INDEX(j_TaxCr,MOD($L118,10000)),0))</f>
        <v/>
      </c>
      <c r="J118" s="95">
        <f>IF($L118="","",N(J117)+LedSign*(H118-I118))</f>
        <v/>
      </c>
      <c r="L118" s="96">
        <f>IFERROR(SMALL(j_Key,103),"")</f>
        <v/>
      </c>
    </row>
    <row r="119">
      <c r="B119" s="58">
        <f>IF($L119="","",104)</f>
        <v/>
      </c>
      <c r="C119" s="94">
        <f>IF($L119="","",INDEX(j_Date,MOD($L119,10000)))</f>
        <v/>
      </c>
      <c r="D119" s="58">
        <f>IF($L119="","",INDEX(j_Source,MOD($L119,10000)))</f>
        <v/>
      </c>
      <c r="E119" s="58">
        <f>IF($L119="","",INDEX(j_ID,MOD($L119,10000)))</f>
        <v/>
      </c>
      <c r="F119" s="58">
        <f>IF($L119="","",INDEX(j_Desc,MOD($L119,10000)))</f>
        <v/>
      </c>
      <c r="G119" s="58">
        <f>IF($L119="","",INDEX(j_Party,MOD($L119,10000)))</f>
        <v/>
      </c>
      <c r="H119" s="95">
        <f>IF($L119="","",IF(INDEX(j_DrAcct,MOD($L119,10000))=LedAcct,INDEX(j_DrAmt,MOD($L119,10000)),0)+IF(LedAcct=acctTax,INDEX(j_TaxDr,MOD($L119,10000)),0))</f>
        <v/>
      </c>
      <c r="I119" s="95">
        <f>IF($L119="","",IF(INDEX(j_CrAcct,MOD($L119,10000))=LedAcct,INDEX(j_CrAmt,MOD($L119,10000)),0)+IF(LedAcct=acctTax,INDEX(j_TaxCr,MOD($L119,10000)),0))</f>
        <v/>
      </c>
      <c r="J119" s="95">
        <f>IF($L119="","",N(J118)+LedSign*(H119-I119))</f>
        <v/>
      </c>
      <c r="L119" s="96">
        <f>IFERROR(SMALL(j_Key,104),"")</f>
        <v/>
      </c>
    </row>
    <row r="120">
      <c r="B120" s="58">
        <f>IF($L120="","",105)</f>
        <v/>
      </c>
      <c r="C120" s="94">
        <f>IF($L120="","",INDEX(j_Date,MOD($L120,10000)))</f>
        <v/>
      </c>
      <c r="D120" s="58">
        <f>IF($L120="","",INDEX(j_Source,MOD($L120,10000)))</f>
        <v/>
      </c>
      <c r="E120" s="58">
        <f>IF($L120="","",INDEX(j_ID,MOD($L120,10000)))</f>
        <v/>
      </c>
      <c r="F120" s="58">
        <f>IF($L120="","",INDEX(j_Desc,MOD($L120,10000)))</f>
        <v/>
      </c>
      <c r="G120" s="58">
        <f>IF($L120="","",INDEX(j_Party,MOD($L120,10000)))</f>
        <v/>
      </c>
      <c r="H120" s="95">
        <f>IF($L120="","",IF(INDEX(j_DrAcct,MOD($L120,10000))=LedAcct,INDEX(j_DrAmt,MOD($L120,10000)),0)+IF(LedAcct=acctTax,INDEX(j_TaxDr,MOD($L120,10000)),0))</f>
        <v/>
      </c>
      <c r="I120" s="95">
        <f>IF($L120="","",IF(INDEX(j_CrAcct,MOD($L120,10000))=LedAcct,INDEX(j_CrAmt,MOD($L120,10000)),0)+IF(LedAcct=acctTax,INDEX(j_TaxCr,MOD($L120,10000)),0))</f>
        <v/>
      </c>
      <c r="J120" s="95">
        <f>IF($L120="","",N(J119)+LedSign*(H120-I120))</f>
        <v/>
      </c>
      <c r="L120" s="96">
        <f>IFERROR(SMALL(j_Key,105),"")</f>
        <v/>
      </c>
    </row>
    <row r="121">
      <c r="B121" s="58">
        <f>IF($L121="","",106)</f>
        <v/>
      </c>
      <c r="C121" s="94">
        <f>IF($L121="","",INDEX(j_Date,MOD($L121,10000)))</f>
        <v/>
      </c>
      <c r="D121" s="58">
        <f>IF($L121="","",INDEX(j_Source,MOD($L121,10000)))</f>
        <v/>
      </c>
      <c r="E121" s="58">
        <f>IF($L121="","",INDEX(j_ID,MOD($L121,10000)))</f>
        <v/>
      </c>
      <c r="F121" s="58">
        <f>IF($L121="","",INDEX(j_Desc,MOD($L121,10000)))</f>
        <v/>
      </c>
      <c r="G121" s="58">
        <f>IF($L121="","",INDEX(j_Party,MOD($L121,10000)))</f>
        <v/>
      </c>
      <c r="H121" s="95">
        <f>IF($L121="","",IF(INDEX(j_DrAcct,MOD($L121,10000))=LedAcct,INDEX(j_DrAmt,MOD($L121,10000)),0)+IF(LedAcct=acctTax,INDEX(j_TaxDr,MOD($L121,10000)),0))</f>
        <v/>
      </c>
      <c r="I121" s="95">
        <f>IF($L121="","",IF(INDEX(j_CrAcct,MOD($L121,10000))=LedAcct,INDEX(j_CrAmt,MOD($L121,10000)),0)+IF(LedAcct=acctTax,INDEX(j_TaxCr,MOD($L121,10000)),0))</f>
        <v/>
      </c>
      <c r="J121" s="95">
        <f>IF($L121="","",N(J120)+LedSign*(H121-I121))</f>
        <v/>
      </c>
      <c r="L121" s="96">
        <f>IFERROR(SMALL(j_Key,106),"")</f>
        <v/>
      </c>
    </row>
    <row r="122">
      <c r="B122" s="58">
        <f>IF($L122="","",107)</f>
        <v/>
      </c>
      <c r="C122" s="94">
        <f>IF($L122="","",INDEX(j_Date,MOD($L122,10000)))</f>
        <v/>
      </c>
      <c r="D122" s="58">
        <f>IF($L122="","",INDEX(j_Source,MOD($L122,10000)))</f>
        <v/>
      </c>
      <c r="E122" s="58">
        <f>IF($L122="","",INDEX(j_ID,MOD($L122,10000)))</f>
        <v/>
      </c>
      <c r="F122" s="58">
        <f>IF($L122="","",INDEX(j_Desc,MOD($L122,10000)))</f>
        <v/>
      </c>
      <c r="G122" s="58">
        <f>IF($L122="","",INDEX(j_Party,MOD($L122,10000)))</f>
        <v/>
      </c>
      <c r="H122" s="95">
        <f>IF($L122="","",IF(INDEX(j_DrAcct,MOD($L122,10000))=LedAcct,INDEX(j_DrAmt,MOD($L122,10000)),0)+IF(LedAcct=acctTax,INDEX(j_TaxDr,MOD($L122,10000)),0))</f>
        <v/>
      </c>
      <c r="I122" s="95">
        <f>IF($L122="","",IF(INDEX(j_CrAcct,MOD($L122,10000))=LedAcct,INDEX(j_CrAmt,MOD($L122,10000)),0)+IF(LedAcct=acctTax,INDEX(j_TaxCr,MOD($L122,10000)),0))</f>
        <v/>
      </c>
      <c r="J122" s="95">
        <f>IF($L122="","",N(J121)+LedSign*(H122-I122))</f>
        <v/>
      </c>
      <c r="L122" s="96">
        <f>IFERROR(SMALL(j_Key,107),"")</f>
        <v/>
      </c>
    </row>
    <row r="123">
      <c r="B123" s="58">
        <f>IF($L123="","",108)</f>
        <v/>
      </c>
      <c r="C123" s="94">
        <f>IF($L123="","",INDEX(j_Date,MOD($L123,10000)))</f>
        <v/>
      </c>
      <c r="D123" s="58">
        <f>IF($L123="","",INDEX(j_Source,MOD($L123,10000)))</f>
        <v/>
      </c>
      <c r="E123" s="58">
        <f>IF($L123="","",INDEX(j_ID,MOD($L123,10000)))</f>
        <v/>
      </c>
      <c r="F123" s="58">
        <f>IF($L123="","",INDEX(j_Desc,MOD($L123,10000)))</f>
        <v/>
      </c>
      <c r="G123" s="58">
        <f>IF($L123="","",INDEX(j_Party,MOD($L123,10000)))</f>
        <v/>
      </c>
      <c r="H123" s="95">
        <f>IF($L123="","",IF(INDEX(j_DrAcct,MOD($L123,10000))=LedAcct,INDEX(j_DrAmt,MOD($L123,10000)),0)+IF(LedAcct=acctTax,INDEX(j_TaxDr,MOD($L123,10000)),0))</f>
        <v/>
      </c>
      <c r="I123" s="95">
        <f>IF($L123="","",IF(INDEX(j_CrAcct,MOD($L123,10000))=LedAcct,INDEX(j_CrAmt,MOD($L123,10000)),0)+IF(LedAcct=acctTax,INDEX(j_TaxCr,MOD($L123,10000)),0))</f>
        <v/>
      </c>
      <c r="J123" s="95">
        <f>IF($L123="","",N(J122)+LedSign*(H123-I123))</f>
        <v/>
      </c>
      <c r="L123" s="96">
        <f>IFERROR(SMALL(j_Key,108),"")</f>
        <v/>
      </c>
    </row>
    <row r="124">
      <c r="B124" s="58">
        <f>IF($L124="","",109)</f>
        <v/>
      </c>
      <c r="C124" s="94">
        <f>IF($L124="","",INDEX(j_Date,MOD($L124,10000)))</f>
        <v/>
      </c>
      <c r="D124" s="58">
        <f>IF($L124="","",INDEX(j_Source,MOD($L124,10000)))</f>
        <v/>
      </c>
      <c r="E124" s="58">
        <f>IF($L124="","",INDEX(j_ID,MOD($L124,10000)))</f>
        <v/>
      </c>
      <c r="F124" s="58">
        <f>IF($L124="","",INDEX(j_Desc,MOD($L124,10000)))</f>
        <v/>
      </c>
      <c r="G124" s="58">
        <f>IF($L124="","",INDEX(j_Party,MOD($L124,10000)))</f>
        <v/>
      </c>
      <c r="H124" s="95">
        <f>IF($L124="","",IF(INDEX(j_DrAcct,MOD($L124,10000))=LedAcct,INDEX(j_DrAmt,MOD($L124,10000)),0)+IF(LedAcct=acctTax,INDEX(j_TaxDr,MOD($L124,10000)),0))</f>
        <v/>
      </c>
      <c r="I124" s="95">
        <f>IF($L124="","",IF(INDEX(j_CrAcct,MOD($L124,10000))=LedAcct,INDEX(j_CrAmt,MOD($L124,10000)),0)+IF(LedAcct=acctTax,INDEX(j_TaxCr,MOD($L124,10000)),0))</f>
        <v/>
      </c>
      <c r="J124" s="95">
        <f>IF($L124="","",N(J123)+LedSign*(H124-I124))</f>
        <v/>
      </c>
      <c r="L124" s="96">
        <f>IFERROR(SMALL(j_Key,109),"")</f>
        <v/>
      </c>
    </row>
    <row r="125">
      <c r="B125" s="58">
        <f>IF($L125="","",110)</f>
        <v/>
      </c>
      <c r="C125" s="94">
        <f>IF($L125="","",INDEX(j_Date,MOD($L125,10000)))</f>
        <v/>
      </c>
      <c r="D125" s="58">
        <f>IF($L125="","",INDEX(j_Source,MOD($L125,10000)))</f>
        <v/>
      </c>
      <c r="E125" s="58">
        <f>IF($L125="","",INDEX(j_ID,MOD($L125,10000)))</f>
        <v/>
      </c>
      <c r="F125" s="58">
        <f>IF($L125="","",INDEX(j_Desc,MOD($L125,10000)))</f>
        <v/>
      </c>
      <c r="G125" s="58">
        <f>IF($L125="","",INDEX(j_Party,MOD($L125,10000)))</f>
        <v/>
      </c>
      <c r="H125" s="95">
        <f>IF($L125="","",IF(INDEX(j_DrAcct,MOD($L125,10000))=LedAcct,INDEX(j_DrAmt,MOD($L125,10000)),0)+IF(LedAcct=acctTax,INDEX(j_TaxDr,MOD($L125,10000)),0))</f>
        <v/>
      </c>
      <c r="I125" s="95">
        <f>IF($L125="","",IF(INDEX(j_CrAcct,MOD($L125,10000))=LedAcct,INDEX(j_CrAmt,MOD($L125,10000)),0)+IF(LedAcct=acctTax,INDEX(j_TaxCr,MOD($L125,10000)),0))</f>
        <v/>
      </c>
      <c r="J125" s="95">
        <f>IF($L125="","",N(J124)+LedSign*(H125-I125))</f>
        <v/>
      </c>
      <c r="L125" s="96">
        <f>IFERROR(SMALL(j_Key,110),"")</f>
        <v/>
      </c>
    </row>
    <row r="126">
      <c r="B126" s="58">
        <f>IF($L126="","",111)</f>
        <v/>
      </c>
      <c r="C126" s="94">
        <f>IF($L126="","",INDEX(j_Date,MOD($L126,10000)))</f>
        <v/>
      </c>
      <c r="D126" s="58">
        <f>IF($L126="","",INDEX(j_Source,MOD($L126,10000)))</f>
        <v/>
      </c>
      <c r="E126" s="58">
        <f>IF($L126="","",INDEX(j_ID,MOD($L126,10000)))</f>
        <v/>
      </c>
      <c r="F126" s="58">
        <f>IF($L126="","",INDEX(j_Desc,MOD($L126,10000)))</f>
        <v/>
      </c>
      <c r="G126" s="58">
        <f>IF($L126="","",INDEX(j_Party,MOD($L126,10000)))</f>
        <v/>
      </c>
      <c r="H126" s="95">
        <f>IF($L126="","",IF(INDEX(j_DrAcct,MOD($L126,10000))=LedAcct,INDEX(j_DrAmt,MOD($L126,10000)),0)+IF(LedAcct=acctTax,INDEX(j_TaxDr,MOD($L126,10000)),0))</f>
        <v/>
      </c>
      <c r="I126" s="95">
        <f>IF($L126="","",IF(INDEX(j_CrAcct,MOD($L126,10000))=LedAcct,INDEX(j_CrAmt,MOD($L126,10000)),0)+IF(LedAcct=acctTax,INDEX(j_TaxCr,MOD($L126,10000)),0))</f>
        <v/>
      </c>
      <c r="J126" s="95">
        <f>IF($L126="","",N(J125)+LedSign*(H126-I126))</f>
        <v/>
      </c>
      <c r="L126" s="96">
        <f>IFERROR(SMALL(j_Key,111),"")</f>
        <v/>
      </c>
    </row>
    <row r="127">
      <c r="B127" s="58">
        <f>IF($L127="","",112)</f>
        <v/>
      </c>
      <c r="C127" s="94">
        <f>IF($L127="","",INDEX(j_Date,MOD($L127,10000)))</f>
        <v/>
      </c>
      <c r="D127" s="58">
        <f>IF($L127="","",INDEX(j_Source,MOD($L127,10000)))</f>
        <v/>
      </c>
      <c r="E127" s="58">
        <f>IF($L127="","",INDEX(j_ID,MOD($L127,10000)))</f>
        <v/>
      </c>
      <c r="F127" s="58">
        <f>IF($L127="","",INDEX(j_Desc,MOD($L127,10000)))</f>
        <v/>
      </c>
      <c r="G127" s="58">
        <f>IF($L127="","",INDEX(j_Party,MOD($L127,10000)))</f>
        <v/>
      </c>
      <c r="H127" s="95">
        <f>IF($L127="","",IF(INDEX(j_DrAcct,MOD($L127,10000))=LedAcct,INDEX(j_DrAmt,MOD($L127,10000)),0)+IF(LedAcct=acctTax,INDEX(j_TaxDr,MOD($L127,10000)),0))</f>
        <v/>
      </c>
      <c r="I127" s="95">
        <f>IF($L127="","",IF(INDEX(j_CrAcct,MOD($L127,10000))=LedAcct,INDEX(j_CrAmt,MOD($L127,10000)),0)+IF(LedAcct=acctTax,INDEX(j_TaxCr,MOD($L127,10000)),0))</f>
        <v/>
      </c>
      <c r="J127" s="95">
        <f>IF($L127="","",N(J126)+LedSign*(H127-I127))</f>
        <v/>
      </c>
      <c r="L127" s="96">
        <f>IFERROR(SMALL(j_Key,112),"")</f>
        <v/>
      </c>
    </row>
    <row r="128">
      <c r="B128" s="58">
        <f>IF($L128="","",113)</f>
        <v/>
      </c>
      <c r="C128" s="94">
        <f>IF($L128="","",INDEX(j_Date,MOD($L128,10000)))</f>
        <v/>
      </c>
      <c r="D128" s="58">
        <f>IF($L128="","",INDEX(j_Source,MOD($L128,10000)))</f>
        <v/>
      </c>
      <c r="E128" s="58">
        <f>IF($L128="","",INDEX(j_ID,MOD($L128,10000)))</f>
        <v/>
      </c>
      <c r="F128" s="58">
        <f>IF($L128="","",INDEX(j_Desc,MOD($L128,10000)))</f>
        <v/>
      </c>
      <c r="G128" s="58">
        <f>IF($L128="","",INDEX(j_Party,MOD($L128,10000)))</f>
        <v/>
      </c>
      <c r="H128" s="95">
        <f>IF($L128="","",IF(INDEX(j_DrAcct,MOD($L128,10000))=LedAcct,INDEX(j_DrAmt,MOD($L128,10000)),0)+IF(LedAcct=acctTax,INDEX(j_TaxDr,MOD($L128,10000)),0))</f>
        <v/>
      </c>
      <c r="I128" s="95">
        <f>IF($L128="","",IF(INDEX(j_CrAcct,MOD($L128,10000))=LedAcct,INDEX(j_CrAmt,MOD($L128,10000)),0)+IF(LedAcct=acctTax,INDEX(j_TaxCr,MOD($L128,10000)),0))</f>
        <v/>
      </c>
      <c r="J128" s="95">
        <f>IF($L128="","",N(J127)+LedSign*(H128-I128))</f>
        <v/>
      </c>
      <c r="L128" s="96">
        <f>IFERROR(SMALL(j_Key,113),"")</f>
        <v/>
      </c>
    </row>
    <row r="129">
      <c r="B129" s="58">
        <f>IF($L129="","",114)</f>
        <v/>
      </c>
      <c r="C129" s="94">
        <f>IF($L129="","",INDEX(j_Date,MOD($L129,10000)))</f>
        <v/>
      </c>
      <c r="D129" s="58">
        <f>IF($L129="","",INDEX(j_Source,MOD($L129,10000)))</f>
        <v/>
      </c>
      <c r="E129" s="58">
        <f>IF($L129="","",INDEX(j_ID,MOD($L129,10000)))</f>
        <v/>
      </c>
      <c r="F129" s="58">
        <f>IF($L129="","",INDEX(j_Desc,MOD($L129,10000)))</f>
        <v/>
      </c>
      <c r="G129" s="58">
        <f>IF($L129="","",INDEX(j_Party,MOD($L129,10000)))</f>
        <v/>
      </c>
      <c r="H129" s="95">
        <f>IF($L129="","",IF(INDEX(j_DrAcct,MOD($L129,10000))=LedAcct,INDEX(j_DrAmt,MOD($L129,10000)),0)+IF(LedAcct=acctTax,INDEX(j_TaxDr,MOD($L129,10000)),0))</f>
        <v/>
      </c>
      <c r="I129" s="95">
        <f>IF($L129="","",IF(INDEX(j_CrAcct,MOD($L129,10000))=LedAcct,INDEX(j_CrAmt,MOD($L129,10000)),0)+IF(LedAcct=acctTax,INDEX(j_TaxCr,MOD($L129,10000)),0))</f>
        <v/>
      </c>
      <c r="J129" s="95">
        <f>IF($L129="","",N(J128)+LedSign*(H129-I129))</f>
        <v/>
      </c>
      <c r="L129" s="96">
        <f>IFERROR(SMALL(j_Key,114),"")</f>
        <v/>
      </c>
    </row>
    <row r="130">
      <c r="B130" s="58">
        <f>IF($L130="","",115)</f>
        <v/>
      </c>
      <c r="C130" s="94">
        <f>IF($L130="","",INDEX(j_Date,MOD($L130,10000)))</f>
        <v/>
      </c>
      <c r="D130" s="58">
        <f>IF($L130="","",INDEX(j_Source,MOD($L130,10000)))</f>
        <v/>
      </c>
      <c r="E130" s="58">
        <f>IF($L130="","",INDEX(j_ID,MOD($L130,10000)))</f>
        <v/>
      </c>
      <c r="F130" s="58">
        <f>IF($L130="","",INDEX(j_Desc,MOD($L130,10000)))</f>
        <v/>
      </c>
      <c r="G130" s="58">
        <f>IF($L130="","",INDEX(j_Party,MOD($L130,10000)))</f>
        <v/>
      </c>
      <c r="H130" s="95">
        <f>IF($L130="","",IF(INDEX(j_DrAcct,MOD($L130,10000))=LedAcct,INDEX(j_DrAmt,MOD($L130,10000)),0)+IF(LedAcct=acctTax,INDEX(j_TaxDr,MOD($L130,10000)),0))</f>
        <v/>
      </c>
      <c r="I130" s="95">
        <f>IF($L130="","",IF(INDEX(j_CrAcct,MOD($L130,10000))=LedAcct,INDEX(j_CrAmt,MOD($L130,10000)),0)+IF(LedAcct=acctTax,INDEX(j_TaxCr,MOD($L130,10000)),0))</f>
        <v/>
      </c>
      <c r="J130" s="95">
        <f>IF($L130="","",N(J129)+LedSign*(H130-I130))</f>
        <v/>
      </c>
      <c r="L130" s="96">
        <f>IFERROR(SMALL(j_Key,115),"")</f>
        <v/>
      </c>
    </row>
    <row r="131">
      <c r="B131" s="58">
        <f>IF($L131="","",116)</f>
        <v/>
      </c>
      <c r="C131" s="94">
        <f>IF($L131="","",INDEX(j_Date,MOD($L131,10000)))</f>
        <v/>
      </c>
      <c r="D131" s="58">
        <f>IF($L131="","",INDEX(j_Source,MOD($L131,10000)))</f>
        <v/>
      </c>
      <c r="E131" s="58">
        <f>IF($L131="","",INDEX(j_ID,MOD($L131,10000)))</f>
        <v/>
      </c>
      <c r="F131" s="58">
        <f>IF($L131="","",INDEX(j_Desc,MOD($L131,10000)))</f>
        <v/>
      </c>
      <c r="G131" s="58">
        <f>IF($L131="","",INDEX(j_Party,MOD($L131,10000)))</f>
        <v/>
      </c>
      <c r="H131" s="95">
        <f>IF($L131="","",IF(INDEX(j_DrAcct,MOD($L131,10000))=LedAcct,INDEX(j_DrAmt,MOD($L131,10000)),0)+IF(LedAcct=acctTax,INDEX(j_TaxDr,MOD($L131,10000)),0))</f>
        <v/>
      </c>
      <c r="I131" s="95">
        <f>IF($L131="","",IF(INDEX(j_CrAcct,MOD($L131,10000))=LedAcct,INDEX(j_CrAmt,MOD($L131,10000)),0)+IF(LedAcct=acctTax,INDEX(j_TaxCr,MOD($L131,10000)),0))</f>
        <v/>
      </c>
      <c r="J131" s="95">
        <f>IF($L131="","",N(J130)+LedSign*(H131-I131))</f>
        <v/>
      </c>
      <c r="L131" s="96">
        <f>IFERROR(SMALL(j_Key,116),"")</f>
        <v/>
      </c>
    </row>
    <row r="132">
      <c r="B132" s="58">
        <f>IF($L132="","",117)</f>
        <v/>
      </c>
      <c r="C132" s="94">
        <f>IF($L132="","",INDEX(j_Date,MOD($L132,10000)))</f>
        <v/>
      </c>
      <c r="D132" s="58">
        <f>IF($L132="","",INDEX(j_Source,MOD($L132,10000)))</f>
        <v/>
      </c>
      <c r="E132" s="58">
        <f>IF($L132="","",INDEX(j_ID,MOD($L132,10000)))</f>
        <v/>
      </c>
      <c r="F132" s="58">
        <f>IF($L132="","",INDEX(j_Desc,MOD($L132,10000)))</f>
        <v/>
      </c>
      <c r="G132" s="58">
        <f>IF($L132="","",INDEX(j_Party,MOD($L132,10000)))</f>
        <v/>
      </c>
      <c r="H132" s="95">
        <f>IF($L132="","",IF(INDEX(j_DrAcct,MOD($L132,10000))=LedAcct,INDEX(j_DrAmt,MOD($L132,10000)),0)+IF(LedAcct=acctTax,INDEX(j_TaxDr,MOD($L132,10000)),0))</f>
        <v/>
      </c>
      <c r="I132" s="95">
        <f>IF($L132="","",IF(INDEX(j_CrAcct,MOD($L132,10000))=LedAcct,INDEX(j_CrAmt,MOD($L132,10000)),0)+IF(LedAcct=acctTax,INDEX(j_TaxCr,MOD($L132,10000)),0))</f>
        <v/>
      </c>
      <c r="J132" s="95">
        <f>IF($L132="","",N(J131)+LedSign*(H132-I132))</f>
        <v/>
      </c>
      <c r="L132" s="96">
        <f>IFERROR(SMALL(j_Key,117),"")</f>
        <v/>
      </c>
    </row>
    <row r="133">
      <c r="B133" s="58">
        <f>IF($L133="","",118)</f>
        <v/>
      </c>
      <c r="C133" s="94">
        <f>IF($L133="","",INDEX(j_Date,MOD($L133,10000)))</f>
        <v/>
      </c>
      <c r="D133" s="58">
        <f>IF($L133="","",INDEX(j_Source,MOD($L133,10000)))</f>
        <v/>
      </c>
      <c r="E133" s="58">
        <f>IF($L133="","",INDEX(j_ID,MOD($L133,10000)))</f>
        <v/>
      </c>
      <c r="F133" s="58">
        <f>IF($L133="","",INDEX(j_Desc,MOD($L133,10000)))</f>
        <v/>
      </c>
      <c r="G133" s="58">
        <f>IF($L133="","",INDEX(j_Party,MOD($L133,10000)))</f>
        <v/>
      </c>
      <c r="H133" s="95">
        <f>IF($L133="","",IF(INDEX(j_DrAcct,MOD($L133,10000))=LedAcct,INDEX(j_DrAmt,MOD($L133,10000)),0)+IF(LedAcct=acctTax,INDEX(j_TaxDr,MOD($L133,10000)),0))</f>
        <v/>
      </c>
      <c r="I133" s="95">
        <f>IF($L133="","",IF(INDEX(j_CrAcct,MOD($L133,10000))=LedAcct,INDEX(j_CrAmt,MOD($L133,10000)),0)+IF(LedAcct=acctTax,INDEX(j_TaxCr,MOD($L133,10000)),0))</f>
        <v/>
      </c>
      <c r="J133" s="95">
        <f>IF($L133="","",N(J132)+LedSign*(H133-I133))</f>
        <v/>
      </c>
      <c r="L133" s="96">
        <f>IFERROR(SMALL(j_Key,118),"")</f>
        <v/>
      </c>
    </row>
    <row r="134">
      <c r="B134" s="58">
        <f>IF($L134="","",119)</f>
        <v/>
      </c>
      <c r="C134" s="94">
        <f>IF($L134="","",INDEX(j_Date,MOD($L134,10000)))</f>
        <v/>
      </c>
      <c r="D134" s="58">
        <f>IF($L134="","",INDEX(j_Source,MOD($L134,10000)))</f>
        <v/>
      </c>
      <c r="E134" s="58">
        <f>IF($L134="","",INDEX(j_ID,MOD($L134,10000)))</f>
        <v/>
      </c>
      <c r="F134" s="58">
        <f>IF($L134="","",INDEX(j_Desc,MOD($L134,10000)))</f>
        <v/>
      </c>
      <c r="G134" s="58">
        <f>IF($L134="","",INDEX(j_Party,MOD($L134,10000)))</f>
        <v/>
      </c>
      <c r="H134" s="95">
        <f>IF($L134="","",IF(INDEX(j_DrAcct,MOD($L134,10000))=LedAcct,INDEX(j_DrAmt,MOD($L134,10000)),0)+IF(LedAcct=acctTax,INDEX(j_TaxDr,MOD($L134,10000)),0))</f>
        <v/>
      </c>
      <c r="I134" s="95">
        <f>IF($L134="","",IF(INDEX(j_CrAcct,MOD($L134,10000))=LedAcct,INDEX(j_CrAmt,MOD($L134,10000)),0)+IF(LedAcct=acctTax,INDEX(j_TaxCr,MOD($L134,10000)),0))</f>
        <v/>
      </c>
      <c r="J134" s="95">
        <f>IF($L134="","",N(J133)+LedSign*(H134-I134))</f>
        <v/>
      </c>
      <c r="L134" s="96">
        <f>IFERROR(SMALL(j_Key,119),"")</f>
        <v/>
      </c>
    </row>
    <row r="135">
      <c r="B135" s="58">
        <f>IF($L135="","",120)</f>
        <v/>
      </c>
      <c r="C135" s="94">
        <f>IF($L135="","",INDEX(j_Date,MOD($L135,10000)))</f>
        <v/>
      </c>
      <c r="D135" s="58">
        <f>IF($L135="","",INDEX(j_Source,MOD($L135,10000)))</f>
        <v/>
      </c>
      <c r="E135" s="58">
        <f>IF($L135="","",INDEX(j_ID,MOD($L135,10000)))</f>
        <v/>
      </c>
      <c r="F135" s="58">
        <f>IF($L135="","",INDEX(j_Desc,MOD($L135,10000)))</f>
        <v/>
      </c>
      <c r="G135" s="58">
        <f>IF($L135="","",INDEX(j_Party,MOD($L135,10000)))</f>
        <v/>
      </c>
      <c r="H135" s="95">
        <f>IF($L135="","",IF(INDEX(j_DrAcct,MOD($L135,10000))=LedAcct,INDEX(j_DrAmt,MOD($L135,10000)),0)+IF(LedAcct=acctTax,INDEX(j_TaxDr,MOD($L135,10000)),0))</f>
        <v/>
      </c>
      <c r="I135" s="95">
        <f>IF($L135="","",IF(INDEX(j_CrAcct,MOD($L135,10000))=LedAcct,INDEX(j_CrAmt,MOD($L135,10000)),0)+IF(LedAcct=acctTax,INDEX(j_TaxCr,MOD($L135,10000)),0))</f>
        <v/>
      </c>
      <c r="J135" s="95">
        <f>IF($L135="","",N(J134)+LedSign*(H135-I135))</f>
        <v/>
      </c>
      <c r="L135" s="96">
        <f>IFERROR(SMALL(j_Key,120),"")</f>
        <v/>
      </c>
    </row>
    <row r="136">
      <c r="B136" s="58">
        <f>IF($L136="","",121)</f>
        <v/>
      </c>
      <c r="C136" s="94">
        <f>IF($L136="","",INDEX(j_Date,MOD($L136,10000)))</f>
        <v/>
      </c>
      <c r="D136" s="58">
        <f>IF($L136="","",INDEX(j_Source,MOD($L136,10000)))</f>
        <v/>
      </c>
      <c r="E136" s="58">
        <f>IF($L136="","",INDEX(j_ID,MOD($L136,10000)))</f>
        <v/>
      </c>
      <c r="F136" s="58">
        <f>IF($L136="","",INDEX(j_Desc,MOD($L136,10000)))</f>
        <v/>
      </c>
      <c r="G136" s="58">
        <f>IF($L136="","",INDEX(j_Party,MOD($L136,10000)))</f>
        <v/>
      </c>
      <c r="H136" s="95">
        <f>IF($L136="","",IF(INDEX(j_DrAcct,MOD($L136,10000))=LedAcct,INDEX(j_DrAmt,MOD($L136,10000)),0)+IF(LedAcct=acctTax,INDEX(j_TaxDr,MOD($L136,10000)),0))</f>
        <v/>
      </c>
      <c r="I136" s="95">
        <f>IF($L136="","",IF(INDEX(j_CrAcct,MOD($L136,10000))=LedAcct,INDEX(j_CrAmt,MOD($L136,10000)),0)+IF(LedAcct=acctTax,INDEX(j_TaxCr,MOD($L136,10000)),0))</f>
        <v/>
      </c>
      <c r="J136" s="95">
        <f>IF($L136="","",N(J135)+LedSign*(H136-I136))</f>
        <v/>
      </c>
      <c r="L136" s="96">
        <f>IFERROR(SMALL(j_Key,121),"")</f>
        <v/>
      </c>
    </row>
    <row r="137">
      <c r="B137" s="58">
        <f>IF($L137="","",122)</f>
        <v/>
      </c>
      <c r="C137" s="94">
        <f>IF($L137="","",INDEX(j_Date,MOD($L137,10000)))</f>
        <v/>
      </c>
      <c r="D137" s="58">
        <f>IF($L137="","",INDEX(j_Source,MOD($L137,10000)))</f>
        <v/>
      </c>
      <c r="E137" s="58">
        <f>IF($L137="","",INDEX(j_ID,MOD($L137,10000)))</f>
        <v/>
      </c>
      <c r="F137" s="58">
        <f>IF($L137="","",INDEX(j_Desc,MOD($L137,10000)))</f>
        <v/>
      </c>
      <c r="G137" s="58">
        <f>IF($L137="","",INDEX(j_Party,MOD($L137,10000)))</f>
        <v/>
      </c>
      <c r="H137" s="95">
        <f>IF($L137="","",IF(INDEX(j_DrAcct,MOD($L137,10000))=LedAcct,INDEX(j_DrAmt,MOD($L137,10000)),0)+IF(LedAcct=acctTax,INDEX(j_TaxDr,MOD($L137,10000)),0))</f>
        <v/>
      </c>
      <c r="I137" s="95">
        <f>IF($L137="","",IF(INDEX(j_CrAcct,MOD($L137,10000))=LedAcct,INDEX(j_CrAmt,MOD($L137,10000)),0)+IF(LedAcct=acctTax,INDEX(j_TaxCr,MOD($L137,10000)),0))</f>
        <v/>
      </c>
      <c r="J137" s="95">
        <f>IF($L137="","",N(J136)+LedSign*(H137-I137))</f>
        <v/>
      </c>
      <c r="L137" s="96">
        <f>IFERROR(SMALL(j_Key,122),"")</f>
        <v/>
      </c>
    </row>
    <row r="138">
      <c r="B138" s="58">
        <f>IF($L138="","",123)</f>
        <v/>
      </c>
      <c r="C138" s="94">
        <f>IF($L138="","",INDEX(j_Date,MOD($L138,10000)))</f>
        <v/>
      </c>
      <c r="D138" s="58">
        <f>IF($L138="","",INDEX(j_Source,MOD($L138,10000)))</f>
        <v/>
      </c>
      <c r="E138" s="58">
        <f>IF($L138="","",INDEX(j_ID,MOD($L138,10000)))</f>
        <v/>
      </c>
      <c r="F138" s="58">
        <f>IF($L138="","",INDEX(j_Desc,MOD($L138,10000)))</f>
        <v/>
      </c>
      <c r="G138" s="58">
        <f>IF($L138="","",INDEX(j_Party,MOD($L138,10000)))</f>
        <v/>
      </c>
      <c r="H138" s="95">
        <f>IF($L138="","",IF(INDEX(j_DrAcct,MOD($L138,10000))=LedAcct,INDEX(j_DrAmt,MOD($L138,10000)),0)+IF(LedAcct=acctTax,INDEX(j_TaxDr,MOD($L138,10000)),0))</f>
        <v/>
      </c>
      <c r="I138" s="95">
        <f>IF($L138="","",IF(INDEX(j_CrAcct,MOD($L138,10000))=LedAcct,INDEX(j_CrAmt,MOD($L138,10000)),0)+IF(LedAcct=acctTax,INDEX(j_TaxCr,MOD($L138,10000)),0))</f>
        <v/>
      </c>
      <c r="J138" s="95">
        <f>IF($L138="","",N(J137)+LedSign*(H138-I138))</f>
        <v/>
      </c>
      <c r="L138" s="96">
        <f>IFERROR(SMALL(j_Key,123),"")</f>
        <v/>
      </c>
    </row>
    <row r="139">
      <c r="B139" s="58">
        <f>IF($L139="","",124)</f>
        <v/>
      </c>
      <c r="C139" s="94">
        <f>IF($L139="","",INDEX(j_Date,MOD($L139,10000)))</f>
        <v/>
      </c>
      <c r="D139" s="58">
        <f>IF($L139="","",INDEX(j_Source,MOD($L139,10000)))</f>
        <v/>
      </c>
      <c r="E139" s="58">
        <f>IF($L139="","",INDEX(j_ID,MOD($L139,10000)))</f>
        <v/>
      </c>
      <c r="F139" s="58">
        <f>IF($L139="","",INDEX(j_Desc,MOD($L139,10000)))</f>
        <v/>
      </c>
      <c r="G139" s="58">
        <f>IF($L139="","",INDEX(j_Party,MOD($L139,10000)))</f>
        <v/>
      </c>
      <c r="H139" s="95">
        <f>IF($L139="","",IF(INDEX(j_DrAcct,MOD($L139,10000))=LedAcct,INDEX(j_DrAmt,MOD($L139,10000)),0)+IF(LedAcct=acctTax,INDEX(j_TaxDr,MOD($L139,10000)),0))</f>
        <v/>
      </c>
      <c r="I139" s="95">
        <f>IF($L139="","",IF(INDEX(j_CrAcct,MOD($L139,10000))=LedAcct,INDEX(j_CrAmt,MOD($L139,10000)),0)+IF(LedAcct=acctTax,INDEX(j_TaxCr,MOD($L139,10000)),0))</f>
        <v/>
      </c>
      <c r="J139" s="95">
        <f>IF($L139="","",N(J138)+LedSign*(H139-I139))</f>
        <v/>
      </c>
      <c r="L139" s="96">
        <f>IFERROR(SMALL(j_Key,124),"")</f>
        <v/>
      </c>
    </row>
    <row r="140">
      <c r="B140" s="58">
        <f>IF($L140="","",125)</f>
        <v/>
      </c>
      <c r="C140" s="94">
        <f>IF($L140="","",INDEX(j_Date,MOD($L140,10000)))</f>
        <v/>
      </c>
      <c r="D140" s="58">
        <f>IF($L140="","",INDEX(j_Source,MOD($L140,10000)))</f>
        <v/>
      </c>
      <c r="E140" s="58">
        <f>IF($L140="","",INDEX(j_ID,MOD($L140,10000)))</f>
        <v/>
      </c>
      <c r="F140" s="58">
        <f>IF($L140="","",INDEX(j_Desc,MOD($L140,10000)))</f>
        <v/>
      </c>
      <c r="G140" s="58">
        <f>IF($L140="","",INDEX(j_Party,MOD($L140,10000)))</f>
        <v/>
      </c>
      <c r="H140" s="95">
        <f>IF($L140="","",IF(INDEX(j_DrAcct,MOD($L140,10000))=LedAcct,INDEX(j_DrAmt,MOD($L140,10000)),0)+IF(LedAcct=acctTax,INDEX(j_TaxDr,MOD($L140,10000)),0))</f>
        <v/>
      </c>
      <c r="I140" s="95">
        <f>IF($L140="","",IF(INDEX(j_CrAcct,MOD($L140,10000))=LedAcct,INDEX(j_CrAmt,MOD($L140,10000)),0)+IF(LedAcct=acctTax,INDEX(j_TaxCr,MOD($L140,10000)),0))</f>
        <v/>
      </c>
      <c r="J140" s="95">
        <f>IF($L140="","",N(J139)+LedSign*(H140-I140))</f>
        <v/>
      </c>
      <c r="L140" s="96">
        <f>IFERROR(SMALL(j_Key,125),"")</f>
        <v/>
      </c>
    </row>
    <row r="141">
      <c r="B141" s="58">
        <f>IF($L141="","",126)</f>
        <v/>
      </c>
      <c r="C141" s="94">
        <f>IF($L141="","",INDEX(j_Date,MOD($L141,10000)))</f>
        <v/>
      </c>
      <c r="D141" s="58">
        <f>IF($L141="","",INDEX(j_Source,MOD($L141,10000)))</f>
        <v/>
      </c>
      <c r="E141" s="58">
        <f>IF($L141="","",INDEX(j_ID,MOD($L141,10000)))</f>
        <v/>
      </c>
      <c r="F141" s="58">
        <f>IF($L141="","",INDEX(j_Desc,MOD($L141,10000)))</f>
        <v/>
      </c>
      <c r="G141" s="58">
        <f>IF($L141="","",INDEX(j_Party,MOD($L141,10000)))</f>
        <v/>
      </c>
      <c r="H141" s="95">
        <f>IF($L141="","",IF(INDEX(j_DrAcct,MOD($L141,10000))=LedAcct,INDEX(j_DrAmt,MOD($L141,10000)),0)+IF(LedAcct=acctTax,INDEX(j_TaxDr,MOD($L141,10000)),0))</f>
        <v/>
      </c>
      <c r="I141" s="95">
        <f>IF($L141="","",IF(INDEX(j_CrAcct,MOD($L141,10000))=LedAcct,INDEX(j_CrAmt,MOD($L141,10000)),0)+IF(LedAcct=acctTax,INDEX(j_TaxCr,MOD($L141,10000)),0))</f>
        <v/>
      </c>
      <c r="J141" s="95">
        <f>IF($L141="","",N(J140)+LedSign*(H141-I141))</f>
        <v/>
      </c>
      <c r="L141" s="96">
        <f>IFERROR(SMALL(j_Key,126),"")</f>
        <v/>
      </c>
    </row>
    <row r="142">
      <c r="B142" s="58">
        <f>IF($L142="","",127)</f>
        <v/>
      </c>
      <c r="C142" s="94">
        <f>IF($L142="","",INDEX(j_Date,MOD($L142,10000)))</f>
        <v/>
      </c>
      <c r="D142" s="58">
        <f>IF($L142="","",INDEX(j_Source,MOD($L142,10000)))</f>
        <v/>
      </c>
      <c r="E142" s="58">
        <f>IF($L142="","",INDEX(j_ID,MOD($L142,10000)))</f>
        <v/>
      </c>
      <c r="F142" s="58">
        <f>IF($L142="","",INDEX(j_Desc,MOD($L142,10000)))</f>
        <v/>
      </c>
      <c r="G142" s="58">
        <f>IF($L142="","",INDEX(j_Party,MOD($L142,10000)))</f>
        <v/>
      </c>
      <c r="H142" s="95">
        <f>IF($L142="","",IF(INDEX(j_DrAcct,MOD($L142,10000))=LedAcct,INDEX(j_DrAmt,MOD($L142,10000)),0)+IF(LedAcct=acctTax,INDEX(j_TaxDr,MOD($L142,10000)),0))</f>
        <v/>
      </c>
      <c r="I142" s="95">
        <f>IF($L142="","",IF(INDEX(j_CrAcct,MOD($L142,10000))=LedAcct,INDEX(j_CrAmt,MOD($L142,10000)),0)+IF(LedAcct=acctTax,INDEX(j_TaxCr,MOD($L142,10000)),0))</f>
        <v/>
      </c>
      <c r="J142" s="95">
        <f>IF($L142="","",N(J141)+LedSign*(H142-I142))</f>
        <v/>
      </c>
      <c r="L142" s="96">
        <f>IFERROR(SMALL(j_Key,127),"")</f>
        <v/>
      </c>
    </row>
    <row r="143">
      <c r="B143" s="58">
        <f>IF($L143="","",128)</f>
        <v/>
      </c>
      <c r="C143" s="94">
        <f>IF($L143="","",INDEX(j_Date,MOD($L143,10000)))</f>
        <v/>
      </c>
      <c r="D143" s="58">
        <f>IF($L143="","",INDEX(j_Source,MOD($L143,10000)))</f>
        <v/>
      </c>
      <c r="E143" s="58">
        <f>IF($L143="","",INDEX(j_ID,MOD($L143,10000)))</f>
        <v/>
      </c>
      <c r="F143" s="58">
        <f>IF($L143="","",INDEX(j_Desc,MOD($L143,10000)))</f>
        <v/>
      </c>
      <c r="G143" s="58">
        <f>IF($L143="","",INDEX(j_Party,MOD($L143,10000)))</f>
        <v/>
      </c>
      <c r="H143" s="95">
        <f>IF($L143="","",IF(INDEX(j_DrAcct,MOD($L143,10000))=LedAcct,INDEX(j_DrAmt,MOD($L143,10000)),0)+IF(LedAcct=acctTax,INDEX(j_TaxDr,MOD($L143,10000)),0))</f>
        <v/>
      </c>
      <c r="I143" s="95">
        <f>IF($L143="","",IF(INDEX(j_CrAcct,MOD($L143,10000))=LedAcct,INDEX(j_CrAmt,MOD($L143,10000)),0)+IF(LedAcct=acctTax,INDEX(j_TaxCr,MOD($L143,10000)),0))</f>
        <v/>
      </c>
      <c r="J143" s="95">
        <f>IF($L143="","",N(J142)+LedSign*(H143-I143))</f>
        <v/>
      </c>
      <c r="L143" s="96">
        <f>IFERROR(SMALL(j_Key,128),"")</f>
        <v/>
      </c>
    </row>
    <row r="144">
      <c r="B144" s="58">
        <f>IF($L144="","",129)</f>
        <v/>
      </c>
      <c r="C144" s="94">
        <f>IF($L144="","",INDEX(j_Date,MOD($L144,10000)))</f>
        <v/>
      </c>
      <c r="D144" s="58">
        <f>IF($L144="","",INDEX(j_Source,MOD($L144,10000)))</f>
        <v/>
      </c>
      <c r="E144" s="58">
        <f>IF($L144="","",INDEX(j_ID,MOD($L144,10000)))</f>
        <v/>
      </c>
      <c r="F144" s="58">
        <f>IF($L144="","",INDEX(j_Desc,MOD($L144,10000)))</f>
        <v/>
      </c>
      <c r="G144" s="58">
        <f>IF($L144="","",INDEX(j_Party,MOD($L144,10000)))</f>
        <v/>
      </c>
      <c r="H144" s="95">
        <f>IF($L144="","",IF(INDEX(j_DrAcct,MOD($L144,10000))=LedAcct,INDEX(j_DrAmt,MOD($L144,10000)),0)+IF(LedAcct=acctTax,INDEX(j_TaxDr,MOD($L144,10000)),0))</f>
        <v/>
      </c>
      <c r="I144" s="95">
        <f>IF($L144="","",IF(INDEX(j_CrAcct,MOD($L144,10000))=LedAcct,INDEX(j_CrAmt,MOD($L144,10000)),0)+IF(LedAcct=acctTax,INDEX(j_TaxCr,MOD($L144,10000)),0))</f>
        <v/>
      </c>
      <c r="J144" s="95">
        <f>IF($L144="","",N(J143)+LedSign*(H144-I144))</f>
        <v/>
      </c>
      <c r="L144" s="96">
        <f>IFERROR(SMALL(j_Key,129),"")</f>
        <v/>
      </c>
    </row>
    <row r="145">
      <c r="B145" s="58">
        <f>IF($L145="","",130)</f>
        <v/>
      </c>
      <c r="C145" s="94">
        <f>IF($L145="","",INDEX(j_Date,MOD($L145,10000)))</f>
        <v/>
      </c>
      <c r="D145" s="58">
        <f>IF($L145="","",INDEX(j_Source,MOD($L145,10000)))</f>
        <v/>
      </c>
      <c r="E145" s="58">
        <f>IF($L145="","",INDEX(j_ID,MOD($L145,10000)))</f>
        <v/>
      </c>
      <c r="F145" s="58">
        <f>IF($L145="","",INDEX(j_Desc,MOD($L145,10000)))</f>
        <v/>
      </c>
      <c r="G145" s="58">
        <f>IF($L145="","",INDEX(j_Party,MOD($L145,10000)))</f>
        <v/>
      </c>
      <c r="H145" s="95">
        <f>IF($L145="","",IF(INDEX(j_DrAcct,MOD($L145,10000))=LedAcct,INDEX(j_DrAmt,MOD($L145,10000)),0)+IF(LedAcct=acctTax,INDEX(j_TaxDr,MOD($L145,10000)),0))</f>
        <v/>
      </c>
      <c r="I145" s="95">
        <f>IF($L145="","",IF(INDEX(j_CrAcct,MOD($L145,10000))=LedAcct,INDEX(j_CrAmt,MOD($L145,10000)),0)+IF(LedAcct=acctTax,INDEX(j_TaxCr,MOD($L145,10000)),0))</f>
        <v/>
      </c>
      <c r="J145" s="95">
        <f>IF($L145="","",N(J144)+LedSign*(H145-I145))</f>
        <v/>
      </c>
      <c r="L145" s="96">
        <f>IFERROR(SMALL(j_Key,130),"")</f>
        <v/>
      </c>
    </row>
    <row r="146">
      <c r="B146" s="58">
        <f>IF($L146="","",131)</f>
        <v/>
      </c>
      <c r="C146" s="94">
        <f>IF($L146="","",INDEX(j_Date,MOD($L146,10000)))</f>
        <v/>
      </c>
      <c r="D146" s="58">
        <f>IF($L146="","",INDEX(j_Source,MOD($L146,10000)))</f>
        <v/>
      </c>
      <c r="E146" s="58">
        <f>IF($L146="","",INDEX(j_ID,MOD($L146,10000)))</f>
        <v/>
      </c>
      <c r="F146" s="58">
        <f>IF($L146="","",INDEX(j_Desc,MOD($L146,10000)))</f>
        <v/>
      </c>
      <c r="G146" s="58">
        <f>IF($L146="","",INDEX(j_Party,MOD($L146,10000)))</f>
        <v/>
      </c>
      <c r="H146" s="95">
        <f>IF($L146="","",IF(INDEX(j_DrAcct,MOD($L146,10000))=LedAcct,INDEX(j_DrAmt,MOD($L146,10000)),0)+IF(LedAcct=acctTax,INDEX(j_TaxDr,MOD($L146,10000)),0))</f>
        <v/>
      </c>
      <c r="I146" s="95">
        <f>IF($L146="","",IF(INDEX(j_CrAcct,MOD($L146,10000))=LedAcct,INDEX(j_CrAmt,MOD($L146,10000)),0)+IF(LedAcct=acctTax,INDEX(j_TaxCr,MOD($L146,10000)),0))</f>
        <v/>
      </c>
      <c r="J146" s="95">
        <f>IF($L146="","",N(J145)+LedSign*(H146-I146))</f>
        <v/>
      </c>
      <c r="L146" s="96">
        <f>IFERROR(SMALL(j_Key,131),"")</f>
        <v/>
      </c>
    </row>
    <row r="147">
      <c r="B147" s="58">
        <f>IF($L147="","",132)</f>
        <v/>
      </c>
      <c r="C147" s="94">
        <f>IF($L147="","",INDEX(j_Date,MOD($L147,10000)))</f>
        <v/>
      </c>
      <c r="D147" s="58">
        <f>IF($L147="","",INDEX(j_Source,MOD($L147,10000)))</f>
        <v/>
      </c>
      <c r="E147" s="58">
        <f>IF($L147="","",INDEX(j_ID,MOD($L147,10000)))</f>
        <v/>
      </c>
      <c r="F147" s="58">
        <f>IF($L147="","",INDEX(j_Desc,MOD($L147,10000)))</f>
        <v/>
      </c>
      <c r="G147" s="58">
        <f>IF($L147="","",INDEX(j_Party,MOD($L147,10000)))</f>
        <v/>
      </c>
      <c r="H147" s="95">
        <f>IF($L147="","",IF(INDEX(j_DrAcct,MOD($L147,10000))=LedAcct,INDEX(j_DrAmt,MOD($L147,10000)),0)+IF(LedAcct=acctTax,INDEX(j_TaxDr,MOD($L147,10000)),0))</f>
        <v/>
      </c>
      <c r="I147" s="95">
        <f>IF($L147="","",IF(INDEX(j_CrAcct,MOD($L147,10000))=LedAcct,INDEX(j_CrAmt,MOD($L147,10000)),0)+IF(LedAcct=acctTax,INDEX(j_TaxCr,MOD($L147,10000)),0))</f>
        <v/>
      </c>
      <c r="J147" s="95">
        <f>IF($L147="","",N(J146)+LedSign*(H147-I147))</f>
        <v/>
      </c>
      <c r="L147" s="96">
        <f>IFERROR(SMALL(j_Key,132),"")</f>
        <v/>
      </c>
    </row>
    <row r="148">
      <c r="B148" s="58">
        <f>IF($L148="","",133)</f>
        <v/>
      </c>
      <c r="C148" s="94">
        <f>IF($L148="","",INDEX(j_Date,MOD($L148,10000)))</f>
        <v/>
      </c>
      <c r="D148" s="58">
        <f>IF($L148="","",INDEX(j_Source,MOD($L148,10000)))</f>
        <v/>
      </c>
      <c r="E148" s="58">
        <f>IF($L148="","",INDEX(j_ID,MOD($L148,10000)))</f>
        <v/>
      </c>
      <c r="F148" s="58">
        <f>IF($L148="","",INDEX(j_Desc,MOD($L148,10000)))</f>
        <v/>
      </c>
      <c r="G148" s="58">
        <f>IF($L148="","",INDEX(j_Party,MOD($L148,10000)))</f>
        <v/>
      </c>
      <c r="H148" s="95">
        <f>IF($L148="","",IF(INDEX(j_DrAcct,MOD($L148,10000))=LedAcct,INDEX(j_DrAmt,MOD($L148,10000)),0)+IF(LedAcct=acctTax,INDEX(j_TaxDr,MOD($L148,10000)),0))</f>
        <v/>
      </c>
      <c r="I148" s="95">
        <f>IF($L148="","",IF(INDEX(j_CrAcct,MOD($L148,10000))=LedAcct,INDEX(j_CrAmt,MOD($L148,10000)),0)+IF(LedAcct=acctTax,INDEX(j_TaxCr,MOD($L148,10000)),0))</f>
        <v/>
      </c>
      <c r="J148" s="95">
        <f>IF($L148="","",N(J147)+LedSign*(H148-I148))</f>
        <v/>
      </c>
      <c r="L148" s="96">
        <f>IFERROR(SMALL(j_Key,133),"")</f>
        <v/>
      </c>
    </row>
    <row r="149">
      <c r="B149" s="58">
        <f>IF($L149="","",134)</f>
        <v/>
      </c>
      <c r="C149" s="94">
        <f>IF($L149="","",INDEX(j_Date,MOD($L149,10000)))</f>
        <v/>
      </c>
      <c r="D149" s="58">
        <f>IF($L149="","",INDEX(j_Source,MOD($L149,10000)))</f>
        <v/>
      </c>
      <c r="E149" s="58">
        <f>IF($L149="","",INDEX(j_ID,MOD($L149,10000)))</f>
        <v/>
      </c>
      <c r="F149" s="58">
        <f>IF($L149="","",INDEX(j_Desc,MOD($L149,10000)))</f>
        <v/>
      </c>
      <c r="G149" s="58">
        <f>IF($L149="","",INDEX(j_Party,MOD($L149,10000)))</f>
        <v/>
      </c>
      <c r="H149" s="95">
        <f>IF($L149="","",IF(INDEX(j_DrAcct,MOD($L149,10000))=LedAcct,INDEX(j_DrAmt,MOD($L149,10000)),0)+IF(LedAcct=acctTax,INDEX(j_TaxDr,MOD($L149,10000)),0))</f>
        <v/>
      </c>
      <c r="I149" s="95">
        <f>IF($L149="","",IF(INDEX(j_CrAcct,MOD($L149,10000))=LedAcct,INDEX(j_CrAmt,MOD($L149,10000)),0)+IF(LedAcct=acctTax,INDEX(j_TaxCr,MOD($L149,10000)),0))</f>
        <v/>
      </c>
      <c r="J149" s="95">
        <f>IF($L149="","",N(J148)+LedSign*(H149-I149))</f>
        <v/>
      </c>
      <c r="L149" s="96">
        <f>IFERROR(SMALL(j_Key,134),"")</f>
        <v/>
      </c>
    </row>
    <row r="150">
      <c r="B150" s="58">
        <f>IF($L150="","",135)</f>
        <v/>
      </c>
      <c r="C150" s="94">
        <f>IF($L150="","",INDEX(j_Date,MOD($L150,10000)))</f>
        <v/>
      </c>
      <c r="D150" s="58">
        <f>IF($L150="","",INDEX(j_Source,MOD($L150,10000)))</f>
        <v/>
      </c>
      <c r="E150" s="58">
        <f>IF($L150="","",INDEX(j_ID,MOD($L150,10000)))</f>
        <v/>
      </c>
      <c r="F150" s="58">
        <f>IF($L150="","",INDEX(j_Desc,MOD($L150,10000)))</f>
        <v/>
      </c>
      <c r="G150" s="58">
        <f>IF($L150="","",INDEX(j_Party,MOD($L150,10000)))</f>
        <v/>
      </c>
      <c r="H150" s="95">
        <f>IF($L150="","",IF(INDEX(j_DrAcct,MOD($L150,10000))=LedAcct,INDEX(j_DrAmt,MOD($L150,10000)),0)+IF(LedAcct=acctTax,INDEX(j_TaxDr,MOD($L150,10000)),0))</f>
        <v/>
      </c>
      <c r="I150" s="95">
        <f>IF($L150="","",IF(INDEX(j_CrAcct,MOD($L150,10000))=LedAcct,INDEX(j_CrAmt,MOD($L150,10000)),0)+IF(LedAcct=acctTax,INDEX(j_TaxCr,MOD($L150,10000)),0))</f>
        <v/>
      </c>
      <c r="J150" s="95">
        <f>IF($L150="","",N(J149)+LedSign*(H150-I150))</f>
        <v/>
      </c>
      <c r="L150" s="96">
        <f>IFERROR(SMALL(j_Key,135),"")</f>
        <v/>
      </c>
    </row>
    <row r="151">
      <c r="B151" s="58">
        <f>IF($L151="","",136)</f>
        <v/>
      </c>
      <c r="C151" s="94">
        <f>IF($L151="","",INDEX(j_Date,MOD($L151,10000)))</f>
        <v/>
      </c>
      <c r="D151" s="58">
        <f>IF($L151="","",INDEX(j_Source,MOD($L151,10000)))</f>
        <v/>
      </c>
      <c r="E151" s="58">
        <f>IF($L151="","",INDEX(j_ID,MOD($L151,10000)))</f>
        <v/>
      </c>
      <c r="F151" s="58">
        <f>IF($L151="","",INDEX(j_Desc,MOD($L151,10000)))</f>
        <v/>
      </c>
      <c r="G151" s="58">
        <f>IF($L151="","",INDEX(j_Party,MOD($L151,10000)))</f>
        <v/>
      </c>
      <c r="H151" s="95">
        <f>IF($L151="","",IF(INDEX(j_DrAcct,MOD($L151,10000))=LedAcct,INDEX(j_DrAmt,MOD($L151,10000)),0)+IF(LedAcct=acctTax,INDEX(j_TaxDr,MOD($L151,10000)),0))</f>
        <v/>
      </c>
      <c r="I151" s="95">
        <f>IF($L151="","",IF(INDEX(j_CrAcct,MOD($L151,10000))=LedAcct,INDEX(j_CrAmt,MOD($L151,10000)),0)+IF(LedAcct=acctTax,INDEX(j_TaxCr,MOD($L151,10000)),0))</f>
        <v/>
      </c>
      <c r="J151" s="95">
        <f>IF($L151="","",N(J150)+LedSign*(H151-I151))</f>
        <v/>
      </c>
      <c r="L151" s="96">
        <f>IFERROR(SMALL(j_Key,136),"")</f>
        <v/>
      </c>
    </row>
    <row r="152">
      <c r="B152" s="58">
        <f>IF($L152="","",137)</f>
        <v/>
      </c>
      <c r="C152" s="94">
        <f>IF($L152="","",INDEX(j_Date,MOD($L152,10000)))</f>
        <v/>
      </c>
      <c r="D152" s="58">
        <f>IF($L152="","",INDEX(j_Source,MOD($L152,10000)))</f>
        <v/>
      </c>
      <c r="E152" s="58">
        <f>IF($L152="","",INDEX(j_ID,MOD($L152,10000)))</f>
        <v/>
      </c>
      <c r="F152" s="58">
        <f>IF($L152="","",INDEX(j_Desc,MOD($L152,10000)))</f>
        <v/>
      </c>
      <c r="G152" s="58">
        <f>IF($L152="","",INDEX(j_Party,MOD($L152,10000)))</f>
        <v/>
      </c>
      <c r="H152" s="95">
        <f>IF($L152="","",IF(INDEX(j_DrAcct,MOD($L152,10000))=LedAcct,INDEX(j_DrAmt,MOD($L152,10000)),0)+IF(LedAcct=acctTax,INDEX(j_TaxDr,MOD($L152,10000)),0))</f>
        <v/>
      </c>
      <c r="I152" s="95">
        <f>IF($L152="","",IF(INDEX(j_CrAcct,MOD($L152,10000))=LedAcct,INDEX(j_CrAmt,MOD($L152,10000)),0)+IF(LedAcct=acctTax,INDEX(j_TaxCr,MOD($L152,10000)),0))</f>
        <v/>
      </c>
      <c r="J152" s="95">
        <f>IF($L152="","",N(J151)+LedSign*(H152-I152))</f>
        <v/>
      </c>
      <c r="L152" s="96">
        <f>IFERROR(SMALL(j_Key,137),"")</f>
        <v/>
      </c>
    </row>
    <row r="153">
      <c r="B153" s="58">
        <f>IF($L153="","",138)</f>
        <v/>
      </c>
      <c r="C153" s="94">
        <f>IF($L153="","",INDEX(j_Date,MOD($L153,10000)))</f>
        <v/>
      </c>
      <c r="D153" s="58">
        <f>IF($L153="","",INDEX(j_Source,MOD($L153,10000)))</f>
        <v/>
      </c>
      <c r="E153" s="58">
        <f>IF($L153="","",INDEX(j_ID,MOD($L153,10000)))</f>
        <v/>
      </c>
      <c r="F153" s="58">
        <f>IF($L153="","",INDEX(j_Desc,MOD($L153,10000)))</f>
        <v/>
      </c>
      <c r="G153" s="58">
        <f>IF($L153="","",INDEX(j_Party,MOD($L153,10000)))</f>
        <v/>
      </c>
      <c r="H153" s="95">
        <f>IF($L153="","",IF(INDEX(j_DrAcct,MOD($L153,10000))=LedAcct,INDEX(j_DrAmt,MOD($L153,10000)),0)+IF(LedAcct=acctTax,INDEX(j_TaxDr,MOD($L153,10000)),0))</f>
        <v/>
      </c>
      <c r="I153" s="95">
        <f>IF($L153="","",IF(INDEX(j_CrAcct,MOD($L153,10000))=LedAcct,INDEX(j_CrAmt,MOD($L153,10000)),0)+IF(LedAcct=acctTax,INDEX(j_TaxCr,MOD($L153,10000)),0))</f>
        <v/>
      </c>
      <c r="J153" s="95">
        <f>IF($L153="","",N(J152)+LedSign*(H153-I153))</f>
        <v/>
      </c>
      <c r="L153" s="96">
        <f>IFERROR(SMALL(j_Key,138),"")</f>
        <v/>
      </c>
    </row>
    <row r="154">
      <c r="B154" s="58">
        <f>IF($L154="","",139)</f>
        <v/>
      </c>
      <c r="C154" s="94">
        <f>IF($L154="","",INDEX(j_Date,MOD($L154,10000)))</f>
        <v/>
      </c>
      <c r="D154" s="58">
        <f>IF($L154="","",INDEX(j_Source,MOD($L154,10000)))</f>
        <v/>
      </c>
      <c r="E154" s="58">
        <f>IF($L154="","",INDEX(j_ID,MOD($L154,10000)))</f>
        <v/>
      </c>
      <c r="F154" s="58">
        <f>IF($L154="","",INDEX(j_Desc,MOD($L154,10000)))</f>
        <v/>
      </c>
      <c r="G154" s="58">
        <f>IF($L154="","",INDEX(j_Party,MOD($L154,10000)))</f>
        <v/>
      </c>
      <c r="H154" s="95">
        <f>IF($L154="","",IF(INDEX(j_DrAcct,MOD($L154,10000))=LedAcct,INDEX(j_DrAmt,MOD($L154,10000)),0)+IF(LedAcct=acctTax,INDEX(j_TaxDr,MOD($L154,10000)),0))</f>
        <v/>
      </c>
      <c r="I154" s="95">
        <f>IF($L154="","",IF(INDEX(j_CrAcct,MOD($L154,10000))=LedAcct,INDEX(j_CrAmt,MOD($L154,10000)),0)+IF(LedAcct=acctTax,INDEX(j_TaxCr,MOD($L154,10000)),0))</f>
        <v/>
      </c>
      <c r="J154" s="95">
        <f>IF($L154="","",N(J153)+LedSign*(H154-I154))</f>
        <v/>
      </c>
      <c r="L154" s="96">
        <f>IFERROR(SMALL(j_Key,139),"")</f>
        <v/>
      </c>
    </row>
    <row r="155">
      <c r="B155" s="58">
        <f>IF($L155="","",140)</f>
        <v/>
      </c>
      <c r="C155" s="94">
        <f>IF($L155="","",INDEX(j_Date,MOD($L155,10000)))</f>
        <v/>
      </c>
      <c r="D155" s="58">
        <f>IF($L155="","",INDEX(j_Source,MOD($L155,10000)))</f>
        <v/>
      </c>
      <c r="E155" s="58">
        <f>IF($L155="","",INDEX(j_ID,MOD($L155,10000)))</f>
        <v/>
      </c>
      <c r="F155" s="58">
        <f>IF($L155="","",INDEX(j_Desc,MOD($L155,10000)))</f>
        <v/>
      </c>
      <c r="G155" s="58">
        <f>IF($L155="","",INDEX(j_Party,MOD($L155,10000)))</f>
        <v/>
      </c>
      <c r="H155" s="95">
        <f>IF($L155="","",IF(INDEX(j_DrAcct,MOD($L155,10000))=LedAcct,INDEX(j_DrAmt,MOD($L155,10000)),0)+IF(LedAcct=acctTax,INDEX(j_TaxDr,MOD($L155,10000)),0))</f>
        <v/>
      </c>
      <c r="I155" s="95">
        <f>IF($L155="","",IF(INDEX(j_CrAcct,MOD($L155,10000))=LedAcct,INDEX(j_CrAmt,MOD($L155,10000)),0)+IF(LedAcct=acctTax,INDEX(j_TaxCr,MOD($L155,10000)),0))</f>
        <v/>
      </c>
      <c r="J155" s="95">
        <f>IF($L155="","",N(J154)+LedSign*(H155-I155))</f>
        <v/>
      </c>
      <c r="L155" s="96">
        <f>IFERROR(SMALL(j_Key,140),"")</f>
        <v/>
      </c>
    </row>
    <row r="156">
      <c r="B156" s="58">
        <f>IF($L156="","",141)</f>
        <v/>
      </c>
      <c r="C156" s="94">
        <f>IF($L156="","",INDEX(j_Date,MOD($L156,10000)))</f>
        <v/>
      </c>
      <c r="D156" s="58">
        <f>IF($L156="","",INDEX(j_Source,MOD($L156,10000)))</f>
        <v/>
      </c>
      <c r="E156" s="58">
        <f>IF($L156="","",INDEX(j_ID,MOD($L156,10000)))</f>
        <v/>
      </c>
      <c r="F156" s="58">
        <f>IF($L156="","",INDEX(j_Desc,MOD($L156,10000)))</f>
        <v/>
      </c>
      <c r="G156" s="58">
        <f>IF($L156="","",INDEX(j_Party,MOD($L156,10000)))</f>
        <v/>
      </c>
      <c r="H156" s="95">
        <f>IF($L156="","",IF(INDEX(j_DrAcct,MOD($L156,10000))=LedAcct,INDEX(j_DrAmt,MOD($L156,10000)),0)+IF(LedAcct=acctTax,INDEX(j_TaxDr,MOD($L156,10000)),0))</f>
        <v/>
      </c>
      <c r="I156" s="95">
        <f>IF($L156="","",IF(INDEX(j_CrAcct,MOD($L156,10000))=LedAcct,INDEX(j_CrAmt,MOD($L156,10000)),0)+IF(LedAcct=acctTax,INDEX(j_TaxCr,MOD($L156,10000)),0))</f>
        <v/>
      </c>
      <c r="J156" s="95">
        <f>IF($L156="","",N(J155)+LedSign*(H156-I156))</f>
        <v/>
      </c>
      <c r="L156" s="96">
        <f>IFERROR(SMALL(j_Key,141),"")</f>
        <v/>
      </c>
    </row>
    <row r="157">
      <c r="B157" s="58">
        <f>IF($L157="","",142)</f>
        <v/>
      </c>
      <c r="C157" s="94">
        <f>IF($L157="","",INDEX(j_Date,MOD($L157,10000)))</f>
        <v/>
      </c>
      <c r="D157" s="58">
        <f>IF($L157="","",INDEX(j_Source,MOD($L157,10000)))</f>
        <v/>
      </c>
      <c r="E157" s="58">
        <f>IF($L157="","",INDEX(j_ID,MOD($L157,10000)))</f>
        <v/>
      </c>
      <c r="F157" s="58">
        <f>IF($L157="","",INDEX(j_Desc,MOD($L157,10000)))</f>
        <v/>
      </c>
      <c r="G157" s="58">
        <f>IF($L157="","",INDEX(j_Party,MOD($L157,10000)))</f>
        <v/>
      </c>
      <c r="H157" s="95">
        <f>IF($L157="","",IF(INDEX(j_DrAcct,MOD($L157,10000))=LedAcct,INDEX(j_DrAmt,MOD($L157,10000)),0)+IF(LedAcct=acctTax,INDEX(j_TaxDr,MOD($L157,10000)),0))</f>
        <v/>
      </c>
      <c r="I157" s="95">
        <f>IF($L157="","",IF(INDEX(j_CrAcct,MOD($L157,10000))=LedAcct,INDEX(j_CrAmt,MOD($L157,10000)),0)+IF(LedAcct=acctTax,INDEX(j_TaxCr,MOD($L157,10000)),0))</f>
        <v/>
      </c>
      <c r="J157" s="95">
        <f>IF($L157="","",N(J156)+LedSign*(H157-I157))</f>
        <v/>
      </c>
      <c r="L157" s="96">
        <f>IFERROR(SMALL(j_Key,142),"")</f>
        <v/>
      </c>
    </row>
    <row r="158">
      <c r="B158" s="58">
        <f>IF($L158="","",143)</f>
        <v/>
      </c>
      <c r="C158" s="94">
        <f>IF($L158="","",INDEX(j_Date,MOD($L158,10000)))</f>
        <v/>
      </c>
      <c r="D158" s="58">
        <f>IF($L158="","",INDEX(j_Source,MOD($L158,10000)))</f>
        <v/>
      </c>
      <c r="E158" s="58">
        <f>IF($L158="","",INDEX(j_ID,MOD($L158,10000)))</f>
        <v/>
      </c>
      <c r="F158" s="58">
        <f>IF($L158="","",INDEX(j_Desc,MOD($L158,10000)))</f>
        <v/>
      </c>
      <c r="G158" s="58">
        <f>IF($L158="","",INDEX(j_Party,MOD($L158,10000)))</f>
        <v/>
      </c>
      <c r="H158" s="95">
        <f>IF($L158="","",IF(INDEX(j_DrAcct,MOD($L158,10000))=LedAcct,INDEX(j_DrAmt,MOD($L158,10000)),0)+IF(LedAcct=acctTax,INDEX(j_TaxDr,MOD($L158,10000)),0))</f>
        <v/>
      </c>
      <c r="I158" s="95">
        <f>IF($L158="","",IF(INDEX(j_CrAcct,MOD($L158,10000))=LedAcct,INDEX(j_CrAmt,MOD($L158,10000)),0)+IF(LedAcct=acctTax,INDEX(j_TaxCr,MOD($L158,10000)),0))</f>
        <v/>
      </c>
      <c r="J158" s="95">
        <f>IF($L158="","",N(J157)+LedSign*(H158-I158))</f>
        <v/>
      </c>
      <c r="L158" s="96">
        <f>IFERROR(SMALL(j_Key,143),"")</f>
        <v/>
      </c>
    </row>
    <row r="159">
      <c r="B159" s="58">
        <f>IF($L159="","",144)</f>
        <v/>
      </c>
      <c r="C159" s="94">
        <f>IF($L159="","",INDEX(j_Date,MOD($L159,10000)))</f>
        <v/>
      </c>
      <c r="D159" s="58">
        <f>IF($L159="","",INDEX(j_Source,MOD($L159,10000)))</f>
        <v/>
      </c>
      <c r="E159" s="58">
        <f>IF($L159="","",INDEX(j_ID,MOD($L159,10000)))</f>
        <v/>
      </c>
      <c r="F159" s="58">
        <f>IF($L159="","",INDEX(j_Desc,MOD($L159,10000)))</f>
        <v/>
      </c>
      <c r="G159" s="58">
        <f>IF($L159="","",INDEX(j_Party,MOD($L159,10000)))</f>
        <v/>
      </c>
      <c r="H159" s="95">
        <f>IF($L159="","",IF(INDEX(j_DrAcct,MOD($L159,10000))=LedAcct,INDEX(j_DrAmt,MOD($L159,10000)),0)+IF(LedAcct=acctTax,INDEX(j_TaxDr,MOD($L159,10000)),0))</f>
        <v/>
      </c>
      <c r="I159" s="95">
        <f>IF($L159="","",IF(INDEX(j_CrAcct,MOD($L159,10000))=LedAcct,INDEX(j_CrAmt,MOD($L159,10000)),0)+IF(LedAcct=acctTax,INDEX(j_TaxCr,MOD($L159,10000)),0))</f>
        <v/>
      </c>
      <c r="J159" s="95">
        <f>IF($L159="","",N(J158)+LedSign*(H159-I159))</f>
        <v/>
      </c>
      <c r="L159" s="96">
        <f>IFERROR(SMALL(j_Key,144),"")</f>
        <v/>
      </c>
    </row>
    <row r="160">
      <c r="B160" s="58">
        <f>IF($L160="","",145)</f>
        <v/>
      </c>
      <c r="C160" s="94">
        <f>IF($L160="","",INDEX(j_Date,MOD($L160,10000)))</f>
        <v/>
      </c>
      <c r="D160" s="58">
        <f>IF($L160="","",INDEX(j_Source,MOD($L160,10000)))</f>
        <v/>
      </c>
      <c r="E160" s="58">
        <f>IF($L160="","",INDEX(j_ID,MOD($L160,10000)))</f>
        <v/>
      </c>
      <c r="F160" s="58">
        <f>IF($L160="","",INDEX(j_Desc,MOD($L160,10000)))</f>
        <v/>
      </c>
      <c r="G160" s="58">
        <f>IF($L160="","",INDEX(j_Party,MOD($L160,10000)))</f>
        <v/>
      </c>
      <c r="H160" s="95">
        <f>IF($L160="","",IF(INDEX(j_DrAcct,MOD($L160,10000))=LedAcct,INDEX(j_DrAmt,MOD($L160,10000)),0)+IF(LedAcct=acctTax,INDEX(j_TaxDr,MOD($L160,10000)),0))</f>
        <v/>
      </c>
      <c r="I160" s="95">
        <f>IF($L160="","",IF(INDEX(j_CrAcct,MOD($L160,10000))=LedAcct,INDEX(j_CrAmt,MOD($L160,10000)),0)+IF(LedAcct=acctTax,INDEX(j_TaxCr,MOD($L160,10000)),0))</f>
        <v/>
      </c>
      <c r="J160" s="95">
        <f>IF($L160="","",N(J159)+LedSign*(H160-I160))</f>
        <v/>
      </c>
      <c r="L160" s="96">
        <f>IFERROR(SMALL(j_Key,145),"")</f>
        <v/>
      </c>
    </row>
    <row r="161">
      <c r="B161" s="58">
        <f>IF($L161="","",146)</f>
        <v/>
      </c>
      <c r="C161" s="94">
        <f>IF($L161="","",INDEX(j_Date,MOD($L161,10000)))</f>
        <v/>
      </c>
      <c r="D161" s="58">
        <f>IF($L161="","",INDEX(j_Source,MOD($L161,10000)))</f>
        <v/>
      </c>
      <c r="E161" s="58">
        <f>IF($L161="","",INDEX(j_ID,MOD($L161,10000)))</f>
        <v/>
      </c>
      <c r="F161" s="58">
        <f>IF($L161="","",INDEX(j_Desc,MOD($L161,10000)))</f>
        <v/>
      </c>
      <c r="G161" s="58">
        <f>IF($L161="","",INDEX(j_Party,MOD($L161,10000)))</f>
        <v/>
      </c>
      <c r="H161" s="95">
        <f>IF($L161="","",IF(INDEX(j_DrAcct,MOD($L161,10000))=LedAcct,INDEX(j_DrAmt,MOD($L161,10000)),0)+IF(LedAcct=acctTax,INDEX(j_TaxDr,MOD($L161,10000)),0))</f>
        <v/>
      </c>
      <c r="I161" s="95">
        <f>IF($L161="","",IF(INDEX(j_CrAcct,MOD($L161,10000))=LedAcct,INDEX(j_CrAmt,MOD($L161,10000)),0)+IF(LedAcct=acctTax,INDEX(j_TaxCr,MOD($L161,10000)),0))</f>
        <v/>
      </c>
      <c r="J161" s="95">
        <f>IF($L161="","",N(J160)+LedSign*(H161-I161))</f>
        <v/>
      </c>
      <c r="L161" s="96">
        <f>IFERROR(SMALL(j_Key,146),"")</f>
        <v/>
      </c>
    </row>
    <row r="162">
      <c r="B162" s="58">
        <f>IF($L162="","",147)</f>
        <v/>
      </c>
      <c r="C162" s="94">
        <f>IF($L162="","",INDEX(j_Date,MOD($L162,10000)))</f>
        <v/>
      </c>
      <c r="D162" s="58">
        <f>IF($L162="","",INDEX(j_Source,MOD($L162,10000)))</f>
        <v/>
      </c>
      <c r="E162" s="58">
        <f>IF($L162="","",INDEX(j_ID,MOD($L162,10000)))</f>
        <v/>
      </c>
      <c r="F162" s="58">
        <f>IF($L162="","",INDEX(j_Desc,MOD($L162,10000)))</f>
        <v/>
      </c>
      <c r="G162" s="58">
        <f>IF($L162="","",INDEX(j_Party,MOD($L162,10000)))</f>
        <v/>
      </c>
      <c r="H162" s="95">
        <f>IF($L162="","",IF(INDEX(j_DrAcct,MOD($L162,10000))=LedAcct,INDEX(j_DrAmt,MOD($L162,10000)),0)+IF(LedAcct=acctTax,INDEX(j_TaxDr,MOD($L162,10000)),0))</f>
        <v/>
      </c>
      <c r="I162" s="95">
        <f>IF($L162="","",IF(INDEX(j_CrAcct,MOD($L162,10000))=LedAcct,INDEX(j_CrAmt,MOD($L162,10000)),0)+IF(LedAcct=acctTax,INDEX(j_TaxCr,MOD($L162,10000)),0))</f>
        <v/>
      </c>
      <c r="J162" s="95">
        <f>IF($L162="","",N(J161)+LedSign*(H162-I162))</f>
        <v/>
      </c>
      <c r="L162" s="96">
        <f>IFERROR(SMALL(j_Key,147),"")</f>
        <v/>
      </c>
    </row>
    <row r="163">
      <c r="B163" s="58">
        <f>IF($L163="","",148)</f>
        <v/>
      </c>
      <c r="C163" s="94">
        <f>IF($L163="","",INDEX(j_Date,MOD($L163,10000)))</f>
        <v/>
      </c>
      <c r="D163" s="58">
        <f>IF($L163="","",INDEX(j_Source,MOD($L163,10000)))</f>
        <v/>
      </c>
      <c r="E163" s="58">
        <f>IF($L163="","",INDEX(j_ID,MOD($L163,10000)))</f>
        <v/>
      </c>
      <c r="F163" s="58">
        <f>IF($L163="","",INDEX(j_Desc,MOD($L163,10000)))</f>
        <v/>
      </c>
      <c r="G163" s="58">
        <f>IF($L163="","",INDEX(j_Party,MOD($L163,10000)))</f>
        <v/>
      </c>
      <c r="H163" s="95">
        <f>IF($L163="","",IF(INDEX(j_DrAcct,MOD($L163,10000))=LedAcct,INDEX(j_DrAmt,MOD($L163,10000)),0)+IF(LedAcct=acctTax,INDEX(j_TaxDr,MOD($L163,10000)),0))</f>
        <v/>
      </c>
      <c r="I163" s="95">
        <f>IF($L163="","",IF(INDEX(j_CrAcct,MOD($L163,10000))=LedAcct,INDEX(j_CrAmt,MOD($L163,10000)),0)+IF(LedAcct=acctTax,INDEX(j_TaxCr,MOD($L163,10000)),0))</f>
        <v/>
      </c>
      <c r="J163" s="95">
        <f>IF($L163="","",N(J162)+LedSign*(H163-I163))</f>
        <v/>
      </c>
      <c r="L163" s="96">
        <f>IFERROR(SMALL(j_Key,148),"")</f>
        <v/>
      </c>
    </row>
    <row r="164">
      <c r="B164" s="58">
        <f>IF($L164="","",149)</f>
        <v/>
      </c>
      <c r="C164" s="94">
        <f>IF($L164="","",INDEX(j_Date,MOD($L164,10000)))</f>
        <v/>
      </c>
      <c r="D164" s="58">
        <f>IF($L164="","",INDEX(j_Source,MOD($L164,10000)))</f>
        <v/>
      </c>
      <c r="E164" s="58">
        <f>IF($L164="","",INDEX(j_ID,MOD($L164,10000)))</f>
        <v/>
      </c>
      <c r="F164" s="58">
        <f>IF($L164="","",INDEX(j_Desc,MOD($L164,10000)))</f>
        <v/>
      </c>
      <c r="G164" s="58">
        <f>IF($L164="","",INDEX(j_Party,MOD($L164,10000)))</f>
        <v/>
      </c>
      <c r="H164" s="95">
        <f>IF($L164="","",IF(INDEX(j_DrAcct,MOD($L164,10000))=LedAcct,INDEX(j_DrAmt,MOD($L164,10000)),0)+IF(LedAcct=acctTax,INDEX(j_TaxDr,MOD($L164,10000)),0))</f>
        <v/>
      </c>
      <c r="I164" s="95">
        <f>IF($L164="","",IF(INDEX(j_CrAcct,MOD($L164,10000))=LedAcct,INDEX(j_CrAmt,MOD($L164,10000)),0)+IF(LedAcct=acctTax,INDEX(j_TaxCr,MOD($L164,10000)),0))</f>
        <v/>
      </c>
      <c r="J164" s="95">
        <f>IF($L164="","",N(J163)+LedSign*(H164-I164))</f>
        <v/>
      </c>
      <c r="L164" s="96">
        <f>IFERROR(SMALL(j_Key,149),"")</f>
        <v/>
      </c>
    </row>
    <row r="165">
      <c r="B165" s="58">
        <f>IF($L165="","",150)</f>
        <v/>
      </c>
      <c r="C165" s="94">
        <f>IF($L165="","",INDEX(j_Date,MOD($L165,10000)))</f>
        <v/>
      </c>
      <c r="D165" s="58">
        <f>IF($L165="","",INDEX(j_Source,MOD($L165,10000)))</f>
        <v/>
      </c>
      <c r="E165" s="58">
        <f>IF($L165="","",INDEX(j_ID,MOD($L165,10000)))</f>
        <v/>
      </c>
      <c r="F165" s="58">
        <f>IF($L165="","",INDEX(j_Desc,MOD($L165,10000)))</f>
        <v/>
      </c>
      <c r="G165" s="58">
        <f>IF($L165="","",INDEX(j_Party,MOD($L165,10000)))</f>
        <v/>
      </c>
      <c r="H165" s="95">
        <f>IF($L165="","",IF(INDEX(j_DrAcct,MOD($L165,10000))=LedAcct,INDEX(j_DrAmt,MOD($L165,10000)),0)+IF(LedAcct=acctTax,INDEX(j_TaxDr,MOD($L165,10000)),0))</f>
        <v/>
      </c>
      <c r="I165" s="95">
        <f>IF($L165="","",IF(INDEX(j_CrAcct,MOD($L165,10000))=LedAcct,INDEX(j_CrAmt,MOD($L165,10000)),0)+IF(LedAcct=acctTax,INDEX(j_TaxCr,MOD($L165,10000)),0))</f>
        <v/>
      </c>
      <c r="J165" s="95">
        <f>IF($L165="","",N(J164)+LedSign*(H165-I165))</f>
        <v/>
      </c>
      <c r="L165" s="96">
        <f>IFERROR(SMALL(j_Key,150),"")</f>
        <v/>
      </c>
    </row>
    <row r="166">
      <c r="B166" s="58">
        <f>IF($L166="","",151)</f>
        <v/>
      </c>
      <c r="C166" s="94">
        <f>IF($L166="","",INDEX(j_Date,MOD($L166,10000)))</f>
        <v/>
      </c>
      <c r="D166" s="58">
        <f>IF($L166="","",INDEX(j_Source,MOD($L166,10000)))</f>
        <v/>
      </c>
      <c r="E166" s="58">
        <f>IF($L166="","",INDEX(j_ID,MOD($L166,10000)))</f>
        <v/>
      </c>
      <c r="F166" s="58">
        <f>IF($L166="","",INDEX(j_Desc,MOD($L166,10000)))</f>
        <v/>
      </c>
      <c r="G166" s="58">
        <f>IF($L166="","",INDEX(j_Party,MOD($L166,10000)))</f>
        <v/>
      </c>
      <c r="H166" s="95">
        <f>IF($L166="","",IF(INDEX(j_DrAcct,MOD($L166,10000))=LedAcct,INDEX(j_DrAmt,MOD($L166,10000)),0)+IF(LedAcct=acctTax,INDEX(j_TaxDr,MOD($L166,10000)),0))</f>
        <v/>
      </c>
      <c r="I166" s="95">
        <f>IF($L166="","",IF(INDEX(j_CrAcct,MOD($L166,10000))=LedAcct,INDEX(j_CrAmt,MOD($L166,10000)),0)+IF(LedAcct=acctTax,INDEX(j_TaxCr,MOD($L166,10000)),0))</f>
        <v/>
      </c>
      <c r="J166" s="95">
        <f>IF($L166="","",N(J165)+LedSign*(H166-I166))</f>
        <v/>
      </c>
      <c r="L166" s="96">
        <f>IFERROR(SMALL(j_Key,151),"")</f>
        <v/>
      </c>
    </row>
    <row r="167">
      <c r="B167" s="58">
        <f>IF($L167="","",152)</f>
        <v/>
      </c>
      <c r="C167" s="94">
        <f>IF($L167="","",INDEX(j_Date,MOD($L167,10000)))</f>
        <v/>
      </c>
      <c r="D167" s="58">
        <f>IF($L167="","",INDEX(j_Source,MOD($L167,10000)))</f>
        <v/>
      </c>
      <c r="E167" s="58">
        <f>IF($L167="","",INDEX(j_ID,MOD($L167,10000)))</f>
        <v/>
      </c>
      <c r="F167" s="58">
        <f>IF($L167="","",INDEX(j_Desc,MOD($L167,10000)))</f>
        <v/>
      </c>
      <c r="G167" s="58">
        <f>IF($L167="","",INDEX(j_Party,MOD($L167,10000)))</f>
        <v/>
      </c>
      <c r="H167" s="95">
        <f>IF($L167="","",IF(INDEX(j_DrAcct,MOD($L167,10000))=LedAcct,INDEX(j_DrAmt,MOD($L167,10000)),0)+IF(LedAcct=acctTax,INDEX(j_TaxDr,MOD($L167,10000)),0))</f>
        <v/>
      </c>
      <c r="I167" s="95">
        <f>IF($L167="","",IF(INDEX(j_CrAcct,MOD($L167,10000))=LedAcct,INDEX(j_CrAmt,MOD($L167,10000)),0)+IF(LedAcct=acctTax,INDEX(j_TaxCr,MOD($L167,10000)),0))</f>
        <v/>
      </c>
      <c r="J167" s="95">
        <f>IF($L167="","",N(J166)+LedSign*(H167-I167))</f>
        <v/>
      </c>
      <c r="L167" s="96">
        <f>IFERROR(SMALL(j_Key,152),"")</f>
        <v/>
      </c>
    </row>
    <row r="168">
      <c r="B168" s="58">
        <f>IF($L168="","",153)</f>
        <v/>
      </c>
      <c r="C168" s="94">
        <f>IF($L168="","",INDEX(j_Date,MOD($L168,10000)))</f>
        <v/>
      </c>
      <c r="D168" s="58">
        <f>IF($L168="","",INDEX(j_Source,MOD($L168,10000)))</f>
        <v/>
      </c>
      <c r="E168" s="58">
        <f>IF($L168="","",INDEX(j_ID,MOD($L168,10000)))</f>
        <v/>
      </c>
      <c r="F168" s="58">
        <f>IF($L168="","",INDEX(j_Desc,MOD($L168,10000)))</f>
        <v/>
      </c>
      <c r="G168" s="58">
        <f>IF($L168="","",INDEX(j_Party,MOD($L168,10000)))</f>
        <v/>
      </c>
      <c r="H168" s="95">
        <f>IF($L168="","",IF(INDEX(j_DrAcct,MOD($L168,10000))=LedAcct,INDEX(j_DrAmt,MOD($L168,10000)),0)+IF(LedAcct=acctTax,INDEX(j_TaxDr,MOD($L168,10000)),0))</f>
        <v/>
      </c>
      <c r="I168" s="95">
        <f>IF($L168="","",IF(INDEX(j_CrAcct,MOD($L168,10000))=LedAcct,INDEX(j_CrAmt,MOD($L168,10000)),0)+IF(LedAcct=acctTax,INDEX(j_TaxCr,MOD($L168,10000)),0))</f>
        <v/>
      </c>
      <c r="J168" s="95">
        <f>IF($L168="","",N(J167)+LedSign*(H168-I168))</f>
        <v/>
      </c>
      <c r="L168" s="96">
        <f>IFERROR(SMALL(j_Key,153),"")</f>
        <v/>
      </c>
    </row>
    <row r="169">
      <c r="B169" s="58">
        <f>IF($L169="","",154)</f>
        <v/>
      </c>
      <c r="C169" s="94">
        <f>IF($L169="","",INDEX(j_Date,MOD($L169,10000)))</f>
        <v/>
      </c>
      <c r="D169" s="58">
        <f>IF($L169="","",INDEX(j_Source,MOD($L169,10000)))</f>
        <v/>
      </c>
      <c r="E169" s="58">
        <f>IF($L169="","",INDEX(j_ID,MOD($L169,10000)))</f>
        <v/>
      </c>
      <c r="F169" s="58">
        <f>IF($L169="","",INDEX(j_Desc,MOD($L169,10000)))</f>
        <v/>
      </c>
      <c r="G169" s="58">
        <f>IF($L169="","",INDEX(j_Party,MOD($L169,10000)))</f>
        <v/>
      </c>
      <c r="H169" s="95">
        <f>IF($L169="","",IF(INDEX(j_DrAcct,MOD($L169,10000))=LedAcct,INDEX(j_DrAmt,MOD($L169,10000)),0)+IF(LedAcct=acctTax,INDEX(j_TaxDr,MOD($L169,10000)),0))</f>
        <v/>
      </c>
      <c r="I169" s="95">
        <f>IF($L169="","",IF(INDEX(j_CrAcct,MOD($L169,10000))=LedAcct,INDEX(j_CrAmt,MOD($L169,10000)),0)+IF(LedAcct=acctTax,INDEX(j_TaxCr,MOD($L169,10000)),0))</f>
        <v/>
      </c>
      <c r="J169" s="95">
        <f>IF($L169="","",N(J168)+LedSign*(H169-I169))</f>
        <v/>
      </c>
      <c r="L169" s="96">
        <f>IFERROR(SMALL(j_Key,154),"")</f>
        <v/>
      </c>
    </row>
    <row r="170">
      <c r="B170" s="58">
        <f>IF($L170="","",155)</f>
        <v/>
      </c>
      <c r="C170" s="94">
        <f>IF($L170="","",INDEX(j_Date,MOD($L170,10000)))</f>
        <v/>
      </c>
      <c r="D170" s="58">
        <f>IF($L170="","",INDEX(j_Source,MOD($L170,10000)))</f>
        <v/>
      </c>
      <c r="E170" s="58">
        <f>IF($L170="","",INDEX(j_ID,MOD($L170,10000)))</f>
        <v/>
      </c>
      <c r="F170" s="58">
        <f>IF($L170="","",INDEX(j_Desc,MOD($L170,10000)))</f>
        <v/>
      </c>
      <c r="G170" s="58">
        <f>IF($L170="","",INDEX(j_Party,MOD($L170,10000)))</f>
        <v/>
      </c>
      <c r="H170" s="95">
        <f>IF($L170="","",IF(INDEX(j_DrAcct,MOD($L170,10000))=LedAcct,INDEX(j_DrAmt,MOD($L170,10000)),0)+IF(LedAcct=acctTax,INDEX(j_TaxDr,MOD($L170,10000)),0))</f>
        <v/>
      </c>
      <c r="I170" s="95">
        <f>IF($L170="","",IF(INDEX(j_CrAcct,MOD($L170,10000))=LedAcct,INDEX(j_CrAmt,MOD($L170,10000)),0)+IF(LedAcct=acctTax,INDEX(j_TaxCr,MOD($L170,10000)),0))</f>
        <v/>
      </c>
      <c r="J170" s="95">
        <f>IF($L170="","",N(J169)+LedSign*(H170-I170))</f>
        <v/>
      </c>
      <c r="L170" s="96">
        <f>IFERROR(SMALL(j_Key,155),"")</f>
        <v/>
      </c>
    </row>
    <row r="171">
      <c r="B171" s="58">
        <f>IF($L171="","",156)</f>
        <v/>
      </c>
      <c r="C171" s="94">
        <f>IF($L171="","",INDEX(j_Date,MOD($L171,10000)))</f>
        <v/>
      </c>
      <c r="D171" s="58">
        <f>IF($L171="","",INDEX(j_Source,MOD($L171,10000)))</f>
        <v/>
      </c>
      <c r="E171" s="58">
        <f>IF($L171="","",INDEX(j_ID,MOD($L171,10000)))</f>
        <v/>
      </c>
      <c r="F171" s="58">
        <f>IF($L171="","",INDEX(j_Desc,MOD($L171,10000)))</f>
        <v/>
      </c>
      <c r="G171" s="58">
        <f>IF($L171="","",INDEX(j_Party,MOD($L171,10000)))</f>
        <v/>
      </c>
      <c r="H171" s="95">
        <f>IF($L171="","",IF(INDEX(j_DrAcct,MOD($L171,10000))=LedAcct,INDEX(j_DrAmt,MOD($L171,10000)),0)+IF(LedAcct=acctTax,INDEX(j_TaxDr,MOD($L171,10000)),0))</f>
        <v/>
      </c>
      <c r="I171" s="95">
        <f>IF($L171="","",IF(INDEX(j_CrAcct,MOD($L171,10000))=LedAcct,INDEX(j_CrAmt,MOD($L171,10000)),0)+IF(LedAcct=acctTax,INDEX(j_TaxCr,MOD($L171,10000)),0))</f>
        <v/>
      </c>
      <c r="J171" s="95">
        <f>IF($L171="","",N(J170)+LedSign*(H171-I171))</f>
        <v/>
      </c>
      <c r="L171" s="96">
        <f>IFERROR(SMALL(j_Key,156),"")</f>
        <v/>
      </c>
    </row>
    <row r="172">
      <c r="B172" s="58">
        <f>IF($L172="","",157)</f>
        <v/>
      </c>
      <c r="C172" s="94">
        <f>IF($L172="","",INDEX(j_Date,MOD($L172,10000)))</f>
        <v/>
      </c>
      <c r="D172" s="58">
        <f>IF($L172="","",INDEX(j_Source,MOD($L172,10000)))</f>
        <v/>
      </c>
      <c r="E172" s="58">
        <f>IF($L172="","",INDEX(j_ID,MOD($L172,10000)))</f>
        <v/>
      </c>
      <c r="F172" s="58">
        <f>IF($L172="","",INDEX(j_Desc,MOD($L172,10000)))</f>
        <v/>
      </c>
      <c r="G172" s="58">
        <f>IF($L172="","",INDEX(j_Party,MOD($L172,10000)))</f>
        <v/>
      </c>
      <c r="H172" s="95">
        <f>IF($L172="","",IF(INDEX(j_DrAcct,MOD($L172,10000))=LedAcct,INDEX(j_DrAmt,MOD($L172,10000)),0)+IF(LedAcct=acctTax,INDEX(j_TaxDr,MOD($L172,10000)),0))</f>
        <v/>
      </c>
      <c r="I172" s="95">
        <f>IF($L172="","",IF(INDEX(j_CrAcct,MOD($L172,10000))=LedAcct,INDEX(j_CrAmt,MOD($L172,10000)),0)+IF(LedAcct=acctTax,INDEX(j_TaxCr,MOD($L172,10000)),0))</f>
        <v/>
      </c>
      <c r="J172" s="95">
        <f>IF($L172="","",N(J171)+LedSign*(H172-I172))</f>
        <v/>
      </c>
      <c r="L172" s="96">
        <f>IFERROR(SMALL(j_Key,157),"")</f>
        <v/>
      </c>
    </row>
    <row r="173">
      <c r="B173" s="58">
        <f>IF($L173="","",158)</f>
        <v/>
      </c>
      <c r="C173" s="94">
        <f>IF($L173="","",INDEX(j_Date,MOD($L173,10000)))</f>
        <v/>
      </c>
      <c r="D173" s="58">
        <f>IF($L173="","",INDEX(j_Source,MOD($L173,10000)))</f>
        <v/>
      </c>
      <c r="E173" s="58">
        <f>IF($L173="","",INDEX(j_ID,MOD($L173,10000)))</f>
        <v/>
      </c>
      <c r="F173" s="58">
        <f>IF($L173="","",INDEX(j_Desc,MOD($L173,10000)))</f>
        <v/>
      </c>
      <c r="G173" s="58">
        <f>IF($L173="","",INDEX(j_Party,MOD($L173,10000)))</f>
        <v/>
      </c>
      <c r="H173" s="95">
        <f>IF($L173="","",IF(INDEX(j_DrAcct,MOD($L173,10000))=LedAcct,INDEX(j_DrAmt,MOD($L173,10000)),0)+IF(LedAcct=acctTax,INDEX(j_TaxDr,MOD($L173,10000)),0))</f>
        <v/>
      </c>
      <c r="I173" s="95">
        <f>IF($L173="","",IF(INDEX(j_CrAcct,MOD($L173,10000))=LedAcct,INDEX(j_CrAmt,MOD($L173,10000)),0)+IF(LedAcct=acctTax,INDEX(j_TaxCr,MOD($L173,10000)),0))</f>
        <v/>
      </c>
      <c r="J173" s="95">
        <f>IF($L173="","",N(J172)+LedSign*(H173-I173))</f>
        <v/>
      </c>
      <c r="L173" s="96">
        <f>IFERROR(SMALL(j_Key,158),"")</f>
        <v/>
      </c>
    </row>
    <row r="174">
      <c r="B174" s="58">
        <f>IF($L174="","",159)</f>
        <v/>
      </c>
      <c r="C174" s="94">
        <f>IF($L174="","",INDEX(j_Date,MOD($L174,10000)))</f>
        <v/>
      </c>
      <c r="D174" s="58">
        <f>IF($L174="","",INDEX(j_Source,MOD($L174,10000)))</f>
        <v/>
      </c>
      <c r="E174" s="58">
        <f>IF($L174="","",INDEX(j_ID,MOD($L174,10000)))</f>
        <v/>
      </c>
      <c r="F174" s="58">
        <f>IF($L174="","",INDEX(j_Desc,MOD($L174,10000)))</f>
        <v/>
      </c>
      <c r="G174" s="58">
        <f>IF($L174="","",INDEX(j_Party,MOD($L174,10000)))</f>
        <v/>
      </c>
      <c r="H174" s="95">
        <f>IF($L174="","",IF(INDEX(j_DrAcct,MOD($L174,10000))=LedAcct,INDEX(j_DrAmt,MOD($L174,10000)),0)+IF(LedAcct=acctTax,INDEX(j_TaxDr,MOD($L174,10000)),0))</f>
        <v/>
      </c>
      <c r="I174" s="95">
        <f>IF($L174="","",IF(INDEX(j_CrAcct,MOD($L174,10000))=LedAcct,INDEX(j_CrAmt,MOD($L174,10000)),0)+IF(LedAcct=acctTax,INDEX(j_TaxCr,MOD($L174,10000)),0))</f>
        <v/>
      </c>
      <c r="J174" s="95">
        <f>IF($L174="","",N(J173)+LedSign*(H174-I174))</f>
        <v/>
      </c>
      <c r="L174" s="96">
        <f>IFERROR(SMALL(j_Key,159),"")</f>
        <v/>
      </c>
    </row>
    <row r="175">
      <c r="B175" s="58">
        <f>IF($L175="","",160)</f>
        <v/>
      </c>
      <c r="C175" s="94">
        <f>IF($L175="","",INDEX(j_Date,MOD($L175,10000)))</f>
        <v/>
      </c>
      <c r="D175" s="58">
        <f>IF($L175="","",INDEX(j_Source,MOD($L175,10000)))</f>
        <v/>
      </c>
      <c r="E175" s="58">
        <f>IF($L175="","",INDEX(j_ID,MOD($L175,10000)))</f>
        <v/>
      </c>
      <c r="F175" s="58">
        <f>IF($L175="","",INDEX(j_Desc,MOD($L175,10000)))</f>
        <v/>
      </c>
      <c r="G175" s="58">
        <f>IF($L175="","",INDEX(j_Party,MOD($L175,10000)))</f>
        <v/>
      </c>
      <c r="H175" s="95">
        <f>IF($L175="","",IF(INDEX(j_DrAcct,MOD($L175,10000))=LedAcct,INDEX(j_DrAmt,MOD($L175,10000)),0)+IF(LedAcct=acctTax,INDEX(j_TaxDr,MOD($L175,10000)),0))</f>
        <v/>
      </c>
      <c r="I175" s="95">
        <f>IF($L175="","",IF(INDEX(j_CrAcct,MOD($L175,10000))=LedAcct,INDEX(j_CrAmt,MOD($L175,10000)),0)+IF(LedAcct=acctTax,INDEX(j_TaxCr,MOD($L175,10000)),0))</f>
        <v/>
      </c>
      <c r="J175" s="95">
        <f>IF($L175="","",N(J174)+LedSign*(H175-I175))</f>
        <v/>
      </c>
      <c r="L175" s="96">
        <f>IFERROR(SMALL(j_Key,160),"")</f>
        <v/>
      </c>
    </row>
    <row r="176">
      <c r="B176" s="58">
        <f>IF($L176="","",161)</f>
        <v/>
      </c>
      <c r="C176" s="94">
        <f>IF($L176="","",INDEX(j_Date,MOD($L176,10000)))</f>
        <v/>
      </c>
      <c r="D176" s="58">
        <f>IF($L176="","",INDEX(j_Source,MOD($L176,10000)))</f>
        <v/>
      </c>
      <c r="E176" s="58">
        <f>IF($L176="","",INDEX(j_ID,MOD($L176,10000)))</f>
        <v/>
      </c>
      <c r="F176" s="58">
        <f>IF($L176="","",INDEX(j_Desc,MOD($L176,10000)))</f>
        <v/>
      </c>
      <c r="G176" s="58">
        <f>IF($L176="","",INDEX(j_Party,MOD($L176,10000)))</f>
        <v/>
      </c>
      <c r="H176" s="95">
        <f>IF($L176="","",IF(INDEX(j_DrAcct,MOD($L176,10000))=LedAcct,INDEX(j_DrAmt,MOD($L176,10000)),0)+IF(LedAcct=acctTax,INDEX(j_TaxDr,MOD($L176,10000)),0))</f>
        <v/>
      </c>
      <c r="I176" s="95">
        <f>IF($L176="","",IF(INDEX(j_CrAcct,MOD($L176,10000))=LedAcct,INDEX(j_CrAmt,MOD($L176,10000)),0)+IF(LedAcct=acctTax,INDEX(j_TaxCr,MOD($L176,10000)),0))</f>
        <v/>
      </c>
      <c r="J176" s="95">
        <f>IF($L176="","",N(J175)+LedSign*(H176-I176))</f>
        <v/>
      </c>
      <c r="L176" s="96">
        <f>IFERROR(SMALL(j_Key,161),"")</f>
        <v/>
      </c>
    </row>
    <row r="177">
      <c r="B177" s="58">
        <f>IF($L177="","",162)</f>
        <v/>
      </c>
      <c r="C177" s="94">
        <f>IF($L177="","",INDEX(j_Date,MOD($L177,10000)))</f>
        <v/>
      </c>
      <c r="D177" s="58">
        <f>IF($L177="","",INDEX(j_Source,MOD($L177,10000)))</f>
        <v/>
      </c>
      <c r="E177" s="58">
        <f>IF($L177="","",INDEX(j_ID,MOD($L177,10000)))</f>
        <v/>
      </c>
      <c r="F177" s="58">
        <f>IF($L177="","",INDEX(j_Desc,MOD($L177,10000)))</f>
        <v/>
      </c>
      <c r="G177" s="58">
        <f>IF($L177="","",INDEX(j_Party,MOD($L177,10000)))</f>
        <v/>
      </c>
      <c r="H177" s="95">
        <f>IF($L177="","",IF(INDEX(j_DrAcct,MOD($L177,10000))=LedAcct,INDEX(j_DrAmt,MOD($L177,10000)),0)+IF(LedAcct=acctTax,INDEX(j_TaxDr,MOD($L177,10000)),0))</f>
        <v/>
      </c>
      <c r="I177" s="95">
        <f>IF($L177="","",IF(INDEX(j_CrAcct,MOD($L177,10000))=LedAcct,INDEX(j_CrAmt,MOD($L177,10000)),0)+IF(LedAcct=acctTax,INDEX(j_TaxCr,MOD($L177,10000)),0))</f>
        <v/>
      </c>
      <c r="J177" s="95">
        <f>IF($L177="","",N(J176)+LedSign*(H177-I177))</f>
        <v/>
      </c>
      <c r="L177" s="96">
        <f>IFERROR(SMALL(j_Key,162),"")</f>
        <v/>
      </c>
    </row>
    <row r="178">
      <c r="B178" s="58">
        <f>IF($L178="","",163)</f>
        <v/>
      </c>
      <c r="C178" s="94">
        <f>IF($L178="","",INDEX(j_Date,MOD($L178,10000)))</f>
        <v/>
      </c>
      <c r="D178" s="58">
        <f>IF($L178="","",INDEX(j_Source,MOD($L178,10000)))</f>
        <v/>
      </c>
      <c r="E178" s="58">
        <f>IF($L178="","",INDEX(j_ID,MOD($L178,10000)))</f>
        <v/>
      </c>
      <c r="F178" s="58">
        <f>IF($L178="","",INDEX(j_Desc,MOD($L178,10000)))</f>
        <v/>
      </c>
      <c r="G178" s="58">
        <f>IF($L178="","",INDEX(j_Party,MOD($L178,10000)))</f>
        <v/>
      </c>
      <c r="H178" s="95">
        <f>IF($L178="","",IF(INDEX(j_DrAcct,MOD($L178,10000))=LedAcct,INDEX(j_DrAmt,MOD($L178,10000)),0)+IF(LedAcct=acctTax,INDEX(j_TaxDr,MOD($L178,10000)),0))</f>
        <v/>
      </c>
      <c r="I178" s="95">
        <f>IF($L178="","",IF(INDEX(j_CrAcct,MOD($L178,10000))=LedAcct,INDEX(j_CrAmt,MOD($L178,10000)),0)+IF(LedAcct=acctTax,INDEX(j_TaxCr,MOD($L178,10000)),0))</f>
        <v/>
      </c>
      <c r="J178" s="95">
        <f>IF($L178="","",N(J177)+LedSign*(H178-I178))</f>
        <v/>
      </c>
      <c r="L178" s="96">
        <f>IFERROR(SMALL(j_Key,163),"")</f>
        <v/>
      </c>
    </row>
    <row r="179">
      <c r="B179" s="58">
        <f>IF($L179="","",164)</f>
        <v/>
      </c>
      <c r="C179" s="94">
        <f>IF($L179="","",INDEX(j_Date,MOD($L179,10000)))</f>
        <v/>
      </c>
      <c r="D179" s="58">
        <f>IF($L179="","",INDEX(j_Source,MOD($L179,10000)))</f>
        <v/>
      </c>
      <c r="E179" s="58">
        <f>IF($L179="","",INDEX(j_ID,MOD($L179,10000)))</f>
        <v/>
      </c>
      <c r="F179" s="58">
        <f>IF($L179="","",INDEX(j_Desc,MOD($L179,10000)))</f>
        <v/>
      </c>
      <c r="G179" s="58">
        <f>IF($L179="","",INDEX(j_Party,MOD($L179,10000)))</f>
        <v/>
      </c>
      <c r="H179" s="95">
        <f>IF($L179="","",IF(INDEX(j_DrAcct,MOD($L179,10000))=LedAcct,INDEX(j_DrAmt,MOD($L179,10000)),0)+IF(LedAcct=acctTax,INDEX(j_TaxDr,MOD($L179,10000)),0))</f>
        <v/>
      </c>
      <c r="I179" s="95">
        <f>IF($L179="","",IF(INDEX(j_CrAcct,MOD($L179,10000))=LedAcct,INDEX(j_CrAmt,MOD($L179,10000)),0)+IF(LedAcct=acctTax,INDEX(j_TaxCr,MOD($L179,10000)),0))</f>
        <v/>
      </c>
      <c r="J179" s="95">
        <f>IF($L179="","",N(J178)+LedSign*(H179-I179))</f>
        <v/>
      </c>
      <c r="L179" s="96">
        <f>IFERROR(SMALL(j_Key,164),"")</f>
        <v/>
      </c>
    </row>
    <row r="180">
      <c r="B180" s="58">
        <f>IF($L180="","",165)</f>
        <v/>
      </c>
      <c r="C180" s="94">
        <f>IF($L180="","",INDEX(j_Date,MOD($L180,10000)))</f>
        <v/>
      </c>
      <c r="D180" s="58">
        <f>IF($L180="","",INDEX(j_Source,MOD($L180,10000)))</f>
        <v/>
      </c>
      <c r="E180" s="58">
        <f>IF($L180="","",INDEX(j_ID,MOD($L180,10000)))</f>
        <v/>
      </c>
      <c r="F180" s="58">
        <f>IF($L180="","",INDEX(j_Desc,MOD($L180,10000)))</f>
        <v/>
      </c>
      <c r="G180" s="58">
        <f>IF($L180="","",INDEX(j_Party,MOD($L180,10000)))</f>
        <v/>
      </c>
      <c r="H180" s="95">
        <f>IF($L180="","",IF(INDEX(j_DrAcct,MOD($L180,10000))=LedAcct,INDEX(j_DrAmt,MOD($L180,10000)),0)+IF(LedAcct=acctTax,INDEX(j_TaxDr,MOD($L180,10000)),0))</f>
        <v/>
      </c>
      <c r="I180" s="95">
        <f>IF($L180="","",IF(INDEX(j_CrAcct,MOD($L180,10000))=LedAcct,INDEX(j_CrAmt,MOD($L180,10000)),0)+IF(LedAcct=acctTax,INDEX(j_TaxCr,MOD($L180,10000)),0))</f>
        <v/>
      </c>
      <c r="J180" s="95">
        <f>IF($L180="","",N(J179)+LedSign*(H180-I180))</f>
        <v/>
      </c>
      <c r="L180" s="96">
        <f>IFERROR(SMALL(j_Key,165),"")</f>
        <v/>
      </c>
    </row>
    <row r="181">
      <c r="B181" s="58">
        <f>IF($L181="","",166)</f>
        <v/>
      </c>
      <c r="C181" s="94">
        <f>IF($L181="","",INDEX(j_Date,MOD($L181,10000)))</f>
        <v/>
      </c>
      <c r="D181" s="58">
        <f>IF($L181="","",INDEX(j_Source,MOD($L181,10000)))</f>
        <v/>
      </c>
      <c r="E181" s="58">
        <f>IF($L181="","",INDEX(j_ID,MOD($L181,10000)))</f>
        <v/>
      </c>
      <c r="F181" s="58">
        <f>IF($L181="","",INDEX(j_Desc,MOD($L181,10000)))</f>
        <v/>
      </c>
      <c r="G181" s="58">
        <f>IF($L181="","",INDEX(j_Party,MOD($L181,10000)))</f>
        <v/>
      </c>
      <c r="H181" s="95">
        <f>IF($L181="","",IF(INDEX(j_DrAcct,MOD($L181,10000))=LedAcct,INDEX(j_DrAmt,MOD($L181,10000)),0)+IF(LedAcct=acctTax,INDEX(j_TaxDr,MOD($L181,10000)),0))</f>
        <v/>
      </c>
      <c r="I181" s="95">
        <f>IF($L181="","",IF(INDEX(j_CrAcct,MOD($L181,10000))=LedAcct,INDEX(j_CrAmt,MOD($L181,10000)),0)+IF(LedAcct=acctTax,INDEX(j_TaxCr,MOD($L181,10000)),0))</f>
        <v/>
      </c>
      <c r="J181" s="95">
        <f>IF($L181="","",N(J180)+LedSign*(H181-I181))</f>
        <v/>
      </c>
      <c r="L181" s="96">
        <f>IFERROR(SMALL(j_Key,166),"")</f>
        <v/>
      </c>
    </row>
    <row r="182">
      <c r="B182" s="58">
        <f>IF($L182="","",167)</f>
        <v/>
      </c>
      <c r="C182" s="94">
        <f>IF($L182="","",INDEX(j_Date,MOD($L182,10000)))</f>
        <v/>
      </c>
      <c r="D182" s="58">
        <f>IF($L182="","",INDEX(j_Source,MOD($L182,10000)))</f>
        <v/>
      </c>
      <c r="E182" s="58">
        <f>IF($L182="","",INDEX(j_ID,MOD($L182,10000)))</f>
        <v/>
      </c>
      <c r="F182" s="58">
        <f>IF($L182="","",INDEX(j_Desc,MOD($L182,10000)))</f>
        <v/>
      </c>
      <c r="G182" s="58">
        <f>IF($L182="","",INDEX(j_Party,MOD($L182,10000)))</f>
        <v/>
      </c>
      <c r="H182" s="95">
        <f>IF($L182="","",IF(INDEX(j_DrAcct,MOD($L182,10000))=LedAcct,INDEX(j_DrAmt,MOD($L182,10000)),0)+IF(LedAcct=acctTax,INDEX(j_TaxDr,MOD($L182,10000)),0))</f>
        <v/>
      </c>
      <c r="I182" s="95">
        <f>IF($L182="","",IF(INDEX(j_CrAcct,MOD($L182,10000))=LedAcct,INDEX(j_CrAmt,MOD($L182,10000)),0)+IF(LedAcct=acctTax,INDEX(j_TaxCr,MOD($L182,10000)),0))</f>
        <v/>
      </c>
      <c r="J182" s="95">
        <f>IF($L182="","",N(J181)+LedSign*(H182-I182))</f>
        <v/>
      </c>
      <c r="L182" s="96">
        <f>IFERROR(SMALL(j_Key,167),"")</f>
        <v/>
      </c>
    </row>
    <row r="183">
      <c r="B183" s="58">
        <f>IF($L183="","",168)</f>
        <v/>
      </c>
      <c r="C183" s="94">
        <f>IF($L183="","",INDEX(j_Date,MOD($L183,10000)))</f>
        <v/>
      </c>
      <c r="D183" s="58">
        <f>IF($L183="","",INDEX(j_Source,MOD($L183,10000)))</f>
        <v/>
      </c>
      <c r="E183" s="58">
        <f>IF($L183="","",INDEX(j_ID,MOD($L183,10000)))</f>
        <v/>
      </c>
      <c r="F183" s="58">
        <f>IF($L183="","",INDEX(j_Desc,MOD($L183,10000)))</f>
        <v/>
      </c>
      <c r="G183" s="58">
        <f>IF($L183="","",INDEX(j_Party,MOD($L183,10000)))</f>
        <v/>
      </c>
      <c r="H183" s="95">
        <f>IF($L183="","",IF(INDEX(j_DrAcct,MOD($L183,10000))=LedAcct,INDEX(j_DrAmt,MOD($L183,10000)),0)+IF(LedAcct=acctTax,INDEX(j_TaxDr,MOD($L183,10000)),0))</f>
        <v/>
      </c>
      <c r="I183" s="95">
        <f>IF($L183="","",IF(INDEX(j_CrAcct,MOD($L183,10000))=LedAcct,INDEX(j_CrAmt,MOD($L183,10000)),0)+IF(LedAcct=acctTax,INDEX(j_TaxCr,MOD($L183,10000)),0))</f>
        <v/>
      </c>
      <c r="J183" s="95">
        <f>IF($L183="","",N(J182)+LedSign*(H183-I183))</f>
        <v/>
      </c>
      <c r="L183" s="96">
        <f>IFERROR(SMALL(j_Key,168),"")</f>
        <v/>
      </c>
    </row>
    <row r="184">
      <c r="B184" s="58">
        <f>IF($L184="","",169)</f>
        <v/>
      </c>
      <c r="C184" s="94">
        <f>IF($L184="","",INDEX(j_Date,MOD($L184,10000)))</f>
        <v/>
      </c>
      <c r="D184" s="58">
        <f>IF($L184="","",INDEX(j_Source,MOD($L184,10000)))</f>
        <v/>
      </c>
      <c r="E184" s="58">
        <f>IF($L184="","",INDEX(j_ID,MOD($L184,10000)))</f>
        <v/>
      </c>
      <c r="F184" s="58">
        <f>IF($L184="","",INDEX(j_Desc,MOD($L184,10000)))</f>
        <v/>
      </c>
      <c r="G184" s="58">
        <f>IF($L184="","",INDEX(j_Party,MOD($L184,10000)))</f>
        <v/>
      </c>
      <c r="H184" s="95">
        <f>IF($L184="","",IF(INDEX(j_DrAcct,MOD($L184,10000))=LedAcct,INDEX(j_DrAmt,MOD($L184,10000)),0)+IF(LedAcct=acctTax,INDEX(j_TaxDr,MOD($L184,10000)),0))</f>
        <v/>
      </c>
      <c r="I184" s="95">
        <f>IF($L184="","",IF(INDEX(j_CrAcct,MOD($L184,10000))=LedAcct,INDEX(j_CrAmt,MOD($L184,10000)),0)+IF(LedAcct=acctTax,INDEX(j_TaxCr,MOD($L184,10000)),0))</f>
        <v/>
      </c>
      <c r="J184" s="95">
        <f>IF($L184="","",N(J183)+LedSign*(H184-I184))</f>
        <v/>
      </c>
      <c r="L184" s="96">
        <f>IFERROR(SMALL(j_Key,169),"")</f>
        <v/>
      </c>
    </row>
    <row r="185">
      <c r="B185" s="58">
        <f>IF($L185="","",170)</f>
        <v/>
      </c>
      <c r="C185" s="94">
        <f>IF($L185="","",INDEX(j_Date,MOD($L185,10000)))</f>
        <v/>
      </c>
      <c r="D185" s="58">
        <f>IF($L185="","",INDEX(j_Source,MOD($L185,10000)))</f>
        <v/>
      </c>
      <c r="E185" s="58">
        <f>IF($L185="","",INDEX(j_ID,MOD($L185,10000)))</f>
        <v/>
      </c>
      <c r="F185" s="58">
        <f>IF($L185="","",INDEX(j_Desc,MOD($L185,10000)))</f>
        <v/>
      </c>
      <c r="G185" s="58">
        <f>IF($L185="","",INDEX(j_Party,MOD($L185,10000)))</f>
        <v/>
      </c>
      <c r="H185" s="95">
        <f>IF($L185="","",IF(INDEX(j_DrAcct,MOD($L185,10000))=LedAcct,INDEX(j_DrAmt,MOD($L185,10000)),0)+IF(LedAcct=acctTax,INDEX(j_TaxDr,MOD($L185,10000)),0))</f>
        <v/>
      </c>
      <c r="I185" s="95">
        <f>IF($L185="","",IF(INDEX(j_CrAcct,MOD($L185,10000))=LedAcct,INDEX(j_CrAmt,MOD($L185,10000)),0)+IF(LedAcct=acctTax,INDEX(j_TaxCr,MOD($L185,10000)),0))</f>
        <v/>
      </c>
      <c r="J185" s="95">
        <f>IF($L185="","",N(J184)+LedSign*(H185-I185))</f>
        <v/>
      </c>
      <c r="L185" s="96">
        <f>IFERROR(SMALL(j_Key,170),"")</f>
        <v/>
      </c>
    </row>
    <row r="186">
      <c r="B186" s="58">
        <f>IF($L186="","",171)</f>
        <v/>
      </c>
      <c r="C186" s="94">
        <f>IF($L186="","",INDEX(j_Date,MOD($L186,10000)))</f>
        <v/>
      </c>
      <c r="D186" s="58">
        <f>IF($L186="","",INDEX(j_Source,MOD($L186,10000)))</f>
        <v/>
      </c>
      <c r="E186" s="58">
        <f>IF($L186="","",INDEX(j_ID,MOD($L186,10000)))</f>
        <v/>
      </c>
      <c r="F186" s="58">
        <f>IF($L186="","",INDEX(j_Desc,MOD($L186,10000)))</f>
        <v/>
      </c>
      <c r="G186" s="58">
        <f>IF($L186="","",INDEX(j_Party,MOD($L186,10000)))</f>
        <v/>
      </c>
      <c r="H186" s="95">
        <f>IF($L186="","",IF(INDEX(j_DrAcct,MOD($L186,10000))=LedAcct,INDEX(j_DrAmt,MOD($L186,10000)),0)+IF(LedAcct=acctTax,INDEX(j_TaxDr,MOD($L186,10000)),0))</f>
        <v/>
      </c>
      <c r="I186" s="95">
        <f>IF($L186="","",IF(INDEX(j_CrAcct,MOD($L186,10000))=LedAcct,INDEX(j_CrAmt,MOD($L186,10000)),0)+IF(LedAcct=acctTax,INDEX(j_TaxCr,MOD($L186,10000)),0))</f>
        <v/>
      </c>
      <c r="J186" s="95">
        <f>IF($L186="","",N(J185)+LedSign*(H186-I186))</f>
        <v/>
      </c>
      <c r="L186" s="96">
        <f>IFERROR(SMALL(j_Key,171),"")</f>
        <v/>
      </c>
    </row>
    <row r="187">
      <c r="B187" s="58">
        <f>IF($L187="","",172)</f>
        <v/>
      </c>
      <c r="C187" s="94">
        <f>IF($L187="","",INDEX(j_Date,MOD($L187,10000)))</f>
        <v/>
      </c>
      <c r="D187" s="58">
        <f>IF($L187="","",INDEX(j_Source,MOD($L187,10000)))</f>
        <v/>
      </c>
      <c r="E187" s="58">
        <f>IF($L187="","",INDEX(j_ID,MOD($L187,10000)))</f>
        <v/>
      </c>
      <c r="F187" s="58">
        <f>IF($L187="","",INDEX(j_Desc,MOD($L187,10000)))</f>
        <v/>
      </c>
      <c r="G187" s="58">
        <f>IF($L187="","",INDEX(j_Party,MOD($L187,10000)))</f>
        <v/>
      </c>
      <c r="H187" s="95">
        <f>IF($L187="","",IF(INDEX(j_DrAcct,MOD($L187,10000))=LedAcct,INDEX(j_DrAmt,MOD($L187,10000)),0)+IF(LedAcct=acctTax,INDEX(j_TaxDr,MOD($L187,10000)),0))</f>
        <v/>
      </c>
      <c r="I187" s="95">
        <f>IF($L187="","",IF(INDEX(j_CrAcct,MOD($L187,10000))=LedAcct,INDEX(j_CrAmt,MOD($L187,10000)),0)+IF(LedAcct=acctTax,INDEX(j_TaxCr,MOD($L187,10000)),0))</f>
        <v/>
      </c>
      <c r="J187" s="95">
        <f>IF($L187="","",N(J186)+LedSign*(H187-I187))</f>
        <v/>
      </c>
      <c r="L187" s="96">
        <f>IFERROR(SMALL(j_Key,172),"")</f>
        <v/>
      </c>
    </row>
    <row r="188">
      <c r="B188" s="58">
        <f>IF($L188="","",173)</f>
        <v/>
      </c>
      <c r="C188" s="94">
        <f>IF($L188="","",INDEX(j_Date,MOD($L188,10000)))</f>
        <v/>
      </c>
      <c r="D188" s="58">
        <f>IF($L188="","",INDEX(j_Source,MOD($L188,10000)))</f>
        <v/>
      </c>
      <c r="E188" s="58">
        <f>IF($L188="","",INDEX(j_ID,MOD($L188,10000)))</f>
        <v/>
      </c>
      <c r="F188" s="58">
        <f>IF($L188="","",INDEX(j_Desc,MOD($L188,10000)))</f>
        <v/>
      </c>
      <c r="G188" s="58">
        <f>IF($L188="","",INDEX(j_Party,MOD($L188,10000)))</f>
        <v/>
      </c>
      <c r="H188" s="95">
        <f>IF($L188="","",IF(INDEX(j_DrAcct,MOD($L188,10000))=LedAcct,INDEX(j_DrAmt,MOD($L188,10000)),0)+IF(LedAcct=acctTax,INDEX(j_TaxDr,MOD($L188,10000)),0))</f>
        <v/>
      </c>
      <c r="I188" s="95">
        <f>IF($L188="","",IF(INDEX(j_CrAcct,MOD($L188,10000))=LedAcct,INDEX(j_CrAmt,MOD($L188,10000)),0)+IF(LedAcct=acctTax,INDEX(j_TaxCr,MOD($L188,10000)),0))</f>
        <v/>
      </c>
      <c r="J188" s="95">
        <f>IF($L188="","",N(J187)+LedSign*(H188-I188))</f>
        <v/>
      </c>
      <c r="L188" s="96">
        <f>IFERROR(SMALL(j_Key,173),"")</f>
        <v/>
      </c>
    </row>
    <row r="189">
      <c r="B189" s="58">
        <f>IF($L189="","",174)</f>
        <v/>
      </c>
      <c r="C189" s="94">
        <f>IF($L189="","",INDEX(j_Date,MOD($L189,10000)))</f>
        <v/>
      </c>
      <c r="D189" s="58">
        <f>IF($L189="","",INDEX(j_Source,MOD($L189,10000)))</f>
        <v/>
      </c>
      <c r="E189" s="58">
        <f>IF($L189="","",INDEX(j_ID,MOD($L189,10000)))</f>
        <v/>
      </c>
      <c r="F189" s="58">
        <f>IF($L189="","",INDEX(j_Desc,MOD($L189,10000)))</f>
        <v/>
      </c>
      <c r="G189" s="58">
        <f>IF($L189="","",INDEX(j_Party,MOD($L189,10000)))</f>
        <v/>
      </c>
      <c r="H189" s="95">
        <f>IF($L189="","",IF(INDEX(j_DrAcct,MOD($L189,10000))=LedAcct,INDEX(j_DrAmt,MOD($L189,10000)),0)+IF(LedAcct=acctTax,INDEX(j_TaxDr,MOD($L189,10000)),0))</f>
        <v/>
      </c>
      <c r="I189" s="95">
        <f>IF($L189="","",IF(INDEX(j_CrAcct,MOD($L189,10000))=LedAcct,INDEX(j_CrAmt,MOD($L189,10000)),0)+IF(LedAcct=acctTax,INDEX(j_TaxCr,MOD($L189,10000)),0))</f>
        <v/>
      </c>
      <c r="J189" s="95">
        <f>IF($L189="","",N(J188)+LedSign*(H189-I189))</f>
        <v/>
      </c>
      <c r="L189" s="96">
        <f>IFERROR(SMALL(j_Key,174),"")</f>
        <v/>
      </c>
    </row>
    <row r="190">
      <c r="B190" s="58">
        <f>IF($L190="","",175)</f>
        <v/>
      </c>
      <c r="C190" s="94">
        <f>IF($L190="","",INDEX(j_Date,MOD($L190,10000)))</f>
        <v/>
      </c>
      <c r="D190" s="58">
        <f>IF($L190="","",INDEX(j_Source,MOD($L190,10000)))</f>
        <v/>
      </c>
      <c r="E190" s="58">
        <f>IF($L190="","",INDEX(j_ID,MOD($L190,10000)))</f>
        <v/>
      </c>
      <c r="F190" s="58">
        <f>IF($L190="","",INDEX(j_Desc,MOD($L190,10000)))</f>
        <v/>
      </c>
      <c r="G190" s="58">
        <f>IF($L190="","",INDEX(j_Party,MOD($L190,10000)))</f>
        <v/>
      </c>
      <c r="H190" s="95">
        <f>IF($L190="","",IF(INDEX(j_DrAcct,MOD($L190,10000))=LedAcct,INDEX(j_DrAmt,MOD($L190,10000)),0)+IF(LedAcct=acctTax,INDEX(j_TaxDr,MOD($L190,10000)),0))</f>
        <v/>
      </c>
      <c r="I190" s="95">
        <f>IF($L190="","",IF(INDEX(j_CrAcct,MOD($L190,10000))=LedAcct,INDEX(j_CrAmt,MOD($L190,10000)),0)+IF(LedAcct=acctTax,INDEX(j_TaxCr,MOD($L190,10000)),0))</f>
        <v/>
      </c>
      <c r="J190" s="95">
        <f>IF($L190="","",N(J189)+LedSign*(H190-I190))</f>
        <v/>
      </c>
      <c r="L190" s="96">
        <f>IFERROR(SMALL(j_Key,175),"")</f>
        <v/>
      </c>
    </row>
    <row r="191">
      <c r="B191" s="58">
        <f>IF($L191="","",176)</f>
        <v/>
      </c>
      <c r="C191" s="94">
        <f>IF($L191="","",INDEX(j_Date,MOD($L191,10000)))</f>
        <v/>
      </c>
      <c r="D191" s="58">
        <f>IF($L191="","",INDEX(j_Source,MOD($L191,10000)))</f>
        <v/>
      </c>
      <c r="E191" s="58">
        <f>IF($L191="","",INDEX(j_ID,MOD($L191,10000)))</f>
        <v/>
      </c>
      <c r="F191" s="58">
        <f>IF($L191="","",INDEX(j_Desc,MOD($L191,10000)))</f>
        <v/>
      </c>
      <c r="G191" s="58">
        <f>IF($L191="","",INDEX(j_Party,MOD($L191,10000)))</f>
        <v/>
      </c>
      <c r="H191" s="95">
        <f>IF($L191="","",IF(INDEX(j_DrAcct,MOD($L191,10000))=LedAcct,INDEX(j_DrAmt,MOD($L191,10000)),0)+IF(LedAcct=acctTax,INDEX(j_TaxDr,MOD($L191,10000)),0))</f>
        <v/>
      </c>
      <c r="I191" s="95">
        <f>IF($L191="","",IF(INDEX(j_CrAcct,MOD($L191,10000))=LedAcct,INDEX(j_CrAmt,MOD($L191,10000)),0)+IF(LedAcct=acctTax,INDEX(j_TaxCr,MOD($L191,10000)),0))</f>
        <v/>
      </c>
      <c r="J191" s="95">
        <f>IF($L191="","",N(J190)+LedSign*(H191-I191))</f>
        <v/>
      </c>
      <c r="L191" s="96">
        <f>IFERROR(SMALL(j_Key,176),"")</f>
        <v/>
      </c>
    </row>
    <row r="192">
      <c r="B192" s="58">
        <f>IF($L192="","",177)</f>
        <v/>
      </c>
      <c r="C192" s="94">
        <f>IF($L192="","",INDEX(j_Date,MOD($L192,10000)))</f>
        <v/>
      </c>
      <c r="D192" s="58">
        <f>IF($L192="","",INDEX(j_Source,MOD($L192,10000)))</f>
        <v/>
      </c>
      <c r="E192" s="58">
        <f>IF($L192="","",INDEX(j_ID,MOD($L192,10000)))</f>
        <v/>
      </c>
      <c r="F192" s="58">
        <f>IF($L192="","",INDEX(j_Desc,MOD($L192,10000)))</f>
        <v/>
      </c>
      <c r="G192" s="58">
        <f>IF($L192="","",INDEX(j_Party,MOD($L192,10000)))</f>
        <v/>
      </c>
      <c r="H192" s="95">
        <f>IF($L192="","",IF(INDEX(j_DrAcct,MOD($L192,10000))=LedAcct,INDEX(j_DrAmt,MOD($L192,10000)),0)+IF(LedAcct=acctTax,INDEX(j_TaxDr,MOD($L192,10000)),0))</f>
        <v/>
      </c>
      <c r="I192" s="95">
        <f>IF($L192="","",IF(INDEX(j_CrAcct,MOD($L192,10000))=LedAcct,INDEX(j_CrAmt,MOD($L192,10000)),0)+IF(LedAcct=acctTax,INDEX(j_TaxCr,MOD($L192,10000)),0))</f>
        <v/>
      </c>
      <c r="J192" s="95">
        <f>IF($L192="","",N(J191)+LedSign*(H192-I192))</f>
        <v/>
      </c>
      <c r="L192" s="96">
        <f>IFERROR(SMALL(j_Key,177),"")</f>
        <v/>
      </c>
    </row>
    <row r="193">
      <c r="B193" s="58">
        <f>IF($L193="","",178)</f>
        <v/>
      </c>
      <c r="C193" s="94">
        <f>IF($L193="","",INDEX(j_Date,MOD($L193,10000)))</f>
        <v/>
      </c>
      <c r="D193" s="58">
        <f>IF($L193="","",INDEX(j_Source,MOD($L193,10000)))</f>
        <v/>
      </c>
      <c r="E193" s="58">
        <f>IF($L193="","",INDEX(j_ID,MOD($L193,10000)))</f>
        <v/>
      </c>
      <c r="F193" s="58">
        <f>IF($L193="","",INDEX(j_Desc,MOD($L193,10000)))</f>
        <v/>
      </c>
      <c r="G193" s="58">
        <f>IF($L193="","",INDEX(j_Party,MOD($L193,10000)))</f>
        <v/>
      </c>
      <c r="H193" s="95">
        <f>IF($L193="","",IF(INDEX(j_DrAcct,MOD($L193,10000))=LedAcct,INDEX(j_DrAmt,MOD($L193,10000)),0)+IF(LedAcct=acctTax,INDEX(j_TaxDr,MOD($L193,10000)),0))</f>
        <v/>
      </c>
      <c r="I193" s="95">
        <f>IF($L193="","",IF(INDEX(j_CrAcct,MOD($L193,10000))=LedAcct,INDEX(j_CrAmt,MOD($L193,10000)),0)+IF(LedAcct=acctTax,INDEX(j_TaxCr,MOD($L193,10000)),0))</f>
        <v/>
      </c>
      <c r="J193" s="95">
        <f>IF($L193="","",N(J192)+LedSign*(H193-I193))</f>
        <v/>
      </c>
      <c r="L193" s="96">
        <f>IFERROR(SMALL(j_Key,178),"")</f>
        <v/>
      </c>
    </row>
    <row r="194">
      <c r="B194" s="58">
        <f>IF($L194="","",179)</f>
        <v/>
      </c>
      <c r="C194" s="94">
        <f>IF($L194="","",INDEX(j_Date,MOD($L194,10000)))</f>
        <v/>
      </c>
      <c r="D194" s="58">
        <f>IF($L194="","",INDEX(j_Source,MOD($L194,10000)))</f>
        <v/>
      </c>
      <c r="E194" s="58">
        <f>IF($L194="","",INDEX(j_ID,MOD($L194,10000)))</f>
        <v/>
      </c>
      <c r="F194" s="58">
        <f>IF($L194="","",INDEX(j_Desc,MOD($L194,10000)))</f>
        <v/>
      </c>
      <c r="G194" s="58">
        <f>IF($L194="","",INDEX(j_Party,MOD($L194,10000)))</f>
        <v/>
      </c>
      <c r="H194" s="95">
        <f>IF($L194="","",IF(INDEX(j_DrAcct,MOD($L194,10000))=LedAcct,INDEX(j_DrAmt,MOD($L194,10000)),0)+IF(LedAcct=acctTax,INDEX(j_TaxDr,MOD($L194,10000)),0))</f>
        <v/>
      </c>
      <c r="I194" s="95">
        <f>IF($L194="","",IF(INDEX(j_CrAcct,MOD($L194,10000))=LedAcct,INDEX(j_CrAmt,MOD($L194,10000)),0)+IF(LedAcct=acctTax,INDEX(j_TaxCr,MOD($L194,10000)),0))</f>
        <v/>
      </c>
      <c r="J194" s="95">
        <f>IF($L194="","",N(J193)+LedSign*(H194-I194))</f>
        <v/>
      </c>
      <c r="L194" s="96">
        <f>IFERROR(SMALL(j_Key,179),"")</f>
        <v/>
      </c>
    </row>
    <row r="195">
      <c r="B195" s="58">
        <f>IF($L195="","",180)</f>
        <v/>
      </c>
      <c r="C195" s="94">
        <f>IF($L195="","",INDEX(j_Date,MOD($L195,10000)))</f>
        <v/>
      </c>
      <c r="D195" s="58">
        <f>IF($L195="","",INDEX(j_Source,MOD($L195,10000)))</f>
        <v/>
      </c>
      <c r="E195" s="58">
        <f>IF($L195="","",INDEX(j_ID,MOD($L195,10000)))</f>
        <v/>
      </c>
      <c r="F195" s="58">
        <f>IF($L195="","",INDEX(j_Desc,MOD($L195,10000)))</f>
        <v/>
      </c>
      <c r="G195" s="58">
        <f>IF($L195="","",INDEX(j_Party,MOD($L195,10000)))</f>
        <v/>
      </c>
      <c r="H195" s="95">
        <f>IF($L195="","",IF(INDEX(j_DrAcct,MOD($L195,10000))=LedAcct,INDEX(j_DrAmt,MOD($L195,10000)),0)+IF(LedAcct=acctTax,INDEX(j_TaxDr,MOD($L195,10000)),0))</f>
        <v/>
      </c>
      <c r="I195" s="95">
        <f>IF($L195="","",IF(INDEX(j_CrAcct,MOD($L195,10000))=LedAcct,INDEX(j_CrAmt,MOD($L195,10000)),0)+IF(LedAcct=acctTax,INDEX(j_TaxCr,MOD($L195,10000)),0))</f>
        <v/>
      </c>
      <c r="J195" s="95">
        <f>IF($L195="","",N(J194)+LedSign*(H195-I195))</f>
        <v/>
      </c>
      <c r="L195" s="96">
        <f>IFERROR(SMALL(j_Key,180),"")</f>
        <v/>
      </c>
    </row>
    <row r="196">
      <c r="B196" s="58">
        <f>IF($L196="","",181)</f>
        <v/>
      </c>
      <c r="C196" s="94">
        <f>IF($L196="","",INDEX(j_Date,MOD($L196,10000)))</f>
        <v/>
      </c>
      <c r="D196" s="58">
        <f>IF($L196="","",INDEX(j_Source,MOD($L196,10000)))</f>
        <v/>
      </c>
      <c r="E196" s="58">
        <f>IF($L196="","",INDEX(j_ID,MOD($L196,10000)))</f>
        <v/>
      </c>
      <c r="F196" s="58">
        <f>IF($L196="","",INDEX(j_Desc,MOD($L196,10000)))</f>
        <v/>
      </c>
      <c r="G196" s="58">
        <f>IF($L196="","",INDEX(j_Party,MOD($L196,10000)))</f>
        <v/>
      </c>
      <c r="H196" s="95">
        <f>IF($L196="","",IF(INDEX(j_DrAcct,MOD($L196,10000))=LedAcct,INDEX(j_DrAmt,MOD($L196,10000)),0)+IF(LedAcct=acctTax,INDEX(j_TaxDr,MOD($L196,10000)),0))</f>
        <v/>
      </c>
      <c r="I196" s="95">
        <f>IF($L196="","",IF(INDEX(j_CrAcct,MOD($L196,10000))=LedAcct,INDEX(j_CrAmt,MOD($L196,10000)),0)+IF(LedAcct=acctTax,INDEX(j_TaxCr,MOD($L196,10000)),0))</f>
        <v/>
      </c>
      <c r="J196" s="95">
        <f>IF($L196="","",N(J195)+LedSign*(H196-I196))</f>
        <v/>
      </c>
      <c r="L196" s="96">
        <f>IFERROR(SMALL(j_Key,181),"")</f>
        <v/>
      </c>
    </row>
    <row r="197">
      <c r="B197" s="58">
        <f>IF($L197="","",182)</f>
        <v/>
      </c>
      <c r="C197" s="94">
        <f>IF($L197="","",INDEX(j_Date,MOD($L197,10000)))</f>
        <v/>
      </c>
      <c r="D197" s="58">
        <f>IF($L197="","",INDEX(j_Source,MOD($L197,10000)))</f>
        <v/>
      </c>
      <c r="E197" s="58">
        <f>IF($L197="","",INDEX(j_ID,MOD($L197,10000)))</f>
        <v/>
      </c>
      <c r="F197" s="58">
        <f>IF($L197="","",INDEX(j_Desc,MOD($L197,10000)))</f>
        <v/>
      </c>
      <c r="G197" s="58">
        <f>IF($L197="","",INDEX(j_Party,MOD($L197,10000)))</f>
        <v/>
      </c>
      <c r="H197" s="95">
        <f>IF($L197="","",IF(INDEX(j_DrAcct,MOD($L197,10000))=LedAcct,INDEX(j_DrAmt,MOD($L197,10000)),0)+IF(LedAcct=acctTax,INDEX(j_TaxDr,MOD($L197,10000)),0))</f>
        <v/>
      </c>
      <c r="I197" s="95">
        <f>IF($L197="","",IF(INDEX(j_CrAcct,MOD($L197,10000))=LedAcct,INDEX(j_CrAmt,MOD($L197,10000)),0)+IF(LedAcct=acctTax,INDEX(j_TaxCr,MOD($L197,10000)),0))</f>
        <v/>
      </c>
      <c r="J197" s="95">
        <f>IF($L197="","",N(J196)+LedSign*(H197-I197))</f>
        <v/>
      </c>
      <c r="L197" s="96">
        <f>IFERROR(SMALL(j_Key,182),"")</f>
        <v/>
      </c>
    </row>
    <row r="198">
      <c r="B198" s="58">
        <f>IF($L198="","",183)</f>
        <v/>
      </c>
      <c r="C198" s="94">
        <f>IF($L198="","",INDEX(j_Date,MOD($L198,10000)))</f>
        <v/>
      </c>
      <c r="D198" s="58">
        <f>IF($L198="","",INDEX(j_Source,MOD($L198,10000)))</f>
        <v/>
      </c>
      <c r="E198" s="58">
        <f>IF($L198="","",INDEX(j_ID,MOD($L198,10000)))</f>
        <v/>
      </c>
      <c r="F198" s="58">
        <f>IF($L198="","",INDEX(j_Desc,MOD($L198,10000)))</f>
        <v/>
      </c>
      <c r="G198" s="58">
        <f>IF($L198="","",INDEX(j_Party,MOD($L198,10000)))</f>
        <v/>
      </c>
      <c r="H198" s="95">
        <f>IF($L198="","",IF(INDEX(j_DrAcct,MOD($L198,10000))=LedAcct,INDEX(j_DrAmt,MOD($L198,10000)),0)+IF(LedAcct=acctTax,INDEX(j_TaxDr,MOD($L198,10000)),0))</f>
        <v/>
      </c>
      <c r="I198" s="95">
        <f>IF($L198="","",IF(INDEX(j_CrAcct,MOD($L198,10000))=LedAcct,INDEX(j_CrAmt,MOD($L198,10000)),0)+IF(LedAcct=acctTax,INDEX(j_TaxCr,MOD($L198,10000)),0))</f>
        <v/>
      </c>
      <c r="J198" s="95">
        <f>IF($L198="","",N(J197)+LedSign*(H198-I198))</f>
        <v/>
      </c>
      <c r="L198" s="96">
        <f>IFERROR(SMALL(j_Key,183),"")</f>
        <v/>
      </c>
    </row>
    <row r="199">
      <c r="B199" s="58">
        <f>IF($L199="","",184)</f>
        <v/>
      </c>
      <c r="C199" s="94">
        <f>IF($L199="","",INDEX(j_Date,MOD($L199,10000)))</f>
        <v/>
      </c>
      <c r="D199" s="58">
        <f>IF($L199="","",INDEX(j_Source,MOD($L199,10000)))</f>
        <v/>
      </c>
      <c r="E199" s="58">
        <f>IF($L199="","",INDEX(j_ID,MOD($L199,10000)))</f>
        <v/>
      </c>
      <c r="F199" s="58">
        <f>IF($L199="","",INDEX(j_Desc,MOD($L199,10000)))</f>
        <v/>
      </c>
      <c r="G199" s="58">
        <f>IF($L199="","",INDEX(j_Party,MOD($L199,10000)))</f>
        <v/>
      </c>
      <c r="H199" s="95">
        <f>IF($L199="","",IF(INDEX(j_DrAcct,MOD($L199,10000))=LedAcct,INDEX(j_DrAmt,MOD($L199,10000)),0)+IF(LedAcct=acctTax,INDEX(j_TaxDr,MOD($L199,10000)),0))</f>
        <v/>
      </c>
      <c r="I199" s="95">
        <f>IF($L199="","",IF(INDEX(j_CrAcct,MOD($L199,10000))=LedAcct,INDEX(j_CrAmt,MOD($L199,10000)),0)+IF(LedAcct=acctTax,INDEX(j_TaxCr,MOD($L199,10000)),0))</f>
        <v/>
      </c>
      <c r="J199" s="95">
        <f>IF($L199="","",N(J198)+LedSign*(H199-I199))</f>
        <v/>
      </c>
      <c r="L199" s="96">
        <f>IFERROR(SMALL(j_Key,184),"")</f>
        <v/>
      </c>
    </row>
    <row r="200">
      <c r="B200" s="58">
        <f>IF($L200="","",185)</f>
        <v/>
      </c>
      <c r="C200" s="94">
        <f>IF($L200="","",INDEX(j_Date,MOD($L200,10000)))</f>
        <v/>
      </c>
      <c r="D200" s="58">
        <f>IF($L200="","",INDEX(j_Source,MOD($L200,10000)))</f>
        <v/>
      </c>
      <c r="E200" s="58">
        <f>IF($L200="","",INDEX(j_ID,MOD($L200,10000)))</f>
        <v/>
      </c>
      <c r="F200" s="58">
        <f>IF($L200="","",INDEX(j_Desc,MOD($L200,10000)))</f>
        <v/>
      </c>
      <c r="G200" s="58">
        <f>IF($L200="","",INDEX(j_Party,MOD($L200,10000)))</f>
        <v/>
      </c>
      <c r="H200" s="95">
        <f>IF($L200="","",IF(INDEX(j_DrAcct,MOD($L200,10000))=LedAcct,INDEX(j_DrAmt,MOD($L200,10000)),0)+IF(LedAcct=acctTax,INDEX(j_TaxDr,MOD($L200,10000)),0))</f>
        <v/>
      </c>
      <c r="I200" s="95">
        <f>IF($L200="","",IF(INDEX(j_CrAcct,MOD($L200,10000))=LedAcct,INDEX(j_CrAmt,MOD($L200,10000)),0)+IF(LedAcct=acctTax,INDEX(j_TaxCr,MOD($L200,10000)),0))</f>
        <v/>
      </c>
      <c r="J200" s="95">
        <f>IF($L200="","",N(J199)+LedSign*(H200-I200))</f>
        <v/>
      </c>
      <c r="L200" s="96">
        <f>IFERROR(SMALL(j_Key,185),"")</f>
        <v/>
      </c>
    </row>
    <row r="201">
      <c r="B201" s="58">
        <f>IF($L201="","",186)</f>
        <v/>
      </c>
      <c r="C201" s="94">
        <f>IF($L201="","",INDEX(j_Date,MOD($L201,10000)))</f>
        <v/>
      </c>
      <c r="D201" s="58">
        <f>IF($L201="","",INDEX(j_Source,MOD($L201,10000)))</f>
        <v/>
      </c>
      <c r="E201" s="58">
        <f>IF($L201="","",INDEX(j_ID,MOD($L201,10000)))</f>
        <v/>
      </c>
      <c r="F201" s="58">
        <f>IF($L201="","",INDEX(j_Desc,MOD($L201,10000)))</f>
        <v/>
      </c>
      <c r="G201" s="58">
        <f>IF($L201="","",INDEX(j_Party,MOD($L201,10000)))</f>
        <v/>
      </c>
      <c r="H201" s="95">
        <f>IF($L201="","",IF(INDEX(j_DrAcct,MOD($L201,10000))=LedAcct,INDEX(j_DrAmt,MOD($L201,10000)),0)+IF(LedAcct=acctTax,INDEX(j_TaxDr,MOD($L201,10000)),0))</f>
        <v/>
      </c>
      <c r="I201" s="95">
        <f>IF($L201="","",IF(INDEX(j_CrAcct,MOD($L201,10000))=LedAcct,INDEX(j_CrAmt,MOD($L201,10000)),0)+IF(LedAcct=acctTax,INDEX(j_TaxCr,MOD($L201,10000)),0))</f>
        <v/>
      </c>
      <c r="J201" s="95">
        <f>IF($L201="","",N(J200)+LedSign*(H201-I201))</f>
        <v/>
      </c>
      <c r="L201" s="96">
        <f>IFERROR(SMALL(j_Key,186),"")</f>
        <v/>
      </c>
    </row>
    <row r="202">
      <c r="B202" s="58">
        <f>IF($L202="","",187)</f>
        <v/>
      </c>
      <c r="C202" s="94">
        <f>IF($L202="","",INDEX(j_Date,MOD($L202,10000)))</f>
        <v/>
      </c>
      <c r="D202" s="58">
        <f>IF($L202="","",INDEX(j_Source,MOD($L202,10000)))</f>
        <v/>
      </c>
      <c r="E202" s="58">
        <f>IF($L202="","",INDEX(j_ID,MOD($L202,10000)))</f>
        <v/>
      </c>
      <c r="F202" s="58">
        <f>IF($L202="","",INDEX(j_Desc,MOD($L202,10000)))</f>
        <v/>
      </c>
      <c r="G202" s="58">
        <f>IF($L202="","",INDEX(j_Party,MOD($L202,10000)))</f>
        <v/>
      </c>
      <c r="H202" s="95">
        <f>IF($L202="","",IF(INDEX(j_DrAcct,MOD($L202,10000))=LedAcct,INDEX(j_DrAmt,MOD($L202,10000)),0)+IF(LedAcct=acctTax,INDEX(j_TaxDr,MOD($L202,10000)),0))</f>
        <v/>
      </c>
      <c r="I202" s="95">
        <f>IF($L202="","",IF(INDEX(j_CrAcct,MOD($L202,10000))=LedAcct,INDEX(j_CrAmt,MOD($L202,10000)),0)+IF(LedAcct=acctTax,INDEX(j_TaxCr,MOD($L202,10000)),0))</f>
        <v/>
      </c>
      <c r="J202" s="95">
        <f>IF($L202="","",N(J201)+LedSign*(H202-I202))</f>
        <v/>
      </c>
      <c r="L202" s="96">
        <f>IFERROR(SMALL(j_Key,187),"")</f>
        <v/>
      </c>
    </row>
    <row r="203">
      <c r="B203" s="58">
        <f>IF($L203="","",188)</f>
        <v/>
      </c>
      <c r="C203" s="94">
        <f>IF($L203="","",INDEX(j_Date,MOD($L203,10000)))</f>
        <v/>
      </c>
      <c r="D203" s="58">
        <f>IF($L203="","",INDEX(j_Source,MOD($L203,10000)))</f>
        <v/>
      </c>
      <c r="E203" s="58">
        <f>IF($L203="","",INDEX(j_ID,MOD($L203,10000)))</f>
        <v/>
      </c>
      <c r="F203" s="58">
        <f>IF($L203="","",INDEX(j_Desc,MOD($L203,10000)))</f>
        <v/>
      </c>
      <c r="G203" s="58">
        <f>IF($L203="","",INDEX(j_Party,MOD($L203,10000)))</f>
        <v/>
      </c>
      <c r="H203" s="95">
        <f>IF($L203="","",IF(INDEX(j_DrAcct,MOD($L203,10000))=LedAcct,INDEX(j_DrAmt,MOD($L203,10000)),0)+IF(LedAcct=acctTax,INDEX(j_TaxDr,MOD($L203,10000)),0))</f>
        <v/>
      </c>
      <c r="I203" s="95">
        <f>IF($L203="","",IF(INDEX(j_CrAcct,MOD($L203,10000))=LedAcct,INDEX(j_CrAmt,MOD($L203,10000)),0)+IF(LedAcct=acctTax,INDEX(j_TaxCr,MOD($L203,10000)),0))</f>
        <v/>
      </c>
      <c r="J203" s="95">
        <f>IF($L203="","",N(J202)+LedSign*(H203-I203))</f>
        <v/>
      </c>
      <c r="L203" s="96">
        <f>IFERROR(SMALL(j_Key,188),"")</f>
        <v/>
      </c>
    </row>
    <row r="204">
      <c r="B204" s="58">
        <f>IF($L204="","",189)</f>
        <v/>
      </c>
      <c r="C204" s="94">
        <f>IF($L204="","",INDEX(j_Date,MOD($L204,10000)))</f>
        <v/>
      </c>
      <c r="D204" s="58">
        <f>IF($L204="","",INDEX(j_Source,MOD($L204,10000)))</f>
        <v/>
      </c>
      <c r="E204" s="58">
        <f>IF($L204="","",INDEX(j_ID,MOD($L204,10000)))</f>
        <v/>
      </c>
      <c r="F204" s="58">
        <f>IF($L204="","",INDEX(j_Desc,MOD($L204,10000)))</f>
        <v/>
      </c>
      <c r="G204" s="58">
        <f>IF($L204="","",INDEX(j_Party,MOD($L204,10000)))</f>
        <v/>
      </c>
      <c r="H204" s="95">
        <f>IF($L204="","",IF(INDEX(j_DrAcct,MOD($L204,10000))=LedAcct,INDEX(j_DrAmt,MOD($L204,10000)),0)+IF(LedAcct=acctTax,INDEX(j_TaxDr,MOD($L204,10000)),0))</f>
        <v/>
      </c>
      <c r="I204" s="95">
        <f>IF($L204="","",IF(INDEX(j_CrAcct,MOD($L204,10000))=LedAcct,INDEX(j_CrAmt,MOD($L204,10000)),0)+IF(LedAcct=acctTax,INDEX(j_TaxCr,MOD($L204,10000)),0))</f>
        <v/>
      </c>
      <c r="J204" s="95">
        <f>IF($L204="","",N(J203)+LedSign*(H204-I204))</f>
        <v/>
      </c>
      <c r="L204" s="96">
        <f>IFERROR(SMALL(j_Key,189),"")</f>
        <v/>
      </c>
    </row>
    <row r="205">
      <c r="B205" s="58">
        <f>IF($L205="","",190)</f>
        <v/>
      </c>
      <c r="C205" s="94">
        <f>IF($L205="","",INDEX(j_Date,MOD($L205,10000)))</f>
        <v/>
      </c>
      <c r="D205" s="58">
        <f>IF($L205="","",INDEX(j_Source,MOD($L205,10000)))</f>
        <v/>
      </c>
      <c r="E205" s="58">
        <f>IF($L205="","",INDEX(j_ID,MOD($L205,10000)))</f>
        <v/>
      </c>
      <c r="F205" s="58">
        <f>IF($L205="","",INDEX(j_Desc,MOD($L205,10000)))</f>
        <v/>
      </c>
      <c r="G205" s="58">
        <f>IF($L205="","",INDEX(j_Party,MOD($L205,10000)))</f>
        <v/>
      </c>
      <c r="H205" s="95">
        <f>IF($L205="","",IF(INDEX(j_DrAcct,MOD($L205,10000))=LedAcct,INDEX(j_DrAmt,MOD($L205,10000)),0)+IF(LedAcct=acctTax,INDEX(j_TaxDr,MOD($L205,10000)),0))</f>
        <v/>
      </c>
      <c r="I205" s="95">
        <f>IF($L205="","",IF(INDEX(j_CrAcct,MOD($L205,10000))=LedAcct,INDEX(j_CrAmt,MOD($L205,10000)),0)+IF(LedAcct=acctTax,INDEX(j_TaxCr,MOD($L205,10000)),0))</f>
        <v/>
      </c>
      <c r="J205" s="95">
        <f>IF($L205="","",N(J204)+LedSign*(H205-I205))</f>
        <v/>
      </c>
      <c r="L205" s="96">
        <f>IFERROR(SMALL(j_Key,190),"")</f>
        <v/>
      </c>
    </row>
    <row r="206">
      <c r="B206" s="58">
        <f>IF($L206="","",191)</f>
        <v/>
      </c>
      <c r="C206" s="94">
        <f>IF($L206="","",INDEX(j_Date,MOD($L206,10000)))</f>
        <v/>
      </c>
      <c r="D206" s="58">
        <f>IF($L206="","",INDEX(j_Source,MOD($L206,10000)))</f>
        <v/>
      </c>
      <c r="E206" s="58">
        <f>IF($L206="","",INDEX(j_ID,MOD($L206,10000)))</f>
        <v/>
      </c>
      <c r="F206" s="58">
        <f>IF($L206="","",INDEX(j_Desc,MOD($L206,10000)))</f>
        <v/>
      </c>
      <c r="G206" s="58">
        <f>IF($L206="","",INDEX(j_Party,MOD($L206,10000)))</f>
        <v/>
      </c>
      <c r="H206" s="95">
        <f>IF($L206="","",IF(INDEX(j_DrAcct,MOD($L206,10000))=LedAcct,INDEX(j_DrAmt,MOD($L206,10000)),0)+IF(LedAcct=acctTax,INDEX(j_TaxDr,MOD($L206,10000)),0))</f>
        <v/>
      </c>
      <c r="I206" s="95">
        <f>IF($L206="","",IF(INDEX(j_CrAcct,MOD($L206,10000))=LedAcct,INDEX(j_CrAmt,MOD($L206,10000)),0)+IF(LedAcct=acctTax,INDEX(j_TaxCr,MOD($L206,10000)),0))</f>
        <v/>
      </c>
      <c r="J206" s="95">
        <f>IF($L206="","",N(J205)+LedSign*(H206-I206))</f>
        <v/>
      </c>
      <c r="L206" s="96">
        <f>IFERROR(SMALL(j_Key,191),"")</f>
        <v/>
      </c>
    </row>
    <row r="207">
      <c r="B207" s="58">
        <f>IF($L207="","",192)</f>
        <v/>
      </c>
      <c r="C207" s="94">
        <f>IF($L207="","",INDEX(j_Date,MOD($L207,10000)))</f>
        <v/>
      </c>
      <c r="D207" s="58">
        <f>IF($L207="","",INDEX(j_Source,MOD($L207,10000)))</f>
        <v/>
      </c>
      <c r="E207" s="58">
        <f>IF($L207="","",INDEX(j_ID,MOD($L207,10000)))</f>
        <v/>
      </c>
      <c r="F207" s="58">
        <f>IF($L207="","",INDEX(j_Desc,MOD($L207,10000)))</f>
        <v/>
      </c>
      <c r="G207" s="58">
        <f>IF($L207="","",INDEX(j_Party,MOD($L207,10000)))</f>
        <v/>
      </c>
      <c r="H207" s="95">
        <f>IF($L207="","",IF(INDEX(j_DrAcct,MOD($L207,10000))=LedAcct,INDEX(j_DrAmt,MOD($L207,10000)),0)+IF(LedAcct=acctTax,INDEX(j_TaxDr,MOD($L207,10000)),0))</f>
        <v/>
      </c>
      <c r="I207" s="95">
        <f>IF($L207="","",IF(INDEX(j_CrAcct,MOD($L207,10000))=LedAcct,INDEX(j_CrAmt,MOD($L207,10000)),0)+IF(LedAcct=acctTax,INDEX(j_TaxCr,MOD($L207,10000)),0))</f>
        <v/>
      </c>
      <c r="J207" s="95">
        <f>IF($L207="","",N(J206)+LedSign*(H207-I207))</f>
        <v/>
      </c>
      <c r="L207" s="96">
        <f>IFERROR(SMALL(j_Key,192),"")</f>
        <v/>
      </c>
    </row>
    <row r="208">
      <c r="B208" s="58">
        <f>IF($L208="","",193)</f>
        <v/>
      </c>
      <c r="C208" s="94">
        <f>IF($L208="","",INDEX(j_Date,MOD($L208,10000)))</f>
        <v/>
      </c>
      <c r="D208" s="58">
        <f>IF($L208="","",INDEX(j_Source,MOD($L208,10000)))</f>
        <v/>
      </c>
      <c r="E208" s="58">
        <f>IF($L208="","",INDEX(j_ID,MOD($L208,10000)))</f>
        <v/>
      </c>
      <c r="F208" s="58">
        <f>IF($L208="","",INDEX(j_Desc,MOD($L208,10000)))</f>
        <v/>
      </c>
      <c r="G208" s="58">
        <f>IF($L208="","",INDEX(j_Party,MOD($L208,10000)))</f>
        <v/>
      </c>
      <c r="H208" s="95">
        <f>IF($L208="","",IF(INDEX(j_DrAcct,MOD($L208,10000))=LedAcct,INDEX(j_DrAmt,MOD($L208,10000)),0)+IF(LedAcct=acctTax,INDEX(j_TaxDr,MOD($L208,10000)),0))</f>
        <v/>
      </c>
      <c r="I208" s="95">
        <f>IF($L208="","",IF(INDEX(j_CrAcct,MOD($L208,10000))=LedAcct,INDEX(j_CrAmt,MOD($L208,10000)),0)+IF(LedAcct=acctTax,INDEX(j_TaxCr,MOD($L208,10000)),0))</f>
        <v/>
      </c>
      <c r="J208" s="95">
        <f>IF($L208="","",N(J207)+LedSign*(H208-I208))</f>
        <v/>
      </c>
      <c r="L208" s="96">
        <f>IFERROR(SMALL(j_Key,193),"")</f>
        <v/>
      </c>
    </row>
    <row r="209">
      <c r="B209" s="58">
        <f>IF($L209="","",194)</f>
        <v/>
      </c>
      <c r="C209" s="94">
        <f>IF($L209="","",INDEX(j_Date,MOD($L209,10000)))</f>
        <v/>
      </c>
      <c r="D209" s="58">
        <f>IF($L209="","",INDEX(j_Source,MOD($L209,10000)))</f>
        <v/>
      </c>
      <c r="E209" s="58">
        <f>IF($L209="","",INDEX(j_ID,MOD($L209,10000)))</f>
        <v/>
      </c>
      <c r="F209" s="58">
        <f>IF($L209="","",INDEX(j_Desc,MOD($L209,10000)))</f>
        <v/>
      </c>
      <c r="G209" s="58">
        <f>IF($L209="","",INDEX(j_Party,MOD($L209,10000)))</f>
        <v/>
      </c>
      <c r="H209" s="95">
        <f>IF($L209="","",IF(INDEX(j_DrAcct,MOD($L209,10000))=LedAcct,INDEX(j_DrAmt,MOD($L209,10000)),0)+IF(LedAcct=acctTax,INDEX(j_TaxDr,MOD($L209,10000)),0))</f>
        <v/>
      </c>
      <c r="I209" s="95">
        <f>IF($L209="","",IF(INDEX(j_CrAcct,MOD($L209,10000))=LedAcct,INDEX(j_CrAmt,MOD($L209,10000)),0)+IF(LedAcct=acctTax,INDEX(j_TaxCr,MOD($L209,10000)),0))</f>
        <v/>
      </c>
      <c r="J209" s="95">
        <f>IF($L209="","",N(J208)+LedSign*(H209-I209))</f>
        <v/>
      </c>
      <c r="L209" s="96">
        <f>IFERROR(SMALL(j_Key,194),"")</f>
        <v/>
      </c>
    </row>
    <row r="210">
      <c r="B210" s="58">
        <f>IF($L210="","",195)</f>
        <v/>
      </c>
      <c r="C210" s="94">
        <f>IF($L210="","",INDEX(j_Date,MOD($L210,10000)))</f>
        <v/>
      </c>
      <c r="D210" s="58">
        <f>IF($L210="","",INDEX(j_Source,MOD($L210,10000)))</f>
        <v/>
      </c>
      <c r="E210" s="58">
        <f>IF($L210="","",INDEX(j_ID,MOD($L210,10000)))</f>
        <v/>
      </c>
      <c r="F210" s="58">
        <f>IF($L210="","",INDEX(j_Desc,MOD($L210,10000)))</f>
        <v/>
      </c>
      <c r="G210" s="58">
        <f>IF($L210="","",INDEX(j_Party,MOD($L210,10000)))</f>
        <v/>
      </c>
      <c r="H210" s="95">
        <f>IF($L210="","",IF(INDEX(j_DrAcct,MOD($L210,10000))=LedAcct,INDEX(j_DrAmt,MOD($L210,10000)),0)+IF(LedAcct=acctTax,INDEX(j_TaxDr,MOD($L210,10000)),0))</f>
        <v/>
      </c>
      <c r="I210" s="95">
        <f>IF($L210="","",IF(INDEX(j_CrAcct,MOD($L210,10000))=LedAcct,INDEX(j_CrAmt,MOD($L210,10000)),0)+IF(LedAcct=acctTax,INDEX(j_TaxCr,MOD($L210,10000)),0))</f>
        <v/>
      </c>
      <c r="J210" s="95">
        <f>IF($L210="","",N(J209)+LedSign*(H210-I210))</f>
        <v/>
      </c>
      <c r="L210" s="96">
        <f>IFERROR(SMALL(j_Key,195),"")</f>
        <v/>
      </c>
    </row>
    <row r="211">
      <c r="B211" s="58">
        <f>IF($L211="","",196)</f>
        <v/>
      </c>
      <c r="C211" s="94">
        <f>IF($L211="","",INDEX(j_Date,MOD($L211,10000)))</f>
        <v/>
      </c>
      <c r="D211" s="58">
        <f>IF($L211="","",INDEX(j_Source,MOD($L211,10000)))</f>
        <v/>
      </c>
      <c r="E211" s="58">
        <f>IF($L211="","",INDEX(j_ID,MOD($L211,10000)))</f>
        <v/>
      </c>
      <c r="F211" s="58">
        <f>IF($L211="","",INDEX(j_Desc,MOD($L211,10000)))</f>
        <v/>
      </c>
      <c r="G211" s="58">
        <f>IF($L211="","",INDEX(j_Party,MOD($L211,10000)))</f>
        <v/>
      </c>
      <c r="H211" s="95">
        <f>IF($L211="","",IF(INDEX(j_DrAcct,MOD($L211,10000))=LedAcct,INDEX(j_DrAmt,MOD($L211,10000)),0)+IF(LedAcct=acctTax,INDEX(j_TaxDr,MOD($L211,10000)),0))</f>
        <v/>
      </c>
      <c r="I211" s="95">
        <f>IF($L211="","",IF(INDEX(j_CrAcct,MOD($L211,10000))=LedAcct,INDEX(j_CrAmt,MOD($L211,10000)),0)+IF(LedAcct=acctTax,INDEX(j_TaxCr,MOD($L211,10000)),0))</f>
        <v/>
      </c>
      <c r="J211" s="95">
        <f>IF($L211="","",N(J210)+LedSign*(H211-I211))</f>
        <v/>
      </c>
      <c r="L211" s="96">
        <f>IFERROR(SMALL(j_Key,196),"")</f>
        <v/>
      </c>
    </row>
    <row r="212">
      <c r="B212" s="58">
        <f>IF($L212="","",197)</f>
        <v/>
      </c>
      <c r="C212" s="94">
        <f>IF($L212="","",INDEX(j_Date,MOD($L212,10000)))</f>
        <v/>
      </c>
      <c r="D212" s="58">
        <f>IF($L212="","",INDEX(j_Source,MOD($L212,10000)))</f>
        <v/>
      </c>
      <c r="E212" s="58">
        <f>IF($L212="","",INDEX(j_ID,MOD($L212,10000)))</f>
        <v/>
      </c>
      <c r="F212" s="58">
        <f>IF($L212="","",INDEX(j_Desc,MOD($L212,10000)))</f>
        <v/>
      </c>
      <c r="G212" s="58">
        <f>IF($L212="","",INDEX(j_Party,MOD($L212,10000)))</f>
        <v/>
      </c>
      <c r="H212" s="95">
        <f>IF($L212="","",IF(INDEX(j_DrAcct,MOD($L212,10000))=LedAcct,INDEX(j_DrAmt,MOD($L212,10000)),0)+IF(LedAcct=acctTax,INDEX(j_TaxDr,MOD($L212,10000)),0))</f>
        <v/>
      </c>
      <c r="I212" s="95">
        <f>IF($L212="","",IF(INDEX(j_CrAcct,MOD($L212,10000))=LedAcct,INDEX(j_CrAmt,MOD($L212,10000)),0)+IF(LedAcct=acctTax,INDEX(j_TaxCr,MOD($L212,10000)),0))</f>
        <v/>
      </c>
      <c r="J212" s="95">
        <f>IF($L212="","",N(J211)+LedSign*(H212-I212))</f>
        <v/>
      </c>
      <c r="L212" s="96">
        <f>IFERROR(SMALL(j_Key,197),"")</f>
        <v/>
      </c>
    </row>
    <row r="213">
      <c r="B213" s="58">
        <f>IF($L213="","",198)</f>
        <v/>
      </c>
      <c r="C213" s="94">
        <f>IF($L213="","",INDEX(j_Date,MOD($L213,10000)))</f>
        <v/>
      </c>
      <c r="D213" s="58">
        <f>IF($L213="","",INDEX(j_Source,MOD($L213,10000)))</f>
        <v/>
      </c>
      <c r="E213" s="58">
        <f>IF($L213="","",INDEX(j_ID,MOD($L213,10000)))</f>
        <v/>
      </c>
      <c r="F213" s="58">
        <f>IF($L213="","",INDEX(j_Desc,MOD($L213,10000)))</f>
        <v/>
      </c>
      <c r="G213" s="58">
        <f>IF($L213="","",INDEX(j_Party,MOD($L213,10000)))</f>
        <v/>
      </c>
      <c r="H213" s="95">
        <f>IF($L213="","",IF(INDEX(j_DrAcct,MOD($L213,10000))=LedAcct,INDEX(j_DrAmt,MOD($L213,10000)),0)+IF(LedAcct=acctTax,INDEX(j_TaxDr,MOD($L213,10000)),0))</f>
        <v/>
      </c>
      <c r="I213" s="95">
        <f>IF($L213="","",IF(INDEX(j_CrAcct,MOD($L213,10000))=LedAcct,INDEX(j_CrAmt,MOD($L213,10000)),0)+IF(LedAcct=acctTax,INDEX(j_TaxCr,MOD($L213,10000)),0))</f>
        <v/>
      </c>
      <c r="J213" s="95">
        <f>IF($L213="","",N(J212)+LedSign*(H213-I213))</f>
        <v/>
      </c>
      <c r="L213" s="96">
        <f>IFERROR(SMALL(j_Key,198),"")</f>
        <v/>
      </c>
    </row>
    <row r="214">
      <c r="B214" s="58">
        <f>IF($L214="","",199)</f>
        <v/>
      </c>
      <c r="C214" s="94">
        <f>IF($L214="","",INDEX(j_Date,MOD($L214,10000)))</f>
        <v/>
      </c>
      <c r="D214" s="58">
        <f>IF($L214="","",INDEX(j_Source,MOD($L214,10000)))</f>
        <v/>
      </c>
      <c r="E214" s="58">
        <f>IF($L214="","",INDEX(j_ID,MOD($L214,10000)))</f>
        <v/>
      </c>
      <c r="F214" s="58">
        <f>IF($L214="","",INDEX(j_Desc,MOD($L214,10000)))</f>
        <v/>
      </c>
      <c r="G214" s="58">
        <f>IF($L214="","",INDEX(j_Party,MOD($L214,10000)))</f>
        <v/>
      </c>
      <c r="H214" s="95">
        <f>IF($L214="","",IF(INDEX(j_DrAcct,MOD($L214,10000))=LedAcct,INDEX(j_DrAmt,MOD($L214,10000)),0)+IF(LedAcct=acctTax,INDEX(j_TaxDr,MOD($L214,10000)),0))</f>
        <v/>
      </c>
      <c r="I214" s="95">
        <f>IF($L214="","",IF(INDEX(j_CrAcct,MOD($L214,10000))=LedAcct,INDEX(j_CrAmt,MOD($L214,10000)),0)+IF(LedAcct=acctTax,INDEX(j_TaxCr,MOD($L214,10000)),0))</f>
        <v/>
      </c>
      <c r="J214" s="95">
        <f>IF($L214="","",N(J213)+LedSign*(H214-I214))</f>
        <v/>
      </c>
      <c r="L214" s="96">
        <f>IFERROR(SMALL(j_Key,199),"")</f>
        <v/>
      </c>
    </row>
    <row r="215">
      <c r="B215" s="58">
        <f>IF($L215="","",200)</f>
        <v/>
      </c>
      <c r="C215" s="94">
        <f>IF($L215="","",INDEX(j_Date,MOD($L215,10000)))</f>
        <v/>
      </c>
      <c r="D215" s="58">
        <f>IF($L215="","",INDEX(j_Source,MOD($L215,10000)))</f>
        <v/>
      </c>
      <c r="E215" s="58">
        <f>IF($L215="","",INDEX(j_ID,MOD($L215,10000)))</f>
        <v/>
      </c>
      <c r="F215" s="58">
        <f>IF($L215="","",INDEX(j_Desc,MOD($L215,10000)))</f>
        <v/>
      </c>
      <c r="G215" s="58">
        <f>IF($L215="","",INDEX(j_Party,MOD($L215,10000)))</f>
        <v/>
      </c>
      <c r="H215" s="95">
        <f>IF($L215="","",IF(INDEX(j_DrAcct,MOD($L215,10000))=LedAcct,INDEX(j_DrAmt,MOD($L215,10000)),0)+IF(LedAcct=acctTax,INDEX(j_TaxDr,MOD($L215,10000)),0))</f>
        <v/>
      </c>
      <c r="I215" s="95">
        <f>IF($L215="","",IF(INDEX(j_CrAcct,MOD($L215,10000))=LedAcct,INDEX(j_CrAmt,MOD($L215,10000)),0)+IF(LedAcct=acctTax,INDEX(j_TaxCr,MOD($L215,10000)),0))</f>
        <v/>
      </c>
      <c r="J215" s="95">
        <f>IF($L215="","",N(J214)+LedSign*(H215-I215))</f>
        <v/>
      </c>
      <c r="L215" s="96">
        <f>IFERROR(SMALL(j_Key,200),"")</f>
        <v/>
      </c>
    </row>
    <row r="216">
      <c r="B216" s="58">
        <f>IF($L216="","",201)</f>
        <v/>
      </c>
      <c r="C216" s="94">
        <f>IF($L216="","",INDEX(j_Date,MOD($L216,10000)))</f>
        <v/>
      </c>
      <c r="D216" s="58">
        <f>IF($L216="","",INDEX(j_Source,MOD($L216,10000)))</f>
        <v/>
      </c>
      <c r="E216" s="58">
        <f>IF($L216="","",INDEX(j_ID,MOD($L216,10000)))</f>
        <v/>
      </c>
      <c r="F216" s="58">
        <f>IF($L216="","",INDEX(j_Desc,MOD($L216,10000)))</f>
        <v/>
      </c>
      <c r="G216" s="58">
        <f>IF($L216="","",INDEX(j_Party,MOD($L216,10000)))</f>
        <v/>
      </c>
      <c r="H216" s="95">
        <f>IF($L216="","",IF(INDEX(j_DrAcct,MOD($L216,10000))=LedAcct,INDEX(j_DrAmt,MOD($L216,10000)),0)+IF(LedAcct=acctTax,INDEX(j_TaxDr,MOD($L216,10000)),0))</f>
        <v/>
      </c>
      <c r="I216" s="95">
        <f>IF($L216="","",IF(INDEX(j_CrAcct,MOD($L216,10000))=LedAcct,INDEX(j_CrAmt,MOD($L216,10000)),0)+IF(LedAcct=acctTax,INDEX(j_TaxCr,MOD($L216,10000)),0))</f>
        <v/>
      </c>
      <c r="J216" s="95">
        <f>IF($L216="","",N(J215)+LedSign*(H216-I216))</f>
        <v/>
      </c>
      <c r="L216" s="96">
        <f>IFERROR(SMALL(j_Key,201),"")</f>
        <v/>
      </c>
    </row>
    <row r="217">
      <c r="B217" s="58">
        <f>IF($L217="","",202)</f>
        <v/>
      </c>
      <c r="C217" s="94">
        <f>IF($L217="","",INDEX(j_Date,MOD($L217,10000)))</f>
        <v/>
      </c>
      <c r="D217" s="58">
        <f>IF($L217="","",INDEX(j_Source,MOD($L217,10000)))</f>
        <v/>
      </c>
      <c r="E217" s="58">
        <f>IF($L217="","",INDEX(j_ID,MOD($L217,10000)))</f>
        <v/>
      </c>
      <c r="F217" s="58">
        <f>IF($L217="","",INDEX(j_Desc,MOD($L217,10000)))</f>
        <v/>
      </c>
      <c r="G217" s="58">
        <f>IF($L217="","",INDEX(j_Party,MOD($L217,10000)))</f>
        <v/>
      </c>
      <c r="H217" s="95">
        <f>IF($L217="","",IF(INDEX(j_DrAcct,MOD($L217,10000))=LedAcct,INDEX(j_DrAmt,MOD($L217,10000)),0)+IF(LedAcct=acctTax,INDEX(j_TaxDr,MOD($L217,10000)),0))</f>
        <v/>
      </c>
      <c r="I217" s="95">
        <f>IF($L217="","",IF(INDEX(j_CrAcct,MOD($L217,10000))=LedAcct,INDEX(j_CrAmt,MOD($L217,10000)),0)+IF(LedAcct=acctTax,INDEX(j_TaxCr,MOD($L217,10000)),0))</f>
        <v/>
      </c>
      <c r="J217" s="95">
        <f>IF($L217="","",N(J216)+LedSign*(H217-I217))</f>
        <v/>
      </c>
      <c r="L217" s="96">
        <f>IFERROR(SMALL(j_Key,202),"")</f>
        <v/>
      </c>
    </row>
    <row r="218">
      <c r="B218" s="58">
        <f>IF($L218="","",203)</f>
        <v/>
      </c>
      <c r="C218" s="94">
        <f>IF($L218="","",INDEX(j_Date,MOD($L218,10000)))</f>
        <v/>
      </c>
      <c r="D218" s="58">
        <f>IF($L218="","",INDEX(j_Source,MOD($L218,10000)))</f>
        <v/>
      </c>
      <c r="E218" s="58">
        <f>IF($L218="","",INDEX(j_ID,MOD($L218,10000)))</f>
        <v/>
      </c>
      <c r="F218" s="58">
        <f>IF($L218="","",INDEX(j_Desc,MOD($L218,10000)))</f>
        <v/>
      </c>
      <c r="G218" s="58">
        <f>IF($L218="","",INDEX(j_Party,MOD($L218,10000)))</f>
        <v/>
      </c>
      <c r="H218" s="95">
        <f>IF($L218="","",IF(INDEX(j_DrAcct,MOD($L218,10000))=LedAcct,INDEX(j_DrAmt,MOD($L218,10000)),0)+IF(LedAcct=acctTax,INDEX(j_TaxDr,MOD($L218,10000)),0))</f>
        <v/>
      </c>
      <c r="I218" s="95">
        <f>IF($L218="","",IF(INDEX(j_CrAcct,MOD($L218,10000))=LedAcct,INDEX(j_CrAmt,MOD($L218,10000)),0)+IF(LedAcct=acctTax,INDEX(j_TaxCr,MOD($L218,10000)),0))</f>
        <v/>
      </c>
      <c r="J218" s="95">
        <f>IF($L218="","",N(J217)+LedSign*(H218-I218))</f>
        <v/>
      </c>
      <c r="L218" s="96">
        <f>IFERROR(SMALL(j_Key,203),"")</f>
        <v/>
      </c>
    </row>
    <row r="219">
      <c r="B219" s="58">
        <f>IF($L219="","",204)</f>
        <v/>
      </c>
      <c r="C219" s="94">
        <f>IF($L219="","",INDEX(j_Date,MOD($L219,10000)))</f>
        <v/>
      </c>
      <c r="D219" s="58">
        <f>IF($L219="","",INDEX(j_Source,MOD($L219,10000)))</f>
        <v/>
      </c>
      <c r="E219" s="58">
        <f>IF($L219="","",INDEX(j_ID,MOD($L219,10000)))</f>
        <v/>
      </c>
      <c r="F219" s="58">
        <f>IF($L219="","",INDEX(j_Desc,MOD($L219,10000)))</f>
        <v/>
      </c>
      <c r="G219" s="58">
        <f>IF($L219="","",INDEX(j_Party,MOD($L219,10000)))</f>
        <v/>
      </c>
      <c r="H219" s="95">
        <f>IF($L219="","",IF(INDEX(j_DrAcct,MOD($L219,10000))=LedAcct,INDEX(j_DrAmt,MOD($L219,10000)),0)+IF(LedAcct=acctTax,INDEX(j_TaxDr,MOD($L219,10000)),0))</f>
        <v/>
      </c>
      <c r="I219" s="95">
        <f>IF($L219="","",IF(INDEX(j_CrAcct,MOD($L219,10000))=LedAcct,INDEX(j_CrAmt,MOD($L219,10000)),0)+IF(LedAcct=acctTax,INDEX(j_TaxCr,MOD($L219,10000)),0))</f>
        <v/>
      </c>
      <c r="J219" s="95">
        <f>IF($L219="","",N(J218)+LedSign*(H219-I219))</f>
        <v/>
      </c>
      <c r="L219" s="96">
        <f>IFERROR(SMALL(j_Key,204),"")</f>
        <v/>
      </c>
    </row>
    <row r="220">
      <c r="B220" s="58">
        <f>IF($L220="","",205)</f>
        <v/>
      </c>
      <c r="C220" s="94">
        <f>IF($L220="","",INDEX(j_Date,MOD($L220,10000)))</f>
        <v/>
      </c>
      <c r="D220" s="58">
        <f>IF($L220="","",INDEX(j_Source,MOD($L220,10000)))</f>
        <v/>
      </c>
      <c r="E220" s="58">
        <f>IF($L220="","",INDEX(j_ID,MOD($L220,10000)))</f>
        <v/>
      </c>
      <c r="F220" s="58">
        <f>IF($L220="","",INDEX(j_Desc,MOD($L220,10000)))</f>
        <v/>
      </c>
      <c r="G220" s="58">
        <f>IF($L220="","",INDEX(j_Party,MOD($L220,10000)))</f>
        <v/>
      </c>
      <c r="H220" s="95">
        <f>IF($L220="","",IF(INDEX(j_DrAcct,MOD($L220,10000))=LedAcct,INDEX(j_DrAmt,MOD($L220,10000)),0)+IF(LedAcct=acctTax,INDEX(j_TaxDr,MOD($L220,10000)),0))</f>
        <v/>
      </c>
      <c r="I220" s="95">
        <f>IF($L220="","",IF(INDEX(j_CrAcct,MOD($L220,10000))=LedAcct,INDEX(j_CrAmt,MOD($L220,10000)),0)+IF(LedAcct=acctTax,INDEX(j_TaxCr,MOD($L220,10000)),0))</f>
        <v/>
      </c>
      <c r="J220" s="95">
        <f>IF($L220="","",N(J219)+LedSign*(H220-I220))</f>
        <v/>
      </c>
      <c r="L220" s="96">
        <f>IFERROR(SMALL(j_Key,205),"")</f>
        <v/>
      </c>
    </row>
    <row r="221">
      <c r="B221" s="58">
        <f>IF($L221="","",206)</f>
        <v/>
      </c>
      <c r="C221" s="94">
        <f>IF($L221="","",INDEX(j_Date,MOD($L221,10000)))</f>
        <v/>
      </c>
      <c r="D221" s="58">
        <f>IF($L221="","",INDEX(j_Source,MOD($L221,10000)))</f>
        <v/>
      </c>
      <c r="E221" s="58">
        <f>IF($L221="","",INDEX(j_ID,MOD($L221,10000)))</f>
        <v/>
      </c>
      <c r="F221" s="58">
        <f>IF($L221="","",INDEX(j_Desc,MOD($L221,10000)))</f>
        <v/>
      </c>
      <c r="G221" s="58">
        <f>IF($L221="","",INDEX(j_Party,MOD($L221,10000)))</f>
        <v/>
      </c>
      <c r="H221" s="95">
        <f>IF($L221="","",IF(INDEX(j_DrAcct,MOD($L221,10000))=LedAcct,INDEX(j_DrAmt,MOD($L221,10000)),0)+IF(LedAcct=acctTax,INDEX(j_TaxDr,MOD($L221,10000)),0))</f>
        <v/>
      </c>
      <c r="I221" s="95">
        <f>IF($L221="","",IF(INDEX(j_CrAcct,MOD($L221,10000))=LedAcct,INDEX(j_CrAmt,MOD($L221,10000)),0)+IF(LedAcct=acctTax,INDEX(j_TaxCr,MOD($L221,10000)),0))</f>
        <v/>
      </c>
      <c r="J221" s="95">
        <f>IF($L221="","",N(J220)+LedSign*(H221-I221))</f>
        <v/>
      </c>
      <c r="L221" s="96">
        <f>IFERROR(SMALL(j_Key,206),"")</f>
        <v/>
      </c>
    </row>
    <row r="222">
      <c r="B222" s="58">
        <f>IF($L222="","",207)</f>
        <v/>
      </c>
      <c r="C222" s="94">
        <f>IF($L222="","",INDEX(j_Date,MOD($L222,10000)))</f>
        <v/>
      </c>
      <c r="D222" s="58">
        <f>IF($L222="","",INDEX(j_Source,MOD($L222,10000)))</f>
        <v/>
      </c>
      <c r="E222" s="58">
        <f>IF($L222="","",INDEX(j_ID,MOD($L222,10000)))</f>
        <v/>
      </c>
      <c r="F222" s="58">
        <f>IF($L222="","",INDEX(j_Desc,MOD($L222,10000)))</f>
        <v/>
      </c>
      <c r="G222" s="58">
        <f>IF($L222="","",INDEX(j_Party,MOD($L222,10000)))</f>
        <v/>
      </c>
      <c r="H222" s="95">
        <f>IF($L222="","",IF(INDEX(j_DrAcct,MOD($L222,10000))=LedAcct,INDEX(j_DrAmt,MOD($L222,10000)),0)+IF(LedAcct=acctTax,INDEX(j_TaxDr,MOD($L222,10000)),0))</f>
        <v/>
      </c>
      <c r="I222" s="95">
        <f>IF($L222="","",IF(INDEX(j_CrAcct,MOD($L222,10000))=LedAcct,INDEX(j_CrAmt,MOD($L222,10000)),0)+IF(LedAcct=acctTax,INDEX(j_TaxCr,MOD($L222,10000)),0))</f>
        <v/>
      </c>
      <c r="J222" s="95">
        <f>IF($L222="","",N(J221)+LedSign*(H222-I222))</f>
        <v/>
      </c>
      <c r="L222" s="96">
        <f>IFERROR(SMALL(j_Key,207),"")</f>
        <v/>
      </c>
    </row>
    <row r="223">
      <c r="B223" s="58">
        <f>IF($L223="","",208)</f>
        <v/>
      </c>
      <c r="C223" s="94">
        <f>IF($L223="","",INDEX(j_Date,MOD($L223,10000)))</f>
        <v/>
      </c>
      <c r="D223" s="58">
        <f>IF($L223="","",INDEX(j_Source,MOD($L223,10000)))</f>
        <v/>
      </c>
      <c r="E223" s="58">
        <f>IF($L223="","",INDEX(j_ID,MOD($L223,10000)))</f>
        <v/>
      </c>
      <c r="F223" s="58">
        <f>IF($L223="","",INDEX(j_Desc,MOD($L223,10000)))</f>
        <v/>
      </c>
      <c r="G223" s="58">
        <f>IF($L223="","",INDEX(j_Party,MOD($L223,10000)))</f>
        <v/>
      </c>
      <c r="H223" s="95">
        <f>IF($L223="","",IF(INDEX(j_DrAcct,MOD($L223,10000))=LedAcct,INDEX(j_DrAmt,MOD($L223,10000)),0)+IF(LedAcct=acctTax,INDEX(j_TaxDr,MOD($L223,10000)),0))</f>
        <v/>
      </c>
      <c r="I223" s="95">
        <f>IF($L223="","",IF(INDEX(j_CrAcct,MOD($L223,10000))=LedAcct,INDEX(j_CrAmt,MOD($L223,10000)),0)+IF(LedAcct=acctTax,INDEX(j_TaxCr,MOD($L223,10000)),0))</f>
        <v/>
      </c>
      <c r="J223" s="95">
        <f>IF($L223="","",N(J222)+LedSign*(H223-I223))</f>
        <v/>
      </c>
      <c r="L223" s="96">
        <f>IFERROR(SMALL(j_Key,208),"")</f>
        <v/>
      </c>
    </row>
    <row r="224">
      <c r="B224" s="58">
        <f>IF($L224="","",209)</f>
        <v/>
      </c>
      <c r="C224" s="94">
        <f>IF($L224="","",INDEX(j_Date,MOD($L224,10000)))</f>
        <v/>
      </c>
      <c r="D224" s="58">
        <f>IF($L224="","",INDEX(j_Source,MOD($L224,10000)))</f>
        <v/>
      </c>
      <c r="E224" s="58">
        <f>IF($L224="","",INDEX(j_ID,MOD($L224,10000)))</f>
        <v/>
      </c>
      <c r="F224" s="58">
        <f>IF($L224="","",INDEX(j_Desc,MOD($L224,10000)))</f>
        <v/>
      </c>
      <c r="G224" s="58">
        <f>IF($L224="","",INDEX(j_Party,MOD($L224,10000)))</f>
        <v/>
      </c>
      <c r="H224" s="95">
        <f>IF($L224="","",IF(INDEX(j_DrAcct,MOD($L224,10000))=LedAcct,INDEX(j_DrAmt,MOD($L224,10000)),0)+IF(LedAcct=acctTax,INDEX(j_TaxDr,MOD($L224,10000)),0))</f>
        <v/>
      </c>
      <c r="I224" s="95">
        <f>IF($L224="","",IF(INDEX(j_CrAcct,MOD($L224,10000))=LedAcct,INDEX(j_CrAmt,MOD($L224,10000)),0)+IF(LedAcct=acctTax,INDEX(j_TaxCr,MOD($L224,10000)),0))</f>
        <v/>
      </c>
      <c r="J224" s="95">
        <f>IF($L224="","",N(J223)+LedSign*(H224-I224))</f>
        <v/>
      </c>
      <c r="L224" s="96">
        <f>IFERROR(SMALL(j_Key,209),"")</f>
        <v/>
      </c>
    </row>
    <row r="225">
      <c r="B225" s="58">
        <f>IF($L225="","",210)</f>
        <v/>
      </c>
      <c r="C225" s="94">
        <f>IF($L225="","",INDEX(j_Date,MOD($L225,10000)))</f>
        <v/>
      </c>
      <c r="D225" s="58">
        <f>IF($L225="","",INDEX(j_Source,MOD($L225,10000)))</f>
        <v/>
      </c>
      <c r="E225" s="58">
        <f>IF($L225="","",INDEX(j_ID,MOD($L225,10000)))</f>
        <v/>
      </c>
      <c r="F225" s="58">
        <f>IF($L225="","",INDEX(j_Desc,MOD($L225,10000)))</f>
        <v/>
      </c>
      <c r="G225" s="58">
        <f>IF($L225="","",INDEX(j_Party,MOD($L225,10000)))</f>
        <v/>
      </c>
      <c r="H225" s="95">
        <f>IF($L225="","",IF(INDEX(j_DrAcct,MOD($L225,10000))=LedAcct,INDEX(j_DrAmt,MOD($L225,10000)),0)+IF(LedAcct=acctTax,INDEX(j_TaxDr,MOD($L225,10000)),0))</f>
        <v/>
      </c>
      <c r="I225" s="95">
        <f>IF($L225="","",IF(INDEX(j_CrAcct,MOD($L225,10000))=LedAcct,INDEX(j_CrAmt,MOD($L225,10000)),0)+IF(LedAcct=acctTax,INDEX(j_TaxCr,MOD($L225,10000)),0))</f>
        <v/>
      </c>
      <c r="J225" s="95">
        <f>IF($L225="","",N(J224)+LedSign*(H225-I225))</f>
        <v/>
      </c>
      <c r="L225" s="96">
        <f>IFERROR(SMALL(j_Key,210),"")</f>
        <v/>
      </c>
    </row>
    <row r="226">
      <c r="B226" s="58">
        <f>IF($L226="","",211)</f>
        <v/>
      </c>
      <c r="C226" s="94">
        <f>IF($L226="","",INDEX(j_Date,MOD($L226,10000)))</f>
        <v/>
      </c>
      <c r="D226" s="58">
        <f>IF($L226="","",INDEX(j_Source,MOD($L226,10000)))</f>
        <v/>
      </c>
      <c r="E226" s="58">
        <f>IF($L226="","",INDEX(j_ID,MOD($L226,10000)))</f>
        <v/>
      </c>
      <c r="F226" s="58">
        <f>IF($L226="","",INDEX(j_Desc,MOD($L226,10000)))</f>
        <v/>
      </c>
      <c r="G226" s="58">
        <f>IF($L226="","",INDEX(j_Party,MOD($L226,10000)))</f>
        <v/>
      </c>
      <c r="H226" s="95">
        <f>IF($L226="","",IF(INDEX(j_DrAcct,MOD($L226,10000))=LedAcct,INDEX(j_DrAmt,MOD($L226,10000)),0)+IF(LedAcct=acctTax,INDEX(j_TaxDr,MOD($L226,10000)),0))</f>
        <v/>
      </c>
      <c r="I226" s="95">
        <f>IF($L226="","",IF(INDEX(j_CrAcct,MOD($L226,10000))=LedAcct,INDEX(j_CrAmt,MOD($L226,10000)),0)+IF(LedAcct=acctTax,INDEX(j_TaxCr,MOD($L226,10000)),0))</f>
        <v/>
      </c>
      <c r="J226" s="95">
        <f>IF($L226="","",N(J225)+LedSign*(H226-I226))</f>
        <v/>
      </c>
      <c r="L226" s="96">
        <f>IFERROR(SMALL(j_Key,211),"")</f>
        <v/>
      </c>
    </row>
    <row r="227">
      <c r="B227" s="58">
        <f>IF($L227="","",212)</f>
        <v/>
      </c>
      <c r="C227" s="94">
        <f>IF($L227="","",INDEX(j_Date,MOD($L227,10000)))</f>
        <v/>
      </c>
      <c r="D227" s="58">
        <f>IF($L227="","",INDEX(j_Source,MOD($L227,10000)))</f>
        <v/>
      </c>
      <c r="E227" s="58">
        <f>IF($L227="","",INDEX(j_ID,MOD($L227,10000)))</f>
        <v/>
      </c>
      <c r="F227" s="58">
        <f>IF($L227="","",INDEX(j_Desc,MOD($L227,10000)))</f>
        <v/>
      </c>
      <c r="G227" s="58">
        <f>IF($L227="","",INDEX(j_Party,MOD($L227,10000)))</f>
        <v/>
      </c>
      <c r="H227" s="95">
        <f>IF($L227="","",IF(INDEX(j_DrAcct,MOD($L227,10000))=LedAcct,INDEX(j_DrAmt,MOD($L227,10000)),0)+IF(LedAcct=acctTax,INDEX(j_TaxDr,MOD($L227,10000)),0))</f>
        <v/>
      </c>
      <c r="I227" s="95">
        <f>IF($L227="","",IF(INDEX(j_CrAcct,MOD($L227,10000))=LedAcct,INDEX(j_CrAmt,MOD($L227,10000)),0)+IF(LedAcct=acctTax,INDEX(j_TaxCr,MOD($L227,10000)),0))</f>
        <v/>
      </c>
      <c r="J227" s="95">
        <f>IF($L227="","",N(J226)+LedSign*(H227-I227))</f>
        <v/>
      </c>
      <c r="L227" s="96">
        <f>IFERROR(SMALL(j_Key,212),"")</f>
        <v/>
      </c>
    </row>
    <row r="228">
      <c r="B228" s="58">
        <f>IF($L228="","",213)</f>
        <v/>
      </c>
      <c r="C228" s="94">
        <f>IF($L228="","",INDEX(j_Date,MOD($L228,10000)))</f>
        <v/>
      </c>
      <c r="D228" s="58">
        <f>IF($L228="","",INDEX(j_Source,MOD($L228,10000)))</f>
        <v/>
      </c>
      <c r="E228" s="58">
        <f>IF($L228="","",INDEX(j_ID,MOD($L228,10000)))</f>
        <v/>
      </c>
      <c r="F228" s="58">
        <f>IF($L228="","",INDEX(j_Desc,MOD($L228,10000)))</f>
        <v/>
      </c>
      <c r="G228" s="58">
        <f>IF($L228="","",INDEX(j_Party,MOD($L228,10000)))</f>
        <v/>
      </c>
      <c r="H228" s="95">
        <f>IF($L228="","",IF(INDEX(j_DrAcct,MOD($L228,10000))=LedAcct,INDEX(j_DrAmt,MOD($L228,10000)),0)+IF(LedAcct=acctTax,INDEX(j_TaxDr,MOD($L228,10000)),0))</f>
        <v/>
      </c>
      <c r="I228" s="95">
        <f>IF($L228="","",IF(INDEX(j_CrAcct,MOD($L228,10000))=LedAcct,INDEX(j_CrAmt,MOD($L228,10000)),0)+IF(LedAcct=acctTax,INDEX(j_TaxCr,MOD($L228,10000)),0))</f>
        <v/>
      </c>
      <c r="J228" s="95">
        <f>IF($L228="","",N(J227)+LedSign*(H228-I228))</f>
        <v/>
      </c>
      <c r="L228" s="96">
        <f>IFERROR(SMALL(j_Key,213),"")</f>
        <v/>
      </c>
    </row>
    <row r="229">
      <c r="B229" s="58">
        <f>IF($L229="","",214)</f>
        <v/>
      </c>
      <c r="C229" s="94">
        <f>IF($L229="","",INDEX(j_Date,MOD($L229,10000)))</f>
        <v/>
      </c>
      <c r="D229" s="58">
        <f>IF($L229="","",INDEX(j_Source,MOD($L229,10000)))</f>
        <v/>
      </c>
      <c r="E229" s="58">
        <f>IF($L229="","",INDEX(j_ID,MOD($L229,10000)))</f>
        <v/>
      </c>
      <c r="F229" s="58">
        <f>IF($L229="","",INDEX(j_Desc,MOD($L229,10000)))</f>
        <v/>
      </c>
      <c r="G229" s="58">
        <f>IF($L229="","",INDEX(j_Party,MOD($L229,10000)))</f>
        <v/>
      </c>
      <c r="H229" s="95">
        <f>IF($L229="","",IF(INDEX(j_DrAcct,MOD($L229,10000))=LedAcct,INDEX(j_DrAmt,MOD($L229,10000)),0)+IF(LedAcct=acctTax,INDEX(j_TaxDr,MOD($L229,10000)),0))</f>
        <v/>
      </c>
      <c r="I229" s="95">
        <f>IF($L229="","",IF(INDEX(j_CrAcct,MOD($L229,10000))=LedAcct,INDEX(j_CrAmt,MOD($L229,10000)),0)+IF(LedAcct=acctTax,INDEX(j_TaxCr,MOD($L229,10000)),0))</f>
        <v/>
      </c>
      <c r="J229" s="95">
        <f>IF($L229="","",N(J228)+LedSign*(H229-I229))</f>
        <v/>
      </c>
      <c r="L229" s="96">
        <f>IFERROR(SMALL(j_Key,214),"")</f>
        <v/>
      </c>
    </row>
    <row r="230">
      <c r="B230" s="58">
        <f>IF($L230="","",215)</f>
        <v/>
      </c>
      <c r="C230" s="94">
        <f>IF($L230="","",INDEX(j_Date,MOD($L230,10000)))</f>
        <v/>
      </c>
      <c r="D230" s="58">
        <f>IF($L230="","",INDEX(j_Source,MOD($L230,10000)))</f>
        <v/>
      </c>
      <c r="E230" s="58">
        <f>IF($L230="","",INDEX(j_ID,MOD($L230,10000)))</f>
        <v/>
      </c>
      <c r="F230" s="58">
        <f>IF($L230="","",INDEX(j_Desc,MOD($L230,10000)))</f>
        <v/>
      </c>
      <c r="G230" s="58">
        <f>IF($L230="","",INDEX(j_Party,MOD($L230,10000)))</f>
        <v/>
      </c>
      <c r="H230" s="95">
        <f>IF($L230="","",IF(INDEX(j_DrAcct,MOD($L230,10000))=LedAcct,INDEX(j_DrAmt,MOD($L230,10000)),0)+IF(LedAcct=acctTax,INDEX(j_TaxDr,MOD($L230,10000)),0))</f>
        <v/>
      </c>
      <c r="I230" s="95">
        <f>IF($L230="","",IF(INDEX(j_CrAcct,MOD($L230,10000))=LedAcct,INDEX(j_CrAmt,MOD($L230,10000)),0)+IF(LedAcct=acctTax,INDEX(j_TaxCr,MOD($L230,10000)),0))</f>
        <v/>
      </c>
      <c r="J230" s="95">
        <f>IF($L230="","",N(J229)+LedSign*(H230-I230))</f>
        <v/>
      </c>
      <c r="L230" s="96">
        <f>IFERROR(SMALL(j_Key,215),"")</f>
        <v/>
      </c>
    </row>
    <row r="231">
      <c r="B231" s="58">
        <f>IF($L231="","",216)</f>
        <v/>
      </c>
      <c r="C231" s="94">
        <f>IF($L231="","",INDEX(j_Date,MOD($L231,10000)))</f>
        <v/>
      </c>
      <c r="D231" s="58">
        <f>IF($L231="","",INDEX(j_Source,MOD($L231,10000)))</f>
        <v/>
      </c>
      <c r="E231" s="58">
        <f>IF($L231="","",INDEX(j_ID,MOD($L231,10000)))</f>
        <v/>
      </c>
      <c r="F231" s="58">
        <f>IF($L231="","",INDEX(j_Desc,MOD($L231,10000)))</f>
        <v/>
      </c>
      <c r="G231" s="58">
        <f>IF($L231="","",INDEX(j_Party,MOD($L231,10000)))</f>
        <v/>
      </c>
      <c r="H231" s="95">
        <f>IF($L231="","",IF(INDEX(j_DrAcct,MOD($L231,10000))=LedAcct,INDEX(j_DrAmt,MOD($L231,10000)),0)+IF(LedAcct=acctTax,INDEX(j_TaxDr,MOD($L231,10000)),0))</f>
        <v/>
      </c>
      <c r="I231" s="95">
        <f>IF($L231="","",IF(INDEX(j_CrAcct,MOD($L231,10000))=LedAcct,INDEX(j_CrAmt,MOD($L231,10000)),0)+IF(LedAcct=acctTax,INDEX(j_TaxCr,MOD($L231,10000)),0))</f>
        <v/>
      </c>
      <c r="J231" s="95">
        <f>IF($L231="","",N(J230)+LedSign*(H231-I231))</f>
        <v/>
      </c>
      <c r="L231" s="96">
        <f>IFERROR(SMALL(j_Key,216),"")</f>
        <v/>
      </c>
    </row>
    <row r="232">
      <c r="B232" s="58">
        <f>IF($L232="","",217)</f>
        <v/>
      </c>
      <c r="C232" s="94">
        <f>IF($L232="","",INDEX(j_Date,MOD($L232,10000)))</f>
        <v/>
      </c>
      <c r="D232" s="58">
        <f>IF($L232="","",INDEX(j_Source,MOD($L232,10000)))</f>
        <v/>
      </c>
      <c r="E232" s="58">
        <f>IF($L232="","",INDEX(j_ID,MOD($L232,10000)))</f>
        <v/>
      </c>
      <c r="F232" s="58">
        <f>IF($L232="","",INDEX(j_Desc,MOD($L232,10000)))</f>
        <v/>
      </c>
      <c r="G232" s="58">
        <f>IF($L232="","",INDEX(j_Party,MOD($L232,10000)))</f>
        <v/>
      </c>
      <c r="H232" s="95">
        <f>IF($L232="","",IF(INDEX(j_DrAcct,MOD($L232,10000))=LedAcct,INDEX(j_DrAmt,MOD($L232,10000)),0)+IF(LedAcct=acctTax,INDEX(j_TaxDr,MOD($L232,10000)),0))</f>
        <v/>
      </c>
      <c r="I232" s="95">
        <f>IF($L232="","",IF(INDEX(j_CrAcct,MOD($L232,10000))=LedAcct,INDEX(j_CrAmt,MOD($L232,10000)),0)+IF(LedAcct=acctTax,INDEX(j_TaxCr,MOD($L232,10000)),0))</f>
        <v/>
      </c>
      <c r="J232" s="95">
        <f>IF($L232="","",N(J231)+LedSign*(H232-I232))</f>
        <v/>
      </c>
      <c r="L232" s="96">
        <f>IFERROR(SMALL(j_Key,217),"")</f>
        <v/>
      </c>
    </row>
    <row r="233">
      <c r="B233" s="58">
        <f>IF($L233="","",218)</f>
        <v/>
      </c>
      <c r="C233" s="94">
        <f>IF($L233="","",INDEX(j_Date,MOD($L233,10000)))</f>
        <v/>
      </c>
      <c r="D233" s="58">
        <f>IF($L233="","",INDEX(j_Source,MOD($L233,10000)))</f>
        <v/>
      </c>
      <c r="E233" s="58">
        <f>IF($L233="","",INDEX(j_ID,MOD($L233,10000)))</f>
        <v/>
      </c>
      <c r="F233" s="58">
        <f>IF($L233="","",INDEX(j_Desc,MOD($L233,10000)))</f>
        <v/>
      </c>
      <c r="G233" s="58">
        <f>IF($L233="","",INDEX(j_Party,MOD($L233,10000)))</f>
        <v/>
      </c>
      <c r="H233" s="95">
        <f>IF($L233="","",IF(INDEX(j_DrAcct,MOD($L233,10000))=LedAcct,INDEX(j_DrAmt,MOD($L233,10000)),0)+IF(LedAcct=acctTax,INDEX(j_TaxDr,MOD($L233,10000)),0))</f>
        <v/>
      </c>
      <c r="I233" s="95">
        <f>IF($L233="","",IF(INDEX(j_CrAcct,MOD($L233,10000))=LedAcct,INDEX(j_CrAmt,MOD($L233,10000)),0)+IF(LedAcct=acctTax,INDEX(j_TaxCr,MOD($L233,10000)),0))</f>
        <v/>
      </c>
      <c r="J233" s="95">
        <f>IF($L233="","",N(J232)+LedSign*(H233-I233))</f>
        <v/>
      </c>
      <c r="L233" s="96">
        <f>IFERROR(SMALL(j_Key,218),"")</f>
        <v/>
      </c>
    </row>
    <row r="234">
      <c r="B234" s="58">
        <f>IF($L234="","",219)</f>
        <v/>
      </c>
      <c r="C234" s="94">
        <f>IF($L234="","",INDEX(j_Date,MOD($L234,10000)))</f>
        <v/>
      </c>
      <c r="D234" s="58">
        <f>IF($L234="","",INDEX(j_Source,MOD($L234,10000)))</f>
        <v/>
      </c>
      <c r="E234" s="58">
        <f>IF($L234="","",INDEX(j_ID,MOD($L234,10000)))</f>
        <v/>
      </c>
      <c r="F234" s="58">
        <f>IF($L234="","",INDEX(j_Desc,MOD($L234,10000)))</f>
        <v/>
      </c>
      <c r="G234" s="58">
        <f>IF($L234="","",INDEX(j_Party,MOD($L234,10000)))</f>
        <v/>
      </c>
      <c r="H234" s="95">
        <f>IF($L234="","",IF(INDEX(j_DrAcct,MOD($L234,10000))=LedAcct,INDEX(j_DrAmt,MOD($L234,10000)),0)+IF(LedAcct=acctTax,INDEX(j_TaxDr,MOD($L234,10000)),0))</f>
        <v/>
      </c>
      <c r="I234" s="95">
        <f>IF($L234="","",IF(INDEX(j_CrAcct,MOD($L234,10000))=LedAcct,INDEX(j_CrAmt,MOD($L234,10000)),0)+IF(LedAcct=acctTax,INDEX(j_TaxCr,MOD($L234,10000)),0))</f>
        <v/>
      </c>
      <c r="J234" s="95">
        <f>IF($L234="","",N(J233)+LedSign*(H234-I234))</f>
        <v/>
      </c>
      <c r="L234" s="96">
        <f>IFERROR(SMALL(j_Key,219),"")</f>
        <v/>
      </c>
    </row>
    <row r="235">
      <c r="B235" s="58">
        <f>IF($L235="","",220)</f>
        <v/>
      </c>
      <c r="C235" s="94">
        <f>IF($L235="","",INDEX(j_Date,MOD($L235,10000)))</f>
        <v/>
      </c>
      <c r="D235" s="58">
        <f>IF($L235="","",INDEX(j_Source,MOD($L235,10000)))</f>
        <v/>
      </c>
      <c r="E235" s="58">
        <f>IF($L235="","",INDEX(j_ID,MOD($L235,10000)))</f>
        <v/>
      </c>
      <c r="F235" s="58">
        <f>IF($L235="","",INDEX(j_Desc,MOD($L235,10000)))</f>
        <v/>
      </c>
      <c r="G235" s="58">
        <f>IF($L235="","",INDEX(j_Party,MOD($L235,10000)))</f>
        <v/>
      </c>
      <c r="H235" s="95">
        <f>IF($L235="","",IF(INDEX(j_DrAcct,MOD($L235,10000))=LedAcct,INDEX(j_DrAmt,MOD($L235,10000)),0)+IF(LedAcct=acctTax,INDEX(j_TaxDr,MOD($L235,10000)),0))</f>
        <v/>
      </c>
      <c r="I235" s="95">
        <f>IF($L235="","",IF(INDEX(j_CrAcct,MOD($L235,10000))=LedAcct,INDEX(j_CrAmt,MOD($L235,10000)),0)+IF(LedAcct=acctTax,INDEX(j_TaxCr,MOD($L235,10000)),0))</f>
        <v/>
      </c>
      <c r="J235" s="95">
        <f>IF($L235="","",N(J234)+LedSign*(H235-I235))</f>
        <v/>
      </c>
      <c r="L235" s="96">
        <f>IFERROR(SMALL(j_Key,220),"")</f>
        <v/>
      </c>
    </row>
    <row r="236">
      <c r="B236" s="58">
        <f>IF($L236="","",221)</f>
        <v/>
      </c>
      <c r="C236" s="94">
        <f>IF($L236="","",INDEX(j_Date,MOD($L236,10000)))</f>
        <v/>
      </c>
      <c r="D236" s="58">
        <f>IF($L236="","",INDEX(j_Source,MOD($L236,10000)))</f>
        <v/>
      </c>
      <c r="E236" s="58">
        <f>IF($L236="","",INDEX(j_ID,MOD($L236,10000)))</f>
        <v/>
      </c>
      <c r="F236" s="58">
        <f>IF($L236="","",INDEX(j_Desc,MOD($L236,10000)))</f>
        <v/>
      </c>
      <c r="G236" s="58">
        <f>IF($L236="","",INDEX(j_Party,MOD($L236,10000)))</f>
        <v/>
      </c>
      <c r="H236" s="95">
        <f>IF($L236="","",IF(INDEX(j_DrAcct,MOD($L236,10000))=LedAcct,INDEX(j_DrAmt,MOD($L236,10000)),0)+IF(LedAcct=acctTax,INDEX(j_TaxDr,MOD($L236,10000)),0))</f>
        <v/>
      </c>
      <c r="I236" s="95">
        <f>IF($L236="","",IF(INDEX(j_CrAcct,MOD($L236,10000))=LedAcct,INDEX(j_CrAmt,MOD($L236,10000)),0)+IF(LedAcct=acctTax,INDEX(j_TaxCr,MOD($L236,10000)),0))</f>
        <v/>
      </c>
      <c r="J236" s="95">
        <f>IF($L236="","",N(J235)+LedSign*(H236-I236))</f>
        <v/>
      </c>
      <c r="L236" s="96">
        <f>IFERROR(SMALL(j_Key,221),"")</f>
        <v/>
      </c>
    </row>
    <row r="237">
      <c r="B237" s="58">
        <f>IF($L237="","",222)</f>
        <v/>
      </c>
      <c r="C237" s="94">
        <f>IF($L237="","",INDEX(j_Date,MOD($L237,10000)))</f>
        <v/>
      </c>
      <c r="D237" s="58">
        <f>IF($L237="","",INDEX(j_Source,MOD($L237,10000)))</f>
        <v/>
      </c>
      <c r="E237" s="58">
        <f>IF($L237="","",INDEX(j_ID,MOD($L237,10000)))</f>
        <v/>
      </c>
      <c r="F237" s="58">
        <f>IF($L237="","",INDEX(j_Desc,MOD($L237,10000)))</f>
        <v/>
      </c>
      <c r="G237" s="58">
        <f>IF($L237="","",INDEX(j_Party,MOD($L237,10000)))</f>
        <v/>
      </c>
      <c r="H237" s="95">
        <f>IF($L237="","",IF(INDEX(j_DrAcct,MOD($L237,10000))=LedAcct,INDEX(j_DrAmt,MOD($L237,10000)),0)+IF(LedAcct=acctTax,INDEX(j_TaxDr,MOD($L237,10000)),0))</f>
        <v/>
      </c>
      <c r="I237" s="95">
        <f>IF($L237="","",IF(INDEX(j_CrAcct,MOD($L237,10000))=LedAcct,INDEX(j_CrAmt,MOD($L237,10000)),0)+IF(LedAcct=acctTax,INDEX(j_TaxCr,MOD($L237,10000)),0))</f>
        <v/>
      </c>
      <c r="J237" s="95">
        <f>IF($L237="","",N(J236)+LedSign*(H237-I237))</f>
        <v/>
      </c>
      <c r="L237" s="96">
        <f>IFERROR(SMALL(j_Key,222),"")</f>
        <v/>
      </c>
    </row>
    <row r="238">
      <c r="B238" s="58">
        <f>IF($L238="","",223)</f>
        <v/>
      </c>
      <c r="C238" s="94">
        <f>IF($L238="","",INDEX(j_Date,MOD($L238,10000)))</f>
        <v/>
      </c>
      <c r="D238" s="58">
        <f>IF($L238="","",INDEX(j_Source,MOD($L238,10000)))</f>
        <v/>
      </c>
      <c r="E238" s="58">
        <f>IF($L238="","",INDEX(j_ID,MOD($L238,10000)))</f>
        <v/>
      </c>
      <c r="F238" s="58">
        <f>IF($L238="","",INDEX(j_Desc,MOD($L238,10000)))</f>
        <v/>
      </c>
      <c r="G238" s="58">
        <f>IF($L238="","",INDEX(j_Party,MOD($L238,10000)))</f>
        <v/>
      </c>
      <c r="H238" s="95">
        <f>IF($L238="","",IF(INDEX(j_DrAcct,MOD($L238,10000))=LedAcct,INDEX(j_DrAmt,MOD($L238,10000)),0)+IF(LedAcct=acctTax,INDEX(j_TaxDr,MOD($L238,10000)),0))</f>
        <v/>
      </c>
      <c r="I238" s="95">
        <f>IF($L238="","",IF(INDEX(j_CrAcct,MOD($L238,10000))=LedAcct,INDEX(j_CrAmt,MOD($L238,10000)),0)+IF(LedAcct=acctTax,INDEX(j_TaxCr,MOD($L238,10000)),0))</f>
        <v/>
      </c>
      <c r="J238" s="95">
        <f>IF($L238="","",N(J237)+LedSign*(H238-I238))</f>
        <v/>
      </c>
      <c r="L238" s="96">
        <f>IFERROR(SMALL(j_Key,223),"")</f>
        <v/>
      </c>
    </row>
    <row r="239">
      <c r="B239" s="58">
        <f>IF($L239="","",224)</f>
        <v/>
      </c>
      <c r="C239" s="94">
        <f>IF($L239="","",INDEX(j_Date,MOD($L239,10000)))</f>
        <v/>
      </c>
      <c r="D239" s="58">
        <f>IF($L239="","",INDEX(j_Source,MOD($L239,10000)))</f>
        <v/>
      </c>
      <c r="E239" s="58">
        <f>IF($L239="","",INDEX(j_ID,MOD($L239,10000)))</f>
        <v/>
      </c>
      <c r="F239" s="58">
        <f>IF($L239="","",INDEX(j_Desc,MOD($L239,10000)))</f>
        <v/>
      </c>
      <c r="G239" s="58">
        <f>IF($L239="","",INDEX(j_Party,MOD($L239,10000)))</f>
        <v/>
      </c>
      <c r="H239" s="95">
        <f>IF($L239="","",IF(INDEX(j_DrAcct,MOD($L239,10000))=LedAcct,INDEX(j_DrAmt,MOD($L239,10000)),0)+IF(LedAcct=acctTax,INDEX(j_TaxDr,MOD($L239,10000)),0))</f>
        <v/>
      </c>
      <c r="I239" s="95">
        <f>IF($L239="","",IF(INDEX(j_CrAcct,MOD($L239,10000))=LedAcct,INDEX(j_CrAmt,MOD($L239,10000)),0)+IF(LedAcct=acctTax,INDEX(j_TaxCr,MOD($L239,10000)),0))</f>
        <v/>
      </c>
      <c r="J239" s="95">
        <f>IF($L239="","",N(J238)+LedSign*(H239-I239))</f>
        <v/>
      </c>
      <c r="L239" s="96">
        <f>IFERROR(SMALL(j_Key,224),"")</f>
        <v/>
      </c>
    </row>
    <row r="240">
      <c r="B240" s="58">
        <f>IF($L240="","",225)</f>
        <v/>
      </c>
      <c r="C240" s="94">
        <f>IF($L240="","",INDEX(j_Date,MOD($L240,10000)))</f>
        <v/>
      </c>
      <c r="D240" s="58">
        <f>IF($L240="","",INDEX(j_Source,MOD($L240,10000)))</f>
        <v/>
      </c>
      <c r="E240" s="58">
        <f>IF($L240="","",INDEX(j_ID,MOD($L240,10000)))</f>
        <v/>
      </c>
      <c r="F240" s="58">
        <f>IF($L240="","",INDEX(j_Desc,MOD($L240,10000)))</f>
        <v/>
      </c>
      <c r="G240" s="58">
        <f>IF($L240="","",INDEX(j_Party,MOD($L240,10000)))</f>
        <v/>
      </c>
      <c r="H240" s="95">
        <f>IF($L240="","",IF(INDEX(j_DrAcct,MOD($L240,10000))=LedAcct,INDEX(j_DrAmt,MOD($L240,10000)),0)+IF(LedAcct=acctTax,INDEX(j_TaxDr,MOD($L240,10000)),0))</f>
        <v/>
      </c>
      <c r="I240" s="95">
        <f>IF($L240="","",IF(INDEX(j_CrAcct,MOD($L240,10000))=LedAcct,INDEX(j_CrAmt,MOD($L240,10000)),0)+IF(LedAcct=acctTax,INDEX(j_TaxCr,MOD($L240,10000)),0))</f>
        <v/>
      </c>
      <c r="J240" s="95">
        <f>IF($L240="","",N(J239)+LedSign*(H240-I240))</f>
        <v/>
      </c>
      <c r="L240" s="96">
        <f>IFERROR(SMALL(j_Key,225),"")</f>
        <v/>
      </c>
    </row>
    <row r="241">
      <c r="B241" s="58">
        <f>IF($L241="","",226)</f>
        <v/>
      </c>
      <c r="C241" s="94">
        <f>IF($L241="","",INDEX(j_Date,MOD($L241,10000)))</f>
        <v/>
      </c>
      <c r="D241" s="58">
        <f>IF($L241="","",INDEX(j_Source,MOD($L241,10000)))</f>
        <v/>
      </c>
      <c r="E241" s="58">
        <f>IF($L241="","",INDEX(j_ID,MOD($L241,10000)))</f>
        <v/>
      </c>
      <c r="F241" s="58">
        <f>IF($L241="","",INDEX(j_Desc,MOD($L241,10000)))</f>
        <v/>
      </c>
      <c r="G241" s="58">
        <f>IF($L241="","",INDEX(j_Party,MOD($L241,10000)))</f>
        <v/>
      </c>
      <c r="H241" s="95">
        <f>IF($L241="","",IF(INDEX(j_DrAcct,MOD($L241,10000))=LedAcct,INDEX(j_DrAmt,MOD($L241,10000)),0)+IF(LedAcct=acctTax,INDEX(j_TaxDr,MOD($L241,10000)),0))</f>
        <v/>
      </c>
      <c r="I241" s="95">
        <f>IF($L241="","",IF(INDEX(j_CrAcct,MOD($L241,10000))=LedAcct,INDEX(j_CrAmt,MOD($L241,10000)),0)+IF(LedAcct=acctTax,INDEX(j_TaxCr,MOD($L241,10000)),0))</f>
        <v/>
      </c>
      <c r="J241" s="95">
        <f>IF($L241="","",N(J240)+LedSign*(H241-I241))</f>
        <v/>
      </c>
      <c r="L241" s="96">
        <f>IFERROR(SMALL(j_Key,226),"")</f>
        <v/>
      </c>
    </row>
    <row r="242">
      <c r="B242" s="58">
        <f>IF($L242="","",227)</f>
        <v/>
      </c>
      <c r="C242" s="94">
        <f>IF($L242="","",INDEX(j_Date,MOD($L242,10000)))</f>
        <v/>
      </c>
      <c r="D242" s="58">
        <f>IF($L242="","",INDEX(j_Source,MOD($L242,10000)))</f>
        <v/>
      </c>
      <c r="E242" s="58">
        <f>IF($L242="","",INDEX(j_ID,MOD($L242,10000)))</f>
        <v/>
      </c>
      <c r="F242" s="58">
        <f>IF($L242="","",INDEX(j_Desc,MOD($L242,10000)))</f>
        <v/>
      </c>
      <c r="G242" s="58">
        <f>IF($L242="","",INDEX(j_Party,MOD($L242,10000)))</f>
        <v/>
      </c>
      <c r="H242" s="95">
        <f>IF($L242="","",IF(INDEX(j_DrAcct,MOD($L242,10000))=LedAcct,INDEX(j_DrAmt,MOD($L242,10000)),0)+IF(LedAcct=acctTax,INDEX(j_TaxDr,MOD($L242,10000)),0))</f>
        <v/>
      </c>
      <c r="I242" s="95">
        <f>IF($L242="","",IF(INDEX(j_CrAcct,MOD($L242,10000))=LedAcct,INDEX(j_CrAmt,MOD($L242,10000)),0)+IF(LedAcct=acctTax,INDEX(j_TaxCr,MOD($L242,10000)),0))</f>
        <v/>
      </c>
      <c r="J242" s="95">
        <f>IF($L242="","",N(J241)+LedSign*(H242-I242))</f>
        <v/>
      </c>
      <c r="L242" s="96">
        <f>IFERROR(SMALL(j_Key,227),"")</f>
        <v/>
      </c>
    </row>
    <row r="243">
      <c r="B243" s="58">
        <f>IF($L243="","",228)</f>
        <v/>
      </c>
      <c r="C243" s="94">
        <f>IF($L243="","",INDEX(j_Date,MOD($L243,10000)))</f>
        <v/>
      </c>
      <c r="D243" s="58">
        <f>IF($L243="","",INDEX(j_Source,MOD($L243,10000)))</f>
        <v/>
      </c>
      <c r="E243" s="58">
        <f>IF($L243="","",INDEX(j_ID,MOD($L243,10000)))</f>
        <v/>
      </c>
      <c r="F243" s="58">
        <f>IF($L243="","",INDEX(j_Desc,MOD($L243,10000)))</f>
        <v/>
      </c>
      <c r="G243" s="58">
        <f>IF($L243="","",INDEX(j_Party,MOD($L243,10000)))</f>
        <v/>
      </c>
      <c r="H243" s="95">
        <f>IF($L243="","",IF(INDEX(j_DrAcct,MOD($L243,10000))=LedAcct,INDEX(j_DrAmt,MOD($L243,10000)),0)+IF(LedAcct=acctTax,INDEX(j_TaxDr,MOD($L243,10000)),0))</f>
        <v/>
      </c>
      <c r="I243" s="95">
        <f>IF($L243="","",IF(INDEX(j_CrAcct,MOD($L243,10000))=LedAcct,INDEX(j_CrAmt,MOD($L243,10000)),0)+IF(LedAcct=acctTax,INDEX(j_TaxCr,MOD($L243,10000)),0))</f>
        <v/>
      </c>
      <c r="J243" s="95">
        <f>IF($L243="","",N(J242)+LedSign*(H243-I243))</f>
        <v/>
      </c>
      <c r="L243" s="96">
        <f>IFERROR(SMALL(j_Key,228),"")</f>
        <v/>
      </c>
    </row>
    <row r="244">
      <c r="B244" s="58">
        <f>IF($L244="","",229)</f>
        <v/>
      </c>
      <c r="C244" s="94">
        <f>IF($L244="","",INDEX(j_Date,MOD($L244,10000)))</f>
        <v/>
      </c>
      <c r="D244" s="58">
        <f>IF($L244="","",INDEX(j_Source,MOD($L244,10000)))</f>
        <v/>
      </c>
      <c r="E244" s="58">
        <f>IF($L244="","",INDEX(j_ID,MOD($L244,10000)))</f>
        <v/>
      </c>
      <c r="F244" s="58">
        <f>IF($L244="","",INDEX(j_Desc,MOD($L244,10000)))</f>
        <v/>
      </c>
      <c r="G244" s="58">
        <f>IF($L244="","",INDEX(j_Party,MOD($L244,10000)))</f>
        <v/>
      </c>
      <c r="H244" s="95">
        <f>IF($L244="","",IF(INDEX(j_DrAcct,MOD($L244,10000))=LedAcct,INDEX(j_DrAmt,MOD($L244,10000)),0)+IF(LedAcct=acctTax,INDEX(j_TaxDr,MOD($L244,10000)),0))</f>
        <v/>
      </c>
      <c r="I244" s="95">
        <f>IF($L244="","",IF(INDEX(j_CrAcct,MOD($L244,10000))=LedAcct,INDEX(j_CrAmt,MOD($L244,10000)),0)+IF(LedAcct=acctTax,INDEX(j_TaxCr,MOD($L244,10000)),0))</f>
        <v/>
      </c>
      <c r="J244" s="95">
        <f>IF($L244="","",N(J243)+LedSign*(H244-I244))</f>
        <v/>
      </c>
      <c r="L244" s="96">
        <f>IFERROR(SMALL(j_Key,229),"")</f>
        <v/>
      </c>
    </row>
    <row r="245">
      <c r="B245" s="58">
        <f>IF($L245="","",230)</f>
        <v/>
      </c>
      <c r="C245" s="94">
        <f>IF($L245="","",INDEX(j_Date,MOD($L245,10000)))</f>
        <v/>
      </c>
      <c r="D245" s="58">
        <f>IF($L245="","",INDEX(j_Source,MOD($L245,10000)))</f>
        <v/>
      </c>
      <c r="E245" s="58">
        <f>IF($L245="","",INDEX(j_ID,MOD($L245,10000)))</f>
        <v/>
      </c>
      <c r="F245" s="58">
        <f>IF($L245="","",INDEX(j_Desc,MOD($L245,10000)))</f>
        <v/>
      </c>
      <c r="G245" s="58">
        <f>IF($L245="","",INDEX(j_Party,MOD($L245,10000)))</f>
        <v/>
      </c>
      <c r="H245" s="95">
        <f>IF($L245="","",IF(INDEX(j_DrAcct,MOD($L245,10000))=LedAcct,INDEX(j_DrAmt,MOD($L245,10000)),0)+IF(LedAcct=acctTax,INDEX(j_TaxDr,MOD($L245,10000)),0))</f>
        <v/>
      </c>
      <c r="I245" s="95">
        <f>IF($L245="","",IF(INDEX(j_CrAcct,MOD($L245,10000))=LedAcct,INDEX(j_CrAmt,MOD($L245,10000)),0)+IF(LedAcct=acctTax,INDEX(j_TaxCr,MOD($L245,10000)),0))</f>
        <v/>
      </c>
      <c r="J245" s="95">
        <f>IF($L245="","",N(J244)+LedSign*(H245-I245))</f>
        <v/>
      </c>
      <c r="L245" s="96">
        <f>IFERROR(SMALL(j_Key,230),"")</f>
        <v/>
      </c>
    </row>
    <row r="246">
      <c r="B246" s="58">
        <f>IF($L246="","",231)</f>
        <v/>
      </c>
      <c r="C246" s="94">
        <f>IF($L246="","",INDEX(j_Date,MOD($L246,10000)))</f>
        <v/>
      </c>
      <c r="D246" s="58">
        <f>IF($L246="","",INDEX(j_Source,MOD($L246,10000)))</f>
        <v/>
      </c>
      <c r="E246" s="58">
        <f>IF($L246="","",INDEX(j_ID,MOD($L246,10000)))</f>
        <v/>
      </c>
      <c r="F246" s="58">
        <f>IF($L246="","",INDEX(j_Desc,MOD($L246,10000)))</f>
        <v/>
      </c>
      <c r="G246" s="58">
        <f>IF($L246="","",INDEX(j_Party,MOD($L246,10000)))</f>
        <v/>
      </c>
      <c r="H246" s="95">
        <f>IF($L246="","",IF(INDEX(j_DrAcct,MOD($L246,10000))=LedAcct,INDEX(j_DrAmt,MOD($L246,10000)),0)+IF(LedAcct=acctTax,INDEX(j_TaxDr,MOD($L246,10000)),0))</f>
        <v/>
      </c>
      <c r="I246" s="95">
        <f>IF($L246="","",IF(INDEX(j_CrAcct,MOD($L246,10000))=LedAcct,INDEX(j_CrAmt,MOD($L246,10000)),0)+IF(LedAcct=acctTax,INDEX(j_TaxCr,MOD($L246,10000)),0))</f>
        <v/>
      </c>
      <c r="J246" s="95">
        <f>IF($L246="","",N(J245)+LedSign*(H246-I246))</f>
        <v/>
      </c>
      <c r="L246" s="96">
        <f>IFERROR(SMALL(j_Key,231),"")</f>
        <v/>
      </c>
    </row>
    <row r="247">
      <c r="B247" s="58">
        <f>IF($L247="","",232)</f>
        <v/>
      </c>
      <c r="C247" s="94">
        <f>IF($L247="","",INDEX(j_Date,MOD($L247,10000)))</f>
        <v/>
      </c>
      <c r="D247" s="58">
        <f>IF($L247="","",INDEX(j_Source,MOD($L247,10000)))</f>
        <v/>
      </c>
      <c r="E247" s="58">
        <f>IF($L247="","",INDEX(j_ID,MOD($L247,10000)))</f>
        <v/>
      </c>
      <c r="F247" s="58">
        <f>IF($L247="","",INDEX(j_Desc,MOD($L247,10000)))</f>
        <v/>
      </c>
      <c r="G247" s="58">
        <f>IF($L247="","",INDEX(j_Party,MOD($L247,10000)))</f>
        <v/>
      </c>
      <c r="H247" s="95">
        <f>IF($L247="","",IF(INDEX(j_DrAcct,MOD($L247,10000))=LedAcct,INDEX(j_DrAmt,MOD($L247,10000)),0)+IF(LedAcct=acctTax,INDEX(j_TaxDr,MOD($L247,10000)),0))</f>
        <v/>
      </c>
      <c r="I247" s="95">
        <f>IF($L247="","",IF(INDEX(j_CrAcct,MOD($L247,10000))=LedAcct,INDEX(j_CrAmt,MOD($L247,10000)),0)+IF(LedAcct=acctTax,INDEX(j_TaxCr,MOD($L247,10000)),0))</f>
        <v/>
      </c>
      <c r="J247" s="95">
        <f>IF($L247="","",N(J246)+LedSign*(H247-I247))</f>
        <v/>
      </c>
      <c r="L247" s="96">
        <f>IFERROR(SMALL(j_Key,232),"")</f>
        <v/>
      </c>
    </row>
    <row r="248">
      <c r="B248" s="58">
        <f>IF($L248="","",233)</f>
        <v/>
      </c>
      <c r="C248" s="94">
        <f>IF($L248="","",INDEX(j_Date,MOD($L248,10000)))</f>
        <v/>
      </c>
      <c r="D248" s="58">
        <f>IF($L248="","",INDEX(j_Source,MOD($L248,10000)))</f>
        <v/>
      </c>
      <c r="E248" s="58">
        <f>IF($L248="","",INDEX(j_ID,MOD($L248,10000)))</f>
        <v/>
      </c>
      <c r="F248" s="58">
        <f>IF($L248="","",INDEX(j_Desc,MOD($L248,10000)))</f>
        <v/>
      </c>
      <c r="G248" s="58">
        <f>IF($L248="","",INDEX(j_Party,MOD($L248,10000)))</f>
        <v/>
      </c>
      <c r="H248" s="95">
        <f>IF($L248="","",IF(INDEX(j_DrAcct,MOD($L248,10000))=LedAcct,INDEX(j_DrAmt,MOD($L248,10000)),0)+IF(LedAcct=acctTax,INDEX(j_TaxDr,MOD($L248,10000)),0))</f>
        <v/>
      </c>
      <c r="I248" s="95">
        <f>IF($L248="","",IF(INDEX(j_CrAcct,MOD($L248,10000))=LedAcct,INDEX(j_CrAmt,MOD($L248,10000)),0)+IF(LedAcct=acctTax,INDEX(j_TaxCr,MOD($L248,10000)),0))</f>
        <v/>
      </c>
      <c r="J248" s="95">
        <f>IF($L248="","",N(J247)+LedSign*(H248-I248))</f>
        <v/>
      </c>
      <c r="L248" s="96">
        <f>IFERROR(SMALL(j_Key,233),"")</f>
        <v/>
      </c>
    </row>
    <row r="249">
      <c r="B249" s="58">
        <f>IF($L249="","",234)</f>
        <v/>
      </c>
      <c r="C249" s="94">
        <f>IF($L249="","",INDEX(j_Date,MOD($L249,10000)))</f>
        <v/>
      </c>
      <c r="D249" s="58">
        <f>IF($L249="","",INDEX(j_Source,MOD($L249,10000)))</f>
        <v/>
      </c>
      <c r="E249" s="58">
        <f>IF($L249="","",INDEX(j_ID,MOD($L249,10000)))</f>
        <v/>
      </c>
      <c r="F249" s="58">
        <f>IF($L249="","",INDEX(j_Desc,MOD($L249,10000)))</f>
        <v/>
      </c>
      <c r="G249" s="58">
        <f>IF($L249="","",INDEX(j_Party,MOD($L249,10000)))</f>
        <v/>
      </c>
      <c r="H249" s="95">
        <f>IF($L249="","",IF(INDEX(j_DrAcct,MOD($L249,10000))=LedAcct,INDEX(j_DrAmt,MOD($L249,10000)),0)+IF(LedAcct=acctTax,INDEX(j_TaxDr,MOD($L249,10000)),0))</f>
        <v/>
      </c>
      <c r="I249" s="95">
        <f>IF($L249="","",IF(INDEX(j_CrAcct,MOD($L249,10000))=LedAcct,INDEX(j_CrAmt,MOD($L249,10000)),0)+IF(LedAcct=acctTax,INDEX(j_TaxCr,MOD($L249,10000)),0))</f>
        <v/>
      </c>
      <c r="J249" s="95">
        <f>IF($L249="","",N(J248)+LedSign*(H249-I249))</f>
        <v/>
      </c>
      <c r="L249" s="96">
        <f>IFERROR(SMALL(j_Key,234),"")</f>
        <v/>
      </c>
    </row>
    <row r="250">
      <c r="B250" s="58">
        <f>IF($L250="","",235)</f>
        <v/>
      </c>
      <c r="C250" s="94">
        <f>IF($L250="","",INDEX(j_Date,MOD($L250,10000)))</f>
        <v/>
      </c>
      <c r="D250" s="58">
        <f>IF($L250="","",INDEX(j_Source,MOD($L250,10000)))</f>
        <v/>
      </c>
      <c r="E250" s="58">
        <f>IF($L250="","",INDEX(j_ID,MOD($L250,10000)))</f>
        <v/>
      </c>
      <c r="F250" s="58">
        <f>IF($L250="","",INDEX(j_Desc,MOD($L250,10000)))</f>
        <v/>
      </c>
      <c r="G250" s="58">
        <f>IF($L250="","",INDEX(j_Party,MOD($L250,10000)))</f>
        <v/>
      </c>
      <c r="H250" s="95">
        <f>IF($L250="","",IF(INDEX(j_DrAcct,MOD($L250,10000))=LedAcct,INDEX(j_DrAmt,MOD($L250,10000)),0)+IF(LedAcct=acctTax,INDEX(j_TaxDr,MOD($L250,10000)),0))</f>
        <v/>
      </c>
      <c r="I250" s="95">
        <f>IF($L250="","",IF(INDEX(j_CrAcct,MOD($L250,10000))=LedAcct,INDEX(j_CrAmt,MOD($L250,10000)),0)+IF(LedAcct=acctTax,INDEX(j_TaxCr,MOD($L250,10000)),0))</f>
        <v/>
      </c>
      <c r="J250" s="95">
        <f>IF($L250="","",N(J249)+LedSign*(H250-I250))</f>
        <v/>
      </c>
      <c r="L250" s="96">
        <f>IFERROR(SMALL(j_Key,235),"")</f>
        <v/>
      </c>
    </row>
    <row r="251">
      <c r="B251" s="58">
        <f>IF($L251="","",236)</f>
        <v/>
      </c>
      <c r="C251" s="94">
        <f>IF($L251="","",INDEX(j_Date,MOD($L251,10000)))</f>
        <v/>
      </c>
      <c r="D251" s="58">
        <f>IF($L251="","",INDEX(j_Source,MOD($L251,10000)))</f>
        <v/>
      </c>
      <c r="E251" s="58">
        <f>IF($L251="","",INDEX(j_ID,MOD($L251,10000)))</f>
        <v/>
      </c>
      <c r="F251" s="58">
        <f>IF($L251="","",INDEX(j_Desc,MOD($L251,10000)))</f>
        <v/>
      </c>
      <c r="G251" s="58">
        <f>IF($L251="","",INDEX(j_Party,MOD($L251,10000)))</f>
        <v/>
      </c>
      <c r="H251" s="95">
        <f>IF($L251="","",IF(INDEX(j_DrAcct,MOD($L251,10000))=LedAcct,INDEX(j_DrAmt,MOD($L251,10000)),0)+IF(LedAcct=acctTax,INDEX(j_TaxDr,MOD($L251,10000)),0))</f>
        <v/>
      </c>
      <c r="I251" s="95">
        <f>IF($L251="","",IF(INDEX(j_CrAcct,MOD($L251,10000))=LedAcct,INDEX(j_CrAmt,MOD($L251,10000)),0)+IF(LedAcct=acctTax,INDEX(j_TaxCr,MOD($L251,10000)),0))</f>
        <v/>
      </c>
      <c r="J251" s="95">
        <f>IF($L251="","",N(J250)+LedSign*(H251-I251))</f>
        <v/>
      </c>
      <c r="L251" s="96">
        <f>IFERROR(SMALL(j_Key,236),"")</f>
        <v/>
      </c>
    </row>
    <row r="252">
      <c r="B252" s="58">
        <f>IF($L252="","",237)</f>
        <v/>
      </c>
      <c r="C252" s="94">
        <f>IF($L252="","",INDEX(j_Date,MOD($L252,10000)))</f>
        <v/>
      </c>
      <c r="D252" s="58">
        <f>IF($L252="","",INDEX(j_Source,MOD($L252,10000)))</f>
        <v/>
      </c>
      <c r="E252" s="58">
        <f>IF($L252="","",INDEX(j_ID,MOD($L252,10000)))</f>
        <v/>
      </c>
      <c r="F252" s="58">
        <f>IF($L252="","",INDEX(j_Desc,MOD($L252,10000)))</f>
        <v/>
      </c>
      <c r="G252" s="58">
        <f>IF($L252="","",INDEX(j_Party,MOD($L252,10000)))</f>
        <v/>
      </c>
      <c r="H252" s="95">
        <f>IF($L252="","",IF(INDEX(j_DrAcct,MOD($L252,10000))=LedAcct,INDEX(j_DrAmt,MOD($L252,10000)),0)+IF(LedAcct=acctTax,INDEX(j_TaxDr,MOD($L252,10000)),0))</f>
        <v/>
      </c>
      <c r="I252" s="95">
        <f>IF($L252="","",IF(INDEX(j_CrAcct,MOD($L252,10000))=LedAcct,INDEX(j_CrAmt,MOD($L252,10000)),0)+IF(LedAcct=acctTax,INDEX(j_TaxCr,MOD($L252,10000)),0))</f>
        <v/>
      </c>
      <c r="J252" s="95">
        <f>IF($L252="","",N(J251)+LedSign*(H252-I252))</f>
        <v/>
      </c>
      <c r="L252" s="96">
        <f>IFERROR(SMALL(j_Key,237),"")</f>
        <v/>
      </c>
    </row>
    <row r="253">
      <c r="B253" s="58">
        <f>IF($L253="","",238)</f>
        <v/>
      </c>
      <c r="C253" s="94">
        <f>IF($L253="","",INDEX(j_Date,MOD($L253,10000)))</f>
        <v/>
      </c>
      <c r="D253" s="58">
        <f>IF($L253="","",INDEX(j_Source,MOD($L253,10000)))</f>
        <v/>
      </c>
      <c r="E253" s="58">
        <f>IF($L253="","",INDEX(j_ID,MOD($L253,10000)))</f>
        <v/>
      </c>
      <c r="F253" s="58">
        <f>IF($L253="","",INDEX(j_Desc,MOD($L253,10000)))</f>
        <v/>
      </c>
      <c r="G253" s="58">
        <f>IF($L253="","",INDEX(j_Party,MOD($L253,10000)))</f>
        <v/>
      </c>
      <c r="H253" s="95">
        <f>IF($L253="","",IF(INDEX(j_DrAcct,MOD($L253,10000))=LedAcct,INDEX(j_DrAmt,MOD($L253,10000)),0)+IF(LedAcct=acctTax,INDEX(j_TaxDr,MOD($L253,10000)),0))</f>
        <v/>
      </c>
      <c r="I253" s="95">
        <f>IF($L253="","",IF(INDEX(j_CrAcct,MOD($L253,10000))=LedAcct,INDEX(j_CrAmt,MOD($L253,10000)),0)+IF(LedAcct=acctTax,INDEX(j_TaxCr,MOD($L253,10000)),0))</f>
        <v/>
      </c>
      <c r="J253" s="95">
        <f>IF($L253="","",N(J252)+LedSign*(H253-I253))</f>
        <v/>
      </c>
      <c r="L253" s="96">
        <f>IFERROR(SMALL(j_Key,238),"")</f>
        <v/>
      </c>
    </row>
    <row r="254">
      <c r="B254" s="58">
        <f>IF($L254="","",239)</f>
        <v/>
      </c>
      <c r="C254" s="94">
        <f>IF($L254="","",INDEX(j_Date,MOD($L254,10000)))</f>
        <v/>
      </c>
      <c r="D254" s="58">
        <f>IF($L254="","",INDEX(j_Source,MOD($L254,10000)))</f>
        <v/>
      </c>
      <c r="E254" s="58">
        <f>IF($L254="","",INDEX(j_ID,MOD($L254,10000)))</f>
        <v/>
      </c>
      <c r="F254" s="58">
        <f>IF($L254="","",INDEX(j_Desc,MOD($L254,10000)))</f>
        <v/>
      </c>
      <c r="G254" s="58">
        <f>IF($L254="","",INDEX(j_Party,MOD($L254,10000)))</f>
        <v/>
      </c>
      <c r="H254" s="95">
        <f>IF($L254="","",IF(INDEX(j_DrAcct,MOD($L254,10000))=LedAcct,INDEX(j_DrAmt,MOD($L254,10000)),0)+IF(LedAcct=acctTax,INDEX(j_TaxDr,MOD($L254,10000)),0))</f>
        <v/>
      </c>
      <c r="I254" s="95">
        <f>IF($L254="","",IF(INDEX(j_CrAcct,MOD($L254,10000))=LedAcct,INDEX(j_CrAmt,MOD($L254,10000)),0)+IF(LedAcct=acctTax,INDEX(j_TaxCr,MOD($L254,10000)),0))</f>
        <v/>
      </c>
      <c r="J254" s="95">
        <f>IF($L254="","",N(J253)+LedSign*(H254-I254))</f>
        <v/>
      </c>
      <c r="L254" s="96">
        <f>IFERROR(SMALL(j_Key,239),"")</f>
        <v/>
      </c>
    </row>
    <row r="255">
      <c r="B255" s="58">
        <f>IF($L255="","",240)</f>
        <v/>
      </c>
      <c r="C255" s="94">
        <f>IF($L255="","",INDEX(j_Date,MOD($L255,10000)))</f>
        <v/>
      </c>
      <c r="D255" s="58">
        <f>IF($L255="","",INDEX(j_Source,MOD($L255,10000)))</f>
        <v/>
      </c>
      <c r="E255" s="58">
        <f>IF($L255="","",INDEX(j_ID,MOD($L255,10000)))</f>
        <v/>
      </c>
      <c r="F255" s="58">
        <f>IF($L255="","",INDEX(j_Desc,MOD($L255,10000)))</f>
        <v/>
      </c>
      <c r="G255" s="58">
        <f>IF($L255="","",INDEX(j_Party,MOD($L255,10000)))</f>
        <v/>
      </c>
      <c r="H255" s="95">
        <f>IF($L255="","",IF(INDEX(j_DrAcct,MOD($L255,10000))=LedAcct,INDEX(j_DrAmt,MOD($L255,10000)),0)+IF(LedAcct=acctTax,INDEX(j_TaxDr,MOD($L255,10000)),0))</f>
        <v/>
      </c>
      <c r="I255" s="95">
        <f>IF($L255="","",IF(INDEX(j_CrAcct,MOD($L255,10000))=LedAcct,INDEX(j_CrAmt,MOD($L255,10000)),0)+IF(LedAcct=acctTax,INDEX(j_TaxCr,MOD($L255,10000)),0))</f>
        <v/>
      </c>
      <c r="J255" s="95">
        <f>IF($L255="","",N(J254)+LedSign*(H255-I255))</f>
        <v/>
      </c>
      <c r="L255" s="96">
        <f>IFERROR(SMALL(j_Key,240),"")</f>
        <v/>
      </c>
    </row>
    <row r="256">
      <c r="B256" s="58">
        <f>IF($L256="","",241)</f>
        <v/>
      </c>
      <c r="C256" s="94">
        <f>IF($L256="","",INDEX(j_Date,MOD($L256,10000)))</f>
        <v/>
      </c>
      <c r="D256" s="58">
        <f>IF($L256="","",INDEX(j_Source,MOD($L256,10000)))</f>
        <v/>
      </c>
      <c r="E256" s="58">
        <f>IF($L256="","",INDEX(j_ID,MOD($L256,10000)))</f>
        <v/>
      </c>
      <c r="F256" s="58">
        <f>IF($L256="","",INDEX(j_Desc,MOD($L256,10000)))</f>
        <v/>
      </c>
      <c r="G256" s="58">
        <f>IF($L256="","",INDEX(j_Party,MOD($L256,10000)))</f>
        <v/>
      </c>
      <c r="H256" s="95">
        <f>IF($L256="","",IF(INDEX(j_DrAcct,MOD($L256,10000))=LedAcct,INDEX(j_DrAmt,MOD($L256,10000)),0)+IF(LedAcct=acctTax,INDEX(j_TaxDr,MOD($L256,10000)),0))</f>
        <v/>
      </c>
      <c r="I256" s="95">
        <f>IF($L256="","",IF(INDEX(j_CrAcct,MOD($L256,10000))=LedAcct,INDEX(j_CrAmt,MOD($L256,10000)),0)+IF(LedAcct=acctTax,INDEX(j_TaxCr,MOD($L256,10000)),0))</f>
        <v/>
      </c>
      <c r="J256" s="95">
        <f>IF($L256="","",N(J255)+LedSign*(H256-I256))</f>
        <v/>
      </c>
      <c r="L256" s="96">
        <f>IFERROR(SMALL(j_Key,241),"")</f>
        <v/>
      </c>
    </row>
    <row r="257">
      <c r="B257" s="58">
        <f>IF($L257="","",242)</f>
        <v/>
      </c>
      <c r="C257" s="94">
        <f>IF($L257="","",INDEX(j_Date,MOD($L257,10000)))</f>
        <v/>
      </c>
      <c r="D257" s="58">
        <f>IF($L257="","",INDEX(j_Source,MOD($L257,10000)))</f>
        <v/>
      </c>
      <c r="E257" s="58">
        <f>IF($L257="","",INDEX(j_ID,MOD($L257,10000)))</f>
        <v/>
      </c>
      <c r="F257" s="58">
        <f>IF($L257="","",INDEX(j_Desc,MOD($L257,10000)))</f>
        <v/>
      </c>
      <c r="G257" s="58">
        <f>IF($L257="","",INDEX(j_Party,MOD($L257,10000)))</f>
        <v/>
      </c>
      <c r="H257" s="95">
        <f>IF($L257="","",IF(INDEX(j_DrAcct,MOD($L257,10000))=LedAcct,INDEX(j_DrAmt,MOD($L257,10000)),0)+IF(LedAcct=acctTax,INDEX(j_TaxDr,MOD($L257,10000)),0))</f>
        <v/>
      </c>
      <c r="I257" s="95">
        <f>IF($L257="","",IF(INDEX(j_CrAcct,MOD($L257,10000))=LedAcct,INDEX(j_CrAmt,MOD($L257,10000)),0)+IF(LedAcct=acctTax,INDEX(j_TaxCr,MOD($L257,10000)),0))</f>
        <v/>
      </c>
      <c r="J257" s="95">
        <f>IF($L257="","",N(J256)+LedSign*(H257-I257))</f>
        <v/>
      </c>
      <c r="L257" s="96">
        <f>IFERROR(SMALL(j_Key,242),"")</f>
        <v/>
      </c>
    </row>
    <row r="258">
      <c r="B258" s="58">
        <f>IF($L258="","",243)</f>
        <v/>
      </c>
      <c r="C258" s="94">
        <f>IF($L258="","",INDEX(j_Date,MOD($L258,10000)))</f>
        <v/>
      </c>
      <c r="D258" s="58">
        <f>IF($L258="","",INDEX(j_Source,MOD($L258,10000)))</f>
        <v/>
      </c>
      <c r="E258" s="58">
        <f>IF($L258="","",INDEX(j_ID,MOD($L258,10000)))</f>
        <v/>
      </c>
      <c r="F258" s="58">
        <f>IF($L258="","",INDEX(j_Desc,MOD($L258,10000)))</f>
        <v/>
      </c>
      <c r="G258" s="58">
        <f>IF($L258="","",INDEX(j_Party,MOD($L258,10000)))</f>
        <v/>
      </c>
      <c r="H258" s="95">
        <f>IF($L258="","",IF(INDEX(j_DrAcct,MOD($L258,10000))=LedAcct,INDEX(j_DrAmt,MOD($L258,10000)),0)+IF(LedAcct=acctTax,INDEX(j_TaxDr,MOD($L258,10000)),0))</f>
        <v/>
      </c>
      <c r="I258" s="95">
        <f>IF($L258="","",IF(INDEX(j_CrAcct,MOD($L258,10000))=LedAcct,INDEX(j_CrAmt,MOD($L258,10000)),0)+IF(LedAcct=acctTax,INDEX(j_TaxCr,MOD($L258,10000)),0))</f>
        <v/>
      </c>
      <c r="J258" s="95">
        <f>IF($L258="","",N(J257)+LedSign*(H258-I258))</f>
        <v/>
      </c>
      <c r="L258" s="96">
        <f>IFERROR(SMALL(j_Key,243),"")</f>
        <v/>
      </c>
    </row>
    <row r="259">
      <c r="B259" s="58">
        <f>IF($L259="","",244)</f>
        <v/>
      </c>
      <c r="C259" s="94">
        <f>IF($L259="","",INDEX(j_Date,MOD($L259,10000)))</f>
        <v/>
      </c>
      <c r="D259" s="58">
        <f>IF($L259="","",INDEX(j_Source,MOD($L259,10000)))</f>
        <v/>
      </c>
      <c r="E259" s="58">
        <f>IF($L259="","",INDEX(j_ID,MOD($L259,10000)))</f>
        <v/>
      </c>
      <c r="F259" s="58">
        <f>IF($L259="","",INDEX(j_Desc,MOD($L259,10000)))</f>
        <v/>
      </c>
      <c r="G259" s="58">
        <f>IF($L259="","",INDEX(j_Party,MOD($L259,10000)))</f>
        <v/>
      </c>
      <c r="H259" s="95">
        <f>IF($L259="","",IF(INDEX(j_DrAcct,MOD($L259,10000))=LedAcct,INDEX(j_DrAmt,MOD($L259,10000)),0)+IF(LedAcct=acctTax,INDEX(j_TaxDr,MOD($L259,10000)),0))</f>
        <v/>
      </c>
      <c r="I259" s="95">
        <f>IF($L259="","",IF(INDEX(j_CrAcct,MOD($L259,10000))=LedAcct,INDEX(j_CrAmt,MOD($L259,10000)),0)+IF(LedAcct=acctTax,INDEX(j_TaxCr,MOD($L259,10000)),0))</f>
        <v/>
      </c>
      <c r="J259" s="95">
        <f>IF($L259="","",N(J258)+LedSign*(H259-I259))</f>
        <v/>
      </c>
      <c r="L259" s="96">
        <f>IFERROR(SMALL(j_Key,244),"")</f>
        <v/>
      </c>
    </row>
    <row r="260">
      <c r="B260" s="58">
        <f>IF($L260="","",245)</f>
        <v/>
      </c>
      <c r="C260" s="94">
        <f>IF($L260="","",INDEX(j_Date,MOD($L260,10000)))</f>
        <v/>
      </c>
      <c r="D260" s="58">
        <f>IF($L260="","",INDEX(j_Source,MOD($L260,10000)))</f>
        <v/>
      </c>
      <c r="E260" s="58">
        <f>IF($L260="","",INDEX(j_ID,MOD($L260,10000)))</f>
        <v/>
      </c>
      <c r="F260" s="58">
        <f>IF($L260="","",INDEX(j_Desc,MOD($L260,10000)))</f>
        <v/>
      </c>
      <c r="G260" s="58">
        <f>IF($L260="","",INDEX(j_Party,MOD($L260,10000)))</f>
        <v/>
      </c>
      <c r="H260" s="95">
        <f>IF($L260="","",IF(INDEX(j_DrAcct,MOD($L260,10000))=LedAcct,INDEX(j_DrAmt,MOD($L260,10000)),0)+IF(LedAcct=acctTax,INDEX(j_TaxDr,MOD($L260,10000)),0))</f>
        <v/>
      </c>
      <c r="I260" s="95">
        <f>IF($L260="","",IF(INDEX(j_CrAcct,MOD($L260,10000))=LedAcct,INDEX(j_CrAmt,MOD($L260,10000)),0)+IF(LedAcct=acctTax,INDEX(j_TaxCr,MOD($L260,10000)),0))</f>
        <v/>
      </c>
      <c r="J260" s="95">
        <f>IF($L260="","",N(J259)+LedSign*(H260-I260))</f>
        <v/>
      </c>
      <c r="L260" s="96">
        <f>IFERROR(SMALL(j_Key,245),"")</f>
        <v/>
      </c>
    </row>
    <row r="261">
      <c r="B261" s="58">
        <f>IF($L261="","",246)</f>
        <v/>
      </c>
      <c r="C261" s="94">
        <f>IF($L261="","",INDEX(j_Date,MOD($L261,10000)))</f>
        <v/>
      </c>
      <c r="D261" s="58">
        <f>IF($L261="","",INDEX(j_Source,MOD($L261,10000)))</f>
        <v/>
      </c>
      <c r="E261" s="58">
        <f>IF($L261="","",INDEX(j_ID,MOD($L261,10000)))</f>
        <v/>
      </c>
      <c r="F261" s="58">
        <f>IF($L261="","",INDEX(j_Desc,MOD($L261,10000)))</f>
        <v/>
      </c>
      <c r="G261" s="58">
        <f>IF($L261="","",INDEX(j_Party,MOD($L261,10000)))</f>
        <v/>
      </c>
      <c r="H261" s="95">
        <f>IF($L261="","",IF(INDEX(j_DrAcct,MOD($L261,10000))=LedAcct,INDEX(j_DrAmt,MOD($L261,10000)),0)+IF(LedAcct=acctTax,INDEX(j_TaxDr,MOD($L261,10000)),0))</f>
        <v/>
      </c>
      <c r="I261" s="95">
        <f>IF($L261="","",IF(INDEX(j_CrAcct,MOD($L261,10000))=LedAcct,INDEX(j_CrAmt,MOD($L261,10000)),0)+IF(LedAcct=acctTax,INDEX(j_TaxCr,MOD($L261,10000)),0))</f>
        <v/>
      </c>
      <c r="J261" s="95">
        <f>IF($L261="","",N(J260)+LedSign*(H261-I261))</f>
        <v/>
      </c>
      <c r="L261" s="96">
        <f>IFERROR(SMALL(j_Key,246),"")</f>
        <v/>
      </c>
    </row>
    <row r="262">
      <c r="B262" s="58">
        <f>IF($L262="","",247)</f>
        <v/>
      </c>
      <c r="C262" s="94">
        <f>IF($L262="","",INDEX(j_Date,MOD($L262,10000)))</f>
        <v/>
      </c>
      <c r="D262" s="58">
        <f>IF($L262="","",INDEX(j_Source,MOD($L262,10000)))</f>
        <v/>
      </c>
      <c r="E262" s="58">
        <f>IF($L262="","",INDEX(j_ID,MOD($L262,10000)))</f>
        <v/>
      </c>
      <c r="F262" s="58">
        <f>IF($L262="","",INDEX(j_Desc,MOD($L262,10000)))</f>
        <v/>
      </c>
      <c r="G262" s="58">
        <f>IF($L262="","",INDEX(j_Party,MOD($L262,10000)))</f>
        <v/>
      </c>
      <c r="H262" s="95">
        <f>IF($L262="","",IF(INDEX(j_DrAcct,MOD($L262,10000))=LedAcct,INDEX(j_DrAmt,MOD($L262,10000)),0)+IF(LedAcct=acctTax,INDEX(j_TaxDr,MOD($L262,10000)),0))</f>
        <v/>
      </c>
      <c r="I262" s="95">
        <f>IF($L262="","",IF(INDEX(j_CrAcct,MOD($L262,10000))=LedAcct,INDEX(j_CrAmt,MOD($L262,10000)),0)+IF(LedAcct=acctTax,INDEX(j_TaxCr,MOD($L262,10000)),0))</f>
        <v/>
      </c>
      <c r="J262" s="95">
        <f>IF($L262="","",N(J261)+LedSign*(H262-I262))</f>
        <v/>
      </c>
      <c r="L262" s="96">
        <f>IFERROR(SMALL(j_Key,247),"")</f>
        <v/>
      </c>
    </row>
    <row r="263">
      <c r="B263" s="58">
        <f>IF($L263="","",248)</f>
        <v/>
      </c>
      <c r="C263" s="94">
        <f>IF($L263="","",INDEX(j_Date,MOD($L263,10000)))</f>
        <v/>
      </c>
      <c r="D263" s="58">
        <f>IF($L263="","",INDEX(j_Source,MOD($L263,10000)))</f>
        <v/>
      </c>
      <c r="E263" s="58">
        <f>IF($L263="","",INDEX(j_ID,MOD($L263,10000)))</f>
        <v/>
      </c>
      <c r="F263" s="58">
        <f>IF($L263="","",INDEX(j_Desc,MOD($L263,10000)))</f>
        <v/>
      </c>
      <c r="G263" s="58">
        <f>IF($L263="","",INDEX(j_Party,MOD($L263,10000)))</f>
        <v/>
      </c>
      <c r="H263" s="95">
        <f>IF($L263="","",IF(INDEX(j_DrAcct,MOD($L263,10000))=LedAcct,INDEX(j_DrAmt,MOD($L263,10000)),0)+IF(LedAcct=acctTax,INDEX(j_TaxDr,MOD($L263,10000)),0))</f>
        <v/>
      </c>
      <c r="I263" s="95">
        <f>IF($L263="","",IF(INDEX(j_CrAcct,MOD($L263,10000))=LedAcct,INDEX(j_CrAmt,MOD($L263,10000)),0)+IF(LedAcct=acctTax,INDEX(j_TaxCr,MOD($L263,10000)),0))</f>
        <v/>
      </c>
      <c r="J263" s="95">
        <f>IF($L263="","",N(J262)+LedSign*(H263-I263))</f>
        <v/>
      </c>
      <c r="L263" s="96">
        <f>IFERROR(SMALL(j_Key,248),"")</f>
        <v/>
      </c>
    </row>
    <row r="264">
      <c r="B264" s="58">
        <f>IF($L264="","",249)</f>
        <v/>
      </c>
      <c r="C264" s="94">
        <f>IF($L264="","",INDEX(j_Date,MOD($L264,10000)))</f>
        <v/>
      </c>
      <c r="D264" s="58">
        <f>IF($L264="","",INDEX(j_Source,MOD($L264,10000)))</f>
        <v/>
      </c>
      <c r="E264" s="58">
        <f>IF($L264="","",INDEX(j_ID,MOD($L264,10000)))</f>
        <v/>
      </c>
      <c r="F264" s="58">
        <f>IF($L264="","",INDEX(j_Desc,MOD($L264,10000)))</f>
        <v/>
      </c>
      <c r="G264" s="58">
        <f>IF($L264="","",INDEX(j_Party,MOD($L264,10000)))</f>
        <v/>
      </c>
      <c r="H264" s="95">
        <f>IF($L264="","",IF(INDEX(j_DrAcct,MOD($L264,10000))=LedAcct,INDEX(j_DrAmt,MOD($L264,10000)),0)+IF(LedAcct=acctTax,INDEX(j_TaxDr,MOD($L264,10000)),0))</f>
        <v/>
      </c>
      <c r="I264" s="95">
        <f>IF($L264="","",IF(INDEX(j_CrAcct,MOD($L264,10000))=LedAcct,INDEX(j_CrAmt,MOD($L264,10000)),0)+IF(LedAcct=acctTax,INDEX(j_TaxCr,MOD($L264,10000)),0))</f>
        <v/>
      </c>
      <c r="J264" s="95">
        <f>IF($L264="","",N(J263)+LedSign*(H264-I264))</f>
        <v/>
      </c>
      <c r="L264" s="96">
        <f>IFERROR(SMALL(j_Key,249),"")</f>
        <v/>
      </c>
    </row>
    <row r="265">
      <c r="B265" s="58">
        <f>IF($L265="","",250)</f>
        <v/>
      </c>
      <c r="C265" s="94">
        <f>IF($L265="","",INDEX(j_Date,MOD($L265,10000)))</f>
        <v/>
      </c>
      <c r="D265" s="58">
        <f>IF($L265="","",INDEX(j_Source,MOD($L265,10000)))</f>
        <v/>
      </c>
      <c r="E265" s="58">
        <f>IF($L265="","",INDEX(j_ID,MOD($L265,10000)))</f>
        <v/>
      </c>
      <c r="F265" s="58">
        <f>IF($L265="","",INDEX(j_Desc,MOD($L265,10000)))</f>
        <v/>
      </c>
      <c r="G265" s="58">
        <f>IF($L265="","",INDEX(j_Party,MOD($L265,10000)))</f>
        <v/>
      </c>
      <c r="H265" s="95">
        <f>IF($L265="","",IF(INDEX(j_DrAcct,MOD($L265,10000))=LedAcct,INDEX(j_DrAmt,MOD($L265,10000)),0)+IF(LedAcct=acctTax,INDEX(j_TaxDr,MOD($L265,10000)),0))</f>
        <v/>
      </c>
      <c r="I265" s="95">
        <f>IF($L265="","",IF(INDEX(j_CrAcct,MOD($L265,10000))=LedAcct,INDEX(j_CrAmt,MOD($L265,10000)),0)+IF(LedAcct=acctTax,INDEX(j_TaxCr,MOD($L265,10000)),0))</f>
        <v/>
      </c>
      <c r="J265" s="95">
        <f>IF($L265="","",N(J264)+LedSign*(H265-I265))</f>
        <v/>
      </c>
      <c r="L265" s="96">
        <f>IFERROR(SMALL(j_Key,250),"")</f>
        <v/>
      </c>
    </row>
    <row r="266">
      <c r="B266" s="58">
        <f>IF($L266="","",251)</f>
        <v/>
      </c>
      <c r="C266" s="94">
        <f>IF($L266="","",INDEX(j_Date,MOD($L266,10000)))</f>
        <v/>
      </c>
      <c r="D266" s="58">
        <f>IF($L266="","",INDEX(j_Source,MOD($L266,10000)))</f>
        <v/>
      </c>
      <c r="E266" s="58">
        <f>IF($L266="","",INDEX(j_ID,MOD($L266,10000)))</f>
        <v/>
      </c>
      <c r="F266" s="58">
        <f>IF($L266="","",INDEX(j_Desc,MOD($L266,10000)))</f>
        <v/>
      </c>
      <c r="G266" s="58">
        <f>IF($L266="","",INDEX(j_Party,MOD($L266,10000)))</f>
        <v/>
      </c>
      <c r="H266" s="95">
        <f>IF($L266="","",IF(INDEX(j_DrAcct,MOD($L266,10000))=LedAcct,INDEX(j_DrAmt,MOD($L266,10000)),0)+IF(LedAcct=acctTax,INDEX(j_TaxDr,MOD($L266,10000)),0))</f>
        <v/>
      </c>
      <c r="I266" s="95">
        <f>IF($L266="","",IF(INDEX(j_CrAcct,MOD($L266,10000))=LedAcct,INDEX(j_CrAmt,MOD($L266,10000)),0)+IF(LedAcct=acctTax,INDEX(j_TaxCr,MOD($L266,10000)),0))</f>
        <v/>
      </c>
      <c r="J266" s="95">
        <f>IF($L266="","",N(J265)+LedSign*(H266-I266))</f>
        <v/>
      </c>
      <c r="L266" s="96">
        <f>IFERROR(SMALL(j_Key,251),"")</f>
        <v/>
      </c>
    </row>
    <row r="267">
      <c r="B267" s="58">
        <f>IF($L267="","",252)</f>
        <v/>
      </c>
      <c r="C267" s="94">
        <f>IF($L267="","",INDEX(j_Date,MOD($L267,10000)))</f>
        <v/>
      </c>
      <c r="D267" s="58">
        <f>IF($L267="","",INDEX(j_Source,MOD($L267,10000)))</f>
        <v/>
      </c>
      <c r="E267" s="58">
        <f>IF($L267="","",INDEX(j_ID,MOD($L267,10000)))</f>
        <v/>
      </c>
      <c r="F267" s="58">
        <f>IF($L267="","",INDEX(j_Desc,MOD($L267,10000)))</f>
        <v/>
      </c>
      <c r="G267" s="58">
        <f>IF($L267="","",INDEX(j_Party,MOD($L267,10000)))</f>
        <v/>
      </c>
      <c r="H267" s="95">
        <f>IF($L267="","",IF(INDEX(j_DrAcct,MOD($L267,10000))=LedAcct,INDEX(j_DrAmt,MOD($L267,10000)),0)+IF(LedAcct=acctTax,INDEX(j_TaxDr,MOD($L267,10000)),0))</f>
        <v/>
      </c>
      <c r="I267" s="95">
        <f>IF($L267="","",IF(INDEX(j_CrAcct,MOD($L267,10000))=LedAcct,INDEX(j_CrAmt,MOD($L267,10000)),0)+IF(LedAcct=acctTax,INDEX(j_TaxCr,MOD($L267,10000)),0))</f>
        <v/>
      </c>
      <c r="J267" s="95">
        <f>IF($L267="","",N(J266)+LedSign*(H267-I267))</f>
        <v/>
      </c>
      <c r="L267" s="96">
        <f>IFERROR(SMALL(j_Key,252),"")</f>
        <v/>
      </c>
    </row>
    <row r="268">
      <c r="B268" s="58">
        <f>IF($L268="","",253)</f>
        <v/>
      </c>
      <c r="C268" s="94">
        <f>IF($L268="","",INDEX(j_Date,MOD($L268,10000)))</f>
        <v/>
      </c>
      <c r="D268" s="58">
        <f>IF($L268="","",INDEX(j_Source,MOD($L268,10000)))</f>
        <v/>
      </c>
      <c r="E268" s="58">
        <f>IF($L268="","",INDEX(j_ID,MOD($L268,10000)))</f>
        <v/>
      </c>
      <c r="F268" s="58">
        <f>IF($L268="","",INDEX(j_Desc,MOD($L268,10000)))</f>
        <v/>
      </c>
      <c r="G268" s="58">
        <f>IF($L268="","",INDEX(j_Party,MOD($L268,10000)))</f>
        <v/>
      </c>
      <c r="H268" s="95">
        <f>IF($L268="","",IF(INDEX(j_DrAcct,MOD($L268,10000))=LedAcct,INDEX(j_DrAmt,MOD($L268,10000)),0)+IF(LedAcct=acctTax,INDEX(j_TaxDr,MOD($L268,10000)),0))</f>
        <v/>
      </c>
      <c r="I268" s="95">
        <f>IF($L268="","",IF(INDEX(j_CrAcct,MOD($L268,10000))=LedAcct,INDEX(j_CrAmt,MOD($L268,10000)),0)+IF(LedAcct=acctTax,INDEX(j_TaxCr,MOD($L268,10000)),0))</f>
        <v/>
      </c>
      <c r="J268" s="95">
        <f>IF($L268="","",N(J267)+LedSign*(H268-I268))</f>
        <v/>
      </c>
      <c r="L268" s="96">
        <f>IFERROR(SMALL(j_Key,253),"")</f>
        <v/>
      </c>
    </row>
    <row r="269">
      <c r="B269" s="58">
        <f>IF($L269="","",254)</f>
        <v/>
      </c>
      <c r="C269" s="94">
        <f>IF($L269="","",INDEX(j_Date,MOD($L269,10000)))</f>
        <v/>
      </c>
      <c r="D269" s="58">
        <f>IF($L269="","",INDEX(j_Source,MOD($L269,10000)))</f>
        <v/>
      </c>
      <c r="E269" s="58">
        <f>IF($L269="","",INDEX(j_ID,MOD($L269,10000)))</f>
        <v/>
      </c>
      <c r="F269" s="58">
        <f>IF($L269="","",INDEX(j_Desc,MOD($L269,10000)))</f>
        <v/>
      </c>
      <c r="G269" s="58">
        <f>IF($L269="","",INDEX(j_Party,MOD($L269,10000)))</f>
        <v/>
      </c>
      <c r="H269" s="95">
        <f>IF($L269="","",IF(INDEX(j_DrAcct,MOD($L269,10000))=LedAcct,INDEX(j_DrAmt,MOD($L269,10000)),0)+IF(LedAcct=acctTax,INDEX(j_TaxDr,MOD($L269,10000)),0))</f>
        <v/>
      </c>
      <c r="I269" s="95">
        <f>IF($L269="","",IF(INDEX(j_CrAcct,MOD($L269,10000))=LedAcct,INDEX(j_CrAmt,MOD($L269,10000)),0)+IF(LedAcct=acctTax,INDEX(j_TaxCr,MOD($L269,10000)),0))</f>
        <v/>
      </c>
      <c r="J269" s="95">
        <f>IF($L269="","",N(J268)+LedSign*(H269-I269))</f>
        <v/>
      </c>
      <c r="L269" s="96">
        <f>IFERROR(SMALL(j_Key,254),"")</f>
        <v/>
      </c>
    </row>
    <row r="270">
      <c r="B270" s="58">
        <f>IF($L270="","",255)</f>
        <v/>
      </c>
      <c r="C270" s="94">
        <f>IF($L270="","",INDEX(j_Date,MOD($L270,10000)))</f>
        <v/>
      </c>
      <c r="D270" s="58">
        <f>IF($L270="","",INDEX(j_Source,MOD($L270,10000)))</f>
        <v/>
      </c>
      <c r="E270" s="58">
        <f>IF($L270="","",INDEX(j_ID,MOD($L270,10000)))</f>
        <v/>
      </c>
      <c r="F270" s="58">
        <f>IF($L270="","",INDEX(j_Desc,MOD($L270,10000)))</f>
        <v/>
      </c>
      <c r="G270" s="58">
        <f>IF($L270="","",INDEX(j_Party,MOD($L270,10000)))</f>
        <v/>
      </c>
      <c r="H270" s="95">
        <f>IF($L270="","",IF(INDEX(j_DrAcct,MOD($L270,10000))=LedAcct,INDEX(j_DrAmt,MOD($L270,10000)),0)+IF(LedAcct=acctTax,INDEX(j_TaxDr,MOD($L270,10000)),0))</f>
        <v/>
      </c>
      <c r="I270" s="95">
        <f>IF($L270="","",IF(INDEX(j_CrAcct,MOD($L270,10000))=LedAcct,INDEX(j_CrAmt,MOD($L270,10000)),0)+IF(LedAcct=acctTax,INDEX(j_TaxCr,MOD($L270,10000)),0))</f>
        <v/>
      </c>
      <c r="J270" s="95">
        <f>IF($L270="","",N(J269)+LedSign*(H270-I270))</f>
        <v/>
      </c>
      <c r="L270" s="96">
        <f>IFERROR(SMALL(j_Key,255),"")</f>
        <v/>
      </c>
    </row>
    <row r="271">
      <c r="B271" s="58">
        <f>IF($L271="","",256)</f>
        <v/>
      </c>
      <c r="C271" s="94">
        <f>IF($L271="","",INDEX(j_Date,MOD($L271,10000)))</f>
        <v/>
      </c>
      <c r="D271" s="58">
        <f>IF($L271="","",INDEX(j_Source,MOD($L271,10000)))</f>
        <v/>
      </c>
      <c r="E271" s="58">
        <f>IF($L271="","",INDEX(j_ID,MOD($L271,10000)))</f>
        <v/>
      </c>
      <c r="F271" s="58">
        <f>IF($L271="","",INDEX(j_Desc,MOD($L271,10000)))</f>
        <v/>
      </c>
      <c r="G271" s="58">
        <f>IF($L271="","",INDEX(j_Party,MOD($L271,10000)))</f>
        <v/>
      </c>
      <c r="H271" s="95">
        <f>IF($L271="","",IF(INDEX(j_DrAcct,MOD($L271,10000))=LedAcct,INDEX(j_DrAmt,MOD($L271,10000)),0)+IF(LedAcct=acctTax,INDEX(j_TaxDr,MOD($L271,10000)),0))</f>
        <v/>
      </c>
      <c r="I271" s="95">
        <f>IF($L271="","",IF(INDEX(j_CrAcct,MOD($L271,10000))=LedAcct,INDEX(j_CrAmt,MOD($L271,10000)),0)+IF(LedAcct=acctTax,INDEX(j_TaxCr,MOD($L271,10000)),0))</f>
        <v/>
      </c>
      <c r="J271" s="95">
        <f>IF($L271="","",N(J270)+LedSign*(H271-I271))</f>
        <v/>
      </c>
      <c r="L271" s="96">
        <f>IFERROR(SMALL(j_Key,256),"")</f>
        <v/>
      </c>
    </row>
    <row r="272">
      <c r="B272" s="58">
        <f>IF($L272="","",257)</f>
        <v/>
      </c>
      <c r="C272" s="94">
        <f>IF($L272="","",INDEX(j_Date,MOD($L272,10000)))</f>
        <v/>
      </c>
      <c r="D272" s="58">
        <f>IF($L272="","",INDEX(j_Source,MOD($L272,10000)))</f>
        <v/>
      </c>
      <c r="E272" s="58">
        <f>IF($L272="","",INDEX(j_ID,MOD($L272,10000)))</f>
        <v/>
      </c>
      <c r="F272" s="58">
        <f>IF($L272="","",INDEX(j_Desc,MOD($L272,10000)))</f>
        <v/>
      </c>
      <c r="G272" s="58">
        <f>IF($L272="","",INDEX(j_Party,MOD($L272,10000)))</f>
        <v/>
      </c>
      <c r="H272" s="95">
        <f>IF($L272="","",IF(INDEX(j_DrAcct,MOD($L272,10000))=LedAcct,INDEX(j_DrAmt,MOD($L272,10000)),0)+IF(LedAcct=acctTax,INDEX(j_TaxDr,MOD($L272,10000)),0))</f>
        <v/>
      </c>
      <c r="I272" s="95">
        <f>IF($L272="","",IF(INDEX(j_CrAcct,MOD($L272,10000))=LedAcct,INDEX(j_CrAmt,MOD($L272,10000)),0)+IF(LedAcct=acctTax,INDEX(j_TaxCr,MOD($L272,10000)),0))</f>
        <v/>
      </c>
      <c r="J272" s="95">
        <f>IF($L272="","",N(J271)+LedSign*(H272-I272))</f>
        <v/>
      </c>
      <c r="L272" s="96">
        <f>IFERROR(SMALL(j_Key,257),"")</f>
        <v/>
      </c>
    </row>
    <row r="273">
      <c r="B273" s="58">
        <f>IF($L273="","",258)</f>
        <v/>
      </c>
      <c r="C273" s="94">
        <f>IF($L273="","",INDEX(j_Date,MOD($L273,10000)))</f>
        <v/>
      </c>
      <c r="D273" s="58">
        <f>IF($L273="","",INDEX(j_Source,MOD($L273,10000)))</f>
        <v/>
      </c>
      <c r="E273" s="58">
        <f>IF($L273="","",INDEX(j_ID,MOD($L273,10000)))</f>
        <v/>
      </c>
      <c r="F273" s="58">
        <f>IF($L273="","",INDEX(j_Desc,MOD($L273,10000)))</f>
        <v/>
      </c>
      <c r="G273" s="58">
        <f>IF($L273="","",INDEX(j_Party,MOD($L273,10000)))</f>
        <v/>
      </c>
      <c r="H273" s="95">
        <f>IF($L273="","",IF(INDEX(j_DrAcct,MOD($L273,10000))=LedAcct,INDEX(j_DrAmt,MOD($L273,10000)),0)+IF(LedAcct=acctTax,INDEX(j_TaxDr,MOD($L273,10000)),0))</f>
        <v/>
      </c>
      <c r="I273" s="95">
        <f>IF($L273="","",IF(INDEX(j_CrAcct,MOD($L273,10000))=LedAcct,INDEX(j_CrAmt,MOD($L273,10000)),0)+IF(LedAcct=acctTax,INDEX(j_TaxCr,MOD($L273,10000)),0))</f>
        <v/>
      </c>
      <c r="J273" s="95">
        <f>IF($L273="","",N(J272)+LedSign*(H273-I273))</f>
        <v/>
      </c>
      <c r="L273" s="96">
        <f>IFERROR(SMALL(j_Key,258),"")</f>
        <v/>
      </c>
    </row>
    <row r="274">
      <c r="B274" s="58">
        <f>IF($L274="","",259)</f>
        <v/>
      </c>
      <c r="C274" s="94">
        <f>IF($L274="","",INDEX(j_Date,MOD($L274,10000)))</f>
        <v/>
      </c>
      <c r="D274" s="58">
        <f>IF($L274="","",INDEX(j_Source,MOD($L274,10000)))</f>
        <v/>
      </c>
      <c r="E274" s="58">
        <f>IF($L274="","",INDEX(j_ID,MOD($L274,10000)))</f>
        <v/>
      </c>
      <c r="F274" s="58">
        <f>IF($L274="","",INDEX(j_Desc,MOD($L274,10000)))</f>
        <v/>
      </c>
      <c r="G274" s="58">
        <f>IF($L274="","",INDEX(j_Party,MOD($L274,10000)))</f>
        <v/>
      </c>
      <c r="H274" s="95">
        <f>IF($L274="","",IF(INDEX(j_DrAcct,MOD($L274,10000))=LedAcct,INDEX(j_DrAmt,MOD($L274,10000)),0)+IF(LedAcct=acctTax,INDEX(j_TaxDr,MOD($L274,10000)),0))</f>
        <v/>
      </c>
      <c r="I274" s="95">
        <f>IF($L274="","",IF(INDEX(j_CrAcct,MOD($L274,10000))=LedAcct,INDEX(j_CrAmt,MOD($L274,10000)),0)+IF(LedAcct=acctTax,INDEX(j_TaxCr,MOD($L274,10000)),0))</f>
        <v/>
      </c>
      <c r="J274" s="95">
        <f>IF($L274="","",N(J273)+LedSign*(H274-I274))</f>
        <v/>
      </c>
      <c r="L274" s="96">
        <f>IFERROR(SMALL(j_Key,259),"")</f>
        <v/>
      </c>
    </row>
    <row r="275">
      <c r="B275" s="58">
        <f>IF($L275="","",260)</f>
        <v/>
      </c>
      <c r="C275" s="94">
        <f>IF($L275="","",INDEX(j_Date,MOD($L275,10000)))</f>
        <v/>
      </c>
      <c r="D275" s="58">
        <f>IF($L275="","",INDEX(j_Source,MOD($L275,10000)))</f>
        <v/>
      </c>
      <c r="E275" s="58">
        <f>IF($L275="","",INDEX(j_ID,MOD($L275,10000)))</f>
        <v/>
      </c>
      <c r="F275" s="58">
        <f>IF($L275="","",INDEX(j_Desc,MOD($L275,10000)))</f>
        <v/>
      </c>
      <c r="G275" s="58">
        <f>IF($L275="","",INDEX(j_Party,MOD($L275,10000)))</f>
        <v/>
      </c>
      <c r="H275" s="95">
        <f>IF($L275="","",IF(INDEX(j_DrAcct,MOD($L275,10000))=LedAcct,INDEX(j_DrAmt,MOD($L275,10000)),0)+IF(LedAcct=acctTax,INDEX(j_TaxDr,MOD($L275,10000)),0))</f>
        <v/>
      </c>
      <c r="I275" s="95">
        <f>IF($L275="","",IF(INDEX(j_CrAcct,MOD($L275,10000))=LedAcct,INDEX(j_CrAmt,MOD($L275,10000)),0)+IF(LedAcct=acctTax,INDEX(j_TaxCr,MOD($L275,10000)),0))</f>
        <v/>
      </c>
      <c r="J275" s="95">
        <f>IF($L275="","",N(J274)+LedSign*(H275-I275))</f>
        <v/>
      </c>
      <c r="L275" s="96">
        <f>IFERROR(SMALL(j_Key,260),"")</f>
        <v/>
      </c>
    </row>
    <row r="276">
      <c r="B276" s="58">
        <f>IF($L276="","",261)</f>
        <v/>
      </c>
      <c r="C276" s="94">
        <f>IF($L276="","",INDEX(j_Date,MOD($L276,10000)))</f>
        <v/>
      </c>
      <c r="D276" s="58">
        <f>IF($L276="","",INDEX(j_Source,MOD($L276,10000)))</f>
        <v/>
      </c>
      <c r="E276" s="58">
        <f>IF($L276="","",INDEX(j_ID,MOD($L276,10000)))</f>
        <v/>
      </c>
      <c r="F276" s="58">
        <f>IF($L276="","",INDEX(j_Desc,MOD($L276,10000)))</f>
        <v/>
      </c>
      <c r="G276" s="58">
        <f>IF($L276="","",INDEX(j_Party,MOD($L276,10000)))</f>
        <v/>
      </c>
      <c r="H276" s="95">
        <f>IF($L276="","",IF(INDEX(j_DrAcct,MOD($L276,10000))=LedAcct,INDEX(j_DrAmt,MOD($L276,10000)),0)+IF(LedAcct=acctTax,INDEX(j_TaxDr,MOD($L276,10000)),0))</f>
        <v/>
      </c>
      <c r="I276" s="95">
        <f>IF($L276="","",IF(INDEX(j_CrAcct,MOD($L276,10000))=LedAcct,INDEX(j_CrAmt,MOD($L276,10000)),0)+IF(LedAcct=acctTax,INDEX(j_TaxCr,MOD($L276,10000)),0))</f>
        <v/>
      </c>
      <c r="J276" s="95">
        <f>IF($L276="","",N(J275)+LedSign*(H276-I276))</f>
        <v/>
      </c>
      <c r="L276" s="96">
        <f>IFERROR(SMALL(j_Key,261),"")</f>
        <v/>
      </c>
    </row>
    <row r="277">
      <c r="B277" s="58">
        <f>IF($L277="","",262)</f>
        <v/>
      </c>
      <c r="C277" s="94">
        <f>IF($L277="","",INDEX(j_Date,MOD($L277,10000)))</f>
        <v/>
      </c>
      <c r="D277" s="58">
        <f>IF($L277="","",INDEX(j_Source,MOD($L277,10000)))</f>
        <v/>
      </c>
      <c r="E277" s="58">
        <f>IF($L277="","",INDEX(j_ID,MOD($L277,10000)))</f>
        <v/>
      </c>
      <c r="F277" s="58">
        <f>IF($L277="","",INDEX(j_Desc,MOD($L277,10000)))</f>
        <v/>
      </c>
      <c r="G277" s="58">
        <f>IF($L277="","",INDEX(j_Party,MOD($L277,10000)))</f>
        <v/>
      </c>
      <c r="H277" s="95">
        <f>IF($L277="","",IF(INDEX(j_DrAcct,MOD($L277,10000))=LedAcct,INDEX(j_DrAmt,MOD($L277,10000)),0)+IF(LedAcct=acctTax,INDEX(j_TaxDr,MOD($L277,10000)),0))</f>
        <v/>
      </c>
      <c r="I277" s="95">
        <f>IF($L277="","",IF(INDEX(j_CrAcct,MOD($L277,10000))=LedAcct,INDEX(j_CrAmt,MOD($L277,10000)),0)+IF(LedAcct=acctTax,INDEX(j_TaxCr,MOD($L277,10000)),0))</f>
        <v/>
      </c>
      <c r="J277" s="95">
        <f>IF($L277="","",N(J276)+LedSign*(H277-I277))</f>
        <v/>
      </c>
      <c r="L277" s="96">
        <f>IFERROR(SMALL(j_Key,262),"")</f>
        <v/>
      </c>
    </row>
    <row r="278">
      <c r="B278" s="58">
        <f>IF($L278="","",263)</f>
        <v/>
      </c>
      <c r="C278" s="94">
        <f>IF($L278="","",INDEX(j_Date,MOD($L278,10000)))</f>
        <v/>
      </c>
      <c r="D278" s="58">
        <f>IF($L278="","",INDEX(j_Source,MOD($L278,10000)))</f>
        <v/>
      </c>
      <c r="E278" s="58">
        <f>IF($L278="","",INDEX(j_ID,MOD($L278,10000)))</f>
        <v/>
      </c>
      <c r="F278" s="58">
        <f>IF($L278="","",INDEX(j_Desc,MOD($L278,10000)))</f>
        <v/>
      </c>
      <c r="G278" s="58">
        <f>IF($L278="","",INDEX(j_Party,MOD($L278,10000)))</f>
        <v/>
      </c>
      <c r="H278" s="95">
        <f>IF($L278="","",IF(INDEX(j_DrAcct,MOD($L278,10000))=LedAcct,INDEX(j_DrAmt,MOD($L278,10000)),0)+IF(LedAcct=acctTax,INDEX(j_TaxDr,MOD($L278,10000)),0))</f>
        <v/>
      </c>
      <c r="I278" s="95">
        <f>IF($L278="","",IF(INDEX(j_CrAcct,MOD($L278,10000))=LedAcct,INDEX(j_CrAmt,MOD($L278,10000)),0)+IF(LedAcct=acctTax,INDEX(j_TaxCr,MOD($L278,10000)),0))</f>
        <v/>
      </c>
      <c r="J278" s="95">
        <f>IF($L278="","",N(J277)+LedSign*(H278-I278))</f>
        <v/>
      </c>
      <c r="L278" s="96">
        <f>IFERROR(SMALL(j_Key,263),"")</f>
        <v/>
      </c>
    </row>
    <row r="279">
      <c r="B279" s="58">
        <f>IF($L279="","",264)</f>
        <v/>
      </c>
      <c r="C279" s="94">
        <f>IF($L279="","",INDEX(j_Date,MOD($L279,10000)))</f>
        <v/>
      </c>
      <c r="D279" s="58">
        <f>IF($L279="","",INDEX(j_Source,MOD($L279,10000)))</f>
        <v/>
      </c>
      <c r="E279" s="58">
        <f>IF($L279="","",INDEX(j_ID,MOD($L279,10000)))</f>
        <v/>
      </c>
      <c r="F279" s="58">
        <f>IF($L279="","",INDEX(j_Desc,MOD($L279,10000)))</f>
        <v/>
      </c>
      <c r="G279" s="58">
        <f>IF($L279="","",INDEX(j_Party,MOD($L279,10000)))</f>
        <v/>
      </c>
      <c r="H279" s="95">
        <f>IF($L279="","",IF(INDEX(j_DrAcct,MOD($L279,10000))=LedAcct,INDEX(j_DrAmt,MOD($L279,10000)),0)+IF(LedAcct=acctTax,INDEX(j_TaxDr,MOD($L279,10000)),0))</f>
        <v/>
      </c>
      <c r="I279" s="95">
        <f>IF($L279="","",IF(INDEX(j_CrAcct,MOD($L279,10000))=LedAcct,INDEX(j_CrAmt,MOD($L279,10000)),0)+IF(LedAcct=acctTax,INDEX(j_TaxCr,MOD($L279,10000)),0))</f>
        <v/>
      </c>
      <c r="J279" s="95">
        <f>IF($L279="","",N(J278)+LedSign*(H279-I279))</f>
        <v/>
      </c>
      <c r="L279" s="96">
        <f>IFERROR(SMALL(j_Key,264),"")</f>
        <v/>
      </c>
    </row>
    <row r="280">
      <c r="B280" s="58">
        <f>IF($L280="","",265)</f>
        <v/>
      </c>
      <c r="C280" s="94">
        <f>IF($L280="","",INDEX(j_Date,MOD($L280,10000)))</f>
        <v/>
      </c>
      <c r="D280" s="58">
        <f>IF($L280="","",INDEX(j_Source,MOD($L280,10000)))</f>
        <v/>
      </c>
      <c r="E280" s="58">
        <f>IF($L280="","",INDEX(j_ID,MOD($L280,10000)))</f>
        <v/>
      </c>
      <c r="F280" s="58">
        <f>IF($L280="","",INDEX(j_Desc,MOD($L280,10000)))</f>
        <v/>
      </c>
      <c r="G280" s="58">
        <f>IF($L280="","",INDEX(j_Party,MOD($L280,10000)))</f>
        <v/>
      </c>
      <c r="H280" s="95">
        <f>IF($L280="","",IF(INDEX(j_DrAcct,MOD($L280,10000))=LedAcct,INDEX(j_DrAmt,MOD($L280,10000)),0)+IF(LedAcct=acctTax,INDEX(j_TaxDr,MOD($L280,10000)),0))</f>
        <v/>
      </c>
      <c r="I280" s="95">
        <f>IF($L280="","",IF(INDEX(j_CrAcct,MOD($L280,10000))=LedAcct,INDEX(j_CrAmt,MOD($L280,10000)),0)+IF(LedAcct=acctTax,INDEX(j_TaxCr,MOD($L280,10000)),0))</f>
        <v/>
      </c>
      <c r="J280" s="95">
        <f>IF($L280="","",N(J279)+LedSign*(H280-I280))</f>
        <v/>
      </c>
      <c r="L280" s="96">
        <f>IFERROR(SMALL(j_Key,265),"")</f>
        <v/>
      </c>
    </row>
    <row r="281">
      <c r="B281" s="58">
        <f>IF($L281="","",266)</f>
        <v/>
      </c>
      <c r="C281" s="94">
        <f>IF($L281="","",INDEX(j_Date,MOD($L281,10000)))</f>
        <v/>
      </c>
      <c r="D281" s="58">
        <f>IF($L281="","",INDEX(j_Source,MOD($L281,10000)))</f>
        <v/>
      </c>
      <c r="E281" s="58">
        <f>IF($L281="","",INDEX(j_ID,MOD($L281,10000)))</f>
        <v/>
      </c>
      <c r="F281" s="58">
        <f>IF($L281="","",INDEX(j_Desc,MOD($L281,10000)))</f>
        <v/>
      </c>
      <c r="G281" s="58">
        <f>IF($L281="","",INDEX(j_Party,MOD($L281,10000)))</f>
        <v/>
      </c>
      <c r="H281" s="95">
        <f>IF($L281="","",IF(INDEX(j_DrAcct,MOD($L281,10000))=LedAcct,INDEX(j_DrAmt,MOD($L281,10000)),0)+IF(LedAcct=acctTax,INDEX(j_TaxDr,MOD($L281,10000)),0))</f>
        <v/>
      </c>
      <c r="I281" s="95">
        <f>IF($L281="","",IF(INDEX(j_CrAcct,MOD($L281,10000))=LedAcct,INDEX(j_CrAmt,MOD($L281,10000)),0)+IF(LedAcct=acctTax,INDEX(j_TaxCr,MOD($L281,10000)),0))</f>
        <v/>
      </c>
      <c r="J281" s="95">
        <f>IF($L281="","",N(J280)+LedSign*(H281-I281))</f>
        <v/>
      </c>
      <c r="L281" s="96">
        <f>IFERROR(SMALL(j_Key,266),"")</f>
        <v/>
      </c>
    </row>
    <row r="282">
      <c r="B282" s="58">
        <f>IF($L282="","",267)</f>
        <v/>
      </c>
      <c r="C282" s="94">
        <f>IF($L282="","",INDEX(j_Date,MOD($L282,10000)))</f>
        <v/>
      </c>
      <c r="D282" s="58">
        <f>IF($L282="","",INDEX(j_Source,MOD($L282,10000)))</f>
        <v/>
      </c>
      <c r="E282" s="58">
        <f>IF($L282="","",INDEX(j_ID,MOD($L282,10000)))</f>
        <v/>
      </c>
      <c r="F282" s="58">
        <f>IF($L282="","",INDEX(j_Desc,MOD($L282,10000)))</f>
        <v/>
      </c>
      <c r="G282" s="58">
        <f>IF($L282="","",INDEX(j_Party,MOD($L282,10000)))</f>
        <v/>
      </c>
      <c r="H282" s="95">
        <f>IF($L282="","",IF(INDEX(j_DrAcct,MOD($L282,10000))=LedAcct,INDEX(j_DrAmt,MOD($L282,10000)),0)+IF(LedAcct=acctTax,INDEX(j_TaxDr,MOD($L282,10000)),0))</f>
        <v/>
      </c>
      <c r="I282" s="95">
        <f>IF($L282="","",IF(INDEX(j_CrAcct,MOD($L282,10000))=LedAcct,INDEX(j_CrAmt,MOD($L282,10000)),0)+IF(LedAcct=acctTax,INDEX(j_TaxCr,MOD($L282,10000)),0))</f>
        <v/>
      </c>
      <c r="J282" s="95">
        <f>IF($L282="","",N(J281)+LedSign*(H282-I282))</f>
        <v/>
      </c>
      <c r="L282" s="96">
        <f>IFERROR(SMALL(j_Key,267),"")</f>
        <v/>
      </c>
    </row>
    <row r="283">
      <c r="B283" s="58">
        <f>IF($L283="","",268)</f>
        <v/>
      </c>
      <c r="C283" s="94">
        <f>IF($L283="","",INDEX(j_Date,MOD($L283,10000)))</f>
        <v/>
      </c>
      <c r="D283" s="58">
        <f>IF($L283="","",INDEX(j_Source,MOD($L283,10000)))</f>
        <v/>
      </c>
      <c r="E283" s="58">
        <f>IF($L283="","",INDEX(j_ID,MOD($L283,10000)))</f>
        <v/>
      </c>
      <c r="F283" s="58">
        <f>IF($L283="","",INDEX(j_Desc,MOD($L283,10000)))</f>
        <v/>
      </c>
      <c r="G283" s="58">
        <f>IF($L283="","",INDEX(j_Party,MOD($L283,10000)))</f>
        <v/>
      </c>
      <c r="H283" s="95">
        <f>IF($L283="","",IF(INDEX(j_DrAcct,MOD($L283,10000))=LedAcct,INDEX(j_DrAmt,MOD($L283,10000)),0)+IF(LedAcct=acctTax,INDEX(j_TaxDr,MOD($L283,10000)),0))</f>
        <v/>
      </c>
      <c r="I283" s="95">
        <f>IF($L283="","",IF(INDEX(j_CrAcct,MOD($L283,10000))=LedAcct,INDEX(j_CrAmt,MOD($L283,10000)),0)+IF(LedAcct=acctTax,INDEX(j_TaxCr,MOD($L283,10000)),0))</f>
        <v/>
      </c>
      <c r="J283" s="95">
        <f>IF($L283="","",N(J282)+LedSign*(H283-I283))</f>
        <v/>
      </c>
      <c r="L283" s="96">
        <f>IFERROR(SMALL(j_Key,268),"")</f>
        <v/>
      </c>
    </row>
    <row r="284">
      <c r="B284" s="58">
        <f>IF($L284="","",269)</f>
        <v/>
      </c>
      <c r="C284" s="94">
        <f>IF($L284="","",INDEX(j_Date,MOD($L284,10000)))</f>
        <v/>
      </c>
      <c r="D284" s="58">
        <f>IF($L284="","",INDEX(j_Source,MOD($L284,10000)))</f>
        <v/>
      </c>
      <c r="E284" s="58">
        <f>IF($L284="","",INDEX(j_ID,MOD($L284,10000)))</f>
        <v/>
      </c>
      <c r="F284" s="58">
        <f>IF($L284="","",INDEX(j_Desc,MOD($L284,10000)))</f>
        <v/>
      </c>
      <c r="G284" s="58">
        <f>IF($L284="","",INDEX(j_Party,MOD($L284,10000)))</f>
        <v/>
      </c>
      <c r="H284" s="95">
        <f>IF($L284="","",IF(INDEX(j_DrAcct,MOD($L284,10000))=LedAcct,INDEX(j_DrAmt,MOD($L284,10000)),0)+IF(LedAcct=acctTax,INDEX(j_TaxDr,MOD($L284,10000)),0))</f>
        <v/>
      </c>
      <c r="I284" s="95">
        <f>IF($L284="","",IF(INDEX(j_CrAcct,MOD($L284,10000))=LedAcct,INDEX(j_CrAmt,MOD($L284,10000)),0)+IF(LedAcct=acctTax,INDEX(j_TaxCr,MOD($L284,10000)),0))</f>
        <v/>
      </c>
      <c r="J284" s="95">
        <f>IF($L284="","",N(J283)+LedSign*(H284-I284))</f>
        <v/>
      </c>
      <c r="L284" s="96">
        <f>IFERROR(SMALL(j_Key,269),"")</f>
        <v/>
      </c>
    </row>
    <row r="285">
      <c r="B285" s="58">
        <f>IF($L285="","",270)</f>
        <v/>
      </c>
      <c r="C285" s="94">
        <f>IF($L285="","",INDEX(j_Date,MOD($L285,10000)))</f>
        <v/>
      </c>
      <c r="D285" s="58">
        <f>IF($L285="","",INDEX(j_Source,MOD($L285,10000)))</f>
        <v/>
      </c>
      <c r="E285" s="58">
        <f>IF($L285="","",INDEX(j_ID,MOD($L285,10000)))</f>
        <v/>
      </c>
      <c r="F285" s="58">
        <f>IF($L285="","",INDEX(j_Desc,MOD($L285,10000)))</f>
        <v/>
      </c>
      <c r="G285" s="58">
        <f>IF($L285="","",INDEX(j_Party,MOD($L285,10000)))</f>
        <v/>
      </c>
      <c r="H285" s="95">
        <f>IF($L285="","",IF(INDEX(j_DrAcct,MOD($L285,10000))=LedAcct,INDEX(j_DrAmt,MOD($L285,10000)),0)+IF(LedAcct=acctTax,INDEX(j_TaxDr,MOD($L285,10000)),0))</f>
        <v/>
      </c>
      <c r="I285" s="95">
        <f>IF($L285="","",IF(INDEX(j_CrAcct,MOD($L285,10000))=LedAcct,INDEX(j_CrAmt,MOD($L285,10000)),0)+IF(LedAcct=acctTax,INDEX(j_TaxCr,MOD($L285,10000)),0))</f>
        <v/>
      </c>
      <c r="J285" s="95">
        <f>IF($L285="","",N(J284)+LedSign*(H285-I285))</f>
        <v/>
      </c>
      <c r="L285" s="96">
        <f>IFERROR(SMALL(j_Key,270),"")</f>
        <v/>
      </c>
    </row>
    <row r="286">
      <c r="B286" s="58">
        <f>IF($L286="","",271)</f>
        <v/>
      </c>
      <c r="C286" s="94">
        <f>IF($L286="","",INDEX(j_Date,MOD($L286,10000)))</f>
        <v/>
      </c>
      <c r="D286" s="58">
        <f>IF($L286="","",INDEX(j_Source,MOD($L286,10000)))</f>
        <v/>
      </c>
      <c r="E286" s="58">
        <f>IF($L286="","",INDEX(j_ID,MOD($L286,10000)))</f>
        <v/>
      </c>
      <c r="F286" s="58">
        <f>IF($L286="","",INDEX(j_Desc,MOD($L286,10000)))</f>
        <v/>
      </c>
      <c r="G286" s="58">
        <f>IF($L286="","",INDEX(j_Party,MOD($L286,10000)))</f>
        <v/>
      </c>
      <c r="H286" s="95">
        <f>IF($L286="","",IF(INDEX(j_DrAcct,MOD($L286,10000))=LedAcct,INDEX(j_DrAmt,MOD($L286,10000)),0)+IF(LedAcct=acctTax,INDEX(j_TaxDr,MOD($L286,10000)),0))</f>
        <v/>
      </c>
      <c r="I286" s="95">
        <f>IF($L286="","",IF(INDEX(j_CrAcct,MOD($L286,10000))=LedAcct,INDEX(j_CrAmt,MOD($L286,10000)),0)+IF(LedAcct=acctTax,INDEX(j_TaxCr,MOD($L286,10000)),0))</f>
        <v/>
      </c>
      <c r="J286" s="95">
        <f>IF($L286="","",N(J285)+LedSign*(H286-I286))</f>
        <v/>
      </c>
      <c r="L286" s="96">
        <f>IFERROR(SMALL(j_Key,271),"")</f>
        <v/>
      </c>
    </row>
    <row r="287">
      <c r="B287" s="58">
        <f>IF($L287="","",272)</f>
        <v/>
      </c>
      <c r="C287" s="94">
        <f>IF($L287="","",INDEX(j_Date,MOD($L287,10000)))</f>
        <v/>
      </c>
      <c r="D287" s="58">
        <f>IF($L287="","",INDEX(j_Source,MOD($L287,10000)))</f>
        <v/>
      </c>
      <c r="E287" s="58">
        <f>IF($L287="","",INDEX(j_ID,MOD($L287,10000)))</f>
        <v/>
      </c>
      <c r="F287" s="58">
        <f>IF($L287="","",INDEX(j_Desc,MOD($L287,10000)))</f>
        <v/>
      </c>
      <c r="G287" s="58">
        <f>IF($L287="","",INDEX(j_Party,MOD($L287,10000)))</f>
        <v/>
      </c>
      <c r="H287" s="95">
        <f>IF($L287="","",IF(INDEX(j_DrAcct,MOD($L287,10000))=LedAcct,INDEX(j_DrAmt,MOD($L287,10000)),0)+IF(LedAcct=acctTax,INDEX(j_TaxDr,MOD($L287,10000)),0))</f>
        <v/>
      </c>
      <c r="I287" s="95">
        <f>IF($L287="","",IF(INDEX(j_CrAcct,MOD($L287,10000))=LedAcct,INDEX(j_CrAmt,MOD($L287,10000)),0)+IF(LedAcct=acctTax,INDEX(j_TaxCr,MOD($L287,10000)),0))</f>
        <v/>
      </c>
      <c r="J287" s="95">
        <f>IF($L287="","",N(J286)+LedSign*(H287-I287))</f>
        <v/>
      </c>
      <c r="L287" s="96">
        <f>IFERROR(SMALL(j_Key,272),"")</f>
        <v/>
      </c>
    </row>
    <row r="288">
      <c r="B288" s="58">
        <f>IF($L288="","",273)</f>
        <v/>
      </c>
      <c r="C288" s="94">
        <f>IF($L288="","",INDEX(j_Date,MOD($L288,10000)))</f>
        <v/>
      </c>
      <c r="D288" s="58">
        <f>IF($L288="","",INDEX(j_Source,MOD($L288,10000)))</f>
        <v/>
      </c>
      <c r="E288" s="58">
        <f>IF($L288="","",INDEX(j_ID,MOD($L288,10000)))</f>
        <v/>
      </c>
      <c r="F288" s="58">
        <f>IF($L288="","",INDEX(j_Desc,MOD($L288,10000)))</f>
        <v/>
      </c>
      <c r="G288" s="58">
        <f>IF($L288="","",INDEX(j_Party,MOD($L288,10000)))</f>
        <v/>
      </c>
      <c r="H288" s="95">
        <f>IF($L288="","",IF(INDEX(j_DrAcct,MOD($L288,10000))=LedAcct,INDEX(j_DrAmt,MOD($L288,10000)),0)+IF(LedAcct=acctTax,INDEX(j_TaxDr,MOD($L288,10000)),0))</f>
        <v/>
      </c>
      <c r="I288" s="95">
        <f>IF($L288="","",IF(INDEX(j_CrAcct,MOD($L288,10000))=LedAcct,INDEX(j_CrAmt,MOD($L288,10000)),0)+IF(LedAcct=acctTax,INDEX(j_TaxCr,MOD($L288,10000)),0))</f>
        <v/>
      </c>
      <c r="J288" s="95">
        <f>IF($L288="","",N(J287)+LedSign*(H288-I288))</f>
        <v/>
      </c>
      <c r="L288" s="96">
        <f>IFERROR(SMALL(j_Key,273),"")</f>
        <v/>
      </c>
    </row>
    <row r="289">
      <c r="B289" s="58">
        <f>IF($L289="","",274)</f>
        <v/>
      </c>
      <c r="C289" s="94">
        <f>IF($L289="","",INDEX(j_Date,MOD($L289,10000)))</f>
        <v/>
      </c>
      <c r="D289" s="58">
        <f>IF($L289="","",INDEX(j_Source,MOD($L289,10000)))</f>
        <v/>
      </c>
      <c r="E289" s="58">
        <f>IF($L289="","",INDEX(j_ID,MOD($L289,10000)))</f>
        <v/>
      </c>
      <c r="F289" s="58">
        <f>IF($L289="","",INDEX(j_Desc,MOD($L289,10000)))</f>
        <v/>
      </c>
      <c r="G289" s="58">
        <f>IF($L289="","",INDEX(j_Party,MOD($L289,10000)))</f>
        <v/>
      </c>
      <c r="H289" s="95">
        <f>IF($L289="","",IF(INDEX(j_DrAcct,MOD($L289,10000))=LedAcct,INDEX(j_DrAmt,MOD($L289,10000)),0)+IF(LedAcct=acctTax,INDEX(j_TaxDr,MOD($L289,10000)),0))</f>
        <v/>
      </c>
      <c r="I289" s="95">
        <f>IF($L289="","",IF(INDEX(j_CrAcct,MOD($L289,10000))=LedAcct,INDEX(j_CrAmt,MOD($L289,10000)),0)+IF(LedAcct=acctTax,INDEX(j_TaxCr,MOD($L289,10000)),0))</f>
        <v/>
      </c>
      <c r="J289" s="95">
        <f>IF($L289="","",N(J288)+LedSign*(H289-I289))</f>
        <v/>
      </c>
      <c r="L289" s="96">
        <f>IFERROR(SMALL(j_Key,274),"")</f>
        <v/>
      </c>
    </row>
    <row r="290">
      <c r="B290" s="58">
        <f>IF($L290="","",275)</f>
        <v/>
      </c>
      <c r="C290" s="94">
        <f>IF($L290="","",INDEX(j_Date,MOD($L290,10000)))</f>
        <v/>
      </c>
      <c r="D290" s="58">
        <f>IF($L290="","",INDEX(j_Source,MOD($L290,10000)))</f>
        <v/>
      </c>
      <c r="E290" s="58">
        <f>IF($L290="","",INDEX(j_ID,MOD($L290,10000)))</f>
        <v/>
      </c>
      <c r="F290" s="58">
        <f>IF($L290="","",INDEX(j_Desc,MOD($L290,10000)))</f>
        <v/>
      </c>
      <c r="G290" s="58">
        <f>IF($L290="","",INDEX(j_Party,MOD($L290,10000)))</f>
        <v/>
      </c>
      <c r="H290" s="95">
        <f>IF($L290="","",IF(INDEX(j_DrAcct,MOD($L290,10000))=LedAcct,INDEX(j_DrAmt,MOD($L290,10000)),0)+IF(LedAcct=acctTax,INDEX(j_TaxDr,MOD($L290,10000)),0))</f>
        <v/>
      </c>
      <c r="I290" s="95">
        <f>IF($L290="","",IF(INDEX(j_CrAcct,MOD($L290,10000))=LedAcct,INDEX(j_CrAmt,MOD($L290,10000)),0)+IF(LedAcct=acctTax,INDEX(j_TaxCr,MOD($L290,10000)),0))</f>
        <v/>
      </c>
      <c r="J290" s="95">
        <f>IF($L290="","",N(J289)+LedSign*(H290-I290))</f>
        <v/>
      </c>
      <c r="L290" s="96">
        <f>IFERROR(SMALL(j_Key,275),"")</f>
        <v/>
      </c>
    </row>
    <row r="291">
      <c r="B291" s="58">
        <f>IF($L291="","",276)</f>
        <v/>
      </c>
      <c r="C291" s="94">
        <f>IF($L291="","",INDEX(j_Date,MOD($L291,10000)))</f>
        <v/>
      </c>
      <c r="D291" s="58">
        <f>IF($L291="","",INDEX(j_Source,MOD($L291,10000)))</f>
        <v/>
      </c>
      <c r="E291" s="58">
        <f>IF($L291="","",INDEX(j_ID,MOD($L291,10000)))</f>
        <v/>
      </c>
      <c r="F291" s="58">
        <f>IF($L291="","",INDEX(j_Desc,MOD($L291,10000)))</f>
        <v/>
      </c>
      <c r="G291" s="58">
        <f>IF($L291="","",INDEX(j_Party,MOD($L291,10000)))</f>
        <v/>
      </c>
      <c r="H291" s="95">
        <f>IF($L291="","",IF(INDEX(j_DrAcct,MOD($L291,10000))=LedAcct,INDEX(j_DrAmt,MOD($L291,10000)),0)+IF(LedAcct=acctTax,INDEX(j_TaxDr,MOD($L291,10000)),0))</f>
        <v/>
      </c>
      <c r="I291" s="95">
        <f>IF($L291="","",IF(INDEX(j_CrAcct,MOD($L291,10000))=LedAcct,INDEX(j_CrAmt,MOD($L291,10000)),0)+IF(LedAcct=acctTax,INDEX(j_TaxCr,MOD($L291,10000)),0))</f>
        <v/>
      </c>
      <c r="J291" s="95">
        <f>IF($L291="","",N(J290)+LedSign*(H291-I291))</f>
        <v/>
      </c>
      <c r="L291" s="96">
        <f>IFERROR(SMALL(j_Key,276),"")</f>
        <v/>
      </c>
    </row>
    <row r="292">
      <c r="B292" s="58">
        <f>IF($L292="","",277)</f>
        <v/>
      </c>
      <c r="C292" s="94">
        <f>IF($L292="","",INDEX(j_Date,MOD($L292,10000)))</f>
        <v/>
      </c>
      <c r="D292" s="58">
        <f>IF($L292="","",INDEX(j_Source,MOD($L292,10000)))</f>
        <v/>
      </c>
      <c r="E292" s="58">
        <f>IF($L292="","",INDEX(j_ID,MOD($L292,10000)))</f>
        <v/>
      </c>
      <c r="F292" s="58">
        <f>IF($L292="","",INDEX(j_Desc,MOD($L292,10000)))</f>
        <v/>
      </c>
      <c r="G292" s="58">
        <f>IF($L292="","",INDEX(j_Party,MOD($L292,10000)))</f>
        <v/>
      </c>
      <c r="H292" s="95">
        <f>IF($L292="","",IF(INDEX(j_DrAcct,MOD($L292,10000))=LedAcct,INDEX(j_DrAmt,MOD($L292,10000)),0)+IF(LedAcct=acctTax,INDEX(j_TaxDr,MOD($L292,10000)),0))</f>
        <v/>
      </c>
      <c r="I292" s="95">
        <f>IF($L292="","",IF(INDEX(j_CrAcct,MOD($L292,10000))=LedAcct,INDEX(j_CrAmt,MOD($L292,10000)),0)+IF(LedAcct=acctTax,INDEX(j_TaxCr,MOD($L292,10000)),0))</f>
        <v/>
      </c>
      <c r="J292" s="95">
        <f>IF($L292="","",N(J291)+LedSign*(H292-I292))</f>
        <v/>
      </c>
      <c r="L292" s="96">
        <f>IFERROR(SMALL(j_Key,277),"")</f>
        <v/>
      </c>
    </row>
    <row r="293">
      <c r="B293" s="58">
        <f>IF($L293="","",278)</f>
        <v/>
      </c>
      <c r="C293" s="94">
        <f>IF($L293="","",INDEX(j_Date,MOD($L293,10000)))</f>
        <v/>
      </c>
      <c r="D293" s="58">
        <f>IF($L293="","",INDEX(j_Source,MOD($L293,10000)))</f>
        <v/>
      </c>
      <c r="E293" s="58">
        <f>IF($L293="","",INDEX(j_ID,MOD($L293,10000)))</f>
        <v/>
      </c>
      <c r="F293" s="58">
        <f>IF($L293="","",INDEX(j_Desc,MOD($L293,10000)))</f>
        <v/>
      </c>
      <c r="G293" s="58">
        <f>IF($L293="","",INDEX(j_Party,MOD($L293,10000)))</f>
        <v/>
      </c>
      <c r="H293" s="95">
        <f>IF($L293="","",IF(INDEX(j_DrAcct,MOD($L293,10000))=LedAcct,INDEX(j_DrAmt,MOD($L293,10000)),0)+IF(LedAcct=acctTax,INDEX(j_TaxDr,MOD($L293,10000)),0))</f>
        <v/>
      </c>
      <c r="I293" s="95">
        <f>IF($L293="","",IF(INDEX(j_CrAcct,MOD($L293,10000))=LedAcct,INDEX(j_CrAmt,MOD($L293,10000)),0)+IF(LedAcct=acctTax,INDEX(j_TaxCr,MOD($L293,10000)),0))</f>
        <v/>
      </c>
      <c r="J293" s="95">
        <f>IF($L293="","",N(J292)+LedSign*(H293-I293))</f>
        <v/>
      </c>
      <c r="L293" s="96">
        <f>IFERROR(SMALL(j_Key,278),"")</f>
        <v/>
      </c>
    </row>
    <row r="294">
      <c r="B294" s="58">
        <f>IF($L294="","",279)</f>
        <v/>
      </c>
      <c r="C294" s="94">
        <f>IF($L294="","",INDEX(j_Date,MOD($L294,10000)))</f>
        <v/>
      </c>
      <c r="D294" s="58">
        <f>IF($L294="","",INDEX(j_Source,MOD($L294,10000)))</f>
        <v/>
      </c>
      <c r="E294" s="58">
        <f>IF($L294="","",INDEX(j_ID,MOD($L294,10000)))</f>
        <v/>
      </c>
      <c r="F294" s="58">
        <f>IF($L294="","",INDEX(j_Desc,MOD($L294,10000)))</f>
        <v/>
      </c>
      <c r="G294" s="58">
        <f>IF($L294="","",INDEX(j_Party,MOD($L294,10000)))</f>
        <v/>
      </c>
      <c r="H294" s="95">
        <f>IF($L294="","",IF(INDEX(j_DrAcct,MOD($L294,10000))=LedAcct,INDEX(j_DrAmt,MOD($L294,10000)),0)+IF(LedAcct=acctTax,INDEX(j_TaxDr,MOD($L294,10000)),0))</f>
        <v/>
      </c>
      <c r="I294" s="95">
        <f>IF($L294="","",IF(INDEX(j_CrAcct,MOD($L294,10000))=LedAcct,INDEX(j_CrAmt,MOD($L294,10000)),0)+IF(LedAcct=acctTax,INDEX(j_TaxCr,MOD($L294,10000)),0))</f>
        <v/>
      </c>
      <c r="J294" s="95">
        <f>IF($L294="","",N(J293)+LedSign*(H294-I294))</f>
        <v/>
      </c>
      <c r="L294" s="96">
        <f>IFERROR(SMALL(j_Key,279),"")</f>
        <v/>
      </c>
    </row>
    <row r="295">
      <c r="B295" s="58">
        <f>IF($L295="","",280)</f>
        <v/>
      </c>
      <c r="C295" s="94">
        <f>IF($L295="","",INDEX(j_Date,MOD($L295,10000)))</f>
        <v/>
      </c>
      <c r="D295" s="58">
        <f>IF($L295="","",INDEX(j_Source,MOD($L295,10000)))</f>
        <v/>
      </c>
      <c r="E295" s="58">
        <f>IF($L295="","",INDEX(j_ID,MOD($L295,10000)))</f>
        <v/>
      </c>
      <c r="F295" s="58">
        <f>IF($L295="","",INDEX(j_Desc,MOD($L295,10000)))</f>
        <v/>
      </c>
      <c r="G295" s="58">
        <f>IF($L295="","",INDEX(j_Party,MOD($L295,10000)))</f>
        <v/>
      </c>
      <c r="H295" s="95">
        <f>IF($L295="","",IF(INDEX(j_DrAcct,MOD($L295,10000))=LedAcct,INDEX(j_DrAmt,MOD($L295,10000)),0)+IF(LedAcct=acctTax,INDEX(j_TaxDr,MOD($L295,10000)),0))</f>
        <v/>
      </c>
      <c r="I295" s="95">
        <f>IF($L295="","",IF(INDEX(j_CrAcct,MOD($L295,10000))=LedAcct,INDEX(j_CrAmt,MOD($L295,10000)),0)+IF(LedAcct=acctTax,INDEX(j_TaxCr,MOD($L295,10000)),0))</f>
        <v/>
      </c>
      <c r="J295" s="95">
        <f>IF($L295="","",N(J294)+LedSign*(H295-I295))</f>
        <v/>
      </c>
      <c r="L295" s="96">
        <f>IFERROR(SMALL(j_Key,280),"")</f>
        <v/>
      </c>
    </row>
    <row r="296">
      <c r="B296" s="58">
        <f>IF($L296="","",281)</f>
        <v/>
      </c>
      <c r="C296" s="94">
        <f>IF($L296="","",INDEX(j_Date,MOD($L296,10000)))</f>
        <v/>
      </c>
      <c r="D296" s="58">
        <f>IF($L296="","",INDEX(j_Source,MOD($L296,10000)))</f>
        <v/>
      </c>
      <c r="E296" s="58">
        <f>IF($L296="","",INDEX(j_ID,MOD($L296,10000)))</f>
        <v/>
      </c>
      <c r="F296" s="58">
        <f>IF($L296="","",INDEX(j_Desc,MOD($L296,10000)))</f>
        <v/>
      </c>
      <c r="G296" s="58">
        <f>IF($L296="","",INDEX(j_Party,MOD($L296,10000)))</f>
        <v/>
      </c>
      <c r="H296" s="95">
        <f>IF($L296="","",IF(INDEX(j_DrAcct,MOD($L296,10000))=LedAcct,INDEX(j_DrAmt,MOD($L296,10000)),0)+IF(LedAcct=acctTax,INDEX(j_TaxDr,MOD($L296,10000)),0))</f>
        <v/>
      </c>
      <c r="I296" s="95">
        <f>IF($L296="","",IF(INDEX(j_CrAcct,MOD($L296,10000))=LedAcct,INDEX(j_CrAmt,MOD($L296,10000)),0)+IF(LedAcct=acctTax,INDEX(j_TaxCr,MOD($L296,10000)),0))</f>
        <v/>
      </c>
      <c r="J296" s="95">
        <f>IF($L296="","",N(J295)+LedSign*(H296-I296))</f>
        <v/>
      </c>
      <c r="L296" s="96">
        <f>IFERROR(SMALL(j_Key,281),"")</f>
        <v/>
      </c>
    </row>
    <row r="297">
      <c r="B297" s="58">
        <f>IF($L297="","",282)</f>
        <v/>
      </c>
      <c r="C297" s="94">
        <f>IF($L297="","",INDEX(j_Date,MOD($L297,10000)))</f>
        <v/>
      </c>
      <c r="D297" s="58">
        <f>IF($L297="","",INDEX(j_Source,MOD($L297,10000)))</f>
        <v/>
      </c>
      <c r="E297" s="58">
        <f>IF($L297="","",INDEX(j_ID,MOD($L297,10000)))</f>
        <v/>
      </c>
      <c r="F297" s="58">
        <f>IF($L297="","",INDEX(j_Desc,MOD($L297,10000)))</f>
        <v/>
      </c>
      <c r="G297" s="58">
        <f>IF($L297="","",INDEX(j_Party,MOD($L297,10000)))</f>
        <v/>
      </c>
      <c r="H297" s="95">
        <f>IF($L297="","",IF(INDEX(j_DrAcct,MOD($L297,10000))=LedAcct,INDEX(j_DrAmt,MOD($L297,10000)),0)+IF(LedAcct=acctTax,INDEX(j_TaxDr,MOD($L297,10000)),0))</f>
        <v/>
      </c>
      <c r="I297" s="95">
        <f>IF($L297="","",IF(INDEX(j_CrAcct,MOD($L297,10000))=LedAcct,INDEX(j_CrAmt,MOD($L297,10000)),0)+IF(LedAcct=acctTax,INDEX(j_TaxCr,MOD($L297,10000)),0))</f>
        <v/>
      </c>
      <c r="J297" s="95">
        <f>IF($L297="","",N(J296)+LedSign*(H297-I297))</f>
        <v/>
      </c>
      <c r="L297" s="96">
        <f>IFERROR(SMALL(j_Key,282),"")</f>
        <v/>
      </c>
    </row>
    <row r="298">
      <c r="B298" s="58">
        <f>IF($L298="","",283)</f>
        <v/>
      </c>
      <c r="C298" s="94">
        <f>IF($L298="","",INDEX(j_Date,MOD($L298,10000)))</f>
        <v/>
      </c>
      <c r="D298" s="58">
        <f>IF($L298="","",INDEX(j_Source,MOD($L298,10000)))</f>
        <v/>
      </c>
      <c r="E298" s="58">
        <f>IF($L298="","",INDEX(j_ID,MOD($L298,10000)))</f>
        <v/>
      </c>
      <c r="F298" s="58">
        <f>IF($L298="","",INDEX(j_Desc,MOD($L298,10000)))</f>
        <v/>
      </c>
      <c r="G298" s="58">
        <f>IF($L298="","",INDEX(j_Party,MOD($L298,10000)))</f>
        <v/>
      </c>
      <c r="H298" s="95">
        <f>IF($L298="","",IF(INDEX(j_DrAcct,MOD($L298,10000))=LedAcct,INDEX(j_DrAmt,MOD($L298,10000)),0)+IF(LedAcct=acctTax,INDEX(j_TaxDr,MOD($L298,10000)),0))</f>
        <v/>
      </c>
      <c r="I298" s="95">
        <f>IF($L298="","",IF(INDEX(j_CrAcct,MOD($L298,10000))=LedAcct,INDEX(j_CrAmt,MOD($L298,10000)),0)+IF(LedAcct=acctTax,INDEX(j_TaxCr,MOD($L298,10000)),0))</f>
        <v/>
      </c>
      <c r="J298" s="95">
        <f>IF($L298="","",N(J297)+LedSign*(H298-I298))</f>
        <v/>
      </c>
      <c r="L298" s="96">
        <f>IFERROR(SMALL(j_Key,283),"")</f>
        <v/>
      </c>
    </row>
    <row r="299">
      <c r="B299" s="58">
        <f>IF($L299="","",284)</f>
        <v/>
      </c>
      <c r="C299" s="94">
        <f>IF($L299="","",INDEX(j_Date,MOD($L299,10000)))</f>
        <v/>
      </c>
      <c r="D299" s="58">
        <f>IF($L299="","",INDEX(j_Source,MOD($L299,10000)))</f>
        <v/>
      </c>
      <c r="E299" s="58">
        <f>IF($L299="","",INDEX(j_ID,MOD($L299,10000)))</f>
        <v/>
      </c>
      <c r="F299" s="58">
        <f>IF($L299="","",INDEX(j_Desc,MOD($L299,10000)))</f>
        <v/>
      </c>
      <c r="G299" s="58">
        <f>IF($L299="","",INDEX(j_Party,MOD($L299,10000)))</f>
        <v/>
      </c>
      <c r="H299" s="95">
        <f>IF($L299="","",IF(INDEX(j_DrAcct,MOD($L299,10000))=LedAcct,INDEX(j_DrAmt,MOD($L299,10000)),0)+IF(LedAcct=acctTax,INDEX(j_TaxDr,MOD($L299,10000)),0))</f>
        <v/>
      </c>
      <c r="I299" s="95">
        <f>IF($L299="","",IF(INDEX(j_CrAcct,MOD($L299,10000))=LedAcct,INDEX(j_CrAmt,MOD($L299,10000)),0)+IF(LedAcct=acctTax,INDEX(j_TaxCr,MOD($L299,10000)),0))</f>
        <v/>
      </c>
      <c r="J299" s="95">
        <f>IF($L299="","",N(J298)+LedSign*(H299-I299))</f>
        <v/>
      </c>
      <c r="L299" s="96">
        <f>IFERROR(SMALL(j_Key,284),"")</f>
        <v/>
      </c>
    </row>
    <row r="300">
      <c r="B300" s="58">
        <f>IF($L300="","",285)</f>
        <v/>
      </c>
      <c r="C300" s="94">
        <f>IF($L300="","",INDEX(j_Date,MOD($L300,10000)))</f>
        <v/>
      </c>
      <c r="D300" s="58">
        <f>IF($L300="","",INDEX(j_Source,MOD($L300,10000)))</f>
        <v/>
      </c>
      <c r="E300" s="58">
        <f>IF($L300="","",INDEX(j_ID,MOD($L300,10000)))</f>
        <v/>
      </c>
      <c r="F300" s="58">
        <f>IF($L300="","",INDEX(j_Desc,MOD($L300,10000)))</f>
        <v/>
      </c>
      <c r="G300" s="58">
        <f>IF($L300="","",INDEX(j_Party,MOD($L300,10000)))</f>
        <v/>
      </c>
      <c r="H300" s="95">
        <f>IF($L300="","",IF(INDEX(j_DrAcct,MOD($L300,10000))=LedAcct,INDEX(j_DrAmt,MOD($L300,10000)),0)+IF(LedAcct=acctTax,INDEX(j_TaxDr,MOD($L300,10000)),0))</f>
        <v/>
      </c>
      <c r="I300" s="95">
        <f>IF($L300="","",IF(INDEX(j_CrAcct,MOD($L300,10000))=LedAcct,INDEX(j_CrAmt,MOD($L300,10000)),0)+IF(LedAcct=acctTax,INDEX(j_TaxCr,MOD($L300,10000)),0))</f>
        <v/>
      </c>
      <c r="J300" s="95">
        <f>IF($L300="","",N(J299)+LedSign*(H300-I300))</f>
        <v/>
      </c>
      <c r="L300" s="96">
        <f>IFERROR(SMALL(j_Key,285),"")</f>
        <v/>
      </c>
    </row>
    <row r="301">
      <c r="B301" s="58">
        <f>IF($L301="","",286)</f>
        <v/>
      </c>
      <c r="C301" s="94">
        <f>IF($L301="","",INDEX(j_Date,MOD($L301,10000)))</f>
        <v/>
      </c>
      <c r="D301" s="58">
        <f>IF($L301="","",INDEX(j_Source,MOD($L301,10000)))</f>
        <v/>
      </c>
      <c r="E301" s="58">
        <f>IF($L301="","",INDEX(j_ID,MOD($L301,10000)))</f>
        <v/>
      </c>
      <c r="F301" s="58">
        <f>IF($L301="","",INDEX(j_Desc,MOD($L301,10000)))</f>
        <v/>
      </c>
      <c r="G301" s="58">
        <f>IF($L301="","",INDEX(j_Party,MOD($L301,10000)))</f>
        <v/>
      </c>
      <c r="H301" s="95">
        <f>IF($L301="","",IF(INDEX(j_DrAcct,MOD($L301,10000))=LedAcct,INDEX(j_DrAmt,MOD($L301,10000)),0)+IF(LedAcct=acctTax,INDEX(j_TaxDr,MOD($L301,10000)),0))</f>
        <v/>
      </c>
      <c r="I301" s="95">
        <f>IF($L301="","",IF(INDEX(j_CrAcct,MOD($L301,10000))=LedAcct,INDEX(j_CrAmt,MOD($L301,10000)),0)+IF(LedAcct=acctTax,INDEX(j_TaxCr,MOD($L301,10000)),0))</f>
        <v/>
      </c>
      <c r="J301" s="95">
        <f>IF($L301="","",N(J300)+LedSign*(H301-I301))</f>
        <v/>
      </c>
      <c r="L301" s="96">
        <f>IFERROR(SMALL(j_Key,286),"")</f>
        <v/>
      </c>
    </row>
    <row r="302">
      <c r="B302" s="58">
        <f>IF($L302="","",287)</f>
        <v/>
      </c>
      <c r="C302" s="94">
        <f>IF($L302="","",INDEX(j_Date,MOD($L302,10000)))</f>
        <v/>
      </c>
      <c r="D302" s="58">
        <f>IF($L302="","",INDEX(j_Source,MOD($L302,10000)))</f>
        <v/>
      </c>
      <c r="E302" s="58">
        <f>IF($L302="","",INDEX(j_ID,MOD($L302,10000)))</f>
        <v/>
      </c>
      <c r="F302" s="58">
        <f>IF($L302="","",INDEX(j_Desc,MOD($L302,10000)))</f>
        <v/>
      </c>
      <c r="G302" s="58">
        <f>IF($L302="","",INDEX(j_Party,MOD($L302,10000)))</f>
        <v/>
      </c>
      <c r="H302" s="95">
        <f>IF($L302="","",IF(INDEX(j_DrAcct,MOD($L302,10000))=LedAcct,INDEX(j_DrAmt,MOD($L302,10000)),0)+IF(LedAcct=acctTax,INDEX(j_TaxDr,MOD($L302,10000)),0))</f>
        <v/>
      </c>
      <c r="I302" s="95">
        <f>IF($L302="","",IF(INDEX(j_CrAcct,MOD($L302,10000))=LedAcct,INDEX(j_CrAmt,MOD($L302,10000)),0)+IF(LedAcct=acctTax,INDEX(j_TaxCr,MOD($L302,10000)),0))</f>
        <v/>
      </c>
      <c r="J302" s="95">
        <f>IF($L302="","",N(J301)+LedSign*(H302-I302))</f>
        <v/>
      </c>
      <c r="L302" s="96">
        <f>IFERROR(SMALL(j_Key,287),"")</f>
        <v/>
      </c>
    </row>
    <row r="303">
      <c r="B303" s="58">
        <f>IF($L303="","",288)</f>
        <v/>
      </c>
      <c r="C303" s="94">
        <f>IF($L303="","",INDEX(j_Date,MOD($L303,10000)))</f>
        <v/>
      </c>
      <c r="D303" s="58">
        <f>IF($L303="","",INDEX(j_Source,MOD($L303,10000)))</f>
        <v/>
      </c>
      <c r="E303" s="58">
        <f>IF($L303="","",INDEX(j_ID,MOD($L303,10000)))</f>
        <v/>
      </c>
      <c r="F303" s="58">
        <f>IF($L303="","",INDEX(j_Desc,MOD($L303,10000)))</f>
        <v/>
      </c>
      <c r="G303" s="58">
        <f>IF($L303="","",INDEX(j_Party,MOD($L303,10000)))</f>
        <v/>
      </c>
      <c r="H303" s="95">
        <f>IF($L303="","",IF(INDEX(j_DrAcct,MOD($L303,10000))=LedAcct,INDEX(j_DrAmt,MOD($L303,10000)),0)+IF(LedAcct=acctTax,INDEX(j_TaxDr,MOD($L303,10000)),0))</f>
        <v/>
      </c>
      <c r="I303" s="95">
        <f>IF($L303="","",IF(INDEX(j_CrAcct,MOD($L303,10000))=LedAcct,INDEX(j_CrAmt,MOD($L303,10000)),0)+IF(LedAcct=acctTax,INDEX(j_TaxCr,MOD($L303,10000)),0))</f>
        <v/>
      </c>
      <c r="J303" s="95">
        <f>IF($L303="","",N(J302)+LedSign*(H303-I303))</f>
        <v/>
      </c>
      <c r="L303" s="96">
        <f>IFERROR(SMALL(j_Key,288),"")</f>
        <v/>
      </c>
    </row>
    <row r="304">
      <c r="B304" s="58">
        <f>IF($L304="","",289)</f>
        <v/>
      </c>
      <c r="C304" s="94">
        <f>IF($L304="","",INDEX(j_Date,MOD($L304,10000)))</f>
        <v/>
      </c>
      <c r="D304" s="58">
        <f>IF($L304="","",INDEX(j_Source,MOD($L304,10000)))</f>
        <v/>
      </c>
      <c r="E304" s="58">
        <f>IF($L304="","",INDEX(j_ID,MOD($L304,10000)))</f>
        <v/>
      </c>
      <c r="F304" s="58">
        <f>IF($L304="","",INDEX(j_Desc,MOD($L304,10000)))</f>
        <v/>
      </c>
      <c r="G304" s="58">
        <f>IF($L304="","",INDEX(j_Party,MOD($L304,10000)))</f>
        <v/>
      </c>
      <c r="H304" s="95">
        <f>IF($L304="","",IF(INDEX(j_DrAcct,MOD($L304,10000))=LedAcct,INDEX(j_DrAmt,MOD($L304,10000)),0)+IF(LedAcct=acctTax,INDEX(j_TaxDr,MOD($L304,10000)),0))</f>
        <v/>
      </c>
      <c r="I304" s="95">
        <f>IF($L304="","",IF(INDEX(j_CrAcct,MOD($L304,10000))=LedAcct,INDEX(j_CrAmt,MOD($L304,10000)),0)+IF(LedAcct=acctTax,INDEX(j_TaxCr,MOD($L304,10000)),0))</f>
        <v/>
      </c>
      <c r="J304" s="95">
        <f>IF($L304="","",N(J303)+LedSign*(H304-I304))</f>
        <v/>
      </c>
      <c r="L304" s="96">
        <f>IFERROR(SMALL(j_Key,289),"")</f>
        <v/>
      </c>
    </row>
    <row r="305">
      <c r="B305" s="58">
        <f>IF($L305="","",290)</f>
        <v/>
      </c>
      <c r="C305" s="94">
        <f>IF($L305="","",INDEX(j_Date,MOD($L305,10000)))</f>
        <v/>
      </c>
      <c r="D305" s="58">
        <f>IF($L305="","",INDEX(j_Source,MOD($L305,10000)))</f>
        <v/>
      </c>
      <c r="E305" s="58">
        <f>IF($L305="","",INDEX(j_ID,MOD($L305,10000)))</f>
        <v/>
      </c>
      <c r="F305" s="58">
        <f>IF($L305="","",INDEX(j_Desc,MOD($L305,10000)))</f>
        <v/>
      </c>
      <c r="G305" s="58">
        <f>IF($L305="","",INDEX(j_Party,MOD($L305,10000)))</f>
        <v/>
      </c>
      <c r="H305" s="95">
        <f>IF($L305="","",IF(INDEX(j_DrAcct,MOD($L305,10000))=LedAcct,INDEX(j_DrAmt,MOD($L305,10000)),0)+IF(LedAcct=acctTax,INDEX(j_TaxDr,MOD($L305,10000)),0))</f>
        <v/>
      </c>
      <c r="I305" s="95">
        <f>IF($L305="","",IF(INDEX(j_CrAcct,MOD($L305,10000))=LedAcct,INDEX(j_CrAmt,MOD($L305,10000)),0)+IF(LedAcct=acctTax,INDEX(j_TaxCr,MOD($L305,10000)),0))</f>
        <v/>
      </c>
      <c r="J305" s="95">
        <f>IF($L305="","",N(J304)+LedSign*(H305-I305))</f>
        <v/>
      </c>
      <c r="L305" s="96">
        <f>IFERROR(SMALL(j_Key,290),"")</f>
        <v/>
      </c>
    </row>
    <row r="306">
      <c r="B306" s="58">
        <f>IF($L306="","",291)</f>
        <v/>
      </c>
      <c r="C306" s="94">
        <f>IF($L306="","",INDEX(j_Date,MOD($L306,10000)))</f>
        <v/>
      </c>
      <c r="D306" s="58">
        <f>IF($L306="","",INDEX(j_Source,MOD($L306,10000)))</f>
        <v/>
      </c>
      <c r="E306" s="58">
        <f>IF($L306="","",INDEX(j_ID,MOD($L306,10000)))</f>
        <v/>
      </c>
      <c r="F306" s="58">
        <f>IF($L306="","",INDEX(j_Desc,MOD($L306,10000)))</f>
        <v/>
      </c>
      <c r="G306" s="58">
        <f>IF($L306="","",INDEX(j_Party,MOD($L306,10000)))</f>
        <v/>
      </c>
      <c r="H306" s="95">
        <f>IF($L306="","",IF(INDEX(j_DrAcct,MOD($L306,10000))=LedAcct,INDEX(j_DrAmt,MOD($L306,10000)),0)+IF(LedAcct=acctTax,INDEX(j_TaxDr,MOD($L306,10000)),0))</f>
        <v/>
      </c>
      <c r="I306" s="95">
        <f>IF($L306="","",IF(INDEX(j_CrAcct,MOD($L306,10000))=LedAcct,INDEX(j_CrAmt,MOD($L306,10000)),0)+IF(LedAcct=acctTax,INDEX(j_TaxCr,MOD($L306,10000)),0))</f>
        <v/>
      </c>
      <c r="J306" s="95">
        <f>IF($L306="","",N(J305)+LedSign*(H306-I306))</f>
        <v/>
      </c>
      <c r="L306" s="96">
        <f>IFERROR(SMALL(j_Key,291),"")</f>
        <v/>
      </c>
    </row>
    <row r="307">
      <c r="B307" s="58">
        <f>IF($L307="","",292)</f>
        <v/>
      </c>
      <c r="C307" s="94">
        <f>IF($L307="","",INDEX(j_Date,MOD($L307,10000)))</f>
        <v/>
      </c>
      <c r="D307" s="58">
        <f>IF($L307="","",INDEX(j_Source,MOD($L307,10000)))</f>
        <v/>
      </c>
      <c r="E307" s="58">
        <f>IF($L307="","",INDEX(j_ID,MOD($L307,10000)))</f>
        <v/>
      </c>
      <c r="F307" s="58">
        <f>IF($L307="","",INDEX(j_Desc,MOD($L307,10000)))</f>
        <v/>
      </c>
      <c r="G307" s="58">
        <f>IF($L307="","",INDEX(j_Party,MOD($L307,10000)))</f>
        <v/>
      </c>
      <c r="H307" s="95">
        <f>IF($L307="","",IF(INDEX(j_DrAcct,MOD($L307,10000))=LedAcct,INDEX(j_DrAmt,MOD($L307,10000)),0)+IF(LedAcct=acctTax,INDEX(j_TaxDr,MOD($L307,10000)),0))</f>
        <v/>
      </c>
      <c r="I307" s="95">
        <f>IF($L307="","",IF(INDEX(j_CrAcct,MOD($L307,10000))=LedAcct,INDEX(j_CrAmt,MOD($L307,10000)),0)+IF(LedAcct=acctTax,INDEX(j_TaxCr,MOD($L307,10000)),0))</f>
        <v/>
      </c>
      <c r="J307" s="95">
        <f>IF($L307="","",N(J306)+LedSign*(H307-I307))</f>
        <v/>
      </c>
      <c r="L307" s="96">
        <f>IFERROR(SMALL(j_Key,292),"")</f>
        <v/>
      </c>
    </row>
    <row r="308">
      <c r="B308" s="58">
        <f>IF($L308="","",293)</f>
        <v/>
      </c>
      <c r="C308" s="94">
        <f>IF($L308="","",INDEX(j_Date,MOD($L308,10000)))</f>
        <v/>
      </c>
      <c r="D308" s="58">
        <f>IF($L308="","",INDEX(j_Source,MOD($L308,10000)))</f>
        <v/>
      </c>
      <c r="E308" s="58">
        <f>IF($L308="","",INDEX(j_ID,MOD($L308,10000)))</f>
        <v/>
      </c>
      <c r="F308" s="58">
        <f>IF($L308="","",INDEX(j_Desc,MOD($L308,10000)))</f>
        <v/>
      </c>
      <c r="G308" s="58">
        <f>IF($L308="","",INDEX(j_Party,MOD($L308,10000)))</f>
        <v/>
      </c>
      <c r="H308" s="95">
        <f>IF($L308="","",IF(INDEX(j_DrAcct,MOD($L308,10000))=LedAcct,INDEX(j_DrAmt,MOD($L308,10000)),0)+IF(LedAcct=acctTax,INDEX(j_TaxDr,MOD($L308,10000)),0))</f>
        <v/>
      </c>
      <c r="I308" s="95">
        <f>IF($L308="","",IF(INDEX(j_CrAcct,MOD($L308,10000))=LedAcct,INDEX(j_CrAmt,MOD($L308,10000)),0)+IF(LedAcct=acctTax,INDEX(j_TaxCr,MOD($L308,10000)),0))</f>
        <v/>
      </c>
      <c r="J308" s="95">
        <f>IF($L308="","",N(J307)+LedSign*(H308-I308))</f>
        <v/>
      </c>
      <c r="L308" s="96">
        <f>IFERROR(SMALL(j_Key,293),"")</f>
        <v/>
      </c>
    </row>
    <row r="309">
      <c r="B309" s="58">
        <f>IF($L309="","",294)</f>
        <v/>
      </c>
      <c r="C309" s="94">
        <f>IF($L309="","",INDEX(j_Date,MOD($L309,10000)))</f>
        <v/>
      </c>
      <c r="D309" s="58">
        <f>IF($L309="","",INDEX(j_Source,MOD($L309,10000)))</f>
        <v/>
      </c>
      <c r="E309" s="58">
        <f>IF($L309="","",INDEX(j_ID,MOD($L309,10000)))</f>
        <v/>
      </c>
      <c r="F309" s="58">
        <f>IF($L309="","",INDEX(j_Desc,MOD($L309,10000)))</f>
        <v/>
      </c>
      <c r="G309" s="58">
        <f>IF($L309="","",INDEX(j_Party,MOD($L309,10000)))</f>
        <v/>
      </c>
      <c r="H309" s="95">
        <f>IF($L309="","",IF(INDEX(j_DrAcct,MOD($L309,10000))=LedAcct,INDEX(j_DrAmt,MOD($L309,10000)),0)+IF(LedAcct=acctTax,INDEX(j_TaxDr,MOD($L309,10000)),0))</f>
        <v/>
      </c>
      <c r="I309" s="95">
        <f>IF($L309="","",IF(INDEX(j_CrAcct,MOD($L309,10000))=LedAcct,INDEX(j_CrAmt,MOD($L309,10000)),0)+IF(LedAcct=acctTax,INDEX(j_TaxCr,MOD($L309,10000)),0))</f>
        <v/>
      </c>
      <c r="J309" s="95">
        <f>IF($L309="","",N(J308)+LedSign*(H309-I309))</f>
        <v/>
      </c>
      <c r="L309" s="96">
        <f>IFERROR(SMALL(j_Key,294),"")</f>
        <v/>
      </c>
    </row>
    <row r="310">
      <c r="B310" s="58">
        <f>IF($L310="","",295)</f>
        <v/>
      </c>
      <c r="C310" s="94">
        <f>IF($L310="","",INDEX(j_Date,MOD($L310,10000)))</f>
        <v/>
      </c>
      <c r="D310" s="58">
        <f>IF($L310="","",INDEX(j_Source,MOD($L310,10000)))</f>
        <v/>
      </c>
      <c r="E310" s="58">
        <f>IF($L310="","",INDEX(j_ID,MOD($L310,10000)))</f>
        <v/>
      </c>
      <c r="F310" s="58">
        <f>IF($L310="","",INDEX(j_Desc,MOD($L310,10000)))</f>
        <v/>
      </c>
      <c r="G310" s="58">
        <f>IF($L310="","",INDEX(j_Party,MOD($L310,10000)))</f>
        <v/>
      </c>
      <c r="H310" s="95">
        <f>IF($L310="","",IF(INDEX(j_DrAcct,MOD($L310,10000))=LedAcct,INDEX(j_DrAmt,MOD($L310,10000)),0)+IF(LedAcct=acctTax,INDEX(j_TaxDr,MOD($L310,10000)),0))</f>
        <v/>
      </c>
      <c r="I310" s="95">
        <f>IF($L310="","",IF(INDEX(j_CrAcct,MOD($L310,10000))=LedAcct,INDEX(j_CrAmt,MOD($L310,10000)),0)+IF(LedAcct=acctTax,INDEX(j_TaxCr,MOD($L310,10000)),0))</f>
        <v/>
      </c>
      <c r="J310" s="95">
        <f>IF($L310="","",N(J309)+LedSign*(H310-I310))</f>
        <v/>
      </c>
      <c r="L310" s="96">
        <f>IFERROR(SMALL(j_Key,295),"")</f>
        <v/>
      </c>
    </row>
    <row r="311">
      <c r="B311" s="58">
        <f>IF($L311="","",296)</f>
        <v/>
      </c>
      <c r="C311" s="94">
        <f>IF($L311="","",INDEX(j_Date,MOD($L311,10000)))</f>
        <v/>
      </c>
      <c r="D311" s="58">
        <f>IF($L311="","",INDEX(j_Source,MOD($L311,10000)))</f>
        <v/>
      </c>
      <c r="E311" s="58">
        <f>IF($L311="","",INDEX(j_ID,MOD($L311,10000)))</f>
        <v/>
      </c>
      <c r="F311" s="58">
        <f>IF($L311="","",INDEX(j_Desc,MOD($L311,10000)))</f>
        <v/>
      </c>
      <c r="G311" s="58">
        <f>IF($L311="","",INDEX(j_Party,MOD($L311,10000)))</f>
        <v/>
      </c>
      <c r="H311" s="95">
        <f>IF($L311="","",IF(INDEX(j_DrAcct,MOD($L311,10000))=LedAcct,INDEX(j_DrAmt,MOD($L311,10000)),0)+IF(LedAcct=acctTax,INDEX(j_TaxDr,MOD($L311,10000)),0))</f>
        <v/>
      </c>
      <c r="I311" s="95">
        <f>IF($L311="","",IF(INDEX(j_CrAcct,MOD($L311,10000))=LedAcct,INDEX(j_CrAmt,MOD($L311,10000)),0)+IF(LedAcct=acctTax,INDEX(j_TaxCr,MOD($L311,10000)),0))</f>
        <v/>
      </c>
      <c r="J311" s="95">
        <f>IF($L311="","",N(J310)+LedSign*(H311-I311))</f>
        <v/>
      </c>
      <c r="L311" s="96">
        <f>IFERROR(SMALL(j_Key,296),"")</f>
        <v/>
      </c>
    </row>
    <row r="312">
      <c r="B312" s="58">
        <f>IF($L312="","",297)</f>
        <v/>
      </c>
      <c r="C312" s="94">
        <f>IF($L312="","",INDEX(j_Date,MOD($L312,10000)))</f>
        <v/>
      </c>
      <c r="D312" s="58">
        <f>IF($L312="","",INDEX(j_Source,MOD($L312,10000)))</f>
        <v/>
      </c>
      <c r="E312" s="58">
        <f>IF($L312="","",INDEX(j_ID,MOD($L312,10000)))</f>
        <v/>
      </c>
      <c r="F312" s="58">
        <f>IF($L312="","",INDEX(j_Desc,MOD($L312,10000)))</f>
        <v/>
      </c>
      <c r="G312" s="58">
        <f>IF($L312="","",INDEX(j_Party,MOD($L312,10000)))</f>
        <v/>
      </c>
      <c r="H312" s="95">
        <f>IF($L312="","",IF(INDEX(j_DrAcct,MOD($L312,10000))=LedAcct,INDEX(j_DrAmt,MOD($L312,10000)),0)+IF(LedAcct=acctTax,INDEX(j_TaxDr,MOD($L312,10000)),0))</f>
        <v/>
      </c>
      <c r="I312" s="95">
        <f>IF($L312="","",IF(INDEX(j_CrAcct,MOD($L312,10000))=LedAcct,INDEX(j_CrAmt,MOD($L312,10000)),0)+IF(LedAcct=acctTax,INDEX(j_TaxCr,MOD($L312,10000)),0))</f>
        <v/>
      </c>
      <c r="J312" s="95">
        <f>IF($L312="","",N(J311)+LedSign*(H312-I312))</f>
        <v/>
      </c>
      <c r="L312" s="96">
        <f>IFERROR(SMALL(j_Key,297),"")</f>
        <v/>
      </c>
    </row>
    <row r="313">
      <c r="B313" s="58">
        <f>IF($L313="","",298)</f>
        <v/>
      </c>
      <c r="C313" s="94">
        <f>IF($L313="","",INDEX(j_Date,MOD($L313,10000)))</f>
        <v/>
      </c>
      <c r="D313" s="58">
        <f>IF($L313="","",INDEX(j_Source,MOD($L313,10000)))</f>
        <v/>
      </c>
      <c r="E313" s="58">
        <f>IF($L313="","",INDEX(j_ID,MOD($L313,10000)))</f>
        <v/>
      </c>
      <c r="F313" s="58">
        <f>IF($L313="","",INDEX(j_Desc,MOD($L313,10000)))</f>
        <v/>
      </c>
      <c r="G313" s="58">
        <f>IF($L313="","",INDEX(j_Party,MOD($L313,10000)))</f>
        <v/>
      </c>
      <c r="H313" s="95">
        <f>IF($L313="","",IF(INDEX(j_DrAcct,MOD($L313,10000))=LedAcct,INDEX(j_DrAmt,MOD($L313,10000)),0)+IF(LedAcct=acctTax,INDEX(j_TaxDr,MOD($L313,10000)),0))</f>
        <v/>
      </c>
      <c r="I313" s="95">
        <f>IF($L313="","",IF(INDEX(j_CrAcct,MOD($L313,10000))=LedAcct,INDEX(j_CrAmt,MOD($L313,10000)),0)+IF(LedAcct=acctTax,INDEX(j_TaxCr,MOD($L313,10000)),0))</f>
        <v/>
      </c>
      <c r="J313" s="95">
        <f>IF($L313="","",N(J312)+LedSign*(H313-I313))</f>
        <v/>
      </c>
      <c r="L313" s="96">
        <f>IFERROR(SMALL(j_Key,298),"")</f>
        <v/>
      </c>
    </row>
    <row r="314">
      <c r="B314" s="58">
        <f>IF($L314="","",299)</f>
        <v/>
      </c>
      <c r="C314" s="94">
        <f>IF($L314="","",INDEX(j_Date,MOD($L314,10000)))</f>
        <v/>
      </c>
      <c r="D314" s="58">
        <f>IF($L314="","",INDEX(j_Source,MOD($L314,10000)))</f>
        <v/>
      </c>
      <c r="E314" s="58">
        <f>IF($L314="","",INDEX(j_ID,MOD($L314,10000)))</f>
        <v/>
      </c>
      <c r="F314" s="58">
        <f>IF($L314="","",INDEX(j_Desc,MOD($L314,10000)))</f>
        <v/>
      </c>
      <c r="G314" s="58">
        <f>IF($L314="","",INDEX(j_Party,MOD($L314,10000)))</f>
        <v/>
      </c>
      <c r="H314" s="95">
        <f>IF($L314="","",IF(INDEX(j_DrAcct,MOD($L314,10000))=LedAcct,INDEX(j_DrAmt,MOD($L314,10000)),0)+IF(LedAcct=acctTax,INDEX(j_TaxDr,MOD($L314,10000)),0))</f>
        <v/>
      </c>
      <c r="I314" s="95">
        <f>IF($L314="","",IF(INDEX(j_CrAcct,MOD($L314,10000))=LedAcct,INDEX(j_CrAmt,MOD($L314,10000)),0)+IF(LedAcct=acctTax,INDEX(j_TaxCr,MOD($L314,10000)),0))</f>
        <v/>
      </c>
      <c r="J314" s="95">
        <f>IF($L314="","",N(J313)+LedSign*(H314-I314))</f>
        <v/>
      </c>
      <c r="L314" s="96">
        <f>IFERROR(SMALL(j_Key,299),"")</f>
        <v/>
      </c>
    </row>
    <row r="315">
      <c r="B315" s="58">
        <f>IF($L315="","",300)</f>
        <v/>
      </c>
      <c r="C315" s="94">
        <f>IF($L315="","",INDEX(j_Date,MOD($L315,10000)))</f>
        <v/>
      </c>
      <c r="D315" s="58">
        <f>IF($L315="","",INDEX(j_Source,MOD($L315,10000)))</f>
        <v/>
      </c>
      <c r="E315" s="58">
        <f>IF($L315="","",INDEX(j_ID,MOD($L315,10000)))</f>
        <v/>
      </c>
      <c r="F315" s="58">
        <f>IF($L315="","",INDEX(j_Desc,MOD($L315,10000)))</f>
        <v/>
      </c>
      <c r="G315" s="58">
        <f>IF($L315="","",INDEX(j_Party,MOD($L315,10000)))</f>
        <v/>
      </c>
      <c r="H315" s="95">
        <f>IF($L315="","",IF(INDEX(j_DrAcct,MOD($L315,10000))=LedAcct,INDEX(j_DrAmt,MOD($L315,10000)),0)+IF(LedAcct=acctTax,INDEX(j_TaxDr,MOD($L315,10000)),0))</f>
        <v/>
      </c>
      <c r="I315" s="95">
        <f>IF($L315="","",IF(INDEX(j_CrAcct,MOD($L315,10000))=LedAcct,INDEX(j_CrAmt,MOD($L315,10000)),0)+IF(LedAcct=acctTax,INDEX(j_TaxCr,MOD($L315,10000)),0))</f>
        <v/>
      </c>
      <c r="J315" s="95">
        <f>IF($L315="","",N(J314)+LedSign*(H315-I315))</f>
        <v/>
      </c>
      <c r="L315" s="96">
        <f>IFERROR(SMALL(j_Key,300),"")</f>
        <v/>
      </c>
    </row>
    <row r="316">
      <c r="B316" s="58">
        <f>IF($L316="","",301)</f>
        <v/>
      </c>
      <c r="C316" s="94">
        <f>IF($L316="","",INDEX(j_Date,MOD($L316,10000)))</f>
        <v/>
      </c>
      <c r="D316" s="58">
        <f>IF($L316="","",INDEX(j_Source,MOD($L316,10000)))</f>
        <v/>
      </c>
      <c r="E316" s="58">
        <f>IF($L316="","",INDEX(j_ID,MOD($L316,10000)))</f>
        <v/>
      </c>
      <c r="F316" s="58">
        <f>IF($L316="","",INDEX(j_Desc,MOD($L316,10000)))</f>
        <v/>
      </c>
      <c r="G316" s="58">
        <f>IF($L316="","",INDEX(j_Party,MOD($L316,10000)))</f>
        <v/>
      </c>
      <c r="H316" s="95">
        <f>IF($L316="","",IF(INDEX(j_DrAcct,MOD($L316,10000))=LedAcct,INDEX(j_DrAmt,MOD($L316,10000)),0)+IF(LedAcct=acctTax,INDEX(j_TaxDr,MOD($L316,10000)),0))</f>
        <v/>
      </c>
      <c r="I316" s="95">
        <f>IF($L316="","",IF(INDEX(j_CrAcct,MOD($L316,10000))=LedAcct,INDEX(j_CrAmt,MOD($L316,10000)),0)+IF(LedAcct=acctTax,INDEX(j_TaxCr,MOD($L316,10000)),0))</f>
        <v/>
      </c>
      <c r="J316" s="95">
        <f>IF($L316="","",N(J315)+LedSign*(H316-I316))</f>
        <v/>
      </c>
      <c r="L316" s="96">
        <f>IFERROR(SMALL(j_Key,301),"")</f>
        <v/>
      </c>
    </row>
    <row r="317">
      <c r="B317" s="58">
        <f>IF($L317="","",302)</f>
        <v/>
      </c>
      <c r="C317" s="94">
        <f>IF($L317="","",INDEX(j_Date,MOD($L317,10000)))</f>
        <v/>
      </c>
      <c r="D317" s="58">
        <f>IF($L317="","",INDEX(j_Source,MOD($L317,10000)))</f>
        <v/>
      </c>
      <c r="E317" s="58">
        <f>IF($L317="","",INDEX(j_ID,MOD($L317,10000)))</f>
        <v/>
      </c>
      <c r="F317" s="58">
        <f>IF($L317="","",INDEX(j_Desc,MOD($L317,10000)))</f>
        <v/>
      </c>
      <c r="G317" s="58">
        <f>IF($L317="","",INDEX(j_Party,MOD($L317,10000)))</f>
        <v/>
      </c>
      <c r="H317" s="95">
        <f>IF($L317="","",IF(INDEX(j_DrAcct,MOD($L317,10000))=LedAcct,INDEX(j_DrAmt,MOD($L317,10000)),0)+IF(LedAcct=acctTax,INDEX(j_TaxDr,MOD($L317,10000)),0))</f>
        <v/>
      </c>
      <c r="I317" s="95">
        <f>IF($L317="","",IF(INDEX(j_CrAcct,MOD($L317,10000))=LedAcct,INDEX(j_CrAmt,MOD($L317,10000)),0)+IF(LedAcct=acctTax,INDEX(j_TaxCr,MOD($L317,10000)),0))</f>
        <v/>
      </c>
      <c r="J317" s="95">
        <f>IF($L317="","",N(J316)+LedSign*(H317-I317))</f>
        <v/>
      </c>
      <c r="L317" s="96">
        <f>IFERROR(SMALL(j_Key,302),"")</f>
        <v/>
      </c>
    </row>
    <row r="318">
      <c r="B318" s="58">
        <f>IF($L318="","",303)</f>
        <v/>
      </c>
      <c r="C318" s="94">
        <f>IF($L318="","",INDEX(j_Date,MOD($L318,10000)))</f>
        <v/>
      </c>
      <c r="D318" s="58">
        <f>IF($L318="","",INDEX(j_Source,MOD($L318,10000)))</f>
        <v/>
      </c>
      <c r="E318" s="58">
        <f>IF($L318="","",INDEX(j_ID,MOD($L318,10000)))</f>
        <v/>
      </c>
      <c r="F318" s="58">
        <f>IF($L318="","",INDEX(j_Desc,MOD($L318,10000)))</f>
        <v/>
      </c>
      <c r="G318" s="58">
        <f>IF($L318="","",INDEX(j_Party,MOD($L318,10000)))</f>
        <v/>
      </c>
      <c r="H318" s="95">
        <f>IF($L318="","",IF(INDEX(j_DrAcct,MOD($L318,10000))=LedAcct,INDEX(j_DrAmt,MOD($L318,10000)),0)+IF(LedAcct=acctTax,INDEX(j_TaxDr,MOD($L318,10000)),0))</f>
        <v/>
      </c>
      <c r="I318" s="95">
        <f>IF($L318="","",IF(INDEX(j_CrAcct,MOD($L318,10000))=LedAcct,INDEX(j_CrAmt,MOD($L318,10000)),0)+IF(LedAcct=acctTax,INDEX(j_TaxCr,MOD($L318,10000)),0))</f>
        <v/>
      </c>
      <c r="J318" s="95">
        <f>IF($L318="","",N(J317)+LedSign*(H318-I318))</f>
        <v/>
      </c>
      <c r="L318" s="96">
        <f>IFERROR(SMALL(j_Key,303),"")</f>
        <v/>
      </c>
    </row>
    <row r="319">
      <c r="B319" s="58">
        <f>IF($L319="","",304)</f>
        <v/>
      </c>
      <c r="C319" s="94">
        <f>IF($L319="","",INDEX(j_Date,MOD($L319,10000)))</f>
        <v/>
      </c>
      <c r="D319" s="58">
        <f>IF($L319="","",INDEX(j_Source,MOD($L319,10000)))</f>
        <v/>
      </c>
      <c r="E319" s="58">
        <f>IF($L319="","",INDEX(j_ID,MOD($L319,10000)))</f>
        <v/>
      </c>
      <c r="F319" s="58">
        <f>IF($L319="","",INDEX(j_Desc,MOD($L319,10000)))</f>
        <v/>
      </c>
      <c r="G319" s="58">
        <f>IF($L319="","",INDEX(j_Party,MOD($L319,10000)))</f>
        <v/>
      </c>
      <c r="H319" s="95">
        <f>IF($L319="","",IF(INDEX(j_DrAcct,MOD($L319,10000))=LedAcct,INDEX(j_DrAmt,MOD($L319,10000)),0)+IF(LedAcct=acctTax,INDEX(j_TaxDr,MOD($L319,10000)),0))</f>
        <v/>
      </c>
      <c r="I319" s="95">
        <f>IF($L319="","",IF(INDEX(j_CrAcct,MOD($L319,10000))=LedAcct,INDEX(j_CrAmt,MOD($L319,10000)),0)+IF(LedAcct=acctTax,INDEX(j_TaxCr,MOD($L319,10000)),0))</f>
        <v/>
      </c>
      <c r="J319" s="95">
        <f>IF($L319="","",N(J318)+LedSign*(H319-I319))</f>
        <v/>
      </c>
      <c r="L319" s="96">
        <f>IFERROR(SMALL(j_Key,304),"")</f>
        <v/>
      </c>
    </row>
    <row r="320">
      <c r="B320" s="58">
        <f>IF($L320="","",305)</f>
        <v/>
      </c>
      <c r="C320" s="94">
        <f>IF($L320="","",INDEX(j_Date,MOD($L320,10000)))</f>
        <v/>
      </c>
      <c r="D320" s="58">
        <f>IF($L320="","",INDEX(j_Source,MOD($L320,10000)))</f>
        <v/>
      </c>
      <c r="E320" s="58">
        <f>IF($L320="","",INDEX(j_ID,MOD($L320,10000)))</f>
        <v/>
      </c>
      <c r="F320" s="58">
        <f>IF($L320="","",INDEX(j_Desc,MOD($L320,10000)))</f>
        <v/>
      </c>
      <c r="G320" s="58">
        <f>IF($L320="","",INDEX(j_Party,MOD($L320,10000)))</f>
        <v/>
      </c>
      <c r="H320" s="95">
        <f>IF($L320="","",IF(INDEX(j_DrAcct,MOD($L320,10000))=LedAcct,INDEX(j_DrAmt,MOD($L320,10000)),0)+IF(LedAcct=acctTax,INDEX(j_TaxDr,MOD($L320,10000)),0))</f>
        <v/>
      </c>
      <c r="I320" s="95">
        <f>IF($L320="","",IF(INDEX(j_CrAcct,MOD($L320,10000))=LedAcct,INDEX(j_CrAmt,MOD($L320,10000)),0)+IF(LedAcct=acctTax,INDEX(j_TaxCr,MOD($L320,10000)),0))</f>
        <v/>
      </c>
      <c r="J320" s="95">
        <f>IF($L320="","",N(J319)+LedSign*(H320-I320))</f>
        <v/>
      </c>
      <c r="L320" s="96">
        <f>IFERROR(SMALL(j_Key,305),"")</f>
        <v/>
      </c>
    </row>
    <row r="321">
      <c r="B321" s="58">
        <f>IF($L321="","",306)</f>
        <v/>
      </c>
      <c r="C321" s="94">
        <f>IF($L321="","",INDEX(j_Date,MOD($L321,10000)))</f>
        <v/>
      </c>
      <c r="D321" s="58">
        <f>IF($L321="","",INDEX(j_Source,MOD($L321,10000)))</f>
        <v/>
      </c>
      <c r="E321" s="58">
        <f>IF($L321="","",INDEX(j_ID,MOD($L321,10000)))</f>
        <v/>
      </c>
      <c r="F321" s="58">
        <f>IF($L321="","",INDEX(j_Desc,MOD($L321,10000)))</f>
        <v/>
      </c>
      <c r="G321" s="58">
        <f>IF($L321="","",INDEX(j_Party,MOD($L321,10000)))</f>
        <v/>
      </c>
      <c r="H321" s="95">
        <f>IF($L321="","",IF(INDEX(j_DrAcct,MOD($L321,10000))=LedAcct,INDEX(j_DrAmt,MOD($L321,10000)),0)+IF(LedAcct=acctTax,INDEX(j_TaxDr,MOD($L321,10000)),0))</f>
        <v/>
      </c>
      <c r="I321" s="95">
        <f>IF($L321="","",IF(INDEX(j_CrAcct,MOD($L321,10000))=LedAcct,INDEX(j_CrAmt,MOD($L321,10000)),0)+IF(LedAcct=acctTax,INDEX(j_TaxCr,MOD($L321,10000)),0))</f>
        <v/>
      </c>
      <c r="J321" s="95">
        <f>IF($L321="","",N(J320)+LedSign*(H321-I321))</f>
        <v/>
      </c>
      <c r="L321" s="96">
        <f>IFERROR(SMALL(j_Key,306),"")</f>
        <v/>
      </c>
    </row>
    <row r="322">
      <c r="B322" s="58">
        <f>IF($L322="","",307)</f>
        <v/>
      </c>
      <c r="C322" s="94">
        <f>IF($L322="","",INDEX(j_Date,MOD($L322,10000)))</f>
        <v/>
      </c>
      <c r="D322" s="58">
        <f>IF($L322="","",INDEX(j_Source,MOD($L322,10000)))</f>
        <v/>
      </c>
      <c r="E322" s="58">
        <f>IF($L322="","",INDEX(j_ID,MOD($L322,10000)))</f>
        <v/>
      </c>
      <c r="F322" s="58">
        <f>IF($L322="","",INDEX(j_Desc,MOD($L322,10000)))</f>
        <v/>
      </c>
      <c r="G322" s="58">
        <f>IF($L322="","",INDEX(j_Party,MOD($L322,10000)))</f>
        <v/>
      </c>
      <c r="H322" s="95">
        <f>IF($L322="","",IF(INDEX(j_DrAcct,MOD($L322,10000))=LedAcct,INDEX(j_DrAmt,MOD($L322,10000)),0)+IF(LedAcct=acctTax,INDEX(j_TaxDr,MOD($L322,10000)),0))</f>
        <v/>
      </c>
      <c r="I322" s="95">
        <f>IF($L322="","",IF(INDEX(j_CrAcct,MOD($L322,10000))=LedAcct,INDEX(j_CrAmt,MOD($L322,10000)),0)+IF(LedAcct=acctTax,INDEX(j_TaxCr,MOD($L322,10000)),0))</f>
        <v/>
      </c>
      <c r="J322" s="95">
        <f>IF($L322="","",N(J321)+LedSign*(H322-I322))</f>
        <v/>
      </c>
      <c r="L322" s="96">
        <f>IFERROR(SMALL(j_Key,307),"")</f>
        <v/>
      </c>
    </row>
    <row r="323">
      <c r="B323" s="58">
        <f>IF($L323="","",308)</f>
        <v/>
      </c>
      <c r="C323" s="94">
        <f>IF($L323="","",INDEX(j_Date,MOD($L323,10000)))</f>
        <v/>
      </c>
      <c r="D323" s="58">
        <f>IF($L323="","",INDEX(j_Source,MOD($L323,10000)))</f>
        <v/>
      </c>
      <c r="E323" s="58">
        <f>IF($L323="","",INDEX(j_ID,MOD($L323,10000)))</f>
        <v/>
      </c>
      <c r="F323" s="58">
        <f>IF($L323="","",INDEX(j_Desc,MOD($L323,10000)))</f>
        <v/>
      </c>
      <c r="G323" s="58">
        <f>IF($L323="","",INDEX(j_Party,MOD($L323,10000)))</f>
        <v/>
      </c>
      <c r="H323" s="95">
        <f>IF($L323="","",IF(INDEX(j_DrAcct,MOD($L323,10000))=LedAcct,INDEX(j_DrAmt,MOD($L323,10000)),0)+IF(LedAcct=acctTax,INDEX(j_TaxDr,MOD($L323,10000)),0))</f>
        <v/>
      </c>
      <c r="I323" s="95">
        <f>IF($L323="","",IF(INDEX(j_CrAcct,MOD($L323,10000))=LedAcct,INDEX(j_CrAmt,MOD($L323,10000)),0)+IF(LedAcct=acctTax,INDEX(j_TaxCr,MOD($L323,10000)),0))</f>
        <v/>
      </c>
      <c r="J323" s="95">
        <f>IF($L323="","",N(J322)+LedSign*(H323-I323))</f>
        <v/>
      </c>
      <c r="L323" s="96">
        <f>IFERROR(SMALL(j_Key,308),"")</f>
        <v/>
      </c>
    </row>
    <row r="324">
      <c r="B324" s="58">
        <f>IF($L324="","",309)</f>
        <v/>
      </c>
      <c r="C324" s="94">
        <f>IF($L324="","",INDEX(j_Date,MOD($L324,10000)))</f>
        <v/>
      </c>
      <c r="D324" s="58">
        <f>IF($L324="","",INDEX(j_Source,MOD($L324,10000)))</f>
        <v/>
      </c>
      <c r="E324" s="58">
        <f>IF($L324="","",INDEX(j_ID,MOD($L324,10000)))</f>
        <v/>
      </c>
      <c r="F324" s="58">
        <f>IF($L324="","",INDEX(j_Desc,MOD($L324,10000)))</f>
        <v/>
      </c>
      <c r="G324" s="58">
        <f>IF($L324="","",INDEX(j_Party,MOD($L324,10000)))</f>
        <v/>
      </c>
      <c r="H324" s="95">
        <f>IF($L324="","",IF(INDEX(j_DrAcct,MOD($L324,10000))=LedAcct,INDEX(j_DrAmt,MOD($L324,10000)),0)+IF(LedAcct=acctTax,INDEX(j_TaxDr,MOD($L324,10000)),0))</f>
        <v/>
      </c>
      <c r="I324" s="95">
        <f>IF($L324="","",IF(INDEX(j_CrAcct,MOD($L324,10000))=LedAcct,INDEX(j_CrAmt,MOD($L324,10000)),0)+IF(LedAcct=acctTax,INDEX(j_TaxCr,MOD($L324,10000)),0))</f>
        <v/>
      </c>
      <c r="J324" s="95">
        <f>IF($L324="","",N(J323)+LedSign*(H324-I324))</f>
        <v/>
      </c>
      <c r="L324" s="96">
        <f>IFERROR(SMALL(j_Key,309),"")</f>
        <v/>
      </c>
    </row>
    <row r="325">
      <c r="B325" s="58">
        <f>IF($L325="","",310)</f>
        <v/>
      </c>
      <c r="C325" s="94">
        <f>IF($L325="","",INDEX(j_Date,MOD($L325,10000)))</f>
        <v/>
      </c>
      <c r="D325" s="58">
        <f>IF($L325="","",INDEX(j_Source,MOD($L325,10000)))</f>
        <v/>
      </c>
      <c r="E325" s="58">
        <f>IF($L325="","",INDEX(j_ID,MOD($L325,10000)))</f>
        <v/>
      </c>
      <c r="F325" s="58">
        <f>IF($L325="","",INDEX(j_Desc,MOD($L325,10000)))</f>
        <v/>
      </c>
      <c r="G325" s="58">
        <f>IF($L325="","",INDEX(j_Party,MOD($L325,10000)))</f>
        <v/>
      </c>
      <c r="H325" s="95">
        <f>IF($L325="","",IF(INDEX(j_DrAcct,MOD($L325,10000))=LedAcct,INDEX(j_DrAmt,MOD($L325,10000)),0)+IF(LedAcct=acctTax,INDEX(j_TaxDr,MOD($L325,10000)),0))</f>
        <v/>
      </c>
      <c r="I325" s="95">
        <f>IF($L325="","",IF(INDEX(j_CrAcct,MOD($L325,10000))=LedAcct,INDEX(j_CrAmt,MOD($L325,10000)),0)+IF(LedAcct=acctTax,INDEX(j_TaxCr,MOD($L325,10000)),0))</f>
        <v/>
      </c>
      <c r="J325" s="95">
        <f>IF($L325="","",N(J324)+LedSign*(H325-I325))</f>
        <v/>
      </c>
      <c r="L325" s="96">
        <f>IFERROR(SMALL(j_Key,310),"")</f>
        <v/>
      </c>
    </row>
    <row r="326">
      <c r="B326" s="58">
        <f>IF($L326="","",311)</f>
        <v/>
      </c>
      <c r="C326" s="94">
        <f>IF($L326="","",INDEX(j_Date,MOD($L326,10000)))</f>
        <v/>
      </c>
      <c r="D326" s="58">
        <f>IF($L326="","",INDEX(j_Source,MOD($L326,10000)))</f>
        <v/>
      </c>
      <c r="E326" s="58">
        <f>IF($L326="","",INDEX(j_ID,MOD($L326,10000)))</f>
        <v/>
      </c>
      <c r="F326" s="58">
        <f>IF($L326="","",INDEX(j_Desc,MOD($L326,10000)))</f>
        <v/>
      </c>
      <c r="G326" s="58">
        <f>IF($L326="","",INDEX(j_Party,MOD($L326,10000)))</f>
        <v/>
      </c>
      <c r="H326" s="95">
        <f>IF($L326="","",IF(INDEX(j_DrAcct,MOD($L326,10000))=LedAcct,INDEX(j_DrAmt,MOD($L326,10000)),0)+IF(LedAcct=acctTax,INDEX(j_TaxDr,MOD($L326,10000)),0))</f>
        <v/>
      </c>
      <c r="I326" s="95">
        <f>IF($L326="","",IF(INDEX(j_CrAcct,MOD($L326,10000))=LedAcct,INDEX(j_CrAmt,MOD($L326,10000)),0)+IF(LedAcct=acctTax,INDEX(j_TaxCr,MOD($L326,10000)),0))</f>
        <v/>
      </c>
      <c r="J326" s="95">
        <f>IF($L326="","",N(J325)+LedSign*(H326-I326))</f>
        <v/>
      </c>
      <c r="L326" s="96">
        <f>IFERROR(SMALL(j_Key,311),"")</f>
        <v/>
      </c>
    </row>
    <row r="327">
      <c r="B327" s="58">
        <f>IF($L327="","",312)</f>
        <v/>
      </c>
      <c r="C327" s="94">
        <f>IF($L327="","",INDEX(j_Date,MOD($L327,10000)))</f>
        <v/>
      </c>
      <c r="D327" s="58">
        <f>IF($L327="","",INDEX(j_Source,MOD($L327,10000)))</f>
        <v/>
      </c>
      <c r="E327" s="58">
        <f>IF($L327="","",INDEX(j_ID,MOD($L327,10000)))</f>
        <v/>
      </c>
      <c r="F327" s="58">
        <f>IF($L327="","",INDEX(j_Desc,MOD($L327,10000)))</f>
        <v/>
      </c>
      <c r="G327" s="58">
        <f>IF($L327="","",INDEX(j_Party,MOD($L327,10000)))</f>
        <v/>
      </c>
      <c r="H327" s="95">
        <f>IF($L327="","",IF(INDEX(j_DrAcct,MOD($L327,10000))=LedAcct,INDEX(j_DrAmt,MOD($L327,10000)),0)+IF(LedAcct=acctTax,INDEX(j_TaxDr,MOD($L327,10000)),0))</f>
        <v/>
      </c>
      <c r="I327" s="95">
        <f>IF($L327="","",IF(INDEX(j_CrAcct,MOD($L327,10000))=LedAcct,INDEX(j_CrAmt,MOD($L327,10000)),0)+IF(LedAcct=acctTax,INDEX(j_TaxCr,MOD($L327,10000)),0))</f>
        <v/>
      </c>
      <c r="J327" s="95">
        <f>IF($L327="","",N(J326)+LedSign*(H327-I327))</f>
        <v/>
      </c>
      <c r="L327" s="96">
        <f>IFERROR(SMALL(j_Key,312),"")</f>
        <v/>
      </c>
    </row>
    <row r="328">
      <c r="B328" s="58">
        <f>IF($L328="","",313)</f>
        <v/>
      </c>
      <c r="C328" s="94">
        <f>IF($L328="","",INDEX(j_Date,MOD($L328,10000)))</f>
        <v/>
      </c>
      <c r="D328" s="58">
        <f>IF($L328="","",INDEX(j_Source,MOD($L328,10000)))</f>
        <v/>
      </c>
      <c r="E328" s="58">
        <f>IF($L328="","",INDEX(j_ID,MOD($L328,10000)))</f>
        <v/>
      </c>
      <c r="F328" s="58">
        <f>IF($L328="","",INDEX(j_Desc,MOD($L328,10000)))</f>
        <v/>
      </c>
      <c r="G328" s="58">
        <f>IF($L328="","",INDEX(j_Party,MOD($L328,10000)))</f>
        <v/>
      </c>
      <c r="H328" s="95">
        <f>IF($L328="","",IF(INDEX(j_DrAcct,MOD($L328,10000))=LedAcct,INDEX(j_DrAmt,MOD($L328,10000)),0)+IF(LedAcct=acctTax,INDEX(j_TaxDr,MOD($L328,10000)),0))</f>
        <v/>
      </c>
      <c r="I328" s="95">
        <f>IF($L328="","",IF(INDEX(j_CrAcct,MOD($L328,10000))=LedAcct,INDEX(j_CrAmt,MOD($L328,10000)),0)+IF(LedAcct=acctTax,INDEX(j_TaxCr,MOD($L328,10000)),0))</f>
        <v/>
      </c>
      <c r="J328" s="95">
        <f>IF($L328="","",N(J327)+LedSign*(H328-I328))</f>
        <v/>
      </c>
      <c r="L328" s="96">
        <f>IFERROR(SMALL(j_Key,313),"")</f>
        <v/>
      </c>
    </row>
    <row r="329">
      <c r="B329" s="58">
        <f>IF($L329="","",314)</f>
        <v/>
      </c>
      <c r="C329" s="94">
        <f>IF($L329="","",INDEX(j_Date,MOD($L329,10000)))</f>
        <v/>
      </c>
      <c r="D329" s="58">
        <f>IF($L329="","",INDEX(j_Source,MOD($L329,10000)))</f>
        <v/>
      </c>
      <c r="E329" s="58">
        <f>IF($L329="","",INDEX(j_ID,MOD($L329,10000)))</f>
        <v/>
      </c>
      <c r="F329" s="58">
        <f>IF($L329="","",INDEX(j_Desc,MOD($L329,10000)))</f>
        <v/>
      </c>
      <c r="G329" s="58">
        <f>IF($L329="","",INDEX(j_Party,MOD($L329,10000)))</f>
        <v/>
      </c>
      <c r="H329" s="95">
        <f>IF($L329="","",IF(INDEX(j_DrAcct,MOD($L329,10000))=LedAcct,INDEX(j_DrAmt,MOD($L329,10000)),0)+IF(LedAcct=acctTax,INDEX(j_TaxDr,MOD($L329,10000)),0))</f>
        <v/>
      </c>
      <c r="I329" s="95">
        <f>IF($L329="","",IF(INDEX(j_CrAcct,MOD($L329,10000))=LedAcct,INDEX(j_CrAmt,MOD($L329,10000)),0)+IF(LedAcct=acctTax,INDEX(j_TaxCr,MOD($L329,10000)),0))</f>
        <v/>
      </c>
      <c r="J329" s="95">
        <f>IF($L329="","",N(J328)+LedSign*(H329-I329))</f>
        <v/>
      </c>
      <c r="L329" s="96">
        <f>IFERROR(SMALL(j_Key,314),"")</f>
        <v/>
      </c>
    </row>
    <row r="330">
      <c r="B330" s="58">
        <f>IF($L330="","",315)</f>
        <v/>
      </c>
      <c r="C330" s="94">
        <f>IF($L330="","",INDEX(j_Date,MOD($L330,10000)))</f>
        <v/>
      </c>
      <c r="D330" s="58">
        <f>IF($L330="","",INDEX(j_Source,MOD($L330,10000)))</f>
        <v/>
      </c>
      <c r="E330" s="58">
        <f>IF($L330="","",INDEX(j_ID,MOD($L330,10000)))</f>
        <v/>
      </c>
      <c r="F330" s="58">
        <f>IF($L330="","",INDEX(j_Desc,MOD($L330,10000)))</f>
        <v/>
      </c>
      <c r="G330" s="58">
        <f>IF($L330="","",INDEX(j_Party,MOD($L330,10000)))</f>
        <v/>
      </c>
      <c r="H330" s="95">
        <f>IF($L330="","",IF(INDEX(j_DrAcct,MOD($L330,10000))=LedAcct,INDEX(j_DrAmt,MOD($L330,10000)),0)+IF(LedAcct=acctTax,INDEX(j_TaxDr,MOD($L330,10000)),0))</f>
        <v/>
      </c>
      <c r="I330" s="95">
        <f>IF($L330="","",IF(INDEX(j_CrAcct,MOD($L330,10000))=LedAcct,INDEX(j_CrAmt,MOD($L330,10000)),0)+IF(LedAcct=acctTax,INDEX(j_TaxCr,MOD($L330,10000)),0))</f>
        <v/>
      </c>
      <c r="J330" s="95">
        <f>IF($L330="","",N(J329)+LedSign*(H330-I330))</f>
        <v/>
      </c>
      <c r="L330" s="96">
        <f>IFERROR(SMALL(j_Key,315),"")</f>
        <v/>
      </c>
    </row>
    <row r="331">
      <c r="B331" s="58">
        <f>IF($L331="","",316)</f>
        <v/>
      </c>
      <c r="C331" s="94">
        <f>IF($L331="","",INDEX(j_Date,MOD($L331,10000)))</f>
        <v/>
      </c>
      <c r="D331" s="58">
        <f>IF($L331="","",INDEX(j_Source,MOD($L331,10000)))</f>
        <v/>
      </c>
      <c r="E331" s="58">
        <f>IF($L331="","",INDEX(j_ID,MOD($L331,10000)))</f>
        <v/>
      </c>
      <c r="F331" s="58">
        <f>IF($L331="","",INDEX(j_Desc,MOD($L331,10000)))</f>
        <v/>
      </c>
      <c r="G331" s="58">
        <f>IF($L331="","",INDEX(j_Party,MOD($L331,10000)))</f>
        <v/>
      </c>
      <c r="H331" s="95">
        <f>IF($L331="","",IF(INDEX(j_DrAcct,MOD($L331,10000))=LedAcct,INDEX(j_DrAmt,MOD($L331,10000)),0)+IF(LedAcct=acctTax,INDEX(j_TaxDr,MOD($L331,10000)),0))</f>
        <v/>
      </c>
      <c r="I331" s="95">
        <f>IF($L331="","",IF(INDEX(j_CrAcct,MOD($L331,10000))=LedAcct,INDEX(j_CrAmt,MOD($L331,10000)),0)+IF(LedAcct=acctTax,INDEX(j_TaxCr,MOD($L331,10000)),0))</f>
        <v/>
      </c>
      <c r="J331" s="95">
        <f>IF($L331="","",N(J330)+LedSign*(H331-I331))</f>
        <v/>
      </c>
      <c r="L331" s="96">
        <f>IFERROR(SMALL(j_Key,316),"")</f>
        <v/>
      </c>
    </row>
    <row r="332">
      <c r="B332" s="58">
        <f>IF($L332="","",317)</f>
        <v/>
      </c>
      <c r="C332" s="94">
        <f>IF($L332="","",INDEX(j_Date,MOD($L332,10000)))</f>
        <v/>
      </c>
      <c r="D332" s="58">
        <f>IF($L332="","",INDEX(j_Source,MOD($L332,10000)))</f>
        <v/>
      </c>
      <c r="E332" s="58">
        <f>IF($L332="","",INDEX(j_ID,MOD($L332,10000)))</f>
        <v/>
      </c>
      <c r="F332" s="58">
        <f>IF($L332="","",INDEX(j_Desc,MOD($L332,10000)))</f>
        <v/>
      </c>
      <c r="G332" s="58">
        <f>IF($L332="","",INDEX(j_Party,MOD($L332,10000)))</f>
        <v/>
      </c>
      <c r="H332" s="95">
        <f>IF($L332="","",IF(INDEX(j_DrAcct,MOD($L332,10000))=LedAcct,INDEX(j_DrAmt,MOD($L332,10000)),0)+IF(LedAcct=acctTax,INDEX(j_TaxDr,MOD($L332,10000)),0))</f>
        <v/>
      </c>
      <c r="I332" s="95">
        <f>IF($L332="","",IF(INDEX(j_CrAcct,MOD($L332,10000))=LedAcct,INDEX(j_CrAmt,MOD($L332,10000)),0)+IF(LedAcct=acctTax,INDEX(j_TaxCr,MOD($L332,10000)),0))</f>
        <v/>
      </c>
      <c r="J332" s="95">
        <f>IF($L332="","",N(J331)+LedSign*(H332-I332))</f>
        <v/>
      </c>
      <c r="L332" s="96">
        <f>IFERROR(SMALL(j_Key,317),"")</f>
        <v/>
      </c>
    </row>
    <row r="333">
      <c r="B333" s="58">
        <f>IF($L333="","",318)</f>
        <v/>
      </c>
      <c r="C333" s="94">
        <f>IF($L333="","",INDEX(j_Date,MOD($L333,10000)))</f>
        <v/>
      </c>
      <c r="D333" s="58">
        <f>IF($L333="","",INDEX(j_Source,MOD($L333,10000)))</f>
        <v/>
      </c>
      <c r="E333" s="58">
        <f>IF($L333="","",INDEX(j_ID,MOD($L333,10000)))</f>
        <v/>
      </c>
      <c r="F333" s="58">
        <f>IF($L333="","",INDEX(j_Desc,MOD($L333,10000)))</f>
        <v/>
      </c>
      <c r="G333" s="58">
        <f>IF($L333="","",INDEX(j_Party,MOD($L333,10000)))</f>
        <v/>
      </c>
      <c r="H333" s="95">
        <f>IF($L333="","",IF(INDEX(j_DrAcct,MOD($L333,10000))=LedAcct,INDEX(j_DrAmt,MOD($L333,10000)),0)+IF(LedAcct=acctTax,INDEX(j_TaxDr,MOD($L333,10000)),0))</f>
        <v/>
      </c>
      <c r="I333" s="95">
        <f>IF($L333="","",IF(INDEX(j_CrAcct,MOD($L333,10000))=LedAcct,INDEX(j_CrAmt,MOD($L333,10000)),0)+IF(LedAcct=acctTax,INDEX(j_TaxCr,MOD($L333,10000)),0))</f>
        <v/>
      </c>
      <c r="J333" s="95">
        <f>IF($L333="","",N(J332)+LedSign*(H333-I333))</f>
        <v/>
      </c>
      <c r="L333" s="96">
        <f>IFERROR(SMALL(j_Key,318),"")</f>
        <v/>
      </c>
    </row>
    <row r="334">
      <c r="B334" s="58">
        <f>IF($L334="","",319)</f>
        <v/>
      </c>
      <c r="C334" s="94">
        <f>IF($L334="","",INDEX(j_Date,MOD($L334,10000)))</f>
        <v/>
      </c>
      <c r="D334" s="58">
        <f>IF($L334="","",INDEX(j_Source,MOD($L334,10000)))</f>
        <v/>
      </c>
      <c r="E334" s="58">
        <f>IF($L334="","",INDEX(j_ID,MOD($L334,10000)))</f>
        <v/>
      </c>
      <c r="F334" s="58">
        <f>IF($L334="","",INDEX(j_Desc,MOD($L334,10000)))</f>
        <v/>
      </c>
      <c r="G334" s="58">
        <f>IF($L334="","",INDEX(j_Party,MOD($L334,10000)))</f>
        <v/>
      </c>
      <c r="H334" s="95">
        <f>IF($L334="","",IF(INDEX(j_DrAcct,MOD($L334,10000))=LedAcct,INDEX(j_DrAmt,MOD($L334,10000)),0)+IF(LedAcct=acctTax,INDEX(j_TaxDr,MOD($L334,10000)),0))</f>
        <v/>
      </c>
      <c r="I334" s="95">
        <f>IF($L334="","",IF(INDEX(j_CrAcct,MOD($L334,10000))=LedAcct,INDEX(j_CrAmt,MOD($L334,10000)),0)+IF(LedAcct=acctTax,INDEX(j_TaxCr,MOD($L334,10000)),0))</f>
        <v/>
      </c>
      <c r="J334" s="95">
        <f>IF($L334="","",N(J333)+LedSign*(H334-I334))</f>
        <v/>
      </c>
      <c r="L334" s="96">
        <f>IFERROR(SMALL(j_Key,319),"")</f>
        <v/>
      </c>
    </row>
    <row r="335">
      <c r="B335" s="58">
        <f>IF($L335="","",320)</f>
        <v/>
      </c>
      <c r="C335" s="94">
        <f>IF($L335="","",INDEX(j_Date,MOD($L335,10000)))</f>
        <v/>
      </c>
      <c r="D335" s="58">
        <f>IF($L335="","",INDEX(j_Source,MOD($L335,10000)))</f>
        <v/>
      </c>
      <c r="E335" s="58">
        <f>IF($L335="","",INDEX(j_ID,MOD($L335,10000)))</f>
        <v/>
      </c>
      <c r="F335" s="58">
        <f>IF($L335="","",INDEX(j_Desc,MOD($L335,10000)))</f>
        <v/>
      </c>
      <c r="G335" s="58">
        <f>IF($L335="","",INDEX(j_Party,MOD($L335,10000)))</f>
        <v/>
      </c>
      <c r="H335" s="95">
        <f>IF($L335="","",IF(INDEX(j_DrAcct,MOD($L335,10000))=LedAcct,INDEX(j_DrAmt,MOD($L335,10000)),0)+IF(LedAcct=acctTax,INDEX(j_TaxDr,MOD($L335,10000)),0))</f>
        <v/>
      </c>
      <c r="I335" s="95">
        <f>IF($L335="","",IF(INDEX(j_CrAcct,MOD($L335,10000))=LedAcct,INDEX(j_CrAmt,MOD($L335,10000)),0)+IF(LedAcct=acctTax,INDEX(j_TaxCr,MOD($L335,10000)),0))</f>
        <v/>
      </c>
      <c r="J335" s="95">
        <f>IF($L335="","",N(J334)+LedSign*(H335-I335))</f>
        <v/>
      </c>
      <c r="L335" s="96">
        <f>IFERROR(SMALL(j_Key,320),"")</f>
        <v/>
      </c>
    </row>
    <row r="336">
      <c r="B336" s="58">
        <f>IF($L336="","",321)</f>
        <v/>
      </c>
      <c r="C336" s="94">
        <f>IF($L336="","",INDEX(j_Date,MOD($L336,10000)))</f>
        <v/>
      </c>
      <c r="D336" s="58">
        <f>IF($L336="","",INDEX(j_Source,MOD($L336,10000)))</f>
        <v/>
      </c>
      <c r="E336" s="58">
        <f>IF($L336="","",INDEX(j_ID,MOD($L336,10000)))</f>
        <v/>
      </c>
      <c r="F336" s="58">
        <f>IF($L336="","",INDEX(j_Desc,MOD($L336,10000)))</f>
        <v/>
      </c>
      <c r="G336" s="58">
        <f>IF($L336="","",INDEX(j_Party,MOD($L336,10000)))</f>
        <v/>
      </c>
      <c r="H336" s="95">
        <f>IF($L336="","",IF(INDEX(j_DrAcct,MOD($L336,10000))=LedAcct,INDEX(j_DrAmt,MOD($L336,10000)),0)+IF(LedAcct=acctTax,INDEX(j_TaxDr,MOD($L336,10000)),0))</f>
        <v/>
      </c>
      <c r="I336" s="95">
        <f>IF($L336="","",IF(INDEX(j_CrAcct,MOD($L336,10000))=LedAcct,INDEX(j_CrAmt,MOD($L336,10000)),0)+IF(LedAcct=acctTax,INDEX(j_TaxCr,MOD($L336,10000)),0))</f>
        <v/>
      </c>
      <c r="J336" s="95">
        <f>IF($L336="","",N(J335)+LedSign*(H336-I336))</f>
        <v/>
      </c>
      <c r="L336" s="96">
        <f>IFERROR(SMALL(j_Key,321),"")</f>
        <v/>
      </c>
    </row>
    <row r="337">
      <c r="B337" s="58">
        <f>IF($L337="","",322)</f>
        <v/>
      </c>
      <c r="C337" s="94">
        <f>IF($L337="","",INDEX(j_Date,MOD($L337,10000)))</f>
        <v/>
      </c>
      <c r="D337" s="58">
        <f>IF($L337="","",INDEX(j_Source,MOD($L337,10000)))</f>
        <v/>
      </c>
      <c r="E337" s="58">
        <f>IF($L337="","",INDEX(j_ID,MOD($L337,10000)))</f>
        <v/>
      </c>
      <c r="F337" s="58">
        <f>IF($L337="","",INDEX(j_Desc,MOD($L337,10000)))</f>
        <v/>
      </c>
      <c r="G337" s="58">
        <f>IF($L337="","",INDEX(j_Party,MOD($L337,10000)))</f>
        <v/>
      </c>
      <c r="H337" s="95">
        <f>IF($L337="","",IF(INDEX(j_DrAcct,MOD($L337,10000))=LedAcct,INDEX(j_DrAmt,MOD($L337,10000)),0)+IF(LedAcct=acctTax,INDEX(j_TaxDr,MOD($L337,10000)),0))</f>
        <v/>
      </c>
      <c r="I337" s="95">
        <f>IF($L337="","",IF(INDEX(j_CrAcct,MOD($L337,10000))=LedAcct,INDEX(j_CrAmt,MOD($L337,10000)),0)+IF(LedAcct=acctTax,INDEX(j_TaxCr,MOD($L337,10000)),0))</f>
        <v/>
      </c>
      <c r="J337" s="95">
        <f>IF($L337="","",N(J336)+LedSign*(H337-I337))</f>
        <v/>
      </c>
      <c r="L337" s="96">
        <f>IFERROR(SMALL(j_Key,322),"")</f>
        <v/>
      </c>
    </row>
    <row r="338">
      <c r="B338" s="58">
        <f>IF($L338="","",323)</f>
        <v/>
      </c>
      <c r="C338" s="94">
        <f>IF($L338="","",INDEX(j_Date,MOD($L338,10000)))</f>
        <v/>
      </c>
      <c r="D338" s="58">
        <f>IF($L338="","",INDEX(j_Source,MOD($L338,10000)))</f>
        <v/>
      </c>
      <c r="E338" s="58">
        <f>IF($L338="","",INDEX(j_ID,MOD($L338,10000)))</f>
        <v/>
      </c>
      <c r="F338" s="58">
        <f>IF($L338="","",INDEX(j_Desc,MOD($L338,10000)))</f>
        <v/>
      </c>
      <c r="G338" s="58">
        <f>IF($L338="","",INDEX(j_Party,MOD($L338,10000)))</f>
        <v/>
      </c>
      <c r="H338" s="95">
        <f>IF($L338="","",IF(INDEX(j_DrAcct,MOD($L338,10000))=LedAcct,INDEX(j_DrAmt,MOD($L338,10000)),0)+IF(LedAcct=acctTax,INDEX(j_TaxDr,MOD($L338,10000)),0))</f>
        <v/>
      </c>
      <c r="I338" s="95">
        <f>IF($L338="","",IF(INDEX(j_CrAcct,MOD($L338,10000))=LedAcct,INDEX(j_CrAmt,MOD($L338,10000)),0)+IF(LedAcct=acctTax,INDEX(j_TaxCr,MOD($L338,10000)),0))</f>
        <v/>
      </c>
      <c r="J338" s="95">
        <f>IF($L338="","",N(J337)+LedSign*(H338-I338))</f>
        <v/>
      </c>
      <c r="L338" s="96">
        <f>IFERROR(SMALL(j_Key,323),"")</f>
        <v/>
      </c>
    </row>
    <row r="339">
      <c r="B339" s="58">
        <f>IF($L339="","",324)</f>
        <v/>
      </c>
      <c r="C339" s="94">
        <f>IF($L339="","",INDEX(j_Date,MOD($L339,10000)))</f>
        <v/>
      </c>
      <c r="D339" s="58">
        <f>IF($L339="","",INDEX(j_Source,MOD($L339,10000)))</f>
        <v/>
      </c>
      <c r="E339" s="58">
        <f>IF($L339="","",INDEX(j_ID,MOD($L339,10000)))</f>
        <v/>
      </c>
      <c r="F339" s="58">
        <f>IF($L339="","",INDEX(j_Desc,MOD($L339,10000)))</f>
        <v/>
      </c>
      <c r="G339" s="58">
        <f>IF($L339="","",INDEX(j_Party,MOD($L339,10000)))</f>
        <v/>
      </c>
      <c r="H339" s="95">
        <f>IF($L339="","",IF(INDEX(j_DrAcct,MOD($L339,10000))=LedAcct,INDEX(j_DrAmt,MOD($L339,10000)),0)+IF(LedAcct=acctTax,INDEX(j_TaxDr,MOD($L339,10000)),0))</f>
        <v/>
      </c>
      <c r="I339" s="95">
        <f>IF($L339="","",IF(INDEX(j_CrAcct,MOD($L339,10000))=LedAcct,INDEX(j_CrAmt,MOD($L339,10000)),0)+IF(LedAcct=acctTax,INDEX(j_TaxCr,MOD($L339,10000)),0))</f>
        <v/>
      </c>
      <c r="J339" s="95">
        <f>IF($L339="","",N(J338)+LedSign*(H339-I339))</f>
        <v/>
      </c>
      <c r="L339" s="96">
        <f>IFERROR(SMALL(j_Key,324),"")</f>
        <v/>
      </c>
    </row>
    <row r="340">
      <c r="B340" s="58">
        <f>IF($L340="","",325)</f>
        <v/>
      </c>
      <c r="C340" s="94">
        <f>IF($L340="","",INDEX(j_Date,MOD($L340,10000)))</f>
        <v/>
      </c>
      <c r="D340" s="58">
        <f>IF($L340="","",INDEX(j_Source,MOD($L340,10000)))</f>
        <v/>
      </c>
      <c r="E340" s="58">
        <f>IF($L340="","",INDEX(j_ID,MOD($L340,10000)))</f>
        <v/>
      </c>
      <c r="F340" s="58">
        <f>IF($L340="","",INDEX(j_Desc,MOD($L340,10000)))</f>
        <v/>
      </c>
      <c r="G340" s="58">
        <f>IF($L340="","",INDEX(j_Party,MOD($L340,10000)))</f>
        <v/>
      </c>
      <c r="H340" s="95">
        <f>IF($L340="","",IF(INDEX(j_DrAcct,MOD($L340,10000))=LedAcct,INDEX(j_DrAmt,MOD($L340,10000)),0)+IF(LedAcct=acctTax,INDEX(j_TaxDr,MOD($L340,10000)),0))</f>
        <v/>
      </c>
      <c r="I340" s="95">
        <f>IF($L340="","",IF(INDEX(j_CrAcct,MOD($L340,10000))=LedAcct,INDEX(j_CrAmt,MOD($L340,10000)),0)+IF(LedAcct=acctTax,INDEX(j_TaxCr,MOD($L340,10000)),0))</f>
        <v/>
      </c>
      <c r="J340" s="95">
        <f>IF($L340="","",N(J339)+LedSign*(H340-I340))</f>
        <v/>
      </c>
      <c r="L340" s="96">
        <f>IFERROR(SMALL(j_Key,325),"")</f>
        <v/>
      </c>
    </row>
    <row r="341">
      <c r="B341" s="58">
        <f>IF($L341="","",326)</f>
        <v/>
      </c>
      <c r="C341" s="94">
        <f>IF($L341="","",INDEX(j_Date,MOD($L341,10000)))</f>
        <v/>
      </c>
      <c r="D341" s="58">
        <f>IF($L341="","",INDEX(j_Source,MOD($L341,10000)))</f>
        <v/>
      </c>
      <c r="E341" s="58">
        <f>IF($L341="","",INDEX(j_ID,MOD($L341,10000)))</f>
        <v/>
      </c>
      <c r="F341" s="58">
        <f>IF($L341="","",INDEX(j_Desc,MOD($L341,10000)))</f>
        <v/>
      </c>
      <c r="G341" s="58">
        <f>IF($L341="","",INDEX(j_Party,MOD($L341,10000)))</f>
        <v/>
      </c>
      <c r="H341" s="95">
        <f>IF($L341="","",IF(INDEX(j_DrAcct,MOD($L341,10000))=LedAcct,INDEX(j_DrAmt,MOD($L341,10000)),0)+IF(LedAcct=acctTax,INDEX(j_TaxDr,MOD($L341,10000)),0))</f>
        <v/>
      </c>
      <c r="I341" s="95">
        <f>IF($L341="","",IF(INDEX(j_CrAcct,MOD($L341,10000))=LedAcct,INDEX(j_CrAmt,MOD($L341,10000)),0)+IF(LedAcct=acctTax,INDEX(j_TaxCr,MOD($L341,10000)),0))</f>
        <v/>
      </c>
      <c r="J341" s="95">
        <f>IF($L341="","",N(J340)+LedSign*(H341-I341))</f>
        <v/>
      </c>
      <c r="L341" s="96">
        <f>IFERROR(SMALL(j_Key,326),"")</f>
        <v/>
      </c>
    </row>
    <row r="342">
      <c r="B342" s="58">
        <f>IF($L342="","",327)</f>
        <v/>
      </c>
      <c r="C342" s="94">
        <f>IF($L342="","",INDEX(j_Date,MOD($L342,10000)))</f>
        <v/>
      </c>
      <c r="D342" s="58">
        <f>IF($L342="","",INDEX(j_Source,MOD($L342,10000)))</f>
        <v/>
      </c>
      <c r="E342" s="58">
        <f>IF($L342="","",INDEX(j_ID,MOD($L342,10000)))</f>
        <v/>
      </c>
      <c r="F342" s="58">
        <f>IF($L342="","",INDEX(j_Desc,MOD($L342,10000)))</f>
        <v/>
      </c>
      <c r="G342" s="58">
        <f>IF($L342="","",INDEX(j_Party,MOD($L342,10000)))</f>
        <v/>
      </c>
      <c r="H342" s="95">
        <f>IF($L342="","",IF(INDEX(j_DrAcct,MOD($L342,10000))=LedAcct,INDEX(j_DrAmt,MOD($L342,10000)),0)+IF(LedAcct=acctTax,INDEX(j_TaxDr,MOD($L342,10000)),0))</f>
        <v/>
      </c>
      <c r="I342" s="95">
        <f>IF($L342="","",IF(INDEX(j_CrAcct,MOD($L342,10000))=LedAcct,INDEX(j_CrAmt,MOD($L342,10000)),0)+IF(LedAcct=acctTax,INDEX(j_TaxCr,MOD($L342,10000)),0))</f>
        <v/>
      </c>
      <c r="J342" s="95">
        <f>IF($L342="","",N(J341)+LedSign*(H342-I342))</f>
        <v/>
      </c>
      <c r="L342" s="96">
        <f>IFERROR(SMALL(j_Key,327),"")</f>
        <v/>
      </c>
    </row>
    <row r="343">
      <c r="B343" s="58">
        <f>IF($L343="","",328)</f>
        <v/>
      </c>
      <c r="C343" s="94">
        <f>IF($L343="","",INDEX(j_Date,MOD($L343,10000)))</f>
        <v/>
      </c>
      <c r="D343" s="58">
        <f>IF($L343="","",INDEX(j_Source,MOD($L343,10000)))</f>
        <v/>
      </c>
      <c r="E343" s="58">
        <f>IF($L343="","",INDEX(j_ID,MOD($L343,10000)))</f>
        <v/>
      </c>
      <c r="F343" s="58">
        <f>IF($L343="","",INDEX(j_Desc,MOD($L343,10000)))</f>
        <v/>
      </c>
      <c r="G343" s="58">
        <f>IF($L343="","",INDEX(j_Party,MOD($L343,10000)))</f>
        <v/>
      </c>
      <c r="H343" s="95">
        <f>IF($L343="","",IF(INDEX(j_DrAcct,MOD($L343,10000))=LedAcct,INDEX(j_DrAmt,MOD($L343,10000)),0)+IF(LedAcct=acctTax,INDEX(j_TaxDr,MOD($L343,10000)),0))</f>
        <v/>
      </c>
      <c r="I343" s="95">
        <f>IF($L343="","",IF(INDEX(j_CrAcct,MOD($L343,10000))=LedAcct,INDEX(j_CrAmt,MOD($L343,10000)),0)+IF(LedAcct=acctTax,INDEX(j_TaxCr,MOD($L343,10000)),0))</f>
        <v/>
      </c>
      <c r="J343" s="95">
        <f>IF($L343="","",N(J342)+LedSign*(H343-I343))</f>
        <v/>
      </c>
      <c r="L343" s="96">
        <f>IFERROR(SMALL(j_Key,328),"")</f>
        <v/>
      </c>
    </row>
    <row r="344">
      <c r="B344" s="58">
        <f>IF($L344="","",329)</f>
        <v/>
      </c>
      <c r="C344" s="94">
        <f>IF($L344="","",INDEX(j_Date,MOD($L344,10000)))</f>
        <v/>
      </c>
      <c r="D344" s="58">
        <f>IF($L344="","",INDEX(j_Source,MOD($L344,10000)))</f>
        <v/>
      </c>
      <c r="E344" s="58">
        <f>IF($L344="","",INDEX(j_ID,MOD($L344,10000)))</f>
        <v/>
      </c>
      <c r="F344" s="58">
        <f>IF($L344="","",INDEX(j_Desc,MOD($L344,10000)))</f>
        <v/>
      </c>
      <c r="G344" s="58">
        <f>IF($L344="","",INDEX(j_Party,MOD($L344,10000)))</f>
        <v/>
      </c>
      <c r="H344" s="95">
        <f>IF($L344="","",IF(INDEX(j_DrAcct,MOD($L344,10000))=LedAcct,INDEX(j_DrAmt,MOD($L344,10000)),0)+IF(LedAcct=acctTax,INDEX(j_TaxDr,MOD($L344,10000)),0))</f>
        <v/>
      </c>
      <c r="I344" s="95">
        <f>IF($L344="","",IF(INDEX(j_CrAcct,MOD($L344,10000))=LedAcct,INDEX(j_CrAmt,MOD($L344,10000)),0)+IF(LedAcct=acctTax,INDEX(j_TaxCr,MOD($L344,10000)),0))</f>
        <v/>
      </c>
      <c r="J344" s="95">
        <f>IF($L344="","",N(J343)+LedSign*(H344-I344))</f>
        <v/>
      </c>
      <c r="L344" s="96">
        <f>IFERROR(SMALL(j_Key,329),"")</f>
        <v/>
      </c>
    </row>
    <row r="345">
      <c r="B345" s="58">
        <f>IF($L345="","",330)</f>
        <v/>
      </c>
      <c r="C345" s="94">
        <f>IF($L345="","",INDEX(j_Date,MOD($L345,10000)))</f>
        <v/>
      </c>
      <c r="D345" s="58">
        <f>IF($L345="","",INDEX(j_Source,MOD($L345,10000)))</f>
        <v/>
      </c>
      <c r="E345" s="58">
        <f>IF($L345="","",INDEX(j_ID,MOD($L345,10000)))</f>
        <v/>
      </c>
      <c r="F345" s="58">
        <f>IF($L345="","",INDEX(j_Desc,MOD($L345,10000)))</f>
        <v/>
      </c>
      <c r="G345" s="58">
        <f>IF($L345="","",INDEX(j_Party,MOD($L345,10000)))</f>
        <v/>
      </c>
      <c r="H345" s="95">
        <f>IF($L345="","",IF(INDEX(j_DrAcct,MOD($L345,10000))=LedAcct,INDEX(j_DrAmt,MOD($L345,10000)),0)+IF(LedAcct=acctTax,INDEX(j_TaxDr,MOD($L345,10000)),0))</f>
        <v/>
      </c>
      <c r="I345" s="95">
        <f>IF($L345="","",IF(INDEX(j_CrAcct,MOD($L345,10000))=LedAcct,INDEX(j_CrAmt,MOD($L345,10000)),0)+IF(LedAcct=acctTax,INDEX(j_TaxCr,MOD($L345,10000)),0))</f>
        <v/>
      </c>
      <c r="J345" s="95">
        <f>IF($L345="","",N(J344)+LedSign*(H345-I345))</f>
        <v/>
      </c>
      <c r="L345" s="96">
        <f>IFERROR(SMALL(j_Key,330),"")</f>
        <v/>
      </c>
    </row>
    <row r="346">
      <c r="B346" s="58">
        <f>IF($L346="","",331)</f>
        <v/>
      </c>
      <c r="C346" s="94">
        <f>IF($L346="","",INDEX(j_Date,MOD($L346,10000)))</f>
        <v/>
      </c>
      <c r="D346" s="58">
        <f>IF($L346="","",INDEX(j_Source,MOD($L346,10000)))</f>
        <v/>
      </c>
      <c r="E346" s="58">
        <f>IF($L346="","",INDEX(j_ID,MOD($L346,10000)))</f>
        <v/>
      </c>
      <c r="F346" s="58">
        <f>IF($L346="","",INDEX(j_Desc,MOD($L346,10000)))</f>
        <v/>
      </c>
      <c r="G346" s="58">
        <f>IF($L346="","",INDEX(j_Party,MOD($L346,10000)))</f>
        <v/>
      </c>
      <c r="H346" s="95">
        <f>IF($L346="","",IF(INDEX(j_DrAcct,MOD($L346,10000))=LedAcct,INDEX(j_DrAmt,MOD($L346,10000)),0)+IF(LedAcct=acctTax,INDEX(j_TaxDr,MOD($L346,10000)),0))</f>
        <v/>
      </c>
      <c r="I346" s="95">
        <f>IF($L346="","",IF(INDEX(j_CrAcct,MOD($L346,10000))=LedAcct,INDEX(j_CrAmt,MOD($L346,10000)),0)+IF(LedAcct=acctTax,INDEX(j_TaxCr,MOD($L346,10000)),0))</f>
        <v/>
      </c>
      <c r="J346" s="95">
        <f>IF($L346="","",N(J345)+LedSign*(H346-I346))</f>
        <v/>
      </c>
      <c r="L346" s="96">
        <f>IFERROR(SMALL(j_Key,331),"")</f>
        <v/>
      </c>
    </row>
    <row r="347">
      <c r="B347" s="58">
        <f>IF($L347="","",332)</f>
        <v/>
      </c>
      <c r="C347" s="94">
        <f>IF($L347="","",INDEX(j_Date,MOD($L347,10000)))</f>
        <v/>
      </c>
      <c r="D347" s="58">
        <f>IF($L347="","",INDEX(j_Source,MOD($L347,10000)))</f>
        <v/>
      </c>
      <c r="E347" s="58">
        <f>IF($L347="","",INDEX(j_ID,MOD($L347,10000)))</f>
        <v/>
      </c>
      <c r="F347" s="58">
        <f>IF($L347="","",INDEX(j_Desc,MOD($L347,10000)))</f>
        <v/>
      </c>
      <c r="G347" s="58">
        <f>IF($L347="","",INDEX(j_Party,MOD($L347,10000)))</f>
        <v/>
      </c>
      <c r="H347" s="95">
        <f>IF($L347="","",IF(INDEX(j_DrAcct,MOD($L347,10000))=LedAcct,INDEX(j_DrAmt,MOD($L347,10000)),0)+IF(LedAcct=acctTax,INDEX(j_TaxDr,MOD($L347,10000)),0))</f>
        <v/>
      </c>
      <c r="I347" s="95">
        <f>IF($L347="","",IF(INDEX(j_CrAcct,MOD($L347,10000))=LedAcct,INDEX(j_CrAmt,MOD($L347,10000)),0)+IF(LedAcct=acctTax,INDEX(j_TaxCr,MOD($L347,10000)),0))</f>
        <v/>
      </c>
      <c r="J347" s="95">
        <f>IF($L347="","",N(J346)+LedSign*(H347-I347))</f>
        <v/>
      </c>
      <c r="L347" s="96">
        <f>IFERROR(SMALL(j_Key,332),"")</f>
        <v/>
      </c>
    </row>
    <row r="348">
      <c r="B348" s="58">
        <f>IF($L348="","",333)</f>
        <v/>
      </c>
      <c r="C348" s="94">
        <f>IF($L348="","",INDEX(j_Date,MOD($L348,10000)))</f>
        <v/>
      </c>
      <c r="D348" s="58">
        <f>IF($L348="","",INDEX(j_Source,MOD($L348,10000)))</f>
        <v/>
      </c>
      <c r="E348" s="58">
        <f>IF($L348="","",INDEX(j_ID,MOD($L348,10000)))</f>
        <v/>
      </c>
      <c r="F348" s="58">
        <f>IF($L348="","",INDEX(j_Desc,MOD($L348,10000)))</f>
        <v/>
      </c>
      <c r="G348" s="58">
        <f>IF($L348="","",INDEX(j_Party,MOD($L348,10000)))</f>
        <v/>
      </c>
      <c r="H348" s="95">
        <f>IF($L348="","",IF(INDEX(j_DrAcct,MOD($L348,10000))=LedAcct,INDEX(j_DrAmt,MOD($L348,10000)),0)+IF(LedAcct=acctTax,INDEX(j_TaxDr,MOD($L348,10000)),0))</f>
        <v/>
      </c>
      <c r="I348" s="95">
        <f>IF($L348="","",IF(INDEX(j_CrAcct,MOD($L348,10000))=LedAcct,INDEX(j_CrAmt,MOD($L348,10000)),0)+IF(LedAcct=acctTax,INDEX(j_TaxCr,MOD($L348,10000)),0))</f>
        <v/>
      </c>
      <c r="J348" s="95">
        <f>IF($L348="","",N(J347)+LedSign*(H348-I348))</f>
        <v/>
      </c>
      <c r="L348" s="96">
        <f>IFERROR(SMALL(j_Key,333),"")</f>
        <v/>
      </c>
    </row>
    <row r="349">
      <c r="B349" s="58">
        <f>IF($L349="","",334)</f>
        <v/>
      </c>
      <c r="C349" s="94">
        <f>IF($L349="","",INDEX(j_Date,MOD($L349,10000)))</f>
        <v/>
      </c>
      <c r="D349" s="58">
        <f>IF($L349="","",INDEX(j_Source,MOD($L349,10000)))</f>
        <v/>
      </c>
      <c r="E349" s="58">
        <f>IF($L349="","",INDEX(j_ID,MOD($L349,10000)))</f>
        <v/>
      </c>
      <c r="F349" s="58">
        <f>IF($L349="","",INDEX(j_Desc,MOD($L349,10000)))</f>
        <v/>
      </c>
      <c r="G349" s="58">
        <f>IF($L349="","",INDEX(j_Party,MOD($L349,10000)))</f>
        <v/>
      </c>
      <c r="H349" s="95">
        <f>IF($L349="","",IF(INDEX(j_DrAcct,MOD($L349,10000))=LedAcct,INDEX(j_DrAmt,MOD($L349,10000)),0)+IF(LedAcct=acctTax,INDEX(j_TaxDr,MOD($L349,10000)),0))</f>
        <v/>
      </c>
      <c r="I349" s="95">
        <f>IF($L349="","",IF(INDEX(j_CrAcct,MOD($L349,10000))=LedAcct,INDEX(j_CrAmt,MOD($L349,10000)),0)+IF(LedAcct=acctTax,INDEX(j_TaxCr,MOD($L349,10000)),0))</f>
        <v/>
      </c>
      <c r="J349" s="95">
        <f>IF($L349="","",N(J348)+LedSign*(H349-I349))</f>
        <v/>
      </c>
      <c r="L349" s="96">
        <f>IFERROR(SMALL(j_Key,334),"")</f>
        <v/>
      </c>
    </row>
    <row r="350">
      <c r="B350" s="58">
        <f>IF($L350="","",335)</f>
        <v/>
      </c>
      <c r="C350" s="94">
        <f>IF($L350="","",INDEX(j_Date,MOD($L350,10000)))</f>
        <v/>
      </c>
      <c r="D350" s="58">
        <f>IF($L350="","",INDEX(j_Source,MOD($L350,10000)))</f>
        <v/>
      </c>
      <c r="E350" s="58">
        <f>IF($L350="","",INDEX(j_ID,MOD($L350,10000)))</f>
        <v/>
      </c>
      <c r="F350" s="58">
        <f>IF($L350="","",INDEX(j_Desc,MOD($L350,10000)))</f>
        <v/>
      </c>
      <c r="G350" s="58">
        <f>IF($L350="","",INDEX(j_Party,MOD($L350,10000)))</f>
        <v/>
      </c>
      <c r="H350" s="95">
        <f>IF($L350="","",IF(INDEX(j_DrAcct,MOD($L350,10000))=LedAcct,INDEX(j_DrAmt,MOD($L350,10000)),0)+IF(LedAcct=acctTax,INDEX(j_TaxDr,MOD($L350,10000)),0))</f>
        <v/>
      </c>
      <c r="I350" s="95">
        <f>IF($L350="","",IF(INDEX(j_CrAcct,MOD($L350,10000))=LedAcct,INDEX(j_CrAmt,MOD($L350,10000)),0)+IF(LedAcct=acctTax,INDEX(j_TaxCr,MOD($L350,10000)),0))</f>
        <v/>
      </c>
      <c r="J350" s="95">
        <f>IF($L350="","",N(J349)+LedSign*(H350-I350))</f>
        <v/>
      </c>
      <c r="L350" s="96">
        <f>IFERROR(SMALL(j_Key,335),"")</f>
        <v/>
      </c>
    </row>
    <row r="351">
      <c r="B351" s="58">
        <f>IF($L351="","",336)</f>
        <v/>
      </c>
      <c r="C351" s="94">
        <f>IF($L351="","",INDEX(j_Date,MOD($L351,10000)))</f>
        <v/>
      </c>
      <c r="D351" s="58">
        <f>IF($L351="","",INDEX(j_Source,MOD($L351,10000)))</f>
        <v/>
      </c>
      <c r="E351" s="58">
        <f>IF($L351="","",INDEX(j_ID,MOD($L351,10000)))</f>
        <v/>
      </c>
      <c r="F351" s="58">
        <f>IF($L351="","",INDEX(j_Desc,MOD($L351,10000)))</f>
        <v/>
      </c>
      <c r="G351" s="58">
        <f>IF($L351="","",INDEX(j_Party,MOD($L351,10000)))</f>
        <v/>
      </c>
      <c r="H351" s="95">
        <f>IF($L351="","",IF(INDEX(j_DrAcct,MOD($L351,10000))=LedAcct,INDEX(j_DrAmt,MOD($L351,10000)),0)+IF(LedAcct=acctTax,INDEX(j_TaxDr,MOD($L351,10000)),0))</f>
        <v/>
      </c>
      <c r="I351" s="95">
        <f>IF($L351="","",IF(INDEX(j_CrAcct,MOD($L351,10000))=LedAcct,INDEX(j_CrAmt,MOD($L351,10000)),0)+IF(LedAcct=acctTax,INDEX(j_TaxCr,MOD($L351,10000)),0))</f>
        <v/>
      </c>
      <c r="J351" s="95">
        <f>IF($L351="","",N(J350)+LedSign*(H351-I351))</f>
        <v/>
      </c>
      <c r="L351" s="96">
        <f>IFERROR(SMALL(j_Key,336),"")</f>
        <v/>
      </c>
    </row>
    <row r="352">
      <c r="B352" s="58">
        <f>IF($L352="","",337)</f>
        <v/>
      </c>
      <c r="C352" s="94">
        <f>IF($L352="","",INDEX(j_Date,MOD($L352,10000)))</f>
        <v/>
      </c>
      <c r="D352" s="58">
        <f>IF($L352="","",INDEX(j_Source,MOD($L352,10000)))</f>
        <v/>
      </c>
      <c r="E352" s="58">
        <f>IF($L352="","",INDEX(j_ID,MOD($L352,10000)))</f>
        <v/>
      </c>
      <c r="F352" s="58">
        <f>IF($L352="","",INDEX(j_Desc,MOD($L352,10000)))</f>
        <v/>
      </c>
      <c r="G352" s="58">
        <f>IF($L352="","",INDEX(j_Party,MOD($L352,10000)))</f>
        <v/>
      </c>
      <c r="H352" s="95">
        <f>IF($L352="","",IF(INDEX(j_DrAcct,MOD($L352,10000))=LedAcct,INDEX(j_DrAmt,MOD($L352,10000)),0)+IF(LedAcct=acctTax,INDEX(j_TaxDr,MOD($L352,10000)),0))</f>
        <v/>
      </c>
      <c r="I352" s="95">
        <f>IF($L352="","",IF(INDEX(j_CrAcct,MOD($L352,10000))=LedAcct,INDEX(j_CrAmt,MOD($L352,10000)),0)+IF(LedAcct=acctTax,INDEX(j_TaxCr,MOD($L352,10000)),0))</f>
        <v/>
      </c>
      <c r="J352" s="95">
        <f>IF($L352="","",N(J351)+LedSign*(H352-I352))</f>
        <v/>
      </c>
      <c r="L352" s="96">
        <f>IFERROR(SMALL(j_Key,337),"")</f>
        <v/>
      </c>
    </row>
    <row r="353">
      <c r="B353" s="58">
        <f>IF($L353="","",338)</f>
        <v/>
      </c>
      <c r="C353" s="94">
        <f>IF($L353="","",INDEX(j_Date,MOD($L353,10000)))</f>
        <v/>
      </c>
      <c r="D353" s="58">
        <f>IF($L353="","",INDEX(j_Source,MOD($L353,10000)))</f>
        <v/>
      </c>
      <c r="E353" s="58">
        <f>IF($L353="","",INDEX(j_ID,MOD($L353,10000)))</f>
        <v/>
      </c>
      <c r="F353" s="58">
        <f>IF($L353="","",INDEX(j_Desc,MOD($L353,10000)))</f>
        <v/>
      </c>
      <c r="G353" s="58">
        <f>IF($L353="","",INDEX(j_Party,MOD($L353,10000)))</f>
        <v/>
      </c>
      <c r="H353" s="95">
        <f>IF($L353="","",IF(INDEX(j_DrAcct,MOD($L353,10000))=LedAcct,INDEX(j_DrAmt,MOD($L353,10000)),0)+IF(LedAcct=acctTax,INDEX(j_TaxDr,MOD($L353,10000)),0))</f>
        <v/>
      </c>
      <c r="I353" s="95">
        <f>IF($L353="","",IF(INDEX(j_CrAcct,MOD($L353,10000))=LedAcct,INDEX(j_CrAmt,MOD($L353,10000)),0)+IF(LedAcct=acctTax,INDEX(j_TaxCr,MOD($L353,10000)),0))</f>
        <v/>
      </c>
      <c r="J353" s="95">
        <f>IF($L353="","",N(J352)+LedSign*(H353-I353))</f>
        <v/>
      </c>
      <c r="L353" s="96">
        <f>IFERROR(SMALL(j_Key,338),"")</f>
        <v/>
      </c>
    </row>
    <row r="354">
      <c r="B354" s="58">
        <f>IF($L354="","",339)</f>
        <v/>
      </c>
      <c r="C354" s="94">
        <f>IF($L354="","",INDEX(j_Date,MOD($L354,10000)))</f>
        <v/>
      </c>
      <c r="D354" s="58">
        <f>IF($L354="","",INDEX(j_Source,MOD($L354,10000)))</f>
        <v/>
      </c>
      <c r="E354" s="58">
        <f>IF($L354="","",INDEX(j_ID,MOD($L354,10000)))</f>
        <v/>
      </c>
      <c r="F354" s="58">
        <f>IF($L354="","",INDEX(j_Desc,MOD($L354,10000)))</f>
        <v/>
      </c>
      <c r="G354" s="58">
        <f>IF($L354="","",INDEX(j_Party,MOD($L354,10000)))</f>
        <v/>
      </c>
      <c r="H354" s="95">
        <f>IF($L354="","",IF(INDEX(j_DrAcct,MOD($L354,10000))=LedAcct,INDEX(j_DrAmt,MOD($L354,10000)),0)+IF(LedAcct=acctTax,INDEX(j_TaxDr,MOD($L354,10000)),0))</f>
        <v/>
      </c>
      <c r="I354" s="95">
        <f>IF($L354="","",IF(INDEX(j_CrAcct,MOD($L354,10000))=LedAcct,INDEX(j_CrAmt,MOD($L354,10000)),0)+IF(LedAcct=acctTax,INDEX(j_TaxCr,MOD($L354,10000)),0))</f>
        <v/>
      </c>
      <c r="J354" s="95">
        <f>IF($L354="","",N(J353)+LedSign*(H354-I354))</f>
        <v/>
      </c>
      <c r="L354" s="96">
        <f>IFERROR(SMALL(j_Key,339),"")</f>
        <v/>
      </c>
    </row>
    <row r="355">
      <c r="B355" s="58">
        <f>IF($L355="","",340)</f>
        <v/>
      </c>
      <c r="C355" s="94">
        <f>IF($L355="","",INDEX(j_Date,MOD($L355,10000)))</f>
        <v/>
      </c>
      <c r="D355" s="58">
        <f>IF($L355="","",INDEX(j_Source,MOD($L355,10000)))</f>
        <v/>
      </c>
      <c r="E355" s="58">
        <f>IF($L355="","",INDEX(j_ID,MOD($L355,10000)))</f>
        <v/>
      </c>
      <c r="F355" s="58">
        <f>IF($L355="","",INDEX(j_Desc,MOD($L355,10000)))</f>
        <v/>
      </c>
      <c r="G355" s="58">
        <f>IF($L355="","",INDEX(j_Party,MOD($L355,10000)))</f>
        <v/>
      </c>
      <c r="H355" s="95">
        <f>IF($L355="","",IF(INDEX(j_DrAcct,MOD($L355,10000))=LedAcct,INDEX(j_DrAmt,MOD($L355,10000)),0)+IF(LedAcct=acctTax,INDEX(j_TaxDr,MOD($L355,10000)),0))</f>
        <v/>
      </c>
      <c r="I355" s="95">
        <f>IF($L355="","",IF(INDEX(j_CrAcct,MOD($L355,10000))=LedAcct,INDEX(j_CrAmt,MOD($L355,10000)),0)+IF(LedAcct=acctTax,INDEX(j_TaxCr,MOD($L355,10000)),0))</f>
        <v/>
      </c>
      <c r="J355" s="95">
        <f>IF($L355="","",N(J354)+LedSign*(H355-I355))</f>
        <v/>
      </c>
      <c r="L355" s="96">
        <f>IFERROR(SMALL(j_Key,340),"")</f>
        <v/>
      </c>
    </row>
    <row r="356">
      <c r="B356" s="58">
        <f>IF($L356="","",341)</f>
        <v/>
      </c>
      <c r="C356" s="94">
        <f>IF($L356="","",INDEX(j_Date,MOD($L356,10000)))</f>
        <v/>
      </c>
      <c r="D356" s="58">
        <f>IF($L356="","",INDEX(j_Source,MOD($L356,10000)))</f>
        <v/>
      </c>
      <c r="E356" s="58">
        <f>IF($L356="","",INDEX(j_ID,MOD($L356,10000)))</f>
        <v/>
      </c>
      <c r="F356" s="58">
        <f>IF($L356="","",INDEX(j_Desc,MOD($L356,10000)))</f>
        <v/>
      </c>
      <c r="G356" s="58">
        <f>IF($L356="","",INDEX(j_Party,MOD($L356,10000)))</f>
        <v/>
      </c>
      <c r="H356" s="95">
        <f>IF($L356="","",IF(INDEX(j_DrAcct,MOD($L356,10000))=LedAcct,INDEX(j_DrAmt,MOD($L356,10000)),0)+IF(LedAcct=acctTax,INDEX(j_TaxDr,MOD($L356,10000)),0))</f>
        <v/>
      </c>
      <c r="I356" s="95">
        <f>IF($L356="","",IF(INDEX(j_CrAcct,MOD($L356,10000))=LedAcct,INDEX(j_CrAmt,MOD($L356,10000)),0)+IF(LedAcct=acctTax,INDEX(j_TaxCr,MOD($L356,10000)),0))</f>
        <v/>
      </c>
      <c r="J356" s="95">
        <f>IF($L356="","",N(J355)+LedSign*(H356-I356))</f>
        <v/>
      </c>
      <c r="L356" s="96">
        <f>IFERROR(SMALL(j_Key,341),"")</f>
        <v/>
      </c>
    </row>
    <row r="357">
      <c r="B357" s="58">
        <f>IF($L357="","",342)</f>
        <v/>
      </c>
      <c r="C357" s="94">
        <f>IF($L357="","",INDEX(j_Date,MOD($L357,10000)))</f>
        <v/>
      </c>
      <c r="D357" s="58">
        <f>IF($L357="","",INDEX(j_Source,MOD($L357,10000)))</f>
        <v/>
      </c>
      <c r="E357" s="58">
        <f>IF($L357="","",INDEX(j_ID,MOD($L357,10000)))</f>
        <v/>
      </c>
      <c r="F357" s="58">
        <f>IF($L357="","",INDEX(j_Desc,MOD($L357,10000)))</f>
        <v/>
      </c>
      <c r="G357" s="58">
        <f>IF($L357="","",INDEX(j_Party,MOD($L357,10000)))</f>
        <v/>
      </c>
      <c r="H357" s="95">
        <f>IF($L357="","",IF(INDEX(j_DrAcct,MOD($L357,10000))=LedAcct,INDEX(j_DrAmt,MOD($L357,10000)),0)+IF(LedAcct=acctTax,INDEX(j_TaxDr,MOD($L357,10000)),0))</f>
        <v/>
      </c>
      <c r="I357" s="95">
        <f>IF($L357="","",IF(INDEX(j_CrAcct,MOD($L357,10000))=LedAcct,INDEX(j_CrAmt,MOD($L357,10000)),0)+IF(LedAcct=acctTax,INDEX(j_TaxCr,MOD($L357,10000)),0))</f>
        <v/>
      </c>
      <c r="J357" s="95">
        <f>IF($L357="","",N(J356)+LedSign*(H357-I357))</f>
        <v/>
      </c>
      <c r="L357" s="96">
        <f>IFERROR(SMALL(j_Key,342),"")</f>
        <v/>
      </c>
    </row>
    <row r="358">
      <c r="B358" s="58">
        <f>IF($L358="","",343)</f>
        <v/>
      </c>
      <c r="C358" s="94">
        <f>IF($L358="","",INDEX(j_Date,MOD($L358,10000)))</f>
        <v/>
      </c>
      <c r="D358" s="58">
        <f>IF($L358="","",INDEX(j_Source,MOD($L358,10000)))</f>
        <v/>
      </c>
      <c r="E358" s="58">
        <f>IF($L358="","",INDEX(j_ID,MOD($L358,10000)))</f>
        <v/>
      </c>
      <c r="F358" s="58">
        <f>IF($L358="","",INDEX(j_Desc,MOD($L358,10000)))</f>
        <v/>
      </c>
      <c r="G358" s="58">
        <f>IF($L358="","",INDEX(j_Party,MOD($L358,10000)))</f>
        <v/>
      </c>
      <c r="H358" s="95">
        <f>IF($L358="","",IF(INDEX(j_DrAcct,MOD($L358,10000))=LedAcct,INDEX(j_DrAmt,MOD($L358,10000)),0)+IF(LedAcct=acctTax,INDEX(j_TaxDr,MOD($L358,10000)),0))</f>
        <v/>
      </c>
      <c r="I358" s="95">
        <f>IF($L358="","",IF(INDEX(j_CrAcct,MOD($L358,10000))=LedAcct,INDEX(j_CrAmt,MOD($L358,10000)),0)+IF(LedAcct=acctTax,INDEX(j_TaxCr,MOD($L358,10000)),0))</f>
        <v/>
      </c>
      <c r="J358" s="95">
        <f>IF($L358="","",N(J357)+LedSign*(H358-I358))</f>
        <v/>
      </c>
      <c r="L358" s="96">
        <f>IFERROR(SMALL(j_Key,343),"")</f>
        <v/>
      </c>
    </row>
    <row r="359">
      <c r="B359" s="58">
        <f>IF($L359="","",344)</f>
        <v/>
      </c>
      <c r="C359" s="94">
        <f>IF($L359="","",INDEX(j_Date,MOD($L359,10000)))</f>
        <v/>
      </c>
      <c r="D359" s="58">
        <f>IF($L359="","",INDEX(j_Source,MOD($L359,10000)))</f>
        <v/>
      </c>
      <c r="E359" s="58">
        <f>IF($L359="","",INDEX(j_ID,MOD($L359,10000)))</f>
        <v/>
      </c>
      <c r="F359" s="58">
        <f>IF($L359="","",INDEX(j_Desc,MOD($L359,10000)))</f>
        <v/>
      </c>
      <c r="G359" s="58">
        <f>IF($L359="","",INDEX(j_Party,MOD($L359,10000)))</f>
        <v/>
      </c>
      <c r="H359" s="95">
        <f>IF($L359="","",IF(INDEX(j_DrAcct,MOD($L359,10000))=LedAcct,INDEX(j_DrAmt,MOD($L359,10000)),0)+IF(LedAcct=acctTax,INDEX(j_TaxDr,MOD($L359,10000)),0))</f>
        <v/>
      </c>
      <c r="I359" s="95">
        <f>IF($L359="","",IF(INDEX(j_CrAcct,MOD($L359,10000))=LedAcct,INDEX(j_CrAmt,MOD($L359,10000)),0)+IF(LedAcct=acctTax,INDEX(j_TaxCr,MOD($L359,10000)),0))</f>
        <v/>
      </c>
      <c r="J359" s="95">
        <f>IF($L359="","",N(J358)+LedSign*(H359-I359))</f>
        <v/>
      </c>
      <c r="L359" s="96">
        <f>IFERROR(SMALL(j_Key,344),"")</f>
        <v/>
      </c>
    </row>
    <row r="360">
      <c r="B360" s="58">
        <f>IF($L360="","",345)</f>
        <v/>
      </c>
      <c r="C360" s="94">
        <f>IF($L360="","",INDEX(j_Date,MOD($L360,10000)))</f>
        <v/>
      </c>
      <c r="D360" s="58">
        <f>IF($L360="","",INDEX(j_Source,MOD($L360,10000)))</f>
        <v/>
      </c>
      <c r="E360" s="58">
        <f>IF($L360="","",INDEX(j_ID,MOD($L360,10000)))</f>
        <v/>
      </c>
      <c r="F360" s="58">
        <f>IF($L360="","",INDEX(j_Desc,MOD($L360,10000)))</f>
        <v/>
      </c>
      <c r="G360" s="58">
        <f>IF($L360="","",INDEX(j_Party,MOD($L360,10000)))</f>
        <v/>
      </c>
      <c r="H360" s="95">
        <f>IF($L360="","",IF(INDEX(j_DrAcct,MOD($L360,10000))=LedAcct,INDEX(j_DrAmt,MOD($L360,10000)),0)+IF(LedAcct=acctTax,INDEX(j_TaxDr,MOD($L360,10000)),0))</f>
        <v/>
      </c>
      <c r="I360" s="95">
        <f>IF($L360="","",IF(INDEX(j_CrAcct,MOD($L360,10000))=LedAcct,INDEX(j_CrAmt,MOD($L360,10000)),0)+IF(LedAcct=acctTax,INDEX(j_TaxCr,MOD($L360,10000)),0))</f>
        <v/>
      </c>
      <c r="J360" s="95">
        <f>IF($L360="","",N(J359)+LedSign*(H360-I360))</f>
        <v/>
      </c>
      <c r="L360" s="96">
        <f>IFERROR(SMALL(j_Key,345),"")</f>
        <v/>
      </c>
    </row>
    <row r="361">
      <c r="B361" s="58">
        <f>IF($L361="","",346)</f>
        <v/>
      </c>
      <c r="C361" s="94">
        <f>IF($L361="","",INDEX(j_Date,MOD($L361,10000)))</f>
        <v/>
      </c>
      <c r="D361" s="58">
        <f>IF($L361="","",INDEX(j_Source,MOD($L361,10000)))</f>
        <v/>
      </c>
      <c r="E361" s="58">
        <f>IF($L361="","",INDEX(j_ID,MOD($L361,10000)))</f>
        <v/>
      </c>
      <c r="F361" s="58">
        <f>IF($L361="","",INDEX(j_Desc,MOD($L361,10000)))</f>
        <v/>
      </c>
      <c r="G361" s="58">
        <f>IF($L361="","",INDEX(j_Party,MOD($L361,10000)))</f>
        <v/>
      </c>
      <c r="H361" s="95">
        <f>IF($L361="","",IF(INDEX(j_DrAcct,MOD($L361,10000))=LedAcct,INDEX(j_DrAmt,MOD($L361,10000)),0)+IF(LedAcct=acctTax,INDEX(j_TaxDr,MOD($L361,10000)),0))</f>
        <v/>
      </c>
      <c r="I361" s="95">
        <f>IF($L361="","",IF(INDEX(j_CrAcct,MOD($L361,10000))=LedAcct,INDEX(j_CrAmt,MOD($L361,10000)),0)+IF(LedAcct=acctTax,INDEX(j_TaxCr,MOD($L361,10000)),0))</f>
        <v/>
      </c>
      <c r="J361" s="95">
        <f>IF($L361="","",N(J360)+LedSign*(H361-I361))</f>
        <v/>
      </c>
      <c r="L361" s="96">
        <f>IFERROR(SMALL(j_Key,346),"")</f>
        <v/>
      </c>
    </row>
    <row r="362">
      <c r="B362" s="58">
        <f>IF($L362="","",347)</f>
        <v/>
      </c>
      <c r="C362" s="94">
        <f>IF($L362="","",INDEX(j_Date,MOD($L362,10000)))</f>
        <v/>
      </c>
      <c r="D362" s="58">
        <f>IF($L362="","",INDEX(j_Source,MOD($L362,10000)))</f>
        <v/>
      </c>
      <c r="E362" s="58">
        <f>IF($L362="","",INDEX(j_ID,MOD($L362,10000)))</f>
        <v/>
      </c>
      <c r="F362" s="58">
        <f>IF($L362="","",INDEX(j_Desc,MOD($L362,10000)))</f>
        <v/>
      </c>
      <c r="G362" s="58">
        <f>IF($L362="","",INDEX(j_Party,MOD($L362,10000)))</f>
        <v/>
      </c>
      <c r="H362" s="95">
        <f>IF($L362="","",IF(INDEX(j_DrAcct,MOD($L362,10000))=LedAcct,INDEX(j_DrAmt,MOD($L362,10000)),0)+IF(LedAcct=acctTax,INDEX(j_TaxDr,MOD($L362,10000)),0))</f>
        <v/>
      </c>
      <c r="I362" s="95">
        <f>IF($L362="","",IF(INDEX(j_CrAcct,MOD($L362,10000))=LedAcct,INDEX(j_CrAmt,MOD($L362,10000)),0)+IF(LedAcct=acctTax,INDEX(j_TaxCr,MOD($L362,10000)),0))</f>
        <v/>
      </c>
      <c r="J362" s="95">
        <f>IF($L362="","",N(J361)+LedSign*(H362-I362))</f>
        <v/>
      </c>
      <c r="L362" s="96">
        <f>IFERROR(SMALL(j_Key,347),"")</f>
        <v/>
      </c>
    </row>
    <row r="363">
      <c r="B363" s="58">
        <f>IF($L363="","",348)</f>
        <v/>
      </c>
      <c r="C363" s="94">
        <f>IF($L363="","",INDEX(j_Date,MOD($L363,10000)))</f>
        <v/>
      </c>
      <c r="D363" s="58">
        <f>IF($L363="","",INDEX(j_Source,MOD($L363,10000)))</f>
        <v/>
      </c>
      <c r="E363" s="58">
        <f>IF($L363="","",INDEX(j_ID,MOD($L363,10000)))</f>
        <v/>
      </c>
      <c r="F363" s="58">
        <f>IF($L363="","",INDEX(j_Desc,MOD($L363,10000)))</f>
        <v/>
      </c>
      <c r="G363" s="58">
        <f>IF($L363="","",INDEX(j_Party,MOD($L363,10000)))</f>
        <v/>
      </c>
      <c r="H363" s="95">
        <f>IF($L363="","",IF(INDEX(j_DrAcct,MOD($L363,10000))=LedAcct,INDEX(j_DrAmt,MOD($L363,10000)),0)+IF(LedAcct=acctTax,INDEX(j_TaxDr,MOD($L363,10000)),0))</f>
        <v/>
      </c>
      <c r="I363" s="95">
        <f>IF($L363="","",IF(INDEX(j_CrAcct,MOD($L363,10000))=LedAcct,INDEX(j_CrAmt,MOD($L363,10000)),0)+IF(LedAcct=acctTax,INDEX(j_TaxCr,MOD($L363,10000)),0))</f>
        <v/>
      </c>
      <c r="J363" s="95">
        <f>IF($L363="","",N(J362)+LedSign*(H363-I363))</f>
        <v/>
      </c>
      <c r="L363" s="96">
        <f>IFERROR(SMALL(j_Key,348),"")</f>
        <v/>
      </c>
    </row>
    <row r="364">
      <c r="B364" s="58">
        <f>IF($L364="","",349)</f>
        <v/>
      </c>
      <c r="C364" s="94">
        <f>IF($L364="","",INDEX(j_Date,MOD($L364,10000)))</f>
        <v/>
      </c>
      <c r="D364" s="58">
        <f>IF($L364="","",INDEX(j_Source,MOD($L364,10000)))</f>
        <v/>
      </c>
      <c r="E364" s="58">
        <f>IF($L364="","",INDEX(j_ID,MOD($L364,10000)))</f>
        <v/>
      </c>
      <c r="F364" s="58">
        <f>IF($L364="","",INDEX(j_Desc,MOD($L364,10000)))</f>
        <v/>
      </c>
      <c r="G364" s="58">
        <f>IF($L364="","",INDEX(j_Party,MOD($L364,10000)))</f>
        <v/>
      </c>
      <c r="H364" s="95">
        <f>IF($L364="","",IF(INDEX(j_DrAcct,MOD($L364,10000))=LedAcct,INDEX(j_DrAmt,MOD($L364,10000)),0)+IF(LedAcct=acctTax,INDEX(j_TaxDr,MOD($L364,10000)),0))</f>
        <v/>
      </c>
      <c r="I364" s="95">
        <f>IF($L364="","",IF(INDEX(j_CrAcct,MOD($L364,10000))=LedAcct,INDEX(j_CrAmt,MOD($L364,10000)),0)+IF(LedAcct=acctTax,INDEX(j_TaxCr,MOD($L364,10000)),0))</f>
        <v/>
      </c>
      <c r="J364" s="95">
        <f>IF($L364="","",N(J363)+LedSign*(H364-I364))</f>
        <v/>
      </c>
      <c r="L364" s="96">
        <f>IFERROR(SMALL(j_Key,349),"")</f>
        <v/>
      </c>
    </row>
    <row r="365">
      <c r="B365" s="58">
        <f>IF($L365="","",350)</f>
        <v/>
      </c>
      <c r="C365" s="94">
        <f>IF($L365="","",INDEX(j_Date,MOD($L365,10000)))</f>
        <v/>
      </c>
      <c r="D365" s="58">
        <f>IF($L365="","",INDEX(j_Source,MOD($L365,10000)))</f>
        <v/>
      </c>
      <c r="E365" s="58">
        <f>IF($L365="","",INDEX(j_ID,MOD($L365,10000)))</f>
        <v/>
      </c>
      <c r="F365" s="58">
        <f>IF($L365="","",INDEX(j_Desc,MOD($L365,10000)))</f>
        <v/>
      </c>
      <c r="G365" s="58">
        <f>IF($L365="","",INDEX(j_Party,MOD($L365,10000)))</f>
        <v/>
      </c>
      <c r="H365" s="95">
        <f>IF($L365="","",IF(INDEX(j_DrAcct,MOD($L365,10000))=LedAcct,INDEX(j_DrAmt,MOD($L365,10000)),0)+IF(LedAcct=acctTax,INDEX(j_TaxDr,MOD($L365,10000)),0))</f>
        <v/>
      </c>
      <c r="I365" s="95">
        <f>IF($L365="","",IF(INDEX(j_CrAcct,MOD($L365,10000))=LedAcct,INDEX(j_CrAmt,MOD($L365,10000)),0)+IF(LedAcct=acctTax,INDEX(j_TaxCr,MOD($L365,10000)),0))</f>
        <v/>
      </c>
      <c r="J365" s="95">
        <f>IF($L365="","",N(J364)+LedSign*(H365-I365))</f>
        <v/>
      </c>
      <c r="L365" s="96">
        <f>IFERROR(SMALL(j_Key,350),"")</f>
        <v/>
      </c>
    </row>
    <row r="366">
      <c r="B366" s="58">
        <f>IF($L366="","",351)</f>
        <v/>
      </c>
      <c r="C366" s="94">
        <f>IF($L366="","",INDEX(j_Date,MOD($L366,10000)))</f>
        <v/>
      </c>
      <c r="D366" s="58">
        <f>IF($L366="","",INDEX(j_Source,MOD($L366,10000)))</f>
        <v/>
      </c>
      <c r="E366" s="58">
        <f>IF($L366="","",INDEX(j_ID,MOD($L366,10000)))</f>
        <v/>
      </c>
      <c r="F366" s="58">
        <f>IF($L366="","",INDEX(j_Desc,MOD($L366,10000)))</f>
        <v/>
      </c>
      <c r="G366" s="58">
        <f>IF($L366="","",INDEX(j_Party,MOD($L366,10000)))</f>
        <v/>
      </c>
      <c r="H366" s="95">
        <f>IF($L366="","",IF(INDEX(j_DrAcct,MOD($L366,10000))=LedAcct,INDEX(j_DrAmt,MOD($L366,10000)),0)+IF(LedAcct=acctTax,INDEX(j_TaxDr,MOD($L366,10000)),0))</f>
        <v/>
      </c>
      <c r="I366" s="95">
        <f>IF($L366="","",IF(INDEX(j_CrAcct,MOD($L366,10000))=LedAcct,INDEX(j_CrAmt,MOD($L366,10000)),0)+IF(LedAcct=acctTax,INDEX(j_TaxCr,MOD($L366,10000)),0))</f>
        <v/>
      </c>
      <c r="J366" s="95">
        <f>IF($L366="","",N(J365)+LedSign*(H366-I366))</f>
        <v/>
      </c>
      <c r="L366" s="96">
        <f>IFERROR(SMALL(j_Key,351),"")</f>
        <v/>
      </c>
    </row>
    <row r="367">
      <c r="B367" s="58">
        <f>IF($L367="","",352)</f>
        <v/>
      </c>
      <c r="C367" s="94">
        <f>IF($L367="","",INDEX(j_Date,MOD($L367,10000)))</f>
        <v/>
      </c>
      <c r="D367" s="58">
        <f>IF($L367="","",INDEX(j_Source,MOD($L367,10000)))</f>
        <v/>
      </c>
      <c r="E367" s="58">
        <f>IF($L367="","",INDEX(j_ID,MOD($L367,10000)))</f>
        <v/>
      </c>
      <c r="F367" s="58">
        <f>IF($L367="","",INDEX(j_Desc,MOD($L367,10000)))</f>
        <v/>
      </c>
      <c r="G367" s="58">
        <f>IF($L367="","",INDEX(j_Party,MOD($L367,10000)))</f>
        <v/>
      </c>
      <c r="H367" s="95">
        <f>IF($L367="","",IF(INDEX(j_DrAcct,MOD($L367,10000))=LedAcct,INDEX(j_DrAmt,MOD($L367,10000)),0)+IF(LedAcct=acctTax,INDEX(j_TaxDr,MOD($L367,10000)),0))</f>
        <v/>
      </c>
      <c r="I367" s="95">
        <f>IF($L367="","",IF(INDEX(j_CrAcct,MOD($L367,10000))=LedAcct,INDEX(j_CrAmt,MOD($L367,10000)),0)+IF(LedAcct=acctTax,INDEX(j_TaxCr,MOD($L367,10000)),0))</f>
        <v/>
      </c>
      <c r="J367" s="95">
        <f>IF($L367="","",N(J366)+LedSign*(H367-I367))</f>
        <v/>
      </c>
      <c r="L367" s="96">
        <f>IFERROR(SMALL(j_Key,352),"")</f>
        <v/>
      </c>
    </row>
    <row r="368">
      <c r="B368" s="58">
        <f>IF($L368="","",353)</f>
        <v/>
      </c>
      <c r="C368" s="94">
        <f>IF($L368="","",INDEX(j_Date,MOD($L368,10000)))</f>
        <v/>
      </c>
      <c r="D368" s="58">
        <f>IF($L368="","",INDEX(j_Source,MOD($L368,10000)))</f>
        <v/>
      </c>
      <c r="E368" s="58">
        <f>IF($L368="","",INDEX(j_ID,MOD($L368,10000)))</f>
        <v/>
      </c>
      <c r="F368" s="58">
        <f>IF($L368="","",INDEX(j_Desc,MOD($L368,10000)))</f>
        <v/>
      </c>
      <c r="G368" s="58">
        <f>IF($L368="","",INDEX(j_Party,MOD($L368,10000)))</f>
        <v/>
      </c>
      <c r="H368" s="95">
        <f>IF($L368="","",IF(INDEX(j_DrAcct,MOD($L368,10000))=LedAcct,INDEX(j_DrAmt,MOD($L368,10000)),0)+IF(LedAcct=acctTax,INDEX(j_TaxDr,MOD($L368,10000)),0))</f>
        <v/>
      </c>
      <c r="I368" s="95">
        <f>IF($L368="","",IF(INDEX(j_CrAcct,MOD($L368,10000))=LedAcct,INDEX(j_CrAmt,MOD($L368,10000)),0)+IF(LedAcct=acctTax,INDEX(j_TaxCr,MOD($L368,10000)),0))</f>
        <v/>
      </c>
      <c r="J368" s="95">
        <f>IF($L368="","",N(J367)+LedSign*(H368-I368))</f>
        <v/>
      </c>
      <c r="L368" s="96">
        <f>IFERROR(SMALL(j_Key,353),"")</f>
        <v/>
      </c>
    </row>
    <row r="369">
      <c r="B369" s="58">
        <f>IF($L369="","",354)</f>
        <v/>
      </c>
      <c r="C369" s="94">
        <f>IF($L369="","",INDEX(j_Date,MOD($L369,10000)))</f>
        <v/>
      </c>
      <c r="D369" s="58">
        <f>IF($L369="","",INDEX(j_Source,MOD($L369,10000)))</f>
        <v/>
      </c>
      <c r="E369" s="58">
        <f>IF($L369="","",INDEX(j_ID,MOD($L369,10000)))</f>
        <v/>
      </c>
      <c r="F369" s="58">
        <f>IF($L369="","",INDEX(j_Desc,MOD($L369,10000)))</f>
        <v/>
      </c>
      <c r="G369" s="58">
        <f>IF($L369="","",INDEX(j_Party,MOD($L369,10000)))</f>
        <v/>
      </c>
      <c r="H369" s="95">
        <f>IF($L369="","",IF(INDEX(j_DrAcct,MOD($L369,10000))=LedAcct,INDEX(j_DrAmt,MOD($L369,10000)),0)+IF(LedAcct=acctTax,INDEX(j_TaxDr,MOD($L369,10000)),0))</f>
        <v/>
      </c>
      <c r="I369" s="95">
        <f>IF($L369="","",IF(INDEX(j_CrAcct,MOD($L369,10000))=LedAcct,INDEX(j_CrAmt,MOD($L369,10000)),0)+IF(LedAcct=acctTax,INDEX(j_TaxCr,MOD($L369,10000)),0))</f>
        <v/>
      </c>
      <c r="J369" s="95">
        <f>IF($L369="","",N(J368)+LedSign*(H369-I369))</f>
        <v/>
      </c>
      <c r="L369" s="96">
        <f>IFERROR(SMALL(j_Key,354),"")</f>
        <v/>
      </c>
    </row>
    <row r="370">
      <c r="B370" s="58">
        <f>IF($L370="","",355)</f>
        <v/>
      </c>
      <c r="C370" s="94">
        <f>IF($L370="","",INDEX(j_Date,MOD($L370,10000)))</f>
        <v/>
      </c>
      <c r="D370" s="58">
        <f>IF($L370="","",INDEX(j_Source,MOD($L370,10000)))</f>
        <v/>
      </c>
      <c r="E370" s="58">
        <f>IF($L370="","",INDEX(j_ID,MOD($L370,10000)))</f>
        <v/>
      </c>
      <c r="F370" s="58">
        <f>IF($L370="","",INDEX(j_Desc,MOD($L370,10000)))</f>
        <v/>
      </c>
      <c r="G370" s="58">
        <f>IF($L370="","",INDEX(j_Party,MOD($L370,10000)))</f>
        <v/>
      </c>
      <c r="H370" s="95">
        <f>IF($L370="","",IF(INDEX(j_DrAcct,MOD($L370,10000))=LedAcct,INDEX(j_DrAmt,MOD($L370,10000)),0)+IF(LedAcct=acctTax,INDEX(j_TaxDr,MOD($L370,10000)),0))</f>
        <v/>
      </c>
      <c r="I370" s="95">
        <f>IF($L370="","",IF(INDEX(j_CrAcct,MOD($L370,10000))=LedAcct,INDEX(j_CrAmt,MOD($L370,10000)),0)+IF(LedAcct=acctTax,INDEX(j_TaxCr,MOD($L370,10000)),0))</f>
        <v/>
      </c>
      <c r="J370" s="95">
        <f>IF($L370="","",N(J369)+LedSign*(H370-I370))</f>
        <v/>
      </c>
      <c r="L370" s="96">
        <f>IFERROR(SMALL(j_Key,355),"")</f>
        <v/>
      </c>
    </row>
    <row r="371">
      <c r="B371" s="58">
        <f>IF($L371="","",356)</f>
        <v/>
      </c>
      <c r="C371" s="94">
        <f>IF($L371="","",INDEX(j_Date,MOD($L371,10000)))</f>
        <v/>
      </c>
      <c r="D371" s="58">
        <f>IF($L371="","",INDEX(j_Source,MOD($L371,10000)))</f>
        <v/>
      </c>
      <c r="E371" s="58">
        <f>IF($L371="","",INDEX(j_ID,MOD($L371,10000)))</f>
        <v/>
      </c>
      <c r="F371" s="58">
        <f>IF($L371="","",INDEX(j_Desc,MOD($L371,10000)))</f>
        <v/>
      </c>
      <c r="G371" s="58">
        <f>IF($L371="","",INDEX(j_Party,MOD($L371,10000)))</f>
        <v/>
      </c>
      <c r="H371" s="95">
        <f>IF($L371="","",IF(INDEX(j_DrAcct,MOD($L371,10000))=LedAcct,INDEX(j_DrAmt,MOD($L371,10000)),0)+IF(LedAcct=acctTax,INDEX(j_TaxDr,MOD($L371,10000)),0))</f>
        <v/>
      </c>
      <c r="I371" s="95">
        <f>IF($L371="","",IF(INDEX(j_CrAcct,MOD($L371,10000))=LedAcct,INDEX(j_CrAmt,MOD($L371,10000)),0)+IF(LedAcct=acctTax,INDEX(j_TaxCr,MOD($L371,10000)),0))</f>
        <v/>
      </c>
      <c r="J371" s="95">
        <f>IF($L371="","",N(J370)+LedSign*(H371-I371))</f>
        <v/>
      </c>
      <c r="L371" s="96">
        <f>IFERROR(SMALL(j_Key,356),"")</f>
        <v/>
      </c>
    </row>
    <row r="372">
      <c r="B372" s="58">
        <f>IF($L372="","",357)</f>
        <v/>
      </c>
      <c r="C372" s="94">
        <f>IF($L372="","",INDEX(j_Date,MOD($L372,10000)))</f>
        <v/>
      </c>
      <c r="D372" s="58">
        <f>IF($L372="","",INDEX(j_Source,MOD($L372,10000)))</f>
        <v/>
      </c>
      <c r="E372" s="58">
        <f>IF($L372="","",INDEX(j_ID,MOD($L372,10000)))</f>
        <v/>
      </c>
      <c r="F372" s="58">
        <f>IF($L372="","",INDEX(j_Desc,MOD($L372,10000)))</f>
        <v/>
      </c>
      <c r="G372" s="58">
        <f>IF($L372="","",INDEX(j_Party,MOD($L372,10000)))</f>
        <v/>
      </c>
      <c r="H372" s="95">
        <f>IF($L372="","",IF(INDEX(j_DrAcct,MOD($L372,10000))=LedAcct,INDEX(j_DrAmt,MOD($L372,10000)),0)+IF(LedAcct=acctTax,INDEX(j_TaxDr,MOD($L372,10000)),0))</f>
        <v/>
      </c>
      <c r="I372" s="95">
        <f>IF($L372="","",IF(INDEX(j_CrAcct,MOD($L372,10000))=LedAcct,INDEX(j_CrAmt,MOD($L372,10000)),0)+IF(LedAcct=acctTax,INDEX(j_TaxCr,MOD($L372,10000)),0))</f>
        <v/>
      </c>
      <c r="J372" s="95">
        <f>IF($L372="","",N(J371)+LedSign*(H372-I372))</f>
        <v/>
      </c>
      <c r="L372" s="96">
        <f>IFERROR(SMALL(j_Key,357),"")</f>
        <v/>
      </c>
    </row>
    <row r="373">
      <c r="B373" s="58">
        <f>IF($L373="","",358)</f>
        <v/>
      </c>
      <c r="C373" s="94">
        <f>IF($L373="","",INDEX(j_Date,MOD($L373,10000)))</f>
        <v/>
      </c>
      <c r="D373" s="58">
        <f>IF($L373="","",INDEX(j_Source,MOD($L373,10000)))</f>
        <v/>
      </c>
      <c r="E373" s="58">
        <f>IF($L373="","",INDEX(j_ID,MOD($L373,10000)))</f>
        <v/>
      </c>
      <c r="F373" s="58">
        <f>IF($L373="","",INDEX(j_Desc,MOD($L373,10000)))</f>
        <v/>
      </c>
      <c r="G373" s="58">
        <f>IF($L373="","",INDEX(j_Party,MOD($L373,10000)))</f>
        <v/>
      </c>
      <c r="H373" s="95">
        <f>IF($L373="","",IF(INDEX(j_DrAcct,MOD($L373,10000))=LedAcct,INDEX(j_DrAmt,MOD($L373,10000)),0)+IF(LedAcct=acctTax,INDEX(j_TaxDr,MOD($L373,10000)),0))</f>
        <v/>
      </c>
      <c r="I373" s="95">
        <f>IF($L373="","",IF(INDEX(j_CrAcct,MOD($L373,10000))=LedAcct,INDEX(j_CrAmt,MOD($L373,10000)),0)+IF(LedAcct=acctTax,INDEX(j_TaxCr,MOD($L373,10000)),0))</f>
        <v/>
      </c>
      <c r="J373" s="95">
        <f>IF($L373="","",N(J372)+LedSign*(H373-I373))</f>
        <v/>
      </c>
      <c r="L373" s="96">
        <f>IFERROR(SMALL(j_Key,358),"")</f>
        <v/>
      </c>
    </row>
    <row r="374">
      <c r="B374" s="58">
        <f>IF($L374="","",359)</f>
        <v/>
      </c>
      <c r="C374" s="94">
        <f>IF($L374="","",INDEX(j_Date,MOD($L374,10000)))</f>
        <v/>
      </c>
      <c r="D374" s="58">
        <f>IF($L374="","",INDEX(j_Source,MOD($L374,10000)))</f>
        <v/>
      </c>
      <c r="E374" s="58">
        <f>IF($L374="","",INDEX(j_ID,MOD($L374,10000)))</f>
        <v/>
      </c>
      <c r="F374" s="58">
        <f>IF($L374="","",INDEX(j_Desc,MOD($L374,10000)))</f>
        <v/>
      </c>
      <c r="G374" s="58">
        <f>IF($L374="","",INDEX(j_Party,MOD($L374,10000)))</f>
        <v/>
      </c>
      <c r="H374" s="95">
        <f>IF($L374="","",IF(INDEX(j_DrAcct,MOD($L374,10000))=LedAcct,INDEX(j_DrAmt,MOD($L374,10000)),0)+IF(LedAcct=acctTax,INDEX(j_TaxDr,MOD($L374,10000)),0))</f>
        <v/>
      </c>
      <c r="I374" s="95">
        <f>IF($L374="","",IF(INDEX(j_CrAcct,MOD($L374,10000))=LedAcct,INDEX(j_CrAmt,MOD($L374,10000)),0)+IF(LedAcct=acctTax,INDEX(j_TaxCr,MOD($L374,10000)),0))</f>
        <v/>
      </c>
      <c r="J374" s="95">
        <f>IF($L374="","",N(J373)+LedSign*(H374-I374))</f>
        <v/>
      </c>
      <c r="L374" s="96">
        <f>IFERROR(SMALL(j_Key,359),"")</f>
        <v/>
      </c>
    </row>
    <row r="375">
      <c r="B375" s="58">
        <f>IF($L375="","",360)</f>
        <v/>
      </c>
      <c r="C375" s="94">
        <f>IF($L375="","",INDEX(j_Date,MOD($L375,10000)))</f>
        <v/>
      </c>
      <c r="D375" s="58">
        <f>IF($L375="","",INDEX(j_Source,MOD($L375,10000)))</f>
        <v/>
      </c>
      <c r="E375" s="58">
        <f>IF($L375="","",INDEX(j_ID,MOD($L375,10000)))</f>
        <v/>
      </c>
      <c r="F375" s="58">
        <f>IF($L375="","",INDEX(j_Desc,MOD($L375,10000)))</f>
        <v/>
      </c>
      <c r="G375" s="58">
        <f>IF($L375="","",INDEX(j_Party,MOD($L375,10000)))</f>
        <v/>
      </c>
      <c r="H375" s="95">
        <f>IF($L375="","",IF(INDEX(j_DrAcct,MOD($L375,10000))=LedAcct,INDEX(j_DrAmt,MOD($L375,10000)),0)+IF(LedAcct=acctTax,INDEX(j_TaxDr,MOD($L375,10000)),0))</f>
        <v/>
      </c>
      <c r="I375" s="95">
        <f>IF($L375="","",IF(INDEX(j_CrAcct,MOD($L375,10000))=LedAcct,INDEX(j_CrAmt,MOD($L375,10000)),0)+IF(LedAcct=acctTax,INDEX(j_TaxCr,MOD($L375,10000)),0))</f>
        <v/>
      </c>
      <c r="J375" s="95">
        <f>IF($L375="","",N(J374)+LedSign*(H375-I375))</f>
        <v/>
      </c>
      <c r="L375" s="96">
        <f>IFERROR(SMALL(j_Key,360),"")</f>
        <v/>
      </c>
    </row>
    <row r="376">
      <c r="B376" s="58">
        <f>IF($L376="","",361)</f>
        <v/>
      </c>
      <c r="C376" s="94">
        <f>IF($L376="","",INDEX(j_Date,MOD($L376,10000)))</f>
        <v/>
      </c>
      <c r="D376" s="58">
        <f>IF($L376="","",INDEX(j_Source,MOD($L376,10000)))</f>
        <v/>
      </c>
      <c r="E376" s="58">
        <f>IF($L376="","",INDEX(j_ID,MOD($L376,10000)))</f>
        <v/>
      </c>
      <c r="F376" s="58">
        <f>IF($L376="","",INDEX(j_Desc,MOD($L376,10000)))</f>
        <v/>
      </c>
      <c r="G376" s="58">
        <f>IF($L376="","",INDEX(j_Party,MOD($L376,10000)))</f>
        <v/>
      </c>
      <c r="H376" s="95">
        <f>IF($L376="","",IF(INDEX(j_DrAcct,MOD($L376,10000))=LedAcct,INDEX(j_DrAmt,MOD($L376,10000)),0)+IF(LedAcct=acctTax,INDEX(j_TaxDr,MOD($L376,10000)),0))</f>
        <v/>
      </c>
      <c r="I376" s="95">
        <f>IF($L376="","",IF(INDEX(j_CrAcct,MOD($L376,10000))=LedAcct,INDEX(j_CrAmt,MOD($L376,10000)),0)+IF(LedAcct=acctTax,INDEX(j_TaxCr,MOD($L376,10000)),0))</f>
        <v/>
      </c>
      <c r="J376" s="95">
        <f>IF($L376="","",N(J375)+LedSign*(H376-I376))</f>
        <v/>
      </c>
      <c r="L376" s="96">
        <f>IFERROR(SMALL(j_Key,361),"")</f>
        <v/>
      </c>
    </row>
    <row r="377">
      <c r="B377" s="58">
        <f>IF($L377="","",362)</f>
        <v/>
      </c>
      <c r="C377" s="94">
        <f>IF($L377="","",INDEX(j_Date,MOD($L377,10000)))</f>
        <v/>
      </c>
      <c r="D377" s="58">
        <f>IF($L377="","",INDEX(j_Source,MOD($L377,10000)))</f>
        <v/>
      </c>
      <c r="E377" s="58">
        <f>IF($L377="","",INDEX(j_ID,MOD($L377,10000)))</f>
        <v/>
      </c>
      <c r="F377" s="58">
        <f>IF($L377="","",INDEX(j_Desc,MOD($L377,10000)))</f>
        <v/>
      </c>
      <c r="G377" s="58">
        <f>IF($L377="","",INDEX(j_Party,MOD($L377,10000)))</f>
        <v/>
      </c>
      <c r="H377" s="95">
        <f>IF($L377="","",IF(INDEX(j_DrAcct,MOD($L377,10000))=LedAcct,INDEX(j_DrAmt,MOD($L377,10000)),0)+IF(LedAcct=acctTax,INDEX(j_TaxDr,MOD($L377,10000)),0))</f>
        <v/>
      </c>
      <c r="I377" s="95">
        <f>IF($L377="","",IF(INDEX(j_CrAcct,MOD($L377,10000))=LedAcct,INDEX(j_CrAmt,MOD($L377,10000)),0)+IF(LedAcct=acctTax,INDEX(j_TaxCr,MOD($L377,10000)),0))</f>
        <v/>
      </c>
      <c r="J377" s="95">
        <f>IF($L377="","",N(J376)+LedSign*(H377-I377))</f>
        <v/>
      </c>
      <c r="L377" s="96">
        <f>IFERROR(SMALL(j_Key,362),"")</f>
        <v/>
      </c>
    </row>
    <row r="378">
      <c r="B378" s="58">
        <f>IF($L378="","",363)</f>
        <v/>
      </c>
      <c r="C378" s="94">
        <f>IF($L378="","",INDEX(j_Date,MOD($L378,10000)))</f>
        <v/>
      </c>
      <c r="D378" s="58">
        <f>IF($L378="","",INDEX(j_Source,MOD($L378,10000)))</f>
        <v/>
      </c>
      <c r="E378" s="58">
        <f>IF($L378="","",INDEX(j_ID,MOD($L378,10000)))</f>
        <v/>
      </c>
      <c r="F378" s="58">
        <f>IF($L378="","",INDEX(j_Desc,MOD($L378,10000)))</f>
        <v/>
      </c>
      <c r="G378" s="58">
        <f>IF($L378="","",INDEX(j_Party,MOD($L378,10000)))</f>
        <v/>
      </c>
      <c r="H378" s="95">
        <f>IF($L378="","",IF(INDEX(j_DrAcct,MOD($L378,10000))=LedAcct,INDEX(j_DrAmt,MOD($L378,10000)),0)+IF(LedAcct=acctTax,INDEX(j_TaxDr,MOD($L378,10000)),0))</f>
        <v/>
      </c>
      <c r="I378" s="95">
        <f>IF($L378="","",IF(INDEX(j_CrAcct,MOD($L378,10000))=LedAcct,INDEX(j_CrAmt,MOD($L378,10000)),0)+IF(LedAcct=acctTax,INDEX(j_TaxCr,MOD($L378,10000)),0))</f>
        <v/>
      </c>
      <c r="J378" s="95">
        <f>IF($L378="","",N(J377)+LedSign*(H378-I378))</f>
        <v/>
      </c>
      <c r="L378" s="96">
        <f>IFERROR(SMALL(j_Key,363),"")</f>
        <v/>
      </c>
    </row>
    <row r="379">
      <c r="B379" s="58">
        <f>IF($L379="","",364)</f>
        <v/>
      </c>
      <c r="C379" s="94">
        <f>IF($L379="","",INDEX(j_Date,MOD($L379,10000)))</f>
        <v/>
      </c>
      <c r="D379" s="58">
        <f>IF($L379="","",INDEX(j_Source,MOD($L379,10000)))</f>
        <v/>
      </c>
      <c r="E379" s="58">
        <f>IF($L379="","",INDEX(j_ID,MOD($L379,10000)))</f>
        <v/>
      </c>
      <c r="F379" s="58">
        <f>IF($L379="","",INDEX(j_Desc,MOD($L379,10000)))</f>
        <v/>
      </c>
      <c r="G379" s="58">
        <f>IF($L379="","",INDEX(j_Party,MOD($L379,10000)))</f>
        <v/>
      </c>
      <c r="H379" s="95">
        <f>IF($L379="","",IF(INDEX(j_DrAcct,MOD($L379,10000))=LedAcct,INDEX(j_DrAmt,MOD($L379,10000)),0)+IF(LedAcct=acctTax,INDEX(j_TaxDr,MOD($L379,10000)),0))</f>
        <v/>
      </c>
      <c r="I379" s="95">
        <f>IF($L379="","",IF(INDEX(j_CrAcct,MOD($L379,10000))=LedAcct,INDEX(j_CrAmt,MOD($L379,10000)),0)+IF(LedAcct=acctTax,INDEX(j_TaxCr,MOD($L379,10000)),0))</f>
        <v/>
      </c>
      <c r="J379" s="95">
        <f>IF($L379="","",N(J378)+LedSign*(H379-I379))</f>
        <v/>
      </c>
      <c r="L379" s="96">
        <f>IFERROR(SMALL(j_Key,364),"")</f>
        <v/>
      </c>
    </row>
    <row r="380">
      <c r="B380" s="58">
        <f>IF($L380="","",365)</f>
        <v/>
      </c>
      <c r="C380" s="94">
        <f>IF($L380="","",INDEX(j_Date,MOD($L380,10000)))</f>
        <v/>
      </c>
      <c r="D380" s="58">
        <f>IF($L380="","",INDEX(j_Source,MOD($L380,10000)))</f>
        <v/>
      </c>
      <c r="E380" s="58">
        <f>IF($L380="","",INDEX(j_ID,MOD($L380,10000)))</f>
        <v/>
      </c>
      <c r="F380" s="58">
        <f>IF($L380="","",INDEX(j_Desc,MOD($L380,10000)))</f>
        <v/>
      </c>
      <c r="G380" s="58">
        <f>IF($L380="","",INDEX(j_Party,MOD($L380,10000)))</f>
        <v/>
      </c>
      <c r="H380" s="95">
        <f>IF($L380="","",IF(INDEX(j_DrAcct,MOD($L380,10000))=LedAcct,INDEX(j_DrAmt,MOD($L380,10000)),0)+IF(LedAcct=acctTax,INDEX(j_TaxDr,MOD($L380,10000)),0))</f>
        <v/>
      </c>
      <c r="I380" s="95">
        <f>IF($L380="","",IF(INDEX(j_CrAcct,MOD($L380,10000))=LedAcct,INDEX(j_CrAmt,MOD($L380,10000)),0)+IF(LedAcct=acctTax,INDEX(j_TaxCr,MOD($L380,10000)),0))</f>
        <v/>
      </c>
      <c r="J380" s="95">
        <f>IF($L380="","",N(J379)+LedSign*(H380-I380))</f>
        <v/>
      </c>
      <c r="L380" s="96">
        <f>IFERROR(SMALL(j_Key,365),"")</f>
        <v/>
      </c>
    </row>
    <row r="381">
      <c r="B381" s="58">
        <f>IF($L381="","",366)</f>
        <v/>
      </c>
      <c r="C381" s="94">
        <f>IF($L381="","",INDEX(j_Date,MOD($L381,10000)))</f>
        <v/>
      </c>
      <c r="D381" s="58">
        <f>IF($L381="","",INDEX(j_Source,MOD($L381,10000)))</f>
        <v/>
      </c>
      <c r="E381" s="58">
        <f>IF($L381="","",INDEX(j_ID,MOD($L381,10000)))</f>
        <v/>
      </c>
      <c r="F381" s="58">
        <f>IF($L381="","",INDEX(j_Desc,MOD($L381,10000)))</f>
        <v/>
      </c>
      <c r="G381" s="58">
        <f>IF($L381="","",INDEX(j_Party,MOD($L381,10000)))</f>
        <v/>
      </c>
      <c r="H381" s="95">
        <f>IF($L381="","",IF(INDEX(j_DrAcct,MOD($L381,10000))=LedAcct,INDEX(j_DrAmt,MOD($L381,10000)),0)+IF(LedAcct=acctTax,INDEX(j_TaxDr,MOD($L381,10000)),0))</f>
        <v/>
      </c>
      <c r="I381" s="95">
        <f>IF($L381="","",IF(INDEX(j_CrAcct,MOD($L381,10000))=LedAcct,INDEX(j_CrAmt,MOD($L381,10000)),0)+IF(LedAcct=acctTax,INDEX(j_TaxCr,MOD($L381,10000)),0))</f>
        <v/>
      </c>
      <c r="J381" s="95">
        <f>IF($L381="","",N(J380)+LedSign*(H381-I381))</f>
        <v/>
      </c>
      <c r="L381" s="96">
        <f>IFERROR(SMALL(j_Key,366),"")</f>
        <v/>
      </c>
    </row>
    <row r="382">
      <c r="B382" s="58">
        <f>IF($L382="","",367)</f>
        <v/>
      </c>
      <c r="C382" s="94">
        <f>IF($L382="","",INDEX(j_Date,MOD($L382,10000)))</f>
        <v/>
      </c>
      <c r="D382" s="58">
        <f>IF($L382="","",INDEX(j_Source,MOD($L382,10000)))</f>
        <v/>
      </c>
      <c r="E382" s="58">
        <f>IF($L382="","",INDEX(j_ID,MOD($L382,10000)))</f>
        <v/>
      </c>
      <c r="F382" s="58">
        <f>IF($L382="","",INDEX(j_Desc,MOD($L382,10000)))</f>
        <v/>
      </c>
      <c r="G382" s="58">
        <f>IF($L382="","",INDEX(j_Party,MOD($L382,10000)))</f>
        <v/>
      </c>
      <c r="H382" s="95">
        <f>IF($L382="","",IF(INDEX(j_DrAcct,MOD($L382,10000))=LedAcct,INDEX(j_DrAmt,MOD($L382,10000)),0)+IF(LedAcct=acctTax,INDEX(j_TaxDr,MOD($L382,10000)),0))</f>
        <v/>
      </c>
      <c r="I382" s="95">
        <f>IF($L382="","",IF(INDEX(j_CrAcct,MOD($L382,10000))=LedAcct,INDEX(j_CrAmt,MOD($L382,10000)),0)+IF(LedAcct=acctTax,INDEX(j_TaxCr,MOD($L382,10000)),0))</f>
        <v/>
      </c>
      <c r="J382" s="95">
        <f>IF($L382="","",N(J381)+LedSign*(H382-I382))</f>
        <v/>
      </c>
      <c r="L382" s="96">
        <f>IFERROR(SMALL(j_Key,367),"")</f>
        <v/>
      </c>
    </row>
    <row r="383">
      <c r="B383" s="58">
        <f>IF($L383="","",368)</f>
        <v/>
      </c>
      <c r="C383" s="94">
        <f>IF($L383="","",INDEX(j_Date,MOD($L383,10000)))</f>
        <v/>
      </c>
      <c r="D383" s="58">
        <f>IF($L383="","",INDEX(j_Source,MOD($L383,10000)))</f>
        <v/>
      </c>
      <c r="E383" s="58">
        <f>IF($L383="","",INDEX(j_ID,MOD($L383,10000)))</f>
        <v/>
      </c>
      <c r="F383" s="58">
        <f>IF($L383="","",INDEX(j_Desc,MOD($L383,10000)))</f>
        <v/>
      </c>
      <c r="G383" s="58">
        <f>IF($L383="","",INDEX(j_Party,MOD($L383,10000)))</f>
        <v/>
      </c>
      <c r="H383" s="95">
        <f>IF($L383="","",IF(INDEX(j_DrAcct,MOD($L383,10000))=LedAcct,INDEX(j_DrAmt,MOD($L383,10000)),0)+IF(LedAcct=acctTax,INDEX(j_TaxDr,MOD($L383,10000)),0))</f>
        <v/>
      </c>
      <c r="I383" s="95">
        <f>IF($L383="","",IF(INDEX(j_CrAcct,MOD($L383,10000))=LedAcct,INDEX(j_CrAmt,MOD($L383,10000)),0)+IF(LedAcct=acctTax,INDEX(j_TaxCr,MOD($L383,10000)),0))</f>
        <v/>
      </c>
      <c r="J383" s="95">
        <f>IF($L383="","",N(J382)+LedSign*(H383-I383))</f>
        <v/>
      </c>
      <c r="L383" s="96">
        <f>IFERROR(SMALL(j_Key,368),"")</f>
        <v/>
      </c>
    </row>
    <row r="384">
      <c r="B384" s="58">
        <f>IF($L384="","",369)</f>
        <v/>
      </c>
      <c r="C384" s="94">
        <f>IF($L384="","",INDEX(j_Date,MOD($L384,10000)))</f>
        <v/>
      </c>
      <c r="D384" s="58">
        <f>IF($L384="","",INDEX(j_Source,MOD($L384,10000)))</f>
        <v/>
      </c>
      <c r="E384" s="58">
        <f>IF($L384="","",INDEX(j_ID,MOD($L384,10000)))</f>
        <v/>
      </c>
      <c r="F384" s="58">
        <f>IF($L384="","",INDEX(j_Desc,MOD($L384,10000)))</f>
        <v/>
      </c>
      <c r="G384" s="58">
        <f>IF($L384="","",INDEX(j_Party,MOD($L384,10000)))</f>
        <v/>
      </c>
      <c r="H384" s="95">
        <f>IF($L384="","",IF(INDEX(j_DrAcct,MOD($L384,10000))=LedAcct,INDEX(j_DrAmt,MOD($L384,10000)),0)+IF(LedAcct=acctTax,INDEX(j_TaxDr,MOD($L384,10000)),0))</f>
        <v/>
      </c>
      <c r="I384" s="95">
        <f>IF($L384="","",IF(INDEX(j_CrAcct,MOD($L384,10000))=LedAcct,INDEX(j_CrAmt,MOD($L384,10000)),0)+IF(LedAcct=acctTax,INDEX(j_TaxCr,MOD($L384,10000)),0))</f>
        <v/>
      </c>
      <c r="J384" s="95">
        <f>IF($L384="","",N(J383)+LedSign*(H384-I384))</f>
        <v/>
      </c>
      <c r="L384" s="96">
        <f>IFERROR(SMALL(j_Key,369),"")</f>
        <v/>
      </c>
    </row>
    <row r="385">
      <c r="B385" s="58">
        <f>IF($L385="","",370)</f>
        <v/>
      </c>
      <c r="C385" s="94">
        <f>IF($L385="","",INDEX(j_Date,MOD($L385,10000)))</f>
        <v/>
      </c>
      <c r="D385" s="58">
        <f>IF($L385="","",INDEX(j_Source,MOD($L385,10000)))</f>
        <v/>
      </c>
      <c r="E385" s="58">
        <f>IF($L385="","",INDEX(j_ID,MOD($L385,10000)))</f>
        <v/>
      </c>
      <c r="F385" s="58">
        <f>IF($L385="","",INDEX(j_Desc,MOD($L385,10000)))</f>
        <v/>
      </c>
      <c r="G385" s="58">
        <f>IF($L385="","",INDEX(j_Party,MOD($L385,10000)))</f>
        <v/>
      </c>
      <c r="H385" s="95">
        <f>IF($L385="","",IF(INDEX(j_DrAcct,MOD($L385,10000))=LedAcct,INDEX(j_DrAmt,MOD($L385,10000)),0)+IF(LedAcct=acctTax,INDEX(j_TaxDr,MOD($L385,10000)),0))</f>
        <v/>
      </c>
      <c r="I385" s="95">
        <f>IF($L385="","",IF(INDEX(j_CrAcct,MOD($L385,10000))=LedAcct,INDEX(j_CrAmt,MOD($L385,10000)),0)+IF(LedAcct=acctTax,INDEX(j_TaxCr,MOD($L385,10000)),0))</f>
        <v/>
      </c>
      <c r="J385" s="95">
        <f>IF($L385="","",N(J384)+LedSign*(H385-I385))</f>
        <v/>
      </c>
      <c r="L385" s="96">
        <f>IFERROR(SMALL(j_Key,370),"")</f>
        <v/>
      </c>
    </row>
    <row r="386">
      <c r="B386" s="58">
        <f>IF($L386="","",371)</f>
        <v/>
      </c>
      <c r="C386" s="94">
        <f>IF($L386="","",INDEX(j_Date,MOD($L386,10000)))</f>
        <v/>
      </c>
      <c r="D386" s="58">
        <f>IF($L386="","",INDEX(j_Source,MOD($L386,10000)))</f>
        <v/>
      </c>
      <c r="E386" s="58">
        <f>IF($L386="","",INDEX(j_ID,MOD($L386,10000)))</f>
        <v/>
      </c>
      <c r="F386" s="58">
        <f>IF($L386="","",INDEX(j_Desc,MOD($L386,10000)))</f>
        <v/>
      </c>
      <c r="G386" s="58">
        <f>IF($L386="","",INDEX(j_Party,MOD($L386,10000)))</f>
        <v/>
      </c>
      <c r="H386" s="95">
        <f>IF($L386="","",IF(INDEX(j_DrAcct,MOD($L386,10000))=LedAcct,INDEX(j_DrAmt,MOD($L386,10000)),0)+IF(LedAcct=acctTax,INDEX(j_TaxDr,MOD($L386,10000)),0))</f>
        <v/>
      </c>
      <c r="I386" s="95">
        <f>IF($L386="","",IF(INDEX(j_CrAcct,MOD($L386,10000))=LedAcct,INDEX(j_CrAmt,MOD($L386,10000)),0)+IF(LedAcct=acctTax,INDEX(j_TaxCr,MOD($L386,10000)),0))</f>
        <v/>
      </c>
      <c r="J386" s="95">
        <f>IF($L386="","",N(J385)+LedSign*(H386-I386))</f>
        <v/>
      </c>
      <c r="L386" s="96">
        <f>IFERROR(SMALL(j_Key,371),"")</f>
        <v/>
      </c>
    </row>
    <row r="387">
      <c r="B387" s="58">
        <f>IF($L387="","",372)</f>
        <v/>
      </c>
      <c r="C387" s="94">
        <f>IF($L387="","",INDEX(j_Date,MOD($L387,10000)))</f>
        <v/>
      </c>
      <c r="D387" s="58">
        <f>IF($L387="","",INDEX(j_Source,MOD($L387,10000)))</f>
        <v/>
      </c>
      <c r="E387" s="58">
        <f>IF($L387="","",INDEX(j_ID,MOD($L387,10000)))</f>
        <v/>
      </c>
      <c r="F387" s="58">
        <f>IF($L387="","",INDEX(j_Desc,MOD($L387,10000)))</f>
        <v/>
      </c>
      <c r="G387" s="58">
        <f>IF($L387="","",INDEX(j_Party,MOD($L387,10000)))</f>
        <v/>
      </c>
      <c r="H387" s="95">
        <f>IF($L387="","",IF(INDEX(j_DrAcct,MOD($L387,10000))=LedAcct,INDEX(j_DrAmt,MOD($L387,10000)),0)+IF(LedAcct=acctTax,INDEX(j_TaxDr,MOD($L387,10000)),0))</f>
        <v/>
      </c>
      <c r="I387" s="95">
        <f>IF($L387="","",IF(INDEX(j_CrAcct,MOD($L387,10000))=LedAcct,INDEX(j_CrAmt,MOD($L387,10000)),0)+IF(LedAcct=acctTax,INDEX(j_TaxCr,MOD($L387,10000)),0))</f>
        <v/>
      </c>
      <c r="J387" s="95">
        <f>IF($L387="","",N(J386)+LedSign*(H387-I387))</f>
        <v/>
      </c>
      <c r="L387" s="96">
        <f>IFERROR(SMALL(j_Key,372),"")</f>
        <v/>
      </c>
    </row>
    <row r="388">
      <c r="B388" s="58">
        <f>IF($L388="","",373)</f>
        <v/>
      </c>
      <c r="C388" s="94">
        <f>IF($L388="","",INDEX(j_Date,MOD($L388,10000)))</f>
        <v/>
      </c>
      <c r="D388" s="58">
        <f>IF($L388="","",INDEX(j_Source,MOD($L388,10000)))</f>
        <v/>
      </c>
      <c r="E388" s="58">
        <f>IF($L388="","",INDEX(j_ID,MOD($L388,10000)))</f>
        <v/>
      </c>
      <c r="F388" s="58">
        <f>IF($L388="","",INDEX(j_Desc,MOD($L388,10000)))</f>
        <v/>
      </c>
      <c r="G388" s="58">
        <f>IF($L388="","",INDEX(j_Party,MOD($L388,10000)))</f>
        <v/>
      </c>
      <c r="H388" s="95">
        <f>IF($L388="","",IF(INDEX(j_DrAcct,MOD($L388,10000))=LedAcct,INDEX(j_DrAmt,MOD($L388,10000)),0)+IF(LedAcct=acctTax,INDEX(j_TaxDr,MOD($L388,10000)),0))</f>
        <v/>
      </c>
      <c r="I388" s="95">
        <f>IF($L388="","",IF(INDEX(j_CrAcct,MOD($L388,10000))=LedAcct,INDEX(j_CrAmt,MOD($L388,10000)),0)+IF(LedAcct=acctTax,INDEX(j_TaxCr,MOD($L388,10000)),0))</f>
        <v/>
      </c>
      <c r="J388" s="95">
        <f>IF($L388="","",N(J387)+LedSign*(H388-I388))</f>
        <v/>
      </c>
      <c r="L388" s="96">
        <f>IFERROR(SMALL(j_Key,373),"")</f>
        <v/>
      </c>
    </row>
    <row r="389">
      <c r="B389" s="58">
        <f>IF($L389="","",374)</f>
        <v/>
      </c>
      <c r="C389" s="94">
        <f>IF($L389="","",INDEX(j_Date,MOD($L389,10000)))</f>
        <v/>
      </c>
      <c r="D389" s="58">
        <f>IF($L389="","",INDEX(j_Source,MOD($L389,10000)))</f>
        <v/>
      </c>
      <c r="E389" s="58">
        <f>IF($L389="","",INDEX(j_ID,MOD($L389,10000)))</f>
        <v/>
      </c>
      <c r="F389" s="58">
        <f>IF($L389="","",INDEX(j_Desc,MOD($L389,10000)))</f>
        <v/>
      </c>
      <c r="G389" s="58">
        <f>IF($L389="","",INDEX(j_Party,MOD($L389,10000)))</f>
        <v/>
      </c>
      <c r="H389" s="95">
        <f>IF($L389="","",IF(INDEX(j_DrAcct,MOD($L389,10000))=LedAcct,INDEX(j_DrAmt,MOD($L389,10000)),0)+IF(LedAcct=acctTax,INDEX(j_TaxDr,MOD($L389,10000)),0))</f>
        <v/>
      </c>
      <c r="I389" s="95">
        <f>IF($L389="","",IF(INDEX(j_CrAcct,MOD($L389,10000))=LedAcct,INDEX(j_CrAmt,MOD($L389,10000)),0)+IF(LedAcct=acctTax,INDEX(j_TaxCr,MOD($L389,10000)),0))</f>
        <v/>
      </c>
      <c r="J389" s="95">
        <f>IF($L389="","",N(J388)+LedSign*(H389-I389))</f>
        <v/>
      </c>
      <c r="L389" s="96">
        <f>IFERROR(SMALL(j_Key,374),"")</f>
        <v/>
      </c>
    </row>
    <row r="390">
      <c r="B390" s="58">
        <f>IF($L390="","",375)</f>
        <v/>
      </c>
      <c r="C390" s="94">
        <f>IF($L390="","",INDEX(j_Date,MOD($L390,10000)))</f>
        <v/>
      </c>
      <c r="D390" s="58">
        <f>IF($L390="","",INDEX(j_Source,MOD($L390,10000)))</f>
        <v/>
      </c>
      <c r="E390" s="58">
        <f>IF($L390="","",INDEX(j_ID,MOD($L390,10000)))</f>
        <v/>
      </c>
      <c r="F390" s="58">
        <f>IF($L390="","",INDEX(j_Desc,MOD($L390,10000)))</f>
        <v/>
      </c>
      <c r="G390" s="58">
        <f>IF($L390="","",INDEX(j_Party,MOD($L390,10000)))</f>
        <v/>
      </c>
      <c r="H390" s="95">
        <f>IF($L390="","",IF(INDEX(j_DrAcct,MOD($L390,10000))=LedAcct,INDEX(j_DrAmt,MOD($L390,10000)),0)+IF(LedAcct=acctTax,INDEX(j_TaxDr,MOD($L390,10000)),0))</f>
        <v/>
      </c>
      <c r="I390" s="95">
        <f>IF($L390="","",IF(INDEX(j_CrAcct,MOD($L390,10000))=LedAcct,INDEX(j_CrAmt,MOD($L390,10000)),0)+IF(LedAcct=acctTax,INDEX(j_TaxCr,MOD($L390,10000)),0))</f>
        <v/>
      </c>
      <c r="J390" s="95">
        <f>IF($L390="","",N(J389)+LedSign*(H390-I390))</f>
        <v/>
      </c>
      <c r="L390" s="96">
        <f>IFERROR(SMALL(j_Key,375),"")</f>
        <v/>
      </c>
    </row>
    <row r="391">
      <c r="B391" s="58">
        <f>IF($L391="","",376)</f>
        <v/>
      </c>
      <c r="C391" s="94">
        <f>IF($L391="","",INDEX(j_Date,MOD($L391,10000)))</f>
        <v/>
      </c>
      <c r="D391" s="58">
        <f>IF($L391="","",INDEX(j_Source,MOD($L391,10000)))</f>
        <v/>
      </c>
      <c r="E391" s="58">
        <f>IF($L391="","",INDEX(j_ID,MOD($L391,10000)))</f>
        <v/>
      </c>
      <c r="F391" s="58">
        <f>IF($L391="","",INDEX(j_Desc,MOD($L391,10000)))</f>
        <v/>
      </c>
      <c r="G391" s="58">
        <f>IF($L391="","",INDEX(j_Party,MOD($L391,10000)))</f>
        <v/>
      </c>
      <c r="H391" s="95">
        <f>IF($L391="","",IF(INDEX(j_DrAcct,MOD($L391,10000))=LedAcct,INDEX(j_DrAmt,MOD($L391,10000)),0)+IF(LedAcct=acctTax,INDEX(j_TaxDr,MOD($L391,10000)),0))</f>
        <v/>
      </c>
      <c r="I391" s="95">
        <f>IF($L391="","",IF(INDEX(j_CrAcct,MOD($L391,10000))=LedAcct,INDEX(j_CrAmt,MOD($L391,10000)),0)+IF(LedAcct=acctTax,INDEX(j_TaxCr,MOD($L391,10000)),0))</f>
        <v/>
      </c>
      <c r="J391" s="95">
        <f>IF($L391="","",N(J390)+LedSign*(H391-I391))</f>
        <v/>
      </c>
      <c r="L391" s="96">
        <f>IFERROR(SMALL(j_Key,376),"")</f>
        <v/>
      </c>
    </row>
    <row r="392">
      <c r="B392" s="58">
        <f>IF($L392="","",377)</f>
        <v/>
      </c>
      <c r="C392" s="94">
        <f>IF($L392="","",INDEX(j_Date,MOD($L392,10000)))</f>
        <v/>
      </c>
      <c r="D392" s="58">
        <f>IF($L392="","",INDEX(j_Source,MOD($L392,10000)))</f>
        <v/>
      </c>
      <c r="E392" s="58">
        <f>IF($L392="","",INDEX(j_ID,MOD($L392,10000)))</f>
        <v/>
      </c>
      <c r="F392" s="58">
        <f>IF($L392="","",INDEX(j_Desc,MOD($L392,10000)))</f>
        <v/>
      </c>
      <c r="G392" s="58">
        <f>IF($L392="","",INDEX(j_Party,MOD($L392,10000)))</f>
        <v/>
      </c>
      <c r="H392" s="95">
        <f>IF($L392="","",IF(INDEX(j_DrAcct,MOD($L392,10000))=LedAcct,INDEX(j_DrAmt,MOD($L392,10000)),0)+IF(LedAcct=acctTax,INDEX(j_TaxDr,MOD($L392,10000)),0))</f>
        <v/>
      </c>
      <c r="I392" s="95">
        <f>IF($L392="","",IF(INDEX(j_CrAcct,MOD($L392,10000))=LedAcct,INDEX(j_CrAmt,MOD($L392,10000)),0)+IF(LedAcct=acctTax,INDEX(j_TaxCr,MOD($L392,10000)),0))</f>
        <v/>
      </c>
      <c r="J392" s="95">
        <f>IF($L392="","",N(J391)+LedSign*(H392-I392))</f>
        <v/>
      </c>
      <c r="L392" s="96">
        <f>IFERROR(SMALL(j_Key,377),"")</f>
        <v/>
      </c>
    </row>
    <row r="393">
      <c r="B393" s="58">
        <f>IF($L393="","",378)</f>
        <v/>
      </c>
      <c r="C393" s="94">
        <f>IF($L393="","",INDEX(j_Date,MOD($L393,10000)))</f>
        <v/>
      </c>
      <c r="D393" s="58">
        <f>IF($L393="","",INDEX(j_Source,MOD($L393,10000)))</f>
        <v/>
      </c>
      <c r="E393" s="58">
        <f>IF($L393="","",INDEX(j_ID,MOD($L393,10000)))</f>
        <v/>
      </c>
      <c r="F393" s="58">
        <f>IF($L393="","",INDEX(j_Desc,MOD($L393,10000)))</f>
        <v/>
      </c>
      <c r="G393" s="58">
        <f>IF($L393="","",INDEX(j_Party,MOD($L393,10000)))</f>
        <v/>
      </c>
      <c r="H393" s="95">
        <f>IF($L393="","",IF(INDEX(j_DrAcct,MOD($L393,10000))=LedAcct,INDEX(j_DrAmt,MOD($L393,10000)),0)+IF(LedAcct=acctTax,INDEX(j_TaxDr,MOD($L393,10000)),0))</f>
        <v/>
      </c>
      <c r="I393" s="95">
        <f>IF($L393="","",IF(INDEX(j_CrAcct,MOD($L393,10000))=LedAcct,INDEX(j_CrAmt,MOD($L393,10000)),0)+IF(LedAcct=acctTax,INDEX(j_TaxCr,MOD($L393,10000)),0))</f>
        <v/>
      </c>
      <c r="J393" s="95">
        <f>IF($L393="","",N(J392)+LedSign*(H393-I393))</f>
        <v/>
      </c>
      <c r="L393" s="96">
        <f>IFERROR(SMALL(j_Key,378),"")</f>
        <v/>
      </c>
    </row>
    <row r="394">
      <c r="B394" s="58">
        <f>IF($L394="","",379)</f>
        <v/>
      </c>
      <c r="C394" s="94">
        <f>IF($L394="","",INDEX(j_Date,MOD($L394,10000)))</f>
        <v/>
      </c>
      <c r="D394" s="58">
        <f>IF($L394="","",INDEX(j_Source,MOD($L394,10000)))</f>
        <v/>
      </c>
      <c r="E394" s="58">
        <f>IF($L394="","",INDEX(j_ID,MOD($L394,10000)))</f>
        <v/>
      </c>
      <c r="F394" s="58">
        <f>IF($L394="","",INDEX(j_Desc,MOD($L394,10000)))</f>
        <v/>
      </c>
      <c r="G394" s="58">
        <f>IF($L394="","",INDEX(j_Party,MOD($L394,10000)))</f>
        <v/>
      </c>
      <c r="H394" s="95">
        <f>IF($L394="","",IF(INDEX(j_DrAcct,MOD($L394,10000))=LedAcct,INDEX(j_DrAmt,MOD($L394,10000)),0)+IF(LedAcct=acctTax,INDEX(j_TaxDr,MOD($L394,10000)),0))</f>
        <v/>
      </c>
      <c r="I394" s="95">
        <f>IF($L394="","",IF(INDEX(j_CrAcct,MOD($L394,10000))=LedAcct,INDEX(j_CrAmt,MOD($L394,10000)),0)+IF(LedAcct=acctTax,INDEX(j_TaxCr,MOD($L394,10000)),0))</f>
        <v/>
      </c>
      <c r="J394" s="95">
        <f>IF($L394="","",N(J393)+LedSign*(H394-I394))</f>
        <v/>
      </c>
      <c r="L394" s="96">
        <f>IFERROR(SMALL(j_Key,379),"")</f>
        <v/>
      </c>
    </row>
    <row r="395">
      <c r="B395" s="58">
        <f>IF($L395="","",380)</f>
        <v/>
      </c>
      <c r="C395" s="94">
        <f>IF($L395="","",INDEX(j_Date,MOD($L395,10000)))</f>
        <v/>
      </c>
      <c r="D395" s="58">
        <f>IF($L395="","",INDEX(j_Source,MOD($L395,10000)))</f>
        <v/>
      </c>
      <c r="E395" s="58">
        <f>IF($L395="","",INDEX(j_ID,MOD($L395,10000)))</f>
        <v/>
      </c>
      <c r="F395" s="58">
        <f>IF($L395="","",INDEX(j_Desc,MOD($L395,10000)))</f>
        <v/>
      </c>
      <c r="G395" s="58">
        <f>IF($L395="","",INDEX(j_Party,MOD($L395,10000)))</f>
        <v/>
      </c>
      <c r="H395" s="95">
        <f>IF($L395="","",IF(INDEX(j_DrAcct,MOD($L395,10000))=LedAcct,INDEX(j_DrAmt,MOD($L395,10000)),0)+IF(LedAcct=acctTax,INDEX(j_TaxDr,MOD($L395,10000)),0))</f>
        <v/>
      </c>
      <c r="I395" s="95">
        <f>IF($L395="","",IF(INDEX(j_CrAcct,MOD($L395,10000))=LedAcct,INDEX(j_CrAmt,MOD($L395,10000)),0)+IF(LedAcct=acctTax,INDEX(j_TaxCr,MOD($L395,10000)),0))</f>
        <v/>
      </c>
      <c r="J395" s="95">
        <f>IF($L395="","",N(J394)+LedSign*(H395-I395))</f>
        <v/>
      </c>
      <c r="L395" s="96">
        <f>IFERROR(SMALL(j_Key,380),"")</f>
        <v/>
      </c>
    </row>
    <row r="396">
      <c r="B396" s="58">
        <f>IF($L396="","",381)</f>
        <v/>
      </c>
      <c r="C396" s="94">
        <f>IF($L396="","",INDEX(j_Date,MOD($L396,10000)))</f>
        <v/>
      </c>
      <c r="D396" s="58">
        <f>IF($L396="","",INDEX(j_Source,MOD($L396,10000)))</f>
        <v/>
      </c>
      <c r="E396" s="58">
        <f>IF($L396="","",INDEX(j_ID,MOD($L396,10000)))</f>
        <v/>
      </c>
      <c r="F396" s="58">
        <f>IF($L396="","",INDEX(j_Desc,MOD($L396,10000)))</f>
        <v/>
      </c>
      <c r="G396" s="58">
        <f>IF($L396="","",INDEX(j_Party,MOD($L396,10000)))</f>
        <v/>
      </c>
      <c r="H396" s="95">
        <f>IF($L396="","",IF(INDEX(j_DrAcct,MOD($L396,10000))=LedAcct,INDEX(j_DrAmt,MOD($L396,10000)),0)+IF(LedAcct=acctTax,INDEX(j_TaxDr,MOD($L396,10000)),0))</f>
        <v/>
      </c>
      <c r="I396" s="95">
        <f>IF($L396="","",IF(INDEX(j_CrAcct,MOD($L396,10000))=LedAcct,INDEX(j_CrAmt,MOD($L396,10000)),0)+IF(LedAcct=acctTax,INDEX(j_TaxCr,MOD($L396,10000)),0))</f>
        <v/>
      </c>
      <c r="J396" s="95">
        <f>IF($L396="","",N(J395)+LedSign*(H396-I396))</f>
        <v/>
      </c>
      <c r="L396" s="96">
        <f>IFERROR(SMALL(j_Key,381),"")</f>
        <v/>
      </c>
    </row>
    <row r="397">
      <c r="B397" s="58">
        <f>IF($L397="","",382)</f>
        <v/>
      </c>
      <c r="C397" s="94">
        <f>IF($L397="","",INDEX(j_Date,MOD($L397,10000)))</f>
        <v/>
      </c>
      <c r="D397" s="58">
        <f>IF($L397="","",INDEX(j_Source,MOD($L397,10000)))</f>
        <v/>
      </c>
      <c r="E397" s="58">
        <f>IF($L397="","",INDEX(j_ID,MOD($L397,10000)))</f>
        <v/>
      </c>
      <c r="F397" s="58">
        <f>IF($L397="","",INDEX(j_Desc,MOD($L397,10000)))</f>
        <v/>
      </c>
      <c r="G397" s="58">
        <f>IF($L397="","",INDEX(j_Party,MOD($L397,10000)))</f>
        <v/>
      </c>
      <c r="H397" s="95">
        <f>IF($L397="","",IF(INDEX(j_DrAcct,MOD($L397,10000))=LedAcct,INDEX(j_DrAmt,MOD($L397,10000)),0)+IF(LedAcct=acctTax,INDEX(j_TaxDr,MOD($L397,10000)),0))</f>
        <v/>
      </c>
      <c r="I397" s="95">
        <f>IF($L397="","",IF(INDEX(j_CrAcct,MOD($L397,10000))=LedAcct,INDEX(j_CrAmt,MOD($L397,10000)),0)+IF(LedAcct=acctTax,INDEX(j_TaxCr,MOD($L397,10000)),0))</f>
        <v/>
      </c>
      <c r="J397" s="95">
        <f>IF($L397="","",N(J396)+LedSign*(H397-I397))</f>
        <v/>
      </c>
      <c r="L397" s="96">
        <f>IFERROR(SMALL(j_Key,382),"")</f>
        <v/>
      </c>
    </row>
    <row r="398">
      <c r="B398" s="58">
        <f>IF($L398="","",383)</f>
        <v/>
      </c>
      <c r="C398" s="94">
        <f>IF($L398="","",INDEX(j_Date,MOD($L398,10000)))</f>
        <v/>
      </c>
      <c r="D398" s="58">
        <f>IF($L398="","",INDEX(j_Source,MOD($L398,10000)))</f>
        <v/>
      </c>
      <c r="E398" s="58">
        <f>IF($L398="","",INDEX(j_ID,MOD($L398,10000)))</f>
        <v/>
      </c>
      <c r="F398" s="58">
        <f>IF($L398="","",INDEX(j_Desc,MOD($L398,10000)))</f>
        <v/>
      </c>
      <c r="G398" s="58">
        <f>IF($L398="","",INDEX(j_Party,MOD($L398,10000)))</f>
        <v/>
      </c>
      <c r="H398" s="95">
        <f>IF($L398="","",IF(INDEX(j_DrAcct,MOD($L398,10000))=LedAcct,INDEX(j_DrAmt,MOD($L398,10000)),0)+IF(LedAcct=acctTax,INDEX(j_TaxDr,MOD($L398,10000)),0))</f>
        <v/>
      </c>
      <c r="I398" s="95">
        <f>IF($L398="","",IF(INDEX(j_CrAcct,MOD($L398,10000))=LedAcct,INDEX(j_CrAmt,MOD($L398,10000)),0)+IF(LedAcct=acctTax,INDEX(j_TaxCr,MOD($L398,10000)),0))</f>
        <v/>
      </c>
      <c r="J398" s="95">
        <f>IF($L398="","",N(J397)+LedSign*(H398-I398))</f>
        <v/>
      </c>
      <c r="L398" s="96">
        <f>IFERROR(SMALL(j_Key,383),"")</f>
        <v/>
      </c>
    </row>
    <row r="399">
      <c r="B399" s="58">
        <f>IF($L399="","",384)</f>
        <v/>
      </c>
      <c r="C399" s="94">
        <f>IF($L399="","",INDEX(j_Date,MOD($L399,10000)))</f>
        <v/>
      </c>
      <c r="D399" s="58">
        <f>IF($L399="","",INDEX(j_Source,MOD($L399,10000)))</f>
        <v/>
      </c>
      <c r="E399" s="58">
        <f>IF($L399="","",INDEX(j_ID,MOD($L399,10000)))</f>
        <v/>
      </c>
      <c r="F399" s="58">
        <f>IF($L399="","",INDEX(j_Desc,MOD($L399,10000)))</f>
        <v/>
      </c>
      <c r="G399" s="58">
        <f>IF($L399="","",INDEX(j_Party,MOD($L399,10000)))</f>
        <v/>
      </c>
      <c r="H399" s="95">
        <f>IF($L399="","",IF(INDEX(j_DrAcct,MOD($L399,10000))=LedAcct,INDEX(j_DrAmt,MOD($L399,10000)),0)+IF(LedAcct=acctTax,INDEX(j_TaxDr,MOD($L399,10000)),0))</f>
        <v/>
      </c>
      <c r="I399" s="95">
        <f>IF($L399="","",IF(INDEX(j_CrAcct,MOD($L399,10000))=LedAcct,INDEX(j_CrAmt,MOD($L399,10000)),0)+IF(LedAcct=acctTax,INDEX(j_TaxCr,MOD($L399,10000)),0))</f>
        <v/>
      </c>
      <c r="J399" s="95">
        <f>IF($L399="","",N(J398)+LedSign*(H399-I399))</f>
        <v/>
      </c>
      <c r="L399" s="96">
        <f>IFERROR(SMALL(j_Key,384),"")</f>
        <v/>
      </c>
    </row>
    <row r="400">
      <c r="B400" s="58">
        <f>IF($L400="","",385)</f>
        <v/>
      </c>
      <c r="C400" s="94">
        <f>IF($L400="","",INDEX(j_Date,MOD($L400,10000)))</f>
        <v/>
      </c>
      <c r="D400" s="58">
        <f>IF($L400="","",INDEX(j_Source,MOD($L400,10000)))</f>
        <v/>
      </c>
      <c r="E400" s="58">
        <f>IF($L400="","",INDEX(j_ID,MOD($L400,10000)))</f>
        <v/>
      </c>
      <c r="F400" s="58">
        <f>IF($L400="","",INDEX(j_Desc,MOD($L400,10000)))</f>
        <v/>
      </c>
      <c r="G400" s="58">
        <f>IF($L400="","",INDEX(j_Party,MOD($L400,10000)))</f>
        <v/>
      </c>
      <c r="H400" s="95">
        <f>IF($L400="","",IF(INDEX(j_DrAcct,MOD($L400,10000))=LedAcct,INDEX(j_DrAmt,MOD($L400,10000)),0)+IF(LedAcct=acctTax,INDEX(j_TaxDr,MOD($L400,10000)),0))</f>
        <v/>
      </c>
      <c r="I400" s="95">
        <f>IF($L400="","",IF(INDEX(j_CrAcct,MOD($L400,10000))=LedAcct,INDEX(j_CrAmt,MOD($L400,10000)),0)+IF(LedAcct=acctTax,INDEX(j_TaxCr,MOD($L400,10000)),0))</f>
        <v/>
      </c>
      <c r="J400" s="95">
        <f>IF($L400="","",N(J399)+LedSign*(H400-I400))</f>
        <v/>
      </c>
      <c r="L400" s="96">
        <f>IFERROR(SMALL(j_Key,385),"")</f>
        <v/>
      </c>
    </row>
    <row r="401">
      <c r="B401" s="58">
        <f>IF($L401="","",386)</f>
        <v/>
      </c>
      <c r="C401" s="94">
        <f>IF($L401="","",INDEX(j_Date,MOD($L401,10000)))</f>
        <v/>
      </c>
      <c r="D401" s="58">
        <f>IF($L401="","",INDEX(j_Source,MOD($L401,10000)))</f>
        <v/>
      </c>
      <c r="E401" s="58">
        <f>IF($L401="","",INDEX(j_ID,MOD($L401,10000)))</f>
        <v/>
      </c>
      <c r="F401" s="58">
        <f>IF($L401="","",INDEX(j_Desc,MOD($L401,10000)))</f>
        <v/>
      </c>
      <c r="G401" s="58">
        <f>IF($L401="","",INDEX(j_Party,MOD($L401,10000)))</f>
        <v/>
      </c>
      <c r="H401" s="95">
        <f>IF($L401="","",IF(INDEX(j_DrAcct,MOD($L401,10000))=LedAcct,INDEX(j_DrAmt,MOD($L401,10000)),0)+IF(LedAcct=acctTax,INDEX(j_TaxDr,MOD($L401,10000)),0))</f>
        <v/>
      </c>
      <c r="I401" s="95">
        <f>IF($L401="","",IF(INDEX(j_CrAcct,MOD($L401,10000))=LedAcct,INDEX(j_CrAmt,MOD($L401,10000)),0)+IF(LedAcct=acctTax,INDEX(j_TaxCr,MOD($L401,10000)),0))</f>
        <v/>
      </c>
      <c r="J401" s="95">
        <f>IF($L401="","",N(J400)+LedSign*(H401-I401))</f>
        <v/>
      </c>
      <c r="L401" s="96">
        <f>IFERROR(SMALL(j_Key,386),"")</f>
        <v/>
      </c>
    </row>
    <row r="402">
      <c r="B402" s="58">
        <f>IF($L402="","",387)</f>
        <v/>
      </c>
      <c r="C402" s="94">
        <f>IF($L402="","",INDEX(j_Date,MOD($L402,10000)))</f>
        <v/>
      </c>
      <c r="D402" s="58">
        <f>IF($L402="","",INDEX(j_Source,MOD($L402,10000)))</f>
        <v/>
      </c>
      <c r="E402" s="58">
        <f>IF($L402="","",INDEX(j_ID,MOD($L402,10000)))</f>
        <v/>
      </c>
      <c r="F402" s="58">
        <f>IF($L402="","",INDEX(j_Desc,MOD($L402,10000)))</f>
        <v/>
      </c>
      <c r="G402" s="58">
        <f>IF($L402="","",INDEX(j_Party,MOD($L402,10000)))</f>
        <v/>
      </c>
      <c r="H402" s="95">
        <f>IF($L402="","",IF(INDEX(j_DrAcct,MOD($L402,10000))=LedAcct,INDEX(j_DrAmt,MOD($L402,10000)),0)+IF(LedAcct=acctTax,INDEX(j_TaxDr,MOD($L402,10000)),0))</f>
        <v/>
      </c>
      <c r="I402" s="95">
        <f>IF($L402="","",IF(INDEX(j_CrAcct,MOD($L402,10000))=LedAcct,INDEX(j_CrAmt,MOD($L402,10000)),0)+IF(LedAcct=acctTax,INDEX(j_TaxCr,MOD($L402,10000)),0))</f>
        <v/>
      </c>
      <c r="J402" s="95">
        <f>IF($L402="","",N(J401)+LedSign*(H402-I402))</f>
        <v/>
      </c>
      <c r="L402" s="96">
        <f>IFERROR(SMALL(j_Key,387),"")</f>
        <v/>
      </c>
    </row>
    <row r="403">
      <c r="B403" s="58">
        <f>IF($L403="","",388)</f>
        <v/>
      </c>
      <c r="C403" s="94">
        <f>IF($L403="","",INDEX(j_Date,MOD($L403,10000)))</f>
        <v/>
      </c>
      <c r="D403" s="58">
        <f>IF($L403="","",INDEX(j_Source,MOD($L403,10000)))</f>
        <v/>
      </c>
      <c r="E403" s="58">
        <f>IF($L403="","",INDEX(j_ID,MOD($L403,10000)))</f>
        <v/>
      </c>
      <c r="F403" s="58">
        <f>IF($L403="","",INDEX(j_Desc,MOD($L403,10000)))</f>
        <v/>
      </c>
      <c r="G403" s="58">
        <f>IF($L403="","",INDEX(j_Party,MOD($L403,10000)))</f>
        <v/>
      </c>
      <c r="H403" s="95">
        <f>IF($L403="","",IF(INDEX(j_DrAcct,MOD($L403,10000))=LedAcct,INDEX(j_DrAmt,MOD($L403,10000)),0)+IF(LedAcct=acctTax,INDEX(j_TaxDr,MOD($L403,10000)),0))</f>
        <v/>
      </c>
      <c r="I403" s="95">
        <f>IF($L403="","",IF(INDEX(j_CrAcct,MOD($L403,10000))=LedAcct,INDEX(j_CrAmt,MOD($L403,10000)),0)+IF(LedAcct=acctTax,INDEX(j_TaxCr,MOD($L403,10000)),0))</f>
        <v/>
      </c>
      <c r="J403" s="95">
        <f>IF($L403="","",N(J402)+LedSign*(H403-I403))</f>
        <v/>
      </c>
      <c r="L403" s="96">
        <f>IFERROR(SMALL(j_Key,388),"")</f>
        <v/>
      </c>
    </row>
    <row r="404">
      <c r="B404" s="58">
        <f>IF($L404="","",389)</f>
        <v/>
      </c>
      <c r="C404" s="94">
        <f>IF($L404="","",INDEX(j_Date,MOD($L404,10000)))</f>
        <v/>
      </c>
      <c r="D404" s="58">
        <f>IF($L404="","",INDEX(j_Source,MOD($L404,10000)))</f>
        <v/>
      </c>
      <c r="E404" s="58">
        <f>IF($L404="","",INDEX(j_ID,MOD($L404,10000)))</f>
        <v/>
      </c>
      <c r="F404" s="58">
        <f>IF($L404="","",INDEX(j_Desc,MOD($L404,10000)))</f>
        <v/>
      </c>
      <c r="G404" s="58">
        <f>IF($L404="","",INDEX(j_Party,MOD($L404,10000)))</f>
        <v/>
      </c>
      <c r="H404" s="95">
        <f>IF($L404="","",IF(INDEX(j_DrAcct,MOD($L404,10000))=LedAcct,INDEX(j_DrAmt,MOD($L404,10000)),0)+IF(LedAcct=acctTax,INDEX(j_TaxDr,MOD($L404,10000)),0))</f>
        <v/>
      </c>
      <c r="I404" s="95">
        <f>IF($L404="","",IF(INDEX(j_CrAcct,MOD($L404,10000))=LedAcct,INDEX(j_CrAmt,MOD($L404,10000)),0)+IF(LedAcct=acctTax,INDEX(j_TaxCr,MOD($L404,10000)),0))</f>
        <v/>
      </c>
      <c r="J404" s="95">
        <f>IF($L404="","",N(J403)+LedSign*(H404-I404))</f>
        <v/>
      </c>
      <c r="L404" s="96">
        <f>IFERROR(SMALL(j_Key,389),"")</f>
        <v/>
      </c>
    </row>
    <row r="405">
      <c r="B405" s="58">
        <f>IF($L405="","",390)</f>
        <v/>
      </c>
      <c r="C405" s="94">
        <f>IF($L405="","",INDEX(j_Date,MOD($L405,10000)))</f>
        <v/>
      </c>
      <c r="D405" s="58">
        <f>IF($L405="","",INDEX(j_Source,MOD($L405,10000)))</f>
        <v/>
      </c>
      <c r="E405" s="58">
        <f>IF($L405="","",INDEX(j_ID,MOD($L405,10000)))</f>
        <v/>
      </c>
      <c r="F405" s="58">
        <f>IF($L405="","",INDEX(j_Desc,MOD($L405,10000)))</f>
        <v/>
      </c>
      <c r="G405" s="58">
        <f>IF($L405="","",INDEX(j_Party,MOD($L405,10000)))</f>
        <v/>
      </c>
      <c r="H405" s="95">
        <f>IF($L405="","",IF(INDEX(j_DrAcct,MOD($L405,10000))=LedAcct,INDEX(j_DrAmt,MOD($L405,10000)),0)+IF(LedAcct=acctTax,INDEX(j_TaxDr,MOD($L405,10000)),0))</f>
        <v/>
      </c>
      <c r="I405" s="95">
        <f>IF($L405="","",IF(INDEX(j_CrAcct,MOD($L405,10000))=LedAcct,INDEX(j_CrAmt,MOD($L405,10000)),0)+IF(LedAcct=acctTax,INDEX(j_TaxCr,MOD($L405,10000)),0))</f>
        <v/>
      </c>
      <c r="J405" s="95">
        <f>IF($L405="","",N(J404)+LedSign*(H405-I405))</f>
        <v/>
      </c>
      <c r="L405" s="96">
        <f>IFERROR(SMALL(j_Key,390),"")</f>
        <v/>
      </c>
    </row>
    <row r="406">
      <c r="B406" s="58">
        <f>IF($L406="","",391)</f>
        <v/>
      </c>
      <c r="C406" s="94">
        <f>IF($L406="","",INDEX(j_Date,MOD($L406,10000)))</f>
        <v/>
      </c>
      <c r="D406" s="58">
        <f>IF($L406="","",INDEX(j_Source,MOD($L406,10000)))</f>
        <v/>
      </c>
      <c r="E406" s="58">
        <f>IF($L406="","",INDEX(j_ID,MOD($L406,10000)))</f>
        <v/>
      </c>
      <c r="F406" s="58">
        <f>IF($L406="","",INDEX(j_Desc,MOD($L406,10000)))</f>
        <v/>
      </c>
      <c r="G406" s="58">
        <f>IF($L406="","",INDEX(j_Party,MOD($L406,10000)))</f>
        <v/>
      </c>
      <c r="H406" s="95">
        <f>IF($L406="","",IF(INDEX(j_DrAcct,MOD($L406,10000))=LedAcct,INDEX(j_DrAmt,MOD($L406,10000)),0)+IF(LedAcct=acctTax,INDEX(j_TaxDr,MOD($L406,10000)),0))</f>
        <v/>
      </c>
      <c r="I406" s="95">
        <f>IF($L406="","",IF(INDEX(j_CrAcct,MOD($L406,10000))=LedAcct,INDEX(j_CrAmt,MOD($L406,10000)),0)+IF(LedAcct=acctTax,INDEX(j_TaxCr,MOD($L406,10000)),0))</f>
        <v/>
      </c>
      <c r="J406" s="95">
        <f>IF($L406="","",N(J405)+LedSign*(H406-I406))</f>
        <v/>
      </c>
      <c r="L406" s="96">
        <f>IFERROR(SMALL(j_Key,391),"")</f>
        <v/>
      </c>
    </row>
    <row r="407">
      <c r="B407" s="58">
        <f>IF($L407="","",392)</f>
        <v/>
      </c>
      <c r="C407" s="94">
        <f>IF($L407="","",INDEX(j_Date,MOD($L407,10000)))</f>
        <v/>
      </c>
      <c r="D407" s="58">
        <f>IF($L407="","",INDEX(j_Source,MOD($L407,10000)))</f>
        <v/>
      </c>
      <c r="E407" s="58">
        <f>IF($L407="","",INDEX(j_ID,MOD($L407,10000)))</f>
        <v/>
      </c>
      <c r="F407" s="58">
        <f>IF($L407="","",INDEX(j_Desc,MOD($L407,10000)))</f>
        <v/>
      </c>
      <c r="G407" s="58">
        <f>IF($L407="","",INDEX(j_Party,MOD($L407,10000)))</f>
        <v/>
      </c>
      <c r="H407" s="95">
        <f>IF($L407="","",IF(INDEX(j_DrAcct,MOD($L407,10000))=LedAcct,INDEX(j_DrAmt,MOD($L407,10000)),0)+IF(LedAcct=acctTax,INDEX(j_TaxDr,MOD($L407,10000)),0))</f>
        <v/>
      </c>
      <c r="I407" s="95">
        <f>IF($L407="","",IF(INDEX(j_CrAcct,MOD($L407,10000))=LedAcct,INDEX(j_CrAmt,MOD($L407,10000)),0)+IF(LedAcct=acctTax,INDEX(j_TaxCr,MOD($L407,10000)),0))</f>
        <v/>
      </c>
      <c r="J407" s="95">
        <f>IF($L407="","",N(J406)+LedSign*(H407-I407))</f>
        <v/>
      </c>
      <c r="L407" s="96">
        <f>IFERROR(SMALL(j_Key,392),"")</f>
        <v/>
      </c>
    </row>
    <row r="408">
      <c r="B408" s="58">
        <f>IF($L408="","",393)</f>
        <v/>
      </c>
      <c r="C408" s="94">
        <f>IF($L408="","",INDEX(j_Date,MOD($L408,10000)))</f>
        <v/>
      </c>
      <c r="D408" s="58">
        <f>IF($L408="","",INDEX(j_Source,MOD($L408,10000)))</f>
        <v/>
      </c>
      <c r="E408" s="58">
        <f>IF($L408="","",INDEX(j_ID,MOD($L408,10000)))</f>
        <v/>
      </c>
      <c r="F408" s="58">
        <f>IF($L408="","",INDEX(j_Desc,MOD($L408,10000)))</f>
        <v/>
      </c>
      <c r="G408" s="58">
        <f>IF($L408="","",INDEX(j_Party,MOD($L408,10000)))</f>
        <v/>
      </c>
      <c r="H408" s="95">
        <f>IF($L408="","",IF(INDEX(j_DrAcct,MOD($L408,10000))=LedAcct,INDEX(j_DrAmt,MOD($L408,10000)),0)+IF(LedAcct=acctTax,INDEX(j_TaxDr,MOD($L408,10000)),0))</f>
        <v/>
      </c>
      <c r="I408" s="95">
        <f>IF($L408="","",IF(INDEX(j_CrAcct,MOD($L408,10000))=LedAcct,INDEX(j_CrAmt,MOD($L408,10000)),0)+IF(LedAcct=acctTax,INDEX(j_TaxCr,MOD($L408,10000)),0))</f>
        <v/>
      </c>
      <c r="J408" s="95">
        <f>IF($L408="","",N(J407)+LedSign*(H408-I408))</f>
        <v/>
      </c>
      <c r="L408" s="96">
        <f>IFERROR(SMALL(j_Key,393),"")</f>
        <v/>
      </c>
    </row>
    <row r="409">
      <c r="B409" s="58">
        <f>IF($L409="","",394)</f>
        <v/>
      </c>
      <c r="C409" s="94">
        <f>IF($L409="","",INDEX(j_Date,MOD($L409,10000)))</f>
        <v/>
      </c>
      <c r="D409" s="58">
        <f>IF($L409="","",INDEX(j_Source,MOD($L409,10000)))</f>
        <v/>
      </c>
      <c r="E409" s="58">
        <f>IF($L409="","",INDEX(j_ID,MOD($L409,10000)))</f>
        <v/>
      </c>
      <c r="F409" s="58">
        <f>IF($L409="","",INDEX(j_Desc,MOD($L409,10000)))</f>
        <v/>
      </c>
      <c r="G409" s="58">
        <f>IF($L409="","",INDEX(j_Party,MOD($L409,10000)))</f>
        <v/>
      </c>
      <c r="H409" s="95">
        <f>IF($L409="","",IF(INDEX(j_DrAcct,MOD($L409,10000))=LedAcct,INDEX(j_DrAmt,MOD($L409,10000)),0)+IF(LedAcct=acctTax,INDEX(j_TaxDr,MOD($L409,10000)),0))</f>
        <v/>
      </c>
      <c r="I409" s="95">
        <f>IF($L409="","",IF(INDEX(j_CrAcct,MOD($L409,10000))=LedAcct,INDEX(j_CrAmt,MOD($L409,10000)),0)+IF(LedAcct=acctTax,INDEX(j_TaxCr,MOD($L409,10000)),0))</f>
        <v/>
      </c>
      <c r="J409" s="95">
        <f>IF($L409="","",N(J408)+LedSign*(H409-I409))</f>
        <v/>
      </c>
      <c r="L409" s="96">
        <f>IFERROR(SMALL(j_Key,394),"")</f>
        <v/>
      </c>
    </row>
    <row r="410">
      <c r="B410" s="58">
        <f>IF($L410="","",395)</f>
        <v/>
      </c>
      <c r="C410" s="94">
        <f>IF($L410="","",INDEX(j_Date,MOD($L410,10000)))</f>
        <v/>
      </c>
      <c r="D410" s="58">
        <f>IF($L410="","",INDEX(j_Source,MOD($L410,10000)))</f>
        <v/>
      </c>
      <c r="E410" s="58">
        <f>IF($L410="","",INDEX(j_ID,MOD($L410,10000)))</f>
        <v/>
      </c>
      <c r="F410" s="58">
        <f>IF($L410="","",INDEX(j_Desc,MOD($L410,10000)))</f>
        <v/>
      </c>
      <c r="G410" s="58">
        <f>IF($L410="","",INDEX(j_Party,MOD($L410,10000)))</f>
        <v/>
      </c>
      <c r="H410" s="95">
        <f>IF($L410="","",IF(INDEX(j_DrAcct,MOD($L410,10000))=LedAcct,INDEX(j_DrAmt,MOD($L410,10000)),0)+IF(LedAcct=acctTax,INDEX(j_TaxDr,MOD($L410,10000)),0))</f>
        <v/>
      </c>
      <c r="I410" s="95">
        <f>IF($L410="","",IF(INDEX(j_CrAcct,MOD($L410,10000))=LedAcct,INDEX(j_CrAmt,MOD($L410,10000)),0)+IF(LedAcct=acctTax,INDEX(j_TaxCr,MOD($L410,10000)),0))</f>
        <v/>
      </c>
      <c r="J410" s="95">
        <f>IF($L410="","",N(J409)+LedSign*(H410-I410))</f>
        <v/>
      </c>
      <c r="L410" s="96">
        <f>IFERROR(SMALL(j_Key,395),"")</f>
        <v/>
      </c>
    </row>
    <row r="411">
      <c r="B411" s="58">
        <f>IF($L411="","",396)</f>
        <v/>
      </c>
      <c r="C411" s="94">
        <f>IF($L411="","",INDEX(j_Date,MOD($L411,10000)))</f>
        <v/>
      </c>
      <c r="D411" s="58">
        <f>IF($L411="","",INDEX(j_Source,MOD($L411,10000)))</f>
        <v/>
      </c>
      <c r="E411" s="58">
        <f>IF($L411="","",INDEX(j_ID,MOD($L411,10000)))</f>
        <v/>
      </c>
      <c r="F411" s="58">
        <f>IF($L411="","",INDEX(j_Desc,MOD($L411,10000)))</f>
        <v/>
      </c>
      <c r="G411" s="58">
        <f>IF($L411="","",INDEX(j_Party,MOD($L411,10000)))</f>
        <v/>
      </c>
      <c r="H411" s="95">
        <f>IF($L411="","",IF(INDEX(j_DrAcct,MOD($L411,10000))=LedAcct,INDEX(j_DrAmt,MOD($L411,10000)),0)+IF(LedAcct=acctTax,INDEX(j_TaxDr,MOD($L411,10000)),0))</f>
        <v/>
      </c>
      <c r="I411" s="95">
        <f>IF($L411="","",IF(INDEX(j_CrAcct,MOD($L411,10000))=LedAcct,INDEX(j_CrAmt,MOD($L411,10000)),0)+IF(LedAcct=acctTax,INDEX(j_TaxCr,MOD($L411,10000)),0))</f>
        <v/>
      </c>
      <c r="J411" s="95">
        <f>IF($L411="","",N(J410)+LedSign*(H411-I411))</f>
        <v/>
      </c>
      <c r="L411" s="96">
        <f>IFERROR(SMALL(j_Key,396),"")</f>
        <v/>
      </c>
    </row>
    <row r="412">
      <c r="B412" s="58">
        <f>IF($L412="","",397)</f>
        <v/>
      </c>
      <c r="C412" s="94">
        <f>IF($L412="","",INDEX(j_Date,MOD($L412,10000)))</f>
        <v/>
      </c>
      <c r="D412" s="58">
        <f>IF($L412="","",INDEX(j_Source,MOD($L412,10000)))</f>
        <v/>
      </c>
      <c r="E412" s="58">
        <f>IF($L412="","",INDEX(j_ID,MOD($L412,10000)))</f>
        <v/>
      </c>
      <c r="F412" s="58">
        <f>IF($L412="","",INDEX(j_Desc,MOD($L412,10000)))</f>
        <v/>
      </c>
      <c r="G412" s="58">
        <f>IF($L412="","",INDEX(j_Party,MOD($L412,10000)))</f>
        <v/>
      </c>
      <c r="H412" s="95">
        <f>IF($L412="","",IF(INDEX(j_DrAcct,MOD($L412,10000))=LedAcct,INDEX(j_DrAmt,MOD($L412,10000)),0)+IF(LedAcct=acctTax,INDEX(j_TaxDr,MOD($L412,10000)),0))</f>
        <v/>
      </c>
      <c r="I412" s="95">
        <f>IF($L412="","",IF(INDEX(j_CrAcct,MOD($L412,10000))=LedAcct,INDEX(j_CrAmt,MOD($L412,10000)),0)+IF(LedAcct=acctTax,INDEX(j_TaxCr,MOD($L412,10000)),0))</f>
        <v/>
      </c>
      <c r="J412" s="95">
        <f>IF($L412="","",N(J411)+LedSign*(H412-I412))</f>
        <v/>
      </c>
      <c r="L412" s="96">
        <f>IFERROR(SMALL(j_Key,397),"")</f>
        <v/>
      </c>
    </row>
    <row r="413">
      <c r="B413" s="58">
        <f>IF($L413="","",398)</f>
        <v/>
      </c>
      <c r="C413" s="94">
        <f>IF($L413="","",INDEX(j_Date,MOD($L413,10000)))</f>
        <v/>
      </c>
      <c r="D413" s="58">
        <f>IF($L413="","",INDEX(j_Source,MOD($L413,10000)))</f>
        <v/>
      </c>
      <c r="E413" s="58">
        <f>IF($L413="","",INDEX(j_ID,MOD($L413,10000)))</f>
        <v/>
      </c>
      <c r="F413" s="58">
        <f>IF($L413="","",INDEX(j_Desc,MOD($L413,10000)))</f>
        <v/>
      </c>
      <c r="G413" s="58">
        <f>IF($L413="","",INDEX(j_Party,MOD($L413,10000)))</f>
        <v/>
      </c>
      <c r="H413" s="95">
        <f>IF($L413="","",IF(INDEX(j_DrAcct,MOD($L413,10000))=LedAcct,INDEX(j_DrAmt,MOD($L413,10000)),0)+IF(LedAcct=acctTax,INDEX(j_TaxDr,MOD($L413,10000)),0))</f>
        <v/>
      </c>
      <c r="I413" s="95">
        <f>IF($L413="","",IF(INDEX(j_CrAcct,MOD($L413,10000))=LedAcct,INDEX(j_CrAmt,MOD($L413,10000)),0)+IF(LedAcct=acctTax,INDEX(j_TaxCr,MOD($L413,10000)),0))</f>
        <v/>
      </c>
      <c r="J413" s="95">
        <f>IF($L413="","",N(J412)+LedSign*(H413-I413))</f>
        <v/>
      </c>
      <c r="L413" s="96">
        <f>IFERROR(SMALL(j_Key,398),"")</f>
        <v/>
      </c>
    </row>
    <row r="414">
      <c r="B414" s="58">
        <f>IF($L414="","",399)</f>
        <v/>
      </c>
      <c r="C414" s="94">
        <f>IF($L414="","",INDEX(j_Date,MOD($L414,10000)))</f>
        <v/>
      </c>
      <c r="D414" s="58">
        <f>IF($L414="","",INDEX(j_Source,MOD($L414,10000)))</f>
        <v/>
      </c>
      <c r="E414" s="58">
        <f>IF($L414="","",INDEX(j_ID,MOD($L414,10000)))</f>
        <v/>
      </c>
      <c r="F414" s="58">
        <f>IF($L414="","",INDEX(j_Desc,MOD($L414,10000)))</f>
        <v/>
      </c>
      <c r="G414" s="58">
        <f>IF($L414="","",INDEX(j_Party,MOD($L414,10000)))</f>
        <v/>
      </c>
      <c r="H414" s="95">
        <f>IF($L414="","",IF(INDEX(j_DrAcct,MOD($L414,10000))=LedAcct,INDEX(j_DrAmt,MOD($L414,10000)),0)+IF(LedAcct=acctTax,INDEX(j_TaxDr,MOD($L414,10000)),0))</f>
        <v/>
      </c>
      <c r="I414" s="95">
        <f>IF($L414="","",IF(INDEX(j_CrAcct,MOD($L414,10000))=LedAcct,INDEX(j_CrAmt,MOD($L414,10000)),0)+IF(LedAcct=acctTax,INDEX(j_TaxCr,MOD($L414,10000)),0))</f>
        <v/>
      </c>
      <c r="J414" s="95">
        <f>IF($L414="","",N(J413)+LedSign*(H414-I414))</f>
        <v/>
      </c>
      <c r="L414" s="96">
        <f>IFERROR(SMALL(j_Key,399),"")</f>
        <v/>
      </c>
    </row>
    <row r="415">
      <c r="B415" s="58">
        <f>IF($L415="","",400)</f>
        <v/>
      </c>
      <c r="C415" s="94">
        <f>IF($L415="","",INDEX(j_Date,MOD($L415,10000)))</f>
        <v/>
      </c>
      <c r="D415" s="58">
        <f>IF($L415="","",INDEX(j_Source,MOD($L415,10000)))</f>
        <v/>
      </c>
      <c r="E415" s="58">
        <f>IF($L415="","",INDEX(j_ID,MOD($L415,10000)))</f>
        <v/>
      </c>
      <c r="F415" s="58">
        <f>IF($L415="","",INDEX(j_Desc,MOD($L415,10000)))</f>
        <v/>
      </c>
      <c r="G415" s="58">
        <f>IF($L415="","",INDEX(j_Party,MOD($L415,10000)))</f>
        <v/>
      </c>
      <c r="H415" s="95">
        <f>IF($L415="","",IF(INDEX(j_DrAcct,MOD($L415,10000))=LedAcct,INDEX(j_DrAmt,MOD($L415,10000)),0)+IF(LedAcct=acctTax,INDEX(j_TaxDr,MOD($L415,10000)),0))</f>
        <v/>
      </c>
      <c r="I415" s="95">
        <f>IF($L415="","",IF(INDEX(j_CrAcct,MOD($L415,10000))=LedAcct,INDEX(j_CrAmt,MOD($L415,10000)),0)+IF(LedAcct=acctTax,INDEX(j_TaxCr,MOD($L415,10000)),0))</f>
        <v/>
      </c>
      <c r="J415" s="95">
        <f>IF($L415="","",N(J414)+LedSign*(H415-I415))</f>
        <v/>
      </c>
      <c r="L415" s="96">
        <f>IFERROR(SMALL(j_Key,400),"")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D6:F6"/>
  </mergeCells>
  <conditionalFormatting sqref="I6">
    <cfRule type="expression" priority="1" dxfId="0">
      <formula>LEFT(I6,1)="⛔"</formula>
    </cfRule>
    <cfRule type="expression" priority="2" dxfId="1">
      <formula>LEFT(I6,1)="⚠"</formula>
    </cfRule>
    <cfRule type="expression" priority="3" dxfId="2">
      <formula>LEFT(I6,1)="✓"</formula>
    </cfRule>
  </conditionalFormatting>
  <dataValidations count="2">
    <dataValidation sqref="D6" showDropDown="0" showInputMessage="0" showErrorMessage="1" allowBlank="1" errorTitle="Please pick from the list" error="This value is not in the list. Add it to its master list first, or press Yes to keep it." type="list" errorStyle="warning">
      <formula1>=lstAccounts</formula1>
    </dataValidation>
    <dataValidation sqref="D7:D8" showDropDown="0" showInputMessage="0" showErrorMessage="1" allowBlank="1" errorTitle="Invalid date" error="Enter a real date, e.g. 15-Jan-2026." type="date" errorStyle="stop" operator="between">
      <formula1>DATE(2000,1,1)</formula1>
      <formula2>DATE(2099,12,31)</formula2>
    </dataValidation>
  </dataValidations>
  <printOptions horizontalCentered="1"/>
  <pageMargins left="0.4" right="0.4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2A9D8F"/>
    <outlinePr summaryBelow="1" summaryRight="1"/>
    <pageSetUpPr/>
  </sheetPr>
  <dimension ref="A1:D7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 ht="26" customHeight="1">
      <c r="B1" s="19" t="inlineStr">
        <is>
          <t>Help</t>
        </is>
      </c>
    </row>
    <row r="2">
      <c r="B2" s="20" t="inlineStr">
        <is>
          <t>Everything you need to use the workbook. No accounting background required.</t>
        </is>
      </c>
    </row>
    <row r="3">
      <c r="B3" s="21" t="n"/>
      <c r="C3" s="21" t="n"/>
      <c r="D3" s="21" t="n"/>
    </row>
    <row r="5">
      <c r="B5" s="97" t="inlineStr">
        <is>
          <t>How to start</t>
        </is>
      </c>
    </row>
    <row r="6" ht="30" customHeight="1">
      <c r="B6" s="98" t="inlineStr">
        <is>
          <t>1. Open SETUP and fill in the yellow cells: business name, accounting start date, currency, and how much cash and bank money you had on the start date.</t>
        </is>
      </c>
    </row>
    <row r="7" ht="30" customHeight="1">
      <c r="B7" s="98" t="inlineStr">
        <is>
          <t>2. Optional: on the COA (Chart of Accounts) sheet, enter other opening balances — e.g. a loan you already owe, or equipment you already own. The 'Opening Balance Equity' account balances them automatically.</t>
        </is>
      </c>
    </row>
    <row r="8" ht="15" customHeight="1">
      <c r="B8" s="98" t="inlineStr">
        <is>
          <t>3. Add your regular customers (CUSTOMERS) and suppliers (VENDORS).</t>
        </is>
      </c>
    </row>
    <row r="9" ht="15" customHeight="1">
      <c r="B9" s="98" t="inlineStr">
        <is>
          <t>4. Start recording on TRANSACTIONS. Pick the month on the DASHBOARD to see results.</t>
        </is>
      </c>
    </row>
    <row r="11">
      <c r="B11" s="97" t="inlineStr">
        <is>
          <t>How to record income (a sale paid immediately)</t>
        </is>
      </c>
    </row>
    <row r="12" ht="30" customHeight="1">
      <c r="B12" s="98" t="inlineStr">
        <is>
          <t>TRANSACTIONS → Type: Money In · Category: Product Sales (or Service Income) · Paid From / Deposited To: where the money went (Cash on Hand, Bank Account, E-Wallet) · Amount: total received.</t>
        </is>
      </c>
    </row>
    <row r="13" ht="30" customHeight="1">
      <c r="B13" s="98" t="inlineStr">
        <is>
          <t>If you track VAT / sales tax (SETUP), type the tax portion in Tax. Example: 1,120 received incl. 120 VAT → Amount 1,120, Tax 120. Revenue is 1,000; 120 goes to Tax Payable.</t>
        </is>
      </c>
    </row>
    <row r="15">
      <c r="B15" s="97" t="inlineStr">
        <is>
          <t>How to record a sale on credit (customer pays later)</t>
        </is>
      </c>
    </row>
    <row r="16" ht="30" customHeight="1">
      <c r="B16" s="98" t="inlineStr">
        <is>
          <t>AR sheet → new row: Invoice #, date, customer, revenue account, amount. Leave Due Date blank to use the customer's payment terms.</t>
        </is>
      </c>
    </row>
    <row r="17" ht="30" customHeight="1">
      <c r="B17" s="98" t="inlineStr">
        <is>
          <t>When the customer pays: TRANSACTIONS → Type: Customer Payment · Customer · Reference: the invoice # · Deposited To: Bank/Cash · Amount paid. Leave Category blank. Partial payments are fine — record each one.</t>
        </is>
      </c>
    </row>
    <row r="19">
      <c r="B19" s="97" t="inlineStr">
        <is>
          <t>How to record expenses</t>
        </is>
      </c>
    </row>
    <row r="20" ht="30" customHeight="1">
      <c r="B20" s="98" t="inlineStr">
        <is>
          <t>Paid now: TRANSACTIONS → Type: Money Out · Category: the expense (Rent, Utilities …) · Paid From: Cash, Bank or Credit Card · Amount.</t>
        </is>
      </c>
    </row>
    <row r="21" ht="30" customHeight="1">
      <c r="B21" s="98" t="inlineStr">
        <is>
          <t>Paid later (supplier bill): AP sheet → bill #, date, vendor, expense account, amount. When you pay it: TRANSACTIONS → Type: Bill Payment · Vendor · Reference: bill # · Paid From · Amount.</t>
        </is>
      </c>
    </row>
    <row r="22" ht="15" customHeight="1">
      <c r="B22" s="98" t="inlineStr">
        <is>
          <t>Buying equipment: Money Out with Category = Equipment. It goes to the Balance Sheet, not the P&amp;L.</t>
        </is>
      </c>
    </row>
    <row r="23" ht="30" customHeight="1">
      <c r="B23" s="98" t="inlineStr">
        <is>
          <t>Paying back a loan: Money Out with Category = Loans Payable (interest part: Interest Expense, on a separate row).</t>
        </is>
      </c>
    </row>
    <row r="25">
      <c r="B25" s="97" t="inlineStr">
        <is>
          <t>How to record transfers and owner money</t>
        </is>
      </c>
    </row>
    <row r="26" ht="30" customHeight="1">
      <c r="B26" s="98" t="inlineStr">
        <is>
          <t>Moving money between your own accounts (e.g. depositing cash to the bank, paying the credit card from the bank): Type: Transfer · Paid From: where it left · Category: where it arrived.</t>
        </is>
      </c>
    </row>
    <row r="27" ht="15" customHeight="1">
      <c r="B27" s="98" t="inlineStr">
        <is>
          <t>Owner puts in personal money: Type: Owner Investment · Deposited To: Bank/Cash. Category is automatic.</t>
        </is>
      </c>
    </row>
    <row r="28" ht="15" customHeight="1">
      <c r="B28" s="98" t="inlineStr">
        <is>
          <t>Owner takes money for personal use: Type: Owner Draw · Paid From: Bank/Cash. This is not an expense.</t>
        </is>
      </c>
    </row>
    <row r="29" ht="15" customHeight="1">
      <c r="B29" s="98" t="inlineStr">
        <is>
          <t>Loan received: Money In · Category: Loans Payable.</t>
        </is>
      </c>
    </row>
    <row r="31">
      <c r="B31" s="97" t="inlineStr">
        <is>
          <t>How to add customers, suppliers and accounts</t>
        </is>
      </c>
    </row>
    <row r="32" ht="15" customHeight="1">
      <c r="B32" s="98" t="inlineStr">
        <is>
          <t>Type a new row at the bottom of CUSTOMERS, VENDORS or COA. Dropdowns update automatically.</t>
        </is>
      </c>
    </row>
    <row r="33" ht="30" customHeight="1">
      <c r="B33" s="98" t="inlineStr">
        <is>
          <t>New account? Give it a unique name, a type (e.g. Operating Expense), Normal Balance and Cash Flow Section. It appears on the reports automatically.</t>
        </is>
      </c>
    </row>
    <row r="34" ht="30" customHeight="1">
      <c r="B34" s="98" t="inlineStr">
        <is>
          <t>Stopped using an account? Set Active? = No to hide it from dropdowns. Don't delete accounts that have transactions.</t>
        </is>
      </c>
    </row>
    <row r="36">
      <c r="B36" s="97" t="inlineStr">
        <is>
          <t>How to read the Profit &amp; Loss</t>
        </is>
      </c>
    </row>
    <row r="37" ht="15" customHeight="1">
      <c r="B37" s="98" t="inlineStr">
        <is>
          <t>Revenue − Cost of Sales = Gross Profit (what you keep after the direct cost of what you sold).</t>
        </is>
      </c>
    </row>
    <row r="38" ht="15" customHeight="1">
      <c r="B38" s="98" t="inlineStr">
        <is>
          <t>Gross Profit − Operating Expenses = Net Operating Income. ± Other income/expenses = NET PROFIT.</t>
        </is>
      </c>
    </row>
    <row r="39" ht="15" customHeight="1">
      <c r="B39" s="98" t="inlineStr">
        <is>
          <t>Columns: this month, previous month, year to date, full year, and each month of the fiscal year.</t>
        </is>
      </c>
    </row>
    <row r="40" ht="30" customHeight="1">
      <c r="B40" s="98" t="inlineStr">
        <is>
          <t>Profit is not the same as cash: credit sales count as revenue before the money arrives; equipment purchases use cash but are not expenses.</t>
        </is>
      </c>
    </row>
    <row r="42">
      <c r="B42" s="97" t="inlineStr">
        <is>
          <t>How to read the Balance Sheet</t>
        </is>
      </c>
    </row>
    <row r="43" ht="15" customHeight="1">
      <c r="B43" s="98" t="inlineStr">
        <is>
          <t>What the business owns (Assets) = what it owes (Liabilities) + the owner's stake (Equity).</t>
        </is>
      </c>
    </row>
    <row r="44" ht="15" customHeight="1">
      <c r="B44" s="98" t="inlineStr">
        <is>
          <t>Equity includes money you put in, minus drawings, plus all profits so far.</t>
        </is>
      </c>
    </row>
    <row r="45" ht="15" customHeight="1">
      <c r="B45" s="98" t="inlineStr">
        <is>
          <t>The status line must say ✓ Balanced. If not, see 'How to fix warnings'.</t>
        </is>
      </c>
    </row>
    <row r="47">
      <c r="B47" s="97" t="inlineStr">
        <is>
          <t>How to read the Cash Flow</t>
        </is>
      </c>
    </row>
    <row r="48" ht="30" customHeight="1">
      <c r="B48" s="98" t="inlineStr">
        <is>
          <t>Shows where cash came from and went, in three groups: Operating (day-to-day business), Investing (equipment and assets), Financing (owners and loans).</t>
        </is>
      </c>
    </row>
    <row r="49" ht="15" customHeight="1">
      <c r="B49" s="98" t="inlineStr">
        <is>
          <t>Cash at the end = cash at the start + net change. It must match the cash on the Balance Sheet.</t>
        </is>
      </c>
    </row>
    <row r="50" ht="15" customHeight="1">
      <c r="B50" s="98" t="inlineStr">
        <is>
          <t>Transfers between your own cash/bank accounts are not inflows or outflows — they cancel out.</t>
        </is>
      </c>
    </row>
    <row r="52">
      <c r="B52" s="97" t="inlineStr">
        <is>
          <t>How to fix warnings</t>
        </is>
      </c>
    </row>
    <row r="53" ht="30" customHeight="1">
      <c r="B53" s="98" t="inlineStr">
        <is>
          <t>⛔ on a row: that row is NOT included in reports. Read the message in the Check column — e.g. 'Missing transaction date', 'Select an account', 'Enter an amount' — and fix the white cells on that row.</t>
        </is>
      </c>
    </row>
    <row r="54" ht="30" customHeight="1">
      <c r="B54" s="98" t="inlineStr">
        <is>
          <t>⚠ on a row: included, but unusual — e.g. a negative amount, a Customer Payment whose invoice # can't be found, or a duplicate ID. Fix it if it's a mistake.</t>
        </is>
      </c>
    </row>
    <row r="55" ht="30" customHeight="1">
      <c r="B55" s="98" t="inlineStr">
        <is>
          <t>Receivables/Payables register differs from the ledger: a Customer/Bill Payment probably has the wrong Reference, or someone used Category = Accounts Receivable/Payable on a normal Money In/Out row.</t>
        </is>
      </c>
    </row>
    <row r="56" ht="30" customHeight="1">
      <c r="B56" s="98" t="inlineStr">
        <is>
          <t>Trial balance 'CHECK DATA' or Balance Sheet out of balance: a grey formula cell was overwritten. Copy the formula from the row above, or restore from your backup.</t>
        </is>
      </c>
    </row>
    <row r="58">
      <c r="B58" s="97" t="inlineStr">
        <is>
          <t>What not to edit</t>
        </is>
      </c>
    </row>
    <row r="59" ht="15" customHeight="1">
      <c r="B59" s="98" t="inlineStr">
        <is>
          <t>Grey cells and grey columns; the JOURNAL and CALC sheets (the engine); the report sheets.</t>
        </is>
      </c>
    </row>
    <row r="60" ht="30" customHeight="1">
      <c r="B60" s="98" t="inlineStr">
        <is>
          <t>Don't rename an account that already has transactions unless you also update those rows (the Check column will show 'Unknown account').</t>
        </is>
      </c>
    </row>
    <row r="61" ht="15" customHeight="1">
      <c r="B61" s="98" t="inlineStr">
        <is>
          <t>Don't insert columns inside the input tables. Adding rows at the bottom is fine up to the capacity.</t>
        </is>
      </c>
    </row>
    <row r="63">
      <c r="B63" s="97" t="inlineStr">
        <is>
          <t>Frequently asked questions</t>
        </is>
      </c>
    </row>
    <row r="64" ht="15" customHeight="1">
      <c r="B64" s="98" t="inlineStr">
        <is>
          <t>Do I need accounting knowledge? No. Pick a Type and a Category; the workbook does the debits and credits.</t>
        </is>
      </c>
    </row>
    <row r="65" ht="30" customHeight="1">
      <c r="B65" s="98" t="inlineStr">
        <is>
          <t>Does it calculate my income tax? No. It produces the profit figure your accountant or tax form needs. VAT/sales tax collected and paid is tracked in Tax Payable if you switch it on.</t>
        </is>
      </c>
    </row>
    <row r="66" ht="15" customHeight="1">
      <c r="B66" s="98" t="inlineStr">
        <is>
          <t>Can I use it for several businesses? Use one copy of the workbook per business.</t>
        </is>
      </c>
    </row>
    <row r="67" ht="30" customHeight="1">
      <c r="B67" s="98" t="inlineStr">
        <is>
          <t>Does it work in Google Sheets? It is built and supported for Microsoft Excel. See the product page for the current compatibility list.</t>
        </is>
      </c>
    </row>
    <row r="68" ht="15" customHeight="1">
      <c r="B68" s="98" t="inlineStr">
        <is>
          <t>Are there macros? No. It is a plain .xlsx file — safe to open, no security prompts.</t>
        </is>
      </c>
    </row>
    <row r="69" ht="15" customHeight="1">
      <c r="B69" s="98" t="inlineStr">
        <is>
          <t>Can I print reports? Yes. Every report sheet is set up to print or Save as PDF on standard paper.</t>
        </is>
      </c>
    </row>
    <row r="70" ht="30" customHeight="1">
      <c r="B70" s="98" t="inlineStr">
        <is>
          <t>A new fiscal year? Start a fresh copy, enter your closing balances from the old Balance Sheet as opening balances (cash and bank on SETUP, the rest on COA).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7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2" customWidth="1" min="5" max="5"/>
    <col width="46" customWidth="1" min="6" max="6"/>
    <col width="22" customWidth="1" min="7" max="7"/>
    <col width="14" customWidth="1" min="8" max="8"/>
    <col width="14" customWidth="1" min="9" max="9"/>
    <col width="28" customWidth="1" min="10" max="10"/>
    <col width="30" customWidth="1" min="11" max="11"/>
    <col width="18" customWidth="1" min="12" max="12"/>
    <col width="20" customWidth="1" min="14" max="14"/>
    <col width="10" customWidth="1" min="15" max="15"/>
    <col width="6" customWidth="1" min="16" max="16"/>
    <col width="12" customWidth="1" min="17" max="17"/>
    <col width="22" customWidth="1" min="18" max="18"/>
  </cols>
  <sheetData>
    <row r="1" ht="26" customHeight="1">
      <c r="B1" s="19" t="inlineStr">
        <is>
          <t>Lists &amp; Settings</t>
        </is>
      </c>
    </row>
    <row r="2">
      <c r="B2" s="20" t="inlineStr">
        <is>
          <t>Dropdown sources and posting rules. Yellow cells may be edited; grey cells are automatic.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</row>
    <row r="5">
      <c r="B5" s="6" t="inlineStr">
        <is>
          <t>TRANSACTION TYPES — how each type posts</t>
        </is>
      </c>
      <c r="I5" s="6" t="inlineStr">
        <is>
          <t>SYSTEM ACCOUNTS — must match names on the COA sheet</t>
        </is>
      </c>
      <c r="N5" s="6" t="inlineStr">
        <is>
          <t>ACCOUNT TYPES</t>
        </is>
      </c>
    </row>
    <row r="6">
      <c r="B6" s="7" t="inlineStr">
        <is>
          <t>Type</t>
        </is>
      </c>
      <c r="C6" s="7" t="inlineStr">
        <is>
          <t>Direction</t>
        </is>
      </c>
      <c r="D6" s="7" t="inlineStr">
        <is>
          <t>Other side</t>
        </is>
      </c>
      <c r="E6" s="7" t="inlineStr">
        <is>
          <t>Tax allowed</t>
        </is>
      </c>
      <c r="F6" s="7" t="inlineStr">
        <is>
          <t>How to use</t>
        </is>
      </c>
      <c r="G6" s="7" t="inlineStr">
        <is>
          <t>Other side account</t>
        </is>
      </c>
      <c r="I6" s="7" t="inlineStr">
        <is>
          <t>Role</t>
        </is>
      </c>
      <c r="J6" s="7" t="inlineStr">
        <is>
          <t>Used for</t>
        </is>
      </c>
      <c r="K6" s="7" t="inlineStr">
        <is>
          <t>Account name</t>
        </is>
      </c>
      <c r="L6" s="7" t="inlineStr">
        <is>
          <t>Check</t>
        </is>
      </c>
      <c r="N6" s="7" t="inlineStr">
        <is>
          <t>Account type</t>
        </is>
      </c>
      <c r="O6" s="7" t="inlineStr">
        <is>
          <t>Statement</t>
        </is>
      </c>
      <c r="P6" s="7" t="inlineStr">
        <is>
          <t>Sign</t>
        </is>
      </c>
      <c r="Q6" s="7" t="inlineStr">
        <is>
          <t>Default normal</t>
        </is>
      </c>
      <c r="R6" s="7" t="inlineStr">
        <is>
          <t>Report section</t>
        </is>
      </c>
    </row>
    <row r="7">
      <c r="B7" s="99" t="inlineStr">
        <is>
          <t>Money In</t>
        </is>
      </c>
      <c r="C7" s="99" t="inlineStr">
        <is>
          <t>In</t>
        </is>
      </c>
      <c r="D7" s="99" t="inlineStr">
        <is>
          <t>Category</t>
        </is>
      </c>
      <c r="E7" s="99" t="inlineStr">
        <is>
          <t>Yes</t>
        </is>
      </c>
      <c r="F7" s="100" t="inlineStr">
        <is>
          <t>Any money received: cash sales, service fees, loans received, refunds received.</t>
        </is>
      </c>
      <c r="G7" s="66">
        <f>IF(D7="Category","",IFERROR(INDEX(sys_Acct,MATCH(D7,sys_Role,0)),""))</f>
        <v/>
      </c>
      <c r="I7" s="81" t="inlineStr">
        <is>
          <t>acctAR</t>
        </is>
      </c>
      <c r="J7" s="58" t="inlineStr">
        <is>
          <t>Accounts Receivable account</t>
        </is>
      </c>
      <c r="K7" s="22" t="inlineStr">
        <is>
          <t>Accounts Receivable</t>
        </is>
      </c>
      <c r="L7" s="66">
        <f>IF(ISNUMBER(MATCH(K7,coa_Name,0)),"✓ OK","⛔ Not found on COA")</f>
        <v/>
      </c>
      <c r="N7" s="58" t="inlineStr">
        <is>
          <t>Current Asset</t>
        </is>
      </c>
      <c r="O7" s="58" t="inlineStr">
        <is>
          <t>BS</t>
        </is>
      </c>
      <c r="P7" s="58" t="n">
        <v>1</v>
      </c>
      <c r="Q7" s="58" t="inlineStr">
        <is>
          <t>Debit</t>
        </is>
      </c>
      <c r="R7" s="58" t="inlineStr">
        <is>
          <t>Current Assets</t>
        </is>
      </c>
    </row>
    <row r="8">
      <c r="B8" s="99" t="inlineStr">
        <is>
          <t>Money Out</t>
        </is>
      </c>
      <c r="C8" s="99" t="inlineStr">
        <is>
          <t>Out</t>
        </is>
      </c>
      <c r="D8" s="99" t="inlineStr">
        <is>
          <t>Category</t>
        </is>
      </c>
      <c r="E8" s="99" t="inlineStr">
        <is>
          <t>Yes</t>
        </is>
      </c>
      <c r="F8" s="100" t="inlineStr">
        <is>
          <t>Any money paid: expenses, purchases, equipment, loan repayments.</t>
        </is>
      </c>
      <c r="G8" s="66">
        <f>IF(D8="Category","",IFERROR(INDEX(sys_Acct,MATCH(D8,sys_Role,0)),""))</f>
        <v/>
      </c>
      <c r="I8" s="81" t="inlineStr">
        <is>
          <t>acctAP</t>
        </is>
      </c>
      <c r="J8" s="58" t="inlineStr">
        <is>
          <t>Accounts Payable account</t>
        </is>
      </c>
      <c r="K8" s="22" t="inlineStr">
        <is>
          <t>Accounts Payable</t>
        </is>
      </c>
      <c r="L8" s="66">
        <f>IF(ISNUMBER(MATCH(K8,coa_Name,0)),"✓ OK","⛔ Not found on COA")</f>
        <v/>
      </c>
      <c r="N8" s="58" t="inlineStr">
        <is>
          <t>Fixed Asset</t>
        </is>
      </c>
      <c r="O8" s="58" t="inlineStr">
        <is>
          <t>BS</t>
        </is>
      </c>
      <c r="P8" s="58" t="n">
        <v>1</v>
      </c>
      <c r="Q8" s="58" t="inlineStr">
        <is>
          <t>Debit</t>
        </is>
      </c>
      <c r="R8" s="58" t="inlineStr">
        <is>
          <t>Fixed Assets</t>
        </is>
      </c>
    </row>
    <row r="9">
      <c r="B9" s="99" t="inlineStr">
        <is>
          <t>Customer Payment</t>
        </is>
      </c>
      <c r="C9" s="99" t="inlineStr">
        <is>
          <t>In</t>
        </is>
      </c>
      <c r="D9" s="99" t="inlineStr">
        <is>
          <t>acctAR</t>
        </is>
      </c>
      <c r="E9" s="99" t="inlineStr">
        <is>
          <t>No</t>
        </is>
      </c>
      <c r="F9" s="100" t="inlineStr">
        <is>
          <t>A customer pays an invoice from the AR sheet. Put the invoice # in Reference.</t>
        </is>
      </c>
      <c r="G9" s="66">
        <f>IF(D9="Category","",IFERROR(INDEX(sys_Acct,MATCH(D9,sys_Role,0)),""))</f>
        <v/>
      </c>
      <c r="I9" s="81" t="inlineStr">
        <is>
          <t>acctTax</t>
        </is>
      </c>
      <c r="J9" s="58" t="inlineStr">
        <is>
          <t>Tax (VAT / sales tax) account</t>
        </is>
      </c>
      <c r="K9" s="22" t="inlineStr">
        <is>
          <t>Tax Payable</t>
        </is>
      </c>
      <c r="L9" s="66">
        <f>IF(ISNUMBER(MATCH(K9,coa_Name,0)),"✓ OK","⛔ Not found on COA")</f>
        <v/>
      </c>
      <c r="N9" s="58" t="inlineStr">
        <is>
          <t>Current Liability</t>
        </is>
      </c>
      <c r="O9" s="58" t="inlineStr">
        <is>
          <t>BS</t>
        </is>
      </c>
      <c r="P9" s="58" t="n">
        <v>-1</v>
      </c>
      <c r="Q9" s="58" t="inlineStr">
        <is>
          <t>Credit</t>
        </is>
      </c>
      <c r="R9" s="58" t="inlineStr">
        <is>
          <t>Current Liabilities</t>
        </is>
      </c>
    </row>
    <row r="10">
      <c r="B10" s="99" t="inlineStr">
        <is>
          <t>Bill Payment</t>
        </is>
      </c>
      <c r="C10" s="99" t="inlineStr">
        <is>
          <t>Out</t>
        </is>
      </c>
      <c r="D10" s="99" t="inlineStr">
        <is>
          <t>acctAP</t>
        </is>
      </c>
      <c r="E10" s="99" t="inlineStr">
        <is>
          <t>No</t>
        </is>
      </c>
      <c r="F10" s="100" t="inlineStr">
        <is>
          <t>You pay a supplier bill from the AP sheet. Put the bill # in Reference.</t>
        </is>
      </c>
      <c r="G10" s="66">
        <f>IF(D10="Category","",IFERROR(INDEX(sys_Acct,MATCH(D10,sys_Role,0)),""))</f>
        <v/>
      </c>
      <c r="I10" s="81" t="inlineStr">
        <is>
          <t>acctCapital</t>
        </is>
      </c>
      <c r="J10" s="58" t="inlineStr">
        <is>
          <t>Owner Capital account</t>
        </is>
      </c>
      <c r="K10" s="22" t="inlineStr">
        <is>
          <t>Owner Capital</t>
        </is>
      </c>
      <c r="L10" s="66">
        <f>IF(ISNUMBER(MATCH(K10,coa_Name,0)),"✓ OK","⛔ Not found on COA")</f>
        <v/>
      </c>
      <c r="N10" s="58" t="inlineStr">
        <is>
          <t>Long-term Liability</t>
        </is>
      </c>
      <c r="O10" s="58" t="inlineStr">
        <is>
          <t>BS</t>
        </is>
      </c>
      <c r="P10" s="58" t="n">
        <v>-1</v>
      </c>
      <c r="Q10" s="58" t="inlineStr">
        <is>
          <t>Credit</t>
        </is>
      </c>
      <c r="R10" s="58" t="inlineStr">
        <is>
          <t>Long-term Liabilities</t>
        </is>
      </c>
    </row>
    <row r="11">
      <c r="B11" s="99" t="inlineStr">
        <is>
          <t>Transfer</t>
        </is>
      </c>
      <c r="C11" s="99" t="inlineStr">
        <is>
          <t>Out</t>
        </is>
      </c>
      <c r="D11" s="99" t="inlineStr">
        <is>
          <t>Category</t>
        </is>
      </c>
      <c r="E11" s="99" t="inlineStr">
        <is>
          <t>No</t>
        </is>
      </c>
      <c r="F11" s="100" t="inlineStr">
        <is>
          <t>Move money between your own accounts. Category = account receiving the money.</t>
        </is>
      </c>
      <c r="G11" s="66">
        <f>IF(D11="Category","",IFERROR(INDEX(sys_Acct,MATCH(D11,sys_Role,0)),""))</f>
        <v/>
      </c>
      <c r="I11" s="81" t="inlineStr">
        <is>
          <t>acctDrawings</t>
        </is>
      </c>
      <c r="J11" s="58" t="inlineStr">
        <is>
          <t>Owner Drawings account</t>
        </is>
      </c>
      <c r="K11" s="22" t="inlineStr">
        <is>
          <t>Owner Drawings</t>
        </is>
      </c>
      <c r="L11" s="66">
        <f>IF(ISNUMBER(MATCH(K11,coa_Name,0)),"✓ OK","⛔ Not found on COA")</f>
        <v/>
      </c>
      <c r="N11" s="58" t="inlineStr">
        <is>
          <t>Equity</t>
        </is>
      </c>
      <c r="O11" s="58" t="inlineStr">
        <is>
          <t>BS</t>
        </is>
      </c>
      <c r="P11" s="58" t="n">
        <v>-1</v>
      </c>
      <c r="Q11" s="58" t="inlineStr">
        <is>
          <t>Credit</t>
        </is>
      </c>
      <c r="R11" s="58" t="inlineStr">
        <is>
          <t>Equity</t>
        </is>
      </c>
    </row>
    <row r="12">
      <c r="B12" s="99" t="inlineStr">
        <is>
          <t>Owner Investment</t>
        </is>
      </c>
      <c r="C12" s="99" t="inlineStr">
        <is>
          <t>In</t>
        </is>
      </c>
      <c r="D12" s="99" t="inlineStr">
        <is>
          <t>acctCapital</t>
        </is>
      </c>
      <c r="E12" s="99" t="inlineStr">
        <is>
          <t>No</t>
        </is>
      </c>
      <c r="F12" s="100" t="inlineStr">
        <is>
          <t>Owner puts personal money into the business.</t>
        </is>
      </c>
      <c r="G12" s="66">
        <f>IF(D12="Category","",IFERROR(INDEX(sys_Acct,MATCH(D12,sys_Role,0)),""))</f>
        <v/>
      </c>
      <c r="I12" s="81" t="inlineStr">
        <is>
          <t>acctOBE</t>
        </is>
      </c>
      <c r="J12" s="58" t="inlineStr">
        <is>
          <t>Opening Balance Equity account</t>
        </is>
      </c>
      <c r="K12" s="22" t="inlineStr">
        <is>
          <t>Opening Balance Equity</t>
        </is>
      </c>
      <c r="L12" s="66">
        <f>IF(ISNUMBER(MATCH(K12,coa_Name,0)),"✓ OK","⛔ Not found on COA")</f>
        <v/>
      </c>
      <c r="N12" s="58" t="inlineStr">
        <is>
          <t>Revenue</t>
        </is>
      </c>
      <c r="O12" s="58" t="inlineStr">
        <is>
          <t>PL</t>
        </is>
      </c>
      <c r="P12" s="58" t="n">
        <v>-1</v>
      </c>
      <c r="Q12" s="58" t="inlineStr">
        <is>
          <t>Credit</t>
        </is>
      </c>
      <c r="R12" s="58" t="inlineStr">
        <is>
          <t>Revenue</t>
        </is>
      </c>
    </row>
    <row r="13">
      <c r="B13" s="99" t="inlineStr">
        <is>
          <t>Owner Draw</t>
        </is>
      </c>
      <c r="C13" s="99" t="inlineStr">
        <is>
          <t>Out</t>
        </is>
      </c>
      <c r="D13" s="99" t="inlineStr">
        <is>
          <t>acctDrawings</t>
        </is>
      </c>
      <c r="E13" s="99" t="inlineStr">
        <is>
          <t>No</t>
        </is>
      </c>
      <c r="F13" s="100" t="inlineStr">
        <is>
          <t>Owner takes money out for personal use.</t>
        </is>
      </c>
      <c r="G13" s="66">
        <f>IF(D13="Category","",IFERROR(INDEX(sys_Acct,MATCH(D13,sys_Role,0)),""))</f>
        <v/>
      </c>
      <c r="N13" s="58" t="inlineStr">
        <is>
          <t>Cost of Sales</t>
        </is>
      </c>
      <c r="O13" s="58" t="inlineStr">
        <is>
          <t>PL</t>
        </is>
      </c>
      <c r="P13" s="58" t="n">
        <v>1</v>
      </c>
      <c r="Q13" s="58" t="inlineStr">
        <is>
          <t>Debit</t>
        </is>
      </c>
      <c r="R13" s="58" t="inlineStr">
        <is>
          <t>Cost of Sales</t>
        </is>
      </c>
    </row>
    <row r="14">
      <c r="B14" s="99" t="inlineStr">
        <is>
          <t>Adjustment</t>
        </is>
      </c>
      <c r="C14" s="99" t="inlineStr">
        <is>
          <t>Out</t>
        </is>
      </c>
      <c r="D14" s="99" t="inlineStr">
        <is>
          <t>Category</t>
        </is>
      </c>
      <c r="E14" s="99" t="inlineStr">
        <is>
          <t>No</t>
        </is>
      </c>
      <c r="F14" s="100" t="inlineStr">
        <is>
          <t>Advanced: Category is debited, Paid From is credited. For corrections and depreciation.</t>
        </is>
      </c>
      <c r="G14" s="66">
        <f>IF(D14="Category","",IFERROR(INDEX(sys_Acct,MATCH(D14,sys_Role,0)),""))</f>
        <v/>
      </c>
      <c r="N14" s="58" t="inlineStr">
        <is>
          <t>Operating Expense</t>
        </is>
      </c>
      <c r="O14" s="58" t="inlineStr">
        <is>
          <t>PL</t>
        </is>
      </c>
      <c r="P14" s="58" t="n">
        <v>1</v>
      </c>
      <c r="Q14" s="58" t="inlineStr">
        <is>
          <t>Debit</t>
        </is>
      </c>
      <c r="R14" s="58" t="inlineStr">
        <is>
          <t>Operating Expenses</t>
        </is>
      </c>
    </row>
    <row r="15">
      <c r="N15" s="58" t="inlineStr">
        <is>
          <t>Other Income</t>
        </is>
      </c>
      <c r="O15" s="58" t="inlineStr">
        <is>
          <t>PL</t>
        </is>
      </c>
      <c r="P15" s="58" t="n">
        <v>-1</v>
      </c>
      <c r="Q15" s="58" t="inlineStr">
        <is>
          <t>Credit</t>
        </is>
      </c>
      <c r="R15" s="58" t="inlineStr">
        <is>
          <t>Other Income</t>
        </is>
      </c>
    </row>
    <row r="16">
      <c r="N16" s="58" t="inlineStr">
        <is>
          <t>Other Expense</t>
        </is>
      </c>
      <c r="O16" s="58" t="inlineStr">
        <is>
          <t>PL</t>
        </is>
      </c>
      <c r="P16" s="58" t="n">
        <v>1</v>
      </c>
      <c r="Q16" s="58" t="inlineStr">
        <is>
          <t>Debit</t>
        </is>
      </c>
      <c r="R16" s="58" t="inlineStr">
        <is>
          <t>Other Expenses</t>
        </is>
      </c>
    </row>
    <row r="19">
      <c r="B19" s="6" t="inlineStr">
        <is>
          <t>DROPDOWN LISTS</t>
        </is>
      </c>
    </row>
    <row r="20">
      <c r="B20" s="7" t="inlineStr">
        <is>
          <t>Payment methods</t>
        </is>
      </c>
      <c r="C20" s="7" t="inlineStr">
        <is>
          <t>Business types</t>
        </is>
      </c>
      <c r="D20" s="61" t="inlineStr">
        <is>
          <t>Months</t>
        </is>
      </c>
      <c r="E20" s="61" t="inlineStr">
        <is>
          <t>Yes / No</t>
        </is>
      </c>
      <c r="F20" s="61" t="inlineStr">
        <is>
          <t>Cash flow sections</t>
        </is>
      </c>
      <c r="G20" s="61" t="inlineStr">
        <is>
          <t>Normal balance</t>
        </is>
      </c>
      <c r="H20" s="61" t="inlineStr">
        <is>
          <t>Aging buckets</t>
        </is>
      </c>
      <c r="J20" s="61" t="inlineStr">
        <is>
          <t>Payment accounts (auto)</t>
        </is>
      </c>
      <c r="K20" s="61" t="inlineStr">
        <is>
          <t>Active accounts (auto)</t>
        </is>
      </c>
    </row>
    <row r="21">
      <c r="B21" s="22" t="inlineStr">
        <is>
          <t>Cash</t>
        </is>
      </c>
      <c r="C21" s="22" t="inlineStr">
        <is>
          <t>Retail Shop</t>
        </is>
      </c>
      <c r="D21" s="58" t="inlineStr">
        <is>
          <t>January</t>
        </is>
      </c>
      <c r="E21" s="58" t="inlineStr">
        <is>
          <t>Yes</t>
        </is>
      </c>
      <c r="F21" s="58" t="inlineStr">
        <is>
          <t>Cash</t>
        </is>
      </c>
      <c r="G21" s="58" t="inlineStr">
        <is>
          <t>Debit</t>
        </is>
      </c>
      <c r="H21" s="58" t="inlineStr">
        <is>
          <t>Current</t>
        </is>
      </c>
      <c r="J21" s="66">
        <f>IFERROR(INDEX(coa_Name,MATCH(1,coa_PayRank,0)),"")</f>
        <v/>
      </c>
      <c r="K21" s="66">
        <f>IFERROR(INDEX(coa_Name,MATCH(1,coa_ActRank,0)),"")</f>
        <v/>
      </c>
    </row>
    <row r="22">
      <c r="B22" s="22" t="inlineStr">
        <is>
          <t>Bank Transfer</t>
        </is>
      </c>
      <c r="C22" s="22" t="inlineStr">
        <is>
          <t>Online Seller</t>
        </is>
      </c>
      <c r="D22" s="58" t="inlineStr">
        <is>
          <t>February</t>
        </is>
      </c>
      <c r="E22" s="58" t="inlineStr">
        <is>
          <t>No</t>
        </is>
      </c>
      <c r="F22" s="58" t="inlineStr">
        <is>
          <t>Operating</t>
        </is>
      </c>
      <c r="G22" s="58" t="inlineStr">
        <is>
          <t>Credit</t>
        </is>
      </c>
      <c r="H22" s="58" t="inlineStr">
        <is>
          <t>1-30</t>
        </is>
      </c>
      <c r="J22" s="66">
        <f>IFERROR(INDEX(coa_Name,MATCH(2,coa_PayRank,0)),"")</f>
        <v/>
      </c>
      <c r="K22" s="66">
        <f>IFERROR(INDEX(coa_Name,MATCH(2,coa_ActRank,0)),"")</f>
        <v/>
      </c>
    </row>
    <row r="23">
      <c r="B23" s="22" t="inlineStr">
        <is>
          <t>Check</t>
        </is>
      </c>
      <c r="C23" s="22" t="inlineStr">
        <is>
          <t>Food &amp; Beverage</t>
        </is>
      </c>
      <c r="D23" s="58" t="inlineStr">
        <is>
          <t>March</t>
        </is>
      </c>
      <c r="F23" s="58" t="inlineStr">
        <is>
          <t>Investing</t>
        </is>
      </c>
      <c r="H23" s="58" t="inlineStr">
        <is>
          <t>31-60</t>
        </is>
      </c>
      <c r="J23" s="66">
        <f>IFERROR(INDEX(coa_Name,MATCH(3,coa_PayRank,0)),"")</f>
        <v/>
      </c>
      <c r="K23" s="66">
        <f>IFERROR(INDEX(coa_Name,MATCH(3,coa_ActRank,0)),"")</f>
        <v/>
      </c>
    </row>
    <row r="24">
      <c r="B24" s="22" t="inlineStr">
        <is>
          <t>Debit Card</t>
        </is>
      </c>
      <c r="C24" s="22" t="inlineStr">
        <is>
          <t>Services</t>
        </is>
      </c>
      <c r="D24" s="58" t="inlineStr">
        <is>
          <t>April</t>
        </is>
      </c>
      <c r="F24" s="58" t="inlineStr">
        <is>
          <t>Financing</t>
        </is>
      </c>
      <c r="H24" s="58" t="inlineStr">
        <is>
          <t>61-90</t>
        </is>
      </c>
      <c r="J24" s="66">
        <f>IFERROR(INDEX(coa_Name,MATCH(4,coa_PayRank,0)),"")</f>
        <v/>
      </c>
      <c r="K24" s="66">
        <f>IFERROR(INDEX(coa_Name,MATCH(4,coa_ActRank,0)),"")</f>
        <v/>
      </c>
    </row>
    <row r="25">
      <c r="B25" s="22" t="inlineStr">
        <is>
          <t>Credit Card</t>
        </is>
      </c>
      <c r="C25" s="22" t="inlineStr">
        <is>
          <t>Freelancer</t>
        </is>
      </c>
      <c r="D25" s="58" t="inlineStr">
        <is>
          <t>May</t>
        </is>
      </c>
      <c r="H25" s="58" t="inlineStr">
        <is>
          <t>90+</t>
        </is>
      </c>
      <c r="J25" s="66">
        <f>IFERROR(INDEX(coa_Name,MATCH(5,coa_PayRank,0)),"")</f>
        <v/>
      </c>
      <c r="K25" s="66">
        <f>IFERROR(INDEX(coa_Name,MATCH(5,coa_ActRank,0)),"")</f>
        <v/>
      </c>
    </row>
    <row r="26">
      <c r="B26" s="22" t="inlineStr">
        <is>
          <t>E-Wallet</t>
        </is>
      </c>
      <c r="C26" s="22" t="inlineStr">
        <is>
          <t>Contractor</t>
        </is>
      </c>
      <c r="D26" s="58" t="inlineStr">
        <is>
          <t>June</t>
        </is>
      </c>
      <c r="J26" s="66">
        <f>IFERROR(INDEX(coa_Name,MATCH(6,coa_PayRank,0)),"")</f>
        <v/>
      </c>
      <c r="K26" s="66">
        <f>IFERROR(INDEX(coa_Name,MATCH(6,coa_ActRank,0)),"")</f>
        <v/>
      </c>
    </row>
    <row r="27">
      <c r="B27" s="22" t="inlineStr">
        <is>
          <t>Online Payment</t>
        </is>
      </c>
      <c r="C27" s="22" t="inlineStr">
        <is>
          <t>Agency</t>
        </is>
      </c>
      <c r="D27" s="58" t="inlineStr">
        <is>
          <t>July</t>
        </is>
      </c>
      <c r="J27" s="66">
        <f>IFERROR(INDEX(coa_Name,MATCH(7,coa_PayRank,0)),"")</f>
        <v/>
      </c>
      <c r="K27" s="66">
        <f>IFERROR(INDEX(coa_Name,MATCH(7,coa_ActRank,0)),"")</f>
        <v/>
      </c>
    </row>
    <row r="28">
      <c r="B28" s="22" t="inlineStr">
        <is>
          <t>Other</t>
        </is>
      </c>
      <c r="C28" s="22" t="inlineStr">
        <is>
          <t>Manufacturing</t>
        </is>
      </c>
      <c r="D28" s="58" t="inlineStr">
        <is>
          <t>August</t>
        </is>
      </c>
      <c r="J28" s="66">
        <f>IFERROR(INDEX(coa_Name,MATCH(8,coa_PayRank,0)),"")</f>
        <v/>
      </c>
      <c r="K28" s="66">
        <f>IFERROR(INDEX(coa_Name,MATCH(8,coa_ActRank,0)),"")</f>
        <v/>
      </c>
    </row>
    <row r="29">
      <c r="B29" s="22" t="n"/>
      <c r="C29" s="22" t="inlineStr">
        <is>
          <t>Other</t>
        </is>
      </c>
      <c r="D29" s="58" t="inlineStr">
        <is>
          <t>September</t>
        </is>
      </c>
      <c r="J29" s="66">
        <f>IFERROR(INDEX(coa_Name,MATCH(9,coa_PayRank,0)),"")</f>
        <v/>
      </c>
      <c r="K29" s="66">
        <f>IFERROR(INDEX(coa_Name,MATCH(9,coa_ActRank,0)),"")</f>
        <v/>
      </c>
    </row>
    <row r="30">
      <c r="B30" s="22" t="n"/>
      <c r="C30" s="22" t="n"/>
      <c r="D30" s="58" t="inlineStr">
        <is>
          <t>October</t>
        </is>
      </c>
      <c r="J30" s="66">
        <f>IFERROR(INDEX(coa_Name,MATCH(10,coa_PayRank,0)),"")</f>
        <v/>
      </c>
      <c r="K30" s="66">
        <f>IFERROR(INDEX(coa_Name,MATCH(10,coa_ActRank,0)),"")</f>
        <v/>
      </c>
    </row>
    <row r="31">
      <c r="B31" s="22" t="n"/>
      <c r="C31" s="22" t="n"/>
      <c r="D31" s="58" t="inlineStr">
        <is>
          <t>November</t>
        </is>
      </c>
      <c r="J31" s="66">
        <f>IFERROR(INDEX(coa_Name,MATCH(11,coa_PayRank,0)),"")</f>
        <v/>
      </c>
      <c r="K31" s="66">
        <f>IFERROR(INDEX(coa_Name,MATCH(11,coa_ActRank,0)),"")</f>
        <v/>
      </c>
    </row>
    <row r="32">
      <c r="B32" s="22" t="n"/>
      <c r="C32" s="22" t="n"/>
      <c r="D32" s="58" t="inlineStr">
        <is>
          <t>December</t>
        </is>
      </c>
      <c r="J32" s="66">
        <f>IFERROR(INDEX(coa_Name,MATCH(12,coa_PayRank,0)),"")</f>
        <v/>
      </c>
      <c r="K32" s="66">
        <f>IFERROR(INDEX(coa_Name,MATCH(12,coa_ActRank,0)),"")</f>
        <v/>
      </c>
    </row>
    <row r="33">
      <c r="B33" s="22" t="n"/>
      <c r="J33" s="66">
        <f>IFERROR(INDEX(coa_Name,MATCH(13,coa_PayRank,0)),"")</f>
        <v/>
      </c>
      <c r="K33" s="66">
        <f>IFERROR(INDEX(coa_Name,MATCH(13,coa_ActRank,0)),"")</f>
        <v/>
      </c>
    </row>
    <row r="34">
      <c r="B34" s="22" t="n"/>
      <c r="J34" s="66">
        <f>IFERROR(INDEX(coa_Name,MATCH(14,coa_PayRank,0)),"")</f>
        <v/>
      </c>
      <c r="K34" s="66">
        <f>IFERROR(INDEX(coa_Name,MATCH(14,coa_ActRank,0)),"")</f>
        <v/>
      </c>
    </row>
    <row r="35">
      <c r="B35" s="22" t="n"/>
      <c r="J35" s="66">
        <f>IFERROR(INDEX(coa_Name,MATCH(15,coa_PayRank,0)),"")</f>
        <v/>
      </c>
      <c r="K35" s="66">
        <f>IFERROR(INDEX(coa_Name,MATCH(15,coa_ActRank,0)),"")</f>
        <v/>
      </c>
    </row>
    <row r="36">
      <c r="J36" s="66">
        <f>IFERROR(INDEX(coa_Name,MATCH(16,coa_PayRank,0)),"")</f>
        <v/>
      </c>
      <c r="K36" s="66">
        <f>IFERROR(INDEX(coa_Name,MATCH(16,coa_ActRank,0)),"")</f>
        <v/>
      </c>
    </row>
    <row r="37">
      <c r="J37" s="66">
        <f>IFERROR(INDEX(coa_Name,MATCH(17,coa_PayRank,0)),"")</f>
        <v/>
      </c>
      <c r="K37" s="66">
        <f>IFERROR(INDEX(coa_Name,MATCH(17,coa_ActRank,0)),"")</f>
        <v/>
      </c>
    </row>
    <row r="38">
      <c r="J38" s="66">
        <f>IFERROR(INDEX(coa_Name,MATCH(18,coa_PayRank,0)),"")</f>
        <v/>
      </c>
      <c r="K38" s="66">
        <f>IFERROR(INDEX(coa_Name,MATCH(18,coa_ActRank,0)),"")</f>
        <v/>
      </c>
    </row>
    <row r="39">
      <c r="J39" s="66">
        <f>IFERROR(INDEX(coa_Name,MATCH(19,coa_PayRank,0)),"")</f>
        <v/>
      </c>
      <c r="K39" s="66">
        <f>IFERROR(INDEX(coa_Name,MATCH(19,coa_ActRank,0)),"")</f>
        <v/>
      </c>
    </row>
    <row r="40">
      <c r="J40" s="66">
        <f>IFERROR(INDEX(coa_Name,MATCH(20,coa_PayRank,0)),"")</f>
        <v/>
      </c>
      <c r="K40" s="66">
        <f>IFERROR(INDEX(coa_Name,MATCH(20,coa_ActRank,0)),"")</f>
        <v/>
      </c>
    </row>
    <row r="41">
      <c r="J41" s="66">
        <f>IFERROR(INDEX(coa_Name,MATCH(21,coa_PayRank,0)),"")</f>
        <v/>
      </c>
      <c r="K41" s="66">
        <f>IFERROR(INDEX(coa_Name,MATCH(21,coa_ActRank,0)),"")</f>
        <v/>
      </c>
    </row>
    <row r="42">
      <c r="J42" s="66">
        <f>IFERROR(INDEX(coa_Name,MATCH(22,coa_PayRank,0)),"")</f>
        <v/>
      </c>
      <c r="K42" s="66">
        <f>IFERROR(INDEX(coa_Name,MATCH(22,coa_ActRank,0)),"")</f>
        <v/>
      </c>
    </row>
    <row r="43">
      <c r="J43" s="66">
        <f>IFERROR(INDEX(coa_Name,MATCH(23,coa_PayRank,0)),"")</f>
        <v/>
      </c>
      <c r="K43" s="66">
        <f>IFERROR(INDEX(coa_Name,MATCH(23,coa_ActRank,0)),"")</f>
        <v/>
      </c>
    </row>
    <row r="44">
      <c r="J44" s="66">
        <f>IFERROR(INDEX(coa_Name,MATCH(24,coa_PayRank,0)),"")</f>
        <v/>
      </c>
      <c r="K44" s="66">
        <f>IFERROR(INDEX(coa_Name,MATCH(24,coa_ActRank,0)),"")</f>
        <v/>
      </c>
    </row>
    <row r="45">
      <c r="J45" s="66">
        <f>IFERROR(INDEX(coa_Name,MATCH(25,coa_PayRank,0)),"")</f>
        <v/>
      </c>
      <c r="K45" s="66">
        <f>IFERROR(INDEX(coa_Name,MATCH(25,coa_ActRank,0)),"")</f>
        <v/>
      </c>
    </row>
    <row r="46">
      <c r="J46" s="66">
        <f>IFERROR(INDEX(coa_Name,MATCH(26,coa_PayRank,0)),"")</f>
        <v/>
      </c>
      <c r="K46" s="66">
        <f>IFERROR(INDEX(coa_Name,MATCH(26,coa_ActRank,0)),"")</f>
        <v/>
      </c>
    </row>
    <row r="47">
      <c r="J47" s="66">
        <f>IFERROR(INDEX(coa_Name,MATCH(27,coa_PayRank,0)),"")</f>
        <v/>
      </c>
      <c r="K47" s="66">
        <f>IFERROR(INDEX(coa_Name,MATCH(27,coa_ActRank,0)),"")</f>
        <v/>
      </c>
    </row>
    <row r="48">
      <c r="J48" s="66">
        <f>IFERROR(INDEX(coa_Name,MATCH(28,coa_PayRank,0)),"")</f>
        <v/>
      </c>
      <c r="K48" s="66">
        <f>IFERROR(INDEX(coa_Name,MATCH(28,coa_ActRank,0)),"")</f>
        <v/>
      </c>
    </row>
    <row r="49">
      <c r="J49" s="66">
        <f>IFERROR(INDEX(coa_Name,MATCH(29,coa_PayRank,0)),"")</f>
        <v/>
      </c>
      <c r="K49" s="66">
        <f>IFERROR(INDEX(coa_Name,MATCH(29,coa_ActRank,0)),"")</f>
        <v/>
      </c>
    </row>
    <row r="50">
      <c r="J50" s="66">
        <f>IFERROR(INDEX(coa_Name,MATCH(30,coa_PayRank,0)),"")</f>
        <v/>
      </c>
      <c r="K50" s="66">
        <f>IFERROR(INDEX(coa_Name,MATCH(30,coa_ActRank,0)),"")</f>
        <v/>
      </c>
    </row>
    <row r="51">
      <c r="K51" s="66">
        <f>IFERROR(INDEX(coa_Name,MATCH(31,coa_ActRank,0)),"")</f>
        <v/>
      </c>
    </row>
    <row r="52">
      <c r="K52" s="66">
        <f>IFERROR(INDEX(coa_Name,MATCH(32,coa_ActRank,0)),"")</f>
        <v/>
      </c>
    </row>
    <row r="53">
      <c r="K53" s="66">
        <f>IFERROR(INDEX(coa_Name,MATCH(33,coa_ActRank,0)),"")</f>
        <v/>
      </c>
    </row>
    <row r="54">
      <c r="K54" s="66">
        <f>IFERROR(INDEX(coa_Name,MATCH(34,coa_ActRank,0)),"")</f>
        <v/>
      </c>
    </row>
    <row r="55">
      <c r="K55" s="66">
        <f>IFERROR(INDEX(coa_Name,MATCH(35,coa_ActRank,0)),"")</f>
        <v/>
      </c>
    </row>
    <row r="56">
      <c r="K56" s="66">
        <f>IFERROR(INDEX(coa_Name,MATCH(36,coa_ActRank,0)),"")</f>
        <v/>
      </c>
    </row>
    <row r="57">
      <c r="K57" s="66">
        <f>IFERROR(INDEX(coa_Name,MATCH(37,coa_ActRank,0)),"")</f>
        <v/>
      </c>
    </row>
    <row r="58">
      <c r="K58" s="66">
        <f>IFERROR(INDEX(coa_Name,MATCH(38,coa_ActRank,0)),"")</f>
        <v/>
      </c>
    </row>
    <row r="59">
      <c r="K59" s="66">
        <f>IFERROR(INDEX(coa_Name,MATCH(39,coa_ActRank,0)),"")</f>
        <v/>
      </c>
    </row>
    <row r="60">
      <c r="K60" s="66">
        <f>IFERROR(INDEX(coa_Name,MATCH(40,coa_ActRank,0)),"")</f>
        <v/>
      </c>
    </row>
    <row r="61">
      <c r="K61" s="66">
        <f>IFERROR(INDEX(coa_Name,MATCH(41,coa_ActRank,0)),"")</f>
        <v/>
      </c>
    </row>
    <row r="62">
      <c r="K62" s="66">
        <f>IFERROR(INDEX(coa_Name,MATCH(42,coa_ActRank,0)),"")</f>
        <v/>
      </c>
    </row>
    <row r="63">
      <c r="K63" s="66">
        <f>IFERROR(INDEX(coa_Name,MATCH(43,coa_ActRank,0)),"")</f>
        <v/>
      </c>
    </row>
    <row r="64">
      <c r="K64" s="66">
        <f>IFERROR(INDEX(coa_Name,MATCH(44,coa_ActRank,0)),"")</f>
        <v/>
      </c>
    </row>
    <row r="65">
      <c r="K65" s="66">
        <f>IFERROR(INDEX(coa_Name,MATCH(45,coa_ActRank,0)),"")</f>
        <v/>
      </c>
    </row>
    <row r="66">
      <c r="K66" s="66">
        <f>IFERROR(INDEX(coa_Name,MATCH(46,coa_ActRank,0)),"")</f>
        <v/>
      </c>
    </row>
    <row r="67">
      <c r="K67" s="66">
        <f>IFERROR(INDEX(coa_Name,MATCH(47,coa_ActRank,0)),"")</f>
        <v/>
      </c>
    </row>
    <row r="68">
      <c r="K68" s="66">
        <f>IFERROR(INDEX(coa_Name,MATCH(48,coa_ActRank,0)),"")</f>
        <v/>
      </c>
    </row>
    <row r="69">
      <c r="K69" s="66">
        <f>IFERROR(INDEX(coa_Name,MATCH(49,coa_ActRank,0)),"")</f>
        <v/>
      </c>
    </row>
    <row r="70">
      <c r="K70" s="66">
        <f>IFERROR(INDEX(coa_Name,MATCH(50,coa_ActRank,0)),"")</f>
        <v/>
      </c>
    </row>
    <row r="71">
      <c r="K71" s="66">
        <f>IFERROR(INDEX(coa_Name,MATCH(51,coa_ActRank,0)),"")</f>
        <v/>
      </c>
    </row>
    <row r="72">
      <c r="K72" s="66">
        <f>IFERROR(INDEX(coa_Name,MATCH(52,coa_ActRank,0)),"")</f>
        <v/>
      </c>
    </row>
    <row r="73">
      <c r="K73" s="66">
        <f>IFERROR(INDEX(coa_Name,MATCH(53,coa_ActRank,0)),"")</f>
        <v/>
      </c>
    </row>
    <row r="74">
      <c r="K74" s="66">
        <f>IFERROR(INDEX(coa_Name,MATCH(54,coa_ActRank,0)),"")</f>
        <v/>
      </c>
    </row>
    <row r="75">
      <c r="K75" s="66">
        <f>IFERROR(INDEX(coa_Name,MATCH(55,coa_ActRank,0)),"")</f>
        <v/>
      </c>
    </row>
    <row r="76">
      <c r="K76" s="66">
        <f>IFERROR(INDEX(coa_Name,MATCH(56,coa_ActRank,0)),"")</f>
        <v/>
      </c>
    </row>
    <row r="77">
      <c r="K77" s="66">
        <f>IFERROR(INDEX(coa_Name,MATCH(57,coa_ActRank,0)),"")</f>
        <v/>
      </c>
    </row>
    <row r="78">
      <c r="K78" s="66">
        <f>IFERROR(INDEX(coa_Name,MATCH(58,coa_ActRank,0)),"")</f>
        <v/>
      </c>
    </row>
    <row r="79">
      <c r="K79" s="66">
        <f>IFERROR(INDEX(coa_Name,MATCH(59,coa_ActRank,0)),"")</f>
        <v/>
      </c>
    </row>
    <row r="80">
      <c r="K80" s="66">
        <f>IFERROR(INDEX(coa_Name,MATCH(60,coa_ActRank,0)),"")</f>
        <v/>
      </c>
    </row>
    <row r="81">
      <c r="K81" s="66">
        <f>IFERROR(INDEX(coa_Name,MATCH(61,coa_ActRank,0)),"")</f>
        <v/>
      </c>
    </row>
    <row r="82">
      <c r="K82" s="66">
        <f>IFERROR(INDEX(coa_Name,MATCH(62,coa_ActRank,0)),"")</f>
        <v/>
      </c>
    </row>
    <row r="83">
      <c r="K83" s="66">
        <f>IFERROR(INDEX(coa_Name,MATCH(63,coa_ActRank,0)),"")</f>
        <v/>
      </c>
    </row>
    <row r="84">
      <c r="K84" s="66">
        <f>IFERROR(INDEX(coa_Name,MATCH(64,coa_ActRank,0)),"")</f>
        <v/>
      </c>
    </row>
    <row r="85">
      <c r="K85" s="66">
        <f>IFERROR(INDEX(coa_Name,MATCH(65,coa_ActRank,0)),"")</f>
        <v/>
      </c>
    </row>
    <row r="86">
      <c r="K86" s="66">
        <f>IFERROR(INDEX(coa_Name,MATCH(66,coa_ActRank,0)),"")</f>
        <v/>
      </c>
    </row>
    <row r="87">
      <c r="K87" s="66">
        <f>IFERROR(INDEX(coa_Name,MATCH(67,coa_ActRank,0)),"")</f>
        <v/>
      </c>
    </row>
    <row r="88">
      <c r="K88" s="66">
        <f>IFERROR(INDEX(coa_Name,MATCH(68,coa_ActRank,0)),"")</f>
        <v/>
      </c>
    </row>
    <row r="89">
      <c r="K89" s="66">
        <f>IFERROR(INDEX(coa_Name,MATCH(69,coa_ActRank,0)),"")</f>
        <v/>
      </c>
    </row>
    <row r="90">
      <c r="K90" s="66">
        <f>IFERROR(INDEX(coa_Name,MATCH(70,coa_ActRank,0)),"")</f>
        <v/>
      </c>
    </row>
    <row r="91">
      <c r="K91" s="66">
        <f>IFERROR(INDEX(coa_Name,MATCH(71,coa_ActRank,0)),"")</f>
        <v/>
      </c>
    </row>
    <row r="92">
      <c r="K92" s="66">
        <f>IFERROR(INDEX(coa_Name,MATCH(72,coa_ActRank,0)),"")</f>
        <v/>
      </c>
    </row>
    <row r="93">
      <c r="K93" s="66">
        <f>IFERROR(INDEX(coa_Name,MATCH(73,coa_ActRank,0)),"")</f>
        <v/>
      </c>
    </row>
    <row r="94">
      <c r="K94" s="66">
        <f>IFERROR(INDEX(coa_Name,MATCH(74,coa_ActRank,0)),"")</f>
        <v/>
      </c>
    </row>
    <row r="95">
      <c r="K95" s="66">
        <f>IFERROR(INDEX(coa_Name,MATCH(75,coa_ActRank,0)),"")</f>
        <v/>
      </c>
    </row>
    <row r="96">
      <c r="K96" s="66">
        <f>IFERROR(INDEX(coa_Name,MATCH(76,coa_ActRank,0)),"")</f>
        <v/>
      </c>
    </row>
    <row r="97">
      <c r="K97" s="66">
        <f>IFERROR(INDEX(coa_Name,MATCH(77,coa_ActRank,0)),"")</f>
        <v/>
      </c>
    </row>
    <row r="98">
      <c r="K98" s="66">
        <f>IFERROR(INDEX(coa_Name,MATCH(78,coa_ActRank,0)),"")</f>
        <v/>
      </c>
    </row>
    <row r="99">
      <c r="K99" s="66">
        <f>IFERROR(INDEX(coa_Name,MATCH(79,coa_ActRank,0)),"")</f>
        <v/>
      </c>
    </row>
    <row r="100">
      <c r="K100" s="66">
        <f>IFERROR(INDEX(coa_Name,MATCH(80,coa_ActRank,0)),"")</f>
        <v/>
      </c>
    </row>
    <row r="101">
      <c r="K101" s="66">
        <f>IFERROR(INDEX(coa_Name,MATCH(81,coa_ActRank,0)),"")</f>
        <v/>
      </c>
    </row>
    <row r="102">
      <c r="K102" s="66">
        <f>IFERROR(INDEX(coa_Name,MATCH(82,coa_ActRank,0)),"")</f>
        <v/>
      </c>
    </row>
    <row r="103">
      <c r="K103" s="66">
        <f>IFERROR(INDEX(coa_Name,MATCH(83,coa_ActRank,0)),"")</f>
        <v/>
      </c>
    </row>
    <row r="104">
      <c r="K104" s="66">
        <f>IFERROR(INDEX(coa_Name,MATCH(84,coa_ActRank,0)),"")</f>
        <v/>
      </c>
    </row>
    <row r="105">
      <c r="K105" s="66">
        <f>IFERROR(INDEX(coa_Name,MATCH(85,coa_ActRank,0)),"")</f>
        <v/>
      </c>
    </row>
    <row r="106">
      <c r="K106" s="66">
        <f>IFERROR(INDEX(coa_Name,MATCH(86,coa_ActRank,0)),"")</f>
        <v/>
      </c>
    </row>
    <row r="107">
      <c r="K107" s="66">
        <f>IFERROR(INDEX(coa_Name,MATCH(87,coa_ActRank,0)),"")</f>
        <v/>
      </c>
    </row>
    <row r="108">
      <c r="K108" s="66">
        <f>IFERROR(INDEX(coa_Name,MATCH(88,coa_ActRank,0)),"")</f>
        <v/>
      </c>
    </row>
    <row r="109">
      <c r="K109" s="66">
        <f>IFERROR(INDEX(coa_Name,MATCH(89,coa_ActRank,0)),"")</f>
        <v/>
      </c>
    </row>
    <row r="110">
      <c r="K110" s="66">
        <f>IFERROR(INDEX(coa_Name,MATCH(90,coa_ActRank,0)),"")</f>
        <v/>
      </c>
    </row>
    <row r="111">
      <c r="K111" s="66">
        <f>IFERROR(INDEX(coa_Name,MATCH(91,coa_ActRank,0)),"")</f>
        <v/>
      </c>
    </row>
    <row r="112">
      <c r="K112" s="66">
        <f>IFERROR(INDEX(coa_Name,MATCH(92,coa_ActRank,0)),"")</f>
        <v/>
      </c>
    </row>
    <row r="113">
      <c r="K113" s="66">
        <f>IFERROR(INDEX(coa_Name,MATCH(93,coa_ActRank,0)),"")</f>
        <v/>
      </c>
    </row>
    <row r="114">
      <c r="K114" s="66">
        <f>IFERROR(INDEX(coa_Name,MATCH(94,coa_ActRank,0)),"")</f>
        <v/>
      </c>
    </row>
    <row r="115">
      <c r="K115" s="66">
        <f>IFERROR(INDEX(coa_Name,MATCH(95,coa_ActRank,0)),"")</f>
        <v/>
      </c>
    </row>
    <row r="116">
      <c r="K116" s="66">
        <f>IFERROR(INDEX(coa_Name,MATCH(96,coa_ActRank,0)),"")</f>
        <v/>
      </c>
    </row>
    <row r="117">
      <c r="K117" s="66">
        <f>IFERROR(INDEX(coa_Name,MATCH(97,coa_ActRank,0)),"")</f>
        <v/>
      </c>
    </row>
    <row r="118">
      <c r="K118" s="66">
        <f>IFERROR(INDEX(coa_Name,MATCH(98,coa_ActRank,0)),"")</f>
        <v/>
      </c>
    </row>
    <row r="119">
      <c r="K119" s="66">
        <f>IFERROR(INDEX(coa_Name,MATCH(99,coa_ActRank,0)),"")</f>
        <v/>
      </c>
    </row>
    <row r="120">
      <c r="K120" s="66">
        <f>IFERROR(INDEX(coa_Name,MATCH(100,coa_ActRank,0)),"")</f>
        <v/>
      </c>
    </row>
    <row r="121">
      <c r="K121" s="66">
        <f>IFERROR(INDEX(coa_Name,MATCH(101,coa_ActRank,0)),"")</f>
        <v/>
      </c>
    </row>
    <row r="122">
      <c r="K122" s="66">
        <f>IFERROR(INDEX(coa_Name,MATCH(102,coa_ActRank,0)),"")</f>
        <v/>
      </c>
    </row>
    <row r="123">
      <c r="K123" s="66">
        <f>IFERROR(INDEX(coa_Name,MATCH(103,coa_ActRank,0)),"")</f>
        <v/>
      </c>
    </row>
    <row r="124">
      <c r="K124" s="66">
        <f>IFERROR(INDEX(coa_Name,MATCH(104,coa_ActRank,0)),"")</f>
        <v/>
      </c>
    </row>
    <row r="125">
      <c r="K125" s="66">
        <f>IFERROR(INDEX(coa_Name,MATCH(105,coa_ActRank,0)),"")</f>
        <v/>
      </c>
    </row>
    <row r="126">
      <c r="K126" s="66">
        <f>IFERROR(INDEX(coa_Name,MATCH(106,coa_ActRank,0)),"")</f>
        <v/>
      </c>
    </row>
    <row r="127">
      <c r="K127" s="66">
        <f>IFERROR(INDEX(coa_Name,MATCH(107,coa_ActRank,0)),"")</f>
        <v/>
      </c>
    </row>
    <row r="128">
      <c r="K128" s="66">
        <f>IFERROR(INDEX(coa_Name,MATCH(108,coa_ActRank,0)),"")</f>
        <v/>
      </c>
    </row>
    <row r="129">
      <c r="K129" s="66">
        <f>IFERROR(INDEX(coa_Name,MATCH(109,coa_ActRank,0)),"")</f>
        <v/>
      </c>
    </row>
    <row r="130">
      <c r="K130" s="66">
        <f>IFERROR(INDEX(coa_Name,MATCH(110,coa_ActRank,0)),"")</f>
        <v/>
      </c>
    </row>
    <row r="131">
      <c r="K131" s="66">
        <f>IFERROR(INDEX(coa_Name,MATCH(111,coa_ActRank,0)),"")</f>
        <v/>
      </c>
    </row>
    <row r="132">
      <c r="K132" s="66">
        <f>IFERROR(INDEX(coa_Name,MATCH(112,coa_ActRank,0)),"")</f>
        <v/>
      </c>
    </row>
    <row r="133">
      <c r="K133" s="66">
        <f>IFERROR(INDEX(coa_Name,MATCH(113,coa_ActRank,0)),"")</f>
        <v/>
      </c>
    </row>
    <row r="134">
      <c r="K134" s="66">
        <f>IFERROR(INDEX(coa_Name,MATCH(114,coa_ActRank,0)),"")</f>
        <v/>
      </c>
    </row>
    <row r="135">
      <c r="K135" s="66">
        <f>IFERROR(INDEX(coa_Name,MATCH(115,coa_ActRank,0)),"")</f>
        <v/>
      </c>
    </row>
    <row r="136">
      <c r="K136" s="66">
        <f>IFERROR(INDEX(coa_Name,MATCH(116,coa_ActRank,0)),"")</f>
        <v/>
      </c>
    </row>
    <row r="137">
      <c r="K137" s="66">
        <f>IFERROR(INDEX(coa_Name,MATCH(117,coa_ActRank,0)),"")</f>
        <v/>
      </c>
    </row>
    <row r="138">
      <c r="K138" s="66">
        <f>IFERROR(INDEX(coa_Name,MATCH(118,coa_ActRank,0)),"")</f>
        <v/>
      </c>
    </row>
    <row r="139">
      <c r="K139" s="66">
        <f>IFERROR(INDEX(coa_Name,MATCH(119,coa_ActRank,0)),"")</f>
        <v/>
      </c>
    </row>
    <row r="140">
      <c r="K140" s="66">
        <f>IFERROR(INDEX(coa_Name,MATCH(120,coa_ActRank,0)),"")</f>
        <v/>
      </c>
    </row>
    <row r="141">
      <c r="K141" s="66">
        <f>IFERROR(INDEX(coa_Name,MATCH(121,coa_ActRank,0)),"")</f>
        <v/>
      </c>
    </row>
    <row r="142">
      <c r="K142" s="66">
        <f>IFERROR(INDEX(coa_Name,MATCH(122,coa_ActRank,0)),"")</f>
        <v/>
      </c>
    </row>
    <row r="143">
      <c r="K143" s="66">
        <f>IFERROR(INDEX(coa_Name,MATCH(123,coa_ActRank,0)),"")</f>
        <v/>
      </c>
    </row>
    <row r="144">
      <c r="K144" s="66">
        <f>IFERROR(INDEX(coa_Name,MATCH(124,coa_ActRank,0)),"")</f>
        <v/>
      </c>
    </row>
    <row r="145">
      <c r="K145" s="66">
        <f>IFERROR(INDEX(coa_Name,MATCH(125,coa_ActRank,0)),"")</f>
        <v/>
      </c>
    </row>
    <row r="146">
      <c r="K146" s="66">
        <f>IFERROR(INDEX(coa_Name,MATCH(126,coa_ActRank,0)),"")</f>
        <v/>
      </c>
    </row>
    <row r="147">
      <c r="K147" s="66">
        <f>IFERROR(INDEX(coa_Name,MATCH(127,coa_ActRank,0)),"")</f>
        <v/>
      </c>
    </row>
    <row r="148">
      <c r="K148" s="66">
        <f>IFERROR(INDEX(coa_Name,MATCH(128,coa_ActRank,0)),"")</f>
        <v/>
      </c>
    </row>
    <row r="149">
      <c r="K149" s="66">
        <f>IFERROR(INDEX(coa_Name,MATCH(129,coa_ActRank,0)),"")</f>
        <v/>
      </c>
    </row>
    <row r="150">
      <c r="K150" s="66">
        <f>IFERROR(INDEX(coa_Name,MATCH(130,coa_ActRank,0)),"")</f>
        <v/>
      </c>
    </row>
    <row r="151">
      <c r="K151" s="66">
        <f>IFERROR(INDEX(coa_Name,MATCH(131,coa_ActRank,0)),"")</f>
        <v/>
      </c>
    </row>
    <row r="152">
      <c r="K152" s="66">
        <f>IFERROR(INDEX(coa_Name,MATCH(132,coa_ActRank,0)),"")</f>
        <v/>
      </c>
    </row>
    <row r="153">
      <c r="K153" s="66">
        <f>IFERROR(INDEX(coa_Name,MATCH(133,coa_ActRank,0)),"")</f>
        <v/>
      </c>
    </row>
    <row r="154">
      <c r="K154" s="66">
        <f>IFERROR(INDEX(coa_Name,MATCH(134,coa_ActRank,0)),"")</f>
        <v/>
      </c>
    </row>
    <row r="155">
      <c r="K155" s="66">
        <f>IFERROR(INDEX(coa_Name,MATCH(135,coa_ActRank,0)),"")</f>
        <v/>
      </c>
    </row>
    <row r="156">
      <c r="K156" s="66">
        <f>IFERROR(INDEX(coa_Name,MATCH(136,coa_ActRank,0)),"")</f>
        <v/>
      </c>
    </row>
    <row r="157">
      <c r="K157" s="66">
        <f>IFERROR(INDEX(coa_Name,MATCH(137,coa_ActRank,0)),"")</f>
        <v/>
      </c>
    </row>
    <row r="158">
      <c r="K158" s="66">
        <f>IFERROR(INDEX(coa_Name,MATCH(138,coa_ActRank,0)),"")</f>
        <v/>
      </c>
    </row>
    <row r="159">
      <c r="K159" s="66">
        <f>IFERROR(INDEX(coa_Name,MATCH(139,coa_ActRank,0)),"")</f>
        <v/>
      </c>
    </row>
    <row r="160">
      <c r="K160" s="66">
        <f>IFERROR(INDEX(coa_Name,MATCH(140,coa_ActRank,0)),"")</f>
        <v/>
      </c>
    </row>
    <row r="161">
      <c r="K161" s="66">
        <f>IFERROR(INDEX(coa_Name,MATCH(141,coa_ActRank,0)),"")</f>
        <v/>
      </c>
    </row>
    <row r="162">
      <c r="K162" s="66">
        <f>IFERROR(INDEX(coa_Name,MATCH(142,coa_ActRank,0)),"")</f>
        <v/>
      </c>
    </row>
    <row r="163">
      <c r="K163" s="66">
        <f>IFERROR(INDEX(coa_Name,MATCH(143,coa_ActRank,0)),"")</f>
        <v/>
      </c>
    </row>
    <row r="164">
      <c r="K164" s="66">
        <f>IFERROR(INDEX(coa_Name,MATCH(144,coa_ActRank,0)),"")</f>
        <v/>
      </c>
    </row>
    <row r="165">
      <c r="K165" s="66">
        <f>IFERROR(INDEX(coa_Name,MATCH(145,coa_ActRank,0)),"")</f>
        <v/>
      </c>
    </row>
    <row r="166">
      <c r="K166" s="66">
        <f>IFERROR(INDEX(coa_Name,MATCH(146,coa_ActRank,0)),"")</f>
        <v/>
      </c>
    </row>
    <row r="167">
      <c r="K167" s="66">
        <f>IFERROR(INDEX(coa_Name,MATCH(147,coa_ActRank,0)),"")</f>
        <v/>
      </c>
    </row>
    <row r="168">
      <c r="K168" s="66">
        <f>IFERROR(INDEX(coa_Name,MATCH(148,coa_ActRank,0)),"")</f>
        <v/>
      </c>
    </row>
    <row r="169">
      <c r="K169" s="66">
        <f>IFERROR(INDEX(coa_Name,MATCH(149,coa_ActRank,0)),"")</f>
        <v/>
      </c>
    </row>
    <row r="170">
      <c r="K170" s="66">
        <f>IFERROR(INDEX(coa_Name,MATCH(150,coa_ActRank,0)),"")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L7:L12">
    <cfRule type="expression" priority="1" dxfId="0">
      <formula>LEFT(L7,1)="⛔"</formula>
    </cfRule>
    <cfRule type="expression" priority="2" dxfId="1">
      <formula>LEFT(L7,1)="⚠"</formula>
    </cfRule>
    <cfRule type="expression" priority="3" dxfId="2">
      <formula>LEFT(L7,1)="✓"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4A3B8"/>
    <outlinePr summaryBelow="1" summaryRight="1"/>
    <pageSetUpPr/>
  </sheetPr>
  <dimension ref="A1:U30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2" customWidth="1" min="4" max="4"/>
    <col width="12" customWidth="1" min="5" max="5"/>
    <col width="28" customWidth="1" min="6" max="6"/>
    <col width="18" customWidth="1" min="7" max="7"/>
    <col width="7" customWidth="1" min="8" max="8"/>
    <col width="22" customWidth="1" min="9" max="9"/>
    <col width="13" customWidth="1" min="10" max="10"/>
    <col width="22" customWidth="1" min="11" max="11"/>
    <col width="13" customWidth="1" min="12" max="12"/>
    <col width="11" customWidth="1" min="13" max="13"/>
    <col width="11" customWidth="1" min="14" max="14"/>
    <col width="8" customWidth="1" min="15" max="15"/>
    <col width="7" customWidth="1" min="16" max="16"/>
    <col width="7" customWidth="1" min="17" max="17"/>
    <col width="12" customWidth="1" min="18" max="18"/>
    <col width="13" customWidth="1" min="19" max="19"/>
    <col width="12" customWidth="1" min="20" max="20"/>
    <col width="14" customWidth="1" min="21" max="21"/>
  </cols>
  <sheetData>
    <row r="1" ht="26" customHeight="1">
      <c r="B1" s="19" t="inlineStr">
        <is>
          <t>Journal (engine — do not edit)</t>
        </is>
      </c>
    </row>
    <row r="2">
      <c r="B2" s="20" t="inlineStr">
        <is>
          <t>Every posted entry from Transactions, AR and AP in one list. Reports read only this sheet.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</row>
    <row r="4">
      <c r="B4" s="23" t="inlineStr">
        <is>
          <t>How to read: each row debits one account and credits another for the same total. Tax (if tracked) posts to the Tax account. Rows with Posted = 0 are empty or have errors.</t>
        </is>
      </c>
    </row>
    <row r="6" ht="30" customHeight="1">
      <c r="B6" s="61" t="inlineStr">
        <is>
          <t>#</t>
        </is>
      </c>
      <c r="C6" s="61" t="inlineStr">
        <is>
          <t>Source</t>
        </is>
      </c>
      <c r="D6" s="61" t="inlineStr">
        <is>
          <t>Source ID</t>
        </is>
      </c>
      <c r="E6" s="61" t="inlineStr">
        <is>
          <t>Date</t>
        </is>
      </c>
      <c r="F6" s="61" t="inlineStr">
        <is>
          <t>Description</t>
        </is>
      </c>
      <c r="G6" s="61" t="inlineStr">
        <is>
          <t>Customer / Vendor</t>
        </is>
      </c>
      <c r="H6" s="61" t="inlineStr">
        <is>
          <t>Posted</t>
        </is>
      </c>
      <c r="I6" s="61" t="inlineStr">
        <is>
          <t>Debit Account</t>
        </is>
      </c>
      <c r="J6" s="61" t="inlineStr">
        <is>
          <t>Debit Amount</t>
        </is>
      </c>
      <c r="K6" s="61" t="inlineStr">
        <is>
          <t>Credit Account</t>
        </is>
      </c>
      <c r="L6" s="61" t="inlineStr">
        <is>
          <t>Credit Amount</t>
        </is>
      </c>
      <c r="M6" s="61" t="inlineStr">
        <is>
          <t>Tax Debit</t>
        </is>
      </c>
      <c r="N6" s="61" t="inlineStr">
        <is>
          <t>Tax Credit</t>
        </is>
      </c>
      <c r="O6" s="61" t="inlineStr">
        <is>
          <t>FY Period</t>
        </is>
      </c>
      <c r="P6" s="61" t="inlineStr">
        <is>
          <t>Dr is cash</t>
        </is>
      </c>
      <c r="Q6" s="61" t="inlineStr">
        <is>
          <t>Cr is cash</t>
        </is>
      </c>
      <c r="R6" s="61" t="inlineStr">
        <is>
          <t>Cash Flow Section</t>
        </is>
      </c>
      <c r="S6" s="61" t="inlineStr">
        <is>
          <t>Cash Effect (main)</t>
        </is>
      </c>
      <c r="T6" s="61" t="inlineStr">
        <is>
          <t>Cash Effect (tax)</t>
        </is>
      </c>
      <c r="U6" s="61" t="inlineStr">
        <is>
          <t>Ledger Key</t>
        </is>
      </c>
    </row>
    <row r="7">
      <c r="B7" s="101" t="n">
        <v>1</v>
      </c>
      <c r="C7" s="58" t="inlineStr">
        <is>
          <t>Transaction</t>
        </is>
      </c>
      <c r="D7" s="58">
        <f>IF(H7=1,INDEX(tx_ID,1)&amp;"","")</f>
        <v/>
      </c>
      <c r="E7" s="94">
        <f>IF(H7=1,INDEX(tx_Date,1),"")</f>
        <v/>
      </c>
      <c r="F7" s="58">
        <f>IF(H7=1,INDEX(tx_Desc,1)&amp;"","")</f>
        <v/>
      </c>
      <c r="G7" s="58">
        <f>IF(H7=1,IF(INDEX(tx_Cust,1)&amp;""&lt;&gt;"",INDEX(tx_Cust,1)&amp;"",INDEX(tx_Vend,1)&amp;""),"")</f>
        <v/>
      </c>
      <c r="H7" s="101">
        <f>IFERROR(N(INDEX(tx_Posted,1)),0)</f>
        <v/>
      </c>
      <c r="I7" s="58">
        <f>IF(H7=1,INDEX(tx_DrAcct,1)&amp;"","")</f>
        <v/>
      </c>
      <c r="J7" s="95">
        <f>IF(H7=1,INDEX(tx_DrAmt,1),0)</f>
        <v/>
      </c>
      <c r="K7" s="58">
        <f>IF(H7=1,INDEX(tx_CrAcct,1)&amp;"","")</f>
        <v/>
      </c>
      <c r="L7" s="95">
        <f>IF(H7=1,INDEX(tx_CrAmt,1),0)</f>
        <v/>
      </c>
      <c r="M7" s="95">
        <f>IF(H7=1,INDEX(tx_TaxDr,1),0)</f>
        <v/>
      </c>
      <c r="N7" s="95">
        <f>IF(H7=1,INDEX(tx_TaxCr,1),0)</f>
        <v/>
      </c>
      <c r="O7" s="101">
        <f>IF(H7=1,IF(E7&lt;FYStart,0,IF(E7&gt;FYEnd,13,YEAR(E7)*12+MONTH(E7)-FYYM+1)),"")</f>
        <v/>
      </c>
      <c r="P7" s="101">
        <f>IF(H7=1,IF(IFERROR(INDEX(coa_CF,MATCH(I7,coa_Name,0)),"")="Cash",1,0),0)</f>
        <v/>
      </c>
      <c r="Q7" s="101">
        <f>IF(H7=1,IF(IFERROR(INDEX(coa_CF,MATCH(K7,coa_Name,0)),"")="Cash",1,0),0)</f>
        <v/>
      </c>
      <c r="R7" s="58">
        <f>IF((P7-Q7)=0,"",IFERROR(INDEX(coa_CF,MATCH(IF((P7-Q7)=1,K7,I7),coa_Name,0)),"Operating"))</f>
        <v/>
      </c>
      <c r="S7" s="95">
        <f>IF((P7-Q7)=1,L7,IF((P7-Q7)=-1,-J7,0))</f>
        <v/>
      </c>
      <c r="T7" s="95">
        <f>IF((P7-Q7)=1,N7,IF((P7-Q7)=-1,-M7,0))</f>
        <v/>
      </c>
      <c r="U7" s="101">
        <f>IF(AND(H7=1,LedAcct&lt;&gt;""),IF(AND(E7&gt;=LedFrom,E7&lt;=LedTo,OR(I7=LedAcct,K7=LedAcct,AND(LedAcct=acctTax,M7+N7&lt;&gt;0))),E7*10000+B7,""),"")</f>
        <v/>
      </c>
    </row>
    <row r="8">
      <c r="B8" s="101" t="n">
        <v>2</v>
      </c>
      <c r="C8" s="58" t="inlineStr">
        <is>
          <t>Transaction</t>
        </is>
      </c>
      <c r="D8" s="58">
        <f>IF(H8=1,INDEX(tx_ID,2)&amp;"","")</f>
        <v/>
      </c>
      <c r="E8" s="94">
        <f>IF(H8=1,INDEX(tx_Date,2),"")</f>
        <v/>
      </c>
      <c r="F8" s="58">
        <f>IF(H8=1,INDEX(tx_Desc,2)&amp;"","")</f>
        <v/>
      </c>
      <c r="G8" s="58">
        <f>IF(H8=1,IF(INDEX(tx_Cust,2)&amp;""&lt;&gt;"",INDEX(tx_Cust,2)&amp;"",INDEX(tx_Vend,2)&amp;""),"")</f>
        <v/>
      </c>
      <c r="H8" s="101">
        <f>IFERROR(N(INDEX(tx_Posted,2)),0)</f>
        <v/>
      </c>
      <c r="I8" s="58">
        <f>IF(H8=1,INDEX(tx_DrAcct,2)&amp;"","")</f>
        <v/>
      </c>
      <c r="J8" s="95">
        <f>IF(H8=1,INDEX(tx_DrAmt,2),0)</f>
        <v/>
      </c>
      <c r="K8" s="58">
        <f>IF(H8=1,INDEX(tx_CrAcct,2)&amp;"","")</f>
        <v/>
      </c>
      <c r="L8" s="95">
        <f>IF(H8=1,INDEX(tx_CrAmt,2),0)</f>
        <v/>
      </c>
      <c r="M8" s="95">
        <f>IF(H8=1,INDEX(tx_TaxDr,2),0)</f>
        <v/>
      </c>
      <c r="N8" s="95">
        <f>IF(H8=1,INDEX(tx_TaxCr,2),0)</f>
        <v/>
      </c>
      <c r="O8" s="101">
        <f>IF(H8=1,IF(E8&lt;FYStart,0,IF(E8&gt;FYEnd,13,YEAR(E8)*12+MONTH(E8)-FYYM+1)),"")</f>
        <v/>
      </c>
      <c r="P8" s="101">
        <f>IF(H8=1,IF(IFERROR(INDEX(coa_CF,MATCH(I8,coa_Name,0)),"")="Cash",1,0),0)</f>
        <v/>
      </c>
      <c r="Q8" s="101">
        <f>IF(H8=1,IF(IFERROR(INDEX(coa_CF,MATCH(K8,coa_Name,0)),"")="Cash",1,0),0)</f>
        <v/>
      </c>
      <c r="R8" s="58">
        <f>IF((P8-Q8)=0,"",IFERROR(INDEX(coa_CF,MATCH(IF((P8-Q8)=1,K8,I8),coa_Name,0)),"Operating"))</f>
        <v/>
      </c>
      <c r="S8" s="95">
        <f>IF((P8-Q8)=1,L8,IF((P8-Q8)=-1,-J8,0))</f>
        <v/>
      </c>
      <c r="T8" s="95">
        <f>IF((P8-Q8)=1,N8,IF((P8-Q8)=-1,-M8,0))</f>
        <v/>
      </c>
      <c r="U8" s="101">
        <f>IF(AND(H8=1,LedAcct&lt;&gt;""),IF(AND(E8&gt;=LedFrom,E8&lt;=LedTo,OR(I8=LedAcct,K8=LedAcct,AND(LedAcct=acctTax,M8+N8&lt;&gt;0))),E8*10000+B8,""),"")</f>
        <v/>
      </c>
    </row>
    <row r="9">
      <c r="B9" s="101" t="n">
        <v>3</v>
      </c>
      <c r="C9" s="58" t="inlineStr">
        <is>
          <t>Transaction</t>
        </is>
      </c>
      <c r="D9" s="58">
        <f>IF(H9=1,INDEX(tx_ID,3)&amp;"","")</f>
        <v/>
      </c>
      <c r="E9" s="94">
        <f>IF(H9=1,INDEX(tx_Date,3),"")</f>
        <v/>
      </c>
      <c r="F9" s="58">
        <f>IF(H9=1,INDEX(tx_Desc,3)&amp;"","")</f>
        <v/>
      </c>
      <c r="G9" s="58">
        <f>IF(H9=1,IF(INDEX(tx_Cust,3)&amp;""&lt;&gt;"",INDEX(tx_Cust,3)&amp;"",INDEX(tx_Vend,3)&amp;""),"")</f>
        <v/>
      </c>
      <c r="H9" s="101">
        <f>IFERROR(N(INDEX(tx_Posted,3)),0)</f>
        <v/>
      </c>
      <c r="I9" s="58">
        <f>IF(H9=1,INDEX(tx_DrAcct,3)&amp;"","")</f>
        <v/>
      </c>
      <c r="J9" s="95">
        <f>IF(H9=1,INDEX(tx_DrAmt,3),0)</f>
        <v/>
      </c>
      <c r="K9" s="58">
        <f>IF(H9=1,INDEX(tx_CrAcct,3)&amp;"","")</f>
        <v/>
      </c>
      <c r="L9" s="95">
        <f>IF(H9=1,INDEX(tx_CrAmt,3),0)</f>
        <v/>
      </c>
      <c r="M9" s="95">
        <f>IF(H9=1,INDEX(tx_TaxDr,3),0)</f>
        <v/>
      </c>
      <c r="N9" s="95">
        <f>IF(H9=1,INDEX(tx_TaxCr,3),0)</f>
        <v/>
      </c>
      <c r="O9" s="101">
        <f>IF(H9=1,IF(E9&lt;FYStart,0,IF(E9&gt;FYEnd,13,YEAR(E9)*12+MONTH(E9)-FYYM+1)),"")</f>
        <v/>
      </c>
      <c r="P9" s="101">
        <f>IF(H9=1,IF(IFERROR(INDEX(coa_CF,MATCH(I9,coa_Name,0)),"")="Cash",1,0),0)</f>
        <v/>
      </c>
      <c r="Q9" s="101">
        <f>IF(H9=1,IF(IFERROR(INDEX(coa_CF,MATCH(K9,coa_Name,0)),"")="Cash",1,0),0)</f>
        <v/>
      </c>
      <c r="R9" s="58">
        <f>IF((P9-Q9)=0,"",IFERROR(INDEX(coa_CF,MATCH(IF((P9-Q9)=1,K9,I9),coa_Name,0)),"Operating"))</f>
        <v/>
      </c>
      <c r="S9" s="95">
        <f>IF((P9-Q9)=1,L9,IF((P9-Q9)=-1,-J9,0))</f>
        <v/>
      </c>
      <c r="T9" s="95">
        <f>IF((P9-Q9)=1,N9,IF((P9-Q9)=-1,-M9,0))</f>
        <v/>
      </c>
      <c r="U9" s="101">
        <f>IF(AND(H9=1,LedAcct&lt;&gt;""),IF(AND(E9&gt;=LedFrom,E9&lt;=LedTo,OR(I9=LedAcct,K9=LedAcct,AND(LedAcct=acctTax,M9+N9&lt;&gt;0))),E9*10000+B9,""),"")</f>
        <v/>
      </c>
    </row>
    <row r="10">
      <c r="B10" s="101" t="n">
        <v>4</v>
      </c>
      <c r="C10" s="58" t="inlineStr">
        <is>
          <t>Transaction</t>
        </is>
      </c>
      <c r="D10" s="58">
        <f>IF(H10=1,INDEX(tx_ID,4)&amp;"","")</f>
        <v/>
      </c>
      <c r="E10" s="94">
        <f>IF(H10=1,INDEX(tx_Date,4),"")</f>
        <v/>
      </c>
      <c r="F10" s="58">
        <f>IF(H10=1,INDEX(tx_Desc,4)&amp;"","")</f>
        <v/>
      </c>
      <c r="G10" s="58">
        <f>IF(H10=1,IF(INDEX(tx_Cust,4)&amp;""&lt;&gt;"",INDEX(tx_Cust,4)&amp;"",INDEX(tx_Vend,4)&amp;""),"")</f>
        <v/>
      </c>
      <c r="H10" s="101">
        <f>IFERROR(N(INDEX(tx_Posted,4)),0)</f>
        <v/>
      </c>
      <c r="I10" s="58">
        <f>IF(H10=1,INDEX(tx_DrAcct,4)&amp;"","")</f>
        <v/>
      </c>
      <c r="J10" s="95">
        <f>IF(H10=1,INDEX(tx_DrAmt,4),0)</f>
        <v/>
      </c>
      <c r="K10" s="58">
        <f>IF(H10=1,INDEX(tx_CrAcct,4)&amp;"","")</f>
        <v/>
      </c>
      <c r="L10" s="95">
        <f>IF(H10=1,INDEX(tx_CrAmt,4),0)</f>
        <v/>
      </c>
      <c r="M10" s="95">
        <f>IF(H10=1,INDEX(tx_TaxDr,4),0)</f>
        <v/>
      </c>
      <c r="N10" s="95">
        <f>IF(H10=1,INDEX(tx_TaxCr,4),0)</f>
        <v/>
      </c>
      <c r="O10" s="101">
        <f>IF(H10=1,IF(E10&lt;FYStart,0,IF(E10&gt;FYEnd,13,YEAR(E10)*12+MONTH(E10)-FYYM+1)),"")</f>
        <v/>
      </c>
      <c r="P10" s="101">
        <f>IF(H10=1,IF(IFERROR(INDEX(coa_CF,MATCH(I10,coa_Name,0)),"")="Cash",1,0),0)</f>
        <v/>
      </c>
      <c r="Q10" s="101">
        <f>IF(H10=1,IF(IFERROR(INDEX(coa_CF,MATCH(K10,coa_Name,0)),"")="Cash",1,0),0)</f>
        <v/>
      </c>
      <c r="R10" s="58">
        <f>IF((P10-Q10)=0,"",IFERROR(INDEX(coa_CF,MATCH(IF((P10-Q10)=1,K10,I10),coa_Name,0)),"Operating"))</f>
        <v/>
      </c>
      <c r="S10" s="95">
        <f>IF((P10-Q10)=1,L10,IF((P10-Q10)=-1,-J10,0))</f>
        <v/>
      </c>
      <c r="T10" s="95">
        <f>IF((P10-Q10)=1,N10,IF((P10-Q10)=-1,-M10,0))</f>
        <v/>
      </c>
      <c r="U10" s="101">
        <f>IF(AND(H10=1,LedAcct&lt;&gt;""),IF(AND(E10&gt;=LedFrom,E10&lt;=LedTo,OR(I10=LedAcct,K10=LedAcct,AND(LedAcct=acctTax,M10+N10&lt;&gt;0))),E10*10000+B10,""),"")</f>
        <v/>
      </c>
    </row>
    <row r="11">
      <c r="B11" s="101" t="n">
        <v>5</v>
      </c>
      <c r="C11" s="58" t="inlineStr">
        <is>
          <t>Transaction</t>
        </is>
      </c>
      <c r="D11" s="58">
        <f>IF(H11=1,INDEX(tx_ID,5)&amp;"","")</f>
        <v/>
      </c>
      <c r="E11" s="94">
        <f>IF(H11=1,INDEX(tx_Date,5),"")</f>
        <v/>
      </c>
      <c r="F11" s="58">
        <f>IF(H11=1,INDEX(tx_Desc,5)&amp;"","")</f>
        <v/>
      </c>
      <c r="G11" s="58">
        <f>IF(H11=1,IF(INDEX(tx_Cust,5)&amp;""&lt;&gt;"",INDEX(tx_Cust,5)&amp;"",INDEX(tx_Vend,5)&amp;""),"")</f>
        <v/>
      </c>
      <c r="H11" s="101">
        <f>IFERROR(N(INDEX(tx_Posted,5)),0)</f>
        <v/>
      </c>
      <c r="I11" s="58">
        <f>IF(H11=1,INDEX(tx_DrAcct,5)&amp;"","")</f>
        <v/>
      </c>
      <c r="J11" s="95">
        <f>IF(H11=1,INDEX(tx_DrAmt,5),0)</f>
        <v/>
      </c>
      <c r="K11" s="58">
        <f>IF(H11=1,INDEX(tx_CrAcct,5)&amp;"","")</f>
        <v/>
      </c>
      <c r="L11" s="95">
        <f>IF(H11=1,INDEX(tx_CrAmt,5),0)</f>
        <v/>
      </c>
      <c r="M11" s="95">
        <f>IF(H11=1,INDEX(tx_TaxDr,5),0)</f>
        <v/>
      </c>
      <c r="N11" s="95">
        <f>IF(H11=1,INDEX(tx_TaxCr,5),0)</f>
        <v/>
      </c>
      <c r="O11" s="101">
        <f>IF(H11=1,IF(E11&lt;FYStart,0,IF(E11&gt;FYEnd,13,YEAR(E11)*12+MONTH(E11)-FYYM+1)),"")</f>
        <v/>
      </c>
      <c r="P11" s="101">
        <f>IF(H11=1,IF(IFERROR(INDEX(coa_CF,MATCH(I11,coa_Name,0)),"")="Cash",1,0),0)</f>
        <v/>
      </c>
      <c r="Q11" s="101">
        <f>IF(H11=1,IF(IFERROR(INDEX(coa_CF,MATCH(K11,coa_Name,0)),"")="Cash",1,0),0)</f>
        <v/>
      </c>
      <c r="R11" s="58">
        <f>IF((P11-Q11)=0,"",IFERROR(INDEX(coa_CF,MATCH(IF((P11-Q11)=1,K11,I11),coa_Name,0)),"Operating"))</f>
        <v/>
      </c>
      <c r="S11" s="95">
        <f>IF((P11-Q11)=1,L11,IF((P11-Q11)=-1,-J11,0))</f>
        <v/>
      </c>
      <c r="T11" s="95">
        <f>IF((P11-Q11)=1,N11,IF((P11-Q11)=-1,-M11,0))</f>
        <v/>
      </c>
      <c r="U11" s="101">
        <f>IF(AND(H11=1,LedAcct&lt;&gt;""),IF(AND(E11&gt;=LedFrom,E11&lt;=LedTo,OR(I11=LedAcct,K11=LedAcct,AND(LedAcct=acctTax,M11+N11&lt;&gt;0))),E11*10000+B11,""),"")</f>
        <v/>
      </c>
    </row>
    <row r="12">
      <c r="B12" s="101" t="n">
        <v>6</v>
      </c>
      <c r="C12" s="58" t="inlineStr">
        <is>
          <t>Transaction</t>
        </is>
      </c>
      <c r="D12" s="58">
        <f>IF(H12=1,INDEX(tx_ID,6)&amp;"","")</f>
        <v/>
      </c>
      <c r="E12" s="94">
        <f>IF(H12=1,INDEX(tx_Date,6),"")</f>
        <v/>
      </c>
      <c r="F12" s="58">
        <f>IF(H12=1,INDEX(tx_Desc,6)&amp;"","")</f>
        <v/>
      </c>
      <c r="G12" s="58">
        <f>IF(H12=1,IF(INDEX(tx_Cust,6)&amp;""&lt;&gt;"",INDEX(tx_Cust,6)&amp;"",INDEX(tx_Vend,6)&amp;""),"")</f>
        <v/>
      </c>
      <c r="H12" s="101">
        <f>IFERROR(N(INDEX(tx_Posted,6)),0)</f>
        <v/>
      </c>
      <c r="I12" s="58">
        <f>IF(H12=1,INDEX(tx_DrAcct,6)&amp;"","")</f>
        <v/>
      </c>
      <c r="J12" s="95">
        <f>IF(H12=1,INDEX(tx_DrAmt,6),0)</f>
        <v/>
      </c>
      <c r="K12" s="58">
        <f>IF(H12=1,INDEX(tx_CrAcct,6)&amp;"","")</f>
        <v/>
      </c>
      <c r="L12" s="95">
        <f>IF(H12=1,INDEX(tx_CrAmt,6),0)</f>
        <v/>
      </c>
      <c r="M12" s="95">
        <f>IF(H12=1,INDEX(tx_TaxDr,6),0)</f>
        <v/>
      </c>
      <c r="N12" s="95">
        <f>IF(H12=1,INDEX(tx_TaxCr,6),0)</f>
        <v/>
      </c>
      <c r="O12" s="101">
        <f>IF(H12=1,IF(E12&lt;FYStart,0,IF(E12&gt;FYEnd,13,YEAR(E12)*12+MONTH(E12)-FYYM+1)),"")</f>
        <v/>
      </c>
      <c r="P12" s="101">
        <f>IF(H12=1,IF(IFERROR(INDEX(coa_CF,MATCH(I12,coa_Name,0)),"")="Cash",1,0),0)</f>
        <v/>
      </c>
      <c r="Q12" s="101">
        <f>IF(H12=1,IF(IFERROR(INDEX(coa_CF,MATCH(K12,coa_Name,0)),"")="Cash",1,0),0)</f>
        <v/>
      </c>
      <c r="R12" s="58">
        <f>IF((P12-Q12)=0,"",IFERROR(INDEX(coa_CF,MATCH(IF((P12-Q12)=1,K12,I12),coa_Name,0)),"Operating"))</f>
        <v/>
      </c>
      <c r="S12" s="95">
        <f>IF((P12-Q12)=1,L12,IF((P12-Q12)=-1,-J12,0))</f>
        <v/>
      </c>
      <c r="T12" s="95">
        <f>IF((P12-Q12)=1,N12,IF((P12-Q12)=-1,-M12,0))</f>
        <v/>
      </c>
      <c r="U12" s="101">
        <f>IF(AND(H12=1,LedAcct&lt;&gt;""),IF(AND(E12&gt;=LedFrom,E12&lt;=LedTo,OR(I12=LedAcct,K12=LedAcct,AND(LedAcct=acctTax,M12+N12&lt;&gt;0))),E12*10000+B12,""),"")</f>
        <v/>
      </c>
    </row>
    <row r="13">
      <c r="B13" s="101" t="n">
        <v>7</v>
      </c>
      <c r="C13" s="58" t="inlineStr">
        <is>
          <t>Transaction</t>
        </is>
      </c>
      <c r="D13" s="58">
        <f>IF(H13=1,INDEX(tx_ID,7)&amp;"","")</f>
        <v/>
      </c>
      <c r="E13" s="94">
        <f>IF(H13=1,INDEX(tx_Date,7),"")</f>
        <v/>
      </c>
      <c r="F13" s="58">
        <f>IF(H13=1,INDEX(tx_Desc,7)&amp;"","")</f>
        <v/>
      </c>
      <c r="G13" s="58">
        <f>IF(H13=1,IF(INDEX(tx_Cust,7)&amp;""&lt;&gt;"",INDEX(tx_Cust,7)&amp;"",INDEX(tx_Vend,7)&amp;""),"")</f>
        <v/>
      </c>
      <c r="H13" s="101">
        <f>IFERROR(N(INDEX(tx_Posted,7)),0)</f>
        <v/>
      </c>
      <c r="I13" s="58">
        <f>IF(H13=1,INDEX(tx_DrAcct,7)&amp;"","")</f>
        <v/>
      </c>
      <c r="J13" s="95">
        <f>IF(H13=1,INDEX(tx_DrAmt,7),0)</f>
        <v/>
      </c>
      <c r="K13" s="58">
        <f>IF(H13=1,INDEX(tx_CrAcct,7)&amp;"","")</f>
        <v/>
      </c>
      <c r="L13" s="95">
        <f>IF(H13=1,INDEX(tx_CrAmt,7),0)</f>
        <v/>
      </c>
      <c r="M13" s="95">
        <f>IF(H13=1,INDEX(tx_TaxDr,7),0)</f>
        <v/>
      </c>
      <c r="N13" s="95">
        <f>IF(H13=1,INDEX(tx_TaxCr,7),0)</f>
        <v/>
      </c>
      <c r="O13" s="101">
        <f>IF(H13=1,IF(E13&lt;FYStart,0,IF(E13&gt;FYEnd,13,YEAR(E13)*12+MONTH(E13)-FYYM+1)),"")</f>
        <v/>
      </c>
      <c r="P13" s="101">
        <f>IF(H13=1,IF(IFERROR(INDEX(coa_CF,MATCH(I13,coa_Name,0)),"")="Cash",1,0),0)</f>
        <v/>
      </c>
      <c r="Q13" s="101">
        <f>IF(H13=1,IF(IFERROR(INDEX(coa_CF,MATCH(K13,coa_Name,0)),"")="Cash",1,0),0)</f>
        <v/>
      </c>
      <c r="R13" s="58">
        <f>IF((P13-Q13)=0,"",IFERROR(INDEX(coa_CF,MATCH(IF((P13-Q13)=1,K13,I13),coa_Name,0)),"Operating"))</f>
        <v/>
      </c>
      <c r="S13" s="95">
        <f>IF((P13-Q13)=1,L13,IF((P13-Q13)=-1,-J13,0))</f>
        <v/>
      </c>
      <c r="T13" s="95">
        <f>IF((P13-Q13)=1,N13,IF((P13-Q13)=-1,-M13,0))</f>
        <v/>
      </c>
      <c r="U13" s="101">
        <f>IF(AND(H13=1,LedAcct&lt;&gt;""),IF(AND(E13&gt;=LedFrom,E13&lt;=LedTo,OR(I13=LedAcct,K13=LedAcct,AND(LedAcct=acctTax,M13+N13&lt;&gt;0))),E13*10000+B13,""),"")</f>
        <v/>
      </c>
    </row>
    <row r="14">
      <c r="B14" s="101" t="n">
        <v>8</v>
      </c>
      <c r="C14" s="58" t="inlineStr">
        <is>
          <t>Transaction</t>
        </is>
      </c>
      <c r="D14" s="58">
        <f>IF(H14=1,INDEX(tx_ID,8)&amp;"","")</f>
        <v/>
      </c>
      <c r="E14" s="94">
        <f>IF(H14=1,INDEX(tx_Date,8),"")</f>
        <v/>
      </c>
      <c r="F14" s="58">
        <f>IF(H14=1,INDEX(tx_Desc,8)&amp;"","")</f>
        <v/>
      </c>
      <c r="G14" s="58">
        <f>IF(H14=1,IF(INDEX(tx_Cust,8)&amp;""&lt;&gt;"",INDEX(tx_Cust,8)&amp;"",INDEX(tx_Vend,8)&amp;""),"")</f>
        <v/>
      </c>
      <c r="H14" s="101">
        <f>IFERROR(N(INDEX(tx_Posted,8)),0)</f>
        <v/>
      </c>
      <c r="I14" s="58">
        <f>IF(H14=1,INDEX(tx_DrAcct,8)&amp;"","")</f>
        <v/>
      </c>
      <c r="J14" s="95">
        <f>IF(H14=1,INDEX(tx_DrAmt,8),0)</f>
        <v/>
      </c>
      <c r="K14" s="58">
        <f>IF(H14=1,INDEX(tx_CrAcct,8)&amp;"","")</f>
        <v/>
      </c>
      <c r="L14" s="95">
        <f>IF(H14=1,INDEX(tx_CrAmt,8),0)</f>
        <v/>
      </c>
      <c r="M14" s="95">
        <f>IF(H14=1,INDEX(tx_TaxDr,8),0)</f>
        <v/>
      </c>
      <c r="N14" s="95">
        <f>IF(H14=1,INDEX(tx_TaxCr,8),0)</f>
        <v/>
      </c>
      <c r="O14" s="101">
        <f>IF(H14=1,IF(E14&lt;FYStart,0,IF(E14&gt;FYEnd,13,YEAR(E14)*12+MONTH(E14)-FYYM+1)),"")</f>
        <v/>
      </c>
      <c r="P14" s="101">
        <f>IF(H14=1,IF(IFERROR(INDEX(coa_CF,MATCH(I14,coa_Name,0)),"")="Cash",1,0),0)</f>
        <v/>
      </c>
      <c r="Q14" s="101">
        <f>IF(H14=1,IF(IFERROR(INDEX(coa_CF,MATCH(K14,coa_Name,0)),"")="Cash",1,0),0)</f>
        <v/>
      </c>
      <c r="R14" s="58">
        <f>IF((P14-Q14)=0,"",IFERROR(INDEX(coa_CF,MATCH(IF((P14-Q14)=1,K14,I14),coa_Name,0)),"Operating"))</f>
        <v/>
      </c>
      <c r="S14" s="95">
        <f>IF((P14-Q14)=1,L14,IF((P14-Q14)=-1,-J14,0))</f>
        <v/>
      </c>
      <c r="T14" s="95">
        <f>IF((P14-Q14)=1,N14,IF((P14-Q14)=-1,-M14,0))</f>
        <v/>
      </c>
      <c r="U14" s="101">
        <f>IF(AND(H14=1,LedAcct&lt;&gt;""),IF(AND(E14&gt;=LedFrom,E14&lt;=LedTo,OR(I14=LedAcct,K14=LedAcct,AND(LedAcct=acctTax,M14+N14&lt;&gt;0))),E14*10000+B14,""),"")</f>
        <v/>
      </c>
    </row>
    <row r="15">
      <c r="B15" s="101" t="n">
        <v>9</v>
      </c>
      <c r="C15" s="58" t="inlineStr">
        <is>
          <t>Transaction</t>
        </is>
      </c>
      <c r="D15" s="58">
        <f>IF(H15=1,INDEX(tx_ID,9)&amp;"","")</f>
        <v/>
      </c>
      <c r="E15" s="94">
        <f>IF(H15=1,INDEX(tx_Date,9),"")</f>
        <v/>
      </c>
      <c r="F15" s="58">
        <f>IF(H15=1,INDEX(tx_Desc,9)&amp;"","")</f>
        <v/>
      </c>
      <c r="G15" s="58">
        <f>IF(H15=1,IF(INDEX(tx_Cust,9)&amp;""&lt;&gt;"",INDEX(tx_Cust,9)&amp;"",INDEX(tx_Vend,9)&amp;""),"")</f>
        <v/>
      </c>
      <c r="H15" s="101">
        <f>IFERROR(N(INDEX(tx_Posted,9)),0)</f>
        <v/>
      </c>
      <c r="I15" s="58">
        <f>IF(H15=1,INDEX(tx_DrAcct,9)&amp;"","")</f>
        <v/>
      </c>
      <c r="J15" s="95">
        <f>IF(H15=1,INDEX(tx_DrAmt,9),0)</f>
        <v/>
      </c>
      <c r="K15" s="58">
        <f>IF(H15=1,INDEX(tx_CrAcct,9)&amp;"","")</f>
        <v/>
      </c>
      <c r="L15" s="95">
        <f>IF(H15=1,INDEX(tx_CrAmt,9),0)</f>
        <v/>
      </c>
      <c r="M15" s="95">
        <f>IF(H15=1,INDEX(tx_TaxDr,9),0)</f>
        <v/>
      </c>
      <c r="N15" s="95">
        <f>IF(H15=1,INDEX(tx_TaxCr,9),0)</f>
        <v/>
      </c>
      <c r="O15" s="101">
        <f>IF(H15=1,IF(E15&lt;FYStart,0,IF(E15&gt;FYEnd,13,YEAR(E15)*12+MONTH(E15)-FYYM+1)),"")</f>
        <v/>
      </c>
      <c r="P15" s="101">
        <f>IF(H15=1,IF(IFERROR(INDEX(coa_CF,MATCH(I15,coa_Name,0)),"")="Cash",1,0),0)</f>
        <v/>
      </c>
      <c r="Q15" s="101">
        <f>IF(H15=1,IF(IFERROR(INDEX(coa_CF,MATCH(K15,coa_Name,0)),"")="Cash",1,0),0)</f>
        <v/>
      </c>
      <c r="R15" s="58">
        <f>IF((P15-Q15)=0,"",IFERROR(INDEX(coa_CF,MATCH(IF((P15-Q15)=1,K15,I15),coa_Name,0)),"Operating"))</f>
        <v/>
      </c>
      <c r="S15" s="95">
        <f>IF((P15-Q15)=1,L15,IF((P15-Q15)=-1,-J15,0))</f>
        <v/>
      </c>
      <c r="T15" s="95">
        <f>IF((P15-Q15)=1,N15,IF((P15-Q15)=-1,-M15,0))</f>
        <v/>
      </c>
      <c r="U15" s="101">
        <f>IF(AND(H15=1,LedAcct&lt;&gt;""),IF(AND(E15&gt;=LedFrom,E15&lt;=LedTo,OR(I15=LedAcct,K15=LedAcct,AND(LedAcct=acctTax,M15+N15&lt;&gt;0))),E15*10000+B15,""),"")</f>
        <v/>
      </c>
    </row>
    <row r="16">
      <c r="B16" s="101" t="n">
        <v>10</v>
      </c>
      <c r="C16" s="58" t="inlineStr">
        <is>
          <t>Transaction</t>
        </is>
      </c>
      <c r="D16" s="58">
        <f>IF(H16=1,INDEX(tx_ID,10)&amp;"","")</f>
        <v/>
      </c>
      <c r="E16" s="94">
        <f>IF(H16=1,INDEX(tx_Date,10),"")</f>
        <v/>
      </c>
      <c r="F16" s="58">
        <f>IF(H16=1,INDEX(tx_Desc,10)&amp;"","")</f>
        <v/>
      </c>
      <c r="G16" s="58">
        <f>IF(H16=1,IF(INDEX(tx_Cust,10)&amp;""&lt;&gt;"",INDEX(tx_Cust,10)&amp;"",INDEX(tx_Vend,10)&amp;""),"")</f>
        <v/>
      </c>
      <c r="H16" s="101">
        <f>IFERROR(N(INDEX(tx_Posted,10)),0)</f>
        <v/>
      </c>
      <c r="I16" s="58">
        <f>IF(H16=1,INDEX(tx_DrAcct,10)&amp;"","")</f>
        <v/>
      </c>
      <c r="J16" s="95">
        <f>IF(H16=1,INDEX(tx_DrAmt,10),0)</f>
        <v/>
      </c>
      <c r="K16" s="58">
        <f>IF(H16=1,INDEX(tx_CrAcct,10)&amp;"","")</f>
        <v/>
      </c>
      <c r="L16" s="95">
        <f>IF(H16=1,INDEX(tx_CrAmt,10),0)</f>
        <v/>
      </c>
      <c r="M16" s="95">
        <f>IF(H16=1,INDEX(tx_TaxDr,10),0)</f>
        <v/>
      </c>
      <c r="N16" s="95">
        <f>IF(H16=1,INDEX(tx_TaxCr,10),0)</f>
        <v/>
      </c>
      <c r="O16" s="101">
        <f>IF(H16=1,IF(E16&lt;FYStart,0,IF(E16&gt;FYEnd,13,YEAR(E16)*12+MONTH(E16)-FYYM+1)),"")</f>
        <v/>
      </c>
      <c r="P16" s="101">
        <f>IF(H16=1,IF(IFERROR(INDEX(coa_CF,MATCH(I16,coa_Name,0)),"")="Cash",1,0),0)</f>
        <v/>
      </c>
      <c r="Q16" s="101">
        <f>IF(H16=1,IF(IFERROR(INDEX(coa_CF,MATCH(K16,coa_Name,0)),"")="Cash",1,0),0)</f>
        <v/>
      </c>
      <c r="R16" s="58">
        <f>IF((P16-Q16)=0,"",IFERROR(INDEX(coa_CF,MATCH(IF((P16-Q16)=1,K16,I16),coa_Name,0)),"Operating"))</f>
        <v/>
      </c>
      <c r="S16" s="95">
        <f>IF((P16-Q16)=1,L16,IF((P16-Q16)=-1,-J16,0))</f>
        <v/>
      </c>
      <c r="T16" s="95">
        <f>IF((P16-Q16)=1,N16,IF((P16-Q16)=-1,-M16,0))</f>
        <v/>
      </c>
      <c r="U16" s="101">
        <f>IF(AND(H16=1,LedAcct&lt;&gt;""),IF(AND(E16&gt;=LedFrom,E16&lt;=LedTo,OR(I16=LedAcct,K16=LedAcct,AND(LedAcct=acctTax,M16+N16&lt;&gt;0))),E16*10000+B16,""),"")</f>
        <v/>
      </c>
    </row>
    <row r="17">
      <c r="B17" s="101" t="n">
        <v>11</v>
      </c>
      <c r="C17" s="58" t="inlineStr">
        <is>
          <t>Transaction</t>
        </is>
      </c>
      <c r="D17" s="58">
        <f>IF(H17=1,INDEX(tx_ID,11)&amp;"","")</f>
        <v/>
      </c>
      <c r="E17" s="94">
        <f>IF(H17=1,INDEX(tx_Date,11),"")</f>
        <v/>
      </c>
      <c r="F17" s="58">
        <f>IF(H17=1,INDEX(tx_Desc,11)&amp;"","")</f>
        <v/>
      </c>
      <c r="G17" s="58">
        <f>IF(H17=1,IF(INDEX(tx_Cust,11)&amp;""&lt;&gt;"",INDEX(tx_Cust,11)&amp;"",INDEX(tx_Vend,11)&amp;""),"")</f>
        <v/>
      </c>
      <c r="H17" s="101">
        <f>IFERROR(N(INDEX(tx_Posted,11)),0)</f>
        <v/>
      </c>
      <c r="I17" s="58">
        <f>IF(H17=1,INDEX(tx_DrAcct,11)&amp;"","")</f>
        <v/>
      </c>
      <c r="J17" s="95">
        <f>IF(H17=1,INDEX(tx_DrAmt,11),0)</f>
        <v/>
      </c>
      <c r="K17" s="58">
        <f>IF(H17=1,INDEX(tx_CrAcct,11)&amp;"","")</f>
        <v/>
      </c>
      <c r="L17" s="95">
        <f>IF(H17=1,INDEX(tx_CrAmt,11),0)</f>
        <v/>
      </c>
      <c r="M17" s="95">
        <f>IF(H17=1,INDEX(tx_TaxDr,11),0)</f>
        <v/>
      </c>
      <c r="N17" s="95">
        <f>IF(H17=1,INDEX(tx_TaxCr,11),0)</f>
        <v/>
      </c>
      <c r="O17" s="101">
        <f>IF(H17=1,IF(E17&lt;FYStart,0,IF(E17&gt;FYEnd,13,YEAR(E17)*12+MONTH(E17)-FYYM+1)),"")</f>
        <v/>
      </c>
      <c r="P17" s="101">
        <f>IF(H17=1,IF(IFERROR(INDEX(coa_CF,MATCH(I17,coa_Name,0)),"")="Cash",1,0),0)</f>
        <v/>
      </c>
      <c r="Q17" s="101">
        <f>IF(H17=1,IF(IFERROR(INDEX(coa_CF,MATCH(K17,coa_Name,0)),"")="Cash",1,0),0)</f>
        <v/>
      </c>
      <c r="R17" s="58">
        <f>IF((P17-Q17)=0,"",IFERROR(INDEX(coa_CF,MATCH(IF((P17-Q17)=1,K17,I17),coa_Name,0)),"Operating"))</f>
        <v/>
      </c>
      <c r="S17" s="95">
        <f>IF((P17-Q17)=1,L17,IF((P17-Q17)=-1,-J17,0))</f>
        <v/>
      </c>
      <c r="T17" s="95">
        <f>IF((P17-Q17)=1,N17,IF((P17-Q17)=-1,-M17,0))</f>
        <v/>
      </c>
      <c r="U17" s="101">
        <f>IF(AND(H17=1,LedAcct&lt;&gt;""),IF(AND(E17&gt;=LedFrom,E17&lt;=LedTo,OR(I17=LedAcct,K17=LedAcct,AND(LedAcct=acctTax,M17+N17&lt;&gt;0))),E17*10000+B17,""),"")</f>
        <v/>
      </c>
    </row>
    <row r="18">
      <c r="B18" s="101" t="n">
        <v>12</v>
      </c>
      <c r="C18" s="58" t="inlineStr">
        <is>
          <t>Transaction</t>
        </is>
      </c>
      <c r="D18" s="58">
        <f>IF(H18=1,INDEX(tx_ID,12)&amp;"","")</f>
        <v/>
      </c>
      <c r="E18" s="94">
        <f>IF(H18=1,INDEX(tx_Date,12),"")</f>
        <v/>
      </c>
      <c r="F18" s="58">
        <f>IF(H18=1,INDEX(tx_Desc,12)&amp;"","")</f>
        <v/>
      </c>
      <c r="G18" s="58">
        <f>IF(H18=1,IF(INDEX(tx_Cust,12)&amp;""&lt;&gt;"",INDEX(tx_Cust,12)&amp;"",INDEX(tx_Vend,12)&amp;""),"")</f>
        <v/>
      </c>
      <c r="H18" s="101">
        <f>IFERROR(N(INDEX(tx_Posted,12)),0)</f>
        <v/>
      </c>
      <c r="I18" s="58">
        <f>IF(H18=1,INDEX(tx_DrAcct,12)&amp;"","")</f>
        <v/>
      </c>
      <c r="J18" s="95">
        <f>IF(H18=1,INDEX(tx_DrAmt,12),0)</f>
        <v/>
      </c>
      <c r="K18" s="58">
        <f>IF(H18=1,INDEX(tx_CrAcct,12)&amp;"","")</f>
        <v/>
      </c>
      <c r="L18" s="95">
        <f>IF(H18=1,INDEX(tx_CrAmt,12),0)</f>
        <v/>
      </c>
      <c r="M18" s="95">
        <f>IF(H18=1,INDEX(tx_TaxDr,12),0)</f>
        <v/>
      </c>
      <c r="N18" s="95">
        <f>IF(H18=1,INDEX(tx_TaxCr,12),0)</f>
        <v/>
      </c>
      <c r="O18" s="101">
        <f>IF(H18=1,IF(E18&lt;FYStart,0,IF(E18&gt;FYEnd,13,YEAR(E18)*12+MONTH(E18)-FYYM+1)),"")</f>
        <v/>
      </c>
      <c r="P18" s="101">
        <f>IF(H18=1,IF(IFERROR(INDEX(coa_CF,MATCH(I18,coa_Name,0)),"")="Cash",1,0),0)</f>
        <v/>
      </c>
      <c r="Q18" s="101">
        <f>IF(H18=1,IF(IFERROR(INDEX(coa_CF,MATCH(K18,coa_Name,0)),"")="Cash",1,0),0)</f>
        <v/>
      </c>
      <c r="R18" s="58">
        <f>IF((P18-Q18)=0,"",IFERROR(INDEX(coa_CF,MATCH(IF((P18-Q18)=1,K18,I18),coa_Name,0)),"Operating"))</f>
        <v/>
      </c>
      <c r="S18" s="95">
        <f>IF((P18-Q18)=1,L18,IF((P18-Q18)=-1,-J18,0))</f>
        <v/>
      </c>
      <c r="T18" s="95">
        <f>IF((P18-Q18)=1,N18,IF((P18-Q18)=-1,-M18,0))</f>
        <v/>
      </c>
      <c r="U18" s="101">
        <f>IF(AND(H18=1,LedAcct&lt;&gt;""),IF(AND(E18&gt;=LedFrom,E18&lt;=LedTo,OR(I18=LedAcct,K18=LedAcct,AND(LedAcct=acctTax,M18+N18&lt;&gt;0))),E18*10000+B18,""),"")</f>
        <v/>
      </c>
    </row>
    <row r="19">
      <c r="B19" s="101" t="n">
        <v>13</v>
      </c>
      <c r="C19" s="58" t="inlineStr">
        <is>
          <t>Transaction</t>
        </is>
      </c>
      <c r="D19" s="58">
        <f>IF(H19=1,INDEX(tx_ID,13)&amp;"","")</f>
        <v/>
      </c>
      <c r="E19" s="94">
        <f>IF(H19=1,INDEX(tx_Date,13),"")</f>
        <v/>
      </c>
      <c r="F19" s="58">
        <f>IF(H19=1,INDEX(tx_Desc,13)&amp;"","")</f>
        <v/>
      </c>
      <c r="G19" s="58">
        <f>IF(H19=1,IF(INDEX(tx_Cust,13)&amp;""&lt;&gt;"",INDEX(tx_Cust,13)&amp;"",INDEX(tx_Vend,13)&amp;""),"")</f>
        <v/>
      </c>
      <c r="H19" s="101">
        <f>IFERROR(N(INDEX(tx_Posted,13)),0)</f>
        <v/>
      </c>
      <c r="I19" s="58">
        <f>IF(H19=1,INDEX(tx_DrAcct,13)&amp;"","")</f>
        <v/>
      </c>
      <c r="J19" s="95">
        <f>IF(H19=1,INDEX(tx_DrAmt,13),0)</f>
        <v/>
      </c>
      <c r="K19" s="58">
        <f>IF(H19=1,INDEX(tx_CrAcct,13)&amp;"","")</f>
        <v/>
      </c>
      <c r="L19" s="95">
        <f>IF(H19=1,INDEX(tx_CrAmt,13),0)</f>
        <v/>
      </c>
      <c r="M19" s="95">
        <f>IF(H19=1,INDEX(tx_TaxDr,13),0)</f>
        <v/>
      </c>
      <c r="N19" s="95">
        <f>IF(H19=1,INDEX(tx_TaxCr,13),0)</f>
        <v/>
      </c>
      <c r="O19" s="101">
        <f>IF(H19=1,IF(E19&lt;FYStart,0,IF(E19&gt;FYEnd,13,YEAR(E19)*12+MONTH(E19)-FYYM+1)),"")</f>
        <v/>
      </c>
      <c r="P19" s="101">
        <f>IF(H19=1,IF(IFERROR(INDEX(coa_CF,MATCH(I19,coa_Name,0)),"")="Cash",1,0),0)</f>
        <v/>
      </c>
      <c r="Q19" s="101">
        <f>IF(H19=1,IF(IFERROR(INDEX(coa_CF,MATCH(K19,coa_Name,0)),"")="Cash",1,0),0)</f>
        <v/>
      </c>
      <c r="R19" s="58">
        <f>IF((P19-Q19)=0,"",IFERROR(INDEX(coa_CF,MATCH(IF((P19-Q19)=1,K19,I19),coa_Name,0)),"Operating"))</f>
        <v/>
      </c>
      <c r="S19" s="95">
        <f>IF((P19-Q19)=1,L19,IF((P19-Q19)=-1,-J19,0))</f>
        <v/>
      </c>
      <c r="T19" s="95">
        <f>IF((P19-Q19)=1,N19,IF((P19-Q19)=-1,-M19,0))</f>
        <v/>
      </c>
      <c r="U19" s="101">
        <f>IF(AND(H19=1,LedAcct&lt;&gt;""),IF(AND(E19&gt;=LedFrom,E19&lt;=LedTo,OR(I19=LedAcct,K19=LedAcct,AND(LedAcct=acctTax,M19+N19&lt;&gt;0))),E19*10000+B19,""),"")</f>
        <v/>
      </c>
    </row>
    <row r="20">
      <c r="B20" s="101" t="n">
        <v>14</v>
      </c>
      <c r="C20" s="58" t="inlineStr">
        <is>
          <t>Transaction</t>
        </is>
      </c>
      <c r="D20" s="58">
        <f>IF(H20=1,INDEX(tx_ID,14)&amp;"","")</f>
        <v/>
      </c>
      <c r="E20" s="94">
        <f>IF(H20=1,INDEX(tx_Date,14),"")</f>
        <v/>
      </c>
      <c r="F20" s="58">
        <f>IF(H20=1,INDEX(tx_Desc,14)&amp;"","")</f>
        <v/>
      </c>
      <c r="G20" s="58">
        <f>IF(H20=1,IF(INDEX(tx_Cust,14)&amp;""&lt;&gt;"",INDEX(tx_Cust,14)&amp;"",INDEX(tx_Vend,14)&amp;""),"")</f>
        <v/>
      </c>
      <c r="H20" s="101">
        <f>IFERROR(N(INDEX(tx_Posted,14)),0)</f>
        <v/>
      </c>
      <c r="I20" s="58">
        <f>IF(H20=1,INDEX(tx_DrAcct,14)&amp;"","")</f>
        <v/>
      </c>
      <c r="J20" s="95">
        <f>IF(H20=1,INDEX(tx_DrAmt,14),0)</f>
        <v/>
      </c>
      <c r="K20" s="58">
        <f>IF(H20=1,INDEX(tx_CrAcct,14)&amp;"","")</f>
        <v/>
      </c>
      <c r="L20" s="95">
        <f>IF(H20=1,INDEX(tx_CrAmt,14),0)</f>
        <v/>
      </c>
      <c r="M20" s="95">
        <f>IF(H20=1,INDEX(tx_TaxDr,14),0)</f>
        <v/>
      </c>
      <c r="N20" s="95">
        <f>IF(H20=1,INDEX(tx_TaxCr,14),0)</f>
        <v/>
      </c>
      <c r="O20" s="101">
        <f>IF(H20=1,IF(E20&lt;FYStart,0,IF(E20&gt;FYEnd,13,YEAR(E20)*12+MONTH(E20)-FYYM+1)),"")</f>
        <v/>
      </c>
      <c r="P20" s="101">
        <f>IF(H20=1,IF(IFERROR(INDEX(coa_CF,MATCH(I20,coa_Name,0)),"")="Cash",1,0),0)</f>
        <v/>
      </c>
      <c r="Q20" s="101">
        <f>IF(H20=1,IF(IFERROR(INDEX(coa_CF,MATCH(K20,coa_Name,0)),"")="Cash",1,0),0)</f>
        <v/>
      </c>
      <c r="R20" s="58">
        <f>IF((P20-Q20)=0,"",IFERROR(INDEX(coa_CF,MATCH(IF((P20-Q20)=1,K20,I20),coa_Name,0)),"Operating"))</f>
        <v/>
      </c>
      <c r="S20" s="95">
        <f>IF((P20-Q20)=1,L20,IF((P20-Q20)=-1,-J20,0))</f>
        <v/>
      </c>
      <c r="T20" s="95">
        <f>IF((P20-Q20)=1,N20,IF((P20-Q20)=-1,-M20,0))</f>
        <v/>
      </c>
      <c r="U20" s="101">
        <f>IF(AND(H20=1,LedAcct&lt;&gt;""),IF(AND(E20&gt;=LedFrom,E20&lt;=LedTo,OR(I20=LedAcct,K20=LedAcct,AND(LedAcct=acctTax,M20+N20&lt;&gt;0))),E20*10000+B20,""),"")</f>
        <v/>
      </c>
    </row>
    <row r="21">
      <c r="B21" s="101" t="n">
        <v>15</v>
      </c>
      <c r="C21" s="58" t="inlineStr">
        <is>
          <t>Transaction</t>
        </is>
      </c>
      <c r="D21" s="58">
        <f>IF(H21=1,INDEX(tx_ID,15)&amp;"","")</f>
        <v/>
      </c>
      <c r="E21" s="94">
        <f>IF(H21=1,INDEX(tx_Date,15),"")</f>
        <v/>
      </c>
      <c r="F21" s="58">
        <f>IF(H21=1,INDEX(tx_Desc,15)&amp;"","")</f>
        <v/>
      </c>
      <c r="G21" s="58">
        <f>IF(H21=1,IF(INDEX(tx_Cust,15)&amp;""&lt;&gt;"",INDEX(tx_Cust,15)&amp;"",INDEX(tx_Vend,15)&amp;""),"")</f>
        <v/>
      </c>
      <c r="H21" s="101">
        <f>IFERROR(N(INDEX(tx_Posted,15)),0)</f>
        <v/>
      </c>
      <c r="I21" s="58">
        <f>IF(H21=1,INDEX(tx_DrAcct,15)&amp;"","")</f>
        <v/>
      </c>
      <c r="J21" s="95">
        <f>IF(H21=1,INDEX(tx_DrAmt,15),0)</f>
        <v/>
      </c>
      <c r="K21" s="58">
        <f>IF(H21=1,INDEX(tx_CrAcct,15)&amp;"","")</f>
        <v/>
      </c>
      <c r="L21" s="95">
        <f>IF(H21=1,INDEX(tx_CrAmt,15),0)</f>
        <v/>
      </c>
      <c r="M21" s="95">
        <f>IF(H21=1,INDEX(tx_TaxDr,15),0)</f>
        <v/>
      </c>
      <c r="N21" s="95">
        <f>IF(H21=1,INDEX(tx_TaxCr,15),0)</f>
        <v/>
      </c>
      <c r="O21" s="101">
        <f>IF(H21=1,IF(E21&lt;FYStart,0,IF(E21&gt;FYEnd,13,YEAR(E21)*12+MONTH(E21)-FYYM+1)),"")</f>
        <v/>
      </c>
      <c r="P21" s="101">
        <f>IF(H21=1,IF(IFERROR(INDEX(coa_CF,MATCH(I21,coa_Name,0)),"")="Cash",1,0),0)</f>
        <v/>
      </c>
      <c r="Q21" s="101">
        <f>IF(H21=1,IF(IFERROR(INDEX(coa_CF,MATCH(K21,coa_Name,0)),"")="Cash",1,0),0)</f>
        <v/>
      </c>
      <c r="R21" s="58">
        <f>IF((P21-Q21)=0,"",IFERROR(INDEX(coa_CF,MATCH(IF((P21-Q21)=1,K21,I21),coa_Name,0)),"Operating"))</f>
        <v/>
      </c>
      <c r="S21" s="95">
        <f>IF((P21-Q21)=1,L21,IF((P21-Q21)=-1,-J21,0))</f>
        <v/>
      </c>
      <c r="T21" s="95">
        <f>IF((P21-Q21)=1,N21,IF((P21-Q21)=-1,-M21,0))</f>
        <v/>
      </c>
      <c r="U21" s="101">
        <f>IF(AND(H21=1,LedAcct&lt;&gt;""),IF(AND(E21&gt;=LedFrom,E21&lt;=LedTo,OR(I21=LedAcct,K21=LedAcct,AND(LedAcct=acctTax,M21+N21&lt;&gt;0))),E21*10000+B21,""),"")</f>
        <v/>
      </c>
    </row>
    <row r="22">
      <c r="B22" s="101" t="n">
        <v>16</v>
      </c>
      <c r="C22" s="58" t="inlineStr">
        <is>
          <t>Transaction</t>
        </is>
      </c>
      <c r="D22" s="58">
        <f>IF(H22=1,INDEX(tx_ID,16)&amp;"","")</f>
        <v/>
      </c>
      <c r="E22" s="94">
        <f>IF(H22=1,INDEX(tx_Date,16),"")</f>
        <v/>
      </c>
      <c r="F22" s="58">
        <f>IF(H22=1,INDEX(tx_Desc,16)&amp;"","")</f>
        <v/>
      </c>
      <c r="G22" s="58">
        <f>IF(H22=1,IF(INDEX(tx_Cust,16)&amp;""&lt;&gt;"",INDEX(tx_Cust,16)&amp;"",INDEX(tx_Vend,16)&amp;""),"")</f>
        <v/>
      </c>
      <c r="H22" s="101">
        <f>IFERROR(N(INDEX(tx_Posted,16)),0)</f>
        <v/>
      </c>
      <c r="I22" s="58">
        <f>IF(H22=1,INDEX(tx_DrAcct,16)&amp;"","")</f>
        <v/>
      </c>
      <c r="J22" s="95">
        <f>IF(H22=1,INDEX(tx_DrAmt,16),0)</f>
        <v/>
      </c>
      <c r="K22" s="58">
        <f>IF(H22=1,INDEX(tx_CrAcct,16)&amp;"","")</f>
        <v/>
      </c>
      <c r="L22" s="95">
        <f>IF(H22=1,INDEX(tx_CrAmt,16),0)</f>
        <v/>
      </c>
      <c r="M22" s="95">
        <f>IF(H22=1,INDEX(tx_TaxDr,16),0)</f>
        <v/>
      </c>
      <c r="N22" s="95">
        <f>IF(H22=1,INDEX(tx_TaxCr,16),0)</f>
        <v/>
      </c>
      <c r="O22" s="101">
        <f>IF(H22=1,IF(E22&lt;FYStart,0,IF(E22&gt;FYEnd,13,YEAR(E22)*12+MONTH(E22)-FYYM+1)),"")</f>
        <v/>
      </c>
      <c r="P22" s="101">
        <f>IF(H22=1,IF(IFERROR(INDEX(coa_CF,MATCH(I22,coa_Name,0)),"")="Cash",1,0),0)</f>
        <v/>
      </c>
      <c r="Q22" s="101">
        <f>IF(H22=1,IF(IFERROR(INDEX(coa_CF,MATCH(K22,coa_Name,0)),"")="Cash",1,0),0)</f>
        <v/>
      </c>
      <c r="R22" s="58">
        <f>IF((P22-Q22)=0,"",IFERROR(INDEX(coa_CF,MATCH(IF((P22-Q22)=1,K22,I22),coa_Name,0)),"Operating"))</f>
        <v/>
      </c>
      <c r="S22" s="95">
        <f>IF((P22-Q22)=1,L22,IF((P22-Q22)=-1,-J22,0))</f>
        <v/>
      </c>
      <c r="T22" s="95">
        <f>IF((P22-Q22)=1,N22,IF((P22-Q22)=-1,-M22,0))</f>
        <v/>
      </c>
      <c r="U22" s="101">
        <f>IF(AND(H22=1,LedAcct&lt;&gt;""),IF(AND(E22&gt;=LedFrom,E22&lt;=LedTo,OR(I22=LedAcct,K22=LedAcct,AND(LedAcct=acctTax,M22+N22&lt;&gt;0))),E22*10000+B22,""),"")</f>
        <v/>
      </c>
    </row>
    <row r="23">
      <c r="B23" s="101" t="n">
        <v>17</v>
      </c>
      <c r="C23" s="58" t="inlineStr">
        <is>
          <t>Transaction</t>
        </is>
      </c>
      <c r="D23" s="58">
        <f>IF(H23=1,INDEX(tx_ID,17)&amp;"","")</f>
        <v/>
      </c>
      <c r="E23" s="94">
        <f>IF(H23=1,INDEX(tx_Date,17),"")</f>
        <v/>
      </c>
      <c r="F23" s="58">
        <f>IF(H23=1,INDEX(tx_Desc,17)&amp;"","")</f>
        <v/>
      </c>
      <c r="G23" s="58">
        <f>IF(H23=1,IF(INDEX(tx_Cust,17)&amp;""&lt;&gt;"",INDEX(tx_Cust,17)&amp;"",INDEX(tx_Vend,17)&amp;""),"")</f>
        <v/>
      </c>
      <c r="H23" s="101">
        <f>IFERROR(N(INDEX(tx_Posted,17)),0)</f>
        <v/>
      </c>
      <c r="I23" s="58">
        <f>IF(H23=1,INDEX(tx_DrAcct,17)&amp;"","")</f>
        <v/>
      </c>
      <c r="J23" s="95">
        <f>IF(H23=1,INDEX(tx_DrAmt,17),0)</f>
        <v/>
      </c>
      <c r="K23" s="58">
        <f>IF(H23=1,INDEX(tx_CrAcct,17)&amp;"","")</f>
        <v/>
      </c>
      <c r="L23" s="95">
        <f>IF(H23=1,INDEX(tx_CrAmt,17),0)</f>
        <v/>
      </c>
      <c r="M23" s="95">
        <f>IF(H23=1,INDEX(tx_TaxDr,17),0)</f>
        <v/>
      </c>
      <c r="N23" s="95">
        <f>IF(H23=1,INDEX(tx_TaxCr,17),0)</f>
        <v/>
      </c>
      <c r="O23" s="101">
        <f>IF(H23=1,IF(E23&lt;FYStart,0,IF(E23&gt;FYEnd,13,YEAR(E23)*12+MONTH(E23)-FYYM+1)),"")</f>
        <v/>
      </c>
      <c r="P23" s="101">
        <f>IF(H23=1,IF(IFERROR(INDEX(coa_CF,MATCH(I23,coa_Name,0)),"")="Cash",1,0),0)</f>
        <v/>
      </c>
      <c r="Q23" s="101">
        <f>IF(H23=1,IF(IFERROR(INDEX(coa_CF,MATCH(K23,coa_Name,0)),"")="Cash",1,0),0)</f>
        <v/>
      </c>
      <c r="R23" s="58">
        <f>IF((P23-Q23)=0,"",IFERROR(INDEX(coa_CF,MATCH(IF((P23-Q23)=1,K23,I23),coa_Name,0)),"Operating"))</f>
        <v/>
      </c>
      <c r="S23" s="95">
        <f>IF((P23-Q23)=1,L23,IF((P23-Q23)=-1,-J23,0))</f>
        <v/>
      </c>
      <c r="T23" s="95">
        <f>IF((P23-Q23)=1,N23,IF((P23-Q23)=-1,-M23,0))</f>
        <v/>
      </c>
      <c r="U23" s="101">
        <f>IF(AND(H23=1,LedAcct&lt;&gt;""),IF(AND(E23&gt;=LedFrom,E23&lt;=LedTo,OR(I23=LedAcct,K23=LedAcct,AND(LedAcct=acctTax,M23+N23&lt;&gt;0))),E23*10000+B23,""),"")</f>
        <v/>
      </c>
    </row>
    <row r="24">
      <c r="B24" s="101" t="n">
        <v>18</v>
      </c>
      <c r="C24" s="58" t="inlineStr">
        <is>
          <t>Transaction</t>
        </is>
      </c>
      <c r="D24" s="58">
        <f>IF(H24=1,INDEX(tx_ID,18)&amp;"","")</f>
        <v/>
      </c>
      <c r="E24" s="94">
        <f>IF(H24=1,INDEX(tx_Date,18),"")</f>
        <v/>
      </c>
      <c r="F24" s="58">
        <f>IF(H24=1,INDEX(tx_Desc,18)&amp;"","")</f>
        <v/>
      </c>
      <c r="G24" s="58">
        <f>IF(H24=1,IF(INDEX(tx_Cust,18)&amp;""&lt;&gt;"",INDEX(tx_Cust,18)&amp;"",INDEX(tx_Vend,18)&amp;""),"")</f>
        <v/>
      </c>
      <c r="H24" s="101">
        <f>IFERROR(N(INDEX(tx_Posted,18)),0)</f>
        <v/>
      </c>
      <c r="I24" s="58">
        <f>IF(H24=1,INDEX(tx_DrAcct,18)&amp;"","")</f>
        <v/>
      </c>
      <c r="J24" s="95">
        <f>IF(H24=1,INDEX(tx_DrAmt,18),0)</f>
        <v/>
      </c>
      <c r="K24" s="58">
        <f>IF(H24=1,INDEX(tx_CrAcct,18)&amp;"","")</f>
        <v/>
      </c>
      <c r="L24" s="95">
        <f>IF(H24=1,INDEX(tx_CrAmt,18),0)</f>
        <v/>
      </c>
      <c r="M24" s="95">
        <f>IF(H24=1,INDEX(tx_TaxDr,18),0)</f>
        <v/>
      </c>
      <c r="N24" s="95">
        <f>IF(H24=1,INDEX(tx_TaxCr,18),0)</f>
        <v/>
      </c>
      <c r="O24" s="101">
        <f>IF(H24=1,IF(E24&lt;FYStart,0,IF(E24&gt;FYEnd,13,YEAR(E24)*12+MONTH(E24)-FYYM+1)),"")</f>
        <v/>
      </c>
      <c r="P24" s="101">
        <f>IF(H24=1,IF(IFERROR(INDEX(coa_CF,MATCH(I24,coa_Name,0)),"")="Cash",1,0),0)</f>
        <v/>
      </c>
      <c r="Q24" s="101">
        <f>IF(H24=1,IF(IFERROR(INDEX(coa_CF,MATCH(K24,coa_Name,0)),"")="Cash",1,0),0)</f>
        <v/>
      </c>
      <c r="R24" s="58">
        <f>IF((P24-Q24)=0,"",IFERROR(INDEX(coa_CF,MATCH(IF((P24-Q24)=1,K24,I24),coa_Name,0)),"Operating"))</f>
        <v/>
      </c>
      <c r="S24" s="95">
        <f>IF((P24-Q24)=1,L24,IF((P24-Q24)=-1,-J24,0))</f>
        <v/>
      </c>
      <c r="T24" s="95">
        <f>IF((P24-Q24)=1,N24,IF((P24-Q24)=-1,-M24,0))</f>
        <v/>
      </c>
      <c r="U24" s="101">
        <f>IF(AND(H24=1,LedAcct&lt;&gt;""),IF(AND(E24&gt;=LedFrom,E24&lt;=LedTo,OR(I24=LedAcct,K24=LedAcct,AND(LedAcct=acctTax,M24+N24&lt;&gt;0))),E24*10000+B24,""),"")</f>
        <v/>
      </c>
    </row>
    <row r="25">
      <c r="B25" s="101" t="n">
        <v>19</v>
      </c>
      <c r="C25" s="58" t="inlineStr">
        <is>
          <t>Transaction</t>
        </is>
      </c>
      <c r="D25" s="58">
        <f>IF(H25=1,INDEX(tx_ID,19)&amp;"","")</f>
        <v/>
      </c>
      <c r="E25" s="94">
        <f>IF(H25=1,INDEX(tx_Date,19),"")</f>
        <v/>
      </c>
      <c r="F25" s="58">
        <f>IF(H25=1,INDEX(tx_Desc,19)&amp;"","")</f>
        <v/>
      </c>
      <c r="G25" s="58">
        <f>IF(H25=1,IF(INDEX(tx_Cust,19)&amp;""&lt;&gt;"",INDEX(tx_Cust,19)&amp;"",INDEX(tx_Vend,19)&amp;""),"")</f>
        <v/>
      </c>
      <c r="H25" s="101">
        <f>IFERROR(N(INDEX(tx_Posted,19)),0)</f>
        <v/>
      </c>
      <c r="I25" s="58">
        <f>IF(H25=1,INDEX(tx_DrAcct,19)&amp;"","")</f>
        <v/>
      </c>
      <c r="J25" s="95">
        <f>IF(H25=1,INDEX(tx_DrAmt,19),0)</f>
        <v/>
      </c>
      <c r="K25" s="58">
        <f>IF(H25=1,INDEX(tx_CrAcct,19)&amp;"","")</f>
        <v/>
      </c>
      <c r="L25" s="95">
        <f>IF(H25=1,INDEX(tx_CrAmt,19),0)</f>
        <v/>
      </c>
      <c r="M25" s="95">
        <f>IF(H25=1,INDEX(tx_TaxDr,19),0)</f>
        <v/>
      </c>
      <c r="N25" s="95">
        <f>IF(H25=1,INDEX(tx_TaxCr,19),0)</f>
        <v/>
      </c>
      <c r="O25" s="101">
        <f>IF(H25=1,IF(E25&lt;FYStart,0,IF(E25&gt;FYEnd,13,YEAR(E25)*12+MONTH(E25)-FYYM+1)),"")</f>
        <v/>
      </c>
      <c r="P25" s="101">
        <f>IF(H25=1,IF(IFERROR(INDEX(coa_CF,MATCH(I25,coa_Name,0)),"")="Cash",1,0),0)</f>
        <v/>
      </c>
      <c r="Q25" s="101">
        <f>IF(H25=1,IF(IFERROR(INDEX(coa_CF,MATCH(K25,coa_Name,0)),"")="Cash",1,0),0)</f>
        <v/>
      </c>
      <c r="R25" s="58">
        <f>IF((P25-Q25)=0,"",IFERROR(INDEX(coa_CF,MATCH(IF((P25-Q25)=1,K25,I25),coa_Name,0)),"Operating"))</f>
        <v/>
      </c>
      <c r="S25" s="95">
        <f>IF((P25-Q25)=1,L25,IF((P25-Q25)=-1,-J25,0))</f>
        <v/>
      </c>
      <c r="T25" s="95">
        <f>IF((P25-Q25)=1,N25,IF((P25-Q25)=-1,-M25,0))</f>
        <v/>
      </c>
      <c r="U25" s="101">
        <f>IF(AND(H25=1,LedAcct&lt;&gt;""),IF(AND(E25&gt;=LedFrom,E25&lt;=LedTo,OR(I25=LedAcct,K25=LedAcct,AND(LedAcct=acctTax,M25+N25&lt;&gt;0))),E25*10000+B25,""),"")</f>
        <v/>
      </c>
    </row>
    <row r="26">
      <c r="B26" s="101" t="n">
        <v>20</v>
      </c>
      <c r="C26" s="58" t="inlineStr">
        <is>
          <t>Transaction</t>
        </is>
      </c>
      <c r="D26" s="58">
        <f>IF(H26=1,INDEX(tx_ID,20)&amp;"","")</f>
        <v/>
      </c>
      <c r="E26" s="94">
        <f>IF(H26=1,INDEX(tx_Date,20),"")</f>
        <v/>
      </c>
      <c r="F26" s="58">
        <f>IF(H26=1,INDEX(tx_Desc,20)&amp;"","")</f>
        <v/>
      </c>
      <c r="G26" s="58">
        <f>IF(H26=1,IF(INDEX(tx_Cust,20)&amp;""&lt;&gt;"",INDEX(tx_Cust,20)&amp;"",INDEX(tx_Vend,20)&amp;""),"")</f>
        <v/>
      </c>
      <c r="H26" s="101">
        <f>IFERROR(N(INDEX(tx_Posted,20)),0)</f>
        <v/>
      </c>
      <c r="I26" s="58">
        <f>IF(H26=1,INDEX(tx_DrAcct,20)&amp;"","")</f>
        <v/>
      </c>
      <c r="J26" s="95">
        <f>IF(H26=1,INDEX(tx_DrAmt,20),0)</f>
        <v/>
      </c>
      <c r="K26" s="58">
        <f>IF(H26=1,INDEX(tx_CrAcct,20)&amp;"","")</f>
        <v/>
      </c>
      <c r="L26" s="95">
        <f>IF(H26=1,INDEX(tx_CrAmt,20),0)</f>
        <v/>
      </c>
      <c r="M26" s="95">
        <f>IF(H26=1,INDEX(tx_TaxDr,20),0)</f>
        <v/>
      </c>
      <c r="N26" s="95">
        <f>IF(H26=1,INDEX(tx_TaxCr,20),0)</f>
        <v/>
      </c>
      <c r="O26" s="101">
        <f>IF(H26=1,IF(E26&lt;FYStart,0,IF(E26&gt;FYEnd,13,YEAR(E26)*12+MONTH(E26)-FYYM+1)),"")</f>
        <v/>
      </c>
      <c r="P26" s="101">
        <f>IF(H26=1,IF(IFERROR(INDEX(coa_CF,MATCH(I26,coa_Name,0)),"")="Cash",1,0),0)</f>
        <v/>
      </c>
      <c r="Q26" s="101">
        <f>IF(H26=1,IF(IFERROR(INDEX(coa_CF,MATCH(K26,coa_Name,0)),"")="Cash",1,0),0)</f>
        <v/>
      </c>
      <c r="R26" s="58">
        <f>IF((P26-Q26)=0,"",IFERROR(INDEX(coa_CF,MATCH(IF((P26-Q26)=1,K26,I26),coa_Name,0)),"Operating"))</f>
        <v/>
      </c>
      <c r="S26" s="95">
        <f>IF((P26-Q26)=1,L26,IF((P26-Q26)=-1,-J26,0))</f>
        <v/>
      </c>
      <c r="T26" s="95">
        <f>IF((P26-Q26)=1,N26,IF((P26-Q26)=-1,-M26,0))</f>
        <v/>
      </c>
      <c r="U26" s="101">
        <f>IF(AND(H26=1,LedAcct&lt;&gt;""),IF(AND(E26&gt;=LedFrom,E26&lt;=LedTo,OR(I26=LedAcct,K26=LedAcct,AND(LedAcct=acctTax,M26+N26&lt;&gt;0))),E26*10000+B26,""),"")</f>
        <v/>
      </c>
    </row>
    <row r="27">
      <c r="B27" s="101" t="n">
        <v>21</v>
      </c>
      <c r="C27" s="58" t="inlineStr">
        <is>
          <t>Transaction</t>
        </is>
      </c>
      <c r="D27" s="58">
        <f>IF(H27=1,INDEX(tx_ID,21)&amp;"","")</f>
        <v/>
      </c>
      <c r="E27" s="94">
        <f>IF(H27=1,INDEX(tx_Date,21),"")</f>
        <v/>
      </c>
      <c r="F27" s="58">
        <f>IF(H27=1,INDEX(tx_Desc,21)&amp;"","")</f>
        <v/>
      </c>
      <c r="G27" s="58">
        <f>IF(H27=1,IF(INDEX(tx_Cust,21)&amp;""&lt;&gt;"",INDEX(tx_Cust,21)&amp;"",INDEX(tx_Vend,21)&amp;""),"")</f>
        <v/>
      </c>
      <c r="H27" s="101">
        <f>IFERROR(N(INDEX(tx_Posted,21)),0)</f>
        <v/>
      </c>
      <c r="I27" s="58">
        <f>IF(H27=1,INDEX(tx_DrAcct,21)&amp;"","")</f>
        <v/>
      </c>
      <c r="J27" s="95">
        <f>IF(H27=1,INDEX(tx_DrAmt,21),0)</f>
        <v/>
      </c>
      <c r="K27" s="58">
        <f>IF(H27=1,INDEX(tx_CrAcct,21)&amp;"","")</f>
        <v/>
      </c>
      <c r="L27" s="95">
        <f>IF(H27=1,INDEX(tx_CrAmt,21),0)</f>
        <v/>
      </c>
      <c r="M27" s="95">
        <f>IF(H27=1,INDEX(tx_TaxDr,21),0)</f>
        <v/>
      </c>
      <c r="N27" s="95">
        <f>IF(H27=1,INDEX(tx_TaxCr,21),0)</f>
        <v/>
      </c>
      <c r="O27" s="101">
        <f>IF(H27=1,IF(E27&lt;FYStart,0,IF(E27&gt;FYEnd,13,YEAR(E27)*12+MONTH(E27)-FYYM+1)),"")</f>
        <v/>
      </c>
      <c r="P27" s="101">
        <f>IF(H27=1,IF(IFERROR(INDEX(coa_CF,MATCH(I27,coa_Name,0)),"")="Cash",1,0),0)</f>
        <v/>
      </c>
      <c r="Q27" s="101">
        <f>IF(H27=1,IF(IFERROR(INDEX(coa_CF,MATCH(K27,coa_Name,0)),"")="Cash",1,0),0)</f>
        <v/>
      </c>
      <c r="R27" s="58">
        <f>IF((P27-Q27)=0,"",IFERROR(INDEX(coa_CF,MATCH(IF((P27-Q27)=1,K27,I27),coa_Name,0)),"Operating"))</f>
        <v/>
      </c>
      <c r="S27" s="95">
        <f>IF((P27-Q27)=1,L27,IF((P27-Q27)=-1,-J27,0))</f>
        <v/>
      </c>
      <c r="T27" s="95">
        <f>IF((P27-Q27)=1,N27,IF((P27-Q27)=-1,-M27,0))</f>
        <v/>
      </c>
      <c r="U27" s="101">
        <f>IF(AND(H27=1,LedAcct&lt;&gt;""),IF(AND(E27&gt;=LedFrom,E27&lt;=LedTo,OR(I27=LedAcct,K27=LedAcct,AND(LedAcct=acctTax,M27+N27&lt;&gt;0))),E27*10000+B27,""),"")</f>
        <v/>
      </c>
    </row>
    <row r="28">
      <c r="B28" s="101" t="n">
        <v>22</v>
      </c>
      <c r="C28" s="58" t="inlineStr">
        <is>
          <t>Transaction</t>
        </is>
      </c>
      <c r="D28" s="58">
        <f>IF(H28=1,INDEX(tx_ID,22)&amp;"","")</f>
        <v/>
      </c>
      <c r="E28" s="94">
        <f>IF(H28=1,INDEX(tx_Date,22),"")</f>
        <v/>
      </c>
      <c r="F28" s="58">
        <f>IF(H28=1,INDEX(tx_Desc,22)&amp;"","")</f>
        <v/>
      </c>
      <c r="G28" s="58">
        <f>IF(H28=1,IF(INDEX(tx_Cust,22)&amp;""&lt;&gt;"",INDEX(tx_Cust,22)&amp;"",INDEX(tx_Vend,22)&amp;""),"")</f>
        <v/>
      </c>
      <c r="H28" s="101">
        <f>IFERROR(N(INDEX(tx_Posted,22)),0)</f>
        <v/>
      </c>
      <c r="I28" s="58">
        <f>IF(H28=1,INDEX(tx_DrAcct,22)&amp;"","")</f>
        <v/>
      </c>
      <c r="J28" s="95">
        <f>IF(H28=1,INDEX(tx_DrAmt,22),0)</f>
        <v/>
      </c>
      <c r="K28" s="58">
        <f>IF(H28=1,INDEX(tx_CrAcct,22)&amp;"","")</f>
        <v/>
      </c>
      <c r="L28" s="95">
        <f>IF(H28=1,INDEX(tx_CrAmt,22),0)</f>
        <v/>
      </c>
      <c r="M28" s="95">
        <f>IF(H28=1,INDEX(tx_TaxDr,22),0)</f>
        <v/>
      </c>
      <c r="N28" s="95">
        <f>IF(H28=1,INDEX(tx_TaxCr,22),0)</f>
        <v/>
      </c>
      <c r="O28" s="101">
        <f>IF(H28=1,IF(E28&lt;FYStart,0,IF(E28&gt;FYEnd,13,YEAR(E28)*12+MONTH(E28)-FYYM+1)),"")</f>
        <v/>
      </c>
      <c r="P28" s="101">
        <f>IF(H28=1,IF(IFERROR(INDEX(coa_CF,MATCH(I28,coa_Name,0)),"")="Cash",1,0),0)</f>
        <v/>
      </c>
      <c r="Q28" s="101">
        <f>IF(H28=1,IF(IFERROR(INDEX(coa_CF,MATCH(K28,coa_Name,0)),"")="Cash",1,0),0)</f>
        <v/>
      </c>
      <c r="R28" s="58">
        <f>IF((P28-Q28)=0,"",IFERROR(INDEX(coa_CF,MATCH(IF((P28-Q28)=1,K28,I28),coa_Name,0)),"Operating"))</f>
        <v/>
      </c>
      <c r="S28" s="95">
        <f>IF((P28-Q28)=1,L28,IF((P28-Q28)=-1,-J28,0))</f>
        <v/>
      </c>
      <c r="T28" s="95">
        <f>IF((P28-Q28)=1,N28,IF((P28-Q28)=-1,-M28,0))</f>
        <v/>
      </c>
      <c r="U28" s="101">
        <f>IF(AND(H28=1,LedAcct&lt;&gt;""),IF(AND(E28&gt;=LedFrom,E28&lt;=LedTo,OR(I28=LedAcct,K28=LedAcct,AND(LedAcct=acctTax,M28+N28&lt;&gt;0))),E28*10000+B28,""),"")</f>
        <v/>
      </c>
    </row>
    <row r="29">
      <c r="B29" s="101" t="n">
        <v>23</v>
      </c>
      <c r="C29" s="58" t="inlineStr">
        <is>
          <t>Transaction</t>
        </is>
      </c>
      <c r="D29" s="58">
        <f>IF(H29=1,INDEX(tx_ID,23)&amp;"","")</f>
        <v/>
      </c>
      <c r="E29" s="94">
        <f>IF(H29=1,INDEX(tx_Date,23),"")</f>
        <v/>
      </c>
      <c r="F29" s="58">
        <f>IF(H29=1,INDEX(tx_Desc,23)&amp;"","")</f>
        <v/>
      </c>
      <c r="G29" s="58">
        <f>IF(H29=1,IF(INDEX(tx_Cust,23)&amp;""&lt;&gt;"",INDEX(tx_Cust,23)&amp;"",INDEX(tx_Vend,23)&amp;""),"")</f>
        <v/>
      </c>
      <c r="H29" s="101">
        <f>IFERROR(N(INDEX(tx_Posted,23)),0)</f>
        <v/>
      </c>
      <c r="I29" s="58">
        <f>IF(H29=1,INDEX(tx_DrAcct,23)&amp;"","")</f>
        <v/>
      </c>
      <c r="J29" s="95">
        <f>IF(H29=1,INDEX(tx_DrAmt,23),0)</f>
        <v/>
      </c>
      <c r="K29" s="58">
        <f>IF(H29=1,INDEX(tx_CrAcct,23)&amp;"","")</f>
        <v/>
      </c>
      <c r="L29" s="95">
        <f>IF(H29=1,INDEX(tx_CrAmt,23),0)</f>
        <v/>
      </c>
      <c r="M29" s="95">
        <f>IF(H29=1,INDEX(tx_TaxDr,23),0)</f>
        <v/>
      </c>
      <c r="N29" s="95">
        <f>IF(H29=1,INDEX(tx_TaxCr,23),0)</f>
        <v/>
      </c>
      <c r="O29" s="101">
        <f>IF(H29=1,IF(E29&lt;FYStart,0,IF(E29&gt;FYEnd,13,YEAR(E29)*12+MONTH(E29)-FYYM+1)),"")</f>
        <v/>
      </c>
      <c r="P29" s="101">
        <f>IF(H29=1,IF(IFERROR(INDEX(coa_CF,MATCH(I29,coa_Name,0)),"")="Cash",1,0),0)</f>
        <v/>
      </c>
      <c r="Q29" s="101">
        <f>IF(H29=1,IF(IFERROR(INDEX(coa_CF,MATCH(K29,coa_Name,0)),"")="Cash",1,0),0)</f>
        <v/>
      </c>
      <c r="R29" s="58">
        <f>IF((P29-Q29)=0,"",IFERROR(INDEX(coa_CF,MATCH(IF((P29-Q29)=1,K29,I29),coa_Name,0)),"Operating"))</f>
        <v/>
      </c>
      <c r="S29" s="95">
        <f>IF((P29-Q29)=1,L29,IF((P29-Q29)=-1,-J29,0))</f>
        <v/>
      </c>
      <c r="T29" s="95">
        <f>IF((P29-Q29)=1,N29,IF((P29-Q29)=-1,-M29,0))</f>
        <v/>
      </c>
      <c r="U29" s="101">
        <f>IF(AND(H29=1,LedAcct&lt;&gt;""),IF(AND(E29&gt;=LedFrom,E29&lt;=LedTo,OR(I29=LedAcct,K29=LedAcct,AND(LedAcct=acctTax,M29+N29&lt;&gt;0))),E29*10000+B29,""),"")</f>
        <v/>
      </c>
    </row>
    <row r="30">
      <c r="B30" s="101" t="n">
        <v>24</v>
      </c>
      <c r="C30" s="58" t="inlineStr">
        <is>
          <t>Transaction</t>
        </is>
      </c>
      <c r="D30" s="58">
        <f>IF(H30=1,INDEX(tx_ID,24)&amp;"","")</f>
        <v/>
      </c>
      <c r="E30" s="94">
        <f>IF(H30=1,INDEX(tx_Date,24),"")</f>
        <v/>
      </c>
      <c r="F30" s="58">
        <f>IF(H30=1,INDEX(tx_Desc,24)&amp;"","")</f>
        <v/>
      </c>
      <c r="G30" s="58">
        <f>IF(H30=1,IF(INDEX(tx_Cust,24)&amp;""&lt;&gt;"",INDEX(tx_Cust,24)&amp;"",INDEX(tx_Vend,24)&amp;""),"")</f>
        <v/>
      </c>
      <c r="H30" s="101">
        <f>IFERROR(N(INDEX(tx_Posted,24)),0)</f>
        <v/>
      </c>
      <c r="I30" s="58">
        <f>IF(H30=1,INDEX(tx_DrAcct,24)&amp;"","")</f>
        <v/>
      </c>
      <c r="J30" s="95">
        <f>IF(H30=1,INDEX(tx_DrAmt,24),0)</f>
        <v/>
      </c>
      <c r="K30" s="58">
        <f>IF(H30=1,INDEX(tx_CrAcct,24)&amp;"","")</f>
        <v/>
      </c>
      <c r="L30" s="95">
        <f>IF(H30=1,INDEX(tx_CrAmt,24),0)</f>
        <v/>
      </c>
      <c r="M30" s="95">
        <f>IF(H30=1,INDEX(tx_TaxDr,24),0)</f>
        <v/>
      </c>
      <c r="N30" s="95">
        <f>IF(H30=1,INDEX(tx_TaxCr,24),0)</f>
        <v/>
      </c>
      <c r="O30" s="101">
        <f>IF(H30=1,IF(E30&lt;FYStart,0,IF(E30&gt;FYEnd,13,YEAR(E30)*12+MONTH(E30)-FYYM+1)),"")</f>
        <v/>
      </c>
      <c r="P30" s="101">
        <f>IF(H30=1,IF(IFERROR(INDEX(coa_CF,MATCH(I30,coa_Name,0)),"")="Cash",1,0),0)</f>
        <v/>
      </c>
      <c r="Q30" s="101">
        <f>IF(H30=1,IF(IFERROR(INDEX(coa_CF,MATCH(K30,coa_Name,0)),"")="Cash",1,0),0)</f>
        <v/>
      </c>
      <c r="R30" s="58">
        <f>IF((P30-Q30)=0,"",IFERROR(INDEX(coa_CF,MATCH(IF((P30-Q30)=1,K30,I30),coa_Name,0)),"Operating"))</f>
        <v/>
      </c>
      <c r="S30" s="95">
        <f>IF((P30-Q30)=1,L30,IF((P30-Q30)=-1,-J30,0))</f>
        <v/>
      </c>
      <c r="T30" s="95">
        <f>IF((P30-Q30)=1,N30,IF((P30-Q30)=-1,-M30,0))</f>
        <v/>
      </c>
      <c r="U30" s="101">
        <f>IF(AND(H30=1,LedAcct&lt;&gt;""),IF(AND(E30&gt;=LedFrom,E30&lt;=LedTo,OR(I30=LedAcct,K30=LedAcct,AND(LedAcct=acctTax,M30+N30&lt;&gt;0))),E30*10000+B30,""),"")</f>
        <v/>
      </c>
    </row>
    <row r="31">
      <c r="B31" s="101" t="n">
        <v>25</v>
      </c>
      <c r="C31" s="58" t="inlineStr">
        <is>
          <t>Transaction</t>
        </is>
      </c>
      <c r="D31" s="58">
        <f>IF(H31=1,INDEX(tx_ID,25)&amp;"","")</f>
        <v/>
      </c>
      <c r="E31" s="94">
        <f>IF(H31=1,INDEX(tx_Date,25),"")</f>
        <v/>
      </c>
      <c r="F31" s="58">
        <f>IF(H31=1,INDEX(tx_Desc,25)&amp;"","")</f>
        <v/>
      </c>
      <c r="G31" s="58">
        <f>IF(H31=1,IF(INDEX(tx_Cust,25)&amp;""&lt;&gt;"",INDEX(tx_Cust,25)&amp;"",INDEX(tx_Vend,25)&amp;""),"")</f>
        <v/>
      </c>
      <c r="H31" s="101">
        <f>IFERROR(N(INDEX(tx_Posted,25)),0)</f>
        <v/>
      </c>
      <c r="I31" s="58">
        <f>IF(H31=1,INDEX(tx_DrAcct,25)&amp;"","")</f>
        <v/>
      </c>
      <c r="J31" s="95">
        <f>IF(H31=1,INDEX(tx_DrAmt,25),0)</f>
        <v/>
      </c>
      <c r="K31" s="58">
        <f>IF(H31=1,INDEX(tx_CrAcct,25)&amp;"","")</f>
        <v/>
      </c>
      <c r="L31" s="95">
        <f>IF(H31=1,INDEX(tx_CrAmt,25),0)</f>
        <v/>
      </c>
      <c r="M31" s="95">
        <f>IF(H31=1,INDEX(tx_TaxDr,25),0)</f>
        <v/>
      </c>
      <c r="N31" s="95">
        <f>IF(H31=1,INDEX(tx_TaxCr,25),0)</f>
        <v/>
      </c>
      <c r="O31" s="101">
        <f>IF(H31=1,IF(E31&lt;FYStart,0,IF(E31&gt;FYEnd,13,YEAR(E31)*12+MONTH(E31)-FYYM+1)),"")</f>
        <v/>
      </c>
      <c r="P31" s="101">
        <f>IF(H31=1,IF(IFERROR(INDEX(coa_CF,MATCH(I31,coa_Name,0)),"")="Cash",1,0),0)</f>
        <v/>
      </c>
      <c r="Q31" s="101">
        <f>IF(H31=1,IF(IFERROR(INDEX(coa_CF,MATCH(K31,coa_Name,0)),"")="Cash",1,0),0)</f>
        <v/>
      </c>
      <c r="R31" s="58">
        <f>IF((P31-Q31)=0,"",IFERROR(INDEX(coa_CF,MATCH(IF((P31-Q31)=1,K31,I31),coa_Name,0)),"Operating"))</f>
        <v/>
      </c>
      <c r="S31" s="95">
        <f>IF((P31-Q31)=1,L31,IF((P31-Q31)=-1,-J31,0))</f>
        <v/>
      </c>
      <c r="T31" s="95">
        <f>IF((P31-Q31)=1,N31,IF((P31-Q31)=-1,-M31,0))</f>
        <v/>
      </c>
      <c r="U31" s="101">
        <f>IF(AND(H31=1,LedAcct&lt;&gt;""),IF(AND(E31&gt;=LedFrom,E31&lt;=LedTo,OR(I31=LedAcct,K31=LedAcct,AND(LedAcct=acctTax,M31+N31&lt;&gt;0))),E31*10000+B31,""),"")</f>
        <v/>
      </c>
    </row>
    <row r="32">
      <c r="B32" s="101" t="n">
        <v>26</v>
      </c>
      <c r="C32" s="58" t="inlineStr">
        <is>
          <t>Transaction</t>
        </is>
      </c>
      <c r="D32" s="58">
        <f>IF(H32=1,INDEX(tx_ID,26)&amp;"","")</f>
        <v/>
      </c>
      <c r="E32" s="94">
        <f>IF(H32=1,INDEX(tx_Date,26),"")</f>
        <v/>
      </c>
      <c r="F32" s="58">
        <f>IF(H32=1,INDEX(tx_Desc,26)&amp;"","")</f>
        <v/>
      </c>
      <c r="G32" s="58">
        <f>IF(H32=1,IF(INDEX(tx_Cust,26)&amp;""&lt;&gt;"",INDEX(tx_Cust,26)&amp;"",INDEX(tx_Vend,26)&amp;""),"")</f>
        <v/>
      </c>
      <c r="H32" s="101">
        <f>IFERROR(N(INDEX(tx_Posted,26)),0)</f>
        <v/>
      </c>
      <c r="I32" s="58">
        <f>IF(H32=1,INDEX(tx_DrAcct,26)&amp;"","")</f>
        <v/>
      </c>
      <c r="J32" s="95">
        <f>IF(H32=1,INDEX(tx_DrAmt,26),0)</f>
        <v/>
      </c>
      <c r="K32" s="58">
        <f>IF(H32=1,INDEX(tx_CrAcct,26)&amp;"","")</f>
        <v/>
      </c>
      <c r="L32" s="95">
        <f>IF(H32=1,INDEX(tx_CrAmt,26),0)</f>
        <v/>
      </c>
      <c r="M32" s="95">
        <f>IF(H32=1,INDEX(tx_TaxDr,26),0)</f>
        <v/>
      </c>
      <c r="N32" s="95">
        <f>IF(H32=1,INDEX(tx_TaxCr,26),0)</f>
        <v/>
      </c>
      <c r="O32" s="101">
        <f>IF(H32=1,IF(E32&lt;FYStart,0,IF(E32&gt;FYEnd,13,YEAR(E32)*12+MONTH(E32)-FYYM+1)),"")</f>
        <v/>
      </c>
      <c r="P32" s="101">
        <f>IF(H32=1,IF(IFERROR(INDEX(coa_CF,MATCH(I32,coa_Name,0)),"")="Cash",1,0),0)</f>
        <v/>
      </c>
      <c r="Q32" s="101">
        <f>IF(H32=1,IF(IFERROR(INDEX(coa_CF,MATCH(K32,coa_Name,0)),"")="Cash",1,0),0)</f>
        <v/>
      </c>
      <c r="R32" s="58">
        <f>IF((P32-Q32)=0,"",IFERROR(INDEX(coa_CF,MATCH(IF((P32-Q32)=1,K32,I32),coa_Name,0)),"Operating"))</f>
        <v/>
      </c>
      <c r="S32" s="95">
        <f>IF((P32-Q32)=1,L32,IF((P32-Q32)=-1,-J32,0))</f>
        <v/>
      </c>
      <c r="T32" s="95">
        <f>IF((P32-Q32)=1,N32,IF((P32-Q32)=-1,-M32,0))</f>
        <v/>
      </c>
      <c r="U32" s="101">
        <f>IF(AND(H32=1,LedAcct&lt;&gt;""),IF(AND(E32&gt;=LedFrom,E32&lt;=LedTo,OR(I32=LedAcct,K32=LedAcct,AND(LedAcct=acctTax,M32+N32&lt;&gt;0))),E32*10000+B32,""),"")</f>
        <v/>
      </c>
    </row>
    <row r="33">
      <c r="B33" s="101" t="n">
        <v>27</v>
      </c>
      <c r="C33" s="58" t="inlineStr">
        <is>
          <t>Transaction</t>
        </is>
      </c>
      <c r="D33" s="58">
        <f>IF(H33=1,INDEX(tx_ID,27)&amp;"","")</f>
        <v/>
      </c>
      <c r="E33" s="94">
        <f>IF(H33=1,INDEX(tx_Date,27),"")</f>
        <v/>
      </c>
      <c r="F33" s="58">
        <f>IF(H33=1,INDEX(tx_Desc,27)&amp;"","")</f>
        <v/>
      </c>
      <c r="G33" s="58">
        <f>IF(H33=1,IF(INDEX(tx_Cust,27)&amp;""&lt;&gt;"",INDEX(tx_Cust,27)&amp;"",INDEX(tx_Vend,27)&amp;""),"")</f>
        <v/>
      </c>
      <c r="H33" s="101">
        <f>IFERROR(N(INDEX(tx_Posted,27)),0)</f>
        <v/>
      </c>
      <c r="I33" s="58">
        <f>IF(H33=1,INDEX(tx_DrAcct,27)&amp;"","")</f>
        <v/>
      </c>
      <c r="J33" s="95">
        <f>IF(H33=1,INDEX(tx_DrAmt,27),0)</f>
        <v/>
      </c>
      <c r="K33" s="58">
        <f>IF(H33=1,INDEX(tx_CrAcct,27)&amp;"","")</f>
        <v/>
      </c>
      <c r="L33" s="95">
        <f>IF(H33=1,INDEX(tx_CrAmt,27),0)</f>
        <v/>
      </c>
      <c r="M33" s="95">
        <f>IF(H33=1,INDEX(tx_TaxDr,27),0)</f>
        <v/>
      </c>
      <c r="N33" s="95">
        <f>IF(H33=1,INDEX(tx_TaxCr,27),0)</f>
        <v/>
      </c>
      <c r="O33" s="101">
        <f>IF(H33=1,IF(E33&lt;FYStart,0,IF(E33&gt;FYEnd,13,YEAR(E33)*12+MONTH(E33)-FYYM+1)),"")</f>
        <v/>
      </c>
      <c r="P33" s="101">
        <f>IF(H33=1,IF(IFERROR(INDEX(coa_CF,MATCH(I33,coa_Name,0)),"")="Cash",1,0),0)</f>
        <v/>
      </c>
      <c r="Q33" s="101">
        <f>IF(H33=1,IF(IFERROR(INDEX(coa_CF,MATCH(K33,coa_Name,0)),"")="Cash",1,0),0)</f>
        <v/>
      </c>
      <c r="R33" s="58">
        <f>IF((P33-Q33)=0,"",IFERROR(INDEX(coa_CF,MATCH(IF((P33-Q33)=1,K33,I33),coa_Name,0)),"Operating"))</f>
        <v/>
      </c>
      <c r="S33" s="95">
        <f>IF((P33-Q33)=1,L33,IF((P33-Q33)=-1,-J33,0))</f>
        <v/>
      </c>
      <c r="T33" s="95">
        <f>IF((P33-Q33)=1,N33,IF((P33-Q33)=-1,-M33,0))</f>
        <v/>
      </c>
      <c r="U33" s="101">
        <f>IF(AND(H33=1,LedAcct&lt;&gt;""),IF(AND(E33&gt;=LedFrom,E33&lt;=LedTo,OR(I33=LedAcct,K33=LedAcct,AND(LedAcct=acctTax,M33+N33&lt;&gt;0))),E33*10000+B33,""),"")</f>
        <v/>
      </c>
    </row>
    <row r="34">
      <c r="B34" s="101" t="n">
        <v>28</v>
      </c>
      <c r="C34" s="58" t="inlineStr">
        <is>
          <t>Transaction</t>
        </is>
      </c>
      <c r="D34" s="58">
        <f>IF(H34=1,INDEX(tx_ID,28)&amp;"","")</f>
        <v/>
      </c>
      <c r="E34" s="94">
        <f>IF(H34=1,INDEX(tx_Date,28),"")</f>
        <v/>
      </c>
      <c r="F34" s="58">
        <f>IF(H34=1,INDEX(tx_Desc,28)&amp;"","")</f>
        <v/>
      </c>
      <c r="G34" s="58">
        <f>IF(H34=1,IF(INDEX(tx_Cust,28)&amp;""&lt;&gt;"",INDEX(tx_Cust,28)&amp;"",INDEX(tx_Vend,28)&amp;""),"")</f>
        <v/>
      </c>
      <c r="H34" s="101">
        <f>IFERROR(N(INDEX(tx_Posted,28)),0)</f>
        <v/>
      </c>
      <c r="I34" s="58">
        <f>IF(H34=1,INDEX(tx_DrAcct,28)&amp;"","")</f>
        <v/>
      </c>
      <c r="J34" s="95">
        <f>IF(H34=1,INDEX(tx_DrAmt,28),0)</f>
        <v/>
      </c>
      <c r="K34" s="58">
        <f>IF(H34=1,INDEX(tx_CrAcct,28)&amp;"","")</f>
        <v/>
      </c>
      <c r="L34" s="95">
        <f>IF(H34=1,INDEX(tx_CrAmt,28),0)</f>
        <v/>
      </c>
      <c r="M34" s="95">
        <f>IF(H34=1,INDEX(tx_TaxDr,28),0)</f>
        <v/>
      </c>
      <c r="N34" s="95">
        <f>IF(H34=1,INDEX(tx_TaxCr,28),0)</f>
        <v/>
      </c>
      <c r="O34" s="101">
        <f>IF(H34=1,IF(E34&lt;FYStart,0,IF(E34&gt;FYEnd,13,YEAR(E34)*12+MONTH(E34)-FYYM+1)),"")</f>
        <v/>
      </c>
      <c r="P34" s="101">
        <f>IF(H34=1,IF(IFERROR(INDEX(coa_CF,MATCH(I34,coa_Name,0)),"")="Cash",1,0),0)</f>
        <v/>
      </c>
      <c r="Q34" s="101">
        <f>IF(H34=1,IF(IFERROR(INDEX(coa_CF,MATCH(K34,coa_Name,0)),"")="Cash",1,0),0)</f>
        <v/>
      </c>
      <c r="R34" s="58">
        <f>IF((P34-Q34)=0,"",IFERROR(INDEX(coa_CF,MATCH(IF((P34-Q34)=1,K34,I34),coa_Name,0)),"Operating"))</f>
        <v/>
      </c>
      <c r="S34" s="95">
        <f>IF((P34-Q34)=1,L34,IF((P34-Q34)=-1,-J34,0))</f>
        <v/>
      </c>
      <c r="T34" s="95">
        <f>IF((P34-Q34)=1,N34,IF((P34-Q34)=-1,-M34,0))</f>
        <v/>
      </c>
      <c r="U34" s="101">
        <f>IF(AND(H34=1,LedAcct&lt;&gt;""),IF(AND(E34&gt;=LedFrom,E34&lt;=LedTo,OR(I34=LedAcct,K34=LedAcct,AND(LedAcct=acctTax,M34+N34&lt;&gt;0))),E34*10000+B34,""),"")</f>
        <v/>
      </c>
    </row>
    <row r="35">
      <c r="B35" s="101" t="n">
        <v>29</v>
      </c>
      <c r="C35" s="58" t="inlineStr">
        <is>
          <t>Transaction</t>
        </is>
      </c>
      <c r="D35" s="58">
        <f>IF(H35=1,INDEX(tx_ID,29)&amp;"","")</f>
        <v/>
      </c>
      <c r="E35" s="94">
        <f>IF(H35=1,INDEX(tx_Date,29),"")</f>
        <v/>
      </c>
      <c r="F35" s="58">
        <f>IF(H35=1,INDEX(tx_Desc,29)&amp;"","")</f>
        <v/>
      </c>
      <c r="G35" s="58">
        <f>IF(H35=1,IF(INDEX(tx_Cust,29)&amp;""&lt;&gt;"",INDEX(tx_Cust,29)&amp;"",INDEX(tx_Vend,29)&amp;""),"")</f>
        <v/>
      </c>
      <c r="H35" s="101">
        <f>IFERROR(N(INDEX(tx_Posted,29)),0)</f>
        <v/>
      </c>
      <c r="I35" s="58">
        <f>IF(H35=1,INDEX(tx_DrAcct,29)&amp;"","")</f>
        <v/>
      </c>
      <c r="J35" s="95">
        <f>IF(H35=1,INDEX(tx_DrAmt,29),0)</f>
        <v/>
      </c>
      <c r="K35" s="58">
        <f>IF(H35=1,INDEX(tx_CrAcct,29)&amp;"","")</f>
        <v/>
      </c>
      <c r="L35" s="95">
        <f>IF(H35=1,INDEX(tx_CrAmt,29),0)</f>
        <v/>
      </c>
      <c r="M35" s="95">
        <f>IF(H35=1,INDEX(tx_TaxDr,29),0)</f>
        <v/>
      </c>
      <c r="N35" s="95">
        <f>IF(H35=1,INDEX(tx_TaxCr,29),0)</f>
        <v/>
      </c>
      <c r="O35" s="101">
        <f>IF(H35=1,IF(E35&lt;FYStart,0,IF(E35&gt;FYEnd,13,YEAR(E35)*12+MONTH(E35)-FYYM+1)),"")</f>
        <v/>
      </c>
      <c r="P35" s="101">
        <f>IF(H35=1,IF(IFERROR(INDEX(coa_CF,MATCH(I35,coa_Name,0)),"")="Cash",1,0),0)</f>
        <v/>
      </c>
      <c r="Q35" s="101">
        <f>IF(H35=1,IF(IFERROR(INDEX(coa_CF,MATCH(K35,coa_Name,0)),"")="Cash",1,0),0)</f>
        <v/>
      </c>
      <c r="R35" s="58">
        <f>IF((P35-Q35)=0,"",IFERROR(INDEX(coa_CF,MATCH(IF((P35-Q35)=1,K35,I35),coa_Name,0)),"Operating"))</f>
        <v/>
      </c>
      <c r="S35" s="95">
        <f>IF((P35-Q35)=1,L35,IF((P35-Q35)=-1,-J35,0))</f>
        <v/>
      </c>
      <c r="T35" s="95">
        <f>IF((P35-Q35)=1,N35,IF((P35-Q35)=-1,-M35,0))</f>
        <v/>
      </c>
      <c r="U35" s="101">
        <f>IF(AND(H35=1,LedAcct&lt;&gt;""),IF(AND(E35&gt;=LedFrom,E35&lt;=LedTo,OR(I35=LedAcct,K35=LedAcct,AND(LedAcct=acctTax,M35+N35&lt;&gt;0))),E35*10000+B35,""),"")</f>
        <v/>
      </c>
    </row>
    <row r="36">
      <c r="B36" s="101" t="n">
        <v>30</v>
      </c>
      <c r="C36" s="58" t="inlineStr">
        <is>
          <t>Transaction</t>
        </is>
      </c>
      <c r="D36" s="58">
        <f>IF(H36=1,INDEX(tx_ID,30)&amp;"","")</f>
        <v/>
      </c>
      <c r="E36" s="94">
        <f>IF(H36=1,INDEX(tx_Date,30),"")</f>
        <v/>
      </c>
      <c r="F36" s="58">
        <f>IF(H36=1,INDEX(tx_Desc,30)&amp;"","")</f>
        <v/>
      </c>
      <c r="G36" s="58">
        <f>IF(H36=1,IF(INDEX(tx_Cust,30)&amp;""&lt;&gt;"",INDEX(tx_Cust,30)&amp;"",INDEX(tx_Vend,30)&amp;""),"")</f>
        <v/>
      </c>
      <c r="H36" s="101">
        <f>IFERROR(N(INDEX(tx_Posted,30)),0)</f>
        <v/>
      </c>
      <c r="I36" s="58">
        <f>IF(H36=1,INDEX(tx_DrAcct,30)&amp;"","")</f>
        <v/>
      </c>
      <c r="J36" s="95">
        <f>IF(H36=1,INDEX(tx_DrAmt,30),0)</f>
        <v/>
      </c>
      <c r="K36" s="58">
        <f>IF(H36=1,INDEX(tx_CrAcct,30)&amp;"","")</f>
        <v/>
      </c>
      <c r="L36" s="95">
        <f>IF(H36=1,INDEX(tx_CrAmt,30),0)</f>
        <v/>
      </c>
      <c r="M36" s="95">
        <f>IF(H36=1,INDEX(tx_TaxDr,30),0)</f>
        <v/>
      </c>
      <c r="N36" s="95">
        <f>IF(H36=1,INDEX(tx_TaxCr,30),0)</f>
        <v/>
      </c>
      <c r="O36" s="101">
        <f>IF(H36=1,IF(E36&lt;FYStart,0,IF(E36&gt;FYEnd,13,YEAR(E36)*12+MONTH(E36)-FYYM+1)),"")</f>
        <v/>
      </c>
      <c r="P36" s="101">
        <f>IF(H36=1,IF(IFERROR(INDEX(coa_CF,MATCH(I36,coa_Name,0)),"")="Cash",1,0),0)</f>
        <v/>
      </c>
      <c r="Q36" s="101">
        <f>IF(H36=1,IF(IFERROR(INDEX(coa_CF,MATCH(K36,coa_Name,0)),"")="Cash",1,0),0)</f>
        <v/>
      </c>
      <c r="R36" s="58">
        <f>IF((P36-Q36)=0,"",IFERROR(INDEX(coa_CF,MATCH(IF((P36-Q36)=1,K36,I36),coa_Name,0)),"Operating"))</f>
        <v/>
      </c>
      <c r="S36" s="95">
        <f>IF((P36-Q36)=1,L36,IF((P36-Q36)=-1,-J36,0))</f>
        <v/>
      </c>
      <c r="T36" s="95">
        <f>IF((P36-Q36)=1,N36,IF((P36-Q36)=-1,-M36,0))</f>
        <v/>
      </c>
      <c r="U36" s="101">
        <f>IF(AND(H36=1,LedAcct&lt;&gt;""),IF(AND(E36&gt;=LedFrom,E36&lt;=LedTo,OR(I36=LedAcct,K36=LedAcct,AND(LedAcct=acctTax,M36+N36&lt;&gt;0))),E36*10000+B36,""),"")</f>
        <v/>
      </c>
    </row>
    <row r="37">
      <c r="B37" s="101" t="n">
        <v>31</v>
      </c>
      <c r="C37" s="58" t="inlineStr">
        <is>
          <t>Transaction</t>
        </is>
      </c>
      <c r="D37" s="58">
        <f>IF(H37=1,INDEX(tx_ID,31)&amp;"","")</f>
        <v/>
      </c>
      <c r="E37" s="94">
        <f>IF(H37=1,INDEX(tx_Date,31),"")</f>
        <v/>
      </c>
      <c r="F37" s="58">
        <f>IF(H37=1,INDEX(tx_Desc,31)&amp;"","")</f>
        <v/>
      </c>
      <c r="G37" s="58">
        <f>IF(H37=1,IF(INDEX(tx_Cust,31)&amp;""&lt;&gt;"",INDEX(tx_Cust,31)&amp;"",INDEX(tx_Vend,31)&amp;""),"")</f>
        <v/>
      </c>
      <c r="H37" s="101">
        <f>IFERROR(N(INDEX(tx_Posted,31)),0)</f>
        <v/>
      </c>
      <c r="I37" s="58">
        <f>IF(H37=1,INDEX(tx_DrAcct,31)&amp;"","")</f>
        <v/>
      </c>
      <c r="J37" s="95">
        <f>IF(H37=1,INDEX(tx_DrAmt,31),0)</f>
        <v/>
      </c>
      <c r="K37" s="58">
        <f>IF(H37=1,INDEX(tx_CrAcct,31)&amp;"","")</f>
        <v/>
      </c>
      <c r="L37" s="95">
        <f>IF(H37=1,INDEX(tx_CrAmt,31),0)</f>
        <v/>
      </c>
      <c r="M37" s="95">
        <f>IF(H37=1,INDEX(tx_TaxDr,31),0)</f>
        <v/>
      </c>
      <c r="N37" s="95">
        <f>IF(H37=1,INDEX(tx_TaxCr,31),0)</f>
        <v/>
      </c>
      <c r="O37" s="101">
        <f>IF(H37=1,IF(E37&lt;FYStart,0,IF(E37&gt;FYEnd,13,YEAR(E37)*12+MONTH(E37)-FYYM+1)),"")</f>
        <v/>
      </c>
      <c r="P37" s="101">
        <f>IF(H37=1,IF(IFERROR(INDEX(coa_CF,MATCH(I37,coa_Name,0)),"")="Cash",1,0),0)</f>
        <v/>
      </c>
      <c r="Q37" s="101">
        <f>IF(H37=1,IF(IFERROR(INDEX(coa_CF,MATCH(K37,coa_Name,0)),"")="Cash",1,0),0)</f>
        <v/>
      </c>
      <c r="R37" s="58">
        <f>IF((P37-Q37)=0,"",IFERROR(INDEX(coa_CF,MATCH(IF((P37-Q37)=1,K37,I37),coa_Name,0)),"Operating"))</f>
        <v/>
      </c>
      <c r="S37" s="95">
        <f>IF((P37-Q37)=1,L37,IF((P37-Q37)=-1,-J37,0))</f>
        <v/>
      </c>
      <c r="T37" s="95">
        <f>IF((P37-Q37)=1,N37,IF((P37-Q37)=-1,-M37,0))</f>
        <v/>
      </c>
      <c r="U37" s="101">
        <f>IF(AND(H37=1,LedAcct&lt;&gt;""),IF(AND(E37&gt;=LedFrom,E37&lt;=LedTo,OR(I37=LedAcct,K37=LedAcct,AND(LedAcct=acctTax,M37+N37&lt;&gt;0))),E37*10000+B37,""),"")</f>
        <v/>
      </c>
    </row>
    <row r="38">
      <c r="B38" s="101" t="n">
        <v>32</v>
      </c>
      <c r="C38" s="58" t="inlineStr">
        <is>
          <t>Transaction</t>
        </is>
      </c>
      <c r="D38" s="58">
        <f>IF(H38=1,INDEX(tx_ID,32)&amp;"","")</f>
        <v/>
      </c>
      <c r="E38" s="94">
        <f>IF(H38=1,INDEX(tx_Date,32),"")</f>
        <v/>
      </c>
      <c r="F38" s="58">
        <f>IF(H38=1,INDEX(tx_Desc,32)&amp;"","")</f>
        <v/>
      </c>
      <c r="G38" s="58">
        <f>IF(H38=1,IF(INDEX(tx_Cust,32)&amp;""&lt;&gt;"",INDEX(tx_Cust,32)&amp;"",INDEX(tx_Vend,32)&amp;""),"")</f>
        <v/>
      </c>
      <c r="H38" s="101">
        <f>IFERROR(N(INDEX(tx_Posted,32)),0)</f>
        <v/>
      </c>
      <c r="I38" s="58">
        <f>IF(H38=1,INDEX(tx_DrAcct,32)&amp;"","")</f>
        <v/>
      </c>
      <c r="J38" s="95">
        <f>IF(H38=1,INDEX(tx_DrAmt,32),0)</f>
        <v/>
      </c>
      <c r="K38" s="58">
        <f>IF(H38=1,INDEX(tx_CrAcct,32)&amp;"","")</f>
        <v/>
      </c>
      <c r="L38" s="95">
        <f>IF(H38=1,INDEX(tx_CrAmt,32),0)</f>
        <v/>
      </c>
      <c r="M38" s="95">
        <f>IF(H38=1,INDEX(tx_TaxDr,32),0)</f>
        <v/>
      </c>
      <c r="N38" s="95">
        <f>IF(H38=1,INDEX(tx_TaxCr,32),0)</f>
        <v/>
      </c>
      <c r="O38" s="101">
        <f>IF(H38=1,IF(E38&lt;FYStart,0,IF(E38&gt;FYEnd,13,YEAR(E38)*12+MONTH(E38)-FYYM+1)),"")</f>
        <v/>
      </c>
      <c r="P38" s="101">
        <f>IF(H38=1,IF(IFERROR(INDEX(coa_CF,MATCH(I38,coa_Name,0)),"")="Cash",1,0),0)</f>
        <v/>
      </c>
      <c r="Q38" s="101">
        <f>IF(H38=1,IF(IFERROR(INDEX(coa_CF,MATCH(K38,coa_Name,0)),"")="Cash",1,0),0)</f>
        <v/>
      </c>
      <c r="R38" s="58">
        <f>IF((P38-Q38)=0,"",IFERROR(INDEX(coa_CF,MATCH(IF((P38-Q38)=1,K38,I38),coa_Name,0)),"Operating"))</f>
        <v/>
      </c>
      <c r="S38" s="95">
        <f>IF((P38-Q38)=1,L38,IF((P38-Q38)=-1,-J38,0))</f>
        <v/>
      </c>
      <c r="T38" s="95">
        <f>IF((P38-Q38)=1,N38,IF((P38-Q38)=-1,-M38,0))</f>
        <v/>
      </c>
      <c r="U38" s="101">
        <f>IF(AND(H38=1,LedAcct&lt;&gt;""),IF(AND(E38&gt;=LedFrom,E38&lt;=LedTo,OR(I38=LedAcct,K38=LedAcct,AND(LedAcct=acctTax,M38+N38&lt;&gt;0))),E38*10000+B38,""),"")</f>
        <v/>
      </c>
    </row>
    <row r="39">
      <c r="B39" s="101" t="n">
        <v>33</v>
      </c>
      <c r="C39" s="58" t="inlineStr">
        <is>
          <t>Transaction</t>
        </is>
      </c>
      <c r="D39" s="58">
        <f>IF(H39=1,INDEX(tx_ID,33)&amp;"","")</f>
        <v/>
      </c>
      <c r="E39" s="94">
        <f>IF(H39=1,INDEX(tx_Date,33),"")</f>
        <v/>
      </c>
      <c r="F39" s="58">
        <f>IF(H39=1,INDEX(tx_Desc,33)&amp;"","")</f>
        <v/>
      </c>
      <c r="G39" s="58">
        <f>IF(H39=1,IF(INDEX(tx_Cust,33)&amp;""&lt;&gt;"",INDEX(tx_Cust,33)&amp;"",INDEX(tx_Vend,33)&amp;""),"")</f>
        <v/>
      </c>
      <c r="H39" s="101">
        <f>IFERROR(N(INDEX(tx_Posted,33)),0)</f>
        <v/>
      </c>
      <c r="I39" s="58">
        <f>IF(H39=1,INDEX(tx_DrAcct,33)&amp;"","")</f>
        <v/>
      </c>
      <c r="J39" s="95">
        <f>IF(H39=1,INDEX(tx_DrAmt,33),0)</f>
        <v/>
      </c>
      <c r="K39" s="58">
        <f>IF(H39=1,INDEX(tx_CrAcct,33)&amp;"","")</f>
        <v/>
      </c>
      <c r="L39" s="95">
        <f>IF(H39=1,INDEX(tx_CrAmt,33),0)</f>
        <v/>
      </c>
      <c r="M39" s="95">
        <f>IF(H39=1,INDEX(tx_TaxDr,33),0)</f>
        <v/>
      </c>
      <c r="N39" s="95">
        <f>IF(H39=1,INDEX(tx_TaxCr,33),0)</f>
        <v/>
      </c>
      <c r="O39" s="101">
        <f>IF(H39=1,IF(E39&lt;FYStart,0,IF(E39&gt;FYEnd,13,YEAR(E39)*12+MONTH(E39)-FYYM+1)),"")</f>
        <v/>
      </c>
      <c r="P39" s="101">
        <f>IF(H39=1,IF(IFERROR(INDEX(coa_CF,MATCH(I39,coa_Name,0)),"")="Cash",1,0),0)</f>
        <v/>
      </c>
      <c r="Q39" s="101">
        <f>IF(H39=1,IF(IFERROR(INDEX(coa_CF,MATCH(K39,coa_Name,0)),"")="Cash",1,0),0)</f>
        <v/>
      </c>
      <c r="R39" s="58">
        <f>IF((P39-Q39)=0,"",IFERROR(INDEX(coa_CF,MATCH(IF((P39-Q39)=1,K39,I39),coa_Name,0)),"Operating"))</f>
        <v/>
      </c>
      <c r="S39" s="95">
        <f>IF((P39-Q39)=1,L39,IF((P39-Q39)=-1,-J39,0))</f>
        <v/>
      </c>
      <c r="T39" s="95">
        <f>IF((P39-Q39)=1,N39,IF((P39-Q39)=-1,-M39,0))</f>
        <v/>
      </c>
      <c r="U39" s="101">
        <f>IF(AND(H39=1,LedAcct&lt;&gt;""),IF(AND(E39&gt;=LedFrom,E39&lt;=LedTo,OR(I39=LedAcct,K39=LedAcct,AND(LedAcct=acctTax,M39+N39&lt;&gt;0))),E39*10000+B39,""),"")</f>
        <v/>
      </c>
    </row>
    <row r="40">
      <c r="B40" s="101" t="n">
        <v>34</v>
      </c>
      <c r="C40" s="58" t="inlineStr">
        <is>
          <t>Transaction</t>
        </is>
      </c>
      <c r="D40" s="58">
        <f>IF(H40=1,INDEX(tx_ID,34)&amp;"","")</f>
        <v/>
      </c>
      <c r="E40" s="94">
        <f>IF(H40=1,INDEX(tx_Date,34),"")</f>
        <v/>
      </c>
      <c r="F40" s="58">
        <f>IF(H40=1,INDEX(tx_Desc,34)&amp;"","")</f>
        <v/>
      </c>
      <c r="G40" s="58">
        <f>IF(H40=1,IF(INDEX(tx_Cust,34)&amp;""&lt;&gt;"",INDEX(tx_Cust,34)&amp;"",INDEX(tx_Vend,34)&amp;""),"")</f>
        <v/>
      </c>
      <c r="H40" s="101">
        <f>IFERROR(N(INDEX(tx_Posted,34)),0)</f>
        <v/>
      </c>
      <c r="I40" s="58">
        <f>IF(H40=1,INDEX(tx_DrAcct,34)&amp;"","")</f>
        <v/>
      </c>
      <c r="J40" s="95">
        <f>IF(H40=1,INDEX(tx_DrAmt,34),0)</f>
        <v/>
      </c>
      <c r="K40" s="58">
        <f>IF(H40=1,INDEX(tx_CrAcct,34)&amp;"","")</f>
        <v/>
      </c>
      <c r="L40" s="95">
        <f>IF(H40=1,INDEX(tx_CrAmt,34),0)</f>
        <v/>
      </c>
      <c r="M40" s="95">
        <f>IF(H40=1,INDEX(tx_TaxDr,34),0)</f>
        <v/>
      </c>
      <c r="N40" s="95">
        <f>IF(H40=1,INDEX(tx_TaxCr,34),0)</f>
        <v/>
      </c>
      <c r="O40" s="101">
        <f>IF(H40=1,IF(E40&lt;FYStart,0,IF(E40&gt;FYEnd,13,YEAR(E40)*12+MONTH(E40)-FYYM+1)),"")</f>
        <v/>
      </c>
      <c r="P40" s="101">
        <f>IF(H40=1,IF(IFERROR(INDEX(coa_CF,MATCH(I40,coa_Name,0)),"")="Cash",1,0),0)</f>
        <v/>
      </c>
      <c r="Q40" s="101">
        <f>IF(H40=1,IF(IFERROR(INDEX(coa_CF,MATCH(K40,coa_Name,0)),"")="Cash",1,0),0)</f>
        <v/>
      </c>
      <c r="R40" s="58">
        <f>IF((P40-Q40)=0,"",IFERROR(INDEX(coa_CF,MATCH(IF((P40-Q40)=1,K40,I40),coa_Name,0)),"Operating"))</f>
        <v/>
      </c>
      <c r="S40" s="95">
        <f>IF((P40-Q40)=1,L40,IF((P40-Q40)=-1,-J40,0))</f>
        <v/>
      </c>
      <c r="T40" s="95">
        <f>IF((P40-Q40)=1,N40,IF((P40-Q40)=-1,-M40,0))</f>
        <v/>
      </c>
      <c r="U40" s="101">
        <f>IF(AND(H40=1,LedAcct&lt;&gt;""),IF(AND(E40&gt;=LedFrom,E40&lt;=LedTo,OR(I40=LedAcct,K40=LedAcct,AND(LedAcct=acctTax,M40+N40&lt;&gt;0))),E40*10000+B40,""),"")</f>
        <v/>
      </c>
    </row>
    <row r="41">
      <c r="B41" s="101" t="n">
        <v>35</v>
      </c>
      <c r="C41" s="58" t="inlineStr">
        <is>
          <t>Transaction</t>
        </is>
      </c>
      <c r="D41" s="58">
        <f>IF(H41=1,INDEX(tx_ID,35)&amp;"","")</f>
        <v/>
      </c>
      <c r="E41" s="94">
        <f>IF(H41=1,INDEX(tx_Date,35),"")</f>
        <v/>
      </c>
      <c r="F41" s="58">
        <f>IF(H41=1,INDEX(tx_Desc,35)&amp;"","")</f>
        <v/>
      </c>
      <c r="G41" s="58">
        <f>IF(H41=1,IF(INDEX(tx_Cust,35)&amp;""&lt;&gt;"",INDEX(tx_Cust,35)&amp;"",INDEX(tx_Vend,35)&amp;""),"")</f>
        <v/>
      </c>
      <c r="H41" s="101">
        <f>IFERROR(N(INDEX(tx_Posted,35)),0)</f>
        <v/>
      </c>
      <c r="I41" s="58">
        <f>IF(H41=1,INDEX(tx_DrAcct,35)&amp;"","")</f>
        <v/>
      </c>
      <c r="J41" s="95">
        <f>IF(H41=1,INDEX(tx_DrAmt,35),0)</f>
        <v/>
      </c>
      <c r="K41" s="58">
        <f>IF(H41=1,INDEX(tx_CrAcct,35)&amp;"","")</f>
        <v/>
      </c>
      <c r="L41" s="95">
        <f>IF(H41=1,INDEX(tx_CrAmt,35),0)</f>
        <v/>
      </c>
      <c r="M41" s="95">
        <f>IF(H41=1,INDEX(tx_TaxDr,35),0)</f>
        <v/>
      </c>
      <c r="N41" s="95">
        <f>IF(H41=1,INDEX(tx_TaxCr,35),0)</f>
        <v/>
      </c>
      <c r="O41" s="101">
        <f>IF(H41=1,IF(E41&lt;FYStart,0,IF(E41&gt;FYEnd,13,YEAR(E41)*12+MONTH(E41)-FYYM+1)),"")</f>
        <v/>
      </c>
      <c r="P41" s="101">
        <f>IF(H41=1,IF(IFERROR(INDEX(coa_CF,MATCH(I41,coa_Name,0)),"")="Cash",1,0),0)</f>
        <v/>
      </c>
      <c r="Q41" s="101">
        <f>IF(H41=1,IF(IFERROR(INDEX(coa_CF,MATCH(K41,coa_Name,0)),"")="Cash",1,0),0)</f>
        <v/>
      </c>
      <c r="R41" s="58">
        <f>IF((P41-Q41)=0,"",IFERROR(INDEX(coa_CF,MATCH(IF((P41-Q41)=1,K41,I41),coa_Name,0)),"Operating"))</f>
        <v/>
      </c>
      <c r="S41" s="95">
        <f>IF((P41-Q41)=1,L41,IF((P41-Q41)=-1,-J41,0))</f>
        <v/>
      </c>
      <c r="T41" s="95">
        <f>IF((P41-Q41)=1,N41,IF((P41-Q41)=-1,-M41,0))</f>
        <v/>
      </c>
      <c r="U41" s="101">
        <f>IF(AND(H41=1,LedAcct&lt;&gt;""),IF(AND(E41&gt;=LedFrom,E41&lt;=LedTo,OR(I41=LedAcct,K41=LedAcct,AND(LedAcct=acctTax,M41+N41&lt;&gt;0))),E41*10000+B41,""),"")</f>
        <v/>
      </c>
    </row>
    <row r="42">
      <c r="B42" s="101" t="n">
        <v>36</v>
      </c>
      <c r="C42" s="58" t="inlineStr">
        <is>
          <t>Transaction</t>
        </is>
      </c>
      <c r="D42" s="58">
        <f>IF(H42=1,INDEX(tx_ID,36)&amp;"","")</f>
        <v/>
      </c>
      <c r="E42" s="94">
        <f>IF(H42=1,INDEX(tx_Date,36),"")</f>
        <v/>
      </c>
      <c r="F42" s="58">
        <f>IF(H42=1,INDEX(tx_Desc,36)&amp;"","")</f>
        <v/>
      </c>
      <c r="G42" s="58">
        <f>IF(H42=1,IF(INDEX(tx_Cust,36)&amp;""&lt;&gt;"",INDEX(tx_Cust,36)&amp;"",INDEX(tx_Vend,36)&amp;""),"")</f>
        <v/>
      </c>
      <c r="H42" s="101">
        <f>IFERROR(N(INDEX(tx_Posted,36)),0)</f>
        <v/>
      </c>
      <c r="I42" s="58">
        <f>IF(H42=1,INDEX(tx_DrAcct,36)&amp;"","")</f>
        <v/>
      </c>
      <c r="J42" s="95">
        <f>IF(H42=1,INDEX(tx_DrAmt,36),0)</f>
        <v/>
      </c>
      <c r="K42" s="58">
        <f>IF(H42=1,INDEX(tx_CrAcct,36)&amp;"","")</f>
        <v/>
      </c>
      <c r="L42" s="95">
        <f>IF(H42=1,INDEX(tx_CrAmt,36),0)</f>
        <v/>
      </c>
      <c r="M42" s="95">
        <f>IF(H42=1,INDEX(tx_TaxDr,36),0)</f>
        <v/>
      </c>
      <c r="N42" s="95">
        <f>IF(H42=1,INDEX(tx_TaxCr,36),0)</f>
        <v/>
      </c>
      <c r="O42" s="101">
        <f>IF(H42=1,IF(E42&lt;FYStart,0,IF(E42&gt;FYEnd,13,YEAR(E42)*12+MONTH(E42)-FYYM+1)),"")</f>
        <v/>
      </c>
      <c r="P42" s="101">
        <f>IF(H42=1,IF(IFERROR(INDEX(coa_CF,MATCH(I42,coa_Name,0)),"")="Cash",1,0),0)</f>
        <v/>
      </c>
      <c r="Q42" s="101">
        <f>IF(H42=1,IF(IFERROR(INDEX(coa_CF,MATCH(K42,coa_Name,0)),"")="Cash",1,0),0)</f>
        <v/>
      </c>
      <c r="R42" s="58">
        <f>IF((P42-Q42)=0,"",IFERROR(INDEX(coa_CF,MATCH(IF((P42-Q42)=1,K42,I42),coa_Name,0)),"Operating"))</f>
        <v/>
      </c>
      <c r="S42" s="95">
        <f>IF((P42-Q42)=1,L42,IF((P42-Q42)=-1,-J42,0))</f>
        <v/>
      </c>
      <c r="T42" s="95">
        <f>IF((P42-Q42)=1,N42,IF((P42-Q42)=-1,-M42,0))</f>
        <v/>
      </c>
      <c r="U42" s="101">
        <f>IF(AND(H42=1,LedAcct&lt;&gt;""),IF(AND(E42&gt;=LedFrom,E42&lt;=LedTo,OR(I42=LedAcct,K42=LedAcct,AND(LedAcct=acctTax,M42+N42&lt;&gt;0))),E42*10000+B42,""),"")</f>
        <v/>
      </c>
    </row>
    <row r="43">
      <c r="B43" s="101" t="n">
        <v>37</v>
      </c>
      <c r="C43" s="58" t="inlineStr">
        <is>
          <t>Transaction</t>
        </is>
      </c>
      <c r="D43" s="58">
        <f>IF(H43=1,INDEX(tx_ID,37)&amp;"","")</f>
        <v/>
      </c>
      <c r="E43" s="94">
        <f>IF(H43=1,INDEX(tx_Date,37),"")</f>
        <v/>
      </c>
      <c r="F43" s="58">
        <f>IF(H43=1,INDEX(tx_Desc,37)&amp;"","")</f>
        <v/>
      </c>
      <c r="G43" s="58">
        <f>IF(H43=1,IF(INDEX(tx_Cust,37)&amp;""&lt;&gt;"",INDEX(tx_Cust,37)&amp;"",INDEX(tx_Vend,37)&amp;""),"")</f>
        <v/>
      </c>
      <c r="H43" s="101">
        <f>IFERROR(N(INDEX(tx_Posted,37)),0)</f>
        <v/>
      </c>
      <c r="I43" s="58">
        <f>IF(H43=1,INDEX(tx_DrAcct,37)&amp;"","")</f>
        <v/>
      </c>
      <c r="J43" s="95">
        <f>IF(H43=1,INDEX(tx_DrAmt,37),0)</f>
        <v/>
      </c>
      <c r="K43" s="58">
        <f>IF(H43=1,INDEX(tx_CrAcct,37)&amp;"","")</f>
        <v/>
      </c>
      <c r="L43" s="95">
        <f>IF(H43=1,INDEX(tx_CrAmt,37),0)</f>
        <v/>
      </c>
      <c r="M43" s="95">
        <f>IF(H43=1,INDEX(tx_TaxDr,37),0)</f>
        <v/>
      </c>
      <c r="N43" s="95">
        <f>IF(H43=1,INDEX(tx_TaxCr,37),0)</f>
        <v/>
      </c>
      <c r="O43" s="101">
        <f>IF(H43=1,IF(E43&lt;FYStart,0,IF(E43&gt;FYEnd,13,YEAR(E43)*12+MONTH(E43)-FYYM+1)),"")</f>
        <v/>
      </c>
      <c r="P43" s="101">
        <f>IF(H43=1,IF(IFERROR(INDEX(coa_CF,MATCH(I43,coa_Name,0)),"")="Cash",1,0),0)</f>
        <v/>
      </c>
      <c r="Q43" s="101">
        <f>IF(H43=1,IF(IFERROR(INDEX(coa_CF,MATCH(K43,coa_Name,0)),"")="Cash",1,0),0)</f>
        <v/>
      </c>
      <c r="R43" s="58">
        <f>IF((P43-Q43)=0,"",IFERROR(INDEX(coa_CF,MATCH(IF((P43-Q43)=1,K43,I43),coa_Name,0)),"Operating"))</f>
        <v/>
      </c>
      <c r="S43" s="95">
        <f>IF((P43-Q43)=1,L43,IF((P43-Q43)=-1,-J43,0))</f>
        <v/>
      </c>
      <c r="T43" s="95">
        <f>IF((P43-Q43)=1,N43,IF((P43-Q43)=-1,-M43,0))</f>
        <v/>
      </c>
      <c r="U43" s="101">
        <f>IF(AND(H43=1,LedAcct&lt;&gt;""),IF(AND(E43&gt;=LedFrom,E43&lt;=LedTo,OR(I43=LedAcct,K43=LedAcct,AND(LedAcct=acctTax,M43+N43&lt;&gt;0))),E43*10000+B43,""),"")</f>
        <v/>
      </c>
    </row>
    <row r="44">
      <c r="B44" s="101" t="n">
        <v>38</v>
      </c>
      <c r="C44" s="58" t="inlineStr">
        <is>
          <t>Transaction</t>
        </is>
      </c>
      <c r="D44" s="58">
        <f>IF(H44=1,INDEX(tx_ID,38)&amp;"","")</f>
        <v/>
      </c>
      <c r="E44" s="94">
        <f>IF(H44=1,INDEX(tx_Date,38),"")</f>
        <v/>
      </c>
      <c r="F44" s="58">
        <f>IF(H44=1,INDEX(tx_Desc,38)&amp;"","")</f>
        <v/>
      </c>
      <c r="G44" s="58">
        <f>IF(H44=1,IF(INDEX(tx_Cust,38)&amp;""&lt;&gt;"",INDEX(tx_Cust,38)&amp;"",INDEX(tx_Vend,38)&amp;""),"")</f>
        <v/>
      </c>
      <c r="H44" s="101">
        <f>IFERROR(N(INDEX(tx_Posted,38)),0)</f>
        <v/>
      </c>
      <c r="I44" s="58">
        <f>IF(H44=1,INDEX(tx_DrAcct,38)&amp;"","")</f>
        <v/>
      </c>
      <c r="J44" s="95">
        <f>IF(H44=1,INDEX(tx_DrAmt,38),0)</f>
        <v/>
      </c>
      <c r="K44" s="58">
        <f>IF(H44=1,INDEX(tx_CrAcct,38)&amp;"","")</f>
        <v/>
      </c>
      <c r="L44" s="95">
        <f>IF(H44=1,INDEX(tx_CrAmt,38),0)</f>
        <v/>
      </c>
      <c r="M44" s="95">
        <f>IF(H44=1,INDEX(tx_TaxDr,38),0)</f>
        <v/>
      </c>
      <c r="N44" s="95">
        <f>IF(H44=1,INDEX(tx_TaxCr,38),0)</f>
        <v/>
      </c>
      <c r="O44" s="101">
        <f>IF(H44=1,IF(E44&lt;FYStart,0,IF(E44&gt;FYEnd,13,YEAR(E44)*12+MONTH(E44)-FYYM+1)),"")</f>
        <v/>
      </c>
      <c r="P44" s="101">
        <f>IF(H44=1,IF(IFERROR(INDEX(coa_CF,MATCH(I44,coa_Name,0)),"")="Cash",1,0),0)</f>
        <v/>
      </c>
      <c r="Q44" s="101">
        <f>IF(H44=1,IF(IFERROR(INDEX(coa_CF,MATCH(K44,coa_Name,0)),"")="Cash",1,0),0)</f>
        <v/>
      </c>
      <c r="R44" s="58">
        <f>IF((P44-Q44)=0,"",IFERROR(INDEX(coa_CF,MATCH(IF((P44-Q44)=1,K44,I44),coa_Name,0)),"Operating"))</f>
        <v/>
      </c>
      <c r="S44" s="95">
        <f>IF((P44-Q44)=1,L44,IF((P44-Q44)=-1,-J44,0))</f>
        <v/>
      </c>
      <c r="T44" s="95">
        <f>IF((P44-Q44)=1,N44,IF((P44-Q44)=-1,-M44,0))</f>
        <v/>
      </c>
      <c r="U44" s="101">
        <f>IF(AND(H44=1,LedAcct&lt;&gt;""),IF(AND(E44&gt;=LedFrom,E44&lt;=LedTo,OR(I44=LedAcct,K44=LedAcct,AND(LedAcct=acctTax,M44+N44&lt;&gt;0))),E44*10000+B44,""),"")</f>
        <v/>
      </c>
    </row>
    <row r="45">
      <c r="B45" s="101" t="n">
        <v>39</v>
      </c>
      <c r="C45" s="58" t="inlineStr">
        <is>
          <t>Transaction</t>
        </is>
      </c>
      <c r="D45" s="58">
        <f>IF(H45=1,INDEX(tx_ID,39)&amp;"","")</f>
        <v/>
      </c>
      <c r="E45" s="94">
        <f>IF(H45=1,INDEX(tx_Date,39),"")</f>
        <v/>
      </c>
      <c r="F45" s="58">
        <f>IF(H45=1,INDEX(tx_Desc,39)&amp;"","")</f>
        <v/>
      </c>
      <c r="G45" s="58">
        <f>IF(H45=1,IF(INDEX(tx_Cust,39)&amp;""&lt;&gt;"",INDEX(tx_Cust,39)&amp;"",INDEX(tx_Vend,39)&amp;""),"")</f>
        <v/>
      </c>
      <c r="H45" s="101">
        <f>IFERROR(N(INDEX(tx_Posted,39)),0)</f>
        <v/>
      </c>
      <c r="I45" s="58">
        <f>IF(H45=1,INDEX(tx_DrAcct,39)&amp;"","")</f>
        <v/>
      </c>
      <c r="J45" s="95">
        <f>IF(H45=1,INDEX(tx_DrAmt,39),0)</f>
        <v/>
      </c>
      <c r="K45" s="58">
        <f>IF(H45=1,INDEX(tx_CrAcct,39)&amp;"","")</f>
        <v/>
      </c>
      <c r="L45" s="95">
        <f>IF(H45=1,INDEX(tx_CrAmt,39),0)</f>
        <v/>
      </c>
      <c r="M45" s="95">
        <f>IF(H45=1,INDEX(tx_TaxDr,39),0)</f>
        <v/>
      </c>
      <c r="N45" s="95">
        <f>IF(H45=1,INDEX(tx_TaxCr,39),0)</f>
        <v/>
      </c>
      <c r="O45" s="101">
        <f>IF(H45=1,IF(E45&lt;FYStart,0,IF(E45&gt;FYEnd,13,YEAR(E45)*12+MONTH(E45)-FYYM+1)),"")</f>
        <v/>
      </c>
      <c r="P45" s="101">
        <f>IF(H45=1,IF(IFERROR(INDEX(coa_CF,MATCH(I45,coa_Name,0)),"")="Cash",1,0),0)</f>
        <v/>
      </c>
      <c r="Q45" s="101">
        <f>IF(H45=1,IF(IFERROR(INDEX(coa_CF,MATCH(K45,coa_Name,0)),"")="Cash",1,0),0)</f>
        <v/>
      </c>
      <c r="R45" s="58">
        <f>IF((P45-Q45)=0,"",IFERROR(INDEX(coa_CF,MATCH(IF((P45-Q45)=1,K45,I45),coa_Name,0)),"Operating"))</f>
        <v/>
      </c>
      <c r="S45" s="95">
        <f>IF((P45-Q45)=1,L45,IF((P45-Q45)=-1,-J45,0))</f>
        <v/>
      </c>
      <c r="T45" s="95">
        <f>IF((P45-Q45)=1,N45,IF((P45-Q45)=-1,-M45,0))</f>
        <v/>
      </c>
      <c r="U45" s="101">
        <f>IF(AND(H45=1,LedAcct&lt;&gt;""),IF(AND(E45&gt;=LedFrom,E45&lt;=LedTo,OR(I45=LedAcct,K45=LedAcct,AND(LedAcct=acctTax,M45+N45&lt;&gt;0))),E45*10000+B45,""),"")</f>
        <v/>
      </c>
    </row>
    <row r="46">
      <c r="B46" s="101" t="n">
        <v>40</v>
      </c>
      <c r="C46" s="58" t="inlineStr">
        <is>
          <t>Transaction</t>
        </is>
      </c>
      <c r="D46" s="58">
        <f>IF(H46=1,INDEX(tx_ID,40)&amp;"","")</f>
        <v/>
      </c>
      <c r="E46" s="94">
        <f>IF(H46=1,INDEX(tx_Date,40),"")</f>
        <v/>
      </c>
      <c r="F46" s="58">
        <f>IF(H46=1,INDEX(tx_Desc,40)&amp;"","")</f>
        <v/>
      </c>
      <c r="G46" s="58">
        <f>IF(H46=1,IF(INDEX(tx_Cust,40)&amp;""&lt;&gt;"",INDEX(tx_Cust,40)&amp;"",INDEX(tx_Vend,40)&amp;""),"")</f>
        <v/>
      </c>
      <c r="H46" s="101">
        <f>IFERROR(N(INDEX(tx_Posted,40)),0)</f>
        <v/>
      </c>
      <c r="I46" s="58">
        <f>IF(H46=1,INDEX(tx_DrAcct,40)&amp;"","")</f>
        <v/>
      </c>
      <c r="J46" s="95">
        <f>IF(H46=1,INDEX(tx_DrAmt,40),0)</f>
        <v/>
      </c>
      <c r="K46" s="58">
        <f>IF(H46=1,INDEX(tx_CrAcct,40)&amp;"","")</f>
        <v/>
      </c>
      <c r="L46" s="95">
        <f>IF(H46=1,INDEX(tx_CrAmt,40),0)</f>
        <v/>
      </c>
      <c r="M46" s="95">
        <f>IF(H46=1,INDEX(tx_TaxDr,40),0)</f>
        <v/>
      </c>
      <c r="N46" s="95">
        <f>IF(H46=1,INDEX(tx_TaxCr,40),0)</f>
        <v/>
      </c>
      <c r="O46" s="101">
        <f>IF(H46=1,IF(E46&lt;FYStart,0,IF(E46&gt;FYEnd,13,YEAR(E46)*12+MONTH(E46)-FYYM+1)),"")</f>
        <v/>
      </c>
      <c r="P46" s="101">
        <f>IF(H46=1,IF(IFERROR(INDEX(coa_CF,MATCH(I46,coa_Name,0)),"")="Cash",1,0),0)</f>
        <v/>
      </c>
      <c r="Q46" s="101">
        <f>IF(H46=1,IF(IFERROR(INDEX(coa_CF,MATCH(K46,coa_Name,0)),"")="Cash",1,0),0)</f>
        <v/>
      </c>
      <c r="R46" s="58">
        <f>IF((P46-Q46)=0,"",IFERROR(INDEX(coa_CF,MATCH(IF((P46-Q46)=1,K46,I46),coa_Name,0)),"Operating"))</f>
        <v/>
      </c>
      <c r="S46" s="95">
        <f>IF((P46-Q46)=1,L46,IF((P46-Q46)=-1,-J46,0))</f>
        <v/>
      </c>
      <c r="T46" s="95">
        <f>IF((P46-Q46)=1,N46,IF((P46-Q46)=-1,-M46,0))</f>
        <v/>
      </c>
      <c r="U46" s="101">
        <f>IF(AND(H46=1,LedAcct&lt;&gt;""),IF(AND(E46&gt;=LedFrom,E46&lt;=LedTo,OR(I46=LedAcct,K46=LedAcct,AND(LedAcct=acctTax,M46+N46&lt;&gt;0))),E46*10000+B46,""),"")</f>
        <v/>
      </c>
    </row>
    <row r="47">
      <c r="B47" s="101" t="n">
        <v>41</v>
      </c>
      <c r="C47" s="58" t="inlineStr">
        <is>
          <t>Transaction</t>
        </is>
      </c>
      <c r="D47" s="58">
        <f>IF(H47=1,INDEX(tx_ID,41)&amp;"","")</f>
        <v/>
      </c>
      <c r="E47" s="94">
        <f>IF(H47=1,INDEX(tx_Date,41),"")</f>
        <v/>
      </c>
      <c r="F47" s="58">
        <f>IF(H47=1,INDEX(tx_Desc,41)&amp;"","")</f>
        <v/>
      </c>
      <c r="G47" s="58">
        <f>IF(H47=1,IF(INDEX(tx_Cust,41)&amp;""&lt;&gt;"",INDEX(tx_Cust,41)&amp;"",INDEX(tx_Vend,41)&amp;""),"")</f>
        <v/>
      </c>
      <c r="H47" s="101">
        <f>IFERROR(N(INDEX(tx_Posted,41)),0)</f>
        <v/>
      </c>
      <c r="I47" s="58">
        <f>IF(H47=1,INDEX(tx_DrAcct,41)&amp;"","")</f>
        <v/>
      </c>
      <c r="J47" s="95">
        <f>IF(H47=1,INDEX(tx_DrAmt,41),0)</f>
        <v/>
      </c>
      <c r="K47" s="58">
        <f>IF(H47=1,INDEX(tx_CrAcct,41)&amp;"","")</f>
        <v/>
      </c>
      <c r="L47" s="95">
        <f>IF(H47=1,INDEX(tx_CrAmt,41),0)</f>
        <v/>
      </c>
      <c r="M47" s="95">
        <f>IF(H47=1,INDEX(tx_TaxDr,41),0)</f>
        <v/>
      </c>
      <c r="N47" s="95">
        <f>IF(H47=1,INDEX(tx_TaxCr,41),0)</f>
        <v/>
      </c>
      <c r="O47" s="101">
        <f>IF(H47=1,IF(E47&lt;FYStart,0,IF(E47&gt;FYEnd,13,YEAR(E47)*12+MONTH(E47)-FYYM+1)),"")</f>
        <v/>
      </c>
      <c r="P47" s="101">
        <f>IF(H47=1,IF(IFERROR(INDEX(coa_CF,MATCH(I47,coa_Name,0)),"")="Cash",1,0),0)</f>
        <v/>
      </c>
      <c r="Q47" s="101">
        <f>IF(H47=1,IF(IFERROR(INDEX(coa_CF,MATCH(K47,coa_Name,0)),"")="Cash",1,0),0)</f>
        <v/>
      </c>
      <c r="R47" s="58">
        <f>IF((P47-Q47)=0,"",IFERROR(INDEX(coa_CF,MATCH(IF((P47-Q47)=1,K47,I47),coa_Name,0)),"Operating"))</f>
        <v/>
      </c>
      <c r="S47" s="95">
        <f>IF((P47-Q47)=1,L47,IF((P47-Q47)=-1,-J47,0))</f>
        <v/>
      </c>
      <c r="T47" s="95">
        <f>IF((P47-Q47)=1,N47,IF((P47-Q47)=-1,-M47,0))</f>
        <v/>
      </c>
      <c r="U47" s="101">
        <f>IF(AND(H47=1,LedAcct&lt;&gt;""),IF(AND(E47&gt;=LedFrom,E47&lt;=LedTo,OR(I47=LedAcct,K47=LedAcct,AND(LedAcct=acctTax,M47+N47&lt;&gt;0))),E47*10000+B47,""),"")</f>
        <v/>
      </c>
    </row>
    <row r="48">
      <c r="B48" s="101" t="n">
        <v>42</v>
      </c>
      <c r="C48" s="58" t="inlineStr">
        <is>
          <t>Transaction</t>
        </is>
      </c>
      <c r="D48" s="58">
        <f>IF(H48=1,INDEX(tx_ID,42)&amp;"","")</f>
        <v/>
      </c>
      <c r="E48" s="94">
        <f>IF(H48=1,INDEX(tx_Date,42),"")</f>
        <v/>
      </c>
      <c r="F48" s="58">
        <f>IF(H48=1,INDEX(tx_Desc,42)&amp;"","")</f>
        <v/>
      </c>
      <c r="G48" s="58">
        <f>IF(H48=1,IF(INDEX(tx_Cust,42)&amp;""&lt;&gt;"",INDEX(tx_Cust,42)&amp;"",INDEX(tx_Vend,42)&amp;""),"")</f>
        <v/>
      </c>
      <c r="H48" s="101">
        <f>IFERROR(N(INDEX(tx_Posted,42)),0)</f>
        <v/>
      </c>
      <c r="I48" s="58">
        <f>IF(H48=1,INDEX(tx_DrAcct,42)&amp;"","")</f>
        <v/>
      </c>
      <c r="J48" s="95">
        <f>IF(H48=1,INDEX(tx_DrAmt,42),0)</f>
        <v/>
      </c>
      <c r="K48" s="58">
        <f>IF(H48=1,INDEX(tx_CrAcct,42)&amp;"","")</f>
        <v/>
      </c>
      <c r="L48" s="95">
        <f>IF(H48=1,INDEX(tx_CrAmt,42),0)</f>
        <v/>
      </c>
      <c r="M48" s="95">
        <f>IF(H48=1,INDEX(tx_TaxDr,42),0)</f>
        <v/>
      </c>
      <c r="N48" s="95">
        <f>IF(H48=1,INDEX(tx_TaxCr,42),0)</f>
        <v/>
      </c>
      <c r="O48" s="101">
        <f>IF(H48=1,IF(E48&lt;FYStart,0,IF(E48&gt;FYEnd,13,YEAR(E48)*12+MONTH(E48)-FYYM+1)),"")</f>
        <v/>
      </c>
      <c r="P48" s="101">
        <f>IF(H48=1,IF(IFERROR(INDEX(coa_CF,MATCH(I48,coa_Name,0)),"")="Cash",1,0),0)</f>
        <v/>
      </c>
      <c r="Q48" s="101">
        <f>IF(H48=1,IF(IFERROR(INDEX(coa_CF,MATCH(K48,coa_Name,0)),"")="Cash",1,0),0)</f>
        <v/>
      </c>
      <c r="R48" s="58">
        <f>IF((P48-Q48)=0,"",IFERROR(INDEX(coa_CF,MATCH(IF((P48-Q48)=1,K48,I48),coa_Name,0)),"Operating"))</f>
        <v/>
      </c>
      <c r="S48" s="95">
        <f>IF((P48-Q48)=1,L48,IF((P48-Q48)=-1,-J48,0))</f>
        <v/>
      </c>
      <c r="T48" s="95">
        <f>IF((P48-Q48)=1,N48,IF((P48-Q48)=-1,-M48,0))</f>
        <v/>
      </c>
      <c r="U48" s="101">
        <f>IF(AND(H48=1,LedAcct&lt;&gt;""),IF(AND(E48&gt;=LedFrom,E48&lt;=LedTo,OR(I48=LedAcct,K48=LedAcct,AND(LedAcct=acctTax,M48+N48&lt;&gt;0))),E48*10000+B48,""),"")</f>
        <v/>
      </c>
    </row>
    <row r="49">
      <c r="B49" s="101" t="n">
        <v>43</v>
      </c>
      <c r="C49" s="58" t="inlineStr">
        <is>
          <t>Transaction</t>
        </is>
      </c>
      <c r="D49" s="58">
        <f>IF(H49=1,INDEX(tx_ID,43)&amp;"","")</f>
        <v/>
      </c>
      <c r="E49" s="94">
        <f>IF(H49=1,INDEX(tx_Date,43),"")</f>
        <v/>
      </c>
      <c r="F49" s="58">
        <f>IF(H49=1,INDEX(tx_Desc,43)&amp;"","")</f>
        <v/>
      </c>
      <c r="G49" s="58">
        <f>IF(H49=1,IF(INDEX(tx_Cust,43)&amp;""&lt;&gt;"",INDEX(tx_Cust,43)&amp;"",INDEX(tx_Vend,43)&amp;""),"")</f>
        <v/>
      </c>
      <c r="H49" s="101">
        <f>IFERROR(N(INDEX(tx_Posted,43)),0)</f>
        <v/>
      </c>
      <c r="I49" s="58">
        <f>IF(H49=1,INDEX(tx_DrAcct,43)&amp;"","")</f>
        <v/>
      </c>
      <c r="J49" s="95">
        <f>IF(H49=1,INDEX(tx_DrAmt,43),0)</f>
        <v/>
      </c>
      <c r="K49" s="58">
        <f>IF(H49=1,INDEX(tx_CrAcct,43)&amp;"","")</f>
        <v/>
      </c>
      <c r="L49" s="95">
        <f>IF(H49=1,INDEX(tx_CrAmt,43),0)</f>
        <v/>
      </c>
      <c r="M49" s="95">
        <f>IF(H49=1,INDEX(tx_TaxDr,43),0)</f>
        <v/>
      </c>
      <c r="N49" s="95">
        <f>IF(H49=1,INDEX(tx_TaxCr,43),0)</f>
        <v/>
      </c>
      <c r="O49" s="101">
        <f>IF(H49=1,IF(E49&lt;FYStart,0,IF(E49&gt;FYEnd,13,YEAR(E49)*12+MONTH(E49)-FYYM+1)),"")</f>
        <v/>
      </c>
      <c r="P49" s="101">
        <f>IF(H49=1,IF(IFERROR(INDEX(coa_CF,MATCH(I49,coa_Name,0)),"")="Cash",1,0),0)</f>
        <v/>
      </c>
      <c r="Q49" s="101">
        <f>IF(H49=1,IF(IFERROR(INDEX(coa_CF,MATCH(K49,coa_Name,0)),"")="Cash",1,0),0)</f>
        <v/>
      </c>
      <c r="R49" s="58">
        <f>IF((P49-Q49)=0,"",IFERROR(INDEX(coa_CF,MATCH(IF((P49-Q49)=1,K49,I49),coa_Name,0)),"Operating"))</f>
        <v/>
      </c>
      <c r="S49" s="95">
        <f>IF((P49-Q49)=1,L49,IF((P49-Q49)=-1,-J49,0))</f>
        <v/>
      </c>
      <c r="T49" s="95">
        <f>IF((P49-Q49)=1,N49,IF((P49-Q49)=-1,-M49,0))</f>
        <v/>
      </c>
      <c r="U49" s="101">
        <f>IF(AND(H49=1,LedAcct&lt;&gt;""),IF(AND(E49&gt;=LedFrom,E49&lt;=LedTo,OR(I49=LedAcct,K49=LedAcct,AND(LedAcct=acctTax,M49+N49&lt;&gt;0))),E49*10000+B49,""),"")</f>
        <v/>
      </c>
    </row>
    <row r="50">
      <c r="B50" s="101" t="n">
        <v>44</v>
      </c>
      <c r="C50" s="58" t="inlineStr">
        <is>
          <t>Transaction</t>
        </is>
      </c>
      <c r="D50" s="58">
        <f>IF(H50=1,INDEX(tx_ID,44)&amp;"","")</f>
        <v/>
      </c>
      <c r="E50" s="94">
        <f>IF(H50=1,INDEX(tx_Date,44),"")</f>
        <v/>
      </c>
      <c r="F50" s="58">
        <f>IF(H50=1,INDEX(tx_Desc,44)&amp;"","")</f>
        <v/>
      </c>
      <c r="G50" s="58">
        <f>IF(H50=1,IF(INDEX(tx_Cust,44)&amp;""&lt;&gt;"",INDEX(tx_Cust,44)&amp;"",INDEX(tx_Vend,44)&amp;""),"")</f>
        <v/>
      </c>
      <c r="H50" s="101">
        <f>IFERROR(N(INDEX(tx_Posted,44)),0)</f>
        <v/>
      </c>
      <c r="I50" s="58">
        <f>IF(H50=1,INDEX(tx_DrAcct,44)&amp;"","")</f>
        <v/>
      </c>
      <c r="J50" s="95">
        <f>IF(H50=1,INDEX(tx_DrAmt,44),0)</f>
        <v/>
      </c>
      <c r="K50" s="58">
        <f>IF(H50=1,INDEX(tx_CrAcct,44)&amp;"","")</f>
        <v/>
      </c>
      <c r="L50" s="95">
        <f>IF(H50=1,INDEX(tx_CrAmt,44),0)</f>
        <v/>
      </c>
      <c r="M50" s="95">
        <f>IF(H50=1,INDEX(tx_TaxDr,44),0)</f>
        <v/>
      </c>
      <c r="N50" s="95">
        <f>IF(H50=1,INDEX(tx_TaxCr,44),0)</f>
        <v/>
      </c>
      <c r="O50" s="101">
        <f>IF(H50=1,IF(E50&lt;FYStart,0,IF(E50&gt;FYEnd,13,YEAR(E50)*12+MONTH(E50)-FYYM+1)),"")</f>
        <v/>
      </c>
      <c r="P50" s="101">
        <f>IF(H50=1,IF(IFERROR(INDEX(coa_CF,MATCH(I50,coa_Name,0)),"")="Cash",1,0),0)</f>
        <v/>
      </c>
      <c r="Q50" s="101">
        <f>IF(H50=1,IF(IFERROR(INDEX(coa_CF,MATCH(K50,coa_Name,0)),"")="Cash",1,0),0)</f>
        <v/>
      </c>
      <c r="R50" s="58">
        <f>IF((P50-Q50)=0,"",IFERROR(INDEX(coa_CF,MATCH(IF((P50-Q50)=1,K50,I50),coa_Name,0)),"Operating"))</f>
        <v/>
      </c>
      <c r="S50" s="95">
        <f>IF((P50-Q50)=1,L50,IF((P50-Q50)=-1,-J50,0))</f>
        <v/>
      </c>
      <c r="T50" s="95">
        <f>IF((P50-Q50)=1,N50,IF((P50-Q50)=-1,-M50,0))</f>
        <v/>
      </c>
      <c r="U50" s="101">
        <f>IF(AND(H50=1,LedAcct&lt;&gt;""),IF(AND(E50&gt;=LedFrom,E50&lt;=LedTo,OR(I50=LedAcct,K50=LedAcct,AND(LedAcct=acctTax,M50+N50&lt;&gt;0))),E50*10000+B50,""),"")</f>
        <v/>
      </c>
    </row>
    <row r="51">
      <c r="B51" s="101" t="n">
        <v>45</v>
      </c>
      <c r="C51" s="58" t="inlineStr">
        <is>
          <t>Transaction</t>
        </is>
      </c>
      <c r="D51" s="58">
        <f>IF(H51=1,INDEX(tx_ID,45)&amp;"","")</f>
        <v/>
      </c>
      <c r="E51" s="94">
        <f>IF(H51=1,INDEX(tx_Date,45),"")</f>
        <v/>
      </c>
      <c r="F51" s="58">
        <f>IF(H51=1,INDEX(tx_Desc,45)&amp;"","")</f>
        <v/>
      </c>
      <c r="G51" s="58">
        <f>IF(H51=1,IF(INDEX(tx_Cust,45)&amp;""&lt;&gt;"",INDEX(tx_Cust,45)&amp;"",INDEX(tx_Vend,45)&amp;""),"")</f>
        <v/>
      </c>
      <c r="H51" s="101">
        <f>IFERROR(N(INDEX(tx_Posted,45)),0)</f>
        <v/>
      </c>
      <c r="I51" s="58">
        <f>IF(H51=1,INDEX(tx_DrAcct,45)&amp;"","")</f>
        <v/>
      </c>
      <c r="J51" s="95">
        <f>IF(H51=1,INDEX(tx_DrAmt,45),0)</f>
        <v/>
      </c>
      <c r="K51" s="58">
        <f>IF(H51=1,INDEX(tx_CrAcct,45)&amp;"","")</f>
        <v/>
      </c>
      <c r="L51" s="95">
        <f>IF(H51=1,INDEX(tx_CrAmt,45),0)</f>
        <v/>
      </c>
      <c r="M51" s="95">
        <f>IF(H51=1,INDEX(tx_TaxDr,45),0)</f>
        <v/>
      </c>
      <c r="N51" s="95">
        <f>IF(H51=1,INDEX(tx_TaxCr,45),0)</f>
        <v/>
      </c>
      <c r="O51" s="101">
        <f>IF(H51=1,IF(E51&lt;FYStart,0,IF(E51&gt;FYEnd,13,YEAR(E51)*12+MONTH(E51)-FYYM+1)),"")</f>
        <v/>
      </c>
      <c r="P51" s="101">
        <f>IF(H51=1,IF(IFERROR(INDEX(coa_CF,MATCH(I51,coa_Name,0)),"")="Cash",1,0),0)</f>
        <v/>
      </c>
      <c r="Q51" s="101">
        <f>IF(H51=1,IF(IFERROR(INDEX(coa_CF,MATCH(K51,coa_Name,0)),"")="Cash",1,0),0)</f>
        <v/>
      </c>
      <c r="R51" s="58">
        <f>IF((P51-Q51)=0,"",IFERROR(INDEX(coa_CF,MATCH(IF((P51-Q51)=1,K51,I51),coa_Name,0)),"Operating"))</f>
        <v/>
      </c>
      <c r="S51" s="95">
        <f>IF((P51-Q51)=1,L51,IF((P51-Q51)=-1,-J51,0))</f>
        <v/>
      </c>
      <c r="T51" s="95">
        <f>IF((P51-Q51)=1,N51,IF((P51-Q51)=-1,-M51,0))</f>
        <v/>
      </c>
      <c r="U51" s="101">
        <f>IF(AND(H51=1,LedAcct&lt;&gt;""),IF(AND(E51&gt;=LedFrom,E51&lt;=LedTo,OR(I51=LedAcct,K51=LedAcct,AND(LedAcct=acctTax,M51+N51&lt;&gt;0))),E51*10000+B51,""),"")</f>
        <v/>
      </c>
    </row>
    <row r="52">
      <c r="B52" s="101" t="n">
        <v>46</v>
      </c>
      <c r="C52" s="58" t="inlineStr">
        <is>
          <t>Transaction</t>
        </is>
      </c>
      <c r="D52" s="58">
        <f>IF(H52=1,INDEX(tx_ID,46)&amp;"","")</f>
        <v/>
      </c>
      <c r="E52" s="94">
        <f>IF(H52=1,INDEX(tx_Date,46),"")</f>
        <v/>
      </c>
      <c r="F52" s="58">
        <f>IF(H52=1,INDEX(tx_Desc,46)&amp;"","")</f>
        <v/>
      </c>
      <c r="G52" s="58">
        <f>IF(H52=1,IF(INDEX(tx_Cust,46)&amp;""&lt;&gt;"",INDEX(tx_Cust,46)&amp;"",INDEX(tx_Vend,46)&amp;""),"")</f>
        <v/>
      </c>
      <c r="H52" s="101">
        <f>IFERROR(N(INDEX(tx_Posted,46)),0)</f>
        <v/>
      </c>
      <c r="I52" s="58">
        <f>IF(H52=1,INDEX(tx_DrAcct,46)&amp;"","")</f>
        <v/>
      </c>
      <c r="J52" s="95">
        <f>IF(H52=1,INDEX(tx_DrAmt,46),0)</f>
        <v/>
      </c>
      <c r="K52" s="58">
        <f>IF(H52=1,INDEX(tx_CrAcct,46)&amp;"","")</f>
        <v/>
      </c>
      <c r="L52" s="95">
        <f>IF(H52=1,INDEX(tx_CrAmt,46),0)</f>
        <v/>
      </c>
      <c r="M52" s="95">
        <f>IF(H52=1,INDEX(tx_TaxDr,46),0)</f>
        <v/>
      </c>
      <c r="N52" s="95">
        <f>IF(H52=1,INDEX(tx_TaxCr,46),0)</f>
        <v/>
      </c>
      <c r="O52" s="101">
        <f>IF(H52=1,IF(E52&lt;FYStart,0,IF(E52&gt;FYEnd,13,YEAR(E52)*12+MONTH(E52)-FYYM+1)),"")</f>
        <v/>
      </c>
      <c r="P52" s="101">
        <f>IF(H52=1,IF(IFERROR(INDEX(coa_CF,MATCH(I52,coa_Name,0)),"")="Cash",1,0),0)</f>
        <v/>
      </c>
      <c r="Q52" s="101">
        <f>IF(H52=1,IF(IFERROR(INDEX(coa_CF,MATCH(K52,coa_Name,0)),"")="Cash",1,0),0)</f>
        <v/>
      </c>
      <c r="R52" s="58">
        <f>IF((P52-Q52)=0,"",IFERROR(INDEX(coa_CF,MATCH(IF((P52-Q52)=1,K52,I52),coa_Name,0)),"Operating"))</f>
        <v/>
      </c>
      <c r="S52" s="95">
        <f>IF((P52-Q52)=1,L52,IF((P52-Q52)=-1,-J52,0))</f>
        <v/>
      </c>
      <c r="T52" s="95">
        <f>IF((P52-Q52)=1,N52,IF((P52-Q52)=-1,-M52,0))</f>
        <v/>
      </c>
      <c r="U52" s="101">
        <f>IF(AND(H52=1,LedAcct&lt;&gt;""),IF(AND(E52&gt;=LedFrom,E52&lt;=LedTo,OR(I52=LedAcct,K52=LedAcct,AND(LedAcct=acctTax,M52+N52&lt;&gt;0))),E52*10000+B52,""),"")</f>
        <v/>
      </c>
    </row>
    <row r="53">
      <c r="B53" s="101" t="n">
        <v>47</v>
      </c>
      <c r="C53" s="58" t="inlineStr">
        <is>
          <t>Transaction</t>
        </is>
      </c>
      <c r="D53" s="58">
        <f>IF(H53=1,INDEX(tx_ID,47)&amp;"","")</f>
        <v/>
      </c>
      <c r="E53" s="94">
        <f>IF(H53=1,INDEX(tx_Date,47),"")</f>
        <v/>
      </c>
      <c r="F53" s="58">
        <f>IF(H53=1,INDEX(tx_Desc,47)&amp;"","")</f>
        <v/>
      </c>
      <c r="G53" s="58">
        <f>IF(H53=1,IF(INDEX(tx_Cust,47)&amp;""&lt;&gt;"",INDEX(tx_Cust,47)&amp;"",INDEX(tx_Vend,47)&amp;""),"")</f>
        <v/>
      </c>
      <c r="H53" s="101">
        <f>IFERROR(N(INDEX(tx_Posted,47)),0)</f>
        <v/>
      </c>
      <c r="I53" s="58">
        <f>IF(H53=1,INDEX(tx_DrAcct,47)&amp;"","")</f>
        <v/>
      </c>
      <c r="J53" s="95">
        <f>IF(H53=1,INDEX(tx_DrAmt,47),0)</f>
        <v/>
      </c>
      <c r="K53" s="58">
        <f>IF(H53=1,INDEX(tx_CrAcct,47)&amp;"","")</f>
        <v/>
      </c>
      <c r="L53" s="95">
        <f>IF(H53=1,INDEX(tx_CrAmt,47),0)</f>
        <v/>
      </c>
      <c r="M53" s="95">
        <f>IF(H53=1,INDEX(tx_TaxDr,47),0)</f>
        <v/>
      </c>
      <c r="N53" s="95">
        <f>IF(H53=1,INDEX(tx_TaxCr,47),0)</f>
        <v/>
      </c>
      <c r="O53" s="101">
        <f>IF(H53=1,IF(E53&lt;FYStart,0,IF(E53&gt;FYEnd,13,YEAR(E53)*12+MONTH(E53)-FYYM+1)),"")</f>
        <v/>
      </c>
      <c r="P53" s="101">
        <f>IF(H53=1,IF(IFERROR(INDEX(coa_CF,MATCH(I53,coa_Name,0)),"")="Cash",1,0),0)</f>
        <v/>
      </c>
      <c r="Q53" s="101">
        <f>IF(H53=1,IF(IFERROR(INDEX(coa_CF,MATCH(K53,coa_Name,0)),"")="Cash",1,0),0)</f>
        <v/>
      </c>
      <c r="R53" s="58">
        <f>IF((P53-Q53)=0,"",IFERROR(INDEX(coa_CF,MATCH(IF((P53-Q53)=1,K53,I53),coa_Name,0)),"Operating"))</f>
        <v/>
      </c>
      <c r="S53" s="95">
        <f>IF((P53-Q53)=1,L53,IF((P53-Q53)=-1,-J53,0))</f>
        <v/>
      </c>
      <c r="T53" s="95">
        <f>IF((P53-Q53)=1,N53,IF((P53-Q53)=-1,-M53,0))</f>
        <v/>
      </c>
      <c r="U53" s="101">
        <f>IF(AND(H53=1,LedAcct&lt;&gt;""),IF(AND(E53&gt;=LedFrom,E53&lt;=LedTo,OR(I53=LedAcct,K53=LedAcct,AND(LedAcct=acctTax,M53+N53&lt;&gt;0))),E53*10000+B53,""),"")</f>
        <v/>
      </c>
    </row>
    <row r="54">
      <c r="B54" s="101" t="n">
        <v>48</v>
      </c>
      <c r="C54" s="58" t="inlineStr">
        <is>
          <t>Transaction</t>
        </is>
      </c>
      <c r="D54" s="58">
        <f>IF(H54=1,INDEX(tx_ID,48)&amp;"","")</f>
        <v/>
      </c>
      <c r="E54" s="94">
        <f>IF(H54=1,INDEX(tx_Date,48),"")</f>
        <v/>
      </c>
      <c r="F54" s="58">
        <f>IF(H54=1,INDEX(tx_Desc,48)&amp;"","")</f>
        <v/>
      </c>
      <c r="G54" s="58">
        <f>IF(H54=1,IF(INDEX(tx_Cust,48)&amp;""&lt;&gt;"",INDEX(tx_Cust,48)&amp;"",INDEX(tx_Vend,48)&amp;""),"")</f>
        <v/>
      </c>
      <c r="H54" s="101">
        <f>IFERROR(N(INDEX(tx_Posted,48)),0)</f>
        <v/>
      </c>
      <c r="I54" s="58">
        <f>IF(H54=1,INDEX(tx_DrAcct,48)&amp;"","")</f>
        <v/>
      </c>
      <c r="J54" s="95">
        <f>IF(H54=1,INDEX(tx_DrAmt,48),0)</f>
        <v/>
      </c>
      <c r="K54" s="58">
        <f>IF(H54=1,INDEX(tx_CrAcct,48)&amp;"","")</f>
        <v/>
      </c>
      <c r="L54" s="95">
        <f>IF(H54=1,INDEX(tx_CrAmt,48),0)</f>
        <v/>
      </c>
      <c r="M54" s="95">
        <f>IF(H54=1,INDEX(tx_TaxDr,48),0)</f>
        <v/>
      </c>
      <c r="N54" s="95">
        <f>IF(H54=1,INDEX(tx_TaxCr,48),0)</f>
        <v/>
      </c>
      <c r="O54" s="101">
        <f>IF(H54=1,IF(E54&lt;FYStart,0,IF(E54&gt;FYEnd,13,YEAR(E54)*12+MONTH(E54)-FYYM+1)),"")</f>
        <v/>
      </c>
      <c r="P54" s="101">
        <f>IF(H54=1,IF(IFERROR(INDEX(coa_CF,MATCH(I54,coa_Name,0)),"")="Cash",1,0),0)</f>
        <v/>
      </c>
      <c r="Q54" s="101">
        <f>IF(H54=1,IF(IFERROR(INDEX(coa_CF,MATCH(K54,coa_Name,0)),"")="Cash",1,0),0)</f>
        <v/>
      </c>
      <c r="R54" s="58">
        <f>IF((P54-Q54)=0,"",IFERROR(INDEX(coa_CF,MATCH(IF((P54-Q54)=1,K54,I54),coa_Name,0)),"Operating"))</f>
        <v/>
      </c>
      <c r="S54" s="95">
        <f>IF((P54-Q54)=1,L54,IF((P54-Q54)=-1,-J54,0))</f>
        <v/>
      </c>
      <c r="T54" s="95">
        <f>IF((P54-Q54)=1,N54,IF((P54-Q54)=-1,-M54,0))</f>
        <v/>
      </c>
      <c r="U54" s="101">
        <f>IF(AND(H54=1,LedAcct&lt;&gt;""),IF(AND(E54&gt;=LedFrom,E54&lt;=LedTo,OR(I54=LedAcct,K54=LedAcct,AND(LedAcct=acctTax,M54+N54&lt;&gt;0))),E54*10000+B54,""),"")</f>
        <v/>
      </c>
    </row>
    <row r="55">
      <c r="B55" s="101" t="n">
        <v>49</v>
      </c>
      <c r="C55" s="58" t="inlineStr">
        <is>
          <t>Transaction</t>
        </is>
      </c>
      <c r="D55" s="58">
        <f>IF(H55=1,INDEX(tx_ID,49)&amp;"","")</f>
        <v/>
      </c>
      <c r="E55" s="94">
        <f>IF(H55=1,INDEX(tx_Date,49),"")</f>
        <v/>
      </c>
      <c r="F55" s="58">
        <f>IF(H55=1,INDEX(tx_Desc,49)&amp;"","")</f>
        <v/>
      </c>
      <c r="G55" s="58">
        <f>IF(H55=1,IF(INDEX(tx_Cust,49)&amp;""&lt;&gt;"",INDEX(tx_Cust,49)&amp;"",INDEX(tx_Vend,49)&amp;""),"")</f>
        <v/>
      </c>
      <c r="H55" s="101">
        <f>IFERROR(N(INDEX(tx_Posted,49)),0)</f>
        <v/>
      </c>
      <c r="I55" s="58">
        <f>IF(H55=1,INDEX(tx_DrAcct,49)&amp;"","")</f>
        <v/>
      </c>
      <c r="J55" s="95">
        <f>IF(H55=1,INDEX(tx_DrAmt,49),0)</f>
        <v/>
      </c>
      <c r="K55" s="58">
        <f>IF(H55=1,INDEX(tx_CrAcct,49)&amp;"","")</f>
        <v/>
      </c>
      <c r="L55" s="95">
        <f>IF(H55=1,INDEX(tx_CrAmt,49),0)</f>
        <v/>
      </c>
      <c r="M55" s="95">
        <f>IF(H55=1,INDEX(tx_TaxDr,49),0)</f>
        <v/>
      </c>
      <c r="N55" s="95">
        <f>IF(H55=1,INDEX(tx_TaxCr,49),0)</f>
        <v/>
      </c>
      <c r="O55" s="101">
        <f>IF(H55=1,IF(E55&lt;FYStart,0,IF(E55&gt;FYEnd,13,YEAR(E55)*12+MONTH(E55)-FYYM+1)),"")</f>
        <v/>
      </c>
      <c r="P55" s="101">
        <f>IF(H55=1,IF(IFERROR(INDEX(coa_CF,MATCH(I55,coa_Name,0)),"")="Cash",1,0),0)</f>
        <v/>
      </c>
      <c r="Q55" s="101">
        <f>IF(H55=1,IF(IFERROR(INDEX(coa_CF,MATCH(K55,coa_Name,0)),"")="Cash",1,0),0)</f>
        <v/>
      </c>
      <c r="R55" s="58">
        <f>IF((P55-Q55)=0,"",IFERROR(INDEX(coa_CF,MATCH(IF((P55-Q55)=1,K55,I55),coa_Name,0)),"Operating"))</f>
        <v/>
      </c>
      <c r="S55" s="95">
        <f>IF((P55-Q55)=1,L55,IF((P55-Q55)=-1,-J55,0))</f>
        <v/>
      </c>
      <c r="T55" s="95">
        <f>IF((P55-Q55)=1,N55,IF((P55-Q55)=-1,-M55,0))</f>
        <v/>
      </c>
      <c r="U55" s="101">
        <f>IF(AND(H55=1,LedAcct&lt;&gt;""),IF(AND(E55&gt;=LedFrom,E55&lt;=LedTo,OR(I55=LedAcct,K55=LedAcct,AND(LedAcct=acctTax,M55+N55&lt;&gt;0))),E55*10000+B55,""),"")</f>
        <v/>
      </c>
    </row>
    <row r="56">
      <c r="B56" s="101" t="n">
        <v>50</v>
      </c>
      <c r="C56" s="58" t="inlineStr">
        <is>
          <t>Transaction</t>
        </is>
      </c>
      <c r="D56" s="58">
        <f>IF(H56=1,INDEX(tx_ID,50)&amp;"","")</f>
        <v/>
      </c>
      <c r="E56" s="94">
        <f>IF(H56=1,INDEX(tx_Date,50),"")</f>
        <v/>
      </c>
      <c r="F56" s="58">
        <f>IF(H56=1,INDEX(tx_Desc,50)&amp;"","")</f>
        <v/>
      </c>
      <c r="G56" s="58">
        <f>IF(H56=1,IF(INDEX(tx_Cust,50)&amp;""&lt;&gt;"",INDEX(tx_Cust,50)&amp;"",INDEX(tx_Vend,50)&amp;""),"")</f>
        <v/>
      </c>
      <c r="H56" s="101">
        <f>IFERROR(N(INDEX(tx_Posted,50)),0)</f>
        <v/>
      </c>
      <c r="I56" s="58">
        <f>IF(H56=1,INDEX(tx_DrAcct,50)&amp;"","")</f>
        <v/>
      </c>
      <c r="J56" s="95">
        <f>IF(H56=1,INDEX(tx_DrAmt,50),0)</f>
        <v/>
      </c>
      <c r="K56" s="58">
        <f>IF(H56=1,INDEX(tx_CrAcct,50)&amp;"","")</f>
        <v/>
      </c>
      <c r="L56" s="95">
        <f>IF(H56=1,INDEX(tx_CrAmt,50),0)</f>
        <v/>
      </c>
      <c r="M56" s="95">
        <f>IF(H56=1,INDEX(tx_TaxDr,50),0)</f>
        <v/>
      </c>
      <c r="N56" s="95">
        <f>IF(H56=1,INDEX(tx_TaxCr,50),0)</f>
        <v/>
      </c>
      <c r="O56" s="101">
        <f>IF(H56=1,IF(E56&lt;FYStart,0,IF(E56&gt;FYEnd,13,YEAR(E56)*12+MONTH(E56)-FYYM+1)),"")</f>
        <v/>
      </c>
      <c r="P56" s="101">
        <f>IF(H56=1,IF(IFERROR(INDEX(coa_CF,MATCH(I56,coa_Name,0)),"")="Cash",1,0),0)</f>
        <v/>
      </c>
      <c r="Q56" s="101">
        <f>IF(H56=1,IF(IFERROR(INDEX(coa_CF,MATCH(K56,coa_Name,0)),"")="Cash",1,0),0)</f>
        <v/>
      </c>
      <c r="R56" s="58">
        <f>IF((P56-Q56)=0,"",IFERROR(INDEX(coa_CF,MATCH(IF((P56-Q56)=1,K56,I56),coa_Name,0)),"Operating"))</f>
        <v/>
      </c>
      <c r="S56" s="95">
        <f>IF((P56-Q56)=1,L56,IF((P56-Q56)=-1,-J56,0))</f>
        <v/>
      </c>
      <c r="T56" s="95">
        <f>IF((P56-Q56)=1,N56,IF((P56-Q56)=-1,-M56,0))</f>
        <v/>
      </c>
      <c r="U56" s="101">
        <f>IF(AND(H56=1,LedAcct&lt;&gt;""),IF(AND(E56&gt;=LedFrom,E56&lt;=LedTo,OR(I56=LedAcct,K56=LedAcct,AND(LedAcct=acctTax,M56+N56&lt;&gt;0))),E56*10000+B56,""),"")</f>
        <v/>
      </c>
    </row>
    <row r="57">
      <c r="B57" s="101" t="n">
        <v>51</v>
      </c>
      <c r="C57" s="58" t="inlineStr">
        <is>
          <t>Transaction</t>
        </is>
      </c>
      <c r="D57" s="58">
        <f>IF(H57=1,INDEX(tx_ID,51)&amp;"","")</f>
        <v/>
      </c>
      <c r="E57" s="94">
        <f>IF(H57=1,INDEX(tx_Date,51),"")</f>
        <v/>
      </c>
      <c r="F57" s="58">
        <f>IF(H57=1,INDEX(tx_Desc,51)&amp;"","")</f>
        <v/>
      </c>
      <c r="G57" s="58">
        <f>IF(H57=1,IF(INDEX(tx_Cust,51)&amp;""&lt;&gt;"",INDEX(tx_Cust,51)&amp;"",INDEX(tx_Vend,51)&amp;""),"")</f>
        <v/>
      </c>
      <c r="H57" s="101">
        <f>IFERROR(N(INDEX(tx_Posted,51)),0)</f>
        <v/>
      </c>
      <c r="I57" s="58">
        <f>IF(H57=1,INDEX(tx_DrAcct,51)&amp;"","")</f>
        <v/>
      </c>
      <c r="J57" s="95">
        <f>IF(H57=1,INDEX(tx_DrAmt,51),0)</f>
        <v/>
      </c>
      <c r="K57" s="58">
        <f>IF(H57=1,INDEX(tx_CrAcct,51)&amp;"","")</f>
        <v/>
      </c>
      <c r="L57" s="95">
        <f>IF(H57=1,INDEX(tx_CrAmt,51),0)</f>
        <v/>
      </c>
      <c r="M57" s="95">
        <f>IF(H57=1,INDEX(tx_TaxDr,51),0)</f>
        <v/>
      </c>
      <c r="N57" s="95">
        <f>IF(H57=1,INDEX(tx_TaxCr,51),0)</f>
        <v/>
      </c>
      <c r="O57" s="101">
        <f>IF(H57=1,IF(E57&lt;FYStart,0,IF(E57&gt;FYEnd,13,YEAR(E57)*12+MONTH(E57)-FYYM+1)),"")</f>
        <v/>
      </c>
      <c r="P57" s="101">
        <f>IF(H57=1,IF(IFERROR(INDEX(coa_CF,MATCH(I57,coa_Name,0)),"")="Cash",1,0),0)</f>
        <v/>
      </c>
      <c r="Q57" s="101">
        <f>IF(H57=1,IF(IFERROR(INDEX(coa_CF,MATCH(K57,coa_Name,0)),"")="Cash",1,0),0)</f>
        <v/>
      </c>
      <c r="R57" s="58">
        <f>IF((P57-Q57)=0,"",IFERROR(INDEX(coa_CF,MATCH(IF((P57-Q57)=1,K57,I57),coa_Name,0)),"Operating"))</f>
        <v/>
      </c>
      <c r="S57" s="95">
        <f>IF((P57-Q57)=1,L57,IF((P57-Q57)=-1,-J57,0))</f>
        <v/>
      </c>
      <c r="T57" s="95">
        <f>IF((P57-Q57)=1,N57,IF((P57-Q57)=-1,-M57,0))</f>
        <v/>
      </c>
      <c r="U57" s="101">
        <f>IF(AND(H57=1,LedAcct&lt;&gt;""),IF(AND(E57&gt;=LedFrom,E57&lt;=LedTo,OR(I57=LedAcct,K57=LedAcct,AND(LedAcct=acctTax,M57+N57&lt;&gt;0))),E57*10000+B57,""),"")</f>
        <v/>
      </c>
    </row>
    <row r="58">
      <c r="B58" s="101" t="n">
        <v>52</v>
      </c>
      <c r="C58" s="58" t="inlineStr">
        <is>
          <t>Transaction</t>
        </is>
      </c>
      <c r="D58" s="58">
        <f>IF(H58=1,INDEX(tx_ID,52)&amp;"","")</f>
        <v/>
      </c>
      <c r="E58" s="94">
        <f>IF(H58=1,INDEX(tx_Date,52),"")</f>
        <v/>
      </c>
      <c r="F58" s="58">
        <f>IF(H58=1,INDEX(tx_Desc,52)&amp;"","")</f>
        <v/>
      </c>
      <c r="G58" s="58">
        <f>IF(H58=1,IF(INDEX(tx_Cust,52)&amp;""&lt;&gt;"",INDEX(tx_Cust,52)&amp;"",INDEX(tx_Vend,52)&amp;""),"")</f>
        <v/>
      </c>
      <c r="H58" s="101">
        <f>IFERROR(N(INDEX(tx_Posted,52)),0)</f>
        <v/>
      </c>
      <c r="I58" s="58">
        <f>IF(H58=1,INDEX(tx_DrAcct,52)&amp;"","")</f>
        <v/>
      </c>
      <c r="J58" s="95">
        <f>IF(H58=1,INDEX(tx_DrAmt,52),0)</f>
        <v/>
      </c>
      <c r="K58" s="58">
        <f>IF(H58=1,INDEX(tx_CrAcct,52)&amp;"","")</f>
        <v/>
      </c>
      <c r="L58" s="95">
        <f>IF(H58=1,INDEX(tx_CrAmt,52),0)</f>
        <v/>
      </c>
      <c r="M58" s="95">
        <f>IF(H58=1,INDEX(tx_TaxDr,52),0)</f>
        <v/>
      </c>
      <c r="N58" s="95">
        <f>IF(H58=1,INDEX(tx_TaxCr,52),0)</f>
        <v/>
      </c>
      <c r="O58" s="101">
        <f>IF(H58=1,IF(E58&lt;FYStart,0,IF(E58&gt;FYEnd,13,YEAR(E58)*12+MONTH(E58)-FYYM+1)),"")</f>
        <v/>
      </c>
      <c r="P58" s="101">
        <f>IF(H58=1,IF(IFERROR(INDEX(coa_CF,MATCH(I58,coa_Name,0)),"")="Cash",1,0),0)</f>
        <v/>
      </c>
      <c r="Q58" s="101">
        <f>IF(H58=1,IF(IFERROR(INDEX(coa_CF,MATCH(K58,coa_Name,0)),"")="Cash",1,0),0)</f>
        <v/>
      </c>
      <c r="R58" s="58">
        <f>IF((P58-Q58)=0,"",IFERROR(INDEX(coa_CF,MATCH(IF((P58-Q58)=1,K58,I58),coa_Name,0)),"Operating"))</f>
        <v/>
      </c>
      <c r="S58" s="95">
        <f>IF((P58-Q58)=1,L58,IF((P58-Q58)=-1,-J58,0))</f>
        <v/>
      </c>
      <c r="T58" s="95">
        <f>IF((P58-Q58)=1,N58,IF((P58-Q58)=-1,-M58,0))</f>
        <v/>
      </c>
      <c r="U58" s="101">
        <f>IF(AND(H58=1,LedAcct&lt;&gt;""),IF(AND(E58&gt;=LedFrom,E58&lt;=LedTo,OR(I58=LedAcct,K58=LedAcct,AND(LedAcct=acctTax,M58+N58&lt;&gt;0))),E58*10000+B58,""),"")</f>
        <v/>
      </c>
    </row>
    <row r="59">
      <c r="B59" s="101" t="n">
        <v>53</v>
      </c>
      <c r="C59" s="58" t="inlineStr">
        <is>
          <t>Transaction</t>
        </is>
      </c>
      <c r="D59" s="58">
        <f>IF(H59=1,INDEX(tx_ID,53)&amp;"","")</f>
        <v/>
      </c>
      <c r="E59" s="94">
        <f>IF(H59=1,INDEX(tx_Date,53),"")</f>
        <v/>
      </c>
      <c r="F59" s="58">
        <f>IF(H59=1,INDEX(tx_Desc,53)&amp;"","")</f>
        <v/>
      </c>
      <c r="G59" s="58">
        <f>IF(H59=1,IF(INDEX(tx_Cust,53)&amp;""&lt;&gt;"",INDEX(tx_Cust,53)&amp;"",INDEX(tx_Vend,53)&amp;""),"")</f>
        <v/>
      </c>
      <c r="H59" s="101">
        <f>IFERROR(N(INDEX(tx_Posted,53)),0)</f>
        <v/>
      </c>
      <c r="I59" s="58">
        <f>IF(H59=1,INDEX(tx_DrAcct,53)&amp;"","")</f>
        <v/>
      </c>
      <c r="J59" s="95">
        <f>IF(H59=1,INDEX(tx_DrAmt,53),0)</f>
        <v/>
      </c>
      <c r="K59" s="58">
        <f>IF(H59=1,INDEX(tx_CrAcct,53)&amp;"","")</f>
        <v/>
      </c>
      <c r="L59" s="95">
        <f>IF(H59=1,INDEX(tx_CrAmt,53),0)</f>
        <v/>
      </c>
      <c r="M59" s="95">
        <f>IF(H59=1,INDEX(tx_TaxDr,53),0)</f>
        <v/>
      </c>
      <c r="N59" s="95">
        <f>IF(H59=1,INDEX(tx_TaxCr,53),0)</f>
        <v/>
      </c>
      <c r="O59" s="101">
        <f>IF(H59=1,IF(E59&lt;FYStart,0,IF(E59&gt;FYEnd,13,YEAR(E59)*12+MONTH(E59)-FYYM+1)),"")</f>
        <v/>
      </c>
      <c r="P59" s="101">
        <f>IF(H59=1,IF(IFERROR(INDEX(coa_CF,MATCH(I59,coa_Name,0)),"")="Cash",1,0),0)</f>
        <v/>
      </c>
      <c r="Q59" s="101">
        <f>IF(H59=1,IF(IFERROR(INDEX(coa_CF,MATCH(K59,coa_Name,0)),"")="Cash",1,0),0)</f>
        <v/>
      </c>
      <c r="R59" s="58">
        <f>IF((P59-Q59)=0,"",IFERROR(INDEX(coa_CF,MATCH(IF((P59-Q59)=1,K59,I59),coa_Name,0)),"Operating"))</f>
        <v/>
      </c>
      <c r="S59" s="95">
        <f>IF((P59-Q59)=1,L59,IF((P59-Q59)=-1,-J59,0))</f>
        <v/>
      </c>
      <c r="T59" s="95">
        <f>IF((P59-Q59)=1,N59,IF((P59-Q59)=-1,-M59,0))</f>
        <v/>
      </c>
      <c r="U59" s="101">
        <f>IF(AND(H59=1,LedAcct&lt;&gt;""),IF(AND(E59&gt;=LedFrom,E59&lt;=LedTo,OR(I59=LedAcct,K59=LedAcct,AND(LedAcct=acctTax,M59+N59&lt;&gt;0))),E59*10000+B59,""),"")</f>
        <v/>
      </c>
    </row>
    <row r="60">
      <c r="B60" s="101" t="n">
        <v>54</v>
      </c>
      <c r="C60" s="58" t="inlineStr">
        <is>
          <t>Transaction</t>
        </is>
      </c>
      <c r="D60" s="58">
        <f>IF(H60=1,INDEX(tx_ID,54)&amp;"","")</f>
        <v/>
      </c>
      <c r="E60" s="94">
        <f>IF(H60=1,INDEX(tx_Date,54),"")</f>
        <v/>
      </c>
      <c r="F60" s="58">
        <f>IF(H60=1,INDEX(tx_Desc,54)&amp;"","")</f>
        <v/>
      </c>
      <c r="G60" s="58">
        <f>IF(H60=1,IF(INDEX(tx_Cust,54)&amp;""&lt;&gt;"",INDEX(tx_Cust,54)&amp;"",INDEX(tx_Vend,54)&amp;""),"")</f>
        <v/>
      </c>
      <c r="H60" s="101">
        <f>IFERROR(N(INDEX(tx_Posted,54)),0)</f>
        <v/>
      </c>
      <c r="I60" s="58">
        <f>IF(H60=1,INDEX(tx_DrAcct,54)&amp;"","")</f>
        <v/>
      </c>
      <c r="J60" s="95">
        <f>IF(H60=1,INDEX(tx_DrAmt,54),0)</f>
        <v/>
      </c>
      <c r="K60" s="58">
        <f>IF(H60=1,INDEX(tx_CrAcct,54)&amp;"","")</f>
        <v/>
      </c>
      <c r="L60" s="95">
        <f>IF(H60=1,INDEX(tx_CrAmt,54),0)</f>
        <v/>
      </c>
      <c r="M60" s="95">
        <f>IF(H60=1,INDEX(tx_TaxDr,54),0)</f>
        <v/>
      </c>
      <c r="N60" s="95">
        <f>IF(H60=1,INDEX(tx_TaxCr,54),0)</f>
        <v/>
      </c>
      <c r="O60" s="101">
        <f>IF(H60=1,IF(E60&lt;FYStart,0,IF(E60&gt;FYEnd,13,YEAR(E60)*12+MONTH(E60)-FYYM+1)),"")</f>
        <v/>
      </c>
      <c r="P60" s="101">
        <f>IF(H60=1,IF(IFERROR(INDEX(coa_CF,MATCH(I60,coa_Name,0)),"")="Cash",1,0),0)</f>
        <v/>
      </c>
      <c r="Q60" s="101">
        <f>IF(H60=1,IF(IFERROR(INDEX(coa_CF,MATCH(K60,coa_Name,0)),"")="Cash",1,0),0)</f>
        <v/>
      </c>
      <c r="R60" s="58">
        <f>IF((P60-Q60)=0,"",IFERROR(INDEX(coa_CF,MATCH(IF((P60-Q60)=1,K60,I60),coa_Name,0)),"Operating"))</f>
        <v/>
      </c>
      <c r="S60" s="95">
        <f>IF((P60-Q60)=1,L60,IF((P60-Q60)=-1,-J60,0))</f>
        <v/>
      </c>
      <c r="T60" s="95">
        <f>IF((P60-Q60)=1,N60,IF((P60-Q60)=-1,-M60,0))</f>
        <v/>
      </c>
      <c r="U60" s="101">
        <f>IF(AND(H60=1,LedAcct&lt;&gt;""),IF(AND(E60&gt;=LedFrom,E60&lt;=LedTo,OR(I60=LedAcct,K60=LedAcct,AND(LedAcct=acctTax,M60+N60&lt;&gt;0))),E60*10000+B60,""),"")</f>
        <v/>
      </c>
    </row>
    <row r="61">
      <c r="B61" s="101" t="n">
        <v>55</v>
      </c>
      <c r="C61" s="58" t="inlineStr">
        <is>
          <t>Transaction</t>
        </is>
      </c>
      <c r="D61" s="58">
        <f>IF(H61=1,INDEX(tx_ID,55)&amp;"","")</f>
        <v/>
      </c>
      <c r="E61" s="94">
        <f>IF(H61=1,INDEX(tx_Date,55),"")</f>
        <v/>
      </c>
      <c r="F61" s="58">
        <f>IF(H61=1,INDEX(tx_Desc,55)&amp;"","")</f>
        <v/>
      </c>
      <c r="G61" s="58">
        <f>IF(H61=1,IF(INDEX(tx_Cust,55)&amp;""&lt;&gt;"",INDEX(tx_Cust,55)&amp;"",INDEX(tx_Vend,55)&amp;""),"")</f>
        <v/>
      </c>
      <c r="H61" s="101">
        <f>IFERROR(N(INDEX(tx_Posted,55)),0)</f>
        <v/>
      </c>
      <c r="I61" s="58">
        <f>IF(H61=1,INDEX(tx_DrAcct,55)&amp;"","")</f>
        <v/>
      </c>
      <c r="J61" s="95">
        <f>IF(H61=1,INDEX(tx_DrAmt,55),0)</f>
        <v/>
      </c>
      <c r="K61" s="58">
        <f>IF(H61=1,INDEX(tx_CrAcct,55)&amp;"","")</f>
        <v/>
      </c>
      <c r="L61" s="95">
        <f>IF(H61=1,INDEX(tx_CrAmt,55),0)</f>
        <v/>
      </c>
      <c r="M61" s="95">
        <f>IF(H61=1,INDEX(tx_TaxDr,55),0)</f>
        <v/>
      </c>
      <c r="N61" s="95">
        <f>IF(H61=1,INDEX(tx_TaxCr,55),0)</f>
        <v/>
      </c>
      <c r="O61" s="101">
        <f>IF(H61=1,IF(E61&lt;FYStart,0,IF(E61&gt;FYEnd,13,YEAR(E61)*12+MONTH(E61)-FYYM+1)),"")</f>
        <v/>
      </c>
      <c r="P61" s="101">
        <f>IF(H61=1,IF(IFERROR(INDEX(coa_CF,MATCH(I61,coa_Name,0)),"")="Cash",1,0),0)</f>
        <v/>
      </c>
      <c r="Q61" s="101">
        <f>IF(H61=1,IF(IFERROR(INDEX(coa_CF,MATCH(K61,coa_Name,0)),"")="Cash",1,0),0)</f>
        <v/>
      </c>
      <c r="R61" s="58">
        <f>IF((P61-Q61)=0,"",IFERROR(INDEX(coa_CF,MATCH(IF((P61-Q61)=1,K61,I61),coa_Name,0)),"Operating"))</f>
        <v/>
      </c>
      <c r="S61" s="95">
        <f>IF((P61-Q61)=1,L61,IF((P61-Q61)=-1,-J61,0))</f>
        <v/>
      </c>
      <c r="T61" s="95">
        <f>IF((P61-Q61)=1,N61,IF((P61-Q61)=-1,-M61,0))</f>
        <v/>
      </c>
      <c r="U61" s="101">
        <f>IF(AND(H61=1,LedAcct&lt;&gt;""),IF(AND(E61&gt;=LedFrom,E61&lt;=LedTo,OR(I61=LedAcct,K61=LedAcct,AND(LedAcct=acctTax,M61+N61&lt;&gt;0))),E61*10000+B61,""),"")</f>
        <v/>
      </c>
    </row>
    <row r="62">
      <c r="B62" s="101" t="n">
        <v>56</v>
      </c>
      <c r="C62" s="58" t="inlineStr">
        <is>
          <t>Transaction</t>
        </is>
      </c>
      <c r="D62" s="58">
        <f>IF(H62=1,INDEX(tx_ID,56)&amp;"","")</f>
        <v/>
      </c>
      <c r="E62" s="94">
        <f>IF(H62=1,INDEX(tx_Date,56),"")</f>
        <v/>
      </c>
      <c r="F62" s="58">
        <f>IF(H62=1,INDEX(tx_Desc,56)&amp;"","")</f>
        <v/>
      </c>
      <c r="G62" s="58">
        <f>IF(H62=1,IF(INDEX(tx_Cust,56)&amp;""&lt;&gt;"",INDEX(tx_Cust,56)&amp;"",INDEX(tx_Vend,56)&amp;""),"")</f>
        <v/>
      </c>
      <c r="H62" s="101">
        <f>IFERROR(N(INDEX(tx_Posted,56)),0)</f>
        <v/>
      </c>
      <c r="I62" s="58">
        <f>IF(H62=1,INDEX(tx_DrAcct,56)&amp;"","")</f>
        <v/>
      </c>
      <c r="J62" s="95">
        <f>IF(H62=1,INDEX(tx_DrAmt,56),0)</f>
        <v/>
      </c>
      <c r="K62" s="58">
        <f>IF(H62=1,INDEX(tx_CrAcct,56)&amp;"","")</f>
        <v/>
      </c>
      <c r="L62" s="95">
        <f>IF(H62=1,INDEX(tx_CrAmt,56),0)</f>
        <v/>
      </c>
      <c r="M62" s="95">
        <f>IF(H62=1,INDEX(tx_TaxDr,56),0)</f>
        <v/>
      </c>
      <c r="N62" s="95">
        <f>IF(H62=1,INDEX(tx_TaxCr,56),0)</f>
        <v/>
      </c>
      <c r="O62" s="101">
        <f>IF(H62=1,IF(E62&lt;FYStart,0,IF(E62&gt;FYEnd,13,YEAR(E62)*12+MONTH(E62)-FYYM+1)),"")</f>
        <v/>
      </c>
      <c r="P62" s="101">
        <f>IF(H62=1,IF(IFERROR(INDEX(coa_CF,MATCH(I62,coa_Name,0)),"")="Cash",1,0),0)</f>
        <v/>
      </c>
      <c r="Q62" s="101">
        <f>IF(H62=1,IF(IFERROR(INDEX(coa_CF,MATCH(K62,coa_Name,0)),"")="Cash",1,0),0)</f>
        <v/>
      </c>
      <c r="R62" s="58">
        <f>IF((P62-Q62)=0,"",IFERROR(INDEX(coa_CF,MATCH(IF((P62-Q62)=1,K62,I62),coa_Name,0)),"Operating"))</f>
        <v/>
      </c>
      <c r="S62" s="95">
        <f>IF((P62-Q62)=1,L62,IF((P62-Q62)=-1,-J62,0))</f>
        <v/>
      </c>
      <c r="T62" s="95">
        <f>IF((P62-Q62)=1,N62,IF((P62-Q62)=-1,-M62,0))</f>
        <v/>
      </c>
      <c r="U62" s="101">
        <f>IF(AND(H62=1,LedAcct&lt;&gt;""),IF(AND(E62&gt;=LedFrom,E62&lt;=LedTo,OR(I62=LedAcct,K62=LedAcct,AND(LedAcct=acctTax,M62+N62&lt;&gt;0))),E62*10000+B62,""),"")</f>
        <v/>
      </c>
    </row>
    <row r="63">
      <c r="B63" s="101" t="n">
        <v>57</v>
      </c>
      <c r="C63" s="58" t="inlineStr">
        <is>
          <t>Transaction</t>
        </is>
      </c>
      <c r="D63" s="58">
        <f>IF(H63=1,INDEX(tx_ID,57)&amp;"","")</f>
        <v/>
      </c>
      <c r="E63" s="94">
        <f>IF(H63=1,INDEX(tx_Date,57),"")</f>
        <v/>
      </c>
      <c r="F63" s="58">
        <f>IF(H63=1,INDEX(tx_Desc,57)&amp;"","")</f>
        <v/>
      </c>
      <c r="G63" s="58">
        <f>IF(H63=1,IF(INDEX(tx_Cust,57)&amp;""&lt;&gt;"",INDEX(tx_Cust,57)&amp;"",INDEX(tx_Vend,57)&amp;""),"")</f>
        <v/>
      </c>
      <c r="H63" s="101">
        <f>IFERROR(N(INDEX(tx_Posted,57)),0)</f>
        <v/>
      </c>
      <c r="I63" s="58">
        <f>IF(H63=1,INDEX(tx_DrAcct,57)&amp;"","")</f>
        <v/>
      </c>
      <c r="J63" s="95">
        <f>IF(H63=1,INDEX(tx_DrAmt,57),0)</f>
        <v/>
      </c>
      <c r="K63" s="58">
        <f>IF(H63=1,INDEX(tx_CrAcct,57)&amp;"","")</f>
        <v/>
      </c>
      <c r="L63" s="95">
        <f>IF(H63=1,INDEX(tx_CrAmt,57),0)</f>
        <v/>
      </c>
      <c r="M63" s="95">
        <f>IF(H63=1,INDEX(tx_TaxDr,57),0)</f>
        <v/>
      </c>
      <c r="N63" s="95">
        <f>IF(H63=1,INDEX(tx_TaxCr,57),0)</f>
        <v/>
      </c>
      <c r="O63" s="101">
        <f>IF(H63=1,IF(E63&lt;FYStart,0,IF(E63&gt;FYEnd,13,YEAR(E63)*12+MONTH(E63)-FYYM+1)),"")</f>
        <v/>
      </c>
      <c r="P63" s="101">
        <f>IF(H63=1,IF(IFERROR(INDEX(coa_CF,MATCH(I63,coa_Name,0)),"")="Cash",1,0),0)</f>
        <v/>
      </c>
      <c r="Q63" s="101">
        <f>IF(H63=1,IF(IFERROR(INDEX(coa_CF,MATCH(K63,coa_Name,0)),"")="Cash",1,0),0)</f>
        <v/>
      </c>
      <c r="R63" s="58">
        <f>IF((P63-Q63)=0,"",IFERROR(INDEX(coa_CF,MATCH(IF((P63-Q63)=1,K63,I63),coa_Name,0)),"Operating"))</f>
        <v/>
      </c>
      <c r="S63" s="95">
        <f>IF((P63-Q63)=1,L63,IF((P63-Q63)=-1,-J63,0))</f>
        <v/>
      </c>
      <c r="T63" s="95">
        <f>IF((P63-Q63)=1,N63,IF((P63-Q63)=-1,-M63,0))</f>
        <v/>
      </c>
      <c r="U63" s="101">
        <f>IF(AND(H63=1,LedAcct&lt;&gt;""),IF(AND(E63&gt;=LedFrom,E63&lt;=LedTo,OR(I63=LedAcct,K63=LedAcct,AND(LedAcct=acctTax,M63+N63&lt;&gt;0))),E63*10000+B63,""),"")</f>
        <v/>
      </c>
    </row>
    <row r="64">
      <c r="B64" s="101" t="n">
        <v>58</v>
      </c>
      <c r="C64" s="58" t="inlineStr">
        <is>
          <t>Transaction</t>
        </is>
      </c>
      <c r="D64" s="58">
        <f>IF(H64=1,INDEX(tx_ID,58)&amp;"","")</f>
        <v/>
      </c>
      <c r="E64" s="94">
        <f>IF(H64=1,INDEX(tx_Date,58),"")</f>
        <v/>
      </c>
      <c r="F64" s="58">
        <f>IF(H64=1,INDEX(tx_Desc,58)&amp;"","")</f>
        <v/>
      </c>
      <c r="G64" s="58">
        <f>IF(H64=1,IF(INDEX(tx_Cust,58)&amp;""&lt;&gt;"",INDEX(tx_Cust,58)&amp;"",INDEX(tx_Vend,58)&amp;""),"")</f>
        <v/>
      </c>
      <c r="H64" s="101">
        <f>IFERROR(N(INDEX(tx_Posted,58)),0)</f>
        <v/>
      </c>
      <c r="I64" s="58">
        <f>IF(H64=1,INDEX(tx_DrAcct,58)&amp;"","")</f>
        <v/>
      </c>
      <c r="J64" s="95">
        <f>IF(H64=1,INDEX(tx_DrAmt,58),0)</f>
        <v/>
      </c>
      <c r="K64" s="58">
        <f>IF(H64=1,INDEX(tx_CrAcct,58)&amp;"","")</f>
        <v/>
      </c>
      <c r="L64" s="95">
        <f>IF(H64=1,INDEX(tx_CrAmt,58),0)</f>
        <v/>
      </c>
      <c r="M64" s="95">
        <f>IF(H64=1,INDEX(tx_TaxDr,58),0)</f>
        <v/>
      </c>
      <c r="N64" s="95">
        <f>IF(H64=1,INDEX(tx_TaxCr,58),0)</f>
        <v/>
      </c>
      <c r="O64" s="101">
        <f>IF(H64=1,IF(E64&lt;FYStart,0,IF(E64&gt;FYEnd,13,YEAR(E64)*12+MONTH(E64)-FYYM+1)),"")</f>
        <v/>
      </c>
      <c r="P64" s="101">
        <f>IF(H64=1,IF(IFERROR(INDEX(coa_CF,MATCH(I64,coa_Name,0)),"")="Cash",1,0),0)</f>
        <v/>
      </c>
      <c r="Q64" s="101">
        <f>IF(H64=1,IF(IFERROR(INDEX(coa_CF,MATCH(K64,coa_Name,0)),"")="Cash",1,0),0)</f>
        <v/>
      </c>
      <c r="R64" s="58">
        <f>IF((P64-Q64)=0,"",IFERROR(INDEX(coa_CF,MATCH(IF((P64-Q64)=1,K64,I64),coa_Name,0)),"Operating"))</f>
        <v/>
      </c>
      <c r="S64" s="95">
        <f>IF((P64-Q64)=1,L64,IF((P64-Q64)=-1,-J64,0))</f>
        <v/>
      </c>
      <c r="T64" s="95">
        <f>IF((P64-Q64)=1,N64,IF((P64-Q64)=-1,-M64,0))</f>
        <v/>
      </c>
      <c r="U64" s="101">
        <f>IF(AND(H64=1,LedAcct&lt;&gt;""),IF(AND(E64&gt;=LedFrom,E64&lt;=LedTo,OR(I64=LedAcct,K64=LedAcct,AND(LedAcct=acctTax,M64+N64&lt;&gt;0))),E64*10000+B64,""),"")</f>
        <v/>
      </c>
    </row>
    <row r="65">
      <c r="B65" s="101" t="n">
        <v>59</v>
      </c>
      <c r="C65" s="58" t="inlineStr">
        <is>
          <t>Transaction</t>
        </is>
      </c>
      <c r="D65" s="58">
        <f>IF(H65=1,INDEX(tx_ID,59)&amp;"","")</f>
        <v/>
      </c>
      <c r="E65" s="94">
        <f>IF(H65=1,INDEX(tx_Date,59),"")</f>
        <v/>
      </c>
      <c r="F65" s="58">
        <f>IF(H65=1,INDEX(tx_Desc,59)&amp;"","")</f>
        <v/>
      </c>
      <c r="G65" s="58">
        <f>IF(H65=1,IF(INDEX(tx_Cust,59)&amp;""&lt;&gt;"",INDEX(tx_Cust,59)&amp;"",INDEX(tx_Vend,59)&amp;""),"")</f>
        <v/>
      </c>
      <c r="H65" s="101">
        <f>IFERROR(N(INDEX(tx_Posted,59)),0)</f>
        <v/>
      </c>
      <c r="I65" s="58">
        <f>IF(H65=1,INDEX(tx_DrAcct,59)&amp;"","")</f>
        <v/>
      </c>
      <c r="J65" s="95">
        <f>IF(H65=1,INDEX(tx_DrAmt,59),0)</f>
        <v/>
      </c>
      <c r="K65" s="58">
        <f>IF(H65=1,INDEX(tx_CrAcct,59)&amp;"","")</f>
        <v/>
      </c>
      <c r="L65" s="95">
        <f>IF(H65=1,INDEX(tx_CrAmt,59),0)</f>
        <v/>
      </c>
      <c r="M65" s="95">
        <f>IF(H65=1,INDEX(tx_TaxDr,59),0)</f>
        <v/>
      </c>
      <c r="N65" s="95">
        <f>IF(H65=1,INDEX(tx_TaxCr,59),0)</f>
        <v/>
      </c>
      <c r="O65" s="101">
        <f>IF(H65=1,IF(E65&lt;FYStart,0,IF(E65&gt;FYEnd,13,YEAR(E65)*12+MONTH(E65)-FYYM+1)),"")</f>
        <v/>
      </c>
      <c r="P65" s="101">
        <f>IF(H65=1,IF(IFERROR(INDEX(coa_CF,MATCH(I65,coa_Name,0)),"")="Cash",1,0),0)</f>
        <v/>
      </c>
      <c r="Q65" s="101">
        <f>IF(H65=1,IF(IFERROR(INDEX(coa_CF,MATCH(K65,coa_Name,0)),"")="Cash",1,0),0)</f>
        <v/>
      </c>
      <c r="R65" s="58">
        <f>IF((P65-Q65)=0,"",IFERROR(INDEX(coa_CF,MATCH(IF((P65-Q65)=1,K65,I65),coa_Name,0)),"Operating"))</f>
        <v/>
      </c>
      <c r="S65" s="95">
        <f>IF((P65-Q65)=1,L65,IF((P65-Q65)=-1,-J65,0))</f>
        <v/>
      </c>
      <c r="T65" s="95">
        <f>IF((P65-Q65)=1,N65,IF((P65-Q65)=-1,-M65,0))</f>
        <v/>
      </c>
      <c r="U65" s="101">
        <f>IF(AND(H65=1,LedAcct&lt;&gt;""),IF(AND(E65&gt;=LedFrom,E65&lt;=LedTo,OR(I65=LedAcct,K65=LedAcct,AND(LedAcct=acctTax,M65+N65&lt;&gt;0))),E65*10000+B65,""),"")</f>
        <v/>
      </c>
    </row>
    <row r="66">
      <c r="B66" s="101" t="n">
        <v>60</v>
      </c>
      <c r="C66" s="58" t="inlineStr">
        <is>
          <t>Transaction</t>
        </is>
      </c>
      <c r="D66" s="58">
        <f>IF(H66=1,INDEX(tx_ID,60)&amp;"","")</f>
        <v/>
      </c>
      <c r="E66" s="94">
        <f>IF(H66=1,INDEX(tx_Date,60),"")</f>
        <v/>
      </c>
      <c r="F66" s="58">
        <f>IF(H66=1,INDEX(tx_Desc,60)&amp;"","")</f>
        <v/>
      </c>
      <c r="G66" s="58">
        <f>IF(H66=1,IF(INDEX(tx_Cust,60)&amp;""&lt;&gt;"",INDEX(tx_Cust,60)&amp;"",INDEX(tx_Vend,60)&amp;""),"")</f>
        <v/>
      </c>
      <c r="H66" s="101">
        <f>IFERROR(N(INDEX(tx_Posted,60)),0)</f>
        <v/>
      </c>
      <c r="I66" s="58">
        <f>IF(H66=1,INDEX(tx_DrAcct,60)&amp;"","")</f>
        <v/>
      </c>
      <c r="J66" s="95">
        <f>IF(H66=1,INDEX(tx_DrAmt,60),0)</f>
        <v/>
      </c>
      <c r="K66" s="58">
        <f>IF(H66=1,INDEX(tx_CrAcct,60)&amp;"","")</f>
        <v/>
      </c>
      <c r="L66" s="95">
        <f>IF(H66=1,INDEX(tx_CrAmt,60),0)</f>
        <v/>
      </c>
      <c r="M66" s="95">
        <f>IF(H66=1,INDEX(tx_TaxDr,60),0)</f>
        <v/>
      </c>
      <c r="N66" s="95">
        <f>IF(H66=1,INDEX(tx_TaxCr,60),0)</f>
        <v/>
      </c>
      <c r="O66" s="101">
        <f>IF(H66=1,IF(E66&lt;FYStart,0,IF(E66&gt;FYEnd,13,YEAR(E66)*12+MONTH(E66)-FYYM+1)),"")</f>
        <v/>
      </c>
      <c r="P66" s="101">
        <f>IF(H66=1,IF(IFERROR(INDEX(coa_CF,MATCH(I66,coa_Name,0)),"")="Cash",1,0),0)</f>
        <v/>
      </c>
      <c r="Q66" s="101">
        <f>IF(H66=1,IF(IFERROR(INDEX(coa_CF,MATCH(K66,coa_Name,0)),"")="Cash",1,0),0)</f>
        <v/>
      </c>
      <c r="R66" s="58">
        <f>IF((P66-Q66)=0,"",IFERROR(INDEX(coa_CF,MATCH(IF((P66-Q66)=1,K66,I66),coa_Name,0)),"Operating"))</f>
        <v/>
      </c>
      <c r="S66" s="95">
        <f>IF((P66-Q66)=1,L66,IF((P66-Q66)=-1,-J66,0))</f>
        <v/>
      </c>
      <c r="T66" s="95">
        <f>IF((P66-Q66)=1,N66,IF((P66-Q66)=-1,-M66,0))</f>
        <v/>
      </c>
      <c r="U66" s="101">
        <f>IF(AND(H66=1,LedAcct&lt;&gt;""),IF(AND(E66&gt;=LedFrom,E66&lt;=LedTo,OR(I66=LedAcct,K66=LedAcct,AND(LedAcct=acctTax,M66+N66&lt;&gt;0))),E66*10000+B66,""),"")</f>
        <v/>
      </c>
    </row>
    <row r="67">
      <c r="B67" s="101" t="n">
        <v>61</v>
      </c>
      <c r="C67" s="58" t="inlineStr">
        <is>
          <t>Transaction</t>
        </is>
      </c>
      <c r="D67" s="58">
        <f>IF(H67=1,INDEX(tx_ID,61)&amp;"","")</f>
        <v/>
      </c>
      <c r="E67" s="94">
        <f>IF(H67=1,INDEX(tx_Date,61),"")</f>
        <v/>
      </c>
      <c r="F67" s="58">
        <f>IF(H67=1,INDEX(tx_Desc,61)&amp;"","")</f>
        <v/>
      </c>
      <c r="G67" s="58">
        <f>IF(H67=1,IF(INDEX(tx_Cust,61)&amp;""&lt;&gt;"",INDEX(tx_Cust,61)&amp;"",INDEX(tx_Vend,61)&amp;""),"")</f>
        <v/>
      </c>
      <c r="H67" s="101">
        <f>IFERROR(N(INDEX(tx_Posted,61)),0)</f>
        <v/>
      </c>
      <c r="I67" s="58">
        <f>IF(H67=1,INDEX(tx_DrAcct,61)&amp;"","")</f>
        <v/>
      </c>
      <c r="J67" s="95">
        <f>IF(H67=1,INDEX(tx_DrAmt,61),0)</f>
        <v/>
      </c>
      <c r="K67" s="58">
        <f>IF(H67=1,INDEX(tx_CrAcct,61)&amp;"","")</f>
        <v/>
      </c>
      <c r="L67" s="95">
        <f>IF(H67=1,INDEX(tx_CrAmt,61),0)</f>
        <v/>
      </c>
      <c r="M67" s="95">
        <f>IF(H67=1,INDEX(tx_TaxDr,61),0)</f>
        <v/>
      </c>
      <c r="N67" s="95">
        <f>IF(H67=1,INDEX(tx_TaxCr,61),0)</f>
        <v/>
      </c>
      <c r="O67" s="101">
        <f>IF(H67=1,IF(E67&lt;FYStart,0,IF(E67&gt;FYEnd,13,YEAR(E67)*12+MONTH(E67)-FYYM+1)),"")</f>
        <v/>
      </c>
      <c r="P67" s="101">
        <f>IF(H67=1,IF(IFERROR(INDEX(coa_CF,MATCH(I67,coa_Name,0)),"")="Cash",1,0),0)</f>
        <v/>
      </c>
      <c r="Q67" s="101">
        <f>IF(H67=1,IF(IFERROR(INDEX(coa_CF,MATCH(K67,coa_Name,0)),"")="Cash",1,0),0)</f>
        <v/>
      </c>
      <c r="R67" s="58">
        <f>IF((P67-Q67)=0,"",IFERROR(INDEX(coa_CF,MATCH(IF((P67-Q67)=1,K67,I67),coa_Name,0)),"Operating"))</f>
        <v/>
      </c>
      <c r="S67" s="95">
        <f>IF((P67-Q67)=1,L67,IF((P67-Q67)=-1,-J67,0))</f>
        <v/>
      </c>
      <c r="T67" s="95">
        <f>IF((P67-Q67)=1,N67,IF((P67-Q67)=-1,-M67,0))</f>
        <v/>
      </c>
      <c r="U67" s="101">
        <f>IF(AND(H67=1,LedAcct&lt;&gt;""),IF(AND(E67&gt;=LedFrom,E67&lt;=LedTo,OR(I67=LedAcct,K67=LedAcct,AND(LedAcct=acctTax,M67+N67&lt;&gt;0))),E67*10000+B67,""),"")</f>
        <v/>
      </c>
    </row>
    <row r="68">
      <c r="B68" s="101" t="n">
        <v>62</v>
      </c>
      <c r="C68" s="58" t="inlineStr">
        <is>
          <t>Transaction</t>
        </is>
      </c>
      <c r="D68" s="58">
        <f>IF(H68=1,INDEX(tx_ID,62)&amp;"","")</f>
        <v/>
      </c>
      <c r="E68" s="94">
        <f>IF(H68=1,INDEX(tx_Date,62),"")</f>
        <v/>
      </c>
      <c r="F68" s="58">
        <f>IF(H68=1,INDEX(tx_Desc,62)&amp;"","")</f>
        <v/>
      </c>
      <c r="G68" s="58">
        <f>IF(H68=1,IF(INDEX(tx_Cust,62)&amp;""&lt;&gt;"",INDEX(tx_Cust,62)&amp;"",INDEX(tx_Vend,62)&amp;""),"")</f>
        <v/>
      </c>
      <c r="H68" s="101">
        <f>IFERROR(N(INDEX(tx_Posted,62)),0)</f>
        <v/>
      </c>
      <c r="I68" s="58">
        <f>IF(H68=1,INDEX(tx_DrAcct,62)&amp;"","")</f>
        <v/>
      </c>
      <c r="J68" s="95">
        <f>IF(H68=1,INDEX(tx_DrAmt,62),0)</f>
        <v/>
      </c>
      <c r="K68" s="58">
        <f>IF(H68=1,INDEX(tx_CrAcct,62)&amp;"","")</f>
        <v/>
      </c>
      <c r="L68" s="95">
        <f>IF(H68=1,INDEX(tx_CrAmt,62),0)</f>
        <v/>
      </c>
      <c r="M68" s="95">
        <f>IF(H68=1,INDEX(tx_TaxDr,62),0)</f>
        <v/>
      </c>
      <c r="N68" s="95">
        <f>IF(H68=1,INDEX(tx_TaxCr,62),0)</f>
        <v/>
      </c>
      <c r="O68" s="101">
        <f>IF(H68=1,IF(E68&lt;FYStart,0,IF(E68&gt;FYEnd,13,YEAR(E68)*12+MONTH(E68)-FYYM+1)),"")</f>
        <v/>
      </c>
      <c r="P68" s="101">
        <f>IF(H68=1,IF(IFERROR(INDEX(coa_CF,MATCH(I68,coa_Name,0)),"")="Cash",1,0),0)</f>
        <v/>
      </c>
      <c r="Q68" s="101">
        <f>IF(H68=1,IF(IFERROR(INDEX(coa_CF,MATCH(K68,coa_Name,0)),"")="Cash",1,0),0)</f>
        <v/>
      </c>
      <c r="R68" s="58">
        <f>IF((P68-Q68)=0,"",IFERROR(INDEX(coa_CF,MATCH(IF((P68-Q68)=1,K68,I68),coa_Name,0)),"Operating"))</f>
        <v/>
      </c>
      <c r="S68" s="95">
        <f>IF((P68-Q68)=1,L68,IF((P68-Q68)=-1,-J68,0))</f>
        <v/>
      </c>
      <c r="T68" s="95">
        <f>IF((P68-Q68)=1,N68,IF((P68-Q68)=-1,-M68,0))</f>
        <v/>
      </c>
      <c r="U68" s="101">
        <f>IF(AND(H68=1,LedAcct&lt;&gt;""),IF(AND(E68&gt;=LedFrom,E68&lt;=LedTo,OR(I68=LedAcct,K68=LedAcct,AND(LedAcct=acctTax,M68+N68&lt;&gt;0))),E68*10000+B68,""),"")</f>
        <v/>
      </c>
    </row>
    <row r="69">
      <c r="B69" s="101" t="n">
        <v>63</v>
      </c>
      <c r="C69" s="58" t="inlineStr">
        <is>
          <t>Transaction</t>
        </is>
      </c>
      <c r="D69" s="58">
        <f>IF(H69=1,INDEX(tx_ID,63)&amp;"","")</f>
        <v/>
      </c>
      <c r="E69" s="94">
        <f>IF(H69=1,INDEX(tx_Date,63),"")</f>
        <v/>
      </c>
      <c r="F69" s="58">
        <f>IF(H69=1,INDEX(tx_Desc,63)&amp;"","")</f>
        <v/>
      </c>
      <c r="G69" s="58">
        <f>IF(H69=1,IF(INDEX(tx_Cust,63)&amp;""&lt;&gt;"",INDEX(tx_Cust,63)&amp;"",INDEX(tx_Vend,63)&amp;""),"")</f>
        <v/>
      </c>
      <c r="H69" s="101">
        <f>IFERROR(N(INDEX(tx_Posted,63)),0)</f>
        <v/>
      </c>
      <c r="I69" s="58">
        <f>IF(H69=1,INDEX(tx_DrAcct,63)&amp;"","")</f>
        <v/>
      </c>
      <c r="J69" s="95">
        <f>IF(H69=1,INDEX(tx_DrAmt,63),0)</f>
        <v/>
      </c>
      <c r="K69" s="58">
        <f>IF(H69=1,INDEX(tx_CrAcct,63)&amp;"","")</f>
        <v/>
      </c>
      <c r="L69" s="95">
        <f>IF(H69=1,INDEX(tx_CrAmt,63),0)</f>
        <v/>
      </c>
      <c r="M69" s="95">
        <f>IF(H69=1,INDEX(tx_TaxDr,63),0)</f>
        <v/>
      </c>
      <c r="N69" s="95">
        <f>IF(H69=1,INDEX(tx_TaxCr,63),0)</f>
        <v/>
      </c>
      <c r="O69" s="101">
        <f>IF(H69=1,IF(E69&lt;FYStart,0,IF(E69&gt;FYEnd,13,YEAR(E69)*12+MONTH(E69)-FYYM+1)),"")</f>
        <v/>
      </c>
      <c r="P69" s="101">
        <f>IF(H69=1,IF(IFERROR(INDEX(coa_CF,MATCH(I69,coa_Name,0)),"")="Cash",1,0),0)</f>
        <v/>
      </c>
      <c r="Q69" s="101">
        <f>IF(H69=1,IF(IFERROR(INDEX(coa_CF,MATCH(K69,coa_Name,0)),"")="Cash",1,0),0)</f>
        <v/>
      </c>
      <c r="R69" s="58">
        <f>IF((P69-Q69)=0,"",IFERROR(INDEX(coa_CF,MATCH(IF((P69-Q69)=1,K69,I69),coa_Name,0)),"Operating"))</f>
        <v/>
      </c>
      <c r="S69" s="95">
        <f>IF((P69-Q69)=1,L69,IF((P69-Q69)=-1,-J69,0))</f>
        <v/>
      </c>
      <c r="T69" s="95">
        <f>IF((P69-Q69)=1,N69,IF((P69-Q69)=-1,-M69,0))</f>
        <v/>
      </c>
      <c r="U69" s="101">
        <f>IF(AND(H69=1,LedAcct&lt;&gt;""),IF(AND(E69&gt;=LedFrom,E69&lt;=LedTo,OR(I69=LedAcct,K69=LedAcct,AND(LedAcct=acctTax,M69+N69&lt;&gt;0))),E69*10000+B69,""),"")</f>
        <v/>
      </c>
    </row>
    <row r="70">
      <c r="B70" s="101" t="n">
        <v>64</v>
      </c>
      <c r="C70" s="58" t="inlineStr">
        <is>
          <t>Transaction</t>
        </is>
      </c>
      <c r="D70" s="58">
        <f>IF(H70=1,INDEX(tx_ID,64)&amp;"","")</f>
        <v/>
      </c>
      <c r="E70" s="94">
        <f>IF(H70=1,INDEX(tx_Date,64),"")</f>
        <v/>
      </c>
      <c r="F70" s="58">
        <f>IF(H70=1,INDEX(tx_Desc,64)&amp;"","")</f>
        <v/>
      </c>
      <c r="G70" s="58">
        <f>IF(H70=1,IF(INDEX(tx_Cust,64)&amp;""&lt;&gt;"",INDEX(tx_Cust,64)&amp;"",INDEX(tx_Vend,64)&amp;""),"")</f>
        <v/>
      </c>
      <c r="H70" s="101">
        <f>IFERROR(N(INDEX(tx_Posted,64)),0)</f>
        <v/>
      </c>
      <c r="I70" s="58">
        <f>IF(H70=1,INDEX(tx_DrAcct,64)&amp;"","")</f>
        <v/>
      </c>
      <c r="J70" s="95">
        <f>IF(H70=1,INDEX(tx_DrAmt,64),0)</f>
        <v/>
      </c>
      <c r="K70" s="58">
        <f>IF(H70=1,INDEX(tx_CrAcct,64)&amp;"","")</f>
        <v/>
      </c>
      <c r="L70" s="95">
        <f>IF(H70=1,INDEX(tx_CrAmt,64),0)</f>
        <v/>
      </c>
      <c r="M70" s="95">
        <f>IF(H70=1,INDEX(tx_TaxDr,64),0)</f>
        <v/>
      </c>
      <c r="N70" s="95">
        <f>IF(H70=1,INDEX(tx_TaxCr,64),0)</f>
        <v/>
      </c>
      <c r="O70" s="101">
        <f>IF(H70=1,IF(E70&lt;FYStart,0,IF(E70&gt;FYEnd,13,YEAR(E70)*12+MONTH(E70)-FYYM+1)),"")</f>
        <v/>
      </c>
      <c r="P70" s="101">
        <f>IF(H70=1,IF(IFERROR(INDEX(coa_CF,MATCH(I70,coa_Name,0)),"")="Cash",1,0),0)</f>
        <v/>
      </c>
      <c r="Q70" s="101">
        <f>IF(H70=1,IF(IFERROR(INDEX(coa_CF,MATCH(K70,coa_Name,0)),"")="Cash",1,0),0)</f>
        <v/>
      </c>
      <c r="R70" s="58">
        <f>IF((P70-Q70)=0,"",IFERROR(INDEX(coa_CF,MATCH(IF((P70-Q70)=1,K70,I70),coa_Name,0)),"Operating"))</f>
        <v/>
      </c>
      <c r="S70" s="95">
        <f>IF((P70-Q70)=1,L70,IF((P70-Q70)=-1,-J70,0))</f>
        <v/>
      </c>
      <c r="T70" s="95">
        <f>IF((P70-Q70)=1,N70,IF((P70-Q70)=-1,-M70,0))</f>
        <v/>
      </c>
      <c r="U70" s="101">
        <f>IF(AND(H70=1,LedAcct&lt;&gt;""),IF(AND(E70&gt;=LedFrom,E70&lt;=LedTo,OR(I70=LedAcct,K70=LedAcct,AND(LedAcct=acctTax,M70+N70&lt;&gt;0))),E70*10000+B70,""),"")</f>
        <v/>
      </c>
    </row>
    <row r="71">
      <c r="B71" s="101" t="n">
        <v>65</v>
      </c>
      <c r="C71" s="58" t="inlineStr">
        <is>
          <t>Transaction</t>
        </is>
      </c>
      <c r="D71" s="58">
        <f>IF(H71=1,INDEX(tx_ID,65)&amp;"","")</f>
        <v/>
      </c>
      <c r="E71" s="94">
        <f>IF(H71=1,INDEX(tx_Date,65),"")</f>
        <v/>
      </c>
      <c r="F71" s="58">
        <f>IF(H71=1,INDEX(tx_Desc,65)&amp;"","")</f>
        <v/>
      </c>
      <c r="G71" s="58">
        <f>IF(H71=1,IF(INDEX(tx_Cust,65)&amp;""&lt;&gt;"",INDEX(tx_Cust,65)&amp;"",INDEX(tx_Vend,65)&amp;""),"")</f>
        <v/>
      </c>
      <c r="H71" s="101">
        <f>IFERROR(N(INDEX(tx_Posted,65)),0)</f>
        <v/>
      </c>
      <c r="I71" s="58">
        <f>IF(H71=1,INDEX(tx_DrAcct,65)&amp;"","")</f>
        <v/>
      </c>
      <c r="J71" s="95">
        <f>IF(H71=1,INDEX(tx_DrAmt,65),0)</f>
        <v/>
      </c>
      <c r="K71" s="58">
        <f>IF(H71=1,INDEX(tx_CrAcct,65)&amp;"","")</f>
        <v/>
      </c>
      <c r="L71" s="95">
        <f>IF(H71=1,INDEX(tx_CrAmt,65),0)</f>
        <v/>
      </c>
      <c r="M71" s="95">
        <f>IF(H71=1,INDEX(tx_TaxDr,65),0)</f>
        <v/>
      </c>
      <c r="N71" s="95">
        <f>IF(H71=1,INDEX(tx_TaxCr,65),0)</f>
        <v/>
      </c>
      <c r="O71" s="101">
        <f>IF(H71=1,IF(E71&lt;FYStart,0,IF(E71&gt;FYEnd,13,YEAR(E71)*12+MONTH(E71)-FYYM+1)),"")</f>
        <v/>
      </c>
      <c r="P71" s="101">
        <f>IF(H71=1,IF(IFERROR(INDEX(coa_CF,MATCH(I71,coa_Name,0)),"")="Cash",1,0),0)</f>
        <v/>
      </c>
      <c r="Q71" s="101">
        <f>IF(H71=1,IF(IFERROR(INDEX(coa_CF,MATCH(K71,coa_Name,0)),"")="Cash",1,0),0)</f>
        <v/>
      </c>
      <c r="R71" s="58">
        <f>IF((P71-Q71)=0,"",IFERROR(INDEX(coa_CF,MATCH(IF((P71-Q71)=1,K71,I71),coa_Name,0)),"Operating"))</f>
        <v/>
      </c>
      <c r="S71" s="95">
        <f>IF((P71-Q71)=1,L71,IF((P71-Q71)=-1,-J71,0))</f>
        <v/>
      </c>
      <c r="T71" s="95">
        <f>IF((P71-Q71)=1,N71,IF((P71-Q71)=-1,-M71,0))</f>
        <v/>
      </c>
      <c r="U71" s="101">
        <f>IF(AND(H71=1,LedAcct&lt;&gt;""),IF(AND(E71&gt;=LedFrom,E71&lt;=LedTo,OR(I71=LedAcct,K71=LedAcct,AND(LedAcct=acctTax,M71+N71&lt;&gt;0))),E71*10000+B71,""),"")</f>
        <v/>
      </c>
    </row>
    <row r="72">
      <c r="B72" s="101" t="n">
        <v>66</v>
      </c>
      <c r="C72" s="58" t="inlineStr">
        <is>
          <t>Transaction</t>
        </is>
      </c>
      <c r="D72" s="58">
        <f>IF(H72=1,INDEX(tx_ID,66)&amp;"","")</f>
        <v/>
      </c>
      <c r="E72" s="94">
        <f>IF(H72=1,INDEX(tx_Date,66),"")</f>
        <v/>
      </c>
      <c r="F72" s="58">
        <f>IF(H72=1,INDEX(tx_Desc,66)&amp;"","")</f>
        <v/>
      </c>
      <c r="G72" s="58">
        <f>IF(H72=1,IF(INDEX(tx_Cust,66)&amp;""&lt;&gt;"",INDEX(tx_Cust,66)&amp;"",INDEX(tx_Vend,66)&amp;""),"")</f>
        <v/>
      </c>
      <c r="H72" s="101">
        <f>IFERROR(N(INDEX(tx_Posted,66)),0)</f>
        <v/>
      </c>
      <c r="I72" s="58">
        <f>IF(H72=1,INDEX(tx_DrAcct,66)&amp;"","")</f>
        <v/>
      </c>
      <c r="J72" s="95">
        <f>IF(H72=1,INDEX(tx_DrAmt,66),0)</f>
        <v/>
      </c>
      <c r="K72" s="58">
        <f>IF(H72=1,INDEX(tx_CrAcct,66)&amp;"","")</f>
        <v/>
      </c>
      <c r="L72" s="95">
        <f>IF(H72=1,INDEX(tx_CrAmt,66),0)</f>
        <v/>
      </c>
      <c r="M72" s="95">
        <f>IF(H72=1,INDEX(tx_TaxDr,66),0)</f>
        <v/>
      </c>
      <c r="N72" s="95">
        <f>IF(H72=1,INDEX(tx_TaxCr,66),0)</f>
        <v/>
      </c>
      <c r="O72" s="101">
        <f>IF(H72=1,IF(E72&lt;FYStart,0,IF(E72&gt;FYEnd,13,YEAR(E72)*12+MONTH(E72)-FYYM+1)),"")</f>
        <v/>
      </c>
      <c r="P72" s="101">
        <f>IF(H72=1,IF(IFERROR(INDEX(coa_CF,MATCH(I72,coa_Name,0)),"")="Cash",1,0),0)</f>
        <v/>
      </c>
      <c r="Q72" s="101">
        <f>IF(H72=1,IF(IFERROR(INDEX(coa_CF,MATCH(K72,coa_Name,0)),"")="Cash",1,0),0)</f>
        <v/>
      </c>
      <c r="R72" s="58">
        <f>IF((P72-Q72)=0,"",IFERROR(INDEX(coa_CF,MATCH(IF((P72-Q72)=1,K72,I72),coa_Name,0)),"Operating"))</f>
        <v/>
      </c>
      <c r="S72" s="95">
        <f>IF((P72-Q72)=1,L72,IF((P72-Q72)=-1,-J72,0))</f>
        <v/>
      </c>
      <c r="T72" s="95">
        <f>IF((P72-Q72)=1,N72,IF((P72-Q72)=-1,-M72,0))</f>
        <v/>
      </c>
      <c r="U72" s="101">
        <f>IF(AND(H72=1,LedAcct&lt;&gt;""),IF(AND(E72&gt;=LedFrom,E72&lt;=LedTo,OR(I72=LedAcct,K72=LedAcct,AND(LedAcct=acctTax,M72+N72&lt;&gt;0))),E72*10000+B72,""),"")</f>
        <v/>
      </c>
    </row>
    <row r="73">
      <c r="B73" s="101" t="n">
        <v>67</v>
      </c>
      <c r="C73" s="58" t="inlineStr">
        <is>
          <t>Transaction</t>
        </is>
      </c>
      <c r="D73" s="58">
        <f>IF(H73=1,INDEX(tx_ID,67)&amp;"","")</f>
        <v/>
      </c>
      <c r="E73" s="94">
        <f>IF(H73=1,INDEX(tx_Date,67),"")</f>
        <v/>
      </c>
      <c r="F73" s="58">
        <f>IF(H73=1,INDEX(tx_Desc,67)&amp;"","")</f>
        <v/>
      </c>
      <c r="G73" s="58">
        <f>IF(H73=1,IF(INDEX(tx_Cust,67)&amp;""&lt;&gt;"",INDEX(tx_Cust,67)&amp;"",INDEX(tx_Vend,67)&amp;""),"")</f>
        <v/>
      </c>
      <c r="H73" s="101">
        <f>IFERROR(N(INDEX(tx_Posted,67)),0)</f>
        <v/>
      </c>
      <c r="I73" s="58">
        <f>IF(H73=1,INDEX(tx_DrAcct,67)&amp;"","")</f>
        <v/>
      </c>
      <c r="J73" s="95">
        <f>IF(H73=1,INDEX(tx_DrAmt,67),0)</f>
        <v/>
      </c>
      <c r="K73" s="58">
        <f>IF(H73=1,INDEX(tx_CrAcct,67)&amp;"","")</f>
        <v/>
      </c>
      <c r="L73" s="95">
        <f>IF(H73=1,INDEX(tx_CrAmt,67),0)</f>
        <v/>
      </c>
      <c r="M73" s="95">
        <f>IF(H73=1,INDEX(tx_TaxDr,67),0)</f>
        <v/>
      </c>
      <c r="N73" s="95">
        <f>IF(H73=1,INDEX(tx_TaxCr,67),0)</f>
        <v/>
      </c>
      <c r="O73" s="101">
        <f>IF(H73=1,IF(E73&lt;FYStart,0,IF(E73&gt;FYEnd,13,YEAR(E73)*12+MONTH(E73)-FYYM+1)),"")</f>
        <v/>
      </c>
      <c r="P73" s="101">
        <f>IF(H73=1,IF(IFERROR(INDEX(coa_CF,MATCH(I73,coa_Name,0)),"")="Cash",1,0),0)</f>
        <v/>
      </c>
      <c r="Q73" s="101">
        <f>IF(H73=1,IF(IFERROR(INDEX(coa_CF,MATCH(K73,coa_Name,0)),"")="Cash",1,0),0)</f>
        <v/>
      </c>
      <c r="R73" s="58">
        <f>IF((P73-Q73)=0,"",IFERROR(INDEX(coa_CF,MATCH(IF((P73-Q73)=1,K73,I73),coa_Name,0)),"Operating"))</f>
        <v/>
      </c>
      <c r="S73" s="95">
        <f>IF((P73-Q73)=1,L73,IF((P73-Q73)=-1,-J73,0))</f>
        <v/>
      </c>
      <c r="T73" s="95">
        <f>IF((P73-Q73)=1,N73,IF((P73-Q73)=-1,-M73,0))</f>
        <v/>
      </c>
      <c r="U73" s="101">
        <f>IF(AND(H73=1,LedAcct&lt;&gt;""),IF(AND(E73&gt;=LedFrom,E73&lt;=LedTo,OR(I73=LedAcct,K73=LedAcct,AND(LedAcct=acctTax,M73+N73&lt;&gt;0))),E73*10000+B73,""),"")</f>
        <v/>
      </c>
    </row>
    <row r="74">
      <c r="B74" s="101" t="n">
        <v>68</v>
      </c>
      <c r="C74" s="58" t="inlineStr">
        <is>
          <t>Transaction</t>
        </is>
      </c>
      <c r="D74" s="58">
        <f>IF(H74=1,INDEX(tx_ID,68)&amp;"","")</f>
        <v/>
      </c>
      <c r="E74" s="94">
        <f>IF(H74=1,INDEX(tx_Date,68),"")</f>
        <v/>
      </c>
      <c r="F74" s="58">
        <f>IF(H74=1,INDEX(tx_Desc,68)&amp;"","")</f>
        <v/>
      </c>
      <c r="G74" s="58">
        <f>IF(H74=1,IF(INDEX(tx_Cust,68)&amp;""&lt;&gt;"",INDEX(tx_Cust,68)&amp;"",INDEX(tx_Vend,68)&amp;""),"")</f>
        <v/>
      </c>
      <c r="H74" s="101">
        <f>IFERROR(N(INDEX(tx_Posted,68)),0)</f>
        <v/>
      </c>
      <c r="I74" s="58">
        <f>IF(H74=1,INDEX(tx_DrAcct,68)&amp;"","")</f>
        <v/>
      </c>
      <c r="J74" s="95">
        <f>IF(H74=1,INDEX(tx_DrAmt,68),0)</f>
        <v/>
      </c>
      <c r="K74" s="58">
        <f>IF(H74=1,INDEX(tx_CrAcct,68)&amp;"","")</f>
        <v/>
      </c>
      <c r="L74" s="95">
        <f>IF(H74=1,INDEX(tx_CrAmt,68),0)</f>
        <v/>
      </c>
      <c r="M74" s="95">
        <f>IF(H74=1,INDEX(tx_TaxDr,68),0)</f>
        <v/>
      </c>
      <c r="N74" s="95">
        <f>IF(H74=1,INDEX(tx_TaxCr,68),0)</f>
        <v/>
      </c>
      <c r="O74" s="101">
        <f>IF(H74=1,IF(E74&lt;FYStart,0,IF(E74&gt;FYEnd,13,YEAR(E74)*12+MONTH(E74)-FYYM+1)),"")</f>
        <v/>
      </c>
      <c r="P74" s="101">
        <f>IF(H74=1,IF(IFERROR(INDEX(coa_CF,MATCH(I74,coa_Name,0)),"")="Cash",1,0),0)</f>
        <v/>
      </c>
      <c r="Q74" s="101">
        <f>IF(H74=1,IF(IFERROR(INDEX(coa_CF,MATCH(K74,coa_Name,0)),"")="Cash",1,0),0)</f>
        <v/>
      </c>
      <c r="R74" s="58">
        <f>IF((P74-Q74)=0,"",IFERROR(INDEX(coa_CF,MATCH(IF((P74-Q74)=1,K74,I74),coa_Name,0)),"Operating"))</f>
        <v/>
      </c>
      <c r="S74" s="95">
        <f>IF((P74-Q74)=1,L74,IF((P74-Q74)=-1,-J74,0))</f>
        <v/>
      </c>
      <c r="T74" s="95">
        <f>IF((P74-Q74)=1,N74,IF((P74-Q74)=-1,-M74,0))</f>
        <v/>
      </c>
      <c r="U74" s="101">
        <f>IF(AND(H74=1,LedAcct&lt;&gt;""),IF(AND(E74&gt;=LedFrom,E74&lt;=LedTo,OR(I74=LedAcct,K74=LedAcct,AND(LedAcct=acctTax,M74+N74&lt;&gt;0))),E74*10000+B74,""),"")</f>
        <v/>
      </c>
    </row>
    <row r="75">
      <c r="B75" s="101" t="n">
        <v>69</v>
      </c>
      <c r="C75" s="58" t="inlineStr">
        <is>
          <t>Transaction</t>
        </is>
      </c>
      <c r="D75" s="58">
        <f>IF(H75=1,INDEX(tx_ID,69)&amp;"","")</f>
        <v/>
      </c>
      <c r="E75" s="94">
        <f>IF(H75=1,INDEX(tx_Date,69),"")</f>
        <v/>
      </c>
      <c r="F75" s="58">
        <f>IF(H75=1,INDEX(tx_Desc,69)&amp;"","")</f>
        <v/>
      </c>
      <c r="G75" s="58">
        <f>IF(H75=1,IF(INDEX(tx_Cust,69)&amp;""&lt;&gt;"",INDEX(tx_Cust,69)&amp;"",INDEX(tx_Vend,69)&amp;""),"")</f>
        <v/>
      </c>
      <c r="H75" s="101">
        <f>IFERROR(N(INDEX(tx_Posted,69)),0)</f>
        <v/>
      </c>
      <c r="I75" s="58">
        <f>IF(H75=1,INDEX(tx_DrAcct,69)&amp;"","")</f>
        <v/>
      </c>
      <c r="J75" s="95">
        <f>IF(H75=1,INDEX(tx_DrAmt,69),0)</f>
        <v/>
      </c>
      <c r="K75" s="58">
        <f>IF(H75=1,INDEX(tx_CrAcct,69)&amp;"","")</f>
        <v/>
      </c>
      <c r="L75" s="95">
        <f>IF(H75=1,INDEX(tx_CrAmt,69),0)</f>
        <v/>
      </c>
      <c r="M75" s="95">
        <f>IF(H75=1,INDEX(tx_TaxDr,69),0)</f>
        <v/>
      </c>
      <c r="N75" s="95">
        <f>IF(H75=1,INDEX(tx_TaxCr,69),0)</f>
        <v/>
      </c>
      <c r="O75" s="101">
        <f>IF(H75=1,IF(E75&lt;FYStart,0,IF(E75&gt;FYEnd,13,YEAR(E75)*12+MONTH(E75)-FYYM+1)),"")</f>
        <v/>
      </c>
      <c r="P75" s="101">
        <f>IF(H75=1,IF(IFERROR(INDEX(coa_CF,MATCH(I75,coa_Name,0)),"")="Cash",1,0),0)</f>
        <v/>
      </c>
      <c r="Q75" s="101">
        <f>IF(H75=1,IF(IFERROR(INDEX(coa_CF,MATCH(K75,coa_Name,0)),"")="Cash",1,0),0)</f>
        <v/>
      </c>
      <c r="R75" s="58">
        <f>IF((P75-Q75)=0,"",IFERROR(INDEX(coa_CF,MATCH(IF((P75-Q75)=1,K75,I75),coa_Name,0)),"Operating"))</f>
        <v/>
      </c>
      <c r="S75" s="95">
        <f>IF((P75-Q75)=1,L75,IF((P75-Q75)=-1,-J75,0))</f>
        <v/>
      </c>
      <c r="T75" s="95">
        <f>IF((P75-Q75)=1,N75,IF((P75-Q75)=-1,-M75,0))</f>
        <v/>
      </c>
      <c r="U75" s="101">
        <f>IF(AND(H75=1,LedAcct&lt;&gt;""),IF(AND(E75&gt;=LedFrom,E75&lt;=LedTo,OR(I75=LedAcct,K75=LedAcct,AND(LedAcct=acctTax,M75+N75&lt;&gt;0))),E75*10000+B75,""),"")</f>
        <v/>
      </c>
    </row>
    <row r="76">
      <c r="B76" s="101" t="n">
        <v>70</v>
      </c>
      <c r="C76" s="58" t="inlineStr">
        <is>
          <t>Transaction</t>
        </is>
      </c>
      <c r="D76" s="58">
        <f>IF(H76=1,INDEX(tx_ID,70)&amp;"","")</f>
        <v/>
      </c>
      <c r="E76" s="94">
        <f>IF(H76=1,INDEX(tx_Date,70),"")</f>
        <v/>
      </c>
      <c r="F76" s="58">
        <f>IF(H76=1,INDEX(tx_Desc,70)&amp;"","")</f>
        <v/>
      </c>
      <c r="G76" s="58">
        <f>IF(H76=1,IF(INDEX(tx_Cust,70)&amp;""&lt;&gt;"",INDEX(tx_Cust,70)&amp;"",INDEX(tx_Vend,70)&amp;""),"")</f>
        <v/>
      </c>
      <c r="H76" s="101">
        <f>IFERROR(N(INDEX(tx_Posted,70)),0)</f>
        <v/>
      </c>
      <c r="I76" s="58">
        <f>IF(H76=1,INDEX(tx_DrAcct,70)&amp;"","")</f>
        <v/>
      </c>
      <c r="J76" s="95">
        <f>IF(H76=1,INDEX(tx_DrAmt,70),0)</f>
        <v/>
      </c>
      <c r="K76" s="58">
        <f>IF(H76=1,INDEX(tx_CrAcct,70)&amp;"","")</f>
        <v/>
      </c>
      <c r="L76" s="95">
        <f>IF(H76=1,INDEX(tx_CrAmt,70),0)</f>
        <v/>
      </c>
      <c r="M76" s="95">
        <f>IF(H76=1,INDEX(tx_TaxDr,70),0)</f>
        <v/>
      </c>
      <c r="N76" s="95">
        <f>IF(H76=1,INDEX(tx_TaxCr,70),0)</f>
        <v/>
      </c>
      <c r="O76" s="101">
        <f>IF(H76=1,IF(E76&lt;FYStart,0,IF(E76&gt;FYEnd,13,YEAR(E76)*12+MONTH(E76)-FYYM+1)),"")</f>
        <v/>
      </c>
      <c r="P76" s="101">
        <f>IF(H76=1,IF(IFERROR(INDEX(coa_CF,MATCH(I76,coa_Name,0)),"")="Cash",1,0),0)</f>
        <v/>
      </c>
      <c r="Q76" s="101">
        <f>IF(H76=1,IF(IFERROR(INDEX(coa_CF,MATCH(K76,coa_Name,0)),"")="Cash",1,0),0)</f>
        <v/>
      </c>
      <c r="R76" s="58">
        <f>IF((P76-Q76)=0,"",IFERROR(INDEX(coa_CF,MATCH(IF((P76-Q76)=1,K76,I76),coa_Name,0)),"Operating"))</f>
        <v/>
      </c>
      <c r="S76" s="95">
        <f>IF((P76-Q76)=1,L76,IF((P76-Q76)=-1,-J76,0))</f>
        <v/>
      </c>
      <c r="T76" s="95">
        <f>IF((P76-Q76)=1,N76,IF((P76-Q76)=-1,-M76,0))</f>
        <v/>
      </c>
      <c r="U76" s="101">
        <f>IF(AND(H76=1,LedAcct&lt;&gt;""),IF(AND(E76&gt;=LedFrom,E76&lt;=LedTo,OR(I76=LedAcct,K76=LedAcct,AND(LedAcct=acctTax,M76+N76&lt;&gt;0))),E76*10000+B76,""),"")</f>
        <v/>
      </c>
    </row>
    <row r="77">
      <c r="B77" s="101" t="n">
        <v>71</v>
      </c>
      <c r="C77" s="58" t="inlineStr">
        <is>
          <t>Transaction</t>
        </is>
      </c>
      <c r="D77" s="58">
        <f>IF(H77=1,INDEX(tx_ID,71)&amp;"","")</f>
        <v/>
      </c>
      <c r="E77" s="94">
        <f>IF(H77=1,INDEX(tx_Date,71),"")</f>
        <v/>
      </c>
      <c r="F77" s="58">
        <f>IF(H77=1,INDEX(tx_Desc,71)&amp;"","")</f>
        <v/>
      </c>
      <c r="G77" s="58">
        <f>IF(H77=1,IF(INDEX(tx_Cust,71)&amp;""&lt;&gt;"",INDEX(tx_Cust,71)&amp;"",INDEX(tx_Vend,71)&amp;""),"")</f>
        <v/>
      </c>
      <c r="H77" s="101">
        <f>IFERROR(N(INDEX(tx_Posted,71)),0)</f>
        <v/>
      </c>
      <c r="I77" s="58">
        <f>IF(H77=1,INDEX(tx_DrAcct,71)&amp;"","")</f>
        <v/>
      </c>
      <c r="J77" s="95">
        <f>IF(H77=1,INDEX(tx_DrAmt,71),0)</f>
        <v/>
      </c>
      <c r="K77" s="58">
        <f>IF(H77=1,INDEX(tx_CrAcct,71)&amp;"","")</f>
        <v/>
      </c>
      <c r="L77" s="95">
        <f>IF(H77=1,INDEX(tx_CrAmt,71),0)</f>
        <v/>
      </c>
      <c r="M77" s="95">
        <f>IF(H77=1,INDEX(tx_TaxDr,71),0)</f>
        <v/>
      </c>
      <c r="N77" s="95">
        <f>IF(H77=1,INDEX(tx_TaxCr,71),0)</f>
        <v/>
      </c>
      <c r="O77" s="101">
        <f>IF(H77=1,IF(E77&lt;FYStart,0,IF(E77&gt;FYEnd,13,YEAR(E77)*12+MONTH(E77)-FYYM+1)),"")</f>
        <v/>
      </c>
      <c r="P77" s="101">
        <f>IF(H77=1,IF(IFERROR(INDEX(coa_CF,MATCH(I77,coa_Name,0)),"")="Cash",1,0),0)</f>
        <v/>
      </c>
      <c r="Q77" s="101">
        <f>IF(H77=1,IF(IFERROR(INDEX(coa_CF,MATCH(K77,coa_Name,0)),"")="Cash",1,0),0)</f>
        <v/>
      </c>
      <c r="R77" s="58">
        <f>IF((P77-Q77)=0,"",IFERROR(INDEX(coa_CF,MATCH(IF((P77-Q77)=1,K77,I77),coa_Name,0)),"Operating"))</f>
        <v/>
      </c>
      <c r="S77" s="95">
        <f>IF((P77-Q77)=1,L77,IF((P77-Q77)=-1,-J77,0))</f>
        <v/>
      </c>
      <c r="T77" s="95">
        <f>IF((P77-Q77)=1,N77,IF((P77-Q77)=-1,-M77,0))</f>
        <v/>
      </c>
      <c r="U77" s="101">
        <f>IF(AND(H77=1,LedAcct&lt;&gt;""),IF(AND(E77&gt;=LedFrom,E77&lt;=LedTo,OR(I77=LedAcct,K77=LedAcct,AND(LedAcct=acctTax,M77+N77&lt;&gt;0))),E77*10000+B77,""),"")</f>
        <v/>
      </c>
    </row>
    <row r="78">
      <c r="B78" s="101" t="n">
        <v>72</v>
      </c>
      <c r="C78" s="58" t="inlineStr">
        <is>
          <t>Transaction</t>
        </is>
      </c>
      <c r="D78" s="58">
        <f>IF(H78=1,INDEX(tx_ID,72)&amp;"","")</f>
        <v/>
      </c>
      <c r="E78" s="94">
        <f>IF(H78=1,INDEX(tx_Date,72),"")</f>
        <v/>
      </c>
      <c r="F78" s="58">
        <f>IF(H78=1,INDEX(tx_Desc,72)&amp;"","")</f>
        <v/>
      </c>
      <c r="G78" s="58">
        <f>IF(H78=1,IF(INDEX(tx_Cust,72)&amp;""&lt;&gt;"",INDEX(tx_Cust,72)&amp;"",INDEX(tx_Vend,72)&amp;""),"")</f>
        <v/>
      </c>
      <c r="H78" s="101">
        <f>IFERROR(N(INDEX(tx_Posted,72)),0)</f>
        <v/>
      </c>
      <c r="I78" s="58">
        <f>IF(H78=1,INDEX(tx_DrAcct,72)&amp;"","")</f>
        <v/>
      </c>
      <c r="J78" s="95">
        <f>IF(H78=1,INDEX(tx_DrAmt,72),0)</f>
        <v/>
      </c>
      <c r="K78" s="58">
        <f>IF(H78=1,INDEX(tx_CrAcct,72)&amp;"","")</f>
        <v/>
      </c>
      <c r="L78" s="95">
        <f>IF(H78=1,INDEX(tx_CrAmt,72),0)</f>
        <v/>
      </c>
      <c r="M78" s="95">
        <f>IF(H78=1,INDEX(tx_TaxDr,72),0)</f>
        <v/>
      </c>
      <c r="N78" s="95">
        <f>IF(H78=1,INDEX(tx_TaxCr,72),0)</f>
        <v/>
      </c>
      <c r="O78" s="101">
        <f>IF(H78=1,IF(E78&lt;FYStart,0,IF(E78&gt;FYEnd,13,YEAR(E78)*12+MONTH(E78)-FYYM+1)),"")</f>
        <v/>
      </c>
      <c r="P78" s="101">
        <f>IF(H78=1,IF(IFERROR(INDEX(coa_CF,MATCH(I78,coa_Name,0)),"")="Cash",1,0),0)</f>
        <v/>
      </c>
      <c r="Q78" s="101">
        <f>IF(H78=1,IF(IFERROR(INDEX(coa_CF,MATCH(K78,coa_Name,0)),"")="Cash",1,0),0)</f>
        <v/>
      </c>
      <c r="R78" s="58">
        <f>IF((P78-Q78)=0,"",IFERROR(INDEX(coa_CF,MATCH(IF((P78-Q78)=1,K78,I78),coa_Name,0)),"Operating"))</f>
        <v/>
      </c>
      <c r="S78" s="95">
        <f>IF((P78-Q78)=1,L78,IF((P78-Q78)=-1,-J78,0))</f>
        <v/>
      </c>
      <c r="T78" s="95">
        <f>IF((P78-Q78)=1,N78,IF((P78-Q78)=-1,-M78,0))</f>
        <v/>
      </c>
      <c r="U78" s="101">
        <f>IF(AND(H78=1,LedAcct&lt;&gt;""),IF(AND(E78&gt;=LedFrom,E78&lt;=LedTo,OR(I78=LedAcct,K78=LedAcct,AND(LedAcct=acctTax,M78+N78&lt;&gt;0))),E78*10000+B78,""),"")</f>
        <v/>
      </c>
    </row>
    <row r="79">
      <c r="B79" s="101" t="n">
        <v>73</v>
      </c>
      <c r="C79" s="58" t="inlineStr">
        <is>
          <t>Transaction</t>
        </is>
      </c>
      <c r="D79" s="58">
        <f>IF(H79=1,INDEX(tx_ID,73)&amp;"","")</f>
        <v/>
      </c>
      <c r="E79" s="94">
        <f>IF(H79=1,INDEX(tx_Date,73),"")</f>
        <v/>
      </c>
      <c r="F79" s="58">
        <f>IF(H79=1,INDEX(tx_Desc,73)&amp;"","")</f>
        <v/>
      </c>
      <c r="G79" s="58">
        <f>IF(H79=1,IF(INDEX(tx_Cust,73)&amp;""&lt;&gt;"",INDEX(tx_Cust,73)&amp;"",INDEX(tx_Vend,73)&amp;""),"")</f>
        <v/>
      </c>
      <c r="H79" s="101">
        <f>IFERROR(N(INDEX(tx_Posted,73)),0)</f>
        <v/>
      </c>
      <c r="I79" s="58">
        <f>IF(H79=1,INDEX(tx_DrAcct,73)&amp;"","")</f>
        <v/>
      </c>
      <c r="J79" s="95">
        <f>IF(H79=1,INDEX(tx_DrAmt,73),0)</f>
        <v/>
      </c>
      <c r="K79" s="58">
        <f>IF(H79=1,INDEX(tx_CrAcct,73)&amp;"","")</f>
        <v/>
      </c>
      <c r="L79" s="95">
        <f>IF(H79=1,INDEX(tx_CrAmt,73),0)</f>
        <v/>
      </c>
      <c r="M79" s="95">
        <f>IF(H79=1,INDEX(tx_TaxDr,73),0)</f>
        <v/>
      </c>
      <c r="N79" s="95">
        <f>IF(H79=1,INDEX(tx_TaxCr,73),0)</f>
        <v/>
      </c>
      <c r="O79" s="101">
        <f>IF(H79=1,IF(E79&lt;FYStart,0,IF(E79&gt;FYEnd,13,YEAR(E79)*12+MONTH(E79)-FYYM+1)),"")</f>
        <v/>
      </c>
      <c r="P79" s="101">
        <f>IF(H79=1,IF(IFERROR(INDEX(coa_CF,MATCH(I79,coa_Name,0)),"")="Cash",1,0),0)</f>
        <v/>
      </c>
      <c r="Q79" s="101">
        <f>IF(H79=1,IF(IFERROR(INDEX(coa_CF,MATCH(K79,coa_Name,0)),"")="Cash",1,0),0)</f>
        <v/>
      </c>
      <c r="R79" s="58">
        <f>IF((P79-Q79)=0,"",IFERROR(INDEX(coa_CF,MATCH(IF((P79-Q79)=1,K79,I79),coa_Name,0)),"Operating"))</f>
        <v/>
      </c>
      <c r="S79" s="95">
        <f>IF((P79-Q79)=1,L79,IF((P79-Q79)=-1,-J79,0))</f>
        <v/>
      </c>
      <c r="T79" s="95">
        <f>IF((P79-Q79)=1,N79,IF((P79-Q79)=-1,-M79,0))</f>
        <v/>
      </c>
      <c r="U79" s="101">
        <f>IF(AND(H79=1,LedAcct&lt;&gt;""),IF(AND(E79&gt;=LedFrom,E79&lt;=LedTo,OR(I79=LedAcct,K79=LedAcct,AND(LedAcct=acctTax,M79+N79&lt;&gt;0))),E79*10000+B79,""),"")</f>
        <v/>
      </c>
    </row>
    <row r="80">
      <c r="B80" s="101" t="n">
        <v>74</v>
      </c>
      <c r="C80" s="58" t="inlineStr">
        <is>
          <t>Transaction</t>
        </is>
      </c>
      <c r="D80" s="58">
        <f>IF(H80=1,INDEX(tx_ID,74)&amp;"","")</f>
        <v/>
      </c>
      <c r="E80" s="94">
        <f>IF(H80=1,INDEX(tx_Date,74),"")</f>
        <v/>
      </c>
      <c r="F80" s="58">
        <f>IF(H80=1,INDEX(tx_Desc,74)&amp;"","")</f>
        <v/>
      </c>
      <c r="G80" s="58">
        <f>IF(H80=1,IF(INDEX(tx_Cust,74)&amp;""&lt;&gt;"",INDEX(tx_Cust,74)&amp;"",INDEX(tx_Vend,74)&amp;""),"")</f>
        <v/>
      </c>
      <c r="H80" s="101">
        <f>IFERROR(N(INDEX(tx_Posted,74)),0)</f>
        <v/>
      </c>
      <c r="I80" s="58">
        <f>IF(H80=1,INDEX(tx_DrAcct,74)&amp;"","")</f>
        <v/>
      </c>
      <c r="J80" s="95">
        <f>IF(H80=1,INDEX(tx_DrAmt,74),0)</f>
        <v/>
      </c>
      <c r="K80" s="58">
        <f>IF(H80=1,INDEX(tx_CrAcct,74)&amp;"","")</f>
        <v/>
      </c>
      <c r="L80" s="95">
        <f>IF(H80=1,INDEX(tx_CrAmt,74),0)</f>
        <v/>
      </c>
      <c r="M80" s="95">
        <f>IF(H80=1,INDEX(tx_TaxDr,74),0)</f>
        <v/>
      </c>
      <c r="N80" s="95">
        <f>IF(H80=1,INDEX(tx_TaxCr,74),0)</f>
        <v/>
      </c>
      <c r="O80" s="101">
        <f>IF(H80=1,IF(E80&lt;FYStart,0,IF(E80&gt;FYEnd,13,YEAR(E80)*12+MONTH(E80)-FYYM+1)),"")</f>
        <v/>
      </c>
      <c r="P80" s="101">
        <f>IF(H80=1,IF(IFERROR(INDEX(coa_CF,MATCH(I80,coa_Name,0)),"")="Cash",1,0),0)</f>
        <v/>
      </c>
      <c r="Q80" s="101">
        <f>IF(H80=1,IF(IFERROR(INDEX(coa_CF,MATCH(K80,coa_Name,0)),"")="Cash",1,0),0)</f>
        <v/>
      </c>
      <c r="R80" s="58">
        <f>IF((P80-Q80)=0,"",IFERROR(INDEX(coa_CF,MATCH(IF((P80-Q80)=1,K80,I80),coa_Name,0)),"Operating"))</f>
        <v/>
      </c>
      <c r="S80" s="95">
        <f>IF((P80-Q80)=1,L80,IF((P80-Q80)=-1,-J80,0))</f>
        <v/>
      </c>
      <c r="T80" s="95">
        <f>IF((P80-Q80)=1,N80,IF((P80-Q80)=-1,-M80,0))</f>
        <v/>
      </c>
      <c r="U80" s="101">
        <f>IF(AND(H80=1,LedAcct&lt;&gt;""),IF(AND(E80&gt;=LedFrom,E80&lt;=LedTo,OR(I80=LedAcct,K80=LedAcct,AND(LedAcct=acctTax,M80+N80&lt;&gt;0))),E80*10000+B80,""),"")</f>
        <v/>
      </c>
    </row>
    <row r="81">
      <c r="B81" s="101" t="n">
        <v>75</v>
      </c>
      <c r="C81" s="58" t="inlineStr">
        <is>
          <t>Transaction</t>
        </is>
      </c>
      <c r="D81" s="58">
        <f>IF(H81=1,INDEX(tx_ID,75)&amp;"","")</f>
        <v/>
      </c>
      <c r="E81" s="94">
        <f>IF(H81=1,INDEX(tx_Date,75),"")</f>
        <v/>
      </c>
      <c r="F81" s="58">
        <f>IF(H81=1,INDEX(tx_Desc,75)&amp;"","")</f>
        <v/>
      </c>
      <c r="G81" s="58">
        <f>IF(H81=1,IF(INDEX(tx_Cust,75)&amp;""&lt;&gt;"",INDEX(tx_Cust,75)&amp;"",INDEX(tx_Vend,75)&amp;""),"")</f>
        <v/>
      </c>
      <c r="H81" s="101">
        <f>IFERROR(N(INDEX(tx_Posted,75)),0)</f>
        <v/>
      </c>
      <c r="I81" s="58">
        <f>IF(H81=1,INDEX(tx_DrAcct,75)&amp;"","")</f>
        <v/>
      </c>
      <c r="J81" s="95">
        <f>IF(H81=1,INDEX(tx_DrAmt,75),0)</f>
        <v/>
      </c>
      <c r="K81" s="58">
        <f>IF(H81=1,INDEX(tx_CrAcct,75)&amp;"","")</f>
        <v/>
      </c>
      <c r="L81" s="95">
        <f>IF(H81=1,INDEX(tx_CrAmt,75),0)</f>
        <v/>
      </c>
      <c r="M81" s="95">
        <f>IF(H81=1,INDEX(tx_TaxDr,75),0)</f>
        <v/>
      </c>
      <c r="N81" s="95">
        <f>IF(H81=1,INDEX(tx_TaxCr,75),0)</f>
        <v/>
      </c>
      <c r="O81" s="101">
        <f>IF(H81=1,IF(E81&lt;FYStart,0,IF(E81&gt;FYEnd,13,YEAR(E81)*12+MONTH(E81)-FYYM+1)),"")</f>
        <v/>
      </c>
      <c r="P81" s="101">
        <f>IF(H81=1,IF(IFERROR(INDEX(coa_CF,MATCH(I81,coa_Name,0)),"")="Cash",1,0),0)</f>
        <v/>
      </c>
      <c r="Q81" s="101">
        <f>IF(H81=1,IF(IFERROR(INDEX(coa_CF,MATCH(K81,coa_Name,0)),"")="Cash",1,0),0)</f>
        <v/>
      </c>
      <c r="R81" s="58">
        <f>IF((P81-Q81)=0,"",IFERROR(INDEX(coa_CF,MATCH(IF((P81-Q81)=1,K81,I81),coa_Name,0)),"Operating"))</f>
        <v/>
      </c>
      <c r="S81" s="95">
        <f>IF((P81-Q81)=1,L81,IF((P81-Q81)=-1,-J81,0))</f>
        <v/>
      </c>
      <c r="T81" s="95">
        <f>IF((P81-Q81)=1,N81,IF((P81-Q81)=-1,-M81,0))</f>
        <v/>
      </c>
      <c r="U81" s="101">
        <f>IF(AND(H81=1,LedAcct&lt;&gt;""),IF(AND(E81&gt;=LedFrom,E81&lt;=LedTo,OR(I81=LedAcct,K81=LedAcct,AND(LedAcct=acctTax,M81+N81&lt;&gt;0))),E81*10000+B81,""),"")</f>
        <v/>
      </c>
    </row>
    <row r="82">
      <c r="B82" s="101" t="n">
        <v>76</v>
      </c>
      <c r="C82" s="58" t="inlineStr">
        <is>
          <t>Transaction</t>
        </is>
      </c>
      <c r="D82" s="58">
        <f>IF(H82=1,INDEX(tx_ID,76)&amp;"","")</f>
        <v/>
      </c>
      <c r="E82" s="94">
        <f>IF(H82=1,INDEX(tx_Date,76),"")</f>
        <v/>
      </c>
      <c r="F82" s="58">
        <f>IF(H82=1,INDEX(tx_Desc,76)&amp;"","")</f>
        <v/>
      </c>
      <c r="G82" s="58">
        <f>IF(H82=1,IF(INDEX(tx_Cust,76)&amp;""&lt;&gt;"",INDEX(tx_Cust,76)&amp;"",INDEX(tx_Vend,76)&amp;""),"")</f>
        <v/>
      </c>
      <c r="H82" s="101">
        <f>IFERROR(N(INDEX(tx_Posted,76)),0)</f>
        <v/>
      </c>
      <c r="I82" s="58">
        <f>IF(H82=1,INDEX(tx_DrAcct,76)&amp;"","")</f>
        <v/>
      </c>
      <c r="J82" s="95">
        <f>IF(H82=1,INDEX(tx_DrAmt,76),0)</f>
        <v/>
      </c>
      <c r="K82" s="58">
        <f>IF(H82=1,INDEX(tx_CrAcct,76)&amp;"","")</f>
        <v/>
      </c>
      <c r="L82" s="95">
        <f>IF(H82=1,INDEX(tx_CrAmt,76),0)</f>
        <v/>
      </c>
      <c r="M82" s="95">
        <f>IF(H82=1,INDEX(tx_TaxDr,76),0)</f>
        <v/>
      </c>
      <c r="N82" s="95">
        <f>IF(H82=1,INDEX(tx_TaxCr,76),0)</f>
        <v/>
      </c>
      <c r="O82" s="101">
        <f>IF(H82=1,IF(E82&lt;FYStart,0,IF(E82&gt;FYEnd,13,YEAR(E82)*12+MONTH(E82)-FYYM+1)),"")</f>
        <v/>
      </c>
      <c r="P82" s="101">
        <f>IF(H82=1,IF(IFERROR(INDEX(coa_CF,MATCH(I82,coa_Name,0)),"")="Cash",1,0),0)</f>
        <v/>
      </c>
      <c r="Q82" s="101">
        <f>IF(H82=1,IF(IFERROR(INDEX(coa_CF,MATCH(K82,coa_Name,0)),"")="Cash",1,0),0)</f>
        <v/>
      </c>
      <c r="R82" s="58">
        <f>IF((P82-Q82)=0,"",IFERROR(INDEX(coa_CF,MATCH(IF((P82-Q82)=1,K82,I82),coa_Name,0)),"Operating"))</f>
        <v/>
      </c>
      <c r="S82" s="95">
        <f>IF((P82-Q82)=1,L82,IF((P82-Q82)=-1,-J82,0))</f>
        <v/>
      </c>
      <c r="T82" s="95">
        <f>IF((P82-Q82)=1,N82,IF((P82-Q82)=-1,-M82,0))</f>
        <v/>
      </c>
      <c r="U82" s="101">
        <f>IF(AND(H82=1,LedAcct&lt;&gt;""),IF(AND(E82&gt;=LedFrom,E82&lt;=LedTo,OR(I82=LedAcct,K82=LedAcct,AND(LedAcct=acctTax,M82+N82&lt;&gt;0))),E82*10000+B82,""),"")</f>
        <v/>
      </c>
    </row>
    <row r="83">
      <c r="B83" s="101" t="n">
        <v>77</v>
      </c>
      <c r="C83" s="58" t="inlineStr">
        <is>
          <t>Transaction</t>
        </is>
      </c>
      <c r="D83" s="58">
        <f>IF(H83=1,INDEX(tx_ID,77)&amp;"","")</f>
        <v/>
      </c>
      <c r="E83" s="94">
        <f>IF(H83=1,INDEX(tx_Date,77),"")</f>
        <v/>
      </c>
      <c r="F83" s="58">
        <f>IF(H83=1,INDEX(tx_Desc,77)&amp;"","")</f>
        <v/>
      </c>
      <c r="G83" s="58">
        <f>IF(H83=1,IF(INDEX(tx_Cust,77)&amp;""&lt;&gt;"",INDEX(tx_Cust,77)&amp;"",INDEX(tx_Vend,77)&amp;""),"")</f>
        <v/>
      </c>
      <c r="H83" s="101">
        <f>IFERROR(N(INDEX(tx_Posted,77)),0)</f>
        <v/>
      </c>
      <c r="I83" s="58">
        <f>IF(H83=1,INDEX(tx_DrAcct,77)&amp;"","")</f>
        <v/>
      </c>
      <c r="J83" s="95">
        <f>IF(H83=1,INDEX(tx_DrAmt,77),0)</f>
        <v/>
      </c>
      <c r="K83" s="58">
        <f>IF(H83=1,INDEX(tx_CrAcct,77)&amp;"","")</f>
        <v/>
      </c>
      <c r="L83" s="95">
        <f>IF(H83=1,INDEX(tx_CrAmt,77),0)</f>
        <v/>
      </c>
      <c r="M83" s="95">
        <f>IF(H83=1,INDEX(tx_TaxDr,77),0)</f>
        <v/>
      </c>
      <c r="N83" s="95">
        <f>IF(H83=1,INDEX(tx_TaxCr,77),0)</f>
        <v/>
      </c>
      <c r="O83" s="101">
        <f>IF(H83=1,IF(E83&lt;FYStart,0,IF(E83&gt;FYEnd,13,YEAR(E83)*12+MONTH(E83)-FYYM+1)),"")</f>
        <v/>
      </c>
      <c r="P83" s="101">
        <f>IF(H83=1,IF(IFERROR(INDEX(coa_CF,MATCH(I83,coa_Name,0)),"")="Cash",1,0),0)</f>
        <v/>
      </c>
      <c r="Q83" s="101">
        <f>IF(H83=1,IF(IFERROR(INDEX(coa_CF,MATCH(K83,coa_Name,0)),"")="Cash",1,0),0)</f>
        <v/>
      </c>
      <c r="R83" s="58">
        <f>IF((P83-Q83)=0,"",IFERROR(INDEX(coa_CF,MATCH(IF((P83-Q83)=1,K83,I83),coa_Name,0)),"Operating"))</f>
        <v/>
      </c>
      <c r="S83" s="95">
        <f>IF((P83-Q83)=1,L83,IF((P83-Q83)=-1,-J83,0))</f>
        <v/>
      </c>
      <c r="T83" s="95">
        <f>IF((P83-Q83)=1,N83,IF((P83-Q83)=-1,-M83,0))</f>
        <v/>
      </c>
      <c r="U83" s="101">
        <f>IF(AND(H83=1,LedAcct&lt;&gt;""),IF(AND(E83&gt;=LedFrom,E83&lt;=LedTo,OR(I83=LedAcct,K83=LedAcct,AND(LedAcct=acctTax,M83+N83&lt;&gt;0))),E83*10000+B83,""),"")</f>
        <v/>
      </c>
    </row>
    <row r="84">
      <c r="B84" s="101" t="n">
        <v>78</v>
      </c>
      <c r="C84" s="58" t="inlineStr">
        <is>
          <t>Transaction</t>
        </is>
      </c>
      <c r="D84" s="58">
        <f>IF(H84=1,INDEX(tx_ID,78)&amp;"","")</f>
        <v/>
      </c>
      <c r="E84" s="94">
        <f>IF(H84=1,INDEX(tx_Date,78),"")</f>
        <v/>
      </c>
      <c r="F84" s="58">
        <f>IF(H84=1,INDEX(tx_Desc,78)&amp;"","")</f>
        <v/>
      </c>
      <c r="G84" s="58">
        <f>IF(H84=1,IF(INDEX(tx_Cust,78)&amp;""&lt;&gt;"",INDEX(tx_Cust,78)&amp;"",INDEX(tx_Vend,78)&amp;""),"")</f>
        <v/>
      </c>
      <c r="H84" s="101">
        <f>IFERROR(N(INDEX(tx_Posted,78)),0)</f>
        <v/>
      </c>
      <c r="I84" s="58">
        <f>IF(H84=1,INDEX(tx_DrAcct,78)&amp;"","")</f>
        <v/>
      </c>
      <c r="J84" s="95">
        <f>IF(H84=1,INDEX(tx_DrAmt,78),0)</f>
        <v/>
      </c>
      <c r="K84" s="58">
        <f>IF(H84=1,INDEX(tx_CrAcct,78)&amp;"","")</f>
        <v/>
      </c>
      <c r="L84" s="95">
        <f>IF(H84=1,INDEX(tx_CrAmt,78),0)</f>
        <v/>
      </c>
      <c r="M84" s="95">
        <f>IF(H84=1,INDEX(tx_TaxDr,78),0)</f>
        <v/>
      </c>
      <c r="N84" s="95">
        <f>IF(H84=1,INDEX(tx_TaxCr,78),0)</f>
        <v/>
      </c>
      <c r="O84" s="101">
        <f>IF(H84=1,IF(E84&lt;FYStart,0,IF(E84&gt;FYEnd,13,YEAR(E84)*12+MONTH(E84)-FYYM+1)),"")</f>
        <v/>
      </c>
      <c r="P84" s="101">
        <f>IF(H84=1,IF(IFERROR(INDEX(coa_CF,MATCH(I84,coa_Name,0)),"")="Cash",1,0),0)</f>
        <v/>
      </c>
      <c r="Q84" s="101">
        <f>IF(H84=1,IF(IFERROR(INDEX(coa_CF,MATCH(K84,coa_Name,0)),"")="Cash",1,0),0)</f>
        <v/>
      </c>
      <c r="R84" s="58">
        <f>IF((P84-Q84)=0,"",IFERROR(INDEX(coa_CF,MATCH(IF((P84-Q84)=1,K84,I84),coa_Name,0)),"Operating"))</f>
        <v/>
      </c>
      <c r="S84" s="95">
        <f>IF((P84-Q84)=1,L84,IF((P84-Q84)=-1,-J84,0))</f>
        <v/>
      </c>
      <c r="T84" s="95">
        <f>IF((P84-Q84)=1,N84,IF((P84-Q84)=-1,-M84,0))</f>
        <v/>
      </c>
      <c r="U84" s="101">
        <f>IF(AND(H84=1,LedAcct&lt;&gt;""),IF(AND(E84&gt;=LedFrom,E84&lt;=LedTo,OR(I84=LedAcct,K84=LedAcct,AND(LedAcct=acctTax,M84+N84&lt;&gt;0))),E84*10000+B84,""),"")</f>
        <v/>
      </c>
    </row>
    <row r="85">
      <c r="B85" s="101" t="n">
        <v>79</v>
      </c>
      <c r="C85" s="58" t="inlineStr">
        <is>
          <t>Transaction</t>
        </is>
      </c>
      <c r="D85" s="58">
        <f>IF(H85=1,INDEX(tx_ID,79)&amp;"","")</f>
        <v/>
      </c>
      <c r="E85" s="94">
        <f>IF(H85=1,INDEX(tx_Date,79),"")</f>
        <v/>
      </c>
      <c r="F85" s="58">
        <f>IF(H85=1,INDEX(tx_Desc,79)&amp;"","")</f>
        <v/>
      </c>
      <c r="G85" s="58">
        <f>IF(H85=1,IF(INDEX(tx_Cust,79)&amp;""&lt;&gt;"",INDEX(tx_Cust,79)&amp;"",INDEX(tx_Vend,79)&amp;""),"")</f>
        <v/>
      </c>
      <c r="H85" s="101">
        <f>IFERROR(N(INDEX(tx_Posted,79)),0)</f>
        <v/>
      </c>
      <c r="I85" s="58">
        <f>IF(H85=1,INDEX(tx_DrAcct,79)&amp;"","")</f>
        <v/>
      </c>
      <c r="J85" s="95">
        <f>IF(H85=1,INDEX(tx_DrAmt,79),0)</f>
        <v/>
      </c>
      <c r="K85" s="58">
        <f>IF(H85=1,INDEX(tx_CrAcct,79)&amp;"","")</f>
        <v/>
      </c>
      <c r="L85" s="95">
        <f>IF(H85=1,INDEX(tx_CrAmt,79),0)</f>
        <v/>
      </c>
      <c r="M85" s="95">
        <f>IF(H85=1,INDEX(tx_TaxDr,79),0)</f>
        <v/>
      </c>
      <c r="N85" s="95">
        <f>IF(H85=1,INDEX(tx_TaxCr,79),0)</f>
        <v/>
      </c>
      <c r="O85" s="101">
        <f>IF(H85=1,IF(E85&lt;FYStart,0,IF(E85&gt;FYEnd,13,YEAR(E85)*12+MONTH(E85)-FYYM+1)),"")</f>
        <v/>
      </c>
      <c r="P85" s="101">
        <f>IF(H85=1,IF(IFERROR(INDEX(coa_CF,MATCH(I85,coa_Name,0)),"")="Cash",1,0),0)</f>
        <v/>
      </c>
      <c r="Q85" s="101">
        <f>IF(H85=1,IF(IFERROR(INDEX(coa_CF,MATCH(K85,coa_Name,0)),"")="Cash",1,0),0)</f>
        <v/>
      </c>
      <c r="R85" s="58">
        <f>IF((P85-Q85)=0,"",IFERROR(INDEX(coa_CF,MATCH(IF((P85-Q85)=1,K85,I85),coa_Name,0)),"Operating"))</f>
        <v/>
      </c>
      <c r="S85" s="95">
        <f>IF((P85-Q85)=1,L85,IF((P85-Q85)=-1,-J85,0))</f>
        <v/>
      </c>
      <c r="T85" s="95">
        <f>IF((P85-Q85)=1,N85,IF((P85-Q85)=-1,-M85,0))</f>
        <v/>
      </c>
      <c r="U85" s="101">
        <f>IF(AND(H85=1,LedAcct&lt;&gt;""),IF(AND(E85&gt;=LedFrom,E85&lt;=LedTo,OR(I85=LedAcct,K85=LedAcct,AND(LedAcct=acctTax,M85+N85&lt;&gt;0))),E85*10000+B85,""),"")</f>
        <v/>
      </c>
    </row>
    <row r="86">
      <c r="B86" s="101" t="n">
        <v>80</v>
      </c>
      <c r="C86" s="58" t="inlineStr">
        <is>
          <t>Transaction</t>
        </is>
      </c>
      <c r="D86" s="58">
        <f>IF(H86=1,INDEX(tx_ID,80)&amp;"","")</f>
        <v/>
      </c>
      <c r="E86" s="94">
        <f>IF(H86=1,INDEX(tx_Date,80),"")</f>
        <v/>
      </c>
      <c r="F86" s="58">
        <f>IF(H86=1,INDEX(tx_Desc,80)&amp;"","")</f>
        <v/>
      </c>
      <c r="G86" s="58">
        <f>IF(H86=1,IF(INDEX(tx_Cust,80)&amp;""&lt;&gt;"",INDEX(tx_Cust,80)&amp;"",INDEX(tx_Vend,80)&amp;""),"")</f>
        <v/>
      </c>
      <c r="H86" s="101">
        <f>IFERROR(N(INDEX(tx_Posted,80)),0)</f>
        <v/>
      </c>
      <c r="I86" s="58">
        <f>IF(H86=1,INDEX(tx_DrAcct,80)&amp;"","")</f>
        <v/>
      </c>
      <c r="J86" s="95">
        <f>IF(H86=1,INDEX(tx_DrAmt,80),0)</f>
        <v/>
      </c>
      <c r="K86" s="58">
        <f>IF(H86=1,INDEX(tx_CrAcct,80)&amp;"","")</f>
        <v/>
      </c>
      <c r="L86" s="95">
        <f>IF(H86=1,INDEX(tx_CrAmt,80),0)</f>
        <v/>
      </c>
      <c r="M86" s="95">
        <f>IF(H86=1,INDEX(tx_TaxDr,80),0)</f>
        <v/>
      </c>
      <c r="N86" s="95">
        <f>IF(H86=1,INDEX(tx_TaxCr,80),0)</f>
        <v/>
      </c>
      <c r="O86" s="101">
        <f>IF(H86=1,IF(E86&lt;FYStart,0,IF(E86&gt;FYEnd,13,YEAR(E86)*12+MONTH(E86)-FYYM+1)),"")</f>
        <v/>
      </c>
      <c r="P86" s="101">
        <f>IF(H86=1,IF(IFERROR(INDEX(coa_CF,MATCH(I86,coa_Name,0)),"")="Cash",1,0),0)</f>
        <v/>
      </c>
      <c r="Q86" s="101">
        <f>IF(H86=1,IF(IFERROR(INDEX(coa_CF,MATCH(K86,coa_Name,0)),"")="Cash",1,0),0)</f>
        <v/>
      </c>
      <c r="R86" s="58">
        <f>IF((P86-Q86)=0,"",IFERROR(INDEX(coa_CF,MATCH(IF((P86-Q86)=1,K86,I86),coa_Name,0)),"Operating"))</f>
        <v/>
      </c>
      <c r="S86" s="95">
        <f>IF((P86-Q86)=1,L86,IF((P86-Q86)=-1,-J86,0))</f>
        <v/>
      </c>
      <c r="T86" s="95">
        <f>IF((P86-Q86)=1,N86,IF((P86-Q86)=-1,-M86,0))</f>
        <v/>
      </c>
      <c r="U86" s="101">
        <f>IF(AND(H86=1,LedAcct&lt;&gt;""),IF(AND(E86&gt;=LedFrom,E86&lt;=LedTo,OR(I86=LedAcct,K86=LedAcct,AND(LedAcct=acctTax,M86+N86&lt;&gt;0))),E86*10000+B86,""),"")</f>
        <v/>
      </c>
    </row>
    <row r="87">
      <c r="B87" s="101" t="n">
        <v>81</v>
      </c>
      <c r="C87" s="58" t="inlineStr">
        <is>
          <t>Transaction</t>
        </is>
      </c>
      <c r="D87" s="58">
        <f>IF(H87=1,INDEX(tx_ID,81)&amp;"","")</f>
        <v/>
      </c>
      <c r="E87" s="94">
        <f>IF(H87=1,INDEX(tx_Date,81),"")</f>
        <v/>
      </c>
      <c r="F87" s="58">
        <f>IF(H87=1,INDEX(tx_Desc,81)&amp;"","")</f>
        <v/>
      </c>
      <c r="G87" s="58">
        <f>IF(H87=1,IF(INDEX(tx_Cust,81)&amp;""&lt;&gt;"",INDEX(tx_Cust,81)&amp;"",INDEX(tx_Vend,81)&amp;""),"")</f>
        <v/>
      </c>
      <c r="H87" s="101">
        <f>IFERROR(N(INDEX(tx_Posted,81)),0)</f>
        <v/>
      </c>
      <c r="I87" s="58">
        <f>IF(H87=1,INDEX(tx_DrAcct,81)&amp;"","")</f>
        <v/>
      </c>
      <c r="J87" s="95">
        <f>IF(H87=1,INDEX(tx_DrAmt,81),0)</f>
        <v/>
      </c>
      <c r="K87" s="58">
        <f>IF(H87=1,INDEX(tx_CrAcct,81)&amp;"","")</f>
        <v/>
      </c>
      <c r="L87" s="95">
        <f>IF(H87=1,INDEX(tx_CrAmt,81),0)</f>
        <v/>
      </c>
      <c r="M87" s="95">
        <f>IF(H87=1,INDEX(tx_TaxDr,81),0)</f>
        <v/>
      </c>
      <c r="N87" s="95">
        <f>IF(H87=1,INDEX(tx_TaxCr,81),0)</f>
        <v/>
      </c>
      <c r="O87" s="101">
        <f>IF(H87=1,IF(E87&lt;FYStart,0,IF(E87&gt;FYEnd,13,YEAR(E87)*12+MONTH(E87)-FYYM+1)),"")</f>
        <v/>
      </c>
      <c r="P87" s="101">
        <f>IF(H87=1,IF(IFERROR(INDEX(coa_CF,MATCH(I87,coa_Name,0)),"")="Cash",1,0),0)</f>
        <v/>
      </c>
      <c r="Q87" s="101">
        <f>IF(H87=1,IF(IFERROR(INDEX(coa_CF,MATCH(K87,coa_Name,0)),"")="Cash",1,0),0)</f>
        <v/>
      </c>
      <c r="R87" s="58">
        <f>IF((P87-Q87)=0,"",IFERROR(INDEX(coa_CF,MATCH(IF((P87-Q87)=1,K87,I87),coa_Name,0)),"Operating"))</f>
        <v/>
      </c>
      <c r="S87" s="95">
        <f>IF((P87-Q87)=1,L87,IF((P87-Q87)=-1,-J87,0))</f>
        <v/>
      </c>
      <c r="T87" s="95">
        <f>IF((P87-Q87)=1,N87,IF((P87-Q87)=-1,-M87,0))</f>
        <v/>
      </c>
      <c r="U87" s="101">
        <f>IF(AND(H87=1,LedAcct&lt;&gt;""),IF(AND(E87&gt;=LedFrom,E87&lt;=LedTo,OR(I87=LedAcct,K87=LedAcct,AND(LedAcct=acctTax,M87+N87&lt;&gt;0))),E87*10000+B87,""),"")</f>
        <v/>
      </c>
    </row>
    <row r="88">
      <c r="B88" s="101" t="n">
        <v>82</v>
      </c>
      <c r="C88" s="58" t="inlineStr">
        <is>
          <t>Transaction</t>
        </is>
      </c>
      <c r="D88" s="58">
        <f>IF(H88=1,INDEX(tx_ID,82)&amp;"","")</f>
        <v/>
      </c>
      <c r="E88" s="94">
        <f>IF(H88=1,INDEX(tx_Date,82),"")</f>
        <v/>
      </c>
      <c r="F88" s="58">
        <f>IF(H88=1,INDEX(tx_Desc,82)&amp;"","")</f>
        <v/>
      </c>
      <c r="G88" s="58">
        <f>IF(H88=1,IF(INDEX(tx_Cust,82)&amp;""&lt;&gt;"",INDEX(tx_Cust,82)&amp;"",INDEX(tx_Vend,82)&amp;""),"")</f>
        <v/>
      </c>
      <c r="H88" s="101">
        <f>IFERROR(N(INDEX(tx_Posted,82)),0)</f>
        <v/>
      </c>
      <c r="I88" s="58">
        <f>IF(H88=1,INDEX(tx_DrAcct,82)&amp;"","")</f>
        <v/>
      </c>
      <c r="J88" s="95">
        <f>IF(H88=1,INDEX(tx_DrAmt,82),0)</f>
        <v/>
      </c>
      <c r="K88" s="58">
        <f>IF(H88=1,INDEX(tx_CrAcct,82)&amp;"","")</f>
        <v/>
      </c>
      <c r="L88" s="95">
        <f>IF(H88=1,INDEX(tx_CrAmt,82),0)</f>
        <v/>
      </c>
      <c r="M88" s="95">
        <f>IF(H88=1,INDEX(tx_TaxDr,82),0)</f>
        <v/>
      </c>
      <c r="N88" s="95">
        <f>IF(H88=1,INDEX(tx_TaxCr,82),0)</f>
        <v/>
      </c>
      <c r="O88" s="101">
        <f>IF(H88=1,IF(E88&lt;FYStart,0,IF(E88&gt;FYEnd,13,YEAR(E88)*12+MONTH(E88)-FYYM+1)),"")</f>
        <v/>
      </c>
      <c r="P88" s="101">
        <f>IF(H88=1,IF(IFERROR(INDEX(coa_CF,MATCH(I88,coa_Name,0)),"")="Cash",1,0),0)</f>
        <v/>
      </c>
      <c r="Q88" s="101">
        <f>IF(H88=1,IF(IFERROR(INDEX(coa_CF,MATCH(K88,coa_Name,0)),"")="Cash",1,0),0)</f>
        <v/>
      </c>
      <c r="R88" s="58">
        <f>IF((P88-Q88)=0,"",IFERROR(INDEX(coa_CF,MATCH(IF((P88-Q88)=1,K88,I88),coa_Name,0)),"Operating"))</f>
        <v/>
      </c>
      <c r="S88" s="95">
        <f>IF((P88-Q88)=1,L88,IF((P88-Q88)=-1,-J88,0))</f>
        <v/>
      </c>
      <c r="T88" s="95">
        <f>IF((P88-Q88)=1,N88,IF((P88-Q88)=-1,-M88,0))</f>
        <v/>
      </c>
      <c r="U88" s="101">
        <f>IF(AND(H88=1,LedAcct&lt;&gt;""),IF(AND(E88&gt;=LedFrom,E88&lt;=LedTo,OR(I88=LedAcct,K88=LedAcct,AND(LedAcct=acctTax,M88+N88&lt;&gt;0))),E88*10000+B88,""),"")</f>
        <v/>
      </c>
    </row>
    <row r="89">
      <c r="B89" s="101" t="n">
        <v>83</v>
      </c>
      <c r="C89" s="58" t="inlineStr">
        <is>
          <t>Transaction</t>
        </is>
      </c>
      <c r="D89" s="58">
        <f>IF(H89=1,INDEX(tx_ID,83)&amp;"","")</f>
        <v/>
      </c>
      <c r="E89" s="94">
        <f>IF(H89=1,INDEX(tx_Date,83),"")</f>
        <v/>
      </c>
      <c r="F89" s="58">
        <f>IF(H89=1,INDEX(tx_Desc,83)&amp;"","")</f>
        <v/>
      </c>
      <c r="G89" s="58">
        <f>IF(H89=1,IF(INDEX(tx_Cust,83)&amp;""&lt;&gt;"",INDEX(tx_Cust,83)&amp;"",INDEX(tx_Vend,83)&amp;""),"")</f>
        <v/>
      </c>
      <c r="H89" s="101">
        <f>IFERROR(N(INDEX(tx_Posted,83)),0)</f>
        <v/>
      </c>
      <c r="I89" s="58">
        <f>IF(H89=1,INDEX(tx_DrAcct,83)&amp;"","")</f>
        <v/>
      </c>
      <c r="J89" s="95">
        <f>IF(H89=1,INDEX(tx_DrAmt,83),0)</f>
        <v/>
      </c>
      <c r="K89" s="58">
        <f>IF(H89=1,INDEX(tx_CrAcct,83)&amp;"","")</f>
        <v/>
      </c>
      <c r="L89" s="95">
        <f>IF(H89=1,INDEX(tx_CrAmt,83),0)</f>
        <v/>
      </c>
      <c r="M89" s="95">
        <f>IF(H89=1,INDEX(tx_TaxDr,83),0)</f>
        <v/>
      </c>
      <c r="N89" s="95">
        <f>IF(H89=1,INDEX(tx_TaxCr,83),0)</f>
        <v/>
      </c>
      <c r="O89" s="101">
        <f>IF(H89=1,IF(E89&lt;FYStart,0,IF(E89&gt;FYEnd,13,YEAR(E89)*12+MONTH(E89)-FYYM+1)),"")</f>
        <v/>
      </c>
      <c r="P89" s="101">
        <f>IF(H89=1,IF(IFERROR(INDEX(coa_CF,MATCH(I89,coa_Name,0)),"")="Cash",1,0),0)</f>
        <v/>
      </c>
      <c r="Q89" s="101">
        <f>IF(H89=1,IF(IFERROR(INDEX(coa_CF,MATCH(K89,coa_Name,0)),"")="Cash",1,0),0)</f>
        <v/>
      </c>
      <c r="R89" s="58">
        <f>IF((P89-Q89)=0,"",IFERROR(INDEX(coa_CF,MATCH(IF((P89-Q89)=1,K89,I89),coa_Name,0)),"Operating"))</f>
        <v/>
      </c>
      <c r="S89" s="95">
        <f>IF((P89-Q89)=1,L89,IF((P89-Q89)=-1,-J89,0))</f>
        <v/>
      </c>
      <c r="T89" s="95">
        <f>IF((P89-Q89)=1,N89,IF((P89-Q89)=-1,-M89,0))</f>
        <v/>
      </c>
      <c r="U89" s="101">
        <f>IF(AND(H89=1,LedAcct&lt;&gt;""),IF(AND(E89&gt;=LedFrom,E89&lt;=LedTo,OR(I89=LedAcct,K89=LedAcct,AND(LedAcct=acctTax,M89+N89&lt;&gt;0))),E89*10000+B89,""),"")</f>
        <v/>
      </c>
    </row>
    <row r="90">
      <c r="B90" s="101" t="n">
        <v>84</v>
      </c>
      <c r="C90" s="58" t="inlineStr">
        <is>
          <t>Transaction</t>
        </is>
      </c>
      <c r="D90" s="58">
        <f>IF(H90=1,INDEX(tx_ID,84)&amp;"","")</f>
        <v/>
      </c>
      <c r="E90" s="94">
        <f>IF(H90=1,INDEX(tx_Date,84),"")</f>
        <v/>
      </c>
      <c r="F90" s="58">
        <f>IF(H90=1,INDEX(tx_Desc,84)&amp;"","")</f>
        <v/>
      </c>
      <c r="G90" s="58">
        <f>IF(H90=1,IF(INDEX(tx_Cust,84)&amp;""&lt;&gt;"",INDEX(tx_Cust,84)&amp;"",INDEX(tx_Vend,84)&amp;""),"")</f>
        <v/>
      </c>
      <c r="H90" s="101">
        <f>IFERROR(N(INDEX(tx_Posted,84)),0)</f>
        <v/>
      </c>
      <c r="I90" s="58">
        <f>IF(H90=1,INDEX(tx_DrAcct,84)&amp;"","")</f>
        <v/>
      </c>
      <c r="J90" s="95">
        <f>IF(H90=1,INDEX(tx_DrAmt,84),0)</f>
        <v/>
      </c>
      <c r="K90" s="58">
        <f>IF(H90=1,INDEX(tx_CrAcct,84)&amp;"","")</f>
        <v/>
      </c>
      <c r="L90" s="95">
        <f>IF(H90=1,INDEX(tx_CrAmt,84),0)</f>
        <v/>
      </c>
      <c r="M90" s="95">
        <f>IF(H90=1,INDEX(tx_TaxDr,84),0)</f>
        <v/>
      </c>
      <c r="N90" s="95">
        <f>IF(H90=1,INDEX(tx_TaxCr,84),0)</f>
        <v/>
      </c>
      <c r="O90" s="101">
        <f>IF(H90=1,IF(E90&lt;FYStart,0,IF(E90&gt;FYEnd,13,YEAR(E90)*12+MONTH(E90)-FYYM+1)),"")</f>
        <v/>
      </c>
      <c r="P90" s="101">
        <f>IF(H90=1,IF(IFERROR(INDEX(coa_CF,MATCH(I90,coa_Name,0)),"")="Cash",1,0),0)</f>
        <v/>
      </c>
      <c r="Q90" s="101">
        <f>IF(H90=1,IF(IFERROR(INDEX(coa_CF,MATCH(K90,coa_Name,0)),"")="Cash",1,0),0)</f>
        <v/>
      </c>
      <c r="R90" s="58">
        <f>IF((P90-Q90)=0,"",IFERROR(INDEX(coa_CF,MATCH(IF((P90-Q90)=1,K90,I90),coa_Name,0)),"Operating"))</f>
        <v/>
      </c>
      <c r="S90" s="95">
        <f>IF((P90-Q90)=1,L90,IF((P90-Q90)=-1,-J90,0))</f>
        <v/>
      </c>
      <c r="T90" s="95">
        <f>IF((P90-Q90)=1,N90,IF((P90-Q90)=-1,-M90,0))</f>
        <v/>
      </c>
      <c r="U90" s="101">
        <f>IF(AND(H90=1,LedAcct&lt;&gt;""),IF(AND(E90&gt;=LedFrom,E90&lt;=LedTo,OR(I90=LedAcct,K90=LedAcct,AND(LedAcct=acctTax,M90+N90&lt;&gt;0))),E90*10000+B90,""),"")</f>
        <v/>
      </c>
    </row>
    <row r="91">
      <c r="B91" s="101" t="n">
        <v>85</v>
      </c>
      <c r="C91" s="58" t="inlineStr">
        <is>
          <t>Transaction</t>
        </is>
      </c>
      <c r="D91" s="58">
        <f>IF(H91=1,INDEX(tx_ID,85)&amp;"","")</f>
        <v/>
      </c>
      <c r="E91" s="94">
        <f>IF(H91=1,INDEX(tx_Date,85),"")</f>
        <v/>
      </c>
      <c r="F91" s="58">
        <f>IF(H91=1,INDEX(tx_Desc,85)&amp;"","")</f>
        <v/>
      </c>
      <c r="G91" s="58">
        <f>IF(H91=1,IF(INDEX(tx_Cust,85)&amp;""&lt;&gt;"",INDEX(tx_Cust,85)&amp;"",INDEX(tx_Vend,85)&amp;""),"")</f>
        <v/>
      </c>
      <c r="H91" s="101">
        <f>IFERROR(N(INDEX(tx_Posted,85)),0)</f>
        <v/>
      </c>
      <c r="I91" s="58">
        <f>IF(H91=1,INDEX(tx_DrAcct,85)&amp;"","")</f>
        <v/>
      </c>
      <c r="J91" s="95">
        <f>IF(H91=1,INDEX(tx_DrAmt,85),0)</f>
        <v/>
      </c>
      <c r="K91" s="58">
        <f>IF(H91=1,INDEX(tx_CrAcct,85)&amp;"","")</f>
        <v/>
      </c>
      <c r="L91" s="95">
        <f>IF(H91=1,INDEX(tx_CrAmt,85),0)</f>
        <v/>
      </c>
      <c r="M91" s="95">
        <f>IF(H91=1,INDEX(tx_TaxDr,85),0)</f>
        <v/>
      </c>
      <c r="N91" s="95">
        <f>IF(H91=1,INDEX(tx_TaxCr,85),0)</f>
        <v/>
      </c>
      <c r="O91" s="101">
        <f>IF(H91=1,IF(E91&lt;FYStart,0,IF(E91&gt;FYEnd,13,YEAR(E91)*12+MONTH(E91)-FYYM+1)),"")</f>
        <v/>
      </c>
      <c r="P91" s="101">
        <f>IF(H91=1,IF(IFERROR(INDEX(coa_CF,MATCH(I91,coa_Name,0)),"")="Cash",1,0),0)</f>
        <v/>
      </c>
      <c r="Q91" s="101">
        <f>IF(H91=1,IF(IFERROR(INDEX(coa_CF,MATCH(K91,coa_Name,0)),"")="Cash",1,0),0)</f>
        <v/>
      </c>
      <c r="R91" s="58">
        <f>IF((P91-Q91)=0,"",IFERROR(INDEX(coa_CF,MATCH(IF((P91-Q91)=1,K91,I91),coa_Name,0)),"Operating"))</f>
        <v/>
      </c>
      <c r="S91" s="95">
        <f>IF((P91-Q91)=1,L91,IF((P91-Q91)=-1,-J91,0))</f>
        <v/>
      </c>
      <c r="T91" s="95">
        <f>IF((P91-Q91)=1,N91,IF((P91-Q91)=-1,-M91,0))</f>
        <v/>
      </c>
      <c r="U91" s="101">
        <f>IF(AND(H91=1,LedAcct&lt;&gt;""),IF(AND(E91&gt;=LedFrom,E91&lt;=LedTo,OR(I91=LedAcct,K91=LedAcct,AND(LedAcct=acctTax,M91+N91&lt;&gt;0))),E91*10000+B91,""),"")</f>
        <v/>
      </c>
    </row>
    <row r="92">
      <c r="B92" s="101" t="n">
        <v>86</v>
      </c>
      <c r="C92" s="58" t="inlineStr">
        <is>
          <t>Transaction</t>
        </is>
      </c>
      <c r="D92" s="58">
        <f>IF(H92=1,INDEX(tx_ID,86)&amp;"","")</f>
        <v/>
      </c>
      <c r="E92" s="94">
        <f>IF(H92=1,INDEX(tx_Date,86),"")</f>
        <v/>
      </c>
      <c r="F92" s="58">
        <f>IF(H92=1,INDEX(tx_Desc,86)&amp;"","")</f>
        <v/>
      </c>
      <c r="G92" s="58">
        <f>IF(H92=1,IF(INDEX(tx_Cust,86)&amp;""&lt;&gt;"",INDEX(tx_Cust,86)&amp;"",INDEX(tx_Vend,86)&amp;""),"")</f>
        <v/>
      </c>
      <c r="H92" s="101">
        <f>IFERROR(N(INDEX(tx_Posted,86)),0)</f>
        <v/>
      </c>
      <c r="I92" s="58">
        <f>IF(H92=1,INDEX(tx_DrAcct,86)&amp;"","")</f>
        <v/>
      </c>
      <c r="J92" s="95">
        <f>IF(H92=1,INDEX(tx_DrAmt,86),0)</f>
        <v/>
      </c>
      <c r="K92" s="58">
        <f>IF(H92=1,INDEX(tx_CrAcct,86)&amp;"","")</f>
        <v/>
      </c>
      <c r="L92" s="95">
        <f>IF(H92=1,INDEX(tx_CrAmt,86),0)</f>
        <v/>
      </c>
      <c r="M92" s="95">
        <f>IF(H92=1,INDEX(tx_TaxDr,86),0)</f>
        <v/>
      </c>
      <c r="N92" s="95">
        <f>IF(H92=1,INDEX(tx_TaxCr,86),0)</f>
        <v/>
      </c>
      <c r="O92" s="101">
        <f>IF(H92=1,IF(E92&lt;FYStart,0,IF(E92&gt;FYEnd,13,YEAR(E92)*12+MONTH(E92)-FYYM+1)),"")</f>
        <v/>
      </c>
      <c r="P92" s="101">
        <f>IF(H92=1,IF(IFERROR(INDEX(coa_CF,MATCH(I92,coa_Name,0)),"")="Cash",1,0),0)</f>
        <v/>
      </c>
      <c r="Q92" s="101">
        <f>IF(H92=1,IF(IFERROR(INDEX(coa_CF,MATCH(K92,coa_Name,0)),"")="Cash",1,0),0)</f>
        <v/>
      </c>
      <c r="R92" s="58">
        <f>IF((P92-Q92)=0,"",IFERROR(INDEX(coa_CF,MATCH(IF((P92-Q92)=1,K92,I92),coa_Name,0)),"Operating"))</f>
        <v/>
      </c>
      <c r="S92" s="95">
        <f>IF((P92-Q92)=1,L92,IF((P92-Q92)=-1,-J92,0))</f>
        <v/>
      </c>
      <c r="T92" s="95">
        <f>IF((P92-Q92)=1,N92,IF((P92-Q92)=-1,-M92,0))</f>
        <v/>
      </c>
      <c r="U92" s="101">
        <f>IF(AND(H92=1,LedAcct&lt;&gt;""),IF(AND(E92&gt;=LedFrom,E92&lt;=LedTo,OR(I92=LedAcct,K92=LedAcct,AND(LedAcct=acctTax,M92+N92&lt;&gt;0))),E92*10000+B92,""),"")</f>
        <v/>
      </c>
    </row>
    <row r="93">
      <c r="B93" s="101" t="n">
        <v>87</v>
      </c>
      <c r="C93" s="58" t="inlineStr">
        <is>
          <t>Transaction</t>
        </is>
      </c>
      <c r="D93" s="58">
        <f>IF(H93=1,INDEX(tx_ID,87)&amp;"","")</f>
        <v/>
      </c>
      <c r="E93" s="94">
        <f>IF(H93=1,INDEX(tx_Date,87),"")</f>
        <v/>
      </c>
      <c r="F93" s="58">
        <f>IF(H93=1,INDEX(tx_Desc,87)&amp;"","")</f>
        <v/>
      </c>
      <c r="G93" s="58">
        <f>IF(H93=1,IF(INDEX(tx_Cust,87)&amp;""&lt;&gt;"",INDEX(tx_Cust,87)&amp;"",INDEX(tx_Vend,87)&amp;""),"")</f>
        <v/>
      </c>
      <c r="H93" s="101">
        <f>IFERROR(N(INDEX(tx_Posted,87)),0)</f>
        <v/>
      </c>
      <c r="I93" s="58">
        <f>IF(H93=1,INDEX(tx_DrAcct,87)&amp;"","")</f>
        <v/>
      </c>
      <c r="J93" s="95">
        <f>IF(H93=1,INDEX(tx_DrAmt,87),0)</f>
        <v/>
      </c>
      <c r="K93" s="58">
        <f>IF(H93=1,INDEX(tx_CrAcct,87)&amp;"","")</f>
        <v/>
      </c>
      <c r="L93" s="95">
        <f>IF(H93=1,INDEX(tx_CrAmt,87),0)</f>
        <v/>
      </c>
      <c r="M93" s="95">
        <f>IF(H93=1,INDEX(tx_TaxDr,87),0)</f>
        <v/>
      </c>
      <c r="N93" s="95">
        <f>IF(H93=1,INDEX(tx_TaxCr,87),0)</f>
        <v/>
      </c>
      <c r="O93" s="101">
        <f>IF(H93=1,IF(E93&lt;FYStart,0,IF(E93&gt;FYEnd,13,YEAR(E93)*12+MONTH(E93)-FYYM+1)),"")</f>
        <v/>
      </c>
      <c r="P93" s="101">
        <f>IF(H93=1,IF(IFERROR(INDEX(coa_CF,MATCH(I93,coa_Name,0)),"")="Cash",1,0),0)</f>
        <v/>
      </c>
      <c r="Q93" s="101">
        <f>IF(H93=1,IF(IFERROR(INDEX(coa_CF,MATCH(K93,coa_Name,0)),"")="Cash",1,0),0)</f>
        <v/>
      </c>
      <c r="R93" s="58">
        <f>IF((P93-Q93)=0,"",IFERROR(INDEX(coa_CF,MATCH(IF((P93-Q93)=1,K93,I93),coa_Name,0)),"Operating"))</f>
        <v/>
      </c>
      <c r="S93" s="95">
        <f>IF((P93-Q93)=1,L93,IF((P93-Q93)=-1,-J93,0))</f>
        <v/>
      </c>
      <c r="T93" s="95">
        <f>IF((P93-Q93)=1,N93,IF((P93-Q93)=-1,-M93,0))</f>
        <v/>
      </c>
      <c r="U93" s="101">
        <f>IF(AND(H93=1,LedAcct&lt;&gt;""),IF(AND(E93&gt;=LedFrom,E93&lt;=LedTo,OR(I93=LedAcct,K93=LedAcct,AND(LedAcct=acctTax,M93+N93&lt;&gt;0))),E93*10000+B93,""),"")</f>
        <v/>
      </c>
    </row>
    <row r="94">
      <c r="B94" s="101" t="n">
        <v>88</v>
      </c>
      <c r="C94" s="58" t="inlineStr">
        <is>
          <t>Transaction</t>
        </is>
      </c>
      <c r="D94" s="58">
        <f>IF(H94=1,INDEX(tx_ID,88)&amp;"","")</f>
        <v/>
      </c>
      <c r="E94" s="94">
        <f>IF(H94=1,INDEX(tx_Date,88),"")</f>
        <v/>
      </c>
      <c r="F94" s="58">
        <f>IF(H94=1,INDEX(tx_Desc,88)&amp;"","")</f>
        <v/>
      </c>
      <c r="G94" s="58">
        <f>IF(H94=1,IF(INDEX(tx_Cust,88)&amp;""&lt;&gt;"",INDEX(tx_Cust,88)&amp;"",INDEX(tx_Vend,88)&amp;""),"")</f>
        <v/>
      </c>
      <c r="H94" s="101">
        <f>IFERROR(N(INDEX(tx_Posted,88)),0)</f>
        <v/>
      </c>
      <c r="I94" s="58">
        <f>IF(H94=1,INDEX(tx_DrAcct,88)&amp;"","")</f>
        <v/>
      </c>
      <c r="J94" s="95">
        <f>IF(H94=1,INDEX(tx_DrAmt,88),0)</f>
        <v/>
      </c>
      <c r="K94" s="58">
        <f>IF(H94=1,INDEX(tx_CrAcct,88)&amp;"","")</f>
        <v/>
      </c>
      <c r="L94" s="95">
        <f>IF(H94=1,INDEX(tx_CrAmt,88),0)</f>
        <v/>
      </c>
      <c r="M94" s="95">
        <f>IF(H94=1,INDEX(tx_TaxDr,88),0)</f>
        <v/>
      </c>
      <c r="N94" s="95">
        <f>IF(H94=1,INDEX(tx_TaxCr,88),0)</f>
        <v/>
      </c>
      <c r="O94" s="101">
        <f>IF(H94=1,IF(E94&lt;FYStart,0,IF(E94&gt;FYEnd,13,YEAR(E94)*12+MONTH(E94)-FYYM+1)),"")</f>
        <v/>
      </c>
      <c r="P94" s="101">
        <f>IF(H94=1,IF(IFERROR(INDEX(coa_CF,MATCH(I94,coa_Name,0)),"")="Cash",1,0),0)</f>
        <v/>
      </c>
      <c r="Q94" s="101">
        <f>IF(H94=1,IF(IFERROR(INDEX(coa_CF,MATCH(K94,coa_Name,0)),"")="Cash",1,0),0)</f>
        <v/>
      </c>
      <c r="R94" s="58">
        <f>IF((P94-Q94)=0,"",IFERROR(INDEX(coa_CF,MATCH(IF((P94-Q94)=1,K94,I94),coa_Name,0)),"Operating"))</f>
        <v/>
      </c>
      <c r="S94" s="95">
        <f>IF((P94-Q94)=1,L94,IF((P94-Q94)=-1,-J94,0))</f>
        <v/>
      </c>
      <c r="T94" s="95">
        <f>IF((P94-Q94)=1,N94,IF((P94-Q94)=-1,-M94,0))</f>
        <v/>
      </c>
      <c r="U94" s="101">
        <f>IF(AND(H94=1,LedAcct&lt;&gt;""),IF(AND(E94&gt;=LedFrom,E94&lt;=LedTo,OR(I94=LedAcct,K94=LedAcct,AND(LedAcct=acctTax,M94+N94&lt;&gt;0))),E94*10000+B94,""),"")</f>
        <v/>
      </c>
    </row>
    <row r="95">
      <c r="B95" s="101" t="n">
        <v>89</v>
      </c>
      <c r="C95" s="58" t="inlineStr">
        <is>
          <t>Transaction</t>
        </is>
      </c>
      <c r="D95" s="58">
        <f>IF(H95=1,INDEX(tx_ID,89)&amp;"","")</f>
        <v/>
      </c>
      <c r="E95" s="94">
        <f>IF(H95=1,INDEX(tx_Date,89),"")</f>
        <v/>
      </c>
      <c r="F95" s="58">
        <f>IF(H95=1,INDEX(tx_Desc,89)&amp;"","")</f>
        <v/>
      </c>
      <c r="G95" s="58">
        <f>IF(H95=1,IF(INDEX(tx_Cust,89)&amp;""&lt;&gt;"",INDEX(tx_Cust,89)&amp;"",INDEX(tx_Vend,89)&amp;""),"")</f>
        <v/>
      </c>
      <c r="H95" s="101">
        <f>IFERROR(N(INDEX(tx_Posted,89)),0)</f>
        <v/>
      </c>
      <c r="I95" s="58">
        <f>IF(H95=1,INDEX(tx_DrAcct,89)&amp;"","")</f>
        <v/>
      </c>
      <c r="J95" s="95">
        <f>IF(H95=1,INDEX(tx_DrAmt,89),0)</f>
        <v/>
      </c>
      <c r="K95" s="58">
        <f>IF(H95=1,INDEX(tx_CrAcct,89)&amp;"","")</f>
        <v/>
      </c>
      <c r="L95" s="95">
        <f>IF(H95=1,INDEX(tx_CrAmt,89),0)</f>
        <v/>
      </c>
      <c r="M95" s="95">
        <f>IF(H95=1,INDEX(tx_TaxDr,89),0)</f>
        <v/>
      </c>
      <c r="N95" s="95">
        <f>IF(H95=1,INDEX(tx_TaxCr,89),0)</f>
        <v/>
      </c>
      <c r="O95" s="101">
        <f>IF(H95=1,IF(E95&lt;FYStart,0,IF(E95&gt;FYEnd,13,YEAR(E95)*12+MONTH(E95)-FYYM+1)),"")</f>
        <v/>
      </c>
      <c r="P95" s="101">
        <f>IF(H95=1,IF(IFERROR(INDEX(coa_CF,MATCH(I95,coa_Name,0)),"")="Cash",1,0),0)</f>
        <v/>
      </c>
      <c r="Q95" s="101">
        <f>IF(H95=1,IF(IFERROR(INDEX(coa_CF,MATCH(K95,coa_Name,0)),"")="Cash",1,0),0)</f>
        <v/>
      </c>
      <c r="R95" s="58">
        <f>IF((P95-Q95)=0,"",IFERROR(INDEX(coa_CF,MATCH(IF((P95-Q95)=1,K95,I95),coa_Name,0)),"Operating"))</f>
        <v/>
      </c>
      <c r="S95" s="95">
        <f>IF((P95-Q95)=1,L95,IF((P95-Q95)=-1,-J95,0))</f>
        <v/>
      </c>
      <c r="T95" s="95">
        <f>IF((P95-Q95)=1,N95,IF((P95-Q95)=-1,-M95,0))</f>
        <v/>
      </c>
      <c r="U95" s="101">
        <f>IF(AND(H95=1,LedAcct&lt;&gt;""),IF(AND(E95&gt;=LedFrom,E95&lt;=LedTo,OR(I95=LedAcct,K95=LedAcct,AND(LedAcct=acctTax,M95+N95&lt;&gt;0))),E95*10000+B95,""),"")</f>
        <v/>
      </c>
    </row>
    <row r="96">
      <c r="B96" s="101" t="n">
        <v>90</v>
      </c>
      <c r="C96" s="58" t="inlineStr">
        <is>
          <t>Transaction</t>
        </is>
      </c>
      <c r="D96" s="58">
        <f>IF(H96=1,INDEX(tx_ID,90)&amp;"","")</f>
        <v/>
      </c>
      <c r="E96" s="94">
        <f>IF(H96=1,INDEX(tx_Date,90),"")</f>
        <v/>
      </c>
      <c r="F96" s="58">
        <f>IF(H96=1,INDEX(tx_Desc,90)&amp;"","")</f>
        <v/>
      </c>
      <c r="G96" s="58">
        <f>IF(H96=1,IF(INDEX(tx_Cust,90)&amp;""&lt;&gt;"",INDEX(tx_Cust,90)&amp;"",INDEX(tx_Vend,90)&amp;""),"")</f>
        <v/>
      </c>
      <c r="H96" s="101">
        <f>IFERROR(N(INDEX(tx_Posted,90)),0)</f>
        <v/>
      </c>
      <c r="I96" s="58">
        <f>IF(H96=1,INDEX(tx_DrAcct,90)&amp;"","")</f>
        <v/>
      </c>
      <c r="J96" s="95">
        <f>IF(H96=1,INDEX(tx_DrAmt,90),0)</f>
        <v/>
      </c>
      <c r="K96" s="58">
        <f>IF(H96=1,INDEX(tx_CrAcct,90)&amp;"","")</f>
        <v/>
      </c>
      <c r="L96" s="95">
        <f>IF(H96=1,INDEX(tx_CrAmt,90),0)</f>
        <v/>
      </c>
      <c r="M96" s="95">
        <f>IF(H96=1,INDEX(tx_TaxDr,90),0)</f>
        <v/>
      </c>
      <c r="N96" s="95">
        <f>IF(H96=1,INDEX(tx_TaxCr,90),0)</f>
        <v/>
      </c>
      <c r="O96" s="101">
        <f>IF(H96=1,IF(E96&lt;FYStart,0,IF(E96&gt;FYEnd,13,YEAR(E96)*12+MONTH(E96)-FYYM+1)),"")</f>
        <v/>
      </c>
      <c r="P96" s="101">
        <f>IF(H96=1,IF(IFERROR(INDEX(coa_CF,MATCH(I96,coa_Name,0)),"")="Cash",1,0),0)</f>
        <v/>
      </c>
      <c r="Q96" s="101">
        <f>IF(H96=1,IF(IFERROR(INDEX(coa_CF,MATCH(K96,coa_Name,0)),"")="Cash",1,0),0)</f>
        <v/>
      </c>
      <c r="R96" s="58">
        <f>IF((P96-Q96)=0,"",IFERROR(INDEX(coa_CF,MATCH(IF((P96-Q96)=1,K96,I96),coa_Name,0)),"Operating"))</f>
        <v/>
      </c>
      <c r="S96" s="95">
        <f>IF((P96-Q96)=1,L96,IF((P96-Q96)=-1,-J96,0))</f>
        <v/>
      </c>
      <c r="T96" s="95">
        <f>IF((P96-Q96)=1,N96,IF((P96-Q96)=-1,-M96,0))</f>
        <v/>
      </c>
      <c r="U96" s="101">
        <f>IF(AND(H96=1,LedAcct&lt;&gt;""),IF(AND(E96&gt;=LedFrom,E96&lt;=LedTo,OR(I96=LedAcct,K96=LedAcct,AND(LedAcct=acctTax,M96+N96&lt;&gt;0))),E96*10000+B96,""),"")</f>
        <v/>
      </c>
    </row>
    <row r="97">
      <c r="B97" s="101" t="n">
        <v>91</v>
      </c>
      <c r="C97" s="58" t="inlineStr">
        <is>
          <t>Transaction</t>
        </is>
      </c>
      <c r="D97" s="58">
        <f>IF(H97=1,INDEX(tx_ID,91)&amp;"","")</f>
        <v/>
      </c>
      <c r="E97" s="94">
        <f>IF(H97=1,INDEX(tx_Date,91),"")</f>
        <v/>
      </c>
      <c r="F97" s="58">
        <f>IF(H97=1,INDEX(tx_Desc,91)&amp;"","")</f>
        <v/>
      </c>
      <c r="G97" s="58">
        <f>IF(H97=1,IF(INDEX(tx_Cust,91)&amp;""&lt;&gt;"",INDEX(tx_Cust,91)&amp;"",INDEX(tx_Vend,91)&amp;""),"")</f>
        <v/>
      </c>
      <c r="H97" s="101">
        <f>IFERROR(N(INDEX(tx_Posted,91)),0)</f>
        <v/>
      </c>
      <c r="I97" s="58">
        <f>IF(H97=1,INDEX(tx_DrAcct,91)&amp;"","")</f>
        <v/>
      </c>
      <c r="J97" s="95">
        <f>IF(H97=1,INDEX(tx_DrAmt,91),0)</f>
        <v/>
      </c>
      <c r="K97" s="58">
        <f>IF(H97=1,INDEX(tx_CrAcct,91)&amp;"","")</f>
        <v/>
      </c>
      <c r="L97" s="95">
        <f>IF(H97=1,INDEX(tx_CrAmt,91),0)</f>
        <v/>
      </c>
      <c r="M97" s="95">
        <f>IF(H97=1,INDEX(tx_TaxDr,91),0)</f>
        <v/>
      </c>
      <c r="N97" s="95">
        <f>IF(H97=1,INDEX(tx_TaxCr,91),0)</f>
        <v/>
      </c>
      <c r="O97" s="101">
        <f>IF(H97=1,IF(E97&lt;FYStart,0,IF(E97&gt;FYEnd,13,YEAR(E97)*12+MONTH(E97)-FYYM+1)),"")</f>
        <v/>
      </c>
      <c r="P97" s="101">
        <f>IF(H97=1,IF(IFERROR(INDEX(coa_CF,MATCH(I97,coa_Name,0)),"")="Cash",1,0),0)</f>
        <v/>
      </c>
      <c r="Q97" s="101">
        <f>IF(H97=1,IF(IFERROR(INDEX(coa_CF,MATCH(K97,coa_Name,0)),"")="Cash",1,0),0)</f>
        <v/>
      </c>
      <c r="R97" s="58">
        <f>IF((P97-Q97)=0,"",IFERROR(INDEX(coa_CF,MATCH(IF((P97-Q97)=1,K97,I97),coa_Name,0)),"Operating"))</f>
        <v/>
      </c>
      <c r="S97" s="95">
        <f>IF((P97-Q97)=1,L97,IF((P97-Q97)=-1,-J97,0))</f>
        <v/>
      </c>
      <c r="T97" s="95">
        <f>IF((P97-Q97)=1,N97,IF((P97-Q97)=-1,-M97,0))</f>
        <v/>
      </c>
      <c r="U97" s="101">
        <f>IF(AND(H97=1,LedAcct&lt;&gt;""),IF(AND(E97&gt;=LedFrom,E97&lt;=LedTo,OR(I97=LedAcct,K97=LedAcct,AND(LedAcct=acctTax,M97+N97&lt;&gt;0))),E97*10000+B97,""),"")</f>
        <v/>
      </c>
    </row>
    <row r="98">
      <c r="B98" s="101" t="n">
        <v>92</v>
      </c>
      <c r="C98" s="58" t="inlineStr">
        <is>
          <t>Transaction</t>
        </is>
      </c>
      <c r="D98" s="58">
        <f>IF(H98=1,INDEX(tx_ID,92)&amp;"","")</f>
        <v/>
      </c>
      <c r="E98" s="94">
        <f>IF(H98=1,INDEX(tx_Date,92),"")</f>
        <v/>
      </c>
      <c r="F98" s="58">
        <f>IF(H98=1,INDEX(tx_Desc,92)&amp;"","")</f>
        <v/>
      </c>
      <c r="G98" s="58">
        <f>IF(H98=1,IF(INDEX(tx_Cust,92)&amp;""&lt;&gt;"",INDEX(tx_Cust,92)&amp;"",INDEX(tx_Vend,92)&amp;""),"")</f>
        <v/>
      </c>
      <c r="H98" s="101">
        <f>IFERROR(N(INDEX(tx_Posted,92)),0)</f>
        <v/>
      </c>
      <c r="I98" s="58">
        <f>IF(H98=1,INDEX(tx_DrAcct,92)&amp;"","")</f>
        <v/>
      </c>
      <c r="J98" s="95">
        <f>IF(H98=1,INDEX(tx_DrAmt,92),0)</f>
        <v/>
      </c>
      <c r="K98" s="58">
        <f>IF(H98=1,INDEX(tx_CrAcct,92)&amp;"","")</f>
        <v/>
      </c>
      <c r="L98" s="95">
        <f>IF(H98=1,INDEX(tx_CrAmt,92),0)</f>
        <v/>
      </c>
      <c r="M98" s="95">
        <f>IF(H98=1,INDEX(tx_TaxDr,92),0)</f>
        <v/>
      </c>
      <c r="N98" s="95">
        <f>IF(H98=1,INDEX(tx_TaxCr,92),0)</f>
        <v/>
      </c>
      <c r="O98" s="101">
        <f>IF(H98=1,IF(E98&lt;FYStart,0,IF(E98&gt;FYEnd,13,YEAR(E98)*12+MONTH(E98)-FYYM+1)),"")</f>
        <v/>
      </c>
      <c r="P98" s="101">
        <f>IF(H98=1,IF(IFERROR(INDEX(coa_CF,MATCH(I98,coa_Name,0)),"")="Cash",1,0),0)</f>
        <v/>
      </c>
      <c r="Q98" s="101">
        <f>IF(H98=1,IF(IFERROR(INDEX(coa_CF,MATCH(K98,coa_Name,0)),"")="Cash",1,0),0)</f>
        <v/>
      </c>
      <c r="R98" s="58">
        <f>IF((P98-Q98)=0,"",IFERROR(INDEX(coa_CF,MATCH(IF((P98-Q98)=1,K98,I98),coa_Name,0)),"Operating"))</f>
        <v/>
      </c>
      <c r="S98" s="95">
        <f>IF((P98-Q98)=1,L98,IF((P98-Q98)=-1,-J98,0))</f>
        <v/>
      </c>
      <c r="T98" s="95">
        <f>IF((P98-Q98)=1,N98,IF((P98-Q98)=-1,-M98,0))</f>
        <v/>
      </c>
      <c r="U98" s="101">
        <f>IF(AND(H98=1,LedAcct&lt;&gt;""),IF(AND(E98&gt;=LedFrom,E98&lt;=LedTo,OR(I98=LedAcct,K98=LedAcct,AND(LedAcct=acctTax,M98+N98&lt;&gt;0))),E98*10000+B98,""),"")</f>
        <v/>
      </c>
    </row>
    <row r="99">
      <c r="B99" s="101" t="n">
        <v>93</v>
      </c>
      <c r="C99" s="58" t="inlineStr">
        <is>
          <t>Transaction</t>
        </is>
      </c>
      <c r="D99" s="58">
        <f>IF(H99=1,INDEX(tx_ID,93)&amp;"","")</f>
        <v/>
      </c>
      <c r="E99" s="94">
        <f>IF(H99=1,INDEX(tx_Date,93),"")</f>
        <v/>
      </c>
      <c r="F99" s="58">
        <f>IF(H99=1,INDEX(tx_Desc,93)&amp;"","")</f>
        <v/>
      </c>
      <c r="G99" s="58">
        <f>IF(H99=1,IF(INDEX(tx_Cust,93)&amp;""&lt;&gt;"",INDEX(tx_Cust,93)&amp;"",INDEX(tx_Vend,93)&amp;""),"")</f>
        <v/>
      </c>
      <c r="H99" s="101">
        <f>IFERROR(N(INDEX(tx_Posted,93)),0)</f>
        <v/>
      </c>
      <c r="I99" s="58">
        <f>IF(H99=1,INDEX(tx_DrAcct,93)&amp;"","")</f>
        <v/>
      </c>
      <c r="J99" s="95">
        <f>IF(H99=1,INDEX(tx_DrAmt,93),0)</f>
        <v/>
      </c>
      <c r="K99" s="58">
        <f>IF(H99=1,INDEX(tx_CrAcct,93)&amp;"","")</f>
        <v/>
      </c>
      <c r="L99" s="95">
        <f>IF(H99=1,INDEX(tx_CrAmt,93),0)</f>
        <v/>
      </c>
      <c r="M99" s="95">
        <f>IF(H99=1,INDEX(tx_TaxDr,93),0)</f>
        <v/>
      </c>
      <c r="N99" s="95">
        <f>IF(H99=1,INDEX(tx_TaxCr,93),0)</f>
        <v/>
      </c>
      <c r="O99" s="101">
        <f>IF(H99=1,IF(E99&lt;FYStart,0,IF(E99&gt;FYEnd,13,YEAR(E99)*12+MONTH(E99)-FYYM+1)),"")</f>
        <v/>
      </c>
      <c r="P99" s="101">
        <f>IF(H99=1,IF(IFERROR(INDEX(coa_CF,MATCH(I99,coa_Name,0)),"")="Cash",1,0),0)</f>
        <v/>
      </c>
      <c r="Q99" s="101">
        <f>IF(H99=1,IF(IFERROR(INDEX(coa_CF,MATCH(K99,coa_Name,0)),"")="Cash",1,0),0)</f>
        <v/>
      </c>
      <c r="R99" s="58">
        <f>IF((P99-Q99)=0,"",IFERROR(INDEX(coa_CF,MATCH(IF((P99-Q99)=1,K99,I99),coa_Name,0)),"Operating"))</f>
        <v/>
      </c>
      <c r="S99" s="95">
        <f>IF((P99-Q99)=1,L99,IF((P99-Q99)=-1,-J99,0))</f>
        <v/>
      </c>
      <c r="T99" s="95">
        <f>IF((P99-Q99)=1,N99,IF((P99-Q99)=-1,-M99,0))</f>
        <v/>
      </c>
      <c r="U99" s="101">
        <f>IF(AND(H99=1,LedAcct&lt;&gt;""),IF(AND(E99&gt;=LedFrom,E99&lt;=LedTo,OR(I99=LedAcct,K99=LedAcct,AND(LedAcct=acctTax,M99+N99&lt;&gt;0))),E99*10000+B99,""),"")</f>
        <v/>
      </c>
    </row>
    <row r="100">
      <c r="B100" s="101" t="n">
        <v>94</v>
      </c>
      <c r="C100" s="58" t="inlineStr">
        <is>
          <t>Transaction</t>
        </is>
      </c>
      <c r="D100" s="58">
        <f>IF(H100=1,INDEX(tx_ID,94)&amp;"","")</f>
        <v/>
      </c>
      <c r="E100" s="94">
        <f>IF(H100=1,INDEX(tx_Date,94),"")</f>
        <v/>
      </c>
      <c r="F100" s="58">
        <f>IF(H100=1,INDEX(tx_Desc,94)&amp;"","")</f>
        <v/>
      </c>
      <c r="G100" s="58">
        <f>IF(H100=1,IF(INDEX(tx_Cust,94)&amp;""&lt;&gt;"",INDEX(tx_Cust,94)&amp;"",INDEX(tx_Vend,94)&amp;""),"")</f>
        <v/>
      </c>
      <c r="H100" s="101">
        <f>IFERROR(N(INDEX(tx_Posted,94)),0)</f>
        <v/>
      </c>
      <c r="I100" s="58">
        <f>IF(H100=1,INDEX(tx_DrAcct,94)&amp;"","")</f>
        <v/>
      </c>
      <c r="J100" s="95">
        <f>IF(H100=1,INDEX(tx_DrAmt,94),0)</f>
        <v/>
      </c>
      <c r="K100" s="58">
        <f>IF(H100=1,INDEX(tx_CrAcct,94)&amp;"","")</f>
        <v/>
      </c>
      <c r="L100" s="95">
        <f>IF(H100=1,INDEX(tx_CrAmt,94),0)</f>
        <v/>
      </c>
      <c r="M100" s="95">
        <f>IF(H100=1,INDEX(tx_TaxDr,94),0)</f>
        <v/>
      </c>
      <c r="N100" s="95">
        <f>IF(H100=1,INDEX(tx_TaxCr,94),0)</f>
        <v/>
      </c>
      <c r="O100" s="101">
        <f>IF(H100=1,IF(E100&lt;FYStart,0,IF(E100&gt;FYEnd,13,YEAR(E100)*12+MONTH(E100)-FYYM+1)),"")</f>
        <v/>
      </c>
      <c r="P100" s="101">
        <f>IF(H100=1,IF(IFERROR(INDEX(coa_CF,MATCH(I100,coa_Name,0)),"")="Cash",1,0),0)</f>
        <v/>
      </c>
      <c r="Q100" s="101">
        <f>IF(H100=1,IF(IFERROR(INDEX(coa_CF,MATCH(K100,coa_Name,0)),"")="Cash",1,0),0)</f>
        <v/>
      </c>
      <c r="R100" s="58">
        <f>IF((P100-Q100)=0,"",IFERROR(INDEX(coa_CF,MATCH(IF((P100-Q100)=1,K100,I100),coa_Name,0)),"Operating"))</f>
        <v/>
      </c>
      <c r="S100" s="95">
        <f>IF((P100-Q100)=1,L100,IF((P100-Q100)=-1,-J100,0))</f>
        <v/>
      </c>
      <c r="T100" s="95">
        <f>IF((P100-Q100)=1,N100,IF((P100-Q100)=-1,-M100,0))</f>
        <v/>
      </c>
      <c r="U100" s="101">
        <f>IF(AND(H100=1,LedAcct&lt;&gt;""),IF(AND(E100&gt;=LedFrom,E100&lt;=LedTo,OR(I100=LedAcct,K100=LedAcct,AND(LedAcct=acctTax,M100+N100&lt;&gt;0))),E100*10000+B100,""),"")</f>
        <v/>
      </c>
    </row>
    <row r="101">
      <c r="B101" s="101" t="n">
        <v>95</v>
      </c>
      <c r="C101" s="58" t="inlineStr">
        <is>
          <t>Transaction</t>
        </is>
      </c>
      <c r="D101" s="58">
        <f>IF(H101=1,INDEX(tx_ID,95)&amp;"","")</f>
        <v/>
      </c>
      <c r="E101" s="94">
        <f>IF(H101=1,INDEX(tx_Date,95),"")</f>
        <v/>
      </c>
      <c r="F101" s="58">
        <f>IF(H101=1,INDEX(tx_Desc,95)&amp;"","")</f>
        <v/>
      </c>
      <c r="G101" s="58">
        <f>IF(H101=1,IF(INDEX(tx_Cust,95)&amp;""&lt;&gt;"",INDEX(tx_Cust,95)&amp;"",INDEX(tx_Vend,95)&amp;""),"")</f>
        <v/>
      </c>
      <c r="H101" s="101">
        <f>IFERROR(N(INDEX(tx_Posted,95)),0)</f>
        <v/>
      </c>
      <c r="I101" s="58">
        <f>IF(H101=1,INDEX(tx_DrAcct,95)&amp;"","")</f>
        <v/>
      </c>
      <c r="J101" s="95">
        <f>IF(H101=1,INDEX(tx_DrAmt,95),0)</f>
        <v/>
      </c>
      <c r="K101" s="58">
        <f>IF(H101=1,INDEX(tx_CrAcct,95)&amp;"","")</f>
        <v/>
      </c>
      <c r="L101" s="95">
        <f>IF(H101=1,INDEX(tx_CrAmt,95),0)</f>
        <v/>
      </c>
      <c r="M101" s="95">
        <f>IF(H101=1,INDEX(tx_TaxDr,95),0)</f>
        <v/>
      </c>
      <c r="N101" s="95">
        <f>IF(H101=1,INDEX(tx_TaxCr,95),0)</f>
        <v/>
      </c>
      <c r="O101" s="101">
        <f>IF(H101=1,IF(E101&lt;FYStart,0,IF(E101&gt;FYEnd,13,YEAR(E101)*12+MONTH(E101)-FYYM+1)),"")</f>
        <v/>
      </c>
      <c r="P101" s="101">
        <f>IF(H101=1,IF(IFERROR(INDEX(coa_CF,MATCH(I101,coa_Name,0)),"")="Cash",1,0),0)</f>
        <v/>
      </c>
      <c r="Q101" s="101">
        <f>IF(H101=1,IF(IFERROR(INDEX(coa_CF,MATCH(K101,coa_Name,0)),"")="Cash",1,0),0)</f>
        <v/>
      </c>
      <c r="R101" s="58">
        <f>IF((P101-Q101)=0,"",IFERROR(INDEX(coa_CF,MATCH(IF((P101-Q101)=1,K101,I101),coa_Name,0)),"Operating"))</f>
        <v/>
      </c>
      <c r="S101" s="95">
        <f>IF((P101-Q101)=1,L101,IF((P101-Q101)=-1,-J101,0))</f>
        <v/>
      </c>
      <c r="T101" s="95">
        <f>IF((P101-Q101)=1,N101,IF((P101-Q101)=-1,-M101,0))</f>
        <v/>
      </c>
      <c r="U101" s="101">
        <f>IF(AND(H101=1,LedAcct&lt;&gt;""),IF(AND(E101&gt;=LedFrom,E101&lt;=LedTo,OR(I101=LedAcct,K101=LedAcct,AND(LedAcct=acctTax,M101+N101&lt;&gt;0))),E101*10000+B101,""),"")</f>
        <v/>
      </c>
    </row>
    <row r="102">
      <c r="B102" s="101" t="n">
        <v>96</v>
      </c>
      <c r="C102" s="58" t="inlineStr">
        <is>
          <t>Transaction</t>
        </is>
      </c>
      <c r="D102" s="58">
        <f>IF(H102=1,INDEX(tx_ID,96)&amp;"","")</f>
        <v/>
      </c>
      <c r="E102" s="94">
        <f>IF(H102=1,INDEX(tx_Date,96),"")</f>
        <v/>
      </c>
      <c r="F102" s="58">
        <f>IF(H102=1,INDEX(tx_Desc,96)&amp;"","")</f>
        <v/>
      </c>
      <c r="G102" s="58">
        <f>IF(H102=1,IF(INDEX(tx_Cust,96)&amp;""&lt;&gt;"",INDEX(tx_Cust,96)&amp;"",INDEX(tx_Vend,96)&amp;""),"")</f>
        <v/>
      </c>
      <c r="H102" s="101">
        <f>IFERROR(N(INDEX(tx_Posted,96)),0)</f>
        <v/>
      </c>
      <c r="I102" s="58">
        <f>IF(H102=1,INDEX(tx_DrAcct,96)&amp;"","")</f>
        <v/>
      </c>
      <c r="J102" s="95">
        <f>IF(H102=1,INDEX(tx_DrAmt,96),0)</f>
        <v/>
      </c>
      <c r="K102" s="58">
        <f>IF(H102=1,INDEX(tx_CrAcct,96)&amp;"","")</f>
        <v/>
      </c>
      <c r="L102" s="95">
        <f>IF(H102=1,INDEX(tx_CrAmt,96),0)</f>
        <v/>
      </c>
      <c r="M102" s="95">
        <f>IF(H102=1,INDEX(tx_TaxDr,96),0)</f>
        <v/>
      </c>
      <c r="N102" s="95">
        <f>IF(H102=1,INDEX(tx_TaxCr,96),0)</f>
        <v/>
      </c>
      <c r="O102" s="101">
        <f>IF(H102=1,IF(E102&lt;FYStart,0,IF(E102&gt;FYEnd,13,YEAR(E102)*12+MONTH(E102)-FYYM+1)),"")</f>
        <v/>
      </c>
      <c r="P102" s="101">
        <f>IF(H102=1,IF(IFERROR(INDEX(coa_CF,MATCH(I102,coa_Name,0)),"")="Cash",1,0),0)</f>
        <v/>
      </c>
      <c r="Q102" s="101">
        <f>IF(H102=1,IF(IFERROR(INDEX(coa_CF,MATCH(K102,coa_Name,0)),"")="Cash",1,0),0)</f>
        <v/>
      </c>
      <c r="R102" s="58">
        <f>IF((P102-Q102)=0,"",IFERROR(INDEX(coa_CF,MATCH(IF((P102-Q102)=1,K102,I102),coa_Name,0)),"Operating"))</f>
        <v/>
      </c>
      <c r="S102" s="95">
        <f>IF((P102-Q102)=1,L102,IF((P102-Q102)=-1,-J102,0))</f>
        <v/>
      </c>
      <c r="T102" s="95">
        <f>IF((P102-Q102)=1,N102,IF((P102-Q102)=-1,-M102,0))</f>
        <v/>
      </c>
      <c r="U102" s="101">
        <f>IF(AND(H102=1,LedAcct&lt;&gt;""),IF(AND(E102&gt;=LedFrom,E102&lt;=LedTo,OR(I102=LedAcct,K102=LedAcct,AND(LedAcct=acctTax,M102+N102&lt;&gt;0))),E102*10000+B102,""),"")</f>
        <v/>
      </c>
    </row>
    <row r="103">
      <c r="B103" s="101" t="n">
        <v>97</v>
      </c>
      <c r="C103" s="58" t="inlineStr">
        <is>
          <t>Transaction</t>
        </is>
      </c>
      <c r="D103" s="58">
        <f>IF(H103=1,INDEX(tx_ID,97)&amp;"","")</f>
        <v/>
      </c>
      <c r="E103" s="94">
        <f>IF(H103=1,INDEX(tx_Date,97),"")</f>
        <v/>
      </c>
      <c r="F103" s="58">
        <f>IF(H103=1,INDEX(tx_Desc,97)&amp;"","")</f>
        <v/>
      </c>
      <c r="G103" s="58">
        <f>IF(H103=1,IF(INDEX(tx_Cust,97)&amp;""&lt;&gt;"",INDEX(tx_Cust,97)&amp;"",INDEX(tx_Vend,97)&amp;""),"")</f>
        <v/>
      </c>
      <c r="H103" s="101">
        <f>IFERROR(N(INDEX(tx_Posted,97)),0)</f>
        <v/>
      </c>
      <c r="I103" s="58">
        <f>IF(H103=1,INDEX(tx_DrAcct,97)&amp;"","")</f>
        <v/>
      </c>
      <c r="J103" s="95">
        <f>IF(H103=1,INDEX(tx_DrAmt,97),0)</f>
        <v/>
      </c>
      <c r="K103" s="58">
        <f>IF(H103=1,INDEX(tx_CrAcct,97)&amp;"","")</f>
        <v/>
      </c>
      <c r="L103" s="95">
        <f>IF(H103=1,INDEX(tx_CrAmt,97),0)</f>
        <v/>
      </c>
      <c r="M103" s="95">
        <f>IF(H103=1,INDEX(tx_TaxDr,97),0)</f>
        <v/>
      </c>
      <c r="N103" s="95">
        <f>IF(H103=1,INDEX(tx_TaxCr,97),0)</f>
        <v/>
      </c>
      <c r="O103" s="101">
        <f>IF(H103=1,IF(E103&lt;FYStart,0,IF(E103&gt;FYEnd,13,YEAR(E103)*12+MONTH(E103)-FYYM+1)),"")</f>
        <v/>
      </c>
      <c r="P103" s="101">
        <f>IF(H103=1,IF(IFERROR(INDEX(coa_CF,MATCH(I103,coa_Name,0)),"")="Cash",1,0),0)</f>
        <v/>
      </c>
      <c r="Q103" s="101">
        <f>IF(H103=1,IF(IFERROR(INDEX(coa_CF,MATCH(K103,coa_Name,0)),"")="Cash",1,0),0)</f>
        <v/>
      </c>
      <c r="R103" s="58">
        <f>IF((P103-Q103)=0,"",IFERROR(INDEX(coa_CF,MATCH(IF((P103-Q103)=1,K103,I103),coa_Name,0)),"Operating"))</f>
        <v/>
      </c>
      <c r="S103" s="95">
        <f>IF((P103-Q103)=1,L103,IF((P103-Q103)=-1,-J103,0))</f>
        <v/>
      </c>
      <c r="T103" s="95">
        <f>IF((P103-Q103)=1,N103,IF((P103-Q103)=-1,-M103,0))</f>
        <v/>
      </c>
      <c r="U103" s="101">
        <f>IF(AND(H103=1,LedAcct&lt;&gt;""),IF(AND(E103&gt;=LedFrom,E103&lt;=LedTo,OR(I103=LedAcct,K103=LedAcct,AND(LedAcct=acctTax,M103+N103&lt;&gt;0))),E103*10000+B103,""),"")</f>
        <v/>
      </c>
    </row>
    <row r="104">
      <c r="B104" s="101" t="n">
        <v>98</v>
      </c>
      <c r="C104" s="58" t="inlineStr">
        <is>
          <t>Transaction</t>
        </is>
      </c>
      <c r="D104" s="58">
        <f>IF(H104=1,INDEX(tx_ID,98)&amp;"","")</f>
        <v/>
      </c>
      <c r="E104" s="94">
        <f>IF(H104=1,INDEX(tx_Date,98),"")</f>
        <v/>
      </c>
      <c r="F104" s="58">
        <f>IF(H104=1,INDEX(tx_Desc,98)&amp;"","")</f>
        <v/>
      </c>
      <c r="G104" s="58">
        <f>IF(H104=1,IF(INDEX(tx_Cust,98)&amp;""&lt;&gt;"",INDEX(tx_Cust,98)&amp;"",INDEX(tx_Vend,98)&amp;""),"")</f>
        <v/>
      </c>
      <c r="H104" s="101">
        <f>IFERROR(N(INDEX(tx_Posted,98)),0)</f>
        <v/>
      </c>
      <c r="I104" s="58">
        <f>IF(H104=1,INDEX(tx_DrAcct,98)&amp;"","")</f>
        <v/>
      </c>
      <c r="J104" s="95">
        <f>IF(H104=1,INDEX(tx_DrAmt,98),0)</f>
        <v/>
      </c>
      <c r="K104" s="58">
        <f>IF(H104=1,INDEX(tx_CrAcct,98)&amp;"","")</f>
        <v/>
      </c>
      <c r="L104" s="95">
        <f>IF(H104=1,INDEX(tx_CrAmt,98),0)</f>
        <v/>
      </c>
      <c r="M104" s="95">
        <f>IF(H104=1,INDEX(tx_TaxDr,98),0)</f>
        <v/>
      </c>
      <c r="N104" s="95">
        <f>IF(H104=1,INDEX(tx_TaxCr,98),0)</f>
        <v/>
      </c>
      <c r="O104" s="101">
        <f>IF(H104=1,IF(E104&lt;FYStart,0,IF(E104&gt;FYEnd,13,YEAR(E104)*12+MONTH(E104)-FYYM+1)),"")</f>
        <v/>
      </c>
      <c r="P104" s="101">
        <f>IF(H104=1,IF(IFERROR(INDEX(coa_CF,MATCH(I104,coa_Name,0)),"")="Cash",1,0),0)</f>
        <v/>
      </c>
      <c r="Q104" s="101">
        <f>IF(H104=1,IF(IFERROR(INDEX(coa_CF,MATCH(K104,coa_Name,0)),"")="Cash",1,0),0)</f>
        <v/>
      </c>
      <c r="R104" s="58">
        <f>IF((P104-Q104)=0,"",IFERROR(INDEX(coa_CF,MATCH(IF((P104-Q104)=1,K104,I104),coa_Name,0)),"Operating"))</f>
        <v/>
      </c>
      <c r="S104" s="95">
        <f>IF((P104-Q104)=1,L104,IF((P104-Q104)=-1,-J104,0))</f>
        <v/>
      </c>
      <c r="T104" s="95">
        <f>IF((P104-Q104)=1,N104,IF((P104-Q104)=-1,-M104,0))</f>
        <v/>
      </c>
      <c r="U104" s="101">
        <f>IF(AND(H104=1,LedAcct&lt;&gt;""),IF(AND(E104&gt;=LedFrom,E104&lt;=LedTo,OR(I104=LedAcct,K104=LedAcct,AND(LedAcct=acctTax,M104+N104&lt;&gt;0))),E104*10000+B104,""),"")</f>
        <v/>
      </c>
    </row>
    <row r="105">
      <c r="B105" s="101" t="n">
        <v>99</v>
      </c>
      <c r="C105" s="58" t="inlineStr">
        <is>
          <t>Transaction</t>
        </is>
      </c>
      <c r="D105" s="58">
        <f>IF(H105=1,INDEX(tx_ID,99)&amp;"","")</f>
        <v/>
      </c>
      <c r="E105" s="94">
        <f>IF(H105=1,INDEX(tx_Date,99),"")</f>
        <v/>
      </c>
      <c r="F105" s="58">
        <f>IF(H105=1,INDEX(tx_Desc,99)&amp;"","")</f>
        <v/>
      </c>
      <c r="G105" s="58">
        <f>IF(H105=1,IF(INDEX(tx_Cust,99)&amp;""&lt;&gt;"",INDEX(tx_Cust,99)&amp;"",INDEX(tx_Vend,99)&amp;""),"")</f>
        <v/>
      </c>
      <c r="H105" s="101">
        <f>IFERROR(N(INDEX(tx_Posted,99)),0)</f>
        <v/>
      </c>
      <c r="I105" s="58">
        <f>IF(H105=1,INDEX(tx_DrAcct,99)&amp;"","")</f>
        <v/>
      </c>
      <c r="J105" s="95">
        <f>IF(H105=1,INDEX(tx_DrAmt,99),0)</f>
        <v/>
      </c>
      <c r="K105" s="58">
        <f>IF(H105=1,INDEX(tx_CrAcct,99)&amp;"","")</f>
        <v/>
      </c>
      <c r="L105" s="95">
        <f>IF(H105=1,INDEX(tx_CrAmt,99),0)</f>
        <v/>
      </c>
      <c r="M105" s="95">
        <f>IF(H105=1,INDEX(tx_TaxDr,99),0)</f>
        <v/>
      </c>
      <c r="N105" s="95">
        <f>IF(H105=1,INDEX(tx_TaxCr,99),0)</f>
        <v/>
      </c>
      <c r="O105" s="101">
        <f>IF(H105=1,IF(E105&lt;FYStart,0,IF(E105&gt;FYEnd,13,YEAR(E105)*12+MONTH(E105)-FYYM+1)),"")</f>
        <v/>
      </c>
      <c r="P105" s="101">
        <f>IF(H105=1,IF(IFERROR(INDEX(coa_CF,MATCH(I105,coa_Name,0)),"")="Cash",1,0),0)</f>
        <v/>
      </c>
      <c r="Q105" s="101">
        <f>IF(H105=1,IF(IFERROR(INDEX(coa_CF,MATCH(K105,coa_Name,0)),"")="Cash",1,0),0)</f>
        <v/>
      </c>
      <c r="R105" s="58">
        <f>IF((P105-Q105)=0,"",IFERROR(INDEX(coa_CF,MATCH(IF((P105-Q105)=1,K105,I105),coa_Name,0)),"Operating"))</f>
        <v/>
      </c>
      <c r="S105" s="95">
        <f>IF((P105-Q105)=1,L105,IF((P105-Q105)=-1,-J105,0))</f>
        <v/>
      </c>
      <c r="T105" s="95">
        <f>IF((P105-Q105)=1,N105,IF((P105-Q105)=-1,-M105,0))</f>
        <v/>
      </c>
      <c r="U105" s="101">
        <f>IF(AND(H105=1,LedAcct&lt;&gt;""),IF(AND(E105&gt;=LedFrom,E105&lt;=LedTo,OR(I105=LedAcct,K105=LedAcct,AND(LedAcct=acctTax,M105+N105&lt;&gt;0))),E105*10000+B105,""),"")</f>
        <v/>
      </c>
    </row>
    <row r="106">
      <c r="B106" s="101" t="n">
        <v>100</v>
      </c>
      <c r="C106" s="58" t="inlineStr">
        <is>
          <t>Transaction</t>
        </is>
      </c>
      <c r="D106" s="58">
        <f>IF(H106=1,INDEX(tx_ID,100)&amp;"","")</f>
        <v/>
      </c>
      <c r="E106" s="94">
        <f>IF(H106=1,INDEX(tx_Date,100),"")</f>
        <v/>
      </c>
      <c r="F106" s="58">
        <f>IF(H106=1,INDEX(tx_Desc,100)&amp;"","")</f>
        <v/>
      </c>
      <c r="G106" s="58">
        <f>IF(H106=1,IF(INDEX(tx_Cust,100)&amp;""&lt;&gt;"",INDEX(tx_Cust,100)&amp;"",INDEX(tx_Vend,100)&amp;""),"")</f>
        <v/>
      </c>
      <c r="H106" s="101">
        <f>IFERROR(N(INDEX(tx_Posted,100)),0)</f>
        <v/>
      </c>
      <c r="I106" s="58">
        <f>IF(H106=1,INDEX(tx_DrAcct,100)&amp;"","")</f>
        <v/>
      </c>
      <c r="J106" s="95">
        <f>IF(H106=1,INDEX(tx_DrAmt,100),0)</f>
        <v/>
      </c>
      <c r="K106" s="58">
        <f>IF(H106=1,INDEX(tx_CrAcct,100)&amp;"","")</f>
        <v/>
      </c>
      <c r="L106" s="95">
        <f>IF(H106=1,INDEX(tx_CrAmt,100),0)</f>
        <v/>
      </c>
      <c r="M106" s="95">
        <f>IF(H106=1,INDEX(tx_TaxDr,100),0)</f>
        <v/>
      </c>
      <c r="N106" s="95">
        <f>IF(H106=1,INDEX(tx_TaxCr,100),0)</f>
        <v/>
      </c>
      <c r="O106" s="101">
        <f>IF(H106=1,IF(E106&lt;FYStart,0,IF(E106&gt;FYEnd,13,YEAR(E106)*12+MONTH(E106)-FYYM+1)),"")</f>
        <v/>
      </c>
      <c r="P106" s="101">
        <f>IF(H106=1,IF(IFERROR(INDEX(coa_CF,MATCH(I106,coa_Name,0)),"")="Cash",1,0),0)</f>
        <v/>
      </c>
      <c r="Q106" s="101">
        <f>IF(H106=1,IF(IFERROR(INDEX(coa_CF,MATCH(K106,coa_Name,0)),"")="Cash",1,0),0)</f>
        <v/>
      </c>
      <c r="R106" s="58">
        <f>IF((P106-Q106)=0,"",IFERROR(INDEX(coa_CF,MATCH(IF((P106-Q106)=1,K106,I106),coa_Name,0)),"Operating"))</f>
        <v/>
      </c>
      <c r="S106" s="95">
        <f>IF((P106-Q106)=1,L106,IF((P106-Q106)=-1,-J106,0))</f>
        <v/>
      </c>
      <c r="T106" s="95">
        <f>IF((P106-Q106)=1,N106,IF((P106-Q106)=-1,-M106,0))</f>
        <v/>
      </c>
      <c r="U106" s="101">
        <f>IF(AND(H106=1,LedAcct&lt;&gt;""),IF(AND(E106&gt;=LedFrom,E106&lt;=LedTo,OR(I106=LedAcct,K106=LedAcct,AND(LedAcct=acctTax,M106+N106&lt;&gt;0))),E106*10000+B106,""),"")</f>
        <v/>
      </c>
    </row>
    <row r="107">
      <c r="B107" s="101" t="n">
        <v>101</v>
      </c>
      <c r="C107" s="58" t="inlineStr">
        <is>
          <t>Transaction</t>
        </is>
      </c>
      <c r="D107" s="58">
        <f>IF(H107=1,INDEX(tx_ID,101)&amp;"","")</f>
        <v/>
      </c>
      <c r="E107" s="94">
        <f>IF(H107=1,INDEX(tx_Date,101),"")</f>
        <v/>
      </c>
      <c r="F107" s="58">
        <f>IF(H107=1,INDEX(tx_Desc,101)&amp;"","")</f>
        <v/>
      </c>
      <c r="G107" s="58">
        <f>IF(H107=1,IF(INDEX(tx_Cust,101)&amp;""&lt;&gt;"",INDEX(tx_Cust,101)&amp;"",INDEX(tx_Vend,101)&amp;""),"")</f>
        <v/>
      </c>
      <c r="H107" s="101">
        <f>IFERROR(N(INDEX(tx_Posted,101)),0)</f>
        <v/>
      </c>
      <c r="I107" s="58">
        <f>IF(H107=1,INDEX(tx_DrAcct,101)&amp;"","")</f>
        <v/>
      </c>
      <c r="J107" s="95">
        <f>IF(H107=1,INDEX(tx_DrAmt,101),0)</f>
        <v/>
      </c>
      <c r="K107" s="58">
        <f>IF(H107=1,INDEX(tx_CrAcct,101)&amp;"","")</f>
        <v/>
      </c>
      <c r="L107" s="95">
        <f>IF(H107=1,INDEX(tx_CrAmt,101),0)</f>
        <v/>
      </c>
      <c r="M107" s="95">
        <f>IF(H107=1,INDEX(tx_TaxDr,101),0)</f>
        <v/>
      </c>
      <c r="N107" s="95">
        <f>IF(H107=1,INDEX(tx_TaxCr,101),0)</f>
        <v/>
      </c>
      <c r="O107" s="101">
        <f>IF(H107=1,IF(E107&lt;FYStart,0,IF(E107&gt;FYEnd,13,YEAR(E107)*12+MONTH(E107)-FYYM+1)),"")</f>
        <v/>
      </c>
      <c r="P107" s="101">
        <f>IF(H107=1,IF(IFERROR(INDEX(coa_CF,MATCH(I107,coa_Name,0)),"")="Cash",1,0),0)</f>
        <v/>
      </c>
      <c r="Q107" s="101">
        <f>IF(H107=1,IF(IFERROR(INDEX(coa_CF,MATCH(K107,coa_Name,0)),"")="Cash",1,0),0)</f>
        <v/>
      </c>
      <c r="R107" s="58">
        <f>IF((P107-Q107)=0,"",IFERROR(INDEX(coa_CF,MATCH(IF((P107-Q107)=1,K107,I107),coa_Name,0)),"Operating"))</f>
        <v/>
      </c>
      <c r="S107" s="95">
        <f>IF((P107-Q107)=1,L107,IF((P107-Q107)=-1,-J107,0))</f>
        <v/>
      </c>
      <c r="T107" s="95">
        <f>IF((P107-Q107)=1,N107,IF((P107-Q107)=-1,-M107,0))</f>
        <v/>
      </c>
      <c r="U107" s="101">
        <f>IF(AND(H107=1,LedAcct&lt;&gt;""),IF(AND(E107&gt;=LedFrom,E107&lt;=LedTo,OR(I107=LedAcct,K107=LedAcct,AND(LedAcct=acctTax,M107+N107&lt;&gt;0))),E107*10000+B107,""),"")</f>
        <v/>
      </c>
    </row>
    <row r="108">
      <c r="B108" s="101" t="n">
        <v>102</v>
      </c>
      <c r="C108" s="58" t="inlineStr">
        <is>
          <t>Transaction</t>
        </is>
      </c>
      <c r="D108" s="58">
        <f>IF(H108=1,INDEX(tx_ID,102)&amp;"","")</f>
        <v/>
      </c>
      <c r="E108" s="94">
        <f>IF(H108=1,INDEX(tx_Date,102),"")</f>
        <v/>
      </c>
      <c r="F108" s="58">
        <f>IF(H108=1,INDEX(tx_Desc,102)&amp;"","")</f>
        <v/>
      </c>
      <c r="G108" s="58">
        <f>IF(H108=1,IF(INDEX(tx_Cust,102)&amp;""&lt;&gt;"",INDEX(tx_Cust,102)&amp;"",INDEX(tx_Vend,102)&amp;""),"")</f>
        <v/>
      </c>
      <c r="H108" s="101">
        <f>IFERROR(N(INDEX(tx_Posted,102)),0)</f>
        <v/>
      </c>
      <c r="I108" s="58">
        <f>IF(H108=1,INDEX(tx_DrAcct,102)&amp;"","")</f>
        <v/>
      </c>
      <c r="J108" s="95">
        <f>IF(H108=1,INDEX(tx_DrAmt,102),0)</f>
        <v/>
      </c>
      <c r="K108" s="58">
        <f>IF(H108=1,INDEX(tx_CrAcct,102)&amp;"","")</f>
        <v/>
      </c>
      <c r="L108" s="95">
        <f>IF(H108=1,INDEX(tx_CrAmt,102),0)</f>
        <v/>
      </c>
      <c r="M108" s="95">
        <f>IF(H108=1,INDEX(tx_TaxDr,102),0)</f>
        <v/>
      </c>
      <c r="N108" s="95">
        <f>IF(H108=1,INDEX(tx_TaxCr,102),0)</f>
        <v/>
      </c>
      <c r="O108" s="101">
        <f>IF(H108=1,IF(E108&lt;FYStart,0,IF(E108&gt;FYEnd,13,YEAR(E108)*12+MONTH(E108)-FYYM+1)),"")</f>
        <v/>
      </c>
      <c r="P108" s="101">
        <f>IF(H108=1,IF(IFERROR(INDEX(coa_CF,MATCH(I108,coa_Name,0)),"")="Cash",1,0),0)</f>
        <v/>
      </c>
      <c r="Q108" s="101">
        <f>IF(H108=1,IF(IFERROR(INDEX(coa_CF,MATCH(K108,coa_Name,0)),"")="Cash",1,0),0)</f>
        <v/>
      </c>
      <c r="R108" s="58">
        <f>IF((P108-Q108)=0,"",IFERROR(INDEX(coa_CF,MATCH(IF((P108-Q108)=1,K108,I108),coa_Name,0)),"Operating"))</f>
        <v/>
      </c>
      <c r="S108" s="95">
        <f>IF((P108-Q108)=1,L108,IF((P108-Q108)=-1,-J108,0))</f>
        <v/>
      </c>
      <c r="T108" s="95">
        <f>IF((P108-Q108)=1,N108,IF((P108-Q108)=-1,-M108,0))</f>
        <v/>
      </c>
      <c r="U108" s="101">
        <f>IF(AND(H108=1,LedAcct&lt;&gt;""),IF(AND(E108&gt;=LedFrom,E108&lt;=LedTo,OR(I108=LedAcct,K108=LedAcct,AND(LedAcct=acctTax,M108+N108&lt;&gt;0))),E108*10000+B108,""),"")</f>
        <v/>
      </c>
    </row>
    <row r="109">
      <c r="B109" s="101" t="n">
        <v>103</v>
      </c>
      <c r="C109" s="58" t="inlineStr">
        <is>
          <t>Transaction</t>
        </is>
      </c>
      <c r="D109" s="58">
        <f>IF(H109=1,INDEX(tx_ID,103)&amp;"","")</f>
        <v/>
      </c>
      <c r="E109" s="94">
        <f>IF(H109=1,INDEX(tx_Date,103),"")</f>
        <v/>
      </c>
      <c r="F109" s="58">
        <f>IF(H109=1,INDEX(tx_Desc,103)&amp;"","")</f>
        <v/>
      </c>
      <c r="G109" s="58">
        <f>IF(H109=1,IF(INDEX(tx_Cust,103)&amp;""&lt;&gt;"",INDEX(tx_Cust,103)&amp;"",INDEX(tx_Vend,103)&amp;""),"")</f>
        <v/>
      </c>
      <c r="H109" s="101">
        <f>IFERROR(N(INDEX(tx_Posted,103)),0)</f>
        <v/>
      </c>
      <c r="I109" s="58">
        <f>IF(H109=1,INDEX(tx_DrAcct,103)&amp;"","")</f>
        <v/>
      </c>
      <c r="J109" s="95">
        <f>IF(H109=1,INDEX(tx_DrAmt,103),0)</f>
        <v/>
      </c>
      <c r="K109" s="58">
        <f>IF(H109=1,INDEX(tx_CrAcct,103)&amp;"","")</f>
        <v/>
      </c>
      <c r="L109" s="95">
        <f>IF(H109=1,INDEX(tx_CrAmt,103),0)</f>
        <v/>
      </c>
      <c r="M109" s="95">
        <f>IF(H109=1,INDEX(tx_TaxDr,103),0)</f>
        <v/>
      </c>
      <c r="N109" s="95">
        <f>IF(H109=1,INDEX(tx_TaxCr,103),0)</f>
        <v/>
      </c>
      <c r="O109" s="101">
        <f>IF(H109=1,IF(E109&lt;FYStart,0,IF(E109&gt;FYEnd,13,YEAR(E109)*12+MONTH(E109)-FYYM+1)),"")</f>
        <v/>
      </c>
      <c r="P109" s="101">
        <f>IF(H109=1,IF(IFERROR(INDEX(coa_CF,MATCH(I109,coa_Name,0)),"")="Cash",1,0),0)</f>
        <v/>
      </c>
      <c r="Q109" s="101">
        <f>IF(H109=1,IF(IFERROR(INDEX(coa_CF,MATCH(K109,coa_Name,0)),"")="Cash",1,0),0)</f>
        <v/>
      </c>
      <c r="R109" s="58">
        <f>IF((P109-Q109)=0,"",IFERROR(INDEX(coa_CF,MATCH(IF((P109-Q109)=1,K109,I109),coa_Name,0)),"Operating"))</f>
        <v/>
      </c>
      <c r="S109" s="95">
        <f>IF((P109-Q109)=1,L109,IF((P109-Q109)=-1,-J109,0))</f>
        <v/>
      </c>
      <c r="T109" s="95">
        <f>IF((P109-Q109)=1,N109,IF((P109-Q109)=-1,-M109,0))</f>
        <v/>
      </c>
      <c r="U109" s="101">
        <f>IF(AND(H109=1,LedAcct&lt;&gt;""),IF(AND(E109&gt;=LedFrom,E109&lt;=LedTo,OR(I109=LedAcct,K109=LedAcct,AND(LedAcct=acctTax,M109+N109&lt;&gt;0))),E109*10000+B109,""),"")</f>
        <v/>
      </c>
    </row>
    <row r="110">
      <c r="B110" s="101" t="n">
        <v>104</v>
      </c>
      <c r="C110" s="58" t="inlineStr">
        <is>
          <t>Transaction</t>
        </is>
      </c>
      <c r="D110" s="58">
        <f>IF(H110=1,INDEX(tx_ID,104)&amp;"","")</f>
        <v/>
      </c>
      <c r="E110" s="94">
        <f>IF(H110=1,INDEX(tx_Date,104),"")</f>
        <v/>
      </c>
      <c r="F110" s="58">
        <f>IF(H110=1,INDEX(tx_Desc,104)&amp;"","")</f>
        <v/>
      </c>
      <c r="G110" s="58">
        <f>IF(H110=1,IF(INDEX(tx_Cust,104)&amp;""&lt;&gt;"",INDEX(tx_Cust,104)&amp;"",INDEX(tx_Vend,104)&amp;""),"")</f>
        <v/>
      </c>
      <c r="H110" s="101">
        <f>IFERROR(N(INDEX(tx_Posted,104)),0)</f>
        <v/>
      </c>
      <c r="I110" s="58">
        <f>IF(H110=1,INDEX(tx_DrAcct,104)&amp;"","")</f>
        <v/>
      </c>
      <c r="J110" s="95">
        <f>IF(H110=1,INDEX(tx_DrAmt,104),0)</f>
        <v/>
      </c>
      <c r="K110" s="58">
        <f>IF(H110=1,INDEX(tx_CrAcct,104)&amp;"","")</f>
        <v/>
      </c>
      <c r="L110" s="95">
        <f>IF(H110=1,INDEX(tx_CrAmt,104),0)</f>
        <v/>
      </c>
      <c r="M110" s="95">
        <f>IF(H110=1,INDEX(tx_TaxDr,104),0)</f>
        <v/>
      </c>
      <c r="N110" s="95">
        <f>IF(H110=1,INDEX(tx_TaxCr,104),0)</f>
        <v/>
      </c>
      <c r="O110" s="101">
        <f>IF(H110=1,IF(E110&lt;FYStart,0,IF(E110&gt;FYEnd,13,YEAR(E110)*12+MONTH(E110)-FYYM+1)),"")</f>
        <v/>
      </c>
      <c r="P110" s="101">
        <f>IF(H110=1,IF(IFERROR(INDEX(coa_CF,MATCH(I110,coa_Name,0)),"")="Cash",1,0),0)</f>
        <v/>
      </c>
      <c r="Q110" s="101">
        <f>IF(H110=1,IF(IFERROR(INDEX(coa_CF,MATCH(K110,coa_Name,0)),"")="Cash",1,0),0)</f>
        <v/>
      </c>
      <c r="R110" s="58">
        <f>IF((P110-Q110)=0,"",IFERROR(INDEX(coa_CF,MATCH(IF((P110-Q110)=1,K110,I110),coa_Name,0)),"Operating"))</f>
        <v/>
      </c>
      <c r="S110" s="95">
        <f>IF((P110-Q110)=1,L110,IF((P110-Q110)=-1,-J110,0))</f>
        <v/>
      </c>
      <c r="T110" s="95">
        <f>IF((P110-Q110)=1,N110,IF((P110-Q110)=-1,-M110,0))</f>
        <v/>
      </c>
      <c r="U110" s="101">
        <f>IF(AND(H110=1,LedAcct&lt;&gt;""),IF(AND(E110&gt;=LedFrom,E110&lt;=LedTo,OR(I110=LedAcct,K110=LedAcct,AND(LedAcct=acctTax,M110+N110&lt;&gt;0))),E110*10000+B110,""),"")</f>
        <v/>
      </c>
    </row>
    <row r="111">
      <c r="B111" s="101" t="n">
        <v>105</v>
      </c>
      <c r="C111" s="58" t="inlineStr">
        <is>
          <t>Transaction</t>
        </is>
      </c>
      <c r="D111" s="58">
        <f>IF(H111=1,INDEX(tx_ID,105)&amp;"","")</f>
        <v/>
      </c>
      <c r="E111" s="94">
        <f>IF(H111=1,INDEX(tx_Date,105),"")</f>
        <v/>
      </c>
      <c r="F111" s="58">
        <f>IF(H111=1,INDEX(tx_Desc,105)&amp;"","")</f>
        <v/>
      </c>
      <c r="G111" s="58">
        <f>IF(H111=1,IF(INDEX(tx_Cust,105)&amp;""&lt;&gt;"",INDEX(tx_Cust,105)&amp;"",INDEX(tx_Vend,105)&amp;""),"")</f>
        <v/>
      </c>
      <c r="H111" s="101">
        <f>IFERROR(N(INDEX(tx_Posted,105)),0)</f>
        <v/>
      </c>
      <c r="I111" s="58">
        <f>IF(H111=1,INDEX(tx_DrAcct,105)&amp;"","")</f>
        <v/>
      </c>
      <c r="J111" s="95">
        <f>IF(H111=1,INDEX(tx_DrAmt,105),0)</f>
        <v/>
      </c>
      <c r="K111" s="58">
        <f>IF(H111=1,INDEX(tx_CrAcct,105)&amp;"","")</f>
        <v/>
      </c>
      <c r="L111" s="95">
        <f>IF(H111=1,INDEX(tx_CrAmt,105),0)</f>
        <v/>
      </c>
      <c r="M111" s="95">
        <f>IF(H111=1,INDEX(tx_TaxDr,105),0)</f>
        <v/>
      </c>
      <c r="N111" s="95">
        <f>IF(H111=1,INDEX(tx_TaxCr,105),0)</f>
        <v/>
      </c>
      <c r="O111" s="101">
        <f>IF(H111=1,IF(E111&lt;FYStart,0,IF(E111&gt;FYEnd,13,YEAR(E111)*12+MONTH(E111)-FYYM+1)),"")</f>
        <v/>
      </c>
      <c r="P111" s="101">
        <f>IF(H111=1,IF(IFERROR(INDEX(coa_CF,MATCH(I111,coa_Name,0)),"")="Cash",1,0),0)</f>
        <v/>
      </c>
      <c r="Q111" s="101">
        <f>IF(H111=1,IF(IFERROR(INDEX(coa_CF,MATCH(K111,coa_Name,0)),"")="Cash",1,0),0)</f>
        <v/>
      </c>
      <c r="R111" s="58">
        <f>IF((P111-Q111)=0,"",IFERROR(INDEX(coa_CF,MATCH(IF((P111-Q111)=1,K111,I111),coa_Name,0)),"Operating"))</f>
        <v/>
      </c>
      <c r="S111" s="95">
        <f>IF((P111-Q111)=1,L111,IF((P111-Q111)=-1,-J111,0))</f>
        <v/>
      </c>
      <c r="T111" s="95">
        <f>IF((P111-Q111)=1,N111,IF((P111-Q111)=-1,-M111,0))</f>
        <v/>
      </c>
      <c r="U111" s="101">
        <f>IF(AND(H111=1,LedAcct&lt;&gt;""),IF(AND(E111&gt;=LedFrom,E111&lt;=LedTo,OR(I111=LedAcct,K111=LedAcct,AND(LedAcct=acctTax,M111+N111&lt;&gt;0))),E111*10000+B111,""),"")</f>
        <v/>
      </c>
    </row>
    <row r="112">
      <c r="B112" s="101" t="n">
        <v>106</v>
      </c>
      <c r="C112" s="58" t="inlineStr">
        <is>
          <t>Transaction</t>
        </is>
      </c>
      <c r="D112" s="58">
        <f>IF(H112=1,INDEX(tx_ID,106)&amp;"","")</f>
        <v/>
      </c>
      <c r="E112" s="94">
        <f>IF(H112=1,INDEX(tx_Date,106),"")</f>
        <v/>
      </c>
      <c r="F112" s="58">
        <f>IF(H112=1,INDEX(tx_Desc,106)&amp;"","")</f>
        <v/>
      </c>
      <c r="G112" s="58">
        <f>IF(H112=1,IF(INDEX(tx_Cust,106)&amp;""&lt;&gt;"",INDEX(tx_Cust,106)&amp;"",INDEX(tx_Vend,106)&amp;""),"")</f>
        <v/>
      </c>
      <c r="H112" s="101">
        <f>IFERROR(N(INDEX(tx_Posted,106)),0)</f>
        <v/>
      </c>
      <c r="I112" s="58">
        <f>IF(H112=1,INDEX(tx_DrAcct,106)&amp;"","")</f>
        <v/>
      </c>
      <c r="J112" s="95">
        <f>IF(H112=1,INDEX(tx_DrAmt,106),0)</f>
        <v/>
      </c>
      <c r="K112" s="58">
        <f>IF(H112=1,INDEX(tx_CrAcct,106)&amp;"","")</f>
        <v/>
      </c>
      <c r="L112" s="95">
        <f>IF(H112=1,INDEX(tx_CrAmt,106),0)</f>
        <v/>
      </c>
      <c r="M112" s="95">
        <f>IF(H112=1,INDEX(tx_TaxDr,106),0)</f>
        <v/>
      </c>
      <c r="N112" s="95">
        <f>IF(H112=1,INDEX(tx_TaxCr,106),0)</f>
        <v/>
      </c>
      <c r="O112" s="101">
        <f>IF(H112=1,IF(E112&lt;FYStart,0,IF(E112&gt;FYEnd,13,YEAR(E112)*12+MONTH(E112)-FYYM+1)),"")</f>
        <v/>
      </c>
      <c r="P112" s="101">
        <f>IF(H112=1,IF(IFERROR(INDEX(coa_CF,MATCH(I112,coa_Name,0)),"")="Cash",1,0),0)</f>
        <v/>
      </c>
      <c r="Q112" s="101">
        <f>IF(H112=1,IF(IFERROR(INDEX(coa_CF,MATCH(K112,coa_Name,0)),"")="Cash",1,0),0)</f>
        <v/>
      </c>
      <c r="R112" s="58">
        <f>IF((P112-Q112)=0,"",IFERROR(INDEX(coa_CF,MATCH(IF((P112-Q112)=1,K112,I112),coa_Name,0)),"Operating"))</f>
        <v/>
      </c>
      <c r="S112" s="95">
        <f>IF((P112-Q112)=1,L112,IF((P112-Q112)=-1,-J112,0))</f>
        <v/>
      </c>
      <c r="T112" s="95">
        <f>IF((P112-Q112)=1,N112,IF((P112-Q112)=-1,-M112,0))</f>
        <v/>
      </c>
      <c r="U112" s="101">
        <f>IF(AND(H112=1,LedAcct&lt;&gt;""),IF(AND(E112&gt;=LedFrom,E112&lt;=LedTo,OR(I112=LedAcct,K112=LedAcct,AND(LedAcct=acctTax,M112+N112&lt;&gt;0))),E112*10000+B112,""),"")</f>
        <v/>
      </c>
    </row>
    <row r="113">
      <c r="B113" s="101" t="n">
        <v>107</v>
      </c>
      <c r="C113" s="58" t="inlineStr">
        <is>
          <t>Transaction</t>
        </is>
      </c>
      <c r="D113" s="58">
        <f>IF(H113=1,INDEX(tx_ID,107)&amp;"","")</f>
        <v/>
      </c>
      <c r="E113" s="94">
        <f>IF(H113=1,INDEX(tx_Date,107),"")</f>
        <v/>
      </c>
      <c r="F113" s="58">
        <f>IF(H113=1,INDEX(tx_Desc,107)&amp;"","")</f>
        <v/>
      </c>
      <c r="G113" s="58">
        <f>IF(H113=1,IF(INDEX(tx_Cust,107)&amp;""&lt;&gt;"",INDEX(tx_Cust,107)&amp;"",INDEX(tx_Vend,107)&amp;""),"")</f>
        <v/>
      </c>
      <c r="H113" s="101">
        <f>IFERROR(N(INDEX(tx_Posted,107)),0)</f>
        <v/>
      </c>
      <c r="I113" s="58">
        <f>IF(H113=1,INDEX(tx_DrAcct,107)&amp;"","")</f>
        <v/>
      </c>
      <c r="J113" s="95">
        <f>IF(H113=1,INDEX(tx_DrAmt,107),0)</f>
        <v/>
      </c>
      <c r="K113" s="58">
        <f>IF(H113=1,INDEX(tx_CrAcct,107)&amp;"","")</f>
        <v/>
      </c>
      <c r="L113" s="95">
        <f>IF(H113=1,INDEX(tx_CrAmt,107),0)</f>
        <v/>
      </c>
      <c r="M113" s="95">
        <f>IF(H113=1,INDEX(tx_TaxDr,107),0)</f>
        <v/>
      </c>
      <c r="N113" s="95">
        <f>IF(H113=1,INDEX(tx_TaxCr,107),0)</f>
        <v/>
      </c>
      <c r="O113" s="101">
        <f>IF(H113=1,IF(E113&lt;FYStart,0,IF(E113&gt;FYEnd,13,YEAR(E113)*12+MONTH(E113)-FYYM+1)),"")</f>
        <v/>
      </c>
      <c r="P113" s="101">
        <f>IF(H113=1,IF(IFERROR(INDEX(coa_CF,MATCH(I113,coa_Name,0)),"")="Cash",1,0),0)</f>
        <v/>
      </c>
      <c r="Q113" s="101">
        <f>IF(H113=1,IF(IFERROR(INDEX(coa_CF,MATCH(K113,coa_Name,0)),"")="Cash",1,0),0)</f>
        <v/>
      </c>
      <c r="R113" s="58">
        <f>IF((P113-Q113)=0,"",IFERROR(INDEX(coa_CF,MATCH(IF((P113-Q113)=1,K113,I113),coa_Name,0)),"Operating"))</f>
        <v/>
      </c>
      <c r="S113" s="95">
        <f>IF((P113-Q113)=1,L113,IF((P113-Q113)=-1,-J113,0))</f>
        <v/>
      </c>
      <c r="T113" s="95">
        <f>IF((P113-Q113)=1,N113,IF((P113-Q113)=-1,-M113,0))</f>
        <v/>
      </c>
      <c r="U113" s="101">
        <f>IF(AND(H113=1,LedAcct&lt;&gt;""),IF(AND(E113&gt;=LedFrom,E113&lt;=LedTo,OR(I113=LedAcct,K113=LedAcct,AND(LedAcct=acctTax,M113+N113&lt;&gt;0))),E113*10000+B113,""),"")</f>
        <v/>
      </c>
    </row>
    <row r="114">
      <c r="B114" s="101" t="n">
        <v>108</v>
      </c>
      <c r="C114" s="58" t="inlineStr">
        <is>
          <t>Transaction</t>
        </is>
      </c>
      <c r="D114" s="58">
        <f>IF(H114=1,INDEX(tx_ID,108)&amp;"","")</f>
        <v/>
      </c>
      <c r="E114" s="94">
        <f>IF(H114=1,INDEX(tx_Date,108),"")</f>
        <v/>
      </c>
      <c r="F114" s="58">
        <f>IF(H114=1,INDEX(tx_Desc,108)&amp;"","")</f>
        <v/>
      </c>
      <c r="G114" s="58">
        <f>IF(H114=1,IF(INDEX(tx_Cust,108)&amp;""&lt;&gt;"",INDEX(tx_Cust,108)&amp;"",INDEX(tx_Vend,108)&amp;""),"")</f>
        <v/>
      </c>
      <c r="H114" s="101">
        <f>IFERROR(N(INDEX(tx_Posted,108)),0)</f>
        <v/>
      </c>
      <c r="I114" s="58">
        <f>IF(H114=1,INDEX(tx_DrAcct,108)&amp;"","")</f>
        <v/>
      </c>
      <c r="J114" s="95">
        <f>IF(H114=1,INDEX(tx_DrAmt,108),0)</f>
        <v/>
      </c>
      <c r="K114" s="58">
        <f>IF(H114=1,INDEX(tx_CrAcct,108)&amp;"","")</f>
        <v/>
      </c>
      <c r="L114" s="95">
        <f>IF(H114=1,INDEX(tx_CrAmt,108),0)</f>
        <v/>
      </c>
      <c r="M114" s="95">
        <f>IF(H114=1,INDEX(tx_TaxDr,108),0)</f>
        <v/>
      </c>
      <c r="N114" s="95">
        <f>IF(H114=1,INDEX(tx_TaxCr,108),0)</f>
        <v/>
      </c>
      <c r="O114" s="101">
        <f>IF(H114=1,IF(E114&lt;FYStart,0,IF(E114&gt;FYEnd,13,YEAR(E114)*12+MONTH(E114)-FYYM+1)),"")</f>
        <v/>
      </c>
      <c r="P114" s="101">
        <f>IF(H114=1,IF(IFERROR(INDEX(coa_CF,MATCH(I114,coa_Name,0)),"")="Cash",1,0),0)</f>
        <v/>
      </c>
      <c r="Q114" s="101">
        <f>IF(H114=1,IF(IFERROR(INDEX(coa_CF,MATCH(K114,coa_Name,0)),"")="Cash",1,0),0)</f>
        <v/>
      </c>
      <c r="R114" s="58">
        <f>IF((P114-Q114)=0,"",IFERROR(INDEX(coa_CF,MATCH(IF((P114-Q114)=1,K114,I114),coa_Name,0)),"Operating"))</f>
        <v/>
      </c>
      <c r="S114" s="95">
        <f>IF((P114-Q114)=1,L114,IF((P114-Q114)=-1,-J114,0))</f>
        <v/>
      </c>
      <c r="T114" s="95">
        <f>IF((P114-Q114)=1,N114,IF((P114-Q114)=-1,-M114,0))</f>
        <v/>
      </c>
      <c r="U114" s="101">
        <f>IF(AND(H114=1,LedAcct&lt;&gt;""),IF(AND(E114&gt;=LedFrom,E114&lt;=LedTo,OR(I114=LedAcct,K114=LedAcct,AND(LedAcct=acctTax,M114+N114&lt;&gt;0))),E114*10000+B114,""),"")</f>
        <v/>
      </c>
    </row>
    <row r="115">
      <c r="B115" s="101" t="n">
        <v>109</v>
      </c>
      <c r="C115" s="58" t="inlineStr">
        <is>
          <t>Transaction</t>
        </is>
      </c>
      <c r="D115" s="58">
        <f>IF(H115=1,INDEX(tx_ID,109)&amp;"","")</f>
        <v/>
      </c>
      <c r="E115" s="94">
        <f>IF(H115=1,INDEX(tx_Date,109),"")</f>
        <v/>
      </c>
      <c r="F115" s="58">
        <f>IF(H115=1,INDEX(tx_Desc,109)&amp;"","")</f>
        <v/>
      </c>
      <c r="G115" s="58">
        <f>IF(H115=1,IF(INDEX(tx_Cust,109)&amp;""&lt;&gt;"",INDEX(tx_Cust,109)&amp;"",INDEX(tx_Vend,109)&amp;""),"")</f>
        <v/>
      </c>
      <c r="H115" s="101">
        <f>IFERROR(N(INDEX(tx_Posted,109)),0)</f>
        <v/>
      </c>
      <c r="I115" s="58">
        <f>IF(H115=1,INDEX(tx_DrAcct,109)&amp;"","")</f>
        <v/>
      </c>
      <c r="J115" s="95">
        <f>IF(H115=1,INDEX(tx_DrAmt,109),0)</f>
        <v/>
      </c>
      <c r="K115" s="58">
        <f>IF(H115=1,INDEX(tx_CrAcct,109)&amp;"","")</f>
        <v/>
      </c>
      <c r="L115" s="95">
        <f>IF(H115=1,INDEX(tx_CrAmt,109),0)</f>
        <v/>
      </c>
      <c r="M115" s="95">
        <f>IF(H115=1,INDEX(tx_TaxDr,109),0)</f>
        <v/>
      </c>
      <c r="N115" s="95">
        <f>IF(H115=1,INDEX(tx_TaxCr,109),0)</f>
        <v/>
      </c>
      <c r="O115" s="101">
        <f>IF(H115=1,IF(E115&lt;FYStart,0,IF(E115&gt;FYEnd,13,YEAR(E115)*12+MONTH(E115)-FYYM+1)),"")</f>
        <v/>
      </c>
      <c r="P115" s="101">
        <f>IF(H115=1,IF(IFERROR(INDEX(coa_CF,MATCH(I115,coa_Name,0)),"")="Cash",1,0),0)</f>
        <v/>
      </c>
      <c r="Q115" s="101">
        <f>IF(H115=1,IF(IFERROR(INDEX(coa_CF,MATCH(K115,coa_Name,0)),"")="Cash",1,0),0)</f>
        <v/>
      </c>
      <c r="R115" s="58">
        <f>IF((P115-Q115)=0,"",IFERROR(INDEX(coa_CF,MATCH(IF((P115-Q115)=1,K115,I115),coa_Name,0)),"Operating"))</f>
        <v/>
      </c>
      <c r="S115" s="95">
        <f>IF((P115-Q115)=1,L115,IF((P115-Q115)=-1,-J115,0))</f>
        <v/>
      </c>
      <c r="T115" s="95">
        <f>IF((P115-Q115)=1,N115,IF((P115-Q115)=-1,-M115,0))</f>
        <v/>
      </c>
      <c r="U115" s="101">
        <f>IF(AND(H115=1,LedAcct&lt;&gt;""),IF(AND(E115&gt;=LedFrom,E115&lt;=LedTo,OR(I115=LedAcct,K115=LedAcct,AND(LedAcct=acctTax,M115+N115&lt;&gt;0))),E115*10000+B115,""),"")</f>
        <v/>
      </c>
    </row>
    <row r="116">
      <c r="B116" s="101" t="n">
        <v>110</v>
      </c>
      <c r="C116" s="58" t="inlineStr">
        <is>
          <t>Transaction</t>
        </is>
      </c>
      <c r="D116" s="58">
        <f>IF(H116=1,INDEX(tx_ID,110)&amp;"","")</f>
        <v/>
      </c>
      <c r="E116" s="94">
        <f>IF(H116=1,INDEX(tx_Date,110),"")</f>
        <v/>
      </c>
      <c r="F116" s="58">
        <f>IF(H116=1,INDEX(tx_Desc,110)&amp;"","")</f>
        <v/>
      </c>
      <c r="G116" s="58">
        <f>IF(H116=1,IF(INDEX(tx_Cust,110)&amp;""&lt;&gt;"",INDEX(tx_Cust,110)&amp;"",INDEX(tx_Vend,110)&amp;""),"")</f>
        <v/>
      </c>
      <c r="H116" s="101">
        <f>IFERROR(N(INDEX(tx_Posted,110)),0)</f>
        <v/>
      </c>
      <c r="I116" s="58">
        <f>IF(H116=1,INDEX(tx_DrAcct,110)&amp;"","")</f>
        <v/>
      </c>
      <c r="J116" s="95">
        <f>IF(H116=1,INDEX(tx_DrAmt,110),0)</f>
        <v/>
      </c>
      <c r="K116" s="58">
        <f>IF(H116=1,INDEX(tx_CrAcct,110)&amp;"","")</f>
        <v/>
      </c>
      <c r="L116" s="95">
        <f>IF(H116=1,INDEX(tx_CrAmt,110),0)</f>
        <v/>
      </c>
      <c r="M116" s="95">
        <f>IF(H116=1,INDEX(tx_TaxDr,110),0)</f>
        <v/>
      </c>
      <c r="N116" s="95">
        <f>IF(H116=1,INDEX(tx_TaxCr,110),0)</f>
        <v/>
      </c>
      <c r="O116" s="101">
        <f>IF(H116=1,IF(E116&lt;FYStart,0,IF(E116&gt;FYEnd,13,YEAR(E116)*12+MONTH(E116)-FYYM+1)),"")</f>
        <v/>
      </c>
      <c r="P116" s="101">
        <f>IF(H116=1,IF(IFERROR(INDEX(coa_CF,MATCH(I116,coa_Name,0)),"")="Cash",1,0),0)</f>
        <v/>
      </c>
      <c r="Q116" s="101">
        <f>IF(H116=1,IF(IFERROR(INDEX(coa_CF,MATCH(K116,coa_Name,0)),"")="Cash",1,0),0)</f>
        <v/>
      </c>
      <c r="R116" s="58">
        <f>IF((P116-Q116)=0,"",IFERROR(INDEX(coa_CF,MATCH(IF((P116-Q116)=1,K116,I116),coa_Name,0)),"Operating"))</f>
        <v/>
      </c>
      <c r="S116" s="95">
        <f>IF((P116-Q116)=1,L116,IF((P116-Q116)=-1,-J116,0))</f>
        <v/>
      </c>
      <c r="T116" s="95">
        <f>IF((P116-Q116)=1,N116,IF((P116-Q116)=-1,-M116,0))</f>
        <v/>
      </c>
      <c r="U116" s="101">
        <f>IF(AND(H116=1,LedAcct&lt;&gt;""),IF(AND(E116&gt;=LedFrom,E116&lt;=LedTo,OR(I116=LedAcct,K116=LedAcct,AND(LedAcct=acctTax,M116+N116&lt;&gt;0))),E116*10000+B116,""),"")</f>
        <v/>
      </c>
    </row>
    <row r="117">
      <c r="B117" s="101" t="n">
        <v>111</v>
      </c>
      <c r="C117" s="58" t="inlineStr">
        <is>
          <t>Transaction</t>
        </is>
      </c>
      <c r="D117" s="58">
        <f>IF(H117=1,INDEX(tx_ID,111)&amp;"","")</f>
        <v/>
      </c>
      <c r="E117" s="94">
        <f>IF(H117=1,INDEX(tx_Date,111),"")</f>
        <v/>
      </c>
      <c r="F117" s="58">
        <f>IF(H117=1,INDEX(tx_Desc,111)&amp;"","")</f>
        <v/>
      </c>
      <c r="G117" s="58">
        <f>IF(H117=1,IF(INDEX(tx_Cust,111)&amp;""&lt;&gt;"",INDEX(tx_Cust,111)&amp;"",INDEX(tx_Vend,111)&amp;""),"")</f>
        <v/>
      </c>
      <c r="H117" s="101">
        <f>IFERROR(N(INDEX(tx_Posted,111)),0)</f>
        <v/>
      </c>
      <c r="I117" s="58">
        <f>IF(H117=1,INDEX(tx_DrAcct,111)&amp;"","")</f>
        <v/>
      </c>
      <c r="J117" s="95">
        <f>IF(H117=1,INDEX(tx_DrAmt,111),0)</f>
        <v/>
      </c>
      <c r="K117" s="58">
        <f>IF(H117=1,INDEX(tx_CrAcct,111)&amp;"","")</f>
        <v/>
      </c>
      <c r="L117" s="95">
        <f>IF(H117=1,INDEX(tx_CrAmt,111),0)</f>
        <v/>
      </c>
      <c r="M117" s="95">
        <f>IF(H117=1,INDEX(tx_TaxDr,111),0)</f>
        <v/>
      </c>
      <c r="N117" s="95">
        <f>IF(H117=1,INDEX(tx_TaxCr,111),0)</f>
        <v/>
      </c>
      <c r="O117" s="101">
        <f>IF(H117=1,IF(E117&lt;FYStart,0,IF(E117&gt;FYEnd,13,YEAR(E117)*12+MONTH(E117)-FYYM+1)),"")</f>
        <v/>
      </c>
      <c r="P117" s="101">
        <f>IF(H117=1,IF(IFERROR(INDEX(coa_CF,MATCH(I117,coa_Name,0)),"")="Cash",1,0),0)</f>
        <v/>
      </c>
      <c r="Q117" s="101">
        <f>IF(H117=1,IF(IFERROR(INDEX(coa_CF,MATCH(K117,coa_Name,0)),"")="Cash",1,0),0)</f>
        <v/>
      </c>
      <c r="R117" s="58">
        <f>IF((P117-Q117)=0,"",IFERROR(INDEX(coa_CF,MATCH(IF((P117-Q117)=1,K117,I117),coa_Name,0)),"Operating"))</f>
        <v/>
      </c>
      <c r="S117" s="95">
        <f>IF((P117-Q117)=1,L117,IF((P117-Q117)=-1,-J117,0))</f>
        <v/>
      </c>
      <c r="T117" s="95">
        <f>IF((P117-Q117)=1,N117,IF((P117-Q117)=-1,-M117,0))</f>
        <v/>
      </c>
      <c r="U117" s="101">
        <f>IF(AND(H117=1,LedAcct&lt;&gt;""),IF(AND(E117&gt;=LedFrom,E117&lt;=LedTo,OR(I117=LedAcct,K117=LedAcct,AND(LedAcct=acctTax,M117+N117&lt;&gt;0))),E117*10000+B117,""),"")</f>
        <v/>
      </c>
    </row>
    <row r="118">
      <c r="B118" s="101" t="n">
        <v>112</v>
      </c>
      <c r="C118" s="58" t="inlineStr">
        <is>
          <t>Transaction</t>
        </is>
      </c>
      <c r="D118" s="58">
        <f>IF(H118=1,INDEX(tx_ID,112)&amp;"","")</f>
        <v/>
      </c>
      <c r="E118" s="94">
        <f>IF(H118=1,INDEX(tx_Date,112),"")</f>
        <v/>
      </c>
      <c r="F118" s="58">
        <f>IF(H118=1,INDEX(tx_Desc,112)&amp;"","")</f>
        <v/>
      </c>
      <c r="G118" s="58">
        <f>IF(H118=1,IF(INDEX(tx_Cust,112)&amp;""&lt;&gt;"",INDEX(tx_Cust,112)&amp;"",INDEX(tx_Vend,112)&amp;""),"")</f>
        <v/>
      </c>
      <c r="H118" s="101">
        <f>IFERROR(N(INDEX(tx_Posted,112)),0)</f>
        <v/>
      </c>
      <c r="I118" s="58">
        <f>IF(H118=1,INDEX(tx_DrAcct,112)&amp;"","")</f>
        <v/>
      </c>
      <c r="J118" s="95">
        <f>IF(H118=1,INDEX(tx_DrAmt,112),0)</f>
        <v/>
      </c>
      <c r="K118" s="58">
        <f>IF(H118=1,INDEX(tx_CrAcct,112)&amp;"","")</f>
        <v/>
      </c>
      <c r="L118" s="95">
        <f>IF(H118=1,INDEX(tx_CrAmt,112),0)</f>
        <v/>
      </c>
      <c r="M118" s="95">
        <f>IF(H118=1,INDEX(tx_TaxDr,112),0)</f>
        <v/>
      </c>
      <c r="N118" s="95">
        <f>IF(H118=1,INDEX(tx_TaxCr,112),0)</f>
        <v/>
      </c>
      <c r="O118" s="101">
        <f>IF(H118=1,IF(E118&lt;FYStart,0,IF(E118&gt;FYEnd,13,YEAR(E118)*12+MONTH(E118)-FYYM+1)),"")</f>
        <v/>
      </c>
      <c r="P118" s="101">
        <f>IF(H118=1,IF(IFERROR(INDEX(coa_CF,MATCH(I118,coa_Name,0)),"")="Cash",1,0),0)</f>
        <v/>
      </c>
      <c r="Q118" s="101">
        <f>IF(H118=1,IF(IFERROR(INDEX(coa_CF,MATCH(K118,coa_Name,0)),"")="Cash",1,0),0)</f>
        <v/>
      </c>
      <c r="R118" s="58">
        <f>IF((P118-Q118)=0,"",IFERROR(INDEX(coa_CF,MATCH(IF((P118-Q118)=1,K118,I118),coa_Name,0)),"Operating"))</f>
        <v/>
      </c>
      <c r="S118" s="95">
        <f>IF((P118-Q118)=1,L118,IF((P118-Q118)=-1,-J118,0))</f>
        <v/>
      </c>
      <c r="T118" s="95">
        <f>IF((P118-Q118)=1,N118,IF((P118-Q118)=-1,-M118,0))</f>
        <v/>
      </c>
      <c r="U118" s="101">
        <f>IF(AND(H118=1,LedAcct&lt;&gt;""),IF(AND(E118&gt;=LedFrom,E118&lt;=LedTo,OR(I118=LedAcct,K118=LedAcct,AND(LedAcct=acctTax,M118+N118&lt;&gt;0))),E118*10000+B118,""),"")</f>
        <v/>
      </c>
    </row>
    <row r="119">
      <c r="B119" s="101" t="n">
        <v>113</v>
      </c>
      <c r="C119" s="58" t="inlineStr">
        <is>
          <t>Transaction</t>
        </is>
      </c>
      <c r="D119" s="58">
        <f>IF(H119=1,INDEX(tx_ID,113)&amp;"","")</f>
        <v/>
      </c>
      <c r="E119" s="94">
        <f>IF(H119=1,INDEX(tx_Date,113),"")</f>
        <v/>
      </c>
      <c r="F119" s="58">
        <f>IF(H119=1,INDEX(tx_Desc,113)&amp;"","")</f>
        <v/>
      </c>
      <c r="G119" s="58">
        <f>IF(H119=1,IF(INDEX(tx_Cust,113)&amp;""&lt;&gt;"",INDEX(tx_Cust,113)&amp;"",INDEX(tx_Vend,113)&amp;""),"")</f>
        <v/>
      </c>
      <c r="H119" s="101">
        <f>IFERROR(N(INDEX(tx_Posted,113)),0)</f>
        <v/>
      </c>
      <c r="I119" s="58">
        <f>IF(H119=1,INDEX(tx_DrAcct,113)&amp;"","")</f>
        <v/>
      </c>
      <c r="J119" s="95">
        <f>IF(H119=1,INDEX(tx_DrAmt,113),0)</f>
        <v/>
      </c>
      <c r="K119" s="58">
        <f>IF(H119=1,INDEX(tx_CrAcct,113)&amp;"","")</f>
        <v/>
      </c>
      <c r="L119" s="95">
        <f>IF(H119=1,INDEX(tx_CrAmt,113),0)</f>
        <v/>
      </c>
      <c r="M119" s="95">
        <f>IF(H119=1,INDEX(tx_TaxDr,113),0)</f>
        <v/>
      </c>
      <c r="N119" s="95">
        <f>IF(H119=1,INDEX(tx_TaxCr,113),0)</f>
        <v/>
      </c>
      <c r="O119" s="101">
        <f>IF(H119=1,IF(E119&lt;FYStart,0,IF(E119&gt;FYEnd,13,YEAR(E119)*12+MONTH(E119)-FYYM+1)),"")</f>
        <v/>
      </c>
      <c r="P119" s="101">
        <f>IF(H119=1,IF(IFERROR(INDEX(coa_CF,MATCH(I119,coa_Name,0)),"")="Cash",1,0),0)</f>
        <v/>
      </c>
      <c r="Q119" s="101">
        <f>IF(H119=1,IF(IFERROR(INDEX(coa_CF,MATCH(K119,coa_Name,0)),"")="Cash",1,0),0)</f>
        <v/>
      </c>
      <c r="R119" s="58">
        <f>IF((P119-Q119)=0,"",IFERROR(INDEX(coa_CF,MATCH(IF((P119-Q119)=1,K119,I119),coa_Name,0)),"Operating"))</f>
        <v/>
      </c>
      <c r="S119" s="95">
        <f>IF((P119-Q119)=1,L119,IF((P119-Q119)=-1,-J119,0))</f>
        <v/>
      </c>
      <c r="T119" s="95">
        <f>IF((P119-Q119)=1,N119,IF((P119-Q119)=-1,-M119,0))</f>
        <v/>
      </c>
      <c r="U119" s="101">
        <f>IF(AND(H119=1,LedAcct&lt;&gt;""),IF(AND(E119&gt;=LedFrom,E119&lt;=LedTo,OR(I119=LedAcct,K119=LedAcct,AND(LedAcct=acctTax,M119+N119&lt;&gt;0))),E119*10000+B119,""),"")</f>
        <v/>
      </c>
    </row>
    <row r="120">
      <c r="B120" s="101" t="n">
        <v>114</v>
      </c>
      <c r="C120" s="58" t="inlineStr">
        <is>
          <t>Transaction</t>
        </is>
      </c>
      <c r="D120" s="58">
        <f>IF(H120=1,INDEX(tx_ID,114)&amp;"","")</f>
        <v/>
      </c>
      <c r="E120" s="94">
        <f>IF(H120=1,INDEX(tx_Date,114),"")</f>
        <v/>
      </c>
      <c r="F120" s="58">
        <f>IF(H120=1,INDEX(tx_Desc,114)&amp;"","")</f>
        <v/>
      </c>
      <c r="G120" s="58">
        <f>IF(H120=1,IF(INDEX(tx_Cust,114)&amp;""&lt;&gt;"",INDEX(tx_Cust,114)&amp;"",INDEX(tx_Vend,114)&amp;""),"")</f>
        <v/>
      </c>
      <c r="H120" s="101">
        <f>IFERROR(N(INDEX(tx_Posted,114)),0)</f>
        <v/>
      </c>
      <c r="I120" s="58">
        <f>IF(H120=1,INDEX(tx_DrAcct,114)&amp;"","")</f>
        <v/>
      </c>
      <c r="J120" s="95">
        <f>IF(H120=1,INDEX(tx_DrAmt,114),0)</f>
        <v/>
      </c>
      <c r="K120" s="58">
        <f>IF(H120=1,INDEX(tx_CrAcct,114)&amp;"","")</f>
        <v/>
      </c>
      <c r="L120" s="95">
        <f>IF(H120=1,INDEX(tx_CrAmt,114),0)</f>
        <v/>
      </c>
      <c r="M120" s="95">
        <f>IF(H120=1,INDEX(tx_TaxDr,114),0)</f>
        <v/>
      </c>
      <c r="N120" s="95">
        <f>IF(H120=1,INDEX(tx_TaxCr,114),0)</f>
        <v/>
      </c>
      <c r="O120" s="101">
        <f>IF(H120=1,IF(E120&lt;FYStart,0,IF(E120&gt;FYEnd,13,YEAR(E120)*12+MONTH(E120)-FYYM+1)),"")</f>
        <v/>
      </c>
      <c r="P120" s="101">
        <f>IF(H120=1,IF(IFERROR(INDEX(coa_CF,MATCH(I120,coa_Name,0)),"")="Cash",1,0),0)</f>
        <v/>
      </c>
      <c r="Q120" s="101">
        <f>IF(H120=1,IF(IFERROR(INDEX(coa_CF,MATCH(K120,coa_Name,0)),"")="Cash",1,0),0)</f>
        <v/>
      </c>
      <c r="R120" s="58">
        <f>IF((P120-Q120)=0,"",IFERROR(INDEX(coa_CF,MATCH(IF((P120-Q120)=1,K120,I120),coa_Name,0)),"Operating"))</f>
        <v/>
      </c>
      <c r="S120" s="95">
        <f>IF((P120-Q120)=1,L120,IF((P120-Q120)=-1,-J120,0))</f>
        <v/>
      </c>
      <c r="T120" s="95">
        <f>IF((P120-Q120)=1,N120,IF((P120-Q120)=-1,-M120,0))</f>
        <v/>
      </c>
      <c r="U120" s="101">
        <f>IF(AND(H120=1,LedAcct&lt;&gt;""),IF(AND(E120&gt;=LedFrom,E120&lt;=LedTo,OR(I120=LedAcct,K120=LedAcct,AND(LedAcct=acctTax,M120+N120&lt;&gt;0))),E120*10000+B120,""),"")</f>
        <v/>
      </c>
    </row>
    <row r="121">
      <c r="B121" s="101" t="n">
        <v>115</v>
      </c>
      <c r="C121" s="58" t="inlineStr">
        <is>
          <t>Transaction</t>
        </is>
      </c>
      <c r="D121" s="58">
        <f>IF(H121=1,INDEX(tx_ID,115)&amp;"","")</f>
        <v/>
      </c>
      <c r="E121" s="94">
        <f>IF(H121=1,INDEX(tx_Date,115),"")</f>
        <v/>
      </c>
      <c r="F121" s="58">
        <f>IF(H121=1,INDEX(tx_Desc,115)&amp;"","")</f>
        <v/>
      </c>
      <c r="G121" s="58">
        <f>IF(H121=1,IF(INDEX(tx_Cust,115)&amp;""&lt;&gt;"",INDEX(tx_Cust,115)&amp;"",INDEX(tx_Vend,115)&amp;""),"")</f>
        <v/>
      </c>
      <c r="H121" s="101">
        <f>IFERROR(N(INDEX(tx_Posted,115)),0)</f>
        <v/>
      </c>
      <c r="I121" s="58">
        <f>IF(H121=1,INDEX(tx_DrAcct,115)&amp;"","")</f>
        <v/>
      </c>
      <c r="J121" s="95">
        <f>IF(H121=1,INDEX(tx_DrAmt,115),0)</f>
        <v/>
      </c>
      <c r="K121" s="58">
        <f>IF(H121=1,INDEX(tx_CrAcct,115)&amp;"","")</f>
        <v/>
      </c>
      <c r="L121" s="95">
        <f>IF(H121=1,INDEX(tx_CrAmt,115),0)</f>
        <v/>
      </c>
      <c r="M121" s="95">
        <f>IF(H121=1,INDEX(tx_TaxDr,115),0)</f>
        <v/>
      </c>
      <c r="N121" s="95">
        <f>IF(H121=1,INDEX(tx_TaxCr,115),0)</f>
        <v/>
      </c>
      <c r="O121" s="101">
        <f>IF(H121=1,IF(E121&lt;FYStart,0,IF(E121&gt;FYEnd,13,YEAR(E121)*12+MONTH(E121)-FYYM+1)),"")</f>
        <v/>
      </c>
      <c r="P121" s="101">
        <f>IF(H121=1,IF(IFERROR(INDEX(coa_CF,MATCH(I121,coa_Name,0)),"")="Cash",1,0),0)</f>
        <v/>
      </c>
      <c r="Q121" s="101">
        <f>IF(H121=1,IF(IFERROR(INDEX(coa_CF,MATCH(K121,coa_Name,0)),"")="Cash",1,0),0)</f>
        <v/>
      </c>
      <c r="R121" s="58">
        <f>IF((P121-Q121)=0,"",IFERROR(INDEX(coa_CF,MATCH(IF((P121-Q121)=1,K121,I121),coa_Name,0)),"Operating"))</f>
        <v/>
      </c>
      <c r="S121" s="95">
        <f>IF((P121-Q121)=1,L121,IF((P121-Q121)=-1,-J121,0))</f>
        <v/>
      </c>
      <c r="T121" s="95">
        <f>IF((P121-Q121)=1,N121,IF((P121-Q121)=-1,-M121,0))</f>
        <v/>
      </c>
      <c r="U121" s="101">
        <f>IF(AND(H121=1,LedAcct&lt;&gt;""),IF(AND(E121&gt;=LedFrom,E121&lt;=LedTo,OR(I121=LedAcct,K121=LedAcct,AND(LedAcct=acctTax,M121+N121&lt;&gt;0))),E121*10000+B121,""),"")</f>
        <v/>
      </c>
    </row>
    <row r="122">
      <c r="B122" s="101" t="n">
        <v>116</v>
      </c>
      <c r="C122" s="58" t="inlineStr">
        <is>
          <t>Transaction</t>
        </is>
      </c>
      <c r="D122" s="58">
        <f>IF(H122=1,INDEX(tx_ID,116)&amp;"","")</f>
        <v/>
      </c>
      <c r="E122" s="94">
        <f>IF(H122=1,INDEX(tx_Date,116),"")</f>
        <v/>
      </c>
      <c r="F122" s="58">
        <f>IF(H122=1,INDEX(tx_Desc,116)&amp;"","")</f>
        <v/>
      </c>
      <c r="G122" s="58">
        <f>IF(H122=1,IF(INDEX(tx_Cust,116)&amp;""&lt;&gt;"",INDEX(tx_Cust,116)&amp;"",INDEX(tx_Vend,116)&amp;""),"")</f>
        <v/>
      </c>
      <c r="H122" s="101">
        <f>IFERROR(N(INDEX(tx_Posted,116)),0)</f>
        <v/>
      </c>
      <c r="I122" s="58">
        <f>IF(H122=1,INDEX(tx_DrAcct,116)&amp;"","")</f>
        <v/>
      </c>
      <c r="J122" s="95">
        <f>IF(H122=1,INDEX(tx_DrAmt,116),0)</f>
        <v/>
      </c>
      <c r="K122" s="58">
        <f>IF(H122=1,INDEX(tx_CrAcct,116)&amp;"","")</f>
        <v/>
      </c>
      <c r="L122" s="95">
        <f>IF(H122=1,INDEX(tx_CrAmt,116),0)</f>
        <v/>
      </c>
      <c r="M122" s="95">
        <f>IF(H122=1,INDEX(tx_TaxDr,116),0)</f>
        <v/>
      </c>
      <c r="N122" s="95">
        <f>IF(H122=1,INDEX(tx_TaxCr,116),0)</f>
        <v/>
      </c>
      <c r="O122" s="101">
        <f>IF(H122=1,IF(E122&lt;FYStart,0,IF(E122&gt;FYEnd,13,YEAR(E122)*12+MONTH(E122)-FYYM+1)),"")</f>
        <v/>
      </c>
      <c r="P122" s="101">
        <f>IF(H122=1,IF(IFERROR(INDEX(coa_CF,MATCH(I122,coa_Name,0)),"")="Cash",1,0),0)</f>
        <v/>
      </c>
      <c r="Q122" s="101">
        <f>IF(H122=1,IF(IFERROR(INDEX(coa_CF,MATCH(K122,coa_Name,0)),"")="Cash",1,0),0)</f>
        <v/>
      </c>
      <c r="R122" s="58">
        <f>IF((P122-Q122)=0,"",IFERROR(INDEX(coa_CF,MATCH(IF((P122-Q122)=1,K122,I122),coa_Name,0)),"Operating"))</f>
        <v/>
      </c>
      <c r="S122" s="95">
        <f>IF((P122-Q122)=1,L122,IF((P122-Q122)=-1,-J122,0))</f>
        <v/>
      </c>
      <c r="T122" s="95">
        <f>IF((P122-Q122)=1,N122,IF((P122-Q122)=-1,-M122,0))</f>
        <v/>
      </c>
      <c r="U122" s="101">
        <f>IF(AND(H122=1,LedAcct&lt;&gt;""),IF(AND(E122&gt;=LedFrom,E122&lt;=LedTo,OR(I122=LedAcct,K122=LedAcct,AND(LedAcct=acctTax,M122+N122&lt;&gt;0))),E122*10000+B122,""),"")</f>
        <v/>
      </c>
    </row>
    <row r="123">
      <c r="B123" s="101" t="n">
        <v>117</v>
      </c>
      <c r="C123" s="58" t="inlineStr">
        <is>
          <t>Transaction</t>
        </is>
      </c>
      <c r="D123" s="58">
        <f>IF(H123=1,INDEX(tx_ID,117)&amp;"","")</f>
        <v/>
      </c>
      <c r="E123" s="94">
        <f>IF(H123=1,INDEX(tx_Date,117),"")</f>
        <v/>
      </c>
      <c r="F123" s="58">
        <f>IF(H123=1,INDEX(tx_Desc,117)&amp;"","")</f>
        <v/>
      </c>
      <c r="G123" s="58">
        <f>IF(H123=1,IF(INDEX(tx_Cust,117)&amp;""&lt;&gt;"",INDEX(tx_Cust,117)&amp;"",INDEX(tx_Vend,117)&amp;""),"")</f>
        <v/>
      </c>
      <c r="H123" s="101">
        <f>IFERROR(N(INDEX(tx_Posted,117)),0)</f>
        <v/>
      </c>
      <c r="I123" s="58">
        <f>IF(H123=1,INDEX(tx_DrAcct,117)&amp;"","")</f>
        <v/>
      </c>
      <c r="J123" s="95">
        <f>IF(H123=1,INDEX(tx_DrAmt,117),0)</f>
        <v/>
      </c>
      <c r="K123" s="58">
        <f>IF(H123=1,INDEX(tx_CrAcct,117)&amp;"","")</f>
        <v/>
      </c>
      <c r="L123" s="95">
        <f>IF(H123=1,INDEX(tx_CrAmt,117),0)</f>
        <v/>
      </c>
      <c r="M123" s="95">
        <f>IF(H123=1,INDEX(tx_TaxDr,117),0)</f>
        <v/>
      </c>
      <c r="N123" s="95">
        <f>IF(H123=1,INDEX(tx_TaxCr,117),0)</f>
        <v/>
      </c>
      <c r="O123" s="101">
        <f>IF(H123=1,IF(E123&lt;FYStart,0,IF(E123&gt;FYEnd,13,YEAR(E123)*12+MONTH(E123)-FYYM+1)),"")</f>
        <v/>
      </c>
      <c r="P123" s="101">
        <f>IF(H123=1,IF(IFERROR(INDEX(coa_CF,MATCH(I123,coa_Name,0)),"")="Cash",1,0),0)</f>
        <v/>
      </c>
      <c r="Q123" s="101">
        <f>IF(H123=1,IF(IFERROR(INDEX(coa_CF,MATCH(K123,coa_Name,0)),"")="Cash",1,0),0)</f>
        <v/>
      </c>
      <c r="R123" s="58">
        <f>IF((P123-Q123)=0,"",IFERROR(INDEX(coa_CF,MATCH(IF((P123-Q123)=1,K123,I123),coa_Name,0)),"Operating"))</f>
        <v/>
      </c>
      <c r="S123" s="95">
        <f>IF((P123-Q123)=1,L123,IF((P123-Q123)=-1,-J123,0))</f>
        <v/>
      </c>
      <c r="T123" s="95">
        <f>IF((P123-Q123)=1,N123,IF((P123-Q123)=-1,-M123,0))</f>
        <v/>
      </c>
      <c r="U123" s="101">
        <f>IF(AND(H123=1,LedAcct&lt;&gt;""),IF(AND(E123&gt;=LedFrom,E123&lt;=LedTo,OR(I123=LedAcct,K123=LedAcct,AND(LedAcct=acctTax,M123+N123&lt;&gt;0))),E123*10000+B123,""),"")</f>
        <v/>
      </c>
    </row>
    <row r="124">
      <c r="B124" s="101" t="n">
        <v>118</v>
      </c>
      <c r="C124" s="58" t="inlineStr">
        <is>
          <t>Transaction</t>
        </is>
      </c>
      <c r="D124" s="58">
        <f>IF(H124=1,INDEX(tx_ID,118)&amp;"","")</f>
        <v/>
      </c>
      <c r="E124" s="94">
        <f>IF(H124=1,INDEX(tx_Date,118),"")</f>
        <v/>
      </c>
      <c r="F124" s="58">
        <f>IF(H124=1,INDEX(tx_Desc,118)&amp;"","")</f>
        <v/>
      </c>
      <c r="G124" s="58">
        <f>IF(H124=1,IF(INDEX(tx_Cust,118)&amp;""&lt;&gt;"",INDEX(tx_Cust,118)&amp;"",INDEX(tx_Vend,118)&amp;""),"")</f>
        <v/>
      </c>
      <c r="H124" s="101">
        <f>IFERROR(N(INDEX(tx_Posted,118)),0)</f>
        <v/>
      </c>
      <c r="I124" s="58">
        <f>IF(H124=1,INDEX(tx_DrAcct,118)&amp;"","")</f>
        <v/>
      </c>
      <c r="J124" s="95">
        <f>IF(H124=1,INDEX(tx_DrAmt,118),0)</f>
        <v/>
      </c>
      <c r="K124" s="58">
        <f>IF(H124=1,INDEX(tx_CrAcct,118)&amp;"","")</f>
        <v/>
      </c>
      <c r="L124" s="95">
        <f>IF(H124=1,INDEX(tx_CrAmt,118),0)</f>
        <v/>
      </c>
      <c r="M124" s="95">
        <f>IF(H124=1,INDEX(tx_TaxDr,118),0)</f>
        <v/>
      </c>
      <c r="N124" s="95">
        <f>IF(H124=1,INDEX(tx_TaxCr,118),0)</f>
        <v/>
      </c>
      <c r="O124" s="101">
        <f>IF(H124=1,IF(E124&lt;FYStart,0,IF(E124&gt;FYEnd,13,YEAR(E124)*12+MONTH(E124)-FYYM+1)),"")</f>
        <v/>
      </c>
      <c r="P124" s="101">
        <f>IF(H124=1,IF(IFERROR(INDEX(coa_CF,MATCH(I124,coa_Name,0)),"")="Cash",1,0),0)</f>
        <v/>
      </c>
      <c r="Q124" s="101">
        <f>IF(H124=1,IF(IFERROR(INDEX(coa_CF,MATCH(K124,coa_Name,0)),"")="Cash",1,0),0)</f>
        <v/>
      </c>
      <c r="R124" s="58">
        <f>IF((P124-Q124)=0,"",IFERROR(INDEX(coa_CF,MATCH(IF((P124-Q124)=1,K124,I124),coa_Name,0)),"Operating"))</f>
        <v/>
      </c>
      <c r="S124" s="95">
        <f>IF((P124-Q124)=1,L124,IF((P124-Q124)=-1,-J124,0))</f>
        <v/>
      </c>
      <c r="T124" s="95">
        <f>IF((P124-Q124)=1,N124,IF((P124-Q124)=-1,-M124,0))</f>
        <v/>
      </c>
      <c r="U124" s="101">
        <f>IF(AND(H124=1,LedAcct&lt;&gt;""),IF(AND(E124&gt;=LedFrom,E124&lt;=LedTo,OR(I124=LedAcct,K124=LedAcct,AND(LedAcct=acctTax,M124+N124&lt;&gt;0))),E124*10000+B124,""),"")</f>
        <v/>
      </c>
    </row>
    <row r="125">
      <c r="B125" s="101" t="n">
        <v>119</v>
      </c>
      <c r="C125" s="58" t="inlineStr">
        <is>
          <t>Transaction</t>
        </is>
      </c>
      <c r="D125" s="58">
        <f>IF(H125=1,INDEX(tx_ID,119)&amp;"","")</f>
        <v/>
      </c>
      <c r="E125" s="94">
        <f>IF(H125=1,INDEX(tx_Date,119),"")</f>
        <v/>
      </c>
      <c r="F125" s="58">
        <f>IF(H125=1,INDEX(tx_Desc,119)&amp;"","")</f>
        <v/>
      </c>
      <c r="G125" s="58">
        <f>IF(H125=1,IF(INDEX(tx_Cust,119)&amp;""&lt;&gt;"",INDEX(tx_Cust,119)&amp;"",INDEX(tx_Vend,119)&amp;""),"")</f>
        <v/>
      </c>
      <c r="H125" s="101">
        <f>IFERROR(N(INDEX(tx_Posted,119)),0)</f>
        <v/>
      </c>
      <c r="I125" s="58">
        <f>IF(H125=1,INDEX(tx_DrAcct,119)&amp;"","")</f>
        <v/>
      </c>
      <c r="J125" s="95">
        <f>IF(H125=1,INDEX(tx_DrAmt,119),0)</f>
        <v/>
      </c>
      <c r="K125" s="58">
        <f>IF(H125=1,INDEX(tx_CrAcct,119)&amp;"","")</f>
        <v/>
      </c>
      <c r="L125" s="95">
        <f>IF(H125=1,INDEX(tx_CrAmt,119),0)</f>
        <v/>
      </c>
      <c r="M125" s="95">
        <f>IF(H125=1,INDEX(tx_TaxDr,119),0)</f>
        <v/>
      </c>
      <c r="N125" s="95">
        <f>IF(H125=1,INDEX(tx_TaxCr,119),0)</f>
        <v/>
      </c>
      <c r="O125" s="101">
        <f>IF(H125=1,IF(E125&lt;FYStart,0,IF(E125&gt;FYEnd,13,YEAR(E125)*12+MONTH(E125)-FYYM+1)),"")</f>
        <v/>
      </c>
      <c r="P125" s="101">
        <f>IF(H125=1,IF(IFERROR(INDEX(coa_CF,MATCH(I125,coa_Name,0)),"")="Cash",1,0),0)</f>
        <v/>
      </c>
      <c r="Q125" s="101">
        <f>IF(H125=1,IF(IFERROR(INDEX(coa_CF,MATCH(K125,coa_Name,0)),"")="Cash",1,0),0)</f>
        <v/>
      </c>
      <c r="R125" s="58">
        <f>IF((P125-Q125)=0,"",IFERROR(INDEX(coa_CF,MATCH(IF((P125-Q125)=1,K125,I125),coa_Name,0)),"Operating"))</f>
        <v/>
      </c>
      <c r="S125" s="95">
        <f>IF((P125-Q125)=1,L125,IF((P125-Q125)=-1,-J125,0))</f>
        <v/>
      </c>
      <c r="T125" s="95">
        <f>IF((P125-Q125)=1,N125,IF((P125-Q125)=-1,-M125,0))</f>
        <v/>
      </c>
      <c r="U125" s="101">
        <f>IF(AND(H125=1,LedAcct&lt;&gt;""),IF(AND(E125&gt;=LedFrom,E125&lt;=LedTo,OR(I125=LedAcct,K125=LedAcct,AND(LedAcct=acctTax,M125+N125&lt;&gt;0))),E125*10000+B125,""),"")</f>
        <v/>
      </c>
    </row>
    <row r="126">
      <c r="B126" s="101" t="n">
        <v>120</v>
      </c>
      <c r="C126" s="58" t="inlineStr">
        <is>
          <t>Transaction</t>
        </is>
      </c>
      <c r="D126" s="58">
        <f>IF(H126=1,INDEX(tx_ID,120)&amp;"","")</f>
        <v/>
      </c>
      <c r="E126" s="94">
        <f>IF(H126=1,INDEX(tx_Date,120),"")</f>
        <v/>
      </c>
      <c r="F126" s="58">
        <f>IF(H126=1,INDEX(tx_Desc,120)&amp;"","")</f>
        <v/>
      </c>
      <c r="G126" s="58">
        <f>IF(H126=1,IF(INDEX(tx_Cust,120)&amp;""&lt;&gt;"",INDEX(tx_Cust,120)&amp;"",INDEX(tx_Vend,120)&amp;""),"")</f>
        <v/>
      </c>
      <c r="H126" s="101">
        <f>IFERROR(N(INDEX(tx_Posted,120)),0)</f>
        <v/>
      </c>
      <c r="I126" s="58">
        <f>IF(H126=1,INDEX(tx_DrAcct,120)&amp;"","")</f>
        <v/>
      </c>
      <c r="J126" s="95">
        <f>IF(H126=1,INDEX(tx_DrAmt,120),0)</f>
        <v/>
      </c>
      <c r="K126" s="58">
        <f>IF(H126=1,INDEX(tx_CrAcct,120)&amp;"","")</f>
        <v/>
      </c>
      <c r="L126" s="95">
        <f>IF(H126=1,INDEX(tx_CrAmt,120),0)</f>
        <v/>
      </c>
      <c r="M126" s="95">
        <f>IF(H126=1,INDEX(tx_TaxDr,120),0)</f>
        <v/>
      </c>
      <c r="N126" s="95">
        <f>IF(H126=1,INDEX(tx_TaxCr,120),0)</f>
        <v/>
      </c>
      <c r="O126" s="101">
        <f>IF(H126=1,IF(E126&lt;FYStart,0,IF(E126&gt;FYEnd,13,YEAR(E126)*12+MONTH(E126)-FYYM+1)),"")</f>
        <v/>
      </c>
      <c r="P126" s="101">
        <f>IF(H126=1,IF(IFERROR(INDEX(coa_CF,MATCH(I126,coa_Name,0)),"")="Cash",1,0),0)</f>
        <v/>
      </c>
      <c r="Q126" s="101">
        <f>IF(H126=1,IF(IFERROR(INDEX(coa_CF,MATCH(K126,coa_Name,0)),"")="Cash",1,0),0)</f>
        <v/>
      </c>
      <c r="R126" s="58">
        <f>IF((P126-Q126)=0,"",IFERROR(INDEX(coa_CF,MATCH(IF((P126-Q126)=1,K126,I126),coa_Name,0)),"Operating"))</f>
        <v/>
      </c>
      <c r="S126" s="95">
        <f>IF((P126-Q126)=1,L126,IF((P126-Q126)=-1,-J126,0))</f>
        <v/>
      </c>
      <c r="T126" s="95">
        <f>IF((P126-Q126)=1,N126,IF((P126-Q126)=-1,-M126,0))</f>
        <v/>
      </c>
      <c r="U126" s="101">
        <f>IF(AND(H126=1,LedAcct&lt;&gt;""),IF(AND(E126&gt;=LedFrom,E126&lt;=LedTo,OR(I126=LedAcct,K126=LedAcct,AND(LedAcct=acctTax,M126+N126&lt;&gt;0))),E126*10000+B126,""),"")</f>
        <v/>
      </c>
    </row>
    <row r="127">
      <c r="B127" s="101" t="n">
        <v>121</v>
      </c>
      <c r="C127" s="58" t="inlineStr">
        <is>
          <t>Transaction</t>
        </is>
      </c>
      <c r="D127" s="58">
        <f>IF(H127=1,INDEX(tx_ID,121)&amp;"","")</f>
        <v/>
      </c>
      <c r="E127" s="94">
        <f>IF(H127=1,INDEX(tx_Date,121),"")</f>
        <v/>
      </c>
      <c r="F127" s="58">
        <f>IF(H127=1,INDEX(tx_Desc,121)&amp;"","")</f>
        <v/>
      </c>
      <c r="G127" s="58">
        <f>IF(H127=1,IF(INDEX(tx_Cust,121)&amp;""&lt;&gt;"",INDEX(tx_Cust,121)&amp;"",INDEX(tx_Vend,121)&amp;""),"")</f>
        <v/>
      </c>
      <c r="H127" s="101">
        <f>IFERROR(N(INDEX(tx_Posted,121)),0)</f>
        <v/>
      </c>
      <c r="I127" s="58">
        <f>IF(H127=1,INDEX(tx_DrAcct,121)&amp;"","")</f>
        <v/>
      </c>
      <c r="J127" s="95">
        <f>IF(H127=1,INDEX(tx_DrAmt,121),0)</f>
        <v/>
      </c>
      <c r="K127" s="58">
        <f>IF(H127=1,INDEX(tx_CrAcct,121)&amp;"","")</f>
        <v/>
      </c>
      <c r="L127" s="95">
        <f>IF(H127=1,INDEX(tx_CrAmt,121),0)</f>
        <v/>
      </c>
      <c r="M127" s="95">
        <f>IF(H127=1,INDEX(tx_TaxDr,121),0)</f>
        <v/>
      </c>
      <c r="N127" s="95">
        <f>IF(H127=1,INDEX(tx_TaxCr,121),0)</f>
        <v/>
      </c>
      <c r="O127" s="101">
        <f>IF(H127=1,IF(E127&lt;FYStart,0,IF(E127&gt;FYEnd,13,YEAR(E127)*12+MONTH(E127)-FYYM+1)),"")</f>
        <v/>
      </c>
      <c r="P127" s="101">
        <f>IF(H127=1,IF(IFERROR(INDEX(coa_CF,MATCH(I127,coa_Name,0)),"")="Cash",1,0),0)</f>
        <v/>
      </c>
      <c r="Q127" s="101">
        <f>IF(H127=1,IF(IFERROR(INDEX(coa_CF,MATCH(K127,coa_Name,0)),"")="Cash",1,0),0)</f>
        <v/>
      </c>
      <c r="R127" s="58">
        <f>IF((P127-Q127)=0,"",IFERROR(INDEX(coa_CF,MATCH(IF((P127-Q127)=1,K127,I127),coa_Name,0)),"Operating"))</f>
        <v/>
      </c>
      <c r="S127" s="95">
        <f>IF((P127-Q127)=1,L127,IF((P127-Q127)=-1,-J127,0))</f>
        <v/>
      </c>
      <c r="T127" s="95">
        <f>IF((P127-Q127)=1,N127,IF((P127-Q127)=-1,-M127,0))</f>
        <v/>
      </c>
      <c r="U127" s="101">
        <f>IF(AND(H127=1,LedAcct&lt;&gt;""),IF(AND(E127&gt;=LedFrom,E127&lt;=LedTo,OR(I127=LedAcct,K127=LedAcct,AND(LedAcct=acctTax,M127+N127&lt;&gt;0))),E127*10000+B127,""),"")</f>
        <v/>
      </c>
    </row>
    <row r="128">
      <c r="B128" s="101" t="n">
        <v>122</v>
      </c>
      <c r="C128" s="58" t="inlineStr">
        <is>
          <t>Transaction</t>
        </is>
      </c>
      <c r="D128" s="58">
        <f>IF(H128=1,INDEX(tx_ID,122)&amp;"","")</f>
        <v/>
      </c>
      <c r="E128" s="94">
        <f>IF(H128=1,INDEX(tx_Date,122),"")</f>
        <v/>
      </c>
      <c r="F128" s="58">
        <f>IF(H128=1,INDEX(tx_Desc,122)&amp;"","")</f>
        <v/>
      </c>
      <c r="G128" s="58">
        <f>IF(H128=1,IF(INDEX(tx_Cust,122)&amp;""&lt;&gt;"",INDEX(tx_Cust,122)&amp;"",INDEX(tx_Vend,122)&amp;""),"")</f>
        <v/>
      </c>
      <c r="H128" s="101">
        <f>IFERROR(N(INDEX(tx_Posted,122)),0)</f>
        <v/>
      </c>
      <c r="I128" s="58">
        <f>IF(H128=1,INDEX(tx_DrAcct,122)&amp;"","")</f>
        <v/>
      </c>
      <c r="J128" s="95">
        <f>IF(H128=1,INDEX(tx_DrAmt,122),0)</f>
        <v/>
      </c>
      <c r="K128" s="58">
        <f>IF(H128=1,INDEX(tx_CrAcct,122)&amp;"","")</f>
        <v/>
      </c>
      <c r="L128" s="95">
        <f>IF(H128=1,INDEX(tx_CrAmt,122),0)</f>
        <v/>
      </c>
      <c r="M128" s="95">
        <f>IF(H128=1,INDEX(tx_TaxDr,122),0)</f>
        <v/>
      </c>
      <c r="N128" s="95">
        <f>IF(H128=1,INDEX(tx_TaxCr,122),0)</f>
        <v/>
      </c>
      <c r="O128" s="101">
        <f>IF(H128=1,IF(E128&lt;FYStart,0,IF(E128&gt;FYEnd,13,YEAR(E128)*12+MONTH(E128)-FYYM+1)),"")</f>
        <v/>
      </c>
      <c r="P128" s="101">
        <f>IF(H128=1,IF(IFERROR(INDEX(coa_CF,MATCH(I128,coa_Name,0)),"")="Cash",1,0),0)</f>
        <v/>
      </c>
      <c r="Q128" s="101">
        <f>IF(H128=1,IF(IFERROR(INDEX(coa_CF,MATCH(K128,coa_Name,0)),"")="Cash",1,0),0)</f>
        <v/>
      </c>
      <c r="R128" s="58">
        <f>IF((P128-Q128)=0,"",IFERROR(INDEX(coa_CF,MATCH(IF((P128-Q128)=1,K128,I128),coa_Name,0)),"Operating"))</f>
        <v/>
      </c>
      <c r="S128" s="95">
        <f>IF((P128-Q128)=1,L128,IF((P128-Q128)=-1,-J128,0))</f>
        <v/>
      </c>
      <c r="T128" s="95">
        <f>IF((P128-Q128)=1,N128,IF((P128-Q128)=-1,-M128,0))</f>
        <v/>
      </c>
      <c r="U128" s="101">
        <f>IF(AND(H128=1,LedAcct&lt;&gt;""),IF(AND(E128&gt;=LedFrom,E128&lt;=LedTo,OR(I128=LedAcct,K128=LedAcct,AND(LedAcct=acctTax,M128+N128&lt;&gt;0))),E128*10000+B128,""),"")</f>
        <v/>
      </c>
    </row>
    <row r="129">
      <c r="B129" s="101" t="n">
        <v>123</v>
      </c>
      <c r="C129" s="58" t="inlineStr">
        <is>
          <t>Transaction</t>
        </is>
      </c>
      <c r="D129" s="58">
        <f>IF(H129=1,INDEX(tx_ID,123)&amp;"","")</f>
        <v/>
      </c>
      <c r="E129" s="94">
        <f>IF(H129=1,INDEX(tx_Date,123),"")</f>
        <v/>
      </c>
      <c r="F129" s="58">
        <f>IF(H129=1,INDEX(tx_Desc,123)&amp;"","")</f>
        <v/>
      </c>
      <c r="G129" s="58">
        <f>IF(H129=1,IF(INDEX(tx_Cust,123)&amp;""&lt;&gt;"",INDEX(tx_Cust,123)&amp;"",INDEX(tx_Vend,123)&amp;""),"")</f>
        <v/>
      </c>
      <c r="H129" s="101">
        <f>IFERROR(N(INDEX(tx_Posted,123)),0)</f>
        <v/>
      </c>
      <c r="I129" s="58">
        <f>IF(H129=1,INDEX(tx_DrAcct,123)&amp;"","")</f>
        <v/>
      </c>
      <c r="J129" s="95">
        <f>IF(H129=1,INDEX(tx_DrAmt,123),0)</f>
        <v/>
      </c>
      <c r="K129" s="58">
        <f>IF(H129=1,INDEX(tx_CrAcct,123)&amp;"","")</f>
        <v/>
      </c>
      <c r="L129" s="95">
        <f>IF(H129=1,INDEX(tx_CrAmt,123),0)</f>
        <v/>
      </c>
      <c r="M129" s="95">
        <f>IF(H129=1,INDEX(tx_TaxDr,123),0)</f>
        <v/>
      </c>
      <c r="N129" s="95">
        <f>IF(H129=1,INDEX(tx_TaxCr,123),0)</f>
        <v/>
      </c>
      <c r="O129" s="101">
        <f>IF(H129=1,IF(E129&lt;FYStart,0,IF(E129&gt;FYEnd,13,YEAR(E129)*12+MONTH(E129)-FYYM+1)),"")</f>
        <v/>
      </c>
      <c r="P129" s="101">
        <f>IF(H129=1,IF(IFERROR(INDEX(coa_CF,MATCH(I129,coa_Name,0)),"")="Cash",1,0),0)</f>
        <v/>
      </c>
      <c r="Q129" s="101">
        <f>IF(H129=1,IF(IFERROR(INDEX(coa_CF,MATCH(K129,coa_Name,0)),"")="Cash",1,0),0)</f>
        <v/>
      </c>
      <c r="R129" s="58">
        <f>IF((P129-Q129)=0,"",IFERROR(INDEX(coa_CF,MATCH(IF((P129-Q129)=1,K129,I129),coa_Name,0)),"Operating"))</f>
        <v/>
      </c>
      <c r="S129" s="95">
        <f>IF((P129-Q129)=1,L129,IF((P129-Q129)=-1,-J129,0))</f>
        <v/>
      </c>
      <c r="T129" s="95">
        <f>IF((P129-Q129)=1,N129,IF((P129-Q129)=-1,-M129,0))</f>
        <v/>
      </c>
      <c r="U129" s="101">
        <f>IF(AND(H129=1,LedAcct&lt;&gt;""),IF(AND(E129&gt;=LedFrom,E129&lt;=LedTo,OR(I129=LedAcct,K129=LedAcct,AND(LedAcct=acctTax,M129+N129&lt;&gt;0))),E129*10000+B129,""),"")</f>
        <v/>
      </c>
    </row>
    <row r="130">
      <c r="B130" s="101" t="n">
        <v>124</v>
      </c>
      <c r="C130" s="58" t="inlineStr">
        <is>
          <t>Transaction</t>
        </is>
      </c>
      <c r="D130" s="58">
        <f>IF(H130=1,INDEX(tx_ID,124)&amp;"","")</f>
        <v/>
      </c>
      <c r="E130" s="94">
        <f>IF(H130=1,INDEX(tx_Date,124),"")</f>
        <v/>
      </c>
      <c r="F130" s="58">
        <f>IF(H130=1,INDEX(tx_Desc,124)&amp;"","")</f>
        <v/>
      </c>
      <c r="G130" s="58">
        <f>IF(H130=1,IF(INDEX(tx_Cust,124)&amp;""&lt;&gt;"",INDEX(tx_Cust,124)&amp;"",INDEX(tx_Vend,124)&amp;""),"")</f>
        <v/>
      </c>
      <c r="H130" s="101">
        <f>IFERROR(N(INDEX(tx_Posted,124)),0)</f>
        <v/>
      </c>
      <c r="I130" s="58">
        <f>IF(H130=1,INDEX(tx_DrAcct,124)&amp;"","")</f>
        <v/>
      </c>
      <c r="J130" s="95">
        <f>IF(H130=1,INDEX(tx_DrAmt,124),0)</f>
        <v/>
      </c>
      <c r="K130" s="58">
        <f>IF(H130=1,INDEX(tx_CrAcct,124)&amp;"","")</f>
        <v/>
      </c>
      <c r="L130" s="95">
        <f>IF(H130=1,INDEX(tx_CrAmt,124),0)</f>
        <v/>
      </c>
      <c r="M130" s="95">
        <f>IF(H130=1,INDEX(tx_TaxDr,124),0)</f>
        <v/>
      </c>
      <c r="N130" s="95">
        <f>IF(H130=1,INDEX(tx_TaxCr,124),0)</f>
        <v/>
      </c>
      <c r="O130" s="101">
        <f>IF(H130=1,IF(E130&lt;FYStart,0,IF(E130&gt;FYEnd,13,YEAR(E130)*12+MONTH(E130)-FYYM+1)),"")</f>
        <v/>
      </c>
      <c r="P130" s="101">
        <f>IF(H130=1,IF(IFERROR(INDEX(coa_CF,MATCH(I130,coa_Name,0)),"")="Cash",1,0),0)</f>
        <v/>
      </c>
      <c r="Q130" s="101">
        <f>IF(H130=1,IF(IFERROR(INDEX(coa_CF,MATCH(K130,coa_Name,0)),"")="Cash",1,0),0)</f>
        <v/>
      </c>
      <c r="R130" s="58">
        <f>IF((P130-Q130)=0,"",IFERROR(INDEX(coa_CF,MATCH(IF((P130-Q130)=1,K130,I130),coa_Name,0)),"Operating"))</f>
        <v/>
      </c>
      <c r="S130" s="95">
        <f>IF((P130-Q130)=1,L130,IF((P130-Q130)=-1,-J130,0))</f>
        <v/>
      </c>
      <c r="T130" s="95">
        <f>IF((P130-Q130)=1,N130,IF((P130-Q130)=-1,-M130,0))</f>
        <v/>
      </c>
      <c r="U130" s="101">
        <f>IF(AND(H130=1,LedAcct&lt;&gt;""),IF(AND(E130&gt;=LedFrom,E130&lt;=LedTo,OR(I130=LedAcct,K130=LedAcct,AND(LedAcct=acctTax,M130+N130&lt;&gt;0))),E130*10000+B130,""),"")</f>
        <v/>
      </c>
    </row>
    <row r="131">
      <c r="B131" s="101" t="n">
        <v>125</v>
      </c>
      <c r="C131" s="58" t="inlineStr">
        <is>
          <t>Transaction</t>
        </is>
      </c>
      <c r="D131" s="58">
        <f>IF(H131=1,INDEX(tx_ID,125)&amp;"","")</f>
        <v/>
      </c>
      <c r="E131" s="94">
        <f>IF(H131=1,INDEX(tx_Date,125),"")</f>
        <v/>
      </c>
      <c r="F131" s="58">
        <f>IF(H131=1,INDEX(tx_Desc,125)&amp;"","")</f>
        <v/>
      </c>
      <c r="G131" s="58">
        <f>IF(H131=1,IF(INDEX(tx_Cust,125)&amp;""&lt;&gt;"",INDEX(tx_Cust,125)&amp;"",INDEX(tx_Vend,125)&amp;""),"")</f>
        <v/>
      </c>
      <c r="H131" s="101">
        <f>IFERROR(N(INDEX(tx_Posted,125)),0)</f>
        <v/>
      </c>
      <c r="I131" s="58">
        <f>IF(H131=1,INDEX(tx_DrAcct,125)&amp;"","")</f>
        <v/>
      </c>
      <c r="J131" s="95">
        <f>IF(H131=1,INDEX(tx_DrAmt,125),0)</f>
        <v/>
      </c>
      <c r="K131" s="58">
        <f>IF(H131=1,INDEX(tx_CrAcct,125)&amp;"","")</f>
        <v/>
      </c>
      <c r="L131" s="95">
        <f>IF(H131=1,INDEX(tx_CrAmt,125),0)</f>
        <v/>
      </c>
      <c r="M131" s="95">
        <f>IF(H131=1,INDEX(tx_TaxDr,125),0)</f>
        <v/>
      </c>
      <c r="N131" s="95">
        <f>IF(H131=1,INDEX(tx_TaxCr,125),0)</f>
        <v/>
      </c>
      <c r="O131" s="101">
        <f>IF(H131=1,IF(E131&lt;FYStart,0,IF(E131&gt;FYEnd,13,YEAR(E131)*12+MONTH(E131)-FYYM+1)),"")</f>
        <v/>
      </c>
      <c r="P131" s="101">
        <f>IF(H131=1,IF(IFERROR(INDEX(coa_CF,MATCH(I131,coa_Name,0)),"")="Cash",1,0),0)</f>
        <v/>
      </c>
      <c r="Q131" s="101">
        <f>IF(H131=1,IF(IFERROR(INDEX(coa_CF,MATCH(K131,coa_Name,0)),"")="Cash",1,0),0)</f>
        <v/>
      </c>
      <c r="R131" s="58">
        <f>IF((P131-Q131)=0,"",IFERROR(INDEX(coa_CF,MATCH(IF((P131-Q131)=1,K131,I131),coa_Name,0)),"Operating"))</f>
        <v/>
      </c>
      <c r="S131" s="95">
        <f>IF((P131-Q131)=1,L131,IF((P131-Q131)=-1,-J131,0))</f>
        <v/>
      </c>
      <c r="T131" s="95">
        <f>IF((P131-Q131)=1,N131,IF((P131-Q131)=-1,-M131,0))</f>
        <v/>
      </c>
      <c r="U131" s="101">
        <f>IF(AND(H131=1,LedAcct&lt;&gt;""),IF(AND(E131&gt;=LedFrom,E131&lt;=LedTo,OR(I131=LedAcct,K131=LedAcct,AND(LedAcct=acctTax,M131+N131&lt;&gt;0))),E131*10000+B131,""),"")</f>
        <v/>
      </c>
    </row>
    <row r="132">
      <c r="B132" s="101" t="n">
        <v>126</v>
      </c>
      <c r="C132" s="58" t="inlineStr">
        <is>
          <t>Transaction</t>
        </is>
      </c>
      <c r="D132" s="58">
        <f>IF(H132=1,INDEX(tx_ID,126)&amp;"","")</f>
        <v/>
      </c>
      <c r="E132" s="94">
        <f>IF(H132=1,INDEX(tx_Date,126),"")</f>
        <v/>
      </c>
      <c r="F132" s="58">
        <f>IF(H132=1,INDEX(tx_Desc,126)&amp;"","")</f>
        <v/>
      </c>
      <c r="G132" s="58">
        <f>IF(H132=1,IF(INDEX(tx_Cust,126)&amp;""&lt;&gt;"",INDEX(tx_Cust,126)&amp;"",INDEX(tx_Vend,126)&amp;""),"")</f>
        <v/>
      </c>
      <c r="H132" s="101">
        <f>IFERROR(N(INDEX(tx_Posted,126)),0)</f>
        <v/>
      </c>
      <c r="I132" s="58">
        <f>IF(H132=1,INDEX(tx_DrAcct,126)&amp;"","")</f>
        <v/>
      </c>
      <c r="J132" s="95">
        <f>IF(H132=1,INDEX(tx_DrAmt,126),0)</f>
        <v/>
      </c>
      <c r="K132" s="58">
        <f>IF(H132=1,INDEX(tx_CrAcct,126)&amp;"","")</f>
        <v/>
      </c>
      <c r="L132" s="95">
        <f>IF(H132=1,INDEX(tx_CrAmt,126),0)</f>
        <v/>
      </c>
      <c r="M132" s="95">
        <f>IF(H132=1,INDEX(tx_TaxDr,126),0)</f>
        <v/>
      </c>
      <c r="N132" s="95">
        <f>IF(H132=1,INDEX(tx_TaxCr,126),0)</f>
        <v/>
      </c>
      <c r="O132" s="101">
        <f>IF(H132=1,IF(E132&lt;FYStart,0,IF(E132&gt;FYEnd,13,YEAR(E132)*12+MONTH(E132)-FYYM+1)),"")</f>
        <v/>
      </c>
      <c r="P132" s="101">
        <f>IF(H132=1,IF(IFERROR(INDEX(coa_CF,MATCH(I132,coa_Name,0)),"")="Cash",1,0),0)</f>
        <v/>
      </c>
      <c r="Q132" s="101">
        <f>IF(H132=1,IF(IFERROR(INDEX(coa_CF,MATCH(K132,coa_Name,0)),"")="Cash",1,0),0)</f>
        <v/>
      </c>
      <c r="R132" s="58">
        <f>IF((P132-Q132)=0,"",IFERROR(INDEX(coa_CF,MATCH(IF((P132-Q132)=1,K132,I132),coa_Name,0)),"Operating"))</f>
        <v/>
      </c>
      <c r="S132" s="95">
        <f>IF((P132-Q132)=1,L132,IF((P132-Q132)=-1,-J132,0))</f>
        <v/>
      </c>
      <c r="T132" s="95">
        <f>IF((P132-Q132)=1,N132,IF((P132-Q132)=-1,-M132,0))</f>
        <v/>
      </c>
      <c r="U132" s="101">
        <f>IF(AND(H132=1,LedAcct&lt;&gt;""),IF(AND(E132&gt;=LedFrom,E132&lt;=LedTo,OR(I132=LedAcct,K132=LedAcct,AND(LedAcct=acctTax,M132+N132&lt;&gt;0))),E132*10000+B132,""),"")</f>
        <v/>
      </c>
    </row>
    <row r="133">
      <c r="B133" s="101" t="n">
        <v>127</v>
      </c>
      <c r="C133" s="58" t="inlineStr">
        <is>
          <t>Transaction</t>
        </is>
      </c>
      <c r="D133" s="58">
        <f>IF(H133=1,INDEX(tx_ID,127)&amp;"","")</f>
        <v/>
      </c>
      <c r="E133" s="94">
        <f>IF(H133=1,INDEX(tx_Date,127),"")</f>
        <v/>
      </c>
      <c r="F133" s="58">
        <f>IF(H133=1,INDEX(tx_Desc,127)&amp;"","")</f>
        <v/>
      </c>
      <c r="G133" s="58">
        <f>IF(H133=1,IF(INDEX(tx_Cust,127)&amp;""&lt;&gt;"",INDEX(tx_Cust,127)&amp;"",INDEX(tx_Vend,127)&amp;""),"")</f>
        <v/>
      </c>
      <c r="H133" s="101">
        <f>IFERROR(N(INDEX(tx_Posted,127)),0)</f>
        <v/>
      </c>
      <c r="I133" s="58">
        <f>IF(H133=1,INDEX(tx_DrAcct,127)&amp;"","")</f>
        <v/>
      </c>
      <c r="J133" s="95">
        <f>IF(H133=1,INDEX(tx_DrAmt,127),0)</f>
        <v/>
      </c>
      <c r="K133" s="58">
        <f>IF(H133=1,INDEX(tx_CrAcct,127)&amp;"","")</f>
        <v/>
      </c>
      <c r="L133" s="95">
        <f>IF(H133=1,INDEX(tx_CrAmt,127),0)</f>
        <v/>
      </c>
      <c r="M133" s="95">
        <f>IF(H133=1,INDEX(tx_TaxDr,127),0)</f>
        <v/>
      </c>
      <c r="N133" s="95">
        <f>IF(H133=1,INDEX(tx_TaxCr,127),0)</f>
        <v/>
      </c>
      <c r="O133" s="101">
        <f>IF(H133=1,IF(E133&lt;FYStart,0,IF(E133&gt;FYEnd,13,YEAR(E133)*12+MONTH(E133)-FYYM+1)),"")</f>
        <v/>
      </c>
      <c r="P133" s="101">
        <f>IF(H133=1,IF(IFERROR(INDEX(coa_CF,MATCH(I133,coa_Name,0)),"")="Cash",1,0),0)</f>
        <v/>
      </c>
      <c r="Q133" s="101">
        <f>IF(H133=1,IF(IFERROR(INDEX(coa_CF,MATCH(K133,coa_Name,0)),"")="Cash",1,0),0)</f>
        <v/>
      </c>
      <c r="R133" s="58">
        <f>IF((P133-Q133)=0,"",IFERROR(INDEX(coa_CF,MATCH(IF((P133-Q133)=1,K133,I133),coa_Name,0)),"Operating"))</f>
        <v/>
      </c>
      <c r="S133" s="95">
        <f>IF((P133-Q133)=1,L133,IF((P133-Q133)=-1,-J133,0))</f>
        <v/>
      </c>
      <c r="T133" s="95">
        <f>IF((P133-Q133)=1,N133,IF((P133-Q133)=-1,-M133,0))</f>
        <v/>
      </c>
      <c r="U133" s="101">
        <f>IF(AND(H133=1,LedAcct&lt;&gt;""),IF(AND(E133&gt;=LedFrom,E133&lt;=LedTo,OR(I133=LedAcct,K133=LedAcct,AND(LedAcct=acctTax,M133+N133&lt;&gt;0))),E133*10000+B133,""),"")</f>
        <v/>
      </c>
    </row>
    <row r="134">
      <c r="B134" s="101" t="n">
        <v>128</v>
      </c>
      <c r="C134" s="58" t="inlineStr">
        <is>
          <t>Transaction</t>
        </is>
      </c>
      <c r="D134" s="58">
        <f>IF(H134=1,INDEX(tx_ID,128)&amp;"","")</f>
        <v/>
      </c>
      <c r="E134" s="94">
        <f>IF(H134=1,INDEX(tx_Date,128),"")</f>
        <v/>
      </c>
      <c r="F134" s="58">
        <f>IF(H134=1,INDEX(tx_Desc,128)&amp;"","")</f>
        <v/>
      </c>
      <c r="G134" s="58">
        <f>IF(H134=1,IF(INDEX(tx_Cust,128)&amp;""&lt;&gt;"",INDEX(tx_Cust,128)&amp;"",INDEX(tx_Vend,128)&amp;""),"")</f>
        <v/>
      </c>
      <c r="H134" s="101">
        <f>IFERROR(N(INDEX(tx_Posted,128)),0)</f>
        <v/>
      </c>
      <c r="I134" s="58">
        <f>IF(H134=1,INDEX(tx_DrAcct,128)&amp;"","")</f>
        <v/>
      </c>
      <c r="J134" s="95">
        <f>IF(H134=1,INDEX(tx_DrAmt,128),0)</f>
        <v/>
      </c>
      <c r="K134" s="58">
        <f>IF(H134=1,INDEX(tx_CrAcct,128)&amp;"","")</f>
        <v/>
      </c>
      <c r="L134" s="95">
        <f>IF(H134=1,INDEX(tx_CrAmt,128),0)</f>
        <v/>
      </c>
      <c r="M134" s="95">
        <f>IF(H134=1,INDEX(tx_TaxDr,128),0)</f>
        <v/>
      </c>
      <c r="N134" s="95">
        <f>IF(H134=1,INDEX(tx_TaxCr,128),0)</f>
        <v/>
      </c>
      <c r="O134" s="101">
        <f>IF(H134=1,IF(E134&lt;FYStart,0,IF(E134&gt;FYEnd,13,YEAR(E134)*12+MONTH(E134)-FYYM+1)),"")</f>
        <v/>
      </c>
      <c r="P134" s="101">
        <f>IF(H134=1,IF(IFERROR(INDEX(coa_CF,MATCH(I134,coa_Name,0)),"")="Cash",1,0),0)</f>
        <v/>
      </c>
      <c r="Q134" s="101">
        <f>IF(H134=1,IF(IFERROR(INDEX(coa_CF,MATCH(K134,coa_Name,0)),"")="Cash",1,0),0)</f>
        <v/>
      </c>
      <c r="R134" s="58">
        <f>IF((P134-Q134)=0,"",IFERROR(INDEX(coa_CF,MATCH(IF((P134-Q134)=1,K134,I134),coa_Name,0)),"Operating"))</f>
        <v/>
      </c>
      <c r="S134" s="95">
        <f>IF((P134-Q134)=1,L134,IF((P134-Q134)=-1,-J134,0))</f>
        <v/>
      </c>
      <c r="T134" s="95">
        <f>IF((P134-Q134)=1,N134,IF((P134-Q134)=-1,-M134,0))</f>
        <v/>
      </c>
      <c r="U134" s="101">
        <f>IF(AND(H134=1,LedAcct&lt;&gt;""),IF(AND(E134&gt;=LedFrom,E134&lt;=LedTo,OR(I134=LedAcct,K134=LedAcct,AND(LedAcct=acctTax,M134+N134&lt;&gt;0))),E134*10000+B134,""),"")</f>
        <v/>
      </c>
    </row>
    <row r="135">
      <c r="B135" s="101" t="n">
        <v>129</v>
      </c>
      <c r="C135" s="58" t="inlineStr">
        <is>
          <t>Transaction</t>
        </is>
      </c>
      <c r="D135" s="58">
        <f>IF(H135=1,INDEX(tx_ID,129)&amp;"","")</f>
        <v/>
      </c>
      <c r="E135" s="94">
        <f>IF(H135=1,INDEX(tx_Date,129),"")</f>
        <v/>
      </c>
      <c r="F135" s="58">
        <f>IF(H135=1,INDEX(tx_Desc,129)&amp;"","")</f>
        <v/>
      </c>
      <c r="G135" s="58">
        <f>IF(H135=1,IF(INDEX(tx_Cust,129)&amp;""&lt;&gt;"",INDEX(tx_Cust,129)&amp;"",INDEX(tx_Vend,129)&amp;""),"")</f>
        <v/>
      </c>
      <c r="H135" s="101">
        <f>IFERROR(N(INDEX(tx_Posted,129)),0)</f>
        <v/>
      </c>
      <c r="I135" s="58">
        <f>IF(H135=1,INDEX(tx_DrAcct,129)&amp;"","")</f>
        <v/>
      </c>
      <c r="J135" s="95">
        <f>IF(H135=1,INDEX(tx_DrAmt,129),0)</f>
        <v/>
      </c>
      <c r="K135" s="58">
        <f>IF(H135=1,INDEX(tx_CrAcct,129)&amp;"","")</f>
        <v/>
      </c>
      <c r="L135" s="95">
        <f>IF(H135=1,INDEX(tx_CrAmt,129),0)</f>
        <v/>
      </c>
      <c r="M135" s="95">
        <f>IF(H135=1,INDEX(tx_TaxDr,129),0)</f>
        <v/>
      </c>
      <c r="N135" s="95">
        <f>IF(H135=1,INDEX(tx_TaxCr,129),0)</f>
        <v/>
      </c>
      <c r="O135" s="101">
        <f>IF(H135=1,IF(E135&lt;FYStart,0,IF(E135&gt;FYEnd,13,YEAR(E135)*12+MONTH(E135)-FYYM+1)),"")</f>
        <v/>
      </c>
      <c r="P135" s="101">
        <f>IF(H135=1,IF(IFERROR(INDEX(coa_CF,MATCH(I135,coa_Name,0)),"")="Cash",1,0),0)</f>
        <v/>
      </c>
      <c r="Q135" s="101">
        <f>IF(H135=1,IF(IFERROR(INDEX(coa_CF,MATCH(K135,coa_Name,0)),"")="Cash",1,0),0)</f>
        <v/>
      </c>
      <c r="R135" s="58">
        <f>IF((P135-Q135)=0,"",IFERROR(INDEX(coa_CF,MATCH(IF((P135-Q135)=1,K135,I135),coa_Name,0)),"Operating"))</f>
        <v/>
      </c>
      <c r="S135" s="95">
        <f>IF((P135-Q135)=1,L135,IF((P135-Q135)=-1,-J135,0))</f>
        <v/>
      </c>
      <c r="T135" s="95">
        <f>IF((P135-Q135)=1,N135,IF((P135-Q135)=-1,-M135,0))</f>
        <v/>
      </c>
      <c r="U135" s="101">
        <f>IF(AND(H135=1,LedAcct&lt;&gt;""),IF(AND(E135&gt;=LedFrom,E135&lt;=LedTo,OR(I135=LedAcct,K135=LedAcct,AND(LedAcct=acctTax,M135+N135&lt;&gt;0))),E135*10000+B135,""),"")</f>
        <v/>
      </c>
    </row>
    <row r="136">
      <c r="B136" s="101" t="n">
        <v>130</v>
      </c>
      <c r="C136" s="58" t="inlineStr">
        <is>
          <t>Transaction</t>
        </is>
      </c>
      <c r="D136" s="58">
        <f>IF(H136=1,INDEX(tx_ID,130)&amp;"","")</f>
        <v/>
      </c>
      <c r="E136" s="94">
        <f>IF(H136=1,INDEX(tx_Date,130),"")</f>
        <v/>
      </c>
      <c r="F136" s="58">
        <f>IF(H136=1,INDEX(tx_Desc,130)&amp;"","")</f>
        <v/>
      </c>
      <c r="G136" s="58">
        <f>IF(H136=1,IF(INDEX(tx_Cust,130)&amp;""&lt;&gt;"",INDEX(tx_Cust,130)&amp;"",INDEX(tx_Vend,130)&amp;""),"")</f>
        <v/>
      </c>
      <c r="H136" s="101">
        <f>IFERROR(N(INDEX(tx_Posted,130)),0)</f>
        <v/>
      </c>
      <c r="I136" s="58">
        <f>IF(H136=1,INDEX(tx_DrAcct,130)&amp;"","")</f>
        <v/>
      </c>
      <c r="J136" s="95">
        <f>IF(H136=1,INDEX(tx_DrAmt,130),0)</f>
        <v/>
      </c>
      <c r="K136" s="58">
        <f>IF(H136=1,INDEX(tx_CrAcct,130)&amp;"","")</f>
        <v/>
      </c>
      <c r="L136" s="95">
        <f>IF(H136=1,INDEX(tx_CrAmt,130),0)</f>
        <v/>
      </c>
      <c r="M136" s="95">
        <f>IF(H136=1,INDEX(tx_TaxDr,130),0)</f>
        <v/>
      </c>
      <c r="N136" s="95">
        <f>IF(H136=1,INDEX(tx_TaxCr,130),0)</f>
        <v/>
      </c>
      <c r="O136" s="101">
        <f>IF(H136=1,IF(E136&lt;FYStart,0,IF(E136&gt;FYEnd,13,YEAR(E136)*12+MONTH(E136)-FYYM+1)),"")</f>
        <v/>
      </c>
      <c r="P136" s="101">
        <f>IF(H136=1,IF(IFERROR(INDEX(coa_CF,MATCH(I136,coa_Name,0)),"")="Cash",1,0),0)</f>
        <v/>
      </c>
      <c r="Q136" s="101">
        <f>IF(H136=1,IF(IFERROR(INDEX(coa_CF,MATCH(K136,coa_Name,0)),"")="Cash",1,0),0)</f>
        <v/>
      </c>
      <c r="R136" s="58">
        <f>IF((P136-Q136)=0,"",IFERROR(INDEX(coa_CF,MATCH(IF((P136-Q136)=1,K136,I136),coa_Name,0)),"Operating"))</f>
        <v/>
      </c>
      <c r="S136" s="95">
        <f>IF((P136-Q136)=1,L136,IF((P136-Q136)=-1,-J136,0))</f>
        <v/>
      </c>
      <c r="T136" s="95">
        <f>IF((P136-Q136)=1,N136,IF((P136-Q136)=-1,-M136,0))</f>
        <v/>
      </c>
      <c r="U136" s="101">
        <f>IF(AND(H136=1,LedAcct&lt;&gt;""),IF(AND(E136&gt;=LedFrom,E136&lt;=LedTo,OR(I136=LedAcct,K136=LedAcct,AND(LedAcct=acctTax,M136+N136&lt;&gt;0))),E136*10000+B136,""),"")</f>
        <v/>
      </c>
    </row>
    <row r="137">
      <c r="B137" s="101" t="n">
        <v>131</v>
      </c>
      <c r="C137" s="58" t="inlineStr">
        <is>
          <t>Transaction</t>
        </is>
      </c>
      <c r="D137" s="58">
        <f>IF(H137=1,INDEX(tx_ID,131)&amp;"","")</f>
        <v/>
      </c>
      <c r="E137" s="94">
        <f>IF(H137=1,INDEX(tx_Date,131),"")</f>
        <v/>
      </c>
      <c r="F137" s="58">
        <f>IF(H137=1,INDEX(tx_Desc,131)&amp;"","")</f>
        <v/>
      </c>
      <c r="G137" s="58">
        <f>IF(H137=1,IF(INDEX(tx_Cust,131)&amp;""&lt;&gt;"",INDEX(tx_Cust,131)&amp;"",INDEX(tx_Vend,131)&amp;""),"")</f>
        <v/>
      </c>
      <c r="H137" s="101">
        <f>IFERROR(N(INDEX(tx_Posted,131)),0)</f>
        <v/>
      </c>
      <c r="I137" s="58">
        <f>IF(H137=1,INDEX(tx_DrAcct,131)&amp;"","")</f>
        <v/>
      </c>
      <c r="J137" s="95">
        <f>IF(H137=1,INDEX(tx_DrAmt,131),0)</f>
        <v/>
      </c>
      <c r="K137" s="58">
        <f>IF(H137=1,INDEX(tx_CrAcct,131)&amp;"","")</f>
        <v/>
      </c>
      <c r="L137" s="95">
        <f>IF(H137=1,INDEX(tx_CrAmt,131),0)</f>
        <v/>
      </c>
      <c r="M137" s="95">
        <f>IF(H137=1,INDEX(tx_TaxDr,131),0)</f>
        <v/>
      </c>
      <c r="N137" s="95">
        <f>IF(H137=1,INDEX(tx_TaxCr,131),0)</f>
        <v/>
      </c>
      <c r="O137" s="101">
        <f>IF(H137=1,IF(E137&lt;FYStart,0,IF(E137&gt;FYEnd,13,YEAR(E137)*12+MONTH(E137)-FYYM+1)),"")</f>
        <v/>
      </c>
      <c r="P137" s="101">
        <f>IF(H137=1,IF(IFERROR(INDEX(coa_CF,MATCH(I137,coa_Name,0)),"")="Cash",1,0),0)</f>
        <v/>
      </c>
      <c r="Q137" s="101">
        <f>IF(H137=1,IF(IFERROR(INDEX(coa_CF,MATCH(K137,coa_Name,0)),"")="Cash",1,0),0)</f>
        <v/>
      </c>
      <c r="R137" s="58">
        <f>IF((P137-Q137)=0,"",IFERROR(INDEX(coa_CF,MATCH(IF((P137-Q137)=1,K137,I137),coa_Name,0)),"Operating"))</f>
        <v/>
      </c>
      <c r="S137" s="95">
        <f>IF((P137-Q137)=1,L137,IF((P137-Q137)=-1,-J137,0))</f>
        <v/>
      </c>
      <c r="T137" s="95">
        <f>IF((P137-Q137)=1,N137,IF((P137-Q137)=-1,-M137,0))</f>
        <v/>
      </c>
      <c r="U137" s="101">
        <f>IF(AND(H137=1,LedAcct&lt;&gt;""),IF(AND(E137&gt;=LedFrom,E137&lt;=LedTo,OR(I137=LedAcct,K137=LedAcct,AND(LedAcct=acctTax,M137+N137&lt;&gt;0))),E137*10000+B137,""),"")</f>
        <v/>
      </c>
    </row>
    <row r="138">
      <c r="B138" s="101" t="n">
        <v>132</v>
      </c>
      <c r="C138" s="58" t="inlineStr">
        <is>
          <t>Transaction</t>
        </is>
      </c>
      <c r="D138" s="58">
        <f>IF(H138=1,INDEX(tx_ID,132)&amp;"","")</f>
        <v/>
      </c>
      <c r="E138" s="94">
        <f>IF(H138=1,INDEX(tx_Date,132),"")</f>
        <v/>
      </c>
      <c r="F138" s="58">
        <f>IF(H138=1,INDEX(tx_Desc,132)&amp;"","")</f>
        <v/>
      </c>
      <c r="G138" s="58">
        <f>IF(H138=1,IF(INDEX(tx_Cust,132)&amp;""&lt;&gt;"",INDEX(tx_Cust,132)&amp;"",INDEX(tx_Vend,132)&amp;""),"")</f>
        <v/>
      </c>
      <c r="H138" s="101">
        <f>IFERROR(N(INDEX(tx_Posted,132)),0)</f>
        <v/>
      </c>
      <c r="I138" s="58">
        <f>IF(H138=1,INDEX(tx_DrAcct,132)&amp;"","")</f>
        <v/>
      </c>
      <c r="J138" s="95">
        <f>IF(H138=1,INDEX(tx_DrAmt,132),0)</f>
        <v/>
      </c>
      <c r="K138" s="58">
        <f>IF(H138=1,INDEX(tx_CrAcct,132)&amp;"","")</f>
        <v/>
      </c>
      <c r="L138" s="95">
        <f>IF(H138=1,INDEX(tx_CrAmt,132),0)</f>
        <v/>
      </c>
      <c r="M138" s="95">
        <f>IF(H138=1,INDEX(tx_TaxDr,132),0)</f>
        <v/>
      </c>
      <c r="N138" s="95">
        <f>IF(H138=1,INDEX(tx_TaxCr,132),0)</f>
        <v/>
      </c>
      <c r="O138" s="101">
        <f>IF(H138=1,IF(E138&lt;FYStart,0,IF(E138&gt;FYEnd,13,YEAR(E138)*12+MONTH(E138)-FYYM+1)),"")</f>
        <v/>
      </c>
      <c r="P138" s="101">
        <f>IF(H138=1,IF(IFERROR(INDEX(coa_CF,MATCH(I138,coa_Name,0)),"")="Cash",1,0),0)</f>
        <v/>
      </c>
      <c r="Q138" s="101">
        <f>IF(H138=1,IF(IFERROR(INDEX(coa_CF,MATCH(K138,coa_Name,0)),"")="Cash",1,0),0)</f>
        <v/>
      </c>
      <c r="R138" s="58">
        <f>IF((P138-Q138)=0,"",IFERROR(INDEX(coa_CF,MATCH(IF((P138-Q138)=1,K138,I138),coa_Name,0)),"Operating"))</f>
        <v/>
      </c>
      <c r="S138" s="95">
        <f>IF((P138-Q138)=1,L138,IF((P138-Q138)=-1,-J138,0))</f>
        <v/>
      </c>
      <c r="T138" s="95">
        <f>IF((P138-Q138)=1,N138,IF((P138-Q138)=-1,-M138,0))</f>
        <v/>
      </c>
      <c r="U138" s="101">
        <f>IF(AND(H138=1,LedAcct&lt;&gt;""),IF(AND(E138&gt;=LedFrom,E138&lt;=LedTo,OR(I138=LedAcct,K138=LedAcct,AND(LedAcct=acctTax,M138+N138&lt;&gt;0))),E138*10000+B138,""),"")</f>
        <v/>
      </c>
    </row>
    <row r="139">
      <c r="B139" s="101" t="n">
        <v>133</v>
      </c>
      <c r="C139" s="58" t="inlineStr">
        <is>
          <t>Transaction</t>
        </is>
      </c>
      <c r="D139" s="58">
        <f>IF(H139=1,INDEX(tx_ID,133)&amp;"","")</f>
        <v/>
      </c>
      <c r="E139" s="94">
        <f>IF(H139=1,INDEX(tx_Date,133),"")</f>
        <v/>
      </c>
      <c r="F139" s="58">
        <f>IF(H139=1,INDEX(tx_Desc,133)&amp;"","")</f>
        <v/>
      </c>
      <c r="G139" s="58">
        <f>IF(H139=1,IF(INDEX(tx_Cust,133)&amp;""&lt;&gt;"",INDEX(tx_Cust,133)&amp;"",INDEX(tx_Vend,133)&amp;""),"")</f>
        <v/>
      </c>
      <c r="H139" s="101">
        <f>IFERROR(N(INDEX(tx_Posted,133)),0)</f>
        <v/>
      </c>
      <c r="I139" s="58">
        <f>IF(H139=1,INDEX(tx_DrAcct,133)&amp;"","")</f>
        <v/>
      </c>
      <c r="J139" s="95">
        <f>IF(H139=1,INDEX(tx_DrAmt,133),0)</f>
        <v/>
      </c>
      <c r="K139" s="58">
        <f>IF(H139=1,INDEX(tx_CrAcct,133)&amp;"","")</f>
        <v/>
      </c>
      <c r="L139" s="95">
        <f>IF(H139=1,INDEX(tx_CrAmt,133),0)</f>
        <v/>
      </c>
      <c r="M139" s="95">
        <f>IF(H139=1,INDEX(tx_TaxDr,133),0)</f>
        <v/>
      </c>
      <c r="N139" s="95">
        <f>IF(H139=1,INDEX(tx_TaxCr,133),0)</f>
        <v/>
      </c>
      <c r="O139" s="101">
        <f>IF(H139=1,IF(E139&lt;FYStart,0,IF(E139&gt;FYEnd,13,YEAR(E139)*12+MONTH(E139)-FYYM+1)),"")</f>
        <v/>
      </c>
      <c r="P139" s="101">
        <f>IF(H139=1,IF(IFERROR(INDEX(coa_CF,MATCH(I139,coa_Name,0)),"")="Cash",1,0),0)</f>
        <v/>
      </c>
      <c r="Q139" s="101">
        <f>IF(H139=1,IF(IFERROR(INDEX(coa_CF,MATCH(K139,coa_Name,0)),"")="Cash",1,0),0)</f>
        <v/>
      </c>
      <c r="R139" s="58">
        <f>IF((P139-Q139)=0,"",IFERROR(INDEX(coa_CF,MATCH(IF((P139-Q139)=1,K139,I139),coa_Name,0)),"Operating"))</f>
        <v/>
      </c>
      <c r="S139" s="95">
        <f>IF((P139-Q139)=1,L139,IF((P139-Q139)=-1,-J139,0))</f>
        <v/>
      </c>
      <c r="T139" s="95">
        <f>IF((P139-Q139)=1,N139,IF((P139-Q139)=-1,-M139,0))</f>
        <v/>
      </c>
      <c r="U139" s="101">
        <f>IF(AND(H139=1,LedAcct&lt;&gt;""),IF(AND(E139&gt;=LedFrom,E139&lt;=LedTo,OR(I139=LedAcct,K139=LedAcct,AND(LedAcct=acctTax,M139+N139&lt;&gt;0))),E139*10000+B139,""),"")</f>
        <v/>
      </c>
    </row>
    <row r="140">
      <c r="B140" s="101" t="n">
        <v>134</v>
      </c>
      <c r="C140" s="58" t="inlineStr">
        <is>
          <t>Transaction</t>
        </is>
      </c>
      <c r="D140" s="58">
        <f>IF(H140=1,INDEX(tx_ID,134)&amp;"","")</f>
        <v/>
      </c>
      <c r="E140" s="94">
        <f>IF(H140=1,INDEX(tx_Date,134),"")</f>
        <v/>
      </c>
      <c r="F140" s="58">
        <f>IF(H140=1,INDEX(tx_Desc,134)&amp;"","")</f>
        <v/>
      </c>
      <c r="G140" s="58">
        <f>IF(H140=1,IF(INDEX(tx_Cust,134)&amp;""&lt;&gt;"",INDEX(tx_Cust,134)&amp;"",INDEX(tx_Vend,134)&amp;""),"")</f>
        <v/>
      </c>
      <c r="H140" s="101">
        <f>IFERROR(N(INDEX(tx_Posted,134)),0)</f>
        <v/>
      </c>
      <c r="I140" s="58">
        <f>IF(H140=1,INDEX(tx_DrAcct,134)&amp;"","")</f>
        <v/>
      </c>
      <c r="J140" s="95">
        <f>IF(H140=1,INDEX(tx_DrAmt,134),0)</f>
        <v/>
      </c>
      <c r="K140" s="58">
        <f>IF(H140=1,INDEX(tx_CrAcct,134)&amp;"","")</f>
        <v/>
      </c>
      <c r="L140" s="95">
        <f>IF(H140=1,INDEX(tx_CrAmt,134),0)</f>
        <v/>
      </c>
      <c r="M140" s="95">
        <f>IF(H140=1,INDEX(tx_TaxDr,134),0)</f>
        <v/>
      </c>
      <c r="N140" s="95">
        <f>IF(H140=1,INDEX(tx_TaxCr,134),0)</f>
        <v/>
      </c>
      <c r="O140" s="101">
        <f>IF(H140=1,IF(E140&lt;FYStart,0,IF(E140&gt;FYEnd,13,YEAR(E140)*12+MONTH(E140)-FYYM+1)),"")</f>
        <v/>
      </c>
      <c r="P140" s="101">
        <f>IF(H140=1,IF(IFERROR(INDEX(coa_CF,MATCH(I140,coa_Name,0)),"")="Cash",1,0),0)</f>
        <v/>
      </c>
      <c r="Q140" s="101">
        <f>IF(H140=1,IF(IFERROR(INDEX(coa_CF,MATCH(K140,coa_Name,0)),"")="Cash",1,0),0)</f>
        <v/>
      </c>
      <c r="R140" s="58">
        <f>IF((P140-Q140)=0,"",IFERROR(INDEX(coa_CF,MATCH(IF((P140-Q140)=1,K140,I140),coa_Name,0)),"Operating"))</f>
        <v/>
      </c>
      <c r="S140" s="95">
        <f>IF((P140-Q140)=1,L140,IF((P140-Q140)=-1,-J140,0))</f>
        <v/>
      </c>
      <c r="T140" s="95">
        <f>IF((P140-Q140)=1,N140,IF((P140-Q140)=-1,-M140,0))</f>
        <v/>
      </c>
      <c r="U140" s="101">
        <f>IF(AND(H140=1,LedAcct&lt;&gt;""),IF(AND(E140&gt;=LedFrom,E140&lt;=LedTo,OR(I140=LedAcct,K140=LedAcct,AND(LedAcct=acctTax,M140+N140&lt;&gt;0))),E140*10000+B140,""),"")</f>
        <v/>
      </c>
    </row>
    <row r="141">
      <c r="B141" s="101" t="n">
        <v>135</v>
      </c>
      <c r="C141" s="58" t="inlineStr">
        <is>
          <t>Transaction</t>
        </is>
      </c>
      <c r="D141" s="58">
        <f>IF(H141=1,INDEX(tx_ID,135)&amp;"","")</f>
        <v/>
      </c>
      <c r="E141" s="94">
        <f>IF(H141=1,INDEX(tx_Date,135),"")</f>
        <v/>
      </c>
      <c r="F141" s="58">
        <f>IF(H141=1,INDEX(tx_Desc,135)&amp;"","")</f>
        <v/>
      </c>
      <c r="G141" s="58">
        <f>IF(H141=1,IF(INDEX(tx_Cust,135)&amp;""&lt;&gt;"",INDEX(tx_Cust,135)&amp;"",INDEX(tx_Vend,135)&amp;""),"")</f>
        <v/>
      </c>
      <c r="H141" s="101">
        <f>IFERROR(N(INDEX(tx_Posted,135)),0)</f>
        <v/>
      </c>
      <c r="I141" s="58">
        <f>IF(H141=1,INDEX(tx_DrAcct,135)&amp;"","")</f>
        <v/>
      </c>
      <c r="J141" s="95">
        <f>IF(H141=1,INDEX(tx_DrAmt,135),0)</f>
        <v/>
      </c>
      <c r="K141" s="58">
        <f>IF(H141=1,INDEX(tx_CrAcct,135)&amp;"","")</f>
        <v/>
      </c>
      <c r="L141" s="95">
        <f>IF(H141=1,INDEX(tx_CrAmt,135),0)</f>
        <v/>
      </c>
      <c r="M141" s="95">
        <f>IF(H141=1,INDEX(tx_TaxDr,135),0)</f>
        <v/>
      </c>
      <c r="N141" s="95">
        <f>IF(H141=1,INDEX(tx_TaxCr,135),0)</f>
        <v/>
      </c>
      <c r="O141" s="101">
        <f>IF(H141=1,IF(E141&lt;FYStart,0,IF(E141&gt;FYEnd,13,YEAR(E141)*12+MONTH(E141)-FYYM+1)),"")</f>
        <v/>
      </c>
      <c r="P141" s="101">
        <f>IF(H141=1,IF(IFERROR(INDEX(coa_CF,MATCH(I141,coa_Name,0)),"")="Cash",1,0),0)</f>
        <v/>
      </c>
      <c r="Q141" s="101">
        <f>IF(H141=1,IF(IFERROR(INDEX(coa_CF,MATCH(K141,coa_Name,0)),"")="Cash",1,0),0)</f>
        <v/>
      </c>
      <c r="R141" s="58">
        <f>IF((P141-Q141)=0,"",IFERROR(INDEX(coa_CF,MATCH(IF((P141-Q141)=1,K141,I141),coa_Name,0)),"Operating"))</f>
        <v/>
      </c>
      <c r="S141" s="95">
        <f>IF((P141-Q141)=1,L141,IF((P141-Q141)=-1,-J141,0))</f>
        <v/>
      </c>
      <c r="T141" s="95">
        <f>IF((P141-Q141)=1,N141,IF((P141-Q141)=-1,-M141,0))</f>
        <v/>
      </c>
      <c r="U141" s="101">
        <f>IF(AND(H141=1,LedAcct&lt;&gt;""),IF(AND(E141&gt;=LedFrom,E141&lt;=LedTo,OR(I141=LedAcct,K141=LedAcct,AND(LedAcct=acctTax,M141+N141&lt;&gt;0))),E141*10000+B141,""),"")</f>
        <v/>
      </c>
    </row>
    <row r="142">
      <c r="B142" s="101" t="n">
        <v>136</v>
      </c>
      <c r="C142" s="58" t="inlineStr">
        <is>
          <t>Transaction</t>
        </is>
      </c>
      <c r="D142" s="58">
        <f>IF(H142=1,INDEX(tx_ID,136)&amp;"","")</f>
        <v/>
      </c>
      <c r="E142" s="94">
        <f>IF(H142=1,INDEX(tx_Date,136),"")</f>
        <v/>
      </c>
      <c r="F142" s="58">
        <f>IF(H142=1,INDEX(tx_Desc,136)&amp;"","")</f>
        <v/>
      </c>
      <c r="G142" s="58">
        <f>IF(H142=1,IF(INDEX(tx_Cust,136)&amp;""&lt;&gt;"",INDEX(tx_Cust,136)&amp;"",INDEX(tx_Vend,136)&amp;""),"")</f>
        <v/>
      </c>
      <c r="H142" s="101">
        <f>IFERROR(N(INDEX(tx_Posted,136)),0)</f>
        <v/>
      </c>
      <c r="I142" s="58">
        <f>IF(H142=1,INDEX(tx_DrAcct,136)&amp;"","")</f>
        <v/>
      </c>
      <c r="J142" s="95">
        <f>IF(H142=1,INDEX(tx_DrAmt,136),0)</f>
        <v/>
      </c>
      <c r="K142" s="58">
        <f>IF(H142=1,INDEX(tx_CrAcct,136)&amp;"","")</f>
        <v/>
      </c>
      <c r="L142" s="95">
        <f>IF(H142=1,INDEX(tx_CrAmt,136),0)</f>
        <v/>
      </c>
      <c r="M142" s="95">
        <f>IF(H142=1,INDEX(tx_TaxDr,136),0)</f>
        <v/>
      </c>
      <c r="N142" s="95">
        <f>IF(H142=1,INDEX(tx_TaxCr,136),0)</f>
        <v/>
      </c>
      <c r="O142" s="101">
        <f>IF(H142=1,IF(E142&lt;FYStart,0,IF(E142&gt;FYEnd,13,YEAR(E142)*12+MONTH(E142)-FYYM+1)),"")</f>
        <v/>
      </c>
      <c r="P142" s="101">
        <f>IF(H142=1,IF(IFERROR(INDEX(coa_CF,MATCH(I142,coa_Name,0)),"")="Cash",1,0),0)</f>
        <v/>
      </c>
      <c r="Q142" s="101">
        <f>IF(H142=1,IF(IFERROR(INDEX(coa_CF,MATCH(K142,coa_Name,0)),"")="Cash",1,0),0)</f>
        <v/>
      </c>
      <c r="R142" s="58">
        <f>IF((P142-Q142)=0,"",IFERROR(INDEX(coa_CF,MATCH(IF((P142-Q142)=1,K142,I142),coa_Name,0)),"Operating"))</f>
        <v/>
      </c>
      <c r="S142" s="95">
        <f>IF((P142-Q142)=1,L142,IF((P142-Q142)=-1,-J142,0))</f>
        <v/>
      </c>
      <c r="T142" s="95">
        <f>IF((P142-Q142)=1,N142,IF((P142-Q142)=-1,-M142,0))</f>
        <v/>
      </c>
      <c r="U142" s="101">
        <f>IF(AND(H142=1,LedAcct&lt;&gt;""),IF(AND(E142&gt;=LedFrom,E142&lt;=LedTo,OR(I142=LedAcct,K142=LedAcct,AND(LedAcct=acctTax,M142+N142&lt;&gt;0))),E142*10000+B142,""),"")</f>
        <v/>
      </c>
    </row>
    <row r="143">
      <c r="B143" s="101" t="n">
        <v>137</v>
      </c>
      <c r="C143" s="58" t="inlineStr">
        <is>
          <t>Transaction</t>
        </is>
      </c>
      <c r="D143" s="58">
        <f>IF(H143=1,INDEX(tx_ID,137)&amp;"","")</f>
        <v/>
      </c>
      <c r="E143" s="94">
        <f>IF(H143=1,INDEX(tx_Date,137),"")</f>
        <v/>
      </c>
      <c r="F143" s="58">
        <f>IF(H143=1,INDEX(tx_Desc,137)&amp;"","")</f>
        <v/>
      </c>
      <c r="G143" s="58">
        <f>IF(H143=1,IF(INDEX(tx_Cust,137)&amp;""&lt;&gt;"",INDEX(tx_Cust,137)&amp;"",INDEX(tx_Vend,137)&amp;""),"")</f>
        <v/>
      </c>
      <c r="H143" s="101">
        <f>IFERROR(N(INDEX(tx_Posted,137)),0)</f>
        <v/>
      </c>
      <c r="I143" s="58">
        <f>IF(H143=1,INDEX(tx_DrAcct,137)&amp;"","")</f>
        <v/>
      </c>
      <c r="J143" s="95">
        <f>IF(H143=1,INDEX(tx_DrAmt,137),0)</f>
        <v/>
      </c>
      <c r="K143" s="58">
        <f>IF(H143=1,INDEX(tx_CrAcct,137)&amp;"","")</f>
        <v/>
      </c>
      <c r="L143" s="95">
        <f>IF(H143=1,INDEX(tx_CrAmt,137),0)</f>
        <v/>
      </c>
      <c r="M143" s="95">
        <f>IF(H143=1,INDEX(tx_TaxDr,137),0)</f>
        <v/>
      </c>
      <c r="N143" s="95">
        <f>IF(H143=1,INDEX(tx_TaxCr,137),0)</f>
        <v/>
      </c>
      <c r="O143" s="101">
        <f>IF(H143=1,IF(E143&lt;FYStart,0,IF(E143&gt;FYEnd,13,YEAR(E143)*12+MONTH(E143)-FYYM+1)),"")</f>
        <v/>
      </c>
      <c r="P143" s="101">
        <f>IF(H143=1,IF(IFERROR(INDEX(coa_CF,MATCH(I143,coa_Name,0)),"")="Cash",1,0),0)</f>
        <v/>
      </c>
      <c r="Q143" s="101">
        <f>IF(H143=1,IF(IFERROR(INDEX(coa_CF,MATCH(K143,coa_Name,0)),"")="Cash",1,0),0)</f>
        <v/>
      </c>
      <c r="R143" s="58">
        <f>IF((P143-Q143)=0,"",IFERROR(INDEX(coa_CF,MATCH(IF((P143-Q143)=1,K143,I143),coa_Name,0)),"Operating"))</f>
        <v/>
      </c>
      <c r="S143" s="95">
        <f>IF((P143-Q143)=1,L143,IF((P143-Q143)=-1,-J143,0))</f>
        <v/>
      </c>
      <c r="T143" s="95">
        <f>IF((P143-Q143)=1,N143,IF((P143-Q143)=-1,-M143,0))</f>
        <v/>
      </c>
      <c r="U143" s="101">
        <f>IF(AND(H143=1,LedAcct&lt;&gt;""),IF(AND(E143&gt;=LedFrom,E143&lt;=LedTo,OR(I143=LedAcct,K143=LedAcct,AND(LedAcct=acctTax,M143+N143&lt;&gt;0))),E143*10000+B143,""),"")</f>
        <v/>
      </c>
    </row>
    <row r="144">
      <c r="B144" s="101" t="n">
        <v>138</v>
      </c>
      <c r="C144" s="58" t="inlineStr">
        <is>
          <t>Transaction</t>
        </is>
      </c>
      <c r="D144" s="58">
        <f>IF(H144=1,INDEX(tx_ID,138)&amp;"","")</f>
        <v/>
      </c>
      <c r="E144" s="94">
        <f>IF(H144=1,INDEX(tx_Date,138),"")</f>
        <v/>
      </c>
      <c r="F144" s="58">
        <f>IF(H144=1,INDEX(tx_Desc,138)&amp;"","")</f>
        <v/>
      </c>
      <c r="G144" s="58">
        <f>IF(H144=1,IF(INDEX(tx_Cust,138)&amp;""&lt;&gt;"",INDEX(tx_Cust,138)&amp;"",INDEX(tx_Vend,138)&amp;""),"")</f>
        <v/>
      </c>
      <c r="H144" s="101">
        <f>IFERROR(N(INDEX(tx_Posted,138)),0)</f>
        <v/>
      </c>
      <c r="I144" s="58">
        <f>IF(H144=1,INDEX(tx_DrAcct,138)&amp;"","")</f>
        <v/>
      </c>
      <c r="J144" s="95">
        <f>IF(H144=1,INDEX(tx_DrAmt,138),0)</f>
        <v/>
      </c>
      <c r="K144" s="58">
        <f>IF(H144=1,INDEX(tx_CrAcct,138)&amp;"","")</f>
        <v/>
      </c>
      <c r="L144" s="95">
        <f>IF(H144=1,INDEX(tx_CrAmt,138),0)</f>
        <v/>
      </c>
      <c r="M144" s="95">
        <f>IF(H144=1,INDEX(tx_TaxDr,138),0)</f>
        <v/>
      </c>
      <c r="N144" s="95">
        <f>IF(H144=1,INDEX(tx_TaxCr,138),0)</f>
        <v/>
      </c>
      <c r="O144" s="101">
        <f>IF(H144=1,IF(E144&lt;FYStart,0,IF(E144&gt;FYEnd,13,YEAR(E144)*12+MONTH(E144)-FYYM+1)),"")</f>
        <v/>
      </c>
      <c r="P144" s="101">
        <f>IF(H144=1,IF(IFERROR(INDEX(coa_CF,MATCH(I144,coa_Name,0)),"")="Cash",1,0),0)</f>
        <v/>
      </c>
      <c r="Q144" s="101">
        <f>IF(H144=1,IF(IFERROR(INDEX(coa_CF,MATCH(K144,coa_Name,0)),"")="Cash",1,0),0)</f>
        <v/>
      </c>
      <c r="R144" s="58">
        <f>IF((P144-Q144)=0,"",IFERROR(INDEX(coa_CF,MATCH(IF((P144-Q144)=1,K144,I144),coa_Name,0)),"Operating"))</f>
        <v/>
      </c>
      <c r="S144" s="95">
        <f>IF((P144-Q144)=1,L144,IF((P144-Q144)=-1,-J144,0))</f>
        <v/>
      </c>
      <c r="T144" s="95">
        <f>IF((P144-Q144)=1,N144,IF((P144-Q144)=-1,-M144,0))</f>
        <v/>
      </c>
      <c r="U144" s="101">
        <f>IF(AND(H144=1,LedAcct&lt;&gt;""),IF(AND(E144&gt;=LedFrom,E144&lt;=LedTo,OR(I144=LedAcct,K144=LedAcct,AND(LedAcct=acctTax,M144+N144&lt;&gt;0))),E144*10000+B144,""),"")</f>
        <v/>
      </c>
    </row>
    <row r="145">
      <c r="B145" s="101" t="n">
        <v>139</v>
      </c>
      <c r="C145" s="58" t="inlineStr">
        <is>
          <t>Transaction</t>
        </is>
      </c>
      <c r="D145" s="58">
        <f>IF(H145=1,INDEX(tx_ID,139)&amp;"","")</f>
        <v/>
      </c>
      <c r="E145" s="94">
        <f>IF(H145=1,INDEX(tx_Date,139),"")</f>
        <v/>
      </c>
      <c r="F145" s="58">
        <f>IF(H145=1,INDEX(tx_Desc,139)&amp;"","")</f>
        <v/>
      </c>
      <c r="G145" s="58">
        <f>IF(H145=1,IF(INDEX(tx_Cust,139)&amp;""&lt;&gt;"",INDEX(tx_Cust,139)&amp;"",INDEX(tx_Vend,139)&amp;""),"")</f>
        <v/>
      </c>
      <c r="H145" s="101">
        <f>IFERROR(N(INDEX(tx_Posted,139)),0)</f>
        <v/>
      </c>
      <c r="I145" s="58">
        <f>IF(H145=1,INDEX(tx_DrAcct,139)&amp;"","")</f>
        <v/>
      </c>
      <c r="J145" s="95">
        <f>IF(H145=1,INDEX(tx_DrAmt,139),0)</f>
        <v/>
      </c>
      <c r="K145" s="58">
        <f>IF(H145=1,INDEX(tx_CrAcct,139)&amp;"","")</f>
        <v/>
      </c>
      <c r="L145" s="95">
        <f>IF(H145=1,INDEX(tx_CrAmt,139),0)</f>
        <v/>
      </c>
      <c r="M145" s="95">
        <f>IF(H145=1,INDEX(tx_TaxDr,139),0)</f>
        <v/>
      </c>
      <c r="N145" s="95">
        <f>IF(H145=1,INDEX(tx_TaxCr,139),0)</f>
        <v/>
      </c>
      <c r="O145" s="101">
        <f>IF(H145=1,IF(E145&lt;FYStart,0,IF(E145&gt;FYEnd,13,YEAR(E145)*12+MONTH(E145)-FYYM+1)),"")</f>
        <v/>
      </c>
      <c r="P145" s="101">
        <f>IF(H145=1,IF(IFERROR(INDEX(coa_CF,MATCH(I145,coa_Name,0)),"")="Cash",1,0),0)</f>
        <v/>
      </c>
      <c r="Q145" s="101">
        <f>IF(H145=1,IF(IFERROR(INDEX(coa_CF,MATCH(K145,coa_Name,0)),"")="Cash",1,0),0)</f>
        <v/>
      </c>
      <c r="R145" s="58">
        <f>IF((P145-Q145)=0,"",IFERROR(INDEX(coa_CF,MATCH(IF((P145-Q145)=1,K145,I145),coa_Name,0)),"Operating"))</f>
        <v/>
      </c>
      <c r="S145" s="95">
        <f>IF((P145-Q145)=1,L145,IF((P145-Q145)=-1,-J145,0))</f>
        <v/>
      </c>
      <c r="T145" s="95">
        <f>IF((P145-Q145)=1,N145,IF((P145-Q145)=-1,-M145,0))</f>
        <v/>
      </c>
      <c r="U145" s="101">
        <f>IF(AND(H145=1,LedAcct&lt;&gt;""),IF(AND(E145&gt;=LedFrom,E145&lt;=LedTo,OR(I145=LedAcct,K145=LedAcct,AND(LedAcct=acctTax,M145+N145&lt;&gt;0))),E145*10000+B145,""),"")</f>
        <v/>
      </c>
    </row>
    <row r="146">
      <c r="B146" s="101" t="n">
        <v>140</v>
      </c>
      <c r="C146" s="58" t="inlineStr">
        <is>
          <t>Transaction</t>
        </is>
      </c>
      <c r="D146" s="58">
        <f>IF(H146=1,INDEX(tx_ID,140)&amp;"","")</f>
        <v/>
      </c>
      <c r="E146" s="94">
        <f>IF(H146=1,INDEX(tx_Date,140),"")</f>
        <v/>
      </c>
      <c r="F146" s="58">
        <f>IF(H146=1,INDEX(tx_Desc,140)&amp;"","")</f>
        <v/>
      </c>
      <c r="G146" s="58">
        <f>IF(H146=1,IF(INDEX(tx_Cust,140)&amp;""&lt;&gt;"",INDEX(tx_Cust,140)&amp;"",INDEX(tx_Vend,140)&amp;""),"")</f>
        <v/>
      </c>
      <c r="H146" s="101">
        <f>IFERROR(N(INDEX(tx_Posted,140)),0)</f>
        <v/>
      </c>
      <c r="I146" s="58">
        <f>IF(H146=1,INDEX(tx_DrAcct,140)&amp;"","")</f>
        <v/>
      </c>
      <c r="J146" s="95">
        <f>IF(H146=1,INDEX(tx_DrAmt,140),0)</f>
        <v/>
      </c>
      <c r="K146" s="58">
        <f>IF(H146=1,INDEX(tx_CrAcct,140)&amp;"","")</f>
        <v/>
      </c>
      <c r="L146" s="95">
        <f>IF(H146=1,INDEX(tx_CrAmt,140),0)</f>
        <v/>
      </c>
      <c r="M146" s="95">
        <f>IF(H146=1,INDEX(tx_TaxDr,140),0)</f>
        <v/>
      </c>
      <c r="N146" s="95">
        <f>IF(H146=1,INDEX(tx_TaxCr,140),0)</f>
        <v/>
      </c>
      <c r="O146" s="101">
        <f>IF(H146=1,IF(E146&lt;FYStart,0,IF(E146&gt;FYEnd,13,YEAR(E146)*12+MONTH(E146)-FYYM+1)),"")</f>
        <v/>
      </c>
      <c r="P146" s="101">
        <f>IF(H146=1,IF(IFERROR(INDEX(coa_CF,MATCH(I146,coa_Name,0)),"")="Cash",1,0),0)</f>
        <v/>
      </c>
      <c r="Q146" s="101">
        <f>IF(H146=1,IF(IFERROR(INDEX(coa_CF,MATCH(K146,coa_Name,0)),"")="Cash",1,0),0)</f>
        <v/>
      </c>
      <c r="R146" s="58">
        <f>IF((P146-Q146)=0,"",IFERROR(INDEX(coa_CF,MATCH(IF((P146-Q146)=1,K146,I146),coa_Name,0)),"Operating"))</f>
        <v/>
      </c>
      <c r="S146" s="95">
        <f>IF((P146-Q146)=1,L146,IF((P146-Q146)=-1,-J146,0))</f>
        <v/>
      </c>
      <c r="T146" s="95">
        <f>IF((P146-Q146)=1,N146,IF((P146-Q146)=-1,-M146,0))</f>
        <v/>
      </c>
      <c r="U146" s="101">
        <f>IF(AND(H146=1,LedAcct&lt;&gt;""),IF(AND(E146&gt;=LedFrom,E146&lt;=LedTo,OR(I146=LedAcct,K146=LedAcct,AND(LedAcct=acctTax,M146+N146&lt;&gt;0))),E146*10000+B146,""),"")</f>
        <v/>
      </c>
    </row>
    <row r="147">
      <c r="B147" s="101" t="n">
        <v>141</v>
      </c>
      <c r="C147" s="58" t="inlineStr">
        <is>
          <t>Transaction</t>
        </is>
      </c>
      <c r="D147" s="58">
        <f>IF(H147=1,INDEX(tx_ID,141)&amp;"","")</f>
        <v/>
      </c>
      <c r="E147" s="94">
        <f>IF(H147=1,INDEX(tx_Date,141),"")</f>
        <v/>
      </c>
      <c r="F147" s="58">
        <f>IF(H147=1,INDEX(tx_Desc,141)&amp;"","")</f>
        <v/>
      </c>
      <c r="G147" s="58">
        <f>IF(H147=1,IF(INDEX(tx_Cust,141)&amp;""&lt;&gt;"",INDEX(tx_Cust,141)&amp;"",INDEX(tx_Vend,141)&amp;""),"")</f>
        <v/>
      </c>
      <c r="H147" s="101">
        <f>IFERROR(N(INDEX(tx_Posted,141)),0)</f>
        <v/>
      </c>
      <c r="I147" s="58">
        <f>IF(H147=1,INDEX(tx_DrAcct,141)&amp;"","")</f>
        <v/>
      </c>
      <c r="J147" s="95">
        <f>IF(H147=1,INDEX(tx_DrAmt,141),0)</f>
        <v/>
      </c>
      <c r="K147" s="58">
        <f>IF(H147=1,INDEX(tx_CrAcct,141)&amp;"","")</f>
        <v/>
      </c>
      <c r="L147" s="95">
        <f>IF(H147=1,INDEX(tx_CrAmt,141),0)</f>
        <v/>
      </c>
      <c r="M147" s="95">
        <f>IF(H147=1,INDEX(tx_TaxDr,141),0)</f>
        <v/>
      </c>
      <c r="N147" s="95">
        <f>IF(H147=1,INDEX(tx_TaxCr,141),0)</f>
        <v/>
      </c>
      <c r="O147" s="101">
        <f>IF(H147=1,IF(E147&lt;FYStart,0,IF(E147&gt;FYEnd,13,YEAR(E147)*12+MONTH(E147)-FYYM+1)),"")</f>
        <v/>
      </c>
      <c r="P147" s="101">
        <f>IF(H147=1,IF(IFERROR(INDEX(coa_CF,MATCH(I147,coa_Name,0)),"")="Cash",1,0),0)</f>
        <v/>
      </c>
      <c r="Q147" s="101">
        <f>IF(H147=1,IF(IFERROR(INDEX(coa_CF,MATCH(K147,coa_Name,0)),"")="Cash",1,0),0)</f>
        <v/>
      </c>
      <c r="R147" s="58">
        <f>IF((P147-Q147)=0,"",IFERROR(INDEX(coa_CF,MATCH(IF((P147-Q147)=1,K147,I147),coa_Name,0)),"Operating"))</f>
        <v/>
      </c>
      <c r="S147" s="95">
        <f>IF((P147-Q147)=1,L147,IF((P147-Q147)=-1,-J147,0))</f>
        <v/>
      </c>
      <c r="T147" s="95">
        <f>IF((P147-Q147)=1,N147,IF((P147-Q147)=-1,-M147,0))</f>
        <v/>
      </c>
      <c r="U147" s="101">
        <f>IF(AND(H147=1,LedAcct&lt;&gt;""),IF(AND(E147&gt;=LedFrom,E147&lt;=LedTo,OR(I147=LedAcct,K147=LedAcct,AND(LedAcct=acctTax,M147+N147&lt;&gt;0))),E147*10000+B147,""),"")</f>
        <v/>
      </c>
    </row>
    <row r="148">
      <c r="B148" s="101" t="n">
        <v>142</v>
      </c>
      <c r="C148" s="58" t="inlineStr">
        <is>
          <t>Transaction</t>
        </is>
      </c>
      <c r="D148" s="58">
        <f>IF(H148=1,INDEX(tx_ID,142)&amp;"","")</f>
        <v/>
      </c>
      <c r="E148" s="94">
        <f>IF(H148=1,INDEX(tx_Date,142),"")</f>
        <v/>
      </c>
      <c r="F148" s="58">
        <f>IF(H148=1,INDEX(tx_Desc,142)&amp;"","")</f>
        <v/>
      </c>
      <c r="G148" s="58">
        <f>IF(H148=1,IF(INDEX(tx_Cust,142)&amp;""&lt;&gt;"",INDEX(tx_Cust,142)&amp;"",INDEX(tx_Vend,142)&amp;""),"")</f>
        <v/>
      </c>
      <c r="H148" s="101">
        <f>IFERROR(N(INDEX(tx_Posted,142)),0)</f>
        <v/>
      </c>
      <c r="I148" s="58">
        <f>IF(H148=1,INDEX(tx_DrAcct,142)&amp;"","")</f>
        <v/>
      </c>
      <c r="J148" s="95">
        <f>IF(H148=1,INDEX(tx_DrAmt,142),0)</f>
        <v/>
      </c>
      <c r="K148" s="58">
        <f>IF(H148=1,INDEX(tx_CrAcct,142)&amp;"","")</f>
        <v/>
      </c>
      <c r="L148" s="95">
        <f>IF(H148=1,INDEX(tx_CrAmt,142),0)</f>
        <v/>
      </c>
      <c r="M148" s="95">
        <f>IF(H148=1,INDEX(tx_TaxDr,142),0)</f>
        <v/>
      </c>
      <c r="N148" s="95">
        <f>IF(H148=1,INDEX(tx_TaxCr,142),0)</f>
        <v/>
      </c>
      <c r="O148" s="101">
        <f>IF(H148=1,IF(E148&lt;FYStart,0,IF(E148&gt;FYEnd,13,YEAR(E148)*12+MONTH(E148)-FYYM+1)),"")</f>
        <v/>
      </c>
      <c r="P148" s="101">
        <f>IF(H148=1,IF(IFERROR(INDEX(coa_CF,MATCH(I148,coa_Name,0)),"")="Cash",1,0),0)</f>
        <v/>
      </c>
      <c r="Q148" s="101">
        <f>IF(H148=1,IF(IFERROR(INDEX(coa_CF,MATCH(K148,coa_Name,0)),"")="Cash",1,0),0)</f>
        <v/>
      </c>
      <c r="R148" s="58">
        <f>IF((P148-Q148)=0,"",IFERROR(INDEX(coa_CF,MATCH(IF((P148-Q148)=1,K148,I148),coa_Name,0)),"Operating"))</f>
        <v/>
      </c>
      <c r="S148" s="95">
        <f>IF((P148-Q148)=1,L148,IF((P148-Q148)=-1,-J148,0))</f>
        <v/>
      </c>
      <c r="T148" s="95">
        <f>IF((P148-Q148)=1,N148,IF((P148-Q148)=-1,-M148,0))</f>
        <v/>
      </c>
      <c r="U148" s="101">
        <f>IF(AND(H148=1,LedAcct&lt;&gt;""),IF(AND(E148&gt;=LedFrom,E148&lt;=LedTo,OR(I148=LedAcct,K148=LedAcct,AND(LedAcct=acctTax,M148+N148&lt;&gt;0))),E148*10000+B148,""),"")</f>
        <v/>
      </c>
    </row>
    <row r="149">
      <c r="B149" s="101" t="n">
        <v>143</v>
      </c>
      <c r="C149" s="58" t="inlineStr">
        <is>
          <t>Transaction</t>
        </is>
      </c>
      <c r="D149" s="58">
        <f>IF(H149=1,INDEX(tx_ID,143)&amp;"","")</f>
        <v/>
      </c>
      <c r="E149" s="94">
        <f>IF(H149=1,INDEX(tx_Date,143),"")</f>
        <v/>
      </c>
      <c r="F149" s="58">
        <f>IF(H149=1,INDEX(tx_Desc,143)&amp;"","")</f>
        <v/>
      </c>
      <c r="G149" s="58">
        <f>IF(H149=1,IF(INDEX(tx_Cust,143)&amp;""&lt;&gt;"",INDEX(tx_Cust,143)&amp;"",INDEX(tx_Vend,143)&amp;""),"")</f>
        <v/>
      </c>
      <c r="H149" s="101">
        <f>IFERROR(N(INDEX(tx_Posted,143)),0)</f>
        <v/>
      </c>
      <c r="I149" s="58">
        <f>IF(H149=1,INDEX(tx_DrAcct,143)&amp;"","")</f>
        <v/>
      </c>
      <c r="J149" s="95">
        <f>IF(H149=1,INDEX(tx_DrAmt,143),0)</f>
        <v/>
      </c>
      <c r="K149" s="58">
        <f>IF(H149=1,INDEX(tx_CrAcct,143)&amp;"","")</f>
        <v/>
      </c>
      <c r="L149" s="95">
        <f>IF(H149=1,INDEX(tx_CrAmt,143),0)</f>
        <v/>
      </c>
      <c r="M149" s="95">
        <f>IF(H149=1,INDEX(tx_TaxDr,143),0)</f>
        <v/>
      </c>
      <c r="N149" s="95">
        <f>IF(H149=1,INDEX(tx_TaxCr,143),0)</f>
        <v/>
      </c>
      <c r="O149" s="101">
        <f>IF(H149=1,IF(E149&lt;FYStart,0,IF(E149&gt;FYEnd,13,YEAR(E149)*12+MONTH(E149)-FYYM+1)),"")</f>
        <v/>
      </c>
      <c r="P149" s="101">
        <f>IF(H149=1,IF(IFERROR(INDEX(coa_CF,MATCH(I149,coa_Name,0)),"")="Cash",1,0),0)</f>
        <v/>
      </c>
      <c r="Q149" s="101">
        <f>IF(H149=1,IF(IFERROR(INDEX(coa_CF,MATCH(K149,coa_Name,0)),"")="Cash",1,0),0)</f>
        <v/>
      </c>
      <c r="R149" s="58">
        <f>IF((P149-Q149)=0,"",IFERROR(INDEX(coa_CF,MATCH(IF((P149-Q149)=1,K149,I149),coa_Name,0)),"Operating"))</f>
        <v/>
      </c>
      <c r="S149" s="95">
        <f>IF((P149-Q149)=1,L149,IF((P149-Q149)=-1,-J149,0))</f>
        <v/>
      </c>
      <c r="T149" s="95">
        <f>IF((P149-Q149)=1,N149,IF((P149-Q149)=-1,-M149,0))</f>
        <v/>
      </c>
      <c r="U149" s="101">
        <f>IF(AND(H149=1,LedAcct&lt;&gt;""),IF(AND(E149&gt;=LedFrom,E149&lt;=LedTo,OR(I149=LedAcct,K149=LedAcct,AND(LedAcct=acctTax,M149+N149&lt;&gt;0))),E149*10000+B149,""),"")</f>
        <v/>
      </c>
    </row>
    <row r="150">
      <c r="B150" s="101" t="n">
        <v>144</v>
      </c>
      <c r="C150" s="58" t="inlineStr">
        <is>
          <t>Transaction</t>
        </is>
      </c>
      <c r="D150" s="58">
        <f>IF(H150=1,INDEX(tx_ID,144)&amp;"","")</f>
        <v/>
      </c>
      <c r="E150" s="94">
        <f>IF(H150=1,INDEX(tx_Date,144),"")</f>
        <v/>
      </c>
      <c r="F150" s="58">
        <f>IF(H150=1,INDEX(tx_Desc,144)&amp;"","")</f>
        <v/>
      </c>
      <c r="G150" s="58">
        <f>IF(H150=1,IF(INDEX(tx_Cust,144)&amp;""&lt;&gt;"",INDEX(tx_Cust,144)&amp;"",INDEX(tx_Vend,144)&amp;""),"")</f>
        <v/>
      </c>
      <c r="H150" s="101">
        <f>IFERROR(N(INDEX(tx_Posted,144)),0)</f>
        <v/>
      </c>
      <c r="I150" s="58">
        <f>IF(H150=1,INDEX(tx_DrAcct,144)&amp;"","")</f>
        <v/>
      </c>
      <c r="J150" s="95">
        <f>IF(H150=1,INDEX(tx_DrAmt,144),0)</f>
        <v/>
      </c>
      <c r="K150" s="58">
        <f>IF(H150=1,INDEX(tx_CrAcct,144)&amp;"","")</f>
        <v/>
      </c>
      <c r="L150" s="95">
        <f>IF(H150=1,INDEX(tx_CrAmt,144),0)</f>
        <v/>
      </c>
      <c r="M150" s="95">
        <f>IF(H150=1,INDEX(tx_TaxDr,144),0)</f>
        <v/>
      </c>
      <c r="N150" s="95">
        <f>IF(H150=1,INDEX(tx_TaxCr,144),0)</f>
        <v/>
      </c>
      <c r="O150" s="101">
        <f>IF(H150=1,IF(E150&lt;FYStart,0,IF(E150&gt;FYEnd,13,YEAR(E150)*12+MONTH(E150)-FYYM+1)),"")</f>
        <v/>
      </c>
      <c r="P150" s="101">
        <f>IF(H150=1,IF(IFERROR(INDEX(coa_CF,MATCH(I150,coa_Name,0)),"")="Cash",1,0),0)</f>
        <v/>
      </c>
      <c r="Q150" s="101">
        <f>IF(H150=1,IF(IFERROR(INDEX(coa_CF,MATCH(K150,coa_Name,0)),"")="Cash",1,0),0)</f>
        <v/>
      </c>
      <c r="R150" s="58">
        <f>IF((P150-Q150)=0,"",IFERROR(INDEX(coa_CF,MATCH(IF((P150-Q150)=1,K150,I150),coa_Name,0)),"Operating"))</f>
        <v/>
      </c>
      <c r="S150" s="95">
        <f>IF((P150-Q150)=1,L150,IF((P150-Q150)=-1,-J150,0))</f>
        <v/>
      </c>
      <c r="T150" s="95">
        <f>IF((P150-Q150)=1,N150,IF((P150-Q150)=-1,-M150,0))</f>
        <v/>
      </c>
      <c r="U150" s="101">
        <f>IF(AND(H150=1,LedAcct&lt;&gt;""),IF(AND(E150&gt;=LedFrom,E150&lt;=LedTo,OR(I150=LedAcct,K150=LedAcct,AND(LedAcct=acctTax,M150+N150&lt;&gt;0))),E150*10000+B150,""),"")</f>
        <v/>
      </c>
    </row>
    <row r="151">
      <c r="B151" s="101" t="n">
        <v>145</v>
      </c>
      <c r="C151" s="58" t="inlineStr">
        <is>
          <t>Transaction</t>
        </is>
      </c>
      <c r="D151" s="58">
        <f>IF(H151=1,INDEX(tx_ID,145)&amp;"","")</f>
        <v/>
      </c>
      <c r="E151" s="94">
        <f>IF(H151=1,INDEX(tx_Date,145),"")</f>
        <v/>
      </c>
      <c r="F151" s="58">
        <f>IF(H151=1,INDEX(tx_Desc,145)&amp;"","")</f>
        <v/>
      </c>
      <c r="G151" s="58">
        <f>IF(H151=1,IF(INDEX(tx_Cust,145)&amp;""&lt;&gt;"",INDEX(tx_Cust,145)&amp;"",INDEX(tx_Vend,145)&amp;""),"")</f>
        <v/>
      </c>
      <c r="H151" s="101">
        <f>IFERROR(N(INDEX(tx_Posted,145)),0)</f>
        <v/>
      </c>
      <c r="I151" s="58">
        <f>IF(H151=1,INDEX(tx_DrAcct,145)&amp;"","")</f>
        <v/>
      </c>
      <c r="J151" s="95">
        <f>IF(H151=1,INDEX(tx_DrAmt,145),0)</f>
        <v/>
      </c>
      <c r="K151" s="58">
        <f>IF(H151=1,INDEX(tx_CrAcct,145)&amp;"","")</f>
        <v/>
      </c>
      <c r="L151" s="95">
        <f>IF(H151=1,INDEX(tx_CrAmt,145),0)</f>
        <v/>
      </c>
      <c r="M151" s="95">
        <f>IF(H151=1,INDEX(tx_TaxDr,145),0)</f>
        <v/>
      </c>
      <c r="N151" s="95">
        <f>IF(H151=1,INDEX(tx_TaxCr,145),0)</f>
        <v/>
      </c>
      <c r="O151" s="101">
        <f>IF(H151=1,IF(E151&lt;FYStart,0,IF(E151&gt;FYEnd,13,YEAR(E151)*12+MONTH(E151)-FYYM+1)),"")</f>
        <v/>
      </c>
      <c r="P151" s="101">
        <f>IF(H151=1,IF(IFERROR(INDEX(coa_CF,MATCH(I151,coa_Name,0)),"")="Cash",1,0),0)</f>
        <v/>
      </c>
      <c r="Q151" s="101">
        <f>IF(H151=1,IF(IFERROR(INDEX(coa_CF,MATCH(K151,coa_Name,0)),"")="Cash",1,0),0)</f>
        <v/>
      </c>
      <c r="R151" s="58">
        <f>IF((P151-Q151)=0,"",IFERROR(INDEX(coa_CF,MATCH(IF((P151-Q151)=1,K151,I151),coa_Name,0)),"Operating"))</f>
        <v/>
      </c>
      <c r="S151" s="95">
        <f>IF((P151-Q151)=1,L151,IF((P151-Q151)=-1,-J151,0))</f>
        <v/>
      </c>
      <c r="T151" s="95">
        <f>IF((P151-Q151)=1,N151,IF((P151-Q151)=-1,-M151,0))</f>
        <v/>
      </c>
      <c r="U151" s="101">
        <f>IF(AND(H151=1,LedAcct&lt;&gt;""),IF(AND(E151&gt;=LedFrom,E151&lt;=LedTo,OR(I151=LedAcct,K151=LedAcct,AND(LedAcct=acctTax,M151+N151&lt;&gt;0))),E151*10000+B151,""),"")</f>
        <v/>
      </c>
    </row>
    <row r="152">
      <c r="B152" s="101" t="n">
        <v>146</v>
      </c>
      <c r="C152" s="58" t="inlineStr">
        <is>
          <t>Transaction</t>
        </is>
      </c>
      <c r="D152" s="58">
        <f>IF(H152=1,INDEX(tx_ID,146)&amp;"","")</f>
        <v/>
      </c>
      <c r="E152" s="94">
        <f>IF(H152=1,INDEX(tx_Date,146),"")</f>
        <v/>
      </c>
      <c r="F152" s="58">
        <f>IF(H152=1,INDEX(tx_Desc,146)&amp;"","")</f>
        <v/>
      </c>
      <c r="G152" s="58">
        <f>IF(H152=1,IF(INDEX(tx_Cust,146)&amp;""&lt;&gt;"",INDEX(tx_Cust,146)&amp;"",INDEX(tx_Vend,146)&amp;""),"")</f>
        <v/>
      </c>
      <c r="H152" s="101">
        <f>IFERROR(N(INDEX(tx_Posted,146)),0)</f>
        <v/>
      </c>
      <c r="I152" s="58">
        <f>IF(H152=1,INDEX(tx_DrAcct,146)&amp;"","")</f>
        <v/>
      </c>
      <c r="J152" s="95">
        <f>IF(H152=1,INDEX(tx_DrAmt,146),0)</f>
        <v/>
      </c>
      <c r="K152" s="58">
        <f>IF(H152=1,INDEX(tx_CrAcct,146)&amp;"","")</f>
        <v/>
      </c>
      <c r="L152" s="95">
        <f>IF(H152=1,INDEX(tx_CrAmt,146),0)</f>
        <v/>
      </c>
      <c r="M152" s="95">
        <f>IF(H152=1,INDEX(tx_TaxDr,146),0)</f>
        <v/>
      </c>
      <c r="N152" s="95">
        <f>IF(H152=1,INDEX(tx_TaxCr,146),0)</f>
        <v/>
      </c>
      <c r="O152" s="101">
        <f>IF(H152=1,IF(E152&lt;FYStart,0,IF(E152&gt;FYEnd,13,YEAR(E152)*12+MONTH(E152)-FYYM+1)),"")</f>
        <v/>
      </c>
      <c r="P152" s="101">
        <f>IF(H152=1,IF(IFERROR(INDEX(coa_CF,MATCH(I152,coa_Name,0)),"")="Cash",1,0),0)</f>
        <v/>
      </c>
      <c r="Q152" s="101">
        <f>IF(H152=1,IF(IFERROR(INDEX(coa_CF,MATCH(K152,coa_Name,0)),"")="Cash",1,0),0)</f>
        <v/>
      </c>
      <c r="R152" s="58">
        <f>IF((P152-Q152)=0,"",IFERROR(INDEX(coa_CF,MATCH(IF((P152-Q152)=1,K152,I152),coa_Name,0)),"Operating"))</f>
        <v/>
      </c>
      <c r="S152" s="95">
        <f>IF((P152-Q152)=1,L152,IF((P152-Q152)=-1,-J152,0))</f>
        <v/>
      </c>
      <c r="T152" s="95">
        <f>IF((P152-Q152)=1,N152,IF((P152-Q152)=-1,-M152,0))</f>
        <v/>
      </c>
      <c r="U152" s="101">
        <f>IF(AND(H152=1,LedAcct&lt;&gt;""),IF(AND(E152&gt;=LedFrom,E152&lt;=LedTo,OR(I152=LedAcct,K152=LedAcct,AND(LedAcct=acctTax,M152+N152&lt;&gt;0))),E152*10000+B152,""),"")</f>
        <v/>
      </c>
    </row>
    <row r="153">
      <c r="B153" s="101" t="n">
        <v>147</v>
      </c>
      <c r="C153" s="58" t="inlineStr">
        <is>
          <t>Transaction</t>
        </is>
      </c>
      <c r="D153" s="58">
        <f>IF(H153=1,INDEX(tx_ID,147)&amp;"","")</f>
        <v/>
      </c>
      <c r="E153" s="94">
        <f>IF(H153=1,INDEX(tx_Date,147),"")</f>
        <v/>
      </c>
      <c r="F153" s="58">
        <f>IF(H153=1,INDEX(tx_Desc,147)&amp;"","")</f>
        <v/>
      </c>
      <c r="G153" s="58">
        <f>IF(H153=1,IF(INDEX(tx_Cust,147)&amp;""&lt;&gt;"",INDEX(tx_Cust,147)&amp;"",INDEX(tx_Vend,147)&amp;""),"")</f>
        <v/>
      </c>
      <c r="H153" s="101">
        <f>IFERROR(N(INDEX(tx_Posted,147)),0)</f>
        <v/>
      </c>
      <c r="I153" s="58">
        <f>IF(H153=1,INDEX(tx_DrAcct,147)&amp;"","")</f>
        <v/>
      </c>
      <c r="J153" s="95">
        <f>IF(H153=1,INDEX(tx_DrAmt,147),0)</f>
        <v/>
      </c>
      <c r="K153" s="58">
        <f>IF(H153=1,INDEX(tx_CrAcct,147)&amp;"","")</f>
        <v/>
      </c>
      <c r="L153" s="95">
        <f>IF(H153=1,INDEX(tx_CrAmt,147),0)</f>
        <v/>
      </c>
      <c r="M153" s="95">
        <f>IF(H153=1,INDEX(tx_TaxDr,147),0)</f>
        <v/>
      </c>
      <c r="N153" s="95">
        <f>IF(H153=1,INDEX(tx_TaxCr,147),0)</f>
        <v/>
      </c>
      <c r="O153" s="101">
        <f>IF(H153=1,IF(E153&lt;FYStart,0,IF(E153&gt;FYEnd,13,YEAR(E153)*12+MONTH(E153)-FYYM+1)),"")</f>
        <v/>
      </c>
      <c r="P153" s="101">
        <f>IF(H153=1,IF(IFERROR(INDEX(coa_CF,MATCH(I153,coa_Name,0)),"")="Cash",1,0),0)</f>
        <v/>
      </c>
      <c r="Q153" s="101">
        <f>IF(H153=1,IF(IFERROR(INDEX(coa_CF,MATCH(K153,coa_Name,0)),"")="Cash",1,0),0)</f>
        <v/>
      </c>
      <c r="R153" s="58">
        <f>IF((P153-Q153)=0,"",IFERROR(INDEX(coa_CF,MATCH(IF((P153-Q153)=1,K153,I153),coa_Name,0)),"Operating"))</f>
        <v/>
      </c>
      <c r="S153" s="95">
        <f>IF((P153-Q153)=1,L153,IF((P153-Q153)=-1,-J153,0))</f>
        <v/>
      </c>
      <c r="T153" s="95">
        <f>IF((P153-Q153)=1,N153,IF((P153-Q153)=-1,-M153,0))</f>
        <v/>
      </c>
      <c r="U153" s="101">
        <f>IF(AND(H153=1,LedAcct&lt;&gt;""),IF(AND(E153&gt;=LedFrom,E153&lt;=LedTo,OR(I153=LedAcct,K153=LedAcct,AND(LedAcct=acctTax,M153+N153&lt;&gt;0))),E153*10000+B153,""),"")</f>
        <v/>
      </c>
    </row>
    <row r="154">
      <c r="B154" s="101" t="n">
        <v>148</v>
      </c>
      <c r="C154" s="58" t="inlineStr">
        <is>
          <t>Transaction</t>
        </is>
      </c>
      <c r="D154" s="58">
        <f>IF(H154=1,INDEX(tx_ID,148)&amp;"","")</f>
        <v/>
      </c>
      <c r="E154" s="94">
        <f>IF(H154=1,INDEX(tx_Date,148),"")</f>
        <v/>
      </c>
      <c r="F154" s="58">
        <f>IF(H154=1,INDEX(tx_Desc,148)&amp;"","")</f>
        <v/>
      </c>
      <c r="G154" s="58">
        <f>IF(H154=1,IF(INDEX(tx_Cust,148)&amp;""&lt;&gt;"",INDEX(tx_Cust,148)&amp;"",INDEX(tx_Vend,148)&amp;""),"")</f>
        <v/>
      </c>
      <c r="H154" s="101">
        <f>IFERROR(N(INDEX(tx_Posted,148)),0)</f>
        <v/>
      </c>
      <c r="I154" s="58">
        <f>IF(H154=1,INDEX(tx_DrAcct,148)&amp;"","")</f>
        <v/>
      </c>
      <c r="J154" s="95">
        <f>IF(H154=1,INDEX(tx_DrAmt,148),0)</f>
        <v/>
      </c>
      <c r="K154" s="58">
        <f>IF(H154=1,INDEX(tx_CrAcct,148)&amp;"","")</f>
        <v/>
      </c>
      <c r="L154" s="95">
        <f>IF(H154=1,INDEX(tx_CrAmt,148),0)</f>
        <v/>
      </c>
      <c r="M154" s="95">
        <f>IF(H154=1,INDEX(tx_TaxDr,148),0)</f>
        <v/>
      </c>
      <c r="N154" s="95">
        <f>IF(H154=1,INDEX(tx_TaxCr,148),0)</f>
        <v/>
      </c>
      <c r="O154" s="101">
        <f>IF(H154=1,IF(E154&lt;FYStart,0,IF(E154&gt;FYEnd,13,YEAR(E154)*12+MONTH(E154)-FYYM+1)),"")</f>
        <v/>
      </c>
      <c r="P154" s="101">
        <f>IF(H154=1,IF(IFERROR(INDEX(coa_CF,MATCH(I154,coa_Name,0)),"")="Cash",1,0),0)</f>
        <v/>
      </c>
      <c r="Q154" s="101">
        <f>IF(H154=1,IF(IFERROR(INDEX(coa_CF,MATCH(K154,coa_Name,0)),"")="Cash",1,0),0)</f>
        <v/>
      </c>
      <c r="R154" s="58">
        <f>IF((P154-Q154)=0,"",IFERROR(INDEX(coa_CF,MATCH(IF((P154-Q154)=1,K154,I154),coa_Name,0)),"Operating"))</f>
        <v/>
      </c>
      <c r="S154" s="95">
        <f>IF((P154-Q154)=1,L154,IF((P154-Q154)=-1,-J154,0))</f>
        <v/>
      </c>
      <c r="T154" s="95">
        <f>IF((P154-Q154)=1,N154,IF((P154-Q154)=-1,-M154,0))</f>
        <v/>
      </c>
      <c r="U154" s="101">
        <f>IF(AND(H154=1,LedAcct&lt;&gt;""),IF(AND(E154&gt;=LedFrom,E154&lt;=LedTo,OR(I154=LedAcct,K154=LedAcct,AND(LedAcct=acctTax,M154+N154&lt;&gt;0))),E154*10000+B154,""),"")</f>
        <v/>
      </c>
    </row>
    <row r="155">
      <c r="B155" s="101" t="n">
        <v>149</v>
      </c>
      <c r="C155" s="58" t="inlineStr">
        <is>
          <t>Transaction</t>
        </is>
      </c>
      <c r="D155" s="58">
        <f>IF(H155=1,INDEX(tx_ID,149)&amp;"","")</f>
        <v/>
      </c>
      <c r="E155" s="94">
        <f>IF(H155=1,INDEX(tx_Date,149),"")</f>
        <v/>
      </c>
      <c r="F155" s="58">
        <f>IF(H155=1,INDEX(tx_Desc,149)&amp;"","")</f>
        <v/>
      </c>
      <c r="G155" s="58">
        <f>IF(H155=1,IF(INDEX(tx_Cust,149)&amp;""&lt;&gt;"",INDEX(tx_Cust,149)&amp;"",INDEX(tx_Vend,149)&amp;""),"")</f>
        <v/>
      </c>
      <c r="H155" s="101">
        <f>IFERROR(N(INDEX(tx_Posted,149)),0)</f>
        <v/>
      </c>
      <c r="I155" s="58">
        <f>IF(H155=1,INDEX(tx_DrAcct,149)&amp;"","")</f>
        <v/>
      </c>
      <c r="J155" s="95">
        <f>IF(H155=1,INDEX(tx_DrAmt,149),0)</f>
        <v/>
      </c>
      <c r="K155" s="58">
        <f>IF(H155=1,INDEX(tx_CrAcct,149)&amp;"","")</f>
        <v/>
      </c>
      <c r="L155" s="95">
        <f>IF(H155=1,INDEX(tx_CrAmt,149),0)</f>
        <v/>
      </c>
      <c r="M155" s="95">
        <f>IF(H155=1,INDEX(tx_TaxDr,149),0)</f>
        <v/>
      </c>
      <c r="N155" s="95">
        <f>IF(H155=1,INDEX(tx_TaxCr,149),0)</f>
        <v/>
      </c>
      <c r="O155" s="101">
        <f>IF(H155=1,IF(E155&lt;FYStart,0,IF(E155&gt;FYEnd,13,YEAR(E155)*12+MONTH(E155)-FYYM+1)),"")</f>
        <v/>
      </c>
      <c r="P155" s="101">
        <f>IF(H155=1,IF(IFERROR(INDEX(coa_CF,MATCH(I155,coa_Name,0)),"")="Cash",1,0),0)</f>
        <v/>
      </c>
      <c r="Q155" s="101">
        <f>IF(H155=1,IF(IFERROR(INDEX(coa_CF,MATCH(K155,coa_Name,0)),"")="Cash",1,0),0)</f>
        <v/>
      </c>
      <c r="R155" s="58">
        <f>IF((P155-Q155)=0,"",IFERROR(INDEX(coa_CF,MATCH(IF((P155-Q155)=1,K155,I155),coa_Name,0)),"Operating"))</f>
        <v/>
      </c>
      <c r="S155" s="95">
        <f>IF((P155-Q155)=1,L155,IF((P155-Q155)=-1,-J155,0))</f>
        <v/>
      </c>
      <c r="T155" s="95">
        <f>IF((P155-Q155)=1,N155,IF((P155-Q155)=-1,-M155,0))</f>
        <v/>
      </c>
      <c r="U155" s="101">
        <f>IF(AND(H155=1,LedAcct&lt;&gt;""),IF(AND(E155&gt;=LedFrom,E155&lt;=LedTo,OR(I155=LedAcct,K155=LedAcct,AND(LedAcct=acctTax,M155+N155&lt;&gt;0))),E155*10000+B155,""),"")</f>
        <v/>
      </c>
    </row>
    <row r="156">
      <c r="B156" s="101" t="n">
        <v>150</v>
      </c>
      <c r="C156" s="58" t="inlineStr">
        <is>
          <t>Transaction</t>
        </is>
      </c>
      <c r="D156" s="58">
        <f>IF(H156=1,INDEX(tx_ID,150)&amp;"","")</f>
        <v/>
      </c>
      <c r="E156" s="94">
        <f>IF(H156=1,INDEX(tx_Date,150),"")</f>
        <v/>
      </c>
      <c r="F156" s="58">
        <f>IF(H156=1,INDEX(tx_Desc,150)&amp;"","")</f>
        <v/>
      </c>
      <c r="G156" s="58">
        <f>IF(H156=1,IF(INDEX(tx_Cust,150)&amp;""&lt;&gt;"",INDEX(tx_Cust,150)&amp;"",INDEX(tx_Vend,150)&amp;""),"")</f>
        <v/>
      </c>
      <c r="H156" s="101">
        <f>IFERROR(N(INDEX(tx_Posted,150)),0)</f>
        <v/>
      </c>
      <c r="I156" s="58">
        <f>IF(H156=1,INDEX(tx_DrAcct,150)&amp;"","")</f>
        <v/>
      </c>
      <c r="J156" s="95">
        <f>IF(H156=1,INDEX(tx_DrAmt,150),0)</f>
        <v/>
      </c>
      <c r="K156" s="58">
        <f>IF(H156=1,INDEX(tx_CrAcct,150)&amp;"","")</f>
        <v/>
      </c>
      <c r="L156" s="95">
        <f>IF(H156=1,INDEX(tx_CrAmt,150),0)</f>
        <v/>
      </c>
      <c r="M156" s="95">
        <f>IF(H156=1,INDEX(tx_TaxDr,150),0)</f>
        <v/>
      </c>
      <c r="N156" s="95">
        <f>IF(H156=1,INDEX(tx_TaxCr,150),0)</f>
        <v/>
      </c>
      <c r="O156" s="101">
        <f>IF(H156=1,IF(E156&lt;FYStart,0,IF(E156&gt;FYEnd,13,YEAR(E156)*12+MONTH(E156)-FYYM+1)),"")</f>
        <v/>
      </c>
      <c r="P156" s="101">
        <f>IF(H156=1,IF(IFERROR(INDEX(coa_CF,MATCH(I156,coa_Name,0)),"")="Cash",1,0),0)</f>
        <v/>
      </c>
      <c r="Q156" s="101">
        <f>IF(H156=1,IF(IFERROR(INDEX(coa_CF,MATCH(K156,coa_Name,0)),"")="Cash",1,0),0)</f>
        <v/>
      </c>
      <c r="R156" s="58">
        <f>IF((P156-Q156)=0,"",IFERROR(INDEX(coa_CF,MATCH(IF((P156-Q156)=1,K156,I156),coa_Name,0)),"Operating"))</f>
        <v/>
      </c>
      <c r="S156" s="95">
        <f>IF((P156-Q156)=1,L156,IF((P156-Q156)=-1,-J156,0))</f>
        <v/>
      </c>
      <c r="T156" s="95">
        <f>IF((P156-Q156)=1,N156,IF((P156-Q156)=-1,-M156,0))</f>
        <v/>
      </c>
      <c r="U156" s="101">
        <f>IF(AND(H156=1,LedAcct&lt;&gt;""),IF(AND(E156&gt;=LedFrom,E156&lt;=LedTo,OR(I156=LedAcct,K156=LedAcct,AND(LedAcct=acctTax,M156+N156&lt;&gt;0))),E156*10000+B156,""),"")</f>
        <v/>
      </c>
    </row>
    <row r="157">
      <c r="B157" s="101" t="n">
        <v>151</v>
      </c>
      <c r="C157" s="58" t="inlineStr">
        <is>
          <t>Transaction</t>
        </is>
      </c>
      <c r="D157" s="58">
        <f>IF(H157=1,INDEX(tx_ID,151)&amp;"","")</f>
        <v/>
      </c>
      <c r="E157" s="94">
        <f>IF(H157=1,INDEX(tx_Date,151),"")</f>
        <v/>
      </c>
      <c r="F157" s="58">
        <f>IF(H157=1,INDEX(tx_Desc,151)&amp;"","")</f>
        <v/>
      </c>
      <c r="G157" s="58">
        <f>IF(H157=1,IF(INDEX(tx_Cust,151)&amp;""&lt;&gt;"",INDEX(tx_Cust,151)&amp;"",INDEX(tx_Vend,151)&amp;""),"")</f>
        <v/>
      </c>
      <c r="H157" s="101">
        <f>IFERROR(N(INDEX(tx_Posted,151)),0)</f>
        <v/>
      </c>
      <c r="I157" s="58">
        <f>IF(H157=1,INDEX(tx_DrAcct,151)&amp;"","")</f>
        <v/>
      </c>
      <c r="J157" s="95">
        <f>IF(H157=1,INDEX(tx_DrAmt,151),0)</f>
        <v/>
      </c>
      <c r="K157" s="58">
        <f>IF(H157=1,INDEX(tx_CrAcct,151)&amp;"","")</f>
        <v/>
      </c>
      <c r="L157" s="95">
        <f>IF(H157=1,INDEX(tx_CrAmt,151),0)</f>
        <v/>
      </c>
      <c r="M157" s="95">
        <f>IF(H157=1,INDEX(tx_TaxDr,151),0)</f>
        <v/>
      </c>
      <c r="N157" s="95">
        <f>IF(H157=1,INDEX(tx_TaxCr,151),0)</f>
        <v/>
      </c>
      <c r="O157" s="101">
        <f>IF(H157=1,IF(E157&lt;FYStart,0,IF(E157&gt;FYEnd,13,YEAR(E157)*12+MONTH(E157)-FYYM+1)),"")</f>
        <v/>
      </c>
      <c r="P157" s="101">
        <f>IF(H157=1,IF(IFERROR(INDEX(coa_CF,MATCH(I157,coa_Name,0)),"")="Cash",1,0),0)</f>
        <v/>
      </c>
      <c r="Q157" s="101">
        <f>IF(H157=1,IF(IFERROR(INDEX(coa_CF,MATCH(K157,coa_Name,0)),"")="Cash",1,0),0)</f>
        <v/>
      </c>
      <c r="R157" s="58">
        <f>IF((P157-Q157)=0,"",IFERROR(INDEX(coa_CF,MATCH(IF((P157-Q157)=1,K157,I157),coa_Name,0)),"Operating"))</f>
        <v/>
      </c>
      <c r="S157" s="95">
        <f>IF((P157-Q157)=1,L157,IF((P157-Q157)=-1,-J157,0))</f>
        <v/>
      </c>
      <c r="T157" s="95">
        <f>IF((P157-Q157)=1,N157,IF((P157-Q157)=-1,-M157,0))</f>
        <v/>
      </c>
      <c r="U157" s="101">
        <f>IF(AND(H157=1,LedAcct&lt;&gt;""),IF(AND(E157&gt;=LedFrom,E157&lt;=LedTo,OR(I157=LedAcct,K157=LedAcct,AND(LedAcct=acctTax,M157+N157&lt;&gt;0))),E157*10000+B157,""),"")</f>
        <v/>
      </c>
    </row>
    <row r="158">
      <c r="B158" s="101" t="n">
        <v>152</v>
      </c>
      <c r="C158" s="58" t="inlineStr">
        <is>
          <t>Transaction</t>
        </is>
      </c>
      <c r="D158" s="58">
        <f>IF(H158=1,INDEX(tx_ID,152)&amp;"","")</f>
        <v/>
      </c>
      <c r="E158" s="94">
        <f>IF(H158=1,INDEX(tx_Date,152),"")</f>
        <v/>
      </c>
      <c r="F158" s="58">
        <f>IF(H158=1,INDEX(tx_Desc,152)&amp;"","")</f>
        <v/>
      </c>
      <c r="G158" s="58">
        <f>IF(H158=1,IF(INDEX(tx_Cust,152)&amp;""&lt;&gt;"",INDEX(tx_Cust,152)&amp;"",INDEX(tx_Vend,152)&amp;""),"")</f>
        <v/>
      </c>
      <c r="H158" s="101">
        <f>IFERROR(N(INDEX(tx_Posted,152)),0)</f>
        <v/>
      </c>
      <c r="I158" s="58">
        <f>IF(H158=1,INDEX(tx_DrAcct,152)&amp;"","")</f>
        <v/>
      </c>
      <c r="J158" s="95">
        <f>IF(H158=1,INDEX(tx_DrAmt,152),0)</f>
        <v/>
      </c>
      <c r="K158" s="58">
        <f>IF(H158=1,INDEX(tx_CrAcct,152)&amp;"","")</f>
        <v/>
      </c>
      <c r="L158" s="95">
        <f>IF(H158=1,INDEX(tx_CrAmt,152),0)</f>
        <v/>
      </c>
      <c r="M158" s="95">
        <f>IF(H158=1,INDEX(tx_TaxDr,152),0)</f>
        <v/>
      </c>
      <c r="N158" s="95">
        <f>IF(H158=1,INDEX(tx_TaxCr,152),0)</f>
        <v/>
      </c>
      <c r="O158" s="101">
        <f>IF(H158=1,IF(E158&lt;FYStart,0,IF(E158&gt;FYEnd,13,YEAR(E158)*12+MONTH(E158)-FYYM+1)),"")</f>
        <v/>
      </c>
      <c r="P158" s="101">
        <f>IF(H158=1,IF(IFERROR(INDEX(coa_CF,MATCH(I158,coa_Name,0)),"")="Cash",1,0),0)</f>
        <v/>
      </c>
      <c r="Q158" s="101">
        <f>IF(H158=1,IF(IFERROR(INDEX(coa_CF,MATCH(K158,coa_Name,0)),"")="Cash",1,0),0)</f>
        <v/>
      </c>
      <c r="R158" s="58">
        <f>IF((P158-Q158)=0,"",IFERROR(INDEX(coa_CF,MATCH(IF((P158-Q158)=1,K158,I158),coa_Name,0)),"Operating"))</f>
        <v/>
      </c>
      <c r="S158" s="95">
        <f>IF((P158-Q158)=1,L158,IF((P158-Q158)=-1,-J158,0))</f>
        <v/>
      </c>
      <c r="T158" s="95">
        <f>IF((P158-Q158)=1,N158,IF((P158-Q158)=-1,-M158,0))</f>
        <v/>
      </c>
      <c r="U158" s="101">
        <f>IF(AND(H158=1,LedAcct&lt;&gt;""),IF(AND(E158&gt;=LedFrom,E158&lt;=LedTo,OR(I158=LedAcct,K158=LedAcct,AND(LedAcct=acctTax,M158+N158&lt;&gt;0))),E158*10000+B158,""),"")</f>
        <v/>
      </c>
    </row>
    <row r="159">
      <c r="B159" s="101" t="n">
        <v>153</v>
      </c>
      <c r="C159" s="58" t="inlineStr">
        <is>
          <t>Transaction</t>
        </is>
      </c>
      <c r="D159" s="58">
        <f>IF(H159=1,INDEX(tx_ID,153)&amp;"","")</f>
        <v/>
      </c>
      <c r="E159" s="94">
        <f>IF(H159=1,INDEX(tx_Date,153),"")</f>
        <v/>
      </c>
      <c r="F159" s="58">
        <f>IF(H159=1,INDEX(tx_Desc,153)&amp;"","")</f>
        <v/>
      </c>
      <c r="G159" s="58">
        <f>IF(H159=1,IF(INDEX(tx_Cust,153)&amp;""&lt;&gt;"",INDEX(tx_Cust,153)&amp;"",INDEX(tx_Vend,153)&amp;""),"")</f>
        <v/>
      </c>
      <c r="H159" s="101">
        <f>IFERROR(N(INDEX(tx_Posted,153)),0)</f>
        <v/>
      </c>
      <c r="I159" s="58">
        <f>IF(H159=1,INDEX(tx_DrAcct,153)&amp;"","")</f>
        <v/>
      </c>
      <c r="J159" s="95">
        <f>IF(H159=1,INDEX(tx_DrAmt,153),0)</f>
        <v/>
      </c>
      <c r="K159" s="58">
        <f>IF(H159=1,INDEX(tx_CrAcct,153)&amp;"","")</f>
        <v/>
      </c>
      <c r="L159" s="95">
        <f>IF(H159=1,INDEX(tx_CrAmt,153),0)</f>
        <v/>
      </c>
      <c r="M159" s="95">
        <f>IF(H159=1,INDEX(tx_TaxDr,153),0)</f>
        <v/>
      </c>
      <c r="N159" s="95">
        <f>IF(H159=1,INDEX(tx_TaxCr,153),0)</f>
        <v/>
      </c>
      <c r="O159" s="101">
        <f>IF(H159=1,IF(E159&lt;FYStart,0,IF(E159&gt;FYEnd,13,YEAR(E159)*12+MONTH(E159)-FYYM+1)),"")</f>
        <v/>
      </c>
      <c r="P159" s="101">
        <f>IF(H159=1,IF(IFERROR(INDEX(coa_CF,MATCH(I159,coa_Name,0)),"")="Cash",1,0),0)</f>
        <v/>
      </c>
      <c r="Q159" s="101">
        <f>IF(H159=1,IF(IFERROR(INDEX(coa_CF,MATCH(K159,coa_Name,0)),"")="Cash",1,0),0)</f>
        <v/>
      </c>
      <c r="R159" s="58">
        <f>IF((P159-Q159)=0,"",IFERROR(INDEX(coa_CF,MATCH(IF((P159-Q159)=1,K159,I159),coa_Name,0)),"Operating"))</f>
        <v/>
      </c>
      <c r="S159" s="95">
        <f>IF((P159-Q159)=1,L159,IF((P159-Q159)=-1,-J159,0))</f>
        <v/>
      </c>
      <c r="T159" s="95">
        <f>IF((P159-Q159)=1,N159,IF((P159-Q159)=-1,-M159,0))</f>
        <v/>
      </c>
      <c r="U159" s="101">
        <f>IF(AND(H159=1,LedAcct&lt;&gt;""),IF(AND(E159&gt;=LedFrom,E159&lt;=LedTo,OR(I159=LedAcct,K159=LedAcct,AND(LedAcct=acctTax,M159+N159&lt;&gt;0))),E159*10000+B159,""),"")</f>
        <v/>
      </c>
    </row>
    <row r="160">
      <c r="B160" s="101" t="n">
        <v>154</v>
      </c>
      <c r="C160" s="58" t="inlineStr">
        <is>
          <t>Transaction</t>
        </is>
      </c>
      <c r="D160" s="58">
        <f>IF(H160=1,INDEX(tx_ID,154)&amp;"","")</f>
        <v/>
      </c>
      <c r="E160" s="94">
        <f>IF(H160=1,INDEX(tx_Date,154),"")</f>
        <v/>
      </c>
      <c r="F160" s="58">
        <f>IF(H160=1,INDEX(tx_Desc,154)&amp;"","")</f>
        <v/>
      </c>
      <c r="G160" s="58">
        <f>IF(H160=1,IF(INDEX(tx_Cust,154)&amp;""&lt;&gt;"",INDEX(tx_Cust,154)&amp;"",INDEX(tx_Vend,154)&amp;""),"")</f>
        <v/>
      </c>
      <c r="H160" s="101">
        <f>IFERROR(N(INDEX(tx_Posted,154)),0)</f>
        <v/>
      </c>
      <c r="I160" s="58">
        <f>IF(H160=1,INDEX(tx_DrAcct,154)&amp;"","")</f>
        <v/>
      </c>
      <c r="J160" s="95">
        <f>IF(H160=1,INDEX(tx_DrAmt,154),0)</f>
        <v/>
      </c>
      <c r="K160" s="58">
        <f>IF(H160=1,INDEX(tx_CrAcct,154)&amp;"","")</f>
        <v/>
      </c>
      <c r="L160" s="95">
        <f>IF(H160=1,INDEX(tx_CrAmt,154),0)</f>
        <v/>
      </c>
      <c r="M160" s="95">
        <f>IF(H160=1,INDEX(tx_TaxDr,154),0)</f>
        <v/>
      </c>
      <c r="N160" s="95">
        <f>IF(H160=1,INDEX(tx_TaxCr,154),0)</f>
        <v/>
      </c>
      <c r="O160" s="101">
        <f>IF(H160=1,IF(E160&lt;FYStart,0,IF(E160&gt;FYEnd,13,YEAR(E160)*12+MONTH(E160)-FYYM+1)),"")</f>
        <v/>
      </c>
      <c r="P160" s="101">
        <f>IF(H160=1,IF(IFERROR(INDEX(coa_CF,MATCH(I160,coa_Name,0)),"")="Cash",1,0),0)</f>
        <v/>
      </c>
      <c r="Q160" s="101">
        <f>IF(H160=1,IF(IFERROR(INDEX(coa_CF,MATCH(K160,coa_Name,0)),"")="Cash",1,0),0)</f>
        <v/>
      </c>
      <c r="R160" s="58">
        <f>IF((P160-Q160)=0,"",IFERROR(INDEX(coa_CF,MATCH(IF((P160-Q160)=1,K160,I160),coa_Name,0)),"Operating"))</f>
        <v/>
      </c>
      <c r="S160" s="95">
        <f>IF((P160-Q160)=1,L160,IF((P160-Q160)=-1,-J160,0))</f>
        <v/>
      </c>
      <c r="T160" s="95">
        <f>IF((P160-Q160)=1,N160,IF((P160-Q160)=-1,-M160,0))</f>
        <v/>
      </c>
      <c r="U160" s="101">
        <f>IF(AND(H160=1,LedAcct&lt;&gt;""),IF(AND(E160&gt;=LedFrom,E160&lt;=LedTo,OR(I160=LedAcct,K160=LedAcct,AND(LedAcct=acctTax,M160+N160&lt;&gt;0))),E160*10000+B160,""),"")</f>
        <v/>
      </c>
    </row>
    <row r="161">
      <c r="B161" s="101" t="n">
        <v>155</v>
      </c>
      <c r="C161" s="58" t="inlineStr">
        <is>
          <t>Transaction</t>
        </is>
      </c>
      <c r="D161" s="58">
        <f>IF(H161=1,INDEX(tx_ID,155)&amp;"","")</f>
        <v/>
      </c>
      <c r="E161" s="94">
        <f>IF(H161=1,INDEX(tx_Date,155),"")</f>
        <v/>
      </c>
      <c r="F161" s="58">
        <f>IF(H161=1,INDEX(tx_Desc,155)&amp;"","")</f>
        <v/>
      </c>
      <c r="G161" s="58">
        <f>IF(H161=1,IF(INDEX(tx_Cust,155)&amp;""&lt;&gt;"",INDEX(tx_Cust,155)&amp;"",INDEX(tx_Vend,155)&amp;""),"")</f>
        <v/>
      </c>
      <c r="H161" s="101">
        <f>IFERROR(N(INDEX(tx_Posted,155)),0)</f>
        <v/>
      </c>
      <c r="I161" s="58">
        <f>IF(H161=1,INDEX(tx_DrAcct,155)&amp;"","")</f>
        <v/>
      </c>
      <c r="J161" s="95">
        <f>IF(H161=1,INDEX(tx_DrAmt,155),0)</f>
        <v/>
      </c>
      <c r="K161" s="58">
        <f>IF(H161=1,INDEX(tx_CrAcct,155)&amp;"","")</f>
        <v/>
      </c>
      <c r="L161" s="95">
        <f>IF(H161=1,INDEX(tx_CrAmt,155),0)</f>
        <v/>
      </c>
      <c r="M161" s="95">
        <f>IF(H161=1,INDEX(tx_TaxDr,155),0)</f>
        <v/>
      </c>
      <c r="N161" s="95">
        <f>IF(H161=1,INDEX(tx_TaxCr,155),0)</f>
        <v/>
      </c>
      <c r="O161" s="101">
        <f>IF(H161=1,IF(E161&lt;FYStart,0,IF(E161&gt;FYEnd,13,YEAR(E161)*12+MONTH(E161)-FYYM+1)),"")</f>
        <v/>
      </c>
      <c r="P161" s="101">
        <f>IF(H161=1,IF(IFERROR(INDEX(coa_CF,MATCH(I161,coa_Name,0)),"")="Cash",1,0),0)</f>
        <v/>
      </c>
      <c r="Q161" s="101">
        <f>IF(H161=1,IF(IFERROR(INDEX(coa_CF,MATCH(K161,coa_Name,0)),"")="Cash",1,0),0)</f>
        <v/>
      </c>
      <c r="R161" s="58">
        <f>IF((P161-Q161)=0,"",IFERROR(INDEX(coa_CF,MATCH(IF((P161-Q161)=1,K161,I161),coa_Name,0)),"Operating"))</f>
        <v/>
      </c>
      <c r="S161" s="95">
        <f>IF((P161-Q161)=1,L161,IF((P161-Q161)=-1,-J161,0))</f>
        <v/>
      </c>
      <c r="T161" s="95">
        <f>IF((P161-Q161)=1,N161,IF((P161-Q161)=-1,-M161,0))</f>
        <v/>
      </c>
      <c r="U161" s="101">
        <f>IF(AND(H161=1,LedAcct&lt;&gt;""),IF(AND(E161&gt;=LedFrom,E161&lt;=LedTo,OR(I161=LedAcct,K161=LedAcct,AND(LedAcct=acctTax,M161+N161&lt;&gt;0))),E161*10000+B161,""),"")</f>
        <v/>
      </c>
    </row>
    <row r="162">
      <c r="B162" s="101" t="n">
        <v>156</v>
      </c>
      <c r="C162" s="58" t="inlineStr">
        <is>
          <t>Transaction</t>
        </is>
      </c>
      <c r="D162" s="58">
        <f>IF(H162=1,INDEX(tx_ID,156)&amp;"","")</f>
        <v/>
      </c>
      <c r="E162" s="94">
        <f>IF(H162=1,INDEX(tx_Date,156),"")</f>
        <v/>
      </c>
      <c r="F162" s="58">
        <f>IF(H162=1,INDEX(tx_Desc,156)&amp;"","")</f>
        <v/>
      </c>
      <c r="G162" s="58">
        <f>IF(H162=1,IF(INDEX(tx_Cust,156)&amp;""&lt;&gt;"",INDEX(tx_Cust,156)&amp;"",INDEX(tx_Vend,156)&amp;""),"")</f>
        <v/>
      </c>
      <c r="H162" s="101">
        <f>IFERROR(N(INDEX(tx_Posted,156)),0)</f>
        <v/>
      </c>
      <c r="I162" s="58">
        <f>IF(H162=1,INDEX(tx_DrAcct,156)&amp;"","")</f>
        <v/>
      </c>
      <c r="J162" s="95">
        <f>IF(H162=1,INDEX(tx_DrAmt,156),0)</f>
        <v/>
      </c>
      <c r="K162" s="58">
        <f>IF(H162=1,INDEX(tx_CrAcct,156)&amp;"","")</f>
        <v/>
      </c>
      <c r="L162" s="95">
        <f>IF(H162=1,INDEX(tx_CrAmt,156),0)</f>
        <v/>
      </c>
      <c r="M162" s="95">
        <f>IF(H162=1,INDEX(tx_TaxDr,156),0)</f>
        <v/>
      </c>
      <c r="N162" s="95">
        <f>IF(H162=1,INDEX(tx_TaxCr,156),0)</f>
        <v/>
      </c>
      <c r="O162" s="101">
        <f>IF(H162=1,IF(E162&lt;FYStart,0,IF(E162&gt;FYEnd,13,YEAR(E162)*12+MONTH(E162)-FYYM+1)),"")</f>
        <v/>
      </c>
      <c r="P162" s="101">
        <f>IF(H162=1,IF(IFERROR(INDEX(coa_CF,MATCH(I162,coa_Name,0)),"")="Cash",1,0),0)</f>
        <v/>
      </c>
      <c r="Q162" s="101">
        <f>IF(H162=1,IF(IFERROR(INDEX(coa_CF,MATCH(K162,coa_Name,0)),"")="Cash",1,0),0)</f>
        <v/>
      </c>
      <c r="R162" s="58">
        <f>IF((P162-Q162)=0,"",IFERROR(INDEX(coa_CF,MATCH(IF((P162-Q162)=1,K162,I162),coa_Name,0)),"Operating"))</f>
        <v/>
      </c>
      <c r="S162" s="95">
        <f>IF((P162-Q162)=1,L162,IF((P162-Q162)=-1,-J162,0))</f>
        <v/>
      </c>
      <c r="T162" s="95">
        <f>IF((P162-Q162)=1,N162,IF((P162-Q162)=-1,-M162,0))</f>
        <v/>
      </c>
      <c r="U162" s="101">
        <f>IF(AND(H162=1,LedAcct&lt;&gt;""),IF(AND(E162&gt;=LedFrom,E162&lt;=LedTo,OR(I162=LedAcct,K162=LedAcct,AND(LedAcct=acctTax,M162+N162&lt;&gt;0))),E162*10000+B162,""),"")</f>
        <v/>
      </c>
    </row>
    <row r="163">
      <c r="B163" s="101" t="n">
        <v>157</v>
      </c>
      <c r="C163" s="58" t="inlineStr">
        <is>
          <t>Transaction</t>
        </is>
      </c>
      <c r="D163" s="58">
        <f>IF(H163=1,INDEX(tx_ID,157)&amp;"","")</f>
        <v/>
      </c>
      <c r="E163" s="94">
        <f>IF(H163=1,INDEX(tx_Date,157),"")</f>
        <v/>
      </c>
      <c r="F163" s="58">
        <f>IF(H163=1,INDEX(tx_Desc,157)&amp;"","")</f>
        <v/>
      </c>
      <c r="G163" s="58">
        <f>IF(H163=1,IF(INDEX(tx_Cust,157)&amp;""&lt;&gt;"",INDEX(tx_Cust,157)&amp;"",INDEX(tx_Vend,157)&amp;""),"")</f>
        <v/>
      </c>
      <c r="H163" s="101">
        <f>IFERROR(N(INDEX(tx_Posted,157)),0)</f>
        <v/>
      </c>
      <c r="I163" s="58">
        <f>IF(H163=1,INDEX(tx_DrAcct,157)&amp;"","")</f>
        <v/>
      </c>
      <c r="J163" s="95">
        <f>IF(H163=1,INDEX(tx_DrAmt,157),0)</f>
        <v/>
      </c>
      <c r="K163" s="58">
        <f>IF(H163=1,INDEX(tx_CrAcct,157)&amp;"","")</f>
        <v/>
      </c>
      <c r="L163" s="95">
        <f>IF(H163=1,INDEX(tx_CrAmt,157),0)</f>
        <v/>
      </c>
      <c r="M163" s="95">
        <f>IF(H163=1,INDEX(tx_TaxDr,157),0)</f>
        <v/>
      </c>
      <c r="N163" s="95">
        <f>IF(H163=1,INDEX(tx_TaxCr,157),0)</f>
        <v/>
      </c>
      <c r="O163" s="101">
        <f>IF(H163=1,IF(E163&lt;FYStart,0,IF(E163&gt;FYEnd,13,YEAR(E163)*12+MONTH(E163)-FYYM+1)),"")</f>
        <v/>
      </c>
      <c r="P163" s="101">
        <f>IF(H163=1,IF(IFERROR(INDEX(coa_CF,MATCH(I163,coa_Name,0)),"")="Cash",1,0),0)</f>
        <v/>
      </c>
      <c r="Q163" s="101">
        <f>IF(H163=1,IF(IFERROR(INDEX(coa_CF,MATCH(K163,coa_Name,0)),"")="Cash",1,0),0)</f>
        <v/>
      </c>
      <c r="R163" s="58">
        <f>IF((P163-Q163)=0,"",IFERROR(INDEX(coa_CF,MATCH(IF((P163-Q163)=1,K163,I163),coa_Name,0)),"Operating"))</f>
        <v/>
      </c>
      <c r="S163" s="95">
        <f>IF((P163-Q163)=1,L163,IF((P163-Q163)=-1,-J163,0))</f>
        <v/>
      </c>
      <c r="T163" s="95">
        <f>IF((P163-Q163)=1,N163,IF((P163-Q163)=-1,-M163,0))</f>
        <v/>
      </c>
      <c r="U163" s="101">
        <f>IF(AND(H163=1,LedAcct&lt;&gt;""),IF(AND(E163&gt;=LedFrom,E163&lt;=LedTo,OR(I163=LedAcct,K163=LedAcct,AND(LedAcct=acctTax,M163+N163&lt;&gt;0))),E163*10000+B163,""),"")</f>
        <v/>
      </c>
    </row>
    <row r="164">
      <c r="B164" s="101" t="n">
        <v>158</v>
      </c>
      <c r="C164" s="58" t="inlineStr">
        <is>
          <t>Transaction</t>
        </is>
      </c>
      <c r="D164" s="58">
        <f>IF(H164=1,INDEX(tx_ID,158)&amp;"","")</f>
        <v/>
      </c>
      <c r="E164" s="94">
        <f>IF(H164=1,INDEX(tx_Date,158),"")</f>
        <v/>
      </c>
      <c r="F164" s="58">
        <f>IF(H164=1,INDEX(tx_Desc,158)&amp;"","")</f>
        <v/>
      </c>
      <c r="G164" s="58">
        <f>IF(H164=1,IF(INDEX(tx_Cust,158)&amp;""&lt;&gt;"",INDEX(tx_Cust,158)&amp;"",INDEX(tx_Vend,158)&amp;""),"")</f>
        <v/>
      </c>
      <c r="H164" s="101">
        <f>IFERROR(N(INDEX(tx_Posted,158)),0)</f>
        <v/>
      </c>
      <c r="I164" s="58">
        <f>IF(H164=1,INDEX(tx_DrAcct,158)&amp;"","")</f>
        <v/>
      </c>
      <c r="J164" s="95">
        <f>IF(H164=1,INDEX(tx_DrAmt,158),0)</f>
        <v/>
      </c>
      <c r="K164" s="58">
        <f>IF(H164=1,INDEX(tx_CrAcct,158)&amp;"","")</f>
        <v/>
      </c>
      <c r="L164" s="95">
        <f>IF(H164=1,INDEX(tx_CrAmt,158),0)</f>
        <v/>
      </c>
      <c r="M164" s="95">
        <f>IF(H164=1,INDEX(tx_TaxDr,158),0)</f>
        <v/>
      </c>
      <c r="N164" s="95">
        <f>IF(H164=1,INDEX(tx_TaxCr,158),0)</f>
        <v/>
      </c>
      <c r="O164" s="101">
        <f>IF(H164=1,IF(E164&lt;FYStart,0,IF(E164&gt;FYEnd,13,YEAR(E164)*12+MONTH(E164)-FYYM+1)),"")</f>
        <v/>
      </c>
      <c r="P164" s="101">
        <f>IF(H164=1,IF(IFERROR(INDEX(coa_CF,MATCH(I164,coa_Name,0)),"")="Cash",1,0),0)</f>
        <v/>
      </c>
      <c r="Q164" s="101">
        <f>IF(H164=1,IF(IFERROR(INDEX(coa_CF,MATCH(K164,coa_Name,0)),"")="Cash",1,0),0)</f>
        <v/>
      </c>
      <c r="R164" s="58">
        <f>IF((P164-Q164)=0,"",IFERROR(INDEX(coa_CF,MATCH(IF((P164-Q164)=1,K164,I164),coa_Name,0)),"Operating"))</f>
        <v/>
      </c>
      <c r="S164" s="95">
        <f>IF((P164-Q164)=1,L164,IF((P164-Q164)=-1,-J164,0))</f>
        <v/>
      </c>
      <c r="T164" s="95">
        <f>IF((P164-Q164)=1,N164,IF((P164-Q164)=-1,-M164,0))</f>
        <v/>
      </c>
      <c r="U164" s="101">
        <f>IF(AND(H164=1,LedAcct&lt;&gt;""),IF(AND(E164&gt;=LedFrom,E164&lt;=LedTo,OR(I164=LedAcct,K164=LedAcct,AND(LedAcct=acctTax,M164+N164&lt;&gt;0))),E164*10000+B164,""),"")</f>
        <v/>
      </c>
    </row>
    <row r="165">
      <c r="B165" s="101" t="n">
        <v>159</v>
      </c>
      <c r="C165" s="58" t="inlineStr">
        <is>
          <t>Transaction</t>
        </is>
      </c>
      <c r="D165" s="58">
        <f>IF(H165=1,INDEX(tx_ID,159)&amp;"","")</f>
        <v/>
      </c>
      <c r="E165" s="94">
        <f>IF(H165=1,INDEX(tx_Date,159),"")</f>
        <v/>
      </c>
      <c r="F165" s="58">
        <f>IF(H165=1,INDEX(tx_Desc,159)&amp;"","")</f>
        <v/>
      </c>
      <c r="G165" s="58">
        <f>IF(H165=1,IF(INDEX(tx_Cust,159)&amp;""&lt;&gt;"",INDEX(tx_Cust,159)&amp;"",INDEX(tx_Vend,159)&amp;""),"")</f>
        <v/>
      </c>
      <c r="H165" s="101">
        <f>IFERROR(N(INDEX(tx_Posted,159)),0)</f>
        <v/>
      </c>
      <c r="I165" s="58">
        <f>IF(H165=1,INDEX(tx_DrAcct,159)&amp;"","")</f>
        <v/>
      </c>
      <c r="J165" s="95">
        <f>IF(H165=1,INDEX(tx_DrAmt,159),0)</f>
        <v/>
      </c>
      <c r="K165" s="58">
        <f>IF(H165=1,INDEX(tx_CrAcct,159)&amp;"","")</f>
        <v/>
      </c>
      <c r="L165" s="95">
        <f>IF(H165=1,INDEX(tx_CrAmt,159),0)</f>
        <v/>
      </c>
      <c r="M165" s="95">
        <f>IF(H165=1,INDEX(tx_TaxDr,159),0)</f>
        <v/>
      </c>
      <c r="N165" s="95">
        <f>IF(H165=1,INDEX(tx_TaxCr,159),0)</f>
        <v/>
      </c>
      <c r="O165" s="101">
        <f>IF(H165=1,IF(E165&lt;FYStart,0,IF(E165&gt;FYEnd,13,YEAR(E165)*12+MONTH(E165)-FYYM+1)),"")</f>
        <v/>
      </c>
      <c r="P165" s="101">
        <f>IF(H165=1,IF(IFERROR(INDEX(coa_CF,MATCH(I165,coa_Name,0)),"")="Cash",1,0),0)</f>
        <v/>
      </c>
      <c r="Q165" s="101">
        <f>IF(H165=1,IF(IFERROR(INDEX(coa_CF,MATCH(K165,coa_Name,0)),"")="Cash",1,0),0)</f>
        <v/>
      </c>
      <c r="R165" s="58">
        <f>IF((P165-Q165)=0,"",IFERROR(INDEX(coa_CF,MATCH(IF((P165-Q165)=1,K165,I165),coa_Name,0)),"Operating"))</f>
        <v/>
      </c>
      <c r="S165" s="95">
        <f>IF((P165-Q165)=1,L165,IF((P165-Q165)=-1,-J165,0))</f>
        <v/>
      </c>
      <c r="T165" s="95">
        <f>IF((P165-Q165)=1,N165,IF((P165-Q165)=-1,-M165,0))</f>
        <v/>
      </c>
      <c r="U165" s="101">
        <f>IF(AND(H165=1,LedAcct&lt;&gt;""),IF(AND(E165&gt;=LedFrom,E165&lt;=LedTo,OR(I165=LedAcct,K165=LedAcct,AND(LedAcct=acctTax,M165+N165&lt;&gt;0))),E165*10000+B165,""),"")</f>
        <v/>
      </c>
    </row>
    <row r="166">
      <c r="B166" s="101" t="n">
        <v>160</v>
      </c>
      <c r="C166" s="58" t="inlineStr">
        <is>
          <t>Transaction</t>
        </is>
      </c>
      <c r="D166" s="58">
        <f>IF(H166=1,INDEX(tx_ID,160)&amp;"","")</f>
        <v/>
      </c>
      <c r="E166" s="94">
        <f>IF(H166=1,INDEX(tx_Date,160),"")</f>
        <v/>
      </c>
      <c r="F166" s="58">
        <f>IF(H166=1,INDEX(tx_Desc,160)&amp;"","")</f>
        <v/>
      </c>
      <c r="G166" s="58">
        <f>IF(H166=1,IF(INDEX(tx_Cust,160)&amp;""&lt;&gt;"",INDEX(tx_Cust,160)&amp;"",INDEX(tx_Vend,160)&amp;""),"")</f>
        <v/>
      </c>
      <c r="H166" s="101">
        <f>IFERROR(N(INDEX(tx_Posted,160)),0)</f>
        <v/>
      </c>
      <c r="I166" s="58">
        <f>IF(H166=1,INDEX(tx_DrAcct,160)&amp;"","")</f>
        <v/>
      </c>
      <c r="J166" s="95">
        <f>IF(H166=1,INDEX(tx_DrAmt,160),0)</f>
        <v/>
      </c>
      <c r="K166" s="58">
        <f>IF(H166=1,INDEX(tx_CrAcct,160)&amp;"","")</f>
        <v/>
      </c>
      <c r="L166" s="95">
        <f>IF(H166=1,INDEX(tx_CrAmt,160),0)</f>
        <v/>
      </c>
      <c r="M166" s="95">
        <f>IF(H166=1,INDEX(tx_TaxDr,160),0)</f>
        <v/>
      </c>
      <c r="N166" s="95">
        <f>IF(H166=1,INDEX(tx_TaxCr,160),0)</f>
        <v/>
      </c>
      <c r="O166" s="101">
        <f>IF(H166=1,IF(E166&lt;FYStart,0,IF(E166&gt;FYEnd,13,YEAR(E166)*12+MONTH(E166)-FYYM+1)),"")</f>
        <v/>
      </c>
      <c r="P166" s="101">
        <f>IF(H166=1,IF(IFERROR(INDEX(coa_CF,MATCH(I166,coa_Name,0)),"")="Cash",1,0),0)</f>
        <v/>
      </c>
      <c r="Q166" s="101">
        <f>IF(H166=1,IF(IFERROR(INDEX(coa_CF,MATCH(K166,coa_Name,0)),"")="Cash",1,0),0)</f>
        <v/>
      </c>
      <c r="R166" s="58">
        <f>IF((P166-Q166)=0,"",IFERROR(INDEX(coa_CF,MATCH(IF((P166-Q166)=1,K166,I166),coa_Name,0)),"Operating"))</f>
        <v/>
      </c>
      <c r="S166" s="95">
        <f>IF((P166-Q166)=1,L166,IF((P166-Q166)=-1,-J166,0))</f>
        <v/>
      </c>
      <c r="T166" s="95">
        <f>IF((P166-Q166)=1,N166,IF((P166-Q166)=-1,-M166,0))</f>
        <v/>
      </c>
      <c r="U166" s="101">
        <f>IF(AND(H166=1,LedAcct&lt;&gt;""),IF(AND(E166&gt;=LedFrom,E166&lt;=LedTo,OR(I166=LedAcct,K166=LedAcct,AND(LedAcct=acctTax,M166+N166&lt;&gt;0))),E166*10000+B166,""),"")</f>
        <v/>
      </c>
    </row>
    <row r="167">
      <c r="B167" s="101" t="n">
        <v>161</v>
      </c>
      <c r="C167" s="58" t="inlineStr">
        <is>
          <t>Transaction</t>
        </is>
      </c>
      <c r="D167" s="58">
        <f>IF(H167=1,INDEX(tx_ID,161)&amp;"","")</f>
        <v/>
      </c>
      <c r="E167" s="94">
        <f>IF(H167=1,INDEX(tx_Date,161),"")</f>
        <v/>
      </c>
      <c r="F167" s="58">
        <f>IF(H167=1,INDEX(tx_Desc,161)&amp;"","")</f>
        <v/>
      </c>
      <c r="G167" s="58">
        <f>IF(H167=1,IF(INDEX(tx_Cust,161)&amp;""&lt;&gt;"",INDEX(tx_Cust,161)&amp;"",INDEX(tx_Vend,161)&amp;""),"")</f>
        <v/>
      </c>
      <c r="H167" s="101">
        <f>IFERROR(N(INDEX(tx_Posted,161)),0)</f>
        <v/>
      </c>
      <c r="I167" s="58">
        <f>IF(H167=1,INDEX(tx_DrAcct,161)&amp;"","")</f>
        <v/>
      </c>
      <c r="J167" s="95">
        <f>IF(H167=1,INDEX(tx_DrAmt,161),0)</f>
        <v/>
      </c>
      <c r="K167" s="58">
        <f>IF(H167=1,INDEX(tx_CrAcct,161)&amp;"","")</f>
        <v/>
      </c>
      <c r="L167" s="95">
        <f>IF(H167=1,INDEX(tx_CrAmt,161),0)</f>
        <v/>
      </c>
      <c r="M167" s="95">
        <f>IF(H167=1,INDEX(tx_TaxDr,161),0)</f>
        <v/>
      </c>
      <c r="N167" s="95">
        <f>IF(H167=1,INDEX(tx_TaxCr,161),0)</f>
        <v/>
      </c>
      <c r="O167" s="101">
        <f>IF(H167=1,IF(E167&lt;FYStart,0,IF(E167&gt;FYEnd,13,YEAR(E167)*12+MONTH(E167)-FYYM+1)),"")</f>
        <v/>
      </c>
      <c r="P167" s="101">
        <f>IF(H167=1,IF(IFERROR(INDEX(coa_CF,MATCH(I167,coa_Name,0)),"")="Cash",1,0),0)</f>
        <v/>
      </c>
      <c r="Q167" s="101">
        <f>IF(H167=1,IF(IFERROR(INDEX(coa_CF,MATCH(K167,coa_Name,0)),"")="Cash",1,0),0)</f>
        <v/>
      </c>
      <c r="R167" s="58">
        <f>IF((P167-Q167)=0,"",IFERROR(INDEX(coa_CF,MATCH(IF((P167-Q167)=1,K167,I167),coa_Name,0)),"Operating"))</f>
        <v/>
      </c>
      <c r="S167" s="95">
        <f>IF((P167-Q167)=1,L167,IF((P167-Q167)=-1,-J167,0))</f>
        <v/>
      </c>
      <c r="T167" s="95">
        <f>IF((P167-Q167)=1,N167,IF((P167-Q167)=-1,-M167,0))</f>
        <v/>
      </c>
      <c r="U167" s="101">
        <f>IF(AND(H167=1,LedAcct&lt;&gt;""),IF(AND(E167&gt;=LedFrom,E167&lt;=LedTo,OR(I167=LedAcct,K167=LedAcct,AND(LedAcct=acctTax,M167+N167&lt;&gt;0))),E167*10000+B167,""),"")</f>
        <v/>
      </c>
    </row>
    <row r="168">
      <c r="B168" s="101" t="n">
        <v>162</v>
      </c>
      <c r="C168" s="58" t="inlineStr">
        <is>
          <t>Transaction</t>
        </is>
      </c>
      <c r="D168" s="58">
        <f>IF(H168=1,INDEX(tx_ID,162)&amp;"","")</f>
        <v/>
      </c>
      <c r="E168" s="94">
        <f>IF(H168=1,INDEX(tx_Date,162),"")</f>
        <v/>
      </c>
      <c r="F168" s="58">
        <f>IF(H168=1,INDEX(tx_Desc,162)&amp;"","")</f>
        <v/>
      </c>
      <c r="G168" s="58">
        <f>IF(H168=1,IF(INDEX(tx_Cust,162)&amp;""&lt;&gt;"",INDEX(tx_Cust,162)&amp;"",INDEX(tx_Vend,162)&amp;""),"")</f>
        <v/>
      </c>
      <c r="H168" s="101">
        <f>IFERROR(N(INDEX(tx_Posted,162)),0)</f>
        <v/>
      </c>
      <c r="I168" s="58">
        <f>IF(H168=1,INDEX(tx_DrAcct,162)&amp;"","")</f>
        <v/>
      </c>
      <c r="J168" s="95">
        <f>IF(H168=1,INDEX(tx_DrAmt,162),0)</f>
        <v/>
      </c>
      <c r="K168" s="58">
        <f>IF(H168=1,INDEX(tx_CrAcct,162)&amp;"","")</f>
        <v/>
      </c>
      <c r="L168" s="95">
        <f>IF(H168=1,INDEX(tx_CrAmt,162),0)</f>
        <v/>
      </c>
      <c r="M168" s="95">
        <f>IF(H168=1,INDEX(tx_TaxDr,162),0)</f>
        <v/>
      </c>
      <c r="N168" s="95">
        <f>IF(H168=1,INDEX(tx_TaxCr,162),0)</f>
        <v/>
      </c>
      <c r="O168" s="101">
        <f>IF(H168=1,IF(E168&lt;FYStart,0,IF(E168&gt;FYEnd,13,YEAR(E168)*12+MONTH(E168)-FYYM+1)),"")</f>
        <v/>
      </c>
      <c r="P168" s="101">
        <f>IF(H168=1,IF(IFERROR(INDEX(coa_CF,MATCH(I168,coa_Name,0)),"")="Cash",1,0),0)</f>
        <v/>
      </c>
      <c r="Q168" s="101">
        <f>IF(H168=1,IF(IFERROR(INDEX(coa_CF,MATCH(K168,coa_Name,0)),"")="Cash",1,0),0)</f>
        <v/>
      </c>
      <c r="R168" s="58">
        <f>IF((P168-Q168)=0,"",IFERROR(INDEX(coa_CF,MATCH(IF((P168-Q168)=1,K168,I168),coa_Name,0)),"Operating"))</f>
        <v/>
      </c>
      <c r="S168" s="95">
        <f>IF((P168-Q168)=1,L168,IF((P168-Q168)=-1,-J168,0))</f>
        <v/>
      </c>
      <c r="T168" s="95">
        <f>IF((P168-Q168)=1,N168,IF((P168-Q168)=-1,-M168,0))</f>
        <v/>
      </c>
      <c r="U168" s="101">
        <f>IF(AND(H168=1,LedAcct&lt;&gt;""),IF(AND(E168&gt;=LedFrom,E168&lt;=LedTo,OR(I168=LedAcct,K168=LedAcct,AND(LedAcct=acctTax,M168+N168&lt;&gt;0))),E168*10000+B168,""),"")</f>
        <v/>
      </c>
    </row>
    <row r="169">
      <c r="B169" s="101" t="n">
        <v>163</v>
      </c>
      <c r="C169" s="58" t="inlineStr">
        <is>
          <t>Transaction</t>
        </is>
      </c>
      <c r="D169" s="58">
        <f>IF(H169=1,INDEX(tx_ID,163)&amp;"","")</f>
        <v/>
      </c>
      <c r="E169" s="94">
        <f>IF(H169=1,INDEX(tx_Date,163),"")</f>
        <v/>
      </c>
      <c r="F169" s="58">
        <f>IF(H169=1,INDEX(tx_Desc,163)&amp;"","")</f>
        <v/>
      </c>
      <c r="G169" s="58">
        <f>IF(H169=1,IF(INDEX(tx_Cust,163)&amp;""&lt;&gt;"",INDEX(tx_Cust,163)&amp;"",INDEX(tx_Vend,163)&amp;""),"")</f>
        <v/>
      </c>
      <c r="H169" s="101">
        <f>IFERROR(N(INDEX(tx_Posted,163)),0)</f>
        <v/>
      </c>
      <c r="I169" s="58">
        <f>IF(H169=1,INDEX(tx_DrAcct,163)&amp;"","")</f>
        <v/>
      </c>
      <c r="J169" s="95">
        <f>IF(H169=1,INDEX(tx_DrAmt,163),0)</f>
        <v/>
      </c>
      <c r="K169" s="58">
        <f>IF(H169=1,INDEX(tx_CrAcct,163)&amp;"","")</f>
        <v/>
      </c>
      <c r="L169" s="95">
        <f>IF(H169=1,INDEX(tx_CrAmt,163),0)</f>
        <v/>
      </c>
      <c r="M169" s="95">
        <f>IF(H169=1,INDEX(tx_TaxDr,163),0)</f>
        <v/>
      </c>
      <c r="N169" s="95">
        <f>IF(H169=1,INDEX(tx_TaxCr,163),0)</f>
        <v/>
      </c>
      <c r="O169" s="101">
        <f>IF(H169=1,IF(E169&lt;FYStart,0,IF(E169&gt;FYEnd,13,YEAR(E169)*12+MONTH(E169)-FYYM+1)),"")</f>
        <v/>
      </c>
      <c r="P169" s="101">
        <f>IF(H169=1,IF(IFERROR(INDEX(coa_CF,MATCH(I169,coa_Name,0)),"")="Cash",1,0),0)</f>
        <v/>
      </c>
      <c r="Q169" s="101">
        <f>IF(H169=1,IF(IFERROR(INDEX(coa_CF,MATCH(K169,coa_Name,0)),"")="Cash",1,0),0)</f>
        <v/>
      </c>
      <c r="R169" s="58">
        <f>IF((P169-Q169)=0,"",IFERROR(INDEX(coa_CF,MATCH(IF((P169-Q169)=1,K169,I169),coa_Name,0)),"Operating"))</f>
        <v/>
      </c>
      <c r="S169" s="95">
        <f>IF((P169-Q169)=1,L169,IF((P169-Q169)=-1,-J169,0))</f>
        <v/>
      </c>
      <c r="T169" s="95">
        <f>IF((P169-Q169)=1,N169,IF((P169-Q169)=-1,-M169,0))</f>
        <v/>
      </c>
      <c r="U169" s="101">
        <f>IF(AND(H169=1,LedAcct&lt;&gt;""),IF(AND(E169&gt;=LedFrom,E169&lt;=LedTo,OR(I169=LedAcct,K169=LedAcct,AND(LedAcct=acctTax,M169+N169&lt;&gt;0))),E169*10000+B169,""),"")</f>
        <v/>
      </c>
    </row>
    <row r="170">
      <c r="B170" s="101" t="n">
        <v>164</v>
      </c>
      <c r="C170" s="58" t="inlineStr">
        <is>
          <t>Transaction</t>
        </is>
      </c>
      <c r="D170" s="58">
        <f>IF(H170=1,INDEX(tx_ID,164)&amp;"","")</f>
        <v/>
      </c>
      <c r="E170" s="94">
        <f>IF(H170=1,INDEX(tx_Date,164),"")</f>
        <v/>
      </c>
      <c r="F170" s="58">
        <f>IF(H170=1,INDEX(tx_Desc,164)&amp;"","")</f>
        <v/>
      </c>
      <c r="G170" s="58">
        <f>IF(H170=1,IF(INDEX(tx_Cust,164)&amp;""&lt;&gt;"",INDEX(tx_Cust,164)&amp;"",INDEX(tx_Vend,164)&amp;""),"")</f>
        <v/>
      </c>
      <c r="H170" s="101">
        <f>IFERROR(N(INDEX(tx_Posted,164)),0)</f>
        <v/>
      </c>
      <c r="I170" s="58">
        <f>IF(H170=1,INDEX(tx_DrAcct,164)&amp;"","")</f>
        <v/>
      </c>
      <c r="J170" s="95">
        <f>IF(H170=1,INDEX(tx_DrAmt,164),0)</f>
        <v/>
      </c>
      <c r="K170" s="58">
        <f>IF(H170=1,INDEX(tx_CrAcct,164)&amp;"","")</f>
        <v/>
      </c>
      <c r="L170" s="95">
        <f>IF(H170=1,INDEX(tx_CrAmt,164),0)</f>
        <v/>
      </c>
      <c r="M170" s="95">
        <f>IF(H170=1,INDEX(tx_TaxDr,164),0)</f>
        <v/>
      </c>
      <c r="N170" s="95">
        <f>IF(H170=1,INDEX(tx_TaxCr,164),0)</f>
        <v/>
      </c>
      <c r="O170" s="101">
        <f>IF(H170=1,IF(E170&lt;FYStart,0,IF(E170&gt;FYEnd,13,YEAR(E170)*12+MONTH(E170)-FYYM+1)),"")</f>
        <v/>
      </c>
      <c r="P170" s="101">
        <f>IF(H170=1,IF(IFERROR(INDEX(coa_CF,MATCH(I170,coa_Name,0)),"")="Cash",1,0),0)</f>
        <v/>
      </c>
      <c r="Q170" s="101">
        <f>IF(H170=1,IF(IFERROR(INDEX(coa_CF,MATCH(K170,coa_Name,0)),"")="Cash",1,0),0)</f>
        <v/>
      </c>
      <c r="R170" s="58">
        <f>IF((P170-Q170)=0,"",IFERROR(INDEX(coa_CF,MATCH(IF((P170-Q170)=1,K170,I170),coa_Name,0)),"Operating"))</f>
        <v/>
      </c>
      <c r="S170" s="95">
        <f>IF((P170-Q170)=1,L170,IF((P170-Q170)=-1,-J170,0))</f>
        <v/>
      </c>
      <c r="T170" s="95">
        <f>IF((P170-Q170)=1,N170,IF((P170-Q170)=-1,-M170,0))</f>
        <v/>
      </c>
      <c r="U170" s="101">
        <f>IF(AND(H170=1,LedAcct&lt;&gt;""),IF(AND(E170&gt;=LedFrom,E170&lt;=LedTo,OR(I170=LedAcct,K170=LedAcct,AND(LedAcct=acctTax,M170+N170&lt;&gt;0))),E170*10000+B170,""),"")</f>
        <v/>
      </c>
    </row>
    <row r="171">
      <c r="B171" s="101" t="n">
        <v>165</v>
      </c>
      <c r="C171" s="58" t="inlineStr">
        <is>
          <t>Transaction</t>
        </is>
      </c>
      <c r="D171" s="58">
        <f>IF(H171=1,INDEX(tx_ID,165)&amp;"","")</f>
        <v/>
      </c>
      <c r="E171" s="94">
        <f>IF(H171=1,INDEX(tx_Date,165),"")</f>
        <v/>
      </c>
      <c r="F171" s="58">
        <f>IF(H171=1,INDEX(tx_Desc,165)&amp;"","")</f>
        <v/>
      </c>
      <c r="G171" s="58">
        <f>IF(H171=1,IF(INDEX(tx_Cust,165)&amp;""&lt;&gt;"",INDEX(tx_Cust,165)&amp;"",INDEX(tx_Vend,165)&amp;""),"")</f>
        <v/>
      </c>
      <c r="H171" s="101">
        <f>IFERROR(N(INDEX(tx_Posted,165)),0)</f>
        <v/>
      </c>
      <c r="I171" s="58">
        <f>IF(H171=1,INDEX(tx_DrAcct,165)&amp;"","")</f>
        <v/>
      </c>
      <c r="J171" s="95">
        <f>IF(H171=1,INDEX(tx_DrAmt,165),0)</f>
        <v/>
      </c>
      <c r="K171" s="58">
        <f>IF(H171=1,INDEX(tx_CrAcct,165)&amp;"","")</f>
        <v/>
      </c>
      <c r="L171" s="95">
        <f>IF(H171=1,INDEX(tx_CrAmt,165),0)</f>
        <v/>
      </c>
      <c r="M171" s="95">
        <f>IF(H171=1,INDEX(tx_TaxDr,165),0)</f>
        <v/>
      </c>
      <c r="N171" s="95">
        <f>IF(H171=1,INDEX(tx_TaxCr,165),0)</f>
        <v/>
      </c>
      <c r="O171" s="101">
        <f>IF(H171=1,IF(E171&lt;FYStart,0,IF(E171&gt;FYEnd,13,YEAR(E171)*12+MONTH(E171)-FYYM+1)),"")</f>
        <v/>
      </c>
      <c r="P171" s="101">
        <f>IF(H171=1,IF(IFERROR(INDEX(coa_CF,MATCH(I171,coa_Name,0)),"")="Cash",1,0),0)</f>
        <v/>
      </c>
      <c r="Q171" s="101">
        <f>IF(H171=1,IF(IFERROR(INDEX(coa_CF,MATCH(K171,coa_Name,0)),"")="Cash",1,0),0)</f>
        <v/>
      </c>
      <c r="R171" s="58">
        <f>IF((P171-Q171)=0,"",IFERROR(INDEX(coa_CF,MATCH(IF((P171-Q171)=1,K171,I171),coa_Name,0)),"Operating"))</f>
        <v/>
      </c>
      <c r="S171" s="95">
        <f>IF((P171-Q171)=1,L171,IF((P171-Q171)=-1,-J171,0))</f>
        <v/>
      </c>
      <c r="T171" s="95">
        <f>IF((P171-Q171)=1,N171,IF((P171-Q171)=-1,-M171,0))</f>
        <v/>
      </c>
      <c r="U171" s="101">
        <f>IF(AND(H171=1,LedAcct&lt;&gt;""),IF(AND(E171&gt;=LedFrom,E171&lt;=LedTo,OR(I171=LedAcct,K171=LedAcct,AND(LedAcct=acctTax,M171+N171&lt;&gt;0))),E171*10000+B171,""),"")</f>
        <v/>
      </c>
    </row>
    <row r="172">
      <c r="B172" s="101" t="n">
        <v>166</v>
      </c>
      <c r="C172" s="58" t="inlineStr">
        <is>
          <t>Transaction</t>
        </is>
      </c>
      <c r="D172" s="58">
        <f>IF(H172=1,INDEX(tx_ID,166)&amp;"","")</f>
        <v/>
      </c>
      <c r="E172" s="94">
        <f>IF(H172=1,INDEX(tx_Date,166),"")</f>
        <v/>
      </c>
      <c r="F172" s="58">
        <f>IF(H172=1,INDEX(tx_Desc,166)&amp;"","")</f>
        <v/>
      </c>
      <c r="G172" s="58">
        <f>IF(H172=1,IF(INDEX(tx_Cust,166)&amp;""&lt;&gt;"",INDEX(tx_Cust,166)&amp;"",INDEX(tx_Vend,166)&amp;""),"")</f>
        <v/>
      </c>
      <c r="H172" s="101">
        <f>IFERROR(N(INDEX(tx_Posted,166)),0)</f>
        <v/>
      </c>
      <c r="I172" s="58">
        <f>IF(H172=1,INDEX(tx_DrAcct,166)&amp;"","")</f>
        <v/>
      </c>
      <c r="J172" s="95">
        <f>IF(H172=1,INDEX(tx_DrAmt,166),0)</f>
        <v/>
      </c>
      <c r="K172" s="58">
        <f>IF(H172=1,INDEX(tx_CrAcct,166)&amp;"","")</f>
        <v/>
      </c>
      <c r="L172" s="95">
        <f>IF(H172=1,INDEX(tx_CrAmt,166),0)</f>
        <v/>
      </c>
      <c r="M172" s="95">
        <f>IF(H172=1,INDEX(tx_TaxDr,166),0)</f>
        <v/>
      </c>
      <c r="N172" s="95">
        <f>IF(H172=1,INDEX(tx_TaxCr,166),0)</f>
        <v/>
      </c>
      <c r="O172" s="101">
        <f>IF(H172=1,IF(E172&lt;FYStart,0,IF(E172&gt;FYEnd,13,YEAR(E172)*12+MONTH(E172)-FYYM+1)),"")</f>
        <v/>
      </c>
      <c r="P172" s="101">
        <f>IF(H172=1,IF(IFERROR(INDEX(coa_CF,MATCH(I172,coa_Name,0)),"")="Cash",1,0),0)</f>
        <v/>
      </c>
      <c r="Q172" s="101">
        <f>IF(H172=1,IF(IFERROR(INDEX(coa_CF,MATCH(K172,coa_Name,0)),"")="Cash",1,0),0)</f>
        <v/>
      </c>
      <c r="R172" s="58">
        <f>IF((P172-Q172)=0,"",IFERROR(INDEX(coa_CF,MATCH(IF((P172-Q172)=1,K172,I172),coa_Name,0)),"Operating"))</f>
        <v/>
      </c>
      <c r="S172" s="95">
        <f>IF((P172-Q172)=1,L172,IF((P172-Q172)=-1,-J172,0))</f>
        <v/>
      </c>
      <c r="T172" s="95">
        <f>IF((P172-Q172)=1,N172,IF((P172-Q172)=-1,-M172,0))</f>
        <v/>
      </c>
      <c r="U172" s="101">
        <f>IF(AND(H172=1,LedAcct&lt;&gt;""),IF(AND(E172&gt;=LedFrom,E172&lt;=LedTo,OR(I172=LedAcct,K172=LedAcct,AND(LedAcct=acctTax,M172+N172&lt;&gt;0))),E172*10000+B172,""),"")</f>
        <v/>
      </c>
    </row>
    <row r="173">
      <c r="B173" s="101" t="n">
        <v>167</v>
      </c>
      <c r="C173" s="58" t="inlineStr">
        <is>
          <t>Transaction</t>
        </is>
      </c>
      <c r="D173" s="58">
        <f>IF(H173=1,INDEX(tx_ID,167)&amp;"","")</f>
        <v/>
      </c>
      <c r="E173" s="94">
        <f>IF(H173=1,INDEX(tx_Date,167),"")</f>
        <v/>
      </c>
      <c r="F173" s="58">
        <f>IF(H173=1,INDEX(tx_Desc,167)&amp;"","")</f>
        <v/>
      </c>
      <c r="G173" s="58">
        <f>IF(H173=1,IF(INDEX(tx_Cust,167)&amp;""&lt;&gt;"",INDEX(tx_Cust,167)&amp;"",INDEX(tx_Vend,167)&amp;""),"")</f>
        <v/>
      </c>
      <c r="H173" s="101">
        <f>IFERROR(N(INDEX(tx_Posted,167)),0)</f>
        <v/>
      </c>
      <c r="I173" s="58">
        <f>IF(H173=1,INDEX(tx_DrAcct,167)&amp;"","")</f>
        <v/>
      </c>
      <c r="J173" s="95">
        <f>IF(H173=1,INDEX(tx_DrAmt,167),0)</f>
        <v/>
      </c>
      <c r="K173" s="58">
        <f>IF(H173=1,INDEX(tx_CrAcct,167)&amp;"","")</f>
        <v/>
      </c>
      <c r="L173" s="95">
        <f>IF(H173=1,INDEX(tx_CrAmt,167),0)</f>
        <v/>
      </c>
      <c r="M173" s="95">
        <f>IF(H173=1,INDEX(tx_TaxDr,167),0)</f>
        <v/>
      </c>
      <c r="N173" s="95">
        <f>IF(H173=1,INDEX(tx_TaxCr,167),0)</f>
        <v/>
      </c>
      <c r="O173" s="101">
        <f>IF(H173=1,IF(E173&lt;FYStart,0,IF(E173&gt;FYEnd,13,YEAR(E173)*12+MONTH(E173)-FYYM+1)),"")</f>
        <v/>
      </c>
      <c r="P173" s="101">
        <f>IF(H173=1,IF(IFERROR(INDEX(coa_CF,MATCH(I173,coa_Name,0)),"")="Cash",1,0),0)</f>
        <v/>
      </c>
      <c r="Q173" s="101">
        <f>IF(H173=1,IF(IFERROR(INDEX(coa_CF,MATCH(K173,coa_Name,0)),"")="Cash",1,0),0)</f>
        <v/>
      </c>
      <c r="R173" s="58">
        <f>IF((P173-Q173)=0,"",IFERROR(INDEX(coa_CF,MATCH(IF((P173-Q173)=1,K173,I173),coa_Name,0)),"Operating"))</f>
        <v/>
      </c>
      <c r="S173" s="95">
        <f>IF((P173-Q173)=1,L173,IF((P173-Q173)=-1,-J173,0))</f>
        <v/>
      </c>
      <c r="T173" s="95">
        <f>IF((P173-Q173)=1,N173,IF((P173-Q173)=-1,-M173,0))</f>
        <v/>
      </c>
      <c r="U173" s="101">
        <f>IF(AND(H173=1,LedAcct&lt;&gt;""),IF(AND(E173&gt;=LedFrom,E173&lt;=LedTo,OR(I173=LedAcct,K173=LedAcct,AND(LedAcct=acctTax,M173+N173&lt;&gt;0))),E173*10000+B173,""),"")</f>
        <v/>
      </c>
    </row>
    <row r="174">
      <c r="B174" s="101" t="n">
        <v>168</v>
      </c>
      <c r="C174" s="58" t="inlineStr">
        <is>
          <t>Transaction</t>
        </is>
      </c>
      <c r="D174" s="58">
        <f>IF(H174=1,INDEX(tx_ID,168)&amp;"","")</f>
        <v/>
      </c>
      <c r="E174" s="94">
        <f>IF(H174=1,INDEX(tx_Date,168),"")</f>
        <v/>
      </c>
      <c r="F174" s="58">
        <f>IF(H174=1,INDEX(tx_Desc,168)&amp;"","")</f>
        <v/>
      </c>
      <c r="G174" s="58">
        <f>IF(H174=1,IF(INDEX(tx_Cust,168)&amp;""&lt;&gt;"",INDEX(tx_Cust,168)&amp;"",INDEX(tx_Vend,168)&amp;""),"")</f>
        <v/>
      </c>
      <c r="H174" s="101">
        <f>IFERROR(N(INDEX(tx_Posted,168)),0)</f>
        <v/>
      </c>
      <c r="I174" s="58">
        <f>IF(H174=1,INDEX(tx_DrAcct,168)&amp;"","")</f>
        <v/>
      </c>
      <c r="J174" s="95">
        <f>IF(H174=1,INDEX(tx_DrAmt,168),0)</f>
        <v/>
      </c>
      <c r="K174" s="58">
        <f>IF(H174=1,INDEX(tx_CrAcct,168)&amp;"","")</f>
        <v/>
      </c>
      <c r="L174" s="95">
        <f>IF(H174=1,INDEX(tx_CrAmt,168),0)</f>
        <v/>
      </c>
      <c r="M174" s="95">
        <f>IF(H174=1,INDEX(tx_TaxDr,168),0)</f>
        <v/>
      </c>
      <c r="N174" s="95">
        <f>IF(H174=1,INDEX(tx_TaxCr,168),0)</f>
        <v/>
      </c>
      <c r="O174" s="101">
        <f>IF(H174=1,IF(E174&lt;FYStart,0,IF(E174&gt;FYEnd,13,YEAR(E174)*12+MONTH(E174)-FYYM+1)),"")</f>
        <v/>
      </c>
      <c r="P174" s="101">
        <f>IF(H174=1,IF(IFERROR(INDEX(coa_CF,MATCH(I174,coa_Name,0)),"")="Cash",1,0),0)</f>
        <v/>
      </c>
      <c r="Q174" s="101">
        <f>IF(H174=1,IF(IFERROR(INDEX(coa_CF,MATCH(K174,coa_Name,0)),"")="Cash",1,0),0)</f>
        <v/>
      </c>
      <c r="R174" s="58">
        <f>IF((P174-Q174)=0,"",IFERROR(INDEX(coa_CF,MATCH(IF((P174-Q174)=1,K174,I174),coa_Name,0)),"Operating"))</f>
        <v/>
      </c>
      <c r="S174" s="95">
        <f>IF((P174-Q174)=1,L174,IF((P174-Q174)=-1,-J174,0))</f>
        <v/>
      </c>
      <c r="T174" s="95">
        <f>IF((P174-Q174)=1,N174,IF((P174-Q174)=-1,-M174,0))</f>
        <v/>
      </c>
      <c r="U174" s="101">
        <f>IF(AND(H174=1,LedAcct&lt;&gt;""),IF(AND(E174&gt;=LedFrom,E174&lt;=LedTo,OR(I174=LedAcct,K174=LedAcct,AND(LedAcct=acctTax,M174+N174&lt;&gt;0))),E174*10000+B174,""),"")</f>
        <v/>
      </c>
    </row>
    <row r="175">
      <c r="B175" s="101" t="n">
        <v>169</v>
      </c>
      <c r="C175" s="58" t="inlineStr">
        <is>
          <t>Transaction</t>
        </is>
      </c>
      <c r="D175" s="58">
        <f>IF(H175=1,INDEX(tx_ID,169)&amp;"","")</f>
        <v/>
      </c>
      <c r="E175" s="94">
        <f>IF(H175=1,INDEX(tx_Date,169),"")</f>
        <v/>
      </c>
      <c r="F175" s="58">
        <f>IF(H175=1,INDEX(tx_Desc,169)&amp;"","")</f>
        <v/>
      </c>
      <c r="G175" s="58">
        <f>IF(H175=1,IF(INDEX(tx_Cust,169)&amp;""&lt;&gt;"",INDEX(tx_Cust,169)&amp;"",INDEX(tx_Vend,169)&amp;""),"")</f>
        <v/>
      </c>
      <c r="H175" s="101">
        <f>IFERROR(N(INDEX(tx_Posted,169)),0)</f>
        <v/>
      </c>
      <c r="I175" s="58">
        <f>IF(H175=1,INDEX(tx_DrAcct,169)&amp;"","")</f>
        <v/>
      </c>
      <c r="J175" s="95">
        <f>IF(H175=1,INDEX(tx_DrAmt,169),0)</f>
        <v/>
      </c>
      <c r="K175" s="58">
        <f>IF(H175=1,INDEX(tx_CrAcct,169)&amp;"","")</f>
        <v/>
      </c>
      <c r="L175" s="95">
        <f>IF(H175=1,INDEX(tx_CrAmt,169),0)</f>
        <v/>
      </c>
      <c r="M175" s="95">
        <f>IF(H175=1,INDEX(tx_TaxDr,169),0)</f>
        <v/>
      </c>
      <c r="N175" s="95">
        <f>IF(H175=1,INDEX(tx_TaxCr,169),0)</f>
        <v/>
      </c>
      <c r="O175" s="101">
        <f>IF(H175=1,IF(E175&lt;FYStart,0,IF(E175&gt;FYEnd,13,YEAR(E175)*12+MONTH(E175)-FYYM+1)),"")</f>
        <v/>
      </c>
      <c r="P175" s="101">
        <f>IF(H175=1,IF(IFERROR(INDEX(coa_CF,MATCH(I175,coa_Name,0)),"")="Cash",1,0),0)</f>
        <v/>
      </c>
      <c r="Q175" s="101">
        <f>IF(H175=1,IF(IFERROR(INDEX(coa_CF,MATCH(K175,coa_Name,0)),"")="Cash",1,0),0)</f>
        <v/>
      </c>
      <c r="R175" s="58">
        <f>IF((P175-Q175)=0,"",IFERROR(INDEX(coa_CF,MATCH(IF((P175-Q175)=1,K175,I175),coa_Name,0)),"Operating"))</f>
        <v/>
      </c>
      <c r="S175" s="95">
        <f>IF((P175-Q175)=1,L175,IF((P175-Q175)=-1,-J175,0))</f>
        <v/>
      </c>
      <c r="T175" s="95">
        <f>IF((P175-Q175)=1,N175,IF((P175-Q175)=-1,-M175,0))</f>
        <v/>
      </c>
      <c r="U175" s="101">
        <f>IF(AND(H175=1,LedAcct&lt;&gt;""),IF(AND(E175&gt;=LedFrom,E175&lt;=LedTo,OR(I175=LedAcct,K175=LedAcct,AND(LedAcct=acctTax,M175+N175&lt;&gt;0))),E175*10000+B175,""),"")</f>
        <v/>
      </c>
    </row>
    <row r="176">
      <c r="B176" s="101" t="n">
        <v>170</v>
      </c>
      <c r="C176" s="58" t="inlineStr">
        <is>
          <t>Transaction</t>
        </is>
      </c>
      <c r="D176" s="58">
        <f>IF(H176=1,INDEX(tx_ID,170)&amp;"","")</f>
        <v/>
      </c>
      <c r="E176" s="94">
        <f>IF(H176=1,INDEX(tx_Date,170),"")</f>
        <v/>
      </c>
      <c r="F176" s="58">
        <f>IF(H176=1,INDEX(tx_Desc,170)&amp;"","")</f>
        <v/>
      </c>
      <c r="G176" s="58">
        <f>IF(H176=1,IF(INDEX(tx_Cust,170)&amp;""&lt;&gt;"",INDEX(tx_Cust,170)&amp;"",INDEX(tx_Vend,170)&amp;""),"")</f>
        <v/>
      </c>
      <c r="H176" s="101">
        <f>IFERROR(N(INDEX(tx_Posted,170)),0)</f>
        <v/>
      </c>
      <c r="I176" s="58">
        <f>IF(H176=1,INDEX(tx_DrAcct,170)&amp;"","")</f>
        <v/>
      </c>
      <c r="J176" s="95">
        <f>IF(H176=1,INDEX(tx_DrAmt,170),0)</f>
        <v/>
      </c>
      <c r="K176" s="58">
        <f>IF(H176=1,INDEX(tx_CrAcct,170)&amp;"","")</f>
        <v/>
      </c>
      <c r="L176" s="95">
        <f>IF(H176=1,INDEX(tx_CrAmt,170),0)</f>
        <v/>
      </c>
      <c r="M176" s="95">
        <f>IF(H176=1,INDEX(tx_TaxDr,170),0)</f>
        <v/>
      </c>
      <c r="N176" s="95">
        <f>IF(H176=1,INDEX(tx_TaxCr,170),0)</f>
        <v/>
      </c>
      <c r="O176" s="101">
        <f>IF(H176=1,IF(E176&lt;FYStart,0,IF(E176&gt;FYEnd,13,YEAR(E176)*12+MONTH(E176)-FYYM+1)),"")</f>
        <v/>
      </c>
      <c r="P176" s="101">
        <f>IF(H176=1,IF(IFERROR(INDEX(coa_CF,MATCH(I176,coa_Name,0)),"")="Cash",1,0),0)</f>
        <v/>
      </c>
      <c r="Q176" s="101">
        <f>IF(H176=1,IF(IFERROR(INDEX(coa_CF,MATCH(K176,coa_Name,0)),"")="Cash",1,0),0)</f>
        <v/>
      </c>
      <c r="R176" s="58">
        <f>IF((P176-Q176)=0,"",IFERROR(INDEX(coa_CF,MATCH(IF((P176-Q176)=1,K176,I176),coa_Name,0)),"Operating"))</f>
        <v/>
      </c>
      <c r="S176" s="95">
        <f>IF((P176-Q176)=1,L176,IF((P176-Q176)=-1,-J176,0))</f>
        <v/>
      </c>
      <c r="T176" s="95">
        <f>IF((P176-Q176)=1,N176,IF((P176-Q176)=-1,-M176,0))</f>
        <v/>
      </c>
      <c r="U176" s="101">
        <f>IF(AND(H176=1,LedAcct&lt;&gt;""),IF(AND(E176&gt;=LedFrom,E176&lt;=LedTo,OR(I176=LedAcct,K176=LedAcct,AND(LedAcct=acctTax,M176+N176&lt;&gt;0))),E176*10000+B176,""),"")</f>
        <v/>
      </c>
    </row>
    <row r="177">
      <c r="B177" s="101" t="n">
        <v>171</v>
      </c>
      <c r="C177" s="58" t="inlineStr">
        <is>
          <t>Transaction</t>
        </is>
      </c>
      <c r="D177" s="58">
        <f>IF(H177=1,INDEX(tx_ID,171)&amp;"","")</f>
        <v/>
      </c>
      <c r="E177" s="94">
        <f>IF(H177=1,INDEX(tx_Date,171),"")</f>
        <v/>
      </c>
      <c r="F177" s="58">
        <f>IF(H177=1,INDEX(tx_Desc,171)&amp;"","")</f>
        <v/>
      </c>
      <c r="G177" s="58">
        <f>IF(H177=1,IF(INDEX(tx_Cust,171)&amp;""&lt;&gt;"",INDEX(tx_Cust,171)&amp;"",INDEX(tx_Vend,171)&amp;""),"")</f>
        <v/>
      </c>
      <c r="H177" s="101">
        <f>IFERROR(N(INDEX(tx_Posted,171)),0)</f>
        <v/>
      </c>
      <c r="I177" s="58">
        <f>IF(H177=1,INDEX(tx_DrAcct,171)&amp;"","")</f>
        <v/>
      </c>
      <c r="J177" s="95">
        <f>IF(H177=1,INDEX(tx_DrAmt,171),0)</f>
        <v/>
      </c>
      <c r="K177" s="58">
        <f>IF(H177=1,INDEX(tx_CrAcct,171)&amp;"","")</f>
        <v/>
      </c>
      <c r="L177" s="95">
        <f>IF(H177=1,INDEX(tx_CrAmt,171),0)</f>
        <v/>
      </c>
      <c r="M177" s="95">
        <f>IF(H177=1,INDEX(tx_TaxDr,171),0)</f>
        <v/>
      </c>
      <c r="N177" s="95">
        <f>IF(H177=1,INDEX(tx_TaxCr,171),0)</f>
        <v/>
      </c>
      <c r="O177" s="101">
        <f>IF(H177=1,IF(E177&lt;FYStart,0,IF(E177&gt;FYEnd,13,YEAR(E177)*12+MONTH(E177)-FYYM+1)),"")</f>
        <v/>
      </c>
      <c r="P177" s="101">
        <f>IF(H177=1,IF(IFERROR(INDEX(coa_CF,MATCH(I177,coa_Name,0)),"")="Cash",1,0),0)</f>
        <v/>
      </c>
      <c r="Q177" s="101">
        <f>IF(H177=1,IF(IFERROR(INDEX(coa_CF,MATCH(K177,coa_Name,0)),"")="Cash",1,0),0)</f>
        <v/>
      </c>
      <c r="R177" s="58">
        <f>IF((P177-Q177)=0,"",IFERROR(INDEX(coa_CF,MATCH(IF((P177-Q177)=1,K177,I177),coa_Name,0)),"Operating"))</f>
        <v/>
      </c>
      <c r="S177" s="95">
        <f>IF((P177-Q177)=1,L177,IF((P177-Q177)=-1,-J177,0))</f>
        <v/>
      </c>
      <c r="T177" s="95">
        <f>IF((P177-Q177)=1,N177,IF((P177-Q177)=-1,-M177,0))</f>
        <v/>
      </c>
      <c r="U177" s="101">
        <f>IF(AND(H177=1,LedAcct&lt;&gt;""),IF(AND(E177&gt;=LedFrom,E177&lt;=LedTo,OR(I177=LedAcct,K177=LedAcct,AND(LedAcct=acctTax,M177+N177&lt;&gt;0))),E177*10000+B177,""),"")</f>
        <v/>
      </c>
    </row>
    <row r="178">
      <c r="B178" s="101" t="n">
        <v>172</v>
      </c>
      <c r="C178" s="58" t="inlineStr">
        <is>
          <t>Transaction</t>
        </is>
      </c>
      <c r="D178" s="58">
        <f>IF(H178=1,INDEX(tx_ID,172)&amp;"","")</f>
        <v/>
      </c>
      <c r="E178" s="94">
        <f>IF(H178=1,INDEX(tx_Date,172),"")</f>
        <v/>
      </c>
      <c r="F178" s="58">
        <f>IF(H178=1,INDEX(tx_Desc,172)&amp;"","")</f>
        <v/>
      </c>
      <c r="G178" s="58">
        <f>IF(H178=1,IF(INDEX(tx_Cust,172)&amp;""&lt;&gt;"",INDEX(tx_Cust,172)&amp;"",INDEX(tx_Vend,172)&amp;""),"")</f>
        <v/>
      </c>
      <c r="H178" s="101">
        <f>IFERROR(N(INDEX(tx_Posted,172)),0)</f>
        <v/>
      </c>
      <c r="I178" s="58">
        <f>IF(H178=1,INDEX(tx_DrAcct,172)&amp;"","")</f>
        <v/>
      </c>
      <c r="J178" s="95">
        <f>IF(H178=1,INDEX(tx_DrAmt,172),0)</f>
        <v/>
      </c>
      <c r="K178" s="58">
        <f>IF(H178=1,INDEX(tx_CrAcct,172)&amp;"","")</f>
        <v/>
      </c>
      <c r="L178" s="95">
        <f>IF(H178=1,INDEX(tx_CrAmt,172),0)</f>
        <v/>
      </c>
      <c r="M178" s="95">
        <f>IF(H178=1,INDEX(tx_TaxDr,172),0)</f>
        <v/>
      </c>
      <c r="N178" s="95">
        <f>IF(H178=1,INDEX(tx_TaxCr,172),0)</f>
        <v/>
      </c>
      <c r="O178" s="101">
        <f>IF(H178=1,IF(E178&lt;FYStart,0,IF(E178&gt;FYEnd,13,YEAR(E178)*12+MONTH(E178)-FYYM+1)),"")</f>
        <v/>
      </c>
      <c r="P178" s="101">
        <f>IF(H178=1,IF(IFERROR(INDEX(coa_CF,MATCH(I178,coa_Name,0)),"")="Cash",1,0),0)</f>
        <v/>
      </c>
      <c r="Q178" s="101">
        <f>IF(H178=1,IF(IFERROR(INDEX(coa_CF,MATCH(K178,coa_Name,0)),"")="Cash",1,0),0)</f>
        <v/>
      </c>
      <c r="R178" s="58">
        <f>IF((P178-Q178)=0,"",IFERROR(INDEX(coa_CF,MATCH(IF((P178-Q178)=1,K178,I178),coa_Name,0)),"Operating"))</f>
        <v/>
      </c>
      <c r="S178" s="95">
        <f>IF((P178-Q178)=1,L178,IF((P178-Q178)=-1,-J178,0))</f>
        <v/>
      </c>
      <c r="T178" s="95">
        <f>IF((P178-Q178)=1,N178,IF((P178-Q178)=-1,-M178,0))</f>
        <v/>
      </c>
      <c r="U178" s="101">
        <f>IF(AND(H178=1,LedAcct&lt;&gt;""),IF(AND(E178&gt;=LedFrom,E178&lt;=LedTo,OR(I178=LedAcct,K178=LedAcct,AND(LedAcct=acctTax,M178+N178&lt;&gt;0))),E178*10000+B178,""),"")</f>
        <v/>
      </c>
    </row>
    <row r="179">
      <c r="B179" s="101" t="n">
        <v>173</v>
      </c>
      <c r="C179" s="58" t="inlineStr">
        <is>
          <t>Transaction</t>
        </is>
      </c>
      <c r="D179" s="58">
        <f>IF(H179=1,INDEX(tx_ID,173)&amp;"","")</f>
        <v/>
      </c>
      <c r="E179" s="94">
        <f>IF(H179=1,INDEX(tx_Date,173),"")</f>
        <v/>
      </c>
      <c r="F179" s="58">
        <f>IF(H179=1,INDEX(tx_Desc,173)&amp;"","")</f>
        <v/>
      </c>
      <c r="G179" s="58">
        <f>IF(H179=1,IF(INDEX(tx_Cust,173)&amp;""&lt;&gt;"",INDEX(tx_Cust,173)&amp;"",INDEX(tx_Vend,173)&amp;""),"")</f>
        <v/>
      </c>
      <c r="H179" s="101">
        <f>IFERROR(N(INDEX(tx_Posted,173)),0)</f>
        <v/>
      </c>
      <c r="I179" s="58">
        <f>IF(H179=1,INDEX(tx_DrAcct,173)&amp;"","")</f>
        <v/>
      </c>
      <c r="J179" s="95">
        <f>IF(H179=1,INDEX(tx_DrAmt,173),0)</f>
        <v/>
      </c>
      <c r="K179" s="58">
        <f>IF(H179=1,INDEX(tx_CrAcct,173)&amp;"","")</f>
        <v/>
      </c>
      <c r="L179" s="95">
        <f>IF(H179=1,INDEX(tx_CrAmt,173),0)</f>
        <v/>
      </c>
      <c r="M179" s="95">
        <f>IF(H179=1,INDEX(tx_TaxDr,173),0)</f>
        <v/>
      </c>
      <c r="N179" s="95">
        <f>IF(H179=1,INDEX(tx_TaxCr,173),0)</f>
        <v/>
      </c>
      <c r="O179" s="101">
        <f>IF(H179=1,IF(E179&lt;FYStart,0,IF(E179&gt;FYEnd,13,YEAR(E179)*12+MONTH(E179)-FYYM+1)),"")</f>
        <v/>
      </c>
      <c r="P179" s="101">
        <f>IF(H179=1,IF(IFERROR(INDEX(coa_CF,MATCH(I179,coa_Name,0)),"")="Cash",1,0),0)</f>
        <v/>
      </c>
      <c r="Q179" s="101">
        <f>IF(H179=1,IF(IFERROR(INDEX(coa_CF,MATCH(K179,coa_Name,0)),"")="Cash",1,0),0)</f>
        <v/>
      </c>
      <c r="R179" s="58">
        <f>IF((P179-Q179)=0,"",IFERROR(INDEX(coa_CF,MATCH(IF((P179-Q179)=1,K179,I179),coa_Name,0)),"Operating"))</f>
        <v/>
      </c>
      <c r="S179" s="95">
        <f>IF((P179-Q179)=1,L179,IF((P179-Q179)=-1,-J179,0))</f>
        <v/>
      </c>
      <c r="T179" s="95">
        <f>IF((P179-Q179)=1,N179,IF((P179-Q179)=-1,-M179,0))</f>
        <v/>
      </c>
      <c r="U179" s="101">
        <f>IF(AND(H179=1,LedAcct&lt;&gt;""),IF(AND(E179&gt;=LedFrom,E179&lt;=LedTo,OR(I179=LedAcct,K179=LedAcct,AND(LedAcct=acctTax,M179+N179&lt;&gt;0))),E179*10000+B179,""),"")</f>
        <v/>
      </c>
    </row>
    <row r="180">
      <c r="B180" s="101" t="n">
        <v>174</v>
      </c>
      <c r="C180" s="58" t="inlineStr">
        <is>
          <t>Transaction</t>
        </is>
      </c>
      <c r="D180" s="58">
        <f>IF(H180=1,INDEX(tx_ID,174)&amp;"","")</f>
        <v/>
      </c>
      <c r="E180" s="94">
        <f>IF(H180=1,INDEX(tx_Date,174),"")</f>
        <v/>
      </c>
      <c r="F180" s="58">
        <f>IF(H180=1,INDEX(tx_Desc,174)&amp;"","")</f>
        <v/>
      </c>
      <c r="G180" s="58">
        <f>IF(H180=1,IF(INDEX(tx_Cust,174)&amp;""&lt;&gt;"",INDEX(tx_Cust,174)&amp;"",INDEX(tx_Vend,174)&amp;""),"")</f>
        <v/>
      </c>
      <c r="H180" s="101">
        <f>IFERROR(N(INDEX(tx_Posted,174)),0)</f>
        <v/>
      </c>
      <c r="I180" s="58">
        <f>IF(H180=1,INDEX(tx_DrAcct,174)&amp;"","")</f>
        <v/>
      </c>
      <c r="J180" s="95">
        <f>IF(H180=1,INDEX(tx_DrAmt,174),0)</f>
        <v/>
      </c>
      <c r="K180" s="58">
        <f>IF(H180=1,INDEX(tx_CrAcct,174)&amp;"","")</f>
        <v/>
      </c>
      <c r="L180" s="95">
        <f>IF(H180=1,INDEX(tx_CrAmt,174),0)</f>
        <v/>
      </c>
      <c r="M180" s="95">
        <f>IF(H180=1,INDEX(tx_TaxDr,174),0)</f>
        <v/>
      </c>
      <c r="N180" s="95">
        <f>IF(H180=1,INDEX(tx_TaxCr,174),0)</f>
        <v/>
      </c>
      <c r="O180" s="101">
        <f>IF(H180=1,IF(E180&lt;FYStart,0,IF(E180&gt;FYEnd,13,YEAR(E180)*12+MONTH(E180)-FYYM+1)),"")</f>
        <v/>
      </c>
      <c r="P180" s="101">
        <f>IF(H180=1,IF(IFERROR(INDEX(coa_CF,MATCH(I180,coa_Name,0)),"")="Cash",1,0),0)</f>
        <v/>
      </c>
      <c r="Q180" s="101">
        <f>IF(H180=1,IF(IFERROR(INDEX(coa_CF,MATCH(K180,coa_Name,0)),"")="Cash",1,0),0)</f>
        <v/>
      </c>
      <c r="R180" s="58">
        <f>IF((P180-Q180)=0,"",IFERROR(INDEX(coa_CF,MATCH(IF((P180-Q180)=1,K180,I180),coa_Name,0)),"Operating"))</f>
        <v/>
      </c>
      <c r="S180" s="95">
        <f>IF((P180-Q180)=1,L180,IF((P180-Q180)=-1,-J180,0))</f>
        <v/>
      </c>
      <c r="T180" s="95">
        <f>IF((P180-Q180)=1,N180,IF((P180-Q180)=-1,-M180,0))</f>
        <v/>
      </c>
      <c r="U180" s="101">
        <f>IF(AND(H180=1,LedAcct&lt;&gt;""),IF(AND(E180&gt;=LedFrom,E180&lt;=LedTo,OR(I180=LedAcct,K180=LedAcct,AND(LedAcct=acctTax,M180+N180&lt;&gt;0))),E180*10000+B180,""),"")</f>
        <v/>
      </c>
    </row>
    <row r="181">
      <c r="B181" s="101" t="n">
        <v>175</v>
      </c>
      <c r="C181" s="58" t="inlineStr">
        <is>
          <t>Transaction</t>
        </is>
      </c>
      <c r="D181" s="58">
        <f>IF(H181=1,INDEX(tx_ID,175)&amp;"","")</f>
        <v/>
      </c>
      <c r="E181" s="94">
        <f>IF(H181=1,INDEX(tx_Date,175),"")</f>
        <v/>
      </c>
      <c r="F181" s="58">
        <f>IF(H181=1,INDEX(tx_Desc,175)&amp;"","")</f>
        <v/>
      </c>
      <c r="G181" s="58">
        <f>IF(H181=1,IF(INDEX(tx_Cust,175)&amp;""&lt;&gt;"",INDEX(tx_Cust,175)&amp;"",INDEX(tx_Vend,175)&amp;""),"")</f>
        <v/>
      </c>
      <c r="H181" s="101">
        <f>IFERROR(N(INDEX(tx_Posted,175)),0)</f>
        <v/>
      </c>
      <c r="I181" s="58">
        <f>IF(H181=1,INDEX(tx_DrAcct,175)&amp;"","")</f>
        <v/>
      </c>
      <c r="J181" s="95">
        <f>IF(H181=1,INDEX(tx_DrAmt,175),0)</f>
        <v/>
      </c>
      <c r="K181" s="58">
        <f>IF(H181=1,INDEX(tx_CrAcct,175)&amp;"","")</f>
        <v/>
      </c>
      <c r="L181" s="95">
        <f>IF(H181=1,INDEX(tx_CrAmt,175),0)</f>
        <v/>
      </c>
      <c r="M181" s="95">
        <f>IF(H181=1,INDEX(tx_TaxDr,175),0)</f>
        <v/>
      </c>
      <c r="N181" s="95">
        <f>IF(H181=1,INDEX(tx_TaxCr,175),0)</f>
        <v/>
      </c>
      <c r="O181" s="101">
        <f>IF(H181=1,IF(E181&lt;FYStart,0,IF(E181&gt;FYEnd,13,YEAR(E181)*12+MONTH(E181)-FYYM+1)),"")</f>
        <v/>
      </c>
      <c r="P181" s="101">
        <f>IF(H181=1,IF(IFERROR(INDEX(coa_CF,MATCH(I181,coa_Name,0)),"")="Cash",1,0),0)</f>
        <v/>
      </c>
      <c r="Q181" s="101">
        <f>IF(H181=1,IF(IFERROR(INDEX(coa_CF,MATCH(K181,coa_Name,0)),"")="Cash",1,0),0)</f>
        <v/>
      </c>
      <c r="R181" s="58">
        <f>IF((P181-Q181)=0,"",IFERROR(INDEX(coa_CF,MATCH(IF((P181-Q181)=1,K181,I181),coa_Name,0)),"Operating"))</f>
        <v/>
      </c>
      <c r="S181" s="95">
        <f>IF((P181-Q181)=1,L181,IF((P181-Q181)=-1,-J181,0))</f>
        <v/>
      </c>
      <c r="T181" s="95">
        <f>IF((P181-Q181)=1,N181,IF((P181-Q181)=-1,-M181,0))</f>
        <v/>
      </c>
      <c r="U181" s="101">
        <f>IF(AND(H181=1,LedAcct&lt;&gt;""),IF(AND(E181&gt;=LedFrom,E181&lt;=LedTo,OR(I181=LedAcct,K181=LedAcct,AND(LedAcct=acctTax,M181+N181&lt;&gt;0))),E181*10000+B181,""),"")</f>
        <v/>
      </c>
    </row>
    <row r="182">
      <c r="B182" s="101" t="n">
        <v>176</v>
      </c>
      <c r="C182" s="58" t="inlineStr">
        <is>
          <t>Transaction</t>
        </is>
      </c>
      <c r="D182" s="58">
        <f>IF(H182=1,INDEX(tx_ID,176)&amp;"","")</f>
        <v/>
      </c>
      <c r="E182" s="94">
        <f>IF(H182=1,INDEX(tx_Date,176),"")</f>
        <v/>
      </c>
      <c r="F182" s="58">
        <f>IF(H182=1,INDEX(tx_Desc,176)&amp;"","")</f>
        <v/>
      </c>
      <c r="G182" s="58">
        <f>IF(H182=1,IF(INDEX(tx_Cust,176)&amp;""&lt;&gt;"",INDEX(tx_Cust,176)&amp;"",INDEX(tx_Vend,176)&amp;""),"")</f>
        <v/>
      </c>
      <c r="H182" s="101">
        <f>IFERROR(N(INDEX(tx_Posted,176)),0)</f>
        <v/>
      </c>
      <c r="I182" s="58">
        <f>IF(H182=1,INDEX(tx_DrAcct,176)&amp;"","")</f>
        <v/>
      </c>
      <c r="J182" s="95">
        <f>IF(H182=1,INDEX(tx_DrAmt,176),0)</f>
        <v/>
      </c>
      <c r="K182" s="58">
        <f>IF(H182=1,INDEX(tx_CrAcct,176)&amp;"","")</f>
        <v/>
      </c>
      <c r="L182" s="95">
        <f>IF(H182=1,INDEX(tx_CrAmt,176),0)</f>
        <v/>
      </c>
      <c r="M182" s="95">
        <f>IF(H182=1,INDEX(tx_TaxDr,176),0)</f>
        <v/>
      </c>
      <c r="N182" s="95">
        <f>IF(H182=1,INDEX(tx_TaxCr,176),0)</f>
        <v/>
      </c>
      <c r="O182" s="101">
        <f>IF(H182=1,IF(E182&lt;FYStart,0,IF(E182&gt;FYEnd,13,YEAR(E182)*12+MONTH(E182)-FYYM+1)),"")</f>
        <v/>
      </c>
      <c r="P182" s="101">
        <f>IF(H182=1,IF(IFERROR(INDEX(coa_CF,MATCH(I182,coa_Name,0)),"")="Cash",1,0),0)</f>
        <v/>
      </c>
      <c r="Q182" s="101">
        <f>IF(H182=1,IF(IFERROR(INDEX(coa_CF,MATCH(K182,coa_Name,0)),"")="Cash",1,0),0)</f>
        <v/>
      </c>
      <c r="R182" s="58">
        <f>IF((P182-Q182)=0,"",IFERROR(INDEX(coa_CF,MATCH(IF((P182-Q182)=1,K182,I182),coa_Name,0)),"Operating"))</f>
        <v/>
      </c>
      <c r="S182" s="95">
        <f>IF((P182-Q182)=1,L182,IF((P182-Q182)=-1,-J182,0))</f>
        <v/>
      </c>
      <c r="T182" s="95">
        <f>IF((P182-Q182)=1,N182,IF((P182-Q182)=-1,-M182,0))</f>
        <v/>
      </c>
      <c r="U182" s="101">
        <f>IF(AND(H182=1,LedAcct&lt;&gt;""),IF(AND(E182&gt;=LedFrom,E182&lt;=LedTo,OR(I182=LedAcct,K182=LedAcct,AND(LedAcct=acctTax,M182+N182&lt;&gt;0))),E182*10000+B182,""),"")</f>
        <v/>
      </c>
    </row>
    <row r="183">
      <c r="B183" s="101" t="n">
        <v>177</v>
      </c>
      <c r="C183" s="58" t="inlineStr">
        <is>
          <t>Transaction</t>
        </is>
      </c>
      <c r="D183" s="58">
        <f>IF(H183=1,INDEX(tx_ID,177)&amp;"","")</f>
        <v/>
      </c>
      <c r="E183" s="94">
        <f>IF(H183=1,INDEX(tx_Date,177),"")</f>
        <v/>
      </c>
      <c r="F183" s="58">
        <f>IF(H183=1,INDEX(tx_Desc,177)&amp;"","")</f>
        <v/>
      </c>
      <c r="G183" s="58">
        <f>IF(H183=1,IF(INDEX(tx_Cust,177)&amp;""&lt;&gt;"",INDEX(tx_Cust,177)&amp;"",INDEX(tx_Vend,177)&amp;""),"")</f>
        <v/>
      </c>
      <c r="H183" s="101">
        <f>IFERROR(N(INDEX(tx_Posted,177)),0)</f>
        <v/>
      </c>
      <c r="I183" s="58">
        <f>IF(H183=1,INDEX(tx_DrAcct,177)&amp;"","")</f>
        <v/>
      </c>
      <c r="J183" s="95">
        <f>IF(H183=1,INDEX(tx_DrAmt,177),0)</f>
        <v/>
      </c>
      <c r="K183" s="58">
        <f>IF(H183=1,INDEX(tx_CrAcct,177)&amp;"","")</f>
        <v/>
      </c>
      <c r="L183" s="95">
        <f>IF(H183=1,INDEX(tx_CrAmt,177),0)</f>
        <v/>
      </c>
      <c r="M183" s="95">
        <f>IF(H183=1,INDEX(tx_TaxDr,177),0)</f>
        <v/>
      </c>
      <c r="N183" s="95">
        <f>IF(H183=1,INDEX(tx_TaxCr,177),0)</f>
        <v/>
      </c>
      <c r="O183" s="101">
        <f>IF(H183=1,IF(E183&lt;FYStart,0,IF(E183&gt;FYEnd,13,YEAR(E183)*12+MONTH(E183)-FYYM+1)),"")</f>
        <v/>
      </c>
      <c r="P183" s="101">
        <f>IF(H183=1,IF(IFERROR(INDEX(coa_CF,MATCH(I183,coa_Name,0)),"")="Cash",1,0),0)</f>
        <v/>
      </c>
      <c r="Q183" s="101">
        <f>IF(H183=1,IF(IFERROR(INDEX(coa_CF,MATCH(K183,coa_Name,0)),"")="Cash",1,0),0)</f>
        <v/>
      </c>
      <c r="R183" s="58">
        <f>IF((P183-Q183)=0,"",IFERROR(INDEX(coa_CF,MATCH(IF((P183-Q183)=1,K183,I183),coa_Name,0)),"Operating"))</f>
        <v/>
      </c>
      <c r="S183" s="95">
        <f>IF((P183-Q183)=1,L183,IF((P183-Q183)=-1,-J183,0))</f>
        <v/>
      </c>
      <c r="T183" s="95">
        <f>IF((P183-Q183)=1,N183,IF((P183-Q183)=-1,-M183,0))</f>
        <v/>
      </c>
      <c r="U183" s="101">
        <f>IF(AND(H183=1,LedAcct&lt;&gt;""),IF(AND(E183&gt;=LedFrom,E183&lt;=LedTo,OR(I183=LedAcct,K183=LedAcct,AND(LedAcct=acctTax,M183+N183&lt;&gt;0))),E183*10000+B183,""),"")</f>
        <v/>
      </c>
    </row>
    <row r="184">
      <c r="B184" s="101" t="n">
        <v>178</v>
      </c>
      <c r="C184" s="58" t="inlineStr">
        <is>
          <t>Transaction</t>
        </is>
      </c>
      <c r="D184" s="58">
        <f>IF(H184=1,INDEX(tx_ID,178)&amp;"","")</f>
        <v/>
      </c>
      <c r="E184" s="94">
        <f>IF(H184=1,INDEX(tx_Date,178),"")</f>
        <v/>
      </c>
      <c r="F184" s="58">
        <f>IF(H184=1,INDEX(tx_Desc,178)&amp;"","")</f>
        <v/>
      </c>
      <c r="G184" s="58">
        <f>IF(H184=1,IF(INDEX(tx_Cust,178)&amp;""&lt;&gt;"",INDEX(tx_Cust,178)&amp;"",INDEX(tx_Vend,178)&amp;""),"")</f>
        <v/>
      </c>
      <c r="H184" s="101">
        <f>IFERROR(N(INDEX(tx_Posted,178)),0)</f>
        <v/>
      </c>
      <c r="I184" s="58">
        <f>IF(H184=1,INDEX(tx_DrAcct,178)&amp;"","")</f>
        <v/>
      </c>
      <c r="J184" s="95">
        <f>IF(H184=1,INDEX(tx_DrAmt,178),0)</f>
        <v/>
      </c>
      <c r="K184" s="58">
        <f>IF(H184=1,INDEX(tx_CrAcct,178)&amp;"","")</f>
        <v/>
      </c>
      <c r="L184" s="95">
        <f>IF(H184=1,INDEX(tx_CrAmt,178),0)</f>
        <v/>
      </c>
      <c r="M184" s="95">
        <f>IF(H184=1,INDEX(tx_TaxDr,178),0)</f>
        <v/>
      </c>
      <c r="N184" s="95">
        <f>IF(H184=1,INDEX(tx_TaxCr,178),0)</f>
        <v/>
      </c>
      <c r="O184" s="101">
        <f>IF(H184=1,IF(E184&lt;FYStart,0,IF(E184&gt;FYEnd,13,YEAR(E184)*12+MONTH(E184)-FYYM+1)),"")</f>
        <v/>
      </c>
      <c r="P184" s="101">
        <f>IF(H184=1,IF(IFERROR(INDEX(coa_CF,MATCH(I184,coa_Name,0)),"")="Cash",1,0),0)</f>
        <v/>
      </c>
      <c r="Q184" s="101">
        <f>IF(H184=1,IF(IFERROR(INDEX(coa_CF,MATCH(K184,coa_Name,0)),"")="Cash",1,0),0)</f>
        <v/>
      </c>
      <c r="R184" s="58">
        <f>IF((P184-Q184)=0,"",IFERROR(INDEX(coa_CF,MATCH(IF((P184-Q184)=1,K184,I184),coa_Name,0)),"Operating"))</f>
        <v/>
      </c>
      <c r="S184" s="95">
        <f>IF((P184-Q184)=1,L184,IF((P184-Q184)=-1,-J184,0))</f>
        <v/>
      </c>
      <c r="T184" s="95">
        <f>IF((P184-Q184)=1,N184,IF((P184-Q184)=-1,-M184,0))</f>
        <v/>
      </c>
      <c r="U184" s="101">
        <f>IF(AND(H184=1,LedAcct&lt;&gt;""),IF(AND(E184&gt;=LedFrom,E184&lt;=LedTo,OR(I184=LedAcct,K184=LedAcct,AND(LedAcct=acctTax,M184+N184&lt;&gt;0))),E184*10000+B184,""),"")</f>
        <v/>
      </c>
    </row>
    <row r="185">
      <c r="B185" s="101" t="n">
        <v>179</v>
      </c>
      <c r="C185" s="58" t="inlineStr">
        <is>
          <t>Transaction</t>
        </is>
      </c>
      <c r="D185" s="58">
        <f>IF(H185=1,INDEX(tx_ID,179)&amp;"","")</f>
        <v/>
      </c>
      <c r="E185" s="94">
        <f>IF(H185=1,INDEX(tx_Date,179),"")</f>
        <v/>
      </c>
      <c r="F185" s="58">
        <f>IF(H185=1,INDEX(tx_Desc,179)&amp;"","")</f>
        <v/>
      </c>
      <c r="G185" s="58">
        <f>IF(H185=1,IF(INDEX(tx_Cust,179)&amp;""&lt;&gt;"",INDEX(tx_Cust,179)&amp;"",INDEX(tx_Vend,179)&amp;""),"")</f>
        <v/>
      </c>
      <c r="H185" s="101">
        <f>IFERROR(N(INDEX(tx_Posted,179)),0)</f>
        <v/>
      </c>
      <c r="I185" s="58">
        <f>IF(H185=1,INDEX(tx_DrAcct,179)&amp;"","")</f>
        <v/>
      </c>
      <c r="J185" s="95">
        <f>IF(H185=1,INDEX(tx_DrAmt,179),0)</f>
        <v/>
      </c>
      <c r="K185" s="58">
        <f>IF(H185=1,INDEX(tx_CrAcct,179)&amp;"","")</f>
        <v/>
      </c>
      <c r="L185" s="95">
        <f>IF(H185=1,INDEX(tx_CrAmt,179),0)</f>
        <v/>
      </c>
      <c r="M185" s="95">
        <f>IF(H185=1,INDEX(tx_TaxDr,179),0)</f>
        <v/>
      </c>
      <c r="N185" s="95">
        <f>IF(H185=1,INDEX(tx_TaxCr,179),0)</f>
        <v/>
      </c>
      <c r="O185" s="101">
        <f>IF(H185=1,IF(E185&lt;FYStart,0,IF(E185&gt;FYEnd,13,YEAR(E185)*12+MONTH(E185)-FYYM+1)),"")</f>
        <v/>
      </c>
      <c r="P185" s="101">
        <f>IF(H185=1,IF(IFERROR(INDEX(coa_CF,MATCH(I185,coa_Name,0)),"")="Cash",1,0),0)</f>
        <v/>
      </c>
      <c r="Q185" s="101">
        <f>IF(H185=1,IF(IFERROR(INDEX(coa_CF,MATCH(K185,coa_Name,0)),"")="Cash",1,0),0)</f>
        <v/>
      </c>
      <c r="R185" s="58">
        <f>IF((P185-Q185)=0,"",IFERROR(INDEX(coa_CF,MATCH(IF((P185-Q185)=1,K185,I185),coa_Name,0)),"Operating"))</f>
        <v/>
      </c>
      <c r="S185" s="95">
        <f>IF((P185-Q185)=1,L185,IF((P185-Q185)=-1,-J185,0))</f>
        <v/>
      </c>
      <c r="T185" s="95">
        <f>IF((P185-Q185)=1,N185,IF((P185-Q185)=-1,-M185,0))</f>
        <v/>
      </c>
      <c r="U185" s="101">
        <f>IF(AND(H185=1,LedAcct&lt;&gt;""),IF(AND(E185&gt;=LedFrom,E185&lt;=LedTo,OR(I185=LedAcct,K185=LedAcct,AND(LedAcct=acctTax,M185+N185&lt;&gt;0))),E185*10000+B185,""),"")</f>
        <v/>
      </c>
    </row>
    <row r="186">
      <c r="B186" s="101" t="n">
        <v>180</v>
      </c>
      <c r="C186" s="58" t="inlineStr">
        <is>
          <t>Transaction</t>
        </is>
      </c>
      <c r="D186" s="58">
        <f>IF(H186=1,INDEX(tx_ID,180)&amp;"","")</f>
        <v/>
      </c>
      <c r="E186" s="94">
        <f>IF(H186=1,INDEX(tx_Date,180),"")</f>
        <v/>
      </c>
      <c r="F186" s="58">
        <f>IF(H186=1,INDEX(tx_Desc,180)&amp;"","")</f>
        <v/>
      </c>
      <c r="G186" s="58">
        <f>IF(H186=1,IF(INDEX(tx_Cust,180)&amp;""&lt;&gt;"",INDEX(tx_Cust,180)&amp;"",INDEX(tx_Vend,180)&amp;""),"")</f>
        <v/>
      </c>
      <c r="H186" s="101">
        <f>IFERROR(N(INDEX(tx_Posted,180)),0)</f>
        <v/>
      </c>
      <c r="I186" s="58">
        <f>IF(H186=1,INDEX(tx_DrAcct,180)&amp;"","")</f>
        <v/>
      </c>
      <c r="J186" s="95">
        <f>IF(H186=1,INDEX(tx_DrAmt,180),0)</f>
        <v/>
      </c>
      <c r="K186" s="58">
        <f>IF(H186=1,INDEX(tx_CrAcct,180)&amp;"","")</f>
        <v/>
      </c>
      <c r="L186" s="95">
        <f>IF(H186=1,INDEX(tx_CrAmt,180),0)</f>
        <v/>
      </c>
      <c r="M186" s="95">
        <f>IF(H186=1,INDEX(tx_TaxDr,180),0)</f>
        <v/>
      </c>
      <c r="N186" s="95">
        <f>IF(H186=1,INDEX(tx_TaxCr,180),0)</f>
        <v/>
      </c>
      <c r="O186" s="101">
        <f>IF(H186=1,IF(E186&lt;FYStart,0,IF(E186&gt;FYEnd,13,YEAR(E186)*12+MONTH(E186)-FYYM+1)),"")</f>
        <v/>
      </c>
      <c r="P186" s="101">
        <f>IF(H186=1,IF(IFERROR(INDEX(coa_CF,MATCH(I186,coa_Name,0)),"")="Cash",1,0),0)</f>
        <v/>
      </c>
      <c r="Q186" s="101">
        <f>IF(H186=1,IF(IFERROR(INDEX(coa_CF,MATCH(K186,coa_Name,0)),"")="Cash",1,0),0)</f>
        <v/>
      </c>
      <c r="R186" s="58">
        <f>IF((P186-Q186)=0,"",IFERROR(INDEX(coa_CF,MATCH(IF((P186-Q186)=1,K186,I186),coa_Name,0)),"Operating"))</f>
        <v/>
      </c>
      <c r="S186" s="95">
        <f>IF((P186-Q186)=1,L186,IF((P186-Q186)=-1,-J186,0))</f>
        <v/>
      </c>
      <c r="T186" s="95">
        <f>IF((P186-Q186)=1,N186,IF((P186-Q186)=-1,-M186,0))</f>
        <v/>
      </c>
      <c r="U186" s="101">
        <f>IF(AND(H186=1,LedAcct&lt;&gt;""),IF(AND(E186&gt;=LedFrom,E186&lt;=LedTo,OR(I186=LedAcct,K186=LedAcct,AND(LedAcct=acctTax,M186+N186&lt;&gt;0))),E186*10000+B186,""),"")</f>
        <v/>
      </c>
    </row>
    <row r="187">
      <c r="B187" s="101" t="n">
        <v>181</v>
      </c>
      <c r="C187" s="58" t="inlineStr">
        <is>
          <t>Transaction</t>
        </is>
      </c>
      <c r="D187" s="58">
        <f>IF(H187=1,INDEX(tx_ID,181)&amp;"","")</f>
        <v/>
      </c>
      <c r="E187" s="94">
        <f>IF(H187=1,INDEX(tx_Date,181),"")</f>
        <v/>
      </c>
      <c r="F187" s="58">
        <f>IF(H187=1,INDEX(tx_Desc,181)&amp;"","")</f>
        <v/>
      </c>
      <c r="G187" s="58">
        <f>IF(H187=1,IF(INDEX(tx_Cust,181)&amp;""&lt;&gt;"",INDEX(tx_Cust,181)&amp;"",INDEX(tx_Vend,181)&amp;""),"")</f>
        <v/>
      </c>
      <c r="H187" s="101">
        <f>IFERROR(N(INDEX(tx_Posted,181)),0)</f>
        <v/>
      </c>
      <c r="I187" s="58">
        <f>IF(H187=1,INDEX(tx_DrAcct,181)&amp;"","")</f>
        <v/>
      </c>
      <c r="J187" s="95">
        <f>IF(H187=1,INDEX(tx_DrAmt,181),0)</f>
        <v/>
      </c>
      <c r="K187" s="58">
        <f>IF(H187=1,INDEX(tx_CrAcct,181)&amp;"","")</f>
        <v/>
      </c>
      <c r="L187" s="95">
        <f>IF(H187=1,INDEX(tx_CrAmt,181),0)</f>
        <v/>
      </c>
      <c r="M187" s="95">
        <f>IF(H187=1,INDEX(tx_TaxDr,181),0)</f>
        <v/>
      </c>
      <c r="N187" s="95">
        <f>IF(H187=1,INDEX(tx_TaxCr,181),0)</f>
        <v/>
      </c>
      <c r="O187" s="101">
        <f>IF(H187=1,IF(E187&lt;FYStart,0,IF(E187&gt;FYEnd,13,YEAR(E187)*12+MONTH(E187)-FYYM+1)),"")</f>
        <v/>
      </c>
      <c r="P187" s="101">
        <f>IF(H187=1,IF(IFERROR(INDEX(coa_CF,MATCH(I187,coa_Name,0)),"")="Cash",1,0),0)</f>
        <v/>
      </c>
      <c r="Q187" s="101">
        <f>IF(H187=1,IF(IFERROR(INDEX(coa_CF,MATCH(K187,coa_Name,0)),"")="Cash",1,0),0)</f>
        <v/>
      </c>
      <c r="R187" s="58">
        <f>IF((P187-Q187)=0,"",IFERROR(INDEX(coa_CF,MATCH(IF((P187-Q187)=1,K187,I187),coa_Name,0)),"Operating"))</f>
        <v/>
      </c>
      <c r="S187" s="95">
        <f>IF((P187-Q187)=1,L187,IF((P187-Q187)=-1,-J187,0))</f>
        <v/>
      </c>
      <c r="T187" s="95">
        <f>IF((P187-Q187)=1,N187,IF((P187-Q187)=-1,-M187,0))</f>
        <v/>
      </c>
      <c r="U187" s="101">
        <f>IF(AND(H187=1,LedAcct&lt;&gt;""),IF(AND(E187&gt;=LedFrom,E187&lt;=LedTo,OR(I187=LedAcct,K187=LedAcct,AND(LedAcct=acctTax,M187+N187&lt;&gt;0))),E187*10000+B187,""),"")</f>
        <v/>
      </c>
    </row>
    <row r="188">
      <c r="B188" s="101" t="n">
        <v>182</v>
      </c>
      <c r="C188" s="58" t="inlineStr">
        <is>
          <t>Transaction</t>
        </is>
      </c>
      <c r="D188" s="58">
        <f>IF(H188=1,INDEX(tx_ID,182)&amp;"","")</f>
        <v/>
      </c>
      <c r="E188" s="94">
        <f>IF(H188=1,INDEX(tx_Date,182),"")</f>
        <v/>
      </c>
      <c r="F188" s="58">
        <f>IF(H188=1,INDEX(tx_Desc,182)&amp;"","")</f>
        <v/>
      </c>
      <c r="G188" s="58">
        <f>IF(H188=1,IF(INDEX(tx_Cust,182)&amp;""&lt;&gt;"",INDEX(tx_Cust,182)&amp;"",INDEX(tx_Vend,182)&amp;""),"")</f>
        <v/>
      </c>
      <c r="H188" s="101">
        <f>IFERROR(N(INDEX(tx_Posted,182)),0)</f>
        <v/>
      </c>
      <c r="I188" s="58">
        <f>IF(H188=1,INDEX(tx_DrAcct,182)&amp;"","")</f>
        <v/>
      </c>
      <c r="J188" s="95">
        <f>IF(H188=1,INDEX(tx_DrAmt,182),0)</f>
        <v/>
      </c>
      <c r="K188" s="58">
        <f>IF(H188=1,INDEX(tx_CrAcct,182)&amp;"","")</f>
        <v/>
      </c>
      <c r="L188" s="95">
        <f>IF(H188=1,INDEX(tx_CrAmt,182),0)</f>
        <v/>
      </c>
      <c r="M188" s="95">
        <f>IF(H188=1,INDEX(tx_TaxDr,182),0)</f>
        <v/>
      </c>
      <c r="N188" s="95">
        <f>IF(H188=1,INDEX(tx_TaxCr,182),0)</f>
        <v/>
      </c>
      <c r="O188" s="101">
        <f>IF(H188=1,IF(E188&lt;FYStart,0,IF(E188&gt;FYEnd,13,YEAR(E188)*12+MONTH(E188)-FYYM+1)),"")</f>
        <v/>
      </c>
      <c r="P188" s="101">
        <f>IF(H188=1,IF(IFERROR(INDEX(coa_CF,MATCH(I188,coa_Name,0)),"")="Cash",1,0),0)</f>
        <v/>
      </c>
      <c r="Q188" s="101">
        <f>IF(H188=1,IF(IFERROR(INDEX(coa_CF,MATCH(K188,coa_Name,0)),"")="Cash",1,0),0)</f>
        <v/>
      </c>
      <c r="R188" s="58">
        <f>IF((P188-Q188)=0,"",IFERROR(INDEX(coa_CF,MATCH(IF((P188-Q188)=1,K188,I188),coa_Name,0)),"Operating"))</f>
        <v/>
      </c>
      <c r="S188" s="95">
        <f>IF((P188-Q188)=1,L188,IF((P188-Q188)=-1,-J188,0))</f>
        <v/>
      </c>
      <c r="T188" s="95">
        <f>IF((P188-Q188)=1,N188,IF((P188-Q188)=-1,-M188,0))</f>
        <v/>
      </c>
      <c r="U188" s="101">
        <f>IF(AND(H188=1,LedAcct&lt;&gt;""),IF(AND(E188&gt;=LedFrom,E188&lt;=LedTo,OR(I188=LedAcct,K188=LedAcct,AND(LedAcct=acctTax,M188+N188&lt;&gt;0))),E188*10000+B188,""),"")</f>
        <v/>
      </c>
    </row>
    <row r="189">
      <c r="B189" s="101" t="n">
        <v>183</v>
      </c>
      <c r="C189" s="58" t="inlineStr">
        <is>
          <t>Transaction</t>
        </is>
      </c>
      <c r="D189" s="58">
        <f>IF(H189=1,INDEX(tx_ID,183)&amp;"","")</f>
        <v/>
      </c>
      <c r="E189" s="94">
        <f>IF(H189=1,INDEX(tx_Date,183),"")</f>
        <v/>
      </c>
      <c r="F189" s="58">
        <f>IF(H189=1,INDEX(tx_Desc,183)&amp;"","")</f>
        <v/>
      </c>
      <c r="G189" s="58">
        <f>IF(H189=1,IF(INDEX(tx_Cust,183)&amp;""&lt;&gt;"",INDEX(tx_Cust,183)&amp;"",INDEX(tx_Vend,183)&amp;""),"")</f>
        <v/>
      </c>
      <c r="H189" s="101">
        <f>IFERROR(N(INDEX(tx_Posted,183)),0)</f>
        <v/>
      </c>
      <c r="I189" s="58">
        <f>IF(H189=1,INDEX(tx_DrAcct,183)&amp;"","")</f>
        <v/>
      </c>
      <c r="J189" s="95">
        <f>IF(H189=1,INDEX(tx_DrAmt,183),0)</f>
        <v/>
      </c>
      <c r="K189" s="58">
        <f>IF(H189=1,INDEX(tx_CrAcct,183)&amp;"","")</f>
        <v/>
      </c>
      <c r="L189" s="95">
        <f>IF(H189=1,INDEX(tx_CrAmt,183),0)</f>
        <v/>
      </c>
      <c r="M189" s="95">
        <f>IF(H189=1,INDEX(tx_TaxDr,183),0)</f>
        <v/>
      </c>
      <c r="N189" s="95">
        <f>IF(H189=1,INDEX(tx_TaxCr,183),0)</f>
        <v/>
      </c>
      <c r="O189" s="101">
        <f>IF(H189=1,IF(E189&lt;FYStart,0,IF(E189&gt;FYEnd,13,YEAR(E189)*12+MONTH(E189)-FYYM+1)),"")</f>
        <v/>
      </c>
      <c r="P189" s="101">
        <f>IF(H189=1,IF(IFERROR(INDEX(coa_CF,MATCH(I189,coa_Name,0)),"")="Cash",1,0),0)</f>
        <v/>
      </c>
      <c r="Q189" s="101">
        <f>IF(H189=1,IF(IFERROR(INDEX(coa_CF,MATCH(K189,coa_Name,0)),"")="Cash",1,0),0)</f>
        <v/>
      </c>
      <c r="R189" s="58">
        <f>IF((P189-Q189)=0,"",IFERROR(INDEX(coa_CF,MATCH(IF((P189-Q189)=1,K189,I189),coa_Name,0)),"Operating"))</f>
        <v/>
      </c>
      <c r="S189" s="95">
        <f>IF((P189-Q189)=1,L189,IF((P189-Q189)=-1,-J189,0))</f>
        <v/>
      </c>
      <c r="T189" s="95">
        <f>IF((P189-Q189)=1,N189,IF((P189-Q189)=-1,-M189,0))</f>
        <v/>
      </c>
      <c r="U189" s="101">
        <f>IF(AND(H189=1,LedAcct&lt;&gt;""),IF(AND(E189&gt;=LedFrom,E189&lt;=LedTo,OR(I189=LedAcct,K189=LedAcct,AND(LedAcct=acctTax,M189+N189&lt;&gt;0))),E189*10000+B189,""),"")</f>
        <v/>
      </c>
    </row>
    <row r="190">
      <c r="B190" s="101" t="n">
        <v>184</v>
      </c>
      <c r="C190" s="58" t="inlineStr">
        <is>
          <t>Transaction</t>
        </is>
      </c>
      <c r="D190" s="58">
        <f>IF(H190=1,INDEX(tx_ID,184)&amp;"","")</f>
        <v/>
      </c>
      <c r="E190" s="94">
        <f>IF(H190=1,INDEX(tx_Date,184),"")</f>
        <v/>
      </c>
      <c r="F190" s="58">
        <f>IF(H190=1,INDEX(tx_Desc,184)&amp;"","")</f>
        <v/>
      </c>
      <c r="G190" s="58">
        <f>IF(H190=1,IF(INDEX(tx_Cust,184)&amp;""&lt;&gt;"",INDEX(tx_Cust,184)&amp;"",INDEX(tx_Vend,184)&amp;""),"")</f>
        <v/>
      </c>
      <c r="H190" s="101">
        <f>IFERROR(N(INDEX(tx_Posted,184)),0)</f>
        <v/>
      </c>
      <c r="I190" s="58">
        <f>IF(H190=1,INDEX(tx_DrAcct,184)&amp;"","")</f>
        <v/>
      </c>
      <c r="J190" s="95">
        <f>IF(H190=1,INDEX(tx_DrAmt,184),0)</f>
        <v/>
      </c>
      <c r="K190" s="58">
        <f>IF(H190=1,INDEX(tx_CrAcct,184)&amp;"","")</f>
        <v/>
      </c>
      <c r="L190" s="95">
        <f>IF(H190=1,INDEX(tx_CrAmt,184),0)</f>
        <v/>
      </c>
      <c r="M190" s="95">
        <f>IF(H190=1,INDEX(tx_TaxDr,184),0)</f>
        <v/>
      </c>
      <c r="N190" s="95">
        <f>IF(H190=1,INDEX(tx_TaxCr,184),0)</f>
        <v/>
      </c>
      <c r="O190" s="101">
        <f>IF(H190=1,IF(E190&lt;FYStart,0,IF(E190&gt;FYEnd,13,YEAR(E190)*12+MONTH(E190)-FYYM+1)),"")</f>
        <v/>
      </c>
      <c r="P190" s="101">
        <f>IF(H190=1,IF(IFERROR(INDEX(coa_CF,MATCH(I190,coa_Name,0)),"")="Cash",1,0),0)</f>
        <v/>
      </c>
      <c r="Q190" s="101">
        <f>IF(H190=1,IF(IFERROR(INDEX(coa_CF,MATCH(K190,coa_Name,0)),"")="Cash",1,0),0)</f>
        <v/>
      </c>
      <c r="R190" s="58">
        <f>IF((P190-Q190)=0,"",IFERROR(INDEX(coa_CF,MATCH(IF((P190-Q190)=1,K190,I190),coa_Name,0)),"Operating"))</f>
        <v/>
      </c>
      <c r="S190" s="95">
        <f>IF((P190-Q190)=1,L190,IF((P190-Q190)=-1,-J190,0))</f>
        <v/>
      </c>
      <c r="T190" s="95">
        <f>IF((P190-Q190)=1,N190,IF((P190-Q190)=-1,-M190,0))</f>
        <v/>
      </c>
      <c r="U190" s="101">
        <f>IF(AND(H190=1,LedAcct&lt;&gt;""),IF(AND(E190&gt;=LedFrom,E190&lt;=LedTo,OR(I190=LedAcct,K190=LedAcct,AND(LedAcct=acctTax,M190+N190&lt;&gt;0))),E190*10000+B190,""),"")</f>
        <v/>
      </c>
    </row>
    <row r="191">
      <c r="B191" s="101" t="n">
        <v>185</v>
      </c>
      <c r="C191" s="58" t="inlineStr">
        <is>
          <t>Transaction</t>
        </is>
      </c>
      <c r="D191" s="58">
        <f>IF(H191=1,INDEX(tx_ID,185)&amp;"","")</f>
        <v/>
      </c>
      <c r="E191" s="94">
        <f>IF(H191=1,INDEX(tx_Date,185),"")</f>
        <v/>
      </c>
      <c r="F191" s="58">
        <f>IF(H191=1,INDEX(tx_Desc,185)&amp;"","")</f>
        <v/>
      </c>
      <c r="G191" s="58">
        <f>IF(H191=1,IF(INDEX(tx_Cust,185)&amp;""&lt;&gt;"",INDEX(tx_Cust,185)&amp;"",INDEX(tx_Vend,185)&amp;""),"")</f>
        <v/>
      </c>
      <c r="H191" s="101">
        <f>IFERROR(N(INDEX(tx_Posted,185)),0)</f>
        <v/>
      </c>
      <c r="I191" s="58">
        <f>IF(H191=1,INDEX(tx_DrAcct,185)&amp;"","")</f>
        <v/>
      </c>
      <c r="J191" s="95">
        <f>IF(H191=1,INDEX(tx_DrAmt,185),0)</f>
        <v/>
      </c>
      <c r="K191" s="58">
        <f>IF(H191=1,INDEX(tx_CrAcct,185)&amp;"","")</f>
        <v/>
      </c>
      <c r="L191" s="95">
        <f>IF(H191=1,INDEX(tx_CrAmt,185),0)</f>
        <v/>
      </c>
      <c r="M191" s="95">
        <f>IF(H191=1,INDEX(tx_TaxDr,185),0)</f>
        <v/>
      </c>
      <c r="N191" s="95">
        <f>IF(H191=1,INDEX(tx_TaxCr,185),0)</f>
        <v/>
      </c>
      <c r="O191" s="101">
        <f>IF(H191=1,IF(E191&lt;FYStart,0,IF(E191&gt;FYEnd,13,YEAR(E191)*12+MONTH(E191)-FYYM+1)),"")</f>
        <v/>
      </c>
      <c r="P191" s="101">
        <f>IF(H191=1,IF(IFERROR(INDEX(coa_CF,MATCH(I191,coa_Name,0)),"")="Cash",1,0),0)</f>
        <v/>
      </c>
      <c r="Q191" s="101">
        <f>IF(H191=1,IF(IFERROR(INDEX(coa_CF,MATCH(K191,coa_Name,0)),"")="Cash",1,0),0)</f>
        <v/>
      </c>
      <c r="R191" s="58">
        <f>IF((P191-Q191)=0,"",IFERROR(INDEX(coa_CF,MATCH(IF((P191-Q191)=1,K191,I191),coa_Name,0)),"Operating"))</f>
        <v/>
      </c>
      <c r="S191" s="95">
        <f>IF((P191-Q191)=1,L191,IF((P191-Q191)=-1,-J191,0))</f>
        <v/>
      </c>
      <c r="T191" s="95">
        <f>IF((P191-Q191)=1,N191,IF((P191-Q191)=-1,-M191,0))</f>
        <v/>
      </c>
      <c r="U191" s="101">
        <f>IF(AND(H191=1,LedAcct&lt;&gt;""),IF(AND(E191&gt;=LedFrom,E191&lt;=LedTo,OR(I191=LedAcct,K191=LedAcct,AND(LedAcct=acctTax,M191+N191&lt;&gt;0))),E191*10000+B191,""),"")</f>
        <v/>
      </c>
    </row>
    <row r="192">
      <c r="B192" s="101" t="n">
        <v>186</v>
      </c>
      <c r="C192" s="58" t="inlineStr">
        <is>
          <t>Transaction</t>
        </is>
      </c>
      <c r="D192" s="58">
        <f>IF(H192=1,INDEX(tx_ID,186)&amp;"","")</f>
        <v/>
      </c>
      <c r="E192" s="94">
        <f>IF(H192=1,INDEX(tx_Date,186),"")</f>
        <v/>
      </c>
      <c r="F192" s="58">
        <f>IF(H192=1,INDEX(tx_Desc,186)&amp;"","")</f>
        <v/>
      </c>
      <c r="G192" s="58">
        <f>IF(H192=1,IF(INDEX(tx_Cust,186)&amp;""&lt;&gt;"",INDEX(tx_Cust,186)&amp;"",INDEX(tx_Vend,186)&amp;""),"")</f>
        <v/>
      </c>
      <c r="H192" s="101">
        <f>IFERROR(N(INDEX(tx_Posted,186)),0)</f>
        <v/>
      </c>
      <c r="I192" s="58">
        <f>IF(H192=1,INDEX(tx_DrAcct,186)&amp;"","")</f>
        <v/>
      </c>
      <c r="J192" s="95">
        <f>IF(H192=1,INDEX(tx_DrAmt,186),0)</f>
        <v/>
      </c>
      <c r="K192" s="58">
        <f>IF(H192=1,INDEX(tx_CrAcct,186)&amp;"","")</f>
        <v/>
      </c>
      <c r="L192" s="95">
        <f>IF(H192=1,INDEX(tx_CrAmt,186),0)</f>
        <v/>
      </c>
      <c r="M192" s="95">
        <f>IF(H192=1,INDEX(tx_TaxDr,186),0)</f>
        <v/>
      </c>
      <c r="N192" s="95">
        <f>IF(H192=1,INDEX(tx_TaxCr,186),0)</f>
        <v/>
      </c>
      <c r="O192" s="101">
        <f>IF(H192=1,IF(E192&lt;FYStart,0,IF(E192&gt;FYEnd,13,YEAR(E192)*12+MONTH(E192)-FYYM+1)),"")</f>
        <v/>
      </c>
      <c r="P192" s="101">
        <f>IF(H192=1,IF(IFERROR(INDEX(coa_CF,MATCH(I192,coa_Name,0)),"")="Cash",1,0),0)</f>
        <v/>
      </c>
      <c r="Q192" s="101">
        <f>IF(H192=1,IF(IFERROR(INDEX(coa_CF,MATCH(K192,coa_Name,0)),"")="Cash",1,0),0)</f>
        <v/>
      </c>
      <c r="R192" s="58">
        <f>IF((P192-Q192)=0,"",IFERROR(INDEX(coa_CF,MATCH(IF((P192-Q192)=1,K192,I192),coa_Name,0)),"Operating"))</f>
        <v/>
      </c>
      <c r="S192" s="95">
        <f>IF((P192-Q192)=1,L192,IF((P192-Q192)=-1,-J192,0))</f>
        <v/>
      </c>
      <c r="T192" s="95">
        <f>IF((P192-Q192)=1,N192,IF((P192-Q192)=-1,-M192,0))</f>
        <v/>
      </c>
      <c r="U192" s="101">
        <f>IF(AND(H192=1,LedAcct&lt;&gt;""),IF(AND(E192&gt;=LedFrom,E192&lt;=LedTo,OR(I192=LedAcct,K192=LedAcct,AND(LedAcct=acctTax,M192+N192&lt;&gt;0))),E192*10000+B192,""),"")</f>
        <v/>
      </c>
    </row>
    <row r="193">
      <c r="B193" s="101" t="n">
        <v>187</v>
      </c>
      <c r="C193" s="58" t="inlineStr">
        <is>
          <t>Transaction</t>
        </is>
      </c>
      <c r="D193" s="58">
        <f>IF(H193=1,INDEX(tx_ID,187)&amp;"","")</f>
        <v/>
      </c>
      <c r="E193" s="94">
        <f>IF(H193=1,INDEX(tx_Date,187),"")</f>
        <v/>
      </c>
      <c r="F193" s="58">
        <f>IF(H193=1,INDEX(tx_Desc,187)&amp;"","")</f>
        <v/>
      </c>
      <c r="G193" s="58">
        <f>IF(H193=1,IF(INDEX(tx_Cust,187)&amp;""&lt;&gt;"",INDEX(tx_Cust,187)&amp;"",INDEX(tx_Vend,187)&amp;""),"")</f>
        <v/>
      </c>
      <c r="H193" s="101">
        <f>IFERROR(N(INDEX(tx_Posted,187)),0)</f>
        <v/>
      </c>
      <c r="I193" s="58">
        <f>IF(H193=1,INDEX(tx_DrAcct,187)&amp;"","")</f>
        <v/>
      </c>
      <c r="J193" s="95">
        <f>IF(H193=1,INDEX(tx_DrAmt,187),0)</f>
        <v/>
      </c>
      <c r="K193" s="58">
        <f>IF(H193=1,INDEX(tx_CrAcct,187)&amp;"","")</f>
        <v/>
      </c>
      <c r="L193" s="95">
        <f>IF(H193=1,INDEX(tx_CrAmt,187),0)</f>
        <v/>
      </c>
      <c r="M193" s="95">
        <f>IF(H193=1,INDEX(tx_TaxDr,187),0)</f>
        <v/>
      </c>
      <c r="N193" s="95">
        <f>IF(H193=1,INDEX(tx_TaxCr,187),0)</f>
        <v/>
      </c>
      <c r="O193" s="101">
        <f>IF(H193=1,IF(E193&lt;FYStart,0,IF(E193&gt;FYEnd,13,YEAR(E193)*12+MONTH(E193)-FYYM+1)),"")</f>
        <v/>
      </c>
      <c r="P193" s="101">
        <f>IF(H193=1,IF(IFERROR(INDEX(coa_CF,MATCH(I193,coa_Name,0)),"")="Cash",1,0),0)</f>
        <v/>
      </c>
      <c r="Q193" s="101">
        <f>IF(H193=1,IF(IFERROR(INDEX(coa_CF,MATCH(K193,coa_Name,0)),"")="Cash",1,0),0)</f>
        <v/>
      </c>
      <c r="R193" s="58">
        <f>IF((P193-Q193)=0,"",IFERROR(INDEX(coa_CF,MATCH(IF((P193-Q193)=1,K193,I193),coa_Name,0)),"Operating"))</f>
        <v/>
      </c>
      <c r="S193" s="95">
        <f>IF((P193-Q193)=1,L193,IF((P193-Q193)=-1,-J193,0))</f>
        <v/>
      </c>
      <c r="T193" s="95">
        <f>IF((P193-Q193)=1,N193,IF((P193-Q193)=-1,-M193,0))</f>
        <v/>
      </c>
      <c r="U193" s="101">
        <f>IF(AND(H193=1,LedAcct&lt;&gt;""),IF(AND(E193&gt;=LedFrom,E193&lt;=LedTo,OR(I193=LedAcct,K193=LedAcct,AND(LedAcct=acctTax,M193+N193&lt;&gt;0))),E193*10000+B193,""),"")</f>
        <v/>
      </c>
    </row>
    <row r="194">
      <c r="B194" s="101" t="n">
        <v>188</v>
      </c>
      <c r="C194" s="58" t="inlineStr">
        <is>
          <t>Transaction</t>
        </is>
      </c>
      <c r="D194" s="58">
        <f>IF(H194=1,INDEX(tx_ID,188)&amp;"","")</f>
        <v/>
      </c>
      <c r="E194" s="94">
        <f>IF(H194=1,INDEX(tx_Date,188),"")</f>
        <v/>
      </c>
      <c r="F194" s="58">
        <f>IF(H194=1,INDEX(tx_Desc,188)&amp;"","")</f>
        <v/>
      </c>
      <c r="G194" s="58">
        <f>IF(H194=1,IF(INDEX(tx_Cust,188)&amp;""&lt;&gt;"",INDEX(tx_Cust,188)&amp;"",INDEX(tx_Vend,188)&amp;""),"")</f>
        <v/>
      </c>
      <c r="H194" s="101">
        <f>IFERROR(N(INDEX(tx_Posted,188)),0)</f>
        <v/>
      </c>
      <c r="I194" s="58">
        <f>IF(H194=1,INDEX(tx_DrAcct,188)&amp;"","")</f>
        <v/>
      </c>
      <c r="J194" s="95">
        <f>IF(H194=1,INDEX(tx_DrAmt,188),0)</f>
        <v/>
      </c>
      <c r="K194" s="58">
        <f>IF(H194=1,INDEX(tx_CrAcct,188)&amp;"","")</f>
        <v/>
      </c>
      <c r="L194" s="95">
        <f>IF(H194=1,INDEX(tx_CrAmt,188),0)</f>
        <v/>
      </c>
      <c r="M194" s="95">
        <f>IF(H194=1,INDEX(tx_TaxDr,188),0)</f>
        <v/>
      </c>
      <c r="N194" s="95">
        <f>IF(H194=1,INDEX(tx_TaxCr,188),0)</f>
        <v/>
      </c>
      <c r="O194" s="101">
        <f>IF(H194=1,IF(E194&lt;FYStart,0,IF(E194&gt;FYEnd,13,YEAR(E194)*12+MONTH(E194)-FYYM+1)),"")</f>
        <v/>
      </c>
      <c r="P194" s="101">
        <f>IF(H194=1,IF(IFERROR(INDEX(coa_CF,MATCH(I194,coa_Name,0)),"")="Cash",1,0),0)</f>
        <v/>
      </c>
      <c r="Q194" s="101">
        <f>IF(H194=1,IF(IFERROR(INDEX(coa_CF,MATCH(K194,coa_Name,0)),"")="Cash",1,0),0)</f>
        <v/>
      </c>
      <c r="R194" s="58">
        <f>IF((P194-Q194)=0,"",IFERROR(INDEX(coa_CF,MATCH(IF((P194-Q194)=1,K194,I194),coa_Name,0)),"Operating"))</f>
        <v/>
      </c>
      <c r="S194" s="95">
        <f>IF((P194-Q194)=1,L194,IF((P194-Q194)=-1,-J194,0))</f>
        <v/>
      </c>
      <c r="T194" s="95">
        <f>IF((P194-Q194)=1,N194,IF((P194-Q194)=-1,-M194,0))</f>
        <v/>
      </c>
      <c r="U194" s="101">
        <f>IF(AND(H194=1,LedAcct&lt;&gt;""),IF(AND(E194&gt;=LedFrom,E194&lt;=LedTo,OR(I194=LedAcct,K194=LedAcct,AND(LedAcct=acctTax,M194+N194&lt;&gt;0))),E194*10000+B194,""),"")</f>
        <v/>
      </c>
    </row>
    <row r="195">
      <c r="B195" s="101" t="n">
        <v>189</v>
      </c>
      <c r="C195" s="58" t="inlineStr">
        <is>
          <t>Transaction</t>
        </is>
      </c>
      <c r="D195" s="58">
        <f>IF(H195=1,INDEX(tx_ID,189)&amp;"","")</f>
        <v/>
      </c>
      <c r="E195" s="94">
        <f>IF(H195=1,INDEX(tx_Date,189),"")</f>
        <v/>
      </c>
      <c r="F195" s="58">
        <f>IF(H195=1,INDEX(tx_Desc,189)&amp;"","")</f>
        <v/>
      </c>
      <c r="G195" s="58">
        <f>IF(H195=1,IF(INDEX(tx_Cust,189)&amp;""&lt;&gt;"",INDEX(tx_Cust,189)&amp;"",INDEX(tx_Vend,189)&amp;""),"")</f>
        <v/>
      </c>
      <c r="H195" s="101">
        <f>IFERROR(N(INDEX(tx_Posted,189)),0)</f>
        <v/>
      </c>
      <c r="I195" s="58">
        <f>IF(H195=1,INDEX(tx_DrAcct,189)&amp;"","")</f>
        <v/>
      </c>
      <c r="J195" s="95">
        <f>IF(H195=1,INDEX(tx_DrAmt,189),0)</f>
        <v/>
      </c>
      <c r="K195" s="58">
        <f>IF(H195=1,INDEX(tx_CrAcct,189)&amp;"","")</f>
        <v/>
      </c>
      <c r="L195" s="95">
        <f>IF(H195=1,INDEX(tx_CrAmt,189),0)</f>
        <v/>
      </c>
      <c r="M195" s="95">
        <f>IF(H195=1,INDEX(tx_TaxDr,189),0)</f>
        <v/>
      </c>
      <c r="N195" s="95">
        <f>IF(H195=1,INDEX(tx_TaxCr,189),0)</f>
        <v/>
      </c>
      <c r="O195" s="101">
        <f>IF(H195=1,IF(E195&lt;FYStart,0,IF(E195&gt;FYEnd,13,YEAR(E195)*12+MONTH(E195)-FYYM+1)),"")</f>
        <v/>
      </c>
      <c r="P195" s="101">
        <f>IF(H195=1,IF(IFERROR(INDEX(coa_CF,MATCH(I195,coa_Name,0)),"")="Cash",1,0),0)</f>
        <v/>
      </c>
      <c r="Q195" s="101">
        <f>IF(H195=1,IF(IFERROR(INDEX(coa_CF,MATCH(K195,coa_Name,0)),"")="Cash",1,0),0)</f>
        <v/>
      </c>
      <c r="R195" s="58">
        <f>IF((P195-Q195)=0,"",IFERROR(INDEX(coa_CF,MATCH(IF((P195-Q195)=1,K195,I195),coa_Name,0)),"Operating"))</f>
        <v/>
      </c>
      <c r="S195" s="95">
        <f>IF((P195-Q195)=1,L195,IF((P195-Q195)=-1,-J195,0))</f>
        <v/>
      </c>
      <c r="T195" s="95">
        <f>IF((P195-Q195)=1,N195,IF((P195-Q195)=-1,-M195,0))</f>
        <v/>
      </c>
      <c r="U195" s="101">
        <f>IF(AND(H195=1,LedAcct&lt;&gt;""),IF(AND(E195&gt;=LedFrom,E195&lt;=LedTo,OR(I195=LedAcct,K195=LedAcct,AND(LedAcct=acctTax,M195+N195&lt;&gt;0))),E195*10000+B195,""),"")</f>
        <v/>
      </c>
    </row>
    <row r="196">
      <c r="B196" s="101" t="n">
        <v>190</v>
      </c>
      <c r="C196" s="58" t="inlineStr">
        <is>
          <t>Transaction</t>
        </is>
      </c>
      <c r="D196" s="58">
        <f>IF(H196=1,INDEX(tx_ID,190)&amp;"","")</f>
        <v/>
      </c>
      <c r="E196" s="94">
        <f>IF(H196=1,INDEX(tx_Date,190),"")</f>
        <v/>
      </c>
      <c r="F196" s="58">
        <f>IF(H196=1,INDEX(tx_Desc,190)&amp;"","")</f>
        <v/>
      </c>
      <c r="G196" s="58">
        <f>IF(H196=1,IF(INDEX(tx_Cust,190)&amp;""&lt;&gt;"",INDEX(tx_Cust,190)&amp;"",INDEX(tx_Vend,190)&amp;""),"")</f>
        <v/>
      </c>
      <c r="H196" s="101">
        <f>IFERROR(N(INDEX(tx_Posted,190)),0)</f>
        <v/>
      </c>
      <c r="I196" s="58">
        <f>IF(H196=1,INDEX(tx_DrAcct,190)&amp;"","")</f>
        <v/>
      </c>
      <c r="J196" s="95">
        <f>IF(H196=1,INDEX(tx_DrAmt,190),0)</f>
        <v/>
      </c>
      <c r="K196" s="58">
        <f>IF(H196=1,INDEX(tx_CrAcct,190)&amp;"","")</f>
        <v/>
      </c>
      <c r="L196" s="95">
        <f>IF(H196=1,INDEX(tx_CrAmt,190),0)</f>
        <v/>
      </c>
      <c r="M196" s="95">
        <f>IF(H196=1,INDEX(tx_TaxDr,190),0)</f>
        <v/>
      </c>
      <c r="N196" s="95">
        <f>IF(H196=1,INDEX(tx_TaxCr,190),0)</f>
        <v/>
      </c>
      <c r="O196" s="101">
        <f>IF(H196=1,IF(E196&lt;FYStart,0,IF(E196&gt;FYEnd,13,YEAR(E196)*12+MONTH(E196)-FYYM+1)),"")</f>
        <v/>
      </c>
      <c r="P196" s="101">
        <f>IF(H196=1,IF(IFERROR(INDEX(coa_CF,MATCH(I196,coa_Name,0)),"")="Cash",1,0),0)</f>
        <v/>
      </c>
      <c r="Q196" s="101">
        <f>IF(H196=1,IF(IFERROR(INDEX(coa_CF,MATCH(K196,coa_Name,0)),"")="Cash",1,0),0)</f>
        <v/>
      </c>
      <c r="R196" s="58">
        <f>IF((P196-Q196)=0,"",IFERROR(INDEX(coa_CF,MATCH(IF((P196-Q196)=1,K196,I196),coa_Name,0)),"Operating"))</f>
        <v/>
      </c>
      <c r="S196" s="95">
        <f>IF((P196-Q196)=1,L196,IF((P196-Q196)=-1,-J196,0))</f>
        <v/>
      </c>
      <c r="T196" s="95">
        <f>IF((P196-Q196)=1,N196,IF((P196-Q196)=-1,-M196,0))</f>
        <v/>
      </c>
      <c r="U196" s="101">
        <f>IF(AND(H196=1,LedAcct&lt;&gt;""),IF(AND(E196&gt;=LedFrom,E196&lt;=LedTo,OR(I196=LedAcct,K196=LedAcct,AND(LedAcct=acctTax,M196+N196&lt;&gt;0))),E196*10000+B196,""),"")</f>
        <v/>
      </c>
    </row>
    <row r="197">
      <c r="B197" s="101" t="n">
        <v>191</v>
      </c>
      <c r="C197" s="58" t="inlineStr">
        <is>
          <t>Transaction</t>
        </is>
      </c>
      <c r="D197" s="58">
        <f>IF(H197=1,INDEX(tx_ID,191)&amp;"","")</f>
        <v/>
      </c>
      <c r="E197" s="94">
        <f>IF(H197=1,INDEX(tx_Date,191),"")</f>
        <v/>
      </c>
      <c r="F197" s="58">
        <f>IF(H197=1,INDEX(tx_Desc,191)&amp;"","")</f>
        <v/>
      </c>
      <c r="G197" s="58">
        <f>IF(H197=1,IF(INDEX(tx_Cust,191)&amp;""&lt;&gt;"",INDEX(tx_Cust,191)&amp;"",INDEX(tx_Vend,191)&amp;""),"")</f>
        <v/>
      </c>
      <c r="H197" s="101">
        <f>IFERROR(N(INDEX(tx_Posted,191)),0)</f>
        <v/>
      </c>
      <c r="I197" s="58">
        <f>IF(H197=1,INDEX(tx_DrAcct,191)&amp;"","")</f>
        <v/>
      </c>
      <c r="J197" s="95">
        <f>IF(H197=1,INDEX(tx_DrAmt,191),0)</f>
        <v/>
      </c>
      <c r="K197" s="58">
        <f>IF(H197=1,INDEX(tx_CrAcct,191)&amp;"","")</f>
        <v/>
      </c>
      <c r="L197" s="95">
        <f>IF(H197=1,INDEX(tx_CrAmt,191),0)</f>
        <v/>
      </c>
      <c r="M197" s="95">
        <f>IF(H197=1,INDEX(tx_TaxDr,191),0)</f>
        <v/>
      </c>
      <c r="N197" s="95">
        <f>IF(H197=1,INDEX(tx_TaxCr,191),0)</f>
        <v/>
      </c>
      <c r="O197" s="101">
        <f>IF(H197=1,IF(E197&lt;FYStart,0,IF(E197&gt;FYEnd,13,YEAR(E197)*12+MONTH(E197)-FYYM+1)),"")</f>
        <v/>
      </c>
      <c r="P197" s="101">
        <f>IF(H197=1,IF(IFERROR(INDEX(coa_CF,MATCH(I197,coa_Name,0)),"")="Cash",1,0),0)</f>
        <v/>
      </c>
      <c r="Q197" s="101">
        <f>IF(H197=1,IF(IFERROR(INDEX(coa_CF,MATCH(K197,coa_Name,0)),"")="Cash",1,0),0)</f>
        <v/>
      </c>
      <c r="R197" s="58">
        <f>IF((P197-Q197)=0,"",IFERROR(INDEX(coa_CF,MATCH(IF((P197-Q197)=1,K197,I197),coa_Name,0)),"Operating"))</f>
        <v/>
      </c>
      <c r="S197" s="95">
        <f>IF((P197-Q197)=1,L197,IF((P197-Q197)=-1,-J197,0))</f>
        <v/>
      </c>
      <c r="T197" s="95">
        <f>IF((P197-Q197)=1,N197,IF((P197-Q197)=-1,-M197,0))</f>
        <v/>
      </c>
      <c r="U197" s="101">
        <f>IF(AND(H197=1,LedAcct&lt;&gt;""),IF(AND(E197&gt;=LedFrom,E197&lt;=LedTo,OR(I197=LedAcct,K197=LedAcct,AND(LedAcct=acctTax,M197+N197&lt;&gt;0))),E197*10000+B197,""),"")</f>
        <v/>
      </c>
    </row>
    <row r="198">
      <c r="B198" s="101" t="n">
        <v>192</v>
      </c>
      <c r="C198" s="58" t="inlineStr">
        <is>
          <t>Transaction</t>
        </is>
      </c>
      <c r="D198" s="58">
        <f>IF(H198=1,INDEX(tx_ID,192)&amp;"","")</f>
        <v/>
      </c>
      <c r="E198" s="94">
        <f>IF(H198=1,INDEX(tx_Date,192),"")</f>
        <v/>
      </c>
      <c r="F198" s="58">
        <f>IF(H198=1,INDEX(tx_Desc,192)&amp;"","")</f>
        <v/>
      </c>
      <c r="G198" s="58">
        <f>IF(H198=1,IF(INDEX(tx_Cust,192)&amp;""&lt;&gt;"",INDEX(tx_Cust,192)&amp;"",INDEX(tx_Vend,192)&amp;""),"")</f>
        <v/>
      </c>
      <c r="H198" s="101">
        <f>IFERROR(N(INDEX(tx_Posted,192)),0)</f>
        <v/>
      </c>
      <c r="I198" s="58">
        <f>IF(H198=1,INDEX(tx_DrAcct,192)&amp;"","")</f>
        <v/>
      </c>
      <c r="J198" s="95">
        <f>IF(H198=1,INDEX(tx_DrAmt,192),0)</f>
        <v/>
      </c>
      <c r="K198" s="58">
        <f>IF(H198=1,INDEX(tx_CrAcct,192)&amp;"","")</f>
        <v/>
      </c>
      <c r="L198" s="95">
        <f>IF(H198=1,INDEX(tx_CrAmt,192),0)</f>
        <v/>
      </c>
      <c r="M198" s="95">
        <f>IF(H198=1,INDEX(tx_TaxDr,192),0)</f>
        <v/>
      </c>
      <c r="N198" s="95">
        <f>IF(H198=1,INDEX(tx_TaxCr,192),0)</f>
        <v/>
      </c>
      <c r="O198" s="101">
        <f>IF(H198=1,IF(E198&lt;FYStart,0,IF(E198&gt;FYEnd,13,YEAR(E198)*12+MONTH(E198)-FYYM+1)),"")</f>
        <v/>
      </c>
      <c r="P198" s="101">
        <f>IF(H198=1,IF(IFERROR(INDEX(coa_CF,MATCH(I198,coa_Name,0)),"")="Cash",1,0),0)</f>
        <v/>
      </c>
      <c r="Q198" s="101">
        <f>IF(H198=1,IF(IFERROR(INDEX(coa_CF,MATCH(K198,coa_Name,0)),"")="Cash",1,0),0)</f>
        <v/>
      </c>
      <c r="R198" s="58">
        <f>IF((P198-Q198)=0,"",IFERROR(INDEX(coa_CF,MATCH(IF((P198-Q198)=1,K198,I198),coa_Name,0)),"Operating"))</f>
        <v/>
      </c>
      <c r="S198" s="95">
        <f>IF((P198-Q198)=1,L198,IF((P198-Q198)=-1,-J198,0))</f>
        <v/>
      </c>
      <c r="T198" s="95">
        <f>IF((P198-Q198)=1,N198,IF((P198-Q198)=-1,-M198,0))</f>
        <v/>
      </c>
      <c r="U198" s="101">
        <f>IF(AND(H198=1,LedAcct&lt;&gt;""),IF(AND(E198&gt;=LedFrom,E198&lt;=LedTo,OR(I198=LedAcct,K198=LedAcct,AND(LedAcct=acctTax,M198+N198&lt;&gt;0))),E198*10000+B198,""),"")</f>
        <v/>
      </c>
    </row>
    <row r="199">
      <c r="B199" s="101" t="n">
        <v>193</v>
      </c>
      <c r="C199" s="58" t="inlineStr">
        <is>
          <t>Transaction</t>
        </is>
      </c>
      <c r="D199" s="58">
        <f>IF(H199=1,INDEX(tx_ID,193)&amp;"","")</f>
        <v/>
      </c>
      <c r="E199" s="94">
        <f>IF(H199=1,INDEX(tx_Date,193),"")</f>
        <v/>
      </c>
      <c r="F199" s="58">
        <f>IF(H199=1,INDEX(tx_Desc,193)&amp;"","")</f>
        <v/>
      </c>
      <c r="G199" s="58">
        <f>IF(H199=1,IF(INDEX(tx_Cust,193)&amp;""&lt;&gt;"",INDEX(tx_Cust,193)&amp;"",INDEX(tx_Vend,193)&amp;""),"")</f>
        <v/>
      </c>
      <c r="H199" s="101">
        <f>IFERROR(N(INDEX(tx_Posted,193)),0)</f>
        <v/>
      </c>
      <c r="I199" s="58">
        <f>IF(H199=1,INDEX(tx_DrAcct,193)&amp;"","")</f>
        <v/>
      </c>
      <c r="J199" s="95">
        <f>IF(H199=1,INDEX(tx_DrAmt,193),0)</f>
        <v/>
      </c>
      <c r="K199" s="58">
        <f>IF(H199=1,INDEX(tx_CrAcct,193)&amp;"","")</f>
        <v/>
      </c>
      <c r="L199" s="95">
        <f>IF(H199=1,INDEX(tx_CrAmt,193),0)</f>
        <v/>
      </c>
      <c r="M199" s="95">
        <f>IF(H199=1,INDEX(tx_TaxDr,193),0)</f>
        <v/>
      </c>
      <c r="N199" s="95">
        <f>IF(H199=1,INDEX(tx_TaxCr,193),0)</f>
        <v/>
      </c>
      <c r="O199" s="101">
        <f>IF(H199=1,IF(E199&lt;FYStart,0,IF(E199&gt;FYEnd,13,YEAR(E199)*12+MONTH(E199)-FYYM+1)),"")</f>
        <v/>
      </c>
      <c r="P199" s="101">
        <f>IF(H199=1,IF(IFERROR(INDEX(coa_CF,MATCH(I199,coa_Name,0)),"")="Cash",1,0),0)</f>
        <v/>
      </c>
      <c r="Q199" s="101">
        <f>IF(H199=1,IF(IFERROR(INDEX(coa_CF,MATCH(K199,coa_Name,0)),"")="Cash",1,0),0)</f>
        <v/>
      </c>
      <c r="R199" s="58">
        <f>IF((P199-Q199)=0,"",IFERROR(INDEX(coa_CF,MATCH(IF((P199-Q199)=1,K199,I199),coa_Name,0)),"Operating"))</f>
        <v/>
      </c>
      <c r="S199" s="95">
        <f>IF((P199-Q199)=1,L199,IF((P199-Q199)=-1,-J199,0))</f>
        <v/>
      </c>
      <c r="T199" s="95">
        <f>IF((P199-Q199)=1,N199,IF((P199-Q199)=-1,-M199,0))</f>
        <v/>
      </c>
      <c r="U199" s="101">
        <f>IF(AND(H199=1,LedAcct&lt;&gt;""),IF(AND(E199&gt;=LedFrom,E199&lt;=LedTo,OR(I199=LedAcct,K199=LedAcct,AND(LedAcct=acctTax,M199+N199&lt;&gt;0))),E199*10000+B199,""),"")</f>
        <v/>
      </c>
    </row>
    <row r="200">
      <c r="B200" s="101" t="n">
        <v>194</v>
      </c>
      <c r="C200" s="58" t="inlineStr">
        <is>
          <t>Transaction</t>
        </is>
      </c>
      <c r="D200" s="58">
        <f>IF(H200=1,INDEX(tx_ID,194)&amp;"","")</f>
        <v/>
      </c>
      <c r="E200" s="94">
        <f>IF(H200=1,INDEX(tx_Date,194),"")</f>
        <v/>
      </c>
      <c r="F200" s="58">
        <f>IF(H200=1,INDEX(tx_Desc,194)&amp;"","")</f>
        <v/>
      </c>
      <c r="G200" s="58">
        <f>IF(H200=1,IF(INDEX(tx_Cust,194)&amp;""&lt;&gt;"",INDEX(tx_Cust,194)&amp;"",INDEX(tx_Vend,194)&amp;""),"")</f>
        <v/>
      </c>
      <c r="H200" s="101">
        <f>IFERROR(N(INDEX(tx_Posted,194)),0)</f>
        <v/>
      </c>
      <c r="I200" s="58">
        <f>IF(H200=1,INDEX(tx_DrAcct,194)&amp;"","")</f>
        <v/>
      </c>
      <c r="J200" s="95">
        <f>IF(H200=1,INDEX(tx_DrAmt,194),0)</f>
        <v/>
      </c>
      <c r="K200" s="58">
        <f>IF(H200=1,INDEX(tx_CrAcct,194)&amp;"","")</f>
        <v/>
      </c>
      <c r="L200" s="95">
        <f>IF(H200=1,INDEX(tx_CrAmt,194),0)</f>
        <v/>
      </c>
      <c r="M200" s="95">
        <f>IF(H200=1,INDEX(tx_TaxDr,194),0)</f>
        <v/>
      </c>
      <c r="N200" s="95">
        <f>IF(H200=1,INDEX(tx_TaxCr,194),0)</f>
        <v/>
      </c>
      <c r="O200" s="101">
        <f>IF(H200=1,IF(E200&lt;FYStart,0,IF(E200&gt;FYEnd,13,YEAR(E200)*12+MONTH(E200)-FYYM+1)),"")</f>
        <v/>
      </c>
      <c r="P200" s="101">
        <f>IF(H200=1,IF(IFERROR(INDEX(coa_CF,MATCH(I200,coa_Name,0)),"")="Cash",1,0),0)</f>
        <v/>
      </c>
      <c r="Q200" s="101">
        <f>IF(H200=1,IF(IFERROR(INDEX(coa_CF,MATCH(K200,coa_Name,0)),"")="Cash",1,0),0)</f>
        <v/>
      </c>
      <c r="R200" s="58">
        <f>IF((P200-Q200)=0,"",IFERROR(INDEX(coa_CF,MATCH(IF((P200-Q200)=1,K200,I200),coa_Name,0)),"Operating"))</f>
        <v/>
      </c>
      <c r="S200" s="95">
        <f>IF((P200-Q200)=1,L200,IF((P200-Q200)=-1,-J200,0))</f>
        <v/>
      </c>
      <c r="T200" s="95">
        <f>IF((P200-Q200)=1,N200,IF((P200-Q200)=-1,-M200,0))</f>
        <v/>
      </c>
      <c r="U200" s="101">
        <f>IF(AND(H200=1,LedAcct&lt;&gt;""),IF(AND(E200&gt;=LedFrom,E200&lt;=LedTo,OR(I200=LedAcct,K200=LedAcct,AND(LedAcct=acctTax,M200+N200&lt;&gt;0))),E200*10000+B200,""),"")</f>
        <v/>
      </c>
    </row>
    <row r="201">
      <c r="B201" s="101" t="n">
        <v>195</v>
      </c>
      <c r="C201" s="58" t="inlineStr">
        <is>
          <t>Transaction</t>
        </is>
      </c>
      <c r="D201" s="58">
        <f>IF(H201=1,INDEX(tx_ID,195)&amp;"","")</f>
        <v/>
      </c>
      <c r="E201" s="94">
        <f>IF(H201=1,INDEX(tx_Date,195),"")</f>
        <v/>
      </c>
      <c r="F201" s="58">
        <f>IF(H201=1,INDEX(tx_Desc,195)&amp;"","")</f>
        <v/>
      </c>
      <c r="G201" s="58">
        <f>IF(H201=1,IF(INDEX(tx_Cust,195)&amp;""&lt;&gt;"",INDEX(tx_Cust,195)&amp;"",INDEX(tx_Vend,195)&amp;""),"")</f>
        <v/>
      </c>
      <c r="H201" s="101">
        <f>IFERROR(N(INDEX(tx_Posted,195)),0)</f>
        <v/>
      </c>
      <c r="I201" s="58">
        <f>IF(H201=1,INDEX(tx_DrAcct,195)&amp;"","")</f>
        <v/>
      </c>
      <c r="J201" s="95">
        <f>IF(H201=1,INDEX(tx_DrAmt,195),0)</f>
        <v/>
      </c>
      <c r="K201" s="58">
        <f>IF(H201=1,INDEX(tx_CrAcct,195)&amp;"","")</f>
        <v/>
      </c>
      <c r="L201" s="95">
        <f>IF(H201=1,INDEX(tx_CrAmt,195),0)</f>
        <v/>
      </c>
      <c r="M201" s="95">
        <f>IF(H201=1,INDEX(tx_TaxDr,195),0)</f>
        <v/>
      </c>
      <c r="N201" s="95">
        <f>IF(H201=1,INDEX(tx_TaxCr,195),0)</f>
        <v/>
      </c>
      <c r="O201" s="101">
        <f>IF(H201=1,IF(E201&lt;FYStart,0,IF(E201&gt;FYEnd,13,YEAR(E201)*12+MONTH(E201)-FYYM+1)),"")</f>
        <v/>
      </c>
      <c r="P201" s="101">
        <f>IF(H201=1,IF(IFERROR(INDEX(coa_CF,MATCH(I201,coa_Name,0)),"")="Cash",1,0),0)</f>
        <v/>
      </c>
      <c r="Q201" s="101">
        <f>IF(H201=1,IF(IFERROR(INDEX(coa_CF,MATCH(K201,coa_Name,0)),"")="Cash",1,0),0)</f>
        <v/>
      </c>
      <c r="R201" s="58">
        <f>IF((P201-Q201)=0,"",IFERROR(INDEX(coa_CF,MATCH(IF((P201-Q201)=1,K201,I201),coa_Name,0)),"Operating"))</f>
        <v/>
      </c>
      <c r="S201" s="95">
        <f>IF((P201-Q201)=1,L201,IF((P201-Q201)=-1,-J201,0))</f>
        <v/>
      </c>
      <c r="T201" s="95">
        <f>IF((P201-Q201)=1,N201,IF((P201-Q201)=-1,-M201,0))</f>
        <v/>
      </c>
      <c r="U201" s="101">
        <f>IF(AND(H201=1,LedAcct&lt;&gt;""),IF(AND(E201&gt;=LedFrom,E201&lt;=LedTo,OR(I201=LedAcct,K201=LedAcct,AND(LedAcct=acctTax,M201+N201&lt;&gt;0))),E201*10000+B201,""),"")</f>
        <v/>
      </c>
    </row>
    <row r="202">
      <c r="B202" s="101" t="n">
        <v>196</v>
      </c>
      <c r="C202" s="58" t="inlineStr">
        <is>
          <t>Transaction</t>
        </is>
      </c>
      <c r="D202" s="58">
        <f>IF(H202=1,INDEX(tx_ID,196)&amp;"","")</f>
        <v/>
      </c>
      <c r="E202" s="94">
        <f>IF(H202=1,INDEX(tx_Date,196),"")</f>
        <v/>
      </c>
      <c r="F202" s="58">
        <f>IF(H202=1,INDEX(tx_Desc,196)&amp;"","")</f>
        <v/>
      </c>
      <c r="G202" s="58">
        <f>IF(H202=1,IF(INDEX(tx_Cust,196)&amp;""&lt;&gt;"",INDEX(tx_Cust,196)&amp;"",INDEX(tx_Vend,196)&amp;""),"")</f>
        <v/>
      </c>
      <c r="H202" s="101">
        <f>IFERROR(N(INDEX(tx_Posted,196)),0)</f>
        <v/>
      </c>
      <c r="I202" s="58">
        <f>IF(H202=1,INDEX(tx_DrAcct,196)&amp;"","")</f>
        <v/>
      </c>
      <c r="J202" s="95">
        <f>IF(H202=1,INDEX(tx_DrAmt,196),0)</f>
        <v/>
      </c>
      <c r="K202" s="58">
        <f>IF(H202=1,INDEX(tx_CrAcct,196)&amp;"","")</f>
        <v/>
      </c>
      <c r="L202" s="95">
        <f>IF(H202=1,INDEX(tx_CrAmt,196),0)</f>
        <v/>
      </c>
      <c r="M202" s="95">
        <f>IF(H202=1,INDEX(tx_TaxDr,196),0)</f>
        <v/>
      </c>
      <c r="N202" s="95">
        <f>IF(H202=1,INDEX(tx_TaxCr,196),0)</f>
        <v/>
      </c>
      <c r="O202" s="101">
        <f>IF(H202=1,IF(E202&lt;FYStart,0,IF(E202&gt;FYEnd,13,YEAR(E202)*12+MONTH(E202)-FYYM+1)),"")</f>
        <v/>
      </c>
      <c r="P202" s="101">
        <f>IF(H202=1,IF(IFERROR(INDEX(coa_CF,MATCH(I202,coa_Name,0)),"")="Cash",1,0),0)</f>
        <v/>
      </c>
      <c r="Q202" s="101">
        <f>IF(H202=1,IF(IFERROR(INDEX(coa_CF,MATCH(K202,coa_Name,0)),"")="Cash",1,0),0)</f>
        <v/>
      </c>
      <c r="R202" s="58">
        <f>IF((P202-Q202)=0,"",IFERROR(INDEX(coa_CF,MATCH(IF((P202-Q202)=1,K202,I202),coa_Name,0)),"Operating"))</f>
        <v/>
      </c>
      <c r="S202" s="95">
        <f>IF((P202-Q202)=1,L202,IF((P202-Q202)=-1,-J202,0))</f>
        <v/>
      </c>
      <c r="T202" s="95">
        <f>IF((P202-Q202)=1,N202,IF((P202-Q202)=-1,-M202,0))</f>
        <v/>
      </c>
      <c r="U202" s="101">
        <f>IF(AND(H202=1,LedAcct&lt;&gt;""),IF(AND(E202&gt;=LedFrom,E202&lt;=LedTo,OR(I202=LedAcct,K202=LedAcct,AND(LedAcct=acctTax,M202+N202&lt;&gt;0))),E202*10000+B202,""),"")</f>
        <v/>
      </c>
    </row>
    <row r="203">
      <c r="B203" s="101" t="n">
        <v>197</v>
      </c>
      <c r="C203" s="58" t="inlineStr">
        <is>
          <t>Transaction</t>
        </is>
      </c>
      <c r="D203" s="58">
        <f>IF(H203=1,INDEX(tx_ID,197)&amp;"","")</f>
        <v/>
      </c>
      <c r="E203" s="94">
        <f>IF(H203=1,INDEX(tx_Date,197),"")</f>
        <v/>
      </c>
      <c r="F203" s="58">
        <f>IF(H203=1,INDEX(tx_Desc,197)&amp;"","")</f>
        <v/>
      </c>
      <c r="G203" s="58">
        <f>IF(H203=1,IF(INDEX(tx_Cust,197)&amp;""&lt;&gt;"",INDEX(tx_Cust,197)&amp;"",INDEX(tx_Vend,197)&amp;""),"")</f>
        <v/>
      </c>
      <c r="H203" s="101">
        <f>IFERROR(N(INDEX(tx_Posted,197)),0)</f>
        <v/>
      </c>
      <c r="I203" s="58">
        <f>IF(H203=1,INDEX(tx_DrAcct,197)&amp;"","")</f>
        <v/>
      </c>
      <c r="J203" s="95">
        <f>IF(H203=1,INDEX(tx_DrAmt,197),0)</f>
        <v/>
      </c>
      <c r="K203" s="58">
        <f>IF(H203=1,INDEX(tx_CrAcct,197)&amp;"","")</f>
        <v/>
      </c>
      <c r="L203" s="95">
        <f>IF(H203=1,INDEX(tx_CrAmt,197),0)</f>
        <v/>
      </c>
      <c r="M203" s="95">
        <f>IF(H203=1,INDEX(tx_TaxDr,197),0)</f>
        <v/>
      </c>
      <c r="N203" s="95">
        <f>IF(H203=1,INDEX(tx_TaxCr,197),0)</f>
        <v/>
      </c>
      <c r="O203" s="101">
        <f>IF(H203=1,IF(E203&lt;FYStart,0,IF(E203&gt;FYEnd,13,YEAR(E203)*12+MONTH(E203)-FYYM+1)),"")</f>
        <v/>
      </c>
      <c r="P203" s="101">
        <f>IF(H203=1,IF(IFERROR(INDEX(coa_CF,MATCH(I203,coa_Name,0)),"")="Cash",1,0),0)</f>
        <v/>
      </c>
      <c r="Q203" s="101">
        <f>IF(H203=1,IF(IFERROR(INDEX(coa_CF,MATCH(K203,coa_Name,0)),"")="Cash",1,0),0)</f>
        <v/>
      </c>
      <c r="R203" s="58">
        <f>IF((P203-Q203)=0,"",IFERROR(INDEX(coa_CF,MATCH(IF((P203-Q203)=1,K203,I203),coa_Name,0)),"Operating"))</f>
        <v/>
      </c>
      <c r="S203" s="95">
        <f>IF((P203-Q203)=1,L203,IF((P203-Q203)=-1,-J203,0))</f>
        <v/>
      </c>
      <c r="T203" s="95">
        <f>IF((P203-Q203)=1,N203,IF((P203-Q203)=-1,-M203,0))</f>
        <v/>
      </c>
      <c r="U203" s="101">
        <f>IF(AND(H203=1,LedAcct&lt;&gt;""),IF(AND(E203&gt;=LedFrom,E203&lt;=LedTo,OR(I203=LedAcct,K203=LedAcct,AND(LedAcct=acctTax,M203+N203&lt;&gt;0))),E203*10000+B203,""),"")</f>
        <v/>
      </c>
    </row>
    <row r="204">
      <c r="B204" s="101" t="n">
        <v>198</v>
      </c>
      <c r="C204" s="58" t="inlineStr">
        <is>
          <t>Transaction</t>
        </is>
      </c>
      <c r="D204" s="58">
        <f>IF(H204=1,INDEX(tx_ID,198)&amp;"","")</f>
        <v/>
      </c>
      <c r="E204" s="94">
        <f>IF(H204=1,INDEX(tx_Date,198),"")</f>
        <v/>
      </c>
      <c r="F204" s="58">
        <f>IF(H204=1,INDEX(tx_Desc,198)&amp;"","")</f>
        <v/>
      </c>
      <c r="G204" s="58">
        <f>IF(H204=1,IF(INDEX(tx_Cust,198)&amp;""&lt;&gt;"",INDEX(tx_Cust,198)&amp;"",INDEX(tx_Vend,198)&amp;""),"")</f>
        <v/>
      </c>
      <c r="H204" s="101">
        <f>IFERROR(N(INDEX(tx_Posted,198)),0)</f>
        <v/>
      </c>
      <c r="I204" s="58">
        <f>IF(H204=1,INDEX(tx_DrAcct,198)&amp;"","")</f>
        <v/>
      </c>
      <c r="J204" s="95">
        <f>IF(H204=1,INDEX(tx_DrAmt,198),0)</f>
        <v/>
      </c>
      <c r="K204" s="58">
        <f>IF(H204=1,INDEX(tx_CrAcct,198)&amp;"","")</f>
        <v/>
      </c>
      <c r="L204" s="95">
        <f>IF(H204=1,INDEX(tx_CrAmt,198),0)</f>
        <v/>
      </c>
      <c r="M204" s="95">
        <f>IF(H204=1,INDEX(tx_TaxDr,198),0)</f>
        <v/>
      </c>
      <c r="N204" s="95">
        <f>IF(H204=1,INDEX(tx_TaxCr,198),0)</f>
        <v/>
      </c>
      <c r="O204" s="101">
        <f>IF(H204=1,IF(E204&lt;FYStart,0,IF(E204&gt;FYEnd,13,YEAR(E204)*12+MONTH(E204)-FYYM+1)),"")</f>
        <v/>
      </c>
      <c r="P204" s="101">
        <f>IF(H204=1,IF(IFERROR(INDEX(coa_CF,MATCH(I204,coa_Name,0)),"")="Cash",1,0),0)</f>
        <v/>
      </c>
      <c r="Q204" s="101">
        <f>IF(H204=1,IF(IFERROR(INDEX(coa_CF,MATCH(K204,coa_Name,0)),"")="Cash",1,0),0)</f>
        <v/>
      </c>
      <c r="R204" s="58">
        <f>IF((P204-Q204)=0,"",IFERROR(INDEX(coa_CF,MATCH(IF((P204-Q204)=1,K204,I204),coa_Name,0)),"Operating"))</f>
        <v/>
      </c>
      <c r="S204" s="95">
        <f>IF((P204-Q204)=1,L204,IF((P204-Q204)=-1,-J204,0))</f>
        <v/>
      </c>
      <c r="T204" s="95">
        <f>IF((P204-Q204)=1,N204,IF((P204-Q204)=-1,-M204,0))</f>
        <v/>
      </c>
      <c r="U204" s="101">
        <f>IF(AND(H204=1,LedAcct&lt;&gt;""),IF(AND(E204&gt;=LedFrom,E204&lt;=LedTo,OR(I204=LedAcct,K204=LedAcct,AND(LedAcct=acctTax,M204+N204&lt;&gt;0))),E204*10000+B204,""),"")</f>
        <v/>
      </c>
    </row>
    <row r="205">
      <c r="B205" s="101" t="n">
        <v>199</v>
      </c>
      <c r="C205" s="58" t="inlineStr">
        <is>
          <t>Transaction</t>
        </is>
      </c>
      <c r="D205" s="58">
        <f>IF(H205=1,INDEX(tx_ID,199)&amp;"","")</f>
        <v/>
      </c>
      <c r="E205" s="94">
        <f>IF(H205=1,INDEX(tx_Date,199),"")</f>
        <v/>
      </c>
      <c r="F205" s="58">
        <f>IF(H205=1,INDEX(tx_Desc,199)&amp;"","")</f>
        <v/>
      </c>
      <c r="G205" s="58">
        <f>IF(H205=1,IF(INDEX(tx_Cust,199)&amp;""&lt;&gt;"",INDEX(tx_Cust,199)&amp;"",INDEX(tx_Vend,199)&amp;""),"")</f>
        <v/>
      </c>
      <c r="H205" s="101">
        <f>IFERROR(N(INDEX(tx_Posted,199)),0)</f>
        <v/>
      </c>
      <c r="I205" s="58">
        <f>IF(H205=1,INDEX(tx_DrAcct,199)&amp;"","")</f>
        <v/>
      </c>
      <c r="J205" s="95">
        <f>IF(H205=1,INDEX(tx_DrAmt,199),0)</f>
        <v/>
      </c>
      <c r="K205" s="58">
        <f>IF(H205=1,INDEX(tx_CrAcct,199)&amp;"","")</f>
        <v/>
      </c>
      <c r="L205" s="95">
        <f>IF(H205=1,INDEX(tx_CrAmt,199),0)</f>
        <v/>
      </c>
      <c r="M205" s="95">
        <f>IF(H205=1,INDEX(tx_TaxDr,199),0)</f>
        <v/>
      </c>
      <c r="N205" s="95">
        <f>IF(H205=1,INDEX(tx_TaxCr,199),0)</f>
        <v/>
      </c>
      <c r="O205" s="101">
        <f>IF(H205=1,IF(E205&lt;FYStart,0,IF(E205&gt;FYEnd,13,YEAR(E205)*12+MONTH(E205)-FYYM+1)),"")</f>
        <v/>
      </c>
      <c r="P205" s="101">
        <f>IF(H205=1,IF(IFERROR(INDEX(coa_CF,MATCH(I205,coa_Name,0)),"")="Cash",1,0),0)</f>
        <v/>
      </c>
      <c r="Q205" s="101">
        <f>IF(H205=1,IF(IFERROR(INDEX(coa_CF,MATCH(K205,coa_Name,0)),"")="Cash",1,0),0)</f>
        <v/>
      </c>
      <c r="R205" s="58">
        <f>IF((P205-Q205)=0,"",IFERROR(INDEX(coa_CF,MATCH(IF((P205-Q205)=1,K205,I205),coa_Name,0)),"Operating"))</f>
        <v/>
      </c>
      <c r="S205" s="95">
        <f>IF((P205-Q205)=1,L205,IF((P205-Q205)=-1,-J205,0))</f>
        <v/>
      </c>
      <c r="T205" s="95">
        <f>IF((P205-Q205)=1,N205,IF((P205-Q205)=-1,-M205,0))</f>
        <v/>
      </c>
      <c r="U205" s="101">
        <f>IF(AND(H205=1,LedAcct&lt;&gt;""),IF(AND(E205&gt;=LedFrom,E205&lt;=LedTo,OR(I205=LedAcct,K205=LedAcct,AND(LedAcct=acctTax,M205+N205&lt;&gt;0))),E205*10000+B205,""),"")</f>
        <v/>
      </c>
    </row>
    <row r="206">
      <c r="B206" s="101" t="n">
        <v>200</v>
      </c>
      <c r="C206" s="58" t="inlineStr">
        <is>
          <t>Transaction</t>
        </is>
      </c>
      <c r="D206" s="58">
        <f>IF(H206=1,INDEX(tx_ID,200)&amp;"","")</f>
        <v/>
      </c>
      <c r="E206" s="94">
        <f>IF(H206=1,INDEX(tx_Date,200),"")</f>
        <v/>
      </c>
      <c r="F206" s="58">
        <f>IF(H206=1,INDEX(tx_Desc,200)&amp;"","")</f>
        <v/>
      </c>
      <c r="G206" s="58">
        <f>IF(H206=1,IF(INDEX(tx_Cust,200)&amp;""&lt;&gt;"",INDEX(tx_Cust,200)&amp;"",INDEX(tx_Vend,200)&amp;""),"")</f>
        <v/>
      </c>
      <c r="H206" s="101">
        <f>IFERROR(N(INDEX(tx_Posted,200)),0)</f>
        <v/>
      </c>
      <c r="I206" s="58">
        <f>IF(H206=1,INDEX(tx_DrAcct,200)&amp;"","")</f>
        <v/>
      </c>
      <c r="J206" s="95">
        <f>IF(H206=1,INDEX(tx_DrAmt,200),0)</f>
        <v/>
      </c>
      <c r="K206" s="58">
        <f>IF(H206=1,INDEX(tx_CrAcct,200)&amp;"","")</f>
        <v/>
      </c>
      <c r="L206" s="95">
        <f>IF(H206=1,INDEX(tx_CrAmt,200),0)</f>
        <v/>
      </c>
      <c r="M206" s="95">
        <f>IF(H206=1,INDEX(tx_TaxDr,200),0)</f>
        <v/>
      </c>
      <c r="N206" s="95">
        <f>IF(H206=1,INDEX(tx_TaxCr,200),0)</f>
        <v/>
      </c>
      <c r="O206" s="101">
        <f>IF(H206=1,IF(E206&lt;FYStart,0,IF(E206&gt;FYEnd,13,YEAR(E206)*12+MONTH(E206)-FYYM+1)),"")</f>
        <v/>
      </c>
      <c r="P206" s="101">
        <f>IF(H206=1,IF(IFERROR(INDEX(coa_CF,MATCH(I206,coa_Name,0)),"")="Cash",1,0),0)</f>
        <v/>
      </c>
      <c r="Q206" s="101">
        <f>IF(H206=1,IF(IFERROR(INDEX(coa_CF,MATCH(K206,coa_Name,0)),"")="Cash",1,0),0)</f>
        <v/>
      </c>
      <c r="R206" s="58">
        <f>IF((P206-Q206)=0,"",IFERROR(INDEX(coa_CF,MATCH(IF((P206-Q206)=1,K206,I206),coa_Name,0)),"Operating"))</f>
        <v/>
      </c>
      <c r="S206" s="95">
        <f>IF((P206-Q206)=1,L206,IF((P206-Q206)=-1,-J206,0))</f>
        <v/>
      </c>
      <c r="T206" s="95">
        <f>IF((P206-Q206)=1,N206,IF((P206-Q206)=-1,-M206,0))</f>
        <v/>
      </c>
      <c r="U206" s="101">
        <f>IF(AND(H206=1,LedAcct&lt;&gt;""),IF(AND(E206&gt;=LedFrom,E206&lt;=LedTo,OR(I206=LedAcct,K206=LedAcct,AND(LedAcct=acctTax,M206+N206&lt;&gt;0))),E206*10000+B206,""),"")</f>
        <v/>
      </c>
    </row>
    <row r="207">
      <c r="B207" s="101" t="n">
        <v>201</v>
      </c>
      <c r="C207" s="58" t="inlineStr">
        <is>
          <t>Transaction</t>
        </is>
      </c>
      <c r="D207" s="58">
        <f>IF(H207=1,INDEX(tx_ID,201)&amp;"","")</f>
        <v/>
      </c>
      <c r="E207" s="94">
        <f>IF(H207=1,INDEX(tx_Date,201),"")</f>
        <v/>
      </c>
      <c r="F207" s="58">
        <f>IF(H207=1,INDEX(tx_Desc,201)&amp;"","")</f>
        <v/>
      </c>
      <c r="G207" s="58">
        <f>IF(H207=1,IF(INDEX(tx_Cust,201)&amp;""&lt;&gt;"",INDEX(tx_Cust,201)&amp;"",INDEX(tx_Vend,201)&amp;""),"")</f>
        <v/>
      </c>
      <c r="H207" s="101">
        <f>IFERROR(N(INDEX(tx_Posted,201)),0)</f>
        <v/>
      </c>
      <c r="I207" s="58">
        <f>IF(H207=1,INDEX(tx_DrAcct,201)&amp;"","")</f>
        <v/>
      </c>
      <c r="J207" s="95">
        <f>IF(H207=1,INDEX(tx_DrAmt,201),0)</f>
        <v/>
      </c>
      <c r="K207" s="58">
        <f>IF(H207=1,INDEX(tx_CrAcct,201)&amp;"","")</f>
        <v/>
      </c>
      <c r="L207" s="95">
        <f>IF(H207=1,INDEX(tx_CrAmt,201),0)</f>
        <v/>
      </c>
      <c r="M207" s="95">
        <f>IF(H207=1,INDEX(tx_TaxDr,201),0)</f>
        <v/>
      </c>
      <c r="N207" s="95">
        <f>IF(H207=1,INDEX(tx_TaxCr,201),0)</f>
        <v/>
      </c>
      <c r="O207" s="101">
        <f>IF(H207=1,IF(E207&lt;FYStart,0,IF(E207&gt;FYEnd,13,YEAR(E207)*12+MONTH(E207)-FYYM+1)),"")</f>
        <v/>
      </c>
      <c r="P207" s="101">
        <f>IF(H207=1,IF(IFERROR(INDEX(coa_CF,MATCH(I207,coa_Name,0)),"")="Cash",1,0),0)</f>
        <v/>
      </c>
      <c r="Q207" s="101">
        <f>IF(H207=1,IF(IFERROR(INDEX(coa_CF,MATCH(K207,coa_Name,0)),"")="Cash",1,0),0)</f>
        <v/>
      </c>
      <c r="R207" s="58">
        <f>IF((P207-Q207)=0,"",IFERROR(INDEX(coa_CF,MATCH(IF((P207-Q207)=1,K207,I207),coa_Name,0)),"Operating"))</f>
        <v/>
      </c>
      <c r="S207" s="95">
        <f>IF((P207-Q207)=1,L207,IF((P207-Q207)=-1,-J207,0))</f>
        <v/>
      </c>
      <c r="T207" s="95">
        <f>IF((P207-Q207)=1,N207,IF((P207-Q207)=-1,-M207,0))</f>
        <v/>
      </c>
      <c r="U207" s="101">
        <f>IF(AND(H207=1,LedAcct&lt;&gt;""),IF(AND(E207&gt;=LedFrom,E207&lt;=LedTo,OR(I207=LedAcct,K207=LedAcct,AND(LedAcct=acctTax,M207+N207&lt;&gt;0))),E207*10000+B207,""),"")</f>
        <v/>
      </c>
    </row>
    <row r="208">
      <c r="B208" s="101" t="n">
        <v>202</v>
      </c>
      <c r="C208" s="58" t="inlineStr">
        <is>
          <t>Transaction</t>
        </is>
      </c>
      <c r="D208" s="58">
        <f>IF(H208=1,INDEX(tx_ID,202)&amp;"","")</f>
        <v/>
      </c>
      <c r="E208" s="94">
        <f>IF(H208=1,INDEX(tx_Date,202),"")</f>
        <v/>
      </c>
      <c r="F208" s="58">
        <f>IF(H208=1,INDEX(tx_Desc,202)&amp;"","")</f>
        <v/>
      </c>
      <c r="G208" s="58">
        <f>IF(H208=1,IF(INDEX(tx_Cust,202)&amp;""&lt;&gt;"",INDEX(tx_Cust,202)&amp;"",INDEX(tx_Vend,202)&amp;""),"")</f>
        <v/>
      </c>
      <c r="H208" s="101">
        <f>IFERROR(N(INDEX(tx_Posted,202)),0)</f>
        <v/>
      </c>
      <c r="I208" s="58">
        <f>IF(H208=1,INDEX(tx_DrAcct,202)&amp;"","")</f>
        <v/>
      </c>
      <c r="J208" s="95">
        <f>IF(H208=1,INDEX(tx_DrAmt,202),0)</f>
        <v/>
      </c>
      <c r="K208" s="58">
        <f>IF(H208=1,INDEX(tx_CrAcct,202)&amp;"","")</f>
        <v/>
      </c>
      <c r="L208" s="95">
        <f>IF(H208=1,INDEX(tx_CrAmt,202),0)</f>
        <v/>
      </c>
      <c r="M208" s="95">
        <f>IF(H208=1,INDEX(tx_TaxDr,202),0)</f>
        <v/>
      </c>
      <c r="N208" s="95">
        <f>IF(H208=1,INDEX(tx_TaxCr,202),0)</f>
        <v/>
      </c>
      <c r="O208" s="101">
        <f>IF(H208=1,IF(E208&lt;FYStart,0,IF(E208&gt;FYEnd,13,YEAR(E208)*12+MONTH(E208)-FYYM+1)),"")</f>
        <v/>
      </c>
      <c r="P208" s="101">
        <f>IF(H208=1,IF(IFERROR(INDEX(coa_CF,MATCH(I208,coa_Name,0)),"")="Cash",1,0),0)</f>
        <v/>
      </c>
      <c r="Q208" s="101">
        <f>IF(H208=1,IF(IFERROR(INDEX(coa_CF,MATCH(K208,coa_Name,0)),"")="Cash",1,0),0)</f>
        <v/>
      </c>
      <c r="R208" s="58">
        <f>IF((P208-Q208)=0,"",IFERROR(INDEX(coa_CF,MATCH(IF((P208-Q208)=1,K208,I208),coa_Name,0)),"Operating"))</f>
        <v/>
      </c>
      <c r="S208" s="95">
        <f>IF((P208-Q208)=1,L208,IF((P208-Q208)=-1,-J208,0))</f>
        <v/>
      </c>
      <c r="T208" s="95">
        <f>IF((P208-Q208)=1,N208,IF((P208-Q208)=-1,-M208,0))</f>
        <v/>
      </c>
      <c r="U208" s="101">
        <f>IF(AND(H208=1,LedAcct&lt;&gt;""),IF(AND(E208&gt;=LedFrom,E208&lt;=LedTo,OR(I208=LedAcct,K208=LedAcct,AND(LedAcct=acctTax,M208+N208&lt;&gt;0))),E208*10000+B208,""),"")</f>
        <v/>
      </c>
    </row>
    <row r="209">
      <c r="B209" s="101" t="n">
        <v>203</v>
      </c>
      <c r="C209" s="58" t="inlineStr">
        <is>
          <t>Transaction</t>
        </is>
      </c>
      <c r="D209" s="58">
        <f>IF(H209=1,INDEX(tx_ID,203)&amp;"","")</f>
        <v/>
      </c>
      <c r="E209" s="94">
        <f>IF(H209=1,INDEX(tx_Date,203),"")</f>
        <v/>
      </c>
      <c r="F209" s="58">
        <f>IF(H209=1,INDEX(tx_Desc,203)&amp;"","")</f>
        <v/>
      </c>
      <c r="G209" s="58">
        <f>IF(H209=1,IF(INDEX(tx_Cust,203)&amp;""&lt;&gt;"",INDEX(tx_Cust,203)&amp;"",INDEX(tx_Vend,203)&amp;""),"")</f>
        <v/>
      </c>
      <c r="H209" s="101">
        <f>IFERROR(N(INDEX(tx_Posted,203)),0)</f>
        <v/>
      </c>
      <c r="I209" s="58">
        <f>IF(H209=1,INDEX(tx_DrAcct,203)&amp;"","")</f>
        <v/>
      </c>
      <c r="J209" s="95">
        <f>IF(H209=1,INDEX(tx_DrAmt,203),0)</f>
        <v/>
      </c>
      <c r="K209" s="58">
        <f>IF(H209=1,INDEX(tx_CrAcct,203)&amp;"","")</f>
        <v/>
      </c>
      <c r="L209" s="95">
        <f>IF(H209=1,INDEX(tx_CrAmt,203),0)</f>
        <v/>
      </c>
      <c r="M209" s="95">
        <f>IF(H209=1,INDEX(tx_TaxDr,203),0)</f>
        <v/>
      </c>
      <c r="N209" s="95">
        <f>IF(H209=1,INDEX(tx_TaxCr,203),0)</f>
        <v/>
      </c>
      <c r="O209" s="101">
        <f>IF(H209=1,IF(E209&lt;FYStart,0,IF(E209&gt;FYEnd,13,YEAR(E209)*12+MONTH(E209)-FYYM+1)),"")</f>
        <v/>
      </c>
      <c r="P209" s="101">
        <f>IF(H209=1,IF(IFERROR(INDEX(coa_CF,MATCH(I209,coa_Name,0)),"")="Cash",1,0),0)</f>
        <v/>
      </c>
      <c r="Q209" s="101">
        <f>IF(H209=1,IF(IFERROR(INDEX(coa_CF,MATCH(K209,coa_Name,0)),"")="Cash",1,0),0)</f>
        <v/>
      </c>
      <c r="R209" s="58">
        <f>IF((P209-Q209)=0,"",IFERROR(INDEX(coa_CF,MATCH(IF((P209-Q209)=1,K209,I209),coa_Name,0)),"Operating"))</f>
        <v/>
      </c>
      <c r="S209" s="95">
        <f>IF((P209-Q209)=1,L209,IF((P209-Q209)=-1,-J209,0))</f>
        <v/>
      </c>
      <c r="T209" s="95">
        <f>IF((P209-Q209)=1,N209,IF((P209-Q209)=-1,-M209,0))</f>
        <v/>
      </c>
      <c r="U209" s="101">
        <f>IF(AND(H209=1,LedAcct&lt;&gt;""),IF(AND(E209&gt;=LedFrom,E209&lt;=LedTo,OR(I209=LedAcct,K209=LedAcct,AND(LedAcct=acctTax,M209+N209&lt;&gt;0))),E209*10000+B209,""),"")</f>
        <v/>
      </c>
    </row>
    <row r="210">
      <c r="B210" s="101" t="n">
        <v>204</v>
      </c>
      <c r="C210" s="58" t="inlineStr">
        <is>
          <t>Transaction</t>
        </is>
      </c>
      <c r="D210" s="58">
        <f>IF(H210=1,INDEX(tx_ID,204)&amp;"","")</f>
        <v/>
      </c>
      <c r="E210" s="94">
        <f>IF(H210=1,INDEX(tx_Date,204),"")</f>
        <v/>
      </c>
      <c r="F210" s="58">
        <f>IF(H210=1,INDEX(tx_Desc,204)&amp;"","")</f>
        <v/>
      </c>
      <c r="G210" s="58">
        <f>IF(H210=1,IF(INDEX(tx_Cust,204)&amp;""&lt;&gt;"",INDEX(tx_Cust,204)&amp;"",INDEX(tx_Vend,204)&amp;""),"")</f>
        <v/>
      </c>
      <c r="H210" s="101">
        <f>IFERROR(N(INDEX(tx_Posted,204)),0)</f>
        <v/>
      </c>
      <c r="I210" s="58">
        <f>IF(H210=1,INDEX(tx_DrAcct,204)&amp;"","")</f>
        <v/>
      </c>
      <c r="J210" s="95">
        <f>IF(H210=1,INDEX(tx_DrAmt,204),0)</f>
        <v/>
      </c>
      <c r="K210" s="58">
        <f>IF(H210=1,INDEX(tx_CrAcct,204)&amp;"","")</f>
        <v/>
      </c>
      <c r="L210" s="95">
        <f>IF(H210=1,INDEX(tx_CrAmt,204),0)</f>
        <v/>
      </c>
      <c r="M210" s="95">
        <f>IF(H210=1,INDEX(tx_TaxDr,204),0)</f>
        <v/>
      </c>
      <c r="N210" s="95">
        <f>IF(H210=1,INDEX(tx_TaxCr,204),0)</f>
        <v/>
      </c>
      <c r="O210" s="101">
        <f>IF(H210=1,IF(E210&lt;FYStart,0,IF(E210&gt;FYEnd,13,YEAR(E210)*12+MONTH(E210)-FYYM+1)),"")</f>
        <v/>
      </c>
      <c r="P210" s="101">
        <f>IF(H210=1,IF(IFERROR(INDEX(coa_CF,MATCH(I210,coa_Name,0)),"")="Cash",1,0),0)</f>
        <v/>
      </c>
      <c r="Q210" s="101">
        <f>IF(H210=1,IF(IFERROR(INDEX(coa_CF,MATCH(K210,coa_Name,0)),"")="Cash",1,0),0)</f>
        <v/>
      </c>
      <c r="R210" s="58">
        <f>IF((P210-Q210)=0,"",IFERROR(INDEX(coa_CF,MATCH(IF((P210-Q210)=1,K210,I210),coa_Name,0)),"Operating"))</f>
        <v/>
      </c>
      <c r="S210" s="95">
        <f>IF((P210-Q210)=1,L210,IF((P210-Q210)=-1,-J210,0))</f>
        <v/>
      </c>
      <c r="T210" s="95">
        <f>IF((P210-Q210)=1,N210,IF((P210-Q210)=-1,-M210,0))</f>
        <v/>
      </c>
      <c r="U210" s="101">
        <f>IF(AND(H210=1,LedAcct&lt;&gt;""),IF(AND(E210&gt;=LedFrom,E210&lt;=LedTo,OR(I210=LedAcct,K210=LedAcct,AND(LedAcct=acctTax,M210+N210&lt;&gt;0))),E210*10000+B210,""),"")</f>
        <v/>
      </c>
    </row>
    <row r="211">
      <c r="B211" s="101" t="n">
        <v>205</v>
      </c>
      <c r="C211" s="58" t="inlineStr">
        <is>
          <t>Transaction</t>
        </is>
      </c>
      <c r="D211" s="58">
        <f>IF(H211=1,INDEX(tx_ID,205)&amp;"","")</f>
        <v/>
      </c>
      <c r="E211" s="94">
        <f>IF(H211=1,INDEX(tx_Date,205),"")</f>
        <v/>
      </c>
      <c r="F211" s="58">
        <f>IF(H211=1,INDEX(tx_Desc,205)&amp;"","")</f>
        <v/>
      </c>
      <c r="G211" s="58">
        <f>IF(H211=1,IF(INDEX(tx_Cust,205)&amp;""&lt;&gt;"",INDEX(tx_Cust,205)&amp;"",INDEX(tx_Vend,205)&amp;""),"")</f>
        <v/>
      </c>
      <c r="H211" s="101">
        <f>IFERROR(N(INDEX(tx_Posted,205)),0)</f>
        <v/>
      </c>
      <c r="I211" s="58">
        <f>IF(H211=1,INDEX(tx_DrAcct,205)&amp;"","")</f>
        <v/>
      </c>
      <c r="J211" s="95">
        <f>IF(H211=1,INDEX(tx_DrAmt,205),0)</f>
        <v/>
      </c>
      <c r="K211" s="58">
        <f>IF(H211=1,INDEX(tx_CrAcct,205)&amp;"","")</f>
        <v/>
      </c>
      <c r="L211" s="95">
        <f>IF(H211=1,INDEX(tx_CrAmt,205),0)</f>
        <v/>
      </c>
      <c r="M211" s="95">
        <f>IF(H211=1,INDEX(tx_TaxDr,205),0)</f>
        <v/>
      </c>
      <c r="N211" s="95">
        <f>IF(H211=1,INDEX(tx_TaxCr,205),0)</f>
        <v/>
      </c>
      <c r="O211" s="101">
        <f>IF(H211=1,IF(E211&lt;FYStart,0,IF(E211&gt;FYEnd,13,YEAR(E211)*12+MONTH(E211)-FYYM+1)),"")</f>
        <v/>
      </c>
      <c r="P211" s="101">
        <f>IF(H211=1,IF(IFERROR(INDEX(coa_CF,MATCH(I211,coa_Name,0)),"")="Cash",1,0),0)</f>
        <v/>
      </c>
      <c r="Q211" s="101">
        <f>IF(H211=1,IF(IFERROR(INDEX(coa_CF,MATCH(K211,coa_Name,0)),"")="Cash",1,0),0)</f>
        <v/>
      </c>
      <c r="R211" s="58">
        <f>IF((P211-Q211)=0,"",IFERROR(INDEX(coa_CF,MATCH(IF((P211-Q211)=1,K211,I211),coa_Name,0)),"Operating"))</f>
        <v/>
      </c>
      <c r="S211" s="95">
        <f>IF((P211-Q211)=1,L211,IF((P211-Q211)=-1,-J211,0))</f>
        <v/>
      </c>
      <c r="T211" s="95">
        <f>IF((P211-Q211)=1,N211,IF((P211-Q211)=-1,-M211,0))</f>
        <v/>
      </c>
      <c r="U211" s="101">
        <f>IF(AND(H211=1,LedAcct&lt;&gt;""),IF(AND(E211&gt;=LedFrom,E211&lt;=LedTo,OR(I211=LedAcct,K211=LedAcct,AND(LedAcct=acctTax,M211+N211&lt;&gt;0))),E211*10000+B211,""),"")</f>
        <v/>
      </c>
    </row>
    <row r="212">
      <c r="B212" s="101" t="n">
        <v>206</v>
      </c>
      <c r="C212" s="58" t="inlineStr">
        <is>
          <t>Transaction</t>
        </is>
      </c>
      <c r="D212" s="58">
        <f>IF(H212=1,INDEX(tx_ID,206)&amp;"","")</f>
        <v/>
      </c>
      <c r="E212" s="94">
        <f>IF(H212=1,INDEX(tx_Date,206),"")</f>
        <v/>
      </c>
      <c r="F212" s="58">
        <f>IF(H212=1,INDEX(tx_Desc,206)&amp;"","")</f>
        <v/>
      </c>
      <c r="G212" s="58">
        <f>IF(H212=1,IF(INDEX(tx_Cust,206)&amp;""&lt;&gt;"",INDEX(tx_Cust,206)&amp;"",INDEX(tx_Vend,206)&amp;""),"")</f>
        <v/>
      </c>
      <c r="H212" s="101">
        <f>IFERROR(N(INDEX(tx_Posted,206)),0)</f>
        <v/>
      </c>
      <c r="I212" s="58">
        <f>IF(H212=1,INDEX(tx_DrAcct,206)&amp;"","")</f>
        <v/>
      </c>
      <c r="J212" s="95">
        <f>IF(H212=1,INDEX(tx_DrAmt,206),0)</f>
        <v/>
      </c>
      <c r="K212" s="58">
        <f>IF(H212=1,INDEX(tx_CrAcct,206)&amp;"","")</f>
        <v/>
      </c>
      <c r="L212" s="95">
        <f>IF(H212=1,INDEX(tx_CrAmt,206),0)</f>
        <v/>
      </c>
      <c r="M212" s="95">
        <f>IF(H212=1,INDEX(tx_TaxDr,206),0)</f>
        <v/>
      </c>
      <c r="N212" s="95">
        <f>IF(H212=1,INDEX(tx_TaxCr,206),0)</f>
        <v/>
      </c>
      <c r="O212" s="101">
        <f>IF(H212=1,IF(E212&lt;FYStart,0,IF(E212&gt;FYEnd,13,YEAR(E212)*12+MONTH(E212)-FYYM+1)),"")</f>
        <v/>
      </c>
      <c r="P212" s="101">
        <f>IF(H212=1,IF(IFERROR(INDEX(coa_CF,MATCH(I212,coa_Name,0)),"")="Cash",1,0),0)</f>
        <v/>
      </c>
      <c r="Q212" s="101">
        <f>IF(H212=1,IF(IFERROR(INDEX(coa_CF,MATCH(K212,coa_Name,0)),"")="Cash",1,0),0)</f>
        <v/>
      </c>
      <c r="R212" s="58">
        <f>IF((P212-Q212)=0,"",IFERROR(INDEX(coa_CF,MATCH(IF((P212-Q212)=1,K212,I212),coa_Name,0)),"Operating"))</f>
        <v/>
      </c>
      <c r="S212" s="95">
        <f>IF((P212-Q212)=1,L212,IF((P212-Q212)=-1,-J212,0))</f>
        <v/>
      </c>
      <c r="T212" s="95">
        <f>IF((P212-Q212)=1,N212,IF((P212-Q212)=-1,-M212,0))</f>
        <v/>
      </c>
      <c r="U212" s="101">
        <f>IF(AND(H212=1,LedAcct&lt;&gt;""),IF(AND(E212&gt;=LedFrom,E212&lt;=LedTo,OR(I212=LedAcct,K212=LedAcct,AND(LedAcct=acctTax,M212+N212&lt;&gt;0))),E212*10000+B212,""),"")</f>
        <v/>
      </c>
    </row>
    <row r="213">
      <c r="B213" s="101" t="n">
        <v>207</v>
      </c>
      <c r="C213" s="58" t="inlineStr">
        <is>
          <t>Transaction</t>
        </is>
      </c>
      <c r="D213" s="58">
        <f>IF(H213=1,INDEX(tx_ID,207)&amp;"","")</f>
        <v/>
      </c>
      <c r="E213" s="94">
        <f>IF(H213=1,INDEX(tx_Date,207),"")</f>
        <v/>
      </c>
      <c r="F213" s="58">
        <f>IF(H213=1,INDEX(tx_Desc,207)&amp;"","")</f>
        <v/>
      </c>
      <c r="G213" s="58">
        <f>IF(H213=1,IF(INDEX(tx_Cust,207)&amp;""&lt;&gt;"",INDEX(tx_Cust,207)&amp;"",INDEX(tx_Vend,207)&amp;""),"")</f>
        <v/>
      </c>
      <c r="H213" s="101">
        <f>IFERROR(N(INDEX(tx_Posted,207)),0)</f>
        <v/>
      </c>
      <c r="I213" s="58">
        <f>IF(H213=1,INDEX(tx_DrAcct,207)&amp;"","")</f>
        <v/>
      </c>
      <c r="J213" s="95">
        <f>IF(H213=1,INDEX(tx_DrAmt,207),0)</f>
        <v/>
      </c>
      <c r="K213" s="58">
        <f>IF(H213=1,INDEX(tx_CrAcct,207)&amp;"","")</f>
        <v/>
      </c>
      <c r="L213" s="95">
        <f>IF(H213=1,INDEX(tx_CrAmt,207),0)</f>
        <v/>
      </c>
      <c r="M213" s="95">
        <f>IF(H213=1,INDEX(tx_TaxDr,207),0)</f>
        <v/>
      </c>
      <c r="N213" s="95">
        <f>IF(H213=1,INDEX(tx_TaxCr,207),0)</f>
        <v/>
      </c>
      <c r="O213" s="101">
        <f>IF(H213=1,IF(E213&lt;FYStart,0,IF(E213&gt;FYEnd,13,YEAR(E213)*12+MONTH(E213)-FYYM+1)),"")</f>
        <v/>
      </c>
      <c r="P213" s="101">
        <f>IF(H213=1,IF(IFERROR(INDEX(coa_CF,MATCH(I213,coa_Name,0)),"")="Cash",1,0),0)</f>
        <v/>
      </c>
      <c r="Q213" s="101">
        <f>IF(H213=1,IF(IFERROR(INDEX(coa_CF,MATCH(K213,coa_Name,0)),"")="Cash",1,0),0)</f>
        <v/>
      </c>
      <c r="R213" s="58">
        <f>IF((P213-Q213)=0,"",IFERROR(INDEX(coa_CF,MATCH(IF((P213-Q213)=1,K213,I213),coa_Name,0)),"Operating"))</f>
        <v/>
      </c>
      <c r="S213" s="95">
        <f>IF((P213-Q213)=1,L213,IF((P213-Q213)=-1,-J213,0))</f>
        <v/>
      </c>
      <c r="T213" s="95">
        <f>IF((P213-Q213)=1,N213,IF((P213-Q213)=-1,-M213,0))</f>
        <v/>
      </c>
      <c r="U213" s="101">
        <f>IF(AND(H213=1,LedAcct&lt;&gt;""),IF(AND(E213&gt;=LedFrom,E213&lt;=LedTo,OR(I213=LedAcct,K213=LedAcct,AND(LedAcct=acctTax,M213+N213&lt;&gt;0))),E213*10000+B213,""),"")</f>
        <v/>
      </c>
    </row>
    <row r="214">
      <c r="B214" s="101" t="n">
        <v>208</v>
      </c>
      <c r="C214" s="58" t="inlineStr">
        <is>
          <t>Transaction</t>
        </is>
      </c>
      <c r="D214" s="58">
        <f>IF(H214=1,INDEX(tx_ID,208)&amp;"","")</f>
        <v/>
      </c>
      <c r="E214" s="94">
        <f>IF(H214=1,INDEX(tx_Date,208),"")</f>
        <v/>
      </c>
      <c r="F214" s="58">
        <f>IF(H214=1,INDEX(tx_Desc,208)&amp;"","")</f>
        <v/>
      </c>
      <c r="G214" s="58">
        <f>IF(H214=1,IF(INDEX(tx_Cust,208)&amp;""&lt;&gt;"",INDEX(tx_Cust,208)&amp;"",INDEX(tx_Vend,208)&amp;""),"")</f>
        <v/>
      </c>
      <c r="H214" s="101">
        <f>IFERROR(N(INDEX(tx_Posted,208)),0)</f>
        <v/>
      </c>
      <c r="I214" s="58">
        <f>IF(H214=1,INDEX(tx_DrAcct,208)&amp;"","")</f>
        <v/>
      </c>
      <c r="J214" s="95">
        <f>IF(H214=1,INDEX(tx_DrAmt,208),0)</f>
        <v/>
      </c>
      <c r="K214" s="58">
        <f>IF(H214=1,INDEX(tx_CrAcct,208)&amp;"","")</f>
        <v/>
      </c>
      <c r="L214" s="95">
        <f>IF(H214=1,INDEX(tx_CrAmt,208),0)</f>
        <v/>
      </c>
      <c r="M214" s="95">
        <f>IF(H214=1,INDEX(tx_TaxDr,208),0)</f>
        <v/>
      </c>
      <c r="N214" s="95">
        <f>IF(H214=1,INDEX(tx_TaxCr,208),0)</f>
        <v/>
      </c>
      <c r="O214" s="101">
        <f>IF(H214=1,IF(E214&lt;FYStart,0,IF(E214&gt;FYEnd,13,YEAR(E214)*12+MONTH(E214)-FYYM+1)),"")</f>
        <v/>
      </c>
      <c r="P214" s="101">
        <f>IF(H214=1,IF(IFERROR(INDEX(coa_CF,MATCH(I214,coa_Name,0)),"")="Cash",1,0),0)</f>
        <v/>
      </c>
      <c r="Q214" s="101">
        <f>IF(H214=1,IF(IFERROR(INDEX(coa_CF,MATCH(K214,coa_Name,0)),"")="Cash",1,0),0)</f>
        <v/>
      </c>
      <c r="R214" s="58">
        <f>IF((P214-Q214)=0,"",IFERROR(INDEX(coa_CF,MATCH(IF((P214-Q214)=1,K214,I214),coa_Name,0)),"Operating"))</f>
        <v/>
      </c>
      <c r="S214" s="95">
        <f>IF((P214-Q214)=1,L214,IF((P214-Q214)=-1,-J214,0))</f>
        <v/>
      </c>
      <c r="T214" s="95">
        <f>IF((P214-Q214)=1,N214,IF((P214-Q214)=-1,-M214,0))</f>
        <v/>
      </c>
      <c r="U214" s="101">
        <f>IF(AND(H214=1,LedAcct&lt;&gt;""),IF(AND(E214&gt;=LedFrom,E214&lt;=LedTo,OR(I214=LedAcct,K214=LedAcct,AND(LedAcct=acctTax,M214+N214&lt;&gt;0))),E214*10000+B214,""),"")</f>
        <v/>
      </c>
    </row>
    <row r="215">
      <c r="B215" s="101" t="n">
        <v>209</v>
      </c>
      <c r="C215" s="58" t="inlineStr">
        <is>
          <t>Transaction</t>
        </is>
      </c>
      <c r="D215" s="58">
        <f>IF(H215=1,INDEX(tx_ID,209)&amp;"","")</f>
        <v/>
      </c>
      <c r="E215" s="94">
        <f>IF(H215=1,INDEX(tx_Date,209),"")</f>
        <v/>
      </c>
      <c r="F215" s="58">
        <f>IF(H215=1,INDEX(tx_Desc,209)&amp;"","")</f>
        <v/>
      </c>
      <c r="G215" s="58">
        <f>IF(H215=1,IF(INDEX(tx_Cust,209)&amp;""&lt;&gt;"",INDEX(tx_Cust,209)&amp;"",INDEX(tx_Vend,209)&amp;""),"")</f>
        <v/>
      </c>
      <c r="H215" s="101">
        <f>IFERROR(N(INDEX(tx_Posted,209)),0)</f>
        <v/>
      </c>
      <c r="I215" s="58">
        <f>IF(H215=1,INDEX(tx_DrAcct,209)&amp;"","")</f>
        <v/>
      </c>
      <c r="J215" s="95">
        <f>IF(H215=1,INDEX(tx_DrAmt,209),0)</f>
        <v/>
      </c>
      <c r="K215" s="58">
        <f>IF(H215=1,INDEX(tx_CrAcct,209)&amp;"","")</f>
        <v/>
      </c>
      <c r="L215" s="95">
        <f>IF(H215=1,INDEX(tx_CrAmt,209),0)</f>
        <v/>
      </c>
      <c r="M215" s="95">
        <f>IF(H215=1,INDEX(tx_TaxDr,209),0)</f>
        <v/>
      </c>
      <c r="N215" s="95">
        <f>IF(H215=1,INDEX(tx_TaxCr,209),0)</f>
        <v/>
      </c>
      <c r="O215" s="101">
        <f>IF(H215=1,IF(E215&lt;FYStart,0,IF(E215&gt;FYEnd,13,YEAR(E215)*12+MONTH(E215)-FYYM+1)),"")</f>
        <v/>
      </c>
      <c r="P215" s="101">
        <f>IF(H215=1,IF(IFERROR(INDEX(coa_CF,MATCH(I215,coa_Name,0)),"")="Cash",1,0),0)</f>
        <v/>
      </c>
      <c r="Q215" s="101">
        <f>IF(H215=1,IF(IFERROR(INDEX(coa_CF,MATCH(K215,coa_Name,0)),"")="Cash",1,0),0)</f>
        <v/>
      </c>
      <c r="R215" s="58">
        <f>IF((P215-Q215)=0,"",IFERROR(INDEX(coa_CF,MATCH(IF((P215-Q215)=1,K215,I215),coa_Name,0)),"Operating"))</f>
        <v/>
      </c>
      <c r="S215" s="95">
        <f>IF((P215-Q215)=1,L215,IF((P215-Q215)=-1,-J215,0))</f>
        <v/>
      </c>
      <c r="T215" s="95">
        <f>IF((P215-Q215)=1,N215,IF((P215-Q215)=-1,-M215,0))</f>
        <v/>
      </c>
      <c r="U215" s="101">
        <f>IF(AND(H215=1,LedAcct&lt;&gt;""),IF(AND(E215&gt;=LedFrom,E215&lt;=LedTo,OR(I215=LedAcct,K215=LedAcct,AND(LedAcct=acctTax,M215+N215&lt;&gt;0))),E215*10000+B215,""),"")</f>
        <v/>
      </c>
    </row>
    <row r="216">
      <c r="B216" s="101" t="n">
        <v>210</v>
      </c>
      <c r="C216" s="58" t="inlineStr">
        <is>
          <t>Transaction</t>
        </is>
      </c>
      <c r="D216" s="58">
        <f>IF(H216=1,INDEX(tx_ID,210)&amp;"","")</f>
        <v/>
      </c>
      <c r="E216" s="94">
        <f>IF(H216=1,INDEX(tx_Date,210),"")</f>
        <v/>
      </c>
      <c r="F216" s="58">
        <f>IF(H216=1,INDEX(tx_Desc,210)&amp;"","")</f>
        <v/>
      </c>
      <c r="G216" s="58">
        <f>IF(H216=1,IF(INDEX(tx_Cust,210)&amp;""&lt;&gt;"",INDEX(tx_Cust,210)&amp;"",INDEX(tx_Vend,210)&amp;""),"")</f>
        <v/>
      </c>
      <c r="H216" s="101">
        <f>IFERROR(N(INDEX(tx_Posted,210)),0)</f>
        <v/>
      </c>
      <c r="I216" s="58">
        <f>IF(H216=1,INDEX(tx_DrAcct,210)&amp;"","")</f>
        <v/>
      </c>
      <c r="J216" s="95">
        <f>IF(H216=1,INDEX(tx_DrAmt,210),0)</f>
        <v/>
      </c>
      <c r="K216" s="58">
        <f>IF(H216=1,INDEX(tx_CrAcct,210)&amp;"","")</f>
        <v/>
      </c>
      <c r="L216" s="95">
        <f>IF(H216=1,INDEX(tx_CrAmt,210),0)</f>
        <v/>
      </c>
      <c r="M216" s="95">
        <f>IF(H216=1,INDEX(tx_TaxDr,210),0)</f>
        <v/>
      </c>
      <c r="N216" s="95">
        <f>IF(H216=1,INDEX(tx_TaxCr,210),0)</f>
        <v/>
      </c>
      <c r="O216" s="101">
        <f>IF(H216=1,IF(E216&lt;FYStart,0,IF(E216&gt;FYEnd,13,YEAR(E216)*12+MONTH(E216)-FYYM+1)),"")</f>
        <v/>
      </c>
      <c r="P216" s="101">
        <f>IF(H216=1,IF(IFERROR(INDEX(coa_CF,MATCH(I216,coa_Name,0)),"")="Cash",1,0),0)</f>
        <v/>
      </c>
      <c r="Q216" s="101">
        <f>IF(H216=1,IF(IFERROR(INDEX(coa_CF,MATCH(K216,coa_Name,0)),"")="Cash",1,0),0)</f>
        <v/>
      </c>
      <c r="R216" s="58">
        <f>IF((P216-Q216)=0,"",IFERROR(INDEX(coa_CF,MATCH(IF((P216-Q216)=1,K216,I216),coa_Name,0)),"Operating"))</f>
        <v/>
      </c>
      <c r="S216" s="95">
        <f>IF((P216-Q216)=1,L216,IF((P216-Q216)=-1,-J216,0))</f>
        <v/>
      </c>
      <c r="T216" s="95">
        <f>IF((P216-Q216)=1,N216,IF((P216-Q216)=-1,-M216,0))</f>
        <v/>
      </c>
      <c r="U216" s="101">
        <f>IF(AND(H216=1,LedAcct&lt;&gt;""),IF(AND(E216&gt;=LedFrom,E216&lt;=LedTo,OR(I216=LedAcct,K216=LedAcct,AND(LedAcct=acctTax,M216+N216&lt;&gt;0))),E216*10000+B216,""),"")</f>
        <v/>
      </c>
    </row>
    <row r="217">
      <c r="B217" s="101" t="n">
        <v>211</v>
      </c>
      <c r="C217" s="58" t="inlineStr">
        <is>
          <t>Transaction</t>
        </is>
      </c>
      <c r="D217" s="58">
        <f>IF(H217=1,INDEX(tx_ID,211)&amp;"","")</f>
        <v/>
      </c>
      <c r="E217" s="94">
        <f>IF(H217=1,INDEX(tx_Date,211),"")</f>
        <v/>
      </c>
      <c r="F217" s="58">
        <f>IF(H217=1,INDEX(tx_Desc,211)&amp;"","")</f>
        <v/>
      </c>
      <c r="G217" s="58">
        <f>IF(H217=1,IF(INDEX(tx_Cust,211)&amp;""&lt;&gt;"",INDEX(tx_Cust,211)&amp;"",INDEX(tx_Vend,211)&amp;""),"")</f>
        <v/>
      </c>
      <c r="H217" s="101">
        <f>IFERROR(N(INDEX(tx_Posted,211)),0)</f>
        <v/>
      </c>
      <c r="I217" s="58">
        <f>IF(H217=1,INDEX(tx_DrAcct,211)&amp;"","")</f>
        <v/>
      </c>
      <c r="J217" s="95">
        <f>IF(H217=1,INDEX(tx_DrAmt,211),0)</f>
        <v/>
      </c>
      <c r="K217" s="58">
        <f>IF(H217=1,INDEX(tx_CrAcct,211)&amp;"","")</f>
        <v/>
      </c>
      <c r="L217" s="95">
        <f>IF(H217=1,INDEX(tx_CrAmt,211),0)</f>
        <v/>
      </c>
      <c r="M217" s="95">
        <f>IF(H217=1,INDEX(tx_TaxDr,211),0)</f>
        <v/>
      </c>
      <c r="N217" s="95">
        <f>IF(H217=1,INDEX(tx_TaxCr,211),0)</f>
        <v/>
      </c>
      <c r="O217" s="101">
        <f>IF(H217=1,IF(E217&lt;FYStart,0,IF(E217&gt;FYEnd,13,YEAR(E217)*12+MONTH(E217)-FYYM+1)),"")</f>
        <v/>
      </c>
      <c r="P217" s="101">
        <f>IF(H217=1,IF(IFERROR(INDEX(coa_CF,MATCH(I217,coa_Name,0)),"")="Cash",1,0),0)</f>
        <v/>
      </c>
      <c r="Q217" s="101">
        <f>IF(H217=1,IF(IFERROR(INDEX(coa_CF,MATCH(K217,coa_Name,0)),"")="Cash",1,0),0)</f>
        <v/>
      </c>
      <c r="R217" s="58">
        <f>IF((P217-Q217)=0,"",IFERROR(INDEX(coa_CF,MATCH(IF((P217-Q217)=1,K217,I217),coa_Name,0)),"Operating"))</f>
        <v/>
      </c>
      <c r="S217" s="95">
        <f>IF((P217-Q217)=1,L217,IF((P217-Q217)=-1,-J217,0))</f>
        <v/>
      </c>
      <c r="T217" s="95">
        <f>IF((P217-Q217)=1,N217,IF((P217-Q217)=-1,-M217,0))</f>
        <v/>
      </c>
      <c r="U217" s="101">
        <f>IF(AND(H217=1,LedAcct&lt;&gt;""),IF(AND(E217&gt;=LedFrom,E217&lt;=LedTo,OR(I217=LedAcct,K217=LedAcct,AND(LedAcct=acctTax,M217+N217&lt;&gt;0))),E217*10000+B217,""),"")</f>
        <v/>
      </c>
    </row>
    <row r="218">
      <c r="B218" s="101" t="n">
        <v>212</v>
      </c>
      <c r="C218" s="58" t="inlineStr">
        <is>
          <t>Transaction</t>
        </is>
      </c>
      <c r="D218" s="58">
        <f>IF(H218=1,INDEX(tx_ID,212)&amp;"","")</f>
        <v/>
      </c>
      <c r="E218" s="94">
        <f>IF(H218=1,INDEX(tx_Date,212),"")</f>
        <v/>
      </c>
      <c r="F218" s="58">
        <f>IF(H218=1,INDEX(tx_Desc,212)&amp;"","")</f>
        <v/>
      </c>
      <c r="G218" s="58">
        <f>IF(H218=1,IF(INDEX(tx_Cust,212)&amp;""&lt;&gt;"",INDEX(tx_Cust,212)&amp;"",INDEX(tx_Vend,212)&amp;""),"")</f>
        <v/>
      </c>
      <c r="H218" s="101">
        <f>IFERROR(N(INDEX(tx_Posted,212)),0)</f>
        <v/>
      </c>
      <c r="I218" s="58">
        <f>IF(H218=1,INDEX(tx_DrAcct,212)&amp;"","")</f>
        <v/>
      </c>
      <c r="J218" s="95">
        <f>IF(H218=1,INDEX(tx_DrAmt,212),0)</f>
        <v/>
      </c>
      <c r="K218" s="58">
        <f>IF(H218=1,INDEX(tx_CrAcct,212)&amp;"","")</f>
        <v/>
      </c>
      <c r="L218" s="95">
        <f>IF(H218=1,INDEX(tx_CrAmt,212),0)</f>
        <v/>
      </c>
      <c r="M218" s="95">
        <f>IF(H218=1,INDEX(tx_TaxDr,212),0)</f>
        <v/>
      </c>
      <c r="N218" s="95">
        <f>IF(H218=1,INDEX(tx_TaxCr,212),0)</f>
        <v/>
      </c>
      <c r="O218" s="101">
        <f>IF(H218=1,IF(E218&lt;FYStart,0,IF(E218&gt;FYEnd,13,YEAR(E218)*12+MONTH(E218)-FYYM+1)),"")</f>
        <v/>
      </c>
      <c r="P218" s="101">
        <f>IF(H218=1,IF(IFERROR(INDEX(coa_CF,MATCH(I218,coa_Name,0)),"")="Cash",1,0),0)</f>
        <v/>
      </c>
      <c r="Q218" s="101">
        <f>IF(H218=1,IF(IFERROR(INDEX(coa_CF,MATCH(K218,coa_Name,0)),"")="Cash",1,0),0)</f>
        <v/>
      </c>
      <c r="R218" s="58">
        <f>IF((P218-Q218)=0,"",IFERROR(INDEX(coa_CF,MATCH(IF((P218-Q218)=1,K218,I218),coa_Name,0)),"Operating"))</f>
        <v/>
      </c>
      <c r="S218" s="95">
        <f>IF((P218-Q218)=1,L218,IF((P218-Q218)=-1,-J218,0))</f>
        <v/>
      </c>
      <c r="T218" s="95">
        <f>IF((P218-Q218)=1,N218,IF((P218-Q218)=-1,-M218,0))</f>
        <v/>
      </c>
      <c r="U218" s="101">
        <f>IF(AND(H218=1,LedAcct&lt;&gt;""),IF(AND(E218&gt;=LedFrom,E218&lt;=LedTo,OR(I218=LedAcct,K218=LedAcct,AND(LedAcct=acctTax,M218+N218&lt;&gt;0))),E218*10000+B218,""),"")</f>
        <v/>
      </c>
    </row>
    <row r="219">
      <c r="B219" s="101" t="n">
        <v>213</v>
      </c>
      <c r="C219" s="58" t="inlineStr">
        <is>
          <t>Transaction</t>
        </is>
      </c>
      <c r="D219" s="58">
        <f>IF(H219=1,INDEX(tx_ID,213)&amp;"","")</f>
        <v/>
      </c>
      <c r="E219" s="94">
        <f>IF(H219=1,INDEX(tx_Date,213),"")</f>
        <v/>
      </c>
      <c r="F219" s="58">
        <f>IF(H219=1,INDEX(tx_Desc,213)&amp;"","")</f>
        <v/>
      </c>
      <c r="G219" s="58">
        <f>IF(H219=1,IF(INDEX(tx_Cust,213)&amp;""&lt;&gt;"",INDEX(tx_Cust,213)&amp;"",INDEX(tx_Vend,213)&amp;""),"")</f>
        <v/>
      </c>
      <c r="H219" s="101">
        <f>IFERROR(N(INDEX(tx_Posted,213)),0)</f>
        <v/>
      </c>
      <c r="I219" s="58">
        <f>IF(H219=1,INDEX(tx_DrAcct,213)&amp;"","")</f>
        <v/>
      </c>
      <c r="J219" s="95">
        <f>IF(H219=1,INDEX(tx_DrAmt,213),0)</f>
        <v/>
      </c>
      <c r="K219" s="58">
        <f>IF(H219=1,INDEX(tx_CrAcct,213)&amp;"","")</f>
        <v/>
      </c>
      <c r="L219" s="95">
        <f>IF(H219=1,INDEX(tx_CrAmt,213),0)</f>
        <v/>
      </c>
      <c r="M219" s="95">
        <f>IF(H219=1,INDEX(tx_TaxDr,213),0)</f>
        <v/>
      </c>
      <c r="N219" s="95">
        <f>IF(H219=1,INDEX(tx_TaxCr,213),0)</f>
        <v/>
      </c>
      <c r="O219" s="101">
        <f>IF(H219=1,IF(E219&lt;FYStart,0,IF(E219&gt;FYEnd,13,YEAR(E219)*12+MONTH(E219)-FYYM+1)),"")</f>
        <v/>
      </c>
      <c r="P219" s="101">
        <f>IF(H219=1,IF(IFERROR(INDEX(coa_CF,MATCH(I219,coa_Name,0)),"")="Cash",1,0),0)</f>
        <v/>
      </c>
      <c r="Q219" s="101">
        <f>IF(H219=1,IF(IFERROR(INDEX(coa_CF,MATCH(K219,coa_Name,0)),"")="Cash",1,0),0)</f>
        <v/>
      </c>
      <c r="R219" s="58">
        <f>IF((P219-Q219)=0,"",IFERROR(INDEX(coa_CF,MATCH(IF((P219-Q219)=1,K219,I219),coa_Name,0)),"Operating"))</f>
        <v/>
      </c>
      <c r="S219" s="95">
        <f>IF((P219-Q219)=1,L219,IF((P219-Q219)=-1,-J219,0))</f>
        <v/>
      </c>
      <c r="T219" s="95">
        <f>IF((P219-Q219)=1,N219,IF((P219-Q219)=-1,-M219,0))</f>
        <v/>
      </c>
      <c r="U219" s="101">
        <f>IF(AND(H219=1,LedAcct&lt;&gt;""),IF(AND(E219&gt;=LedFrom,E219&lt;=LedTo,OR(I219=LedAcct,K219=LedAcct,AND(LedAcct=acctTax,M219+N219&lt;&gt;0))),E219*10000+B219,""),"")</f>
        <v/>
      </c>
    </row>
    <row r="220">
      <c r="B220" s="101" t="n">
        <v>214</v>
      </c>
      <c r="C220" s="58" t="inlineStr">
        <is>
          <t>Transaction</t>
        </is>
      </c>
      <c r="D220" s="58">
        <f>IF(H220=1,INDEX(tx_ID,214)&amp;"","")</f>
        <v/>
      </c>
      <c r="E220" s="94">
        <f>IF(H220=1,INDEX(tx_Date,214),"")</f>
        <v/>
      </c>
      <c r="F220" s="58">
        <f>IF(H220=1,INDEX(tx_Desc,214)&amp;"","")</f>
        <v/>
      </c>
      <c r="G220" s="58">
        <f>IF(H220=1,IF(INDEX(tx_Cust,214)&amp;""&lt;&gt;"",INDEX(tx_Cust,214)&amp;"",INDEX(tx_Vend,214)&amp;""),"")</f>
        <v/>
      </c>
      <c r="H220" s="101">
        <f>IFERROR(N(INDEX(tx_Posted,214)),0)</f>
        <v/>
      </c>
      <c r="I220" s="58">
        <f>IF(H220=1,INDEX(tx_DrAcct,214)&amp;"","")</f>
        <v/>
      </c>
      <c r="J220" s="95">
        <f>IF(H220=1,INDEX(tx_DrAmt,214),0)</f>
        <v/>
      </c>
      <c r="K220" s="58">
        <f>IF(H220=1,INDEX(tx_CrAcct,214)&amp;"","")</f>
        <v/>
      </c>
      <c r="L220" s="95">
        <f>IF(H220=1,INDEX(tx_CrAmt,214),0)</f>
        <v/>
      </c>
      <c r="M220" s="95">
        <f>IF(H220=1,INDEX(tx_TaxDr,214),0)</f>
        <v/>
      </c>
      <c r="N220" s="95">
        <f>IF(H220=1,INDEX(tx_TaxCr,214),0)</f>
        <v/>
      </c>
      <c r="O220" s="101">
        <f>IF(H220=1,IF(E220&lt;FYStart,0,IF(E220&gt;FYEnd,13,YEAR(E220)*12+MONTH(E220)-FYYM+1)),"")</f>
        <v/>
      </c>
      <c r="P220" s="101">
        <f>IF(H220=1,IF(IFERROR(INDEX(coa_CF,MATCH(I220,coa_Name,0)),"")="Cash",1,0),0)</f>
        <v/>
      </c>
      <c r="Q220" s="101">
        <f>IF(H220=1,IF(IFERROR(INDEX(coa_CF,MATCH(K220,coa_Name,0)),"")="Cash",1,0),0)</f>
        <v/>
      </c>
      <c r="R220" s="58">
        <f>IF((P220-Q220)=0,"",IFERROR(INDEX(coa_CF,MATCH(IF((P220-Q220)=1,K220,I220),coa_Name,0)),"Operating"))</f>
        <v/>
      </c>
      <c r="S220" s="95">
        <f>IF((P220-Q220)=1,L220,IF((P220-Q220)=-1,-J220,0))</f>
        <v/>
      </c>
      <c r="T220" s="95">
        <f>IF((P220-Q220)=1,N220,IF((P220-Q220)=-1,-M220,0))</f>
        <v/>
      </c>
      <c r="U220" s="101">
        <f>IF(AND(H220=1,LedAcct&lt;&gt;""),IF(AND(E220&gt;=LedFrom,E220&lt;=LedTo,OR(I220=LedAcct,K220=LedAcct,AND(LedAcct=acctTax,M220+N220&lt;&gt;0))),E220*10000+B220,""),"")</f>
        <v/>
      </c>
    </row>
    <row r="221">
      <c r="B221" s="101" t="n">
        <v>215</v>
      </c>
      <c r="C221" s="58" t="inlineStr">
        <is>
          <t>Transaction</t>
        </is>
      </c>
      <c r="D221" s="58">
        <f>IF(H221=1,INDEX(tx_ID,215)&amp;"","")</f>
        <v/>
      </c>
      <c r="E221" s="94">
        <f>IF(H221=1,INDEX(tx_Date,215),"")</f>
        <v/>
      </c>
      <c r="F221" s="58">
        <f>IF(H221=1,INDEX(tx_Desc,215)&amp;"","")</f>
        <v/>
      </c>
      <c r="G221" s="58">
        <f>IF(H221=1,IF(INDEX(tx_Cust,215)&amp;""&lt;&gt;"",INDEX(tx_Cust,215)&amp;"",INDEX(tx_Vend,215)&amp;""),"")</f>
        <v/>
      </c>
      <c r="H221" s="101">
        <f>IFERROR(N(INDEX(tx_Posted,215)),0)</f>
        <v/>
      </c>
      <c r="I221" s="58">
        <f>IF(H221=1,INDEX(tx_DrAcct,215)&amp;"","")</f>
        <v/>
      </c>
      <c r="J221" s="95">
        <f>IF(H221=1,INDEX(tx_DrAmt,215),0)</f>
        <v/>
      </c>
      <c r="K221" s="58">
        <f>IF(H221=1,INDEX(tx_CrAcct,215)&amp;"","")</f>
        <v/>
      </c>
      <c r="L221" s="95">
        <f>IF(H221=1,INDEX(tx_CrAmt,215),0)</f>
        <v/>
      </c>
      <c r="M221" s="95">
        <f>IF(H221=1,INDEX(tx_TaxDr,215),0)</f>
        <v/>
      </c>
      <c r="N221" s="95">
        <f>IF(H221=1,INDEX(tx_TaxCr,215),0)</f>
        <v/>
      </c>
      <c r="O221" s="101">
        <f>IF(H221=1,IF(E221&lt;FYStart,0,IF(E221&gt;FYEnd,13,YEAR(E221)*12+MONTH(E221)-FYYM+1)),"")</f>
        <v/>
      </c>
      <c r="P221" s="101">
        <f>IF(H221=1,IF(IFERROR(INDEX(coa_CF,MATCH(I221,coa_Name,0)),"")="Cash",1,0),0)</f>
        <v/>
      </c>
      <c r="Q221" s="101">
        <f>IF(H221=1,IF(IFERROR(INDEX(coa_CF,MATCH(K221,coa_Name,0)),"")="Cash",1,0),0)</f>
        <v/>
      </c>
      <c r="R221" s="58">
        <f>IF((P221-Q221)=0,"",IFERROR(INDEX(coa_CF,MATCH(IF((P221-Q221)=1,K221,I221),coa_Name,0)),"Operating"))</f>
        <v/>
      </c>
      <c r="S221" s="95">
        <f>IF((P221-Q221)=1,L221,IF((P221-Q221)=-1,-J221,0))</f>
        <v/>
      </c>
      <c r="T221" s="95">
        <f>IF((P221-Q221)=1,N221,IF((P221-Q221)=-1,-M221,0))</f>
        <v/>
      </c>
      <c r="U221" s="101">
        <f>IF(AND(H221=1,LedAcct&lt;&gt;""),IF(AND(E221&gt;=LedFrom,E221&lt;=LedTo,OR(I221=LedAcct,K221=LedAcct,AND(LedAcct=acctTax,M221+N221&lt;&gt;0))),E221*10000+B221,""),"")</f>
        <v/>
      </c>
    </row>
    <row r="222">
      <c r="B222" s="101" t="n">
        <v>216</v>
      </c>
      <c r="C222" s="58" t="inlineStr">
        <is>
          <t>Transaction</t>
        </is>
      </c>
      <c r="D222" s="58">
        <f>IF(H222=1,INDEX(tx_ID,216)&amp;"","")</f>
        <v/>
      </c>
      <c r="E222" s="94">
        <f>IF(H222=1,INDEX(tx_Date,216),"")</f>
        <v/>
      </c>
      <c r="F222" s="58">
        <f>IF(H222=1,INDEX(tx_Desc,216)&amp;"","")</f>
        <v/>
      </c>
      <c r="G222" s="58">
        <f>IF(H222=1,IF(INDEX(tx_Cust,216)&amp;""&lt;&gt;"",INDEX(tx_Cust,216)&amp;"",INDEX(tx_Vend,216)&amp;""),"")</f>
        <v/>
      </c>
      <c r="H222" s="101">
        <f>IFERROR(N(INDEX(tx_Posted,216)),0)</f>
        <v/>
      </c>
      <c r="I222" s="58">
        <f>IF(H222=1,INDEX(tx_DrAcct,216)&amp;"","")</f>
        <v/>
      </c>
      <c r="J222" s="95">
        <f>IF(H222=1,INDEX(tx_DrAmt,216),0)</f>
        <v/>
      </c>
      <c r="K222" s="58">
        <f>IF(H222=1,INDEX(tx_CrAcct,216)&amp;"","")</f>
        <v/>
      </c>
      <c r="L222" s="95">
        <f>IF(H222=1,INDEX(tx_CrAmt,216),0)</f>
        <v/>
      </c>
      <c r="M222" s="95">
        <f>IF(H222=1,INDEX(tx_TaxDr,216),0)</f>
        <v/>
      </c>
      <c r="N222" s="95">
        <f>IF(H222=1,INDEX(tx_TaxCr,216),0)</f>
        <v/>
      </c>
      <c r="O222" s="101">
        <f>IF(H222=1,IF(E222&lt;FYStart,0,IF(E222&gt;FYEnd,13,YEAR(E222)*12+MONTH(E222)-FYYM+1)),"")</f>
        <v/>
      </c>
      <c r="P222" s="101">
        <f>IF(H222=1,IF(IFERROR(INDEX(coa_CF,MATCH(I222,coa_Name,0)),"")="Cash",1,0),0)</f>
        <v/>
      </c>
      <c r="Q222" s="101">
        <f>IF(H222=1,IF(IFERROR(INDEX(coa_CF,MATCH(K222,coa_Name,0)),"")="Cash",1,0),0)</f>
        <v/>
      </c>
      <c r="R222" s="58">
        <f>IF((P222-Q222)=0,"",IFERROR(INDEX(coa_CF,MATCH(IF((P222-Q222)=1,K222,I222),coa_Name,0)),"Operating"))</f>
        <v/>
      </c>
      <c r="S222" s="95">
        <f>IF((P222-Q222)=1,L222,IF((P222-Q222)=-1,-J222,0))</f>
        <v/>
      </c>
      <c r="T222" s="95">
        <f>IF((P222-Q222)=1,N222,IF((P222-Q222)=-1,-M222,0))</f>
        <v/>
      </c>
      <c r="U222" s="101">
        <f>IF(AND(H222=1,LedAcct&lt;&gt;""),IF(AND(E222&gt;=LedFrom,E222&lt;=LedTo,OR(I222=LedAcct,K222=LedAcct,AND(LedAcct=acctTax,M222+N222&lt;&gt;0))),E222*10000+B222,""),"")</f>
        <v/>
      </c>
    </row>
    <row r="223">
      <c r="B223" s="101" t="n">
        <v>217</v>
      </c>
      <c r="C223" s="58" t="inlineStr">
        <is>
          <t>Transaction</t>
        </is>
      </c>
      <c r="D223" s="58">
        <f>IF(H223=1,INDEX(tx_ID,217)&amp;"","")</f>
        <v/>
      </c>
      <c r="E223" s="94">
        <f>IF(H223=1,INDEX(tx_Date,217),"")</f>
        <v/>
      </c>
      <c r="F223" s="58">
        <f>IF(H223=1,INDEX(tx_Desc,217)&amp;"","")</f>
        <v/>
      </c>
      <c r="G223" s="58">
        <f>IF(H223=1,IF(INDEX(tx_Cust,217)&amp;""&lt;&gt;"",INDEX(tx_Cust,217)&amp;"",INDEX(tx_Vend,217)&amp;""),"")</f>
        <v/>
      </c>
      <c r="H223" s="101">
        <f>IFERROR(N(INDEX(tx_Posted,217)),0)</f>
        <v/>
      </c>
      <c r="I223" s="58">
        <f>IF(H223=1,INDEX(tx_DrAcct,217)&amp;"","")</f>
        <v/>
      </c>
      <c r="J223" s="95">
        <f>IF(H223=1,INDEX(tx_DrAmt,217),0)</f>
        <v/>
      </c>
      <c r="K223" s="58">
        <f>IF(H223=1,INDEX(tx_CrAcct,217)&amp;"","")</f>
        <v/>
      </c>
      <c r="L223" s="95">
        <f>IF(H223=1,INDEX(tx_CrAmt,217),0)</f>
        <v/>
      </c>
      <c r="M223" s="95">
        <f>IF(H223=1,INDEX(tx_TaxDr,217),0)</f>
        <v/>
      </c>
      <c r="N223" s="95">
        <f>IF(H223=1,INDEX(tx_TaxCr,217),0)</f>
        <v/>
      </c>
      <c r="O223" s="101">
        <f>IF(H223=1,IF(E223&lt;FYStart,0,IF(E223&gt;FYEnd,13,YEAR(E223)*12+MONTH(E223)-FYYM+1)),"")</f>
        <v/>
      </c>
      <c r="P223" s="101">
        <f>IF(H223=1,IF(IFERROR(INDEX(coa_CF,MATCH(I223,coa_Name,0)),"")="Cash",1,0),0)</f>
        <v/>
      </c>
      <c r="Q223" s="101">
        <f>IF(H223=1,IF(IFERROR(INDEX(coa_CF,MATCH(K223,coa_Name,0)),"")="Cash",1,0),0)</f>
        <v/>
      </c>
      <c r="R223" s="58">
        <f>IF((P223-Q223)=0,"",IFERROR(INDEX(coa_CF,MATCH(IF((P223-Q223)=1,K223,I223),coa_Name,0)),"Operating"))</f>
        <v/>
      </c>
      <c r="S223" s="95">
        <f>IF((P223-Q223)=1,L223,IF((P223-Q223)=-1,-J223,0))</f>
        <v/>
      </c>
      <c r="T223" s="95">
        <f>IF((P223-Q223)=1,N223,IF((P223-Q223)=-1,-M223,0))</f>
        <v/>
      </c>
      <c r="U223" s="101">
        <f>IF(AND(H223=1,LedAcct&lt;&gt;""),IF(AND(E223&gt;=LedFrom,E223&lt;=LedTo,OR(I223=LedAcct,K223=LedAcct,AND(LedAcct=acctTax,M223+N223&lt;&gt;0))),E223*10000+B223,""),"")</f>
        <v/>
      </c>
    </row>
    <row r="224">
      <c r="B224" s="101" t="n">
        <v>218</v>
      </c>
      <c r="C224" s="58" t="inlineStr">
        <is>
          <t>Transaction</t>
        </is>
      </c>
      <c r="D224" s="58">
        <f>IF(H224=1,INDEX(tx_ID,218)&amp;"","")</f>
        <v/>
      </c>
      <c r="E224" s="94">
        <f>IF(H224=1,INDEX(tx_Date,218),"")</f>
        <v/>
      </c>
      <c r="F224" s="58">
        <f>IF(H224=1,INDEX(tx_Desc,218)&amp;"","")</f>
        <v/>
      </c>
      <c r="G224" s="58">
        <f>IF(H224=1,IF(INDEX(tx_Cust,218)&amp;""&lt;&gt;"",INDEX(tx_Cust,218)&amp;"",INDEX(tx_Vend,218)&amp;""),"")</f>
        <v/>
      </c>
      <c r="H224" s="101">
        <f>IFERROR(N(INDEX(tx_Posted,218)),0)</f>
        <v/>
      </c>
      <c r="I224" s="58">
        <f>IF(H224=1,INDEX(tx_DrAcct,218)&amp;"","")</f>
        <v/>
      </c>
      <c r="J224" s="95">
        <f>IF(H224=1,INDEX(tx_DrAmt,218),0)</f>
        <v/>
      </c>
      <c r="K224" s="58">
        <f>IF(H224=1,INDEX(tx_CrAcct,218)&amp;"","")</f>
        <v/>
      </c>
      <c r="L224" s="95">
        <f>IF(H224=1,INDEX(tx_CrAmt,218),0)</f>
        <v/>
      </c>
      <c r="M224" s="95">
        <f>IF(H224=1,INDEX(tx_TaxDr,218),0)</f>
        <v/>
      </c>
      <c r="N224" s="95">
        <f>IF(H224=1,INDEX(tx_TaxCr,218),0)</f>
        <v/>
      </c>
      <c r="O224" s="101">
        <f>IF(H224=1,IF(E224&lt;FYStart,0,IF(E224&gt;FYEnd,13,YEAR(E224)*12+MONTH(E224)-FYYM+1)),"")</f>
        <v/>
      </c>
      <c r="P224" s="101">
        <f>IF(H224=1,IF(IFERROR(INDEX(coa_CF,MATCH(I224,coa_Name,0)),"")="Cash",1,0),0)</f>
        <v/>
      </c>
      <c r="Q224" s="101">
        <f>IF(H224=1,IF(IFERROR(INDEX(coa_CF,MATCH(K224,coa_Name,0)),"")="Cash",1,0),0)</f>
        <v/>
      </c>
      <c r="R224" s="58">
        <f>IF((P224-Q224)=0,"",IFERROR(INDEX(coa_CF,MATCH(IF((P224-Q224)=1,K224,I224),coa_Name,0)),"Operating"))</f>
        <v/>
      </c>
      <c r="S224" s="95">
        <f>IF((P224-Q224)=1,L224,IF((P224-Q224)=-1,-J224,0))</f>
        <v/>
      </c>
      <c r="T224" s="95">
        <f>IF((P224-Q224)=1,N224,IF((P224-Q224)=-1,-M224,0))</f>
        <v/>
      </c>
      <c r="U224" s="101">
        <f>IF(AND(H224=1,LedAcct&lt;&gt;""),IF(AND(E224&gt;=LedFrom,E224&lt;=LedTo,OR(I224=LedAcct,K224=LedAcct,AND(LedAcct=acctTax,M224+N224&lt;&gt;0))),E224*10000+B224,""),"")</f>
        <v/>
      </c>
    </row>
    <row r="225">
      <c r="B225" s="101" t="n">
        <v>219</v>
      </c>
      <c r="C225" s="58" t="inlineStr">
        <is>
          <t>Transaction</t>
        </is>
      </c>
      <c r="D225" s="58">
        <f>IF(H225=1,INDEX(tx_ID,219)&amp;"","")</f>
        <v/>
      </c>
      <c r="E225" s="94">
        <f>IF(H225=1,INDEX(tx_Date,219),"")</f>
        <v/>
      </c>
      <c r="F225" s="58">
        <f>IF(H225=1,INDEX(tx_Desc,219)&amp;"","")</f>
        <v/>
      </c>
      <c r="G225" s="58">
        <f>IF(H225=1,IF(INDEX(tx_Cust,219)&amp;""&lt;&gt;"",INDEX(tx_Cust,219)&amp;"",INDEX(tx_Vend,219)&amp;""),"")</f>
        <v/>
      </c>
      <c r="H225" s="101">
        <f>IFERROR(N(INDEX(tx_Posted,219)),0)</f>
        <v/>
      </c>
      <c r="I225" s="58">
        <f>IF(H225=1,INDEX(tx_DrAcct,219)&amp;"","")</f>
        <v/>
      </c>
      <c r="J225" s="95">
        <f>IF(H225=1,INDEX(tx_DrAmt,219),0)</f>
        <v/>
      </c>
      <c r="K225" s="58">
        <f>IF(H225=1,INDEX(tx_CrAcct,219)&amp;"","")</f>
        <v/>
      </c>
      <c r="L225" s="95">
        <f>IF(H225=1,INDEX(tx_CrAmt,219),0)</f>
        <v/>
      </c>
      <c r="M225" s="95">
        <f>IF(H225=1,INDEX(tx_TaxDr,219),0)</f>
        <v/>
      </c>
      <c r="N225" s="95">
        <f>IF(H225=1,INDEX(tx_TaxCr,219),0)</f>
        <v/>
      </c>
      <c r="O225" s="101">
        <f>IF(H225=1,IF(E225&lt;FYStart,0,IF(E225&gt;FYEnd,13,YEAR(E225)*12+MONTH(E225)-FYYM+1)),"")</f>
        <v/>
      </c>
      <c r="P225" s="101">
        <f>IF(H225=1,IF(IFERROR(INDEX(coa_CF,MATCH(I225,coa_Name,0)),"")="Cash",1,0),0)</f>
        <v/>
      </c>
      <c r="Q225" s="101">
        <f>IF(H225=1,IF(IFERROR(INDEX(coa_CF,MATCH(K225,coa_Name,0)),"")="Cash",1,0),0)</f>
        <v/>
      </c>
      <c r="R225" s="58">
        <f>IF((P225-Q225)=0,"",IFERROR(INDEX(coa_CF,MATCH(IF((P225-Q225)=1,K225,I225),coa_Name,0)),"Operating"))</f>
        <v/>
      </c>
      <c r="S225" s="95">
        <f>IF((P225-Q225)=1,L225,IF((P225-Q225)=-1,-J225,0))</f>
        <v/>
      </c>
      <c r="T225" s="95">
        <f>IF((P225-Q225)=1,N225,IF((P225-Q225)=-1,-M225,0))</f>
        <v/>
      </c>
      <c r="U225" s="101">
        <f>IF(AND(H225=1,LedAcct&lt;&gt;""),IF(AND(E225&gt;=LedFrom,E225&lt;=LedTo,OR(I225=LedAcct,K225=LedAcct,AND(LedAcct=acctTax,M225+N225&lt;&gt;0))),E225*10000+B225,""),"")</f>
        <v/>
      </c>
    </row>
    <row r="226">
      <c r="B226" s="101" t="n">
        <v>220</v>
      </c>
      <c r="C226" s="58" t="inlineStr">
        <is>
          <t>Transaction</t>
        </is>
      </c>
      <c r="D226" s="58">
        <f>IF(H226=1,INDEX(tx_ID,220)&amp;"","")</f>
        <v/>
      </c>
      <c r="E226" s="94">
        <f>IF(H226=1,INDEX(tx_Date,220),"")</f>
        <v/>
      </c>
      <c r="F226" s="58">
        <f>IF(H226=1,INDEX(tx_Desc,220)&amp;"","")</f>
        <v/>
      </c>
      <c r="G226" s="58">
        <f>IF(H226=1,IF(INDEX(tx_Cust,220)&amp;""&lt;&gt;"",INDEX(tx_Cust,220)&amp;"",INDEX(tx_Vend,220)&amp;""),"")</f>
        <v/>
      </c>
      <c r="H226" s="101">
        <f>IFERROR(N(INDEX(tx_Posted,220)),0)</f>
        <v/>
      </c>
      <c r="I226" s="58">
        <f>IF(H226=1,INDEX(tx_DrAcct,220)&amp;"","")</f>
        <v/>
      </c>
      <c r="J226" s="95">
        <f>IF(H226=1,INDEX(tx_DrAmt,220),0)</f>
        <v/>
      </c>
      <c r="K226" s="58">
        <f>IF(H226=1,INDEX(tx_CrAcct,220)&amp;"","")</f>
        <v/>
      </c>
      <c r="L226" s="95">
        <f>IF(H226=1,INDEX(tx_CrAmt,220),0)</f>
        <v/>
      </c>
      <c r="M226" s="95">
        <f>IF(H226=1,INDEX(tx_TaxDr,220),0)</f>
        <v/>
      </c>
      <c r="N226" s="95">
        <f>IF(H226=1,INDEX(tx_TaxCr,220),0)</f>
        <v/>
      </c>
      <c r="O226" s="101">
        <f>IF(H226=1,IF(E226&lt;FYStart,0,IF(E226&gt;FYEnd,13,YEAR(E226)*12+MONTH(E226)-FYYM+1)),"")</f>
        <v/>
      </c>
      <c r="P226" s="101">
        <f>IF(H226=1,IF(IFERROR(INDEX(coa_CF,MATCH(I226,coa_Name,0)),"")="Cash",1,0),0)</f>
        <v/>
      </c>
      <c r="Q226" s="101">
        <f>IF(H226=1,IF(IFERROR(INDEX(coa_CF,MATCH(K226,coa_Name,0)),"")="Cash",1,0),0)</f>
        <v/>
      </c>
      <c r="R226" s="58">
        <f>IF((P226-Q226)=0,"",IFERROR(INDEX(coa_CF,MATCH(IF((P226-Q226)=1,K226,I226),coa_Name,0)),"Operating"))</f>
        <v/>
      </c>
      <c r="S226" s="95">
        <f>IF((P226-Q226)=1,L226,IF((P226-Q226)=-1,-J226,0))</f>
        <v/>
      </c>
      <c r="T226" s="95">
        <f>IF((P226-Q226)=1,N226,IF((P226-Q226)=-1,-M226,0))</f>
        <v/>
      </c>
      <c r="U226" s="101">
        <f>IF(AND(H226=1,LedAcct&lt;&gt;""),IF(AND(E226&gt;=LedFrom,E226&lt;=LedTo,OR(I226=LedAcct,K226=LedAcct,AND(LedAcct=acctTax,M226+N226&lt;&gt;0))),E226*10000+B226,""),"")</f>
        <v/>
      </c>
    </row>
    <row r="227">
      <c r="B227" s="101" t="n">
        <v>221</v>
      </c>
      <c r="C227" s="58" t="inlineStr">
        <is>
          <t>Transaction</t>
        </is>
      </c>
      <c r="D227" s="58">
        <f>IF(H227=1,INDEX(tx_ID,221)&amp;"","")</f>
        <v/>
      </c>
      <c r="E227" s="94">
        <f>IF(H227=1,INDEX(tx_Date,221),"")</f>
        <v/>
      </c>
      <c r="F227" s="58">
        <f>IF(H227=1,INDEX(tx_Desc,221)&amp;"","")</f>
        <v/>
      </c>
      <c r="G227" s="58">
        <f>IF(H227=1,IF(INDEX(tx_Cust,221)&amp;""&lt;&gt;"",INDEX(tx_Cust,221)&amp;"",INDEX(tx_Vend,221)&amp;""),"")</f>
        <v/>
      </c>
      <c r="H227" s="101">
        <f>IFERROR(N(INDEX(tx_Posted,221)),0)</f>
        <v/>
      </c>
      <c r="I227" s="58">
        <f>IF(H227=1,INDEX(tx_DrAcct,221)&amp;"","")</f>
        <v/>
      </c>
      <c r="J227" s="95">
        <f>IF(H227=1,INDEX(tx_DrAmt,221),0)</f>
        <v/>
      </c>
      <c r="K227" s="58">
        <f>IF(H227=1,INDEX(tx_CrAcct,221)&amp;"","")</f>
        <v/>
      </c>
      <c r="L227" s="95">
        <f>IF(H227=1,INDEX(tx_CrAmt,221),0)</f>
        <v/>
      </c>
      <c r="M227" s="95">
        <f>IF(H227=1,INDEX(tx_TaxDr,221),0)</f>
        <v/>
      </c>
      <c r="N227" s="95">
        <f>IF(H227=1,INDEX(tx_TaxCr,221),0)</f>
        <v/>
      </c>
      <c r="O227" s="101">
        <f>IF(H227=1,IF(E227&lt;FYStart,0,IF(E227&gt;FYEnd,13,YEAR(E227)*12+MONTH(E227)-FYYM+1)),"")</f>
        <v/>
      </c>
      <c r="P227" s="101">
        <f>IF(H227=1,IF(IFERROR(INDEX(coa_CF,MATCH(I227,coa_Name,0)),"")="Cash",1,0),0)</f>
        <v/>
      </c>
      <c r="Q227" s="101">
        <f>IF(H227=1,IF(IFERROR(INDEX(coa_CF,MATCH(K227,coa_Name,0)),"")="Cash",1,0),0)</f>
        <v/>
      </c>
      <c r="R227" s="58">
        <f>IF((P227-Q227)=0,"",IFERROR(INDEX(coa_CF,MATCH(IF((P227-Q227)=1,K227,I227),coa_Name,0)),"Operating"))</f>
        <v/>
      </c>
      <c r="S227" s="95">
        <f>IF((P227-Q227)=1,L227,IF((P227-Q227)=-1,-J227,0))</f>
        <v/>
      </c>
      <c r="T227" s="95">
        <f>IF((P227-Q227)=1,N227,IF((P227-Q227)=-1,-M227,0))</f>
        <v/>
      </c>
      <c r="U227" s="101">
        <f>IF(AND(H227=1,LedAcct&lt;&gt;""),IF(AND(E227&gt;=LedFrom,E227&lt;=LedTo,OR(I227=LedAcct,K227=LedAcct,AND(LedAcct=acctTax,M227+N227&lt;&gt;0))),E227*10000+B227,""),"")</f>
        <v/>
      </c>
    </row>
    <row r="228">
      <c r="B228" s="101" t="n">
        <v>222</v>
      </c>
      <c r="C228" s="58" t="inlineStr">
        <is>
          <t>Transaction</t>
        </is>
      </c>
      <c r="D228" s="58">
        <f>IF(H228=1,INDEX(tx_ID,222)&amp;"","")</f>
        <v/>
      </c>
      <c r="E228" s="94">
        <f>IF(H228=1,INDEX(tx_Date,222),"")</f>
        <v/>
      </c>
      <c r="F228" s="58">
        <f>IF(H228=1,INDEX(tx_Desc,222)&amp;"","")</f>
        <v/>
      </c>
      <c r="G228" s="58">
        <f>IF(H228=1,IF(INDEX(tx_Cust,222)&amp;""&lt;&gt;"",INDEX(tx_Cust,222)&amp;"",INDEX(tx_Vend,222)&amp;""),"")</f>
        <v/>
      </c>
      <c r="H228" s="101">
        <f>IFERROR(N(INDEX(tx_Posted,222)),0)</f>
        <v/>
      </c>
      <c r="I228" s="58">
        <f>IF(H228=1,INDEX(tx_DrAcct,222)&amp;"","")</f>
        <v/>
      </c>
      <c r="J228" s="95">
        <f>IF(H228=1,INDEX(tx_DrAmt,222),0)</f>
        <v/>
      </c>
      <c r="K228" s="58">
        <f>IF(H228=1,INDEX(tx_CrAcct,222)&amp;"","")</f>
        <v/>
      </c>
      <c r="L228" s="95">
        <f>IF(H228=1,INDEX(tx_CrAmt,222),0)</f>
        <v/>
      </c>
      <c r="M228" s="95">
        <f>IF(H228=1,INDEX(tx_TaxDr,222),0)</f>
        <v/>
      </c>
      <c r="N228" s="95">
        <f>IF(H228=1,INDEX(tx_TaxCr,222),0)</f>
        <v/>
      </c>
      <c r="O228" s="101">
        <f>IF(H228=1,IF(E228&lt;FYStart,0,IF(E228&gt;FYEnd,13,YEAR(E228)*12+MONTH(E228)-FYYM+1)),"")</f>
        <v/>
      </c>
      <c r="P228" s="101">
        <f>IF(H228=1,IF(IFERROR(INDEX(coa_CF,MATCH(I228,coa_Name,0)),"")="Cash",1,0),0)</f>
        <v/>
      </c>
      <c r="Q228" s="101">
        <f>IF(H228=1,IF(IFERROR(INDEX(coa_CF,MATCH(K228,coa_Name,0)),"")="Cash",1,0),0)</f>
        <v/>
      </c>
      <c r="R228" s="58">
        <f>IF((P228-Q228)=0,"",IFERROR(INDEX(coa_CF,MATCH(IF((P228-Q228)=1,K228,I228),coa_Name,0)),"Operating"))</f>
        <v/>
      </c>
      <c r="S228" s="95">
        <f>IF((P228-Q228)=1,L228,IF((P228-Q228)=-1,-J228,0))</f>
        <v/>
      </c>
      <c r="T228" s="95">
        <f>IF((P228-Q228)=1,N228,IF((P228-Q228)=-1,-M228,0))</f>
        <v/>
      </c>
      <c r="U228" s="101">
        <f>IF(AND(H228=1,LedAcct&lt;&gt;""),IF(AND(E228&gt;=LedFrom,E228&lt;=LedTo,OR(I228=LedAcct,K228=LedAcct,AND(LedAcct=acctTax,M228+N228&lt;&gt;0))),E228*10000+B228,""),"")</f>
        <v/>
      </c>
    </row>
    <row r="229">
      <c r="B229" s="101" t="n">
        <v>223</v>
      </c>
      <c r="C229" s="58" t="inlineStr">
        <is>
          <t>Transaction</t>
        </is>
      </c>
      <c r="D229" s="58">
        <f>IF(H229=1,INDEX(tx_ID,223)&amp;"","")</f>
        <v/>
      </c>
      <c r="E229" s="94">
        <f>IF(H229=1,INDEX(tx_Date,223),"")</f>
        <v/>
      </c>
      <c r="F229" s="58">
        <f>IF(H229=1,INDEX(tx_Desc,223)&amp;"","")</f>
        <v/>
      </c>
      <c r="G229" s="58">
        <f>IF(H229=1,IF(INDEX(tx_Cust,223)&amp;""&lt;&gt;"",INDEX(tx_Cust,223)&amp;"",INDEX(tx_Vend,223)&amp;""),"")</f>
        <v/>
      </c>
      <c r="H229" s="101">
        <f>IFERROR(N(INDEX(tx_Posted,223)),0)</f>
        <v/>
      </c>
      <c r="I229" s="58">
        <f>IF(H229=1,INDEX(tx_DrAcct,223)&amp;"","")</f>
        <v/>
      </c>
      <c r="J229" s="95">
        <f>IF(H229=1,INDEX(tx_DrAmt,223),0)</f>
        <v/>
      </c>
      <c r="K229" s="58">
        <f>IF(H229=1,INDEX(tx_CrAcct,223)&amp;"","")</f>
        <v/>
      </c>
      <c r="L229" s="95">
        <f>IF(H229=1,INDEX(tx_CrAmt,223),0)</f>
        <v/>
      </c>
      <c r="M229" s="95">
        <f>IF(H229=1,INDEX(tx_TaxDr,223),0)</f>
        <v/>
      </c>
      <c r="N229" s="95">
        <f>IF(H229=1,INDEX(tx_TaxCr,223),0)</f>
        <v/>
      </c>
      <c r="O229" s="101">
        <f>IF(H229=1,IF(E229&lt;FYStart,0,IF(E229&gt;FYEnd,13,YEAR(E229)*12+MONTH(E229)-FYYM+1)),"")</f>
        <v/>
      </c>
      <c r="P229" s="101">
        <f>IF(H229=1,IF(IFERROR(INDEX(coa_CF,MATCH(I229,coa_Name,0)),"")="Cash",1,0),0)</f>
        <v/>
      </c>
      <c r="Q229" s="101">
        <f>IF(H229=1,IF(IFERROR(INDEX(coa_CF,MATCH(K229,coa_Name,0)),"")="Cash",1,0),0)</f>
        <v/>
      </c>
      <c r="R229" s="58">
        <f>IF((P229-Q229)=0,"",IFERROR(INDEX(coa_CF,MATCH(IF((P229-Q229)=1,K229,I229),coa_Name,0)),"Operating"))</f>
        <v/>
      </c>
      <c r="S229" s="95">
        <f>IF((P229-Q229)=1,L229,IF((P229-Q229)=-1,-J229,0))</f>
        <v/>
      </c>
      <c r="T229" s="95">
        <f>IF((P229-Q229)=1,N229,IF((P229-Q229)=-1,-M229,0))</f>
        <v/>
      </c>
      <c r="U229" s="101">
        <f>IF(AND(H229=1,LedAcct&lt;&gt;""),IF(AND(E229&gt;=LedFrom,E229&lt;=LedTo,OR(I229=LedAcct,K229=LedAcct,AND(LedAcct=acctTax,M229+N229&lt;&gt;0))),E229*10000+B229,""),"")</f>
        <v/>
      </c>
    </row>
    <row r="230">
      <c r="B230" s="101" t="n">
        <v>224</v>
      </c>
      <c r="C230" s="58" t="inlineStr">
        <is>
          <t>Transaction</t>
        </is>
      </c>
      <c r="D230" s="58">
        <f>IF(H230=1,INDEX(tx_ID,224)&amp;"","")</f>
        <v/>
      </c>
      <c r="E230" s="94">
        <f>IF(H230=1,INDEX(tx_Date,224),"")</f>
        <v/>
      </c>
      <c r="F230" s="58">
        <f>IF(H230=1,INDEX(tx_Desc,224)&amp;"","")</f>
        <v/>
      </c>
      <c r="G230" s="58">
        <f>IF(H230=1,IF(INDEX(tx_Cust,224)&amp;""&lt;&gt;"",INDEX(tx_Cust,224)&amp;"",INDEX(tx_Vend,224)&amp;""),"")</f>
        <v/>
      </c>
      <c r="H230" s="101">
        <f>IFERROR(N(INDEX(tx_Posted,224)),0)</f>
        <v/>
      </c>
      <c r="I230" s="58">
        <f>IF(H230=1,INDEX(tx_DrAcct,224)&amp;"","")</f>
        <v/>
      </c>
      <c r="J230" s="95">
        <f>IF(H230=1,INDEX(tx_DrAmt,224),0)</f>
        <v/>
      </c>
      <c r="K230" s="58">
        <f>IF(H230=1,INDEX(tx_CrAcct,224)&amp;"","")</f>
        <v/>
      </c>
      <c r="L230" s="95">
        <f>IF(H230=1,INDEX(tx_CrAmt,224),0)</f>
        <v/>
      </c>
      <c r="M230" s="95">
        <f>IF(H230=1,INDEX(tx_TaxDr,224),0)</f>
        <v/>
      </c>
      <c r="N230" s="95">
        <f>IF(H230=1,INDEX(tx_TaxCr,224),0)</f>
        <v/>
      </c>
      <c r="O230" s="101">
        <f>IF(H230=1,IF(E230&lt;FYStart,0,IF(E230&gt;FYEnd,13,YEAR(E230)*12+MONTH(E230)-FYYM+1)),"")</f>
        <v/>
      </c>
      <c r="P230" s="101">
        <f>IF(H230=1,IF(IFERROR(INDEX(coa_CF,MATCH(I230,coa_Name,0)),"")="Cash",1,0),0)</f>
        <v/>
      </c>
      <c r="Q230" s="101">
        <f>IF(H230=1,IF(IFERROR(INDEX(coa_CF,MATCH(K230,coa_Name,0)),"")="Cash",1,0),0)</f>
        <v/>
      </c>
      <c r="R230" s="58">
        <f>IF((P230-Q230)=0,"",IFERROR(INDEX(coa_CF,MATCH(IF((P230-Q230)=1,K230,I230),coa_Name,0)),"Operating"))</f>
        <v/>
      </c>
      <c r="S230" s="95">
        <f>IF((P230-Q230)=1,L230,IF((P230-Q230)=-1,-J230,0))</f>
        <v/>
      </c>
      <c r="T230" s="95">
        <f>IF((P230-Q230)=1,N230,IF((P230-Q230)=-1,-M230,0))</f>
        <v/>
      </c>
      <c r="U230" s="101">
        <f>IF(AND(H230=1,LedAcct&lt;&gt;""),IF(AND(E230&gt;=LedFrom,E230&lt;=LedTo,OR(I230=LedAcct,K230=LedAcct,AND(LedAcct=acctTax,M230+N230&lt;&gt;0))),E230*10000+B230,""),"")</f>
        <v/>
      </c>
    </row>
    <row r="231">
      <c r="B231" s="101" t="n">
        <v>225</v>
      </c>
      <c r="C231" s="58" t="inlineStr">
        <is>
          <t>Transaction</t>
        </is>
      </c>
      <c r="D231" s="58">
        <f>IF(H231=1,INDEX(tx_ID,225)&amp;"","")</f>
        <v/>
      </c>
      <c r="E231" s="94">
        <f>IF(H231=1,INDEX(tx_Date,225),"")</f>
        <v/>
      </c>
      <c r="F231" s="58">
        <f>IF(H231=1,INDEX(tx_Desc,225)&amp;"","")</f>
        <v/>
      </c>
      <c r="G231" s="58">
        <f>IF(H231=1,IF(INDEX(tx_Cust,225)&amp;""&lt;&gt;"",INDEX(tx_Cust,225)&amp;"",INDEX(tx_Vend,225)&amp;""),"")</f>
        <v/>
      </c>
      <c r="H231" s="101">
        <f>IFERROR(N(INDEX(tx_Posted,225)),0)</f>
        <v/>
      </c>
      <c r="I231" s="58">
        <f>IF(H231=1,INDEX(tx_DrAcct,225)&amp;"","")</f>
        <v/>
      </c>
      <c r="J231" s="95">
        <f>IF(H231=1,INDEX(tx_DrAmt,225),0)</f>
        <v/>
      </c>
      <c r="K231" s="58">
        <f>IF(H231=1,INDEX(tx_CrAcct,225)&amp;"","")</f>
        <v/>
      </c>
      <c r="L231" s="95">
        <f>IF(H231=1,INDEX(tx_CrAmt,225),0)</f>
        <v/>
      </c>
      <c r="M231" s="95">
        <f>IF(H231=1,INDEX(tx_TaxDr,225),0)</f>
        <v/>
      </c>
      <c r="N231" s="95">
        <f>IF(H231=1,INDEX(tx_TaxCr,225),0)</f>
        <v/>
      </c>
      <c r="O231" s="101">
        <f>IF(H231=1,IF(E231&lt;FYStart,0,IF(E231&gt;FYEnd,13,YEAR(E231)*12+MONTH(E231)-FYYM+1)),"")</f>
        <v/>
      </c>
      <c r="P231" s="101">
        <f>IF(H231=1,IF(IFERROR(INDEX(coa_CF,MATCH(I231,coa_Name,0)),"")="Cash",1,0),0)</f>
        <v/>
      </c>
      <c r="Q231" s="101">
        <f>IF(H231=1,IF(IFERROR(INDEX(coa_CF,MATCH(K231,coa_Name,0)),"")="Cash",1,0),0)</f>
        <v/>
      </c>
      <c r="R231" s="58">
        <f>IF((P231-Q231)=0,"",IFERROR(INDEX(coa_CF,MATCH(IF((P231-Q231)=1,K231,I231),coa_Name,0)),"Operating"))</f>
        <v/>
      </c>
      <c r="S231" s="95">
        <f>IF((P231-Q231)=1,L231,IF((P231-Q231)=-1,-J231,0))</f>
        <v/>
      </c>
      <c r="T231" s="95">
        <f>IF((P231-Q231)=1,N231,IF((P231-Q231)=-1,-M231,0))</f>
        <v/>
      </c>
      <c r="U231" s="101">
        <f>IF(AND(H231=1,LedAcct&lt;&gt;""),IF(AND(E231&gt;=LedFrom,E231&lt;=LedTo,OR(I231=LedAcct,K231=LedAcct,AND(LedAcct=acctTax,M231+N231&lt;&gt;0))),E231*10000+B231,""),"")</f>
        <v/>
      </c>
    </row>
    <row r="232">
      <c r="B232" s="101" t="n">
        <v>226</v>
      </c>
      <c r="C232" s="58" t="inlineStr">
        <is>
          <t>Transaction</t>
        </is>
      </c>
      <c r="D232" s="58">
        <f>IF(H232=1,INDEX(tx_ID,226)&amp;"","")</f>
        <v/>
      </c>
      <c r="E232" s="94">
        <f>IF(H232=1,INDEX(tx_Date,226),"")</f>
        <v/>
      </c>
      <c r="F232" s="58">
        <f>IF(H232=1,INDEX(tx_Desc,226)&amp;"","")</f>
        <v/>
      </c>
      <c r="G232" s="58">
        <f>IF(H232=1,IF(INDEX(tx_Cust,226)&amp;""&lt;&gt;"",INDEX(tx_Cust,226)&amp;"",INDEX(tx_Vend,226)&amp;""),"")</f>
        <v/>
      </c>
      <c r="H232" s="101">
        <f>IFERROR(N(INDEX(tx_Posted,226)),0)</f>
        <v/>
      </c>
      <c r="I232" s="58">
        <f>IF(H232=1,INDEX(tx_DrAcct,226)&amp;"","")</f>
        <v/>
      </c>
      <c r="J232" s="95">
        <f>IF(H232=1,INDEX(tx_DrAmt,226),0)</f>
        <v/>
      </c>
      <c r="K232" s="58">
        <f>IF(H232=1,INDEX(tx_CrAcct,226)&amp;"","")</f>
        <v/>
      </c>
      <c r="L232" s="95">
        <f>IF(H232=1,INDEX(tx_CrAmt,226),0)</f>
        <v/>
      </c>
      <c r="M232" s="95">
        <f>IF(H232=1,INDEX(tx_TaxDr,226),0)</f>
        <v/>
      </c>
      <c r="N232" s="95">
        <f>IF(H232=1,INDEX(tx_TaxCr,226),0)</f>
        <v/>
      </c>
      <c r="O232" s="101">
        <f>IF(H232=1,IF(E232&lt;FYStart,0,IF(E232&gt;FYEnd,13,YEAR(E232)*12+MONTH(E232)-FYYM+1)),"")</f>
        <v/>
      </c>
      <c r="P232" s="101">
        <f>IF(H232=1,IF(IFERROR(INDEX(coa_CF,MATCH(I232,coa_Name,0)),"")="Cash",1,0),0)</f>
        <v/>
      </c>
      <c r="Q232" s="101">
        <f>IF(H232=1,IF(IFERROR(INDEX(coa_CF,MATCH(K232,coa_Name,0)),"")="Cash",1,0),0)</f>
        <v/>
      </c>
      <c r="R232" s="58">
        <f>IF((P232-Q232)=0,"",IFERROR(INDEX(coa_CF,MATCH(IF((P232-Q232)=1,K232,I232),coa_Name,0)),"Operating"))</f>
        <v/>
      </c>
      <c r="S232" s="95">
        <f>IF((P232-Q232)=1,L232,IF((P232-Q232)=-1,-J232,0))</f>
        <v/>
      </c>
      <c r="T232" s="95">
        <f>IF((P232-Q232)=1,N232,IF((P232-Q232)=-1,-M232,0))</f>
        <v/>
      </c>
      <c r="U232" s="101">
        <f>IF(AND(H232=1,LedAcct&lt;&gt;""),IF(AND(E232&gt;=LedFrom,E232&lt;=LedTo,OR(I232=LedAcct,K232=LedAcct,AND(LedAcct=acctTax,M232+N232&lt;&gt;0))),E232*10000+B232,""),"")</f>
        <v/>
      </c>
    </row>
    <row r="233">
      <c r="B233" s="101" t="n">
        <v>227</v>
      </c>
      <c r="C233" s="58" t="inlineStr">
        <is>
          <t>Transaction</t>
        </is>
      </c>
      <c r="D233" s="58">
        <f>IF(H233=1,INDEX(tx_ID,227)&amp;"","")</f>
        <v/>
      </c>
      <c r="E233" s="94">
        <f>IF(H233=1,INDEX(tx_Date,227),"")</f>
        <v/>
      </c>
      <c r="F233" s="58">
        <f>IF(H233=1,INDEX(tx_Desc,227)&amp;"","")</f>
        <v/>
      </c>
      <c r="G233" s="58">
        <f>IF(H233=1,IF(INDEX(tx_Cust,227)&amp;""&lt;&gt;"",INDEX(tx_Cust,227)&amp;"",INDEX(tx_Vend,227)&amp;""),"")</f>
        <v/>
      </c>
      <c r="H233" s="101">
        <f>IFERROR(N(INDEX(tx_Posted,227)),0)</f>
        <v/>
      </c>
      <c r="I233" s="58">
        <f>IF(H233=1,INDEX(tx_DrAcct,227)&amp;"","")</f>
        <v/>
      </c>
      <c r="J233" s="95">
        <f>IF(H233=1,INDEX(tx_DrAmt,227),0)</f>
        <v/>
      </c>
      <c r="K233" s="58">
        <f>IF(H233=1,INDEX(tx_CrAcct,227)&amp;"","")</f>
        <v/>
      </c>
      <c r="L233" s="95">
        <f>IF(H233=1,INDEX(tx_CrAmt,227),0)</f>
        <v/>
      </c>
      <c r="M233" s="95">
        <f>IF(H233=1,INDEX(tx_TaxDr,227),0)</f>
        <v/>
      </c>
      <c r="N233" s="95">
        <f>IF(H233=1,INDEX(tx_TaxCr,227),0)</f>
        <v/>
      </c>
      <c r="O233" s="101">
        <f>IF(H233=1,IF(E233&lt;FYStart,0,IF(E233&gt;FYEnd,13,YEAR(E233)*12+MONTH(E233)-FYYM+1)),"")</f>
        <v/>
      </c>
      <c r="P233" s="101">
        <f>IF(H233=1,IF(IFERROR(INDEX(coa_CF,MATCH(I233,coa_Name,0)),"")="Cash",1,0),0)</f>
        <v/>
      </c>
      <c r="Q233" s="101">
        <f>IF(H233=1,IF(IFERROR(INDEX(coa_CF,MATCH(K233,coa_Name,0)),"")="Cash",1,0),0)</f>
        <v/>
      </c>
      <c r="R233" s="58">
        <f>IF((P233-Q233)=0,"",IFERROR(INDEX(coa_CF,MATCH(IF((P233-Q233)=1,K233,I233),coa_Name,0)),"Operating"))</f>
        <v/>
      </c>
      <c r="S233" s="95">
        <f>IF((P233-Q233)=1,L233,IF((P233-Q233)=-1,-J233,0))</f>
        <v/>
      </c>
      <c r="T233" s="95">
        <f>IF((P233-Q233)=1,N233,IF((P233-Q233)=-1,-M233,0))</f>
        <v/>
      </c>
      <c r="U233" s="101">
        <f>IF(AND(H233=1,LedAcct&lt;&gt;""),IF(AND(E233&gt;=LedFrom,E233&lt;=LedTo,OR(I233=LedAcct,K233=LedAcct,AND(LedAcct=acctTax,M233+N233&lt;&gt;0))),E233*10000+B233,""),"")</f>
        <v/>
      </c>
    </row>
    <row r="234">
      <c r="B234" s="101" t="n">
        <v>228</v>
      </c>
      <c r="C234" s="58" t="inlineStr">
        <is>
          <t>Transaction</t>
        </is>
      </c>
      <c r="D234" s="58">
        <f>IF(H234=1,INDEX(tx_ID,228)&amp;"","")</f>
        <v/>
      </c>
      <c r="E234" s="94">
        <f>IF(H234=1,INDEX(tx_Date,228),"")</f>
        <v/>
      </c>
      <c r="F234" s="58">
        <f>IF(H234=1,INDEX(tx_Desc,228)&amp;"","")</f>
        <v/>
      </c>
      <c r="G234" s="58">
        <f>IF(H234=1,IF(INDEX(tx_Cust,228)&amp;""&lt;&gt;"",INDEX(tx_Cust,228)&amp;"",INDEX(tx_Vend,228)&amp;""),"")</f>
        <v/>
      </c>
      <c r="H234" s="101">
        <f>IFERROR(N(INDEX(tx_Posted,228)),0)</f>
        <v/>
      </c>
      <c r="I234" s="58">
        <f>IF(H234=1,INDEX(tx_DrAcct,228)&amp;"","")</f>
        <v/>
      </c>
      <c r="J234" s="95">
        <f>IF(H234=1,INDEX(tx_DrAmt,228),0)</f>
        <v/>
      </c>
      <c r="K234" s="58">
        <f>IF(H234=1,INDEX(tx_CrAcct,228)&amp;"","")</f>
        <v/>
      </c>
      <c r="L234" s="95">
        <f>IF(H234=1,INDEX(tx_CrAmt,228),0)</f>
        <v/>
      </c>
      <c r="M234" s="95">
        <f>IF(H234=1,INDEX(tx_TaxDr,228),0)</f>
        <v/>
      </c>
      <c r="N234" s="95">
        <f>IF(H234=1,INDEX(tx_TaxCr,228),0)</f>
        <v/>
      </c>
      <c r="O234" s="101">
        <f>IF(H234=1,IF(E234&lt;FYStart,0,IF(E234&gt;FYEnd,13,YEAR(E234)*12+MONTH(E234)-FYYM+1)),"")</f>
        <v/>
      </c>
      <c r="P234" s="101">
        <f>IF(H234=1,IF(IFERROR(INDEX(coa_CF,MATCH(I234,coa_Name,0)),"")="Cash",1,0),0)</f>
        <v/>
      </c>
      <c r="Q234" s="101">
        <f>IF(H234=1,IF(IFERROR(INDEX(coa_CF,MATCH(K234,coa_Name,0)),"")="Cash",1,0),0)</f>
        <v/>
      </c>
      <c r="R234" s="58">
        <f>IF((P234-Q234)=0,"",IFERROR(INDEX(coa_CF,MATCH(IF((P234-Q234)=1,K234,I234),coa_Name,0)),"Operating"))</f>
        <v/>
      </c>
      <c r="S234" s="95">
        <f>IF((P234-Q234)=1,L234,IF((P234-Q234)=-1,-J234,0))</f>
        <v/>
      </c>
      <c r="T234" s="95">
        <f>IF((P234-Q234)=1,N234,IF((P234-Q234)=-1,-M234,0))</f>
        <v/>
      </c>
      <c r="U234" s="101">
        <f>IF(AND(H234=1,LedAcct&lt;&gt;""),IF(AND(E234&gt;=LedFrom,E234&lt;=LedTo,OR(I234=LedAcct,K234=LedAcct,AND(LedAcct=acctTax,M234+N234&lt;&gt;0))),E234*10000+B234,""),"")</f>
        <v/>
      </c>
    </row>
    <row r="235">
      <c r="B235" s="101" t="n">
        <v>229</v>
      </c>
      <c r="C235" s="58" t="inlineStr">
        <is>
          <t>Transaction</t>
        </is>
      </c>
      <c r="D235" s="58">
        <f>IF(H235=1,INDEX(tx_ID,229)&amp;"","")</f>
        <v/>
      </c>
      <c r="E235" s="94">
        <f>IF(H235=1,INDEX(tx_Date,229),"")</f>
        <v/>
      </c>
      <c r="F235" s="58">
        <f>IF(H235=1,INDEX(tx_Desc,229)&amp;"","")</f>
        <v/>
      </c>
      <c r="G235" s="58">
        <f>IF(H235=1,IF(INDEX(tx_Cust,229)&amp;""&lt;&gt;"",INDEX(tx_Cust,229)&amp;"",INDEX(tx_Vend,229)&amp;""),"")</f>
        <v/>
      </c>
      <c r="H235" s="101">
        <f>IFERROR(N(INDEX(tx_Posted,229)),0)</f>
        <v/>
      </c>
      <c r="I235" s="58">
        <f>IF(H235=1,INDEX(tx_DrAcct,229)&amp;"","")</f>
        <v/>
      </c>
      <c r="J235" s="95">
        <f>IF(H235=1,INDEX(tx_DrAmt,229),0)</f>
        <v/>
      </c>
      <c r="K235" s="58">
        <f>IF(H235=1,INDEX(tx_CrAcct,229)&amp;"","")</f>
        <v/>
      </c>
      <c r="L235" s="95">
        <f>IF(H235=1,INDEX(tx_CrAmt,229),0)</f>
        <v/>
      </c>
      <c r="M235" s="95">
        <f>IF(H235=1,INDEX(tx_TaxDr,229),0)</f>
        <v/>
      </c>
      <c r="N235" s="95">
        <f>IF(H235=1,INDEX(tx_TaxCr,229),0)</f>
        <v/>
      </c>
      <c r="O235" s="101">
        <f>IF(H235=1,IF(E235&lt;FYStart,0,IF(E235&gt;FYEnd,13,YEAR(E235)*12+MONTH(E235)-FYYM+1)),"")</f>
        <v/>
      </c>
      <c r="P235" s="101">
        <f>IF(H235=1,IF(IFERROR(INDEX(coa_CF,MATCH(I235,coa_Name,0)),"")="Cash",1,0),0)</f>
        <v/>
      </c>
      <c r="Q235" s="101">
        <f>IF(H235=1,IF(IFERROR(INDEX(coa_CF,MATCH(K235,coa_Name,0)),"")="Cash",1,0),0)</f>
        <v/>
      </c>
      <c r="R235" s="58">
        <f>IF((P235-Q235)=0,"",IFERROR(INDEX(coa_CF,MATCH(IF((P235-Q235)=1,K235,I235),coa_Name,0)),"Operating"))</f>
        <v/>
      </c>
      <c r="S235" s="95">
        <f>IF((P235-Q235)=1,L235,IF((P235-Q235)=-1,-J235,0))</f>
        <v/>
      </c>
      <c r="T235" s="95">
        <f>IF((P235-Q235)=1,N235,IF((P235-Q235)=-1,-M235,0))</f>
        <v/>
      </c>
      <c r="U235" s="101">
        <f>IF(AND(H235=1,LedAcct&lt;&gt;""),IF(AND(E235&gt;=LedFrom,E235&lt;=LedTo,OR(I235=LedAcct,K235=LedAcct,AND(LedAcct=acctTax,M235+N235&lt;&gt;0))),E235*10000+B235,""),"")</f>
        <v/>
      </c>
    </row>
    <row r="236">
      <c r="B236" s="101" t="n">
        <v>230</v>
      </c>
      <c r="C236" s="58" t="inlineStr">
        <is>
          <t>Transaction</t>
        </is>
      </c>
      <c r="D236" s="58">
        <f>IF(H236=1,INDEX(tx_ID,230)&amp;"","")</f>
        <v/>
      </c>
      <c r="E236" s="94">
        <f>IF(H236=1,INDEX(tx_Date,230),"")</f>
        <v/>
      </c>
      <c r="F236" s="58">
        <f>IF(H236=1,INDEX(tx_Desc,230)&amp;"","")</f>
        <v/>
      </c>
      <c r="G236" s="58">
        <f>IF(H236=1,IF(INDEX(tx_Cust,230)&amp;""&lt;&gt;"",INDEX(tx_Cust,230)&amp;"",INDEX(tx_Vend,230)&amp;""),"")</f>
        <v/>
      </c>
      <c r="H236" s="101">
        <f>IFERROR(N(INDEX(tx_Posted,230)),0)</f>
        <v/>
      </c>
      <c r="I236" s="58">
        <f>IF(H236=1,INDEX(tx_DrAcct,230)&amp;"","")</f>
        <v/>
      </c>
      <c r="J236" s="95">
        <f>IF(H236=1,INDEX(tx_DrAmt,230),0)</f>
        <v/>
      </c>
      <c r="K236" s="58">
        <f>IF(H236=1,INDEX(tx_CrAcct,230)&amp;"","")</f>
        <v/>
      </c>
      <c r="L236" s="95">
        <f>IF(H236=1,INDEX(tx_CrAmt,230),0)</f>
        <v/>
      </c>
      <c r="M236" s="95">
        <f>IF(H236=1,INDEX(tx_TaxDr,230),0)</f>
        <v/>
      </c>
      <c r="N236" s="95">
        <f>IF(H236=1,INDEX(tx_TaxCr,230),0)</f>
        <v/>
      </c>
      <c r="O236" s="101">
        <f>IF(H236=1,IF(E236&lt;FYStart,0,IF(E236&gt;FYEnd,13,YEAR(E236)*12+MONTH(E236)-FYYM+1)),"")</f>
        <v/>
      </c>
      <c r="P236" s="101">
        <f>IF(H236=1,IF(IFERROR(INDEX(coa_CF,MATCH(I236,coa_Name,0)),"")="Cash",1,0),0)</f>
        <v/>
      </c>
      <c r="Q236" s="101">
        <f>IF(H236=1,IF(IFERROR(INDEX(coa_CF,MATCH(K236,coa_Name,0)),"")="Cash",1,0),0)</f>
        <v/>
      </c>
      <c r="R236" s="58">
        <f>IF((P236-Q236)=0,"",IFERROR(INDEX(coa_CF,MATCH(IF((P236-Q236)=1,K236,I236),coa_Name,0)),"Operating"))</f>
        <v/>
      </c>
      <c r="S236" s="95">
        <f>IF((P236-Q236)=1,L236,IF((P236-Q236)=-1,-J236,0))</f>
        <v/>
      </c>
      <c r="T236" s="95">
        <f>IF((P236-Q236)=1,N236,IF((P236-Q236)=-1,-M236,0))</f>
        <v/>
      </c>
      <c r="U236" s="101">
        <f>IF(AND(H236=1,LedAcct&lt;&gt;""),IF(AND(E236&gt;=LedFrom,E236&lt;=LedTo,OR(I236=LedAcct,K236=LedAcct,AND(LedAcct=acctTax,M236+N236&lt;&gt;0))),E236*10000+B236,""),"")</f>
        <v/>
      </c>
    </row>
    <row r="237">
      <c r="B237" s="101" t="n">
        <v>231</v>
      </c>
      <c r="C237" s="58" t="inlineStr">
        <is>
          <t>Transaction</t>
        </is>
      </c>
      <c r="D237" s="58">
        <f>IF(H237=1,INDEX(tx_ID,231)&amp;"","")</f>
        <v/>
      </c>
      <c r="E237" s="94">
        <f>IF(H237=1,INDEX(tx_Date,231),"")</f>
        <v/>
      </c>
      <c r="F237" s="58">
        <f>IF(H237=1,INDEX(tx_Desc,231)&amp;"","")</f>
        <v/>
      </c>
      <c r="G237" s="58">
        <f>IF(H237=1,IF(INDEX(tx_Cust,231)&amp;""&lt;&gt;"",INDEX(tx_Cust,231)&amp;"",INDEX(tx_Vend,231)&amp;""),"")</f>
        <v/>
      </c>
      <c r="H237" s="101">
        <f>IFERROR(N(INDEX(tx_Posted,231)),0)</f>
        <v/>
      </c>
      <c r="I237" s="58">
        <f>IF(H237=1,INDEX(tx_DrAcct,231)&amp;"","")</f>
        <v/>
      </c>
      <c r="J237" s="95">
        <f>IF(H237=1,INDEX(tx_DrAmt,231),0)</f>
        <v/>
      </c>
      <c r="K237" s="58">
        <f>IF(H237=1,INDEX(tx_CrAcct,231)&amp;"","")</f>
        <v/>
      </c>
      <c r="L237" s="95">
        <f>IF(H237=1,INDEX(tx_CrAmt,231),0)</f>
        <v/>
      </c>
      <c r="M237" s="95">
        <f>IF(H237=1,INDEX(tx_TaxDr,231),0)</f>
        <v/>
      </c>
      <c r="N237" s="95">
        <f>IF(H237=1,INDEX(tx_TaxCr,231),0)</f>
        <v/>
      </c>
      <c r="O237" s="101">
        <f>IF(H237=1,IF(E237&lt;FYStart,0,IF(E237&gt;FYEnd,13,YEAR(E237)*12+MONTH(E237)-FYYM+1)),"")</f>
        <v/>
      </c>
      <c r="P237" s="101">
        <f>IF(H237=1,IF(IFERROR(INDEX(coa_CF,MATCH(I237,coa_Name,0)),"")="Cash",1,0),0)</f>
        <v/>
      </c>
      <c r="Q237" s="101">
        <f>IF(H237=1,IF(IFERROR(INDEX(coa_CF,MATCH(K237,coa_Name,0)),"")="Cash",1,0),0)</f>
        <v/>
      </c>
      <c r="R237" s="58">
        <f>IF((P237-Q237)=0,"",IFERROR(INDEX(coa_CF,MATCH(IF((P237-Q237)=1,K237,I237),coa_Name,0)),"Operating"))</f>
        <v/>
      </c>
      <c r="S237" s="95">
        <f>IF((P237-Q237)=1,L237,IF((P237-Q237)=-1,-J237,0))</f>
        <v/>
      </c>
      <c r="T237" s="95">
        <f>IF((P237-Q237)=1,N237,IF((P237-Q237)=-1,-M237,0))</f>
        <v/>
      </c>
      <c r="U237" s="101">
        <f>IF(AND(H237=1,LedAcct&lt;&gt;""),IF(AND(E237&gt;=LedFrom,E237&lt;=LedTo,OR(I237=LedAcct,K237=LedAcct,AND(LedAcct=acctTax,M237+N237&lt;&gt;0))),E237*10000+B237,""),"")</f>
        <v/>
      </c>
    </row>
    <row r="238">
      <c r="B238" s="101" t="n">
        <v>232</v>
      </c>
      <c r="C238" s="58" t="inlineStr">
        <is>
          <t>Transaction</t>
        </is>
      </c>
      <c r="D238" s="58">
        <f>IF(H238=1,INDEX(tx_ID,232)&amp;"","")</f>
        <v/>
      </c>
      <c r="E238" s="94">
        <f>IF(H238=1,INDEX(tx_Date,232),"")</f>
        <v/>
      </c>
      <c r="F238" s="58">
        <f>IF(H238=1,INDEX(tx_Desc,232)&amp;"","")</f>
        <v/>
      </c>
      <c r="G238" s="58">
        <f>IF(H238=1,IF(INDEX(tx_Cust,232)&amp;""&lt;&gt;"",INDEX(tx_Cust,232)&amp;"",INDEX(tx_Vend,232)&amp;""),"")</f>
        <v/>
      </c>
      <c r="H238" s="101">
        <f>IFERROR(N(INDEX(tx_Posted,232)),0)</f>
        <v/>
      </c>
      <c r="I238" s="58">
        <f>IF(H238=1,INDEX(tx_DrAcct,232)&amp;"","")</f>
        <v/>
      </c>
      <c r="J238" s="95">
        <f>IF(H238=1,INDEX(tx_DrAmt,232),0)</f>
        <v/>
      </c>
      <c r="K238" s="58">
        <f>IF(H238=1,INDEX(tx_CrAcct,232)&amp;"","")</f>
        <v/>
      </c>
      <c r="L238" s="95">
        <f>IF(H238=1,INDEX(tx_CrAmt,232),0)</f>
        <v/>
      </c>
      <c r="M238" s="95">
        <f>IF(H238=1,INDEX(tx_TaxDr,232),0)</f>
        <v/>
      </c>
      <c r="N238" s="95">
        <f>IF(H238=1,INDEX(tx_TaxCr,232),0)</f>
        <v/>
      </c>
      <c r="O238" s="101">
        <f>IF(H238=1,IF(E238&lt;FYStart,0,IF(E238&gt;FYEnd,13,YEAR(E238)*12+MONTH(E238)-FYYM+1)),"")</f>
        <v/>
      </c>
      <c r="P238" s="101">
        <f>IF(H238=1,IF(IFERROR(INDEX(coa_CF,MATCH(I238,coa_Name,0)),"")="Cash",1,0),0)</f>
        <v/>
      </c>
      <c r="Q238" s="101">
        <f>IF(H238=1,IF(IFERROR(INDEX(coa_CF,MATCH(K238,coa_Name,0)),"")="Cash",1,0),0)</f>
        <v/>
      </c>
      <c r="R238" s="58">
        <f>IF((P238-Q238)=0,"",IFERROR(INDEX(coa_CF,MATCH(IF((P238-Q238)=1,K238,I238),coa_Name,0)),"Operating"))</f>
        <v/>
      </c>
      <c r="S238" s="95">
        <f>IF((P238-Q238)=1,L238,IF((P238-Q238)=-1,-J238,0))</f>
        <v/>
      </c>
      <c r="T238" s="95">
        <f>IF((P238-Q238)=1,N238,IF((P238-Q238)=-1,-M238,0))</f>
        <v/>
      </c>
      <c r="U238" s="101">
        <f>IF(AND(H238=1,LedAcct&lt;&gt;""),IF(AND(E238&gt;=LedFrom,E238&lt;=LedTo,OR(I238=LedAcct,K238=LedAcct,AND(LedAcct=acctTax,M238+N238&lt;&gt;0))),E238*10000+B238,""),"")</f>
        <v/>
      </c>
    </row>
    <row r="239">
      <c r="B239" s="101" t="n">
        <v>233</v>
      </c>
      <c r="C239" s="58" t="inlineStr">
        <is>
          <t>Transaction</t>
        </is>
      </c>
      <c r="D239" s="58">
        <f>IF(H239=1,INDEX(tx_ID,233)&amp;"","")</f>
        <v/>
      </c>
      <c r="E239" s="94">
        <f>IF(H239=1,INDEX(tx_Date,233),"")</f>
        <v/>
      </c>
      <c r="F239" s="58">
        <f>IF(H239=1,INDEX(tx_Desc,233)&amp;"","")</f>
        <v/>
      </c>
      <c r="G239" s="58">
        <f>IF(H239=1,IF(INDEX(tx_Cust,233)&amp;""&lt;&gt;"",INDEX(tx_Cust,233)&amp;"",INDEX(tx_Vend,233)&amp;""),"")</f>
        <v/>
      </c>
      <c r="H239" s="101">
        <f>IFERROR(N(INDEX(tx_Posted,233)),0)</f>
        <v/>
      </c>
      <c r="I239" s="58">
        <f>IF(H239=1,INDEX(tx_DrAcct,233)&amp;"","")</f>
        <v/>
      </c>
      <c r="J239" s="95">
        <f>IF(H239=1,INDEX(tx_DrAmt,233),0)</f>
        <v/>
      </c>
      <c r="K239" s="58">
        <f>IF(H239=1,INDEX(tx_CrAcct,233)&amp;"","")</f>
        <v/>
      </c>
      <c r="L239" s="95">
        <f>IF(H239=1,INDEX(tx_CrAmt,233),0)</f>
        <v/>
      </c>
      <c r="M239" s="95">
        <f>IF(H239=1,INDEX(tx_TaxDr,233),0)</f>
        <v/>
      </c>
      <c r="N239" s="95">
        <f>IF(H239=1,INDEX(tx_TaxCr,233),0)</f>
        <v/>
      </c>
      <c r="O239" s="101">
        <f>IF(H239=1,IF(E239&lt;FYStart,0,IF(E239&gt;FYEnd,13,YEAR(E239)*12+MONTH(E239)-FYYM+1)),"")</f>
        <v/>
      </c>
      <c r="P239" s="101">
        <f>IF(H239=1,IF(IFERROR(INDEX(coa_CF,MATCH(I239,coa_Name,0)),"")="Cash",1,0),0)</f>
        <v/>
      </c>
      <c r="Q239" s="101">
        <f>IF(H239=1,IF(IFERROR(INDEX(coa_CF,MATCH(K239,coa_Name,0)),"")="Cash",1,0),0)</f>
        <v/>
      </c>
      <c r="R239" s="58">
        <f>IF((P239-Q239)=0,"",IFERROR(INDEX(coa_CF,MATCH(IF((P239-Q239)=1,K239,I239),coa_Name,0)),"Operating"))</f>
        <v/>
      </c>
      <c r="S239" s="95">
        <f>IF((P239-Q239)=1,L239,IF((P239-Q239)=-1,-J239,0))</f>
        <v/>
      </c>
      <c r="T239" s="95">
        <f>IF((P239-Q239)=1,N239,IF((P239-Q239)=-1,-M239,0))</f>
        <v/>
      </c>
      <c r="U239" s="101">
        <f>IF(AND(H239=1,LedAcct&lt;&gt;""),IF(AND(E239&gt;=LedFrom,E239&lt;=LedTo,OR(I239=LedAcct,K239=LedAcct,AND(LedAcct=acctTax,M239+N239&lt;&gt;0))),E239*10000+B239,""),"")</f>
        <v/>
      </c>
    </row>
    <row r="240">
      <c r="B240" s="101" t="n">
        <v>234</v>
      </c>
      <c r="C240" s="58" t="inlineStr">
        <is>
          <t>Transaction</t>
        </is>
      </c>
      <c r="D240" s="58">
        <f>IF(H240=1,INDEX(tx_ID,234)&amp;"","")</f>
        <v/>
      </c>
      <c r="E240" s="94">
        <f>IF(H240=1,INDEX(tx_Date,234),"")</f>
        <v/>
      </c>
      <c r="F240" s="58">
        <f>IF(H240=1,INDEX(tx_Desc,234)&amp;"","")</f>
        <v/>
      </c>
      <c r="G240" s="58">
        <f>IF(H240=1,IF(INDEX(tx_Cust,234)&amp;""&lt;&gt;"",INDEX(tx_Cust,234)&amp;"",INDEX(tx_Vend,234)&amp;""),"")</f>
        <v/>
      </c>
      <c r="H240" s="101">
        <f>IFERROR(N(INDEX(tx_Posted,234)),0)</f>
        <v/>
      </c>
      <c r="I240" s="58">
        <f>IF(H240=1,INDEX(tx_DrAcct,234)&amp;"","")</f>
        <v/>
      </c>
      <c r="J240" s="95">
        <f>IF(H240=1,INDEX(tx_DrAmt,234),0)</f>
        <v/>
      </c>
      <c r="K240" s="58">
        <f>IF(H240=1,INDEX(tx_CrAcct,234)&amp;"","")</f>
        <v/>
      </c>
      <c r="L240" s="95">
        <f>IF(H240=1,INDEX(tx_CrAmt,234),0)</f>
        <v/>
      </c>
      <c r="M240" s="95">
        <f>IF(H240=1,INDEX(tx_TaxDr,234),0)</f>
        <v/>
      </c>
      <c r="N240" s="95">
        <f>IF(H240=1,INDEX(tx_TaxCr,234),0)</f>
        <v/>
      </c>
      <c r="O240" s="101">
        <f>IF(H240=1,IF(E240&lt;FYStart,0,IF(E240&gt;FYEnd,13,YEAR(E240)*12+MONTH(E240)-FYYM+1)),"")</f>
        <v/>
      </c>
      <c r="P240" s="101">
        <f>IF(H240=1,IF(IFERROR(INDEX(coa_CF,MATCH(I240,coa_Name,0)),"")="Cash",1,0),0)</f>
        <v/>
      </c>
      <c r="Q240" s="101">
        <f>IF(H240=1,IF(IFERROR(INDEX(coa_CF,MATCH(K240,coa_Name,0)),"")="Cash",1,0),0)</f>
        <v/>
      </c>
      <c r="R240" s="58">
        <f>IF((P240-Q240)=0,"",IFERROR(INDEX(coa_CF,MATCH(IF((P240-Q240)=1,K240,I240),coa_Name,0)),"Operating"))</f>
        <v/>
      </c>
      <c r="S240" s="95">
        <f>IF((P240-Q240)=1,L240,IF((P240-Q240)=-1,-J240,0))</f>
        <v/>
      </c>
      <c r="T240" s="95">
        <f>IF((P240-Q240)=1,N240,IF((P240-Q240)=-1,-M240,0))</f>
        <v/>
      </c>
      <c r="U240" s="101">
        <f>IF(AND(H240=1,LedAcct&lt;&gt;""),IF(AND(E240&gt;=LedFrom,E240&lt;=LedTo,OR(I240=LedAcct,K240=LedAcct,AND(LedAcct=acctTax,M240+N240&lt;&gt;0))),E240*10000+B240,""),"")</f>
        <v/>
      </c>
    </row>
    <row r="241">
      <c r="B241" s="101" t="n">
        <v>235</v>
      </c>
      <c r="C241" s="58" t="inlineStr">
        <is>
          <t>Transaction</t>
        </is>
      </c>
      <c r="D241" s="58">
        <f>IF(H241=1,INDEX(tx_ID,235)&amp;"","")</f>
        <v/>
      </c>
      <c r="E241" s="94">
        <f>IF(H241=1,INDEX(tx_Date,235),"")</f>
        <v/>
      </c>
      <c r="F241" s="58">
        <f>IF(H241=1,INDEX(tx_Desc,235)&amp;"","")</f>
        <v/>
      </c>
      <c r="G241" s="58">
        <f>IF(H241=1,IF(INDEX(tx_Cust,235)&amp;""&lt;&gt;"",INDEX(tx_Cust,235)&amp;"",INDEX(tx_Vend,235)&amp;""),"")</f>
        <v/>
      </c>
      <c r="H241" s="101">
        <f>IFERROR(N(INDEX(tx_Posted,235)),0)</f>
        <v/>
      </c>
      <c r="I241" s="58">
        <f>IF(H241=1,INDEX(tx_DrAcct,235)&amp;"","")</f>
        <v/>
      </c>
      <c r="J241" s="95">
        <f>IF(H241=1,INDEX(tx_DrAmt,235),0)</f>
        <v/>
      </c>
      <c r="K241" s="58">
        <f>IF(H241=1,INDEX(tx_CrAcct,235)&amp;"","")</f>
        <v/>
      </c>
      <c r="L241" s="95">
        <f>IF(H241=1,INDEX(tx_CrAmt,235),0)</f>
        <v/>
      </c>
      <c r="M241" s="95">
        <f>IF(H241=1,INDEX(tx_TaxDr,235),0)</f>
        <v/>
      </c>
      <c r="N241" s="95">
        <f>IF(H241=1,INDEX(tx_TaxCr,235),0)</f>
        <v/>
      </c>
      <c r="O241" s="101">
        <f>IF(H241=1,IF(E241&lt;FYStart,0,IF(E241&gt;FYEnd,13,YEAR(E241)*12+MONTH(E241)-FYYM+1)),"")</f>
        <v/>
      </c>
      <c r="P241" s="101">
        <f>IF(H241=1,IF(IFERROR(INDEX(coa_CF,MATCH(I241,coa_Name,0)),"")="Cash",1,0),0)</f>
        <v/>
      </c>
      <c r="Q241" s="101">
        <f>IF(H241=1,IF(IFERROR(INDEX(coa_CF,MATCH(K241,coa_Name,0)),"")="Cash",1,0),0)</f>
        <v/>
      </c>
      <c r="R241" s="58">
        <f>IF((P241-Q241)=0,"",IFERROR(INDEX(coa_CF,MATCH(IF((P241-Q241)=1,K241,I241),coa_Name,0)),"Operating"))</f>
        <v/>
      </c>
      <c r="S241" s="95">
        <f>IF((P241-Q241)=1,L241,IF((P241-Q241)=-1,-J241,0))</f>
        <v/>
      </c>
      <c r="T241" s="95">
        <f>IF((P241-Q241)=1,N241,IF((P241-Q241)=-1,-M241,0))</f>
        <v/>
      </c>
      <c r="U241" s="101">
        <f>IF(AND(H241=1,LedAcct&lt;&gt;""),IF(AND(E241&gt;=LedFrom,E241&lt;=LedTo,OR(I241=LedAcct,K241=LedAcct,AND(LedAcct=acctTax,M241+N241&lt;&gt;0))),E241*10000+B241,""),"")</f>
        <v/>
      </c>
    </row>
    <row r="242">
      <c r="B242" s="101" t="n">
        <v>236</v>
      </c>
      <c r="C242" s="58" t="inlineStr">
        <is>
          <t>Transaction</t>
        </is>
      </c>
      <c r="D242" s="58">
        <f>IF(H242=1,INDEX(tx_ID,236)&amp;"","")</f>
        <v/>
      </c>
      <c r="E242" s="94">
        <f>IF(H242=1,INDEX(tx_Date,236),"")</f>
        <v/>
      </c>
      <c r="F242" s="58">
        <f>IF(H242=1,INDEX(tx_Desc,236)&amp;"","")</f>
        <v/>
      </c>
      <c r="G242" s="58">
        <f>IF(H242=1,IF(INDEX(tx_Cust,236)&amp;""&lt;&gt;"",INDEX(tx_Cust,236)&amp;"",INDEX(tx_Vend,236)&amp;""),"")</f>
        <v/>
      </c>
      <c r="H242" s="101">
        <f>IFERROR(N(INDEX(tx_Posted,236)),0)</f>
        <v/>
      </c>
      <c r="I242" s="58">
        <f>IF(H242=1,INDEX(tx_DrAcct,236)&amp;"","")</f>
        <v/>
      </c>
      <c r="J242" s="95">
        <f>IF(H242=1,INDEX(tx_DrAmt,236),0)</f>
        <v/>
      </c>
      <c r="K242" s="58">
        <f>IF(H242=1,INDEX(tx_CrAcct,236)&amp;"","")</f>
        <v/>
      </c>
      <c r="L242" s="95">
        <f>IF(H242=1,INDEX(tx_CrAmt,236),0)</f>
        <v/>
      </c>
      <c r="M242" s="95">
        <f>IF(H242=1,INDEX(tx_TaxDr,236),0)</f>
        <v/>
      </c>
      <c r="N242" s="95">
        <f>IF(H242=1,INDEX(tx_TaxCr,236),0)</f>
        <v/>
      </c>
      <c r="O242" s="101">
        <f>IF(H242=1,IF(E242&lt;FYStart,0,IF(E242&gt;FYEnd,13,YEAR(E242)*12+MONTH(E242)-FYYM+1)),"")</f>
        <v/>
      </c>
      <c r="P242" s="101">
        <f>IF(H242=1,IF(IFERROR(INDEX(coa_CF,MATCH(I242,coa_Name,0)),"")="Cash",1,0),0)</f>
        <v/>
      </c>
      <c r="Q242" s="101">
        <f>IF(H242=1,IF(IFERROR(INDEX(coa_CF,MATCH(K242,coa_Name,0)),"")="Cash",1,0),0)</f>
        <v/>
      </c>
      <c r="R242" s="58">
        <f>IF((P242-Q242)=0,"",IFERROR(INDEX(coa_CF,MATCH(IF((P242-Q242)=1,K242,I242),coa_Name,0)),"Operating"))</f>
        <v/>
      </c>
      <c r="S242" s="95">
        <f>IF((P242-Q242)=1,L242,IF((P242-Q242)=-1,-J242,0))</f>
        <v/>
      </c>
      <c r="T242" s="95">
        <f>IF((P242-Q242)=1,N242,IF((P242-Q242)=-1,-M242,0))</f>
        <v/>
      </c>
      <c r="U242" s="101">
        <f>IF(AND(H242=1,LedAcct&lt;&gt;""),IF(AND(E242&gt;=LedFrom,E242&lt;=LedTo,OR(I242=LedAcct,K242=LedAcct,AND(LedAcct=acctTax,M242+N242&lt;&gt;0))),E242*10000+B242,""),"")</f>
        <v/>
      </c>
    </row>
    <row r="243">
      <c r="B243" s="101" t="n">
        <v>237</v>
      </c>
      <c r="C243" s="58" t="inlineStr">
        <is>
          <t>Transaction</t>
        </is>
      </c>
      <c r="D243" s="58">
        <f>IF(H243=1,INDEX(tx_ID,237)&amp;"","")</f>
        <v/>
      </c>
      <c r="E243" s="94">
        <f>IF(H243=1,INDEX(tx_Date,237),"")</f>
        <v/>
      </c>
      <c r="F243" s="58">
        <f>IF(H243=1,INDEX(tx_Desc,237)&amp;"","")</f>
        <v/>
      </c>
      <c r="G243" s="58">
        <f>IF(H243=1,IF(INDEX(tx_Cust,237)&amp;""&lt;&gt;"",INDEX(tx_Cust,237)&amp;"",INDEX(tx_Vend,237)&amp;""),"")</f>
        <v/>
      </c>
      <c r="H243" s="101">
        <f>IFERROR(N(INDEX(tx_Posted,237)),0)</f>
        <v/>
      </c>
      <c r="I243" s="58">
        <f>IF(H243=1,INDEX(tx_DrAcct,237)&amp;"","")</f>
        <v/>
      </c>
      <c r="J243" s="95">
        <f>IF(H243=1,INDEX(tx_DrAmt,237),0)</f>
        <v/>
      </c>
      <c r="K243" s="58">
        <f>IF(H243=1,INDEX(tx_CrAcct,237)&amp;"","")</f>
        <v/>
      </c>
      <c r="L243" s="95">
        <f>IF(H243=1,INDEX(tx_CrAmt,237),0)</f>
        <v/>
      </c>
      <c r="M243" s="95">
        <f>IF(H243=1,INDEX(tx_TaxDr,237),0)</f>
        <v/>
      </c>
      <c r="N243" s="95">
        <f>IF(H243=1,INDEX(tx_TaxCr,237),0)</f>
        <v/>
      </c>
      <c r="O243" s="101">
        <f>IF(H243=1,IF(E243&lt;FYStart,0,IF(E243&gt;FYEnd,13,YEAR(E243)*12+MONTH(E243)-FYYM+1)),"")</f>
        <v/>
      </c>
      <c r="P243" s="101">
        <f>IF(H243=1,IF(IFERROR(INDEX(coa_CF,MATCH(I243,coa_Name,0)),"")="Cash",1,0),0)</f>
        <v/>
      </c>
      <c r="Q243" s="101">
        <f>IF(H243=1,IF(IFERROR(INDEX(coa_CF,MATCH(K243,coa_Name,0)),"")="Cash",1,0),0)</f>
        <v/>
      </c>
      <c r="R243" s="58">
        <f>IF((P243-Q243)=0,"",IFERROR(INDEX(coa_CF,MATCH(IF((P243-Q243)=1,K243,I243),coa_Name,0)),"Operating"))</f>
        <v/>
      </c>
      <c r="S243" s="95">
        <f>IF((P243-Q243)=1,L243,IF((P243-Q243)=-1,-J243,0))</f>
        <v/>
      </c>
      <c r="T243" s="95">
        <f>IF((P243-Q243)=1,N243,IF((P243-Q243)=-1,-M243,0))</f>
        <v/>
      </c>
      <c r="U243" s="101">
        <f>IF(AND(H243=1,LedAcct&lt;&gt;""),IF(AND(E243&gt;=LedFrom,E243&lt;=LedTo,OR(I243=LedAcct,K243=LedAcct,AND(LedAcct=acctTax,M243+N243&lt;&gt;0))),E243*10000+B243,""),"")</f>
        <v/>
      </c>
    </row>
    <row r="244">
      <c r="B244" s="101" t="n">
        <v>238</v>
      </c>
      <c r="C244" s="58" t="inlineStr">
        <is>
          <t>Transaction</t>
        </is>
      </c>
      <c r="D244" s="58">
        <f>IF(H244=1,INDEX(tx_ID,238)&amp;"","")</f>
        <v/>
      </c>
      <c r="E244" s="94">
        <f>IF(H244=1,INDEX(tx_Date,238),"")</f>
        <v/>
      </c>
      <c r="F244" s="58">
        <f>IF(H244=1,INDEX(tx_Desc,238)&amp;"","")</f>
        <v/>
      </c>
      <c r="G244" s="58">
        <f>IF(H244=1,IF(INDEX(tx_Cust,238)&amp;""&lt;&gt;"",INDEX(tx_Cust,238)&amp;"",INDEX(tx_Vend,238)&amp;""),"")</f>
        <v/>
      </c>
      <c r="H244" s="101">
        <f>IFERROR(N(INDEX(tx_Posted,238)),0)</f>
        <v/>
      </c>
      <c r="I244" s="58">
        <f>IF(H244=1,INDEX(tx_DrAcct,238)&amp;"","")</f>
        <v/>
      </c>
      <c r="J244" s="95">
        <f>IF(H244=1,INDEX(tx_DrAmt,238),0)</f>
        <v/>
      </c>
      <c r="K244" s="58">
        <f>IF(H244=1,INDEX(tx_CrAcct,238)&amp;"","")</f>
        <v/>
      </c>
      <c r="L244" s="95">
        <f>IF(H244=1,INDEX(tx_CrAmt,238),0)</f>
        <v/>
      </c>
      <c r="M244" s="95">
        <f>IF(H244=1,INDEX(tx_TaxDr,238),0)</f>
        <v/>
      </c>
      <c r="N244" s="95">
        <f>IF(H244=1,INDEX(tx_TaxCr,238),0)</f>
        <v/>
      </c>
      <c r="O244" s="101">
        <f>IF(H244=1,IF(E244&lt;FYStart,0,IF(E244&gt;FYEnd,13,YEAR(E244)*12+MONTH(E244)-FYYM+1)),"")</f>
        <v/>
      </c>
      <c r="P244" s="101">
        <f>IF(H244=1,IF(IFERROR(INDEX(coa_CF,MATCH(I244,coa_Name,0)),"")="Cash",1,0),0)</f>
        <v/>
      </c>
      <c r="Q244" s="101">
        <f>IF(H244=1,IF(IFERROR(INDEX(coa_CF,MATCH(K244,coa_Name,0)),"")="Cash",1,0),0)</f>
        <v/>
      </c>
      <c r="R244" s="58">
        <f>IF((P244-Q244)=0,"",IFERROR(INDEX(coa_CF,MATCH(IF((P244-Q244)=1,K244,I244),coa_Name,0)),"Operating"))</f>
        <v/>
      </c>
      <c r="S244" s="95">
        <f>IF((P244-Q244)=1,L244,IF((P244-Q244)=-1,-J244,0))</f>
        <v/>
      </c>
      <c r="T244" s="95">
        <f>IF((P244-Q244)=1,N244,IF((P244-Q244)=-1,-M244,0))</f>
        <v/>
      </c>
      <c r="U244" s="101">
        <f>IF(AND(H244=1,LedAcct&lt;&gt;""),IF(AND(E244&gt;=LedFrom,E244&lt;=LedTo,OR(I244=LedAcct,K244=LedAcct,AND(LedAcct=acctTax,M244+N244&lt;&gt;0))),E244*10000+B244,""),"")</f>
        <v/>
      </c>
    </row>
    <row r="245">
      <c r="B245" s="101" t="n">
        <v>239</v>
      </c>
      <c r="C245" s="58" t="inlineStr">
        <is>
          <t>Transaction</t>
        </is>
      </c>
      <c r="D245" s="58">
        <f>IF(H245=1,INDEX(tx_ID,239)&amp;"","")</f>
        <v/>
      </c>
      <c r="E245" s="94">
        <f>IF(H245=1,INDEX(tx_Date,239),"")</f>
        <v/>
      </c>
      <c r="F245" s="58">
        <f>IF(H245=1,INDEX(tx_Desc,239)&amp;"","")</f>
        <v/>
      </c>
      <c r="G245" s="58">
        <f>IF(H245=1,IF(INDEX(tx_Cust,239)&amp;""&lt;&gt;"",INDEX(tx_Cust,239)&amp;"",INDEX(tx_Vend,239)&amp;""),"")</f>
        <v/>
      </c>
      <c r="H245" s="101">
        <f>IFERROR(N(INDEX(tx_Posted,239)),0)</f>
        <v/>
      </c>
      <c r="I245" s="58">
        <f>IF(H245=1,INDEX(tx_DrAcct,239)&amp;"","")</f>
        <v/>
      </c>
      <c r="J245" s="95">
        <f>IF(H245=1,INDEX(tx_DrAmt,239),0)</f>
        <v/>
      </c>
      <c r="K245" s="58">
        <f>IF(H245=1,INDEX(tx_CrAcct,239)&amp;"","")</f>
        <v/>
      </c>
      <c r="L245" s="95">
        <f>IF(H245=1,INDEX(tx_CrAmt,239),0)</f>
        <v/>
      </c>
      <c r="M245" s="95">
        <f>IF(H245=1,INDEX(tx_TaxDr,239),0)</f>
        <v/>
      </c>
      <c r="N245" s="95">
        <f>IF(H245=1,INDEX(tx_TaxCr,239),0)</f>
        <v/>
      </c>
      <c r="O245" s="101">
        <f>IF(H245=1,IF(E245&lt;FYStart,0,IF(E245&gt;FYEnd,13,YEAR(E245)*12+MONTH(E245)-FYYM+1)),"")</f>
        <v/>
      </c>
      <c r="P245" s="101">
        <f>IF(H245=1,IF(IFERROR(INDEX(coa_CF,MATCH(I245,coa_Name,0)),"")="Cash",1,0),0)</f>
        <v/>
      </c>
      <c r="Q245" s="101">
        <f>IF(H245=1,IF(IFERROR(INDEX(coa_CF,MATCH(K245,coa_Name,0)),"")="Cash",1,0),0)</f>
        <v/>
      </c>
      <c r="R245" s="58">
        <f>IF((P245-Q245)=0,"",IFERROR(INDEX(coa_CF,MATCH(IF((P245-Q245)=1,K245,I245),coa_Name,0)),"Operating"))</f>
        <v/>
      </c>
      <c r="S245" s="95">
        <f>IF((P245-Q245)=1,L245,IF((P245-Q245)=-1,-J245,0))</f>
        <v/>
      </c>
      <c r="T245" s="95">
        <f>IF((P245-Q245)=1,N245,IF((P245-Q245)=-1,-M245,0))</f>
        <v/>
      </c>
      <c r="U245" s="101">
        <f>IF(AND(H245=1,LedAcct&lt;&gt;""),IF(AND(E245&gt;=LedFrom,E245&lt;=LedTo,OR(I245=LedAcct,K245=LedAcct,AND(LedAcct=acctTax,M245+N245&lt;&gt;0))),E245*10000+B245,""),"")</f>
        <v/>
      </c>
    </row>
    <row r="246">
      <c r="B246" s="101" t="n">
        <v>240</v>
      </c>
      <c r="C246" s="58" t="inlineStr">
        <is>
          <t>Transaction</t>
        </is>
      </c>
      <c r="D246" s="58">
        <f>IF(H246=1,INDEX(tx_ID,240)&amp;"","")</f>
        <v/>
      </c>
      <c r="E246" s="94">
        <f>IF(H246=1,INDEX(tx_Date,240),"")</f>
        <v/>
      </c>
      <c r="F246" s="58">
        <f>IF(H246=1,INDEX(tx_Desc,240)&amp;"","")</f>
        <v/>
      </c>
      <c r="G246" s="58">
        <f>IF(H246=1,IF(INDEX(tx_Cust,240)&amp;""&lt;&gt;"",INDEX(tx_Cust,240)&amp;"",INDEX(tx_Vend,240)&amp;""),"")</f>
        <v/>
      </c>
      <c r="H246" s="101">
        <f>IFERROR(N(INDEX(tx_Posted,240)),0)</f>
        <v/>
      </c>
      <c r="I246" s="58">
        <f>IF(H246=1,INDEX(tx_DrAcct,240)&amp;"","")</f>
        <v/>
      </c>
      <c r="J246" s="95">
        <f>IF(H246=1,INDEX(tx_DrAmt,240),0)</f>
        <v/>
      </c>
      <c r="K246" s="58">
        <f>IF(H246=1,INDEX(tx_CrAcct,240)&amp;"","")</f>
        <v/>
      </c>
      <c r="L246" s="95">
        <f>IF(H246=1,INDEX(tx_CrAmt,240),0)</f>
        <v/>
      </c>
      <c r="M246" s="95">
        <f>IF(H246=1,INDEX(tx_TaxDr,240),0)</f>
        <v/>
      </c>
      <c r="N246" s="95">
        <f>IF(H246=1,INDEX(tx_TaxCr,240),0)</f>
        <v/>
      </c>
      <c r="O246" s="101">
        <f>IF(H246=1,IF(E246&lt;FYStart,0,IF(E246&gt;FYEnd,13,YEAR(E246)*12+MONTH(E246)-FYYM+1)),"")</f>
        <v/>
      </c>
      <c r="P246" s="101">
        <f>IF(H246=1,IF(IFERROR(INDEX(coa_CF,MATCH(I246,coa_Name,0)),"")="Cash",1,0),0)</f>
        <v/>
      </c>
      <c r="Q246" s="101">
        <f>IF(H246=1,IF(IFERROR(INDEX(coa_CF,MATCH(K246,coa_Name,0)),"")="Cash",1,0),0)</f>
        <v/>
      </c>
      <c r="R246" s="58">
        <f>IF((P246-Q246)=0,"",IFERROR(INDEX(coa_CF,MATCH(IF((P246-Q246)=1,K246,I246),coa_Name,0)),"Operating"))</f>
        <v/>
      </c>
      <c r="S246" s="95">
        <f>IF((P246-Q246)=1,L246,IF((P246-Q246)=-1,-J246,0))</f>
        <v/>
      </c>
      <c r="T246" s="95">
        <f>IF((P246-Q246)=1,N246,IF((P246-Q246)=-1,-M246,0))</f>
        <v/>
      </c>
      <c r="U246" s="101">
        <f>IF(AND(H246=1,LedAcct&lt;&gt;""),IF(AND(E246&gt;=LedFrom,E246&lt;=LedTo,OR(I246=LedAcct,K246=LedAcct,AND(LedAcct=acctTax,M246+N246&lt;&gt;0))),E246*10000+B246,""),"")</f>
        <v/>
      </c>
    </row>
    <row r="247">
      <c r="B247" s="101" t="n">
        <v>241</v>
      </c>
      <c r="C247" s="58" t="inlineStr">
        <is>
          <t>Transaction</t>
        </is>
      </c>
      <c r="D247" s="58">
        <f>IF(H247=1,INDEX(tx_ID,241)&amp;"","")</f>
        <v/>
      </c>
      <c r="E247" s="94">
        <f>IF(H247=1,INDEX(tx_Date,241),"")</f>
        <v/>
      </c>
      <c r="F247" s="58">
        <f>IF(H247=1,INDEX(tx_Desc,241)&amp;"","")</f>
        <v/>
      </c>
      <c r="G247" s="58">
        <f>IF(H247=1,IF(INDEX(tx_Cust,241)&amp;""&lt;&gt;"",INDEX(tx_Cust,241)&amp;"",INDEX(tx_Vend,241)&amp;""),"")</f>
        <v/>
      </c>
      <c r="H247" s="101">
        <f>IFERROR(N(INDEX(tx_Posted,241)),0)</f>
        <v/>
      </c>
      <c r="I247" s="58">
        <f>IF(H247=1,INDEX(tx_DrAcct,241)&amp;"","")</f>
        <v/>
      </c>
      <c r="J247" s="95">
        <f>IF(H247=1,INDEX(tx_DrAmt,241),0)</f>
        <v/>
      </c>
      <c r="K247" s="58">
        <f>IF(H247=1,INDEX(tx_CrAcct,241)&amp;"","")</f>
        <v/>
      </c>
      <c r="L247" s="95">
        <f>IF(H247=1,INDEX(tx_CrAmt,241),0)</f>
        <v/>
      </c>
      <c r="M247" s="95">
        <f>IF(H247=1,INDEX(tx_TaxDr,241),0)</f>
        <v/>
      </c>
      <c r="N247" s="95">
        <f>IF(H247=1,INDEX(tx_TaxCr,241),0)</f>
        <v/>
      </c>
      <c r="O247" s="101">
        <f>IF(H247=1,IF(E247&lt;FYStart,0,IF(E247&gt;FYEnd,13,YEAR(E247)*12+MONTH(E247)-FYYM+1)),"")</f>
        <v/>
      </c>
      <c r="P247" s="101">
        <f>IF(H247=1,IF(IFERROR(INDEX(coa_CF,MATCH(I247,coa_Name,0)),"")="Cash",1,0),0)</f>
        <v/>
      </c>
      <c r="Q247" s="101">
        <f>IF(H247=1,IF(IFERROR(INDEX(coa_CF,MATCH(K247,coa_Name,0)),"")="Cash",1,0),0)</f>
        <v/>
      </c>
      <c r="R247" s="58">
        <f>IF((P247-Q247)=0,"",IFERROR(INDEX(coa_CF,MATCH(IF((P247-Q247)=1,K247,I247),coa_Name,0)),"Operating"))</f>
        <v/>
      </c>
      <c r="S247" s="95">
        <f>IF((P247-Q247)=1,L247,IF((P247-Q247)=-1,-J247,0))</f>
        <v/>
      </c>
      <c r="T247" s="95">
        <f>IF((P247-Q247)=1,N247,IF((P247-Q247)=-1,-M247,0))</f>
        <v/>
      </c>
      <c r="U247" s="101">
        <f>IF(AND(H247=1,LedAcct&lt;&gt;""),IF(AND(E247&gt;=LedFrom,E247&lt;=LedTo,OR(I247=LedAcct,K247=LedAcct,AND(LedAcct=acctTax,M247+N247&lt;&gt;0))),E247*10000+B247,""),"")</f>
        <v/>
      </c>
    </row>
    <row r="248">
      <c r="B248" s="101" t="n">
        <v>242</v>
      </c>
      <c r="C248" s="58" t="inlineStr">
        <is>
          <t>Transaction</t>
        </is>
      </c>
      <c r="D248" s="58">
        <f>IF(H248=1,INDEX(tx_ID,242)&amp;"","")</f>
        <v/>
      </c>
      <c r="E248" s="94">
        <f>IF(H248=1,INDEX(tx_Date,242),"")</f>
        <v/>
      </c>
      <c r="F248" s="58">
        <f>IF(H248=1,INDEX(tx_Desc,242)&amp;"","")</f>
        <v/>
      </c>
      <c r="G248" s="58">
        <f>IF(H248=1,IF(INDEX(tx_Cust,242)&amp;""&lt;&gt;"",INDEX(tx_Cust,242)&amp;"",INDEX(tx_Vend,242)&amp;""),"")</f>
        <v/>
      </c>
      <c r="H248" s="101">
        <f>IFERROR(N(INDEX(tx_Posted,242)),0)</f>
        <v/>
      </c>
      <c r="I248" s="58">
        <f>IF(H248=1,INDEX(tx_DrAcct,242)&amp;"","")</f>
        <v/>
      </c>
      <c r="J248" s="95">
        <f>IF(H248=1,INDEX(tx_DrAmt,242),0)</f>
        <v/>
      </c>
      <c r="K248" s="58">
        <f>IF(H248=1,INDEX(tx_CrAcct,242)&amp;"","")</f>
        <v/>
      </c>
      <c r="L248" s="95">
        <f>IF(H248=1,INDEX(tx_CrAmt,242),0)</f>
        <v/>
      </c>
      <c r="M248" s="95">
        <f>IF(H248=1,INDEX(tx_TaxDr,242),0)</f>
        <v/>
      </c>
      <c r="N248" s="95">
        <f>IF(H248=1,INDEX(tx_TaxCr,242),0)</f>
        <v/>
      </c>
      <c r="O248" s="101">
        <f>IF(H248=1,IF(E248&lt;FYStart,0,IF(E248&gt;FYEnd,13,YEAR(E248)*12+MONTH(E248)-FYYM+1)),"")</f>
        <v/>
      </c>
      <c r="P248" s="101">
        <f>IF(H248=1,IF(IFERROR(INDEX(coa_CF,MATCH(I248,coa_Name,0)),"")="Cash",1,0),0)</f>
        <v/>
      </c>
      <c r="Q248" s="101">
        <f>IF(H248=1,IF(IFERROR(INDEX(coa_CF,MATCH(K248,coa_Name,0)),"")="Cash",1,0),0)</f>
        <v/>
      </c>
      <c r="R248" s="58">
        <f>IF((P248-Q248)=0,"",IFERROR(INDEX(coa_CF,MATCH(IF((P248-Q248)=1,K248,I248),coa_Name,0)),"Operating"))</f>
        <v/>
      </c>
      <c r="S248" s="95">
        <f>IF((P248-Q248)=1,L248,IF((P248-Q248)=-1,-J248,0))</f>
        <v/>
      </c>
      <c r="T248" s="95">
        <f>IF((P248-Q248)=1,N248,IF((P248-Q248)=-1,-M248,0))</f>
        <v/>
      </c>
      <c r="U248" s="101">
        <f>IF(AND(H248=1,LedAcct&lt;&gt;""),IF(AND(E248&gt;=LedFrom,E248&lt;=LedTo,OR(I248=LedAcct,K248=LedAcct,AND(LedAcct=acctTax,M248+N248&lt;&gt;0))),E248*10000+B248,""),"")</f>
        <v/>
      </c>
    </row>
    <row r="249">
      <c r="B249" s="101" t="n">
        <v>243</v>
      </c>
      <c r="C249" s="58" t="inlineStr">
        <is>
          <t>Transaction</t>
        </is>
      </c>
      <c r="D249" s="58">
        <f>IF(H249=1,INDEX(tx_ID,243)&amp;"","")</f>
        <v/>
      </c>
      <c r="E249" s="94">
        <f>IF(H249=1,INDEX(tx_Date,243),"")</f>
        <v/>
      </c>
      <c r="F249" s="58">
        <f>IF(H249=1,INDEX(tx_Desc,243)&amp;"","")</f>
        <v/>
      </c>
      <c r="G249" s="58">
        <f>IF(H249=1,IF(INDEX(tx_Cust,243)&amp;""&lt;&gt;"",INDEX(tx_Cust,243)&amp;"",INDEX(tx_Vend,243)&amp;""),"")</f>
        <v/>
      </c>
      <c r="H249" s="101">
        <f>IFERROR(N(INDEX(tx_Posted,243)),0)</f>
        <v/>
      </c>
      <c r="I249" s="58">
        <f>IF(H249=1,INDEX(tx_DrAcct,243)&amp;"","")</f>
        <v/>
      </c>
      <c r="J249" s="95">
        <f>IF(H249=1,INDEX(tx_DrAmt,243),0)</f>
        <v/>
      </c>
      <c r="K249" s="58">
        <f>IF(H249=1,INDEX(tx_CrAcct,243)&amp;"","")</f>
        <v/>
      </c>
      <c r="L249" s="95">
        <f>IF(H249=1,INDEX(tx_CrAmt,243),0)</f>
        <v/>
      </c>
      <c r="M249" s="95">
        <f>IF(H249=1,INDEX(tx_TaxDr,243),0)</f>
        <v/>
      </c>
      <c r="N249" s="95">
        <f>IF(H249=1,INDEX(tx_TaxCr,243),0)</f>
        <v/>
      </c>
      <c r="O249" s="101">
        <f>IF(H249=1,IF(E249&lt;FYStart,0,IF(E249&gt;FYEnd,13,YEAR(E249)*12+MONTH(E249)-FYYM+1)),"")</f>
        <v/>
      </c>
      <c r="P249" s="101">
        <f>IF(H249=1,IF(IFERROR(INDEX(coa_CF,MATCH(I249,coa_Name,0)),"")="Cash",1,0),0)</f>
        <v/>
      </c>
      <c r="Q249" s="101">
        <f>IF(H249=1,IF(IFERROR(INDEX(coa_CF,MATCH(K249,coa_Name,0)),"")="Cash",1,0),0)</f>
        <v/>
      </c>
      <c r="R249" s="58">
        <f>IF((P249-Q249)=0,"",IFERROR(INDEX(coa_CF,MATCH(IF((P249-Q249)=1,K249,I249),coa_Name,0)),"Operating"))</f>
        <v/>
      </c>
      <c r="S249" s="95">
        <f>IF((P249-Q249)=1,L249,IF((P249-Q249)=-1,-J249,0))</f>
        <v/>
      </c>
      <c r="T249" s="95">
        <f>IF((P249-Q249)=1,N249,IF((P249-Q249)=-1,-M249,0))</f>
        <v/>
      </c>
      <c r="U249" s="101">
        <f>IF(AND(H249=1,LedAcct&lt;&gt;""),IF(AND(E249&gt;=LedFrom,E249&lt;=LedTo,OR(I249=LedAcct,K249=LedAcct,AND(LedAcct=acctTax,M249+N249&lt;&gt;0))),E249*10000+B249,""),"")</f>
        <v/>
      </c>
    </row>
    <row r="250">
      <c r="B250" s="101" t="n">
        <v>244</v>
      </c>
      <c r="C250" s="58" t="inlineStr">
        <is>
          <t>Transaction</t>
        </is>
      </c>
      <c r="D250" s="58">
        <f>IF(H250=1,INDEX(tx_ID,244)&amp;"","")</f>
        <v/>
      </c>
      <c r="E250" s="94">
        <f>IF(H250=1,INDEX(tx_Date,244),"")</f>
        <v/>
      </c>
      <c r="F250" s="58">
        <f>IF(H250=1,INDEX(tx_Desc,244)&amp;"","")</f>
        <v/>
      </c>
      <c r="G250" s="58">
        <f>IF(H250=1,IF(INDEX(tx_Cust,244)&amp;""&lt;&gt;"",INDEX(tx_Cust,244)&amp;"",INDEX(tx_Vend,244)&amp;""),"")</f>
        <v/>
      </c>
      <c r="H250" s="101">
        <f>IFERROR(N(INDEX(tx_Posted,244)),0)</f>
        <v/>
      </c>
      <c r="I250" s="58">
        <f>IF(H250=1,INDEX(tx_DrAcct,244)&amp;"","")</f>
        <v/>
      </c>
      <c r="J250" s="95">
        <f>IF(H250=1,INDEX(tx_DrAmt,244),0)</f>
        <v/>
      </c>
      <c r="K250" s="58">
        <f>IF(H250=1,INDEX(tx_CrAcct,244)&amp;"","")</f>
        <v/>
      </c>
      <c r="L250" s="95">
        <f>IF(H250=1,INDEX(tx_CrAmt,244),0)</f>
        <v/>
      </c>
      <c r="M250" s="95">
        <f>IF(H250=1,INDEX(tx_TaxDr,244),0)</f>
        <v/>
      </c>
      <c r="N250" s="95">
        <f>IF(H250=1,INDEX(tx_TaxCr,244),0)</f>
        <v/>
      </c>
      <c r="O250" s="101">
        <f>IF(H250=1,IF(E250&lt;FYStart,0,IF(E250&gt;FYEnd,13,YEAR(E250)*12+MONTH(E250)-FYYM+1)),"")</f>
        <v/>
      </c>
      <c r="P250" s="101">
        <f>IF(H250=1,IF(IFERROR(INDEX(coa_CF,MATCH(I250,coa_Name,0)),"")="Cash",1,0),0)</f>
        <v/>
      </c>
      <c r="Q250" s="101">
        <f>IF(H250=1,IF(IFERROR(INDEX(coa_CF,MATCH(K250,coa_Name,0)),"")="Cash",1,0),0)</f>
        <v/>
      </c>
      <c r="R250" s="58">
        <f>IF((P250-Q250)=0,"",IFERROR(INDEX(coa_CF,MATCH(IF((P250-Q250)=1,K250,I250),coa_Name,0)),"Operating"))</f>
        <v/>
      </c>
      <c r="S250" s="95">
        <f>IF((P250-Q250)=1,L250,IF((P250-Q250)=-1,-J250,0))</f>
        <v/>
      </c>
      <c r="T250" s="95">
        <f>IF((P250-Q250)=1,N250,IF((P250-Q250)=-1,-M250,0))</f>
        <v/>
      </c>
      <c r="U250" s="101">
        <f>IF(AND(H250=1,LedAcct&lt;&gt;""),IF(AND(E250&gt;=LedFrom,E250&lt;=LedTo,OR(I250=LedAcct,K250=LedAcct,AND(LedAcct=acctTax,M250+N250&lt;&gt;0))),E250*10000+B250,""),"")</f>
        <v/>
      </c>
    </row>
    <row r="251">
      <c r="B251" s="101" t="n">
        <v>245</v>
      </c>
      <c r="C251" s="58" t="inlineStr">
        <is>
          <t>Transaction</t>
        </is>
      </c>
      <c r="D251" s="58">
        <f>IF(H251=1,INDEX(tx_ID,245)&amp;"","")</f>
        <v/>
      </c>
      <c r="E251" s="94">
        <f>IF(H251=1,INDEX(tx_Date,245),"")</f>
        <v/>
      </c>
      <c r="F251" s="58">
        <f>IF(H251=1,INDEX(tx_Desc,245)&amp;"","")</f>
        <v/>
      </c>
      <c r="G251" s="58">
        <f>IF(H251=1,IF(INDEX(tx_Cust,245)&amp;""&lt;&gt;"",INDEX(tx_Cust,245)&amp;"",INDEX(tx_Vend,245)&amp;""),"")</f>
        <v/>
      </c>
      <c r="H251" s="101">
        <f>IFERROR(N(INDEX(tx_Posted,245)),0)</f>
        <v/>
      </c>
      <c r="I251" s="58">
        <f>IF(H251=1,INDEX(tx_DrAcct,245)&amp;"","")</f>
        <v/>
      </c>
      <c r="J251" s="95">
        <f>IF(H251=1,INDEX(tx_DrAmt,245),0)</f>
        <v/>
      </c>
      <c r="K251" s="58">
        <f>IF(H251=1,INDEX(tx_CrAcct,245)&amp;"","")</f>
        <v/>
      </c>
      <c r="L251" s="95">
        <f>IF(H251=1,INDEX(tx_CrAmt,245),0)</f>
        <v/>
      </c>
      <c r="M251" s="95">
        <f>IF(H251=1,INDEX(tx_TaxDr,245),0)</f>
        <v/>
      </c>
      <c r="N251" s="95">
        <f>IF(H251=1,INDEX(tx_TaxCr,245),0)</f>
        <v/>
      </c>
      <c r="O251" s="101">
        <f>IF(H251=1,IF(E251&lt;FYStart,0,IF(E251&gt;FYEnd,13,YEAR(E251)*12+MONTH(E251)-FYYM+1)),"")</f>
        <v/>
      </c>
      <c r="P251" s="101">
        <f>IF(H251=1,IF(IFERROR(INDEX(coa_CF,MATCH(I251,coa_Name,0)),"")="Cash",1,0),0)</f>
        <v/>
      </c>
      <c r="Q251" s="101">
        <f>IF(H251=1,IF(IFERROR(INDEX(coa_CF,MATCH(K251,coa_Name,0)),"")="Cash",1,0),0)</f>
        <v/>
      </c>
      <c r="R251" s="58">
        <f>IF((P251-Q251)=0,"",IFERROR(INDEX(coa_CF,MATCH(IF((P251-Q251)=1,K251,I251),coa_Name,0)),"Operating"))</f>
        <v/>
      </c>
      <c r="S251" s="95">
        <f>IF((P251-Q251)=1,L251,IF((P251-Q251)=-1,-J251,0))</f>
        <v/>
      </c>
      <c r="T251" s="95">
        <f>IF((P251-Q251)=1,N251,IF((P251-Q251)=-1,-M251,0))</f>
        <v/>
      </c>
      <c r="U251" s="101">
        <f>IF(AND(H251=1,LedAcct&lt;&gt;""),IF(AND(E251&gt;=LedFrom,E251&lt;=LedTo,OR(I251=LedAcct,K251=LedAcct,AND(LedAcct=acctTax,M251+N251&lt;&gt;0))),E251*10000+B251,""),"")</f>
        <v/>
      </c>
    </row>
    <row r="252">
      <c r="B252" s="101" t="n">
        <v>246</v>
      </c>
      <c r="C252" s="58" t="inlineStr">
        <is>
          <t>Transaction</t>
        </is>
      </c>
      <c r="D252" s="58">
        <f>IF(H252=1,INDEX(tx_ID,246)&amp;"","")</f>
        <v/>
      </c>
      <c r="E252" s="94">
        <f>IF(H252=1,INDEX(tx_Date,246),"")</f>
        <v/>
      </c>
      <c r="F252" s="58">
        <f>IF(H252=1,INDEX(tx_Desc,246)&amp;"","")</f>
        <v/>
      </c>
      <c r="G252" s="58">
        <f>IF(H252=1,IF(INDEX(tx_Cust,246)&amp;""&lt;&gt;"",INDEX(tx_Cust,246)&amp;"",INDEX(tx_Vend,246)&amp;""),"")</f>
        <v/>
      </c>
      <c r="H252" s="101">
        <f>IFERROR(N(INDEX(tx_Posted,246)),0)</f>
        <v/>
      </c>
      <c r="I252" s="58">
        <f>IF(H252=1,INDEX(tx_DrAcct,246)&amp;"","")</f>
        <v/>
      </c>
      <c r="J252" s="95">
        <f>IF(H252=1,INDEX(tx_DrAmt,246),0)</f>
        <v/>
      </c>
      <c r="K252" s="58">
        <f>IF(H252=1,INDEX(tx_CrAcct,246)&amp;"","")</f>
        <v/>
      </c>
      <c r="L252" s="95">
        <f>IF(H252=1,INDEX(tx_CrAmt,246),0)</f>
        <v/>
      </c>
      <c r="M252" s="95">
        <f>IF(H252=1,INDEX(tx_TaxDr,246),0)</f>
        <v/>
      </c>
      <c r="N252" s="95">
        <f>IF(H252=1,INDEX(tx_TaxCr,246),0)</f>
        <v/>
      </c>
      <c r="O252" s="101">
        <f>IF(H252=1,IF(E252&lt;FYStart,0,IF(E252&gt;FYEnd,13,YEAR(E252)*12+MONTH(E252)-FYYM+1)),"")</f>
        <v/>
      </c>
      <c r="P252" s="101">
        <f>IF(H252=1,IF(IFERROR(INDEX(coa_CF,MATCH(I252,coa_Name,0)),"")="Cash",1,0),0)</f>
        <v/>
      </c>
      <c r="Q252" s="101">
        <f>IF(H252=1,IF(IFERROR(INDEX(coa_CF,MATCH(K252,coa_Name,0)),"")="Cash",1,0),0)</f>
        <v/>
      </c>
      <c r="R252" s="58">
        <f>IF((P252-Q252)=0,"",IFERROR(INDEX(coa_CF,MATCH(IF((P252-Q252)=1,K252,I252),coa_Name,0)),"Operating"))</f>
        <v/>
      </c>
      <c r="S252" s="95">
        <f>IF((P252-Q252)=1,L252,IF((P252-Q252)=-1,-J252,0))</f>
        <v/>
      </c>
      <c r="T252" s="95">
        <f>IF((P252-Q252)=1,N252,IF((P252-Q252)=-1,-M252,0))</f>
        <v/>
      </c>
      <c r="U252" s="101">
        <f>IF(AND(H252=1,LedAcct&lt;&gt;""),IF(AND(E252&gt;=LedFrom,E252&lt;=LedTo,OR(I252=LedAcct,K252=LedAcct,AND(LedAcct=acctTax,M252+N252&lt;&gt;0))),E252*10000+B252,""),"")</f>
        <v/>
      </c>
    </row>
    <row r="253">
      <c r="B253" s="101" t="n">
        <v>247</v>
      </c>
      <c r="C253" s="58" t="inlineStr">
        <is>
          <t>Transaction</t>
        </is>
      </c>
      <c r="D253" s="58">
        <f>IF(H253=1,INDEX(tx_ID,247)&amp;"","")</f>
        <v/>
      </c>
      <c r="E253" s="94">
        <f>IF(H253=1,INDEX(tx_Date,247),"")</f>
        <v/>
      </c>
      <c r="F253" s="58">
        <f>IF(H253=1,INDEX(tx_Desc,247)&amp;"","")</f>
        <v/>
      </c>
      <c r="G253" s="58">
        <f>IF(H253=1,IF(INDEX(tx_Cust,247)&amp;""&lt;&gt;"",INDEX(tx_Cust,247)&amp;"",INDEX(tx_Vend,247)&amp;""),"")</f>
        <v/>
      </c>
      <c r="H253" s="101">
        <f>IFERROR(N(INDEX(tx_Posted,247)),0)</f>
        <v/>
      </c>
      <c r="I253" s="58">
        <f>IF(H253=1,INDEX(tx_DrAcct,247)&amp;"","")</f>
        <v/>
      </c>
      <c r="J253" s="95">
        <f>IF(H253=1,INDEX(tx_DrAmt,247),0)</f>
        <v/>
      </c>
      <c r="K253" s="58">
        <f>IF(H253=1,INDEX(tx_CrAcct,247)&amp;"","")</f>
        <v/>
      </c>
      <c r="L253" s="95">
        <f>IF(H253=1,INDEX(tx_CrAmt,247),0)</f>
        <v/>
      </c>
      <c r="M253" s="95">
        <f>IF(H253=1,INDEX(tx_TaxDr,247),0)</f>
        <v/>
      </c>
      <c r="N253" s="95">
        <f>IF(H253=1,INDEX(tx_TaxCr,247),0)</f>
        <v/>
      </c>
      <c r="O253" s="101">
        <f>IF(H253=1,IF(E253&lt;FYStart,0,IF(E253&gt;FYEnd,13,YEAR(E253)*12+MONTH(E253)-FYYM+1)),"")</f>
        <v/>
      </c>
      <c r="P253" s="101">
        <f>IF(H253=1,IF(IFERROR(INDEX(coa_CF,MATCH(I253,coa_Name,0)),"")="Cash",1,0),0)</f>
        <v/>
      </c>
      <c r="Q253" s="101">
        <f>IF(H253=1,IF(IFERROR(INDEX(coa_CF,MATCH(K253,coa_Name,0)),"")="Cash",1,0),0)</f>
        <v/>
      </c>
      <c r="R253" s="58">
        <f>IF((P253-Q253)=0,"",IFERROR(INDEX(coa_CF,MATCH(IF((P253-Q253)=1,K253,I253),coa_Name,0)),"Operating"))</f>
        <v/>
      </c>
      <c r="S253" s="95">
        <f>IF((P253-Q253)=1,L253,IF((P253-Q253)=-1,-J253,0))</f>
        <v/>
      </c>
      <c r="T253" s="95">
        <f>IF((P253-Q253)=1,N253,IF((P253-Q253)=-1,-M253,0))</f>
        <v/>
      </c>
      <c r="U253" s="101">
        <f>IF(AND(H253=1,LedAcct&lt;&gt;""),IF(AND(E253&gt;=LedFrom,E253&lt;=LedTo,OR(I253=LedAcct,K253=LedAcct,AND(LedAcct=acctTax,M253+N253&lt;&gt;0))),E253*10000+B253,""),"")</f>
        <v/>
      </c>
    </row>
    <row r="254">
      <c r="B254" s="101" t="n">
        <v>248</v>
      </c>
      <c r="C254" s="58" t="inlineStr">
        <is>
          <t>Transaction</t>
        </is>
      </c>
      <c r="D254" s="58">
        <f>IF(H254=1,INDEX(tx_ID,248)&amp;"","")</f>
        <v/>
      </c>
      <c r="E254" s="94">
        <f>IF(H254=1,INDEX(tx_Date,248),"")</f>
        <v/>
      </c>
      <c r="F254" s="58">
        <f>IF(H254=1,INDEX(tx_Desc,248)&amp;"","")</f>
        <v/>
      </c>
      <c r="G254" s="58">
        <f>IF(H254=1,IF(INDEX(tx_Cust,248)&amp;""&lt;&gt;"",INDEX(tx_Cust,248)&amp;"",INDEX(tx_Vend,248)&amp;""),"")</f>
        <v/>
      </c>
      <c r="H254" s="101">
        <f>IFERROR(N(INDEX(tx_Posted,248)),0)</f>
        <v/>
      </c>
      <c r="I254" s="58">
        <f>IF(H254=1,INDEX(tx_DrAcct,248)&amp;"","")</f>
        <v/>
      </c>
      <c r="J254" s="95">
        <f>IF(H254=1,INDEX(tx_DrAmt,248),0)</f>
        <v/>
      </c>
      <c r="K254" s="58">
        <f>IF(H254=1,INDEX(tx_CrAcct,248)&amp;"","")</f>
        <v/>
      </c>
      <c r="L254" s="95">
        <f>IF(H254=1,INDEX(tx_CrAmt,248),0)</f>
        <v/>
      </c>
      <c r="M254" s="95">
        <f>IF(H254=1,INDEX(tx_TaxDr,248),0)</f>
        <v/>
      </c>
      <c r="N254" s="95">
        <f>IF(H254=1,INDEX(tx_TaxCr,248),0)</f>
        <v/>
      </c>
      <c r="O254" s="101">
        <f>IF(H254=1,IF(E254&lt;FYStart,0,IF(E254&gt;FYEnd,13,YEAR(E254)*12+MONTH(E254)-FYYM+1)),"")</f>
        <v/>
      </c>
      <c r="P254" s="101">
        <f>IF(H254=1,IF(IFERROR(INDEX(coa_CF,MATCH(I254,coa_Name,0)),"")="Cash",1,0),0)</f>
        <v/>
      </c>
      <c r="Q254" s="101">
        <f>IF(H254=1,IF(IFERROR(INDEX(coa_CF,MATCH(K254,coa_Name,0)),"")="Cash",1,0),0)</f>
        <v/>
      </c>
      <c r="R254" s="58">
        <f>IF((P254-Q254)=0,"",IFERROR(INDEX(coa_CF,MATCH(IF((P254-Q254)=1,K254,I254),coa_Name,0)),"Operating"))</f>
        <v/>
      </c>
      <c r="S254" s="95">
        <f>IF((P254-Q254)=1,L254,IF((P254-Q254)=-1,-J254,0))</f>
        <v/>
      </c>
      <c r="T254" s="95">
        <f>IF((P254-Q254)=1,N254,IF((P254-Q254)=-1,-M254,0))</f>
        <v/>
      </c>
      <c r="U254" s="101">
        <f>IF(AND(H254=1,LedAcct&lt;&gt;""),IF(AND(E254&gt;=LedFrom,E254&lt;=LedTo,OR(I254=LedAcct,K254=LedAcct,AND(LedAcct=acctTax,M254+N254&lt;&gt;0))),E254*10000+B254,""),"")</f>
        <v/>
      </c>
    </row>
    <row r="255">
      <c r="B255" s="101" t="n">
        <v>249</v>
      </c>
      <c r="C255" s="58" t="inlineStr">
        <is>
          <t>Transaction</t>
        </is>
      </c>
      <c r="D255" s="58">
        <f>IF(H255=1,INDEX(tx_ID,249)&amp;"","")</f>
        <v/>
      </c>
      <c r="E255" s="94">
        <f>IF(H255=1,INDEX(tx_Date,249),"")</f>
        <v/>
      </c>
      <c r="F255" s="58">
        <f>IF(H255=1,INDEX(tx_Desc,249)&amp;"","")</f>
        <v/>
      </c>
      <c r="G255" s="58">
        <f>IF(H255=1,IF(INDEX(tx_Cust,249)&amp;""&lt;&gt;"",INDEX(tx_Cust,249)&amp;"",INDEX(tx_Vend,249)&amp;""),"")</f>
        <v/>
      </c>
      <c r="H255" s="101">
        <f>IFERROR(N(INDEX(tx_Posted,249)),0)</f>
        <v/>
      </c>
      <c r="I255" s="58">
        <f>IF(H255=1,INDEX(tx_DrAcct,249)&amp;"","")</f>
        <v/>
      </c>
      <c r="J255" s="95">
        <f>IF(H255=1,INDEX(tx_DrAmt,249),0)</f>
        <v/>
      </c>
      <c r="K255" s="58">
        <f>IF(H255=1,INDEX(tx_CrAcct,249)&amp;"","")</f>
        <v/>
      </c>
      <c r="L255" s="95">
        <f>IF(H255=1,INDEX(tx_CrAmt,249),0)</f>
        <v/>
      </c>
      <c r="M255" s="95">
        <f>IF(H255=1,INDEX(tx_TaxDr,249),0)</f>
        <v/>
      </c>
      <c r="N255" s="95">
        <f>IF(H255=1,INDEX(tx_TaxCr,249),0)</f>
        <v/>
      </c>
      <c r="O255" s="101">
        <f>IF(H255=1,IF(E255&lt;FYStart,0,IF(E255&gt;FYEnd,13,YEAR(E255)*12+MONTH(E255)-FYYM+1)),"")</f>
        <v/>
      </c>
      <c r="P255" s="101">
        <f>IF(H255=1,IF(IFERROR(INDEX(coa_CF,MATCH(I255,coa_Name,0)),"")="Cash",1,0),0)</f>
        <v/>
      </c>
      <c r="Q255" s="101">
        <f>IF(H255=1,IF(IFERROR(INDEX(coa_CF,MATCH(K255,coa_Name,0)),"")="Cash",1,0),0)</f>
        <v/>
      </c>
      <c r="R255" s="58">
        <f>IF((P255-Q255)=0,"",IFERROR(INDEX(coa_CF,MATCH(IF((P255-Q255)=1,K255,I255),coa_Name,0)),"Operating"))</f>
        <v/>
      </c>
      <c r="S255" s="95">
        <f>IF((P255-Q255)=1,L255,IF((P255-Q255)=-1,-J255,0))</f>
        <v/>
      </c>
      <c r="T255" s="95">
        <f>IF((P255-Q255)=1,N255,IF((P255-Q255)=-1,-M255,0))</f>
        <v/>
      </c>
      <c r="U255" s="101">
        <f>IF(AND(H255=1,LedAcct&lt;&gt;""),IF(AND(E255&gt;=LedFrom,E255&lt;=LedTo,OR(I255=LedAcct,K255=LedAcct,AND(LedAcct=acctTax,M255+N255&lt;&gt;0))),E255*10000+B255,""),"")</f>
        <v/>
      </c>
    </row>
    <row r="256">
      <c r="B256" s="101" t="n">
        <v>250</v>
      </c>
      <c r="C256" s="58" t="inlineStr">
        <is>
          <t>Transaction</t>
        </is>
      </c>
      <c r="D256" s="58">
        <f>IF(H256=1,INDEX(tx_ID,250)&amp;"","")</f>
        <v/>
      </c>
      <c r="E256" s="94">
        <f>IF(H256=1,INDEX(tx_Date,250),"")</f>
        <v/>
      </c>
      <c r="F256" s="58">
        <f>IF(H256=1,INDEX(tx_Desc,250)&amp;"","")</f>
        <v/>
      </c>
      <c r="G256" s="58">
        <f>IF(H256=1,IF(INDEX(tx_Cust,250)&amp;""&lt;&gt;"",INDEX(tx_Cust,250)&amp;"",INDEX(tx_Vend,250)&amp;""),"")</f>
        <v/>
      </c>
      <c r="H256" s="101">
        <f>IFERROR(N(INDEX(tx_Posted,250)),0)</f>
        <v/>
      </c>
      <c r="I256" s="58">
        <f>IF(H256=1,INDEX(tx_DrAcct,250)&amp;"","")</f>
        <v/>
      </c>
      <c r="J256" s="95">
        <f>IF(H256=1,INDEX(tx_DrAmt,250),0)</f>
        <v/>
      </c>
      <c r="K256" s="58">
        <f>IF(H256=1,INDEX(tx_CrAcct,250)&amp;"","")</f>
        <v/>
      </c>
      <c r="L256" s="95">
        <f>IF(H256=1,INDEX(tx_CrAmt,250),0)</f>
        <v/>
      </c>
      <c r="M256" s="95">
        <f>IF(H256=1,INDEX(tx_TaxDr,250),0)</f>
        <v/>
      </c>
      <c r="N256" s="95">
        <f>IF(H256=1,INDEX(tx_TaxCr,250),0)</f>
        <v/>
      </c>
      <c r="O256" s="101">
        <f>IF(H256=1,IF(E256&lt;FYStart,0,IF(E256&gt;FYEnd,13,YEAR(E256)*12+MONTH(E256)-FYYM+1)),"")</f>
        <v/>
      </c>
      <c r="P256" s="101">
        <f>IF(H256=1,IF(IFERROR(INDEX(coa_CF,MATCH(I256,coa_Name,0)),"")="Cash",1,0),0)</f>
        <v/>
      </c>
      <c r="Q256" s="101">
        <f>IF(H256=1,IF(IFERROR(INDEX(coa_CF,MATCH(K256,coa_Name,0)),"")="Cash",1,0),0)</f>
        <v/>
      </c>
      <c r="R256" s="58">
        <f>IF((P256-Q256)=0,"",IFERROR(INDEX(coa_CF,MATCH(IF((P256-Q256)=1,K256,I256),coa_Name,0)),"Operating"))</f>
        <v/>
      </c>
      <c r="S256" s="95">
        <f>IF((P256-Q256)=1,L256,IF((P256-Q256)=-1,-J256,0))</f>
        <v/>
      </c>
      <c r="T256" s="95">
        <f>IF((P256-Q256)=1,N256,IF((P256-Q256)=-1,-M256,0))</f>
        <v/>
      </c>
      <c r="U256" s="101">
        <f>IF(AND(H256=1,LedAcct&lt;&gt;""),IF(AND(E256&gt;=LedFrom,E256&lt;=LedTo,OR(I256=LedAcct,K256=LedAcct,AND(LedAcct=acctTax,M256+N256&lt;&gt;0))),E256*10000+B256,""),"")</f>
        <v/>
      </c>
    </row>
    <row r="257">
      <c r="B257" s="101" t="n">
        <v>251</v>
      </c>
      <c r="C257" s="58" t="inlineStr">
        <is>
          <t>Transaction</t>
        </is>
      </c>
      <c r="D257" s="58">
        <f>IF(H257=1,INDEX(tx_ID,251)&amp;"","")</f>
        <v/>
      </c>
      <c r="E257" s="94">
        <f>IF(H257=1,INDEX(tx_Date,251),"")</f>
        <v/>
      </c>
      <c r="F257" s="58">
        <f>IF(H257=1,INDEX(tx_Desc,251)&amp;"","")</f>
        <v/>
      </c>
      <c r="G257" s="58">
        <f>IF(H257=1,IF(INDEX(tx_Cust,251)&amp;""&lt;&gt;"",INDEX(tx_Cust,251)&amp;"",INDEX(tx_Vend,251)&amp;""),"")</f>
        <v/>
      </c>
      <c r="H257" s="101">
        <f>IFERROR(N(INDEX(tx_Posted,251)),0)</f>
        <v/>
      </c>
      <c r="I257" s="58">
        <f>IF(H257=1,INDEX(tx_DrAcct,251)&amp;"","")</f>
        <v/>
      </c>
      <c r="J257" s="95">
        <f>IF(H257=1,INDEX(tx_DrAmt,251),0)</f>
        <v/>
      </c>
      <c r="K257" s="58">
        <f>IF(H257=1,INDEX(tx_CrAcct,251)&amp;"","")</f>
        <v/>
      </c>
      <c r="L257" s="95">
        <f>IF(H257=1,INDEX(tx_CrAmt,251),0)</f>
        <v/>
      </c>
      <c r="M257" s="95">
        <f>IF(H257=1,INDEX(tx_TaxDr,251),0)</f>
        <v/>
      </c>
      <c r="N257" s="95">
        <f>IF(H257=1,INDEX(tx_TaxCr,251),0)</f>
        <v/>
      </c>
      <c r="O257" s="101">
        <f>IF(H257=1,IF(E257&lt;FYStart,0,IF(E257&gt;FYEnd,13,YEAR(E257)*12+MONTH(E257)-FYYM+1)),"")</f>
        <v/>
      </c>
      <c r="P257" s="101">
        <f>IF(H257=1,IF(IFERROR(INDEX(coa_CF,MATCH(I257,coa_Name,0)),"")="Cash",1,0),0)</f>
        <v/>
      </c>
      <c r="Q257" s="101">
        <f>IF(H257=1,IF(IFERROR(INDEX(coa_CF,MATCH(K257,coa_Name,0)),"")="Cash",1,0),0)</f>
        <v/>
      </c>
      <c r="R257" s="58">
        <f>IF((P257-Q257)=0,"",IFERROR(INDEX(coa_CF,MATCH(IF((P257-Q257)=1,K257,I257),coa_Name,0)),"Operating"))</f>
        <v/>
      </c>
      <c r="S257" s="95">
        <f>IF((P257-Q257)=1,L257,IF((P257-Q257)=-1,-J257,0))</f>
        <v/>
      </c>
      <c r="T257" s="95">
        <f>IF((P257-Q257)=1,N257,IF((P257-Q257)=-1,-M257,0))</f>
        <v/>
      </c>
      <c r="U257" s="101">
        <f>IF(AND(H257=1,LedAcct&lt;&gt;""),IF(AND(E257&gt;=LedFrom,E257&lt;=LedTo,OR(I257=LedAcct,K257=LedAcct,AND(LedAcct=acctTax,M257+N257&lt;&gt;0))),E257*10000+B257,""),"")</f>
        <v/>
      </c>
    </row>
    <row r="258">
      <c r="B258" s="101" t="n">
        <v>252</v>
      </c>
      <c r="C258" s="58" t="inlineStr">
        <is>
          <t>Transaction</t>
        </is>
      </c>
      <c r="D258" s="58">
        <f>IF(H258=1,INDEX(tx_ID,252)&amp;"","")</f>
        <v/>
      </c>
      <c r="E258" s="94">
        <f>IF(H258=1,INDEX(tx_Date,252),"")</f>
        <v/>
      </c>
      <c r="F258" s="58">
        <f>IF(H258=1,INDEX(tx_Desc,252)&amp;"","")</f>
        <v/>
      </c>
      <c r="G258" s="58">
        <f>IF(H258=1,IF(INDEX(tx_Cust,252)&amp;""&lt;&gt;"",INDEX(tx_Cust,252)&amp;"",INDEX(tx_Vend,252)&amp;""),"")</f>
        <v/>
      </c>
      <c r="H258" s="101">
        <f>IFERROR(N(INDEX(tx_Posted,252)),0)</f>
        <v/>
      </c>
      <c r="I258" s="58">
        <f>IF(H258=1,INDEX(tx_DrAcct,252)&amp;"","")</f>
        <v/>
      </c>
      <c r="J258" s="95">
        <f>IF(H258=1,INDEX(tx_DrAmt,252),0)</f>
        <v/>
      </c>
      <c r="K258" s="58">
        <f>IF(H258=1,INDEX(tx_CrAcct,252)&amp;"","")</f>
        <v/>
      </c>
      <c r="L258" s="95">
        <f>IF(H258=1,INDEX(tx_CrAmt,252),0)</f>
        <v/>
      </c>
      <c r="M258" s="95">
        <f>IF(H258=1,INDEX(tx_TaxDr,252),0)</f>
        <v/>
      </c>
      <c r="N258" s="95">
        <f>IF(H258=1,INDEX(tx_TaxCr,252),0)</f>
        <v/>
      </c>
      <c r="O258" s="101">
        <f>IF(H258=1,IF(E258&lt;FYStart,0,IF(E258&gt;FYEnd,13,YEAR(E258)*12+MONTH(E258)-FYYM+1)),"")</f>
        <v/>
      </c>
      <c r="P258" s="101">
        <f>IF(H258=1,IF(IFERROR(INDEX(coa_CF,MATCH(I258,coa_Name,0)),"")="Cash",1,0),0)</f>
        <v/>
      </c>
      <c r="Q258" s="101">
        <f>IF(H258=1,IF(IFERROR(INDEX(coa_CF,MATCH(K258,coa_Name,0)),"")="Cash",1,0),0)</f>
        <v/>
      </c>
      <c r="R258" s="58">
        <f>IF((P258-Q258)=0,"",IFERROR(INDEX(coa_CF,MATCH(IF((P258-Q258)=1,K258,I258),coa_Name,0)),"Operating"))</f>
        <v/>
      </c>
      <c r="S258" s="95">
        <f>IF((P258-Q258)=1,L258,IF((P258-Q258)=-1,-J258,0))</f>
        <v/>
      </c>
      <c r="T258" s="95">
        <f>IF((P258-Q258)=1,N258,IF((P258-Q258)=-1,-M258,0))</f>
        <v/>
      </c>
      <c r="U258" s="101">
        <f>IF(AND(H258=1,LedAcct&lt;&gt;""),IF(AND(E258&gt;=LedFrom,E258&lt;=LedTo,OR(I258=LedAcct,K258=LedAcct,AND(LedAcct=acctTax,M258+N258&lt;&gt;0))),E258*10000+B258,""),"")</f>
        <v/>
      </c>
    </row>
    <row r="259">
      <c r="B259" s="101" t="n">
        <v>253</v>
      </c>
      <c r="C259" s="58" t="inlineStr">
        <is>
          <t>Transaction</t>
        </is>
      </c>
      <c r="D259" s="58">
        <f>IF(H259=1,INDEX(tx_ID,253)&amp;"","")</f>
        <v/>
      </c>
      <c r="E259" s="94">
        <f>IF(H259=1,INDEX(tx_Date,253),"")</f>
        <v/>
      </c>
      <c r="F259" s="58">
        <f>IF(H259=1,INDEX(tx_Desc,253)&amp;"","")</f>
        <v/>
      </c>
      <c r="G259" s="58">
        <f>IF(H259=1,IF(INDEX(tx_Cust,253)&amp;""&lt;&gt;"",INDEX(tx_Cust,253)&amp;"",INDEX(tx_Vend,253)&amp;""),"")</f>
        <v/>
      </c>
      <c r="H259" s="101">
        <f>IFERROR(N(INDEX(tx_Posted,253)),0)</f>
        <v/>
      </c>
      <c r="I259" s="58">
        <f>IF(H259=1,INDEX(tx_DrAcct,253)&amp;"","")</f>
        <v/>
      </c>
      <c r="J259" s="95">
        <f>IF(H259=1,INDEX(tx_DrAmt,253),0)</f>
        <v/>
      </c>
      <c r="K259" s="58">
        <f>IF(H259=1,INDEX(tx_CrAcct,253)&amp;"","")</f>
        <v/>
      </c>
      <c r="L259" s="95">
        <f>IF(H259=1,INDEX(tx_CrAmt,253),0)</f>
        <v/>
      </c>
      <c r="M259" s="95">
        <f>IF(H259=1,INDEX(tx_TaxDr,253),0)</f>
        <v/>
      </c>
      <c r="N259" s="95">
        <f>IF(H259=1,INDEX(tx_TaxCr,253),0)</f>
        <v/>
      </c>
      <c r="O259" s="101">
        <f>IF(H259=1,IF(E259&lt;FYStart,0,IF(E259&gt;FYEnd,13,YEAR(E259)*12+MONTH(E259)-FYYM+1)),"")</f>
        <v/>
      </c>
      <c r="P259" s="101">
        <f>IF(H259=1,IF(IFERROR(INDEX(coa_CF,MATCH(I259,coa_Name,0)),"")="Cash",1,0),0)</f>
        <v/>
      </c>
      <c r="Q259" s="101">
        <f>IF(H259=1,IF(IFERROR(INDEX(coa_CF,MATCH(K259,coa_Name,0)),"")="Cash",1,0),0)</f>
        <v/>
      </c>
      <c r="R259" s="58">
        <f>IF((P259-Q259)=0,"",IFERROR(INDEX(coa_CF,MATCH(IF((P259-Q259)=1,K259,I259),coa_Name,0)),"Operating"))</f>
        <v/>
      </c>
      <c r="S259" s="95">
        <f>IF((P259-Q259)=1,L259,IF((P259-Q259)=-1,-J259,0))</f>
        <v/>
      </c>
      <c r="T259" s="95">
        <f>IF((P259-Q259)=1,N259,IF((P259-Q259)=-1,-M259,0))</f>
        <v/>
      </c>
      <c r="U259" s="101">
        <f>IF(AND(H259=1,LedAcct&lt;&gt;""),IF(AND(E259&gt;=LedFrom,E259&lt;=LedTo,OR(I259=LedAcct,K259=LedAcct,AND(LedAcct=acctTax,M259+N259&lt;&gt;0))),E259*10000+B259,""),"")</f>
        <v/>
      </c>
    </row>
    <row r="260">
      <c r="B260" s="101" t="n">
        <v>254</v>
      </c>
      <c r="C260" s="58" t="inlineStr">
        <is>
          <t>Transaction</t>
        </is>
      </c>
      <c r="D260" s="58">
        <f>IF(H260=1,INDEX(tx_ID,254)&amp;"","")</f>
        <v/>
      </c>
      <c r="E260" s="94">
        <f>IF(H260=1,INDEX(tx_Date,254),"")</f>
        <v/>
      </c>
      <c r="F260" s="58">
        <f>IF(H260=1,INDEX(tx_Desc,254)&amp;"","")</f>
        <v/>
      </c>
      <c r="G260" s="58">
        <f>IF(H260=1,IF(INDEX(tx_Cust,254)&amp;""&lt;&gt;"",INDEX(tx_Cust,254)&amp;"",INDEX(tx_Vend,254)&amp;""),"")</f>
        <v/>
      </c>
      <c r="H260" s="101">
        <f>IFERROR(N(INDEX(tx_Posted,254)),0)</f>
        <v/>
      </c>
      <c r="I260" s="58">
        <f>IF(H260=1,INDEX(tx_DrAcct,254)&amp;"","")</f>
        <v/>
      </c>
      <c r="J260" s="95">
        <f>IF(H260=1,INDEX(tx_DrAmt,254),0)</f>
        <v/>
      </c>
      <c r="K260" s="58">
        <f>IF(H260=1,INDEX(tx_CrAcct,254)&amp;"","")</f>
        <v/>
      </c>
      <c r="L260" s="95">
        <f>IF(H260=1,INDEX(tx_CrAmt,254),0)</f>
        <v/>
      </c>
      <c r="M260" s="95">
        <f>IF(H260=1,INDEX(tx_TaxDr,254),0)</f>
        <v/>
      </c>
      <c r="N260" s="95">
        <f>IF(H260=1,INDEX(tx_TaxCr,254),0)</f>
        <v/>
      </c>
      <c r="O260" s="101">
        <f>IF(H260=1,IF(E260&lt;FYStart,0,IF(E260&gt;FYEnd,13,YEAR(E260)*12+MONTH(E260)-FYYM+1)),"")</f>
        <v/>
      </c>
      <c r="P260" s="101">
        <f>IF(H260=1,IF(IFERROR(INDEX(coa_CF,MATCH(I260,coa_Name,0)),"")="Cash",1,0),0)</f>
        <v/>
      </c>
      <c r="Q260" s="101">
        <f>IF(H260=1,IF(IFERROR(INDEX(coa_CF,MATCH(K260,coa_Name,0)),"")="Cash",1,0),0)</f>
        <v/>
      </c>
      <c r="R260" s="58">
        <f>IF((P260-Q260)=0,"",IFERROR(INDEX(coa_CF,MATCH(IF((P260-Q260)=1,K260,I260),coa_Name,0)),"Operating"))</f>
        <v/>
      </c>
      <c r="S260" s="95">
        <f>IF((P260-Q260)=1,L260,IF((P260-Q260)=-1,-J260,0))</f>
        <v/>
      </c>
      <c r="T260" s="95">
        <f>IF((P260-Q260)=1,N260,IF((P260-Q260)=-1,-M260,0))</f>
        <v/>
      </c>
      <c r="U260" s="101">
        <f>IF(AND(H260=1,LedAcct&lt;&gt;""),IF(AND(E260&gt;=LedFrom,E260&lt;=LedTo,OR(I260=LedAcct,K260=LedAcct,AND(LedAcct=acctTax,M260+N260&lt;&gt;0))),E260*10000+B260,""),"")</f>
        <v/>
      </c>
    </row>
    <row r="261">
      <c r="B261" s="101" t="n">
        <v>255</v>
      </c>
      <c r="C261" s="58" t="inlineStr">
        <is>
          <t>Transaction</t>
        </is>
      </c>
      <c r="D261" s="58">
        <f>IF(H261=1,INDEX(tx_ID,255)&amp;"","")</f>
        <v/>
      </c>
      <c r="E261" s="94">
        <f>IF(H261=1,INDEX(tx_Date,255),"")</f>
        <v/>
      </c>
      <c r="F261" s="58">
        <f>IF(H261=1,INDEX(tx_Desc,255)&amp;"","")</f>
        <v/>
      </c>
      <c r="G261" s="58">
        <f>IF(H261=1,IF(INDEX(tx_Cust,255)&amp;""&lt;&gt;"",INDEX(tx_Cust,255)&amp;"",INDEX(tx_Vend,255)&amp;""),"")</f>
        <v/>
      </c>
      <c r="H261" s="101">
        <f>IFERROR(N(INDEX(tx_Posted,255)),0)</f>
        <v/>
      </c>
      <c r="I261" s="58">
        <f>IF(H261=1,INDEX(tx_DrAcct,255)&amp;"","")</f>
        <v/>
      </c>
      <c r="J261" s="95">
        <f>IF(H261=1,INDEX(tx_DrAmt,255),0)</f>
        <v/>
      </c>
      <c r="K261" s="58">
        <f>IF(H261=1,INDEX(tx_CrAcct,255)&amp;"","")</f>
        <v/>
      </c>
      <c r="L261" s="95">
        <f>IF(H261=1,INDEX(tx_CrAmt,255),0)</f>
        <v/>
      </c>
      <c r="M261" s="95">
        <f>IF(H261=1,INDEX(tx_TaxDr,255),0)</f>
        <v/>
      </c>
      <c r="N261" s="95">
        <f>IF(H261=1,INDEX(tx_TaxCr,255),0)</f>
        <v/>
      </c>
      <c r="O261" s="101">
        <f>IF(H261=1,IF(E261&lt;FYStart,0,IF(E261&gt;FYEnd,13,YEAR(E261)*12+MONTH(E261)-FYYM+1)),"")</f>
        <v/>
      </c>
      <c r="P261" s="101">
        <f>IF(H261=1,IF(IFERROR(INDEX(coa_CF,MATCH(I261,coa_Name,0)),"")="Cash",1,0),0)</f>
        <v/>
      </c>
      <c r="Q261" s="101">
        <f>IF(H261=1,IF(IFERROR(INDEX(coa_CF,MATCH(K261,coa_Name,0)),"")="Cash",1,0),0)</f>
        <v/>
      </c>
      <c r="R261" s="58">
        <f>IF((P261-Q261)=0,"",IFERROR(INDEX(coa_CF,MATCH(IF((P261-Q261)=1,K261,I261),coa_Name,0)),"Operating"))</f>
        <v/>
      </c>
      <c r="S261" s="95">
        <f>IF((P261-Q261)=1,L261,IF((P261-Q261)=-1,-J261,0))</f>
        <v/>
      </c>
      <c r="T261" s="95">
        <f>IF((P261-Q261)=1,N261,IF((P261-Q261)=-1,-M261,0))</f>
        <v/>
      </c>
      <c r="U261" s="101">
        <f>IF(AND(H261=1,LedAcct&lt;&gt;""),IF(AND(E261&gt;=LedFrom,E261&lt;=LedTo,OR(I261=LedAcct,K261=LedAcct,AND(LedAcct=acctTax,M261+N261&lt;&gt;0))),E261*10000+B261,""),"")</f>
        <v/>
      </c>
    </row>
    <row r="262">
      <c r="B262" s="101" t="n">
        <v>256</v>
      </c>
      <c r="C262" s="58" t="inlineStr">
        <is>
          <t>Transaction</t>
        </is>
      </c>
      <c r="D262" s="58">
        <f>IF(H262=1,INDEX(tx_ID,256)&amp;"","")</f>
        <v/>
      </c>
      <c r="E262" s="94">
        <f>IF(H262=1,INDEX(tx_Date,256),"")</f>
        <v/>
      </c>
      <c r="F262" s="58">
        <f>IF(H262=1,INDEX(tx_Desc,256)&amp;"","")</f>
        <v/>
      </c>
      <c r="G262" s="58">
        <f>IF(H262=1,IF(INDEX(tx_Cust,256)&amp;""&lt;&gt;"",INDEX(tx_Cust,256)&amp;"",INDEX(tx_Vend,256)&amp;""),"")</f>
        <v/>
      </c>
      <c r="H262" s="101">
        <f>IFERROR(N(INDEX(tx_Posted,256)),0)</f>
        <v/>
      </c>
      <c r="I262" s="58">
        <f>IF(H262=1,INDEX(tx_DrAcct,256)&amp;"","")</f>
        <v/>
      </c>
      <c r="J262" s="95">
        <f>IF(H262=1,INDEX(tx_DrAmt,256),0)</f>
        <v/>
      </c>
      <c r="K262" s="58">
        <f>IF(H262=1,INDEX(tx_CrAcct,256)&amp;"","")</f>
        <v/>
      </c>
      <c r="L262" s="95">
        <f>IF(H262=1,INDEX(tx_CrAmt,256),0)</f>
        <v/>
      </c>
      <c r="M262" s="95">
        <f>IF(H262=1,INDEX(tx_TaxDr,256),0)</f>
        <v/>
      </c>
      <c r="N262" s="95">
        <f>IF(H262=1,INDEX(tx_TaxCr,256),0)</f>
        <v/>
      </c>
      <c r="O262" s="101">
        <f>IF(H262=1,IF(E262&lt;FYStart,0,IF(E262&gt;FYEnd,13,YEAR(E262)*12+MONTH(E262)-FYYM+1)),"")</f>
        <v/>
      </c>
      <c r="P262" s="101">
        <f>IF(H262=1,IF(IFERROR(INDEX(coa_CF,MATCH(I262,coa_Name,0)),"")="Cash",1,0),0)</f>
        <v/>
      </c>
      <c r="Q262" s="101">
        <f>IF(H262=1,IF(IFERROR(INDEX(coa_CF,MATCH(K262,coa_Name,0)),"")="Cash",1,0),0)</f>
        <v/>
      </c>
      <c r="R262" s="58">
        <f>IF((P262-Q262)=0,"",IFERROR(INDEX(coa_CF,MATCH(IF((P262-Q262)=1,K262,I262),coa_Name,0)),"Operating"))</f>
        <v/>
      </c>
      <c r="S262" s="95">
        <f>IF((P262-Q262)=1,L262,IF((P262-Q262)=-1,-J262,0))</f>
        <v/>
      </c>
      <c r="T262" s="95">
        <f>IF((P262-Q262)=1,N262,IF((P262-Q262)=-1,-M262,0))</f>
        <v/>
      </c>
      <c r="U262" s="101">
        <f>IF(AND(H262=1,LedAcct&lt;&gt;""),IF(AND(E262&gt;=LedFrom,E262&lt;=LedTo,OR(I262=LedAcct,K262=LedAcct,AND(LedAcct=acctTax,M262+N262&lt;&gt;0))),E262*10000+B262,""),"")</f>
        <v/>
      </c>
    </row>
    <row r="263">
      <c r="B263" s="101" t="n">
        <v>257</v>
      </c>
      <c r="C263" s="58" t="inlineStr">
        <is>
          <t>Transaction</t>
        </is>
      </c>
      <c r="D263" s="58">
        <f>IF(H263=1,INDEX(tx_ID,257)&amp;"","")</f>
        <v/>
      </c>
      <c r="E263" s="94">
        <f>IF(H263=1,INDEX(tx_Date,257),"")</f>
        <v/>
      </c>
      <c r="F263" s="58">
        <f>IF(H263=1,INDEX(tx_Desc,257)&amp;"","")</f>
        <v/>
      </c>
      <c r="G263" s="58">
        <f>IF(H263=1,IF(INDEX(tx_Cust,257)&amp;""&lt;&gt;"",INDEX(tx_Cust,257)&amp;"",INDEX(tx_Vend,257)&amp;""),"")</f>
        <v/>
      </c>
      <c r="H263" s="101">
        <f>IFERROR(N(INDEX(tx_Posted,257)),0)</f>
        <v/>
      </c>
      <c r="I263" s="58">
        <f>IF(H263=1,INDEX(tx_DrAcct,257)&amp;"","")</f>
        <v/>
      </c>
      <c r="J263" s="95">
        <f>IF(H263=1,INDEX(tx_DrAmt,257),0)</f>
        <v/>
      </c>
      <c r="K263" s="58">
        <f>IF(H263=1,INDEX(tx_CrAcct,257)&amp;"","")</f>
        <v/>
      </c>
      <c r="L263" s="95">
        <f>IF(H263=1,INDEX(tx_CrAmt,257),0)</f>
        <v/>
      </c>
      <c r="M263" s="95">
        <f>IF(H263=1,INDEX(tx_TaxDr,257),0)</f>
        <v/>
      </c>
      <c r="N263" s="95">
        <f>IF(H263=1,INDEX(tx_TaxCr,257),0)</f>
        <v/>
      </c>
      <c r="O263" s="101">
        <f>IF(H263=1,IF(E263&lt;FYStart,0,IF(E263&gt;FYEnd,13,YEAR(E263)*12+MONTH(E263)-FYYM+1)),"")</f>
        <v/>
      </c>
      <c r="P263" s="101">
        <f>IF(H263=1,IF(IFERROR(INDEX(coa_CF,MATCH(I263,coa_Name,0)),"")="Cash",1,0),0)</f>
        <v/>
      </c>
      <c r="Q263" s="101">
        <f>IF(H263=1,IF(IFERROR(INDEX(coa_CF,MATCH(K263,coa_Name,0)),"")="Cash",1,0),0)</f>
        <v/>
      </c>
      <c r="R263" s="58">
        <f>IF((P263-Q263)=0,"",IFERROR(INDEX(coa_CF,MATCH(IF((P263-Q263)=1,K263,I263),coa_Name,0)),"Operating"))</f>
        <v/>
      </c>
      <c r="S263" s="95">
        <f>IF((P263-Q263)=1,L263,IF((P263-Q263)=-1,-J263,0))</f>
        <v/>
      </c>
      <c r="T263" s="95">
        <f>IF((P263-Q263)=1,N263,IF((P263-Q263)=-1,-M263,0))</f>
        <v/>
      </c>
      <c r="U263" s="101">
        <f>IF(AND(H263=1,LedAcct&lt;&gt;""),IF(AND(E263&gt;=LedFrom,E263&lt;=LedTo,OR(I263=LedAcct,K263=LedAcct,AND(LedAcct=acctTax,M263+N263&lt;&gt;0))),E263*10000+B263,""),"")</f>
        <v/>
      </c>
    </row>
    <row r="264">
      <c r="B264" s="101" t="n">
        <v>258</v>
      </c>
      <c r="C264" s="58" t="inlineStr">
        <is>
          <t>Transaction</t>
        </is>
      </c>
      <c r="D264" s="58">
        <f>IF(H264=1,INDEX(tx_ID,258)&amp;"","")</f>
        <v/>
      </c>
      <c r="E264" s="94">
        <f>IF(H264=1,INDEX(tx_Date,258),"")</f>
        <v/>
      </c>
      <c r="F264" s="58">
        <f>IF(H264=1,INDEX(tx_Desc,258)&amp;"","")</f>
        <v/>
      </c>
      <c r="G264" s="58">
        <f>IF(H264=1,IF(INDEX(tx_Cust,258)&amp;""&lt;&gt;"",INDEX(tx_Cust,258)&amp;"",INDEX(tx_Vend,258)&amp;""),"")</f>
        <v/>
      </c>
      <c r="H264" s="101">
        <f>IFERROR(N(INDEX(tx_Posted,258)),0)</f>
        <v/>
      </c>
      <c r="I264" s="58">
        <f>IF(H264=1,INDEX(tx_DrAcct,258)&amp;"","")</f>
        <v/>
      </c>
      <c r="J264" s="95">
        <f>IF(H264=1,INDEX(tx_DrAmt,258),0)</f>
        <v/>
      </c>
      <c r="K264" s="58">
        <f>IF(H264=1,INDEX(tx_CrAcct,258)&amp;"","")</f>
        <v/>
      </c>
      <c r="L264" s="95">
        <f>IF(H264=1,INDEX(tx_CrAmt,258),0)</f>
        <v/>
      </c>
      <c r="M264" s="95">
        <f>IF(H264=1,INDEX(tx_TaxDr,258),0)</f>
        <v/>
      </c>
      <c r="N264" s="95">
        <f>IF(H264=1,INDEX(tx_TaxCr,258),0)</f>
        <v/>
      </c>
      <c r="O264" s="101">
        <f>IF(H264=1,IF(E264&lt;FYStart,0,IF(E264&gt;FYEnd,13,YEAR(E264)*12+MONTH(E264)-FYYM+1)),"")</f>
        <v/>
      </c>
      <c r="P264" s="101">
        <f>IF(H264=1,IF(IFERROR(INDEX(coa_CF,MATCH(I264,coa_Name,0)),"")="Cash",1,0),0)</f>
        <v/>
      </c>
      <c r="Q264" s="101">
        <f>IF(H264=1,IF(IFERROR(INDEX(coa_CF,MATCH(K264,coa_Name,0)),"")="Cash",1,0),0)</f>
        <v/>
      </c>
      <c r="R264" s="58">
        <f>IF((P264-Q264)=0,"",IFERROR(INDEX(coa_CF,MATCH(IF((P264-Q264)=1,K264,I264),coa_Name,0)),"Operating"))</f>
        <v/>
      </c>
      <c r="S264" s="95">
        <f>IF((P264-Q264)=1,L264,IF((P264-Q264)=-1,-J264,0))</f>
        <v/>
      </c>
      <c r="T264" s="95">
        <f>IF((P264-Q264)=1,N264,IF((P264-Q264)=-1,-M264,0))</f>
        <v/>
      </c>
      <c r="U264" s="101">
        <f>IF(AND(H264=1,LedAcct&lt;&gt;""),IF(AND(E264&gt;=LedFrom,E264&lt;=LedTo,OR(I264=LedAcct,K264=LedAcct,AND(LedAcct=acctTax,M264+N264&lt;&gt;0))),E264*10000+B264,""),"")</f>
        <v/>
      </c>
    </row>
    <row r="265">
      <c r="B265" s="101" t="n">
        <v>259</v>
      </c>
      <c r="C265" s="58" t="inlineStr">
        <is>
          <t>Transaction</t>
        </is>
      </c>
      <c r="D265" s="58">
        <f>IF(H265=1,INDEX(tx_ID,259)&amp;"","")</f>
        <v/>
      </c>
      <c r="E265" s="94">
        <f>IF(H265=1,INDEX(tx_Date,259),"")</f>
        <v/>
      </c>
      <c r="F265" s="58">
        <f>IF(H265=1,INDEX(tx_Desc,259)&amp;"","")</f>
        <v/>
      </c>
      <c r="G265" s="58">
        <f>IF(H265=1,IF(INDEX(tx_Cust,259)&amp;""&lt;&gt;"",INDEX(tx_Cust,259)&amp;"",INDEX(tx_Vend,259)&amp;""),"")</f>
        <v/>
      </c>
      <c r="H265" s="101">
        <f>IFERROR(N(INDEX(tx_Posted,259)),0)</f>
        <v/>
      </c>
      <c r="I265" s="58">
        <f>IF(H265=1,INDEX(tx_DrAcct,259)&amp;"","")</f>
        <v/>
      </c>
      <c r="J265" s="95">
        <f>IF(H265=1,INDEX(tx_DrAmt,259),0)</f>
        <v/>
      </c>
      <c r="K265" s="58">
        <f>IF(H265=1,INDEX(tx_CrAcct,259)&amp;"","")</f>
        <v/>
      </c>
      <c r="L265" s="95">
        <f>IF(H265=1,INDEX(tx_CrAmt,259),0)</f>
        <v/>
      </c>
      <c r="M265" s="95">
        <f>IF(H265=1,INDEX(tx_TaxDr,259),0)</f>
        <v/>
      </c>
      <c r="N265" s="95">
        <f>IF(H265=1,INDEX(tx_TaxCr,259),0)</f>
        <v/>
      </c>
      <c r="O265" s="101">
        <f>IF(H265=1,IF(E265&lt;FYStart,0,IF(E265&gt;FYEnd,13,YEAR(E265)*12+MONTH(E265)-FYYM+1)),"")</f>
        <v/>
      </c>
      <c r="P265" s="101">
        <f>IF(H265=1,IF(IFERROR(INDEX(coa_CF,MATCH(I265,coa_Name,0)),"")="Cash",1,0),0)</f>
        <v/>
      </c>
      <c r="Q265" s="101">
        <f>IF(H265=1,IF(IFERROR(INDEX(coa_CF,MATCH(K265,coa_Name,0)),"")="Cash",1,0),0)</f>
        <v/>
      </c>
      <c r="R265" s="58">
        <f>IF((P265-Q265)=0,"",IFERROR(INDEX(coa_CF,MATCH(IF((P265-Q265)=1,K265,I265),coa_Name,0)),"Operating"))</f>
        <v/>
      </c>
      <c r="S265" s="95">
        <f>IF((P265-Q265)=1,L265,IF((P265-Q265)=-1,-J265,0))</f>
        <v/>
      </c>
      <c r="T265" s="95">
        <f>IF((P265-Q265)=1,N265,IF((P265-Q265)=-1,-M265,0))</f>
        <v/>
      </c>
      <c r="U265" s="101">
        <f>IF(AND(H265=1,LedAcct&lt;&gt;""),IF(AND(E265&gt;=LedFrom,E265&lt;=LedTo,OR(I265=LedAcct,K265=LedAcct,AND(LedAcct=acctTax,M265+N265&lt;&gt;0))),E265*10000+B265,""),"")</f>
        <v/>
      </c>
    </row>
    <row r="266">
      <c r="B266" s="101" t="n">
        <v>260</v>
      </c>
      <c r="C266" s="58" t="inlineStr">
        <is>
          <t>Transaction</t>
        </is>
      </c>
      <c r="D266" s="58">
        <f>IF(H266=1,INDEX(tx_ID,260)&amp;"","")</f>
        <v/>
      </c>
      <c r="E266" s="94">
        <f>IF(H266=1,INDEX(tx_Date,260),"")</f>
        <v/>
      </c>
      <c r="F266" s="58">
        <f>IF(H266=1,INDEX(tx_Desc,260)&amp;"","")</f>
        <v/>
      </c>
      <c r="G266" s="58">
        <f>IF(H266=1,IF(INDEX(tx_Cust,260)&amp;""&lt;&gt;"",INDEX(tx_Cust,260)&amp;"",INDEX(tx_Vend,260)&amp;""),"")</f>
        <v/>
      </c>
      <c r="H266" s="101">
        <f>IFERROR(N(INDEX(tx_Posted,260)),0)</f>
        <v/>
      </c>
      <c r="I266" s="58">
        <f>IF(H266=1,INDEX(tx_DrAcct,260)&amp;"","")</f>
        <v/>
      </c>
      <c r="J266" s="95">
        <f>IF(H266=1,INDEX(tx_DrAmt,260),0)</f>
        <v/>
      </c>
      <c r="K266" s="58">
        <f>IF(H266=1,INDEX(tx_CrAcct,260)&amp;"","")</f>
        <v/>
      </c>
      <c r="L266" s="95">
        <f>IF(H266=1,INDEX(tx_CrAmt,260),0)</f>
        <v/>
      </c>
      <c r="M266" s="95">
        <f>IF(H266=1,INDEX(tx_TaxDr,260),0)</f>
        <v/>
      </c>
      <c r="N266" s="95">
        <f>IF(H266=1,INDEX(tx_TaxCr,260),0)</f>
        <v/>
      </c>
      <c r="O266" s="101">
        <f>IF(H266=1,IF(E266&lt;FYStart,0,IF(E266&gt;FYEnd,13,YEAR(E266)*12+MONTH(E266)-FYYM+1)),"")</f>
        <v/>
      </c>
      <c r="P266" s="101">
        <f>IF(H266=1,IF(IFERROR(INDEX(coa_CF,MATCH(I266,coa_Name,0)),"")="Cash",1,0),0)</f>
        <v/>
      </c>
      <c r="Q266" s="101">
        <f>IF(H266=1,IF(IFERROR(INDEX(coa_CF,MATCH(K266,coa_Name,0)),"")="Cash",1,0),0)</f>
        <v/>
      </c>
      <c r="R266" s="58">
        <f>IF((P266-Q266)=0,"",IFERROR(INDEX(coa_CF,MATCH(IF((P266-Q266)=1,K266,I266),coa_Name,0)),"Operating"))</f>
        <v/>
      </c>
      <c r="S266" s="95">
        <f>IF((P266-Q266)=1,L266,IF((P266-Q266)=-1,-J266,0))</f>
        <v/>
      </c>
      <c r="T266" s="95">
        <f>IF((P266-Q266)=1,N266,IF((P266-Q266)=-1,-M266,0))</f>
        <v/>
      </c>
      <c r="U266" s="101">
        <f>IF(AND(H266=1,LedAcct&lt;&gt;""),IF(AND(E266&gt;=LedFrom,E266&lt;=LedTo,OR(I266=LedAcct,K266=LedAcct,AND(LedAcct=acctTax,M266+N266&lt;&gt;0))),E266*10000+B266,""),"")</f>
        <v/>
      </c>
    </row>
    <row r="267">
      <c r="B267" s="101" t="n">
        <v>261</v>
      </c>
      <c r="C267" s="58" t="inlineStr">
        <is>
          <t>Transaction</t>
        </is>
      </c>
      <c r="D267" s="58">
        <f>IF(H267=1,INDEX(tx_ID,261)&amp;"","")</f>
        <v/>
      </c>
      <c r="E267" s="94">
        <f>IF(H267=1,INDEX(tx_Date,261),"")</f>
        <v/>
      </c>
      <c r="F267" s="58">
        <f>IF(H267=1,INDEX(tx_Desc,261)&amp;"","")</f>
        <v/>
      </c>
      <c r="G267" s="58">
        <f>IF(H267=1,IF(INDEX(tx_Cust,261)&amp;""&lt;&gt;"",INDEX(tx_Cust,261)&amp;"",INDEX(tx_Vend,261)&amp;""),"")</f>
        <v/>
      </c>
      <c r="H267" s="101">
        <f>IFERROR(N(INDEX(tx_Posted,261)),0)</f>
        <v/>
      </c>
      <c r="I267" s="58">
        <f>IF(H267=1,INDEX(tx_DrAcct,261)&amp;"","")</f>
        <v/>
      </c>
      <c r="J267" s="95">
        <f>IF(H267=1,INDEX(tx_DrAmt,261),0)</f>
        <v/>
      </c>
      <c r="K267" s="58">
        <f>IF(H267=1,INDEX(tx_CrAcct,261)&amp;"","")</f>
        <v/>
      </c>
      <c r="L267" s="95">
        <f>IF(H267=1,INDEX(tx_CrAmt,261),0)</f>
        <v/>
      </c>
      <c r="M267" s="95">
        <f>IF(H267=1,INDEX(tx_TaxDr,261),0)</f>
        <v/>
      </c>
      <c r="N267" s="95">
        <f>IF(H267=1,INDEX(tx_TaxCr,261),0)</f>
        <v/>
      </c>
      <c r="O267" s="101">
        <f>IF(H267=1,IF(E267&lt;FYStart,0,IF(E267&gt;FYEnd,13,YEAR(E267)*12+MONTH(E267)-FYYM+1)),"")</f>
        <v/>
      </c>
      <c r="P267" s="101">
        <f>IF(H267=1,IF(IFERROR(INDEX(coa_CF,MATCH(I267,coa_Name,0)),"")="Cash",1,0),0)</f>
        <v/>
      </c>
      <c r="Q267" s="101">
        <f>IF(H267=1,IF(IFERROR(INDEX(coa_CF,MATCH(K267,coa_Name,0)),"")="Cash",1,0),0)</f>
        <v/>
      </c>
      <c r="R267" s="58">
        <f>IF((P267-Q267)=0,"",IFERROR(INDEX(coa_CF,MATCH(IF((P267-Q267)=1,K267,I267),coa_Name,0)),"Operating"))</f>
        <v/>
      </c>
      <c r="S267" s="95">
        <f>IF((P267-Q267)=1,L267,IF((P267-Q267)=-1,-J267,0))</f>
        <v/>
      </c>
      <c r="T267" s="95">
        <f>IF((P267-Q267)=1,N267,IF((P267-Q267)=-1,-M267,0))</f>
        <v/>
      </c>
      <c r="U267" s="101">
        <f>IF(AND(H267=1,LedAcct&lt;&gt;""),IF(AND(E267&gt;=LedFrom,E267&lt;=LedTo,OR(I267=LedAcct,K267=LedAcct,AND(LedAcct=acctTax,M267+N267&lt;&gt;0))),E267*10000+B267,""),"")</f>
        <v/>
      </c>
    </row>
    <row r="268">
      <c r="B268" s="101" t="n">
        <v>262</v>
      </c>
      <c r="C268" s="58" t="inlineStr">
        <is>
          <t>Transaction</t>
        </is>
      </c>
      <c r="D268" s="58">
        <f>IF(H268=1,INDEX(tx_ID,262)&amp;"","")</f>
        <v/>
      </c>
      <c r="E268" s="94">
        <f>IF(H268=1,INDEX(tx_Date,262),"")</f>
        <v/>
      </c>
      <c r="F268" s="58">
        <f>IF(H268=1,INDEX(tx_Desc,262)&amp;"","")</f>
        <v/>
      </c>
      <c r="G268" s="58">
        <f>IF(H268=1,IF(INDEX(tx_Cust,262)&amp;""&lt;&gt;"",INDEX(tx_Cust,262)&amp;"",INDEX(tx_Vend,262)&amp;""),"")</f>
        <v/>
      </c>
      <c r="H268" s="101">
        <f>IFERROR(N(INDEX(tx_Posted,262)),0)</f>
        <v/>
      </c>
      <c r="I268" s="58">
        <f>IF(H268=1,INDEX(tx_DrAcct,262)&amp;"","")</f>
        <v/>
      </c>
      <c r="J268" s="95">
        <f>IF(H268=1,INDEX(tx_DrAmt,262),0)</f>
        <v/>
      </c>
      <c r="K268" s="58">
        <f>IF(H268=1,INDEX(tx_CrAcct,262)&amp;"","")</f>
        <v/>
      </c>
      <c r="L268" s="95">
        <f>IF(H268=1,INDEX(tx_CrAmt,262),0)</f>
        <v/>
      </c>
      <c r="M268" s="95">
        <f>IF(H268=1,INDEX(tx_TaxDr,262),0)</f>
        <v/>
      </c>
      <c r="N268" s="95">
        <f>IF(H268=1,INDEX(tx_TaxCr,262),0)</f>
        <v/>
      </c>
      <c r="O268" s="101">
        <f>IF(H268=1,IF(E268&lt;FYStart,0,IF(E268&gt;FYEnd,13,YEAR(E268)*12+MONTH(E268)-FYYM+1)),"")</f>
        <v/>
      </c>
      <c r="P268" s="101">
        <f>IF(H268=1,IF(IFERROR(INDEX(coa_CF,MATCH(I268,coa_Name,0)),"")="Cash",1,0),0)</f>
        <v/>
      </c>
      <c r="Q268" s="101">
        <f>IF(H268=1,IF(IFERROR(INDEX(coa_CF,MATCH(K268,coa_Name,0)),"")="Cash",1,0),0)</f>
        <v/>
      </c>
      <c r="R268" s="58">
        <f>IF((P268-Q268)=0,"",IFERROR(INDEX(coa_CF,MATCH(IF((P268-Q268)=1,K268,I268),coa_Name,0)),"Operating"))</f>
        <v/>
      </c>
      <c r="S268" s="95">
        <f>IF((P268-Q268)=1,L268,IF((P268-Q268)=-1,-J268,0))</f>
        <v/>
      </c>
      <c r="T268" s="95">
        <f>IF((P268-Q268)=1,N268,IF((P268-Q268)=-1,-M268,0))</f>
        <v/>
      </c>
      <c r="U268" s="101">
        <f>IF(AND(H268=1,LedAcct&lt;&gt;""),IF(AND(E268&gt;=LedFrom,E268&lt;=LedTo,OR(I268=LedAcct,K268=LedAcct,AND(LedAcct=acctTax,M268+N268&lt;&gt;0))),E268*10000+B268,""),"")</f>
        <v/>
      </c>
    </row>
    <row r="269">
      <c r="B269" s="101" t="n">
        <v>263</v>
      </c>
      <c r="C269" s="58" t="inlineStr">
        <is>
          <t>Transaction</t>
        </is>
      </c>
      <c r="D269" s="58">
        <f>IF(H269=1,INDEX(tx_ID,263)&amp;"","")</f>
        <v/>
      </c>
      <c r="E269" s="94">
        <f>IF(H269=1,INDEX(tx_Date,263),"")</f>
        <v/>
      </c>
      <c r="F269" s="58">
        <f>IF(H269=1,INDEX(tx_Desc,263)&amp;"","")</f>
        <v/>
      </c>
      <c r="G269" s="58">
        <f>IF(H269=1,IF(INDEX(tx_Cust,263)&amp;""&lt;&gt;"",INDEX(tx_Cust,263)&amp;"",INDEX(tx_Vend,263)&amp;""),"")</f>
        <v/>
      </c>
      <c r="H269" s="101">
        <f>IFERROR(N(INDEX(tx_Posted,263)),0)</f>
        <v/>
      </c>
      <c r="I269" s="58">
        <f>IF(H269=1,INDEX(tx_DrAcct,263)&amp;"","")</f>
        <v/>
      </c>
      <c r="J269" s="95">
        <f>IF(H269=1,INDEX(tx_DrAmt,263),0)</f>
        <v/>
      </c>
      <c r="K269" s="58">
        <f>IF(H269=1,INDEX(tx_CrAcct,263)&amp;"","")</f>
        <v/>
      </c>
      <c r="L269" s="95">
        <f>IF(H269=1,INDEX(tx_CrAmt,263),0)</f>
        <v/>
      </c>
      <c r="M269" s="95">
        <f>IF(H269=1,INDEX(tx_TaxDr,263),0)</f>
        <v/>
      </c>
      <c r="N269" s="95">
        <f>IF(H269=1,INDEX(tx_TaxCr,263),0)</f>
        <v/>
      </c>
      <c r="O269" s="101">
        <f>IF(H269=1,IF(E269&lt;FYStart,0,IF(E269&gt;FYEnd,13,YEAR(E269)*12+MONTH(E269)-FYYM+1)),"")</f>
        <v/>
      </c>
      <c r="P269" s="101">
        <f>IF(H269=1,IF(IFERROR(INDEX(coa_CF,MATCH(I269,coa_Name,0)),"")="Cash",1,0),0)</f>
        <v/>
      </c>
      <c r="Q269" s="101">
        <f>IF(H269=1,IF(IFERROR(INDEX(coa_CF,MATCH(K269,coa_Name,0)),"")="Cash",1,0),0)</f>
        <v/>
      </c>
      <c r="R269" s="58">
        <f>IF((P269-Q269)=0,"",IFERROR(INDEX(coa_CF,MATCH(IF((P269-Q269)=1,K269,I269),coa_Name,0)),"Operating"))</f>
        <v/>
      </c>
      <c r="S269" s="95">
        <f>IF((P269-Q269)=1,L269,IF((P269-Q269)=-1,-J269,0))</f>
        <v/>
      </c>
      <c r="T269" s="95">
        <f>IF((P269-Q269)=1,N269,IF((P269-Q269)=-1,-M269,0))</f>
        <v/>
      </c>
      <c r="U269" s="101">
        <f>IF(AND(H269=1,LedAcct&lt;&gt;""),IF(AND(E269&gt;=LedFrom,E269&lt;=LedTo,OR(I269=LedAcct,K269=LedAcct,AND(LedAcct=acctTax,M269+N269&lt;&gt;0))),E269*10000+B269,""),"")</f>
        <v/>
      </c>
    </row>
    <row r="270">
      <c r="B270" s="101" t="n">
        <v>264</v>
      </c>
      <c r="C270" s="58" t="inlineStr">
        <is>
          <t>Transaction</t>
        </is>
      </c>
      <c r="D270" s="58">
        <f>IF(H270=1,INDEX(tx_ID,264)&amp;"","")</f>
        <v/>
      </c>
      <c r="E270" s="94">
        <f>IF(H270=1,INDEX(tx_Date,264),"")</f>
        <v/>
      </c>
      <c r="F270" s="58">
        <f>IF(H270=1,INDEX(tx_Desc,264)&amp;"","")</f>
        <v/>
      </c>
      <c r="G270" s="58">
        <f>IF(H270=1,IF(INDEX(tx_Cust,264)&amp;""&lt;&gt;"",INDEX(tx_Cust,264)&amp;"",INDEX(tx_Vend,264)&amp;""),"")</f>
        <v/>
      </c>
      <c r="H270" s="101">
        <f>IFERROR(N(INDEX(tx_Posted,264)),0)</f>
        <v/>
      </c>
      <c r="I270" s="58">
        <f>IF(H270=1,INDEX(tx_DrAcct,264)&amp;"","")</f>
        <v/>
      </c>
      <c r="J270" s="95">
        <f>IF(H270=1,INDEX(tx_DrAmt,264),0)</f>
        <v/>
      </c>
      <c r="K270" s="58">
        <f>IF(H270=1,INDEX(tx_CrAcct,264)&amp;"","")</f>
        <v/>
      </c>
      <c r="L270" s="95">
        <f>IF(H270=1,INDEX(tx_CrAmt,264),0)</f>
        <v/>
      </c>
      <c r="M270" s="95">
        <f>IF(H270=1,INDEX(tx_TaxDr,264),0)</f>
        <v/>
      </c>
      <c r="N270" s="95">
        <f>IF(H270=1,INDEX(tx_TaxCr,264),0)</f>
        <v/>
      </c>
      <c r="O270" s="101">
        <f>IF(H270=1,IF(E270&lt;FYStart,0,IF(E270&gt;FYEnd,13,YEAR(E270)*12+MONTH(E270)-FYYM+1)),"")</f>
        <v/>
      </c>
      <c r="P270" s="101">
        <f>IF(H270=1,IF(IFERROR(INDEX(coa_CF,MATCH(I270,coa_Name,0)),"")="Cash",1,0),0)</f>
        <v/>
      </c>
      <c r="Q270" s="101">
        <f>IF(H270=1,IF(IFERROR(INDEX(coa_CF,MATCH(K270,coa_Name,0)),"")="Cash",1,0),0)</f>
        <v/>
      </c>
      <c r="R270" s="58">
        <f>IF((P270-Q270)=0,"",IFERROR(INDEX(coa_CF,MATCH(IF((P270-Q270)=1,K270,I270),coa_Name,0)),"Operating"))</f>
        <v/>
      </c>
      <c r="S270" s="95">
        <f>IF((P270-Q270)=1,L270,IF((P270-Q270)=-1,-J270,0))</f>
        <v/>
      </c>
      <c r="T270" s="95">
        <f>IF((P270-Q270)=1,N270,IF((P270-Q270)=-1,-M270,0))</f>
        <v/>
      </c>
      <c r="U270" s="101">
        <f>IF(AND(H270=1,LedAcct&lt;&gt;""),IF(AND(E270&gt;=LedFrom,E270&lt;=LedTo,OR(I270=LedAcct,K270=LedAcct,AND(LedAcct=acctTax,M270+N270&lt;&gt;0))),E270*10000+B270,""),"")</f>
        <v/>
      </c>
    </row>
    <row r="271">
      <c r="B271" s="101" t="n">
        <v>265</v>
      </c>
      <c r="C271" s="58" t="inlineStr">
        <is>
          <t>Transaction</t>
        </is>
      </c>
      <c r="D271" s="58">
        <f>IF(H271=1,INDEX(tx_ID,265)&amp;"","")</f>
        <v/>
      </c>
      <c r="E271" s="94">
        <f>IF(H271=1,INDEX(tx_Date,265),"")</f>
        <v/>
      </c>
      <c r="F271" s="58">
        <f>IF(H271=1,INDEX(tx_Desc,265)&amp;"","")</f>
        <v/>
      </c>
      <c r="G271" s="58">
        <f>IF(H271=1,IF(INDEX(tx_Cust,265)&amp;""&lt;&gt;"",INDEX(tx_Cust,265)&amp;"",INDEX(tx_Vend,265)&amp;""),"")</f>
        <v/>
      </c>
      <c r="H271" s="101">
        <f>IFERROR(N(INDEX(tx_Posted,265)),0)</f>
        <v/>
      </c>
      <c r="I271" s="58">
        <f>IF(H271=1,INDEX(tx_DrAcct,265)&amp;"","")</f>
        <v/>
      </c>
      <c r="J271" s="95">
        <f>IF(H271=1,INDEX(tx_DrAmt,265),0)</f>
        <v/>
      </c>
      <c r="K271" s="58">
        <f>IF(H271=1,INDEX(tx_CrAcct,265)&amp;"","")</f>
        <v/>
      </c>
      <c r="L271" s="95">
        <f>IF(H271=1,INDEX(tx_CrAmt,265),0)</f>
        <v/>
      </c>
      <c r="M271" s="95">
        <f>IF(H271=1,INDEX(tx_TaxDr,265),0)</f>
        <v/>
      </c>
      <c r="N271" s="95">
        <f>IF(H271=1,INDEX(tx_TaxCr,265),0)</f>
        <v/>
      </c>
      <c r="O271" s="101">
        <f>IF(H271=1,IF(E271&lt;FYStart,0,IF(E271&gt;FYEnd,13,YEAR(E271)*12+MONTH(E271)-FYYM+1)),"")</f>
        <v/>
      </c>
      <c r="P271" s="101">
        <f>IF(H271=1,IF(IFERROR(INDEX(coa_CF,MATCH(I271,coa_Name,0)),"")="Cash",1,0),0)</f>
        <v/>
      </c>
      <c r="Q271" s="101">
        <f>IF(H271=1,IF(IFERROR(INDEX(coa_CF,MATCH(K271,coa_Name,0)),"")="Cash",1,0),0)</f>
        <v/>
      </c>
      <c r="R271" s="58">
        <f>IF((P271-Q271)=0,"",IFERROR(INDEX(coa_CF,MATCH(IF((P271-Q271)=1,K271,I271),coa_Name,0)),"Operating"))</f>
        <v/>
      </c>
      <c r="S271" s="95">
        <f>IF((P271-Q271)=1,L271,IF((P271-Q271)=-1,-J271,0))</f>
        <v/>
      </c>
      <c r="T271" s="95">
        <f>IF((P271-Q271)=1,N271,IF((P271-Q271)=-1,-M271,0))</f>
        <v/>
      </c>
      <c r="U271" s="101">
        <f>IF(AND(H271=1,LedAcct&lt;&gt;""),IF(AND(E271&gt;=LedFrom,E271&lt;=LedTo,OR(I271=LedAcct,K271=LedAcct,AND(LedAcct=acctTax,M271+N271&lt;&gt;0))),E271*10000+B271,""),"")</f>
        <v/>
      </c>
    </row>
    <row r="272">
      <c r="B272" s="101" t="n">
        <v>266</v>
      </c>
      <c r="C272" s="58" t="inlineStr">
        <is>
          <t>Transaction</t>
        </is>
      </c>
      <c r="D272" s="58">
        <f>IF(H272=1,INDEX(tx_ID,266)&amp;"","")</f>
        <v/>
      </c>
      <c r="E272" s="94">
        <f>IF(H272=1,INDEX(tx_Date,266),"")</f>
        <v/>
      </c>
      <c r="F272" s="58">
        <f>IF(H272=1,INDEX(tx_Desc,266)&amp;"","")</f>
        <v/>
      </c>
      <c r="G272" s="58">
        <f>IF(H272=1,IF(INDEX(tx_Cust,266)&amp;""&lt;&gt;"",INDEX(tx_Cust,266)&amp;"",INDEX(tx_Vend,266)&amp;""),"")</f>
        <v/>
      </c>
      <c r="H272" s="101">
        <f>IFERROR(N(INDEX(tx_Posted,266)),0)</f>
        <v/>
      </c>
      <c r="I272" s="58">
        <f>IF(H272=1,INDEX(tx_DrAcct,266)&amp;"","")</f>
        <v/>
      </c>
      <c r="J272" s="95">
        <f>IF(H272=1,INDEX(tx_DrAmt,266),0)</f>
        <v/>
      </c>
      <c r="K272" s="58">
        <f>IF(H272=1,INDEX(tx_CrAcct,266)&amp;"","")</f>
        <v/>
      </c>
      <c r="L272" s="95">
        <f>IF(H272=1,INDEX(tx_CrAmt,266),0)</f>
        <v/>
      </c>
      <c r="M272" s="95">
        <f>IF(H272=1,INDEX(tx_TaxDr,266),0)</f>
        <v/>
      </c>
      <c r="N272" s="95">
        <f>IF(H272=1,INDEX(tx_TaxCr,266),0)</f>
        <v/>
      </c>
      <c r="O272" s="101">
        <f>IF(H272=1,IF(E272&lt;FYStart,0,IF(E272&gt;FYEnd,13,YEAR(E272)*12+MONTH(E272)-FYYM+1)),"")</f>
        <v/>
      </c>
      <c r="P272" s="101">
        <f>IF(H272=1,IF(IFERROR(INDEX(coa_CF,MATCH(I272,coa_Name,0)),"")="Cash",1,0),0)</f>
        <v/>
      </c>
      <c r="Q272" s="101">
        <f>IF(H272=1,IF(IFERROR(INDEX(coa_CF,MATCH(K272,coa_Name,0)),"")="Cash",1,0),0)</f>
        <v/>
      </c>
      <c r="R272" s="58">
        <f>IF((P272-Q272)=0,"",IFERROR(INDEX(coa_CF,MATCH(IF((P272-Q272)=1,K272,I272),coa_Name,0)),"Operating"))</f>
        <v/>
      </c>
      <c r="S272" s="95">
        <f>IF((P272-Q272)=1,L272,IF((P272-Q272)=-1,-J272,0))</f>
        <v/>
      </c>
      <c r="T272" s="95">
        <f>IF((P272-Q272)=1,N272,IF((P272-Q272)=-1,-M272,0))</f>
        <v/>
      </c>
      <c r="U272" s="101">
        <f>IF(AND(H272=1,LedAcct&lt;&gt;""),IF(AND(E272&gt;=LedFrom,E272&lt;=LedTo,OR(I272=LedAcct,K272=LedAcct,AND(LedAcct=acctTax,M272+N272&lt;&gt;0))),E272*10000+B272,""),"")</f>
        <v/>
      </c>
    </row>
    <row r="273">
      <c r="B273" s="101" t="n">
        <v>267</v>
      </c>
      <c r="C273" s="58" t="inlineStr">
        <is>
          <t>Transaction</t>
        </is>
      </c>
      <c r="D273" s="58">
        <f>IF(H273=1,INDEX(tx_ID,267)&amp;"","")</f>
        <v/>
      </c>
      <c r="E273" s="94">
        <f>IF(H273=1,INDEX(tx_Date,267),"")</f>
        <v/>
      </c>
      <c r="F273" s="58">
        <f>IF(H273=1,INDEX(tx_Desc,267)&amp;"","")</f>
        <v/>
      </c>
      <c r="G273" s="58">
        <f>IF(H273=1,IF(INDEX(tx_Cust,267)&amp;""&lt;&gt;"",INDEX(tx_Cust,267)&amp;"",INDEX(tx_Vend,267)&amp;""),"")</f>
        <v/>
      </c>
      <c r="H273" s="101">
        <f>IFERROR(N(INDEX(tx_Posted,267)),0)</f>
        <v/>
      </c>
      <c r="I273" s="58">
        <f>IF(H273=1,INDEX(tx_DrAcct,267)&amp;"","")</f>
        <v/>
      </c>
      <c r="J273" s="95">
        <f>IF(H273=1,INDEX(tx_DrAmt,267),0)</f>
        <v/>
      </c>
      <c r="K273" s="58">
        <f>IF(H273=1,INDEX(tx_CrAcct,267)&amp;"","")</f>
        <v/>
      </c>
      <c r="L273" s="95">
        <f>IF(H273=1,INDEX(tx_CrAmt,267),0)</f>
        <v/>
      </c>
      <c r="M273" s="95">
        <f>IF(H273=1,INDEX(tx_TaxDr,267),0)</f>
        <v/>
      </c>
      <c r="N273" s="95">
        <f>IF(H273=1,INDEX(tx_TaxCr,267),0)</f>
        <v/>
      </c>
      <c r="O273" s="101">
        <f>IF(H273=1,IF(E273&lt;FYStart,0,IF(E273&gt;FYEnd,13,YEAR(E273)*12+MONTH(E273)-FYYM+1)),"")</f>
        <v/>
      </c>
      <c r="P273" s="101">
        <f>IF(H273=1,IF(IFERROR(INDEX(coa_CF,MATCH(I273,coa_Name,0)),"")="Cash",1,0),0)</f>
        <v/>
      </c>
      <c r="Q273" s="101">
        <f>IF(H273=1,IF(IFERROR(INDEX(coa_CF,MATCH(K273,coa_Name,0)),"")="Cash",1,0),0)</f>
        <v/>
      </c>
      <c r="R273" s="58">
        <f>IF((P273-Q273)=0,"",IFERROR(INDEX(coa_CF,MATCH(IF((P273-Q273)=1,K273,I273),coa_Name,0)),"Operating"))</f>
        <v/>
      </c>
      <c r="S273" s="95">
        <f>IF((P273-Q273)=1,L273,IF((P273-Q273)=-1,-J273,0))</f>
        <v/>
      </c>
      <c r="T273" s="95">
        <f>IF((P273-Q273)=1,N273,IF((P273-Q273)=-1,-M273,0))</f>
        <v/>
      </c>
      <c r="U273" s="101">
        <f>IF(AND(H273=1,LedAcct&lt;&gt;""),IF(AND(E273&gt;=LedFrom,E273&lt;=LedTo,OR(I273=LedAcct,K273=LedAcct,AND(LedAcct=acctTax,M273+N273&lt;&gt;0))),E273*10000+B273,""),"")</f>
        <v/>
      </c>
    </row>
    <row r="274">
      <c r="B274" s="101" t="n">
        <v>268</v>
      </c>
      <c r="C274" s="58" t="inlineStr">
        <is>
          <t>Transaction</t>
        </is>
      </c>
      <c r="D274" s="58">
        <f>IF(H274=1,INDEX(tx_ID,268)&amp;"","")</f>
        <v/>
      </c>
      <c r="E274" s="94">
        <f>IF(H274=1,INDEX(tx_Date,268),"")</f>
        <v/>
      </c>
      <c r="F274" s="58">
        <f>IF(H274=1,INDEX(tx_Desc,268)&amp;"","")</f>
        <v/>
      </c>
      <c r="G274" s="58">
        <f>IF(H274=1,IF(INDEX(tx_Cust,268)&amp;""&lt;&gt;"",INDEX(tx_Cust,268)&amp;"",INDEX(tx_Vend,268)&amp;""),"")</f>
        <v/>
      </c>
      <c r="H274" s="101">
        <f>IFERROR(N(INDEX(tx_Posted,268)),0)</f>
        <v/>
      </c>
      <c r="I274" s="58">
        <f>IF(H274=1,INDEX(tx_DrAcct,268)&amp;"","")</f>
        <v/>
      </c>
      <c r="J274" s="95">
        <f>IF(H274=1,INDEX(tx_DrAmt,268),0)</f>
        <v/>
      </c>
      <c r="K274" s="58">
        <f>IF(H274=1,INDEX(tx_CrAcct,268)&amp;"","")</f>
        <v/>
      </c>
      <c r="L274" s="95">
        <f>IF(H274=1,INDEX(tx_CrAmt,268),0)</f>
        <v/>
      </c>
      <c r="M274" s="95">
        <f>IF(H274=1,INDEX(tx_TaxDr,268),0)</f>
        <v/>
      </c>
      <c r="N274" s="95">
        <f>IF(H274=1,INDEX(tx_TaxCr,268),0)</f>
        <v/>
      </c>
      <c r="O274" s="101">
        <f>IF(H274=1,IF(E274&lt;FYStart,0,IF(E274&gt;FYEnd,13,YEAR(E274)*12+MONTH(E274)-FYYM+1)),"")</f>
        <v/>
      </c>
      <c r="P274" s="101">
        <f>IF(H274=1,IF(IFERROR(INDEX(coa_CF,MATCH(I274,coa_Name,0)),"")="Cash",1,0),0)</f>
        <v/>
      </c>
      <c r="Q274" s="101">
        <f>IF(H274=1,IF(IFERROR(INDEX(coa_CF,MATCH(K274,coa_Name,0)),"")="Cash",1,0),0)</f>
        <v/>
      </c>
      <c r="R274" s="58">
        <f>IF((P274-Q274)=0,"",IFERROR(INDEX(coa_CF,MATCH(IF((P274-Q274)=1,K274,I274),coa_Name,0)),"Operating"))</f>
        <v/>
      </c>
      <c r="S274" s="95">
        <f>IF((P274-Q274)=1,L274,IF((P274-Q274)=-1,-J274,0))</f>
        <v/>
      </c>
      <c r="T274" s="95">
        <f>IF((P274-Q274)=1,N274,IF((P274-Q274)=-1,-M274,0))</f>
        <v/>
      </c>
      <c r="U274" s="101">
        <f>IF(AND(H274=1,LedAcct&lt;&gt;""),IF(AND(E274&gt;=LedFrom,E274&lt;=LedTo,OR(I274=LedAcct,K274=LedAcct,AND(LedAcct=acctTax,M274+N274&lt;&gt;0))),E274*10000+B274,""),"")</f>
        <v/>
      </c>
    </row>
    <row r="275">
      <c r="B275" s="101" t="n">
        <v>269</v>
      </c>
      <c r="C275" s="58" t="inlineStr">
        <is>
          <t>Transaction</t>
        </is>
      </c>
      <c r="D275" s="58">
        <f>IF(H275=1,INDEX(tx_ID,269)&amp;"","")</f>
        <v/>
      </c>
      <c r="E275" s="94">
        <f>IF(H275=1,INDEX(tx_Date,269),"")</f>
        <v/>
      </c>
      <c r="F275" s="58">
        <f>IF(H275=1,INDEX(tx_Desc,269)&amp;"","")</f>
        <v/>
      </c>
      <c r="G275" s="58">
        <f>IF(H275=1,IF(INDEX(tx_Cust,269)&amp;""&lt;&gt;"",INDEX(tx_Cust,269)&amp;"",INDEX(tx_Vend,269)&amp;""),"")</f>
        <v/>
      </c>
      <c r="H275" s="101">
        <f>IFERROR(N(INDEX(tx_Posted,269)),0)</f>
        <v/>
      </c>
      <c r="I275" s="58">
        <f>IF(H275=1,INDEX(tx_DrAcct,269)&amp;"","")</f>
        <v/>
      </c>
      <c r="J275" s="95">
        <f>IF(H275=1,INDEX(tx_DrAmt,269),0)</f>
        <v/>
      </c>
      <c r="K275" s="58">
        <f>IF(H275=1,INDEX(tx_CrAcct,269)&amp;"","")</f>
        <v/>
      </c>
      <c r="L275" s="95">
        <f>IF(H275=1,INDEX(tx_CrAmt,269),0)</f>
        <v/>
      </c>
      <c r="M275" s="95">
        <f>IF(H275=1,INDEX(tx_TaxDr,269),0)</f>
        <v/>
      </c>
      <c r="N275" s="95">
        <f>IF(H275=1,INDEX(tx_TaxCr,269),0)</f>
        <v/>
      </c>
      <c r="O275" s="101">
        <f>IF(H275=1,IF(E275&lt;FYStart,0,IF(E275&gt;FYEnd,13,YEAR(E275)*12+MONTH(E275)-FYYM+1)),"")</f>
        <v/>
      </c>
      <c r="P275" s="101">
        <f>IF(H275=1,IF(IFERROR(INDEX(coa_CF,MATCH(I275,coa_Name,0)),"")="Cash",1,0),0)</f>
        <v/>
      </c>
      <c r="Q275" s="101">
        <f>IF(H275=1,IF(IFERROR(INDEX(coa_CF,MATCH(K275,coa_Name,0)),"")="Cash",1,0),0)</f>
        <v/>
      </c>
      <c r="R275" s="58">
        <f>IF((P275-Q275)=0,"",IFERROR(INDEX(coa_CF,MATCH(IF((P275-Q275)=1,K275,I275),coa_Name,0)),"Operating"))</f>
        <v/>
      </c>
      <c r="S275" s="95">
        <f>IF((P275-Q275)=1,L275,IF((P275-Q275)=-1,-J275,0))</f>
        <v/>
      </c>
      <c r="T275" s="95">
        <f>IF((P275-Q275)=1,N275,IF((P275-Q275)=-1,-M275,0))</f>
        <v/>
      </c>
      <c r="U275" s="101">
        <f>IF(AND(H275=1,LedAcct&lt;&gt;""),IF(AND(E275&gt;=LedFrom,E275&lt;=LedTo,OR(I275=LedAcct,K275=LedAcct,AND(LedAcct=acctTax,M275+N275&lt;&gt;0))),E275*10000+B275,""),"")</f>
        <v/>
      </c>
    </row>
    <row r="276">
      <c r="B276" s="101" t="n">
        <v>270</v>
      </c>
      <c r="C276" s="58" t="inlineStr">
        <is>
          <t>Transaction</t>
        </is>
      </c>
      <c r="D276" s="58">
        <f>IF(H276=1,INDEX(tx_ID,270)&amp;"","")</f>
        <v/>
      </c>
      <c r="E276" s="94">
        <f>IF(H276=1,INDEX(tx_Date,270),"")</f>
        <v/>
      </c>
      <c r="F276" s="58">
        <f>IF(H276=1,INDEX(tx_Desc,270)&amp;"","")</f>
        <v/>
      </c>
      <c r="G276" s="58">
        <f>IF(H276=1,IF(INDEX(tx_Cust,270)&amp;""&lt;&gt;"",INDEX(tx_Cust,270)&amp;"",INDEX(tx_Vend,270)&amp;""),"")</f>
        <v/>
      </c>
      <c r="H276" s="101">
        <f>IFERROR(N(INDEX(tx_Posted,270)),0)</f>
        <v/>
      </c>
      <c r="I276" s="58">
        <f>IF(H276=1,INDEX(tx_DrAcct,270)&amp;"","")</f>
        <v/>
      </c>
      <c r="J276" s="95">
        <f>IF(H276=1,INDEX(tx_DrAmt,270),0)</f>
        <v/>
      </c>
      <c r="K276" s="58">
        <f>IF(H276=1,INDEX(tx_CrAcct,270)&amp;"","")</f>
        <v/>
      </c>
      <c r="L276" s="95">
        <f>IF(H276=1,INDEX(tx_CrAmt,270),0)</f>
        <v/>
      </c>
      <c r="M276" s="95">
        <f>IF(H276=1,INDEX(tx_TaxDr,270),0)</f>
        <v/>
      </c>
      <c r="N276" s="95">
        <f>IF(H276=1,INDEX(tx_TaxCr,270),0)</f>
        <v/>
      </c>
      <c r="O276" s="101">
        <f>IF(H276=1,IF(E276&lt;FYStart,0,IF(E276&gt;FYEnd,13,YEAR(E276)*12+MONTH(E276)-FYYM+1)),"")</f>
        <v/>
      </c>
      <c r="P276" s="101">
        <f>IF(H276=1,IF(IFERROR(INDEX(coa_CF,MATCH(I276,coa_Name,0)),"")="Cash",1,0),0)</f>
        <v/>
      </c>
      <c r="Q276" s="101">
        <f>IF(H276=1,IF(IFERROR(INDEX(coa_CF,MATCH(K276,coa_Name,0)),"")="Cash",1,0),0)</f>
        <v/>
      </c>
      <c r="R276" s="58">
        <f>IF((P276-Q276)=0,"",IFERROR(INDEX(coa_CF,MATCH(IF((P276-Q276)=1,K276,I276),coa_Name,0)),"Operating"))</f>
        <v/>
      </c>
      <c r="S276" s="95">
        <f>IF((P276-Q276)=1,L276,IF((P276-Q276)=-1,-J276,0))</f>
        <v/>
      </c>
      <c r="T276" s="95">
        <f>IF((P276-Q276)=1,N276,IF((P276-Q276)=-1,-M276,0))</f>
        <v/>
      </c>
      <c r="U276" s="101">
        <f>IF(AND(H276=1,LedAcct&lt;&gt;""),IF(AND(E276&gt;=LedFrom,E276&lt;=LedTo,OR(I276=LedAcct,K276=LedAcct,AND(LedAcct=acctTax,M276+N276&lt;&gt;0))),E276*10000+B276,""),"")</f>
        <v/>
      </c>
    </row>
    <row r="277">
      <c r="B277" s="101" t="n">
        <v>271</v>
      </c>
      <c r="C277" s="58" t="inlineStr">
        <is>
          <t>Transaction</t>
        </is>
      </c>
      <c r="D277" s="58">
        <f>IF(H277=1,INDEX(tx_ID,271)&amp;"","")</f>
        <v/>
      </c>
      <c r="E277" s="94">
        <f>IF(H277=1,INDEX(tx_Date,271),"")</f>
        <v/>
      </c>
      <c r="F277" s="58">
        <f>IF(H277=1,INDEX(tx_Desc,271)&amp;"","")</f>
        <v/>
      </c>
      <c r="G277" s="58">
        <f>IF(H277=1,IF(INDEX(tx_Cust,271)&amp;""&lt;&gt;"",INDEX(tx_Cust,271)&amp;"",INDEX(tx_Vend,271)&amp;""),"")</f>
        <v/>
      </c>
      <c r="H277" s="101">
        <f>IFERROR(N(INDEX(tx_Posted,271)),0)</f>
        <v/>
      </c>
      <c r="I277" s="58">
        <f>IF(H277=1,INDEX(tx_DrAcct,271)&amp;"","")</f>
        <v/>
      </c>
      <c r="J277" s="95">
        <f>IF(H277=1,INDEX(tx_DrAmt,271),0)</f>
        <v/>
      </c>
      <c r="K277" s="58">
        <f>IF(H277=1,INDEX(tx_CrAcct,271)&amp;"","")</f>
        <v/>
      </c>
      <c r="L277" s="95">
        <f>IF(H277=1,INDEX(tx_CrAmt,271),0)</f>
        <v/>
      </c>
      <c r="M277" s="95">
        <f>IF(H277=1,INDEX(tx_TaxDr,271),0)</f>
        <v/>
      </c>
      <c r="N277" s="95">
        <f>IF(H277=1,INDEX(tx_TaxCr,271),0)</f>
        <v/>
      </c>
      <c r="O277" s="101">
        <f>IF(H277=1,IF(E277&lt;FYStart,0,IF(E277&gt;FYEnd,13,YEAR(E277)*12+MONTH(E277)-FYYM+1)),"")</f>
        <v/>
      </c>
      <c r="P277" s="101">
        <f>IF(H277=1,IF(IFERROR(INDEX(coa_CF,MATCH(I277,coa_Name,0)),"")="Cash",1,0),0)</f>
        <v/>
      </c>
      <c r="Q277" s="101">
        <f>IF(H277=1,IF(IFERROR(INDEX(coa_CF,MATCH(K277,coa_Name,0)),"")="Cash",1,0),0)</f>
        <v/>
      </c>
      <c r="R277" s="58">
        <f>IF((P277-Q277)=0,"",IFERROR(INDEX(coa_CF,MATCH(IF((P277-Q277)=1,K277,I277),coa_Name,0)),"Operating"))</f>
        <v/>
      </c>
      <c r="S277" s="95">
        <f>IF((P277-Q277)=1,L277,IF((P277-Q277)=-1,-J277,0))</f>
        <v/>
      </c>
      <c r="T277" s="95">
        <f>IF((P277-Q277)=1,N277,IF((P277-Q277)=-1,-M277,0))</f>
        <v/>
      </c>
      <c r="U277" s="101">
        <f>IF(AND(H277=1,LedAcct&lt;&gt;""),IF(AND(E277&gt;=LedFrom,E277&lt;=LedTo,OR(I277=LedAcct,K277=LedAcct,AND(LedAcct=acctTax,M277+N277&lt;&gt;0))),E277*10000+B277,""),"")</f>
        <v/>
      </c>
    </row>
    <row r="278">
      <c r="B278" s="101" t="n">
        <v>272</v>
      </c>
      <c r="C278" s="58" t="inlineStr">
        <is>
          <t>Transaction</t>
        </is>
      </c>
      <c r="D278" s="58">
        <f>IF(H278=1,INDEX(tx_ID,272)&amp;"","")</f>
        <v/>
      </c>
      <c r="E278" s="94">
        <f>IF(H278=1,INDEX(tx_Date,272),"")</f>
        <v/>
      </c>
      <c r="F278" s="58">
        <f>IF(H278=1,INDEX(tx_Desc,272)&amp;"","")</f>
        <v/>
      </c>
      <c r="G278" s="58">
        <f>IF(H278=1,IF(INDEX(tx_Cust,272)&amp;""&lt;&gt;"",INDEX(tx_Cust,272)&amp;"",INDEX(tx_Vend,272)&amp;""),"")</f>
        <v/>
      </c>
      <c r="H278" s="101">
        <f>IFERROR(N(INDEX(tx_Posted,272)),0)</f>
        <v/>
      </c>
      <c r="I278" s="58">
        <f>IF(H278=1,INDEX(tx_DrAcct,272)&amp;"","")</f>
        <v/>
      </c>
      <c r="J278" s="95">
        <f>IF(H278=1,INDEX(tx_DrAmt,272),0)</f>
        <v/>
      </c>
      <c r="K278" s="58">
        <f>IF(H278=1,INDEX(tx_CrAcct,272)&amp;"","")</f>
        <v/>
      </c>
      <c r="L278" s="95">
        <f>IF(H278=1,INDEX(tx_CrAmt,272),0)</f>
        <v/>
      </c>
      <c r="M278" s="95">
        <f>IF(H278=1,INDEX(tx_TaxDr,272),0)</f>
        <v/>
      </c>
      <c r="N278" s="95">
        <f>IF(H278=1,INDEX(tx_TaxCr,272),0)</f>
        <v/>
      </c>
      <c r="O278" s="101">
        <f>IF(H278=1,IF(E278&lt;FYStart,0,IF(E278&gt;FYEnd,13,YEAR(E278)*12+MONTH(E278)-FYYM+1)),"")</f>
        <v/>
      </c>
      <c r="P278" s="101">
        <f>IF(H278=1,IF(IFERROR(INDEX(coa_CF,MATCH(I278,coa_Name,0)),"")="Cash",1,0),0)</f>
        <v/>
      </c>
      <c r="Q278" s="101">
        <f>IF(H278=1,IF(IFERROR(INDEX(coa_CF,MATCH(K278,coa_Name,0)),"")="Cash",1,0),0)</f>
        <v/>
      </c>
      <c r="R278" s="58">
        <f>IF((P278-Q278)=0,"",IFERROR(INDEX(coa_CF,MATCH(IF((P278-Q278)=1,K278,I278),coa_Name,0)),"Operating"))</f>
        <v/>
      </c>
      <c r="S278" s="95">
        <f>IF((P278-Q278)=1,L278,IF((P278-Q278)=-1,-J278,0))</f>
        <v/>
      </c>
      <c r="T278" s="95">
        <f>IF((P278-Q278)=1,N278,IF((P278-Q278)=-1,-M278,0))</f>
        <v/>
      </c>
      <c r="U278" s="101">
        <f>IF(AND(H278=1,LedAcct&lt;&gt;""),IF(AND(E278&gt;=LedFrom,E278&lt;=LedTo,OR(I278=LedAcct,K278=LedAcct,AND(LedAcct=acctTax,M278+N278&lt;&gt;0))),E278*10000+B278,""),"")</f>
        <v/>
      </c>
    </row>
    <row r="279">
      <c r="B279" s="101" t="n">
        <v>273</v>
      </c>
      <c r="C279" s="58" t="inlineStr">
        <is>
          <t>Transaction</t>
        </is>
      </c>
      <c r="D279" s="58">
        <f>IF(H279=1,INDEX(tx_ID,273)&amp;"","")</f>
        <v/>
      </c>
      <c r="E279" s="94">
        <f>IF(H279=1,INDEX(tx_Date,273),"")</f>
        <v/>
      </c>
      <c r="F279" s="58">
        <f>IF(H279=1,INDEX(tx_Desc,273)&amp;"","")</f>
        <v/>
      </c>
      <c r="G279" s="58">
        <f>IF(H279=1,IF(INDEX(tx_Cust,273)&amp;""&lt;&gt;"",INDEX(tx_Cust,273)&amp;"",INDEX(tx_Vend,273)&amp;""),"")</f>
        <v/>
      </c>
      <c r="H279" s="101">
        <f>IFERROR(N(INDEX(tx_Posted,273)),0)</f>
        <v/>
      </c>
      <c r="I279" s="58">
        <f>IF(H279=1,INDEX(tx_DrAcct,273)&amp;"","")</f>
        <v/>
      </c>
      <c r="J279" s="95">
        <f>IF(H279=1,INDEX(tx_DrAmt,273),0)</f>
        <v/>
      </c>
      <c r="K279" s="58">
        <f>IF(H279=1,INDEX(tx_CrAcct,273)&amp;"","")</f>
        <v/>
      </c>
      <c r="L279" s="95">
        <f>IF(H279=1,INDEX(tx_CrAmt,273),0)</f>
        <v/>
      </c>
      <c r="M279" s="95">
        <f>IF(H279=1,INDEX(tx_TaxDr,273),0)</f>
        <v/>
      </c>
      <c r="N279" s="95">
        <f>IF(H279=1,INDEX(tx_TaxCr,273),0)</f>
        <v/>
      </c>
      <c r="O279" s="101">
        <f>IF(H279=1,IF(E279&lt;FYStart,0,IF(E279&gt;FYEnd,13,YEAR(E279)*12+MONTH(E279)-FYYM+1)),"")</f>
        <v/>
      </c>
      <c r="P279" s="101">
        <f>IF(H279=1,IF(IFERROR(INDEX(coa_CF,MATCH(I279,coa_Name,0)),"")="Cash",1,0),0)</f>
        <v/>
      </c>
      <c r="Q279" s="101">
        <f>IF(H279=1,IF(IFERROR(INDEX(coa_CF,MATCH(K279,coa_Name,0)),"")="Cash",1,0),0)</f>
        <v/>
      </c>
      <c r="R279" s="58">
        <f>IF((P279-Q279)=0,"",IFERROR(INDEX(coa_CF,MATCH(IF((P279-Q279)=1,K279,I279),coa_Name,0)),"Operating"))</f>
        <v/>
      </c>
      <c r="S279" s="95">
        <f>IF((P279-Q279)=1,L279,IF((P279-Q279)=-1,-J279,0))</f>
        <v/>
      </c>
      <c r="T279" s="95">
        <f>IF((P279-Q279)=1,N279,IF((P279-Q279)=-1,-M279,0))</f>
        <v/>
      </c>
      <c r="U279" s="101">
        <f>IF(AND(H279=1,LedAcct&lt;&gt;""),IF(AND(E279&gt;=LedFrom,E279&lt;=LedTo,OR(I279=LedAcct,K279=LedAcct,AND(LedAcct=acctTax,M279+N279&lt;&gt;0))),E279*10000+B279,""),"")</f>
        <v/>
      </c>
    </row>
    <row r="280">
      <c r="B280" s="101" t="n">
        <v>274</v>
      </c>
      <c r="C280" s="58" t="inlineStr">
        <is>
          <t>Transaction</t>
        </is>
      </c>
      <c r="D280" s="58">
        <f>IF(H280=1,INDEX(tx_ID,274)&amp;"","")</f>
        <v/>
      </c>
      <c r="E280" s="94">
        <f>IF(H280=1,INDEX(tx_Date,274),"")</f>
        <v/>
      </c>
      <c r="F280" s="58">
        <f>IF(H280=1,INDEX(tx_Desc,274)&amp;"","")</f>
        <v/>
      </c>
      <c r="G280" s="58">
        <f>IF(H280=1,IF(INDEX(tx_Cust,274)&amp;""&lt;&gt;"",INDEX(tx_Cust,274)&amp;"",INDEX(tx_Vend,274)&amp;""),"")</f>
        <v/>
      </c>
      <c r="H280" s="101">
        <f>IFERROR(N(INDEX(tx_Posted,274)),0)</f>
        <v/>
      </c>
      <c r="I280" s="58">
        <f>IF(H280=1,INDEX(tx_DrAcct,274)&amp;"","")</f>
        <v/>
      </c>
      <c r="J280" s="95">
        <f>IF(H280=1,INDEX(tx_DrAmt,274),0)</f>
        <v/>
      </c>
      <c r="K280" s="58">
        <f>IF(H280=1,INDEX(tx_CrAcct,274)&amp;"","")</f>
        <v/>
      </c>
      <c r="L280" s="95">
        <f>IF(H280=1,INDEX(tx_CrAmt,274),0)</f>
        <v/>
      </c>
      <c r="M280" s="95">
        <f>IF(H280=1,INDEX(tx_TaxDr,274),0)</f>
        <v/>
      </c>
      <c r="N280" s="95">
        <f>IF(H280=1,INDEX(tx_TaxCr,274),0)</f>
        <v/>
      </c>
      <c r="O280" s="101">
        <f>IF(H280=1,IF(E280&lt;FYStart,0,IF(E280&gt;FYEnd,13,YEAR(E280)*12+MONTH(E280)-FYYM+1)),"")</f>
        <v/>
      </c>
      <c r="P280" s="101">
        <f>IF(H280=1,IF(IFERROR(INDEX(coa_CF,MATCH(I280,coa_Name,0)),"")="Cash",1,0),0)</f>
        <v/>
      </c>
      <c r="Q280" s="101">
        <f>IF(H280=1,IF(IFERROR(INDEX(coa_CF,MATCH(K280,coa_Name,0)),"")="Cash",1,0),0)</f>
        <v/>
      </c>
      <c r="R280" s="58">
        <f>IF((P280-Q280)=0,"",IFERROR(INDEX(coa_CF,MATCH(IF((P280-Q280)=1,K280,I280),coa_Name,0)),"Operating"))</f>
        <v/>
      </c>
      <c r="S280" s="95">
        <f>IF((P280-Q280)=1,L280,IF((P280-Q280)=-1,-J280,0))</f>
        <v/>
      </c>
      <c r="T280" s="95">
        <f>IF((P280-Q280)=1,N280,IF((P280-Q280)=-1,-M280,0))</f>
        <v/>
      </c>
      <c r="U280" s="101">
        <f>IF(AND(H280=1,LedAcct&lt;&gt;""),IF(AND(E280&gt;=LedFrom,E280&lt;=LedTo,OR(I280=LedAcct,K280=LedAcct,AND(LedAcct=acctTax,M280+N280&lt;&gt;0))),E280*10000+B280,""),"")</f>
        <v/>
      </c>
    </row>
    <row r="281">
      <c r="B281" s="101" t="n">
        <v>275</v>
      </c>
      <c r="C281" s="58" t="inlineStr">
        <is>
          <t>Transaction</t>
        </is>
      </c>
      <c r="D281" s="58">
        <f>IF(H281=1,INDEX(tx_ID,275)&amp;"","")</f>
        <v/>
      </c>
      <c r="E281" s="94">
        <f>IF(H281=1,INDEX(tx_Date,275),"")</f>
        <v/>
      </c>
      <c r="F281" s="58">
        <f>IF(H281=1,INDEX(tx_Desc,275)&amp;"","")</f>
        <v/>
      </c>
      <c r="G281" s="58">
        <f>IF(H281=1,IF(INDEX(tx_Cust,275)&amp;""&lt;&gt;"",INDEX(tx_Cust,275)&amp;"",INDEX(tx_Vend,275)&amp;""),"")</f>
        <v/>
      </c>
      <c r="H281" s="101">
        <f>IFERROR(N(INDEX(tx_Posted,275)),0)</f>
        <v/>
      </c>
      <c r="I281" s="58">
        <f>IF(H281=1,INDEX(tx_DrAcct,275)&amp;"","")</f>
        <v/>
      </c>
      <c r="J281" s="95">
        <f>IF(H281=1,INDEX(tx_DrAmt,275),0)</f>
        <v/>
      </c>
      <c r="K281" s="58">
        <f>IF(H281=1,INDEX(tx_CrAcct,275)&amp;"","")</f>
        <v/>
      </c>
      <c r="L281" s="95">
        <f>IF(H281=1,INDEX(tx_CrAmt,275),0)</f>
        <v/>
      </c>
      <c r="M281" s="95">
        <f>IF(H281=1,INDEX(tx_TaxDr,275),0)</f>
        <v/>
      </c>
      <c r="N281" s="95">
        <f>IF(H281=1,INDEX(tx_TaxCr,275),0)</f>
        <v/>
      </c>
      <c r="O281" s="101">
        <f>IF(H281=1,IF(E281&lt;FYStart,0,IF(E281&gt;FYEnd,13,YEAR(E281)*12+MONTH(E281)-FYYM+1)),"")</f>
        <v/>
      </c>
      <c r="P281" s="101">
        <f>IF(H281=1,IF(IFERROR(INDEX(coa_CF,MATCH(I281,coa_Name,0)),"")="Cash",1,0),0)</f>
        <v/>
      </c>
      <c r="Q281" s="101">
        <f>IF(H281=1,IF(IFERROR(INDEX(coa_CF,MATCH(K281,coa_Name,0)),"")="Cash",1,0),0)</f>
        <v/>
      </c>
      <c r="R281" s="58">
        <f>IF((P281-Q281)=0,"",IFERROR(INDEX(coa_CF,MATCH(IF((P281-Q281)=1,K281,I281),coa_Name,0)),"Operating"))</f>
        <v/>
      </c>
      <c r="S281" s="95">
        <f>IF((P281-Q281)=1,L281,IF((P281-Q281)=-1,-J281,0))</f>
        <v/>
      </c>
      <c r="T281" s="95">
        <f>IF((P281-Q281)=1,N281,IF((P281-Q281)=-1,-M281,0))</f>
        <v/>
      </c>
      <c r="U281" s="101">
        <f>IF(AND(H281=1,LedAcct&lt;&gt;""),IF(AND(E281&gt;=LedFrom,E281&lt;=LedTo,OR(I281=LedAcct,K281=LedAcct,AND(LedAcct=acctTax,M281+N281&lt;&gt;0))),E281*10000+B281,""),"")</f>
        <v/>
      </c>
    </row>
    <row r="282">
      <c r="B282" s="101" t="n">
        <v>276</v>
      </c>
      <c r="C282" s="58" t="inlineStr">
        <is>
          <t>Transaction</t>
        </is>
      </c>
      <c r="D282" s="58">
        <f>IF(H282=1,INDEX(tx_ID,276)&amp;"","")</f>
        <v/>
      </c>
      <c r="E282" s="94">
        <f>IF(H282=1,INDEX(tx_Date,276),"")</f>
        <v/>
      </c>
      <c r="F282" s="58">
        <f>IF(H282=1,INDEX(tx_Desc,276)&amp;"","")</f>
        <v/>
      </c>
      <c r="G282" s="58">
        <f>IF(H282=1,IF(INDEX(tx_Cust,276)&amp;""&lt;&gt;"",INDEX(tx_Cust,276)&amp;"",INDEX(tx_Vend,276)&amp;""),"")</f>
        <v/>
      </c>
      <c r="H282" s="101">
        <f>IFERROR(N(INDEX(tx_Posted,276)),0)</f>
        <v/>
      </c>
      <c r="I282" s="58">
        <f>IF(H282=1,INDEX(tx_DrAcct,276)&amp;"","")</f>
        <v/>
      </c>
      <c r="J282" s="95">
        <f>IF(H282=1,INDEX(tx_DrAmt,276),0)</f>
        <v/>
      </c>
      <c r="K282" s="58">
        <f>IF(H282=1,INDEX(tx_CrAcct,276)&amp;"","")</f>
        <v/>
      </c>
      <c r="L282" s="95">
        <f>IF(H282=1,INDEX(tx_CrAmt,276),0)</f>
        <v/>
      </c>
      <c r="M282" s="95">
        <f>IF(H282=1,INDEX(tx_TaxDr,276),0)</f>
        <v/>
      </c>
      <c r="N282" s="95">
        <f>IF(H282=1,INDEX(tx_TaxCr,276),0)</f>
        <v/>
      </c>
      <c r="O282" s="101">
        <f>IF(H282=1,IF(E282&lt;FYStart,0,IF(E282&gt;FYEnd,13,YEAR(E282)*12+MONTH(E282)-FYYM+1)),"")</f>
        <v/>
      </c>
      <c r="P282" s="101">
        <f>IF(H282=1,IF(IFERROR(INDEX(coa_CF,MATCH(I282,coa_Name,0)),"")="Cash",1,0),0)</f>
        <v/>
      </c>
      <c r="Q282" s="101">
        <f>IF(H282=1,IF(IFERROR(INDEX(coa_CF,MATCH(K282,coa_Name,0)),"")="Cash",1,0),0)</f>
        <v/>
      </c>
      <c r="R282" s="58">
        <f>IF((P282-Q282)=0,"",IFERROR(INDEX(coa_CF,MATCH(IF((P282-Q282)=1,K282,I282),coa_Name,0)),"Operating"))</f>
        <v/>
      </c>
      <c r="S282" s="95">
        <f>IF((P282-Q282)=1,L282,IF((P282-Q282)=-1,-J282,0))</f>
        <v/>
      </c>
      <c r="T282" s="95">
        <f>IF((P282-Q282)=1,N282,IF((P282-Q282)=-1,-M282,0))</f>
        <v/>
      </c>
      <c r="U282" s="101">
        <f>IF(AND(H282=1,LedAcct&lt;&gt;""),IF(AND(E282&gt;=LedFrom,E282&lt;=LedTo,OR(I282=LedAcct,K282=LedAcct,AND(LedAcct=acctTax,M282+N282&lt;&gt;0))),E282*10000+B282,""),"")</f>
        <v/>
      </c>
    </row>
    <row r="283">
      <c r="B283" s="101" t="n">
        <v>277</v>
      </c>
      <c r="C283" s="58" t="inlineStr">
        <is>
          <t>Transaction</t>
        </is>
      </c>
      <c r="D283" s="58">
        <f>IF(H283=1,INDEX(tx_ID,277)&amp;"","")</f>
        <v/>
      </c>
      <c r="E283" s="94">
        <f>IF(H283=1,INDEX(tx_Date,277),"")</f>
        <v/>
      </c>
      <c r="F283" s="58">
        <f>IF(H283=1,INDEX(tx_Desc,277)&amp;"","")</f>
        <v/>
      </c>
      <c r="G283" s="58">
        <f>IF(H283=1,IF(INDEX(tx_Cust,277)&amp;""&lt;&gt;"",INDEX(tx_Cust,277)&amp;"",INDEX(tx_Vend,277)&amp;""),"")</f>
        <v/>
      </c>
      <c r="H283" s="101">
        <f>IFERROR(N(INDEX(tx_Posted,277)),0)</f>
        <v/>
      </c>
      <c r="I283" s="58">
        <f>IF(H283=1,INDEX(tx_DrAcct,277)&amp;"","")</f>
        <v/>
      </c>
      <c r="J283" s="95">
        <f>IF(H283=1,INDEX(tx_DrAmt,277),0)</f>
        <v/>
      </c>
      <c r="K283" s="58">
        <f>IF(H283=1,INDEX(tx_CrAcct,277)&amp;"","")</f>
        <v/>
      </c>
      <c r="L283" s="95">
        <f>IF(H283=1,INDEX(tx_CrAmt,277),0)</f>
        <v/>
      </c>
      <c r="M283" s="95">
        <f>IF(H283=1,INDEX(tx_TaxDr,277),0)</f>
        <v/>
      </c>
      <c r="N283" s="95">
        <f>IF(H283=1,INDEX(tx_TaxCr,277),0)</f>
        <v/>
      </c>
      <c r="O283" s="101">
        <f>IF(H283=1,IF(E283&lt;FYStart,0,IF(E283&gt;FYEnd,13,YEAR(E283)*12+MONTH(E283)-FYYM+1)),"")</f>
        <v/>
      </c>
      <c r="P283" s="101">
        <f>IF(H283=1,IF(IFERROR(INDEX(coa_CF,MATCH(I283,coa_Name,0)),"")="Cash",1,0),0)</f>
        <v/>
      </c>
      <c r="Q283" s="101">
        <f>IF(H283=1,IF(IFERROR(INDEX(coa_CF,MATCH(K283,coa_Name,0)),"")="Cash",1,0),0)</f>
        <v/>
      </c>
      <c r="R283" s="58">
        <f>IF((P283-Q283)=0,"",IFERROR(INDEX(coa_CF,MATCH(IF((P283-Q283)=1,K283,I283),coa_Name,0)),"Operating"))</f>
        <v/>
      </c>
      <c r="S283" s="95">
        <f>IF((P283-Q283)=1,L283,IF((P283-Q283)=-1,-J283,0))</f>
        <v/>
      </c>
      <c r="T283" s="95">
        <f>IF((P283-Q283)=1,N283,IF((P283-Q283)=-1,-M283,0))</f>
        <v/>
      </c>
      <c r="U283" s="101">
        <f>IF(AND(H283=1,LedAcct&lt;&gt;""),IF(AND(E283&gt;=LedFrom,E283&lt;=LedTo,OR(I283=LedAcct,K283=LedAcct,AND(LedAcct=acctTax,M283+N283&lt;&gt;0))),E283*10000+B283,""),"")</f>
        <v/>
      </c>
    </row>
    <row r="284">
      <c r="B284" s="101" t="n">
        <v>278</v>
      </c>
      <c r="C284" s="58" t="inlineStr">
        <is>
          <t>Transaction</t>
        </is>
      </c>
      <c r="D284" s="58">
        <f>IF(H284=1,INDEX(tx_ID,278)&amp;"","")</f>
        <v/>
      </c>
      <c r="E284" s="94">
        <f>IF(H284=1,INDEX(tx_Date,278),"")</f>
        <v/>
      </c>
      <c r="F284" s="58">
        <f>IF(H284=1,INDEX(tx_Desc,278)&amp;"","")</f>
        <v/>
      </c>
      <c r="G284" s="58">
        <f>IF(H284=1,IF(INDEX(tx_Cust,278)&amp;""&lt;&gt;"",INDEX(tx_Cust,278)&amp;"",INDEX(tx_Vend,278)&amp;""),"")</f>
        <v/>
      </c>
      <c r="H284" s="101">
        <f>IFERROR(N(INDEX(tx_Posted,278)),0)</f>
        <v/>
      </c>
      <c r="I284" s="58">
        <f>IF(H284=1,INDEX(tx_DrAcct,278)&amp;"","")</f>
        <v/>
      </c>
      <c r="J284" s="95">
        <f>IF(H284=1,INDEX(tx_DrAmt,278),0)</f>
        <v/>
      </c>
      <c r="K284" s="58">
        <f>IF(H284=1,INDEX(tx_CrAcct,278)&amp;"","")</f>
        <v/>
      </c>
      <c r="L284" s="95">
        <f>IF(H284=1,INDEX(tx_CrAmt,278),0)</f>
        <v/>
      </c>
      <c r="M284" s="95">
        <f>IF(H284=1,INDEX(tx_TaxDr,278),0)</f>
        <v/>
      </c>
      <c r="N284" s="95">
        <f>IF(H284=1,INDEX(tx_TaxCr,278),0)</f>
        <v/>
      </c>
      <c r="O284" s="101">
        <f>IF(H284=1,IF(E284&lt;FYStart,0,IF(E284&gt;FYEnd,13,YEAR(E284)*12+MONTH(E284)-FYYM+1)),"")</f>
        <v/>
      </c>
      <c r="P284" s="101">
        <f>IF(H284=1,IF(IFERROR(INDEX(coa_CF,MATCH(I284,coa_Name,0)),"")="Cash",1,0),0)</f>
        <v/>
      </c>
      <c r="Q284" s="101">
        <f>IF(H284=1,IF(IFERROR(INDEX(coa_CF,MATCH(K284,coa_Name,0)),"")="Cash",1,0),0)</f>
        <v/>
      </c>
      <c r="R284" s="58">
        <f>IF((P284-Q284)=0,"",IFERROR(INDEX(coa_CF,MATCH(IF((P284-Q284)=1,K284,I284),coa_Name,0)),"Operating"))</f>
        <v/>
      </c>
      <c r="S284" s="95">
        <f>IF((P284-Q284)=1,L284,IF((P284-Q284)=-1,-J284,0))</f>
        <v/>
      </c>
      <c r="T284" s="95">
        <f>IF((P284-Q284)=1,N284,IF((P284-Q284)=-1,-M284,0))</f>
        <v/>
      </c>
      <c r="U284" s="101">
        <f>IF(AND(H284=1,LedAcct&lt;&gt;""),IF(AND(E284&gt;=LedFrom,E284&lt;=LedTo,OR(I284=LedAcct,K284=LedAcct,AND(LedAcct=acctTax,M284+N284&lt;&gt;0))),E284*10000+B284,""),"")</f>
        <v/>
      </c>
    </row>
    <row r="285">
      <c r="B285" s="101" t="n">
        <v>279</v>
      </c>
      <c r="C285" s="58" t="inlineStr">
        <is>
          <t>Transaction</t>
        </is>
      </c>
      <c r="D285" s="58">
        <f>IF(H285=1,INDEX(tx_ID,279)&amp;"","")</f>
        <v/>
      </c>
      <c r="E285" s="94">
        <f>IF(H285=1,INDEX(tx_Date,279),"")</f>
        <v/>
      </c>
      <c r="F285" s="58">
        <f>IF(H285=1,INDEX(tx_Desc,279)&amp;"","")</f>
        <v/>
      </c>
      <c r="G285" s="58">
        <f>IF(H285=1,IF(INDEX(tx_Cust,279)&amp;""&lt;&gt;"",INDEX(tx_Cust,279)&amp;"",INDEX(tx_Vend,279)&amp;""),"")</f>
        <v/>
      </c>
      <c r="H285" s="101">
        <f>IFERROR(N(INDEX(tx_Posted,279)),0)</f>
        <v/>
      </c>
      <c r="I285" s="58">
        <f>IF(H285=1,INDEX(tx_DrAcct,279)&amp;"","")</f>
        <v/>
      </c>
      <c r="J285" s="95">
        <f>IF(H285=1,INDEX(tx_DrAmt,279),0)</f>
        <v/>
      </c>
      <c r="K285" s="58">
        <f>IF(H285=1,INDEX(tx_CrAcct,279)&amp;"","")</f>
        <v/>
      </c>
      <c r="L285" s="95">
        <f>IF(H285=1,INDEX(tx_CrAmt,279),0)</f>
        <v/>
      </c>
      <c r="M285" s="95">
        <f>IF(H285=1,INDEX(tx_TaxDr,279),0)</f>
        <v/>
      </c>
      <c r="N285" s="95">
        <f>IF(H285=1,INDEX(tx_TaxCr,279),0)</f>
        <v/>
      </c>
      <c r="O285" s="101">
        <f>IF(H285=1,IF(E285&lt;FYStart,0,IF(E285&gt;FYEnd,13,YEAR(E285)*12+MONTH(E285)-FYYM+1)),"")</f>
        <v/>
      </c>
      <c r="P285" s="101">
        <f>IF(H285=1,IF(IFERROR(INDEX(coa_CF,MATCH(I285,coa_Name,0)),"")="Cash",1,0),0)</f>
        <v/>
      </c>
      <c r="Q285" s="101">
        <f>IF(H285=1,IF(IFERROR(INDEX(coa_CF,MATCH(K285,coa_Name,0)),"")="Cash",1,0),0)</f>
        <v/>
      </c>
      <c r="R285" s="58">
        <f>IF((P285-Q285)=0,"",IFERROR(INDEX(coa_CF,MATCH(IF((P285-Q285)=1,K285,I285),coa_Name,0)),"Operating"))</f>
        <v/>
      </c>
      <c r="S285" s="95">
        <f>IF((P285-Q285)=1,L285,IF((P285-Q285)=-1,-J285,0))</f>
        <v/>
      </c>
      <c r="T285" s="95">
        <f>IF((P285-Q285)=1,N285,IF((P285-Q285)=-1,-M285,0))</f>
        <v/>
      </c>
      <c r="U285" s="101">
        <f>IF(AND(H285=1,LedAcct&lt;&gt;""),IF(AND(E285&gt;=LedFrom,E285&lt;=LedTo,OR(I285=LedAcct,K285=LedAcct,AND(LedAcct=acctTax,M285+N285&lt;&gt;0))),E285*10000+B285,""),"")</f>
        <v/>
      </c>
    </row>
    <row r="286">
      <c r="B286" s="101" t="n">
        <v>280</v>
      </c>
      <c r="C286" s="58" t="inlineStr">
        <is>
          <t>Transaction</t>
        </is>
      </c>
      <c r="D286" s="58">
        <f>IF(H286=1,INDEX(tx_ID,280)&amp;"","")</f>
        <v/>
      </c>
      <c r="E286" s="94">
        <f>IF(H286=1,INDEX(tx_Date,280),"")</f>
        <v/>
      </c>
      <c r="F286" s="58">
        <f>IF(H286=1,INDEX(tx_Desc,280)&amp;"","")</f>
        <v/>
      </c>
      <c r="G286" s="58">
        <f>IF(H286=1,IF(INDEX(tx_Cust,280)&amp;""&lt;&gt;"",INDEX(tx_Cust,280)&amp;"",INDEX(tx_Vend,280)&amp;""),"")</f>
        <v/>
      </c>
      <c r="H286" s="101">
        <f>IFERROR(N(INDEX(tx_Posted,280)),0)</f>
        <v/>
      </c>
      <c r="I286" s="58">
        <f>IF(H286=1,INDEX(tx_DrAcct,280)&amp;"","")</f>
        <v/>
      </c>
      <c r="J286" s="95">
        <f>IF(H286=1,INDEX(tx_DrAmt,280),0)</f>
        <v/>
      </c>
      <c r="K286" s="58">
        <f>IF(H286=1,INDEX(tx_CrAcct,280)&amp;"","")</f>
        <v/>
      </c>
      <c r="L286" s="95">
        <f>IF(H286=1,INDEX(tx_CrAmt,280),0)</f>
        <v/>
      </c>
      <c r="M286" s="95">
        <f>IF(H286=1,INDEX(tx_TaxDr,280),0)</f>
        <v/>
      </c>
      <c r="N286" s="95">
        <f>IF(H286=1,INDEX(tx_TaxCr,280),0)</f>
        <v/>
      </c>
      <c r="O286" s="101">
        <f>IF(H286=1,IF(E286&lt;FYStart,0,IF(E286&gt;FYEnd,13,YEAR(E286)*12+MONTH(E286)-FYYM+1)),"")</f>
        <v/>
      </c>
      <c r="P286" s="101">
        <f>IF(H286=1,IF(IFERROR(INDEX(coa_CF,MATCH(I286,coa_Name,0)),"")="Cash",1,0),0)</f>
        <v/>
      </c>
      <c r="Q286" s="101">
        <f>IF(H286=1,IF(IFERROR(INDEX(coa_CF,MATCH(K286,coa_Name,0)),"")="Cash",1,0),0)</f>
        <v/>
      </c>
      <c r="R286" s="58">
        <f>IF((P286-Q286)=0,"",IFERROR(INDEX(coa_CF,MATCH(IF((P286-Q286)=1,K286,I286),coa_Name,0)),"Operating"))</f>
        <v/>
      </c>
      <c r="S286" s="95">
        <f>IF((P286-Q286)=1,L286,IF((P286-Q286)=-1,-J286,0))</f>
        <v/>
      </c>
      <c r="T286" s="95">
        <f>IF((P286-Q286)=1,N286,IF((P286-Q286)=-1,-M286,0))</f>
        <v/>
      </c>
      <c r="U286" s="101">
        <f>IF(AND(H286=1,LedAcct&lt;&gt;""),IF(AND(E286&gt;=LedFrom,E286&lt;=LedTo,OR(I286=LedAcct,K286=LedAcct,AND(LedAcct=acctTax,M286+N286&lt;&gt;0))),E286*10000+B286,""),"")</f>
        <v/>
      </c>
    </row>
    <row r="287">
      <c r="B287" s="101" t="n">
        <v>281</v>
      </c>
      <c r="C287" s="58" t="inlineStr">
        <is>
          <t>Transaction</t>
        </is>
      </c>
      <c r="D287" s="58">
        <f>IF(H287=1,INDEX(tx_ID,281)&amp;"","")</f>
        <v/>
      </c>
      <c r="E287" s="94">
        <f>IF(H287=1,INDEX(tx_Date,281),"")</f>
        <v/>
      </c>
      <c r="F287" s="58">
        <f>IF(H287=1,INDEX(tx_Desc,281)&amp;"","")</f>
        <v/>
      </c>
      <c r="G287" s="58">
        <f>IF(H287=1,IF(INDEX(tx_Cust,281)&amp;""&lt;&gt;"",INDEX(tx_Cust,281)&amp;"",INDEX(tx_Vend,281)&amp;""),"")</f>
        <v/>
      </c>
      <c r="H287" s="101">
        <f>IFERROR(N(INDEX(tx_Posted,281)),0)</f>
        <v/>
      </c>
      <c r="I287" s="58">
        <f>IF(H287=1,INDEX(tx_DrAcct,281)&amp;"","")</f>
        <v/>
      </c>
      <c r="J287" s="95">
        <f>IF(H287=1,INDEX(tx_DrAmt,281),0)</f>
        <v/>
      </c>
      <c r="K287" s="58">
        <f>IF(H287=1,INDEX(tx_CrAcct,281)&amp;"","")</f>
        <v/>
      </c>
      <c r="L287" s="95">
        <f>IF(H287=1,INDEX(tx_CrAmt,281),0)</f>
        <v/>
      </c>
      <c r="M287" s="95">
        <f>IF(H287=1,INDEX(tx_TaxDr,281),0)</f>
        <v/>
      </c>
      <c r="N287" s="95">
        <f>IF(H287=1,INDEX(tx_TaxCr,281),0)</f>
        <v/>
      </c>
      <c r="O287" s="101">
        <f>IF(H287=1,IF(E287&lt;FYStart,0,IF(E287&gt;FYEnd,13,YEAR(E287)*12+MONTH(E287)-FYYM+1)),"")</f>
        <v/>
      </c>
      <c r="P287" s="101">
        <f>IF(H287=1,IF(IFERROR(INDEX(coa_CF,MATCH(I287,coa_Name,0)),"")="Cash",1,0),0)</f>
        <v/>
      </c>
      <c r="Q287" s="101">
        <f>IF(H287=1,IF(IFERROR(INDEX(coa_CF,MATCH(K287,coa_Name,0)),"")="Cash",1,0),0)</f>
        <v/>
      </c>
      <c r="R287" s="58">
        <f>IF((P287-Q287)=0,"",IFERROR(INDEX(coa_CF,MATCH(IF((P287-Q287)=1,K287,I287),coa_Name,0)),"Operating"))</f>
        <v/>
      </c>
      <c r="S287" s="95">
        <f>IF((P287-Q287)=1,L287,IF((P287-Q287)=-1,-J287,0))</f>
        <v/>
      </c>
      <c r="T287" s="95">
        <f>IF((P287-Q287)=1,N287,IF((P287-Q287)=-1,-M287,0))</f>
        <v/>
      </c>
      <c r="U287" s="101">
        <f>IF(AND(H287=1,LedAcct&lt;&gt;""),IF(AND(E287&gt;=LedFrom,E287&lt;=LedTo,OR(I287=LedAcct,K287=LedAcct,AND(LedAcct=acctTax,M287+N287&lt;&gt;0))),E287*10000+B287,""),"")</f>
        <v/>
      </c>
    </row>
    <row r="288">
      <c r="B288" s="101" t="n">
        <v>282</v>
      </c>
      <c r="C288" s="58" t="inlineStr">
        <is>
          <t>Transaction</t>
        </is>
      </c>
      <c r="D288" s="58">
        <f>IF(H288=1,INDEX(tx_ID,282)&amp;"","")</f>
        <v/>
      </c>
      <c r="E288" s="94">
        <f>IF(H288=1,INDEX(tx_Date,282),"")</f>
        <v/>
      </c>
      <c r="F288" s="58">
        <f>IF(H288=1,INDEX(tx_Desc,282)&amp;"","")</f>
        <v/>
      </c>
      <c r="G288" s="58">
        <f>IF(H288=1,IF(INDEX(tx_Cust,282)&amp;""&lt;&gt;"",INDEX(tx_Cust,282)&amp;"",INDEX(tx_Vend,282)&amp;""),"")</f>
        <v/>
      </c>
      <c r="H288" s="101">
        <f>IFERROR(N(INDEX(tx_Posted,282)),0)</f>
        <v/>
      </c>
      <c r="I288" s="58">
        <f>IF(H288=1,INDEX(tx_DrAcct,282)&amp;"","")</f>
        <v/>
      </c>
      <c r="J288" s="95">
        <f>IF(H288=1,INDEX(tx_DrAmt,282),0)</f>
        <v/>
      </c>
      <c r="K288" s="58">
        <f>IF(H288=1,INDEX(tx_CrAcct,282)&amp;"","")</f>
        <v/>
      </c>
      <c r="L288" s="95">
        <f>IF(H288=1,INDEX(tx_CrAmt,282),0)</f>
        <v/>
      </c>
      <c r="M288" s="95">
        <f>IF(H288=1,INDEX(tx_TaxDr,282),0)</f>
        <v/>
      </c>
      <c r="N288" s="95">
        <f>IF(H288=1,INDEX(tx_TaxCr,282),0)</f>
        <v/>
      </c>
      <c r="O288" s="101">
        <f>IF(H288=1,IF(E288&lt;FYStart,0,IF(E288&gt;FYEnd,13,YEAR(E288)*12+MONTH(E288)-FYYM+1)),"")</f>
        <v/>
      </c>
      <c r="P288" s="101">
        <f>IF(H288=1,IF(IFERROR(INDEX(coa_CF,MATCH(I288,coa_Name,0)),"")="Cash",1,0),0)</f>
        <v/>
      </c>
      <c r="Q288" s="101">
        <f>IF(H288=1,IF(IFERROR(INDEX(coa_CF,MATCH(K288,coa_Name,0)),"")="Cash",1,0),0)</f>
        <v/>
      </c>
      <c r="R288" s="58">
        <f>IF((P288-Q288)=0,"",IFERROR(INDEX(coa_CF,MATCH(IF((P288-Q288)=1,K288,I288),coa_Name,0)),"Operating"))</f>
        <v/>
      </c>
      <c r="S288" s="95">
        <f>IF((P288-Q288)=1,L288,IF((P288-Q288)=-1,-J288,0))</f>
        <v/>
      </c>
      <c r="T288" s="95">
        <f>IF((P288-Q288)=1,N288,IF((P288-Q288)=-1,-M288,0))</f>
        <v/>
      </c>
      <c r="U288" s="101">
        <f>IF(AND(H288=1,LedAcct&lt;&gt;""),IF(AND(E288&gt;=LedFrom,E288&lt;=LedTo,OR(I288=LedAcct,K288=LedAcct,AND(LedAcct=acctTax,M288+N288&lt;&gt;0))),E288*10000+B288,""),"")</f>
        <v/>
      </c>
    </row>
    <row r="289">
      <c r="B289" s="101" t="n">
        <v>283</v>
      </c>
      <c r="C289" s="58" t="inlineStr">
        <is>
          <t>Transaction</t>
        </is>
      </c>
      <c r="D289" s="58">
        <f>IF(H289=1,INDEX(tx_ID,283)&amp;"","")</f>
        <v/>
      </c>
      <c r="E289" s="94">
        <f>IF(H289=1,INDEX(tx_Date,283),"")</f>
        <v/>
      </c>
      <c r="F289" s="58">
        <f>IF(H289=1,INDEX(tx_Desc,283)&amp;"","")</f>
        <v/>
      </c>
      <c r="G289" s="58">
        <f>IF(H289=1,IF(INDEX(tx_Cust,283)&amp;""&lt;&gt;"",INDEX(tx_Cust,283)&amp;"",INDEX(tx_Vend,283)&amp;""),"")</f>
        <v/>
      </c>
      <c r="H289" s="101">
        <f>IFERROR(N(INDEX(tx_Posted,283)),0)</f>
        <v/>
      </c>
      <c r="I289" s="58">
        <f>IF(H289=1,INDEX(tx_DrAcct,283)&amp;"","")</f>
        <v/>
      </c>
      <c r="J289" s="95">
        <f>IF(H289=1,INDEX(tx_DrAmt,283),0)</f>
        <v/>
      </c>
      <c r="K289" s="58">
        <f>IF(H289=1,INDEX(tx_CrAcct,283)&amp;"","")</f>
        <v/>
      </c>
      <c r="L289" s="95">
        <f>IF(H289=1,INDEX(tx_CrAmt,283),0)</f>
        <v/>
      </c>
      <c r="M289" s="95">
        <f>IF(H289=1,INDEX(tx_TaxDr,283),0)</f>
        <v/>
      </c>
      <c r="N289" s="95">
        <f>IF(H289=1,INDEX(tx_TaxCr,283),0)</f>
        <v/>
      </c>
      <c r="O289" s="101">
        <f>IF(H289=1,IF(E289&lt;FYStart,0,IF(E289&gt;FYEnd,13,YEAR(E289)*12+MONTH(E289)-FYYM+1)),"")</f>
        <v/>
      </c>
      <c r="P289" s="101">
        <f>IF(H289=1,IF(IFERROR(INDEX(coa_CF,MATCH(I289,coa_Name,0)),"")="Cash",1,0),0)</f>
        <v/>
      </c>
      <c r="Q289" s="101">
        <f>IF(H289=1,IF(IFERROR(INDEX(coa_CF,MATCH(K289,coa_Name,0)),"")="Cash",1,0),0)</f>
        <v/>
      </c>
      <c r="R289" s="58">
        <f>IF((P289-Q289)=0,"",IFERROR(INDEX(coa_CF,MATCH(IF((P289-Q289)=1,K289,I289),coa_Name,0)),"Operating"))</f>
        <v/>
      </c>
      <c r="S289" s="95">
        <f>IF((P289-Q289)=1,L289,IF((P289-Q289)=-1,-J289,0))</f>
        <v/>
      </c>
      <c r="T289" s="95">
        <f>IF((P289-Q289)=1,N289,IF((P289-Q289)=-1,-M289,0))</f>
        <v/>
      </c>
      <c r="U289" s="101">
        <f>IF(AND(H289=1,LedAcct&lt;&gt;""),IF(AND(E289&gt;=LedFrom,E289&lt;=LedTo,OR(I289=LedAcct,K289=LedAcct,AND(LedAcct=acctTax,M289+N289&lt;&gt;0))),E289*10000+B289,""),"")</f>
        <v/>
      </c>
    </row>
    <row r="290">
      <c r="B290" s="101" t="n">
        <v>284</v>
      </c>
      <c r="C290" s="58" t="inlineStr">
        <is>
          <t>Transaction</t>
        </is>
      </c>
      <c r="D290" s="58">
        <f>IF(H290=1,INDEX(tx_ID,284)&amp;"","")</f>
        <v/>
      </c>
      <c r="E290" s="94">
        <f>IF(H290=1,INDEX(tx_Date,284),"")</f>
        <v/>
      </c>
      <c r="F290" s="58">
        <f>IF(H290=1,INDEX(tx_Desc,284)&amp;"","")</f>
        <v/>
      </c>
      <c r="G290" s="58">
        <f>IF(H290=1,IF(INDEX(tx_Cust,284)&amp;""&lt;&gt;"",INDEX(tx_Cust,284)&amp;"",INDEX(tx_Vend,284)&amp;""),"")</f>
        <v/>
      </c>
      <c r="H290" s="101">
        <f>IFERROR(N(INDEX(tx_Posted,284)),0)</f>
        <v/>
      </c>
      <c r="I290" s="58">
        <f>IF(H290=1,INDEX(tx_DrAcct,284)&amp;"","")</f>
        <v/>
      </c>
      <c r="J290" s="95">
        <f>IF(H290=1,INDEX(tx_DrAmt,284),0)</f>
        <v/>
      </c>
      <c r="K290" s="58">
        <f>IF(H290=1,INDEX(tx_CrAcct,284)&amp;"","")</f>
        <v/>
      </c>
      <c r="L290" s="95">
        <f>IF(H290=1,INDEX(tx_CrAmt,284),0)</f>
        <v/>
      </c>
      <c r="M290" s="95">
        <f>IF(H290=1,INDEX(tx_TaxDr,284),0)</f>
        <v/>
      </c>
      <c r="N290" s="95">
        <f>IF(H290=1,INDEX(tx_TaxCr,284),0)</f>
        <v/>
      </c>
      <c r="O290" s="101">
        <f>IF(H290=1,IF(E290&lt;FYStart,0,IF(E290&gt;FYEnd,13,YEAR(E290)*12+MONTH(E290)-FYYM+1)),"")</f>
        <v/>
      </c>
      <c r="P290" s="101">
        <f>IF(H290=1,IF(IFERROR(INDEX(coa_CF,MATCH(I290,coa_Name,0)),"")="Cash",1,0),0)</f>
        <v/>
      </c>
      <c r="Q290" s="101">
        <f>IF(H290=1,IF(IFERROR(INDEX(coa_CF,MATCH(K290,coa_Name,0)),"")="Cash",1,0),0)</f>
        <v/>
      </c>
      <c r="R290" s="58">
        <f>IF((P290-Q290)=0,"",IFERROR(INDEX(coa_CF,MATCH(IF((P290-Q290)=1,K290,I290),coa_Name,0)),"Operating"))</f>
        <v/>
      </c>
      <c r="S290" s="95">
        <f>IF((P290-Q290)=1,L290,IF((P290-Q290)=-1,-J290,0))</f>
        <v/>
      </c>
      <c r="T290" s="95">
        <f>IF((P290-Q290)=1,N290,IF((P290-Q290)=-1,-M290,0))</f>
        <v/>
      </c>
      <c r="U290" s="101">
        <f>IF(AND(H290=1,LedAcct&lt;&gt;""),IF(AND(E290&gt;=LedFrom,E290&lt;=LedTo,OR(I290=LedAcct,K290=LedAcct,AND(LedAcct=acctTax,M290+N290&lt;&gt;0))),E290*10000+B290,""),"")</f>
        <v/>
      </c>
    </row>
    <row r="291">
      <c r="B291" s="101" t="n">
        <v>285</v>
      </c>
      <c r="C291" s="58" t="inlineStr">
        <is>
          <t>Transaction</t>
        </is>
      </c>
      <c r="D291" s="58">
        <f>IF(H291=1,INDEX(tx_ID,285)&amp;"","")</f>
        <v/>
      </c>
      <c r="E291" s="94">
        <f>IF(H291=1,INDEX(tx_Date,285),"")</f>
        <v/>
      </c>
      <c r="F291" s="58">
        <f>IF(H291=1,INDEX(tx_Desc,285)&amp;"","")</f>
        <v/>
      </c>
      <c r="G291" s="58">
        <f>IF(H291=1,IF(INDEX(tx_Cust,285)&amp;""&lt;&gt;"",INDEX(tx_Cust,285)&amp;"",INDEX(tx_Vend,285)&amp;""),"")</f>
        <v/>
      </c>
      <c r="H291" s="101">
        <f>IFERROR(N(INDEX(tx_Posted,285)),0)</f>
        <v/>
      </c>
      <c r="I291" s="58">
        <f>IF(H291=1,INDEX(tx_DrAcct,285)&amp;"","")</f>
        <v/>
      </c>
      <c r="J291" s="95">
        <f>IF(H291=1,INDEX(tx_DrAmt,285),0)</f>
        <v/>
      </c>
      <c r="K291" s="58">
        <f>IF(H291=1,INDEX(tx_CrAcct,285)&amp;"","")</f>
        <v/>
      </c>
      <c r="L291" s="95">
        <f>IF(H291=1,INDEX(tx_CrAmt,285),0)</f>
        <v/>
      </c>
      <c r="M291" s="95">
        <f>IF(H291=1,INDEX(tx_TaxDr,285),0)</f>
        <v/>
      </c>
      <c r="N291" s="95">
        <f>IF(H291=1,INDEX(tx_TaxCr,285),0)</f>
        <v/>
      </c>
      <c r="O291" s="101">
        <f>IF(H291=1,IF(E291&lt;FYStart,0,IF(E291&gt;FYEnd,13,YEAR(E291)*12+MONTH(E291)-FYYM+1)),"")</f>
        <v/>
      </c>
      <c r="P291" s="101">
        <f>IF(H291=1,IF(IFERROR(INDEX(coa_CF,MATCH(I291,coa_Name,0)),"")="Cash",1,0),0)</f>
        <v/>
      </c>
      <c r="Q291" s="101">
        <f>IF(H291=1,IF(IFERROR(INDEX(coa_CF,MATCH(K291,coa_Name,0)),"")="Cash",1,0),0)</f>
        <v/>
      </c>
      <c r="R291" s="58">
        <f>IF((P291-Q291)=0,"",IFERROR(INDEX(coa_CF,MATCH(IF((P291-Q291)=1,K291,I291),coa_Name,0)),"Operating"))</f>
        <v/>
      </c>
      <c r="S291" s="95">
        <f>IF((P291-Q291)=1,L291,IF((P291-Q291)=-1,-J291,0))</f>
        <v/>
      </c>
      <c r="T291" s="95">
        <f>IF((P291-Q291)=1,N291,IF((P291-Q291)=-1,-M291,0))</f>
        <v/>
      </c>
      <c r="U291" s="101">
        <f>IF(AND(H291=1,LedAcct&lt;&gt;""),IF(AND(E291&gt;=LedFrom,E291&lt;=LedTo,OR(I291=LedAcct,K291=LedAcct,AND(LedAcct=acctTax,M291+N291&lt;&gt;0))),E291*10000+B291,""),"")</f>
        <v/>
      </c>
    </row>
    <row r="292">
      <c r="B292" s="101" t="n">
        <v>286</v>
      </c>
      <c r="C292" s="58" t="inlineStr">
        <is>
          <t>Transaction</t>
        </is>
      </c>
      <c r="D292" s="58">
        <f>IF(H292=1,INDEX(tx_ID,286)&amp;"","")</f>
        <v/>
      </c>
      <c r="E292" s="94">
        <f>IF(H292=1,INDEX(tx_Date,286),"")</f>
        <v/>
      </c>
      <c r="F292" s="58">
        <f>IF(H292=1,INDEX(tx_Desc,286)&amp;"","")</f>
        <v/>
      </c>
      <c r="G292" s="58">
        <f>IF(H292=1,IF(INDEX(tx_Cust,286)&amp;""&lt;&gt;"",INDEX(tx_Cust,286)&amp;"",INDEX(tx_Vend,286)&amp;""),"")</f>
        <v/>
      </c>
      <c r="H292" s="101">
        <f>IFERROR(N(INDEX(tx_Posted,286)),0)</f>
        <v/>
      </c>
      <c r="I292" s="58">
        <f>IF(H292=1,INDEX(tx_DrAcct,286)&amp;"","")</f>
        <v/>
      </c>
      <c r="J292" s="95">
        <f>IF(H292=1,INDEX(tx_DrAmt,286),0)</f>
        <v/>
      </c>
      <c r="K292" s="58">
        <f>IF(H292=1,INDEX(tx_CrAcct,286)&amp;"","")</f>
        <v/>
      </c>
      <c r="L292" s="95">
        <f>IF(H292=1,INDEX(tx_CrAmt,286),0)</f>
        <v/>
      </c>
      <c r="M292" s="95">
        <f>IF(H292=1,INDEX(tx_TaxDr,286),0)</f>
        <v/>
      </c>
      <c r="N292" s="95">
        <f>IF(H292=1,INDEX(tx_TaxCr,286),0)</f>
        <v/>
      </c>
      <c r="O292" s="101">
        <f>IF(H292=1,IF(E292&lt;FYStart,0,IF(E292&gt;FYEnd,13,YEAR(E292)*12+MONTH(E292)-FYYM+1)),"")</f>
        <v/>
      </c>
      <c r="P292" s="101">
        <f>IF(H292=1,IF(IFERROR(INDEX(coa_CF,MATCH(I292,coa_Name,0)),"")="Cash",1,0),0)</f>
        <v/>
      </c>
      <c r="Q292" s="101">
        <f>IF(H292=1,IF(IFERROR(INDEX(coa_CF,MATCH(K292,coa_Name,0)),"")="Cash",1,0),0)</f>
        <v/>
      </c>
      <c r="R292" s="58">
        <f>IF((P292-Q292)=0,"",IFERROR(INDEX(coa_CF,MATCH(IF((P292-Q292)=1,K292,I292),coa_Name,0)),"Operating"))</f>
        <v/>
      </c>
      <c r="S292" s="95">
        <f>IF((P292-Q292)=1,L292,IF((P292-Q292)=-1,-J292,0))</f>
        <v/>
      </c>
      <c r="T292" s="95">
        <f>IF((P292-Q292)=1,N292,IF((P292-Q292)=-1,-M292,0))</f>
        <v/>
      </c>
      <c r="U292" s="101">
        <f>IF(AND(H292=1,LedAcct&lt;&gt;""),IF(AND(E292&gt;=LedFrom,E292&lt;=LedTo,OR(I292=LedAcct,K292=LedAcct,AND(LedAcct=acctTax,M292+N292&lt;&gt;0))),E292*10000+B292,""),"")</f>
        <v/>
      </c>
    </row>
    <row r="293">
      <c r="B293" s="101" t="n">
        <v>287</v>
      </c>
      <c r="C293" s="58" t="inlineStr">
        <is>
          <t>Transaction</t>
        </is>
      </c>
      <c r="D293" s="58">
        <f>IF(H293=1,INDEX(tx_ID,287)&amp;"","")</f>
        <v/>
      </c>
      <c r="E293" s="94">
        <f>IF(H293=1,INDEX(tx_Date,287),"")</f>
        <v/>
      </c>
      <c r="F293" s="58">
        <f>IF(H293=1,INDEX(tx_Desc,287)&amp;"","")</f>
        <v/>
      </c>
      <c r="G293" s="58">
        <f>IF(H293=1,IF(INDEX(tx_Cust,287)&amp;""&lt;&gt;"",INDEX(tx_Cust,287)&amp;"",INDEX(tx_Vend,287)&amp;""),"")</f>
        <v/>
      </c>
      <c r="H293" s="101">
        <f>IFERROR(N(INDEX(tx_Posted,287)),0)</f>
        <v/>
      </c>
      <c r="I293" s="58">
        <f>IF(H293=1,INDEX(tx_DrAcct,287)&amp;"","")</f>
        <v/>
      </c>
      <c r="J293" s="95">
        <f>IF(H293=1,INDEX(tx_DrAmt,287),0)</f>
        <v/>
      </c>
      <c r="K293" s="58">
        <f>IF(H293=1,INDEX(tx_CrAcct,287)&amp;"","")</f>
        <v/>
      </c>
      <c r="L293" s="95">
        <f>IF(H293=1,INDEX(tx_CrAmt,287),0)</f>
        <v/>
      </c>
      <c r="M293" s="95">
        <f>IF(H293=1,INDEX(tx_TaxDr,287),0)</f>
        <v/>
      </c>
      <c r="N293" s="95">
        <f>IF(H293=1,INDEX(tx_TaxCr,287),0)</f>
        <v/>
      </c>
      <c r="O293" s="101">
        <f>IF(H293=1,IF(E293&lt;FYStart,0,IF(E293&gt;FYEnd,13,YEAR(E293)*12+MONTH(E293)-FYYM+1)),"")</f>
        <v/>
      </c>
      <c r="P293" s="101">
        <f>IF(H293=1,IF(IFERROR(INDEX(coa_CF,MATCH(I293,coa_Name,0)),"")="Cash",1,0),0)</f>
        <v/>
      </c>
      <c r="Q293" s="101">
        <f>IF(H293=1,IF(IFERROR(INDEX(coa_CF,MATCH(K293,coa_Name,0)),"")="Cash",1,0),0)</f>
        <v/>
      </c>
      <c r="R293" s="58">
        <f>IF((P293-Q293)=0,"",IFERROR(INDEX(coa_CF,MATCH(IF((P293-Q293)=1,K293,I293),coa_Name,0)),"Operating"))</f>
        <v/>
      </c>
      <c r="S293" s="95">
        <f>IF((P293-Q293)=1,L293,IF((P293-Q293)=-1,-J293,0))</f>
        <v/>
      </c>
      <c r="T293" s="95">
        <f>IF((P293-Q293)=1,N293,IF((P293-Q293)=-1,-M293,0))</f>
        <v/>
      </c>
      <c r="U293" s="101">
        <f>IF(AND(H293=1,LedAcct&lt;&gt;""),IF(AND(E293&gt;=LedFrom,E293&lt;=LedTo,OR(I293=LedAcct,K293=LedAcct,AND(LedAcct=acctTax,M293+N293&lt;&gt;0))),E293*10000+B293,""),"")</f>
        <v/>
      </c>
    </row>
    <row r="294">
      <c r="B294" s="101" t="n">
        <v>288</v>
      </c>
      <c r="C294" s="58" t="inlineStr">
        <is>
          <t>Transaction</t>
        </is>
      </c>
      <c r="D294" s="58">
        <f>IF(H294=1,INDEX(tx_ID,288)&amp;"","")</f>
        <v/>
      </c>
      <c r="E294" s="94">
        <f>IF(H294=1,INDEX(tx_Date,288),"")</f>
        <v/>
      </c>
      <c r="F294" s="58">
        <f>IF(H294=1,INDEX(tx_Desc,288)&amp;"","")</f>
        <v/>
      </c>
      <c r="G294" s="58">
        <f>IF(H294=1,IF(INDEX(tx_Cust,288)&amp;""&lt;&gt;"",INDEX(tx_Cust,288)&amp;"",INDEX(tx_Vend,288)&amp;""),"")</f>
        <v/>
      </c>
      <c r="H294" s="101">
        <f>IFERROR(N(INDEX(tx_Posted,288)),0)</f>
        <v/>
      </c>
      <c r="I294" s="58">
        <f>IF(H294=1,INDEX(tx_DrAcct,288)&amp;"","")</f>
        <v/>
      </c>
      <c r="J294" s="95">
        <f>IF(H294=1,INDEX(tx_DrAmt,288),0)</f>
        <v/>
      </c>
      <c r="K294" s="58">
        <f>IF(H294=1,INDEX(tx_CrAcct,288)&amp;"","")</f>
        <v/>
      </c>
      <c r="L294" s="95">
        <f>IF(H294=1,INDEX(tx_CrAmt,288),0)</f>
        <v/>
      </c>
      <c r="M294" s="95">
        <f>IF(H294=1,INDEX(tx_TaxDr,288),0)</f>
        <v/>
      </c>
      <c r="N294" s="95">
        <f>IF(H294=1,INDEX(tx_TaxCr,288),0)</f>
        <v/>
      </c>
      <c r="O294" s="101">
        <f>IF(H294=1,IF(E294&lt;FYStart,0,IF(E294&gt;FYEnd,13,YEAR(E294)*12+MONTH(E294)-FYYM+1)),"")</f>
        <v/>
      </c>
      <c r="P294" s="101">
        <f>IF(H294=1,IF(IFERROR(INDEX(coa_CF,MATCH(I294,coa_Name,0)),"")="Cash",1,0),0)</f>
        <v/>
      </c>
      <c r="Q294" s="101">
        <f>IF(H294=1,IF(IFERROR(INDEX(coa_CF,MATCH(K294,coa_Name,0)),"")="Cash",1,0),0)</f>
        <v/>
      </c>
      <c r="R294" s="58">
        <f>IF((P294-Q294)=0,"",IFERROR(INDEX(coa_CF,MATCH(IF((P294-Q294)=1,K294,I294),coa_Name,0)),"Operating"))</f>
        <v/>
      </c>
      <c r="S294" s="95">
        <f>IF((P294-Q294)=1,L294,IF((P294-Q294)=-1,-J294,0))</f>
        <v/>
      </c>
      <c r="T294" s="95">
        <f>IF((P294-Q294)=1,N294,IF((P294-Q294)=-1,-M294,0))</f>
        <v/>
      </c>
      <c r="U294" s="101">
        <f>IF(AND(H294=1,LedAcct&lt;&gt;""),IF(AND(E294&gt;=LedFrom,E294&lt;=LedTo,OR(I294=LedAcct,K294=LedAcct,AND(LedAcct=acctTax,M294+N294&lt;&gt;0))),E294*10000+B294,""),"")</f>
        <v/>
      </c>
    </row>
    <row r="295">
      <c r="B295" s="101" t="n">
        <v>289</v>
      </c>
      <c r="C295" s="58" t="inlineStr">
        <is>
          <t>Transaction</t>
        </is>
      </c>
      <c r="D295" s="58">
        <f>IF(H295=1,INDEX(tx_ID,289)&amp;"","")</f>
        <v/>
      </c>
      <c r="E295" s="94">
        <f>IF(H295=1,INDEX(tx_Date,289),"")</f>
        <v/>
      </c>
      <c r="F295" s="58">
        <f>IF(H295=1,INDEX(tx_Desc,289)&amp;"","")</f>
        <v/>
      </c>
      <c r="G295" s="58">
        <f>IF(H295=1,IF(INDEX(tx_Cust,289)&amp;""&lt;&gt;"",INDEX(tx_Cust,289)&amp;"",INDEX(tx_Vend,289)&amp;""),"")</f>
        <v/>
      </c>
      <c r="H295" s="101">
        <f>IFERROR(N(INDEX(tx_Posted,289)),0)</f>
        <v/>
      </c>
      <c r="I295" s="58">
        <f>IF(H295=1,INDEX(tx_DrAcct,289)&amp;"","")</f>
        <v/>
      </c>
      <c r="J295" s="95">
        <f>IF(H295=1,INDEX(tx_DrAmt,289),0)</f>
        <v/>
      </c>
      <c r="K295" s="58">
        <f>IF(H295=1,INDEX(tx_CrAcct,289)&amp;"","")</f>
        <v/>
      </c>
      <c r="L295" s="95">
        <f>IF(H295=1,INDEX(tx_CrAmt,289),0)</f>
        <v/>
      </c>
      <c r="M295" s="95">
        <f>IF(H295=1,INDEX(tx_TaxDr,289),0)</f>
        <v/>
      </c>
      <c r="N295" s="95">
        <f>IF(H295=1,INDEX(tx_TaxCr,289),0)</f>
        <v/>
      </c>
      <c r="O295" s="101">
        <f>IF(H295=1,IF(E295&lt;FYStart,0,IF(E295&gt;FYEnd,13,YEAR(E295)*12+MONTH(E295)-FYYM+1)),"")</f>
        <v/>
      </c>
      <c r="P295" s="101">
        <f>IF(H295=1,IF(IFERROR(INDEX(coa_CF,MATCH(I295,coa_Name,0)),"")="Cash",1,0),0)</f>
        <v/>
      </c>
      <c r="Q295" s="101">
        <f>IF(H295=1,IF(IFERROR(INDEX(coa_CF,MATCH(K295,coa_Name,0)),"")="Cash",1,0),0)</f>
        <v/>
      </c>
      <c r="R295" s="58">
        <f>IF((P295-Q295)=0,"",IFERROR(INDEX(coa_CF,MATCH(IF((P295-Q295)=1,K295,I295),coa_Name,0)),"Operating"))</f>
        <v/>
      </c>
      <c r="S295" s="95">
        <f>IF((P295-Q295)=1,L295,IF((P295-Q295)=-1,-J295,0))</f>
        <v/>
      </c>
      <c r="T295" s="95">
        <f>IF((P295-Q295)=1,N295,IF((P295-Q295)=-1,-M295,0))</f>
        <v/>
      </c>
      <c r="U295" s="101">
        <f>IF(AND(H295=1,LedAcct&lt;&gt;""),IF(AND(E295&gt;=LedFrom,E295&lt;=LedTo,OR(I295=LedAcct,K295=LedAcct,AND(LedAcct=acctTax,M295+N295&lt;&gt;0))),E295*10000+B295,""),"")</f>
        <v/>
      </c>
    </row>
    <row r="296">
      <c r="B296" s="101" t="n">
        <v>290</v>
      </c>
      <c r="C296" s="58" t="inlineStr">
        <is>
          <t>Transaction</t>
        </is>
      </c>
      <c r="D296" s="58">
        <f>IF(H296=1,INDEX(tx_ID,290)&amp;"","")</f>
        <v/>
      </c>
      <c r="E296" s="94">
        <f>IF(H296=1,INDEX(tx_Date,290),"")</f>
        <v/>
      </c>
      <c r="F296" s="58">
        <f>IF(H296=1,INDEX(tx_Desc,290)&amp;"","")</f>
        <v/>
      </c>
      <c r="G296" s="58">
        <f>IF(H296=1,IF(INDEX(tx_Cust,290)&amp;""&lt;&gt;"",INDEX(tx_Cust,290)&amp;"",INDEX(tx_Vend,290)&amp;""),"")</f>
        <v/>
      </c>
      <c r="H296" s="101">
        <f>IFERROR(N(INDEX(tx_Posted,290)),0)</f>
        <v/>
      </c>
      <c r="I296" s="58">
        <f>IF(H296=1,INDEX(tx_DrAcct,290)&amp;"","")</f>
        <v/>
      </c>
      <c r="J296" s="95">
        <f>IF(H296=1,INDEX(tx_DrAmt,290),0)</f>
        <v/>
      </c>
      <c r="K296" s="58">
        <f>IF(H296=1,INDEX(tx_CrAcct,290)&amp;"","")</f>
        <v/>
      </c>
      <c r="L296" s="95">
        <f>IF(H296=1,INDEX(tx_CrAmt,290),0)</f>
        <v/>
      </c>
      <c r="M296" s="95">
        <f>IF(H296=1,INDEX(tx_TaxDr,290),0)</f>
        <v/>
      </c>
      <c r="N296" s="95">
        <f>IF(H296=1,INDEX(tx_TaxCr,290),0)</f>
        <v/>
      </c>
      <c r="O296" s="101">
        <f>IF(H296=1,IF(E296&lt;FYStart,0,IF(E296&gt;FYEnd,13,YEAR(E296)*12+MONTH(E296)-FYYM+1)),"")</f>
        <v/>
      </c>
      <c r="P296" s="101">
        <f>IF(H296=1,IF(IFERROR(INDEX(coa_CF,MATCH(I296,coa_Name,0)),"")="Cash",1,0),0)</f>
        <v/>
      </c>
      <c r="Q296" s="101">
        <f>IF(H296=1,IF(IFERROR(INDEX(coa_CF,MATCH(K296,coa_Name,0)),"")="Cash",1,0),0)</f>
        <v/>
      </c>
      <c r="R296" s="58">
        <f>IF((P296-Q296)=0,"",IFERROR(INDEX(coa_CF,MATCH(IF((P296-Q296)=1,K296,I296),coa_Name,0)),"Operating"))</f>
        <v/>
      </c>
      <c r="S296" s="95">
        <f>IF((P296-Q296)=1,L296,IF((P296-Q296)=-1,-J296,0))</f>
        <v/>
      </c>
      <c r="T296" s="95">
        <f>IF((P296-Q296)=1,N296,IF((P296-Q296)=-1,-M296,0))</f>
        <v/>
      </c>
      <c r="U296" s="101">
        <f>IF(AND(H296=1,LedAcct&lt;&gt;""),IF(AND(E296&gt;=LedFrom,E296&lt;=LedTo,OR(I296=LedAcct,K296=LedAcct,AND(LedAcct=acctTax,M296+N296&lt;&gt;0))),E296*10000+B296,""),"")</f>
        <v/>
      </c>
    </row>
    <row r="297">
      <c r="B297" s="101" t="n">
        <v>291</v>
      </c>
      <c r="C297" s="58" t="inlineStr">
        <is>
          <t>Transaction</t>
        </is>
      </c>
      <c r="D297" s="58">
        <f>IF(H297=1,INDEX(tx_ID,291)&amp;"","")</f>
        <v/>
      </c>
      <c r="E297" s="94">
        <f>IF(H297=1,INDEX(tx_Date,291),"")</f>
        <v/>
      </c>
      <c r="F297" s="58">
        <f>IF(H297=1,INDEX(tx_Desc,291)&amp;"","")</f>
        <v/>
      </c>
      <c r="G297" s="58">
        <f>IF(H297=1,IF(INDEX(tx_Cust,291)&amp;""&lt;&gt;"",INDEX(tx_Cust,291)&amp;"",INDEX(tx_Vend,291)&amp;""),"")</f>
        <v/>
      </c>
      <c r="H297" s="101">
        <f>IFERROR(N(INDEX(tx_Posted,291)),0)</f>
        <v/>
      </c>
      <c r="I297" s="58">
        <f>IF(H297=1,INDEX(tx_DrAcct,291)&amp;"","")</f>
        <v/>
      </c>
      <c r="J297" s="95">
        <f>IF(H297=1,INDEX(tx_DrAmt,291),0)</f>
        <v/>
      </c>
      <c r="K297" s="58">
        <f>IF(H297=1,INDEX(tx_CrAcct,291)&amp;"","")</f>
        <v/>
      </c>
      <c r="L297" s="95">
        <f>IF(H297=1,INDEX(tx_CrAmt,291),0)</f>
        <v/>
      </c>
      <c r="M297" s="95">
        <f>IF(H297=1,INDEX(tx_TaxDr,291),0)</f>
        <v/>
      </c>
      <c r="N297" s="95">
        <f>IF(H297=1,INDEX(tx_TaxCr,291),0)</f>
        <v/>
      </c>
      <c r="O297" s="101">
        <f>IF(H297=1,IF(E297&lt;FYStart,0,IF(E297&gt;FYEnd,13,YEAR(E297)*12+MONTH(E297)-FYYM+1)),"")</f>
        <v/>
      </c>
      <c r="P297" s="101">
        <f>IF(H297=1,IF(IFERROR(INDEX(coa_CF,MATCH(I297,coa_Name,0)),"")="Cash",1,0),0)</f>
        <v/>
      </c>
      <c r="Q297" s="101">
        <f>IF(H297=1,IF(IFERROR(INDEX(coa_CF,MATCH(K297,coa_Name,0)),"")="Cash",1,0),0)</f>
        <v/>
      </c>
      <c r="R297" s="58">
        <f>IF((P297-Q297)=0,"",IFERROR(INDEX(coa_CF,MATCH(IF((P297-Q297)=1,K297,I297),coa_Name,0)),"Operating"))</f>
        <v/>
      </c>
      <c r="S297" s="95">
        <f>IF((P297-Q297)=1,L297,IF((P297-Q297)=-1,-J297,0))</f>
        <v/>
      </c>
      <c r="T297" s="95">
        <f>IF((P297-Q297)=1,N297,IF((P297-Q297)=-1,-M297,0))</f>
        <v/>
      </c>
      <c r="U297" s="101">
        <f>IF(AND(H297=1,LedAcct&lt;&gt;""),IF(AND(E297&gt;=LedFrom,E297&lt;=LedTo,OR(I297=LedAcct,K297=LedAcct,AND(LedAcct=acctTax,M297+N297&lt;&gt;0))),E297*10000+B297,""),"")</f>
        <v/>
      </c>
    </row>
    <row r="298">
      <c r="B298" s="101" t="n">
        <v>292</v>
      </c>
      <c r="C298" s="58" t="inlineStr">
        <is>
          <t>Transaction</t>
        </is>
      </c>
      <c r="D298" s="58">
        <f>IF(H298=1,INDEX(tx_ID,292)&amp;"","")</f>
        <v/>
      </c>
      <c r="E298" s="94">
        <f>IF(H298=1,INDEX(tx_Date,292),"")</f>
        <v/>
      </c>
      <c r="F298" s="58">
        <f>IF(H298=1,INDEX(tx_Desc,292)&amp;"","")</f>
        <v/>
      </c>
      <c r="G298" s="58">
        <f>IF(H298=1,IF(INDEX(tx_Cust,292)&amp;""&lt;&gt;"",INDEX(tx_Cust,292)&amp;"",INDEX(tx_Vend,292)&amp;""),"")</f>
        <v/>
      </c>
      <c r="H298" s="101">
        <f>IFERROR(N(INDEX(tx_Posted,292)),0)</f>
        <v/>
      </c>
      <c r="I298" s="58">
        <f>IF(H298=1,INDEX(tx_DrAcct,292)&amp;"","")</f>
        <v/>
      </c>
      <c r="J298" s="95">
        <f>IF(H298=1,INDEX(tx_DrAmt,292),0)</f>
        <v/>
      </c>
      <c r="K298" s="58">
        <f>IF(H298=1,INDEX(tx_CrAcct,292)&amp;"","")</f>
        <v/>
      </c>
      <c r="L298" s="95">
        <f>IF(H298=1,INDEX(tx_CrAmt,292),0)</f>
        <v/>
      </c>
      <c r="M298" s="95">
        <f>IF(H298=1,INDEX(tx_TaxDr,292),0)</f>
        <v/>
      </c>
      <c r="N298" s="95">
        <f>IF(H298=1,INDEX(tx_TaxCr,292),0)</f>
        <v/>
      </c>
      <c r="O298" s="101">
        <f>IF(H298=1,IF(E298&lt;FYStart,0,IF(E298&gt;FYEnd,13,YEAR(E298)*12+MONTH(E298)-FYYM+1)),"")</f>
        <v/>
      </c>
      <c r="P298" s="101">
        <f>IF(H298=1,IF(IFERROR(INDEX(coa_CF,MATCH(I298,coa_Name,0)),"")="Cash",1,0),0)</f>
        <v/>
      </c>
      <c r="Q298" s="101">
        <f>IF(H298=1,IF(IFERROR(INDEX(coa_CF,MATCH(K298,coa_Name,0)),"")="Cash",1,0),0)</f>
        <v/>
      </c>
      <c r="R298" s="58">
        <f>IF((P298-Q298)=0,"",IFERROR(INDEX(coa_CF,MATCH(IF((P298-Q298)=1,K298,I298),coa_Name,0)),"Operating"))</f>
        <v/>
      </c>
      <c r="S298" s="95">
        <f>IF((P298-Q298)=1,L298,IF((P298-Q298)=-1,-J298,0))</f>
        <v/>
      </c>
      <c r="T298" s="95">
        <f>IF((P298-Q298)=1,N298,IF((P298-Q298)=-1,-M298,0))</f>
        <v/>
      </c>
      <c r="U298" s="101">
        <f>IF(AND(H298=1,LedAcct&lt;&gt;""),IF(AND(E298&gt;=LedFrom,E298&lt;=LedTo,OR(I298=LedAcct,K298=LedAcct,AND(LedAcct=acctTax,M298+N298&lt;&gt;0))),E298*10000+B298,""),"")</f>
        <v/>
      </c>
    </row>
    <row r="299">
      <c r="B299" s="101" t="n">
        <v>293</v>
      </c>
      <c r="C299" s="58" t="inlineStr">
        <is>
          <t>Transaction</t>
        </is>
      </c>
      <c r="D299" s="58">
        <f>IF(H299=1,INDEX(tx_ID,293)&amp;"","")</f>
        <v/>
      </c>
      <c r="E299" s="94">
        <f>IF(H299=1,INDEX(tx_Date,293),"")</f>
        <v/>
      </c>
      <c r="F299" s="58">
        <f>IF(H299=1,INDEX(tx_Desc,293)&amp;"","")</f>
        <v/>
      </c>
      <c r="G299" s="58">
        <f>IF(H299=1,IF(INDEX(tx_Cust,293)&amp;""&lt;&gt;"",INDEX(tx_Cust,293)&amp;"",INDEX(tx_Vend,293)&amp;""),"")</f>
        <v/>
      </c>
      <c r="H299" s="101">
        <f>IFERROR(N(INDEX(tx_Posted,293)),0)</f>
        <v/>
      </c>
      <c r="I299" s="58">
        <f>IF(H299=1,INDEX(tx_DrAcct,293)&amp;"","")</f>
        <v/>
      </c>
      <c r="J299" s="95">
        <f>IF(H299=1,INDEX(tx_DrAmt,293),0)</f>
        <v/>
      </c>
      <c r="K299" s="58">
        <f>IF(H299=1,INDEX(tx_CrAcct,293)&amp;"","")</f>
        <v/>
      </c>
      <c r="L299" s="95">
        <f>IF(H299=1,INDEX(tx_CrAmt,293),0)</f>
        <v/>
      </c>
      <c r="M299" s="95">
        <f>IF(H299=1,INDEX(tx_TaxDr,293),0)</f>
        <v/>
      </c>
      <c r="N299" s="95">
        <f>IF(H299=1,INDEX(tx_TaxCr,293),0)</f>
        <v/>
      </c>
      <c r="O299" s="101">
        <f>IF(H299=1,IF(E299&lt;FYStart,0,IF(E299&gt;FYEnd,13,YEAR(E299)*12+MONTH(E299)-FYYM+1)),"")</f>
        <v/>
      </c>
      <c r="P299" s="101">
        <f>IF(H299=1,IF(IFERROR(INDEX(coa_CF,MATCH(I299,coa_Name,0)),"")="Cash",1,0),0)</f>
        <v/>
      </c>
      <c r="Q299" s="101">
        <f>IF(H299=1,IF(IFERROR(INDEX(coa_CF,MATCH(K299,coa_Name,0)),"")="Cash",1,0),0)</f>
        <v/>
      </c>
      <c r="R299" s="58">
        <f>IF((P299-Q299)=0,"",IFERROR(INDEX(coa_CF,MATCH(IF((P299-Q299)=1,K299,I299),coa_Name,0)),"Operating"))</f>
        <v/>
      </c>
      <c r="S299" s="95">
        <f>IF((P299-Q299)=1,L299,IF((P299-Q299)=-1,-J299,0))</f>
        <v/>
      </c>
      <c r="T299" s="95">
        <f>IF((P299-Q299)=1,N299,IF((P299-Q299)=-1,-M299,0))</f>
        <v/>
      </c>
      <c r="U299" s="101">
        <f>IF(AND(H299=1,LedAcct&lt;&gt;""),IF(AND(E299&gt;=LedFrom,E299&lt;=LedTo,OR(I299=LedAcct,K299=LedAcct,AND(LedAcct=acctTax,M299+N299&lt;&gt;0))),E299*10000+B299,""),"")</f>
        <v/>
      </c>
    </row>
    <row r="300">
      <c r="B300" s="101" t="n">
        <v>294</v>
      </c>
      <c r="C300" s="58" t="inlineStr">
        <is>
          <t>Transaction</t>
        </is>
      </c>
      <c r="D300" s="58">
        <f>IF(H300=1,INDEX(tx_ID,294)&amp;"","")</f>
        <v/>
      </c>
      <c r="E300" s="94">
        <f>IF(H300=1,INDEX(tx_Date,294),"")</f>
        <v/>
      </c>
      <c r="F300" s="58">
        <f>IF(H300=1,INDEX(tx_Desc,294)&amp;"","")</f>
        <v/>
      </c>
      <c r="G300" s="58">
        <f>IF(H300=1,IF(INDEX(tx_Cust,294)&amp;""&lt;&gt;"",INDEX(tx_Cust,294)&amp;"",INDEX(tx_Vend,294)&amp;""),"")</f>
        <v/>
      </c>
      <c r="H300" s="101">
        <f>IFERROR(N(INDEX(tx_Posted,294)),0)</f>
        <v/>
      </c>
      <c r="I300" s="58">
        <f>IF(H300=1,INDEX(tx_DrAcct,294)&amp;"","")</f>
        <v/>
      </c>
      <c r="J300" s="95">
        <f>IF(H300=1,INDEX(tx_DrAmt,294),0)</f>
        <v/>
      </c>
      <c r="K300" s="58">
        <f>IF(H300=1,INDEX(tx_CrAcct,294)&amp;"","")</f>
        <v/>
      </c>
      <c r="L300" s="95">
        <f>IF(H300=1,INDEX(tx_CrAmt,294),0)</f>
        <v/>
      </c>
      <c r="M300" s="95">
        <f>IF(H300=1,INDEX(tx_TaxDr,294),0)</f>
        <v/>
      </c>
      <c r="N300" s="95">
        <f>IF(H300=1,INDEX(tx_TaxCr,294),0)</f>
        <v/>
      </c>
      <c r="O300" s="101">
        <f>IF(H300=1,IF(E300&lt;FYStart,0,IF(E300&gt;FYEnd,13,YEAR(E300)*12+MONTH(E300)-FYYM+1)),"")</f>
        <v/>
      </c>
      <c r="P300" s="101">
        <f>IF(H300=1,IF(IFERROR(INDEX(coa_CF,MATCH(I300,coa_Name,0)),"")="Cash",1,0),0)</f>
        <v/>
      </c>
      <c r="Q300" s="101">
        <f>IF(H300=1,IF(IFERROR(INDEX(coa_CF,MATCH(K300,coa_Name,0)),"")="Cash",1,0),0)</f>
        <v/>
      </c>
      <c r="R300" s="58">
        <f>IF((P300-Q300)=0,"",IFERROR(INDEX(coa_CF,MATCH(IF((P300-Q300)=1,K300,I300),coa_Name,0)),"Operating"))</f>
        <v/>
      </c>
      <c r="S300" s="95">
        <f>IF((P300-Q300)=1,L300,IF((P300-Q300)=-1,-J300,0))</f>
        <v/>
      </c>
      <c r="T300" s="95">
        <f>IF((P300-Q300)=1,N300,IF((P300-Q300)=-1,-M300,0))</f>
        <v/>
      </c>
      <c r="U300" s="101">
        <f>IF(AND(H300=1,LedAcct&lt;&gt;""),IF(AND(E300&gt;=LedFrom,E300&lt;=LedTo,OR(I300=LedAcct,K300=LedAcct,AND(LedAcct=acctTax,M300+N300&lt;&gt;0))),E300*10000+B300,""),"")</f>
        <v/>
      </c>
    </row>
    <row r="301">
      <c r="B301" s="101" t="n">
        <v>295</v>
      </c>
      <c r="C301" s="58" t="inlineStr">
        <is>
          <t>Transaction</t>
        </is>
      </c>
      <c r="D301" s="58">
        <f>IF(H301=1,INDEX(tx_ID,295)&amp;"","")</f>
        <v/>
      </c>
      <c r="E301" s="94">
        <f>IF(H301=1,INDEX(tx_Date,295),"")</f>
        <v/>
      </c>
      <c r="F301" s="58">
        <f>IF(H301=1,INDEX(tx_Desc,295)&amp;"","")</f>
        <v/>
      </c>
      <c r="G301" s="58">
        <f>IF(H301=1,IF(INDEX(tx_Cust,295)&amp;""&lt;&gt;"",INDEX(tx_Cust,295)&amp;"",INDEX(tx_Vend,295)&amp;""),"")</f>
        <v/>
      </c>
      <c r="H301" s="101">
        <f>IFERROR(N(INDEX(tx_Posted,295)),0)</f>
        <v/>
      </c>
      <c r="I301" s="58">
        <f>IF(H301=1,INDEX(tx_DrAcct,295)&amp;"","")</f>
        <v/>
      </c>
      <c r="J301" s="95">
        <f>IF(H301=1,INDEX(tx_DrAmt,295),0)</f>
        <v/>
      </c>
      <c r="K301" s="58">
        <f>IF(H301=1,INDEX(tx_CrAcct,295)&amp;"","")</f>
        <v/>
      </c>
      <c r="L301" s="95">
        <f>IF(H301=1,INDEX(tx_CrAmt,295),0)</f>
        <v/>
      </c>
      <c r="M301" s="95">
        <f>IF(H301=1,INDEX(tx_TaxDr,295),0)</f>
        <v/>
      </c>
      <c r="N301" s="95">
        <f>IF(H301=1,INDEX(tx_TaxCr,295),0)</f>
        <v/>
      </c>
      <c r="O301" s="101">
        <f>IF(H301=1,IF(E301&lt;FYStart,0,IF(E301&gt;FYEnd,13,YEAR(E301)*12+MONTH(E301)-FYYM+1)),"")</f>
        <v/>
      </c>
      <c r="P301" s="101">
        <f>IF(H301=1,IF(IFERROR(INDEX(coa_CF,MATCH(I301,coa_Name,0)),"")="Cash",1,0),0)</f>
        <v/>
      </c>
      <c r="Q301" s="101">
        <f>IF(H301=1,IF(IFERROR(INDEX(coa_CF,MATCH(K301,coa_Name,0)),"")="Cash",1,0),0)</f>
        <v/>
      </c>
      <c r="R301" s="58">
        <f>IF((P301-Q301)=0,"",IFERROR(INDEX(coa_CF,MATCH(IF((P301-Q301)=1,K301,I301),coa_Name,0)),"Operating"))</f>
        <v/>
      </c>
      <c r="S301" s="95">
        <f>IF((P301-Q301)=1,L301,IF((P301-Q301)=-1,-J301,0))</f>
        <v/>
      </c>
      <c r="T301" s="95">
        <f>IF((P301-Q301)=1,N301,IF((P301-Q301)=-1,-M301,0))</f>
        <v/>
      </c>
      <c r="U301" s="101">
        <f>IF(AND(H301=1,LedAcct&lt;&gt;""),IF(AND(E301&gt;=LedFrom,E301&lt;=LedTo,OR(I301=LedAcct,K301=LedAcct,AND(LedAcct=acctTax,M301+N301&lt;&gt;0))),E301*10000+B301,""),"")</f>
        <v/>
      </c>
    </row>
    <row r="302">
      <c r="B302" s="101" t="n">
        <v>296</v>
      </c>
      <c r="C302" s="58" t="inlineStr">
        <is>
          <t>Transaction</t>
        </is>
      </c>
      <c r="D302" s="58">
        <f>IF(H302=1,INDEX(tx_ID,296)&amp;"","")</f>
        <v/>
      </c>
      <c r="E302" s="94">
        <f>IF(H302=1,INDEX(tx_Date,296),"")</f>
        <v/>
      </c>
      <c r="F302" s="58">
        <f>IF(H302=1,INDEX(tx_Desc,296)&amp;"","")</f>
        <v/>
      </c>
      <c r="G302" s="58">
        <f>IF(H302=1,IF(INDEX(tx_Cust,296)&amp;""&lt;&gt;"",INDEX(tx_Cust,296)&amp;"",INDEX(tx_Vend,296)&amp;""),"")</f>
        <v/>
      </c>
      <c r="H302" s="101">
        <f>IFERROR(N(INDEX(tx_Posted,296)),0)</f>
        <v/>
      </c>
      <c r="I302" s="58">
        <f>IF(H302=1,INDEX(tx_DrAcct,296)&amp;"","")</f>
        <v/>
      </c>
      <c r="J302" s="95">
        <f>IF(H302=1,INDEX(tx_DrAmt,296),0)</f>
        <v/>
      </c>
      <c r="K302" s="58">
        <f>IF(H302=1,INDEX(tx_CrAcct,296)&amp;"","")</f>
        <v/>
      </c>
      <c r="L302" s="95">
        <f>IF(H302=1,INDEX(tx_CrAmt,296),0)</f>
        <v/>
      </c>
      <c r="M302" s="95">
        <f>IF(H302=1,INDEX(tx_TaxDr,296),0)</f>
        <v/>
      </c>
      <c r="N302" s="95">
        <f>IF(H302=1,INDEX(tx_TaxCr,296),0)</f>
        <v/>
      </c>
      <c r="O302" s="101">
        <f>IF(H302=1,IF(E302&lt;FYStart,0,IF(E302&gt;FYEnd,13,YEAR(E302)*12+MONTH(E302)-FYYM+1)),"")</f>
        <v/>
      </c>
      <c r="P302" s="101">
        <f>IF(H302=1,IF(IFERROR(INDEX(coa_CF,MATCH(I302,coa_Name,0)),"")="Cash",1,0),0)</f>
        <v/>
      </c>
      <c r="Q302" s="101">
        <f>IF(H302=1,IF(IFERROR(INDEX(coa_CF,MATCH(K302,coa_Name,0)),"")="Cash",1,0),0)</f>
        <v/>
      </c>
      <c r="R302" s="58">
        <f>IF((P302-Q302)=0,"",IFERROR(INDEX(coa_CF,MATCH(IF((P302-Q302)=1,K302,I302),coa_Name,0)),"Operating"))</f>
        <v/>
      </c>
      <c r="S302" s="95">
        <f>IF((P302-Q302)=1,L302,IF((P302-Q302)=-1,-J302,0))</f>
        <v/>
      </c>
      <c r="T302" s="95">
        <f>IF((P302-Q302)=1,N302,IF((P302-Q302)=-1,-M302,0))</f>
        <v/>
      </c>
      <c r="U302" s="101">
        <f>IF(AND(H302=1,LedAcct&lt;&gt;""),IF(AND(E302&gt;=LedFrom,E302&lt;=LedTo,OR(I302=LedAcct,K302=LedAcct,AND(LedAcct=acctTax,M302+N302&lt;&gt;0))),E302*10000+B302,""),"")</f>
        <v/>
      </c>
    </row>
    <row r="303">
      <c r="B303" s="101" t="n">
        <v>297</v>
      </c>
      <c r="C303" s="58" t="inlineStr">
        <is>
          <t>Transaction</t>
        </is>
      </c>
      <c r="D303" s="58">
        <f>IF(H303=1,INDEX(tx_ID,297)&amp;"","")</f>
        <v/>
      </c>
      <c r="E303" s="94">
        <f>IF(H303=1,INDEX(tx_Date,297),"")</f>
        <v/>
      </c>
      <c r="F303" s="58">
        <f>IF(H303=1,INDEX(tx_Desc,297)&amp;"","")</f>
        <v/>
      </c>
      <c r="G303" s="58">
        <f>IF(H303=1,IF(INDEX(tx_Cust,297)&amp;""&lt;&gt;"",INDEX(tx_Cust,297)&amp;"",INDEX(tx_Vend,297)&amp;""),"")</f>
        <v/>
      </c>
      <c r="H303" s="101">
        <f>IFERROR(N(INDEX(tx_Posted,297)),0)</f>
        <v/>
      </c>
      <c r="I303" s="58">
        <f>IF(H303=1,INDEX(tx_DrAcct,297)&amp;"","")</f>
        <v/>
      </c>
      <c r="J303" s="95">
        <f>IF(H303=1,INDEX(tx_DrAmt,297),0)</f>
        <v/>
      </c>
      <c r="K303" s="58">
        <f>IF(H303=1,INDEX(tx_CrAcct,297)&amp;"","")</f>
        <v/>
      </c>
      <c r="L303" s="95">
        <f>IF(H303=1,INDEX(tx_CrAmt,297),0)</f>
        <v/>
      </c>
      <c r="M303" s="95">
        <f>IF(H303=1,INDEX(tx_TaxDr,297),0)</f>
        <v/>
      </c>
      <c r="N303" s="95">
        <f>IF(H303=1,INDEX(tx_TaxCr,297),0)</f>
        <v/>
      </c>
      <c r="O303" s="101">
        <f>IF(H303=1,IF(E303&lt;FYStart,0,IF(E303&gt;FYEnd,13,YEAR(E303)*12+MONTH(E303)-FYYM+1)),"")</f>
        <v/>
      </c>
      <c r="P303" s="101">
        <f>IF(H303=1,IF(IFERROR(INDEX(coa_CF,MATCH(I303,coa_Name,0)),"")="Cash",1,0),0)</f>
        <v/>
      </c>
      <c r="Q303" s="101">
        <f>IF(H303=1,IF(IFERROR(INDEX(coa_CF,MATCH(K303,coa_Name,0)),"")="Cash",1,0),0)</f>
        <v/>
      </c>
      <c r="R303" s="58">
        <f>IF((P303-Q303)=0,"",IFERROR(INDEX(coa_CF,MATCH(IF((P303-Q303)=1,K303,I303),coa_Name,0)),"Operating"))</f>
        <v/>
      </c>
      <c r="S303" s="95">
        <f>IF((P303-Q303)=1,L303,IF((P303-Q303)=-1,-J303,0))</f>
        <v/>
      </c>
      <c r="T303" s="95">
        <f>IF((P303-Q303)=1,N303,IF((P303-Q303)=-1,-M303,0))</f>
        <v/>
      </c>
      <c r="U303" s="101">
        <f>IF(AND(H303=1,LedAcct&lt;&gt;""),IF(AND(E303&gt;=LedFrom,E303&lt;=LedTo,OR(I303=LedAcct,K303=LedAcct,AND(LedAcct=acctTax,M303+N303&lt;&gt;0))),E303*10000+B303,""),"")</f>
        <v/>
      </c>
    </row>
    <row r="304">
      <c r="B304" s="101" t="n">
        <v>298</v>
      </c>
      <c r="C304" s="58" t="inlineStr">
        <is>
          <t>Transaction</t>
        </is>
      </c>
      <c r="D304" s="58">
        <f>IF(H304=1,INDEX(tx_ID,298)&amp;"","")</f>
        <v/>
      </c>
      <c r="E304" s="94">
        <f>IF(H304=1,INDEX(tx_Date,298),"")</f>
        <v/>
      </c>
      <c r="F304" s="58">
        <f>IF(H304=1,INDEX(tx_Desc,298)&amp;"","")</f>
        <v/>
      </c>
      <c r="G304" s="58">
        <f>IF(H304=1,IF(INDEX(tx_Cust,298)&amp;""&lt;&gt;"",INDEX(tx_Cust,298)&amp;"",INDEX(tx_Vend,298)&amp;""),"")</f>
        <v/>
      </c>
      <c r="H304" s="101">
        <f>IFERROR(N(INDEX(tx_Posted,298)),0)</f>
        <v/>
      </c>
      <c r="I304" s="58">
        <f>IF(H304=1,INDEX(tx_DrAcct,298)&amp;"","")</f>
        <v/>
      </c>
      <c r="J304" s="95">
        <f>IF(H304=1,INDEX(tx_DrAmt,298),0)</f>
        <v/>
      </c>
      <c r="K304" s="58">
        <f>IF(H304=1,INDEX(tx_CrAcct,298)&amp;"","")</f>
        <v/>
      </c>
      <c r="L304" s="95">
        <f>IF(H304=1,INDEX(tx_CrAmt,298),0)</f>
        <v/>
      </c>
      <c r="M304" s="95">
        <f>IF(H304=1,INDEX(tx_TaxDr,298),0)</f>
        <v/>
      </c>
      <c r="N304" s="95">
        <f>IF(H304=1,INDEX(tx_TaxCr,298),0)</f>
        <v/>
      </c>
      <c r="O304" s="101">
        <f>IF(H304=1,IF(E304&lt;FYStart,0,IF(E304&gt;FYEnd,13,YEAR(E304)*12+MONTH(E304)-FYYM+1)),"")</f>
        <v/>
      </c>
      <c r="P304" s="101">
        <f>IF(H304=1,IF(IFERROR(INDEX(coa_CF,MATCH(I304,coa_Name,0)),"")="Cash",1,0),0)</f>
        <v/>
      </c>
      <c r="Q304" s="101">
        <f>IF(H304=1,IF(IFERROR(INDEX(coa_CF,MATCH(K304,coa_Name,0)),"")="Cash",1,0),0)</f>
        <v/>
      </c>
      <c r="R304" s="58">
        <f>IF((P304-Q304)=0,"",IFERROR(INDEX(coa_CF,MATCH(IF((P304-Q304)=1,K304,I304),coa_Name,0)),"Operating"))</f>
        <v/>
      </c>
      <c r="S304" s="95">
        <f>IF((P304-Q304)=1,L304,IF((P304-Q304)=-1,-J304,0))</f>
        <v/>
      </c>
      <c r="T304" s="95">
        <f>IF((P304-Q304)=1,N304,IF((P304-Q304)=-1,-M304,0))</f>
        <v/>
      </c>
      <c r="U304" s="101">
        <f>IF(AND(H304=1,LedAcct&lt;&gt;""),IF(AND(E304&gt;=LedFrom,E304&lt;=LedTo,OR(I304=LedAcct,K304=LedAcct,AND(LedAcct=acctTax,M304+N304&lt;&gt;0))),E304*10000+B304,""),"")</f>
        <v/>
      </c>
    </row>
    <row r="305">
      <c r="B305" s="101" t="n">
        <v>299</v>
      </c>
      <c r="C305" s="58" t="inlineStr">
        <is>
          <t>Transaction</t>
        </is>
      </c>
      <c r="D305" s="58">
        <f>IF(H305=1,INDEX(tx_ID,299)&amp;"","")</f>
        <v/>
      </c>
      <c r="E305" s="94">
        <f>IF(H305=1,INDEX(tx_Date,299),"")</f>
        <v/>
      </c>
      <c r="F305" s="58">
        <f>IF(H305=1,INDEX(tx_Desc,299)&amp;"","")</f>
        <v/>
      </c>
      <c r="G305" s="58">
        <f>IF(H305=1,IF(INDEX(tx_Cust,299)&amp;""&lt;&gt;"",INDEX(tx_Cust,299)&amp;"",INDEX(tx_Vend,299)&amp;""),"")</f>
        <v/>
      </c>
      <c r="H305" s="101">
        <f>IFERROR(N(INDEX(tx_Posted,299)),0)</f>
        <v/>
      </c>
      <c r="I305" s="58">
        <f>IF(H305=1,INDEX(tx_DrAcct,299)&amp;"","")</f>
        <v/>
      </c>
      <c r="J305" s="95">
        <f>IF(H305=1,INDEX(tx_DrAmt,299),0)</f>
        <v/>
      </c>
      <c r="K305" s="58">
        <f>IF(H305=1,INDEX(tx_CrAcct,299)&amp;"","")</f>
        <v/>
      </c>
      <c r="L305" s="95">
        <f>IF(H305=1,INDEX(tx_CrAmt,299),0)</f>
        <v/>
      </c>
      <c r="M305" s="95">
        <f>IF(H305=1,INDEX(tx_TaxDr,299),0)</f>
        <v/>
      </c>
      <c r="N305" s="95">
        <f>IF(H305=1,INDEX(tx_TaxCr,299),0)</f>
        <v/>
      </c>
      <c r="O305" s="101">
        <f>IF(H305=1,IF(E305&lt;FYStart,0,IF(E305&gt;FYEnd,13,YEAR(E305)*12+MONTH(E305)-FYYM+1)),"")</f>
        <v/>
      </c>
      <c r="P305" s="101">
        <f>IF(H305=1,IF(IFERROR(INDEX(coa_CF,MATCH(I305,coa_Name,0)),"")="Cash",1,0),0)</f>
        <v/>
      </c>
      <c r="Q305" s="101">
        <f>IF(H305=1,IF(IFERROR(INDEX(coa_CF,MATCH(K305,coa_Name,0)),"")="Cash",1,0),0)</f>
        <v/>
      </c>
      <c r="R305" s="58">
        <f>IF((P305-Q305)=0,"",IFERROR(INDEX(coa_CF,MATCH(IF((P305-Q305)=1,K305,I305),coa_Name,0)),"Operating"))</f>
        <v/>
      </c>
      <c r="S305" s="95">
        <f>IF((P305-Q305)=1,L305,IF((P305-Q305)=-1,-J305,0))</f>
        <v/>
      </c>
      <c r="T305" s="95">
        <f>IF((P305-Q305)=1,N305,IF((P305-Q305)=-1,-M305,0))</f>
        <v/>
      </c>
      <c r="U305" s="101">
        <f>IF(AND(H305=1,LedAcct&lt;&gt;""),IF(AND(E305&gt;=LedFrom,E305&lt;=LedTo,OR(I305=LedAcct,K305=LedAcct,AND(LedAcct=acctTax,M305+N305&lt;&gt;0))),E305*10000+B305,""),"")</f>
        <v/>
      </c>
    </row>
    <row r="306">
      <c r="B306" s="101" t="n">
        <v>300</v>
      </c>
      <c r="C306" s="58" t="inlineStr">
        <is>
          <t>Transaction</t>
        </is>
      </c>
      <c r="D306" s="58">
        <f>IF(H306=1,INDEX(tx_ID,300)&amp;"","")</f>
        <v/>
      </c>
      <c r="E306" s="94">
        <f>IF(H306=1,INDEX(tx_Date,300),"")</f>
        <v/>
      </c>
      <c r="F306" s="58">
        <f>IF(H306=1,INDEX(tx_Desc,300)&amp;"","")</f>
        <v/>
      </c>
      <c r="G306" s="58">
        <f>IF(H306=1,IF(INDEX(tx_Cust,300)&amp;""&lt;&gt;"",INDEX(tx_Cust,300)&amp;"",INDEX(tx_Vend,300)&amp;""),"")</f>
        <v/>
      </c>
      <c r="H306" s="101">
        <f>IFERROR(N(INDEX(tx_Posted,300)),0)</f>
        <v/>
      </c>
      <c r="I306" s="58">
        <f>IF(H306=1,INDEX(tx_DrAcct,300)&amp;"","")</f>
        <v/>
      </c>
      <c r="J306" s="95">
        <f>IF(H306=1,INDEX(tx_DrAmt,300),0)</f>
        <v/>
      </c>
      <c r="K306" s="58">
        <f>IF(H306=1,INDEX(tx_CrAcct,300)&amp;"","")</f>
        <v/>
      </c>
      <c r="L306" s="95">
        <f>IF(H306=1,INDEX(tx_CrAmt,300),0)</f>
        <v/>
      </c>
      <c r="M306" s="95">
        <f>IF(H306=1,INDEX(tx_TaxDr,300),0)</f>
        <v/>
      </c>
      <c r="N306" s="95">
        <f>IF(H306=1,INDEX(tx_TaxCr,300),0)</f>
        <v/>
      </c>
      <c r="O306" s="101">
        <f>IF(H306=1,IF(E306&lt;FYStart,0,IF(E306&gt;FYEnd,13,YEAR(E306)*12+MONTH(E306)-FYYM+1)),"")</f>
        <v/>
      </c>
      <c r="P306" s="101">
        <f>IF(H306=1,IF(IFERROR(INDEX(coa_CF,MATCH(I306,coa_Name,0)),"")="Cash",1,0),0)</f>
        <v/>
      </c>
      <c r="Q306" s="101">
        <f>IF(H306=1,IF(IFERROR(INDEX(coa_CF,MATCH(K306,coa_Name,0)),"")="Cash",1,0),0)</f>
        <v/>
      </c>
      <c r="R306" s="58">
        <f>IF((P306-Q306)=0,"",IFERROR(INDEX(coa_CF,MATCH(IF((P306-Q306)=1,K306,I306),coa_Name,0)),"Operating"))</f>
        <v/>
      </c>
      <c r="S306" s="95">
        <f>IF((P306-Q306)=1,L306,IF((P306-Q306)=-1,-J306,0))</f>
        <v/>
      </c>
      <c r="T306" s="95">
        <f>IF((P306-Q306)=1,N306,IF((P306-Q306)=-1,-M306,0))</f>
        <v/>
      </c>
      <c r="U306" s="101">
        <f>IF(AND(H306=1,LedAcct&lt;&gt;""),IF(AND(E306&gt;=LedFrom,E306&lt;=LedTo,OR(I306=LedAcct,K306=LedAcct,AND(LedAcct=acctTax,M306+N306&lt;&gt;0))),E306*10000+B306,""),"")</f>
        <v/>
      </c>
    </row>
    <row r="307">
      <c r="B307" s="101" t="n">
        <v>301</v>
      </c>
      <c r="C307" s="58" t="inlineStr">
        <is>
          <t>Transaction</t>
        </is>
      </c>
      <c r="D307" s="58">
        <f>IF(H307=1,INDEX(tx_ID,301)&amp;"","")</f>
        <v/>
      </c>
      <c r="E307" s="94">
        <f>IF(H307=1,INDEX(tx_Date,301),"")</f>
        <v/>
      </c>
      <c r="F307" s="58">
        <f>IF(H307=1,INDEX(tx_Desc,301)&amp;"","")</f>
        <v/>
      </c>
      <c r="G307" s="58">
        <f>IF(H307=1,IF(INDEX(tx_Cust,301)&amp;""&lt;&gt;"",INDEX(tx_Cust,301)&amp;"",INDEX(tx_Vend,301)&amp;""),"")</f>
        <v/>
      </c>
      <c r="H307" s="101">
        <f>IFERROR(N(INDEX(tx_Posted,301)),0)</f>
        <v/>
      </c>
      <c r="I307" s="58">
        <f>IF(H307=1,INDEX(tx_DrAcct,301)&amp;"","")</f>
        <v/>
      </c>
      <c r="J307" s="95">
        <f>IF(H307=1,INDEX(tx_DrAmt,301),0)</f>
        <v/>
      </c>
      <c r="K307" s="58">
        <f>IF(H307=1,INDEX(tx_CrAcct,301)&amp;"","")</f>
        <v/>
      </c>
      <c r="L307" s="95">
        <f>IF(H307=1,INDEX(tx_CrAmt,301),0)</f>
        <v/>
      </c>
      <c r="M307" s="95">
        <f>IF(H307=1,INDEX(tx_TaxDr,301),0)</f>
        <v/>
      </c>
      <c r="N307" s="95">
        <f>IF(H307=1,INDEX(tx_TaxCr,301),0)</f>
        <v/>
      </c>
      <c r="O307" s="101">
        <f>IF(H307=1,IF(E307&lt;FYStart,0,IF(E307&gt;FYEnd,13,YEAR(E307)*12+MONTH(E307)-FYYM+1)),"")</f>
        <v/>
      </c>
      <c r="P307" s="101">
        <f>IF(H307=1,IF(IFERROR(INDEX(coa_CF,MATCH(I307,coa_Name,0)),"")="Cash",1,0),0)</f>
        <v/>
      </c>
      <c r="Q307" s="101">
        <f>IF(H307=1,IF(IFERROR(INDEX(coa_CF,MATCH(K307,coa_Name,0)),"")="Cash",1,0),0)</f>
        <v/>
      </c>
      <c r="R307" s="58">
        <f>IF((P307-Q307)=0,"",IFERROR(INDEX(coa_CF,MATCH(IF((P307-Q307)=1,K307,I307),coa_Name,0)),"Operating"))</f>
        <v/>
      </c>
      <c r="S307" s="95">
        <f>IF((P307-Q307)=1,L307,IF((P307-Q307)=-1,-J307,0))</f>
        <v/>
      </c>
      <c r="T307" s="95">
        <f>IF((P307-Q307)=1,N307,IF((P307-Q307)=-1,-M307,0))</f>
        <v/>
      </c>
      <c r="U307" s="101">
        <f>IF(AND(H307=1,LedAcct&lt;&gt;""),IF(AND(E307&gt;=LedFrom,E307&lt;=LedTo,OR(I307=LedAcct,K307=LedAcct,AND(LedAcct=acctTax,M307+N307&lt;&gt;0))),E307*10000+B307,""),"")</f>
        <v/>
      </c>
    </row>
    <row r="308">
      <c r="B308" s="101" t="n">
        <v>302</v>
      </c>
      <c r="C308" s="58" t="inlineStr">
        <is>
          <t>Transaction</t>
        </is>
      </c>
      <c r="D308" s="58">
        <f>IF(H308=1,INDEX(tx_ID,302)&amp;"","")</f>
        <v/>
      </c>
      <c r="E308" s="94">
        <f>IF(H308=1,INDEX(tx_Date,302),"")</f>
        <v/>
      </c>
      <c r="F308" s="58">
        <f>IF(H308=1,INDEX(tx_Desc,302)&amp;"","")</f>
        <v/>
      </c>
      <c r="G308" s="58">
        <f>IF(H308=1,IF(INDEX(tx_Cust,302)&amp;""&lt;&gt;"",INDEX(tx_Cust,302)&amp;"",INDEX(tx_Vend,302)&amp;""),"")</f>
        <v/>
      </c>
      <c r="H308" s="101">
        <f>IFERROR(N(INDEX(tx_Posted,302)),0)</f>
        <v/>
      </c>
      <c r="I308" s="58">
        <f>IF(H308=1,INDEX(tx_DrAcct,302)&amp;"","")</f>
        <v/>
      </c>
      <c r="J308" s="95">
        <f>IF(H308=1,INDEX(tx_DrAmt,302),0)</f>
        <v/>
      </c>
      <c r="K308" s="58">
        <f>IF(H308=1,INDEX(tx_CrAcct,302)&amp;"","")</f>
        <v/>
      </c>
      <c r="L308" s="95">
        <f>IF(H308=1,INDEX(tx_CrAmt,302),0)</f>
        <v/>
      </c>
      <c r="M308" s="95">
        <f>IF(H308=1,INDEX(tx_TaxDr,302),0)</f>
        <v/>
      </c>
      <c r="N308" s="95">
        <f>IF(H308=1,INDEX(tx_TaxCr,302),0)</f>
        <v/>
      </c>
      <c r="O308" s="101">
        <f>IF(H308=1,IF(E308&lt;FYStart,0,IF(E308&gt;FYEnd,13,YEAR(E308)*12+MONTH(E308)-FYYM+1)),"")</f>
        <v/>
      </c>
      <c r="P308" s="101">
        <f>IF(H308=1,IF(IFERROR(INDEX(coa_CF,MATCH(I308,coa_Name,0)),"")="Cash",1,0),0)</f>
        <v/>
      </c>
      <c r="Q308" s="101">
        <f>IF(H308=1,IF(IFERROR(INDEX(coa_CF,MATCH(K308,coa_Name,0)),"")="Cash",1,0),0)</f>
        <v/>
      </c>
      <c r="R308" s="58">
        <f>IF((P308-Q308)=0,"",IFERROR(INDEX(coa_CF,MATCH(IF((P308-Q308)=1,K308,I308),coa_Name,0)),"Operating"))</f>
        <v/>
      </c>
      <c r="S308" s="95">
        <f>IF((P308-Q308)=1,L308,IF((P308-Q308)=-1,-J308,0))</f>
        <v/>
      </c>
      <c r="T308" s="95">
        <f>IF((P308-Q308)=1,N308,IF((P308-Q308)=-1,-M308,0))</f>
        <v/>
      </c>
      <c r="U308" s="101">
        <f>IF(AND(H308=1,LedAcct&lt;&gt;""),IF(AND(E308&gt;=LedFrom,E308&lt;=LedTo,OR(I308=LedAcct,K308=LedAcct,AND(LedAcct=acctTax,M308+N308&lt;&gt;0))),E308*10000+B308,""),"")</f>
        <v/>
      </c>
    </row>
    <row r="309">
      <c r="B309" s="101" t="n">
        <v>303</v>
      </c>
      <c r="C309" s="58" t="inlineStr">
        <is>
          <t>Transaction</t>
        </is>
      </c>
      <c r="D309" s="58">
        <f>IF(H309=1,INDEX(tx_ID,303)&amp;"","")</f>
        <v/>
      </c>
      <c r="E309" s="94">
        <f>IF(H309=1,INDEX(tx_Date,303),"")</f>
        <v/>
      </c>
      <c r="F309" s="58">
        <f>IF(H309=1,INDEX(tx_Desc,303)&amp;"","")</f>
        <v/>
      </c>
      <c r="G309" s="58">
        <f>IF(H309=1,IF(INDEX(tx_Cust,303)&amp;""&lt;&gt;"",INDEX(tx_Cust,303)&amp;"",INDEX(tx_Vend,303)&amp;""),"")</f>
        <v/>
      </c>
      <c r="H309" s="101">
        <f>IFERROR(N(INDEX(tx_Posted,303)),0)</f>
        <v/>
      </c>
      <c r="I309" s="58">
        <f>IF(H309=1,INDEX(tx_DrAcct,303)&amp;"","")</f>
        <v/>
      </c>
      <c r="J309" s="95">
        <f>IF(H309=1,INDEX(tx_DrAmt,303),0)</f>
        <v/>
      </c>
      <c r="K309" s="58">
        <f>IF(H309=1,INDEX(tx_CrAcct,303)&amp;"","")</f>
        <v/>
      </c>
      <c r="L309" s="95">
        <f>IF(H309=1,INDEX(tx_CrAmt,303),0)</f>
        <v/>
      </c>
      <c r="M309" s="95">
        <f>IF(H309=1,INDEX(tx_TaxDr,303),0)</f>
        <v/>
      </c>
      <c r="N309" s="95">
        <f>IF(H309=1,INDEX(tx_TaxCr,303),0)</f>
        <v/>
      </c>
      <c r="O309" s="101">
        <f>IF(H309=1,IF(E309&lt;FYStart,0,IF(E309&gt;FYEnd,13,YEAR(E309)*12+MONTH(E309)-FYYM+1)),"")</f>
        <v/>
      </c>
      <c r="P309" s="101">
        <f>IF(H309=1,IF(IFERROR(INDEX(coa_CF,MATCH(I309,coa_Name,0)),"")="Cash",1,0),0)</f>
        <v/>
      </c>
      <c r="Q309" s="101">
        <f>IF(H309=1,IF(IFERROR(INDEX(coa_CF,MATCH(K309,coa_Name,0)),"")="Cash",1,0),0)</f>
        <v/>
      </c>
      <c r="R309" s="58">
        <f>IF((P309-Q309)=0,"",IFERROR(INDEX(coa_CF,MATCH(IF((P309-Q309)=1,K309,I309),coa_Name,0)),"Operating"))</f>
        <v/>
      </c>
      <c r="S309" s="95">
        <f>IF((P309-Q309)=1,L309,IF((P309-Q309)=-1,-J309,0))</f>
        <v/>
      </c>
      <c r="T309" s="95">
        <f>IF((P309-Q309)=1,N309,IF((P309-Q309)=-1,-M309,0))</f>
        <v/>
      </c>
      <c r="U309" s="101">
        <f>IF(AND(H309=1,LedAcct&lt;&gt;""),IF(AND(E309&gt;=LedFrom,E309&lt;=LedTo,OR(I309=LedAcct,K309=LedAcct,AND(LedAcct=acctTax,M309+N309&lt;&gt;0))),E309*10000+B309,""),"")</f>
        <v/>
      </c>
    </row>
    <row r="310">
      <c r="B310" s="101" t="n">
        <v>304</v>
      </c>
      <c r="C310" s="58" t="inlineStr">
        <is>
          <t>Transaction</t>
        </is>
      </c>
      <c r="D310" s="58">
        <f>IF(H310=1,INDEX(tx_ID,304)&amp;"","")</f>
        <v/>
      </c>
      <c r="E310" s="94">
        <f>IF(H310=1,INDEX(tx_Date,304),"")</f>
        <v/>
      </c>
      <c r="F310" s="58">
        <f>IF(H310=1,INDEX(tx_Desc,304)&amp;"","")</f>
        <v/>
      </c>
      <c r="G310" s="58">
        <f>IF(H310=1,IF(INDEX(tx_Cust,304)&amp;""&lt;&gt;"",INDEX(tx_Cust,304)&amp;"",INDEX(tx_Vend,304)&amp;""),"")</f>
        <v/>
      </c>
      <c r="H310" s="101">
        <f>IFERROR(N(INDEX(tx_Posted,304)),0)</f>
        <v/>
      </c>
      <c r="I310" s="58">
        <f>IF(H310=1,INDEX(tx_DrAcct,304)&amp;"","")</f>
        <v/>
      </c>
      <c r="J310" s="95">
        <f>IF(H310=1,INDEX(tx_DrAmt,304),0)</f>
        <v/>
      </c>
      <c r="K310" s="58">
        <f>IF(H310=1,INDEX(tx_CrAcct,304)&amp;"","")</f>
        <v/>
      </c>
      <c r="L310" s="95">
        <f>IF(H310=1,INDEX(tx_CrAmt,304),0)</f>
        <v/>
      </c>
      <c r="M310" s="95">
        <f>IF(H310=1,INDEX(tx_TaxDr,304),0)</f>
        <v/>
      </c>
      <c r="N310" s="95">
        <f>IF(H310=1,INDEX(tx_TaxCr,304),0)</f>
        <v/>
      </c>
      <c r="O310" s="101">
        <f>IF(H310=1,IF(E310&lt;FYStart,0,IF(E310&gt;FYEnd,13,YEAR(E310)*12+MONTH(E310)-FYYM+1)),"")</f>
        <v/>
      </c>
      <c r="P310" s="101">
        <f>IF(H310=1,IF(IFERROR(INDEX(coa_CF,MATCH(I310,coa_Name,0)),"")="Cash",1,0),0)</f>
        <v/>
      </c>
      <c r="Q310" s="101">
        <f>IF(H310=1,IF(IFERROR(INDEX(coa_CF,MATCH(K310,coa_Name,0)),"")="Cash",1,0),0)</f>
        <v/>
      </c>
      <c r="R310" s="58">
        <f>IF((P310-Q310)=0,"",IFERROR(INDEX(coa_CF,MATCH(IF((P310-Q310)=1,K310,I310),coa_Name,0)),"Operating"))</f>
        <v/>
      </c>
      <c r="S310" s="95">
        <f>IF((P310-Q310)=1,L310,IF((P310-Q310)=-1,-J310,0))</f>
        <v/>
      </c>
      <c r="T310" s="95">
        <f>IF((P310-Q310)=1,N310,IF((P310-Q310)=-1,-M310,0))</f>
        <v/>
      </c>
      <c r="U310" s="101">
        <f>IF(AND(H310=1,LedAcct&lt;&gt;""),IF(AND(E310&gt;=LedFrom,E310&lt;=LedTo,OR(I310=LedAcct,K310=LedAcct,AND(LedAcct=acctTax,M310+N310&lt;&gt;0))),E310*10000+B310,""),"")</f>
        <v/>
      </c>
    </row>
    <row r="311">
      <c r="B311" s="101" t="n">
        <v>305</v>
      </c>
      <c r="C311" s="58" t="inlineStr">
        <is>
          <t>Transaction</t>
        </is>
      </c>
      <c r="D311" s="58">
        <f>IF(H311=1,INDEX(tx_ID,305)&amp;"","")</f>
        <v/>
      </c>
      <c r="E311" s="94">
        <f>IF(H311=1,INDEX(tx_Date,305),"")</f>
        <v/>
      </c>
      <c r="F311" s="58">
        <f>IF(H311=1,INDEX(tx_Desc,305)&amp;"","")</f>
        <v/>
      </c>
      <c r="G311" s="58">
        <f>IF(H311=1,IF(INDEX(tx_Cust,305)&amp;""&lt;&gt;"",INDEX(tx_Cust,305)&amp;"",INDEX(tx_Vend,305)&amp;""),"")</f>
        <v/>
      </c>
      <c r="H311" s="101">
        <f>IFERROR(N(INDEX(tx_Posted,305)),0)</f>
        <v/>
      </c>
      <c r="I311" s="58">
        <f>IF(H311=1,INDEX(tx_DrAcct,305)&amp;"","")</f>
        <v/>
      </c>
      <c r="J311" s="95">
        <f>IF(H311=1,INDEX(tx_DrAmt,305),0)</f>
        <v/>
      </c>
      <c r="K311" s="58">
        <f>IF(H311=1,INDEX(tx_CrAcct,305)&amp;"","")</f>
        <v/>
      </c>
      <c r="L311" s="95">
        <f>IF(H311=1,INDEX(tx_CrAmt,305),0)</f>
        <v/>
      </c>
      <c r="M311" s="95">
        <f>IF(H311=1,INDEX(tx_TaxDr,305),0)</f>
        <v/>
      </c>
      <c r="N311" s="95">
        <f>IF(H311=1,INDEX(tx_TaxCr,305),0)</f>
        <v/>
      </c>
      <c r="O311" s="101">
        <f>IF(H311=1,IF(E311&lt;FYStart,0,IF(E311&gt;FYEnd,13,YEAR(E311)*12+MONTH(E311)-FYYM+1)),"")</f>
        <v/>
      </c>
      <c r="P311" s="101">
        <f>IF(H311=1,IF(IFERROR(INDEX(coa_CF,MATCH(I311,coa_Name,0)),"")="Cash",1,0),0)</f>
        <v/>
      </c>
      <c r="Q311" s="101">
        <f>IF(H311=1,IF(IFERROR(INDEX(coa_CF,MATCH(K311,coa_Name,0)),"")="Cash",1,0),0)</f>
        <v/>
      </c>
      <c r="R311" s="58">
        <f>IF((P311-Q311)=0,"",IFERROR(INDEX(coa_CF,MATCH(IF((P311-Q311)=1,K311,I311),coa_Name,0)),"Operating"))</f>
        <v/>
      </c>
      <c r="S311" s="95">
        <f>IF((P311-Q311)=1,L311,IF((P311-Q311)=-1,-J311,0))</f>
        <v/>
      </c>
      <c r="T311" s="95">
        <f>IF((P311-Q311)=1,N311,IF((P311-Q311)=-1,-M311,0))</f>
        <v/>
      </c>
      <c r="U311" s="101">
        <f>IF(AND(H311=1,LedAcct&lt;&gt;""),IF(AND(E311&gt;=LedFrom,E311&lt;=LedTo,OR(I311=LedAcct,K311=LedAcct,AND(LedAcct=acctTax,M311+N311&lt;&gt;0))),E311*10000+B311,""),"")</f>
        <v/>
      </c>
    </row>
    <row r="312">
      <c r="B312" s="101" t="n">
        <v>306</v>
      </c>
      <c r="C312" s="58" t="inlineStr">
        <is>
          <t>Transaction</t>
        </is>
      </c>
      <c r="D312" s="58">
        <f>IF(H312=1,INDEX(tx_ID,306)&amp;"","")</f>
        <v/>
      </c>
      <c r="E312" s="94">
        <f>IF(H312=1,INDEX(tx_Date,306),"")</f>
        <v/>
      </c>
      <c r="F312" s="58">
        <f>IF(H312=1,INDEX(tx_Desc,306)&amp;"","")</f>
        <v/>
      </c>
      <c r="G312" s="58">
        <f>IF(H312=1,IF(INDEX(tx_Cust,306)&amp;""&lt;&gt;"",INDEX(tx_Cust,306)&amp;"",INDEX(tx_Vend,306)&amp;""),"")</f>
        <v/>
      </c>
      <c r="H312" s="101">
        <f>IFERROR(N(INDEX(tx_Posted,306)),0)</f>
        <v/>
      </c>
      <c r="I312" s="58">
        <f>IF(H312=1,INDEX(tx_DrAcct,306)&amp;"","")</f>
        <v/>
      </c>
      <c r="J312" s="95">
        <f>IF(H312=1,INDEX(tx_DrAmt,306),0)</f>
        <v/>
      </c>
      <c r="K312" s="58">
        <f>IF(H312=1,INDEX(tx_CrAcct,306)&amp;"","")</f>
        <v/>
      </c>
      <c r="L312" s="95">
        <f>IF(H312=1,INDEX(tx_CrAmt,306),0)</f>
        <v/>
      </c>
      <c r="M312" s="95">
        <f>IF(H312=1,INDEX(tx_TaxDr,306),0)</f>
        <v/>
      </c>
      <c r="N312" s="95">
        <f>IF(H312=1,INDEX(tx_TaxCr,306),0)</f>
        <v/>
      </c>
      <c r="O312" s="101">
        <f>IF(H312=1,IF(E312&lt;FYStart,0,IF(E312&gt;FYEnd,13,YEAR(E312)*12+MONTH(E312)-FYYM+1)),"")</f>
        <v/>
      </c>
      <c r="P312" s="101">
        <f>IF(H312=1,IF(IFERROR(INDEX(coa_CF,MATCH(I312,coa_Name,0)),"")="Cash",1,0),0)</f>
        <v/>
      </c>
      <c r="Q312" s="101">
        <f>IF(H312=1,IF(IFERROR(INDEX(coa_CF,MATCH(K312,coa_Name,0)),"")="Cash",1,0),0)</f>
        <v/>
      </c>
      <c r="R312" s="58">
        <f>IF((P312-Q312)=0,"",IFERROR(INDEX(coa_CF,MATCH(IF((P312-Q312)=1,K312,I312),coa_Name,0)),"Operating"))</f>
        <v/>
      </c>
      <c r="S312" s="95">
        <f>IF((P312-Q312)=1,L312,IF((P312-Q312)=-1,-J312,0))</f>
        <v/>
      </c>
      <c r="T312" s="95">
        <f>IF((P312-Q312)=1,N312,IF((P312-Q312)=-1,-M312,0))</f>
        <v/>
      </c>
      <c r="U312" s="101">
        <f>IF(AND(H312=1,LedAcct&lt;&gt;""),IF(AND(E312&gt;=LedFrom,E312&lt;=LedTo,OR(I312=LedAcct,K312=LedAcct,AND(LedAcct=acctTax,M312+N312&lt;&gt;0))),E312*10000+B312,""),"")</f>
        <v/>
      </c>
    </row>
    <row r="313">
      <c r="B313" s="101" t="n">
        <v>307</v>
      </c>
      <c r="C313" s="58" t="inlineStr">
        <is>
          <t>Transaction</t>
        </is>
      </c>
      <c r="D313" s="58">
        <f>IF(H313=1,INDEX(tx_ID,307)&amp;"","")</f>
        <v/>
      </c>
      <c r="E313" s="94">
        <f>IF(H313=1,INDEX(tx_Date,307),"")</f>
        <v/>
      </c>
      <c r="F313" s="58">
        <f>IF(H313=1,INDEX(tx_Desc,307)&amp;"","")</f>
        <v/>
      </c>
      <c r="G313" s="58">
        <f>IF(H313=1,IF(INDEX(tx_Cust,307)&amp;""&lt;&gt;"",INDEX(tx_Cust,307)&amp;"",INDEX(tx_Vend,307)&amp;""),"")</f>
        <v/>
      </c>
      <c r="H313" s="101">
        <f>IFERROR(N(INDEX(tx_Posted,307)),0)</f>
        <v/>
      </c>
      <c r="I313" s="58">
        <f>IF(H313=1,INDEX(tx_DrAcct,307)&amp;"","")</f>
        <v/>
      </c>
      <c r="J313" s="95">
        <f>IF(H313=1,INDEX(tx_DrAmt,307),0)</f>
        <v/>
      </c>
      <c r="K313" s="58">
        <f>IF(H313=1,INDEX(tx_CrAcct,307)&amp;"","")</f>
        <v/>
      </c>
      <c r="L313" s="95">
        <f>IF(H313=1,INDEX(tx_CrAmt,307),0)</f>
        <v/>
      </c>
      <c r="M313" s="95">
        <f>IF(H313=1,INDEX(tx_TaxDr,307),0)</f>
        <v/>
      </c>
      <c r="N313" s="95">
        <f>IF(H313=1,INDEX(tx_TaxCr,307),0)</f>
        <v/>
      </c>
      <c r="O313" s="101">
        <f>IF(H313=1,IF(E313&lt;FYStart,0,IF(E313&gt;FYEnd,13,YEAR(E313)*12+MONTH(E313)-FYYM+1)),"")</f>
        <v/>
      </c>
      <c r="P313" s="101">
        <f>IF(H313=1,IF(IFERROR(INDEX(coa_CF,MATCH(I313,coa_Name,0)),"")="Cash",1,0),0)</f>
        <v/>
      </c>
      <c r="Q313" s="101">
        <f>IF(H313=1,IF(IFERROR(INDEX(coa_CF,MATCH(K313,coa_Name,0)),"")="Cash",1,0),0)</f>
        <v/>
      </c>
      <c r="R313" s="58">
        <f>IF((P313-Q313)=0,"",IFERROR(INDEX(coa_CF,MATCH(IF((P313-Q313)=1,K313,I313),coa_Name,0)),"Operating"))</f>
        <v/>
      </c>
      <c r="S313" s="95">
        <f>IF((P313-Q313)=1,L313,IF((P313-Q313)=-1,-J313,0))</f>
        <v/>
      </c>
      <c r="T313" s="95">
        <f>IF((P313-Q313)=1,N313,IF((P313-Q313)=-1,-M313,0))</f>
        <v/>
      </c>
      <c r="U313" s="101">
        <f>IF(AND(H313=1,LedAcct&lt;&gt;""),IF(AND(E313&gt;=LedFrom,E313&lt;=LedTo,OR(I313=LedAcct,K313=LedAcct,AND(LedAcct=acctTax,M313+N313&lt;&gt;0))),E313*10000+B313,""),"")</f>
        <v/>
      </c>
    </row>
    <row r="314">
      <c r="B314" s="101" t="n">
        <v>308</v>
      </c>
      <c r="C314" s="58" t="inlineStr">
        <is>
          <t>Transaction</t>
        </is>
      </c>
      <c r="D314" s="58">
        <f>IF(H314=1,INDEX(tx_ID,308)&amp;"","")</f>
        <v/>
      </c>
      <c r="E314" s="94">
        <f>IF(H314=1,INDEX(tx_Date,308),"")</f>
        <v/>
      </c>
      <c r="F314" s="58">
        <f>IF(H314=1,INDEX(tx_Desc,308)&amp;"","")</f>
        <v/>
      </c>
      <c r="G314" s="58">
        <f>IF(H314=1,IF(INDEX(tx_Cust,308)&amp;""&lt;&gt;"",INDEX(tx_Cust,308)&amp;"",INDEX(tx_Vend,308)&amp;""),"")</f>
        <v/>
      </c>
      <c r="H314" s="101">
        <f>IFERROR(N(INDEX(tx_Posted,308)),0)</f>
        <v/>
      </c>
      <c r="I314" s="58">
        <f>IF(H314=1,INDEX(tx_DrAcct,308)&amp;"","")</f>
        <v/>
      </c>
      <c r="J314" s="95">
        <f>IF(H314=1,INDEX(tx_DrAmt,308),0)</f>
        <v/>
      </c>
      <c r="K314" s="58">
        <f>IF(H314=1,INDEX(tx_CrAcct,308)&amp;"","")</f>
        <v/>
      </c>
      <c r="L314" s="95">
        <f>IF(H314=1,INDEX(tx_CrAmt,308),0)</f>
        <v/>
      </c>
      <c r="M314" s="95">
        <f>IF(H314=1,INDEX(tx_TaxDr,308),0)</f>
        <v/>
      </c>
      <c r="N314" s="95">
        <f>IF(H314=1,INDEX(tx_TaxCr,308),0)</f>
        <v/>
      </c>
      <c r="O314" s="101">
        <f>IF(H314=1,IF(E314&lt;FYStart,0,IF(E314&gt;FYEnd,13,YEAR(E314)*12+MONTH(E314)-FYYM+1)),"")</f>
        <v/>
      </c>
      <c r="P314" s="101">
        <f>IF(H314=1,IF(IFERROR(INDEX(coa_CF,MATCH(I314,coa_Name,0)),"")="Cash",1,0),0)</f>
        <v/>
      </c>
      <c r="Q314" s="101">
        <f>IF(H314=1,IF(IFERROR(INDEX(coa_CF,MATCH(K314,coa_Name,0)),"")="Cash",1,0),0)</f>
        <v/>
      </c>
      <c r="R314" s="58">
        <f>IF((P314-Q314)=0,"",IFERROR(INDEX(coa_CF,MATCH(IF((P314-Q314)=1,K314,I314),coa_Name,0)),"Operating"))</f>
        <v/>
      </c>
      <c r="S314" s="95">
        <f>IF((P314-Q314)=1,L314,IF((P314-Q314)=-1,-J314,0))</f>
        <v/>
      </c>
      <c r="T314" s="95">
        <f>IF((P314-Q314)=1,N314,IF((P314-Q314)=-1,-M314,0))</f>
        <v/>
      </c>
      <c r="U314" s="101">
        <f>IF(AND(H314=1,LedAcct&lt;&gt;""),IF(AND(E314&gt;=LedFrom,E314&lt;=LedTo,OR(I314=LedAcct,K314=LedAcct,AND(LedAcct=acctTax,M314+N314&lt;&gt;0))),E314*10000+B314,""),"")</f>
        <v/>
      </c>
    </row>
    <row r="315">
      <c r="B315" s="101" t="n">
        <v>309</v>
      </c>
      <c r="C315" s="58" t="inlineStr">
        <is>
          <t>Transaction</t>
        </is>
      </c>
      <c r="D315" s="58">
        <f>IF(H315=1,INDEX(tx_ID,309)&amp;"","")</f>
        <v/>
      </c>
      <c r="E315" s="94">
        <f>IF(H315=1,INDEX(tx_Date,309),"")</f>
        <v/>
      </c>
      <c r="F315" s="58">
        <f>IF(H315=1,INDEX(tx_Desc,309)&amp;"","")</f>
        <v/>
      </c>
      <c r="G315" s="58">
        <f>IF(H315=1,IF(INDEX(tx_Cust,309)&amp;""&lt;&gt;"",INDEX(tx_Cust,309)&amp;"",INDEX(tx_Vend,309)&amp;""),"")</f>
        <v/>
      </c>
      <c r="H315" s="101">
        <f>IFERROR(N(INDEX(tx_Posted,309)),0)</f>
        <v/>
      </c>
      <c r="I315" s="58">
        <f>IF(H315=1,INDEX(tx_DrAcct,309)&amp;"","")</f>
        <v/>
      </c>
      <c r="J315" s="95">
        <f>IF(H315=1,INDEX(tx_DrAmt,309),0)</f>
        <v/>
      </c>
      <c r="K315" s="58">
        <f>IF(H315=1,INDEX(tx_CrAcct,309)&amp;"","")</f>
        <v/>
      </c>
      <c r="L315" s="95">
        <f>IF(H315=1,INDEX(tx_CrAmt,309),0)</f>
        <v/>
      </c>
      <c r="M315" s="95">
        <f>IF(H315=1,INDEX(tx_TaxDr,309),0)</f>
        <v/>
      </c>
      <c r="N315" s="95">
        <f>IF(H315=1,INDEX(tx_TaxCr,309),0)</f>
        <v/>
      </c>
      <c r="O315" s="101">
        <f>IF(H315=1,IF(E315&lt;FYStart,0,IF(E315&gt;FYEnd,13,YEAR(E315)*12+MONTH(E315)-FYYM+1)),"")</f>
        <v/>
      </c>
      <c r="P315" s="101">
        <f>IF(H315=1,IF(IFERROR(INDEX(coa_CF,MATCH(I315,coa_Name,0)),"")="Cash",1,0),0)</f>
        <v/>
      </c>
      <c r="Q315" s="101">
        <f>IF(H315=1,IF(IFERROR(INDEX(coa_CF,MATCH(K315,coa_Name,0)),"")="Cash",1,0),0)</f>
        <v/>
      </c>
      <c r="R315" s="58">
        <f>IF((P315-Q315)=0,"",IFERROR(INDEX(coa_CF,MATCH(IF((P315-Q315)=1,K315,I315),coa_Name,0)),"Operating"))</f>
        <v/>
      </c>
      <c r="S315" s="95">
        <f>IF((P315-Q315)=1,L315,IF((P315-Q315)=-1,-J315,0))</f>
        <v/>
      </c>
      <c r="T315" s="95">
        <f>IF((P315-Q315)=1,N315,IF((P315-Q315)=-1,-M315,0))</f>
        <v/>
      </c>
      <c r="U315" s="101">
        <f>IF(AND(H315=1,LedAcct&lt;&gt;""),IF(AND(E315&gt;=LedFrom,E315&lt;=LedTo,OR(I315=LedAcct,K315=LedAcct,AND(LedAcct=acctTax,M315+N315&lt;&gt;0))),E315*10000+B315,""),"")</f>
        <v/>
      </c>
    </row>
    <row r="316">
      <c r="B316" s="101" t="n">
        <v>310</v>
      </c>
      <c r="C316" s="58" t="inlineStr">
        <is>
          <t>Transaction</t>
        </is>
      </c>
      <c r="D316" s="58">
        <f>IF(H316=1,INDEX(tx_ID,310)&amp;"","")</f>
        <v/>
      </c>
      <c r="E316" s="94">
        <f>IF(H316=1,INDEX(tx_Date,310),"")</f>
        <v/>
      </c>
      <c r="F316" s="58">
        <f>IF(H316=1,INDEX(tx_Desc,310)&amp;"","")</f>
        <v/>
      </c>
      <c r="G316" s="58">
        <f>IF(H316=1,IF(INDEX(tx_Cust,310)&amp;""&lt;&gt;"",INDEX(tx_Cust,310)&amp;"",INDEX(tx_Vend,310)&amp;""),"")</f>
        <v/>
      </c>
      <c r="H316" s="101">
        <f>IFERROR(N(INDEX(tx_Posted,310)),0)</f>
        <v/>
      </c>
      <c r="I316" s="58">
        <f>IF(H316=1,INDEX(tx_DrAcct,310)&amp;"","")</f>
        <v/>
      </c>
      <c r="J316" s="95">
        <f>IF(H316=1,INDEX(tx_DrAmt,310),0)</f>
        <v/>
      </c>
      <c r="K316" s="58">
        <f>IF(H316=1,INDEX(tx_CrAcct,310)&amp;"","")</f>
        <v/>
      </c>
      <c r="L316" s="95">
        <f>IF(H316=1,INDEX(tx_CrAmt,310),0)</f>
        <v/>
      </c>
      <c r="M316" s="95">
        <f>IF(H316=1,INDEX(tx_TaxDr,310),0)</f>
        <v/>
      </c>
      <c r="N316" s="95">
        <f>IF(H316=1,INDEX(tx_TaxCr,310),0)</f>
        <v/>
      </c>
      <c r="O316" s="101">
        <f>IF(H316=1,IF(E316&lt;FYStart,0,IF(E316&gt;FYEnd,13,YEAR(E316)*12+MONTH(E316)-FYYM+1)),"")</f>
        <v/>
      </c>
      <c r="P316" s="101">
        <f>IF(H316=1,IF(IFERROR(INDEX(coa_CF,MATCH(I316,coa_Name,0)),"")="Cash",1,0),0)</f>
        <v/>
      </c>
      <c r="Q316" s="101">
        <f>IF(H316=1,IF(IFERROR(INDEX(coa_CF,MATCH(K316,coa_Name,0)),"")="Cash",1,0),0)</f>
        <v/>
      </c>
      <c r="R316" s="58">
        <f>IF((P316-Q316)=0,"",IFERROR(INDEX(coa_CF,MATCH(IF((P316-Q316)=1,K316,I316),coa_Name,0)),"Operating"))</f>
        <v/>
      </c>
      <c r="S316" s="95">
        <f>IF((P316-Q316)=1,L316,IF((P316-Q316)=-1,-J316,0))</f>
        <v/>
      </c>
      <c r="T316" s="95">
        <f>IF((P316-Q316)=1,N316,IF((P316-Q316)=-1,-M316,0))</f>
        <v/>
      </c>
      <c r="U316" s="101">
        <f>IF(AND(H316=1,LedAcct&lt;&gt;""),IF(AND(E316&gt;=LedFrom,E316&lt;=LedTo,OR(I316=LedAcct,K316=LedAcct,AND(LedAcct=acctTax,M316+N316&lt;&gt;0))),E316*10000+B316,""),"")</f>
        <v/>
      </c>
    </row>
    <row r="317">
      <c r="B317" s="101" t="n">
        <v>311</v>
      </c>
      <c r="C317" s="58" t="inlineStr">
        <is>
          <t>Transaction</t>
        </is>
      </c>
      <c r="D317" s="58">
        <f>IF(H317=1,INDEX(tx_ID,311)&amp;"","")</f>
        <v/>
      </c>
      <c r="E317" s="94">
        <f>IF(H317=1,INDEX(tx_Date,311),"")</f>
        <v/>
      </c>
      <c r="F317" s="58">
        <f>IF(H317=1,INDEX(tx_Desc,311)&amp;"","")</f>
        <v/>
      </c>
      <c r="G317" s="58">
        <f>IF(H317=1,IF(INDEX(tx_Cust,311)&amp;""&lt;&gt;"",INDEX(tx_Cust,311)&amp;"",INDEX(tx_Vend,311)&amp;""),"")</f>
        <v/>
      </c>
      <c r="H317" s="101">
        <f>IFERROR(N(INDEX(tx_Posted,311)),0)</f>
        <v/>
      </c>
      <c r="I317" s="58">
        <f>IF(H317=1,INDEX(tx_DrAcct,311)&amp;"","")</f>
        <v/>
      </c>
      <c r="J317" s="95">
        <f>IF(H317=1,INDEX(tx_DrAmt,311),0)</f>
        <v/>
      </c>
      <c r="K317" s="58">
        <f>IF(H317=1,INDEX(tx_CrAcct,311)&amp;"","")</f>
        <v/>
      </c>
      <c r="L317" s="95">
        <f>IF(H317=1,INDEX(tx_CrAmt,311),0)</f>
        <v/>
      </c>
      <c r="M317" s="95">
        <f>IF(H317=1,INDEX(tx_TaxDr,311),0)</f>
        <v/>
      </c>
      <c r="N317" s="95">
        <f>IF(H317=1,INDEX(tx_TaxCr,311),0)</f>
        <v/>
      </c>
      <c r="O317" s="101">
        <f>IF(H317=1,IF(E317&lt;FYStart,0,IF(E317&gt;FYEnd,13,YEAR(E317)*12+MONTH(E317)-FYYM+1)),"")</f>
        <v/>
      </c>
      <c r="P317" s="101">
        <f>IF(H317=1,IF(IFERROR(INDEX(coa_CF,MATCH(I317,coa_Name,0)),"")="Cash",1,0),0)</f>
        <v/>
      </c>
      <c r="Q317" s="101">
        <f>IF(H317=1,IF(IFERROR(INDEX(coa_CF,MATCH(K317,coa_Name,0)),"")="Cash",1,0),0)</f>
        <v/>
      </c>
      <c r="R317" s="58">
        <f>IF((P317-Q317)=0,"",IFERROR(INDEX(coa_CF,MATCH(IF((P317-Q317)=1,K317,I317),coa_Name,0)),"Operating"))</f>
        <v/>
      </c>
      <c r="S317" s="95">
        <f>IF((P317-Q317)=1,L317,IF((P317-Q317)=-1,-J317,0))</f>
        <v/>
      </c>
      <c r="T317" s="95">
        <f>IF((P317-Q317)=1,N317,IF((P317-Q317)=-1,-M317,0))</f>
        <v/>
      </c>
      <c r="U317" s="101">
        <f>IF(AND(H317=1,LedAcct&lt;&gt;""),IF(AND(E317&gt;=LedFrom,E317&lt;=LedTo,OR(I317=LedAcct,K317=LedAcct,AND(LedAcct=acctTax,M317+N317&lt;&gt;0))),E317*10000+B317,""),"")</f>
        <v/>
      </c>
    </row>
    <row r="318">
      <c r="B318" s="101" t="n">
        <v>312</v>
      </c>
      <c r="C318" s="58" t="inlineStr">
        <is>
          <t>Transaction</t>
        </is>
      </c>
      <c r="D318" s="58">
        <f>IF(H318=1,INDEX(tx_ID,312)&amp;"","")</f>
        <v/>
      </c>
      <c r="E318" s="94">
        <f>IF(H318=1,INDEX(tx_Date,312),"")</f>
        <v/>
      </c>
      <c r="F318" s="58">
        <f>IF(H318=1,INDEX(tx_Desc,312)&amp;"","")</f>
        <v/>
      </c>
      <c r="G318" s="58">
        <f>IF(H318=1,IF(INDEX(tx_Cust,312)&amp;""&lt;&gt;"",INDEX(tx_Cust,312)&amp;"",INDEX(tx_Vend,312)&amp;""),"")</f>
        <v/>
      </c>
      <c r="H318" s="101">
        <f>IFERROR(N(INDEX(tx_Posted,312)),0)</f>
        <v/>
      </c>
      <c r="I318" s="58">
        <f>IF(H318=1,INDEX(tx_DrAcct,312)&amp;"","")</f>
        <v/>
      </c>
      <c r="J318" s="95">
        <f>IF(H318=1,INDEX(tx_DrAmt,312),0)</f>
        <v/>
      </c>
      <c r="K318" s="58">
        <f>IF(H318=1,INDEX(tx_CrAcct,312)&amp;"","")</f>
        <v/>
      </c>
      <c r="L318" s="95">
        <f>IF(H318=1,INDEX(tx_CrAmt,312),0)</f>
        <v/>
      </c>
      <c r="M318" s="95">
        <f>IF(H318=1,INDEX(tx_TaxDr,312),0)</f>
        <v/>
      </c>
      <c r="N318" s="95">
        <f>IF(H318=1,INDEX(tx_TaxCr,312),0)</f>
        <v/>
      </c>
      <c r="O318" s="101">
        <f>IF(H318=1,IF(E318&lt;FYStart,0,IF(E318&gt;FYEnd,13,YEAR(E318)*12+MONTH(E318)-FYYM+1)),"")</f>
        <v/>
      </c>
      <c r="P318" s="101">
        <f>IF(H318=1,IF(IFERROR(INDEX(coa_CF,MATCH(I318,coa_Name,0)),"")="Cash",1,0),0)</f>
        <v/>
      </c>
      <c r="Q318" s="101">
        <f>IF(H318=1,IF(IFERROR(INDEX(coa_CF,MATCH(K318,coa_Name,0)),"")="Cash",1,0),0)</f>
        <v/>
      </c>
      <c r="R318" s="58">
        <f>IF((P318-Q318)=0,"",IFERROR(INDEX(coa_CF,MATCH(IF((P318-Q318)=1,K318,I318),coa_Name,0)),"Operating"))</f>
        <v/>
      </c>
      <c r="S318" s="95">
        <f>IF((P318-Q318)=1,L318,IF((P318-Q318)=-1,-J318,0))</f>
        <v/>
      </c>
      <c r="T318" s="95">
        <f>IF((P318-Q318)=1,N318,IF((P318-Q318)=-1,-M318,0))</f>
        <v/>
      </c>
      <c r="U318" s="101">
        <f>IF(AND(H318=1,LedAcct&lt;&gt;""),IF(AND(E318&gt;=LedFrom,E318&lt;=LedTo,OR(I318=LedAcct,K318=LedAcct,AND(LedAcct=acctTax,M318+N318&lt;&gt;0))),E318*10000+B318,""),"")</f>
        <v/>
      </c>
    </row>
    <row r="319">
      <c r="B319" s="101" t="n">
        <v>313</v>
      </c>
      <c r="C319" s="58" t="inlineStr">
        <is>
          <t>Transaction</t>
        </is>
      </c>
      <c r="D319" s="58">
        <f>IF(H319=1,INDEX(tx_ID,313)&amp;"","")</f>
        <v/>
      </c>
      <c r="E319" s="94">
        <f>IF(H319=1,INDEX(tx_Date,313),"")</f>
        <v/>
      </c>
      <c r="F319" s="58">
        <f>IF(H319=1,INDEX(tx_Desc,313)&amp;"","")</f>
        <v/>
      </c>
      <c r="G319" s="58">
        <f>IF(H319=1,IF(INDEX(tx_Cust,313)&amp;""&lt;&gt;"",INDEX(tx_Cust,313)&amp;"",INDEX(tx_Vend,313)&amp;""),"")</f>
        <v/>
      </c>
      <c r="H319" s="101">
        <f>IFERROR(N(INDEX(tx_Posted,313)),0)</f>
        <v/>
      </c>
      <c r="I319" s="58">
        <f>IF(H319=1,INDEX(tx_DrAcct,313)&amp;"","")</f>
        <v/>
      </c>
      <c r="J319" s="95">
        <f>IF(H319=1,INDEX(tx_DrAmt,313),0)</f>
        <v/>
      </c>
      <c r="K319" s="58">
        <f>IF(H319=1,INDEX(tx_CrAcct,313)&amp;"","")</f>
        <v/>
      </c>
      <c r="L319" s="95">
        <f>IF(H319=1,INDEX(tx_CrAmt,313),0)</f>
        <v/>
      </c>
      <c r="M319" s="95">
        <f>IF(H319=1,INDEX(tx_TaxDr,313),0)</f>
        <v/>
      </c>
      <c r="N319" s="95">
        <f>IF(H319=1,INDEX(tx_TaxCr,313),0)</f>
        <v/>
      </c>
      <c r="O319" s="101">
        <f>IF(H319=1,IF(E319&lt;FYStart,0,IF(E319&gt;FYEnd,13,YEAR(E319)*12+MONTH(E319)-FYYM+1)),"")</f>
        <v/>
      </c>
      <c r="P319" s="101">
        <f>IF(H319=1,IF(IFERROR(INDEX(coa_CF,MATCH(I319,coa_Name,0)),"")="Cash",1,0),0)</f>
        <v/>
      </c>
      <c r="Q319" s="101">
        <f>IF(H319=1,IF(IFERROR(INDEX(coa_CF,MATCH(K319,coa_Name,0)),"")="Cash",1,0),0)</f>
        <v/>
      </c>
      <c r="R319" s="58">
        <f>IF((P319-Q319)=0,"",IFERROR(INDEX(coa_CF,MATCH(IF((P319-Q319)=1,K319,I319),coa_Name,0)),"Operating"))</f>
        <v/>
      </c>
      <c r="S319" s="95">
        <f>IF((P319-Q319)=1,L319,IF((P319-Q319)=-1,-J319,0))</f>
        <v/>
      </c>
      <c r="T319" s="95">
        <f>IF((P319-Q319)=1,N319,IF((P319-Q319)=-1,-M319,0))</f>
        <v/>
      </c>
      <c r="U319" s="101">
        <f>IF(AND(H319=1,LedAcct&lt;&gt;""),IF(AND(E319&gt;=LedFrom,E319&lt;=LedTo,OR(I319=LedAcct,K319=LedAcct,AND(LedAcct=acctTax,M319+N319&lt;&gt;0))),E319*10000+B319,""),"")</f>
        <v/>
      </c>
    </row>
    <row r="320">
      <c r="B320" s="101" t="n">
        <v>314</v>
      </c>
      <c r="C320" s="58" t="inlineStr">
        <is>
          <t>Transaction</t>
        </is>
      </c>
      <c r="D320" s="58">
        <f>IF(H320=1,INDEX(tx_ID,314)&amp;"","")</f>
        <v/>
      </c>
      <c r="E320" s="94">
        <f>IF(H320=1,INDEX(tx_Date,314),"")</f>
        <v/>
      </c>
      <c r="F320" s="58">
        <f>IF(H320=1,INDEX(tx_Desc,314)&amp;"","")</f>
        <v/>
      </c>
      <c r="G320" s="58">
        <f>IF(H320=1,IF(INDEX(tx_Cust,314)&amp;""&lt;&gt;"",INDEX(tx_Cust,314)&amp;"",INDEX(tx_Vend,314)&amp;""),"")</f>
        <v/>
      </c>
      <c r="H320" s="101">
        <f>IFERROR(N(INDEX(tx_Posted,314)),0)</f>
        <v/>
      </c>
      <c r="I320" s="58">
        <f>IF(H320=1,INDEX(tx_DrAcct,314)&amp;"","")</f>
        <v/>
      </c>
      <c r="J320" s="95">
        <f>IF(H320=1,INDEX(tx_DrAmt,314),0)</f>
        <v/>
      </c>
      <c r="K320" s="58">
        <f>IF(H320=1,INDEX(tx_CrAcct,314)&amp;"","")</f>
        <v/>
      </c>
      <c r="L320" s="95">
        <f>IF(H320=1,INDEX(tx_CrAmt,314),0)</f>
        <v/>
      </c>
      <c r="M320" s="95">
        <f>IF(H320=1,INDEX(tx_TaxDr,314),0)</f>
        <v/>
      </c>
      <c r="N320" s="95">
        <f>IF(H320=1,INDEX(tx_TaxCr,314),0)</f>
        <v/>
      </c>
      <c r="O320" s="101">
        <f>IF(H320=1,IF(E320&lt;FYStart,0,IF(E320&gt;FYEnd,13,YEAR(E320)*12+MONTH(E320)-FYYM+1)),"")</f>
        <v/>
      </c>
      <c r="P320" s="101">
        <f>IF(H320=1,IF(IFERROR(INDEX(coa_CF,MATCH(I320,coa_Name,0)),"")="Cash",1,0),0)</f>
        <v/>
      </c>
      <c r="Q320" s="101">
        <f>IF(H320=1,IF(IFERROR(INDEX(coa_CF,MATCH(K320,coa_Name,0)),"")="Cash",1,0),0)</f>
        <v/>
      </c>
      <c r="R320" s="58">
        <f>IF((P320-Q320)=0,"",IFERROR(INDEX(coa_CF,MATCH(IF((P320-Q320)=1,K320,I320),coa_Name,0)),"Operating"))</f>
        <v/>
      </c>
      <c r="S320" s="95">
        <f>IF((P320-Q320)=1,L320,IF((P320-Q320)=-1,-J320,0))</f>
        <v/>
      </c>
      <c r="T320" s="95">
        <f>IF((P320-Q320)=1,N320,IF((P320-Q320)=-1,-M320,0))</f>
        <v/>
      </c>
      <c r="U320" s="101">
        <f>IF(AND(H320=1,LedAcct&lt;&gt;""),IF(AND(E320&gt;=LedFrom,E320&lt;=LedTo,OR(I320=LedAcct,K320=LedAcct,AND(LedAcct=acctTax,M320+N320&lt;&gt;0))),E320*10000+B320,""),"")</f>
        <v/>
      </c>
    </row>
    <row r="321">
      <c r="B321" s="101" t="n">
        <v>315</v>
      </c>
      <c r="C321" s="58" t="inlineStr">
        <is>
          <t>Transaction</t>
        </is>
      </c>
      <c r="D321" s="58">
        <f>IF(H321=1,INDEX(tx_ID,315)&amp;"","")</f>
        <v/>
      </c>
      <c r="E321" s="94">
        <f>IF(H321=1,INDEX(tx_Date,315),"")</f>
        <v/>
      </c>
      <c r="F321" s="58">
        <f>IF(H321=1,INDEX(tx_Desc,315)&amp;"","")</f>
        <v/>
      </c>
      <c r="G321" s="58">
        <f>IF(H321=1,IF(INDEX(tx_Cust,315)&amp;""&lt;&gt;"",INDEX(tx_Cust,315)&amp;"",INDEX(tx_Vend,315)&amp;""),"")</f>
        <v/>
      </c>
      <c r="H321" s="101">
        <f>IFERROR(N(INDEX(tx_Posted,315)),0)</f>
        <v/>
      </c>
      <c r="I321" s="58">
        <f>IF(H321=1,INDEX(tx_DrAcct,315)&amp;"","")</f>
        <v/>
      </c>
      <c r="J321" s="95">
        <f>IF(H321=1,INDEX(tx_DrAmt,315),0)</f>
        <v/>
      </c>
      <c r="K321" s="58">
        <f>IF(H321=1,INDEX(tx_CrAcct,315)&amp;"","")</f>
        <v/>
      </c>
      <c r="L321" s="95">
        <f>IF(H321=1,INDEX(tx_CrAmt,315),0)</f>
        <v/>
      </c>
      <c r="M321" s="95">
        <f>IF(H321=1,INDEX(tx_TaxDr,315),0)</f>
        <v/>
      </c>
      <c r="N321" s="95">
        <f>IF(H321=1,INDEX(tx_TaxCr,315),0)</f>
        <v/>
      </c>
      <c r="O321" s="101">
        <f>IF(H321=1,IF(E321&lt;FYStart,0,IF(E321&gt;FYEnd,13,YEAR(E321)*12+MONTH(E321)-FYYM+1)),"")</f>
        <v/>
      </c>
      <c r="P321" s="101">
        <f>IF(H321=1,IF(IFERROR(INDEX(coa_CF,MATCH(I321,coa_Name,0)),"")="Cash",1,0),0)</f>
        <v/>
      </c>
      <c r="Q321" s="101">
        <f>IF(H321=1,IF(IFERROR(INDEX(coa_CF,MATCH(K321,coa_Name,0)),"")="Cash",1,0),0)</f>
        <v/>
      </c>
      <c r="R321" s="58">
        <f>IF((P321-Q321)=0,"",IFERROR(INDEX(coa_CF,MATCH(IF((P321-Q321)=1,K321,I321),coa_Name,0)),"Operating"))</f>
        <v/>
      </c>
      <c r="S321" s="95">
        <f>IF((P321-Q321)=1,L321,IF((P321-Q321)=-1,-J321,0))</f>
        <v/>
      </c>
      <c r="T321" s="95">
        <f>IF((P321-Q321)=1,N321,IF((P321-Q321)=-1,-M321,0))</f>
        <v/>
      </c>
      <c r="U321" s="101">
        <f>IF(AND(H321=1,LedAcct&lt;&gt;""),IF(AND(E321&gt;=LedFrom,E321&lt;=LedTo,OR(I321=LedAcct,K321=LedAcct,AND(LedAcct=acctTax,M321+N321&lt;&gt;0))),E321*10000+B321,""),"")</f>
        <v/>
      </c>
    </row>
    <row r="322">
      <c r="B322" s="101" t="n">
        <v>316</v>
      </c>
      <c r="C322" s="58" t="inlineStr">
        <is>
          <t>Transaction</t>
        </is>
      </c>
      <c r="D322" s="58">
        <f>IF(H322=1,INDEX(tx_ID,316)&amp;"","")</f>
        <v/>
      </c>
      <c r="E322" s="94">
        <f>IF(H322=1,INDEX(tx_Date,316),"")</f>
        <v/>
      </c>
      <c r="F322" s="58">
        <f>IF(H322=1,INDEX(tx_Desc,316)&amp;"","")</f>
        <v/>
      </c>
      <c r="G322" s="58">
        <f>IF(H322=1,IF(INDEX(tx_Cust,316)&amp;""&lt;&gt;"",INDEX(tx_Cust,316)&amp;"",INDEX(tx_Vend,316)&amp;""),"")</f>
        <v/>
      </c>
      <c r="H322" s="101">
        <f>IFERROR(N(INDEX(tx_Posted,316)),0)</f>
        <v/>
      </c>
      <c r="I322" s="58">
        <f>IF(H322=1,INDEX(tx_DrAcct,316)&amp;"","")</f>
        <v/>
      </c>
      <c r="J322" s="95">
        <f>IF(H322=1,INDEX(tx_DrAmt,316),0)</f>
        <v/>
      </c>
      <c r="K322" s="58">
        <f>IF(H322=1,INDEX(tx_CrAcct,316)&amp;"","")</f>
        <v/>
      </c>
      <c r="L322" s="95">
        <f>IF(H322=1,INDEX(tx_CrAmt,316),0)</f>
        <v/>
      </c>
      <c r="M322" s="95">
        <f>IF(H322=1,INDEX(tx_TaxDr,316),0)</f>
        <v/>
      </c>
      <c r="N322" s="95">
        <f>IF(H322=1,INDEX(tx_TaxCr,316),0)</f>
        <v/>
      </c>
      <c r="O322" s="101">
        <f>IF(H322=1,IF(E322&lt;FYStart,0,IF(E322&gt;FYEnd,13,YEAR(E322)*12+MONTH(E322)-FYYM+1)),"")</f>
        <v/>
      </c>
      <c r="P322" s="101">
        <f>IF(H322=1,IF(IFERROR(INDEX(coa_CF,MATCH(I322,coa_Name,0)),"")="Cash",1,0),0)</f>
        <v/>
      </c>
      <c r="Q322" s="101">
        <f>IF(H322=1,IF(IFERROR(INDEX(coa_CF,MATCH(K322,coa_Name,0)),"")="Cash",1,0),0)</f>
        <v/>
      </c>
      <c r="R322" s="58">
        <f>IF((P322-Q322)=0,"",IFERROR(INDEX(coa_CF,MATCH(IF((P322-Q322)=1,K322,I322),coa_Name,0)),"Operating"))</f>
        <v/>
      </c>
      <c r="S322" s="95">
        <f>IF((P322-Q322)=1,L322,IF((P322-Q322)=-1,-J322,0))</f>
        <v/>
      </c>
      <c r="T322" s="95">
        <f>IF((P322-Q322)=1,N322,IF((P322-Q322)=-1,-M322,0))</f>
        <v/>
      </c>
      <c r="U322" s="101">
        <f>IF(AND(H322=1,LedAcct&lt;&gt;""),IF(AND(E322&gt;=LedFrom,E322&lt;=LedTo,OR(I322=LedAcct,K322=LedAcct,AND(LedAcct=acctTax,M322+N322&lt;&gt;0))),E322*10000+B322,""),"")</f>
        <v/>
      </c>
    </row>
    <row r="323">
      <c r="B323" s="101" t="n">
        <v>317</v>
      </c>
      <c r="C323" s="58" t="inlineStr">
        <is>
          <t>Transaction</t>
        </is>
      </c>
      <c r="D323" s="58">
        <f>IF(H323=1,INDEX(tx_ID,317)&amp;"","")</f>
        <v/>
      </c>
      <c r="E323" s="94">
        <f>IF(H323=1,INDEX(tx_Date,317),"")</f>
        <v/>
      </c>
      <c r="F323" s="58">
        <f>IF(H323=1,INDEX(tx_Desc,317)&amp;"","")</f>
        <v/>
      </c>
      <c r="G323" s="58">
        <f>IF(H323=1,IF(INDEX(tx_Cust,317)&amp;""&lt;&gt;"",INDEX(tx_Cust,317)&amp;"",INDEX(tx_Vend,317)&amp;""),"")</f>
        <v/>
      </c>
      <c r="H323" s="101">
        <f>IFERROR(N(INDEX(tx_Posted,317)),0)</f>
        <v/>
      </c>
      <c r="I323" s="58">
        <f>IF(H323=1,INDEX(tx_DrAcct,317)&amp;"","")</f>
        <v/>
      </c>
      <c r="J323" s="95">
        <f>IF(H323=1,INDEX(tx_DrAmt,317),0)</f>
        <v/>
      </c>
      <c r="K323" s="58">
        <f>IF(H323=1,INDEX(tx_CrAcct,317)&amp;"","")</f>
        <v/>
      </c>
      <c r="L323" s="95">
        <f>IF(H323=1,INDEX(tx_CrAmt,317),0)</f>
        <v/>
      </c>
      <c r="M323" s="95">
        <f>IF(H323=1,INDEX(tx_TaxDr,317),0)</f>
        <v/>
      </c>
      <c r="N323" s="95">
        <f>IF(H323=1,INDEX(tx_TaxCr,317),0)</f>
        <v/>
      </c>
      <c r="O323" s="101">
        <f>IF(H323=1,IF(E323&lt;FYStart,0,IF(E323&gt;FYEnd,13,YEAR(E323)*12+MONTH(E323)-FYYM+1)),"")</f>
        <v/>
      </c>
      <c r="P323" s="101">
        <f>IF(H323=1,IF(IFERROR(INDEX(coa_CF,MATCH(I323,coa_Name,0)),"")="Cash",1,0),0)</f>
        <v/>
      </c>
      <c r="Q323" s="101">
        <f>IF(H323=1,IF(IFERROR(INDEX(coa_CF,MATCH(K323,coa_Name,0)),"")="Cash",1,0),0)</f>
        <v/>
      </c>
      <c r="R323" s="58">
        <f>IF((P323-Q323)=0,"",IFERROR(INDEX(coa_CF,MATCH(IF((P323-Q323)=1,K323,I323),coa_Name,0)),"Operating"))</f>
        <v/>
      </c>
      <c r="S323" s="95">
        <f>IF((P323-Q323)=1,L323,IF((P323-Q323)=-1,-J323,0))</f>
        <v/>
      </c>
      <c r="T323" s="95">
        <f>IF((P323-Q323)=1,N323,IF((P323-Q323)=-1,-M323,0))</f>
        <v/>
      </c>
      <c r="U323" s="101">
        <f>IF(AND(H323=1,LedAcct&lt;&gt;""),IF(AND(E323&gt;=LedFrom,E323&lt;=LedTo,OR(I323=LedAcct,K323=LedAcct,AND(LedAcct=acctTax,M323+N323&lt;&gt;0))),E323*10000+B323,""),"")</f>
        <v/>
      </c>
    </row>
    <row r="324">
      <c r="B324" s="101" t="n">
        <v>318</v>
      </c>
      <c r="C324" s="58" t="inlineStr">
        <is>
          <t>Transaction</t>
        </is>
      </c>
      <c r="D324" s="58">
        <f>IF(H324=1,INDEX(tx_ID,318)&amp;"","")</f>
        <v/>
      </c>
      <c r="E324" s="94">
        <f>IF(H324=1,INDEX(tx_Date,318),"")</f>
        <v/>
      </c>
      <c r="F324" s="58">
        <f>IF(H324=1,INDEX(tx_Desc,318)&amp;"","")</f>
        <v/>
      </c>
      <c r="G324" s="58">
        <f>IF(H324=1,IF(INDEX(tx_Cust,318)&amp;""&lt;&gt;"",INDEX(tx_Cust,318)&amp;"",INDEX(tx_Vend,318)&amp;""),"")</f>
        <v/>
      </c>
      <c r="H324" s="101">
        <f>IFERROR(N(INDEX(tx_Posted,318)),0)</f>
        <v/>
      </c>
      <c r="I324" s="58">
        <f>IF(H324=1,INDEX(tx_DrAcct,318)&amp;"","")</f>
        <v/>
      </c>
      <c r="J324" s="95">
        <f>IF(H324=1,INDEX(tx_DrAmt,318),0)</f>
        <v/>
      </c>
      <c r="K324" s="58">
        <f>IF(H324=1,INDEX(tx_CrAcct,318)&amp;"","")</f>
        <v/>
      </c>
      <c r="L324" s="95">
        <f>IF(H324=1,INDEX(tx_CrAmt,318),0)</f>
        <v/>
      </c>
      <c r="M324" s="95">
        <f>IF(H324=1,INDEX(tx_TaxDr,318),0)</f>
        <v/>
      </c>
      <c r="N324" s="95">
        <f>IF(H324=1,INDEX(tx_TaxCr,318),0)</f>
        <v/>
      </c>
      <c r="O324" s="101">
        <f>IF(H324=1,IF(E324&lt;FYStart,0,IF(E324&gt;FYEnd,13,YEAR(E324)*12+MONTH(E324)-FYYM+1)),"")</f>
        <v/>
      </c>
      <c r="P324" s="101">
        <f>IF(H324=1,IF(IFERROR(INDEX(coa_CF,MATCH(I324,coa_Name,0)),"")="Cash",1,0),0)</f>
        <v/>
      </c>
      <c r="Q324" s="101">
        <f>IF(H324=1,IF(IFERROR(INDEX(coa_CF,MATCH(K324,coa_Name,0)),"")="Cash",1,0),0)</f>
        <v/>
      </c>
      <c r="R324" s="58">
        <f>IF((P324-Q324)=0,"",IFERROR(INDEX(coa_CF,MATCH(IF((P324-Q324)=1,K324,I324),coa_Name,0)),"Operating"))</f>
        <v/>
      </c>
      <c r="S324" s="95">
        <f>IF((P324-Q324)=1,L324,IF((P324-Q324)=-1,-J324,0))</f>
        <v/>
      </c>
      <c r="T324" s="95">
        <f>IF((P324-Q324)=1,N324,IF((P324-Q324)=-1,-M324,0))</f>
        <v/>
      </c>
      <c r="U324" s="101">
        <f>IF(AND(H324=1,LedAcct&lt;&gt;""),IF(AND(E324&gt;=LedFrom,E324&lt;=LedTo,OR(I324=LedAcct,K324=LedAcct,AND(LedAcct=acctTax,M324+N324&lt;&gt;0))),E324*10000+B324,""),"")</f>
        <v/>
      </c>
    </row>
    <row r="325">
      <c r="B325" s="101" t="n">
        <v>319</v>
      </c>
      <c r="C325" s="58" t="inlineStr">
        <is>
          <t>Transaction</t>
        </is>
      </c>
      <c r="D325" s="58">
        <f>IF(H325=1,INDEX(tx_ID,319)&amp;"","")</f>
        <v/>
      </c>
      <c r="E325" s="94">
        <f>IF(H325=1,INDEX(tx_Date,319),"")</f>
        <v/>
      </c>
      <c r="F325" s="58">
        <f>IF(H325=1,INDEX(tx_Desc,319)&amp;"","")</f>
        <v/>
      </c>
      <c r="G325" s="58">
        <f>IF(H325=1,IF(INDEX(tx_Cust,319)&amp;""&lt;&gt;"",INDEX(tx_Cust,319)&amp;"",INDEX(tx_Vend,319)&amp;""),"")</f>
        <v/>
      </c>
      <c r="H325" s="101">
        <f>IFERROR(N(INDEX(tx_Posted,319)),0)</f>
        <v/>
      </c>
      <c r="I325" s="58">
        <f>IF(H325=1,INDEX(tx_DrAcct,319)&amp;"","")</f>
        <v/>
      </c>
      <c r="J325" s="95">
        <f>IF(H325=1,INDEX(tx_DrAmt,319),0)</f>
        <v/>
      </c>
      <c r="K325" s="58">
        <f>IF(H325=1,INDEX(tx_CrAcct,319)&amp;"","")</f>
        <v/>
      </c>
      <c r="L325" s="95">
        <f>IF(H325=1,INDEX(tx_CrAmt,319),0)</f>
        <v/>
      </c>
      <c r="M325" s="95">
        <f>IF(H325=1,INDEX(tx_TaxDr,319),0)</f>
        <v/>
      </c>
      <c r="N325" s="95">
        <f>IF(H325=1,INDEX(tx_TaxCr,319),0)</f>
        <v/>
      </c>
      <c r="O325" s="101">
        <f>IF(H325=1,IF(E325&lt;FYStart,0,IF(E325&gt;FYEnd,13,YEAR(E325)*12+MONTH(E325)-FYYM+1)),"")</f>
        <v/>
      </c>
      <c r="P325" s="101">
        <f>IF(H325=1,IF(IFERROR(INDEX(coa_CF,MATCH(I325,coa_Name,0)),"")="Cash",1,0),0)</f>
        <v/>
      </c>
      <c r="Q325" s="101">
        <f>IF(H325=1,IF(IFERROR(INDEX(coa_CF,MATCH(K325,coa_Name,0)),"")="Cash",1,0),0)</f>
        <v/>
      </c>
      <c r="R325" s="58">
        <f>IF((P325-Q325)=0,"",IFERROR(INDEX(coa_CF,MATCH(IF((P325-Q325)=1,K325,I325),coa_Name,0)),"Operating"))</f>
        <v/>
      </c>
      <c r="S325" s="95">
        <f>IF((P325-Q325)=1,L325,IF((P325-Q325)=-1,-J325,0))</f>
        <v/>
      </c>
      <c r="T325" s="95">
        <f>IF((P325-Q325)=1,N325,IF((P325-Q325)=-1,-M325,0))</f>
        <v/>
      </c>
      <c r="U325" s="101">
        <f>IF(AND(H325=1,LedAcct&lt;&gt;""),IF(AND(E325&gt;=LedFrom,E325&lt;=LedTo,OR(I325=LedAcct,K325=LedAcct,AND(LedAcct=acctTax,M325+N325&lt;&gt;0))),E325*10000+B325,""),"")</f>
        <v/>
      </c>
    </row>
    <row r="326">
      <c r="B326" s="101" t="n">
        <v>320</v>
      </c>
      <c r="C326" s="58" t="inlineStr">
        <is>
          <t>Transaction</t>
        </is>
      </c>
      <c r="D326" s="58">
        <f>IF(H326=1,INDEX(tx_ID,320)&amp;"","")</f>
        <v/>
      </c>
      <c r="E326" s="94">
        <f>IF(H326=1,INDEX(tx_Date,320),"")</f>
        <v/>
      </c>
      <c r="F326" s="58">
        <f>IF(H326=1,INDEX(tx_Desc,320)&amp;"","")</f>
        <v/>
      </c>
      <c r="G326" s="58">
        <f>IF(H326=1,IF(INDEX(tx_Cust,320)&amp;""&lt;&gt;"",INDEX(tx_Cust,320)&amp;"",INDEX(tx_Vend,320)&amp;""),"")</f>
        <v/>
      </c>
      <c r="H326" s="101">
        <f>IFERROR(N(INDEX(tx_Posted,320)),0)</f>
        <v/>
      </c>
      <c r="I326" s="58">
        <f>IF(H326=1,INDEX(tx_DrAcct,320)&amp;"","")</f>
        <v/>
      </c>
      <c r="J326" s="95">
        <f>IF(H326=1,INDEX(tx_DrAmt,320),0)</f>
        <v/>
      </c>
      <c r="K326" s="58">
        <f>IF(H326=1,INDEX(tx_CrAcct,320)&amp;"","")</f>
        <v/>
      </c>
      <c r="L326" s="95">
        <f>IF(H326=1,INDEX(tx_CrAmt,320),0)</f>
        <v/>
      </c>
      <c r="M326" s="95">
        <f>IF(H326=1,INDEX(tx_TaxDr,320),0)</f>
        <v/>
      </c>
      <c r="N326" s="95">
        <f>IF(H326=1,INDEX(tx_TaxCr,320),0)</f>
        <v/>
      </c>
      <c r="O326" s="101">
        <f>IF(H326=1,IF(E326&lt;FYStart,0,IF(E326&gt;FYEnd,13,YEAR(E326)*12+MONTH(E326)-FYYM+1)),"")</f>
        <v/>
      </c>
      <c r="P326" s="101">
        <f>IF(H326=1,IF(IFERROR(INDEX(coa_CF,MATCH(I326,coa_Name,0)),"")="Cash",1,0),0)</f>
        <v/>
      </c>
      <c r="Q326" s="101">
        <f>IF(H326=1,IF(IFERROR(INDEX(coa_CF,MATCH(K326,coa_Name,0)),"")="Cash",1,0),0)</f>
        <v/>
      </c>
      <c r="R326" s="58">
        <f>IF((P326-Q326)=0,"",IFERROR(INDEX(coa_CF,MATCH(IF((P326-Q326)=1,K326,I326),coa_Name,0)),"Operating"))</f>
        <v/>
      </c>
      <c r="S326" s="95">
        <f>IF((P326-Q326)=1,L326,IF((P326-Q326)=-1,-J326,0))</f>
        <v/>
      </c>
      <c r="T326" s="95">
        <f>IF((P326-Q326)=1,N326,IF((P326-Q326)=-1,-M326,0))</f>
        <v/>
      </c>
      <c r="U326" s="101">
        <f>IF(AND(H326=1,LedAcct&lt;&gt;""),IF(AND(E326&gt;=LedFrom,E326&lt;=LedTo,OR(I326=LedAcct,K326=LedAcct,AND(LedAcct=acctTax,M326+N326&lt;&gt;0))),E326*10000+B326,""),"")</f>
        <v/>
      </c>
    </row>
    <row r="327">
      <c r="B327" s="101" t="n">
        <v>321</v>
      </c>
      <c r="C327" s="58" t="inlineStr">
        <is>
          <t>Transaction</t>
        </is>
      </c>
      <c r="D327" s="58">
        <f>IF(H327=1,INDEX(tx_ID,321)&amp;"","")</f>
        <v/>
      </c>
      <c r="E327" s="94">
        <f>IF(H327=1,INDEX(tx_Date,321),"")</f>
        <v/>
      </c>
      <c r="F327" s="58">
        <f>IF(H327=1,INDEX(tx_Desc,321)&amp;"","")</f>
        <v/>
      </c>
      <c r="G327" s="58">
        <f>IF(H327=1,IF(INDEX(tx_Cust,321)&amp;""&lt;&gt;"",INDEX(tx_Cust,321)&amp;"",INDEX(tx_Vend,321)&amp;""),"")</f>
        <v/>
      </c>
      <c r="H327" s="101">
        <f>IFERROR(N(INDEX(tx_Posted,321)),0)</f>
        <v/>
      </c>
      <c r="I327" s="58">
        <f>IF(H327=1,INDEX(tx_DrAcct,321)&amp;"","")</f>
        <v/>
      </c>
      <c r="J327" s="95">
        <f>IF(H327=1,INDEX(tx_DrAmt,321),0)</f>
        <v/>
      </c>
      <c r="K327" s="58">
        <f>IF(H327=1,INDEX(tx_CrAcct,321)&amp;"","")</f>
        <v/>
      </c>
      <c r="L327" s="95">
        <f>IF(H327=1,INDEX(tx_CrAmt,321),0)</f>
        <v/>
      </c>
      <c r="M327" s="95">
        <f>IF(H327=1,INDEX(tx_TaxDr,321),0)</f>
        <v/>
      </c>
      <c r="N327" s="95">
        <f>IF(H327=1,INDEX(tx_TaxCr,321),0)</f>
        <v/>
      </c>
      <c r="O327" s="101">
        <f>IF(H327=1,IF(E327&lt;FYStart,0,IF(E327&gt;FYEnd,13,YEAR(E327)*12+MONTH(E327)-FYYM+1)),"")</f>
        <v/>
      </c>
      <c r="P327" s="101">
        <f>IF(H327=1,IF(IFERROR(INDEX(coa_CF,MATCH(I327,coa_Name,0)),"")="Cash",1,0),0)</f>
        <v/>
      </c>
      <c r="Q327" s="101">
        <f>IF(H327=1,IF(IFERROR(INDEX(coa_CF,MATCH(K327,coa_Name,0)),"")="Cash",1,0),0)</f>
        <v/>
      </c>
      <c r="R327" s="58">
        <f>IF((P327-Q327)=0,"",IFERROR(INDEX(coa_CF,MATCH(IF((P327-Q327)=1,K327,I327),coa_Name,0)),"Operating"))</f>
        <v/>
      </c>
      <c r="S327" s="95">
        <f>IF((P327-Q327)=1,L327,IF((P327-Q327)=-1,-J327,0))</f>
        <v/>
      </c>
      <c r="T327" s="95">
        <f>IF((P327-Q327)=1,N327,IF((P327-Q327)=-1,-M327,0))</f>
        <v/>
      </c>
      <c r="U327" s="101">
        <f>IF(AND(H327=1,LedAcct&lt;&gt;""),IF(AND(E327&gt;=LedFrom,E327&lt;=LedTo,OR(I327=LedAcct,K327=LedAcct,AND(LedAcct=acctTax,M327+N327&lt;&gt;0))),E327*10000+B327,""),"")</f>
        <v/>
      </c>
    </row>
    <row r="328">
      <c r="B328" s="101" t="n">
        <v>322</v>
      </c>
      <c r="C328" s="58" t="inlineStr">
        <is>
          <t>Transaction</t>
        </is>
      </c>
      <c r="D328" s="58">
        <f>IF(H328=1,INDEX(tx_ID,322)&amp;"","")</f>
        <v/>
      </c>
      <c r="E328" s="94">
        <f>IF(H328=1,INDEX(tx_Date,322),"")</f>
        <v/>
      </c>
      <c r="F328" s="58">
        <f>IF(H328=1,INDEX(tx_Desc,322)&amp;"","")</f>
        <v/>
      </c>
      <c r="G328" s="58">
        <f>IF(H328=1,IF(INDEX(tx_Cust,322)&amp;""&lt;&gt;"",INDEX(tx_Cust,322)&amp;"",INDEX(tx_Vend,322)&amp;""),"")</f>
        <v/>
      </c>
      <c r="H328" s="101">
        <f>IFERROR(N(INDEX(tx_Posted,322)),0)</f>
        <v/>
      </c>
      <c r="I328" s="58">
        <f>IF(H328=1,INDEX(tx_DrAcct,322)&amp;"","")</f>
        <v/>
      </c>
      <c r="J328" s="95">
        <f>IF(H328=1,INDEX(tx_DrAmt,322),0)</f>
        <v/>
      </c>
      <c r="K328" s="58">
        <f>IF(H328=1,INDEX(tx_CrAcct,322)&amp;"","")</f>
        <v/>
      </c>
      <c r="L328" s="95">
        <f>IF(H328=1,INDEX(tx_CrAmt,322),0)</f>
        <v/>
      </c>
      <c r="M328" s="95">
        <f>IF(H328=1,INDEX(tx_TaxDr,322),0)</f>
        <v/>
      </c>
      <c r="N328" s="95">
        <f>IF(H328=1,INDEX(tx_TaxCr,322),0)</f>
        <v/>
      </c>
      <c r="O328" s="101">
        <f>IF(H328=1,IF(E328&lt;FYStart,0,IF(E328&gt;FYEnd,13,YEAR(E328)*12+MONTH(E328)-FYYM+1)),"")</f>
        <v/>
      </c>
      <c r="P328" s="101">
        <f>IF(H328=1,IF(IFERROR(INDEX(coa_CF,MATCH(I328,coa_Name,0)),"")="Cash",1,0),0)</f>
        <v/>
      </c>
      <c r="Q328" s="101">
        <f>IF(H328=1,IF(IFERROR(INDEX(coa_CF,MATCH(K328,coa_Name,0)),"")="Cash",1,0),0)</f>
        <v/>
      </c>
      <c r="R328" s="58">
        <f>IF((P328-Q328)=0,"",IFERROR(INDEX(coa_CF,MATCH(IF((P328-Q328)=1,K328,I328),coa_Name,0)),"Operating"))</f>
        <v/>
      </c>
      <c r="S328" s="95">
        <f>IF((P328-Q328)=1,L328,IF((P328-Q328)=-1,-J328,0))</f>
        <v/>
      </c>
      <c r="T328" s="95">
        <f>IF((P328-Q328)=1,N328,IF((P328-Q328)=-1,-M328,0))</f>
        <v/>
      </c>
      <c r="U328" s="101">
        <f>IF(AND(H328=1,LedAcct&lt;&gt;""),IF(AND(E328&gt;=LedFrom,E328&lt;=LedTo,OR(I328=LedAcct,K328=LedAcct,AND(LedAcct=acctTax,M328+N328&lt;&gt;0))),E328*10000+B328,""),"")</f>
        <v/>
      </c>
    </row>
    <row r="329">
      <c r="B329" s="101" t="n">
        <v>323</v>
      </c>
      <c r="C329" s="58" t="inlineStr">
        <is>
          <t>Transaction</t>
        </is>
      </c>
      <c r="D329" s="58">
        <f>IF(H329=1,INDEX(tx_ID,323)&amp;"","")</f>
        <v/>
      </c>
      <c r="E329" s="94">
        <f>IF(H329=1,INDEX(tx_Date,323),"")</f>
        <v/>
      </c>
      <c r="F329" s="58">
        <f>IF(H329=1,INDEX(tx_Desc,323)&amp;"","")</f>
        <v/>
      </c>
      <c r="G329" s="58">
        <f>IF(H329=1,IF(INDEX(tx_Cust,323)&amp;""&lt;&gt;"",INDEX(tx_Cust,323)&amp;"",INDEX(tx_Vend,323)&amp;""),"")</f>
        <v/>
      </c>
      <c r="H329" s="101">
        <f>IFERROR(N(INDEX(tx_Posted,323)),0)</f>
        <v/>
      </c>
      <c r="I329" s="58">
        <f>IF(H329=1,INDEX(tx_DrAcct,323)&amp;"","")</f>
        <v/>
      </c>
      <c r="J329" s="95">
        <f>IF(H329=1,INDEX(tx_DrAmt,323),0)</f>
        <v/>
      </c>
      <c r="K329" s="58">
        <f>IF(H329=1,INDEX(tx_CrAcct,323)&amp;"","")</f>
        <v/>
      </c>
      <c r="L329" s="95">
        <f>IF(H329=1,INDEX(tx_CrAmt,323),0)</f>
        <v/>
      </c>
      <c r="M329" s="95">
        <f>IF(H329=1,INDEX(tx_TaxDr,323),0)</f>
        <v/>
      </c>
      <c r="N329" s="95">
        <f>IF(H329=1,INDEX(tx_TaxCr,323),0)</f>
        <v/>
      </c>
      <c r="O329" s="101">
        <f>IF(H329=1,IF(E329&lt;FYStart,0,IF(E329&gt;FYEnd,13,YEAR(E329)*12+MONTH(E329)-FYYM+1)),"")</f>
        <v/>
      </c>
      <c r="P329" s="101">
        <f>IF(H329=1,IF(IFERROR(INDEX(coa_CF,MATCH(I329,coa_Name,0)),"")="Cash",1,0),0)</f>
        <v/>
      </c>
      <c r="Q329" s="101">
        <f>IF(H329=1,IF(IFERROR(INDEX(coa_CF,MATCH(K329,coa_Name,0)),"")="Cash",1,0),0)</f>
        <v/>
      </c>
      <c r="R329" s="58">
        <f>IF((P329-Q329)=0,"",IFERROR(INDEX(coa_CF,MATCH(IF((P329-Q329)=1,K329,I329),coa_Name,0)),"Operating"))</f>
        <v/>
      </c>
      <c r="S329" s="95">
        <f>IF((P329-Q329)=1,L329,IF((P329-Q329)=-1,-J329,0))</f>
        <v/>
      </c>
      <c r="T329" s="95">
        <f>IF((P329-Q329)=1,N329,IF((P329-Q329)=-1,-M329,0))</f>
        <v/>
      </c>
      <c r="U329" s="101">
        <f>IF(AND(H329=1,LedAcct&lt;&gt;""),IF(AND(E329&gt;=LedFrom,E329&lt;=LedTo,OR(I329=LedAcct,K329=LedAcct,AND(LedAcct=acctTax,M329+N329&lt;&gt;0))),E329*10000+B329,""),"")</f>
        <v/>
      </c>
    </row>
    <row r="330">
      <c r="B330" s="101" t="n">
        <v>324</v>
      </c>
      <c r="C330" s="58" t="inlineStr">
        <is>
          <t>Transaction</t>
        </is>
      </c>
      <c r="D330" s="58">
        <f>IF(H330=1,INDEX(tx_ID,324)&amp;"","")</f>
        <v/>
      </c>
      <c r="E330" s="94">
        <f>IF(H330=1,INDEX(tx_Date,324),"")</f>
        <v/>
      </c>
      <c r="F330" s="58">
        <f>IF(H330=1,INDEX(tx_Desc,324)&amp;"","")</f>
        <v/>
      </c>
      <c r="G330" s="58">
        <f>IF(H330=1,IF(INDEX(tx_Cust,324)&amp;""&lt;&gt;"",INDEX(tx_Cust,324)&amp;"",INDEX(tx_Vend,324)&amp;""),"")</f>
        <v/>
      </c>
      <c r="H330" s="101">
        <f>IFERROR(N(INDEX(tx_Posted,324)),0)</f>
        <v/>
      </c>
      <c r="I330" s="58">
        <f>IF(H330=1,INDEX(tx_DrAcct,324)&amp;"","")</f>
        <v/>
      </c>
      <c r="J330" s="95">
        <f>IF(H330=1,INDEX(tx_DrAmt,324),0)</f>
        <v/>
      </c>
      <c r="K330" s="58">
        <f>IF(H330=1,INDEX(tx_CrAcct,324)&amp;"","")</f>
        <v/>
      </c>
      <c r="L330" s="95">
        <f>IF(H330=1,INDEX(tx_CrAmt,324),0)</f>
        <v/>
      </c>
      <c r="M330" s="95">
        <f>IF(H330=1,INDEX(tx_TaxDr,324),0)</f>
        <v/>
      </c>
      <c r="N330" s="95">
        <f>IF(H330=1,INDEX(tx_TaxCr,324),0)</f>
        <v/>
      </c>
      <c r="O330" s="101">
        <f>IF(H330=1,IF(E330&lt;FYStart,0,IF(E330&gt;FYEnd,13,YEAR(E330)*12+MONTH(E330)-FYYM+1)),"")</f>
        <v/>
      </c>
      <c r="P330" s="101">
        <f>IF(H330=1,IF(IFERROR(INDEX(coa_CF,MATCH(I330,coa_Name,0)),"")="Cash",1,0),0)</f>
        <v/>
      </c>
      <c r="Q330" s="101">
        <f>IF(H330=1,IF(IFERROR(INDEX(coa_CF,MATCH(K330,coa_Name,0)),"")="Cash",1,0),0)</f>
        <v/>
      </c>
      <c r="R330" s="58">
        <f>IF((P330-Q330)=0,"",IFERROR(INDEX(coa_CF,MATCH(IF((P330-Q330)=1,K330,I330),coa_Name,0)),"Operating"))</f>
        <v/>
      </c>
      <c r="S330" s="95">
        <f>IF((P330-Q330)=1,L330,IF((P330-Q330)=-1,-J330,0))</f>
        <v/>
      </c>
      <c r="T330" s="95">
        <f>IF((P330-Q330)=1,N330,IF((P330-Q330)=-1,-M330,0))</f>
        <v/>
      </c>
      <c r="U330" s="101">
        <f>IF(AND(H330=1,LedAcct&lt;&gt;""),IF(AND(E330&gt;=LedFrom,E330&lt;=LedTo,OR(I330=LedAcct,K330=LedAcct,AND(LedAcct=acctTax,M330+N330&lt;&gt;0))),E330*10000+B330,""),"")</f>
        <v/>
      </c>
    </row>
    <row r="331">
      <c r="B331" s="101" t="n">
        <v>325</v>
      </c>
      <c r="C331" s="58" t="inlineStr">
        <is>
          <t>Transaction</t>
        </is>
      </c>
      <c r="D331" s="58">
        <f>IF(H331=1,INDEX(tx_ID,325)&amp;"","")</f>
        <v/>
      </c>
      <c r="E331" s="94">
        <f>IF(H331=1,INDEX(tx_Date,325),"")</f>
        <v/>
      </c>
      <c r="F331" s="58">
        <f>IF(H331=1,INDEX(tx_Desc,325)&amp;"","")</f>
        <v/>
      </c>
      <c r="G331" s="58">
        <f>IF(H331=1,IF(INDEX(tx_Cust,325)&amp;""&lt;&gt;"",INDEX(tx_Cust,325)&amp;"",INDEX(tx_Vend,325)&amp;""),"")</f>
        <v/>
      </c>
      <c r="H331" s="101">
        <f>IFERROR(N(INDEX(tx_Posted,325)),0)</f>
        <v/>
      </c>
      <c r="I331" s="58">
        <f>IF(H331=1,INDEX(tx_DrAcct,325)&amp;"","")</f>
        <v/>
      </c>
      <c r="J331" s="95">
        <f>IF(H331=1,INDEX(tx_DrAmt,325),0)</f>
        <v/>
      </c>
      <c r="K331" s="58">
        <f>IF(H331=1,INDEX(tx_CrAcct,325)&amp;"","")</f>
        <v/>
      </c>
      <c r="L331" s="95">
        <f>IF(H331=1,INDEX(tx_CrAmt,325),0)</f>
        <v/>
      </c>
      <c r="M331" s="95">
        <f>IF(H331=1,INDEX(tx_TaxDr,325),0)</f>
        <v/>
      </c>
      <c r="N331" s="95">
        <f>IF(H331=1,INDEX(tx_TaxCr,325),0)</f>
        <v/>
      </c>
      <c r="O331" s="101">
        <f>IF(H331=1,IF(E331&lt;FYStart,0,IF(E331&gt;FYEnd,13,YEAR(E331)*12+MONTH(E331)-FYYM+1)),"")</f>
        <v/>
      </c>
      <c r="P331" s="101">
        <f>IF(H331=1,IF(IFERROR(INDEX(coa_CF,MATCH(I331,coa_Name,0)),"")="Cash",1,0),0)</f>
        <v/>
      </c>
      <c r="Q331" s="101">
        <f>IF(H331=1,IF(IFERROR(INDEX(coa_CF,MATCH(K331,coa_Name,0)),"")="Cash",1,0),0)</f>
        <v/>
      </c>
      <c r="R331" s="58">
        <f>IF((P331-Q331)=0,"",IFERROR(INDEX(coa_CF,MATCH(IF((P331-Q331)=1,K331,I331),coa_Name,0)),"Operating"))</f>
        <v/>
      </c>
      <c r="S331" s="95">
        <f>IF((P331-Q331)=1,L331,IF((P331-Q331)=-1,-J331,0))</f>
        <v/>
      </c>
      <c r="T331" s="95">
        <f>IF((P331-Q331)=1,N331,IF((P331-Q331)=-1,-M331,0))</f>
        <v/>
      </c>
      <c r="U331" s="101">
        <f>IF(AND(H331=1,LedAcct&lt;&gt;""),IF(AND(E331&gt;=LedFrom,E331&lt;=LedTo,OR(I331=LedAcct,K331=LedAcct,AND(LedAcct=acctTax,M331+N331&lt;&gt;0))),E331*10000+B331,""),"")</f>
        <v/>
      </c>
    </row>
    <row r="332">
      <c r="B332" s="101" t="n">
        <v>326</v>
      </c>
      <c r="C332" s="58" t="inlineStr">
        <is>
          <t>Transaction</t>
        </is>
      </c>
      <c r="D332" s="58">
        <f>IF(H332=1,INDEX(tx_ID,326)&amp;"","")</f>
        <v/>
      </c>
      <c r="E332" s="94">
        <f>IF(H332=1,INDEX(tx_Date,326),"")</f>
        <v/>
      </c>
      <c r="F332" s="58">
        <f>IF(H332=1,INDEX(tx_Desc,326)&amp;"","")</f>
        <v/>
      </c>
      <c r="G332" s="58">
        <f>IF(H332=1,IF(INDEX(tx_Cust,326)&amp;""&lt;&gt;"",INDEX(tx_Cust,326)&amp;"",INDEX(tx_Vend,326)&amp;""),"")</f>
        <v/>
      </c>
      <c r="H332" s="101">
        <f>IFERROR(N(INDEX(tx_Posted,326)),0)</f>
        <v/>
      </c>
      <c r="I332" s="58">
        <f>IF(H332=1,INDEX(tx_DrAcct,326)&amp;"","")</f>
        <v/>
      </c>
      <c r="J332" s="95">
        <f>IF(H332=1,INDEX(tx_DrAmt,326),0)</f>
        <v/>
      </c>
      <c r="K332" s="58">
        <f>IF(H332=1,INDEX(tx_CrAcct,326)&amp;"","")</f>
        <v/>
      </c>
      <c r="L332" s="95">
        <f>IF(H332=1,INDEX(tx_CrAmt,326),0)</f>
        <v/>
      </c>
      <c r="M332" s="95">
        <f>IF(H332=1,INDEX(tx_TaxDr,326),0)</f>
        <v/>
      </c>
      <c r="N332" s="95">
        <f>IF(H332=1,INDEX(tx_TaxCr,326),0)</f>
        <v/>
      </c>
      <c r="O332" s="101">
        <f>IF(H332=1,IF(E332&lt;FYStart,0,IF(E332&gt;FYEnd,13,YEAR(E332)*12+MONTH(E332)-FYYM+1)),"")</f>
        <v/>
      </c>
      <c r="P332" s="101">
        <f>IF(H332=1,IF(IFERROR(INDEX(coa_CF,MATCH(I332,coa_Name,0)),"")="Cash",1,0),0)</f>
        <v/>
      </c>
      <c r="Q332" s="101">
        <f>IF(H332=1,IF(IFERROR(INDEX(coa_CF,MATCH(K332,coa_Name,0)),"")="Cash",1,0),0)</f>
        <v/>
      </c>
      <c r="R332" s="58">
        <f>IF((P332-Q332)=0,"",IFERROR(INDEX(coa_CF,MATCH(IF((P332-Q332)=1,K332,I332),coa_Name,0)),"Operating"))</f>
        <v/>
      </c>
      <c r="S332" s="95">
        <f>IF((P332-Q332)=1,L332,IF((P332-Q332)=-1,-J332,0))</f>
        <v/>
      </c>
      <c r="T332" s="95">
        <f>IF((P332-Q332)=1,N332,IF((P332-Q332)=-1,-M332,0))</f>
        <v/>
      </c>
      <c r="U332" s="101">
        <f>IF(AND(H332=1,LedAcct&lt;&gt;""),IF(AND(E332&gt;=LedFrom,E332&lt;=LedTo,OR(I332=LedAcct,K332=LedAcct,AND(LedAcct=acctTax,M332+N332&lt;&gt;0))),E332*10000+B332,""),"")</f>
        <v/>
      </c>
    </row>
    <row r="333">
      <c r="B333" s="101" t="n">
        <v>327</v>
      </c>
      <c r="C333" s="58" t="inlineStr">
        <is>
          <t>Transaction</t>
        </is>
      </c>
      <c r="D333" s="58">
        <f>IF(H333=1,INDEX(tx_ID,327)&amp;"","")</f>
        <v/>
      </c>
      <c r="E333" s="94">
        <f>IF(H333=1,INDEX(tx_Date,327),"")</f>
        <v/>
      </c>
      <c r="F333" s="58">
        <f>IF(H333=1,INDEX(tx_Desc,327)&amp;"","")</f>
        <v/>
      </c>
      <c r="G333" s="58">
        <f>IF(H333=1,IF(INDEX(tx_Cust,327)&amp;""&lt;&gt;"",INDEX(tx_Cust,327)&amp;"",INDEX(tx_Vend,327)&amp;""),"")</f>
        <v/>
      </c>
      <c r="H333" s="101">
        <f>IFERROR(N(INDEX(tx_Posted,327)),0)</f>
        <v/>
      </c>
      <c r="I333" s="58">
        <f>IF(H333=1,INDEX(tx_DrAcct,327)&amp;"","")</f>
        <v/>
      </c>
      <c r="J333" s="95">
        <f>IF(H333=1,INDEX(tx_DrAmt,327),0)</f>
        <v/>
      </c>
      <c r="K333" s="58">
        <f>IF(H333=1,INDEX(tx_CrAcct,327)&amp;"","")</f>
        <v/>
      </c>
      <c r="L333" s="95">
        <f>IF(H333=1,INDEX(tx_CrAmt,327),0)</f>
        <v/>
      </c>
      <c r="M333" s="95">
        <f>IF(H333=1,INDEX(tx_TaxDr,327),0)</f>
        <v/>
      </c>
      <c r="N333" s="95">
        <f>IF(H333=1,INDEX(tx_TaxCr,327),0)</f>
        <v/>
      </c>
      <c r="O333" s="101">
        <f>IF(H333=1,IF(E333&lt;FYStart,0,IF(E333&gt;FYEnd,13,YEAR(E333)*12+MONTH(E333)-FYYM+1)),"")</f>
        <v/>
      </c>
      <c r="P333" s="101">
        <f>IF(H333=1,IF(IFERROR(INDEX(coa_CF,MATCH(I333,coa_Name,0)),"")="Cash",1,0),0)</f>
        <v/>
      </c>
      <c r="Q333" s="101">
        <f>IF(H333=1,IF(IFERROR(INDEX(coa_CF,MATCH(K333,coa_Name,0)),"")="Cash",1,0),0)</f>
        <v/>
      </c>
      <c r="R333" s="58">
        <f>IF((P333-Q333)=0,"",IFERROR(INDEX(coa_CF,MATCH(IF((P333-Q333)=1,K333,I333),coa_Name,0)),"Operating"))</f>
        <v/>
      </c>
      <c r="S333" s="95">
        <f>IF((P333-Q333)=1,L333,IF((P333-Q333)=-1,-J333,0))</f>
        <v/>
      </c>
      <c r="T333" s="95">
        <f>IF((P333-Q333)=1,N333,IF((P333-Q333)=-1,-M333,0))</f>
        <v/>
      </c>
      <c r="U333" s="101">
        <f>IF(AND(H333=1,LedAcct&lt;&gt;""),IF(AND(E333&gt;=LedFrom,E333&lt;=LedTo,OR(I333=LedAcct,K333=LedAcct,AND(LedAcct=acctTax,M333+N333&lt;&gt;0))),E333*10000+B333,""),"")</f>
        <v/>
      </c>
    </row>
    <row r="334">
      <c r="B334" s="101" t="n">
        <v>328</v>
      </c>
      <c r="C334" s="58" t="inlineStr">
        <is>
          <t>Transaction</t>
        </is>
      </c>
      <c r="D334" s="58">
        <f>IF(H334=1,INDEX(tx_ID,328)&amp;"","")</f>
        <v/>
      </c>
      <c r="E334" s="94">
        <f>IF(H334=1,INDEX(tx_Date,328),"")</f>
        <v/>
      </c>
      <c r="F334" s="58">
        <f>IF(H334=1,INDEX(tx_Desc,328)&amp;"","")</f>
        <v/>
      </c>
      <c r="G334" s="58">
        <f>IF(H334=1,IF(INDEX(tx_Cust,328)&amp;""&lt;&gt;"",INDEX(tx_Cust,328)&amp;"",INDEX(tx_Vend,328)&amp;""),"")</f>
        <v/>
      </c>
      <c r="H334" s="101">
        <f>IFERROR(N(INDEX(tx_Posted,328)),0)</f>
        <v/>
      </c>
      <c r="I334" s="58">
        <f>IF(H334=1,INDEX(tx_DrAcct,328)&amp;"","")</f>
        <v/>
      </c>
      <c r="J334" s="95">
        <f>IF(H334=1,INDEX(tx_DrAmt,328),0)</f>
        <v/>
      </c>
      <c r="K334" s="58">
        <f>IF(H334=1,INDEX(tx_CrAcct,328)&amp;"","")</f>
        <v/>
      </c>
      <c r="L334" s="95">
        <f>IF(H334=1,INDEX(tx_CrAmt,328),0)</f>
        <v/>
      </c>
      <c r="M334" s="95">
        <f>IF(H334=1,INDEX(tx_TaxDr,328),0)</f>
        <v/>
      </c>
      <c r="N334" s="95">
        <f>IF(H334=1,INDEX(tx_TaxCr,328),0)</f>
        <v/>
      </c>
      <c r="O334" s="101">
        <f>IF(H334=1,IF(E334&lt;FYStart,0,IF(E334&gt;FYEnd,13,YEAR(E334)*12+MONTH(E334)-FYYM+1)),"")</f>
        <v/>
      </c>
      <c r="P334" s="101">
        <f>IF(H334=1,IF(IFERROR(INDEX(coa_CF,MATCH(I334,coa_Name,0)),"")="Cash",1,0),0)</f>
        <v/>
      </c>
      <c r="Q334" s="101">
        <f>IF(H334=1,IF(IFERROR(INDEX(coa_CF,MATCH(K334,coa_Name,0)),"")="Cash",1,0),0)</f>
        <v/>
      </c>
      <c r="R334" s="58">
        <f>IF((P334-Q334)=0,"",IFERROR(INDEX(coa_CF,MATCH(IF((P334-Q334)=1,K334,I334),coa_Name,0)),"Operating"))</f>
        <v/>
      </c>
      <c r="S334" s="95">
        <f>IF((P334-Q334)=1,L334,IF((P334-Q334)=-1,-J334,0))</f>
        <v/>
      </c>
      <c r="T334" s="95">
        <f>IF((P334-Q334)=1,N334,IF((P334-Q334)=-1,-M334,0))</f>
        <v/>
      </c>
      <c r="U334" s="101">
        <f>IF(AND(H334=1,LedAcct&lt;&gt;""),IF(AND(E334&gt;=LedFrom,E334&lt;=LedTo,OR(I334=LedAcct,K334=LedAcct,AND(LedAcct=acctTax,M334+N334&lt;&gt;0))),E334*10000+B334,""),"")</f>
        <v/>
      </c>
    </row>
    <row r="335">
      <c r="B335" s="101" t="n">
        <v>329</v>
      </c>
      <c r="C335" s="58" t="inlineStr">
        <is>
          <t>Transaction</t>
        </is>
      </c>
      <c r="D335" s="58">
        <f>IF(H335=1,INDEX(tx_ID,329)&amp;"","")</f>
        <v/>
      </c>
      <c r="E335" s="94">
        <f>IF(H335=1,INDEX(tx_Date,329),"")</f>
        <v/>
      </c>
      <c r="F335" s="58">
        <f>IF(H335=1,INDEX(tx_Desc,329)&amp;"","")</f>
        <v/>
      </c>
      <c r="G335" s="58">
        <f>IF(H335=1,IF(INDEX(tx_Cust,329)&amp;""&lt;&gt;"",INDEX(tx_Cust,329)&amp;"",INDEX(tx_Vend,329)&amp;""),"")</f>
        <v/>
      </c>
      <c r="H335" s="101">
        <f>IFERROR(N(INDEX(tx_Posted,329)),0)</f>
        <v/>
      </c>
      <c r="I335" s="58">
        <f>IF(H335=1,INDEX(tx_DrAcct,329)&amp;"","")</f>
        <v/>
      </c>
      <c r="J335" s="95">
        <f>IF(H335=1,INDEX(tx_DrAmt,329),0)</f>
        <v/>
      </c>
      <c r="K335" s="58">
        <f>IF(H335=1,INDEX(tx_CrAcct,329)&amp;"","")</f>
        <v/>
      </c>
      <c r="L335" s="95">
        <f>IF(H335=1,INDEX(tx_CrAmt,329),0)</f>
        <v/>
      </c>
      <c r="M335" s="95">
        <f>IF(H335=1,INDEX(tx_TaxDr,329),0)</f>
        <v/>
      </c>
      <c r="N335" s="95">
        <f>IF(H335=1,INDEX(tx_TaxCr,329),0)</f>
        <v/>
      </c>
      <c r="O335" s="101">
        <f>IF(H335=1,IF(E335&lt;FYStart,0,IF(E335&gt;FYEnd,13,YEAR(E335)*12+MONTH(E335)-FYYM+1)),"")</f>
        <v/>
      </c>
      <c r="P335" s="101">
        <f>IF(H335=1,IF(IFERROR(INDEX(coa_CF,MATCH(I335,coa_Name,0)),"")="Cash",1,0),0)</f>
        <v/>
      </c>
      <c r="Q335" s="101">
        <f>IF(H335=1,IF(IFERROR(INDEX(coa_CF,MATCH(K335,coa_Name,0)),"")="Cash",1,0),0)</f>
        <v/>
      </c>
      <c r="R335" s="58">
        <f>IF((P335-Q335)=0,"",IFERROR(INDEX(coa_CF,MATCH(IF((P335-Q335)=1,K335,I335),coa_Name,0)),"Operating"))</f>
        <v/>
      </c>
      <c r="S335" s="95">
        <f>IF((P335-Q335)=1,L335,IF((P335-Q335)=-1,-J335,0))</f>
        <v/>
      </c>
      <c r="T335" s="95">
        <f>IF((P335-Q335)=1,N335,IF((P335-Q335)=-1,-M335,0))</f>
        <v/>
      </c>
      <c r="U335" s="101">
        <f>IF(AND(H335=1,LedAcct&lt;&gt;""),IF(AND(E335&gt;=LedFrom,E335&lt;=LedTo,OR(I335=LedAcct,K335=LedAcct,AND(LedAcct=acctTax,M335+N335&lt;&gt;0))),E335*10000+B335,""),"")</f>
        <v/>
      </c>
    </row>
    <row r="336">
      <c r="B336" s="101" t="n">
        <v>330</v>
      </c>
      <c r="C336" s="58" t="inlineStr">
        <is>
          <t>Transaction</t>
        </is>
      </c>
      <c r="D336" s="58">
        <f>IF(H336=1,INDEX(tx_ID,330)&amp;"","")</f>
        <v/>
      </c>
      <c r="E336" s="94">
        <f>IF(H336=1,INDEX(tx_Date,330),"")</f>
        <v/>
      </c>
      <c r="F336" s="58">
        <f>IF(H336=1,INDEX(tx_Desc,330)&amp;"","")</f>
        <v/>
      </c>
      <c r="G336" s="58">
        <f>IF(H336=1,IF(INDEX(tx_Cust,330)&amp;""&lt;&gt;"",INDEX(tx_Cust,330)&amp;"",INDEX(tx_Vend,330)&amp;""),"")</f>
        <v/>
      </c>
      <c r="H336" s="101">
        <f>IFERROR(N(INDEX(tx_Posted,330)),0)</f>
        <v/>
      </c>
      <c r="I336" s="58">
        <f>IF(H336=1,INDEX(tx_DrAcct,330)&amp;"","")</f>
        <v/>
      </c>
      <c r="J336" s="95">
        <f>IF(H336=1,INDEX(tx_DrAmt,330),0)</f>
        <v/>
      </c>
      <c r="K336" s="58">
        <f>IF(H336=1,INDEX(tx_CrAcct,330)&amp;"","")</f>
        <v/>
      </c>
      <c r="L336" s="95">
        <f>IF(H336=1,INDEX(tx_CrAmt,330),0)</f>
        <v/>
      </c>
      <c r="M336" s="95">
        <f>IF(H336=1,INDEX(tx_TaxDr,330),0)</f>
        <v/>
      </c>
      <c r="N336" s="95">
        <f>IF(H336=1,INDEX(tx_TaxCr,330),0)</f>
        <v/>
      </c>
      <c r="O336" s="101">
        <f>IF(H336=1,IF(E336&lt;FYStart,0,IF(E336&gt;FYEnd,13,YEAR(E336)*12+MONTH(E336)-FYYM+1)),"")</f>
        <v/>
      </c>
      <c r="P336" s="101">
        <f>IF(H336=1,IF(IFERROR(INDEX(coa_CF,MATCH(I336,coa_Name,0)),"")="Cash",1,0),0)</f>
        <v/>
      </c>
      <c r="Q336" s="101">
        <f>IF(H336=1,IF(IFERROR(INDEX(coa_CF,MATCH(K336,coa_Name,0)),"")="Cash",1,0),0)</f>
        <v/>
      </c>
      <c r="R336" s="58">
        <f>IF((P336-Q336)=0,"",IFERROR(INDEX(coa_CF,MATCH(IF((P336-Q336)=1,K336,I336),coa_Name,0)),"Operating"))</f>
        <v/>
      </c>
      <c r="S336" s="95">
        <f>IF((P336-Q336)=1,L336,IF((P336-Q336)=-1,-J336,0))</f>
        <v/>
      </c>
      <c r="T336" s="95">
        <f>IF((P336-Q336)=1,N336,IF((P336-Q336)=-1,-M336,0))</f>
        <v/>
      </c>
      <c r="U336" s="101">
        <f>IF(AND(H336=1,LedAcct&lt;&gt;""),IF(AND(E336&gt;=LedFrom,E336&lt;=LedTo,OR(I336=LedAcct,K336=LedAcct,AND(LedAcct=acctTax,M336+N336&lt;&gt;0))),E336*10000+B336,""),"")</f>
        <v/>
      </c>
    </row>
    <row r="337">
      <c r="B337" s="101" t="n">
        <v>331</v>
      </c>
      <c r="C337" s="58" t="inlineStr">
        <is>
          <t>Transaction</t>
        </is>
      </c>
      <c r="D337" s="58">
        <f>IF(H337=1,INDEX(tx_ID,331)&amp;"","")</f>
        <v/>
      </c>
      <c r="E337" s="94">
        <f>IF(H337=1,INDEX(tx_Date,331),"")</f>
        <v/>
      </c>
      <c r="F337" s="58">
        <f>IF(H337=1,INDEX(tx_Desc,331)&amp;"","")</f>
        <v/>
      </c>
      <c r="G337" s="58">
        <f>IF(H337=1,IF(INDEX(tx_Cust,331)&amp;""&lt;&gt;"",INDEX(tx_Cust,331)&amp;"",INDEX(tx_Vend,331)&amp;""),"")</f>
        <v/>
      </c>
      <c r="H337" s="101">
        <f>IFERROR(N(INDEX(tx_Posted,331)),0)</f>
        <v/>
      </c>
      <c r="I337" s="58">
        <f>IF(H337=1,INDEX(tx_DrAcct,331)&amp;"","")</f>
        <v/>
      </c>
      <c r="J337" s="95">
        <f>IF(H337=1,INDEX(tx_DrAmt,331),0)</f>
        <v/>
      </c>
      <c r="K337" s="58">
        <f>IF(H337=1,INDEX(tx_CrAcct,331)&amp;"","")</f>
        <v/>
      </c>
      <c r="L337" s="95">
        <f>IF(H337=1,INDEX(tx_CrAmt,331),0)</f>
        <v/>
      </c>
      <c r="M337" s="95">
        <f>IF(H337=1,INDEX(tx_TaxDr,331),0)</f>
        <v/>
      </c>
      <c r="N337" s="95">
        <f>IF(H337=1,INDEX(tx_TaxCr,331),0)</f>
        <v/>
      </c>
      <c r="O337" s="101">
        <f>IF(H337=1,IF(E337&lt;FYStart,0,IF(E337&gt;FYEnd,13,YEAR(E337)*12+MONTH(E337)-FYYM+1)),"")</f>
        <v/>
      </c>
      <c r="P337" s="101">
        <f>IF(H337=1,IF(IFERROR(INDEX(coa_CF,MATCH(I337,coa_Name,0)),"")="Cash",1,0),0)</f>
        <v/>
      </c>
      <c r="Q337" s="101">
        <f>IF(H337=1,IF(IFERROR(INDEX(coa_CF,MATCH(K337,coa_Name,0)),"")="Cash",1,0),0)</f>
        <v/>
      </c>
      <c r="R337" s="58">
        <f>IF((P337-Q337)=0,"",IFERROR(INDEX(coa_CF,MATCH(IF((P337-Q337)=1,K337,I337),coa_Name,0)),"Operating"))</f>
        <v/>
      </c>
      <c r="S337" s="95">
        <f>IF((P337-Q337)=1,L337,IF((P337-Q337)=-1,-J337,0))</f>
        <v/>
      </c>
      <c r="T337" s="95">
        <f>IF((P337-Q337)=1,N337,IF((P337-Q337)=-1,-M337,0))</f>
        <v/>
      </c>
      <c r="U337" s="101">
        <f>IF(AND(H337=1,LedAcct&lt;&gt;""),IF(AND(E337&gt;=LedFrom,E337&lt;=LedTo,OR(I337=LedAcct,K337=LedAcct,AND(LedAcct=acctTax,M337+N337&lt;&gt;0))),E337*10000+B337,""),"")</f>
        <v/>
      </c>
    </row>
    <row r="338">
      <c r="B338" s="101" t="n">
        <v>332</v>
      </c>
      <c r="C338" s="58" t="inlineStr">
        <is>
          <t>Transaction</t>
        </is>
      </c>
      <c r="D338" s="58">
        <f>IF(H338=1,INDEX(tx_ID,332)&amp;"","")</f>
        <v/>
      </c>
      <c r="E338" s="94">
        <f>IF(H338=1,INDEX(tx_Date,332),"")</f>
        <v/>
      </c>
      <c r="F338" s="58">
        <f>IF(H338=1,INDEX(tx_Desc,332)&amp;"","")</f>
        <v/>
      </c>
      <c r="G338" s="58">
        <f>IF(H338=1,IF(INDEX(tx_Cust,332)&amp;""&lt;&gt;"",INDEX(tx_Cust,332)&amp;"",INDEX(tx_Vend,332)&amp;""),"")</f>
        <v/>
      </c>
      <c r="H338" s="101">
        <f>IFERROR(N(INDEX(tx_Posted,332)),0)</f>
        <v/>
      </c>
      <c r="I338" s="58">
        <f>IF(H338=1,INDEX(tx_DrAcct,332)&amp;"","")</f>
        <v/>
      </c>
      <c r="J338" s="95">
        <f>IF(H338=1,INDEX(tx_DrAmt,332),0)</f>
        <v/>
      </c>
      <c r="K338" s="58">
        <f>IF(H338=1,INDEX(tx_CrAcct,332)&amp;"","")</f>
        <v/>
      </c>
      <c r="L338" s="95">
        <f>IF(H338=1,INDEX(tx_CrAmt,332),0)</f>
        <v/>
      </c>
      <c r="M338" s="95">
        <f>IF(H338=1,INDEX(tx_TaxDr,332),0)</f>
        <v/>
      </c>
      <c r="N338" s="95">
        <f>IF(H338=1,INDEX(tx_TaxCr,332),0)</f>
        <v/>
      </c>
      <c r="O338" s="101">
        <f>IF(H338=1,IF(E338&lt;FYStart,0,IF(E338&gt;FYEnd,13,YEAR(E338)*12+MONTH(E338)-FYYM+1)),"")</f>
        <v/>
      </c>
      <c r="P338" s="101">
        <f>IF(H338=1,IF(IFERROR(INDEX(coa_CF,MATCH(I338,coa_Name,0)),"")="Cash",1,0),0)</f>
        <v/>
      </c>
      <c r="Q338" s="101">
        <f>IF(H338=1,IF(IFERROR(INDEX(coa_CF,MATCH(K338,coa_Name,0)),"")="Cash",1,0),0)</f>
        <v/>
      </c>
      <c r="R338" s="58">
        <f>IF((P338-Q338)=0,"",IFERROR(INDEX(coa_CF,MATCH(IF((P338-Q338)=1,K338,I338),coa_Name,0)),"Operating"))</f>
        <v/>
      </c>
      <c r="S338" s="95">
        <f>IF((P338-Q338)=1,L338,IF((P338-Q338)=-1,-J338,0))</f>
        <v/>
      </c>
      <c r="T338" s="95">
        <f>IF((P338-Q338)=1,N338,IF((P338-Q338)=-1,-M338,0))</f>
        <v/>
      </c>
      <c r="U338" s="101">
        <f>IF(AND(H338=1,LedAcct&lt;&gt;""),IF(AND(E338&gt;=LedFrom,E338&lt;=LedTo,OR(I338=LedAcct,K338=LedAcct,AND(LedAcct=acctTax,M338+N338&lt;&gt;0))),E338*10000+B338,""),"")</f>
        <v/>
      </c>
    </row>
    <row r="339">
      <c r="B339" s="101" t="n">
        <v>333</v>
      </c>
      <c r="C339" s="58" t="inlineStr">
        <is>
          <t>Transaction</t>
        </is>
      </c>
      <c r="D339" s="58">
        <f>IF(H339=1,INDEX(tx_ID,333)&amp;"","")</f>
        <v/>
      </c>
      <c r="E339" s="94">
        <f>IF(H339=1,INDEX(tx_Date,333),"")</f>
        <v/>
      </c>
      <c r="F339" s="58">
        <f>IF(H339=1,INDEX(tx_Desc,333)&amp;"","")</f>
        <v/>
      </c>
      <c r="G339" s="58">
        <f>IF(H339=1,IF(INDEX(tx_Cust,333)&amp;""&lt;&gt;"",INDEX(tx_Cust,333)&amp;"",INDEX(tx_Vend,333)&amp;""),"")</f>
        <v/>
      </c>
      <c r="H339" s="101">
        <f>IFERROR(N(INDEX(tx_Posted,333)),0)</f>
        <v/>
      </c>
      <c r="I339" s="58">
        <f>IF(H339=1,INDEX(tx_DrAcct,333)&amp;"","")</f>
        <v/>
      </c>
      <c r="J339" s="95">
        <f>IF(H339=1,INDEX(tx_DrAmt,333),0)</f>
        <v/>
      </c>
      <c r="K339" s="58">
        <f>IF(H339=1,INDEX(tx_CrAcct,333)&amp;"","")</f>
        <v/>
      </c>
      <c r="L339" s="95">
        <f>IF(H339=1,INDEX(tx_CrAmt,333),0)</f>
        <v/>
      </c>
      <c r="M339" s="95">
        <f>IF(H339=1,INDEX(tx_TaxDr,333),0)</f>
        <v/>
      </c>
      <c r="N339" s="95">
        <f>IF(H339=1,INDEX(tx_TaxCr,333),0)</f>
        <v/>
      </c>
      <c r="O339" s="101">
        <f>IF(H339=1,IF(E339&lt;FYStart,0,IF(E339&gt;FYEnd,13,YEAR(E339)*12+MONTH(E339)-FYYM+1)),"")</f>
        <v/>
      </c>
      <c r="P339" s="101">
        <f>IF(H339=1,IF(IFERROR(INDEX(coa_CF,MATCH(I339,coa_Name,0)),"")="Cash",1,0),0)</f>
        <v/>
      </c>
      <c r="Q339" s="101">
        <f>IF(H339=1,IF(IFERROR(INDEX(coa_CF,MATCH(K339,coa_Name,0)),"")="Cash",1,0),0)</f>
        <v/>
      </c>
      <c r="R339" s="58">
        <f>IF((P339-Q339)=0,"",IFERROR(INDEX(coa_CF,MATCH(IF((P339-Q339)=1,K339,I339),coa_Name,0)),"Operating"))</f>
        <v/>
      </c>
      <c r="S339" s="95">
        <f>IF((P339-Q339)=1,L339,IF((P339-Q339)=-1,-J339,0))</f>
        <v/>
      </c>
      <c r="T339" s="95">
        <f>IF((P339-Q339)=1,N339,IF((P339-Q339)=-1,-M339,0))</f>
        <v/>
      </c>
      <c r="U339" s="101">
        <f>IF(AND(H339=1,LedAcct&lt;&gt;""),IF(AND(E339&gt;=LedFrom,E339&lt;=LedTo,OR(I339=LedAcct,K339=LedAcct,AND(LedAcct=acctTax,M339+N339&lt;&gt;0))),E339*10000+B339,""),"")</f>
        <v/>
      </c>
    </row>
    <row r="340">
      <c r="B340" s="101" t="n">
        <v>334</v>
      </c>
      <c r="C340" s="58" t="inlineStr">
        <is>
          <t>Transaction</t>
        </is>
      </c>
      <c r="D340" s="58">
        <f>IF(H340=1,INDEX(tx_ID,334)&amp;"","")</f>
        <v/>
      </c>
      <c r="E340" s="94">
        <f>IF(H340=1,INDEX(tx_Date,334),"")</f>
        <v/>
      </c>
      <c r="F340" s="58">
        <f>IF(H340=1,INDEX(tx_Desc,334)&amp;"","")</f>
        <v/>
      </c>
      <c r="G340" s="58">
        <f>IF(H340=1,IF(INDEX(tx_Cust,334)&amp;""&lt;&gt;"",INDEX(tx_Cust,334)&amp;"",INDEX(tx_Vend,334)&amp;""),"")</f>
        <v/>
      </c>
      <c r="H340" s="101">
        <f>IFERROR(N(INDEX(tx_Posted,334)),0)</f>
        <v/>
      </c>
      <c r="I340" s="58">
        <f>IF(H340=1,INDEX(tx_DrAcct,334)&amp;"","")</f>
        <v/>
      </c>
      <c r="J340" s="95">
        <f>IF(H340=1,INDEX(tx_DrAmt,334),0)</f>
        <v/>
      </c>
      <c r="K340" s="58">
        <f>IF(H340=1,INDEX(tx_CrAcct,334)&amp;"","")</f>
        <v/>
      </c>
      <c r="L340" s="95">
        <f>IF(H340=1,INDEX(tx_CrAmt,334),0)</f>
        <v/>
      </c>
      <c r="M340" s="95">
        <f>IF(H340=1,INDEX(tx_TaxDr,334),0)</f>
        <v/>
      </c>
      <c r="N340" s="95">
        <f>IF(H340=1,INDEX(tx_TaxCr,334),0)</f>
        <v/>
      </c>
      <c r="O340" s="101">
        <f>IF(H340=1,IF(E340&lt;FYStart,0,IF(E340&gt;FYEnd,13,YEAR(E340)*12+MONTH(E340)-FYYM+1)),"")</f>
        <v/>
      </c>
      <c r="P340" s="101">
        <f>IF(H340=1,IF(IFERROR(INDEX(coa_CF,MATCH(I340,coa_Name,0)),"")="Cash",1,0),0)</f>
        <v/>
      </c>
      <c r="Q340" s="101">
        <f>IF(H340=1,IF(IFERROR(INDEX(coa_CF,MATCH(K340,coa_Name,0)),"")="Cash",1,0),0)</f>
        <v/>
      </c>
      <c r="R340" s="58">
        <f>IF((P340-Q340)=0,"",IFERROR(INDEX(coa_CF,MATCH(IF((P340-Q340)=1,K340,I340),coa_Name,0)),"Operating"))</f>
        <v/>
      </c>
      <c r="S340" s="95">
        <f>IF((P340-Q340)=1,L340,IF((P340-Q340)=-1,-J340,0))</f>
        <v/>
      </c>
      <c r="T340" s="95">
        <f>IF((P340-Q340)=1,N340,IF((P340-Q340)=-1,-M340,0))</f>
        <v/>
      </c>
      <c r="U340" s="101">
        <f>IF(AND(H340=1,LedAcct&lt;&gt;""),IF(AND(E340&gt;=LedFrom,E340&lt;=LedTo,OR(I340=LedAcct,K340=LedAcct,AND(LedAcct=acctTax,M340+N340&lt;&gt;0))),E340*10000+B340,""),"")</f>
        <v/>
      </c>
    </row>
    <row r="341">
      <c r="B341" s="101" t="n">
        <v>335</v>
      </c>
      <c r="C341" s="58" t="inlineStr">
        <is>
          <t>Transaction</t>
        </is>
      </c>
      <c r="D341" s="58">
        <f>IF(H341=1,INDEX(tx_ID,335)&amp;"","")</f>
        <v/>
      </c>
      <c r="E341" s="94">
        <f>IF(H341=1,INDEX(tx_Date,335),"")</f>
        <v/>
      </c>
      <c r="F341" s="58">
        <f>IF(H341=1,INDEX(tx_Desc,335)&amp;"","")</f>
        <v/>
      </c>
      <c r="G341" s="58">
        <f>IF(H341=1,IF(INDEX(tx_Cust,335)&amp;""&lt;&gt;"",INDEX(tx_Cust,335)&amp;"",INDEX(tx_Vend,335)&amp;""),"")</f>
        <v/>
      </c>
      <c r="H341" s="101">
        <f>IFERROR(N(INDEX(tx_Posted,335)),0)</f>
        <v/>
      </c>
      <c r="I341" s="58">
        <f>IF(H341=1,INDEX(tx_DrAcct,335)&amp;"","")</f>
        <v/>
      </c>
      <c r="J341" s="95">
        <f>IF(H341=1,INDEX(tx_DrAmt,335),0)</f>
        <v/>
      </c>
      <c r="K341" s="58">
        <f>IF(H341=1,INDEX(tx_CrAcct,335)&amp;"","")</f>
        <v/>
      </c>
      <c r="L341" s="95">
        <f>IF(H341=1,INDEX(tx_CrAmt,335),0)</f>
        <v/>
      </c>
      <c r="M341" s="95">
        <f>IF(H341=1,INDEX(tx_TaxDr,335),0)</f>
        <v/>
      </c>
      <c r="N341" s="95">
        <f>IF(H341=1,INDEX(tx_TaxCr,335),0)</f>
        <v/>
      </c>
      <c r="O341" s="101">
        <f>IF(H341=1,IF(E341&lt;FYStart,0,IF(E341&gt;FYEnd,13,YEAR(E341)*12+MONTH(E341)-FYYM+1)),"")</f>
        <v/>
      </c>
      <c r="P341" s="101">
        <f>IF(H341=1,IF(IFERROR(INDEX(coa_CF,MATCH(I341,coa_Name,0)),"")="Cash",1,0),0)</f>
        <v/>
      </c>
      <c r="Q341" s="101">
        <f>IF(H341=1,IF(IFERROR(INDEX(coa_CF,MATCH(K341,coa_Name,0)),"")="Cash",1,0),0)</f>
        <v/>
      </c>
      <c r="R341" s="58">
        <f>IF((P341-Q341)=0,"",IFERROR(INDEX(coa_CF,MATCH(IF((P341-Q341)=1,K341,I341),coa_Name,0)),"Operating"))</f>
        <v/>
      </c>
      <c r="S341" s="95">
        <f>IF((P341-Q341)=1,L341,IF((P341-Q341)=-1,-J341,0))</f>
        <v/>
      </c>
      <c r="T341" s="95">
        <f>IF((P341-Q341)=1,N341,IF((P341-Q341)=-1,-M341,0))</f>
        <v/>
      </c>
      <c r="U341" s="101">
        <f>IF(AND(H341=1,LedAcct&lt;&gt;""),IF(AND(E341&gt;=LedFrom,E341&lt;=LedTo,OR(I341=LedAcct,K341=LedAcct,AND(LedAcct=acctTax,M341+N341&lt;&gt;0))),E341*10000+B341,""),"")</f>
        <v/>
      </c>
    </row>
    <row r="342">
      <c r="B342" s="101" t="n">
        <v>336</v>
      </c>
      <c r="C342" s="58" t="inlineStr">
        <is>
          <t>Transaction</t>
        </is>
      </c>
      <c r="D342" s="58">
        <f>IF(H342=1,INDEX(tx_ID,336)&amp;"","")</f>
        <v/>
      </c>
      <c r="E342" s="94">
        <f>IF(H342=1,INDEX(tx_Date,336),"")</f>
        <v/>
      </c>
      <c r="F342" s="58">
        <f>IF(H342=1,INDEX(tx_Desc,336)&amp;"","")</f>
        <v/>
      </c>
      <c r="G342" s="58">
        <f>IF(H342=1,IF(INDEX(tx_Cust,336)&amp;""&lt;&gt;"",INDEX(tx_Cust,336)&amp;"",INDEX(tx_Vend,336)&amp;""),"")</f>
        <v/>
      </c>
      <c r="H342" s="101">
        <f>IFERROR(N(INDEX(tx_Posted,336)),0)</f>
        <v/>
      </c>
      <c r="I342" s="58">
        <f>IF(H342=1,INDEX(tx_DrAcct,336)&amp;"","")</f>
        <v/>
      </c>
      <c r="J342" s="95">
        <f>IF(H342=1,INDEX(tx_DrAmt,336),0)</f>
        <v/>
      </c>
      <c r="K342" s="58">
        <f>IF(H342=1,INDEX(tx_CrAcct,336)&amp;"","")</f>
        <v/>
      </c>
      <c r="L342" s="95">
        <f>IF(H342=1,INDEX(tx_CrAmt,336),0)</f>
        <v/>
      </c>
      <c r="M342" s="95">
        <f>IF(H342=1,INDEX(tx_TaxDr,336),0)</f>
        <v/>
      </c>
      <c r="N342" s="95">
        <f>IF(H342=1,INDEX(tx_TaxCr,336),0)</f>
        <v/>
      </c>
      <c r="O342" s="101">
        <f>IF(H342=1,IF(E342&lt;FYStart,0,IF(E342&gt;FYEnd,13,YEAR(E342)*12+MONTH(E342)-FYYM+1)),"")</f>
        <v/>
      </c>
      <c r="P342" s="101">
        <f>IF(H342=1,IF(IFERROR(INDEX(coa_CF,MATCH(I342,coa_Name,0)),"")="Cash",1,0),0)</f>
        <v/>
      </c>
      <c r="Q342" s="101">
        <f>IF(H342=1,IF(IFERROR(INDEX(coa_CF,MATCH(K342,coa_Name,0)),"")="Cash",1,0),0)</f>
        <v/>
      </c>
      <c r="R342" s="58">
        <f>IF((P342-Q342)=0,"",IFERROR(INDEX(coa_CF,MATCH(IF((P342-Q342)=1,K342,I342),coa_Name,0)),"Operating"))</f>
        <v/>
      </c>
      <c r="S342" s="95">
        <f>IF((P342-Q342)=1,L342,IF((P342-Q342)=-1,-J342,0))</f>
        <v/>
      </c>
      <c r="T342" s="95">
        <f>IF((P342-Q342)=1,N342,IF((P342-Q342)=-1,-M342,0))</f>
        <v/>
      </c>
      <c r="U342" s="101">
        <f>IF(AND(H342=1,LedAcct&lt;&gt;""),IF(AND(E342&gt;=LedFrom,E342&lt;=LedTo,OR(I342=LedAcct,K342=LedAcct,AND(LedAcct=acctTax,M342+N342&lt;&gt;0))),E342*10000+B342,""),"")</f>
        <v/>
      </c>
    </row>
    <row r="343">
      <c r="B343" s="101" t="n">
        <v>337</v>
      </c>
      <c r="C343" s="58" t="inlineStr">
        <is>
          <t>Transaction</t>
        </is>
      </c>
      <c r="D343" s="58">
        <f>IF(H343=1,INDEX(tx_ID,337)&amp;"","")</f>
        <v/>
      </c>
      <c r="E343" s="94">
        <f>IF(H343=1,INDEX(tx_Date,337),"")</f>
        <v/>
      </c>
      <c r="F343" s="58">
        <f>IF(H343=1,INDEX(tx_Desc,337)&amp;"","")</f>
        <v/>
      </c>
      <c r="G343" s="58">
        <f>IF(H343=1,IF(INDEX(tx_Cust,337)&amp;""&lt;&gt;"",INDEX(tx_Cust,337)&amp;"",INDEX(tx_Vend,337)&amp;""),"")</f>
        <v/>
      </c>
      <c r="H343" s="101">
        <f>IFERROR(N(INDEX(tx_Posted,337)),0)</f>
        <v/>
      </c>
      <c r="I343" s="58">
        <f>IF(H343=1,INDEX(tx_DrAcct,337)&amp;"","")</f>
        <v/>
      </c>
      <c r="J343" s="95">
        <f>IF(H343=1,INDEX(tx_DrAmt,337),0)</f>
        <v/>
      </c>
      <c r="K343" s="58">
        <f>IF(H343=1,INDEX(tx_CrAcct,337)&amp;"","")</f>
        <v/>
      </c>
      <c r="L343" s="95">
        <f>IF(H343=1,INDEX(tx_CrAmt,337),0)</f>
        <v/>
      </c>
      <c r="M343" s="95">
        <f>IF(H343=1,INDEX(tx_TaxDr,337),0)</f>
        <v/>
      </c>
      <c r="N343" s="95">
        <f>IF(H343=1,INDEX(tx_TaxCr,337),0)</f>
        <v/>
      </c>
      <c r="O343" s="101">
        <f>IF(H343=1,IF(E343&lt;FYStart,0,IF(E343&gt;FYEnd,13,YEAR(E343)*12+MONTH(E343)-FYYM+1)),"")</f>
        <v/>
      </c>
      <c r="P343" s="101">
        <f>IF(H343=1,IF(IFERROR(INDEX(coa_CF,MATCH(I343,coa_Name,0)),"")="Cash",1,0),0)</f>
        <v/>
      </c>
      <c r="Q343" s="101">
        <f>IF(H343=1,IF(IFERROR(INDEX(coa_CF,MATCH(K343,coa_Name,0)),"")="Cash",1,0),0)</f>
        <v/>
      </c>
      <c r="R343" s="58">
        <f>IF((P343-Q343)=0,"",IFERROR(INDEX(coa_CF,MATCH(IF((P343-Q343)=1,K343,I343),coa_Name,0)),"Operating"))</f>
        <v/>
      </c>
      <c r="S343" s="95">
        <f>IF((P343-Q343)=1,L343,IF((P343-Q343)=-1,-J343,0))</f>
        <v/>
      </c>
      <c r="T343" s="95">
        <f>IF((P343-Q343)=1,N343,IF((P343-Q343)=-1,-M343,0))</f>
        <v/>
      </c>
      <c r="U343" s="101">
        <f>IF(AND(H343=1,LedAcct&lt;&gt;""),IF(AND(E343&gt;=LedFrom,E343&lt;=LedTo,OR(I343=LedAcct,K343=LedAcct,AND(LedAcct=acctTax,M343+N343&lt;&gt;0))),E343*10000+B343,""),"")</f>
        <v/>
      </c>
    </row>
    <row r="344">
      <c r="B344" s="101" t="n">
        <v>338</v>
      </c>
      <c r="C344" s="58" t="inlineStr">
        <is>
          <t>Transaction</t>
        </is>
      </c>
      <c r="D344" s="58">
        <f>IF(H344=1,INDEX(tx_ID,338)&amp;"","")</f>
        <v/>
      </c>
      <c r="E344" s="94">
        <f>IF(H344=1,INDEX(tx_Date,338),"")</f>
        <v/>
      </c>
      <c r="F344" s="58">
        <f>IF(H344=1,INDEX(tx_Desc,338)&amp;"","")</f>
        <v/>
      </c>
      <c r="G344" s="58">
        <f>IF(H344=1,IF(INDEX(tx_Cust,338)&amp;""&lt;&gt;"",INDEX(tx_Cust,338)&amp;"",INDEX(tx_Vend,338)&amp;""),"")</f>
        <v/>
      </c>
      <c r="H344" s="101">
        <f>IFERROR(N(INDEX(tx_Posted,338)),0)</f>
        <v/>
      </c>
      <c r="I344" s="58">
        <f>IF(H344=1,INDEX(tx_DrAcct,338)&amp;"","")</f>
        <v/>
      </c>
      <c r="J344" s="95">
        <f>IF(H344=1,INDEX(tx_DrAmt,338),0)</f>
        <v/>
      </c>
      <c r="K344" s="58">
        <f>IF(H344=1,INDEX(tx_CrAcct,338)&amp;"","")</f>
        <v/>
      </c>
      <c r="L344" s="95">
        <f>IF(H344=1,INDEX(tx_CrAmt,338),0)</f>
        <v/>
      </c>
      <c r="M344" s="95">
        <f>IF(H344=1,INDEX(tx_TaxDr,338),0)</f>
        <v/>
      </c>
      <c r="N344" s="95">
        <f>IF(H344=1,INDEX(tx_TaxCr,338),0)</f>
        <v/>
      </c>
      <c r="O344" s="101">
        <f>IF(H344=1,IF(E344&lt;FYStart,0,IF(E344&gt;FYEnd,13,YEAR(E344)*12+MONTH(E344)-FYYM+1)),"")</f>
        <v/>
      </c>
      <c r="P344" s="101">
        <f>IF(H344=1,IF(IFERROR(INDEX(coa_CF,MATCH(I344,coa_Name,0)),"")="Cash",1,0),0)</f>
        <v/>
      </c>
      <c r="Q344" s="101">
        <f>IF(H344=1,IF(IFERROR(INDEX(coa_CF,MATCH(K344,coa_Name,0)),"")="Cash",1,0),0)</f>
        <v/>
      </c>
      <c r="R344" s="58">
        <f>IF((P344-Q344)=0,"",IFERROR(INDEX(coa_CF,MATCH(IF((P344-Q344)=1,K344,I344),coa_Name,0)),"Operating"))</f>
        <v/>
      </c>
      <c r="S344" s="95">
        <f>IF((P344-Q344)=1,L344,IF((P344-Q344)=-1,-J344,0))</f>
        <v/>
      </c>
      <c r="T344" s="95">
        <f>IF((P344-Q344)=1,N344,IF((P344-Q344)=-1,-M344,0))</f>
        <v/>
      </c>
      <c r="U344" s="101">
        <f>IF(AND(H344=1,LedAcct&lt;&gt;""),IF(AND(E344&gt;=LedFrom,E344&lt;=LedTo,OR(I344=LedAcct,K344=LedAcct,AND(LedAcct=acctTax,M344+N344&lt;&gt;0))),E344*10000+B344,""),"")</f>
        <v/>
      </c>
    </row>
    <row r="345">
      <c r="B345" s="101" t="n">
        <v>339</v>
      </c>
      <c r="C345" s="58" t="inlineStr">
        <is>
          <t>Transaction</t>
        </is>
      </c>
      <c r="D345" s="58">
        <f>IF(H345=1,INDEX(tx_ID,339)&amp;"","")</f>
        <v/>
      </c>
      <c r="E345" s="94">
        <f>IF(H345=1,INDEX(tx_Date,339),"")</f>
        <v/>
      </c>
      <c r="F345" s="58">
        <f>IF(H345=1,INDEX(tx_Desc,339)&amp;"","")</f>
        <v/>
      </c>
      <c r="G345" s="58">
        <f>IF(H345=1,IF(INDEX(tx_Cust,339)&amp;""&lt;&gt;"",INDEX(tx_Cust,339)&amp;"",INDEX(tx_Vend,339)&amp;""),"")</f>
        <v/>
      </c>
      <c r="H345" s="101">
        <f>IFERROR(N(INDEX(tx_Posted,339)),0)</f>
        <v/>
      </c>
      <c r="I345" s="58">
        <f>IF(H345=1,INDEX(tx_DrAcct,339)&amp;"","")</f>
        <v/>
      </c>
      <c r="J345" s="95">
        <f>IF(H345=1,INDEX(tx_DrAmt,339),0)</f>
        <v/>
      </c>
      <c r="K345" s="58">
        <f>IF(H345=1,INDEX(tx_CrAcct,339)&amp;"","")</f>
        <v/>
      </c>
      <c r="L345" s="95">
        <f>IF(H345=1,INDEX(tx_CrAmt,339),0)</f>
        <v/>
      </c>
      <c r="M345" s="95">
        <f>IF(H345=1,INDEX(tx_TaxDr,339),0)</f>
        <v/>
      </c>
      <c r="N345" s="95">
        <f>IF(H345=1,INDEX(tx_TaxCr,339),0)</f>
        <v/>
      </c>
      <c r="O345" s="101">
        <f>IF(H345=1,IF(E345&lt;FYStart,0,IF(E345&gt;FYEnd,13,YEAR(E345)*12+MONTH(E345)-FYYM+1)),"")</f>
        <v/>
      </c>
      <c r="P345" s="101">
        <f>IF(H345=1,IF(IFERROR(INDEX(coa_CF,MATCH(I345,coa_Name,0)),"")="Cash",1,0),0)</f>
        <v/>
      </c>
      <c r="Q345" s="101">
        <f>IF(H345=1,IF(IFERROR(INDEX(coa_CF,MATCH(K345,coa_Name,0)),"")="Cash",1,0),0)</f>
        <v/>
      </c>
      <c r="R345" s="58">
        <f>IF((P345-Q345)=0,"",IFERROR(INDEX(coa_CF,MATCH(IF((P345-Q345)=1,K345,I345),coa_Name,0)),"Operating"))</f>
        <v/>
      </c>
      <c r="S345" s="95">
        <f>IF((P345-Q345)=1,L345,IF((P345-Q345)=-1,-J345,0))</f>
        <v/>
      </c>
      <c r="T345" s="95">
        <f>IF((P345-Q345)=1,N345,IF((P345-Q345)=-1,-M345,0))</f>
        <v/>
      </c>
      <c r="U345" s="101">
        <f>IF(AND(H345=1,LedAcct&lt;&gt;""),IF(AND(E345&gt;=LedFrom,E345&lt;=LedTo,OR(I345=LedAcct,K345=LedAcct,AND(LedAcct=acctTax,M345+N345&lt;&gt;0))),E345*10000+B345,""),"")</f>
        <v/>
      </c>
    </row>
    <row r="346">
      <c r="B346" s="101" t="n">
        <v>340</v>
      </c>
      <c r="C346" s="58" t="inlineStr">
        <is>
          <t>Transaction</t>
        </is>
      </c>
      <c r="D346" s="58">
        <f>IF(H346=1,INDEX(tx_ID,340)&amp;"","")</f>
        <v/>
      </c>
      <c r="E346" s="94">
        <f>IF(H346=1,INDEX(tx_Date,340),"")</f>
        <v/>
      </c>
      <c r="F346" s="58">
        <f>IF(H346=1,INDEX(tx_Desc,340)&amp;"","")</f>
        <v/>
      </c>
      <c r="G346" s="58">
        <f>IF(H346=1,IF(INDEX(tx_Cust,340)&amp;""&lt;&gt;"",INDEX(tx_Cust,340)&amp;"",INDEX(tx_Vend,340)&amp;""),"")</f>
        <v/>
      </c>
      <c r="H346" s="101">
        <f>IFERROR(N(INDEX(tx_Posted,340)),0)</f>
        <v/>
      </c>
      <c r="I346" s="58">
        <f>IF(H346=1,INDEX(tx_DrAcct,340)&amp;"","")</f>
        <v/>
      </c>
      <c r="J346" s="95">
        <f>IF(H346=1,INDEX(tx_DrAmt,340),0)</f>
        <v/>
      </c>
      <c r="K346" s="58">
        <f>IF(H346=1,INDEX(tx_CrAcct,340)&amp;"","")</f>
        <v/>
      </c>
      <c r="L346" s="95">
        <f>IF(H346=1,INDEX(tx_CrAmt,340),0)</f>
        <v/>
      </c>
      <c r="M346" s="95">
        <f>IF(H346=1,INDEX(tx_TaxDr,340),0)</f>
        <v/>
      </c>
      <c r="N346" s="95">
        <f>IF(H346=1,INDEX(tx_TaxCr,340),0)</f>
        <v/>
      </c>
      <c r="O346" s="101">
        <f>IF(H346=1,IF(E346&lt;FYStart,0,IF(E346&gt;FYEnd,13,YEAR(E346)*12+MONTH(E346)-FYYM+1)),"")</f>
        <v/>
      </c>
      <c r="P346" s="101">
        <f>IF(H346=1,IF(IFERROR(INDEX(coa_CF,MATCH(I346,coa_Name,0)),"")="Cash",1,0),0)</f>
        <v/>
      </c>
      <c r="Q346" s="101">
        <f>IF(H346=1,IF(IFERROR(INDEX(coa_CF,MATCH(K346,coa_Name,0)),"")="Cash",1,0),0)</f>
        <v/>
      </c>
      <c r="R346" s="58">
        <f>IF((P346-Q346)=0,"",IFERROR(INDEX(coa_CF,MATCH(IF((P346-Q346)=1,K346,I346),coa_Name,0)),"Operating"))</f>
        <v/>
      </c>
      <c r="S346" s="95">
        <f>IF((P346-Q346)=1,L346,IF((P346-Q346)=-1,-J346,0))</f>
        <v/>
      </c>
      <c r="T346" s="95">
        <f>IF((P346-Q346)=1,N346,IF((P346-Q346)=-1,-M346,0))</f>
        <v/>
      </c>
      <c r="U346" s="101">
        <f>IF(AND(H346=1,LedAcct&lt;&gt;""),IF(AND(E346&gt;=LedFrom,E346&lt;=LedTo,OR(I346=LedAcct,K346=LedAcct,AND(LedAcct=acctTax,M346+N346&lt;&gt;0))),E346*10000+B346,""),"")</f>
        <v/>
      </c>
    </row>
    <row r="347">
      <c r="B347" s="101" t="n">
        <v>341</v>
      </c>
      <c r="C347" s="58" t="inlineStr">
        <is>
          <t>Transaction</t>
        </is>
      </c>
      <c r="D347" s="58">
        <f>IF(H347=1,INDEX(tx_ID,341)&amp;"","")</f>
        <v/>
      </c>
      <c r="E347" s="94">
        <f>IF(H347=1,INDEX(tx_Date,341),"")</f>
        <v/>
      </c>
      <c r="F347" s="58">
        <f>IF(H347=1,INDEX(tx_Desc,341)&amp;"","")</f>
        <v/>
      </c>
      <c r="G347" s="58">
        <f>IF(H347=1,IF(INDEX(tx_Cust,341)&amp;""&lt;&gt;"",INDEX(tx_Cust,341)&amp;"",INDEX(tx_Vend,341)&amp;""),"")</f>
        <v/>
      </c>
      <c r="H347" s="101">
        <f>IFERROR(N(INDEX(tx_Posted,341)),0)</f>
        <v/>
      </c>
      <c r="I347" s="58">
        <f>IF(H347=1,INDEX(tx_DrAcct,341)&amp;"","")</f>
        <v/>
      </c>
      <c r="J347" s="95">
        <f>IF(H347=1,INDEX(tx_DrAmt,341),0)</f>
        <v/>
      </c>
      <c r="K347" s="58">
        <f>IF(H347=1,INDEX(tx_CrAcct,341)&amp;"","")</f>
        <v/>
      </c>
      <c r="L347" s="95">
        <f>IF(H347=1,INDEX(tx_CrAmt,341),0)</f>
        <v/>
      </c>
      <c r="M347" s="95">
        <f>IF(H347=1,INDEX(tx_TaxDr,341),0)</f>
        <v/>
      </c>
      <c r="N347" s="95">
        <f>IF(H347=1,INDEX(tx_TaxCr,341),0)</f>
        <v/>
      </c>
      <c r="O347" s="101">
        <f>IF(H347=1,IF(E347&lt;FYStart,0,IF(E347&gt;FYEnd,13,YEAR(E347)*12+MONTH(E347)-FYYM+1)),"")</f>
        <v/>
      </c>
      <c r="P347" s="101">
        <f>IF(H347=1,IF(IFERROR(INDEX(coa_CF,MATCH(I347,coa_Name,0)),"")="Cash",1,0),0)</f>
        <v/>
      </c>
      <c r="Q347" s="101">
        <f>IF(H347=1,IF(IFERROR(INDEX(coa_CF,MATCH(K347,coa_Name,0)),"")="Cash",1,0),0)</f>
        <v/>
      </c>
      <c r="R347" s="58">
        <f>IF((P347-Q347)=0,"",IFERROR(INDEX(coa_CF,MATCH(IF((P347-Q347)=1,K347,I347),coa_Name,0)),"Operating"))</f>
        <v/>
      </c>
      <c r="S347" s="95">
        <f>IF((P347-Q347)=1,L347,IF((P347-Q347)=-1,-J347,0))</f>
        <v/>
      </c>
      <c r="T347" s="95">
        <f>IF((P347-Q347)=1,N347,IF((P347-Q347)=-1,-M347,0))</f>
        <v/>
      </c>
      <c r="U347" s="101">
        <f>IF(AND(H347=1,LedAcct&lt;&gt;""),IF(AND(E347&gt;=LedFrom,E347&lt;=LedTo,OR(I347=LedAcct,K347=LedAcct,AND(LedAcct=acctTax,M347+N347&lt;&gt;0))),E347*10000+B347,""),"")</f>
        <v/>
      </c>
    </row>
    <row r="348">
      <c r="B348" s="101" t="n">
        <v>342</v>
      </c>
      <c r="C348" s="58" t="inlineStr">
        <is>
          <t>Transaction</t>
        </is>
      </c>
      <c r="D348" s="58">
        <f>IF(H348=1,INDEX(tx_ID,342)&amp;"","")</f>
        <v/>
      </c>
      <c r="E348" s="94">
        <f>IF(H348=1,INDEX(tx_Date,342),"")</f>
        <v/>
      </c>
      <c r="F348" s="58">
        <f>IF(H348=1,INDEX(tx_Desc,342)&amp;"","")</f>
        <v/>
      </c>
      <c r="G348" s="58">
        <f>IF(H348=1,IF(INDEX(tx_Cust,342)&amp;""&lt;&gt;"",INDEX(tx_Cust,342)&amp;"",INDEX(tx_Vend,342)&amp;""),"")</f>
        <v/>
      </c>
      <c r="H348" s="101">
        <f>IFERROR(N(INDEX(tx_Posted,342)),0)</f>
        <v/>
      </c>
      <c r="I348" s="58">
        <f>IF(H348=1,INDEX(tx_DrAcct,342)&amp;"","")</f>
        <v/>
      </c>
      <c r="J348" s="95">
        <f>IF(H348=1,INDEX(tx_DrAmt,342),0)</f>
        <v/>
      </c>
      <c r="K348" s="58">
        <f>IF(H348=1,INDEX(tx_CrAcct,342)&amp;"","")</f>
        <v/>
      </c>
      <c r="L348" s="95">
        <f>IF(H348=1,INDEX(tx_CrAmt,342),0)</f>
        <v/>
      </c>
      <c r="M348" s="95">
        <f>IF(H348=1,INDEX(tx_TaxDr,342),0)</f>
        <v/>
      </c>
      <c r="N348" s="95">
        <f>IF(H348=1,INDEX(tx_TaxCr,342),0)</f>
        <v/>
      </c>
      <c r="O348" s="101">
        <f>IF(H348=1,IF(E348&lt;FYStart,0,IF(E348&gt;FYEnd,13,YEAR(E348)*12+MONTH(E348)-FYYM+1)),"")</f>
        <v/>
      </c>
      <c r="P348" s="101">
        <f>IF(H348=1,IF(IFERROR(INDEX(coa_CF,MATCH(I348,coa_Name,0)),"")="Cash",1,0),0)</f>
        <v/>
      </c>
      <c r="Q348" s="101">
        <f>IF(H348=1,IF(IFERROR(INDEX(coa_CF,MATCH(K348,coa_Name,0)),"")="Cash",1,0),0)</f>
        <v/>
      </c>
      <c r="R348" s="58">
        <f>IF((P348-Q348)=0,"",IFERROR(INDEX(coa_CF,MATCH(IF((P348-Q348)=1,K348,I348),coa_Name,0)),"Operating"))</f>
        <v/>
      </c>
      <c r="S348" s="95">
        <f>IF((P348-Q348)=1,L348,IF((P348-Q348)=-1,-J348,0))</f>
        <v/>
      </c>
      <c r="T348" s="95">
        <f>IF((P348-Q348)=1,N348,IF((P348-Q348)=-1,-M348,0))</f>
        <v/>
      </c>
      <c r="U348" s="101">
        <f>IF(AND(H348=1,LedAcct&lt;&gt;""),IF(AND(E348&gt;=LedFrom,E348&lt;=LedTo,OR(I348=LedAcct,K348=LedAcct,AND(LedAcct=acctTax,M348+N348&lt;&gt;0))),E348*10000+B348,""),"")</f>
        <v/>
      </c>
    </row>
    <row r="349">
      <c r="B349" s="101" t="n">
        <v>343</v>
      </c>
      <c r="C349" s="58" t="inlineStr">
        <is>
          <t>Transaction</t>
        </is>
      </c>
      <c r="D349" s="58">
        <f>IF(H349=1,INDEX(tx_ID,343)&amp;"","")</f>
        <v/>
      </c>
      <c r="E349" s="94">
        <f>IF(H349=1,INDEX(tx_Date,343),"")</f>
        <v/>
      </c>
      <c r="F349" s="58">
        <f>IF(H349=1,INDEX(tx_Desc,343)&amp;"","")</f>
        <v/>
      </c>
      <c r="G349" s="58">
        <f>IF(H349=1,IF(INDEX(tx_Cust,343)&amp;""&lt;&gt;"",INDEX(tx_Cust,343)&amp;"",INDEX(tx_Vend,343)&amp;""),"")</f>
        <v/>
      </c>
      <c r="H349" s="101">
        <f>IFERROR(N(INDEX(tx_Posted,343)),0)</f>
        <v/>
      </c>
      <c r="I349" s="58">
        <f>IF(H349=1,INDEX(tx_DrAcct,343)&amp;"","")</f>
        <v/>
      </c>
      <c r="J349" s="95">
        <f>IF(H349=1,INDEX(tx_DrAmt,343),0)</f>
        <v/>
      </c>
      <c r="K349" s="58">
        <f>IF(H349=1,INDEX(tx_CrAcct,343)&amp;"","")</f>
        <v/>
      </c>
      <c r="L349" s="95">
        <f>IF(H349=1,INDEX(tx_CrAmt,343),0)</f>
        <v/>
      </c>
      <c r="M349" s="95">
        <f>IF(H349=1,INDEX(tx_TaxDr,343),0)</f>
        <v/>
      </c>
      <c r="N349" s="95">
        <f>IF(H349=1,INDEX(tx_TaxCr,343),0)</f>
        <v/>
      </c>
      <c r="O349" s="101">
        <f>IF(H349=1,IF(E349&lt;FYStart,0,IF(E349&gt;FYEnd,13,YEAR(E349)*12+MONTH(E349)-FYYM+1)),"")</f>
        <v/>
      </c>
      <c r="P349" s="101">
        <f>IF(H349=1,IF(IFERROR(INDEX(coa_CF,MATCH(I349,coa_Name,0)),"")="Cash",1,0),0)</f>
        <v/>
      </c>
      <c r="Q349" s="101">
        <f>IF(H349=1,IF(IFERROR(INDEX(coa_CF,MATCH(K349,coa_Name,0)),"")="Cash",1,0),0)</f>
        <v/>
      </c>
      <c r="R349" s="58">
        <f>IF((P349-Q349)=0,"",IFERROR(INDEX(coa_CF,MATCH(IF((P349-Q349)=1,K349,I349),coa_Name,0)),"Operating"))</f>
        <v/>
      </c>
      <c r="S349" s="95">
        <f>IF((P349-Q349)=1,L349,IF((P349-Q349)=-1,-J349,0))</f>
        <v/>
      </c>
      <c r="T349" s="95">
        <f>IF((P349-Q349)=1,N349,IF((P349-Q349)=-1,-M349,0))</f>
        <v/>
      </c>
      <c r="U349" s="101">
        <f>IF(AND(H349=1,LedAcct&lt;&gt;""),IF(AND(E349&gt;=LedFrom,E349&lt;=LedTo,OR(I349=LedAcct,K349=LedAcct,AND(LedAcct=acctTax,M349+N349&lt;&gt;0))),E349*10000+B349,""),"")</f>
        <v/>
      </c>
    </row>
    <row r="350">
      <c r="B350" s="101" t="n">
        <v>344</v>
      </c>
      <c r="C350" s="58" t="inlineStr">
        <is>
          <t>Transaction</t>
        </is>
      </c>
      <c r="D350" s="58">
        <f>IF(H350=1,INDEX(tx_ID,344)&amp;"","")</f>
        <v/>
      </c>
      <c r="E350" s="94">
        <f>IF(H350=1,INDEX(tx_Date,344),"")</f>
        <v/>
      </c>
      <c r="F350" s="58">
        <f>IF(H350=1,INDEX(tx_Desc,344)&amp;"","")</f>
        <v/>
      </c>
      <c r="G350" s="58">
        <f>IF(H350=1,IF(INDEX(tx_Cust,344)&amp;""&lt;&gt;"",INDEX(tx_Cust,344)&amp;"",INDEX(tx_Vend,344)&amp;""),"")</f>
        <v/>
      </c>
      <c r="H350" s="101">
        <f>IFERROR(N(INDEX(tx_Posted,344)),0)</f>
        <v/>
      </c>
      <c r="I350" s="58">
        <f>IF(H350=1,INDEX(tx_DrAcct,344)&amp;"","")</f>
        <v/>
      </c>
      <c r="J350" s="95">
        <f>IF(H350=1,INDEX(tx_DrAmt,344),0)</f>
        <v/>
      </c>
      <c r="K350" s="58">
        <f>IF(H350=1,INDEX(tx_CrAcct,344)&amp;"","")</f>
        <v/>
      </c>
      <c r="L350" s="95">
        <f>IF(H350=1,INDEX(tx_CrAmt,344),0)</f>
        <v/>
      </c>
      <c r="M350" s="95">
        <f>IF(H350=1,INDEX(tx_TaxDr,344),0)</f>
        <v/>
      </c>
      <c r="N350" s="95">
        <f>IF(H350=1,INDEX(tx_TaxCr,344),0)</f>
        <v/>
      </c>
      <c r="O350" s="101">
        <f>IF(H350=1,IF(E350&lt;FYStart,0,IF(E350&gt;FYEnd,13,YEAR(E350)*12+MONTH(E350)-FYYM+1)),"")</f>
        <v/>
      </c>
      <c r="P350" s="101">
        <f>IF(H350=1,IF(IFERROR(INDEX(coa_CF,MATCH(I350,coa_Name,0)),"")="Cash",1,0),0)</f>
        <v/>
      </c>
      <c r="Q350" s="101">
        <f>IF(H350=1,IF(IFERROR(INDEX(coa_CF,MATCH(K350,coa_Name,0)),"")="Cash",1,0),0)</f>
        <v/>
      </c>
      <c r="R350" s="58">
        <f>IF((P350-Q350)=0,"",IFERROR(INDEX(coa_CF,MATCH(IF((P350-Q350)=1,K350,I350),coa_Name,0)),"Operating"))</f>
        <v/>
      </c>
      <c r="S350" s="95">
        <f>IF((P350-Q350)=1,L350,IF((P350-Q350)=-1,-J350,0))</f>
        <v/>
      </c>
      <c r="T350" s="95">
        <f>IF((P350-Q350)=1,N350,IF((P350-Q350)=-1,-M350,0))</f>
        <v/>
      </c>
      <c r="U350" s="101">
        <f>IF(AND(H350=1,LedAcct&lt;&gt;""),IF(AND(E350&gt;=LedFrom,E350&lt;=LedTo,OR(I350=LedAcct,K350=LedAcct,AND(LedAcct=acctTax,M350+N350&lt;&gt;0))),E350*10000+B350,""),"")</f>
        <v/>
      </c>
    </row>
    <row r="351">
      <c r="B351" s="101" t="n">
        <v>345</v>
      </c>
      <c r="C351" s="58" t="inlineStr">
        <is>
          <t>Transaction</t>
        </is>
      </c>
      <c r="D351" s="58">
        <f>IF(H351=1,INDEX(tx_ID,345)&amp;"","")</f>
        <v/>
      </c>
      <c r="E351" s="94">
        <f>IF(H351=1,INDEX(tx_Date,345),"")</f>
        <v/>
      </c>
      <c r="F351" s="58">
        <f>IF(H351=1,INDEX(tx_Desc,345)&amp;"","")</f>
        <v/>
      </c>
      <c r="G351" s="58">
        <f>IF(H351=1,IF(INDEX(tx_Cust,345)&amp;""&lt;&gt;"",INDEX(tx_Cust,345)&amp;"",INDEX(tx_Vend,345)&amp;""),"")</f>
        <v/>
      </c>
      <c r="H351" s="101">
        <f>IFERROR(N(INDEX(tx_Posted,345)),0)</f>
        <v/>
      </c>
      <c r="I351" s="58">
        <f>IF(H351=1,INDEX(tx_DrAcct,345)&amp;"","")</f>
        <v/>
      </c>
      <c r="J351" s="95">
        <f>IF(H351=1,INDEX(tx_DrAmt,345),0)</f>
        <v/>
      </c>
      <c r="K351" s="58">
        <f>IF(H351=1,INDEX(tx_CrAcct,345)&amp;"","")</f>
        <v/>
      </c>
      <c r="L351" s="95">
        <f>IF(H351=1,INDEX(tx_CrAmt,345),0)</f>
        <v/>
      </c>
      <c r="M351" s="95">
        <f>IF(H351=1,INDEX(tx_TaxDr,345),0)</f>
        <v/>
      </c>
      <c r="N351" s="95">
        <f>IF(H351=1,INDEX(tx_TaxCr,345),0)</f>
        <v/>
      </c>
      <c r="O351" s="101">
        <f>IF(H351=1,IF(E351&lt;FYStart,0,IF(E351&gt;FYEnd,13,YEAR(E351)*12+MONTH(E351)-FYYM+1)),"")</f>
        <v/>
      </c>
      <c r="P351" s="101">
        <f>IF(H351=1,IF(IFERROR(INDEX(coa_CF,MATCH(I351,coa_Name,0)),"")="Cash",1,0),0)</f>
        <v/>
      </c>
      <c r="Q351" s="101">
        <f>IF(H351=1,IF(IFERROR(INDEX(coa_CF,MATCH(K351,coa_Name,0)),"")="Cash",1,0),0)</f>
        <v/>
      </c>
      <c r="R351" s="58">
        <f>IF((P351-Q351)=0,"",IFERROR(INDEX(coa_CF,MATCH(IF((P351-Q351)=1,K351,I351),coa_Name,0)),"Operating"))</f>
        <v/>
      </c>
      <c r="S351" s="95">
        <f>IF((P351-Q351)=1,L351,IF((P351-Q351)=-1,-J351,0))</f>
        <v/>
      </c>
      <c r="T351" s="95">
        <f>IF((P351-Q351)=1,N351,IF((P351-Q351)=-1,-M351,0))</f>
        <v/>
      </c>
      <c r="U351" s="101">
        <f>IF(AND(H351=1,LedAcct&lt;&gt;""),IF(AND(E351&gt;=LedFrom,E351&lt;=LedTo,OR(I351=LedAcct,K351=LedAcct,AND(LedAcct=acctTax,M351+N351&lt;&gt;0))),E351*10000+B351,""),"")</f>
        <v/>
      </c>
    </row>
    <row r="352">
      <c r="B352" s="101" t="n">
        <v>346</v>
      </c>
      <c r="C352" s="58" t="inlineStr">
        <is>
          <t>Transaction</t>
        </is>
      </c>
      <c r="D352" s="58">
        <f>IF(H352=1,INDEX(tx_ID,346)&amp;"","")</f>
        <v/>
      </c>
      <c r="E352" s="94">
        <f>IF(H352=1,INDEX(tx_Date,346),"")</f>
        <v/>
      </c>
      <c r="F352" s="58">
        <f>IF(H352=1,INDEX(tx_Desc,346)&amp;"","")</f>
        <v/>
      </c>
      <c r="G352" s="58">
        <f>IF(H352=1,IF(INDEX(tx_Cust,346)&amp;""&lt;&gt;"",INDEX(tx_Cust,346)&amp;"",INDEX(tx_Vend,346)&amp;""),"")</f>
        <v/>
      </c>
      <c r="H352" s="101">
        <f>IFERROR(N(INDEX(tx_Posted,346)),0)</f>
        <v/>
      </c>
      <c r="I352" s="58">
        <f>IF(H352=1,INDEX(tx_DrAcct,346)&amp;"","")</f>
        <v/>
      </c>
      <c r="J352" s="95">
        <f>IF(H352=1,INDEX(tx_DrAmt,346),0)</f>
        <v/>
      </c>
      <c r="K352" s="58">
        <f>IF(H352=1,INDEX(tx_CrAcct,346)&amp;"","")</f>
        <v/>
      </c>
      <c r="L352" s="95">
        <f>IF(H352=1,INDEX(tx_CrAmt,346),0)</f>
        <v/>
      </c>
      <c r="M352" s="95">
        <f>IF(H352=1,INDEX(tx_TaxDr,346),0)</f>
        <v/>
      </c>
      <c r="N352" s="95">
        <f>IF(H352=1,INDEX(tx_TaxCr,346),0)</f>
        <v/>
      </c>
      <c r="O352" s="101">
        <f>IF(H352=1,IF(E352&lt;FYStart,0,IF(E352&gt;FYEnd,13,YEAR(E352)*12+MONTH(E352)-FYYM+1)),"")</f>
        <v/>
      </c>
      <c r="P352" s="101">
        <f>IF(H352=1,IF(IFERROR(INDEX(coa_CF,MATCH(I352,coa_Name,0)),"")="Cash",1,0),0)</f>
        <v/>
      </c>
      <c r="Q352" s="101">
        <f>IF(H352=1,IF(IFERROR(INDEX(coa_CF,MATCH(K352,coa_Name,0)),"")="Cash",1,0),0)</f>
        <v/>
      </c>
      <c r="R352" s="58">
        <f>IF((P352-Q352)=0,"",IFERROR(INDEX(coa_CF,MATCH(IF((P352-Q352)=1,K352,I352),coa_Name,0)),"Operating"))</f>
        <v/>
      </c>
      <c r="S352" s="95">
        <f>IF((P352-Q352)=1,L352,IF((P352-Q352)=-1,-J352,0))</f>
        <v/>
      </c>
      <c r="T352" s="95">
        <f>IF((P352-Q352)=1,N352,IF((P352-Q352)=-1,-M352,0))</f>
        <v/>
      </c>
      <c r="U352" s="101">
        <f>IF(AND(H352=1,LedAcct&lt;&gt;""),IF(AND(E352&gt;=LedFrom,E352&lt;=LedTo,OR(I352=LedAcct,K352=LedAcct,AND(LedAcct=acctTax,M352+N352&lt;&gt;0))),E352*10000+B352,""),"")</f>
        <v/>
      </c>
    </row>
    <row r="353">
      <c r="B353" s="101" t="n">
        <v>347</v>
      </c>
      <c r="C353" s="58" t="inlineStr">
        <is>
          <t>Transaction</t>
        </is>
      </c>
      <c r="D353" s="58">
        <f>IF(H353=1,INDEX(tx_ID,347)&amp;"","")</f>
        <v/>
      </c>
      <c r="E353" s="94">
        <f>IF(H353=1,INDEX(tx_Date,347),"")</f>
        <v/>
      </c>
      <c r="F353" s="58">
        <f>IF(H353=1,INDEX(tx_Desc,347)&amp;"","")</f>
        <v/>
      </c>
      <c r="G353" s="58">
        <f>IF(H353=1,IF(INDEX(tx_Cust,347)&amp;""&lt;&gt;"",INDEX(tx_Cust,347)&amp;"",INDEX(tx_Vend,347)&amp;""),"")</f>
        <v/>
      </c>
      <c r="H353" s="101">
        <f>IFERROR(N(INDEX(tx_Posted,347)),0)</f>
        <v/>
      </c>
      <c r="I353" s="58">
        <f>IF(H353=1,INDEX(tx_DrAcct,347)&amp;"","")</f>
        <v/>
      </c>
      <c r="J353" s="95">
        <f>IF(H353=1,INDEX(tx_DrAmt,347),0)</f>
        <v/>
      </c>
      <c r="K353" s="58">
        <f>IF(H353=1,INDEX(tx_CrAcct,347)&amp;"","")</f>
        <v/>
      </c>
      <c r="L353" s="95">
        <f>IF(H353=1,INDEX(tx_CrAmt,347),0)</f>
        <v/>
      </c>
      <c r="M353" s="95">
        <f>IF(H353=1,INDEX(tx_TaxDr,347),0)</f>
        <v/>
      </c>
      <c r="N353" s="95">
        <f>IF(H353=1,INDEX(tx_TaxCr,347),0)</f>
        <v/>
      </c>
      <c r="O353" s="101">
        <f>IF(H353=1,IF(E353&lt;FYStart,0,IF(E353&gt;FYEnd,13,YEAR(E353)*12+MONTH(E353)-FYYM+1)),"")</f>
        <v/>
      </c>
      <c r="P353" s="101">
        <f>IF(H353=1,IF(IFERROR(INDEX(coa_CF,MATCH(I353,coa_Name,0)),"")="Cash",1,0),0)</f>
        <v/>
      </c>
      <c r="Q353" s="101">
        <f>IF(H353=1,IF(IFERROR(INDEX(coa_CF,MATCH(K353,coa_Name,0)),"")="Cash",1,0),0)</f>
        <v/>
      </c>
      <c r="R353" s="58">
        <f>IF((P353-Q353)=0,"",IFERROR(INDEX(coa_CF,MATCH(IF((P353-Q353)=1,K353,I353),coa_Name,0)),"Operating"))</f>
        <v/>
      </c>
      <c r="S353" s="95">
        <f>IF((P353-Q353)=1,L353,IF((P353-Q353)=-1,-J353,0))</f>
        <v/>
      </c>
      <c r="T353" s="95">
        <f>IF((P353-Q353)=1,N353,IF((P353-Q353)=-1,-M353,0))</f>
        <v/>
      </c>
      <c r="U353" s="101">
        <f>IF(AND(H353=1,LedAcct&lt;&gt;""),IF(AND(E353&gt;=LedFrom,E353&lt;=LedTo,OR(I353=LedAcct,K353=LedAcct,AND(LedAcct=acctTax,M353+N353&lt;&gt;0))),E353*10000+B353,""),"")</f>
        <v/>
      </c>
    </row>
    <row r="354">
      <c r="B354" s="101" t="n">
        <v>348</v>
      </c>
      <c r="C354" s="58" t="inlineStr">
        <is>
          <t>Transaction</t>
        </is>
      </c>
      <c r="D354" s="58">
        <f>IF(H354=1,INDEX(tx_ID,348)&amp;"","")</f>
        <v/>
      </c>
      <c r="E354" s="94">
        <f>IF(H354=1,INDEX(tx_Date,348),"")</f>
        <v/>
      </c>
      <c r="F354" s="58">
        <f>IF(H354=1,INDEX(tx_Desc,348)&amp;"","")</f>
        <v/>
      </c>
      <c r="G354" s="58">
        <f>IF(H354=1,IF(INDEX(tx_Cust,348)&amp;""&lt;&gt;"",INDEX(tx_Cust,348)&amp;"",INDEX(tx_Vend,348)&amp;""),"")</f>
        <v/>
      </c>
      <c r="H354" s="101">
        <f>IFERROR(N(INDEX(tx_Posted,348)),0)</f>
        <v/>
      </c>
      <c r="I354" s="58">
        <f>IF(H354=1,INDEX(tx_DrAcct,348)&amp;"","")</f>
        <v/>
      </c>
      <c r="J354" s="95">
        <f>IF(H354=1,INDEX(tx_DrAmt,348),0)</f>
        <v/>
      </c>
      <c r="K354" s="58">
        <f>IF(H354=1,INDEX(tx_CrAcct,348)&amp;"","")</f>
        <v/>
      </c>
      <c r="L354" s="95">
        <f>IF(H354=1,INDEX(tx_CrAmt,348),0)</f>
        <v/>
      </c>
      <c r="M354" s="95">
        <f>IF(H354=1,INDEX(tx_TaxDr,348),0)</f>
        <v/>
      </c>
      <c r="N354" s="95">
        <f>IF(H354=1,INDEX(tx_TaxCr,348),0)</f>
        <v/>
      </c>
      <c r="O354" s="101">
        <f>IF(H354=1,IF(E354&lt;FYStart,0,IF(E354&gt;FYEnd,13,YEAR(E354)*12+MONTH(E354)-FYYM+1)),"")</f>
        <v/>
      </c>
      <c r="P354" s="101">
        <f>IF(H354=1,IF(IFERROR(INDEX(coa_CF,MATCH(I354,coa_Name,0)),"")="Cash",1,0),0)</f>
        <v/>
      </c>
      <c r="Q354" s="101">
        <f>IF(H354=1,IF(IFERROR(INDEX(coa_CF,MATCH(K354,coa_Name,0)),"")="Cash",1,0),0)</f>
        <v/>
      </c>
      <c r="R354" s="58">
        <f>IF((P354-Q354)=0,"",IFERROR(INDEX(coa_CF,MATCH(IF((P354-Q354)=1,K354,I354),coa_Name,0)),"Operating"))</f>
        <v/>
      </c>
      <c r="S354" s="95">
        <f>IF((P354-Q354)=1,L354,IF((P354-Q354)=-1,-J354,0))</f>
        <v/>
      </c>
      <c r="T354" s="95">
        <f>IF((P354-Q354)=1,N354,IF((P354-Q354)=-1,-M354,0))</f>
        <v/>
      </c>
      <c r="U354" s="101">
        <f>IF(AND(H354=1,LedAcct&lt;&gt;""),IF(AND(E354&gt;=LedFrom,E354&lt;=LedTo,OR(I354=LedAcct,K354=LedAcct,AND(LedAcct=acctTax,M354+N354&lt;&gt;0))),E354*10000+B354,""),"")</f>
        <v/>
      </c>
    </row>
    <row r="355">
      <c r="B355" s="101" t="n">
        <v>349</v>
      </c>
      <c r="C355" s="58" t="inlineStr">
        <is>
          <t>Transaction</t>
        </is>
      </c>
      <c r="D355" s="58">
        <f>IF(H355=1,INDEX(tx_ID,349)&amp;"","")</f>
        <v/>
      </c>
      <c r="E355" s="94">
        <f>IF(H355=1,INDEX(tx_Date,349),"")</f>
        <v/>
      </c>
      <c r="F355" s="58">
        <f>IF(H355=1,INDEX(tx_Desc,349)&amp;"","")</f>
        <v/>
      </c>
      <c r="G355" s="58">
        <f>IF(H355=1,IF(INDEX(tx_Cust,349)&amp;""&lt;&gt;"",INDEX(tx_Cust,349)&amp;"",INDEX(tx_Vend,349)&amp;""),"")</f>
        <v/>
      </c>
      <c r="H355" s="101">
        <f>IFERROR(N(INDEX(tx_Posted,349)),0)</f>
        <v/>
      </c>
      <c r="I355" s="58">
        <f>IF(H355=1,INDEX(tx_DrAcct,349)&amp;"","")</f>
        <v/>
      </c>
      <c r="J355" s="95">
        <f>IF(H355=1,INDEX(tx_DrAmt,349),0)</f>
        <v/>
      </c>
      <c r="K355" s="58">
        <f>IF(H355=1,INDEX(tx_CrAcct,349)&amp;"","")</f>
        <v/>
      </c>
      <c r="L355" s="95">
        <f>IF(H355=1,INDEX(tx_CrAmt,349),0)</f>
        <v/>
      </c>
      <c r="M355" s="95">
        <f>IF(H355=1,INDEX(tx_TaxDr,349),0)</f>
        <v/>
      </c>
      <c r="N355" s="95">
        <f>IF(H355=1,INDEX(tx_TaxCr,349),0)</f>
        <v/>
      </c>
      <c r="O355" s="101">
        <f>IF(H355=1,IF(E355&lt;FYStart,0,IF(E355&gt;FYEnd,13,YEAR(E355)*12+MONTH(E355)-FYYM+1)),"")</f>
        <v/>
      </c>
      <c r="P355" s="101">
        <f>IF(H355=1,IF(IFERROR(INDEX(coa_CF,MATCH(I355,coa_Name,0)),"")="Cash",1,0),0)</f>
        <v/>
      </c>
      <c r="Q355" s="101">
        <f>IF(H355=1,IF(IFERROR(INDEX(coa_CF,MATCH(K355,coa_Name,0)),"")="Cash",1,0),0)</f>
        <v/>
      </c>
      <c r="R355" s="58">
        <f>IF((P355-Q355)=0,"",IFERROR(INDEX(coa_CF,MATCH(IF((P355-Q355)=1,K355,I355),coa_Name,0)),"Operating"))</f>
        <v/>
      </c>
      <c r="S355" s="95">
        <f>IF((P355-Q355)=1,L355,IF((P355-Q355)=-1,-J355,0))</f>
        <v/>
      </c>
      <c r="T355" s="95">
        <f>IF((P355-Q355)=1,N355,IF((P355-Q355)=-1,-M355,0))</f>
        <v/>
      </c>
      <c r="U355" s="101">
        <f>IF(AND(H355=1,LedAcct&lt;&gt;""),IF(AND(E355&gt;=LedFrom,E355&lt;=LedTo,OR(I355=LedAcct,K355=LedAcct,AND(LedAcct=acctTax,M355+N355&lt;&gt;0))),E355*10000+B355,""),"")</f>
        <v/>
      </c>
    </row>
    <row r="356">
      <c r="B356" s="101" t="n">
        <v>350</v>
      </c>
      <c r="C356" s="58" t="inlineStr">
        <is>
          <t>Transaction</t>
        </is>
      </c>
      <c r="D356" s="58">
        <f>IF(H356=1,INDEX(tx_ID,350)&amp;"","")</f>
        <v/>
      </c>
      <c r="E356" s="94">
        <f>IF(H356=1,INDEX(tx_Date,350),"")</f>
        <v/>
      </c>
      <c r="F356" s="58">
        <f>IF(H356=1,INDEX(tx_Desc,350)&amp;"","")</f>
        <v/>
      </c>
      <c r="G356" s="58">
        <f>IF(H356=1,IF(INDEX(tx_Cust,350)&amp;""&lt;&gt;"",INDEX(tx_Cust,350)&amp;"",INDEX(tx_Vend,350)&amp;""),"")</f>
        <v/>
      </c>
      <c r="H356" s="101">
        <f>IFERROR(N(INDEX(tx_Posted,350)),0)</f>
        <v/>
      </c>
      <c r="I356" s="58">
        <f>IF(H356=1,INDEX(tx_DrAcct,350)&amp;"","")</f>
        <v/>
      </c>
      <c r="J356" s="95">
        <f>IF(H356=1,INDEX(tx_DrAmt,350),0)</f>
        <v/>
      </c>
      <c r="K356" s="58">
        <f>IF(H356=1,INDEX(tx_CrAcct,350)&amp;"","")</f>
        <v/>
      </c>
      <c r="L356" s="95">
        <f>IF(H356=1,INDEX(tx_CrAmt,350),0)</f>
        <v/>
      </c>
      <c r="M356" s="95">
        <f>IF(H356=1,INDEX(tx_TaxDr,350),0)</f>
        <v/>
      </c>
      <c r="N356" s="95">
        <f>IF(H356=1,INDEX(tx_TaxCr,350),0)</f>
        <v/>
      </c>
      <c r="O356" s="101">
        <f>IF(H356=1,IF(E356&lt;FYStart,0,IF(E356&gt;FYEnd,13,YEAR(E356)*12+MONTH(E356)-FYYM+1)),"")</f>
        <v/>
      </c>
      <c r="P356" s="101">
        <f>IF(H356=1,IF(IFERROR(INDEX(coa_CF,MATCH(I356,coa_Name,0)),"")="Cash",1,0),0)</f>
        <v/>
      </c>
      <c r="Q356" s="101">
        <f>IF(H356=1,IF(IFERROR(INDEX(coa_CF,MATCH(K356,coa_Name,0)),"")="Cash",1,0),0)</f>
        <v/>
      </c>
      <c r="R356" s="58">
        <f>IF((P356-Q356)=0,"",IFERROR(INDEX(coa_CF,MATCH(IF((P356-Q356)=1,K356,I356),coa_Name,0)),"Operating"))</f>
        <v/>
      </c>
      <c r="S356" s="95">
        <f>IF((P356-Q356)=1,L356,IF((P356-Q356)=-1,-J356,0))</f>
        <v/>
      </c>
      <c r="T356" s="95">
        <f>IF((P356-Q356)=1,N356,IF((P356-Q356)=-1,-M356,0))</f>
        <v/>
      </c>
      <c r="U356" s="101">
        <f>IF(AND(H356=1,LedAcct&lt;&gt;""),IF(AND(E356&gt;=LedFrom,E356&lt;=LedTo,OR(I356=LedAcct,K356=LedAcct,AND(LedAcct=acctTax,M356+N356&lt;&gt;0))),E356*10000+B356,""),"")</f>
        <v/>
      </c>
    </row>
    <row r="357">
      <c r="B357" s="101" t="n">
        <v>351</v>
      </c>
      <c r="C357" s="58" t="inlineStr">
        <is>
          <t>Transaction</t>
        </is>
      </c>
      <c r="D357" s="58">
        <f>IF(H357=1,INDEX(tx_ID,351)&amp;"","")</f>
        <v/>
      </c>
      <c r="E357" s="94">
        <f>IF(H357=1,INDEX(tx_Date,351),"")</f>
        <v/>
      </c>
      <c r="F357" s="58">
        <f>IF(H357=1,INDEX(tx_Desc,351)&amp;"","")</f>
        <v/>
      </c>
      <c r="G357" s="58">
        <f>IF(H357=1,IF(INDEX(tx_Cust,351)&amp;""&lt;&gt;"",INDEX(tx_Cust,351)&amp;"",INDEX(tx_Vend,351)&amp;""),"")</f>
        <v/>
      </c>
      <c r="H357" s="101">
        <f>IFERROR(N(INDEX(tx_Posted,351)),0)</f>
        <v/>
      </c>
      <c r="I357" s="58">
        <f>IF(H357=1,INDEX(tx_DrAcct,351)&amp;"","")</f>
        <v/>
      </c>
      <c r="J357" s="95">
        <f>IF(H357=1,INDEX(tx_DrAmt,351),0)</f>
        <v/>
      </c>
      <c r="K357" s="58">
        <f>IF(H357=1,INDEX(tx_CrAcct,351)&amp;"","")</f>
        <v/>
      </c>
      <c r="L357" s="95">
        <f>IF(H357=1,INDEX(tx_CrAmt,351),0)</f>
        <v/>
      </c>
      <c r="M357" s="95">
        <f>IF(H357=1,INDEX(tx_TaxDr,351),0)</f>
        <v/>
      </c>
      <c r="N357" s="95">
        <f>IF(H357=1,INDEX(tx_TaxCr,351),0)</f>
        <v/>
      </c>
      <c r="O357" s="101">
        <f>IF(H357=1,IF(E357&lt;FYStart,0,IF(E357&gt;FYEnd,13,YEAR(E357)*12+MONTH(E357)-FYYM+1)),"")</f>
        <v/>
      </c>
      <c r="P357" s="101">
        <f>IF(H357=1,IF(IFERROR(INDEX(coa_CF,MATCH(I357,coa_Name,0)),"")="Cash",1,0),0)</f>
        <v/>
      </c>
      <c r="Q357" s="101">
        <f>IF(H357=1,IF(IFERROR(INDEX(coa_CF,MATCH(K357,coa_Name,0)),"")="Cash",1,0),0)</f>
        <v/>
      </c>
      <c r="R357" s="58">
        <f>IF((P357-Q357)=0,"",IFERROR(INDEX(coa_CF,MATCH(IF((P357-Q357)=1,K357,I357),coa_Name,0)),"Operating"))</f>
        <v/>
      </c>
      <c r="S357" s="95">
        <f>IF((P357-Q357)=1,L357,IF((P357-Q357)=-1,-J357,0))</f>
        <v/>
      </c>
      <c r="T357" s="95">
        <f>IF((P357-Q357)=1,N357,IF((P357-Q357)=-1,-M357,0))</f>
        <v/>
      </c>
      <c r="U357" s="101">
        <f>IF(AND(H357=1,LedAcct&lt;&gt;""),IF(AND(E357&gt;=LedFrom,E357&lt;=LedTo,OR(I357=LedAcct,K357=LedAcct,AND(LedAcct=acctTax,M357+N357&lt;&gt;0))),E357*10000+B357,""),"")</f>
        <v/>
      </c>
    </row>
    <row r="358">
      <c r="B358" s="101" t="n">
        <v>352</v>
      </c>
      <c r="C358" s="58" t="inlineStr">
        <is>
          <t>Transaction</t>
        </is>
      </c>
      <c r="D358" s="58">
        <f>IF(H358=1,INDEX(tx_ID,352)&amp;"","")</f>
        <v/>
      </c>
      <c r="E358" s="94">
        <f>IF(H358=1,INDEX(tx_Date,352),"")</f>
        <v/>
      </c>
      <c r="F358" s="58">
        <f>IF(H358=1,INDEX(tx_Desc,352)&amp;"","")</f>
        <v/>
      </c>
      <c r="G358" s="58">
        <f>IF(H358=1,IF(INDEX(tx_Cust,352)&amp;""&lt;&gt;"",INDEX(tx_Cust,352)&amp;"",INDEX(tx_Vend,352)&amp;""),"")</f>
        <v/>
      </c>
      <c r="H358" s="101">
        <f>IFERROR(N(INDEX(tx_Posted,352)),0)</f>
        <v/>
      </c>
      <c r="I358" s="58">
        <f>IF(H358=1,INDEX(tx_DrAcct,352)&amp;"","")</f>
        <v/>
      </c>
      <c r="J358" s="95">
        <f>IF(H358=1,INDEX(tx_DrAmt,352),0)</f>
        <v/>
      </c>
      <c r="K358" s="58">
        <f>IF(H358=1,INDEX(tx_CrAcct,352)&amp;"","")</f>
        <v/>
      </c>
      <c r="L358" s="95">
        <f>IF(H358=1,INDEX(tx_CrAmt,352),0)</f>
        <v/>
      </c>
      <c r="M358" s="95">
        <f>IF(H358=1,INDEX(tx_TaxDr,352),0)</f>
        <v/>
      </c>
      <c r="N358" s="95">
        <f>IF(H358=1,INDEX(tx_TaxCr,352),0)</f>
        <v/>
      </c>
      <c r="O358" s="101">
        <f>IF(H358=1,IF(E358&lt;FYStart,0,IF(E358&gt;FYEnd,13,YEAR(E358)*12+MONTH(E358)-FYYM+1)),"")</f>
        <v/>
      </c>
      <c r="P358" s="101">
        <f>IF(H358=1,IF(IFERROR(INDEX(coa_CF,MATCH(I358,coa_Name,0)),"")="Cash",1,0),0)</f>
        <v/>
      </c>
      <c r="Q358" s="101">
        <f>IF(H358=1,IF(IFERROR(INDEX(coa_CF,MATCH(K358,coa_Name,0)),"")="Cash",1,0),0)</f>
        <v/>
      </c>
      <c r="R358" s="58">
        <f>IF((P358-Q358)=0,"",IFERROR(INDEX(coa_CF,MATCH(IF((P358-Q358)=1,K358,I358),coa_Name,0)),"Operating"))</f>
        <v/>
      </c>
      <c r="S358" s="95">
        <f>IF((P358-Q358)=1,L358,IF((P358-Q358)=-1,-J358,0))</f>
        <v/>
      </c>
      <c r="T358" s="95">
        <f>IF((P358-Q358)=1,N358,IF((P358-Q358)=-1,-M358,0))</f>
        <v/>
      </c>
      <c r="U358" s="101">
        <f>IF(AND(H358=1,LedAcct&lt;&gt;""),IF(AND(E358&gt;=LedFrom,E358&lt;=LedTo,OR(I358=LedAcct,K358=LedAcct,AND(LedAcct=acctTax,M358+N358&lt;&gt;0))),E358*10000+B358,""),"")</f>
        <v/>
      </c>
    </row>
    <row r="359">
      <c r="B359" s="101" t="n">
        <v>353</v>
      </c>
      <c r="C359" s="58" t="inlineStr">
        <is>
          <t>Transaction</t>
        </is>
      </c>
      <c r="D359" s="58">
        <f>IF(H359=1,INDEX(tx_ID,353)&amp;"","")</f>
        <v/>
      </c>
      <c r="E359" s="94">
        <f>IF(H359=1,INDEX(tx_Date,353),"")</f>
        <v/>
      </c>
      <c r="F359" s="58">
        <f>IF(H359=1,INDEX(tx_Desc,353)&amp;"","")</f>
        <v/>
      </c>
      <c r="G359" s="58">
        <f>IF(H359=1,IF(INDEX(tx_Cust,353)&amp;""&lt;&gt;"",INDEX(tx_Cust,353)&amp;"",INDEX(tx_Vend,353)&amp;""),"")</f>
        <v/>
      </c>
      <c r="H359" s="101">
        <f>IFERROR(N(INDEX(tx_Posted,353)),0)</f>
        <v/>
      </c>
      <c r="I359" s="58">
        <f>IF(H359=1,INDEX(tx_DrAcct,353)&amp;"","")</f>
        <v/>
      </c>
      <c r="J359" s="95">
        <f>IF(H359=1,INDEX(tx_DrAmt,353),0)</f>
        <v/>
      </c>
      <c r="K359" s="58">
        <f>IF(H359=1,INDEX(tx_CrAcct,353)&amp;"","")</f>
        <v/>
      </c>
      <c r="L359" s="95">
        <f>IF(H359=1,INDEX(tx_CrAmt,353),0)</f>
        <v/>
      </c>
      <c r="M359" s="95">
        <f>IF(H359=1,INDEX(tx_TaxDr,353),0)</f>
        <v/>
      </c>
      <c r="N359" s="95">
        <f>IF(H359=1,INDEX(tx_TaxCr,353),0)</f>
        <v/>
      </c>
      <c r="O359" s="101">
        <f>IF(H359=1,IF(E359&lt;FYStart,0,IF(E359&gt;FYEnd,13,YEAR(E359)*12+MONTH(E359)-FYYM+1)),"")</f>
        <v/>
      </c>
      <c r="P359" s="101">
        <f>IF(H359=1,IF(IFERROR(INDEX(coa_CF,MATCH(I359,coa_Name,0)),"")="Cash",1,0),0)</f>
        <v/>
      </c>
      <c r="Q359" s="101">
        <f>IF(H359=1,IF(IFERROR(INDEX(coa_CF,MATCH(K359,coa_Name,0)),"")="Cash",1,0),0)</f>
        <v/>
      </c>
      <c r="R359" s="58">
        <f>IF((P359-Q359)=0,"",IFERROR(INDEX(coa_CF,MATCH(IF((P359-Q359)=1,K359,I359),coa_Name,0)),"Operating"))</f>
        <v/>
      </c>
      <c r="S359" s="95">
        <f>IF((P359-Q359)=1,L359,IF((P359-Q359)=-1,-J359,0))</f>
        <v/>
      </c>
      <c r="T359" s="95">
        <f>IF((P359-Q359)=1,N359,IF((P359-Q359)=-1,-M359,0))</f>
        <v/>
      </c>
      <c r="U359" s="101">
        <f>IF(AND(H359=1,LedAcct&lt;&gt;""),IF(AND(E359&gt;=LedFrom,E359&lt;=LedTo,OR(I359=LedAcct,K359=LedAcct,AND(LedAcct=acctTax,M359+N359&lt;&gt;0))),E359*10000+B359,""),"")</f>
        <v/>
      </c>
    </row>
    <row r="360">
      <c r="B360" s="101" t="n">
        <v>354</v>
      </c>
      <c r="C360" s="58" t="inlineStr">
        <is>
          <t>Transaction</t>
        </is>
      </c>
      <c r="D360" s="58">
        <f>IF(H360=1,INDEX(tx_ID,354)&amp;"","")</f>
        <v/>
      </c>
      <c r="E360" s="94">
        <f>IF(H360=1,INDEX(tx_Date,354),"")</f>
        <v/>
      </c>
      <c r="F360" s="58">
        <f>IF(H360=1,INDEX(tx_Desc,354)&amp;"","")</f>
        <v/>
      </c>
      <c r="G360" s="58">
        <f>IF(H360=1,IF(INDEX(tx_Cust,354)&amp;""&lt;&gt;"",INDEX(tx_Cust,354)&amp;"",INDEX(tx_Vend,354)&amp;""),"")</f>
        <v/>
      </c>
      <c r="H360" s="101">
        <f>IFERROR(N(INDEX(tx_Posted,354)),0)</f>
        <v/>
      </c>
      <c r="I360" s="58">
        <f>IF(H360=1,INDEX(tx_DrAcct,354)&amp;"","")</f>
        <v/>
      </c>
      <c r="J360" s="95">
        <f>IF(H360=1,INDEX(tx_DrAmt,354),0)</f>
        <v/>
      </c>
      <c r="K360" s="58">
        <f>IF(H360=1,INDEX(tx_CrAcct,354)&amp;"","")</f>
        <v/>
      </c>
      <c r="L360" s="95">
        <f>IF(H360=1,INDEX(tx_CrAmt,354),0)</f>
        <v/>
      </c>
      <c r="M360" s="95">
        <f>IF(H360=1,INDEX(tx_TaxDr,354),0)</f>
        <v/>
      </c>
      <c r="N360" s="95">
        <f>IF(H360=1,INDEX(tx_TaxCr,354),0)</f>
        <v/>
      </c>
      <c r="O360" s="101">
        <f>IF(H360=1,IF(E360&lt;FYStart,0,IF(E360&gt;FYEnd,13,YEAR(E360)*12+MONTH(E360)-FYYM+1)),"")</f>
        <v/>
      </c>
      <c r="P360" s="101">
        <f>IF(H360=1,IF(IFERROR(INDEX(coa_CF,MATCH(I360,coa_Name,0)),"")="Cash",1,0),0)</f>
        <v/>
      </c>
      <c r="Q360" s="101">
        <f>IF(H360=1,IF(IFERROR(INDEX(coa_CF,MATCH(K360,coa_Name,0)),"")="Cash",1,0),0)</f>
        <v/>
      </c>
      <c r="R360" s="58">
        <f>IF((P360-Q360)=0,"",IFERROR(INDEX(coa_CF,MATCH(IF((P360-Q360)=1,K360,I360),coa_Name,0)),"Operating"))</f>
        <v/>
      </c>
      <c r="S360" s="95">
        <f>IF((P360-Q360)=1,L360,IF((P360-Q360)=-1,-J360,0))</f>
        <v/>
      </c>
      <c r="T360" s="95">
        <f>IF((P360-Q360)=1,N360,IF((P360-Q360)=-1,-M360,0))</f>
        <v/>
      </c>
      <c r="U360" s="101">
        <f>IF(AND(H360=1,LedAcct&lt;&gt;""),IF(AND(E360&gt;=LedFrom,E360&lt;=LedTo,OR(I360=LedAcct,K360=LedAcct,AND(LedAcct=acctTax,M360+N360&lt;&gt;0))),E360*10000+B360,""),"")</f>
        <v/>
      </c>
    </row>
    <row r="361">
      <c r="B361" s="101" t="n">
        <v>355</v>
      </c>
      <c r="C361" s="58" t="inlineStr">
        <is>
          <t>Transaction</t>
        </is>
      </c>
      <c r="D361" s="58">
        <f>IF(H361=1,INDEX(tx_ID,355)&amp;"","")</f>
        <v/>
      </c>
      <c r="E361" s="94">
        <f>IF(H361=1,INDEX(tx_Date,355),"")</f>
        <v/>
      </c>
      <c r="F361" s="58">
        <f>IF(H361=1,INDEX(tx_Desc,355)&amp;"","")</f>
        <v/>
      </c>
      <c r="G361" s="58">
        <f>IF(H361=1,IF(INDEX(tx_Cust,355)&amp;""&lt;&gt;"",INDEX(tx_Cust,355)&amp;"",INDEX(tx_Vend,355)&amp;""),"")</f>
        <v/>
      </c>
      <c r="H361" s="101">
        <f>IFERROR(N(INDEX(tx_Posted,355)),0)</f>
        <v/>
      </c>
      <c r="I361" s="58">
        <f>IF(H361=1,INDEX(tx_DrAcct,355)&amp;"","")</f>
        <v/>
      </c>
      <c r="J361" s="95">
        <f>IF(H361=1,INDEX(tx_DrAmt,355),0)</f>
        <v/>
      </c>
      <c r="K361" s="58">
        <f>IF(H361=1,INDEX(tx_CrAcct,355)&amp;"","")</f>
        <v/>
      </c>
      <c r="L361" s="95">
        <f>IF(H361=1,INDEX(tx_CrAmt,355),0)</f>
        <v/>
      </c>
      <c r="M361" s="95">
        <f>IF(H361=1,INDEX(tx_TaxDr,355),0)</f>
        <v/>
      </c>
      <c r="N361" s="95">
        <f>IF(H361=1,INDEX(tx_TaxCr,355),0)</f>
        <v/>
      </c>
      <c r="O361" s="101">
        <f>IF(H361=1,IF(E361&lt;FYStart,0,IF(E361&gt;FYEnd,13,YEAR(E361)*12+MONTH(E361)-FYYM+1)),"")</f>
        <v/>
      </c>
      <c r="P361" s="101">
        <f>IF(H361=1,IF(IFERROR(INDEX(coa_CF,MATCH(I361,coa_Name,0)),"")="Cash",1,0),0)</f>
        <v/>
      </c>
      <c r="Q361" s="101">
        <f>IF(H361=1,IF(IFERROR(INDEX(coa_CF,MATCH(K361,coa_Name,0)),"")="Cash",1,0),0)</f>
        <v/>
      </c>
      <c r="R361" s="58">
        <f>IF((P361-Q361)=0,"",IFERROR(INDEX(coa_CF,MATCH(IF((P361-Q361)=1,K361,I361),coa_Name,0)),"Operating"))</f>
        <v/>
      </c>
      <c r="S361" s="95">
        <f>IF((P361-Q361)=1,L361,IF((P361-Q361)=-1,-J361,0))</f>
        <v/>
      </c>
      <c r="T361" s="95">
        <f>IF((P361-Q361)=1,N361,IF((P361-Q361)=-1,-M361,0))</f>
        <v/>
      </c>
      <c r="U361" s="101">
        <f>IF(AND(H361=1,LedAcct&lt;&gt;""),IF(AND(E361&gt;=LedFrom,E361&lt;=LedTo,OR(I361=LedAcct,K361=LedAcct,AND(LedAcct=acctTax,M361+N361&lt;&gt;0))),E361*10000+B361,""),"")</f>
        <v/>
      </c>
    </row>
    <row r="362">
      <c r="B362" s="101" t="n">
        <v>356</v>
      </c>
      <c r="C362" s="58" t="inlineStr">
        <is>
          <t>Transaction</t>
        </is>
      </c>
      <c r="D362" s="58">
        <f>IF(H362=1,INDEX(tx_ID,356)&amp;"","")</f>
        <v/>
      </c>
      <c r="E362" s="94">
        <f>IF(H362=1,INDEX(tx_Date,356),"")</f>
        <v/>
      </c>
      <c r="F362" s="58">
        <f>IF(H362=1,INDEX(tx_Desc,356)&amp;"","")</f>
        <v/>
      </c>
      <c r="G362" s="58">
        <f>IF(H362=1,IF(INDEX(tx_Cust,356)&amp;""&lt;&gt;"",INDEX(tx_Cust,356)&amp;"",INDEX(tx_Vend,356)&amp;""),"")</f>
        <v/>
      </c>
      <c r="H362" s="101">
        <f>IFERROR(N(INDEX(tx_Posted,356)),0)</f>
        <v/>
      </c>
      <c r="I362" s="58">
        <f>IF(H362=1,INDEX(tx_DrAcct,356)&amp;"","")</f>
        <v/>
      </c>
      <c r="J362" s="95">
        <f>IF(H362=1,INDEX(tx_DrAmt,356),0)</f>
        <v/>
      </c>
      <c r="K362" s="58">
        <f>IF(H362=1,INDEX(tx_CrAcct,356)&amp;"","")</f>
        <v/>
      </c>
      <c r="L362" s="95">
        <f>IF(H362=1,INDEX(tx_CrAmt,356),0)</f>
        <v/>
      </c>
      <c r="M362" s="95">
        <f>IF(H362=1,INDEX(tx_TaxDr,356),0)</f>
        <v/>
      </c>
      <c r="N362" s="95">
        <f>IF(H362=1,INDEX(tx_TaxCr,356),0)</f>
        <v/>
      </c>
      <c r="O362" s="101">
        <f>IF(H362=1,IF(E362&lt;FYStart,0,IF(E362&gt;FYEnd,13,YEAR(E362)*12+MONTH(E362)-FYYM+1)),"")</f>
        <v/>
      </c>
      <c r="P362" s="101">
        <f>IF(H362=1,IF(IFERROR(INDEX(coa_CF,MATCH(I362,coa_Name,0)),"")="Cash",1,0),0)</f>
        <v/>
      </c>
      <c r="Q362" s="101">
        <f>IF(H362=1,IF(IFERROR(INDEX(coa_CF,MATCH(K362,coa_Name,0)),"")="Cash",1,0),0)</f>
        <v/>
      </c>
      <c r="R362" s="58">
        <f>IF((P362-Q362)=0,"",IFERROR(INDEX(coa_CF,MATCH(IF((P362-Q362)=1,K362,I362),coa_Name,0)),"Operating"))</f>
        <v/>
      </c>
      <c r="S362" s="95">
        <f>IF((P362-Q362)=1,L362,IF((P362-Q362)=-1,-J362,0))</f>
        <v/>
      </c>
      <c r="T362" s="95">
        <f>IF((P362-Q362)=1,N362,IF((P362-Q362)=-1,-M362,0))</f>
        <v/>
      </c>
      <c r="U362" s="101">
        <f>IF(AND(H362=1,LedAcct&lt;&gt;""),IF(AND(E362&gt;=LedFrom,E362&lt;=LedTo,OR(I362=LedAcct,K362=LedAcct,AND(LedAcct=acctTax,M362+N362&lt;&gt;0))),E362*10000+B362,""),"")</f>
        <v/>
      </c>
    </row>
    <row r="363">
      <c r="B363" s="101" t="n">
        <v>357</v>
      </c>
      <c r="C363" s="58" t="inlineStr">
        <is>
          <t>Transaction</t>
        </is>
      </c>
      <c r="D363" s="58">
        <f>IF(H363=1,INDEX(tx_ID,357)&amp;"","")</f>
        <v/>
      </c>
      <c r="E363" s="94">
        <f>IF(H363=1,INDEX(tx_Date,357),"")</f>
        <v/>
      </c>
      <c r="F363" s="58">
        <f>IF(H363=1,INDEX(tx_Desc,357)&amp;"","")</f>
        <v/>
      </c>
      <c r="G363" s="58">
        <f>IF(H363=1,IF(INDEX(tx_Cust,357)&amp;""&lt;&gt;"",INDEX(tx_Cust,357)&amp;"",INDEX(tx_Vend,357)&amp;""),"")</f>
        <v/>
      </c>
      <c r="H363" s="101">
        <f>IFERROR(N(INDEX(tx_Posted,357)),0)</f>
        <v/>
      </c>
      <c r="I363" s="58">
        <f>IF(H363=1,INDEX(tx_DrAcct,357)&amp;"","")</f>
        <v/>
      </c>
      <c r="J363" s="95">
        <f>IF(H363=1,INDEX(tx_DrAmt,357),0)</f>
        <v/>
      </c>
      <c r="K363" s="58">
        <f>IF(H363=1,INDEX(tx_CrAcct,357)&amp;"","")</f>
        <v/>
      </c>
      <c r="L363" s="95">
        <f>IF(H363=1,INDEX(tx_CrAmt,357),0)</f>
        <v/>
      </c>
      <c r="M363" s="95">
        <f>IF(H363=1,INDEX(tx_TaxDr,357),0)</f>
        <v/>
      </c>
      <c r="N363" s="95">
        <f>IF(H363=1,INDEX(tx_TaxCr,357),0)</f>
        <v/>
      </c>
      <c r="O363" s="101">
        <f>IF(H363=1,IF(E363&lt;FYStart,0,IF(E363&gt;FYEnd,13,YEAR(E363)*12+MONTH(E363)-FYYM+1)),"")</f>
        <v/>
      </c>
      <c r="P363" s="101">
        <f>IF(H363=1,IF(IFERROR(INDEX(coa_CF,MATCH(I363,coa_Name,0)),"")="Cash",1,0),0)</f>
        <v/>
      </c>
      <c r="Q363" s="101">
        <f>IF(H363=1,IF(IFERROR(INDEX(coa_CF,MATCH(K363,coa_Name,0)),"")="Cash",1,0),0)</f>
        <v/>
      </c>
      <c r="R363" s="58">
        <f>IF((P363-Q363)=0,"",IFERROR(INDEX(coa_CF,MATCH(IF((P363-Q363)=1,K363,I363),coa_Name,0)),"Operating"))</f>
        <v/>
      </c>
      <c r="S363" s="95">
        <f>IF((P363-Q363)=1,L363,IF((P363-Q363)=-1,-J363,0))</f>
        <v/>
      </c>
      <c r="T363" s="95">
        <f>IF((P363-Q363)=1,N363,IF((P363-Q363)=-1,-M363,0))</f>
        <v/>
      </c>
      <c r="U363" s="101">
        <f>IF(AND(H363=1,LedAcct&lt;&gt;""),IF(AND(E363&gt;=LedFrom,E363&lt;=LedTo,OR(I363=LedAcct,K363=LedAcct,AND(LedAcct=acctTax,M363+N363&lt;&gt;0))),E363*10000+B363,""),"")</f>
        <v/>
      </c>
    </row>
    <row r="364">
      <c r="B364" s="101" t="n">
        <v>358</v>
      </c>
      <c r="C364" s="58" t="inlineStr">
        <is>
          <t>Transaction</t>
        </is>
      </c>
      <c r="D364" s="58">
        <f>IF(H364=1,INDEX(tx_ID,358)&amp;"","")</f>
        <v/>
      </c>
      <c r="E364" s="94">
        <f>IF(H364=1,INDEX(tx_Date,358),"")</f>
        <v/>
      </c>
      <c r="F364" s="58">
        <f>IF(H364=1,INDEX(tx_Desc,358)&amp;"","")</f>
        <v/>
      </c>
      <c r="G364" s="58">
        <f>IF(H364=1,IF(INDEX(tx_Cust,358)&amp;""&lt;&gt;"",INDEX(tx_Cust,358)&amp;"",INDEX(tx_Vend,358)&amp;""),"")</f>
        <v/>
      </c>
      <c r="H364" s="101">
        <f>IFERROR(N(INDEX(tx_Posted,358)),0)</f>
        <v/>
      </c>
      <c r="I364" s="58">
        <f>IF(H364=1,INDEX(tx_DrAcct,358)&amp;"","")</f>
        <v/>
      </c>
      <c r="J364" s="95">
        <f>IF(H364=1,INDEX(tx_DrAmt,358),0)</f>
        <v/>
      </c>
      <c r="K364" s="58">
        <f>IF(H364=1,INDEX(tx_CrAcct,358)&amp;"","")</f>
        <v/>
      </c>
      <c r="L364" s="95">
        <f>IF(H364=1,INDEX(tx_CrAmt,358),0)</f>
        <v/>
      </c>
      <c r="M364" s="95">
        <f>IF(H364=1,INDEX(tx_TaxDr,358),0)</f>
        <v/>
      </c>
      <c r="N364" s="95">
        <f>IF(H364=1,INDEX(tx_TaxCr,358),0)</f>
        <v/>
      </c>
      <c r="O364" s="101">
        <f>IF(H364=1,IF(E364&lt;FYStart,0,IF(E364&gt;FYEnd,13,YEAR(E364)*12+MONTH(E364)-FYYM+1)),"")</f>
        <v/>
      </c>
      <c r="P364" s="101">
        <f>IF(H364=1,IF(IFERROR(INDEX(coa_CF,MATCH(I364,coa_Name,0)),"")="Cash",1,0),0)</f>
        <v/>
      </c>
      <c r="Q364" s="101">
        <f>IF(H364=1,IF(IFERROR(INDEX(coa_CF,MATCH(K364,coa_Name,0)),"")="Cash",1,0),0)</f>
        <v/>
      </c>
      <c r="R364" s="58">
        <f>IF((P364-Q364)=0,"",IFERROR(INDEX(coa_CF,MATCH(IF((P364-Q364)=1,K364,I364),coa_Name,0)),"Operating"))</f>
        <v/>
      </c>
      <c r="S364" s="95">
        <f>IF((P364-Q364)=1,L364,IF((P364-Q364)=-1,-J364,0))</f>
        <v/>
      </c>
      <c r="T364" s="95">
        <f>IF((P364-Q364)=1,N364,IF((P364-Q364)=-1,-M364,0))</f>
        <v/>
      </c>
      <c r="U364" s="101">
        <f>IF(AND(H364=1,LedAcct&lt;&gt;""),IF(AND(E364&gt;=LedFrom,E364&lt;=LedTo,OR(I364=LedAcct,K364=LedAcct,AND(LedAcct=acctTax,M364+N364&lt;&gt;0))),E364*10000+B364,""),"")</f>
        <v/>
      </c>
    </row>
    <row r="365">
      <c r="B365" s="101" t="n">
        <v>359</v>
      </c>
      <c r="C365" s="58" t="inlineStr">
        <is>
          <t>Transaction</t>
        </is>
      </c>
      <c r="D365" s="58">
        <f>IF(H365=1,INDEX(tx_ID,359)&amp;"","")</f>
        <v/>
      </c>
      <c r="E365" s="94">
        <f>IF(H365=1,INDEX(tx_Date,359),"")</f>
        <v/>
      </c>
      <c r="F365" s="58">
        <f>IF(H365=1,INDEX(tx_Desc,359)&amp;"","")</f>
        <v/>
      </c>
      <c r="G365" s="58">
        <f>IF(H365=1,IF(INDEX(tx_Cust,359)&amp;""&lt;&gt;"",INDEX(tx_Cust,359)&amp;"",INDEX(tx_Vend,359)&amp;""),"")</f>
        <v/>
      </c>
      <c r="H365" s="101">
        <f>IFERROR(N(INDEX(tx_Posted,359)),0)</f>
        <v/>
      </c>
      <c r="I365" s="58">
        <f>IF(H365=1,INDEX(tx_DrAcct,359)&amp;"","")</f>
        <v/>
      </c>
      <c r="J365" s="95">
        <f>IF(H365=1,INDEX(tx_DrAmt,359),0)</f>
        <v/>
      </c>
      <c r="K365" s="58">
        <f>IF(H365=1,INDEX(tx_CrAcct,359)&amp;"","")</f>
        <v/>
      </c>
      <c r="L365" s="95">
        <f>IF(H365=1,INDEX(tx_CrAmt,359),0)</f>
        <v/>
      </c>
      <c r="M365" s="95">
        <f>IF(H365=1,INDEX(tx_TaxDr,359),0)</f>
        <v/>
      </c>
      <c r="N365" s="95">
        <f>IF(H365=1,INDEX(tx_TaxCr,359),0)</f>
        <v/>
      </c>
      <c r="O365" s="101">
        <f>IF(H365=1,IF(E365&lt;FYStart,0,IF(E365&gt;FYEnd,13,YEAR(E365)*12+MONTH(E365)-FYYM+1)),"")</f>
        <v/>
      </c>
      <c r="P365" s="101">
        <f>IF(H365=1,IF(IFERROR(INDEX(coa_CF,MATCH(I365,coa_Name,0)),"")="Cash",1,0),0)</f>
        <v/>
      </c>
      <c r="Q365" s="101">
        <f>IF(H365=1,IF(IFERROR(INDEX(coa_CF,MATCH(K365,coa_Name,0)),"")="Cash",1,0),0)</f>
        <v/>
      </c>
      <c r="R365" s="58">
        <f>IF((P365-Q365)=0,"",IFERROR(INDEX(coa_CF,MATCH(IF((P365-Q365)=1,K365,I365),coa_Name,0)),"Operating"))</f>
        <v/>
      </c>
      <c r="S365" s="95">
        <f>IF((P365-Q365)=1,L365,IF((P365-Q365)=-1,-J365,0))</f>
        <v/>
      </c>
      <c r="T365" s="95">
        <f>IF((P365-Q365)=1,N365,IF((P365-Q365)=-1,-M365,0))</f>
        <v/>
      </c>
      <c r="U365" s="101">
        <f>IF(AND(H365=1,LedAcct&lt;&gt;""),IF(AND(E365&gt;=LedFrom,E365&lt;=LedTo,OR(I365=LedAcct,K365=LedAcct,AND(LedAcct=acctTax,M365+N365&lt;&gt;0))),E365*10000+B365,""),"")</f>
        <v/>
      </c>
    </row>
    <row r="366">
      <c r="B366" s="101" t="n">
        <v>360</v>
      </c>
      <c r="C366" s="58" t="inlineStr">
        <is>
          <t>Transaction</t>
        </is>
      </c>
      <c r="D366" s="58">
        <f>IF(H366=1,INDEX(tx_ID,360)&amp;"","")</f>
        <v/>
      </c>
      <c r="E366" s="94">
        <f>IF(H366=1,INDEX(tx_Date,360),"")</f>
        <v/>
      </c>
      <c r="F366" s="58">
        <f>IF(H366=1,INDEX(tx_Desc,360)&amp;"","")</f>
        <v/>
      </c>
      <c r="G366" s="58">
        <f>IF(H366=1,IF(INDEX(tx_Cust,360)&amp;""&lt;&gt;"",INDEX(tx_Cust,360)&amp;"",INDEX(tx_Vend,360)&amp;""),"")</f>
        <v/>
      </c>
      <c r="H366" s="101">
        <f>IFERROR(N(INDEX(tx_Posted,360)),0)</f>
        <v/>
      </c>
      <c r="I366" s="58">
        <f>IF(H366=1,INDEX(tx_DrAcct,360)&amp;"","")</f>
        <v/>
      </c>
      <c r="J366" s="95">
        <f>IF(H366=1,INDEX(tx_DrAmt,360),0)</f>
        <v/>
      </c>
      <c r="K366" s="58">
        <f>IF(H366=1,INDEX(tx_CrAcct,360)&amp;"","")</f>
        <v/>
      </c>
      <c r="L366" s="95">
        <f>IF(H366=1,INDEX(tx_CrAmt,360),0)</f>
        <v/>
      </c>
      <c r="M366" s="95">
        <f>IF(H366=1,INDEX(tx_TaxDr,360),0)</f>
        <v/>
      </c>
      <c r="N366" s="95">
        <f>IF(H366=1,INDEX(tx_TaxCr,360),0)</f>
        <v/>
      </c>
      <c r="O366" s="101">
        <f>IF(H366=1,IF(E366&lt;FYStart,0,IF(E366&gt;FYEnd,13,YEAR(E366)*12+MONTH(E366)-FYYM+1)),"")</f>
        <v/>
      </c>
      <c r="P366" s="101">
        <f>IF(H366=1,IF(IFERROR(INDEX(coa_CF,MATCH(I366,coa_Name,0)),"")="Cash",1,0),0)</f>
        <v/>
      </c>
      <c r="Q366" s="101">
        <f>IF(H366=1,IF(IFERROR(INDEX(coa_CF,MATCH(K366,coa_Name,0)),"")="Cash",1,0),0)</f>
        <v/>
      </c>
      <c r="R366" s="58">
        <f>IF((P366-Q366)=0,"",IFERROR(INDEX(coa_CF,MATCH(IF((P366-Q366)=1,K366,I366),coa_Name,0)),"Operating"))</f>
        <v/>
      </c>
      <c r="S366" s="95">
        <f>IF((P366-Q366)=1,L366,IF((P366-Q366)=-1,-J366,0))</f>
        <v/>
      </c>
      <c r="T366" s="95">
        <f>IF((P366-Q366)=1,N366,IF((P366-Q366)=-1,-M366,0))</f>
        <v/>
      </c>
      <c r="U366" s="101">
        <f>IF(AND(H366=1,LedAcct&lt;&gt;""),IF(AND(E366&gt;=LedFrom,E366&lt;=LedTo,OR(I366=LedAcct,K366=LedAcct,AND(LedAcct=acctTax,M366+N366&lt;&gt;0))),E366*10000+B366,""),"")</f>
        <v/>
      </c>
    </row>
    <row r="367">
      <c r="B367" s="101" t="n">
        <v>361</v>
      </c>
      <c r="C367" s="58" t="inlineStr">
        <is>
          <t>Transaction</t>
        </is>
      </c>
      <c r="D367" s="58">
        <f>IF(H367=1,INDEX(tx_ID,361)&amp;"","")</f>
        <v/>
      </c>
      <c r="E367" s="94">
        <f>IF(H367=1,INDEX(tx_Date,361),"")</f>
        <v/>
      </c>
      <c r="F367" s="58">
        <f>IF(H367=1,INDEX(tx_Desc,361)&amp;"","")</f>
        <v/>
      </c>
      <c r="G367" s="58">
        <f>IF(H367=1,IF(INDEX(tx_Cust,361)&amp;""&lt;&gt;"",INDEX(tx_Cust,361)&amp;"",INDEX(tx_Vend,361)&amp;""),"")</f>
        <v/>
      </c>
      <c r="H367" s="101">
        <f>IFERROR(N(INDEX(tx_Posted,361)),0)</f>
        <v/>
      </c>
      <c r="I367" s="58">
        <f>IF(H367=1,INDEX(tx_DrAcct,361)&amp;"","")</f>
        <v/>
      </c>
      <c r="J367" s="95">
        <f>IF(H367=1,INDEX(tx_DrAmt,361),0)</f>
        <v/>
      </c>
      <c r="K367" s="58">
        <f>IF(H367=1,INDEX(tx_CrAcct,361)&amp;"","")</f>
        <v/>
      </c>
      <c r="L367" s="95">
        <f>IF(H367=1,INDEX(tx_CrAmt,361),0)</f>
        <v/>
      </c>
      <c r="M367" s="95">
        <f>IF(H367=1,INDEX(tx_TaxDr,361),0)</f>
        <v/>
      </c>
      <c r="N367" s="95">
        <f>IF(H367=1,INDEX(tx_TaxCr,361),0)</f>
        <v/>
      </c>
      <c r="O367" s="101">
        <f>IF(H367=1,IF(E367&lt;FYStart,0,IF(E367&gt;FYEnd,13,YEAR(E367)*12+MONTH(E367)-FYYM+1)),"")</f>
        <v/>
      </c>
      <c r="P367" s="101">
        <f>IF(H367=1,IF(IFERROR(INDEX(coa_CF,MATCH(I367,coa_Name,0)),"")="Cash",1,0),0)</f>
        <v/>
      </c>
      <c r="Q367" s="101">
        <f>IF(H367=1,IF(IFERROR(INDEX(coa_CF,MATCH(K367,coa_Name,0)),"")="Cash",1,0),0)</f>
        <v/>
      </c>
      <c r="R367" s="58">
        <f>IF((P367-Q367)=0,"",IFERROR(INDEX(coa_CF,MATCH(IF((P367-Q367)=1,K367,I367),coa_Name,0)),"Operating"))</f>
        <v/>
      </c>
      <c r="S367" s="95">
        <f>IF((P367-Q367)=1,L367,IF((P367-Q367)=-1,-J367,0))</f>
        <v/>
      </c>
      <c r="T367" s="95">
        <f>IF((P367-Q367)=1,N367,IF((P367-Q367)=-1,-M367,0))</f>
        <v/>
      </c>
      <c r="U367" s="101">
        <f>IF(AND(H367=1,LedAcct&lt;&gt;""),IF(AND(E367&gt;=LedFrom,E367&lt;=LedTo,OR(I367=LedAcct,K367=LedAcct,AND(LedAcct=acctTax,M367+N367&lt;&gt;0))),E367*10000+B367,""),"")</f>
        <v/>
      </c>
    </row>
    <row r="368">
      <c r="B368" s="101" t="n">
        <v>362</v>
      </c>
      <c r="C368" s="58" t="inlineStr">
        <is>
          <t>Transaction</t>
        </is>
      </c>
      <c r="D368" s="58">
        <f>IF(H368=1,INDEX(tx_ID,362)&amp;"","")</f>
        <v/>
      </c>
      <c r="E368" s="94">
        <f>IF(H368=1,INDEX(tx_Date,362),"")</f>
        <v/>
      </c>
      <c r="F368" s="58">
        <f>IF(H368=1,INDEX(tx_Desc,362)&amp;"","")</f>
        <v/>
      </c>
      <c r="G368" s="58">
        <f>IF(H368=1,IF(INDEX(tx_Cust,362)&amp;""&lt;&gt;"",INDEX(tx_Cust,362)&amp;"",INDEX(tx_Vend,362)&amp;""),"")</f>
        <v/>
      </c>
      <c r="H368" s="101">
        <f>IFERROR(N(INDEX(tx_Posted,362)),0)</f>
        <v/>
      </c>
      <c r="I368" s="58">
        <f>IF(H368=1,INDEX(tx_DrAcct,362)&amp;"","")</f>
        <v/>
      </c>
      <c r="J368" s="95">
        <f>IF(H368=1,INDEX(tx_DrAmt,362),0)</f>
        <v/>
      </c>
      <c r="K368" s="58">
        <f>IF(H368=1,INDEX(tx_CrAcct,362)&amp;"","")</f>
        <v/>
      </c>
      <c r="L368" s="95">
        <f>IF(H368=1,INDEX(tx_CrAmt,362),0)</f>
        <v/>
      </c>
      <c r="M368" s="95">
        <f>IF(H368=1,INDEX(tx_TaxDr,362),0)</f>
        <v/>
      </c>
      <c r="N368" s="95">
        <f>IF(H368=1,INDEX(tx_TaxCr,362),0)</f>
        <v/>
      </c>
      <c r="O368" s="101">
        <f>IF(H368=1,IF(E368&lt;FYStart,0,IF(E368&gt;FYEnd,13,YEAR(E368)*12+MONTH(E368)-FYYM+1)),"")</f>
        <v/>
      </c>
      <c r="P368" s="101">
        <f>IF(H368=1,IF(IFERROR(INDEX(coa_CF,MATCH(I368,coa_Name,0)),"")="Cash",1,0),0)</f>
        <v/>
      </c>
      <c r="Q368" s="101">
        <f>IF(H368=1,IF(IFERROR(INDEX(coa_CF,MATCH(K368,coa_Name,0)),"")="Cash",1,0),0)</f>
        <v/>
      </c>
      <c r="R368" s="58">
        <f>IF((P368-Q368)=0,"",IFERROR(INDEX(coa_CF,MATCH(IF((P368-Q368)=1,K368,I368),coa_Name,0)),"Operating"))</f>
        <v/>
      </c>
      <c r="S368" s="95">
        <f>IF((P368-Q368)=1,L368,IF((P368-Q368)=-1,-J368,0))</f>
        <v/>
      </c>
      <c r="T368" s="95">
        <f>IF((P368-Q368)=1,N368,IF((P368-Q368)=-1,-M368,0))</f>
        <v/>
      </c>
      <c r="U368" s="101">
        <f>IF(AND(H368=1,LedAcct&lt;&gt;""),IF(AND(E368&gt;=LedFrom,E368&lt;=LedTo,OR(I368=LedAcct,K368=LedAcct,AND(LedAcct=acctTax,M368+N368&lt;&gt;0))),E368*10000+B368,""),"")</f>
        <v/>
      </c>
    </row>
    <row r="369">
      <c r="B369" s="101" t="n">
        <v>363</v>
      </c>
      <c r="C369" s="58" t="inlineStr">
        <is>
          <t>Transaction</t>
        </is>
      </c>
      <c r="D369" s="58">
        <f>IF(H369=1,INDEX(tx_ID,363)&amp;"","")</f>
        <v/>
      </c>
      <c r="E369" s="94">
        <f>IF(H369=1,INDEX(tx_Date,363),"")</f>
        <v/>
      </c>
      <c r="F369" s="58">
        <f>IF(H369=1,INDEX(tx_Desc,363)&amp;"","")</f>
        <v/>
      </c>
      <c r="G369" s="58">
        <f>IF(H369=1,IF(INDEX(tx_Cust,363)&amp;""&lt;&gt;"",INDEX(tx_Cust,363)&amp;"",INDEX(tx_Vend,363)&amp;""),"")</f>
        <v/>
      </c>
      <c r="H369" s="101">
        <f>IFERROR(N(INDEX(tx_Posted,363)),0)</f>
        <v/>
      </c>
      <c r="I369" s="58">
        <f>IF(H369=1,INDEX(tx_DrAcct,363)&amp;"","")</f>
        <v/>
      </c>
      <c r="J369" s="95">
        <f>IF(H369=1,INDEX(tx_DrAmt,363),0)</f>
        <v/>
      </c>
      <c r="K369" s="58">
        <f>IF(H369=1,INDEX(tx_CrAcct,363)&amp;"","")</f>
        <v/>
      </c>
      <c r="L369" s="95">
        <f>IF(H369=1,INDEX(tx_CrAmt,363),0)</f>
        <v/>
      </c>
      <c r="M369" s="95">
        <f>IF(H369=1,INDEX(tx_TaxDr,363),0)</f>
        <v/>
      </c>
      <c r="N369" s="95">
        <f>IF(H369=1,INDEX(tx_TaxCr,363),0)</f>
        <v/>
      </c>
      <c r="O369" s="101">
        <f>IF(H369=1,IF(E369&lt;FYStart,0,IF(E369&gt;FYEnd,13,YEAR(E369)*12+MONTH(E369)-FYYM+1)),"")</f>
        <v/>
      </c>
      <c r="P369" s="101">
        <f>IF(H369=1,IF(IFERROR(INDEX(coa_CF,MATCH(I369,coa_Name,0)),"")="Cash",1,0),0)</f>
        <v/>
      </c>
      <c r="Q369" s="101">
        <f>IF(H369=1,IF(IFERROR(INDEX(coa_CF,MATCH(K369,coa_Name,0)),"")="Cash",1,0),0)</f>
        <v/>
      </c>
      <c r="R369" s="58">
        <f>IF((P369-Q369)=0,"",IFERROR(INDEX(coa_CF,MATCH(IF((P369-Q369)=1,K369,I369),coa_Name,0)),"Operating"))</f>
        <v/>
      </c>
      <c r="S369" s="95">
        <f>IF((P369-Q369)=1,L369,IF((P369-Q369)=-1,-J369,0))</f>
        <v/>
      </c>
      <c r="T369" s="95">
        <f>IF((P369-Q369)=1,N369,IF((P369-Q369)=-1,-M369,0))</f>
        <v/>
      </c>
      <c r="U369" s="101">
        <f>IF(AND(H369=1,LedAcct&lt;&gt;""),IF(AND(E369&gt;=LedFrom,E369&lt;=LedTo,OR(I369=LedAcct,K369=LedAcct,AND(LedAcct=acctTax,M369+N369&lt;&gt;0))),E369*10000+B369,""),"")</f>
        <v/>
      </c>
    </row>
    <row r="370">
      <c r="B370" s="101" t="n">
        <v>364</v>
      </c>
      <c r="C370" s="58" t="inlineStr">
        <is>
          <t>Transaction</t>
        </is>
      </c>
      <c r="D370" s="58">
        <f>IF(H370=1,INDEX(tx_ID,364)&amp;"","")</f>
        <v/>
      </c>
      <c r="E370" s="94">
        <f>IF(H370=1,INDEX(tx_Date,364),"")</f>
        <v/>
      </c>
      <c r="F370" s="58">
        <f>IF(H370=1,INDEX(tx_Desc,364)&amp;"","")</f>
        <v/>
      </c>
      <c r="G370" s="58">
        <f>IF(H370=1,IF(INDEX(tx_Cust,364)&amp;""&lt;&gt;"",INDEX(tx_Cust,364)&amp;"",INDEX(tx_Vend,364)&amp;""),"")</f>
        <v/>
      </c>
      <c r="H370" s="101">
        <f>IFERROR(N(INDEX(tx_Posted,364)),0)</f>
        <v/>
      </c>
      <c r="I370" s="58">
        <f>IF(H370=1,INDEX(tx_DrAcct,364)&amp;"","")</f>
        <v/>
      </c>
      <c r="J370" s="95">
        <f>IF(H370=1,INDEX(tx_DrAmt,364),0)</f>
        <v/>
      </c>
      <c r="K370" s="58">
        <f>IF(H370=1,INDEX(tx_CrAcct,364)&amp;"","")</f>
        <v/>
      </c>
      <c r="L370" s="95">
        <f>IF(H370=1,INDEX(tx_CrAmt,364),0)</f>
        <v/>
      </c>
      <c r="M370" s="95">
        <f>IF(H370=1,INDEX(tx_TaxDr,364),0)</f>
        <v/>
      </c>
      <c r="N370" s="95">
        <f>IF(H370=1,INDEX(tx_TaxCr,364),0)</f>
        <v/>
      </c>
      <c r="O370" s="101">
        <f>IF(H370=1,IF(E370&lt;FYStart,0,IF(E370&gt;FYEnd,13,YEAR(E370)*12+MONTH(E370)-FYYM+1)),"")</f>
        <v/>
      </c>
      <c r="P370" s="101">
        <f>IF(H370=1,IF(IFERROR(INDEX(coa_CF,MATCH(I370,coa_Name,0)),"")="Cash",1,0),0)</f>
        <v/>
      </c>
      <c r="Q370" s="101">
        <f>IF(H370=1,IF(IFERROR(INDEX(coa_CF,MATCH(K370,coa_Name,0)),"")="Cash",1,0),0)</f>
        <v/>
      </c>
      <c r="R370" s="58">
        <f>IF((P370-Q370)=0,"",IFERROR(INDEX(coa_CF,MATCH(IF((P370-Q370)=1,K370,I370),coa_Name,0)),"Operating"))</f>
        <v/>
      </c>
      <c r="S370" s="95">
        <f>IF((P370-Q370)=1,L370,IF((P370-Q370)=-1,-J370,0))</f>
        <v/>
      </c>
      <c r="T370" s="95">
        <f>IF((P370-Q370)=1,N370,IF((P370-Q370)=-1,-M370,0))</f>
        <v/>
      </c>
      <c r="U370" s="101">
        <f>IF(AND(H370=1,LedAcct&lt;&gt;""),IF(AND(E370&gt;=LedFrom,E370&lt;=LedTo,OR(I370=LedAcct,K370=LedAcct,AND(LedAcct=acctTax,M370+N370&lt;&gt;0))),E370*10000+B370,""),"")</f>
        <v/>
      </c>
    </row>
    <row r="371">
      <c r="B371" s="101" t="n">
        <v>365</v>
      </c>
      <c r="C371" s="58" t="inlineStr">
        <is>
          <t>Transaction</t>
        </is>
      </c>
      <c r="D371" s="58">
        <f>IF(H371=1,INDEX(tx_ID,365)&amp;"","")</f>
        <v/>
      </c>
      <c r="E371" s="94">
        <f>IF(H371=1,INDEX(tx_Date,365),"")</f>
        <v/>
      </c>
      <c r="F371" s="58">
        <f>IF(H371=1,INDEX(tx_Desc,365)&amp;"","")</f>
        <v/>
      </c>
      <c r="G371" s="58">
        <f>IF(H371=1,IF(INDEX(tx_Cust,365)&amp;""&lt;&gt;"",INDEX(tx_Cust,365)&amp;"",INDEX(tx_Vend,365)&amp;""),"")</f>
        <v/>
      </c>
      <c r="H371" s="101">
        <f>IFERROR(N(INDEX(tx_Posted,365)),0)</f>
        <v/>
      </c>
      <c r="I371" s="58">
        <f>IF(H371=1,INDEX(tx_DrAcct,365)&amp;"","")</f>
        <v/>
      </c>
      <c r="J371" s="95">
        <f>IF(H371=1,INDEX(tx_DrAmt,365),0)</f>
        <v/>
      </c>
      <c r="K371" s="58">
        <f>IF(H371=1,INDEX(tx_CrAcct,365)&amp;"","")</f>
        <v/>
      </c>
      <c r="L371" s="95">
        <f>IF(H371=1,INDEX(tx_CrAmt,365),0)</f>
        <v/>
      </c>
      <c r="M371" s="95">
        <f>IF(H371=1,INDEX(tx_TaxDr,365),0)</f>
        <v/>
      </c>
      <c r="N371" s="95">
        <f>IF(H371=1,INDEX(tx_TaxCr,365),0)</f>
        <v/>
      </c>
      <c r="O371" s="101">
        <f>IF(H371=1,IF(E371&lt;FYStart,0,IF(E371&gt;FYEnd,13,YEAR(E371)*12+MONTH(E371)-FYYM+1)),"")</f>
        <v/>
      </c>
      <c r="P371" s="101">
        <f>IF(H371=1,IF(IFERROR(INDEX(coa_CF,MATCH(I371,coa_Name,0)),"")="Cash",1,0),0)</f>
        <v/>
      </c>
      <c r="Q371" s="101">
        <f>IF(H371=1,IF(IFERROR(INDEX(coa_CF,MATCH(K371,coa_Name,0)),"")="Cash",1,0),0)</f>
        <v/>
      </c>
      <c r="R371" s="58">
        <f>IF((P371-Q371)=0,"",IFERROR(INDEX(coa_CF,MATCH(IF((P371-Q371)=1,K371,I371),coa_Name,0)),"Operating"))</f>
        <v/>
      </c>
      <c r="S371" s="95">
        <f>IF((P371-Q371)=1,L371,IF((P371-Q371)=-1,-J371,0))</f>
        <v/>
      </c>
      <c r="T371" s="95">
        <f>IF((P371-Q371)=1,N371,IF((P371-Q371)=-1,-M371,0))</f>
        <v/>
      </c>
      <c r="U371" s="101">
        <f>IF(AND(H371=1,LedAcct&lt;&gt;""),IF(AND(E371&gt;=LedFrom,E371&lt;=LedTo,OR(I371=LedAcct,K371=LedAcct,AND(LedAcct=acctTax,M371+N371&lt;&gt;0))),E371*10000+B371,""),"")</f>
        <v/>
      </c>
    </row>
    <row r="372">
      <c r="B372" s="101" t="n">
        <v>366</v>
      </c>
      <c r="C372" s="58" t="inlineStr">
        <is>
          <t>Transaction</t>
        </is>
      </c>
      <c r="D372" s="58">
        <f>IF(H372=1,INDEX(tx_ID,366)&amp;"","")</f>
        <v/>
      </c>
      <c r="E372" s="94">
        <f>IF(H372=1,INDEX(tx_Date,366),"")</f>
        <v/>
      </c>
      <c r="F372" s="58">
        <f>IF(H372=1,INDEX(tx_Desc,366)&amp;"","")</f>
        <v/>
      </c>
      <c r="G372" s="58">
        <f>IF(H372=1,IF(INDEX(tx_Cust,366)&amp;""&lt;&gt;"",INDEX(tx_Cust,366)&amp;"",INDEX(tx_Vend,366)&amp;""),"")</f>
        <v/>
      </c>
      <c r="H372" s="101">
        <f>IFERROR(N(INDEX(tx_Posted,366)),0)</f>
        <v/>
      </c>
      <c r="I372" s="58">
        <f>IF(H372=1,INDEX(tx_DrAcct,366)&amp;"","")</f>
        <v/>
      </c>
      <c r="J372" s="95">
        <f>IF(H372=1,INDEX(tx_DrAmt,366),0)</f>
        <v/>
      </c>
      <c r="K372" s="58">
        <f>IF(H372=1,INDEX(tx_CrAcct,366)&amp;"","")</f>
        <v/>
      </c>
      <c r="L372" s="95">
        <f>IF(H372=1,INDEX(tx_CrAmt,366),0)</f>
        <v/>
      </c>
      <c r="M372" s="95">
        <f>IF(H372=1,INDEX(tx_TaxDr,366),0)</f>
        <v/>
      </c>
      <c r="N372" s="95">
        <f>IF(H372=1,INDEX(tx_TaxCr,366),0)</f>
        <v/>
      </c>
      <c r="O372" s="101">
        <f>IF(H372=1,IF(E372&lt;FYStart,0,IF(E372&gt;FYEnd,13,YEAR(E372)*12+MONTH(E372)-FYYM+1)),"")</f>
        <v/>
      </c>
      <c r="P372" s="101">
        <f>IF(H372=1,IF(IFERROR(INDEX(coa_CF,MATCH(I372,coa_Name,0)),"")="Cash",1,0),0)</f>
        <v/>
      </c>
      <c r="Q372" s="101">
        <f>IF(H372=1,IF(IFERROR(INDEX(coa_CF,MATCH(K372,coa_Name,0)),"")="Cash",1,0),0)</f>
        <v/>
      </c>
      <c r="R372" s="58">
        <f>IF((P372-Q372)=0,"",IFERROR(INDEX(coa_CF,MATCH(IF((P372-Q372)=1,K372,I372),coa_Name,0)),"Operating"))</f>
        <v/>
      </c>
      <c r="S372" s="95">
        <f>IF((P372-Q372)=1,L372,IF((P372-Q372)=-1,-J372,0))</f>
        <v/>
      </c>
      <c r="T372" s="95">
        <f>IF((P372-Q372)=1,N372,IF((P372-Q372)=-1,-M372,0))</f>
        <v/>
      </c>
      <c r="U372" s="101">
        <f>IF(AND(H372=1,LedAcct&lt;&gt;""),IF(AND(E372&gt;=LedFrom,E372&lt;=LedTo,OR(I372=LedAcct,K372=LedAcct,AND(LedAcct=acctTax,M372+N372&lt;&gt;0))),E372*10000+B372,""),"")</f>
        <v/>
      </c>
    </row>
    <row r="373">
      <c r="B373" s="101" t="n">
        <v>367</v>
      </c>
      <c r="C373" s="58" t="inlineStr">
        <is>
          <t>Transaction</t>
        </is>
      </c>
      <c r="D373" s="58">
        <f>IF(H373=1,INDEX(tx_ID,367)&amp;"","")</f>
        <v/>
      </c>
      <c r="E373" s="94">
        <f>IF(H373=1,INDEX(tx_Date,367),"")</f>
        <v/>
      </c>
      <c r="F373" s="58">
        <f>IF(H373=1,INDEX(tx_Desc,367)&amp;"","")</f>
        <v/>
      </c>
      <c r="G373" s="58">
        <f>IF(H373=1,IF(INDEX(tx_Cust,367)&amp;""&lt;&gt;"",INDEX(tx_Cust,367)&amp;"",INDEX(tx_Vend,367)&amp;""),"")</f>
        <v/>
      </c>
      <c r="H373" s="101">
        <f>IFERROR(N(INDEX(tx_Posted,367)),0)</f>
        <v/>
      </c>
      <c r="I373" s="58">
        <f>IF(H373=1,INDEX(tx_DrAcct,367)&amp;"","")</f>
        <v/>
      </c>
      <c r="J373" s="95">
        <f>IF(H373=1,INDEX(tx_DrAmt,367),0)</f>
        <v/>
      </c>
      <c r="K373" s="58">
        <f>IF(H373=1,INDEX(tx_CrAcct,367)&amp;"","")</f>
        <v/>
      </c>
      <c r="L373" s="95">
        <f>IF(H373=1,INDEX(tx_CrAmt,367),0)</f>
        <v/>
      </c>
      <c r="M373" s="95">
        <f>IF(H373=1,INDEX(tx_TaxDr,367),0)</f>
        <v/>
      </c>
      <c r="N373" s="95">
        <f>IF(H373=1,INDEX(tx_TaxCr,367),0)</f>
        <v/>
      </c>
      <c r="O373" s="101">
        <f>IF(H373=1,IF(E373&lt;FYStart,0,IF(E373&gt;FYEnd,13,YEAR(E373)*12+MONTH(E373)-FYYM+1)),"")</f>
        <v/>
      </c>
      <c r="P373" s="101">
        <f>IF(H373=1,IF(IFERROR(INDEX(coa_CF,MATCH(I373,coa_Name,0)),"")="Cash",1,0),0)</f>
        <v/>
      </c>
      <c r="Q373" s="101">
        <f>IF(H373=1,IF(IFERROR(INDEX(coa_CF,MATCH(K373,coa_Name,0)),"")="Cash",1,0),0)</f>
        <v/>
      </c>
      <c r="R373" s="58">
        <f>IF((P373-Q373)=0,"",IFERROR(INDEX(coa_CF,MATCH(IF((P373-Q373)=1,K373,I373),coa_Name,0)),"Operating"))</f>
        <v/>
      </c>
      <c r="S373" s="95">
        <f>IF((P373-Q373)=1,L373,IF((P373-Q373)=-1,-J373,0))</f>
        <v/>
      </c>
      <c r="T373" s="95">
        <f>IF((P373-Q373)=1,N373,IF((P373-Q373)=-1,-M373,0))</f>
        <v/>
      </c>
      <c r="U373" s="101">
        <f>IF(AND(H373=1,LedAcct&lt;&gt;""),IF(AND(E373&gt;=LedFrom,E373&lt;=LedTo,OR(I373=LedAcct,K373=LedAcct,AND(LedAcct=acctTax,M373+N373&lt;&gt;0))),E373*10000+B373,""),"")</f>
        <v/>
      </c>
    </row>
    <row r="374">
      <c r="B374" s="101" t="n">
        <v>368</v>
      </c>
      <c r="C374" s="58" t="inlineStr">
        <is>
          <t>Transaction</t>
        </is>
      </c>
      <c r="D374" s="58">
        <f>IF(H374=1,INDEX(tx_ID,368)&amp;"","")</f>
        <v/>
      </c>
      <c r="E374" s="94">
        <f>IF(H374=1,INDEX(tx_Date,368),"")</f>
        <v/>
      </c>
      <c r="F374" s="58">
        <f>IF(H374=1,INDEX(tx_Desc,368)&amp;"","")</f>
        <v/>
      </c>
      <c r="G374" s="58">
        <f>IF(H374=1,IF(INDEX(tx_Cust,368)&amp;""&lt;&gt;"",INDEX(tx_Cust,368)&amp;"",INDEX(tx_Vend,368)&amp;""),"")</f>
        <v/>
      </c>
      <c r="H374" s="101">
        <f>IFERROR(N(INDEX(tx_Posted,368)),0)</f>
        <v/>
      </c>
      <c r="I374" s="58">
        <f>IF(H374=1,INDEX(tx_DrAcct,368)&amp;"","")</f>
        <v/>
      </c>
      <c r="J374" s="95">
        <f>IF(H374=1,INDEX(tx_DrAmt,368),0)</f>
        <v/>
      </c>
      <c r="K374" s="58">
        <f>IF(H374=1,INDEX(tx_CrAcct,368)&amp;"","")</f>
        <v/>
      </c>
      <c r="L374" s="95">
        <f>IF(H374=1,INDEX(tx_CrAmt,368),0)</f>
        <v/>
      </c>
      <c r="M374" s="95">
        <f>IF(H374=1,INDEX(tx_TaxDr,368),0)</f>
        <v/>
      </c>
      <c r="N374" s="95">
        <f>IF(H374=1,INDEX(tx_TaxCr,368),0)</f>
        <v/>
      </c>
      <c r="O374" s="101">
        <f>IF(H374=1,IF(E374&lt;FYStart,0,IF(E374&gt;FYEnd,13,YEAR(E374)*12+MONTH(E374)-FYYM+1)),"")</f>
        <v/>
      </c>
      <c r="P374" s="101">
        <f>IF(H374=1,IF(IFERROR(INDEX(coa_CF,MATCH(I374,coa_Name,0)),"")="Cash",1,0),0)</f>
        <v/>
      </c>
      <c r="Q374" s="101">
        <f>IF(H374=1,IF(IFERROR(INDEX(coa_CF,MATCH(K374,coa_Name,0)),"")="Cash",1,0),0)</f>
        <v/>
      </c>
      <c r="R374" s="58">
        <f>IF((P374-Q374)=0,"",IFERROR(INDEX(coa_CF,MATCH(IF((P374-Q374)=1,K374,I374),coa_Name,0)),"Operating"))</f>
        <v/>
      </c>
      <c r="S374" s="95">
        <f>IF((P374-Q374)=1,L374,IF((P374-Q374)=-1,-J374,0))</f>
        <v/>
      </c>
      <c r="T374" s="95">
        <f>IF((P374-Q374)=1,N374,IF((P374-Q374)=-1,-M374,0))</f>
        <v/>
      </c>
      <c r="U374" s="101">
        <f>IF(AND(H374=1,LedAcct&lt;&gt;""),IF(AND(E374&gt;=LedFrom,E374&lt;=LedTo,OR(I374=LedAcct,K374=LedAcct,AND(LedAcct=acctTax,M374+N374&lt;&gt;0))),E374*10000+B374,""),"")</f>
        <v/>
      </c>
    </row>
    <row r="375">
      <c r="B375" s="101" t="n">
        <v>369</v>
      </c>
      <c r="C375" s="58" t="inlineStr">
        <is>
          <t>Transaction</t>
        </is>
      </c>
      <c r="D375" s="58">
        <f>IF(H375=1,INDEX(tx_ID,369)&amp;"","")</f>
        <v/>
      </c>
      <c r="E375" s="94">
        <f>IF(H375=1,INDEX(tx_Date,369),"")</f>
        <v/>
      </c>
      <c r="F375" s="58">
        <f>IF(H375=1,INDEX(tx_Desc,369)&amp;"","")</f>
        <v/>
      </c>
      <c r="G375" s="58">
        <f>IF(H375=1,IF(INDEX(tx_Cust,369)&amp;""&lt;&gt;"",INDEX(tx_Cust,369)&amp;"",INDEX(tx_Vend,369)&amp;""),"")</f>
        <v/>
      </c>
      <c r="H375" s="101">
        <f>IFERROR(N(INDEX(tx_Posted,369)),0)</f>
        <v/>
      </c>
      <c r="I375" s="58">
        <f>IF(H375=1,INDEX(tx_DrAcct,369)&amp;"","")</f>
        <v/>
      </c>
      <c r="J375" s="95">
        <f>IF(H375=1,INDEX(tx_DrAmt,369),0)</f>
        <v/>
      </c>
      <c r="K375" s="58">
        <f>IF(H375=1,INDEX(tx_CrAcct,369)&amp;"","")</f>
        <v/>
      </c>
      <c r="L375" s="95">
        <f>IF(H375=1,INDEX(tx_CrAmt,369),0)</f>
        <v/>
      </c>
      <c r="M375" s="95">
        <f>IF(H375=1,INDEX(tx_TaxDr,369),0)</f>
        <v/>
      </c>
      <c r="N375" s="95">
        <f>IF(H375=1,INDEX(tx_TaxCr,369),0)</f>
        <v/>
      </c>
      <c r="O375" s="101">
        <f>IF(H375=1,IF(E375&lt;FYStart,0,IF(E375&gt;FYEnd,13,YEAR(E375)*12+MONTH(E375)-FYYM+1)),"")</f>
        <v/>
      </c>
      <c r="P375" s="101">
        <f>IF(H375=1,IF(IFERROR(INDEX(coa_CF,MATCH(I375,coa_Name,0)),"")="Cash",1,0),0)</f>
        <v/>
      </c>
      <c r="Q375" s="101">
        <f>IF(H375=1,IF(IFERROR(INDEX(coa_CF,MATCH(K375,coa_Name,0)),"")="Cash",1,0),0)</f>
        <v/>
      </c>
      <c r="R375" s="58">
        <f>IF((P375-Q375)=0,"",IFERROR(INDEX(coa_CF,MATCH(IF((P375-Q375)=1,K375,I375),coa_Name,0)),"Operating"))</f>
        <v/>
      </c>
      <c r="S375" s="95">
        <f>IF((P375-Q375)=1,L375,IF((P375-Q375)=-1,-J375,0))</f>
        <v/>
      </c>
      <c r="T375" s="95">
        <f>IF((P375-Q375)=1,N375,IF((P375-Q375)=-1,-M375,0))</f>
        <v/>
      </c>
      <c r="U375" s="101">
        <f>IF(AND(H375=1,LedAcct&lt;&gt;""),IF(AND(E375&gt;=LedFrom,E375&lt;=LedTo,OR(I375=LedAcct,K375=LedAcct,AND(LedAcct=acctTax,M375+N375&lt;&gt;0))),E375*10000+B375,""),"")</f>
        <v/>
      </c>
    </row>
    <row r="376">
      <c r="B376" s="101" t="n">
        <v>370</v>
      </c>
      <c r="C376" s="58" t="inlineStr">
        <is>
          <t>Transaction</t>
        </is>
      </c>
      <c r="D376" s="58">
        <f>IF(H376=1,INDEX(tx_ID,370)&amp;"","")</f>
        <v/>
      </c>
      <c r="E376" s="94">
        <f>IF(H376=1,INDEX(tx_Date,370),"")</f>
        <v/>
      </c>
      <c r="F376" s="58">
        <f>IF(H376=1,INDEX(tx_Desc,370)&amp;"","")</f>
        <v/>
      </c>
      <c r="G376" s="58">
        <f>IF(H376=1,IF(INDEX(tx_Cust,370)&amp;""&lt;&gt;"",INDEX(tx_Cust,370)&amp;"",INDEX(tx_Vend,370)&amp;""),"")</f>
        <v/>
      </c>
      <c r="H376" s="101">
        <f>IFERROR(N(INDEX(tx_Posted,370)),0)</f>
        <v/>
      </c>
      <c r="I376" s="58">
        <f>IF(H376=1,INDEX(tx_DrAcct,370)&amp;"","")</f>
        <v/>
      </c>
      <c r="J376" s="95">
        <f>IF(H376=1,INDEX(tx_DrAmt,370),0)</f>
        <v/>
      </c>
      <c r="K376" s="58">
        <f>IF(H376=1,INDEX(tx_CrAcct,370)&amp;"","")</f>
        <v/>
      </c>
      <c r="L376" s="95">
        <f>IF(H376=1,INDEX(tx_CrAmt,370),0)</f>
        <v/>
      </c>
      <c r="M376" s="95">
        <f>IF(H376=1,INDEX(tx_TaxDr,370),0)</f>
        <v/>
      </c>
      <c r="N376" s="95">
        <f>IF(H376=1,INDEX(tx_TaxCr,370),0)</f>
        <v/>
      </c>
      <c r="O376" s="101">
        <f>IF(H376=1,IF(E376&lt;FYStart,0,IF(E376&gt;FYEnd,13,YEAR(E376)*12+MONTH(E376)-FYYM+1)),"")</f>
        <v/>
      </c>
      <c r="P376" s="101">
        <f>IF(H376=1,IF(IFERROR(INDEX(coa_CF,MATCH(I376,coa_Name,0)),"")="Cash",1,0),0)</f>
        <v/>
      </c>
      <c r="Q376" s="101">
        <f>IF(H376=1,IF(IFERROR(INDEX(coa_CF,MATCH(K376,coa_Name,0)),"")="Cash",1,0),0)</f>
        <v/>
      </c>
      <c r="R376" s="58">
        <f>IF((P376-Q376)=0,"",IFERROR(INDEX(coa_CF,MATCH(IF((P376-Q376)=1,K376,I376),coa_Name,0)),"Operating"))</f>
        <v/>
      </c>
      <c r="S376" s="95">
        <f>IF((P376-Q376)=1,L376,IF((P376-Q376)=-1,-J376,0))</f>
        <v/>
      </c>
      <c r="T376" s="95">
        <f>IF((P376-Q376)=1,N376,IF((P376-Q376)=-1,-M376,0))</f>
        <v/>
      </c>
      <c r="U376" s="101">
        <f>IF(AND(H376=1,LedAcct&lt;&gt;""),IF(AND(E376&gt;=LedFrom,E376&lt;=LedTo,OR(I376=LedAcct,K376=LedAcct,AND(LedAcct=acctTax,M376+N376&lt;&gt;0))),E376*10000+B376,""),"")</f>
        <v/>
      </c>
    </row>
    <row r="377">
      <c r="B377" s="101" t="n">
        <v>371</v>
      </c>
      <c r="C377" s="58" t="inlineStr">
        <is>
          <t>Transaction</t>
        </is>
      </c>
      <c r="D377" s="58">
        <f>IF(H377=1,INDEX(tx_ID,371)&amp;"","")</f>
        <v/>
      </c>
      <c r="E377" s="94">
        <f>IF(H377=1,INDEX(tx_Date,371),"")</f>
        <v/>
      </c>
      <c r="F377" s="58">
        <f>IF(H377=1,INDEX(tx_Desc,371)&amp;"","")</f>
        <v/>
      </c>
      <c r="G377" s="58">
        <f>IF(H377=1,IF(INDEX(tx_Cust,371)&amp;""&lt;&gt;"",INDEX(tx_Cust,371)&amp;"",INDEX(tx_Vend,371)&amp;""),"")</f>
        <v/>
      </c>
      <c r="H377" s="101">
        <f>IFERROR(N(INDEX(tx_Posted,371)),0)</f>
        <v/>
      </c>
      <c r="I377" s="58">
        <f>IF(H377=1,INDEX(tx_DrAcct,371)&amp;"","")</f>
        <v/>
      </c>
      <c r="J377" s="95">
        <f>IF(H377=1,INDEX(tx_DrAmt,371),0)</f>
        <v/>
      </c>
      <c r="K377" s="58">
        <f>IF(H377=1,INDEX(tx_CrAcct,371)&amp;"","")</f>
        <v/>
      </c>
      <c r="L377" s="95">
        <f>IF(H377=1,INDEX(tx_CrAmt,371),0)</f>
        <v/>
      </c>
      <c r="M377" s="95">
        <f>IF(H377=1,INDEX(tx_TaxDr,371),0)</f>
        <v/>
      </c>
      <c r="N377" s="95">
        <f>IF(H377=1,INDEX(tx_TaxCr,371),0)</f>
        <v/>
      </c>
      <c r="O377" s="101">
        <f>IF(H377=1,IF(E377&lt;FYStart,0,IF(E377&gt;FYEnd,13,YEAR(E377)*12+MONTH(E377)-FYYM+1)),"")</f>
        <v/>
      </c>
      <c r="P377" s="101">
        <f>IF(H377=1,IF(IFERROR(INDEX(coa_CF,MATCH(I377,coa_Name,0)),"")="Cash",1,0),0)</f>
        <v/>
      </c>
      <c r="Q377" s="101">
        <f>IF(H377=1,IF(IFERROR(INDEX(coa_CF,MATCH(K377,coa_Name,0)),"")="Cash",1,0),0)</f>
        <v/>
      </c>
      <c r="R377" s="58">
        <f>IF((P377-Q377)=0,"",IFERROR(INDEX(coa_CF,MATCH(IF((P377-Q377)=1,K377,I377),coa_Name,0)),"Operating"))</f>
        <v/>
      </c>
      <c r="S377" s="95">
        <f>IF((P377-Q377)=1,L377,IF((P377-Q377)=-1,-J377,0))</f>
        <v/>
      </c>
      <c r="T377" s="95">
        <f>IF((P377-Q377)=1,N377,IF((P377-Q377)=-1,-M377,0))</f>
        <v/>
      </c>
      <c r="U377" s="101">
        <f>IF(AND(H377=1,LedAcct&lt;&gt;""),IF(AND(E377&gt;=LedFrom,E377&lt;=LedTo,OR(I377=LedAcct,K377=LedAcct,AND(LedAcct=acctTax,M377+N377&lt;&gt;0))),E377*10000+B377,""),"")</f>
        <v/>
      </c>
    </row>
    <row r="378">
      <c r="B378" s="101" t="n">
        <v>372</v>
      </c>
      <c r="C378" s="58" t="inlineStr">
        <is>
          <t>Transaction</t>
        </is>
      </c>
      <c r="D378" s="58">
        <f>IF(H378=1,INDEX(tx_ID,372)&amp;"","")</f>
        <v/>
      </c>
      <c r="E378" s="94">
        <f>IF(H378=1,INDEX(tx_Date,372),"")</f>
        <v/>
      </c>
      <c r="F378" s="58">
        <f>IF(H378=1,INDEX(tx_Desc,372)&amp;"","")</f>
        <v/>
      </c>
      <c r="G378" s="58">
        <f>IF(H378=1,IF(INDEX(tx_Cust,372)&amp;""&lt;&gt;"",INDEX(tx_Cust,372)&amp;"",INDEX(tx_Vend,372)&amp;""),"")</f>
        <v/>
      </c>
      <c r="H378" s="101">
        <f>IFERROR(N(INDEX(tx_Posted,372)),0)</f>
        <v/>
      </c>
      <c r="I378" s="58">
        <f>IF(H378=1,INDEX(tx_DrAcct,372)&amp;"","")</f>
        <v/>
      </c>
      <c r="J378" s="95">
        <f>IF(H378=1,INDEX(tx_DrAmt,372),0)</f>
        <v/>
      </c>
      <c r="K378" s="58">
        <f>IF(H378=1,INDEX(tx_CrAcct,372)&amp;"","")</f>
        <v/>
      </c>
      <c r="L378" s="95">
        <f>IF(H378=1,INDEX(tx_CrAmt,372),0)</f>
        <v/>
      </c>
      <c r="M378" s="95">
        <f>IF(H378=1,INDEX(tx_TaxDr,372),0)</f>
        <v/>
      </c>
      <c r="N378" s="95">
        <f>IF(H378=1,INDEX(tx_TaxCr,372),0)</f>
        <v/>
      </c>
      <c r="O378" s="101">
        <f>IF(H378=1,IF(E378&lt;FYStart,0,IF(E378&gt;FYEnd,13,YEAR(E378)*12+MONTH(E378)-FYYM+1)),"")</f>
        <v/>
      </c>
      <c r="P378" s="101">
        <f>IF(H378=1,IF(IFERROR(INDEX(coa_CF,MATCH(I378,coa_Name,0)),"")="Cash",1,0),0)</f>
        <v/>
      </c>
      <c r="Q378" s="101">
        <f>IF(H378=1,IF(IFERROR(INDEX(coa_CF,MATCH(K378,coa_Name,0)),"")="Cash",1,0),0)</f>
        <v/>
      </c>
      <c r="R378" s="58">
        <f>IF((P378-Q378)=0,"",IFERROR(INDEX(coa_CF,MATCH(IF((P378-Q378)=1,K378,I378),coa_Name,0)),"Operating"))</f>
        <v/>
      </c>
      <c r="S378" s="95">
        <f>IF((P378-Q378)=1,L378,IF((P378-Q378)=-1,-J378,0))</f>
        <v/>
      </c>
      <c r="T378" s="95">
        <f>IF((P378-Q378)=1,N378,IF((P378-Q378)=-1,-M378,0))</f>
        <v/>
      </c>
      <c r="U378" s="101">
        <f>IF(AND(H378=1,LedAcct&lt;&gt;""),IF(AND(E378&gt;=LedFrom,E378&lt;=LedTo,OR(I378=LedAcct,K378=LedAcct,AND(LedAcct=acctTax,M378+N378&lt;&gt;0))),E378*10000+B378,""),"")</f>
        <v/>
      </c>
    </row>
    <row r="379">
      <c r="B379" s="101" t="n">
        <v>373</v>
      </c>
      <c r="C379" s="58" t="inlineStr">
        <is>
          <t>Transaction</t>
        </is>
      </c>
      <c r="D379" s="58">
        <f>IF(H379=1,INDEX(tx_ID,373)&amp;"","")</f>
        <v/>
      </c>
      <c r="E379" s="94">
        <f>IF(H379=1,INDEX(tx_Date,373),"")</f>
        <v/>
      </c>
      <c r="F379" s="58">
        <f>IF(H379=1,INDEX(tx_Desc,373)&amp;"","")</f>
        <v/>
      </c>
      <c r="G379" s="58">
        <f>IF(H379=1,IF(INDEX(tx_Cust,373)&amp;""&lt;&gt;"",INDEX(tx_Cust,373)&amp;"",INDEX(tx_Vend,373)&amp;""),"")</f>
        <v/>
      </c>
      <c r="H379" s="101">
        <f>IFERROR(N(INDEX(tx_Posted,373)),0)</f>
        <v/>
      </c>
      <c r="I379" s="58">
        <f>IF(H379=1,INDEX(tx_DrAcct,373)&amp;"","")</f>
        <v/>
      </c>
      <c r="J379" s="95">
        <f>IF(H379=1,INDEX(tx_DrAmt,373),0)</f>
        <v/>
      </c>
      <c r="K379" s="58">
        <f>IF(H379=1,INDEX(tx_CrAcct,373)&amp;"","")</f>
        <v/>
      </c>
      <c r="L379" s="95">
        <f>IF(H379=1,INDEX(tx_CrAmt,373),0)</f>
        <v/>
      </c>
      <c r="M379" s="95">
        <f>IF(H379=1,INDEX(tx_TaxDr,373),0)</f>
        <v/>
      </c>
      <c r="N379" s="95">
        <f>IF(H379=1,INDEX(tx_TaxCr,373),0)</f>
        <v/>
      </c>
      <c r="O379" s="101">
        <f>IF(H379=1,IF(E379&lt;FYStart,0,IF(E379&gt;FYEnd,13,YEAR(E379)*12+MONTH(E379)-FYYM+1)),"")</f>
        <v/>
      </c>
      <c r="P379" s="101">
        <f>IF(H379=1,IF(IFERROR(INDEX(coa_CF,MATCH(I379,coa_Name,0)),"")="Cash",1,0),0)</f>
        <v/>
      </c>
      <c r="Q379" s="101">
        <f>IF(H379=1,IF(IFERROR(INDEX(coa_CF,MATCH(K379,coa_Name,0)),"")="Cash",1,0),0)</f>
        <v/>
      </c>
      <c r="R379" s="58">
        <f>IF((P379-Q379)=0,"",IFERROR(INDEX(coa_CF,MATCH(IF((P379-Q379)=1,K379,I379),coa_Name,0)),"Operating"))</f>
        <v/>
      </c>
      <c r="S379" s="95">
        <f>IF((P379-Q379)=1,L379,IF((P379-Q379)=-1,-J379,0))</f>
        <v/>
      </c>
      <c r="T379" s="95">
        <f>IF((P379-Q379)=1,N379,IF((P379-Q379)=-1,-M379,0))</f>
        <v/>
      </c>
      <c r="U379" s="101">
        <f>IF(AND(H379=1,LedAcct&lt;&gt;""),IF(AND(E379&gt;=LedFrom,E379&lt;=LedTo,OR(I379=LedAcct,K379=LedAcct,AND(LedAcct=acctTax,M379+N379&lt;&gt;0))),E379*10000+B379,""),"")</f>
        <v/>
      </c>
    </row>
    <row r="380">
      <c r="B380" s="101" t="n">
        <v>374</v>
      </c>
      <c r="C380" s="58" t="inlineStr">
        <is>
          <t>Transaction</t>
        </is>
      </c>
      <c r="D380" s="58">
        <f>IF(H380=1,INDEX(tx_ID,374)&amp;"","")</f>
        <v/>
      </c>
      <c r="E380" s="94">
        <f>IF(H380=1,INDEX(tx_Date,374),"")</f>
        <v/>
      </c>
      <c r="F380" s="58">
        <f>IF(H380=1,INDEX(tx_Desc,374)&amp;"","")</f>
        <v/>
      </c>
      <c r="G380" s="58">
        <f>IF(H380=1,IF(INDEX(tx_Cust,374)&amp;""&lt;&gt;"",INDEX(tx_Cust,374)&amp;"",INDEX(tx_Vend,374)&amp;""),"")</f>
        <v/>
      </c>
      <c r="H380" s="101">
        <f>IFERROR(N(INDEX(tx_Posted,374)),0)</f>
        <v/>
      </c>
      <c r="I380" s="58">
        <f>IF(H380=1,INDEX(tx_DrAcct,374)&amp;"","")</f>
        <v/>
      </c>
      <c r="J380" s="95">
        <f>IF(H380=1,INDEX(tx_DrAmt,374),0)</f>
        <v/>
      </c>
      <c r="K380" s="58">
        <f>IF(H380=1,INDEX(tx_CrAcct,374)&amp;"","")</f>
        <v/>
      </c>
      <c r="L380" s="95">
        <f>IF(H380=1,INDEX(tx_CrAmt,374),0)</f>
        <v/>
      </c>
      <c r="M380" s="95">
        <f>IF(H380=1,INDEX(tx_TaxDr,374),0)</f>
        <v/>
      </c>
      <c r="N380" s="95">
        <f>IF(H380=1,INDEX(tx_TaxCr,374),0)</f>
        <v/>
      </c>
      <c r="O380" s="101">
        <f>IF(H380=1,IF(E380&lt;FYStart,0,IF(E380&gt;FYEnd,13,YEAR(E380)*12+MONTH(E380)-FYYM+1)),"")</f>
        <v/>
      </c>
      <c r="P380" s="101">
        <f>IF(H380=1,IF(IFERROR(INDEX(coa_CF,MATCH(I380,coa_Name,0)),"")="Cash",1,0),0)</f>
        <v/>
      </c>
      <c r="Q380" s="101">
        <f>IF(H380=1,IF(IFERROR(INDEX(coa_CF,MATCH(K380,coa_Name,0)),"")="Cash",1,0),0)</f>
        <v/>
      </c>
      <c r="R380" s="58">
        <f>IF((P380-Q380)=0,"",IFERROR(INDEX(coa_CF,MATCH(IF((P380-Q380)=1,K380,I380),coa_Name,0)),"Operating"))</f>
        <v/>
      </c>
      <c r="S380" s="95">
        <f>IF((P380-Q380)=1,L380,IF((P380-Q380)=-1,-J380,0))</f>
        <v/>
      </c>
      <c r="T380" s="95">
        <f>IF((P380-Q380)=1,N380,IF((P380-Q380)=-1,-M380,0))</f>
        <v/>
      </c>
      <c r="U380" s="101">
        <f>IF(AND(H380=1,LedAcct&lt;&gt;""),IF(AND(E380&gt;=LedFrom,E380&lt;=LedTo,OR(I380=LedAcct,K380=LedAcct,AND(LedAcct=acctTax,M380+N380&lt;&gt;0))),E380*10000+B380,""),"")</f>
        <v/>
      </c>
    </row>
    <row r="381">
      <c r="B381" s="101" t="n">
        <v>375</v>
      </c>
      <c r="C381" s="58" t="inlineStr">
        <is>
          <t>Transaction</t>
        </is>
      </c>
      <c r="D381" s="58">
        <f>IF(H381=1,INDEX(tx_ID,375)&amp;"","")</f>
        <v/>
      </c>
      <c r="E381" s="94">
        <f>IF(H381=1,INDEX(tx_Date,375),"")</f>
        <v/>
      </c>
      <c r="F381" s="58">
        <f>IF(H381=1,INDEX(tx_Desc,375)&amp;"","")</f>
        <v/>
      </c>
      <c r="G381" s="58">
        <f>IF(H381=1,IF(INDEX(tx_Cust,375)&amp;""&lt;&gt;"",INDEX(tx_Cust,375)&amp;"",INDEX(tx_Vend,375)&amp;""),"")</f>
        <v/>
      </c>
      <c r="H381" s="101">
        <f>IFERROR(N(INDEX(tx_Posted,375)),0)</f>
        <v/>
      </c>
      <c r="I381" s="58">
        <f>IF(H381=1,INDEX(tx_DrAcct,375)&amp;"","")</f>
        <v/>
      </c>
      <c r="J381" s="95">
        <f>IF(H381=1,INDEX(tx_DrAmt,375),0)</f>
        <v/>
      </c>
      <c r="K381" s="58">
        <f>IF(H381=1,INDEX(tx_CrAcct,375)&amp;"","")</f>
        <v/>
      </c>
      <c r="L381" s="95">
        <f>IF(H381=1,INDEX(tx_CrAmt,375),0)</f>
        <v/>
      </c>
      <c r="M381" s="95">
        <f>IF(H381=1,INDEX(tx_TaxDr,375),0)</f>
        <v/>
      </c>
      <c r="N381" s="95">
        <f>IF(H381=1,INDEX(tx_TaxCr,375),0)</f>
        <v/>
      </c>
      <c r="O381" s="101">
        <f>IF(H381=1,IF(E381&lt;FYStart,0,IF(E381&gt;FYEnd,13,YEAR(E381)*12+MONTH(E381)-FYYM+1)),"")</f>
        <v/>
      </c>
      <c r="P381" s="101">
        <f>IF(H381=1,IF(IFERROR(INDEX(coa_CF,MATCH(I381,coa_Name,0)),"")="Cash",1,0),0)</f>
        <v/>
      </c>
      <c r="Q381" s="101">
        <f>IF(H381=1,IF(IFERROR(INDEX(coa_CF,MATCH(K381,coa_Name,0)),"")="Cash",1,0),0)</f>
        <v/>
      </c>
      <c r="R381" s="58">
        <f>IF((P381-Q381)=0,"",IFERROR(INDEX(coa_CF,MATCH(IF((P381-Q381)=1,K381,I381),coa_Name,0)),"Operating"))</f>
        <v/>
      </c>
      <c r="S381" s="95">
        <f>IF((P381-Q381)=1,L381,IF((P381-Q381)=-1,-J381,0))</f>
        <v/>
      </c>
      <c r="T381" s="95">
        <f>IF((P381-Q381)=1,N381,IF((P381-Q381)=-1,-M381,0))</f>
        <v/>
      </c>
      <c r="U381" s="101">
        <f>IF(AND(H381=1,LedAcct&lt;&gt;""),IF(AND(E381&gt;=LedFrom,E381&lt;=LedTo,OR(I381=LedAcct,K381=LedAcct,AND(LedAcct=acctTax,M381+N381&lt;&gt;0))),E381*10000+B381,""),"")</f>
        <v/>
      </c>
    </row>
    <row r="382">
      <c r="B382" s="101" t="n">
        <v>376</v>
      </c>
      <c r="C382" s="58" t="inlineStr">
        <is>
          <t>Transaction</t>
        </is>
      </c>
      <c r="D382" s="58">
        <f>IF(H382=1,INDEX(tx_ID,376)&amp;"","")</f>
        <v/>
      </c>
      <c r="E382" s="94">
        <f>IF(H382=1,INDEX(tx_Date,376),"")</f>
        <v/>
      </c>
      <c r="F382" s="58">
        <f>IF(H382=1,INDEX(tx_Desc,376)&amp;"","")</f>
        <v/>
      </c>
      <c r="G382" s="58">
        <f>IF(H382=1,IF(INDEX(tx_Cust,376)&amp;""&lt;&gt;"",INDEX(tx_Cust,376)&amp;"",INDEX(tx_Vend,376)&amp;""),"")</f>
        <v/>
      </c>
      <c r="H382" s="101">
        <f>IFERROR(N(INDEX(tx_Posted,376)),0)</f>
        <v/>
      </c>
      <c r="I382" s="58">
        <f>IF(H382=1,INDEX(tx_DrAcct,376)&amp;"","")</f>
        <v/>
      </c>
      <c r="J382" s="95">
        <f>IF(H382=1,INDEX(tx_DrAmt,376),0)</f>
        <v/>
      </c>
      <c r="K382" s="58">
        <f>IF(H382=1,INDEX(tx_CrAcct,376)&amp;"","")</f>
        <v/>
      </c>
      <c r="L382" s="95">
        <f>IF(H382=1,INDEX(tx_CrAmt,376),0)</f>
        <v/>
      </c>
      <c r="M382" s="95">
        <f>IF(H382=1,INDEX(tx_TaxDr,376),0)</f>
        <v/>
      </c>
      <c r="N382" s="95">
        <f>IF(H382=1,INDEX(tx_TaxCr,376),0)</f>
        <v/>
      </c>
      <c r="O382" s="101">
        <f>IF(H382=1,IF(E382&lt;FYStart,0,IF(E382&gt;FYEnd,13,YEAR(E382)*12+MONTH(E382)-FYYM+1)),"")</f>
        <v/>
      </c>
      <c r="P382" s="101">
        <f>IF(H382=1,IF(IFERROR(INDEX(coa_CF,MATCH(I382,coa_Name,0)),"")="Cash",1,0),0)</f>
        <v/>
      </c>
      <c r="Q382" s="101">
        <f>IF(H382=1,IF(IFERROR(INDEX(coa_CF,MATCH(K382,coa_Name,0)),"")="Cash",1,0),0)</f>
        <v/>
      </c>
      <c r="R382" s="58">
        <f>IF((P382-Q382)=0,"",IFERROR(INDEX(coa_CF,MATCH(IF((P382-Q382)=1,K382,I382),coa_Name,0)),"Operating"))</f>
        <v/>
      </c>
      <c r="S382" s="95">
        <f>IF((P382-Q382)=1,L382,IF((P382-Q382)=-1,-J382,0))</f>
        <v/>
      </c>
      <c r="T382" s="95">
        <f>IF((P382-Q382)=1,N382,IF((P382-Q382)=-1,-M382,0))</f>
        <v/>
      </c>
      <c r="U382" s="101">
        <f>IF(AND(H382=1,LedAcct&lt;&gt;""),IF(AND(E382&gt;=LedFrom,E382&lt;=LedTo,OR(I382=LedAcct,K382=LedAcct,AND(LedAcct=acctTax,M382+N382&lt;&gt;0))),E382*10000+B382,""),"")</f>
        <v/>
      </c>
    </row>
    <row r="383">
      <c r="B383" s="101" t="n">
        <v>377</v>
      </c>
      <c r="C383" s="58" t="inlineStr">
        <is>
          <t>Transaction</t>
        </is>
      </c>
      <c r="D383" s="58">
        <f>IF(H383=1,INDEX(tx_ID,377)&amp;"","")</f>
        <v/>
      </c>
      <c r="E383" s="94">
        <f>IF(H383=1,INDEX(tx_Date,377),"")</f>
        <v/>
      </c>
      <c r="F383" s="58">
        <f>IF(H383=1,INDEX(tx_Desc,377)&amp;"","")</f>
        <v/>
      </c>
      <c r="G383" s="58">
        <f>IF(H383=1,IF(INDEX(tx_Cust,377)&amp;""&lt;&gt;"",INDEX(tx_Cust,377)&amp;"",INDEX(tx_Vend,377)&amp;""),"")</f>
        <v/>
      </c>
      <c r="H383" s="101">
        <f>IFERROR(N(INDEX(tx_Posted,377)),0)</f>
        <v/>
      </c>
      <c r="I383" s="58">
        <f>IF(H383=1,INDEX(tx_DrAcct,377)&amp;"","")</f>
        <v/>
      </c>
      <c r="J383" s="95">
        <f>IF(H383=1,INDEX(tx_DrAmt,377),0)</f>
        <v/>
      </c>
      <c r="K383" s="58">
        <f>IF(H383=1,INDEX(tx_CrAcct,377)&amp;"","")</f>
        <v/>
      </c>
      <c r="L383" s="95">
        <f>IF(H383=1,INDEX(tx_CrAmt,377),0)</f>
        <v/>
      </c>
      <c r="M383" s="95">
        <f>IF(H383=1,INDEX(tx_TaxDr,377),0)</f>
        <v/>
      </c>
      <c r="N383" s="95">
        <f>IF(H383=1,INDEX(tx_TaxCr,377),0)</f>
        <v/>
      </c>
      <c r="O383" s="101">
        <f>IF(H383=1,IF(E383&lt;FYStart,0,IF(E383&gt;FYEnd,13,YEAR(E383)*12+MONTH(E383)-FYYM+1)),"")</f>
        <v/>
      </c>
      <c r="P383" s="101">
        <f>IF(H383=1,IF(IFERROR(INDEX(coa_CF,MATCH(I383,coa_Name,0)),"")="Cash",1,0),0)</f>
        <v/>
      </c>
      <c r="Q383" s="101">
        <f>IF(H383=1,IF(IFERROR(INDEX(coa_CF,MATCH(K383,coa_Name,0)),"")="Cash",1,0),0)</f>
        <v/>
      </c>
      <c r="R383" s="58">
        <f>IF((P383-Q383)=0,"",IFERROR(INDEX(coa_CF,MATCH(IF((P383-Q383)=1,K383,I383),coa_Name,0)),"Operating"))</f>
        <v/>
      </c>
      <c r="S383" s="95">
        <f>IF((P383-Q383)=1,L383,IF((P383-Q383)=-1,-J383,0))</f>
        <v/>
      </c>
      <c r="T383" s="95">
        <f>IF((P383-Q383)=1,N383,IF((P383-Q383)=-1,-M383,0))</f>
        <v/>
      </c>
      <c r="U383" s="101">
        <f>IF(AND(H383=1,LedAcct&lt;&gt;""),IF(AND(E383&gt;=LedFrom,E383&lt;=LedTo,OR(I383=LedAcct,K383=LedAcct,AND(LedAcct=acctTax,M383+N383&lt;&gt;0))),E383*10000+B383,""),"")</f>
        <v/>
      </c>
    </row>
    <row r="384">
      <c r="B384" s="101" t="n">
        <v>378</v>
      </c>
      <c r="C384" s="58" t="inlineStr">
        <is>
          <t>Transaction</t>
        </is>
      </c>
      <c r="D384" s="58">
        <f>IF(H384=1,INDEX(tx_ID,378)&amp;"","")</f>
        <v/>
      </c>
      <c r="E384" s="94">
        <f>IF(H384=1,INDEX(tx_Date,378),"")</f>
        <v/>
      </c>
      <c r="F384" s="58">
        <f>IF(H384=1,INDEX(tx_Desc,378)&amp;"","")</f>
        <v/>
      </c>
      <c r="G384" s="58">
        <f>IF(H384=1,IF(INDEX(tx_Cust,378)&amp;""&lt;&gt;"",INDEX(tx_Cust,378)&amp;"",INDEX(tx_Vend,378)&amp;""),"")</f>
        <v/>
      </c>
      <c r="H384" s="101">
        <f>IFERROR(N(INDEX(tx_Posted,378)),0)</f>
        <v/>
      </c>
      <c r="I384" s="58">
        <f>IF(H384=1,INDEX(tx_DrAcct,378)&amp;"","")</f>
        <v/>
      </c>
      <c r="J384" s="95">
        <f>IF(H384=1,INDEX(tx_DrAmt,378),0)</f>
        <v/>
      </c>
      <c r="K384" s="58">
        <f>IF(H384=1,INDEX(tx_CrAcct,378)&amp;"","")</f>
        <v/>
      </c>
      <c r="L384" s="95">
        <f>IF(H384=1,INDEX(tx_CrAmt,378),0)</f>
        <v/>
      </c>
      <c r="M384" s="95">
        <f>IF(H384=1,INDEX(tx_TaxDr,378),0)</f>
        <v/>
      </c>
      <c r="N384" s="95">
        <f>IF(H384=1,INDEX(tx_TaxCr,378),0)</f>
        <v/>
      </c>
      <c r="O384" s="101">
        <f>IF(H384=1,IF(E384&lt;FYStart,0,IF(E384&gt;FYEnd,13,YEAR(E384)*12+MONTH(E384)-FYYM+1)),"")</f>
        <v/>
      </c>
      <c r="P384" s="101">
        <f>IF(H384=1,IF(IFERROR(INDEX(coa_CF,MATCH(I384,coa_Name,0)),"")="Cash",1,0),0)</f>
        <v/>
      </c>
      <c r="Q384" s="101">
        <f>IF(H384=1,IF(IFERROR(INDEX(coa_CF,MATCH(K384,coa_Name,0)),"")="Cash",1,0),0)</f>
        <v/>
      </c>
      <c r="R384" s="58">
        <f>IF((P384-Q384)=0,"",IFERROR(INDEX(coa_CF,MATCH(IF((P384-Q384)=1,K384,I384),coa_Name,0)),"Operating"))</f>
        <v/>
      </c>
      <c r="S384" s="95">
        <f>IF((P384-Q384)=1,L384,IF((P384-Q384)=-1,-J384,0))</f>
        <v/>
      </c>
      <c r="T384" s="95">
        <f>IF((P384-Q384)=1,N384,IF((P384-Q384)=-1,-M384,0))</f>
        <v/>
      </c>
      <c r="U384" s="101">
        <f>IF(AND(H384=1,LedAcct&lt;&gt;""),IF(AND(E384&gt;=LedFrom,E384&lt;=LedTo,OR(I384=LedAcct,K384=LedAcct,AND(LedAcct=acctTax,M384+N384&lt;&gt;0))),E384*10000+B384,""),"")</f>
        <v/>
      </c>
    </row>
    <row r="385">
      <c r="B385" s="101" t="n">
        <v>379</v>
      </c>
      <c r="C385" s="58" t="inlineStr">
        <is>
          <t>Transaction</t>
        </is>
      </c>
      <c r="D385" s="58">
        <f>IF(H385=1,INDEX(tx_ID,379)&amp;"","")</f>
        <v/>
      </c>
      <c r="E385" s="94">
        <f>IF(H385=1,INDEX(tx_Date,379),"")</f>
        <v/>
      </c>
      <c r="F385" s="58">
        <f>IF(H385=1,INDEX(tx_Desc,379)&amp;"","")</f>
        <v/>
      </c>
      <c r="G385" s="58">
        <f>IF(H385=1,IF(INDEX(tx_Cust,379)&amp;""&lt;&gt;"",INDEX(tx_Cust,379)&amp;"",INDEX(tx_Vend,379)&amp;""),"")</f>
        <v/>
      </c>
      <c r="H385" s="101">
        <f>IFERROR(N(INDEX(tx_Posted,379)),0)</f>
        <v/>
      </c>
      <c r="I385" s="58">
        <f>IF(H385=1,INDEX(tx_DrAcct,379)&amp;"","")</f>
        <v/>
      </c>
      <c r="J385" s="95">
        <f>IF(H385=1,INDEX(tx_DrAmt,379),0)</f>
        <v/>
      </c>
      <c r="K385" s="58">
        <f>IF(H385=1,INDEX(tx_CrAcct,379)&amp;"","")</f>
        <v/>
      </c>
      <c r="L385" s="95">
        <f>IF(H385=1,INDEX(tx_CrAmt,379),0)</f>
        <v/>
      </c>
      <c r="M385" s="95">
        <f>IF(H385=1,INDEX(tx_TaxDr,379),0)</f>
        <v/>
      </c>
      <c r="N385" s="95">
        <f>IF(H385=1,INDEX(tx_TaxCr,379),0)</f>
        <v/>
      </c>
      <c r="O385" s="101">
        <f>IF(H385=1,IF(E385&lt;FYStart,0,IF(E385&gt;FYEnd,13,YEAR(E385)*12+MONTH(E385)-FYYM+1)),"")</f>
        <v/>
      </c>
      <c r="P385" s="101">
        <f>IF(H385=1,IF(IFERROR(INDEX(coa_CF,MATCH(I385,coa_Name,0)),"")="Cash",1,0),0)</f>
        <v/>
      </c>
      <c r="Q385" s="101">
        <f>IF(H385=1,IF(IFERROR(INDEX(coa_CF,MATCH(K385,coa_Name,0)),"")="Cash",1,0),0)</f>
        <v/>
      </c>
      <c r="R385" s="58">
        <f>IF((P385-Q385)=0,"",IFERROR(INDEX(coa_CF,MATCH(IF((P385-Q385)=1,K385,I385),coa_Name,0)),"Operating"))</f>
        <v/>
      </c>
      <c r="S385" s="95">
        <f>IF((P385-Q385)=1,L385,IF((P385-Q385)=-1,-J385,0))</f>
        <v/>
      </c>
      <c r="T385" s="95">
        <f>IF((P385-Q385)=1,N385,IF((P385-Q385)=-1,-M385,0))</f>
        <v/>
      </c>
      <c r="U385" s="101">
        <f>IF(AND(H385=1,LedAcct&lt;&gt;""),IF(AND(E385&gt;=LedFrom,E385&lt;=LedTo,OR(I385=LedAcct,K385=LedAcct,AND(LedAcct=acctTax,M385+N385&lt;&gt;0))),E385*10000+B385,""),"")</f>
        <v/>
      </c>
    </row>
    <row r="386">
      <c r="B386" s="101" t="n">
        <v>380</v>
      </c>
      <c r="C386" s="58" t="inlineStr">
        <is>
          <t>Transaction</t>
        </is>
      </c>
      <c r="D386" s="58">
        <f>IF(H386=1,INDEX(tx_ID,380)&amp;"","")</f>
        <v/>
      </c>
      <c r="E386" s="94">
        <f>IF(H386=1,INDEX(tx_Date,380),"")</f>
        <v/>
      </c>
      <c r="F386" s="58">
        <f>IF(H386=1,INDEX(tx_Desc,380)&amp;"","")</f>
        <v/>
      </c>
      <c r="G386" s="58">
        <f>IF(H386=1,IF(INDEX(tx_Cust,380)&amp;""&lt;&gt;"",INDEX(tx_Cust,380)&amp;"",INDEX(tx_Vend,380)&amp;""),"")</f>
        <v/>
      </c>
      <c r="H386" s="101">
        <f>IFERROR(N(INDEX(tx_Posted,380)),0)</f>
        <v/>
      </c>
      <c r="I386" s="58">
        <f>IF(H386=1,INDEX(tx_DrAcct,380)&amp;"","")</f>
        <v/>
      </c>
      <c r="J386" s="95">
        <f>IF(H386=1,INDEX(tx_DrAmt,380),0)</f>
        <v/>
      </c>
      <c r="K386" s="58">
        <f>IF(H386=1,INDEX(tx_CrAcct,380)&amp;"","")</f>
        <v/>
      </c>
      <c r="L386" s="95">
        <f>IF(H386=1,INDEX(tx_CrAmt,380),0)</f>
        <v/>
      </c>
      <c r="M386" s="95">
        <f>IF(H386=1,INDEX(tx_TaxDr,380),0)</f>
        <v/>
      </c>
      <c r="N386" s="95">
        <f>IF(H386=1,INDEX(tx_TaxCr,380),0)</f>
        <v/>
      </c>
      <c r="O386" s="101">
        <f>IF(H386=1,IF(E386&lt;FYStart,0,IF(E386&gt;FYEnd,13,YEAR(E386)*12+MONTH(E386)-FYYM+1)),"")</f>
        <v/>
      </c>
      <c r="P386" s="101">
        <f>IF(H386=1,IF(IFERROR(INDEX(coa_CF,MATCH(I386,coa_Name,0)),"")="Cash",1,0),0)</f>
        <v/>
      </c>
      <c r="Q386" s="101">
        <f>IF(H386=1,IF(IFERROR(INDEX(coa_CF,MATCH(K386,coa_Name,0)),"")="Cash",1,0),0)</f>
        <v/>
      </c>
      <c r="R386" s="58">
        <f>IF((P386-Q386)=0,"",IFERROR(INDEX(coa_CF,MATCH(IF((P386-Q386)=1,K386,I386),coa_Name,0)),"Operating"))</f>
        <v/>
      </c>
      <c r="S386" s="95">
        <f>IF((P386-Q386)=1,L386,IF((P386-Q386)=-1,-J386,0))</f>
        <v/>
      </c>
      <c r="T386" s="95">
        <f>IF((P386-Q386)=1,N386,IF((P386-Q386)=-1,-M386,0))</f>
        <v/>
      </c>
      <c r="U386" s="101">
        <f>IF(AND(H386=1,LedAcct&lt;&gt;""),IF(AND(E386&gt;=LedFrom,E386&lt;=LedTo,OR(I386=LedAcct,K386=LedAcct,AND(LedAcct=acctTax,M386+N386&lt;&gt;0))),E386*10000+B386,""),"")</f>
        <v/>
      </c>
    </row>
    <row r="387">
      <c r="B387" s="101" t="n">
        <v>381</v>
      </c>
      <c r="C387" s="58" t="inlineStr">
        <is>
          <t>Transaction</t>
        </is>
      </c>
      <c r="D387" s="58">
        <f>IF(H387=1,INDEX(tx_ID,381)&amp;"","")</f>
        <v/>
      </c>
      <c r="E387" s="94">
        <f>IF(H387=1,INDEX(tx_Date,381),"")</f>
        <v/>
      </c>
      <c r="F387" s="58">
        <f>IF(H387=1,INDEX(tx_Desc,381)&amp;"","")</f>
        <v/>
      </c>
      <c r="G387" s="58">
        <f>IF(H387=1,IF(INDEX(tx_Cust,381)&amp;""&lt;&gt;"",INDEX(tx_Cust,381)&amp;"",INDEX(tx_Vend,381)&amp;""),"")</f>
        <v/>
      </c>
      <c r="H387" s="101">
        <f>IFERROR(N(INDEX(tx_Posted,381)),0)</f>
        <v/>
      </c>
      <c r="I387" s="58">
        <f>IF(H387=1,INDEX(tx_DrAcct,381)&amp;"","")</f>
        <v/>
      </c>
      <c r="J387" s="95">
        <f>IF(H387=1,INDEX(tx_DrAmt,381),0)</f>
        <v/>
      </c>
      <c r="K387" s="58">
        <f>IF(H387=1,INDEX(tx_CrAcct,381)&amp;"","")</f>
        <v/>
      </c>
      <c r="L387" s="95">
        <f>IF(H387=1,INDEX(tx_CrAmt,381),0)</f>
        <v/>
      </c>
      <c r="M387" s="95">
        <f>IF(H387=1,INDEX(tx_TaxDr,381),0)</f>
        <v/>
      </c>
      <c r="N387" s="95">
        <f>IF(H387=1,INDEX(tx_TaxCr,381),0)</f>
        <v/>
      </c>
      <c r="O387" s="101">
        <f>IF(H387=1,IF(E387&lt;FYStart,0,IF(E387&gt;FYEnd,13,YEAR(E387)*12+MONTH(E387)-FYYM+1)),"")</f>
        <v/>
      </c>
      <c r="P387" s="101">
        <f>IF(H387=1,IF(IFERROR(INDEX(coa_CF,MATCH(I387,coa_Name,0)),"")="Cash",1,0),0)</f>
        <v/>
      </c>
      <c r="Q387" s="101">
        <f>IF(H387=1,IF(IFERROR(INDEX(coa_CF,MATCH(K387,coa_Name,0)),"")="Cash",1,0),0)</f>
        <v/>
      </c>
      <c r="R387" s="58">
        <f>IF((P387-Q387)=0,"",IFERROR(INDEX(coa_CF,MATCH(IF((P387-Q387)=1,K387,I387),coa_Name,0)),"Operating"))</f>
        <v/>
      </c>
      <c r="S387" s="95">
        <f>IF((P387-Q387)=1,L387,IF((P387-Q387)=-1,-J387,0))</f>
        <v/>
      </c>
      <c r="T387" s="95">
        <f>IF((P387-Q387)=1,N387,IF((P387-Q387)=-1,-M387,0))</f>
        <v/>
      </c>
      <c r="U387" s="101">
        <f>IF(AND(H387=1,LedAcct&lt;&gt;""),IF(AND(E387&gt;=LedFrom,E387&lt;=LedTo,OR(I387=LedAcct,K387=LedAcct,AND(LedAcct=acctTax,M387+N387&lt;&gt;0))),E387*10000+B387,""),"")</f>
        <v/>
      </c>
    </row>
    <row r="388">
      <c r="B388" s="101" t="n">
        <v>382</v>
      </c>
      <c r="C388" s="58" t="inlineStr">
        <is>
          <t>Transaction</t>
        </is>
      </c>
      <c r="D388" s="58">
        <f>IF(H388=1,INDEX(tx_ID,382)&amp;"","")</f>
        <v/>
      </c>
      <c r="E388" s="94">
        <f>IF(H388=1,INDEX(tx_Date,382),"")</f>
        <v/>
      </c>
      <c r="F388" s="58">
        <f>IF(H388=1,INDEX(tx_Desc,382)&amp;"","")</f>
        <v/>
      </c>
      <c r="G388" s="58">
        <f>IF(H388=1,IF(INDEX(tx_Cust,382)&amp;""&lt;&gt;"",INDEX(tx_Cust,382)&amp;"",INDEX(tx_Vend,382)&amp;""),"")</f>
        <v/>
      </c>
      <c r="H388" s="101">
        <f>IFERROR(N(INDEX(tx_Posted,382)),0)</f>
        <v/>
      </c>
      <c r="I388" s="58">
        <f>IF(H388=1,INDEX(tx_DrAcct,382)&amp;"","")</f>
        <v/>
      </c>
      <c r="J388" s="95">
        <f>IF(H388=1,INDEX(tx_DrAmt,382),0)</f>
        <v/>
      </c>
      <c r="K388" s="58">
        <f>IF(H388=1,INDEX(tx_CrAcct,382)&amp;"","")</f>
        <v/>
      </c>
      <c r="L388" s="95">
        <f>IF(H388=1,INDEX(tx_CrAmt,382),0)</f>
        <v/>
      </c>
      <c r="M388" s="95">
        <f>IF(H388=1,INDEX(tx_TaxDr,382),0)</f>
        <v/>
      </c>
      <c r="N388" s="95">
        <f>IF(H388=1,INDEX(tx_TaxCr,382),0)</f>
        <v/>
      </c>
      <c r="O388" s="101">
        <f>IF(H388=1,IF(E388&lt;FYStart,0,IF(E388&gt;FYEnd,13,YEAR(E388)*12+MONTH(E388)-FYYM+1)),"")</f>
        <v/>
      </c>
      <c r="P388" s="101">
        <f>IF(H388=1,IF(IFERROR(INDEX(coa_CF,MATCH(I388,coa_Name,0)),"")="Cash",1,0),0)</f>
        <v/>
      </c>
      <c r="Q388" s="101">
        <f>IF(H388=1,IF(IFERROR(INDEX(coa_CF,MATCH(K388,coa_Name,0)),"")="Cash",1,0),0)</f>
        <v/>
      </c>
      <c r="R388" s="58">
        <f>IF((P388-Q388)=0,"",IFERROR(INDEX(coa_CF,MATCH(IF((P388-Q388)=1,K388,I388),coa_Name,0)),"Operating"))</f>
        <v/>
      </c>
      <c r="S388" s="95">
        <f>IF((P388-Q388)=1,L388,IF((P388-Q388)=-1,-J388,0))</f>
        <v/>
      </c>
      <c r="T388" s="95">
        <f>IF((P388-Q388)=1,N388,IF((P388-Q388)=-1,-M388,0))</f>
        <v/>
      </c>
      <c r="U388" s="101">
        <f>IF(AND(H388=1,LedAcct&lt;&gt;""),IF(AND(E388&gt;=LedFrom,E388&lt;=LedTo,OR(I388=LedAcct,K388=LedAcct,AND(LedAcct=acctTax,M388+N388&lt;&gt;0))),E388*10000+B388,""),"")</f>
        <v/>
      </c>
    </row>
    <row r="389">
      <c r="B389" s="101" t="n">
        <v>383</v>
      </c>
      <c r="C389" s="58" t="inlineStr">
        <is>
          <t>Transaction</t>
        </is>
      </c>
      <c r="D389" s="58">
        <f>IF(H389=1,INDEX(tx_ID,383)&amp;"","")</f>
        <v/>
      </c>
      <c r="E389" s="94">
        <f>IF(H389=1,INDEX(tx_Date,383),"")</f>
        <v/>
      </c>
      <c r="F389" s="58">
        <f>IF(H389=1,INDEX(tx_Desc,383)&amp;"","")</f>
        <v/>
      </c>
      <c r="G389" s="58">
        <f>IF(H389=1,IF(INDEX(tx_Cust,383)&amp;""&lt;&gt;"",INDEX(tx_Cust,383)&amp;"",INDEX(tx_Vend,383)&amp;""),"")</f>
        <v/>
      </c>
      <c r="H389" s="101">
        <f>IFERROR(N(INDEX(tx_Posted,383)),0)</f>
        <v/>
      </c>
      <c r="I389" s="58">
        <f>IF(H389=1,INDEX(tx_DrAcct,383)&amp;"","")</f>
        <v/>
      </c>
      <c r="J389" s="95">
        <f>IF(H389=1,INDEX(tx_DrAmt,383),0)</f>
        <v/>
      </c>
      <c r="K389" s="58">
        <f>IF(H389=1,INDEX(tx_CrAcct,383)&amp;"","")</f>
        <v/>
      </c>
      <c r="L389" s="95">
        <f>IF(H389=1,INDEX(tx_CrAmt,383),0)</f>
        <v/>
      </c>
      <c r="M389" s="95">
        <f>IF(H389=1,INDEX(tx_TaxDr,383),0)</f>
        <v/>
      </c>
      <c r="N389" s="95">
        <f>IF(H389=1,INDEX(tx_TaxCr,383),0)</f>
        <v/>
      </c>
      <c r="O389" s="101">
        <f>IF(H389=1,IF(E389&lt;FYStart,0,IF(E389&gt;FYEnd,13,YEAR(E389)*12+MONTH(E389)-FYYM+1)),"")</f>
        <v/>
      </c>
      <c r="P389" s="101">
        <f>IF(H389=1,IF(IFERROR(INDEX(coa_CF,MATCH(I389,coa_Name,0)),"")="Cash",1,0),0)</f>
        <v/>
      </c>
      <c r="Q389" s="101">
        <f>IF(H389=1,IF(IFERROR(INDEX(coa_CF,MATCH(K389,coa_Name,0)),"")="Cash",1,0),0)</f>
        <v/>
      </c>
      <c r="R389" s="58">
        <f>IF((P389-Q389)=0,"",IFERROR(INDEX(coa_CF,MATCH(IF((P389-Q389)=1,K389,I389),coa_Name,0)),"Operating"))</f>
        <v/>
      </c>
      <c r="S389" s="95">
        <f>IF((P389-Q389)=1,L389,IF((P389-Q389)=-1,-J389,0))</f>
        <v/>
      </c>
      <c r="T389" s="95">
        <f>IF((P389-Q389)=1,N389,IF((P389-Q389)=-1,-M389,0))</f>
        <v/>
      </c>
      <c r="U389" s="101">
        <f>IF(AND(H389=1,LedAcct&lt;&gt;""),IF(AND(E389&gt;=LedFrom,E389&lt;=LedTo,OR(I389=LedAcct,K389=LedAcct,AND(LedAcct=acctTax,M389+N389&lt;&gt;0))),E389*10000+B389,""),"")</f>
        <v/>
      </c>
    </row>
    <row r="390">
      <c r="B390" s="101" t="n">
        <v>384</v>
      </c>
      <c r="C390" s="58" t="inlineStr">
        <is>
          <t>Transaction</t>
        </is>
      </c>
      <c r="D390" s="58">
        <f>IF(H390=1,INDEX(tx_ID,384)&amp;"","")</f>
        <v/>
      </c>
      <c r="E390" s="94">
        <f>IF(H390=1,INDEX(tx_Date,384),"")</f>
        <v/>
      </c>
      <c r="F390" s="58">
        <f>IF(H390=1,INDEX(tx_Desc,384)&amp;"","")</f>
        <v/>
      </c>
      <c r="G390" s="58">
        <f>IF(H390=1,IF(INDEX(tx_Cust,384)&amp;""&lt;&gt;"",INDEX(tx_Cust,384)&amp;"",INDEX(tx_Vend,384)&amp;""),"")</f>
        <v/>
      </c>
      <c r="H390" s="101">
        <f>IFERROR(N(INDEX(tx_Posted,384)),0)</f>
        <v/>
      </c>
      <c r="I390" s="58">
        <f>IF(H390=1,INDEX(tx_DrAcct,384)&amp;"","")</f>
        <v/>
      </c>
      <c r="J390" s="95">
        <f>IF(H390=1,INDEX(tx_DrAmt,384),0)</f>
        <v/>
      </c>
      <c r="K390" s="58">
        <f>IF(H390=1,INDEX(tx_CrAcct,384)&amp;"","")</f>
        <v/>
      </c>
      <c r="L390" s="95">
        <f>IF(H390=1,INDEX(tx_CrAmt,384),0)</f>
        <v/>
      </c>
      <c r="M390" s="95">
        <f>IF(H390=1,INDEX(tx_TaxDr,384),0)</f>
        <v/>
      </c>
      <c r="N390" s="95">
        <f>IF(H390=1,INDEX(tx_TaxCr,384),0)</f>
        <v/>
      </c>
      <c r="O390" s="101">
        <f>IF(H390=1,IF(E390&lt;FYStart,0,IF(E390&gt;FYEnd,13,YEAR(E390)*12+MONTH(E390)-FYYM+1)),"")</f>
        <v/>
      </c>
      <c r="P390" s="101">
        <f>IF(H390=1,IF(IFERROR(INDEX(coa_CF,MATCH(I390,coa_Name,0)),"")="Cash",1,0),0)</f>
        <v/>
      </c>
      <c r="Q390" s="101">
        <f>IF(H390=1,IF(IFERROR(INDEX(coa_CF,MATCH(K390,coa_Name,0)),"")="Cash",1,0),0)</f>
        <v/>
      </c>
      <c r="R390" s="58">
        <f>IF((P390-Q390)=0,"",IFERROR(INDEX(coa_CF,MATCH(IF((P390-Q390)=1,K390,I390),coa_Name,0)),"Operating"))</f>
        <v/>
      </c>
      <c r="S390" s="95">
        <f>IF((P390-Q390)=1,L390,IF((P390-Q390)=-1,-J390,0))</f>
        <v/>
      </c>
      <c r="T390" s="95">
        <f>IF((P390-Q390)=1,N390,IF((P390-Q390)=-1,-M390,0))</f>
        <v/>
      </c>
      <c r="U390" s="101">
        <f>IF(AND(H390=1,LedAcct&lt;&gt;""),IF(AND(E390&gt;=LedFrom,E390&lt;=LedTo,OR(I390=LedAcct,K390=LedAcct,AND(LedAcct=acctTax,M390+N390&lt;&gt;0))),E390*10000+B390,""),"")</f>
        <v/>
      </c>
    </row>
    <row r="391">
      <c r="B391" s="101" t="n">
        <v>385</v>
      </c>
      <c r="C391" s="58" t="inlineStr">
        <is>
          <t>Transaction</t>
        </is>
      </c>
      <c r="D391" s="58">
        <f>IF(H391=1,INDEX(tx_ID,385)&amp;"","")</f>
        <v/>
      </c>
      <c r="E391" s="94">
        <f>IF(H391=1,INDEX(tx_Date,385),"")</f>
        <v/>
      </c>
      <c r="F391" s="58">
        <f>IF(H391=1,INDEX(tx_Desc,385)&amp;"","")</f>
        <v/>
      </c>
      <c r="G391" s="58">
        <f>IF(H391=1,IF(INDEX(tx_Cust,385)&amp;""&lt;&gt;"",INDEX(tx_Cust,385)&amp;"",INDEX(tx_Vend,385)&amp;""),"")</f>
        <v/>
      </c>
      <c r="H391" s="101">
        <f>IFERROR(N(INDEX(tx_Posted,385)),0)</f>
        <v/>
      </c>
      <c r="I391" s="58">
        <f>IF(H391=1,INDEX(tx_DrAcct,385)&amp;"","")</f>
        <v/>
      </c>
      <c r="J391" s="95">
        <f>IF(H391=1,INDEX(tx_DrAmt,385),0)</f>
        <v/>
      </c>
      <c r="K391" s="58">
        <f>IF(H391=1,INDEX(tx_CrAcct,385)&amp;"","")</f>
        <v/>
      </c>
      <c r="L391" s="95">
        <f>IF(H391=1,INDEX(tx_CrAmt,385),0)</f>
        <v/>
      </c>
      <c r="M391" s="95">
        <f>IF(H391=1,INDEX(tx_TaxDr,385),0)</f>
        <v/>
      </c>
      <c r="N391" s="95">
        <f>IF(H391=1,INDEX(tx_TaxCr,385),0)</f>
        <v/>
      </c>
      <c r="O391" s="101">
        <f>IF(H391=1,IF(E391&lt;FYStart,0,IF(E391&gt;FYEnd,13,YEAR(E391)*12+MONTH(E391)-FYYM+1)),"")</f>
        <v/>
      </c>
      <c r="P391" s="101">
        <f>IF(H391=1,IF(IFERROR(INDEX(coa_CF,MATCH(I391,coa_Name,0)),"")="Cash",1,0),0)</f>
        <v/>
      </c>
      <c r="Q391" s="101">
        <f>IF(H391=1,IF(IFERROR(INDEX(coa_CF,MATCH(K391,coa_Name,0)),"")="Cash",1,0),0)</f>
        <v/>
      </c>
      <c r="R391" s="58">
        <f>IF((P391-Q391)=0,"",IFERROR(INDEX(coa_CF,MATCH(IF((P391-Q391)=1,K391,I391),coa_Name,0)),"Operating"))</f>
        <v/>
      </c>
      <c r="S391" s="95">
        <f>IF((P391-Q391)=1,L391,IF((P391-Q391)=-1,-J391,0))</f>
        <v/>
      </c>
      <c r="T391" s="95">
        <f>IF((P391-Q391)=1,N391,IF((P391-Q391)=-1,-M391,0))</f>
        <v/>
      </c>
      <c r="U391" s="101">
        <f>IF(AND(H391=1,LedAcct&lt;&gt;""),IF(AND(E391&gt;=LedFrom,E391&lt;=LedTo,OR(I391=LedAcct,K391=LedAcct,AND(LedAcct=acctTax,M391+N391&lt;&gt;0))),E391*10000+B391,""),"")</f>
        <v/>
      </c>
    </row>
    <row r="392">
      <c r="B392" s="101" t="n">
        <v>386</v>
      </c>
      <c r="C392" s="58" t="inlineStr">
        <is>
          <t>Transaction</t>
        </is>
      </c>
      <c r="D392" s="58">
        <f>IF(H392=1,INDEX(tx_ID,386)&amp;"","")</f>
        <v/>
      </c>
      <c r="E392" s="94">
        <f>IF(H392=1,INDEX(tx_Date,386),"")</f>
        <v/>
      </c>
      <c r="F392" s="58">
        <f>IF(H392=1,INDEX(tx_Desc,386)&amp;"","")</f>
        <v/>
      </c>
      <c r="G392" s="58">
        <f>IF(H392=1,IF(INDEX(tx_Cust,386)&amp;""&lt;&gt;"",INDEX(tx_Cust,386)&amp;"",INDEX(tx_Vend,386)&amp;""),"")</f>
        <v/>
      </c>
      <c r="H392" s="101">
        <f>IFERROR(N(INDEX(tx_Posted,386)),0)</f>
        <v/>
      </c>
      <c r="I392" s="58">
        <f>IF(H392=1,INDEX(tx_DrAcct,386)&amp;"","")</f>
        <v/>
      </c>
      <c r="J392" s="95">
        <f>IF(H392=1,INDEX(tx_DrAmt,386),0)</f>
        <v/>
      </c>
      <c r="K392" s="58">
        <f>IF(H392=1,INDEX(tx_CrAcct,386)&amp;"","")</f>
        <v/>
      </c>
      <c r="L392" s="95">
        <f>IF(H392=1,INDEX(tx_CrAmt,386),0)</f>
        <v/>
      </c>
      <c r="M392" s="95">
        <f>IF(H392=1,INDEX(tx_TaxDr,386),0)</f>
        <v/>
      </c>
      <c r="N392" s="95">
        <f>IF(H392=1,INDEX(tx_TaxCr,386),0)</f>
        <v/>
      </c>
      <c r="O392" s="101">
        <f>IF(H392=1,IF(E392&lt;FYStart,0,IF(E392&gt;FYEnd,13,YEAR(E392)*12+MONTH(E392)-FYYM+1)),"")</f>
        <v/>
      </c>
      <c r="P392" s="101">
        <f>IF(H392=1,IF(IFERROR(INDEX(coa_CF,MATCH(I392,coa_Name,0)),"")="Cash",1,0),0)</f>
        <v/>
      </c>
      <c r="Q392" s="101">
        <f>IF(H392=1,IF(IFERROR(INDEX(coa_CF,MATCH(K392,coa_Name,0)),"")="Cash",1,0),0)</f>
        <v/>
      </c>
      <c r="R392" s="58">
        <f>IF((P392-Q392)=0,"",IFERROR(INDEX(coa_CF,MATCH(IF((P392-Q392)=1,K392,I392),coa_Name,0)),"Operating"))</f>
        <v/>
      </c>
      <c r="S392" s="95">
        <f>IF((P392-Q392)=1,L392,IF((P392-Q392)=-1,-J392,0))</f>
        <v/>
      </c>
      <c r="T392" s="95">
        <f>IF((P392-Q392)=1,N392,IF((P392-Q392)=-1,-M392,0))</f>
        <v/>
      </c>
      <c r="U392" s="101">
        <f>IF(AND(H392=1,LedAcct&lt;&gt;""),IF(AND(E392&gt;=LedFrom,E392&lt;=LedTo,OR(I392=LedAcct,K392=LedAcct,AND(LedAcct=acctTax,M392+N392&lt;&gt;0))),E392*10000+B392,""),"")</f>
        <v/>
      </c>
    </row>
    <row r="393">
      <c r="B393" s="101" t="n">
        <v>387</v>
      </c>
      <c r="C393" s="58" t="inlineStr">
        <is>
          <t>Transaction</t>
        </is>
      </c>
      <c r="D393" s="58">
        <f>IF(H393=1,INDEX(tx_ID,387)&amp;"","")</f>
        <v/>
      </c>
      <c r="E393" s="94">
        <f>IF(H393=1,INDEX(tx_Date,387),"")</f>
        <v/>
      </c>
      <c r="F393" s="58">
        <f>IF(H393=1,INDEX(tx_Desc,387)&amp;"","")</f>
        <v/>
      </c>
      <c r="G393" s="58">
        <f>IF(H393=1,IF(INDEX(tx_Cust,387)&amp;""&lt;&gt;"",INDEX(tx_Cust,387)&amp;"",INDEX(tx_Vend,387)&amp;""),"")</f>
        <v/>
      </c>
      <c r="H393" s="101">
        <f>IFERROR(N(INDEX(tx_Posted,387)),0)</f>
        <v/>
      </c>
      <c r="I393" s="58">
        <f>IF(H393=1,INDEX(tx_DrAcct,387)&amp;"","")</f>
        <v/>
      </c>
      <c r="J393" s="95">
        <f>IF(H393=1,INDEX(tx_DrAmt,387),0)</f>
        <v/>
      </c>
      <c r="K393" s="58">
        <f>IF(H393=1,INDEX(tx_CrAcct,387)&amp;"","")</f>
        <v/>
      </c>
      <c r="L393" s="95">
        <f>IF(H393=1,INDEX(tx_CrAmt,387),0)</f>
        <v/>
      </c>
      <c r="M393" s="95">
        <f>IF(H393=1,INDEX(tx_TaxDr,387),0)</f>
        <v/>
      </c>
      <c r="N393" s="95">
        <f>IF(H393=1,INDEX(tx_TaxCr,387),0)</f>
        <v/>
      </c>
      <c r="O393" s="101">
        <f>IF(H393=1,IF(E393&lt;FYStart,0,IF(E393&gt;FYEnd,13,YEAR(E393)*12+MONTH(E393)-FYYM+1)),"")</f>
        <v/>
      </c>
      <c r="P393" s="101">
        <f>IF(H393=1,IF(IFERROR(INDEX(coa_CF,MATCH(I393,coa_Name,0)),"")="Cash",1,0),0)</f>
        <v/>
      </c>
      <c r="Q393" s="101">
        <f>IF(H393=1,IF(IFERROR(INDEX(coa_CF,MATCH(K393,coa_Name,0)),"")="Cash",1,0),0)</f>
        <v/>
      </c>
      <c r="R393" s="58">
        <f>IF((P393-Q393)=0,"",IFERROR(INDEX(coa_CF,MATCH(IF((P393-Q393)=1,K393,I393),coa_Name,0)),"Operating"))</f>
        <v/>
      </c>
      <c r="S393" s="95">
        <f>IF((P393-Q393)=1,L393,IF((P393-Q393)=-1,-J393,0))</f>
        <v/>
      </c>
      <c r="T393" s="95">
        <f>IF((P393-Q393)=1,N393,IF((P393-Q393)=-1,-M393,0))</f>
        <v/>
      </c>
      <c r="U393" s="101">
        <f>IF(AND(H393=1,LedAcct&lt;&gt;""),IF(AND(E393&gt;=LedFrom,E393&lt;=LedTo,OR(I393=LedAcct,K393=LedAcct,AND(LedAcct=acctTax,M393+N393&lt;&gt;0))),E393*10000+B393,""),"")</f>
        <v/>
      </c>
    </row>
    <row r="394">
      <c r="B394" s="101" t="n">
        <v>388</v>
      </c>
      <c r="C394" s="58" t="inlineStr">
        <is>
          <t>Transaction</t>
        </is>
      </c>
      <c r="D394" s="58">
        <f>IF(H394=1,INDEX(tx_ID,388)&amp;"","")</f>
        <v/>
      </c>
      <c r="E394" s="94">
        <f>IF(H394=1,INDEX(tx_Date,388),"")</f>
        <v/>
      </c>
      <c r="F394" s="58">
        <f>IF(H394=1,INDEX(tx_Desc,388)&amp;"","")</f>
        <v/>
      </c>
      <c r="G394" s="58">
        <f>IF(H394=1,IF(INDEX(tx_Cust,388)&amp;""&lt;&gt;"",INDEX(tx_Cust,388)&amp;"",INDEX(tx_Vend,388)&amp;""),"")</f>
        <v/>
      </c>
      <c r="H394" s="101">
        <f>IFERROR(N(INDEX(tx_Posted,388)),0)</f>
        <v/>
      </c>
      <c r="I394" s="58">
        <f>IF(H394=1,INDEX(tx_DrAcct,388)&amp;"","")</f>
        <v/>
      </c>
      <c r="J394" s="95">
        <f>IF(H394=1,INDEX(tx_DrAmt,388),0)</f>
        <v/>
      </c>
      <c r="K394" s="58">
        <f>IF(H394=1,INDEX(tx_CrAcct,388)&amp;"","")</f>
        <v/>
      </c>
      <c r="L394" s="95">
        <f>IF(H394=1,INDEX(tx_CrAmt,388),0)</f>
        <v/>
      </c>
      <c r="M394" s="95">
        <f>IF(H394=1,INDEX(tx_TaxDr,388),0)</f>
        <v/>
      </c>
      <c r="N394" s="95">
        <f>IF(H394=1,INDEX(tx_TaxCr,388),0)</f>
        <v/>
      </c>
      <c r="O394" s="101">
        <f>IF(H394=1,IF(E394&lt;FYStart,0,IF(E394&gt;FYEnd,13,YEAR(E394)*12+MONTH(E394)-FYYM+1)),"")</f>
        <v/>
      </c>
      <c r="P394" s="101">
        <f>IF(H394=1,IF(IFERROR(INDEX(coa_CF,MATCH(I394,coa_Name,0)),"")="Cash",1,0),0)</f>
        <v/>
      </c>
      <c r="Q394" s="101">
        <f>IF(H394=1,IF(IFERROR(INDEX(coa_CF,MATCH(K394,coa_Name,0)),"")="Cash",1,0),0)</f>
        <v/>
      </c>
      <c r="R394" s="58">
        <f>IF((P394-Q394)=0,"",IFERROR(INDEX(coa_CF,MATCH(IF((P394-Q394)=1,K394,I394),coa_Name,0)),"Operating"))</f>
        <v/>
      </c>
      <c r="S394" s="95">
        <f>IF((P394-Q394)=1,L394,IF((P394-Q394)=-1,-J394,0))</f>
        <v/>
      </c>
      <c r="T394" s="95">
        <f>IF((P394-Q394)=1,N394,IF((P394-Q394)=-1,-M394,0))</f>
        <v/>
      </c>
      <c r="U394" s="101">
        <f>IF(AND(H394=1,LedAcct&lt;&gt;""),IF(AND(E394&gt;=LedFrom,E394&lt;=LedTo,OR(I394=LedAcct,K394=LedAcct,AND(LedAcct=acctTax,M394+N394&lt;&gt;0))),E394*10000+B394,""),"")</f>
        <v/>
      </c>
    </row>
    <row r="395">
      <c r="B395" s="101" t="n">
        <v>389</v>
      </c>
      <c r="C395" s="58" t="inlineStr">
        <is>
          <t>Transaction</t>
        </is>
      </c>
      <c r="D395" s="58">
        <f>IF(H395=1,INDEX(tx_ID,389)&amp;"","")</f>
        <v/>
      </c>
      <c r="E395" s="94">
        <f>IF(H395=1,INDEX(tx_Date,389),"")</f>
        <v/>
      </c>
      <c r="F395" s="58">
        <f>IF(H395=1,INDEX(tx_Desc,389)&amp;"","")</f>
        <v/>
      </c>
      <c r="G395" s="58">
        <f>IF(H395=1,IF(INDEX(tx_Cust,389)&amp;""&lt;&gt;"",INDEX(tx_Cust,389)&amp;"",INDEX(tx_Vend,389)&amp;""),"")</f>
        <v/>
      </c>
      <c r="H395" s="101">
        <f>IFERROR(N(INDEX(tx_Posted,389)),0)</f>
        <v/>
      </c>
      <c r="I395" s="58">
        <f>IF(H395=1,INDEX(tx_DrAcct,389)&amp;"","")</f>
        <v/>
      </c>
      <c r="J395" s="95">
        <f>IF(H395=1,INDEX(tx_DrAmt,389),0)</f>
        <v/>
      </c>
      <c r="K395" s="58">
        <f>IF(H395=1,INDEX(tx_CrAcct,389)&amp;"","")</f>
        <v/>
      </c>
      <c r="L395" s="95">
        <f>IF(H395=1,INDEX(tx_CrAmt,389),0)</f>
        <v/>
      </c>
      <c r="M395" s="95">
        <f>IF(H395=1,INDEX(tx_TaxDr,389),0)</f>
        <v/>
      </c>
      <c r="N395" s="95">
        <f>IF(H395=1,INDEX(tx_TaxCr,389),0)</f>
        <v/>
      </c>
      <c r="O395" s="101">
        <f>IF(H395=1,IF(E395&lt;FYStart,0,IF(E395&gt;FYEnd,13,YEAR(E395)*12+MONTH(E395)-FYYM+1)),"")</f>
        <v/>
      </c>
      <c r="P395" s="101">
        <f>IF(H395=1,IF(IFERROR(INDEX(coa_CF,MATCH(I395,coa_Name,0)),"")="Cash",1,0),0)</f>
        <v/>
      </c>
      <c r="Q395" s="101">
        <f>IF(H395=1,IF(IFERROR(INDEX(coa_CF,MATCH(K395,coa_Name,0)),"")="Cash",1,0),0)</f>
        <v/>
      </c>
      <c r="R395" s="58">
        <f>IF((P395-Q395)=0,"",IFERROR(INDEX(coa_CF,MATCH(IF((P395-Q395)=1,K395,I395),coa_Name,0)),"Operating"))</f>
        <v/>
      </c>
      <c r="S395" s="95">
        <f>IF((P395-Q395)=1,L395,IF((P395-Q395)=-1,-J395,0))</f>
        <v/>
      </c>
      <c r="T395" s="95">
        <f>IF((P395-Q395)=1,N395,IF((P395-Q395)=-1,-M395,0))</f>
        <v/>
      </c>
      <c r="U395" s="101">
        <f>IF(AND(H395=1,LedAcct&lt;&gt;""),IF(AND(E395&gt;=LedFrom,E395&lt;=LedTo,OR(I395=LedAcct,K395=LedAcct,AND(LedAcct=acctTax,M395+N395&lt;&gt;0))),E395*10000+B395,""),"")</f>
        <v/>
      </c>
    </row>
    <row r="396">
      <c r="B396" s="101" t="n">
        <v>390</v>
      </c>
      <c r="C396" s="58" t="inlineStr">
        <is>
          <t>Transaction</t>
        </is>
      </c>
      <c r="D396" s="58">
        <f>IF(H396=1,INDEX(tx_ID,390)&amp;"","")</f>
        <v/>
      </c>
      <c r="E396" s="94">
        <f>IF(H396=1,INDEX(tx_Date,390),"")</f>
        <v/>
      </c>
      <c r="F396" s="58">
        <f>IF(H396=1,INDEX(tx_Desc,390)&amp;"","")</f>
        <v/>
      </c>
      <c r="G396" s="58">
        <f>IF(H396=1,IF(INDEX(tx_Cust,390)&amp;""&lt;&gt;"",INDEX(tx_Cust,390)&amp;"",INDEX(tx_Vend,390)&amp;""),"")</f>
        <v/>
      </c>
      <c r="H396" s="101">
        <f>IFERROR(N(INDEX(tx_Posted,390)),0)</f>
        <v/>
      </c>
      <c r="I396" s="58">
        <f>IF(H396=1,INDEX(tx_DrAcct,390)&amp;"","")</f>
        <v/>
      </c>
      <c r="J396" s="95">
        <f>IF(H396=1,INDEX(tx_DrAmt,390),0)</f>
        <v/>
      </c>
      <c r="K396" s="58">
        <f>IF(H396=1,INDEX(tx_CrAcct,390)&amp;"","")</f>
        <v/>
      </c>
      <c r="L396" s="95">
        <f>IF(H396=1,INDEX(tx_CrAmt,390),0)</f>
        <v/>
      </c>
      <c r="M396" s="95">
        <f>IF(H396=1,INDEX(tx_TaxDr,390),0)</f>
        <v/>
      </c>
      <c r="N396" s="95">
        <f>IF(H396=1,INDEX(tx_TaxCr,390),0)</f>
        <v/>
      </c>
      <c r="O396" s="101">
        <f>IF(H396=1,IF(E396&lt;FYStart,0,IF(E396&gt;FYEnd,13,YEAR(E396)*12+MONTH(E396)-FYYM+1)),"")</f>
        <v/>
      </c>
      <c r="P396" s="101">
        <f>IF(H396=1,IF(IFERROR(INDEX(coa_CF,MATCH(I396,coa_Name,0)),"")="Cash",1,0),0)</f>
        <v/>
      </c>
      <c r="Q396" s="101">
        <f>IF(H396=1,IF(IFERROR(INDEX(coa_CF,MATCH(K396,coa_Name,0)),"")="Cash",1,0),0)</f>
        <v/>
      </c>
      <c r="R396" s="58">
        <f>IF((P396-Q396)=0,"",IFERROR(INDEX(coa_CF,MATCH(IF((P396-Q396)=1,K396,I396),coa_Name,0)),"Operating"))</f>
        <v/>
      </c>
      <c r="S396" s="95">
        <f>IF((P396-Q396)=1,L396,IF((P396-Q396)=-1,-J396,0))</f>
        <v/>
      </c>
      <c r="T396" s="95">
        <f>IF((P396-Q396)=1,N396,IF((P396-Q396)=-1,-M396,0))</f>
        <v/>
      </c>
      <c r="U396" s="101">
        <f>IF(AND(H396=1,LedAcct&lt;&gt;""),IF(AND(E396&gt;=LedFrom,E396&lt;=LedTo,OR(I396=LedAcct,K396=LedAcct,AND(LedAcct=acctTax,M396+N396&lt;&gt;0))),E396*10000+B396,""),"")</f>
        <v/>
      </c>
    </row>
    <row r="397">
      <c r="B397" s="101" t="n">
        <v>391</v>
      </c>
      <c r="C397" s="58" t="inlineStr">
        <is>
          <t>Transaction</t>
        </is>
      </c>
      <c r="D397" s="58">
        <f>IF(H397=1,INDEX(tx_ID,391)&amp;"","")</f>
        <v/>
      </c>
      <c r="E397" s="94">
        <f>IF(H397=1,INDEX(tx_Date,391),"")</f>
        <v/>
      </c>
      <c r="F397" s="58">
        <f>IF(H397=1,INDEX(tx_Desc,391)&amp;"","")</f>
        <v/>
      </c>
      <c r="G397" s="58">
        <f>IF(H397=1,IF(INDEX(tx_Cust,391)&amp;""&lt;&gt;"",INDEX(tx_Cust,391)&amp;"",INDEX(tx_Vend,391)&amp;""),"")</f>
        <v/>
      </c>
      <c r="H397" s="101">
        <f>IFERROR(N(INDEX(tx_Posted,391)),0)</f>
        <v/>
      </c>
      <c r="I397" s="58">
        <f>IF(H397=1,INDEX(tx_DrAcct,391)&amp;"","")</f>
        <v/>
      </c>
      <c r="J397" s="95">
        <f>IF(H397=1,INDEX(tx_DrAmt,391),0)</f>
        <v/>
      </c>
      <c r="K397" s="58">
        <f>IF(H397=1,INDEX(tx_CrAcct,391)&amp;"","")</f>
        <v/>
      </c>
      <c r="L397" s="95">
        <f>IF(H397=1,INDEX(tx_CrAmt,391),0)</f>
        <v/>
      </c>
      <c r="M397" s="95">
        <f>IF(H397=1,INDEX(tx_TaxDr,391),0)</f>
        <v/>
      </c>
      <c r="N397" s="95">
        <f>IF(H397=1,INDEX(tx_TaxCr,391),0)</f>
        <v/>
      </c>
      <c r="O397" s="101">
        <f>IF(H397=1,IF(E397&lt;FYStart,0,IF(E397&gt;FYEnd,13,YEAR(E397)*12+MONTH(E397)-FYYM+1)),"")</f>
        <v/>
      </c>
      <c r="P397" s="101">
        <f>IF(H397=1,IF(IFERROR(INDEX(coa_CF,MATCH(I397,coa_Name,0)),"")="Cash",1,0),0)</f>
        <v/>
      </c>
      <c r="Q397" s="101">
        <f>IF(H397=1,IF(IFERROR(INDEX(coa_CF,MATCH(K397,coa_Name,0)),"")="Cash",1,0),0)</f>
        <v/>
      </c>
      <c r="R397" s="58">
        <f>IF((P397-Q397)=0,"",IFERROR(INDEX(coa_CF,MATCH(IF((P397-Q397)=1,K397,I397),coa_Name,0)),"Operating"))</f>
        <v/>
      </c>
      <c r="S397" s="95">
        <f>IF((P397-Q397)=1,L397,IF((P397-Q397)=-1,-J397,0))</f>
        <v/>
      </c>
      <c r="T397" s="95">
        <f>IF((P397-Q397)=1,N397,IF((P397-Q397)=-1,-M397,0))</f>
        <v/>
      </c>
      <c r="U397" s="101">
        <f>IF(AND(H397=1,LedAcct&lt;&gt;""),IF(AND(E397&gt;=LedFrom,E397&lt;=LedTo,OR(I397=LedAcct,K397=LedAcct,AND(LedAcct=acctTax,M397+N397&lt;&gt;0))),E397*10000+B397,""),"")</f>
        <v/>
      </c>
    </row>
    <row r="398">
      <c r="B398" s="101" t="n">
        <v>392</v>
      </c>
      <c r="C398" s="58" t="inlineStr">
        <is>
          <t>Transaction</t>
        </is>
      </c>
      <c r="D398" s="58">
        <f>IF(H398=1,INDEX(tx_ID,392)&amp;"","")</f>
        <v/>
      </c>
      <c r="E398" s="94">
        <f>IF(H398=1,INDEX(tx_Date,392),"")</f>
        <v/>
      </c>
      <c r="F398" s="58">
        <f>IF(H398=1,INDEX(tx_Desc,392)&amp;"","")</f>
        <v/>
      </c>
      <c r="G398" s="58">
        <f>IF(H398=1,IF(INDEX(tx_Cust,392)&amp;""&lt;&gt;"",INDEX(tx_Cust,392)&amp;"",INDEX(tx_Vend,392)&amp;""),"")</f>
        <v/>
      </c>
      <c r="H398" s="101">
        <f>IFERROR(N(INDEX(tx_Posted,392)),0)</f>
        <v/>
      </c>
      <c r="I398" s="58">
        <f>IF(H398=1,INDEX(tx_DrAcct,392)&amp;"","")</f>
        <v/>
      </c>
      <c r="J398" s="95">
        <f>IF(H398=1,INDEX(tx_DrAmt,392),0)</f>
        <v/>
      </c>
      <c r="K398" s="58">
        <f>IF(H398=1,INDEX(tx_CrAcct,392)&amp;"","")</f>
        <v/>
      </c>
      <c r="L398" s="95">
        <f>IF(H398=1,INDEX(tx_CrAmt,392),0)</f>
        <v/>
      </c>
      <c r="M398" s="95">
        <f>IF(H398=1,INDEX(tx_TaxDr,392),0)</f>
        <v/>
      </c>
      <c r="N398" s="95">
        <f>IF(H398=1,INDEX(tx_TaxCr,392),0)</f>
        <v/>
      </c>
      <c r="O398" s="101">
        <f>IF(H398=1,IF(E398&lt;FYStart,0,IF(E398&gt;FYEnd,13,YEAR(E398)*12+MONTH(E398)-FYYM+1)),"")</f>
        <v/>
      </c>
      <c r="P398" s="101">
        <f>IF(H398=1,IF(IFERROR(INDEX(coa_CF,MATCH(I398,coa_Name,0)),"")="Cash",1,0),0)</f>
        <v/>
      </c>
      <c r="Q398" s="101">
        <f>IF(H398=1,IF(IFERROR(INDEX(coa_CF,MATCH(K398,coa_Name,0)),"")="Cash",1,0),0)</f>
        <v/>
      </c>
      <c r="R398" s="58">
        <f>IF((P398-Q398)=0,"",IFERROR(INDEX(coa_CF,MATCH(IF((P398-Q398)=1,K398,I398),coa_Name,0)),"Operating"))</f>
        <v/>
      </c>
      <c r="S398" s="95">
        <f>IF((P398-Q398)=1,L398,IF((P398-Q398)=-1,-J398,0))</f>
        <v/>
      </c>
      <c r="T398" s="95">
        <f>IF((P398-Q398)=1,N398,IF((P398-Q398)=-1,-M398,0))</f>
        <v/>
      </c>
      <c r="U398" s="101">
        <f>IF(AND(H398=1,LedAcct&lt;&gt;""),IF(AND(E398&gt;=LedFrom,E398&lt;=LedTo,OR(I398=LedAcct,K398=LedAcct,AND(LedAcct=acctTax,M398+N398&lt;&gt;0))),E398*10000+B398,""),"")</f>
        <v/>
      </c>
    </row>
    <row r="399">
      <c r="B399" s="101" t="n">
        <v>393</v>
      </c>
      <c r="C399" s="58" t="inlineStr">
        <is>
          <t>Transaction</t>
        </is>
      </c>
      <c r="D399" s="58">
        <f>IF(H399=1,INDEX(tx_ID,393)&amp;"","")</f>
        <v/>
      </c>
      <c r="E399" s="94">
        <f>IF(H399=1,INDEX(tx_Date,393),"")</f>
        <v/>
      </c>
      <c r="F399" s="58">
        <f>IF(H399=1,INDEX(tx_Desc,393)&amp;"","")</f>
        <v/>
      </c>
      <c r="G399" s="58">
        <f>IF(H399=1,IF(INDEX(tx_Cust,393)&amp;""&lt;&gt;"",INDEX(tx_Cust,393)&amp;"",INDEX(tx_Vend,393)&amp;""),"")</f>
        <v/>
      </c>
      <c r="H399" s="101">
        <f>IFERROR(N(INDEX(tx_Posted,393)),0)</f>
        <v/>
      </c>
      <c r="I399" s="58">
        <f>IF(H399=1,INDEX(tx_DrAcct,393)&amp;"","")</f>
        <v/>
      </c>
      <c r="J399" s="95">
        <f>IF(H399=1,INDEX(tx_DrAmt,393),0)</f>
        <v/>
      </c>
      <c r="K399" s="58">
        <f>IF(H399=1,INDEX(tx_CrAcct,393)&amp;"","")</f>
        <v/>
      </c>
      <c r="L399" s="95">
        <f>IF(H399=1,INDEX(tx_CrAmt,393),0)</f>
        <v/>
      </c>
      <c r="M399" s="95">
        <f>IF(H399=1,INDEX(tx_TaxDr,393),0)</f>
        <v/>
      </c>
      <c r="N399" s="95">
        <f>IF(H399=1,INDEX(tx_TaxCr,393),0)</f>
        <v/>
      </c>
      <c r="O399" s="101">
        <f>IF(H399=1,IF(E399&lt;FYStart,0,IF(E399&gt;FYEnd,13,YEAR(E399)*12+MONTH(E399)-FYYM+1)),"")</f>
        <v/>
      </c>
      <c r="P399" s="101">
        <f>IF(H399=1,IF(IFERROR(INDEX(coa_CF,MATCH(I399,coa_Name,0)),"")="Cash",1,0),0)</f>
        <v/>
      </c>
      <c r="Q399" s="101">
        <f>IF(H399=1,IF(IFERROR(INDEX(coa_CF,MATCH(K399,coa_Name,0)),"")="Cash",1,0),0)</f>
        <v/>
      </c>
      <c r="R399" s="58">
        <f>IF((P399-Q399)=0,"",IFERROR(INDEX(coa_CF,MATCH(IF((P399-Q399)=1,K399,I399),coa_Name,0)),"Operating"))</f>
        <v/>
      </c>
      <c r="S399" s="95">
        <f>IF((P399-Q399)=1,L399,IF((P399-Q399)=-1,-J399,0))</f>
        <v/>
      </c>
      <c r="T399" s="95">
        <f>IF((P399-Q399)=1,N399,IF((P399-Q399)=-1,-M399,0))</f>
        <v/>
      </c>
      <c r="U399" s="101">
        <f>IF(AND(H399=1,LedAcct&lt;&gt;""),IF(AND(E399&gt;=LedFrom,E399&lt;=LedTo,OR(I399=LedAcct,K399=LedAcct,AND(LedAcct=acctTax,M399+N399&lt;&gt;0))),E399*10000+B399,""),"")</f>
        <v/>
      </c>
    </row>
    <row r="400">
      <c r="B400" s="101" t="n">
        <v>394</v>
      </c>
      <c r="C400" s="58" t="inlineStr">
        <is>
          <t>Transaction</t>
        </is>
      </c>
      <c r="D400" s="58">
        <f>IF(H400=1,INDEX(tx_ID,394)&amp;"","")</f>
        <v/>
      </c>
      <c r="E400" s="94">
        <f>IF(H400=1,INDEX(tx_Date,394),"")</f>
        <v/>
      </c>
      <c r="F400" s="58">
        <f>IF(H400=1,INDEX(tx_Desc,394)&amp;"","")</f>
        <v/>
      </c>
      <c r="G400" s="58">
        <f>IF(H400=1,IF(INDEX(tx_Cust,394)&amp;""&lt;&gt;"",INDEX(tx_Cust,394)&amp;"",INDEX(tx_Vend,394)&amp;""),"")</f>
        <v/>
      </c>
      <c r="H400" s="101">
        <f>IFERROR(N(INDEX(tx_Posted,394)),0)</f>
        <v/>
      </c>
      <c r="I400" s="58">
        <f>IF(H400=1,INDEX(tx_DrAcct,394)&amp;"","")</f>
        <v/>
      </c>
      <c r="J400" s="95">
        <f>IF(H400=1,INDEX(tx_DrAmt,394),0)</f>
        <v/>
      </c>
      <c r="K400" s="58">
        <f>IF(H400=1,INDEX(tx_CrAcct,394)&amp;"","")</f>
        <v/>
      </c>
      <c r="L400" s="95">
        <f>IF(H400=1,INDEX(tx_CrAmt,394),0)</f>
        <v/>
      </c>
      <c r="M400" s="95">
        <f>IF(H400=1,INDEX(tx_TaxDr,394),0)</f>
        <v/>
      </c>
      <c r="N400" s="95">
        <f>IF(H400=1,INDEX(tx_TaxCr,394),0)</f>
        <v/>
      </c>
      <c r="O400" s="101">
        <f>IF(H400=1,IF(E400&lt;FYStart,0,IF(E400&gt;FYEnd,13,YEAR(E400)*12+MONTH(E400)-FYYM+1)),"")</f>
        <v/>
      </c>
      <c r="P400" s="101">
        <f>IF(H400=1,IF(IFERROR(INDEX(coa_CF,MATCH(I400,coa_Name,0)),"")="Cash",1,0),0)</f>
        <v/>
      </c>
      <c r="Q400" s="101">
        <f>IF(H400=1,IF(IFERROR(INDEX(coa_CF,MATCH(K400,coa_Name,0)),"")="Cash",1,0),0)</f>
        <v/>
      </c>
      <c r="R400" s="58">
        <f>IF((P400-Q400)=0,"",IFERROR(INDEX(coa_CF,MATCH(IF((P400-Q400)=1,K400,I400),coa_Name,0)),"Operating"))</f>
        <v/>
      </c>
      <c r="S400" s="95">
        <f>IF((P400-Q400)=1,L400,IF((P400-Q400)=-1,-J400,0))</f>
        <v/>
      </c>
      <c r="T400" s="95">
        <f>IF((P400-Q400)=1,N400,IF((P400-Q400)=-1,-M400,0))</f>
        <v/>
      </c>
      <c r="U400" s="101">
        <f>IF(AND(H400=1,LedAcct&lt;&gt;""),IF(AND(E400&gt;=LedFrom,E400&lt;=LedTo,OR(I400=LedAcct,K400=LedAcct,AND(LedAcct=acctTax,M400+N400&lt;&gt;0))),E400*10000+B400,""),"")</f>
        <v/>
      </c>
    </row>
    <row r="401">
      <c r="B401" s="101" t="n">
        <v>395</v>
      </c>
      <c r="C401" s="58" t="inlineStr">
        <is>
          <t>Transaction</t>
        </is>
      </c>
      <c r="D401" s="58">
        <f>IF(H401=1,INDEX(tx_ID,395)&amp;"","")</f>
        <v/>
      </c>
      <c r="E401" s="94">
        <f>IF(H401=1,INDEX(tx_Date,395),"")</f>
        <v/>
      </c>
      <c r="F401" s="58">
        <f>IF(H401=1,INDEX(tx_Desc,395)&amp;"","")</f>
        <v/>
      </c>
      <c r="G401" s="58">
        <f>IF(H401=1,IF(INDEX(tx_Cust,395)&amp;""&lt;&gt;"",INDEX(tx_Cust,395)&amp;"",INDEX(tx_Vend,395)&amp;""),"")</f>
        <v/>
      </c>
      <c r="H401" s="101">
        <f>IFERROR(N(INDEX(tx_Posted,395)),0)</f>
        <v/>
      </c>
      <c r="I401" s="58">
        <f>IF(H401=1,INDEX(tx_DrAcct,395)&amp;"","")</f>
        <v/>
      </c>
      <c r="J401" s="95">
        <f>IF(H401=1,INDEX(tx_DrAmt,395),0)</f>
        <v/>
      </c>
      <c r="K401" s="58">
        <f>IF(H401=1,INDEX(tx_CrAcct,395)&amp;"","")</f>
        <v/>
      </c>
      <c r="L401" s="95">
        <f>IF(H401=1,INDEX(tx_CrAmt,395),0)</f>
        <v/>
      </c>
      <c r="M401" s="95">
        <f>IF(H401=1,INDEX(tx_TaxDr,395),0)</f>
        <v/>
      </c>
      <c r="N401" s="95">
        <f>IF(H401=1,INDEX(tx_TaxCr,395),0)</f>
        <v/>
      </c>
      <c r="O401" s="101">
        <f>IF(H401=1,IF(E401&lt;FYStart,0,IF(E401&gt;FYEnd,13,YEAR(E401)*12+MONTH(E401)-FYYM+1)),"")</f>
        <v/>
      </c>
      <c r="P401" s="101">
        <f>IF(H401=1,IF(IFERROR(INDEX(coa_CF,MATCH(I401,coa_Name,0)),"")="Cash",1,0),0)</f>
        <v/>
      </c>
      <c r="Q401" s="101">
        <f>IF(H401=1,IF(IFERROR(INDEX(coa_CF,MATCH(K401,coa_Name,0)),"")="Cash",1,0),0)</f>
        <v/>
      </c>
      <c r="R401" s="58">
        <f>IF((P401-Q401)=0,"",IFERROR(INDEX(coa_CF,MATCH(IF((P401-Q401)=1,K401,I401),coa_Name,0)),"Operating"))</f>
        <v/>
      </c>
      <c r="S401" s="95">
        <f>IF((P401-Q401)=1,L401,IF((P401-Q401)=-1,-J401,0))</f>
        <v/>
      </c>
      <c r="T401" s="95">
        <f>IF((P401-Q401)=1,N401,IF((P401-Q401)=-1,-M401,0))</f>
        <v/>
      </c>
      <c r="U401" s="101">
        <f>IF(AND(H401=1,LedAcct&lt;&gt;""),IF(AND(E401&gt;=LedFrom,E401&lt;=LedTo,OR(I401=LedAcct,K401=LedAcct,AND(LedAcct=acctTax,M401+N401&lt;&gt;0))),E401*10000+B401,""),"")</f>
        <v/>
      </c>
    </row>
    <row r="402">
      <c r="B402" s="101" t="n">
        <v>396</v>
      </c>
      <c r="C402" s="58" t="inlineStr">
        <is>
          <t>Transaction</t>
        </is>
      </c>
      <c r="D402" s="58">
        <f>IF(H402=1,INDEX(tx_ID,396)&amp;"","")</f>
        <v/>
      </c>
      <c r="E402" s="94">
        <f>IF(H402=1,INDEX(tx_Date,396),"")</f>
        <v/>
      </c>
      <c r="F402" s="58">
        <f>IF(H402=1,INDEX(tx_Desc,396)&amp;"","")</f>
        <v/>
      </c>
      <c r="G402" s="58">
        <f>IF(H402=1,IF(INDEX(tx_Cust,396)&amp;""&lt;&gt;"",INDEX(tx_Cust,396)&amp;"",INDEX(tx_Vend,396)&amp;""),"")</f>
        <v/>
      </c>
      <c r="H402" s="101">
        <f>IFERROR(N(INDEX(tx_Posted,396)),0)</f>
        <v/>
      </c>
      <c r="I402" s="58">
        <f>IF(H402=1,INDEX(tx_DrAcct,396)&amp;"","")</f>
        <v/>
      </c>
      <c r="J402" s="95">
        <f>IF(H402=1,INDEX(tx_DrAmt,396),0)</f>
        <v/>
      </c>
      <c r="K402" s="58">
        <f>IF(H402=1,INDEX(tx_CrAcct,396)&amp;"","")</f>
        <v/>
      </c>
      <c r="L402" s="95">
        <f>IF(H402=1,INDEX(tx_CrAmt,396),0)</f>
        <v/>
      </c>
      <c r="M402" s="95">
        <f>IF(H402=1,INDEX(tx_TaxDr,396),0)</f>
        <v/>
      </c>
      <c r="N402" s="95">
        <f>IF(H402=1,INDEX(tx_TaxCr,396),0)</f>
        <v/>
      </c>
      <c r="O402" s="101">
        <f>IF(H402=1,IF(E402&lt;FYStart,0,IF(E402&gt;FYEnd,13,YEAR(E402)*12+MONTH(E402)-FYYM+1)),"")</f>
        <v/>
      </c>
      <c r="P402" s="101">
        <f>IF(H402=1,IF(IFERROR(INDEX(coa_CF,MATCH(I402,coa_Name,0)),"")="Cash",1,0),0)</f>
        <v/>
      </c>
      <c r="Q402" s="101">
        <f>IF(H402=1,IF(IFERROR(INDEX(coa_CF,MATCH(K402,coa_Name,0)),"")="Cash",1,0),0)</f>
        <v/>
      </c>
      <c r="R402" s="58">
        <f>IF((P402-Q402)=0,"",IFERROR(INDEX(coa_CF,MATCH(IF((P402-Q402)=1,K402,I402),coa_Name,0)),"Operating"))</f>
        <v/>
      </c>
      <c r="S402" s="95">
        <f>IF((P402-Q402)=1,L402,IF((P402-Q402)=-1,-J402,0))</f>
        <v/>
      </c>
      <c r="T402" s="95">
        <f>IF((P402-Q402)=1,N402,IF((P402-Q402)=-1,-M402,0))</f>
        <v/>
      </c>
      <c r="U402" s="101">
        <f>IF(AND(H402=1,LedAcct&lt;&gt;""),IF(AND(E402&gt;=LedFrom,E402&lt;=LedTo,OR(I402=LedAcct,K402=LedAcct,AND(LedAcct=acctTax,M402+N402&lt;&gt;0))),E402*10000+B402,""),"")</f>
        <v/>
      </c>
    </row>
    <row r="403">
      <c r="B403" s="101" t="n">
        <v>397</v>
      </c>
      <c r="C403" s="58" t="inlineStr">
        <is>
          <t>Transaction</t>
        </is>
      </c>
      <c r="D403" s="58">
        <f>IF(H403=1,INDEX(tx_ID,397)&amp;"","")</f>
        <v/>
      </c>
      <c r="E403" s="94">
        <f>IF(H403=1,INDEX(tx_Date,397),"")</f>
        <v/>
      </c>
      <c r="F403" s="58">
        <f>IF(H403=1,INDEX(tx_Desc,397)&amp;"","")</f>
        <v/>
      </c>
      <c r="G403" s="58">
        <f>IF(H403=1,IF(INDEX(tx_Cust,397)&amp;""&lt;&gt;"",INDEX(tx_Cust,397)&amp;"",INDEX(tx_Vend,397)&amp;""),"")</f>
        <v/>
      </c>
      <c r="H403" s="101">
        <f>IFERROR(N(INDEX(tx_Posted,397)),0)</f>
        <v/>
      </c>
      <c r="I403" s="58">
        <f>IF(H403=1,INDEX(tx_DrAcct,397)&amp;"","")</f>
        <v/>
      </c>
      <c r="J403" s="95">
        <f>IF(H403=1,INDEX(tx_DrAmt,397),0)</f>
        <v/>
      </c>
      <c r="K403" s="58">
        <f>IF(H403=1,INDEX(tx_CrAcct,397)&amp;"","")</f>
        <v/>
      </c>
      <c r="L403" s="95">
        <f>IF(H403=1,INDEX(tx_CrAmt,397),0)</f>
        <v/>
      </c>
      <c r="M403" s="95">
        <f>IF(H403=1,INDEX(tx_TaxDr,397),0)</f>
        <v/>
      </c>
      <c r="N403" s="95">
        <f>IF(H403=1,INDEX(tx_TaxCr,397),0)</f>
        <v/>
      </c>
      <c r="O403" s="101">
        <f>IF(H403=1,IF(E403&lt;FYStart,0,IF(E403&gt;FYEnd,13,YEAR(E403)*12+MONTH(E403)-FYYM+1)),"")</f>
        <v/>
      </c>
      <c r="P403" s="101">
        <f>IF(H403=1,IF(IFERROR(INDEX(coa_CF,MATCH(I403,coa_Name,0)),"")="Cash",1,0),0)</f>
        <v/>
      </c>
      <c r="Q403" s="101">
        <f>IF(H403=1,IF(IFERROR(INDEX(coa_CF,MATCH(K403,coa_Name,0)),"")="Cash",1,0),0)</f>
        <v/>
      </c>
      <c r="R403" s="58">
        <f>IF((P403-Q403)=0,"",IFERROR(INDEX(coa_CF,MATCH(IF((P403-Q403)=1,K403,I403),coa_Name,0)),"Operating"))</f>
        <v/>
      </c>
      <c r="S403" s="95">
        <f>IF((P403-Q403)=1,L403,IF((P403-Q403)=-1,-J403,0))</f>
        <v/>
      </c>
      <c r="T403" s="95">
        <f>IF((P403-Q403)=1,N403,IF((P403-Q403)=-1,-M403,0))</f>
        <v/>
      </c>
      <c r="U403" s="101">
        <f>IF(AND(H403=1,LedAcct&lt;&gt;""),IF(AND(E403&gt;=LedFrom,E403&lt;=LedTo,OR(I403=LedAcct,K403=LedAcct,AND(LedAcct=acctTax,M403+N403&lt;&gt;0))),E403*10000+B403,""),"")</f>
        <v/>
      </c>
    </row>
    <row r="404">
      <c r="B404" s="101" t="n">
        <v>398</v>
      </c>
      <c r="C404" s="58" t="inlineStr">
        <is>
          <t>Transaction</t>
        </is>
      </c>
      <c r="D404" s="58">
        <f>IF(H404=1,INDEX(tx_ID,398)&amp;"","")</f>
        <v/>
      </c>
      <c r="E404" s="94">
        <f>IF(H404=1,INDEX(tx_Date,398),"")</f>
        <v/>
      </c>
      <c r="F404" s="58">
        <f>IF(H404=1,INDEX(tx_Desc,398)&amp;"","")</f>
        <v/>
      </c>
      <c r="G404" s="58">
        <f>IF(H404=1,IF(INDEX(tx_Cust,398)&amp;""&lt;&gt;"",INDEX(tx_Cust,398)&amp;"",INDEX(tx_Vend,398)&amp;""),"")</f>
        <v/>
      </c>
      <c r="H404" s="101">
        <f>IFERROR(N(INDEX(tx_Posted,398)),0)</f>
        <v/>
      </c>
      <c r="I404" s="58">
        <f>IF(H404=1,INDEX(tx_DrAcct,398)&amp;"","")</f>
        <v/>
      </c>
      <c r="J404" s="95">
        <f>IF(H404=1,INDEX(tx_DrAmt,398),0)</f>
        <v/>
      </c>
      <c r="K404" s="58">
        <f>IF(H404=1,INDEX(tx_CrAcct,398)&amp;"","")</f>
        <v/>
      </c>
      <c r="L404" s="95">
        <f>IF(H404=1,INDEX(tx_CrAmt,398),0)</f>
        <v/>
      </c>
      <c r="M404" s="95">
        <f>IF(H404=1,INDEX(tx_TaxDr,398),0)</f>
        <v/>
      </c>
      <c r="N404" s="95">
        <f>IF(H404=1,INDEX(tx_TaxCr,398),0)</f>
        <v/>
      </c>
      <c r="O404" s="101">
        <f>IF(H404=1,IF(E404&lt;FYStart,0,IF(E404&gt;FYEnd,13,YEAR(E404)*12+MONTH(E404)-FYYM+1)),"")</f>
        <v/>
      </c>
      <c r="P404" s="101">
        <f>IF(H404=1,IF(IFERROR(INDEX(coa_CF,MATCH(I404,coa_Name,0)),"")="Cash",1,0),0)</f>
        <v/>
      </c>
      <c r="Q404" s="101">
        <f>IF(H404=1,IF(IFERROR(INDEX(coa_CF,MATCH(K404,coa_Name,0)),"")="Cash",1,0),0)</f>
        <v/>
      </c>
      <c r="R404" s="58">
        <f>IF((P404-Q404)=0,"",IFERROR(INDEX(coa_CF,MATCH(IF((P404-Q404)=1,K404,I404),coa_Name,0)),"Operating"))</f>
        <v/>
      </c>
      <c r="S404" s="95">
        <f>IF((P404-Q404)=1,L404,IF((P404-Q404)=-1,-J404,0))</f>
        <v/>
      </c>
      <c r="T404" s="95">
        <f>IF((P404-Q404)=1,N404,IF((P404-Q404)=-1,-M404,0))</f>
        <v/>
      </c>
      <c r="U404" s="101">
        <f>IF(AND(H404=1,LedAcct&lt;&gt;""),IF(AND(E404&gt;=LedFrom,E404&lt;=LedTo,OR(I404=LedAcct,K404=LedAcct,AND(LedAcct=acctTax,M404+N404&lt;&gt;0))),E404*10000+B404,""),"")</f>
        <v/>
      </c>
    </row>
    <row r="405">
      <c r="B405" s="101" t="n">
        <v>399</v>
      </c>
      <c r="C405" s="58" t="inlineStr">
        <is>
          <t>Transaction</t>
        </is>
      </c>
      <c r="D405" s="58">
        <f>IF(H405=1,INDEX(tx_ID,399)&amp;"","")</f>
        <v/>
      </c>
      <c r="E405" s="94">
        <f>IF(H405=1,INDEX(tx_Date,399),"")</f>
        <v/>
      </c>
      <c r="F405" s="58">
        <f>IF(H405=1,INDEX(tx_Desc,399)&amp;"","")</f>
        <v/>
      </c>
      <c r="G405" s="58">
        <f>IF(H405=1,IF(INDEX(tx_Cust,399)&amp;""&lt;&gt;"",INDEX(tx_Cust,399)&amp;"",INDEX(tx_Vend,399)&amp;""),"")</f>
        <v/>
      </c>
      <c r="H405" s="101">
        <f>IFERROR(N(INDEX(tx_Posted,399)),0)</f>
        <v/>
      </c>
      <c r="I405" s="58">
        <f>IF(H405=1,INDEX(tx_DrAcct,399)&amp;"","")</f>
        <v/>
      </c>
      <c r="J405" s="95">
        <f>IF(H405=1,INDEX(tx_DrAmt,399),0)</f>
        <v/>
      </c>
      <c r="K405" s="58">
        <f>IF(H405=1,INDEX(tx_CrAcct,399)&amp;"","")</f>
        <v/>
      </c>
      <c r="L405" s="95">
        <f>IF(H405=1,INDEX(tx_CrAmt,399),0)</f>
        <v/>
      </c>
      <c r="M405" s="95">
        <f>IF(H405=1,INDEX(tx_TaxDr,399),0)</f>
        <v/>
      </c>
      <c r="N405" s="95">
        <f>IF(H405=1,INDEX(tx_TaxCr,399),0)</f>
        <v/>
      </c>
      <c r="O405" s="101">
        <f>IF(H405=1,IF(E405&lt;FYStart,0,IF(E405&gt;FYEnd,13,YEAR(E405)*12+MONTH(E405)-FYYM+1)),"")</f>
        <v/>
      </c>
      <c r="P405" s="101">
        <f>IF(H405=1,IF(IFERROR(INDEX(coa_CF,MATCH(I405,coa_Name,0)),"")="Cash",1,0),0)</f>
        <v/>
      </c>
      <c r="Q405" s="101">
        <f>IF(H405=1,IF(IFERROR(INDEX(coa_CF,MATCH(K405,coa_Name,0)),"")="Cash",1,0),0)</f>
        <v/>
      </c>
      <c r="R405" s="58">
        <f>IF((P405-Q405)=0,"",IFERROR(INDEX(coa_CF,MATCH(IF((P405-Q405)=1,K405,I405),coa_Name,0)),"Operating"))</f>
        <v/>
      </c>
      <c r="S405" s="95">
        <f>IF((P405-Q405)=1,L405,IF((P405-Q405)=-1,-J405,0))</f>
        <v/>
      </c>
      <c r="T405" s="95">
        <f>IF((P405-Q405)=1,N405,IF((P405-Q405)=-1,-M405,0))</f>
        <v/>
      </c>
      <c r="U405" s="101">
        <f>IF(AND(H405=1,LedAcct&lt;&gt;""),IF(AND(E405&gt;=LedFrom,E405&lt;=LedTo,OR(I405=LedAcct,K405=LedAcct,AND(LedAcct=acctTax,M405+N405&lt;&gt;0))),E405*10000+B405,""),"")</f>
        <v/>
      </c>
    </row>
    <row r="406">
      <c r="B406" s="101" t="n">
        <v>400</v>
      </c>
      <c r="C406" s="58" t="inlineStr">
        <is>
          <t>Transaction</t>
        </is>
      </c>
      <c r="D406" s="58">
        <f>IF(H406=1,INDEX(tx_ID,400)&amp;"","")</f>
        <v/>
      </c>
      <c r="E406" s="94">
        <f>IF(H406=1,INDEX(tx_Date,400),"")</f>
        <v/>
      </c>
      <c r="F406" s="58">
        <f>IF(H406=1,INDEX(tx_Desc,400)&amp;"","")</f>
        <v/>
      </c>
      <c r="G406" s="58">
        <f>IF(H406=1,IF(INDEX(tx_Cust,400)&amp;""&lt;&gt;"",INDEX(tx_Cust,400)&amp;"",INDEX(tx_Vend,400)&amp;""),"")</f>
        <v/>
      </c>
      <c r="H406" s="101">
        <f>IFERROR(N(INDEX(tx_Posted,400)),0)</f>
        <v/>
      </c>
      <c r="I406" s="58">
        <f>IF(H406=1,INDEX(tx_DrAcct,400)&amp;"","")</f>
        <v/>
      </c>
      <c r="J406" s="95">
        <f>IF(H406=1,INDEX(tx_DrAmt,400),0)</f>
        <v/>
      </c>
      <c r="K406" s="58">
        <f>IF(H406=1,INDEX(tx_CrAcct,400)&amp;"","")</f>
        <v/>
      </c>
      <c r="L406" s="95">
        <f>IF(H406=1,INDEX(tx_CrAmt,400),0)</f>
        <v/>
      </c>
      <c r="M406" s="95">
        <f>IF(H406=1,INDEX(tx_TaxDr,400),0)</f>
        <v/>
      </c>
      <c r="N406" s="95">
        <f>IF(H406=1,INDEX(tx_TaxCr,400),0)</f>
        <v/>
      </c>
      <c r="O406" s="101">
        <f>IF(H406=1,IF(E406&lt;FYStart,0,IF(E406&gt;FYEnd,13,YEAR(E406)*12+MONTH(E406)-FYYM+1)),"")</f>
        <v/>
      </c>
      <c r="P406" s="101">
        <f>IF(H406=1,IF(IFERROR(INDEX(coa_CF,MATCH(I406,coa_Name,0)),"")="Cash",1,0),0)</f>
        <v/>
      </c>
      <c r="Q406" s="101">
        <f>IF(H406=1,IF(IFERROR(INDEX(coa_CF,MATCH(K406,coa_Name,0)),"")="Cash",1,0),0)</f>
        <v/>
      </c>
      <c r="R406" s="58">
        <f>IF((P406-Q406)=0,"",IFERROR(INDEX(coa_CF,MATCH(IF((P406-Q406)=1,K406,I406),coa_Name,0)),"Operating"))</f>
        <v/>
      </c>
      <c r="S406" s="95">
        <f>IF((P406-Q406)=1,L406,IF((P406-Q406)=-1,-J406,0))</f>
        <v/>
      </c>
      <c r="T406" s="95">
        <f>IF((P406-Q406)=1,N406,IF((P406-Q406)=-1,-M406,0))</f>
        <v/>
      </c>
      <c r="U406" s="101">
        <f>IF(AND(H406=1,LedAcct&lt;&gt;""),IF(AND(E406&gt;=LedFrom,E406&lt;=LedTo,OR(I406=LedAcct,K406=LedAcct,AND(LedAcct=acctTax,M406+N406&lt;&gt;0))),E406*10000+B406,""),"")</f>
        <v/>
      </c>
    </row>
    <row r="407">
      <c r="B407" s="101" t="n">
        <v>401</v>
      </c>
      <c r="C407" s="58" t="inlineStr">
        <is>
          <t>Transaction</t>
        </is>
      </c>
      <c r="D407" s="58">
        <f>IF(H407=1,INDEX(tx_ID,401)&amp;"","")</f>
        <v/>
      </c>
      <c r="E407" s="94">
        <f>IF(H407=1,INDEX(tx_Date,401),"")</f>
        <v/>
      </c>
      <c r="F407" s="58">
        <f>IF(H407=1,INDEX(tx_Desc,401)&amp;"","")</f>
        <v/>
      </c>
      <c r="G407" s="58">
        <f>IF(H407=1,IF(INDEX(tx_Cust,401)&amp;""&lt;&gt;"",INDEX(tx_Cust,401)&amp;"",INDEX(tx_Vend,401)&amp;""),"")</f>
        <v/>
      </c>
      <c r="H407" s="101">
        <f>IFERROR(N(INDEX(tx_Posted,401)),0)</f>
        <v/>
      </c>
      <c r="I407" s="58">
        <f>IF(H407=1,INDEX(tx_DrAcct,401)&amp;"","")</f>
        <v/>
      </c>
      <c r="J407" s="95">
        <f>IF(H407=1,INDEX(tx_DrAmt,401),0)</f>
        <v/>
      </c>
      <c r="K407" s="58">
        <f>IF(H407=1,INDEX(tx_CrAcct,401)&amp;"","")</f>
        <v/>
      </c>
      <c r="L407" s="95">
        <f>IF(H407=1,INDEX(tx_CrAmt,401),0)</f>
        <v/>
      </c>
      <c r="M407" s="95">
        <f>IF(H407=1,INDEX(tx_TaxDr,401),0)</f>
        <v/>
      </c>
      <c r="N407" s="95">
        <f>IF(H407=1,INDEX(tx_TaxCr,401),0)</f>
        <v/>
      </c>
      <c r="O407" s="101">
        <f>IF(H407=1,IF(E407&lt;FYStart,0,IF(E407&gt;FYEnd,13,YEAR(E407)*12+MONTH(E407)-FYYM+1)),"")</f>
        <v/>
      </c>
      <c r="P407" s="101">
        <f>IF(H407=1,IF(IFERROR(INDEX(coa_CF,MATCH(I407,coa_Name,0)),"")="Cash",1,0),0)</f>
        <v/>
      </c>
      <c r="Q407" s="101">
        <f>IF(H407=1,IF(IFERROR(INDEX(coa_CF,MATCH(K407,coa_Name,0)),"")="Cash",1,0),0)</f>
        <v/>
      </c>
      <c r="R407" s="58">
        <f>IF((P407-Q407)=0,"",IFERROR(INDEX(coa_CF,MATCH(IF((P407-Q407)=1,K407,I407),coa_Name,0)),"Operating"))</f>
        <v/>
      </c>
      <c r="S407" s="95">
        <f>IF((P407-Q407)=1,L407,IF((P407-Q407)=-1,-J407,0))</f>
        <v/>
      </c>
      <c r="T407" s="95">
        <f>IF((P407-Q407)=1,N407,IF((P407-Q407)=-1,-M407,0))</f>
        <v/>
      </c>
      <c r="U407" s="101">
        <f>IF(AND(H407=1,LedAcct&lt;&gt;""),IF(AND(E407&gt;=LedFrom,E407&lt;=LedTo,OR(I407=LedAcct,K407=LedAcct,AND(LedAcct=acctTax,M407+N407&lt;&gt;0))),E407*10000+B407,""),"")</f>
        <v/>
      </c>
    </row>
    <row r="408">
      <c r="B408" s="101" t="n">
        <v>402</v>
      </c>
      <c r="C408" s="58" t="inlineStr">
        <is>
          <t>Transaction</t>
        </is>
      </c>
      <c r="D408" s="58">
        <f>IF(H408=1,INDEX(tx_ID,402)&amp;"","")</f>
        <v/>
      </c>
      <c r="E408" s="94">
        <f>IF(H408=1,INDEX(tx_Date,402),"")</f>
        <v/>
      </c>
      <c r="F408" s="58">
        <f>IF(H408=1,INDEX(tx_Desc,402)&amp;"","")</f>
        <v/>
      </c>
      <c r="G408" s="58">
        <f>IF(H408=1,IF(INDEX(tx_Cust,402)&amp;""&lt;&gt;"",INDEX(tx_Cust,402)&amp;"",INDEX(tx_Vend,402)&amp;""),"")</f>
        <v/>
      </c>
      <c r="H408" s="101">
        <f>IFERROR(N(INDEX(tx_Posted,402)),0)</f>
        <v/>
      </c>
      <c r="I408" s="58">
        <f>IF(H408=1,INDEX(tx_DrAcct,402)&amp;"","")</f>
        <v/>
      </c>
      <c r="J408" s="95">
        <f>IF(H408=1,INDEX(tx_DrAmt,402),0)</f>
        <v/>
      </c>
      <c r="K408" s="58">
        <f>IF(H408=1,INDEX(tx_CrAcct,402)&amp;"","")</f>
        <v/>
      </c>
      <c r="L408" s="95">
        <f>IF(H408=1,INDEX(tx_CrAmt,402),0)</f>
        <v/>
      </c>
      <c r="M408" s="95">
        <f>IF(H408=1,INDEX(tx_TaxDr,402),0)</f>
        <v/>
      </c>
      <c r="N408" s="95">
        <f>IF(H408=1,INDEX(tx_TaxCr,402),0)</f>
        <v/>
      </c>
      <c r="O408" s="101">
        <f>IF(H408=1,IF(E408&lt;FYStart,0,IF(E408&gt;FYEnd,13,YEAR(E408)*12+MONTH(E408)-FYYM+1)),"")</f>
        <v/>
      </c>
      <c r="P408" s="101">
        <f>IF(H408=1,IF(IFERROR(INDEX(coa_CF,MATCH(I408,coa_Name,0)),"")="Cash",1,0),0)</f>
        <v/>
      </c>
      <c r="Q408" s="101">
        <f>IF(H408=1,IF(IFERROR(INDEX(coa_CF,MATCH(K408,coa_Name,0)),"")="Cash",1,0),0)</f>
        <v/>
      </c>
      <c r="R408" s="58">
        <f>IF((P408-Q408)=0,"",IFERROR(INDEX(coa_CF,MATCH(IF((P408-Q408)=1,K408,I408),coa_Name,0)),"Operating"))</f>
        <v/>
      </c>
      <c r="S408" s="95">
        <f>IF((P408-Q408)=1,L408,IF((P408-Q408)=-1,-J408,0))</f>
        <v/>
      </c>
      <c r="T408" s="95">
        <f>IF((P408-Q408)=1,N408,IF((P408-Q408)=-1,-M408,0))</f>
        <v/>
      </c>
      <c r="U408" s="101">
        <f>IF(AND(H408=1,LedAcct&lt;&gt;""),IF(AND(E408&gt;=LedFrom,E408&lt;=LedTo,OR(I408=LedAcct,K408=LedAcct,AND(LedAcct=acctTax,M408+N408&lt;&gt;0))),E408*10000+B408,""),"")</f>
        <v/>
      </c>
    </row>
    <row r="409">
      <c r="B409" s="101" t="n">
        <v>403</v>
      </c>
      <c r="C409" s="58" t="inlineStr">
        <is>
          <t>Transaction</t>
        </is>
      </c>
      <c r="D409" s="58">
        <f>IF(H409=1,INDEX(tx_ID,403)&amp;"","")</f>
        <v/>
      </c>
      <c r="E409" s="94">
        <f>IF(H409=1,INDEX(tx_Date,403),"")</f>
        <v/>
      </c>
      <c r="F409" s="58">
        <f>IF(H409=1,INDEX(tx_Desc,403)&amp;"","")</f>
        <v/>
      </c>
      <c r="G409" s="58">
        <f>IF(H409=1,IF(INDEX(tx_Cust,403)&amp;""&lt;&gt;"",INDEX(tx_Cust,403)&amp;"",INDEX(tx_Vend,403)&amp;""),"")</f>
        <v/>
      </c>
      <c r="H409" s="101">
        <f>IFERROR(N(INDEX(tx_Posted,403)),0)</f>
        <v/>
      </c>
      <c r="I409" s="58">
        <f>IF(H409=1,INDEX(tx_DrAcct,403)&amp;"","")</f>
        <v/>
      </c>
      <c r="J409" s="95">
        <f>IF(H409=1,INDEX(tx_DrAmt,403),0)</f>
        <v/>
      </c>
      <c r="K409" s="58">
        <f>IF(H409=1,INDEX(tx_CrAcct,403)&amp;"","")</f>
        <v/>
      </c>
      <c r="L409" s="95">
        <f>IF(H409=1,INDEX(tx_CrAmt,403),0)</f>
        <v/>
      </c>
      <c r="M409" s="95">
        <f>IF(H409=1,INDEX(tx_TaxDr,403),0)</f>
        <v/>
      </c>
      <c r="N409" s="95">
        <f>IF(H409=1,INDEX(tx_TaxCr,403),0)</f>
        <v/>
      </c>
      <c r="O409" s="101">
        <f>IF(H409=1,IF(E409&lt;FYStart,0,IF(E409&gt;FYEnd,13,YEAR(E409)*12+MONTH(E409)-FYYM+1)),"")</f>
        <v/>
      </c>
      <c r="P409" s="101">
        <f>IF(H409=1,IF(IFERROR(INDEX(coa_CF,MATCH(I409,coa_Name,0)),"")="Cash",1,0),0)</f>
        <v/>
      </c>
      <c r="Q409" s="101">
        <f>IF(H409=1,IF(IFERROR(INDEX(coa_CF,MATCH(K409,coa_Name,0)),"")="Cash",1,0),0)</f>
        <v/>
      </c>
      <c r="R409" s="58">
        <f>IF((P409-Q409)=0,"",IFERROR(INDEX(coa_CF,MATCH(IF((P409-Q409)=1,K409,I409),coa_Name,0)),"Operating"))</f>
        <v/>
      </c>
      <c r="S409" s="95">
        <f>IF((P409-Q409)=1,L409,IF((P409-Q409)=-1,-J409,0))</f>
        <v/>
      </c>
      <c r="T409" s="95">
        <f>IF((P409-Q409)=1,N409,IF((P409-Q409)=-1,-M409,0))</f>
        <v/>
      </c>
      <c r="U409" s="101">
        <f>IF(AND(H409=1,LedAcct&lt;&gt;""),IF(AND(E409&gt;=LedFrom,E409&lt;=LedTo,OR(I409=LedAcct,K409=LedAcct,AND(LedAcct=acctTax,M409+N409&lt;&gt;0))),E409*10000+B409,""),"")</f>
        <v/>
      </c>
    </row>
    <row r="410">
      <c r="B410" s="101" t="n">
        <v>404</v>
      </c>
      <c r="C410" s="58" t="inlineStr">
        <is>
          <t>Transaction</t>
        </is>
      </c>
      <c r="D410" s="58">
        <f>IF(H410=1,INDEX(tx_ID,404)&amp;"","")</f>
        <v/>
      </c>
      <c r="E410" s="94">
        <f>IF(H410=1,INDEX(tx_Date,404),"")</f>
        <v/>
      </c>
      <c r="F410" s="58">
        <f>IF(H410=1,INDEX(tx_Desc,404)&amp;"","")</f>
        <v/>
      </c>
      <c r="G410" s="58">
        <f>IF(H410=1,IF(INDEX(tx_Cust,404)&amp;""&lt;&gt;"",INDEX(tx_Cust,404)&amp;"",INDEX(tx_Vend,404)&amp;""),"")</f>
        <v/>
      </c>
      <c r="H410" s="101">
        <f>IFERROR(N(INDEX(tx_Posted,404)),0)</f>
        <v/>
      </c>
      <c r="I410" s="58">
        <f>IF(H410=1,INDEX(tx_DrAcct,404)&amp;"","")</f>
        <v/>
      </c>
      <c r="J410" s="95">
        <f>IF(H410=1,INDEX(tx_DrAmt,404),0)</f>
        <v/>
      </c>
      <c r="K410" s="58">
        <f>IF(H410=1,INDEX(tx_CrAcct,404)&amp;"","")</f>
        <v/>
      </c>
      <c r="L410" s="95">
        <f>IF(H410=1,INDEX(tx_CrAmt,404),0)</f>
        <v/>
      </c>
      <c r="M410" s="95">
        <f>IF(H410=1,INDEX(tx_TaxDr,404),0)</f>
        <v/>
      </c>
      <c r="N410" s="95">
        <f>IF(H410=1,INDEX(tx_TaxCr,404),0)</f>
        <v/>
      </c>
      <c r="O410" s="101">
        <f>IF(H410=1,IF(E410&lt;FYStart,0,IF(E410&gt;FYEnd,13,YEAR(E410)*12+MONTH(E410)-FYYM+1)),"")</f>
        <v/>
      </c>
      <c r="P410" s="101">
        <f>IF(H410=1,IF(IFERROR(INDEX(coa_CF,MATCH(I410,coa_Name,0)),"")="Cash",1,0),0)</f>
        <v/>
      </c>
      <c r="Q410" s="101">
        <f>IF(H410=1,IF(IFERROR(INDEX(coa_CF,MATCH(K410,coa_Name,0)),"")="Cash",1,0),0)</f>
        <v/>
      </c>
      <c r="R410" s="58">
        <f>IF((P410-Q410)=0,"",IFERROR(INDEX(coa_CF,MATCH(IF((P410-Q410)=1,K410,I410),coa_Name,0)),"Operating"))</f>
        <v/>
      </c>
      <c r="S410" s="95">
        <f>IF((P410-Q410)=1,L410,IF((P410-Q410)=-1,-J410,0))</f>
        <v/>
      </c>
      <c r="T410" s="95">
        <f>IF((P410-Q410)=1,N410,IF((P410-Q410)=-1,-M410,0))</f>
        <v/>
      </c>
      <c r="U410" s="101">
        <f>IF(AND(H410=1,LedAcct&lt;&gt;""),IF(AND(E410&gt;=LedFrom,E410&lt;=LedTo,OR(I410=LedAcct,K410=LedAcct,AND(LedAcct=acctTax,M410+N410&lt;&gt;0))),E410*10000+B410,""),"")</f>
        <v/>
      </c>
    </row>
    <row r="411">
      <c r="B411" s="101" t="n">
        <v>405</v>
      </c>
      <c r="C411" s="58" t="inlineStr">
        <is>
          <t>Transaction</t>
        </is>
      </c>
      <c r="D411" s="58">
        <f>IF(H411=1,INDEX(tx_ID,405)&amp;"","")</f>
        <v/>
      </c>
      <c r="E411" s="94">
        <f>IF(H411=1,INDEX(tx_Date,405),"")</f>
        <v/>
      </c>
      <c r="F411" s="58">
        <f>IF(H411=1,INDEX(tx_Desc,405)&amp;"","")</f>
        <v/>
      </c>
      <c r="G411" s="58">
        <f>IF(H411=1,IF(INDEX(tx_Cust,405)&amp;""&lt;&gt;"",INDEX(tx_Cust,405)&amp;"",INDEX(tx_Vend,405)&amp;""),"")</f>
        <v/>
      </c>
      <c r="H411" s="101">
        <f>IFERROR(N(INDEX(tx_Posted,405)),0)</f>
        <v/>
      </c>
      <c r="I411" s="58">
        <f>IF(H411=1,INDEX(tx_DrAcct,405)&amp;"","")</f>
        <v/>
      </c>
      <c r="J411" s="95">
        <f>IF(H411=1,INDEX(tx_DrAmt,405),0)</f>
        <v/>
      </c>
      <c r="K411" s="58">
        <f>IF(H411=1,INDEX(tx_CrAcct,405)&amp;"","")</f>
        <v/>
      </c>
      <c r="L411" s="95">
        <f>IF(H411=1,INDEX(tx_CrAmt,405),0)</f>
        <v/>
      </c>
      <c r="M411" s="95">
        <f>IF(H411=1,INDEX(tx_TaxDr,405),0)</f>
        <v/>
      </c>
      <c r="N411" s="95">
        <f>IF(H411=1,INDEX(tx_TaxCr,405),0)</f>
        <v/>
      </c>
      <c r="O411" s="101">
        <f>IF(H411=1,IF(E411&lt;FYStart,0,IF(E411&gt;FYEnd,13,YEAR(E411)*12+MONTH(E411)-FYYM+1)),"")</f>
        <v/>
      </c>
      <c r="P411" s="101">
        <f>IF(H411=1,IF(IFERROR(INDEX(coa_CF,MATCH(I411,coa_Name,0)),"")="Cash",1,0),0)</f>
        <v/>
      </c>
      <c r="Q411" s="101">
        <f>IF(H411=1,IF(IFERROR(INDEX(coa_CF,MATCH(K411,coa_Name,0)),"")="Cash",1,0),0)</f>
        <v/>
      </c>
      <c r="R411" s="58">
        <f>IF((P411-Q411)=0,"",IFERROR(INDEX(coa_CF,MATCH(IF((P411-Q411)=1,K411,I411),coa_Name,0)),"Operating"))</f>
        <v/>
      </c>
      <c r="S411" s="95">
        <f>IF((P411-Q411)=1,L411,IF((P411-Q411)=-1,-J411,0))</f>
        <v/>
      </c>
      <c r="T411" s="95">
        <f>IF((P411-Q411)=1,N411,IF((P411-Q411)=-1,-M411,0))</f>
        <v/>
      </c>
      <c r="U411" s="101">
        <f>IF(AND(H411=1,LedAcct&lt;&gt;""),IF(AND(E411&gt;=LedFrom,E411&lt;=LedTo,OR(I411=LedAcct,K411=LedAcct,AND(LedAcct=acctTax,M411+N411&lt;&gt;0))),E411*10000+B411,""),"")</f>
        <v/>
      </c>
    </row>
    <row r="412">
      <c r="B412" s="101" t="n">
        <v>406</v>
      </c>
      <c r="C412" s="58" t="inlineStr">
        <is>
          <t>Transaction</t>
        </is>
      </c>
      <c r="D412" s="58">
        <f>IF(H412=1,INDEX(tx_ID,406)&amp;"","")</f>
        <v/>
      </c>
      <c r="E412" s="94">
        <f>IF(H412=1,INDEX(tx_Date,406),"")</f>
        <v/>
      </c>
      <c r="F412" s="58">
        <f>IF(H412=1,INDEX(tx_Desc,406)&amp;"","")</f>
        <v/>
      </c>
      <c r="G412" s="58">
        <f>IF(H412=1,IF(INDEX(tx_Cust,406)&amp;""&lt;&gt;"",INDEX(tx_Cust,406)&amp;"",INDEX(tx_Vend,406)&amp;""),"")</f>
        <v/>
      </c>
      <c r="H412" s="101">
        <f>IFERROR(N(INDEX(tx_Posted,406)),0)</f>
        <v/>
      </c>
      <c r="I412" s="58">
        <f>IF(H412=1,INDEX(tx_DrAcct,406)&amp;"","")</f>
        <v/>
      </c>
      <c r="J412" s="95">
        <f>IF(H412=1,INDEX(tx_DrAmt,406),0)</f>
        <v/>
      </c>
      <c r="K412" s="58">
        <f>IF(H412=1,INDEX(tx_CrAcct,406)&amp;"","")</f>
        <v/>
      </c>
      <c r="L412" s="95">
        <f>IF(H412=1,INDEX(tx_CrAmt,406),0)</f>
        <v/>
      </c>
      <c r="M412" s="95">
        <f>IF(H412=1,INDEX(tx_TaxDr,406),0)</f>
        <v/>
      </c>
      <c r="N412" s="95">
        <f>IF(H412=1,INDEX(tx_TaxCr,406),0)</f>
        <v/>
      </c>
      <c r="O412" s="101">
        <f>IF(H412=1,IF(E412&lt;FYStart,0,IF(E412&gt;FYEnd,13,YEAR(E412)*12+MONTH(E412)-FYYM+1)),"")</f>
        <v/>
      </c>
      <c r="P412" s="101">
        <f>IF(H412=1,IF(IFERROR(INDEX(coa_CF,MATCH(I412,coa_Name,0)),"")="Cash",1,0),0)</f>
        <v/>
      </c>
      <c r="Q412" s="101">
        <f>IF(H412=1,IF(IFERROR(INDEX(coa_CF,MATCH(K412,coa_Name,0)),"")="Cash",1,0),0)</f>
        <v/>
      </c>
      <c r="R412" s="58">
        <f>IF((P412-Q412)=0,"",IFERROR(INDEX(coa_CF,MATCH(IF((P412-Q412)=1,K412,I412),coa_Name,0)),"Operating"))</f>
        <v/>
      </c>
      <c r="S412" s="95">
        <f>IF((P412-Q412)=1,L412,IF((P412-Q412)=-1,-J412,0))</f>
        <v/>
      </c>
      <c r="T412" s="95">
        <f>IF((P412-Q412)=1,N412,IF((P412-Q412)=-1,-M412,0))</f>
        <v/>
      </c>
      <c r="U412" s="101">
        <f>IF(AND(H412=1,LedAcct&lt;&gt;""),IF(AND(E412&gt;=LedFrom,E412&lt;=LedTo,OR(I412=LedAcct,K412=LedAcct,AND(LedAcct=acctTax,M412+N412&lt;&gt;0))),E412*10000+B412,""),"")</f>
        <v/>
      </c>
    </row>
    <row r="413">
      <c r="B413" s="101" t="n">
        <v>407</v>
      </c>
      <c r="C413" s="58" t="inlineStr">
        <is>
          <t>Transaction</t>
        </is>
      </c>
      <c r="D413" s="58">
        <f>IF(H413=1,INDEX(tx_ID,407)&amp;"","")</f>
        <v/>
      </c>
      <c r="E413" s="94">
        <f>IF(H413=1,INDEX(tx_Date,407),"")</f>
        <v/>
      </c>
      <c r="F413" s="58">
        <f>IF(H413=1,INDEX(tx_Desc,407)&amp;"","")</f>
        <v/>
      </c>
      <c r="G413" s="58">
        <f>IF(H413=1,IF(INDEX(tx_Cust,407)&amp;""&lt;&gt;"",INDEX(tx_Cust,407)&amp;"",INDEX(tx_Vend,407)&amp;""),"")</f>
        <v/>
      </c>
      <c r="H413" s="101">
        <f>IFERROR(N(INDEX(tx_Posted,407)),0)</f>
        <v/>
      </c>
      <c r="I413" s="58">
        <f>IF(H413=1,INDEX(tx_DrAcct,407)&amp;"","")</f>
        <v/>
      </c>
      <c r="J413" s="95">
        <f>IF(H413=1,INDEX(tx_DrAmt,407),0)</f>
        <v/>
      </c>
      <c r="K413" s="58">
        <f>IF(H413=1,INDEX(tx_CrAcct,407)&amp;"","")</f>
        <v/>
      </c>
      <c r="L413" s="95">
        <f>IF(H413=1,INDEX(tx_CrAmt,407),0)</f>
        <v/>
      </c>
      <c r="M413" s="95">
        <f>IF(H413=1,INDEX(tx_TaxDr,407),0)</f>
        <v/>
      </c>
      <c r="N413" s="95">
        <f>IF(H413=1,INDEX(tx_TaxCr,407),0)</f>
        <v/>
      </c>
      <c r="O413" s="101">
        <f>IF(H413=1,IF(E413&lt;FYStart,0,IF(E413&gt;FYEnd,13,YEAR(E413)*12+MONTH(E413)-FYYM+1)),"")</f>
        <v/>
      </c>
      <c r="P413" s="101">
        <f>IF(H413=1,IF(IFERROR(INDEX(coa_CF,MATCH(I413,coa_Name,0)),"")="Cash",1,0),0)</f>
        <v/>
      </c>
      <c r="Q413" s="101">
        <f>IF(H413=1,IF(IFERROR(INDEX(coa_CF,MATCH(K413,coa_Name,0)),"")="Cash",1,0),0)</f>
        <v/>
      </c>
      <c r="R413" s="58">
        <f>IF((P413-Q413)=0,"",IFERROR(INDEX(coa_CF,MATCH(IF((P413-Q413)=1,K413,I413),coa_Name,0)),"Operating"))</f>
        <v/>
      </c>
      <c r="S413" s="95">
        <f>IF((P413-Q413)=1,L413,IF((P413-Q413)=-1,-J413,0))</f>
        <v/>
      </c>
      <c r="T413" s="95">
        <f>IF((P413-Q413)=1,N413,IF((P413-Q413)=-1,-M413,0))</f>
        <v/>
      </c>
      <c r="U413" s="101">
        <f>IF(AND(H413=1,LedAcct&lt;&gt;""),IF(AND(E413&gt;=LedFrom,E413&lt;=LedTo,OR(I413=LedAcct,K413=LedAcct,AND(LedAcct=acctTax,M413+N413&lt;&gt;0))),E413*10000+B413,""),"")</f>
        <v/>
      </c>
    </row>
    <row r="414">
      <c r="B414" s="101" t="n">
        <v>408</v>
      </c>
      <c r="C414" s="58" t="inlineStr">
        <is>
          <t>Transaction</t>
        </is>
      </c>
      <c r="D414" s="58">
        <f>IF(H414=1,INDEX(tx_ID,408)&amp;"","")</f>
        <v/>
      </c>
      <c r="E414" s="94">
        <f>IF(H414=1,INDEX(tx_Date,408),"")</f>
        <v/>
      </c>
      <c r="F414" s="58">
        <f>IF(H414=1,INDEX(tx_Desc,408)&amp;"","")</f>
        <v/>
      </c>
      <c r="G414" s="58">
        <f>IF(H414=1,IF(INDEX(tx_Cust,408)&amp;""&lt;&gt;"",INDEX(tx_Cust,408)&amp;"",INDEX(tx_Vend,408)&amp;""),"")</f>
        <v/>
      </c>
      <c r="H414" s="101">
        <f>IFERROR(N(INDEX(tx_Posted,408)),0)</f>
        <v/>
      </c>
      <c r="I414" s="58">
        <f>IF(H414=1,INDEX(tx_DrAcct,408)&amp;"","")</f>
        <v/>
      </c>
      <c r="J414" s="95">
        <f>IF(H414=1,INDEX(tx_DrAmt,408),0)</f>
        <v/>
      </c>
      <c r="K414" s="58">
        <f>IF(H414=1,INDEX(tx_CrAcct,408)&amp;"","")</f>
        <v/>
      </c>
      <c r="L414" s="95">
        <f>IF(H414=1,INDEX(tx_CrAmt,408),0)</f>
        <v/>
      </c>
      <c r="M414" s="95">
        <f>IF(H414=1,INDEX(tx_TaxDr,408),0)</f>
        <v/>
      </c>
      <c r="N414" s="95">
        <f>IF(H414=1,INDEX(tx_TaxCr,408),0)</f>
        <v/>
      </c>
      <c r="O414" s="101">
        <f>IF(H414=1,IF(E414&lt;FYStart,0,IF(E414&gt;FYEnd,13,YEAR(E414)*12+MONTH(E414)-FYYM+1)),"")</f>
        <v/>
      </c>
      <c r="P414" s="101">
        <f>IF(H414=1,IF(IFERROR(INDEX(coa_CF,MATCH(I414,coa_Name,0)),"")="Cash",1,0),0)</f>
        <v/>
      </c>
      <c r="Q414" s="101">
        <f>IF(H414=1,IF(IFERROR(INDEX(coa_CF,MATCH(K414,coa_Name,0)),"")="Cash",1,0),0)</f>
        <v/>
      </c>
      <c r="R414" s="58">
        <f>IF((P414-Q414)=0,"",IFERROR(INDEX(coa_CF,MATCH(IF((P414-Q414)=1,K414,I414),coa_Name,0)),"Operating"))</f>
        <v/>
      </c>
      <c r="S414" s="95">
        <f>IF((P414-Q414)=1,L414,IF((P414-Q414)=-1,-J414,0))</f>
        <v/>
      </c>
      <c r="T414" s="95">
        <f>IF((P414-Q414)=1,N414,IF((P414-Q414)=-1,-M414,0))</f>
        <v/>
      </c>
      <c r="U414" s="101">
        <f>IF(AND(H414=1,LedAcct&lt;&gt;""),IF(AND(E414&gt;=LedFrom,E414&lt;=LedTo,OR(I414=LedAcct,K414=LedAcct,AND(LedAcct=acctTax,M414+N414&lt;&gt;0))),E414*10000+B414,""),"")</f>
        <v/>
      </c>
    </row>
    <row r="415">
      <c r="B415" s="101" t="n">
        <v>409</v>
      </c>
      <c r="C415" s="58" t="inlineStr">
        <is>
          <t>Transaction</t>
        </is>
      </c>
      <c r="D415" s="58">
        <f>IF(H415=1,INDEX(tx_ID,409)&amp;"","")</f>
        <v/>
      </c>
      <c r="E415" s="94">
        <f>IF(H415=1,INDEX(tx_Date,409),"")</f>
        <v/>
      </c>
      <c r="F415" s="58">
        <f>IF(H415=1,INDEX(tx_Desc,409)&amp;"","")</f>
        <v/>
      </c>
      <c r="G415" s="58">
        <f>IF(H415=1,IF(INDEX(tx_Cust,409)&amp;""&lt;&gt;"",INDEX(tx_Cust,409)&amp;"",INDEX(tx_Vend,409)&amp;""),"")</f>
        <v/>
      </c>
      <c r="H415" s="101">
        <f>IFERROR(N(INDEX(tx_Posted,409)),0)</f>
        <v/>
      </c>
      <c r="I415" s="58">
        <f>IF(H415=1,INDEX(tx_DrAcct,409)&amp;"","")</f>
        <v/>
      </c>
      <c r="J415" s="95">
        <f>IF(H415=1,INDEX(tx_DrAmt,409),0)</f>
        <v/>
      </c>
      <c r="K415" s="58">
        <f>IF(H415=1,INDEX(tx_CrAcct,409)&amp;"","")</f>
        <v/>
      </c>
      <c r="L415" s="95">
        <f>IF(H415=1,INDEX(tx_CrAmt,409),0)</f>
        <v/>
      </c>
      <c r="M415" s="95">
        <f>IF(H415=1,INDEX(tx_TaxDr,409),0)</f>
        <v/>
      </c>
      <c r="N415" s="95">
        <f>IF(H415=1,INDEX(tx_TaxCr,409),0)</f>
        <v/>
      </c>
      <c r="O415" s="101">
        <f>IF(H415=1,IF(E415&lt;FYStart,0,IF(E415&gt;FYEnd,13,YEAR(E415)*12+MONTH(E415)-FYYM+1)),"")</f>
        <v/>
      </c>
      <c r="P415" s="101">
        <f>IF(H415=1,IF(IFERROR(INDEX(coa_CF,MATCH(I415,coa_Name,0)),"")="Cash",1,0),0)</f>
        <v/>
      </c>
      <c r="Q415" s="101">
        <f>IF(H415=1,IF(IFERROR(INDEX(coa_CF,MATCH(K415,coa_Name,0)),"")="Cash",1,0),0)</f>
        <v/>
      </c>
      <c r="R415" s="58">
        <f>IF((P415-Q415)=0,"",IFERROR(INDEX(coa_CF,MATCH(IF((P415-Q415)=1,K415,I415),coa_Name,0)),"Operating"))</f>
        <v/>
      </c>
      <c r="S415" s="95">
        <f>IF((P415-Q415)=1,L415,IF((P415-Q415)=-1,-J415,0))</f>
        <v/>
      </c>
      <c r="T415" s="95">
        <f>IF((P415-Q415)=1,N415,IF((P415-Q415)=-1,-M415,0))</f>
        <v/>
      </c>
      <c r="U415" s="101">
        <f>IF(AND(H415=1,LedAcct&lt;&gt;""),IF(AND(E415&gt;=LedFrom,E415&lt;=LedTo,OR(I415=LedAcct,K415=LedAcct,AND(LedAcct=acctTax,M415+N415&lt;&gt;0))),E415*10000+B415,""),"")</f>
        <v/>
      </c>
    </row>
    <row r="416">
      <c r="B416" s="101" t="n">
        <v>410</v>
      </c>
      <c r="C416" s="58" t="inlineStr">
        <is>
          <t>Transaction</t>
        </is>
      </c>
      <c r="D416" s="58">
        <f>IF(H416=1,INDEX(tx_ID,410)&amp;"","")</f>
        <v/>
      </c>
      <c r="E416" s="94">
        <f>IF(H416=1,INDEX(tx_Date,410),"")</f>
        <v/>
      </c>
      <c r="F416" s="58">
        <f>IF(H416=1,INDEX(tx_Desc,410)&amp;"","")</f>
        <v/>
      </c>
      <c r="G416" s="58">
        <f>IF(H416=1,IF(INDEX(tx_Cust,410)&amp;""&lt;&gt;"",INDEX(tx_Cust,410)&amp;"",INDEX(tx_Vend,410)&amp;""),"")</f>
        <v/>
      </c>
      <c r="H416" s="101">
        <f>IFERROR(N(INDEX(tx_Posted,410)),0)</f>
        <v/>
      </c>
      <c r="I416" s="58">
        <f>IF(H416=1,INDEX(tx_DrAcct,410)&amp;"","")</f>
        <v/>
      </c>
      <c r="J416" s="95">
        <f>IF(H416=1,INDEX(tx_DrAmt,410),0)</f>
        <v/>
      </c>
      <c r="K416" s="58">
        <f>IF(H416=1,INDEX(tx_CrAcct,410)&amp;"","")</f>
        <v/>
      </c>
      <c r="L416" s="95">
        <f>IF(H416=1,INDEX(tx_CrAmt,410),0)</f>
        <v/>
      </c>
      <c r="M416" s="95">
        <f>IF(H416=1,INDEX(tx_TaxDr,410),0)</f>
        <v/>
      </c>
      <c r="N416" s="95">
        <f>IF(H416=1,INDEX(tx_TaxCr,410),0)</f>
        <v/>
      </c>
      <c r="O416" s="101">
        <f>IF(H416=1,IF(E416&lt;FYStart,0,IF(E416&gt;FYEnd,13,YEAR(E416)*12+MONTH(E416)-FYYM+1)),"")</f>
        <v/>
      </c>
      <c r="P416" s="101">
        <f>IF(H416=1,IF(IFERROR(INDEX(coa_CF,MATCH(I416,coa_Name,0)),"")="Cash",1,0),0)</f>
        <v/>
      </c>
      <c r="Q416" s="101">
        <f>IF(H416=1,IF(IFERROR(INDEX(coa_CF,MATCH(K416,coa_Name,0)),"")="Cash",1,0),0)</f>
        <v/>
      </c>
      <c r="R416" s="58">
        <f>IF((P416-Q416)=0,"",IFERROR(INDEX(coa_CF,MATCH(IF((P416-Q416)=1,K416,I416),coa_Name,0)),"Operating"))</f>
        <v/>
      </c>
      <c r="S416" s="95">
        <f>IF((P416-Q416)=1,L416,IF((P416-Q416)=-1,-J416,0))</f>
        <v/>
      </c>
      <c r="T416" s="95">
        <f>IF((P416-Q416)=1,N416,IF((P416-Q416)=-1,-M416,0))</f>
        <v/>
      </c>
      <c r="U416" s="101">
        <f>IF(AND(H416=1,LedAcct&lt;&gt;""),IF(AND(E416&gt;=LedFrom,E416&lt;=LedTo,OR(I416=LedAcct,K416=LedAcct,AND(LedAcct=acctTax,M416+N416&lt;&gt;0))),E416*10000+B416,""),"")</f>
        <v/>
      </c>
    </row>
    <row r="417">
      <c r="B417" s="101" t="n">
        <v>411</v>
      </c>
      <c r="C417" s="58" t="inlineStr">
        <is>
          <t>Transaction</t>
        </is>
      </c>
      <c r="D417" s="58">
        <f>IF(H417=1,INDEX(tx_ID,411)&amp;"","")</f>
        <v/>
      </c>
      <c r="E417" s="94">
        <f>IF(H417=1,INDEX(tx_Date,411),"")</f>
        <v/>
      </c>
      <c r="F417" s="58">
        <f>IF(H417=1,INDEX(tx_Desc,411)&amp;"","")</f>
        <v/>
      </c>
      <c r="G417" s="58">
        <f>IF(H417=1,IF(INDEX(tx_Cust,411)&amp;""&lt;&gt;"",INDEX(tx_Cust,411)&amp;"",INDEX(tx_Vend,411)&amp;""),"")</f>
        <v/>
      </c>
      <c r="H417" s="101">
        <f>IFERROR(N(INDEX(tx_Posted,411)),0)</f>
        <v/>
      </c>
      <c r="I417" s="58">
        <f>IF(H417=1,INDEX(tx_DrAcct,411)&amp;"","")</f>
        <v/>
      </c>
      <c r="J417" s="95">
        <f>IF(H417=1,INDEX(tx_DrAmt,411),0)</f>
        <v/>
      </c>
      <c r="K417" s="58">
        <f>IF(H417=1,INDEX(tx_CrAcct,411)&amp;"","")</f>
        <v/>
      </c>
      <c r="L417" s="95">
        <f>IF(H417=1,INDEX(tx_CrAmt,411),0)</f>
        <v/>
      </c>
      <c r="M417" s="95">
        <f>IF(H417=1,INDEX(tx_TaxDr,411),0)</f>
        <v/>
      </c>
      <c r="N417" s="95">
        <f>IF(H417=1,INDEX(tx_TaxCr,411),0)</f>
        <v/>
      </c>
      <c r="O417" s="101">
        <f>IF(H417=1,IF(E417&lt;FYStart,0,IF(E417&gt;FYEnd,13,YEAR(E417)*12+MONTH(E417)-FYYM+1)),"")</f>
        <v/>
      </c>
      <c r="P417" s="101">
        <f>IF(H417=1,IF(IFERROR(INDEX(coa_CF,MATCH(I417,coa_Name,0)),"")="Cash",1,0),0)</f>
        <v/>
      </c>
      <c r="Q417" s="101">
        <f>IF(H417=1,IF(IFERROR(INDEX(coa_CF,MATCH(K417,coa_Name,0)),"")="Cash",1,0),0)</f>
        <v/>
      </c>
      <c r="R417" s="58">
        <f>IF((P417-Q417)=0,"",IFERROR(INDEX(coa_CF,MATCH(IF((P417-Q417)=1,K417,I417),coa_Name,0)),"Operating"))</f>
        <v/>
      </c>
      <c r="S417" s="95">
        <f>IF((P417-Q417)=1,L417,IF((P417-Q417)=-1,-J417,0))</f>
        <v/>
      </c>
      <c r="T417" s="95">
        <f>IF((P417-Q417)=1,N417,IF((P417-Q417)=-1,-M417,0))</f>
        <v/>
      </c>
      <c r="U417" s="101">
        <f>IF(AND(H417=1,LedAcct&lt;&gt;""),IF(AND(E417&gt;=LedFrom,E417&lt;=LedTo,OR(I417=LedAcct,K417=LedAcct,AND(LedAcct=acctTax,M417+N417&lt;&gt;0))),E417*10000+B417,""),"")</f>
        <v/>
      </c>
    </row>
    <row r="418">
      <c r="B418" s="101" t="n">
        <v>412</v>
      </c>
      <c r="C418" s="58" t="inlineStr">
        <is>
          <t>Transaction</t>
        </is>
      </c>
      <c r="D418" s="58">
        <f>IF(H418=1,INDEX(tx_ID,412)&amp;"","")</f>
        <v/>
      </c>
      <c r="E418" s="94">
        <f>IF(H418=1,INDEX(tx_Date,412),"")</f>
        <v/>
      </c>
      <c r="F418" s="58">
        <f>IF(H418=1,INDEX(tx_Desc,412)&amp;"","")</f>
        <v/>
      </c>
      <c r="G418" s="58">
        <f>IF(H418=1,IF(INDEX(tx_Cust,412)&amp;""&lt;&gt;"",INDEX(tx_Cust,412)&amp;"",INDEX(tx_Vend,412)&amp;""),"")</f>
        <v/>
      </c>
      <c r="H418" s="101">
        <f>IFERROR(N(INDEX(tx_Posted,412)),0)</f>
        <v/>
      </c>
      <c r="I418" s="58">
        <f>IF(H418=1,INDEX(tx_DrAcct,412)&amp;"","")</f>
        <v/>
      </c>
      <c r="J418" s="95">
        <f>IF(H418=1,INDEX(tx_DrAmt,412),0)</f>
        <v/>
      </c>
      <c r="K418" s="58">
        <f>IF(H418=1,INDEX(tx_CrAcct,412)&amp;"","")</f>
        <v/>
      </c>
      <c r="L418" s="95">
        <f>IF(H418=1,INDEX(tx_CrAmt,412),0)</f>
        <v/>
      </c>
      <c r="M418" s="95">
        <f>IF(H418=1,INDEX(tx_TaxDr,412),0)</f>
        <v/>
      </c>
      <c r="N418" s="95">
        <f>IF(H418=1,INDEX(tx_TaxCr,412),0)</f>
        <v/>
      </c>
      <c r="O418" s="101">
        <f>IF(H418=1,IF(E418&lt;FYStart,0,IF(E418&gt;FYEnd,13,YEAR(E418)*12+MONTH(E418)-FYYM+1)),"")</f>
        <v/>
      </c>
      <c r="P418" s="101">
        <f>IF(H418=1,IF(IFERROR(INDEX(coa_CF,MATCH(I418,coa_Name,0)),"")="Cash",1,0),0)</f>
        <v/>
      </c>
      <c r="Q418" s="101">
        <f>IF(H418=1,IF(IFERROR(INDEX(coa_CF,MATCH(K418,coa_Name,0)),"")="Cash",1,0),0)</f>
        <v/>
      </c>
      <c r="R418" s="58">
        <f>IF((P418-Q418)=0,"",IFERROR(INDEX(coa_CF,MATCH(IF((P418-Q418)=1,K418,I418),coa_Name,0)),"Operating"))</f>
        <v/>
      </c>
      <c r="S418" s="95">
        <f>IF((P418-Q418)=1,L418,IF((P418-Q418)=-1,-J418,0))</f>
        <v/>
      </c>
      <c r="T418" s="95">
        <f>IF((P418-Q418)=1,N418,IF((P418-Q418)=-1,-M418,0))</f>
        <v/>
      </c>
      <c r="U418" s="101">
        <f>IF(AND(H418=1,LedAcct&lt;&gt;""),IF(AND(E418&gt;=LedFrom,E418&lt;=LedTo,OR(I418=LedAcct,K418=LedAcct,AND(LedAcct=acctTax,M418+N418&lt;&gt;0))),E418*10000+B418,""),"")</f>
        <v/>
      </c>
    </row>
    <row r="419">
      <c r="B419" s="101" t="n">
        <v>413</v>
      </c>
      <c r="C419" s="58" t="inlineStr">
        <is>
          <t>Transaction</t>
        </is>
      </c>
      <c r="D419" s="58">
        <f>IF(H419=1,INDEX(tx_ID,413)&amp;"","")</f>
        <v/>
      </c>
      <c r="E419" s="94">
        <f>IF(H419=1,INDEX(tx_Date,413),"")</f>
        <v/>
      </c>
      <c r="F419" s="58">
        <f>IF(H419=1,INDEX(tx_Desc,413)&amp;"","")</f>
        <v/>
      </c>
      <c r="G419" s="58">
        <f>IF(H419=1,IF(INDEX(tx_Cust,413)&amp;""&lt;&gt;"",INDEX(tx_Cust,413)&amp;"",INDEX(tx_Vend,413)&amp;""),"")</f>
        <v/>
      </c>
      <c r="H419" s="101">
        <f>IFERROR(N(INDEX(tx_Posted,413)),0)</f>
        <v/>
      </c>
      <c r="I419" s="58">
        <f>IF(H419=1,INDEX(tx_DrAcct,413)&amp;"","")</f>
        <v/>
      </c>
      <c r="J419" s="95">
        <f>IF(H419=1,INDEX(tx_DrAmt,413),0)</f>
        <v/>
      </c>
      <c r="K419" s="58">
        <f>IF(H419=1,INDEX(tx_CrAcct,413)&amp;"","")</f>
        <v/>
      </c>
      <c r="L419" s="95">
        <f>IF(H419=1,INDEX(tx_CrAmt,413),0)</f>
        <v/>
      </c>
      <c r="M419" s="95">
        <f>IF(H419=1,INDEX(tx_TaxDr,413),0)</f>
        <v/>
      </c>
      <c r="N419" s="95">
        <f>IF(H419=1,INDEX(tx_TaxCr,413),0)</f>
        <v/>
      </c>
      <c r="O419" s="101">
        <f>IF(H419=1,IF(E419&lt;FYStart,0,IF(E419&gt;FYEnd,13,YEAR(E419)*12+MONTH(E419)-FYYM+1)),"")</f>
        <v/>
      </c>
      <c r="P419" s="101">
        <f>IF(H419=1,IF(IFERROR(INDEX(coa_CF,MATCH(I419,coa_Name,0)),"")="Cash",1,0),0)</f>
        <v/>
      </c>
      <c r="Q419" s="101">
        <f>IF(H419=1,IF(IFERROR(INDEX(coa_CF,MATCH(K419,coa_Name,0)),"")="Cash",1,0),0)</f>
        <v/>
      </c>
      <c r="R419" s="58">
        <f>IF((P419-Q419)=0,"",IFERROR(INDEX(coa_CF,MATCH(IF((P419-Q419)=1,K419,I419),coa_Name,0)),"Operating"))</f>
        <v/>
      </c>
      <c r="S419" s="95">
        <f>IF((P419-Q419)=1,L419,IF((P419-Q419)=-1,-J419,0))</f>
        <v/>
      </c>
      <c r="T419" s="95">
        <f>IF((P419-Q419)=1,N419,IF((P419-Q419)=-1,-M419,0))</f>
        <v/>
      </c>
      <c r="U419" s="101">
        <f>IF(AND(H419=1,LedAcct&lt;&gt;""),IF(AND(E419&gt;=LedFrom,E419&lt;=LedTo,OR(I419=LedAcct,K419=LedAcct,AND(LedAcct=acctTax,M419+N419&lt;&gt;0))),E419*10000+B419,""),"")</f>
        <v/>
      </c>
    </row>
    <row r="420">
      <c r="B420" s="101" t="n">
        <v>414</v>
      </c>
      <c r="C420" s="58" t="inlineStr">
        <is>
          <t>Transaction</t>
        </is>
      </c>
      <c r="D420" s="58">
        <f>IF(H420=1,INDEX(tx_ID,414)&amp;"","")</f>
        <v/>
      </c>
      <c r="E420" s="94">
        <f>IF(H420=1,INDEX(tx_Date,414),"")</f>
        <v/>
      </c>
      <c r="F420" s="58">
        <f>IF(H420=1,INDEX(tx_Desc,414)&amp;"","")</f>
        <v/>
      </c>
      <c r="G420" s="58">
        <f>IF(H420=1,IF(INDEX(tx_Cust,414)&amp;""&lt;&gt;"",INDEX(tx_Cust,414)&amp;"",INDEX(tx_Vend,414)&amp;""),"")</f>
        <v/>
      </c>
      <c r="H420" s="101">
        <f>IFERROR(N(INDEX(tx_Posted,414)),0)</f>
        <v/>
      </c>
      <c r="I420" s="58">
        <f>IF(H420=1,INDEX(tx_DrAcct,414)&amp;"","")</f>
        <v/>
      </c>
      <c r="J420" s="95">
        <f>IF(H420=1,INDEX(tx_DrAmt,414),0)</f>
        <v/>
      </c>
      <c r="K420" s="58">
        <f>IF(H420=1,INDEX(tx_CrAcct,414)&amp;"","")</f>
        <v/>
      </c>
      <c r="L420" s="95">
        <f>IF(H420=1,INDEX(tx_CrAmt,414),0)</f>
        <v/>
      </c>
      <c r="M420" s="95">
        <f>IF(H420=1,INDEX(tx_TaxDr,414),0)</f>
        <v/>
      </c>
      <c r="N420" s="95">
        <f>IF(H420=1,INDEX(tx_TaxCr,414),0)</f>
        <v/>
      </c>
      <c r="O420" s="101">
        <f>IF(H420=1,IF(E420&lt;FYStart,0,IF(E420&gt;FYEnd,13,YEAR(E420)*12+MONTH(E420)-FYYM+1)),"")</f>
        <v/>
      </c>
      <c r="P420" s="101">
        <f>IF(H420=1,IF(IFERROR(INDEX(coa_CF,MATCH(I420,coa_Name,0)),"")="Cash",1,0),0)</f>
        <v/>
      </c>
      <c r="Q420" s="101">
        <f>IF(H420=1,IF(IFERROR(INDEX(coa_CF,MATCH(K420,coa_Name,0)),"")="Cash",1,0),0)</f>
        <v/>
      </c>
      <c r="R420" s="58">
        <f>IF((P420-Q420)=0,"",IFERROR(INDEX(coa_CF,MATCH(IF((P420-Q420)=1,K420,I420),coa_Name,0)),"Operating"))</f>
        <v/>
      </c>
      <c r="S420" s="95">
        <f>IF((P420-Q420)=1,L420,IF((P420-Q420)=-1,-J420,0))</f>
        <v/>
      </c>
      <c r="T420" s="95">
        <f>IF((P420-Q420)=1,N420,IF((P420-Q420)=-1,-M420,0))</f>
        <v/>
      </c>
      <c r="U420" s="101">
        <f>IF(AND(H420=1,LedAcct&lt;&gt;""),IF(AND(E420&gt;=LedFrom,E420&lt;=LedTo,OR(I420=LedAcct,K420=LedAcct,AND(LedAcct=acctTax,M420+N420&lt;&gt;0))),E420*10000+B420,""),"")</f>
        <v/>
      </c>
    </row>
    <row r="421">
      <c r="B421" s="101" t="n">
        <v>415</v>
      </c>
      <c r="C421" s="58" t="inlineStr">
        <is>
          <t>Transaction</t>
        </is>
      </c>
      <c r="D421" s="58">
        <f>IF(H421=1,INDEX(tx_ID,415)&amp;"","")</f>
        <v/>
      </c>
      <c r="E421" s="94">
        <f>IF(H421=1,INDEX(tx_Date,415),"")</f>
        <v/>
      </c>
      <c r="F421" s="58">
        <f>IF(H421=1,INDEX(tx_Desc,415)&amp;"","")</f>
        <v/>
      </c>
      <c r="G421" s="58">
        <f>IF(H421=1,IF(INDEX(tx_Cust,415)&amp;""&lt;&gt;"",INDEX(tx_Cust,415)&amp;"",INDEX(tx_Vend,415)&amp;""),"")</f>
        <v/>
      </c>
      <c r="H421" s="101">
        <f>IFERROR(N(INDEX(tx_Posted,415)),0)</f>
        <v/>
      </c>
      <c r="I421" s="58">
        <f>IF(H421=1,INDEX(tx_DrAcct,415)&amp;"","")</f>
        <v/>
      </c>
      <c r="J421" s="95">
        <f>IF(H421=1,INDEX(tx_DrAmt,415),0)</f>
        <v/>
      </c>
      <c r="K421" s="58">
        <f>IF(H421=1,INDEX(tx_CrAcct,415)&amp;"","")</f>
        <v/>
      </c>
      <c r="L421" s="95">
        <f>IF(H421=1,INDEX(tx_CrAmt,415),0)</f>
        <v/>
      </c>
      <c r="M421" s="95">
        <f>IF(H421=1,INDEX(tx_TaxDr,415),0)</f>
        <v/>
      </c>
      <c r="N421" s="95">
        <f>IF(H421=1,INDEX(tx_TaxCr,415),0)</f>
        <v/>
      </c>
      <c r="O421" s="101">
        <f>IF(H421=1,IF(E421&lt;FYStart,0,IF(E421&gt;FYEnd,13,YEAR(E421)*12+MONTH(E421)-FYYM+1)),"")</f>
        <v/>
      </c>
      <c r="P421" s="101">
        <f>IF(H421=1,IF(IFERROR(INDEX(coa_CF,MATCH(I421,coa_Name,0)),"")="Cash",1,0),0)</f>
        <v/>
      </c>
      <c r="Q421" s="101">
        <f>IF(H421=1,IF(IFERROR(INDEX(coa_CF,MATCH(K421,coa_Name,0)),"")="Cash",1,0),0)</f>
        <v/>
      </c>
      <c r="R421" s="58">
        <f>IF((P421-Q421)=0,"",IFERROR(INDEX(coa_CF,MATCH(IF((P421-Q421)=1,K421,I421),coa_Name,0)),"Operating"))</f>
        <v/>
      </c>
      <c r="S421" s="95">
        <f>IF((P421-Q421)=1,L421,IF((P421-Q421)=-1,-J421,0))</f>
        <v/>
      </c>
      <c r="T421" s="95">
        <f>IF((P421-Q421)=1,N421,IF((P421-Q421)=-1,-M421,0))</f>
        <v/>
      </c>
      <c r="U421" s="101">
        <f>IF(AND(H421=1,LedAcct&lt;&gt;""),IF(AND(E421&gt;=LedFrom,E421&lt;=LedTo,OR(I421=LedAcct,K421=LedAcct,AND(LedAcct=acctTax,M421+N421&lt;&gt;0))),E421*10000+B421,""),"")</f>
        <v/>
      </c>
    </row>
    <row r="422">
      <c r="B422" s="101" t="n">
        <v>416</v>
      </c>
      <c r="C422" s="58" t="inlineStr">
        <is>
          <t>Transaction</t>
        </is>
      </c>
      <c r="D422" s="58">
        <f>IF(H422=1,INDEX(tx_ID,416)&amp;"","")</f>
        <v/>
      </c>
      <c r="E422" s="94">
        <f>IF(H422=1,INDEX(tx_Date,416),"")</f>
        <v/>
      </c>
      <c r="F422" s="58">
        <f>IF(H422=1,INDEX(tx_Desc,416)&amp;"","")</f>
        <v/>
      </c>
      <c r="G422" s="58">
        <f>IF(H422=1,IF(INDEX(tx_Cust,416)&amp;""&lt;&gt;"",INDEX(tx_Cust,416)&amp;"",INDEX(tx_Vend,416)&amp;""),"")</f>
        <v/>
      </c>
      <c r="H422" s="101">
        <f>IFERROR(N(INDEX(tx_Posted,416)),0)</f>
        <v/>
      </c>
      <c r="I422" s="58">
        <f>IF(H422=1,INDEX(tx_DrAcct,416)&amp;"","")</f>
        <v/>
      </c>
      <c r="J422" s="95">
        <f>IF(H422=1,INDEX(tx_DrAmt,416),0)</f>
        <v/>
      </c>
      <c r="K422" s="58">
        <f>IF(H422=1,INDEX(tx_CrAcct,416)&amp;"","")</f>
        <v/>
      </c>
      <c r="L422" s="95">
        <f>IF(H422=1,INDEX(tx_CrAmt,416),0)</f>
        <v/>
      </c>
      <c r="M422" s="95">
        <f>IF(H422=1,INDEX(tx_TaxDr,416),0)</f>
        <v/>
      </c>
      <c r="N422" s="95">
        <f>IF(H422=1,INDEX(tx_TaxCr,416),0)</f>
        <v/>
      </c>
      <c r="O422" s="101">
        <f>IF(H422=1,IF(E422&lt;FYStart,0,IF(E422&gt;FYEnd,13,YEAR(E422)*12+MONTH(E422)-FYYM+1)),"")</f>
        <v/>
      </c>
      <c r="P422" s="101">
        <f>IF(H422=1,IF(IFERROR(INDEX(coa_CF,MATCH(I422,coa_Name,0)),"")="Cash",1,0),0)</f>
        <v/>
      </c>
      <c r="Q422" s="101">
        <f>IF(H422=1,IF(IFERROR(INDEX(coa_CF,MATCH(K422,coa_Name,0)),"")="Cash",1,0),0)</f>
        <v/>
      </c>
      <c r="R422" s="58">
        <f>IF((P422-Q422)=0,"",IFERROR(INDEX(coa_CF,MATCH(IF((P422-Q422)=1,K422,I422),coa_Name,0)),"Operating"))</f>
        <v/>
      </c>
      <c r="S422" s="95">
        <f>IF((P422-Q422)=1,L422,IF((P422-Q422)=-1,-J422,0))</f>
        <v/>
      </c>
      <c r="T422" s="95">
        <f>IF((P422-Q422)=1,N422,IF((P422-Q422)=-1,-M422,0))</f>
        <v/>
      </c>
      <c r="U422" s="101">
        <f>IF(AND(H422=1,LedAcct&lt;&gt;""),IF(AND(E422&gt;=LedFrom,E422&lt;=LedTo,OR(I422=LedAcct,K422=LedAcct,AND(LedAcct=acctTax,M422+N422&lt;&gt;0))),E422*10000+B422,""),"")</f>
        <v/>
      </c>
    </row>
    <row r="423">
      <c r="B423" s="101" t="n">
        <v>417</v>
      </c>
      <c r="C423" s="58" t="inlineStr">
        <is>
          <t>Transaction</t>
        </is>
      </c>
      <c r="D423" s="58">
        <f>IF(H423=1,INDEX(tx_ID,417)&amp;"","")</f>
        <v/>
      </c>
      <c r="E423" s="94">
        <f>IF(H423=1,INDEX(tx_Date,417),"")</f>
        <v/>
      </c>
      <c r="F423" s="58">
        <f>IF(H423=1,INDEX(tx_Desc,417)&amp;"","")</f>
        <v/>
      </c>
      <c r="G423" s="58">
        <f>IF(H423=1,IF(INDEX(tx_Cust,417)&amp;""&lt;&gt;"",INDEX(tx_Cust,417)&amp;"",INDEX(tx_Vend,417)&amp;""),"")</f>
        <v/>
      </c>
      <c r="H423" s="101">
        <f>IFERROR(N(INDEX(tx_Posted,417)),0)</f>
        <v/>
      </c>
      <c r="I423" s="58">
        <f>IF(H423=1,INDEX(tx_DrAcct,417)&amp;"","")</f>
        <v/>
      </c>
      <c r="J423" s="95">
        <f>IF(H423=1,INDEX(tx_DrAmt,417),0)</f>
        <v/>
      </c>
      <c r="K423" s="58">
        <f>IF(H423=1,INDEX(tx_CrAcct,417)&amp;"","")</f>
        <v/>
      </c>
      <c r="L423" s="95">
        <f>IF(H423=1,INDEX(tx_CrAmt,417),0)</f>
        <v/>
      </c>
      <c r="M423" s="95">
        <f>IF(H423=1,INDEX(tx_TaxDr,417),0)</f>
        <v/>
      </c>
      <c r="N423" s="95">
        <f>IF(H423=1,INDEX(tx_TaxCr,417),0)</f>
        <v/>
      </c>
      <c r="O423" s="101">
        <f>IF(H423=1,IF(E423&lt;FYStart,0,IF(E423&gt;FYEnd,13,YEAR(E423)*12+MONTH(E423)-FYYM+1)),"")</f>
        <v/>
      </c>
      <c r="P423" s="101">
        <f>IF(H423=1,IF(IFERROR(INDEX(coa_CF,MATCH(I423,coa_Name,0)),"")="Cash",1,0),0)</f>
        <v/>
      </c>
      <c r="Q423" s="101">
        <f>IF(H423=1,IF(IFERROR(INDEX(coa_CF,MATCH(K423,coa_Name,0)),"")="Cash",1,0),0)</f>
        <v/>
      </c>
      <c r="R423" s="58">
        <f>IF((P423-Q423)=0,"",IFERROR(INDEX(coa_CF,MATCH(IF((P423-Q423)=1,K423,I423),coa_Name,0)),"Operating"))</f>
        <v/>
      </c>
      <c r="S423" s="95">
        <f>IF((P423-Q423)=1,L423,IF((P423-Q423)=-1,-J423,0))</f>
        <v/>
      </c>
      <c r="T423" s="95">
        <f>IF((P423-Q423)=1,N423,IF((P423-Q423)=-1,-M423,0))</f>
        <v/>
      </c>
      <c r="U423" s="101">
        <f>IF(AND(H423=1,LedAcct&lt;&gt;""),IF(AND(E423&gt;=LedFrom,E423&lt;=LedTo,OR(I423=LedAcct,K423=LedAcct,AND(LedAcct=acctTax,M423+N423&lt;&gt;0))),E423*10000+B423,""),"")</f>
        <v/>
      </c>
    </row>
    <row r="424">
      <c r="B424" s="101" t="n">
        <v>418</v>
      </c>
      <c r="C424" s="58" t="inlineStr">
        <is>
          <t>Transaction</t>
        </is>
      </c>
      <c r="D424" s="58">
        <f>IF(H424=1,INDEX(tx_ID,418)&amp;"","")</f>
        <v/>
      </c>
      <c r="E424" s="94">
        <f>IF(H424=1,INDEX(tx_Date,418),"")</f>
        <v/>
      </c>
      <c r="F424" s="58">
        <f>IF(H424=1,INDEX(tx_Desc,418)&amp;"","")</f>
        <v/>
      </c>
      <c r="G424" s="58">
        <f>IF(H424=1,IF(INDEX(tx_Cust,418)&amp;""&lt;&gt;"",INDEX(tx_Cust,418)&amp;"",INDEX(tx_Vend,418)&amp;""),"")</f>
        <v/>
      </c>
      <c r="H424" s="101">
        <f>IFERROR(N(INDEX(tx_Posted,418)),0)</f>
        <v/>
      </c>
      <c r="I424" s="58">
        <f>IF(H424=1,INDEX(tx_DrAcct,418)&amp;"","")</f>
        <v/>
      </c>
      <c r="J424" s="95">
        <f>IF(H424=1,INDEX(tx_DrAmt,418),0)</f>
        <v/>
      </c>
      <c r="K424" s="58">
        <f>IF(H424=1,INDEX(tx_CrAcct,418)&amp;"","")</f>
        <v/>
      </c>
      <c r="L424" s="95">
        <f>IF(H424=1,INDEX(tx_CrAmt,418),0)</f>
        <v/>
      </c>
      <c r="M424" s="95">
        <f>IF(H424=1,INDEX(tx_TaxDr,418),0)</f>
        <v/>
      </c>
      <c r="N424" s="95">
        <f>IF(H424=1,INDEX(tx_TaxCr,418),0)</f>
        <v/>
      </c>
      <c r="O424" s="101">
        <f>IF(H424=1,IF(E424&lt;FYStart,0,IF(E424&gt;FYEnd,13,YEAR(E424)*12+MONTH(E424)-FYYM+1)),"")</f>
        <v/>
      </c>
      <c r="P424" s="101">
        <f>IF(H424=1,IF(IFERROR(INDEX(coa_CF,MATCH(I424,coa_Name,0)),"")="Cash",1,0),0)</f>
        <v/>
      </c>
      <c r="Q424" s="101">
        <f>IF(H424=1,IF(IFERROR(INDEX(coa_CF,MATCH(K424,coa_Name,0)),"")="Cash",1,0),0)</f>
        <v/>
      </c>
      <c r="R424" s="58">
        <f>IF((P424-Q424)=0,"",IFERROR(INDEX(coa_CF,MATCH(IF((P424-Q424)=1,K424,I424),coa_Name,0)),"Operating"))</f>
        <v/>
      </c>
      <c r="S424" s="95">
        <f>IF((P424-Q424)=1,L424,IF((P424-Q424)=-1,-J424,0))</f>
        <v/>
      </c>
      <c r="T424" s="95">
        <f>IF((P424-Q424)=1,N424,IF((P424-Q424)=-1,-M424,0))</f>
        <v/>
      </c>
      <c r="U424" s="101">
        <f>IF(AND(H424=1,LedAcct&lt;&gt;""),IF(AND(E424&gt;=LedFrom,E424&lt;=LedTo,OR(I424=LedAcct,K424=LedAcct,AND(LedAcct=acctTax,M424+N424&lt;&gt;0))),E424*10000+B424,""),"")</f>
        <v/>
      </c>
    </row>
    <row r="425">
      <c r="B425" s="101" t="n">
        <v>419</v>
      </c>
      <c r="C425" s="58" t="inlineStr">
        <is>
          <t>Transaction</t>
        </is>
      </c>
      <c r="D425" s="58">
        <f>IF(H425=1,INDEX(tx_ID,419)&amp;"","")</f>
        <v/>
      </c>
      <c r="E425" s="94">
        <f>IF(H425=1,INDEX(tx_Date,419),"")</f>
        <v/>
      </c>
      <c r="F425" s="58">
        <f>IF(H425=1,INDEX(tx_Desc,419)&amp;"","")</f>
        <v/>
      </c>
      <c r="G425" s="58">
        <f>IF(H425=1,IF(INDEX(tx_Cust,419)&amp;""&lt;&gt;"",INDEX(tx_Cust,419)&amp;"",INDEX(tx_Vend,419)&amp;""),"")</f>
        <v/>
      </c>
      <c r="H425" s="101">
        <f>IFERROR(N(INDEX(tx_Posted,419)),0)</f>
        <v/>
      </c>
      <c r="I425" s="58">
        <f>IF(H425=1,INDEX(tx_DrAcct,419)&amp;"","")</f>
        <v/>
      </c>
      <c r="J425" s="95">
        <f>IF(H425=1,INDEX(tx_DrAmt,419),0)</f>
        <v/>
      </c>
      <c r="K425" s="58">
        <f>IF(H425=1,INDEX(tx_CrAcct,419)&amp;"","")</f>
        <v/>
      </c>
      <c r="L425" s="95">
        <f>IF(H425=1,INDEX(tx_CrAmt,419),0)</f>
        <v/>
      </c>
      <c r="M425" s="95">
        <f>IF(H425=1,INDEX(tx_TaxDr,419),0)</f>
        <v/>
      </c>
      <c r="N425" s="95">
        <f>IF(H425=1,INDEX(tx_TaxCr,419),0)</f>
        <v/>
      </c>
      <c r="O425" s="101">
        <f>IF(H425=1,IF(E425&lt;FYStart,0,IF(E425&gt;FYEnd,13,YEAR(E425)*12+MONTH(E425)-FYYM+1)),"")</f>
        <v/>
      </c>
      <c r="P425" s="101">
        <f>IF(H425=1,IF(IFERROR(INDEX(coa_CF,MATCH(I425,coa_Name,0)),"")="Cash",1,0),0)</f>
        <v/>
      </c>
      <c r="Q425" s="101">
        <f>IF(H425=1,IF(IFERROR(INDEX(coa_CF,MATCH(K425,coa_Name,0)),"")="Cash",1,0),0)</f>
        <v/>
      </c>
      <c r="R425" s="58">
        <f>IF((P425-Q425)=0,"",IFERROR(INDEX(coa_CF,MATCH(IF((P425-Q425)=1,K425,I425),coa_Name,0)),"Operating"))</f>
        <v/>
      </c>
      <c r="S425" s="95">
        <f>IF((P425-Q425)=1,L425,IF((P425-Q425)=-1,-J425,0))</f>
        <v/>
      </c>
      <c r="T425" s="95">
        <f>IF((P425-Q425)=1,N425,IF((P425-Q425)=-1,-M425,0))</f>
        <v/>
      </c>
      <c r="U425" s="101">
        <f>IF(AND(H425=1,LedAcct&lt;&gt;""),IF(AND(E425&gt;=LedFrom,E425&lt;=LedTo,OR(I425=LedAcct,K425=LedAcct,AND(LedAcct=acctTax,M425+N425&lt;&gt;0))),E425*10000+B425,""),"")</f>
        <v/>
      </c>
    </row>
    <row r="426">
      <c r="B426" s="101" t="n">
        <v>420</v>
      </c>
      <c r="C426" s="58" t="inlineStr">
        <is>
          <t>Transaction</t>
        </is>
      </c>
      <c r="D426" s="58">
        <f>IF(H426=1,INDEX(tx_ID,420)&amp;"","")</f>
        <v/>
      </c>
      <c r="E426" s="94">
        <f>IF(H426=1,INDEX(tx_Date,420),"")</f>
        <v/>
      </c>
      <c r="F426" s="58">
        <f>IF(H426=1,INDEX(tx_Desc,420)&amp;"","")</f>
        <v/>
      </c>
      <c r="G426" s="58">
        <f>IF(H426=1,IF(INDEX(tx_Cust,420)&amp;""&lt;&gt;"",INDEX(tx_Cust,420)&amp;"",INDEX(tx_Vend,420)&amp;""),"")</f>
        <v/>
      </c>
      <c r="H426" s="101">
        <f>IFERROR(N(INDEX(tx_Posted,420)),0)</f>
        <v/>
      </c>
      <c r="I426" s="58">
        <f>IF(H426=1,INDEX(tx_DrAcct,420)&amp;"","")</f>
        <v/>
      </c>
      <c r="J426" s="95">
        <f>IF(H426=1,INDEX(tx_DrAmt,420),0)</f>
        <v/>
      </c>
      <c r="K426" s="58">
        <f>IF(H426=1,INDEX(tx_CrAcct,420)&amp;"","")</f>
        <v/>
      </c>
      <c r="L426" s="95">
        <f>IF(H426=1,INDEX(tx_CrAmt,420),0)</f>
        <v/>
      </c>
      <c r="M426" s="95">
        <f>IF(H426=1,INDEX(tx_TaxDr,420),0)</f>
        <v/>
      </c>
      <c r="N426" s="95">
        <f>IF(H426=1,INDEX(tx_TaxCr,420),0)</f>
        <v/>
      </c>
      <c r="O426" s="101">
        <f>IF(H426=1,IF(E426&lt;FYStart,0,IF(E426&gt;FYEnd,13,YEAR(E426)*12+MONTH(E426)-FYYM+1)),"")</f>
        <v/>
      </c>
      <c r="P426" s="101">
        <f>IF(H426=1,IF(IFERROR(INDEX(coa_CF,MATCH(I426,coa_Name,0)),"")="Cash",1,0),0)</f>
        <v/>
      </c>
      <c r="Q426" s="101">
        <f>IF(H426=1,IF(IFERROR(INDEX(coa_CF,MATCH(K426,coa_Name,0)),"")="Cash",1,0),0)</f>
        <v/>
      </c>
      <c r="R426" s="58">
        <f>IF((P426-Q426)=0,"",IFERROR(INDEX(coa_CF,MATCH(IF((P426-Q426)=1,K426,I426),coa_Name,0)),"Operating"))</f>
        <v/>
      </c>
      <c r="S426" s="95">
        <f>IF((P426-Q426)=1,L426,IF((P426-Q426)=-1,-J426,0))</f>
        <v/>
      </c>
      <c r="T426" s="95">
        <f>IF((P426-Q426)=1,N426,IF((P426-Q426)=-1,-M426,0))</f>
        <v/>
      </c>
      <c r="U426" s="101">
        <f>IF(AND(H426=1,LedAcct&lt;&gt;""),IF(AND(E426&gt;=LedFrom,E426&lt;=LedTo,OR(I426=LedAcct,K426=LedAcct,AND(LedAcct=acctTax,M426+N426&lt;&gt;0))),E426*10000+B426,""),"")</f>
        <v/>
      </c>
    </row>
    <row r="427">
      <c r="B427" s="101" t="n">
        <v>421</v>
      </c>
      <c r="C427" s="58" t="inlineStr">
        <is>
          <t>Transaction</t>
        </is>
      </c>
      <c r="D427" s="58">
        <f>IF(H427=1,INDEX(tx_ID,421)&amp;"","")</f>
        <v/>
      </c>
      <c r="E427" s="94">
        <f>IF(H427=1,INDEX(tx_Date,421),"")</f>
        <v/>
      </c>
      <c r="F427" s="58">
        <f>IF(H427=1,INDEX(tx_Desc,421)&amp;"","")</f>
        <v/>
      </c>
      <c r="G427" s="58">
        <f>IF(H427=1,IF(INDEX(tx_Cust,421)&amp;""&lt;&gt;"",INDEX(tx_Cust,421)&amp;"",INDEX(tx_Vend,421)&amp;""),"")</f>
        <v/>
      </c>
      <c r="H427" s="101">
        <f>IFERROR(N(INDEX(tx_Posted,421)),0)</f>
        <v/>
      </c>
      <c r="I427" s="58">
        <f>IF(H427=1,INDEX(tx_DrAcct,421)&amp;"","")</f>
        <v/>
      </c>
      <c r="J427" s="95">
        <f>IF(H427=1,INDEX(tx_DrAmt,421),0)</f>
        <v/>
      </c>
      <c r="K427" s="58">
        <f>IF(H427=1,INDEX(tx_CrAcct,421)&amp;"","")</f>
        <v/>
      </c>
      <c r="L427" s="95">
        <f>IF(H427=1,INDEX(tx_CrAmt,421),0)</f>
        <v/>
      </c>
      <c r="M427" s="95">
        <f>IF(H427=1,INDEX(tx_TaxDr,421),0)</f>
        <v/>
      </c>
      <c r="N427" s="95">
        <f>IF(H427=1,INDEX(tx_TaxCr,421),0)</f>
        <v/>
      </c>
      <c r="O427" s="101">
        <f>IF(H427=1,IF(E427&lt;FYStart,0,IF(E427&gt;FYEnd,13,YEAR(E427)*12+MONTH(E427)-FYYM+1)),"")</f>
        <v/>
      </c>
      <c r="P427" s="101">
        <f>IF(H427=1,IF(IFERROR(INDEX(coa_CF,MATCH(I427,coa_Name,0)),"")="Cash",1,0),0)</f>
        <v/>
      </c>
      <c r="Q427" s="101">
        <f>IF(H427=1,IF(IFERROR(INDEX(coa_CF,MATCH(K427,coa_Name,0)),"")="Cash",1,0),0)</f>
        <v/>
      </c>
      <c r="R427" s="58">
        <f>IF((P427-Q427)=0,"",IFERROR(INDEX(coa_CF,MATCH(IF((P427-Q427)=1,K427,I427),coa_Name,0)),"Operating"))</f>
        <v/>
      </c>
      <c r="S427" s="95">
        <f>IF((P427-Q427)=1,L427,IF((P427-Q427)=-1,-J427,0))</f>
        <v/>
      </c>
      <c r="T427" s="95">
        <f>IF((P427-Q427)=1,N427,IF((P427-Q427)=-1,-M427,0))</f>
        <v/>
      </c>
      <c r="U427" s="101">
        <f>IF(AND(H427=1,LedAcct&lt;&gt;""),IF(AND(E427&gt;=LedFrom,E427&lt;=LedTo,OR(I427=LedAcct,K427=LedAcct,AND(LedAcct=acctTax,M427+N427&lt;&gt;0))),E427*10000+B427,""),"")</f>
        <v/>
      </c>
    </row>
    <row r="428">
      <c r="B428" s="101" t="n">
        <v>422</v>
      </c>
      <c r="C428" s="58" t="inlineStr">
        <is>
          <t>Transaction</t>
        </is>
      </c>
      <c r="D428" s="58">
        <f>IF(H428=1,INDEX(tx_ID,422)&amp;"","")</f>
        <v/>
      </c>
      <c r="E428" s="94">
        <f>IF(H428=1,INDEX(tx_Date,422),"")</f>
        <v/>
      </c>
      <c r="F428" s="58">
        <f>IF(H428=1,INDEX(tx_Desc,422)&amp;"","")</f>
        <v/>
      </c>
      <c r="G428" s="58">
        <f>IF(H428=1,IF(INDEX(tx_Cust,422)&amp;""&lt;&gt;"",INDEX(tx_Cust,422)&amp;"",INDEX(tx_Vend,422)&amp;""),"")</f>
        <v/>
      </c>
      <c r="H428" s="101">
        <f>IFERROR(N(INDEX(tx_Posted,422)),0)</f>
        <v/>
      </c>
      <c r="I428" s="58">
        <f>IF(H428=1,INDEX(tx_DrAcct,422)&amp;"","")</f>
        <v/>
      </c>
      <c r="J428" s="95">
        <f>IF(H428=1,INDEX(tx_DrAmt,422),0)</f>
        <v/>
      </c>
      <c r="K428" s="58">
        <f>IF(H428=1,INDEX(tx_CrAcct,422)&amp;"","")</f>
        <v/>
      </c>
      <c r="L428" s="95">
        <f>IF(H428=1,INDEX(tx_CrAmt,422),0)</f>
        <v/>
      </c>
      <c r="M428" s="95">
        <f>IF(H428=1,INDEX(tx_TaxDr,422),0)</f>
        <v/>
      </c>
      <c r="N428" s="95">
        <f>IF(H428=1,INDEX(tx_TaxCr,422),0)</f>
        <v/>
      </c>
      <c r="O428" s="101">
        <f>IF(H428=1,IF(E428&lt;FYStart,0,IF(E428&gt;FYEnd,13,YEAR(E428)*12+MONTH(E428)-FYYM+1)),"")</f>
        <v/>
      </c>
      <c r="P428" s="101">
        <f>IF(H428=1,IF(IFERROR(INDEX(coa_CF,MATCH(I428,coa_Name,0)),"")="Cash",1,0),0)</f>
        <v/>
      </c>
      <c r="Q428" s="101">
        <f>IF(H428=1,IF(IFERROR(INDEX(coa_CF,MATCH(K428,coa_Name,0)),"")="Cash",1,0),0)</f>
        <v/>
      </c>
      <c r="R428" s="58">
        <f>IF((P428-Q428)=0,"",IFERROR(INDEX(coa_CF,MATCH(IF((P428-Q428)=1,K428,I428),coa_Name,0)),"Operating"))</f>
        <v/>
      </c>
      <c r="S428" s="95">
        <f>IF((P428-Q428)=1,L428,IF((P428-Q428)=-1,-J428,0))</f>
        <v/>
      </c>
      <c r="T428" s="95">
        <f>IF((P428-Q428)=1,N428,IF((P428-Q428)=-1,-M428,0))</f>
        <v/>
      </c>
      <c r="U428" s="101">
        <f>IF(AND(H428=1,LedAcct&lt;&gt;""),IF(AND(E428&gt;=LedFrom,E428&lt;=LedTo,OR(I428=LedAcct,K428=LedAcct,AND(LedAcct=acctTax,M428+N428&lt;&gt;0))),E428*10000+B428,""),"")</f>
        <v/>
      </c>
    </row>
    <row r="429">
      <c r="B429" s="101" t="n">
        <v>423</v>
      </c>
      <c r="C429" s="58" t="inlineStr">
        <is>
          <t>Transaction</t>
        </is>
      </c>
      <c r="D429" s="58">
        <f>IF(H429=1,INDEX(tx_ID,423)&amp;"","")</f>
        <v/>
      </c>
      <c r="E429" s="94">
        <f>IF(H429=1,INDEX(tx_Date,423),"")</f>
        <v/>
      </c>
      <c r="F429" s="58">
        <f>IF(H429=1,INDEX(tx_Desc,423)&amp;"","")</f>
        <v/>
      </c>
      <c r="G429" s="58">
        <f>IF(H429=1,IF(INDEX(tx_Cust,423)&amp;""&lt;&gt;"",INDEX(tx_Cust,423)&amp;"",INDEX(tx_Vend,423)&amp;""),"")</f>
        <v/>
      </c>
      <c r="H429" s="101">
        <f>IFERROR(N(INDEX(tx_Posted,423)),0)</f>
        <v/>
      </c>
      <c r="I429" s="58">
        <f>IF(H429=1,INDEX(tx_DrAcct,423)&amp;"","")</f>
        <v/>
      </c>
      <c r="J429" s="95">
        <f>IF(H429=1,INDEX(tx_DrAmt,423),0)</f>
        <v/>
      </c>
      <c r="K429" s="58">
        <f>IF(H429=1,INDEX(tx_CrAcct,423)&amp;"","")</f>
        <v/>
      </c>
      <c r="L429" s="95">
        <f>IF(H429=1,INDEX(tx_CrAmt,423),0)</f>
        <v/>
      </c>
      <c r="M429" s="95">
        <f>IF(H429=1,INDEX(tx_TaxDr,423),0)</f>
        <v/>
      </c>
      <c r="N429" s="95">
        <f>IF(H429=1,INDEX(tx_TaxCr,423),0)</f>
        <v/>
      </c>
      <c r="O429" s="101">
        <f>IF(H429=1,IF(E429&lt;FYStart,0,IF(E429&gt;FYEnd,13,YEAR(E429)*12+MONTH(E429)-FYYM+1)),"")</f>
        <v/>
      </c>
      <c r="P429" s="101">
        <f>IF(H429=1,IF(IFERROR(INDEX(coa_CF,MATCH(I429,coa_Name,0)),"")="Cash",1,0),0)</f>
        <v/>
      </c>
      <c r="Q429" s="101">
        <f>IF(H429=1,IF(IFERROR(INDEX(coa_CF,MATCH(K429,coa_Name,0)),"")="Cash",1,0),0)</f>
        <v/>
      </c>
      <c r="R429" s="58">
        <f>IF((P429-Q429)=0,"",IFERROR(INDEX(coa_CF,MATCH(IF((P429-Q429)=1,K429,I429),coa_Name,0)),"Operating"))</f>
        <v/>
      </c>
      <c r="S429" s="95">
        <f>IF((P429-Q429)=1,L429,IF((P429-Q429)=-1,-J429,0))</f>
        <v/>
      </c>
      <c r="T429" s="95">
        <f>IF((P429-Q429)=1,N429,IF((P429-Q429)=-1,-M429,0))</f>
        <v/>
      </c>
      <c r="U429" s="101">
        <f>IF(AND(H429=1,LedAcct&lt;&gt;""),IF(AND(E429&gt;=LedFrom,E429&lt;=LedTo,OR(I429=LedAcct,K429=LedAcct,AND(LedAcct=acctTax,M429+N429&lt;&gt;0))),E429*10000+B429,""),"")</f>
        <v/>
      </c>
    </row>
    <row r="430">
      <c r="B430" s="101" t="n">
        <v>424</v>
      </c>
      <c r="C430" s="58" t="inlineStr">
        <is>
          <t>Transaction</t>
        </is>
      </c>
      <c r="D430" s="58">
        <f>IF(H430=1,INDEX(tx_ID,424)&amp;"","")</f>
        <v/>
      </c>
      <c r="E430" s="94">
        <f>IF(H430=1,INDEX(tx_Date,424),"")</f>
        <v/>
      </c>
      <c r="F430" s="58">
        <f>IF(H430=1,INDEX(tx_Desc,424)&amp;"","")</f>
        <v/>
      </c>
      <c r="G430" s="58">
        <f>IF(H430=1,IF(INDEX(tx_Cust,424)&amp;""&lt;&gt;"",INDEX(tx_Cust,424)&amp;"",INDEX(tx_Vend,424)&amp;""),"")</f>
        <v/>
      </c>
      <c r="H430" s="101">
        <f>IFERROR(N(INDEX(tx_Posted,424)),0)</f>
        <v/>
      </c>
      <c r="I430" s="58">
        <f>IF(H430=1,INDEX(tx_DrAcct,424)&amp;"","")</f>
        <v/>
      </c>
      <c r="J430" s="95">
        <f>IF(H430=1,INDEX(tx_DrAmt,424),0)</f>
        <v/>
      </c>
      <c r="K430" s="58">
        <f>IF(H430=1,INDEX(tx_CrAcct,424)&amp;"","")</f>
        <v/>
      </c>
      <c r="L430" s="95">
        <f>IF(H430=1,INDEX(tx_CrAmt,424),0)</f>
        <v/>
      </c>
      <c r="M430" s="95">
        <f>IF(H430=1,INDEX(tx_TaxDr,424),0)</f>
        <v/>
      </c>
      <c r="N430" s="95">
        <f>IF(H430=1,INDEX(tx_TaxCr,424),0)</f>
        <v/>
      </c>
      <c r="O430" s="101">
        <f>IF(H430=1,IF(E430&lt;FYStart,0,IF(E430&gt;FYEnd,13,YEAR(E430)*12+MONTH(E430)-FYYM+1)),"")</f>
        <v/>
      </c>
      <c r="P430" s="101">
        <f>IF(H430=1,IF(IFERROR(INDEX(coa_CF,MATCH(I430,coa_Name,0)),"")="Cash",1,0),0)</f>
        <v/>
      </c>
      <c r="Q430" s="101">
        <f>IF(H430=1,IF(IFERROR(INDEX(coa_CF,MATCH(K430,coa_Name,0)),"")="Cash",1,0),0)</f>
        <v/>
      </c>
      <c r="R430" s="58">
        <f>IF((P430-Q430)=0,"",IFERROR(INDEX(coa_CF,MATCH(IF((P430-Q430)=1,K430,I430),coa_Name,0)),"Operating"))</f>
        <v/>
      </c>
      <c r="S430" s="95">
        <f>IF((P430-Q430)=1,L430,IF((P430-Q430)=-1,-J430,0))</f>
        <v/>
      </c>
      <c r="T430" s="95">
        <f>IF((P430-Q430)=1,N430,IF((P430-Q430)=-1,-M430,0))</f>
        <v/>
      </c>
      <c r="U430" s="101">
        <f>IF(AND(H430=1,LedAcct&lt;&gt;""),IF(AND(E430&gt;=LedFrom,E430&lt;=LedTo,OR(I430=LedAcct,K430=LedAcct,AND(LedAcct=acctTax,M430+N430&lt;&gt;0))),E430*10000+B430,""),"")</f>
        <v/>
      </c>
    </row>
    <row r="431">
      <c r="B431" s="101" t="n">
        <v>425</v>
      </c>
      <c r="C431" s="58" t="inlineStr">
        <is>
          <t>Transaction</t>
        </is>
      </c>
      <c r="D431" s="58">
        <f>IF(H431=1,INDEX(tx_ID,425)&amp;"","")</f>
        <v/>
      </c>
      <c r="E431" s="94">
        <f>IF(H431=1,INDEX(tx_Date,425),"")</f>
        <v/>
      </c>
      <c r="F431" s="58">
        <f>IF(H431=1,INDEX(tx_Desc,425)&amp;"","")</f>
        <v/>
      </c>
      <c r="G431" s="58">
        <f>IF(H431=1,IF(INDEX(tx_Cust,425)&amp;""&lt;&gt;"",INDEX(tx_Cust,425)&amp;"",INDEX(tx_Vend,425)&amp;""),"")</f>
        <v/>
      </c>
      <c r="H431" s="101">
        <f>IFERROR(N(INDEX(tx_Posted,425)),0)</f>
        <v/>
      </c>
      <c r="I431" s="58">
        <f>IF(H431=1,INDEX(tx_DrAcct,425)&amp;"","")</f>
        <v/>
      </c>
      <c r="J431" s="95">
        <f>IF(H431=1,INDEX(tx_DrAmt,425),0)</f>
        <v/>
      </c>
      <c r="K431" s="58">
        <f>IF(H431=1,INDEX(tx_CrAcct,425)&amp;"","")</f>
        <v/>
      </c>
      <c r="L431" s="95">
        <f>IF(H431=1,INDEX(tx_CrAmt,425),0)</f>
        <v/>
      </c>
      <c r="M431" s="95">
        <f>IF(H431=1,INDEX(tx_TaxDr,425),0)</f>
        <v/>
      </c>
      <c r="N431" s="95">
        <f>IF(H431=1,INDEX(tx_TaxCr,425),0)</f>
        <v/>
      </c>
      <c r="O431" s="101">
        <f>IF(H431=1,IF(E431&lt;FYStart,0,IF(E431&gt;FYEnd,13,YEAR(E431)*12+MONTH(E431)-FYYM+1)),"")</f>
        <v/>
      </c>
      <c r="P431" s="101">
        <f>IF(H431=1,IF(IFERROR(INDEX(coa_CF,MATCH(I431,coa_Name,0)),"")="Cash",1,0),0)</f>
        <v/>
      </c>
      <c r="Q431" s="101">
        <f>IF(H431=1,IF(IFERROR(INDEX(coa_CF,MATCH(K431,coa_Name,0)),"")="Cash",1,0),0)</f>
        <v/>
      </c>
      <c r="R431" s="58">
        <f>IF((P431-Q431)=0,"",IFERROR(INDEX(coa_CF,MATCH(IF((P431-Q431)=1,K431,I431),coa_Name,0)),"Operating"))</f>
        <v/>
      </c>
      <c r="S431" s="95">
        <f>IF((P431-Q431)=1,L431,IF((P431-Q431)=-1,-J431,0))</f>
        <v/>
      </c>
      <c r="T431" s="95">
        <f>IF((P431-Q431)=1,N431,IF((P431-Q431)=-1,-M431,0))</f>
        <v/>
      </c>
      <c r="U431" s="101">
        <f>IF(AND(H431=1,LedAcct&lt;&gt;""),IF(AND(E431&gt;=LedFrom,E431&lt;=LedTo,OR(I431=LedAcct,K431=LedAcct,AND(LedAcct=acctTax,M431+N431&lt;&gt;0))),E431*10000+B431,""),"")</f>
        <v/>
      </c>
    </row>
    <row r="432">
      <c r="B432" s="101" t="n">
        <v>426</v>
      </c>
      <c r="C432" s="58" t="inlineStr">
        <is>
          <t>Transaction</t>
        </is>
      </c>
      <c r="D432" s="58">
        <f>IF(H432=1,INDEX(tx_ID,426)&amp;"","")</f>
        <v/>
      </c>
      <c r="E432" s="94">
        <f>IF(H432=1,INDEX(tx_Date,426),"")</f>
        <v/>
      </c>
      <c r="F432" s="58">
        <f>IF(H432=1,INDEX(tx_Desc,426)&amp;"","")</f>
        <v/>
      </c>
      <c r="G432" s="58">
        <f>IF(H432=1,IF(INDEX(tx_Cust,426)&amp;""&lt;&gt;"",INDEX(tx_Cust,426)&amp;"",INDEX(tx_Vend,426)&amp;""),"")</f>
        <v/>
      </c>
      <c r="H432" s="101">
        <f>IFERROR(N(INDEX(tx_Posted,426)),0)</f>
        <v/>
      </c>
      <c r="I432" s="58">
        <f>IF(H432=1,INDEX(tx_DrAcct,426)&amp;"","")</f>
        <v/>
      </c>
      <c r="J432" s="95">
        <f>IF(H432=1,INDEX(tx_DrAmt,426),0)</f>
        <v/>
      </c>
      <c r="K432" s="58">
        <f>IF(H432=1,INDEX(tx_CrAcct,426)&amp;"","")</f>
        <v/>
      </c>
      <c r="L432" s="95">
        <f>IF(H432=1,INDEX(tx_CrAmt,426),0)</f>
        <v/>
      </c>
      <c r="M432" s="95">
        <f>IF(H432=1,INDEX(tx_TaxDr,426),0)</f>
        <v/>
      </c>
      <c r="N432" s="95">
        <f>IF(H432=1,INDEX(tx_TaxCr,426),0)</f>
        <v/>
      </c>
      <c r="O432" s="101">
        <f>IF(H432=1,IF(E432&lt;FYStart,0,IF(E432&gt;FYEnd,13,YEAR(E432)*12+MONTH(E432)-FYYM+1)),"")</f>
        <v/>
      </c>
      <c r="P432" s="101">
        <f>IF(H432=1,IF(IFERROR(INDEX(coa_CF,MATCH(I432,coa_Name,0)),"")="Cash",1,0),0)</f>
        <v/>
      </c>
      <c r="Q432" s="101">
        <f>IF(H432=1,IF(IFERROR(INDEX(coa_CF,MATCH(K432,coa_Name,0)),"")="Cash",1,0),0)</f>
        <v/>
      </c>
      <c r="R432" s="58">
        <f>IF((P432-Q432)=0,"",IFERROR(INDEX(coa_CF,MATCH(IF((P432-Q432)=1,K432,I432),coa_Name,0)),"Operating"))</f>
        <v/>
      </c>
      <c r="S432" s="95">
        <f>IF((P432-Q432)=1,L432,IF((P432-Q432)=-1,-J432,0))</f>
        <v/>
      </c>
      <c r="T432" s="95">
        <f>IF((P432-Q432)=1,N432,IF((P432-Q432)=-1,-M432,0))</f>
        <v/>
      </c>
      <c r="U432" s="101">
        <f>IF(AND(H432=1,LedAcct&lt;&gt;""),IF(AND(E432&gt;=LedFrom,E432&lt;=LedTo,OR(I432=LedAcct,K432=LedAcct,AND(LedAcct=acctTax,M432+N432&lt;&gt;0))),E432*10000+B432,""),"")</f>
        <v/>
      </c>
    </row>
    <row r="433">
      <c r="B433" s="101" t="n">
        <v>427</v>
      </c>
      <c r="C433" s="58" t="inlineStr">
        <is>
          <t>Transaction</t>
        </is>
      </c>
      <c r="D433" s="58">
        <f>IF(H433=1,INDEX(tx_ID,427)&amp;"","")</f>
        <v/>
      </c>
      <c r="E433" s="94">
        <f>IF(H433=1,INDEX(tx_Date,427),"")</f>
        <v/>
      </c>
      <c r="F433" s="58">
        <f>IF(H433=1,INDEX(tx_Desc,427)&amp;"","")</f>
        <v/>
      </c>
      <c r="G433" s="58">
        <f>IF(H433=1,IF(INDEX(tx_Cust,427)&amp;""&lt;&gt;"",INDEX(tx_Cust,427)&amp;"",INDEX(tx_Vend,427)&amp;""),"")</f>
        <v/>
      </c>
      <c r="H433" s="101">
        <f>IFERROR(N(INDEX(tx_Posted,427)),0)</f>
        <v/>
      </c>
      <c r="I433" s="58">
        <f>IF(H433=1,INDEX(tx_DrAcct,427)&amp;"","")</f>
        <v/>
      </c>
      <c r="J433" s="95">
        <f>IF(H433=1,INDEX(tx_DrAmt,427),0)</f>
        <v/>
      </c>
      <c r="K433" s="58">
        <f>IF(H433=1,INDEX(tx_CrAcct,427)&amp;"","")</f>
        <v/>
      </c>
      <c r="L433" s="95">
        <f>IF(H433=1,INDEX(tx_CrAmt,427),0)</f>
        <v/>
      </c>
      <c r="M433" s="95">
        <f>IF(H433=1,INDEX(tx_TaxDr,427),0)</f>
        <v/>
      </c>
      <c r="N433" s="95">
        <f>IF(H433=1,INDEX(tx_TaxCr,427),0)</f>
        <v/>
      </c>
      <c r="O433" s="101">
        <f>IF(H433=1,IF(E433&lt;FYStart,0,IF(E433&gt;FYEnd,13,YEAR(E433)*12+MONTH(E433)-FYYM+1)),"")</f>
        <v/>
      </c>
      <c r="P433" s="101">
        <f>IF(H433=1,IF(IFERROR(INDEX(coa_CF,MATCH(I433,coa_Name,0)),"")="Cash",1,0),0)</f>
        <v/>
      </c>
      <c r="Q433" s="101">
        <f>IF(H433=1,IF(IFERROR(INDEX(coa_CF,MATCH(K433,coa_Name,0)),"")="Cash",1,0),0)</f>
        <v/>
      </c>
      <c r="R433" s="58">
        <f>IF((P433-Q433)=0,"",IFERROR(INDEX(coa_CF,MATCH(IF((P433-Q433)=1,K433,I433),coa_Name,0)),"Operating"))</f>
        <v/>
      </c>
      <c r="S433" s="95">
        <f>IF((P433-Q433)=1,L433,IF((P433-Q433)=-1,-J433,0))</f>
        <v/>
      </c>
      <c r="T433" s="95">
        <f>IF((P433-Q433)=1,N433,IF((P433-Q433)=-1,-M433,0))</f>
        <v/>
      </c>
      <c r="U433" s="101">
        <f>IF(AND(H433=1,LedAcct&lt;&gt;""),IF(AND(E433&gt;=LedFrom,E433&lt;=LedTo,OR(I433=LedAcct,K433=LedAcct,AND(LedAcct=acctTax,M433+N433&lt;&gt;0))),E433*10000+B433,""),"")</f>
        <v/>
      </c>
    </row>
    <row r="434">
      <c r="B434" s="101" t="n">
        <v>428</v>
      </c>
      <c r="C434" s="58" t="inlineStr">
        <is>
          <t>Transaction</t>
        </is>
      </c>
      <c r="D434" s="58">
        <f>IF(H434=1,INDEX(tx_ID,428)&amp;"","")</f>
        <v/>
      </c>
      <c r="E434" s="94">
        <f>IF(H434=1,INDEX(tx_Date,428),"")</f>
        <v/>
      </c>
      <c r="F434" s="58">
        <f>IF(H434=1,INDEX(tx_Desc,428)&amp;"","")</f>
        <v/>
      </c>
      <c r="G434" s="58">
        <f>IF(H434=1,IF(INDEX(tx_Cust,428)&amp;""&lt;&gt;"",INDEX(tx_Cust,428)&amp;"",INDEX(tx_Vend,428)&amp;""),"")</f>
        <v/>
      </c>
      <c r="H434" s="101">
        <f>IFERROR(N(INDEX(tx_Posted,428)),0)</f>
        <v/>
      </c>
      <c r="I434" s="58">
        <f>IF(H434=1,INDEX(tx_DrAcct,428)&amp;"","")</f>
        <v/>
      </c>
      <c r="J434" s="95">
        <f>IF(H434=1,INDEX(tx_DrAmt,428),0)</f>
        <v/>
      </c>
      <c r="K434" s="58">
        <f>IF(H434=1,INDEX(tx_CrAcct,428)&amp;"","")</f>
        <v/>
      </c>
      <c r="L434" s="95">
        <f>IF(H434=1,INDEX(tx_CrAmt,428),0)</f>
        <v/>
      </c>
      <c r="M434" s="95">
        <f>IF(H434=1,INDEX(tx_TaxDr,428),0)</f>
        <v/>
      </c>
      <c r="N434" s="95">
        <f>IF(H434=1,INDEX(tx_TaxCr,428),0)</f>
        <v/>
      </c>
      <c r="O434" s="101">
        <f>IF(H434=1,IF(E434&lt;FYStart,0,IF(E434&gt;FYEnd,13,YEAR(E434)*12+MONTH(E434)-FYYM+1)),"")</f>
        <v/>
      </c>
      <c r="P434" s="101">
        <f>IF(H434=1,IF(IFERROR(INDEX(coa_CF,MATCH(I434,coa_Name,0)),"")="Cash",1,0),0)</f>
        <v/>
      </c>
      <c r="Q434" s="101">
        <f>IF(H434=1,IF(IFERROR(INDEX(coa_CF,MATCH(K434,coa_Name,0)),"")="Cash",1,0),0)</f>
        <v/>
      </c>
      <c r="R434" s="58">
        <f>IF((P434-Q434)=0,"",IFERROR(INDEX(coa_CF,MATCH(IF((P434-Q434)=1,K434,I434),coa_Name,0)),"Operating"))</f>
        <v/>
      </c>
      <c r="S434" s="95">
        <f>IF((P434-Q434)=1,L434,IF((P434-Q434)=-1,-J434,0))</f>
        <v/>
      </c>
      <c r="T434" s="95">
        <f>IF((P434-Q434)=1,N434,IF((P434-Q434)=-1,-M434,0))</f>
        <v/>
      </c>
      <c r="U434" s="101">
        <f>IF(AND(H434=1,LedAcct&lt;&gt;""),IF(AND(E434&gt;=LedFrom,E434&lt;=LedTo,OR(I434=LedAcct,K434=LedAcct,AND(LedAcct=acctTax,M434+N434&lt;&gt;0))),E434*10000+B434,""),"")</f>
        <v/>
      </c>
    </row>
    <row r="435">
      <c r="B435" s="101" t="n">
        <v>429</v>
      </c>
      <c r="C435" s="58" t="inlineStr">
        <is>
          <t>Transaction</t>
        </is>
      </c>
      <c r="D435" s="58">
        <f>IF(H435=1,INDEX(tx_ID,429)&amp;"","")</f>
        <v/>
      </c>
      <c r="E435" s="94">
        <f>IF(H435=1,INDEX(tx_Date,429),"")</f>
        <v/>
      </c>
      <c r="F435" s="58">
        <f>IF(H435=1,INDEX(tx_Desc,429)&amp;"","")</f>
        <v/>
      </c>
      <c r="G435" s="58">
        <f>IF(H435=1,IF(INDEX(tx_Cust,429)&amp;""&lt;&gt;"",INDEX(tx_Cust,429)&amp;"",INDEX(tx_Vend,429)&amp;""),"")</f>
        <v/>
      </c>
      <c r="H435" s="101">
        <f>IFERROR(N(INDEX(tx_Posted,429)),0)</f>
        <v/>
      </c>
      <c r="I435" s="58">
        <f>IF(H435=1,INDEX(tx_DrAcct,429)&amp;"","")</f>
        <v/>
      </c>
      <c r="J435" s="95">
        <f>IF(H435=1,INDEX(tx_DrAmt,429),0)</f>
        <v/>
      </c>
      <c r="K435" s="58">
        <f>IF(H435=1,INDEX(tx_CrAcct,429)&amp;"","")</f>
        <v/>
      </c>
      <c r="L435" s="95">
        <f>IF(H435=1,INDEX(tx_CrAmt,429),0)</f>
        <v/>
      </c>
      <c r="M435" s="95">
        <f>IF(H435=1,INDEX(tx_TaxDr,429),0)</f>
        <v/>
      </c>
      <c r="N435" s="95">
        <f>IF(H435=1,INDEX(tx_TaxCr,429),0)</f>
        <v/>
      </c>
      <c r="O435" s="101">
        <f>IF(H435=1,IF(E435&lt;FYStart,0,IF(E435&gt;FYEnd,13,YEAR(E435)*12+MONTH(E435)-FYYM+1)),"")</f>
        <v/>
      </c>
      <c r="P435" s="101">
        <f>IF(H435=1,IF(IFERROR(INDEX(coa_CF,MATCH(I435,coa_Name,0)),"")="Cash",1,0),0)</f>
        <v/>
      </c>
      <c r="Q435" s="101">
        <f>IF(H435=1,IF(IFERROR(INDEX(coa_CF,MATCH(K435,coa_Name,0)),"")="Cash",1,0),0)</f>
        <v/>
      </c>
      <c r="R435" s="58">
        <f>IF((P435-Q435)=0,"",IFERROR(INDEX(coa_CF,MATCH(IF((P435-Q435)=1,K435,I435),coa_Name,0)),"Operating"))</f>
        <v/>
      </c>
      <c r="S435" s="95">
        <f>IF((P435-Q435)=1,L435,IF((P435-Q435)=-1,-J435,0))</f>
        <v/>
      </c>
      <c r="T435" s="95">
        <f>IF((P435-Q435)=1,N435,IF((P435-Q435)=-1,-M435,0))</f>
        <v/>
      </c>
      <c r="U435" s="101">
        <f>IF(AND(H435=1,LedAcct&lt;&gt;""),IF(AND(E435&gt;=LedFrom,E435&lt;=LedTo,OR(I435=LedAcct,K435=LedAcct,AND(LedAcct=acctTax,M435+N435&lt;&gt;0))),E435*10000+B435,""),"")</f>
        <v/>
      </c>
    </row>
    <row r="436">
      <c r="B436" s="101" t="n">
        <v>430</v>
      </c>
      <c r="C436" s="58" t="inlineStr">
        <is>
          <t>Transaction</t>
        </is>
      </c>
      <c r="D436" s="58">
        <f>IF(H436=1,INDEX(tx_ID,430)&amp;"","")</f>
        <v/>
      </c>
      <c r="E436" s="94">
        <f>IF(H436=1,INDEX(tx_Date,430),"")</f>
        <v/>
      </c>
      <c r="F436" s="58">
        <f>IF(H436=1,INDEX(tx_Desc,430)&amp;"","")</f>
        <v/>
      </c>
      <c r="G436" s="58">
        <f>IF(H436=1,IF(INDEX(tx_Cust,430)&amp;""&lt;&gt;"",INDEX(tx_Cust,430)&amp;"",INDEX(tx_Vend,430)&amp;""),"")</f>
        <v/>
      </c>
      <c r="H436" s="101">
        <f>IFERROR(N(INDEX(tx_Posted,430)),0)</f>
        <v/>
      </c>
      <c r="I436" s="58">
        <f>IF(H436=1,INDEX(tx_DrAcct,430)&amp;"","")</f>
        <v/>
      </c>
      <c r="J436" s="95">
        <f>IF(H436=1,INDEX(tx_DrAmt,430),0)</f>
        <v/>
      </c>
      <c r="K436" s="58">
        <f>IF(H436=1,INDEX(tx_CrAcct,430)&amp;"","")</f>
        <v/>
      </c>
      <c r="L436" s="95">
        <f>IF(H436=1,INDEX(tx_CrAmt,430),0)</f>
        <v/>
      </c>
      <c r="M436" s="95">
        <f>IF(H436=1,INDEX(tx_TaxDr,430),0)</f>
        <v/>
      </c>
      <c r="N436" s="95">
        <f>IF(H436=1,INDEX(tx_TaxCr,430),0)</f>
        <v/>
      </c>
      <c r="O436" s="101">
        <f>IF(H436=1,IF(E436&lt;FYStart,0,IF(E436&gt;FYEnd,13,YEAR(E436)*12+MONTH(E436)-FYYM+1)),"")</f>
        <v/>
      </c>
      <c r="P436" s="101">
        <f>IF(H436=1,IF(IFERROR(INDEX(coa_CF,MATCH(I436,coa_Name,0)),"")="Cash",1,0),0)</f>
        <v/>
      </c>
      <c r="Q436" s="101">
        <f>IF(H436=1,IF(IFERROR(INDEX(coa_CF,MATCH(K436,coa_Name,0)),"")="Cash",1,0),0)</f>
        <v/>
      </c>
      <c r="R436" s="58">
        <f>IF((P436-Q436)=0,"",IFERROR(INDEX(coa_CF,MATCH(IF((P436-Q436)=1,K436,I436),coa_Name,0)),"Operating"))</f>
        <v/>
      </c>
      <c r="S436" s="95">
        <f>IF((P436-Q436)=1,L436,IF((P436-Q436)=-1,-J436,0))</f>
        <v/>
      </c>
      <c r="T436" s="95">
        <f>IF((P436-Q436)=1,N436,IF((P436-Q436)=-1,-M436,0))</f>
        <v/>
      </c>
      <c r="U436" s="101">
        <f>IF(AND(H436=1,LedAcct&lt;&gt;""),IF(AND(E436&gt;=LedFrom,E436&lt;=LedTo,OR(I436=LedAcct,K436=LedAcct,AND(LedAcct=acctTax,M436+N436&lt;&gt;0))),E436*10000+B436,""),"")</f>
        <v/>
      </c>
    </row>
    <row r="437">
      <c r="B437" s="101" t="n">
        <v>431</v>
      </c>
      <c r="C437" s="58" t="inlineStr">
        <is>
          <t>Transaction</t>
        </is>
      </c>
      <c r="D437" s="58">
        <f>IF(H437=1,INDEX(tx_ID,431)&amp;"","")</f>
        <v/>
      </c>
      <c r="E437" s="94">
        <f>IF(H437=1,INDEX(tx_Date,431),"")</f>
        <v/>
      </c>
      <c r="F437" s="58">
        <f>IF(H437=1,INDEX(tx_Desc,431)&amp;"","")</f>
        <v/>
      </c>
      <c r="G437" s="58">
        <f>IF(H437=1,IF(INDEX(tx_Cust,431)&amp;""&lt;&gt;"",INDEX(tx_Cust,431)&amp;"",INDEX(tx_Vend,431)&amp;""),"")</f>
        <v/>
      </c>
      <c r="H437" s="101">
        <f>IFERROR(N(INDEX(tx_Posted,431)),0)</f>
        <v/>
      </c>
      <c r="I437" s="58">
        <f>IF(H437=1,INDEX(tx_DrAcct,431)&amp;"","")</f>
        <v/>
      </c>
      <c r="J437" s="95">
        <f>IF(H437=1,INDEX(tx_DrAmt,431),0)</f>
        <v/>
      </c>
      <c r="K437" s="58">
        <f>IF(H437=1,INDEX(tx_CrAcct,431)&amp;"","")</f>
        <v/>
      </c>
      <c r="L437" s="95">
        <f>IF(H437=1,INDEX(tx_CrAmt,431),0)</f>
        <v/>
      </c>
      <c r="M437" s="95">
        <f>IF(H437=1,INDEX(tx_TaxDr,431),0)</f>
        <v/>
      </c>
      <c r="N437" s="95">
        <f>IF(H437=1,INDEX(tx_TaxCr,431),0)</f>
        <v/>
      </c>
      <c r="O437" s="101">
        <f>IF(H437=1,IF(E437&lt;FYStart,0,IF(E437&gt;FYEnd,13,YEAR(E437)*12+MONTH(E437)-FYYM+1)),"")</f>
        <v/>
      </c>
      <c r="P437" s="101">
        <f>IF(H437=1,IF(IFERROR(INDEX(coa_CF,MATCH(I437,coa_Name,0)),"")="Cash",1,0),0)</f>
        <v/>
      </c>
      <c r="Q437" s="101">
        <f>IF(H437=1,IF(IFERROR(INDEX(coa_CF,MATCH(K437,coa_Name,0)),"")="Cash",1,0),0)</f>
        <v/>
      </c>
      <c r="R437" s="58">
        <f>IF((P437-Q437)=0,"",IFERROR(INDEX(coa_CF,MATCH(IF((P437-Q437)=1,K437,I437),coa_Name,0)),"Operating"))</f>
        <v/>
      </c>
      <c r="S437" s="95">
        <f>IF((P437-Q437)=1,L437,IF((P437-Q437)=-1,-J437,0))</f>
        <v/>
      </c>
      <c r="T437" s="95">
        <f>IF((P437-Q437)=1,N437,IF((P437-Q437)=-1,-M437,0))</f>
        <v/>
      </c>
      <c r="U437" s="101">
        <f>IF(AND(H437=1,LedAcct&lt;&gt;""),IF(AND(E437&gt;=LedFrom,E437&lt;=LedTo,OR(I437=LedAcct,K437=LedAcct,AND(LedAcct=acctTax,M437+N437&lt;&gt;0))),E437*10000+B437,""),"")</f>
        <v/>
      </c>
    </row>
    <row r="438">
      <c r="B438" s="101" t="n">
        <v>432</v>
      </c>
      <c r="C438" s="58" t="inlineStr">
        <is>
          <t>Transaction</t>
        </is>
      </c>
      <c r="D438" s="58">
        <f>IF(H438=1,INDEX(tx_ID,432)&amp;"","")</f>
        <v/>
      </c>
      <c r="E438" s="94">
        <f>IF(H438=1,INDEX(tx_Date,432),"")</f>
        <v/>
      </c>
      <c r="F438" s="58">
        <f>IF(H438=1,INDEX(tx_Desc,432)&amp;"","")</f>
        <v/>
      </c>
      <c r="G438" s="58">
        <f>IF(H438=1,IF(INDEX(tx_Cust,432)&amp;""&lt;&gt;"",INDEX(tx_Cust,432)&amp;"",INDEX(tx_Vend,432)&amp;""),"")</f>
        <v/>
      </c>
      <c r="H438" s="101">
        <f>IFERROR(N(INDEX(tx_Posted,432)),0)</f>
        <v/>
      </c>
      <c r="I438" s="58">
        <f>IF(H438=1,INDEX(tx_DrAcct,432)&amp;"","")</f>
        <v/>
      </c>
      <c r="J438" s="95">
        <f>IF(H438=1,INDEX(tx_DrAmt,432),0)</f>
        <v/>
      </c>
      <c r="K438" s="58">
        <f>IF(H438=1,INDEX(tx_CrAcct,432)&amp;"","")</f>
        <v/>
      </c>
      <c r="L438" s="95">
        <f>IF(H438=1,INDEX(tx_CrAmt,432),0)</f>
        <v/>
      </c>
      <c r="M438" s="95">
        <f>IF(H438=1,INDEX(tx_TaxDr,432),0)</f>
        <v/>
      </c>
      <c r="N438" s="95">
        <f>IF(H438=1,INDEX(tx_TaxCr,432),0)</f>
        <v/>
      </c>
      <c r="O438" s="101">
        <f>IF(H438=1,IF(E438&lt;FYStart,0,IF(E438&gt;FYEnd,13,YEAR(E438)*12+MONTH(E438)-FYYM+1)),"")</f>
        <v/>
      </c>
      <c r="P438" s="101">
        <f>IF(H438=1,IF(IFERROR(INDEX(coa_CF,MATCH(I438,coa_Name,0)),"")="Cash",1,0),0)</f>
        <v/>
      </c>
      <c r="Q438" s="101">
        <f>IF(H438=1,IF(IFERROR(INDEX(coa_CF,MATCH(K438,coa_Name,0)),"")="Cash",1,0),0)</f>
        <v/>
      </c>
      <c r="R438" s="58">
        <f>IF((P438-Q438)=0,"",IFERROR(INDEX(coa_CF,MATCH(IF((P438-Q438)=1,K438,I438),coa_Name,0)),"Operating"))</f>
        <v/>
      </c>
      <c r="S438" s="95">
        <f>IF((P438-Q438)=1,L438,IF((P438-Q438)=-1,-J438,0))</f>
        <v/>
      </c>
      <c r="T438" s="95">
        <f>IF((P438-Q438)=1,N438,IF((P438-Q438)=-1,-M438,0))</f>
        <v/>
      </c>
      <c r="U438" s="101">
        <f>IF(AND(H438=1,LedAcct&lt;&gt;""),IF(AND(E438&gt;=LedFrom,E438&lt;=LedTo,OR(I438=LedAcct,K438=LedAcct,AND(LedAcct=acctTax,M438+N438&lt;&gt;0))),E438*10000+B438,""),"")</f>
        <v/>
      </c>
    </row>
    <row r="439">
      <c r="B439" s="101" t="n">
        <v>433</v>
      </c>
      <c r="C439" s="58" t="inlineStr">
        <is>
          <t>Transaction</t>
        </is>
      </c>
      <c r="D439" s="58">
        <f>IF(H439=1,INDEX(tx_ID,433)&amp;"","")</f>
        <v/>
      </c>
      <c r="E439" s="94">
        <f>IF(H439=1,INDEX(tx_Date,433),"")</f>
        <v/>
      </c>
      <c r="F439" s="58">
        <f>IF(H439=1,INDEX(tx_Desc,433)&amp;"","")</f>
        <v/>
      </c>
      <c r="G439" s="58">
        <f>IF(H439=1,IF(INDEX(tx_Cust,433)&amp;""&lt;&gt;"",INDEX(tx_Cust,433)&amp;"",INDEX(tx_Vend,433)&amp;""),"")</f>
        <v/>
      </c>
      <c r="H439" s="101">
        <f>IFERROR(N(INDEX(tx_Posted,433)),0)</f>
        <v/>
      </c>
      <c r="I439" s="58">
        <f>IF(H439=1,INDEX(tx_DrAcct,433)&amp;"","")</f>
        <v/>
      </c>
      <c r="J439" s="95">
        <f>IF(H439=1,INDEX(tx_DrAmt,433),0)</f>
        <v/>
      </c>
      <c r="K439" s="58">
        <f>IF(H439=1,INDEX(tx_CrAcct,433)&amp;"","")</f>
        <v/>
      </c>
      <c r="L439" s="95">
        <f>IF(H439=1,INDEX(tx_CrAmt,433),0)</f>
        <v/>
      </c>
      <c r="M439" s="95">
        <f>IF(H439=1,INDEX(tx_TaxDr,433),0)</f>
        <v/>
      </c>
      <c r="N439" s="95">
        <f>IF(H439=1,INDEX(tx_TaxCr,433),0)</f>
        <v/>
      </c>
      <c r="O439" s="101">
        <f>IF(H439=1,IF(E439&lt;FYStart,0,IF(E439&gt;FYEnd,13,YEAR(E439)*12+MONTH(E439)-FYYM+1)),"")</f>
        <v/>
      </c>
      <c r="P439" s="101">
        <f>IF(H439=1,IF(IFERROR(INDEX(coa_CF,MATCH(I439,coa_Name,0)),"")="Cash",1,0),0)</f>
        <v/>
      </c>
      <c r="Q439" s="101">
        <f>IF(H439=1,IF(IFERROR(INDEX(coa_CF,MATCH(K439,coa_Name,0)),"")="Cash",1,0),0)</f>
        <v/>
      </c>
      <c r="R439" s="58">
        <f>IF((P439-Q439)=0,"",IFERROR(INDEX(coa_CF,MATCH(IF((P439-Q439)=1,K439,I439),coa_Name,0)),"Operating"))</f>
        <v/>
      </c>
      <c r="S439" s="95">
        <f>IF((P439-Q439)=1,L439,IF((P439-Q439)=-1,-J439,0))</f>
        <v/>
      </c>
      <c r="T439" s="95">
        <f>IF((P439-Q439)=1,N439,IF((P439-Q439)=-1,-M439,0))</f>
        <v/>
      </c>
      <c r="U439" s="101">
        <f>IF(AND(H439=1,LedAcct&lt;&gt;""),IF(AND(E439&gt;=LedFrom,E439&lt;=LedTo,OR(I439=LedAcct,K439=LedAcct,AND(LedAcct=acctTax,M439+N439&lt;&gt;0))),E439*10000+B439,""),"")</f>
        <v/>
      </c>
    </row>
    <row r="440">
      <c r="B440" s="101" t="n">
        <v>434</v>
      </c>
      <c r="C440" s="58" t="inlineStr">
        <is>
          <t>Transaction</t>
        </is>
      </c>
      <c r="D440" s="58">
        <f>IF(H440=1,INDEX(tx_ID,434)&amp;"","")</f>
        <v/>
      </c>
      <c r="E440" s="94">
        <f>IF(H440=1,INDEX(tx_Date,434),"")</f>
        <v/>
      </c>
      <c r="F440" s="58">
        <f>IF(H440=1,INDEX(tx_Desc,434)&amp;"","")</f>
        <v/>
      </c>
      <c r="G440" s="58">
        <f>IF(H440=1,IF(INDEX(tx_Cust,434)&amp;""&lt;&gt;"",INDEX(tx_Cust,434)&amp;"",INDEX(tx_Vend,434)&amp;""),"")</f>
        <v/>
      </c>
      <c r="H440" s="101">
        <f>IFERROR(N(INDEX(tx_Posted,434)),0)</f>
        <v/>
      </c>
      <c r="I440" s="58">
        <f>IF(H440=1,INDEX(tx_DrAcct,434)&amp;"","")</f>
        <v/>
      </c>
      <c r="J440" s="95">
        <f>IF(H440=1,INDEX(tx_DrAmt,434),0)</f>
        <v/>
      </c>
      <c r="K440" s="58">
        <f>IF(H440=1,INDEX(tx_CrAcct,434)&amp;"","")</f>
        <v/>
      </c>
      <c r="L440" s="95">
        <f>IF(H440=1,INDEX(tx_CrAmt,434),0)</f>
        <v/>
      </c>
      <c r="M440" s="95">
        <f>IF(H440=1,INDEX(tx_TaxDr,434),0)</f>
        <v/>
      </c>
      <c r="N440" s="95">
        <f>IF(H440=1,INDEX(tx_TaxCr,434),0)</f>
        <v/>
      </c>
      <c r="O440" s="101">
        <f>IF(H440=1,IF(E440&lt;FYStart,0,IF(E440&gt;FYEnd,13,YEAR(E440)*12+MONTH(E440)-FYYM+1)),"")</f>
        <v/>
      </c>
      <c r="P440" s="101">
        <f>IF(H440=1,IF(IFERROR(INDEX(coa_CF,MATCH(I440,coa_Name,0)),"")="Cash",1,0),0)</f>
        <v/>
      </c>
      <c r="Q440" s="101">
        <f>IF(H440=1,IF(IFERROR(INDEX(coa_CF,MATCH(K440,coa_Name,0)),"")="Cash",1,0),0)</f>
        <v/>
      </c>
      <c r="R440" s="58">
        <f>IF((P440-Q440)=0,"",IFERROR(INDEX(coa_CF,MATCH(IF((P440-Q440)=1,K440,I440),coa_Name,0)),"Operating"))</f>
        <v/>
      </c>
      <c r="S440" s="95">
        <f>IF((P440-Q440)=1,L440,IF((P440-Q440)=-1,-J440,0))</f>
        <v/>
      </c>
      <c r="T440" s="95">
        <f>IF((P440-Q440)=1,N440,IF((P440-Q440)=-1,-M440,0))</f>
        <v/>
      </c>
      <c r="U440" s="101">
        <f>IF(AND(H440=1,LedAcct&lt;&gt;""),IF(AND(E440&gt;=LedFrom,E440&lt;=LedTo,OR(I440=LedAcct,K440=LedAcct,AND(LedAcct=acctTax,M440+N440&lt;&gt;0))),E440*10000+B440,""),"")</f>
        <v/>
      </c>
    </row>
    <row r="441">
      <c r="B441" s="101" t="n">
        <v>435</v>
      </c>
      <c r="C441" s="58" t="inlineStr">
        <is>
          <t>Transaction</t>
        </is>
      </c>
      <c r="D441" s="58">
        <f>IF(H441=1,INDEX(tx_ID,435)&amp;"","")</f>
        <v/>
      </c>
      <c r="E441" s="94">
        <f>IF(H441=1,INDEX(tx_Date,435),"")</f>
        <v/>
      </c>
      <c r="F441" s="58">
        <f>IF(H441=1,INDEX(tx_Desc,435)&amp;"","")</f>
        <v/>
      </c>
      <c r="G441" s="58">
        <f>IF(H441=1,IF(INDEX(tx_Cust,435)&amp;""&lt;&gt;"",INDEX(tx_Cust,435)&amp;"",INDEX(tx_Vend,435)&amp;""),"")</f>
        <v/>
      </c>
      <c r="H441" s="101">
        <f>IFERROR(N(INDEX(tx_Posted,435)),0)</f>
        <v/>
      </c>
      <c r="I441" s="58">
        <f>IF(H441=1,INDEX(tx_DrAcct,435)&amp;"","")</f>
        <v/>
      </c>
      <c r="J441" s="95">
        <f>IF(H441=1,INDEX(tx_DrAmt,435),0)</f>
        <v/>
      </c>
      <c r="K441" s="58">
        <f>IF(H441=1,INDEX(tx_CrAcct,435)&amp;"","")</f>
        <v/>
      </c>
      <c r="L441" s="95">
        <f>IF(H441=1,INDEX(tx_CrAmt,435),0)</f>
        <v/>
      </c>
      <c r="M441" s="95">
        <f>IF(H441=1,INDEX(tx_TaxDr,435),0)</f>
        <v/>
      </c>
      <c r="N441" s="95">
        <f>IF(H441=1,INDEX(tx_TaxCr,435),0)</f>
        <v/>
      </c>
      <c r="O441" s="101">
        <f>IF(H441=1,IF(E441&lt;FYStart,0,IF(E441&gt;FYEnd,13,YEAR(E441)*12+MONTH(E441)-FYYM+1)),"")</f>
        <v/>
      </c>
      <c r="P441" s="101">
        <f>IF(H441=1,IF(IFERROR(INDEX(coa_CF,MATCH(I441,coa_Name,0)),"")="Cash",1,0),0)</f>
        <v/>
      </c>
      <c r="Q441" s="101">
        <f>IF(H441=1,IF(IFERROR(INDEX(coa_CF,MATCH(K441,coa_Name,0)),"")="Cash",1,0),0)</f>
        <v/>
      </c>
      <c r="R441" s="58">
        <f>IF((P441-Q441)=0,"",IFERROR(INDEX(coa_CF,MATCH(IF((P441-Q441)=1,K441,I441),coa_Name,0)),"Operating"))</f>
        <v/>
      </c>
      <c r="S441" s="95">
        <f>IF((P441-Q441)=1,L441,IF((P441-Q441)=-1,-J441,0))</f>
        <v/>
      </c>
      <c r="T441" s="95">
        <f>IF((P441-Q441)=1,N441,IF((P441-Q441)=-1,-M441,0))</f>
        <v/>
      </c>
      <c r="U441" s="101">
        <f>IF(AND(H441=1,LedAcct&lt;&gt;""),IF(AND(E441&gt;=LedFrom,E441&lt;=LedTo,OR(I441=LedAcct,K441=LedAcct,AND(LedAcct=acctTax,M441+N441&lt;&gt;0))),E441*10000+B441,""),"")</f>
        <v/>
      </c>
    </row>
    <row r="442">
      <c r="B442" s="101" t="n">
        <v>436</v>
      </c>
      <c r="C442" s="58" t="inlineStr">
        <is>
          <t>Transaction</t>
        </is>
      </c>
      <c r="D442" s="58">
        <f>IF(H442=1,INDEX(tx_ID,436)&amp;"","")</f>
        <v/>
      </c>
      <c r="E442" s="94">
        <f>IF(H442=1,INDEX(tx_Date,436),"")</f>
        <v/>
      </c>
      <c r="F442" s="58">
        <f>IF(H442=1,INDEX(tx_Desc,436)&amp;"","")</f>
        <v/>
      </c>
      <c r="G442" s="58">
        <f>IF(H442=1,IF(INDEX(tx_Cust,436)&amp;""&lt;&gt;"",INDEX(tx_Cust,436)&amp;"",INDEX(tx_Vend,436)&amp;""),"")</f>
        <v/>
      </c>
      <c r="H442" s="101">
        <f>IFERROR(N(INDEX(tx_Posted,436)),0)</f>
        <v/>
      </c>
      <c r="I442" s="58">
        <f>IF(H442=1,INDEX(tx_DrAcct,436)&amp;"","")</f>
        <v/>
      </c>
      <c r="J442" s="95">
        <f>IF(H442=1,INDEX(tx_DrAmt,436),0)</f>
        <v/>
      </c>
      <c r="K442" s="58">
        <f>IF(H442=1,INDEX(tx_CrAcct,436)&amp;"","")</f>
        <v/>
      </c>
      <c r="L442" s="95">
        <f>IF(H442=1,INDEX(tx_CrAmt,436),0)</f>
        <v/>
      </c>
      <c r="M442" s="95">
        <f>IF(H442=1,INDEX(tx_TaxDr,436),0)</f>
        <v/>
      </c>
      <c r="N442" s="95">
        <f>IF(H442=1,INDEX(tx_TaxCr,436),0)</f>
        <v/>
      </c>
      <c r="O442" s="101">
        <f>IF(H442=1,IF(E442&lt;FYStart,0,IF(E442&gt;FYEnd,13,YEAR(E442)*12+MONTH(E442)-FYYM+1)),"")</f>
        <v/>
      </c>
      <c r="P442" s="101">
        <f>IF(H442=1,IF(IFERROR(INDEX(coa_CF,MATCH(I442,coa_Name,0)),"")="Cash",1,0),0)</f>
        <v/>
      </c>
      <c r="Q442" s="101">
        <f>IF(H442=1,IF(IFERROR(INDEX(coa_CF,MATCH(K442,coa_Name,0)),"")="Cash",1,0),0)</f>
        <v/>
      </c>
      <c r="R442" s="58">
        <f>IF((P442-Q442)=0,"",IFERROR(INDEX(coa_CF,MATCH(IF((P442-Q442)=1,K442,I442),coa_Name,0)),"Operating"))</f>
        <v/>
      </c>
      <c r="S442" s="95">
        <f>IF((P442-Q442)=1,L442,IF((P442-Q442)=-1,-J442,0))</f>
        <v/>
      </c>
      <c r="T442" s="95">
        <f>IF((P442-Q442)=1,N442,IF((P442-Q442)=-1,-M442,0))</f>
        <v/>
      </c>
      <c r="U442" s="101">
        <f>IF(AND(H442=1,LedAcct&lt;&gt;""),IF(AND(E442&gt;=LedFrom,E442&lt;=LedTo,OR(I442=LedAcct,K442=LedAcct,AND(LedAcct=acctTax,M442+N442&lt;&gt;0))),E442*10000+B442,""),"")</f>
        <v/>
      </c>
    </row>
    <row r="443">
      <c r="B443" s="101" t="n">
        <v>437</v>
      </c>
      <c r="C443" s="58" t="inlineStr">
        <is>
          <t>Transaction</t>
        </is>
      </c>
      <c r="D443" s="58">
        <f>IF(H443=1,INDEX(tx_ID,437)&amp;"","")</f>
        <v/>
      </c>
      <c r="E443" s="94">
        <f>IF(H443=1,INDEX(tx_Date,437),"")</f>
        <v/>
      </c>
      <c r="F443" s="58">
        <f>IF(H443=1,INDEX(tx_Desc,437)&amp;"","")</f>
        <v/>
      </c>
      <c r="G443" s="58">
        <f>IF(H443=1,IF(INDEX(tx_Cust,437)&amp;""&lt;&gt;"",INDEX(tx_Cust,437)&amp;"",INDEX(tx_Vend,437)&amp;""),"")</f>
        <v/>
      </c>
      <c r="H443" s="101">
        <f>IFERROR(N(INDEX(tx_Posted,437)),0)</f>
        <v/>
      </c>
      <c r="I443" s="58">
        <f>IF(H443=1,INDEX(tx_DrAcct,437)&amp;"","")</f>
        <v/>
      </c>
      <c r="J443" s="95">
        <f>IF(H443=1,INDEX(tx_DrAmt,437),0)</f>
        <v/>
      </c>
      <c r="K443" s="58">
        <f>IF(H443=1,INDEX(tx_CrAcct,437)&amp;"","")</f>
        <v/>
      </c>
      <c r="L443" s="95">
        <f>IF(H443=1,INDEX(tx_CrAmt,437),0)</f>
        <v/>
      </c>
      <c r="M443" s="95">
        <f>IF(H443=1,INDEX(tx_TaxDr,437),0)</f>
        <v/>
      </c>
      <c r="N443" s="95">
        <f>IF(H443=1,INDEX(tx_TaxCr,437),0)</f>
        <v/>
      </c>
      <c r="O443" s="101">
        <f>IF(H443=1,IF(E443&lt;FYStart,0,IF(E443&gt;FYEnd,13,YEAR(E443)*12+MONTH(E443)-FYYM+1)),"")</f>
        <v/>
      </c>
      <c r="P443" s="101">
        <f>IF(H443=1,IF(IFERROR(INDEX(coa_CF,MATCH(I443,coa_Name,0)),"")="Cash",1,0),0)</f>
        <v/>
      </c>
      <c r="Q443" s="101">
        <f>IF(H443=1,IF(IFERROR(INDEX(coa_CF,MATCH(K443,coa_Name,0)),"")="Cash",1,0),0)</f>
        <v/>
      </c>
      <c r="R443" s="58">
        <f>IF((P443-Q443)=0,"",IFERROR(INDEX(coa_CF,MATCH(IF((P443-Q443)=1,K443,I443),coa_Name,0)),"Operating"))</f>
        <v/>
      </c>
      <c r="S443" s="95">
        <f>IF((P443-Q443)=1,L443,IF((P443-Q443)=-1,-J443,0))</f>
        <v/>
      </c>
      <c r="T443" s="95">
        <f>IF((P443-Q443)=1,N443,IF((P443-Q443)=-1,-M443,0))</f>
        <v/>
      </c>
      <c r="U443" s="101">
        <f>IF(AND(H443=1,LedAcct&lt;&gt;""),IF(AND(E443&gt;=LedFrom,E443&lt;=LedTo,OR(I443=LedAcct,K443=LedAcct,AND(LedAcct=acctTax,M443+N443&lt;&gt;0))),E443*10000+B443,""),"")</f>
        <v/>
      </c>
    </row>
    <row r="444">
      <c r="B444" s="101" t="n">
        <v>438</v>
      </c>
      <c r="C444" s="58" t="inlineStr">
        <is>
          <t>Transaction</t>
        </is>
      </c>
      <c r="D444" s="58">
        <f>IF(H444=1,INDEX(tx_ID,438)&amp;"","")</f>
        <v/>
      </c>
      <c r="E444" s="94">
        <f>IF(H444=1,INDEX(tx_Date,438),"")</f>
        <v/>
      </c>
      <c r="F444" s="58">
        <f>IF(H444=1,INDEX(tx_Desc,438)&amp;"","")</f>
        <v/>
      </c>
      <c r="G444" s="58">
        <f>IF(H444=1,IF(INDEX(tx_Cust,438)&amp;""&lt;&gt;"",INDEX(tx_Cust,438)&amp;"",INDEX(tx_Vend,438)&amp;""),"")</f>
        <v/>
      </c>
      <c r="H444" s="101">
        <f>IFERROR(N(INDEX(tx_Posted,438)),0)</f>
        <v/>
      </c>
      <c r="I444" s="58">
        <f>IF(H444=1,INDEX(tx_DrAcct,438)&amp;"","")</f>
        <v/>
      </c>
      <c r="J444" s="95">
        <f>IF(H444=1,INDEX(tx_DrAmt,438),0)</f>
        <v/>
      </c>
      <c r="K444" s="58">
        <f>IF(H444=1,INDEX(tx_CrAcct,438)&amp;"","")</f>
        <v/>
      </c>
      <c r="L444" s="95">
        <f>IF(H444=1,INDEX(tx_CrAmt,438),0)</f>
        <v/>
      </c>
      <c r="M444" s="95">
        <f>IF(H444=1,INDEX(tx_TaxDr,438),0)</f>
        <v/>
      </c>
      <c r="N444" s="95">
        <f>IF(H444=1,INDEX(tx_TaxCr,438),0)</f>
        <v/>
      </c>
      <c r="O444" s="101">
        <f>IF(H444=1,IF(E444&lt;FYStart,0,IF(E444&gt;FYEnd,13,YEAR(E444)*12+MONTH(E444)-FYYM+1)),"")</f>
        <v/>
      </c>
      <c r="P444" s="101">
        <f>IF(H444=1,IF(IFERROR(INDEX(coa_CF,MATCH(I444,coa_Name,0)),"")="Cash",1,0),0)</f>
        <v/>
      </c>
      <c r="Q444" s="101">
        <f>IF(H444=1,IF(IFERROR(INDEX(coa_CF,MATCH(K444,coa_Name,0)),"")="Cash",1,0),0)</f>
        <v/>
      </c>
      <c r="R444" s="58">
        <f>IF((P444-Q444)=0,"",IFERROR(INDEX(coa_CF,MATCH(IF((P444-Q444)=1,K444,I444),coa_Name,0)),"Operating"))</f>
        <v/>
      </c>
      <c r="S444" s="95">
        <f>IF((P444-Q444)=1,L444,IF((P444-Q444)=-1,-J444,0))</f>
        <v/>
      </c>
      <c r="T444" s="95">
        <f>IF((P444-Q444)=1,N444,IF((P444-Q444)=-1,-M444,0))</f>
        <v/>
      </c>
      <c r="U444" s="101">
        <f>IF(AND(H444=1,LedAcct&lt;&gt;""),IF(AND(E444&gt;=LedFrom,E444&lt;=LedTo,OR(I444=LedAcct,K444=LedAcct,AND(LedAcct=acctTax,M444+N444&lt;&gt;0))),E444*10000+B444,""),"")</f>
        <v/>
      </c>
    </row>
    <row r="445">
      <c r="B445" s="101" t="n">
        <v>439</v>
      </c>
      <c r="C445" s="58" t="inlineStr">
        <is>
          <t>Transaction</t>
        </is>
      </c>
      <c r="D445" s="58">
        <f>IF(H445=1,INDEX(tx_ID,439)&amp;"","")</f>
        <v/>
      </c>
      <c r="E445" s="94">
        <f>IF(H445=1,INDEX(tx_Date,439),"")</f>
        <v/>
      </c>
      <c r="F445" s="58">
        <f>IF(H445=1,INDEX(tx_Desc,439)&amp;"","")</f>
        <v/>
      </c>
      <c r="G445" s="58">
        <f>IF(H445=1,IF(INDEX(tx_Cust,439)&amp;""&lt;&gt;"",INDEX(tx_Cust,439)&amp;"",INDEX(tx_Vend,439)&amp;""),"")</f>
        <v/>
      </c>
      <c r="H445" s="101">
        <f>IFERROR(N(INDEX(tx_Posted,439)),0)</f>
        <v/>
      </c>
      <c r="I445" s="58">
        <f>IF(H445=1,INDEX(tx_DrAcct,439)&amp;"","")</f>
        <v/>
      </c>
      <c r="J445" s="95">
        <f>IF(H445=1,INDEX(tx_DrAmt,439),0)</f>
        <v/>
      </c>
      <c r="K445" s="58">
        <f>IF(H445=1,INDEX(tx_CrAcct,439)&amp;"","")</f>
        <v/>
      </c>
      <c r="L445" s="95">
        <f>IF(H445=1,INDEX(tx_CrAmt,439),0)</f>
        <v/>
      </c>
      <c r="M445" s="95">
        <f>IF(H445=1,INDEX(tx_TaxDr,439),0)</f>
        <v/>
      </c>
      <c r="N445" s="95">
        <f>IF(H445=1,INDEX(tx_TaxCr,439),0)</f>
        <v/>
      </c>
      <c r="O445" s="101">
        <f>IF(H445=1,IF(E445&lt;FYStart,0,IF(E445&gt;FYEnd,13,YEAR(E445)*12+MONTH(E445)-FYYM+1)),"")</f>
        <v/>
      </c>
      <c r="P445" s="101">
        <f>IF(H445=1,IF(IFERROR(INDEX(coa_CF,MATCH(I445,coa_Name,0)),"")="Cash",1,0),0)</f>
        <v/>
      </c>
      <c r="Q445" s="101">
        <f>IF(H445=1,IF(IFERROR(INDEX(coa_CF,MATCH(K445,coa_Name,0)),"")="Cash",1,0),0)</f>
        <v/>
      </c>
      <c r="R445" s="58">
        <f>IF((P445-Q445)=0,"",IFERROR(INDEX(coa_CF,MATCH(IF((P445-Q445)=1,K445,I445),coa_Name,0)),"Operating"))</f>
        <v/>
      </c>
      <c r="S445" s="95">
        <f>IF((P445-Q445)=1,L445,IF((P445-Q445)=-1,-J445,0))</f>
        <v/>
      </c>
      <c r="T445" s="95">
        <f>IF((P445-Q445)=1,N445,IF((P445-Q445)=-1,-M445,0))</f>
        <v/>
      </c>
      <c r="U445" s="101">
        <f>IF(AND(H445=1,LedAcct&lt;&gt;""),IF(AND(E445&gt;=LedFrom,E445&lt;=LedTo,OR(I445=LedAcct,K445=LedAcct,AND(LedAcct=acctTax,M445+N445&lt;&gt;0))),E445*10000+B445,""),"")</f>
        <v/>
      </c>
    </row>
    <row r="446">
      <c r="B446" s="101" t="n">
        <v>440</v>
      </c>
      <c r="C446" s="58" t="inlineStr">
        <is>
          <t>Transaction</t>
        </is>
      </c>
      <c r="D446" s="58">
        <f>IF(H446=1,INDEX(tx_ID,440)&amp;"","")</f>
        <v/>
      </c>
      <c r="E446" s="94">
        <f>IF(H446=1,INDEX(tx_Date,440),"")</f>
        <v/>
      </c>
      <c r="F446" s="58">
        <f>IF(H446=1,INDEX(tx_Desc,440)&amp;"","")</f>
        <v/>
      </c>
      <c r="G446" s="58">
        <f>IF(H446=1,IF(INDEX(tx_Cust,440)&amp;""&lt;&gt;"",INDEX(tx_Cust,440)&amp;"",INDEX(tx_Vend,440)&amp;""),"")</f>
        <v/>
      </c>
      <c r="H446" s="101">
        <f>IFERROR(N(INDEX(tx_Posted,440)),0)</f>
        <v/>
      </c>
      <c r="I446" s="58">
        <f>IF(H446=1,INDEX(tx_DrAcct,440)&amp;"","")</f>
        <v/>
      </c>
      <c r="J446" s="95">
        <f>IF(H446=1,INDEX(tx_DrAmt,440),0)</f>
        <v/>
      </c>
      <c r="K446" s="58">
        <f>IF(H446=1,INDEX(tx_CrAcct,440)&amp;"","")</f>
        <v/>
      </c>
      <c r="L446" s="95">
        <f>IF(H446=1,INDEX(tx_CrAmt,440),0)</f>
        <v/>
      </c>
      <c r="M446" s="95">
        <f>IF(H446=1,INDEX(tx_TaxDr,440),0)</f>
        <v/>
      </c>
      <c r="N446" s="95">
        <f>IF(H446=1,INDEX(tx_TaxCr,440),0)</f>
        <v/>
      </c>
      <c r="O446" s="101">
        <f>IF(H446=1,IF(E446&lt;FYStart,0,IF(E446&gt;FYEnd,13,YEAR(E446)*12+MONTH(E446)-FYYM+1)),"")</f>
        <v/>
      </c>
      <c r="P446" s="101">
        <f>IF(H446=1,IF(IFERROR(INDEX(coa_CF,MATCH(I446,coa_Name,0)),"")="Cash",1,0),0)</f>
        <v/>
      </c>
      <c r="Q446" s="101">
        <f>IF(H446=1,IF(IFERROR(INDEX(coa_CF,MATCH(K446,coa_Name,0)),"")="Cash",1,0),0)</f>
        <v/>
      </c>
      <c r="R446" s="58">
        <f>IF((P446-Q446)=0,"",IFERROR(INDEX(coa_CF,MATCH(IF((P446-Q446)=1,K446,I446),coa_Name,0)),"Operating"))</f>
        <v/>
      </c>
      <c r="S446" s="95">
        <f>IF((P446-Q446)=1,L446,IF((P446-Q446)=-1,-J446,0))</f>
        <v/>
      </c>
      <c r="T446" s="95">
        <f>IF((P446-Q446)=1,N446,IF((P446-Q446)=-1,-M446,0))</f>
        <v/>
      </c>
      <c r="U446" s="101">
        <f>IF(AND(H446=1,LedAcct&lt;&gt;""),IF(AND(E446&gt;=LedFrom,E446&lt;=LedTo,OR(I446=LedAcct,K446=LedAcct,AND(LedAcct=acctTax,M446+N446&lt;&gt;0))),E446*10000+B446,""),"")</f>
        <v/>
      </c>
    </row>
    <row r="447">
      <c r="B447" s="101" t="n">
        <v>441</v>
      </c>
      <c r="C447" s="58" t="inlineStr">
        <is>
          <t>Transaction</t>
        </is>
      </c>
      <c r="D447" s="58">
        <f>IF(H447=1,INDEX(tx_ID,441)&amp;"","")</f>
        <v/>
      </c>
      <c r="E447" s="94">
        <f>IF(H447=1,INDEX(tx_Date,441),"")</f>
        <v/>
      </c>
      <c r="F447" s="58">
        <f>IF(H447=1,INDEX(tx_Desc,441)&amp;"","")</f>
        <v/>
      </c>
      <c r="G447" s="58">
        <f>IF(H447=1,IF(INDEX(tx_Cust,441)&amp;""&lt;&gt;"",INDEX(tx_Cust,441)&amp;"",INDEX(tx_Vend,441)&amp;""),"")</f>
        <v/>
      </c>
      <c r="H447" s="101">
        <f>IFERROR(N(INDEX(tx_Posted,441)),0)</f>
        <v/>
      </c>
      <c r="I447" s="58">
        <f>IF(H447=1,INDEX(tx_DrAcct,441)&amp;"","")</f>
        <v/>
      </c>
      <c r="J447" s="95">
        <f>IF(H447=1,INDEX(tx_DrAmt,441),0)</f>
        <v/>
      </c>
      <c r="K447" s="58">
        <f>IF(H447=1,INDEX(tx_CrAcct,441)&amp;"","")</f>
        <v/>
      </c>
      <c r="L447" s="95">
        <f>IF(H447=1,INDEX(tx_CrAmt,441),0)</f>
        <v/>
      </c>
      <c r="M447" s="95">
        <f>IF(H447=1,INDEX(tx_TaxDr,441),0)</f>
        <v/>
      </c>
      <c r="N447" s="95">
        <f>IF(H447=1,INDEX(tx_TaxCr,441),0)</f>
        <v/>
      </c>
      <c r="O447" s="101">
        <f>IF(H447=1,IF(E447&lt;FYStart,0,IF(E447&gt;FYEnd,13,YEAR(E447)*12+MONTH(E447)-FYYM+1)),"")</f>
        <v/>
      </c>
      <c r="P447" s="101">
        <f>IF(H447=1,IF(IFERROR(INDEX(coa_CF,MATCH(I447,coa_Name,0)),"")="Cash",1,0),0)</f>
        <v/>
      </c>
      <c r="Q447" s="101">
        <f>IF(H447=1,IF(IFERROR(INDEX(coa_CF,MATCH(K447,coa_Name,0)),"")="Cash",1,0),0)</f>
        <v/>
      </c>
      <c r="R447" s="58">
        <f>IF((P447-Q447)=0,"",IFERROR(INDEX(coa_CF,MATCH(IF((P447-Q447)=1,K447,I447),coa_Name,0)),"Operating"))</f>
        <v/>
      </c>
      <c r="S447" s="95">
        <f>IF((P447-Q447)=1,L447,IF((P447-Q447)=-1,-J447,0))</f>
        <v/>
      </c>
      <c r="T447" s="95">
        <f>IF((P447-Q447)=1,N447,IF((P447-Q447)=-1,-M447,0))</f>
        <v/>
      </c>
      <c r="U447" s="101">
        <f>IF(AND(H447=1,LedAcct&lt;&gt;""),IF(AND(E447&gt;=LedFrom,E447&lt;=LedTo,OR(I447=LedAcct,K447=LedAcct,AND(LedAcct=acctTax,M447+N447&lt;&gt;0))),E447*10000+B447,""),"")</f>
        <v/>
      </c>
    </row>
    <row r="448">
      <c r="B448" s="101" t="n">
        <v>442</v>
      </c>
      <c r="C448" s="58" t="inlineStr">
        <is>
          <t>Transaction</t>
        </is>
      </c>
      <c r="D448" s="58">
        <f>IF(H448=1,INDEX(tx_ID,442)&amp;"","")</f>
        <v/>
      </c>
      <c r="E448" s="94">
        <f>IF(H448=1,INDEX(tx_Date,442),"")</f>
        <v/>
      </c>
      <c r="F448" s="58">
        <f>IF(H448=1,INDEX(tx_Desc,442)&amp;"","")</f>
        <v/>
      </c>
      <c r="G448" s="58">
        <f>IF(H448=1,IF(INDEX(tx_Cust,442)&amp;""&lt;&gt;"",INDEX(tx_Cust,442)&amp;"",INDEX(tx_Vend,442)&amp;""),"")</f>
        <v/>
      </c>
      <c r="H448" s="101">
        <f>IFERROR(N(INDEX(tx_Posted,442)),0)</f>
        <v/>
      </c>
      <c r="I448" s="58">
        <f>IF(H448=1,INDEX(tx_DrAcct,442)&amp;"","")</f>
        <v/>
      </c>
      <c r="J448" s="95">
        <f>IF(H448=1,INDEX(tx_DrAmt,442),0)</f>
        <v/>
      </c>
      <c r="K448" s="58">
        <f>IF(H448=1,INDEX(tx_CrAcct,442)&amp;"","")</f>
        <v/>
      </c>
      <c r="L448" s="95">
        <f>IF(H448=1,INDEX(tx_CrAmt,442),0)</f>
        <v/>
      </c>
      <c r="M448" s="95">
        <f>IF(H448=1,INDEX(tx_TaxDr,442),0)</f>
        <v/>
      </c>
      <c r="N448" s="95">
        <f>IF(H448=1,INDEX(tx_TaxCr,442),0)</f>
        <v/>
      </c>
      <c r="O448" s="101">
        <f>IF(H448=1,IF(E448&lt;FYStart,0,IF(E448&gt;FYEnd,13,YEAR(E448)*12+MONTH(E448)-FYYM+1)),"")</f>
        <v/>
      </c>
      <c r="P448" s="101">
        <f>IF(H448=1,IF(IFERROR(INDEX(coa_CF,MATCH(I448,coa_Name,0)),"")="Cash",1,0),0)</f>
        <v/>
      </c>
      <c r="Q448" s="101">
        <f>IF(H448=1,IF(IFERROR(INDEX(coa_CF,MATCH(K448,coa_Name,0)),"")="Cash",1,0),0)</f>
        <v/>
      </c>
      <c r="R448" s="58">
        <f>IF((P448-Q448)=0,"",IFERROR(INDEX(coa_CF,MATCH(IF((P448-Q448)=1,K448,I448),coa_Name,0)),"Operating"))</f>
        <v/>
      </c>
      <c r="S448" s="95">
        <f>IF((P448-Q448)=1,L448,IF((P448-Q448)=-1,-J448,0))</f>
        <v/>
      </c>
      <c r="T448" s="95">
        <f>IF((P448-Q448)=1,N448,IF((P448-Q448)=-1,-M448,0))</f>
        <v/>
      </c>
      <c r="U448" s="101">
        <f>IF(AND(H448=1,LedAcct&lt;&gt;""),IF(AND(E448&gt;=LedFrom,E448&lt;=LedTo,OR(I448=LedAcct,K448=LedAcct,AND(LedAcct=acctTax,M448+N448&lt;&gt;0))),E448*10000+B448,""),"")</f>
        <v/>
      </c>
    </row>
    <row r="449">
      <c r="B449" s="101" t="n">
        <v>443</v>
      </c>
      <c r="C449" s="58" t="inlineStr">
        <is>
          <t>Transaction</t>
        </is>
      </c>
      <c r="D449" s="58">
        <f>IF(H449=1,INDEX(tx_ID,443)&amp;"","")</f>
        <v/>
      </c>
      <c r="E449" s="94">
        <f>IF(H449=1,INDEX(tx_Date,443),"")</f>
        <v/>
      </c>
      <c r="F449" s="58">
        <f>IF(H449=1,INDEX(tx_Desc,443)&amp;"","")</f>
        <v/>
      </c>
      <c r="G449" s="58">
        <f>IF(H449=1,IF(INDEX(tx_Cust,443)&amp;""&lt;&gt;"",INDEX(tx_Cust,443)&amp;"",INDEX(tx_Vend,443)&amp;""),"")</f>
        <v/>
      </c>
      <c r="H449" s="101">
        <f>IFERROR(N(INDEX(tx_Posted,443)),0)</f>
        <v/>
      </c>
      <c r="I449" s="58">
        <f>IF(H449=1,INDEX(tx_DrAcct,443)&amp;"","")</f>
        <v/>
      </c>
      <c r="J449" s="95">
        <f>IF(H449=1,INDEX(tx_DrAmt,443),0)</f>
        <v/>
      </c>
      <c r="K449" s="58">
        <f>IF(H449=1,INDEX(tx_CrAcct,443)&amp;"","")</f>
        <v/>
      </c>
      <c r="L449" s="95">
        <f>IF(H449=1,INDEX(tx_CrAmt,443),0)</f>
        <v/>
      </c>
      <c r="M449" s="95">
        <f>IF(H449=1,INDEX(tx_TaxDr,443),0)</f>
        <v/>
      </c>
      <c r="N449" s="95">
        <f>IF(H449=1,INDEX(tx_TaxCr,443),0)</f>
        <v/>
      </c>
      <c r="O449" s="101">
        <f>IF(H449=1,IF(E449&lt;FYStart,0,IF(E449&gt;FYEnd,13,YEAR(E449)*12+MONTH(E449)-FYYM+1)),"")</f>
        <v/>
      </c>
      <c r="P449" s="101">
        <f>IF(H449=1,IF(IFERROR(INDEX(coa_CF,MATCH(I449,coa_Name,0)),"")="Cash",1,0),0)</f>
        <v/>
      </c>
      <c r="Q449" s="101">
        <f>IF(H449=1,IF(IFERROR(INDEX(coa_CF,MATCH(K449,coa_Name,0)),"")="Cash",1,0),0)</f>
        <v/>
      </c>
      <c r="R449" s="58">
        <f>IF((P449-Q449)=0,"",IFERROR(INDEX(coa_CF,MATCH(IF((P449-Q449)=1,K449,I449),coa_Name,0)),"Operating"))</f>
        <v/>
      </c>
      <c r="S449" s="95">
        <f>IF((P449-Q449)=1,L449,IF((P449-Q449)=-1,-J449,0))</f>
        <v/>
      </c>
      <c r="T449" s="95">
        <f>IF((P449-Q449)=1,N449,IF((P449-Q449)=-1,-M449,0))</f>
        <v/>
      </c>
      <c r="U449" s="101">
        <f>IF(AND(H449=1,LedAcct&lt;&gt;""),IF(AND(E449&gt;=LedFrom,E449&lt;=LedTo,OR(I449=LedAcct,K449=LedAcct,AND(LedAcct=acctTax,M449+N449&lt;&gt;0))),E449*10000+B449,""),"")</f>
        <v/>
      </c>
    </row>
    <row r="450">
      <c r="B450" s="101" t="n">
        <v>444</v>
      </c>
      <c r="C450" s="58" t="inlineStr">
        <is>
          <t>Transaction</t>
        </is>
      </c>
      <c r="D450" s="58">
        <f>IF(H450=1,INDEX(tx_ID,444)&amp;"","")</f>
        <v/>
      </c>
      <c r="E450" s="94">
        <f>IF(H450=1,INDEX(tx_Date,444),"")</f>
        <v/>
      </c>
      <c r="F450" s="58">
        <f>IF(H450=1,INDEX(tx_Desc,444)&amp;"","")</f>
        <v/>
      </c>
      <c r="G450" s="58">
        <f>IF(H450=1,IF(INDEX(tx_Cust,444)&amp;""&lt;&gt;"",INDEX(tx_Cust,444)&amp;"",INDEX(tx_Vend,444)&amp;""),"")</f>
        <v/>
      </c>
      <c r="H450" s="101">
        <f>IFERROR(N(INDEX(tx_Posted,444)),0)</f>
        <v/>
      </c>
      <c r="I450" s="58">
        <f>IF(H450=1,INDEX(tx_DrAcct,444)&amp;"","")</f>
        <v/>
      </c>
      <c r="J450" s="95">
        <f>IF(H450=1,INDEX(tx_DrAmt,444),0)</f>
        <v/>
      </c>
      <c r="K450" s="58">
        <f>IF(H450=1,INDEX(tx_CrAcct,444)&amp;"","")</f>
        <v/>
      </c>
      <c r="L450" s="95">
        <f>IF(H450=1,INDEX(tx_CrAmt,444),0)</f>
        <v/>
      </c>
      <c r="M450" s="95">
        <f>IF(H450=1,INDEX(tx_TaxDr,444),0)</f>
        <v/>
      </c>
      <c r="N450" s="95">
        <f>IF(H450=1,INDEX(tx_TaxCr,444),0)</f>
        <v/>
      </c>
      <c r="O450" s="101">
        <f>IF(H450=1,IF(E450&lt;FYStart,0,IF(E450&gt;FYEnd,13,YEAR(E450)*12+MONTH(E450)-FYYM+1)),"")</f>
        <v/>
      </c>
      <c r="P450" s="101">
        <f>IF(H450=1,IF(IFERROR(INDEX(coa_CF,MATCH(I450,coa_Name,0)),"")="Cash",1,0),0)</f>
        <v/>
      </c>
      <c r="Q450" s="101">
        <f>IF(H450=1,IF(IFERROR(INDEX(coa_CF,MATCH(K450,coa_Name,0)),"")="Cash",1,0),0)</f>
        <v/>
      </c>
      <c r="R450" s="58">
        <f>IF((P450-Q450)=0,"",IFERROR(INDEX(coa_CF,MATCH(IF((P450-Q450)=1,K450,I450),coa_Name,0)),"Operating"))</f>
        <v/>
      </c>
      <c r="S450" s="95">
        <f>IF((P450-Q450)=1,L450,IF((P450-Q450)=-1,-J450,0))</f>
        <v/>
      </c>
      <c r="T450" s="95">
        <f>IF((P450-Q450)=1,N450,IF((P450-Q450)=-1,-M450,0))</f>
        <v/>
      </c>
      <c r="U450" s="101">
        <f>IF(AND(H450=1,LedAcct&lt;&gt;""),IF(AND(E450&gt;=LedFrom,E450&lt;=LedTo,OR(I450=LedAcct,K450=LedAcct,AND(LedAcct=acctTax,M450+N450&lt;&gt;0))),E450*10000+B450,""),"")</f>
        <v/>
      </c>
    </row>
    <row r="451">
      <c r="B451" s="101" t="n">
        <v>445</v>
      </c>
      <c r="C451" s="58" t="inlineStr">
        <is>
          <t>Transaction</t>
        </is>
      </c>
      <c r="D451" s="58">
        <f>IF(H451=1,INDEX(tx_ID,445)&amp;"","")</f>
        <v/>
      </c>
      <c r="E451" s="94">
        <f>IF(H451=1,INDEX(tx_Date,445),"")</f>
        <v/>
      </c>
      <c r="F451" s="58">
        <f>IF(H451=1,INDEX(tx_Desc,445)&amp;"","")</f>
        <v/>
      </c>
      <c r="G451" s="58">
        <f>IF(H451=1,IF(INDEX(tx_Cust,445)&amp;""&lt;&gt;"",INDEX(tx_Cust,445)&amp;"",INDEX(tx_Vend,445)&amp;""),"")</f>
        <v/>
      </c>
      <c r="H451" s="101">
        <f>IFERROR(N(INDEX(tx_Posted,445)),0)</f>
        <v/>
      </c>
      <c r="I451" s="58">
        <f>IF(H451=1,INDEX(tx_DrAcct,445)&amp;"","")</f>
        <v/>
      </c>
      <c r="J451" s="95">
        <f>IF(H451=1,INDEX(tx_DrAmt,445),0)</f>
        <v/>
      </c>
      <c r="K451" s="58">
        <f>IF(H451=1,INDEX(tx_CrAcct,445)&amp;"","")</f>
        <v/>
      </c>
      <c r="L451" s="95">
        <f>IF(H451=1,INDEX(tx_CrAmt,445),0)</f>
        <v/>
      </c>
      <c r="M451" s="95">
        <f>IF(H451=1,INDEX(tx_TaxDr,445),0)</f>
        <v/>
      </c>
      <c r="N451" s="95">
        <f>IF(H451=1,INDEX(tx_TaxCr,445),0)</f>
        <v/>
      </c>
      <c r="O451" s="101">
        <f>IF(H451=1,IF(E451&lt;FYStart,0,IF(E451&gt;FYEnd,13,YEAR(E451)*12+MONTH(E451)-FYYM+1)),"")</f>
        <v/>
      </c>
      <c r="P451" s="101">
        <f>IF(H451=1,IF(IFERROR(INDEX(coa_CF,MATCH(I451,coa_Name,0)),"")="Cash",1,0),0)</f>
        <v/>
      </c>
      <c r="Q451" s="101">
        <f>IF(H451=1,IF(IFERROR(INDEX(coa_CF,MATCH(K451,coa_Name,0)),"")="Cash",1,0),0)</f>
        <v/>
      </c>
      <c r="R451" s="58">
        <f>IF((P451-Q451)=0,"",IFERROR(INDEX(coa_CF,MATCH(IF((P451-Q451)=1,K451,I451),coa_Name,0)),"Operating"))</f>
        <v/>
      </c>
      <c r="S451" s="95">
        <f>IF((P451-Q451)=1,L451,IF((P451-Q451)=-1,-J451,0))</f>
        <v/>
      </c>
      <c r="T451" s="95">
        <f>IF((P451-Q451)=1,N451,IF((P451-Q451)=-1,-M451,0))</f>
        <v/>
      </c>
      <c r="U451" s="101">
        <f>IF(AND(H451=1,LedAcct&lt;&gt;""),IF(AND(E451&gt;=LedFrom,E451&lt;=LedTo,OR(I451=LedAcct,K451=LedAcct,AND(LedAcct=acctTax,M451+N451&lt;&gt;0))),E451*10000+B451,""),"")</f>
        <v/>
      </c>
    </row>
    <row r="452">
      <c r="B452" s="101" t="n">
        <v>446</v>
      </c>
      <c r="C452" s="58" t="inlineStr">
        <is>
          <t>Transaction</t>
        </is>
      </c>
      <c r="D452" s="58">
        <f>IF(H452=1,INDEX(tx_ID,446)&amp;"","")</f>
        <v/>
      </c>
      <c r="E452" s="94">
        <f>IF(H452=1,INDEX(tx_Date,446),"")</f>
        <v/>
      </c>
      <c r="F452" s="58">
        <f>IF(H452=1,INDEX(tx_Desc,446)&amp;"","")</f>
        <v/>
      </c>
      <c r="G452" s="58">
        <f>IF(H452=1,IF(INDEX(tx_Cust,446)&amp;""&lt;&gt;"",INDEX(tx_Cust,446)&amp;"",INDEX(tx_Vend,446)&amp;""),"")</f>
        <v/>
      </c>
      <c r="H452" s="101">
        <f>IFERROR(N(INDEX(tx_Posted,446)),0)</f>
        <v/>
      </c>
      <c r="I452" s="58">
        <f>IF(H452=1,INDEX(tx_DrAcct,446)&amp;"","")</f>
        <v/>
      </c>
      <c r="J452" s="95">
        <f>IF(H452=1,INDEX(tx_DrAmt,446),0)</f>
        <v/>
      </c>
      <c r="K452" s="58">
        <f>IF(H452=1,INDEX(tx_CrAcct,446)&amp;"","")</f>
        <v/>
      </c>
      <c r="L452" s="95">
        <f>IF(H452=1,INDEX(tx_CrAmt,446),0)</f>
        <v/>
      </c>
      <c r="M452" s="95">
        <f>IF(H452=1,INDEX(tx_TaxDr,446),0)</f>
        <v/>
      </c>
      <c r="N452" s="95">
        <f>IF(H452=1,INDEX(tx_TaxCr,446),0)</f>
        <v/>
      </c>
      <c r="O452" s="101">
        <f>IF(H452=1,IF(E452&lt;FYStart,0,IF(E452&gt;FYEnd,13,YEAR(E452)*12+MONTH(E452)-FYYM+1)),"")</f>
        <v/>
      </c>
      <c r="P452" s="101">
        <f>IF(H452=1,IF(IFERROR(INDEX(coa_CF,MATCH(I452,coa_Name,0)),"")="Cash",1,0),0)</f>
        <v/>
      </c>
      <c r="Q452" s="101">
        <f>IF(H452=1,IF(IFERROR(INDEX(coa_CF,MATCH(K452,coa_Name,0)),"")="Cash",1,0),0)</f>
        <v/>
      </c>
      <c r="R452" s="58">
        <f>IF((P452-Q452)=0,"",IFERROR(INDEX(coa_CF,MATCH(IF((P452-Q452)=1,K452,I452),coa_Name,0)),"Operating"))</f>
        <v/>
      </c>
      <c r="S452" s="95">
        <f>IF((P452-Q452)=1,L452,IF((P452-Q452)=-1,-J452,0))</f>
        <v/>
      </c>
      <c r="T452" s="95">
        <f>IF((P452-Q452)=1,N452,IF((P452-Q452)=-1,-M452,0))</f>
        <v/>
      </c>
      <c r="U452" s="101">
        <f>IF(AND(H452=1,LedAcct&lt;&gt;""),IF(AND(E452&gt;=LedFrom,E452&lt;=LedTo,OR(I452=LedAcct,K452=LedAcct,AND(LedAcct=acctTax,M452+N452&lt;&gt;0))),E452*10000+B452,""),"")</f>
        <v/>
      </c>
    </row>
    <row r="453">
      <c r="B453" s="101" t="n">
        <v>447</v>
      </c>
      <c r="C453" s="58" t="inlineStr">
        <is>
          <t>Transaction</t>
        </is>
      </c>
      <c r="D453" s="58">
        <f>IF(H453=1,INDEX(tx_ID,447)&amp;"","")</f>
        <v/>
      </c>
      <c r="E453" s="94">
        <f>IF(H453=1,INDEX(tx_Date,447),"")</f>
        <v/>
      </c>
      <c r="F453" s="58">
        <f>IF(H453=1,INDEX(tx_Desc,447)&amp;"","")</f>
        <v/>
      </c>
      <c r="G453" s="58">
        <f>IF(H453=1,IF(INDEX(tx_Cust,447)&amp;""&lt;&gt;"",INDEX(tx_Cust,447)&amp;"",INDEX(tx_Vend,447)&amp;""),"")</f>
        <v/>
      </c>
      <c r="H453" s="101">
        <f>IFERROR(N(INDEX(tx_Posted,447)),0)</f>
        <v/>
      </c>
      <c r="I453" s="58">
        <f>IF(H453=1,INDEX(tx_DrAcct,447)&amp;"","")</f>
        <v/>
      </c>
      <c r="J453" s="95">
        <f>IF(H453=1,INDEX(tx_DrAmt,447),0)</f>
        <v/>
      </c>
      <c r="K453" s="58">
        <f>IF(H453=1,INDEX(tx_CrAcct,447)&amp;"","")</f>
        <v/>
      </c>
      <c r="L453" s="95">
        <f>IF(H453=1,INDEX(tx_CrAmt,447),0)</f>
        <v/>
      </c>
      <c r="M453" s="95">
        <f>IF(H453=1,INDEX(tx_TaxDr,447),0)</f>
        <v/>
      </c>
      <c r="N453" s="95">
        <f>IF(H453=1,INDEX(tx_TaxCr,447),0)</f>
        <v/>
      </c>
      <c r="O453" s="101">
        <f>IF(H453=1,IF(E453&lt;FYStart,0,IF(E453&gt;FYEnd,13,YEAR(E453)*12+MONTH(E453)-FYYM+1)),"")</f>
        <v/>
      </c>
      <c r="P453" s="101">
        <f>IF(H453=1,IF(IFERROR(INDEX(coa_CF,MATCH(I453,coa_Name,0)),"")="Cash",1,0),0)</f>
        <v/>
      </c>
      <c r="Q453" s="101">
        <f>IF(H453=1,IF(IFERROR(INDEX(coa_CF,MATCH(K453,coa_Name,0)),"")="Cash",1,0),0)</f>
        <v/>
      </c>
      <c r="R453" s="58">
        <f>IF((P453-Q453)=0,"",IFERROR(INDEX(coa_CF,MATCH(IF((P453-Q453)=1,K453,I453),coa_Name,0)),"Operating"))</f>
        <v/>
      </c>
      <c r="S453" s="95">
        <f>IF((P453-Q453)=1,L453,IF((P453-Q453)=-1,-J453,0))</f>
        <v/>
      </c>
      <c r="T453" s="95">
        <f>IF((P453-Q453)=1,N453,IF((P453-Q453)=-1,-M453,0))</f>
        <v/>
      </c>
      <c r="U453" s="101">
        <f>IF(AND(H453=1,LedAcct&lt;&gt;""),IF(AND(E453&gt;=LedFrom,E453&lt;=LedTo,OR(I453=LedAcct,K453=LedAcct,AND(LedAcct=acctTax,M453+N453&lt;&gt;0))),E453*10000+B453,""),"")</f>
        <v/>
      </c>
    </row>
    <row r="454">
      <c r="B454" s="101" t="n">
        <v>448</v>
      </c>
      <c r="C454" s="58" t="inlineStr">
        <is>
          <t>Transaction</t>
        </is>
      </c>
      <c r="D454" s="58">
        <f>IF(H454=1,INDEX(tx_ID,448)&amp;"","")</f>
        <v/>
      </c>
      <c r="E454" s="94">
        <f>IF(H454=1,INDEX(tx_Date,448),"")</f>
        <v/>
      </c>
      <c r="F454" s="58">
        <f>IF(H454=1,INDEX(tx_Desc,448)&amp;"","")</f>
        <v/>
      </c>
      <c r="G454" s="58">
        <f>IF(H454=1,IF(INDEX(tx_Cust,448)&amp;""&lt;&gt;"",INDEX(tx_Cust,448)&amp;"",INDEX(tx_Vend,448)&amp;""),"")</f>
        <v/>
      </c>
      <c r="H454" s="101">
        <f>IFERROR(N(INDEX(tx_Posted,448)),0)</f>
        <v/>
      </c>
      <c r="I454" s="58">
        <f>IF(H454=1,INDEX(tx_DrAcct,448)&amp;"","")</f>
        <v/>
      </c>
      <c r="J454" s="95">
        <f>IF(H454=1,INDEX(tx_DrAmt,448),0)</f>
        <v/>
      </c>
      <c r="K454" s="58">
        <f>IF(H454=1,INDEX(tx_CrAcct,448)&amp;"","")</f>
        <v/>
      </c>
      <c r="L454" s="95">
        <f>IF(H454=1,INDEX(tx_CrAmt,448),0)</f>
        <v/>
      </c>
      <c r="M454" s="95">
        <f>IF(H454=1,INDEX(tx_TaxDr,448),0)</f>
        <v/>
      </c>
      <c r="N454" s="95">
        <f>IF(H454=1,INDEX(tx_TaxCr,448),0)</f>
        <v/>
      </c>
      <c r="O454" s="101">
        <f>IF(H454=1,IF(E454&lt;FYStart,0,IF(E454&gt;FYEnd,13,YEAR(E454)*12+MONTH(E454)-FYYM+1)),"")</f>
        <v/>
      </c>
      <c r="P454" s="101">
        <f>IF(H454=1,IF(IFERROR(INDEX(coa_CF,MATCH(I454,coa_Name,0)),"")="Cash",1,0),0)</f>
        <v/>
      </c>
      <c r="Q454" s="101">
        <f>IF(H454=1,IF(IFERROR(INDEX(coa_CF,MATCH(K454,coa_Name,0)),"")="Cash",1,0),0)</f>
        <v/>
      </c>
      <c r="R454" s="58">
        <f>IF((P454-Q454)=0,"",IFERROR(INDEX(coa_CF,MATCH(IF((P454-Q454)=1,K454,I454),coa_Name,0)),"Operating"))</f>
        <v/>
      </c>
      <c r="S454" s="95">
        <f>IF((P454-Q454)=1,L454,IF((P454-Q454)=-1,-J454,0))</f>
        <v/>
      </c>
      <c r="T454" s="95">
        <f>IF((P454-Q454)=1,N454,IF((P454-Q454)=-1,-M454,0))</f>
        <v/>
      </c>
      <c r="U454" s="101">
        <f>IF(AND(H454=1,LedAcct&lt;&gt;""),IF(AND(E454&gt;=LedFrom,E454&lt;=LedTo,OR(I454=LedAcct,K454=LedAcct,AND(LedAcct=acctTax,M454+N454&lt;&gt;0))),E454*10000+B454,""),"")</f>
        <v/>
      </c>
    </row>
    <row r="455">
      <c r="B455" s="101" t="n">
        <v>449</v>
      </c>
      <c r="C455" s="58" t="inlineStr">
        <is>
          <t>Transaction</t>
        </is>
      </c>
      <c r="D455" s="58">
        <f>IF(H455=1,INDEX(tx_ID,449)&amp;"","")</f>
        <v/>
      </c>
      <c r="E455" s="94">
        <f>IF(H455=1,INDEX(tx_Date,449),"")</f>
        <v/>
      </c>
      <c r="F455" s="58">
        <f>IF(H455=1,INDEX(tx_Desc,449)&amp;"","")</f>
        <v/>
      </c>
      <c r="G455" s="58">
        <f>IF(H455=1,IF(INDEX(tx_Cust,449)&amp;""&lt;&gt;"",INDEX(tx_Cust,449)&amp;"",INDEX(tx_Vend,449)&amp;""),"")</f>
        <v/>
      </c>
      <c r="H455" s="101">
        <f>IFERROR(N(INDEX(tx_Posted,449)),0)</f>
        <v/>
      </c>
      <c r="I455" s="58">
        <f>IF(H455=1,INDEX(tx_DrAcct,449)&amp;"","")</f>
        <v/>
      </c>
      <c r="J455" s="95">
        <f>IF(H455=1,INDEX(tx_DrAmt,449),0)</f>
        <v/>
      </c>
      <c r="K455" s="58">
        <f>IF(H455=1,INDEX(tx_CrAcct,449)&amp;"","")</f>
        <v/>
      </c>
      <c r="L455" s="95">
        <f>IF(H455=1,INDEX(tx_CrAmt,449),0)</f>
        <v/>
      </c>
      <c r="M455" s="95">
        <f>IF(H455=1,INDEX(tx_TaxDr,449),0)</f>
        <v/>
      </c>
      <c r="N455" s="95">
        <f>IF(H455=1,INDEX(tx_TaxCr,449),0)</f>
        <v/>
      </c>
      <c r="O455" s="101">
        <f>IF(H455=1,IF(E455&lt;FYStart,0,IF(E455&gt;FYEnd,13,YEAR(E455)*12+MONTH(E455)-FYYM+1)),"")</f>
        <v/>
      </c>
      <c r="P455" s="101">
        <f>IF(H455=1,IF(IFERROR(INDEX(coa_CF,MATCH(I455,coa_Name,0)),"")="Cash",1,0),0)</f>
        <v/>
      </c>
      <c r="Q455" s="101">
        <f>IF(H455=1,IF(IFERROR(INDEX(coa_CF,MATCH(K455,coa_Name,0)),"")="Cash",1,0),0)</f>
        <v/>
      </c>
      <c r="R455" s="58">
        <f>IF((P455-Q455)=0,"",IFERROR(INDEX(coa_CF,MATCH(IF((P455-Q455)=1,K455,I455),coa_Name,0)),"Operating"))</f>
        <v/>
      </c>
      <c r="S455" s="95">
        <f>IF((P455-Q455)=1,L455,IF((P455-Q455)=-1,-J455,0))</f>
        <v/>
      </c>
      <c r="T455" s="95">
        <f>IF((P455-Q455)=1,N455,IF((P455-Q455)=-1,-M455,0))</f>
        <v/>
      </c>
      <c r="U455" s="101">
        <f>IF(AND(H455=1,LedAcct&lt;&gt;""),IF(AND(E455&gt;=LedFrom,E455&lt;=LedTo,OR(I455=LedAcct,K455=LedAcct,AND(LedAcct=acctTax,M455+N455&lt;&gt;0))),E455*10000+B455,""),"")</f>
        <v/>
      </c>
    </row>
    <row r="456">
      <c r="B456" s="101" t="n">
        <v>450</v>
      </c>
      <c r="C456" s="58" t="inlineStr">
        <is>
          <t>Transaction</t>
        </is>
      </c>
      <c r="D456" s="58">
        <f>IF(H456=1,INDEX(tx_ID,450)&amp;"","")</f>
        <v/>
      </c>
      <c r="E456" s="94">
        <f>IF(H456=1,INDEX(tx_Date,450),"")</f>
        <v/>
      </c>
      <c r="F456" s="58">
        <f>IF(H456=1,INDEX(tx_Desc,450)&amp;"","")</f>
        <v/>
      </c>
      <c r="G456" s="58">
        <f>IF(H456=1,IF(INDEX(tx_Cust,450)&amp;""&lt;&gt;"",INDEX(tx_Cust,450)&amp;"",INDEX(tx_Vend,450)&amp;""),"")</f>
        <v/>
      </c>
      <c r="H456" s="101">
        <f>IFERROR(N(INDEX(tx_Posted,450)),0)</f>
        <v/>
      </c>
      <c r="I456" s="58">
        <f>IF(H456=1,INDEX(tx_DrAcct,450)&amp;"","")</f>
        <v/>
      </c>
      <c r="J456" s="95">
        <f>IF(H456=1,INDEX(tx_DrAmt,450),0)</f>
        <v/>
      </c>
      <c r="K456" s="58">
        <f>IF(H456=1,INDEX(tx_CrAcct,450)&amp;"","")</f>
        <v/>
      </c>
      <c r="L456" s="95">
        <f>IF(H456=1,INDEX(tx_CrAmt,450),0)</f>
        <v/>
      </c>
      <c r="M456" s="95">
        <f>IF(H456=1,INDEX(tx_TaxDr,450),0)</f>
        <v/>
      </c>
      <c r="N456" s="95">
        <f>IF(H456=1,INDEX(tx_TaxCr,450),0)</f>
        <v/>
      </c>
      <c r="O456" s="101">
        <f>IF(H456=1,IF(E456&lt;FYStart,0,IF(E456&gt;FYEnd,13,YEAR(E456)*12+MONTH(E456)-FYYM+1)),"")</f>
        <v/>
      </c>
      <c r="P456" s="101">
        <f>IF(H456=1,IF(IFERROR(INDEX(coa_CF,MATCH(I456,coa_Name,0)),"")="Cash",1,0),0)</f>
        <v/>
      </c>
      <c r="Q456" s="101">
        <f>IF(H456=1,IF(IFERROR(INDEX(coa_CF,MATCH(K456,coa_Name,0)),"")="Cash",1,0),0)</f>
        <v/>
      </c>
      <c r="R456" s="58">
        <f>IF((P456-Q456)=0,"",IFERROR(INDEX(coa_CF,MATCH(IF((P456-Q456)=1,K456,I456),coa_Name,0)),"Operating"))</f>
        <v/>
      </c>
      <c r="S456" s="95">
        <f>IF((P456-Q456)=1,L456,IF((P456-Q456)=-1,-J456,0))</f>
        <v/>
      </c>
      <c r="T456" s="95">
        <f>IF((P456-Q456)=1,N456,IF((P456-Q456)=-1,-M456,0))</f>
        <v/>
      </c>
      <c r="U456" s="101">
        <f>IF(AND(H456=1,LedAcct&lt;&gt;""),IF(AND(E456&gt;=LedFrom,E456&lt;=LedTo,OR(I456=LedAcct,K456=LedAcct,AND(LedAcct=acctTax,M456+N456&lt;&gt;0))),E456*10000+B456,""),"")</f>
        <v/>
      </c>
    </row>
    <row r="457">
      <c r="B457" s="101" t="n">
        <v>451</v>
      </c>
      <c r="C457" s="58" t="inlineStr">
        <is>
          <t>Transaction</t>
        </is>
      </c>
      <c r="D457" s="58">
        <f>IF(H457=1,INDEX(tx_ID,451)&amp;"","")</f>
        <v/>
      </c>
      <c r="E457" s="94">
        <f>IF(H457=1,INDEX(tx_Date,451),"")</f>
        <v/>
      </c>
      <c r="F457" s="58">
        <f>IF(H457=1,INDEX(tx_Desc,451)&amp;"","")</f>
        <v/>
      </c>
      <c r="G457" s="58">
        <f>IF(H457=1,IF(INDEX(tx_Cust,451)&amp;""&lt;&gt;"",INDEX(tx_Cust,451)&amp;"",INDEX(tx_Vend,451)&amp;""),"")</f>
        <v/>
      </c>
      <c r="H457" s="101">
        <f>IFERROR(N(INDEX(tx_Posted,451)),0)</f>
        <v/>
      </c>
      <c r="I457" s="58">
        <f>IF(H457=1,INDEX(tx_DrAcct,451)&amp;"","")</f>
        <v/>
      </c>
      <c r="J457" s="95">
        <f>IF(H457=1,INDEX(tx_DrAmt,451),0)</f>
        <v/>
      </c>
      <c r="K457" s="58">
        <f>IF(H457=1,INDEX(tx_CrAcct,451)&amp;"","")</f>
        <v/>
      </c>
      <c r="L457" s="95">
        <f>IF(H457=1,INDEX(tx_CrAmt,451),0)</f>
        <v/>
      </c>
      <c r="M457" s="95">
        <f>IF(H457=1,INDEX(tx_TaxDr,451),0)</f>
        <v/>
      </c>
      <c r="N457" s="95">
        <f>IF(H457=1,INDEX(tx_TaxCr,451),0)</f>
        <v/>
      </c>
      <c r="O457" s="101">
        <f>IF(H457=1,IF(E457&lt;FYStart,0,IF(E457&gt;FYEnd,13,YEAR(E457)*12+MONTH(E457)-FYYM+1)),"")</f>
        <v/>
      </c>
      <c r="P457" s="101">
        <f>IF(H457=1,IF(IFERROR(INDEX(coa_CF,MATCH(I457,coa_Name,0)),"")="Cash",1,0),0)</f>
        <v/>
      </c>
      <c r="Q457" s="101">
        <f>IF(H457=1,IF(IFERROR(INDEX(coa_CF,MATCH(K457,coa_Name,0)),"")="Cash",1,0),0)</f>
        <v/>
      </c>
      <c r="R457" s="58">
        <f>IF((P457-Q457)=0,"",IFERROR(INDEX(coa_CF,MATCH(IF((P457-Q457)=1,K457,I457),coa_Name,0)),"Operating"))</f>
        <v/>
      </c>
      <c r="S457" s="95">
        <f>IF((P457-Q457)=1,L457,IF((P457-Q457)=-1,-J457,0))</f>
        <v/>
      </c>
      <c r="T457" s="95">
        <f>IF((P457-Q457)=1,N457,IF((P457-Q457)=-1,-M457,0))</f>
        <v/>
      </c>
      <c r="U457" s="101">
        <f>IF(AND(H457=1,LedAcct&lt;&gt;""),IF(AND(E457&gt;=LedFrom,E457&lt;=LedTo,OR(I457=LedAcct,K457=LedAcct,AND(LedAcct=acctTax,M457+N457&lt;&gt;0))),E457*10000+B457,""),"")</f>
        <v/>
      </c>
    </row>
    <row r="458">
      <c r="B458" s="101" t="n">
        <v>452</v>
      </c>
      <c r="C458" s="58" t="inlineStr">
        <is>
          <t>Transaction</t>
        </is>
      </c>
      <c r="D458" s="58">
        <f>IF(H458=1,INDEX(tx_ID,452)&amp;"","")</f>
        <v/>
      </c>
      <c r="E458" s="94">
        <f>IF(H458=1,INDEX(tx_Date,452),"")</f>
        <v/>
      </c>
      <c r="F458" s="58">
        <f>IF(H458=1,INDEX(tx_Desc,452)&amp;"","")</f>
        <v/>
      </c>
      <c r="G458" s="58">
        <f>IF(H458=1,IF(INDEX(tx_Cust,452)&amp;""&lt;&gt;"",INDEX(tx_Cust,452)&amp;"",INDEX(tx_Vend,452)&amp;""),"")</f>
        <v/>
      </c>
      <c r="H458" s="101">
        <f>IFERROR(N(INDEX(tx_Posted,452)),0)</f>
        <v/>
      </c>
      <c r="I458" s="58">
        <f>IF(H458=1,INDEX(tx_DrAcct,452)&amp;"","")</f>
        <v/>
      </c>
      <c r="J458" s="95">
        <f>IF(H458=1,INDEX(tx_DrAmt,452),0)</f>
        <v/>
      </c>
      <c r="K458" s="58">
        <f>IF(H458=1,INDEX(tx_CrAcct,452)&amp;"","")</f>
        <v/>
      </c>
      <c r="L458" s="95">
        <f>IF(H458=1,INDEX(tx_CrAmt,452),0)</f>
        <v/>
      </c>
      <c r="M458" s="95">
        <f>IF(H458=1,INDEX(tx_TaxDr,452),0)</f>
        <v/>
      </c>
      <c r="N458" s="95">
        <f>IF(H458=1,INDEX(tx_TaxCr,452),0)</f>
        <v/>
      </c>
      <c r="O458" s="101">
        <f>IF(H458=1,IF(E458&lt;FYStart,0,IF(E458&gt;FYEnd,13,YEAR(E458)*12+MONTH(E458)-FYYM+1)),"")</f>
        <v/>
      </c>
      <c r="P458" s="101">
        <f>IF(H458=1,IF(IFERROR(INDEX(coa_CF,MATCH(I458,coa_Name,0)),"")="Cash",1,0),0)</f>
        <v/>
      </c>
      <c r="Q458" s="101">
        <f>IF(H458=1,IF(IFERROR(INDEX(coa_CF,MATCH(K458,coa_Name,0)),"")="Cash",1,0),0)</f>
        <v/>
      </c>
      <c r="R458" s="58">
        <f>IF((P458-Q458)=0,"",IFERROR(INDEX(coa_CF,MATCH(IF((P458-Q458)=1,K458,I458),coa_Name,0)),"Operating"))</f>
        <v/>
      </c>
      <c r="S458" s="95">
        <f>IF((P458-Q458)=1,L458,IF((P458-Q458)=-1,-J458,0))</f>
        <v/>
      </c>
      <c r="T458" s="95">
        <f>IF((P458-Q458)=1,N458,IF((P458-Q458)=-1,-M458,0))</f>
        <v/>
      </c>
      <c r="U458" s="101">
        <f>IF(AND(H458=1,LedAcct&lt;&gt;""),IF(AND(E458&gt;=LedFrom,E458&lt;=LedTo,OR(I458=LedAcct,K458=LedAcct,AND(LedAcct=acctTax,M458+N458&lt;&gt;0))),E458*10000+B458,""),"")</f>
        <v/>
      </c>
    </row>
    <row r="459">
      <c r="B459" s="101" t="n">
        <v>453</v>
      </c>
      <c r="C459" s="58" t="inlineStr">
        <is>
          <t>Transaction</t>
        </is>
      </c>
      <c r="D459" s="58">
        <f>IF(H459=1,INDEX(tx_ID,453)&amp;"","")</f>
        <v/>
      </c>
      <c r="E459" s="94">
        <f>IF(H459=1,INDEX(tx_Date,453),"")</f>
        <v/>
      </c>
      <c r="F459" s="58">
        <f>IF(H459=1,INDEX(tx_Desc,453)&amp;"","")</f>
        <v/>
      </c>
      <c r="G459" s="58">
        <f>IF(H459=1,IF(INDEX(tx_Cust,453)&amp;""&lt;&gt;"",INDEX(tx_Cust,453)&amp;"",INDEX(tx_Vend,453)&amp;""),"")</f>
        <v/>
      </c>
      <c r="H459" s="101">
        <f>IFERROR(N(INDEX(tx_Posted,453)),0)</f>
        <v/>
      </c>
      <c r="I459" s="58">
        <f>IF(H459=1,INDEX(tx_DrAcct,453)&amp;"","")</f>
        <v/>
      </c>
      <c r="J459" s="95">
        <f>IF(H459=1,INDEX(tx_DrAmt,453),0)</f>
        <v/>
      </c>
      <c r="K459" s="58">
        <f>IF(H459=1,INDEX(tx_CrAcct,453)&amp;"","")</f>
        <v/>
      </c>
      <c r="L459" s="95">
        <f>IF(H459=1,INDEX(tx_CrAmt,453),0)</f>
        <v/>
      </c>
      <c r="M459" s="95">
        <f>IF(H459=1,INDEX(tx_TaxDr,453),0)</f>
        <v/>
      </c>
      <c r="N459" s="95">
        <f>IF(H459=1,INDEX(tx_TaxCr,453),0)</f>
        <v/>
      </c>
      <c r="O459" s="101">
        <f>IF(H459=1,IF(E459&lt;FYStart,0,IF(E459&gt;FYEnd,13,YEAR(E459)*12+MONTH(E459)-FYYM+1)),"")</f>
        <v/>
      </c>
      <c r="P459" s="101">
        <f>IF(H459=1,IF(IFERROR(INDEX(coa_CF,MATCH(I459,coa_Name,0)),"")="Cash",1,0),0)</f>
        <v/>
      </c>
      <c r="Q459" s="101">
        <f>IF(H459=1,IF(IFERROR(INDEX(coa_CF,MATCH(K459,coa_Name,0)),"")="Cash",1,0),0)</f>
        <v/>
      </c>
      <c r="R459" s="58">
        <f>IF((P459-Q459)=0,"",IFERROR(INDEX(coa_CF,MATCH(IF((P459-Q459)=1,K459,I459),coa_Name,0)),"Operating"))</f>
        <v/>
      </c>
      <c r="S459" s="95">
        <f>IF((P459-Q459)=1,L459,IF((P459-Q459)=-1,-J459,0))</f>
        <v/>
      </c>
      <c r="T459" s="95">
        <f>IF((P459-Q459)=1,N459,IF((P459-Q459)=-1,-M459,0))</f>
        <v/>
      </c>
      <c r="U459" s="101">
        <f>IF(AND(H459=1,LedAcct&lt;&gt;""),IF(AND(E459&gt;=LedFrom,E459&lt;=LedTo,OR(I459=LedAcct,K459=LedAcct,AND(LedAcct=acctTax,M459+N459&lt;&gt;0))),E459*10000+B459,""),"")</f>
        <v/>
      </c>
    </row>
    <row r="460">
      <c r="B460" s="101" t="n">
        <v>454</v>
      </c>
      <c r="C460" s="58" t="inlineStr">
        <is>
          <t>Transaction</t>
        </is>
      </c>
      <c r="D460" s="58">
        <f>IF(H460=1,INDEX(tx_ID,454)&amp;"","")</f>
        <v/>
      </c>
      <c r="E460" s="94">
        <f>IF(H460=1,INDEX(tx_Date,454),"")</f>
        <v/>
      </c>
      <c r="F460" s="58">
        <f>IF(H460=1,INDEX(tx_Desc,454)&amp;"","")</f>
        <v/>
      </c>
      <c r="G460" s="58">
        <f>IF(H460=1,IF(INDEX(tx_Cust,454)&amp;""&lt;&gt;"",INDEX(tx_Cust,454)&amp;"",INDEX(tx_Vend,454)&amp;""),"")</f>
        <v/>
      </c>
      <c r="H460" s="101">
        <f>IFERROR(N(INDEX(tx_Posted,454)),0)</f>
        <v/>
      </c>
      <c r="I460" s="58">
        <f>IF(H460=1,INDEX(tx_DrAcct,454)&amp;"","")</f>
        <v/>
      </c>
      <c r="J460" s="95">
        <f>IF(H460=1,INDEX(tx_DrAmt,454),0)</f>
        <v/>
      </c>
      <c r="K460" s="58">
        <f>IF(H460=1,INDEX(tx_CrAcct,454)&amp;"","")</f>
        <v/>
      </c>
      <c r="L460" s="95">
        <f>IF(H460=1,INDEX(tx_CrAmt,454),0)</f>
        <v/>
      </c>
      <c r="M460" s="95">
        <f>IF(H460=1,INDEX(tx_TaxDr,454),0)</f>
        <v/>
      </c>
      <c r="N460" s="95">
        <f>IF(H460=1,INDEX(tx_TaxCr,454),0)</f>
        <v/>
      </c>
      <c r="O460" s="101">
        <f>IF(H460=1,IF(E460&lt;FYStart,0,IF(E460&gt;FYEnd,13,YEAR(E460)*12+MONTH(E460)-FYYM+1)),"")</f>
        <v/>
      </c>
      <c r="P460" s="101">
        <f>IF(H460=1,IF(IFERROR(INDEX(coa_CF,MATCH(I460,coa_Name,0)),"")="Cash",1,0),0)</f>
        <v/>
      </c>
      <c r="Q460" s="101">
        <f>IF(H460=1,IF(IFERROR(INDEX(coa_CF,MATCH(K460,coa_Name,0)),"")="Cash",1,0),0)</f>
        <v/>
      </c>
      <c r="R460" s="58">
        <f>IF((P460-Q460)=0,"",IFERROR(INDEX(coa_CF,MATCH(IF((P460-Q460)=1,K460,I460),coa_Name,0)),"Operating"))</f>
        <v/>
      </c>
      <c r="S460" s="95">
        <f>IF((P460-Q460)=1,L460,IF((P460-Q460)=-1,-J460,0))</f>
        <v/>
      </c>
      <c r="T460" s="95">
        <f>IF((P460-Q460)=1,N460,IF((P460-Q460)=-1,-M460,0))</f>
        <v/>
      </c>
      <c r="U460" s="101">
        <f>IF(AND(H460=1,LedAcct&lt;&gt;""),IF(AND(E460&gt;=LedFrom,E460&lt;=LedTo,OR(I460=LedAcct,K460=LedAcct,AND(LedAcct=acctTax,M460+N460&lt;&gt;0))),E460*10000+B460,""),"")</f>
        <v/>
      </c>
    </row>
    <row r="461">
      <c r="B461" s="101" t="n">
        <v>455</v>
      </c>
      <c r="C461" s="58" t="inlineStr">
        <is>
          <t>Transaction</t>
        </is>
      </c>
      <c r="D461" s="58">
        <f>IF(H461=1,INDEX(tx_ID,455)&amp;"","")</f>
        <v/>
      </c>
      <c r="E461" s="94">
        <f>IF(H461=1,INDEX(tx_Date,455),"")</f>
        <v/>
      </c>
      <c r="F461" s="58">
        <f>IF(H461=1,INDEX(tx_Desc,455)&amp;"","")</f>
        <v/>
      </c>
      <c r="G461" s="58">
        <f>IF(H461=1,IF(INDEX(tx_Cust,455)&amp;""&lt;&gt;"",INDEX(tx_Cust,455)&amp;"",INDEX(tx_Vend,455)&amp;""),"")</f>
        <v/>
      </c>
      <c r="H461" s="101">
        <f>IFERROR(N(INDEX(tx_Posted,455)),0)</f>
        <v/>
      </c>
      <c r="I461" s="58">
        <f>IF(H461=1,INDEX(tx_DrAcct,455)&amp;"","")</f>
        <v/>
      </c>
      <c r="J461" s="95">
        <f>IF(H461=1,INDEX(tx_DrAmt,455),0)</f>
        <v/>
      </c>
      <c r="K461" s="58">
        <f>IF(H461=1,INDEX(tx_CrAcct,455)&amp;"","")</f>
        <v/>
      </c>
      <c r="L461" s="95">
        <f>IF(H461=1,INDEX(tx_CrAmt,455),0)</f>
        <v/>
      </c>
      <c r="M461" s="95">
        <f>IF(H461=1,INDEX(tx_TaxDr,455),0)</f>
        <v/>
      </c>
      <c r="N461" s="95">
        <f>IF(H461=1,INDEX(tx_TaxCr,455),0)</f>
        <v/>
      </c>
      <c r="O461" s="101">
        <f>IF(H461=1,IF(E461&lt;FYStart,0,IF(E461&gt;FYEnd,13,YEAR(E461)*12+MONTH(E461)-FYYM+1)),"")</f>
        <v/>
      </c>
      <c r="P461" s="101">
        <f>IF(H461=1,IF(IFERROR(INDEX(coa_CF,MATCH(I461,coa_Name,0)),"")="Cash",1,0),0)</f>
        <v/>
      </c>
      <c r="Q461" s="101">
        <f>IF(H461=1,IF(IFERROR(INDEX(coa_CF,MATCH(K461,coa_Name,0)),"")="Cash",1,0),0)</f>
        <v/>
      </c>
      <c r="R461" s="58">
        <f>IF((P461-Q461)=0,"",IFERROR(INDEX(coa_CF,MATCH(IF((P461-Q461)=1,K461,I461),coa_Name,0)),"Operating"))</f>
        <v/>
      </c>
      <c r="S461" s="95">
        <f>IF((P461-Q461)=1,L461,IF((P461-Q461)=-1,-J461,0))</f>
        <v/>
      </c>
      <c r="T461" s="95">
        <f>IF((P461-Q461)=1,N461,IF((P461-Q461)=-1,-M461,0))</f>
        <v/>
      </c>
      <c r="U461" s="101">
        <f>IF(AND(H461=1,LedAcct&lt;&gt;""),IF(AND(E461&gt;=LedFrom,E461&lt;=LedTo,OR(I461=LedAcct,K461=LedAcct,AND(LedAcct=acctTax,M461+N461&lt;&gt;0))),E461*10000+B461,""),"")</f>
        <v/>
      </c>
    </row>
    <row r="462">
      <c r="B462" s="101" t="n">
        <v>456</v>
      </c>
      <c r="C462" s="58" t="inlineStr">
        <is>
          <t>Transaction</t>
        </is>
      </c>
      <c r="D462" s="58">
        <f>IF(H462=1,INDEX(tx_ID,456)&amp;"","")</f>
        <v/>
      </c>
      <c r="E462" s="94">
        <f>IF(H462=1,INDEX(tx_Date,456),"")</f>
        <v/>
      </c>
      <c r="F462" s="58">
        <f>IF(H462=1,INDEX(tx_Desc,456)&amp;"","")</f>
        <v/>
      </c>
      <c r="G462" s="58">
        <f>IF(H462=1,IF(INDEX(tx_Cust,456)&amp;""&lt;&gt;"",INDEX(tx_Cust,456)&amp;"",INDEX(tx_Vend,456)&amp;""),"")</f>
        <v/>
      </c>
      <c r="H462" s="101">
        <f>IFERROR(N(INDEX(tx_Posted,456)),0)</f>
        <v/>
      </c>
      <c r="I462" s="58">
        <f>IF(H462=1,INDEX(tx_DrAcct,456)&amp;"","")</f>
        <v/>
      </c>
      <c r="J462" s="95">
        <f>IF(H462=1,INDEX(tx_DrAmt,456),0)</f>
        <v/>
      </c>
      <c r="K462" s="58">
        <f>IF(H462=1,INDEX(tx_CrAcct,456)&amp;"","")</f>
        <v/>
      </c>
      <c r="L462" s="95">
        <f>IF(H462=1,INDEX(tx_CrAmt,456),0)</f>
        <v/>
      </c>
      <c r="M462" s="95">
        <f>IF(H462=1,INDEX(tx_TaxDr,456),0)</f>
        <v/>
      </c>
      <c r="N462" s="95">
        <f>IF(H462=1,INDEX(tx_TaxCr,456),0)</f>
        <v/>
      </c>
      <c r="O462" s="101">
        <f>IF(H462=1,IF(E462&lt;FYStart,0,IF(E462&gt;FYEnd,13,YEAR(E462)*12+MONTH(E462)-FYYM+1)),"")</f>
        <v/>
      </c>
      <c r="P462" s="101">
        <f>IF(H462=1,IF(IFERROR(INDEX(coa_CF,MATCH(I462,coa_Name,0)),"")="Cash",1,0),0)</f>
        <v/>
      </c>
      <c r="Q462" s="101">
        <f>IF(H462=1,IF(IFERROR(INDEX(coa_CF,MATCH(K462,coa_Name,0)),"")="Cash",1,0),0)</f>
        <v/>
      </c>
      <c r="R462" s="58">
        <f>IF((P462-Q462)=0,"",IFERROR(INDEX(coa_CF,MATCH(IF((P462-Q462)=1,K462,I462),coa_Name,0)),"Operating"))</f>
        <v/>
      </c>
      <c r="S462" s="95">
        <f>IF((P462-Q462)=1,L462,IF((P462-Q462)=-1,-J462,0))</f>
        <v/>
      </c>
      <c r="T462" s="95">
        <f>IF((P462-Q462)=1,N462,IF((P462-Q462)=-1,-M462,0))</f>
        <v/>
      </c>
      <c r="U462" s="101">
        <f>IF(AND(H462=1,LedAcct&lt;&gt;""),IF(AND(E462&gt;=LedFrom,E462&lt;=LedTo,OR(I462=LedAcct,K462=LedAcct,AND(LedAcct=acctTax,M462+N462&lt;&gt;0))),E462*10000+B462,""),"")</f>
        <v/>
      </c>
    </row>
    <row r="463">
      <c r="B463" s="101" t="n">
        <v>457</v>
      </c>
      <c r="C463" s="58" t="inlineStr">
        <is>
          <t>Transaction</t>
        </is>
      </c>
      <c r="D463" s="58">
        <f>IF(H463=1,INDEX(tx_ID,457)&amp;"","")</f>
        <v/>
      </c>
      <c r="E463" s="94">
        <f>IF(H463=1,INDEX(tx_Date,457),"")</f>
        <v/>
      </c>
      <c r="F463" s="58">
        <f>IF(H463=1,INDEX(tx_Desc,457)&amp;"","")</f>
        <v/>
      </c>
      <c r="G463" s="58">
        <f>IF(H463=1,IF(INDEX(tx_Cust,457)&amp;""&lt;&gt;"",INDEX(tx_Cust,457)&amp;"",INDEX(tx_Vend,457)&amp;""),"")</f>
        <v/>
      </c>
      <c r="H463" s="101">
        <f>IFERROR(N(INDEX(tx_Posted,457)),0)</f>
        <v/>
      </c>
      <c r="I463" s="58">
        <f>IF(H463=1,INDEX(tx_DrAcct,457)&amp;"","")</f>
        <v/>
      </c>
      <c r="J463" s="95">
        <f>IF(H463=1,INDEX(tx_DrAmt,457),0)</f>
        <v/>
      </c>
      <c r="K463" s="58">
        <f>IF(H463=1,INDEX(tx_CrAcct,457)&amp;"","")</f>
        <v/>
      </c>
      <c r="L463" s="95">
        <f>IF(H463=1,INDEX(tx_CrAmt,457),0)</f>
        <v/>
      </c>
      <c r="M463" s="95">
        <f>IF(H463=1,INDEX(tx_TaxDr,457),0)</f>
        <v/>
      </c>
      <c r="N463" s="95">
        <f>IF(H463=1,INDEX(tx_TaxCr,457),0)</f>
        <v/>
      </c>
      <c r="O463" s="101">
        <f>IF(H463=1,IF(E463&lt;FYStart,0,IF(E463&gt;FYEnd,13,YEAR(E463)*12+MONTH(E463)-FYYM+1)),"")</f>
        <v/>
      </c>
      <c r="P463" s="101">
        <f>IF(H463=1,IF(IFERROR(INDEX(coa_CF,MATCH(I463,coa_Name,0)),"")="Cash",1,0),0)</f>
        <v/>
      </c>
      <c r="Q463" s="101">
        <f>IF(H463=1,IF(IFERROR(INDEX(coa_CF,MATCH(K463,coa_Name,0)),"")="Cash",1,0),0)</f>
        <v/>
      </c>
      <c r="R463" s="58">
        <f>IF((P463-Q463)=0,"",IFERROR(INDEX(coa_CF,MATCH(IF((P463-Q463)=1,K463,I463),coa_Name,0)),"Operating"))</f>
        <v/>
      </c>
      <c r="S463" s="95">
        <f>IF((P463-Q463)=1,L463,IF((P463-Q463)=-1,-J463,0))</f>
        <v/>
      </c>
      <c r="T463" s="95">
        <f>IF((P463-Q463)=1,N463,IF((P463-Q463)=-1,-M463,0))</f>
        <v/>
      </c>
      <c r="U463" s="101">
        <f>IF(AND(H463=1,LedAcct&lt;&gt;""),IF(AND(E463&gt;=LedFrom,E463&lt;=LedTo,OR(I463=LedAcct,K463=LedAcct,AND(LedAcct=acctTax,M463+N463&lt;&gt;0))),E463*10000+B463,""),"")</f>
        <v/>
      </c>
    </row>
    <row r="464">
      <c r="B464" s="101" t="n">
        <v>458</v>
      </c>
      <c r="C464" s="58" t="inlineStr">
        <is>
          <t>Transaction</t>
        </is>
      </c>
      <c r="D464" s="58">
        <f>IF(H464=1,INDEX(tx_ID,458)&amp;"","")</f>
        <v/>
      </c>
      <c r="E464" s="94">
        <f>IF(H464=1,INDEX(tx_Date,458),"")</f>
        <v/>
      </c>
      <c r="F464" s="58">
        <f>IF(H464=1,INDEX(tx_Desc,458)&amp;"","")</f>
        <v/>
      </c>
      <c r="G464" s="58">
        <f>IF(H464=1,IF(INDEX(tx_Cust,458)&amp;""&lt;&gt;"",INDEX(tx_Cust,458)&amp;"",INDEX(tx_Vend,458)&amp;""),"")</f>
        <v/>
      </c>
      <c r="H464" s="101">
        <f>IFERROR(N(INDEX(tx_Posted,458)),0)</f>
        <v/>
      </c>
      <c r="I464" s="58">
        <f>IF(H464=1,INDEX(tx_DrAcct,458)&amp;"","")</f>
        <v/>
      </c>
      <c r="J464" s="95">
        <f>IF(H464=1,INDEX(tx_DrAmt,458),0)</f>
        <v/>
      </c>
      <c r="K464" s="58">
        <f>IF(H464=1,INDEX(tx_CrAcct,458)&amp;"","")</f>
        <v/>
      </c>
      <c r="L464" s="95">
        <f>IF(H464=1,INDEX(tx_CrAmt,458),0)</f>
        <v/>
      </c>
      <c r="M464" s="95">
        <f>IF(H464=1,INDEX(tx_TaxDr,458),0)</f>
        <v/>
      </c>
      <c r="N464" s="95">
        <f>IF(H464=1,INDEX(tx_TaxCr,458),0)</f>
        <v/>
      </c>
      <c r="O464" s="101">
        <f>IF(H464=1,IF(E464&lt;FYStart,0,IF(E464&gt;FYEnd,13,YEAR(E464)*12+MONTH(E464)-FYYM+1)),"")</f>
        <v/>
      </c>
      <c r="P464" s="101">
        <f>IF(H464=1,IF(IFERROR(INDEX(coa_CF,MATCH(I464,coa_Name,0)),"")="Cash",1,0),0)</f>
        <v/>
      </c>
      <c r="Q464" s="101">
        <f>IF(H464=1,IF(IFERROR(INDEX(coa_CF,MATCH(K464,coa_Name,0)),"")="Cash",1,0),0)</f>
        <v/>
      </c>
      <c r="R464" s="58">
        <f>IF((P464-Q464)=0,"",IFERROR(INDEX(coa_CF,MATCH(IF((P464-Q464)=1,K464,I464),coa_Name,0)),"Operating"))</f>
        <v/>
      </c>
      <c r="S464" s="95">
        <f>IF((P464-Q464)=1,L464,IF((P464-Q464)=-1,-J464,0))</f>
        <v/>
      </c>
      <c r="T464" s="95">
        <f>IF((P464-Q464)=1,N464,IF((P464-Q464)=-1,-M464,0))</f>
        <v/>
      </c>
      <c r="U464" s="101">
        <f>IF(AND(H464=1,LedAcct&lt;&gt;""),IF(AND(E464&gt;=LedFrom,E464&lt;=LedTo,OR(I464=LedAcct,K464=LedAcct,AND(LedAcct=acctTax,M464+N464&lt;&gt;0))),E464*10000+B464,""),"")</f>
        <v/>
      </c>
    </row>
    <row r="465">
      <c r="B465" s="101" t="n">
        <v>459</v>
      </c>
      <c r="C465" s="58" t="inlineStr">
        <is>
          <t>Transaction</t>
        </is>
      </c>
      <c r="D465" s="58">
        <f>IF(H465=1,INDEX(tx_ID,459)&amp;"","")</f>
        <v/>
      </c>
      <c r="E465" s="94">
        <f>IF(H465=1,INDEX(tx_Date,459),"")</f>
        <v/>
      </c>
      <c r="F465" s="58">
        <f>IF(H465=1,INDEX(tx_Desc,459)&amp;"","")</f>
        <v/>
      </c>
      <c r="G465" s="58">
        <f>IF(H465=1,IF(INDEX(tx_Cust,459)&amp;""&lt;&gt;"",INDEX(tx_Cust,459)&amp;"",INDEX(tx_Vend,459)&amp;""),"")</f>
        <v/>
      </c>
      <c r="H465" s="101">
        <f>IFERROR(N(INDEX(tx_Posted,459)),0)</f>
        <v/>
      </c>
      <c r="I465" s="58">
        <f>IF(H465=1,INDEX(tx_DrAcct,459)&amp;"","")</f>
        <v/>
      </c>
      <c r="J465" s="95">
        <f>IF(H465=1,INDEX(tx_DrAmt,459),0)</f>
        <v/>
      </c>
      <c r="K465" s="58">
        <f>IF(H465=1,INDEX(tx_CrAcct,459)&amp;"","")</f>
        <v/>
      </c>
      <c r="L465" s="95">
        <f>IF(H465=1,INDEX(tx_CrAmt,459),0)</f>
        <v/>
      </c>
      <c r="M465" s="95">
        <f>IF(H465=1,INDEX(tx_TaxDr,459),0)</f>
        <v/>
      </c>
      <c r="N465" s="95">
        <f>IF(H465=1,INDEX(tx_TaxCr,459),0)</f>
        <v/>
      </c>
      <c r="O465" s="101">
        <f>IF(H465=1,IF(E465&lt;FYStart,0,IF(E465&gt;FYEnd,13,YEAR(E465)*12+MONTH(E465)-FYYM+1)),"")</f>
        <v/>
      </c>
      <c r="P465" s="101">
        <f>IF(H465=1,IF(IFERROR(INDEX(coa_CF,MATCH(I465,coa_Name,0)),"")="Cash",1,0),0)</f>
        <v/>
      </c>
      <c r="Q465" s="101">
        <f>IF(H465=1,IF(IFERROR(INDEX(coa_CF,MATCH(K465,coa_Name,0)),"")="Cash",1,0),0)</f>
        <v/>
      </c>
      <c r="R465" s="58">
        <f>IF((P465-Q465)=0,"",IFERROR(INDEX(coa_CF,MATCH(IF((P465-Q465)=1,K465,I465),coa_Name,0)),"Operating"))</f>
        <v/>
      </c>
      <c r="S465" s="95">
        <f>IF((P465-Q465)=1,L465,IF((P465-Q465)=-1,-J465,0))</f>
        <v/>
      </c>
      <c r="T465" s="95">
        <f>IF((P465-Q465)=1,N465,IF((P465-Q465)=-1,-M465,0))</f>
        <v/>
      </c>
      <c r="U465" s="101">
        <f>IF(AND(H465=1,LedAcct&lt;&gt;""),IF(AND(E465&gt;=LedFrom,E465&lt;=LedTo,OR(I465=LedAcct,K465=LedAcct,AND(LedAcct=acctTax,M465+N465&lt;&gt;0))),E465*10000+B465,""),"")</f>
        <v/>
      </c>
    </row>
    <row r="466">
      <c r="B466" s="101" t="n">
        <v>460</v>
      </c>
      <c r="C466" s="58" t="inlineStr">
        <is>
          <t>Transaction</t>
        </is>
      </c>
      <c r="D466" s="58">
        <f>IF(H466=1,INDEX(tx_ID,460)&amp;"","")</f>
        <v/>
      </c>
      <c r="E466" s="94">
        <f>IF(H466=1,INDEX(tx_Date,460),"")</f>
        <v/>
      </c>
      <c r="F466" s="58">
        <f>IF(H466=1,INDEX(tx_Desc,460)&amp;"","")</f>
        <v/>
      </c>
      <c r="G466" s="58">
        <f>IF(H466=1,IF(INDEX(tx_Cust,460)&amp;""&lt;&gt;"",INDEX(tx_Cust,460)&amp;"",INDEX(tx_Vend,460)&amp;""),"")</f>
        <v/>
      </c>
      <c r="H466" s="101">
        <f>IFERROR(N(INDEX(tx_Posted,460)),0)</f>
        <v/>
      </c>
      <c r="I466" s="58">
        <f>IF(H466=1,INDEX(tx_DrAcct,460)&amp;"","")</f>
        <v/>
      </c>
      <c r="J466" s="95">
        <f>IF(H466=1,INDEX(tx_DrAmt,460),0)</f>
        <v/>
      </c>
      <c r="K466" s="58">
        <f>IF(H466=1,INDEX(tx_CrAcct,460)&amp;"","")</f>
        <v/>
      </c>
      <c r="L466" s="95">
        <f>IF(H466=1,INDEX(tx_CrAmt,460),0)</f>
        <v/>
      </c>
      <c r="M466" s="95">
        <f>IF(H466=1,INDEX(tx_TaxDr,460),0)</f>
        <v/>
      </c>
      <c r="N466" s="95">
        <f>IF(H466=1,INDEX(tx_TaxCr,460),0)</f>
        <v/>
      </c>
      <c r="O466" s="101">
        <f>IF(H466=1,IF(E466&lt;FYStart,0,IF(E466&gt;FYEnd,13,YEAR(E466)*12+MONTH(E466)-FYYM+1)),"")</f>
        <v/>
      </c>
      <c r="P466" s="101">
        <f>IF(H466=1,IF(IFERROR(INDEX(coa_CF,MATCH(I466,coa_Name,0)),"")="Cash",1,0),0)</f>
        <v/>
      </c>
      <c r="Q466" s="101">
        <f>IF(H466=1,IF(IFERROR(INDEX(coa_CF,MATCH(K466,coa_Name,0)),"")="Cash",1,0),0)</f>
        <v/>
      </c>
      <c r="R466" s="58">
        <f>IF((P466-Q466)=0,"",IFERROR(INDEX(coa_CF,MATCH(IF((P466-Q466)=1,K466,I466),coa_Name,0)),"Operating"))</f>
        <v/>
      </c>
      <c r="S466" s="95">
        <f>IF((P466-Q466)=1,L466,IF((P466-Q466)=-1,-J466,0))</f>
        <v/>
      </c>
      <c r="T466" s="95">
        <f>IF((P466-Q466)=1,N466,IF((P466-Q466)=-1,-M466,0))</f>
        <v/>
      </c>
      <c r="U466" s="101">
        <f>IF(AND(H466=1,LedAcct&lt;&gt;""),IF(AND(E466&gt;=LedFrom,E466&lt;=LedTo,OR(I466=LedAcct,K466=LedAcct,AND(LedAcct=acctTax,M466+N466&lt;&gt;0))),E466*10000+B466,""),"")</f>
        <v/>
      </c>
    </row>
    <row r="467">
      <c r="B467" s="101" t="n">
        <v>461</v>
      </c>
      <c r="C467" s="58" t="inlineStr">
        <is>
          <t>Transaction</t>
        </is>
      </c>
      <c r="D467" s="58">
        <f>IF(H467=1,INDEX(tx_ID,461)&amp;"","")</f>
        <v/>
      </c>
      <c r="E467" s="94">
        <f>IF(H467=1,INDEX(tx_Date,461),"")</f>
        <v/>
      </c>
      <c r="F467" s="58">
        <f>IF(H467=1,INDEX(tx_Desc,461)&amp;"","")</f>
        <v/>
      </c>
      <c r="G467" s="58">
        <f>IF(H467=1,IF(INDEX(tx_Cust,461)&amp;""&lt;&gt;"",INDEX(tx_Cust,461)&amp;"",INDEX(tx_Vend,461)&amp;""),"")</f>
        <v/>
      </c>
      <c r="H467" s="101">
        <f>IFERROR(N(INDEX(tx_Posted,461)),0)</f>
        <v/>
      </c>
      <c r="I467" s="58">
        <f>IF(H467=1,INDEX(tx_DrAcct,461)&amp;"","")</f>
        <v/>
      </c>
      <c r="J467" s="95">
        <f>IF(H467=1,INDEX(tx_DrAmt,461),0)</f>
        <v/>
      </c>
      <c r="K467" s="58">
        <f>IF(H467=1,INDEX(tx_CrAcct,461)&amp;"","")</f>
        <v/>
      </c>
      <c r="L467" s="95">
        <f>IF(H467=1,INDEX(tx_CrAmt,461),0)</f>
        <v/>
      </c>
      <c r="M467" s="95">
        <f>IF(H467=1,INDEX(tx_TaxDr,461),0)</f>
        <v/>
      </c>
      <c r="N467" s="95">
        <f>IF(H467=1,INDEX(tx_TaxCr,461),0)</f>
        <v/>
      </c>
      <c r="O467" s="101">
        <f>IF(H467=1,IF(E467&lt;FYStart,0,IF(E467&gt;FYEnd,13,YEAR(E467)*12+MONTH(E467)-FYYM+1)),"")</f>
        <v/>
      </c>
      <c r="P467" s="101">
        <f>IF(H467=1,IF(IFERROR(INDEX(coa_CF,MATCH(I467,coa_Name,0)),"")="Cash",1,0),0)</f>
        <v/>
      </c>
      <c r="Q467" s="101">
        <f>IF(H467=1,IF(IFERROR(INDEX(coa_CF,MATCH(K467,coa_Name,0)),"")="Cash",1,0),0)</f>
        <v/>
      </c>
      <c r="R467" s="58">
        <f>IF((P467-Q467)=0,"",IFERROR(INDEX(coa_CF,MATCH(IF((P467-Q467)=1,K467,I467),coa_Name,0)),"Operating"))</f>
        <v/>
      </c>
      <c r="S467" s="95">
        <f>IF((P467-Q467)=1,L467,IF((P467-Q467)=-1,-J467,0))</f>
        <v/>
      </c>
      <c r="T467" s="95">
        <f>IF((P467-Q467)=1,N467,IF((P467-Q467)=-1,-M467,0))</f>
        <v/>
      </c>
      <c r="U467" s="101">
        <f>IF(AND(H467=1,LedAcct&lt;&gt;""),IF(AND(E467&gt;=LedFrom,E467&lt;=LedTo,OR(I467=LedAcct,K467=LedAcct,AND(LedAcct=acctTax,M467+N467&lt;&gt;0))),E467*10000+B467,""),"")</f>
        <v/>
      </c>
    </row>
    <row r="468">
      <c r="B468" s="101" t="n">
        <v>462</v>
      </c>
      <c r="C468" s="58" t="inlineStr">
        <is>
          <t>Transaction</t>
        </is>
      </c>
      <c r="D468" s="58">
        <f>IF(H468=1,INDEX(tx_ID,462)&amp;"","")</f>
        <v/>
      </c>
      <c r="E468" s="94">
        <f>IF(H468=1,INDEX(tx_Date,462),"")</f>
        <v/>
      </c>
      <c r="F468" s="58">
        <f>IF(H468=1,INDEX(tx_Desc,462)&amp;"","")</f>
        <v/>
      </c>
      <c r="G468" s="58">
        <f>IF(H468=1,IF(INDEX(tx_Cust,462)&amp;""&lt;&gt;"",INDEX(tx_Cust,462)&amp;"",INDEX(tx_Vend,462)&amp;""),"")</f>
        <v/>
      </c>
      <c r="H468" s="101">
        <f>IFERROR(N(INDEX(tx_Posted,462)),0)</f>
        <v/>
      </c>
      <c r="I468" s="58">
        <f>IF(H468=1,INDEX(tx_DrAcct,462)&amp;"","")</f>
        <v/>
      </c>
      <c r="J468" s="95">
        <f>IF(H468=1,INDEX(tx_DrAmt,462),0)</f>
        <v/>
      </c>
      <c r="K468" s="58">
        <f>IF(H468=1,INDEX(tx_CrAcct,462)&amp;"","")</f>
        <v/>
      </c>
      <c r="L468" s="95">
        <f>IF(H468=1,INDEX(tx_CrAmt,462),0)</f>
        <v/>
      </c>
      <c r="M468" s="95">
        <f>IF(H468=1,INDEX(tx_TaxDr,462),0)</f>
        <v/>
      </c>
      <c r="N468" s="95">
        <f>IF(H468=1,INDEX(tx_TaxCr,462),0)</f>
        <v/>
      </c>
      <c r="O468" s="101">
        <f>IF(H468=1,IF(E468&lt;FYStart,0,IF(E468&gt;FYEnd,13,YEAR(E468)*12+MONTH(E468)-FYYM+1)),"")</f>
        <v/>
      </c>
      <c r="P468" s="101">
        <f>IF(H468=1,IF(IFERROR(INDEX(coa_CF,MATCH(I468,coa_Name,0)),"")="Cash",1,0),0)</f>
        <v/>
      </c>
      <c r="Q468" s="101">
        <f>IF(H468=1,IF(IFERROR(INDEX(coa_CF,MATCH(K468,coa_Name,0)),"")="Cash",1,0),0)</f>
        <v/>
      </c>
      <c r="R468" s="58">
        <f>IF((P468-Q468)=0,"",IFERROR(INDEX(coa_CF,MATCH(IF((P468-Q468)=1,K468,I468),coa_Name,0)),"Operating"))</f>
        <v/>
      </c>
      <c r="S468" s="95">
        <f>IF((P468-Q468)=1,L468,IF((P468-Q468)=-1,-J468,0))</f>
        <v/>
      </c>
      <c r="T468" s="95">
        <f>IF((P468-Q468)=1,N468,IF((P468-Q468)=-1,-M468,0))</f>
        <v/>
      </c>
      <c r="U468" s="101">
        <f>IF(AND(H468=1,LedAcct&lt;&gt;""),IF(AND(E468&gt;=LedFrom,E468&lt;=LedTo,OR(I468=LedAcct,K468=LedAcct,AND(LedAcct=acctTax,M468+N468&lt;&gt;0))),E468*10000+B468,""),"")</f>
        <v/>
      </c>
    </row>
    <row r="469">
      <c r="B469" s="101" t="n">
        <v>463</v>
      </c>
      <c r="C469" s="58" t="inlineStr">
        <is>
          <t>Transaction</t>
        </is>
      </c>
      <c r="D469" s="58">
        <f>IF(H469=1,INDEX(tx_ID,463)&amp;"","")</f>
        <v/>
      </c>
      <c r="E469" s="94">
        <f>IF(H469=1,INDEX(tx_Date,463),"")</f>
        <v/>
      </c>
      <c r="F469" s="58">
        <f>IF(H469=1,INDEX(tx_Desc,463)&amp;"","")</f>
        <v/>
      </c>
      <c r="G469" s="58">
        <f>IF(H469=1,IF(INDEX(tx_Cust,463)&amp;""&lt;&gt;"",INDEX(tx_Cust,463)&amp;"",INDEX(tx_Vend,463)&amp;""),"")</f>
        <v/>
      </c>
      <c r="H469" s="101">
        <f>IFERROR(N(INDEX(tx_Posted,463)),0)</f>
        <v/>
      </c>
      <c r="I469" s="58">
        <f>IF(H469=1,INDEX(tx_DrAcct,463)&amp;"","")</f>
        <v/>
      </c>
      <c r="J469" s="95">
        <f>IF(H469=1,INDEX(tx_DrAmt,463),0)</f>
        <v/>
      </c>
      <c r="K469" s="58">
        <f>IF(H469=1,INDEX(tx_CrAcct,463)&amp;"","")</f>
        <v/>
      </c>
      <c r="L469" s="95">
        <f>IF(H469=1,INDEX(tx_CrAmt,463),0)</f>
        <v/>
      </c>
      <c r="M469" s="95">
        <f>IF(H469=1,INDEX(tx_TaxDr,463),0)</f>
        <v/>
      </c>
      <c r="N469" s="95">
        <f>IF(H469=1,INDEX(tx_TaxCr,463),0)</f>
        <v/>
      </c>
      <c r="O469" s="101">
        <f>IF(H469=1,IF(E469&lt;FYStart,0,IF(E469&gt;FYEnd,13,YEAR(E469)*12+MONTH(E469)-FYYM+1)),"")</f>
        <v/>
      </c>
      <c r="P469" s="101">
        <f>IF(H469=1,IF(IFERROR(INDEX(coa_CF,MATCH(I469,coa_Name,0)),"")="Cash",1,0),0)</f>
        <v/>
      </c>
      <c r="Q469" s="101">
        <f>IF(H469=1,IF(IFERROR(INDEX(coa_CF,MATCH(K469,coa_Name,0)),"")="Cash",1,0),0)</f>
        <v/>
      </c>
      <c r="R469" s="58">
        <f>IF((P469-Q469)=0,"",IFERROR(INDEX(coa_CF,MATCH(IF((P469-Q469)=1,K469,I469),coa_Name,0)),"Operating"))</f>
        <v/>
      </c>
      <c r="S469" s="95">
        <f>IF((P469-Q469)=1,L469,IF((P469-Q469)=-1,-J469,0))</f>
        <v/>
      </c>
      <c r="T469" s="95">
        <f>IF((P469-Q469)=1,N469,IF((P469-Q469)=-1,-M469,0))</f>
        <v/>
      </c>
      <c r="U469" s="101">
        <f>IF(AND(H469=1,LedAcct&lt;&gt;""),IF(AND(E469&gt;=LedFrom,E469&lt;=LedTo,OR(I469=LedAcct,K469=LedAcct,AND(LedAcct=acctTax,M469+N469&lt;&gt;0))),E469*10000+B469,""),"")</f>
        <v/>
      </c>
    </row>
    <row r="470">
      <c r="B470" s="101" t="n">
        <v>464</v>
      </c>
      <c r="C470" s="58" t="inlineStr">
        <is>
          <t>Transaction</t>
        </is>
      </c>
      <c r="D470" s="58">
        <f>IF(H470=1,INDEX(tx_ID,464)&amp;"","")</f>
        <v/>
      </c>
      <c r="E470" s="94">
        <f>IF(H470=1,INDEX(tx_Date,464),"")</f>
        <v/>
      </c>
      <c r="F470" s="58">
        <f>IF(H470=1,INDEX(tx_Desc,464)&amp;"","")</f>
        <v/>
      </c>
      <c r="G470" s="58">
        <f>IF(H470=1,IF(INDEX(tx_Cust,464)&amp;""&lt;&gt;"",INDEX(tx_Cust,464)&amp;"",INDEX(tx_Vend,464)&amp;""),"")</f>
        <v/>
      </c>
      <c r="H470" s="101">
        <f>IFERROR(N(INDEX(tx_Posted,464)),0)</f>
        <v/>
      </c>
      <c r="I470" s="58">
        <f>IF(H470=1,INDEX(tx_DrAcct,464)&amp;"","")</f>
        <v/>
      </c>
      <c r="J470" s="95">
        <f>IF(H470=1,INDEX(tx_DrAmt,464),0)</f>
        <v/>
      </c>
      <c r="K470" s="58">
        <f>IF(H470=1,INDEX(tx_CrAcct,464)&amp;"","")</f>
        <v/>
      </c>
      <c r="L470" s="95">
        <f>IF(H470=1,INDEX(tx_CrAmt,464),0)</f>
        <v/>
      </c>
      <c r="M470" s="95">
        <f>IF(H470=1,INDEX(tx_TaxDr,464),0)</f>
        <v/>
      </c>
      <c r="N470" s="95">
        <f>IF(H470=1,INDEX(tx_TaxCr,464),0)</f>
        <v/>
      </c>
      <c r="O470" s="101">
        <f>IF(H470=1,IF(E470&lt;FYStart,0,IF(E470&gt;FYEnd,13,YEAR(E470)*12+MONTH(E470)-FYYM+1)),"")</f>
        <v/>
      </c>
      <c r="P470" s="101">
        <f>IF(H470=1,IF(IFERROR(INDEX(coa_CF,MATCH(I470,coa_Name,0)),"")="Cash",1,0),0)</f>
        <v/>
      </c>
      <c r="Q470" s="101">
        <f>IF(H470=1,IF(IFERROR(INDEX(coa_CF,MATCH(K470,coa_Name,0)),"")="Cash",1,0),0)</f>
        <v/>
      </c>
      <c r="R470" s="58">
        <f>IF((P470-Q470)=0,"",IFERROR(INDEX(coa_CF,MATCH(IF((P470-Q470)=1,K470,I470),coa_Name,0)),"Operating"))</f>
        <v/>
      </c>
      <c r="S470" s="95">
        <f>IF((P470-Q470)=1,L470,IF((P470-Q470)=-1,-J470,0))</f>
        <v/>
      </c>
      <c r="T470" s="95">
        <f>IF((P470-Q470)=1,N470,IF((P470-Q470)=-1,-M470,0))</f>
        <v/>
      </c>
      <c r="U470" s="101">
        <f>IF(AND(H470=1,LedAcct&lt;&gt;""),IF(AND(E470&gt;=LedFrom,E470&lt;=LedTo,OR(I470=LedAcct,K470=LedAcct,AND(LedAcct=acctTax,M470+N470&lt;&gt;0))),E470*10000+B470,""),"")</f>
        <v/>
      </c>
    </row>
    <row r="471">
      <c r="B471" s="101" t="n">
        <v>465</v>
      </c>
      <c r="C471" s="58" t="inlineStr">
        <is>
          <t>Transaction</t>
        </is>
      </c>
      <c r="D471" s="58">
        <f>IF(H471=1,INDEX(tx_ID,465)&amp;"","")</f>
        <v/>
      </c>
      <c r="E471" s="94">
        <f>IF(H471=1,INDEX(tx_Date,465),"")</f>
        <v/>
      </c>
      <c r="F471" s="58">
        <f>IF(H471=1,INDEX(tx_Desc,465)&amp;"","")</f>
        <v/>
      </c>
      <c r="G471" s="58">
        <f>IF(H471=1,IF(INDEX(tx_Cust,465)&amp;""&lt;&gt;"",INDEX(tx_Cust,465)&amp;"",INDEX(tx_Vend,465)&amp;""),"")</f>
        <v/>
      </c>
      <c r="H471" s="101">
        <f>IFERROR(N(INDEX(tx_Posted,465)),0)</f>
        <v/>
      </c>
      <c r="I471" s="58">
        <f>IF(H471=1,INDEX(tx_DrAcct,465)&amp;"","")</f>
        <v/>
      </c>
      <c r="J471" s="95">
        <f>IF(H471=1,INDEX(tx_DrAmt,465),0)</f>
        <v/>
      </c>
      <c r="K471" s="58">
        <f>IF(H471=1,INDEX(tx_CrAcct,465)&amp;"","")</f>
        <v/>
      </c>
      <c r="L471" s="95">
        <f>IF(H471=1,INDEX(tx_CrAmt,465),0)</f>
        <v/>
      </c>
      <c r="M471" s="95">
        <f>IF(H471=1,INDEX(tx_TaxDr,465),0)</f>
        <v/>
      </c>
      <c r="N471" s="95">
        <f>IF(H471=1,INDEX(tx_TaxCr,465),0)</f>
        <v/>
      </c>
      <c r="O471" s="101">
        <f>IF(H471=1,IF(E471&lt;FYStart,0,IF(E471&gt;FYEnd,13,YEAR(E471)*12+MONTH(E471)-FYYM+1)),"")</f>
        <v/>
      </c>
      <c r="P471" s="101">
        <f>IF(H471=1,IF(IFERROR(INDEX(coa_CF,MATCH(I471,coa_Name,0)),"")="Cash",1,0),0)</f>
        <v/>
      </c>
      <c r="Q471" s="101">
        <f>IF(H471=1,IF(IFERROR(INDEX(coa_CF,MATCH(K471,coa_Name,0)),"")="Cash",1,0),0)</f>
        <v/>
      </c>
      <c r="R471" s="58">
        <f>IF((P471-Q471)=0,"",IFERROR(INDEX(coa_CF,MATCH(IF((P471-Q471)=1,K471,I471),coa_Name,0)),"Operating"))</f>
        <v/>
      </c>
      <c r="S471" s="95">
        <f>IF((P471-Q471)=1,L471,IF((P471-Q471)=-1,-J471,0))</f>
        <v/>
      </c>
      <c r="T471" s="95">
        <f>IF((P471-Q471)=1,N471,IF((P471-Q471)=-1,-M471,0))</f>
        <v/>
      </c>
      <c r="U471" s="101">
        <f>IF(AND(H471=1,LedAcct&lt;&gt;""),IF(AND(E471&gt;=LedFrom,E471&lt;=LedTo,OR(I471=LedAcct,K471=LedAcct,AND(LedAcct=acctTax,M471+N471&lt;&gt;0))),E471*10000+B471,""),"")</f>
        <v/>
      </c>
    </row>
    <row r="472">
      <c r="B472" s="101" t="n">
        <v>466</v>
      </c>
      <c r="C472" s="58" t="inlineStr">
        <is>
          <t>Transaction</t>
        </is>
      </c>
      <c r="D472" s="58">
        <f>IF(H472=1,INDEX(tx_ID,466)&amp;"","")</f>
        <v/>
      </c>
      <c r="E472" s="94">
        <f>IF(H472=1,INDEX(tx_Date,466),"")</f>
        <v/>
      </c>
      <c r="F472" s="58">
        <f>IF(H472=1,INDEX(tx_Desc,466)&amp;"","")</f>
        <v/>
      </c>
      <c r="G472" s="58">
        <f>IF(H472=1,IF(INDEX(tx_Cust,466)&amp;""&lt;&gt;"",INDEX(tx_Cust,466)&amp;"",INDEX(tx_Vend,466)&amp;""),"")</f>
        <v/>
      </c>
      <c r="H472" s="101">
        <f>IFERROR(N(INDEX(tx_Posted,466)),0)</f>
        <v/>
      </c>
      <c r="I472" s="58">
        <f>IF(H472=1,INDEX(tx_DrAcct,466)&amp;"","")</f>
        <v/>
      </c>
      <c r="J472" s="95">
        <f>IF(H472=1,INDEX(tx_DrAmt,466),0)</f>
        <v/>
      </c>
      <c r="K472" s="58">
        <f>IF(H472=1,INDEX(tx_CrAcct,466)&amp;"","")</f>
        <v/>
      </c>
      <c r="L472" s="95">
        <f>IF(H472=1,INDEX(tx_CrAmt,466),0)</f>
        <v/>
      </c>
      <c r="M472" s="95">
        <f>IF(H472=1,INDEX(tx_TaxDr,466),0)</f>
        <v/>
      </c>
      <c r="N472" s="95">
        <f>IF(H472=1,INDEX(tx_TaxCr,466),0)</f>
        <v/>
      </c>
      <c r="O472" s="101">
        <f>IF(H472=1,IF(E472&lt;FYStart,0,IF(E472&gt;FYEnd,13,YEAR(E472)*12+MONTH(E472)-FYYM+1)),"")</f>
        <v/>
      </c>
      <c r="P472" s="101">
        <f>IF(H472=1,IF(IFERROR(INDEX(coa_CF,MATCH(I472,coa_Name,0)),"")="Cash",1,0),0)</f>
        <v/>
      </c>
      <c r="Q472" s="101">
        <f>IF(H472=1,IF(IFERROR(INDEX(coa_CF,MATCH(K472,coa_Name,0)),"")="Cash",1,0),0)</f>
        <v/>
      </c>
      <c r="R472" s="58">
        <f>IF((P472-Q472)=0,"",IFERROR(INDEX(coa_CF,MATCH(IF((P472-Q472)=1,K472,I472),coa_Name,0)),"Operating"))</f>
        <v/>
      </c>
      <c r="S472" s="95">
        <f>IF((P472-Q472)=1,L472,IF((P472-Q472)=-1,-J472,0))</f>
        <v/>
      </c>
      <c r="T472" s="95">
        <f>IF((P472-Q472)=1,N472,IF((P472-Q472)=-1,-M472,0))</f>
        <v/>
      </c>
      <c r="U472" s="101">
        <f>IF(AND(H472=1,LedAcct&lt;&gt;""),IF(AND(E472&gt;=LedFrom,E472&lt;=LedTo,OR(I472=LedAcct,K472=LedAcct,AND(LedAcct=acctTax,M472+N472&lt;&gt;0))),E472*10000+B472,""),"")</f>
        <v/>
      </c>
    </row>
    <row r="473">
      <c r="B473" s="101" t="n">
        <v>467</v>
      </c>
      <c r="C473" s="58" t="inlineStr">
        <is>
          <t>Transaction</t>
        </is>
      </c>
      <c r="D473" s="58">
        <f>IF(H473=1,INDEX(tx_ID,467)&amp;"","")</f>
        <v/>
      </c>
      <c r="E473" s="94">
        <f>IF(H473=1,INDEX(tx_Date,467),"")</f>
        <v/>
      </c>
      <c r="F473" s="58">
        <f>IF(H473=1,INDEX(tx_Desc,467)&amp;"","")</f>
        <v/>
      </c>
      <c r="G473" s="58">
        <f>IF(H473=1,IF(INDEX(tx_Cust,467)&amp;""&lt;&gt;"",INDEX(tx_Cust,467)&amp;"",INDEX(tx_Vend,467)&amp;""),"")</f>
        <v/>
      </c>
      <c r="H473" s="101">
        <f>IFERROR(N(INDEX(tx_Posted,467)),0)</f>
        <v/>
      </c>
      <c r="I473" s="58">
        <f>IF(H473=1,INDEX(tx_DrAcct,467)&amp;"","")</f>
        <v/>
      </c>
      <c r="J473" s="95">
        <f>IF(H473=1,INDEX(tx_DrAmt,467),0)</f>
        <v/>
      </c>
      <c r="K473" s="58">
        <f>IF(H473=1,INDEX(tx_CrAcct,467)&amp;"","")</f>
        <v/>
      </c>
      <c r="L473" s="95">
        <f>IF(H473=1,INDEX(tx_CrAmt,467),0)</f>
        <v/>
      </c>
      <c r="M473" s="95">
        <f>IF(H473=1,INDEX(tx_TaxDr,467),0)</f>
        <v/>
      </c>
      <c r="N473" s="95">
        <f>IF(H473=1,INDEX(tx_TaxCr,467),0)</f>
        <v/>
      </c>
      <c r="O473" s="101">
        <f>IF(H473=1,IF(E473&lt;FYStart,0,IF(E473&gt;FYEnd,13,YEAR(E473)*12+MONTH(E473)-FYYM+1)),"")</f>
        <v/>
      </c>
      <c r="P473" s="101">
        <f>IF(H473=1,IF(IFERROR(INDEX(coa_CF,MATCH(I473,coa_Name,0)),"")="Cash",1,0),0)</f>
        <v/>
      </c>
      <c r="Q473" s="101">
        <f>IF(H473=1,IF(IFERROR(INDEX(coa_CF,MATCH(K473,coa_Name,0)),"")="Cash",1,0),0)</f>
        <v/>
      </c>
      <c r="R473" s="58">
        <f>IF((P473-Q473)=0,"",IFERROR(INDEX(coa_CF,MATCH(IF((P473-Q473)=1,K473,I473),coa_Name,0)),"Operating"))</f>
        <v/>
      </c>
      <c r="S473" s="95">
        <f>IF((P473-Q473)=1,L473,IF((P473-Q473)=-1,-J473,0))</f>
        <v/>
      </c>
      <c r="T473" s="95">
        <f>IF((P473-Q473)=1,N473,IF((P473-Q473)=-1,-M473,0))</f>
        <v/>
      </c>
      <c r="U473" s="101">
        <f>IF(AND(H473=1,LedAcct&lt;&gt;""),IF(AND(E473&gt;=LedFrom,E473&lt;=LedTo,OR(I473=LedAcct,K473=LedAcct,AND(LedAcct=acctTax,M473+N473&lt;&gt;0))),E473*10000+B473,""),"")</f>
        <v/>
      </c>
    </row>
    <row r="474">
      <c r="B474" s="101" t="n">
        <v>468</v>
      </c>
      <c r="C474" s="58" t="inlineStr">
        <is>
          <t>Transaction</t>
        </is>
      </c>
      <c r="D474" s="58">
        <f>IF(H474=1,INDEX(tx_ID,468)&amp;"","")</f>
        <v/>
      </c>
      <c r="E474" s="94">
        <f>IF(H474=1,INDEX(tx_Date,468),"")</f>
        <v/>
      </c>
      <c r="F474" s="58">
        <f>IF(H474=1,INDEX(tx_Desc,468)&amp;"","")</f>
        <v/>
      </c>
      <c r="G474" s="58">
        <f>IF(H474=1,IF(INDEX(tx_Cust,468)&amp;""&lt;&gt;"",INDEX(tx_Cust,468)&amp;"",INDEX(tx_Vend,468)&amp;""),"")</f>
        <v/>
      </c>
      <c r="H474" s="101">
        <f>IFERROR(N(INDEX(tx_Posted,468)),0)</f>
        <v/>
      </c>
      <c r="I474" s="58">
        <f>IF(H474=1,INDEX(tx_DrAcct,468)&amp;"","")</f>
        <v/>
      </c>
      <c r="J474" s="95">
        <f>IF(H474=1,INDEX(tx_DrAmt,468),0)</f>
        <v/>
      </c>
      <c r="K474" s="58">
        <f>IF(H474=1,INDEX(tx_CrAcct,468)&amp;"","")</f>
        <v/>
      </c>
      <c r="L474" s="95">
        <f>IF(H474=1,INDEX(tx_CrAmt,468),0)</f>
        <v/>
      </c>
      <c r="M474" s="95">
        <f>IF(H474=1,INDEX(tx_TaxDr,468),0)</f>
        <v/>
      </c>
      <c r="N474" s="95">
        <f>IF(H474=1,INDEX(tx_TaxCr,468),0)</f>
        <v/>
      </c>
      <c r="O474" s="101">
        <f>IF(H474=1,IF(E474&lt;FYStart,0,IF(E474&gt;FYEnd,13,YEAR(E474)*12+MONTH(E474)-FYYM+1)),"")</f>
        <v/>
      </c>
      <c r="P474" s="101">
        <f>IF(H474=1,IF(IFERROR(INDEX(coa_CF,MATCH(I474,coa_Name,0)),"")="Cash",1,0),0)</f>
        <v/>
      </c>
      <c r="Q474" s="101">
        <f>IF(H474=1,IF(IFERROR(INDEX(coa_CF,MATCH(K474,coa_Name,0)),"")="Cash",1,0),0)</f>
        <v/>
      </c>
      <c r="R474" s="58">
        <f>IF((P474-Q474)=0,"",IFERROR(INDEX(coa_CF,MATCH(IF((P474-Q474)=1,K474,I474),coa_Name,0)),"Operating"))</f>
        <v/>
      </c>
      <c r="S474" s="95">
        <f>IF((P474-Q474)=1,L474,IF((P474-Q474)=-1,-J474,0))</f>
        <v/>
      </c>
      <c r="T474" s="95">
        <f>IF((P474-Q474)=1,N474,IF((P474-Q474)=-1,-M474,0))</f>
        <v/>
      </c>
      <c r="U474" s="101">
        <f>IF(AND(H474=1,LedAcct&lt;&gt;""),IF(AND(E474&gt;=LedFrom,E474&lt;=LedTo,OR(I474=LedAcct,K474=LedAcct,AND(LedAcct=acctTax,M474+N474&lt;&gt;0))),E474*10000+B474,""),"")</f>
        <v/>
      </c>
    </row>
    <row r="475">
      <c r="B475" s="101" t="n">
        <v>469</v>
      </c>
      <c r="C475" s="58" t="inlineStr">
        <is>
          <t>Transaction</t>
        </is>
      </c>
      <c r="D475" s="58">
        <f>IF(H475=1,INDEX(tx_ID,469)&amp;"","")</f>
        <v/>
      </c>
      <c r="E475" s="94">
        <f>IF(H475=1,INDEX(tx_Date,469),"")</f>
        <v/>
      </c>
      <c r="F475" s="58">
        <f>IF(H475=1,INDEX(tx_Desc,469)&amp;"","")</f>
        <v/>
      </c>
      <c r="G475" s="58">
        <f>IF(H475=1,IF(INDEX(tx_Cust,469)&amp;""&lt;&gt;"",INDEX(tx_Cust,469)&amp;"",INDEX(tx_Vend,469)&amp;""),"")</f>
        <v/>
      </c>
      <c r="H475" s="101">
        <f>IFERROR(N(INDEX(tx_Posted,469)),0)</f>
        <v/>
      </c>
      <c r="I475" s="58">
        <f>IF(H475=1,INDEX(tx_DrAcct,469)&amp;"","")</f>
        <v/>
      </c>
      <c r="J475" s="95">
        <f>IF(H475=1,INDEX(tx_DrAmt,469),0)</f>
        <v/>
      </c>
      <c r="K475" s="58">
        <f>IF(H475=1,INDEX(tx_CrAcct,469)&amp;"","")</f>
        <v/>
      </c>
      <c r="L475" s="95">
        <f>IF(H475=1,INDEX(tx_CrAmt,469),0)</f>
        <v/>
      </c>
      <c r="M475" s="95">
        <f>IF(H475=1,INDEX(tx_TaxDr,469),0)</f>
        <v/>
      </c>
      <c r="N475" s="95">
        <f>IF(H475=1,INDEX(tx_TaxCr,469),0)</f>
        <v/>
      </c>
      <c r="O475" s="101">
        <f>IF(H475=1,IF(E475&lt;FYStart,0,IF(E475&gt;FYEnd,13,YEAR(E475)*12+MONTH(E475)-FYYM+1)),"")</f>
        <v/>
      </c>
      <c r="P475" s="101">
        <f>IF(H475=1,IF(IFERROR(INDEX(coa_CF,MATCH(I475,coa_Name,0)),"")="Cash",1,0),0)</f>
        <v/>
      </c>
      <c r="Q475" s="101">
        <f>IF(H475=1,IF(IFERROR(INDEX(coa_CF,MATCH(K475,coa_Name,0)),"")="Cash",1,0),0)</f>
        <v/>
      </c>
      <c r="R475" s="58">
        <f>IF((P475-Q475)=0,"",IFERROR(INDEX(coa_CF,MATCH(IF((P475-Q475)=1,K475,I475),coa_Name,0)),"Operating"))</f>
        <v/>
      </c>
      <c r="S475" s="95">
        <f>IF((P475-Q475)=1,L475,IF((P475-Q475)=-1,-J475,0))</f>
        <v/>
      </c>
      <c r="T475" s="95">
        <f>IF((P475-Q475)=1,N475,IF((P475-Q475)=-1,-M475,0))</f>
        <v/>
      </c>
      <c r="U475" s="101">
        <f>IF(AND(H475=1,LedAcct&lt;&gt;""),IF(AND(E475&gt;=LedFrom,E475&lt;=LedTo,OR(I475=LedAcct,K475=LedAcct,AND(LedAcct=acctTax,M475+N475&lt;&gt;0))),E475*10000+B475,""),"")</f>
        <v/>
      </c>
    </row>
    <row r="476">
      <c r="B476" s="101" t="n">
        <v>470</v>
      </c>
      <c r="C476" s="58" t="inlineStr">
        <is>
          <t>Transaction</t>
        </is>
      </c>
      <c r="D476" s="58">
        <f>IF(H476=1,INDEX(tx_ID,470)&amp;"","")</f>
        <v/>
      </c>
      <c r="E476" s="94">
        <f>IF(H476=1,INDEX(tx_Date,470),"")</f>
        <v/>
      </c>
      <c r="F476" s="58">
        <f>IF(H476=1,INDEX(tx_Desc,470)&amp;"","")</f>
        <v/>
      </c>
      <c r="G476" s="58">
        <f>IF(H476=1,IF(INDEX(tx_Cust,470)&amp;""&lt;&gt;"",INDEX(tx_Cust,470)&amp;"",INDEX(tx_Vend,470)&amp;""),"")</f>
        <v/>
      </c>
      <c r="H476" s="101">
        <f>IFERROR(N(INDEX(tx_Posted,470)),0)</f>
        <v/>
      </c>
      <c r="I476" s="58">
        <f>IF(H476=1,INDEX(tx_DrAcct,470)&amp;"","")</f>
        <v/>
      </c>
      <c r="J476" s="95">
        <f>IF(H476=1,INDEX(tx_DrAmt,470),0)</f>
        <v/>
      </c>
      <c r="K476" s="58">
        <f>IF(H476=1,INDEX(tx_CrAcct,470)&amp;"","")</f>
        <v/>
      </c>
      <c r="L476" s="95">
        <f>IF(H476=1,INDEX(tx_CrAmt,470),0)</f>
        <v/>
      </c>
      <c r="M476" s="95">
        <f>IF(H476=1,INDEX(tx_TaxDr,470),0)</f>
        <v/>
      </c>
      <c r="N476" s="95">
        <f>IF(H476=1,INDEX(tx_TaxCr,470),0)</f>
        <v/>
      </c>
      <c r="O476" s="101">
        <f>IF(H476=1,IF(E476&lt;FYStart,0,IF(E476&gt;FYEnd,13,YEAR(E476)*12+MONTH(E476)-FYYM+1)),"")</f>
        <v/>
      </c>
      <c r="P476" s="101">
        <f>IF(H476=1,IF(IFERROR(INDEX(coa_CF,MATCH(I476,coa_Name,0)),"")="Cash",1,0),0)</f>
        <v/>
      </c>
      <c r="Q476" s="101">
        <f>IF(H476=1,IF(IFERROR(INDEX(coa_CF,MATCH(K476,coa_Name,0)),"")="Cash",1,0),0)</f>
        <v/>
      </c>
      <c r="R476" s="58">
        <f>IF((P476-Q476)=0,"",IFERROR(INDEX(coa_CF,MATCH(IF((P476-Q476)=1,K476,I476),coa_Name,0)),"Operating"))</f>
        <v/>
      </c>
      <c r="S476" s="95">
        <f>IF((P476-Q476)=1,L476,IF((P476-Q476)=-1,-J476,0))</f>
        <v/>
      </c>
      <c r="T476" s="95">
        <f>IF((P476-Q476)=1,N476,IF((P476-Q476)=-1,-M476,0))</f>
        <v/>
      </c>
      <c r="U476" s="101">
        <f>IF(AND(H476=1,LedAcct&lt;&gt;""),IF(AND(E476&gt;=LedFrom,E476&lt;=LedTo,OR(I476=LedAcct,K476=LedAcct,AND(LedAcct=acctTax,M476+N476&lt;&gt;0))),E476*10000+B476,""),"")</f>
        <v/>
      </c>
    </row>
    <row r="477">
      <c r="B477" s="101" t="n">
        <v>471</v>
      </c>
      <c r="C477" s="58" t="inlineStr">
        <is>
          <t>Transaction</t>
        </is>
      </c>
      <c r="D477" s="58">
        <f>IF(H477=1,INDEX(tx_ID,471)&amp;"","")</f>
        <v/>
      </c>
      <c r="E477" s="94">
        <f>IF(H477=1,INDEX(tx_Date,471),"")</f>
        <v/>
      </c>
      <c r="F477" s="58">
        <f>IF(H477=1,INDEX(tx_Desc,471)&amp;"","")</f>
        <v/>
      </c>
      <c r="G477" s="58">
        <f>IF(H477=1,IF(INDEX(tx_Cust,471)&amp;""&lt;&gt;"",INDEX(tx_Cust,471)&amp;"",INDEX(tx_Vend,471)&amp;""),"")</f>
        <v/>
      </c>
      <c r="H477" s="101">
        <f>IFERROR(N(INDEX(tx_Posted,471)),0)</f>
        <v/>
      </c>
      <c r="I477" s="58">
        <f>IF(H477=1,INDEX(tx_DrAcct,471)&amp;"","")</f>
        <v/>
      </c>
      <c r="J477" s="95">
        <f>IF(H477=1,INDEX(tx_DrAmt,471),0)</f>
        <v/>
      </c>
      <c r="K477" s="58">
        <f>IF(H477=1,INDEX(tx_CrAcct,471)&amp;"","")</f>
        <v/>
      </c>
      <c r="L477" s="95">
        <f>IF(H477=1,INDEX(tx_CrAmt,471),0)</f>
        <v/>
      </c>
      <c r="M477" s="95">
        <f>IF(H477=1,INDEX(tx_TaxDr,471),0)</f>
        <v/>
      </c>
      <c r="N477" s="95">
        <f>IF(H477=1,INDEX(tx_TaxCr,471),0)</f>
        <v/>
      </c>
      <c r="O477" s="101">
        <f>IF(H477=1,IF(E477&lt;FYStart,0,IF(E477&gt;FYEnd,13,YEAR(E477)*12+MONTH(E477)-FYYM+1)),"")</f>
        <v/>
      </c>
      <c r="P477" s="101">
        <f>IF(H477=1,IF(IFERROR(INDEX(coa_CF,MATCH(I477,coa_Name,0)),"")="Cash",1,0),0)</f>
        <v/>
      </c>
      <c r="Q477" s="101">
        <f>IF(H477=1,IF(IFERROR(INDEX(coa_CF,MATCH(K477,coa_Name,0)),"")="Cash",1,0),0)</f>
        <v/>
      </c>
      <c r="R477" s="58">
        <f>IF((P477-Q477)=0,"",IFERROR(INDEX(coa_CF,MATCH(IF((P477-Q477)=1,K477,I477),coa_Name,0)),"Operating"))</f>
        <v/>
      </c>
      <c r="S477" s="95">
        <f>IF((P477-Q477)=1,L477,IF((P477-Q477)=-1,-J477,0))</f>
        <v/>
      </c>
      <c r="T477" s="95">
        <f>IF((P477-Q477)=1,N477,IF((P477-Q477)=-1,-M477,0))</f>
        <v/>
      </c>
      <c r="U477" s="101">
        <f>IF(AND(H477=1,LedAcct&lt;&gt;""),IF(AND(E477&gt;=LedFrom,E477&lt;=LedTo,OR(I477=LedAcct,K477=LedAcct,AND(LedAcct=acctTax,M477+N477&lt;&gt;0))),E477*10000+B477,""),"")</f>
        <v/>
      </c>
    </row>
    <row r="478">
      <c r="B478" s="101" t="n">
        <v>472</v>
      </c>
      <c r="C478" s="58" t="inlineStr">
        <is>
          <t>Transaction</t>
        </is>
      </c>
      <c r="D478" s="58">
        <f>IF(H478=1,INDEX(tx_ID,472)&amp;"","")</f>
        <v/>
      </c>
      <c r="E478" s="94">
        <f>IF(H478=1,INDEX(tx_Date,472),"")</f>
        <v/>
      </c>
      <c r="F478" s="58">
        <f>IF(H478=1,INDEX(tx_Desc,472)&amp;"","")</f>
        <v/>
      </c>
      <c r="G478" s="58">
        <f>IF(H478=1,IF(INDEX(tx_Cust,472)&amp;""&lt;&gt;"",INDEX(tx_Cust,472)&amp;"",INDEX(tx_Vend,472)&amp;""),"")</f>
        <v/>
      </c>
      <c r="H478" s="101">
        <f>IFERROR(N(INDEX(tx_Posted,472)),0)</f>
        <v/>
      </c>
      <c r="I478" s="58">
        <f>IF(H478=1,INDEX(tx_DrAcct,472)&amp;"","")</f>
        <v/>
      </c>
      <c r="J478" s="95">
        <f>IF(H478=1,INDEX(tx_DrAmt,472),0)</f>
        <v/>
      </c>
      <c r="K478" s="58">
        <f>IF(H478=1,INDEX(tx_CrAcct,472)&amp;"","")</f>
        <v/>
      </c>
      <c r="L478" s="95">
        <f>IF(H478=1,INDEX(tx_CrAmt,472),0)</f>
        <v/>
      </c>
      <c r="M478" s="95">
        <f>IF(H478=1,INDEX(tx_TaxDr,472),0)</f>
        <v/>
      </c>
      <c r="N478" s="95">
        <f>IF(H478=1,INDEX(tx_TaxCr,472),0)</f>
        <v/>
      </c>
      <c r="O478" s="101">
        <f>IF(H478=1,IF(E478&lt;FYStart,0,IF(E478&gt;FYEnd,13,YEAR(E478)*12+MONTH(E478)-FYYM+1)),"")</f>
        <v/>
      </c>
      <c r="P478" s="101">
        <f>IF(H478=1,IF(IFERROR(INDEX(coa_CF,MATCH(I478,coa_Name,0)),"")="Cash",1,0),0)</f>
        <v/>
      </c>
      <c r="Q478" s="101">
        <f>IF(H478=1,IF(IFERROR(INDEX(coa_CF,MATCH(K478,coa_Name,0)),"")="Cash",1,0),0)</f>
        <v/>
      </c>
      <c r="R478" s="58">
        <f>IF((P478-Q478)=0,"",IFERROR(INDEX(coa_CF,MATCH(IF((P478-Q478)=1,K478,I478),coa_Name,0)),"Operating"))</f>
        <v/>
      </c>
      <c r="S478" s="95">
        <f>IF((P478-Q478)=1,L478,IF((P478-Q478)=-1,-J478,0))</f>
        <v/>
      </c>
      <c r="T478" s="95">
        <f>IF((P478-Q478)=1,N478,IF((P478-Q478)=-1,-M478,0))</f>
        <v/>
      </c>
      <c r="U478" s="101">
        <f>IF(AND(H478=1,LedAcct&lt;&gt;""),IF(AND(E478&gt;=LedFrom,E478&lt;=LedTo,OR(I478=LedAcct,K478=LedAcct,AND(LedAcct=acctTax,M478+N478&lt;&gt;0))),E478*10000+B478,""),"")</f>
        <v/>
      </c>
    </row>
    <row r="479">
      <c r="B479" s="101" t="n">
        <v>473</v>
      </c>
      <c r="C479" s="58" t="inlineStr">
        <is>
          <t>Transaction</t>
        </is>
      </c>
      <c r="D479" s="58">
        <f>IF(H479=1,INDEX(tx_ID,473)&amp;"","")</f>
        <v/>
      </c>
      <c r="E479" s="94">
        <f>IF(H479=1,INDEX(tx_Date,473),"")</f>
        <v/>
      </c>
      <c r="F479" s="58">
        <f>IF(H479=1,INDEX(tx_Desc,473)&amp;"","")</f>
        <v/>
      </c>
      <c r="G479" s="58">
        <f>IF(H479=1,IF(INDEX(tx_Cust,473)&amp;""&lt;&gt;"",INDEX(tx_Cust,473)&amp;"",INDEX(tx_Vend,473)&amp;""),"")</f>
        <v/>
      </c>
      <c r="H479" s="101">
        <f>IFERROR(N(INDEX(tx_Posted,473)),0)</f>
        <v/>
      </c>
      <c r="I479" s="58">
        <f>IF(H479=1,INDEX(tx_DrAcct,473)&amp;"","")</f>
        <v/>
      </c>
      <c r="J479" s="95">
        <f>IF(H479=1,INDEX(tx_DrAmt,473),0)</f>
        <v/>
      </c>
      <c r="K479" s="58">
        <f>IF(H479=1,INDEX(tx_CrAcct,473)&amp;"","")</f>
        <v/>
      </c>
      <c r="L479" s="95">
        <f>IF(H479=1,INDEX(tx_CrAmt,473),0)</f>
        <v/>
      </c>
      <c r="M479" s="95">
        <f>IF(H479=1,INDEX(tx_TaxDr,473),0)</f>
        <v/>
      </c>
      <c r="N479" s="95">
        <f>IF(H479=1,INDEX(tx_TaxCr,473),0)</f>
        <v/>
      </c>
      <c r="O479" s="101">
        <f>IF(H479=1,IF(E479&lt;FYStart,0,IF(E479&gt;FYEnd,13,YEAR(E479)*12+MONTH(E479)-FYYM+1)),"")</f>
        <v/>
      </c>
      <c r="P479" s="101">
        <f>IF(H479=1,IF(IFERROR(INDEX(coa_CF,MATCH(I479,coa_Name,0)),"")="Cash",1,0),0)</f>
        <v/>
      </c>
      <c r="Q479" s="101">
        <f>IF(H479=1,IF(IFERROR(INDEX(coa_CF,MATCH(K479,coa_Name,0)),"")="Cash",1,0),0)</f>
        <v/>
      </c>
      <c r="R479" s="58">
        <f>IF((P479-Q479)=0,"",IFERROR(INDEX(coa_CF,MATCH(IF((P479-Q479)=1,K479,I479),coa_Name,0)),"Operating"))</f>
        <v/>
      </c>
      <c r="S479" s="95">
        <f>IF((P479-Q479)=1,L479,IF((P479-Q479)=-1,-J479,0))</f>
        <v/>
      </c>
      <c r="T479" s="95">
        <f>IF((P479-Q479)=1,N479,IF((P479-Q479)=-1,-M479,0))</f>
        <v/>
      </c>
      <c r="U479" s="101">
        <f>IF(AND(H479=1,LedAcct&lt;&gt;""),IF(AND(E479&gt;=LedFrom,E479&lt;=LedTo,OR(I479=LedAcct,K479=LedAcct,AND(LedAcct=acctTax,M479+N479&lt;&gt;0))),E479*10000+B479,""),"")</f>
        <v/>
      </c>
    </row>
    <row r="480">
      <c r="B480" s="101" t="n">
        <v>474</v>
      </c>
      <c r="C480" s="58" t="inlineStr">
        <is>
          <t>Transaction</t>
        </is>
      </c>
      <c r="D480" s="58">
        <f>IF(H480=1,INDEX(tx_ID,474)&amp;"","")</f>
        <v/>
      </c>
      <c r="E480" s="94">
        <f>IF(H480=1,INDEX(tx_Date,474),"")</f>
        <v/>
      </c>
      <c r="F480" s="58">
        <f>IF(H480=1,INDEX(tx_Desc,474)&amp;"","")</f>
        <v/>
      </c>
      <c r="G480" s="58">
        <f>IF(H480=1,IF(INDEX(tx_Cust,474)&amp;""&lt;&gt;"",INDEX(tx_Cust,474)&amp;"",INDEX(tx_Vend,474)&amp;""),"")</f>
        <v/>
      </c>
      <c r="H480" s="101">
        <f>IFERROR(N(INDEX(tx_Posted,474)),0)</f>
        <v/>
      </c>
      <c r="I480" s="58">
        <f>IF(H480=1,INDEX(tx_DrAcct,474)&amp;"","")</f>
        <v/>
      </c>
      <c r="J480" s="95">
        <f>IF(H480=1,INDEX(tx_DrAmt,474),0)</f>
        <v/>
      </c>
      <c r="K480" s="58">
        <f>IF(H480=1,INDEX(tx_CrAcct,474)&amp;"","")</f>
        <v/>
      </c>
      <c r="L480" s="95">
        <f>IF(H480=1,INDEX(tx_CrAmt,474),0)</f>
        <v/>
      </c>
      <c r="M480" s="95">
        <f>IF(H480=1,INDEX(tx_TaxDr,474),0)</f>
        <v/>
      </c>
      <c r="N480" s="95">
        <f>IF(H480=1,INDEX(tx_TaxCr,474),0)</f>
        <v/>
      </c>
      <c r="O480" s="101">
        <f>IF(H480=1,IF(E480&lt;FYStart,0,IF(E480&gt;FYEnd,13,YEAR(E480)*12+MONTH(E480)-FYYM+1)),"")</f>
        <v/>
      </c>
      <c r="P480" s="101">
        <f>IF(H480=1,IF(IFERROR(INDEX(coa_CF,MATCH(I480,coa_Name,0)),"")="Cash",1,0),0)</f>
        <v/>
      </c>
      <c r="Q480" s="101">
        <f>IF(H480=1,IF(IFERROR(INDEX(coa_CF,MATCH(K480,coa_Name,0)),"")="Cash",1,0),0)</f>
        <v/>
      </c>
      <c r="R480" s="58">
        <f>IF((P480-Q480)=0,"",IFERROR(INDEX(coa_CF,MATCH(IF((P480-Q480)=1,K480,I480),coa_Name,0)),"Operating"))</f>
        <v/>
      </c>
      <c r="S480" s="95">
        <f>IF((P480-Q480)=1,L480,IF((P480-Q480)=-1,-J480,0))</f>
        <v/>
      </c>
      <c r="T480" s="95">
        <f>IF((P480-Q480)=1,N480,IF((P480-Q480)=-1,-M480,0))</f>
        <v/>
      </c>
      <c r="U480" s="101">
        <f>IF(AND(H480=1,LedAcct&lt;&gt;""),IF(AND(E480&gt;=LedFrom,E480&lt;=LedTo,OR(I480=LedAcct,K480=LedAcct,AND(LedAcct=acctTax,M480+N480&lt;&gt;0))),E480*10000+B480,""),"")</f>
        <v/>
      </c>
    </row>
    <row r="481">
      <c r="B481" s="101" t="n">
        <v>475</v>
      </c>
      <c r="C481" s="58" t="inlineStr">
        <is>
          <t>Transaction</t>
        </is>
      </c>
      <c r="D481" s="58">
        <f>IF(H481=1,INDEX(tx_ID,475)&amp;"","")</f>
        <v/>
      </c>
      <c r="E481" s="94">
        <f>IF(H481=1,INDEX(tx_Date,475),"")</f>
        <v/>
      </c>
      <c r="F481" s="58">
        <f>IF(H481=1,INDEX(tx_Desc,475)&amp;"","")</f>
        <v/>
      </c>
      <c r="G481" s="58">
        <f>IF(H481=1,IF(INDEX(tx_Cust,475)&amp;""&lt;&gt;"",INDEX(tx_Cust,475)&amp;"",INDEX(tx_Vend,475)&amp;""),"")</f>
        <v/>
      </c>
      <c r="H481" s="101">
        <f>IFERROR(N(INDEX(tx_Posted,475)),0)</f>
        <v/>
      </c>
      <c r="I481" s="58">
        <f>IF(H481=1,INDEX(tx_DrAcct,475)&amp;"","")</f>
        <v/>
      </c>
      <c r="J481" s="95">
        <f>IF(H481=1,INDEX(tx_DrAmt,475),0)</f>
        <v/>
      </c>
      <c r="K481" s="58">
        <f>IF(H481=1,INDEX(tx_CrAcct,475)&amp;"","")</f>
        <v/>
      </c>
      <c r="L481" s="95">
        <f>IF(H481=1,INDEX(tx_CrAmt,475),0)</f>
        <v/>
      </c>
      <c r="M481" s="95">
        <f>IF(H481=1,INDEX(tx_TaxDr,475),0)</f>
        <v/>
      </c>
      <c r="N481" s="95">
        <f>IF(H481=1,INDEX(tx_TaxCr,475),0)</f>
        <v/>
      </c>
      <c r="O481" s="101">
        <f>IF(H481=1,IF(E481&lt;FYStart,0,IF(E481&gt;FYEnd,13,YEAR(E481)*12+MONTH(E481)-FYYM+1)),"")</f>
        <v/>
      </c>
      <c r="P481" s="101">
        <f>IF(H481=1,IF(IFERROR(INDEX(coa_CF,MATCH(I481,coa_Name,0)),"")="Cash",1,0),0)</f>
        <v/>
      </c>
      <c r="Q481" s="101">
        <f>IF(H481=1,IF(IFERROR(INDEX(coa_CF,MATCH(K481,coa_Name,0)),"")="Cash",1,0),0)</f>
        <v/>
      </c>
      <c r="R481" s="58">
        <f>IF((P481-Q481)=0,"",IFERROR(INDEX(coa_CF,MATCH(IF((P481-Q481)=1,K481,I481),coa_Name,0)),"Operating"))</f>
        <v/>
      </c>
      <c r="S481" s="95">
        <f>IF((P481-Q481)=1,L481,IF((P481-Q481)=-1,-J481,0))</f>
        <v/>
      </c>
      <c r="T481" s="95">
        <f>IF((P481-Q481)=1,N481,IF((P481-Q481)=-1,-M481,0))</f>
        <v/>
      </c>
      <c r="U481" s="101">
        <f>IF(AND(H481=1,LedAcct&lt;&gt;""),IF(AND(E481&gt;=LedFrom,E481&lt;=LedTo,OR(I481=LedAcct,K481=LedAcct,AND(LedAcct=acctTax,M481+N481&lt;&gt;0))),E481*10000+B481,""),"")</f>
        <v/>
      </c>
    </row>
    <row r="482">
      <c r="B482" s="101" t="n">
        <v>476</v>
      </c>
      <c r="C482" s="58" t="inlineStr">
        <is>
          <t>Transaction</t>
        </is>
      </c>
      <c r="D482" s="58">
        <f>IF(H482=1,INDEX(tx_ID,476)&amp;"","")</f>
        <v/>
      </c>
      <c r="E482" s="94">
        <f>IF(H482=1,INDEX(tx_Date,476),"")</f>
        <v/>
      </c>
      <c r="F482" s="58">
        <f>IF(H482=1,INDEX(tx_Desc,476)&amp;"","")</f>
        <v/>
      </c>
      <c r="G482" s="58">
        <f>IF(H482=1,IF(INDEX(tx_Cust,476)&amp;""&lt;&gt;"",INDEX(tx_Cust,476)&amp;"",INDEX(tx_Vend,476)&amp;""),"")</f>
        <v/>
      </c>
      <c r="H482" s="101">
        <f>IFERROR(N(INDEX(tx_Posted,476)),0)</f>
        <v/>
      </c>
      <c r="I482" s="58">
        <f>IF(H482=1,INDEX(tx_DrAcct,476)&amp;"","")</f>
        <v/>
      </c>
      <c r="J482" s="95">
        <f>IF(H482=1,INDEX(tx_DrAmt,476),0)</f>
        <v/>
      </c>
      <c r="K482" s="58">
        <f>IF(H482=1,INDEX(tx_CrAcct,476)&amp;"","")</f>
        <v/>
      </c>
      <c r="L482" s="95">
        <f>IF(H482=1,INDEX(tx_CrAmt,476),0)</f>
        <v/>
      </c>
      <c r="M482" s="95">
        <f>IF(H482=1,INDEX(tx_TaxDr,476),0)</f>
        <v/>
      </c>
      <c r="N482" s="95">
        <f>IF(H482=1,INDEX(tx_TaxCr,476),0)</f>
        <v/>
      </c>
      <c r="O482" s="101">
        <f>IF(H482=1,IF(E482&lt;FYStart,0,IF(E482&gt;FYEnd,13,YEAR(E482)*12+MONTH(E482)-FYYM+1)),"")</f>
        <v/>
      </c>
      <c r="P482" s="101">
        <f>IF(H482=1,IF(IFERROR(INDEX(coa_CF,MATCH(I482,coa_Name,0)),"")="Cash",1,0),0)</f>
        <v/>
      </c>
      <c r="Q482" s="101">
        <f>IF(H482=1,IF(IFERROR(INDEX(coa_CF,MATCH(K482,coa_Name,0)),"")="Cash",1,0),0)</f>
        <v/>
      </c>
      <c r="R482" s="58">
        <f>IF((P482-Q482)=0,"",IFERROR(INDEX(coa_CF,MATCH(IF((P482-Q482)=1,K482,I482),coa_Name,0)),"Operating"))</f>
        <v/>
      </c>
      <c r="S482" s="95">
        <f>IF((P482-Q482)=1,L482,IF((P482-Q482)=-1,-J482,0))</f>
        <v/>
      </c>
      <c r="T482" s="95">
        <f>IF((P482-Q482)=1,N482,IF((P482-Q482)=-1,-M482,0))</f>
        <v/>
      </c>
      <c r="U482" s="101">
        <f>IF(AND(H482=1,LedAcct&lt;&gt;""),IF(AND(E482&gt;=LedFrom,E482&lt;=LedTo,OR(I482=LedAcct,K482=LedAcct,AND(LedAcct=acctTax,M482+N482&lt;&gt;0))),E482*10000+B482,""),"")</f>
        <v/>
      </c>
    </row>
    <row r="483">
      <c r="B483" s="101" t="n">
        <v>477</v>
      </c>
      <c r="C483" s="58" t="inlineStr">
        <is>
          <t>Transaction</t>
        </is>
      </c>
      <c r="D483" s="58">
        <f>IF(H483=1,INDEX(tx_ID,477)&amp;"","")</f>
        <v/>
      </c>
      <c r="E483" s="94">
        <f>IF(H483=1,INDEX(tx_Date,477),"")</f>
        <v/>
      </c>
      <c r="F483" s="58">
        <f>IF(H483=1,INDEX(tx_Desc,477)&amp;"","")</f>
        <v/>
      </c>
      <c r="G483" s="58">
        <f>IF(H483=1,IF(INDEX(tx_Cust,477)&amp;""&lt;&gt;"",INDEX(tx_Cust,477)&amp;"",INDEX(tx_Vend,477)&amp;""),"")</f>
        <v/>
      </c>
      <c r="H483" s="101">
        <f>IFERROR(N(INDEX(tx_Posted,477)),0)</f>
        <v/>
      </c>
      <c r="I483" s="58">
        <f>IF(H483=1,INDEX(tx_DrAcct,477)&amp;"","")</f>
        <v/>
      </c>
      <c r="J483" s="95">
        <f>IF(H483=1,INDEX(tx_DrAmt,477),0)</f>
        <v/>
      </c>
      <c r="K483" s="58">
        <f>IF(H483=1,INDEX(tx_CrAcct,477)&amp;"","")</f>
        <v/>
      </c>
      <c r="L483" s="95">
        <f>IF(H483=1,INDEX(tx_CrAmt,477),0)</f>
        <v/>
      </c>
      <c r="M483" s="95">
        <f>IF(H483=1,INDEX(tx_TaxDr,477),0)</f>
        <v/>
      </c>
      <c r="N483" s="95">
        <f>IF(H483=1,INDEX(tx_TaxCr,477),0)</f>
        <v/>
      </c>
      <c r="O483" s="101">
        <f>IF(H483=1,IF(E483&lt;FYStart,0,IF(E483&gt;FYEnd,13,YEAR(E483)*12+MONTH(E483)-FYYM+1)),"")</f>
        <v/>
      </c>
      <c r="P483" s="101">
        <f>IF(H483=1,IF(IFERROR(INDEX(coa_CF,MATCH(I483,coa_Name,0)),"")="Cash",1,0),0)</f>
        <v/>
      </c>
      <c r="Q483" s="101">
        <f>IF(H483=1,IF(IFERROR(INDEX(coa_CF,MATCH(K483,coa_Name,0)),"")="Cash",1,0),0)</f>
        <v/>
      </c>
      <c r="R483" s="58">
        <f>IF((P483-Q483)=0,"",IFERROR(INDEX(coa_CF,MATCH(IF((P483-Q483)=1,K483,I483),coa_Name,0)),"Operating"))</f>
        <v/>
      </c>
      <c r="S483" s="95">
        <f>IF((P483-Q483)=1,L483,IF((P483-Q483)=-1,-J483,0))</f>
        <v/>
      </c>
      <c r="T483" s="95">
        <f>IF((P483-Q483)=1,N483,IF((P483-Q483)=-1,-M483,0))</f>
        <v/>
      </c>
      <c r="U483" s="101">
        <f>IF(AND(H483=1,LedAcct&lt;&gt;""),IF(AND(E483&gt;=LedFrom,E483&lt;=LedTo,OR(I483=LedAcct,K483=LedAcct,AND(LedAcct=acctTax,M483+N483&lt;&gt;0))),E483*10000+B483,""),"")</f>
        <v/>
      </c>
    </row>
    <row r="484">
      <c r="B484" s="101" t="n">
        <v>478</v>
      </c>
      <c r="C484" s="58" t="inlineStr">
        <is>
          <t>Transaction</t>
        </is>
      </c>
      <c r="D484" s="58">
        <f>IF(H484=1,INDEX(tx_ID,478)&amp;"","")</f>
        <v/>
      </c>
      <c r="E484" s="94">
        <f>IF(H484=1,INDEX(tx_Date,478),"")</f>
        <v/>
      </c>
      <c r="F484" s="58">
        <f>IF(H484=1,INDEX(tx_Desc,478)&amp;"","")</f>
        <v/>
      </c>
      <c r="G484" s="58">
        <f>IF(H484=1,IF(INDEX(tx_Cust,478)&amp;""&lt;&gt;"",INDEX(tx_Cust,478)&amp;"",INDEX(tx_Vend,478)&amp;""),"")</f>
        <v/>
      </c>
      <c r="H484" s="101">
        <f>IFERROR(N(INDEX(tx_Posted,478)),0)</f>
        <v/>
      </c>
      <c r="I484" s="58">
        <f>IF(H484=1,INDEX(tx_DrAcct,478)&amp;"","")</f>
        <v/>
      </c>
      <c r="J484" s="95">
        <f>IF(H484=1,INDEX(tx_DrAmt,478),0)</f>
        <v/>
      </c>
      <c r="K484" s="58">
        <f>IF(H484=1,INDEX(tx_CrAcct,478)&amp;"","")</f>
        <v/>
      </c>
      <c r="L484" s="95">
        <f>IF(H484=1,INDEX(tx_CrAmt,478),0)</f>
        <v/>
      </c>
      <c r="M484" s="95">
        <f>IF(H484=1,INDEX(tx_TaxDr,478),0)</f>
        <v/>
      </c>
      <c r="N484" s="95">
        <f>IF(H484=1,INDEX(tx_TaxCr,478),0)</f>
        <v/>
      </c>
      <c r="O484" s="101">
        <f>IF(H484=1,IF(E484&lt;FYStart,0,IF(E484&gt;FYEnd,13,YEAR(E484)*12+MONTH(E484)-FYYM+1)),"")</f>
        <v/>
      </c>
      <c r="P484" s="101">
        <f>IF(H484=1,IF(IFERROR(INDEX(coa_CF,MATCH(I484,coa_Name,0)),"")="Cash",1,0),0)</f>
        <v/>
      </c>
      <c r="Q484" s="101">
        <f>IF(H484=1,IF(IFERROR(INDEX(coa_CF,MATCH(K484,coa_Name,0)),"")="Cash",1,0),0)</f>
        <v/>
      </c>
      <c r="R484" s="58">
        <f>IF((P484-Q484)=0,"",IFERROR(INDEX(coa_CF,MATCH(IF((P484-Q484)=1,K484,I484),coa_Name,0)),"Operating"))</f>
        <v/>
      </c>
      <c r="S484" s="95">
        <f>IF((P484-Q484)=1,L484,IF((P484-Q484)=-1,-J484,0))</f>
        <v/>
      </c>
      <c r="T484" s="95">
        <f>IF((P484-Q484)=1,N484,IF((P484-Q484)=-1,-M484,0))</f>
        <v/>
      </c>
      <c r="U484" s="101">
        <f>IF(AND(H484=1,LedAcct&lt;&gt;""),IF(AND(E484&gt;=LedFrom,E484&lt;=LedTo,OR(I484=LedAcct,K484=LedAcct,AND(LedAcct=acctTax,M484+N484&lt;&gt;0))),E484*10000+B484,""),"")</f>
        <v/>
      </c>
    </row>
    <row r="485">
      <c r="B485" s="101" t="n">
        <v>479</v>
      </c>
      <c r="C485" s="58" t="inlineStr">
        <is>
          <t>Transaction</t>
        </is>
      </c>
      <c r="D485" s="58">
        <f>IF(H485=1,INDEX(tx_ID,479)&amp;"","")</f>
        <v/>
      </c>
      <c r="E485" s="94">
        <f>IF(H485=1,INDEX(tx_Date,479),"")</f>
        <v/>
      </c>
      <c r="F485" s="58">
        <f>IF(H485=1,INDEX(tx_Desc,479)&amp;"","")</f>
        <v/>
      </c>
      <c r="G485" s="58">
        <f>IF(H485=1,IF(INDEX(tx_Cust,479)&amp;""&lt;&gt;"",INDEX(tx_Cust,479)&amp;"",INDEX(tx_Vend,479)&amp;""),"")</f>
        <v/>
      </c>
      <c r="H485" s="101">
        <f>IFERROR(N(INDEX(tx_Posted,479)),0)</f>
        <v/>
      </c>
      <c r="I485" s="58">
        <f>IF(H485=1,INDEX(tx_DrAcct,479)&amp;"","")</f>
        <v/>
      </c>
      <c r="J485" s="95">
        <f>IF(H485=1,INDEX(tx_DrAmt,479),0)</f>
        <v/>
      </c>
      <c r="K485" s="58">
        <f>IF(H485=1,INDEX(tx_CrAcct,479)&amp;"","")</f>
        <v/>
      </c>
      <c r="L485" s="95">
        <f>IF(H485=1,INDEX(tx_CrAmt,479),0)</f>
        <v/>
      </c>
      <c r="M485" s="95">
        <f>IF(H485=1,INDEX(tx_TaxDr,479),0)</f>
        <v/>
      </c>
      <c r="N485" s="95">
        <f>IF(H485=1,INDEX(tx_TaxCr,479),0)</f>
        <v/>
      </c>
      <c r="O485" s="101">
        <f>IF(H485=1,IF(E485&lt;FYStart,0,IF(E485&gt;FYEnd,13,YEAR(E485)*12+MONTH(E485)-FYYM+1)),"")</f>
        <v/>
      </c>
      <c r="P485" s="101">
        <f>IF(H485=1,IF(IFERROR(INDEX(coa_CF,MATCH(I485,coa_Name,0)),"")="Cash",1,0),0)</f>
        <v/>
      </c>
      <c r="Q485" s="101">
        <f>IF(H485=1,IF(IFERROR(INDEX(coa_CF,MATCH(K485,coa_Name,0)),"")="Cash",1,0),0)</f>
        <v/>
      </c>
      <c r="R485" s="58">
        <f>IF((P485-Q485)=0,"",IFERROR(INDEX(coa_CF,MATCH(IF((P485-Q485)=1,K485,I485),coa_Name,0)),"Operating"))</f>
        <v/>
      </c>
      <c r="S485" s="95">
        <f>IF((P485-Q485)=1,L485,IF((P485-Q485)=-1,-J485,0))</f>
        <v/>
      </c>
      <c r="T485" s="95">
        <f>IF((P485-Q485)=1,N485,IF((P485-Q485)=-1,-M485,0))</f>
        <v/>
      </c>
      <c r="U485" s="101">
        <f>IF(AND(H485=1,LedAcct&lt;&gt;""),IF(AND(E485&gt;=LedFrom,E485&lt;=LedTo,OR(I485=LedAcct,K485=LedAcct,AND(LedAcct=acctTax,M485+N485&lt;&gt;0))),E485*10000+B485,""),"")</f>
        <v/>
      </c>
    </row>
    <row r="486">
      <c r="B486" s="101" t="n">
        <v>480</v>
      </c>
      <c r="C486" s="58" t="inlineStr">
        <is>
          <t>Transaction</t>
        </is>
      </c>
      <c r="D486" s="58">
        <f>IF(H486=1,INDEX(tx_ID,480)&amp;"","")</f>
        <v/>
      </c>
      <c r="E486" s="94">
        <f>IF(H486=1,INDEX(tx_Date,480),"")</f>
        <v/>
      </c>
      <c r="F486" s="58">
        <f>IF(H486=1,INDEX(tx_Desc,480)&amp;"","")</f>
        <v/>
      </c>
      <c r="G486" s="58">
        <f>IF(H486=1,IF(INDEX(tx_Cust,480)&amp;""&lt;&gt;"",INDEX(tx_Cust,480)&amp;"",INDEX(tx_Vend,480)&amp;""),"")</f>
        <v/>
      </c>
      <c r="H486" s="101">
        <f>IFERROR(N(INDEX(tx_Posted,480)),0)</f>
        <v/>
      </c>
      <c r="I486" s="58">
        <f>IF(H486=1,INDEX(tx_DrAcct,480)&amp;"","")</f>
        <v/>
      </c>
      <c r="J486" s="95">
        <f>IF(H486=1,INDEX(tx_DrAmt,480),0)</f>
        <v/>
      </c>
      <c r="K486" s="58">
        <f>IF(H486=1,INDEX(tx_CrAcct,480)&amp;"","")</f>
        <v/>
      </c>
      <c r="L486" s="95">
        <f>IF(H486=1,INDEX(tx_CrAmt,480),0)</f>
        <v/>
      </c>
      <c r="M486" s="95">
        <f>IF(H486=1,INDEX(tx_TaxDr,480),0)</f>
        <v/>
      </c>
      <c r="N486" s="95">
        <f>IF(H486=1,INDEX(tx_TaxCr,480),0)</f>
        <v/>
      </c>
      <c r="O486" s="101">
        <f>IF(H486=1,IF(E486&lt;FYStart,0,IF(E486&gt;FYEnd,13,YEAR(E486)*12+MONTH(E486)-FYYM+1)),"")</f>
        <v/>
      </c>
      <c r="P486" s="101">
        <f>IF(H486=1,IF(IFERROR(INDEX(coa_CF,MATCH(I486,coa_Name,0)),"")="Cash",1,0),0)</f>
        <v/>
      </c>
      <c r="Q486" s="101">
        <f>IF(H486=1,IF(IFERROR(INDEX(coa_CF,MATCH(K486,coa_Name,0)),"")="Cash",1,0),0)</f>
        <v/>
      </c>
      <c r="R486" s="58">
        <f>IF((P486-Q486)=0,"",IFERROR(INDEX(coa_CF,MATCH(IF((P486-Q486)=1,K486,I486),coa_Name,0)),"Operating"))</f>
        <v/>
      </c>
      <c r="S486" s="95">
        <f>IF((P486-Q486)=1,L486,IF((P486-Q486)=-1,-J486,0))</f>
        <v/>
      </c>
      <c r="T486" s="95">
        <f>IF((P486-Q486)=1,N486,IF((P486-Q486)=-1,-M486,0))</f>
        <v/>
      </c>
      <c r="U486" s="101">
        <f>IF(AND(H486=1,LedAcct&lt;&gt;""),IF(AND(E486&gt;=LedFrom,E486&lt;=LedTo,OR(I486=LedAcct,K486=LedAcct,AND(LedAcct=acctTax,M486+N486&lt;&gt;0))),E486*10000+B486,""),"")</f>
        <v/>
      </c>
    </row>
    <row r="487">
      <c r="B487" s="101" t="n">
        <v>481</v>
      </c>
      <c r="C487" s="58" t="inlineStr">
        <is>
          <t>Transaction</t>
        </is>
      </c>
      <c r="D487" s="58">
        <f>IF(H487=1,INDEX(tx_ID,481)&amp;"","")</f>
        <v/>
      </c>
      <c r="E487" s="94">
        <f>IF(H487=1,INDEX(tx_Date,481),"")</f>
        <v/>
      </c>
      <c r="F487" s="58">
        <f>IF(H487=1,INDEX(tx_Desc,481)&amp;"","")</f>
        <v/>
      </c>
      <c r="G487" s="58">
        <f>IF(H487=1,IF(INDEX(tx_Cust,481)&amp;""&lt;&gt;"",INDEX(tx_Cust,481)&amp;"",INDEX(tx_Vend,481)&amp;""),"")</f>
        <v/>
      </c>
      <c r="H487" s="101">
        <f>IFERROR(N(INDEX(tx_Posted,481)),0)</f>
        <v/>
      </c>
      <c r="I487" s="58">
        <f>IF(H487=1,INDEX(tx_DrAcct,481)&amp;"","")</f>
        <v/>
      </c>
      <c r="J487" s="95">
        <f>IF(H487=1,INDEX(tx_DrAmt,481),0)</f>
        <v/>
      </c>
      <c r="K487" s="58">
        <f>IF(H487=1,INDEX(tx_CrAcct,481)&amp;"","")</f>
        <v/>
      </c>
      <c r="L487" s="95">
        <f>IF(H487=1,INDEX(tx_CrAmt,481),0)</f>
        <v/>
      </c>
      <c r="M487" s="95">
        <f>IF(H487=1,INDEX(tx_TaxDr,481),0)</f>
        <v/>
      </c>
      <c r="N487" s="95">
        <f>IF(H487=1,INDEX(tx_TaxCr,481),0)</f>
        <v/>
      </c>
      <c r="O487" s="101">
        <f>IF(H487=1,IF(E487&lt;FYStart,0,IF(E487&gt;FYEnd,13,YEAR(E487)*12+MONTH(E487)-FYYM+1)),"")</f>
        <v/>
      </c>
      <c r="P487" s="101">
        <f>IF(H487=1,IF(IFERROR(INDEX(coa_CF,MATCH(I487,coa_Name,0)),"")="Cash",1,0),0)</f>
        <v/>
      </c>
      <c r="Q487" s="101">
        <f>IF(H487=1,IF(IFERROR(INDEX(coa_CF,MATCH(K487,coa_Name,0)),"")="Cash",1,0),0)</f>
        <v/>
      </c>
      <c r="R487" s="58">
        <f>IF((P487-Q487)=0,"",IFERROR(INDEX(coa_CF,MATCH(IF((P487-Q487)=1,K487,I487),coa_Name,0)),"Operating"))</f>
        <v/>
      </c>
      <c r="S487" s="95">
        <f>IF((P487-Q487)=1,L487,IF((P487-Q487)=-1,-J487,0))</f>
        <v/>
      </c>
      <c r="T487" s="95">
        <f>IF((P487-Q487)=1,N487,IF((P487-Q487)=-1,-M487,0))</f>
        <v/>
      </c>
      <c r="U487" s="101">
        <f>IF(AND(H487=1,LedAcct&lt;&gt;""),IF(AND(E487&gt;=LedFrom,E487&lt;=LedTo,OR(I487=LedAcct,K487=LedAcct,AND(LedAcct=acctTax,M487+N487&lt;&gt;0))),E487*10000+B487,""),"")</f>
        <v/>
      </c>
    </row>
    <row r="488">
      <c r="B488" s="101" t="n">
        <v>482</v>
      </c>
      <c r="C488" s="58" t="inlineStr">
        <is>
          <t>Transaction</t>
        </is>
      </c>
      <c r="D488" s="58">
        <f>IF(H488=1,INDEX(tx_ID,482)&amp;"","")</f>
        <v/>
      </c>
      <c r="E488" s="94">
        <f>IF(H488=1,INDEX(tx_Date,482),"")</f>
        <v/>
      </c>
      <c r="F488" s="58">
        <f>IF(H488=1,INDEX(tx_Desc,482)&amp;"","")</f>
        <v/>
      </c>
      <c r="G488" s="58">
        <f>IF(H488=1,IF(INDEX(tx_Cust,482)&amp;""&lt;&gt;"",INDEX(tx_Cust,482)&amp;"",INDEX(tx_Vend,482)&amp;""),"")</f>
        <v/>
      </c>
      <c r="H488" s="101">
        <f>IFERROR(N(INDEX(tx_Posted,482)),0)</f>
        <v/>
      </c>
      <c r="I488" s="58">
        <f>IF(H488=1,INDEX(tx_DrAcct,482)&amp;"","")</f>
        <v/>
      </c>
      <c r="J488" s="95">
        <f>IF(H488=1,INDEX(tx_DrAmt,482),0)</f>
        <v/>
      </c>
      <c r="K488" s="58">
        <f>IF(H488=1,INDEX(tx_CrAcct,482)&amp;"","")</f>
        <v/>
      </c>
      <c r="L488" s="95">
        <f>IF(H488=1,INDEX(tx_CrAmt,482),0)</f>
        <v/>
      </c>
      <c r="M488" s="95">
        <f>IF(H488=1,INDEX(tx_TaxDr,482),0)</f>
        <v/>
      </c>
      <c r="N488" s="95">
        <f>IF(H488=1,INDEX(tx_TaxCr,482),0)</f>
        <v/>
      </c>
      <c r="O488" s="101">
        <f>IF(H488=1,IF(E488&lt;FYStart,0,IF(E488&gt;FYEnd,13,YEAR(E488)*12+MONTH(E488)-FYYM+1)),"")</f>
        <v/>
      </c>
      <c r="P488" s="101">
        <f>IF(H488=1,IF(IFERROR(INDEX(coa_CF,MATCH(I488,coa_Name,0)),"")="Cash",1,0),0)</f>
        <v/>
      </c>
      <c r="Q488" s="101">
        <f>IF(H488=1,IF(IFERROR(INDEX(coa_CF,MATCH(K488,coa_Name,0)),"")="Cash",1,0),0)</f>
        <v/>
      </c>
      <c r="R488" s="58">
        <f>IF((P488-Q488)=0,"",IFERROR(INDEX(coa_CF,MATCH(IF((P488-Q488)=1,K488,I488),coa_Name,0)),"Operating"))</f>
        <v/>
      </c>
      <c r="S488" s="95">
        <f>IF((P488-Q488)=1,L488,IF((P488-Q488)=-1,-J488,0))</f>
        <v/>
      </c>
      <c r="T488" s="95">
        <f>IF((P488-Q488)=1,N488,IF((P488-Q488)=-1,-M488,0))</f>
        <v/>
      </c>
      <c r="U488" s="101">
        <f>IF(AND(H488=1,LedAcct&lt;&gt;""),IF(AND(E488&gt;=LedFrom,E488&lt;=LedTo,OR(I488=LedAcct,K488=LedAcct,AND(LedAcct=acctTax,M488+N488&lt;&gt;0))),E488*10000+B488,""),"")</f>
        <v/>
      </c>
    </row>
    <row r="489">
      <c r="B489" s="101" t="n">
        <v>483</v>
      </c>
      <c r="C489" s="58" t="inlineStr">
        <is>
          <t>Transaction</t>
        </is>
      </c>
      <c r="D489" s="58">
        <f>IF(H489=1,INDEX(tx_ID,483)&amp;"","")</f>
        <v/>
      </c>
      <c r="E489" s="94">
        <f>IF(H489=1,INDEX(tx_Date,483),"")</f>
        <v/>
      </c>
      <c r="F489" s="58">
        <f>IF(H489=1,INDEX(tx_Desc,483)&amp;"","")</f>
        <v/>
      </c>
      <c r="G489" s="58">
        <f>IF(H489=1,IF(INDEX(tx_Cust,483)&amp;""&lt;&gt;"",INDEX(tx_Cust,483)&amp;"",INDEX(tx_Vend,483)&amp;""),"")</f>
        <v/>
      </c>
      <c r="H489" s="101">
        <f>IFERROR(N(INDEX(tx_Posted,483)),0)</f>
        <v/>
      </c>
      <c r="I489" s="58">
        <f>IF(H489=1,INDEX(tx_DrAcct,483)&amp;"","")</f>
        <v/>
      </c>
      <c r="J489" s="95">
        <f>IF(H489=1,INDEX(tx_DrAmt,483),0)</f>
        <v/>
      </c>
      <c r="K489" s="58">
        <f>IF(H489=1,INDEX(tx_CrAcct,483)&amp;"","")</f>
        <v/>
      </c>
      <c r="L489" s="95">
        <f>IF(H489=1,INDEX(tx_CrAmt,483),0)</f>
        <v/>
      </c>
      <c r="M489" s="95">
        <f>IF(H489=1,INDEX(tx_TaxDr,483),0)</f>
        <v/>
      </c>
      <c r="N489" s="95">
        <f>IF(H489=1,INDEX(tx_TaxCr,483),0)</f>
        <v/>
      </c>
      <c r="O489" s="101">
        <f>IF(H489=1,IF(E489&lt;FYStart,0,IF(E489&gt;FYEnd,13,YEAR(E489)*12+MONTH(E489)-FYYM+1)),"")</f>
        <v/>
      </c>
      <c r="P489" s="101">
        <f>IF(H489=1,IF(IFERROR(INDEX(coa_CF,MATCH(I489,coa_Name,0)),"")="Cash",1,0),0)</f>
        <v/>
      </c>
      <c r="Q489" s="101">
        <f>IF(H489=1,IF(IFERROR(INDEX(coa_CF,MATCH(K489,coa_Name,0)),"")="Cash",1,0),0)</f>
        <v/>
      </c>
      <c r="R489" s="58">
        <f>IF((P489-Q489)=0,"",IFERROR(INDEX(coa_CF,MATCH(IF((P489-Q489)=1,K489,I489),coa_Name,0)),"Operating"))</f>
        <v/>
      </c>
      <c r="S489" s="95">
        <f>IF((P489-Q489)=1,L489,IF((P489-Q489)=-1,-J489,0))</f>
        <v/>
      </c>
      <c r="T489" s="95">
        <f>IF((P489-Q489)=1,N489,IF((P489-Q489)=-1,-M489,0))</f>
        <v/>
      </c>
      <c r="U489" s="101">
        <f>IF(AND(H489=1,LedAcct&lt;&gt;""),IF(AND(E489&gt;=LedFrom,E489&lt;=LedTo,OR(I489=LedAcct,K489=LedAcct,AND(LedAcct=acctTax,M489+N489&lt;&gt;0))),E489*10000+B489,""),"")</f>
        <v/>
      </c>
    </row>
    <row r="490">
      <c r="B490" s="101" t="n">
        <v>484</v>
      </c>
      <c r="C490" s="58" t="inlineStr">
        <is>
          <t>Transaction</t>
        </is>
      </c>
      <c r="D490" s="58">
        <f>IF(H490=1,INDEX(tx_ID,484)&amp;"","")</f>
        <v/>
      </c>
      <c r="E490" s="94">
        <f>IF(H490=1,INDEX(tx_Date,484),"")</f>
        <v/>
      </c>
      <c r="F490" s="58">
        <f>IF(H490=1,INDEX(tx_Desc,484)&amp;"","")</f>
        <v/>
      </c>
      <c r="G490" s="58">
        <f>IF(H490=1,IF(INDEX(tx_Cust,484)&amp;""&lt;&gt;"",INDEX(tx_Cust,484)&amp;"",INDEX(tx_Vend,484)&amp;""),"")</f>
        <v/>
      </c>
      <c r="H490" s="101">
        <f>IFERROR(N(INDEX(tx_Posted,484)),0)</f>
        <v/>
      </c>
      <c r="I490" s="58">
        <f>IF(H490=1,INDEX(tx_DrAcct,484)&amp;"","")</f>
        <v/>
      </c>
      <c r="J490" s="95">
        <f>IF(H490=1,INDEX(tx_DrAmt,484),0)</f>
        <v/>
      </c>
      <c r="K490" s="58">
        <f>IF(H490=1,INDEX(tx_CrAcct,484)&amp;"","")</f>
        <v/>
      </c>
      <c r="L490" s="95">
        <f>IF(H490=1,INDEX(tx_CrAmt,484),0)</f>
        <v/>
      </c>
      <c r="M490" s="95">
        <f>IF(H490=1,INDEX(tx_TaxDr,484),0)</f>
        <v/>
      </c>
      <c r="N490" s="95">
        <f>IF(H490=1,INDEX(tx_TaxCr,484),0)</f>
        <v/>
      </c>
      <c r="O490" s="101">
        <f>IF(H490=1,IF(E490&lt;FYStart,0,IF(E490&gt;FYEnd,13,YEAR(E490)*12+MONTH(E490)-FYYM+1)),"")</f>
        <v/>
      </c>
      <c r="P490" s="101">
        <f>IF(H490=1,IF(IFERROR(INDEX(coa_CF,MATCH(I490,coa_Name,0)),"")="Cash",1,0),0)</f>
        <v/>
      </c>
      <c r="Q490" s="101">
        <f>IF(H490=1,IF(IFERROR(INDEX(coa_CF,MATCH(K490,coa_Name,0)),"")="Cash",1,0),0)</f>
        <v/>
      </c>
      <c r="R490" s="58">
        <f>IF((P490-Q490)=0,"",IFERROR(INDEX(coa_CF,MATCH(IF((P490-Q490)=1,K490,I490),coa_Name,0)),"Operating"))</f>
        <v/>
      </c>
      <c r="S490" s="95">
        <f>IF((P490-Q490)=1,L490,IF((P490-Q490)=-1,-J490,0))</f>
        <v/>
      </c>
      <c r="T490" s="95">
        <f>IF((P490-Q490)=1,N490,IF((P490-Q490)=-1,-M490,0))</f>
        <v/>
      </c>
      <c r="U490" s="101">
        <f>IF(AND(H490=1,LedAcct&lt;&gt;""),IF(AND(E490&gt;=LedFrom,E490&lt;=LedTo,OR(I490=LedAcct,K490=LedAcct,AND(LedAcct=acctTax,M490+N490&lt;&gt;0))),E490*10000+B490,""),"")</f>
        <v/>
      </c>
    </row>
    <row r="491">
      <c r="B491" s="101" t="n">
        <v>485</v>
      </c>
      <c r="C491" s="58" t="inlineStr">
        <is>
          <t>Transaction</t>
        </is>
      </c>
      <c r="D491" s="58">
        <f>IF(H491=1,INDEX(tx_ID,485)&amp;"","")</f>
        <v/>
      </c>
      <c r="E491" s="94">
        <f>IF(H491=1,INDEX(tx_Date,485),"")</f>
        <v/>
      </c>
      <c r="F491" s="58">
        <f>IF(H491=1,INDEX(tx_Desc,485)&amp;"","")</f>
        <v/>
      </c>
      <c r="G491" s="58">
        <f>IF(H491=1,IF(INDEX(tx_Cust,485)&amp;""&lt;&gt;"",INDEX(tx_Cust,485)&amp;"",INDEX(tx_Vend,485)&amp;""),"")</f>
        <v/>
      </c>
      <c r="H491" s="101">
        <f>IFERROR(N(INDEX(tx_Posted,485)),0)</f>
        <v/>
      </c>
      <c r="I491" s="58">
        <f>IF(H491=1,INDEX(tx_DrAcct,485)&amp;"","")</f>
        <v/>
      </c>
      <c r="J491" s="95">
        <f>IF(H491=1,INDEX(tx_DrAmt,485),0)</f>
        <v/>
      </c>
      <c r="K491" s="58">
        <f>IF(H491=1,INDEX(tx_CrAcct,485)&amp;"","")</f>
        <v/>
      </c>
      <c r="L491" s="95">
        <f>IF(H491=1,INDEX(tx_CrAmt,485),0)</f>
        <v/>
      </c>
      <c r="M491" s="95">
        <f>IF(H491=1,INDEX(tx_TaxDr,485),0)</f>
        <v/>
      </c>
      <c r="N491" s="95">
        <f>IF(H491=1,INDEX(tx_TaxCr,485),0)</f>
        <v/>
      </c>
      <c r="O491" s="101">
        <f>IF(H491=1,IF(E491&lt;FYStart,0,IF(E491&gt;FYEnd,13,YEAR(E491)*12+MONTH(E491)-FYYM+1)),"")</f>
        <v/>
      </c>
      <c r="P491" s="101">
        <f>IF(H491=1,IF(IFERROR(INDEX(coa_CF,MATCH(I491,coa_Name,0)),"")="Cash",1,0),0)</f>
        <v/>
      </c>
      <c r="Q491" s="101">
        <f>IF(H491=1,IF(IFERROR(INDEX(coa_CF,MATCH(K491,coa_Name,0)),"")="Cash",1,0),0)</f>
        <v/>
      </c>
      <c r="R491" s="58">
        <f>IF((P491-Q491)=0,"",IFERROR(INDEX(coa_CF,MATCH(IF((P491-Q491)=1,K491,I491),coa_Name,0)),"Operating"))</f>
        <v/>
      </c>
      <c r="S491" s="95">
        <f>IF((P491-Q491)=1,L491,IF((P491-Q491)=-1,-J491,0))</f>
        <v/>
      </c>
      <c r="T491" s="95">
        <f>IF((P491-Q491)=1,N491,IF((P491-Q491)=-1,-M491,0))</f>
        <v/>
      </c>
      <c r="U491" s="101">
        <f>IF(AND(H491=1,LedAcct&lt;&gt;""),IF(AND(E491&gt;=LedFrom,E491&lt;=LedTo,OR(I491=LedAcct,K491=LedAcct,AND(LedAcct=acctTax,M491+N491&lt;&gt;0))),E491*10000+B491,""),"")</f>
        <v/>
      </c>
    </row>
    <row r="492">
      <c r="B492" s="101" t="n">
        <v>486</v>
      </c>
      <c r="C492" s="58" t="inlineStr">
        <is>
          <t>Transaction</t>
        </is>
      </c>
      <c r="D492" s="58">
        <f>IF(H492=1,INDEX(tx_ID,486)&amp;"","")</f>
        <v/>
      </c>
      <c r="E492" s="94">
        <f>IF(H492=1,INDEX(tx_Date,486),"")</f>
        <v/>
      </c>
      <c r="F492" s="58">
        <f>IF(H492=1,INDEX(tx_Desc,486)&amp;"","")</f>
        <v/>
      </c>
      <c r="G492" s="58">
        <f>IF(H492=1,IF(INDEX(tx_Cust,486)&amp;""&lt;&gt;"",INDEX(tx_Cust,486)&amp;"",INDEX(tx_Vend,486)&amp;""),"")</f>
        <v/>
      </c>
      <c r="H492" s="101">
        <f>IFERROR(N(INDEX(tx_Posted,486)),0)</f>
        <v/>
      </c>
      <c r="I492" s="58">
        <f>IF(H492=1,INDEX(tx_DrAcct,486)&amp;"","")</f>
        <v/>
      </c>
      <c r="J492" s="95">
        <f>IF(H492=1,INDEX(tx_DrAmt,486),0)</f>
        <v/>
      </c>
      <c r="K492" s="58">
        <f>IF(H492=1,INDEX(tx_CrAcct,486)&amp;"","")</f>
        <v/>
      </c>
      <c r="L492" s="95">
        <f>IF(H492=1,INDEX(tx_CrAmt,486),0)</f>
        <v/>
      </c>
      <c r="M492" s="95">
        <f>IF(H492=1,INDEX(tx_TaxDr,486),0)</f>
        <v/>
      </c>
      <c r="N492" s="95">
        <f>IF(H492=1,INDEX(tx_TaxCr,486),0)</f>
        <v/>
      </c>
      <c r="O492" s="101">
        <f>IF(H492=1,IF(E492&lt;FYStart,0,IF(E492&gt;FYEnd,13,YEAR(E492)*12+MONTH(E492)-FYYM+1)),"")</f>
        <v/>
      </c>
      <c r="P492" s="101">
        <f>IF(H492=1,IF(IFERROR(INDEX(coa_CF,MATCH(I492,coa_Name,0)),"")="Cash",1,0),0)</f>
        <v/>
      </c>
      <c r="Q492" s="101">
        <f>IF(H492=1,IF(IFERROR(INDEX(coa_CF,MATCH(K492,coa_Name,0)),"")="Cash",1,0),0)</f>
        <v/>
      </c>
      <c r="R492" s="58">
        <f>IF((P492-Q492)=0,"",IFERROR(INDEX(coa_CF,MATCH(IF((P492-Q492)=1,K492,I492),coa_Name,0)),"Operating"))</f>
        <v/>
      </c>
      <c r="S492" s="95">
        <f>IF((P492-Q492)=1,L492,IF((P492-Q492)=-1,-J492,0))</f>
        <v/>
      </c>
      <c r="T492" s="95">
        <f>IF((P492-Q492)=1,N492,IF((P492-Q492)=-1,-M492,0))</f>
        <v/>
      </c>
      <c r="U492" s="101">
        <f>IF(AND(H492=1,LedAcct&lt;&gt;""),IF(AND(E492&gt;=LedFrom,E492&lt;=LedTo,OR(I492=LedAcct,K492=LedAcct,AND(LedAcct=acctTax,M492+N492&lt;&gt;0))),E492*10000+B492,""),"")</f>
        <v/>
      </c>
    </row>
    <row r="493">
      <c r="B493" s="101" t="n">
        <v>487</v>
      </c>
      <c r="C493" s="58" t="inlineStr">
        <is>
          <t>Transaction</t>
        </is>
      </c>
      <c r="D493" s="58">
        <f>IF(H493=1,INDEX(tx_ID,487)&amp;"","")</f>
        <v/>
      </c>
      <c r="E493" s="94">
        <f>IF(H493=1,INDEX(tx_Date,487),"")</f>
        <v/>
      </c>
      <c r="F493" s="58">
        <f>IF(H493=1,INDEX(tx_Desc,487)&amp;"","")</f>
        <v/>
      </c>
      <c r="G493" s="58">
        <f>IF(H493=1,IF(INDEX(tx_Cust,487)&amp;""&lt;&gt;"",INDEX(tx_Cust,487)&amp;"",INDEX(tx_Vend,487)&amp;""),"")</f>
        <v/>
      </c>
      <c r="H493" s="101">
        <f>IFERROR(N(INDEX(tx_Posted,487)),0)</f>
        <v/>
      </c>
      <c r="I493" s="58">
        <f>IF(H493=1,INDEX(tx_DrAcct,487)&amp;"","")</f>
        <v/>
      </c>
      <c r="J493" s="95">
        <f>IF(H493=1,INDEX(tx_DrAmt,487),0)</f>
        <v/>
      </c>
      <c r="K493" s="58">
        <f>IF(H493=1,INDEX(tx_CrAcct,487)&amp;"","")</f>
        <v/>
      </c>
      <c r="L493" s="95">
        <f>IF(H493=1,INDEX(tx_CrAmt,487),0)</f>
        <v/>
      </c>
      <c r="M493" s="95">
        <f>IF(H493=1,INDEX(tx_TaxDr,487),0)</f>
        <v/>
      </c>
      <c r="N493" s="95">
        <f>IF(H493=1,INDEX(tx_TaxCr,487),0)</f>
        <v/>
      </c>
      <c r="O493" s="101">
        <f>IF(H493=1,IF(E493&lt;FYStart,0,IF(E493&gt;FYEnd,13,YEAR(E493)*12+MONTH(E493)-FYYM+1)),"")</f>
        <v/>
      </c>
      <c r="P493" s="101">
        <f>IF(H493=1,IF(IFERROR(INDEX(coa_CF,MATCH(I493,coa_Name,0)),"")="Cash",1,0),0)</f>
        <v/>
      </c>
      <c r="Q493" s="101">
        <f>IF(H493=1,IF(IFERROR(INDEX(coa_CF,MATCH(K493,coa_Name,0)),"")="Cash",1,0),0)</f>
        <v/>
      </c>
      <c r="R493" s="58">
        <f>IF((P493-Q493)=0,"",IFERROR(INDEX(coa_CF,MATCH(IF((P493-Q493)=1,K493,I493),coa_Name,0)),"Operating"))</f>
        <v/>
      </c>
      <c r="S493" s="95">
        <f>IF((P493-Q493)=1,L493,IF((P493-Q493)=-1,-J493,0))</f>
        <v/>
      </c>
      <c r="T493" s="95">
        <f>IF((P493-Q493)=1,N493,IF((P493-Q493)=-1,-M493,0))</f>
        <v/>
      </c>
      <c r="U493" s="101">
        <f>IF(AND(H493=1,LedAcct&lt;&gt;""),IF(AND(E493&gt;=LedFrom,E493&lt;=LedTo,OR(I493=LedAcct,K493=LedAcct,AND(LedAcct=acctTax,M493+N493&lt;&gt;0))),E493*10000+B493,""),"")</f>
        <v/>
      </c>
    </row>
    <row r="494">
      <c r="B494" s="101" t="n">
        <v>488</v>
      </c>
      <c r="C494" s="58" t="inlineStr">
        <is>
          <t>Transaction</t>
        </is>
      </c>
      <c r="D494" s="58">
        <f>IF(H494=1,INDEX(tx_ID,488)&amp;"","")</f>
        <v/>
      </c>
      <c r="E494" s="94">
        <f>IF(H494=1,INDEX(tx_Date,488),"")</f>
        <v/>
      </c>
      <c r="F494" s="58">
        <f>IF(H494=1,INDEX(tx_Desc,488)&amp;"","")</f>
        <v/>
      </c>
      <c r="G494" s="58">
        <f>IF(H494=1,IF(INDEX(tx_Cust,488)&amp;""&lt;&gt;"",INDEX(tx_Cust,488)&amp;"",INDEX(tx_Vend,488)&amp;""),"")</f>
        <v/>
      </c>
      <c r="H494" s="101">
        <f>IFERROR(N(INDEX(tx_Posted,488)),0)</f>
        <v/>
      </c>
      <c r="I494" s="58">
        <f>IF(H494=1,INDEX(tx_DrAcct,488)&amp;"","")</f>
        <v/>
      </c>
      <c r="J494" s="95">
        <f>IF(H494=1,INDEX(tx_DrAmt,488),0)</f>
        <v/>
      </c>
      <c r="K494" s="58">
        <f>IF(H494=1,INDEX(tx_CrAcct,488)&amp;"","")</f>
        <v/>
      </c>
      <c r="L494" s="95">
        <f>IF(H494=1,INDEX(tx_CrAmt,488),0)</f>
        <v/>
      </c>
      <c r="M494" s="95">
        <f>IF(H494=1,INDEX(tx_TaxDr,488),0)</f>
        <v/>
      </c>
      <c r="N494" s="95">
        <f>IF(H494=1,INDEX(tx_TaxCr,488),0)</f>
        <v/>
      </c>
      <c r="O494" s="101">
        <f>IF(H494=1,IF(E494&lt;FYStart,0,IF(E494&gt;FYEnd,13,YEAR(E494)*12+MONTH(E494)-FYYM+1)),"")</f>
        <v/>
      </c>
      <c r="P494" s="101">
        <f>IF(H494=1,IF(IFERROR(INDEX(coa_CF,MATCH(I494,coa_Name,0)),"")="Cash",1,0),0)</f>
        <v/>
      </c>
      <c r="Q494" s="101">
        <f>IF(H494=1,IF(IFERROR(INDEX(coa_CF,MATCH(K494,coa_Name,0)),"")="Cash",1,0),0)</f>
        <v/>
      </c>
      <c r="R494" s="58">
        <f>IF((P494-Q494)=0,"",IFERROR(INDEX(coa_CF,MATCH(IF((P494-Q494)=1,K494,I494),coa_Name,0)),"Operating"))</f>
        <v/>
      </c>
      <c r="S494" s="95">
        <f>IF((P494-Q494)=1,L494,IF((P494-Q494)=-1,-J494,0))</f>
        <v/>
      </c>
      <c r="T494" s="95">
        <f>IF((P494-Q494)=1,N494,IF((P494-Q494)=-1,-M494,0))</f>
        <v/>
      </c>
      <c r="U494" s="101">
        <f>IF(AND(H494=1,LedAcct&lt;&gt;""),IF(AND(E494&gt;=LedFrom,E494&lt;=LedTo,OR(I494=LedAcct,K494=LedAcct,AND(LedAcct=acctTax,M494+N494&lt;&gt;0))),E494*10000+B494,""),"")</f>
        <v/>
      </c>
    </row>
    <row r="495">
      <c r="B495" s="101" t="n">
        <v>489</v>
      </c>
      <c r="C495" s="58" t="inlineStr">
        <is>
          <t>Transaction</t>
        </is>
      </c>
      <c r="D495" s="58">
        <f>IF(H495=1,INDEX(tx_ID,489)&amp;"","")</f>
        <v/>
      </c>
      <c r="E495" s="94">
        <f>IF(H495=1,INDEX(tx_Date,489),"")</f>
        <v/>
      </c>
      <c r="F495" s="58">
        <f>IF(H495=1,INDEX(tx_Desc,489)&amp;"","")</f>
        <v/>
      </c>
      <c r="G495" s="58">
        <f>IF(H495=1,IF(INDEX(tx_Cust,489)&amp;""&lt;&gt;"",INDEX(tx_Cust,489)&amp;"",INDEX(tx_Vend,489)&amp;""),"")</f>
        <v/>
      </c>
      <c r="H495" s="101">
        <f>IFERROR(N(INDEX(tx_Posted,489)),0)</f>
        <v/>
      </c>
      <c r="I495" s="58">
        <f>IF(H495=1,INDEX(tx_DrAcct,489)&amp;"","")</f>
        <v/>
      </c>
      <c r="J495" s="95">
        <f>IF(H495=1,INDEX(tx_DrAmt,489),0)</f>
        <v/>
      </c>
      <c r="K495" s="58">
        <f>IF(H495=1,INDEX(tx_CrAcct,489)&amp;"","")</f>
        <v/>
      </c>
      <c r="L495" s="95">
        <f>IF(H495=1,INDEX(tx_CrAmt,489),0)</f>
        <v/>
      </c>
      <c r="M495" s="95">
        <f>IF(H495=1,INDEX(tx_TaxDr,489),0)</f>
        <v/>
      </c>
      <c r="N495" s="95">
        <f>IF(H495=1,INDEX(tx_TaxCr,489),0)</f>
        <v/>
      </c>
      <c r="O495" s="101">
        <f>IF(H495=1,IF(E495&lt;FYStart,0,IF(E495&gt;FYEnd,13,YEAR(E495)*12+MONTH(E495)-FYYM+1)),"")</f>
        <v/>
      </c>
      <c r="P495" s="101">
        <f>IF(H495=1,IF(IFERROR(INDEX(coa_CF,MATCH(I495,coa_Name,0)),"")="Cash",1,0),0)</f>
        <v/>
      </c>
      <c r="Q495" s="101">
        <f>IF(H495=1,IF(IFERROR(INDEX(coa_CF,MATCH(K495,coa_Name,0)),"")="Cash",1,0),0)</f>
        <v/>
      </c>
      <c r="R495" s="58">
        <f>IF((P495-Q495)=0,"",IFERROR(INDEX(coa_CF,MATCH(IF((P495-Q495)=1,K495,I495),coa_Name,0)),"Operating"))</f>
        <v/>
      </c>
      <c r="S495" s="95">
        <f>IF((P495-Q495)=1,L495,IF((P495-Q495)=-1,-J495,0))</f>
        <v/>
      </c>
      <c r="T495" s="95">
        <f>IF((P495-Q495)=1,N495,IF((P495-Q495)=-1,-M495,0))</f>
        <v/>
      </c>
      <c r="U495" s="101">
        <f>IF(AND(H495=1,LedAcct&lt;&gt;""),IF(AND(E495&gt;=LedFrom,E495&lt;=LedTo,OR(I495=LedAcct,K495=LedAcct,AND(LedAcct=acctTax,M495+N495&lt;&gt;0))),E495*10000+B495,""),"")</f>
        <v/>
      </c>
    </row>
    <row r="496">
      <c r="B496" s="101" t="n">
        <v>490</v>
      </c>
      <c r="C496" s="58" t="inlineStr">
        <is>
          <t>Transaction</t>
        </is>
      </c>
      <c r="D496" s="58">
        <f>IF(H496=1,INDEX(tx_ID,490)&amp;"","")</f>
        <v/>
      </c>
      <c r="E496" s="94">
        <f>IF(H496=1,INDEX(tx_Date,490),"")</f>
        <v/>
      </c>
      <c r="F496" s="58">
        <f>IF(H496=1,INDEX(tx_Desc,490)&amp;"","")</f>
        <v/>
      </c>
      <c r="G496" s="58">
        <f>IF(H496=1,IF(INDEX(tx_Cust,490)&amp;""&lt;&gt;"",INDEX(tx_Cust,490)&amp;"",INDEX(tx_Vend,490)&amp;""),"")</f>
        <v/>
      </c>
      <c r="H496" s="101">
        <f>IFERROR(N(INDEX(tx_Posted,490)),0)</f>
        <v/>
      </c>
      <c r="I496" s="58">
        <f>IF(H496=1,INDEX(tx_DrAcct,490)&amp;"","")</f>
        <v/>
      </c>
      <c r="J496" s="95">
        <f>IF(H496=1,INDEX(tx_DrAmt,490),0)</f>
        <v/>
      </c>
      <c r="K496" s="58">
        <f>IF(H496=1,INDEX(tx_CrAcct,490)&amp;"","")</f>
        <v/>
      </c>
      <c r="L496" s="95">
        <f>IF(H496=1,INDEX(tx_CrAmt,490),0)</f>
        <v/>
      </c>
      <c r="M496" s="95">
        <f>IF(H496=1,INDEX(tx_TaxDr,490),0)</f>
        <v/>
      </c>
      <c r="N496" s="95">
        <f>IF(H496=1,INDEX(tx_TaxCr,490),0)</f>
        <v/>
      </c>
      <c r="O496" s="101">
        <f>IF(H496=1,IF(E496&lt;FYStart,0,IF(E496&gt;FYEnd,13,YEAR(E496)*12+MONTH(E496)-FYYM+1)),"")</f>
        <v/>
      </c>
      <c r="P496" s="101">
        <f>IF(H496=1,IF(IFERROR(INDEX(coa_CF,MATCH(I496,coa_Name,0)),"")="Cash",1,0),0)</f>
        <v/>
      </c>
      <c r="Q496" s="101">
        <f>IF(H496=1,IF(IFERROR(INDEX(coa_CF,MATCH(K496,coa_Name,0)),"")="Cash",1,0),0)</f>
        <v/>
      </c>
      <c r="R496" s="58">
        <f>IF((P496-Q496)=0,"",IFERROR(INDEX(coa_CF,MATCH(IF((P496-Q496)=1,K496,I496),coa_Name,0)),"Operating"))</f>
        <v/>
      </c>
      <c r="S496" s="95">
        <f>IF((P496-Q496)=1,L496,IF((P496-Q496)=-1,-J496,0))</f>
        <v/>
      </c>
      <c r="T496" s="95">
        <f>IF((P496-Q496)=1,N496,IF((P496-Q496)=-1,-M496,0))</f>
        <v/>
      </c>
      <c r="U496" s="101">
        <f>IF(AND(H496=1,LedAcct&lt;&gt;""),IF(AND(E496&gt;=LedFrom,E496&lt;=LedTo,OR(I496=LedAcct,K496=LedAcct,AND(LedAcct=acctTax,M496+N496&lt;&gt;0))),E496*10000+B496,""),"")</f>
        <v/>
      </c>
    </row>
    <row r="497">
      <c r="B497" s="101" t="n">
        <v>491</v>
      </c>
      <c r="C497" s="58" t="inlineStr">
        <is>
          <t>Transaction</t>
        </is>
      </c>
      <c r="D497" s="58">
        <f>IF(H497=1,INDEX(tx_ID,491)&amp;"","")</f>
        <v/>
      </c>
      <c r="E497" s="94">
        <f>IF(H497=1,INDEX(tx_Date,491),"")</f>
        <v/>
      </c>
      <c r="F497" s="58">
        <f>IF(H497=1,INDEX(tx_Desc,491)&amp;"","")</f>
        <v/>
      </c>
      <c r="G497" s="58">
        <f>IF(H497=1,IF(INDEX(tx_Cust,491)&amp;""&lt;&gt;"",INDEX(tx_Cust,491)&amp;"",INDEX(tx_Vend,491)&amp;""),"")</f>
        <v/>
      </c>
      <c r="H497" s="101">
        <f>IFERROR(N(INDEX(tx_Posted,491)),0)</f>
        <v/>
      </c>
      <c r="I497" s="58">
        <f>IF(H497=1,INDEX(tx_DrAcct,491)&amp;"","")</f>
        <v/>
      </c>
      <c r="J497" s="95">
        <f>IF(H497=1,INDEX(tx_DrAmt,491),0)</f>
        <v/>
      </c>
      <c r="K497" s="58">
        <f>IF(H497=1,INDEX(tx_CrAcct,491)&amp;"","")</f>
        <v/>
      </c>
      <c r="L497" s="95">
        <f>IF(H497=1,INDEX(tx_CrAmt,491),0)</f>
        <v/>
      </c>
      <c r="M497" s="95">
        <f>IF(H497=1,INDEX(tx_TaxDr,491),0)</f>
        <v/>
      </c>
      <c r="N497" s="95">
        <f>IF(H497=1,INDEX(tx_TaxCr,491),0)</f>
        <v/>
      </c>
      <c r="O497" s="101">
        <f>IF(H497=1,IF(E497&lt;FYStart,0,IF(E497&gt;FYEnd,13,YEAR(E497)*12+MONTH(E497)-FYYM+1)),"")</f>
        <v/>
      </c>
      <c r="P497" s="101">
        <f>IF(H497=1,IF(IFERROR(INDEX(coa_CF,MATCH(I497,coa_Name,0)),"")="Cash",1,0),0)</f>
        <v/>
      </c>
      <c r="Q497" s="101">
        <f>IF(H497=1,IF(IFERROR(INDEX(coa_CF,MATCH(K497,coa_Name,0)),"")="Cash",1,0),0)</f>
        <v/>
      </c>
      <c r="R497" s="58">
        <f>IF((P497-Q497)=0,"",IFERROR(INDEX(coa_CF,MATCH(IF((P497-Q497)=1,K497,I497),coa_Name,0)),"Operating"))</f>
        <v/>
      </c>
      <c r="S497" s="95">
        <f>IF((P497-Q497)=1,L497,IF((P497-Q497)=-1,-J497,0))</f>
        <v/>
      </c>
      <c r="T497" s="95">
        <f>IF((P497-Q497)=1,N497,IF((P497-Q497)=-1,-M497,0))</f>
        <v/>
      </c>
      <c r="U497" s="101">
        <f>IF(AND(H497=1,LedAcct&lt;&gt;""),IF(AND(E497&gt;=LedFrom,E497&lt;=LedTo,OR(I497=LedAcct,K497=LedAcct,AND(LedAcct=acctTax,M497+N497&lt;&gt;0))),E497*10000+B497,""),"")</f>
        <v/>
      </c>
    </row>
    <row r="498">
      <c r="B498" s="101" t="n">
        <v>492</v>
      </c>
      <c r="C498" s="58" t="inlineStr">
        <is>
          <t>Transaction</t>
        </is>
      </c>
      <c r="D498" s="58">
        <f>IF(H498=1,INDEX(tx_ID,492)&amp;"","")</f>
        <v/>
      </c>
      <c r="E498" s="94">
        <f>IF(H498=1,INDEX(tx_Date,492),"")</f>
        <v/>
      </c>
      <c r="F498" s="58">
        <f>IF(H498=1,INDEX(tx_Desc,492)&amp;"","")</f>
        <v/>
      </c>
      <c r="G498" s="58">
        <f>IF(H498=1,IF(INDEX(tx_Cust,492)&amp;""&lt;&gt;"",INDEX(tx_Cust,492)&amp;"",INDEX(tx_Vend,492)&amp;""),"")</f>
        <v/>
      </c>
      <c r="H498" s="101">
        <f>IFERROR(N(INDEX(tx_Posted,492)),0)</f>
        <v/>
      </c>
      <c r="I498" s="58">
        <f>IF(H498=1,INDEX(tx_DrAcct,492)&amp;"","")</f>
        <v/>
      </c>
      <c r="J498" s="95">
        <f>IF(H498=1,INDEX(tx_DrAmt,492),0)</f>
        <v/>
      </c>
      <c r="K498" s="58">
        <f>IF(H498=1,INDEX(tx_CrAcct,492)&amp;"","")</f>
        <v/>
      </c>
      <c r="L498" s="95">
        <f>IF(H498=1,INDEX(tx_CrAmt,492),0)</f>
        <v/>
      </c>
      <c r="M498" s="95">
        <f>IF(H498=1,INDEX(tx_TaxDr,492),0)</f>
        <v/>
      </c>
      <c r="N498" s="95">
        <f>IF(H498=1,INDEX(tx_TaxCr,492),0)</f>
        <v/>
      </c>
      <c r="O498" s="101">
        <f>IF(H498=1,IF(E498&lt;FYStart,0,IF(E498&gt;FYEnd,13,YEAR(E498)*12+MONTH(E498)-FYYM+1)),"")</f>
        <v/>
      </c>
      <c r="P498" s="101">
        <f>IF(H498=1,IF(IFERROR(INDEX(coa_CF,MATCH(I498,coa_Name,0)),"")="Cash",1,0),0)</f>
        <v/>
      </c>
      <c r="Q498" s="101">
        <f>IF(H498=1,IF(IFERROR(INDEX(coa_CF,MATCH(K498,coa_Name,0)),"")="Cash",1,0),0)</f>
        <v/>
      </c>
      <c r="R498" s="58">
        <f>IF((P498-Q498)=0,"",IFERROR(INDEX(coa_CF,MATCH(IF((P498-Q498)=1,K498,I498),coa_Name,0)),"Operating"))</f>
        <v/>
      </c>
      <c r="S498" s="95">
        <f>IF((P498-Q498)=1,L498,IF((P498-Q498)=-1,-J498,0))</f>
        <v/>
      </c>
      <c r="T498" s="95">
        <f>IF((P498-Q498)=1,N498,IF((P498-Q498)=-1,-M498,0))</f>
        <v/>
      </c>
      <c r="U498" s="101">
        <f>IF(AND(H498=1,LedAcct&lt;&gt;""),IF(AND(E498&gt;=LedFrom,E498&lt;=LedTo,OR(I498=LedAcct,K498=LedAcct,AND(LedAcct=acctTax,M498+N498&lt;&gt;0))),E498*10000+B498,""),"")</f>
        <v/>
      </c>
    </row>
    <row r="499">
      <c r="B499" s="101" t="n">
        <v>493</v>
      </c>
      <c r="C499" s="58" t="inlineStr">
        <is>
          <t>Transaction</t>
        </is>
      </c>
      <c r="D499" s="58">
        <f>IF(H499=1,INDEX(tx_ID,493)&amp;"","")</f>
        <v/>
      </c>
      <c r="E499" s="94">
        <f>IF(H499=1,INDEX(tx_Date,493),"")</f>
        <v/>
      </c>
      <c r="F499" s="58">
        <f>IF(H499=1,INDEX(tx_Desc,493)&amp;"","")</f>
        <v/>
      </c>
      <c r="G499" s="58">
        <f>IF(H499=1,IF(INDEX(tx_Cust,493)&amp;""&lt;&gt;"",INDEX(tx_Cust,493)&amp;"",INDEX(tx_Vend,493)&amp;""),"")</f>
        <v/>
      </c>
      <c r="H499" s="101">
        <f>IFERROR(N(INDEX(tx_Posted,493)),0)</f>
        <v/>
      </c>
      <c r="I499" s="58">
        <f>IF(H499=1,INDEX(tx_DrAcct,493)&amp;"","")</f>
        <v/>
      </c>
      <c r="J499" s="95">
        <f>IF(H499=1,INDEX(tx_DrAmt,493),0)</f>
        <v/>
      </c>
      <c r="K499" s="58">
        <f>IF(H499=1,INDEX(tx_CrAcct,493)&amp;"","")</f>
        <v/>
      </c>
      <c r="L499" s="95">
        <f>IF(H499=1,INDEX(tx_CrAmt,493),0)</f>
        <v/>
      </c>
      <c r="M499" s="95">
        <f>IF(H499=1,INDEX(tx_TaxDr,493),0)</f>
        <v/>
      </c>
      <c r="N499" s="95">
        <f>IF(H499=1,INDEX(tx_TaxCr,493),0)</f>
        <v/>
      </c>
      <c r="O499" s="101">
        <f>IF(H499=1,IF(E499&lt;FYStart,0,IF(E499&gt;FYEnd,13,YEAR(E499)*12+MONTH(E499)-FYYM+1)),"")</f>
        <v/>
      </c>
      <c r="P499" s="101">
        <f>IF(H499=1,IF(IFERROR(INDEX(coa_CF,MATCH(I499,coa_Name,0)),"")="Cash",1,0),0)</f>
        <v/>
      </c>
      <c r="Q499" s="101">
        <f>IF(H499=1,IF(IFERROR(INDEX(coa_CF,MATCH(K499,coa_Name,0)),"")="Cash",1,0),0)</f>
        <v/>
      </c>
      <c r="R499" s="58">
        <f>IF((P499-Q499)=0,"",IFERROR(INDEX(coa_CF,MATCH(IF((P499-Q499)=1,K499,I499),coa_Name,0)),"Operating"))</f>
        <v/>
      </c>
      <c r="S499" s="95">
        <f>IF((P499-Q499)=1,L499,IF((P499-Q499)=-1,-J499,0))</f>
        <v/>
      </c>
      <c r="T499" s="95">
        <f>IF((P499-Q499)=1,N499,IF((P499-Q499)=-1,-M499,0))</f>
        <v/>
      </c>
      <c r="U499" s="101">
        <f>IF(AND(H499=1,LedAcct&lt;&gt;""),IF(AND(E499&gt;=LedFrom,E499&lt;=LedTo,OR(I499=LedAcct,K499=LedAcct,AND(LedAcct=acctTax,M499+N499&lt;&gt;0))),E499*10000+B499,""),"")</f>
        <v/>
      </c>
    </row>
    <row r="500">
      <c r="B500" s="101" t="n">
        <v>494</v>
      </c>
      <c r="C500" s="58" t="inlineStr">
        <is>
          <t>Transaction</t>
        </is>
      </c>
      <c r="D500" s="58">
        <f>IF(H500=1,INDEX(tx_ID,494)&amp;"","")</f>
        <v/>
      </c>
      <c r="E500" s="94">
        <f>IF(H500=1,INDEX(tx_Date,494),"")</f>
        <v/>
      </c>
      <c r="F500" s="58">
        <f>IF(H500=1,INDEX(tx_Desc,494)&amp;"","")</f>
        <v/>
      </c>
      <c r="G500" s="58">
        <f>IF(H500=1,IF(INDEX(tx_Cust,494)&amp;""&lt;&gt;"",INDEX(tx_Cust,494)&amp;"",INDEX(tx_Vend,494)&amp;""),"")</f>
        <v/>
      </c>
      <c r="H500" s="101">
        <f>IFERROR(N(INDEX(tx_Posted,494)),0)</f>
        <v/>
      </c>
      <c r="I500" s="58">
        <f>IF(H500=1,INDEX(tx_DrAcct,494)&amp;"","")</f>
        <v/>
      </c>
      <c r="J500" s="95">
        <f>IF(H500=1,INDEX(tx_DrAmt,494),0)</f>
        <v/>
      </c>
      <c r="K500" s="58">
        <f>IF(H500=1,INDEX(tx_CrAcct,494)&amp;"","")</f>
        <v/>
      </c>
      <c r="L500" s="95">
        <f>IF(H500=1,INDEX(tx_CrAmt,494),0)</f>
        <v/>
      </c>
      <c r="M500" s="95">
        <f>IF(H500=1,INDEX(tx_TaxDr,494),0)</f>
        <v/>
      </c>
      <c r="N500" s="95">
        <f>IF(H500=1,INDEX(tx_TaxCr,494),0)</f>
        <v/>
      </c>
      <c r="O500" s="101">
        <f>IF(H500=1,IF(E500&lt;FYStart,0,IF(E500&gt;FYEnd,13,YEAR(E500)*12+MONTH(E500)-FYYM+1)),"")</f>
        <v/>
      </c>
      <c r="P500" s="101">
        <f>IF(H500=1,IF(IFERROR(INDEX(coa_CF,MATCH(I500,coa_Name,0)),"")="Cash",1,0),0)</f>
        <v/>
      </c>
      <c r="Q500" s="101">
        <f>IF(H500=1,IF(IFERROR(INDEX(coa_CF,MATCH(K500,coa_Name,0)),"")="Cash",1,0),0)</f>
        <v/>
      </c>
      <c r="R500" s="58">
        <f>IF((P500-Q500)=0,"",IFERROR(INDEX(coa_CF,MATCH(IF((P500-Q500)=1,K500,I500),coa_Name,0)),"Operating"))</f>
        <v/>
      </c>
      <c r="S500" s="95">
        <f>IF((P500-Q500)=1,L500,IF((P500-Q500)=-1,-J500,0))</f>
        <v/>
      </c>
      <c r="T500" s="95">
        <f>IF((P500-Q500)=1,N500,IF((P500-Q500)=-1,-M500,0))</f>
        <v/>
      </c>
      <c r="U500" s="101">
        <f>IF(AND(H500=1,LedAcct&lt;&gt;""),IF(AND(E500&gt;=LedFrom,E500&lt;=LedTo,OR(I500=LedAcct,K500=LedAcct,AND(LedAcct=acctTax,M500+N500&lt;&gt;0))),E500*10000+B500,""),"")</f>
        <v/>
      </c>
    </row>
    <row r="501">
      <c r="B501" s="101" t="n">
        <v>495</v>
      </c>
      <c r="C501" s="58" t="inlineStr">
        <is>
          <t>Transaction</t>
        </is>
      </c>
      <c r="D501" s="58">
        <f>IF(H501=1,INDEX(tx_ID,495)&amp;"","")</f>
        <v/>
      </c>
      <c r="E501" s="94">
        <f>IF(H501=1,INDEX(tx_Date,495),"")</f>
        <v/>
      </c>
      <c r="F501" s="58">
        <f>IF(H501=1,INDEX(tx_Desc,495)&amp;"","")</f>
        <v/>
      </c>
      <c r="G501" s="58">
        <f>IF(H501=1,IF(INDEX(tx_Cust,495)&amp;""&lt;&gt;"",INDEX(tx_Cust,495)&amp;"",INDEX(tx_Vend,495)&amp;""),"")</f>
        <v/>
      </c>
      <c r="H501" s="101">
        <f>IFERROR(N(INDEX(tx_Posted,495)),0)</f>
        <v/>
      </c>
      <c r="I501" s="58">
        <f>IF(H501=1,INDEX(tx_DrAcct,495)&amp;"","")</f>
        <v/>
      </c>
      <c r="J501" s="95">
        <f>IF(H501=1,INDEX(tx_DrAmt,495),0)</f>
        <v/>
      </c>
      <c r="K501" s="58">
        <f>IF(H501=1,INDEX(tx_CrAcct,495)&amp;"","")</f>
        <v/>
      </c>
      <c r="L501" s="95">
        <f>IF(H501=1,INDEX(tx_CrAmt,495),0)</f>
        <v/>
      </c>
      <c r="M501" s="95">
        <f>IF(H501=1,INDEX(tx_TaxDr,495),0)</f>
        <v/>
      </c>
      <c r="N501" s="95">
        <f>IF(H501=1,INDEX(tx_TaxCr,495),0)</f>
        <v/>
      </c>
      <c r="O501" s="101">
        <f>IF(H501=1,IF(E501&lt;FYStart,0,IF(E501&gt;FYEnd,13,YEAR(E501)*12+MONTH(E501)-FYYM+1)),"")</f>
        <v/>
      </c>
      <c r="P501" s="101">
        <f>IF(H501=1,IF(IFERROR(INDEX(coa_CF,MATCH(I501,coa_Name,0)),"")="Cash",1,0),0)</f>
        <v/>
      </c>
      <c r="Q501" s="101">
        <f>IF(H501=1,IF(IFERROR(INDEX(coa_CF,MATCH(K501,coa_Name,0)),"")="Cash",1,0),0)</f>
        <v/>
      </c>
      <c r="R501" s="58">
        <f>IF((P501-Q501)=0,"",IFERROR(INDEX(coa_CF,MATCH(IF((P501-Q501)=1,K501,I501),coa_Name,0)),"Operating"))</f>
        <v/>
      </c>
      <c r="S501" s="95">
        <f>IF((P501-Q501)=1,L501,IF((P501-Q501)=-1,-J501,0))</f>
        <v/>
      </c>
      <c r="T501" s="95">
        <f>IF((P501-Q501)=1,N501,IF((P501-Q501)=-1,-M501,0))</f>
        <v/>
      </c>
      <c r="U501" s="101">
        <f>IF(AND(H501=1,LedAcct&lt;&gt;""),IF(AND(E501&gt;=LedFrom,E501&lt;=LedTo,OR(I501=LedAcct,K501=LedAcct,AND(LedAcct=acctTax,M501+N501&lt;&gt;0))),E501*10000+B501,""),"")</f>
        <v/>
      </c>
    </row>
    <row r="502">
      <c r="B502" s="101" t="n">
        <v>496</v>
      </c>
      <c r="C502" s="58" t="inlineStr">
        <is>
          <t>Transaction</t>
        </is>
      </c>
      <c r="D502" s="58">
        <f>IF(H502=1,INDEX(tx_ID,496)&amp;"","")</f>
        <v/>
      </c>
      <c r="E502" s="94">
        <f>IF(H502=1,INDEX(tx_Date,496),"")</f>
        <v/>
      </c>
      <c r="F502" s="58">
        <f>IF(H502=1,INDEX(tx_Desc,496)&amp;"","")</f>
        <v/>
      </c>
      <c r="G502" s="58">
        <f>IF(H502=1,IF(INDEX(tx_Cust,496)&amp;""&lt;&gt;"",INDEX(tx_Cust,496)&amp;"",INDEX(tx_Vend,496)&amp;""),"")</f>
        <v/>
      </c>
      <c r="H502" s="101">
        <f>IFERROR(N(INDEX(tx_Posted,496)),0)</f>
        <v/>
      </c>
      <c r="I502" s="58">
        <f>IF(H502=1,INDEX(tx_DrAcct,496)&amp;"","")</f>
        <v/>
      </c>
      <c r="J502" s="95">
        <f>IF(H502=1,INDEX(tx_DrAmt,496),0)</f>
        <v/>
      </c>
      <c r="K502" s="58">
        <f>IF(H502=1,INDEX(tx_CrAcct,496)&amp;"","")</f>
        <v/>
      </c>
      <c r="L502" s="95">
        <f>IF(H502=1,INDEX(tx_CrAmt,496),0)</f>
        <v/>
      </c>
      <c r="M502" s="95">
        <f>IF(H502=1,INDEX(tx_TaxDr,496),0)</f>
        <v/>
      </c>
      <c r="N502" s="95">
        <f>IF(H502=1,INDEX(tx_TaxCr,496),0)</f>
        <v/>
      </c>
      <c r="O502" s="101">
        <f>IF(H502=1,IF(E502&lt;FYStart,0,IF(E502&gt;FYEnd,13,YEAR(E502)*12+MONTH(E502)-FYYM+1)),"")</f>
        <v/>
      </c>
      <c r="P502" s="101">
        <f>IF(H502=1,IF(IFERROR(INDEX(coa_CF,MATCH(I502,coa_Name,0)),"")="Cash",1,0),0)</f>
        <v/>
      </c>
      <c r="Q502" s="101">
        <f>IF(H502=1,IF(IFERROR(INDEX(coa_CF,MATCH(K502,coa_Name,0)),"")="Cash",1,0),0)</f>
        <v/>
      </c>
      <c r="R502" s="58">
        <f>IF((P502-Q502)=0,"",IFERROR(INDEX(coa_CF,MATCH(IF((P502-Q502)=1,K502,I502),coa_Name,0)),"Operating"))</f>
        <v/>
      </c>
      <c r="S502" s="95">
        <f>IF((P502-Q502)=1,L502,IF((P502-Q502)=-1,-J502,0))</f>
        <v/>
      </c>
      <c r="T502" s="95">
        <f>IF((P502-Q502)=1,N502,IF((P502-Q502)=-1,-M502,0))</f>
        <v/>
      </c>
      <c r="U502" s="101">
        <f>IF(AND(H502=1,LedAcct&lt;&gt;""),IF(AND(E502&gt;=LedFrom,E502&lt;=LedTo,OR(I502=LedAcct,K502=LedAcct,AND(LedAcct=acctTax,M502+N502&lt;&gt;0))),E502*10000+B502,""),"")</f>
        <v/>
      </c>
    </row>
    <row r="503">
      <c r="B503" s="101" t="n">
        <v>497</v>
      </c>
      <c r="C503" s="58" t="inlineStr">
        <is>
          <t>Transaction</t>
        </is>
      </c>
      <c r="D503" s="58">
        <f>IF(H503=1,INDEX(tx_ID,497)&amp;"","")</f>
        <v/>
      </c>
      <c r="E503" s="94">
        <f>IF(H503=1,INDEX(tx_Date,497),"")</f>
        <v/>
      </c>
      <c r="F503" s="58">
        <f>IF(H503=1,INDEX(tx_Desc,497)&amp;"","")</f>
        <v/>
      </c>
      <c r="G503" s="58">
        <f>IF(H503=1,IF(INDEX(tx_Cust,497)&amp;""&lt;&gt;"",INDEX(tx_Cust,497)&amp;"",INDEX(tx_Vend,497)&amp;""),"")</f>
        <v/>
      </c>
      <c r="H503" s="101">
        <f>IFERROR(N(INDEX(tx_Posted,497)),0)</f>
        <v/>
      </c>
      <c r="I503" s="58">
        <f>IF(H503=1,INDEX(tx_DrAcct,497)&amp;"","")</f>
        <v/>
      </c>
      <c r="J503" s="95">
        <f>IF(H503=1,INDEX(tx_DrAmt,497),0)</f>
        <v/>
      </c>
      <c r="K503" s="58">
        <f>IF(H503=1,INDEX(tx_CrAcct,497)&amp;"","")</f>
        <v/>
      </c>
      <c r="L503" s="95">
        <f>IF(H503=1,INDEX(tx_CrAmt,497),0)</f>
        <v/>
      </c>
      <c r="M503" s="95">
        <f>IF(H503=1,INDEX(tx_TaxDr,497),0)</f>
        <v/>
      </c>
      <c r="N503" s="95">
        <f>IF(H503=1,INDEX(tx_TaxCr,497),0)</f>
        <v/>
      </c>
      <c r="O503" s="101">
        <f>IF(H503=1,IF(E503&lt;FYStart,0,IF(E503&gt;FYEnd,13,YEAR(E503)*12+MONTH(E503)-FYYM+1)),"")</f>
        <v/>
      </c>
      <c r="P503" s="101">
        <f>IF(H503=1,IF(IFERROR(INDEX(coa_CF,MATCH(I503,coa_Name,0)),"")="Cash",1,0),0)</f>
        <v/>
      </c>
      <c r="Q503" s="101">
        <f>IF(H503=1,IF(IFERROR(INDEX(coa_CF,MATCH(K503,coa_Name,0)),"")="Cash",1,0),0)</f>
        <v/>
      </c>
      <c r="R503" s="58">
        <f>IF((P503-Q503)=0,"",IFERROR(INDEX(coa_CF,MATCH(IF((P503-Q503)=1,K503,I503),coa_Name,0)),"Operating"))</f>
        <v/>
      </c>
      <c r="S503" s="95">
        <f>IF((P503-Q503)=1,L503,IF((P503-Q503)=-1,-J503,0))</f>
        <v/>
      </c>
      <c r="T503" s="95">
        <f>IF((P503-Q503)=1,N503,IF((P503-Q503)=-1,-M503,0))</f>
        <v/>
      </c>
      <c r="U503" s="101">
        <f>IF(AND(H503=1,LedAcct&lt;&gt;""),IF(AND(E503&gt;=LedFrom,E503&lt;=LedTo,OR(I503=LedAcct,K503=LedAcct,AND(LedAcct=acctTax,M503+N503&lt;&gt;0))),E503*10000+B503,""),"")</f>
        <v/>
      </c>
    </row>
    <row r="504">
      <c r="B504" s="101" t="n">
        <v>498</v>
      </c>
      <c r="C504" s="58" t="inlineStr">
        <is>
          <t>Transaction</t>
        </is>
      </c>
      <c r="D504" s="58">
        <f>IF(H504=1,INDEX(tx_ID,498)&amp;"","")</f>
        <v/>
      </c>
      <c r="E504" s="94">
        <f>IF(H504=1,INDEX(tx_Date,498),"")</f>
        <v/>
      </c>
      <c r="F504" s="58">
        <f>IF(H504=1,INDEX(tx_Desc,498)&amp;"","")</f>
        <v/>
      </c>
      <c r="G504" s="58">
        <f>IF(H504=1,IF(INDEX(tx_Cust,498)&amp;""&lt;&gt;"",INDEX(tx_Cust,498)&amp;"",INDEX(tx_Vend,498)&amp;""),"")</f>
        <v/>
      </c>
      <c r="H504" s="101">
        <f>IFERROR(N(INDEX(tx_Posted,498)),0)</f>
        <v/>
      </c>
      <c r="I504" s="58">
        <f>IF(H504=1,INDEX(tx_DrAcct,498)&amp;"","")</f>
        <v/>
      </c>
      <c r="J504" s="95">
        <f>IF(H504=1,INDEX(tx_DrAmt,498),0)</f>
        <v/>
      </c>
      <c r="K504" s="58">
        <f>IF(H504=1,INDEX(tx_CrAcct,498)&amp;"","")</f>
        <v/>
      </c>
      <c r="L504" s="95">
        <f>IF(H504=1,INDEX(tx_CrAmt,498),0)</f>
        <v/>
      </c>
      <c r="M504" s="95">
        <f>IF(H504=1,INDEX(tx_TaxDr,498),0)</f>
        <v/>
      </c>
      <c r="N504" s="95">
        <f>IF(H504=1,INDEX(tx_TaxCr,498),0)</f>
        <v/>
      </c>
      <c r="O504" s="101">
        <f>IF(H504=1,IF(E504&lt;FYStart,0,IF(E504&gt;FYEnd,13,YEAR(E504)*12+MONTH(E504)-FYYM+1)),"")</f>
        <v/>
      </c>
      <c r="P504" s="101">
        <f>IF(H504=1,IF(IFERROR(INDEX(coa_CF,MATCH(I504,coa_Name,0)),"")="Cash",1,0),0)</f>
        <v/>
      </c>
      <c r="Q504" s="101">
        <f>IF(H504=1,IF(IFERROR(INDEX(coa_CF,MATCH(K504,coa_Name,0)),"")="Cash",1,0),0)</f>
        <v/>
      </c>
      <c r="R504" s="58">
        <f>IF((P504-Q504)=0,"",IFERROR(INDEX(coa_CF,MATCH(IF((P504-Q504)=1,K504,I504),coa_Name,0)),"Operating"))</f>
        <v/>
      </c>
      <c r="S504" s="95">
        <f>IF((P504-Q504)=1,L504,IF((P504-Q504)=-1,-J504,0))</f>
        <v/>
      </c>
      <c r="T504" s="95">
        <f>IF((P504-Q504)=1,N504,IF((P504-Q504)=-1,-M504,0))</f>
        <v/>
      </c>
      <c r="U504" s="101">
        <f>IF(AND(H504=1,LedAcct&lt;&gt;""),IF(AND(E504&gt;=LedFrom,E504&lt;=LedTo,OR(I504=LedAcct,K504=LedAcct,AND(LedAcct=acctTax,M504+N504&lt;&gt;0))),E504*10000+B504,""),"")</f>
        <v/>
      </c>
    </row>
    <row r="505">
      <c r="B505" s="101" t="n">
        <v>499</v>
      </c>
      <c r="C505" s="58" t="inlineStr">
        <is>
          <t>Transaction</t>
        </is>
      </c>
      <c r="D505" s="58">
        <f>IF(H505=1,INDEX(tx_ID,499)&amp;"","")</f>
        <v/>
      </c>
      <c r="E505" s="94">
        <f>IF(H505=1,INDEX(tx_Date,499),"")</f>
        <v/>
      </c>
      <c r="F505" s="58">
        <f>IF(H505=1,INDEX(tx_Desc,499)&amp;"","")</f>
        <v/>
      </c>
      <c r="G505" s="58">
        <f>IF(H505=1,IF(INDEX(tx_Cust,499)&amp;""&lt;&gt;"",INDEX(tx_Cust,499)&amp;"",INDEX(tx_Vend,499)&amp;""),"")</f>
        <v/>
      </c>
      <c r="H505" s="101">
        <f>IFERROR(N(INDEX(tx_Posted,499)),0)</f>
        <v/>
      </c>
      <c r="I505" s="58">
        <f>IF(H505=1,INDEX(tx_DrAcct,499)&amp;"","")</f>
        <v/>
      </c>
      <c r="J505" s="95">
        <f>IF(H505=1,INDEX(tx_DrAmt,499),0)</f>
        <v/>
      </c>
      <c r="K505" s="58">
        <f>IF(H505=1,INDEX(tx_CrAcct,499)&amp;"","")</f>
        <v/>
      </c>
      <c r="L505" s="95">
        <f>IF(H505=1,INDEX(tx_CrAmt,499),0)</f>
        <v/>
      </c>
      <c r="M505" s="95">
        <f>IF(H505=1,INDEX(tx_TaxDr,499),0)</f>
        <v/>
      </c>
      <c r="N505" s="95">
        <f>IF(H505=1,INDEX(tx_TaxCr,499),0)</f>
        <v/>
      </c>
      <c r="O505" s="101">
        <f>IF(H505=1,IF(E505&lt;FYStart,0,IF(E505&gt;FYEnd,13,YEAR(E505)*12+MONTH(E505)-FYYM+1)),"")</f>
        <v/>
      </c>
      <c r="P505" s="101">
        <f>IF(H505=1,IF(IFERROR(INDEX(coa_CF,MATCH(I505,coa_Name,0)),"")="Cash",1,0),0)</f>
        <v/>
      </c>
      <c r="Q505" s="101">
        <f>IF(H505=1,IF(IFERROR(INDEX(coa_CF,MATCH(K505,coa_Name,0)),"")="Cash",1,0),0)</f>
        <v/>
      </c>
      <c r="R505" s="58">
        <f>IF((P505-Q505)=0,"",IFERROR(INDEX(coa_CF,MATCH(IF((P505-Q505)=1,K505,I505),coa_Name,0)),"Operating"))</f>
        <v/>
      </c>
      <c r="S505" s="95">
        <f>IF((P505-Q505)=1,L505,IF((P505-Q505)=-1,-J505,0))</f>
        <v/>
      </c>
      <c r="T505" s="95">
        <f>IF((P505-Q505)=1,N505,IF((P505-Q505)=-1,-M505,0))</f>
        <v/>
      </c>
      <c r="U505" s="101">
        <f>IF(AND(H505=1,LedAcct&lt;&gt;""),IF(AND(E505&gt;=LedFrom,E505&lt;=LedTo,OR(I505=LedAcct,K505=LedAcct,AND(LedAcct=acctTax,M505+N505&lt;&gt;0))),E505*10000+B505,""),"")</f>
        <v/>
      </c>
    </row>
    <row r="506">
      <c r="B506" s="101" t="n">
        <v>500</v>
      </c>
      <c r="C506" s="58" t="inlineStr">
        <is>
          <t>Transaction</t>
        </is>
      </c>
      <c r="D506" s="58">
        <f>IF(H506=1,INDEX(tx_ID,500)&amp;"","")</f>
        <v/>
      </c>
      <c r="E506" s="94">
        <f>IF(H506=1,INDEX(tx_Date,500),"")</f>
        <v/>
      </c>
      <c r="F506" s="58">
        <f>IF(H506=1,INDEX(tx_Desc,500)&amp;"","")</f>
        <v/>
      </c>
      <c r="G506" s="58">
        <f>IF(H506=1,IF(INDEX(tx_Cust,500)&amp;""&lt;&gt;"",INDEX(tx_Cust,500)&amp;"",INDEX(tx_Vend,500)&amp;""),"")</f>
        <v/>
      </c>
      <c r="H506" s="101">
        <f>IFERROR(N(INDEX(tx_Posted,500)),0)</f>
        <v/>
      </c>
      <c r="I506" s="58">
        <f>IF(H506=1,INDEX(tx_DrAcct,500)&amp;"","")</f>
        <v/>
      </c>
      <c r="J506" s="95">
        <f>IF(H506=1,INDEX(tx_DrAmt,500),0)</f>
        <v/>
      </c>
      <c r="K506" s="58">
        <f>IF(H506=1,INDEX(tx_CrAcct,500)&amp;"","")</f>
        <v/>
      </c>
      <c r="L506" s="95">
        <f>IF(H506=1,INDEX(tx_CrAmt,500),0)</f>
        <v/>
      </c>
      <c r="M506" s="95">
        <f>IF(H506=1,INDEX(tx_TaxDr,500),0)</f>
        <v/>
      </c>
      <c r="N506" s="95">
        <f>IF(H506=1,INDEX(tx_TaxCr,500),0)</f>
        <v/>
      </c>
      <c r="O506" s="101">
        <f>IF(H506=1,IF(E506&lt;FYStart,0,IF(E506&gt;FYEnd,13,YEAR(E506)*12+MONTH(E506)-FYYM+1)),"")</f>
        <v/>
      </c>
      <c r="P506" s="101">
        <f>IF(H506=1,IF(IFERROR(INDEX(coa_CF,MATCH(I506,coa_Name,0)),"")="Cash",1,0),0)</f>
        <v/>
      </c>
      <c r="Q506" s="101">
        <f>IF(H506=1,IF(IFERROR(INDEX(coa_CF,MATCH(K506,coa_Name,0)),"")="Cash",1,0),0)</f>
        <v/>
      </c>
      <c r="R506" s="58">
        <f>IF((P506-Q506)=0,"",IFERROR(INDEX(coa_CF,MATCH(IF((P506-Q506)=1,K506,I506),coa_Name,0)),"Operating"))</f>
        <v/>
      </c>
      <c r="S506" s="95">
        <f>IF((P506-Q506)=1,L506,IF((P506-Q506)=-1,-J506,0))</f>
        <v/>
      </c>
      <c r="T506" s="95">
        <f>IF((P506-Q506)=1,N506,IF((P506-Q506)=-1,-M506,0))</f>
        <v/>
      </c>
      <c r="U506" s="101">
        <f>IF(AND(H506=1,LedAcct&lt;&gt;""),IF(AND(E506&gt;=LedFrom,E506&lt;=LedTo,OR(I506=LedAcct,K506=LedAcct,AND(LedAcct=acctTax,M506+N506&lt;&gt;0))),E506*10000+B506,""),"")</f>
        <v/>
      </c>
    </row>
    <row r="507">
      <c r="B507" s="101" t="n">
        <v>501</v>
      </c>
      <c r="C507" s="58" t="inlineStr">
        <is>
          <t>Transaction</t>
        </is>
      </c>
      <c r="D507" s="58">
        <f>IF(H507=1,INDEX(tx_ID,501)&amp;"","")</f>
        <v/>
      </c>
      <c r="E507" s="94">
        <f>IF(H507=1,INDEX(tx_Date,501),"")</f>
        <v/>
      </c>
      <c r="F507" s="58">
        <f>IF(H507=1,INDEX(tx_Desc,501)&amp;"","")</f>
        <v/>
      </c>
      <c r="G507" s="58">
        <f>IF(H507=1,IF(INDEX(tx_Cust,501)&amp;""&lt;&gt;"",INDEX(tx_Cust,501)&amp;"",INDEX(tx_Vend,501)&amp;""),"")</f>
        <v/>
      </c>
      <c r="H507" s="101">
        <f>IFERROR(N(INDEX(tx_Posted,501)),0)</f>
        <v/>
      </c>
      <c r="I507" s="58">
        <f>IF(H507=1,INDEX(tx_DrAcct,501)&amp;"","")</f>
        <v/>
      </c>
      <c r="J507" s="95">
        <f>IF(H507=1,INDEX(tx_DrAmt,501),0)</f>
        <v/>
      </c>
      <c r="K507" s="58">
        <f>IF(H507=1,INDEX(tx_CrAcct,501)&amp;"","")</f>
        <v/>
      </c>
      <c r="L507" s="95">
        <f>IF(H507=1,INDEX(tx_CrAmt,501),0)</f>
        <v/>
      </c>
      <c r="M507" s="95">
        <f>IF(H507=1,INDEX(tx_TaxDr,501),0)</f>
        <v/>
      </c>
      <c r="N507" s="95">
        <f>IF(H507=1,INDEX(tx_TaxCr,501),0)</f>
        <v/>
      </c>
      <c r="O507" s="101">
        <f>IF(H507=1,IF(E507&lt;FYStart,0,IF(E507&gt;FYEnd,13,YEAR(E507)*12+MONTH(E507)-FYYM+1)),"")</f>
        <v/>
      </c>
      <c r="P507" s="101">
        <f>IF(H507=1,IF(IFERROR(INDEX(coa_CF,MATCH(I507,coa_Name,0)),"")="Cash",1,0),0)</f>
        <v/>
      </c>
      <c r="Q507" s="101">
        <f>IF(H507=1,IF(IFERROR(INDEX(coa_CF,MATCH(K507,coa_Name,0)),"")="Cash",1,0),0)</f>
        <v/>
      </c>
      <c r="R507" s="58">
        <f>IF((P507-Q507)=0,"",IFERROR(INDEX(coa_CF,MATCH(IF((P507-Q507)=1,K507,I507),coa_Name,0)),"Operating"))</f>
        <v/>
      </c>
      <c r="S507" s="95">
        <f>IF((P507-Q507)=1,L507,IF((P507-Q507)=-1,-J507,0))</f>
        <v/>
      </c>
      <c r="T507" s="95">
        <f>IF((P507-Q507)=1,N507,IF((P507-Q507)=-1,-M507,0))</f>
        <v/>
      </c>
      <c r="U507" s="101">
        <f>IF(AND(H507=1,LedAcct&lt;&gt;""),IF(AND(E507&gt;=LedFrom,E507&lt;=LedTo,OR(I507=LedAcct,K507=LedAcct,AND(LedAcct=acctTax,M507+N507&lt;&gt;0))),E507*10000+B507,""),"")</f>
        <v/>
      </c>
    </row>
    <row r="508">
      <c r="B508" s="101" t="n">
        <v>502</v>
      </c>
      <c r="C508" s="58" t="inlineStr">
        <is>
          <t>Transaction</t>
        </is>
      </c>
      <c r="D508" s="58">
        <f>IF(H508=1,INDEX(tx_ID,502)&amp;"","")</f>
        <v/>
      </c>
      <c r="E508" s="94">
        <f>IF(H508=1,INDEX(tx_Date,502),"")</f>
        <v/>
      </c>
      <c r="F508" s="58">
        <f>IF(H508=1,INDEX(tx_Desc,502)&amp;"","")</f>
        <v/>
      </c>
      <c r="G508" s="58">
        <f>IF(H508=1,IF(INDEX(tx_Cust,502)&amp;""&lt;&gt;"",INDEX(tx_Cust,502)&amp;"",INDEX(tx_Vend,502)&amp;""),"")</f>
        <v/>
      </c>
      <c r="H508" s="101">
        <f>IFERROR(N(INDEX(tx_Posted,502)),0)</f>
        <v/>
      </c>
      <c r="I508" s="58">
        <f>IF(H508=1,INDEX(tx_DrAcct,502)&amp;"","")</f>
        <v/>
      </c>
      <c r="J508" s="95">
        <f>IF(H508=1,INDEX(tx_DrAmt,502),0)</f>
        <v/>
      </c>
      <c r="K508" s="58">
        <f>IF(H508=1,INDEX(tx_CrAcct,502)&amp;"","")</f>
        <v/>
      </c>
      <c r="L508" s="95">
        <f>IF(H508=1,INDEX(tx_CrAmt,502),0)</f>
        <v/>
      </c>
      <c r="M508" s="95">
        <f>IF(H508=1,INDEX(tx_TaxDr,502),0)</f>
        <v/>
      </c>
      <c r="N508" s="95">
        <f>IF(H508=1,INDEX(tx_TaxCr,502),0)</f>
        <v/>
      </c>
      <c r="O508" s="101">
        <f>IF(H508=1,IF(E508&lt;FYStart,0,IF(E508&gt;FYEnd,13,YEAR(E508)*12+MONTH(E508)-FYYM+1)),"")</f>
        <v/>
      </c>
      <c r="P508" s="101">
        <f>IF(H508=1,IF(IFERROR(INDEX(coa_CF,MATCH(I508,coa_Name,0)),"")="Cash",1,0),0)</f>
        <v/>
      </c>
      <c r="Q508" s="101">
        <f>IF(H508=1,IF(IFERROR(INDEX(coa_CF,MATCH(K508,coa_Name,0)),"")="Cash",1,0),0)</f>
        <v/>
      </c>
      <c r="R508" s="58">
        <f>IF((P508-Q508)=0,"",IFERROR(INDEX(coa_CF,MATCH(IF((P508-Q508)=1,K508,I508),coa_Name,0)),"Operating"))</f>
        <v/>
      </c>
      <c r="S508" s="95">
        <f>IF((P508-Q508)=1,L508,IF((P508-Q508)=-1,-J508,0))</f>
        <v/>
      </c>
      <c r="T508" s="95">
        <f>IF((P508-Q508)=1,N508,IF((P508-Q508)=-1,-M508,0))</f>
        <v/>
      </c>
      <c r="U508" s="101">
        <f>IF(AND(H508=1,LedAcct&lt;&gt;""),IF(AND(E508&gt;=LedFrom,E508&lt;=LedTo,OR(I508=LedAcct,K508=LedAcct,AND(LedAcct=acctTax,M508+N508&lt;&gt;0))),E508*10000+B508,""),"")</f>
        <v/>
      </c>
    </row>
    <row r="509">
      <c r="B509" s="101" t="n">
        <v>503</v>
      </c>
      <c r="C509" s="58" t="inlineStr">
        <is>
          <t>Transaction</t>
        </is>
      </c>
      <c r="D509" s="58">
        <f>IF(H509=1,INDEX(tx_ID,503)&amp;"","")</f>
        <v/>
      </c>
      <c r="E509" s="94">
        <f>IF(H509=1,INDEX(tx_Date,503),"")</f>
        <v/>
      </c>
      <c r="F509" s="58">
        <f>IF(H509=1,INDEX(tx_Desc,503)&amp;"","")</f>
        <v/>
      </c>
      <c r="G509" s="58">
        <f>IF(H509=1,IF(INDEX(tx_Cust,503)&amp;""&lt;&gt;"",INDEX(tx_Cust,503)&amp;"",INDEX(tx_Vend,503)&amp;""),"")</f>
        <v/>
      </c>
      <c r="H509" s="101">
        <f>IFERROR(N(INDEX(tx_Posted,503)),0)</f>
        <v/>
      </c>
      <c r="I509" s="58">
        <f>IF(H509=1,INDEX(tx_DrAcct,503)&amp;"","")</f>
        <v/>
      </c>
      <c r="J509" s="95">
        <f>IF(H509=1,INDEX(tx_DrAmt,503),0)</f>
        <v/>
      </c>
      <c r="K509" s="58">
        <f>IF(H509=1,INDEX(tx_CrAcct,503)&amp;"","")</f>
        <v/>
      </c>
      <c r="L509" s="95">
        <f>IF(H509=1,INDEX(tx_CrAmt,503),0)</f>
        <v/>
      </c>
      <c r="M509" s="95">
        <f>IF(H509=1,INDEX(tx_TaxDr,503),0)</f>
        <v/>
      </c>
      <c r="N509" s="95">
        <f>IF(H509=1,INDEX(tx_TaxCr,503),0)</f>
        <v/>
      </c>
      <c r="O509" s="101">
        <f>IF(H509=1,IF(E509&lt;FYStart,0,IF(E509&gt;FYEnd,13,YEAR(E509)*12+MONTH(E509)-FYYM+1)),"")</f>
        <v/>
      </c>
      <c r="P509" s="101">
        <f>IF(H509=1,IF(IFERROR(INDEX(coa_CF,MATCH(I509,coa_Name,0)),"")="Cash",1,0),0)</f>
        <v/>
      </c>
      <c r="Q509" s="101">
        <f>IF(H509=1,IF(IFERROR(INDEX(coa_CF,MATCH(K509,coa_Name,0)),"")="Cash",1,0),0)</f>
        <v/>
      </c>
      <c r="R509" s="58">
        <f>IF((P509-Q509)=0,"",IFERROR(INDEX(coa_CF,MATCH(IF((P509-Q509)=1,K509,I509),coa_Name,0)),"Operating"))</f>
        <v/>
      </c>
      <c r="S509" s="95">
        <f>IF((P509-Q509)=1,L509,IF((P509-Q509)=-1,-J509,0))</f>
        <v/>
      </c>
      <c r="T509" s="95">
        <f>IF((P509-Q509)=1,N509,IF((P509-Q509)=-1,-M509,0))</f>
        <v/>
      </c>
      <c r="U509" s="101">
        <f>IF(AND(H509=1,LedAcct&lt;&gt;""),IF(AND(E509&gt;=LedFrom,E509&lt;=LedTo,OR(I509=LedAcct,K509=LedAcct,AND(LedAcct=acctTax,M509+N509&lt;&gt;0))),E509*10000+B509,""),"")</f>
        <v/>
      </c>
    </row>
    <row r="510">
      <c r="B510" s="101" t="n">
        <v>504</v>
      </c>
      <c r="C510" s="58" t="inlineStr">
        <is>
          <t>Transaction</t>
        </is>
      </c>
      <c r="D510" s="58">
        <f>IF(H510=1,INDEX(tx_ID,504)&amp;"","")</f>
        <v/>
      </c>
      <c r="E510" s="94">
        <f>IF(H510=1,INDEX(tx_Date,504),"")</f>
        <v/>
      </c>
      <c r="F510" s="58">
        <f>IF(H510=1,INDEX(tx_Desc,504)&amp;"","")</f>
        <v/>
      </c>
      <c r="G510" s="58">
        <f>IF(H510=1,IF(INDEX(tx_Cust,504)&amp;""&lt;&gt;"",INDEX(tx_Cust,504)&amp;"",INDEX(tx_Vend,504)&amp;""),"")</f>
        <v/>
      </c>
      <c r="H510" s="101">
        <f>IFERROR(N(INDEX(tx_Posted,504)),0)</f>
        <v/>
      </c>
      <c r="I510" s="58">
        <f>IF(H510=1,INDEX(tx_DrAcct,504)&amp;"","")</f>
        <v/>
      </c>
      <c r="J510" s="95">
        <f>IF(H510=1,INDEX(tx_DrAmt,504),0)</f>
        <v/>
      </c>
      <c r="K510" s="58">
        <f>IF(H510=1,INDEX(tx_CrAcct,504)&amp;"","")</f>
        <v/>
      </c>
      <c r="L510" s="95">
        <f>IF(H510=1,INDEX(tx_CrAmt,504),0)</f>
        <v/>
      </c>
      <c r="M510" s="95">
        <f>IF(H510=1,INDEX(tx_TaxDr,504),0)</f>
        <v/>
      </c>
      <c r="N510" s="95">
        <f>IF(H510=1,INDEX(tx_TaxCr,504),0)</f>
        <v/>
      </c>
      <c r="O510" s="101">
        <f>IF(H510=1,IF(E510&lt;FYStart,0,IF(E510&gt;FYEnd,13,YEAR(E510)*12+MONTH(E510)-FYYM+1)),"")</f>
        <v/>
      </c>
      <c r="P510" s="101">
        <f>IF(H510=1,IF(IFERROR(INDEX(coa_CF,MATCH(I510,coa_Name,0)),"")="Cash",1,0),0)</f>
        <v/>
      </c>
      <c r="Q510" s="101">
        <f>IF(H510=1,IF(IFERROR(INDEX(coa_CF,MATCH(K510,coa_Name,0)),"")="Cash",1,0),0)</f>
        <v/>
      </c>
      <c r="R510" s="58">
        <f>IF((P510-Q510)=0,"",IFERROR(INDEX(coa_CF,MATCH(IF((P510-Q510)=1,K510,I510),coa_Name,0)),"Operating"))</f>
        <v/>
      </c>
      <c r="S510" s="95">
        <f>IF((P510-Q510)=1,L510,IF((P510-Q510)=-1,-J510,0))</f>
        <v/>
      </c>
      <c r="T510" s="95">
        <f>IF((P510-Q510)=1,N510,IF((P510-Q510)=-1,-M510,0))</f>
        <v/>
      </c>
      <c r="U510" s="101">
        <f>IF(AND(H510=1,LedAcct&lt;&gt;""),IF(AND(E510&gt;=LedFrom,E510&lt;=LedTo,OR(I510=LedAcct,K510=LedAcct,AND(LedAcct=acctTax,M510+N510&lt;&gt;0))),E510*10000+B510,""),"")</f>
        <v/>
      </c>
    </row>
    <row r="511">
      <c r="B511" s="101" t="n">
        <v>505</v>
      </c>
      <c r="C511" s="58" t="inlineStr">
        <is>
          <t>Transaction</t>
        </is>
      </c>
      <c r="D511" s="58">
        <f>IF(H511=1,INDEX(tx_ID,505)&amp;"","")</f>
        <v/>
      </c>
      <c r="E511" s="94">
        <f>IF(H511=1,INDEX(tx_Date,505),"")</f>
        <v/>
      </c>
      <c r="F511" s="58">
        <f>IF(H511=1,INDEX(tx_Desc,505)&amp;"","")</f>
        <v/>
      </c>
      <c r="G511" s="58">
        <f>IF(H511=1,IF(INDEX(tx_Cust,505)&amp;""&lt;&gt;"",INDEX(tx_Cust,505)&amp;"",INDEX(tx_Vend,505)&amp;""),"")</f>
        <v/>
      </c>
      <c r="H511" s="101">
        <f>IFERROR(N(INDEX(tx_Posted,505)),0)</f>
        <v/>
      </c>
      <c r="I511" s="58">
        <f>IF(H511=1,INDEX(tx_DrAcct,505)&amp;"","")</f>
        <v/>
      </c>
      <c r="J511" s="95">
        <f>IF(H511=1,INDEX(tx_DrAmt,505),0)</f>
        <v/>
      </c>
      <c r="K511" s="58">
        <f>IF(H511=1,INDEX(tx_CrAcct,505)&amp;"","")</f>
        <v/>
      </c>
      <c r="L511" s="95">
        <f>IF(H511=1,INDEX(tx_CrAmt,505),0)</f>
        <v/>
      </c>
      <c r="M511" s="95">
        <f>IF(H511=1,INDEX(tx_TaxDr,505),0)</f>
        <v/>
      </c>
      <c r="N511" s="95">
        <f>IF(H511=1,INDEX(tx_TaxCr,505),0)</f>
        <v/>
      </c>
      <c r="O511" s="101">
        <f>IF(H511=1,IF(E511&lt;FYStart,0,IF(E511&gt;FYEnd,13,YEAR(E511)*12+MONTH(E511)-FYYM+1)),"")</f>
        <v/>
      </c>
      <c r="P511" s="101">
        <f>IF(H511=1,IF(IFERROR(INDEX(coa_CF,MATCH(I511,coa_Name,0)),"")="Cash",1,0),0)</f>
        <v/>
      </c>
      <c r="Q511" s="101">
        <f>IF(H511=1,IF(IFERROR(INDEX(coa_CF,MATCH(K511,coa_Name,0)),"")="Cash",1,0),0)</f>
        <v/>
      </c>
      <c r="R511" s="58">
        <f>IF((P511-Q511)=0,"",IFERROR(INDEX(coa_CF,MATCH(IF((P511-Q511)=1,K511,I511),coa_Name,0)),"Operating"))</f>
        <v/>
      </c>
      <c r="S511" s="95">
        <f>IF((P511-Q511)=1,L511,IF((P511-Q511)=-1,-J511,0))</f>
        <v/>
      </c>
      <c r="T511" s="95">
        <f>IF((P511-Q511)=1,N511,IF((P511-Q511)=-1,-M511,0))</f>
        <v/>
      </c>
      <c r="U511" s="101">
        <f>IF(AND(H511=1,LedAcct&lt;&gt;""),IF(AND(E511&gt;=LedFrom,E511&lt;=LedTo,OR(I511=LedAcct,K511=LedAcct,AND(LedAcct=acctTax,M511+N511&lt;&gt;0))),E511*10000+B511,""),"")</f>
        <v/>
      </c>
    </row>
    <row r="512">
      <c r="B512" s="101" t="n">
        <v>506</v>
      </c>
      <c r="C512" s="58" t="inlineStr">
        <is>
          <t>Transaction</t>
        </is>
      </c>
      <c r="D512" s="58">
        <f>IF(H512=1,INDEX(tx_ID,506)&amp;"","")</f>
        <v/>
      </c>
      <c r="E512" s="94">
        <f>IF(H512=1,INDEX(tx_Date,506),"")</f>
        <v/>
      </c>
      <c r="F512" s="58">
        <f>IF(H512=1,INDEX(tx_Desc,506)&amp;"","")</f>
        <v/>
      </c>
      <c r="G512" s="58">
        <f>IF(H512=1,IF(INDEX(tx_Cust,506)&amp;""&lt;&gt;"",INDEX(tx_Cust,506)&amp;"",INDEX(tx_Vend,506)&amp;""),"")</f>
        <v/>
      </c>
      <c r="H512" s="101">
        <f>IFERROR(N(INDEX(tx_Posted,506)),0)</f>
        <v/>
      </c>
      <c r="I512" s="58">
        <f>IF(H512=1,INDEX(tx_DrAcct,506)&amp;"","")</f>
        <v/>
      </c>
      <c r="J512" s="95">
        <f>IF(H512=1,INDEX(tx_DrAmt,506),0)</f>
        <v/>
      </c>
      <c r="K512" s="58">
        <f>IF(H512=1,INDEX(tx_CrAcct,506)&amp;"","")</f>
        <v/>
      </c>
      <c r="L512" s="95">
        <f>IF(H512=1,INDEX(tx_CrAmt,506),0)</f>
        <v/>
      </c>
      <c r="M512" s="95">
        <f>IF(H512=1,INDEX(tx_TaxDr,506),0)</f>
        <v/>
      </c>
      <c r="N512" s="95">
        <f>IF(H512=1,INDEX(tx_TaxCr,506),0)</f>
        <v/>
      </c>
      <c r="O512" s="101">
        <f>IF(H512=1,IF(E512&lt;FYStart,0,IF(E512&gt;FYEnd,13,YEAR(E512)*12+MONTH(E512)-FYYM+1)),"")</f>
        <v/>
      </c>
      <c r="P512" s="101">
        <f>IF(H512=1,IF(IFERROR(INDEX(coa_CF,MATCH(I512,coa_Name,0)),"")="Cash",1,0),0)</f>
        <v/>
      </c>
      <c r="Q512" s="101">
        <f>IF(H512=1,IF(IFERROR(INDEX(coa_CF,MATCH(K512,coa_Name,0)),"")="Cash",1,0),0)</f>
        <v/>
      </c>
      <c r="R512" s="58">
        <f>IF((P512-Q512)=0,"",IFERROR(INDEX(coa_CF,MATCH(IF((P512-Q512)=1,K512,I512),coa_Name,0)),"Operating"))</f>
        <v/>
      </c>
      <c r="S512" s="95">
        <f>IF((P512-Q512)=1,L512,IF((P512-Q512)=-1,-J512,0))</f>
        <v/>
      </c>
      <c r="T512" s="95">
        <f>IF((P512-Q512)=1,N512,IF((P512-Q512)=-1,-M512,0))</f>
        <v/>
      </c>
      <c r="U512" s="101">
        <f>IF(AND(H512=1,LedAcct&lt;&gt;""),IF(AND(E512&gt;=LedFrom,E512&lt;=LedTo,OR(I512=LedAcct,K512=LedAcct,AND(LedAcct=acctTax,M512+N512&lt;&gt;0))),E512*10000+B512,""),"")</f>
        <v/>
      </c>
    </row>
    <row r="513">
      <c r="B513" s="101" t="n">
        <v>507</v>
      </c>
      <c r="C513" s="58" t="inlineStr">
        <is>
          <t>Transaction</t>
        </is>
      </c>
      <c r="D513" s="58">
        <f>IF(H513=1,INDEX(tx_ID,507)&amp;"","")</f>
        <v/>
      </c>
      <c r="E513" s="94">
        <f>IF(H513=1,INDEX(tx_Date,507),"")</f>
        <v/>
      </c>
      <c r="F513" s="58">
        <f>IF(H513=1,INDEX(tx_Desc,507)&amp;"","")</f>
        <v/>
      </c>
      <c r="G513" s="58">
        <f>IF(H513=1,IF(INDEX(tx_Cust,507)&amp;""&lt;&gt;"",INDEX(tx_Cust,507)&amp;"",INDEX(tx_Vend,507)&amp;""),"")</f>
        <v/>
      </c>
      <c r="H513" s="101">
        <f>IFERROR(N(INDEX(tx_Posted,507)),0)</f>
        <v/>
      </c>
      <c r="I513" s="58">
        <f>IF(H513=1,INDEX(tx_DrAcct,507)&amp;"","")</f>
        <v/>
      </c>
      <c r="J513" s="95">
        <f>IF(H513=1,INDEX(tx_DrAmt,507),0)</f>
        <v/>
      </c>
      <c r="K513" s="58">
        <f>IF(H513=1,INDEX(tx_CrAcct,507)&amp;"","")</f>
        <v/>
      </c>
      <c r="L513" s="95">
        <f>IF(H513=1,INDEX(tx_CrAmt,507),0)</f>
        <v/>
      </c>
      <c r="M513" s="95">
        <f>IF(H513=1,INDEX(tx_TaxDr,507),0)</f>
        <v/>
      </c>
      <c r="N513" s="95">
        <f>IF(H513=1,INDEX(tx_TaxCr,507),0)</f>
        <v/>
      </c>
      <c r="O513" s="101">
        <f>IF(H513=1,IF(E513&lt;FYStart,0,IF(E513&gt;FYEnd,13,YEAR(E513)*12+MONTH(E513)-FYYM+1)),"")</f>
        <v/>
      </c>
      <c r="P513" s="101">
        <f>IF(H513=1,IF(IFERROR(INDEX(coa_CF,MATCH(I513,coa_Name,0)),"")="Cash",1,0),0)</f>
        <v/>
      </c>
      <c r="Q513" s="101">
        <f>IF(H513=1,IF(IFERROR(INDEX(coa_CF,MATCH(K513,coa_Name,0)),"")="Cash",1,0),0)</f>
        <v/>
      </c>
      <c r="R513" s="58">
        <f>IF((P513-Q513)=0,"",IFERROR(INDEX(coa_CF,MATCH(IF((P513-Q513)=1,K513,I513),coa_Name,0)),"Operating"))</f>
        <v/>
      </c>
      <c r="S513" s="95">
        <f>IF((P513-Q513)=1,L513,IF((P513-Q513)=-1,-J513,0))</f>
        <v/>
      </c>
      <c r="T513" s="95">
        <f>IF((P513-Q513)=1,N513,IF((P513-Q513)=-1,-M513,0))</f>
        <v/>
      </c>
      <c r="U513" s="101">
        <f>IF(AND(H513=1,LedAcct&lt;&gt;""),IF(AND(E513&gt;=LedFrom,E513&lt;=LedTo,OR(I513=LedAcct,K513=LedAcct,AND(LedAcct=acctTax,M513+N513&lt;&gt;0))),E513*10000+B513,""),"")</f>
        <v/>
      </c>
    </row>
    <row r="514">
      <c r="B514" s="101" t="n">
        <v>508</v>
      </c>
      <c r="C514" s="58" t="inlineStr">
        <is>
          <t>Transaction</t>
        </is>
      </c>
      <c r="D514" s="58">
        <f>IF(H514=1,INDEX(tx_ID,508)&amp;"","")</f>
        <v/>
      </c>
      <c r="E514" s="94">
        <f>IF(H514=1,INDEX(tx_Date,508),"")</f>
        <v/>
      </c>
      <c r="F514" s="58">
        <f>IF(H514=1,INDEX(tx_Desc,508)&amp;"","")</f>
        <v/>
      </c>
      <c r="G514" s="58">
        <f>IF(H514=1,IF(INDEX(tx_Cust,508)&amp;""&lt;&gt;"",INDEX(tx_Cust,508)&amp;"",INDEX(tx_Vend,508)&amp;""),"")</f>
        <v/>
      </c>
      <c r="H514" s="101">
        <f>IFERROR(N(INDEX(tx_Posted,508)),0)</f>
        <v/>
      </c>
      <c r="I514" s="58">
        <f>IF(H514=1,INDEX(tx_DrAcct,508)&amp;"","")</f>
        <v/>
      </c>
      <c r="J514" s="95">
        <f>IF(H514=1,INDEX(tx_DrAmt,508),0)</f>
        <v/>
      </c>
      <c r="K514" s="58">
        <f>IF(H514=1,INDEX(tx_CrAcct,508)&amp;"","")</f>
        <v/>
      </c>
      <c r="L514" s="95">
        <f>IF(H514=1,INDEX(tx_CrAmt,508),0)</f>
        <v/>
      </c>
      <c r="M514" s="95">
        <f>IF(H514=1,INDEX(tx_TaxDr,508),0)</f>
        <v/>
      </c>
      <c r="N514" s="95">
        <f>IF(H514=1,INDEX(tx_TaxCr,508),0)</f>
        <v/>
      </c>
      <c r="O514" s="101">
        <f>IF(H514=1,IF(E514&lt;FYStart,0,IF(E514&gt;FYEnd,13,YEAR(E514)*12+MONTH(E514)-FYYM+1)),"")</f>
        <v/>
      </c>
      <c r="P514" s="101">
        <f>IF(H514=1,IF(IFERROR(INDEX(coa_CF,MATCH(I514,coa_Name,0)),"")="Cash",1,0),0)</f>
        <v/>
      </c>
      <c r="Q514" s="101">
        <f>IF(H514=1,IF(IFERROR(INDEX(coa_CF,MATCH(K514,coa_Name,0)),"")="Cash",1,0),0)</f>
        <v/>
      </c>
      <c r="R514" s="58">
        <f>IF((P514-Q514)=0,"",IFERROR(INDEX(coa_CF,MATCH(IF((P514-Q514)=1,K514,I514),coa_Name,0)),"Operating"))</f>
        <v/>
      </c>
      <c r="S514" s="95">
        <f>IF((P514-Q514)=1,L514,IF((P514-Q514)=-1,-J514,0))</f>
        <v/>
      </c>
      <c r="T514" s="95">
        <f>IF((P514-Q514)=1,N514,IF((P514-Q514)=-1,-M514,0))</f>
        <v/>
      </c>
      <c r="U514" s="101">
        <f>IF(AND(H514=1,LedAcct&lt;&gt;""),IF(AND(E514&gt;=LedFrom,E514&lt;=LedTo,OR(I514=LedAcct,K514=LedAcct,AND(LedAcct=acctTax,M514+N514&lt;&gt;0))),E514*10000+B514,""),"")</f>
        <v/>
      </c>
    </row>
    <row r="515">
      <c r="B515" s="101" t="n">
        <v>509</v>
      </c>
      <c r="C515" s="58" t="inlineStr">
        <is>
          <t>Transaction</t>
        </is>
      </c>
      <c r="D515" s="58">
        <f>IF(H515=1,INDEX(tx_ID,509)&amp;"","")</f>
        <v/>
      </c>
      <c r="E515" s="94">
        <f>IF(H515=1,INDEX(tx_Date,509),"")</f>
        <v/>
      </c>
      <c r="F515" s="58">
        <f>IF(H515=1,INDEX(tx_Desc,509)&amp;"","")</f>
        <v/>
      </c>
      <c r="G515" s="58">
        <f>IF(H515=1,IF(INDEX(tx_Cust,509)&amp;""&lt;&gt;"",INDEX(tx_Cust,509)&amp;"",INDEX(tx_Vend,509)&amp;""),"")</f>
        <v/>
      </c>
      <c r="H515" s="101">
        <f>IFERROR(N(INDEX(tx_Posted,509)),0)</f>
        <v/>
      </c>
      <c r="I515" s="58">
        <f>IF(H515=1,INDEX(tx_DrAcct,509)&amp;"","")</f>
        <v/>
      </c>
      <c r="J515" s="95">
        <f>IF(H515=1,INDEX(tx_DrAmt,509),0)</f>
        <v/>
      </c>
      <c r="K515" s="58">
        <f>IF(H515=1,INDEX(tx_CrAcct,509)&amp;"","")</f>
        <v/>
      </c>
      <c r="L515" s="95">
        <f>IF(H515=1,INDEX(tx_CrAmt,509),0)</f>
        <v/>
      </c>
      <c r="M515" s="95">
        <f>IF(H515=1,INDEX(tx_TaxDr,509),0)</f>
        <v/>
      </c>
      <c r="N515" s="95">
        <f>IF(H515=1,INDEX(tx_TaxCr,509),0)</f>
        <v/>
      </c>
      <c r="O515" s="101">
        <f>IF(H515=1,IF(E515&lt;FYStart,0,IF(E515&gt;FYEnd,13,YEAR(E515)*12+MONTH(E515)-FYYM+1)),"")</f>
        <v/>
      </c>
      <c r="P515" s="101">
        <f>IF(H515=1,IF(IFERROR(INDEX(coa_CF,MATCH(I515,coa_Name,0)),"")="Cash",1,0),0)</f>
        <v/>
      </c>
      <c r="Q515" s="101">
        <f>IF(H515=1,IF(IFERROR(INDEX(coa_CF,MATCH(K515,coa_Name,0)),"")="Cash",1,0),0)</f>
        <v/>
      </c>
      <c r="R515" s="58">
        <f>IF((P515-Q515)=0,"",IFERROR(INDEX(coa_CF,MATCH(IF((P515-Q515)=1,K515,I515),coa_Name,0)),"Operating"))</f>
        <v/>
      </c>
      <c r="S515" s="95">
        <f>IF((P515-Q515)=1,L515,IF((P515-Q515)=-1,-J515,0))</f>
        <v/>
      </c>
      <c r="T515" s="95">
        <f>IF((P515-Q515)=1,N515,IF((P515-Q515)=-1,-M515,0))</f>
        <v/>
      </c>
      <c r="U515" s="101">
        <f>IF(AND(H515=1,LedAcct&lt;&gt;""),IF(AND(E515&gt;=LedFrom,E515&lt;=LedTo,OR(I515=LedAcct,K515=LedAcct,AND(LedAcct=acctTax,M515+N515&lt;&gt;0))),E515*10000+B515,""),"")</f>
        <v/>
      </c>
    </row>
    <row r="516">
      <c r="B516" s="101" t="n">
        <v>510</v>
      </c>
      <c r="C516" s="58" t="inlineStr">
        <is>
          <t>Transaction</t>
        </is>
      </c>
      <c r="D516" s="58">
        <f>IF(H516=1,INDEX(tx_ID,510)&amp;"","")</f>
        <v/>
      </c>
      <c r="E516" s="94">
        <f>IF(H516=1,INDEX(tx_Date,510),"")</f>
        <v/>
      </c>
      <c r="F516" s="58">
        <f>IF(H516=1,INDEX(tx_Desc,510)&amp;"","")</f>
        <v/>
      </c>
      <c r="G516" s="58">
        <f>IF(H516=1,IF(INDEX(tx_Cust,510)&amp;""&lt;&gt;"",INDEX(tx_Cust,510)&amp;"",INDEX(tx_Vend,510)&amp;""),"")</f>
        <v/>
      </c>
      <c r="H516" s="101">
        <f>IFERROR(N(INDEX(tx_Posted,510)),0)</f>
        <v/>
      </c>
      <c r="I516" s="58">
        <f>IF(H516=1,INDEX(tx_DrAcct,510)&amp;"","")</f>
        <v/>
      </c>
      <c r="J516" s="95">
        <f>IF(H516=1,INDEX(tx_DrAmt,510),0)</f>
        <v/>
      </c>
      <c r="K516" s="58">
        <f>IF(H516=1,INDEX(tx_CrAcct,510)&amp;"","")</f>
        <v/>
      </c>
      <c r="L516" s="95">
        <f>IF(H516=1,INDEX(tx_CrAmt,510),0)</f>
        <v/>
      </c>
      <c r="M516" s="95">
        <f>IF(H516=1,INDEX(tx_TaxDr,510),0)</f>
        <v/>
      </c>
      <c r="N516" s="95">
        <f>IF(H516=1,INDEX(tx_TaxCr,510),0)</f>
        <v/>
      </c>
      <c r="O516" s="101">
        <f>IF(H516=1,IF(E516&lt;FYStart,0,IF(E516&gt;FYEnd,13,YEAR(E516)*12+MONTH(E516)-FYYM+1)),"")</f>
        <v/>
      </c>
      <c r="P516" s="101">
        <f>IF(H516=1,IF(IFERROR(INDEX(coa_CF,MATCH(I516,coa_Name,0)),"")="Cash",1,0),0)</f>
        <v/>
      </c>
      <c r="Q516" s="101">
        <f>IF(H516=1,IF(IFERROR(INDEX(coa_CF,MATCH(K516,coa_Name,0)),"")="Cash",1,0),0)</f>
        <v/>
      </c>
      <c r="R516" s="58">
        <f>IF((P516-Q516)=0,"",IFERROR(INDEX(coa_CF,MATCH(IF((P516-Q516)=1,K516,I516),coa_Name,0)),"Operating"))</f>
        <v/>
      </c>
      <c r="S516" s="95">
        <f>IF((P516-Q516)=1,L516,IF((P516-Q516)=-1,-J516,0))</f>
        <v/>
      </c>
      <c r="T516" s="95">
        <f>IF((P516-Q516)=1,N516,IF((P516-Q516)=-1,-M516,0))</f>
        <v/>
      </c>
      <c r="U516" s="101">
        <f>IF(AND(H516=1,LedAcct&lt;&gt;""),IF(AND(E516&gt;=LedFrom,E516&lt;=LedTo,OR(I516=LedAcct,K516=LedAcct,AND(LedAcct=acctTax,M516+N516&lt;&gt;0))),E516*10000+B516,""),"")</f>
        <v/>
      </c>
    </row>
    <row r="517">
      <c r="B517" s="101" t="n">
        <v>511</v>
      </c>
      <c r="C517" s="58" t="inlineStr">
        <is>
          <t>Transaction</t>
        </is>
      </c>
      <c r="D517" s="58">
        <f>IF(H517=1,INDEX(tx_ID,511)&amp;"","")</f>
        <v/>
      </c>
      <c r="E517" s="94">
        <f>IF(H517=1,INDEX(tx_Date,511),"")</f>
        <v/>
      </c>
      <c r="F517" s="58">
        <f>IF(H517=1,INDEX(tx_Desc,511)&amp;"","")</f>
        <v/>
      </c>
      <c r="G517" s="58">
        <f>IF(H517=1,IF(INDEX(tx_Cust,511)&amp;""&lt;&gt;"",INDEX(tx_Cust,511)&amp;"",INDEX(tx_Vend,511)&amp;""),"")</f>
        <v/>
      </c>
      <c r="H517" s="101">
        <f>IFERROR(N(INDEX(tx_Posted,511)),0)</f>
        <v/>
      </c>
      <c r="I517" s="58">
        <f>IF(H517=1,INDEX(tx_DrAcct,511)&amp;"","")</f>
        <v/>
      </c>
      <c r="J517" s="95">
        <f>IF(H517=1,INDEX(tx_DrAmt,511),0)</f>
        <v/>
      </c>
      <c r="K517" s="58">
        <f>IF(H517=1,INDEX(tx_CrAcct,511)&amp;"","")</f>
        <v/>
      </c>
      <c r="L517" s="95">
        <f>IF(H517=1,INDEX(tx_CrAmt,511),0)</f>
        <v/>
      </c>
      <c r="M517" s="95">
        <f>IF(H517=1,INDEX(tx_TaxDr,511),0)</f>
        <v/>
      </c>
      <c r="N517" s="95">
        <f>IF(H517=1,INDEX(tx_TaxCr,511),0)</f>
        <v/>
      </c>
      <c r="O517" s="101">
        <f>IF(H517=1,IF(E517&lt;FYStart,0,IF(E517&gt;FYEnd,13,YEAR(E517)*12+MONTH(E517)-FYYM+1)),"")</f>
        <v/>
      </c>
      <c r="P517" s="101">
        <f>IF(H517=1,IF(IFERROR(INDEX(coa_CF,MATCH(I517,coa_Name,0)),"")="Cash",1,0),0)</f>
        <v/>
      </c>
      <c r="Q517" s="101">
        <f>IF(H517=1,IF(IFERROR(INDEX(coa_CF,MATCH(K517,coa_Name,0)),"")="Cash",1,0),0)</f>
        <v/>
      </c>
      <c r="R517" s="58">
        <f>IF((P517-Q517)=0,"",IFERROR(INDEX(coa_CF,MATCH(IF((P517-Q517)=1,K517,I517),coa_Name,0)),"Operating"))</f>
        <v/>
      </c>
      <c r="S517" s="95">
        <f>IF((P517-Q517)=1,L517,IF((P517-Q517)=-1,-J517,0))</f>
        <v/>
      </c>
      <c r="T517" s="95">
        <f>IF((P517-Q517)=1,N517,IF((P517-Q517)=-1,-M517,0))</f>
        <v/>
      </c>
      <c r="U517" s="101">
        <f>IF(AND(H517=1,LedAcct&lt;&gt;""),IF(AND(E517&gt;=LedFrom,E517&lt;=LedTo,OR(I517=LedAcct,K517=LedAcct,AND(LedAcct=acctTax,M517+N517&lt;&gt;0))),E517*10000+B517,""),"")</f>
        <v/>
      </c>
    </row>
    <row r="518">
      <c r="B518" s="101" t="n">
        <v>512</v>
      </c>
      <c r="C518" s="58" t="inlineStr">
        <is>
          <t>Transaction</t>
        </is>
      </c>
      <c r="D518" s="58">
        <f>IF(H518=1,INDEX(tx_ID,512)&amp;"","")</f>
        <v/>
      </c>
      <c r="E518" s="94">
        <f>IF(H518=1,INDEX(tx_Date,512),"")</f>
        <v/>
      </c>
      <c r="F518" s="58">
        <f>IF(H518=1,INDEX(tx_Desc,512)&amp;"","")</f>
        <v/>
      </c>
      <c r="G518" s="58">
        <f>IF(H518=1,IF(INDEX(tx_Cust,512)&amp;""&lt;&gt;"",INDEX(tx_Cust,512)&amp;"",INDEX(tx_Vend,512)&amp;""),"")</f>
        <v/>
      </c>
      <c r="H518" s="101">
        <f>IFERROR(N(INDEX(tx_Posted,512)),0)</f>
        <v/>
      </c>
      <c r="I518" s="58">
        <f>IF(H518=1,INDEX(tx_DrAcct,512)&amp;"","")</f>
        <v/>
      </c>
      <c r="J518" s="95">
        <f>IF(H518=1,INDEX(tx_DrAmt,512),0)</f>
        <v/>
      </c>
      <c r="K518" s="58">
        <f>IF(H518=1,INDEX(tx_CrAcct,512)&amp;"","")</f>
        <v/>
      </c>
      <c r="L518" s="95">
        <f>IF(H518=1,INDEX(tx_CrAmt,512),0)</f>
        <v/>
      </c>
      <c r="M518" s="95">
        <f>IF(H518=1,INDEX(tx_TaxDr,512),0)</f>
        <v/>
      </c>
      <c r="N518" s="95">
        <f>IF(H518=1,INDEX(tx_TaxCr,512),0)</f>
        <v/>
      </c>
      <c r="O518" s="101">
        <f>IF(H518=1,IF(E518&lt;FYStart,0,IF(E518&gt;FYEnd,13,YEAR(E518)*12+MONTH(E518)-FYYM+1)),"")</f>
        <v/>
      </c>
      <c r="P518" s="101">
        <f>IF(H518=1,IF(IFERROR(INDEX(coa_CF,MATCH(I518,coa_Name,0)),"")="Cash",1,0),0)</f>
        <v/>
      </c>
      <c r="Q518" s="101">
        <f>IF(H518=1,IF(IFERROR(INDEX(coa_CF,MATCH(K518,coa_Name,0)),"")="Cash",1,0),0)</f>
        <v/>
      </c>
      <c r="R518" s="58">
        <f>IF((P518-Q518)=0,"",IFERROR(INDEX(coa_CF,MATCH(IF((P518-Q518)=1,K518,I518),coa_Name,0)),"Operating"))</f>
        <v/>
      </c>
      <c r="S518" s="95">
        <f>IF((P518-Q518)=1,L518,IF((P518-Q518)=-1,-J518,0))</f>
        <v/>
      </c>
      <c r="T518" s="95">
        <f>IF((P518-Q518)=1,N518,IF((P518-Q518)=-1,-M518,0))</f>
        <v/>
      </c>
      <c r="U518" s="101">
        <f>IF(AND(H518=1,LedAcct&lt;&gt;""),IF(AND(E518&gt;=LedFrom,E518&lt;=LedTo,OR(I518=LedAcct,K518=LedAcct,AND(LedAcct=acctTax,M518+N518&lt;&gt;0))),E518*10000+B518,""),"")</f>
        <v/>
      </c>
    </row>
    <row r="519">
      <c r="B519" s="101" t="n">
        <v>513</v>
      </c>
      <c r="C519" s="58" t="inlineStr">
        <is>
          <t>Transaction</t>
        </is>
      </c>
      <c r="D519" s="58">
        <f>IF(H519=1,INDEX(tx_ID,513)&amp;"","")</f>
        <v/>
      </c>
      <c r="E519" s="94">
        <f>IF(H519=1,INDEX(tx_Date,513),"")</f>
        <v/>
      </c>
      <c r="F519" s="58">
        <f>IF(H519=1,INDEX(tx_Desc,513)&amp;"","")</f>
        <v/>
      </c>
      <c r="G519" s="58">
        <f>IF(H519=1,IF(INDEX(tx_Cust,513)&amp;""&lt;&gt;"",INDEX(tx_Cust,513)&amp;"",INDEX(tx_Vend,513)&amp;""),"")</f>
        <v/>
      </c>
      <c r="H519" s="101">
        <f>IFERROR(N(INDEX(tx_Posted,513)),0)</f>
        <v/>
      </c>
      <c r="I519" s="58">
        <f>IF(H519=1,INDEX(tx_DrAcct,513)&amp;"","")</f>
        <v/>
      </c>
      <c r="J519" s="95">
        <f>IF(H519=1,INDEX(tx_DrAmt,513),0)</f>
        <v/>
      </c>
      <c r="K519" s="58">
        <f>IF(H519=1,INDEX(tx_CrAcct,513)&amp;"","")</f>
        <v/>
      </c>
      <c r="L519" s="95">
        <f>IF(H519=1,INDEX(tx_CrAmt,513),0)</f>
        <v/>
      </c>
      <c r="M519" s="95">
        <f>IF(H519=1,INDEX(tx_TaxDr,513),0)</f>
        <v/>
      </c>
      <c r="N519" s="95">
        <f>IF(H519=1,INDEX(tx_TaxCr,513),0)</f>
        <v/>
      </c>
      <c r="O519" s="101">
        <f>IF(H519=1,IF(E519&lt;FYStart,0,IF(E519&gt;FYEnd,13,YEAR(E519)*12+MONTH(E519)-FYYM+1)),"")</f>
        <v/>
      </c>
      <c r="P519" s="101">
        <f>IF(H519=1,IF(IFERROR(INDEX(coa_CF,MATCH(I519,coa_Name,0)),"")="Cash",1,0),0)</f>
        <v/>
      </c>
      <c r="Q519" s="101">
        <f>IF(H519=1,IF(IFERROR(INDEX(coa_CF,MATCH(K519,coa_Name,0)),"")="Cash",1,0),0)</f>
        <v/>
      </c>
      <c r="R519" s="58">
        <f>IF((P519-Q519)=0,"",IFERROR(INDEX(coa_CF,MATCH(IF((P519-Q519)=1,K519,I519),coa_Name,0)),"Operating"))</f>
        <v/>
      </c>
      <c r="S519" s="95">
        <f>IF((P519-Q519)=1,L519,IF((P519-Q519)=-1,-J519,0))</f>
        <v/>
      </c>
      <c r="T519" s="95">
        <f>IF((P519-Q519)=1,N519,IF((P519-Q519)=-1,-M519,0))</f>
        <v/>
      </c>
      <c r="U519" s="101">
        <f>IF(AND(H519=1,LedAcct&lt;&gt;""),IF(AND(E519&gt;=LedFrom,E519&lt;=LedTo,OR(I519=LedAcct,K519=LedAcct,AND(LedAcct=acctTax,M519+N519&lt;&gt;0))),E519*10000+B519,""),"")</f>
        <v/>
      </c>
    </row>
    <row r="520">
      <c r="B520" s="101" t="n">
        <v>514</v>
      </c>
      <c r="C520" s="58" t="inlineStr">
        <is>
          <t>Transaction</t>
        </is>
      </c>
      <c r="D520" s="58">
        <f>IF(H520=1,INDEX(tx_ID,514)&amp;"","")</f>
        <v/>
      </c>
      <c r="E520" s="94">
        <f>IF(H520=1,INDEX(tx_Date,514),"")</f>
        <v/>
      </c>
      <c r="F520" s="58">
        <f>IF(H520=1,INDEX(tx_Desc,514)&amp;"","")</f>
        <v/>
      </c>
      <c r="G520" s="58">
        <f>IF(H520=1,IF(INDEX(tx_Cust,514)&amp;""&lt;&gt;"",INDEX(tx_Cust,514)&amp;"",INDEX(tx_Vend,514)&amp;""),"")</f>
        <v/>
      </c>
      <c r="H520" s="101">
        <f>IFERROR(N(INDEX(tx_Posted,514)),0)</f>
        <v/>
      </c>
      <c r="I520" s="58">
        <f>IF(H520=1,INDEX(tx_DrAcct,514)&amp;"","")</f>
        <v/>
      </c>
      <c r="J520" s="95">
        <f>IF(H520=1,INDEX(tx_DrAmt,514),0)</f>
        <v/>
      </c>
      <c r="K520" s="58">
        <f>IF(H520=1,INDEX(tx_CrAcct,514)&amp;"","")</f>
        <v/>
      </c>
      <c r="L520" s="95">
        <f>IF(H520=1,INDEX(tx_CrAmt,514),0)</f>
        <v/>
      </c>
      <c r="M520" s="95">
        <f>IF(H520=1,INDEX(tx_TaxDr,514),0)</f>
        <v/>
      </c>
      <c r="N520" s="95">
        <f>IF(H520=1,INDEX(tx_TaxCr,514),0)</f>
        <v/>
      </c>
      <c r="O520" s="101">
        <f>IF(H520=1,IF(E520&lt;FYStart,0,IF(E520&gt;FYEnd,13,YEAR(E520)*12+MONTH(E520)-FYYM+1)),"")</f>
        <v/>
      </c>
      <c r="P520" s="101">
        <f>IF(H520=1,IF(IFERROR(INDEX(coa_CF,MATCH(I520,coa_Name,0)),"")="Cash",1,0),0)</f>
        <v/>
      </c>
      <c r="Q520" s="101">
        <f>IF(H520=1,IF(IFERROR(INDEX(coa_CF,MATCH(K520,coa_Name,0)),"")="Cash",1,0),0)</f>
        <v/>
      </c>
      <c r="R520" s="58">
        <f>IF((P520-Q520)=0,"",IFERROR(INDEX(coa_CF,MATCH(IF((P520-Q520)=1,K520,I520),coa_Name,0)),"Operating"))</f>
        <v/>
      </c>
      <c r="S520" s="95">
        <f>IF((P520-Q520)=1,L520,IF((P520-Q520)=-1,-J520,0))</f>
        <v/>
      </c>
      <c r="T520" s="95">
        <f>IF((P520-Q520)=1,N520,IF((P520-Q520)=-1,-M520,0))</f>
        <v/>
      </c>
      <c r="U520" s="101">
        <f>IF(AND(H520=1,LedAcct&lt;&gt;""),IF(AND(E520&gt;=LedFrom,E520&lt;=LedTo,OR(I520=LedAcct,K520=LedAcct,AND(LedAcct=acctTax,M520+N520&lt;&gt;0))),E520*10000+B520,""),"")</f>
        <v/>
      </c>
    </row>
    <row r="521">
      <c r="B521" s="101" t="n">
        <v>515</v>
      </c>
      <c r="C521" s="58" t="inlineStr">
        <is>
          <t>Transaction</t>
        </is>
      </c>
      <c r="D521" s="58">
        <f>IF(H521=1,INDEX(tx_ID,515)&amp;"","")</f>
        <v/>
      </c>
      <c r="E521" s="94">
        <f>IF(H521=1,INDEX(tx_Date,515),"")</f>
        <v/>
      </c>
      <c r="F521" s="58">
        <f>IF(H521=1,INDEX(tx_Desc,515)&amp;"","")</f>
        <v/>
      </c>
      <c r="G521" s="58">
        <f>IF(H521=1,IF(INDEX(tx_Cust,515)&amp;""&lt;&gt;"",INDEX(tx_Cust,515)&amp;"",INDEX(tx_Vend,515)&amp;""),"")</f>
        <v/>
      </c>
      <c r="H521" s="101">
        <f>IFERROR(N(INDEX(tx_Posted,515)),0)</f>
        <v/>
      </c>
      <c r="I521" s="58">
        <f>IF(H521=1,INDEX(tx_DrAcct,515)&amp;"","")</f>
        <v/>
      </c>
      <c r="J521" s="95">
        <f>IF(H521=1,INDEX(tx_DrAmt,515),0)</f>
        <v/>
      </c>
      <c r="K521" s="58">
        <f>IF(H521=1,INDEX(tx_CrAcct,515)&amp;"","")</f>
        <v/>
      </c>
      <c r="L521" s="95">
        <f>IF(H521=1,INDEX(tx_CrAmt,515),0)</f>
        <v/>
      </c>
      <c r="M521" s="95">
        <f>IF(H521=1,INDEX(tx_TaxDr,515),0)</f>
        <v/>
      </c>
      <c r="N521" s="95">
        <f>IF(H521=1,INDEX(tx_TaxCr,515),0)</f>
        <v/>
      </c>
      <c r="O521" s="101">
        <f>IF(H521=1,IF(E521&lt;FYStart,0,IF(E521&gt;FYEnd,13,YEAR(E521)*12+MONTH(E521)-FYYM+1)),"")</f>
        <v/>
      </c>
      <c r="P521" s="101">
        <f>IF(H521=1,IF(IFERROR(INDEX(coa_CF,MATCH(I521,coa_Name,0)),"")="Cash",1,0),0)</f>
        <v/>
      </c>
      <c r="Q521" s="101">
        <f>IF(H521=1,IF(IFERROR(INDEX(coa_CF,MATCH(K521,coa_Name,0)),"")="Cash",1,0),0)</f>
        <v/>
      </c>
      <c r="R521" s="58">
        <f>IF((P521-Q521)=0,"",IFERROR(INDEX(coa_CF,MATCH(IF((P521-Q521)=1,K521,I521),coa_Name,0)),"Operating"))</f>
        <v/>
      </c>
      <c r="S521" s="95">
        <f>IF((P521-Q521)=1,L521,IF((P521-Q521)=-1,-J521,0))</f>
        <v/>
      </c>
      <c r="T521" s="95">
        <f>IF((P521-Q521)=1,N521,IF((P521-Q521)=-1,-M521,0))</f>
        <v/>
      </c>
      <c r="U521" s="101">
        <f>IF(AND(H521=1,LedAcct&lt;&gt;""),IF(AND(E521&gt;=LedFrom,E521&lt;=LedTo,OR(I521=LedAcct,K521=LedAcct,AND(LedAcct=acctTax,M521+N521&lt;&gt;0))),E521*10000+B521,""),"")</f>
        <v/>
      </c>
    </row>
    <row r="522">
      <c r="B522" s="101" t="n">
        <v>516</v>
      </c>
      <c r="C522" s="58" t="inlineStr">
        <is>
          <t>Transaction</t>
        </is>
      </c>
      <c r="D522" s="58">
        <f>IF(H522=1,INDEX(tx_ID,516)&amp;"","")</f>
        <v/>
      </c>
      <c r="E522" s="94">
        <f>IF(H522=1,INDEX(tx_Date,516),"")</f>
        <v/>
      </c>
      <c r="F522" s="58">
        <f>IF(H522=1,INDEX(tx_Desc,516)&amp;"","")</f>
        <v/>
      </c>
      <c r="G522" s="58">
        <f>IF(H522=1,IF(INDEX(tx_Cust,516)&amp;""&lt;&gt;"",INDEX(tx_Cust,516)&amp;"",INDEX(tx_Vend,516)&amp;""),"")</f>
        <v/>
      </c>
      <c r="H522" s="101">
        <f>IFERROR(N(INDEX(tx_Posted,516)),0)</f>
        <v/>
      </c>
      <c r="I522" s="58">
        <f>IF(H522=1,INDEX(tx_DrAcct,516)&amp;"","")</f>
        <v/>
      </c>
      <c r="J522" s="95">
        <f>IF(H522=1,INDEX(tx_DrAmt,516),0)</f>
        <v/>
      </c>
      <c r="K522" s="58">
        <f>IF(H522=1,INDEX(tx_CrAcct,516)&amp;"","")</f>
        <v/>
      </c>
      <c r="L522" s="95">
        <f>IF(H522=1,INDEX(tx_CrAmt,516),0)</f>
        <v/>
      </c>
      <c r="M522" s="95">
        <f>IF(H522=1,INDEX(tx_TaxDr,516),0)</f>
        <v/>
      </c>
      <c r="N522" s="95">
        <f>IF(H522=1,INDEX(tx_TaxCr,516),0)</f>
        <v/>
      </c>
      <c r="O522" s="101">
        <f>IF(H522=1,IF(E522&lt;FYStart,0,IF(E522&gt;FYEnd,13,YEAR(E522)*12+MONTH(E522)-FYYM+1)),"")</f>
        <v/>
      </c>
      <c r="P522" s="101">
        <f>IF(H522=1,IF(IFERROR(INDEX(coa_CF,MATCH(I522,coa_Name,0)),"")="Cash",1,0),0)</f>
        <v/>
      </c>
      <c r="Q522" s="101">
        <f>IF(H522=1,IF(IFERROR(INDEX(coa_CF,MATCH(K522,coa_Name,0)),"")="Cash",1,0),0)</f>
        <v/>
      </c>
      <c r="R522" s="58">
        <f>IF((P522-Q522)=0,"",IFERROR(INDEX(coa_CF,MATCH(IF((P522-Q522)=1,K522,I522),coa_Name,0)),"Operating"))</f>
        <v/>
      </c>
      <c r="S522" s="95">
        <f>IF((P522-Q522)=1,L522,IF((P522-Q522)=-1,-J522,0))</f>
        <v/>
      </c>
      <c r="T522" s="95">
        <f>IF((P522-Q522)=1,N522,IF((P522-Q522)=-1,-M522,0))</f>
        <v/>
      </c>
      <c r="U522" s="101">
        <f>IF(AND(H522=1,LedAcct&lt;&gt;""),IF(AND(E522&gt;=LedFrom,E522&lt;=LedTo,OR(I522=LedAcct,K522=LedAcct,AND(LedAcct=acctTax,M522+N522&lt;&gt;0))),E522*10000+B522,""),"")</f>
        <v/>
      </c>
    </row>
    <row r="523">
      <c r="B523" s="101" t="n">
        <v>517</v>
      </c>
      <c r="C523" s="58" t="inlineStr">
        <is>
          <t>Transaction</t>
        </is>
      </c>
      <c r="D523" s="58">
        <f>IF(H523=1,INDEX(tx_ID,517)&amp;"","")</f>
        <v/>
      </c>
      <c r="E523" s="94">
        <f>IF(H523=1,INDEX(tx_Date,517),"")</f>
        <v/>
      </c>
      <c r="F523" s="58">
        <f>IF(H523=1,INDEX(tx_Desc,517)&amp;"","")</f>
        <v/>
      </c>
      <c r="G523" s="58">
        <f>IF(H523=1,IF(INDEX(tx_Cust,517)&amp;""&lt;&gt;"",INDEX(tx_Cust,517)&amp;"",INDEX(tx_Vend,517)&amp;""),"")</f>
        <v/>
      </c>
      <c r="H523" s="101">
        <f>IFERROR(N(INDEX(tx_Posted,517)),0)</f>
        <v/>
      </c>
      <c r="I523" s="58">
        <f>IF(H523=1,INDEX(tx_DrAcct,517)&amp;"","")</f>
        <v/>
      </c>
      <c r="J523" s="95">
        <f>IF(H523=1,INDEX(tx_DrAmt,517),0)</f>
        <v/>
      </c>
      <c r="K523" s="58">
        <f>IF(H523=1,INDEX(tx_CrAcct,517)&amp;"","")</f>
        <v/>
      </c>
      <c r="L523" s="95">
        <f>IF(H523=1,INDEX(tx_CrAmt,517),0)</f>
        <v/>
      </c>
      <c r="M523" s="95">
        <f>IF(H523=1,INDEX(tx_TaxDr,517),0)</f>
        <v/>
      </c>
      <c r="N523" s="95">
        <f>IF(H523=1,INDEX(tx_TaxCr,517),0)</f>
        <v/>
      </c>
      <c r="O523" s="101">
        <f>IF(H523=1,IF(E523&lt;FYStart,0,IF(E523&gt;FYEnd,13,YEAR(E523)*12+MONTH(E523)-FYYM+1)),"")</f>
        <v/>
      </c>
      <c r="P523" s="101">
        <f>IF(H523=1,IF(IFERROR(INDEX(coa_CF,MATCH(I523,coa_Name,0)),"")="Cash",1,0),0)</f>
        <v/>
      </c>
      <c r="Q523" s="101">
        <f>IF(H523=1,IF(IFERROR(INDEX(coa_CF,MATCH(K523,coa_Name,0)),"")="Cash",1,0),0)</f>
        <v/>
      </c>
      <c r="R523" s="58">
        <f>IF((P523-Q523)=0,"",IFERROR(INDEX(coa_CF,MATCH(IF((P523-Q523)=1,K523,I523),coa_Name,0)),"Operating"))</f>
        <v/>
      </c>
      <c r="S523" s="95">
        <f>IF((P523-Q523)=1,L523,IF((P523-Q523)=-1,-J523,0))</f>
        <v/>
      </c>
      <c r="T523" s="95">
        <f>IF((P523-Q523)=1,N523,IF((P523-Q523)=-1,-M523,0))</f>
        <v/>
      </c>
      <c r="U523" s="101">
        <f>IF(AND(H523=1,LedAcct&lt;&gt;""),IF(AND(E523&gt;=LedFrom,E523&lt;=LedTo,OR(I523=LedAcct,K523=LedAcct,AND(LedAcct=acctTax,M523+N523&lt;&gt;0))),E523*10000+B523,""),"")</f>
        <v/>
      </c>
    </row>
    <row r="524">
      <c r="B524" s="101" t="n">
        <v>518</v>
      </c>
      <c r="C524" s="58" t="inlineStr">
        <is>
          <t>Transaction</t>
        </is>
      </c>
      <c r="D524" s="58">
        <f>IF(H524=1,INDEX(tx_ID,518)&amp;"","")</f>
        <v/>
      </c>
      <c r="E524" s="94">
        <f>IF(H524=1,INDEX(tx_Date,518),"")</f>
        <v/>
      </c>
      <c r="F524" s="58">
        <f>IF(H524=1,INDEX(tx_Desc,518)&amp;"","")</f>
        <v/>
      </c>
      <c r="G524" s="58">
        <f>IF(H524=1,IF(INDEX(tx_Cust,518)&amp;""&lt;&gt;"",INDEX(tx_Cust,518)&amp;"",INDEX(tx_Vend,518)&amp;""),"")</f>
        <v/>
      </c>
      <c r="H524" s="101">
        <f>IFERROR(N(INDEX(tx_Posted,518)),0)</f>
        <v/>
      </c>
      <c r="I524" s="58">
        <f>IF(H524=1,INDEX(tx_DrAcct,518)&amp;"","")</f>
        <v/>
      </c>
      <c r="J524" s="95">
        <f>IF(H524=1,INDEX(tx_DrAmt,518),0)</f>
        <v/>
      </c>
      <c r="K524" s="58">
        <f>IF(H524=1,INDEX(tx_CrAcct,518)&amp;"","")</f>
        <v/>
      </c>
      <c r="L524" s="95">
        <f>IF(H524=1,INDEX(tx_CrAmt,518),0)</f>
        <v/>
      </c>
      <c r="M524" s="95">
        <f>IF(H524=1,INDEX(tx_TaxDr,518),0)</f>
        <v/>
      </c>
      <c r="N524" s="95">
        <f>IF(H524=1,INDEX(tx_TaxCr,518),0)</f>
        <v/>
      </c>
      <c r="O524" s="101">
        <f>IF(H524=1,IF(E524&lt;FYStart,0,IF(E524&gt;FYEnd,13,YEAR(E524)*12+MONTH(E524)-FYYM+1)),"")</f>
        <v/>
      </c>
      <c r="P524" s="101">
        <f>IF(H524=1,IF(IFERROR(INDEX(coa_CF,MATCH(I524,coa_Name,0)),"")="Cash",1,0),0)</f>
        <v/>
      </c>
      <c r="Q524" s="101">
        <f>IF(H524=1,IF(IFERROR(INDEX(coa_CF,MATCH(K524,coa_Name,0)),"")="Cash",1,0),0)</f>
        <v/>
      </c>
      <c r="R524" s="58">
        <f>IF((P524-Q524)=0,"",IFERROR(INDEX(coa_CF,MATCH(IF((P524-Q524)=1,K524,I524),coa_Name,0)),"Operating"))</f>
        <v/>
      </c>
      <c r="S524" s="95">
        <f>IF((P524-Q524)=1,L524,IF((P524-Q524)=-1,-J524,0))</f>
        <v/>
      </c>
      <c r="T524" s="95">
        <f>IF((P524-Q524)=1,N524,IF((P524-Q524)=-1,-M524,0))</f>
        <v/>
      </c>
      <c r="U524" s="101">
        <f>IF(AND(H524=1,LedAcct&lt;&gt;""),IF(AND(E524&gt;=LedFrom,E524&lt;=LedTo,OR(I524=LedAcct,K524=LedAcct,AND(LedAcct=acctTax,M524+N524&lt;&gt;0))),E524*10000+B524,""),"")</f>
        <v/>
      </c>
    </row>
    <row r="525">
      <c r="B525" s="101" t="n">
        <v>519</v>
      </c>
      <c r="C525" s="58" t="inlineStr">
        <is>
          <t>Transaction</t>
        </is>
      </c>
      <c r="D525" s="58">
        <f>IF(H525=1,INDEX(tx_ID,519)&amp;"","")</f>
        <v/>
      </c>
      <c r="E525" s="94">
        <f>IF(H525=1,INDEX(tx_Date,519),"")</f>
        <v/>
      </c>
      <c r="F525" s="58">
        <f>IF(H525=1,INDEX(tx_Desc,519)&amp;"","")</f>
        <v/>
      </c>
      <c r="G525" s="58">
        <f>IF(H525=1,IF(INDEX(tx_Cust,519)&amp;""&lt;&gt;"",INDEX(tx_Cust,519)&amp;"",INDEX(tx_Vend,519)&amp;""),"")</f>
        <v/>
      </c>
      <c r="H525" s="101">
        <f>IFERROR(N(INDEX(tx_Posted,519)),0)</f>
        <v/>
      </c>
      <c r="I525" s="58">
        <f>IF(H525=1,INDEX(tx_DrAcct,519)&amp;"","")</f>
        <v/>
      </c>
      <c r="J525" s="95">
        <f>IF(H525=1,INDEX(tx_DrAmt,519),0)</f>
        <v/>
      </c>
      <c r="K525" s="58">
        <f>IF(H525=1,INDEX(tx_CrAcct,519)&amp;"","")</f>
        <v/>
      </c>
      <c r="L525" s="95">
        <f>IF(H525=1,INDEX(tx_CrAmt,519),0)</f>
        <v/>
      </c>
      <c r="M525" s="95">
        <f>IF(H525=1,INDEX(tx_TaxDr,519),0)</f>
        <v/>
      </c>
      <c r="N525" s="95">
        <f>IF(H525=1,INDEX(tx_TaxCr,519),0)</f>
        <v/>
      </c>
      <c r="O525" s="101">
        <f>IF(H525=1,IF(E525&lt;FYStart,0,IF(E525&gt;FYEnd,13,YEAR(E525)*12+MONTH(E525)-FYYM+1)),"")</f>
        <v/>
      </c>
      <c r="P525" s="101">
        <f>IF(H525=1,IF(IFERROR(INDEX(coa_CF,MATCH(I525,coa_Name,0)),"")="Cash",1,0),0)</f>
        <v/>
      </c>
      <c r="Q525" s="101">
        <f>IF(H525=1,IF(IFERROR(INDEX(coa_CF,MATCH(K525,coa_Name,0)),"")="Cash",1,0),0)</f>
        <v/>
      </c>
      <c r="R525" s="58">
        <f>IF((P525-Q525)=0,"",IFERROR(INDEX(coa_CF,MATCH(IF((P525-Q525)=1,K525,I525),coa_Name,0)),"Operating"))</f>
        <v/>
      </c>
      <c r="S525" s="95">
        <f>IF((P525-Q525)=1,L525,IF((P525-Q525)=-1,-J525,0))</f>
        <v/>
      </c>
      <c r="T525" s="95">
        <f>IF((P525-Q525)=1,N525,IF((P525-Q525)=-1,-M525,0))</f>
        <v/>
      </c>
      <c r="U525" s="101">
        <f>IF(AND(H525=1,LedAcct&lt;&gt;""),IF(AND(E525&gt;=LedFrom,E525&lt;=LedTo,OR(I525=LedAcct,K525=LedAcct,AND(LedAcct=acctTax,M525+N525&lt;&gt;0))),E525*10000+B525,""),"")</f>
        <v/>
      </c>
    </row>
    <row r="526">
      <c r="B526" s="101" t="n">
        <v>520</v>
      </c>
      <c r="C526" s="58" t="inlineStr">
        <is>
          <t>Transaction</t>
        </is>
      </c>
      <c r="D526" s="58">
        <f>IF(H526=1,INDEX(tx_ID,520)&amp;"","")</f>
        <v/>
      </c>
      <c r="E526" s="94">
        <f>IF(H526=1,INDEX(tx_Date,520),"")</f>
        <v/>
      </c>
      <c r="F526" s="58">
        <f>IF(H526=1,INDEX(tx_Desc,520)&amp;"","")</f>
        <v/>
      </c>
      <c r="G526" s="58">
        <f>IF(H526=1,IF(INDEX(tx_Cust,520)&amp;""&lt;&gt;"",INDEX(tx_Cust,520)&amp;"",INDEX(tx_Vend,520)&amp;""),"")</f>
        <v/>
      </c>
      <c r="H526" s="101">
        <f>IFERROR(N(INDEX(tx_Posted,520)),0)</f>
        <v/>
      </c>
      <c r="I526" s="58">
        <f>IF(H526=1,INDEX(tx_DrAcct,520)&amp;"","")</f>
        <v/>
      </c>
      <c r="J526" s="95">
        <f>IF(H526=1,INDEX(tx_DrAmt,520),0)</f>
        <v/>
      </c>
      <c r="K526" s="58">
        <f>IF(H526=1,INDEX(tx_CrAcct,520)&amp;"","")</f>
        <v/>
      </c>
      <c r="L526" s="95">
        <f>IF(H526=1,INDEX(tx_CrAmt,520),0)</f>
        <v/>
      </c>
      <c r="M526" s="95">
        <f>IF(H526=1,INDEX(tx_TaxDr,520),0)</f>
        <v/>
      </c>
      <c r="N526" s="95">
        <f>IF(H526=1,INDEX(tx_TaxCr,520),0)</f>
        <v/>
      </c>
      <c r="O526" s="101">
        <f>IF(H526=1,IF(E526&lt;FYStart,0,IF(E526&gt;FYEnd,13,YEAR(E526)*12+MONTH(E526)-FYYM+1)),"")</f>
        <v/>
      </c>
      <c r="P526" s="101">
        <f>IF(H526=1,IF(IFERROR(INDEX(coa_CF,MATCH(I526,coa_Name,0)),"")="Cash",1,0),0)</f>
        <v/>
      </c>
      <c r="Q526" s="101">
        <f>IF(H526=1,IF(IFERROR(INDEX(coa_CF,MATCH(K526,coa_Name,0)),"")="Cash",1,0),0)</f>
        <v/>
      </c>
      <c r="R526" s="58">
        <f>IF((P526-Q526)=0,"",IFERROR(INDEX(coa_CF,MATCH(IF((P526-Q526)=1,K526,I526),coa_Name,0)),"Operating"))</f>
        <v/>
      </c>
      <c r="S526" s="95">
        <f>IF((P526-Q526)=1,L526,IF((P526-Q526)=-1,-J526,0))</f>
        <v/>
      </c>
      <c r="T526" s="95">
        <f>IF((P526-Q526)=1,N526,IF((P526-Q526)=-1,-M526,0))</f>
        <v/>
      </c>
      <c r="U526" s="101">
        <f>IF(AND(H526=1,LedAcct&lt;&gt;""),IF(AND(E526&gt;=LedFrom,E526&lt;=LedTo,OR(I526=LedAcct,K526=LedAcct,AND(LedAcct=acctTax,M526+N526&lt;&gt;0))),E526*10000+B526,""),"")</f>
        <v/>
      </c>
    </row>
    <row r="527">
      <c r="B527" s="101" t="n">
        <v>521</v>
      </c>
      <c r="C527" s="58" t="inlineStr">
        <is>
          <t>Transaction</t>
        </is>
      </c>
      <c r="D527" s="58">
        <f>IF(H527=1,INDEX(tx_ID,521)&amp;"","")</f>
        <v/>
      </c>
      <c r="E527" s="94">
        <f>IF(H527=1,INDEX(tx_Date,521),"")</f>
        <v/>
      </c>
      <c r="F527" s="58">
        <f>IF(H527=1,INDEX(tx_Desc,521)&amp;"","")</f>
        <v/>
      </c>
      <c r="G527" s="58">
        <f>IF(H527=1,IF(INDEX(tx_Cust,521)&amp;""&lt;&gt;"",INDEX(tx_Cust,521)&amp;"",INDEX(tx_Vend,521)&amp;""),"")</f>
        <v/>
      </c>
      <c r="H527" s="101">
        <f>IFERROR(N(INDEX(tx_Posted,521)),0)</f>
        <v/>
      </c>
      <c r="I527" s="58">
        <f>IF(H527=1,INDEX(tx_DrAcct,521)&amp;"","")</f>
        <v/>
      </c>
      <c r="J527" s="95">
        <f>IF(H527=1,INDEX(tx_DrAmt,521),0)</f>
        <v/>
      </c>
      <c r="K527" s="58">
        <f>IF(H527=1,INDEX(tx_CrAcct,521)&amp;"","")</f>
        <v/>
      </c>
      <c r="L527" s="95">
        <f>IF(H527=1,INDEX(tx_CrAmt,521),0)</f>
        <v/>
      </c>
      <c r="M527" s="95">
        <f>IF(H527=1,INDEX(tx_TaxDr,521),0)</f>
        <v/>
      </c>
      <c r="N527" s="95">
        <f>IF(H527=1,INDEX(tx_TaxCr,521),0)</f>
        <v/>
      </c>
      <c r="O527" s="101">
        <f>IF(H527=1,IF(E527&lt;FYStart,0,IF(E527&gt;FYEnd,13,YEAR(E527)*12+MONTH(E527)-FYYM+1)),"")</f>
        <v/>
      </c>
      <c r="P527" s="101">
        <f>IF(H527=1,IF(IFERROR(INDEX(coa_CF,MATCH(I527,coa_Name,0)),"")="Cash",1,0),0)</f>
        <v/>
      </c>
      <c r="Q527" s="101">
        <f>IF(H527=1,IF(IFERROR(INDEX(coa_CF,MATCH(K527,coa_Name,0)),"")="Cash",1,0),0)</f>
        <v/>
      </c>
      <c r="R527" s="58">
        <f>IF((P527-Q527)=0,"",IFERROR(INDEX(coa_CF,MATCH(IF((P527-Q527)=1,K527,I527),coa_Name,0)),"Operating"))</f>
        <v/>
      </c>
      <c r="S527" s="95">
        <f>IF((P527-Q527)=1,L527,IF((P527-Q527)=-1,-J527,0))</f>
        <v/>
      </c>
      <c r="T527" s="95">
        <f>IF((P527-Q527)=1,N527,IF((P527-Q527)=-1,-M527,0))</f>
        <v/>
      </c>
      <c r="U527" s="101">
        <f>IF(AND(H527=1,LedAcct&lt;&gt;""),IF(AND(E527&gt;=LedFrom,E527&lt;=LedTo,OR(I527=LedAcct,K527=LedAcct,AND(LedAcct=acctTax,M527+N527&lt;&gt;0))),E527*10000+B527,""),"")</f>
        <v/>
      </c>
    </row>
    <row r="528">
      <c r="B528" s="101" t="n">
        <v>522</v>
      </c>
      <c r="C528" s="58" t="inlineStr">
        <is>
          <t>Transaction</t>
        </is>
      </c>
      <c r="D528" s="58">
        <f>IF(H528=1,INDEX(tx_ID,522)&amp;"","")</f>
        <v/>
      </c>
      <c r="E528" s="94">
        <f>IF(H528=1,INDEX(tx_Date,522),"")</f>
        <v/>
      </c>
      <c r="F528" s="58">
        <f>IF(H528=1,INDEX(tx_Desc,522)&amp;"","")</f>
        <v/>
      </c>
      <c r="G528" s="58">
        <f>IF(H528=1,IF(INDEX(tx_Cust,522)&amp;""&lt;&gt;"",INDEX(tx_Cust,522)&amp;"",INDEX(tx_Vend,522)&amp;""),"")</f>
        <v/>
      </c>
      <c r="H528" s="101">
        <f>IFERROR(N(INDEX(tx_Posted,522)),0)</f>
        <v/>
      </c>
      <c r="I528" s="58">
        <f>IF(H528=1,INDEX(tx_DrAcct,522)&amp;"","")</f>
        <v/>
      </c>
      <c r="J528" s="95">
        <f>IF(H528=1,INDEX(tx_DrAmt,522),0)</f>
        <v/>
      </c>
      <c r="K528" s="58">
        <f>IF(H528=1,INDEX(tx_CrAcct,522)&amp;"","")</f>
        <v/>
      </c>
      <c r="L528" s="95">
        <f>IF(H528=1,INDEX(tx_CrAmt,522),0)</f>
        <v/>
      </c>
      <c r="M528" s="95">
        <f>IF(H528=1,INDEX(tx_TaxDr,522),0)</f>
        <v/>
      </c>
      <c r="N528" s="95">
        <f>IF(H528=1,INDEX(tx_TaxCr,522),0)</f>
        <v/>
      </c>
      <c r="O528" s="101">
        <f>IF(H528=1,IF(E528&lt;FYStart,0,IF(E528&gt;FYEnd,13,YEAR(E528)*12+MONTH(E528)-FYYM+1)),"")</f>
        <v/>
      </c>
      <c r="P528" s="101">
        <f>IF(H528=1,IF(IFERROR(INDEX(coa_CF,MATCH(I528,coa_Name,0)),"")="Cash",1,0),0)</f>
        <v/>
      </c>
      <c r="Q528" s="101">
        <f>IF(H528=1,IF(IFERROR(INDEX(coa_CF,MATCH(K528,coa_Name,0)),"")="Cash",1,0),0)</f>
        <v/>
      </c>
      <c r="R528" s="58">
        <f>IF((P528-Q528)=0,"",IFERROR(INDEX(coa_CF,MATCH(IF((P528-Q528)=1,K528,I528),coa_Name,0)),"Operating"))</f>
        <v/>
      </c>
      <c r="S528" s="95">
        <f>IF((P528-Q528)=1,L528,IF((P528-Q528)=-1,-J528,0))</f>
        <v/>
      </c>
      <c r="T528" s="95">
        <f>IF((P528-Q528)=1,N528,IF((P528-Q528)=-1,-M528,0))</f>
        <v/>
      </c>
      <c r="U528" s="101">
        <f>IF(AND(H528=1,LedAcct&lt;&gt;""),IF(AND(E528&gt;=LedFrom,E528&lt;=LedTo,OR(I528=LedAcct,K528=LedAcct,AND(LedAcct=acctTax,M528+N528&lt;&gt;0))),E528*10000+B528,""),"")</f>
        <v/>
      </c>
    </row>
    <row r="529">
      <c r="B529" s="101" t="n">
        <v>523</v>
      </c>
      <c r="C529" s="58" t="inlineStr">
        <is>
          <t>Transaction</t>
        </is>
      </c>
      <c r="D529" s="58">
        <f>IF(H529=1,INDEX(tx_ID,523)&amp;"","")</f>
        <v/>
      </c>
      <c r="E529" s="94">
        <f>IF(H529=1,INDEX(tx_Date,523),"")</f>
        <v/>
      </c>
      <c r="F529" s="58">
        <f>IF(H529=1,INDEX(tx_Desc,523)&amp;"","")</f>
        <v/>
      </c>
      <c r="G529" s="58">
        <f>IF(H529=1,IF(INDEX(tx_Cust,523)&amp;""&lt;&gt;"",INDEX(tx_Cust,523)&amp;"",INDEX(tx_Vend,523)&amp;""),"")</f>
        <v/>
      </c>
      <c r="H529" s="101">
        <f>IFERROR(N(INDEX(tx_Posted,523)),0)</f>
        <v/>
      </c>
      <c r="I529" s="58">
        <f>IF(H529=1,INDEX(tx_DrAcct,523)&amp;"","")</f>
        <v/>
      </c>
      <c r="J529" s="95">
        <f>IF(H529=1,INDEX(tx_DrAmt,523),0)</f>
        <v/>
      </c>
      <c r="K529" s="58">
        <f>IF(H529=1,INDEX(tx_CrAcct,523)&amp;"","")</f>
        <v/>
      </c>
      <c r="L529" s="95">
        <f>IF(H529=1,INDEX(tx_CrAmt,523),0)</f>
        <v/>
      </c>
      <c r="M529" s="95">
        <f>IF(H529=1,INDEX(tx_TaxDr,523),0)</f>
        <v/>
      </c>
      <c r="N529" s="95">
        <f>IF(H529=1,INDEX(tx_TaxCr,523),0)</f>
        <v/>
      </c>
      <c r="O529" s="101">
        <f>IF(H529=1,IF(E529&lt;FYStart,0,IF(E529&gt;FYEnd,13,YEAR(E529)*12+MONTH(E529)-FYYM+1)),"")</f>
        <v/>
      </c>
      <c r="P529" s="101">
        <f>IF(H529=1,IF(IFERROR(INDEX(coa_CF,MATCH(I529,coa_Name,0)),"")="Cash",1,0),0)</f>
        <v/>
      </c>
      <c r="Q529" s="101">
        <f>IF(H529=1,IF(IFERROR(INDEX(coa_CF,MATCH(K529,coa_Name,0)),"")="Cash",1,0),0)</f>
        <v/>
      </c>
      <c r="R529" s="58">
        <f>IF((P529-Q529)=0,"",IFERROR(INDEX(coa_CF,MATCH(IF((P529-Q529)=1,K529,I529),coa_Name,0)),"Operating"))</f>
        <v/>
      </c>
      <c r="S529" s="95">
        <f>IF((P529-Q529)=1,L529,IF((P529-Q529)=-1,-J529,0))</f>
        <v/>
      </c>
      <c r="T529" s="95">
        <f>IF((P529-Q529)=1,N529,IF((P529-Q529)=-1,-M529,0))</f>
        <v/>
      </c>
      <c r="U529" s="101">
        <f>IF(AND(H529=1,LedAcct&lt;&gt;""),IF(AND(E529&gt;=LedFrom,E529&lt;=LedTo,OR(I529=LedAcct,K529=LedAcct,AND(LedAcct=acctTax,M529+N529&lt;&gt;0))),E529*10000+B529,""),"")</f>
        <v/>
      </c>
    </row>
    <row r="530">
      <c r="B530" s="101" t="n">
        <v>524</v>
      </c>
      <c r="C530" s="58" t="inlineStr">
        <is>
          <t>Transaction</t>
        </is>
      </c>
      <c r="D530" s="58">
        <f>IF(H530=1,INDEX(tx_ID,524)&amp;"","")</f>
        <v/>
      </c>
      <c r="E530" s="94">
        <f>IF(H530=1,INDEX(tx_Date,524),"")</f>
        <v/>
      </c>
      <c r="F530" s="58">
        <f>IF(H530=1,INDEX(tx_Desc,524)&amp;"","")</f>
        <v/>
      </c>
      <c r="G530" s="58">
        <f>IF(H530=1,IF(INDEX(tx_Cust,524)&amp;""&lt;&gt;"",INDEX(tx_Cust,524)&amp;"",INDEX(tx_Vend,524)&amp;""),"")</f>
        <v/>
      </c>
      <c r="H530" s="101">
        <f>IFERROR(N(INDEX(tx_Posted,524)),0)</f>
        <v/>
      </c>
      <c r="I530" s="58">
        <f>IF(H530=1,INDEX(tx_DrAcct,524)&amp;"","")</f>
        <v/>
      </c>
      <c r="J530" s="95">
        <f>IF(H530=1,INDEX(tx_DrAmt,524),0)</f>
        <v/>
      </c>
      <c r="K530" s="58">
        <f>IF(H530=1,INDEX(tx_CrAcct,524)&amp;"","")</f>
        <v/>
      </c>
      <c r="L530" s="95">
        <f>IF(H530=1,INDEX(tx_CrAmt,524),0)</f>
        <v/>
      </c>
      <c r="M530" s="95">
        <f>IF(H530=1,INDEX(tx_TaxDr,524),0)</f>
        <v/>
      </c>
      <c r="N530" s="95">
        <f>IF(H530=1,INDEX(tx_TaxCr,524),0)</f>
        <v/>
      </c>
      <c r="O530" s="101">
        <f>IF(H530=1,IF(E530&lt;FYStart,0,IF(E530&gt;FYEnd,13,YEAR(E530)*12+MONTH(E530)-FYYM+1)),"")</f>
        <v/>
      </c>
      <c r="P530" s="101">
        <f>IF(H530=1,IF(IFERROR(INDEX(coa_CF,MATCH(I530,coa_Name,0)),"")="Cash",1,0),0)</f>
        <v/>
      </c>
      <c r="Q530" s="101">
        <f>IF(H530=1,IF(IFERROR(INDEX(coa_CF,MATCH(K530,coa_Name,0)),"")="Cash",1,0),0)</f>
        <v/>
      </c>
      <c r="R530" s="58">
        <f>IF((P530-Q530)=0,"",IFERROR(INDEX(coa_CF,MATCH(IF((P530-Q530)=1,K530,I530),coa_Name,0)),"Operating"))</f>
        <v/>
      </c>
      <c r="S530" s="95">
        <f>IF((P530-Q530)=1,L530,IF((P530-Q530)=-1,-J530,0))</f>
        <v/>
      </c>
      <c r="T530" s="95">
        <f>IF((P530-Q530)=1,N530,IF((P530-Q530)=-1,-M530,0))</f>
        <v/>
      </c>
      <c r="U530" s="101">
        <f>IF(AND(H530=1,LedAcct&lt;&gt;""),IF(AND(E530&gt;=LedFrom,E530&lt;=LedTo,OR(I530=LedAcct,K530=LedAcct,AND(LedAcct=acctTax,M530+N530&lt;&gt;0))),E530*10000+B530,""),"")</f>
        <v/>
      </c>
    </row>
    <row r="531">
      <c r="B531" s="101" t="n">
        <v>525</v>
      </c>
      <c r="C531" s="58" t="inlineStr">
        <is>
          <t>Transaction</t>
        </is>
      </c>
      <c r="D531" s="58">
        <f>IF(H531=1,INDEX(tx_ID,525)&amp;"","")</f>
        <v/>
      </c>
      <c r="E531" s="94">
        <f>IF(H531=1,INDEX(tx_Date,525),"")</f>
        <v/>
      </c>
      <c r="F531" s="58">
        <f>IF(H531=1,INDEX(tx_Desc,525)&amp;"","")</f>
        <v/>
      </c>
      <c r="G531" s="58">
        <f>IF(H531=1,IF(INDEX(tx_Cust,525)&amp;""&lt;&gt;"",INDEX(tx_Cust,525)&amp;"",INDEX(tx_Vend,525)&amp;""),"")</f>
        <v/>
      </c>
      <c r="H531" s="101">
        <f>IFERROR(N(INDEX(tx_Posted,525)),0)</f>
        <v/>
      </c>
      <c r="I531" s="58">
        <f>IF(H531=1,INDEX(tx_DrAcct,525)&amp;"","")</f>
        <v/>
      </c>
      <c r="J531" s="95">
        <f>IF(H531=1,INDEX(tx_DrAmt,525),0)</f>
        <v/>
      </c>
      <c r="K531" s="58">
        <f>IF(H531=1,INDEX(tx_CrAcct,525)&amp;"","")</f>
        <v/>
      </c>
      <c r="L531" s="95">
        <f>IF(H531=1,INDEX(tx_CrAmt,525),0)</f>
        <v/>
      </c>
      <c r="M531" s="95">
        <f>IF(H531=1,INDEX(tx_TaxDr,525),0)</f>
        <v/>
      </c>
      <c r="N531" s="95">
        <f>IF(H531=1,INDEX(tx_TaxCr,525),0)</f>
        <v/>
      </c>
      <c r="O531" s="101">
        <f>IF(H531=1,IF(E531&lt;FYStart,0,IF(E531&gt;FYEnd,13,YEAR(E531)*12+MONTH(E531)-FYYM+1)),"")</f>
        <v/>
      </c>
      <c r="P531" s="101">
        <f>IF(H531=1,IF(IFERROR(INDEX(coa_CF,MATCH(I531,coa_Name,0)),"")="Cash",1,0),0)</f>
        <v/>
      </c>
      <c r="Q531" s="101">
        <f>IF(H531=1,IF(IFERROR(INDEX(coa_CF,MATCH(K531,coa_Name,0)),"")="Cash",1,0),0)</f>
        <v/>
      </c>
      <c r="R531" s="58">
        <f>IF((P531-Q531)=0,"",IFERROR(INDEX(coa_CF,MATCH(IF((P531-Q531)=1,K531,I531),coa_Name,0)),"Operating"))</f>
        <v/>
      </c>
      <c r="S531" s="95">
        <f>IF((P531-Q531)=1,L531,IF((P531-Q531)=-1,-J531,0))</f>
        <v/>
      </c>
      <c r="T531" s="95">
        <f>IF((P531-Q531)=1,N531,IF((P531-Q531)=-1,-M531,0))</f>
        <v/>
      </c>
      <c r="U531" s="101">
        <f>IF(AND(H531=1,LedAcct&lt;&gt;""),IF(AND(E531&gt;=LedFrom,E531&lt;=LedTo,OR(I531=LedAcct,K531=LedAcct,AND(LedAcct=acctTax,M531+N531&lt;&gt;0))),E531*10000+B531,""),"")</f>
        <v/>
      </c>
    </row>
    <row r="532">
      <c r="B532" s="101" t="n">
        <v>526</v>
      </c>
      <c r="C532" s="58" t="inlineStr">
        <is>
          <t>Transaction</t>
        </is>
      </c>
      <c r="D532" s="58">
        <f>IF(H532=1,INDEX(tx_ID,526)&amp;"","")</f>
        <v/>
      </c>
      <c r="E532" s="94">
        <f>IF(H532=1,INDEX(tx_Date,526),"")</f>
        <v/>
      </c>
      <c r="F532" s="58">
        <f>IF(H532=1,INDEX(tx_Desc,526)&amp;"","")</f>
        <v/>
      </c>
      <c r="G532" s="58">
        <f>IF(H532=1,IF(INDEX(tx_Cust,526)&amp;""&lt;&gt;"",INDEX(tx_Cust,526)&amp;"",INDEX(tx_Vend,526)&amp;""),"")</f>
        <v/>
      </c>
      <c r="H532" s="101">
        <f>IFERROR(N(INDEX(tx_Posted,526)),0)</f>
        <v/>
      </c>
      <c r="I532" s="58">
        <f>IF(H532=1,INDEX(tx_DrAcct,526)&amp;"","")</f>
        <v/>
      </c>
      <c r="J532" s="95">
        <f>IF(H532=1,INDEX(tx_DrAmt,526),0)</f>
        <v/>
      </c>
      <c r="K532" s="58">
        <f>IF(H532=1,INDEX(tx_CrAcct,526)&amp;"","")</f>
        <v/>
      </c>
      <c r="L532" s="95">
        <f>IF(H532=1,INDEX(tx_CrAmt,526),0)</f>
        <v/>
      </c>
      <c r="M532" s="95">
        <f>IF(H532=1,INDEX(tx_TaxDr,526),0)</f>
        <v/>
      </c>
      <c r="N532" s="95">
        <f>IF(H532=1,INDEX(tx_TaxCr,526),0)</f>
        <v/>
      </c>
      <c r="O532" s="101">
        <f>IF(H532=1,IF(E532&lt;FYStart,0,IF(E532&gt;FYEnd,13,YEAR(E532)*12+MONTH(E532)-FYYM+1)),"")</f>
        <v/>
      </c>
      <c r="P532" s="101">
        <f>IF(H532=1,IF(IFERROR(INDEX(coa_CF,MATCH(I532,coa_Name,0)),"")="Cash",1,0),0)</f>
        <v/>
      </c>
      <c r="Q532" s="101">
        <f>IF(H532=1,IF(IFERROR(INDEX(coa_CF,MATCH(K532,coa_Name,0)),"")="Cash",1,0),0)</f>
        <v/>
      </c>
      <c r="R532" s="58">
        <f>IF((P532-Q532)=0,"",IFERROR(INDEX(coa_CF,MATCH(IF((P532-Q532)=1,K532,I532),coa_Name,0)),"Operating"))</f>
        <v/>
      </c>
      <c r="S532" s="95">
        <f>IF((P532-Q532)=1,L532,IF((P532-Q532)=-1,-J532,0))</f>
        <v/>
      </c>
      <c r="T532" s="95">
        <f>IF((P532-Q532)=1,N532,IF((P532-Q532)=-1,-M532,0))</f>
        <v/>
      </c>
      <c r="U532" s="101">
        <f>IF(AND(H532=1,LedAcct&lt;&gt;""),IF(AND(E532&gt;=LedFrom,E532&lt;=LedTo,OR(I532=LedAcct,K532=LedAcct,AND(LedAcct=acctTax,M532+N532&lt;&gt;0))),E532*10000+B532,""),"")</f>
        <v/>
      </c>
    </row>
    <row r="533">
      <c r="B533" s="101" t="n">
        <v>527</v>
      </c>
      <c r="C533" s="58" t="inlineStr">
        <is>
          <t>Transaction</t>
        </is>
      </c>
      <c r="D533" s="58">
        <f>IF(H533=1,INDEX(tx_ID,527)&amp;"","")</f>
        <v/>
      </c>
      <c r="E533" s="94">
        <f>IF(H533=1,INDEX(tx_Date,527),"")</f>
        <v/>
      </c>
      <c r="F533" s="58">
        <f>IF(H533=1,INDEX(tx_Desc,527)&amp;"","")</f>
        <v/>
      </c>
      <c r="G533" s="58">
        <f>IF(H533=1,IF(INDEX(tx_Cust,527)&amp;""&lt;&gt;"",INDEX(tx_Cust,527)&amp;"",INDEX(tx_Vend,527)&amp;""),"")</f>
        <v/>
      </c>
      <c r="H533" s="101">
        <f>IFERROR(N(INDEX(tx_Posted,527)),0)</f>
        <v/>
      </c>
      <c r="I533" s="58">
        <f>IF(H533=1,INDEX(tx_DrAcct,527)&amp;"","")</f>
        <v/>
      </c>
      <c r="J533" s="95">
        <f>IF(H533=1,INDEX(tx_DrAmt,527),0)</f>
        <v/>
      </c>
      <c r="K533" s="58">
        <f>IF(H533=1,INDEX(tx_CrAcct,527)&amp;"","")</f>
        <v/>
      </c>
      <c r="L533" s="95">
        <f>IF(H533=1,INDEX(tx_CrAmt,527),0)</f>
        <v/>
      </c>
      <c r="M533" s="95">
        <f>IF(H533=1,INDEX(tx_TaxDr,527),0)</f>
        <v/>
      </c>
      <c r="N533" s="95">
        <f>IF(H533=1,INDEX(tx_TaxCr,527),0)</f>
        <v/>
      </c>
      <c r="O533" s="101">
        <f>IF(H533=1,IF(E533&lt;FYStart,0,IF(E533&gt;FYEnd,13,YEAR(E533)*12+MONTH(E533)-FYYM+1)),"")</f>
        <v/>
      </c>
      <c r="P533" s="101">
        <f>IF(H533=1,IF(IFERROR(INDEX(coa_CF,MATCH(I533,coa_Name,0)),"")="Cash",1,0),0)</f>
        <v/>
      </c>
      <c r="Q533" s="101">
        <f>IF(H533=1,IF(IFERROR(INDEX(coa_CF,MATCH(K533,coa_Name,0)),"")="Cash",1,0),0)</f>
        <v/>
      </c>
      <c r="R533" s="58">
        <f>IF((P533-Q533)=0,"",IFERROR(INDEX(coa_CF,MATCH(IF((P533-Q533)=1,K533,I533),coa_Name,0)),"Operating"))</f>
        <v/>
      </c>
      <c r="S533" s="95">
        <f>IF((P533-Q533)=1,L533,IF((P533-Q533)=-1,-J533,0))</f>
        <v/>
      </c>
      <c r="T533" s="95">
        <f>IF((P533-Q533)=1,N533,IF((P533-Q533)=-1,-M533,0))</f>
        <v/>
      </c>
      <c r="U533" s="101">
        <f>IF(AND(H533=1,LedAcct&lt;&gt;""),IF(AND(E533&gt;=LedFrom,E533&lt;=LedTo,OR(I533=LedAcct,K533=LedAcct,AND(LedAcct=acctTax,M533+N533&lt;&gt;0))),E533*10000+B533,""),"")</f>
        <v/>
      </c>
    </row>
    <row r="534">
      <c r="B534" s="101" t="n">
        <v>528</v>
      </c>
      <c r="C534" s="58" t="inlineStr">
        <is>
          <t>Transaction</t>
        </is>
      </c>
      <c r="D534" s="58">
        <f>IF(H534=1,INDEX(tx_ID,528)&amp;"","")</f>
        <v/>
      </c>
      <c r="E534" s="94">
        <f>IF(H534=1,INDEX(tx_Date,528),"")</f>
        <v/>
      </c>
      <c r="F534" s="58">
        <f>IF(H534=1,INDEX(tx_Desc,528)&amp;"","")</f>
        <v/>
      </c>
      <c r="G534" s="58">
        <f>IF(H534=1,IF(INDEX(tx_Cust,528)&amp;""&lt;&gt;"",INDEX(tx_Cust,528)&amp;"",INDEX(tx_Vend,528)&amp;""),"")</f>
        <v/>
      </c>
      <c r="H534" s="101">
        <f>IFERROR(N(INDEX(tx_Posted,528)),0)</f>
        <v/>
      </c>
      <c r="I534" s="58">
        <f>IF(H534=1,INDEX(tx_DrAcct,528)&amp;"","")</f>
        <v/>
      </c>
      <c r="J534" s="95">
        <f>IF(H534=1,INDEX(tx_DrAmt,528),0)</f>
        <v/>
      </c>
      <c r="K534" s="58">
        <f>IF(H534=1,INDEX(tx_CrAcct,528)&amp;"","")</f>
        <v/>
      </c>
      <c r="L534" s="95">
        <f>IF(H534=1,INDEX(tx_CrAmt,528),0)</f>
        <v/>
      </c>
      <c r="M534" s="95">
        <f>IF(H534=1,INDEX(tx_TaxDr,528),0)</f>
        <v/>
      </c>
      <c r="N534" s="95">
        <f>IF(H534=1,INDEX(tx_TaxCr,528),0)</f>
        <v/>
      </c>
      <c r="O534" s="101">
        <f>IF(H534=1,IF(E534&lt;FYStart,0,IF(E534&gt;FYEnd,13,YEAR(E534)*12+MONTH(E534)-FYYM+1)),"")</f>
        <v/>
      </c>
      <c r="P534" s="101">
        <f>IF(H534=1,IF(IFERROR(INDEX(coa_CF,MATCH(I534,coa_Name,0)),"")="Cash",1,0),0)</f>
        <v/>
      </c>
      <c r="Q534" s="101">
        <f>IF(H534=1,IF(IFERROR(INDEX(coa_CF,MATCH(K534,coa_Name,0)),"")="Cash",1,0),0)</f>
        <v/>
      </c>
      <c r="R534" s="58">
        <f>IF((P534-Q534)=0,"",IFERROR(INDEX(coa_CF,MATCH(IF((P534-Q534)=1,K534,I534),coa_Name,0)),"Operating"))</f>
        <v/>
      </c>
      <c r="S534" s="95">
        <f>IF((P534-Q534)=1,L534,IF((P534-Q534)=-1,-J534,0))</f>
        <v/>
      </c>
      <c r="T534" s="95">
        <f>IF((P534-Q534)=1,N534,IF((P534-Q534)=-1,-M534,0))</f>
        <v/>
      </c>
      <c r="U534" s="101">
        <f>IF(AND(H534=1,LedAcct&lt;&gt;""),IF(AND(E534&gt;=LedFrom,E534&lt;=LedTo,OR(I534=LedAcct,K534=LedAcct,AND(LedAcct=acctTax,M534+N534&lt;&gt;0))),E534*10000+B534,""),"")</f>
        <v/>
      </c>
    </row>
    <row r="535">
      <c r="B535" s="101" t="n">
        <v>529</v>
      </c>
      <c r="C535" s="58" t="inlineStr">
        <is>
          <t>Transaction</t>
        </is>
      </c>
      <c r="D535" s="58">
        <f>IF(H535=1,INDEX(tx_ID,529)&amp;"","")</f>
        <v/>
      </c>
      <c r="E535" s="94">
        <f>IF(H535=1,INDEX(tx_Date,529),"")</f>
        <v/>
      </c>
      <c r="F535" s="58">
        <f>IF(H535=1,INDEX(tx_Desc,529)&amp;"","")</f>
        <v/>
      </c>
      <c r="G535" s="58">
        <f>IF(H535=1,IF(INDEX(tx_Cust,529)&amp;""&lt;&gt;"",INDEX(tx_Cust,529)&amp;"",INDEX(tx_Vend,529)&amp;""),"")</f>
        <v/>
      </c>
      <c r="H535" s="101">
        <f>IFERROR(N(INDEX(tx_Posted,529)),0)</f>
        <v/>
      </c>
      <c r="I535" s="58">
        <f>IF(H535=1,INDEX(tx_DrAcct,529)&amp;"","")</f>
        <v/>
      </c>
      <c r="J535" s="95">
        <f>IF(H535=1,INDEX(tx_DrAmt,529),0)</f>
        <v/>
      </c>
      <c r="K535" s="58">
        <f>IF(H535=1,INDEX(tx_CrAcct,529)&amp;"","")</f>
        <v/>
      </c>
      <c r="L535" s="95">
        <f>IF(H535=1,INDEX(tx_CrAmt,529),0)</f>
        <v/>
      </c>
      <c r="M535" s="95">
        <f>IF(H535=1,INDEX(tx_TaxDr,529),0)</f>
        <v/>
      </c>
      <c r="N535" s="95">
        <f>IF(H535=1,INDEX(tx_TaxCr,529),0)</f>
        <v/>
      </c>
      <c r="O535" s="101">
        <f>IF(H535=1,IF(E535&lt;FYStart,0,IF(E535&gt;FYEnd,13,YEAR(E535)*12+MONTH(E535)-FYYM+1)),"")</f>
        <v/>
      </c>
      <c r="P535" s="101">
        <f>IF(H535=1,IF(IFERROR(INDEX(coa_CF,MATCH(I535,coa_Name,0)),"")="Cash",1,0),0)</f>
        <v/>
      </c>
      <c r="Q535" s="101">
        <f>IF(H535=1,IF(IFERROR(INDEX(coa_CF,MATCH(K535,coa_Name,0)),"")="Cash",1,0),0)</f>
        <v/>
      </c>
      <c r="R535" s="58">
        <f>IF((P535-Q535)=0,"",IFERROR(INDEX(coa_CF,MATCH(IF((P535-Q535)=1,K535,I535),coa_Name,0)),"Operating"))</f>
        <v/>
      </c>
      <c r="S535" s="95">
        <f>IF((P535-Q535)=1,L535,IF((P535-Q535)=-1,-J535,0))</f>
        <v/>
      </c>
      <c r="T535" s="95">
        <f>IF((P535-Q535)=1,N535,IF((P535-Q535)=-1,-M535,0))</f>
        <v/>
      </c>
      <c r="U535" s="101">
        <f>IF(AND(H535=1,LedAcct&lt;&gt;""),IF(AND(E535&gt;=LedFrom,E535&lt;=LedTo,OR(I535=LedAcct,K535=LedAcct,AND(LedAcct=acctTax,M535+N535&lt;&gt;0))),E535*10000+B535,""),"")</f>
        <v/>
      </c>
    </row>
    <row r="536">
      <c r="B536" s="101" t="n">
        <v>530</v>
      </c>
      <c r="C536" s="58" t="inlineStr">
        <is>
          <t>Transaction</t>
        </is>
      </c>
      <c r="D536" s="58">
        <f>IF(H536=1,INDEX(tx_ID,530)&amp;"","")</f>
        <v/>
      </c>
      <c r="E536" s="94">
        <f>IF(H536=1,INDEX(tx_Date,530),"")</f>
        <v/>
      </c>
      <c r="F536" s="58">
        <f>IF(H536=1,INDEX(tx_Desc,530)&amp;"","")</f>
        <v/>
      </c>
      <c r="G536" s="58">
        <f>IF(H536=1,IF(INDEX(tx_Cust,530)&amp;""&lt;&gt;"",INDEX(tx_Cust,530)&amp;"",INDEX(tx_Vend,530)&amp;""),"")</f>
        <v/>
      </c>
      <c r="H536" s="101">
        <f>IFERROR(N(INDEX(tx_Posted,530)),0)</f>
        <v/>
      </c>
      <c r="I536" s="58">
        <f>IF(H536=1,INDEX(tx_DrAcct,530)&amp;"","")</f>
        <v/>
      </c>
      <c r="J536" s="95">
        <f>IF(H536=1,INDEX(tx_DrAmt,530),0)</f>
        <v/>
      </c>
      <c r="K536" s="58">
        <f>IF(H536=1,INDEX(tx_CrAcct,530)&amp;"","")</f>
        <v/>
      </c>
      <c r="L536" s="95">
        <f>IF(H536=1,INDEX(tx_CrAmt,530),0)</f>
        <v/>
      </c>
      <c r="M536" s="95">
        <f>IF(H536=1,INDEX(tx_TaxDr,530),0)</f>
        <v/>
      </c>
      <c r="N536" s="95">
        <f>IF(H536=1,INDEX(tx_TaxCr,530),0)</f>
        <v/>
      </c>
      <c r="O536" s="101">
        <f>IF(H536=1,IF(E536&lt;FYStart,0,IF(E536&gt;FYEnd,13,YEAR(E536)*12+MONTH(E536)-FYYM+1)),"")</f>
        <v/>
      </c>
      <c r="P536" s="101">
        <f>IF(H536=1,IF(IFERROR(INDEX(coa_CF,MATCH(I536,coa_Name,0)),"")="Cash",1,0),0)</f>
        <v/>
      </c>
      <c r="Q536" s="101">
        <f>IF(H536=1,IF(IFERROR(INDEX(coa_CF,MATCH(K536,coa_Name,0)),"")="Cash",1,0),0)</f>
        <v/>
      </c>
      <c r="R536" s="58">
        <f>IF((P536-Q536)=0,"",IFERROR(INDEX(coa_CF,MATCH(IF((P536-Q536)=1,K536,I536),coa_Name,0)),"Operating"))</f>
        <v/>
      </c>
      <c r="S536" s="95">
        <f>IF((P536-Q536)=1,L536,IF((P536-Q536)=-1,-J536,0))</f>
        <v/>
      </c>
      <c r="T536" s="95">
        <f>IF((P536-Q536)=1,N536,IF((P536-Q536)=-1,-M536,0))</f>
        <v/>
      </c>
      <c r="U536" s="101">
        <f>IF(AND(H536=1,LedAcct&lt;&gt;""),IF(AND(E536&gt;=LedFrom,E536&lt;=LedTo,OR(I536=LedAcct,K536=LedAcct,AND(LedAcct=acctTax,M536+N536&lt;&gt;0))),E536*10000+B536,""),"")</f>
        <v/>
      </c>
    </row>
    <row r="537">
      <c r="B537" s="101" t="n">
        <v>531</v>
      </c>
      <c r="C537" s="58" t="inlineStr">
        <is>
          <t>Transaction</t>
        </is>
      </c>
      <c r="D537" s="58">
        <f>IF(H537=1,INDEX(tx_ID,531)&amp;"","")</f>
        <v/>
      </c>
      <c r="E537" s="94">
        <f>IF(H537=1,INDEX(tx_Date,531),"")</f>
        <v/>
      </c>
      <c r="F537" s="58">
        <f>IF(H537=1,INDEX(tx_Desc,531)&amp;"","")</f>
        <v/>
      </c>
      <c r="G537" s="58">
        <f>IF(H537=1,IF(INDEX(tx_Cust,531)&amp;""&lt;&gt;"",INDEX(tx_Cust,531)&amp;"",INDEX(tx_Vend,531)&amp;""),"")</f>
        <v/>
      </c>
      <c r="H537" s="101">
        <f>IFERROR(N(INDEX(tx_Posted,531)),0)</f>
        <v/>
      </c>
      <c r="I537" s="58">
        <f>IF(H537=1,INDEX(tx_DrAcct,531)&amp;"","")</f>
        <v/>
      </c>
      <c r="J537" s="95">
        <f>IF(H537=1,INDEX(tx_DrAmt,531),0)</f>
        <v/>
      </c>
      <c r="K537" s="58">
        <f>IF(H537=1,INDEX(tx_CrAcct,531)&amp;"","")</f>
        <v/>
      </c>
      <c r="L537" s="95">
        <f>IF(H537=1,INDEX(tx_CrAmt,531),0)</f>
        <v/>
      </c>
      <c r="M537" s="95">
        <f>IF(H537=1,INDEX(tx_TaxDr,531),0)</f>
        <v/>
      </c>
      <c r="N537" s="95">
        <f>IF(H537=1,INDEX(tx_TaxCr,531),0)</f>
        <v/>
      </c>
      <c r="O537" s="101">
        <f>IF(H537=1,IF(E537&lt;FYStart,0,IF(E537&gt;FYEnd,13,YEAR(E537)*12+MONTH(E537)-FYYM+1)),"")</f>
        <v/>
      </c>
      <c r="P537" s="101">
        <f>IF(H537=1,IF(IFERROR(INDEX(coa_CF,MATCH(I537,coa_Name,0)),"")="Cash",1,0),0)</f>
        <v/>
      </c>
      <c r="Q537" s="101">
        <f>IF(H537=1,IF(IFERROR(INDEX(coa_CF,MATCH(K537,coa_Name,0)),"")="Cash",1,0),0)</f>
        <v/>
      </c>
      <c r="R537" s="58">
        <f>IF((P537-Q537)=0,"",IFERROR(INDEX(coa_CF,MATCH(IF((P537-Q537)=1,K537,I537),coa_Name,0)),"Operating"))</f>
        <v/>
      </c>
      <c r="S537" s="95">
        <f>IF((P537-Q537)=1,L537,IF((P537-Q537)=-1,-J537,0))</f>
        <v/>
      </c>
      <c r="T537" s="95">
        <f>IF((P537-Q537)=1,N537,IF((P537-Q537)=-1,-M537,0))</f>
        <v/>
      </c>
      <c r="U537" s="101">
        <f>IF(AND(H537=1,LedAcct&lt;&gt;""),IF(AND(E537&gt;=LedFrom,E537&lt;=LedTo,OR(I537=LedAcct,K537=LedAcct,AND(LedAcct=acctTax,M537+N537&lt;&gt;0))),E537*10000+B537,""),"")</f>
        <v/>
      </c>
    </row>
    <row r="538">
      <c r="B538" s="101" t="n">
        <v>532</v>
      </c>
      <c r="C538" s="58" t="inlineStr">
        <is>
          <t>Transaction</t>
        </is>
      </c>
      <c r="D538" s="58">
        <f>IF(H538=1,INDEX(tx_ID,532)&amp;"","")</f>
        <v/>
      </c>
      <c r="E538" s="94">
        <f>IF(H538=1,INDEX(tx_Date,532),"")</f>
        <v/>
      </c>
      <c r="F538" s="58">
        <f>IF(H538=1,INDEX(tx_Desc,532)&amp;"","")</f>
        <v/>
      </c>
      <c r="G538" s="58">
        <f>IF(H538=1,IF(INDEX(tx_Cust,532)&amp;""&lt;&gt;"",INDEX(tx_Cust,532)&amp;"",INDEX(tx_Vend,532)&amp;""),"")</f>
        <v/>
      </c>
      <c r="H538" s="101">
        <f>IFERROR(N(INDEX(tx_Posted,532)),0)</f>
        <v/>
      </c>
      <c r="I538" s="58">
        <f>IF(H538=1,INDEX(tx_DrAcct,532)&amp;"","")</f>
        <v/>
      </c>
      <c r="J538" s="95">
        <f>IF(H538=1,INDEX(tx_DrAmt,532),0)</f>
        <v/>
      </c>
      <c r="K538" s="58">
        <f>IF(H538=1,INDEX(tx_CrAcct,532)&amp;"","")</f>
        <v/>
      </c>
      <c r="L538" s="95">
        <f>IF(H538=1,INDEX(tx_CrAmt,532),0)</f>
        <v/>
      </c>
      <c r="M538" s="95">
        <f>IF(H538=1,INDEX(tx_TaxDr,532),0)</f>
        <v/>
      </c>
      <c r="N538" s="95">
        <f>IF(H538=1,INDEX(tx_TaxCr,532),0)</f>
        <v/>
      </c>
      <c r="O538" s="101">
        <f>IF(H538=1,IF(E538&lt;FYStart,0,IF(E538&gt;FYEnd,13,YEAR(E538)*12+MONTH(E538)-FYYM+1)),"")</f>
        <v/>
      </c>
      <c r="P538" s="101">
        <f>IF(H538=1,IF(IFERROR(INDEX(coa_CF,MATCH(I538,coa_Name,0)),"")="Cash",1,0),0)</f>
        <v/>
      </c>
      <c r="Q538" s="101">
        <f>IF(H538=1,IF(IFERROR(INDEX(coa_CF,MATCH(K538,coa_Name,0)),"")="Cash",1,0),0)</f>
        <v/>
      </c>
      <c r="R538" s="58">
        <f>IF((P538-Q538)=0,"",IFERROR(INDEX(coa_CF,MATCH(IF((P538-Q538)=1,K538,I538),coa_Name,0)),"Operating"))</f>
        <v/>
      </c>
      <c r="S538" s="95">
        <f>IF((P538-Q538)=1,L538,IF((P538-Q538)=-1,-J538,0))</f>
        <v/>
      </c>
      <c r="T538" s="95">
        <f>IF((P538-Q538)=1,N538,IF((P538-Q538)=-1,-M538,0))</f>
        <v/>
      </c>
      <c r="U538" s="101">
        <f>IF(AND(H538=1,LedAcct&lt;&gt;""),IF(AND(E538&gt;=LedFrom,E538&lt;=LedTo,OR(I538=LedAcct,K538=LedAcct,AND(LedAcct=acctTax,M538+N538&lt;&gt;0))),E538*10000+B538,""),"")</f>
        <v/>
      </c>
    </row>
    <row r="539">
      <c r="B539" s="101" t="n">
        <v>533</v>
      </c>
      <c r="C539" s="58" t="inlineStr">
        <is>
          <t>Transaction</t>
        </is>
      </c>
      <c r="D539" s="58">
        <f>IF(H539=1,INDEX(tx_ID,533)&amp;"","")</f>
        <v/>
      </c>
      <c r="E539" s="94">
        <f>IF(H539=1,INDEX(tx_Date,533),"")</f>
        <v/>
      </c>
      <c r="F539" s="58">
        <f>IF(H539=1,INDEX(tx_Desc,533)&amp;"","")</f>
        <v/>
      </c>
      <c r="G539" s="58">
        <f>IF(H539=1,IF(INDEX(tx_Cust,533)&amp;""&lt;&gt;"",INDEX(tx_Cust,533)&amp;"",INDEX(tx_Vend,533)&amp;""),"")</f>
        <v/>
      </c>
      <c r="H539" s="101">
        <f>IFERROR(N(INDEX(tx_Posted,533)),0)</f>
        <v/>
      </c>
      <c r="I539" s="58">
        <f>IF(H539=1,INDEX(tx_DrAcct,533)&amp;"","")</f>
        <v/>
      </c>
      <c r="J539" s="95">
        <f>IF(H539=1,INDEX(tx_DrAmt,533),0)</f>
        <v/>
      </c>
      <c r="K539" s="58">
        <f>IF(H539=1,INDEX(tx_CrAcct,533)&amp;"","")</f>
        <v/>
      </c>
      <c r="L539" s="95">
        <f>IF(H539=1,INDEX(tx_CrAmt,533),0)</f>
        <v/>
      </c>
      <c r="M539" s="95">
        <f>IF(H539=1,INDEX(tx_TaxDr,533),0)</f>
        <v/>
      </c>
      <c r="N539" s="95">
        <f>IF(H539=1,INDEX(tx_TaxCr,533),0)</f>
        <v/>
      </c>
      <c r="O539" s="101">
        <f>IF(H539=1,IF(E539&lt;FYStart,0,IF(E539&gt;FYEnd,13,YEAR(E539)*12+MONTH(E539)-FYYM+1)),"")</f>
        <v/>
      </c>
      <c r="P539" s="101">
        <f>IF(H539=1,IF(IFERROR(INDEX(coa_CF,MATCH(I539,coa_Name,0)),"")="Cash",1,0),0)</f>
        <v/>
      </c>
      <c r="Q539" s="101">
        <f>IF(H539=1,IF(IFERROR(INDEX(coa_CF,MATCH(K539,coa_Name,0)),"")="Cash",1,0),0)</f>
        <v/>
      </c>
      <c r="R539" s="58">
        <f>IF((P539-Q539)=0,"",IFERROR(INDEX(coa_CF,MATCH(IF((P539-Q539)=1,K539,I539),coa_Name,0)),"Operating"))</f>
        <v/>
      </c>
      <c r="S539" s="95">
        <f>IF((P539-Q539)=1,L539,IF((P539-Q539)=-1,-J539,0))</f>
        <v/>
      </c>
      <c r="T539" s="95">
        <f>IF((P539-Q539)=1,N539,IF((P539-Q539)=-1,-M539,0))</f>
        <v/>
      </c>
      <c r="U539" s="101">
        <f>IF(AND(H539=1,LedAcct&lt;&gt;""),IF(AND(E539&gt;=LedFrom,E539&lt;=LedTo,OR(I539=LedAcct,K539=LedAcct,AND(LedAcct=acctTax,M539+N539&lt;&gt;0))),E539*10000+B539,""),"")</f>
        <v/>
      </c>
    </row>
    <row r="540">
      <c r="B540" s="101" t="n">
        <v>534</v>
      </c>
      <c r="C540" s="58" t="inlineStr">
        <is>
          <t>Transaction</t>
        </is>
      </c>
      <c r="D540" s="58">
        <f>IF(H540=1,INDEX(tx_ID,534)&amp;"","")</f>
        <v/>
      </c>
      <c r="E540" s="94">
        <f>IF(H540=1,INDEX(tx_Date,534),"")</f>
        <v/>
      </c>
      <c r="F540" s="58">
        <f>IF(H540=1,INDEX(tx_Desc,534)&amp;"","")</f>
        <v/>
      </c>
      <c r="G540" s="58">
        <f>IF(H540=1,IF(INDEX(tx_Cust,534)&amp;""&lt;&gt;"",INDEX(tx_Cust,534)&amp;"",INDEX(tx_Vend,534)&amp;""),"")</f>
        <v/>
      </c>
      <c r="H540" s="101">
        <f>IFERROR(N(INDEX(tx_Posted,534)),0)</f>
        <v/>
      </c>
      <c r="I540" s="58">
        <f>IF(H540=1,INDEX(tx_DrAcct,534)&amp;"","")</f>
        <v/>
      </c>
      <c r="J540" s="95">
        <f>IF(H540=1,INDEX(tx_DrAmt,534),0)</f>
        <v/>
      </c>
      <c r="K540" s="58">
        <f>IF(H540=1,INDEX(tx_CrAcct,534)&amp;"","")</f>
        <v/>
      </c>
      <c r="L540" s="95">
        <f>IF(H540=1,INDEX(tx_CrAmt,534),0)</f>
        <v/>
      </c>
      <c r="M540" s="95">
        <f>IF(H540=1,INDEX(tx_TaxDr,534),0)</f>
        <v/>
      </c>
      <c r="N540" s="95">
        <f>IF(H540=1,INDEX(tx_TaxCr,534),0)</f>
        <v/>
      </c>
      <c r="O540" s="101">
        <f>IF(H540=1,IF(E540&lt;FYStart,0,IF(E540&gt;FYEnd,13,YEAR(E540)*12+MONTH(E540)-FYYM+1)),"")</f>
        <v/>
      </c>
      <c r="P540" s="101">
        <f>IF(H540=1,IF(IFERROR(INDEX(coa_CF,MATCH(I540,coa_Name,0)),"")="Cash",1,0),0)</f>
        <v/>
      </c>
      <c r="Q540" s="101">
        <f>IF(H540=1,IF(IFERROR(INDEX(coa_CF,MATCH(K540,coa_Name,0)),"")="Cash",1,0),0)</f>
        <v/>
      </c>
      <c r="R540" s="58">
        <f>IF((P540-Q540)=0,"",IFERROR(INDEX(coa_CF,MATCH(IF((P540-Q540)=1,K540,I540),coa_Name,0)),"Operating"))</f>
        <v/>
      </c>
      <c r="S540" s="95">
        <f>IF((P540-Q540)=1,L540,IF((P540-Q540)=-1,-J540,0))</f>
        <v/>
      </c>
      <c r="T540" s="95">
        <f>IF((P540-Q540)=1,N540,IF((P540-Q540)=-1,-M540,0))</f>
        <v/>
      </c>
      <c r="U540" s="101">
        <f>IF(AND(H540=1,LedAcct&lt;&gt;""),IF(AND(E540&gt;=LedFrom,E540&lt;=LedTo,OR(I540=LedAcct,K540=LedAcct,AND(LedAcct=acctTax,M540+N540&lt;&gt;0))),E540*10000+B540,""),"")</f>
        <v/>
      </c>
    </row>
    <row r="541">
      <c r="B541" s="101" t="n">
        <v>535</v>
      </c>
      <c r="C541" s="58" t="inlineStr">
        <is>
          <t>Transaction</t>
        </is>
      </c>
      <c r="D541" s="58">
        <f>IF(H541=1,INDEX(tx_ID,535)&amp;"","")</f>
        <v/>
      </c>
      <c r="E541" s="94">
        <f>IF(H541=1,INDEX(tx_Date,535),"")</f>
        <v/>
      </c>
      <c r="F541" s="58">
        <f>IF(H541=1,INDEX(tx_Desc,535)&amp;"","")</f>
        <v/>
      </c>
      <c r="G541" s="58">
        <f>IF(H541=1,IF(INDEX(tx_Cust,535)&amp;""&lt;&gt;"",INDEX(tx_Cust,535)&amp;"",INDEX(tx_Vend,535)&amp;""),"")</f>
        <v/>
      </c>
      <c r="H541" s="101">
        <f>IFERROR(N(INDEX(tx_Posted,535)),0)</f>
        <v/>
      </c>
      <c r="I541" s="58">
        <f>IF(H541=1,INDEX(tx_DrAcct,535)&amp;"","")</f>
        <v/>
      </c>
      <c r="J541" s="95">
        <f>IF(H541=1,INDEX(tx_DrAmt,535),0)</f>
        <v/>
      </c>
      <c r="K541" s="58">
        <f>IF(H541=1,INDEX(tx_CrAcct,535)&amp;"","")</f>
        <v/>
      </c>
      <c r="L541" s="95">
        <f>IF(H541=1,INDEX(tx_CrAmt,535),0)</f>
        <v/>
      </c>
      <c r="M541" s="95">
        <f>IF(H541=1,INDEX(tx_TaxDr,535),0)</f>
        <v/>
      </c>
      <c r="N541" s="95">
        <f>IF(H541=1,INDEX(tx_TaxCr,535),0)</f>
        <v/>
      </c>
      <c r="O541" s="101">
        <f>IF(H541=1,IF(E541&lt;FYStart,0,IF(E541&gt;FYEnd,13,YEAR(E541)*12+MONTH(E541)-FYYM+1)),"")</f>
        <v/>
      </c>
      <c r="P541" s="101">
        <f>IF(H541=1,IF(IFERROR(INDEX(coa_CF,MATCH(I541,coa_Name,0)),"")="Cash",1,0),0)</f>
        <v/>
      </c>
      <c r="Q541" s="101">
        <f>IF(H541=1,IF(IFERROR(INDEX(coa_CF,MATCH(K541,coa_Name,0)),"")="Cash",1,0),0)</f>
        <v/>
      </c>
      <c r="R541" s="58">
        <f>IF((P541-Q541)=0,"",IFERROR(INDEX(coa_CF,MATCH(IF((P541-Q541)=1,K541,I541),coa_Name,0)),"Operating"))</f>
        <v/>
      </c>
      <c r="S541" s="95">
        <f>IF((P541-Q541)=1,L541,IF((P541-Q541)=-1,-J541,0))</f>
        <v/>
      </c>
      <c r="T541" s="95">
        <f>IF((P541-Q541)=1,N541,IF((P541-Q541)=-1,-M541,0))</f>
        <v/>
      </c>
      <c r="U541" s="101">
        <f>IF(AND(H541=1,LedAcct&lt;&gt;""),IF(AND(E541&gt;=LedFrom,E541&lt;=LedTo,OR(I541=LedAcct,K541=LedAcct,AND(LedAcct=acctTax,M541+N541&lt;&gt;0))),E541*10000+B541,""),"")</f>
        <v/>
      </c>
    </row>
    <row r="542">
      <c r="B542" s="101" t="n">
        <v>536</v>
      </c>
      <c r="C542" s="58" t="inlineStr">
        <is>
          <t>Transaction</t>
        </is>
      </c>
      <c r="D542" s="58">
        <f>IF(H542=1,INDEX(tx_ID,536)&amp;"","")</f>
        <v/>
      </c>
      <c r="E542" s="94">
        <f>IF(H542=1,INDEX(tx_Date,536),"")</f>
        <v/>
      </c>
      <c r="F542" s="58">
        <f>IF(H542=1,INDEX(tx_Desc,536)&amp;"","")</f>
        <v/>
      </c>
      <c r="G542" s="58">
        <f>IF(H542=1,IF(INDEX(tx_Cust,536)&amp;""&lt;&gt;"",INDEX(tx_Cust,536)&amp;"",INDEX(tx_Vend,536)&amp;""),"")</f>
        <v/>
      </c>
      <c r="H542" s="101">
        <f>IFERROR(N(INDEX(tx_Posted,536)),0)</f>
        <v/>
      </c>
      <c r="I542" s="58">
        <f>IF(H542=1,INDEX(tx_DrAcct,536)&amp;"","")</f>
        <v/>
      </c>
      <c r="J542" s="95">
        <f>IF(H542=1,INDEX(tx_DrAmt,536),0)</f>
        <v/>
      </c>
      <c r="K542" s="58">
        <f>IF(H542=1,INDEX(tx_CrAcct,536)&amp;"","")</f>
        <v/>
      </c>
      <c r="L542" s="95">
        <f>IF(H542=1,INDEX(tx_CrAmt,536),0)</f>
        <v/>
      </c>
      <c r="M542" s="95">
        <f>IF(H542=1,INDEX(tx_TaxDr,536),0)</f>
        <v/>
      </c>
      <c r="N542" s="95">
        <f>IF(H542=1,INDEX(tx_TaxCr,536),0)</f>
        <v/>
      </c>
      <c r="O542" s="101">
        <f>IF(H542=1,IF(E542&lt;FYStart,0,IF(E542&gt;FYEnd,13,YEAR(E542)*12+MONTH(E542)-FYYM+1)),"")</f>
        <v/>
      </c>
      <c r="P542" s="101">
        <f>IF(H542=1,IF(IFERROR(INDEX(coa_CF,MATCH(I542,coa_Name,0)),"")="Cash",1,0),0)</f>
        <v/>
      </c>
      <c r="Q542" s="101">
        <f>IF(H542=1,IF(IFERROR(INDEX(coa_CF,MATCH(K542,coa_Name,0)),"")="Cash",1,0),0)</f>
        <v/>
      </c>
      <c r="R542" s="58">
        <f>IF((P542-Q542)=0,"",IFERROR(INDEX(coa_CF,MATCH(IF((P542-Q542)=1,K542,I542),coa_Name,0)),"Operating"))</f>
        <v/>
      </c>
      <c r="S542" s="95">
        <f>IF((P542-Q542)=1,L542,IF((P542-Q542)=-1,-J542,0))</f>
        <v/>
      </c>
      <c r="T542" s="95">
        <f>IF((P542-Q542)=1,N542,IF((P542-Q542)=-1,-M542,0))</f>
        <v/>
      </c>
      <c r="U542" s="101">
        <f>IF(AND(H542=1,LedAcct&lt;&gt;""),IF(AND(E542&gt;=LedFrom,E542&lt;=LedTo,OR(I542=LedAcct,K542=LedAcct,AND(LedAcct=acctTax,M542+N542&lt;&gt;0))),E542*10000+B542,""),"")</f>
        <v/>
      </c>
    </row>
    <row r="543">
      <c r="B543" s="101" t="n">
        <v>537</v>
      </c>
      <c r="C543" s="58" t="inlineStr">
        <is>
          <t>Transaction</t>
        </is>
      </c>
      <c r="D543" s="58">
        <f>IF(H543=1,INDEX(tx_ID,537)&amp;"","")</f>
        <v/>
      </c>
      <c r="E543" s="94">
        <f>IF(H543=1,INDEX(tx_Date,537),"")</f>
        <v/>
      </c>
      <c r="F543" s="58">
        <f>IF(H543=1,INDEX(tx_Desc,537)&amp;"","")</f>
        <v/>
      </c>
      <c r="G543" s="58">
        <f>IF(H543=1,IF(INDEX(tx_Cust,537)&amp;""&lt;&gt;"",INDEX(tx_Cust,537)&amp;"",INDEX(tx_Vend,537)&amp;""),"")</f>
        <v/>
      </c>
      <c r="H543" s="101">
        <f>IFERROR(N(INDEX(tx_Posted,537)),0)</f>
        <v/>
      </c>
      <c r="I543" s="58">
        <f>IF(H543=1,INDEX(tx_DrAcct,537)&amp;"","")</f>
        <v/>
      </c>
      <c r="J543" s="95">
        <f>IF(H543=1,INDEX(tx_DrAmt,537),0)</f>
        <v/>
      </c>
      <c r="K543" s="58">
        <f>IF(H543=1,INDEX(tx_CrAcct,537)&amp;"","")</f>
        <v/>
      </c>
      <c r="L543" s="95">
        <f>IF(H543=1,INDEX(tx_CrAmt,537),0)</f>
        <v/>
      </c>
      <c r="M543" s="95">
        <f>IF(H543=1,INDEX(tx_TaxDr,537),0)</f>
        <v/>
      </c>
      <c r="N543" s="95">
        <f>IF(H543=1,INDEX(tx_TaxCr,537),0)</f>
        <v/>
      </c>
      <c r="O543" s="101">
        <f>IF(H543=1,IF(E543&lt;FYStart,0,IF(E543&gt;FYEnd,13,YEAR(E543)*12+MONTH(E543)-FYYM+1)),"")</f>
        <v/>
      </c>
      <c r="P543" s="101">
        <f>IF(H543=1,IF(IFERROR(INDEX(coa_CF,MATCH(I543,coa_Name,0)),"")="Cash",1,0),0)</f>
        <v/>
      </c>
      <c r="Q543" s="101">
        <f>IF(H543=1,IF(IFERROR(INDEX(coa_CF,MATCH(K543,coa_Name,0)),"")="Cash",1,0),0)</f>
        <v/>
      </c>
      <c r="R543" s="58">
        <f>IF((P543-Q543)=0,"",IFERROR(INDEX(coa_CF,MATCH(IF((P543-Q543)=1,K543,I543),coa_Name,0)),"Operating"))</f>
        <v/>
      </c>
      <c r="S543" s="95">
        <f>IF((P543-Q543)=1,L543,IF((P543-Q543)=-1,-J543,0))</f>
        <v/>
      </c>
      <c r="T543" s="95">
        <f>IF((P543-Q543)=1,N543,IF((P543-Q543)=-1,-M543,0))</f>
        <v/>
      </c>
      <c r="U543" s="101">
        <f>IF(AND(H543=1,LedAcct&lt;&gt;""),IF(AND(E543&gt;=LedFrom,E543&lt;=LedTo,OR(I543=LedAcct,K543=LedAcct,AND(LedAcct=acctTax,M543+N543&lt;&gt;0))),E543*10000+B543,""),"")</f>
        <v/>
      </c>
    </row>
    <row r="544">
      <c r="B544" s="101" t="n">
        <v>538</v>
      </c>
      <c r="C544" s="58" t="inlineStr">
        <is>
          <t>Transaction</t>
        </is>
      </c>
      <c r="D544" s="58">
        <f>IF(H544=1,INDEX(tx_ID,538)&amp;"","")</f>
        <v/>
      </c>
      <c r="E544" s="94">
        <f>IF(H544=1,INDEX(tx_Date,538),"")</f>
        <v/>
      </c>
      <c r="F544" s="58">
        <f>IF(H544=1,INDEX(tx_Desc,538)&amp;"","")</f>
        <v/>
      </c>
      <c r="G544" s="58">
        <f>IF(H544=1,IF(INDEX(tx_Cust,538)&amp;""&lt;&gt;"",INDEX(tx_Cust,538)&amp;"",INDEX(tx_Vend,538)&amp;""),"")</f>
        <v/>
      </c>
      <c r="H544" s="101">
        <f>IFERROR(N(INDEX(tx_Posted,538)),0)</f>
        <v/>
      </c>
      <c r="I544" s="58">
        <f>IF(H544=1,INDEX(tx_DrAcct,538)&amp;"","")</f>
        <v/>
      </c>
      <c r="J544" s="95">
        <f>IF(H544=1,INDEX(tx_DrAmt,538),0)</f>
        <v/>
      </c>
      <c r="K544" s="58">
        <f>IF(H544=1,INDEX(tx_CrAcct,538)&amp;"","")</f>
        <v/>
      </c>
      <c r="L544" s="95">
        <f>IF(H544=1,INDEX(tx_CrAmt,538),0)</f>
        <v/>
      </c>
      <c r="M544" s="95">
        <f>IF(H544=1,INDEX(tx_TaxDr,538),0)</f>
        <v/>
      </c>
      <c r="N544" s="95">
        <f>IF(H544=1,INDEX(tx_TaxCr,538),0)</f>
        <v/>
      </c>
      <c r="O544" s="101">
        <f>IF(H544=1,IF(E544&lt;FYStart,0,IF(E544&gt;FYEnd,13,YEAR(E544)*12+MONTH(E544)-FYYM+1)),"")</f>
        <v/>
      </c>
      <c r="P544" s="101">
        <f>IF(H544=1,IF(IFERROR(INDEX(coa_CF,MATCH(I544,coa_Name,0)),"")="Cash",1,0),0)</f>
        <v/>
      </c>
      <c r="Q544" s="101">
        <f>IF(H544=1,IF(IFERROR(INDEX(coa_CF,MATCH(K544,coa_Name,0)),"")="Cash",1,0),0)</f>
        <v/>
      </c>
      <c r="R544" s="58">
        <f>IF((P544-Q544)=0,"",IFERROR(INDEX(coa_CF,MATCH(IF((P544-Q544)=1,K544,I544),coa_Name,0)),"Operating"))</f>
        <v/>
      </c>
      <c r="S544" s="95">
        <f>IF((P544-Q544)=1,L544,IF((P544-Q544)=-1,-J544,0))</f>
        <v/>
      </c>
      <c r="T544" s="95">
        <f>IF((P544-Q544)=1,N544,IF((P544-Q544)=-1,-M544,0))</f>
        <v/>
      </c>
      <c r="U544" s="101">
        <f>IF(AND(H544=1,LedAcct&lt;&gt;""),IF(AND(E544&gt;=LedFrom,E544&lt;=LedTo,OR(I544=LedAcct,K544=LedAcct,AND(LedAcct=acctTax,M544+N544&lt;&gt;0))),E544*10000+B544,""),"")</f>
        <v/>
      </c>
    </row>
    <row r="545">
      <c r="B545" s="101" t="n">
        <v>539</v>
      </c>
      <c r="C545" s="58" t="inlineStr">
        <is>
          <t>Transaction</t>
        </is>
      </c>
      <c r="D545" s="58">
        <f>IF(H545=1,INDEX(tx_ID,539)&amp;"","")</f>
        <v/>
      </c>
      <c r="E545" s="94">
        <f>IF(H545=1,INDEX(tx_Date,539),"")</f>
        <v/>
      </c>
      <c r="F545" s="58">
        <f>IF(H545=1,INDEX(tx_Desc,539)&amp;"","")</f>
        <v/>
      </c>
      <c r="G545" s="58">
        <f>IF(H545=1,IF(INDEX(tx_Cust,539)&amp;""&lt;&gt;"",INDEX(tx_Cust,539)&amp;"",INDEX(tx_Vend,539)&amp;""),"")</f>
        <v/>
      </c>
      <c r="H545" s="101">
        <f>IFERROR(N(INDEX(tx_Posted,539)),0)</f>
        <v/>
      </c>
      <c r="I545" s="58">
        <f>IF(H545=1,INDEX(tx_DrAcct,539)&amp;"","")</f>
        <v/>
      </c>
      <c r="J545" s="95">
        <f>IF(H545=1,INDEX(tx_DrAmt,539),0)</f>
        <v/>
      </c>
      <c r="K545" s="58">
        <f>IF(H545=1,INDEX(tx_CrAcct,539)&amp;"","")</f>
        <v/>
      </c>
      <c r="L545" s="95">
        <f>IF(H545=1,INDEX(tx_CrAmt,539),0)</f>
        <v/>
      </c>
      <c r="M545" s="95">
        <f>IF(H545=1,INDEX(tx_TaxDr,539),0)</f>
        <v/>
      </c>
      <c r="N545" s="95">
        <f>IF(H545=1,INDEX(tx_TaxCr,539),0)</f>
        <v/>
      </c>
      <c r="O545" s="101">
        <f>IF(H545=1,IF(E545&lt;FYStart,0,IF(E545&gt;FYEnd,13,YEAR(E545)*12+MONTH(E545)-FYYM+1)),"")</f>
        <v/>
      </c>
      <c r="P545" s="101">
        <f>IF(H545=1,IF(IFERROR(INDEX(coa_CF,MATCH(I545,coa_Name,0)),"")="Cash",1,0),0)</f>
        <v/>
      </c>
      <c r="Q545" s="101">
        <f>IF(H545=1,IF(IFERROR(INDEX(coa_CF,MATCH(K545,coa_Name,0)),"")="Cash",1,0),0)</f>
        <v/>
      </c>
      <c r="R545" s="58">
        <f>IF((P545-Q545)=0,"",IFERROR(INDEX(coa_CF,MATCH(IF((P545-Q545)=1,K545,I545),coa_Name,0)),"Operating"))</f>
        <v/>
      </c>
      <c r="S545" s="95">
        <f>IF((P545-Q545)=1,L545,IF((P545-Q545)=-1,-J545,0))</f>
        <v/>
      </c>
      <c r="T545" s="95">
        <f>IF((P545-Q545)=1,N545,IF((P545-Q545)=-1,-M545,0))</f>
        <v/>
      </c>
      <c r="U545" s="101">
        <f>IF(AND(H545=1,LedAcct&lt;&gt;""),IF(AND(E545&gt;=LedFrom,E545&lt;=LedTo,OR(I545=LedAcct,K545=LedAcct,AND(LedAcct=acctTax,M545+N545&lt;&gt;0))),E545*10000+B545,""),"")</f>
        <v/>
      </c>
    </row>
    <row r="546">
      <c r="B546" s="101" t="n">
        <v>540</v>
      </c>
      <c r="C546" s="58" t="inlineStr">
        <is>
          <t>Transaction</t>
        </is>
      </c>
      <c r="D546" s="58">
        <f>IF(H546=1,INDEX(tx_ID,540)&amp;"","")</f>
        <v/>
      </c>
      <c r="E546" s="94">
        <f>IF(H546=1,INDEX(tx_Date,540),"")</f>
        <v/>
      </c>
      <c r="F546" s="58">
        <f>IF(H546=1,INDEX(tx_Desc,540)&amp;"","")</f>
        <v/>
      </c>
      <c r="G546" s="58">
        <f>IF(H546=1,IF(INDEX(tx_Cust,540)&amp;""&lt;&gt;"",INDEX(tx_Cust,540)&amp;"",INDEX(tx_Vend,540)&amp;""),"")</f>
        <v/>
      </c>
      <c r="H546" s="101">
        <f>IFERROR(N(INDEX(tx_Posted,540)),0)</f>
        <v/>
      </c>
      <c r="I546" s="58">
        <f>IF(H546=1,INDEX(tx_DrAcct,540)&amp;"","")</f>
        <v/>
      </c>
      <c r="J546" s="95">
        <f>IF(H546=1,INDEX(tx_DrAmt,540),0)</f>
        <v/>
      </c>
      <c r="K546" s="58">
        <f>IF(H546=1,INDEX(tx_CrAcct,540)&amp;"","")</f>
        <v/>
      </c>
      <c r="L546" s="95">
        <f>IF(H546=1,INDEX(tx_CrAmt,540),0)</f>
        <v/>
      </c>
      <c r="M546" s="95">
        <f>IF(H546=1,INDEX(tx_TaxDr,540),0)</f>
        <v/>
      </c>
      <c r="N546" s="95">
        <f>IF(H546=1,INDEX(tx_TaxCr,540),0)</f>
        <v/>
      </c>
      <c r="O546" s="101">
        <f>IF(H546=1,IF(E546&lt;FYStart,0,IF(E546&gt;FYEnd,13,YEAR(E546)*12+MONTH(E546)-FYYM+1)),"")</f>
        <v/>
      </c>
      <c r="P546" s="101">
        <f>IF(H546=1,IF(IFERROR(INDEX(coa_CF,MATCH(I546,coa_Name,0)),"")="Cash",1,0),0)</f>
        <v/>
      </c>
      <c r="Q546" s="101">
        <f>IF(H546=1,IF(IFERROR(INDEX(coa_CF,MATCH(K546,coa_Name,0)),"")="Cash",1,0),0)</f>
        <v/>
      </c>
      <c r="R546" s="58">
        <f>IF((P546-Q546)=0,"",IFERROR(INDEX(coa_CF,MATCH(IF((P546-Q546)=1,K546,I546),coa_Name,0)),"Operating"))</f>
        <v/>
      </c>
      <c r="S546" s="95">
        <f>IF((P546-Q546)=1,L546,IF((P546-Q546)=-1,-J546,0))</f>
        <v/>
      </c>
      <c r="T546" s="95">
        <f>IF((P546-Q546)=1,N546,IF((P546-Q546)=-1,-M546,0))</f>
        <v/>
      </c>
      <c r="U546" s="101">
        <f>IF(AND(H546=1,LedAcct&lt;&gt;""),IF(AND(E546&gt;=LedFrom,E546&lt;=LedTo,OR(I546=LedAcct,K546=LedAcct,AND(LedAcct=acctTax,M546+N546&lt;&gt;0))),E546*10000+B546,""),"")</f>
        <v/>
      </c>
    </row>
    <row r="547">
      <c r="B547" s="101" t="n">
        <v>541</v>
      </c>
      <c r="C547" s="58" t="inlineStr">
        <is>
          <t>Transaction</t>
        </is>
      </c>
      <c r="D547" s="58">
        <f>IF(H547=1,INDEX(tx_ID,541)&amp;"","")</f>
        <v/>
      </c>
      <c r="E547" s="94">
        <f>IF(H547=1,INDEX(tx_Date,541),"")</f>
        <v/>
      </c>
      <c r="F547" s="58">
        <f>IF(H547=1,INDEX(tx_Desc,541)&amp;"","")</f>
        <v/>
      </c>
      <c r="G547" s="58">
        <f>IF(H547=1,IF(INDEX(tx_Cust,541)&amp;""&lt;&gt;"",INDEX(tx_Cust,541)&amp;"",INDEX(tx_Vend,541)&amp;""),"")</f>
        <v/>
      </c>
      <c r="H547" s="101">
        <f>IFERROR(N(INDEX(tx_Posted,541)),0)</f>
        <v/>
      </c>
      <c r="I547" s="58">
        <f>IF(H547=1,INDEX(tx_DrAcct,541)&amp;"","")</f>
        <v/>
      </c>
      <c r="J547" s="95">
        <f>IF(H547=1,INDEX(tx_DrAmt,541),0)</f>
        <v/>
      </c>
      <c r="K547" s="58">
        <f>IF(H547=1,INDEX(tx_CrAcct,541)&amp;"","")</f>
        <v/>
      </c>
      <c r="L547" s="95">
        <f>IF(H547=1,INDEX(tx_CrAmt,541),0)</f>
        <v/>
      </c>
      <c r="M547" s="95">
        <f>IF(H547=1,INDEX(tx_TaxDr,541),0)</f>
        <v/>
      </c>
      <c r="N547" s="95">
        <f>IF(H547=1,INDEX(tx_TaxCr,541),0)</f>
        <v/>
      </c>
      <c r="O547" s="101">
        <f>IF(H547=1,IF(E547&lt;FYStart,0,IF(E547&gt;FYEnd,13,YEAR(E547)*12+MONTH(E547)-FYYM+1)),"")</f>
        <v/>
      </c>
      <c r="P547" s="101">
        <f>IF(H547=1,IF(IFERROR(INDEX(coa_CF,MATCH(I547,coa_Name,0)),"")="Cash",1,0),0)</f>
        <v/>
      </c>
      <c r="Q547" s="101">
        <f>IF(H547=1,IF(IFERROR(INDEX(coa_CF,MATCH(K547,coa_Name,0)),"")="Cash",1,0),0)</f>
        <v/>
      </c>
      <c r="R547" s="58">
        <f>IF((P547-Q547)=0,"",IFERROR(INDEX(coa_CF,MATCH(IF((P547-Q547)=1,K547,I547),coa_Name,0)),"Operating"))</f>
        <v/>
      </c>
      <c r="S547" s="95">
        <f>IF((P547-Q547)=1,L547,IF((P547-Q547)=-1,-J547,0))</f>
        <v/>
      </c>
      <c r="T547" s="95">
        <f>IF((P547-Q547)=1,N547,IF((P547-Q547)=-1,-M547,0))</f>
        <v/>
      </c>
      <c r="U547" s="101">
        <f>IF(AND(H547=1,LedAcct&lt;&gt;""),IF(AND(E547&gt;=LedFrom,E547&lt;=LedTo,OR(I547=LedAcct,K547=LedAcct,AND(LedAcct=acctTax,M547+N547&lt;&gt;0))),E547*10000+B547,""),"")</f>
        <v/>
      </c>
    </row>
    <row r="548">
      <c r="B548" s="101" t="n">
        <v>542</v>
      </c>
      <c r="C548" s="58" t="inlineStr">
        <is>
          <t>Transaction</t>
        </is>
      </c>
      <c r="D548" s="58">
        <f>IF(H548=1,INDEX(tx_ID,542)&amp;"","")</f>
        <v/>
      </c>
      <c r="E548" s="94">
        <f>IF(H548=1,INDEX(tx_Date,542),"")</f>
        <v/>
      </c>
      <c r="F548" s="58">
        <f>IF(H548=1,INDEX(tx_Desc,542)&amp;"","")</f>
        <v/>
      </c>
      <c r="G548" s="58">
        <f>IF(H548=1,IF(INDEX(tx_Cust,542)&amp;""&lt;&gt;"",INDEX(tx_Cust,542)&amp;"",INDEX(tx_Vend,542)&amp;""),"")</f>
        <v/>
      </c>
      <c r="H548" s="101">
        <f>IFERROR(N(INDEX(tx_Posted,542)),0)</f>
        <v/>
      </c>
      <c r="I548" s="58">
        <f>IF(H548=1,INDEX(tx_DrAcct,542)&amp;"","")</f>
        <v/>
      </c>
      <c r="J548" s="95">
        <f>IF(H548=1,INDEX(tx_DrAmt,542),0)</f>
        <v/>
      </c>
      <c r="K548" s="58">
        <f>IF(H548=1,INDEX(tx_CrAcct,542)&amp;"","")</f>
        <v/>
      </c>
      <c r="L548" s="95">
        <f>IF(H548=1,INDEX(tx_CrAmt,542),0)</f>
        <v/>
      </c>
      <c r="M548" s="95">
        <f>IF(H548=1,INDEX(tx_TaxDr,542),0)</f>
        <v/>
      </c>
      <c r="N548" s="95">
        <f>IF(H548=1,INDEX(tx_TaxCr,542),0)</f>
        <v/>
      </c>
      <c r="O548" s="101">
        <f>IF(H548=1,IF(E548&lt;FYStart,0,IF(E548&gt;FYEnd,13,YEAR(E548)*12+MONTH(E548)-FYYM+1)),"")</f>
        <v/>
      </c>
      <c r="P548" s="101">
        <f>IF(H548=1,IF(IFERROR(INDEX(coa_CF,MATCH(I548,coa_Name,0)),"")="Cash",1,0),0)</f>
        <v/>
      </c>
      <c r="Q548" s="101">
        <f>IF(H548=1,IF(IFERROR(INDEX(coa_CF,MATCH(K548,coa_Name,0)),"")="Cash",1,0),0)</f>
        <v/>
      </c>
      <c r="R548" s="58">
        <f>IF((P548-Q548)=0,"",IFERROR(INDEX(coa_CF,MATCH(IF((P548-Q548)=1,K548,I548),coa_Name,0)),"Operating"))</f>
        <v/>
      </c>
      <c r="S548" s="95">
        <f>IF((P548-Q548)=1,L548,IF((P548-Q548)=-1,-J548,0))</f>
        <v/>
      </c>
      <c r="T548" s="95">
        <f>IF((P548-Q548)=1,N548,IF((P548-Q548)=-1,-M548,0))</f>
        <v/>
      </c>
      <c r="U548" s="101">
        <f>IF(AND(H548=1,LedAcct&lt;&gt;""),IF(AND(E548&gt;=LedFrom,E548&lt;=LedTo,OR(I548=LedAcct,K548=LedAcct,AND(LedAcct=acctTax,M548+N548&lt;&gt;0))),E548*10000+B548,""),"")</f>
        <v/>
      </c>
    </row>
    <row r="549">
      <c r="B549" s="101" t="n">
        <v>543</v>
      </c>
      <c r="C549" s="58" t="inlineStr">
        <is>
          <t>Transaction</t>
        </is>
      </c>
      <c r="D549" s="58">
        <f>IF(H549=1,INDEX(tx_ID,543)&amp;"","")</f>
        <v/>
      </c>
      <c r="E549" s="94">
        <f>IF(H549=1,INDEX(tx_Date,543),"")</f>
        <v/>
      </c>
      <c r="F549" s="58">
        <f>IF(H549=1,INDEX(tx_Desc,543)&amp;"","")</f>
        <v/>
      </c>
      <c r="G549" s="58">
        <f>IF(H549=1,IF(INDEX(tx_Cust,543)&amp;""&lt;&gt;"",INDEX(tx_Cust,543)&amp;"",INDEX(tx_Vend,543)&amp;""),"")</f>
        <v/>
      </c>
      <c r="H549" s="101">
        <f>IFERROR(N(INDEX(tx_Posted,543)),0)</f>
        <v/>
      </c>
      <c r="I549" s="58">
        <f>IF(H549=1,INDEX(tx_DrAcct,543)&amp;"","")</f>
        <v/>
      </c>
      <c r="J549" s="95">
        <f>IF(H549=1,INDEX(tx_DrAmt,543),0)</f>
        <v/>
      </c>
      <c r="K549" s="58">
        <f>IF(H549=1,INDEX(tx_CrAcct,543)&amp;"","")</f>
        <v/>
      </c>
      <c r="L549" s="95">
        <f>IF(H549=1,INDEX(tx_CrAmt,543),0)</f>
        <v/>
      </c>
      <c r="M549" s="95">
        <f>IF(H549=1,INDEX(tx_TaxDr,543),0)</f>
        <v/>
      </c>
      <c r="N549" s="95">
        <f>IF(H549=1,INDEX(tx_TaxCr,543),0)</f>
        <v/>
      </c>
      <c r="O549" s="101">
        <f>IF(H549=1,IF(E549&lt;FYStart,0,IF(E549&gt;FYEnd,13,YEAR(E549)*12+MONTH(E549)-FYYM+1)),"")</f>
        <v/>
      </c>
      <c r="P549" s="101">
        <f>IF(H549=1,IF(IFERROR(INDEX(coa_CF,MATCH(I549,coa_Name,0)),"")="Cash",1,0),0)</f>
        <v/>
      </c>
      <c r="Q549" s="101">
        <f>IF(H549=1,IF(IFERROR(INDEX(coa_CF,MATCH(K549,coa_Name,0)),"")="Cash",1,0),0)</f>
        <v/>
      </c>
      <c r="R549" s="58">
        <f>IF((P549-Q549)=0,"",IFERROR(INDEX(coa_CF,MATCH(IF((P549-Q549)=1,K549,I549),coa_Name,0)),"Operating"))</f>
        <v/>
      </c>
      <c r="S549" s="95">
        <f>IF((P549-Q549)=1,L549,IF((P549-Q549)=-1,-J549,0))</f>
        <v/>
      </c>
      <c r="T549" s="95">
        <f>IF((P549-Q549)=1,N549,IF((P549-Q549)=-1,-M549,0))</f>
        <v/>
      </c>
      <c r="U549" s="101">
        <f>IF(AND(H549=1,LedAcct&lt;&gt;""),IF(AND(E549&gt;=LedFrom,E549&lt;=LedTo,OR(I549=LedAcct,K549=LedAcct,AND(LedAcct=acctTax,M549+N549&lt;&gt;0))),E549*10000+B549,""),"")</f>
        <v/>
      </c>
    </row>
    <row r="550">
      <c r="B550" s="101" t="n">
        <v>544</v>
      </c>
      <c r="C550" s="58" t="inlineStr">
        <is>
          <t>Transaction</t>
        </is>
      </c>
      <c r="D550" s="58">
        <f>IF(H550=1,INDEX(tx_ID,544)&amp;"","")</f>
        <v/>
      </c>
      <c r="E550" s="94">
        <f>IF(H550=1,INDEX(tx_Date,544),"")</f>
        <v/>
      </c>
      <c r="F550" s="58">
        <f>IF(H550=1,INDEX(tx_Desc,544)&amp;"","")</f>
        <v/>
      </c>
      <c r="G550" s="58">
        <f>IF(H550=1,IF(INDEX(tx_Cust,544)&amp;""&lt;&gt;"",INDEX(tx_Cust,544)&amp;"",INDEX(tx_Vend,544)&amp;""),"")</f>
        <v/>
      </c>
      <c r="H550" s="101">
        <f>IFERROR(N(INDEX(tx_Posted,544)),0)</f>
        <v/>
      </c>
      <c r="I550" s="58">
        <f>IF(H550=1,INDEX(tx_DrAcct,544)&amp;"","")</f>
        <v/>
      </c>
      <c r="J550" s="95">
        <f>IF(H550=1,INDEX(tx_DrAmt,544),0)</f>
        <v/>
      </c>
      <c r="K550" s="58">
        <f>IF(H550=1,INDEX(tx_CrAcct,544)&amp;"","")</f>
        <v/>
      </c>
      <c r="L550" s="95">
        <f>IF(H550=1,INDEX(tx_CrAmt,544),0)</f>
        <v/>
      </c>
      <c r="M550" s="95">
        <f>IF(H550=1,INDEX(tx_TaxDr,544),0)</f>
        <v/>
      </c>
      <c r="N550" s="95">
        <f>IF(H550=1,INDEX(tx_TaxCr,544),0)</f>
        <v/>
      </c>
      <c r="O550" s="101">
        <f>IF(H550=1,IF(E550&lt;FYStart,0,IF(E550&gt;FYEnd,13,YEAR(E550)*12+MONTH(E550)-FYYM+1)),"")</f>
        <v/>
      </c>
      <c r="P550" s="101">
        <f>IF(H550=1,IF(IFERROR(INDEX(coa_CF,MATCH(I550,coa_Name,0)),"")="Cash",1,0),0)</f>
        <v/>
      </c>
      <c r="Q550" s="101">
        <f>IF(H550=1,IF(IFERROR(INDEX(coa_CF,MATCH(K550,coa_Name,0)),"")="Cash",1,0),0)</f>
        <v/>
      </c>
      <c r="R550" s="58">
        <f>IF((P550-Q550)=0,"",IFERROR(INDEX(coa_CF,MATCH(IF((P550-Q550)=1,K550,I550),coa_Name,0)),"Operating"))</f>
        <v/>
      </c>
      <c r="S550" s="95">
        <f>IF((P550-Q550)=1,L550,IF((P550-Q550)=-1,-J550,0))</f>
        <v/>
      </c>
      <c r="T550" s="95">
        <f>IF((P550-Q550)=1,N550,IF((P550-Q550)=-1,-M550,0))</f>
        <v/>
      </c>
      <c r="U550" s="101">
        <f>IF(AND(H550=1,LedAcct&lt;&gt;""),IF(AND(E550&gt;=LedFrom,E550&lt;=LedTo,OR(I550=LedAcct,K550=LedAcct,AND(LedAcct=acctTax,M550+N550&lt;&gt;0))),E550*10000+B550,""),"")</f>
        <v/>
      </c>
    </row>
    <row r="551">
      <c r="B551" s="101" t="n">
        <v>545</v>
      </c>
      <c r="C551" s="58" t="inlineStr">
        <is>
          <t>Transaction</t>
        </is>
      </c>
      <c r="D551" s="58">
        <f>IF(H551=1,INDEX(tx_ID,545)&amp;"","")</f>
        <v/>
      </c>
      <c r="E551" s="94">
        <f>IF(H551=1,INDEX(tx_Date,545),"")</f>
        <v/>
      </c>
      <c r="F551" s="58">
        <f>IF(H551=1,INDEX(tx_Desc,545)&amp;"","")</f>
        <v/>
      </c>
      <c r="G551" s="58">
        <f>IF(H551=1,IF(INDEX(tx_Cust,545)&amp;""&lt;&gt;"",INDEX(tx_Cust,545)&amp;"",INDEX(tx_Vend,545)&amp;""),"")</f>
        <v/>
      </c>
      <c r="H551" s="101">
        <f>IFERROR(N(INDEX(tx_Posted,545)),0)</f>
        <v/>
      </c>
      <c r="I551" s="58">
        <f>IF(H551=1,INDEX(tx_DrAcct,545)&amp;"","")</f>
        <v/>
      </c>
      <c r="J551" s="95">
        <f>IF(H551=1,INDEX(tx_DrAmt,545),0)</f>
        <v/>
      </c>
      <c r="K551" s="58">
        <f>IF(H551=1,INDEX(tx_CrAcct,545)&amp;"","")</f>
        <v/>
      </c>
      <c r="L551" s="95">
        <f>IF(H551=1,INDEX(tx_CrAmt,545),0)</f>
        <v/>
      </c>
      <c r="M551" s="95">
        <f>IF(H551=1,INDEX(tx_TaxDr,545),0)</f>
        <v/>
      </c>
      <c r="N551" s="95">
        <f>IF(H551=1,INDEX(tx_TaxCr,545),0)</f>
        <v/>
      </c>
      <c r="O551" s="101">
        <f>IF(H551=1,IF(E551&lt;FYStart,0,IF(E551&gt;FYEnd,13,YEAR(E551)*12+MONTH(E551)-FYYM+1)),"")</f>
        <v/>
      </c>
      <c r="P551" s="101">
        <f>IF(H551=1,IF(IFERROR(INDEX(coa_CF,MATCH(I551,coa_Name,0)),"")="Cash",1,0),0)</f>
        <v/>
      </c>
      <c r="Q551" s="101">
        <f>IF(H551=1,IF(IFERROR(INDEX(coa_CF,MATCH(K551,coa_Name,0)),"")="Cash",1,0),0)</f>
        <v/>
      </c>
      <c r="R551" s="58">
        <f>IF((P551-Q551)=0,"",IFERROR(INDEX(coa_CF,MATCH(IF((P551-Q551)=1,K551,I551),coa_Name,0)),"Operating"))</f>
        <v/>
      </c>
      <c r="S551" s="95">
        <f>IF((P551-Q551)=1,L551,IF((P551-Q551)=-1,-J551,0))</f>
        <v/>
      </c>
      <c r="T551" s="95">
        <f>IF((P551-Q551)=1,N551,IF((P551-Q551)=-1,-M551,0))</f>
        <v/>
      </c>
      <c r="U551" s="101">
        <f>IF(AND(H551=1,LedAcct&lt;&gt;""),IF(AND(E551&gt;=LedFrom,E551&lt;=LedTo,OR(I551=LedAcct,K551=LedAcct,AND(LedAcct=acctTax,M551+N551&lt;&gt;0))),E551*10000+B551,""),"")</f>
        <v/>
      </c>
    </row>
    <row r="552">
      <c r="B552" s="101" t="n">
        <v>546</v>
      </c>
      <c r="C552" s="58" t="inlineStr">
        <is>
          <t>Transaction</t>
        </is>
      </c>
      <c r="D552" s="58">
        <f>IF(H552=1,INDEX(tx_ID,546)&amp;"","")</f>
        <v/>
      </c>
      <c r="E552" s="94">
        <f>IF(H552=1,INDEX(tx_Date,546),"")</f>
        <v/>
      </c>
      <c r="F552" s="58">
        <f>IF(H552=1,INDEX(tx_Desc,546)&amp;"","")</f>
        <v/>
      </c>
      <c r="G552" s="58">
        <f>IF(H552=1,IF(INDEX(tx_Cust,546)&amp;""&lt;&gt;"",INDEX(tx_Cust,546)&amp;"",INDEX(tx_Vend,546)&amp;""),"")</f>
        <v/>
      </c>
      <c r="H552" s="101">
        <f>IFERROR(N(INDEX(tx_Posted,546)),0)</f>
        <v/>
      </c>
      <c r="I552" s="58">
        <f>IF(H552=1,INDEX(tx_DrAcct,546)&amp;"","")</f>
        <v/>
      </c>
      <c r="J552" s="95">
        <f>IF(H552=1,INDEX(tx_DrAmt,546),0)</f>
        <v/>
      </c>
      <c r="K552" s="58">
        <f>IF(H552=1,INDEX(tx_CrAcct,546)&amp;"","")</f>
        <v/>
      </c>
      <c r="L552" s="95">
        <f>IF(H552=1,INDEX(tx_CrAmt,546),0)</f>
        <v/>
      </c>
      <c r="M552" s="95">
        <f>IF(H552=1,INDEX(tx_TaxDr,546),0)</f>
        <v/>
      </c>
      <c r="N552" s="95">
        <f>IF(H552=1,INDEX(tx_TaxCr,546),0)</f>
        <v/>
      </c>
      <c r="O552" s="101">
        <f>IF(H552=1,IF(E552&lt;FYStart,0,IF(E552&gt;FYEnd,13,YEAR(E552)*12+MONTH(E552)-FYYM+1)),"")</f>
        <v/>
      </c>
      <c r="P552" s="101">
        <f>IF(H552=1,IF(IFERROR(INDEX(coa_CF,MATCH(I552,coa_Name,0)),"")="Cash",1,0),0)</f>
        <v/>
      </c>
      <c r="Q552" s="101">
        <f>IF(H552=1,IF(IFERROR(INDEX(coa_CF,MATCH(K552,coa_Name,0)),"")="Cash",1,0),0)</f>
        <v/>
      </c>
      <c r="R552" s="58">
        <f>IF((P552-Q552)=0,"",IFERROR(INDEX(coa_CF,MATCH(IF((P552-Q552)=1,K552,I552),coa_Name,0)),"Operating"))</f>
        <v/>
      </c>
      <c r="S552" s="95">
        <f>IF((P552-Q552)=1,L552,IF((P552-Q552)=-1,-J552,0))</f>
        <v/>
      </c>
      <c r="T552" s="95">
        <f>IF((P552-Q552)=1,N552,IF((P552-Q552)=-1,-M552,0))</f>
        <v/>
      </c>
      <c r="U552" s="101">
        <f>IF(AND(H552=1,LedAcct&lt;&gt;""),IF(AND(E552&gt;=LedFrom,E552&lt;=LedTo,OR(I552=LedAcct,K552=LedAcct,AND(LedAcct=acctTax,M552+N552&lt;&gt;0))),E552*10000+B552,""),"")</f>
        <v/>
      </c>
    </row>
    <row r="553">
      <c r="B553" s="101" t="n">
        <v>547</v>
      </c>
      <c r="C553" s="58" t="inlineStr">
        <is>
          <t>Transaction</t>
        </is>
      </c>
      <c r="D553" s="58">
        <f>IF(H553=1,INDEX(tx_ID,547)&amp;"","")</f>
        <v/>
      </c>
      <c r="E553" s="94">
        <f>IF(H553=1,INDEX(tx_Date,547),"")</f>
        <v/>
      </c>
      <c r="F553" s="58">
        <f>IF(H553=1,INDEX(tx_Desc,547)&amp;"","")</f>
        <v/>
      </c>
      <c r="G553" s="58">
        <f>IF(H553=1,IF(INDEX(tx_Cust,547)&amp;""&lt;&gt;"",INDEX(tx_Cust,547)&amp;"",INDEX(tx_Vend,547)&amp;""),"")</f>
        <v/>
      </c>
      <c r="H553" s="101">
        <f>IFERROR(N(INDEX(tx_Posted,547)),0)</f>
        <v/>
      </c>
      <c r="I553" s="58">
        <f>IF(H553=1,INDEX(tx_DrAcct,547)&amp;"","")</f>
        <v/>
      </c>
      <c r="J553" s="95">
        <f>IF(H553=1,INDEX(tx_DrAmt,547),0)</f>
        <v/>
      </c>
      <c r="K553" s="58">
        <f>IF(H553=1,INDEX(tx_CrAcct,547)&amp;"","")</f>
        <v/>
      </c>
      <c r="L553" s="95">
        <f>IF(H553=1,INDEX(tx_CrAmt,547),0)</f>
        <v/>
      </c>
      <c r="M553" s="95">
        <f>IF(H553=1,INDEX(tx_TaxDr,547),0)</f>
        <v/>
      </c>
      <c r="N553" s="95">
        <f>IF(H553=1,INDEX(tx_TaxCr,547),0)</f>
        <v/>
      </c>
      <c r="O553" s="101">
        <f>IF(H553=1,IF(E553&lt;FYStart,0,IF(E553&gt;FYEnd,13,YEAR(E553)*12+MONTH(E553)-FYYM+1)),"")</f>
        <v/>
      </c>
      <c r="P553" s="101">
        <f>IF(H553=1,IF(IFERROR(INDEX(coa_CF,MATCH(I553,coa_Name,0)),"")="Cash",1,0),0)</f>
        <v/>
      </c>
      <c r="Q553" s="101">
        <f>IF(H553=1,IF(IFERROR(INDEX(coa_CF,MATCH(K553,coa_Name,0)),"")="Cash",1,0),0)</f>
        <v/>
      </c>
      <c r="R553" s="58">
        <f>IF((P553-Q553)=0,"",IFERROR(INDEX(coa_CF,MATCH(IF((P553-Q553)=1,K553,I553),coa_Name,0)),"Operating"))</f>
        <v/>
      </c>
      <c r="S553" s="95">
        <f>IF((P553-Q553)=1,L553,IF((P553-Q553)=-1,-J553,0))</f>
        <v/>
      </c>
      <c r="T553" s="95">
        <f>IF((P553-Q553)=1,N553,IF((P553-Q553)=-1,-M553,0))</f>
        <v/>
      </c>
      <c r="U553" s="101">
        <f>IF(AND(H553=1,LedAcct&lt;&gt;""),IF(AND(E553&gt;=LedFrom,E553&lt;=LedTo,OR(I553=LedAcct,K553=LedAcct,AND(LedAcct=acctTax,M553+N553&lt;&gt;0))),E553*10000+B553,""),"")</f>
        <v/>
      </c>
    </row>
    <row r="554">
      <c r="B554" s="101" t="n">
        <v>548</v>
      </c>
      <c r="C554" s="58" t="inlineStr">
        <is>
          <t>Transaction</t>
        </is>
      </c>
      <c r="D554" s="58">
        <f>IF(H554=1,INDEX(tx_ID,548)&amp;"","")</f>
        <v/>
      </c>
      <c r="E554" s="94">
        <f>IF(H554=1,INDEX(tx_Date,548),"")</f>
        <v/>
      </c>
      <c r="F554" s="58">
        <f>IF(H554=1,INDEX(tx_Desc,548)&amp;"","")</f>
        <v/>
      </c>
      <c r="G554" s="58">
        <f>IF(H554=1,IF(INDEX(tx_Cust,548)&amp;""&lt;&gt;"",INDEX(tx_Cust,548)&amp;"",INDEX(tx_Vend,548)&amp;""),"")</f>
        <v/>
      </c>
      <c r="H554" s="101">
        <f>IFERROR(N(INDEX(tx_Posted,548)),0)</f>
        <v/>
      </c>
      <c r="I554" s="58">
        <f>IF(H554=1,INDEX(tx_DrAcct,548)&amp;"","")</f>
        <v/>
      </c>
      <c r="J554" s="95">
        <f>IF(H554=1,INDEX(tx_DrAmt,548),0)</f>
        <v/>
      </c>
      <c r="K554" s="58">
        <f>IF(H554=1,INDEX(tx_CrAcct,548)&amp;"","")</f>
        <v/>
      </c>
      <c r="L554" s="95">
        <f>IF(H554=1,INDEX(tx_CrAmt,548),0)</f>
        <v/>
      </c>
      <c r="M554" s="95">
        <f>IF(H554=1,INDEX(tx_TaxDr,548),0)</f>
        <v/>
      </c>
      <c r="N554" s="95">
        <f>IF(H554=1,INDEX(tx_TaxCr,548),0)</f>
        <v/>
      </c>
      <c r="O554" s="101">
        <f>IF(H554=1,IF(E554&lt;FYStart,0,IF(E554&gt;FYEnd,13,YEAR(E554)*12+MONTH(E554)-FYYM+1)),"")</f>
        <v/>
      </c>
      <c r="P554" s="101">
        <f>IF(H554=1,IF(IFERROR(INDEX(coa_CF,MATCH(I554,coa_Name,0)),"")="Cash",1,0),0)</f>
        <v/>
      </c>
      <c r="Q554" s="101">
        <f>IF(H554=1,IF(IFERROR(INDEX(coa_CF,MATCH(K554,coa_Name,0)),"")="Cash",1,0),0)</f>
        <v/>
      </c>
      <c r="R554" s="58">
        <f>IF((P554-Q554)=0,"",IFERROR(INDEX(coa_CF,MATCH(IF((P554-Q554)=1,K554,I554),coa_Name,0)),"Operating"))</f>
        <v/>
      </c>
      <c r="S554" s="95">
        <f>IF((P554-Q554)=1,L554,IF((P554-Q554)=-1,-J554,0))</f>
        <v/>
      </c>
      <c r="T554" s="95">
        <f>IF((P554-Q554)=1,N554,IF((P554-Q554)=-1,-M554,0))</f>
        <v/>
      </c>
      <c r="U554" s="101">
        <f>IF(AND(H554=1,LedAcct&lt;&gt;""),IF(AND(E554&gt;=LedFrom,E554&lt;=LedTo,OR(I554=LedAcct,K554=LedAcct,AND(LedAcct=acctTax,M554+N554&lt;&gt;0))),E554*10000+B554,""),"")</f>
        <v/>
      </c>
    </row>
    <row r="555">
      <c r="B555" s="101" t="n">
        <v>549</v>
      </c>
      <c r="C555" s="58" t="inlineStr">
        <is>
          <t>Transaction</t>
        </is>
      </c>
      <c r="D555" s="58">
        <f>IF(H555=1,INDEX(tx_ID,549)&amp;"","")</f>
        <v/>
      </c>
      <c r="E555" s="94">
        <f>IF(H555=1,INDEX(tx_Date,549),"")</f>
        <v/>
      </c>
      <c r="F555" s="58">
        <f>IF(H555=1,INDEX(tx_Desc,549)&amp;"","")</f>
        <v/>
      </c>
      <c r="G555" s="58">
        <f>IF(H555=1,IF(INDEX(tx_Cust,549)&amp;""&lt;&gt;"",INDEX(tx_Cust,549)&amp;"",INDEX(tx_Vend,549)&amp;""),"")</f>
        <v/>
      </c>
      <c r="H555" s="101">
        <f>IFERROR(N(INDEX(tx_Posted,549)),0)</f>
        <v/>
      </c>
      <c r="I555" s="58">
        <f>IF(H555=1,INDEX(tx_DrAcct,549)&amp;"","")</f>
        <v/>
      </c>
      <c r="J555" s="95">
        <f>IF(H555=1,INDEX(tx_DrAmt,549),0)</f>
        <v/>
      </c>
      <c r="K555" s="58">
        <f>IF(H555=1,INDEX(tx_CrAcct,549)&amp;"","")</f>
        <v/>
      </c>
      <c r="L555" s="95">
        <f>IF(H555=1,INDEX(tx_CrAmt,549),0)</f>
        <v/>
      </c>
      <c r="M555" s="95">
        <f>IF(H555=1,INDEX(tx_TaxDr,549),0)</f>
        <v/>
      </c>
      <c r="N555" s="95">
        <f>IF(H555=1,INDEX(tx_TaxCr,549),0)</f>
        <v/>
      </c>
      <c r="O555" s="101">
        <f>IF(H555=1,IF(E555&lt;FYStart,0,IF(E555&gt;FYEnd,13,YEAR(E555)*12+MONTH(E555)-FYYM+1)),"")</f>
        <v/>
      </c>
      <c r="P555" s="101">
        <f>IF(H555=1,IF(IFERROR(INDEX(coa_CF,MATCH(I555,coa_Name,0)),"")="Cash",1,0),0)</f>
        <v/>
      </c>
      <c r="Q555" s="101">
        <f>IF(H555=1,IF(IFERROR(INDEX(coa_CF,MATCH(K555,coa_Name,0)),"")="Cash",1,0),0)</f>
        <v/>
      </c>
      <c r="R555" s="58">
        <f>IF((P555-Q555)=0,"",IFERROR(INDEX(coa_CF,MATCH(IF((P555-Q555)=1,K555,I555),coa_Name,0)),"Operating"))</f>
        <v/>
      </c>
      <c r="S555" s="95">
        <f>IF((P555-Q555)=1,L555,IF((P555-Q555)=-1,-J555,0))</f>
        <v/>
      </c>
      <c r="T555" s="95">
        <f>IF((P555-Q555)=1,N555,IF((P555-Q555)=-1,-M555,0))</f>
        <v/>
      </c>
      <c r="U555" s="101">
        <f>IF(AND(H555=1,LedAcct&lt;&gt;""),IF(AND(E555&gt;=LedFrom,E555&lt;=LedTo,OR(I555=LedAcct,K555=LedAcct,AND(LedAcct=acctTax,M555+N555&lt;&gt;0))),E555*10000+B555,""),"")</f>
        <v/>
      </c>
    </row>
    <row r="556">
      <c r="B556" s="101" t="n">
        <v>550</v>
      </c>
      <c r="C556" s="58" t="inlineStr">
        <is>
          <t>Transaction</t>
        </is>
      </c>
      <c r="D556" s="58">
        <f>IF(H556=1,INDEX(tx_ID,550)&amp;"","")</f>
        <v/>
      </c>
      <c r="E556" s="94">
        <f>IF(H556=1,INDEX(tx_Date,550),"")</f>
        <v/>
      </c>
      <c r="F556" s="58">
        <f>IF(H556=1,INDEX(tx_Desc,550)&amp;"","")</f>
        <v/>
      </c>
      <c r="G556" s="58">
        <f>IF(H556=1,IF(INDEX(tx_Cust,550)&amp;""&lt;&gt;"",INDEX(tx_Cust,550)&amp;"",INDEX(tx_Vend,550)&amp;""),"")</f>
        <v/>
      </c>
      <c r="H556" s="101">
        <f>IFERROR(N(INDEX(tx_Posted,550)),0)</f>
        <v/>
      </c>
      <c r="I556" s="58">
        <f>IF(H556=1,INDEX(tx_DrAcct,550)&amp;"","")</f>
        <v/>
      </c>
      <c r="J556" s="95">
        <f>IF(H556=1,INDEX(tx_DrAmt,550),0)</f>
        <v/>
      </c>
      <c r="K556" s="58">
        <f>IF(H556=1,INDEX(tx_CrAcct,550)&amp;"","")</f>
        <v/>
      </c>
      <c r="L556" s="95">
        <f>IF(H556=1,INDEX(tx_CrAmt,550),0)</f>
        <v/>
      </c>
      <c r="M556" s="95">
        <f>IF(H556=1,INDEX(tx_TaxDr,550),0)</f>
        <v/>
      </c>
      <c r="N556" s="95">
        <f>IF(H556=1,INDEX(tx_TaxCr,550),0)</f>
        <v/>
      </c>
      <c r="O556" s="101">
        <f>IF(H556=1,IF(E556&lt;FYStart,0,IF(E556&gt;FYEnd,13,YEAR(E556)*12+MONTH(E556)-FYYM+1)),"")</f>
        <v/>
      </c>
      <c r="P556" s="101">
        <f>IF(H556=1,IF(IFERROR(INDEX(coa_CF,MATCH(I556,coa_Name,0)),"")="Cash",1,0),0)</f>
        <v/>
      </c>
      <c r="Q556" s="101">
        <f>IF(H556=1,IF(IFERROR(INDEX(coa_CF,MATCH(K556,coa_Name,0)),"")="Cash",1,0),0)</f>
        <v/>
      </c>
      <c r="R556" s="58">
        <f>IF((P556-Q556)=0,"",IFERROR(INDEX(coa_CF,MATCH(IF((P556-Q556)=1,K556,I556),coa_Name,0)),"Operating"))</f>
        <v/>
      </c>
      <c r="S556" s="95">
        <f>IF((P556-Q556)=1,L556,IF((P556-Q556)=-1,-J556,0))</f>
        <v/>
      </c>
      <c r="T556" s="95">
        <f>IF((P556-Q556)=1,N556,IF((P556-Q556)=-1,-M556,0))</f>
        <v/>
      </c>
      <c r="U556" s="101">
        <f>IF(AND(H556=1,LedAcct&lt;&gt;""),IF(AND(E556&gt;=LedFrom,E556&lt;=LedTo,OR(I556=LedAcct,K556=LedAcct,AND(LedAcct=acctTax,M556+N556&lt;&gt;0))),E556*10000+B556,""),"")</f>
        <v/>
      </c>
    </row>
    <row r="557">
      <c r="B557" s="101" t="n">
        <v>551</v>
      </c>
      <c r="C557" s="58" t="inlineStr">
        <is>
          <t>Transaction</t>
        </is>
      </c>
      <c r="D557" s="58">
        <f>IF(H557=1,INDEX(tx_ID,551)&amp;"","")</f>
        <v/>
      </c>
      <c r="E557" s="94">
        <f>IF(H557=1,INDEX(tx_Date,551),"")</f>
        <v/>
      </c>
      <c r="F557" s="58">
        <f>IF(H557=1,INDEX(tx_Desc,551)&amp;"","")</f>
        <v/>
      </c>
      <c r="G557" s="58">
        <f>IF(H557=1,IF(INDEX(tx_Cust,551)&amp;""&lt;&gt;"",INDEX(tx_Cust,551)&amp;"",INDEX(tx_Vend,551)&amp;""),"")</f>
        <v/>
      </c>
      <c r="H557" s="101">
        <f>IFERROR(N(INDEX(tx_Posted,551)),0)</f>
        <v/>
      </c>
      <c r="I557" s="58">
        <f>IF(H557=1,INDEX(tx_DrAcct,551)&amp;"","")</f>
        <v/>
      </c>
      <c r="J557" s="95">
        <f>IF(H557=1,INDEX(tx_DrAmt,551),0)</f>
        <v/>
      </c>
      <c r="K557" s="58">
        <f>IF(H557=1,INDEX(tx_CrAcct,551)&amp;"","")</f>
        <v/>
      </c>
      <c r="L557" s="95">
        <f>IF(H557=1,INDEX(tx_CrAmt,551),0)</f>
        <v/>
      </c>
      <c r="M557" s="95">
        <f>IF(H557=1,INDEX(tx_TaxDr,551),0)</f>
        <v/>
      </c>
      <c r="N557" s="95">
        <f>IF(H557=1,INDEX(tx_TaxCr,551),0)</f>
        <v/>
      </c>
      <c r="O557" s="101">
        <f>IF(H557=1,IF(E557&lt;FYStart,0,IF(E557&gt;FYEnd,13,YEAR(E557)*12+MONTH(E557)-FYYM+1)),"")</f>
        <v/>
      </c>
      <c r="P557" s="101">
        <f>IF(H557=1,IF(IFERROR(INDEX(coa_CF,MATCH(I557,coa_Name,0)),"")="Cash",1,0),0)</f>
        <v/>
      </c>
      <c r="Q557" s="101">
        <f>IF(H557=1,IF(IFERROR(INDEX(coa_CF,MATCH(K557,coa_Name,0)),"")="Cash",1,0),0)</f>
        <v/>
      </c>
      <c r="R557" s="58">
        <f>IF((P557-Q557)=0,"",IFERROR(INDEX(coa_CF,MATCH(IF((P557-Q557)=1,K557,I557),coa_Name,0)),"Operating"))</f>
        <v/>
      </c>
      <c r="S557" s="95">
        <f>IF((P557-Q557)=1,L557,IF((P557-Q557)=-1,-J557,0))</f>
        <v/>
      </c>
      <c r="T557" s="95">
        <f>IF((P557-Q557)=1,N557,IF((P557-Q557)=-1,-M557,0))</f>
        <v/>
      </c>
      <c r="U557" s="101">
        <f>IF(AND(H557=1,LedAcct&lt;&gt;""),IF(AND(E557&gt;=LedFrom,E557&lt;=LedTo,OR(I557=LedAcct,K557=LedAcct,AND(LedAcct=acctTax,M557+N557&lt;&gt;0))),E557*10000+B557,""),"")</f>
        <v/>
      </c>
    </row>
    <row r="558">
      <c r="B558" s="101" t="n">
        <v>552</v>
      </c>
      <c r="C558" s="58" t="inlineStr">
        <is>
          <t>Transaction</t>
        </is>
      </c>
      <c r="D558" s="58">
        <f>IF(H558=1,INDEX(tx_ID,552)&amp;"","")</f>
        <v/>
      </c>
      <c r="E558" s="94">
        <f>IF(H558=1,INDEX(tx_Date,552),"")</f>
        <v/>
      </c>
      <c r="F558" s="58">
        <f>IF(H558=1,INDEX(tx_Desc,552)&amp;"","")</f>
        <v/>
      </c>
      <c r="G558" s="58">
        <f>IF(H558=1,IF(INDEX(tx_Cust,552)&amp;""&lt;&gt;"",INDEX(tx_Cust,552)&amp;"",INDEX(tx_Vend,552)&amp;""),"")</f>
        <v/>
      </c>
      <c r="H558" s="101">
        <f>IFERROR(N(INDEX(tx_Posted,552)),0)</f>
        <v/>
      </c>
      <c r="I558" s="58">
        <f>IF(H558=1,INDEX(tx_DrAcct,552)&amp;"","")</f>
        <v/>
      </c>
      <c r="J558" s="95">
        <f>IF(H558=1,INDEX(tx_DrAmt,552),0)</f>
        <v/>
      </c>
      <c r="K558" s="58">
        <f>IF(H558=1,INDEX(tx_CrAcct,552)&amp;"","")</f>
        <v/>
      </c>
      <c r="L558" s="95">
        <f>IF(H558=1,INDEX(tx_CrAmt,552),0)</f>
        <v/>
      </c>
      <c r="M558" s="95">
        <f>IF(H558=1,INDEX(tx_TaxDr,552),0)</f>
        <v/>
      </c>
      <c r="N558" s="95">
        <f>IF(H558=1,INDEX(tx_TaxCr,552),0)</f>
        <v/>
      </c>
      <c r="O558" s="101">
        <f>IF(H558=1,IF(E558&lt;FYStart,0,IF(E558&gt;FYEnd,13,YEAR(E558)*12+MONTH(E558)-FYYM+1)),"")</f>
        <v/>
      </c>
      <c r="P558" s="101">
        <f>IF(H558=1,IF(IFERROR(INDEX(coa_CF,MATCH(I558,coa_Name,0)),"")="Cash",1,0),0)</f>
        <v/>
      </c>
      <c r="Q558" s="101">
        <f>IF(H558=1,IF(IFERROR(INDEX(coa_CF,MATCH(K558,coa_Name,0)),"")="Cash",1,0),0)</f>
        <v/>
      </c>
      <c r="R558" s="58">
        <f>IF((P558-Q558)=0,"",IFERROR(INDEX(coa_CF,MATCH(IF((P558-Q558)=1,K558,I558),coa_Name,0)),"Operating"))</f>
        <v/>
      </c>
      <c r="S558" s="95">
        <f>IF((P558-Q558)=1,L558,IF((P558-Q558)=-1,-J558,0))</f>
        <v/>
      </c>
      <c r="T558" s="95">
        <f>IF((P558-Q558)=1,N558,IF((P558-Q558)=-1,-M558,0))</f>
        <v/>
      </c>
      <c r="U558" s="101">
        <f>IF(AND(H558=1,LedAcct&lt;&gt;""),IF(AND(E558&gt;=LedFrom,E558&lt;=LedTo,OR(I558=LedAcct,K558=LedAcct,AND(LedAcct=acctTax,M558+N558&lt;&gt;0))),E558*10000+B558,""),"")</f>
        <v/>
      </c>
    </row>
    <row r="559">
      <c r="B559" s="101" t="n">
        <v>553</v>
      </c>
      <c r="C559" s="58" t="inlineStr">
        <is>
          <t>Transaction</t>
        </is>
      </c>
      <c r="D559" s="58">
        <f>IF(H559=1,INDEX(tx_ID,553)&amp;"","")</f>
        <v/>
      </c>
      <c r="E559" s="94">
        <f>IF(H559=1,INDEX(tx_Date,553),"")</f>
        <v/>
      </c>
      <c r="F559" s="58">
        <f>IF(H559=1,INDEX(tx_Desc,553)&amp;"","")</f>
        <v/>
      </c>
      <c r="G559" s="58">
        <f>IF(H559=1,IF(INDEX(tx_Cust,553)&amp;""&lt;&gt;"",INDEX(tx_Cust,553)&amp;"",INDEX(tx_Vend,553)&amp;""),"")</f>
        <v/>
      </c>
      <c r="H559" s="101">
        <f>IFERROR(N(INDEX(tx_Posted,553)),0)</f>
        <v/>
      </c>
      <c r="I559" s="58">
        <f>IF(H559=1,INDEX(tx_DrAcct,553)&amp;"","")</f>
        <v/>
      </c>
      <c r="J559" s="95">
        <f>IF(H559=1,INDEX(tx_DrAmt,553),0)</f>
        <v/>
      </c>
      <c r="K559" s="58">
        <f>IF(H559=1,INDEX(tx_CrAcct,553)&amp;"","")</f>
        <v/>
      </c>
      <c r="L559" s="95">
        <f>IF(H559=1,INDEX(tx_CrAmt,553),0)</f>
        <v/>
      </c>
      <c r="M559" s="95">
        <f>IF(H559=1,INDEX(tx_TaxDr,553),0)</f>
        <v/>
      </c>
      <c r="N559" s="95">
        <f>IF(H559=1,INDEX(tx_TaxCr,553),0)</f>
        <v/>
      </c>
      <c r="O559" s="101">
        <f>IF(H559=1,IF(E559&lt;FYStart,0,IF(E559&gt;FYEnd,13,YEAR(E559)*12+MONTH(E559)-FYYM+1)),"")</f>
        <v/>
      </c>
      <c r="P559" s="101">
        <f>IF(H559=1,IF(IFERROR(INDEX(coa_CF,MATCH(I559,coa_Name,0)),"")="Cash",1,0),0)</f>
        <v/>
      </c>
      <c r="Q559" s="101">
        <f>IF(H559=1,IF(IFERROR(INDEX(coa_CF,MATCH(K559,coa_Name,0)),"")="Cash",1,0),0)</f>
        <v/>
      </c>
      <c r="R559" s="58">
        <f>IF((P559-Q559)=0,"",IFERROR(INDEX(coa_CF,MATCH(IF((P559-Q559)=1,K559,I559),coa_Name,0)),"Operating"))</f>
        <v/>
      </c>
      <c r="S559" s="95">
        <f>IF((P559-Q559)=1,L559,IF((P559-Q559)=-1,-J559,0))</f>
        <v/>
      </c>
      <c r="T559" s="95">
        <f>IF((P559-Q559)=1,N559,IF((P559-Q559)=-1,-M559,0))</f>
        <v/>
      </c>
      <c r="U559" s="101">
        <f>IF(AND(H559=1,LedAcct&lt;&gt;""),IF(AND(E559&gt;=LedFrom,E559&lt;=LedTo,OR(I559=LedAcct,K559=LedAcct,AND(LedAcct=acctTax,M559+N559&lt;&gt;0))),E559*10000+B559,""),"")</f>
        <v/>
      </c>
    </row>
    <row r="560">
      <c r="B560" s="101" t="n">
        <v>554</v>
      </c>
      <c r="C560" s="58" t="inlineStr">
        <is>
          <t>Transaction</t>
        </is>
      </c>
      <c r="D560" s="58">
        <f>IF(H560=1,INDEX(tx_ID,554)&amp;"","")</f>
        <v/>
      </c>
      <c r="E560" s="94">
        <f>IF(H560=1,INDEX(tx_Date,554),"")</f>
        <v/>
      </c>
      <c r="F560" s="58">
        <f>IF(H560=1,INDEX(tx_Desc,554)&amp;"","")</f>
        <v/>
      </c>
      <c r="G560" s="58">
        <f>IF(H560=1,IF(INDEX(tx_Cust,554)&amp;""&lt;&gt;"",INDEX(tx_Cust,554)&amp;"",INDEX(tx_Vend,554)&amp;""),"")</f>
        <v/>
      </c>
      <c r="H560" s="101">
        <f>IFERROR(N(INDEX(tx_Posted,554)),0)</f>
        <v/>
      </c>
      <c r="I560" s="58">
        <f>IF(H560=1,INDEX(tx_DrAcct,554)&amp;"","")</f>
        <v/>
      </c>
      <c r="J560" s="95">
        <f>IF(H560=1,INDEX(tx_DrAmt,554),0)</f>
        <v/>
      </c>
      <c r="K560" s="58">
        <f>IF(H560=1,INDEX(tx_CrAcct,554)&amp;"","")</f>
        <v/>
      </c>
      <c r="L560" s="95">
        <f>IF(H560=1,INDEX(tx_CrAmt,554),0)</f>
        <v/>
      </c>
      <c r="M560" s="95">
        <f>IF(H560=1,INDEX(tx_TaxDr,554),0)</f>
        <v/>
      </c>
      <c r="N560" s="95">
        <f>IF(H560=1,INDEX(tx_TaxCr,554),0)</f>
        <v/>
      </c>
      <c r="O560" s="101">
        <f>IF(H560=1,IF(E560&lt;FYStart,0,IF(E560&gt;FYEnd,13,YEAR(E560)*12+MONTH(E560)-FYYM+1)),"")</f>
        <v/>
      </c>
      <c r="P560" s="101">
        <f>IF(H560=1,IF(IFERROR(INDEX(coa_CF,MATCH(I560,coa_Name,0)),"")="Cash",1,0),0)</f>
        <v/>
      </c>
      <c r="Q560" s="101">
        <f>IF(H560=1,IF(IFERROR(INDEX(coa_CF,MATCH(K560,coa_Name,0)),"")="Cash",1,0),0)</f>
        <v/>
      </c>
      <c r="R560" s="58">
        <f>IF((P560-Q560)=0,"",IFERROR(INDEX(coa_CF,MATCH(IF((P560-Q560)=1,K560,I560),coa_Name,0)),"Operating"))</f>
        <v/>
      </c>
      <c r="S560" s="95">
        <f>IF((P560-Q560)=1,L560,IF((P560-Q560)=-1,-J560,0))</f>
        <v/>
      </c>
      <c r="T560" s="95">
        <f>IF((P560-Q560)=1,N560,IF((P560-Q560)=-1,-M560,0))</f>
        <v/>
      </c>
      <c r="U560" s="101">
        <f>IF(AND(H560=1,LedAcct&lt;&gt;""),IF(AND(E560&gt;=LedFrom,E560&lt;=LedTo,OR(I560=LedAcct,K560=LedAcct,AND(LedAcct=acctTax,M560+N560&lt;&gt;0))),E560*10000+B560,""),"")</f>
        <v/>
      </c>
    </row>
    <row r="561">
      <c r="B561" s="101" t="n">
        <v>555</v>
      </c>
      <c r="C561" s="58" t="inlineStr">
        <is>
          <t>Transaction</t>
        </is>
      </c>
      <c r="D561" s="58">
        <f>IF(H561=1,INDEX(tx_ID,555)&amp;"","")</f>
        <v/>
      </c>
      <c r="E561" s="94">
        <f>IF(H561=1,INDEX(tx_Date,555),"")</f>
        <v/>
      </c>
      <c r="F561" s="58">
        <f>IF(H561=1,INDEX(tx_Desc,555)&amp;"","")</f>
        <v/>
      </c>
      <c r="G561" s="58">
        <f>IF(H561=1,IF(INDEX(tx_Cust,555)&amp;""&lt;&gt;"",INDEX(tx_Cust,555)&amp;"",INDEX(tx_Vend,555)&amp;""),"")</f>
        <v/>
      </c>
      <c r="H561" s="101">
        <f>IFERROR(N(INDEX(tx_Posted,555)),0)</f>
        <v/>
      </c>
      <c r="I561" s="58">
        <f>IF(H561=1,INDEX(tx_DrAcct,555)&amp;"","")</f>
        <v/>
      </c>
      <c r="J561" s="95">
        <f>IF(H561=1,INDEX(tx_DrAmt,555),0)</f>
        <v/>
      </c>
      <c r="K561" s="58">
        <f>IF(H561=1,INDEX(tx_CrAcct,555)&amp;"","")</f>
        <v/>
      </c>
      <c r="L561" s="95">
        <f>IF(H561=1,INDEX(tx_CrAmt,555),0)</f>
        <v/>
      </c>
      <c r="M561" s="95">
        <f>IF(H561=1,INDEX(tx_TaxDr,555),0)</f>
        <v/>
      </c>
      <c r="N561" s="95">
        <f>IF(H561=1,INDEX(tx_TaxCr,555),0)</f>
        <v/>
      </c>
      <c r="O561" s="101">
        <f>IF(H561=1,IF(E561&lt;FYStart,0,IF(E561&gt;FYEnd,13,YEAR(E561)*12+MONTH(E561)-FYYM+1)),"")</f>
        <v/>
      </c>
      <c r="P561" s="101">
        <f>IF(H561=1,IF(IFERROR(INDEX(coa_CF,MATCH(I561,coa_Name,0)),"")="Cash",1,0),0)</f>
        <v/>
      </c>
      <c r="Q561" s="101">
        <f>IF(H561=1,IF(IFERROR(INDEX(coa_CF,MATCH(K561,coa_Name,0)),"")="Cash",1,0),0)</f>
        <v/>
      </c>
      <c r="R561" s="58">
        <f>IF((P561-Q561)=0,"",IFERROR(INDEX(coa_CF,MATCH(IF((P561-Q561)=1,K561,I561),coa_Name,0)),"Operating"))</f>
        <v/>
      </c>
      <c r="S561" s="95">
        <f>IF((P561-Q561)=1,L561,IF((P561-Q561)=-1,-J561,0))</f>
        <v/>
      </c>
      <c r="T561" s="95">
        <f>IF((P561-Q561)=1,N561,IF((P561-Q561)=-1,-M561,0))</f>
        <v/>
      </c>
      <c r="U561" s="101">
        <f>IF(AND(H561=1,LedAcct&lt;&gt;""),IF(AND(E561&gt;=LedFrom,E561&lt;=LedTo,OR(I561=LedAcct,K561=LedAcct,AND(LedAcct=acctTax,M561+N561&lt;&gt;0))),E561*10000+B561,""),"")</f>
        <v/>
      </c>
    </row>
    <row r="562">
      <c r="B562" s="101" t="n">
        <v>556</v>
      </c>
      <c r="C562" s="58" t="inlineStr">
        <is>
          <t>Transaction</t>
        </is>
      </c>
      <c r="D562" s="58">
        <f>IF(H562=1,INDEX(tx_ID,556)&amp;"","")</f>
        <v/>
      </c>
      <c r="E562" s="94">
        <f>IF(H562=1,INDEX(tx_Date,556),"")</f>
        <v/>
      </c>
      <c r="F562" s="58">
        <f>IF(H562=1,INDEX(tx_Desc,556)&amp;"","")</f>
        <v/>
      </c>
      <c r="G562" s="58">
        <f>IF(H562=1,IF(INDEX(tx_Cust,556)&amp;""&lt;&gt;"",INDEX(tx_Cust,556)&amp;"",INDEX(tx_Vend,556)&amp;""),"")</f>
        <v/>
      </c>
      <c r="H562" s="101">
        <f>IFERROR(N(INDEX(tx_Posted,556)),0)</f>
        <v/>
      </c>
      <c r="I562" s="58">
        <f>IF(H562=1,INDEX(tx_DrAcct,556)&amp;"","")</f>
        <v/>
      </c>
      <c r="J562" s="95">
        <f>IF(H562=1,INDEX(tx_DrAmt,556),0)</f>
        <v/>
      </c>
      <c r="K562" s="58">
        <f>IF(H562=1,INDEX(tx_CrAcct,556)&amp;"","")</f>
        <v/>
      </c>
      <c r="L562" s="95">
        <f>IF(H562=1,INDEX(tx_CrAmt,556),0)</f>
        <v/>
      </c>
      <c r="M562" s="95">
        <f>IF(H562=1,INDEX(tx_TaxDr,556),0)</f>
        <v/>
      </c>
      <c r="N562" s="95">
        <f>IF(H562=1,INDEX(tx_TaxCr,556),0)</f>
        <v/>
      </c>
      <c r="O562" s="101">
        <f>IF(H562=1,IF(E562&lt;FYStart,0,IF(E562&gt;FYEnd,13,YEAR(E562)*12+MONTH(E562)-FYYM+1)),"")</f>
        <v/>
      </c>
      <c r="P562" s="101">
        <f>IF(H562=1,IF(IFERROR(INDEX(coa_CF,MATCH(I562,coa_Name,0)),"")="Cash",1,0),0)</f>
        <v/>
      </c>
      <c r="Q562" s="101">
        <f>IF(H562=1,IF(IFERROR(INDEX(coa_CF,MATCH(K562,coa_Name,0)),"")="Cash",1,0),0)</f>
        <v/>
      </c>
      <c r="R562" s="58">
        <f>IF((P562-Q562)=0,"",IFERROR(INDEX(coa_CF,MATCH(IF((P562-Q562)=1,K562,I562),coa_Name,0)),"Operating"))</f>
        <v/>
      </c>
      <c r="S562" s="95">
        <f>IF((P562-Q562)=1,L562,IF((P562-Q562)=-1,-J562,0))</f>
        <v/>
      </c>
      <c r="T562" s="95">
        <f>IF((P562-Q562)=1,N562,IF((P562-Q562)=-1,-M562,0))</f>
        <v/>
      </c>
      <c r="U562" s="101">
        <f>IF(AND(H562=1,LedAcct&lt;&gt;""),IF(AND(E562&gt;=LedFrom,E562&lt;=LedTo,OR(I562=LedAcct,K562=LedAcct,AND(LedAcct=acctTax,M562+N562&lt;&gt;0))),E562*10000+B562,""),"")</f>
        <v/>
      </c>
    </row>
    <row r="563">
      <c r="B563" s="101" t="n">
        <v>557</v>
      </c>
      <c r="C563" s="58" t="inlineStr">
        <is>
          <t>Transaction</t>
        </is>
      </c>
      <c r="D563" s="58">
        <f>IF(H563=1,INDEX(tx_ID,557)&amp;"","")</f>
        <v/>
      </c>
      <c r="E563" s="94">
        <f>IF(H563=1,INDEX(tx_Date,557),"")</f>
        <v/>
      </c>
      <c r="F563" s="58">
        <f>IF(H563=1,INDEX(tx_Desc,557)&amp;"","")</f>
        <v/>
      </c>
      <c r="G563" s="58">
        <f>IF(H563=1,IF(INDEX(tx_Cust,557)&amp;""&lt;&gt;"",INDEX(tx_Cust,557)&amp;"",INDEX(tx_Vend,557)&amp;""),"")</f>
        <v/>
      </c>
      <c r="H563" s="101">
        <f>IFERROR(N(INDEX(tx_Posted,557)),0)</f>
        <v/>
      </c>
      <c r="I563" s="58">
        <f>IF(H563=1,INDEX(tx_DrAcct,557)&amp;"","")</f>
        <v/>
      </c>
      <c r="J563" s="95">
        <f>IF(H563=1,INDEX(tx_DrAmt,557),0)</f>
        <v/>
      </c>
      <c r="K563" s="58">
        <f>IF(H563=1,INDEX(tx_CrAcct,557)&amp;"","")</f>
        <v/>
      </c>
      <c r="L563" s="95">
        <f>IF(H563=1,INDEX(tx_CrAmt,557),0)</f>
        <v/>
      </c>
      <c r="M563" s="95">
        <f>IF(H563=1,INDEX(tx_TaxDr,557),0)</f>
        <v/>
      </c>
      <c r="N563" s="95">
        <f>IF(H563=1,INDEX(tx_TaxCr,557),0)</f>
        <v/>
      </c>
      <c r="O563" s="101">
        <f>IF(H563=1,IF(E563&lt;FYStart,0,IF(E563&gt;FYEnd,13,YEAR(E563)*12+MONTH(E563)-FYYM+1)),"")</f>
        <v/>
      </c>
      <c r="P563" s="101">
        <f>IF(H563=1,IF(IFERROR(INDEX(coa_CF,MATCH(I563,coa_Name,0)),"")="Cash",1,0),0)</f>
        <v/>
      </c>
      <c r="Q563" s="101">
        <f>IF(H563=1,IF(IFERROR(INDEX(coa_CF,MATCH(K563,coa_Name,0)),"")="Cash",1,0),0)</f>
        <v/>
      </c>
      <c r="R563" s="58">
        <f>IF((P563-Q563)=0,"",IFERROR(INDEX(coa_CF,MATCH(IF((P563-Q563)=1,K563,I563),coa_Name,0)),"Operating"))</f>
        <v/>
      </c>
      <c r="S563" s="95">
        <f>IF((P563-Q563)=1,L563,IF((P563-Q563)=-1,-J563,0))</f>
        <v/>
      </c>
      <c r="T563" s="95">
        <f>IF((P563-Q563)=1,N563,IF((P563-Q563)=-1,-M563,0))</f>
        <v/>
      </c>
      <c r="U563" s="101">
        <f>IF(AND(H563=1,LedAcct&lt;&gt;""),IF(AND(E563&gt;=LedFrom,E563&lt;=LedTo,OR(I563=LedAcct,K563=LedAcct,AND(LedAcct=acctTax,M563+N563&lt;&gt;0))),E563*10000+B563,""),"")</f>
        <v/>
      </c>
    </row>
    <row r="564">
      <c r="B564" s="101" t="n">
        <v>558</v>
      </c>
      <c r="C564" s="58" t="inlineStr">
        <is>
          <t>Transaction</t>
        </is>
      </c>
      <c r="D564" s="58">
        <f>IF(H564=1,INDEX(tx_ID,558)&amp;"","")</f>
        <v/>
      </c>
      <c r="E564" s="94">
        <f>IF(H564=1,INDEX(tx_Date,558),"")</f>
        <v/>
      </c>
      <c r="F564" s="58">
        <f>IF(H564=1,INDEX(tx_Desc,558)&amp;"","")</f>
        <v/>
      </c>
      <c r="G564" s="58">
        <f>IF(H564=1,IF(INDEX(tx_Cust,558)&amp;""&lt;&gt;"",INDEX(tx_Cust,558)&amp;"",INDEX(tx_Vend,558)&amp;""),"")</f>
        <v/>
      </c>
      <c r="H564" s="101">
        <f>IFERROR(N(INDEX(tx_Posted,558)),0)</f>
        <v/>
      </c>
      <c r="I564" s="58">
        <f>IF(H564=1,INDEX(tx_DrAcct,558)&amp;"","")</f>
        <v/>
      </c>
      <c r="J564" s="95">
        <f>IF(H564=1,INDEX(tx_DrAmt,558),0)</f>
        <v/>
      </c>
      <c r="K564" s="58">
        <f>IF(H564=1,INDEX(tx_CrAcct,558)&amp;"","")</f>
        <v/>
      </c>
      <c r="L564" s="95">
        <f>IF(H564=1,INDEX(tx_CrAmt,558),0)</f>
        <v/>
      </c>
      <c r="M564" s="95">
        <f>IF(H564=1,INDEX(tx_TaxDr,558),0)</f>
        <v/>
      </c>
      <c r="N564" s="95">
        <f>IF(H564=1,INDEX(tx_TaxCr,558),0)</f>
        <v/>
      </c>
      <c r="O564" s="101">
        <f>IF(H564=1,IF(E564&lt;FYStart,0,IF(E564&gt;FYEnd,13,YEAR(E564)*12+MONTH(E564)-FYYM+1)),"")</f>
        <v/>
      </c>
      <c r="P564" s="101">
        <f>IF(H564=1,IF(IFERROR(INDEX(coa_CF,MATCH(I564,coa_Name,0)),"")="Cash",1,0),0)</f>
        <v/>
      </c>
      <c r="Q564" s="101">
        <f>IF(H564=1,IF(IFERROR(INDEX(coa_CF,MATCH(K564,coa_Name,0)),"")="Cash",1,0),0)</f>
        <v/>
      </c>
      <c r="R564" s="58">
        <f>IF((P564-Q564)=0,"",IFERROR(INDEX(coa_CF,MATCH(IF((P564-Q564)=1,K564,I564),coa_Name,0)),"Operating"))</f>
        <v/>
      </c>
      <c r="S564" s="95">
        <f>IF((P564-Q564)=1,L564,IF((P564-Q564)=-1,-J564,0))</f>
        <v/>
      </c>
      <c r="T564" s="95">
        <f>IF((P564-Q564)=1,N564,IF((P564-Q564)=-1,-M564,0))</f>
        <v/>
      </c>
      <c r="U564" s="101">
        <f>IF(AND(H564=1,LedAcct&lt;&gt;""),IF(AND(E564&gt;=LedFrom,E564&lt;=LedTo,OR(I564=LedAcct,K564=LedAcct,AND(LedAcct=acctTax,M564+N564&lt;&gt;0))),E564*10000+B564,""),"")</f>
        <v/>
      </c>
    </row>
    <row r="565">
      <c r="B565" s="101" t="n">
        <v>559</v>
      </c>
      <c r="C565" s="58" t="inlineStr">
        <is>
          <t>Transaction</t>
        </is>
      </c>
      <c r="D565" s="58">
        <f>IF(H565=1,INDEX(tx_ID,559)&amp;"","")</f>
        <v/>
      </c>
      <c r="E565" s="94">
        <f>IF(H565=1,INDEX(tx_Date,559),"")</f>
        <v/>
      </c>
      <c r="F565" s="58">
        <f>IF(H565=1,INDEX(tx_Desc,559)&amp;"","")</f>
        <v/>
      </c>
      <c r="G565" s="58">
        <f>IF(H565=1,IF(INDEX(tx_Cust,559)&amp;""&lt;&gt;"",INDEX(tx_Cust,559)&amp;"",INDEX(tx_Vend,559)&amp;""),"")</f>
        <v/>
      </c>
      <c r="H565" s="101">
        <f>IFERROR(N(INDEX(tx_Posted,559)),0)</f>
        <v/>
      </c>
      <c r="I565" s="58">
        <f>IF(H565=1,INDEX(tx_DrAcct,559)&amp;"","")</f>
        <v/>
      </c>
      <c r="J565" s="95">
        <f>IF(H565=1,INDEX(tx_DrAmt,559),0)</f>
        <v/>
      </c>
      <c r="K565" s="58">
        <f>IF(H565=1,INDEX(tx_CrAcct,559)&amp;"","")</f>
        <v/>
      </c>
      <c r="L565" s="95">
        <f>IF(H565=1,INDEX(tx_CrAmt,559),0)</f>
        <v/>
      </c>
      <c r="M565" s="95">
        <f>IF(H565=1,INDEX(tx_TaxDr,559),0)</f>
        <v/>
      </c>
      <c r="N565" s="95">
        <f>IF(H565=1,INDEX(tx_TaxCr,559),0)</f>
        <v/>
      </c>
      <c r="O565" s="101">
        <f>IF(H565=1,IF(E565&lt;FYStart,0,IF(E565&gt;FYEnd,13,YEAR(E565)*12+MONTH(E565)-FYYM+1)),"")</f>
        <v/>
      </c>
      <c r="P565" s="101">
        <f>IF(H565=1,IF(IFERROR(INDEX(coa_CF,MATCH(I565,coa_Name,0)),"")="Cash",1,0),0)</f>
        <v/>
      </c>
      <c r="Q565" s="101">
        <f>IF(H565=1,IF(IFERROR(INDEX(coa_CF,MATCH(K565,coa_Name,0)),"")="Cash",1,0),0)</f>
        <v/>
      </c>
      <c r="R565" s="58">
        <f>IF((P565-Q565)=0,"",IFERROR(INDEX(coa_CF,MATCH(IF((P565-Q565)=1,K565,I565),coa_Name,0)),"Operating"))</f>
        <v/>
      </c>
      <c r="S565" s="95">
        <f>IF((P565-Q565)=1,L565,IF((P565-Q565)=-1,-J565,0))</f>
        <v/>
      </c>
      <c r="T565" s="95">
        <f>IF((P565-Q565)=1,N565,IF((P565-Q565)=-1,-M565,0))</f>
        <v/>
      </c>
      <c r="U565" s="101">
        <f>IF(AND(H565=1,LedAcct&lt;&gt;""),IF(AND(E565&gt;=LedFrom,E565&lt;=LedTo,OR(I565=LedAcct,K565=LedAcct,AND(LedAcct=acctTax,M565+N565&lt;&gt;0))),E565*10000+B565,""),"")</f>
        <v/>
      </c>
    </row>
    <row r="566">
      <c r="B566" s="101" t="n">
        <v>560</v>
      </c>
      <c r="C566" s="58" t="inlineStr">
        <is>
          <t>Transaction</t>
        </is>
      </c>
      <c r="D566" s="58">
        <f>IF(H566=1,INDEX(tx_ID,560)&amp;"","")</f>
        <v/>
      </c>
      <c r="E566" s="94">
        <f>IF(H566=1,INDEX(tx_Date,560),"")</f>
        <v/>
      </c>
      <c r="F566" s="58">
        <f>IF(H566=1,INDEX(tx_Desc,560)&amp;"","")</f>
        <v/>
      </c>
      <c r="G566" s="58">
        <f>IF(H566=1,IF(INDEX(tx_Cust,560)&amp;""&lt;&gt;"",INDEX(tx_Cust,560)&amp;"",INDEX(tx_Vend,560)&amp;""),"")</f>
        <v/>
      </c>
      <c r="H566" s="101">
        <f>IFERROR(N(INDEX(tx_Posted,560)),0)</f>
        <v/>
      </c>
      <c r="I566" s="58">
        <f>IF(H566=1,INDEX(tx_DrAcct,560)&amp;"","")</f>
        <v/>
      </c>
      <c r="J566" s="95">
        <f>IF(H566=1,INDEX(tx_DrAmt,560),0)</f>
        <v/>
      </c>
      <c r="K566" s="58">
        <f>IF(H566=1,INDEX(tx_CrAcct,560)&amp;"","")</f>
        <v/>
      </c>
      <c r="L566" s="95">
        <f>IF(H566=1,INDEX(tx_CrAmt,560),0)</f>
        <v/>
      </c>
      <c r="M566" s="95">
        <f>IF(H566=1,INDEX(tx_TaxDr,560),0)</f>
        <v/>
      </c>
      <c r="N566" s="95">
        <f>IF(H566=1,INDEX(tx_TaxCr,560),0)</f>
        <v/>
      </c>
      <c r="O566" s="101">
        <f>IF(H566=1,IF(E566&lt;FYStart,0,IF(E566&gt;FYEnd,13,YEAR(E566)*12+MONTH(E566)-FYYM+1)),"")</f>
        <v/>
      </c>
      <c r="P566" s="101">
        <f>IF(H566=1,IF(IFERROR(INDEX(coa_CF,MATCH(I566,coa_Name,0)),"")="Cash",1,0),0)</f>
        <v/>
      </c>
      <c r="Q566" s="101">
        <f>IF(H566=1,IF(IFERROR(INDEX(coa_CF,MATCH(K566,coa_Name,0)),"")="Cash",1,0),0)</f>
        <v/>
      </c>
      <c r="R566" s="58">
        <f>IF((P566-Q566)=0,"",IFERROR(INDEX(coa_CF,MATCH(IF((P566-Q566)=1,K566,I566),coa_Name,0)),"Operating"))</f>
        <v/>
      </c>
      <c r="S566" s="95">
        <f>IF((P566-Q566)=1,L566,IF((P566-Q566)=-1,-J566,0))</f>
        <v/>
      </c>
      <c r="T566" s="95">
        <f>IF((P566-Q566)=1,N566,IF((P566-Q566)=-1,-M566,0))</f>
        <v/>
      </c>
      <c r="U566" s="101">
        <f>IF(AND(H566=1,LedAcct&lt;&gt;""),IF(AND(E566&gt;=LedFrom,E566&lt;=LedTo,OR(I566=LedAcct,K566=LedAcct,AND(LedAcct=acctTax,M566+N566&lt;&gt;0))),E566*10000+B566,""),"")</f>
        <v/>
      </c>
    </row>
    <row r="567">
      <c r="B567" s="101" t="n">
        <v>561</v>
      </c>
      <c r="C567" s="58" t="inlineStr">
        <is>
          <t>Transaction</t>
        </is>
      </c>
      <c r="D567" s="58">
        <f>IF(H567=1,INDEX(tx_ID,561)&amp;"","")</f>
        <v/>
      </c>
      <c r="E567" s="94">
        <f>IF(H567=1,INDEX(tx_Date,561),"")</f>
        <v/>
      </c>
      <c r="F567" s="58">
        <f>IF(H567=1,INDEX(tx_Desc,561)&amp;"","")</f>
        <v/>
      </c>
      <c r="G567" s="58">
        <f>IF(H567=1,IF(INDEX(tx_Cust,561)&amp;""&lt;&gt;"",INDEX(tx_Cust,561)&amp;"",INDEX(tx_Vend,561)&amp;""),"")</f>
        <v/>
      </c>
      <c r="H567" s="101">
        <f>IFERROR(N(INDEX(tx_Posted,561)),0)</f>
        <v/>
      </c>
      <c r="I567" s="58">
        <f>IF(H567=1,INDEX(tx_DrAcct,561)&amp;"","")</f>
        <v/>
      </c>
      <c r="J567" s="95">
        <f>IF(H567=1,INDEX(tx_DrAmt,561),0)</f>
        <v/>
      </c>
      <c r="K567" s="58">
        <f>IF(H567=1,INDEX(tx_CrAcct,561)&amp;"","")</f>
        <v/>
      </c>
      <c r="L567" s="95">
        <f>IF(H567=1,INDEX(tx_CrAmt,561),0)</f>
        <v/>
      </c>
      <c r="M567" s="95">
        <f>IF(H567=1,INDEX(tx_TaxDr,561),0)</f>
        <v/>
      </c>
      <c r="N567" s="95">
        <f>IF(H567=1,INDEX(tx_TaxCr,561),0)</f>
        <v/>
      </c>
      <c r="O567" s="101">
        <f>IF(H567=1,IF(E567&lt;FYStart,0,IF(E567&gt;FYEnd,13,YEAR(E567)*12+MONTH(E567)-FYYM+1)),"")</f>
        <v/>
      </c>
      <c r="P567" s="101">
        <f>IF(H567=1,IF(IFERROR(INDEX(coa_CF,MATCH(I567,coa_Name,0)),"")="Cash",1,0),0)</f>
        <v/>
      </c>
      <c r="Q567" s="101">
        <f>IF(H567=1,IF(IFERROR(INDEX(coa_CF,MATCH(K567,coa_Name,0)),"")="Cash",1,0),0)</f>
        <v/>
      </c>
      <c r="R567" s="58">
        <f>IF((P567-Q567)=0,"",IFERROR(INDEX(coa_CF,MATCH(IF((P567-Q567)=1,K567,I567),coa_Name,0)),"Operating"))</f>
        <v/>
      </c>
      <c r="S567" s="95">
        <f>IF((P567-Q567)=1,L567,IF((P567-Q567)=-1,-J567,0))</f>
        <v/>
      </c>
      <c r="T567" s="95">
        <f>IF((P567-Q567)=1,N567,IF((P567-Q567)=-1,-M567,0))</f>
        <v/>
      </c>
      <c r="U567" s="101">
        <f>IF(AND(H567=1,LedAcct&lt;&gt;""),IF(AND(E567&gt;=LedFrom,E567&lt;=LedTo,OR(I567=LedAcct,K567=LedAcct,AND(LedAcct=acctTax,M567+N567&lt;&gt;0))),E567*10000+B567,""),"")</f>
        <v/>
      </c>
    </row>
    <row r="568">
      <c r="B568" s="101" t="n">
        <v>562</v>
      </c>
      <c r="C568" s="58" t="inlineStr">
        <is>
          <t>Transaction</t>
        </is>
      </c>
      <c r="D568" s="58">
        <f>IF(H568=1,INDEX(tx_ID,562)&amp;"","")</f>
        <v/>
      </c>
      <c r="E568" s="94">
        <f>IF(H568=1,INDEX(tx_Date,562),"")</f>
        <v/>
      </c>
      <c r="F568" s="58">
        <f>IF(H568=1,INDEX(tx_Desc,562)&amp;"","")</f>
        <v/>
      </c>
      <c r="G568" s="58">
        <f>IF(H568=1,IF(INDEX(tx_Cust,562)&amp;""&lt;&gt;"",INDEX(tx_Cust,562)&amp;"",INDEX(tx_Vend,562)&amp;""),"")</f>
        <v/>
      </c>
      <c r="H568" s="101">
        <f>IFERROR(N(INDEX(tx_Posted,562)),0)</f>
        <v/>
      </c>
      <c r="I568" s="58">
        <f>IF(H568=1,INDEX(tx_DrAcct,562)&amp;"","")</f>
        <v/>
      </c>
      <c r="J568" s="95">
        <f>IF(H568=1,INDEX(tx_DrAmt,562),0)</f>
        <v/>
      </c>
      <c r="K568" s="58">
        <f>IF(H568=1,INDEX(tx_CrAcct,562)&amp;"","")</f>
        <v/>
      </c>
      <c r="L568" s="95">
        <f>IF(H568=1,INDEX(tx_CrAmt,562),0)</f>
        <v/>
      </c>
      <c r="M568" s="95">
        <f>IF(H568=1,INDEX(tx_TaxDr,562),0)</f>
        <v/>
      </c>
      <c r="N568" s="95">
        <f>IF(H568=1,INDEX(tx_TaxCr,562),0)</f>
        <v/>
      </c>
      <c r="O568" s="101">
        <f>IF(H568=1,IF(E568&lt;FYStart,0,IF(E568&gt;FYEnd,13,YEAR(E568)*12+MONTH(E568)-FYYM+1)),"")</f>
        <v/>
      </c>
      <c r="P568" s="101">
        <f>IF(H568=1,IF(IFERROR(INDEX(coa_CF,MATCH(I568,coa_Name,0)),"")="Cash",1,0),0)</f>
        <v/>
      </c>
      <c r="Q568" s="101">
        <f>IF(H568=1,IF(IFERROR(INDEX(coa_CF,MATCH(K568,coa_Name,0)),"")="Cash",1,0),0)</f>
        <v/>
      </c>
      <c r="R568" s="58">
        <f>IF((P568-Q568)=0,"",IFERROR(INDEX(coa_CF,MATCH(IF((P568-Q568)=1,K568,I568),coa_Name,0)),"Operating"))</f>
        <v/>
      </c>
      <c r="S568" s="95">
        <f>IF((P568-Q568)=1,L568,IF((P568-Q568)=-1,-J568,0))</f>
        <v/>
      </c>
      <c r="T568" s="95">
        <f>IF((P568-Q568)=1,N568,IF((P568-Q568)=-1,-M568,0))</f>
        <v/>
      </c>
      <c r="U568" s="101">
        <f>IF(AND(H568=1,LedAcct&lt;&gt;""),IF(AND(E568&gt;=LedFrom,E568&lt;=LedTo,OR(I568=LedAcct,K568=LedAcct,AND(LedAcct=acctTax,M568+N568&lt;&gt;0))),E568*10000+B568,""),"")</f>
        <v/>
      </c>
    </row>
    <row r="569">
      <c r="B569" s="101" t="n">
        <v>563</v>
      </c>
      <c r="C569" s="58" t="inlineStr">
        <is>
          <t>Transaction</t>
        </is>
      </c>
      <c r="D569" s="58">
        <f>IF(H569=1,INDEX(tx_ID,563)&amp;"","")</f>
        <v/>
      </c>
      <c r="E569" s="94">
        <f>IF(H569=1,INDEX(tx_Date,563),"")</f>
        <v/>
      </c>
      <c r="F569" s="58">
        <f>IF(H569=1,INDEX(tx_Desc,563)&amp;"","")</f>
        <v/>
      </c>
      <c r="G569" s="58">
        <f>IF(H569=1,IF(INDEX(tx_Cust,563)&amp;""&lt;&gt;"",INDEX(tx_Cust,563)&amp;"",INDEX(tx_Vend,563)&amp;""),"")</f>
        <v/>
      </c>
      <c r="H569" s="101">
        <f>IFERROR(N(INDEX(tx_Posted,563)),0)</f>
        <v/>
      </c>
      <c r="I569" s="58">
        <f>IF(H569=1,INDEX(tx_DrAcct,563)&amp;"","")</f>
        <v/>
      </c>
      <c r="J569" s="95">
        <f>IF(H569=1,INDEX(tx_DrAmt,563),0)</f>
        <v/>
      </c>
      <c r="K569" s="58">
        <f>IF(H569=1,INDEX(tx_CrAcct,563)&amp;"","")</f>
        <v/>
      </c>
      <c r="L569" s="95">
        <f>IF(H569=1,INDEX(tx_CrAmt,563),0)</f>
        <v/>
      </c>
      <c r="M569" s="95">
        <f>IF(H569=1,INDEX(tx_TaxDr,563),0)</f>
        <v/>
      </c>
      <c r="N569" s="95">
        <f>IF(H569=1,INDEX(tx_TaxCr,563),0)</f>
        <v/>
      </c>
      <c r="O569" s="101">
        <f>IF(H569=1,IF(E569&lt;FYStart,0,IF(E569&gt;FYEnd,13,YEAR(E569)*12+MONTH(E569)-FYYM+1)),"")</f>
        <v/>
      </c>
      <c r="P569" s="101">
        <f>IF(H569=1,IF(IFERROR(INDEX(coa_CF,MATCH(I569,coa_Name,0)),"")="Cash",1,0),0)</f>
        <v/>
      </c>
      <c r="Q569" s="101">
        <f>IF(H569=1,IF(IFERROR(INDEX(coa_CF,MATCH(K569,coa_Name,0)),"")="Cash",1,0),0)</f>
        <v/>
      </c>
      <c r="R569" s="58">
        <f>IF((P569-Q569)=0,"",IFERROR(INDEX(coa_CF,MATCH(IF((P569-Q569)=1,K569,I569),coa_Name,0)),"Operating"))</f>
        <v/>
      </c>
      <c r="S569" s="95">
        <f>IF((P569-Q569)=1,L569,IF((P569-Q569)=-1,-J569,0))</f>
        <v/>
      </c>
      <c r="T569" s="95">
        <f>IF((P569-Q569)=1,N569,IF((P569-Q569)=-1,-M569,0))</f>
        <v/>
      </c>
      <c r="U569" s="101">
        <f>IF(AND(H569=1,LedAcct&lt;&gt;""),IF(AND(E569&gt;=LedFrom,E569&lt;=LedTo,OR(I569=LedAcct,K569=LedAcct,AND(LedAcct=acctTax,M569+N569&lt;&gt;0))),E569*10000+B569,""),"")</f>
        <v/>
      </c>
    </row>
    <row r="570">
      <c r="B570" s="101" t="n">
        <v>564</v>
      </c>
      <c r="C570" s="58" t="inlineStr">
        <is>
          <t>Transaction</t>
        </is>
      </c>
      <c r="D570" s="58">
        <f>IF(H570=1,INDEX(tx_ID,564)&amp;"","")</f>
        <v/>
      </c>
      <c r="E570" s="94">
        <f>IF(H570=1,INDEX(tx_Date,564),"")</f>
        <v/>
      </c>
      <c r="F570" s="58">
        <f>IF(H570=1,INDEX(tx_Desc,564)&amp;"","")</f>
        <v/>
      </c>
      <c r="G570" s="58">
        <f>IF(H570=1,IF(INDEX(tx_Cust,564)&amp;""&lt;&gt;"",INDEX(tx_Cust,564)&amp;"",INDEX(tx_Vend,564)&amp;""),"")</f>
        <v/>
      </c>
      <c r="H570" s="101">
        <f>IFERROR(N(INDEX(tx_Posted,564)),0)</f>
        <v/>
      </c>
      <c r="I570" s="58">
        <f>IF(H570=1,INDEX(tx_DrAcct,564)&amp;"","")</f>
        <v/>
      </c>
      <c r="J570" s="95">
        <f>IF(H570=1,INDEX(tx_DrAmt,564),0)</f>
        <v/>
      </c>
      <c r="K570" s="58">
        <f>IF(H570=1,INDEX(tx_CrAcct,564)&amp;"","")</f>
        <v/>
      </c>
      <c r="L570" s="95">
        <f>IF(H570=1,INDEX(tx_CrAmt,564),0)</f>
        <v/>
      </c>
      <c r="M570" s="95">
        <f>IF(H570=1,INDEX(tx_TaxDr,564),0)</f>
        <v/>
      </c>
      <c r="N570" s="95">
        <f>IF(H570=1,INDEX(tx_TaxCr,564),0)</f>
        <v/>
      </c>
      <c r="O570" s="101">
        <f>IF(H570=1,IF(E570&lt;FYStart,0,IF(E570&gt;FYEnd,13,YEAR(E570)*12+MONTH(E570)-FYYM+1)),"")</f>
        <v/>
      </c>
      <c r="P570" s="101">
        <f>IF(H570=1,IF(IFERROR(INDEX(coa_CF,MATCH(I570,coa_Name,0)),"")="Cash",1,0),0)</f>
        <v/>
      </c>
      <c r="Q570" s="101">
        <f>IF(H570=1,IF(IFERROR(INDEX(coa_CF,MATCH(K570,coa_Name,0)),"")="Cash",1,0),0)</f>
        <v/>
      </c>
      <c r="R570" s="58">
        <f>IF((P570-Q570)=0,"",IFERROR(INDEX(coa_CF,MATCH(IF((P570-Q570)=1,K570,I570),coa_Name,0)),"Operating"))</f>
        <v/>
      </c>
      <c r="S570" s="95">
        <f>IF((P570-Q570)=1,L570,IF((P570-Q570)=-1,-J570,0))</f>
        <v/>
      </c>
      <c r="T570" s="95">
        <f>IF((P570-Q570)=1,N570,IF((P570-Q570)=-1,-M570,0))</f>
        <v/>
      </c>
      <c r="U570" s="101">
        <f>IF(AND(H570=1,LedAcct&lt;&gt;""),IF(AND(E570&gt;=LedFrom,E570&lt;=LedTo,OR(I570=LedAcct,K570=LedAcct,AND(LedAcct=acctTax,M570+N570&lt;&gt;0))),E570*10000+B570,""),"")</f>
        <v/>
      </c>
    </row>
    <row r="571">
      <c r="B571" s="101" t="n">
        <v>565</v>
      </c>
      <c r="C571" s="58" t="inlineStr">
        <is>
          <t>Transaction</t>
        </is>
      </c>
      <c r="D571" s="58">
        <f>IF(H571=1,INDEX(tx_ID,565)&amp;"","")</f>
        <v/>
      </c>
      <c r="E571" s="94">
        <f>IF(H571=1,INDEX(tx_Date,565),"")</f>
        <v/>
      </c>
      <c r="F571" s="58">
        <f>IF(H571=1,INDEX(tx_Desc,565)&amp;"","")</f>
        <v/>
      </c>
      <c r="G571" s="58">
        <f>IF(H571=1,IF(INDEX(tx_Cust,565)&amp;""&lt;&gt;"",INDEX(tx_Cust,565)&amp;"",INDEX(tx_Vend,565)&amp;""),"")</f>
        <v/>
      </c>
      <c r="H571" s="101">
        <f>IFERROR(N(INDEX(tx_Posted,565)),0)</f>
        <v/>
      </c>
      <c r="I571" s="58">
        <f>IF(H571=1,INDEX(tx_DrAcct,565)&amp;"","")</f>
        <v/>
      </c>
      <c r="J571" s="95">
        <f>IF(H571=1,INDEX(tx_DrAmt,565),0)</f>
        <v/>
      </c>
      <c r="K571" s="58">
        <f>IF(H571=1,INDEX(tx_CrAcct,565)&amp;"","")</f>
        <v/>
      </c>
      <c r="L571" s="95">
        <f>IF(H571=1,INDEX(tx_CrAmt,565),0)</f>
        <v/>
      </c>
      <c r="M571" s="95">
        <f>IF(H571=1,INDEX(tx_TaxDr,565),0)</f>
        <v/>
      </c>
      <c r="N571" s="95">
        <f>IF(H571=1,INDEX(tx_TaxCr,565),0)</f>
        <v/>
      </c>
      <c r="O571" s="101">
        <f>IF(H571=1,IF(E571&lt;FYStart,0,IF(E571&gt;FYEnd,13,YEAR(E571)*12+MONTH(E571)-FYYM+1)),"")</f>
        <v/>
      </c>
      <c r="P571" s="101">
        <f>IF(H571=1,IF(IFERROR(INDEX(coa_CF,MATCH(I571,coa_Name,0)),"")="Cash",1,0),0)</f>
        <v/>
      </c>
      <c r="Q571" s="101">
        <f>IF(H571=1,IF(IFERROR(INDEX(coa_CF,MATCH(K571,coa_Name,0)),"")="Cash",1,0),0)</f>
        <v/>
      </c>
      <c r="R571" s="58">
        <f>IF((P571-Q571)=0,"",IFERROR(INDEX(coa_CF,MATCH(IF((P571-Q571)=1,K571,I571),coa_Name,0)),"Operating"))</f>
        <v/>
      </c>
      <c r="S571" s="95">
        <f>IF((P571-Q571)=1,L571,IF((P571-Q571)=-1,-J571,0))</f>
        <v/>
      </c>
      <c r="T571" s="95">
        <f>IF((P571-Q571)=1,N571,IF((P571-Q571)=-1,-M571,0))</f>
        <v/>
      </c>
      <c r="U571" s="101">
        <f>IF(AND(H571=1,LedAcct&lt;&gt;""),IF(AND(E571&gt;=LedFrom,E571&lt;=LedTo,OR(I571=LedAcct,K571=LedAcct,AND(LedAcct=acctTax,M571+N571&lt;&gt;0))),E571*10000+B571,""),"")</f>
        <v/>
      </c>
    </row>
    <row r="572">
      <c r="B572" s="101" t="n">
        <v>566</v>
      </c>
      <c r="C572" s="58" t="inlineStr">
        <is>
          <t>Transaction</t>
        </is>
      </c>
      <c r="D572" s="58">
        <f>IF(H572=1,INDEX(tx_ID,566)&amp;"","")</f>
        <v/>
      </c>
      <c r="E572" s="94">
        <f>IF(H572=1,INDEX(tx_Date,566),"")</f>
        <v/>
      </c>
      <c r="F572" s="58">
        <f>IF(H572=1,INDEX(tx_Desc,566)&amp;"","")</f>
        <v/>
      </c>
      <c r="G572" s="58">
        <f>IF(H572=1,IF(INDEX(tx_Cust,566)&amp;""&lt;&gt;"",INDEX(tx_Cust,566)&amp;"",INDEX(tx_Vend,566)&amp;""),"")</f>
        <v/>
      </c>
      <c r="H572" s="101">
        <f>IFERROR(N(INDEX(tx_Posted,566)),0)</f>
        <v/>
      </c>
      <c r="I572" s="58">
        <f>IF(H572=1,INDEX(tx_DrAcct,566)&amp;"","")</f>
        <v/>
      </c>
      <c r="J572" s="95">
        <f>IF(H572=1,INDEX(tx_DrAmt,566),0)</f>
        <v/>
      </c>
      <c r="K572" s="58">
        <f>IF(H572=1,INDEX(tx_CrAcct,566)&amp;"","")</f>
        <v/>
      </c>
      <c r="L572" s="95">
        <f>IF(H572=1,INDEX(tx_CrAmt,566),0)</f>
        <v/>
      </c>
      <c r="M572" s="95">
        <f>IF(H572=1,INDEX(tx_TaxDr,566),0)</f>
        <v/>
      </c>
      <c r="N572" s="95">
        <f>IF(H572=1,INDEX(tx_TaxCr,566),0)</f>
        <v/>
      </c>
      <c r="O572" s="101">
        <f>IF(H572=1,IF(E572&lt;FYStart,0,IF(E572&gt;FYEnd,13,YEAR(E572)*12+MONTH(E572)-FYYM+1)),"")</f>
        <v/>
      </c>
      <c r="P572" s="101">
        <f>IF(H572=1,IF(IFERROR(INDEX(coa_CF,MATCH(I572,coa_Name,0)),"")="Cash",1,0),0)</f>
        <v/>
      </c>
      <c r="Q572" s="101">
        <f>IF(H572=1,IF(IFERROR(INDEX(coa_CF,MATCH(K572,coa_Name,0)),"")="Cash",1,0),0)</f>
        <v/>
      </c>
      <c r="R572" s="58">
        <f>IF((P572-Q572)=0,"",IFERROR(INDEX(coa_CF,MATCH(IF((P572-Q572)=1,K572,I572),coa_Name,0)),"Operating"))</f>
        <v/>
      </c>
      <c r="S572" s="95">
        <f>IF((P572-Q572)=1,L572,IF((P572-Q572)=-1,-J572,0))</f>
        <v/>
      </c>
      <c r="T572" s="95">
        <f>IF((P572-Q572)=1,N572,IF((P572-Q572)=-1,-M572,0))</f>
        <v/>
      </c>
      <c r="U572" s="101">
        <f>IF(AND(H572=1,LedAcct&lt;&gt;""),IF(AND(E572&gt;=LedFrom,E572&lt;=LedTo,OR(I572=LedAcct,K572=LedAcct,AND(LedAcct=acctTax,M572+N572&lt;&gt;0))),E572*10000+B572,""),"")</f>
        <v/>
      </c>
    </row>
    <row r="573">
      <c r="B573" s="101" t="n">
        <v>567</v>
      </c>
      <c r="C573" s="58" t="inlineStr">
        <is>
          <t>Transaction</t>
        </is>
      </c>
      <c r="D573" s="58">
        <f>IF(H573=1,INDEX(tx_ID,567)&amp;"","")</f>
        <v/>
      </c>
      <c r="E573" s="94">
        <f>IF(H573=1,INDEX(tx_Date,567),"")</f>
        <v/>
      </c>
      <c r="F573" s="58">
        <f>IF(H573=1,INDEX(tx_Desc,567)&amp;"","")</f>
        <v/>
      </c>
      <c r="G573" s="58">
        <f>IF(H573=1,IF(INDEX(tx_Cust,567)&amp;""&lt;&gt;"",INDEX(tx_Cust,567)&amp;"",INDEX(tx_Vend,567)&amp;""),"")</f>
        <v/>
      </c>
      <c r="H573" s="101">
        <f>IFERROR(N(INDEX(tx_Posted,567)),0)</f>
        <v/>
      </c>
      <c r="I573" s="58">
        <f>IF(H573=1,INDEX(tx_DrAcct,567)&amp;"","")</f>
        <v/>
      </c>
      <c r="J573" s="95">
        <f>IF(H573=1,INDEX(tx_DrAmt,567),0)</f>
        <v/>
      </c>
      <c r="K573" s="58">
        <f>IF(H573=1,INDEX(tx_CrAcct,567)&amp;"","")</f>
        <v/>
      </c>
      <c r="L573" s="95">
        <f>IF(H573=1,INDEX(tx_CrAmt,567),0)</f>
        <v/>
      </c>
      <c r="M573" s="95">
        <f>IF(H573=1,INDEX(tx_TaxDr,567),0)</f>
        <v/>
      </c>
      <c r="N573" s="95">
        <f>IF(H573=1,INDEX(tx_TaxCr,567),0)</f>
        <v/>
      </c>
      <c r="O573" s="101">
        <f>IF(H573=1,IF(E573&lt;FYStart,0,IF(E573&gt;FYEnd,13,YEAR(E573)*12+MONTH(E573)-FYYM+1)),"")</f>
        <v/>
      </c>
      <c r="P573" s="101">
        <f>IF(H573=1,IF(IFERROR(INDEX(coa_CF,MATCH(I573,coa_Name,0)),"")="Cash",1,0),0)</f>
        <v/>
      </c>
      <c r="Q573" s="101">
        <f>IF(H573=1,IF(IFERROR(INDEX(coa_CF,MATCH(K573,coa_Name,0)),"")="Cash",1,0),0)</f>
        <v/>
      </c>
      <c r="R573" s="58">
        <f>IF((P573-Q573)=0,"",IFERROR(INDEX(coa_CF,MATCH(IF((P573-Q573)=1,K573,I573),coa_Name,0)),"Operating"))</f>
        <v/>
      </c>
      <c r="S573" s="95">
        <f>IF((P573-Q573)=1,L573,IF((P573-Q573)=-1,-J573,0))</f>
        <v/>
      </c>
      <c r="T573" s="95">
        <f>IF((P573-Q573)=1,N573,IF((P573-Q573)=-1,-M573,0))</f>
        <v/>
      </c>
      <c r="U573" s="101">
        <f>IF(AND(H573=1,LedAcct&lt;&gt;""),IF(AND(E573&gt;=LedFrom,E573&lt;=LedTo,OR(I573=LedAcct,K573=LedAcct,AND(LedAcct=acctTax,M573+N573&lt;&gt;0))),E573*10000+B573,""),"")</f>
        <v/>
      </c>
    </row>
    <row r="574">
      <c r="B574" s="101" t="n">
        <v>568</v>
      </c>
      <c r="C574" s="58" t="inlineStr">
        <is>
          <t>Transaction</t>
        </is>
      </c>
      <c r="D574" s="58">
        <f>IF(H574=1,INDEX(tx_ID,568)&amp;"","")</f>
        <v/>
      </c>
      <c r="E574" s="94">
        <f>IF(H574=1,INDEX(tx_Date,568),"")</f>
        <v/>
      </c>
      <c r="F574" s="58">
        <f>IF(H574=1,INDEX(tx_Desc,568)&amp;"","")</f>
        <v/>
      </c>
      <c r="G574" s="58">
        <f>IF(H574=1,IF(INDEX(tx_Cust,568)&amp;""&lt;&gt;"",INDEX(tx_Cust,568)&amp;"",INDEX(tx_Vend,568)&amp;""),"")</f>
        <v/>
      </c>
      <c r="H574" s="101">
        <f>IFERROR(N(INDEX(tx_Posted,568)),0)</f>
        <v/>
      </c>
      <c r="I574" s="58">
        <f>IF(H574=1,INDEX(tx_DrAcct,568)&amp;"","")</f>
        <v/>
      </c>
      <c r="J574" s="95">
        <f>IF(H574=1,INDEX(tx_DrAmt,568),0)</f>
        <v/>
      </c>
      <c r="K574" s="58">
        <f>IF(H574=1,INDEX(tx_CrAcct,568)&amp;"","")</f>
        <v/>
      </c>
      <c r="L574" s="95">
        <f>IF(H574=1,INDEX(tx_CrAmt,568),0)</f>
        <v/>
      </c>
      <c r="M574" s="95">
        <f>IF(H574=1,INDEX(tx_TaxDr,568),0)</f>
        <v/>
      </c>
      <c r="N574" s="95">
        <f>IF(H574=1,INDEX(tx_TaxCr,568),0)</f>
        <v/>
      </c>
      <c r="O574" s="101">
        <f>IF(H574=1,IF(E574&lt;FYStart,0,IF(E574&gt;FYEnd,13,YEAR(E574)*12+MONTH(E574)-FYYM+1)),"")</f>
        <v/>
      </c>
      <c r="P574" s="101">
        <f>IF(H574=1,IF(IFERROR(INDEX(coa_CF,MATCH(I574,coa_Name,0)),"")="Cash",1,0),0)</f>
        <v/>
      </c>
      <c r="Q574" s="101">
        <f>IF(H574=1,IF(IFERROR(INDEX(coa_CF,MATCH(K574,coa_Name,0)),"")="Cash",1,0),0)</f>
        <v/>
      </c>
      <c r="R574" s="58">
        <f>IF((P574-Q574)=0,"",IFERROR(INDEX(coa_CF,MATCH(IF((P574-Q574)=1,K574,I574),coa_Name,0)),"Operating"))</f>
        <v/>
      </c>
      <c r="S574" s="95">
        <f>IF((P574-Q574)=1,L574,IF((P574-Q574)=-1,-J574,0))</f>
        <v/>
      </c>
      <c r="T574" s="95">
        <f>IF((P574-Q574)=1,N574,IF((P574-Q574)=-1,-M574,0))</f>
        <v/>
      </c>
      <c r="U574" s="101">
        <f>IF(AND(H574=1,LedAcct&lt;&gt;""),IF(AND(E574&gt;=LedFrom,E574&lt;=LedTo,OR(I574=LedAcct,K574=LedAcct,AND(LedAcct=acctTax,M574+N574&lt;&gt;0))),E574*10000+B574,""),"")</f>
        <v/>
      </c>
    </row>
    <row r="575">
      <c r="B575" s="101" t="n">
        <v>569</v>
      </c>
      <c r="C575" s="58" t="inlineStr">
        <is>
          <t>Transaction</t>
        </is>
      </c>
      <c r="D575" s="58">
        <f>IF(H575=1,INDEX(tx_ID,569)&amp;"","")</f>
        <v/>
      </c>
      <c r="E575" s="94">
        <f>IF(H575=1,INDEX(tx_Date,569),"")</f>
        <v/>
      </c>
      <c r="F575" s="58">
        <f>IF(H575=1,INDEX(tx_Desc,569)&amp;"","")</f>
        <v/>
      </c>
      <c r="G575" s="58">
        <f>IF(H575=1,IF(INDEX(tx_Cust,569)&amp;""&lt;&gt;"",INDEX(tx_Cust,569)&amp;"",INDEX(tx_Vend,569)&amp;""),"")</f>
        <v/>
      </c>
      <c r="H575" s="101">
        <f>IFERROR(N(INDEX(tx_Posted,569)),0)</f>
        <v/>
      </c>
      <c r="I575" s="58">
        <f>IF(H575=1,INDEX(tx_DrAcct,569)&amp;"","")</f>
        <v/>
      </c>
      <c r="J575" s="95">
        <f>IF(H575=1,INDEX(tx_DrAmt,569),0)</f>
        <v/>
      </c>
      <c r="K575" s="58">
        <f>IF(H575=1,INDEX(tx_CrAcct,569)&amp;"","")</f>
        <v/>
      </c>
      <c r="L575" s="95">
        <f>IF(H575=1,INDEX(tx_CrAmt,569),0)</f>
        <v/>
      </c>
      <c r="M575" s="95">
        <f>IF(H575=1,INDEX(tx_TaxDr,569),0)</f>
        <v/>
      </c>
      <c r="N575" s="95">
        <f>IF(H575=1,INDEX(tx_TaxCr,569),0)</f>
        <v/>
      </c>
      <c r="O575" s="101">
        <f>IF(H575=1,IF(E575&lt;FYStart,0,IF(E575&gt;FYEnd,13,YEAR(E575)*12+MONTH(E575)-FYYM+1)),"")</f>
        <v/>
      </c>
      <c r="P575" s="101">
        <f>IF(H575=1,IF(IFERROR(INDEX(coa_CF,MATCH(I575,coa_Name,0)),"")="Cash",1,0),0)</f>
        <v/>
      </c>
      <c r="Q575" s="101">
        <f>IF(H575=1,IF(IFERROR(INDEX(coa_CF,MATCH(K575,coa_Name,0)),"")="Cash",1,0),0)</f>
        <v/>
      </c>
      <c r="R575" s="58">
        <f>IF((P575-Q575)=0,"",IFERROR(INDEX(coa_CF,MATCH(IF((P575-Q575)=1,K575,I575),coa_Name,0)),"Operating"))</f>
        <v/>
      </c>
      <c r="S575" s="95">
        <f>IF((P575-Q575)=1,L575,IF((P575-Q575)=-1,-J575,0))</f>
        <v/>
      </c>
      <c r="T575" s="95">
        <f>IF((P575-Q575)=1,N575,IF((P575-Q575)=-1,-M575,0))</f>
        <v/>
      </c>
      <c r="U575" s="101">
        <f>IF(AND(H575=1,LedAcct&lt;&gt;""),IF(AND(E575&gt;=LedFrom,E575&lt;=LedTo,OR(I575=LedAcct,K575=LedAcct,AND(LedAcct=acctTax,M575+N575&lt;&gt;0))),E575*10000+B575,""),"")</f>
        <v/>
      </c>
    </row>
    <row r="576">
      <c r="B576" s="101" t="n">
        <v>570</v>
      </c>
      <c r="C576" s="58" t="inlineStr">
        <is>
          <t>Transaction</t>
        </is>
      </c>
      <c r="D576" s="58">
        <f>IF(H576=1,INDEX(tx_ID,570)&amp;"","")</f>
        <v/>
      </c>
      <c r="E576" s="94">
        <f>IF(H576=1,INDEX(tx_Date,570),"")</f>
        <v/>
      </c>
      <c r="F576" s="58">
        <f>IF(H576=1,INDEX(tx_Desc,570)&amp;"","")</f>
        <v/>
      </c>
      <c r="G576" s="58">
        <f>IF(H576=1,IF(INDEX(tx_Cust,570)&amp;""&lt;&gt;"",INDEX(tx_Cust,570)&amp;"",INDEX(tx_Vend,570)&amp;""),"")</f>
        <v/>
      </c>
      <c r="H576" s="101">
        <f>IFERROR(N(INDEX(tx_Posted,570)),0)</f>
        <v/>
      </c>
      <c r="I576" s="58">
        <f>IF(H576=1,INDEX(tx_DrAcct,570)&amp;"","")</f>
        <v/>
      </c>
      <c r="J576" s="95">
        <f>IF(H576=1,INDEX(tx_DrAmt,570),0)</f>
        <v/>
      </c>
      <c r="K576" s="58">
        <f>IF(H576=1,INDEX(tx_CrAcct,570)&amp;"","")</f>
        <v/>
      </c>
      <c r="L576" s="95">
        <f>IF(H576=1,INDEX(tx_CrAmt,570),0)</f>
        <v/>
      </c>
      <c r="M576" s="95">
        <f>IF(H576=1,INDEX(tx_TaxDr,570),0)</f>
        <v/>
      </c>
      <c r="N576" s="95">
        <f>IF(H576=1,INDEX(tx_TaxCr,570),0)</f>
        <v/>
      </c>
      <c r="O576" s="101">
        <f>IF(H576=1,IF(E576&lt;FYStart,0,IF(E576&gt;FYEnd,13,YEAR(E576)*12+MONTH(E576)-FYYM+1)),"")</f>
        <v/>
      </c>
      <c r="P576" s="101">
        <f>IF(H576=1,IF(IFERROR(INDEX(coa_CF,MATCH(I576,coa_Name,0)),"")="Cash",1,0),0)</f>
        <v/>
      </c>
      <c r="Q576" s="101">
        <f>IF(H576=1,IF(IFERROR(INDEX(coa_CF,MATCH(K576,coa_Name,0)),"")="Cash",1,0),0)</f>
        <v/>
      </c>
      <c r="R576" s="58">
        <f>IF((P576-Q576)=0,"",IFERROR(INDEX(coa_CF,MATCH(IF((P576-Q576)=1,K576,I576),coa_Name,0)),"Operating"))</f>
        <v/>
      </c>
      <c r="S576" s="95">
        <f>IF((P576-Q576)=1,L576,IF((P576-Q576)=-1,-J576,0))</f>
        <v/>
      </c>
      <c r="T576" s="95">
        <f>IF((P576-Q576)=1,N576,IF((P576-Q576)=-1,-M576,0))</f>
        <v/>
      </c>
      <c r="U576" s="101">
        <f>IF(AND(H576=1,LedAcct&lt;&gt;""),IF(AND(E576&gt;=LedFrom,E576&lt;=LedTo,OR(I576=LedAcct,K576=LedAcct,AND(LedAcct=acctTax,M576+N576&lt;&gt;0))),E576*10000+B576,""),"")</f>
        <v/>
      </c>
    </row>
    <row r="577">
      <c r="B577" s="101" t="n">
        <v>571</v>
      </c>
      <c r="C577" s="58" t="inlineStr">
        <is>
          <t>Transaction</t>
        </is>
      </c>
      <c r="D577" s="58">
        <f>IF(H577=1,INDEX(tx_ID,571)&amp;"","")</f>
        <v/>
      </c>
      <c r="E577" s="94">
        <f>IF(H577=1,INDEX(tx_Date,571),"")</f>
        <v/>
      </c>
      <c r="F577" s="58">
        <f>IF(H577=1,INDEX(tx_Desc,571)&amp;"","")</f>
        <v/>
      </c>
      <c r="G577" s="58">
        <f>IF(H577=1,IF(INDEX(tx_Cust,571)&amp;""&lt;&gt;"",INDEX(tx_Cust,571)&amp;"",INDEX(tx_Vend,571)&amp;""),"")</f>
        <v/>
      </c>
      <c r="H577" s="101">
        <f>IFERROR(N(INDEX(tx_Posted,571)),0)</f>
        <v/>
      </c>
      <c r="I577" s="58">
        <f>IF(H577=1,INDEX(tx_DrAcct,571)&amp;"","")</f>
        <v/>
      </c>
      <c r="J577" s="95">
        <f>IF(H577=1,INDEX(tx_DrAmt,571),0)</f>
        <v/>
      </c>
      <c r="K577" s="58">
        <f>IF(H577=1,INDEX(tx_CrAcct,571)&amp;"","")</f>
        <v/>
      </c>
      <c r="L577" s="95">
        <f>IF(H577=1,INDEX(tx_CrAmt,571),0)</f>
        <v/>
      </c>
      <c r="M577" s="95">
        <f>IF(H577=1,INDEX(tx_TaxDr,571),0)</f>
        <v/>
      </c>
      <c r="N577" s="95">
        <f>IF(H577=1,INDEX(tx_TaxCr,571),0)</f>
        <v/>
      </c>
      <c r="O577" s="101">
        <f>IF(H577=1,IF(E577&lt;FYStart,0,IF(E577&gt;FYEnd,13,YEAR(E577)*12+MONTH(E577)-FYYM+1)),"")</f>
        <v/>
      </c>
      <c r="P577" s="101">
        <f>IF(H577=1,IF(IFERROR(INDEX(coa_CF,MATCH(I577,coa_Name,0)),"")="Cash",1,0),0)</f>
        <v/>
      </c>
      <c r="Q577" s="101">
        <f>IF(H577=1,IF(IFERROR(INDEX(coa_CF,MATCH(K577,coa_Name,0)),"")="Cash",1,0),0)</f>
        <v/>
      </c>
      <c r="R577" s="58">
        <f>IF((P577-Q577)=0,"",IFERROR(INDEX(coa_CF,MATCH(IF((P577-Q577)=1,K577,I577),coa_Name,0)),"Operating"))</f>
        <v/>
      </c>
      <c r="S577" s="95">
        <f>IF((P577-Q577)=1,L577,IF((P577-Q577)=-1,-J577,0))</f>
        <v/>
      </c>
      <c r="T577" s="95">
        <f>IF((P577-Q577)=1,N577,IF((P577-Q577)=-1,-M577,0))</f>
        <v/>
      </c>
      <c r="U577" s="101">
        <f>IF(AND(H577=1,LedAcct&lt;&gt;""),IF(AND(E577&gt;=LedFrom,E577&lt;=LedTo,OR(I577=LedAcct,K577=LedAcct,AND(LedAcct=acctTax,M577+N577&lt;&gt;0))),E577*10000+B577,""),"")</f>
        <v/>
      </c>
    </row>
    <row r="578">
      <c r="B578" s="101" t="n">
        <v>572</v>
      </c>
      <c r="C578" s="58" t="inlineStr">
        <is>
          <t>Transaction</t>
        </is>
      </c>
      <c r="D578" s="58">
        <f>IF(H578=1,INDEX(tx_ID,572)&amp;"","")</f>
        <v/>
      </c>
      <c r="E578" s="94">
        <f>IF(H578=1,INDEX(tx_Date,572),"")</f>
        <v/>
      </c>
      <c r="F578" s="58">
        <f>IF(H578=1,INDEX(tx_Desc,572)&amp;"","")</f>
        <v/>
      </c>
      <c r="G578" s="58">
        <f>IF(H578=1,IF(INDEX(tx_Cust,572)&amp;""&lt;&gt;"",INDEX(tx_Cust,572)&amp;"",INDEX(tx_Vend,572)&amp;""),"")</f>
        <v/>
      </c>
      <c r="H578" s="101">
        <f>IFERROR(N(INDEX(tx_Posted,572)),0)</f>
        <v/>
      </c>
      <c r="I578" s="58">
        <f>IF(H578=1,INDEX(tx_DrAcct,572)&amp;"","")</f>
        <v/>
      </c>
      <c r="J578" s="95">
        <f>IF(H578=1,INDEX(tx_DrAmt,572),0)</f>
        <v/>
      </c>
      <c r="K578" s="58">
        <f>IF(H578=1,INDEX(tx_CrAcct,572)&amp;"","")</f>
        <v/>
      </c>
      <c r="L578" s="95">
        <f>IF(H578=1,INDEX(tx_CrAmt,572),0)</f>
        <v/>
      </c>
      <c r="M578" s="95">
        <f>IF(H578=1,INDEX(tx_TaxDr,572),0)</f>
        <v/>
      </c>
      <c r="N578" s="95">
        <f>IF(H578=1,INDEX(tx_TaxCr,572),0)</f>
        <v/>
      </c>
      <c r="O578" s="101">
        <f>IF(H578=1,IF(E578&lt;FYStart,0,IF(E578&gt;FYEnd,13,YEAR(E578)*12+MONTH(E578)-FYYM+1)),"")</f>
        <v/>
      </c>
      <c r="P578" s="101">
        <f>IF(H578=1,IF(IFERROR(INDEX(coa_CF,MATCH(I578,coa_Name,0)),"")="Cash",1,0),0)</f>
        <v/>
      </c>
      <c r="Q578" s="101">
        <f>IF(H578=1,IF(IFERROR(INDEX(coa_CF,MATCH(K578,coa_Name,0)),"")="Cash",1,0),0)</f>
        <v/>
      </c>
      <c r="R578" s="58">
        <f>IF((P578-Q578)=0,"",IFERROR(INDEX(coa_CF,MATCH(IF((P578-Q578)=1,K578,I578),coa_Name,0)),"Operating"))</f>
        <v/>
      </c>
      <c r="S578" s="95">
        <f>IF((P578-Q578)=1,L578,IF((P578-Q578)=-1,-J578,0))</f>
        <v/>
      </c>
      <c r="T578" s="95">
        <f>IF((P578-Q578)=1,N578,IF((P578-Q578)=-1,-M578,0))</f>
        <v/>
      </c>
      <c r="U578" s="101">
        <f>IF(AND(H578=1,LedAcct&lt;&gt;""),IF(AND(E578&gt;=LedFrom,E578&lt;=LedTo,OR(I578=LedAcct,K578=LedAcct,AND(LedAcct=acctTax,M578+N578&lt;&gt;0))),E578*10000+B578,""),"")</f>
        <v/>
      </c>
    </row>
    <row r="579">
      <c r="B579" s="101" t="n">
        <v>573</v>
      </c>
      <c r="C579" s="58" t="inlineStr">
        <is>
          <t>Transaction</t>
        </is>
      </c>
      <c r="D579" s="58">
        <f>IF(H579=1,INDEX(tx_ID,573)&amp;"","")</f>
        <v/>
      </c>
      <c r="E579" s="94">
        <f>IF(H579=1,INDEX(tx_Date,573),"")</f>
        <v/>
      </c>
      <c r="F579" s="58">
        <f>IF(H579=1,INDEX(tx_Desc,573)&amp;"","")</f>
        <v/>
      </c>
      <c r="G579" s="58">
        <f>IF(H579=1,IF(INDEX(tx_Cust,573)&amp;""&lt;&gt;"",INDEX(tx_Cust,573)&amp;"",INDEX(tx_Vend,573)&amp;""),"")</f>
        <v/>
      </c>
      <c r="H579" s="101">
        <f>IFERROR(N(INDEX(tx_Posted,573)),0)</f>
        <v/>
      </c>
      <c r="I579" s="58">
        <f>IF(H579=1,INDEX(tx_DrAcct,573)&amp;"","")</f>
        <v/>
      </c>
      <c r="J579" s="95">
        <f>IF(H579=1,INDEX(tx_DrAmt,573),0)</f>
        <v/>
      </c>
      <c r="K579" s="58">
        <f>IF(H579=1,INDEX(tx_CrAcct,573)&amp;"","")</f>
        <v/>
      </c>
      <c r="L579" s="95">
        <f>IF(H579=1,INDEX(tx_CrAmt,573),0)</f>
        <v/>
      </c>
      <c r="M579" s="95">
        <f>IF(H579=1,INDEX(tx_TaxDr,573),0)</f>
        <v/>
      </c>
      <c r="N579" s="95">
        <f>IF(H579=1,INDEX(tx_TaxCr,573),0)</f>
        <v/>
      </c>
      <c r="O579" s="101">
        <f>IF(H579=1,IF(E579&lt;FYStart,0,IF(E579&gt;FYEnd,13,YEAR(E579)*12+MONTH(E579)-FYYM+1)),"")</f>
        <v/>
      </c>
      <c r="P579" s="101">
        <f>IF(H579=1,IF(IFERROR(INDEX(coa_CF,MATCH(I579,coa_Name,0)),"")="Cash",1,0),0)</f>
        <v/>
      </c>
      <c r="Q579" s="101">
        <f>IF(H579=1,IF(IFERROR(INDEX(coa_CF,MATCH(K579,coa_Name,0)),"")="Cash",1,0),0)</f>
        <v/>
      </c>
      <c r="R579" s="58">
        <f>IF((P579-Q579)=0,"",IFERROR(INDEX(coa_CF,MATCH(IF((P579-Q579)=1,K579,I579),coa_Name,0)),"Operating"))</f>
        <v/>
      </c>
      <c r="S579" s="95">
        <f>IF((P579-Q579)=1,L579,IF((P579-Q579)=-1,-J579,0))</f>
        <v/>
      </c>
      <c r="T579" s="95">
        <f>IF((P579-Q579)=1,N579,IF((P579-Q579)=-1,-M579,0))</f>
        <v/>
      </c>
      <c r="U579" s="101">
        <f>IF(AND(H579=1,LedAcct&lt;&gt;""),IF(AND(E579&gt;=LedFrom,E579&lt;=LedTo,OR(I579=LedAcct,K579=LedAcct,AND(LedAcct=acctTax,M579+N579&lt;&gt;0))),E579*10000+B579,""),"")</f>
        <v/>
      </c>
    </row>
    <row r="580">
      <c r="B580" s="101" t="n">
        <v>574</v>
      </c>
      <c r="C580" s="58" t="inlineStr">
        <is>
          <t>Transaction</t>
        </is>
      </c>
      <c r="D580" s="58">
        <f>IF(H580=1,INDEX(tx_ID,574)&amp;"","")</f>
        <v/>
      </c>
      <c r="E580" s="94">
        <f>IF(H580=1,INDEX(tx_Date,574),"")</f>
        <v/>
      </c>
      <c r="F580" s="58">
        <f>IF(H580=1,INDEX(tx_Desc,574)&amp;"","")</f>
        <v/>
      </c>
      <c r="G580" s="58">
        <f>IF(H580=1,IF(INDEX(tx_Cust,574)&amp;""&lt;&gt;"",INDEX(tx_Cust,574)&amp;"",INDEX(tx_Vend,574)&amp;""),"")</f>
        <v/>
      </c>
      <c r="H580" s="101">
        <f>IFERROR(N(INDEX(tx_Posted,574)),0)</f>
        <v/>
      </c>
      <c r="I580" s="58">
        <f>IF(H580=1,INDEX(tx_DrAcct,574)&amp;"","")</f>
        <v/>
      </c>
      <c r="J580" s="95">
        <f>IF(H580=1,INDEX(tx_DrAmt,574),0)</f>
        <v/>
      </c>
      <c r="K580" s="58">
        <f>IF(H580=1,INDEX(tx_CrAcct,574)&amp;"","")</f>
        <v/>
      </c>
      <c r="L580" s="95">
        <f>IF(H580=1,INDEX(tx_CrAmt,574),0)</f>
        <v/>
      </c>
      <c r="M580" s="95">
        <f>IF(H580=1,INDEX(tx_TaxDr,574),0)</f>
        <v/>
      </c>
      <c r="N580" s="95">
        <f>IF(H580=1,INDEX(tx_TaxCr,574),0)</f>
        <v/>
      </c>
      <c r="O580" s="101">
        <f>IF(H580=1,IF(E580&lt;FYStart,0,IF(E580&gt;FYEnd,13,YEAR(E580)*12+MONTH(E580)-FYYM+1)),"")</f>
        <v/>
      </c>
      <c r="P580" s="101">
        <f>IF(H580=1,IF(IFERROR(INDEX(coa_CF,MATCH(I580,coa_Name,0)),"")="Cash",1,0),0)</f>
        <v/>
      </c>
      <c r="Q580" s="101">
        <f>IF(H580=1,IF(IFERROR(INDEX(coa_CF,MATCH(K580,coa_Name,0)),"")="Cash",1,0),0)</f>
        <v/>
      </c>
      <c r="R580" s="58">
        <f>IF((P580-Q580)=0,"",IFERROR(INDEX(coa_CF,MATCH(IF((P580-Q580)=1,K580,I580),coa_Name,0)),"Operating"))</f>
        <v/>
      </c>
      <c r="S580" s="95">
        <f>IF((P580-Q580)=1,L580,IF((P580-Q580)=-1,-J580,0))</f>
        <v/>
      </c>
      <c r="T580" s="95">
        <f>IF((P580-Q580)=1,N580,IF((P580-Q580)=-1,-M580,0))</f>
        <v/>
      </c>
      <c r="U580" s="101">
        <f>IF(AND(H580=1,LedAcct&lt;&gt;""),IF(AND(E580&gt;=LedFrom,E580&lt;=LedTo,OR(I580=LedAcct,K580=LedAcct,AND(LedAcct=acctTax,M580+N580&lt;&gt;0))),E580*10000+B580,""),"")</f>
        <v/>
      </c>
    </row>
    <row r="581">
      <c r="B581" s="101" t="n">
        <v>575</v>
      </c>
      <c r="C581" s="58" t="inlineStr">
        <is>
          <t>Transaction</t>
        </is>
      </c>
      <c r="D581" s="58">
        <f>IF(H581=1,INDEX(tx_ID,575)&amp;"","")</f>
        <v/>
      </c>
      <c r="E581" s="94">
        <f>IF(H581=1,INDEX(tx_Date,575),"")</f>
        <v/>
      </c>
      <c r="F581" s="58">
        <f>IF(H581=1,INDEX(tx_Desc,575)&amp;"","")</f>
        <v/>
      </c>
      <c r="G581" s="58">
        <f>IF(H581=1,IF(INDEX(tx_Cust,575)&amp;""&lt;&gt;"",INDEX(tx_Cust,575)&amp;"",INDEX(tx_Vend,575)&amp;""),"")</f>
        <v/>
      </c>
      <c r="H581" s="101">
        <f>IFERROR(N(INDEX(tx_Posted,575)),0)</f>
        <v/>
      </c>
      <c r="I581" s="58">
        <f>IF(H581=1,INDEX(tx_DrAcct,575)&amp;"","")</f>
        <v/>
      </c>
      <c r="J581" s="95">
        <f>IF(H581=1,INDEX(tx_DrAmt,575),0)</f>
        <v/>
      </c>
      <c r="K581" s="58">
        <f>IF(H581=1,INDEX(tx_CrAcct,575)&amp;"","")</f>
        <v/>
      </c>
      <c r="L581" s="95">
        <f>IF(H581=1,INDEX(tx_CrAmt,575),0)</f>
        <v/>
      </c>
      <c r="M581" s="95">
        <f>IF(H581=1,INDEX(tx_TaxDr,575),0)</f>
        <v/>
      </c>
      <c r="N581" s="95">
        <f>IF(H581=1,INDEX(tx_TaxCr,575),0)</f>
        <v/>
      </c>
      <c r="O581" s="101">
        <f>IF(H581=1,IF(E581&lt;FYStart,0,IF(E581&gt;FYEnd,13,YEAR(E581)*12+MONTH(E581)-FYYM+1)),"")</f>
        <v/>
      </c>
      <c r="P581" s="101">
        <f>IF(H581=1,IF(IFERROR(INDEX(coa_CF,MATCH(I581,coa_Name,0)),"")="Cash",1,0),0)</f>
        <v/>
      </c>
      <c r="Q581" s="101">
        <f>IF(H581=1,IF(IFERROR(INDEX(coa_CF,MATCH(K581,coa_Name,0)),"")="Cash",1,0),0)</f>
        <v/>
      </c>
      <c r="R581" s="58">
        <f>IF((P581-Q581)=0,"",IFERROR(INDEX(coa_CF,MATCH(IF((P581-Q581)=1,K581,I581),coa_Name,0)),"Operating"))</f>
        <v/>
      </c>
      <c r="S581" s="95">
        <f>IF((P581-Q581)=1,L581,IF((P581-Q581)=-1,-J581,0))</f>
        <v/>
      </c>
      <c r="T581" s="95">
        <f>IF((P581-Q581)=1,N581,IF((P581-Q581)=-1,-M581,0))</f>
        <v/>
      </c>
      <c r="U581" s="101">
        <f>IF(AND(H581=1,LedAcct&lt;&gt;""),IF(AND(E581&gt;=LedFrom,E581&lt;=LedTo,OR(I581=LedAcct,K581=LedAcct,AND(LedAcct=acctTax,M581+N581&lt;&gt;0))),E581*10000+B581,""),"")</f>
        <v/>
      </c>
    </row>
    <row r="582">
      <c r="B582" s="101" t="n">
        <v>576</v>
      </c>
      <c r="C582" s="58" t="inlineStr">
        <is>
          <t>Transaction</t>
        </is>
      </c>
      <c r="D582" s="58">
        <f>IF(H582=1,INDEX(tx_ID,576)&amp;"","")</f>
        <v/>
      </c>
      <c r="E582" s="94">
        <f>IF(H582=1,INDEX(tx_Date,576),"")</f>
        <v/>
      </c>
      <c r="F582" s="58">
        <f>IF(H582=1,INDEX(tx_Desc,576)&amp;"","")</f>
        <v/>
      </c>
      <c r="G582" s="58">
        <f>IF(H582=1,IF(INDEX(tx_Cust,576)&amp;""&lt;&gt;"",INDEX(tx_Cust,576)&amp;"",INDEX(tx_Vend,576)&amp;""),"")</f>
        <v/>
      </c>
      <c r="H582" s="101">
        <f>IFERROR(N(INDEX(tx_Posted,576)),0)</f>
        <v/>
      </c>
      <c r="I582" s="58">
        <f>IF(H582=1,INDEX(tx_DrAcct,576)&amp;"","")</f>
        <v/>
      </c>
      <c r="J582" s="95">
        <f>IF(H582=1,INDEX(tx_DrAmt,576),0)</f>
        <v/>
      </c>
      <c r="K582" s="58">
        <f>IF(H582=1,INDEX(tx_CrAcct,576)&amp;"","")</f>
        <v/>
      </c>
      <c r="L582" s="95">
        <f>IF(H582=1,INDEX(tx_CrAmt,576),0)</f>
        <v/>
      </c>
      <c r="M582" s="95">
        <f>IF(H582=1,INDEX(tx_TaxDr,576),0)</f>
        <v/>
      </c>
      <c r="N582" s="95">
        <f>IF(H582=1,INDEX(tx_TaxCr,576),0)</f>
        <v/>
      </c>
      <c r="O582" s="101">
        <f>IF(H582=1,IF(E582&lt;FYStart,0,IF(E582&gt;FYEnd,13,YEAR(E582)*12+MONTH(E582)-FYYM+1)),"")</f>
        <v/>
      </c>
      <c r="P582" s="101">
        <f>IF(H582=1,IF(IFERROR(INDEX(coa_CF,MATCH(I582,coa_Name,0)),"")="Cash",1,0),0)</f>
        <v/>
      </c>
      <c r="Q582" s="101">
        <f>IF(H582=1,IF(IFERROR(INDEX(coa_CF,MATCH(K582,coa_Name,0)),"")="Cash",1,0),0)</f>
        <v/>
      </c>
      <c r="R582" s="58">
        <f>IF((P582-Q582)=0,"",IFERROR(INDEX(coa_CF,MATCH(IF((P582-Q582)=1,K582,I582),coa_Name,0)),"Operating"))</f>
        <v/>
      </c>
      <c r="S582" s="95">
        <f>IF((P582-Q582)=1,L582,IF((P582-Q582)=-1,-J582,0))</f>
        <v/>
      </c>
      <c r="T582" s="95">
        <f>IF((P582-Q582)=1,N582,IF((P582-Q582)=-1,-M582,0))</f>
        <v/>
      </c>
      <c r="U582" s="101">
        <f>IF(AND(H582=1,LedAcct&lt;&gt;""),IF(AND(E582&gt;=LedFrom,E582&lt;=LedTo,OR(I582=LedAcct,K582=LedAcct,AND(LedAcct=acctTax,M582+N582&lt;&gt;0))),E582*10000+B582,""),"")</f>
        <v/>
      </c>
    </row>
    <row r="583">
      <c r="B583" s="101" t="n">
        <v>577</v>
      </c>
      <c r="C583" s="58" t="inlineStr">
        <is>
          <t>Transaction</t>
        </is>
      </c>
      <c r="D583" s="58">
        <f>IF(H583=1,INDEX(tx_ID,577)&amp;"","")</f>
        <v/>
      </c>
      <c r="E583" s="94">
        <f>IF(H583=1,INDEX(tx_Date,577),"")</f>
        <v/>
      </c>
      <c r="F583" s="58">
        <f>IF(H583=1,INDEX(tx_Desc,577)&amp;"","")</f>
        <v/>
      </c>
      <c r="G583" s="58">
        <f>IF(H583=1,IF(INDEX(tx_Cust,577)&amp;""&lt;&gt;"",INDEX(tx_Cust,577)&amp;"",INDEX(tx_Vend,577)&amp;""),"")</f>
        <v/>
      </c>
      <c r="H583" s="101">
        <f>IFERROR(N(INDEX(tx_Posted,577)),0)</f>
        <v/>
      </c>
      <c r="I583" s="58">
        <f>IF(H583=1,INDEX(tx_DrAcct,577)&amp;"","")</f>
        <v/>
      </c>
      <c r="J583" s="95">
        <f>IF(H583=1,INDEX(tx_DrAmt,577),0)</f>
        <v/>
      </c>
      <c r="K583" s="58">
        <f>IF(H583=1,INDEX(tx_CrAcct,577)&amp;"","")</f>
        <v/>
      </c>
      <c r="L583" s="95">
        <f>IF(H583=1,INDEX(tx_CrAmt,577),0)</f>
        <v/>
      </c>
      <c r="M583" s="95">
        <f>IF(H583=1,INDEX(tx_TaxDr,577),0)</f>
        <v/>
      </c>
      <c r="N583" s="95">
        <f>IF(H583=1,INDEX(tx_TaxCr,577),0)</f>
        <v/>
      </c>
      <c r="O583" s="101">
        <f>IF(H583=1,IF(E583&lt;FYStart,0,IF(E583&gt;FYEnd,13,YEAR(E583)*12+MONTH(E583)-FYYM+1)),"")</f>
        <v/>
      </c>
      <c r="P583" s="101">
        <f>IF(H583=1,IF(IFERROR(INDEX(coa_CF,MATCH(I583,coa_Name,0)),"")="Cash",1,0),0)</f>
        <v/>
      </c>
      <c r="Q583" s="101">
        <f>IF(H583=1,IF(IFERROR(INDEX(coa_CF,MATCH(K583,coa_Name,0)),"")="Cash",1,0),0)</f>
        <v/>
      </c>
      <c r="R583" s="58">
        <f>IF((P583-Q583)=0,"",IFERROR(INDEX(coa_CF,MATCH(IF((P583-Q583)=1,K583,I583),coa_Name,0)),"Operating"))</f>
        <v/>
      </c>
      <c r="S583" s="95">
        <f>IF((P583-Q583)=1,L583,IF((P583-Q583)=-1,-J583,0))</f>
        <v/>
      </c>
      <c r="T583" s="95">
        <f>IF((P583-Q583)=1,N583,IF((P583-Q583)=-1,-M583,0))</f>
        <v/>
      </c>
      <c r="U583" s="101">
        <f>IF(AND(H583=1,LedAcct&lt;&gt;""),IF(AND(E583&gt;=LedFrom,E583&lt;=LedTo,OR(I583=LedAcct,K583=LedAcct,AND(LedAcct=acctTax,M583+N583&lt;&gt;0))),E583*10000+B583,""),"")</f>
        <v/>
      </c>
    </row>
    <row r="584">
      <c r="B584" s="101" t="n">
        <v>578</v>
      </c>
      <c r="C584" s="58" t="inlineStr">
        <is>
          <t>Transaction</t>
        </is>
      </c>
      <c r="D584" s="58">
        <f>IF(H584=1,INDEX(tx_ID,578)&amp;"","")</f>
        <v/>
      </c>
      <c r="E584" s="94">
        <f>IF(H584=1,INDEX(tx_Date,578),"")</f>
        <v/>
      </c>
      <c r="F584" s="58">
        <f>IF(H584=1,INDEX(tx_Desc,578)&amp;"","")</f>
        <v/>
      </c>
      <c r="G584" s="58">
        <f>IF(H584=1,IF(INDEX(tx_Cust,578)&amp;""&lt;&gt;"",INDEX(tx_Cust,578)&amp;"",INDEX(tx_Vend,578)&amp;""),"")</f>
        <v/>
      </c>
      <c r="H584" s="101">
        <f>IFERROR(N(INDEX(tx_Posted,578)),0)</f>
        <v/>
      </c>
      <c r="I584" s="58">
        <f>IF(H584=1,INDEX(tx_DrAcct,578)&amp;"","")</f>
        <v/>
      </c>
      <c r="J584" s="95">
        <f>IF(H584=1,INDEX(tx_DrAmt,578),0)</f>
        <v/>
      </c>
      <c r="K584" s="58">
        <f>IF(H584=1,INDEX(tx_CrAcct,578)&amp;"","")</f>
        <v/>
      </c>
      <c r="L584" s="95">
        <f>IF(H584=1,INDEX(tx_CrAmt,578),0)</f>
        <v/>
      </c>
      <c r="M584" s="95">
        <f>IF(H584=1,INDEX(tx_TaxDr,578),0)</f>
        <v/>
      </c>
      <c r="N584" s="95">
        <f>IF(H584=1,INDEX(tx_TaxCr,578),0)</f>
        <v/>
      </c>
      <c r="O584" s="101">
        <f>IF(H584=1,IF(E584&lt;FYStart,0,IF(E584&gt;FYEnd,13,YEAR(E584)*12+MONTH(E584)-FYYM+1)),"")</f>
        <v/>
      </c>
      <c r="P584" s="101">
        <f>IF(H584=1,IF(IFERROR(INDEX(coa_CF,MATCH(I584,coa_Name,0)),"")="Cash",1,0),0)</f>
        <v/>
      </c>
      <c r="Q584" s="101">
        <f>IF(H584=1,IF(IFERROR(INDEX(coa_CF,MATCH(K584,coa_Name,0)),"")="Cash",1,0),0)</f>
        <v/>
      </c>
      <c r="R584" s="58">
        <f>IF((P584-Q584)=0,"",IFERROR(INDEX(coa_CF,MATCH(IF((P584-Q584)=1,K584,I584),coa_Name,0)),"Operating"))</f>
        <v/>
      </c>
      <c r="S584" s="95">
        <f>IF((P584-Q584)=1,L584,IF((P584-Q584)=-1,-J584,0))</f>
        <v/>
      </c>
      <c r="T584" s="95">
        <f>IF((P584-Q584)=1,N584,IF((P584-Q584)=-1,-M584,0))</f>
        <v/>
      </c>
      <c r="U584" s="101">
        <f>IF(AND(H584=1,LedAcct&lt;&gt;""),IF(AND(E584&gt;=LedFrom,E584&lt;=LedTo,OR(I584=LedAcct,K584=LedAcct,AND(LedAcct=acctTax,M584+N584&lt;&gt;0))),E584*10000+B584,""),"")</f>
        <v/>
      </c>
    </row>
    <row r="585">
      <c r="B585" s="101" t="n">
        <v>579</v>
      </c>
      <c r="C585" s="58" t="inlineStr">
        <is>
          <t>Transaction</t>
        </is>
      </c>
      <c r="D585" s="58">
        <f>IF(H585=1,INDEX(tx_ID,579)&amp;"","")</f>
        <v/>
      </c>
      <c r="E585" s="94">
        <f>IF(H585=1,INDEX(tx_Date,579),"")</f>
        <v/>
      </c>
      <c r="F585" s="58">
        <f>IF(H585=1,INDEX(tx_Desc,579)&amp;"","")</f>
        <v/>
      </c>
      <c r="G585" s="58">
        <f>IF(H585=1,IF(INDEX(tx_Cust,579)&amp;""&lt;&gt;"",INDEX(tx_Cust,579)&amp;"",INDEX(tx_Vend,579)&amp;""),"")</f>
        <v/>
      </c>
      <c r="H585" s="101">
        <f>IFERROR(N(INDEX(tx_Posted,579)),0)</f>
        <v/>
      </c>
      <c r="I585" s="58">
        <f>IF(H585=1,INDEX(tx_DrAcct,579)&amp;"","")</f>
        <v/>
      </c>
      <c r="J585" s="95">
        <f>IF(H585=1,INDEX(tx_DrAmt,579),0)</f>
        <v/>
      </c>
      <c r="K585" s="58">
        <f>IF(H585=1,INDEX(tx_CrAcct,579)&amp;"","")</f>
        <v/>
      </c>
      <c r="L585" s="95">
        <f>IF(H585=1,INDEX(tx_CrAmt,579),0)</f>
        <v/>
      </c>
      <c r="M585" s="95">
        <f>IF(H585=1,INDEX(tx_TaxDr,579),0)</f>
        <v/>
      </c>
      <c r="N585" s="95">
        <f>IF(H585=1,INDEX(tx_TaxCr,579),0)</f>
        <v/>
      </c>
      <c r="O585" s="101">
        <f>IF(H585=1,IF(E585&lt;FYStart,0,IF(E585&gt;FYEnd,13,YEAR(E585)*12+MONTH(E585)-FYYM+1)),"")</f>
        <v/>
      </c>
      <c r="P585" s="101">
        <f>IF(H585=1,IF(IFERROR(INDEX(coa_CF,MATCH(I585,coa_Name,0)),"")="Cash",1,0),0)</f>
        <v/>
      </c>
      <c r="Q585" s="101">
        <f>IF(H585=1,IF(IFERROR(INDEX(coa_CF,MATCH(K585,coa_Name,0)),"")="Cash",1,0),0)</f>
        <v/>
      </c>
      <c r="R585" s="58">
        <f>IF((P585-Q585)=0,"",IFERROR(INDEX(coa_CF,MATCH(IF((P585-Q585)=1,K585,I585),coa_Name,0)),"Operating"))</f>
        <v/>
      </c>
      <c r="S585" s="95">
        <f>IF((P585-Q585)=1,L585,IF((P585-Q585)=-1,-J585,0))</f>
        <v/>
      </c>
      <c r="T585" s="95">
        <f>IF((P585-Q585)=1,N585,IF((P585-Q585)=-1,-M585,0))</f>
        <v/>
      </c>
      <c r="U585" s="101">
        <f>IF(AND(H585=1,LedAcct&lt;&gt;""),IF(AND(E585&gt;=LedFrom,E585&lt;=LedTo,OR(I585=LedAcct,K585=LedAcct,AND(LedAcct=acctTax,M585+N585&lt;&gt;0))),E585*10000+B585,""),"")</f>
        <v/>
      </c>
    </row>
    <row r="586">
      <c r="B586" s="101" t="n">
        <v>580</v>
      </c>
      <c r="C586" s="58" t="inlineStr">
        <is>
          <t>Transaction</t>
        </is>
      </c>
      <c r="D586" s="58">
        <f>IF(H586=1,INDEX(tx_ID,580)&amp;"","")</f>
        <v/>
      </c>
      <c r="E586" s="94">
        <f>IF(H586=1,INDEX(tx_Date,580),"")</f>
        <v/>
      </c>
      <c r="F586" s="58">
        <f>IF(H586=1,INDEX(tx_Desc,580)&amp;"","")</f>
        <v/>
      </c>
      <c r="G586" s="58">
        <f>IF(H586=1,IF(INDEX(tx_Cust,580)&amp;""&lt;&gt;"",INDEX(tx_Cust,580)&amp;"",INDEX(tx_Vend,580)&amp;""),"")</f>
        <v/>
      </c>
      <c r="H586" s="101">
        <f>IFERROR(N(INDEX(tx_Posted,580)),0)</f>
        <v/>
      </c>
      <c r="I586" s="58">
        <f>IF(H586=1,INDEX(tx_DrAcct,580)&amp;"","")</f>
        <v/>
      </c>
      <c r="J586" s="95">
        <f>IF(H586=1,INDEX(tx_DrAmt,580),0)</f>
        <v/>
      </c>
      <c r="K586" s="58">
        <f>IF(H586=1,INDEX(tx_CrAcct,580)&amp;"","")</f>
        <v/>
      </c>
      <c r="L586" s="95">
        <f>IF(H586=1,INDEX(tx_CrAmt,580),0)</f>
        <v/>
      </c>
      <c r="M586" s="95">
        <f>IF(H586=1,INDEX(tx_TaxDr,580),0)</f>
        <v/>
      </c>
      <c r="N586" s="95">
        <f>IF(H586=1,INDEX(tx_TaxCr,580),0)</f>
        <v/>
      </c>
      <c r="O586" s="101">
        <f>IF(H586=1,IF(E586&lt;FYStart,0,IF(E586&gt;FYEnd,13,YEAR(E586)*12+MONTH(E586)-FYYM+1)),"")</f>
        <v/>
      </c>
      <c r="P586" s="101">
        <f>IF(H586=1,IF(IFERROR(INDEX(coa_CF,MATCH(I586,coa_Name,0)),"")="Cash",1,0),0)</f>
        <v/>
      </c>
      <c r="Q586" s="101">
        <f>IF(H586=1,IF(IFERROR(INDEX(coa_CF,MATCH(K586,coa_Name,0)),"")="Cash",1,0),0)</f>
        <v/>
      </c>
      <c r="R586" s="58">
        <f>IF((P586-Q586)=0,"",IFERROR(INDEX(coa_CF,MATCH(IF((P586-Q586)=1,K586,I586),coa_Name,0)),"Operating"))</f>
        <v/>
      </c>
      <c r="S586" s="95">
        <f>IF((P586-Q586)=1,L586,IF((P586-Q586)=-1,-J586,0))</f>
        <v/>
      </c>
      <c r="T586" s="95">
        <f>IF((P586-Q586)=1,N586,IF((P586-Q586)=-1,-M586,0))</f>
        <v/>
      </c>
      <c r="U586" s="101">
        <f>IF(AND(H586=1,LedAcct&lt;&gt;""),IF(AND(E586&gt;=LedFrom,E586&lt;=LedTo,OR(I586=LedAcct,K586=LedAcct,AND(LedAcct=acctTax,M586+N586&lt;&gt;0))),E586*10000+B586,""),"")</f>
        <v/>
      </c>
    </row>
    <row r="587">
      <c r="B587" s="101" t="n">
        <v>581</v>
      </c>
      <c r="C587" s="58" t="inlineStr">
        <is>
          <t>Transaction</t>
        </is>
      </c>
      <c r="D587" s="58">
        <f>IF(H587=1,INDEX(tx_ID,581)&amp;"","")</f>
        <v/>
      </c>
      <c r="E587" s="94">
        <f>IF(H587=1,INDEX(tx_Date,581),"")</f>
        <v/>
      </c>
      <c r="F587" s="58">
        <f>IF(H587=1,INDEX(tx_Desc,581)&amp;"","")</f>
        <v/>
      </c>
      <c r="G587" s="58">
        <f>IF(H587=1,IF(INDEX(tx_Cust,581)&amp;""&lt;&gt;"",INDEX(tx_Cust,581)&amp;"",INDEX(tx_Vend,581)&amp;""),"")</f>
        <v/>
      </c>
      <c r="H587" s="101">
        <f>IFERROR(N(INDEX(tx_Posted,581)),0)</f>
        <v/>
      </c>
      <c r="I587" s="58">
        <f>IF(H587=1,INDEX(tx_DrAcct,581)&amp;"","")</f>
        <v/>
      </c>
      <c r="J587" s="95">
        <f>IF(H587=1,INDEX(tx_DrAmt,581),0)</f>
        <v/>
      </c>
      <c r="K587" s="58">
        <f>IF(H587=1,INDEX(tx_CrAcct,581)&amp;"","")</f>
        <v/>
      </c>
      <c r="L587" s="95">
        <f>IF(H587=1,INDEX(tx_CrAmt,581),0)</f>
        <v/>
      </c>
      <c r="M587" s="95">
        <f>IF(H587=1,INDEX(tx_TaxDr,581),0)</f>
        <v/>
      </c>
      <c r="N587" s="95">
        <f>IF(H587=1,INDEX(tx_TaxCr,581),0)</f>
        <v/>
      </c>
      <c r="O587" s="101">
        <f>IF(H587=1,IF(E587&lt;FYStart,0,IF(E587&gt;FYEnd,13,YEAR(E587)*12+MONTH(E587)-FYYM+1)),"")</f>
        <v/>
      </c>
      <c r="P587" s="101">
        <f>IF(H587=1,IF(IFERROR(INDEX(coa_CF,MATCH(I587,coa_Name,0)),"")="Cash",1,0),0)</f>
        <v/>
      </c>
      <c r="Q587" s="101">
        <f>IF(H587=1,IF(IFERROR(INDEX(coa_CF,MATCH(K587,coa_Name,0)),"")="Cash",1,0),0)</f>
        <v/>
      </c>
      <c r="R587" s="58">
        <f>IF((P587-Q587)=0,"",IFERROR(INDEX(coa_CF,MATCH(IF((P587-Q587)=1,K587,I587),coa_Name,0)),"Operating"))</f>
        <v/>
      </c>
      <c r="S587" s="95">
        <f>IF((P587-Q587)=1,L587,IF((P587-Q587)=-1,-J587,0))</f>
        <v/>
      </c>
      <c r="T587" s="95">
        <f>IF((P587-Q587)=1,N587,IF((P587-Q587)=-1,-M587,0))</f>
        <v/>
      </c>
      <c r="U587" s="101">
        <f>IF(AND(H587=1,LedAcct&lt;&gt;""),IF(AND(E587&gt;=LedFrom,E587&lt;=LedTo,OR(I587=LedAcct,K587=LedAcct,AND(LedAcct=acctTax,M587+N587&lt;&gt;0))),E587*10000+B587,""),"")</f>
        <v/>
      </c>
    </row>
    <row r="588">
      <c r="B588" s="101" t="n">
        <v>582</v>
      </c>
      <c r="C588" s="58" t="inlineStr">
        <is>
          <t>Transaction</t>
        </is>
      </c>
      <c r="D588" s="58">
        <f>IF(H588=1,INDEX(tx_ID,582)&amp;"","")</f>
        <v/>
      </c>
      <c r="E588" s="94">
        <f>IF(H588=1,INDEX(tx_Date,582),"")</f>
        <v/>
      </c>
      <c r="F588" s="58">
        <f>IF(H588=1,INDEX(tx_Desc,582)&amp;"","")</f>
        <v/>
      </c>
      <c r="G588" s="58">
        <f>IF(H588=1,IF(INDEX(tx_Cust,582)&amp;""&lt;&gt;"",INDEX(tx_Cust,582)&amp;"",INDEX(tx_Vend,582)&amp;""),"")</f>
        <v/>
      </c>
      <c r="H588" s="101">
        <f>IFERROR(N(INDEX(tx_Posted,582)),0)</f>
        <v/>
      </c>
      <c r="I588" s="58">
        <f>IF(H588=1,INDEX(tx_DrAcct,582)&amp;"","")</f>
        <v/>
      </c>
      <c r="J588" s="95">
        <f>IF(H588=1,INDEX(tx_DrAmt,582),0)</f>
        <v/>
      </c>
      <c r="K588" s="58">
        <f>IF(H588=1,INDEX(tx_CrAcct,582)&amp;"","")</f>
        <v/>
      </c>
      <c r="L588" s="95">
        <f>IF(H588=1,INDEX(tx_CrAmt,582),0)</f>
        <v/>
      </c>
      <c r="M588" s="95">
        <f>IF(H588=1,INDEX(tx_TaxDr,582),0)</f>
        <v/>
      </c>
      <c r="N588" s="95">
        <f>IF(H588=1,INDEX(tx_TaxCr,582),0)</f>
        <v/>
      </c>
      <c r="O588" s="101">
        <f>IF(H588=1,IF(E588&lt;FYStart,0,IF(E588&gt;FYEnd,13,YEAR(E588)*12+MONTH(E588)-FYYM+1)),"")</f>
        <v/>
      </c>
      <c r="P588" s="101">
        <f>IF(H588=1,IF(IFERROR(INDEX(coa_CF,MATCH(I588,coa_Name,0)),"")="Cash",1,0),0)</f>
        <v/>
      </c>
      <c r="Q588" s="101">
        <f>IF(H588=1,IF(IFERROR(INDEX(coa_CF,MATCH(K588,coa_Name,0)),"")="Cash",1,0),0)</f>
        <v/>
      </c>
      <c r="R588" s="58">
        <f>IF((P588-Q588)=0,"",IFERROR(INDEX(coa_CF,MATCH(IF((P588-Q588)=1,K588,I588),coa_Name,0)),"Operating"))</f>
        <v/>
      </c>
      <c r="S588" s="95">
        <f>IF((P588-Q588)=1,L588,IF((P588-Q588)=-1,-J588,0))</f>
        <v/>
      </c>
      <c r="T588" s="95">
        <f>IF((P588-Q588)=1,N588,IF((P588-Q588)=-1,-M588,0))</f>
        <v/>
      </c>
      <c r="U588" s="101">
        <f>IF(AND(H588=1,LedAcct&lt;&gt;""),IF(AND(E588&gt;=LedFrom,E588&lt;=LedTo,OR(I588=LedAcct,K588=LedAcct,AND(LedAcct=acctTax,M588+N588&lt;&gt;0))),E588*10000+B588,""),"")</f>
        <v/>
      </c>
    </row>
    <row r="589">
      <c r="B589" s="101" t="n">
        <v>583</v>
      </c>
      <c r="C589" s="58" t="inlineStr">
        <is>
          <t>Transaction</t>
        </is>
      </c>
      <c r="D589" s="58">
        <f>IF(H589=1,INDEX(tx_ID,583)&amp;"","")</f>
        <v/>
      </c>
      <c r="E589" s="94">
        <f>IF(H589=1,INDEX(tx_Date,583),"")</f>
        <v/>
      </c>
      <c r="F589" s="58">
        <f>IF(H589=1,INDEX(tx_Desc,583)&amp;"","")</f>
        <v/>
      </c>
      <c r="G589" s="58">
        <f>IF(H589=1,IF(INDEX(tx_Cust,583)&amp;""&lt;&gt;"",INDEX(tx_Cust,583)&amp;"",INDEX(tx_Vend,583)&amp;""),"")</f>
        <v/>
      </c>
      <c r="H589" s="101">
        <f>IFERROR(N(INDEX(tx_Posted,583)),0)</f>
        <v/>
      </c>
      <c r="I589" s="58">
        <f>IF(H589=1,INDEX(tx_DrAcct,583)&amp;"","")</f>
        <v/>
      </c>
      <c r="J589" s="95">
        <f>IF(H589=1,INDEX(tx_DrAmt,583),0)</f>
        <v/>
      </c>
      <c r="K589" s="58">
        <f>IF(H589=1,INDEX(tx_CrAcct,583)&amp;"","")</f>
        <v/>
      </c>
      <c r="L589" s="95">
        <f>IF(H589=1,INDEX(tx_CrAmt,583),0)</f>
        <v/>
      </c>
      <c r="M589" s="95">
        <f>IF(H589=1,INDEX(tx_TaxDr,583),0)</f>
        <v/>
      </c>
      <c r="N589" s="95">
        <f>IF(H589=1,INDEX(tx_TaxCr,583),0)</f>
        <v/>
      </c>
      <c r="O589" s="101">
        <f>IF(H589=1,IF(E589&lt;FYStart,0,IF(E589&gt;FYEnd,13,YEAR(E589)*12+MONTH(E589)-FYYM+1)),"")</f>
        <v/>
      </c>
      <c r="P589" s="101">
        <f>IF(H589=1,IF(IFERROR(INDEX(coa_CF,MATCH(I589,coa_Name,0)),"")="Cash",1,0),0)</f>
        <v/>
      </c>
      <c r="Q589" s="101">
        <f>IF(H589=1,IF(IFERROR(INDEX(coa_CF,MATCH(K589,coa_Name,0)),"")="Cash",1,0),0)</f>
        <v/>
      </c>
      <c r="R589" s="58">
        <f>IF((P589-Q589)=0,"",IFERROR(INDEX(coa_CF,MATCH(IF((P589-Q589)=1,K589,I589),coa_Name,0)),"Operating"))</f>
        <v/>
      </c>
      <c r="S589" s="95">
        <f>IF((P589-Q589)=1,L589,IF((P589-Q589)=-1,-J589,0))</f>
        <v/>
      </c>
      <c r="T589" s="95">
        <f>IF((P589-Q589)=1,N589,IF((P589-Q589)=-1,-M589,0))</f>
        <v/>
      </c>
      <c r="U589" s="101">
        <f>IF(AND(H589=1,LedAcct&lt;&gt;""),IF(AND(E589&gt;=LedFrom,E589&lt;=LedTo,OR(I589=LedAcct,K589=LedAcct,AND(LedAcct=acctTax,M589+N589&lt;&gt;0))),E589*10000+B589,""),"")</f>
        <v/>
      </c>
    </row>
    <row r="590">
      <c r="B590" s="101" t="n">
        <v>584</v>
      </c>
      <c r="C590" s="58" t="inlineStr">
        <is>
          <t>Transaction</t>
        </is>
      </c>
      <c r="D590" s="58">
        <f>IF(H590=1,INDEX(tx_ID,584)&amp;"","")</f>
        <v/>
      </c>
      <c r="E590" s="94">
        <f>IF(H590=1,INDEX(tx_Date,584),"")</f>
        <v/>
      </c>
      <c r="F590" s="58">
        <f>IF(H590=1,INDEX(tx_Desc,584)&amp;"","")</f>
        <v/>
      </c>
      <c r="G590" s="58">
        <f>IF(H590=1,IF(INDEX(tx_Cust,584)&amp;""&lt;&gt;"",INDEX(tx_Cust,584)&amp;"",INDEX(tx_Vend,584)&amp;""),"")</f>
        <v/>
      </c>
      <c r="H590" s="101">
        <f>IFERROR(N(INDEX(tx_Posted,584)),0)</f>
        <v/>
      </c>
      <c r="I590" s="58">
        <f>IF(H590=1,INDEX(tx_DrAcct,584)&amp;"","")</f>
        <v/>
      </c>
      <c r="J590" s="95">
        <f>IF(H590=1,INDEX(tx_DrAmt,584),0)</f>
        <v/>
      </c>
      <c r="K590" s="58">
        <f>IF(H590=1,INDEX(tx_CrAcct,584)&amp;"","")</f>
        <v/>
      </c>
      <c r="L590" s="95">
        <f>IF(H590=1,INDEX(tx_CrAmt,584),0)</f>
        <v/>
      </c>
      <c r="M590" s="95">
        <f>IF(H590=1,INDEX(tx_TaxDr,584),0)</f>
        <v/>
      </c>
      <c r="N590" s="95">
        <f>IF(H590=1,INDEX(tx_TaxCr,584),0)</f>
        <v/>
      </c>
      <c r="O590" s="101">
        <f>IF(H590=1,IF(E590&lt;FYStart,0,IF(E590&gt;FYEnd,13,YEAR(E590)*12+MONTH(E590)-FYYM+1)),"")</f>
        <v/>
      </c>
      <c r="P590" s="101">
        <f>IF(H590=1,IF(IFERROR(INDEX(coa_CF,MATCH(I590,coa_Name,0)),"")="Cash",1,0),0)</f>
        <v/>
      </c>
      <c r="Q590" s="101">
        <f>IF(H590=1,IF(IFERROR(INDEX(coa_CF,MATCH(K590,coa_Name,0)),"")="Cash",1,0),0)</f>
        <v/>
      </c>
      <c r="R590" s="58">
        <f>IF((P590-Q590)=0,"",IFERROR(INDEX(coa_CF,MATCH(IF((P590-Q590)=1,K590,I590),coa_Name,0)),"Operating"))</f>
        <v/>
      </c>
      <c r="S590" s="95">
        <f>IF((P590-Q590)=1,L590,IF((P590-Q590)=-1,-J590,0))</f>
        <v/>
      </c>
      <c r="T590" s="95">
        <f>IF((P590-Q590)=1,N590,IF((P590-Q590)=-1,-M590,0))</f>
        <v/>
      </c>
      <c r="U590" s="101">
        <f>IF(AND(H590=1,LedAcct&lt;&gt;""),IF(AND(E590&gt;=LedFrom,E590&lt;=LedTo,OR(I590=LedAcct,K590=LedAcct,AND(LedAcct=acctTax,M590+N590&lt;&gt;0))),E590*10000+B590,""),"")</f>
        <v/>
      </c>
    </row>
    <row r="591">
      <c r="B591" s="101" t="n">
        <v>585</v>
      </c>
      <c r="C591" s="58" t="inlineStr">
        <is>
          <t>Transaction</t>
        </is>
      </c>
      <c r="D591" s="58">
        <f>IF(H591=1,INDEX(tx_ID,585)&amp;"","")</f>
        <v/>
      </c>
      <c r="E591" s="94">
        <f>IF(H591=1,INDEX(tx_Date,585),"")</f>
        <v/>
      </c>
      <c r="F591" s="58">
        <f>IF(H591=1,INDEX(tx_Desc,585)&amp;"","")</f>
        <v/>
      </c>
      <c r="G591" s="58">
        <f>IF(H591=1,IF(INDEX(tx_Cust,585)&amp;""&lt;&gt;"",INDEX(tx_Cust,585)&amp;"",INDEX(tx_Vend,585)&amp;""),"")</f>
        <v/>
      </c>
      <c r="H591" s="101">
        <f>IFERROR(N(INDEX(tx_Posted,585)),0)</f>
        <v/>
      </c>
      <c r="I591" s="58">
        <f>IF(H591=1,INDEX(tx_DrAcct,585)&amp;"","")</f>
        <v/>
      </c>
      <c r="J591" s="95">
        <f>IF(H591=1,INDEX(tx_DrAmt,585),0)</f>
        <v/>
      </c>
      <c r="K591" s="58">
        <f>IF(H591=1,INDEX(tx_CrAcct,585)&amp;"","")</f>
        <v/>
      </c>
      <c r="L591" s="95">
        <f>IF(H591=1,INDEX(tx_CrAmt,585),0)</f>
        <v/>
      </c>
      <c r="M591" s="95">
        <f>IF(H591=1,INDEX(tx_TaxDr,585),0)</f>
        <v/>
      </c>
      <c r="N591" s="95">
        <f>IF(H591=1,INDEX(tx_TaxCr,585),0)</f>
        <v/>
      </c>
      <c r="O591" s="101">
        <f>IF(H591=1,IF(E591&lt;FYStart,0,IF(E591&gt;FYEnd,13,YEAR(E591)*12+MONTH(E591)-FYYM+1)),"")</f>
        <v/>
      </c>
      <c r="P591" s="101">
        <f>IF(H591=1,IF(IFERROR(INDEX(coa_CF,MATCH(I591,coa_Name,0)),"")="Cash",1,0),0)</f>
        <v/>
      </c>
      <c r="Q591" s="101">
        <f>IF(H591=1,IF(IFERROR(INDEX(coa_CF,MATCH(K591,coa_Name,0)),"")="Cash",1,0),0)</f>
        <v/>
      </c>
      <c r="R591" s="58">
        <f>IF((P591-Q591)=0,"",IFERROR(INDEX(coa_CF,MATCH(IF((P591-Q591)=1,K591,I591),coa_Name,0)),"Operating"))</f>
        <v/>
      </c>
      <c r="S591" s="95">
        <f>IF((P591-Q591)=1,L591,IF((P591-Q591)=-1,-J591,0))</f>
        <v/>
      </c>
      <c r="T591" s="95">
        <f>IF((P591-Q591)=1,N591,IF((P591-Q591)=-1,-M591,0))</f>
        <v/>
      </c>
      <c r="U591" s="101">
        <f>IF(AND(H591=1,LedAcct&lt;&gt;""),IF(AND(E591&gt;=LedFrom,E591&lt;=LedTo,OR(I591=LedAcct,K591=LedAcct,AND(LedAcct=acctTax,M591+N591&lt;&gt;0))),E591*10000+B591,""),"")</f>
        <v/>
      </c>
    </row>
    <row r="592">
      <c r="B592" s="101" t="n">
        <v>586</v>
      </c>
      <c r="C592" s="58" t="inlineStr">
        <is>
          <t>Transaction</t>
        </is>
      </c>
      <c r="D592" s="58">
        <f>IF(H592=1,INDEX(tx_ID,586)&amp;"","")</f>
        <v/>
      </c>
      <c r="E592" s="94">
        <f>IF(H592=1,INDEX(tx_Date,586),"")</f>
        <v/>
      </c>
      <c r="F592" s="58">
        <f>IF(H592=1,INDEX(tx_Desc,586)&amp;"","")</f>
        <v/>
      </c>
      <c r="G592" s="58">
        <f>IF(H592=1,IF(INDEX(tx_Cust,586)&amp;""&lt;&gt;"",INDEX(tx_Cust,586)&amp;"",INDEX(tx_Vend,586)&amp;""),"")</f>
        <v/>
      </c>
      <c r="H592" s="101">
        <f>IFERROR(N(INDEX(tx_Posted,586)),0)</f>
        <v/>
      </c>
      <c r="I592" s="58">
        <f>IF(H592=1,INDEX(tx_DrAcct,586)&amp;"","")</f>
        <v/>
      </c>
      <c r="J592" s="95">
        <f>IF(H592=1,INDEX(tx_DrAmt,586),0)</f>
        <v/>
      </c>
      <c r="K592" s="58">
        <f>IF(H592=1,INDEX(tx_CrAcct,586)&amp;"","")</f>
        <v/>
      </c>
      <c r="L592" s="95">
        <f>IF(H592=1,INDEX(tx_CrAmt,586),0)</f>
        <v/>
      </c>
      <c r="M592" s="95">
        <f>IF(H592=1,INDEX(tx_TaxDr,586),0)</f>
        <v/>
      </c>
      <c r="N592" s="95">
        <f>IF(H592=1,INDEX(tx_TaxCr,586),0)</f>
        <v/>
      </c>
      <c r="O592" s="101">
        <f>IF(H592=1,IF(E592&lt;FYStart,0,IF(E592&gt;FYEnd,13,YEAR(E592)*12+MONTH(E592)-FYYM+1)),"")</f>
        <v/>
      </c>
      <c r="P592" s="101">
        <f>IF(H592=1,IF(IFERROR(INDEX(coa_CF,MATCH(I592,coa_Name,0)),"")="Cash",1,0),0)</f>
        <v/>
      </c>
      <c r="Q592" s="101">
        <f>IF(H592=1,IF(IFERROR(INDEX(coa_CF,MATCH(K592,coa_Name,0)),"")="Cash",1,0),0)</f>
        <v/>
      </c>
      <c r="R592" s="58">
        <f>IF((P592-Q592)=0,"",IFERROR(INDEX(coa_CF,MATCH(IF((P592-Q592)=1,K592,I592),coa_Name,0)),"Operating"))</f>
        <v/>
      </c>
      <c r="S592" s="95">
        <f>IF((P592-Q592)=1,L592,IF((P592-Q592)=-1,-J592,0))</f>
        <v/>
      </c>
      <c r="T592" s="95">
        <f>IF((P592-Q592)=1,N592,IF((P592-Q592)=-1,-M592,0))</f>
        <v/>
      </c>
      <c r="U592" s="101">
        <f>IF(AND(H592=1,LedAcct&lt;&gt;""),IF(AND(E592&gt;=LedFrom,E592&lt;=LedTo,OR(I592=LedAcct,K592=LedAcct,AND(LedAcct=acctTax,M592+N592&lt;&gt;0))),E592*10000+B592,""),"")</f>
        <v/>
      </c>
    </row>
    <row r="593">
      <c r="B593" s="101" t="n">
        <v>587</v>
      </c>
      <c r="C593" s="58" t="inlineStr">
        <is>
          <t>Transaction</t>
        </is>
      </c>
      <c r="D593" s="58">
        <f>IF(H593=1,INDEX(tx_ID,587)&amp;"","")</f>
        <v/>
      </c>
      <c r="E593" s="94">
        <f>IF(H593=1,INDEX(tx_Date,587),"")</f>
        <v/>
      </c>
      <c r="F593" s="58">
        <f>IF(H593=1,INDEX(tx_Desc,587)&amp;"","")</f>
        <v/>
      </c>
      <c r="G593" s="58">
        <f>IF(H593=1,IF(INDEX(tx_Cust,587)&amp;""&lt;&gt;"",INDEX(tx_Cust,587)&amp;"",INDEX(tx_Vend,587)&amp;""),"")</f>
        <v/>
      </c>
      <c r="H593" s="101">
        <f>IFERROR(N(INDEX(tx_Posted,587)),0)</f>
        <v/>
      </c>
      <c r="I593" s="58">
        <f>IF(H593=1,INDEX(tx_DrAcct,587)&amp;"","")</f>
        <v/>
      </c>
      <c r="J593" s="95">
        <f>IF(H593=1,INDEX(tx_DrAmt,587),0)</f>
        <v/>
      </c>
      <c r="K593" s="58">
        <f>IF(H593=1,INDEX(tx_CrAcct,587)&amp;"","")</f>
        <v/>
      </c>
      <c r="L593" s="95">
        <f>IF(H593=1,INDEX(tx_CrAmt,587),0)</f>
        <v/>
      </c>
      <c r="M593" s="95">
        <f>IF(H593=1,INDEX(tx_TaxDr,587),0)</f>
        <v/>
      </c>
      <c r="N593" s="95">
        <f>IF(H593=1,INDEX(tx_TaxCr,587),0)</f>
        <v/>
      </c>
      <c r="O593" s="101">
        <f>IF(H593=1,IF(E593&lt;FYStart,0,IF(E593&gt;FYEnd,13,YEAR(E593)*12+MONTH(E593)-FYYM+1)),"")</f>
        <v/>
      </c>
      <c r="P593" s="101">
        <f>IF(H593=1,IF(IFERROR(INDEX(coa_CF,MATCH(I593,coa_Name,0)),"")="Cash",1,0),0)</f>
        <v/>
      </c>
      <c r="Q593" s="101">
        <f>IF(H593=1,IF(IFERROR(INDEX(coa_CF,MATCH(K593,coa_Name,0)),"")="Cash",1,0),0)</f>
        <v/>
      </c>
      <c r="R593" s="58">
        <f>IF((P593-Q593)=0,"",IFERROR(INDEX(coa_CF,MATCH(IF((P593-Q593)=1,K593,I593),coa_Name,0)),"Operating"))</f>
        <v/>
      </c>
      <c r="S593" s="95">
        <f>IF((P593-Q593)=1,L593,IF((P593-Q593)=-1,-J593,0))</f>
        <v/>
      </c>
      <c r="T593" s="95">
        <f>IF((P593-Q593)=1,N593,IF((P593-Q593)=-1,-M593,0))</f>
        <v/>
      </c>
      <c r="U593" s="101">
        <f>IF(AND(H593=1,LedAcct&lt;&gt;""),IF(AND(E593&gt;=LedFrom,E593&lt;=LedTo,OR(I593=LedAcct,K593=LedAcct,AND(LedAcct=acctTax,M593+N593&lt;&gt;0))),E593*10000+B593,""),"")</f>
        <v/>
      </c>
    </row>
    <row r="594">
      <c r="B594" s="101" t="n">
        <v>588</v>
      </c>
      <c r="C594" s="58" t="inlineStr">
        <is>
          <t>Transaction</t>
        </is>
      </c>
      <c r="D594" s="58">
        <f>IF(H594=1,INDEX(tx_ID,588)&amp;"","")</f>
        <v/>
      </c>
      <c r="E594" s="94">
        <f>IF(H594=1,INDEX(tx_Date,588),"")</f>
        <v/>
      </c>
      <c r="F594" s="58">
        <f>IF(H594=1,INDEX(tx_Desc,588)&amp;"","")</f>
        <v/>
      </c>
      <c r="G594" s="58">
        <f>IF(H594=1,IF(INDEX(tx_Cust,588)&amp;""&lt;&gt;"",INDEX(tx_Cust,588)&amp;"",INDEX(tx_Vend,588)&amp;""),"")</f>
        <v/>
      </c>
      <c r="H594" s="101">
        <f>IFERROR(N(INDEX(tx_Posted,588)),0)</f>
        <v/>
      </c>
      <c r="I594" s="58">
        <f>IF(H594=1,INDEX(tx_DrAcct,588)&amp;"","")</f>
        <v/>
      </c>
      <c r="J594" s="95">
        <f>IF(H594=1,INDEX(tx_DrAmt,588),0)</f>
        <v/>
      </c>
      <c r="K594" s="58">
        <f>IF(H594=1,INDEX(tx_CrAcct,588)&amp;"","")</f>
        <v/>
      </c>
      <c r="L594" s="95">
        <f>IF(H594=1,INDEX(tx_CrAmt,588),0)</f>
        <v/>
      </c>
      <c r="M594" s="95">
        <f>IF(H594=1,INDEX(tx_TaxDr,588),0)</f>
        <v/>
      </c>
      <c r="N594" s="95">
        <f>IF(H594=1,INDEX(tx_TaxCr,588),0)</f>
        <v/>
      </c>
      <c r="O594" s="101">
        <f>IF(H594=1,IF(E594&lt;FYStart,0,IF(E594&gt;FYEnd,13,YEAR(E594)*12+MONTH(E594)-FYYM+1)),"")</f>
        <v/>
      </c>
      <c r="P594" s="101">
        <f>IF(H594=1,IF(IFERROR(INDEX(coa_CF,MATCH(I594,coa_Name,0)),"")="Cash",1,0),0)</f>
        <v/>
      </c>
      <c r="Q594" s="101">
        <f>IF(H594=1,IF(IFERROR(INDEX(coa_CF,MATCH(K594,coa_Name,0)),"")="Cash",1,0),0)</f>
        <v/>
      </c>
      <c r="R594" s="58">
        <f>IF((P594-Q594)=0,"",IFERROR(INDEX(coa_CF,MATCH(IF((P594-Q594)=1,K594,I594),coa_Name,0)),"Operating"))</f>
        <v/>
      </c>
      <c r="S594" s="95">
        <f>IF((P594-Q594)=1,L594,IF((P594-Q594)=-1,-J594,0))</f>
        <v/>
      </c>
      <c r="T594" s="95">
        <f>IF((P594-Q594)=1,N594,IF((P594-Q594)=-1,-M594,0))</f>
        <v/>
      </c>
      <c r="U594" s="101">
        <f>IF(AND(H594=1,LedAcct&lt;&gt;""),IF(AND(E594&gt;=LedFrom,E594&lt;=LedTo,OR(I594=LedAcct,K594=LedAcct,AND(LedAcct=acctTax,M594+N594&lt;&gt;0))),E594*10000+B594,""),"")</f>
        <v/>
      </c>
    </row>
    <row r="595">
      <c r="B595" s="101" t="n">
        <v>589</v>
      </c>
      <c r="C595" s="58" t="inlineStr">
        <is>
          <t>Transaction</t>
        </is>
      </c>
      <c r="D595" s="58">
        <f>IF(H595=1,INDEX(tx_ID,589)&amp;"","")</f>
        <v/>
      </c>
      <c r="E595" s="94">
        <f>IF(H595=1,INDEX(tx_Date,589),"")</f>
        <v/>
      </c>
      <c r="F595" s="58">
        <f>IF(H595=1,INDEX(tx_Desc,589)&amp;"","")</f>
        <v/>
      </c>
      <c r="G595" s="58">
        <f>IF(H595=1,IF(INDEX(tx_Cust,589)&amp;""&lt;&gt;"",INDEX(tx_Cust,589)&amp;"",INDEX(tx_Vend,589)&amp;""),"")</f>
        <v/>
      </c>
      <c r="H595" s="101">
        <f>IFERROR(N(INDEX(tx_Posted,589)),0)</f>
        <v/>
      </c>
      <c r="I595" s="58">
        <f>IF(H595=1,INDEX(tx_DrAcct,589)&amp;"","")</f>
        <v/>
      </c>
      <c r="J595" s="95">
        <f>IF(H595=1,INDEX(tx_DrAmt,589),0)</f>
        <v/>
      </c>
      <c r="K595" s="58">
        <f>IF(H595=1,INDEX(tx_CrAcct,589)&amp;"","")</f>
        <v/>
      </c>
      <c r="L595" s="95">
        <f>IF(H595=1,INDEX(tx_CrAmt,589),0)</f>
        <v/>
      </c>
      <c r="M595" s="95">
        <f>IF(H595=1,INDEX(tx_TaxDr,589),0)</f>
        <v/>
      </c>
      <c r="N595" s="95">
        <f>IF(H595=1,INDEX(tx_TaxCr,589),0)</f>
        <v/>
      </c>
      <c r="O595" s="101">
        <f>IF(H595=1,IF(E595&lt;FYStart,0,IF(E595&gt;FYEnd,13,YEAR(E595)*12+MONTH(E595)-FYYM+1)),"")</f>
        <v/>
      </c>
      <c r="P595" s="101">
        <f>IF(H595=1,IF(IFERROR(INDEX(coa_CF,MATCH(I595,coa_Name,0)),"")="Cash",1,0),0)</f>
        <v/>
      </c>
      <c r="Q595" s="101">
        <f>IF(H595=1,IF(IFERROR(INDEX(coa_CF,MATCH(K595,coa_Name,0)),"")="Cash",1,0),0)</f>
        <v/>
      </c>
      <c r="R595" s="58">
        <f>IF((P595-Q595)=0,"",IFERROR(INDEX(coa_CF,MATCH(IF((P595-Q595)=1,K595,I595),coa_Name,0)),"Operating"))</f>
        <v/>
      </c>
      <c r="S595" s="95">
        <f>IF((P595-Q595)=1,L595,IF((P595-Q595)=-1,-J595,0))</f>
        <v/>
      </c>
      <c r="T595" s="95">
        <f>IF((P595-Q595)=1,N595,IF((P595-Q595)=-1,-M595,0))</f>
        <v/>
      </c>
      <c r="U595" s="101">
        <f>IF(AND(H595=1,LedAcct&lt;&gt;""),IF(AND(E595&gt;=LedFrom,E595&lt;=LedTo,OR(I595=LedAcct,K595=LedAcct,AND(LedAcct=acctTax,M595+N595&lt;&gt;0))),E595*10000+B595,""),"")</f>
        <v/>
      </c>
    </row>
    <row r="596">
      <c r="B596" s="101" t="n">
        <v>590</v>
      </c>
      <c r="C596" s="58" t="inlineStr">
        <is>
          <t>Transaction</t>
        </is>
      </c>
      <c r="D596" s="58">
        <f>IF(H596=1,INDEX(tx_ID,590)&amp;"","")</f>
        <v/>
      </c>
      <c r="E596" s="94">
        <f>IF(H596=1,INDEX(tx_Date,590),"")</f>
        <v/>
      </c>
      <c r="F596" s="58">
        <f>IF(H596=1,INDEX(tx_Desc,590)&amp;"","")</f>
        <v/>
      </c>
      <c r="G596" s="58">
        <f>IF(H596=1,IF(INDEX(tx_Cust,590)&amp;""&lt;&gt;"",INDEX(tx_Cust,590)&amp;"",INDEX(tx_Vend,590)&amp;""),"")</f>
        <v/>
      </c>
      <c r="H596" s="101">
        <f>IFERROR(N(INDEX(tx_Posted,590)),0)</f>
        <v/>
      </c>
      <c r="I596" s="58">
        <f>IF(H596=1,INDEX(tx_DrAcct,590)&amp;"","")</f>
        <v/>
      </c>
      <c r="J596" s="95">
        <f>IF(H596=1,INDEX(tx_DrAmt,590),0)</f>
        <v/>
      </c>
      <c r="K596" s="58">
        <f>IF(H596=1,INDEX(tx_CrAcct,590)&amp;"","")</f>
        <v/>
      </c>
      <c r="L596" s="95">
        <f>IF(H596=1,INDEX(tx_CrAmt,590),0)</f>
        <v/>
      </c>
      <c r="M596" s="95">
        <f>IF(H596=1,INDEX(tx_TaxDr,590),0)</f>
        <v/>
      </c>
      <c r="N596" s="95">
        <f>IF(H596=1,INDEX(tx_TaxCr,590),0)</f>
        <v/>
      </c>
      <c r="O596" s="101">
        <f>IF(H596=1,IF(E596&lt;FYStart,0,IF(E596&gt;FYEnd,13,YEAR(E596)*12+MONTH(E596)-FYYM+1)),"")</f>
        <v/>
      </c>
      <c r="P596" s="101">
        <f>IF(H596=1,IF(IFERROR(INDEX(coa_CF,MATCH(I596,coa_Name,0)),"")="Cash",1,0),0)</f>
        <v/>
      </c>
      <c r="Q596" s="101">
        <f>IF(H596=1,IF(IFERROR(INDEX(coa_CF,MATCH(K596,coa_Name,0)),"")="Cash",1,0),0)</f>
        <v/>
      </c>
      <c r="R596" s="58">
        <f>IF((P596-Q596)=0,"",IFERROR(INDEX(coa_CF,MATCH(IF((P596-Q596)=1,K596,I596),coa_Name,0)),"Operating"))</f>
        <v/>
      </c>
      <c r="S596" s="95">
        <f>IF((P596-Q596)=1,L596,IF((P596-Q596)=-1,-J596,0))</f>
        <v/>
      </c>
      <c r="T596" s="95">
        <f>IF((P596-Q596)=1,N596,IF((P596-Q596)=-1,-M596,0))</f>
        <v/>
      </c>
      <c r="U596" s="101">
        <f>IF(AND(H596=1,LedAcct&lt;&gt;""),IF(AND(E596&gt;=LedFrom,E596&lt;=LedTo,OR(I596=LedAcct,K596=LedAcct,AND(LedAcct=acctTax,M596+N596&lt;&gt;0))),E596*10000+B596,""),"")</f>
        <v/>
      </c>
    </row>
    <row r="597">
      <c r="B597" s="101" t="n">
        <v>591</v>
      </c>
      <c r="C597" s="58" t="inlineStr">
        <is>
          <t>Transaction</t>
        </is>
      </c>
      <c r="D597" s="58">
        <f>IF(H597=1,INDEX(tx_ID,591)&amp;"","")</f>
        <v/>
      </c>
      <c r="E597" s="94">
        <f>IF(H597=1,INDEX(tx_Date,591),"")</f>
        <v/>
      </c>
      <c r="F597" s="58">
        <f>IF(H597=1,INDEX(tx_Desc,591)&amp;"","")</f>
        <v/>
      </c>
      <c r="G597" s="58">
        <f>IF(H597=1,IF(INDEX(tx_Cust,591)&amp;""&lt;&gt;"",INDEX(tx_Cust,591)&amp;"",INDEX(tx_Vend,591)&amp;""),"")</f>
        <v/>
      </c>
      <c r="H597" s="101">
        <f>IFERROR(N(INDEX(tx_Posted,591)),0)</f>
        <v/>
      </c>
      <c r="I597" s="58">
        <f>IF(H597=1,INDEX(tx_DrAcct,591)&amp;"","")</f>
        <v/>
      </c>
      <c r="J597" s="95">
        <f>IF(H597=1,INDEX(tx_DrAmt,591),0)</f>
        <v/>
      </c>
      <c r="K597" s="58">
        <f>IF(H597=1,INDEX(tx_CrAcct,591)&amp;"","")</f>
        <v/>
      </c>
      <c r="L597" s="95">
        <f>IF(H597=1,INDEX(tx_CrAmt,591),0)</f>
        <v/>
      </c>
      <c r="M597" s="95">
        <f>IF(H597=1,INDEX(tx_TaxDr,591),0)</f>
        <v/>
      </c>
      <c r="N597" s="95">
        <f>IF(H597=1,INDEX(tx_TaxCr,591),0)</f>
        <v/>
      </c>
      <c r="O597" s="101">
        <f>IF(H597=1,IF(E597&lt;FYStart,0,IF(E597&gt;FYEnd,13,YEAR(E597)*12+MONTH(E597)-FYYM+1)),"")</f>
        <v/>
      </c>
      <c r="P597" s="101">
        <f>IF(H597=1,IF(IFERROR(INDEX(coa_CF,MATCH(I597,coa_Name,0)),"")="Cash",1,0),0)</f>
        <v/>
      </c>
      <c r="Q597" s="101">
        <f>IF(H597=1,IF(IFERROR(INDEX(coa_CF,MATCH(K597,coa_Name,0)),"")="Cash",1,0),0)</f>
        <v/>
      </c>
      <c r="R597" s="58">
        <f>IF((P597-Q597)=0,"",IFERROR(INDEX(coa_CF,MATCH(IF((P597-Q597)=1,K597,I597),coa_Name,0)),"Operating"))</f>
        <v/>
      </c>
      <c r="S597" s="95">
        <f>IF((P597-Q597)=1,L597,IF((P597-Q597)=-1,-J597,0))</f>
        <v/>
      </c>
      <c r="T597" s="95">
        <f>IF((P597-Q597)=1,N597,IF((P597-Q597)=-1,-M597,0))</f>
        <v/>
      </c>
      <c r="U597" s="101">
        <f>IF(AND(H597=1,LedAcct&lt;&gt;""),IF(AND(E597&gt;=LedFrom,E597&lt;=LedTo,OR(I597=LedAcct,K597=LedAcct,AND(LedAcct=acctTax,M597+N597&lt;&gt;0))),E597*10000+B597,""),"")</f>
        <v/>
      </c>
    </row>
    <row r="598">
      <c r="B598" s="101" t="n">
        <v>592</v>
      </c>
      <c r="C598" s="58" t="inlineStr">
        <is>
          <t>Transaction</t>
        </is>
      </c>
      <c r="D598" s="58">
        <f>IF(H598=1,INDEX(tx_ID,592)&amp;"","")</f>
        <v/>
      </c>
      <c r="E598" s="94">
        <f>IF(H598=1,INDEX(tx_Date,592),"")</f>
        <v/>
      </c>
      <c r="F598" s="58">
        <f>IF(H598=1,INDEX(tx_Desc,592)&amp;"","")</f>
        <v/>
      </c>
      <c r="G598" s="58">
        <f>IF(H598=1,IF(INDEX(tx_Cust,592)&amp;""&lt;&gt;"",INDEX(tx_Cust,592)&amp;"",INDEX(tx_Vend,592)&amp;""),"")</f>
        <v/>
      </c>
      <c r="H598" s="101">
        <f>IFERROR(N(INDEX(tx_Posted,592)),0)</f>
        <v/>
      </c>
      <c r="I598" s="58">
        <f>IF(H598=1,INDEX(tx_DrAcct,592)&amp;"","")</f>
        <v/>
      </c>
      <c r="J598" s="95">
        <f>IF(H598=1,INDEX(tx_DrAmt,592),0)</f>
        <v/>
      </c>
      <c r="K598" s="58">
        <f>IF(H598=1,INDEX(tx_CrAcct,592)&amp;"","")</f>
        <v/>
      </c>
      <c r="L598" s="95">
        <f>IF(H598=1,INDEX(tx_CrAmt,592),0)</f>
        <v/>
      </c>
      <c r="M598" s="95">
        <f>IF(H598=1,INDEX(tx_TaxDr,592),0)</f>
        <v/>
      </c>
      <c r="N598" s="95">
        <f>IF(H598=1,INDEX(tx_TaxCr,592),0)</f>
        <v/>
      </c>
      <c r="O598" s="101">
        <f>IF(H598=1,IF(E598&lt;FYStart,0,IF(E598&gt;FYEnd,13,YEAR(E598)*12+MONTH(E598)-FYYM+1)),"")</f>
        <v/>
      </c>
      <c r="P598" s="101">
        <f>IF(H598=1,IF(IFERROR(INDEX(coa_CF,MATCH(I598,coa_Name,0)),"")="Cash",1,0),0)</f>
        <v/>
      </c>
      <c r="Q598" s="101">
        <f>IF(H598=1,IF(IFERROR(INDEX(coa_CF,MATCH(K598,coa_Name,0)),"")="Cash",1,0),0)</f>
        <v/>
      </c>
      <c r="R598" s="58">
        <f>IF((P598-Q598)=0,"",IFERROR(INDEX(coa_CF,MATCH(IF((P598-Q598)=1,K598,I598),coa_Name,0)),"Operating"))</f>
        <v/>
      </c>
      <c r="S598" s="95">
        <f>IF((P598-Q598)=1,L598,IF((P598-Q598)=-1,-J598,0))</f>
        <v/>
      </c>
      <c r="T598" s="95">
        <f>IF((P598-Q598)=1,N598,IF((P598-Q598)=-1,-M598,0))</f>
        <v/>
      </c>
      <c r="U598" s="101">
        <f>IF(AND(H598=1,LedAcct&lt;&gt;""),IF(AND(E598&gt;=LedFrom,E598&lt;=LedTo,OR(I598=LedAcct,K598=LedAcct,AND(LedAcct=acctTax,M598+N598&lt;&gt;0))),E598*10000+B598,""),"")</f>
        <v/>
      </c>
    </row>
    <row r="599">
      <c r="B599" s="101" t="n">
        <v>593</v>
      </c>
      <c r="C599" s="58" t="inlineStr">
        <is>
          <t>Transaction</t>
        </is>
      </c>
      <c r="D599" s="58">
        <f>IF(H599=1,INDEX(tx_ID,593)&amp;"","")</f>
        <v/>
      </c>
      <c r="E599" s="94">
        <f>IF(H599=1,INDEX(tx_Date,593),"")</f>
        <v/>
      </c>
      <c r="F599" s="58">
        <f>IF(H599=1,INDEX(tx_Desc,593)&amp;"","")</f>
        <v/>
      </c>
      <c r="G599" s="58">
        <f>IF(H599=1,IF(INDEX(tx_Cust,593)&amp;""&lt;&gt;"",INDEX(tx_Cust,593)&amp;"",INDEX(tx_Vend,593)&amp;""),"")</f>
        <v/>
      </c>
      <c r="H599" s="101">
        <f>IFERROR(N(INDEX(tx_Posted,593)),0)</f>
        <v/>
      </c>
      <c r="I599" s="58">
        <f>IF(H599=1,INDEX(tx_DrAcct,593)&amp;"","")</f>
        <v/>
      </c>
      <c r="J599" s="95">
        <f>IF(H599=1,INDEX(tx_DrAmt,593),0)</f>
        <v/>
      </c>
      <c r="K599" s="58">
        <f>IF(H599=1,INDEX(tx_CrAcct,593)&amp;"","")</f>
        <v/>
      </c>
      <c r="L599" s="95">
        <f>IF(H599=1,INDEX(tx_CrAmt,593),0)</f>
        <v/>
      </c>
      <c r="M599" s="95">
        <f>IF(H599=1,INDEX(tx_TaxDr,593),0)</f>
        <v/>
      </c>
      <c r="N599" s="95">
        <f>IF(H599=1,INDEX(tx_TaxCr,593),0)</f>
        <v/>
      </c>
      <c r="O599" s="101">
        <f>IF(H599=1,IF(E599&lt;FYStart,0,IF(E599&gt;FYEnd,13,YEAR(E599)*12+MONTH(E599)-FYYM+1)),"")</f>
        <v/>
      </c>
      <c r="P599" s="101">
        <f>IF(H599=1,IF(IFERROR(INDEX(coa_CF,MATCH(I599,coa_Name,0)),"")="Cash",1,0),0)</f>
        <v/>
      </c>
      <c r="Q599" s="101">
        <f>IF(H599=1,IF(IFERROR(INDEX(coa_CF,MATCH(K599,coa_Name,0)),"")="Cash",1,0),0)</f>
        <v/>
      </c>
      <c r="R599" s="58">
        <f>IF((P599-Q599)=0,"",IFERROR(INDEX(coa_CF,MATCH(IF((P599-Q599)=1,K599,I599),coa_Name,0)),"Operating"))</f>
        <v/>
      </c>
      <c r="S599" s="95">
        <f>IF((P599-Q599)=1,L599,IF((P599-Q599)=-1,-J599,0))</f>
        <v/>
      </c>
      <c r="T599" s="95">
        <f>IF((P599-Q599)=1,N599,IF((P599-Q599)=-1,-M599,0))</f>
        <v/>
      </c>
      <c r="U599" s="101">
        <f>IF(AND(H599=1,LedAcct&lt;&gt;""),IF(AND(E599&gt;=LedFrom,E599&lt;=LedTo,OR(I599=LedAcct,K599=LedAcct,AND(LedAcct=acctTax,M599+N599&lt;&gt;0))),E599*10000+B599,""),"")</f>
        <v/>
      </c>
    </row>
    <row r="600">
      <c r="B600" s="101" t="n">
        <v>594</v>
      </c>
      <c r="C600" s="58" t="inlineStr">
        <is>
          <t>Transaction</t>
        </is>
      </c>
      <c r="D600" s="58">
        <f>IF(H600=1,INDEX(tx_ID,594)&amp;"","")</f>
        <v/>
      </c>
      <c r="E600" s="94">
        <f>IF(H600=1,INDEX(tx_Date,594),"")</f>
        <v/>
      </c>
      <c r="F600" s="58">
        <f>IF(H600=1,INDEX(tx_Desc,594)&amp;"","")</f>
        <v/>
      </c>
      <c r="G600" s="58">
        <f>IF(H600=1,IF(INDEX(tx_Cust,594)&amp;""&lt;&gt;"",INDEX(tx_Cust,594)&amp;"",INDEX(tx_Vend,594)&amp;""),"")</f>
        <v/>
      </c>
      <c r="H600" s="101">
        <f>IFERROR(N(INDEX(tx_Posted,594)),0)</f>
        <v/>
      </c>
      <c r="I600" s="58">
        <f>IF(H600=1,INDEX(tx_DrAcct,594)&amp;"","")</f>
        <v/>
      </c>
      <c r="J600" s="95">
        <f>IF(H600=1,INDEX(tx_DrAmt,594),0)</f>
        <v/>
      </c>
      <c r="K600" s="58">
        <f>IF(H600=1,INDEX(tx_CrAcct,594)&amp;"","")</f>
        <v/>
      </c>
      <c r="L600" s="95">
        <f>IF(H600=1,INDEX(tx_CrAmt,594),0)</f>
        <v/>
      </c>
      <c r="M600" s="95">
        <f>IF(H600=1,INDEX(tx_TaxDr,594),0)</f>
        <v/>
      </c>
      <c r="N600" s="95">
        <f>IF(H600=1,INDEX(tx_TaxCr,594),0)</f>
        <v/>
      </c>
      <c r="O600" s="101">
        <f>IF(H600=1,IF(E600&lt;FYStart,0,IF(E600&gt;FYEnd,13,YEAR(E600)*12+MONTH(E600)-FYYM+1)),"")</f>
        <v/>
      </c>
      <c r="P600" s="101">
        <f>IF(H600=1,IF(IFERROR(INDEX(coa_CF,MATCH(I600,coa_Name,0)),"")="Cash",1,0),0)</f>
        <v/>
      </c>
      <c r="Q600" s="101">
        <f>IF(H600=1,IF(IFERROR(INDEX(coa_CF,MATCH(K600,coa_Name,0)),"")="Cash",1,0),0)</f>
        <v/>
      </c>
      <c r="R600" s="58">
        <f>IF((P600-Q600)=0,"",IFERROR(INDEX(coa_CF,MATCH(IF((P600-Q600)=1,K600,I600),coa_Name,0)),"Operating"))</f>
        <v/>
      </c>
      <c r="S600" s="95">
        <f>IF((P600-Q600)=1,L600,IF((P600-Q600)=-1,-J600,0))</f>
        <v/>
      </c>
      <c r="T600" s="95">
        <f>IF((P600-Q600)=1,N600,IF((P600-Q600)=-1,-M600,0))</f>
        <v/>
      </c>
      <c r="U600" s="101">
        <f>IF(AND(H600=1,LedAcct&lt;&gt;""),IF(AND(E600&gt;=LedFrom,E600&lt;=LedTo,OR(I600=LedAcct,K600=LedAcct,AND(LedAcct=acctTax,M600+N600&lt;&gt;0))),E600*10000+B600,""),"")</f>
        <v/>
      </c>
    </row>
    <row r="601">
      <c r="B601" s="101" t="n">
        <v>595</v>
      </c>
      <c r="C601" s="58" t="inlineStr">
        <is>
          <t>Transaction</t>
        </is>
      </c>
      <c r="D601" s="58">
        <f>IF(H601=1,INDEX(tx_ID,595)&amp;"","")</f>
        <v/>
      </c>
      <c r="E601" s="94">
        <f>IF(H601=1,INDEX(tx_Date,595),"")</f>
        <v/>
      </c>
      <c r="F601" s="58">
        <f>IF(H601=1,INDEX(tx_Desc,595)&amp;"","")</f>
        <v/>
      </c>
      <c r="G601" s="58">
        <f>IF(H601=1,IF(INDEX(tx_Cust,595)&amp;""&lt;&gt;"",INDEX(tx_Cust,595)&amp;"",INDEX(tx_Vend,595)&amp;""),"")</f>
        <v/>
      </c>
      <c r="H601" s="101">
        <f>IFERROR(N(INDEX(tx_Posted,595)),0)</f>
        <v/>
      </c>
      <c r="I601" s="58">
        <f>IF(H601=1,INDEX(tx_DrAcct,595)&amp;"","")</f>
        <v/>
      </c>
      <c r="J601" s="95">
        <f>IF(H601=1,INDEX(tx_DrAmt,595),0)</f>
        <v/>
      </c>
      <c r="K601" s="58">
        <f>IF(H601=1,INDEX(tx_CrAcct,595)&amp;"","")</f>
        <v/>
      </c>
      <c r="L601" s="95">
        <f>IF(H601=1,INDEX(tx_CrAmt,595),0)</f>
        <v/>
      </c>
      <c r="M601" s="95">
        <f>IF(H601=1,INDEX(tx_TaxDr,595),0)</f>
        <v/>
      </c>
      <c r="N601" s="95">
        <f>IF(H601=1,INDEX(tx_TaxCr,595),0)</f>
        <v/>
      </c>
      <c r="O601" s="101">
        <f>IF(H601=1,IF(E601&lt;FYStart,0,IF(E601&gt;FYEnd,13,YEAR(E601)*12+MONTH(E601)-FYYM+1)),"")</f>
        <v/>
      </c>
      <c r="P601" s="101">
        <f>IF(H601=1,IF(IFERROR(INDEX(coa_CF,MATCH(I601,coa_Name,0)),"")="Cash",1,0),0)</f>
        <v/>
      </c>
      <c r="Q601" s="101">
        <f>IF(H601=1,IF(IFERROR(INDEX(coa_CF,MATCH(K601,coa_Name,0)),"")="Cash",1,0),0)</f>
        <v/>
      </c>
      <c r="R601" s="58">
        <f>IF((P601-Q601)=0,"",IFERROR(INDEX(coa_CF,MATCH(IF((P601-Q601)=1,K601,I601),coa_Name,0)),"Operating"))</f>
        <v/>
      </c>
      <c r="S601" s="95">
        <f>IF((P601-Q601)=1,L601,IF((P601-Q601)=-1,-J601,0))</f>
        <v/>
      </c>
      <c r="T601" s="95">
        <f>IF((P601-Q601)=1,N601,IF((P601-Q601)=-1,-M601,0))</f>
        <v/>
      </c>
      <c r="U601" s="101">
        <f>IF(AND(H601=1,LedAcct&lt;&gt;""),IF(AND(E601&gt;=LedFrom,E601&lt;=LedTo,OR(I601=LedAcct,K601=LedAcct,AND(LedAcct=acctTax,M601+N601&lt;&gt;0))),E601*10000+B601,""),"")</f>
        <v/>
      </c>
    </row>
    <row r="602">
      <c r="B602" s="101" t="n">
        <v>596</v>
      </c>
      <c r="C602" s="58" t="inlineStr">
        <is>
          <t>Transaction</t>
        </is>
      </c>
      <c r="D602" s="58">
        <f>IF(H602=1,INDEX(tx_ID,596)&amp;"","")</f>
        <v/>
      </c>
      <c r="E602" s="94">
        <f>IF(H602=1,INDEX(tx_Date,596),"")</f>
        <v/>
      </c>
      <c r="F602" s="58">
        <f>IF(H602=1,INDEX(tx_Desc,596)&amp;"","")</f>
        <v/>
      </c>
      <c r="G602" s="58">
        <f>IF(H602=1,IF(INDEX(tx_Cust,596)&amp;""&lt;&gt;"",INDEX(tx_Cust,596)&amp;"",INDEX(tx_Vend,596)&amp;""),"")</f>
        <v/>
      </c>
      <c r="H602" s="101">
        <f>IFERROR(N(INDEX(tx_Posted,596)),0)</f>
        <v/>
      </c>
      <c r="I602" s="58">
        <f>IF(H602=1,INDEX(tx_DrAcct,596)&amp;"","")</f>
        <v/>
      </c>
      <c r="J602" s="95">
        <f>IF(H602=1,INDEX(tx_DrAmt,596),0)</f>
        <v/>
      </c>
      <c r="K602" s="58">
        <f>IF(H602=1,INDEX(tx_CrAcct,596)&amp;"","")</f>
        <v/>
      </c>
      <c r="L602" s="95">
        <f>IF(H602=1,INDEX(tx_CrAmt,596),0)</f>
        <v/>
      </c>
      <c r="M602" s="95">
        <f>IF(H602=1,INDEX(tx_TaxDr,596),0)</f>
        <v/>
      </c>
      <c r="N602" s="95">
        <f>IF(H602=1,INDEX(tx_TaxCr,596),0)</f>
        <v/>
      </c>
      <c r="O602" s="101">
        <f>IF(H602=1,IF(E602&lt;FYStart,0,IF(E602&gt;FYEnd,13,YEAR(E602)*12+MONTH(E602)-FYYM+1)),"")</f>
        <v/>
      </c>
      <c r="P602" s="101">
        <f>IF(H602=1,IF(IFERROR(INDEX(coa_CF,MATCH(I602,coa_Name,0)),"")="Cash",1,0),0)</f>
        <v/>
      </c>
      <c r="Q602" s="101">
        <f>IF(H602=1,IF(IFERROR(INDEX(coa_CF,MATCH(K602,coa_Name,0)),"")="Cash",1,0),0)</f>
        <v/>
      </c>
      <c r="R602" s="58">
        <f>IF((P602-Q602)=0,"",IFERROR(INDEX(coa_CF,MATCH(IF((P602-Q602)=1,K602,I602),coa_Name,0)),"Operating"))</f>
        <v/>
      </c>
      <c r="S602" s="95">
        <f>IF((P602-Q602)=1,L602,IF((P602-Q602)=-1,-J602,0))</f>
        <v/>
      </c>
      <c r="T602" s="95">
        <f>IF((P602-Q602)=1,N602,IF((P602-Q602)=-1,-M602,0))</f>
        <v/>
      </c>
      <c r="U602" s="101">
        <f>IF(AND(H602=1,LedAcct&lt;&gt;""),IF(AND(E602&gt;=LedFrom,E602&lt;=LedTo,OR(I602=LedAcct,K602=LedAcct,AND(LedAcct=acctTax,M602+N602&lt;&gt;0))),E602*10000+B602,""),"")</f>
        <v/>
      </c>
    </row>
    <row r="603">
      <c r="B603" s="101" t="n">
        <v>597</v>
      </c>
      <c r="C603" s="58" t="inlineStr">
        <is>
          <t>Transaction</t>
        </is>
      </c>
      <c r="D603" s="58">
        <f>IF(H603=1,INDEX(tx_ID,597)&amp;"","")</f>
        <v/>
      </c>
      <c r="E603" s="94">
        <f>IF(H603=1,INDEX(tx_Date,597),"")</f>
        <v/>
      </c>
      <c r="F603" s="58">
        <f>IF(H603=1,INDEX(tx_Desc,597)&amp;"","")</f>
        <v/>
      </c>
      <c r="G603" s="58">
        <f>IF(H603=1,IF(INDEX(tx_Cust,597)&amp;""&lt;&gt;"",INDEX(tx_Cust,597)&amp;"",INDEX(tx_Vend,597)&amp;""),"")</f>
        <v/>
      </c>
      <c r="H603" s="101">
        <f>IFERROR(N(INDEX(tx_Posted,597)),0)</f>
        <v/>
      </c>
      <c r="I603" s="58">
        <f>IF(H603=1,INDEX(tx_DrAcct,597)&amp;"","")</f>
        <v/>
      </c>
      <c r="J603" s="95">
        <f>IF(H603=1,INDEX(tx_DrAmt,597),0)</f>
        <v/>
      </c>
      <c r="K603" s="58">
        <f>IF(H603=1,INDEX(tx_CrAcct,597)&amp;"","")</f>
        <v/>
      </c>
      <c r="L603" s="95">
        <f>IF(H603=1,INDEX(tx_CrAmt,597),0)</f>
        <v/>
      </c>
      <c r="M603" s="95">
        <f>IF(H603=1,INDEX(tx_TaxDr,597),0)</f>
        <v/>
      </c>
      <c r="N603" s="95">
        <f>IF(H603=1,INDEX(tx_TaxCr,597),0)</f>
        <v/>
      </c>
      <c r="O603" s="101">
        <f>IF(H603=1,IF(E603&lt;FYStart,0,IF(E603&gt;FYEnd,13,YEAR(E603)*12+MONTH(E603)-FYYM+1)),"")</f>
        <v/>
      </c>
      <c r="P603" s="101">
        <f>IF(H603=1,IF(IFERROR(INDEX(coa_CF,MATCH(I603,coa_Name,0)),"")="Cash",1,0),0)</f>
        <v/>
      </c>
      <c r="Q603" s="101">
        <f>IF(H603=1,IF(IFERROR(INDEX(coa_CF,MATCH(K603,coa_Name,0)),"")="Cash",1,0),0)</f>
        <v/>
      </c>
      <c r="R603" s="58">
        <f>IF((P603-Q603)=0,"",IFERROR(INDEX(coa_CF,MATCH(IF((P603-Q603)=1,K603,I603),coa_Name,0)),"Operating"))</f>
        <v/>
      </c>
      <c r="S603" s="95">
        <f>IF((P603-Q603)=1,L603,IF((P603-Q603)=-1,-J603,0))</f>
        <v/>
      </c>
      <c r="T603" s="95">
        <f>IF((P603-Q603)=1,N603,IF((P603-Q603)=-1,-M603,0))</f>
        <v/>
      </c>
      <c r="U603" s="101">
        <f>IF(AND(H603=1,LedAcct&lt;&gt;""),IF(AND(E603&gt;=LedFrom,E603&lt;=LedTo,OR(I603=LedAcct,K603=LedAcct,AND(LedAcct=acctTax,M603+N603&lt;&gt;0))),E603*10000+B603,""),"")</f>
        <v/>
      </c>
    </row>
    <row r="604">
      <c r="B604" s="101" t="n">
        <v>598</v>
      </c>
      <c r="C604" s="58" t="inlineStr">
        <is>
          <t>Transaction</t>
        </is>
      </c>
      <c r="D604" s="58">
        <f>IF(H604=1,INDEX(tx_ID,598)&amp;"","")</f>
        <v/>
      </c>
      <c r="E604" s="94">
        <f>IF(H604=1,INDEX(tx_Date,598),"")</f>
        <v/>
      </c>
      <c r="F604" s="58">
        <f>IF(H604=1,INDEX(tx_Desc,598)&amp;"","")</f>
        <v/>
      </c>
      <c r="G604" s="58">
        <f>IF(H604=1,IF(INDEX(tx_Cust,598)&amp;""&lt;&gt;"",INDEX(tx_Cust,598)&amp;"",INDEX(tx_Vend,598)&amp;""),"")</f>
        <v/>
      </c>
      <c r="H604" s="101">
        <f>IFERROR(N(INDEX(tx_Posted,598)),0)</f>
        <v/>
      </c>
      <c r="I604" s="58">
        <f>IF(H604=1,INDEX(tx_DrAcct,598)&amp;"","")</f>
        <v/>
      </c>
      <c r="J604" s="95">
        <f>IF(H604=1,INDEX(tx_DrAmt,598),0)</f>
        <v/>
      </c>
      <c r="K604" s="58">
        <f>IF(H604=1,INDEX(tx_CrAcct,598)&amp;"","")</f>
        <v/>
      </c>
      <c r="L604" s="95">
        <f>IF(H604=1,INDEX(tx_CrAmt,598),0)</f>
        <v/>
      </c>
      <c r="M604" s="95">
        <f>IF(H604=1,INDEX(tx_TaxDr,598),0)</f>
        <v/>
      </c>
      <c r="N604" s="95">
        <f>IF(H604=1,INDEX(tx_TaxCr,598),0)</f>
        <v/>
      </c>
      <c r="O604" s="101">
        <f>IF(H604=1,IF(E604&lt;FYStart,0,IF(E604&gt;FYEnd,13,YEAR(E604)*12+MONTH(E604)-FYYM+1)),"")</f>
        <v/>
      </c>
      <c r="P604" s="101">
        <f>IF(H604=1,IF(IFERROR(INDEX(coa_CF,MATCH(I604,coa_Name,0)),"")="Cash",1,0),0)</f>
        <v/>
      </c>
      <c r="Q604" s="101">
        <f>IF(H604=1,IF(IFERROR(INDEX(coa_CF,MATCH(K604,coa_Name,0)),"")="Cash",1,0),0)</f>
        <v/>
      </c>
      <c r="R604" s="58">
        <f>IF((P604-Q604)=0,"",IFERROR(INDEX(coa_CF,MATCH(IF((P604-Q604)=1,K604,I604),coa_Name,0)),"Operating"))</f>
        <v/>
      </c>
      <c r="S604" s="95">
        <f>IF((P604-Q604)=1,L604,IF((P604-Q604)=-1,-J604,0))</f>
        <v/>
      </c>
      <c r="T604" s="95">
        <f>IF((P604-Q604)=1,N604,IF((P604-Q604)=-1,-M604,0))</f>
        <v/>
      </c>
      <c r="U604" s="101">
        <f>IF(AND(H604=1,LedAcct&lt;&gt;""),IF(AND(E604&gt;=LedFrom,E604&lt;=LedTo,OR(I604=LedAcct,K604=LedAcct,AND(LedAcct=acctTax,M604+N604&lt;&gt;0))),E604*10000+B604,""),"")</f>
        <v/>
      </c>
    </row>
    <row r="605">
      <c r="B605" s="101" t="n">
        <v>599</v>
      </c>
      <c r="C605" s="58" t="inlineStr">
        <is>
          <t>Transaction</t>
        </is>
      </c>
      <c r="D605" s="58">
        <f>IF(H605=1,INDEX(tx_ID,599)&amp;"","")</f>
        <v/>
      </c>
      <c r="E605" s="94">
        <f>IF(H605=1,INDEX(tx_Date,599),"")</f>
        <v/>
      </c>
      <c r="F605" s="58">
        <f>IF(H605=1,INDEX(tx_Desc,599)&amp;"","")</f>
        <v/>
      </c>
      <c r="G605" s="58">
        <f>IF(H605=1,IF(INDEX(tx_Cust,599)&amp;""&lt;&gt;"",INDEX(tx_Cust,599)&amp;"",INDEX(tx_Vend,599)&amp;""),"")</f>
        <v/>
      </c>
      <c r="H605" s="101">
        <f>IFERROR(N(INDEX(tx_Posted,599)),0)</f>
        <v/>
      </c>
      <c r="I605" s="58">
        <f>IF(H605=1,INDEX(tx_DrAcct,599)&amp;"","")</f>
        <v/>
      </c>
      <c r="J605" s="95">
        <f>IF(H605=1,INDEX(tx_DrAmt,599),0)</f>
        <v/>
      </c>
      <c r="K605" s="58">
        <f>IF(H605=1,INDEX(tx_CrAcct,599)&amp;"","")</f>
        <v/>
      </c>
      <c r="L605" s="95">
        <f>IF(H605=1,INDEX(tx_CrAmt,599),0)</f>
        <v/>
      </c>
      <c r="M605" s="95">
        <f>IF(H605=1,INDEX(tx_TaxDr,599),0)</f>
        <v/>
      </c>
      <c r="N605" s="95">
        <f>IF(H605=1,INDEX(tx_TaxCr,599),0)</f>
        <v/>
      </c>
      <c r="O605" s="101">
        <f>IF(H605=1,IF(E605&lt;FYStart,0,IF(E605&gt;FYEnd,13,YEAR(E605)*12+MONTH(E605)-FYYM+1)),"")</f>
        <v/>
      </c>
      <c r="P605" s="101">
        <f>IF(H605=1,IF(IFERROR(INDEX(coa_CF,MATCH(I605,coa_Name,0)),"")="Cash",1,0),0)</f>
        <v/>
      </c>
      <c r="Q605" s="101">
        <f>IF(H605=1,IF(IFERROR(INDEX(coa_CF,MATCH(K605,coa_Name,0)),"")="Cash",1,0),0)</f>
        <v/>
      </c>
      <c r="R605" s="58">
        <f>IF((P605-Q605)=0,"",IFERROR(INDEX(coa_CF,MATCH(IF((P605-Q605)=1,K605,I605),coa_Name,0)),"Operating"))</f>
        <v/>
      </c>
      <c r="S605" s="95">
        <f>IF((P605-Q605)=1,L605,IF((P605-Q605)=-1,-J605,0))</f>
        <v/>
      </c>
      <c r="T605" s="95">
        <f>IF((P605-Q605)=1,N605,IF((P605-Q605)=-1,-M605,0))</f>
        <v/>
      </c>
      <c r="U605" s="101">
        <f>IF(AND(H605=1,LedAcct&lt;&gt;""),IF(AND(E605&gt;=LedFrom,E605&lt;=LedTo,OR(I605=LedAcct,K605=LedAcct,AND(LedAcct=acctTax,M605+N605&lt;&gt;0))),E605*10000+B605,""),"")</f>
        <v/>
      </c>
    </row>
    <row r="606">
      <c r="B606" s="101" t="n">
        <v>600</v>
      </c>
      <c r="C606" s="58" t="inlineStr">
        <is>
          <t>Transaction</t>
        </is>
      </c>
      <c r="D606" s="58">
        <f>IF(H606=1,INDEX(tx_ID,600)&amp;"","")</f>
        <v/>
      </c>
      <c r="E606" s="94">
        <f>IF(H606=1,INDEX(tx_Date,600),"")</f>
        <v/>
      </c>
      <c r="F606" s="58">
        <f>IF(H606=1,INDEX(tx_Desc,600)&amp;"","")</f>
        <v/>
      </c>
      <c r="G606" s="58">
        <f>IF(H606=1,IF(INDEX(tx_Cust,600)&amp;""&lt;&gt;"",INDEX(tx_Cust,600)&amp;"",INDEX(tx_Vend,600)&amp;""),"")</f>
        <v/>
      </c>
      <c r="H606" s="101">
        <f>IFERROR(N(INDEX(tx_Posted,600)),0)</f>
        <v/>
      </c>
      <c r="I606" s="58">
        <f>IF(H606=1,INDEX(tx_DrAcct,600)&amp;"","")</f>
        <v/>
      </c>
      <c r="J606" s="95">
        <f>IF(H606=1,INDEX(tx_DrAmt,600),0)</f>
        <v/>
      </c>
      <c r="K606" s="58">
        <f>IF(H606=1,INDEX(tx_CrAcct,600)&amp;"","")</f>
        <v/>
      </c>
      <c r="L606" s="95">
        <f>IF(H606=1,INDEX(tx_CrAmt,600),0)</f>
        <v/>
      </c>
      <c r="M606" s="95">
        <f>IF(H606=1,INDEX(tx_TaxDr,600),0)</f>
        <v/>
      </c>
      <c r="N606" s="95">
        <f>IF(H606=1,INDEX(tx_TaxCr,600),0)</f>
        <v/>
      </c>
      <c r="O606" s="101">
        <f>IF(H606=1,IF(E606&lt;FYStart,0,IF(E606&gt;FYEnd,13,YEAR(E606)*12+MONTH(E606)-FYYM+1)),"")</f>
        <v/>
      </c>
      <c r="P606" s="101">
        <f>IF(H606=1,IF(IFERROR(INDEX(coa_CF,MATCH(I606,coa_Name,0)),"")="Cash",1,0),0)</f>
        <v/>
      </c>
      <c r="Q606" s="101">
        <f>IF(H606=1,IF(IFERROR(INDEX(coa_CF,MATCH(K606,coa_Name,0)),"")="Cash",1,0),0)</f>
        <v/>
      </c>
      <c r="R606" s="58">
        <f>IF((P606-Q606)=0,"",IFERROR(INDEX(coa_CF,MATCH(IF((P606-Q606)=1,K606,I606),coa_Name,0)),"Operating"))</f>
        <v/>
      </c>
      <c r="S606" s="95">
        <f>IF((P606-Q606)=1,L606,IF((P606-Q606)=-1,-J606,0))</f>
        <v/>
      </c>
      <c r="T606" s="95">
        <f>IF((P606-Q606)=1,N606,IF((P606-Q606)=-1,-M606,0))</f>
        <v/>
      </c>
      <c r="U606" s="101">
        <f>IF(AND(H606=1,LedAcct&lt;&gt;""),IF(AND(E606&gt;=LedFrom,E606&lt;=LedTo,OR(I606=LedAcct,K606=LedAcct,AND(LedAcct=acctTax,M606+N606&lt;&gt;0))),E606*10000+B606,""),"")</f>
        <v/>
      </c>
    </row>
    <row r="607">
      <c r="B607" s="101" t="n">
        <v>601</v>
      </c>
      <c r="C607" s="58" t="inlineStr">
        <is>
          <t>Transaction</t>
        </is>
      </c>
      <c r="D607" s="58">
        <f>IF(H607=1,INDEX(tx_ID,601)&amp;"","")</f>
        <v/>
      </c>
      <c r="E607" s="94">
        <f>IF(H607=1,INDEX(tx_Date,601),"")</f>
        <v/>
      </c>
      <c r="F607" s="58">
        <f>IF(H607=1,INDEX(tx_Desc,601)&amp;"","")</f>
        <v/>
      </c>
      <c r="G607" s="58">
        <f>IF(H607=1,IF(INDEX(tx_Cust,601)&amp;""&lt;&gt;"",INDEX(tx_Cust,601)&amp;"",INDEX(tx_Vend,601)&amp;""),"")</f>
        <v/>
      </c>
      <c r="H607" s="101">
        <f>IFERROR(N(INDEX(tx_Posted,601)),0)</f>
        <v/>
      </c>
      <c r="I607" s="58">
        <f>IF(H607=1,INDEX(tx_DrAcct,601)&amp;"","")</f>
        <v/>
      </c>
      <c r="J607" s="95">
        <f>IF(H607=1,INDEX(tx_DrAmt,601),0)</f>
        <v/>
      </c>
      <c r="K607" s="58">
        <f>IF(H607=1,INDEX(tx_CrAcct,601)&amp;"","")</f>
        <v/>
      </c>
      <c r="L607" s="95">
        <f>IF(H607=1,INDEX(tx_CrAmt,601),0)</f>
        <v/>
      </c>
      <c r="M607" s="95">
        <f>IF(H607=1,INDEX(tx_TaxDr,601),0)</f>
        <v/>
      </c>
      <c r="N607" s="95">
        <f>IF(H607=1,INDEX(tx_TaxCr,601),0)</f>
        <v/>
      </c>
      <c r="O607" s="101">
        <f>IF(H607=1,IF(E607&lt;FYStart,0,IF(E607&gt;FYEnd,13,YEAR(E607)*12+MONTH(E607)-FYYM+1)),"")</f>
        <v/>
      </c>
      <c r="P607" s="101">
        <f>IF(H607=1,IF(IFERROR(INDEX(coa_CF,MATCH(I607,coa_Name,0)),"")="Cash",1,0),0)</f>
        <v/>
      </c>
      <c r="Q607" s="101">
        <f>IF(H607=1,IF(IFERROR(INDEX(coa_CF,MATCH(K607,coa_Name,0)),"")="Cash",1,0),0)</f>
        <v/>
      </c>
      <c r="R607" s="58">
        <f>IF((P607-Q607)=0,"",IFERROR(INDEX(coa_CF,MATCH(IF((P607-Q607)=1,K607,I607),coa_Name,0)),"Operating"))</f>
        <v/>
      </c>
      <c r="S607" s="95">
        <f>IF((P607-Q607)=1,L607,IF((P607-Q607)=-1,-J607,0))</f>
        <v/>
      </c>
      <c r="T607" s="95">
        <f>IF((P607-Q607)=1,N607,IF((P607-Q607)=-1,-M607,0))</f>
        <v/>
      </c>
      <c r="U607" s="101">
        <f>IF(AND(H607=1,LedAcct&lt;&gt;""),IF(AND(E607&gt;=LedFrom,E607&lt;=LedTo,OR(I607=LedAcct,K607=LedAcct,AND(LedAcct=acctTax,M607+N607&lt;&gt;0))),E607*10000+B607,""),"")</f>
        <v/>
      </c>
    </row>
    <row r="608">
      <c r="B608" s="101" t="n">
        <v>602</v>
      </c>
      <c r="C608" s="58" t="inlineStr">
        <is>
          <t>Transaction</t>
        </is>
      </c>
      <c r="D608" s="58">
        <f>IF(H608=1,INDEX(tx_ID,602)&amp;"","")</f>
        <v/>
      </c>
      <c r="E608" s="94">
        <f>IF(H608=1,INDEX(tx_Date,602),"")</f>
        <v/>
      </c>
      <c r="F608" s="58">
        <f>IF(H608=1,INDEX(tx_Desc,602)&amp;"","")</f>
        <v/>
      </c>
      <c r="G608" s="58">
        <f>IF(H608=1,IF(INDEX(tx_Cust,602)&amp;""&lt;&gt;"",INDEX(tx_Cust,602)&amp;"",INDEX(tx_Vend,602)&amp;""),"")</f>
        <v/>
      </c>
      <c r="H608" s="101">
        <f>IFERROR(N(INDEX(tx_Posted,602)),0)</f>
        <v/>
      </c>
      <c r="I608" s="58">
        <f>IF(H608=1,INDEX(tx_DrAcct,602)&amp;"","")</f>
        <v/>
      </c>
      <c r="J608" s="95">
        <f>IF(H608=1,INDEX(tx_DrAmt,602),0)</f>
        <v/>
      </c>
      <c r="K608" s="58">
        <f>IF(H608=1,INDEX(tx_CrAcct,602)&amp;"","")</f>
        <v/>
      </c>
      <c r="L608" s="95">
        <f>IF(H608=1,INDEX(tx_CrAmt,602),0)</f>
        <v/>
      </c>
      <c r="M608" s="95">
        <f>IF(H608=1,INDEX(tx_TaxDr,602),0)</f>
        <v/>
      </c>
      <c r="N608" s="95">
        <f>IF(H608=1,INDEX(tx_TaxCr,602),0)</f>
        <v/>
      </c>
      <c r="O608" s="101">
        <f>IF(H608=1,IF(E608&lt;FYStart,0,IF(E608&gt;FYEnd,13,YEAR(E608)*12+MONTH(E608)-FYYM+1)),"")</f>
        <v/>
      </c>
      <c r="P608" s="101">
        <f>IF(H608=1,IF(IFERROR(INDEX(coa_CF,MATCH(I608,coa_Name,0)),"")="Cash",1,0),0)</f>
        <v/>
      </c>
      <c r="Q608" s="101">
        <f>IF(H608=1,IF(IFERROR(INDEX(coa_CF,MATCH(K608,coa_Name,0)),"")="Cash",1,0),0)</f>
        <v/>
      </c>
      <c r="R608" s="58">
        <f>IF((P608-Q608)=0,"",IFERROR(INDEX(coa_CF,MATCH(IF((P608-Q608)=1,K608,I608),coa_Name,0)),"Operating"))</f>
        <v/>
      </c>
      <c r="S608" s="95">
        <f>IF((P608-Q608)=1,L608,IF((P608-Q608)=-1,-J608,0))</f>
        <v/>
      </c>
      <c r="T608" s="95">
        <f>IF((P608-Q608)=1,N608,IF((P608-Q608)=-1,-M608,0))</f>
        <v/>
      </c>
      <c r="U608" s="101">
        <f>IF(AND(H608=1,LedAcct&lt;&gt;""),IF(AND(E608&gt;=LedFrom,E608&lt;=LedTo,OR(I608=LedAcct,K608=LedAcct,AND(LedAcct=acctTax,M608+N608&lt;&gt;0))),E608*10000+B608,""),"")</f>
        <v/>
      </c>
    </row>
    <row r="609">
      <c r="B609" s="101" t="n">
        <v>603</v>
      </c>
      <c r="C609" s="58" t="inlineStr">
        <is>
          <t>Transaction</t>
        </is>
      </c>
      <c r="D609" s="58">
        <f>IF(H609=1,INDEX(tx_ID,603)&amp;"","")</f>
        <v/>
      </c>
      <c r="E609" s="94">
        <f>IF(H609=1,INDEX(tx_Date,603),"")</f>
        <v/>
      </c>
      <c r="F609" s="58">
        <f>IF(H609=1,INDEX(tx_Desc,603)&amp;"","")</f>
        <v/>
      </c>
      <c r="G609" s="58">
        <f>IF(H609=1,IF(INDEX(tx_Cust,603)&amp;""&lt;&gt;"",INDEX(tx_Cust,603)&amp;"",INDEX(tx_Vend,603)&amp;""),"")</f>
        <v/>
      </c>
      <c r="H609" s="101">
        <f>IFERROR(N(INDEX(tx_Posted,603)),0)</f>
        <v/>
      </c>
      <c r="I609" s="58">
        <f>IF(H609=1,INDEX(tx_DrAcct,603)&amp;"","")</f>
        <v/>
      </c>
      <c r="J609" s="95">
        <f>IF(H609=1,INDEX(tx_DrAmt,603),0)</f>
        <v/>
      </c>
      <c r="K609" s="58">
        <f>IF(H609=1,INDEX(tx_CrAcct,603)&amp;"","")</f>
        <v/>
      </c>
      <c r="L609" s="95">
        <f>IF(H609=1,INDEX(tx_CrAmt,603),0)</f>
        <v/>
      </c>
      <c r="M609" s="95">
        <f>IF(H609=1,INDEX(tx_TaxDr,603),0)</f>
        <v/>
      </c>
      <c r="N609" s="95">
        <f>IF(H609=1,INDEX(tx_TaxCr,603),0)</f>
        <v/>
      </c>
      <c r="O609" s="101">
        <f>IF(H609=1,IF(E609&lt;FYStart,0,IF(E609&gt;FYEnd,13,YEAR(E609)*12+MONTH(E609)-FYYM+1)),"")</f>
        <v/>
      </c>
      <c r="P609" s="101">
        <f>IF(H609=1,IF(IFERROR(INDEX(coa_CF,MATCH(I609,coa_Name,0)),"")="Cash",1,0),0)</f>
        <v/>
      </c>
      <c r="Q609" s="101">
        <f>IF(H609=1,IF(IFERROR(INDEX(coa_CF,MATCH(K609,coa_Name,0)),"")="Cash",1,0),0)</f>
        <v/>
      </c>
      <c r="R609" s="58">
        <f>IF((P609-Q609)=0,"",IFERROR(INDEX(coa_CF,MATCH(IF((P609-Q609)=1,K609,I609),coa_Name,0)),"Operating"))</f>
        <v/>
      </c>
      <c r="S609" s="95">
        <f>IF((P609-Q609)=1,L609,IF((P609-Q609)=-1,-J609,0))</f>
        <v/>
      </c>
      <c r="T609" s="95">
        <f>IF((P609-Q609)=1,N609,IF((P609-Q609)=-1,-M609,0))</f>
        <v/>
      </c>
      <c r="U609" s="101">
        <f>IF(AND(H609=1,LedAcct&lt;&gt;""),IF(AND(E609&gt;=LedFrom,E609&lt;=LedTo,OR(I609=LedAcct,K609=LedAcct,AND(LedAcct=acctTax,M609+N609&lt;&gt;0))),E609*10000+B609,""),"")</f>
        <v/>
      </c>
    </row>
    <row r="610">
      <c r="B610" s="101" t="n">
        <v>604</v>
      </c>
      <c r="C610" s="58" t="inlineStr">
        <is>
          <t>Transaction</t>
        </is>
      </c>
      <c r="D610" s="58">
        <f>IF(H610=1,INDEX(tx_ID,604)&amp;"","")</f>
        <v/>
      </c>
      <c r="E610" s="94">
        <f>IF(H610=1,INDEX(tx_Date,604),"")</f>
        <v/>
      </c>
      <c r="F610" s="58">
        <f>IF(H610=1,INDEX(tx_Desc,604)&amp;"","")</f>
        <v/>
      </c>
      <c r="G610" s="58">
        <f>IF(H610=1,IF(INDEX(tx_Cust,604)&amp;""&lt;&gt;"",INDEX(tx_Cust,604)&amp;"",INDEX(tx_Vend,604)&amp;""),"")</f>
        <v/>
      </c>
      <c r="H610" s="101">
        <f>IFERROR(N(INDEX(tx_Posted,604)),0)</f>
        <v/>
      </c>
      <c r="I610" s="58">
        <f>IF(H610=1,INDEX(tx_DrAcct,604)&amp;"","")</f>
        <v/>
      </c>
      <c r="J610" s="95">
        <f>IF(H610=1,INDEX(tx_DrAmt,604),0)</f>
        <v/>
      </c>
      <c r="K610" s="58">
        <f>IF(H610=1,INDEX(tx_CrAcct,604)&amp;"","")</f>
        <v/>
      </c>
      <c r="L610" s="95">
        <f>IF(H610=1,INDEX(tx_CrAmt,604),0)</f>
        <v/>
      </c>
      <c r="M610" s="95">
        <f>IF(H610=1,INDEX(tx_TaxDr,604),0)</f>
        <v/>
      </c>
      <c r="N610" s="95">
        <f>IF(H610=1,INDEX(tx_TaxCr,604),0)</f>
        <v/>
      </c>
      <c r="O610" s="101">
        <f>IF(H610=1,IF(E610&lt;FYStart,0,IF(E610&gt;FYEnd,13,YEAR(E610)*12+MONTH(E610)-FYYM+1)),"")</f>
        <v/>
      </c>
      <c r="P610" s="101">
        <f>IF(H610=1,IF(IFERROR(INDEX(coa_CF,MATCH(I610,coa_Name,0)),"")="Cash",1,0),0)</f>
        <v/>
      </c>
      <c r="Q610" s="101">
        <f>IF(H610=1,IF(IFERROR(INDEX(coa_CF,MATCH(K610,coa_Name,0)),"")="Cash",1,0),0)</f>
        <v/>
      </c>
      <c r="R610" s="58">
        <f>IF((P610-Q610)=0,"",IFERROR(INDEX(coa_CF,MATCH(IF((P610-Q610)=1,K610,I610),coa_Name,0)),"Operating"))</f>
        <v/>
      </c>
      <c r="S610" s="95">
        <f>IF((P610-Q610)=1,L610,IF((P610-Q610)=-1,-J610,0))</f>
        <v/>
      </c>
      <c r="T610" s="95">
        <f>IF((P610-Q610)=1,N610,IF((P610-Q610)=-1,-M610,0))</f>
        <v/>
      </c>
      <c r="U610" s="101">
        <f>IF(AND(H610=1,LedAcct&lt;&gt;""),IF(AND(E610&gt;=LedFrom,E610&lt;=LedTo,OR(I610=LedAcct,K610=LedAcct,AND(LedAcct=acctTax,M610+N610&lt;&gt;0))),E610*10000+B610,""),"")</f>
        <v/>
      </c>
    </row>
    <row r="611">
      <c r="B611" s="101" t="n">
        <v>605</v>
      </c>
      <c r="C611" s="58" t="inlineStr">
        <is>
          <t>Transaction</t>
        </is>
      </c>
      <c r="D611" s="58">
        <f>IF(H611=1,INDEX(tx_ID,605)&amp;"","")</f>
        <v/>
      </c>
      <c r="E611" s="94">
        <f>IF(H611=1,INDEX(tx_Date,605),"")</f>
        <v/>
      </c>
      <c r="F611" s="58">
        <f>IF(H611=1,INDEX(tx_Desc,605)&amp;"","")</f>
        <v/>
      </c>
      <c r="G611" s="58">
        <f>IF(H611=1,IF(INDEX(tx_Cust,605)&amp;""&lt;&gt;"",INDEX(tx_Cust,605)&amp;"",INDEX(tx_Vend,605)&amp;""),"")</f>
        <v/>
      </c>
      <c r="H611" s="101">
        <f>IFERROR(N(INDEX(tx_Posted,605)),0)</f>
        <v/>
      </c>
      <c r="I611" s="58">
        <f>IF(H611=1,INDEX(tx_DrAcct,605)&amp;"","")</f>
        <v/>
      </c>
      <c r="J611" s="95">
        <f>IF(H611=1,INDEX(tx_DrAmt,605),0)</f>
        <v/>
      </c>
      <c r="K611" s="58">
        <f>IF(H611=1,INDEX(tx_CrAcct,605)&amp;"","")</f>
        <v/>
      </c>
      <c r="L611" s="95">
        <f>IF(H611=1,INDEX(tx_CrAmt,605),0)</f>
        <v/>
      </c>
      <c r="M611" s="95">
        <f>IF(H611=1,INDEX(tx_TaxDr,605),0)</f>
        <v/>
      </c>
      <c r="N611" s="95">
        <f>IF(H611=1,INDEX(tx_TaxCr,605),0)</f>
        <v/>
      </c>
      <c r="O611" s="101">
        <f>IF(H611=1,IF(E611&lt;FYStart,0,IF(E611&gt;FYEnd,13,YEAR(E611)*12+MONTH(E611)-FYYM+1)),"")</f>
        <v/>
      </c>
      <c r="P611" s="101">
        <f>IF(H611=1,IF(IFERROR(INDEX(coa_CF,MATCH(I611,coa_Name,0)),"")="Cash",1,0),0)</f>
        <v/>
      </c>
      <c r="Q611" s="101">
        <f>IF(H611=1,IF(IFERROR(INDEX(coa_CF,MATCH(K611,coa_Name,0)),"")="Cash",1,0),0)</f>
        <v/>
      </c>
      <c r="R611" s="58">
        <f>IF((P611-Q611)=0,"",IFERROR(INDEX(coa_CF,MATCH(IF((P611-Q611)=1,K611,I611),coa_Name,0)),"Operating"))</f>
        <v/>
      </c>
      <c r="S611" s="95">
        <f>IF((P611-Q611)=1,L611,IF((P611-Q611)=-1,-J611,0))</f>
        <v/>
      </c>
      <c r="T611" s="95">
        <f>IF((P611-Q611)=1,N611,IF((P611-Q611)=-1,-M611,0))</f>
        <v/>
      </c>
      <c r="U611" s="101">
        <f>IF(AND(H611=1,LedAcct&lt;&gt;""),IF(AND(E611&gt;=LedFrom,E611&lt;=LedTo,OR(I611=LedAcct,K611=LedAcct,AND(LedAcct=acctTax,M611+N611&lt;&gt;0))),E611*10000+B611,""),"")</f>
        <v/>
      </c>
    </row>
    <row r="612">
      <c r="B612" s="101" t="n">
        <v>606</v>
      </c>
      <c r="C612" s="58" t="inlineStr">
        <is>
          <t>Transaction</t>
        </is>
      </c>
      <c r="D612" s="58">
        <f>IF(H612=1,INDEX(tx_ID,606)&amp;"","")</f>
        <v/>
      </c>
      <c r="E612" s="94">
        <f>IF(H612=1,INDEX(tx_Date,606),"")</f>
        <v/>
      </c>
      <c r="F612" s="58">
        <f>IF(H612=1,INDEX(tx_Desc,606)&amp;"","")</f>
        <v/>
      </c>
      <c r="G612" s="58">
        <f>IF(H612=1,IF(INDEX(tx_Cust,606)&amp;""&lt;&gt;"",INDEX(tx_Cust,606)&amp;"",INDEX(tx_Vend,606)&amp;""),"")</f>
        <v/>
      </c>
      <c r="H612" s="101">
        <f>IFERROR(N(INDEX(tx_Posted,606)),0)</f>
        <v/>
      </c>
      <c r="I612" s="58">
        <f>IF(H612=1,INDEX(tx_DrAcct,606)&amp;"","")</f>
        <v/>
      </c>
      <c r="J612" s="95">
        <f>IF(H612=1,INDEX(tx_DrAmt,606),0)</f>
        <v/>
      </c>
      <c r="K612" s="58">
        <f>IF(H612=1,INDEX(tx_CrAcct,606)&amp;"","")</f>
        <v/>
      </c>
      <c r="L612" s="95">
        <f>IF(H612=1,INDEX(tx_CrAmt,606),0)</f>
        <v/>
      </c>
      <c r="M612" s="95">
        <f>IF(H612=1,INDEX(tx_TaxDr,606),0)</f>
        <v/>
      </c>
      <c r="N612" s="95">
        <f>IF(H612=1,INDEX(tx_TaxCr,606),0)</f>
        <v/>
      </c>
      <c r="O612" s="101">
        <f>IF(H612=1,IF(E612&lt;FYStart,0,IF(E612&gt;FYEnd,13,YEAR(E612)*12+MONTH(E612)-FYYM+1)),"")</f>
        <v/>
      </c>
      <c r="P612" s="101">
        <f>IF(H612=1,IF(IFERROR(INDEX(coa_CF,MATCH(I612,coa_Name,0)),"")="Cash",1,0),0)</f>
        <v/>
      </c>
      <c r="Q612" s="101">
        <f>IF(H612=1,IF(IFERROR(INDEX(coa_CF,MATCH(K612,coa_Name,0)),"")="Cash",1,0),0)</f>
        <v/>
      </c>
      <c r="R612" s="58">
        <f>IF((P612-Q612)=0,"",IFERROR(INDEX(coa_CF,MATCH(IF((P612-Q612)=1,K612,I612),coa_Name,0)),"Operating"))</f>
        <v/>
      </c>
      <c r="S612" s="95">
        <f>IF((P612-Q612)=1,L612,IF((P612-Q612)=-1,-J612,0))</f>
        <v/>
      </c>
      <c r="T612" s="95">
        <f>IF((P612-Q612)=1,N612,IF((P612-Q612)=-1,-M612,0))</f>
        <v/>
      </c>
      <c r="U612" s="101">
        <f>IF(AND(H612=1,LedAcct&lt;&gt;""),IF(AND(E612&gt;=LedFrom,E612&lt;=LedTo,OR(I612=LedAcct,K612=LedAcct,AND(LedAcct=acctTax,M612+N612&lt;&gt;0))),E612*10000+B612,""),"")</f>
        <v/>
      </c>
    </row>
    <row r="613">
      <c r="B613" s="101" t="n">
        <v>607</v>
      </c>
      <c r="C613" s="58" t="inlineStr">
        <is>
          <t>Transaction</t>
        </is>
      </c>
      <c r="D613" s="58">
        <f>IF(H613=1,INDEX(tx_ID,607)&amp;"","")</f>
        <v/>
      </c>
      <c r="E613" s="94">
        <f>IF(H613=1,INDEX(tx_Date,607),"")</f>
        <v/>
      </c>
      <c r="F613" s="58">
        <f>IF(H613=1,INDEX(tx_Desc,607)&amp;"","")</f>
        <v/>
      </c>
      <c r="G613" s="58">
        <f>IF(H613=1,IF(INDEX(tx_Cust,607)&amp;""&lt;&gt;"",INDEX(tx_Cust,607)&amp;"",INDEX(tx_Vend,607)&amp;""),"")</f>
        <v/>
      </c>
      <c r="H613" s="101">
        <f>IFERROR(N(INDEX(tx_Posted,607)),0)</f>
        <v/>
      </c>
      <c r="I613" s="58">
        <f>IF(H613=1,INDEX(tx_DrAcct,607)&amp;"","")</f>
        <v/>
      </c>
      <c r="J613" s="95">
        <f>IF(H613=1,INDEX(tx_DrAmt,607),0)</f>
        <v/>
      </c>
      <c r="K613" s="58">
        <f>IF(H613=1,INDEX(tx_CrAcct,607)&amp;"","")</f>
        <v/>
      </c>
      <c r="L613" s="95">
        <f>IF(H613=1,INDEX(tx_CrAmt,607),0)</f>
        <v/>
      </c>
      <c r="M613" s="95">
        <f>IF(H613=1,INDEX(tx_TaxDr,607),0)</f>
        <v/>
      </c>
      <c r="N613" s="95">
        <f>IF(H613=1,INDEX(tx_TaxCr,607),0)</f>
        <v/>
      </c>
      <c r="O613" s="101">
        <f>IF(H613=1,IF(E613&lt;FYStart,0,IF(E613&gt;FYEnd,13,YEAR(E613)*12+MONTH(E613)-FYYM+1)),"")</f>
        <v/>
      </c>
      <c r="P613" s="101">
        <f>IF(H613=1,IF(IFERROR(INDEX(coa_CF,MATCH(I613,coa_Name,0)),"")="Cash",1,0),0)</f>
        <v/>
      </c>
      <c r="Q613" s="101">
        <f>IF(H613=1,IF(IFERROR(INDEX(coa_CF,MATCH(K613,coa_Name,0)),"")="Cash",1,0),0)</f>
        <v/>
      </c>
      <c r="R613" s="58">
        <f>IF((P613-Q613)=0,"",IFERROR(INDEX(coa_CF,MATCH(IF((P613-Q613)=1,K613,I613),coa_Name,0)),"Operating"))</f>
        <v/>
      </c>
      <c r="S613" s="95">
        <f>IF((P613-Q613)=1,L613,IF((P613-Q613)=-1,-J613,0))</f>
        <v/>
      </c>
      <c r="T613" s="95">
        <f>IF((P613-Q613)=1,N613,IF((P613-Q613)=-1,-M613,0))</f>
        <v/>
      </c>
      <c r="U613" s="101">
        <f>IF(AND(H613=1,LedAcct&lt;&gt;""),IF(AND(E613&gt;=LedFrom,E613&lt;=LedTo,OR(I613=LedAcct,K613=LedAcct,AND(LedAcct=acctTax,M613+N613&lt;&gt;0))),E613*10000+B613,""),"")</f>
        <v/>
      </c>
    </row>
    <row r="614">
      <c r="B614" s="101" t="n">
        <v>608</v>
      </c>
      <c r="C614" s="58" t="inlineStr">
        <is>
          <t>Transaction</t>
        </is>
      </c>
      <c r="D614" s="58">
        <f>IF(H614=1,INDEX(tx_ID,608)&amp;"","")</f>
        <v/>
      </c>
      <c r="E614" s="94">
        <f>IF(H614=1,INDEX(tx_Date,608),"")</f>
        <v/>
      </c>
      <c r="F614" s="58">
        <f>IF(H614=1,INDEX(tx_Desc,608)&amp;"","")</f>
        <v/>
      </c>
      <c r="G614" s="58">
        <f>IF(H614=1,IF(INDEX(tx_Cust,608)&amp;""&lt;&gt;"",INDEX(tx_Cust,608)&amp;"",INDEX(tx_Vend,608)&amp;""),"")</f>
        <v/>
      </c>
      <c r="H614" s="101">
        <f>IFERROR(N(INDEX(tx_Posted,608)),0)</f>
        <v/>
      </c>
      <c r="I614" s="58">
        <f>IF(H614=1,INDEX(tx_DrAcct,608)&amp;"","")</f>
        <v/>
      </c>
      <c r="J614" s="95">
        <f>IF(H614=1,INDEX(tx_DrAmt,608),0)</f>
        <v/>
      </c>
      <c r="K614" s="58">
        <f>IF(H614=1,INDEX(tx_CrAcct,608)&amp;"","")</f>
        <v/>
      </c>
      <c r="L614" s="95">
        <f>IF(H614=1,INDEX(tx_CrAmt,608),0)</f>
        <v/>
      </c>
      <c r="M614" s="95">
        <f>IF(H614=1,INDEX(tx_TaxDr,608),0)</f>
        <v/>
      </c>
      <c r="N614" s="95">
        <f>IF(H614=1,INDEX(tx_TaxCr,608),0)</f>
        <v/>
      </c>
      <c r="O614" s="101">
        <f>IF(H614=1,IF(E614&lt;FYStart,0,IF(E614&gt;FYEnd,13,YEAR(E614)*12+MONTH(E614)-FYYM+1)),"")</f>
        <v/>
      </c>
      <c r="P614" s="101">
        <f>IF(H614=1,IF(IFERROR(INDEX(coa_CF,MATCH(I614,coa_Name,0)),"")="Cash",1,0),0)</f>
        <v/>
      </c>
      <c r="Q614" s="101">
        <f>IF(H614=1,IF(IFERROR(INDEX(coa_CF,MATCH(K614,coa_Name,0)),"")="Cash",1,0),0)</f>
        <v/>
      </c>
      <c r="R614" s="58">
        <f>IF((P614-Q614)=0,"",IFERROR(INDEX(coa_CF,MATCH(IF((P614-Q614)=1,K614,I614),coa_Name,0)),"Operating"))</f>
        <v/>
      </c>
      <c r="S614" s="95">
        <f>IF((P614-Q614)=1,L614,IF((P614-Q614)=-1,-J614,0))</f>
        <v/>
      </c>
      <c r="T614" s="95">
        <f>IF((P614-Q614)=1,N614,IF((P614-Q614)=-1,-M614,0))</f>
        <v/>
      </c>
      <c r="U614" s="101">
        <f>IF(AND(H614=1,LedAcct&lt;&gt;""),IF(AND(E614&gt;=LedFrom,E614&lt;=LedTo,OR(I614=LedAcct,K614=LedAcct,AND(LedAcct=acctTax,M614+N614&lt;&gt;0))),E614*10000+B614,""),"")</f>
        <v/>
      </c>
    </row>
    <row r="615">
      <c r="B615" s="101" t="n">
        <v>609</v>
      </c>
      <c r="C615" s="58" t="inlineStr">
        <is>
          <t>Transaction</t>
        </is>
      </c>
      <c r="D615" s="58">
        <f>IF(H615=1,INDEX(tx_ID,609)&amp;"","")</f>
        <v/>
      </c>
      <c r="E615" s="94">
        <f>IF(H615=1,INDEX(tx_Date,609),"")</f>
        <v/>
      </c>
      <c r="F615" s="58">
        <f>IF(H615=1,INDEX(tx_Desc,609)&amp;"","")</f>
        <v/>
      </c>
      <c r="G615" s="58">
        <f>IF(H615=1,IF(INDEX(tx_Cust,609)&amp;""&lt;&gt;"",INDEX(tx_Cust,609)&amp;"",INDEX(tx_Vend,609)&amp;""),"")</f>
        <v/>
      </c>
      <c r="H615" s="101">
        <f>IFERROR(N(INDEX(tx_Posted,609)),0)</f>
        <v/>
      </c>
      <c r="I615" s="58">
        <f>IF(H615=1,INDEX(tx_DrAcct,609)&amp;"","")</f>
        <v/>
      </c>
      <c r="J615" s="95">
        <f>IF(H615=1,INDEX(tx_DrAmt,609),0)</f>
        <v/>
      </c>
      <c r="K615" s="58">
        <f>IF(H615=1,INDEX(tx_CrAcct,609)&amp;"","")</f>
        <v/>
      </c>
      <c r="L615" s="95">
        <f>IF(H615=1,INDEX(tx_CrAmt,609),0)</f>
        <v/>
      </c>
      <c r="M615" s="95">
        <f>IF(H615=1,INDEX(tx_TaxDr,609),0)</f>
        <v/>
      </c>
      <c r="N615" s="95">
        <f>IF(H615=1,INDEX(tx_TaxCr,609),0)</f>
        <v/>
      </c>
      <c r="O615" s="101">
        <f>IF(H615=1,IF(E615&lt;FYStart,0,IF(E615&gt;FYEnd,13,YEAR(E615)*12+MONTH(E615)-FYYM+1)),"")</f>
        <v/>
      </c>
      <c r="P615" s="101">
        <f>IF(H615=1,IF(IFERROR(INDEX(coa_CF,MATCH(I615,coa_Name,0)),"")="Cash",1,0),0)</f>
        <v/>
      </c>
      <c r="Q615" s="101">
        <f>IF(H615=1,IF(IFERROR(INDEX(coa_CF,MATCH(K615,coa_Name,0)),"")="Cash",1,0),0)</f>
        <v/>
      </c>
      <c r="R615" s="58">
        <f>IF((P615-Q615)=0,"",IFERROR(INDEX(coa_CF,MATCH(IF((P615-Q615)=1,K615,I615),coa_Name,0)),"Operating"))</f>
        <v/>
      </c>
      <c r="S615" s="95">
        <f>IF((P615-Q615)=1,L615,IF((P615-Q615)=-1,-J615,0))</f>
        <v/>
      </c>
      <c r="T615" s="95">
        <f>IF((P615-Q615)=1,N615,IF((P615-Q615)=-1,-M615,0))</f>
        <v/>
      </c>
      <c r="U615" s="101">
        <f>IF(AND(H615=1,LedAcct&lt;&gt;""),IF(AND(E615&gt;=LedFrom,E615&lt;=LedTo,OR(I615=LedAcct,K615=LedAcct,AND(LedAcct=acctTax,M615+N615&lt;&gt;0))),E615*10000+B615,""),"")</f>
        <v/>
      </c>
    </row>
    <row r="616">
      <c r="B616" s="101" t="n">
        <v>610</v>
      </c>
      <c r="C616" s="58" t="inlineStr">
        <is>
          <t>Transaction</t>
        </is>
      </c>
      <c r="D616" s="58">
        <f>IF(H616=1,INDEX(tx_ID,610)&amp;"","")</f>
        <v/>
      </c>
      <c r="E616" s="94">
        <f>IF(H616=1,INDEX(tx_Date,610),"")</f>
        <v/>
      </c>
      <c r="F616" s="58">
        <f>IF(H616=1,INDEX(tx_Desc,610)&amp;"","")</f>
        <v/>
      </c>
      <c r="G616" s="58">
        <f>IF(H616=1,IF(INDEX(tx_Cust,610)&amp;""&lt;&gt;"",INDEX(tx_Cust,610)&amp;"",INDEX(tx_Vend,610)&amp;""),"")</f>
        <v/>
      </c>
      <c r="H616" s="101">
        <f>IFERROR(N(INDEX(tx_Posted,610)),0)</f>
        <v/>
      </c>
      <c r="I616" s="58">
        <f>IF(H616=1,INDEX(tx_DrAcct,610)&amp;"","")</f>
        <v/>
      </c>
      <c r="J616" s="95">
        <f>IF(H616=1,INDEX(tx_DrAmt,610),0)</f>
        <v/>
      </c>
      <c r="K616" s="58">
        <f>IF(H616=1,INDEX(tx_CrAcct,610)&amp;"","")</f>
        <v/>
      </c>
      <c r="L616" s="95">
        <f>IF(H616=1,INDEX(tx_CrAmt,610),0)</f>
        <v/>
      </c>
      <c r="M616" s="95">
        <f>IF(H616=1,INDEX(tx_TaxDr,610),0)</f>
        <v/>
      </c>
      <c r="N616" s="95">
        <f>IF(H616=1,INDEX(tx_TaxCr,610),0)</f>
        <v/>
      </c>
      <c r="O616" s="101">
        <f>IF(H616=1,IF(E616&lt;FYStart,0,IF(E616&gt;FYEnd,13,YEAR(E616)*12+MONTH(E616)-FYYM+1)),"")</f>
        <v/>
      </c>
      <c r="P616" s="101">
        <f>IF(H616=1,IF(IFERROR(INDEX(coa_CF,MATCH(I616,coa_Name,0)),"")="Cash",1,0),0)</f>
        <v/>
      </c>
      <c r="Q616" s="101">
        <f>IF(H616=1,IF(IFERROR(INDEX(coa_CF,MATCH(K616,coa_Name,0)),"")="Cash",1,0),0)</f>
        <v/>
      </c>
      <c r="R616" s="58">
        <f>IF((P616-Q616)=0,"",IFERROR(INDEX(coa_CF,MATCH(IF((P616-Q616)=1,K616,I616),coa_Name,0)),"Operating"))</f>
        <v/>
      </c>
      <c r="S616" s="95">
        <f>IF((P616-Q616)=1,L616,IF((P616-Q616)=-1,-J616,0))</f>
        <v/>
      </c>
      <c r="T616" s="95">
        <f>IF((P616-Q616)=1,N616,IF((P616-Q616)=-1,-M616,0))</f>
        <v/>
      </c>
      <c r="U616" s="101">
        <f>IF(AND(H616=1,LedAcct&lt;&gt;""),IF(AND(E616&gt;=LedFrom,E616&lt;=LedTo,OR(I616=LedAcct,K616=LedAcct,AND(LedAcct=acctTax,M616+N616&lt;&gt;0))),E616*10000+B616,""),"")</f>
        <v/>
      </c>
    </row>
    <row r="617">
      <c r="B617" s="101" t="n">
        <v>611</v>
      </c>
      <c r="C617" s="58" t="inlineStr">
        <is>
          <t>Transaction</t>
        </is>
      </c>
      <c r="D617" s="58">
        <f>IF(H617=1,INDEX(tx_ID,611)&amp;"","")</f>
        <v/>
      </c>
      <c r="E617" s="94">
        <f>IF(H617=1,INDEX(tx_Date,611),"")</f>
        <v/>
      </c>
      <c r="F617" s="58">
        <f>IF(H617=1,INDEX(tx_Desc,611)&amp;"","")</f>
        <v/>
      </c>
      <c r="G617" s="58">
        <f>IF(H617=1,IF(INDEX(tx_Cust,611)&amp;""&lt;&gt;"",INDEX(tx_Cust,611)&amp;"",INDEX(tx_Vend,611)&amp;""),"")</f>
        <v/>
      </c>
      <c r="H617" s="101">
        <f>IFERROR(N(INDEX(tx_Posted,611)),0)</f>
        <v/>
      </c>
      <c r="I617" s="58">
        <f>IF(H617=1,INDEX(tx_DrAcct,611)&amp;"","")</f>
        <v/>
      </c>
      <c r="J617" s="95">
        <f>IF(H617=1,INDEX(tx_DrAmt,611),0)</f>
        <v/>
      </c>
      <c r="K617" s="58">
        <f>IF(H617=1,INDEX(tx_CrAcct,611)&amp;"","")</f>
        <v/>
      </c>
      <c r="L617" s="95">
        <f>IF(H617=1,INDEX(tx_CrAmt,611),0)</f>
        <v/>
      </c>
      <c r="M617" s="95">
        <f>IF(H617=1,INDEX(tx_TaxDr,611),0)</f>
        <v/>
      </c>
      <c r="N617" s="95">
        <f>IF(H617=1,INDEX(tx_TaxCr,611),0)</f>
        <v/>
      </c>
      <c r="O617" s="101">
        <f>IF(H617=1,IF(E617&lt;FYStart,0,IF(E617&gt;FYEnd,13,YEAR(E617)*12+MONTH(E617)-FYYM+1)),"")</f>
        <v/>
      </c>
      <c r="P617" s="101">
        <f>IF(H617=1,IF(IFERROR(INDEX(coa_CF,MATCH(I617,coa_Name,0)),"")="Cash",1,0),0)</f>
        <v/>
      </c>
      <c r="Q617" s="101">
        <f>IF(H617=1,IF(IFERROR(INDEX(coa_CF,MATCH(K617,coa_Name,0)),"")="Cash",1,0),0)</f>
        <v/>
      </c>
      <c r="R617" s="58">
        <f>IF((P617-Q617)=0,"",IFERROR(INDEX(coa_CF,MATCH(IF((P617-Q617)=1,K617,I617),coa_Name,0)),"Operating"))</f>
        <v/>
      </c>
      <c r="S617" s="95">
        <f>IF((P617-Q617)=1,L617,IF((P617-Q617)=-1,-J617,0))</f>
        <v/>
      </c>
      <c r="T617" s="95">
        <f>IF((P617-Q617)=1,N617,IF((P617-Q617)=-1,-M617,0))</f>
        <v/>
      </c>
      <c r="U617" s="101">
        <f>IF(AND(H617=1,LedAcct&lt;&gt;""),IF(AND(E617&gt;=LedFrom,E617&lt;=LedTo,OR(I617=LedAcct,K617=LedAcct,AND(LedAcct=acctTax,M617+N617&lt;&gt;0))),E617*10000+B617,""),"")</f>
        <v/>
      </c>
    </row>
    <row r="618">
      <c r="B618" s="101" t="n">
        <v>612</v>
      </c>
      <c r="C618" s="58" t="inlineStr">
        <is>
          <t>Transaction</t>
        </is>
      </c>
      <c r="D618" s="58">
        <f>IF(H618=1,INDEX(tx_ID,612)&amp;"","")</f>
        <v/>
      </c>
      <c r="E618" s="94">
        <f>IF(H618=1,INDEX(tx_Date,612),"")</f>
        <v/>
      </c>
      <c r="F618" s="58">
        <f>IF(H618=1,INDEX(tx_Desc,612)&amp;"","")</f>
        <v/>
      </c>
      <c r="G618" s="58">
        <f>IF(H618=1,IF(INDEX(tx_Cust,612)&amp;""&lt;&gt;"",INDEX(tx_Cust,612)&amp;"",INDEX(tx_Vend,612)&amp;""),"")</f>
        <v/>
      </c>
      <c r="H618" s="101">
        <f>IFERROR(N(INDEX(tx_Posted,612)),0)</f>
        <v/>
      </c>
      <c r="I618" s="58">
        <f>IF(H618=1,INDEX(tx_DrAcct,612)&amp;"","")</f>
        <v/>
      </c>
      <c r="J618" s="95">
        <f>IF(H618=1,INDEX(tx_DrAmt,612),0)</f>
        <v/>
      </c>
      <c r="K618" s="58">
        <f>IF(H618=1,INDEX(tx_CrAcct,612)&amp;"","")</f>
        <v/>
      </c>
      <c r="L618" s="95">
        <f>IF(H618=1,INDEX(tx_CrAmt,612),0)</f>
        <v/>
      </c>
      <c r="M618" s="95">
        <f>IF(H618=1,INDEX(tx_TaxDr,612),0)</f>
        <v/>
      </c>
      <c r="N618" s="95">
        <f>IF(H618=1,INDEX(tx_TaxCr,612),0)</f>
        <v/>
      </c>
      <c r="O618" s="101">
        <f>IF(H618=1,IF(E618&lt;FYStart,0,IF(E618&gt;FYEnd,13,YEAR(E618)*12+MONTH(E618)-FYYM+1)),"")</f>
        <v/>
      </c>
      <c r="P618" s="101">
        <f>IF(H618=1,IF(IFERROR(INDEX(coa_CF,MATCH(I618,coa_Name,0)),"")="Cash",1,0),0)</f>
        <v/>
      </c>
      <c r="Q618" s="101">
        <f>IF(H618=1,IF(IFERROR(INDEX(coa_CF,MATCH(K618,coa_Name,0)),"")="Cash",1,0),0)</f>
        <v/>
      </c>
      <c r="R618" s="58">
        <f>IF((P618-Q618)=0,"",IFERROR(INDEX(coa_CF,MATCH(IF((P618-Q618)=1,K618,I618),coa_Name,0)),"Operating"))</f>
        <v/>
      </c>
      <c r="S618" s="95">
        <f>IF((P618-Q618)=1,L618,IF((P618-Q618)=-1,-J618,0))</f>
        <v/>
      </c>
      <c r="T618" s="95">
        <f>IF((P618-Q618)=1,N618,IF((P618-Q618)=-1,-M618,0))</f>
        <v/>
      </c>
      <c r="U618" s="101">
        <f>IF(AND(H618=1,LedAcct&lt;&gt;""),IF(AND(E618&gt;=LedFrom,E618&lt;=LedTo,OR(I618=LedAcct,K618=LedAcct,AND(LedAcct=acctTax,M618+N618&lt;&gt;0))),E618*10000+B618,""),"")</f>
        <v/>
      </c>
    </row>
    <row r="619">
      <c r="B619" s="101" t="n">
        <v>613</v>
      </c>
      <c r="C619" s="58" t="inlineStr">
        <is>
          <t>Transaction</t>
        </is>
      </c>
      <c r="D619" s="58">
        <f>IF(H619=1,INDEX(tx_ID,613)&amp;"","")</f>
        <v/>
      </c>
      <c r="E619" s="94">
        <f>IF(H619=1,INDEX(tx_Date,613),"")</f>
        <v/>
      </c>
      <c r="F619" s="58">
        <f>IF(H619=1,INDEX(tx_Desc,613)&amp;"","")</f>
        <v/>
      </c>
      <c r="G619" s="58">
        <f>IF(H619=1,IF(INDEX(tx_Cust,613)&amp;""&lt;&gt;"",INDEX(tx_Cust,613)&amp;"",INDEX(tx_Vend,613)&amp;""),"")</f>
        <v/>
      </c>
      <c r="H619" s="101">
        <f>IFERROR(N(INDEX(tx_Posted,613)),0)</f>
        <v/>
      </c>
      <c r="I619" s="58">
        <f>IF(H619=1,INDEX(tx_DrAcct,613)&amp;"","")</f>
        <v/>
      </c>
      <c r="J619" s="95">
        <f>IF(H619=1,INDEX(tx_DrAmt,613),0)</f>
        <v/>
      </c>
      <c r="K619" s="58">
        <f>IF(H619=1,INDEX(tx_CrAcct,613)&amp;"","")</f>
        <v/>
      </c>
      <c r="L619" s="95">
        <f>IF(H619=1,INDEX(tx_CrAmt,613),0)</f>
        <v/>
      </c>
      <c r="M619" s="95">
        <f>IF(H619=1,INDEX(tx_TaxDr,613),0)</f>
        <v/>
      </c>
      <c r="N619" s="95">
        <f>IF(H619=1,INDEX(tx_TaxCr,613),0)</f>
        <v/>
      </c>
      <c r="O619" s="101">
        <f>IF(H619=1,IF(E619&lt;FYStart,0,IF(E619&gt;FYEnd,13,YEAR(E619)*12+MONTH(E619)-FYYM+1)),"")</f>
        <v/>
      </c>
      <c r="P619" s="101">
        <f>IF(H619=1,IF(IFERROR(INDEX(coa_CF,MATCH(I619,coa_Name,0)),"")="Cash",1,0),0)</f>
        <v/>
      </c>
      <c r="Q619" s="101">
        <f>IF(H619=1,IF(IFERROR(INDEX(coa_CF,MATCH(K619,coa_Name,0)),"")="Cash",1,0),0)</f>
        <v/>
      </c>
      <c r="R619" s="58">
        <f>IF((P619-Q619)=0,"",IFERROR(INDEX(coa_CF,MATCH(IF((P619-Q619)=1,K619,I619),coa_Name,0)),"Operating"))</f>
        <v/>
      </c>
      <c r="S619" s="95">
        <f>IF((P619-Q619)=1,L619,IF((P619-Q619)=-1,-J619,0))</f>
        <v/>
      </c>
      <c r="T619" s="95">
        <f>IF((P619-Q619)=1,N619,IF((P619-Q619)=-1,-M619,0))</f>
        <v/>
      </c>
      <c r="U619" s="101">
        <f>IF(AND(H619=1,LedAcct&lt;&gt;""),IF(AND(E619&gt;=LedFrom,E619&lt;=LedTo,OR(I619=LedAcct,K619=LedAcct,AND(LedAcct=acctTax,M619+N619&lt;&gt;0))),E619*10000+B619,""),"")</f>
        <v/>
      </c>
    </row>
    <row r="620">
      <c r="B620" s="101" t="n">
        <v>614</v>
      </c>
      <c r="C620" s="58" t="inlineStr">
        <is>
          <t>Transaction</t>
        </is>
      </c>
      <c r="D620" s="58">
        <f>IF(H620=1,INDEX(tx_ID,614)&amp;"","")</f>
        <v/>
      </c>
      <c r="E620" s="94">
        <f>IF(H620=1,INDEX(tx_Date,614),"")</f>
        <v/>
      </c>
      <c r="F620" s="58">
        <f>IF(H620=1,INDEX(tx_Desc,614)&amp;"","")</f>
        <v/>
      </c>
      <c r="G620" s="58">
        <f>IF(H620=1,IF(INDEX(tx_Cust,614)&amp;""&lt;&gt;"",INDEX(tx_Cust,614)&amp;"",INDEX(tx_Vend,614)&amp;""),"")</f>
        <v/>
      </c>
      <c r="H620" s="101">
        <f>IFERROR(N(INDEX(tx_Posted,614)),0)</f>
        <v/>
      </c>
      <c r="I620" s="58">
        <f>IF(H620=1,INDEX(tx_DrAcct,614)&amp;"","")</f>
        <v/>
      </c>
      <c r="J620" s="95">
        <f>IF(H620=1,INDEX(tx_DrAmt,614),0)</f>
        <v/>
      </c>
      <c r="K620" s="58">
        <f>IF(H620=1,INDEX(tx_CrAcct,614)&amp;"","")</f>
        <v/>
      </c>
      <c r="L620" s="95">
        <f>IF(H620=1,INDEX(tx_CrAmt,614),0)</f>
        <v/>
      </c>
      <c r="M620" s="95">
        <f>IF(H620=1,INDEX(tx_TaxDr,614),0)</f>
        <v/>
      </c>
      <c r="N620" s="95">
        <f>IF(H620=1,INDEX(tx_TaxCr,614),0)</f>
        <v/>
      </c>
      <c r="O620" s="101">
        <f>IF(H620=1,IF(E620&lt;FYStart,0,IF(E620&gt;FYEnd,13,YEAR(E620)*12+MONTH(E620)-FYYM+1)),"")</f>
        <v/>
      </c>
      <c r="P620" s="101">
        <f>IF(H620=1,IF(IFERROR(INDEX(coa_CF,MATCH(I620,coa_Name,0)),"")="Cash",1,0),0)</f>
        <v/>
      </c>
      <c r="Q620" s="101">
        <f>IF(H620=1,IF(IFERROR(INDEX(coa_CF,MATCH(K620,coa_Name,0)),"")="Cash",1,0),0)</f>
        <v/>
      </c>
      <c r="R620" s="58">
        <f>IF((P620-Q620)=0,"",IFERROR(INDEX(coa_CF,MATCH(IF((P620-Q620)=1,K620,I620),coa_Name,0)),"Operating"))</f>
        <v/>
      </c>
      <c r="S620" s="95">
        <f>IF((P620-Q620)=1,L620,IF((P620-Q620)=-1,-J620,0))</f>
        <v/>
      </c>
      <c r="T620" s="95">
        <f>IF((P620-Q620)=1,N620,IF((P620-Q620)=-1,-M620,0))</f>
        <v/>
      </c>
      <c r="U620" s="101">
        <f>IF(AND(H620=1,LedAcct&lt;&gt;""),IF(AND(E620&gt;=LedFrom,E620&lt;=LedTo,OR(I620=LedAcct,K620=LedAcct,AND(LedAcct=acctTax,M620+N620&lt;&gt;0))),E620*10000+B620,""),"")</f>
        <v/>
      </c>
    </row>
    <row r="621">
      <c r="B621" s="101" t="n">
        <v>615</v>
      </c>
      <c r="C621" s="58" t="inlineStr">
        <is>
          <t>Transaction</t>
        </is>
      </c>
      <c r="D621" s="58">
        <f>IF(H621=1,INDEX(tx_ID,615)&amp;"","")</f>
        <v/>
      </c>
      <c r="E621" s="94">
        <f>IF(H621=1,INDEX(tx_Date,615),"")</f>
        <v/>
      </c>
      <c r="F621" s="58">
        <f>IF(H621=1,INDEX(tx_Desc,615)&amp;"","")</f>
        <v/>
      </c>
      <c r="G621" s="58">
        <f>IF(H621=1,IF(INDEX(tx_Cust,615)&amp;""&lt;&gt;"",INDEX(tx_Cust,615)&amp;"",INDEX(tx_Vend,615)&amp;""),"")</f>
        <v/>
      </c>
      <c r="H621" s="101">
        <f>IFERROR(N(INDEX(tx_Posted,615)),0)</f>
        <v/>
      </c>
      <c r="I621" s="58">
        <f>IF(H621=1,INDEX(tx_DrAcct,615)&amp;"","")</f>
        <v/>
      </c>
      <c r="J621" s="95">
        <f>IF(H621=1,INDEX(tx_DrAmt,615),0)</f>
        <v/>
      </c>
      <c r="K621" s="58">
        <f>IF(H621=1,INDEX(tx_CrAcct,615)&amp;"","")</f>
        <v/>
      </c>
      <c r="L621" s="95">
        <f>IF(H621=1,INDEX(tx_CrAmt,615),0)</f>
        <v/>
      </c>
      <c r="M621" s="95">
        <f>IF(H621=1,INDEX(tx_TaxDr,615),0)</f>
        <v/>
      </c>
      <c r="N621" s="95">
        <f>IF(H621=1,INDEX(tx_TaxCr,615),0)</f>
        <v/>
      </c>
      <c r="O621" s="101">
        <f>IF(H621=1,IF(E621&lt;FYStart,0,IF(E621&gt;FYEnd,13,YEAR(E621)*12+MONTH(E621)-FYYM+1)),"")</f>
        <v/>
      </c>
      <c r="P621" s="101">
        <f>IF(H621=1,IF(IFERROR(INDEX(coa_CF,MATCH(I621,coa_Name,0)),"")="Cash",1,0),0)</f>
        <v/>
      </c>
      <c r="Q621" s="101">
        <f>IF(H621=1,IF(IFERROR(INDEX(coa_CF,MATCH(K621,coa_Name,0)),"")="Cash",1,0),0)</f>
        <v/>
      </c>
      <c r="R621" s="58">
        <f>IF((P621-Q621)=0,"",IFERROR(INDEX(coa_CF,MATCH(IF((P621-Q621)=1,K621,I621),coa_Name,0)),"Operating"))</f>
        <v/>
      </c>
      <c r="S621" s="95">
        <f>IF((P621-Q621)=1,L621,IF((P621-Q621)=-1,-J621,0))</f>
        <v/>
      </c>
      <c r="T621" s="95">
        <f>IF((P621-Q621)=1,N621,IF((P621-Q621)=-1,-M621,0))</f>
        <v/>
      </c>
      <c r="U621" s="101">
        <f>IF(AND(H621=1,LedAcct&lt;&gt;""),IF(AND(E621&gt;=LedFrom,E621&lt;=LedTo,OR(I621=LedAcct,K621=LedAcct,AND(LedAcct=acctTax,M621+N621&lt;&gt;0))),E621*10000+B621,""),"")</f>
        <v/>
      </c>
    </row>
    <row r="622">
      <c r="B622" s="101" t="n">
        <v>616</v>
      </c>
      <c r="C622" s="58" t="inlineStr">
        <is>
          <t>Transaction</t>
        </is>
      </c>
      <c r="D622" s="58">
        <f>IF(H622=1,INDEX(tx_ID,616)&amp;"","")</f>
        <v/>
      </c>
      <c r="E622" s="94">
        <f>IF(H622=1,INDEX(tx_Date,616),"")</f>
        <v/>
      </c>
      <c r="F622" s="58">
        <f>IF(H622=1,INDEX(tx_Desc,616)&amp;"","")</f>
        <v/>
      </c>
      <c r="G622" s="58">
        <f>IF(H622=1,IF(INDEX(tx_Cust,616)&amp;""&lt;&gt;"",INDEX(tx_Cust,616)&amp;"",INDEX(tx_Vend,616)&amp;""),"")</f>
        <v/>
      </c>
      <c r="H622" s="101">
        <f>IFERROR(N(INDEX(tx_Posted,616)),0)</f>
        <v/>
      </c>
      <c r="I622" s="58">
        <f>IF(H622=1,INDEX(tx_DrAcct,616)&amp;"","")</f>
        <v/>
      </c>
      <c r="J622" s="95">
        <f>IF(H622=1,INDEX(tx_DrAmt,616),0)</f>
        <v/>
      </c>
      <c r="K622" s="58">
        <f>IF(H622=1,INDEX(tx_CrAcct,616)&amp;"","")</f>
        <v/>
      </c>
      <c r="L622" s="95">
        <f>IF(H622=1,INDEX(tx_CrAmt,616),0)</f>
        <v/>
      </c>
      <c r="M622" s="95">
        <f>IF(H622=1,INDEX(tx_TaxDr,616),0)</f>
        <v/>
      </c>
      <c r="N622" s="95">
        <f>IF(H622=1,INDEX(tx_TaxCr,616),0)</f>
        <v/>
      </c>
      <c r="O622" s="101">
        <f>IF(H622=1,IF(E622&lt;FYStart,0,IF(E622&gt;FYEnd,13,YEAR(E622)*12+MONTH(E622)-FYYM+1)),"")</f>
        <v/>
      </c>
      <c r="P622" s="101">
        <f>IF(H622=1,IF(IFERROR(INDEX(coa_CF,MATCH(I622,coa_Name,0)),"")="Cash",1,0),0)</f>
        <v/>
      </c>
      <c r="Q622" s="101">
        <f>IF(H622=1,IF(IFERROR(INDEX(coa_CF,MATCH(K622,coa_Name,0)),"")="Cash",1,0),0)</f>
        <v/>
      </c>
      <c r="R622" s="58">
        <f>IF((P622-Q622)=0,"",IFERROR(INDEX(coa_CF,MATCH(IF((P622-Q622)=1,K622,I622),coa_Name,0)),"Operating"))</f>
        <v/>
      </c>
      <c r="S622" s="95">
        <f>IF((P622-Q622)=1,L622,IF((P622-Q622)=-1,-J622,0))</f>
        <v/>
      </c>
      <c r="T622" s="95">
        <f>IF((P622-Q622)=1,N622,IF((P622-Q622)=-1,-M622,0))</f>
        <v/>
      </c>
      <c r="U622" s="101">
        <f>IF(AND(H622=1,LedAcct&lt;&gt;""),IF(AND(E622&gt;=LedFrom,E622&lt;=LedTo,OR(I622=LedAcct,K622=LedAcct,AND(LedAcct=acctTax,M622+N622&lt;&gt;0))),E622*10000+B622,""),"")</f>
        <v/>
      </c>
    </row>
    <row r="623">
      <c r="B623" s="101" t="n">
        <v>617</v>
      </c>
      <c r="C623" s="58" t="inlineStr">
        <is>
          <t>Transaction</t>
        </is>
      </c>
      <c r="D623" s="58">
        <f>IF(H623=1,INDEX(tx_ID,617)&amp;"","")</f>
        <v/>
      </c>
      <c r="E623" s="94">
        <f>IF(H623=1,INDEX(tx_Date,617),"")</f>
        <v/>
      </c>
      <c r="F623" s="58">
        <f>IF(H623=1,INDEX(tx_Desc,617)&amp;"","")</f>
        <v/>
      </c>
      <c r="G623" s="58">
        <f>IF(H623=1,IF(INDEX(tx_Cust,617)&amp;""&lt;&gt;"",INDEX(tx_Cust,617)&amp;"",INDEX(tx_Vend,617)&amp;""),"")</f>
        <v/>
      </c>
      <c r="H623" s="101">
        <f>IFERROR(N(INDEX(tx_Posted,617)),0)</f>
        <v/>
      </c>
      <c r="I623" s="58">
        <f>IF(H623=1,INDEX(tx_DrAcct,617)&amp;"","")</f>
        <v/>
      </c>
      <c r="J623" s="95">
        <f>IF(H623=1,INDEX(tx_DrAmt,617),0)</f>
        <v/>
      </c>
      <c r="K623" s="58">
        <f>IF(H623=1,INDEX(tx_CrAcct,617)&amp;"","")</f>
        <v/>
      </c>
      <c r="L623" s="95">
        <f>IF(H623=1,INDEX(tx_CrAmt,617),0)</f>
        <v/>
      </c>
      <c r="M623" s="95">
        <f>IF(H623=1,INDEX(tx_TaxDr,617),0)</f>
        <v/>
      </c>
      <c r="N623" s="95">
        <f>IF(H623=1,INDEX(tx_TaxCr,617),0)</f>
        <v/>
      </c>
      <c r="O623" s="101">
        <f>IF(H623=1,IF(E623&lt;FYStart,0,IF(E623&gt;FYEnd,13,YEAR(E623)*12+MONTH(E623)-FYYM+1)),"")</f>
        <v/>
      </c>
      <c r="P623" s="101">
        <f>IF(H623=1,IF(IFERROR(INDEX(coa_CF,MATCH(I623,coa_Name,0)),"")="Cash",1,0),0)</f>
        <v/>
      </c>
      <c r="Q623" s="101">
        <f>IF(H623=1,IF(IFERROR(INDEX(coa_CF,MATCH(K623,coa_Name,0)),"")="Cash",1,0),0)</f>
        <v/>
      </c>
      <c r="R623" s="58">
        <f>IF((P623-Q623)=0,"",IFERROR(INDEX(coa_CF,MATCH(IF((P623-Q623)=1,K623,I623),coa_Name,0)),"Operating"))</f>
        <v/>
      </c>
      <c r="S623" s="95">
        <f>IF((P623-Q623)=1,L623,IF((P623-Q623)=-1,-J623,0))</f>
        <v/>
      </c>
      <c r="T623" s="95">
        <f>IF((P623-Q623)=1,N623,IF((P623-Q623)=-1,-M623,0))</f>
        <v/>
      </c>
      <c r="U623" s="101">
        <f>IF(AND(H623=1,LedAcct&lt;&gt;""),IF(AND(E623&gt;=LedFrom,E623&lt;=LedTo,OR(I623=LedAcct,K623=LedAcct,AND(LedAcct=acctTax,M623+N623&lt;&gt;0))),E623*10000+B623,""),"")</f>
        <v/>
      </c>
    </row>
    <row r="624">
      <c r="B624" s="101" t="n">
        <v>618</v>
      </c>
      <c r="C624" s="58" t="inlineStr">
        <is>
          <t>Transaction</t>
        </is>
      </c>
      <c r="D624" s="58">
        <f>IF(H624=1,INDEX(tx_ID,618)&amp;"","")</f>
        <v/>
      </c>
      <c r="E624" s="94">
        <f>IF(H624=1,INDEX(tx_Date,618),"")</f>
        <v/>
      </c>
      <c r="F624" s="58">
        <f>IF(H624=1,INDEX(tx_Desc,618)&amp;"","")</f>
        <v/>
      </c>
      <c r="G624" s="58">
        <f>IF(H624=1,IF(INDEX(tx_Cust,618)&amp;""&lt;&gt;"",INDEX(tx_Cust,618)&amp;"",INDEX(tx_Vend,618)&amp;""),"")</f>
        <v/>
      </c>
      <c r="H624" s="101">
        <f>IFERROR(N(INDEX(tx_Posted,618)),0)</f>
        <v/>
      </c>
      <c r="I624" s="58">
        <f>IF(H624=1,INDEX(tx_DrAcct,618)&amp;"","")</f>
        <v/>
      </c>
      <c r="J624" s="95">
        <f>IF(H624=1,INDEX(tx_DrAmt,618),0)</f>
        <v/>
      </c>
      <c r="K624" s="58">
        <f>IF(H624=1,INDEX(tx_CrAcct,618)&amp;"","")</f>
        <v/>
      </c>
      <c r="L624" s="95">
        <f>IF(H624=1,INDEX(tx_CrAmt,618),0)</f>
        <v/>
      </c>
      <c r="M624" s="95">
        <f>IF(H624=1,INDEX(tx_TaxDr,618),0)</f>
        <v/>
      </c>
      <c r="N624" s="95">
        <f>IF(H624=1,INDEX(tx_TaxCr,618),0)</f>
        <v/>
      </c>
      <c r="O624" s="101">
        <f>IF(H624=1,IF(E624&lt;FYStart,0,IF(E624&gt;FYEnd,13,YEAR(E624)*12+MONTH(E624)-FYYM+1)),"")</f>
        <v/>
      </c>
      <c r="P624" s="101">
        <f>IF(H624=1,IF(IFERROR(INDEX(coa_CF,MATCH(I624,coa_Name,0)),"")="Cash",1,0),0)</f>
        <v/>
      </c>
      <c r="Q624" s="101">
        <f>IF(H624=1,IF(IFERROR(INDEX(coa_CF,MATCH(K624,coa_Name,0)),"")="Cash",1,0),0)</f>
        <v/>
      </c>
      <c r="R624" s="58">
        <f>IF((P624-Q624)=0,"",IFERROR(INDEX(coa_CF,MATCH(IF((P624-Q624)=1,K624,I624),coa_Name,0)),"Operating"))</f>
        <v/>
      </c>
      <c r="S624" s="95">
        <f>IF((P624-Q624)=1,L624,IF((P624-Q624)=-1,-J624,0))</f>
        <v/>
      </c>
      <c r="T624" s="95">
        <f>IF((P624-Q624)=1,N624,IF((P624-Q624)=-1,-M624,0))</f>
        <v/>
      </c>
      <c r="U624" s="101">
        <f>IF(AND(H624=1,LedAcct&lt;&gt;""),IF(AND(E624&gt;=LedFrom,E624&lt;=LedTo,OR(I624=LedAcct,K624=LedAcct,AND(LedAcct=acctTax,M624+N624&lt;&gt;0))),E624*10000+B624,""),"")</f>
        <v/>
      </c>
    </row>
    <row r="625">
      <c r="B625" s="101" t="n">
        <v>619</v>
      </c>
      <c r="C625" s="58" t="inlineStr">
        <is>
          <t>Transaction</t>
        </is>
      </c>
      <c r="D625" s="58">
        <f>IF(H625=1,INDEX(tx_ID,619)&amp;"","")</f>
        <v/>
      </c>
      <c r="E625" s="94">
        <f>IF(H625=1,INDEX(tx_Date,619),"")</f>
        <v/>
      </c>
      <c r="F625" s="58">
        <f>IF(H625=1,INDEX(tx_Desc,619)&amp;"","")</f>
        <v/>
      </c>
      <c r="G625" s="58">
        <f>IF(H625=1,IF(INDEX(tx_Cust,619)&amp;""&lt;&gt;"",INDEX(tx_Cust,619)&amp;"",INDEX(tx_Vend,619)&amp;""),"")</f>
        <v/>
      </c>
      <c r="H625" s="101">
        <f>IFERROR(N(INDEX(tx_Posted,619)),0)</f>
        <v/>
      </c>
      <c r="I625" s="58">
        <f>IF(H625=1,INDEX(tx_DrAcct,619)&amp;"","")</f>
        <v/>
      </c>
      <c r="J625" s="95">
        <f>IF(H625=1,INDEX(tx_DrAmt,619),0)</f>
        <v/>
      </c>
      <c r="K625" s="58">
        <f>IF(H625=1,INDEX(tx_CrAcct,619)&amp;"","")</f>
        <v/>
      </c>
      <c r="L625" s="95">
        <f>IF(H625=1,INDEX(tx_CrAmt,619),0)</f>
        <v/>
      </c>
      <c r="M625" s="95">
        <f>IF(H625=1,INDEX(tx_TaxDr,619),0)</f>
        <v/>
      </c>
      <c r="N625" s="95">
        <f>IF(H625=1,INDEX(tx_TaxCr,619),0)</f>
        <v/>
      </c>
      <c r="O625" s="101">
        <f>IF(H625=1,IF(E625&lt;FYStart,0,IF(E625&gt;FYEnd,13,YEAR(E625)*12+MONTH(E625)-FYYM+1)),"")</f>
        <v/>
      </c>
      <c r="P625" s="101">
        <f>IF(H625=1,IF(IFERROR(INDEX(coa_CF,MATCH(I625,coa_Name,0)),"")="Cash",1,0),0)</f>
        <v/>
      </c>
      <c r="Q625" s="101">
        <f>IF(H625=1,IF(IFERROR(INDEX(coa_CF,MATCH(K625,coa_Name,0)),"")="Cash",1,0),0)</f>
        <v/>
      </c>
      <c r="R625" s="58">
        <f>IF((P625-Q625)=0,"",IFERROR(INDEX(coa_CF,MATCH(IF((P625-Q625)=1,K625,I625),coa_Name,0)),"Operating"))</f>
        <v/>
      </c>
      <c r="S625" s="95">
        <f>IF((P625-Q625)=1,L625,IF((P625-Q625)=-1,-J625,0))</f>
        <v/>
      </c>
      <c r="T625" s="95">
        <f>IF((P625-Q625)=1,N625,IF((P625-Q625)=-1,-M625,0))</f>
        <v/>
      </c>
      <c r="U625" s="101">
        <f>IF(AND(H625=1,LedAcct&lt;&gt;""),IF(AND(E625&gt;=LedFrom,E625&lt;=LedTo,OR(I625=LedAcct,K625=LedAcct,AND(LedAcct=acctTax,M625+N625&lt;&gt;0))),E625*10000+B625,""),"")</f>
        <v/>
      </c>
    </row>
    <row r="626">
      <c r="B626" s="101" t="n">
        <v>620</v>
      </c>
      <c r="C626" s="58" t="inlineStr">
        <is>
          <t>Transaction</t>
        </is>
      </c>
      <c r="D626" s="58">
        <f>IF(H626=1,INDEX(tx_ID,620)&amp;"","")</f>
        <v/>
      </c>
      <c r="E626" s="94">
        <f>IF(H626=1,INDEX(tx_Date,620),"")</f>
        <v/>
      </c>
      <c r="F626" s="58">
        <f>IF(H626=1,INDEX(tx_Desc,620)&amp;"","")</f>
        <v/>
      </c>
      <c r="G626" s="58">
        <f>IF(H626=1,IF(INDEX(tx_Cust,620)&amp;""&lt;&gt;"",INDEX(tx_Cust,620)&amp;"",INDEX(tx_Vend,620)&amp;""),"")</f>
        <v/>
      </c>
      <c r="H626" s="101">
        <f>IFERROR(N(INDEX(tx_Posted,620)),0)</f>
        <v/>
      </c>
      <c r="I626" s="58">
        <f>IF(H626=1,INDEX(tx_DrAcct,620)&amp;"","")</f>
        <v/>
      </c>
      <c r="J626" s="95">
        <f>IF(H626=1,INDEX(tx_DrAmt,620),0)</f>
        <v/>
      </c>
      <c r="K626" s="58">
        <f>IF(H626=1,INDEX(tx_CrAcct,620)&amp;"","")</f>
        <v/>
      </c>
      <c r="L626" s="95">
        <f>IF(H626=1,INDEX(tx_CrAmt,620),0)</f>
        <v/>
      </c>
      <c r="M626" s="95">
        <f>IF(H626=1,INDEX(tx_TaxDr,620),0)</f>
        <v/>
      </c>
      <c r="N626" s="95">
        <f>IF(H626=1,INDEX(tx_TaxCr,620),0)</f>
        <v/>
      </c>
      <c r="O626" s="101">
        <f>IF(H626=1,IF(E626&lt;FYStart,0,IF(E626&gt;FYEnd,13,YEAR(E626)*12+MONTH(E626)-FYYM+1)),"")</f>
        <v/>
      </c>
      <c r="P626" s="101">
        <f>IF(H626=1,IF(IFERROR(INDEX(coa_CF,MATCH(I626,coa_Name,0)),"")="Cash",1,0),0)</f>
        <v/>
      </c>
      <c r="Q626" s="101">
        <f>IF(H626=1,IF(IFERROR(INDEX(coa_CF,MATCH(K626,coa_Name,0)),"")="Cash",1,0),0)</f>
        <v/>
      </c>
      <c r="R626" s="58">
        <f>IF((P626-Q626)=0,"",IFERROR(INDEX(coa_CF,MATCH(IF((P626-Q626)=1,K626,I626),coa_Name,0)),"Operating"))</f>
        <v/>
      </c>
      <c r="S626" s="95">
        <f>IF((P626-Q626)=1,L626,IF((P626-Q626)=-1,-J626,0))</f>
        <v/>
      </c>
      <c r="T626" s="95">
        <f>IF((P626-Q626)=1,N626,IF((P626-Q626)=-1,-M626,0))</f>
        <v/>
      </c>
      <c r="U626" s="101">
        <f>IF(AND(H626=1,LedAcct&lt;&gt;""),IF(AND(E626&gt;=LedFrom,E626&lt;=LedTo,OR(I626=LedAcct,K626=LedAcct,AND(LedAcct=acctTax,M626+N626&lt;&gt;0))),E626*10000+B626,""),"")</f>
        <v/>
      </c>
    </row>
    <row r="627">
      <c r="B627" s="101" t="n">
        <v>621</v>
      </c>
      <c r="C627" s="58" t="inlineStr">
        <is>
          <t>Transaction</t>
        </is>
      </c>
      <c r="D627" s="58">
        <f>IF(H627=1,INDEX(tx_ID,621)&amp;"","")</f>
        <v/>
      </c>
      <c r="E627" s="94">
        <f>IF(H627=1,INDEX(tx_Date,621),"")</f>
        <v/>
      </c>
      <c r="F627" s="58">
        <f>IF(H627=1,INDEX(tx_Desc,621)&amp;"","")</f>
        <v/>
      </c>
      <c r="G627" s="58">
        <f>IF(H627=1,IF(INDEX(tx_Cust,621)&amp;""&lt;&gt;"",INDEX(tx_Cust,621)&amp;"",INDEX(tx_Vend,621)&amp;""),"")</f>
        <v/>
      </c>
      <c r="H627" s="101">
        <f>IFERROR(N(INDEX(tx_Posted,621)),0)</f>
        <v/>
      </c>
      <c r="I627" s="58">
        <f>IF(H627=1,INDEX(tx_DrAcct,621)&amp;"","")</f>
        <v/>
      </c>
      <c r="J627" s="95">
        <f>IF(H627=1,INDEX(tx_DrAmt,621),0)</f>
        <v/>
      </c>
      <c r="K627" s="58">
        <f>IF(H627=1,INDEX(tx_CrAcct,621)&amp;"","")</f>
        <v/>
      </c>
      <c r="L627" s="95">
        <f>IF(H627=1,INDEX(tx_CrAmt,621),0)</f>
        <v/>
      </c>
      <c r="M627" s="95">
        <f>IF(H627=1,INDEX(tx_TaxDr,621),0)</f>
        <v/>
      </c>
      <c r="N627" s="95">
        <f>IF(H627=1,INDEX(tx_TaxCr,621),0)</f>
        <v/>
      </c>
      <c r="O627" s="101">
        <f>IF(H627=1,IF(E627&lt;FYStart,0,IF(E627&gt;FYEnd,13,YEAR(E627)*12+MONTH(E627)-FYYM+1)),"")</f>
        <v/>
      </c>
      <c r="P627" s="101">
        <f>IF(H627=1,IF(IFERROR(INDEX(coa_CF,MATCH(I627,coa_Name,0)),"")="Cash",1,0),0)</f>
        <v/>
      </c>
      <c r="Q627" s="101">
        <f>IF(H627=1,IF(IFERROR(INDEX(coa_CF,MATCH(K627,coa_Name,0)),"")="Cash",1,0),0)</f>
        <v/>
      </c>
      <c r="R627" s="58">
        <f>IF((P627-Q627)=0,"",IFERROR(INDEX(coa_CF,MATCH(IF((P627-Q627)=1,K627,I627),coa_Name,0)),"Operating"))</f>
        <v/>
      </c>
      <c r="S627" s="95">
        <f>IF((P627-Q627)=1,L627,IF((P627-Q627)=-1,-J627,0))</f>
        <v/>
      </c>
      <c r="T627" s="95">
        <f>IF((P627-Q627)=1,N627,IF((P627-Q627)=-1,-M627,0))</f>
        <v/>
      </c>
      <c r="U627" s="101">
        <f>IF(AND(H627=1,LedAcct&lt;&gt;""),IF(AND(E627&gt;=LedFrom,E627&lt;=LedTo,OR(I627=LedAcct,K627=LedAcct,AND(LedAcct=acctTax,M627+N627&lt;&gt;0))),E627*10000+B627,""),"")</f>
        <v/>
      </c>
    </row>
    <row r="628">
      <c r="B628" s="101" t="n">
        <v>622</v>
      </c>
      <c r="C628" s="58" t="inlineStr">
        <is>
          <t>Transaction</t>
        </is>
      </c>
      <c r="D628" s="58">
        <f>IF(H628=1,INDEX(tx_ID,622)&amp;"","")</f>
        <v/>
      </c>
      <c r="E628" s="94">
        <f>IF(H628=1,INDEX(tx_Date,622),"")</f>
        <v/>
      </c>
      <c r="F628" s="58">
        <f>IF(H628=1,INDEX(tx_Desc,622)&amp;"","")</f>
        <v/>
      </c>
      <c r="G628" s="58">
        <f>IF(H628=1,IF(INDEX(tx_Cust,622)&amp;""&lt;&gt;"",INDEX(tx_Cust,622)&amp;"",INDEX(tx_Vend,622)&amp;""),"")</f>
        <v/>
      </c>
      <c r="H628" s="101">
        <f>IFERROR(N(INDEX(tx_Posted,622)),0)</f>
        <v/>
      </c>
      <c r="I628" s="58">
        <f>IF(H628=1,INDEX(tx_DrAcct,622)&amp;"","")</f>
        <v/>
      </c>
      <c r="J628" s="95">
        <f>IF(H628=1,INDEX(tx_DrAmt,622),0)</f>
        <v/>
      </c>
      <c r="K628" s="58">
        <f>IF(H628=1,INDEX(tx_CrAcct,622)&amp;"","")</f>
        <v/>
      </c>
      <c r="L628" s="95">
        <f>IF(H628=1,INDEX(tx_CrAmt,622),0)</f>
        <v/>
      </c>
      <c r="M628" s="95">
        <f>IF(H628=1,INDEX(tx_TaxDr,622),0)</f>
        <v/>
      </c>
      <c r="N628" s="95">
        <f>IF(H628=1,INDEX(tx_TaxCr,622),0)</f>
        <v/>
      </c>
      <c r="O628" s="101">
        <f>IF(H628=1,IF(E628&lt;FYStart,0,IF(E628&gt;FYEnd,13,YEAR(E628)*12+MONTH(E628)-FYYM+1)),"")</f>
        <v/>
      </c>
      <c r="P628" s="101">
        <f>IF(H628=1,IF(IFERROR(INDEX(coa_CF,MATCH(I628,coa_Name,0)),"")="Cash",1,0),0)</f>
        <v/>
      </c>
      <c r="Q628" s="101">
        <f>IF(H628=1,IF(IFERROR(INDEX(coa_CF,MATCH(K628,coa_Name,0)),"")="Cash",1,0),0)</f>
        <v/>
      </c>
      <c r="R628" s="58">
        <f>IF((P628-Q628)=0,"",IFERROR(INDEX(coa_CF,MATCH(IF((P628-Q628)=1,K628,I628),coa_Name,0)),"Operating"))</f>
        <v/>
      </c>
      <c r="S628" s="95">
        <f>IF((P628-Q628)=1,L628,IF((P628-Q628)=-1,-J628,0))</f>
        <v/>
      </c>
      <c r="T628" s="95">
        <f>IF((P628-Q628)=1,N628,IF((P628-Q628)=-1,-M628,0))</f>
        <v/>
      </c>
      <c r="U628" s="101">
        <f>IF(AND(H628=1,LedAcct&lt;&gt;""),IF(AND(E628&gt;=LedFrom,E628&lt;=LedTo,OR(I628=LedAcct,K628=LedAcct,AND(LedAcct=acctTax,M628+N628&lt;&gt;0))),E628*10000+B628,""),"")</f>
        <v/>
      </c>
    </row>
    <row r="629">
      <c r="B629" s="101" t="n">
        <v>623</v>
      </c>
      <c r="C629" s="58" t="inlineStr">
        <is>
          <t>Transaction</t>
        </is>
      </c>
      <c r="D629" s="58">
        <f>IF(H629=1,INDEX(tx_ID,623)&amp;"","")</f>
        <v/>
      </c>
      <c r="E629" s="94">
        <f>IF(H629=1,INDEX(tx_Date,623),"")</f>
        <v/>
      </c>
      <c r="F629" s="58">
        <f>IF(H629=1,INDEX(tx_Desc,623)&amp;"","")</f>
        <v/>
      </c>
      <c r="G629" s="58">
        <f>IF(H629=1,IF(INDEX(tx_Cust,623)&amp;""&lt;&gt;"",INDEX(tx_Cust,623)&amp;"",INDEX(tx_Vend,623)&amp;""),"")</f>
        <v/>
      </c>
      <c r="H629" s="101">
        <f>IFERROR(N(INDEX(tx_Posted,623)),0)</f>
        <v/>
      </c>
      <c r="I629" s="58">
        <f>IF(H629=1,INDEX(tx_DrAcct,623)&amp;"","")</f>
        <v/>
      </c>
      <c r="J629" s="95">
        <f>IF(H629=1,INDEX(tx_DrAmt,623),0)</f>
        <v/>
      </c>
      <c r="K629" s="58">
        <f>IF(H629=1,INDEX(tx_CrAcct,623)&amp;"","")</f>
        <v/>
      </c>
      <c r="L629" s="95">
        <f>IF(H629=1,INDEX(tx_CrAmt,623),0)</f>
        <v/>
      </c>
      <c r="M629" s="95">
        <f>IF(H629=1,INDEX(tx_TaxDr,623),0)</f>
        <v/>
      </c>
      <c r="N629" s="95">
        <f>IF(H629=1,INDEX(tx_TaxCr,623),0)</f>
        <v/>
      </c>
      <c r="O629" s="101">
        <f>IF(H629=1,IF(E629&lt;FYStart,0,IF(E629&gt;FYEnd,13,YEAR(E629)*12+MONTH(E629)-FYYM+1)),"")</f>
        <v/>
      </c>
      <c r="P629" s="101">
        <f>IF(H629=1,IF(IFERROR(INDEX(coa_CF,MATCH(I629,coa_Name,0)),"")="Cash",1,0),0)</f>
        <v/>
      </c>
      <c r="Q629" s="101">
        <f>IF(H629=1,IF(IFERROR(INDEX(coa_CF,MATCH(K629,coa_Name,0)),"")="Cash",1,0),0)</f>
        <v/>
      </c>
      <c r="R629" s="58">
        <f>IF((P629-Q629)=0,"",IFERROR(INDEX(coa_CF,MATCH(IF((P629-Q629)=1,K629,I629),coa_Name,0)),"Operating"))</f>
        <v/>
      </c>
      <c r="S629" s="95">
        <f>IF((P629-Q629)=1,L629,IF((P629-Q629)=-1,-J629,0))</f>
        <v/>
      </c>
      <c r="T629" s="95">
        <f>IF((P629-Q629)=1,N629,IF((P629-Q629)=-1,-M629,0))</f>
        <v/>
      </c>
      <c r="U629" s="101">
        <f>IF(AND(H629=1,LedAcct&lt;&gt;""),IF(AND(E629&gt;=LedFrom,E629&lt;=LedTo,OR(I629=LedAcct,K629=LedAcct,AND(LedAcct=acctTax,M629+N629&lt;&gt;0))),E629*10000+B629,""),"")</f>
        <v/>
      </c>
    </row>
    <row r="630">
      <c r="B630" s="101" t="n">
        <v>624</v>
      </c>
      <c r="C630" s="58" t="inlineStr">
        <is>
          <t>Transaction</t>
        </is>
      </c>
      <c r="D630" s="58">
        <f>IF(H630=1,INDEX(tx_ID,624)&amp;"","")</f>
        <v/>
      </c>
      <c r="E630" s="94">
        <f>IF(H630=1,INDEX(tx_Date,624),"")</f>
        <v/>
      </c>
      <c r="F630" s="58">
        <f>IF(H630=1,INDEX(tx_Desc,624)&amp;"","")</f>
        <v/>
      </c>
      <c r="G630" s="58">
        <f>IF(H630=1,IF(INDEX(tx_Cust,624)&amp;""&lt;&gt;"",INDEX(tx_Cust,624)&amp;"",INDEX(tx_Vend,624)&amp;""),"")</f>
        <v/>
      </c>
      <c r="H630" s="101">
        <f>IFERROR(N(INDEX(tx_Posted,624)),0)</f>
        <v/>
      </c>
      <c r="I630" s="58">
        <f>IF(H630=1,INDEX(tx_DrAcct,624)&amp;"","")</f>
        <v/>
      </c>
      <c r="J630" s="95">
        <f>IF(H630=1,INDEX(tx_DrAmt,624),0)</f>
        <v/>
      </c>
      <c r="K630" s="58">
        <f>IF(H630=1,INDEX(tx_CrAcct,624)&amp;"","")</f>
        <v/>
      </c>
      <c r="L630" s="95">
        <f>IF(H630=1,INDEX(tx_CrAmt,624),0)</f>
        <v/>
      </c>
      <c r="M630" s="95">
        <f>IF(H630=1,INDEX(tx_TaxDr,624),0)</f>
        <v/>
      </c>
      <c r="N630" s="95">
        <f>IF(H630=1,INDEX(tx_TaxCr,624),0)</f>
        <v/>
      </c>
      <c r="O630" s="101">
        <f>IF(H630=1,IF(E630&lt;FYStart,0,IF(E630&gt;FYEnd,13,YEAR(E630)*12+MONTH(E630)-FYYM+1)),"")</f>
        <v/>
      </c>
      <c r="P630" s="101">
        <f>IF(H630=1,IF(IFERROR(INDEX(coa_CF,MATCH(I630,coa_Name,0)),"")="Cash",1,0),0)</f>
        <v/>
      </c>
      <c r="Q630" s="101">
        <f>IF(H630=1,IF(IFERROR(INDEX(coa_CF,MATCH(K630,coa_Name,0)),"")="Cash",1,0),0)</f>
        <v/>
      </c>
      <c r="R630" s="58">
        <f>IF((P630-Q630)=0,"",IFERROR(INDEX(coa_CF,MATCH(IF((P630-Q630)=1,K630,I630),coa_Name,0)),"Operating"))</f>
        <v/>
      </c>
      <c r="S630" s="95">
        <f>IF((P630-Q630)=1,L630,IF((P630-Q630)=-1,-J630,0))</f>
        <v/>
      </c>
      <c r="T630" s="95">
        <f>IF((P630-Q630)=1,N630,IF((P630-Q630)=-1,-M630,0))</f>
        <v/>
      </c>
      <c r="U630" s="101">
        <f>IF(AND(H630=1,LedAcct&lt;&gt;""),IF(AND(E630&gt;=LedFrom,E630&lt;=LedTo,OR(I630=LedAcct,K630=LedAcct,AND(LedAcct=acctTax,M630+N630&lt;&gt;0))),E630*10000+B630,""),"")</f>
        <v/>
      </c>
    </row>
    <row r="631">
      <c r="B631" s="101" t="n">
        <v>625</v>
      </c>
      <c r="C631" s="58" t="inlineStr">
        <is>
          <t>Transaction</t>
        </is>
      </c>
      <c r="D631" s="58">
        <f>IF(H631=1,INDEX(tx_ID,625)&amp;"","")</f>
        <v/>
      </c>
      <c r="E631" s="94">
        <f>IF(H631=1,INDEX(tx_Date,625),"")</f>
        <v/>
      </c>
      <c r="F631" s="58">
        <f>IF(H631=1,INDEX(tx_Desc,625)&amp;"","")</f>
        <v/>
      </c>
      <c r="G631" s="58">
        <f>IF(H631=1,IF(INDEX(tx_Cust,625)&amp;""&lt;&gt;"",INDEX(tx_Cust,625)&amp;"",INDEX(tx_Vend,625)&amp;""),"")</f>
        <v/>
      </c>
      <c r="H631" s="101">
        <f>IFERROR(N(INDEX(tx_Posted,625)),0)</f>
        <v/>
      </c>
      <c r="I631" s="58">
        <f>IF(H631=1,INDEX(tx_DrAcct,625)&amp;"","")</f>
        <v/>
      </c>
      <c r="J631" s="95">
        <f>IF(H631=1,INDEX(tx_DrAmt,625),0)</f>
        <v/>
      </c>
      <c r="K631" s="58">
        <f>IF(H631=1,INDEX(tx_CrAcct,625)&amp;"","")</f>
        <v/>
      </c>
      <c r="L631" s="95">
        <f>IF(H631=1,INDEX(tx_CrAmt,625),0)</f>
        <v/>
      </c>
      <c r="M631" s="95">
        <f>IF(H631=1,INDEX(tx_TaxDr,625),0)</f>
        <v/>
      </c>
      <c r="N631" s="95">
        <f>IF(H631=1,INDEX(tx_TaxCr,625),0)</f>
        <v/>
      </c>
      <c r="O631" s="101">
        <f>IF(H631=1,IF(E631&lt;FYStart,0,IF(E631&gt;FYEnd,13,YEAR(E631)*12+MONTH(E631)-FYYM+1)),"")</f>
        <v/>
      </c>
      <c r="P631" s="101">
        <f>IF(H631=1,IF(IFERROR(INDEX(coa_CF,MATCH(I631,coa_Name,0)),"")="Cash",1,0),0)</f>
        <v/>
      </c>
      <c r="Q631" s="101">
        <f>IF(H631=1,IF(IFERROR(INDEX(coa_CF,MATCH(K631,coa_Name,0)),"")="Cash",1,0),0)</f>
        <v/>
      </c>
      <c r="R631" s="58">
        <f>IF((P631-Q631)=0,"",IFERROR(INDEX(coa_CF,MATCH(IF((P631-Q631)=1,K631,I631),coa_Name,0)),"Operating"))</f>
        <v/>
      </c>
      <c r="S631" s="95">
        <f>IF((P631-Q631)=1,L631,IF((P631-Q631)=-1,-J631,0))</f>
        <v/>
      </c>
      <c r="T631" s="95">
        <f>IF((P631-Q631)=1,N631,IF((P631-Q631)=-1,-M631,0))</f>
        <v/>
      </c>
      <c r="U631" s="101">
        <f>IF(AND(H631=1,LedAcct&lt;&gt;""),IF(AND(E631&gt;=LedFrom,E631&lt;=LedTo,OR(I631=LedAcct,K631=LedAcct,AND(LedAcct=acctTax,M631+N631&lt;&gt;0))),E631*10000+B631,""),"")</f>
        <v/>
      </c>
    </row>
    <row r="632">
      <c r="B632" s="101" t="n">
        <v>626</v>
      </c>
      <c r="C632" s="58" t="inlineStr">
        <is>
          <t>Transaction</t>
        </is>
      </c>
      <c r="D632" s="58">
        <f>IF(H632=1,INDEX(tx_ID,626)&amp;"","")</f>
        <v/>
      </c>
      <c r="E632" s="94">
        <f>IF(H632=1,INDEX(tx_Date,626),"")</f>
        <v/>
      </c>
      <c r="F632" s="58">
        <f>IF(H632=1,INDEX(tx_Desc,626)&amp;"","")</f>
        <v/>
      </c>
      <c r="G632" s="58">
        <f>IF(H632=1,IF(INDEX(tx_Cust,626)&amp;""&lt;&gt;"",INDEX(tx_Cust,626)&amp;"",INDEX(tx_Vend,626)&amp;""),"")</f>
        <v/>
      </c>
      <c r="H632" s="101">
        <f>IFERROR(N(INDEX(tx_Posted,626)),0)</f>
        <v/>
      </c>
      <c r="I632" s="58">
        <f>IF(H632=1,INDEX(tx_DrAcct,626)&amp;"","")</f>
        <v/>
      </c>
      <c r="J632" s="95">
        <f>IF(H632=1,INDEX(tx_DrAmt,626),0)</f>
        <v/>
      </c>
      <c r="K632" s="58">
        <f>IF(H632=1,INDEX(tx_CrAcct,626)&amp;"","")</f>
        <v/>
      </c>
      <c r="L632" s="95">
        <f>IF(H632=1,INDEX(tx_CrAmt,626),0)</f>
        <v/>
      </c>
      <c r="M632" s="95">
        <f>IF(H632=1,INDEX(tx_TaxDr,626),0)</f>
        <v/>
      </c>
      <c r="N632" s="95">
        <f>IF(H632=1,INDEX(tx_TaxCr,626),0)</f>
        <v/>
      </c>
      <c r="O632" s="101">
        <f>IF(H632=1,IF(E632&lt;FYStart,0,IF(E632&gt;FYEnd,13,YEAR(E632)*12+MONTH(E632)-FYYM+1)),"")</f>
        <v/>
      </c>
      <c r="P632" s="101">
        <f>IF(H632=1,IF(IFERROR(INDEX(coa_CF,MATCH(I632,coa_Name,0)),"")="Cash",1,0),0)</f>
        <v/>
      </c>
      <c r="Q632" s="101">
        <f>IF(H632=1,IF(IFERROR(INDEX(coa_CF,MATCH(K632,coa_Name,0)),"")="Cash",1,0),0)</f>
        <v/>
      </c>
      <c r="R632" s="58">
        <f>IF((P632-Q632)=0,"",IFERROR(INDEX(coa_CF,MATCH(IF((P632-Q632)=1,K632,I632),coa_Name,0)),"Operating"))</f>
        <v/>
      </c>
      <c r="S632" s="95">
        <f>IF((P632-Q632)=1,L632,IF((P632-Q632)=-1,-J632,0))</f>
        <v/>
      </c>
      <c r="T632" s="95">
        <f>IF((P632-Q632)=1,N632,IF((P632-Q632)=-1,-M632,0))</f>
        <v/>
      </c>
      <c r="U632" s="101">
        <f>IF(AND(H632=1,LedAcct&lt;&gt;""),IF(AND(E632&gt;=LedFrom,E632&lt;=LedTo,OR(I632=LedAcct,K632=LedAcct,AND(LedAcct=acctTax,M632+N632&lt;&gt;0))),E632*10000+B632,""),"")</f>
        <v/>
      </c>
    </row>
    <row r="633">
      <c r="B633" s="101" t="n">
        <v>627</v>
      </c>
      <c r="C633" s="58" t="inlineStr">
        <is>
          <t>Transaction</t>
        </is>
      </c>
      <c r="D633" s="58">
        <f>IF(H633=1,INDEX(tx_ID,627)&amp;"","")</f>
        <v/>
      </c>
      <c r="E633" s="94">
        <f>IF(H633=1,INDEX(tx_Date,627),"")</f>
        <v/>
      </c>
      <c r="F633" s="58">
        <f>IF(H633=1,INDEX(tx_Desc,627)&amp;"","")</f>
        <v/>
      </c>
      <c r="G633" s="58">
        <f>IF(H633=1,IF(INDEX(tx_Cust,627)&amp;""&lt;&gt;"",INDEX(tx_Cust,627)&amp;"",INDEX(tx_Vend,627)&amp;""),"")</f>
        <v/>
      </c>
      <c r="H633" s="101">
        <f>IFERROR(N(INDEX(tx_Posted,627)),0)</f>
        <v/>
      </c>
      <c r="I633" s="58">
        <f>IF(H633=1,INDEX(tx_DrAcct,627)&amp;"","")</f>
        <v/>
      </c>
      <c r="J633" s="95">
        <f>IF(H633=1,INDEX(tx_DrAmt,627),0)</f>
        <v/>
      </c>
      <c r="K633" s="58">
        <f>IF(H633=1,INDEX(tx_CrAcct,627)&amp;"","")</f>
        <v/>
      </c>
      <c r="L633" s="95">
        <f>IF(H633=1,INDEX(tx_CrAmt,627),0)</f>
        <v/>
      </c>
      <c r="M633" s="95">
        <f>IF(H633=1,INDEX(tx_TaxDr,627),0)</f>
        <v/>
      </c>
      <c r="N633" s="95">
        <f>IF(H633=1,INDEX(tx_TaxCr,627),0)</f>
        <v/>
      </c>
      <c r="O633" s="101">
        <f>IF(H633=1,IF(E633&lt;FYStart,0,IF(E633&gt;FYEnd,13,YEAR(E633)*12+MONTH(E633)-FYYM+1)),"")</f>
        <v/>
      </c>
      <c r="P633" s="101">
        <f>IF(H633=1,IF(IFERROR(INDEX(coa_CF,MATCH(I633,coa_Name,0)),"")="Cash",1,0),0)</f>
        <v/>
      </c>
      <c r="Q633" s="101">
        <f>IF(H633=1,IF(IFERROR(INDEX(coa_CF,MATCH(K633,coa_Name,0)),"")="Cash",1,0),0)</f>
        <v/>
      </c>
      <c r="R633" s="58">
        <f>IF((P633-Q633)=0,"",IFERROR(INDEX(coa_CF,MATCH(IF((P633-Q633)=1,K633,I633),coa_Name,0)),"Operating"))</f>
        <v/>
      </c>
      <c r="S633" s="95">
        <f>IF((P633-Q633)=1,L633,IF((P633-Q633)=-1,-J633,0))</f>
        <v/>
      </c>
      <c r="T633" s="95">
        <f>IF((P633-Q633)=1,N633,IF((P633-Q633)=-1,-M633,0))</f>
        <v/>
      </c>
      <c r="U633" s="101">
        <f>IF(AND(H633=1,LedAcct&lt;&gt;""),IF(AND(E633&gt;=LedFrom,E633&lt;=LedTo,OR(I633=LedAcct,K633=LedAcct,AND(LedAcct=acctTax,M633+N633&lt;&gt;0))),E633*10000+B633,""),"")</f>
        <v/>
      </c>
    </row>
    <row r="634">
      <c r="B634" s="101" t="n">
        <v>628</v>
      </c>
      <c r="C634" s="58" t="inlineStr">
        <is>
          <t>Transaction</t>
        </is>
      </c>
      <c r="D634" s="58">
        <f>IF(H634=1,INDEX(tx_ID,628)&amp;"","")</f>
        <v/>
      </c>
      <c r="E634" s="94">
        <f>IF(H634=1,INDEX(tx_Date,628),"")</f>
        <v/>
      </c>
      <c r="F634" s="58">
        <f>IF(H634=1,INDEX(tx_Desc,628)&amp;"","")</f>
        <v/>
      </c>
      <c r="G634" s="58">
        <f>IF(H634=1,IF(INDEX(tx_Cust,628)&amp;""&lt;&gt;"",INDEX(tx_Cust,628)&amp;"",INDEX(tx_Vend,628)&amp;""),"")</f>
        <v/>
      </c>
      <c r="H634" s="101">
        <f>IFERROR(N(INDEX(tx_Posted,628)),0)</f>
        <v/>
      </c>
      <c r="I634" s="58">
        <f>IF(H634=1,INDEX(tx_DrAcct,628)&amp;"","")</f>
        <v/>
      </c>
      <c r="J634" s="95">
        <f>IF(H634=1,INDEX(tx_DrAmt,628),0)</f>
        <v/>
      </c>
      <c r="K634" s="58">
        <f>IF(H634=1,INDEX(tx_CrAcct,628)&amp;"","")</f>
        <v/>
      </c>
      <c r="L634" s="95">
        <f>IF(H634=1,INDEX(tx_CrAmt,628),0)</f>
        <v/>
      </c>
      <c r="M634" s="95">
        <f>IF(H634=1,INDEX(tx_TaxDr,628),0)</f>
        <v/>
      </c>
      <c r="N634" s="95">
        <f>IF(H634=1,INDEX(tx_TaxCr,628),0)</f>
        <v/>
      </c>
      <c r="O634" s="101">
        <f>IF(H634=1,IF(E634&lt;FYStart,0,IF(E634&gt;FYEnd,13,YEAR(E634)*12+MONTH(E634)-FYYM+1)),"")</f>
        <v/>
      </c>
      <c r="P634" s="101">
        <f>IF(H634=1,IF(IFERROR(INDEX(coa_CF,MATCH(I634,coa_Name,0)),"")="Cash",1,0),0)</f>
        <v/>
      </c>
      <c r="Q634" s="101">
        <f>IF(H634=1,IF(IFERROR(INDEX(coa_CF,MATCH(K634,coa_Name,0)),"")="Cash",1,0),0)</f>
        <v/>
      </c>
      <c r="R634" s="58">
        <f>IF((P634-Q634)=0,"",IFERROR(INDEX(coa_CF,MATCH(IF((P634-Q634)=1,K634,I634),coa_Name,0)),"Operating"))</f>
        <v/>
      </c>
      <c r="S634" s="95">
        <f>IF((P634-Q634)=1,L634,IF((P634-Q634)=-1,-J634,0))</f>
        <v/>
      </c>
      <c r="T634" s="95">
        <f>IF((P634-Q634)=1,N634,IF((P634-Q634)=-1,-M634,0))</f>
        <v/>
      </c>
      <c r="U634" s="101">
        <f>IF(AND(H634=1,LedAcct&lt;&gt;""),IF(AND(E634&gt;=LedFrom,E634&lt;=LedTo,OR(I634=LedAcct,K634=LedAcct,AND(LedAcct=acctTax,M634+N634&lt;&gt;0))),E634*10000+B634,""),"")</f>
        <v/>
      </c>
    </row>
    <row r="635">
      <c r="B635" s="101" t="n">
        <v>629</v>
      </c>
      <c r="C635" s="58" t="inlineStr">
        <is>
          <t>Transaction</t>
        </is>
      </c>
      <c r="D635" s="58">
        <f>IF(H635=1,INDEX(tx_ID,629)&amp;"","")</f>
        <v/>
      </c>
      <c r="E635" s="94">
        <f>IF(H635=1,INDEX(tx_Date,629),"")</f>
        <v/>
      </c>
      <c r="F635" s="58">
        <f>IF(H635=1,INDEX(tx_Desc,629)&amp;"","")</f>
        <v/>
      </c>
      <c r="G635" s="58">
        <f>IF(H635=1,IF(INDEX(tx_Cust,629)&amp;""&lt;&gt;"",INDEX(tx_Cust,629)&amp;"",INDEX(tx_Vend,629)&amp;""),"")</f>
        <v/>
      </c>
      <c r="H635" s="101">
        <f>IFERROR(N(INDEX(tx_Posted,629)),0)</f>
        <v/>
      </c>
      <c r="I635" s="58">
        <f>IF(H635=1,INDEX(tx_DrAcct,629)&amp;"","")</f>
        <v/>
      </c>
      <c r="J635" s="95">
        <f>IF(H635=1,INDEX(tx_DrAmt,629),0)</f>
        <v/>
      </c>
      <c r="K635" s="58">
        <f>IF(H635=1,INDEX(tx_CrAcct,629)&amp;"","")</f>
        <v/>
      </c>
      <c r="L635" s="95">
        <f>IF(H635=1,INDEX(tx_CrAmt,629),0)</f>
        <v/>
      </c>
      <c r="M635" s="95">
        <f>IF(H635=1,INDEX(tx_TaxDr,629),0)</f>
        <v/>
      </c>
      <c r="N635" s="95">
        <f>IF(H635=1,INDEX(tx_TaxCr,629),0)</f>
        <v/>
      </c>
      <c r="O635" s="101">
        <f>IF(H635=1,IF(E635&lt;FYStart,0,IF(E635&gt;FYEnd,13,YEAR(E635)*12+MONTH(E635)-FYYM+1)),"")</f>
        <v/>
      </c>
      <c r="P635" s="101">
        <f>IF(H635=1,IF(IFERROR(INDEX(coa_CF,MATCH(I635,coa_Name,0)),"")="Cash",1,0),0)</f>
        <v/>
      </c>
      <c r="Q635" s="101">
        <f>IF(H635=1,IF(IFERROR(INDEX(coa_CF,MATCH(K635,coa_Name,0)),"")="Cash",1,0),0)</f>
        <v/>
      </c>
      <c r="R635" s="58">
        <f>IF((P635-Q635)=0,"",IFERROR(INDEX(coa_CF,MATCH(IF((P635-Q635)=1,K635,I635),coa_Name,0)),"Operating"))</f>
        <v/>
      </c>
      <c r="S635" s="95">
        <f>IF((P635-Q635)=1,L635,IF((P635-Q635)=-1,-J635,0))</f>
        <v/>
      </c>
      <c r="T635" s="95">
        <f>IF((P635-Q635)=1,N635,IF((P635-Q635)=-1,-M635,0))</f>
        <v/>
      </c>
      <c r="U635" s="101">
        <f>IF(AND(H635=1,LedAcct&lt;&gt;""),IF(AND(E635&gt;=LedFrom,E635&lt;=LedTo,OR(I635=LedAcct,K635=LedAcct,AND(LedAcct=acctTax,M635+N635&lt;&gt;0))),E635*10000+B635,""),"")</f>
        <v/>
      </c>
    </row>
    <row r="636">
      <c r="B636" s="101" t="n">
        <v>630</v>
      </c>
      <c r="C636" s="58" t="inlineStr">
        <is>
          <t>Transaction</t>
        </is>
      </c>
      <c r="D636" s="58">
        <f>IF(H636=1,INDEX(tx_ID,630)&amp;"","")</f>
        <v/>
      </c>
      <c r="E636" s="94">
        <f>IF(H636=1,INDEX(tx_Date,630),"")</f>
        <v/>
      </c>
      <c r="F636" s="58">
        <f>IF(H636=1,INDEX(tx_Desc,630)&amp;"","")</f>
        <v/>
      </c>
      <c r="G636" s="58">
        <f>IF(H636=1,IF(INDEX(tx_Cust,630)&amp;""&lt;&gt;"",INDEX(tx_Cust,630)&amp;"",INDEX(tx_Vend,630)&amp;""),"")</f>
        <v/>
      </c>
      <c r="H636" s="101">
        <f>IFERROR(N(INDEX(tx_Posted,630)),0)</f>
        <v/>
      </c>
      <c r="I636" s="58">
        <f>IF(H636=1,INDEX(tx_DrAcct,630)&amp;"","")</f>
        <v/>
      </c>
      <c r="J636" s="95">
        <f>IF(H636=1,INDEX(tx_DrAmt,630),0)</f>
        <v/>
      </c>
      <c r="K636" s="58">
        <f>IF(H636=1,INDEX(tx_CrAcct,630)&amp;"","")</f>
        <v/>
      </c>
      <c r="L636" s="95">
        <f>IF(H636=1,INDEX(tx_CrAmt,630),0)</f>
        <v/>
      </c>
      <c r="M636" s="95">
        <f>IF(H636=1,INDEX(tx_TaxDr,630),0)</f>
        <v/>
      </c>
      <c r="N636" s="95">
        <f>IF(H636=1,INDEX(tx_TaxCr,630),0)</f>
        <v/>
      </c>
      <c r="O636" s="101">
        <f>IF(H636=1,IF(E636&lt;FYStart,0,IF(E636&gt;FYEnd,13,YEAR(E636)*12+MONTH(E636)-FYYM+1)),"")</f>
        <v/>
      </c>
      <c r="P636" s="101">
        <f>IF(H636=1,IF(IFERROR(INDEX(coa_CF,MATCH(I636,coa_Name,0)),"")="Cash",1,0),0)</f>
        <v/>
      </c>
      <c r="Q636" s="101">
        <f>IF(H636=1,IF(IFERROR(INDEX(coa_CF,MATCH(K636,coa_Name,0)),"")="Cash",1,0),0)</f>
        <v/>
      </c>
      <c r="R636" s="58">
        <f>IF((P636-Q636)=0,"",IFERROR(INDEX(coa_CF,MATCH(IF((P636-Q636)=1,K636,I636),coa_Name,0)),"Operating"))</f>
        <v/>
      </c>
      <c r="S636" s="95">
        <f>IF((P636-Q636)=1,L636,IF((P636-Q636)=-1,-J636,0))</f>
        <v/>
      </c>
      <c r="T636" s="95">
        <f>IF((P636-Q636)=1,N636,IF((P636-Q636)=-1,-M636,0))</f>
        <v/>
      </c>
      <c r="U636" s="101">
        <f>IF(AND(H636=1,LedAcct&lt;&gt;""),IF(AND(E636&gt;=LedFrom,E636&lt;=LedTo,OR(I636=LedAcct,K636=LedAcct,AND(LedAcct=acctTax,M636+N636&lt;&gt;0))),E636*10000+B636,""),"")</f>
        <v/>
      </c>
    </row>
    <row r="637">
      <c r="B637" s="101" t="n">
        <v>631</v>
      </c>
      <c r="C637" s="58" t="inlineStr">
        <is>
          <t>Transaction</t>
        </is>
      </c>
      <c r="D637" s="58">
        <f>IF(H637=1,INDEX(tx_ID,631)&amp;"","")</f>
        <v/>
      </c>
      <c r="E637" s="94">
        <f>IF(H637=1,INDEX(tx_Date,631),"")</f>
        <v/>
      </c>
      <c r="F637" s="58">
        <f>IF(H637=1,INDEX(tx_Desc,631)&amp;"","")</f>
        <v/>
      </c>
      <c r="G637" s="58">
        <f>IF(H637=1,IF(INDEX(tx_Cust,631)&amp;""&lt;&gt;"",INDEX(tx_Cust,631)&amp;"",INDEX(tx_Vend,631)&amp;""),"")</f>
        <v/>
      </c>
      <c r="H637" s="101">
        <f>IFERROR(N(INDEX(tx_Posted,631)),0)</f>
        <v/>
      </c>
      <c r="I637" s="58">
        <f>IF(H637=1,INDEX(tx_DrAcct,631)&amp;"","")</f>
        <v/>
      </c>
      <c r="J637" s="95">
        <f>IF(H637=1,INDEX(tx_DrAmt,631),0)</f>
        <v/>
      </c>
      <c r="K637" s="58">
        <f>IF(H637=1,INDEX(tx_CrAcct,631)&amp;"","")</f>
        <v/>
      </c>
      <c r="L637" s="95">
        <f>IF(H637=1,INDEX(tx_CrAmt,631),0)</f>
        <v/>
      </c>
      <c r="M637" s="95">
        <f>IF(H637=1,INDEX(tx_TaxDr,631),0)</f>
        <v/>
      </c>
      <c r="N637" s="95">
        <f>IF(H637=1,INDEX(tx_TaxCr,631),0)</f>
        <v/>
      </c>
      <c r="O637" s="101">
        <f>IF(H637=1,IF(E637&lt;FYStart,0,IF(E637&gt;FYEnd,13,YEAR(E637)*12+MONTH(E637)-FYYM+1)),"")</f>
        <v/>
      </c>
      <c r="P637" s="101">
        <f>IF(H637=1,IF(IFERROR(INDEX(coa_CF,MATCH(I637,coa_Name,0)),"")="Cash",1,0),0)</f>
        <v/>
      </c>
      <c r="Q637" s="101">
        <f>IF(H637=1,IF(IFERROR(INDEX(coa_CF,MATCH(K637,coa_Name,0)),"")="Cash",1,0),0)</f>
        <v/>
      </c>
      <c r="R637" s="58">
        <f>IF((P637-Q637)=0,"",IFERROR(INDEX(coa_CF,MATCH(IF((P637-Q637)=1,K637,I637),coa_Name,0)),"Operating"))</f>
        <v/>
      </c>
      <c r="S637" s="95">
        <f>IF((P637-Q637)=1,L637,IF((P637-Q637)=-1,-J637,0))</f>
        <v/>
      </c>
      <c r="T637" s="95">
        <f>IF((P637-Q637)=1,N637,IF((P637-Q637)=-1,-M637,0))</f>
        <v/>
      </c>
      <c r="U637" s="101">
        <f>IF(AND(H637=1,LedAcct&lt;&gt;""),IF(AND(E637&gt;=LedFrom,E637&lt;=LedTo,OR(I637=LedAcct,K637=LedAcct,AND(LedAcct=acctTax,M637+N637&lt;&gt;0))),E637*10000+B637,""),"")</f>
        <v/>
      </c>
    </row>
    <row r="638">
      <c r="B638" s="101" t="n">
        <v>632</v>
      </c>
      <c r="C638" s="58" t="inlineStr">
        <is>
          <t>Transaction</t>
        </is>
      </c>
      <c r="D638" s="58">
        <f>IF(H638=1,INDEX(tx_ID,632)&amp;"","")</f>
        <v/>
      </c>
      <c r="E638" s="94">
        <f>IF(H638=1,INDEX(tx_Date,632),"")</f>
        <v/>
      </c>
      <c r="F638" s="58">
        <f>IF(H638=1,INDEX(tx_Desc,632)&amp;"","")</f>
        <v/>
      </c>
      <c r="G638" s="58">
        <f>IF(H638=1,IF(INDEX(tx_Cust,632)&amp;""&lt;&gt;"",INDEX(tx_Cust,632)&amp;"",INDEX(tx_Vend,632)&amp;""),"")</f>
        <v/>
      </c>
      <c r="H638" s="101">
        <f>IFERROR(N(INDEX(tx_Posted,632)),0)</f>
        <v/>
      </c>
      <c r="I638" s="58">
        <f>IF(H638=1,INDEX(tx_DrAcct,632)&amp;"","")</f>
        <v/>
      </c>
      <c r="J638" s="95">
        <f>IF(H638=1,INDEX(tx_DrAmt,632),0)</f>
        <v/>
      </c>
      <c r="K638" s="58">
        <f>IF(H638=1,INDEX(tx_CrAcct,632)&amp;"","")</f>
        <v/>
      </c>
      <c r="L638" s="95">
        <f>IF(H638=1,INDEX(tx_CrAmt,632),0)</f>
        <v/>
      </c>
      <c r="M638" s="95">
        <f>IF(H638=1,INDEX(tx_TaxDr,632),0)</f>
        <v/>
      </c>
      <c r="N638" s="95">
        <f>IF(H638=1,INDEX(tx_TaxCr,632),0)</f>
        <v/>
      </c>
      <c r="O638" s="101">
        <f>IF(H638=1,IF(E638&lt;FYStart,0,IF(E638&gt;FYEnd,13,YEAR(E638)*12+MONTH(E638)-FYYM+1)),"")</f>
        <v/>
      </c>
      <c r="P638" s="101">
        <f>IF(H638=1,IF(IFERROR(INDEX(coa_CF,MATCH(I638,coa_Name,0)),"")="Cash",1,0),0)</f>
        <v/>
      </c>
      <c r="Q638" s="101">
        <f>IF(H638=1,IF(IFERROR(INDEX(coa_CF,MATCH(K638,coa_Name,0)),"")="Cash",1,0),0)</f>
        <v/>
      </c>
      <c r="R638" s="58">
        <f>IF((P638-Q638)=0,"",IFERROR(INDEX(coa_CF,MATCH(IF((P638-Q638)=1,K638,I638),coa_Name,0)),"Operating"))</f>
        <v/>
      </c>
      <c r="S638" s="95">
        <f>IF((P638-Q638)=1,L638,IF((P638-Q638)=-1,-J638,0))</f>
        <v/>
      </c>
      <c r="T638" s="95">
        <f>IF((P638-Q638)=1,N638,IF((P638-Q638)=-1,-M638,0))</f>
        <v/>
      </c>
      <c r="U638" s="101">
        <f>IF(AND(H638=1,LedAcct&lt;&gt;""),IF(AND(E638&gt;=LedFrom,E638&lt;=LedTo,OR(I638=LedAcct,K638=LedAcct,AND(LedAcct=acctTax,M638+N638&lt;&gt;0))),E638*10000+B638,""),"")</f>
        <v/>
      </c>
    </row>
    <row r="639">
      <c r="B639" s="101" t="n">
        <v>633</v>
      </c>
      <c r="C639" s="58" t="inlineStr">
        <is>
          <t>Transaction</t>
        </is>
      </c>
      <c r="D639" s="58">
        <f>IF(H639=1,INDEX(tx_ID,633)&amp;"","")</f>
        <v/>
      </c>
      <c r="E639" s="94">
        <f>IF(H639=1,INDEX(tx_Date,633),"")</f>
        <v/>
      </c>
      <c r="F639" s="58">
        <f>IF(H639=1,INDEX(tx_Desc,633)&amp;"","")</f>
        <v/>
      </c>
      <c r="G639" s="58">
        <f>IF(H639=1,IF(INDEX(tx_Cust,633)&amp;""&lt;&gt;"",INDEX(tx_Cust,633)&amp;"",INDEX(tx_Vend,633)&amp;""),"")</f>
        <v/>
      </c>
      <c r="H639" s="101">
        <f>IFERROR(N(INDEX(tx_Posted,633)),0)</f>
        <v/>
      </c>
      <c r="I639" s="58">
        <f>IF(H639=1,INDEX(tx_DrAcct,633)&amp;"","")</f>
        <v/>
      </c>
      <c r="J639" s="95">
        <f>IF(H639=1,INDEX(tx_DrAmt,633),0)</f>
        <v/>
      </c>
      <c r="K639" s="58">
        <f>IF(H639=1,INDEX(tx_CrAcct,633)&amp;"","")</f>
        <v/>
      </c>
      <c r="L639" s="95">
        <f>IF(H639=1,INDEX(tx_CrAmt,633),0)</f>
        <v/>
      </c>
      <c r="M639" s="95">
        <f>IF(H639=1,INDEX(tx_TaxDr,633),0)</f>
        <v/>
      </c>
      <c r="N639" s="95">
        <f>IF(H639=1,INDEX(tx_TaxCr,633),0)</f>
        <v/>
      </c>
      <c r="O639" s="101">
        <f>IF(H639=1,IF(E639&lt;FYStart,0,IF(E639&gt;FYEnd,13,YEAR(E639)*12+MONTH(E639)-FYYM+1)),"")</f>
        <v/>
      </c>
      <c r="P639" s="101">
        <f>IF(H639=1,IF(IFERROR(INDEX(coa_CF,MATCH(I639,coa_Name,0)),"")="Cash",1,0),0)</f>
        <v/>
      </c>
      <c r="Q639" s="101">
        <f>IF(H639=1,IF(IFERROR(INDEX(coa_CF,MATCH(K639,coa_Name,0)),"")="Cash",1,0),0)</f>
        <v/>
      </c>
      <c r="R639" s="58">
        <f>IF((P639-Q639)=0,"",IFERROR(INDEX(coa_CF,MATCH(IF((P639-Q639)=1,K639,I639),coa_Name,0)),"Operating"))</f>
        <v/>
      </c>
      <c r="S639" s="95">
        <f>IF((P639-Q639)=1,L639,IF((P639-Q639)=-1,-J639,0))</f>
        <v/>
      </c>
      <c r="T639" s="95">
        <f>IF((P639-Q639)=1,N639,IF((P639-Q639)=-1,-M639,0))</f>
        <v/>
      </c>
      <c r="U639" s="101">
        <f>IF(AND(H639=1,LedAcct&lt;&gt;""),IF(AND(E639&gt;=LedFrom,E639&lt;=LedTo,OR(I639=LedAcct,K639=LedAcct,AND(LedAcct=acctTax,M639+N639&lt;&gt;0))),E639*10000+B639,""),"")</f>
        <v/>
      </c>
    </row>
    <row r="640">
      <c r="B640" s="101" t="n">
        <v>634</v>
      </c>
      <c r="C640" s="58" t="inlineStr">
        <is>
          <t>Transaction</t>
        </is>
      </c>
      <c r="D640" s="58">
        <f>IF(H640=1,INDEX(tx_ID,634)&amp;"","")</f>
        <v/>
      </c>
      <c r="E640" s="94">
        <f>IF(H640=1,INDEX(tx_Date,634),"")</f>
        <v/>
      </c>
      <c r="F640" s="58">
        <f>IF(H640=1,INDEX(tx_Desc,634)&amp;"","")</f>
        <v/>
      </c>
      <c r="G640" s="58">
        <f>IF(H640=1,IF(INDEX(tx_Cust,634)&amp;""&lt;&gt;"",INDEX(tx_Cust,634)&amp;"",INDEX(tx_Vend,634)&amp;""),"")</f>
        <v/>
      </c>
      <c r="H640" s="101">
        <f>IFERROR(N(INDEX(tx_Posted,634)),0)</f>
        <v/>
      </c>
      <c r="I640" s="58">
        <f>IF(H640=1,INDEX(tx_DrAcct,634)&amp;"","")</f>
        <v/>
      </c>
      <c r="J640" s="95">
        <f>IF(H640=1,INDEX(tx_DrAmt,634),0)</f>
        <v/>
      </c>
      <c r="K640" s="58">
        <f>IF(H640=1,INDEX(tx_CrAcct,634)&amp;"","")</f>
        <v/>
      </c>
      <c r="L640" s="95">
        <f>IF(H640=1,INDEX(tx_CrAmt,634),0)</f>
        <v/>
      </c>
      <c r="M640" s="95">
        <f>IF(H640=1,INDEX(tx_TaxDr,634),0)</f>
        <v/>
      </c>
      <c r="N640" s="95">
        <f>IF(H640=1,INDEX(tx_TaxCr,634),0)</f>
        <v/>
      </c>
      <c r="O640" s="101">
        <f>IF(H640=1,IF(E640&lt;FYStart,0,IF(E640&gt;FYEnd,13,YEAR(E640)*12+MONTH(E640)-FYYM+1)),"")</f>
        <v/>
      </c>
      <c r="P640" s="101">
        <f>IF(H640=1,IF(IFERROR(INDEX(coa_CF,MATCH(I640,coa_Name,0)),"")="Cash",1,0),0)</f>
        <v/>
      </c>
      <c r="Q640" s="101">
        <f>IF(H640=1,IF(IFERROR(INDEX(coa_CF,MATCH(K640,coa_Name,0)),"")="Cash",1,0),0)</f>
        <v/>
      </c>
      <c r="R640" s="58">
        <f>IF((P640-Q640)=0,"",IFERROR(INDEX(coa_CF,MATCH(IF((P640-Q640)=1,K640,I640),coa_Name,0)),"Operating"))</f>
        <v/>
      </c>
      <c r="S640" s="95">
        <f>IF((P640-Q640)=1,L640,IF((P640-Q640)=-1,-J640,0))</f>
        <v/>
      </c>
      <c r="T640" s="95">
        <f>IF((P640-Q640)=1,N640,IF((P640-Q640)=-1,-M640,0))</f>
        <v/>
      </c>
      <c r="U640" s="101">
        <f>IF(AND(H640=1,LedAcct&lt;&gt;""),IF(AND(E640&gt;=LedFrom,E640&lt;=LedTo,OR(I640=LedAcct,K640=LedAcct,AND(LedAcct=acctTax,M640+N640&lt;&gt;0))),E640*10000+B640,""),"")</f>
        <v/>
      </c>
    </row>
    <row r="641">
      <c r="B641" s="101" t="n">
        <v>635</v>
      </c>
      <c r="C641" s="58" t="inlineStr">
        <is>
          <t>Transaction</t>
        </is>
      </c>
      <c r="D641" s="58">
        <f>IF(H641=1,INDEX(tx_ID,635)&amp;"","")</f>
        <v/>
      </c>
      <c r="E641" s="94">
        <f>IF(H641=1,INDEX(tx_Date,635),"")</f>
        <v/>
      </c>
      <c r="F641" s="58">
        <f>IF(H641=1,INDEX(tx_Desc,635)&amp;"","")</f>
        <v/>
      </c>
      <c r="G641" s="58">
        <f>IF(H641=1,IF(INDEX(tx_Cust,635)&amp;""&lt;&gt;"",INDEX(tx_Cust,635)&amp;"",INDEX(tx_Vend,635)&amp;""),"")</f>
        <v/>
      </c>
      <c r="H641" s="101">
        <f>IFERROR(N(INDEX(tx_Posted,635)),0)</f>
        <v/>
      </c>
      <c r="I641" s="58">
        <f>IF(H641=1,INDEX(tx_DrAcct,635)&amp;"","")</f>
        <v/>
      </c>
      <c r="J641" s="95">
        <f>IF(H641=1,INDEX(tx_DrAmt,635),0)</f>
        <v/>
      </c>
      <c r="K641" s="58">
        <f>IF(H641=1,INDEX(tx_CrAcct,635)&amp;"","")</f>
        <v/>
      </c>
      <c r="L641" s="95">
        <f>IF(H641=1,INDEX(tx_CrAmt,635),0)</f>
        <v/>
      </c>
      <c r="M641" s="95">
        <f>IF(H641=1,INDEX(tx_TaxDr,635),0)</f>
        <v/>
      </c>
      <c r="N641" s="95">
        <f>IF(H641=1,INDEX(tx_TaxCr,635),0)</f>
        <v/>
      </c>
      <c r="O641" s="101">
        <f>IF(H641=1,IF(E641&lt;FYStart,0,IF(E641&gt;FYEnd,13,YEAR(E641)*12+MONTH(E641)-FYYM+1)),"")</f>
        <v/>
      </c>
      <c r="P641" s="101">
        <f>IF(H641=1,IF(IFERROR(INDEX(coa_CF,MATCH(I641,coa_Name,0)),"")="Cash",1,0),0)</f>
        <v/>
      </c>
      <c r="Q641" s="101">
        <f>IF(H641=1,IF(IFERROR(INDEX(coa_CF,MATCH(K641,coa_Name,0)),"")="Cash",1,0),0)</f>
        <v/>
      </c>
      <c r="R641" s="58">
        <f>IF((P641-Q641)=0,"",IFERROR(INDEX(coa_CF,MATCH(IF((P641-Q641)=1,K641,I641),coa_Name,0)),"Operating"))</f>
        <v/>
      </c>
      <c r="S641" s="95">
        <f>IF((P641-Q641)=1,L641,IF((P641-Q641)=-1,-J641,0))</f>
        <v/>
      </c>
      <c r="T641" s="95">
        <f>IF((P641-Q641)=1,N641,IF((P641-Q641)=-1,-M641,0))</f>
        <v/>
      </c>
      <c r="U641" s="101">
        <f>IF(AND(H641=1,LedAcct&lt;&gt;""),IF(AND(E641&gt;=LedFrom,E641&lt;=LedTo,OR(I641=LedAcct,K641=LedAcct,AND(LedAcct=acctTax,M641+N641&lt;&gt;0))),E641*10000+B641,""),"")</f>
        <v/>
      </c>
    </row>
    <row r="642">
      <c r="B642" s="101" t="n">
        <v>636</v>
      </c>
      <c r="C642" s="58" t="inlineStr">
        <is>
          <t>Transaction</t>
        </is>
      </c>
      <c r="D642" s="58">
        <f>IF(H642=1,INDEX(tx_ID,636)&amp;"","")</f>
        <v/>
      </c>
      <c r="E642" s="94">
        <f>IF(H642=1,INDEX(tx_Date,636),"")</f>
        <v/>
      </c>
      <c r="F642" s="58">
        <f>IF(H642=1,INDEX(tx_Desc,636)&amp;"","")</f>
        <v/>
      </c>
      <c r="G642" s="58">
        <f>IF(H642=1,IF(INDEX(tx_Cust,636)&amp;""&lt;&gt;"",INDEX(tx_Cust,636)&amp;"",INDEX(tx_Vend,636)&amp;""),"")</f>
        <v/>
      </c>
      <c r="H642" s="101">
        <f>IFERROR(N(INDEX(tx_Posted,636)),0)</f>
        <v/>
      </c>
      <c r="I642" s="58">
        <f>IF(H642=1,INDEX(tx_DrAcct,636)&amp;"","")</f>
        <v/>
      </c>
      <c r="J642" s="95">
        <f>IF(H642=1,INDEX(tx_DrAmt,636),0)</f>
        <v/>
      </c>
      <c r="K642" s="58">
        <f>IF(H642=1,INDEX(tx_CrAcct,636)&amp;"","")</f>
        <v/>
      </c>
      <c r="L642" s="95">
        <f>IF(H642=1,INDEX(tx_CrAmt,636),0)</f>
        <v/>
      </c>
      <c r="M642" s="95">
        <f>IF(H642=1,INDEX(tx_TaxDr,636),0)</f>
        <v/>
      </c>
      <c r="N642" s="95">
        <f>IF(H642=1,INDEX(tx_TaxCr,636),0)</f>
        <v/>
      </c>
      <c r="O642" s="101">
        <f>IF(H642=1,IF(E642&lt;FYStart,0,IF(E642&gt;FYEnd,13,YEAR(E642)*12+MONTH(E642)-FYYM+1)),"")</f>
        <v/>
      </c>
      <c r="P642" s="101">
        <f>IF(H642=1,IF(IFERROR(INDEX(coa_CF,MATCH(I642,coa_Name,0)),"")="Cash",1,0),0)</f>
        <v/>
      </c>
      <c r="Q642" s="101">
        <f>IF(H642=1,IF(IFERROR(INDEX(coa_CF,MATCH(K642,coa_Name,0)),"")="Cash",1,0),0)</f>
        <v/>
      </c>
      <c r="R642" s="58">
        <f>IF((P642-Q642)=0,"",IFERROR(INDEX(coa_CF,MATCH(IF((P642-Q642)=1,K642,I642),coa_Name,0)),"Operating"))</f>
        <v/>
      </c>
      <c r="S642" s="95">
        <f>IF((P642-Q642)=1,L642,IF((P642-Q642)=-1,-J642,0))</f>
        <v/>
      </c>
      <c r="T642" s="95">
        <f>IF((P642-Q642)=1,N642,IF((P642-Q642)=-1,-M642,0))</f>
        <v/>
      </c>
      <c r="U642" s="101">
        <f>IF(AND(H642=1,LedAcct&lt;&gt;""),IF(AND(E642&gt;=LedFrom,E642&lt;=LedTo,OR(I642=LedAcct,K642=LedAcct,AND(LedAcct=acctTax,M642+N642&lt;&gt;0))),E642*10000+B642,""),"")</f>
        <v/>
      </c>
    </row>
    <row r="643">
      <c r="B643" s="101" t="n">
        <v>637</v>
      </c>
      <c r="C643" s="58" t="inlineStr">
        <is>
          <t>Transaction</t>
        </is>
      </c>
      <c r="D643" s="58">
        <f>IF(H643=1,INDEX(tx_ID,637)&amp;"","")</f>
        <v/>
      </c>
      <c r="E643" s="94">
        <f>IF(H643=1,INDEX(tx_Date,637),"")</f>
        <v/>
      </c>
      <c r="F643" s="58">
        <f>IF(H643=1,INDEX(tx_Desc,637)&amp;"","")</f>
        <v/>
      </c>
      <c r="G643" s="58">
        <f>IF(H643=1,IF(INDEX(tx_Cust,637)&amp;""&lt;&gt;"",INDEX(tx_Cust,637)&amp;"",INDEX(tx_Vend,637)&amp;""),"")</f>
        <v/>
      </c>
      <c r="H643" s="101">
        <f>IFERROR(N(INDEX(tx_Posted,637)),0)</f>
        <v/>
      </c>
      <c r="I643" s="58">
        <f>IF(H643=1,INDEX(tx_DrAcct,637)&amp;"","")</f>
        <v/>
      </c>
      <c r="J643" s="95">
        <f>IF(H643=1,INDEX(tx_DrAmt,637),0)</f>
        <v/>
      </c>
      <c r="K643" s="58">
        <f>IF(H643=1,INDEX(tx_CrAcct,637)&amp;"","")</f>
        <v/>
      </c>
      <c r="L643" s="95">
        <f>IF(H643=1,INDEX(tx_CrAmt,637),0)</f>
        <v/>
      </c>
      <c r="M643" s="95">
        <f>IF(H643=1,INDEX(tx_TaxDr,637),0)</f>
        <v/>
      </c>
      <c r="N643" s="95">
        <f>IF(H643=1,INDEX(tx_TaxCr,637),0)</f>
        <v/>
      </c>
      <c r="O643" s="101">
        <f>IF(H643=1,IF(E643&lt;FYStart,0,IF(E643&gt;FYEnd,13,YEAR(E643)*12+MONTH(E643)-FYYM+1)),"")</f>
        <v/>
      </c>
      <c r="P643" s="101">
        <f>IF(H643=1,IF(IFERROR(INDEX(coa_CF,MATCH(I643,coa_Name,0)),"")="Cash",1,0),0)</f>
        <v/>
      </c>
      <c r="Q643" s="101">
        <f>IF(H643=1,IF(IFERROR(INDEX(coa_CF,MATCH(K643,coa_Name,0)),"")="Cash",1,0),0)</f>
        <v/>
      </c>
      <c r="R643" s="58">
        <f>IF((P643-Q643)=0,"",IFERROR(INDEX(coa_CF,MATCH(IF((P643-Q643)=1,K643,I643),coa_Name,0)),"Operating"))</f>
        <v/>
      </c>
      <c r="S643" s="95">
        <f>IF((P643-Q643)=1,L643,IF((P643-Q643)=-1,-J643,0))</f>
        <v/>
      </c>
      <c r="T643" s="95">
        <f>IF((P643-Q643)=1,N643,IF((P643-Q643)=-1,-M643,0))</f>
        <v/>
      </c>
      <c r="U643" s="101">
        <f>IF(AND(H643=1,LedAcct&lt;&gt;""),IF(AND(E643&gt;=LedFrom,E643&lt;=LedTo,OR(I643=LedAcct,K643=LedAcct,AND(LedAcct=acctTax,M643+N643&lt;&gt;0))),E643*10000+B643,""),"")</f>
        <v/>
      </c>
    </row>
    <row r="644">
      <c r="B644" s="101" t="n">
        <v>638</v>
      </c>
      <c r="C644" s="58" t="inlineStr">
        <is>
          <t>Transaction</t>
        </is>
      </c>
      <c r="D644" s="58">
        <f>IF(H644=1,INDEX(tx_ID,638)&amp;"","")</f>
        <v/>
      </c>
      <c r="E644" s="94">
        <f>IF(H644=1,INDEX(tx_Date,638),"")</f>
        <v/>
      </c>
      <c r="F644" s="58">
        <f>IF(H644=1,INDEX(tx_Desc,638)&amp;"","")</f>
        <v/>
      </c>
      <c r="G644" s="58">
        <f>IF(H644=1,IF(INDEX(tx_Cust,638)&amp;""&lt;&gt;"",INDEX(tx_Cust,638)&amp;"",INDEX(tx_Vend,638)&amp;""),"")</f>
        <v/>
      </c>
      <c r="H644" s="101">
        <f>IFERROR(N(INDEX(tx_Posted,638)),0)</f>
        <v/>
      </c>
      <c r="I644" s="58">
        <f>IF(H644=1,INDEX(tx_DrAcct,638)&amp;"","")</f>
        <v/>
      </c>
      <c r="J644" s="95">
        <f>IF(H644=1,INDEX(tx_DrAmt,638),0)</f>
        <v/>
      </c>
      <c r="K644" s="58">
        <f>IF(H644=1,INDEX(tx_CrAcct,638)&amp;"","")</f>
        <v/>
      </c>
      <c r="L644" s="95">
        <f>IF(H644=1,INDEX(tx_CrAmt,638),0)</f>
        <v/>
      </c>
      <c r="M644" s="95">
        <f>IF(H644=1,INDEX(tx_TaxDr,638),0)</f>
        <v/>
      </c>
      <c r="N644" s="95">
        <f>IF(H644=1,INDEX(tx_TaxCr,638),0)</f>
        <v/>
      </c>
      <c r="O644" s="101">
        <f>IF(H644=1,IF(E644&lt;FYStart,0,IF(E644&gt;FYEnd,13,YEAR(E644)*12+MONTH(E644)-FYYM+1)),"")</f>
        <v/>
      </c>
      <c r="P644" s="101">
        <f>IF(H644=1,IF(IFERROR(INDEX(coa_CF,MATCH(I644,coa_Name,0)),"")="Cash",1,0),0)</f>
        <v/>
      </c>
      <c r="Q644" s="101">
        <f>IF(H644=1,IF(IFERROR(INDEX(coa_CF,MATCH(K644,coa_Name,0)),"")="Cash",1,0),0)</f>
        <v/>
      </c>
      <c r="R644" s="58">
        <f>IF((P644-Q644)=0,"",IFERROR(INDEX(coa_CF,MATCH(IF((P644-Q644)=1,K644,I644),coa_Name,0)),"Operating"))</f>
        <v/>
      </c>
      <c r="S644" s="95">
        <f>IF((P644-Q644)=1,L644,IF((P644-Q644)=-1,-J644,0))</f>
        <v/>
      </c>
      <c r="T644" s="95">
        <f>IF((P644-Q644)=1,N644,IF((P644-Q644)=-1,-M644,0))</f>
        <v/>
      </c>
      <c r="U644" s="101">
        <f>IF(AND(H644=1,LedAcct&lt;&gt;""),IF(AND(E644&gt;=LedFrom,E644&lt;=LedTo,OR(I644=LedAcct,K644=LedAcct,AND(LedAcct=acctTax,M644+N644&lt;&gt;0))),E644*10000+B644,""),"")</f>
        <v/>
      </c>
    </row>
    <row r="645">
      <c r="B645" s="101" t="n">
        <v>639</v>
      </c>
      <c r="C645" s="58" t="inlineStr">
        <is>
          <t>Transaction</t>
        </is>
      </c>
      <c r="D645" s="58">
        <f>IF(H645=1,INDEX(tx_ID,639)&amp;"","")</f>
        <v/>
      </c>
      <c r="E645" s="94">
        <f>IF(H645=1,INDEX(tx_Date,639),"")</f>
        <v/>
      </c>
      <c r="F645" s="58">
        <f>IF(H645=1,INDEX(tx_Desc,639)&amp;"","")</f>
        <v/>
      </c>
      <c r="G645" s="58">
        <f>IF(H645=1,IF(INDEX(tx_Cust,639)&amp;""&lt;&gt;"",INDEX(tx_Cust,639)&amp;"",INDEX(tx_Vend,639)&amp;""),"")</f>
        <v/>
      </c>
      <c r="H645" s="101">
        <f>IFERROR(N(INDEX(tx_Posted,639)),0)</f>
        <v/>
      </c>
      <c r="I645" s="58">
        <f>IF(H645=1,INDEX(tx_DrAcct,639)&amp;"","")</f>
        <v/>
      </c>
      <c r="J645" s="95">
        <f>IF(H645=1,INDEX(tx_DrAmt,639),0)</f>
        <v/>
      </c>
      <c r="K645" s="58">
        <f>IF(H645=1,INDEX(tx_CrAcct,639)&amp;"","")</f>
        <v/>
      </c>
      <c r="L645" s="95">
        <f>IF(H645=1,INDEX(tx_CrAmt,639),0)</f>
        <v/>
      </c>
      <c r="M645" s="95">
        <f>IF(H645=1,INDEX(tx_TaxDr,639),0)</f>
        <v/>
      </c>
      <c r="N645" s="95">
        <f>IF(H645=1,INDEX(tx_TaxCr,639),0)</f>
        <v/>
      </c>
      <c r="O645" s="101">
        <f>IF(H645=1,IF(E645&lt;FYStart,0,IF(E645&gt;FYEnd,13,YEAR(E645)*12+MONTH(E645)-FYYM+1)),"")</f>
        <v/>
      </c>
      <c r="P645" s="101">
        <f>IF(H645=1,IF(IFERROR(INDEX(coa_CF,MATCH(I645,coa_Name,0)),"")="Cash",1,0),0)</f>
        <v/>
      </c>
      <c r="Q645" s="101">
        <f>IF(H645=1,IF(IFERROR(INDEX(coa_CF,MATCH(K645,coa_Name,0)),"")="Cash",1,0),0)</f>
        <v/>
      </c>
      <c r="R645" s="58">
        <f>IF((P645-Q645)=0,"",IFERROR(INDEX(coa_CF,MATCH(IF((P645-Q645)=1,K645,I645),coa_Name,0)),"Operating"))</f>
        <v/>
      </c>
      <c r="S645" s="95">
        <f>IF((P645-Q645)=1,L645,IF((P645-Q645)=-1,-J645,0))</f>
        <v/>
      </c>
      <c r="T645" s="95">
        <f>IF((P645-Q645)=1,N645,IF((P645-Q645)=-1,-M645,0))</f>
        <v/>
      </c>
      <c r="U645" s="101">
        <f>IF(AND(H645=1,LedAcct&lt;&gt;""),IF(AND(E645&gt;=LedFrom,E645&lt;=LedTo,OR(I645=LedAcct,K645=LedAcct,AND(LedAcct=acctTax,M645+N645&lt;&gt;0))),E645*10000+B645,""),"")</f>
        <v/>
      </c>
    </row>
    <row r="646">
      <c r="B646" s="101" t="n">
        <v>640</v>
      </c>
      <c r="C646" s="58" t="inlineStr">
        <is>
          <t>Transaction</t>
        </is>
      </c>
      <c r="D646" s="58">
        <f>IF(H646=1,INDEX(tx_ID,640)&amp;"","")</f>
        <v/>
      </c>
      <c r="E646" s="94">
        <f>IF(H646=1,INDEX(tx_Date,640),"")</f>
        <v/>
      </c>
      <c r="F646" s="58">
        <f>IF(H646=1,INDEX(tx_Desc,640)&amp;"","")</f>
        <v/>
      </c>
      <c r="G646" s="58">
        <f>IF(H646=1,IF(INDEX(tx_Cust,640)&amp;""&lt;&gt;"",INDEX(tx_Cust,640)&amp;"",INDEX(tx_Vend,640)&amp;""),"")</f>
        <v/>
      </c>
      <c r="H646" s="101">
        <f>IFERROR(N(INDEX(tx_Posted,640)),0)</f>
        <v/>
      </c>
      <c r="I646" s="58">
        <f>IF(H646=1,INDEX(tx_DrAcct,640)&amp;"","")</f>
        <v/>
      </c>
      <c r="J646" s="95">
        <f>IF(H646=1,INDEX(tx_DrAmt,640),0)</f>
        <v/>
      </c>
      <c r="K646" s="58">
        <f>IF(H646=1,INDEX(tx_CrAcct,640)&amp;"","")</f>
        <v/>
      </c>
      <c r="L646" s="95">
        <f>IF(H646=1,INDEX(tx_CrAmt,640),0)</f>
        <v/>
      </c>
      <c r="M646" s="95">
        <f>IF(H646=1,INDEX(tx_TaxDr,640),0)</f>
        <v/>
      </c>
      <c r="N646" s="95">
        <f>IF(H646=1,INDEX(tx_TaxCr,640),0)</f>
        <v/>
      </c>
      <c r="O646" s="101">
        <f>IF(H646=1,IF(E646&lt;FYStart,0,IF(E646&gt;FYEnd,13,YEAR(E646)*12+MONTH(E646)-FYYM+1)),"")</f>
        <v/>
      </c>
      <c r="P646" s="101">
        <f>IF(H646=1,IF(IFERROR(INDEX(coa_CF,MATCH(I646,coa_Name,0)),"")="Cash",1,0),0)</f>
        <v/>
      </c>
      <c r="Q646" s="101">
        <f>IF(H646=1,IF(IFERROR(INDEX(coa_CF,MATCH(K646,coa_Name,0)),"")="Cash",1,0),0)</f>
        <v/>
      </c>
      <c r="R646" s="58">
        <f>IF((P646-Q646)=0,"",IFERROR(INDEX(coa_CF,MATCH(IF((P646-Q646)=1,K646,I646),coa_Name,0)),"Operating"))</f>
        <v/>
      </c>
      <c r="S646" s="95">
        <f>IF((P646-Q646)=1,L646,IF((P646-Q646)=-1,-J646,0))</f>
        <v/>
      </c>
      <c r="T646" s="95">
        <f>IF((P646-Q646)=1,N646,IF((P646-Q646)=-1,-M646,0))</f>
        <v/>
      </c>
      <c r="U646" s="101">
        <f>IF(AND(H646=1,LedAcct&lt;&gt;""),IF(AND(E646&gt;=LedFrom,E646&lt;=LedTo,OR(I646=LedAcct,K646=LedAcct,AND(LedAcct=acctTax,M646+N646&lt;&gt;0))),E646*10000+B646,""),"")</f>
        <v/>
      </c>
    </row>
    <row r="647">
      <c r="B647" s="101" t="n">
        <v>641</v>
      </c>
      <c r="C647" s="58" t="inlineStr">
        <is>
          <t>Transaction</t>
        </is>
      </c>
      <c r="D647" s="58">
        <f>IF(H647=1,INDEX(tx_ID,641)&amp;"","")</f>
        <v/>
      </c>
      <c r="E647" s="94">
        <f>IF(H647=1,INDEX(tx_Date,641),"")</f>
        <v/>
      </c>
      <c r="F647" s="58">
        <f>IF(H647=1,INDEX(tx_Desc,641)&amp;"","")</f>
        <v/>
      </c>
      <c r="G647" s="58">
        <f>IF(H647=1,IF(INDEX(tx_Cust,641)&amp;""&lt;&gt;"",INDEX(tx_Cust,641)&amp;"",INDEX(tx_Vend,641)&amp;""),"")</f>
        <v/>
      </c>
      <c r="H647" s="101">
        <f>IFERROR(N(INDEX(tx_Posted,641)),0)</f>
        <v/>
      </c>
      <c r="I647" s="58">
        <f>IF(H647=1,INDEX(tx_DrAcct,641)&amp;"","")</f>
        <v/>
      </c>
      <c r="J647" s="95">
        <f>IF(H647=1,INDEX(tx_DrAmt,641),0)</f>
        <v/>
      </c>
      <c r="K647" s="58">
        <f>IF(H647=1,INDEX(tx_CrAcct,641)&amp;"","")</f>
        <v/>
      </c>
      <c r="L647" s="95">
        <f>IF(H647=1,INDEX(tx_CrAmt,641),0)</f>
        <v/>
      </c>
      <c r="M647" s="95">
        <f>IF(H647=1,INDEX(tx_TaxDr,641),0)</f>
        <v/>
      </c>
      <c r="N647" s="95">
        <f>IF(H647=1,INDEX(tx_TaxCr,641),0)</f>
        <v/>
      </c>
      <c r="O647" s="101">
        <f>IF(H647=1,IF(E647&lt;FYStart,0,IF(E647&gt;FYEnd,13,YEAR(E647)*12+MONTH(E647)-FYYM+1)),"")</f>
        <v/>
      </c>
      <c r="P647" s="101">
        <f>IF(H647=1,IF(IFERROR(INDEX(coa_CF,MATCH(I647,coa_Name,0)),"")="Cash",1,0),0)</f>
        <v/>
      </c>
      <c r="Q647" s="101">
        <f>IF(H647=1,IF(IFERROR(INDEX(coa_CF,MATCH(K647,coa_Name,0)),"")="Cash",1,0),0)</f>
        <v/>
      </c>
      <c r="R647" s="58">
        <f>IF((P647-Q647)=0,"",IFERROR(INDEX(coa_CF,MATCH(IF((P647-Q647)=1,K647,I647),coa_Name,0)),"Operating"))</f>
        <v/>
      </c>
      <c r="S647" s="95">
        <f>IF((P647-Q647)=1,L647,IF((P647-Q647)=-1,-J647,0))</f>
        <v/>
      </c>
      <c r="T647" s="95">
        <f>IF((P647-Q647)=1,N647,IF((P647-Q647)=-1,-M647,0))</f>
        <v/>
      </c>
      <c r="U647" s="101">
        <f>IF(AND(H647=1,LedAcct&lt;&gt;""),IF(AND(E647&gt;=LedFrom,E647&lt;=LedTo,OR(I647=LedAcct,K647=LedAcct,AND(LedAcct=acctTax,M647+N647&lt;&gt;0))),E647*10000+B647,""),"")</f>
        <v/>
      </c>
    </row>
    <row r="648">
      <c r="B648" s="101" t="n">
        <v>642</v>
      </c>
      <c r="C648" s="58" t="inlineStr">
        <is>
          <t>Transaction</t>
        </is>
      </c>
      <c r="D648" s="58">
        <f>IF(H648=1,INDEX(tx_ID,642)&amp;"","")</f>
        <v/>
      </c>
      <c r="E648" s="94">
        <f>IF(H648=1,INDEX(tx_Date,642),"")</f>
        <v/>
      </c>
      <c r="F648" s="58">
        <f>IF(H648=1,INDEX(tx_Desc,642)&amp;"","")</f>
        <v/>
      </c>
      <c r="G648" s="58">
        <f>IF(H648=1,IF(INDEX(tx_Cust,642)&amp;""&lt;&gt;"",INDEX(tx_Cust,642)&amp;"",INDEX(tx_Vend,642)&amp;""),"")</f>
        <v/>
      </c>
      <c r="H648" s="101">
        <f>IFERROR(N(INDEX(tx_Posted,642)),0)</f>
        <v/>
      </c>
      <c r="I648" s="58">
        <f>IF(H648=1,INDEX(tx_DrAcct,642)&amp;"","")</f>
        <v/>
      </c>
      <c r="J648" s="95">
        <f>IF(H648=1,INDEX(tx_DrAmt,642),0)</f>
        <v/>
      </c>
      <c r="K648" s="58">
        <f>IF(H648=1,INDEX(tx_CrAcct,642)&amp;"","")</f>
        <v/>
      </c>
      <c r="L648" s="95">
        <f>IF(H648=1,INDEX(tx_CrAmt,642),0)</f>
        <v/>
      </c>
      <c r="M648" s="95">
        <f>IF(H648=1,INDEX(tx_TaxDr,642),0)</f>
        <v/>
      </c>
      <c r="N648" s="95">
        <f>IF(H648=1,INDEX(tx_TaxCr,642),0)</f>
        <v/>
      </c>
      <c r="O648" s="101">
        <f>IF(H648=1,IF(E648&lt;FYStart,0,IF(E648&gt;FYEnd,13,YEAR(E648)*12+MONTH(E648)-FYYM+1)),"")</f>
        <v/>
      </c>
      <c r="P648" s="101">
        <f>IF(H648=1,IF(IFERROR(INDEX(coa_CF,MATCH(I648,coa_Name,0)),"")="Cash",1,0),0)</f>
        <v/>
      </c>
      <c r="Q648" s="101">
        <f>IF(H648=1,IF(IFERROR(INDEX(coa_CF,MATCH(K648,coa_Name,0)),"")="Cash",1,0),0)</f>
        <v/>
      </c>
      <c r="R648" s="58">
        <f>IF((P648-Q648)=0,"",IFERROR(INDEX(coa_CF,MATCH(IF((P648-Q648)=1,K648,I648),coa_Name,0)),"Operating"))</f>
        <v/>
      </c>
      <c r="S648" s="95">
        <f>IF((P648-Q648)=1,L648,IF((P648-Q648)=-1,-J648,0))</f>
        <v/>
      </c>
      <c r="T648" s="95">
        <f>IF((P648-Q648)=1,N648,IF((P648-Q648)=-1,-M648,0))</f>
        <v/>
      </c>
      <c r="U648" s="101">
        <f>IF(AND(H648=1,LedAcct&lt;&gt;""),IF(AND(E648&gt;=LedFrom,E648&lt;=LedTo,OR(I648=LedAcct,K648=LedAcct,AND(LedAcct=acctTax,M648+N648&lt;&gt;0))),E648*10000+B648,""),"")</f>
        <v/>
      </c>
    </row>
    <row r="649">
      <c r="B649" s="101" t="n">
        <v>643</v>
      </c>
      <c r="C649" s="58" t="inlineStr">
        <is>
          <t>Transaction</t>
        </is>
      </c>
      <c r="D649" s="58">
        <f>IF(H649=1,INDEX(tx_ID,643)&amp;"","")</f>
        <v/>
      </c>
      <c r="E649" s="94">
        <f>IF(H649=1,INDEX(tx_Date,643),"")</f>
        <v/>
      </c>
      <c r="F649" s="58">
        <f>IF(H649=1,INDEX(tx_Desc,643)&amp;"","")</f>
        <v/>
      </c>
      <c r="G649" s="58">
        <f>IF(H649=1,IF(INDEX(tx_Cust,643)&amp;""&lt;&gt;"",INDEX(tx_Cust,643)&amp;"",INDEX(tx_Vend,643)&amp;""),"")</f>
        <v/>
      </c>
      <c r="H649" s="101">
        <f>IFERROR(N(INDEX(tx_Posted,643)),0)</f>
        <v/>
      </c>
      <c r="I649" s="58">
        <f>IF(H649=1,INDEX(tx_DrAcct,643)&amp;"","")</f>
        <v/>
      </c>
      <c r="J649" s="95">
        <f>IF(H649=1,INDEX(tx_DrAmt,643),0)</f>
        <v/>
      </c>
      <c r="K649" s="58">
        <f>IF(H649=1,INDEX(tx_CrAcct,643)&amp;"","")</f>
        <v/>
      </c>
      <c r="L649" s="95">
        <f>IF(H649=1,INDEX(tx_CrAmt,643),0)</f>
        <v/>
      </c>
      <c r="M649" s="95">
        <f>IF(H649=1,INDEX(tx_TaxDr,643),0)</f>
        <v/>
      </c>
      <c r="N649" s="95">
        <f>IF(H649=1,INDEX(tx_TaxCr,643),0)</f>
        <v/>
      </c>
      <c r="O649" s="101">
        <f>IF(H649=1,IF(E649&lt;FYStart,0,IF(E649&gt;FYEnd,13,YEAR(E649)*12+MONTH(E649)-FYYM+1)),"")</f>
        <v/>
      </c>
      <c r="P649" s="101">
        <f>IF(H649=1,IF(IFERROR(INDEX(coa_CF,MATCH(I649,coa_Name,0)),"")="Cash",1,0),0)</f>
        <v/>
      </c>
      <c r="Q649" s="101">
        <f>IF(H649=1,IF(IFERROR(INDEX(coa_CF,MATCH(K649,coa_Name,0)),"")="Cash",1,0),0)</f>
        <v/>
      </c>
      <c r="R649" s="58">
        <f>IF((P649-Q649)=0,"",IFERROR(INDEX(coa_CF,MATCH(IF((P649-Q649)=1,K649,I649),coa_Name,0)),"Operating"))</f>
        <v/>
      </c>
      <c r="S649" s="95">
        <f>IF((P649-Q649)=1,L649,IF((P649-Q649)=-1,-J649,0))</f>
        <v/>
      </c>
      <c r="T649" s="95">
        <f>IF((P649-Q649)=1,N649,IF((P649-Q649)=-1,-M649,0))</f>
        <v/>
      </c>
      <c r="U649" s="101">
        <f>IF(AND(H649=1,LedAcct&lt;&gt;""),IF(AND(E649&gt;=LedFrom,E649&lt;=LedTo,OR(I649=LedAcct,K649=LedAcct,AND(LedAcct=acctTax,M649+N649&lt;&gt;0))),E649*10000+B649,""),"")</f>
        <v/>
      </c>
    </row>
    <row r="650">
      <c r="B650" s="101" t="n">
        <v>644</v>
      </c>
      <c r="C650" s="58" t="inlineStr">
        <is>
          <t>Transaction</t>
        </is>
      </c>
      <c r="D650" s="58">
        <f>IF(H650=1,INDEX(tx_ID,644)&amp;"","")</f>
        <v/>
      </c>
      <c r="E650" s="94">
        <f>IF(H650=1,INDEX(tx_Date,644),"")</f>
        <v/>
      </c>
      <c r="F650" s="58">
        <f>IF(H650=1,INDEX(tx_Desc,644)&amp;"","")</f>
        <v/>
      </c>
      <c r="G650" s="58">
        <f>IF(H650=1,IF(INDEX(tx_Cust,644)&amp;""&lt;&gt;"",INDEX(tx_Cust,644)&amp;"",INDEX(tx_Vend,644)&amp;""),"")</f>
        <v/>
      </c>
      <c r="H650" s="101">
        <f>IFERROR(N(INDEX(tx_Posted,644)),0)</f>
        <v/>
      </c>
      <c r="I650" s="58">
        <f>IF(H650=1,INDEX(tx_DrAcct,644)&amp;"","")</f>
        <v/>
      </c>
      <c r="J650" s="95">
        <f>IF(H650=1,INDEX(tx_DrAmt,644),0)</f>
        <v/>
      </c>
      <c r="K650" s="58">
        <f>IF(H650=1,INDEX(tx_CrAcct,644)&amp;"","")</f>
        <v/>
      </c>
      <c r="L650" s="95">
        <f>IF(H650=1,INDEX(tx_CrAmt,644),0)</f>
        <v/>
      </c>
      <c r="M650" s="95">
        <f>IF(H650=1,INDEX(tx_TaxDr,644),0)</f>
        <v/>
      </c>
      <c r="N650" s="95">
        <f>IF(H650=1,INDEX(tx_TaxCr,644),0)</f>
        <v/>
      </c>
      <c r="O650" s="101">
        <f>IF(H650=1,IF(E650&lt;FYStart,0,IF(E650&gt;FYEnd,13,YEAR(E650)*12+MONTH(E650)-FYYM+1)),"")</f>
        <v/>
      </c>
      <c r="P650" s="101">
        <f>IF(H650=1,IF(IFERROR(INDEX(coa_CF,MATCH(I650,coa_Name,0)),"")="Cash",1,0),0)</f>
        <v/>
      </c>
      <c r="Q650" s="101">
        <f>IF(H650=1,IF(IFERROR(INDEX(coa_CF,MATCH(K650,coa_Name,0)),"")="Cash",1,0),0)</f>
        <v/>
      </c>
      <c r="R650" s="58">
        <f>IF((P650-Q650)=0,"",IFERROR(INDEX(coa_CF,MATCH(IF((P650-Q650)=1,K650,I650),coa_Name,0)),"Operating"))</f>
        <v/>
      </c>
      <c r="S650" s="95">
        <f>IF((P650-Q650)=1,L650,IF((P650-Q650)=-1,-J650,0))</f>
        <v/>
      </c>
      <c r="T650" s="95">
        <f>IF((P650-Q650)=1,N650,IF((P650-Q650)=-1,-M650,0))</f>
        <v/>
      </c>
      <c r="U650" s="101">
        <f>IF(AND(H650=1,LedAcct&lt;&gt;""),IF(AND(E650&gt;=LedFrom,E650&lt;=LedTo,OR(I650=LedAcct,K650=LedAcct,AND(LedAcct=acctTax,M650+N650&lt;&gt;0))),E650*10000+B650,""),"")</f>
        <v/>
      </c>
    </row>
    <row r="651">
      <c r="B651" s="101" t="n">
        <v>645</v>
      </c>
      <c r="C651" s="58" t="inlineStr">
        <is>
          <t>Transaction</t>
        </is>
      </c>
      <c r="D651" s="58">
        <f>IF(H651=1,INDEX(tx_ID,645)&amp;"","")</f>
        <v/>
      </c>
      <c r="E651" s="94">
        <f>IF(H651=1,INDEX(tx_Date,645),"")</f>
        <v/>
      </c>
      <c r="F651" s="58">
        <f>IF(H651=1,INDEX(tx_Desc,645)&amp;"","")</f>
        <v/>
      </c>
      <c r="G651" s="58">
        <f>IF(H651=1,IF(INDEX(tx_Cust,645)&amp;""&lt;&gt;"",INDEX(tx_Cust,645)&amp;"",INDEX(tx_Vend,645)&amp;""),"")</f>
        <v/>
      </c>
      <c r="H651" s="101">
        <f>IFERROR(N(INDEX(tx_Posted,645)),0)</f>
        <v/>
      </c>
      <c r="I651" s="58">
        <f>IF(H651=1,INDEX(tx_DrAcct,645)&amp;"","")</f>
        <v/>
      </c>
      <c r="J651" s="95">
        <f>IF(H651=1,INDEX(tx_DrAmt,645),0)</f>
        <v/>
      </c>
      <c r="K651" s="58">
        <f>IF(H651=1,INDEX(tx_CrAcct,645)&amp;"","")</f>
        <v/>
      </c>
      <c r="L651" s="95">
        <f>IF(H651=1,INDEX(tx_CrAmt,645),0)</f>
        <v/>
      </c>
      <c r="M651" s="95">
        <f>IF(H651=1,INDEX(tx_TaxDr,645),0)</f>
        <v/>
      </c>
      <c r="N651" s="95">
        <f>IF(H651=1,INDEX(tx_TaxCr,645),0)</f>
        <v/>
      </c>
      <c r="O651" s="101">
        <f>IF(H651=1,IF(E651&lt;FYStart,0,IF(E651&gt;FYEnd,13,YEAR(E651)*12+MONTH(E651)-FYYM+1)),"")</f>
        <v/>
      </c>
      <c r="P651" s="101">
        <f>IF(H651=1,IF(IFERROR(INDEX(coa_CF,MATCH(I651,coa_Name,0)),"")="Cash",1,0),0)</f>
        <v/>
      </c>
      <c r="Q651" s="101">
        <f>IF(H651=1,IF(IFERROR(INDEX(coa_CF,MATCH(K651,coa_Name,0)),"")="Cash",1,0),0)</f>
        <v/>
      </c>
      <c r="R651" s="58">
        <f>IF((P651-Q651)=0,"",IFERROR(INDEX(coa_CF,MATCH(IF((P651-Q651)=1,K651,I651),coa_Name,0)),"Operating"))</f>
        <v/>
      </c>
      <c r="S651" s="95">
        <f>IF((P651-Q651)=1,L651,IF((P651-Q651)=-1,-J651,0))</f>
        <v/>
      </c>
      <c r="T651" s="95">
        <f>IF((P651-Q651)=1,N651,IF((P651-Q651)=-1,-M651,0))</f>
        <v/>
      </c>
      <c r="U651" s="101">
        <f>IF(AND(H651=1,LedAcct&lt;&gt;""),IF(AND(E651&gt;=LedFrom,E651&lt;=LedTo,OR(I651=LedAcct,K651=LedAcct,AND(LedAcct=acctTax,M651+N651&lt;&gt;0))),E651*10000+B651,""),"")</f>
        <v/>
      </c>
    </row>
    <row r="652">
      <c r="B652" s="101" t="n">
        <v>646</v>
      </c>
      <c r="C652" s="58" t="inlineStr">
        <is>
          <t>Transaction</t>
        </is>
      </c>
      <c r="D652" s="58">
        <f>IF(H652=1,INDEX(tx_ID,646)&amp;"","")</f>
        <v/>
      </c>
      <c r="E652" s="94">
        <f>IF(H652=1,INDEX(tx_Date,646),"")</f>
        <v/>
      </c>
      <c r="F652" s="58">
        <f>IF(H652=1,INDEX(tx_Desc,646)&amp;"","")</f>
        <v/>
      </c>
      <c r="G652" s="58">
        <f>IF(H652=1,IF(INDEX(tx_Cust,646)&amp;""&lt;&gt;"",INDEX(tx_Cust,646)&amp;"",INDEX(tx_Vend,646)&amp;""),"")</f>
        <v/>
      </c>
      <c r="H652" s="101">
        <f>IFERROR(N(INDEX(tx_Posted,646)),0)</f>
        <v/>
      </c>
      <c r="I652" s="58">
        <f>IF(H652=1,INDEX(tx_DrAcct,646)&amp;"","")</f>
        <v/>
      </c>
      <c r="J652" s="95">
        <f>IF(H652=1,INDEX(tx_DrAmt,646),0)</f>
        <v/>
      </c>
      <c r="K652" s="58">
        <f>IF(H652=1,INDEX(tx_CrAcct,646)&amp;"","")</f>
        <v/>
      </c>
      <c r="L652" s="95">
        <f>IF(H652=1,INDEX(tx_CrAmt,646),0)</f>
        <v/>
      </c>
      <c r="M652" s="95">
        <f>IF(H652=1,INDEX(tx_TaxDr,646),0)</f>
        <v/>
      </c>
      <c r="N652" s="95">
        <f>IF(H652=1,INDEX(tx_TaxCr,646),0)</f>
        <v/>
      </c>
      <c r="O652" s="101">
        <f>IF(H652=1,IF(E652&lt;FYStart,0,IF(E652&gt;FYEnd,13,YEAR(E652)*12+MONTH(E652)-FYYM+1)),"")</f>
        <v/>
      </c>
      <c r="P652" s="101">
        <f>IF(H652=1,IF(IFERROR(INDEX(coa_CF,MATCH(I652,coa_Name,0)),"")="Cash",1,0),0)</f>
        <v/>
      </c>
      <c r="Q652" s="101">
        <f>IF(H652=1,IF(IFERROR(INDEX(coa_CF,MATCH(K652,coa_Name,0)),"")="Cash",1,0),0)</f>
        <v/>
      </c>
      <c r="R652" s="58">
        <f>IF((P652-Q652)=0,"",IFERROR(INDEX(coa_CF,MATCH(IF((P652-Q652)=1,K652,I652),coa_Name,0)),"Operating"))</f>
        <v/>
      </c>
      <c r="S652" s="95">
        <f>IF((P652-Q652)=1,L652,IF((P652-Q652)=-1,-J652,0))</f>
        <v/>
      </c>
      <c r="T652" s="95">
        <f>IF((P652-Q652)=1,N652,IF((P652-Q652)=-1,-M652,0))</f>
        <v/>
      </c>
      <c r="U652" s="101">
        <f>IF(AND(H652=1,LedAcct&lt;&gt;""),IF(AND(E652&gt;=LedFrom,E652&lt;=LedTo,OR(I652=LedAcct,K652=LedAcct,AND(LedAcct=acctTax,M652+N652&lt;&gt;0))),E652*10000+B652,""),"")</f>
        <v/>
      </c>
    </row>
    <row r="653">
      <c r="B653" s="101" t="n">
        <v>647</v>
      </c>
      <c r="C653" s="58" t="inlineStr">
        <is>
          <t>Transaction</t>
        </is>
      </c>
      <c r="D653" s="58">
        <f>IF(H653=1,INDEX(tx_ID,647)&amp;"","")</f>
        <v/>
      </c>
      <c r="E653" s="94">
        <f>IF(H653=1,INDEX(tx_Date,647),"")</f>
        <v/>
      </c>
      <c r="F653" s="58">
        <f>IF(H653=1,INDEX(tx_Desc,647)&amp;"","")</f>
        <v/>
      </c>
      <c r="G653" s="58">
        <f>IF(H653=1,IF(INDEX(tx_Cust,647)&amp;""&lt;&gt;"",INDEX(tx_Cust,647)&amp;"",INDEX(tx_Vend,647)&amp;""),"")</f>
        <v/>
      </c>
      <c r="H653" s="101">
        <f>IFERROR(N(INDEX(tx_Posted,647)),0)</f>
        <v/>
      </c>
      <c r="I653" s="58">
        <f>IF(H653=1,INDEX(tx_DrAcct,647)&amp;"","")</f>
        <v/>
      </c>
      <c r="J653" s="95">
        <f>IF(H653=1,INDEX(tx_DrAmt,647),0)</f>
        <v/>
      </c>
      <c r="K653" s="58">
        <f>IF(H653=1,INDEX(tx_CrAcct,647)&amp;"","")</f>
        <v/>
      </c>
      <c r="L653" s="95">
        <f>IF(H653=1,INDEX(tx_CrAmt,647),0)</f>
        <v/>
      </c>
      <c r="M653" s="95">
        <f>IF(H653=1,INDEX(tx_TaxDr,647),0)</f>
        <v/>
      </c>
      <c r="N653" s="95">
        <f>IF(H653=1,INDEX(tx_TaxCr,647),0)</f>
        <v/>
      </c>
      <c r="O653" s="101">
        <f>IF(H653=1,IF(E653&lt;FYStart,0,IF(E653&gt;FYEnd,13,YEAR(E653)*12+MONTH(E653)-FYYM+1)),"")</f>
        <v/>
      </c>
      <c r="P653" s="101">
        <f>IF(H653=1,IF(IFERROR(INDEX(coa_CF,MATCH(I653,coa_Name,0)),"")="Cash",1,0),0)</f>
        <v/>
      </c>
      <c r="Q653" s="101">
        <f>IF(H653=1,IF(IFERROR(INDEX(coa_CF,MATCH(K653,coa_Name,0)),"")="Cash",1,0),0)</f>
        <v/>
      </c>
      <c r="R653" s="58">
        <f>IF((P653-Q653)=0,"",IFERROR(INDEX(coa_CF,MATCH(IF((P653-Q653)=1,K653,I653),coa_Name,0)),"Operating"))</f>
        <v/>
      </c>
      <c r="S653" s="95">
        <f>IF((P653-Q653)=1,L653,IF((P653-Q653)=-1,-J653,0))</f>
        <v/>
      </c>
      <c r="T653" s="95">
        <f>IF((P653-Q653)=1,N653,IF((P653-Q653)=-1,-M653,0))</f>
        <v/>
      </c>
      <c r="U653" s="101">
        <f>IF(AND(H653=1,LedAcct&lt;&gt;""),IF(AND(E653&gt;=LedFrom,E653&lt;=LedTo,OR(I653=LedAcct,K653=LedAcct,AND(LedAcct=acctTax,M653+N653&lt;&gt;0))),E653*10000+B653,""),"")</f>
        <v/>
      </c>
    </row>
    <row r="654">
      <c r="B654" s="101" t="n">
        <v>648</v>
      </c>
      <c r="C654" s="58" t="inlineStr">
        <is>
          <t>Transaction</t>
        </is>
      </c>
      <c r="D654" s="58">
        <f>IF(H654=1,INDEX(tx_ID,648)&amp;"","")</f>
        <v/>
      </c>
      <c r="E654" s="94">
        <f>IF(H654=1,INDEX(tx_Date,648),"")</f>
        <v/>
      </c>
      <c r="F654" s="58">
        <f>IF(H654=1,INDEX(tx_Desc,648)&amp;"","")</f>
        <v/>
      </c>
      <c r="G654" s="58">
        <f>IF(H654=1,IF(INDEX(tx_Cust,648)&amp;""&lt;&gt;"",INDEX(tx_Cust,648)&amp;"",INDEX(tx_Vend,648)&amp;""),"")</f>
        <v/>
      </c>
      <c r="H654" s="101">
        <f>IFERROR(N(INDEX(tx_Posted,648)),0)</f>
        <v/>
      </c>
      <c r="I654" s="58">
        <f>IF(H654=1,INDEX(tx_DrAcct,648)&amp;"","")</f>
        <v/>
      </c>
      <c r="J654" s="95">
        <f>IF(H654=1,INDEX(tx_DrAmt,648),0)</f>
        <v/>
      </c>
      <c r="K654" s="58">
        <f>IF(H654=1,INDEX(tx_CrAcct,648)&amp;"","")</f>
        <v/>
      </c>
      <c r="L654" s="95">
        <f>IF(H654=1,INDEX(tx_CrAmt,648),0)</f>
        <v/>
      </c>
      <c r="M654" s="95">
        <f>IF(H654=1,INDEX(tx_TaxDr,648),0)</f>
        <v/>
      </c>
      <c r="N654" s="95">
        <f>IF(H654=1,INDEX(tx_TaxCr,648),0)</f>
        <v/>
      </c>
      <c r="O654" s="101">
        <f>IF(H654=1,IF(E654&lt;FYStart,0,IF(E654&gt;FYEnd,13,YEAR(E654)*12+MONTH(E654)-FYYM+1)),"")</f>
        <v/>
      </c>
      <c r="P654" s="101">
        <f>IF(H654=1,IF(IFERROR(INDEX(coa_CF,MATCH(I654,coa_Name,0)),"")="Cash",1,0),0)</f>
        <v/>
      </c>
      <c r="Q654" s="101">
        <f>IF(H654=1,IF(IFERROR(INDEX(coa_CF,MATCH(K654,coa_Name,0)),"")="Cash",1,0),0)</f>
        <v/>
      </c>
      <c r="R654" s="58">
        <f>IF((P654-Q654)=0,"",IFERROR(INDEX(coa_CF,MATCH(IF((P654-Q654)=1,K654,I654),coa_Name,0)),"Operating"))</f>
        <v/>
      </c>
      <c r="S654" s="95">
        <f>IF((P654-Q654)=1,L654,IF((P654-Q654)=-1,-J654,0))</f>
        <v/>
      </c>
      <c r="T654" s="95">
        <f>IF((P654-Q654)=1,N654,IF((P654-Q654)=-1,-M654,0))</f>
        <v/>
      </c>
      <c r="U654" s="101">
        <f>IF(AND(H654=1,LedAcct&lt;&gt;""),IF(AND(E654&gt;=LedFrom,E654&lt;=LedTo,OR(I654=LedAcct,K654=LedAcct,AND(LedAcct=acctTax,M654+N654&lt;&gt;0))),E654*10000+B654,""),"")</f>
        <v/>
      </c>
    </row>
    <row r="655">
      <c r="B655" s="101" t="n">
        <v>649</v>
      </c>
      <c r="C655" s="58" t="inlineStr">
        <is>
          <t>Transaction</t>
        </is>
      </c>
      <c r="D655" s="58">
        <f>IF(H655=1,INDEX(tx_ID,649)&amp;"","")</f>
        <v/>
      </c>
      <c r="E655" s="94">
        <f>IF(H655=1,INDEX(tx_Date,649),"")</f>
        <v/>
      </c>
      <c r="F655" s="58">
        <f>IF(H655=1,INDEX(tx_Desc,649)&amp;"","")</f>
        <v/>
      </c>
      <c r="G655" s="58">
        <f>IF(H655=1,IF(INDEX(tx_Cust,649)&amp;""&lt;&gt;"",INDEX(tx_Cust,649)&amp;"",INDEX(tx_Vend,649)&amp;""),"")</f>
        <v/>
      </c>
      <c r="H655" s="101">
        <f>IFERROR(N(INDEX(tx_Posted,649)),0)</f>
        <v/>
      </c>
      <c r="I655" s="58">
        <f>IF(H655=1,INDEX(tx_DrAcct,649)&amp;"","")</f>
        <v/>
      </c>
      <c r="J655" s="95">
        <f>IF(H655=1,INDEX(tx_DrAmt,649),0)</f>
        <v/>
      </c>
      <c r="K655" s="58">
        <f>IF(H655=1,INDEX(tx_CrAcct,649)&amp;"","")</f>
        <v/>
      </c>
      <c r="L655" s="95">
        <f>IF(H655=1,INDEX(tx_CrAmt,649),0)</f>
        <v/>
      </c>
      <c r="M655" s="95">
        <f>IF(H655=1,INDEX(tx_TaxDr,649),0)</f>
        <v/>
      </c>
      <c r="N655" s="95">
        <f>IF(H655=1,INDEX(tx_TaxCr,649),0)</f>
        <v/>
      </c>
      <c r="O655" s="101">
        <f>IF(H655=1,IF(E655&lt;FYStart,0,IF(E655&gt;FYEnd,13,YEAR(E655)*12+MONTH(E655)-FYYM+1)),"")</f>
        <v/>
      </c>
      <c r="P655" s="101">
        <f>IF(H655=1,IF(IFERROR(INDEX(coa_CF,MATCH(I655,coa_Name,0)),"")="Cash",1,0),0)</f>
        <v/>
      </c>
      <c r="Q655" s="101">
        <f>IF(H655=1,IF(IFERROR(INDEX(coa_CF,MATCH(K655,coa_Name,0)),"")="Cash",1,0),0)</f>
        <v/>
      </c>
      <c r="R655" s="58">
        <f>IF((P655-Q655)=0,"",IFERROR(INDEX(coa_CF,MATCH(IF((P655-Q655)=1,K655,I655),coa_Name,0)),"Operating"))</f>
        <v/>
      </c>
      <c r="S655" s="95">
        <f>IF((P655-Q655)=1,L655,IF((P655-Q655)=-1,-J655,0))</f>
        <v/>
      </c>
      <c r="T655" s="95">
        <f>IF((P655-Q655)=1,N655,IF((P655-Q655)=-1,-M655,0))</f>
        <v/>
      </c>
      <c r="U655" s="101">
        <f>IF(AND(H655=1,LedAcct&lt;&gt;""),IF(AND(E655&gt;=LedFrom,E655&lt;=LedTo,OR(I655=LedAcct,K655=LedAcct,AND(LedAcct=acctTax,M655+N655&lt;&gt;0))),E655*10000+B655,""),"")</f>
        <v/>
      </c>
    </row>
    <row r="656">
      <c r="B656" s="101" t="n">
        <v>650</v>
      </c>
      <c r="C656" s="58" t="inlineStr">
        <is>
          <t>Transaction</t>
        </is>
      </c>
      <c r="D656" s="58">
        <f>IF(H656=1,INDEX(tx_ID,650)&amp;"","")</f>
        <v/>
      </c>
      <c r="E656" s="94">
        <f>IF(H656=1,INDEX(tx_Date,650),"")</f>
        <v/>
      </c>
      <c r="F656" s="58">
        <f>IF(H656=1,INDEX(tx_Desc,650)&amp;"","")</f>
        <v/>
      </c>
      <c r="G656" s="58">
        <f>IF(H656=1,IF(INDEX(tx_Cust,650)&amp;""&lt;&gt;"",INDEX(tx_Cust,650)&amp;"",INDEX(tx_Vend,650)&amp;""),"")</f>
        <v/>
      </c>
      <c r="H656" s="101">
        <f>IFERROR(N(INDEX(tx_Posted,650)),0)</f>
        <v/>
      </c>
      <c r="I656" s="58">
        <f>IF(H656=1,INDEX(tx_DrAcct,650)&amp;"","")</f>
        <v/>
      </c>
      <c r="J656" s="95">
        <f>IF(H656=1,INDEX(tx_DrAmt,650),0)</f>
        <v/>
      </c>
      <c r="K656" s="58">
        <f>IF(H656=1,INDEX(tx_CrAcct,650)&amp;"","")</f>
        <v/>
      </c>
      <c r="L656" s="95">
        <f>IF(H656=1,INDEX(tx_CrAmt,650),0)</f>
        <v/>
      </c>
      <c r="M656" s="95">
        <f>IF(H656=1,INDEX(tx_TaxDr,650),0)</f>
        <v/>
      </c>
      <c r="N656" s="95">
        <f>IF(H656=1,INDEX(tx_TaxCr,650),0)</f>
        <v/>
      </c>
      <c r="O656" s="101">
        <f>IF(H656=1,IF(E656&lt;FYStart,0,IF(E656&gt;FYEnd,13,YEAR(E656)*12+MONTH(E656)-FYYM+1)),"")</f>
        <v/>
      </c>
      <c r="P656" s="101">
        <f>IF(H656=1,IF(IFERROR(INDEX(coa_CF,MATCH(I656,coa_Name,0)),"")="Cash",1,0),0)</f>
        <v/>
      </c>
      <c r="Q656" s="101">
        <f>IF(H656=1,IF(IFERROR(INDEX(coa_CF,MATCH(K656,coa_Name,0)),"")="Cash",1,0),0)</f>
        <v/>
      </c>
      <c r="R656" s="58">
        <f>IF((P656-Q656)=0,"",IFERROR(INDEX(coa_CF,MATCH(IF((P656-Q656)=1,K656,I656),coa_Name,0)),"Operating"))</f>
        <v/>
      </c>
      <c r="S656" s="95">
        <f>IF((P656-Q656)=1,L656,IF((P656-Q656)=-1,-J656,0))</f>
        <v/>
      </c>
      <c r="T656" s="95">
        <f>IF((P656-Q656)=1,N656,IF((P656-Q656)=-1,-M656,0))</f>
        <v/>
      </c>
      <c r="U656" s="101">
        <f>IF(AND(H656=1,LedAcct&lt;&gt;""),IF(AND(E656&gt;=LedFrom,E656&lt;=LedTo,OR(I656=LedAcct,K656=LedAcct,AND(LedAcct=acctTax,M656+N656&lt;&gt;0))),E656*10000+B656,""),"")</f>
        <v/>
      </c>
    </row>
    <row r="657">
      <c r="B657" s="101" t="n">
        <v>651</v>
      </c>
      <c r="C657" s="58" t="inlineStr">
        <is>
          <t>Transaction</t>
        </is>
      </c>
      <c r="D657" s="58">
        <f>IF(H657=1,INDEX(tx_ID,651)&amp;"","")</f>
        <v/>
      </c>
      <c r="E657" s="94">
        <f>IF(H657=1,INDEX(tx_Date,651),"")</f>
        <v/>
      </c>
      <c r="F657" s="58">
        <f>IF(H657=1,INDEX(tx_Desc,651)&amp;"","")</f>
        <v/>
      </c>
      <c r="G657" s="58">
        <f>IF(H657=1,IF(INDEX(tx_Cust,651)&amp;""&lt;&gt;"",INDEX(tx_Cust,651)&amp;"",INDEX(tx_Vend,651)&amp;""),"")</f>
        <v/>
      </c>
      <c r="H657" s="101">
        <f>IFERROR(N(INDEX(tx_Posted,651)),0)</f>
        <v/>
      </c>
      <c r="I657" s="58">
        <f>IF(H657=1,INDEX(tx_DrAcct,651)&amp;"","")</f>
        <v/>
      </c>
      <c r="J657" s="95">
        <f>IF(H657=1,INDEX(tx_DrAmt,651),0)</f>
        <v/>
      </c>
      <c r="K657" s="58">
        <f>IF(H657=1,INDEX(tx_CrAcct,651)&amp;"","")</f>
        <v/>
      </c>
      <c r="L657" s="95">
        <f>IF(H657=1,INDEX(tx_CrAmt,651),0)</f>
        <v/>
      </c>
      <c r="M657" s="95">
        <f>IF(H657=1,INDEX(tx_TaxDr,651),0)</f>
        <v/>
      </c>
      <c r="N657" s="95">
        <f>IF(H657=1,INDEX(tx_TaxCr,651),0)</f>
        <v/>
      </c>
      <c r="O657" s="101">
        <f>IF(H657=1,IF(E657&lt;FYStart,0,IF(E657&gt;FYEnd,13,YEAR(E657)*12+MONTH(E657)-FYYM+1)),"")</f>
        <v/>
      </c>
      <c r="P657" s="101">
        <f>IF(H657=1,IF(IFERROR(INDEX(coa_CF,MATCH(I657,coa_Name,0)),"")="Cash",1,0),0)</f>
        <v/>
      </c>
      <c r="Q657" s="101">
        <f>IF(H657=1,IF(IFERROR(INDEX(coa_CF,MATCH(K657,coa_Name,0)),"")="Cash",1,0),0)</f>
        <v/>
      </c>
      <c r="R657" s="58">
        <f>IF((P657-Q657)=0,"",IFERROR(INDEX(coa_CF,MATCH(IF((P657-Q657)=1,K657,I657),coa_Name,0)),"Operating"))</f>
        <v/>
      </c>
      <c r="S657" s="95">
        <f>IF((P657-Q657)=1,L657,IF((P657-Q657)=-1,-J657,0))</f>
        <v/>
      </c>
      <c r="T657" s="95">
        <f>IF((P657-Q657)=1,N657,IF((P657-Q657)=-1,-M657,0))</f>
        <v/>
      </c>
      <c r="U657" s="101">
        <f>IF(AND(H657=1,LedAcct&lt;&gt;""),IF(AND(E657&gt;=LedFrom,E657&lt;=LedTo,OR(I657=LedAcct,K657=LedAcct,AND(LedAcct=acctTax,M657+N657&lt;&gt;0))),E657*10000+B657,""),"")</f>
        <v/>
      </c>
    </row>
    <row r="658">
      <c r="B658" s="101" t="n">
        <v>652</v>
      </c>
      <c r="C658" s="58" t="inlineStr">
        <is>
          <t>Transaction</t>
        </is>
      </c>
      <c r="D658" s="58">
        <f>IF(H658=1,INDEX(tx_ID,652)&amp;"","")</f>
        <v/>
      </c>
      <c r="E658" s="94">
        <f>IF(H658=1,INDEX(tx_Date,652),"")</f>
        <v/>
      </c>
      <c r="F658" s="58">
        <f>IF(H658=1,INDEX(tx_Desc,652)&amp;"","")</f>
        <v/>
      </c>
      <c r="G658" s="58">
        <f>IF(H658=1,IF(INDEX(tx_Cust,652)&amp;""&lt;&gt;"",INDEX(tx_Cust,652)&amp;"",INDEX(tx_Vend,652)&amp;""),"")</f>
        <v/>
      </c>
      <c r="H658" s="101">
        <f>IFERROR(N(INDEX(tx_Posted,652)),0)</f>
        <v/>
      </c>
      <c r="I658" s="58">
        <f>IF(H658=1,INDEX(tx_DrAcct,652)&amp;"","")</f>
        <v/>
      </c>
      <c r="J658" s="95">
        <f>IF(H658=1,INDEX(tx_DrAmt,652),0)</f>
        <v/>
      </c>
      <c r="K658" s="58">
        <f>IF(H658=1,INDEX(tx_CrAcct,652)&amp;"","")</f>
        <v/>
      </c>
      <c r="L658" s="95">
        <f>IF(H658=1,INDEX(tx_CrAmt,652),0)</f>
        <v/>
      </c>
      <c r="M658" s="95">
        <f>IF(H658=1,INDEX(tx_TaxDr,652),0)</f>
        <v/>
      </c>
      <c r="N658" s="95">
        <f>IF(H658=1,INDEX(tx_TaxCr,652),0)</f>
        <v/>
      </c>
      <c r="O658" s="101">
        <f>IF(H658=1,IF(E658&lt;FYStart,0,IF(E658&gt;FYEnd,13,YEAR(E658)*12+MONTH(E658)-FYYM+1)),"")</f>
        <v/>
      </c>
      <c r="P658" s="101">
        <f>IF(H658=1,IF(IFERROR(INDEX(coa_CF,MATCH(I658,coa_Name,0)),"")="Cash",1,0),0)</f>
        <v/>
      </c>
      <c r="Q658" s="101">
        <f>IF(H658=1,IF(IFERROR(INDEX(coa_CF,MATCH(K658,coa_Name,0)),"")="Cash",1,0),0)</f>
        <v/>
      </c>
      <c r="R658" s="58">
        <f>IF((P658-Q658)=0,"",IFERROR(INDEX(coa_CF,MATCH(IF((P658-Q658)=1,K658,I658),coa_Name,0)),"Operating"))</f>
        <v/>
      </c>
      <c r="S658" s="95">
        <f>IF((P658-Q658)=1,L658,IF((P658-Q658)=-1,-J658,0))</f>
        <v/>
      </c>
      <c r="T658" s="95">
        <f>IF((P658-Q658)=1,N658,IF((P658-Q658)=-1,-M658,0))</f>
        <v/>
      </c>
      <c r="U658" s="101">
        <f>IF(AND(H658=1,LedAcct&lt;&gt;""),IF(AND(E658&gt;=LedFrom,E658&lt;=LedTo,OR(I658=LedAcct,K658=LedAcct,AND(LedAcct=acctTax,M658+N658&lt;&gt;0))),E658*10000+B658,""),"")</f>
        <v/>
      </c>
    </row>
    <row r="659">
      <c r="B659" s="101" t="n">
        <v>653</v>
      </c>
      <c r="C659" s="58" t="inlineStr">
        <is>
          <t>Transaction</t>
        </is>
      </c>
      <c r="D659" s="58">
        <f>IF(H659=1,INDEX(tx_ID,653)&amp;"","")</f>
        <v/>
      </c>
      <c r="E659" s="94">
        <f>IF(H659=1,INDEX(tx_Date,653),"")</f>
        <v/>
      </c>
      <c r="F659" s="58">
        <f>IF(H659=1,INDEX(tx_Desc,653)&amp;"","")</f>
        <v/>
      </c>
      <c r="G659" s="58">
        <f>IF(H659=1,IF(INDEX(tx_Cust,653)&amp;""&lt;&gt;"",INDEX(tx_Cust,653)&amp;"",INDEX(tx_Vend,653)&amp;""),"")</f>
        <v/>
      </c>
      <c r="H659" s="101">
        <f>IFERROR(N(INDEX(tx_Posted,653)),0)</f>
        <v/>
      </c>
      <c r="I659" s="58">
        <f>IF(H659=1,INDEX(tx_DrAcct,653)&amp;"","")</f>
        <v/>
      </c>
      <c r="J659" s="95">
        <f>IF(H659=1,INDEX(tx_DrAmt,653),0)</f>
        <v/>
      </c>
      <c r="K659" s="58">
        <f>IF(H659=1,INDEX(tx_CrAcct,653)&amp;"","")</f>
        <v/>
      </c>
      <c r="L659" s="95">
        <f>IF(H659=1,INDEX(tx_CrAmt,653),0)</f>
        <v/>
      </c>
      <c r="M659" s="95">
        <f>IF(H659=1,INDEX(tx_TaxDr,653),0)</f>
        <v/>
      </c>
      <c r="N659" s="95">
        <f>IF(H659=1,INDEX(tx_TaxCr,653),0)</f>
        <v/>
      </c>
      <c r="O659" s="101">
        <f>IF(H659=1,IF(E659&lt;FYStart,0,IF(E659&gt;FYEnd,13,YEAR(E659)*12+MONTH(E659)-FYYM+1)),"")</f>
        <v/>
      </c>
      <c r="P659" s="101">
        <f>IF(H659=1,IF(IFERROR(INDEX(coa_CF,MATCH(I659,coa_Name,0)),"")="Cash",1,0),0)</f>
        <v/>
      </c>
      <c r="Q659" s="101">
        <f>IF(H659=1,IF(IFERROR(INDEX(coa_CF,MATCH(K659,coa_Name,0)),"")="Cash",1,0),0)</f>
        <v/>
      </c>
      <c r="R659" s="58">
        <f>IF((P659-Q659)=0,"",IFERROR(INDEX(coa_CF,MATCH(IF((P659-Q659)=1,K659,I659),coa_Name,0)),"Operating"))</f>
        <v/>
      </c>
      <c r="S659" s="95">
        <f>IF((P659-Q659)=1,L659,IF((P659-Q659)=-1,-J659,0))</f>
        <v/>
      </c>
      <c r="T659" s="95">
        <f>IF((P659-Q659)=1,N659,IF((P659-Q659)=-1,-M659,0))</f>
        <v/>
      </c>
      <c r="U659" s="101">
        <f>IF(AND(H659=1,LedAcct&lt;&gt;""),IF(AND(E659&gt;=LedFrom,E659&lt;=LedTo,OR(I659=LedAcct,K659=LedAcct,AND(LedAcct=acctTax,M659+N659&lt;&gt;0))),E659*10000+B659,""),"")</f>
        <v/>
      </c>
    </row>
    <row r="660">
      <c r="B660" s="101" t="n">
        <v>654</v>
      </c>
      <c r="C660" s="58" t="inlineStr">
        <is>
          <t>Transaction</t>
        </is>
      </c>
      <c r="D660" s="58">
        <f>IF(H660=1,INDEX(tx_ID,654)&amp;"","")</f>
        <v/>
      </c>
      <c r="E660" s="94">
        <f>IF(H660=1,INDEX(tx_Date,654),"")</f>
        <v/>
      </c>
      <c r="F660" s="58">
        <f>IF(H660=1,INDEX(tx_Desc,654)&amp;"","")</f>
        <v/>
      </c>
      <c r="G660" s="58">
        <f>IF(H660=1,IF(INDEX(tx_Cust,654)&amp;""&lt;&gt;"",INDEX(tx_Cust,654)&amp;"",INDEX(tx_Vend,654)&amp;""),"")</f>
        <v/>
      </c>
      <c r="H660" s="101">
        <f>IFERROR(N(INDEX(tx_Posted,654)),0)</f>
        <v/>
      </c>
      <c r="I660" s="58">
        <f>IF(H660=1,INDEX(tx_DrAcct,654)&amp;"","")</f>
        <v/>
      </c>
      <c r="J660" s="95">
        <f>IF(H660=1,INDEX(tx_DrAmt,654),0)</f>
        <v/>
      </c>
      <c r="K660" s="58">
        <f>IF(H660=1,INDEX(tx_CrAcct,654)&amp;"","")</f>
        <v/>
      </c>
      <c r="L660" s="95">
        <f>IF(H660=1,INDEX(tx_CrAmt,654),0)</f>
        <v/>
      </c>
      <c r="M660" s="95">
        <f>IF(H660=1,INDEX(tx_TaxDr,654),0)</f>
        <v/>
      </c>
      <c r="N660" s="95">
        <f>IF(H660=1,INDEX(tx_TaxCr,654),0)</f>
        <v/>
      </c>
      <c r="O660" s="101">
        <f>IF(H660=1,IF(E660&lt;FYStart,0,IF(E660&gt;FYEnd,13,YEAR(E660)*12+MONTH(E660)-FYYM+1)),"")</f>
        <v/>
      </c>
      <c r="P660" s="101">
        <f>IF(H660=1,IF(IFERROR(INDEX(coa_CF,MATCH(I660,coa_Name,0)),"")="Cash",1,0),0)</f>
        <v/>
      </c>
      <c r="Q660" s="101">
        <f>IF(H660=1,IF(IFERROR(INDEX(coa_CF,MATCH(K660,coa_Name,0)),"")="Cash",1,0),0)</f>
        <v/>
      </c>
      <c r="R660" s="58">
        <f>IF((P660-Q660)=0,"",IFERROR(INDEX(coa_CF,MATCH(IF((P660-Q660)=1,K660,I660),coa_Name,0)),"Operating"))</f>
        <v/>
      </c>
      <c r="S660" s="95">
        <f>IF((P660-Q660)=1,L660,IF((P660-Q660)=-1,-J660,0))</f>
        <v/>
      </c>
      <c r="T660" s="95">
        <f>IF((P660-Q660)=1,N660,IF((P660-Q660)=-1,-M660,0))</f>
        <v/>
      </c>
      <c r="U660" s="101">
        <f>IF(AND(H660=1,LedAcct&lt;&gt;""),IF(AND(E660&gt;=LedFrom,E660&lt;=LedTo,OR(I660=LedAcct,K660=LedAcct,AND(LedAcct=acctTax,M660+N660&lt;&gt;0))),E660*10000+B660,""),"")</f>
        <v/>
      </c>
    </row>
    <row r="661">
      <c r="B661" s="101" t="n">
        <v>655</v>
      </c>
      <c r="C661" s="58" t="inlineStr">
        <is>
          <t>Transaction</t>
        </is>
      </c>
      <c r="D661" s="58">
        <f>IF(H661=1,INDEX(tx_ID,655)&amp;"","")</f>
        <v/>
      </c>
      <c r="E661" s="94">
        <f>IF(H661=1,INDEX(tx_Date,655),"")</f>
        <v/>
      </c>
      <c r="F661" s="58">
        <f>IF(H661=1,INDEX(tx_Desc,655)&amp;"","")</f>
        <v/>
      </c>
      <c r="G661" s="58">
        <f>IF(H661=1,IF(INDEX(tx_Cust,655)&amp;""&lt;&gt;"",INDEX(tx_Cust,655)&amp;"",INDEX(tx_Vend,655)&amp;""),"")</f>
        <v/>
      </c>
      <c r="H661" s="101">
        <f>IFERROR(N(INDEX(tx_Posted,655)),0)</f>
        <v/>
      </c>
      <c r="I661" s="58">
        <f>IF(H661=1,INDEX(tx_DrAcct,655)&amp;"","")</f>
        <v/>
      </c>
      <c r="J661" s="95">
        <f>IF(H661=1,INDEX(tx_DrAmt,655),0)</f>
        <v/>
      </c>
      <c r="K661" s="58">
        <f>IF(H661=1,INDEX(tx_CrAcct,655)&amp;"","")</f>
        <v/>
      </c>
      <c r="L661" s="95">
        <f>IF(H661=1,INDEX(tx_CrAmt,655),0)</f>
        <v/>
      </c>
      <c r="M661" s="95">
        <f>IF(H661=1,INDEX(tx_TaxDr,655),0)</f>
        <v/>
      </c>
      <c r="N661" s="95">
        <f>IF(H661=1,INDEX(tx_TaxCr,655),0)</f>
        <v/>
      </c>
      <c r="O661" s="101">
        <f>IF(H661=1,IF(E661&lt;FYStart,0,IF(E661&gt;FYEnd,13,YEAR(E661)*12+MONTH(E661)-FYYM+1)),"")</f>
        <v/>
      </c>
      <c r="P661" s="101">
        <f>IF(H661=1,IF(IFERROR(INDEX(coa_CF,MATCH(I661,coa_Name,0)),"")="Cash",1,0),0)</f>
        <v/>
      </c>
      <c r="Q661" s="101">
        <f>IF(H661=1,IF(IFERROR(INDEX(coa_CF,MATCH(K661,coa_Name,0)),"")="Cash",1,0),0)</f>
        <v/>
      </c>
      <c r="R661" s="58">
        <f>IF((P661-Q661)=0,"",IFERROR(INDEX(coa_CF,MATCH(IF((P661-Q661)=1,K661,I661),coa_Name,0)),"Operating"))</f>
        <v/>
      </c>
      <c r="S661" s="95">
        <f>IF((P661-Q661)=1,L661,IF((P661-Q661)=-1,-J661,0))</f>
        <v/>
      </c>
      <c r="T661" s="95">
        <f>IF((P661-Q661)=1,N661,IF((P661-Q661)=-1,-M661,0))</f>
        <v/>
      </c>
      <c r="U661" s="101">
        <f>IF(AND(H661=1,LedAcct&lt;&gt;""),IF(AND(E661&gt;=LedFrom,E661&lt;=LedTo,OR(I661=LedAcct,K661=LedAcct,AND(LedAcct=acctTax,M661+N661&lt;&gt;0))),E661*10000+B661,""),"")</f>
        <v/>
      </c>
    </row>
    <row r="662">
      <c r="B662" s="101" t="n">
        <v>656</v>
      </c>
      <c r="C662" s="58" t="inlineStr">
        <is>
          <t>Transaction</t>
        </is>
      </c>
      <c r="D662" s="58">
        <f>IF(H662=1,INDEX(tx_ID,656)&amp;"","")</f>
        <v/>
      </c>
      <c r="E662" s="94">
        <f>IF(H662=1,INDEX(tx_Date,656),"")</f>
        <v/>
      </c>
      <c r="F662" s="58">
        <f>IF(H662=1,INDEX(tx_Desc,656)&amp;"","")</f>
        <v/>
      </c>
      <c r="G662" s="58">
        <f>IF(H662=1,IF(INDEX(tx_Cust,656)&amp;""&lt;&gt;"",INDEX(tx_Cust,656)&amp;"",INDEX(tx_Vend,656)&amp;""),"")</f>
        <v/>
      </c>
      <c r="H662" s="101">
        <f>IFERROR(N(INDEX(tx_Posted,656)),0)</f>
        <v/>
      </c>
      <c r="I662" s="58">
        <f>IF(H662=1,INDEX(tx_DrAcct,656)&amp;"","")</f>
        <v/>
      </c>
      <c r="J662" s="95">
        <f>IF(H662=1,INDEX(tx_DrAmt,656),0)</f>
        <v/>
      </c>
      <c r="K662" s="58">
        <f>IF(H662=1,INDEX(tx_CrAcct,656)&amp;"","")</f>
        <v/>
      </c>
      <c r="L662" s="95">
        <f>IF(H662=1,INDEX(tx_CrAmt,656),0)</f>
        <v/>
      </c>
      <c r="M662" s="95">
        <f>IF(H662=1,INDEX(tx_TaxDr,656),0)</f>
        <v/>
      </c>
      <c r="N662" s="95">
        <f>IF(H662=1,INDEX(tx_TaxCr,656),0)</f>
        <v/>
      </c>
      <c r="O662" s="101">
        <f>IF(H662=1,IF(E662&lt;FYStart,0,IF(E662&gt;FYEnd,13,YEAR(E662)*12+MONTH(E662)-FYYM+1)),"")</f>
        <v/>
      </c>
      <c r="P662" s="101">
        <f>IF(H662=1,IF(IFERROR(INDEX(coa_CF,MATCH(I662,coa_Name,0)),"")="Cash",1,0),0)</f>
        <v/>
      </c>
      <c r="Q662" s="101">
        <f>IF(H662=1,IF(IFERROR(INDEX(coa_CF,MATCH(K662,coa_Name,0)),"")="Cash",1,0),0)</f>
        <v/>
      </c>
      <c r="R662" s="58">
        <f>IF((P662-Q662)=0,"",IFERROR(INDEX(coa_CF,MATCH(IF((P662-Q662)=1,K662,I662),coa_Name,0)),"Operating"))</f>
        <v/>
      </c>
      <c r="S662" s="95">
        <f>IF((P662-Q662)=1,L662,IF((P662-Q662)=-1,-J662,0))</f>
        <v/>
      </c>
      <c r="T662" s="95">
        <f>IF((P662-Q662)=1,N662,IF((P662-Q662)=-1,-M662,0))</f>
        <v/>
      </c>
      <c r="U662" s="101">
        <f>IF(AND(H662=1,LedAcct&lt;&gt;""),IF(AND(E662&gt;=LedFrom,E662&lt;=LedTo,OR(I662=LedAcct,K662=LedAcct,AND(LedAcct=acctTax,M662+N662&lt;&gt;0))),E662*10000+B662,""),"")</f>
        <v/>
      </c>
    </row>
    <row r="663">
      <c r="B663" s="101" t="n">
        <v>657</v>
      </c>
      <c r="C663" s="58" t="inlineStr">
        <is>
          <t>Transaction</t>
        </is>
      </c>
      <c r="D663" s="58">
        <f>IF(H663=1,INDEX(tx_ID,657)&amp;"","")</f>
        <v/>
      </c>
      <c r="E663" s="94">
        <f>IF(H663=1,INDEX(tx_Date,657),"")</f>
        <v/>
      </c>
      <c r="F663" s="58">
        <f>IF(H663=1,INDEX(tx_Desc,657)&amp;"","")</f>
        <v/>
      </c>
      <c r="G663" s="58">
        <f>IF(H663=1,IF(INDEX(tx_Cust,657)&amp;""&lt;&gt;"",INDEX(tx_Cust,657)&amp;"",INDEX(tx_Vend,657)&amp;""),"")</f>
        <v/>
      </c>
      <c r="H663" s="101">
        <f>IFERROR(N(INDEX(tx_Posted,657)),0)</f>
        <v/>
      </c>
      <c r="I663" s="58">
        <f>IF(H663=1,INDEX(tx_DrAcct,657)&amp;"","")</f>
        <v/>
      </c>
      <c r="J663" s="95">
        <f>IF(H663=1,INDEX(tx_DrAmt,657),0)</f>
        <v/>
      </c>
      <c r="K663" s="58">
        <f>IF(H663=1,INDEX(tx_CrAcct,657)&amp;"","")</f>
        <v/>
      </c>
      <c r="L663" s="95">
        <f>IF(H663=1,INDEX(tx_CrAmt,657),0)</f>
        <v/>
      </c>
      <c r="M663" s="95">
        <f>IF(H663=1,INDEX(tx_TaxDr,657),0)</f>
        <v/>
      </c>
      <c r="N663" s="95">
        <f>IF(H663=1,INDEX(tx_TaxCr,657),0)</f>
        <v/>
      </c>
      <c r="O663" s="101">
        <f>IF(H663=1,IF(E663&lt;FYStart,0,IF(E663&gt;FYEnd,13,YEAR(E663)*12+MONTH(E663)-FYYM+1)),"")</f>
        <v/>
      </c>
      <c r="P663" s="101">
        <f>IF(H663=1,IF(IFERROR(INDEX(coa_CF,MATCH(I663,coa_Name,0)),"")="Cash",1,0),0)</f>
        <v/>
      </c>
      <c r="Q663" s="101">
        <f>IF(H663=1,IF(IFERROR(INDEX(coa_CF,MATCH(K663,coa_Name,0)),"")="Cash",1,0),0)</f>
        <v/>
      </c>
      <c r="R663" s="58">
        <f>IF((P663-Q663)=0,"",IFERROR(INDEX(coa_CF,MATCH(IF((P663-Q663)=1,K663,I663),coa_Name,0)),"Operating"))</f>
        <v/>
      </c>
      <c r="S663" s="95">
        <f>IF((P663-Q663)=1,L663,IF((P663-Q663)=-1,-J663,0))</f>
        <v/>
      </c>
      <c r="T663" s="95">
        <f>IF((P663-Q663)=1,N663,IF((P663-Q663)=-1,-M663,0))</f>
        <v/>
      </c>
      <c r="U663" s="101">
        <f>IF(AND(H663=1,LedAcct&lt;&gt;""),IF(AND(E663&gt;=LedFrom,E663&lt;=LedTo,OR(I663=LedAcct,K663=LedAcct,AND(LedAcct=acctTax,M663+N663&lt;&gt;0))),E663*10000+B663,""),"")</f>
        <v/>
      </c>
    </row>
    <row r="664">
      <c r="B664" s="101" t="n">
        <v>658</v>
      </c>
      <c r="C664" s="58" t="inlineStr">
        <is>
          <t>Transaction</t>
        </is>
      </c>
      <c r="D664" s="58">
        <f>IF(H664=1,INDEX(tx_ID,658)&amp;"","")</f>
        <v/>
      </c>
      <c r="E664" s="94">
        <f>IF(H664=1,INDEX(tx_Date,658),"")</f>
        <v/>
      </c>
      <c r="F664" s="58">
        <f>IF(H664=1,INDEX(tx_Desc,658)&amp;"","")</f>
        <v/>
      </c>
      <c r="G664" s="58">
        <f>IF(H664=1,IF(INDEX(tx_Cust,658)&amp;""&lt;&gt;"",INDEX(tx_Cust,658)&amp;"",INDEX(tx_Vend,658)&amp;""),"")</f>
        <v/>
      </c>
      <c r="H664" s="101">
        <f>IFERROR(N(INDEX(tx_Posted,658)),0)</f>
        <v/>
      </c>
      <c r="I664" s="58">
        <f>IF(H664=1,INDEX(tx_DrAcct,658)&amp;"","")</f>
        <v/>
      </c>
      <c r="J664" s="95">
        <f>IF(H664=1,INDEX(tx_DrAmt,658),0)</f>
        <v/>
      </c>
      <c r="K664" s="58">
        <f>IF(H664=1,INDEX(tx_CrAcct,658)&amp;"","")</f>
        <v/>
      </c>
      <c r="L664" s="95">
        <f>IF(H664=1,INDEX(tx_CrAmt,658),0)</f>
        <v/>
      </c>
      <c r="M664" s="95">
        <f>IF(H664=1,INDEX(tx_TaxDr,658),0)</f>
        <v/>
      </c>
      <c r="N664" s="95">
        <f>IF(H664=1,INDEX(tx_TaxCr,658),0)</f>
        <v/>
      </c>
      <c r="O664" s="101">
        <f>IF(H664=1,IF(E664&lt;FYStart,0,IF(E664&gt;FYEnd,13,YEAR(E664)*12+MONTH(E664)-FYYM+1)),"")</f>
        <v/>
      </c>
      <c r="P664" s="101">
        <f>IF(H664=1,IF(IFERROR(INDEX(coa_CF,MATCH(I664,coa_Name,0)),"")="Cash",1,0),0)</f>
        <v/>
      </c>
      <c r="Q664" s="101">
        <f>IF(H664=1,IF(IFERROR(INDEX(coa_CF,MATCH(K664,coa_Name,0)),"")="Cash",1,0),0)</f>
        <v/>
      </c>
      <c r="R664" s="58">
        <f>IF((P664-Q664)=0,"",IFERROR(INDEX(coa_CF,MATCH(IF((P664-Q664)=1,K664,I664),coa_Name,0)),"Operating"))</f>
        <v/>
      </c>
      <c r="S664" s="95">
        <f>IF((P664-Q664)=1,L664,IF((P664-Q664)=-1,-J664,0))</f>
        <v/>
      </c>
      <c r="T664" s="95">
        <f>IF((P664-Q664)=1,N664,IF((P664-Q664)=-1,-M664,0))</f>
        <v/>
      </c>
      <c r="U664" s="101">
        <f>IF(AND(H664=1,LedAcct&lt;&gt;""),IF(AND(E664&gt;=LedFrom,E664&lt;=LedTo,OR(I664=LedAcct,K664=LedAcct,AND(LedAcct=acctTax,M664+N664&lt;&gt;0))),E664*10000+B664,""),"")</f>
        <v/>
      </c>
    </row>
    <row r="665">
      <c r="B665" s="101" t="n">
        <v>659</v>
      </c>
      <c r="C665" s="58" t="inlineStr">
        <is>
          <t>Transaction</t>
        </is>
      </c>
      <c r="D665" s="58">
        <f>IF(H665=1,INDEX(tx_ID,659)&amp;"","")</f>
        <v/>
      </c>
      <c r="E665" s="94">
        <f>IF(H665=1,INDEX(tx_Date,659),"")</f>
        <v/>
      </c>
      <c r="F665" s="58">
        <f>IF(H665=1,INDEX(tx_Desc,659)&amp;"","")</f>
        <v/>
      </c>
      <c r="G665" s="58">
        <f>IF(H665=1,IF(INDEX(tx_Cust,659)&amp;""&lt;&gt;"",INDEX(tx_Cust,659)&amp;"",INDEX(tx_Vend,659)&amp;""),"")</f>
        <v/>
      </c>
      <c r="H665" s="101">
        <f>IFERROR(N(INDEX(tx_Posted,659)),0)</f>
        <v/>
      </c>
      <c r="I665" s="58">
        <f>IF(H665=1,INDEX(tx_DrAcct,659)&amp;"","")</f>
        <v/>
      </c>
      <c r="J665" s="95">
        <f>IF(H665=1,INDEX(tx_DrAmt,659),0)</f>
        <v/>
      </c>
      <c r="K665" s="58">
        <f>IF(H665=1,INDEX(tx_CrAcct,659)&amp;"","")</f>
        <v/>
      </c>
      <c r="L665" s="95">
        <f>IF(H665=1,INDEX(tx_CrAmt,659),0)</f>
        <v/>
      </c>
      <c r="M665" s="95">
        <f>IF(H665=1,INDEX(tx_TaxDr,659),0)</f>
        <v/>
      </c>
      <c r="N665" s="95">
        <f>IF(H665=1,INDEX(tx_TaxCr,659),0)</f>
        <v/>
      </c>
      <c r="O665" s="101">
        <f>IF(H665=1,IF(E665&lt;FYStart,0,IF(E665&gt;FYEnd,13,YEAR(E665)*12+MONTH(E665)-FYYM+1)),"")</f>
        <v/>
      </c>
      <c r="P665" s="101">
        <f>IF(H665=1,IF(IFERROR(INDEX(coa_CF,MATCH(I665,coa_Name,0)),"")="Cash",1,0),0)</f>
        <v/>
      </c>
      <c r="Q665" s="101">
        <f>IF(H665=1,IF(IFERROR(INDEX(coa_CF,MATCH(K665,coa_Name,0)),"")="Cash",1,0),0)</f>
        <v/>
      </c>
      <c r="R665" s="58">
        <f>IF((P665-Q665)=0,"",IFERROR(INDEX(coa_CF,MATCH(IF((P665-Q665)=1,K665,I665),coa_Name,0)),"Operating"))</f>
        <v/>
      </c>
      <c r="S665" s="95">
        <f>IF((P665-Q665)=1,L665,IF((P665-Q665)=-1,-J665,0))</f>
        <v/>
      </c>
      <c r="T665" s="95">
        <f>IF((P665-Q665)=1,N665,IF((P665-Q665)=-1,-M665,0))</f>
        <v/>
      </c>
      <c r="U665" s="101">
        <f>IF(AND(H665=1,LedAcct&lt;&gt;""),IF(AND(E665&gt;=LedFrom,E665&lt;=LedTo,OR(I665=LedAcct,K665=LedAcct,AND(LedAcct=acctTax,M665+N665&lt;&gt;0))),E665*10000+B665,""),"")</f>
        <v/>
      </c>
    </row>
    <row r="666">
      <c r="B666" s="101" t="n">
        <v>660</v>
      </c>
      <c r="C666" s="58" t="inlineStr">
        <is>
          <t>Transaction</t>
        </is>
      </c>
      <c r="D666" s="58">
        <f>IF(H666=1,INDEX(tx_ID,660)&amp;"","")</f>
        <v/>
      </c>
      <c r="E666" s="94">
        <f>IF(H666=1,INDEX(tx_Date,660),"")</f>
        <v/>
      </c>
      <c r="F666" s="58">
        <f>IF(H666=1,INDEX(tx_Desc,660)&amp;"","")</f>
        <v/>
      </c>
      <c r="G666" s="58">
        <f>IF(H666=1,IF(INDEX(tx_Cust,660)&amp;""&lt;&gt;"",INDEX(tx_Cust,660)&amp;"",INDEX(tx_Vend,660)&amp;""),"")</f>
        <v/>
      </c>
      <c r="H666" s="101">
        <f>IFERROR(N(INDEX(tx_Posted,660)),0)</f>
        <v/>
      </c>
      <c r="I666" s="58">
        <f>IF(H666=1,INDEX(tx_DrAcct,660)&amp;"","")</f>
        <v/>
      </c>
      <c r="J666" s="95">
        <f>IF(H666=1,INDEX(tx_DrAmt,660),0)</f>
        <v/>
      </c>
      <c r="K666" s="58">
        <f>IF(H666=1,INDEX(tx_CrAcct,660)&amp;"","")</f>
        <v/>
      </c>
      <c r="L666" s="95">
        <f>IF(H666=1,INDEX(tx_CrAmt,660),0)</f>
        <v/>
      </c>
      <c r="M666" s="95">
        <f>IF(H666=1,INDEX(tx_TaxDr,660),0)</f>
        <v/>
      </c>
      <c r="N666" s="95">
        <f>IF(H666=1,INDEX(tx_TaxCr,660),0)</f>
        <v/>
      </c>
      <c r="O666" s="101">
        <f>IF(H666=1,IF(E666&lt;FYStart,0,IF(E666&gt;FYEnd,13,YEAR(E666)*12+MONTH(E666)-FYYM+1)),"")</f>
        <v/>
      </c>
      <c r="P666" s="101">
        <f>IF(H666=1,IF(IFERROR(INDEX(coa_CF,MATCH(I666,coa_Name,0)),"")="Cash",1,0),0)</f>
        <v/>
      </c>
      <c r="Q666" s="101">
        <f>IF(H666=1,IF(IFERROR(INDEX(coa_CF,MATCH(K666,coa_Name,0)),"")="Cash",1,0),0)</f>
        <v/>
      </c>
      <c r="R666" s="58">
        <f>IF((P666-Q666)=0,"",IFERROR(INDEX(coa_CF,MATCH(IF((P666-Q666)=1,K666,I666),coa_Name,0)),"Operating"))</f>
        <v/>
      </c>
      <c r="S666" s="95">
        <f>IF((P666-Q666)=1,L666,IF((P666-Q666)=-1,-J666,0))</f>
        <v/>
      </c>
      <c r="T666" s="95">
        <f>IF((P666-Q666)=1,N666,IF((P666-Q666)=-1,-M666,0))</f>
        <v/>
      </c>
      <c r="U666" s="101">
        <f>IF(AND(H666=1,LedAcct&lt;&gt;""),IF(AND(E666&gt;=LedFrom,E666&lt;=LedTo,OR(I666=LedAcct,K666=LedAcct,AND(LedAcct=acctTax,M666+N666&lt;&gt;0))),E666*10000+B666,""),"")</f>
        <v/>
      </c>
    </row>
    <row r="667">
      <c r="B667" s="101" t="n">
        <v>661</v>
      </c>
      <c r="C667" s="58" t="inlineStr">
        <is>
          <t>Transaction</t>
        </is>
      </c>
      <c r="D667" s="58">
        <f>IF(H667=1,INDEX(tx_ID,661)&amp;"","")</f>
        <v/>
      </c>
      <c r="E667" s="94">
        <f>IF(H667=1,INDEX(tx_Date,661),"")</f>
        <v/>
      </c>
      <c r="F667" s="58">
        <f>IF(H667=1,INDEX(tx_Desc,661)&amp;"","")</f>
        <v/>
      </c>
      <c r="G667" s="58">
        <f>IF(H667=1,IF(INDEX(tx_Cust,661)&amp;""&lt;&gt;"",INDEX(tx_Cust,661)&amp;"",INDEX(tx_Vend,661)&amp;""),"")</f>
        <v/>
      </c>
      <c r="H667" s="101">
        <f>IFERROR(N(INDEX(tx_Posted,661)),0)</f>
        <v/>
      </c>
      <c r="I667" s="58">
        <f>IF(H667=1,INDEX(tx_DrAcct,661)&amp;"","")</f>
        <v/>
      </c>
      <c r="J667" s="95">
        <f>IF(H667=1,INDEX(tx_DrAmt,661),0)</f>
        <v/>
      </c>
      <c r="K667" s="58">
        <f>IF(H667=1,INDEX(tx_CrAcct,661)&amp;"","")</f>
        <v/>
      </c>
      <c r="L667" s="95">
        <f>IF(H667=1,INDEX(tx_CrAmt,661),0)</f>
        <v/>
      </c>
      <c r="M667" s="95">
        <f>IF(H667=1,INDEX(tx_TaxDr,661),0)</f>
        <v/>
      </c>
      <c r="N667" s="95">
        <f>IF(H667=1,INDEX(tx_TaxCr,661),0)</f>
        <v/>
      </c>
      <c r="O667" s="101">
        <f>IF(H667=1,IF(E667&lt;FYStart,0,IF(E667&gt;FYEnd,13,YEAR(E667)*12+MONTH(E667)-FYYM+1)),"")</f>
        <v/>
      </c>
      <c r="P667" s="101">
        <f>IF(H667=1,IF(IFERROR(INDEX(coa_CF,MATCH(I667,coa_Name,0)),"")="Cash",1,0),0)</f>
        <v/>
      </c>
      <c r="Q667" s="101">
        <f>IF(H667=1,IF(IFERROR(INDEX(coa_CF,MATCH(K667,coa_Name,0)),"")="Cash",1,0),0)</f>
        <v/>
      </c>
      <c r="R667" s="58">
        <f>IF((P667-Q667)=0,"",IFERROR(INDEX(coa_CF,MATCH(IF((P667-Q667)=1,K667,I667),coa_Name,0)),"Operating"))</f>
        <v/>
      </c>
      <c r="S667" s="95">
        <f>IF((P667-Q667)=1,L667,IF((P667-Q667)=-1,-J667,0))</f>
        <v/>
      </c>
      <c r="T667" s="95">
        <f>IF((P667-Q667)=1,N667,IF((P667-Q667)=-1,-M667,0))</f>
        <v/>
      </c>
      <c r="U667" s="101">
        <f>IF(AND(H667=1,LedAcct&lt;&gt;""),IF(AND(E667&gt;=LedFrom,E667&lt;=LedTo,OR(I667=LedAcct,K667=LedAcct,AND(LedAcct=acctTax,M667+N667&lt;&gt;0))),E667*10000+B667,""),"")</f>
        <v/>
      </c>
    </row>
    <row r="668">
      <c r="B668" s="101" t="n">
        <v>662</v>
      </c>
      <c r="C668" s="58" t="inlineStr">
        <is>
          <t>Transaction</t>
        </is>
      </c>
      <c r="D668" s="58">
        <f>IF(H668=1,INDEX(tx_ID,662)&amp;"","")</f>
        <v/>
      </c>
      <c r="E668" s="94">
        <f>IF(H668=1,INDEX(tx_Date,662),"")</f>
        <v/>
      </c>
      <c r="F668" s="58">
        <f>IF(H668=1,INDEX(tx_Desc,662)&amp;"","")</f>
        <v/>
      </c>
      <c r="G668" s="58">
        <f>IF(H668=1,IF(INDEX(tx_Cust,662)&amp;""&lt;&gt;"",INDEX(tx_Cust,662)&amp;"",INDEX(tx_Vend,662)&amp;""),"")</f>
        <v/>
      </c>
      <c r="H668" s="101">
        <f>IFERROR(N(INDEX(tx_Posted,662)),0)</f>
        <v/>
      </c>
      <c r="I668" s="58">
        <f>IF(H668=1,INDEX(tx_DrAcct,662)&amp;"","")</f>
        <v/>
      </c>
      <c r="J668" s="95">
        <f>IF(H668=1,INDEX(tx_DrAmt,662),0)</f>
        <v/>
      </c>
      <c r="K668" s="58">
        <f>IF(H668=1,INDEX(tx_CrAcct,662)&amp;"","")</f>
        <v/>
      </c>
      <c r="L668" s="95">
        <f>IF(H668=1,INDEX(tx_CrAmt,662),0)</f>
        <v/>
      </c>
      <c r="M668" s="95">
        <f>IF(H668=1,INDEX(tx_TaxDr,662),0)</f>
        <v/>
      </c>
      <c r="N668" s="95">
        <f>IF(H668=1,INDEX(tx_TaxCr,662),0)</f>
        <v/>
      </c>
      <c r="O668" s="101">
        <f>IF(H668=1,IF(E668&lt;FYStart,0,IF(E668&gt;FYEnd,13,YEAR(E668)*12+MONTH(E668)-FYYM+1)),"")</f>
        <v/>
      </c>
      <c r="P668" s="101">
        <f>IF(H668=1,IF(IFERROR(INDEX(coa_CF,MATCH(I668,coa_Name,0)),"")="Cash",1,0),0)</f>
        <v/>
      </c>
      <c r="Q668" s="101">
        <f>IF(H668=1,IF(IFERROR(INDEX(coa_CF,MATCH(K668,coa_Name,0)),"")="Cash",1,0),0)</f>
        <v/>
      </c>
      <c r="R668" s="58">
        <f>IF((P668-Q668)=0,"",IFERROR(INDEX(coa_CF,MATCH(IF((P668-Q668)=1,K668,I668),coa_Name,0)),"Operating"))</f>
        <v/>
      </c>
      <c r="S668" s="95">
        <f>IF((P668-Q668)=1,L668,IF((P668-Q668)=-1,-J668,0))</f>
        <v/>
      </c>
      <c r="T668" s="95">
        <f>IF((P668-Q668)=1,N668,IF((P668-Q668)=-1,-M668,0))</f>
        <v/>
      </c>
      <c r="U668" s="101">
        <f>IF(AND(H668=1,LedAcct&lt;&gt;""),IF(AND(E668&gt;=LedFrom,E668&lt;=LedTo,OR(I668=LedAcct,K668=LedAcct,AND(LedAcct=acctTax,M668+N668&lt;&gt;0))),E668*10000+B668,""),"")</f>
        <v/>
      </c>
    </row>
    <row r="669">
      <c r="B669" s="101" t="n">
        <v>663</v>
      </c>
      <c r="C669" s="58" t="inlineStr">
        <is>
          <t>Transaction</t>
        </is>
      </c>
      <c r="D669" s="58">
        <f>IF(H669=1,INDEX(tx_ID,663)&amp;"","")</f>
        <v/>
      </c>
      <c r="E669" s="94">
        <f>IF(H669=1,INDEX(tx_Date,663),"")</f>
        <v/>
      </c>
      <c r="F669" s="58">
        <f>IF(H669=1,INDEX(tx_Desc,663)&amp;"","")</f>
        <v/>
      </c>
      <c r="G669" s="58">
        <f>IF(H669=1,IF(INDEX(tx_Cust,663)&amp;""&lt;&gt;"",INDEX(tx_Cust,663)&amp;"",INDEX(tx_Vend,663)&amp;""),"")</f>
        <v/>
      </c>
      <c r="H669" s="101">
        <f>IFERROR(N(INDEX(tx_Posted,663)),0)</f>
        <v/>
      </c>
      <c r="I669" s="58">
        <f>IF(H669=1,INDEX(tx_DrAcct,663)&amp;"","")</f>
        <v/>
      </c>
      <c r="J669" s="95">
        <f>IF(H669=1,INDEX(tx_DrAmt,663),0)</f>
        <v/>
      </c>
      <c r="K669" s="58">
        <f>IF(H669=1,INDEX(tx_CrAcct,663)&amp;"","")</f>
        <v/>
      </c>
      <c r="L669" s="95">
        <f>IF(H669=1,INDEX(tx_CrAmt,663),0)</f>
        <v/>
      </c>
      <c r="M669" s="95">
        <f>IF(H669=1,INDEX(tx_TaxDr,663),0)</f>
        <v/>
      </c>
      <c r="N669" s="95">
        <f>IF(H669=1,INDEX(tx_TaxCr,663),0)</f>
        <v/>
      </c>
      <c r="O669" s="101">
        <f>IF(H669=1,IF(E669&lt;FYStart,0,IF(E669&gt;FYEnd,13,YEAR(E669)*12+MONTH(E669)-FYYM+1)),"")</f>
        <v/>
      </c>
      <c r="P669" s="101">
        <f>IF(H669=1,IF(IFERROR(INDEX(coa_CF,MATCH(I669,coa_Name,0)),"")="Cash",1,0),0)</f>
        <v/>
      </c>
      <c r="Q669" s="101">
        <f>IF(H669=1,IF(IFERROR(INDEX(coa_CF,MATCH(K669,coa_Name,0)),"")="Cash",1,0),0)</f>
        <v/>
      </c>
      <c r="R669" s="58">
        <f>IF((P669-Q669)=0,"",IFERROR(INDEX(coa_CF,MATCH(IF((P669-Q669)=1,K669,I669),coa_Name,0)),"Operating"))</f>
        <v/>
      </c>
      <c r="S669" s="95">
        <f>IF((P669-Q669)=1,L669,IF((P669-Q669)=-1,-J669,0))</f>
        <v/>
      </c>
      <c r="T669" s="95">
        <f>IF((P669-Q669)=1,N669,IF((P669-Q669)=-1,-M669,0))</f>
        <v/>
      </c>
      <c r="U669" s="101">
        <f>IF(AND(H669=1,LedAcct&lt;&gt;""),IF(AND(E669&gt;=LedFrom,E669&lt;=LedTo,OR(I669=LedAcct,K669=LedAcct,AND(LedAcct=acctTax,M669+N669&lt;&gt;0))),E669*10000+B669,""),"")</f>
        <v/>
      </c>
    </row>
    <row r="670">
      <c r="B670" s="101" t="n">
        <v>664</v>
      </c>
      <c r="C670" s="58" t="inlineStr">
        <is>
          <t>Transaction</t>
        </is>
      </c>
      <c r="D670" s="58">
        <f>IF(H670=1,INDEX(tx_ID,664)&amp;"","")</f>
        <v/>
      </c>
      <c r="E670" s="94">
        <f>IF(H670=1,INDEX(tx_Date,664),"")</f>
        <v/>
      </c>
      <c r="F670" s="58">
        <f>IF(H670=1,INDEX(tx_Desc,664)&amp;"","")</f>
        <v/>
      </c>
      <c r="G670" s="58">
        <f>IF(H670=1,IF(INDEX(tx_Cust,664)&amp;""&lt;&gt;"",INDEX(tx_Cust,664)&amp;"",INDEX(tx_Vend,664)&amp;""),"")</f>
        <v/>
      </c>
      <c r="H670" s="101">
        <f>IFERROR(N(INDEX(tx_Posted,664)),0)</f>
        <v/>
      </c>
      <c r="I670" s="58">
        <f>IF(H670=1,INDEX(tx_DrAcct,664)&amp;"","")</f>
        <v/>
      </c>
      <c r="J670" s="95">
        <f>IF(H670=1,INDEX(tx_DrAmt,664),0)</f>
        <v/>
      </c>
      <c r="K670" s="58">
        <f>IF(H670=1,INDEX(tx_CrAcct,664)&amp;"","")</f>
        <v/>
      </c>
      <c r="L670" s="95">
        <f>IF(H670=1,INDEX(tx_CrAmt,664),0)</f>
        <v/>
      </c>
      <c r="M670" s="95">
        <f>IF(H670=1,INDEX(tx_TaxDr,664),0)</f>
        <v/>
      </c>
      <c r="N670" s="95">
        <f>IF(H670=1,INDEX(tx_TaxCr,664),0)</f>
        <v/>
      </c>
      <c r="O670" s="101">
        <f>IF(H670=1,IF(E670&lt;FYStart,0,IF(E670&gt;FYEnd,13,YEAR(E670)*12+MONTH(E670)-FYYM+1)),"")</f>
        <v/>
      </c>
      <c r="P670" s="101">
        <f>IF(H670=1,IF(IFERROR(INDEX(coa_CF,MATCH(I670,coa_Name,0)),"")="Cash",1,0),0)</f>
        <v/>
      </c>
      <c r="Q670" s="101">
        <f>IF(H670=1,IF(IFERROR(INDEX(coa_CF,MATCH(K670,coa_Name,0)),"")="Cash",1,0),0)</f>
        <v/>
      </c>
      <c r="R670" s="58">
        <f>IF((P670-Q670)=0,"",IFERROR(INDEX(coa_CF,MATCH(IF((P670-Q670)=1,K670,I670),coa_Name,0)),"Operating"))</f>
        <v/>
      </c>
      <c r="S670" s="95">
        <f>IF((P670-Q670)=1,L670,IF((P670-Q670)=-1,-J670,0))</f>
        <v/>
      </c>
      <c r="T670" s="95">
        <f>IF((P670-Q670)=1,N670,IF((P670-Q670)=-1,-M670,0))</f>
        <v/>
      </c>
      <c r="U670" s="101">
        <f>IF(AND(H670=1,LedAcct&lt;&gt;""),IF(AND(E670&gt;=LedFrom,E670&lt;=LedTo,OR(I670=LedAcct,K670=LedAcct,AND(LedAcct=acctTax,M670+N670&lt;&gt;0))),E670*10000+B670,""),"")</f>
        <v/>
      </c>
    </row>
    <row r="671">
      <c r="B671" s="101" t="n">
        <v>665</v>
      </c>
      <c r="C671" s="58" t="inlineStr">
        <is>
          <t>Transaction</t>
        </is>
      </c>
      <c r="D671" s="58">
        <f>IF(H671=1,INDEX(tx_ID,665)&amp;"","")</f>
        <v/>
      </c>
      <c r="E671" s="94">
        <f>IF(H671=1,INDEX(tx_Date,665),"")</f>
        <v/>
      </c>
      <c r="F671" s="58">
        <f>IF(H671=1,INDEX(tx_Desc,665)&amp;"","")</f>
        <v/>
      </c>
      <c r="G671" s="58">
        <f>IF(H671=1,IF(INDEX(tx_Cust,665)&amp;""&lt;&gt;"",INDEX(tx_Cust,665)&amp;"",INDEX(tx_Vend,665)&amp;""),"")</f>
        <v/>
      </c>
      <c r="H671" s="101">
        <f>IFERROR(N(INDEX(tx_Posted,665)),0)</f>
        <v/>
      </c>
      <c r="I671" s="58">
        <f>IF(H671=1,INDEX(tx_DrAcct,665)&amp;"","")</f>
        <v/>
      </c>
      <c r="J671" s="95">
        <f>IF(H671=1,INDEX(tx_DrAmt,665),0)</f>
        <v/>
      </c>
      <c r="K671" s="58">
        <f>IF(H671=1,INDEX(tx_CrAcct,665)&amp;"","")</f>
        <v/>
      </c>
      <c r="L671" s="95">
        <f>IF(H671=1,INDEX(tx_CrAmt,665),0)</f>
        <v/>
      </c>
      <c r="M671" s="95">
        <f>IF(H671=1,INDEX(tx_TaxDr,665),0)</f>
        <v/>
      </c>
      <c r="N671" s="95">
        <f>IF(H671=1,INDEX(tx_TaxCr,665),0)</f>
        <v/>
      </c>
      <c r="O671" s="101">
        <f>IF(H671=1,IF(E671&lt;FYStart,0,IF(E671&gt;FYEnd,13,YEAR(E671)*12+MONTH(E671)-FYYM+1)),"")</f>
        <v/>
      </c>
      <c r="P671" s="101">
        <f>IF(H671=1,IF(IFERROR(INDEX(coa_CF,MATCH(I671,coa_Name,0)),"")="Cash",1,0),0)</f>
        <v/>
      </c>
      <c r="Q671" s="101">
        <f>IF(H671=1,IF(IFERROR(INDEX(coa_CF,MATCH(K671,coa_Name,0)),"")="Cash",1,0),0)</f>
        <v/>
      </c>
      <c r="R671" s="58">
        <f>IF((P671-Q671)=0,"",IFERROR(INDEX(coa_CF,MATCH(IF((P671-Q671)=1,K671,I671),coa_Name,0)),"Operating"))</f>
        <v/>
      </c>
      <c r="S671" s="95">
        <f>IF((P671-Q671)=1,L671,IF((P671-Q671)=-1,-J671,0))</f>
        <v/>
      </c>
      <c r="T671" s="95">
        <f>IF((P671-Q671)=1,N671,IF((P671-Q671)=-1,-M671,0))</f>
        <v/>
      </c>
      <c r="U671" s="101">
        <f>IF(AND(H671=1,LedAcct&lt;&gt;""),IF(AND(E671&gt;=LedFrom,E671&lt;=LedTo,OR(I671=LedAcct,K671=LedAcct,AND(LedAcct=acctTax,M671+N671&lt;&gt;0))),E671*10000+B671,""),"")</f>
        <v/>
      </c>
    </row>
    <row r="672">
      <c r="B672" s="101" t="n">
        <v>666</v>
      </c>
      <c r="C672" s="58" t="inlineStr">
        <is>
          <t>Transaction</t>
        </is>
      </c>
      <c r="D672" s="58">
        <f>IF(H672=1,INDEX(tx_ID,666)&amp;"","")</f>
        <v/>
      </c>
      <c r="E672" s="94">
        <f>IF(H672=1,INDEX(tx_Date,666),"")</f>
        <v/>
      </c>
      <c r="F672" s="58">
        <f>IF(H672=1,INDEX(tx_Desc,666)&amp;"","")</f>
        <v/>
      </c>
      <c r="G672" s="58">
        <f>IF(H672=1,IF(INDEX(tx_Cust,666)&amp;""&lt;&gt;"",INDEX(tx_Cust,666)&amp;"",INDEX(tx_Vend,666)&amp;""),"")</f>
        <v/>
      </c>
      <c r="H672" s="101">
        <f>IFERROR(N(INDEX(tx_Posted,666)),0)</f>
        <v/>
      </c>
      <c r="I672" s="58">
        <f>IF(H672=1,INDEX(tx_DrAcct,666)&amp;"","")</f>
        <v/>
      </c>
      <c r="J672" s="95">
        <f>IF(H672=1,INDEX(tx_DrAmt,666),0)</f>
        <v/>
      </c>
      <c r="K672" s="58">
        <f>IF(H672=1,INDEX(tx_CrAcct,666)&amp;"","")</f>
        <v/>
      </c>
      <c r="L672" s="95">
        <f>IF(H672=1,INDEX(tx_CrAmt,666),0)</f>
        <v/>
      </c>
      <c r="M672" s="95">
        <f>IF(H672=1,INDEX(tx_TaxDr,666),0)</f>
        <v/>
      </c>
      <c r="N672" s="95">
        <f>IF(H672=1,INDEX(tx_TaxCr,666),0)</f>
        <v/>
      </c>
      <c r="O672" s="101">
        <f>IF(H672=1,IF(E672&lt;FYStart,0,IF(E672&gt;FYEnd,13,YEAR(E672)*12+MONTH(E672)-FYYM+1)),"")</f>
        <v/>
      </c>
      <c r="P672" s="101">
        <f>IF(H672=1,IF(IFERROR(INDEX(coa_CF,MATCH(I672,coa_Name,0)),"")="Cash",1,0),0)</f>
        <v/>
      </c>
      <c r="Q672" s="101">
        <f>IF(H672=1,IF(IFERROR(INDEX(coa_CF,MATCH(K672,coa_Name,0)),"")="Cash",1,0),0)</f>
        <v/>
      </c>
      <c r="R672" s="58">
        <f>IF((P672-Q672)=0,"",IFERROR(INDEX(coa_CF,MATCH(IF((P672-Q672)=1,K672,I672),coa_Name,0)),"Operating"))</f>
        <v/>
      </c>
      <c r="S672" s="95">
        <f>IF((P672-Q672)=1,L672,IF((P672-Q672)=-1,-J672,0))</f>
        <v/>
      </c>
      <c r="T672" s="95">
        <f>IF((P672-Q672)=1,N672,IF((P672-Q672)=-1,-M672,0))</f>
        <v/>
      </c>
      <c r="U672" s="101">
        <f>IF(AND(H672=1,LedAcct&lt;&gt;""),IF(AND(E672&gt;=LedFrom,E672&lt;=LedTo,OR(I672=LedAcct,K672=LedAcct,AND(LedAcct=acctTax,M672+N672&lt;&gt;0))),E672*10000+B672,""),"")</f>
        <v/>
      </c>
    </row>
    <row r="673">
      <c r="B673" s="101" t="n">
        <v>667</v>
      </c>
      <c r="C673" s="58" t="inlineStr">
        <is>
          <t>Transaction</t>
        </is>
      </c>
      <c r="D673" s="58">
        <f>IF(H673=1,INDEX(tx_ID,667)&amp;"","")</f>
        <v/>
      </c>
      <c r="E673" s="94">
        <f>IF(H673=1,INDEX(tx_Date,667),"")</f>
        <v/>
      </c>
      <c r="F673" s="58">
        <f>IF(H673=1,INDEX(tx_Desc,667)&amp;"","")</f>
        <v/>
      </c>
      <c r="G673" s="58">
        <f>IF(H673=1,IF(INDEX(tx_Cust,667)&amp;""&lt;&gt;"",INDEX(tx_Cust,667)&amp;"",INDEX(tx_Vend,667)&amp;""),"")</f>
        <v/>
      </c>
      <c r="H673" s="101">
        <f>IFERROR(N(INDEX(tx_Posted,667)),0)</f>
        <v/>
      </c>
      <c r="I673" s="58">
        <f>IF(H673=1,INDEX(tx_DrAcct,667)&amp;"","")</f>
        <v/>
      </c>
      <c r="J673" s="95">
        <f>IF(H673=1,INDEX(tx_DrAmt,667),0)</f>
        <v/>
      </c>
      <c r="K673" s="58">
        <f>IF(H673=1,INDEX(tx_CrAcct,667)&amp;"","")</f>
        <v/>
      </c>
      <c r="L673" s="95">
        <f>IF(H673=1,INDEX(tx_CrAmt,667),0)</f>
        <v/>
      </c>
      <c r="M673" s="95">
        <f>IF(H673=1,INDEX(tx_TaxDr,667),0)</f>
        <v/>
      </c>
      <c r="N673" s="95">
        <f>IF(H673=1,INDEX(tx_TaxCr,667),0)</f>
        <v/>
      </c>
      <c r="O673" s="101">
        <f>IF(H673=1,IF(E673&lt;FYStart,0,IF(E673&gt;FYEnd,13,YEAR(E673)*12+MONTH(E673)-FYYM+1)),"")</f>
        <v/>
      </c>
      <c r="P673" s="101">
        <f>IF(H673=1,IF(IFERROR(INDEX(coa_CF,MATCH(I673,coa_Name,0)),"")="Cash",1,0),0)</f>
        <v/>
      </c>
      <c r="Q673" s="101">
        <f>IF(H673=1,IF(IFERROR(INDEX(coa_CF,MATCH(K673,coa_Name,0)),"")="Cash",1,0),0)</f>
        <v/>
      </c>
      <c r="R673" s="58">
        <f>IF((P673-Q673)=0,"",IFERROR(INDEX(coa_CF,MATCH(IF((P673-Q673)=1,K673,I673),coa_Name,0)),"Operating"))</f>
        <v/>
      </c>
      <c r="S673" s="95">
        <f>IF((P673-Q673)=1,L673,IF((P673-Q673)=-1,-J673,0))</f>
        <v/>
      </c>
      <c r="T673" s="95">
        <f>IF((P673-Q673)=1,N673,IF((P673-Q673)=-1,-M673,0))</f>
        <v/>
      </c>
      <c r="U673" s="101">
        <f>IF(AND(H673=1,LedAcct&lt;&gt;""),IF(AND(E673&gt;=LedFrom,E673&lt;=LedTo,OR(I673=LedAcct,K673=LedAcct,AND(LedAcct=acctTax,M673+N673&lt;&gt;0))),E673*10000+B673,""),"")</f>
        <v/>
      </c>
    </row>
    <row r="674">
      <c r="B674" s="101" t="n">
        <v>668</v>
      </c>
      <c r="C674" s="58" t="inlineStr">
        <is>
          <t>Transaction</t>
        </is>
      </c>
      <c r="D674" s="58">
        <f>IF(H674=1,INDEX(tx_ID,668)&amp;"","")</f>
        <v/>
      </c>
      <c r="E674" s="94">
        <f>IF(H674=1,INDEX(tx_Date,668),"")</f>
        <v/>
      </c>
      <c r="F674" s="58">
        <f>IF(H674=1,INDEX(tx_Desc,668)&amp;"","")</f>
        <v/>
      </c>
      <c r="G674" s="58">
        <f>IF(H674=1,IF(INDEX(tx_Cust,668)&amp;""&lt;&gt;"",INDEX(tx_Cust,668)&amp;"",INDEX(tx_Vend,668)&amp;""),"")</f>
        <v/>
      </c>
      <c r="H674" s="101">
        <f>IFERROR(N(INDEX(tx_Posted,668)),0)</f>
        <v/>
      </c>
      <c r="I674" s="58">
        <f>IF(H674=1,INDEX(tx_DrAcct,668)&amp;"","")</f>
        <v/>
      </c>
      <c r="J674" s="95">
        <f>IF(H674=1,INDEX(tx_DrAmt,668),0)</f>
        <v/>
      </c>
      <c r="K674" s="58">
        <f>IF(H674=1,INDEX(tx_CrAcct,668)&amp;"","")</f>
        <v/>
      </c>
      <c r="L674" s="95">
        <f>IF(H674=1,INDEX(tx_CrAmt,668),0)</f>
        <v/>
      </c>
      <c r="M674" s="95">
        <f>IF(H674=1,INDEX(tx_TaxDr,668),0)</f>
        <v/>
      </c>
      <c r="N674" s="95">
        <f>IF(H674=1,INDEX(tx_TaxCr,668),0)</f>
        <v/>
      </c>
      <c r="O674" s="101">
        <f>IF(H674=1,IF(E674&lt;FYStart,0,IF(E674&gt;FYEnd,13,YEAR(E674)*12+MONTH(E674)-FYYM+1)),"")</f>
        <v/>
      </c>
      <c r="P674" s="101">
        <f>IF(H674=1,IF(IFERROR(INDEX(coa_CF,MATCH(I674,coa_Name,0)),"")="Cash",1,0),0)</f>
        <v/>
      </c>
      <c r="Q674" s="101">
        <f>IF(H674=1,IF(IFERROR(INDEX(coa_CF,MATCH(K674,coa_Name,0)),"")="Cash",1,0),0)</f>
        <v/>
      </c>
      <c r="R674" s="58">
        <f>IF((P674-Q674)=0,"",IFERROR(INDEX(coa_CF,MATCH(IF((P674-Q674)=1,K674,I674),coa_Name,0)),"Operating"))</f>
        <v/>
      </c>
      <c r="S674" s="95">
        <f>IF((P674-Q674)=1,L674,IF((P674-Q674)=-1,-J674,0))</f>
        <v/>
      </c>
      <c r="T674" s="95">
        <f>IF((P674-Q674)=1,N674,IF((P674-Q674)=-1,-M674,0))</f>
        <v/>
      </c>
      <c r="U674" s="101">
        <f>IF(AND(H674=1,LedAcct&lt;&gt;""),IF(AND(E674&gt;=LedFrom,E674&lt;=LedTo,OR(I674=LedAcct,K674=LedAcct,AND(LedAcct=acctTax,M674+N674&lt;&gt;0))),E674*10000+B674,""),"")</f>
        <v/>
      </c>
    </row>
    <row r="675">
      <c r="B675" s="101" t="n">
        <v>669</v>
      </c>
      <c r="C675" s="58" t="inlineStr">
        <is>
          <t>Transaction</t>
        </is>
      </c>
      <c r="D675" s="58">
        <f>IF(H675=1,INDEX(tx_ID,669)&amp;"","")</f>
        <v/>
      </c>
      <c r="E675" s="94">
        <f>IF(H675=1,INDEX(tx_Date,669),"")</f>
        <v/>
      </c>
      <c r="F675" s="58">
        <f>IF(H675=1,INDEX(tx_Desc,669)&amp;"","")</f>
        <v/>
      </c>
      <c r="G675" s="58">
        <f>IF(H675=1,IF(INDEX(tx_Cust,669)&amp;""&lt;&gt;"",INDEX(tx_Cust,669)&amp;"",INDEX(tx_Vend,669)&amp;""),"")</f>
        <v/>
      </c>
      <c r="H675" s="101">
        <f>IFERROR(N(INDEX(tx_Posted,669)),0)</f>
        <v/>
      </c>
      <c r="I675" s="58">
        <f>IF(H675=1,INDEX(tx_DrAcct,669)&amp;"","")</f>
        <v/>
      </c>
      <c r="J675" s="95">
        <f>IF(H675=1,INDEX(tx_DrAmt,669),0)</f>
        <v/>
      </c>
      <c r="K675" s="58">
        <f>IF(H675=1,INDEX(tx_CrAcct,669)&amp;"","")</f>
        <v/>
      </c>
      <c r="L675" s="95">
        <f>IF(H675=1,INDEX(tx_CrAmt,669),0)</f>
        <v/>
      </c>
      <c r="M675" s="95">
        <f>IF(H675=1,INDEX(tx_TaxDr,669),0)</f>
        <v/>
      </c>
      <c r="N675" s="95">
        <f>IF(H675=1,INDEX(tx_TaxCr,669),0)</f>
        <v/>
      </c>
      <c r="O675" s="101">
        <f>IF(H675=1,IF(E675&lt;FYStart,0,IF(E675&gt;FYEnd,13,YEAR(E675)*12+MONTH(E675)-FYYM+1)),"")</f>
        <v/>
      </c>
      <c r="P675" s="101">
        <f>IF(H675=1,IF(IFERROR(INDEX(coa_CF,MATCH(I675,coa_Name,0)),"")="Cash",1,0),0)</f>
        <v/>
      </c>
      <c r="Q675" s="101">
        <f>IF(H675=1,IF(IFERROR(INDEX(coa_CF,MATCH(K675,coa_Name,0)),"")="Cash",1,0),0)</f>
        <v/>
      </c>
      <c r="R675" s="58">
        <f>IF((P675-Q675)=0,"",IFERROR(INDEX(coa_CF,MATCH(IF((P675-Q675)=1,K675,I675),coa_Name,0)),"Operating"))</f>
        <v/>
      </c>
      <c r="S675" s="95">
        <f>IF((P675-Q675)=1,L675,IF((P675-Q675)=-1,-J675,0))</f>
        <v/>
      </c>
      <c r="T675" s="95">
        <f>IF((P675-Q675)=1,N675,IF((P675-Q675)=-1,-M675,0))</f>
        <v/>
      </c>
      <c r="U675" s="101">
        <f>IF(AND(H675=1,LedAcct&lt;&gt;""),IF(AND(E675&gt;=LedFrom,E675&lt;=LedTo,OR(I675=LedAcct,K675=LedAcct,AND(LedAcct=acctTax,M675+N675&lt;&gt;0))),E675*10000+B675,""),"")</f>
        <v/>
      </c>
    </row>
    <row r="676">
      <c r="B676" s="101" t="n">
        <v>670</v>
      </c>
      <c r="C676" s="58" t="inlineStr">
        <is>
          <t>Transaction</t>
        </is>
      </c>
      <c r="D676" s="58">
        <f>IF(H676=1,INDEX(tx_ID,670)&amp;"","")</f>
        <v/>
      </c>
      <c r="E676" s="94">
        <f>IF(H676=1,INDEX(tx_Date,670),"")</f>
        <v/>
      </c>
      <c r="F676" s="58">
        <f>IF(H676=1,INDEX(tx_Desc,670)&amp;"","")</f>
        <v/>
      </c>
      <c r="G676" s="58">
        <f>IF(H676=1,IF(INDEX(tx_Cust,670)&amp;""&lt;&gt;"",INDEX(tx_Cust,670)&amp;"",INDEX(tx_Vend,670)&amp;""),"")</f>
        <v/>
      </c>
      <c r="H676" s="101">
        <f>IFERROR(N(INDEX(tx_Posted,670)),0)</f>
        <v/>
      </c>
      <c r="I676" s="58">
        <f>IF(H676=1,INDEX(tx_DrAcct,670)&amp;"","")</f>
        <v/>
      </c>
      <c r="J676" s="95">
        <f>IF(H676=1,INDEX(tx_DrAmt,670),0)</f>
        <v/>
      </c>
      <c r="K676" s="58">
        <f>IF(H676=1,INDEX(tx_CrAcct,670)&amp;"","")</f>
        <v/>
      </c>
      <c r="L676" s="95">
        <f>IF(H676=1,INDEX(tx_CrAmt,670),0)</f>
        <v/>
      </c>
      <c r="M676" s="95">
        <f>IF(H676=1,INDEX(tx_TaxDr,670),0)</f>
        <v/>
      </c>
      <c r="N676" s="95">
        <f>IF(H676=1,INDEX(tx_TaxCr,670),0)</f>
        <v/>
      </c>
      <c r="O676" s="101">
        <f>IF(H676=1,IF(E676&lt;FYStart,0,IF(E676&gt;FYEnd,13,YEAR(E676)*12+MONTH(E676)-FYYM+1)),"")</f>
        <v/>
      </c>
      <c r="P676" s="101">
        <f>IF(H676=1,IF(IFERROR(INDEX(coa_CF,MATCH(I676,coa_Name,0)),"")="Cash",1,0),0)</f>
        <v/>
      </c>
      <c r="Q676" s="101">
        <f>IF(H676=1,IF(IFERROR(INDEX(coa_CF,MATCH(K676,coa_Name,0)),"")="Cash",1,0),0)</f>
        <v/>
      </c>
      <c r="R676" s="58">
        <f>IF((P676-Q676)=0,"",IFERROR(INDEX(coa_CF,MATCH(IF((P676-Q676)=1,K676,I676),coa_Name,0)),"Operating"))</f>
        <v/>
      </c>
      <c r="S676" s="95">
        <f>IF((P676-Q676)=1,L676,IF((P676-Q676)=-1,-J676,0))</f>
        <v/>
      </c>
      <c r="T676" s="95">
        <f>IF((P676-Q676)=1,N676,IF((P676-Q676)=-1,-M676,0))</f>
        <v/>
      </c>
      <c r="U676" s="101">
        <f>IF(AND(H676=1,LedAcct&lt;&gt;""),IF(AND(E676&gt;=LedFrom,E676&lt;=LedTo,OR(I676=LedAcct,K676=LedAcct,AND(LedAcct=acctTax,M676+N676&lt;&gt;0))),E676*10000+B676,""),"")</f>
        <v/>
      </c>
    </row>
    <row r="677">
      <c r="B677" s="101" t="n">
        <v>671</v>
      </c>
      <c r="C677" s="58" t="inlineStr">
        <is>
          <t>Transaction</t>
        </is>
      </c>
      <c r="D677" s="58">
        <f>IF(H677=1,INDEX(tx_ID,671)&amp;"","")</f>
        <v/>
      </c>
      <c r="E677" s="94">
        <f>IF(H677=1,INDEX(tx_Date,671),"")</f>
        <v/>
      </c>
      <c r="F677" s="58">
        <f>IF(H677=1,INDEX(tx_Desc,671)&amp;"","")</f>
        <v/>
      </c>
      <c r="G677" s="58">
        <f>IF(H677=1,IF(INDEX(tx_Cust,671)&amp;""&lt;&gt;"",INDEX(tx_Cust,671)&amp;"",INDEX(tx_Vend,671)&amp;""),"")</f>
        <v/>
      </c>
      <c r="H677" s="101">
        <f>IFERROR(N(INDEX(tx_Posted,671)),0)</f>
        <v/>
      </c>
      <c r="I677" s="58">
        <f>IF(H677=1,INDEX(tx_DrAcct,671)&amp;"","")</f>
        <v/>
      </c>
      <c r="J677" s="95">
        <f>IF(H677=1,INDEX(tx_DrAmt,671),0)</f>
        <v/>
      </c>
      <c r="K677" s="58">
        <f>IF(H677=1,INDEX(tx_CrAcct,671)&amp;"","")</f>
        <v/>
      </c>
      <c r="L677" s="95">
        <f>IF(H677=1,INDEX(tx_CrAmt,671),0)</f>
        <v/>
      </c>
      <c r="M677" s="95">
        <f>IF(H677=1,INDEX(tx_TaxDr,671),0)</f>
        <v/>
      </c>
      <c r="N677" s="95">
        <f>IF(H677=1,INDEX(tx_TaxCr,671),0)</f>
        <v/>
      </c>
      <c r="O677" s="101">
        <f>IF(H677=1,IF(E677&lt;FYStart,0,IF(E677&gt;FYEnd,13,YEAR(E677)*12+MONTH(E677)-FYYM+1)),"")</f>
        <v/>
      </c>
      <c r="P677" s="101">
        <f>IF(H677=1,IF(IFERROR(INDEX(coa_CF,MATCH(I677,coa_Name,0)),"")="Cash",1,0),0)</f>
        <v/>
      </c>
      <c r="Q677" s="101">
        <f>IF(H677=1,IF(IFERROR(INDEX(coa_CF,MATCH(K677,coa_Name,0)),"")="Cash",1,0),0)</f>
        <v/>
      </c>
      <c r="R677" s="58">
        <f>IF((P677-Q677)=0,"",IFERROR(INDEX(coa_CF,MATCH(IF((P677-Q677)=1,K677,I677),coa_Name,0)),"Operating"))</f>
        <v/>
      </c>
      <c r="S677" s="95">
        <f>IF((P677-Q677)=1,L677,IF((P677-Q677)=-1,-J677,0))</f>
        <v/>
      </c>
      <c r="T677" s="95">
        <f>IF((P677-Q677)=1,N677,IF((P677-Q677)=-1,-M677,0))</f>
        <v/>
      </c>
      <c r="U677" s="101">
        <f>IF(AND(H677=1,LedAcct&lt;&gt;""),IF(AND(E677&gt;=LedFrom,E677&lt;=LedTo,OR(I677=LedAcct,K677=LedAcct,AND(LedAcct=acctTax,M677+N677&lt;&gt;0))),E677*10000+B677,""),"")</f>
        <v/>
      </c>
    </row>
    <row r="678">
      <c r="B678" s="101" t="n">
        <v>672</v>
      </c>
      <c r="C678" s="58" t="inlineStr">
        <is>
          <t>Transaction</t>
        </is>
      </c>
      <c r="D678" s="58">
        <f>IF(H678=1,INDEX(tx_ID,672)&amp;"","")</f>
        <v/>
      </c>
      <c r="E678" s="94">
        <f>IF(H678=1,INDEX(tx_Date,672),"")</f>
        <v/>
      </c>
      <c r="F678" s="58">
        <f>IF(H678=1,INDEX(tx_Desc,672)&amp;"","")</f>
        <v/>
      </c>
      <c r="G678" s="58">
        <f>IF(H678=1,IF(INDEX(tx_Cust,672)&amp;""&lt;&gt;"",INDEX(tx_Cust,672)&amp;"",INDEX(tx_Vend,672)&amp;""),"")</f>
        <v/>
      </c>
      <c r="H678" s="101">
        <f>IFERROR(N(INDEX(tx_Posted,672)),0)</f>
        <v/>
      </c>
      <c r="I678" s="58">
        <f>IF(H678=1,INDEX(tx_DrAcct,672)&amp;"","")</f>
        <v/>
      </c>
      <c r="J678" s="95">
        <f>IF(H678=1,INDEX(tx_DrAmt,672),0)</f>
        <v/>
      </c>
      <c r="K678" s="58">
        <f>IF(H678=1,INDEX(tx_CrAcct,672)&amp;"","")</f>
        <v/>
      </c>
      <c r="L678" s="95">
        <f>IF(H678=1,INDEX(tx_CrAmt,672),0)</f>
        <v/>
      </c>
      <c r="M678" s="95">
        <f>IF(H678=1,INDEX(tx_TaxDr,672),0)</f>
        <v/>
      </c>
      <c r="N678" s="95">
        <f>IF(H678=1,INDEX(tx_TaxCr,672),0)</f>
        <v/>
      </c>
      <c r="O678" s="101">
        <f>IF(H678=1,IF(E678&lt;FYStart,0,IF(E678&gt;FYEnd,13,YEAR(E678)*12+MONTH(E678)-FYYM+1)),"")</f>
        <v/>
      </c>
      <c r="P678" s="101">
        <f>IF(H678=1,IF(IFERROR(INDEX(coa_CF,MATCH(I678,coa_Name,0)),"")="Cash",1,0),0)</f>
        <v/>
      </c>
      <c r="Q678" s="101">
        <f>IF(H678=1,IF(IFERROR(INDEX(coa_CF,MATCH(K678,coa_Name,0)),"")="Cash",1,0),0)</f>
        <v/>
      </c>
      <c r="R678" s="58">
        <f>IF((P678-Q678)=0,"",IFERROR(INDEX(coa_CF,MATCH(IF((P678-Q678)=1,K678,I678),coa_Name,0)),"Operating"))</f>
        <v/>
      </c>
      <c r="S678" s="95">
        <f>IF((P678-Q678)=1,L678,IF((P678-Q678)=-1,-J678,0))</f>
        <v/>
      </c>
      <c r="T678" s="95">
        <f>IF((P678-Q678)=1,N678,IF((P678-Q678)=-1,-M678,0))</f>
        <v/>
      </c>
      <c r="U678" s="101">
        <f>IF(AND(H678=1,LedAcct&lt;&gt;""),IF(AND(E678&gt;=LedFrom,E678&lt;=LedTo,OR(I678=LedAcct,K678=LedAcct,AND(LedAcct=acctTax,M678+N678&lt;&gt;0))),E678*10000+B678,""),"")</f>
        <v/>
      </c>
    </row>
    <row r="679">
      <c r="B679" s="101" t="n">
        <v>673</v>
      </c>
      <c r="C679" s="58" t="inlineStr">
        <is>
          <t>Transaction</t>
        </is>
      </c>
      <c r="D679" s="58">
        <f>IF(H679=1,INDEX(tx_ID,673)&amp;"","")</f>
        <v/>
      </c>
      <c r="E679" s="94">
        <f>IF(H679=1,INDEX(tx_Date,673),"")</f>
        <v/>
      </c>
      <c r="F679" s="58">
        <f>IF(H679=1,INDEX(tx_Desc,673)&amp;"","")</f>
        <v/>
      </c>
      <c r="G679" s="58">
        <f>IF(H679=1,IF(INDEX(tx_Cust,673)&amp;""&lt;&gt;"",INDEX(tx_Cust,673)&amp;"",INDEX(tx_Vend,673)&amp;""),"")</f>
        <v/>
      </c>
      <c r="H679" s="101">
        <f>IFERROR(N(INDEX(tx_Posted,673)),0)</f>
        <v/>
      </c>
      <c r="I679" s="58">
        <f>IF(H679=1,INDEX(tx_DrAcct,673)&amp;"","")</f>
        <v/>
      </c>
      <c r="J679" s="95">
        <f>IF(H679=1,INDEX(tx_DrAmt,673),0)</f>
        <v/>
      </c>
      <c r="K679" s="58">
        <f>IF(H679=1,INDEX(tx_CrAcct,673)&amp;"","")</f>
        <v/>
      </c>
      <c r="L679" s="95">
        <f>IF(H679=1,INDEX(tx_CrAmt,673),0)</f>
        <v/>
      </c>
      <c r="M679" s="95">
        <f>IF(H679=1,INDEX(tx_TaxDr,673),0)</f>
        <v/>
      </c>
      <c r="N679" s="95">
        <f>IF(H679=1,INDEX(tx_TaxCr,673),0)</f>
        <v/>
      </c>
      <c r="O679" s="101">
        <f>IF(H679=1,IF(E679&lt;FYStart,0,IF(E679&gt;FYEnd,13,YEAR(E679)*12+MONTH(E679)-FYYM+1)),"")</f>
        <v/>
      </c>
      <c r="P679" s="101">
        <f>IF(H679=1,IF(IFERROR(INDEX(coa_CF,MATCH(I679,coa_Name,0)),"")="Cash",1,0),0)</f>
        <v/>
      </c>
      <c r="Q679" s="101">
        <f>IF(H679=1,IF(IFERROR(INDEX(coa_CF,MATCH(K679,coa_Name,0)),"")="Cash",1,0),0)</f>
        <v/>
      </c>
      <c r="R679" s="58">
        <f>IF((P679-Q679)=0,"",IFERROR(INDEX(coa_CF,MATCH(IF((P679-Q679)=1,K679,I679),coa_Name,0)),"Operating"))</f>
        <v/>
      </c>
      <c r="S679" s="95">
        <f>IF((P679-Q679)=1,L679,IF((P679-Q679)=-1,-J679,0))</f>
        <v/>
      </c>
      <c r="T679" s="95">
        <f>IF((P679-Q679)=1,N679,IF((P679-Q679)=-1,-M679,0))</f>
        <v/>
      </c>
      <c r="U679" s="101">
        <f>IF(AND(H679=1,LedAcct&lt;&gt;""),IF(AND(E679&gt;=LedFrom,E679&lt;=LedTo,OR(I679=LedAcct,K679=LedAcct,AND(LedAcct=acctTax,M679+N679&lt;&gt;0))),E679*10000+B679,""),"")</f>
        <v/>
      </c>
    </row>
    <row r="680">
      <c r="B680" s="101" t="n">
        <v>674</v>
      </c>
      <c r="C680" s="58" t="inlineStr">
        <is>
          <t>Transaction</t>
        </is>
      </c>
      <c r="D680" s="58">
        <f>IF(H680=1,INDEX(tx_ID,674)&amp;"","")</f>
        <v/>
      </c>
      <c r="E680" s="94">
        <f>IF(H680=1,INDEX(tx_Date,674),"")</f>
        <v/>
      </c>
      <c r="F680" s="58">
        <f>IF(H680=1,INDEX(tx_Desc,674)&amp;"","")</f>
        <v/>
      </c>
      <c r="G680" s="58">
        <f>IF(H680=1,IF(INDEX(tx_Cust,674)&amp;""&lt;&gt;"",INDEX(tx_Cust,674)&amp;"",INDEX(tx_Vend,674)&amp;""),"")</f>
        <v/>
      </c>
      <c r="H680" s="101">
        <f>IFERROR(N(INDEX(tx_Posted,674)),0)</f>
        <v/>
      </c>
      <c r="I680" s="58">
        <f>IF(H680=1,INDEX(tx_DrAcct,674)&amp;"","")</f>
        <v/>
      </c>
      <c r="J680" s="95">
        <f>IF(H680=1,INDEX(tx_DrAmt,674),0)</f>
        <v/>
      </c>
      <c r="K680" s="58">
        <f>IF(H680=1,INDEX(tx_CrAcct,674)&amp;"","")</f>
        <v/>
      </c>
      <c r="L680" s="95">
        <f>IF(H680=1,INDEX(tx_CrAmt,674),0)</f>
        <v/>
      </c>
      <c r="M680" s="95">
        <f>IF(H680=1,INDEX(tx_TaxDr,674),0)</f>
        <v/>
      </c>
      <c r="N680" s="95">
        <f>IF(H680=1,INDEX(tx_TaxCr,674),0)</f>
        <v/>
      </c>
      <c r="O680" s="101">
        <f>IF(H680=1,IF(E680&lt;FYStart,0,IF(E680&gt;FYEnd,13,YEAR(E680)*12+MONTH(E680)-FYYM+1)),"")</f>
        <v/>
      </c>
      <c r="P680" s="101">
        <f>IF(H680=1,IF(IFERROR(INDEX(coa_CF,MATCH(I680,coa_Name,0)),"")="Cash",1,0),0)</f>
        <v/>
      </c>
      <c r="Q680" s="101">
        <f>IF(H680=1,IF(IFERROR(INDEX(coa_CF,MATCH(K680,coa_Name,0)),"")="Cash",1,0),0)</f>
        <v/>
      </c>
      <c r="R680" s="58">
        <f>IF((P680-Q680)=0,"",IFERROR(INDEX(coa_CF,MATCH(IF((P680-Q680)=1,K680,I680),coa_Name,0)),"Operating"))</f>
        <v/>
      </c>
      <c r="S680" s="95">
        <f>IF((P680-Q680)=1,L680,IF((P680-Q680)=-1,-J680,0))</f>
        <v/>
      </c>
      <c r="T680" s="95">
        <f>IF((P680-Q680)=1,N680,IF((P680-Q680)=-1,-M680,0))</f>
        <v/>
      </c>
      <c r="U680" s="101">
        <f>IF(AND(H680=1,LedAcct&lt;&gt;""),IF(AND(E680&gt;=LedFrom,E680&lt;=LedTo,OR(I680=LedAcct,K680=LedAcct,AND(LedAcct=acctTax,M680+N680&lt;&gt;0))),E680*10000+B680,""),"")</f>
        <v/>
      </c>
    </row>
    <row r="681">
      <c r="B681" s="101" t="n">
        <v>675</v>
      </c>
      <c r="C681" s="58" t="inlineStr">
        <is>
          <t>Transaction</t>
        </is>
      </c>
      <c r="D681" s="58">
        <f>IF(H681=1,INDEX(tx_ID,675)&amp;"","")</f>
        <v/>
      </c>
      <c r="E681" s="94">
        <f>IF(H681=1,INDEX(tx_Date,675),"")</f>
        <v/>
      </c>
      <c r="F681" s="58">
        <f>IF(H681=1,INDEX(tx_Desc,675)&amp;"","")</f>
        <v/>
      </c>
      <c r="G681" s="58">
        <f>IF(H681=1,IF(INDEX(tx_Cust,675)&amp;""&lt;&gt;"",INDEX(tx_Cust,675)&amp;"",INDEX(tx_Vend,675)&amp;""),"")</f>
        <v/>
      </c>
      <c r="H681" s="101">
        <f>IFERROR(N(INDEX(tx_Posted,675)),0)</f>
        <v/>
      </c>
      <c r="I681" s="58">
        <f>IF(H681=1,INDEX(tx_DrAcct,675)&amp;"","")</f>
        <v/>
      </c>
      <c r="J681" s="95">
        <f>IF(H681=1,INDEX(tx_DrAmt,675),0)</f>
        <v/>
      </c>
      <c r="K681" s="58">
        <f>IF(H681=1,INDEX(tx_CrAcct,675)&amp;"","")</f>
        <v/>
      </c>
      <c r="L681" s="95">
        <f>IF(H681=1,INDEX(tx_CrAmt,675),0)</f>
        <v/>
      </c>
      <c r="M681" s="95">
        <f>IF(H681=1,INDEX(tx_TaxDr,675),0)</f>
        <v/>
      </c>
      <c r="N681" s="95">
        <f>IF(H681=1,INDEX(tx_TaxCr,675),0)</f>
        <v/>
      </c>
      <c r="O681" s="101">
        <f>IF(H681=1,IF(E681&lt;FYStart,0,IF(E681&gt;FYEnd,13,YEAR(E681)*12+MONTH(E681)-FYYM+1)),"")</f>
        <v/>
      </c>
      <c r="P681" s="101">
        <f>IF(H681=1,IF(IFERROR(INDEX(coa_CF,MATCH(I681,coa_Name,0)),"")="Cash",1,0),0)</f>
        <v/>
      </c>
      <c r="Q681" s="101">
        <f>IF(H681=1,IF(IFERROR(INDEX(coa_CF,MATCH(K681,coa_Name,0)),"")="Cash",1,0),0)</f>
        <v/>
      </c>
      <c r="R681" s="58">
        <f>IF((P681-Q681)=0,"",IFERROR(INDEX(coa_CF,MATCH(IF((P681-Q681)=1,K681,I681),coa_Name,0)),"Operating"))</f>
        <v/>
      </c>
      <c r="S681" s="95">
        <f>IF((P681-Q681)=1,L681,IF((P681-Q681)=-1,-J681,0))</f>
        <v/>
      </c>
      <c r="T681" s="95">
        <f>IF((P681-Q681)=1,N681,IF((P681-Q681)=-1,-M681,0))</f>
        <v/>
      </c>
      <c r="U681" s="101">
        <f>IF(AND(H681=1,LedAcct&lt;&gt;""),IF(AND(E681&gt;=LedFrom,E681&lt;=LedTo,OR(I681=LedAcct,K681=LedAcct,AND(LedAcct=acctTax,M681+N681&lt;&gt;0))),E681*10000+B681,""),"")</f>
        <v/>
      </c>
    </row>
    <row r="682">
      <c r="B682" s="101" t="n">
        <v>676</v>
      </c>
      <c r="C682" s="58" t="inlineStr">
        <is>
          <t>Transaction</t>
        </is>
      </c>
      <c r="D682" s="58">
        <f>IF(H682=1,INDEX(tx_ID,676)&amp;"","")</f>
        <v/>
      </c>
      <c r="E682" s="94">
        <f>IF(H682=1,INDEX(tx_Date,676),"")</f>
        <v/>
      </c>
      <c r="F682" s="58">
        <f>IF(H682=1,INDEX(tx_Desc,676)&amp;"","")</f>
        <v/>
      </c>
      <c r="G682" s="58">
        <f>IF(H682=1,IF(INDEX(tx_Cust,676)&amp;""&lt;&gt;"",INDEX(tx_Cust,676)&amp;"",INDEX(tx_Vend,676)&amp;""),"")</f>
        <v/>
      </c>
      <c r="H682" s="101">
        <f>IFERROR(N(INDEX(tx_Posted,676)),0)</f>
        <v/>
      </c>
      <c r="I682" s="58">
        <f>IF(H682=1,INDEX(tx_DrAcct,676)&amp;"","")</f>
        <v/>
      </c>
      <c r="J682" s="95">
        <f>IF(H682=1,INDEX(tx_DrAmt,676),0)</f>
        <v/>
      </c>
      <c r="K682" s="58">
        <f>IF(H682=1,INDEX(tx_CrAcct,676)&amp;"","")</f>
        <v/>
      </c>
      <c r="L682" s="95">
        <f>IF(H682=1,INDEX(tx_CrAmt,676),0)</f>
        <v/>
      </c>
      <c r="M682" s="95">
        <f>IF(H682=1,INDEX(tx_TaxDr,676),0)</f>
        <v/>
      </c>
      <c r="N682" s="95">
        <f>IF(H682=1,INDEX(tx_TaxCr,676),0)</f>
        <v/>
      </c>
      <c r="O682" s="101">
        <f>IF(H682=1,IF(E682&lt;FYStart,0,IF(E682&gt;FYEnd,13,YEAR(E682)*12+MONTH(E682)-FYYM+1)),"")</f>
        <v/>
      </c>
      <c r="P682" s="101">
        <f>IF(H682=1,IF(IFERROR(INDEX(coa_CF,MATCH(I682,coa_Name,0)),"")="Cash",1,0),0)</f>
        <v/>
      </c>
      <c r="Q682" s="101">
        <f>IF(H682=1,IF(IFERROR(INDEX(coa_CF,MATCH(K682,coa_Name,0)),"")="Cash",1,0),0)</f>
        <v/>
      </c>
      <c r="R682" s="58">
        <f>IF((P682-Q682)=0,"",IFERROR(INDEX(coa_CF,MATCH(IF((P682-Q682)=1,K682,I682),coa_Name,0)),"Operating"))</f>
        <v/>
      </c>
      <c r="S682" s="95">
        <f>IF((P682-Q682)=1,L682,IF((P682-Q682)=-1,-J682,0))</f>
        <v/>
      </c>
      <c r="T682" s="95">
        <f>IF((P682-Q682)=1,N682,IF((P682-Q682)=-1,-M682,0))</f>
        <v/>
      </c>
      <c r="U682" s="101">
        <f>IF(AND(H682=1,LedAcct&lt;&gt;""),IF(AND(E682&gt;=LedFrom,E682&lt;=LedTo,OR(I682=LedAcct,K682=LedAcct,AND(LedAcct=acctTax,M682+N682&lt;&gt;0))),E682*10000+B682,""),"")</f>
        <v/>
      </c>
    </row>
    <row r="683">
      <c r="B683" s="101" t="n">
        <v>677</v>
      </c>
      <c r="C683" s="58" t="inlineStr">
        <is>
          <t>Transaction</t>
        </is>
      </c>
      <c r="D683" s="58">
        <f>IF(H683=1,INDEX(tx_ID,677)&amp;"","")</f>
        <v/>
      </c>
      <c r="E683" s="94">
        <f>IF(H683=1,INDEX(tx_Date,677),"")</f>
        <v/>
      </c>
      <c r="F683" s="58">
        <f>IF(H683=1,INDEX(tx_Desc,677)&amp;"","")</f>
        <v/>
      </c>
      <c r="G683" s="58">
        <f>IF(H683=1,IF(INDEX(tx_Cust,677)&amp;""&lt;&gt;"",INDEX(tx_Cust,677)&amp;"",INDEX(tx_Vend,677)&amp;""),"")</f>
        <v/>
      </c>
      <c r="H683" s="101">
        <f>IFERROR(N(INDEX(tx_Posted,677)),0)</f>
        <v/>
      </c>
      <c r="I683" s="58">
        <f>IF(H683=1,INDEX(tx_DrAcct,677)&amp;"","")</f>
        <v/>
      </c>
      <c r="J683" s="95">
        <f>IF(H683=1,INDEX(tx_DrAmt,677),0)</f>
        <v/>
      </c>
      <c r="K683" s="58">
        <f>IF(H683=1,INDEX(tx_CrAcct,677)&amp;"","")</f>
        <v/>
      </c>
      <c r="L683" s="95">
        <f>IF(H683=1,INDEX(tx_CrAmt,677),0)</f>
        <v/>
      </c>
      <c r="M683" s="95">
        <f>IF(H683=1,INDEX(tx_TaxDr,677),0)</f>
        <v/>
      </c>
      <c r="N683" s="95">
        <f>IF(H683=1,INDEX(tx_TaxCr,677),0)</f>
        <v/>
      </c>
      <c r="O683" s="101">
        <f>IF(H683=1,IF(E683&lt;FYStart,0,IF(E683&gt;FYEnd,13,YEAR(E683)*12+MONTH(E683)-FYYM+1)),"")</f>
        <v/>
      </c>
      <c r="P683" s="101">
        <f>IF(H683=1,IF(IFERROR(INDEX(coa_CF,MATCH(I683,coa_Name,0)),"")="Cash",1,0),0)</f>
        <v/>
      </c>
      <c r="Q683" s="101">
        <f>IF(H683=1,IF(IFERROR(INDEX(coa_CF,MATCH(K683,coa_Name,0)),"")="Cash",1,0),0)</f>
        <v/>
      </c>
      <c r="R683" s="58">
        <f>IF((P683-Q683)=0,"",IFERROR(INDEX(coa_CF,MATCH(IF((P683-Q683)=1,K683,I683),coa_Name,0)),"Operating"))</f>
        <v/>
      </c>
      <c r="S683" s="95">
        <f>IF((P683-Q683)=1,L683,IF((P683-Q683)=-1,-J683,0))</f>
        <v/>
      </c>
      <c r="T683" s="95">
        <f>IF((P683-Q683)=1,N683,IF((P683-Q683)=-1,-M683,0))</f>
        <v/>
      </c>
      <c r="U683" s="101">
        <f>IF(AND(H683=1,LedAcct&lt;&gt;""),IF(AND(E683&gt;=LedFrom,E683&lt;=LedTo,OR(I683=LedAcct,K683=LedAcct,AND(LedAcct=acctTax,M683+N683&lt;&gt;0))),E683*10000+B683,""),"")</f>
        <v/>
      </c>
    </row>
    <row r="684">
      <c r="B684" s="101" t="n">
        <v>678</v>
      </c>
      <c r="C684" s="58" t="inlineStr">
        <is>
          <t>Transaction</t>
        </is>
      </c>
      <c r="D684" s="58">
        <f>IF(H684=1,INDEX(tx_ID,678)&amp;"","")</f>
        <v/>
      </c>
      <c r="E684" s="94">
        <f>IF(H684=1,INDEX(tx_Date,678),"")</f>
        <v/>
      </c>
      <c r="F684" s="58">
        <f>IF(H684=1,INDEX(tx_Desc,678)&amp;"","")</f>
        <v/>
      </c>
      <c r="G684" s="58">
        <f>IF(H684=1,IF(INDEX(tx_Cust,678)&amp;""&lt;&gt;"",INDEX(tx_Cust,678)&amp;"",INDEX(tx_Vend,678)&amp;""),"")</f>
        <v/>
      </c>
      <c r="H684" s="101">
        <f>IFERROR(N(INDEX(tx_Posted,678)),0)</f>
        <v/>
      </c>
      <c r="I684" s="58">
        <f>IF(H684=1,INDEX(tx_DrAcct,678)&amp;"","")</f>
        <v/>
      </c>
      <c r="J684" s="95">
        <f>IF(H684=1,INDEX(tx_DrAmt,678),0)</f>
        <v/>
      </c>
      <c r="K684" s="58">
        <f>IF(H684=1,INDEX(tx_CrAcct,678)&amp;"","")</f>
        <v/>
      </c>
      <c r="L684" s="95">
        <f>IF(H684=1,INDEX(tx_CrAmt,678),0)</f>
        <v/>
      </c>
      <c r="M684" s="95">
        <f>IF(H684=1,INDEX(tx_TaxDr,678),0)</f>
        <v/>
      </c>
      <c r="N684" s="95">
        <f>IF(H684=1,INDEX(tx_TaxCr,678),0)</f>
        <v/>
      </c>
      <c r="O684" s="101">
        <f>IF(H684=1,IF(E684&lt;FYStart,0,IF(E684&gt;FYEnd,13,YEAR(E684)*12+MONTH(E684)-FYYM+1)),"")</f>
        <v/>
      </c>
      <c r="P684" s="101">
        <f>IF(H684=1,IF(IFERROR(INDEX(coa_CF,MATCH(I684,coa_Name,0)),"")="Cash",1,0),0)</f>
        <v/>
      </c>
      <c r="Q684" s="101">
        <f>IF(H684=1,IF(IFERROR(INDEX(coa_CF,MATCH(K684,coa_Name,0)),"")="Cash",1,0),0)</f>
        <v/>
      </c>
      <c r="R684" s="58">
        <f>IF((P684-Q684)=0,"",IFERROR(INDEX(coa_CF,MATCH(IF((P684-Q684)=1,K684,I684),coa_Name,0)),"Operating"))</f>
        <v/>
      </c>
      <c r="S684" s="95">
        <f>IF((P684-Q684)=1,L684,IF((P684-Q684)=-1,-J684,0))</f>
        <v/>
      </c>
      <c r="T684" s="95">
        <f>IF((P684-Q684)=1,N684,IF((P684-Q684)=-1,-M684,0))</f>
        <v/>
      </c>
      <c r="U684" s="101">
        <f>IF(AND(H684=1,LedAcct&lt;&gt;""),IF(AND(E684&gt;=LedFrom,E684&lt;=LedTo,OR(I684=LedAcct,K684=LedAcct,AND(LedAcct=acctTax,M684+N684&lt;&gt;0))),E684*10000+B684,""),"")</f>
        <v/>
      </c>
    </row>
    <row r="685">
      <c r="B685" s="101" t="n">
        <v>679</v>
      </c>
      <c r="C685" s="58" t="inlineStr">
        <is>
          <t>Transaction</t>
        </is>
      </c>
      <c r="D685" s="58">
        <f>IF(H685=1,INDEX(tx_ID,679)&amp;"","")</f>
        <v/>
      </c>
      <c r="E685" s="94">
        <f>IF(H685=1,INDEX(tx_Date,679),"")</f>
        <v/>
      </c>
      <c r="F685" s="58">
        <f>IF(H685=1,INDEX(tx_Desc,679)&amp;"","")</f>
        <v/>
      </c>
      <c r="G685" s="58">
        <f>IF(H685=1,IF(INDEX(tx_Cust,679)&amp;""&lt;&gt;"",INDEX(tx_Cust,679)&amp;"",INDEX(tx_Vend,679)&amp;""),"")</f>
        <v/>
      </c>
      <c r="H685" s="101">
        <f>IFERROR(N(INDEX(tx_Posted,679)),0)</f>
        <v/>
      </c>
      <c r="I685" s="58">
        <f>IF(H685=1,INDEX(tx_DrAcct,679)&amp;"","")</f>
        <v/>
      </c>
      <c r="J685" s="95">
        <f>IF(H685=1,INDEX(tx_DrAmt,679),0)</f>
        <v/>
      </c>
      <c r="K685" s="58">
        <f>IF(H685=1,INDEX(tx_CrAcct,679)&amp;"","")</f>
        <v/>
      </c>
      <c r="L685" s="95">
        <f>IF(H685=1,INDEX(tx_CrAmt,679),0)</f>
        <v/>
      </c>
      <c r="M685" s="95">
        <f>IF(H685=1,INDEX(tx_TaxDr,679),0)</f>
        <v/>
      </c>
      <c r="N685" s="95">
        <f>IF(H685=1,INDEX(tx_TaxCr,679),0)</f>
        <v/>
      </c>
      <c r="O685" s="101">
        <f>IF(H685=1,IF(E685&lt;FYStart,0,IF(E685&gt;FYEnd,13,YEAR(E685)*12+MONTH(E685)-FYYM+1)),"")</f>
        <v/>
      </c>
      <c r="P685" s="101">
        <f>IF(H685=1,IF(IFERROR(INDEX(coa_CF,MATCH(I685,coa_Name,0)),"")="Cash",1,0),0)</f>
        <v/>
      </c>
      <c r="Q685" s="101">
        <f>IF(H685=1,IF(IFERROR(INDEX(coa_CF,MATCH(K685,coa_Name,0)),"")="Cash",1,0),0)</f>
        <v/>
      </c>
      <c r="R685" s="58">
        <f>IF((P685-Q685)=0,"",IFERROR(INDEX(coa_CF,MATCH(IF((P685-Q685)=1,K685,I685),coa_Name,0)),"Operating"))</f>
        <v/>
      </c>
      <c r="S685" s="95">
        <f>IF((P685-Q685)=1,L685,IF((P685-Q685)=-1,-J685,0))</f>
        <v/>
      </c>
      <c r="T685" s="95">
        <f>IF((P685-Q685)=1,N685,IF((P685-Q685)=-1,-M685,0))</f>
        <v/>
      </c>
      <c r="U685" s="101">
        <f>IF(AND(H685=1,LedAcct&lt;&gt;""),IF(AND(E685&gt;=LedFrom,E685&lt;=LedTo,OR(I685=LedAcct,K685=LedAcct,AND(LedAcct=acctTax,M685+N685&lt;&gt;0))),E685*10000+B685,""),"")</f>
        <v/>
      </c>
    </row>
    <row r="686">
      <c r="B686" s="101" t="n">
        <v>680</v>
      </c>
      <c r="C686" s="58" t="inlineStr">
        <is>
          <t>Transaction</t>
        </is>
      </c>
      <c r="D686" s="58">
        <f>IF(H686=1,INDEX(tx_ID,680)&amp;"","")</f>
        <v/>
      </c>
      <c r="E686" s="94">
        <f>IF(H686=1,INDEX(tx_Date,680),"")</f>
        <v/>
      </c>
      <c r="F686" s="58">
        <f>IF(H686=1,INDEX(tx_Desc,680)&amp;"","")</f>
        <v/>
      </c>
      <c r="G686" s="58">
        <f>IF(H686=1,IF(INDEX(tx_Cust,680)&amp;""&lt;&gt;"",INDEX(tx_Cust,680)&amp;"",INDEX(tx_Vend,680)&amp;""),"")</f>
        <v/>
      </c>
      <c r="H686" s="101">
        <f>IFERROR(N(INDEX(tx_Posted,680)),0)</f>
        <v/>
      </c>
      <c r="I686" s="58">
        <f>IF(H686=1,INDEX(tx_DrAcct,680)&amp;"","")</f>
        <v/>
      </c>
      <c r="J686" s="95">
        <f>IF(H686=1,INDEX(tx_DrAmt,680),0)</f>
        <v/>
      </c>
      <c r="K686" s="58">
        <f>IF(H686=1,INDEX(tx_CrAcct,680)&amp;"","")</f>
        <v/>
      </c>
      <c r="L686" s="95">
        <f>IF(H686=1,INDEX(tx_CrAmt,680),0)</f>
        <v/>
      </c>
      <c r="M686" s="95">
        <f>IF(H686=1,INDEX(tx_TaxDr,680),0)</f>
        <v/>
      </c>
      <c r="N686" s="95">
        <f>IF(H686=1,INDEX(tx_TaxCr,680),0)</f>
        <v/>
      </c>
      <c r="O686" s="101">
        <f>IF(H686=1,IF(E686&lt;FYStart,0,IF(E686&gt;FYEnd,13,YEAR(E686)*12+MONTH(E686)-FYYM+1)),"")</f>
        <v/>
      </c>
      <c r="P686" s="101">
        <f>IF(H686=1,IF(IFERROR(INDEX(coa_CF,MATCH(I686,coa_Name,0)),"")="Cash",1,0),0)</f>
        <v/>
      </c>
      <c r="Q686" s="101">
        <f>IF(H686=1,IF(IFERROR(INDEX(coa_CF,MATCH(K686,coa_Name,0)),"")="Cash",1,0),0)</f>
        <v/>
      </c>
      <c r="R686" s="58">
        <f>IF((P686-Q686)=0,"",IFERROR(INDEX(coa_CF,MATCH(IF((P686-Q686)=1,K686,I686),coa_Name,0)),"Operating"))</f>
        <v/>
      </c>
      <c r="S686" s="95">
        <f>IF((P686-Q686)=1,L686,IF((P686-Q686)=-1,-J686,0))</f>
        <v/>
      </c>
      <c r="T686" s="95">
        <f>IF((P686-Q686)=1,N686,IF((P686-Q686)=-1,-M686,0))</f>
        <v/>
      </c>
      <c r="U686" s="101">
        <f>IF(AND(H686=1,LedAcct&lt;&gt;""),IF(AND(E686&gt;=LedFrom,E686&lt;=LedTo,OR(I686=LedAcct,K686=LedAcct,AND(LedAcct=acctTax,M686+N686&lt;&gt;0))),E686*10000+B686,""),"")</f>
        <v/>
      </c>
    </row>
    <row r="687">
      <c r="B687" s="101" t="n">
        <v>681</v>
      </c>
      <c r="C687" s="58" t="inlineStr">
        <is>
          <t>Transaction</t>
        </is>
      </c>
      <c r="D687" s="58">
        <f>IF(H687=1,INDEX(tx_ID,681)&amp;"","")</f>
        <v/>
      </c>
      <c r="E687" s="94">
        <f>IF(H687=1,INDEX(tx_Date,681),"")</f>
        <v/>
      </c>
      <c r="F687" s="58">
        <f>IF(H687=1,INDEX(tx_Desc,681)&amp;"","")</f>
        <v/>
      </c>
      <c r="G687" s="58">
        <f>IF(H687=1,IF(INDEX(tx_Cust,681)&amp;""&lt;&gt;"",INDEX(tx_Cust,681)&amp;"",INDEX(tx_Vend,681)&amp;""),"")</f>
        <v/>
      </c>
      <c r="H687" s="101">
        <f>IFERROR(N(INDEX(tx_Posted,681)),0)</f>
        <v/>
      </c>
      <c r="I687" s="58">
        <f>IF(H687=1,INDEX(tx_DrAcct,681)&amp;"","")</f>
        <v/>
      </c>
      <c r="J687" s="95">
        <f>IF(H687=1,INDEX(tx_DrAmt,681),0)</f>
        <v/>
      </c>
      <c r="K687" s="58">
        <f>IF(H687=1,INDEX(tx_CrAcct,681)&amp;"","")</f>
        <v/>
      </c>
      <c r="L687" s="95">
        <f>IF(H687=1,INDEX(tx_CrAmt,681),0)</f>
        <v/>
      </c>
      <c r="M687" s="95">
        <f>IF(H687=1,INDEX(tx_TaxDr,681),0)</f>
        <v/>
      </c>
      <c r="N687" s="95">
        <f>IF(H687=1,INDEX(tx_TaxCr,681),0)</f>
        <v/>
      </c>
      <c r="O687" s="101">
        <f>IF(H687=1,IF(E687&lt;FYStart,0,IF(E687&gt;FYEnd,13,YEAR(E687)*12+MONTH(E687)-FYYM+1)),"")</f>
        <v/>
      </c>
      <c r="P687" s="101">
        <f>IF(H687=1,IF(IFERROR(INDEX(coa_CF,MATCH(I687,coa_Name,0)),"")="Cash",1,0),0)</f>
        <v/>
      </c>
      <c r="Q687" s="101">
        <f>IF(H687=1,IF(IFERROR(INDEX(coa_CF,MATCH(K687,coa_Name,0)),"")="Cash",1,0),0)</f>
        <v/>
      </c>
      <c r="R687" s="58">
        <f>IF((P687-Q687)=0,"",IFERROR(INDEX(coa_CF,MATCH(IF((P687-Q687)=1,K687,I687),coa_Name,0)),"Operating"))</f>
        <v/>
      </c>
      <c r="S687" s="95">
        <f>IF((P687-Q687)=1,L687,IF((P687-Q687)=-1,-J687,0))</f>
        <v/>
      </c>
      <c r="T687" s="95">
        <f>IF((P687-Q687)=1,N687,IF((P687-Q687)=-1,-M687,0))</f>
        <v/>
      </c>
      <c r="U687" s="101">
        <f>IF(AND(H687=1,LedAcct&lt;&gt;""),IF(AND(E687&gt;=LedFrom,E687&lt;=LedTo,OR(I687=LedAcct,K687=LedAcct,AND(LedAcct=acctTax,M687+N687&lt;&gt;0))),E687*10000+B687,""),"")</f>
        <v/>
      </c>
    </row>
    <row r="688">
      <c r="B688" s="101" t="n">
        <v>682</v>
      </c>
      <c r="C688" s="58" t="inlineStr">
        <is>
          <t>Transaction</t>
        </is>
      </c>
      <c r="D688" s="58">
        <f>IF(H688=1,INDEX(tx_ID,682)&amp;"","")</f>
        <v/>
      </c>
      <c r="E688" s="94">
        <f>IF(H688=1,INDEX(tx_Date,682),"")</f>
        <v/>
      </c>
      <c r="F688" s="58">
        <f>IF(H688=1,INDEX(tx_Desc,682)&amp;"","")</f>
        <v/>
      </c>
      <c r="G688" s="58">
        <f>IF(H688=1,IF(INDEX(tx_Cust,682)&amp;""&lt;&gt;"",INDEX(tx_Cust,682)&amp;"",INDEX(tx_Vend,682)&amp;""),"")</f>
        <v/>
      </c>
      <c r="H688" s="101">
        <f>IFERROR(N(INDEX(tx_Posted,682)),0)</f>
        <v/>
      </c>
      <c r="I688" s="58">
        <f>IF(H688=1,INDEX(tx_DrAcct,682)&amp;"","")</f>
        <v/>
      </c>
      <c r="J688" s="95">
        <f>IF(H688=1,INDEX(tx_DrAmt,682),0)</f>
        <v/>
      </c>
      <c r="K688" s="58">
        <f>IF(H688=1,INDEX(tx_CrAcct,682)&amp;"","")</f>
        <v/>
      </c>
      <c r="L688" s="95">
        <f>IF(H688=1,INDEX(tx_CrAmt,682),0)</f>
        <v/>
      </c>
      <c r="M688" s="95">
        <f>IF(H688=1,INDEX(tx_TaxDr,682),0)</f>
        <v/>
      </c>
      <c r="N688" s="95">
        <f>IF(H688=1,INDEX(tx_TaxCr,682),0)</f>
        <v/>
      </c>
      <c r="O688" s="101">
        <f>IF(H688=1,IF(E688&lt;FYStart,0,IF(E688&gt;FYEnd,13,YEAR(E688)*12+MONTH(E688)-FYYM+1)),"")</f>
        <v/>
      </c>
      <c r="P688" s="101">
        <f>IF(H688=1,IF(IFERROR(INDEX(coa_CF,MATCH(I688,coa_Name,0)),"")="Cash",1,0),0)</f>
        <v/>
      </c>
      <c r="Q688" s="101">
        <f>IF(H688=1,IF(IFERROR(INDEX(coa_CF,MATCH(K688,coa_Name,0)),"")="Cash",1,0),0)</f>
        <v/>
      </c>
      <c r="R688" s="58">
        <f>IF((P688-Q688)=0,"",IFERROR(INDEX(coa_CF,MATCH(IF((P688-Q688)=1,K688,I688),coa_Name,0)),"Operating"))</f>
        <v/>
      </c>
      <c r="S688" s="95">
        <f>IF((P688-Q688)=1,L688,IF((P688-Q688)=-1,-J688,0))</f>
        <v/>
      </c>
      <c r="T688" s="95">
        <f>IF((P688-Q688)=1,N688,IF((P688-Q688)=-1,-M688,0))</f>
        <v/>
      </c>
      <c r="U688" s="101">
        <f>IF(AND(H688=1,LedAcct&lt;&gt;""),IF(AND(E688&gt;=LedFrom,E688&lt;=LedTo,OR(I688=LedAcct,K688=LedAcct,AND(LedAcct=acctTax,M688+N688&lt;&gt;0))),E688*10000+B688,""),"")</f>
        <v/>
      </c>
    </row>
    <row r="689">
      <c r="B689" s="101" t="n">
        <v>683</v>
      </c>
      <c r="C689" s="58" t="inlineStr">
        <is>
          <t>Transaction</t>
        </is>
      </c>
      <c r="D689" s="58">
        <f>IF(H689=1,INDEX(tx_ID,683)&amp;"","")</f>
        <v/>
      </c>
      <c r="E689" s="94">
        <f>IF(H689=1,INDEX(tx_Date,683),"")</f>
        <v/>
      </c>
      <c r="F689" s="58">
        <f>IF(H689=1,INDEX(tx_Desc,683)&amp;"","")</f>
        <v/>
      </c>
      <c r="G689" s="58">
        <f>IF(H689=1,IF(INDEX(tx_Cust,683)&amp;""&lt;&gt;"",INDEX(tx_Cust,683)&amp;"",INDEX(tx_Vend,683)&amp;""),"")</f>
        <v/>
      </c>
      <c r="H689" s="101">
        <f>IFERROR(N(INDEX(tx_Posted,683)),0)</f>
        <v/>
      </c>
      <c r="I689" s="58">
        <f>IF(H689=1,INDEX(tx_DrAcct,683)&amp;"","")</f>
        <v/>
      </c>
      <c r="J689" s="95">
        <f>IF(H689=1,INDEX(tx_DrAmt,683),0)</f>
        <v/>
      </c>
      <c r="K689" s="58">
        <f>IF(H689=1,INDEX(tx_CrAcct,683)&amp;"","")</f>
        <v/>
      </c>
      <c r="L689" s="95">
        <f>IF(H689=1,INDEX(tx_CrAmt,683),0)</f>
        <v/>
      </c>
      <c r="M689" s="95">
        <f>IF(H689=1,INDEX(tx_TaxDr,683),0)</f>
        <v/>
      </c>
      <c r="N689" s="95">
        <f>IF(H689=1,INDEX(tx_TaxCr,683),0)</f>
        <v/>
      </c>
      <c r="O689" s="101">
        <f>IF(H689=1,IF(E689&lt;FYStart,0,IF(E689&gt;FYEnd,13,YEAR(E689)*12+MONTH(E689)-FYYM+1)),"")</f>
        <v/>
      </c>
      <c r="P689" s="101">
        <f>IF(H689=1,IF(IFERROR(INDEX(coa_CF,MATCH(I689,coa_Name,0)),"")="Cash",1,0),0)</f>
        <v/>
      </c>
      <c r="Q689" s="101">
        <f>IF(H689=1,IF(IFERROR(INDEX(coa_CF,MATCH(K689,coa_Name,0)),"")="Cash",1,0),0)</f>
        <v/>
      </c>
      <c r="R689" s="58">
        <f>IF((P689-Q689)=0,"",IFERROR(INDEX(coa_CF,MATCH(IF((P689-Q689)=1,K689,I689),coa_Name,0)),"Operating"))</f>
        <v/>
      </c>
      <c r="S689" s="95">
        <f>IF((P689-Q689)=1,L689,IF((P689-Q689)=-1,-J689,0))</f>
        <v/>
      </c>
      <c r="T689" s="95">
        <f>IF((P689-Q689)=1,N689,IF((P689-Q689)=-1,-M689,0))</f>
        <v/>
      </c>
      <c r="U689" s="101">
        <f>IF(AND(H689=1,LedAcct&lt;&gt;""),IF(AND(E689&gt;=LedFrom,E689&lt;=LedTo,OR(I689=LedAcct,K689=LedAcct,AND(LedAcct=acctTax,M689+N689&lt;&gt;0))),E689*10000+B689,""),"")</f>
        <v/>
      </c>
    </row>
    <row r="690">
      <c r="B690" s="101" t="n">
        <v>684</v>
      </c>
      <c r="C690" s="58" t="inlineStr">
        <is>
          <t>Transaction</t>
        </is>
      </c>
      <c r="D690" s="58">
        <f>IF(H690=1,INDEX(tx_ID,684)&amp;"","")</f>
        <v/>
      </c>
      <c r="E690" s="94">
        <f>IF(H690=1,INDEX(tx_Date,684),"")</f>
        <v/>
      </c>
      <c r="F690" s="58">
        <f>IF(H690=1,INDEX(tx_Desc,684)&amp;"","")</f>
        <v/>
      </c>
      <c r="G690" s="58">
        <f>IF(H690=1,IF(INDEX(tx_Cust,684)&amp;""&lt;&gt;"",INDEX(tx_Cust,684)&amp;"",INDEX(tx_Vend,684)&amp;""),"")</f>
        <v/>
      </c>
      <c r="H690" s="101">
        <f>IFERROR(N(INDEX(tx_Posted,684)),0)</f>
        <v/>
      </c>
      <c r="I690" s="58">
        <f>IF(H690=1,INDEX(tx_DrAcct,684)&amp;"","")</f>
        <v/>
      </c>
      <c r="J690" s="95">
        <f>IF(H690=1,INDEX(tx_DrAmt,684),0)</f>
        <v/>
      </c>
      <c r="K690" s="58">
        <f>IF(H690=1,INDEX(tx_CrAcct,684)&amp;"","")</f>
        <v/>
      </c>
      <c r="L690" s="95">
        <f>IF(H690=1,INDEX(tx_CrAmt,684),0)</f>
        <v/>
      </c>
      <c r="M690" s="95">
        <f>IF(H690=1,INDEX(tx_TaxDr,684),0)</f>
        <v/>
      </c>
      <c r="N690" s="95">
        <f>IF(H690=1,INDEX(tx_TaxCr,684),0)</f>
        <v/>
      </c>
      <c r="O690" s="101">
        <f>IF(H690=1,IF(E690&lt;FYStart,0,IF(E690&gt;FYEnd,13,YEAR(E690)*12+MONTH(E690)-FYYM+1)),"")</f>
        <v/>
      </c>
      <c r="P690" s="101">
        <f>IF(H690=1,IF(IFERROR(INDEX(coa_CF,MATCH(I690,coa_Name,0)),"")="Cash",1,0),0)</f>
        <v/>
      </c>
      <c r="Q690" s="101">
        <f>IF(H690=1,IF(IFERROR(INDEX(coa_CF,MATCH(K690,coa_Name,0)),"")="Cash",1,0),0)</f>
        <v/>
      </c>
      <c r="R690" s="58">
        <f>IF((P690-Q690)=0,"",IFERROR(INDEX(coa_CF,MATCH(IF((P690-Q690)=1,K690,I690),coa_Name,0)),"Operating"))</f>
        <v/>
      </c>
      <c r="S690" s="95">
        <f>IF((P690-Q690)=1,L690,IF((P690-Q690)=-1,-J690,0))</f>
        <v/>
      </c>
      <c r="T690" s="95">
        <f>IF((P690-Q690)=1,N690,IF((P690-Q690)=-1,-M690,0))</f>
        <v/>
      </c>
      <c r="U690" s="101">
        <f>IF(AND(H690=1,LedAcct&lt;&gt;""),IF(AND(E690&gt;=LedFrom,E690&lt;=LedTo,OR(I690=LedAcct,K690=LedAcct,AND(LedAcct=acctTax,M690+N690&lt;&gt;0))),E690*10000+B690,""),"")</f>
        <v/>
      </c>
    </row>
    <row r="691">
      <c r="B691" s="101" t="n">
        <v>685</v>
      </c>
      <c r="C691" s="58" t="inlineStr">
        <is>
          <t>Transaction</t>
        </is>
      </c>
      <c r="D691" s="58">
        <f>IF(H691=1,INDEX(tx_ID,685)&amp;"","")</f>
        <v/>
      </c>
      <c r="E691" s="94">
        <f>IF(H691=1,INDEX(tx_Date,685),"")</f>
        <v/>
      </c>
      <c r="F691" s="58">
        <f>IF(H691=1,INDEX(tx_Desc,685)&amp;"","")</f>
        <v/>
      </c>
      <c r="G691" s="58">
        <f>IF(H691=1,IF(INDEX(tx_Cust,685)&amp;""&lt;&gt;"",INDEX(tx_Cust,685)&amp;"",INDEX(tx_Vend,685)&amp;""),"")</f>
        <v/>
      </c>
      <c r="H691" s="101">
        <f>IFERROR(N(INDEX(tx_Posted,685)),0)</f>
        <v/>
      </c>
      <c r="I691" s="58">
        <f>IF(H691=1,INDEX(tx_DrAcct,685)&amp;"","")</f>
        <v/>
      </c>
      <c r="J691" s="95">
        <f>IF(H691=1,INDEX(tx_DrAmt,685),0)</f>
        <v/>
      </c>
      <c r="K691" s="58">
        <f>IF(H691=1,INDEX(tx_CrAcct,685)&amp;"","")</f>
        <v/>
      </c>
      <c r="L691" s="95">
        <f>IF(H691=1,INDEX(tx_CrAmt,685),0)</f>
        <v/>
      </c>
      <c r="M691" s="95">
        <f>IF(H691=1,INDEX(tx_TaxDr,685),0)</f>
        <v/>
      </c>
      <c r="N691" s="95">
        <f>IF(H691=1,INDEX(tx_TaxCr,685),0)</f>
        <v/>
      </c>
      <c r="O691" s="101">
        <f>IF(H691=1,IF(E691&lt;FYStart,0,IF(E691&gt;FYEnd,13,YEAR(E691)*12+MONTH(E691)-FYYM+1)),"")</f>
        <v/>
      </c>
      <c r="P691" s="101">
        <f>IF(H691=1,IF(IFERROR(INDEX(coa_CF,MATCH(I691,coa_Name,0)),"")="Cash",1,0),0)</f>
        <v/>
      </c>
      <c r="Q691" s="101">
        <f>IF(H691=1,IF(IFERROR(INDEX(coa_CF,MATCH(K691,coa_Name,0)),"")="Cash",1,0),0)</f>
        <v/>
      </c>
      <c r="R691" s="58">
        <f>IF((P691-Q691)=0,"",IFERROR(INDEX(coa_CF,MATCH(IF((P691-Q691)=1,K691,I691),coa_Name,0)),"Operating"))</f>
        <v/>
      </c>
      <c r="S691" s="95">
        <f>IF((P691-Q691)=1,L691,IF((P691-Q691)=-1,-J691,0))</f>
        <v/>
      </c>
      <c r="T691" s="95">
        <f>IF((P691-Q691)=1,N691,IF((P691-Q691)=-1,-M691,0))</f>
        <v/>
      </c>
      <c r="U691" s="101">
        <f>IF(AND(H691=1,LedAcct&lt;&gt;""),IF(AND(E691&gt;=LedFrom,E691&lt;=LedTo,OR(I691=LedAcct,K691=LedAcct,AND(LedAcct=acctTax,M691+N691&lt;&gt;0))),E691*10000+B691,""),"")</f>
        <v/>
      </c>
    </row>
    <row r="692">
      <c r="B692" s="101" t="n">
        <v>686</v>
      </c>
      <c r="C692" s="58" t="inlineStr">
        <is>
          <t>Transaction</t>
        </is>
      </c>
      <c r="D692" s="58">
        <f>IF(H692=1,INDEX(tx_ID,686)&amp;"","")</f>
        <v/>
      </c>
      <c r="E692" s="94">
        <f>IF(H692=1,INDEX(tx_Date,686),"")</f>
        <v/>
      </c>
      <c r="F692" s="58">
        <f>IF(H692=1,INDEX(tx_Desc,686)&amp;"","")</f>
        <v/>
      </c>
      <c r="G692" s="58">
        <f>IF(H692=1,IF(INDEX(tx_Cust,686)&amp;""&lt;&gt;"",INDEX(tx_Cust,686)&amp;"",INDEX(tx_Vend,686)&amp;""),"")</f>
        <v/>
      </c>
      <c r="H692" s="101">
        <f>IFERROR(N(INDEX(tx_Posted,686)),0)</f>
        <v/>
      </c>
      <c r="I692" s="58">
        <f>IF(H692=1,INDEX(tx_DrAcct,686)&amp;"","")</f>
        <v/>
      </c>
      <c r="J692" s="95">
        <f>IF(H692=1,INDEX(tx_DrAmt,686),0)</f>
        <v/>
      </c>
      <c r="K692" s="58">
        <f>IF(H692=1,INDEX(tx_CrAcct,686)&amp;"","")</f>
        <v/>
      </c>
      <c r="L692" s="95">
        <f>IF(H692=1,INDEX(tx_CrAmt,686),0)</f>
        <v/>
      </c>
      <c r="M692" s="95">
        <f>IF(H692=1,INDEX(tx_TaxDr,686),0)</f>
        <v/>
      </c>
      <c r="N692" s="95">
        <f>IF(H692=1,INDEX(tx_TaxCr,686),0)</f>
        <v/>
      </c>
      <c r="O692" s="101">
        <f>IF(H692=1,IF(E692&lt;FYStart,0,IF(E692&gt;FYEnd,13,YEAR(E692)*12+MONTH(E692)-FYYM+1)),"")</f>
        <v/>
      </c>
      <c r="P692" s="101">
        <f>IF(H692=1,IF(IFERROR(INDEX(coa_CF,MATCH(I692,coa_Name,0)),"")="Cash",1,0),0)</f>
        <v/>
      </c>
      <c r="Q692" s="101">
        <f>IF(H692=1,IF(IFERROR(INDEX(coa_CF,MATCH(K692,coa_Name,0)),"")="Cash",1,0),0)</f>
        <v/>
      </c>
      <c r="R692" s="58">
        <f>IF((P692-Q692)=0,"",IFERROR(INDEX(coa_CF,MATCH(IF((P692-Q692)=1,K692,I692),coa_Name,0)),"Operating"))</f>
        <v/>
      </c>
      <c r="S692" s="95">
        <f>IF((P692-Q692)=1,L692,IF((P692-Q692)=-1,-J692,0))</f>
        <v/>
      </c>
      <c r="T692" s="95">
        <f>IF((P692-Q692)=1,N692,IF((P692-Q692)=-1,-M692,0))</f>
        <v/>
      </c>
      <c r="U692" s="101">
        <f>IF(AND(H692=1,LedAcct&lt;&gt;""),IF(AND(E692&gt;=LedFrom,E692&lt;=LedTo,OR(I692=LedAcct,K692=LedAcct,AND(LedAcct=acctTax,M692+N692&lt;&gt;0))),E692*10000+B692,""),"")</f>
        <v/>
      </c>
    </row>
    <row r="693">
      <c r="B693" s="101" t="n">
        <v>687</v>
      </c>
      <c r="C693" s="58" t="inlineStr">
        <is>
          <t>Transaction</t>
        </is>
      </c>
      <c r="D693" s="58">
        <f>IF(H693=1,INDEX(tx_ID,687)&amp;"","")</f>
        <v/>
      </c>
      <c r="E693" s="94">
        <f>IF(H693=1,INDEX(tx_Date,687),"")</f>
        <v/>
      </c>
      <c r="F693" s="58">
        <f>IF(H693=1,INDEX(tx_Desc,687)&amp;"","")</f>
        <v/>
      </c>
      <c r="G693" s="58">
        <f>IF(H693=1,IF(INDEX(tx_Cust,687)&amp;""&lt;&gt;"",INDEX(tx_Cust,687)&amp;"",INDEX(tx_Vend,687)&amp;""),"")</f>
        <v/>
      </c>
      <c r="H693" s="101">
        <f>IFERROR(N(INDEX(tx_Posted,687)),0)</f>
        <v/>
      </c>
      <c r="I693" s="58">
        <f>IF(H693=1,INDEX(tx_DrAcct,687)&amp;"","")</f>
        <v/>
      </c>
      <c r="J693" s="95">
        <f>IF(H693=1,INDEX(tx_DrAmt,687),0)</f>
        <v/>
      </c>
      <c r="K693" s="58">
        <f>IF(H693=1,INDEX(tx_CrAcct,687)&amp;"","")</f>
        <v/>
      </c>
      <c r="L693" s="95">
        <f>IF(H693=1,INDEX(tx_CrAmt,687),0)</f>
        <v/>
      </c>
      <c r="M693" s="95">
        <f>IF(H693=1,INDEX(tx_TaxDr,687),0)</f>
        <v/>
      </c>
      <c r="N693" s="95">
        <f>IF(H693=1,INDEX(tx_TaxCr,687),0)</f>
        <v/>
      </c>
      <c r="O693" s="101">
        <f>IF(H693=1,IF(E693&lt;FYStart,0,IF(E693&gt;FYEnd,13,YEAR(E693)*12+MONTH(E693)-FYYM+1)),"")</f>
        <v/>
      </c>
      <c r="P693" s="101">
        <f>IF(H693=1,IF(IFERROR(INDEX(coa_CF,MATCH(I693,coa_Name,0)),"")="Cash",1,0),0)</f>
        <v/>
      </c>
      <c r="Q693" s="101">
        <f>IF(H693=1,IF(IFERROR(INDEX(coa_CF,MATCH(K693,coa_Name,0)),"")="Cash",1,0),0)</f>
        <v/>
      </c>
      <c r="R693" s="58">
        <f>IF((P693-Q693)=0,"",IFERROR(INDEX(coa_CF,MATCH(IF((P693-Q693)=1,K693,I693),coa_Name,0)),"Operating"))</f>
        <v/>
      </c>
      <c r="S693" s="95">
        <f>IF((P693-Q693)=1,L693,IF((P693-Q693)=-1,-J693,0))</f>
        <v/>
      </c>
      <c r="T693" s="95">
        <f>IF((P693-Q693)=1,N693,IF((P693-Q693)=-1,-M693,0))</f>
        <v/>
      </c>
      <c r="U693" s="101">
        <f>IF(AND(H693=1,LedAcct&lt;&gt;""),IF(AND(E693&gt;=LedFrom,E693&lt;=LedTo,OR(I693=LedAcct,K693=LedAcct,AND(LedAcct=acctTax,M693+N693&lt;&gt;0))),E693*10000+B693,""),"")</f>
        <v/>
      </c>
    </row>
    <row r="694">
      <c r="B694" s="101" t="n">
        <v>688</v>
      </c>
      <c r="C694" s="58" t="inlineStr">
        <is>
          <t>Transaction</t>
        </is>
      </c>
      <c r="D694" s="58">
        <f>IF(H694=1,INDEX(tx_ID,688)&amp;"","")</f>
        <v/>
      </c>
      <c r="E694" s="94">
        <f>IF(H694=1,INDEX(tx_Date,688),"")</f>
        <v/>
      </c>
      <c r="F694" s="58">
        <f>IF(H694=1,INDEX(tx_Desc,688)&amp;"","")</f>
        <v/>
      </c>
      <c r="G694" s="58">
        <f>IF(H694=1,IF(INDEX(tx_Cust,688)&amp;""&lt;&gt;"",INDEX(tx_Cust,688)&amp;"",INDEX(tx_Vend,688)&amp;""),"")</f>
        <v/>
      </c>
      <c r="H694" s="101">
        <f>IFERROR(N(INDEX(tx_Posted,688)),0)</f>
        <v/>
      </c>
      <c r="I694" s="58">
        <f>IF(H694=1,INDEX(tx_DrAcct,688)&amp;"","")</f>
        <v/>
      </c>
      <c r="J694" s="95">
        <f>IF(H694=1,INDEX(tx_DrAmt,688),0)</f>
        <v/>
      </c>
      <c r="K694" s="58">
        <f>IF(H694=1,INDEX(tx_CrAcct,688)&amp;"","")</f>
        <v/>
      </c>
      <c r="L694" s="95">
        <f>IF(H694=1,INDEX(tx_CrAmt,688),0)</f>
        <v/>
      </c>
      <c r="M694" s="95">
        <f>IF(H694=1,INDEX(tx_TaxDr,688),0)</f>
        <v/>
      </c>
      <c r="N694" s="95">
        <f>IF(H694=1,INDEX(tx_TaxCr,688),0)</f>
        <v/>
      </c>
      <c r="O694" s="101">
        <f>IF(H694=1,IF(E694&lt;FYStart,0,IF(E694&gt;FYEnd,13,YEAR(E694)*12+MONTH(E694)-FYYM+1)),"")</f>
        <v/>
      </c>
      <c r="P694" s="101">
        <f>IF(H694=1,IF(IFERROR(INDEX(coa_CF,MATCH(I694,coa_Name,0)),"")="Cash",1,0),0)</f>
        <v/>
      </c>
      <c r="Q694" s="101">
        <f>IF(H694=1,IF(IFERROR(INDEX(coa_CF,MATCH(K694,coa_Name,0)),"")="Cash",1,0),0)</f>
        <v/>
      </c>
      <c r="R694" s="58">
        <f>IF((P694-Q694)=0,"",IFERROR(INDEX(coa_CF,MATCH(IF((P694-Q694)=1,K694,I694),coa_Name,0)),"Operating"))</f>
        <v/>
      </c>
      <c r="S694" s="95">
        <f>IF((P694-Q694)=1,L694,IF((P694-Q694)=-1,-J694,0))</f>
        <v/>
      </c>
      <c r="T694" s="95">
        <f>IF((P694-Q694)=1,N694,IF((P694-Q694)=-1,-M694,0))</f>
        <v/>
      </c>
      <c r="U694" s="101">
        <f>IF(AND(H694=1,LedAcct&lt;&gt;""),IF(AND(E694&gt;=LedFrom,E694&lt;=LedTo,OR(I694=LedAcct,K694=LedAcct,AND(LedAcct=acctTax,M694+N694&lt;&gt;0))),E694*10000+B694,""),"")</f>
        <v/>
      </c>
    </row>
    <row r="695">
      <c r="B695" s="101" t="n">
        <v>689</v>
      </c>
      <c r="C695" s="58" t="inlineStr">
        <is>
          <t>Transaction</t>
        </is>
      </c>
      <c r="D695" s="58">
        <f>IF(H695=1,INDEX(tx_ID,689)&amp;"","")</f>
        <v/>
      </c>
      <c r="E695" s="94">
        <f>IF(H695=1,INDEX(tx_Date,689),"")</f>
        <v/>
      </c>
      <c r="F695" s="58">
        <f>IF(H695=1,INDEX(tx_Desc,689)&amp;"","")</f>
        <v/>
      </c>
      <c r="G695" s="58">
        <f>IF(H695=1,IF(INDEX(tx_Cust,689)&amp;""&lt;&gt;"",INDEX(tx_Cust,689)&amp;"",INDEX(tx_Vend,689)&amp;""),"")</f>
        <v/>
      </c>
      <c r="H695" s="101">
        <f>IFERROR(N(INDEX(tx_Posted,689)),0)</f>
        <v/>
      </c>
      <c r="I695" s="58">
        <f>IF(H695=1,INDEX(tx_DrAcct,689)&amp;"","")</f>
        <v/>
      </c>
      <c r="J695" s="95">
        <f>IF(H695=1,INDEX(tx_DrAmt,689),0)</f>
        <v/>
      </c>
      <c r="K695" s="58">
        <f>IF(H695=1,INDEX(tx_CrAcct,689)&amp;"","")</f>
        <v/>
      </c>
      <c r="L695" s="95">
        <f>IF(H695=1,INDEX(tx_CrAmt,689),0)</f>
        <v/>
      </c>
      <c r="M695" s="95">
        <f>IF(H695=1,INDEX(tx_TaxDr,689),0)</f>
        <v/>
      </c>
      <c r="N695" s="95">
        <f>IF(H695=1,INDEX(tx_TaxCr,689),0)</f>
        <v/>
      </c>
      <c r="O695" s="101">
        <f>IF(H695=1,IF(E695&lt;FYStart,0,IF(E695&gt;FYEnd,13,YEAR(E695)*12+MONTH(E695)-FYYM+1)),"")</f>
        <v/>
      </c>
      <c r="P695" s="101">
        <f>IF(H695=1,IF(IFERROR(INDEX(coa_CF,MATCH(I695,coa_Name,0)),"")="Cash",1,0),0)</f>
        <v/>
      </c>
      <c r="Q695" s="101">
        <f>IF(H695=1,IF(IFERROR(INDEX(coa_CF,MATCH(K695,coa_Name,0)),"")="Cash",1,0),0)</f>
        <v/>
      </c>
      <c r="R695" s="58">
        <f>IF((P695-Q695)=0,"",IFERROR(INDEX(coa_CF,MATCH(IF((P695-Q695)=1,K695,I695),coa_Name,0)),"Operating"))</f>
        <v/>
      </c>
      <c r="S695" s="95">
        <f>IF((P695-Q695)=1,L695,IF((P695-Q695)=-1,-J695,0))</f>
        <v/>
      </c>
      <c r="T695" s="95">
        <f>IF((P695-Q695)=1,N695,IF((P695-Q695)=-1,-M695,0))</f>
        <v/>
      </c>
      <c r="U695" s="101">
        <f>IF(AND(H695=1,LedAcct&lt;&gt;""),IF(AND(E695&gt;=LedFrom,E695&lt;=LedTo,OR(I695=LedAcct,K695=LedAcct,AND(LedAcct=acctTax,M695+N695&lt;&gt;0))),E695*10000+B695,""),"")</f>
        <v/>
      </c>
    </row>
    <row r="696">
      <c r="B696" s="101" t="n">
        <v>690</v>
      </c>
      <c r="C696" s="58" t="inlineStr">
        <is>
          <t>Transaction</t>
        </is>
      </c>
      <c r="D696" s="58">
        <f>IF(H696=1,INDEX(tx_ID,690)&amp;"","")</f>
        <v/>
      </c>
      <c r="E696" s="94">
        <f>IF(H696=1,INDEX(tx_Date,690),"")</f>
        <v/>
      </c>
      <c r="F696" s="58">
        <f>IF(H696=1,INDEX(tx_Desc,690)&amp;"","")</f>
        <v/>
      </c>
      <c r="G696" s="58">
        <f>IF(H696=1,IF(INDEX(tx_Cust,690)&amp;""&lt;&gt;"",INDEX(tx_Cust,690)&amp;"",INDEX(tx_Vend,690)&amp;""),"")</f>
        <v/>
      </c>
      <c r="H696" s="101">
        <f>IFERROR(N(INDEX(tx_Posted,690)),0)</f>
        <v/>
      </c>
      <c r="I696" s="58">
        <f>IF(H696=1,INDEX(tx_DrAcct,690)&amp;"","")</f>
        <v/>
      </c>
      <c r="J696" s="95">
        <f>IF(H696=1,INDEX(tx_DrAmt,690),0)</f>
        <v/>
      </c>
      <c r="K696" s="58">
        <f>IF(H696=1,INDEX(tx_CrAcct,690)&amp;"","")</f>
        <v/>
      </c>
      <c r="L696" s="95">
        <f>IF(H696=1,INDEX(tx_CrAmt,690),0)</f>
        <v/>
      </c>
      <c r="M696" s="95">
        <f>IF(H696=1,INDEX(tx_TaxDr,690),0)</f>
        <v/>
      </c>
      <c r="N696" s="95">
        <f>IF(H696=1,INDEX(tx_TaxCr,690),0)</f>
        <v/>
      </c>
      <c r="O696" s="101">
        <f>IF(H696=1,IF(E696&lt;FYStart,0,IF(E696&gt;FYEnd,13,YEAR(E696)*12+MONTH(E696)-FYYM+1)),"")</f>
        <v/>
      </c>
      <c r="P696" s="101">
        <f>IF(H696=1,IF(IFERROR(INDEX(coa_CF,MATCH(I696,coa_Name,0)),"")="Cash",1,0),0)</f>
        <v/>
      </c>
      <c r="Q696" s="101">
        <f>IF(H696=1,IF(IFERROR(INDEX(coa_CF,MATCH(K696,coa_Name,0)),"")="Cash",1,0),0)</f>
        <v/>
      </c>
      <c r="R696" s="58">
        <f>IF((P696-Q696)=0,"",IFERROR(INDEX(coa_CF,MATCH(IF((P696-Q696)=1,K696,I696),coa_Name,0)),"Operating"))</f>
        <v/>
      </c>
      <c r="S696" s="95">
        <f>IF((P696-Q696)=1,L696,IF((P696-Q696)=-1,-J696,0))</f>
        <v/>
      </c>
      <c r="T696" s="95">
        <f>IF((P696-Q696)=1,N696,IF((P696-Q696)=-1,-M696,0))</f>
        <v/>
      </c>
      <c r="U696" s="101">
        <f>IF(AND(H696=1,LedAcct&lt;&gt;""),IF(AND(E696&gt;=LedFrom,E696&lt;=LedTo,OR(I696=LedAcct,K696=LedAcct,AND(LedAcct=acctTax,M696+N696&lt;&gt;0))),E696*10000+B696,""),"")</f>
        <v/>
      </c>
    </row>
    <row r="697">
      <c r="B697" s="101" t="n">
        <v>691</v>
      </c>
      <c r="C697" s="58" t="inlineStr">
        <is>
          <t>Transaction</t>
        </is>
      </c>
      <c r="D697" s="58">
        <f>IF(H697=1,INDEX(tx_ID,691)&amp;"","")</f>
        <v/>
      </c>
      <c r="E697" s="94">
        <f>IF(H697=1,INDEX(tx_Date,691),"")</f>
        <v/>
      </c>
      <c r="F697" s="58">
        <f>IF(H697=1,INDEX(tx_Desc,691)&amp;"","")</f>
        <v/>
      </c>
      <c r="G697" s="58">
        <f>IF(H697=1,IF(INDEX(tx_Cust,691)&amp;""&lt;&gt;"",INDEX(tx_Cust,691)&amp;"",INDEX(tx_Vend,691)&amp;""),"")</f>
        <v/>
      </c>
      <c r="H697" s="101">
        <f>IFERROR(N(INDEX(tx_Posted,691)),0)</f>
        <v/>
      </c>
      <c r="I697" s="58">
        <f>IF(H697=1,INDEX(tx_DrAcct,691)&amp;"","")</f>
        <v/>
      </c>
      <c r="J697" s="95">
        <f>IF(H697=1,INDEX(tx_DrAmt,691),0)</f>
        <v/>
      </c>
      <c r="K697" s="58">
        <f>IF(H697=1,INDEX(tx_CrAcct,691)&amp;"","")</f>
        <v/>
      </c>
      <c r="L697" s="95">
        <f>IF(H697=1,INDEX(tx_CrAmt,691),0)</f>
        <v/>
      </c>
      <c r="M697" s="95">
        <f>IF(H697=1,INDEX(tx_TaxDr,691),0)</f>
        <v/>
      </c>
      <c r="N697" s="95">
        <f>IF(H697=1,INDEX(tx_TaxCr,691),0)</f>
        <v/>
      </c>
      <c r="O697" s="101">
        <f>IF(H697=1,IF(E697&lt;FYStart,0,IF(E697&gt;FYEnd,13,YEAR(E697)*12+MONTH(E697)-FYYM+1)),"")</f>
        <v/>
      </c>
      <c r="P697" s="101">
        <f>IF(H697=1,IF(IFERROR(INDEX(coa_CF,MATCH(I697,coa_Name,0)),"")="Cash",1,0),0)</f>
        <v/>
      </c>
      <c r="Q697" s="101">
        <f>IF(H697=1,IF(IFERROR(INDEX(coa_CF,MATCH(K697,coa_Name,0)),"")="Cash",1,0),0)</f>
        <v/>
      </c>
      <c r="R697" s="58">
        <f>IF((P697-Q697)=0,"",IFERROR(INDEX(coa_CF,MATCH(IF((P697-Q697)=1,K697,I697),coa_Name,0)),"Operating"))</f>
        <v/>
      </c>
      <c r="S697" s="95">
        <f>IF((P697-Q697)=1,L697,IF((P697-Q697)=-1,-J697,0))</f>
        <v/>
      </c>
      <c r="T697" s="95">
        <f>IF((P697-Q697)=1,N697,IF((P697-Q697)=-1,-M697,0))</f>
        <v/>
      </c>
      <c r="U697" s="101">
        <f>IF(AND(H697=1,LedAcct&lt;&gt;""),IF(AND(E697&gt;=LedFrom,E697&lt;=LedTo,OR(I697=LedAcct,K697=LedAcct,AND(LedAcct=acctTax,M697+N697&lt;&gt;0))),E697*10000+B697,""),"")</f>
        <v/>
      </c>
    </row>
    <row r="698">
      <c r="B698" s="101" t="n">
        <v>692</v>
      </c>
      <c r="C698" s="58" t="inlineStr">
        <is>
          <t>Transaction</t>
        </is>
      </c>
      <c r="D698" s="58">
        <f>IF(H698=1,INDEX(tx_ID,692)&amp;"","")</f>
        <v/>
      </c>
      <c r="E698" s="94">
        <f>IF(H698=1,INDEX(tx_Date,692),"")</f>
        <v/>
      </c>
      <c r="F698" s="58">
        <f>IF(H698=1,INDEX(tx_Desc,692)&amp;"","")</f>
        <v/>
      </c>
      <c r="G698" s="58">
        <f>IF(H698=1,IF(INDEX(tx_Cust,692)&amp;""&lt;&gt;"",INDEX(tx_Cust,692)&amp;"",INDEX(tx_Vend,692)&amp;""),"")</f>
        <v/>
      </c>
      <c r="H698" s="101">
        <f>IFERROR(N(INDEX(tx_Posted,692)),0)</f>
        <v/>
      </c>
      <c r="I698" s="58">
        <f>IF(H698=1,INDEX(tx_DrAcct,692)&amp;"","")</f>
        <v/>
      </c>
      <c r="J698" s="95">
        <f>IF(H698=1,INDEX(tx_DrAmt,692),0)</f>
        <v/>
      </c>
      <c r="K698" s="58">
        <f>IF(H698=1,INDEX(tx_CrAcct,692)&amp;"","")</f>
        <v/>
      </c>
      <c r="L698" s="95">
        <f>IF(H698=1,INDEX(tx_CrAmt,692),0)</f>
        <v/>
      </c>
      <c r="M698" s="95">
        <f>IF(H698=1,INDEX(tx_TaxDr,692),0)</f>
        <v/>
      </c>
      <c r="N698" s="95">
        <f>IF(H698=1,INDEX(tx_TaxCr,692),0)</f>
        <v/>
      </c>
      <c r="O698" s="101">
        <f>IF(H698=1,IF(E698&lt;FYStart,0,IF(E698&gt;FYEnd,13,YEAR(E698)*12+MONTH(E698)-FYYM+1)),"")</f>
        <v/>
      </c>
      <c r="P698" s="101">
        <f>IF(H698=1,IF(IFERROR(INDEX(coa_CF,MATCH(I698,coa_Name,0)),"")="Cash",1,0),0)</f>
        <v/>
      </c>
      <c r="Q698" s="101">
        <f>IF(H698=1,IF(IFERROR(INDEX(coa_CF,MATCH(K698,coa_Name,0)),"")="Cash",1,0),0)</f>
        <v/>
      </c>
      <c r="R698" s="58">
        <f>IF((P698-Q698)=0,"",IFERROR(INDEX(coa_CF,MATCH(IF((P698-Q698)=1,K698,I698),coa_Name,0)),"Operating"))</f>
        <v/>
      </c>
      <c r="S698" s="95">
        <f>IF((P698-Q698)=1,L698,IF((P698-Q698)=-1,-J698,0))</f>
        <v/>
      </c>
      <c r="T698" s="95">
        <f>IF((P698-Q698)=1,N698,IF((P698-Q698)=-1,-M698,0))</f>
        <v/>
      </c>
      <c r="U698" s="101">
        <f>IF(AND(H698=1,LedAcct&lt;&gt;""),IF(AND(E698&gt;=LedFrom,E698&lt;=LedTo,OR(I698=LedAcct,K698=LedAcct,AND(LedAcct=acctTax,M698+N698&lt;&gt;0))),E698*10000+B698,""),"")</f>
        <v/>
      </c>
    </row>
    <row r="699">
      <c r="B699" s="101" t="n">
        <v>693</v>
      </c>
      <c r="C699" s="58" t="inlineStr">
        <is>
          <t>Transaction</t>
        </is>
      </c>
      <c r="D699" s="58">
        <f>IF(H699=1,INDEX(tx_ID,693)&amp;"","")</f>
        <v/>
      </c>
      <c r="E699" s="94">
        <f>IF(H699=1,INDEX(tx_Date,693),"")</f>
        <v/>
      </c>
      <c r="F699" s="58">
        <f>IF(H699=1,INDEX(tx_Desc,693)&amp;"","")</f>
        <v/>
      </c>
      <c r="G699" s="58">
        <f>IF(H699=1,IF(INDEX(tx_Cust,693)&amp;""&lt;&gt;"",INDEX(tx_Cust,693)&amp;"",INDEX(tx_Vend,693)&amp;""),"")</f>
        <v/>
      </c>
      <c r="H699" s="101">
        <f>IFERROR(N(INDEX(tx_Posted,693)),0)</f>
        <v/>
      </c>
      <c r="I699" s="58">
        <f>IF(H699=1,INDEX(tx_DrAcct,693)&amp;"","")</f>
        <v/>
      </c>
      <c r="J699" s="95">
        <f>IF(H699=1,INDEX(tx_DrAmt,693),0)</f>
        <v/>
      </c>
      <c r="K699" s="58">
        <f>IF(H699=1,INDEX(tx_CrAcct,693)&amp;"","")</f>
        <v/>
      </c>
      <c r="L699" s="95">
        <f>IF(H699=1,INDEX(tx_CrAmt,693),0)</f>
        <v/>
      </c>
      <c r="M699" s="95">
        <f>IF(H699=1,INDEX(tx_TaxDr,693),0)</f>
        <v/>
      </c>
      <c r="N699" s="95">
        <f>IF(H699=1,INDEX(tx_TaxCr,693),0)</f>
        <v/>
      </c>
      <c r="O699" s="101">
        <f>IF(H699=1,IF(E699&lt;FYStart,0,IF(E699&gt;FYEnd,13,YEAR(E699)*12+MONTH(E699)-FYYM+1)),"")</f>
        <v/>
      </c>
      <c r="P699" s="101">
        <f>IF(H699=1,IF(IFERROR(INDEX(coa_CF,MATCH(I699,coa_Name,0)),"")="Cash",1,0),0)</f>
        <v/>
      </c>
      <c r="Q699" s="101">
        <f>IF(H699=1,IF(IFERROR(INDEX(coa_CF,MATCH(K699,coa_Name,0)),"")="Cash",1,0),0)</f>
        <v/>
      </c>
      <c r="R699" s="58">
        <f>IF((P699-Q699)=0,"",IFERROR(INDEX(coa_CF,MATCH(IF((P699-Q699)=1,K699,I699),coa_Name,0)),"Operating"))</f>
        <v/>
      </c>
      <c r="S699" s="95">
        <f>IF((P699-Q699)=1,L699,IF((P699-Q699)=-1,-J699,0))</f>
        <v/>
      </c>
      <c r="T699" s="95">
        <f>IF((P699-Q699)=1,N699,IF((P699-Q699)=-1,-M699,0))</f>
        <v/>
      </c>
      <c r="U699" s="101">
        <f>IF(AND(H699=1,LedAcct&lt;&gt;""),IF(AND(E699&gt;=LedFrom,E699&lt;=LedTo,OR(I699=LedAcct,K699=LedAcct,AND(LedAcct=acctTax,M699+N699&lt;&gt;0))),E699*10000+B699,""),"")</f>
        <v/>
      </c>
    </row>
    <row r="700">
      <c r="B700" s="101" t="n">
        <v>694</v>
      </c>
      <c r="C700" s="58" t="inlineStr">
        <is>
          <t>Transaction</t>
        </is>
      </c>
      <c r="D700" s="58">
        <f>IF(H700=1,INDEX(tx_ID,694)&amp;"","")</f>
        <v/>
      </c>
      <c r="E700" s="94">
        <f>IF(H700=1,INDEX(tx_Date,694),"")</f>
        <v/>
      </c>
      <c r="F700" s="58">
        <f>IF(H700=1,INDEX(tx_Desc,694)&amp;"","")</f>
        <v/>
      </c>
      <c r="G700" s="58">
        <f>IF(H700=1,IF(INDEX(tx_Cust,694)&amp;""&lt;&gt;"",INDEX(tx_Cust,694)&amp;"",INDEX(tx_Vend,694)&amp;""),"")</f>
        <v/>
      </c>
      <c r="H700" s="101">
        <f>IFERROR(N(INDEX(tx_Posted,694)),0)</f>
        <v/>
      </c>
      <c r="I700" s="58">
        <f>IF(H700=1,INDEX(tx_DrAcct,694)&amp;"","")</f>
        <v/>
      </c>
      <c r="J700" s="95">
        <f>IF(H700=1,INDEX(tx_DrAmt,694),0)</f>
        <v/>
      </c>
      <c r="K700" s="58">
        <f>IF(H700=1,INDEX(tx_CrAcct,694)&amp;"","")</f>
        <v/>
      </c>
      <c r="L700" s="95">
        <f>IF(H700=1,INDEX(tx_CrAmt,694),0)</f>
        <v/>
      </c>
      <c r="M700" s="95">
        <f>IF(H700=1,INDEX(tx_TaxDr,694),0)</f>
        <v/>
      </c>
      <c r="N700" s="95">
        <f>IF(H700=1,INDEX(tx_TaxCr,694),0)</f>
        <v/>
      </c>
      <c r="O700" s="101">
        <f>IF(H700=1,IF(E700&lt;FYStart,0,IF(E700&gt;FYEnd,13,YEAR(E700)*12+MONTH(E700)-FYYM+1)),"")</f>
        <v/>
      </c>
      <c r="P700" s="101">
        <f>IF(H700=1,IF(IFERROR(INDEX(coa_CF,MATCH(I700,coa_Name,0)),"")="Cash",1,0),0)</f>
        <v/>
      </c>
      <c r="Q700" s="101">
        <f>IF(H700=1,IF(IFERROR(INDEX(coa_CF,MATCH(K700,coa_Name,0)),"")="Cash",1,0),0)</f>
        <v/>
      </c>
      <c r="R700" s="58">
        <f>IF((P700-Q700)=0,"",IFERROR(INDEX(coa_CF,MATCH(IF((P700-Q700)=1,K700,I700),coa_Name,0)),"Operating"))</f>
        <v/>
      </c>
      <c r="S700" s="95">
        <f>IF((P700-Q700)=1,L700,IF((P700-Q700)=-1,-J700,0))</f>
        <v/>
      </c>
      <c r="T700" s="95">
        <f>IF((P700-Q700)=1,N700,IF((P700-Q700)=-1,-M700,0))</f>
        <v/>
      </c>
      <c r="U700" s="101">
        <f>IF(AND(H700=1,LedAcct&lt;&gt;""),IF(AND(E700&gt;=LedFrom,E700&lt;=LedTo,OR(I700=LedAcct,K700=LedAcct,AND(LedAcct=acctTax,M700+N700&lt;&gt;0))),E700*10000+B700,""),"")</f>
        <v/>
      </c>
    </row>
    <row r="701">
      <c r="B701" s="101" t="n">
        <v>695</v>
      </c>
      <c r="C701" s="58" t="inlineStr">
        <is>
          <t>Transaction</t>
        </is>
      </c>
      <c r="D701" s="58">
        <f>IF(H701=1,INDEX(tx_ID,695)&amp;"","")</f>
        <v/>
      </c>
      <c r="E701" s="94">
        <f>IF(H701=1,INDEX(tx_Date,695),"")</f>
        <v/>
      </c>
      <c r="F701" s="58">
        <f>IF(H701=1,INDEX(tx_Desc,695)&amp;"","")</f>
        <v/>
      </c>
      <c r="G701" s="58">
        <f>IF(H701=1,IF(INDEX(tx_Cust,695)&amp;""&lt;&gt;"",INDEX(tx_Cust,695)&amp;"",INDEX(tx_Vend,695)&amp;""),"")</f>
        <v/>
      </c>
      <c r="H701" s="101">
        <f>IFERROR(N(INDEX(tx_Posted,695)),0)</f>
        <v/>
      </c>
      <c r="I701" s="58">
        <f>IF(H701=1,INDEX(tx_DrAcct,695)&amp;"","")</f>
        <v/>
      </c>
      <c r="J701" s="95">
        <f>IF(H701=1,INDEX(tx_DrAmt,695),0)</f>
        <v/>
      </c>
      <c r="K701" s="58">
        <f>IF(H701=1,INDEX(tx_CrAcct,695)&amp;"","")</f>
        <v/>
      </c>
      <c r="L701" s="95">
        <f>IF(H701=1,INDEX(tx_CrAmt,695),0)</f>
        <v/>
      </c>
      <c r="M701" s="95">
        <f>IF(H701=1,INDEX(tx_TaxDr,695),0)</f>
        <v/>
      </c>
      <c r="N701" s="95">
        <f>IF(H701=1,INDEX(tx_TaxCr,695),0)</f>
        <v/>
      </c>
      <c r="O701" s="101">
        <f>IF(H701=1,IF(E701&lt;FYStart,0,IF(E701&gt;FYEnd,13,YEAR(E701)*12+MONTH(E701)-FYYM+1)),"")</f>
        <v/>
      </c>
      <c r="P701" s="101">
        <f>IF(H701=1,IF(IFERROR(INDEX(coa_CF,MATCH(I701,coa_Name,0)),"")="Cash",1,0),0)</f>
        <v/>
      </c>
      <c r="Q701" s="101">
        <f>IF(H701=1,IF(IFERROR(INDEX(coa_CF,MATCH(K701,coa_Name,0)),"")="Cash",1,0),0)</f>
        <v/>
      </c>
      <c r="R701" s="58">
        <f>IF((P701-Q701)=0,"",IFERROR(INDEX(coa_CF,MATCH(IF((P701-Q701)=1,K701,I701),coa_Name,0)),"Operating"))</f>
        <v/>
      </c>
      <c r="S701" s="95">
        <f>IF((P701-Q701)=1,L701,IF((P701-Q701)=-1,-J701,0))</f>
        <v/>
      </c>
      <c r="T701" s="95">
        <f>IF((P701-Q701)=1,N701,IF((P701-Q701)=-1,-M701,0))</f>
        <v/>
      </c>
      <c r="U701" s="101">
        <f>IF(AND(H701=1,LedAcct&lt;&gt;""),IF(AND(E701&gt;=LedFrom,E701&lt;=LedTo,OR(I701=LedAcct,K701=LedAcct,AND(LedAcct=acctTax,M701+N701&lt;&gt;0))),E701*10000+B701,""),"")</f>
        <v/>
      </c>
    </row>
    <row r="702">
      <c r="B702" s="101" t="n">
        <v>696</v>
      </c>
      <c r="C702" s="58" t="inlineStr">
        <is>
          <t>Transaction</t>
        </is>
      </c>
      <c r="D702" s="58">
        <f>IF(H702=1,INDEX(tx_ID,696)&amp;"","")</f>
        <v/>
      </c>
      <c r="E702" s="94">
        <f>IF(H702=1,INDEX(tx_Date,696),"")</f>
        <v/>
      </c>
      <c r="F702" s="58">
        <f>IF(H702=1,INDEX(tx_Desc,696)&amp;"","")</f>
        <v/>
      </c>
      <c r="G702" s="58">
        <f>IF(H702=1,IF(INDEX(tx_Cust,696)&amp;""&lt;&gt;"",INDEX(tx_Cust,696)&amp;"",INDEX(tx_Vend,696)&amp;""),"")</f>
        <v/>
      </c>
      <c r="H702" s="101">
        <f>IFERROR(N(INDEX(tx_Posted,696)),0)</f>
        <v/>
      </c>
      <c r="I702" s="58">
        <f>IF(H702=1,INDEX(tx_DrAcct,696)&amp;"","")</f>
        <v/>
      </c>
      <c r="J702" s="95">
        <f>IF(H702=1,INDEX(tx_DrAmt,696),0)</f>
        <v/>
      </c>
      <c r="K702" s="58">
        <f>IF(H702=1,INDEX(tx_CrAcct,696)&amp;"","")</f>
        <v/>
      </c>
      <c r="L702" s="95">
        <f>IF(H702=1,INDEX(tx_CrAmt,696),0)</f>
        <v/>
      </c>
      <c r="M702" s="95">
        <f>IF(H702=1,INDEX(tx_TaxDr,696),0)</f>
        <v/>
      </c>
      <c r="N702" s="95">
        <f>IF(H702=1,INDEX(tx_TaxCr,696),0)</f>
        <v/>
      </c>
      <c r="O702" s="101">
        <f>IF(H702=1,IF(E702&lt;FYStart,0,IF(E702&gt;FYEnd,13,YEAR(E702)*12+MONTH(E702)-FYYM+1)),"")</f>
        <v/>
      </c>
      <c r="P702" s="101">
        <f>IF(H702=1,IF(IFERROR(INDEX(coa_CF,MATCH(I702,coa_Name,0)),"")="Cash",1,0),0)</f>
        <v/>
      </c>
      <c r="Q702" s="101">
        <f>IF(H702=1,IF(IFERROR(INDEX(coa_CF,MATCH(K702,coa_Name,0)),"")="Cash",1,0),0)</f>
        <v/>
      </c>
      <c r="R702" s="58">
        <f>IF((P702-Q702)=0,"",IFERROR(INDEX(coa_CF,MATCH(IF((P702-Q702)=1,K702,I702),coa_Name,0)),"Operating"))</f>
        <v/>
      </c>
      <c r="S702" s="95">
        <f>IF((P702-Q702)=1,L702,IF((P702-Q702)=-1,-J702,0))</f>
        <v/>
      </c>
      <c r="T702" s="95">
        <f>IF((P702-Q702)=1,N702,IF((P702-Q702)=-1,-M702,0))</f>
        <v/>
      </c>
      <c r="U702" s="101">
        <f>IF(AND(H702=1,LedAcct&lt;&gt;""),IF(AND(E702&gt;=LedFrom,E702&lt;=LedTo,OR(I702=LedAcct,K702=LedAcct,AND(LedAcct=acctTax,M702+N702&lt;&gt;0))),E702*10000+B702,""),"")</f>
        <v/>
      </c>
    </row>
    <row r="703">
      <c r="B703" s="101" t="n">
        <v>697</v>
      </c>
      <c r="C703" s="58" t="inlineStr">
        <is>
          <t>Transaction</t>
        </is>
      </c>
      <c r="D703" s="58">
        <f>IF(H703=1,INDEX(tx_ID,697)&amp;"","")</f>
        <v/>
      </c>
      <c r="E703" s="94">
        <f>IF(H703=1,INDEX(tx_Date,697),"")</f>
        <v/>
      </c>
      <c r="F703" s="58">
        <f>IF(H703=1,INDEX(tx_Desc,697)&amp;"","")</f>
        <v/>
      </c>
      <c r="G703" s="58">
        <f>IF(H703=1,IF(INDEX(tx_Cust,697)&amp;""&lt;&gt;"",INDEX(tx_Cust,697)&amp;"",INDEX(tx_Vend,697)&amp;""),"")</f>
        <v/>
      </c>
      <c r="H703" s="101">
        <f>IFERROR(N(INDEX(tx_Posted,697)),0)</f>
        <v/>
      </c>
      <c r="I703" s="58">
        <f>IF(H703=1,INDEX(tx_DrAcct,697)&amp;"","")</f>
        <v/>
      </c>
      <c r="J703" s="95">
        <f>IF(H703=1,INDEX(tx_DrAmt,697),0)</f>
        <v/>
      </c>
      <c r="K703" s="58">
        <f>IF(H703=1,INDEX(tx_CrAcct,697)&amp;"","")</f>
        <v/>
      </c>
      <c r="L703" s="95">
        <f>IF(H703=1,INDEX(tx_CrAmt,697),0)</f>
        <v/>
      </c>
      <c r="M703" s="95">
        <f>IF(H703=1,INDEX(tx_TaxDr,697),0)</f>
        <v/>
      </c>
      <c r="N703" s="95">
        <f>IF(H703=1,INDEX(tx_TaxCr,697),0)</f>
        <v/>
      </c>
      <c r="O703" s="101">
        <f>IF(H703=1,IF(E703&lt;FYStart,0,IF(E703&gt;FYEnd,13,YEAR(E703)*12+MONTH(E703)-FYYM+1)),"")</f>
        <v/>
      </c>
      <c r="P703" s="101">
        <f>IF(H703=1,IF(IFERROR(INDEX(coa_CF,MATCH(I703,coa_Name,0)),"")="Cash",1,0),0)</f>
        <v/>
      </c>
      <c r="Q703" s="101">
        <f>IF(H703=1,IF(IFERROR(INDEX(coa_CF,MATCH(K703,coa_Name,0)),"")="Cash",1,0),0)</f>
        <v/>
      </c>
      <c r="R703" s="58">
        <f>IF((P703-Q703)=0,"",IFERROR(INDEX(coa_CF,MATCH(IF((P703-Q703)=1,K703,I703),coa_Name,0)),"Operating"))</f>
        <v/>
      </c>
      <c r="S703" s="95">
        <f>IF((P703-Q703)=1,L703,IF((P703-Q703)=-1,-J703,0))</f>
        <v/>
      </c>
      <c r="T703" s="95">
        <f>IF((P703-Q703)=1,N703,IF((P703-Q703)=-1,-M703,0))</f>
        <v/>
      </c>
      <c r="U703" s="101">
        <f>IF(AND(H703=1,LedAcct&lt;&gt;""),IF(AND(E703&gt;=LedFrom,E703&lt;=LedTo,OR(I703=LedAcct,K703=LedAcct,AND(LedAcct=acctTax,M703+N703&lt;&gt;0))),E703*10000+B703,""),"")</f>
        <v/>
      </c>
    </row>
    <row r="704">
      <c r="B704" s="101" t="n">
        <v>698</v>
      </c>
      <c r="C704" s="58" t="inlineStr">
        <is>
          <t>Transaction</t>
        </is>
      </c>
      <c r="D704" s="58">
        <f>IF(H704=1,INDEX(tx_ID,698)&amp;"","")</f>
        <v/>
      </c>
      <c r="E704" s="94">
        <f>IF(H704=1,INDEX(tx_Date,698),"")</f>
        <v/>
      </c>
      <c r="F704" s="58">
        <f>IF(H704=1,INDEX(tx_Desc,698)&amp;"","")</f>
        <v/>
      </c>
      <c r="G704" s="58">
        <f>IF(H704=1,IF(INDEX(tx_Cust,698)&amp;""&lt;&gt;"",INDEX(tx_Cust,698)&amp;"",INDEX(tx_Vend,698)&amp;""),"")</f>
        <v/>
      </c>
      <c r="H704" s="101">
        <f>IFERROR(N(INDEX(tx_Posted,698)),0)</f>
        <v/>
      </c>
      <c r="I704" s="58">
        <f>IF(H704=1,INDEX(tx_DrAcct,698)&amp;"","")</f>
        <v/>
      </c>
      <c r="J704" s="95">
        <f>IF(H704=1,INDEX(tx_DrAmt,698),0)</f>
        <v/>
      </c>
      <c r="K704" s="58">
        <f>IF(H704=1,INDEX(tx_CrAcct,698)&amp;"","")</f>
        <v/>
      </c>
      <c r="L704" s="95">
        <f>IF(H704=1,INDEX(tx_CrAmt,698),0)</f>
        <v/>
      </c>
      <c r="M704" s="95">
        <f>IF(H704=1,INDEX(tx_TaxDr,698),0)</f>
        <v/>
      </c>
      <c r="N704" s="95">
        <f>IF(H704=1,INDEX(tx_TaxCr,698),0)</f>
        <v/>
      </c>
      <c r="O704" s="101">
        <f>IF(H704=1,IF(E704&lt;FYStart,0,IF(E704&gt;FYEnd,13,YEAR(E704)*12+MONTH(E704)-FYYM+1)),"")</f>
        <v/>
      </c>
      <c r="P704" s="101">
        <f>IF(H704=1,IF(IFERROR(INDEX(coa_CF,MATCH(I704,coa_Name,0)),"")="Cash",1,0),0)</f>
        <v/>
      </c>
      <c r="Q704" s="101">
        <f>IF(H704=1,IF(IFERROR(INDEX(coa_CF,MATCH(K704,coa_Name,0)),"")="Cash",1,0),0)</f>
        <v/>
      </c>
      <c r="R704" s="58">
        <f>IF((P704-Q704)=0,"",IFERROR(INDEX(coa_CF,MATCH(IF((P704-Q704)=1,K704,I704),coa_Name,0)),"Operating"))</f>
        <v/>
      </c>
      <c r="S704" s="95">
        <f>IF((P704-Q704)=1,L704,IF((P704-Q704)=-1,-J704,0))</f>
        <v/>
      </c>
      <c r="T704" s="95">
        <f>IF((P704-Q704)=1,N704,IF((P704-Q704)=-1,-M704,0))</f>
        <v/>
      </c>
      <c r="U704" s="101">
        <f>IF(AND(H704=1,LedAcct&lt;&gt;""),IF(AND(E704&gt;=LedFrom,E704&lt;=LedTo,OR(I704=LedAcct,K704=LedAcct,AND(LedAcct=acctTax,M704+N704&lt;&gt;0))),E704*10000+B704,""),"")</f>
        <v/>
      </c>
    </row>
    <row r="705">
      <c r="B705" s="101" t="n">
        <v>699</v>
      </c>
      <c r="C705" s="58" t="inlineStr">
        <is>
          <t>Transaction</t>
        </is>
      </c>
      <c r="D705" s="58">
        <f>IF(H705=1,INDEX(tx_ID,699)&amp;"","")</f>
        <v/>
      </c>
      <c r="E705" s="94">
        <f>IF(H705=1,INDEX(tx_Date,699),"")</f>
        <v/>
      </c>
      <c r="F705" s="58">
        <f>IF(H705=1,INDEX(tx_Desc,699)&amp;"","")</f>
        <v/>
      </c>
      <c r="G705" s="58">
        <f>IF(H705=1,IF(INDEX(tx_Cust,699)&amp;""&lt;&gt;"",INDEX(tx_Cust,699)&amp;"",INDEX(tx_Vend,699)&amp;""),"")</f>
        <v/>
      </c>
      <c r="H705" s="101">
        <f>IFERROR(N(INDEX(tx_Posted,699)),0)</f>
        <v/>
      </c>
      <c r="I705" s="58">
        <f>IF(H705=1,INDEX(tx_DrAcct,699)&amp;"","")</f>
        <v/>
      </c>
      <c r="J705" s="95">
        <f>IF(H705=1,INDEX(tx_DrAmt,699),0)</f>
        <v/>
      </c>
      <c r="K705" s="58">
        <f>IF(H705=1,INDEX(tx_CrAcct,699)&amp;"","")</f>
        <v/>
      </c>
      <c r="L705" s="95">
        <f>IF(H705=1,INDEX(tx_CrAmt,699),0)</f>
        <v/>
      </c>
      <c r="M705" s="95">
        <f>IF(H705=1,INDEX(tx_TaxDr,699),0)</f>
        <v/>
      </c>
      <c r="N705" s="95">
        <f>IF(H705=1,INDEX(tx_TaxCr,699),0)</f>
        <v/>
      </c>
      <c r="O705" s="101">
        <f>IF(H705=1,IF(E705&lt;FYStart,0,IF(E705&gt;FYEnd,13,YEAR(E705)*12+MONTH(E705)-FYYM+1)),"")</f>
        <v/>
      </c>
      <c r="P705" s="101">
        <f>IF(H705=1,IF(IFERROR(INDEX(coa_CF,MATCH(I705,coa_Name,0)),"")="Cash",1,0),0)</f>
        <v/>
      </c>
      <c r="Q705" s="101">
        <f>IF(H705=1,IF(IFERROR(INDEX(coa_CF,MATCH(K705,coa_Name,0)),"")="Cash",1,0),0)</f>
        <v/>
      </c>
      <c r="R705" s="58">
        <f>IF((P705-Q705)=0,"",IFERROR(INDEX(coa_CF,MATCH(IF((P705-Q705)=1,K705,I705),coa_Name,0)),"Operating"))</f>
        <v/>
      </c>
      <c r="S705" s="95">
        <f>IF((P705-Q705)=1,L705,IF((P705-Q705)=-1,-J705,0))</f>
        <v/>
      </c>
      <c r="T705" s="95">
        <f>IF((P705-Q705)=1,N705,IF((P705-Q705)=-1,-M705,0))</f>
        <v/>
      </c>
      <c r="U705" s="101">
        <f>IF(AND(H705=1,LedAcct&lt;&gt;""),IF(AND(E705&gt;=LedFrom,E705&lt;=LedTo,OR(I705=LedAcct,K705=LedAcct,AND(LedAcct=acctTax,M705+N705&lt;&gt;0))),E705*10000+B705,""),"")</f>
        <v/>
      </c>
    </row>
    <row r="706">
      <c r="B706" s="101" t="n">
        <v>700</v>
      </c>
      <c r="C706" s="58" t="inlineStr">
        <is>
          <t>Transaction</t>
        </is>
      </c>
      <c r="D706" s="58">
        <f>IF(H706=1,INDEX(tx_ID,700)&amp;"","")</f>
        <v/>
      </c>
      <c r="E706" s="94">
        <f>IF(H706=1,INDEX(tx_Date,700),"")</f>
        <v/>
      </c>
      <c r="F706" s="58">
        <f>IF(H706=1,INDEX(tx_Desc,700)&amp;"","")</f>
        <v/>
      </c>
      <c r="G706" s="58">
        <f>IF(H706=1,IF(INDEX(tx_Cust,700)&amp;""&lt;&gt;"",INDEX(tx_Cust,700)&amp;"",INDEX(tx_Vend,700)&amp;""),"")</f>
        <v/>
      </c>
      <c r="H706" s="101">
        <f>IFERROR(N(INDEX(tx_Posted,700)),0)</f>
        <v/>
      </c>
      <c r="I706" s="58">
        <f>IF(H706=1,INDEX(tx_DrAcct,700)&amp;"","")</f>
        <v/>
      </c>
      <c r="J706" s="95">
        <f>IF(H706=1,INDEX(tx_DrAmt,700),0)</f>
        <v/>
      </c>
      <c r="K706" s="58">
        <f>IF(H706=1,INDEX(tx_CrAcct,700)&amp;"","")</f>
        <v/>
      </c>
      <c r="L706" s="95">
        <f>IF(H706=1,INDEX(tx_CrAmt,700),0)</f>
        <v/>
      </c>
      <c r="M706" s="95">
        <f>IF(H706=1,INDEX(tx_TaxDr,700),0)</f>
        <v/>
      </c>
      <c r="N706" s="95">
        <f>IF(H706=1,INDEX(tx_TaxCr,700),0)</f>
        <v/>
      </c>
      <c r="O706" s="101">
        <f>IF(H706=1,IF(E706&lt;FYStart,0,IF(E706&gt;FYEnd,13,YEAR(E706)*12+MONTH(E706)-FYYM+1)),"")</f>
        <v/>
      </c>
      <c r="P706" s="101">
        <f>IF(H706=1,IF(IFERROR(INDEX(coa_CF,MATCH(I706,coa_Name,0)),"")="Cash",1,0),0)</f>
        <v/>
      </c>
      <c r="Q706" s="101">
        <f>IF(H706=1,IF(IFERROR(INDEX(coa_CF,MATCH(K706,coa_Name,0)),"")="Cash",1,0),0)</f>
        <v/>
      </c>
      <c r="R706" s="58">
        <f>IF((P706-Q706)=0,"",IFERROR(INDEX(coa_CF,MATCH(IF((P706-Q706)=1,K706,I706),coa_Name,0)),"Operating"))</f>
        <v/>
      </c>
      <c r="S706" s="95">
        <f>IF((P706-Q706)=1,L706,IF((P706-Q706)=-1,-J706,0))</f>
        <v/>
      </c>
      <c r="T706" s="95">
        <f>IF((P706-Q706)=1,N706,IF((P706-Q706)=-1,-M706,0))</f>
        <v/>
      </c>
      <c r="U706" s="101">
        <f>IF(AND(H706=1,LedAcct&lt;&gt;""),IF(AND(E706&gt;=LedFrom,E706&lt;=LedTo,OR(I706=LedAcct,K706=LedAcct,AND(LedAcct=acctTax,M706+N706&lt;&gt;0))),E706*10000+B706,""),"")</f>
        <v/>
      </c>
    </row>
    <row r="707">
      <c r="B707" s="101" t="n">
        <v>701</v>
      </c>
      <c r="C707" s="58" t="inlineStr">
        <is>
          <t>Transaction</t>
        </is>
      </c>
      <c r="D707" s="58">
        <f>IF(H707=1,INDEX(tx_ID,701)&amp;"","")</f>
        <v/>
      </c>
      <c r="E707" s="94">
        <f>IF(H707=1,INDEX(tx_Date,701),"")</f>
        <v/>
      </c>
      <c r="F707" s="58">
        <f>IF(H707=1,INDEX(tx_Desc,701)&amp;"","")</f>
        <v/>
      </c>
      <c r="G707" s="58">
        <f>IF(H707=1,IF(INDEX(tx_Cust,701)&amp;""&lt;&gt;"",INDEX(tx_Cust,701)&amp;"",INDEX(tx_Vend,701)&amp;""),"")</f>
        <v/>
      </c>
      <c r="H707" s="101">
        <f>IFERROR(N(INDEX(tx_Posted,701)),0)</f>
        <v/>
      </c>
      <c r="I707" s="58">
        <f>IF(H707=1,INDEX(tx_DrAcct,701)&amp;"","")</f>
        <v/>
      </c>
      <c r="J707" s="95">
        <f>IF(H707=1,INDEX(tx_DrAmt,701),0)</f>
        <v/>
      </c>
      <c r="K707" s="58">
        <f>IF(H707=1,INDEX(tx_CrAcct,701)&amp;"","")</f>
        <v/>
      </c>
      <c r="L707" s="95">
        <f>IF(H707=1,INDEX(tx_CrAmt,701),0)</f>
        <v/>
      </c>
      <c r="M707" s="95">
        <f>IF(H707=1,INDEX(tx_TaxDr,701),0)</f>
        <v/>
      </c>
      <c r="N707" s="95">
        <f>IF(H707=1,INDEX(tx_TaxCr,701),0)</f>
        <v/>
      </c>
      <c r="O707" s="101">
        <f>IF(H707=1,IF(E707&lt;FYStart,0,IF(E707&gt;FYEnd,13,YEAR(E707)*12+MONTH(E707)-FYYM+1)),"")</f>
        <v/>
      </c>
      <c r="P707" s="101">
        <f>IF(H707=1,IF(IFERROR(INDEX(coa_CF,MATCH(I707,coa_Name,0)),"")="Cash",1,0),0)</f>
        <v/>
      </c>
      <c r="Q707" s="101">
        <f>IF(H707=1,IF(IFERROR(INDEX(coa_CF,MATCH(K707,coa_Name,0)),"")="Cash",1,0),0)</f>
        <v/>
      </c>
      <c r="R707" s="58">
        <f>IF((P707-Q707)=0,"",IFERROR(INDEX(coa_CF,MATCH(IF((P707-Q707)=1,K707,I707),coa_Name,0)),"Operating"))</f>
        <v/>
      </c>
      <c r="S707" s="95">
        <f>IF((P707-Q707)=1,L707,IF((P707-Q707)=-1,-J707,0))</f>
        <v/>
      </c>
      <c r="T707" s="95">
        <f>IF((P707-Q707)=1,N707,IF((P707-Q707)=-1,-M707,0))</f>
        <v/>
      </c>
      <c r="U707" s="101">
        <f>IF(AND(H707=1,LedAcct&lt;&gt;""),IF(AND(E707&gt;=LedFrom,E707&lt;=LedTo,OR(I707=LedAcct,K707=LedAcct,AND(LedAcct=acctTax,M707+N707&lt;&gt;0))),E707*10000+B707,""),"")</f>
        <v/>
      </c>
    </row>
    <row r="708">
      <c r="B708" s="101" t="n">
        <v>702</v>
      </c>
      <c r="C708" s="58" t="inlineStr">
        <is>
          <t>Transaction</t>
        </is>
      </c>
      <c r="D708" s="58">
        <f>IF(H708=1,INDEX(tx_ID,702)&amp;"","")</f>
        <v/>
      </c>
      <c r="E708" s="94">
        <f>IF(H708=1,INDEX(tx_Date,702),"")</f>
        <v/>
      </c>
      <c r="F708" s="58">
        <f>IF(H708=1,INDEX(tx_Desc,702)&amp;"","")</f>
        <v/>
      </c>
      <c r="G708" s="58">
        <f>IF(H708=1,IF(INDEX(tx_Cust,702)&amp;""&lt;&gt;"",INDEX(tx_Cust,702)&amp;"",INDEX(tx_Vend,702)&amp;""),"")</f>
        <v/>
      </c>
      <c r="H708" s="101">
        <f>IFERROR(N(INDEX(tx_Posted,702)),0)</f>
        <v/>
      </c>
      <c r="I708" s="58">
        <f>IF(H708=1,INDEX(tx_DrAcct,702)&amp;"","")</f>
        <v/>
      </c>
      <c r="J708" s="95">
        <f>IF(H708=1,INDEX(tx_DrAmt,702),0)</f>
        <v/>
      </c>
      <c r="K708" s="58">
        <f>IF(H708=1,INDEX(tx_CrAcct,702)&amp;"","")</f>
        <v/>
      </c>
      <c r="L708" s="95">
        <f>IF(H708=1,INDEX(tx_CrAmt,702),0)</f>
        <v/>
      </c>
      <c r="M708" s="95">
        <f>IF(H708=1,INDEX(tx_TaxDr,702),0)</f>
        <v/>
      </c>
      <c r="N708" s="95">
        <f>IF(H708=1,INDEX(tx_TaxCr,702),0)</f>
        <v/>
      </c>
      <c r="O708" s="101">
        <f>IF(H708=1,IF(E708&lt;FYStart,0,IF(E708&gt;FYEnd,13,YEAR(E708)*12+MONTH(E708)-FYYM+1)),"")</f>
        <v/>
      </c>
      <c r="P708" s="101">
        <f>IF(H708=1,IF(IFERROR(INDEX(coa_CF,MATCH(I708,coa_Name,0)),"")="Cash",1,0),0)</f>
        <v/>
      </c>
      <c r="Q708" s="101">
        <f>IF(H708=1,IF(IFERROR(INDEX(coa_CF,MATCH(K708,coa_Name,0)),"")="Cash",1,0),0)</f>
        <v/>
      </c>
      <c r="R708" s="58">
        <f>IF((P708-Q708)=0,"",IFERROR(INDEX(coa_CF,MATCH(IF((P708-Q708)=1,K708,I708),coa_Name,0)),"Operating"))</f>
        <v/>
      </c>
      <c r="S708" s="95">
        <f>IF((P708-Q708)=1,L708,IF((P708-Q708)=-1,-J708,0))</f>
        <v/>
      </c>
      <c r="T708" s="95">
        <f>IF((P708-Q708)=1,N708,IF((P708-Q708)=-1,-M708,0))</f>
        <v/>
      </c>
      <c r="U708" s="101">
        <f>IF(AND(H708=1,LedAcct&lt;&gt;""),IF(AND(E708&gt;=LedFrom,E708&lt;=LedTo,OR(I708=LedAcct,K708=LedAcct,AND(LedAcct=acctTax,M708+N708&lt;&gt;0))),E708*10000+B708,""),"")</f>
        <v/>
      </c>
    </row>
    <row r="709">
      <c r="B709" s="101" t="n">
        <v>703</v>
      </c>
      <c r="C709" s="58" t="inlineStr">
        <is>
          <t>Transaction</t>
        </is>
      </c>
      <c r="D709" s="58">
        <f>IF(H709=1,INDEX(tx_ID,703)&amp;"","")</f>
        <v/>
      </c>
      <c r="E709" s="94">
        <f>IF(H709=1,INDEX(tx_Date,703),"")</f>
        <v/>
      </c>
      <c r="F709" s="58">
        <f>IF(H709=1,INDEX(tx_Desc,703)&amp;"","")</f>
        <v/>
      </c>
      <c r="G709" s="58">
        <f>IF(H709=1,IF(INDEX(tx_Cust,703)&amp;""&lt;&gt;"",INDEX(tx_Cust,703)&amp;"",INDEX(tx_Vend,703)&amp;""),"")</f>
        <v/>
      </c>
      <c r="H709" s="101">
        <f>IFERROR(N(INDEX(tx_Posted,703)),0)</f>
        <v/>
      </c>
      <c r="I709" s="58">
        <f>IF(H709=1,INDEX(tx_DrAcct,703)&amp;"","")</f>
        <v/>
      </c>
      <c r="J709" s="95">
        <f>IF(H709=1,INDEX(tx_DrAmt,703),0)</f>
        <v/>
      </c>
      <c r="K709" s="58">
        <f>IF(H709=1,INDEX(tx_CrAcct,703)&amp;"","")</f>
        <v/>
      </c>
      <c r="L709" s="95">
        <f>IF(H709=1,INDEX(tx_CrAmt,703),0)</f>
        <v/>
      </c>
      <c r="M709" s="95">
        <f>IF(H709=1,INDEX(tx_TaxDr,703),0)</f>
        <v/>
      </c>
      <c r="N709" s="95">
        <f>IF(H709=1,INDEX(tx_TaxCr,703),0)</f>
        <v/>
      </c>
      <c r="O709" s="101">
        <f>IF(H709=1,IF(E709&lt;FYStart,0,IF(E709&gt;FYEnd,13,YEAR(E709)*12+MONTH(E709)-FYYM+1)),"")</f>
        <v/>
      </c>
      <c r="P709" s="101">
        <f>IF(H709=1,IF(IFERROR(INDEX(coa_CF,MATCH(I709,coa_Name,0)),"")="Cash",1,0),0)</f>
        <v/>
      </c>
      <c r="Q709" s="101">
        <f>IF(H709=1,IF(IFERROR(INDEX(coa_CF,MATCH(K709,coa_Name,0)),"")="Cash",1,0),0)</f>
        <v/>
      </c>
      <c r="R709" s="58">
        <f>IF((P709-Q709)=0,"",IFERROR(INDEX(coa_CF,MATCH(IF((P709-Q709)=1,K709,I709),coa_Name,0)),"Operating"))</f>
        <v/>
      </c>
      <c r="S709" s="95">
        <f>IF((P709-Q709)=1,L709,IF((P709-Q709)=-1,-J709,0))</f>
        <v/>
      </c>
      <c r="T709" s="95">
        <f>IF((P709-Q709)=1,N709,IF((P709-Q709)=-1,-M709,0))</f>
        <v/>
      </c>
      <c r="U709" s="101">
        <f>IF(AND(H709=1,LedAcct&lt;&gt;""),IF(AND(E709&gt;=LedFrom,E709&lt;=LedTo,OR(I709=LedAcct,K709=LedAcct,AND(LedAcct=acctTax,M709+N709&lt;&gt;0))),E709*10000+B709,""),"")</f>
        <v/>
      </c>
    </row>
    <row r="710">
      <c r="B710" s="101" t="n">
        <v>704</v>
      </c>
      <c r="C710" s="58" t="inlineStr">
        <is>
          <t>Transaction</t>
        </is>
      </c>
      <c r="D710" s="58">
        <f>IF(H710=1,INDEX(tx_ID,704)&amp;"","")</f>
        <v/>
      </c>
      <c r="E710" s="94">
        <f>IF(H710=1,INDEX(tx_Date,704),"")</f>
        <v/>
      </c>
      <c r="F710" s="58">
        <f>IF(H710=1,INDEX(tx_Desc,704)&amp;"","")</f>
        <v/>
      </c>
      <c r="G710" s="58">
        <f>IF(H710=1,IF(INDEX(tx_Cust,704)&amp;""&lt;&gt;"",INDEX(tx_Cust,704)&amp;"",INDEX(tx_Vend,704)&amp;""),"")</f>
        <v/>
      </c>
      <c r="H710" s="101">
        <f>IFERROR(N(INDEX(tx_Posted,704)),0)</f>
        <v/>
      </c>
      <c r="I710" s="58">
        <f>IF(H710=1,INDEX(tx_DrAcct,704)&amp;"","")</f>
        <v/>
      </c>
      <c r="J710" s="95">
        <f>IF(H710=1,INDEX(tx_DrAmt,704),0)</f>
        <v/>
      </c>
      <c r="K710" s="58">
        <f>IF(H710=1,INDEX(tx_CrAcct,704)&amp;"","")</f>
        <v/>
      </c>
      <c r="L710" s="95">
        <f>IF(H710=1,INDEX(tx_CrAmt,704),0)</f>
        <v/>
      </c>
      <c r="M710" s="95">
        <f>IF(H710=1,INDEX(tx_TaxDr,704),0)</f>
        <v/>
      </c>
      <c r="N710" s="95">
        <f>IF(H710=1,INDEX(tx_TaxCr,704),0)</f>
        <v/>
      </c>
      <c r="O710" s="101">
        <f>IF(H710=1,IF(E710&lt;FYStart,0,IF(E710&gt;FYEnd,13,YEAR(E710)*12+MONTH(E710)-FYYM+1)),"")</f>
        <v/>
      </c>
      <c r="P710" s="101">
        <f>IF(H710=1,IF(IFERROR(INDEX(coa_CF,MATCH(I710,coa_Name,0)),"")="Cash",1,0),0)</f>
        <v/>
      </c>
      <c r="Q710" s="101">
        <f>IF(H710=1,IF(IFERROR(INDEX(coa_CF,MATCH(K710,coa_Name,0)),"")="Cash",1,0),0)</f>
        <v/>
      </c>
      <c r="R710" s="58">
        <f>IF((P710-Q710)=0,"",IFERROR(INDEX(coa_CF,MATCH(IF((P710-Q710)=1,K710,I710),coa_Name,0)),"Operating"))</f>
        <v/>
      </c>
      <c r="S710" s="95">
        <f>IF((P710-Q710)=1,L710,IF((P710-Q710)=-1,-J710,0))</f>
        <v/>
      </c>
      <c r="T710" s="95">
        <f>IF((P710-Q710)=1,N710,IF((P710-Q710)=-1,-M710,0))</f>
        <v/>
      </c>
      <c r="U710" s="101">
        <f>IF(AND(H710=1,LedAcct&lt;&gt;""),IF(AND(E710&gt;=LedFrom,E710&lt;=LedTo,OR(I710=LedAcct,K710=LedAcct,AND(LedAcct=acctTax,M710+N710&lt;&gt;0))),E710*10000+B710,""),"")</f>
        <v/>
      </c>
    </row>
    <row r="711">
      <c r="B711" s="101" t="n">
        <v>705</v>
      </c>
      <c r="C711" s="58" t="inlineStr">
        <is>
          <t>Transaction</t>
        </is>
      </c>
      <c r="D711" s="58">
        <f>IF(H711=1,INDEX(tx_ID,705)&amp;"","")</f>
        <v/>
      </c>
      <c r="E711" s="94">
        <f>IF(H711=1,INDEX(tx_Date,705),"")</f>
        <v/>
      </c>
      <c r="F711" s="58">
        <f>IF(H711=1,INDEX(tx_Desc,705)&amp;"","")</f>
        <v/>
      </c>
      <c r="G711" s="58">
        <f>IF(H711=1,IF(INDEX(tx_Cust,705)&amp;""&lt;&gt;"",INDEX(tx_Cust,705)&amp;"",INDEX(tx_Vend,705)&amp;""),"")</f>
        <v/>
      </c>
      <c r="H711" s="101">
        <f>IFERROR(N(INDEX(tx_Posted,705)),0)</f>
        <v/>
      </c>
      <c r="I711" s="58">
        <f>IF(H711=1,INDEX(tx_DrAcct,705)&amp;"","")</f>
        <v/>
      </c>
      <c r="J711" s="95">
        <f>IF(H711=1,INDEX(tx_DrAmt,705),0)</f>
        <v/>
      </c>
      <c r="K711" s="58">
        <f>IF(H711=1,INDEX(tx_CrAcct,705)&amp;"","")</f>
        <v/>
      </c>
      <c r="L711" s="95">
        <f>IF(H711=1,INDEX(tx_CrAmt,705),0)</f>
        <v/>
      </c>
      <c r="M711" s="95">
        <f>IF(H711=1,INDEX(tx_TaxDr,705),0)</f>
        <v/>
      </c>
      <c r="N711" s="95">
        <f>IF(H711=1,INDEX(tx_TaxCr,705),0)</f>
        <v/>
      </c>
      <c r="O711" s="101">
        <f>IF(H711=1,IF(E711&lt;FYStart,0,IF(E711&gt;FYEnd,13,YEAR(E711)*12+MONTH(E711)-FYYM+1)),"")</f>
        <v/>
      </c>
      <c r="P711" s="101">
        <f>IF(H711=1,IF(IFERROR(INDEX(coa_CF,MATCH(I711,coa_Name,0)),"")="Cash",1,0),0)</f>
        <v/>
      </c>
      <c r="Q711" s="101">
        <f>IF(H711=1,IF(IFERROR(INDEX(coa_CF,MATCH(K711,coa_Name,0)),"")="Cash",1,0),0)</f>
        <v/>
      </c>
      <c r="R711" s="58">
        <f>IF((P711-Q711)=0,"",IFERROR(INDEX(coa_CF,MATCH(IF((P711-Q711)=1,K711,I711),coa_Name,0)),"Operating"))</f>
        <v/>
      </c>
      <c r="S711" s="95">
        <f>IF((P711-Q711)=1,L711,IF((P711-Q711)=-1,-J711,0))</f>
        <v/>
      </c>
      <c r="T711" s="95">
        <f>IF((P711-Q711)=1,N711,IF((P711-Q711)=-1,-M711,0))</f>
        <v/>
      </c>
      <c r="U711" s="101">
        <f>IF(AND(H711=1,LedAcct&lt;&gt;""),IF(AND(E711&gt;=LedFrom,E711&lt;=LedTo,OR(I711=LedAcct,K711=LedAcct,AND(LedAcct=acctTax,M711+N711&lt;&gt;0))),E711*10000+B711,""),"")</f>
        <v/>
      </c>
    </row>
    <row r="712">
      <c r="B712" s="101" t="n">
        <v>706</v>
      </c>
      <c r="C712" s="58" t="inlineStr">
        <is>
          <t>Transaction</t>
        </is>
      </c>
      <c r="D712" s="58">
        <f>IF(H712=1,INDEX(tx_ID,706)&amp;"","")</f>
        <v/>
      </c>
      <c r="E712" s="94">
        <f>IF(H712=1,INDEX(tx_Date,706),"")</f>
        <v/>
      </c>
      <c r="F712" s="58">
        <f>IF(H712=1,INDEX(tx_Desc,706)&amp;"","")</f>
        <v/>
      </c>
      <c r="G712" s="58">
        <f>IF(H712=1,IF(INDEX(tx_Cust,706)&amp;""&lt;&gt;"",INDEX(tx_Cust,706)&amp;"",INDEX(tx_Vend,706)&amp;""),"")</f>
        <v/>
      </c>
      <c r="H712" s="101">
        <f>IFERROR(N(INDEX(tx_Posted,706)),0)</f>
        <v/>
      </c>
      <c r="I712" s="58">
        <f>IF(H712=1,INDEX(tx_DrAcct,706)&amp;"","")</f>
        <v/>
      </c>
      <c r="J712" s="95">
        <f>IF(H712=1,INDEX(tx_DrAmt,706),0)</f>
        <v/>
      </c>
      <c r="K712" s="58">
        <f>IF(H712=1,INDEX(tx_CrAcct,706)&amp;"","")</f>
        <v/>
      </c>
      <c r="L712" s="95">
        <f>IF(H712=1,INDEX(tx_CrAmt,706),0)</f>
        <v/>
      </c>
      <c r="M712" s="95">
        <f>IF(H712=1,INDEX(tx_TaxDr,706),0)</f>
        <v/>
      </c>
      <c r="N712" s="95">
        <f>IF(H712=1,INDEX(tx_TaxCr,706),0)</f>
        <v/>
      </c>
      <c r="O712" s="101">
        <f>IF(H712=1,IF(E712&lt;FYStart,0,IF(E712&gt;FYEnd,13,YEAR(E712)*12+MONTH(E712)-FYYM+1)),"")</f>
        <v/>
      </c>
      <c r="P712" s="101">
        <f>IF(H712=1,IF(IFERROR(INDEX(coa_CF,MATCH(I712,coa_Name,0)),"")="Cash",1,0),0)</f>
        <v/>
      </c>
      <c r="Q712" s="101">
        <f>IF(H712=1,IF(IFERROR(INDEX(coa_CF,MATCH(K712,coa_Name,0)),"")="Cash",1,0),0)</f>
        <v/>
      </c>
      <c r="R712" s="58">
        <f>IF((P712-Q712)=0,"",IFERROR(INDEX(coa_CF,MATCH(IF((P712-Q712)=1,K712,I712),coa_Name,0)),"Operating"))</f>
        <v/>
      </c>
      <c r="S712" s="95">
        <f>IF((P712-Q712)=1,L712,IF((P712-Q712)=-1,-J712,0))</f>
        <v/>
      </c>
      <c r="T712" s="95">
        <f>IF((P712-Q712)=1,N712,IF((P712-Q712)=-1,-M712,0))</f>
        <v/>
      </c>
      <c r="U712" s="101">
        <f>IF(AND(H712=1,LedAcct&lt;&gt;""),IF(AND(E712&gt;=LedFrom,E712&lt;=LedTo,OR(I712=LedAcct,K712=LedAcct,AND(LedAcct=acctTax,M712+N712&lt;&gt;0))),E712*10000+B712,""),"")</f>
        <v/>
      </c>
    </row>
    <row r="713">
      <c r="B713" s="101" t="n">
        <v>707</v>
      </c>
      <c r="C713" s="58" t="inlineStr">
        <is>
          <t>Transaction</t>
        </is>
      </c>
      <c r="D713" s="58">
        <f>IF(H713=1,INDEX(tx_ID,707)&amp;"","")</f>
        <v/>
      </c>
      <c r="E713" s="94">
        <f>IF(H713=1,INDEX(tx_Date,707),"")</f>
        <v/>
      </c>
      <c r="F713" s="58">
        <f>IF(H713=1,INDEX(tx_Desc,707)&amp;"","")</f>
        <v/>
      </c>
      <c r="G713" s="58">
        <f>IF(H713=1,IF(INDEX(tx_Cust,707)&amp;""&lt;&gt;"",INDEX(tx_Cust,707)&amp;"",INDEX(tx_Vend,707)&amp;""),"")</f>
        <v/>
      </c>
      <c r="H713" s="101">
        <f>IFERROR(N(INDEX(tx_Posted,707)),0)</f>
        <v/>
      </c>
      <c r="I713" s="58">
        <f>IF(H713=1,INDEX(tx_DrAcct,707)&amp;"","")</f>
        <v/>
      </c>
      <c r="J713" s="95">
        <f>IF(H713=1,INDEX(tx_DrAmt,707),0)</f>
        <v/>
      </c>
      <c r="K713" s="58">
        <f>IF(H713=1,INDEX(tx_CrAcct,707)&amp;"","")</f>
        <v/>
      </c>
      <c r="L713" s="95">
        <f>IF(H713=1,INDEX(tx_CrAmt,707),0)</f>
        <v/>
      </c>
      <c r="M713" s="95">
        <f>IF(H713=1,INDEX(tx_TaxDr,707),0)</f>
        <v/>
      </c>
      <c r="N713" s="95">
        <f>IF(H713=1,INDEX(tx_TaxCr,707),0)</f>
        <v/>
      </c>
      <c r="O713" s="101">
        <f>IF(H713=1,IF(E713&lt;FYStart,0,IF(E713&gt;FYEnd,13,YEAR(E713)*12+MONTH(E713)-FYYM+1)),"")</f>
        <v/>
      </c>
      <c r="P713" s="101">
        <f>IF(H713=1,IF(IFERROR(INDEX(coa_CF,MATCH(I713,coa_Name,0)),"")="Cash",1,0),0)</f>
        <v/>
      </c>
      <c r="Q713" s="101">
        <f>IF(H713=1,IF(IFERROR(INDEX(coa_CF,MATCH(K713,coa_Name,0)),"")="Cash",1,0),0)</f>
        <v/>
      </c>
      <c r="R713" s="58">
        <f>IF((P713-Q713)=0,"",IFERROR(INDEX(coa_CF,MATCH(IF((P713-Q713)=1,K713,I713),coa_Name,0)),"Operating"))</f>
        <v/>
      </c>
      <c r="S713" s="95">
        <f>IF((P713-Q713)=1,L713,IF((P713-Q713)=-1,-J713,0))</f>
        <v/>
      </c>
      <c r="T713" s="95">
        <f>IF((P713-Q713)=1,N713,IF((P713-Q713)=-1,-M713,0))</f>
        <v/>
      </c>
      <c r="U713" s="101">
        <f>IF(AND(H713=1,LedAcct&lt;&gt;""),IF(AND(E713&gt;=LedFrom,E713&lt;=LedTo,OR(I713=LedAcct,K713=LedAcct,AND(LedAcct=acctTax,M713+N713&lt;&gt;0))),E713*10000+B713,""),"")</f>
        <v/>
      </c>
    </row>
    <row r="714">
      <c r="B714" s="101" t="n">
        <v>708</v>
      </c>
      <c r="C714" s="58" t="inlineStr">
        <is>
          <t>Transaction</t>
        </is>
      </c>
      <c r="D714" s="58">
        <f>IF(H714=1,INDEX(tx_ID,708)&amp;"","")</f>
        <v/>
      </c>
      <c r="E714" s="94">
        <f>IF(H714=1,INDEX(tx_Date,708),"")</f>
        <v/>
      </c>
      <c r="F714" s="58">
        <f>IF(H714=1,INDEX(tx_Desc,708)&amp;"","")</f>
        <v/>
      </c>
      <c r="G714" s="58">
        <f>IF(H714=1,IF(INDEX(tx_Cust,708)&amp;""&lt;&gt;"",INDEX(tx_Cust,708)&amp;"",INDEX(tx_Vend,708)&amp;""),"")</f>
        <v/>
      </c>
      <c r="H714" s="101">
        <f>IFERROR(N(INDEX(tx_Posted,708)),0)</f>
        <v/>
      </c>
      <c r="I714" s="58">
        <f>IF(H714=1,INDEX(tx_DrAcct,708)&amp;"","")</f>
        <v/>
      </c>
      <c r="J714" s="95">
        <f>IF(H714=1,INDEX(tx_DrAmt,708),0)</f>
        <v/>
      </c>
      <c r="K714" s="58">
        <f>IF(H714=1,INDEX(tx_CrAcct,708)&amp;"","")</f>
        <v/>
      </c>
      <c r="L714" s="95">
        <f>IF(H714=1,INDEX(tx_CrAmt,708),0)</f>
        <v/>
      </c>
      <c r="M714" s="95">
        <f>IF(H714=1,INDEX(tx_TaxDr,708),0)</f>
        <v/>
      </c>
      <c r="N714" s="95">
        <f>IF(H714=1,INDEX(tx_TaxCr,708),0)</f>
        <v/>
      </c>
      <c r="O714" s="101">
        <f>IF(H714=1,IF(E714&lt;FYStart,0,IF(E714&gt;FYEnd,13,YEAR(E714)*12+MONTH(E714)-FYYM+1)),"")</f>
        <v/>
      </c>
      <c r="P714" s="101">
        <f>IF(H714=1,IF(IFERROR(INDEX(coa_CF,MATCH(I714,coa_Name,0)),"")="Cash",1,0),0)</f>
        <v/>
      </c>
      <c r="Q714" s="101">
        <f>IF(H714=1,IF(IFERROR(INDEX(coa_CF,MATCH(K714,coa_Name,0)),"")="Cash",1,0),0)</f>
        <v/>
      </c>
      <c r="R714" s="58">
        <f>IF((P714-Q714)=0,"",IFERROR(INDEX(coa_CF,MATCH(IF((P714-Q714)=1,K714,I714),coa_Name,0)),"Operating"))</f>
        <v/>
      </c>
      <c r="S714" s="95">
        <f>IF((P714-Q714)=1,L714,IF((P714-Q714)=-1,-J714,0))</f>
        <v/>
      </c>
      <c r="T714" s="95">
        <f>IF((P714-Q714)=1,N714,IF((P714-Q714)=-1,-M714,0))</f>
        <v/>
      </c>
      <c r="U714" s="101">
        <f>IF(AND(H714=1,LedAcct&lt;&gt;""),IF(AND(E714&gt;=LedFrom,E714&lt;=LedTo,OR(I714=LedAcct,K714=LedAcct,AND(LedAcct=acctTax,M714+N714&lt;&gt;0))),E714*10000+B714,""),"")</f>
        <v/>
      </c>
    </row>
    <row r="715">
      <c r="B715" s="101" t="n">
        <v>709</v>
      </c>
      <c r="C715" s="58" t="inlineStr">
        <is>
          <t>Transaction</t>
        </is>
      </c>
      <c r="D715" s="58">
        <f>IF(H715=1,INDEX(tx_ID,709)&amp;"","")</f>
        <v/>
      </c>
      <c r="E715" s="94">
        <f>IF(H715=1,INDEX(tx_Date,709),"")</f>
        <v/>
      </c>
      <c r="F715" s="58">
        <f>IF(H715=1,INDEX(tx_Desc,709)&amp;"","")</f>
        <v/>
      </c>
      <c r="G715" s="58">
        <f>IF(H715=1,IF(INDEX(tx_Cust,709)&amp;""&lt;&gt;"",INDEX(tx_Cust,709)&amp;"",INDEX(tx_Vend,709)&amp;""),"")</f>
        <v/>
      </c>
      <c r="H715" s="101">
        <f>IFERROR(N(INDEX(tx_Posted,709)),0)</f>
        <v/>
      </c>
      <c r="I715" s="58">
        <f>IF(H715=1,INDEX(tx_DrAcct,709)&amp;"","")</f>
        <v/>
      </c>
      <c r="J715" s="95">
        <f>IF(H715=1,INDEX(tx_DrAmt,709),0)</f>
        <v/>
      </c>
      <c r="K715" s="58">
        <f>IF(H715=1,INDEX(tx_CrAcct,709)&amp;"","")</f>
        <v/>
      </c>
      <c r="L715" s="95">
        <f>IF(H715=1,INDEX(tx_CrAmt,709),0)</f>
        <v/>
      </c>
      <c r="M715" s="95">
        <f>IF(H715=1,INDEX(tx_TaxDr,709),0)</f>
        <v/>
      </c>
      <c r="N715" s="95">
        <f>IF(H715=1,INDEX(tx_TaxCr,709),0)</f>
        <v/>
      </c>
      <c r="O715" s="101">
        <f>IF(H715=1,IF(E715&lt;FYStart,0,IF(E715&gt;FYEnd,13,YEAR(E715)*12+MONTH(E715)-FYYM+1)),"")</f>
        <v/>
      </c>
      <c r="P715" s="101">
        <f>IF(H715=1,IF(IFERROR(INDEX(coa_CF,MATCH(I715,coa_Name,0)),"")="Cash",1,0),0)</f>
        <v/>
      </c>
      <c r="Q715" s="101">
        <f>IF(H715=1,IF(IFERROR(INDEX(coa_CF,MATCH(K715,coa_Name,0)),"")="Cash",1,0),0)</f>
        <v/>
      </c>
      <c r="R715" s="58">
        <f>IF((P715-Q715)=0,"",IFERROR(INDEX(coa_CF,MATCH(IF((P715-Q715)=1,K715,I715),coa_Name,0)),"Operating"))</f>
        <v/>
      </c>
      <c r="S715" s="95">
        <f>IF((P715-Q715)=1,L715,IF((P715-Q715)=-1,-J715,0))</f>
        <v/>
      </c>
      <c r="T715" s="95">
        <f>IF((P715-Q715)=1,N715,IF((P715-Q715)=-1,-M715,0))</f>
        <v/>
      </c>
      <c r="U715" s="101">
        <f>IF(AND(H715=1,LedAcct&lt;&gt;""),IF(AND(E715&gt;=LedFrom,E715&lt;=LedTo,OR(I715=LedAcct,K715=LedAcct,AND(LedAcct=acctTax,M715+N715&lt;&gt;0))),E715*10000+B715,""),"")</f>
        <v/>
      </c>
    </row>
    <row r="716">
      <c r="B716" s="101" t="n">
        <v>710</v>
      </c>
      <c r="C716" s="58" t="inlineStr">
        <is>
          <t>Transaction</t>
        </is>
      </c>
      <c r="D716" s="58">
        <f>IF(H716=1,INDEX(tx_ID,710)&amp;"","")</f>
        <v/>
      </c>
      <c r="E716" s="94">
        <f>IF(H716=1,INDEX(tx_Date,710),"")</f>
        <v/>
      </c>
      <c r="F716" s="58">
        <f>IF(H716=1,INDEX(tx_Desc,710)&amp;"","")</f>
        <v/>
      </c>
      <c r="G716" s="58">
        <f>IF(H716=1,IF(INDEX(tx_Cust,710)&amp;""&lt;&gt;"",INDEX(tx_Cust,710)&amp;"",INDEX(tx_Vend,710)&amp;""),"")</f>
        <v/>
      </c>
      <c r="H716" s="101">
        <f>IFERROR(N(INDEX(tx_Posted,710)),0)</f>
        <v/>
      </c>
      <c r="I716" s="58">
        <f>IF(H716=1,INDEX(tx_DrAcct,710)&amp;"","")</f>
        <v/>
      </c>
      <c r="J716" s="95">
        <f>IF(H716=1,INDEX(tx_DrAmt,710),0)</f>
        <v/>
      </c>
      <c r="K716" s="58">
        <f>IF(H716=1,INDEX(tx_CrAcct,710)&amp;"","")</f>
        <v/>
      </c>
      <c r="L716" s="95">
        <f>IF(H716=1,INDEX(tx_CrAmt,710),0)</f>
        <v/>
      </c>
      <c r="M716" s="95">
        <f>IF(H716=1,INDEX(tx_TaxDr,710),0)</f>
        <v/>
      </c>
      <c r="N716" s="95">
        <f>IF(H716=1,INDEX(tx_TaxCr,710),0)</f>
        <v/>
      </c>
      <c r="O716" s="101">
        <f>IF(H716=1,IF(E716&lt;FYStart,0,IF(E716&gt;FYEnd,13,YEAR(E716)*12+MONTH(E716)-FYYM+1)),"")</f>
        <v/>
      </c>
      <c r="P716" s="101">
        <f>IF(H716=1,IF(IFERROR(INDEX(coa_CF,MATCH(I716,coa_Name,0)),"")="Cash",1,0),0)</f>
        <v/>
      </c>
      <c r="Q716" s="101">
        <f>IF(H716=1,IF(IFERROR(INDEX(coa_CF,MATCH(K716,coa_Name,0)),"")="Cash",1,0),0)</f>
        <v/>
      </c>
      <c r="R716" s="58">
        <f>IF((P716-Q716)=0,"",IFERROR(INDEX(coa_CF,MATCH(IF((P716-Q716)=1,K716,I716),coa_Name,0)),"Operating"))</f>
        <v/>
      </c>
      <c r="S716" s="95">
        <f>IF((P716-Q716)=1,L716,IF((P716-Q716)=-1,-J716,0))</f>
        <v/>
      </c>
      <c r="T716" s="95">
        <f>IF((P716-Q716)=1,N716,IF((P716-Q716)=-1,-M716,0))</f>
        <v/>
      </c>
      <c r="U716" s="101">
        <f>IF(AND(H716=1,LedAcct&lt;&gt;""),IF(AND(E716&gt;=LedFrom,E716&lt;=LedTo,OR(I716=LedAcct,K716=LedAcct,AND(LedAcct=acctTax,M716+N716&lt;&gt;0))),E716*10000+B716,""),"")</f>
        <v/>
      </c>
    </row>
    <row r="717">
      <c r="B717" s="101" t="n">
        <v>711</v>
      </c>
      <c r="C717" s="58" t="inlineStr">
        <is>
          <t>Transaction</t>
        </is>
      </c>
      <c r="D717" s="58">
        <f>IF(H717=1,INDEX(tx_ID,711)&amp;"","")</f>
        <v/>
      </c>
      <c r="E717" s="94">
        <f>IF(H717=1,INDEX(tx_Date,711),"")</f>
        <v/>
      </c>
      <c r="F717" s="58">
        <f>IF(H717=1,INDEX(tx_Desc,711)&amp;"","")</f>
        <v/>
      </c>
      <c r="G717" s="58">
        <f>IF(H717=1,IF(INDEX(tx_Cust,711)&amp;""&lt;&gt;"",INDEX(tx_Cust,711)&amp;"",INDEX(tx_Vend,711)&amp;""),"")</f>
        <v/>
      </c>
      <c r="H717" s="101">
        <f>IFERROR(N(INDEX(tx_Posted,711)),0)</f>
        <v/>
      </c>
      <c r="I717" s="58">
        <f>IF(H717=1,INDEX(tx_DrAcct,711)&amp;"","")</f>
        <v/>
      </c>
      <c r="J717" s="95">
        <f>IF(H717=1,INDEX(tx_DrAmt,711),0)</f>
        <v/>
      </c>
      <c r="K717" s="58">
        <f>IF(H717=1,INDEX(tx_CrAcct,711)&amp;"","")</f>
        <v/>
      </c>
      <c r="L717" s="95">
        <f>IF(H717=1,INDEX(tx_CrAmt,711),0)</f>
        <v/>
      </c>
      <c r="M717" s="95">
        <f>IF(H717=1,INDEX(tx_TaxDr,711),0)</f>
        <v/>
      </c>
      <c r="N717" s="95">
        <f>IF(H717=1,INDEX(tx_TaxCr,711),0)</f>
        <v/>
      </c>
      <c r="O717" s="101">
        <f>IF(H717=1,IF(E717&lt;FYStart,0,IF(E717&gt;FYEnd,13,YEAR(E717)*12+MONTH(E717)-FYYM+1)),"")</f>
        <v/>
      </c>
      <c r="P717" s="101">
        <f>IF(H717=1,IF(IFERROR(INDEX(coa_CF,MATCH(I717,coa_Name,0)),"")="Cash",1,0),0)</f>
        <v/>
      </c>
      <c r="Q717" s="101">
        <f>IF(H717=1,IF(IFERROR(INDEX(coa_CF,MATCH(K717,coa_Name,0)),"")="Cash",1,0),0)</f>
        <v/>
      </c>
      <c r="R717" s="58">
        <f>IF((P717-Q717)=0,"",IFERROR(INDEX(coa_CF,MATCH(IF((P717-Q717)=1,K717,I717),coa_Name,0)),"Operating"))</f>
        <v/>
      </c>
      <c r="S717" s="95">
        <f>IF((P717-Q717)=1,L717,IF((P717-Q717)=-1,-J717,0))</f>
        <v/>
      </c>
      <c r="T717" s="95">
        <f>IF((P717-Q717)=1,N717,IF((P717-Q717)=-1,-M717,0))</f>
        <v/>
      </c>
      <c r="U717" s="101">
        <f>IF(AND(H717=1,LedAcct&lt;&gt;""),IF(AND(E717&gt;=LedFrom,E717&lt;=LedTo,OR(I717=LedAcct,K717=LedAcct,AND(LedAcct=acctTax,M717+N717&lt;&gt;0))),E717*10000+B717,""),"")</f>
        <v/>
      </c>
    </row>
    <row r="718">
      <c r="B718" s="101" t="n">
        <v>712</v>
      </c>
      <c r="C718" s="58" t="inlineStr">
        <is>
          <t>Transaction</t>
        </is>
      </c>
      <c r="D718" s="58">
        <f>IF(H718=1,INDEX(tx_ID,712)&amp;"","")</f>
        <v/>
      </c>
      <c r="E718" s="94">
        <f>IF(H718=1,INDEX(tx_Date,712),"")</f>
        <v/>
      </c>
      <c r="F718" s="58">
        <f>IF(H718=1,INDEX(tx_Desc,712)&amp;"","")</f>
        <v/>
      </c>
      <c r="G718" s="58">
        <f>IF(H718=1,IF(INDEX(tx_Cust,712)&amp;""&lt;&gt;"",INDEX(tx_Cust,712)&amp;"",INDEX(tx_Vend,712)&amp;""),"")</f>
        <v/>
      </c>
      <c r="H718" s="101">
        <f>IFERROR(N(INDEX(tx_Posted,712)),0)</f>
        <v/>
      </c>
      <c r="I718" s="58">
        <f>IF(H718=1,INDEX(tx_DrAcct,712)&amp;"","")</f>
        <v/>
      </c>
      <c r="J718" s="95">
        <f>IF(H718=1,INDEX(tx_DrAmt,712),0)</f>
        <v/>
      </c>
      <c r="K718" s="58">
        <f>IF(H718=1,INDEX(tx_CrAcct,712)&amp;"","")</f>
        <v/>
      </c>
      <c r="L718" s="95">
        <f>IF(H718=1,INDEX(tx_CrAmt,712),0)</f>
        <v/>
      </c>
      <c r="M718" s="95">
        <f>IF(H718=1,INDEX(tx_TaxDr,712),0)</f>
        <v/>
      </c>
      <c r="N718" s="95">
        <f>IF(H718=1,INDEX(tx_TaxCr,712),0)</f>
        <v/>
      </c>
      <c r="O718" s="101">
        <f>IF(H718=1,IF(E718&lt;FYStart,0,IF(E718&gt;FYEnd,13,YEAR(E718)*12+MONTH(E718)-FYYM+1)),"")</f>
        <v/>
      </c>
      <c r="P718" s="101">
        <f>IF(H718=1,IF(IFERROR(INDEX(coa_CF,MATCH(I718,coa_Name,0)),"")="Cash",1,0),0)</f>
        <v/>
      </c>
      <c r="Q718" s="101">
        <f>IF(H718=1,IF(IFERROR(INDEX(coa_CF,MATCH(K718,coa_Name,0)),"")="Cash",1,0),0)</f>
        <v/>
      </c>
      <c r="R718" s="58">
        <f>IF((P718-Q718)=0,"",IFERROR(INDEX(coa_CF,MATCH(IF((P718-Q718)=1,K718,I718),coa_Name,0)),"Operating"))</f>
        <v/>
      </c>
      <c r="S718" s="95">
        <f>IF((P718-Q718)=1,L718,IF((P718-Q718)=-1,-J718,0))</f>
        <v/>
      </c>
      <c r="T718" s="95">
        <f>IF((P718-Q718)=1,N718,IF((P718-Q718)=-1,-M718,0))</f>
        <v/>
      </c>
      <c r="U718" s="101">
        <f>IF(AND(H718=1,LedAcct&lt;&gt;""),IF(AND(E718&gt;=LedFrom,E718&lt;=LedTo,OR(I718=LedAcct,K718=LedAcct,AND(LedAcct=acctTax,M718+N718&lt;&gt;0))),E718*10000+B718,""),"")</f>
        <v/>
      </c>
    </row>
    <row r="719">
      <c r="B719" s="101" t="n">
        <v>713</v>
      </c>
      <c r="C719" s="58" t="inlineStr">
        <is>
          <t>Transaction</t>
        </is>
      </c>
      <c r="D719" s="58">
        <f>IF(H719=1,INDEX(tx_ID,713)&amp;"","")</f>
        <v/>
      </c>
      <c r="E719" s="94">
        <f>IF(H719=1,INDEX(tx_Date,713),"")</f>
        <v/>
      </c>
      <c r="F719" s="58">
        <f>IF(H719=1,INDEX(tx_Desc,713)&amp;"","")</f>
        <v/>
      </c>
      <c r="G719" s="58">
        <f>IF(H719=1,IF(INDEX(tx_Cust,713)&amp;""&lt;&gt;"",INDEX(tx_Cust,713)&amp;"",INDEX(tx_Vend,713)&amp;""),"")</f>
        <v/>
      </c>
      <c r="H719" s="101">
        <f>IFERROR(N(INDEX(tx_Posted,713)),0)</f>
        <v/>
      </c>
      <c r="I719" s="58">
        <f>IF(H719=1,INDEX(tx_DrAcct,713)&amp;"","")</f>
        <v/>
      </c>
      <c r="J719" s="95">
        <f>IF(H719=1,INDEX(tx_DrAmt,713),0)</f>
        <v/>
      </c>
      <c r="K719" s="58">
        <f>IF(H719=1,INDEX(tx_CrAcct,713)&amp;"","")</f>
        <v/>
      </c>
      <c r="L719" s="95">
        <f>IF(H719=1,INDEX(tx_CrAmt,713),0)</f>
        <v/>
      </c>
      <c r="M719" s="95">
        <f>IF(H719=1,INDEX(tx_TaxDr,713),0)</f>
        <v/>
      </c>
      <c r="N719" s="95">
        <f>IF(H719=1,INDEX(tx_TaxCr,713),0)</f>
        <v/>
      </c>
      <c r="O719" s="101">
        <f>IF(H719=1,IF(E719&lt;FYStart,0,IF(E719&gt;FYEnd,13,YEAR(E719)*12+MONTH(E719)-FYYM+1)),"")</f>
        <v/>
      </c>
      <c r="P719" s="101">
        <f>IF(H719=1,IF(IFERROR(INDEX(coa_CF,MATCH(I719,coa_Name,0)),"")="Cash",1,0),0)</f>
        <v/>
      </c>
      <c r="Q719" s="101">
        <f>IF(H719=1,IF(IFERROR(INDEX(coa_CF,MATCH(K719,coa_Name,0)),"")="Cash",1,0),0)</f>
        <v/>
      </c>
      <c r="R719" s="58">
        <f>IF((P719-Q719)=0,"",IFERROR(INDEX(coa_CF,MATCH(IF((P719-Q719)=1,K719,I719),coa_Name,0)),"Operating"))</f>
        <v/>
      </c>
      <c r="S719" s="95">
        <f>IF((P719-Q719)=1,L719,IF((P719-Q719)=-1,-J719,0))</f>
        <v/>
      </c>
      <c r="T719" s="95">
        <f>IF((P719-Q719)=1,N719,IF((P719-Q719)=-1,-M719,0))</f>
        <v/>
      </c>
      <c r="U719" s="101">
        <f>IF(AND(H719=1,LedAcct&lt;&gt;""),IF(AND(E719&gt;=LedFrom,E719&lt;=LedTo,OR(I719=LedAcct,K719=LedAcct,AND(LedAcct=acctTax,M719+N719&lt;&gt;0))),E719*10000+B719,""),"")</f>
        <v/>
      </c>
    </row>
    <row r="720">
      <c r="B720" s="101" t="n">
        <v>714</v>
      </c>
      <c r="C720" s="58" t="inlineStr">
        <is>
          <t>Transaction</t>
        </is>
      </c>
      <c r="D720" s="58">
        <f>IF(H720=1,INDEX(tx_ID,714)&amp;"","")</f>
        <v/>
      </c>
      <c r="E720" s="94">
        <f>IF(H720=1,INDEX(tx_Date,714),"")</f>
        <v/>
      </c>
      <c r="F720" s="58">
        <f>IF(H720=1,INDEX(tx_Desc,714)&amp;"","")</f>
        <v/>
      </c>
      <c r="G720" s="58">
        <f>IF(H720=1,IF(INDEX(tx_Cust,714)&amp;""&lt;&gt;"",INDEX(tx_Cust,714)&amp;"",INDEX(tx_Vend,714)&amp;""),"")</f>
        <v/>
      </c>
      <c r="H720" s="101">
        <f>IFERROR(N(INDEX(tx_Posted,714)),0)</f>
        <v/>
      </c>
      <c r="I720" s="58">
        <f>IF(H720=1,INDEX(tx_DrAcct,714)&amp;"","")</f>
        <v/>
      </c>
      <c r="J720" s="95">
        <f>IF(H720=1,INDEX(tx_DrAmt,714),0)</f>
        <v/>
      </c>
      <c r="K720" s="58">
        <f>IF(H720=1,INDEX(tx_CrAcct,714)&amp;"","")</f>
        <v/>
      </c>
      <c r="L720" s="95">
        <f>IF(H720=1,INDEX(tx_CrAmt,714),0)</f>
        <v/>
      </c>
      <c r="M720" s="95">
        <f>IF(H720=1,INDEX(tx_TaxDr,714),0)</f>
        <v/>
      </c>
      <c r="N720" s="95">
        <f>IF(H720=1,INDEX(tx_TaxCr,714),0)</f>
        <v/>
      </c>
      <c r="O720" s="101">
        <f>IF(H720=1,IF(E720&lt;FYStart,0,IF(E720&gt;FYEnd,13,YEAR(E720)*12+MONTH(E720)-FYYM+1)),"")</f>
        <v/>
      </c>
      <c r="P720" s="101">
        <f>IF(H720=1,IF(IFERROR(INDEX(coa_CF,MATCH(I720,coa_Name,0)),"")="Cash",1,0),0)</f>
        <v/>
      </c>
      <c r="Q720" s="101">
        <f>IF(H720=1,IF(IFERROR(INDEX(coa_CF,MATCH(K720,coa_Name,0)),"")="Cash",1,0),0)</f>
        <v/>
      </c>
      <c r="R720" s="58">
        <f>IF((P720-Q720)=0,"",IFERROR(INDEX(coa_CF,MATCH(IF((P720-Q720)=1,K720,I720),coa_Name,0)),"Operating"))</f>
        <v/>
      </c>
      <c r="S720" s="95">
        <f>IF((P720-Q720)=1,L720,IF((P720-Q720)=-1,-J720,0))</f>
        <v/>
      </c>
      <c r="T720" s="95">
        <f>IF((P720-Q720)=1,N720,IF((P720-Q720)=-1,-M720,0))</f>
        <v/>
      </c>
      <c r="U720" s="101">
        <f>IF(AND(H720=1,LedAcct&lt;&gt;""),IF(AND(E720&gt;=LedFrom,E720&lt;=LedTo,OR(I720=LedAcct,K720=LedAcct,AND(LedAcct=acctTax,M720+N720&lt;&gt;0))),E720*10000+B720,""),"")</f>
        <v/>
      </c>
    </row>
    <row r="721">
      <c r="B721" s="101" t="n">
        <v>715</v>
      </c>
      <c r="C721" s="58" t="inlineStr">
        <is>
          <t>Transaction</t>
        </is>
      </c>
      <c r="D721" s="58">
        <f>IF(H721=1,INDEX(tx_ID,715)&amp;"","")</f>
        <v/>
      </c>
      <c r="E721" s="94">
        <f>IF(H721=1,INDEX(tx_Date,715),"")</f>
        <v/>
      </c>
      <c r="F721" s="58">
        <f>IF(H721=1,INDEX(tx_Desc,715)&amp;"","")</f>
        <v/>
      </c>
      <c r="G721" s="58">
        <f>IF(H721=1,IF(INDEX(tx_Cust,715)&amp;""&lt;&gt;"",INDEX(tx_Cust,715)&amp;"",INDEX(tx_Vend,715)&amp;""),"")</f>
        <v/>
      </c>
      <c r="H721" s="101">
        <f>IFERROR(N(INDEX(tx_Posted,715)),0)</f>
        <v/>
      </c>
      <c r="I721" s="58">
        <f>IF(H721=1,INDEX(tx_DrAcct,715)&amp;"","")</f>
        <v/>
      </c>
      <c r="J721" s="95">
        <f>IF(H721=1,INDEX(tx_DrAmt,715),0)</f>
        <v/>
      </c>
      <c r="K721" s="58">
        <f>IF(H721=1,INDEX(tx_CrAcct,715)&amp;"","")</f>
        <v/>
      </c>
      <c r="L721" s="95">
        <f>IF(H721=1,INDEX(tx_CrAmt,715),0)</f>
        <v/>
      </c>
      <c r="M721" s="95">
        <f>IF(H721=1,INDEX(tx_TaxDr,715),0)</f>
        <v/>
      </c>
      <c r="N721" s="95">
        <f>IF(H721=1,INDEX(tx_TaxCr,715),0)</f>
        <v/>
      </c>
      <c r="O721" s="101">
        <f>IF(H721=1,IF(E721&lt;FYStart,0,IF(E721&gt;FYEnd,13,YEAR(E721)*12+MONTH(E721)-FYYM+1)),"")</f>
        <v/>
      </c>
      <c r="P721" s="101">
        <f>IF(H721=1,IF(IFERROR(INDEX(coa_CF,MATCH(I721,coa_Name,0)),"")="Cash",1,0),0)</f>
        <v/>
      </c>
      <c r="Q721" s="101">
        <f>IF(H721=1,IF(IFERROR(INDEX(coa_CF,MATCH(K721,coa_Name,0)),"")="Cash",1,0),0)</f>
        <v/>
      </c>
      <c r="R721" s="58">
        <f>IF((P721-Q721)=0,"",IFERROR(INDEX(coa_CF,MATCH(IF((P721-Q721)=1,K721,I721),coa_Name,0)),"Operating"))</f>
        <v/>
      </c>
      <c r="S721" s="95">
        <f>IF((P721-Q721)=1,L721,IF((P721-Q721)=-1,-J721,0))</f>
        <v/>
      </c>
      <c r="T721" s="95">
        <f>IF((P721-Q721)=1,N721,IF((P721-Q721)=-1,-M721,0))</f>
        <v/>
      </c>
      <c r="U721" s="101">
        <f>IF(AND(H721=1,LedAcct&lt;&gt;""),IF(AND(E721&gt;=LedFrom,E721&lt;=LedTo,OR(I721=LedAcct,K721=LedAcct,AND(LedAcct=acctTax,M721+N721&lt;&gt;0))),E721*10000+B721,""),"")</f>
        <v/>
      </c>
    </row>
    <row r="722">
      <c r="B722" s="101" t="n">
        <v>716</v>
      </c>
      <c r="C722" s="58" t="inlineStr">
        <is>
          <t>Transaction</t>
        </is>
      </c>
      <c r="D722" s="58">
        <f>IF(H722=1,INDEX(tx_ID,716)&amp;"","")</f>
        <v/>
      </c>
      <c r="E722" s="94">
        <f>IF(H722=1,INDEX(tx_Date,716),"")</f>
        <v/>
      </c>
      <c r="F722" s="58">
        <f>IF(H722=1,INDEX(tx_Desc,716)&amp;"","")</f>
        <v/>
      </c>
      <c r="G722" s="58">
        <f>IF(H722=1,IF(INDEX(tx_Cust,716)&amp;""&lt;&gt;"",INDEX(tx_Cust,716)&amp;"",INDEX(tx_Vend,716)&amp;""),"")</f>
        <v/>
      </c>
      <c r="H722" s="101">
        <f>IFERROR(N(INDEX(tx_Posted,716)),0)</f>
        <v/>
      </c>
      <c r="I722" s="58">
        <f>IF(H722=1,INDEX(tx_DrAcct,716)&amp;"","")</f>
        <v/>
      </c>
      <c r="J722" s="95">
        <f>IF(H722=1,INDEX(tx_DrAmt,716),0)</f>
        <v/>
      </c>
      <c r="K722" s="58">
        <f>IF(H722=1,INDEX(tx_CrAcct,716)&amp;"","")</f>
        <v/>
      </c>
      <c r="L722" s="95">
        <f>IF(H722=1,INDEX(tx_CrAmt,716),0)</f>
        <v/>
      </c>
      <c r="M722" s="95">
        <f>IF(H722=1,INDEX(tx_TaxDr,716),0)</f>
        <v/>
      </c>
      <c r="N722" s="95">
        <f>IF(H722=1,INDEX(tx_TaxCr,716),0)</f>
        <v/>
      </c>
      <c r="O722" s="101">
        <f>IF(H722=1,IF(E722&lt;FYStart,0,IF(E722&gt;FYEnd,13,YEAR(E722)*12+MONTH(E722)-FYYM+1)),"")</f>
        <v/>
      </c>
      <c r="P722" s="101">
        <f>IF(H722=1,IF(IFERROR(INDEX(coa_CF,MATCH(I722,coa_Name,0)),"")="Cash",1,0),0)</f>
        <v/>
      </c>
      <c r="Q722" s="101">
        <f>IF(H722=1,IF(IFERROR(INDEX(coa_CF,MATCH(K722,coa_Name,0)),"")="Cash",1,0),0)</f>
        <v/>
      </c>
      <c r="R722" s="58">
        <f>IF((P722-Q722)=0,"",IFERROR(INDEX(coa_CF,MATCH(IF((P722-Q722)=1,K722,I722),coa_Name,0)),"Operating"))</f>
        <v/>
      </c>
      <c r="S722" s="95">
        <f>IF((P722-Q722)=1,L722,IF((P722-Q722)=-1,-J722,0))</f>
        <v/>
      </c>
      <c r="T722" s="95">
        <f>IF((P722-Q722)=1,N722,IF((P722-Q722)=-1,-M722,0))</f>
        <v/>
      </c>
      <c r="U722" s="101">
        <f>IF(AND(H722=1,LedAcct&lt;&gt;""),IF(AND(E722&gt;=LedFrom,E722&lt;=LedTo,OR(I722=LedAcct,K722=LedAcct,AND(LedAcct=acctTax,M722+N722&lt;&gt;0))),E722*10000+B722,""),"")</f>
        <v/>
      </c>
    </row>
    <row r="723">
      <c r="B723" s="101" t="n">
        <v>717</v>
      </c>
      <c r="C723" s="58" t="inlineStr">
        <is>
          <t>Transaction</t>
        </is>
      </c>
      <c r="D723" s="58">
        <f>IF(H723=1,INDEX(tx_ID,717)&amp;"","")</f>
        <v/>
      </c>
      <c r="E723" s="94">
        <f>IF(H723=1,INDEX(tx_Date,717),"")</f>
        <v/>
      </c>
      <c r="F723" s="58">
        <f>IF(H723=1,INDEX(tx_Desc,717)&amp;"","")</f>
        <v/>
      </c>
      <c r="G723" s="58">
        <f>IF(H723=1,IF(INDEX(tx_Cust,717)&amp;""&lt;&gt;"",INDEX(tx_Cust,717)&amp;"",INDEX(tx_Vend,717)&amp;""),"")</f>
        <v/>
      </c>
      <c r="H723" s="101">
        <f>IFERROR(N(INDEX(tx_Posted,717)),0)</f>
        <v/>
      </c>
      <c r="I723" s="58">
        <f>IF(H723=1,INDEX(tx_DrAcct,717)&amp;"","")</f>
        <v/>
      </c>
      <c r="J723" s="95">
        <f>IF(H723=1,INDEX(tx_DrAmt,717),0)</f>
        <v/>
      </c>
      <c r="K723" s="58">
        <f>IF(H723=1,INDEX(tx_CrAcct,717)&amp;"","")</f>
        <v/>
      </c>
      <c r="L723" s="95">
        <f>IF(H723=1,INDEX(tx_CrAmt,717),0)</f>
        <v/>
      </c>
      <c r="M723" s="95">
        <f>IF(H723=1,INDEX(tx_TaxDr,717),0)</f>
        <v/>
      </c>
      <c r="N723" s="95">
        <f>IF(H723=1,INDEX(tx_TaxCr,717),0)</f>
        <v/>
      </c>
      <c r="O723" s="101">
        <f>IF(H723=1,IF(E723&lt;FYStart,0,IF(E723&gt;FYEnd,13,YEAR(E723)*12+MONTH(E723)-FYYM+1)),"")</f>
        <v/>
      </c>
      <c r="P723" s="101">
        <f>IF(H723=1,IF(IFERROR(INDEX(coa_CF,MATCH(I723,coa_Name,0)),"")="Cash",1,0),0)</f>
        <v/>
      </c>
      <c r="Q723" s="101">
        <f>IF(H723=1,IF(IFERROR(INDEX(coa_CF,MATCH(K723,coa_Name,0)),"")="Cash",1,0),0)</f>
        <v/>
      </c>
      <c r="R723" s="58">
        <f>IF((P723-Q723)=0,"",IFERROR(INDEX(coa_CF,MATCH(IF((P723-Q723)=1,K723,I723),coa_Name,0)),"Operating"))</f>
        <v/>
      </c>
      <c r="S723" s="95">
        <f>IF((P723-Q723)=1,L723,IF((P723-Q723)=-1,-J723,0))</f>
        <v/>
      </c>
      <c r="T723" s="95">
        <f>IF((P723-Q723)=1,N723,IF((P723-Q723)=-1,-M723,0))</f>
        <v/>
      </c>
      <c r="U723" s="101">
        <f>IF(AND(H723=1,LedAcct&lt;&gt;""),IF(AND(E723&gt;=LedFrom,E723&lt;=LedTo,OR(I723=LedAcct,K723=LedAcct,AND(LedAcct=acctTax,M723+N723&lt;&gt;0))),E723*10000+B723,""),"")</f>
        <v/>
      </c>
    </row>
    <row r="724">
      <c r="B724" s="101" t="n">
        <v>718</v>
      </c>
      <c r="C724" s="58" t="inlineStr">
        <is>
          <t>Transaction</t>
        </is>
      </c>
      <c r="D724" s="58">
        <f>IF(H724=1,INDEX(tx_ID,718)&amp;"","")</f>
        <v/>
      </c>
      <c r="E724" s="94">
        <f>IF(H724=1,INDEX(tx_Date,718),"")</f>
        <v/>
      </c>
      <c r="F724" s="58">
        <f>IF(H724=1,INDEX(tx_Desc,718)&amp;"","")</f>
        <v/>
      </c>
      <c r="G724" s="58">
        <f>IF(H724=1,IF(INDEX(tx_Cust,718)&amp;""&lt;&gt;"",INDEX(tx_Cust,718)&amp;"",INDEX(tx_Vend,718)&amp;""),"")</f>
        <v/>
      </c>
      <c r="H724" s="101">
        <f>IFERROR(N(INDEX(tx_Posted,718)),0)</f>
        <v/>
      </c>
      <c r="I724" s="58">
        <f>IF(H724=1,INDEX(tx_DrAcct,718)&amp;"","")</f>
        <v/>
      </c>
      <c r="J724" s="95">
        <f>IF(H724=1,INDEX(tx_DrAmt,718),0)</f>
        <v/>
      </c>
      <c r="K724" s="58">
        <f>IF(H724=1,INDEX(tx_CrAcct,718)&amp;"","")</f>
        <v/>
      </c>
      <c r="L724" s="95">
        <f>IF(H724=1,INDEX(tx_CrAmt,718),0)</f>
        <v/>
      </c>
      <c r="M724" s="95">
        <f>IF(H724=1,INDEX(tx_TaxDr,718),0)</f>
        <v/>
      </c>
      <c r="N724" s="95">
        <f>IF(H724=1,INDEX(tx_TaxCr,718),0)</f>
        <v/>
      </c>
      <c r="O724" s="101">
        <f>IF(H724=1,IF(E724&lt;FYStart,0,IF(E724&gt;FYEnd,13,YEAR(E724)*12+MONTH(E724)-FYYM+1)),"")</f>
        <v/>
      </c>
      <c r="P724" s="101">
        <f>IF(H724=1,IF(IFERROR(INDEX(coa_CF,MATCH(I724,coa_Name,0)),"")="Cash",1,0),0)</f>
        <v/>
      </c>
      <c r="Q724" s="101">
        <f>IF(H724=1,IF(IFERROR(INDEX(coa_CF,MATCH(K724,coa_Name,0)),"")="Cash",1,0),0)</f>
        <v/>
      </c>
      <c r="R724" s="58">
        <f>IF((P724-Q724)=0,"",IFERROR(INDEX(coa_CF,MATCH(IF((P724-Q724)=1,K724,I724),coa_Name,0)),"Operating"))</f>
        <v/>
      </c>
      <c r="S724" s="95">
        <f>IF((P724-Q724)=1,L724,IF((P724-Q724)=-1,-J724,0))</f>
        <v/>
      </c>
      <c r="T724" s="95">
        <f>IF((P724-Q724)=1,N724,IF((P724-Q724)=-1,-M724,0))</f>
        <v/>
      </c>
      <c r="U724" s="101">
        <f>IF(AND(H724=1,LedAcct&lt;&gt;""),IF(AND(E724&gt;=LedFrom,E724&lt;=LedTo,OR(I724=LedAcct,K724=LedAcct,AND(LedAcct=acctTax,M724+N724&lt;&gt;0))),E724*10000+B724,""),"")</f>
        <v/>
      </c>
    </row>
    <row r="725">
      <c r="B725" s="101" t="n">
        <v>719</v>
      </c>
      <c r="C725" s="58" t="inlineStr">
        <is>
          <t>Transaction</t>
        </is>
      </c>
      <c r="D725" s="58">
        <f>IF(H725=1,INDEX(tx_ID,719)&amp;"","")</f>
        <v/>
      </c>
      <c r="E725" s="94">
        <f>IF(H725=1,INDEX(tx_Date,719),"")</f>
        <v/>
      </c>
      <c r="F725" s="58">
        <f>IF(H725=1,INDEX(tx_Desc,719)&amp;"","")</f>
        <v/>
      </c>
      <c r="G725" s="58">
        <f>IF(H725=1,IF(INDEX(tx_Cust,719)&amp;""&lt;&gt;"",INDEX(tx_Cust,719)&amp;"",INDEX(tx_Vend,719)&amp;""),"")</f>
        <v/>
      </c>
      <c r="H725" s="101">
        <f>IFERROR(N(INDEX(tx_Posted,719)),0)</f>
        <v/>
      </c>
      <c r="I725" s="58">
        <f>IF(H725=1,INDEX(tx_DrAcct,719)&amp;"","")</f>
        <v/>
      </c>
      <c r="J725" s="95">
        <f>IF(H725=1,INDEX(tx_DrAmt,719),0)</f>
        <v/>
      </c>
      <c r="K725" s="58">
        <f>IF(H725=1,INDEX(tx_CrAcct,719)&amp;"","")</f>
        <v/>
      </c>
      <c r="L725" s="95">
        <f>IF(H725=1,INDEX(tx_CrAmt,719),0)</f>
        <v/>
      </c>
      <c r="M725" s="95">
        <f>IF(H725=1,INDEX(tx_TaxDr,719),0)</f>
        <v/>
      </c>
      <c r="N725" s="95">
        <f>IF(H725=1,INDEX(tx_TaxCr,719),0)</f>
        <v/>
      </c>
      <c r="O725" s="101">
        <f>IF(H725=1,IF(E725&lt;FYStart,0,IF(E725&gt;FYEnd,13,YEAR(E725)*12+MONTH(E725)-FYYM+1)),"")</f>
        <v/>
      </c>
      <c r="P725" s="101">
        <f>IF(H725=1,IF(IFERROR(INDEX(coa_CF,MATCH(I725,coa_Name,0)),"")="Cash",1,0),0)</f>
        <v/>
      </c>
      <c r="Q725" s="101">
        <f>IF(H725=1,IF(IFERROR(INDEX(coa_CF,MATCH(K725,coa_Name,0)),"")="Cash",1,0),0)</f>
        <v/>
      </c>
      <c r="R725" s="58">
        <f>IF((P725-Q725)=0,"",IFERROR(INDEX(coa_CF,MATCH(IF((P725-Q725)=1,K725,I725),coa_Name,0)),"Operating"))</f>
        <v/>
      </c>
      <c r="S725" s="95">
        <f>IF((P725-Q725)=1,L725,IF((P725-Q725)=-1,-J725,0))</f>
        <v/>
      </c>
      <c r="T725" s="95">
        <f>IF((P725-Q725)=1,N725,IF((P725-Q725)=-1,-M725,0))</f>
        <v/>
      </c>
      <c r="U725" s="101">
        <f>IF(AND(H725=1,LedAcct&lt;&gt;""),IF(AND(E725&gt;=LedFrom,E725&lt;=LedTo,OR(I725=LedAcct,K725=LedAcct,AND(LedAcct=acctTax,M725+N725&lt;&gt;0))),E725*10000+B725,""),"")</f>
        <v/>
      </c>
    </row>
    <row r="726">
      <c r="B726" s="101" t="n">
        <v>720</v>
      </c>
      <c r="C726" s="58" t="inlineStr">
        <is>
          <t>Transaction</t>
        </is>
      </c>
      <c r="D726" s="58">
        <f>IF(H726=1,INDEX(tx_ID,720)&amp;"","")</f>
        <v/>
      </c>
      <c r="E726" s="94">
        <f>IF(H726=1,INDEX(tx_Date,720),"")</f>
        <v/>
      </c>
      <c r="F726" s="58">
        <f>IF(H726=1,INDEX(tx_Desc,720)&amp;"","")</f>
        <v/>
      </c>
      <c r="G726" s="58">
        <f>IF(H726=1,IF(INDEX(tx_Cust,720)&amp;""&lt;&gt;"",INDEX(tx_Cust,720)&amp;"",INDEX(tx_Vend,720)&amp;""),"")</f>
        <v/>
      </c>
      <c r="H726" s="101">
        <f>IFERROR(N(INDEX(tx_Posted,720)),0)</f>
        <v/>
      </c>
      <c r="I726" s="58">
        <f>IF(H726=1,INDEX(tx_DrAcct,720)&amp;"","")</f>
        <v/>
      </c>
      <c r="J726" s="95">
        <f>IF(H726=1,INDEX(tx_DrAmt,720),0)</f>
        <v/>
      </c>
      <c r="K726" s="58">
        <f>IF(H726=1,INDEX(tx_CrAcct,720)&amp;"","")</f>
        <v/>
      </c>
      <c r="L726" s="95">
        <f>IF(H726=1,INDEX(tx_CrAmt,720),0)</f>
        <v/>
      </c>
      <c r="M726" s="95">
        <f>IF(H726=1,INDEX(tx_TaxDr,720),0)</f>
        <v/>
      </c>
      <c r="N726" s="95">
        <f>IF(H726=1,INDEX(tx_TaxCr,720),0)</f>
        <v/>
      </c>
      <c r="O726" s="101">
        <f>IF(H726=1,IF(E726&lt;FYStart,0,IF(E726&gt;FYEnd,13,YEAR(E726)*12+MONTH(E726)-FYYM+1)),"")</f>
        <v/>
      </c>
      <c r="P726" s="101">
        <f>IF(H726=1,IF(IFERROR(INDEX(coa_CF,MATCH(I726,coa_Name,0)),"")="Cash",1,0),0)</f>
        <v/>
      </c>
      <c r="Q726" s="101">
        <f>IF(H726=1,IF(IFERROR(INDEX(coa_CF,MATCH(K726,coa_Name,0)),"")="Cash",1,0),0)</f>
        <v/>
      </c>
      <c r="R726" s="58">
        <f>IF((P726-Q726)=0,"",IFERROR(INDEX(coa_CF,MATCH(IF((P726-Q726)=1,K726,I726),coa_Name,0)),"Operating"))</f>
        <v/>
      </c>
      <c r="S726" s="95">
        <f>IF((P726-Q726)=1,L726,IF((P726-Q726)=-1,-J726,0))</f>
        <v/>
      </c>
      <c r="T726" s="95">
        <f>IF((P726-Q726)=1,N726,IF((P726-Q726)=-1,-M726,0))</f>
        <v/>
      </c>
      <c r="U726" s="101">
        <f>IF(AND(H726=1,LedAcct&lt;&gt;""),IF(AND(E726&gt;=LedFrom,E726&lt;=LedTo,OR(I726=LedAcct,K726=LedAcct,AND(LedAcct=acctTax,M726+N726&lt;&gt;0))),E726*10000+B726,""),"")</f>
        <v/>
      </c>
    </row>
    <row r="727">
      <c r="B727" s="101" t="n">
        <v>721</v>
      </c>
      <c r="C727" s="58" t="inlineStr">
        <is>
          <t>Transaction</t>
        </is>
      </c>
      <c r="D727" s="58">
        <f>IF(H727=1,INDEX(tx_ID,721)&amp;"","")</f>
        <v/>
      </c>
      <c r="E727" s="94">
        <f>IF(H727=1,INDEX(tx_Date,721),"")</f>
        <v/>
      </c>
      <c r="F727" s="58">
        <f>IF(H727=1,INDEX(tx_Desc,721)&amp;"","")</f>
        <v/>
      </c>
      <c r="G727" s="58">
        <f>IF(H727=1,IF(INDEX(tx_Cust,721)&amp;""&lt;&gt;"",INDEX(tx_Cust,721)&amp;"",INDEX(tx_Vend,721)&amp;""),"")</f>
        <v/>
      </c>
      <c r="H727" s="101">
        <f>IFERROR(N(INDEX(tx_Posted,721)),0)</f>
        <v/>
      </c>
      <c r="I727" s="58">
        <f>IF(H727=1,INDEX(tx_DrAcct,721)&amp;"","")</f>
        <v/>
      </c>
      <c r="J727" s="95">
        <f>IF(H727=1,INDEX(tx_DrAmt,721),0)</f>
        <v/>
      </c>
      <c r="K727" s="58">
        <f>IF(H727=1,INDEX(tx_CrAcct,721)&amp;"","")</f>
        <v/>
      </c>
      <c r="L727" s="95">
        <f>IF(H727=1,INDEX(tx_CrAmt,721),0)</f>
        <v/>
      </c>
      <c r="M727" s="95">
        <f>IF(H727=1,INDEX(tx_TaxDr,721),0)</f>
        <v/>
      </c>
      <c r="N727" s="95">
        <f>IF(H727=1,INDEX(tx_TaxCr,721),0)</f>
        <v/>
      </c>
      <c r="O727" s="101">
        <f>IF(H727=1,IF(E727&lt;FYStart,0,IF(E727&gt;FYEnd,13,YEAR(E727)*12+MONTH(E727)-FYYM+1)),"")</f>
        <v/>
      </c>
      <c r="P727" s="101">
        <f>IF(H727=1,IF(IFERROR(INDEX(coa_CF,MATCH(I727,coa_Name,0)),"")="Cash",1,0),0)</f>
        <v/>
      </c>
      <c r="Q727" s="101">
        <f>IF(H727=1,IF(IFERROR(INDEX(coa_CF,MATCH(K727,coa_Name,0)),"")="Cash",1,0),0)</f>
        <v/>
      </c>
      <c r="R727" s="58">
        <f>IF((P727-Q727)=0,"",IFERROR(INDEX(coa_CF,MATCH(IF((P727-Q727)=1,K727,I727),coa_Name,0)),"Operating"))</f>
        <v/>
      </c>
      <c r="S727" s="95">
        <f>IF((P727-Q727)=1,L727,IF((P727-Q727)=-1,-J727,0))</f>
        <v/>
      </c>
      <c r="T727" s="95">
        <f>IF((P727-Q727)=1,N727,IF((P727-Q727)=-1,-M727,0))</f>
        <v/>
      </c>
      <c r="U727" s="101">
        <f>IF(AND(H727=1,LedAcct&lt;&gt;""),IF(AND(E727&gt;=LedFrom,E727&lt;=LedTo,OR(I727=LedAcct,K727=LedAcct,AND(LedAcct=acctTax,M727+N727&lt;&gt;0))),E727*10000+B727,""),"")</f>
        <v/>
      </c>
    </row>
    <row r="728">
      <c r="B728" s="101" t="n">
        <v>722</v>
      </c>
      <c r="C728" s="58" t="inlineStr">
        <is>
          <t>Transaction</t>
        </is>
      </c>
      <c r="D728" s="58">
        <f>IF(H728=1,INDEX(tx_ID,722)&amp;"","")</f>
        <v/>
      </c>
      <c r="E728" s="94">
        <f>IF(H728=1,INDEX(tx_Date,722),"")</f>
        <v/>
      </c>
      <c r="F728" s="58">
        <f>IF(H728=1,INDEX(tx_Desc,722)&amp;"","")</f>
        <v/>
      </c>
      <c r="G728" s="58">
        <f>IF(H728=1,IF(INDEX(tx_Cust,722)&amp;""&lt;&gt;"",INDEX(tx_Cust,722)&amp;"",INDEX(tx_Vend,722)&amp;""),"")</f>
        <v/>
      </c>
      <c r="H728" s="101">
        <f>IFERROR(N(INDEX(tx_Posted,722)),0)</f>
        <v/>
      </c>
      <c r="I728" s="58">
        <f>IF(H728=1,INDEX(tx_DrAcct,722)&amp;"","")</f>
        <v/>
      </c>
      <c r="J728" s="95">
        <f>IF(H728=1,INDEX(tx_DrAmt,722),0)</f>
        <v/>
      </c>
      <c r="K728" s="58">
        <f>IF(H728=1,INDEX(tx_CrAcct,722)&amp;"","")</f>
        <v/>
      </c>
      <c r="L728" s="95">
        <f>IF(H728=1,INDEX(tx_CrAmt,722),0)</f>
        <v/>
      </c>
      <c r="M728" s="95">
        <f>IF(H728=1,INDEX(tx_TaxDr,722),0)</f>
        <v/>
      </c>
      <c r="N728" s="95">
        <f>IF(H728=1,INDEX(tx_TaxCr,722),0)</f>
        <v/>
      </c>
      <c r="O728" s="101">
        <f>IF(H728=1,IF(E728&lt;FYStart,0,IF(E728&gt;FYEnd,13,YEAR(E728)*12+MONTH(E728)-FYYM+1)),"")</f>
        <v/>
      </c>
      <c r="P728" s="101">
        <f>IF(H728=1,IF(IFERROR(INDEX(coa_CF,MATCH(I728,coa_Name,0)),"")="Cash",1,0),0)</f>
        <v/>
      </c>
      <c r="Q728" s="101">
        <f>IF(H728=1,IF(IFERROR(INDEX(coa_CF,MATCH(K728,coa_Name,0)),"")="Cash",1,0),0)</f>
        <v/>
      </c>
      <c r="R728" s="58">
        <f>IF((P728-Q728)=0,"",IFERROR(INDEX(coa_CF,MATCH(IF((P728-Q728)=1,K728,I728),coa_Name,0)),"Operating"))</f>
        <v/>
      </c>
      <c r="S728" s="95">
        <f>IF((P728-Q728)=1,L728,IF((P728-Q728)=-1,-J728,0))</f>
        <v/>
      </c>
      <c r="T728" s="95">
        <f>IF((P728-Q728)=1,N728,IF((P728-Q728)=-1,-M728,0))</f>
        <v/>
      </c>
      <c r="U728" s="101">
        <f>IF(AND(H728=1,LedAcct&lt;&gt;""),IF(AND(E728&gt;=LedFrom,E728&lt;=LedTo,OR(I728=LedAcct,K728=LedAcct,AND(LedAcct=acctTax,M728+N728&lt;&gt;0))),E728*10000+B728,""),"")</f>
        <v/>
      </c>
    </row>
    <row r="729">
      <c r="B729" s="101" t="n">
        <v>723</v>
      </c>
      <c r="C729" s="58" t="inlineStr">
        <is>
          <t>Transaction</t>
        </is>
      </c>
      <c r="D729" s="58">
        <f>IF(H729=1,INDEX(tx_ID,723)&amp;"","")</f>
        <v/>
      </c>
      <c r="E729" s="94">
        <f>IF(H729=1,INDEX(tx_Date,723),"")</f>
        <v/>
      </c>
      <c r="F729" s="58">
        <f>IF(H729=1,INDEX(tx_Desc,723)&amp;"","")</f>
        <v/>
      </c>
      <c r="G729" s="58">
        <f>IF(H729=1,IF(INDEX(tx_Cust,723)&amp;""&lt;&gt;"",INDEX(tx_Cust,723)&amp;"",INDEX(tx_Vend,723)&amp;""),"")</f>
        <v/>
      </c>
      <c r="H729" s="101">
        <f>IFERROR(N(INDEX(tx_Posted,723)),0)</f>
        <v/>
      </c>
      <c r="I729" s="58">
        <f>IF(H729=1,INDEX(tx_DrAcct,723)&amp;"","")</f>
        <v/>
      </c>
      <c r="J729" s="95">
        <f>IF(H729=1,INDEX(tx_DrAmt,723),0)</f>
        <v/>
      </c>
      <c r="K729" s="58">
        <f>IF(H729=1,INDEX(tx_CrAcct,723)&amp;"","")</f>
        <v/>
      </c>
      <c r="L729" s="95">
        <f>IF(H729=1,INDEX(tx_CrAmt,723),0)</f>
        <v/>
      </c>
      <c r="M729" s="95">
        <f>IF(H729=1,INDEX(tx_TaxDr,723),0)</f>
        <v/>
      </c>
      <c r="N729" s="95">
        <f>IF(H729=1,INDEX(tx_TaxCr,723),0)</f>
        <v/>
      </c>
      <c r="O729" s="101">
        <f>IF(H729=1,IF(E729&lt;FYStart,0,IF(E729&gt;FYEnd,13,YEAR(E729)*12+MONTH(E729)-FYYM+1)),"")</f>
        <v/>
      </c>
      <c r="P729" s="101">
        <f>IF(H729=1,IF(IFERROR(INDEX(coa_CF,MATCH(I729,coa_Name,0)),"")="Cash",1,0),0)</f>
        <v/>
      </c>
      <c r="Q729" s="101">
        <f>IF(H729=1,IF(IFERROR(INDEX(coa_CF,MATCH(K729,coa_Name,0)),"")="Cash",1,0),0)</f>
        <v/>
      </c>
      <c r="R729" s="58">
        <f>IF((P729-Q729)=0,"",IFERROR(INDEX(coa_CF,MATCH(IF((P729-Q729)=1,K729,I729),coa_Name,0)),"Operating"))</f>
        <v/>
      </c>
      <c r="S729" s="95">
        <f>IF((P729-Q729)=1,L729,IF((P729-Q729)=-1,-J729,0))</f>
        <v/>
      </c>
      <c r="T729" s="95">
        <f>IF((P729-Q729)=1,N729,IF((P729-Q729)=-1,-M729,0))</f>
        <v/>
      </c>
      <c r="U729" s="101">
        <f>IF(AND(H729=1,LedAcct&lt;&gt;""),IF(AND(E729&gt;=LedFrom,E729&lt;=LedTo,OR(I729=LedAcct,K729=LedAcct,AND(LedAcct=acctTax,M729+N729&lt;&gt;0))),E729*10000+B729,""),"")</f>
        <v/>
      </c>
    </row>
    <row r="730">
      <c r="B730" s="101" t="n">
        <v>724</v>
      </c>
      <c r="C730" s="58" t="inlineStr">
        <is>
          <t>Transaction</t>
        </is>
      </c>
      <c r="D730" s="58">
        <f>IF(H730=1,INDEX(tx_ID,724)&amp;"","")</f>
        <v/>
      </c>
      <c r="E730" s="94">
        <f>IF(H730=1,INDEX(tx_Date,724),"")</f>
        <v/>
      </c>
      <c r="F730" s="58">
        <f>IF(H730=1,INDEX(tx_Desc,724)&amp;"","")</f>
        <v/>
      </c>
      <c r="G730" s="58">
        <f>IF(H730=1,IF(INDEX(tx_Cust,724)&amp;""&lt;&gt;"",INDEX(tx_Cust,724)&amp;"",INDEX(tx_Vend,724)&amp;""),"")</f>
        <v/>
      </c>
      <c r="H730" s="101">
        <f>IFERROR(N(INDEX(tx_Posted,724)),0)</f>
        <v/>
      </c>
      <c r="I730" s="58">
        <f>IF(H730=1,INDEX(tx_DrAcct,724)&amp;"","")</f>
        <v/>
      </c>
      <c r="J730" s="95">
        <f>IF(H730=1,INDEX(tx_DrAmt,724),0)</f>
        <v/>
      </c>
      <c r="K730" s="58">
        <f>IF(H730=1,INDEX(tx_CrAcct,724)&amp;"","")</f>
        <v/>
      </c>
      <c r="L730" s="95">
        <f>IF(H730=1,INDEX(tx_CrAmt,724),0)</f>
        <v/>
      </c>
      <c r="M730" s="95">
        <f>IF(H730=1,INDEX(tx_TaxDr,724),0)</f>
        <v/>
      </c>
      <c r="N730" s="95">
        <f>IF(H730=1,INDEX(tx_TaxCr,724),0)</f>
        <v/>
      </c>
      <c r="O730" s="101">
        <f>IF(H730=1,IF(E730&lt;FYStart,0,IF(E730&gt;FYEnd,13,YEAR(E730)*12+MONTH(E730)-FYYM+1)),"")</f>
        <v/>
      </c>
      <c r="P730" s="101">
        <f>IF(H730=1,IF(IFERROR(INDEX(coa_CF,MATCH(I730,coa_Name,0)),"")="Cash",1,0),0)</f>
        <v/>
      </c>
      <c r="Q730" s="101">
        <f>IF(H730=1,IF(IFERROR(INDEX(coa_CF,MATCH(K730,coa_Name,0)),"")="Cash",1,0),0)</f>
        <v/>
      </c>
      <c r="R730" s="58">
        <f>IF((P730-Q730)=0,"",IFERROR(INDEX(coa_CF,MATCH(IF((P730-Q730)=1,K730,I730),coa_Name,0)),"Operating"))</f>
        <v/>
      </c>
      <c r="S730" s="95">
        <f>IF((P730-Q730)=1,L730,IF((P730-Q730)=-1,-J730,0))</f>
        <v/>
      </c>
      <c r="T730" s="95">
        <f>IF((P730-Q730)=1,N730,IF((P730-Q730)=-1,-M730,0))</f>
        <v/>
      </c>
      <c r="U730" s="101">
        <f>IF(AND(H730=1,LedAcct&lt;&gt;""),IF(AND(E730&gt;=LedFrom,E730&lt;=LedTo,OR(I730=LedAcct,K730=LedAcct,AND(LedAcct=acctTax,M730+N730&lt;&gt;0))),E730*10000+B730,""),"")</f>
        <v/>
      </c>
    </row>
    <row r="731">
      <c r="B731" s="101" t="n">
        <v>725</v>
      </c>
      <c r="C731" s="58" t="inlineStr">
        <is>
          <t>Transaction</t>
        </is>
      </c>
      <c r="D731" s="58">
        <f>IF(H731=1,INDEX(tx_ID,725)&amp;"","")</f>
        <v/>
      </c>
      <c r="E731" s="94">
        <f>IF(H731=1,INDEX(tx_Date,725),"")</f>
        <v/>
      </c>
      <c r="F731" s="58">
        <f>IF(H731=1,INDEX(tx_Desc,725)&amp;"","")</f>
        <v/>
      </c>
      <c r="G731" s="58">
        <f>IF(H731=1,IF(INDEX(tx_Cust,725)&amp;""&lt;&gt;"",INDEX(tx_Cust,725)&amp;"",INDEX(tx_Vend,725)&amp;""),"")</f>
        <v/>
      </c>
      <c r="H731" s="101">
        <f>IFERROR(N(INDEX(tx_Posted,725)),0)</f>
        <v/>
      </c>
      <c r="I731" s="58">
        <f>IF(H731=1,INDEX(tx_DrAcct,725)&amp;"","")</f>
        <v/>
      </c>
      <c r="J731" s="95">
        <f>IF(H731=1,INDEX(tx_DrAmt,725),0)</f>
        <v/>
      </c>
      <c r="K731" s="58">
        <f>IF(H731=1,INDEX(tx_CrAcct,725)&amp;"","")</f>
        <v/>
      </c>
      <c r="L731" s="95">
        <f>IF(H731=1,INDEX(tx_CrAmt,725),0)</f>
        <v/>
      </c>
      <c r="M731" s="95">
        <f>IF(H731=1,INDEX(tx_TaxDr,725),0)</f>
        <v/>
      </c>
      <c r="N731" s="95">
        <f>IF(H731=1,INDEX(tx_TaxCr,725),0)</f>
        <v/>
      </c>
      <c r="O731" s="101">
        <f>IF(H731=1,IF(E731&lt;FYStart,0,IF(E731&gt;FYEnd,13,YEAR(E731)*12+MONTH(E731)-FYYM+1)),"")</f>
        <v/>
      </c>
      <c r="P731" s="101">
        <f>IF(H731=1,IF(IFERROR(INDEX(coa_CF,MATCH(I731,coa_Name,0)),"")="Cash",1,0),0)</f>
        <v/>
      </c>
      <c r="Q731" s="101">
        <f>IF(H731=1,IF(IFERROR(INDEX(coa_CF,MATCH(K731,coa_Name,0)),"")="Cash",1,0),0)</f>
        <v/>
      </c>
      <c r="R731" s="58">
        <f>IF((P731-Q731)=0,"",IFERROR(INDEX(coa_CF,MATCH(IF((P731-Q731)=1,K731,I731),coa_Name,0)),"Operating"))</f>
        <v/>
      </c>
      <c r="S731" s="95">
        <f>IF((P731-Q731)=1,L731,IF((P731-Q731)=-1,-J731,0))</f>
        <v/>
      </c>
      <c r="T731" s="95">
        <f>IF((P731-Q731)=1,N731,IF((P731-Q731)=-1,-M731,0))</f>
        <v/>
      </c>
      <c r="U731" s="101">
        <f>IF(AND(H731=1,LedAcct&lt;&gt;""),IF(AND(E731&gt;=LedFrom,E731&lt;=LedTo,OR(I731=LedAcct,K731=LedAcct,AND(LedAcct=acctTax,M731+N731&lt;&gt;0))),E731*10000+B731,""),"")</f>
        <v/>
      </c>
    </row>
    <row r="732">
      <c r="B732" s="101" t="n">
        <v>726</v>
      </c>
      <c r="C732" s="58" t="inlineStr">
        <is>
          <t>Transaction</t>
        </is>
      </c>
      <c r="D732" s="58">
        <f>IF(H732=1,INDEX(tx_ID,726)&amp;"","")</f>
        <v/>
      </c>
      <c r="E732" s="94">
        <f>IF(H732=1,INDEX(tx_Date,726),"")</f>
        <v/>
      </c>
      <c r="F732" s="58">
        <f>IF(H732=1,INDEX(tx_Desc,726)&amp;"","")</f>
        <v/>
      </c>
      <c r="G732" s="58">
        <f>IF(H732=1,IF(INDEX(tx_Cust,726)&amp;""&lt;&gt;"",INDEX(tx_Cust,726)&amp;"",INDEX(tx_Vend,726)&amp;""),"")</f>
        <v/>
      </c>
      <c r="H732" s="101">
        <f>IFERROR(N(INDEX(tx_Posted,726)),0)</f>
        <v/>
      </c>
      <c r="I732" s="58">
        <f>IF(H732=1,INDEX(tx_DrAcct,726)&amp;"","")</f>
        <v/>
      </c>
      <c r="J732" s="95">
        <f>IF(H732=1,INDEX(tx_DrAmt,726),0)</f>
        <v/>
      </c>
      <c r="K732" s="58">
        <f>IF(H732=1,INDEX(tx_CrAcct,726)&amp;"","")</f>
        <v/>
      </c>
      <c r="L732" s="95">
        <f>IF(H732=1,INDEX(tx_CrAmt,726),0)</f>
        <v/>
      </c>
      <c r="M732" s="95">
        <f>IF(H732=1,INDEX(tx_TaxDr,726),0)</f>
        <v/>
      </c>
      <c r="N732" s="95">
        <f>IF(H732=1,INDEX(tx_TaxCr,726),0)</f>
        <v/>
      </c>
      <c r="O732" s="101">
        <f>IF(H732=1,IF(E732&lt;FYStart,0,IF(E732&gt;FYEnd,13,YEAR(E732)*12+MONTH(E732)-FYYM+1)),"")</f>
        <v/>
      </c>
      <c r="P732" s="101">
        <f>IF(H732=1,IF(IFERROR(INDEX(coa_CF,MATCH(I732,coa_Name,0)),"")="Cash",1,0),0)</f>
        <v/>
      </c>
      <c r="Q732" s="101">
        <f>IF(H732=1,IF(IFERROR(INDEX(coa_CF,MATCH(K732,coa_Name,0)),"")="Cash",1,0),0)</f>
        <v/>
      </c>
      <c r="R732" s="58">
        <f>IF((P732-Q732)=0,"",IFERROR(INDEX(coa_CF,MATCH(IF((P732-Q732)=1,K732,I732),coa_Name,0)),"Operating"))</f>
        <v/>
      </c>
      <c r="S732" s="95">
        <f>IF((P732-Q732)=1,L732,IF((P732-Q732)=-1,-J732,0))</f>
        <v/>
      </c>
      <c r="T732" s="95">
        <f>IF((P732-Q732)=1,N732,IF((P732-Q732)=-1,-M732,0))</f>
        <v/>
      </c>
      <c r="U732" s="101">
        <f>IF(AND(H732=1,LedAcct&lt;&gt;""),IF(AND(E732&gt;=LedFrom,E732&lt;=LedTo,OR(I732=LedAcct,K732=LedAcct,AND(LedAcct=acctTax,M732+N732&lt;&gt;0))),E732*10000+B732,""),"")</f>
        <v/>
      </c>
    </row>
    <row r="733">
      <c r="B733" s="101" t="n">
        <v>727</v>
      </c>
      <c r="C733" s="58" t="inlineStr">
        <is>
          <t>Transaction</t>
        </is>
      </c>
      <c r="D733" s="58">
        <f>IF(H733=1,INDEX(tx_ID,727)&amp;"","")</f>
        <v/>
      </c>
      <c r="E733" s="94">
        <f>IF(H733=1,INDEX(tx_Date,727),"")</f>
        <v/>
      </c>
      <c r="F733" s="58">
        <f>IF(H733=1,INDEX(tx_Desc,727)&amp;"","")</f>
        <v/>
      </c>
      <c r="G733" s="58">
        <f>IF(H733=1,IF(INDEX(tx_Cust,727)&amp;""&lt;&gt;"",INDEX(tx_Cust,727)&amp;"",INDEX(tx_Vend,727)&amp;""),"")</f>
        <v/>
      </c>
      <c r="H733" s="101">
        <f>IFERROR(N(INDEX(tx_Posted,727)),0)</f>
        <v/>
      </c>
      <c r="I733" s="58">
        <f>IF(H733=1,INDEX(tx_DrAcct,727)&amp;"","")</f>
        <v/>
      </c>
      <c r="J733" s="95">
        <f>IF(H733=1,INDEX(tx_DrAmt,727),0)</f>
        <v/>
      </c>
      <c r="K733" s="58">
        <f>IF(H733=1,INDEX(tx_CrAcct,727)&amp;"","")</f>
        <v/>
      </c>
      <c r="L733" s="95">
        <f>IF(H733=1,INDEX(tx_CrAmt,727),0)</f>
        <v/>
      </c>
      <c r="M733" s="95">
        <f>IF(H733=1,INDEX(tx_TaxDr,727),0)</f>
        <v/>
      </c>
      <c r="N733" s="95">
        <f>IF(H733=1,INDEX(tx_TaxCr,727),0)</f>
        <v/>
      </c>
      <c r="O733" s="101">
        <f>IF(H733=1,IF(E733&lt;FYStart,0,IF(E733&gt;FYEnd,13,YEAR(E733)*12+MONTH(E733)-FYYM+1)),"")</f>
        <v/>
      </c>
      <c r="P733" s="101">
        <f>IF(H733=1,IF(IFERROR(INDEX(coa_CF,MATCH(I733,coa_Name,0)),"")="Cash",1,0),0)</f>
        <v/>
      </c>
      <c r="Q733" s="101">
        <f>IF(H733=1,IF(IFERROR(INDEX(coa_CF,MATCH(K733,coa_Name,0)),"")="Cash",1,0),0)</f>
        <v/>
      </c>
      <c r="R733" s="58">
        <f>IF((P733-Q733)=0,"",IFERROR(INDEX(coa_CF,MATCH(IF((P733-Q733)=1,K733,I733),coa_Name,0)),"Operating"))</f>
        <v/>
      </c>
      <c r="S733" s="95">
        <f>IF((P733-Q733)=1,L733,IF((P733-Q733)=-1,-J733,0))</f>
        <v/>
      </c>
      <c r="T733" s="95">
        <f>IF((P733-Q733)=1,N733,IF((P733-Q733)=-1,-M733,0))</f>
        <v/>
      </c>
      <c r="U733" s="101">
        <f>IF(AND(H733=1,LedAcct&lt;&gt;""),IF(AND(E733&gt;=LedFrom,E733&lt;=LedTo,OR(I733=LedAcct,K733=LedAcct,AND(LedAcct=acctTax,M733+N733&lt;&gt;0))),E733*10000+B733,""),"")</f>
        <v/>
      </c>
    </row>
    <row r="734">
      <c r="B734" s="101" t="n">
        <v>728</v>
      </c>
      <c r="C734" s="58" t="inlineStr">
        <is>
          <t>Transaction</t>
        </is>
      </c>
      <c r="D734" s="58">
        <f>IF(H734=1,INDEX(tx_ID,728)&amp;"","")</f>
        <v/>
      </c>
      <c r="E734" s="94">
        <f>IF(H734=1,INDEX(tx_Date,728),"")</f>
        <v/>
      </c>
      <c r="F734" s="58">
        <f>IF(H734=1,INDEX(tx_Desc,728)&amp;"","")</f>
        <v/>
      </c>
      <c r="G734" s="58">
        <f>IF(H734=1,IF(INDEX(tx_Cust,728)&amp;""&lt;&gt;"",INDEX(tx_Cust,728)&amp;"",INDEX(tx_Vend,728)&amp;""),"")</f>
        <v/>
      </c>
      <c r="H734" s="101">
        <f>IFERROR(N(INDEX(tx_Posted,728)),0)</f>
        <v/>
      </c>
      <c r="I734" s="58">
        <f>IF(H734=1,INDEX(tx_DrAcct,728)&amp;"","")</f>
        <v/>
      </c>
      <c r="J734" s="95">
        <f>IF(H734=1,INDEX(tx_DrAmt,728),0)</f>
        <v/>
      </c>
      <c r="K734" s="58">
        <f>IF(H734=1,INDEX(tx_CrAcct,728)&amp;"","")</f>
        <v/>
      </c>
      <c r="L734" s="95">
        <f>IF(H734=1,INDEX(tx_CrAmt,728),0)</f>
        <v/>
      </c>
      <c r="M734" s="95">
        <f>IF(H734=1,INDEX(tx_TaxDr,728),0)</f>
        <v/>
      </c>
      <c r="N734" s="95">
        <f>IF(H734=1,INDEX(tx_TaxCr,728),0)</f>
        <v/>
      </c>
      <c r="O734" s="101">
        <f>IF(H734=1,IF(E734&lt;FYStart,0,IF(E734&gt;FYEnd,13,YEAR(E734)*12+MONTH(E734)-FYYM+1)),"")</f>
        <v/>
      </c>
      <c r="P734" s="101">
        <f>IF(H734=1,IF(IFERROR(INDEX(coa_CF,MATCH(I734,coa_Name,0)),"")="Cash",1,0),0)</f>
        <v/>
      </c>
      <c r="Q734" s="101">
        <f>IF(H734=1,IF(IFERROR(INDEX(coa_CF,MATCH(K734,coa_Name,0)),"")="Cash",1,0),0)</f>
        <v/>
      </c>
      <c r="R734" s="58">
        <f>IF((P734-Q734)=0,"",IFERROR(INDEX(coa_CF,MATCH(IF((P734-Q734)=1,K734,I734),coa_Name,0)),"Operating"))</f>
        <v/>
      </c>
      <c r="S734" s="95">
        <f>IF((P734-Q734)=1,L734,IF((P734-Q734)=-1,-J734,0))</f>
        <v/>
      </c>
      <c r="T734" s="95">
        <f>IF((P734-Q734)=1,N734,IF((P734-Q734)=-1,-M734,0))</f>
        <v/>
      </c>
      <c r="U734" s="101">
        <f>IF(AND(H734=1,LedAcct&lt;&gt;""),IF(AND(E734&gt;=LedFrom,E734&lt;=LedTo,OR(I734=LedAcct,K734=LedAcct,AND(LedAcct=acctTax,M734+N734&lt;&gt;0))),E734*10000+B734,""),"")</f>
        <v/>
      </c>
    </row>
    <row r="735">
      <c r="B735" s="101" t="n">
        <v>729</v>
      </c>
      <c r="C735" s="58" t="inlineStr">
        <is>
          <t>Transaction</t>
        </is>
      </c>
      <c r="D735" s="58">
        <f>IF(H735=1,INDEX(tx_ID,729)&amp;"","")</f>
        <v/>
      </c>
      <c r="E735" s="94">
        <f>IF(H735=1,INDEX(tx_Date,729),"")</f>
        <v/>
      </c>
      <c r="F735" s="58">
        <f>IF(H735=1,INDEX(tx_Desc,729)&amp;"","")</f>
        <v/>
      </c>
      <c r="G735" s="58">
        <f>IF(H735=1,IF(INDEX(tx_Cust,729)&amp;""&lt;&gt;"",INDEX(tx_Cust,729)&amp;"",INDEX(tx_Vend,729)&amp;""),"")</f>
        <v/>
      </c>
      <c r="H735" s="101">
        <f>IFERROR(N(INDEX(tx_Posted,729)),0)</f>
        <v/>
      </c>
      <c r="I735" s="58">
        <f>IF(H735=1,INDEX(tx_DrAcct,729)&amp;"","")</f>
        <v/>
      </c>
      <c r="J735" s="95">
        <f>IF(H735=1,INDEX(tx_DrAmt,729),0)</f>
        <v/>
      </c>
      <c r="K735" s="58">
        <f>IF(H735=1,INDEX(tx_CrAcct,729)&amp;"","")</f>
        <v/>
      </c>
      <c r="L735" s="95">
        <f>IF(H735=1,INDEX(tx_CrAmt,729),0)</f>
        <v/>
      </c>
      <c r="M735" s="95">
        <f>IF(H735=1,INDEX(tx_TaxDr,729),0)</f>
        <v/>
      </c>
      <c r="N735" s="95">
        <f>IF(H735=1,INDEX(tx_TaxCr,729),0)</f>
        <v/>
      </c>
      <c r="O735" s="101">
        <f>IF(H735=1,IF(E735&lt;FYStart,0,IF(E735&gt;FYEnd,13,YEAR(E735)*12+MONTH(E735)-FYYM+1)),"")</f>
        <v/>
      </c>
      <c r="P735" s="101">
        <f>IF(H735=1,IF(IFERROR(INDEX(coa_CF,MATCH(I735,coa_Name,0)),"")="Cash",1,0),0)</f>
        <v/>
      </c>
      <c r="Q735" s="101">
        <f>IF(H735=1,IF(IFERROR(INDEX(coa_CF,MATCH(K735,coa_Name,0)),"")="Cash",1,0),0)</f>
        <v/>
      </c>
      <c r="R735" s="58">
        <f>IF((P735-Q735)=0,"",IFERROR(INDEX(coa_CF,MATCH(IF((P735-Q735)=1,K735,I735),coa_Name,0)),"Operating"))</f>
        <v/>
      </c>
      <c r="S735" s="95">
        <f>IF((P735-Q735)=1,L735,IF((P735-Q735)=-1,-J735,0))</f>
        <v/>
      </c>
      <c r="T735" s="95">
        <f>IF((P735-Q735)=1,N735,IF((P735-Q735)=-1,-M735,0))</f>
        <v/>
      </c>
      <c r="U735" s="101">
        <f>IF(AND(H735=1,LedAcct&lt;&gt;""),IF(AND(E735&gt;=LedFrom,E735&lt;=LedTo,OR(I735=LedAcct,K735=LedAcct,AND(LedAcct=acctTax,M735+N735&lt;&gt;0))),E735*10000+B735,""),"")</f>
        <v/>
      </c>
    </row>
    <row r="736">
      <c r="B736" s="101" t="n">
        <v>730</v>
      </c>
      <c r="C736" s="58" t="inlineStr">
        <is>
          <t>Transaction</t>
        </is>
      </c>
      <c r="D736" s="58">
        <f>IF(H736=1,INDEX(tx_ID,730)&amp;"","")</f>
        <v/>
      </c>
      <c r="E736" s="94">
        <f>IF(H736=1,INDEX(tx_Date,730),"")</f>
        <v/>
      </c>
      <c r="F736" s="58">
        <f>IF(H736=1,INDEX(tx_Desc,730)&amp;"","")</f>
        <v/>
      </c>
      <c r="G736" s="58">
        <f>IF(H736=1,IF(INDEX(tx_Cust,730)&amp;""&lt;&gt;"",INDEX(tx_Cust,730)&amp;"",INDEX(tx_Vend,730)&amp;""),"")</f>
        <v/>
      </c>
      <c r="H736" s="101">
        <f>IFERROR(N(INDEX(tx_Posted,730)),0)</f>
        <v/>
      </c>
      <c r="I736" s="58">
        <f>IF(H736=1,INDEX(tx_DrAcct,730)&amp;"","")</f>
        <v/>
      </c>
      <c r="J736" s="95">
        <f>IF(H736=1,INDEX(tx_DrAmt,730),0)</f>
        <v/>
      </c>
      <c r="K736" s="58">
        <f>IF(H736=1,INDEX(tx_CrAcct,730)&amp;"","")</f>
        <v/>
      </c>
      <c r="L736" s="95">
        <f>IF(H736=1,INDEX(tx_CrAmt,730),0)</f>
        <v/>
      </c>
      <c r="M736" s="95">
        <f>IF(H736=1,INDEX(tx_TaxDr,730),0)</f>
        <v/>
      </c>
      <c r="N736" s="95">
        <f>IF(H736=1,INDEX(tx_TaxCr,730),0)</f>
        <v/>
      </c>
      <c r="O736" s="101">
        <f>IF(H736=1,IF(E736&lt;FYStart,0,IF(E736&gt;FYEnd,13,YEAR(E736)*12+MONTH(E736)-FYYM+1)),"")</f>
        <v/>
      </c>
      <c r="P736" s="101">
        <f>IF(H736=1,IF(IFERROR(INDEX(coa_CF,MATCH(I736,coa_Name,0)),"")="Cash",1,0),0)</f>
        <v/>
      </c>
      <c r="Q736" s="101">
        <f>IF(H736=1,IF(IFERROR(INDEX(coa_CF,MATCH(K736,coa_Name,0)),"")="Cash",1,0),0)</f>
        <v/>
      </c>
      <c r="R736" s="58">
        <f>IF((P736-Q736)=0,"",IFERROR(INDEX(coa_CF,MATCH(IF((P736-Q736)=1,K736,I736),coa_Name,0)),"Operating"))</f>
        <v/>
      </c>
      <c r="S736" s="95">
        <f>IF((P736-Q736)=1,L736,IF((P736-Q736)=-1,-J736,0))</f>
        <v/>
      </c>
      <c r="T736" s="95">
        <f>IF((P736-Q736)=1,N736,IF((P736-Q736)=-1,-M736,0))</f>
        <v/>
      </c>
      <c r="U736" s="101">
        <f>IF(AND(H736=1,LedAcct&lt;&gt;""),IF(AND(E736&gt;=LedFrom,E736&lt;=LedTo,OR(I736=LedAcct,K736=LedAcct,AND(LedAcct=acctTax,M736+N736&lt;&gt;0))),E736*10000+B736,""),"")</f>
        <v/>
      </c>
    </row>
    <row r="737">
      <c r="B737" s="101" t="n">
        <v>731</v>
      </c>
      <c r="C737" s="58" t="inlineStr">
        <is>
          <t>Transaction</t>
        </is>
      </c>
      <c r="D737" s="58">
        <f>IF(H737=1,INDEX(tx_ID,731)&amp;"","")</f>
        <v/>
      </c>
      <c r="E737" s="94">
        <f>IF(H737=1,INDEX(tx_Date,731),"")</f>
        <v/>
      </c>
      <c r="F737" s="58">
        <f>IF(H737=1,INDEX(tx_Desc,731)&amp;"","")</f>
        <v/>
      </c>
      <c r="G737" s="58">
        <f>IF(H737=1,IF(INDEX(tx_Cust,731)&amp;""&lt;&gt;"",INDEX(tx_Cust,731)&amp;"",INDEX(tx_Vend,731)&amp;""),"")</f>
        <v/>
      </c>
      <c r="H737" s="101">
        <f>IFERROR(N(INDEX(tx_Posted,731)),0)</f>
        <v/>
      </c>
      <c r="I737" s="58">
        <f>IF(H737=1,INDEX(tx_DrAcct,731)&amp;"","")</f>
        <v/>
      </c>
      <c r="J737" s="95">
        <f>IF(H737=1,INDEX(tx_DrAmt,731),0)</f>
        <v/>
      </c>
      <c r="K737" s="58">
        <f>IF(H737=1,INDEX(tx_CrAcct,731)&amp;"","")</f>
        <v/>
      </c>
      <c r="L737" s="95">
        <f>IF(H737=1,INDEX(tx_CrAmt,731),0)</f>
        <v/>
      </c>
      <c r="M737" s="95">
        <f>IF(H737=1,INDEX(tx_TaxDr,731),0)</f>
        <v/>
      </c>
      <c r="N737" s="95">
        <f>IF(H737=1,INDEX(tx_TaxCr,731),0)</f>
        <v/>
      </c>
      <c r="O737" s="101">
        <f>IF(H737=1,IF(E737&lt;FYStart,0,IF(E737&gt;FYEnd,13,YEAR(E737)*12+MONTH(E737)-FYYM+1)),"")</f>
        <v/>
      </c>
      <c r="P737" s="101">
        <f>IF(H737=1,IF(IFERROR(INDEX(coa_CF,MATCH(I737,coa_Name,0)),"")="Cash",1,0),0)</f>
        <v/>
      </c>
      <c r="Q737" s="101">
        <f>IF(H737=1,IF(IFERROR(INDEX(coa_CF,MATCH(K737,coa_Name,0)),"")="Cash",1,0),0)</f>
        <v/>
      </c>
      <c r="R737" s="58">
        <f>IF((P737-Q737)=0,"",IFERROR(INDEX(coa_CF,MATCH(IF((P737-Q737)=1,K737,I737),coa_Name,0)),"Operating"))</f>
        <v/>
      </c>
      <c r="S737" s="95">
        <f>IF((P737-Q737)=1,L737,IF((P737-Q737)=-1,-J737,0))</f>
        <v/>
      </c>
      <c r="T737" s="95">
        <f>IF((P737-Q737)=1,N737,IF((P737-Q737)=-1,-M737,0))</f>
        <v/>
      </c>
      <c r="U737" s="101">
        <f>IF(AND(H737=1,LedAcct&lt;&gt;""),IF(AND(E737&gt;=LedFrom,E737&lt;=LedTo,OR(I737=LedAcct,K737=LedAcct,AND(LedAcct=acctTax,M737+N737&lt;&gt;0))),E737*10000+B737,""),"")</f>
        <v/>
      </c>
    </row>
    <row r="738">
      <c r="B738" s="101" t="n">
        <v>732</v>
      </c>
      <c r="C738" s="58" t="inlineStr">
        <is>
          <t>Transaction</t>
        </is>
      </c>
      <c r="D738" s="58">
        <f>IF(H738=1,INDEX(tx_ID,732)&amp;"","")</f>
        <v/>
      </c>
      <c r="E738" s="94">
        <f>IF(H738=1,INDEX(tx_Date,732),"")</f>
        <v/>
      </c>
      <c r="F738" s="58">
        <f>IF(H738=1,INDEX(tx_Desc,732)&amp;"","")</f>
        <v/>
      </c>
      <c r="G738" s="58">
        <f>IF(H738=1,IF(INDEX(tx_Cust,732)&amp;""&lt;&gt;"",INDEX(tx_Cust,732)&amp;"",INDEX(tx_Vend,732)&amp;""),"")</f>
        <v/>
      </c>
      <c r="H738" s="101">
        <f>IFERROR(N(INDEX(tx_Posted,732)),0)</f>
        <v/>
      </c>
      <c r="I738" s="58">
        <f>IF(H738=1,INDEX(tx_DrAcct,732)&amp;"","")</f>
        <v/>
      </c>
      <c r="J738" s="95">
        <f>IF(H738=1,INDEX(tx_DrAmt,732),0)</f>
        <v/>
      </c>
      <c r="K738" s="58">
        <f>IF(H738=1,INDEX(tx_CrAcct,732)&amp;"","")</f>
        <v/>
      </c>
      <c r="L738" s="95">
        <f>IF(H738=1,INDEX(tx_CrAmt,732),0)</f>
        <v/>
      </c>
      <c r="M738" s="95">
        <f>IF(H738=1,INDEX(tx_TaxDr,732),0)</f>
        <v/>
      </c>
      <c r="N738" s="95">
        <f>IF(H738=1,INDEX(tx_TaxCr,732),0)</f>
        <v/>
      </c>
      <c r="O738" s="101">
        <f>IF(H738=1,IF(E738&lt;FYStart,0,IF(E738&gt;FYEnd,13,YEAR(E738)*12+MONTH(E738)-FYYM+1)),"")</f>
        <v/>
      </c>
      <c r="P738" s="101">
        <f>IF(H738=1,IF(IFERROR(INDEX(coa_CF,MATCH(I738,coa_Name,0)),"")="Cash",1,0),0)</f>
        <v/>
      </c>
      <c r="Q738" s="101">
        <f>IF(H738=1,IF(IFERROR(INDEX(coa_CF,MATCH(K738,coa_Name,0)),"")="Cash",1,0),0)</f>
        <v/>
      </c>
      <c r="R738" s="58">
        <f>IF((P738-Q738)=0,"",IFERROR(INDEX(coa_CF,MATCH(IF((P738-Q738)=1,K738,I738),coa_Name,0)),"Operating"))</f>
        <v/>
      </c>
      <c r="S738" s="95">
        <f>IF((P738-Q738)=1,L738,IF((P738-Q738)=-1,-J738,0))</f>
        <v/>
      </c>
      <c r="T738" s="95">
        <f>IF((P738-Q738)=1,N738,IF((P738-Q738)=-1,-M738,0))</f>
        <v/>
      </c>
      <c r="U738" s="101">
        <f>IF(AND(H738=1,LedAcct&lt;&gt;""),IF(AND(E738&gt;=LedFrom,E738&lt;=LedTo,OR(I738=LedAcct,K738=LedAcct,AND(LedAcct=acctTax,M738+N738&lt;&gt;0))),E738*10000+B738,""),"")</f>
        <v/>
      </c>
    </row>
    <row r="739">
      <c r="B739" s="101" t="n">
        <v>733</v>
      </c>
      <c r="C739" s="58" t="inlineStr">
        <is>
          <t>Transaction</t>
        </is>
      </c>
      <c r="D739" s="58">
        <f>IF(H739=1,INDEX(tx_ID,733)&amp;"","")</f>
        <v/>
      </c>
      <c r="E739" s="94">
        <f>IF(H739=1,INDEX(tx_Date,733),"")</f>
        <v/>
      </c>
      <c r="F739" s="58">
        <f>IF(H739=1,INDEX(tx_Desc,733)&amp;"","")</f>
        <v/>
      </c>
      <c r="G739" s="58">
        <f>IF(H739=1,IF(INDEX(tx_Cust,733)&amp;""&lt;&gt;"",INDEX(tx_Cust,733)&amp;"",INDEX(tx_Vend,733)&amp;""),"")</f>
        <v/>
      </c>
      <c r="H739" s="101">
        <f>IFERROR(N(INDEX(tx_Posted,733)),0)</f>
        <v/>
      </c>
      <c r="I739" s="58">
        <f>IF(H739=1,INDEX(tx_DrAcct,733)&amp;"","")</f>
        <v/>
      </c>
      <c r="J739" s="95">
        <f>IF(H739=1,INDEX(tx_DrAmt,733),0)</f>
        <v/>
      </c>
      <c r="K739" s="58">
        <f>IF(H739=1,INDEX(tx_CrAcct,733)&amp;"","")</f>
        <v/>
      </c>
      <c r="L739" s="95">
        <f>IF(H739=1,INDEX(tx_CrAmt,733),0)</f>
        <v/>
      </c>
      <c r="M739" s="95">
        <f>IF(H739=1,INDEX(tx_TaxDr,733),0)</f>
        <v/>
      </c>
      <c r="N739" s="95">
        <f>IF(H739=1,INDEX(tx_TaxCr,733),0)</f>
        <v/>
      </c>
      <c r="O739" s="101">
        <f>IF(H739=1,IF(E739&lt;FYStart,0,IF(E739&gt;FYEnd,13,YEAR(E739)*12+MONTH(E739)-FYYM+1)),"")</f>
        <v/>
      </c>
      <c r="P739" s="101">
        <f>IF(H739=1,IF(IFERROR(INDEX(coa_CF,MATCH(I739,coa_Name,0)),"")="Cash",1,0),0)</f>
        <v/>
      </c>
      <c r="Q739" s="101">
        <f>IF(H739=1,IF(IFERROR(INDEX(coa_CF,MATCH(K739,coa_Name,0)),"")="Cash",1,0),0)</f>
        <v/>
      </c>
      <c r="R739" s="58">
        <f>IF((P739-Q739)=0,"",IFERROR(INDEX(coa_CF,MATCH(IF((P739-Q739)=1,K739,I739),coa_Name,0)),"Operating"))</f>
        <v/>
      </c>
      <c r="S739" s="95">
        <f>IF((P739-Q739)=1,L739,IF((P739-Q739)=-1,-J739,0))</f>
        <v/>
      </c>
      <c r="T739" s="95">
        <f>IF((P739-Q739)=1,N739,IF((P739-Q739)=-1,-M739,0))</f>
        <v/>
      </c>
      <c r="U739" s="101">
        <f>IF(AND(H739=1,LedAcct&lt;&gt;""),IF(AND(E739&gt;=LedFrom,E739&lt;=LedTo,OR(I739=LedAcct,K739=LedAcct,AND(LedAcct=acctTax,M739+N739&lt;&gt;0))),E739*10000+B739,""),"")</f>
        <v/>
      </c>
    </row>
    <row r="740">
      <c r="B740" s="101" t="n">
        <v>734</v>
      </c>
      <c r="C740" s="58" t="inlineStr">
        <is>
          <t>Transaction</t>
        </is>
      </c>
      <c r="D740" s="58">
        <f>IF(H740=1,INDEX(tx_ID,734)&amp;"","")</f>
        <v/>
      </c>
      <c r="E740" s="94">
        <f>IF(H740=1,INDEX(tx_Date,734),"")</f>
        <v/>
      </c>
      <c r="F740" s="58">
        <f>IF(H740=1,INDEX(tx_Desc,734)&amp;"","")</f>
        <v/>
      </c>
      <c r="G740" s="58">
        <f>IF(H740=1,IF(INDEX(tx_Cust,734)&amp;""&lt;&gt;"",INDEX(tx_Cust,734)&amp;"",INDEX(tx_Vend,734)&amp;""),"")</f>
        <v/>
      </c>
      <c r="H740" s="101">
        <f>IFERROR(N(INDEX(tx_Posted,734)),0)</f>
        <v/>
      </c>
      <c r="I740" s="58">
        <f>IF(H740=1,INDEX(tx_DrAcct,734)&amp;"","")</f>
        <v/>
      </c>
      <c r="J740" s="95">
        <f>IF(H740=1,INDEX(tx_DrAmt,734),0)</f>
        <v/>
      </c>
      <c r="K740" s="58">
        <f>IF(H740=1,INDEX(tx_CrAcct,734)&amp;"","")</f>
        <v/>
      </c>
      <c r="L740" s="95">
        <f>IF(H740=1,INDEX(tx_CrAmt,734),0)</f>
        <v/>
      </c>
      <c r="M740" s="95">
        <f>IF(H740=1,INDEX(tx_TaxDr,734),0)</f>
        <v/>
      </c>
      <c r="N740" s="95">
        <f>IF(H740=1,INDEX(tx_TaxCr,734),0)</f>
        <v/>
      </c>
      <c r="O740" s="101">
        <f>IF(H740=1,IF(E740&lt;FYStart,0,IF(E740&gt;FYEnd,13,YEAR(E740)*12+MONTH(E740)-FYYM+1)),"")</f>
        <v/>
      </c>
      <c r="P740" s="101">
        <f>IF(H740=1,IF(IFERROR(INDEX(coa_CF,MATCH(I740,coa_Name,0)),"")="Cash",1,0),0)</f>
        <v/>
      </c>
      <c r="Q740" s="101">
        <f>IF(H740=1,IF(IFERROR(INDEX(coa_CF,MATCH(K740,coa_Name,0)),"")="Cash",1,0),0)</f>
        <v/>
      </c>
      <c r="R740" s="58">
        <f>IF((P740-Q740)=0,"",IFERROR(INDEX(coa_CF,MATCH(IF((P740-Q740)=1,K740,I740),coa_Name,0)),"Operating"))</f>
        <v/>
      </c>
      <c r="S740" s="95">
        <f>IF((P740-Q740)=1,L740,IF((P740-Q740)=-1,-J740,0))</f>
        <v/>
      </c>
      <c r="T740" s="95">
        <f>IF((P740-Q740)=1,N740,IF((P740-Q740)=-1,-M740,0))</f>
        <v/>
      </c>
      <c r="U740" s="101">
        <f>IF(AND(H740=1,LedAcct&lt;&gt;""),IF(AND(E740&gt;=LedFrom,E740&lt;=LedTo,OR(I740=LedAcct,K740=LedAcct,AND(LedAcct=acctTax,M740+N740&lt;&gt;0))),E740*10000+B740,""),"")</f>
        <v/>
      </c>
    </row>
    <row r="741">
      <c r="B741" s="101" t="n">
        <v>735</v>
      </c>
      <c r="C741" s="58" t="inlineStr">
        <is>
          <t>Transaction</t>
        </is>
      </c>
      <c r="D741" s="58">
        <f>IF(H741=1,INDEX(tx_ID,735)&amp;"","")</f>
        <v/>
      </c>
      <c r="E741" s="94">
        <f>IF(H741=1,INDEX(tx_Date,735),"")</f>
        <v/>
      </c>
      <c r="F741" s="58">
        <f>IF(H741=1,INDEX(tx_Desc,735)&amp;"","")</f>
        <v/>
      </c>
      <c r="G741" s="58">
        <f>IF(H741=1,IF(INDEX(tx_Cust,735)&amp;""&lt;&gt;"",INDEX(tx_Cust,735)&amp;"",INDEX(tx_Vend,735)&amp;""),"")</f>
        <v/>
      </c>
      <c r="H741" s="101">
        <f>IFERROR(N(INDEX(tx_Posted,735)),0)</f>
        <v/>
      </c>
      <c r="I741" s="58">
        <f>IF(H741=1,INDEX(tx_DrAcct,735)&amp;"","")</f>
        <v/>
      </c>
      <c r="J741" s="95">
        <f>IF(H741=1,INDEX(tx_DrAmt,735),0)</f>
        <v/>
      </c>
      <c r="K741" s="58">
        <f>IF(H741=1,INDEX(tx_CrAcct,735)&amp;"","")</f>
        <v/>
      </c>
      <c r="L741" s="95">
        <f>IF(H741=1,INDEX(tx_CrAmt,735),0)</f>
        <v/>
      </c>
      <c r="M741" s="95">
        <f>IF(H741=1,INDEX(tx_TaxDr,735),0)</f>
        <v/>
      </c>
      <c r="N741" s="95">
        <f>IF(H741=1,INDEX(tx_TaxCr,735),0)</f>
        <v/>
      </c>
      <c r="O741" s="101">
        <f>IF(H741=1,IF(E741&lt;FYStart,0,IF(E741&gt;FYEnd,13,YEAR(E741)*12+MONTH(E741)-FYYM+1)),"")</f>
        <v/>
      </c>
      <c r="P741" s="101">
        <f>IF(H741=1,IF(IFERROR(INDEX(coa_CF,MATCH(I741,coa_Name,0)),"")="Cash",1,0),0)</f>
        <v/>
      </c>
      <c r="Q741" s="101">
        <f>IF(H741=1,IF(IFERROR(INDEX(coa_CF,MATCH(K741,coa_Name,0)),"")="Cash",1,0),0)</f>
        <v/>
      </c>
      <c r="R741" s="58">
        <f>IF((P741-Q741)=0,"",IFERROR(INDEX(coa_CF,MATCH(IF((P741-Q741)=1,K741,I741),coa_Name,0)),"Operating"))</f>
        <v/>
      </c>
      <c r="S741" s="95">
        <f>IF((P741-Q741)=1,L741,IF((P741-Q741)=-1,-J741,0))</f>
        <v/>
      </c>
      <c r="T741" s="95">
        <f>IF((P741-Q741)=1,N741,IF((P741-Q741)=-1,-M741,0))</f>
        <v/>
      </c>
      <c r="U741" s="101">
        <f>IF(AND(H741=1,LedAcct&lt;&gt;""),IF(AND(E741&gt;=LedFrom,E741&lt;=LedTo,OR(I741=LedAcct,K741=LedAcct,AND(LedAcct=acctTax,M741+N741&lt;&gt;0))),E741*10000+B741,""),"")</f>
        <v/>
      </c>
    </row>
    <row r="742">
      <c r="B742" s="101" t="n">
        <v>736</v>
      </c>
      <c r="C742" s="58" t="inlineStr">
        <is>
          <t>Transaction</t>
        </is>
      </c>
      <c r="D742" s="58">
        <f>IF(H742=1,INDEX(tx_ID,736)&amp;"","")</f>
        <v/>
      </c>
      <c r="E742" s="94">
        <f>IF(H742=1,INDEX(tx_Date,736),"")</f>
        <v/>
      </c>
      <c r="F742" s="58">
        <f>IF(H742=1,INDEX(tx_Desc,736)&amp;"","")</f>
        <v/>
      </c>
      <c r="G742" s="58">
        <f>IF(H742=1,IF(INDEX(tx_Cust,736)&amp;""&lt;&gt;"",INDEX(tx_Cust,736)&amp;"",INDEX(tx_Vend,736)&amp;""),"")</f>
        <v/>
      </c>
      <c r="H742" s="101">
        <f>IFERROR(N(INDEX(tx_Posted,736)),0)</f>
        <v/>
      </c>
      <c r="I742" s="58">
        <f>IF(H742=1,INDEX(tx_DrAcct,736)&amp;"","")</f>
        <v/>
      </c>
      <c r="J742" s="95">
        <f>IF(H742=1,INDEX(tx_DrAmt,736),0)</f>
        <v/>
      </c>
      <c r="K742" s="58">
        <f>IF(H742=1,INDEX(tx_CrAcct,736)&amp;"","")</f>
        <v/>
      </c>
      <c r="L742" s="95">
        <f>IF(H742=1,INDEX(tx_CrAmt,736),0)</f>
        <v/>
      </c>
      <c r="M742" s="95">
        <f>IF(H742=1,INDEX(tx_TaxDr,736),0)</f>
        <v/>
      </c>
      <c r="N742" s="95">
        <f>IF(H742=1,INDEX(tx_TaxCr,736),0)</f>
        <v/>
      </c>
      <c r="O742" s="101">
        <f>IF(H742=1,IF(E742&lt;FYStart,0,IF(E742&gt;FYEnd,13,YEAR(E742)*12+MONTH(E742)-FYYM+1)),"")</f>
        <v/>
      </c>
      <c r="P742" s="101">
        <f>IF(H742=1,IF(IFERROR(INDEX(coa_CF,MATCH(I742,coa_Name,0)),"")="Cash",1,0),0)</f>
        <v/>
      </c>
      <c r="Q742" s="101">
        <f>IF(H742=1,IF(IFERROR(INDEX(coa_CF,MATCH(K742,coa_Name,0)),"")="Cash",1,0),0)</f>
        <v/>
      </c>
      <c r="R742" s="58">
        <f>IF((P742-Q742)=0,"",IFERROR(INDEX(coa_CF,MATCH(IF((P742-Q742)=1,K742,I742),coa_Name,0)),"Operating"))</f>
        <v/>
      </c>
      <c r="S742" s="95">
        <f>IF((P742-Q742)=1,L742,IF((P742-Q742)=-1,-J742,0))</f>
        <v/>
      </c>
      <c r="T742" s="95">
        <f>IF((P742-Q742)=1,N742,IF((P742-Q742)=-1,-M742,0))</f>
        <v/>
      </c>
      <c r="U742" s="101">
        <f>IF(AND(H742=1,LedAcct&lt;&gt;""),IF(AND(E742&gt;=LedFrom,E742&lt;=LedTo,OR(I742=LedAcct,K742=LedAcct,AND(LedAcct=acctTax,M742+N742&lt;&gt;0))),E742*10000+B742,""),"")</f>
        <v/>
      </c>
    </row>
    <row r="743">
      <c r="B743" s="101" t="n">
        <v>737</v>
      </c>
      <c r="C743" s="58" t="inlineStr">
        <is>
          <t>Transaction</t>
        </is>
      </c>
      <c r="D743" s="58">
        <f>IF(H743=1,INDEX(tx_ID,737)&amp;"","")</f>
        <v/>
      </c>
      <c r="E743" s="94">
        <f>IF(H743=1,INDEX(tx_Date,737),"")</f>
        <v/>
      </c>
      <c r="F743" s="58">
        <f>IF(H743=1,INDEX(tx_Desc,737)&amp;"","")</f>
        <v/>
      </c>
      <c r="G743" s="58">
        <f>IF(H743=1,IF(INDEX(tx_Cust,737)&amp;""&lt;&gt;"",INDEX(tx_Cust,737)&amp;"",INDEX(tx_Vend,737)&amp;""),"")</f>
        <v/>
      </c>
      <c r="H743" s="101">
        <f>IFERROR(N(INDEX(tx_Posted,737)),0)</f>
        <v/>
      </c>
      <c r="I743" s="58">
        <f>IF(H743=1,INDEX(tx_DrAcct,737)&amp;"","")</f>
        <v/>
      </c>
      <c r="J743" s="95">
        <f>IF(H743=1,INDEX(tx_DrAmt,737),0)</f>
        <v/>
      </c>
      <c r="K743" s="58">
        <f>IF(H743=1,INDEX(tx_CrAcct,737)&amp;"","")</f>
        <v/>
      </c>
      <c r="L743" s="95">
        <f>IF(H743=1,INDEX(tx_CrAmt,737),0)</f>
        <v/>
      </c>
      <c r="M743" s="95">
        <f>IF(H743=1,INDEX(tx_TaxDr,737),0)</f>
        <v/>
      </c>
      <c r="N743" s="95">
        <f>IF(H743=1,INDEX(tx_TaxCr,737),0)</f>
        <v/>
      </c>
      <c r="O743" s="101">
        <f>IF(H743=1,IF(E743&lt;FYStart,0,IF(E743&gt;FYEnd,13,YEAR(E743)*12+MONTH(E743)-FYYM+1)),"")</f>
        <v/>
      </c>
      <c r="P743" s="101">
        <f>IF(H743=1,IF(IFERROR(INDEX(coa_CF,MATCH(I743,coa_Name,0)),"")="Cash",1,0),0)</f>
        <v/>
      </c>
      <c r="Q743" s="101">
        <f>IF(H743=1,IF(IFERROR(INDEX(coa_CF,MATCH(K743,coa_Name,0)),"")="Cash",1,0),0)</f>
        <v/>
      </c>
      <c r="R743" s="58">
        <f>IF((P743-Q743)=0,"",IFERROR(INDEX(coa_CF,MATCH(IF((P743-Q743)=1,K743,I743),coa_Name,0)),"Operating"))</f>
        <v/>
      </c>
      <c r="S743" s="95">
        <f>IF((P743-Q743)=1,L743,IF((P743-Q743)=-1,-J743,0))</f>
        <v/>
      </c>
      <c r="T743" s="95">
        <f>IF((P743-Q743)=1,N743,IF((P743-Q743)=-1,-M743,0))</f>
        <v/>
      </c>
      <c r="U743" s="101">
        <f>IF(AND(H743=1,LedAcct&lt;&gt;""),IF(AND(E743&gt;=LedFrom,E743&lt;=LedTo,OR(I743=LedAcct,K743=LedAcct,AND(LedAcct=acctTax,M743+N743&lt;&gt;0))),E743*10000+B743,""),"")</f>
        <v/>
      </c>
    </row>
    <row r="744">
      <c r="B744" s="101" t="n">
        <v>738</v>
      </c>
      <c r="C744" s="58" t="inlineStr">
        <is>
          <t>Transaction</t>
        </is>
      </c>
      <c r="D744" s="58">
        <f>IF(H744=1,INDEX(tx_ID,738)&amp;"","")</f>
        <v/>
      </c>
      <c r="E744" s="94">
        <f>IF(H744=1,INDEX(tx_Date,738),"")</f>
        <v/>
      </c>
      <c r="F744" s="58">
        <f>IF(H744=1,INDEX(tx_Desc,738)&amp;"","")</f>
        <v/>
      </c>
      <c r="G744" s="58">
        <f>IF(H744=1,IF(INDEX(tx_Cust,738)&amp;""&lt;&gt;"",INDEX(tx_Cust,738)&amp;"",INDEX(tx_Vend,738)&amp;""),"")</f>
        <v/>
      </c>
      <c r="H744" s="101">
        <f>IFERROR(N(INDEX(tx_Posted,738)),0)</f>
        <v/>
      </c>
      <c r="I744" s="58">
        <f>IF(H744=1,INDEX(tx_DrAcct,738)&amp;"","")</f>
        <v/>
      </c>
      <c r="J744" s="95">
        <f>IF(H744=1,INDEX(tx_DrAmt,738),0)</f>
        <v/>
      </c>
      <c r="K744" s="58">
        <f>IF(H744=1,INDEX(tx_CrAcct,738)&amp;"","")</f>
        <v/>
      </c>
      <c r="L744" s="95">
        <f>IF(H744=1,INDEX(tx_CrAmt,738),0)</f>
        <v/>
      </c>
      <c r="M744" s="95">
        <f>IF(H744=1,INDEX(tx_TaxDr,738),0)</f>
        <v/>
      </c>
      <c r="N744" s="95">
        <f>IF(H744=1,INDEX(tx_TaxCr,738),0)</f>
        <v/>
      </c>
      <c r="O744" s="101">
        <f>IF(H744=1,IF(E744&lt;FYStart,0,IF(E744&gt;FYEnd,13,YEAR(E744)*12+MONTH(E744)-FYYM+1)),"")</f>
        <v/>
      </c>
      <c r="P744" s="101">
        <f>IF(H744=1,IF(IFERROR(INDEX(coa_CF,MATCH(I744,coa_Name,0)),"")="Cash",1,0),0)</f>
        <v/>
      </c>
      <c r="Q744" s="101">
        <f>IF(H744=1,IF(IFERROR(INDEX(coa_CF,MATCH(K744,coa_Name,0)),"")="Cash",1,0),0)</f>
        <v/>
      </c>
      <c r="R744" s="58">
        <f>IF((P744-Q744)=0,"",IFERROR(INDEX(coa_CF,MATCH(IF((P744-Q744)=1,K744,I744),coa_Name,0)),"Operating"))</f>
        <v/>
      </c>
      <c r="S744" s="95">
        <f>IF((P744-Q744)=1,L744,IF((P744-Q744)=-1,-J744,0))</f>
        <v/>
      </c>
      <c r="T744" s="95">
        <f>IF((P744-Q744)=1,N744,IF((P744-Q744)=-1,-M744,0))</f>
        <v/>
      </c>
      <c r="U744" s="101">
        <f>IF(AND(H744=1,LedAcct&lt;&gt;""),IF(AND(E744&gt;=LedFrom,E744&lt;=LedTo,OR(I744=LedAcct,K744=LedAcct,AND(LedAcct=acctTax,M744+N744&lt;&gt;0))),E744*10000+B744,""),"")</f>
        <v/>
      </c>
    </row>
    <row r="745">
      <c r="B745" s="101" t="n">
        <v>739</v>
      </c>
      <c r="C745" s="58" t="inlineStr">
        <is>
          <t>Transaction</t>
        </is>
      </c>
      <c r="D745" s="58">
        <f>IF(H745=1,INDEX(tx_ID,739)&amp;"","")</f>
        <v/>
      </c>
      <c r="E745" s="94">
        <f>IF(H745=1,INDEX(tx_Date,739),"")</f>
        <v/>
      </c>
      <c r="F745" s="58">
        <f>IF(H745=1,INDEX(tx_Desc,739)&amp;"","")</f>
        <v/>
      </c>
      <c r="G745" s="58">
        <f>IF(H745=1,IF(INDEX(tx_Cust,739)&amp;""&lt;&gt;"",INDEX(tx_Cust,739)&amp;"",INDEX(tx_Vend,739)&amp;""),"")</f>
        <v/>
      </c>
      <c r="H745" s="101">
        <f>IFERROR(N(INDEX(tx_Posted,739)),0)</f>
        <v/>
      </c>
      <c r="I745" s="58">
        <f>IF(H745=1,INDEX(tx_DrAcct,739)&amp;"","")</f>
        <v/>
      </c>
      <c r="J745" s="95">
        <f>IF(H745=1,INDEX(tx_DrAmt,739),0)</f>
        <v/>
      </c>
      <c r="K745" s="58">
        <f>IF(H745=1,INDEX(tx_CrAcct,739)&amp;"","")</f>
        <v/>
      </c>
      <c r="L745" s="95">
        <f>IF(H745=1,INDEX(tx_CrAmt,739),0)</f>
        <v/>
      </c>
      <c r="M745" s="95">
        <f>IF(H745=1,INDEX(tx_TaxDr,739),0)</f>
        <v/>
      </c>
      <c r="N745" s="95">
        <f>IF(H745=1,INDEX(tx_TaxCr,739),0)</f>
        <v/>
      </c>
      <c r="O745" s="101">
        <f>IF(H745=1,IF(E745&lt;FYStart,0,IF(E745&gt;FYEnd,13,YEAR(E745)*12+MONTH(E745)-FYYM+1)),"")</f>
        <v/>
      </c>
      <c r="P745" s="101">
        <f>IF(H745=1,IF(IFERROR(INDEX(coa_CF,MATCH(I745,coa_Name,0)),"")="Cash",1,0),0)</f>
        <v/>
      </c>
      <c r="Q745" s="101">
        <f>IF(H745=1,IF(IFERROR(INDEX(coa_CF,MATCH(K745,coa_Name,0)),"")="Cash",1,0),0)</f>
        <v/>
      </c>
      <c r="R745" s="58">
        <f>IF((P745-Q745)=0,"",IFERROR(INDEX(coa_CF,MATCH(IF((P745-Q745)=1,K745,I745),coa_Name,0)),"Operating"))</f>
        <v/>
      </c>
      <c r="S745" s="95">
        <f>IF((P745-Q745)=1,L745,IF((P745-Q745)=-1,-J745,0))</f>
        <v/>
      </c>
      <c r="T745" s="95">
        <f>IF((P745-Q745)=1,N745,IF((P745-Q745)=-1,-M745,0))</f>
        <v/>
      </c>
      <c r="U745" s="101">
        <f>IF(AND(H745=1,LedAcct&lt;&gt;""),IF(AND(E745&gt;=LedFrom,E745&lt;=LedTo,OR(I745=LedAcct,K745=LedAcct,AND(LedAcct=acctTax,M745+N745&lt;&gt;0))),E745*10000+B745,""),"")</f>
        <v/>
      </c>
    </row>
    <row r="746">
      <c r="B746" s="101" t="n">
        <v>740</v>
      </c>
      <c r="C746" s="58" t="inlineStr">
        <is>
          <t>Transaction</t>
        </is>
      </c>
      <c r="D746" s="58">
        <f>IF(H746=1,INDEX(tx_ID,740)&amp;"","")</f>
        <v/>
      </c>
      <c r="E746" s="94">
        <f>IF(H746=1,INDEX(tx_Date,740),"")</f>
        <v/>
      </c>
      <c r="F746" s="58">
        <f>IF(H746=1,INDEX(tx_Desc,740)&amp;"","")</f>
        <v/>
      </c>
      <c r="G746" s="58">
        <f>IF(H746=1,IF(INDEX(tx_Cust,740)&amp;""&lt;&gt;"",INDEX(tx_Cust,740)&amp;"",INDEX(tx_Vend,740)&amp;""),"")</f>
        <v/>
      </c>
      <c r="H746" s="101">
        <f>IFERROR(N(INDEX(tx_Posted,740)),0)</f>
        <v/>
      </c>
      <c r="I746" s="58">
        <f>IF(H746=1,INDEX(tx_DrAcct,740)&amp;"","")</f>
        <v/>
      </c>
      <c r="J746" s="95">
        <f>IF(H746=1,INDEX(tx_DrAmt,740),0)</f>
        <v/>
      </c>
      <c r="K746" s="58">
        <f>IF(H746=1,INDEX(tx_CrAcct,740)&amp;"","")</f>
        <v/>
      </c>
      <c r="L746" s="95">
        <f>IF(H746=1,INDEX(tx_CrAmt,740),0)</f>
        <v/>
      </c>
      <c r="M746" s="95">
        <f>IF(H746=1,INDEX(tx_TaxDr,740),0)</f>
        <v/>
      </c>
      <c r="N746" s="95">
        <f>IF(H746=1,INDEX(tx_TaxCr,740),0)</f>
        <v/>
      </c>
      <c r="O746" s="101">
        <f>IF(H746=1,IF(E746&lt;FYStart,0,IF(E746&gt;FYEnd,13,YEAR(E746)*12+MONTH(E746)-FYYM+1)),"")</f>
        <v/>
      </c>
      <c r="P746" s="101">
        <f>IF(H746=1,IF(IFERROR(INDEX(coa_CF,MATCH(I746,coa_Name,0)),"")="Cash",1,0),0)</f>
        <v/>
      </c>
      <c r="Q746" s="101">
        <f>IF(H746=1,IF(IFERROR(INDEX(coa_CF,MATCH(K746,coa_Name,0)),"")="Cash",1,0),0)</f>
        <v/>
      </c>
      <c r="R746" s="58">
        <f>IF((P746-Q746)=0,"",IFERROR(INDEX(coa_CF,MATCH(IF((P746-Q746)=1,K746,I746),coa_Name,0)),"Operating"))</f>
        <v/>
      </c>
      <c r="S746" s="95">
        <f>IF((P746-Q746)=1,L746,IF((P746-Q746)=-1,-J746,0))</f>
        <v/>
      </c>
      <c r="T746" s="95">
        <f>IF((P746-Q746)=1,N746,IF((P746-Q746)=-1,-M746,0))</f>
        <v/>
      </c>
      <c r="U746" s="101">
        <f>IF(AND(H746=1,LedAcct&lt;&gt;""),IF(AND(E746&gt;=LedFrom,E746&lt;=LedTo,OR(I746=LedAcct,K746=LedAcct,AND(LedAcct=acctTax,M746+N746&lt;&gt;0))),E746*10000+B746,""),"")</f>
        <v/>
      </c>
    </row>
    <row r="747">
      <c r="B747" s="101" t="n">
        <v>741</v>
      </c>
      <c r="C747" s="58" t="inlineStr">
        <is>
          <t>Transaction</t>
        </is>
      </c>
      <c r="D747" s="58">
        <f>IF(H747=1,INDEX(tx_ID,741)&amp;"","")</f>
        <v/>
      </c>
      <c r="E747" s="94">
        <f>IF(H747=1,INDEX(tx_Date,741),"")</f>
        <v/>
      </c>
      <c r="F747" s="58">
        <f>IF(H747=1,INDEX(tx_Desc,741)&amp;"","")</f>
        <v/>
      </c>
      <c r="G747" s="58">
        <f>IF(H747=1,IF(INDEX(tx_Cust,741)&amp;""&lt;&gt;"",INDEX(tx_Cust,741)&amp;"",INDEX(tx_Vend,741)&amp;""),"")</f>
        <v/>
      </c>
      <c r="H747" s="101">
        <f>IFERROR(N(INDEX(tx_Posted,741)),0)</f>
        <v/>
      </c>
      <c r="I747" s="58">
        <f>IF(H747=1,INDEX(tx_DrAcct,741)&amp;"","")</f>
        <v/>
      </c>
      <c r="J747" s="95">
        <f>IF(H747=1,INDEX(tx_DrAmt,741),0)</f>
        <v/>
      </c>
      <c r="K747" s="58">
        <f>IF(H747=1,INDEX(tx_CrAcct,741)&amp;"","")</f>
        <v/>
      </c>
      <c r="L747" s="95">
        <f>IF(H747=1,INDEX(tx_CrAmt,741),0)</f>
        <v/>
      </c>
      <c r="M747" s="95">
        <f>IF(H747=1,INDEX(tx_TaxDr,741),0)</f>
        <v/>
      </c>
      <c r="N747" s="95">
        <f>IF(H747=1,INDEX(tx_TaxCr,741),0)</f>
        <v/>
      </c>
      <c r="O747" s="101">
        <f>IF(H747=1,IF(E747&lt;FYStart,0,IF(E747&gt;FYEnd,13,YEAR(E747)*12+MONTH(E747)-FYYM+1)),"")</f>
        <v/>
      </c>
      <c r="P747" s="101">
        <f>IF(H747=1,IF(IFERROR(INDEX(coa_CF,MATCH(I747,coa_Name,0)),"")="Cash",1,0),0)</f>
        <v/>
      </c>
      <c r="Q747" s="101">
        <f>IF(H747=1,IF(IFERROR(INDEX(coa_CF,MATCH(K747,coa_Name,0)),"")="Cash",1,0),0)</f>
        <v/>
      </c>
      <c r="R747" s="58">
        <f>IF((P747-Q747)=0,"",IFERROR(INDEX(coa_CF,MATCH(IF((P747-Q747)=1,K747,I747),coa_Name,0)),"Operating"))</f>
        <v/>
      </c>
      <c r="S747" s="95">
        <f>IF((P747-Q747)=1,L747,IF((P747-Q747)=-1,-J747,0))</f>
        <v/>
      </c>
      <c r="T747" s="95">
        <f>IF((P747-Q747)=1,N747,IF((P747-Q747)=-1,-M747,0))</f>
        <v/>
      </c>
      <c r="U747" s="101">
        <f>IF(AND(H747=1,LedAcct&lt;&gt;""),IF(AND(E747&gt;=LedFrom,E747&lt;=LedTo,OR(I747=LedAcct,K747=LedAcct,AND(LedAcct=acctTax,M747+N747&lt;&gt;0))),E747*10000+B747,""),"")</f>
        <v/>
      </c>
    </row>
    <row r="748">
      <c r="B748" s="101" t="n">
        <v>742</v>
      </c>
      <c r="C748" s="58" t="inlineStr">
        <is>
          <t>Transaction</t>
        </is>
      </c>
      <c r="D748" s="58">
        <f>IF(H748=1,INDEX(tx_ID,742)&amp;"","")</f>
        <v/>
      </c>
      <c r="E748" s="94">
        <f>IF(H748=1,INDEX(tx_Date,742),"")</f>
        <v/>
      </c>
      <c r="F748" s="58">
        <f>IF(H748=1,INDEX(tx_Desc,742)&amp;"","")</f>
        <v/>
      </c>
      <c r="G748" s="58">
        <f>IF(H748=1,IF(INDEX(tx_Cust,742)&amp;""&lt;&gt;"",INDEX(tx_Cust,742)&amp;"",INDEX(tx_Vend,742)&amp;""),"")</f>
        <v/>
      </c>
      <c r="H748" s="101">
        <f>IFERROR(N(INDEX(tx_Posted,742)),0)</f>
        <v/>
      </c>
      <c r="I748" s="58">
        <f>IF(H748=1,INDEX(tx_DrAcct,742)&amp;"","")</f>
        <v/>
      </c>
      <c r="J748" s="95">
        <f>IF(H748=1,INDEX(tx_DrAmt,742),0)</f>
        <v/>
      </c>
      <c r="K748" s="58">
        <f>IF(H748=1,INDEX(tx_CrAcct,742)&amp;"","")</f>
        <v/>
      </c>
      <c r="L748" s="95">
        <f>IF(H748=1,INDEX(tx_CrAmt,742),0)</f>
        <v/>
      </c>
      <c r="M748" s="95">
        <f>IF(H748=1,INDEX(tx_TaxDr,742),0)</f>
        <v/>
      </c>
      <c r="N748" s="95">
        <f>IF(H748=1,INDEX(tx_TaxCr,742),0)</f>
        <v/>
      </c>
      <c r="O748" s="101">
        <f>IF(H748=1,IF(E748&lt;FYStart,0,IF(E748&gt;FYEnd,13,YEAR(E748)*12+MONTH(E748)-FYYM+1)),"")</f>
        <v/>
      </c>
      <c r="P748" s="101">
        <f>IF(H748=1,IF(IFERROR(INDEX(coa_CF,MATCH(I748,coa_Name,0)),"")="Cash",1,0),0)</f>
        <v/>
      </c>
      <c r="Q748" s="101">
        <f>IF(H748=1,IF(IFERROR(INDEX(coa_CF,MATCH(K748,coa_Name,0)),"")="Cash",1,0),0)</f>
        <v/>
      </c>
      <c r="R748" s="58">
        <f>IF((P748-Q748)=0,"",IFERROR(INDEX(coa_CF,MATCH(IF((P748-Q748)=1,K748,I748),coa_Name,0)),"Operating"))</f>
        <v/>
      </c>
      <c r="S748" s="95">
        <f>IF((P748-Q748)=1,L748,IF((P748-Q748)=-1,-J748,0))</f>
        <v/>
      </c>
      <c r="T748" s="95">
        <f>IF((P748-Q748)=1,N748,IF((P748-Q748)=-1,-M748,0))</f>
        <v/>
      </c>
      <c r="U748" s="101">
        <f>IF(AND(H748=1,LedAcct&lt;&gt;""),IF(AND(E748&gt;=LedFrom,E748&lt;=LedTo,OR(I748=LedAcct,K748=LedAcct,AND(LedAcct=acctTax,M748+N748&lt;&gt;0))),E748*10000+B748,""),"")</f>
        <v/>
      </c>
    </row>
    <row r="749">
      <c r="B749" s="101" t="n">
        <v>743</v>
      </c>
      <c r="C749" s="58" t="inlineStr">
        <is>
          <t>Transaction</t>
        </is>
      </c>
      <c r="D749" s="58">
        <f>IF(H749=1,INDEX(tx_ID,743)&amp;"","")</f>
        <v/>
      </c>
      <c r="E749" s="94">
        <f>IF(H749=1,INDEX(tx_Date,743),"")</f>
        <v/>
      </c>
      <c r="F749" s="58">
        <f>IF(H749=1,INDEX(tx_Desc,743)&amp;"","")</f>
        <v/>
      </c>
      <c r="G749" s="58">
        <f>IF(H749=1,IF(INDEX(tx_Cust,743)&amp;""&lt;&gt;"",INDEX(tx_Cust,743)&amp;"",INDEX(tx_Vend,743)&amp;""),"")</f>
        <v/>
      </c>
      <c r="H749" s="101">
        <f>IFERROR(N(INDEX(tx_Posted,743)),0)</f>
        <v/>
      </c>
      <c r="I749" s="58">
        <f>IF(H749=1,INDEX(tx_DrAcct,743)&amp;"","")</f>
        <v/>
      </c>
      <c r="J749" s="95">
        <f>IF(H749=1,INDEX(tx_DrAmt,743),0)</f>
        <v/>
      </c>
      <c r="K749" s="58">
        <f>IF(H749=1,INDEX(tx_CrAcct,743)&amp;"","")</f>
        <v/>
      </c>
      <c r="L749" s="95">
        <f>IF(H749=1,INDEX(tx_CrAmt,743),0)</f>
        <v/>
      </c>
      <c r="M749" s="95">
        <f>IF(H749=1,INDEX(tx_TaxDr,743),0)</f>
        <v/>
      </c>
      <c r="N749" s="95">
        <f>IF(H749=1,INDEX(tx_TaxCr,743),0)</f>
        <v/>
      </c>
      <c r="O749" s="101">
        <f>IF(H749=1,IF(E749&lt;FYStart,0,IF(E749&gt;FYEnd,13,YEAR(E749)*12+MONTH(E749)-FYYM+1)),"")</f>
        <v/>
      </c>
      <c r="P749" s="101">
        <f>IF(H749=1,IF(IFERROR(INDEX(coa_CF,MATCH(I749,coa_Name,0)),"")="Cash",1,0),0)</f>
        <v/>
      </c>
      <c r="Q749" s="101">
        <f>IF(H749=1,IF(IFERROR(INDEX(coa_CF,MATCH(K749,coa_Name,0)),"")="Cash",1,0),0)</f>
        <v/>
      </c>
      <c r="R749" s="58">
        <f>IF((P749-Q749)=0,"",IFERROR(INDEX(coa_CF,MATCH(IF((P749-Q749)=1,K749,I749),coa_Name,0)),"Operating"))</f>
        <v/>
      </c>
      <c r="S749" s="95">
        <f>IF((P749-Q749)=1,L749,IF((P749-Q749)=-1,-J749,0))</f>
        <v/>
      </c>
      <c r="T749" s="95">
        <f>IF((P749-Q749)=1,N749,IF((P749-Q749)=-1,-M749,0))</f>
        <v/>
      </c>
      <c r="U749" s="101">
        <f>IF(AND(H749=1,LedAcct&lt;&gt;""),IF(AND(E749&gt;=LedFrom,E749&lt;=LedTo,OR(I749=LedAcct,K749=LedAcct,AND(LedAcct=acctTax,M749+N749&lt;&gt;0))),E749*10000+B749,""),"")</f>
        <v/>
      </c>
    </row>
    <row r="750">
      <c r="B750" s="101" t="n">
        <v>744</v>
      </c>
      <c r="C750" s="58" t="inlineStr">
        <is>
          <t>Transaction</t>
        </is>
      </c>
      <c r="D750" s="58">
        <f>IF(H750=1,INDEX(tx_ID,744)&amp;"","")</f>
        <v/>
      </c>
      <c r="E750" s="94">
        <f>IF(H750=1,INDEX(tx_Date,744),"")</f>
        <v/>
      </c>
      <c r="F750" s="58">
        <f>IF(H750=1,INDEX(tx_Desc,744)&amp;"","")</f>
        <v/>
      </c>
      <c r="G750" s="58">
        <f>IF(H750=1,IF(INDEX(tx_Cust,744)&amp;""&lt;&gt;"",INDEX(tx_Cust,744)&amp;"",INDEX(tx_Vend,744)&amp;""),"")</f>
        <v/>
      </c>
      <c r="H750" s="101">
        <f>IFERROR(N(INDEX(tx_Posted,744)),0)</f>
        <v/>
      </c>
      <c r="I750" s="58">
        <f>IF(H750=1,INDEX(tx_DrAcct,744)&amp;"","")</f>
        <v/>
      </c>
      <c r="J750" s="95">
        <f>IF(H750=1,INDEX(tx_DrAmt,744),0)</f>
        <v/>
      </c>
      <c r="K750" s="58">
        <f>IF(H750=1,INDEX(tx_CrAcct,744)&amp;"","")</f>
        <v/>
      </c>
      <c r="L750" s="95">
        <f>IF(H750=1,INDEX(tx_CrAmt,744),0)</f>
        <v/>
      </c>
      <c r="M750" s="95">
        <f>IF(H750=1,INDEX(tx_TaxDr,744),0)</f>
        <v/>
      </c>
      <c r="N750" s="95">
        <f>IF(H750=1,INDEX(tx_TaxCr,744),0)</f>
        <v/>
      </c>
      <c r="O750" s="101">
        <f>IF(H750=1,IF(E750&lt;FYStart,0,IF(E750&gt;FYEnd,13,YEAR(E750)*12+MONTH(E750)-FYYM+1)),"")</f>
        <v/>
      </c>
      <c r="P750" s="101">
        <f>IF(H750=1,IF(IFERROR(INDEX(coa_CF,MATCH(I750,coa_Name,0)),"")="Cash",1,0),0)</f>
        <v/>
      </c>
      <c r="Q750" s="101">
        <f>IF(H750=1,IF(IFERROR(INDEX(coa_CF,MATCH(K750,coa_Name,0)),"")="Cash",1,0),0)</f>
        <v/>
      </c>
      <c r="R750" s="58">
        <f>IF((P750-Q750)=0,"",IFERROR(INDEX(coa_CF,MATCH(IF((P750-Q750)=1,K750,I750),coa_Name,0)),"Operating"))</f>
        <v/>
      </c>
      <c r="S750" s="95">
        <f>IF((P750-Q750)=1,L750,IF((P750-Q750)=-1,-J750,0))</f>
        <v/>
      </c>
      <c r="T750" s="95">
        <f>IF((P750-Q750)=1,N750,IF((P750-Q750)=-1,-M750,0))</f>
        <v/>
      </c>
      <c r="U750" s="101">
        <f>IF(AND(H750=1,LedAcct&lt;&gt;""),IF(AND(E750&gt;=LedFrom,E750&lt;=LedTo,OR(I750=LedAcct,K750=LedAcct,AND(LedAcct=acctTax,M750+N750&lt;&gt;0))),E750*10000+B750,""),"")</f>
        <v/>
      </c>
    </row>
    <row r="751">
      <c r="B751" s="101" t="n">
        <v>745</v>
      </c>
      <c r="C751" s="58" t="inlineStr">
        <is>
          <t>Transaction</t>
        </is>
      </c>
      <c r="D751" s="58">
        <f>IF(H751=1,INDEX(tx_ID,745)&amp;"","")</f>
        <v/>
      </c>
      <c r="E751" s="94">
        <f>IF(H751=1,INDEX(tx_Date,745),"")</f>
        <v/>
      </c>
      <c r="F751" s="58">
        <f>IF(H751=1,INDEX(tx_Desc,745)&amp;"","")</f>
        <v/>
      </c>
      <c r="G751" s="58">
        <f>IF(H751=1,IF(INDEX(tx_Cust,745)&amp;""&lt;&gt;"",INDEX(tx_Cust,745)&amp;"",INDEX(tx_Vend,745)&amp;""),"")</f>
        <v/>
      </c>
      <c r="H751" s="101">
        <f>IFERROR(N(INDEX(tx_Posted,745)),0)</f>
        <v/>
      </c>
      <c r="I751" s="58">
        <f>IF(H751=1,INDEX(tx_DrAcct,745)&amp;"","")</f>
        <v/>
      </c>
      <c r="J751" s="95">
        <f>IF(H751=1,INDEX(tx_DrAmt,745),0)</f>
        <v/>
      </c>
      <c r="K751" s="58">
        <f>IF(H751=1,INDEX(tx_CrAcct,745)&amp;"","")</f>
        <v/>
      </c>
      <c r="L751" s="95">
        <f>IF(H751=1,INDEX(tx_CrAmt,745),0)</f>
        <v/>
      </c>
      <c r="M751" s="95">
        <f>IF(H751=1,INDEX(tx_TaxDr,745),0)</f>
        <v/>
      </c>
      <c r="N751" s="95">
        <f>IF(H751=1,INDEX(tx_TaxCr,745),0)</f>
        <v/>
      </c>
      <c r="O751" s="101">
        <f>IF(H751=1,IF(E751&lt;FYStart,0,IF(E751&gt;FYEnd,13,YEAR(E751)*12+MONTH(E751)-FYYM+1)),"")</f>
        <v/>
      </c>
      <c r="P751" s="101">
        <f>IF(H751=1,IF(IFERROR(INDEX(coa_CF,MATCH(I751,coa_Name,0)),"")="Cash",1,0),0)</f>
        <v/>
      </c>
      <c r="Q751" s="101">
        <f>IF(H751=1,IF(IFERROR(INDEX(coa_CF,MATCH(K751,coa_Name,0)),"")="Cash",1,0),0)</f>
        <v/>
      </c>
      <c r="R751" s="58">
        <f>IF((P751-Q751)=0,"",IFERROR(INDEX(coa_CF,MATCH(IF((P751-Q751)=1,K751,I751),coa_Name,0)),"Operating"))</f>
        <v/>
      </c>
      <c r="S751" s="95">
        <f>IF((P751-Q751)=1,L751,IF((P751-Q751)=-1,-J751,0))</f>
        <v/>
      </c>
      <c r="T751" s="95">
        <f>IF((P751-Q751)=1,N751,IF((P751-Q751)=-1,-M751,0))</f>
        <v/>
      </c>
      <c r="U751" s="101">
        <f>IF(AND(H751=1,LedAcct&lt;&gt;""),IF(AND(E751&gt;=LedFrom,E751&lt;=LedTo,OR(I751=LedAcct,K751=LedAcct,AND(LedAcct=acctTax,M751+N751&lt;&gt;0))),E751*10000+B751,""),"")</f>
        <v/>
      </c>
    </row>
    <row r="752">
      <c r="B752" s="101" t="n">
        <v>746</v>
      </c>
      <c r="C752" s="58" t="inlineStr">
        <is>
          <t>Transaction</t>
        </is>
      </c>
      <c r="D752" s="58">
        <f>IF(H752=1,INDEX(tx_ID,746)&amp;"","")</f>
        <v/>
      </c>
      <c r="E752" s="94">
        <f>IF(H752=1,INDEX(tx_Date,746),"")</f>
        <v/>
      </c>
      <c r="F752" s="58">
        <f>IF(H752=1,INDEX(tx_Desc,746)&amp;"","")</f>
        <v/>
      </c>
      <c r="G752" s="58">
        <f>IF(H752=1,IF(INDEX(tx_Cust,746)&amp;""&lt;&gt;"",INDEX(tx_Cust,746)&amp;"",INDEX(tx_Vend,746)&amp;""),"")</f>
        <v/>
      </c>
      <c r="H752" s="101">
        <f>IFERROR(N(INDEX(tx_Posted,746)),0)</f>
        <v/>
      </c>
      <c r="I752" s="58">
        <f>IF(H752=1,INDEX(tx_DrAcct,746)&amp;"","")</f>
        <v/>
      </c>
      <c r="J752" s="95">
        <f>IF(H752=1,INDEX(tx_DrAmt,746),0)</f>
        <v/>
      </c>
      <c r="K752" s="58">
        <f>IF(H752=1,INDEX(tx_CrAcct,746)&amp;"","")</f>
        <v/>
      </c>
      <c r="L752" s="95">
        <f>IF(H752=1,INDEX(tx_CrAmt,746),0)</f>
        <v/>
      </c>
      <c r="M752" s="95">
        <f>IF(H752=1,INDEX(tx_TaxDr,746),0)</f>
        <v/>
      </c>
      <c r="N752" s="95">
        <f>IF(H752=1,INDEX(tx_TaxCr,746),0)</f>
        <v/>
      </c>
      <c r="O752" s="101">
        <f>IF(H752=1,IF(E752&lt;FYStart,0,IF(E752&gt;FYEnd,13,YEAR(E752)*12+MONTH(E752)-FYYM+1)),"")</f>
        <v/>
      </c>
      <c r="P752" s="101">
        <f>IF(H752=1,IF(IFERROR(INDEX(coa_CF,MATCH(I752,coa_Name,0)),"")="Cash",1,0),0)</f>
        <v/>
      </c>
      <c r="Q752" s="101">
        <f>IF(H752=1,IF(IFERROR(INDEX(coa_CF,MATCH(K752,coa_Name,0)),"")="Cash",1,0),0)</f>
        <v/>
      </c>
      <c r="R752" s="58">
        <f>IF((P752-Q752)=0,"",IFERROR(INDEX(coa_CF,MATCH(IF((P752-Q752)=1,K752,I752),coa_Name,0)),"Operating"))</f>
        <v/>
      </c>
      <c r="S752" s="95">
        <f>IF((P752-Q752)=1,L752,IF((P752-Q752)=-1,-J752,0))</f>
        <v/>
      </c>
      <c r="T752" s="95">
        <f>IF((P752-Q752)=1,N752,IF((P752-Q752)=-1,-M752,0))</f>
        <v/>
      </c>
      <c r="U752" s="101">
        <f>IF(AND(H752=1,LedAcct&lt;&gt;""),IF(AND(E752&gt;=LedFrom,E752&lt;=LedTo,OR(I752=LedAcct,K752=LedAcct,AND(LedAcct=acctTax,M752+N752&lt;&gt;0))),E752*10000+B752,""),"")</f>
        <v/>
      </c>
    </row>
    <row r="753">
      <c r="B753" s="101" t="n">
        <v>747</v>
      </c>
      <c r="C753" s="58" t="inlineStr">
        <is>
          <t>Transaction</t>
        </is>
      </c>
      <c r="D753" s="58">
        <f>IF(H753=1,INDEX(tx_ID,747)&amp;"","")</f>
        <v/>
      </c>
      <c r="E753" s="94">
        <f>IF(H753=1,INDEX(tx_Date,747),"")</f>
        <v/>
      </c>
      <c r="F753" s="58">
        <f>IF(H753=1,INDEX(tx_Desc,747)&amp;"","")</f>
        <v/>
      </c>
      <c r="G753" s="58">
        <f>IF(H753=1,IF(INDEX(tx_Cust,747)&amp;""&lt;&gt;"",INDEX(tx_Cust,747)&amp;"",INDEX(tx_Vend,747)&amp;""),"")</f>
        <v/>
      </c>
      <c r="H753" s="101">
        <f>IFERROR(N(INDEX(tx_Posted,747)),0)</f>
        <v/>
      </c>
      <c r="I753" s="58">
        <f>IF(H753=1,INDEX(tx_DrAcct,747)&amp;"","")</f>
        <v/>
      </c>
      <c r="J753" s="95">
        <f>IF(H753=1,INDEX(tx_DrAmt,747),0)</f>
        <v/>
      </c>
      <c r="K753" s="58">
        <f>IF(H753=1,INDEX(tx_CrAcct,747)&amp;"","")</f>
        <v/>
      </c>
      <c r="L753" s="95">
        <f>IF(H753=1,INDEX(tx_CrAmt,747),0)</f>
        <v/>
      </c>
      <c r="M753" s="95">
        <f>IF(H753=1,INDEX(tx_TaxDr,747),0)</f>
        <v/>
      </c>
      <c r="N753" s="95">
        <f>IF(H753=1,INDEX(tx_TaxCr,747),0)</f>
        <v/>
      </c>
      <c r="O753" s="101">
        <f>IF(H753=1,IF(E753&lt;FYStart,0,IF(E753&gt;FYEnd,13,YEAR(E753)*12+MONTH(E753)-FYYM+1)),"")</f>
        <v/>
      </c>
      <c r="P753" s="101">
        <f>IF(H753=1,IF(IFERROR(INDEX(coa_CF,MATCH(I753,coa_Name,0)),"")="Cash",1,0),0)</f>
        <v/>
      </c>
      <c r="Q753" s="101">
        <f>IF(H753=1,IF(IFERROR(INDEX(coa_CF,MATCH(K753,coa_Name,0)),"")="Cash",1,0),0)</f>
        <v/>
      </c>
      <c r="R753" s="58">
        <f>IF((P753-Q753)=0,"",IFERROR(INDEX(coa_CF,MATCH(IF((P753-Q753)=1,K753,I753),coa_Name,0)),"Operating"))</f>
        <v/>
      </c>
      <c r="S753" s="95">
        <f>IF((P753-Q753)=1,L753,IF((P753-Q753)=-1,-J753,0))</f>
        <v/>
      </c>
      <c r="T753" s="95">
        <f>IF((P753-Q753)=1,N753,IF((P753-Q753)=-1,-M753,0))</f>
        <v/>
      </c>
      <c r="U753" s="101">
        <f>IF(AND(H753=1,LedAcct&lt;&gt;""),IF(AND(E753&gt;=LedFrom,E753&lt;=LedTo,OR(I753=LedAcct,K753=LedAcct,AND(LedAcct=acctTax,M753+N753&lt;&gt;0))),E753*10000+B753,""),"")</f>
        <v/>
      </c>
    </row>
    <row r="754">
      <c r="B754" s="101" t="n">
        <v>748</v>
      </c>
      <c r="C754" s="58" t="inlineStr">
        <is>
          <t>Transaction</t>
        </is>
      </c>
      <c r="D754" s="58">
        <f>IF(H754=1,INDEX(tx_ID,748)&amp;"","")</f>
        <v/>
      </c>
      <c r="E754" s="94">
        <f>IF(H754=1,INDEX(tx_Date,748),"")</f>
        <v/>
      </c>
      <c r="F754" s="58">
        <f>IF(H754=1,INDEX(tx_Desc,748)&amp;"","")</f>
        <v/>
      </c>
      <c r="G754" s="58">
        <f>IF(H754=1,IF(INDEX(tx_Cust,748)&amp;""&lt;&gt;"",INDEX(tx_Cust,748)&amp;"",INDEX(tx_Vend,748)&amp;""),"")</f>
        <v/>
      </c>
      <c r="H754" s="101">
        <f>IFERROR(N(INDEX(tx_Posted,748)),0)</f>
        <v/>
      </c>
      <c r="I754" s="58">
        <f>IF(H754=1,INDEX(tx_DrAcct,748)&amp;"","")</f>
        <v/>
      </c>
      <c r="J754" s="95">
        <f>IF(H754=1,INDEX(tx_DrAmt,748),0)</f>
        <v/>
      </c>
      <c r="K754" s="58">
        <f>IF(H754=1,INDEX(tx_CrAcct,748)&amp;"","")</f>
        <v/>
      </c>
      <c r="L754" s="95">
        <f>IF(H754=1,INDEX(tx_CrAmt,748),0)</f>
        <v/>
      </c>
      <c r="M754" s="95">
        <f>IF(H754=1,INDEX(tx_TaxDr,748),0)</f>
        <v/>
      </c>
      <c r="N754" s="95">
        <f>IF(H754=1,INDEX(tx_TaxCr,748),0)</f>
        <v/>
      </c>
      <c r="O754" s="101">
        <f>IF(H754=1,IF(E754&lt;FYStart,0,IF(E754&gt;FYEnd,13,YEAR(E754)*12+MONTH(E754)-FYYM+1)),"")</f>
        <v/>
      </c>
      <c r="P754" s="101">
        <f>IF(H754=1,IF(IFERROR(INDEX(coa_CF,MATCH(I754,coa_Name,0)),"")="Cash",1,0),0)</f>
        <v/>
      </c>
      <c r="Q754" s="101">
        <f>IF(H754=1,IF(IFERROR(INDEX(coa_CF,MATCH(K754,coa_Name,0)),"")="Cash",1,0),0)</f>
        <v/>
      </c>
      <c r="R754" s="58">
        <f>IF((P754-Q754)=0,"",IFERROR(INDEX(coa_CF,MATCH(IF((P754-Q754)=1,K754,I754),coa_Name,0)),"Operating"))</f>
        <v/>
      </c>
      <c r="S754" s="95">
        <f>IF((P754-Q754)=1,L754,IF((P754-Q754)=-1,-J754,0))</f>
        <v/>
      </c>
      <c r="T754" s="95">
        <f>IF((P754-Q754)=1,N754,IF((P754-Q754)=-1,-M754,0))</f>
        <v/>
      </c>
      <c r="U754" s="101">
        <f>IF(AND(H754=1,LedAcct&lt;&gt;""),IF(AND(E754&gt;=LedFrom,E754&lt;=LedTo,OR(I754=LedAcct,K754=LedAcct,AND(LedAcct=acctTax,M754+N754&lt;&gt;0))),E754*10000+B754,""),"")</f>
        <v/>
      </c>
    </row>
    <row r="755">
      <c r="B755" s="101" t="n">
        <v>749</v>
      </c>
      <c r="C755" s="58" t="inlineStr">
        <is>
          <t>Transaction</t>
        </is>
      </c>
      <c r="D755" s="58">
        <f>IF(H755=1,INDEX(tx_ID,749)&amp;"","")</f>
        <v/>
      </c>
      <c r="E755" s="94">
        <f>IF(H755=1,INDEX(tx_Date,749),"")</f>
        <v/>
      </c>
      <c r="F755" s="58">
        <f>IF(H755=1,INDEX(tx_Desc,749)&amp;"","")</f>
        <v/>
      </c>
      <c r="G755" s="58">
        <f>IF(H755=1,IF(INDEX(tx_Cust,749)&amp;""&lt;&gt;"",INDEX(tx_Cust,749)&amp;"",INDEX(tx_Vend,749)&amp;""),"")</f>
        <v/>
      </c>
      <c r="H755" s="101">
        <f>IFERROR(N(INDEX(tx_Posted,749)),0)</f>
        <v/>
      </c>
      <c r="I755" s="58">
        <f>IF(H755=1,INDEX(tx_DrAcct,749)&amp;"","")</f>
        <v/>
      </c>
      <c r="J755" s="95">
        <f>IF(H755=1,INDEX(tx_DrAmt,749),0)</f>
        <v/>
      </c>
      <c r="K755" s="58">
        <f>IF(H755=1,INDEX(tx_CrAcct,749)&amp;"","")</f>
        <v/>
      </c>
      <c r="L755" s="95">
        <f>IF(H755=1,INDEX(tx_CrAmt,749),0)</f>
        <v/>
      </c>
      <c r="M755" s="95">
        <f>IF(H755=1,INDEX(tx_TaxDr,749),0)</f>
        <v/>
      </c>
      <c r="N755" s="95">
        <f>IF(H755=1,INDEX(tx_TaxCr,749),0)</f>
        <v/>
      </c>
      <c r="O755" s="101">
        <f>IF(H755=1,IF(E755&lt;FYStart,0,IF(E755&gt;FYEnd,13,YEAR(E755)*12+MONTH(E755)-FYYM+1)),"")</f>
        <v/>
      </c>
      <c r="P755" s="101">
        <f>IF(H755=1,IF(IFERROR(INDEX(coa_CF,MATCH(I755,coa_Name,0)),"")="Cash",1,0),0)</f>
        <v/>
      </c>
      <c r="Q755" s="101">
        <f>IF(H755=1,IF(IFERROR(INDEX(coa_CF,MATCH(K755,coa_Name,0)),"")="Cash",1,0),0)</f>
        <v/>
      </c>
      <c r="R755" s="58">
        <f>IF((P755-Q755)=0,"",IFERROR(INDEX(coa_CF,MATCH(IF((P755-Q755)=1,K755,I755),coa_Name,0)),"Operating"))</f>
        <v/>
      </c>
      <c r="S755" s="95">
        <f>IF((P755-Q755)=1,L755,IF((P755-Q755)=-1,-J755,0))</f>
        <v/>
      </c>
      <c r="T755" s="95">
        <f>IF((P755-Q755)=1,N755,IF((P755-Q755)=-1,-M755,0))</f>
        <v/>
      </c>
      <c r="U755" s="101">
        <f>IF(AND(H755=1,LedAcct&lt;&gt;""),IF(AND(E755&gt;=LedFrom,E755&lt;=LedTo,OR(I755=LedAcct,K755=LedAcct,AND(LedAcct=acctTax,M755+N755&lt;&gt;0))),E755*10000+B755,""),"")</f>
        <v/>
      </c>
    </row>
    <row r="756">
      <c r="B756" s="101" t="n">
        <v>750</v>
      </c>
      <c r="C756" s="58" t="inlineStr">
        <is>
          <t>Transaction</t>
        </is>
      </c>
      <c r="D756" s="58">
        <f>IF(H756=1,INDEX(tx_ID,750)&amp;"","")</f>
        <v/>
      </c>
      <c r="E756" s="94">
        <f>IF(H756=1,INDEX(tx_Date,750),"")</f>
        <v/>
      </c>
      <c r="F756" s="58">
        <f>IF(H756=1,INDEX(tx_Desc,750)&amp;"","")</f>
        <v/>
      </c>
      <c r="G756" s="58">
        <f>IF(H756=1,IF(INDEX(tx_Cust,750)&amp;""&lt;&gt;"",INDEX(tx_Cust,750)&amp;"",INDEX(tx_Vend,750)&amp;""),"")</f>
        <v/>
      </c>
      <c r="H756" s="101">
        <f>IFERROR(N(INDEX(tx_Posted,750)),0)</f>
        <v/>
      </c>
      <c r="I756" s="58">
        <f>IF(H756=1,INDEX(tx_DrAcct,750)&amp;"","")</f>
        <v/>
      </c>
      <c r="J756" s="95">
        <f>IF(H756=1,INDEX(tx_DrAmt,750),0)</f>
        <v/>
      </c>
      <c r="K756" s="58">
        <f>IF(H756=1,INDEX(tx_CrAcct,750)&amp;"","")</f>
        <v/>
      </c>
      <c r="L756" s="95">
        <f>IF(H756=1,INDEX(tx_CrAmt,750),0)</f>
        <v/>
      </c>
      <c r="M756" s="95">
        <f>IF(H756=1,INDEX(tx_TaxDr,750),0)</f>
        <v/>
      </c>
      <c r="N756" s="95">
        <f>IF(H756=1,INDEX(tx_TaxCr,750),0)</f>
        <v/>
      </c>
      <c r="O756" s="101">
        <f>IF(H756=1,IF(E756&lt;FYStart,0,IF(E756&gt;FYEnd,13,YEAR(E756)*12+MONTH(E756)-FYYM+1)),"")</f>
        <v/>
      </c>
      <c r="P756" s="101">
        <f>IF(H756=1,IF(IFERROR(INDEX(coa_CF,MATCH(I756,coa_Name,0)),"")="Cash",1,0),0)</f>
        <v/>
      </c>
      <c r="Q756" s="101">
        <f>IF(H756=1,IF(IFERROR(INDEX(coa_CF,MATCH(K756,coa_Name,0)),"")="Cash",1,0),0)</f>
        <v/>
      </c>
      <c r="R756" s="58">
        <f>IF((P756-Q756)=0,"",IFERROR(INDEX(coa_CF,MATCH(IF((P756-Q756)=1,K756,I756),coa_Name,0)),"Operating"))</f>
        <v/>
      </c>
      <c r="S756" s="95">
        <f>IF((P756-Q756)=1,L756,IF((P756-Q756)=-1,-J756,0))</f>
        <v/>
      </c>
      <c r="T756" s="95">
        <f>IF((P756-Q756)=1,N756,IF((P756-Q756)=-1,-M756,0))</f>
        <v/>
      </c>
      <c r="U756" s="101">
        <f>IF(AND(H756=1,LedAcct&lt;&gt;""),IF(AND(E756&gt;=LedFrom,E756&lt;=LedTo,OR(I756=LedAcct,K756=LedAcct,AND(LedAcct=acctTax,M756+N756&lt;&gt;0))),E756*10000+B756,""),"")</f>
        <v/>
      </c>
    </row>
    <row r="757">
      <c r="B757" s="101" t="n">
        <v>751</v>
      </c>
      <c r="C757" s="58" t="inlineStr">
        <is>
          <t>Transaction</t>
        </is>
      </c>
      <c r="D757" s="58">
        <f>IF(H757=1,INDEX(tx_ID,751)&amp;"","")</f>
        <v/>
      </c>
      <c r="E757" s="94">
        <f>IF(H757=1,INDEX(tx_Date,751),"")</f>
        <v/>
      </c>
      <c r="F757" s="58">
        <f>IF(H757=1,INDEX(tx_Desc,751)&amp;"","")</f>
        <v/>
      </c>
      <c r="G757" s="58">
        <f>IF(H757=1,IF(INDEX(tx_Cust,751)&amp;""&lt;&gt;"",INDEX(tx_Cust,751)&amp;"",INDEX(tx_Vend,751)&amp;""),"")</f>
        <v/>
      </c>
      <c r="H757" s="101">
        <f>IFERROR(N(INDEX(tx_Posted,751)),0)</f>
        <v/>
      </c>
      <c r="I757" s="58">
        <f>IF(H757=1,INDEX(tx_DrAcct,751)&amp;"","")</f>
        <v/>
      </c>
      <c r="J757" s="95">
        <f>IF(H757=1,INDEX(tx_DrAmt,751),0)</f>
        <v/>
      </c>
      <c r="K757" s="58">
        <f>IF(H757=1,INDEX(tx_CrAcct,751)&amp;"","")</f>
        <v/>
      </c>
      <c r="L757" s="95">
        <f>IF(H757=1,INDEX(tx_CrAmt,751),0)</f>
        <v/>
      </c>
      <c r="M757" s="95">
        <f>IF(H757=1,INDEX(tx_TaxDr,751),0)</f>
        <v/>
      </c>
      <c r="N757" s="95">
        <f>IF(H757=1,INDEX(tx_TaxCr,751),0)</f>
        <v/>
      </c>
      <c r="O757" s="101">
        <f>IF(H757=1,IF(E757&lt;FYStart,0,IF(E757&gt;FYEnd,13,YEAR(E757)*12+MONTH(E757)-FYYM+1)),"")</f>
        <v/>
      </c>
      <c r="P757" s="101">
        <f>IF(H757=1,IF(IFERROR(INDEX(coa_CF,MATCH(I757,coa_Name,0)),"")="Cash",1,0),0)</f>
        <v/>
      </c>
      <c r="Q757" s="101">
        <f>IF(H757=1,IF(IFERROR(INDEX(coa_CF,MATCH(K757,coa_Name,0)),"")="Cash",1,0),0)</f>
        <v/>
      </c>
      <c r="R757" s="58">
        <f>IF((P757-Q757)=0,"",IFERROR(INDEX(coa_CF,MATCH(IF((P757-Q757)=1,K757,I757),coa_Name,0)),"Operating"))</f>
        <v/>
      </c>
      <c r="S757" s="95">
        <f>IF((P757-Q757)=1,L757,IF((P757-Q757)=-1,-J757,0))</f>
        <v/>
      </c>
      <c r="T757" s="95">
        <f>IF((P757-Q757)=1,N757,IF((P757-Q757)=-1,-M757,0))</f>
        <v/>
      </c>
      <c r="U757" s="101">
        <f>IF(AND(H757=1,LedAcct&lt;&gt;""),IF(AND(E757&gt;=LedFrom,E757&lt;=LedTo,OR(I757=LedAcct,K757=LedAcct,AND(LedAcct=acctTax,M757+N757&lt;&gt;0))),E757*10000+B757,""),"")</f>
        <v/>
      </c>
    </row>
    <row r="758">
      <c r="B758" s="101" t="n">
        <v>752</v>
      </c>
      <c r="C758" s="58" t="inlineStr">
        <is>
          <t>Transaction</t>
        </is>
      </c>
      <c r="D758" s="58">
        <f>IF(H758=1,INDEX(tx_ID,752)&amp;"","")</f>
        <v/>
      </c>
      <c r="E758" s="94">
        <f>IF(H758=1,INDEX(tx_Date,752),"")</f>
        <v/>
      </c>
      <c r="F758" s="58">
        <f>IF(H758=1,INDEX(tx_Desc,752)&amp;"","")</f>
        <v/>
      </c>
      <c r="G758" s="58">
        <f>IF(H758=1,IF(INDEX(tx_Cust,752)&amp;""&lt;&gt;"",INDEX(tx_Cust,752)&amp;"",INDEX(tx_Vend,752)&amp;""),"")</f>
        <v/>
      </c>
      <c r="H758" s="101">
        <f>IFERROR(N(INDEX(tx_Posted,752)),0)</f>
        <v/>
      </c>
      <c r="I758" s="58">
        <f>IF(H758=1,INDEX(tx_DrAcct,752)&amp;"","")</f>
        <v/>
      </c>
      <c r="J758" s="95">
        <f>IF(H758=1,INDEX(tx_DrAmt,752),0)</f>
        <v/>
      </c>
      <c r="K758" s="58">
        <f>IF(H758=1,INDEX(tx_CrAcct,752)&amp;"","")</f>
        <v/>
      </c>
      <c r="L758" s="95">
        <f>IF(H758=1,INDEX(tx_CrAmt,752),0)</f>
        <v/>
      </c>
      <c r="M758" s="95">
        <f>IF(H758=1,INDEX(tx_TaxDr,752),0)</f>
        <v/>
      </c>
      <c r="N758" s="95">
        <f>IF(H758=1,INDEX(tx_TaxCr,752),0)</f>
        <v/>
      </c>
      <c r="O758" s="101">
        <f>IF(H758=1,IF(E758&lt;FYStart,0,IF(E758&gt;FYEnd,13,YEAR(E758)*12+MONTH(E758)-FYYM+1)),"")</f>
        <v/>
      </c>
      <c r="P758" s="101">
        <f>IF(H758=1,IF(IFERROR(INDEX(coa_CF,MATCH(I758,coa_Name,0)),"")="Cash",1,0),0)</f>
        <v/>
      </c>
      <c r="Q758" s="101">
        <f>IF(H758=1,IF(IFERROR(INDEX(coa_CF,MATCH(K758,coa_Name,0)),"")="Cash",1,0),0)</f>
        <v/>
      </c>
      <c r="R758" s="58">
        <f>IF((P758-Q758)=0,"",IFERROR(INDEX(coa_CF,MATCH(IF((P758-Q758)=1,K758,I758),coa_Name,0)),"Operating"))</f>
        <v/>
      </c>
      <c r="S758" s="95">
        <f>IF((P758-Q758)=1,L758,IF((P758-Q758)=-1,-J758,0))</f>
        <v/>
      </c>
      <c r="T758" s="95">
        <f>IF((P758-Q758)=1,N758,IF((P758-Q758)=-1,-M758,0))</f>
        <v/>
      </c>
      <c r="U758" s="101">
        <f>IF(AND(H758=1,LedAcct&lt;&gt;""),IF(AND(E758&gt;=LedFrom,E758&lt;=LedTo,OR(I758=LedAcct,K758=LedAcct,AND(LedAcct=acctTax,M758+N758&lt;&gt;0))),E758*10000+B758,""),"")</f>
        <v/>
      </c>
    </row>
    <row r="759">
      <c r="B759" s="101" t="n">
        <v>753</v>
      </c>
      <c r="C759" s="58" t="inlineStr">
        <is>
          <t>Transaction</t>
        </is>
      </c>
      <c r="D759" s="58">
        <f>IF(H759=1,INDEX(tx_ID,753)&amp;"","")</f>
        <v/>
      </c>
      <c r="E759" s="94">
        <f>IF(H759=1,INDEX(tx_Date,753),"")</f>
        <v/>
      </c>
      <c r="F759" s="58">
        <f>IF(H759=1,INDEX(tx_Desc,753)&amp;"","")</f>
        <v/>
      </c>
      <c r="G759" s="58">
        <f>IF(H759=1,IF(INDEX(tx_Cust,753)&amp;""&lt;&gt;"",INDEX(tx_Cust,753)&amp;"",INDEX(tx_Vend,753)&amp;""),"")</f>
        <v/>
      </c>
      <c r="H759" s="101">
        <f>IFERROR(N(INDEX(tx_Posted,753)),0)</f>
        <v/>
      </c>
      <c r="I759" s="58">
        <f>IF(H759=1,INDEX(tx_DrAcct,753)&amp;"","")</f>
        <v/>
      </c>
      <c r="J759" s="95">
        <f>IF(H759=1,INDEX(tx_DrAmt,753),0)</f>
        <v/>
      </c>
      <c r="K759" s="58">
        <f>IF(H759=1,INDEX(tx_CrAcct,753)&amp;"","")</f>
        <v/>
      </c>
      <c r="L759" s="95">
        <f>IF(H759=1,INDEX(tx_CrAmt,753),0)</f>
        <v/>
      </c>
      <c r="M759" s="95">
        <f>IF(H759=1,INDEX(tx_TaxDr,753),0)</f>
        <v/>
      </c>
      <c r="N759" s="95">
        <f>IF(H759=1,INDEX(tx_TaxCr,753),0)</f>
        <v/>
      </c>
      <c r="O759" s="101">
        <f>IF(H759=1,IF(E759&lt;FYStart,0,IF(E759&gt;FYEnd,13,YEAR(E759)*12+MONTH(E759)-FYYM+1)),"")</f>
        <v/>
      </c>
      <c r="P759" s="101">
        <f>IF(H759=1,IF(IFERROR(INDEX(coa_CF,MATCH(I759,coa_Name,0)),"")="Cash",1,0),0)</f>
        <v/>
      </c>
      <c r="Q759" s="101">
        <f>IF(H759=1,IF(IFERROR(INDEX(coa_CF,MATCH(K759,coa_Name,0)),"")="Cash",1,0),0)</f>
        <v/>
      </c>
      <c r="R759" s="58">
        <f>IF((P759-Q759)=0,"",IFERROR(INDEX(coa_CF,MATCH(IF((P759-Q759)=1,K759,I759),coa_Name,0)),"Operating"))</f>
        <v/>
      </c>
      <c r="S759" s="95">
        <f>IF((P759-Q759)=1,L759,IF((P759-Q759)=-1,-J759,0))</f>
        <v/>
      </c>
      <c r="T759" s="95">
        <f>IF((P759-Q759)=1,N759,IF((P759-Q759)=-1,-M759,0))</f>
        <v/>
      </c>
      <c r="U759" s="101">
        <f>IF(AND(H759=1,LedAcct&lt;&gt;""),IF(AND(E759&gt;=LedFrom,E759&lt;=LedTo,OR(I759=LedAcct,K759=LedAcct,AND(LedAcct=acctTax,M759+N759&lt;&gt;0))),E759*10000+B759,""),"")</f>
        <v/>
      </c>
    </row>
    <row r="760">
      <c r="B760" s="101" t="n">
        <v>754</v>
      </c>
      <c r="C760" s="58" t="inlineStr">
        <is>
          <t>Transaction</t>
        </is>
      </c>
      <c r="D760" s="58">
        <f>IF(H760=1,INDEX(tx_ID,754)&amp;"","")</f>
        <v/>
      </c>
      <c r="E760" s="94">
        <f>IF(H760=1,INDEX(tx_Date,754),"")</f>
        <v/>
      </c>
      <c r="F760" s="58">
        <f>IF(H760=1,INDEX(tx_Desc,754)&amp;"","")</f>
        <v/>
      </c>
      <c r="G760" s="58">
        <f>IF(H760=1,IF(INDEX(tx_Cust,754)&amp;""&lt;&gt;"",INDEX(tx_Cust,754)&amp;"",INDEX(tx_Vend,754)&amp;""),"")</f>
        <v/>
      </c>
      <c r="H760" s="101">
        <f>IFERROR(N(INDEX(tx_Posted,754)),0)</f>
        <v/>
      </c>
      <c r="I760" s="58">
        <f>IF(H760=1,INDEX(tx_DrAcct,754)&amp;"","")</f>
        <v/>
      </c>
      <c r="J760" s="95">
        <f>IF(H760=1,INDEX(tx_DrAmt,754),0)</f>
        <v/>
      </c>
      <c r="K760" s="58">
        <f>IF(H760=1,INDEX(tx_CrAcct,754)&amp;"","")</f>
        <v/>
      </c>
      <c r="L760" s="95">
        <f>IF(H760=1,INDEX(tx_CrAmt,754),0)</f>
        <v/>
      </c>
      <c r="M760" s="95">
        <f>IF(H760=1,INDEX(tx_TaxDr,754),0)</f>
        <v/>
      </c>
      <c r="N760" s="95">
        <f>IF(H760=1,INDEX(tx_TaxCr,754),0)</f>
        <v/>
      </c>
      <c r="O760" s="101">
        <f>IF(H760=1,IF(E760&lt;FYStart,0,IF(E760&gt;FYEnd,13,YEAR(E760)*12+MONTH(E760)-FYYM+1)),"")</f>
        <v/>
      </c>
      <c r="P760" s="101">
        <f>IF(H760=1,IF(IFERROR(INDEX(coa_CF,MATCH(I760,coa_Name,0)),"")="Cash",1,0),0)</f>
        <v/>
      </c>
      <c r="Q760" s="101">
        <f>IF(H760=1,IF(IFERROR(INDEX(coa_CF,MATCH(K760,coa_Name,0)),"")="Cash",1,0),0)</f>
        <v/>
      </c>
      <c r="R760" s="58">
        <f>IF((P760-Q760)=0,"",IFERROR(INDEX(coa_CF,MATCH(IF((P760-Q760)=1,K760,I760),coa_Name,0)),"Operating"))</f>
        <v/>
      </c>
      <c r="S760" s="95">
        <f>IF((P760-Q760)=1,L760,IF((P760-Q760)=-1,-J760,0))</f>
        <v/>
      </c>
      <c r="T760" s="95">
        <f>IF((P760-Q760)=1,N760,IF((P760-Q760)=-1,-M760,0))</f>
        <v/>
      </c>
      <c r="U760" s="101">
        <f>IF(AND(H760=1,LedAcct&lt;&gt;""),IF(AND(E760&gt;=LedFrom,E760&lt;=LedTo,OR(I760=LedAcct,K760=LedAcct,AND(LedAcct=acctTax,M760+N760&lt;&gt;0))),E760*10000+B760,""),"")</f>
        <v/>
      </c>
    </row>
    <row r="761">
      <c r="B761" s="101" t="n">
        <v>755</v>
      </c>
      <c r="C761" s="58" t="inlineStr">
        <is>
          <t>Transaction</t>
        </is>
      </c>
      <c r="D761" s="58">
        <f>IF(H761=1,INDEX(tx_ID,755)&amp;"","")</f>
        <v/>
      </c>
      <c r="E761" s="94">
        <f>IF(H761=1,INDEX(tx_Date,755),"")</f>
        <v/>
      </c>
      <c r="F761" s="58">
        <f>IF(H761=1,INDEX(tx_Desc,755)&amp;"","")</f>
        <v/>
      </c>
      <c r="G761" s="58">
        <f>IF(H761=1,IF(INDEX(tx_Cust,755)&amp;""&lt;&gt;"",INDEX(tx_Cust,755)&amp;"",INDEX(tx_Vend,755)&amp;""),"")</f>
        <v/>
      </c>
      <c r="H761" s="101">
        <f>IFERROR(N(INDEX(tx_Posted,755)),0)</f>
        <v/>
      </c>
      <c r="I761" s="58">
        <f>IF(H761=1,INDEX(tx_DrAcct,755)&amp;"","")</f>
        <v/>
      </c>
      <c r="J761" s="95">
        <f>IF(H761=1,INDEX(tx_DrAmt,755),0)</f>
        <v/>
      </c>
      <c r="K761" s="58">
        <f>IF(H761=1,INDEX(tx_CrAcct,755)&amp;"","")</f>
        <v/>
      </c>
      <c r="L761" s="95">
        <f>IF(H761=1,INDEX(tx_CrAmt,755),0)</f>
        <v/>
      </c>
      <c r="M761" s="95">
        <f>IF(H761=1,INDEX(tx_TaxDr,755),0)</f>
        <v/>
      </c>
      <c r="N761" s="95">
        <f>IF(H761=1,INDEX(tx_TaxCr,755),0)</f>
        <v/>
      </c>
      <c r="O761" s="101">
        <f>IF(H761=1,IF(E761&lt;FYStart,0,IF(E761&gt;FYEnd,13,YEAR(E761)*12+MONTH(E761)-FYYM+1)),"")</f>
        <v/>
      </c>
      <c r="P761" s="101">
        <f>IF(H761=1,IF(IFERROR(INDEX(coa_CF,MATCH(I761,coa_Name,0)),"")="Cash",1,0),0)</f>
        <v/>
      </c>
      <c r="Q761" s="101">
        <f>IF(H761=1,IF(IFERROR(INDEX(coa_CF,MATCH(K761,coa_Name,0)),"")="Cash",1,0),0)</f>
        <v/>
      </c>
      <c r="R761" s="58">
        <f>IF((P761-Q761)=0,"",IFERROR(INDEX(coa_CF,MATCH(IF((P761-Q761)=1,K761,I761),coa_Name,0)),"Operating"))</f>
        <v/>
      </c>
      <c r="S761" s="95">
        <f>IF((P761-Q761)=1,L761,IF((P761-Q761)=-1,-J761,0))</f>
        <v/>
      </c>
      <c r="T761" s="95">
        <f>IF((P761-Q761)=1,N761,IF((P761-Q761)=-1,-M761,0))</f>
        <v/>
      </c>
      <c r="U761" s="101">
        <f>IF(AND(H761=1,LedAcct&lt;&gt;""),IF(AND(E761&gt;=LedFrom,E761&lt;=LedTo,OR(I761=LedAcct,K761=LedAcct,AND(LedAcct=acctTax,M761+N761&lt;&gt;0))),E761*10000+B761,""),"")</f>
        <v/>
      </c>
    </row>
    <row r="762">
      <c r="B762" s="101" t="n">
        <v>756</v>
      </c>
      <c r="C762" s="58" t="inlineStr">
        <is>
          <t>Transaction</t>
        </is>
      </c>
      <c r="D762" s="58">
        <f>IF(H762=1,INDEX(tx_ID,756)&amp;"","")</f>
        <v/>
      </c>
      <c r="E762" s="94">
        <f>IF(H762=1,INDEX(tx_Date,756),"")</f>
        <v/>
      </c>
      <c r="F762" s="58">
        <f>IF(H762=1,INDEX(tx_Desc,756)&amp;"","")</f>
        <v/>
      </c>
      <c r="G762" s="58">
        <f>IF(H762=1,IF(INDEX(tx_Cust,756)&amp;""&lt;&gt;"",INDEX(tx_Cust,756)&amp;"",INDEX(tx_Vend,756)&amp;""),"")</f>
        <v/>
      </c>
      <c r="H762" s="101">
        <f>IFERROR(N(INDEX(tx_Posted,756)),0)</f>
        <v/>
      </c>
      <c r="I762" s="58">
        <f>IF(H762=1,INDEX(tx_DrAcct,756)&amp;"","")</f>
        <v/>
      </c>
      <c r="J762" s="95">
        <f>IF(H762=1,INDEX(tx_DrAmt,756),0)</f>
        <v/>
      </c>
      <c r="K762" s="58">
        <f>IF(H762=1,INDEX(tx_CrAcct,756)&amp;"","")</f>
        <v/>
      </c>
      <c r="L762" s="95">
        <f>IF(H762=1,INDEX(tx_CrAmt,756),0)</f>
        <v/>
      </c>
      <c r="M762" s="95">
        <f>IF(H762=1,INDEX(tx_TaxDr,756),0)</f>
        <v/>
      </c>
      <c r="N762" s="95">
        <f>IF(H762=1,INDEX(tx_TaxCr,756),0)</f>
        <v/>
      </c>
      <c r="O762" s="101">
        <f>IF(H762=1,IF(E762&lt;FYStart,0,IF(E762&gt;FYEnd,13,YEAR(E762)*12+MONTH(E762)-FYYM+1)),"")</f>
        <v/>
      </c>
      <c r="P762" s="101">
        <f>IF(H762=1,IF(IFERROR(INDEX(coa_CF,MATCH(I762,coa_Name,0)),"")="Cash",1,0),0)</f>
        <v/>
      </c>
      <c r="Q762" s="101">
        <f>IF(H762=1,IF(IFERROR(INDEX(coa_CF,MATCH(K762,coa_Name,0)),"")="Cash",1,0),0)</f>
        <v/>
      </c>
      <c r="R762" s="58">
        <f>IF((P762-Q762)=0,"",IFERROR(INDEX(coa_CF,MATCH(IF((P762-Q762)=1,K762,I762),coa_Name,0)),"Operating"))</f>
        <v/>
      </c>
      <c r="S762" s="95">
        <f>IF((P762-Q762)=1,L762,IF((P762-Q762)=-1,-J762,0))</f>
        <v/>
      </c>
      <c r="T762" s="95">
        <f>IF((P762-Q762)=1,N762,IF((P762-Q762)=-1,-M762,0))</f>
        <v/>
      </c>
      <c r="U762" s="101">
        <f>IF(AND(H762=1,LedAcct&lt;&gt;""),IF(AND(E762&gt;=LedFrom,E762&lt;=LedTo,OR(I762=LedAcct,K762=LedAcct,AND(LedAcct=acctTax,M762+N762&lt;&gt;0))),E762*10000+B762,""),"")</f>
        <v/>
      </c>
    </row>
    <row r="763">
      <c r="B763" s="101" t="n">
        <v>757</v>
      </c>
      <c r="C763" s="58" t="inlineStr">
        <is>
          <t>Transaction</t>
        </is>
      </c>
      <c r="D763" s="58">
        <f>IF(H763=1,INDEX(tx_ID,757)&amp;"","")</f>
        <v/>
      </c>
      <c r="E763" s="94">
        <f>IF(H763=1,INDEX(tx_Date,757),"")</f>
        <v/>
      </c>
      <c r="F763" s="58">
        <f>IF(H763=1,INDEX(tx_Desc,757)&amp;"","")</f>
        <v/>
      </c>
      <c r="G763" s="58">
        <f>IF(H763=1,IF(INDEX(tx_Cust,757)&amp;""&lt;&gt;"",INDEX(tx_Cust,757)&amp;"",INDEX(tx_Vend,757)&amp;""),"")</f>
        <v/>
      </c>
      <c r="H763" s="101">
        <f>IFERROR(N(INDEX(tx_Posted,757)),0)</f>
        <v/>
      </c>
      <c r="I763" s="58">
        <f>IF(H763=1,INDEX(tx_DrAcct,757)&amp;"","")</f>
        <v/>
      </c>
      <c r="J763" s="95">
        <f>IF(H763=1,INDEX(tx_DrAmt,757),0)</f>
        <v/>
      </c>
      <c r="K763" s="58">
        <f>IF(H763=1,INDEX(tx_CrAcct,757)&amp;"","")</f>
        <v/>
      </c>
      <c r="L763" s="95">
        <f>IF(H763=1,INDEX(tx_CrAmt,757),0)</f>
        <v/>
      </c>
      <c r="M763" s="95">
        <f>IF(H763=1,INDEX(tx_TaxDr,757),0)</f>
        <v/>
      </c>
      <c r="N763" s="95">
        <f>IF(H763=1,INDEX(tx_TaxCr,757),0)</f>
        <v/>
      </c>
      <c r="O763" s="101">
        <f>IF(H763=1,IF(E763&lt;FYStart,0,IF(E763&gt;FYEnd,13,YEAR(E763)*12+MONTH(E763)-FYYM+1)),"")</f>
        <v/>
      </c>
      <c r="P763" s="101">
        <f>IF(H763=1,IF(IFERROR(INDEX(coa_CF,MATCH(I763,coa_Name,0)),"")="Cash",1,0),0)</f>
        <v/>
      </c>
      <c r="Q763" s="101">
        <f>IF(H763=1,IF(IFERROR(INDEX(coa_CF,MATCH(K763,coa_Name,0)),"")="Cash",1,0),0)</f>
        <v/>
      </c>
      <c r="R763" s="58">
        <f>IF((P763-Q763)=0,"",IFERROR(INDEX(coa_CF,MATCH(IF((P763-Q763)=1,K763,I763),coa_Name,0)),"Operating"))</f>
        <v/>
      </c>
      <c r="S763" s="95">
        <f>IF((P763-Q763)=1,L763,IF((P763-Q763)=-1,-J763,0))</f>
        <v/>
      </c>
      <c r="T763" s="95">
        <f>IF((P763-Q763)=1,N763,IF((P763-Q763)=-1,-M763,0))</f>
        <v/>
      </c>
      <c r="U763" s="101">
        <f>IF(AND(H763=1,LedAcct&lt;&gt;""),IF(AND(E763&gt;=LedFrom,E763&lt;=LedTo,OR(I763=LedAcct,K763=LedAcct,AND(LedAcct=acctTax,M763+N763&lt;&gt;0))),E763*10000+B763,""),"")</f>
        <v/>
      </c>
    </row>
    <row r="764">
      <c r="B764" s="101" t="n">
        <v>758</v>
      </c>
      <c r="C764" s="58" t="inlineStr">
        <is>
          <t>Transaction</t>
        </is>
      </c>
      <c r="D764" s="58">
        <f>IF(H764=1,INDEX(tx_ID,758)&amp;"","")</f>
        <v/>
      </c>
      <c r="E764" s="94">
        <f>IF(H764=1,INDEX(tx_Date,758),"")</f>
        <v/>
      </c>
      <c r="F764" s="58">
        <f>IF(H764=1,INDEX(tx_Desc,758)&amp;"","")</f>
        <v/>
      </c>
      <c r="G764" s="58">
        <f>IF(H764=1,IF(INDEX(tx_Cust,758)&amp;""&lt;&gt;"",INDEX(tx_Cust,758)&amp;"",INDEX(tx_Vend,758)&amp;""),"")</f>
        <v/>
      </c>
      <c r="H764" s="101">
        <f>IFERROR(N(INDEX(tx_Posted,758)),0)</f>
        <v/>
      </c>
      <c r="I764" s="58">
        <f>IF(H764=1,INDEX(tx_DrAcct,758)&amp;"","")</f>
        <v/>
      </c>
      <c r="J764" s="95">
        <f>IF(H764=1,INDEX(tx_DrAmt,758),0)</f>
        <v/>
      </c>
      <c r="K764" s="58">
        <f>IF(H764=1,INDEX(tx_CrAcct,758)&amp;"","")</f>
        <v/>
      </c>
      <c r="L764" s="95">
        <f>IF(H764=1,INDEX(tx_CrAmt,758),0)</f>
        <v/>
      </c>
      <c r="M764" s="95">
        <f>IF(H764=1,INDEX(tx_TaxDr,758),0)</f>
        <v/>
      </c>
      <c r="N764" s="95">
        <f>IF(H764=1,INDEX(tx_TaxCr,758),0)</f>
        <v/>
      </c>
      <c r="O764" s="101">
        <f>IF(H764=1,IF(E764&lt;FYStart,0,IF(E764&gt;FYEnd,13,YEAR(E764)*12+MONTH(E764)-FYYM+1)),"")</f>
        <v/>
      </c>
      <c r="P764" s="101">
        <f>IF(H764=1,IF(IFERROR(INDEX(coa_CF,MATCH(I764,coa_Name,0)),"")="Cash",1,0),0)</f>
        <v/>
      </c>
      <c r="Q764" s="101">
        <f>IF(H764=1,IF(IFERROR(INDEX(coa_CF,MATCH(K764,coa_Name,0)),"")="Cash",1,0),0)</f>
        <v/>
      </c>
      <c r="R764" s="58">
        <f>IF((P764-Q764)=0,"",IFERROR(INDEX(coa_CF,MATCH(IF((P764-Q764)=1,K764,I764),coa_Name,0)),"Operating"))</f>
        <v/>
      </c>
      <c r="S764" s="95">
        <f>IF((P764-Q764)=1,L764,IF((P764-Q764)=-1,-J764,0))</f>
        <v/>
      </c>
      <c r="T764" s="95">
        <f>IF((P764-Q764)=1,N764,IF((P764-Q764)=-1,-M764,0))</f>
        <v/>
      </c>
      <c r="U764" s="101">
        <f>IF(AND(H764=1,LedAcct&lt;&gt;""),IF(AND(E764&gt;=LedFrom,E764&lt;=LedTo,OR(I764=LedAcct,K764=LedAcct,AND(LedAcct=acctTax,M764+N764&lt;&gt;0))),E764*10000+B764,""),"")</f>
        <v/>
      </c>
    </row>
    <row r="765">
      <c r="B765" s="101" t="n">
        <v>759</v>
      </c>
      <c r="C765" s="58" t="inlineStr">
        <is>
          <t>Transaction</t>
        </is>
      </c>
      <c r="D765" s="58">
        <f>IF(H765=1,INDEX(tx_ID,759)&amp;"","")</f>
        <v/>
      </c>
      <c r="E765" s="94">
        <f>IF(H765=1,INDEX(tx_Date,759),"")</f>
        <v/>
      </c>
      <c r="F765" s="58">
        <f>IF(H765=1,INDEX(tx_Desc,759)&amp;"","")</f>
        <v/>
      </c>
      <c r="G765" s="58">
        <f>IF(H765=1,IF(INDEX(tx_Cust,759)&amp;""&lt;&gt;"",INDEX(tx_Cust,759)&amp;"",INDEX(tx_Vend,759)&amp;""),"")</f>
        <v/>
      </c>
      <c r="H765" s="101">
        <f>IFERROR(N(INDEX(tx_Posted,759)),0)</f>
        <v/>
      </c>
      <c r="I765" s="58">
        <f>IF(H765=1,INDEX(tx_DrAcct,759)&amp;"","")</f>
        <v/>
      </c>
      <c r="J765" s="95">
        <f>IF(H765=1,INDEX(tx_DrAmt,759),0)</f>
        <v/>
      </c>
      <c r="K765" s="58">
        <f>IF(H765=1,INDEX(tx_CrAcct,759)&amp;"","")</f>
        <v/>
      </c>
      <c r="L765" s="95">
        <f>IF(H765=1,INDEX(tx_CrAmt,759),0)</f>
        <v/>
      </c>
      <c r="M765" s="95">
        <f>IF(H765=1,INDEX(tx_TaxDr,759),0)</f>
        <v/>
      </c>
      <c r="N765" s="95">
        <f>IF(H765=1,INDEX(tx_TaxCr,759),0)</f>
        <v/>
      </c>
      <c r="O765" s="101">
        <f>IF(H765=1,IF(E765&lt;FYStart,0,IF(E765&gt;FYEnd,13,YEAR(E765)*12+MONTH(E765)-FYYM+1)),"")</f>
        <v/>
      </c>
      <c r="P765" s="101">
        <f>IF(H765=1,IF(IFERROR(INDEX(coa_CF,MATCH(I765,coa_Name,0)),"")="Cash",1,0),0)</f>
        <v/>
      </c>
      <c r="Q765" s="101">
        <f>IF(H765=1,IF(IFERROR(INDEX(coa_CF,MATCH(K765,coa_Name,0)),"")="Cash",1,0),0)</f>
        <v/>
      </c>
      <c r="R765" s="58">
        <f>IF((P765-Q765)=0,"",IFERROR(INDEX(coa_CF,MATCH(IF((P765-Q765)=1,K765,I765),coa_Name,0)),"Operating"))</f>
        <v/>
      </c>
      <c r="S765" s="95">
        <f>IF((P765-Q765)=1,L765,IF((P765-Q765)=-1,-J765,0))</f>
        <v/>
      </c>
      <c r="T765" s="95">
        <f>IF((P765-Q765)=1,N765,IF((P765-Q765)=-1,-M765,0))</f>
        <v/>
      </c>
      <c r="U765" s="101">
        <f>IF(AND(H765=1,LedAcct&lt;&gt;""),IF(AND(E765&gt;=LedFrom,E765&lt;=LedTo,OR(I765=LedAcct,K765=LedAcct,AND(LedAcct=acctTax,M765+N765&lt;&gt;0))),E765*10000+B765,""),"")</f>
        <v/>
      </c>
    </row>
    <row r="766">
      <c r="B766" s="101" t="n">
        <v>760</v>
      </c>
      <c r="C766" s="58" t="inlineStr">
        <is>
          <t>Transaction</t>
        </is>
      </c>
      <c r="D766" s="58">
        <f>IF(H766=1,INDEX(tx_ID,760)&amp;"","")</f>
        <v/>
      </c>
      <c r="E766" s="94">
        <f>IF(H766=1,INDEX(tx_Date,760),"")</f>
        <v/>
      </c>
      <c r="F766" s="58">
        <f>IF(H766=1,INDEX(tx_Desc,760)&amp;"","")</f>
        <v/>
      </c>
      <c r="G766" s="58">
        <f>IF(H766=1,IF(INDEX(tx_Cust,760)&amp;""&lt;&gt;"",INDEX(tx_Cust,760)&amp;"",INDEX(tx_Vend,760)&amp;""),"")</f>
        <v/>
      </c>
      <c r="H766" s="101">
        <f>IFERROR(N(INDEX(tx_Posted,760)),0)</f>
        <v/>
      </c>
      <c r="I766" s="58">
        <f>IF(H766=1,INDEX(tx_DrAcct,760)&amp;"","")</f>
        <v/>
      </c>
      <c r="J766" s="95">
        <f>IF(H766=1,INDEX(tx_DrAmt,760),0)</f>
        <v/>
      </c>
      <c r="K766" s="58">
        <f>IF(H766=1,INDEX(tx_CrAcct,760)&amp;"","")</f>
        <v/>
      </c>
      <c r="L766" s="95">
        <f>IF(H766=1,INDEX(tx_CrAmt,760),0)</f>
        <v/>
      </c>
      <c r="M766" s="95">
        <f>IF(H766=1,INDEX(tx_TaxDr,760),0)</f>
        <v/>
      </c>
      <c r="N766" s="95">
        <f>IF(H766=1,INDEX(tx_TaxCr,760),0)</f>
        <v/>
      </c>
      <c r="O766" s="101">
        <f>IF(H766=1,IF(E766&lt;FYStart,0,IF(E766&gt;FYEnd,13,YEAR(E766)*12+MONTH(E766)-FYYM+1)),"")</f>
        <v/>
      </c>
      <c r="P766" s="101">
        <f>IF(H766=1,IF(IFERROR(INDEX(coa_CF,MATCH(I766,coa_Name,0)),"")="Cash",1,0),0)</f>
        <v/>
      </c>
      <c r="Q766" s="101">
        <f>IF(H766=1,IF(IFERROR(INDEX(coa_CF,MATCH(K766,coa_Name,0)),"")="Cash",1,0),0)</f>
        <v/>
      </c>
      <c r="R766" s="58">
        <f>IF((P766-Q766)=0,"",IFERROR(INDEX(coa_CF,MATCH(IF((P766-Q766)=1,K766,I766),coa_Name,0)),"Operating"))</f>
        <v/>
      </c>
      <c r="S766" s="95">
        <f>IF((P766-Q766)=1,L766,IF((P766-Q766)=-1,-J766,0))</f>
        <v/>
      </c>
      <c r="T766" s="95">
        <f>IF((P766-Q766)=1,N766,IF((P766-Q766)=-1,-M766,0))</f>
        <v/>
      </c>
      <c r="U766" s="101">
        <f>IF(AND(H766=1,LedAcct&lt;&gt;""),IF(AND(E766&gt;=LedFrom,E766&lt;=LedTo,OR(I766=LedAcct,K766=LedAcct,AND(LedAcct=acctTax,M766+N766&lt;&gt;0))),E766*10000+B766,""),"")</f>
        <v/>
      </c>
    </row>
    <row r="767">
      <c r="B767" s="101" t="n">
        <v>761</v>
      </c>
      <c r="C767" s="58" t="inlineStr">
        <is>
          <t>Transaction</t>
        </is>
      </c>
      <c r="D767" s="58">
        <f>IF(H767=1,INDEX(tx_ID,761)&amp;"","")</f>
        <v/>
      </c>
      <c r="E767" s="94">
        <f>IF(H767=1,INDEX(tx_Date,761),"")</f>
        <v/>
      </c>
      <c r="F767" s="58">
        <f>IF(H767=1,INDEX(tx_Desc,761)&amp;"","")</f>
        <v/>
      </c>
      <c r="G767" s="58">
        <f>IF(H767=1,IF(INDEX(tx_Cust,761)&amp;""&lt;&gt;"",INDEX(tx_Cust,761)&amp;"",INDEX(tx_Vend,761)&amp;""),"")</f>
        <v/>
      </c>
      <c r="H767" s="101">
        <f>IFERROR(N(INDEX(tx_Posted,761)),0)</f>
        <v/>
      </c>
      <c r="I767" s="58">
        <f>IF(H767=1,INDEX(tx_DrAcct,761)&amp;"","")</f>
        <v/>
      </c>
      <c r="J767" s="95">
        <f>IF(H767=1,INDEX(tx_DrAmt,761),0)</f>
        <v/>
      </c>
      <c r="K767" s="58">
        <f>IF(H767=1,INDEX(tx_CrAcct,761)&amp;"","")</f>
        <v/>
      </c>
      <c r="L767" s="95">
        <f>IF(H767=1,INDEX(tx_CrAmt,761),0)</f>
        <v/>
      </c>
      <c r="M767" s="95">
        <f>IF(H767=1,INDEX(tx_TaxDr,761),0)</f>
        <v/>
      </c>
      <c r="N767" s="95">
        <f>IF(H767=1,INDEX(tx_TaxCr,761),0)</f>
        <v/>
      </c>
      <c r="O767" s="101">
        <f>IF(H767=1,IF(E767&lt;FYStart,0,IF(E767&gt;FYEnd,13,YEAR(E767)*12+MONTH(E767)-FYYM+1)),"")</f>
        <v/>
      </c>
      <c r="P767" s="101">
        <f>IF(H767=1,IF(IFERROR(INDEX(coa_CF,MATCH(I767,coa_Name,0)),"")="Cash",1,0),0)</f>
        <v/>
      </c>
      <c r="Q767" s="101">
        <f>IF(H767=1,IF(IFERROR(INDEX(coa_CF,MATCH(K767,coa_Name,0)),"")="Cash",1,0),0)</f>
        <v/>
      </c>
      <c r="R767" s="58">
        <f>IF((P767-Q767)=0,"",IFERROR(INDEX(coa_CF,MATCH(IF((P767-Q767)=1,K767,I767),coa_Name,0)),"Operating"))</f>
        <v/>
      </c>
      <c r="S767" s="95">
        <f>IF((P767-Q767)=1,L767,IF((P767-Q767)=-1,-J767,0))</f>
        <v/>
      </c>
      <c r="T767" s="95">
        <f>IF((P767-Q767)=1,N767,IF((P767-Q767)=-1,-M767,0))</f>
        <v/>
      </c>
      <c r="U767" s="101">
        <f>IF(AND(H767=1,LedAcct&lt;&gt;""),IF(AND(E767&gt;=LedFrom,E767&lt;=LedTo,OR(I767=LedAcct,K767=LedAcct,AND(LedAcct=acctTax,M767+N767&lt;&gt;0))),E767*10000+B767,""),"")</f>
        <v/>
      </c>
    </row>
    <row r="768">
      <c r="B768" s="101" t="n">
        <v>762</v>
      </c>
      <c r="C768" s="58" t="inlineStr">
        <is>
          <t>Transaction</t>
        </is>
      </c>
      <c r="D768" s="58">
        <f>IF(H768=1,INDEX(tx_ID,762)&amp;"","")</f>
        <v/>
      </c>
      <c r="E768" s="94">
        <f>IF(H768=1,INDEX(tx_Date,762),"")</f>
        <v/>
      </c>
      <c r="F768" s="58">
        <f>IF(H768=1,INDEX(tx_Desc,762)&amp;"","")</f>
        <v/>
      </c>
      <c r="G768" s="58">
        <f>IF(H768=1,IF(INDEX(tx_Cust,762)&amp;""&lt;&gt;"",INDEX(tx_Cust,762)&amp;"",INDEX(tx_Vend,762)&amp;""),"")</f>
        <v/>
      </c>
      <c r="H768" s="101">
        <f>IFERROR(N(INDEX(tx_Posted,762)),0)</f>
        <v/>
      </c>
      <c r="I768" s="58">
        <f>IF(H768=1,INDEX(tx_DrAcct,762)&amp;"","")</f>
        <v/>
      </c>
      <c r="J768" s="95">
        <f>IF(H768=1,INDEX(tx_DrAmt,762),0)</f>
        <v/>
      </c>
      <c r="K768" s="58">
        <f>IF(H768=1,INDEX(tx_CrAcct,762)&amp;"","")</f>
        <v/>
      </c>
      <c r="L768" s="95">
        <f>IF(H768=1,INDEX(tx_CrAmt,762),0)</f>
        <v/>
      </c>
      <c r="M768" s="95">
        <f>IF(H768=1,INDEX(tx_TaxDr,762),0)</f>
        <v/>
      </c>
      <c r="N768" s="95">
        <f>IF(H768=1,INDEX(tx_TaxCr,762),0)</f>
        <v/>
      </c>
      <c r="O768" s="101">
        <f>IF(H768=1,IF(E768&lt;FYStart,0,IF(E768&gt;FYEnd,13,YEAR(E768)*12+MONTH(E768)-FYYM+1)),"")</f>
        <v/>
      </c>
      <c r="P768" s="101">
        <f>IF(H768=1,IF(IFERROR(INDEX(coa_CF,MATCH(I768,coa_Name,0)),"")="Cash",1,0),0)</f>
        <v/>
      </c>
      <c r="Q768" s="101">
        <f>IF(H768=1,IF(IFERROR(INDEX(coa_CF,MATCH(K768,coa_Name,0)),"")="Cash",1,0),0)</f>
        <v/>
      </c>
      <c r="R768" s="58">
        <f>IF((P768-Q768)=0,"",IFERROR(INDEX(coa_CF,MATCH(IF((P768-Q768)=1,K768,I768),coa_Name,0)),"Operating"))</f>
        <v/>
      </c>
      <c r="S768" s="95">
        <f>IF((P768-Q768)=1,L768,IF((P768-Q768)=-1,-J768,0))</f>
        <v/>
      </c>
      <c r="T768" s="95">
        <f>IF((P768-Q768)=1,N768,IF((P768-Q768)=-1,-M768,0))</f>
        <v/>
      </c>
      <c r="U768" s="101">
        <f>IF(AND(H768=1,LedAcct&lt;&gt;""),IF(AND(E768&gt;=LedFrom,E768&lt;=LedTo,OR(I768=LedAcct,K768=LedAcct,AND(LedAcct=acctTax,M768+N768&lt;&gt;0))),E768*10000+B768,""),"")</f>
        <v/>
      </c>
    </row>
    <row r="769">
      <c r="B769" s="101" t="n">
        <v>763</v>
      </c>
      <c r="C769" s="58" t="inlineStr">
        <is>
          <t>Transaction</t>
        </is>
      </c>
      <c r="D769" s="58">
        <f>IF(H769=1,INDEX(tx_ID,763)&amp;"","")</f>
        <v/>
      </c>
      <c r="E769" s="94">
        <f>IF(H769=1,INDEX(tx_Date,763),"")</f>
        <v/>
      </c>
      <c r="F769" s="58">
        <f>IF(H769=1,INDEX(tx_Desc,763)&amp;"","")</f>
        <v/>
      </c>
      <c r="G769" s="58">
        <f>IF(H769=1,IF(INDEX(tx_Cust,763)&amp;""&lt;&gt;"",INDEX(tx_Cust,763)&amp;"",INDEX(tx_Vend,763)&amp;""),"")</f>
        <v/>
      </c>
      <c r="H769" s="101">
        <f>IFERROR(N(INDEX(tx_Posted,763)),0)</f>
        <v/>
      </c>
      <c r="I769" s="58">
        <f>IF(H769=1,INDEX(tx_DrAcct,763)&amp;"","")</f>
        <v/>
      </c>
      <c r="J769" s="95">
        <f>IF(H769=1,INDEX(tx_DrAmt,763),0)</f>
        <v/>
      </c>
      <c r="K769" s="58">
        <f>IF(H769=1,INDEX(tx_CrAcct,763)&amp;"","")</f>
        <v/>
      </c>
      <c r="L769" s="95">
        <f>IF(H769=1,INDEX(tx_CrAmt,763),0)</f>
        <v/>
      </c>
      <c r="M769" s="95">
        <f>IF(H769=1,INDEX(tx_TaxDr,763),0)</f>
        <v/>
      </c>
      <c r="N769" s="95">
        <f>IF(H769=1,INDEX(tx_TaxCr,763),0)</f>
        <v/>
      </c>
      <c r="O769" s="101">
        <f>IF(H769=1,IF(E769&lt;FYStart,0,IF(E769&gt;FYEnd,13,YEAR(E769)*12+MONTH(E769)-FYYM+1)),"")</f>
        <v/>
      </c>
      <c r="P769" s="101">
        <f>IF(H769=1,IF(IFERROR(INDEX(coa_CF,MATCH(I769,coa_Name,0)),"")="Cash",1,0),0)</f>
        <v/>
      </c>
      <c r="Q769" s="101">
        <f>IF(H769=1,IF(IFERROR(INDEX(coa_CF,MATCH(K769,coa_Name,0)),"")="Cash",1,0),0)</f>
        <v/>
      </c>
      <c r="R769" s="58">
        <f>IF((P769-Q769)=0,"",IFERROR(INDEX(coa_CF,MATCH(IF((P769-Q769)=1,K769,I769),coa_Name,0)),"Operating"))</f>
        <v/>
      </c>
      <c r="S769" s="95">
        <f>IF((P769-Q769)=1,L769,IF((P769-Q769)=-1,-J769,0))</f>
        <v/>
      </c>
      <c r="T769" s="95">
        <f>IF((P769-Q769)=1,N769,IF((P769-Q769)=-1,-M769,0))</f>
        <v/>
      </c>
      <c r="U769" s="101">
        <f>IF(AND(H769=1,LedAcct&lt;&gt;""),IF(AND(E769&gt;=LedFrom,E769&lt;=LedTo,OR(I769=LedAcct,K769=LedAcct,AND(LedAcct=acctTax,M769+N769&lt;&gt;0))),E769*10000+B769,""),"")</f>
        <v/>
      </c>
    </row>
    <row r="770">
      <c r="B770" s="101" t="n">
        <v>764</v>
      </c>
      <c r="C770" s="58" t="inlineStr">
        <is>
          <t>Transaction</t>
        </is>
      </c>
      <c r="D770" s="58">
        <f>IF(H770=1,INDEX(tx_ID,764)&amp;"","")</f>
        <v/>
      </c>
      <c r="E770" s="94">
        <f>IF(H770=1,INDEX(tx_Date,764),"")</f>
        <v/>
      </c>
      <c r="F770" s="58">
        <f>IF(H770=1,INDEX(tx_Desc,764)&amp;"","")</f>
        <v/>
      </c>
      <c r="G770" s="58">
        <f>IF(H770=1,IF(INDEX(tx_Cust,764)&amp;""&lt;&gt;"",INDEX(tx_Cust,764)&amp;"",INDEX(tx_Vend,764)&amp;""),"")</f>
        <v/>
      </c>
      <c r="H770" s="101">
        <f>IFERROR(N(INDEX(tx_Posted,764)),0)</f>
        <v/>
      </c>
      <c r="I770" s="58">
        <f>IF(H770=1,INDEX(tx_DrAcct,764)&amp;"","")</f>
        <v/>
      </c>
      <c r="J770" s="95">
        <f>IF(H770=1,INDEX(tx_DrAmt,764),0)</f>
        <v/>
      </c>
      <c r="K770" s="58">
        <f>IF(H770=1,INDEX(tx_CrAcct,764)&amp;"","")</f>
        <v/>
      </c>
      <c r="L770" s="95">
        <f>IF(H770=1,INDEX(tx_CrAmt,764),0)</f>
        <v/>
      </c>
      <c r="M770" s="95">
        <f>IF(H770=1,INDEX(tx_TaxDr,764),0)</f>
        <v/>
      </c>
      <c r="N770" s="95">
        <f>IF(H770=1,INDEX(tx_TaxCr,764),0)</f>
        <v/>
      </c>
      <c r="O770" s="101">
        <f>IF(H770=1,IF(E770&lt;FYStart,0,IF(E770&gt;FYEnd,13,YEAR(E770)*12+MONTH(E770)-FYYM+1)),"")</f>
        <v/>
      </c>
      <c r="P770" s="101">
        <f>IF(H770=1,IF(IFERROR(INDEX(coa_CF,MATCH(I770,coa_Name,0)),"")="Cash",1,0),0)</f>
        <v/>
      </c>
      <c r="Q770" s="101">
        <f>IF(H770=1,IF(IFERROR(INDEX(coa_CF,MATCH(K770,coa_Name,0)),"")="Cash",1,0),0)</f>
        <v/>
      </c>
      <c r="R770" s="58">
        <f>IF((P770-Q770)=0,"",IFERROR(INDEX(coa_CF,MATCH(IF((P770-Q770)=1,K770,I770),coa_Name,0)),"Operating"))</f>
        <v/>
      </c>
      <c r="S770" s="95">
        <f>IF((P770-Q770)=1,L770,IF((P770-Q770)=-1,-J770,0))</f>
        <v/>
      </c>
      <c r="T770" s="95">
        <f>IF((P770-Q770)=1,N770,IF((P770-Q770)=-1,-M770,0))</f>
        <v/>
      </c>
      <c r="U770" s="101">
        <f>IF(AND(H770=1,LedAcct&lt;&gt;""),IF(AND(E770&gt;=LedFrom,E770&lt;=LedTo,OR(I770=LedAcct,K770=LedAcct,AND(LedAcct=acctTax,M770+N770&lt;&gt;0))),E770*10000+B770,""),"")</f>
        <v/>
      </c>
    </row>
    <row r="771">
      <c r="B771" s="101" t="n">
        <v>765</v>
      </c>
      <c r="C771" s="58" t="inlineStr">
        <is>
          <t>Transaction</t>
        </is>
      </c>
      <c r="D771" s="58">
        <f>IF(H771=1,INDEX(tx_ID,765)&amp;"","")</f>
        <v/>
      </c>
      <c r="E771" s="94">
        <f>IF(H771=1,INDEX(tx_Date,765),"")</f>
        <v/>
      </c>
      <c r="F771" s="58">
        <f>IF(H771=1,INDEX(tx_Desc,765)&amp;"","")</f>
        <v/>
      </c>
      <c r="G771" s="58">
        <f>IF(H771=1,IF(INDEX(tx_Cust,765)&amp;""&lt;&gt;"",INDEX(tx_Cust,765)&amp;"",INDEX(tx_Vend,765)&amp;""),"")</f>
        <v/>
      </c>
      <c r="H771" s="101">
        <f>IFERROR(N(INDEX(tx_Posted,765)),0)</f>
        <v/>
      </c>
      <c r="I771" s="58">
        <f>IF(H771=1,INDEX(tx_DrAcct,765)&amp;"","")</f>
        <v/>
      </c>
      <c r="J771" s="95">
        <f>IF(H771=1,INDEX(tx_DrAmt,765),0)</f>
        <v/>
      </c>
      <c r="K771" s="58">
        <f>IF(H771=1,INDEX(tx_CrAcct,765)&amp;"","")</f>
        <v/>
      </c>
      <c r="L771" s="95">
        <f>IF(H771=1,INDEX(tx_CrAmt,765),0)</f>
        <v/>
      </c>
      <c r="M771" s="95">
        <f>IF(H771=1,INDEX(tx_TaxDr,765),0)</f>
        <v/>
      </c>
      <c r="N771" s="95">
        <f>IF(H771=1,INDEX(tx_TaxCr,765),0)</f>
        <v/>
      </c>
      <c r="O771" s="101">
        <f>IF(H771=1,IF(E771&lt;FYStart,0,IF(E771&gt;FYEnd,13,YEAR(E771)*12+MONTH(E771)-FYYM+1)),"")</f>
        <v/>
      </c>
      <c r="P771" s="101">
        <f>IF(H771=1,IF(IFERROR(INDEX(coa_CF,MATCH(I771,coa_Name,0)),"")="Cash",1,0),0)</f>
        <v/>
      </c>
      <c r="Q771" s="101">
        <f>IF(H771=1,IF(IFERROR(INDEX(coa_CF,MATCH(K771,coa_Name,0)),"")="Cash",1,0),0)</f>
        <v/>
      </c>
      <c r="R771" s="58">
        <f>IF((P771-Q771)=0,"",IFERROR(INDEX(coa_CF,MATCH(IF((P771-Q771)=1,K771,I771),coa_Name,0)),"Operating"))</f>
        <v/>
      </c>
      <c r="S771" s="95">
        <f>IF((P771-Q771)=1,L771,IF((P771-Q771)=-1,-J771,0))</f>
        <v/>
      </c>
      <c r="T771" s="95">
        <f>IF((P771-Q771)=1,N771,IF((P771-Q771)=-1,-M771,0))</f>
        <v/>
      </c>
      <c r="U771" s="101">
        <f>IF(AND(H771=1,LedAcct&lt;&gt;""),IF(AND(E771&gt;=LedFrom,E771&lt;=LedTo,OR(I771=LedAcct,K771=LedAcct,AND(LedAcct=acctTax,M771+N771&lt;&gt;0))),E771*10000+B771,""),"")</f>
        <v/>
      </c>
    </row>
    <row r="772">
      <c r="B772" s="101" t="n">
        <v>766</v>
      </c>
      <c r="C772" s="58" t="inlineStr">
        <is>
          <t>Transaction</t>
        </is>
      </c>
      <c r="D772" s="58">
        <f>IF(H772=1,INDEX(tx_ID,766)&amp;"","")</f>
        <v/>
      </c>
      <c r="E772" s="94">
        <f>IF(H772=1,INDEX(tx_Date,766),"")</f>
        <v/>
      </c>
      <c r="F772" s="58">
        <f>IF(H772=1,INDEX(tx_Desc,766)&amp;"","")</f>
        <v/>
      </c>
      <c r="G772" s="58">
        <f>IF(H772=1,IF(INDEX(tx_Cust,766)&amp;""&lt;&gt;"",INDEX(tx_Cust,766)&amp;"",INDEX(tx_Vend,766)&amp;""),"")</f>
        <v/>
      </c>
      <c r="H772" s="101">
        <f>IFERROR(N(INDEX(tx_Posted,766)),0)</f>
        <v/>
      </c>
      <c r="I772" s="58">
        <f>IF(H772=1,INDEX(tx_DrAcct,766)&amp;"","")</f>
        <v/>
      </c>
      <c r="J772" s="95">
        <f>IF(H772=1,INDEX(tx_DrAmt,766),0)</f>
        <v/>
      </c>
      <c r="K772" s="58">
        <f>IF(H772=1,INDEX(tx_CrAcct,766)&amp;"","")</f>
        <v/>
      </c>
      <c r="L772" s="95">
        <f>IF(H772=1,INDEX(tx_CrAmt,766),0)</f>
        <v/>
      </c>
      <c r="M772" s="95">
        <f>IF(H772=1,INDEX(tx_TaxDr,766),0)</f>
        <v/>
      </c>
      <c r="N772" s="95">
        <f>IF(H772=1,INDEX(tx_TaxCr,766),0)</f>
        <v/>
      </c>
      <c r="O772" s="101">
        <f>IF(H772=1,IF(E772&lt;FYStart,0,IF(E772&gt;FYEnd,13,YEAR(E772)*12+MONTH(E772)-FYYM+1)),"")</f>
        <v/>
      </c>
      <c r="P772" s="101">
        <f>IF(H772=1,IF(IFERROR(INDEX(coa_CF,MATCH(I772,coa_Name,0)),"")="Cash",1,0),0)</f>
        <v/>
      </c>
      <c r="Q772" s="101">
        <f>IF(H772=1,IF(IFERROR(INDEX(coa_CF,MATCH(K772,coa_Name,0)),"")="Cash",1,0),0)</f>
        <v/>
      </c>
      <c r="R772" s="58">
        <f>IF((P772-Q772)=0,"",IFERROR(INDEX(coa_CF,MATCH(IF((P772-Q772)=1,K772,I772),coa_Name,0)),"Operating"))</f>
        <v/>
      </c>
      <c r="S772" s="95">
        <f>IF((P772-Q772)=1,L772,IF((P772-Q772)=-1,-J772,0))</f>
        <v/>
      </c>
      <c r="T772" s="95">
        <f>IF((P772-Q772)=1,N772,IF((P772-Q772)=-1,-M772,0))</f>
        <v/>
      </c>
      <c r="U772" s="101">
        <f>IF(AND(H772=1,LedAcct&lt;&gt;""),IF(AND(E772&gt;=LedFrom,E772&lt;=LedTo,OR(I772=LedAcct,K772=LedAcct,AND(LedAcct=acctTax,M772+N772&lt;&gt;0))),E772*10000+B772,""),"")</f>
        <v/>
      </c>
    </row>
    <row r="773">
      <c r="B773" s="101" t="n">
        <v>767</v>
      </c>
      <c r="C773" s="58" t="inlineStr">
        <is>
          <t>Transaction</t>
        </is>
      </c>
      <c r="D773" s="58">
        <f>IF(H773=1,INDEX(tx_ID,767)&amp;"","")</f>
        <v/>
      </c>
      <c r="E773" s="94">
        <f>IF(H773=1,INDEX(tx_Date,767),"")</f>
        <v/>
      </c>
      <c r="F773" s="58">
        <f>IF(H773=1,INDEX(tx_Desc,767)&amp;"","")</f>
        <v/>
      </c>
      <c r="G773" s="58">
        <f>IF(H773=1,IF(INDEX(tx_Cust,767)&amp;""&lt;&gt;"",INDEX(tx_Cust,767)&amp;"",INDEX(tx_Vend,767)&amp;""),"")</f>
        <v/>
      </c>
      <c r="H773" s="101">
        <f>IFERROR(N(INDEX(tx_Posted,767)),0)</f>
        <v/>
      </c>
      <c r="I773" s="58">
        <f>IF(H773=1,INDEX(tx_DrAcct,767)&amp;"","")</f>
        <v/>
      </c>
      <c r="J773" s="95">
        <f>IF(H773=1,INDEX(tx_DrAmt,767),0)</f>
        <v/>
      </c>
      <c r="K773" s="58">
        <f>IF(H773=1,INDEX(tx_CrAcct,767)&amp;"","")</f>
        <v/>
      </c>
      <c r="L773" s="95">
        <f>IF(H773=1,INDEX(tx_CrAmt,767),0)</f>
        <v/>
      </c>
      <c r="M773" s="95">
        <f>IF(H773=1,INDEX(tx_TaxDr,767),0)</f>
        <v/>
      </c>
      <c r="N773" s="95">
        <f>IF(H773=1,INDEX(tx_TaxCr,767),0)</f>
        <v/>
      </c>
      <c r="O773" s="101">
        <f>IF(H773=1,IF(E773&lt;FYStart,0,IF(E773&gt;FYEnd,13,YEAR(E773)*12+MONTH(E773)-FYYM+1)),"")</f>
        <v/>
      </c>
      <c r="P773" s="101">
        <f>IF(H773=1,IF(IFERROR(INDEX(coa_CF,MATCH(I773,coa_Name,0)),"")="Cash",1,0),0)</f>
        <v/>
      </c>
      <c r="Q773" s="101">
        <f>IF(H773=1,IF(IFERROR(INDEX(coa_CF,MATCH(K773,coa_Name,0)),"")="Cash",1,0),0)</f>
        <v/>
      </c>
      <c r="R773" s="58">
        <f>IF((P773-Q773)=0,"",IFERROR(INDEX(coa_CF,MATCH(IF((P773-Q773)=1,K773,I773),coa_Name,0)),"Operating"))</f>
        <v/>
      </c>
      <c r="S773" s="95">
        <f>IF((P773-Q773)=1,L773,IF((P773-Q773)=-1,-J773,0))</f>
        <v/>
      </c>
      <c r="T773" s="95">
        <f>IF((P773-Q773)=1,N773,IF((P773-Q773)=-1,-M773,0))</f>
        <v/>
      </c>
      <c r="U773" s="101">
        <f>IF(AND(H773=1,LedAcct&lt;&gt;""),IF(AND(E773&gt;=LedFrom,E773&lt;=LedTo,OR(I773=LedAcct,K773=LedAcct,AND(LedAcct=acctTax,M773+N773&lt;&gt;0))),E773*10000+B773,""),"")</f>
        <v/>
      </c>
    </row>
    <row r="774">
      <c r="B774" s="101" t="n">
        <v>768</v>
      </c>
      <c r="C774" s="58" t="inlineStr">
        <is>
          <t>Transaction</t>
        </is>
      </c>
      <c r="D774" s="58">
        <f>IF(H774=1,INDEX(tx_ID,768)&amp;"","")</f>
        <v/>
      </c>
      <c r="E774" s="94">
        <f>IF(H774=1,INDEX(tx_Date,768),"")</f>
        <v/>
      </c>
      <c r="F774" s="58">
        <f>IF(H774=1,INDEX(tx_Desc,768)&amp;"","")</f>
        <v/>
      </c>
      <c r="G774" s="58">
        <f>IF(H774=1,IF(INDEX(tx_Cust,768)&amp;""&lt;&gt;"",INDEX(tx_Cust,768)&amp;"",INDEX(tx_Vend,768)&amp;""),"")</f>
        <v/>
      </c>
      <c r="H774" s="101">
        <f>IFERROR(N(INDEX(tx_Posted,768)),0)</f>
        <v/>
      </c>
      <c r="I774" s="58">
        <f>IF(H774=1,INDEX(tx_DrAcct,768)&amp;"","")</f>
        <v/>
      </c>
      <c r="J774" s="95">
        <f>IF(H774=1,INDEX(tx_DrAmt,768),0)</f>
        <v/>
      </c>
      <c r="K774" s="58">
        <f>IF(H774=1,INDEX(tx_CrAcct,768)&amp;"","")</f>
        <v/>
      </c>
      <c r="L774" s="95">
        <f>IF(H774=1,INDEX(tx_CrAmt,768),0)</f>
        <v/>
      </c>
      <c r="M774" s="95">
        <f>IF(H774=1,INDEX(tx_TaxDr,768),0)</f>
        <v/>
      </c>
      <c r="N774" s="95">
        <f>IF(H774=1,INDEX(tx_TaxCr,768),0)</f>
        <v/>
      </c>
      <c r="O774" s="101">
        <f>IF(H774=1,IF(E774&lt;FYStart,0,IF(E774&gt;FYEnd,13,YEAR(E774)*12+MONTH(E774)-FYYM+1)),"")</f>
        <v/>
      </c>
      <c r="P774" s="101">
        <f>IF(H774=1,IF(IFERROR(INDEX(coa_CF,MATCH(I774,coa_Name,0)),"")="Cash",1,0),0)</f>
        <v/>
      </c>
      <c r="Q774" s="101">
        <f>IF(H774=1,IF(IFERROR(INDEX(coa_CF,MATCH(K774,coa_Name,0)),"")="Cash",1,0),0)</f>
        <v/>
      </c>
      <c r="R774" s="58">
        <f>IF((P774-Q774)=0,"",IFERROR(INDEX(coa_CF,MATCH(IF((P774-Q774)=1,K774,I774),coa_Name,0)),"Operating"))</f>
        <v/>
      </c>
      <c r="S774" s="95">
        <f>IF((P774-Q774)=1,L774,IF((P774-Q774)=-1,-J774,0))</f>
        <v/>
      </c>
      <c r="T774" s="95">
        <f>IF((P774-Q774)=1,N774,IF((P774-Q774)=-1,-M774,0))</f>
        <v/>
      </c>
      <c r="U774" s="101">
        <f>IF(AND(H774=1,LedAcct&lt;&gt;""),IF(AND(E774&gt;=LedFrom,E774&lt;=LedTo,OR(I774=LedAcct,K774=LedAcct,AND(LedAcct=acctTax,M774+N774&lt;&gt;0))),E774*10000+B774,""),"")</f>
        <v/>
      </c>
    </row>
    <row r="775">
      <c r="B775" s="101" t="n">
        <v>769</v>
      </c>
      <c r="C775" s="58" t="inlineStr">
        <is>
          <t>Transaction</t>
        </is>
      </c>
      <c r="D775" s="58">
        <f>IF(H775=1,INDEX(tx_ID,769)&amp;"","")</f>
        <v/>
      </c>
      <c r="E775" s="94">
        <f>IF(H775=1,INDEX(tx_Date,769),"")</f>
        <v/>
      </c>
      <c r="F775" s="58">
        <f>IF(H775=1,INDEX(tx_Desc,769)&amp;"","")</f>
        <v/>
      </c>
      <c r="G775" s="58">
        <f>IF(H775=1,IF(INDEX(tx_Cust,769)&amp;""&lt;&gt;"",INDEX(tx_Cust,769)&amp;"",INDEX(tx_Vend,769)&amp;""),"")</f>
        <v/>
      </c>
      <c r="H775" s="101">
        <f>IFERROR(N(INDEX(tx_Posted,769)),0)</f>
        <v/>
      </c>
      <c r="I775" s="58">
        <f>IF(H775=1,INDEX(tx_DrAcct,769)&amp;"","")</f>
        <v/>
      </c>
      <c r="J775" s="95">
        <f>IF(H775=1,INDEX(tx_DrAmt,769),0)</f>
        <v/>
      </c>
      <c r="K775" s="58">
        <f>IF(H775=1,INDEX(tx_CrAcct,769)&amp;"","")</f>
        <v/>
      </c>
      <c r="L775" s="95">
        <f>IF(H775=1,INDEX(tx_CrAmt,769),0)</f>
        <v/>
      </c>
      <c r="M775" s="95">
        <f>IF(H775=1,INDEX(tx_TaxDr,769),0)</f>
        <v/>
      </c>
      <c r="N775" s="95">
        <f>IF(H775=1,INDEX(tx_TaxCr,769),0)</f>
        <v/>
      </c>
      <c r="O775" s="101">
        <f>IF(H775=1,IF(E775&lt;FYStart,0,IF(E775&gt;FYEnd,13,YEAR(E775)*12+MONTH(E775)-FYYM+1)),"")</f>
        <v/>
      </c>
      <c r="P775" s="101">
        <f>IF(H775=1,IF(IFERROR(INDEX(coa_CF,MATCH(I775,coa_Name,0)),"")="Cash",1,0),0)</f>
        <v/>
      </c>
      <c r="Q775" s="101">
        <f>IF(H775=1,IF(IFERROR(INDEX(coa_CF,MATCH(K775,coa_Name,0)),"")="Cash",1,0),0)</f>
        <v/>
      </c>
      <c r="R775" s="58">
        <f>IF((P775-Q775)=0,"",IFERROR(INDEX(coa_CF,MATCH(IF((P775-Q775)=1,K775,I775),coa_Name,0)),"Operating"))</f>
        <v/>
      </c>
      <c r="S775" s="95">
        <f>IF((P775-Q775)=1,L775,IF((P775-Q775)=-1,-J775,0))</f>
        <v/>
      </c>
      <c r="T775" s="95">
        <f>IF((P775-Q775)=1,N775,IF((P775-Q775)=-1,-M775,0))</f>
        <v/>
      </c>
      <c r="U775" s="101">
        <f>IF(AND(H775=1,LedAcct&lt;&gt;""),IF(AND(E775&gt;=LedFrom,E775&lt;=LedTo,OR(I775=LedAcct,K775=LedAcct,AND(LedAcct=acctTax,M775+N775&lt;&gt;0))),E775*10000+B775,""),"")</f>
        <v/>
      </c>
    </row>
    <row r="776">
      <c r="B776" s="101" t="n">
        <v>770</v>
      </c>
      <c r="C776" s="58" t="inlineStr">
        <is>
          <t>Transaction</t>
        </is>
      </c>
      <c r="D776" s="58">
        <f>IF(H776=1,INDEX(tx_ID,770)&amp;"","")</f>
        <v/>
      </c>
      <c r="E776" s="94">
        <f>IF(H776=1,INDEX(tx_Date,770),"")</f>
        <v/>
      </c>
      <c r="F776" s="58">
        <f>IF(H776=1,INDEX(tx_Desc,770)&amp;"","")</f>
        <v/>
      </c>
      <c r="G776" s="58">
        <f>IF(H776=1,IF(INDEX(tx_Cust,770)&amp;""&lt;&gt;"",INDEX(tx_Cust,770)&amp;"",INDEX(tx_Vend,770)&amp;""),"")</f>
        <v/>
      </c>
      <c r="H776" s="101">
        <f>IFERROR(N(INDEX(tx_Posted,770)),0)</f>
        <v/>
      </c>
      <c r="I776" s="58">
        <f>IF(H776=1,INDEX(tx_DrAcct,770)&amp;"","")</f>
        <v/>
      </c>
      <c r="J776" s="95">
        <f>IF(H776=1,INDEX(tx_DrAmt,770),0)</f>
        <v/>
      </c>
      <c r="K776" s="58">
        <f>IF(H776=1,INDEX(tx_CrAcct,770)&amp;"","")</f>
        <v/>
      </c>
      <c r="L776" s="95">
        <f>IF(H776=1,INDEX(tx_CrAmt,770),0)</f>
        <v/>
      </c>
      <c r="M776" s="95">
        <f>IF(H776=1,INDEX(tx_TaxDr,770),0)</f>
        <v/>
      </c>
      <c r="N776" s="95">
        <f>IF(H776=1,INDEX(tx_TaxCr,770),0)</f>
        <v/>
      </c>
      <c r="O776" s="101">
        <f>IF(H776=1,IF(E776&lt;FYStart,0,IF(E776&gt;FYEnd,13,YEAR(E776)*12+MONTH(E776)-FYYM+1)),"")</f>
        <v/>
      </c>
      <c r="P776" s="101">
        <f>IF(H776=1,IF(IFERROR(INDEX(coa_CF,MATCH(I776,coa_Name,0)),"")="Cash",1,0),0)</f>
        <v/>
      </c>
      <c r="Q776" s="101">
        <f>IF(H776=1,IF(IFERROR(INDEX(coa_CF,MATCH(K776,coa_Name,0)),"")="Cash",1,0),0)</f>
        <v/>
      </c>
      <c r="R776" s="58">
        <f>IF((P776-Q776)=0,"",IFERROR(INDEX(coa_CF,MATCH(IF((P776-Q776)=1,K776,I776),coa_Name,0)),"Operating"))</f>
        <v/>
      </c>
      <c r="S776" s="95">
        <f>IF((P776-Q776)=1,L776,IF((P776-Q776)=-1,-J776,0))</f>
        <v/>
      </c>
      <c r="T776" s="95">
        <f>IF((P776-Q776)=1,N776,IF((P776-Q776)=-1,-M776,0))</f>
        <v/>
      </c>
      <c r="U776" s="101">
        <f>IF(AND(H776=1,LedAcct&lt;&gt;""),IF(AND(E776&gt;=LedFrom,E776&lt;=LedTo,OR(I776=LedAcct,K776=LedAcct,AND(LedAcct=acctTax,M776+N776&lt;&gt;0))),E776*10000+B776,""),"")</f>
        <v/>
      </c>
    </row>
    <row r="777">
      <c r="B777" s="101" t="n">
        <v>771</v>
      </c>
      <c r="C777" s="58" t="inlineStr">
        <is>
          <t>Transaction</t>
        </is>
      </c>
      <c r="D777" s="58">
        <f>IF(H777=1,INDEX(tx_ID,771)&amp;"","")</f>
        <v/>
      </c>
      <c r="E777" s="94">
        <f>IF(H777=1,INDEX(tx_Date,771),"")</f>
        <v/>
      </c>
      <c r="F777" s="58">
        <f>IF(H777=1,INDEX(tx_Desc,771)&amp;"","")</f>
        <v/>
      </c>
      <c r="G777" s="58">
        <f>IF(H777=1,IF(INDEX(tx_Cust,771)&amp;""&lt;&gt;"",INDEX(tx_Cust,771)&amp;"",INDEX(tx_Vend,771)&amp;""),"")</f>
        <v/>
      </c>
      <c r="H777" s="101">
        <f>IFERROR(N(INDEX(tx_Posted,771)),0)</f>
        <v/>
      </c>
      <c r="I777" s="58">
        <f>IF(H777=1,INDEX(tx_DrAcct,771)&amp;"","")</f>
        <v/>
      </c>
      <c r="J777" s="95">
        <f>IF(H777=1,INDEX(tx_DrAmt,771),0)</f>
        <v/>
      </c>
      <c r="K777" s="58">
        <f>IF(H777=1,INDEX(tx_CrAcct,771)&amp;"","")</f>
        <v/>
      </c>
      <c r="L777" s="95">
        <f>IF(H777=1,INDEX(tx_CrAmt,771),0)</f>
        <v/>
      </c>
      <c r="M777" s="95">
        <f>IF(H777=1,INDEX(tx_TaxDr,771),0)</f>
        <v/>
      </c>
      <c r="N777" s="95">
        <f>IF(H777=1,INDEX(tx_TaxCr,771),0)</f>
        <v/>
      </c>
      <c r="O777" s="101">
        <f>IF(H777=1,IF(E777&lt;FYStart,0,IF(E777&gt;FYEnd,13,YEAR(E777)*12+MONTH(E777)-FYYM+1)),"")</f>
        <v/>
      </c>
      <c r="P777" s="101">
        <f>IF(H777=1,IF(IFERROR(INDEX(coa_CF,MATCH(I777,coa_Name,0)),"")="Cash",1,0),0)</f>
        <v/>
      </c>
      <c r="Q777" s="101">
        <f>IF(H777=1,IF(IFERROR(INDEX(coa_CF,MATCH(K777,coa_Name,0)),"")="Cash",1,0),0)</f>
        <v/>
      </c>
      <c r="R777" s="58">
        <f>IF((P777-Q777)=0,"",IFERROR(INDEX(coa_CF,MATCH(IF((P777-Q777)=1,K777,I777),coa_Name,0)),"Operating"))</f>
        <v/>
      </c>
      <c r="S777" s="95">
        <f>IF((P777-Q777)=1,L777,IF((P777-Q777)=-1,-J777,0))</f>
        <v/>
      </c>
      <c r="T777" s="95">
        <f>IF((P777-Q777)=1,N777,IF((P777-Q777)=-1,-M777,0))</f>
        <v/>
      </c>
      <c r="U777" s="101">
        <f>IF(AND(H777=1,LedAcct&lt;&gt;""),IF(AND(E777&gt;=LedFrom,E777&lt;=LedTo,OR(I777=LedAcct,K777=LedAcct,AND(LedAcct=acctTax,M777+N777&lt;&gt;0))),E777*10000+B777,""),"")</f>
        <v/>
      </c>
    </row>
    <row r="778">
      <c r="B778" s="101" t="n">
        <v>772</v>
      </c>
      <c r="C778" s="58" t="inlineStr">
        <is>
          <t>Transaction</t>
        </is>
      </c>
      <c r="D778" s="58">
        <f>IF(H778=1,INDEX(tx_ID,772)&amp;"","")</f>
        <v/>
      </c>
      <c r="E778" s="94">
        <f>IF(H778=1,INDEX(tx_Date,772),"")</f>
        <v/>
      </c>
      <c r="F778" s="58">
        <f>IF(H778=1,INDEX(tx_Desc,772)&amp;"","")</f>
        <v/>
      </c>
      <c r="G778" s="58">
        <f>IF(H778=1,IF(INDEX(tx_Cust,772)&amp;""&lt;&gt;"",INDEX(tx_Cust,772)&amp;"",INDEX(tx_Vend,772)&amp;""),"")</f>
        <v/>
      </c>
      <c r="H778" s="101">
        <f>IFERROR(N(INDEX(tx_Posted,772)),0)</f>
        <v/>
      </c>
      <c r="I778" s="58">
        <f>IF(H778=1,INDEX(tx_DrAcct,772)&amp;"","")</f>
        <v/>
      </c>
      <c r="J778" s="95">
        <f>IF(H778=1,INDEX(tx_DrAmt,772),0)</f>
        <v/>
      </c>
      <c r="K778" s="58">
        <f>IF(H778=1,INDEX(tx_CrAcct,772)&amp;"","")</f>
        <v/>
      </c>
      <c r="L778" s="95">
        <f>IF(H778=1,INDEX(tx_CrAmt,772),0)</f>
        <v/>
      </c>
      <c r="M778" s="95">
        <f>IF(H778=1,INDEX(tx_TaxDr,772),0)</f>
        <v/>
      </c>
      <c r="N778" s="95">
        <f>IF(H778=1,INDEX(tx_TaxCr,772),0)</f>
        <v/>
      </c>
      <c r="O778" s="101">
        <f>IF(H778=1,IF(E778&lt;FYStart,0,IF(E778&gt;FYEnd,13,YEAR(E778)*12+MONTH(E778)-FYYM+1)),"")</f>
        <v/>
      </c>
      <c r="P778" s="101">
        <f>IF(H778=1,IF(IFERROR(INDEX(coa_CF,MATCH(I778,coa_Name,0)),"")="Cash",1,0),0)</f>
        <v/>
      </c>
      <c r="Q778" s="101">
        <f>IF(H778=1,IF(IFERROR(INDEX(coa_CF,MATCH(K778,coa_Name,0)),"")="Cash",1,0),0)</f>
        <v/>
      </c>
      <c r="R778" s="58">
        <f>IF((P778-Q778)=0,"",IFERROR(INDEX(coa_CF,MATCH(IF((P778-Q778)=1,K778,I778),coa_Name,0)),"Operating"))</f>
        <v/>
      </c>
      <c r="S778" s="95">
        <f>IF((P778-Q778)=1,L778,IF((P778-Q778)=-1,-J778,0))</f>
        <v/>
      </c>
      <c r="T778" s="95">
        <f>IF((P778-Q778)=1,N778,IF((P778-Q778)=-1,-M778,0))</f>
        <v/>
      </c>
      <c r="U778" s="101">
        <f>IF(AND(H778=1,LedAcct&lt;&gt;""),IF(AND(E778&gt;=LedFrom,E778&lt;=LedTo,OR(I778=LedAcct,K778=LedAcct,AND(LedAcct=acctTax,M778+N778&lt;&gt;0))),E778*10000+B778,""),"")</f>
        <v/>
      </c>
    </row>
    <row r="779">
      <c r="B779" s="101" t="n">
        <v>773</v>
      </c>
      <c r="C779" s="58" t="inlineStr">
        <is>
          <t>Transaction</t>
        </is>
      </c>
      <c r="D779" s="58">
        <f>IF(H779=1,INDEX(tx_ID,773)&amp;"","")</f>
        <v/>
      </c>
      <c r="E779" s="94">
        <f>IF(H779=1,INDEX(tx_Date,773),"")</f>
        <v/>
      </c>
      <c r="F779" s="58">
        <f>IF(H779=1,INDEX(tx_Desc,773)&amp;"","")</f>
        <v/>
      </c>
      <c r="G779" s="58">
        <f>IF(H779=1,IF(INDEX(tx_Cust,773)&amp;""&lt;&gt;"",INDEX(tx_Cust,773)&amp;"",INDEX(tx_Vend,773)&amp;""),"")</f>
        <v/>
      </c>
      <c r="H779" s="101">
        <f>IFERROR(N(INDEX(tx_Posted,773)),0)</f>
        <v/>
      </c>
      <c r="I779" s="58">
        <f>IF(H779=1,INDEX(tx_DrAcct,773)&amp;"","")</f>
        <v/>
      </c>
      <c r="J779" s="95">
        <f>IF(H779=1,INDEX(tx_DrAmt,773),0)</f>
        <v/>
      </c>
      <c r="K779" s="58">
        <f>IF(H779=1,INDEX(tx_CrAcct,773)&amp;"","")</f>
        <v/>
      </c>
      <c r="L779" s="95">
        <f>IF(H779=1,INDEX(tx_CrAmt,773),0)</f>
        <v/>
      </c>
      <c r="M779" s="95">
        <f>IF(H779=1,INDEX(tx_TaxDr,773),0)</f>
        <v/>
      </c>
      <c r="N779" s="95">
        <f>IF(H779=1,INDEX(tx_TaxCr,773),0)</f>
        <v/>
      </c>
      <c r="O779" s="101">
        <f>IF(H779=1,IF(E779&lt;FYStart,0,IF(E779&gt;FYEnd,13,YEAR(E779)*12+MONTH(E779)-FYYM+1)),"")</f>
        <v/>
      </c>
      <c r="P779" s="101">
        <f>IF(H779=1,IF(IFERROR(INDEX(coa_CF,MATCH(I779,coa_Name,0)),"")="Cash",1,0),0)</f>
        <v/>
      </c>
      <c r="Q779" s="101">
        <f>IF(H779=1,IF(IFERROR(INDEX(coa_CF,MATCH(K779,coa_Name,0)),"")="Cash",1,0),0)</f>
        <v/>
      </c>
      <c r="R779" s="58">
        <f>IF((P779-Q779)=0,"",IFERROR(INDEX(coa_CF,MATCH(IF((P779-Q779)=1,K779,I779),coa_Name,0)),"Operating"))</f>
        <v/>
      </c>
      <c r="S779" s="95">
        <f>IF((P779-Q779)=1,L779,IF((P779-Q779)=-1,-J779,0))</f>
        <v/>
      </c>
      <c r="T779" s="95">
        <f>IF((P779-Q779)=1,N779,IF((P779-Q779)=-1,-M779,0))</f>
        <v/>
      </c>
      <c r="U779" s="101">
        <f>IF(AND(H779=1,LedAcct&lt;&gt;""),IF(AND(E779&gt;=LedFrom,E779&lt;=LedTo,OR(I779=LedAcct,K779=LedAcct,AND(LedAcct=acctTax,M779+N779&lt;&gt;0))),E779*10000+B779,""),"")</f>
        <v/>
      </c>
    </row>
    <row r="780">
      <c r="B780" s="101" t="n">
        <v>774</v>
      </c>
      <c r="C780" s="58" t="inlineStr">
        <is>
          <t>Transaction</t>
        </is>
      </c>
      <c r="D780" s="58">
        <f>IF(H780=1,INDEX(tx_ID,774)&amp;"","")</f>
        <v/>
      </c>
      <c r="E780" s="94">
        <f>IF(H780=1,INDEX(tx_Date,774),"")</f>
        <v/>
      </c>
      <c r="F780" s="58">
        <f>IF(H780=1,INDEX(tx_Desc,774)&amp;"","")</f>
        <v/>
      </c>
      <c r="G780" s="58">
        <f>IF(H780=1,IF(INDEX(tx_Cust,774)&amp;""&lt;&gt;"",INDEX(tx_Cust,774)&amp;"",INDEX(tx_Vend,774)&amp;""),"")</f>
        <v/>
      </c>
      <c r="H780" s="101">
        <f>IFERROR(N(INDEX(tx_Posted,774)),0)</f>
        <v/>
      </c>
      <c r="I780" s="58">
        <f>IF(H780=1,INDEX(tx_DrAcct,774)&amp;"","")</f>
        <v/>
      </c>
      <c r="J780" s="95">
        <f>IF(H780=1,INDEX(tx_DrAmt,774),0)</f>
        <v/>
      </c>
      <c r="K780" s="58">
        <f>IF(H780=1,INDEX(tx_CrAcct,774)&amp;"","")</f>
        <v/>
      </c>
      <c r="L780" s="95">
        <f>IF(H780=1,INDEX(tx_CrAmt,774),0)</f>
        <v/>
      </c>
      <c r="M780" s="95">
        <f>IF(H780=1,INDEX(tx_TaxDr,774),0)</f>
        <v/>
      </c>
      <c r="N780" s="95">
        <f>IF(H780=1,INDEX(tx_TaxCr,774),0)</f>
        <v/>
      </c>
      <c r="O780" s="101">
        <f>IF(H780=1,IF(E780&lt;FYStart,0,IF(E780&gt;FYEnd,13,YEAR(E780)*12+MONTH(E780)-FYYM+1)),"")</f>
        <v/>
      </c>
      <c r="P780" s="101">
        <f>IF(H780=1,IF(IFERROR(INDEX(coa_CF,MATCH(I780,coa_Name,0)),"")="Cash",1,0),0)</f>
        <v/>
      </c>
      <c r="Q780" s="101">
        <f>IF(H780=1,IF(IFERROR(INDEX(coa_CF,MATCH(K780,coa_Name,0)),"")="Cash",1,0),0)</f>
        <v/>
      </c>
      <c r="R780" s="58">
        <f>IF((P780-Q780)=0,"",IFERROR(INDEX(coa_CF,MATCH(IF((P780-Q780)=1,K780,I780),coa_Name,0)),"Operating"))</f>
        <v/>
      </c>
      <c r="S780" s="95">
        <f>IF((P780-Q780)=1,L780,IF((P780-Q780)=-1,-J780,0))</f>
        <v/>
      </c>
      <c r="T780" s="95">
        <f>IF((P780-Q780)=1,N780,IF((P780-Q780)=-1,-M780,0))</f>
        <v/>
      </c>
      <c r="U780" s="101">
        <f>IF(AND(H780=1,LedAcct&lt;&gt;""),IF(AND(E780&gt;=LedFrom,E780&lt;=LedTo,OR(I780=LedAcct,K780=LedAcct,AND(LedAcct=acctTax,M780+N780&lt;&gt;0))),E780*10000+B780,""),"")</f>
        <v/>
      </c>
    </row>
    <row r="781">
      <c r="B781" s="101" t="n">
        <v>775</v>
      </c>
      <c r="C781" s="58" t="inlineStr">
        <is>
          <t>Transaction</t>
        </is>
      </c>
      <c r="D781" s="58">
        <f>IF(H781=1,INDEX(tx_ID,775)&amp;"","")</f>
        <v/>
      </c>
      <c r="E781" s="94">
        <f>IF(H781=1,INDEX(tx_Date,775),"")</f>
        <v/>
      </c>
      <c r="F781" s="58">
        <f>IF(H781=1,INDEX(tx_Desc,775)&amp;"","")</f>
        <v/>
      </c>
      <c r="G781" s="58">
        <f>IF(H781=1,IF(INDEX(tx_Cust,775)&amp;""&lt;&gt;"",INDEX(tx_Cust,775)&amp;"",INDEX(tx_Vend,775)&amp;""),"")</f>
        <v/>
      </c>
      <c r="H781" s="101">
        <f>IFERROR(N(INDEX(tx_Posted,775)),0)</f>
        <v/>
      </c>
      <c r="I781" s="58">
        <f>IF(H781=1,INDEX(tx_DrAcct,775)&amp;"","")</f>
        <v/>
      </c>
      <c r="J781" s="95">
        <f>IF(H781=1,INDEX(tx_DrAmt,775),0)</f>
        <v/>
      </c>
      <c r="K781" s="58">
        <f>IF(H781=1,INDEX(tx_CrAcct,775)&amp;"","")</f>
        <v/>
      </c>
      <c r="L781" s="95">
        <f>IF(H781=1,INDEX(tx_CrAmt,775),0)</f>
        <v/>
      </c>
      <c r="M781" s="95">
        <f>IF(H781=1,INDEX(tx_TaxDr,775),0)</f>
        <v/>
      </c>
      <c r="N781" s="95">
        <f>IF(H781=1,INDEX(tx_TaxCr,775),0)</f>
        <v/>
      </c>
      <c r="O781" s="101">
        <f>IF(H781=1,IF(E781&lt;FYStart,0,IF(E781&gt;FYEnd,13,YEAR(E781)*12+MONTH(E781)-FYYM+1)),"")</f>
        <v/>
      </c>
      <c r="P781" s="101">
        <f>IF(H781=1,IF(IFERROR(INDEX(coa_CF,MATCH(I781,coa_Name,0)),"")="Cash",1,0),0)</f>
        <v/>
      </c>
      <c r="Q781" s="101">
        <f>IF(H781=1,IF(IFERROR(INDEX(coa_CF,MATCH(K781,coa_Name,0)),"")="Cash",1,0),0)</f>
        <v/>
      </c>
      <c r="R781" s="58">
        <f>IF((P781-Q781)=0,"",IFERROR(INDEX(coa_CF,MATCH(IF((P781-Q781)=1,K781,I781),coa_Name,0)),"Operating"))</f>
        <v/>
      </c>
      <c r="S781" s="95">
        <f>IF((P781-Q781)=1,L781,IF((P781-Q781)=-1,-J781,0))</f>
        <v/>
      </c>
      <c r="T781" s="95">
        <f>IF((P781-Q781)=1,N781,IF((P781-Q781)=-1,-M781,0))</f>
        <v/>
      </c>
      <c r="U781" s="101">
        <f>IF(AND(H781=1,LedAcct&lt;&gt;""),IF(AND(E781&gt;=LedFrom,E781&lt;=LedTo,OR(I781=LedAcct,K781=LedAcct,AND(LedAcct=acctTax,M781+N781&lt;&gt;0))),E781*10000+B781,""),"")</f>
        <v/>
      </c>
    </row>
    <row r="782">
      <c r="B782" s="101" t="n">
        <v>776</v>
      </c>
      <c r="C782" s="58" t="inlineStr">
        <is>
          <t>Transaction</t>
        </is>
      </c>
      <c r="D782" s="58">
        <f>IF(H782=1,INDEX(tx_ID,776)&amp;"","")</f>
        <v/>
      </c>
      <c r="E782" s="94">
        <f>IF(H782=1,INDEX(tx_Date,776),"")</f>
        <v/>
      </c>
      <c r="F782" s="58">
        <f>IF(H782=1,INDEX(tx_Desc,776)&amp;"","")</f>
        <v/>
      </c>
      <c r="G782" s="58">
        <f>IF(H782=1,IF(INDEX(tx_Cust,776)&amp;""&lt;&gt;"",INDEX(tx_Cust,776)&amp;"",INDEX(tx_Vend,776)&amp;""),"")</f>
        <v/>
      </c>
      <c r="H782" s="101">
        <f>IFERROR(N(INDEX(tx_Posted,776)),0)</f>
        <v/>
      </c>
      <c r="I782" s="58">
        <f>IF(H782=1,INDEX(tx_DrAcct,776)&amp;"","")</f>
        <v/>
      </c>
      <c r="J782" s="95">
        <f>IF(H782=1,INDEX(tx_DrAmt,776),0)</f>
        <v/>
      </c>
      <c r="K782" s="58">
        <f>IF(H782=1,INDEX(tx_CrAcct,776)&amp;"","")</f>
        <v/>
      </c>
      <c r="L782" s="95">
        <f>IF(H782=1,INDEX(tx_CrAmt,776),0)</f>
        <v/>
      </c>
      <c r="M782" s="95">
        <f>IF(H782=1,INDEX(tx_TaxDr,776),0)</f>
        <v/>
      </c>
      <c r="N782" s="95">
        <f>IF(H782=1,INDEX(tx_TaxCr,776),0)</f>
        <v/>
      </c>
      <c r="O782" s="101">
        <f>IF(H782=1,IF(E782&lt;FYStart,0,IF(E782&gt;FYEnd,13,YEAR(E782)*12+MONTH(E782)-FYYM+1)),"")</f>
        <v/>
      </c>
      <c r="P782" s="101">
        <f>IF(H782=1,IF(IFERROR(INDEX(coa_CF,MATCH(I782,coa_Name,0)),"")="Cash",1,0),0)</f>
        <v/>
      </c>
      <c r="Q782" s="101">
        <f>IF(H782=1,IF(IFERROR(INDEX(coa_CF,MATCH(K782,coa_Name,0)),"")="Cash",1,0),0)</f>
        <v/>
      </c>
      <c r="R782" s="58">
        <f>IF((P782-Q782)=0,"",IFERROR(INDEX(coa_CF,MATCH(IF((P782-Q782)=1,K782,I782),coa_Name,0)),"Operating"))</f>
        <v/>
      </c>
      <c r="S782" s="95">
        <f>IF((P782-Q782)=1,L782,IF((P782-Q782)=-1,-J782,0))</f>
        <v/>
      </c>
      <c r="T782" s="95">
        <f>IF((P782-Q782)=1,N782,IF((P782-Q782)=-1,-M782,0))</f>
        <v/>
      </c>
      <c r="U782" s="101">
        <f>IF(AND(H782=1,LedAcct&lt;&gt;""),IF(AND(E782&gt;=LedFrom,E782&lt;=LedTo,OR(I782=LedAcct,K782=LedAcct,AND(LedAcct=acctTax,M782+N782&lt;&gt;0))),E782*10000+B782,""),"")</f>
        <v/>
      </c>
    </row>
    <row r="783">
      <c r="B783" s="101" t="n">
        <v>777</v>
      </c>
      <c r="C783" s="58" t="inlineStr">
        <is>
          <t>Transaction</t>
        </is>
      </c>
      <c r="D783" s="58">
        <f>IF(H783=1,INDEX(tx_ID,777)&amp;"","")</f>
        <v/>
      </c>
      <c r="E783" s="94">
        <f>IF(H783=1,INDEX(tx_Date,777),"")</f>
        <v/>
      </c>
      <c r="F783" s="58">
        <f>IF(H783=1,INDEX(tx_Desc,777)&amp;"","")</f>
        <v/>
      </c>
      <c r="G783" s="58">
        <f>IF(H783=1,IF(INDEX(tx_Cust,777)&amp;""&lt;&gt;"",INDEX(tx_Cust,777)&amp;"",INDEX(tx_Vend,777)&amp;""),"")</f>
        <v/>
      </c>
      <c r="H783" s="101">
        <f>IFERROR(N(INDEX(tx_Posted,777)),0)</f>
        <v/>
      </c>
      <c r="I783" s="58">
        <f>IF(H783=1,INDEX(tx_DrAcct,777)&amp;"","")</f>
        <v/>
      </c>
      <c r="J783" s="95">
        <f>IF(H783=1,INDEX(tx_DrAmt,777),0)</f>
        <v/>
      </c>
      <c r="K783" s="58">
        <f>IF(H783=1,INDEX(tx_CrAcct,777)&amp;"","")</f>
        <v/>
      </c>
      <c r="L783" s="95">
        <f>IF(H783=1,INDEX(tx_CrAmt,777),0)</f>
        <v/>
      </c>
      <c r="M783" s="95">
        <f>IF(H783=1,INDEX(tx_TaxDr,777),0)</f>
        <v/>
      </c>
      <c r="N783" s="95">
        <f>IF(H783=1,INDEX(tx_TaxCr,777),0)</f>
        <v/>
      </c>
      <c r="O783" s="101">
        <f>IF(H783=1,IF(E783&lt;FYStart,0,IF(E783&gt;FYEnd,13,YEAR(E783)*12+MONTH(E783)-FYYM+1)),"")</f>
        <v/>
      </c>
      <c r="P783" s="101">
        <f>IF(H783=1,IF(IFERROR(INDEX(coa_CF,MATCH(I783,coa_Name,0)),"")="Cash",1,0),0)</f>
        <v/>
      </c>
      <c r="Q783" s="101">
        <f>IF(H783=1,IF(IFERROR(INDEX(coa_CF,MATCH(K783,coa_Name,0)),"")="Cash",1,0),0)</f>
        <v/>
      </c>
      <c r="R783" s="58">
        <f>IF((P783-Q783)=0,"",IFERROR(INDEX(coa_CF,MATCH(IF((P783-Q783)=1,K783,I783),coa_Name,0)),"Operating"))</f>
        <v/>
      </c>
      <c r="S783" s="95">
        <f>IF((P783-Q783)=1,L783,IF((P783-Q783)=-1,-J783,0))</f>
        <v/>
      </c>
      <c r="T783" s="95">
        <f>IF((P783-Q783)=1,N783,IF((P783-Q783)=-1,-M783,0))</f>
        <v/>
      </c>
      <c r="U783" s="101">
        <f>IF(AND(H783=1,LedAcct&lt;&gt;""),IF(AND(E783&gt;=LedFrom,E783&lt;=LedTo,OR(I783=LedAcct,K783=LedAcct,AND(LedAcct=acctTax,M783+N783&lt;&gt;0))),E783*10000+B783,""),"")</f>
        <v/>
      </c>
    </row>
    <row r="784">
      <c r="B784" s="101" t="n">
        <v>778</v>
      </c>
      <c r="C784" s="58" t="inlineStr">
        <is>
          <t>Transaction</t>
        </is>
      </c>
      <c r="D784" s="58">
        <f>IF(H784=1,INDEX(tx_ID,778)&amp;"","")</f>
        <v/>
      </c>
      <c r="E784" s="94">
        <f>IF(H784=1,INDEX(tx_Date,778),"")</f>
        <v/>
      </c>
      <c r="F784" s="58">
        <f>IF(H784=1,INDEX(tx_Desc,778)&amp;"","")</f>
        <v/>
      </c>
      <c r="G784" s="58">
        <f>IF(H784=1,IF(INDEX(tx_Cust,778)&amp;""&lt;&gt;"",INDEX(tx_Cust,778)&amp;"",INDEX(tx_Vend,778)&amp;""),"")</f>
        <v/>
      </c>
      <c r="H784" s="101">
        <f>IFERROR(N(INDEX(tx_Posted,778)),0)</f>
        <v/>
      </c>
      <c r="I784" s="58">
        <f>IF(H784=1,INDEX(tx_DrAcct,778)&amp;"","")</f>
        <v/>
      </c>
      <c r="J784" s="95">
        <f>IF(H784=1,INDEX(tx_DrAmt,778),0)</f>
        <v/>
      </c>
      <c r="K784" s="58">
        <f>IF(H784=1,INDEX(tx_CrAcct,778)&amp;"","")</f>
        <v/>
      </c>
      <c r="L784" s="95">
        <f>IF(H784=1,INDEX(tx_CrAmt,778),0)</f>
        <v/>
      </c>
      <c r="M784" s="95">
        <f>IF(H784=1,INDEX(tx_TaxDr,778),0)</f>
        <v/>
      </c>
      <c r="N784" s="95">
        <f>IF(H784=1,INDEX(tx_TaxCr,778),0)</f>
        <v/>
      </c>
      <c r="O784" s="101">
        <f>IF(H784=1,IF(E784&lt;FYStart,0,IF(E784&gt;FYEnd,13,YEAR(E784)*12+MONTH(E784)-FYYM+1)),"")</f>
        <v/>
      </c>
      <c r="P784" s="101">
        <f>IF(H784=1,IF(IFERROR(INDEX(coa_CF,MATCH(I784,coa_Name,0)),"")="Cash",1,0),0)</f>
        <v/>
      </c>
      <c r="Q784" s="101">
        <f>IF(H784=1,IF(IFERROR(INDEX(coa_CF,MATCH(K784,coa_Name,0)),"")="Cash",1,0),0)</f>
        <v/>
      </c>
      <c r="R784" s="58">
        <f>IF((P784-Q784)=0,"",IFERROR(INDEX(coa_CF,MATCH(IF((P784-Q784)=1,K784,I784),coa_Name,0)),"Operating"))</f>
        <v/>
      </c>
      <c r="S784" s="95">
        <f>IF((P784-Q784)=1,L784,IF((P784-Q784)=-1,-J784,0))</f>
        <v/>
      </c>
      <c r="T784" s="95">
        <f>IF((P784-Q784)=1,N784,IF((P784-Q784)=-1,-M784,0))</f>
        <v/>
      </c>
      <c r="U784" s="101">
        <f>IF(AND(H784=1,LedAcct&lt;&gt;""),IF(AND(E784&gt;=LedFrom,E784&lt;=LedTo,OR(I784=LedAcct,K784=LedAcct,AND(LedAcct=acctTax,M784+N784&lt;&gt;0))),E784*10000+B784,""),"")</f>
        <v/>
      </c>
    </row>
    <row r="785">
      <c r="B785" s="101" t="n">
        <v>779</v>
      </c>
      <c r="C785" s="58" t="inlineStr">
        <is>
          <t>Transaction</t>
        </is>
      </c>
      <c r="D785" s="58">
        <f>IF(H785=1,INDEX(tx_ID,779)&amp;"","")</f>
        <v/>
      </c>
      <c r="E785" s="94">
        <f>IF(H785=1,INDEX(tx_Date,779),"")</f>
        <v/>
      </c>
      <c r="F785" s="58">
        <f>IF(H785=1,INDEX(tx_Desc,779)&amp;"","")</f>
        <v/>
      </c>
      <c r="G785" s="58">
        <f>IF(H785=1,IF(INDEX(tx_Cust,779)&amp;""&lt;&gt;"",INDEX(tx_Cust,779)&amp;"",INDEX(tx_Vend,779)&amp;""),"")</f>
        <v/>
      </c>
      <c r="H785" s="101">
        <f>IFERROR(N(INDEX(tx_Posted,779)),0)</f>
        <v/>
      </c>
      <c r="I785" s="58">
        <f>IF(H785=1,INDEX(tx_DrAcct,779)&amp;"","")</f>
        <v/>
      </c>
      <c r="J785" s="95">
        <f>IF(H785=1,INDEX(tx_DrAmt,779),0)</f>
        <v/>
      </c>
      <c r="K785" s="58">
        <f>IF(H785=1,INDEX(tx_CrAcct,779)&amp;"","")</f>
        <v/>
      </c>
      <c r="L785" s="95">
        <f>IF(H785=1,INDEX(tx_CrAmt,779),0)</f>
        <v/>
      </c>
      <c r="M785" s="95">
        <f>IF(H785=1,INDEX(tx_TaxDr,779),0)</f>
        <v/>
      </c>
      <c r="N785" s="95">
        <f>IF(H785=1,INDEX(tx_TaxCr,779),0)</f>
        <v/>
      </c>
      <c r="O785" s="101">
        <f>IF(H785=1,IF(E785&lt;FYStart,0,IF(E785&gt;FYEnd,13,YEAR(E785)*12+MONTH(E785)-FYYM+1)),"")</f>
        <v/>
      </c>
      <c r="P785" s="101">
        <f>IF(H785=1,IF(IFERROR(INDEX(coa_CF,MATCH(I785,coa_Name,0)),"")="Cash",1,0),0)</f>
        <v/>
      </c>
      <c r="Q785" s="101">
        <f>IF(H785=1,IF(IFERROR(INDEX(coa_CF,MATCH(K785,coa_Name,0)),"")="Cash",1,0),0)</f>
        <v/>
      </c>
      <c r="R785" s="58">
        <f>IF((P785-Q785)=0,"",IFERROR(INDEX(coa_CF,MATCH(IF((P785-Q785)=1,K785,I785),coa_Name,0)),"Operating"))</f>
        <v/>
      </c>
      <c r="S785" s="95">
        <f>IF((P785-Q785)=1,L785,IF((P785-Q785)=-1,-J785,0))</f>
        <v/>
      </c>
      <c r="T785" s="95">
        <f>IF((P785-Q785)=1,N785,IF((P785-Q785)=-1,-M785,0))</f>
        <v/>
      </c>
      <c r="U785" s="101">
        <f>IF(AND(H785=1,LedAcct&lt;&gt;""),IF(AND(E785&gt;=LedFrom,E785&lt;=LedTo,OR(I785=LedAcct,K785=LedAcct,AND(LedAcct=acctTax,M785+N785&lt;&gt;0))),E785*10000+B785,""),"")</f>
        <v/>
      </c>
    </row>
    <row r="786">
      <c r="B786" s="101" t="n">
        <v>780</v>
      </c>
      <c r="C786" s="58" t="inlineStr">
        <is>
          <t>Transaction</t>
        </is>
      </c>
      <c r="D786" s="58">
        <f>IF(H786=1,INDEX(tx_ID,780)&amp;"","")</f>
        <v/>
      </c>
      <c r="E786" s="94">
        <f>IF(H786=1,INDEX(tx_Date,780),"")</f>
        <v/>
      </c>
      <c r="F786" s="58">
        <f>IF(H786=1,INDEX(tx_Desc,780)&amp;"","")</f>
        <v/>
      </c>
      <c r="G786" s="58">
        <f>IF(H786=1,IF(INDEX(tx_Cust,780)&amp;""&lt;&gt;"",INDEX(tx_Cust,780)&amp;"",INDEX(tx_Vend,780)&amp;""),"")</f>
        <v/>
      </c>
      <c r="H786" s="101">
        <f>IFERROR(N(INDEX(tx_Posted,780)),0)</f>
        <v/>
      </c>
      <c r="I786" s="58">
        <f>IF(H786=1,INDEX(tx_DrAcct,780)&amp;"","")</f>
        <v/>
      </c>
      <c r="J786" s="95">
        <f>IF(H786=1,INDEX(tx_DrAmt,780),0)</f>
        <v/>
      </c>
      <c r="K786" s="58">
        <f>IF(H786=1,INDEX(tx_CrAcct,780)&amp;"","")</f>
        <v/>
      </c>
      <c r="L786" s="95">
        <f>IF(H786=1,INDEX(tx_CrAmt,780),0)</f>
        <v/>
      </c>
      <c r="M786" s="95">
        <f>IF(H786=1,INDEX(tx_TaxDr,780),0)</f>
        <v/>
      </c>
      <c r="N786" s="95">
        <f>IF(H786=1,INDEX(tx_TaxCr,780),0)</f>
        <v/>
      </c>
      <c r="O786" s="101">
        <f>IF(H786=1,IF(E786&lt;FYStart,0,IF(E786&gt;FYEnd,13,YEAR(E786)*12+MONTH(E786)-FYYM+1)),"")</f>
        <v/>
      </c>
      <c r="P786" s="101">
        <f>IF(H786=1,IF(IFERROR(INDEX(coa_CF,MATCH(I786,coa_Name,0)),"")="Cash",1,0),0)</f>
        <v/>
      </c>
      <c r="Q786" s="101">
        <f>IF(H786=1,IF(IFERROR(INDEX(coa_CF,MATCH(K786,coa_Name,0)),"")="Cash",1,0),0)</f>
        <v/>
      </c>
      <c r="R786" s="58">
        <f>IF((P786-Q786)=0,"",IFERROR(INDEX(coa_CF,MATCH(IF((P786-Q786)=1,K786,I786),coa_Name,0)),"Operating"))</f>
        <v/>
      </c>
      <c r="S786" s="95">
        <f>IF((P786-Q786)=1,L786,IF((P786-Q786)=-1,-J786,0))</f>
        <v/>
      </c>
      <c r="T786" s="95">
        <f>IF((P786-Q786)=1,N786,IF((P786-Q786)=-1,-M786,0))</f>
        <v/>
      </c>
      <c r="U786" s="101">
        <f>IF(AND(H786=1,LedAcct&lt;&gt;""),IF(AND(E786&gt;=LedFrom,E786&lt;=LedTo,OR(I786=LedAcct,K786=LedAcct,AND(LedAcct=acctTax,M786+N786&lt;&gt;0))),E786*10000+B786,""),"")</f>
        <v/>
      </c>
    </row>
    <row r="787">
      <c r="B787" s="101" t="n">
        <v>781</v>
      </c>
      <c r="C787" s="58" t="inlineStr">
        <is>
          <t>Transaction</t>
        </is>
      </c>
      <c r="D787" s="58">
        <f>IF(H787=1,INDEX(tx_ID,781)&amp;"","")</f>
        <v/>
      </c>
      <c r="E787" s="94">
        <f>IF(H787=1,INDEX(tx_Date,781),"")</f>
        <v/>
      </c>
      <c r="F787" s="58">
        <f>IF(H787=1,INDEX(tx_Desc,781)&amp;"","")</f>
        <v/>
      </c>
      <c r="G787" s="58">
        <f>IF(H787=1,IF(INDEX(tx_Cust,781)&amp;""&lt;&gt;"",INDEX(tx_Cust,781)&amp;"",INDEX(tx_Vend,781)&amp;""),"")</f>
        <v/>
      </c>
      <c r="H787" s="101">
        <f>IFERROR(N(INDEX(tx_Posted,781)),0)</f>
        <v/>
      </c>
      <c r="I787" s="58">
        <f>IF(H787=1,INDEX(tx_DrAcct,781)&amp;"","")</f>
        <v/>
      </c>
      <c r="J787" s="95">
        <f>IF(H787=1,INDEX(tx_DrAmt,781),0)</f>
        <v/>
      </c>
      <c r="K787" s="58">
        <f>IF(H787=1,INDEX(tx_CrAcct,781)&amp;"","")</f>
        <v/>
      </c>
      <c r="L787" s="95">
        <f>IF(H787=1,INDEX(tx_CrAmt,781),0)</f>
        <v/>
      </c>
      <c r="M787" s="95">
        <f>IF(H787=1,INDEX(tx_TaxDr,781),0)</f>
        <v/>
      </c>
      <c r="N787" s="95">
        <f>IF(H787=1,INDEX(tx_TaxCr,781),0)</f>
        <v/>
      </c>
      <c r="O787" s="101">
        <f>IF(H787=1,IF(E787&lt;FYStart,0,IF(E787&gt;FYEnd,13,YEAR(E787)*12+MONTH(E787)-FYYM+1)),"")</f>
        <v/>
      </c>
      <c r="P787" s="101">
        <f>IF(H787=1,IF(IFERROR(INDEX(coa_CF,MATCH(I787,coa_Name,0)),"")="Cash",1,0),0)</f>
        <v/>
      </c>
      <c r="Q787" s="101">
        <f>IF(H787=1,IF(IFERROR(INDEX(coa_CF,MATCH(K787,coa_Name,0)),"")="Cash",1,0),0)</f>
        <v/>
      </c>
      <c r="R787" s="58">
        <f>IF((P787-Q787)=0,"",IFERROR(INDEX(coa_CF,MATCH(IF((P787-Q787)=1,K787,I787),coa_Name,0)),"Operating"))</f>
        <v/>
      </c>
      <c r="S787" s="95">
        <f>IF((P787-Q787)=1,L787,IF((P787-Q787)=-1,-J787,0))</f>
        <v/>
      </c>
      <c r="T787" s="95">
        <f>IF((P787-Q787)=1,N787,IF((P787-Q787)=-1,-M787,0))</f>
        <v/>
      </c>
      <c r="U787" s="101">
        <f>IF(AND(H787=1,LedAcct&lt;&gt;""),IF(AND(E787&gt;=LedFrom,E787&lt;=LedTo,OR(I787=LedAcct,K787=LedAcct,AND(LedAcct=acctTax,M787+N787&lt;&gt;0))),E787*10000+B787,""),"")</f>
        <v/>
      </c>
    </row>
    <row r="788">
      <c r="B788" s="101" t="n">
        <v>782</v>
      </c>
      <c r="C788" s="58" t="inlineStr">
        <is>
          <t>Transaction</t>
        </is>
      </c>
      <c r="D788" s="58">
        <f>IF(H788=1,INDEX(tx_ID,782)&amp;"","")</f>
        <v/>
      </c>
      <c r="E788" s="94">
        <f>IF(H788=1,INDEX(tx_Date,782),"")</f>
        <v/>
      </c>
      <c r="F788" s="58">
        <f>IF(H788=1,INDEX(tx_Desc,782)&amp;"","")</f>
        <v/>
      </c>
      <c r="G788" s="58">
        <f>IF(H788=1,IF(INDEX(tx_Cust,782)&amp;""&lt;&gt;"",INDEX(tx_Cust,782)&amp;"",INDEX(tx_Vend,782)&amp;""),"")</f>
        <v/>
      </c>
      <c r="H788" s="101">
        <f>IFERROR(N(INDEX(tx_Posted,782)),0)</f>
        <v/>
      </c>
      <c r="I788" s="58">
        <f>IF(H788=1,INDEX(tx_DrAcct,782)&amp;"","")</f>
        <v/>
      </c>
      <c r="J788" s="95">
        <f>IF(H788=1,INDEX(tx_DrAmt,782),0)</f>
        <v/>
      </c>
      <c r="K788" s="58">
        <f>IF(H788=1,INDEX(tx_CrAcct,782)&amp;"","")</f>
        <v/>
      </c>
      <c r="L788" s="95">
        <f>IF(H788=1,INDEX(tx_CrAmt,782),0)</f>
        <v/>
      </c>
      <c r="M788" s="95">
        <f>IF(H788=1,INDEX(tx_TaxDr,782),0)</f>
        <v/>
      </c>
      <c r="N788" s="95">
        <f>IF(H788=1,INDEX(tx_TaxCr,782),0)</f>
        <v/>
      </c>
      <c r="O788" s="101">
        <f>IF(H788=1,IF(E788&lt;FYStart,0,IF(E788&gt;FYEnd,13,YEAR(E788)*12+MONTH(E788)-FYYM+1)),"")</f>
        <v/>
      </c>
      <c r="P788" s="101">
        <f>IF(H788=1,IF(IFERROR(INDEX(coa_CF,MATCH(I788,coa_Name,0)),"")="Cash",1,0),0)</f>
        <v/>
      </c>
      <c r="Q788" s="101">
        <f>IF(H788=1,IF(IFERROR(INDEX(coa_CF,MATCH(K788,coa_Name,0)),"")="Cash",1,0),0)</f>
        <v/>
      </c>
      <c r="R788" s="58">
        <f>IF((P788-Q788)=0,"",IFERROR(INDEX(coa_CF,MATCH(IF((P788-Q788)=1,K788,I788),coa_Name,0)),"Operating"))</f>
        <v/>
      </c>
      <c r="S788" s="95">
        <f>IF((P788-Q788)=1,L788,IF((P788-Q788)=-1,-J788,0))</f>
        <v/>
      </c>
      <c r="T788" s="95">
        <f>IF((P788-Q788)=1,N788,IF((P788-Q788)=-1,-M788,0))</f>
        <v/>
      </c>
      <c r="U788" s="101">
        <f>IF(AND(H788=1,LedAcct&lt;&gt;""),IF(AND(E788&gt;=LedFrom,E788&lt;=LedTo,OR(I788=LedAcct,K788=LedAcct,AND(LedAcct=acctTax,M788+N788&lt;&gt;0))),E788*10000+B788,""),"")</f>
        <v/>
      </c>
    </row>
    <row r="789">
      <c r="B789" s="101" t="n">
        <v>783</v>
      </c>
      <c r="C789" s="58" t="inlineStr">
        <is>
          <t>Transaction</t>
        </is>
      </c>
      <c r="D789" s="58">
        <f>IF(H789=1,INDEX(tx_ID,783)&amp;"","")</f>
        <v/>
      </c>
      <c r="E789" s="94">
        <f>IF(H789=1,INDEX(tx_Date,783),"")</f>
        <v/>
      </c>
      <c r="F789" s="58">
        <f>IF(H789=1,INDEX(tx_Desc,783)&amp;"","")</f>
        <v/>
      </c>
      <c r="G789" s="58">
        <f>IF(H789=1,IF(INDEX(tx_Cust,783)&amp;""&lt;&gt;"",INDEX(tx_Cust,783)&amp;"",INDEX(tx_Vend,783)&amp;""),"")</f>
        <v/>
      </c>
      <c r="H789" s="101">
        <f>IFERROR(N(INDEX(tx_Posted,783)),0)</f>
        <v/>
      </c>
      <c r="I789" s="58">
        <f>IF(H789=1,INDEX(tx_DrAcct,783)&amp;"","")</f>
        <v/>
      </c>
      <c r="J789" s="95">
        <f>IF(H789=1,INDEX(tx_DrAmt,783),0)</f>
        <v/>
      </c>
      <c r="K789" s="58">
        <f>IF(H789=1,INDEX(tx_CrAcct,783)&amp;"","")</f>
        <v/>
      </c>
      <c r="L789" s="95">
        <f>IF(H789=1,INDEX(tx_CrAmt,783),0)</f>
        <v/>
      </c>
      <c r="M789" s="95">
        <f>IF(H789=1,INDEX(tx_TaxDr,783),0)</f>
        <v/>
      </c>
      <c r="N789" s="95">
        <f>IF(H789=1,INDEX(tx_TaxCr,783),0)</f>
        <v/>
      </c>
      <c r="O789" s="101">
        <f>IF(H789=1,IF(E789&lt;FYStart,0,IF(E789&gt;FYEnd,13,YEAR(E789)*12+MONTH(E789)-FYYM+1)),"")</f>
        <v/>
      </c>
      <c r="P789" s="101">
        <f>IF(H789=1,IF(IFERROR(INDEX(coa_CF,MATCH(I789,coa_Name,0)),"")="Cash",1,0),0)</f>
        <v/>
      </c>
      <c r="Q789" s="101">
        <f>IF(H789=1,IF(IFERROR(INDEX(coa_CF,MATCH(K789,coa_Name,0)),"")="Cash",1,0),0)</f>
        <v/>
      </c>
      <c r="R789" s="58">
        <f>IF((P789-Q789)=0,"",IFERROR(INDEX(coa_CF,MATCH(IF((P789-Q789)=1,K789,I789),coa_Name,0)),"Operating"))</f>
        <v/>
      </c>
      <c r="S789" s="95">
        <f>IF((P789-Q789)=1,L789,IF((P789-Q789)=-1,-J789,0))</f>
        <v/>
      </c>
      <c r="T789" s="95">
        <f>IF((P789-Q789)=1,N789,IF((P789-Q789)=-1,-M789,0))</f>
        <v/>
      </c>
      <c r="U789" s="101">
        <f>IF(AND(H789=1,LedAcct&lt;&gt;""),IF(AND(E789&gt;=LedFrom,E789&lt;=LedTo,OR(I789=LedAcct,K789=LedAcct,AND(LedAcct=acctTax,M789+N789&lt;&gt;0))),E789*10000+B789,""),"")</f>
        <v/>
      </c>
    </row>
    <row r="790">
      <c r="B790" s="101" t="n">
        <v>784</v>
      </c>
      <c r="C790" s="58" t="inlineStr">
        <is>
          <t>Transaction</t>
        </is>
      </c>
      <c r="D790" s="58">
        <f>IF(H790=1,INDEX(tx_ID,784)&amp;"","")</f>
        <v/>
      </c>
      <c r="E790" s="94">
        <f>IF(H790=1,INDEX(tx_Date,784),"")</f>
        <v/>
      </c>
      <c r="F790" s="58">
        <f>IF(H790=1,INDEX(tx_Desc,784)&amp;"","")</f>
        <v/>
      </c>
      <c r="G790" s="58">
        <f>IF(H790=1,IF(INDEX(tx_Cust,784)&amp;""&lt;&gt;"",INDEX(tx_Cust,784)&amp;"",INDEX(tx_Vend,784)&amp;""),"")</f>
        <v/>
      </c>
      <c r="H790" s="101">
        <f>IFERROR(N(INDEX(tx_Posted,784)),0)</f>
        <v/>
      </c>
      <c r="I790" s="58">
        <f>IF(H790=1,INDEX(tx_DrAcct,784)&amp;"","")</f>
        <v/>
      </c>
      <c r="J790" s="95">
        <f>IF(H790=1,INDEX(tx_DrAmt,784),0)</f>
        <v/>
      </c>
      <c r="K790" s="58">
        <f>IF(H790=1,INDEX(tx_CrAcct,784)&amp;"","")</f>
        <v/>
      </c>
      <c r="L790" s="95">
        <f>IF(H790=1,INDEX(tx_CrAmt,784),0)</f>
        <v/>
      </c>
      <c r="M790" s="95">
        <f>IF(H790=1,INDEX(tx_TaxDr,784),0)</f>
        <v/>
      </c>
      <c r="N790" s="95">
        <f>IF(H790=1,INDEX(tx_TaxCr,784),0)</f>
        <v/>
      </c>
      <c r="O790" s="101">
        <f>IF(H790=1,IF(E790&lt;FYStart,0,IF(E790&gt;FYEnd,13,YEAR(E790)*12+MONTH(E790)-FYYM+1)),"")</f>
        <v/>
      </c>
      <c r="P790" s="101">
        <f>IF(H790=1,IF(IFERROR(INDEX(coa_CF,MATCH(I790,coa_Name,0)),"")="Cash",1,0),0)</f>
        <v/>
      </c>
      <c r="Q790" s="101">
        <f>IF(H790=1,IF(IFERROR(INDEX(coa_CF,MATCH(K790,coa_Name,0)),"")="Cash",1,0),0)</f>
        <v/>
      </c>
      <c r="R790" s="58">
        <f>IF((P790-Q790)=0,"",IFERROR(INDEX(coa_CF,MATCH(IF((P790-Q790)=1,K790,I790),coa_Name,0)),"Operating"))</f>
        <v/>
      </c>
      <c r="S790" s="95">
        <f>IF((P790-Q790)=1,L790,IF((P790-Q790)=-1,-J790,0))</f>
        <v/>
      </c>
      <c r="T790" s="95">
        <f>IF((P790-Q790)=1,N790,IF((P790-Q790)=-1,-M790,0))</f>
        <v/>
      </c>
      <c r="U790" s="101">
        <f>IF(AND(H790=1,LedAcct&lt;&gt;""),IF(AND(E790&gt;=LedFrom,E790&lt;=LedTo,OR(I790=LedAcct,K790=LedAcct,AND(LedAcct=acctTax,M790+N790&lt;&gt;0))),E790*10000+B790,""),"")</f>
        <v/>
      </c>
    </row>
    <row r="791">
      <c r="B791" s="101" t="n">
        <v>785</v>
      </c>
      <c r="C791" s="58" t="inlineStr">
        <is>
          <t>Transaction</t>
        </is>
      </c>
      <c r="D791" s="58">
        <f>IF(H791=1,INDEX(tx_ID,785)&amp;"","")</f>
        <v/>
      </c>
      <c r="E791" s="94">
        <f>IF(H791=1,INDEX(tx_Date,785),"")</f>
        <v/>
      </c>
      <c r="F791" s="58">
        <f>IF(H791=1,INDEX(tx_Desc,785)&amp;"","")</f>
        <v/>
      </c>
      <c r="G791" s="58">
        <f>IF(H791=1,IF(INDEX(tx_Cust,785)&amp;""&lt;&gt;"",INDEX(tx_Cust,785)&amp;"",INDEX(tx_Vend,785)&amp;""),"")</f>
        <v/>
      </c>
      <c r="H791" s="101">
        <f>IFERROR(N(INDEX(tx_Posted,785)),0)</f>
        <v/>
      </c>
      <c r="I791" s="58">
        <f>IF(H791=1,INDEX(tx_DrAcct,785)&amp;"","")</f>
        <v/>
      </c>
      <c r="J791" s="95">
        <f>IF(H791=1,INDEX(tx_DrAmt,785),0)</f>
        <v/>
      </c>
      <c r="K791" s="58">
        <f>IF(H791=1,INDEX(tx_CrAcct,785)&amp;"","")</f>
        <v/>
      </c>
      <c r="L791" s="95">
        <f>IF(H791=1,INDEX(tx_CrAmt,785),0)</f>
        <v/>
      </c>
      <c r="M791" s="95">
        <f>IF(H791=1,INDEX(tx_TaxDr,785),0)</f>
        <v/>
      </c>
      <c r="N791" s="95">
        <f>IF(H791=1,INDEX(tx_TaxCr,785),0)</f>
        <v/>
      </c>
      <c r="O791" s="101">
        <f>IF(H791=1,IF(E791&lt;FYStart,0,IF(E791&gt;FYEnd,13,YEAR(E791)*12+MONTH(E791)-FYYM+1)),"")</f>
        <v/>
      </c>
      <c r="P791" s="101">
        <f>IF(H791=1,IF(IFERROR(INDEX(coa_CF,MATCH(I791,coa_Name,0)),"")="Cash",1,0),0)</f>
        <v/>
      </c>
      <c r="Q791" s="101">
        <f>IF(H791=1,IF(IFERROR(INDEX(coa_CF,MATCH(K791,coa_Name,0)),"")="Cash",1,0),0)</f>
        <v/>
      </c>
      <c r="R791" s="58">
        <f>IF((P791-Q791)=0,"",IFERROR(INDEX(coa_CF,MATCH(IF((P791-Q791)=1,K791,I791),coa_Name,0)),"Operating"))</f>
        <v/>
      </c>
      <c r="S791" s="95">
        <f>IF((P791-Q791)=1,L791,IF((P791-Q791)=-1,-J791,0))</f>
        <v/>
      </c>
      <c r="T791" s="95">
        <f>IF((P791-Q791)=1,N791,IF((P791-Q791)=-1,-M791,0))</f>
        <v/>
      </c>
      <c r="U791" s="101">
        <f>IF(AND(H791=1,LedAcct&lt;&gt;""),IF(AND(E791&gt;=LedFrom,E791&lt;=LedTo,OR(I791=LedAcct,K791=LedAcct,AND(LedAcct=acctTax,M791+N791&lt;&gt;0))),E791*10000+B791,""),"")</f>
        <v/>
      </c>
    </row>
    <row r="792">
      <c r="B792" s="101" t="n">
        <v>786</v>
      </c>
      <c r="C792" s="58" t="inlineStr">
        <is>
          <t>Transaction</t>
        </is>
      </c>
      <c r="D792" s="58">
        <f>IF(H792=1,INDEX(tx_ID,786)&amp;"","")</f>
        <v/>
      </c>
      <c r="E792" s="94">
        <f>IF(H792=1,INDEX(tx_Date,786),"")</f>
        <v/>
      </c>
      <c r="F792" s="58">
        <f>IF(H792=1,INDEX(tx_Desc,786)&amp;"","")</f>
        <v/>
      </c>
      <c r="G792" s="58">
        <f>IF(H792=1,IF(INDEX(tx_Cust,786)&amp;""&lt;&gt;"",INDEX(tx_Cust,786)&amp;"",INDEX(tx_Vend,786)&amp;""),"")</f>
        <v/>
      </c>
      <c r="H792" s="101">
        <f>IFERROR(N(INDEX(tx_Posted,786)),0)</f>
        <v/>
      </c>
      <c r="I792" s="58">
        <f>IF(H792=1,INDEX(tx_DrAcct,786)&amp;"","")</f>
        <v/>
      </c>
      <c r="J792" s="95">
        <f>IF(H792=1,INDEX(tx_DrAmt,786),0)</f>
        <v/>
      </c>
      <c r="K792" s="58">
        <f>IF(H792=1,INDEX(tx_CrAcct,786)&amp;"","")</f>
        <v/>
      </c>
      <c r="L792" s="95">
        <f>IF(H792=1,INDEX(tx_CrAmt,786),0)</f>
        <v/>
      </c>
      <c r="M792" s="95">
        <f>IF(H792=1,INDEX(tx_TaxDr,786),0)</f>
        <v/>
      </c>
      <c r="N792" s="95">
        <f>IF(H792=1,INDEX(tx_TaxCr,786),0)</f>
        <v/>
      </c>
      <c r="O792" s="101">
        <f>IF(H792=1,IF(E792&lt;FYStart,0,IF(E792&gt;FYEnd,13,YEAR(E792)*12+MONTH(E792)-FYYM+1)),"")</f>
        <v/>
      </c>
      <c r="P792" s="101">
        <f>IF(H792=1,IF(IFERROR(INDEX(coa_CF,MATCH(I792,coa_Name,0)),"")="Cash",1,0),0)</f>
        <v/>
      </c>
      <c r="Q792" s="101">
        <f>IF(H792=1,IF(IFERROR(INDEX(coa_CF,MATCH(K792,coa_Name,0)),"")="Cash",1,0),0)</f>
        <v/>
      </c>
      <c r="R792" s="58">
        <f>IF((P792-Q792)=0,"",IFERROR(INDEX(coa_CF,MATCH(IF((P792-Q792)=1,K792,I792),coa_Name,0)),"Operating"))</f>
        <v/>
      </c>
      <c r="S792" s="95">
        <f>IF((P792-Q792)=1,L792,IF((P792-Q792)=-1,-J792,0))</f>
        <v/>
      </c>
      <c r="T792" s="95">
        <f>IF((P792-Q792)=1,N792,IF((P792-Q792)=-1,-M792,0))</f>
        <v/>
      </c>
      <c r="U792" s="101">
        <f>IF(AND(H792=1,LedAcct&lt;&gt;""),IF(AND(E792&gt;=LedFrom,E792&lt;=LedTo,OR(I792=LedAcct,K792=LedAcct,AND(LedAcct=acctTax,M792+N792&lt;&gt;0))),E792*10000+B792,""),"")</f>
        <v/>
      </c>
    </row>
    <row r="793">
      <c r="B793" s="101" t="n">
        <v>787</v>
      </c>
      <c r="C793" s="58" t="inlineStr">
        <is>
          <t>Transaction</t>
        </is>
      </c>
      <c r="D793" s="58">
        <f>IF(H793=1,INDEX(tx_ID,787)&amp;"","")</f>
        <v/>
      </c>
      <c r="E793" s="94">
        <f>IF(H793=1,INDEX(tx_Date,787),"")</f>
        <v/>
      </c>
      <c r="F793" s="58">
        <f>IF(H793=1,INDEX(tx_Desc,787)&amp;"","")</f>
        <v/>
      </c>
      <c r="G793" s="58">
        <f>IF(H793=1,IF(INDEX(tx_Cust,787)&amp;""&lt;&gt;"",INDEX(tx_Cust,787)&amp;"",INDEX(tx_Vend,787)&amp;""),"")</f>
        <v/>
      </c>
      <c r="H793" s="101">
        <f>IFERROR(N(INDEX(tx_Posted,787)),0)</f>
        <v/>
      </c>
      <c r="I793" s="58">
        <f>IF(H793=1,INDEX(tx_DrAcct,787)&amp;"","")</f>
        <v/>
      </c>
      <c r="J793" s="95">
        <f>IF(H793=1,INDEX(tx_DrAmt,787),0)</f>
        <v/>
      </c>
      <c r="K793" s="58">
        <f>IF(H793=1,INDEX(tx_CrAcct,787)&amp;"","")</f>
        <v/>
      </c>
      <c r="L793" s="95">
        <f>IF(H793=1,INDEX(tx_CrAmt,787),0)</f>
        <v/>
      </c>
      <c r="M793" s="95">
        <f>IF(H793=1,INDEX(tx_TaxDr,787),0)</f>
        <v/>
      </c>
      <c r="N793" s="95">
        <f>IF(H793=1,INDEX(tx_TaxCr,787),0)</f>
        <v/>
      </c>
      <c r="O793" s="101">
        <f>IF(H793=1,IF(E793&lt;FYStart,0,IF(E793&gt;FYEnd,13,YEAR(E793)*12+MONTH(E793)-FYYM+1)),"")</f>
        <v/>
      </c>
      <c r="P793" s="101">
        <f>IF(H793=1,IF(IFERROR(INDEX(coa_CF,MATCH(I793,coa_Name,0)),"")="Cash",1,0),0)</f>
        <v/>
      </c>
      <c r="Q793" s="101">
        <f>IF(H793=1,IF(IFERROR(INDEX(coa_CF,MATCH(K793,coa_Name,0)),"")="Cash",1,0),0)</f>
        <v/>
      </c>
      <c r="R793" s="58">
        <f>IF((P793-Q793)=0,"",IFERROR(INDEX(coa_CF,MATCH(IF((P793-Q793)=1,K793,I793),coa_Name,0)),"Operating"))</f>
        <v/>
      </c>
      <c r="S793" s="95">
        <f>IF((P793-Q793)=1,L793,IF((P793-Q793)=-1,-J793,0))</f>
        <v/>
      </c>
      <c r="T793" s="95">
        <f>IF((P793-Q793)=1,N793,IF((P793-Q793)=-1,-M793,0))</f>
        <v/>
      </c>
      <c r="U793" s="101">
        <f>IF(AND(H793=1,LedAcct&lt;&gt;""),IF(AND(E793&gt;=LedFrom,E793&lt;=LedTo,OR(I793=LedAcct,K793=LedAcct,AND(LedAcct=acctTax,M793+N793&lt;&gt;0))),E793*10000+B793,""),"")</f>
        <v/>
      </c>
    </row>
    <row r="794">
      <c r="B794" s="101" t="n">
        <v>788</v>
      </c>
      <c r="C794" s="58" t="inlineStr">
        <is>
          <t>Transaction</t>
        </is>
      </c>
      <c r="D794" s="58">
        <f>IF(H794=1,INDEX(tx_ID,788)&amp;"","")</f>
        <v/>
      </c>
      <c r="E794" s="94">
        <f>IF(H794=1,INDEX(tx_Date,788),"")</f>
        <v/>
      </c>
      <c r="F794" s="58">
        <f>IF(H794=1,INDEX(tx_Desc,788)&amp;"","")</f>
        <v/>
      </c>
      <c r="G794" s="58">
        <f>IF(H794=1,IF(INDEX(tx_Cust,788)&amp;""&lt;&gt;"",INDEX(tx_Cust,788)&amp;"",INDEX(tx_Vend,788)&amp;""),"")</f>
        <v/>
      </c>
      <c r="H794" s="101">
        <f>IFERROR(N(INDEX(tx_Posted,788)),0)</f>
        <v/>
      </c>
      <c r="I794" s="58">
        <f>IF(H794=1,INDEX(tx_DrAcct,788)&amp;"","")</f>
        <v/>
      </c>
      <c r="J794" s="95">
        <f>IF(H794=1,INDEX(tx_DrAmt,788),0)</f>
        <v/>
      </c>
      <c r="K794" s="58">
        <f>IF(H794=1,INDEX(tx_CrAcct,788)&amp;"","")</f>
        <v/>
      </c>
      <c r="L794" s="95">
        <f>IF(H794=1,INDEX(tx_CrAmt,788),0)</f>
        <v/>
      </c>
      <c r="M794" s="95">
        <f>IF(H794=1,INDEX(tx_TaxDr,788),0)</f>
        <v/>
      </c>
      <c r="N794" s="95">
        <f>IF(H794=1,INDEX(tx_TaxCr,788),0)</f>
        <v/>
      </c>
      <c r="O794" s="101">
        <f>IF(H794=1,IF(E794&lt;FYStart,0,IF(E794&gt;FYEnd,13,YEAR(E794)*12+MONTH(E794)-FYYM+1)),"")</f>
        <v/>
      </c>
      <c r="P794" s="101">
        <f>IF(H794=1,IF(IFERROR(INDEX(coa_CF,MATCH(I794,coa_Name,0)),"")="Cash",1,0),0)</f>
        <v/>
      </c>
      <c r="Q794" s="101">
        <f>IF(H794=1,IF(IFERROR(INDEX(coa_CF,MATCH(K794,coa_Name,0)),"")="Cash",1,0),0)</f>
        <v/>
      </c>
      <c r="R794" s="58">
        <f>IF((P794-Q794)=0,"",IFERROR(INDEX(coa_CF,MATCH(IF((P794-Q794)=1,K794,I794),coa_Name,0)),"Operating"))</f>
        <v/>
      </c>
      <c r="S794" s="95">
        <f>IF((P794-Q794)=1,L794,IF((P794-Q794)=-1,-J794,0))</f>
        <v/>
      </c>
      <c r="T794" s="95">
        <f>IF((P794-Q794)=1,N794,IF((P794-Q794)=-1,-M794,0))</f>
        <v/>
      </c>
      <c r="U794" s="101">
        <f>IF(AND(H794=1,LedAcct&lt;&gt;""),IF(AND(E794&gt;=LedFrom,E794&lt;=LedTo,OR(I794=LedAcct,K794=LedAcct,AND(LedAcct=acctTax,M794+N794&lt;&gt;0))),E794*10000+B794,""),"")</f>
        <v/>
      </c>
    </row>
    <row r="795">
      <c r="B795" s="101" t="n">
        <v>789</v>
      </c>
      <c r="C795" s="58" t="inlineStr">
        <is>
          <t>Transaction</t>
        </is>
      </c>
      <c r="D795" s="58">
        <f>IF(H795=1,INDEX(tx_ID,789)&amp;"","")</f>
        <v/>
      </c>
      <c r="E795" s="94">
        <f>IF(H795=1,INDEX(tx_Date,789),"")</f>
        <v/>
      </c>
      <c r="F795" s="58">
        <f>IF(H795=1,INDEX(tx_Desc,789)&amp;"","")</f>
        <v/>
      </c>
      <c r="G795" s="58">
        <f>IF(H795=1,IF(INDEX(tx_Cust,789)&amp;""&lt;&gt;"",INDEX(tx_Cust,789)&amp;"",INDEX(tx_Vend,789)&amp;""),"")</f>
        <v/>
      </c>
      <c r="H795" s="101">
        <f>IFERROR(N(INDEX(tx_Posted,789)),0)</f>
        <v/>
      </c>
      <c r="I795" s="58">
        <f>IF(H795=1,INDEX(tx_DrAcct,789)&amp;"","")</f>
        <v/>
      </c>
      <c r="J795" s="95">
        <f>IF(H795=1,INDEX(tx_DrAmt,789),0)</f>
        <v/>
      </c>
      <c r="K795" s="58">
        <f>IF(H795=1,INDEX(tx_CrAcct,789)&amp;"","")</f>
        <v/>
      </c>
      <c r="L795" s="95">
        <f>IF(H795=1,INDEX(tx_CrAmt,789),0)</f>
        <v/>
      </c>
      <c r="M795" s="95">
        <f>IF(H795=1,INDEX(tx_TaxDr,789),0)</f>
        <v/>
      </c>
      <c r="N795" s="95">
        <f>IF(H795=1,INDEX(tx_TaxCr,789),0)</f>
        <v/>
      </c>
      <c r="O795" s="101">
        <f>IF(H795=1,IF(E795&lt;FYStart,0,IF(E795&gt;FYEnd,13,YEAR(E795)*12+MONTH(E795)-FYYM+1)),"")</f>
        <v/>
      </c>
      <c r="P795" s="101">
        <f>IF(H795=1,IF(IFERROR(INDEX(coa_CF,MATCH(I795,coa_Name,0)),"")="Cash",1,0),0)</f>
        <v/>
      </c>
      <c r="Q795" s="101">
        <f>IF(H795=1,IF(IFERROR(INDEX(coa_CF,MATCH(K795,coa_Name,0)),"")="Cash",1,0),0)</f>
        <v/>
      </c>
      <c r="R795" s="58">
        <f>IF((P795-Q795)=0,"",IFERROR(INDEX(coa_CF,MATCH(IF((P795-Q795)=1,K795,I795),coa_Name,0)),"Operating"))</f>
        <v/>
      </c>
      <c r="S795" s="95">
        <f>IF((P795-Q795)=1,L795,IF((P795-Q795)=-1,-J795,0))</f>
        <v/>
      </c>
      <c r="T795" s="95">
        <f>IF((P795-Q795)=1,N795,IF((P795-Q795)=-1,-M795,0))</f>
        <v/>
      </c>
      <c r="U795" s="101">
        <f>IF(AND(H795=1,LedAcct&lt;&gt;""),IF(AND(E795&gt;=LedFrom,E795&lt;=LedTo,OR(I795=LedAcct,K795=LedAcct,AND(LedAcct=acctTax,M795+N795&lt;&gt;0))),E795*10000+B795,""),"")</f>
        <v/>
      </c>
    </row>
    <row r="796">
      <c r="B796" s="101" t="n">
        <v>790</v>
      </c>
      <c r="C796" s="58" t="inlineStr">
        <is>
          <t>Transaction</t>
        </is>
      </c>
      <c r="D796" s="58">
        <f>IF(H796=1,INDEX(tx_ID,790)&amp;"","")</f>
        <v/>
      </c>
      <c r="E796" s="94">
        <f>IF(H796=1,INDEX(tx_Date,790),"")</f>
        <v/>
      </c>
      <c r="F796" s="58">
        <f>IF(H796=1,INDEX(tx_Desc,790)&amp;"","")</f>
        <v/>
      </c>
      <c r="G796" s="58">
        <f>IF(H796=1,IF(INDEX(tx_Cust,790)&amp;""&lt;&gt;"",INDEX(tx_Cust,790)&amp;"",INDEX(tx_Vend,790)&amp;""),"")</f>
        <v/>
      </c>
      <c r="H796" s="101">
        <f>IFERROR(N(INDEX(tx_Posted,790)),0)</f>
        <v/>
      </c>
      <c r="I796" s="58">
        <f>IF(H796=1,INDEX(tx_DrAcct,790)&amp;"","")</f>
        <v/>
      </c>
      <c r="J796" s="95">
        <f>IF(H796=1,INDEX(tx_DrAmt,790),0)</f>
        <v/>
      </c>
      <c r="K796" s="58">
        <f>IF(H796=1,INDEX(tx_CrAcct,790)&amp;"","")</f>
        <v/>
      </c>
      <c r="L796" s="95">
        <f>IF(H796=1,INDEX(tx_CrAmt,790),0)</f>
        <v/>
      </c>
      <c r="M796" s="95">
        <f>IF(H796=1,INDEX(tx_TaxDr,790),0)</f>
        <v/>
      </c>
      <c r="N796" s="95">
        <f>IF(H796=1,INDEX(tx_TaxCr,790),0)</f>
        <v/>
      </c>
      <c r="O796" s="101">
        <f>IF(H796=1,IF(E796&lt;FYStart,0,IF(E796&gt;FYEnd,13,YEAR(E796)*12+MONTH(E796)-FYYM+1)),"")</f>
        <v/>
      </c>
      <c r="P796" s="101">
        <f>IF(H796=1,IF(IFERROR(INDEX(coa_CF,MATCH(I796,coa_Name,0)),"")="Cash",1,0),0)</f>
        <v/>
      </c>
      <c r="Q796" s="101">
        <f>IF(H796=1,IF(IFERROR(INDEX(coa_CF,MATCH(K796,coa_Name,0)),"")="Cash",1,0),0)</f>
        <v/>
      </c>
      <c r="R796" s="58">
        <f>IF((P796-Q796)=0,"",IFERROR(INDEX(coa_CF,MATCH(IF((P796-Q796)=1,K796,I796),coa_Name,0)),"Operating"))</f>
        <v/>
      </c>
      <c r="S796" s="95">
        <f>IF((P796-Q796)=1,L796,IF((P796-Q796)=-1,-J796,0))</f>
        <v/>
      </c>
      <c r="T796" s="95">
        <f>IF((P796-Q796)=1,N796,IF((P796-Q796)=-1,-M796,0))</f>
        <v/>
      </c>
      <c r="U796" s="101">
        <f>IF(AND(H796=1,LedAcct&lt;&gt;""),IF(AND(E796&gt;=LedFrom,E796&lt;=LedTo,OR(I796=LedAcct,K796=LedAcct,AND(LedAcct=acctTax,M796+N796&lt;&gt;0))),E796*10000+B796,""),"")</f>
        <v/>
      </c>
    </row>
    <row r="797">
      <c r="B797" s="101" t="n">
        <v>791</v>
      </c>
      <c r="C797" s="58" t="inlineStr">
        <is>
          <t>Transaction</t>
        </is>
      </c>
      <c r="D797" s="58">
        <f>IF(H797=1,INDEX(tx_ID,791)&amp;"","")</f>
        <v/>
      </c>
      <c r="E797" s="94">
        <f>IF(H797=1,INDEX(tx_Date,791),"")</f>
        <v/>
      </c>
      <c r="F797" s="58">
        <f>IF(H797=1,INDEX(tx_Desc,791)&amp;"","")</f>
        <v/>
      </c>
      <c r="G797" s="58">
        <f>IF(H797=1,IF(INDEX(tx_Cust,791)&amp;""&lt;&gt;"",INDEX(tx_Cust,791)&amp;"",INDEX(tx_Vend,791)&amp;""),"")</f>
        <v/>
      </c>
      <c r="H797" s="101">
        <f>IFERROR(N(INDEX(tx_Posted,791)),0)</f>
        <v/>
      </c>
      <c r="I797" s="58">
        <f>IF(H797=1,INDEX(tx_DrAcct,791)&amp;"","")</f>
        <v/>
      </c>
      <c r="J797" s="95">
        <f>IF(H797=1,INDEX(tx_DrAmt,791),0)</f>
        <v/>
      </c>
      <c r="K797" s="58">
        <f>IF(H797=1,INDEX(tx_CrAcct,791)&amp;"","")</f>
        <v/>
      </c>
      <c r="L797" s="95">
        <f>IF(H797=1,INDEX(tx_CrAmt,791),0)</f>
        <v/>
      </c>
      <c r="M797" s="95">
        <f>IF(H797=1,INDEX(tx_TaxDr,791),0)</f>
        <v/>
      </c>
      <c r="N797" s="95">
        <f>IF(H797=1,INDEX(tx_TaxCr,791),0)</f>
        <v/>
      </c>
      <c r="O797" s="101">
        <f>IF(H797=1,IF(E797&lt;FYStart,0,IF(E797&gt;FYEnd,13,YEAR(E797)*12+MONTH(E797)-FYYM+1)),"")</f>
        <v/>
      </c>
      <c r="P797" s="101">
        <f>IF(H797=1,IF(IFERROR(INDEX(coa_CF,MATCH(I797,coa_Name,0)),"")="Cash",1,0),0)</f>
        <v/>
      </c>
      <c r="Q797" s="101">
        <f>IF(H797=1,IF(IFERROR(INDEX(coa_CF,MATCH(K797,coa_Name,0)),"")="Cash",1,0),0)</f>
        <v/>
      </c>
      <c r="R797" s="58">
        <f>IF((P797-Q797)=0,"",IFERROR(INDEX(coa_CF,MATCH(IF((P797-Q797)=1,K797,I797),coa_Name,0)),"Operating"))</f>
        <v/>
      </c>
      <c r="S797" s="95">
        <f>IF((P797-Q797)=1,L797,IF((P797-Q797)=-1,-J797,0))</f>
        <v/>
      </c>
      <c r="T797" s="95">
        <f>IF((P797-Q797)=1,N797,IF((P797-Q797)=-1,-M797,0))</f>
        <v/>
      </c>
      <c r="U797" s="101">
        <f>IF(AND(H797=1,LedAcct&lt;&gt;""),IF(AND(E797&gt;=LedFrom,E797&lt;=LedTo,OR(I797=LedAcct,K797=LedAcct,AND(LedAcct=acctTax,M797+N797&lt;&gt;0))),E797*10000+B797,""),"")</f>
        <v/>
      </c>
    </row>
    <row r="798">
      <c r="B798" s="101" t="n">
        <v>792</v>
      </c>
      <c r="C798" s="58" t="inlineStr">
        <is>
          <t>Transaction</t>
        </is>
      </c>
      <c r="D798" s="58">
        <f>IF(H798=1,INDEX(tx_ID,792)&amp;"","")</f>
        <v/>
      </c>
      <c r="E798" s="94">
        <f>IF(H798=1,INDEX(tx_Date,792),"")</f>
        <v/>
      </c>
      <c r="F798" s="58">
        <f>IF(H798=1,INDEX(tx_Desc,792)&amp;"","")</f>
        <v/>
      </c>
      <c r="G798" s="58">
        <f>IF(H798=1,IF(INDEX(tx_Cust,792)&amp;""&lt;&gt;"",INDEX(tx_Cust,792)&amp;"",INDEX(tx_Vend,792)&amp;""),"")</f>
        <v/>
      </c>
      <c r="H798" s="101">
        <f>IFERROR(N(INDEX(tx_Posted,792)),0)</f>
        <v/>
      </c>
      <c r="I798" s="58">
        <f>IF(H798=1,INDEX(tx_DrAcct,792)&amp;"","")</f>
        <v/>
      </c>
      <c r="J798" s="95">
        <f>IF(H798=1,INDEX(tx_DrAmt,792),0)</f>
        <v/>
      </c>
      <c r="K798" s="58">
        <f>IF(H798=1,INDEX(tx_CrAcct,792)&amp;"","")</f>
        <v/>
      </c>
      <c r="L798" s="95">
        <f>IF(H798=1,INDEX(tx_CrAmt,792),0)</f>
        <v/>
      </c>
      <c r="M798" s="95">
        <f>IF(H798=1,INDEX(tx_TaxDr,792),0)</f>
        <v/>
      </c>
      <c r="N798" s="95">
        <f>IF(H798=1,INDEX(tx_TaxCr,792),0)</f>
        <v/>
      </c>
      <c r="O798" s="101">
        <f>IF(H798=1,IF(E798&lt;FYStart,0,IF(E798&gt;FYEnd,13,YEAR(E798)*12+MONTH(E798)-FYYM+1)),"")</f>
        <v/>
      </c>
      <c r="P798" s="101">
        <f>IF(H798=1,IF(IFERROR(INDEX(coa_CF,MATCH(I798,coa_Name,0)),"")="Cash",1,0),0)</f>
        <v/>
      </c>
      <c r="Q798" s="101">
        <f>IF(H798=1,IF(IFERROR(INDEX(coa_CF,MATCH(K798,coa_Name,0)),"")="Cash",1,0),0)</f>
        <v/>
      </c>
      <c r="R798" s="58">
        <f>IF((P798-Q798)=0,"",IFERROR(INDEX(coa_CF,MATCH(IF((P798-Q798)=1,K798,I798),coa_Name,0)),"Operating"))</f>
        <v/>
      </c>
      <c r="S798" s="95">
        <f>IF((P798-Q798)=1,L798,IF((P798-Q798)=-1,-J798,0))</f>
        <v/>
      </c>
      <c r="T798" s="95">
        <f>IF((P798-Q798)=1,N798,IF((P798-Q798)=-1,-M798,0))</f>
        <v/>
      </c>
      <c r="U798" s="101">
        <f>IF(AND(H798=1,LedAcct&lt;&gt;""),IF(AND(E798&gt;=LedFrom,E798&lt;=LedTo,OR(I798=LedAcct,K798=LedAcct,AND(LedAcct=acctTax,M798+N798&lt;&gt;0))),E798*10000+B798,""),"")</f>
        <v/>
      </c>
    </row>
    <row r="799">
      <c r="B799" s="101" t="n">
        <v>793</v>
      </c>
      <c r="C799" s="58" t="inlineStr">
        <is>
          <t>Transaction</t>
        </is>
      </c>
      <c r="D799" s="58">
        <f>IF(H799=1,INDEX(tx_ID,793)&amp;"","")</f>
        <v/>
      </c>
      <c r="E799" s="94">
        <f>IF(H799=1,INDEX(tx_Date,793),"")</f>
        <v/>
      </c>
      <c r="F799" s="58">
        <f>IF(H799=1,INDEX(tx_Desc,793)&amp;"","")</f>
        <v/>
      </c>
      <c r="G799" s="58">
        <f>IF(H799=1,IF(INDEX(tx_Cust,793)&amp;""&lt;&gt;"",INDEX(tx_Cust,793)&amp;"",INDEX(tx_Vend,793)&amp;""),"")</f>
        <v/>
      </c>
      <c r="H799" s="101">
        <f>IFERROR(N(INDEX(tx_Posted,793)),0)</f>
        <v/>
      </c>
      <c r="I799" s="58">
        <f>IF(H799=1,INDEX(tx_DrAcct,793)&amp;"","")</f>
        <v/>
      </c>
      <c r="J799" s="95">
        <f>IF(H799=1,INDEX(tx_DrAmt,793),0)</f>
        <v/>
      </c>
      <c r="K799" s="58">
        <f>IF(H799=1,INDEX(tx_CrAcct,793)&amp;"","")</f>
        <v/>
      </c>
      <c r="L799" s="95">
        <f>IF(H799=1,INDEX(tx_CrAmt,793),0)</f>
        <v/>
      </c>
      <c r="M799" s="95">
        <f>IF(H799=1,INDEX(tx_TaxDr,793),0)</f>
        <v/>
      </c>
      <c r="N799" s="95">
        <f>IF(H799=1,INDEX(tx_TaxCr,793),0)</f>
        <v/>
      </c>
      <c r="O799" s="101">
        <f>IF(H799=1,IF(E799&lt;FYStart,0,IF(E799&gt;FYEnd,13,YEAR(E799)*12+MONTH(E799)-FYYM+1)),"")</f>
        <v/>
      </c>
      <c r="P799" s="101">
        <f>IF(H799=1,IF(IFERROR(INDEX(coa_CF,MATCH(I799,coa_Name,0)),"")="Cash",1,0),0)</f>
        <v/>
      </c>
      <c r="Q799" s="101">
        <f>IF(H799=1,IF(IFERROR(INDEX(coa_CF,MATCH(K799,coa_Name,0)),"")="Cash",1,0),0)</f>
        <v/>
      </c>
      <c r="R799" s="58">
        <f>IF((P799-Q799)=0,"",IFERROR(INDEX(coa_CF,MATCH(IF((P799-Q799)=1,K799,I799),coa_Name,0)),"Operating"))</f>
        <v/>
      </c>
      <c r="S799" s="95">
        <f>IF((P799-Q799)=1,L799,IF((P799-Q799)=-1,-J799,0))</f>
        <v/>
      </c>
      <c r="T799" s="95">
        <f>IF((P799-Q799)=1,N799,IF((P799-Q799)=-1,-M799,0))</f>
        <v/>
      </c>
      <c r="U799" s="101">
        <f>IF(AND(H799=1,LedAcct&lt;&gt;""),IF(AND(E799&gt;=LedFrom,E799&lt;=LedTo,OR(I799=LedAcct,K799=LedAcct,AND(LedAcct=acctTax,M799+N799&lt;&gt;0))),E799*10000+B799,""),"")</f>
        <v/>
      </c>
    </row>
    <row r="800">
      <c r="B800" s="101" t="n">
        <v>794</v>
      </c>
      <c r="C800" s="58" t="inlineStr">
        <is>
          <t>Transaction</t>
        </is>
      </c>
      <c r="D800" s="58">
        <f>IF(H800=1,INDEX(tx_ID,794)&amp;"","")</f>
        <v/>
      </c>
      <c r="E800" s="94">
        <f>IF(H800=1,INDEX(tx_Date,794),"")</f>
        <v/>
      </c>
      <c r="F800" s="58">
        <f>IF(H800=1,INDEX(tx_Desc,794)&amp;"","")</f>
        <v/>
      </c>
      <c r="G800" s="58">
        <f>IF(H800=1,IF(INDEX(tx_Cust,794)&amp;""&lt;&gt;"",INDEX(tx_Cust,794)&amp;"",INDEX(tx_Vend,794)&amp;""),"")</f>
        <v/>
      </c>
      <c r="H800" s="101">
        <f>IFERROR(N(INDEX(tx_Posted,794)),0)</f>
        <v/>
      </c>
      <c r="I800" s="58">
        <f>IF(H800=1,INDEX(tx_DrAcct,794)&amp;"","")</f>
        <v/>
      </c>
      <c r="J800" s="95">
        <f>IF(H800=1,INDEX(tx_DrAmt,794),0)</f>
        <v/>
      </c>
      <c r="K800" s="58">
        <f>IF(H800=1,INDEX(tx_CrAcct,794)&amp;"","")</f>
        <v/>
      </c>
      <c r="L800" s="95">
        <f>IF(H800=1,INDEX(tx_CrAmt,794),0)</f>
        <v/>
      </c>
      <c r="M800" s="95">
        <f>IF(H800=1,INDEX(tx_TaxDr,794),0)</f>
        <v/>
      </c>
      <c r="N800" s="95">
        <f>IF(H800=1,INDEX(tx_TaxCr,794),0)</f>
        <v/>
      </c>
      <c r="O800" s="101">
        <f>IF(H800=1,IF(E800&lt;FYStart,0,IF(E800&gt;FYEnd,13,YEAR(E800)*12+MONTH(E800)-FYYM+1)),"")</f>
        <v/>
      </c>
      <c r="P800" s="101">
        <f>IF(H800=1,IF(IFERROR(INDEX(coa_CF,MATCH(I800,coa_Name,0)),"")="Cash",1,0),0)</f>
        <v/>
      </c>
      <c r="Q800" s="101">
        <f>IF(H800=1,IF(IFERROR(INDEX(coa_CF,MATCH(K800,coa_Name,0)),"")="Cash",1,0),0)</f>
        <v/>
      </c>
      <c r="R800" s="58">
        <f>IF((P800-Q800)=0,"",IFERROR(INDEX(coa_CF,MATCH(IF((P800-Q800)=1,K800,I800),coa_Name,0)),"Operating"))</f>
        <v/>
      </c>
      <c r="S800" s="95">
        <f>IF((P800-Q800)=1,L800,IF((P800-Q800)=-1,-J800,0))</f>
        <v/>
      </c>
      <c r="T800" s="95">
        <f>IF((P800-Q800)=1,N800,IF((P800-Q800)=-1,-M800,0))</f>
        <v/>
      </c>
      <c r="U800" s="101">
        <f>IF(AND(H800=1,LedAcct&lt;&gt;""),IF(AND(E800&gt;=LedFrom,E800&lt;=LedTo,OR(I800=LedAcct,K800=LedAcct,AND(LedAcct=acctTax,M800+N800&lt;&gt;0))),E800*10000+B800,""),"")</f>
        <v/>
      </c>
    </row>
    <row r="801">
      <c r="B801" s="101" t="n">
        <v>795</v>
      </c>
      <c r="C801" s="58" t="inlineStr">
        <is>
          <t>Transaction</t>
        </is>
      </c>
      <c r="D801" s="58">
        <f>IF(H801=1,INDEX(tx_ID,795)&amp;"","")</f>
        <v/>
      </c>
      <c r="E801" s="94">
        <f>IF(H801=1,INDEX(tx_Date,795),"")</f>
        <v/>
      </c>
      <c r="F801" s="58">
        <f>IF(H801=1,INDEX(tx_Desc,795)&amp;"","")</f>
        <v/>
      </c>
      <c r="G801" s="58">
        <f>IF(H801=1,IF(INDEX(tx_Cust,795)&amp;""&lt;&gt;"",INDEX(tx_Cust,795)&amp;"",INDEX(tx_Vend,795)&amp;""),"")</f>
        <v/>
      </c>
      <c r="H801" s="101">
        <f>IFERROR(N(INDEX(tx_Posted,795)),0)</f>
        <v/>
      </c>
      <c r="I801" s="58">
        <f>IF(H801=1,INDEX(tx_DrAcct,795)&amp;"","")</f>
        <v/>
      </c>
      <c r="J801" s="95">
        <f>IF(H801=1,INDEX(tx_DrAmt,795),0)</f>
        <v/>
      </c>
      <c r="K801" s="58">
        <f>IF(H801=1,INDEX(tx_CrAcct,795)&amp;"","")</f>
        <v/>
      </c>
      <c r="L801" s="95">
        <f>IF(H801=1,INDEX(tx_CrAmt,795),0)</f>
        <v/>
      </c>
      <c r="M801" s="95">
        <f>IF(H801=1,INDEX(tx_TaxDr,795),0)</f>
        <v/>
      </c>
      <c r="N801" s="95">
        <f>IF(H801=1,INDEX(tx_TaxCr,795),0)</f>
        <v/>
      </c>
      <c r="O801" s="101">
        <f>IF(H801=1,IF(E801&lt;FYStart,0,IF(E801&gt;FYEnd,13,YEAR(E801)*12+MONTH(E801)-FYYM+1)),"")</f>
        <v/>
      </c>
      <c r="P801" s="101">
        <f>IF(H801=1,IF(IFERROR(INDEX(coa_CF,MATCH(I801,coa_Name,0)),"")="Cash",1,0),0)</f>
        <v/>
      </c>
      <c r="Q801" s="101">
        <f>IF(H801=1,IF(IFERROR(INDEX(coa_CF,MATCH(K801,coa_Name,0)),"")="Cash",1,0),0)</f>
        <v/>
      </c>
      <c r="R801" s="58">
        <f>IF((P801-Q801)=0,"",IFERROR(INDEX(coa_CF,MATCH(IF((P801-Q801)=1,K801,I801),coa_Name,0)),"Operating"))</f>
        <v/>
      </c>
      <c r="S801" s="95">
        <f>IF((P801-Q801)=1,L801,IF((P801-Q801)=-1,-J801,0))</f>
        <v/>
      </c>
      <c r="T801" s="95">
        <f>IF((P801-Q801)=1,N801,IF((P801-Q801)=-1,-M801,0))</f>
        <v/>
      </c>
      <c r="U801" s="101">
        <f>IF(AND(H801=1,LedAcct&lt;&gt;""),IF(AND(E801&gt;=LedFrom,E801&lt;=LedTo,OR(I801=LedAcct,K801=LedAcct,AND(LedAcct=acctTax,M801+N801&lt;&gt;0))),E801*10000+B801,""),"")</f>
        <v/>
      </c>
    </row>
    <row r="802">
      <c r="B802" s="101" t="n">
        <v>796</v>
      </c>
      <c r="C802" s="58" t="inlineStr">
        <is>
          <t>Transaction</t>
        </is>
      </c>
      <c r="D802" s="58">
        <f>IF(H802=1,INDEX(tx_ID,796)&amp;"","")</f>
        <v/>
      </c>
      <c r="E802" s="94">
        <f>IF(H802=1,INDEX(tx_Date,796),"")</f>
        <v/>
      </c>
      <c r="F802" s="58">
        <f>IF(H802=1,INDEX(tx_Desc,796)&amp;"","")</f>
        <v/>
      </c>
      <c r="G802" s="58">
        <f>IF(H802=1,IF(INDEX(tx_Cust,796)&amp;""&lt;&gt;"",INDEX(tx_Cust,796)&amp;"",INDEX(tx_Vend,796)&amp;""),"")</f>
        <v/>
      </c>
      <c r="H802" s="101">
        <f>IFERROR(N(INDEX(tx_Posted,796)),0)</f>
        <v/>
      </c>
      <c r="I802" s="58">
        <f>IF(H802=1,INDEX(tx_DrAcct,796)&amp;"","")</f>
        <v/>
      </c>
      <c r="J802" s="95">
        <f>IF(H802=1,INDEX(tx_DrAmt,796),0)</f>
        <v/>
      </c>
      <c r="K802" s="58">
        <f>IF(H802=1,INDEX(tx_CrAcct,796)&amp;"","")</f>
        <v/>
      </c>
      <c r="L802" s="95">
        <f>IF(H802=1,INDEX(tx_CrAmt,796),0)</f>
        <v/>
      </c>
      <c r="M802" s="95">
        <f>IF(H802=1,INDEX(tx_TaxDr,796),0)</f>
        <v/>
      </c>
      <c r="N802" s="95">
        <f>IF(H802=1,INDEX(tx_TaxCr,796),0)</f>
        <v/>
      </c>
      <c r="O802" s="101">
        <f>IF(H802=1,IF(E802&lt;FYStart,0,IF(E802&gt;FYEnd,13,YEAR(E802)*12+MONTH(E802)-FYYM+1)),"")</f>
        <v/>
      </c>
      <c r="P802" s="101">
        <f>IF(H802=1,IF(IFERROR(INDEX(coa_CF,MATCH(I802,coa_Name,0)),"")="Cash",1,0),0)</f>
        <v/>
      </c>
      <c r="Q802" s="101">
        <f>IF(H802=1,IF(IFERROR(INDEX(coa_CF,MATCH(K802,coa_Name,0)),"")="Cash",1,0),0)</f>
        <v/>
      </c>
      <c r="R802" s="58">
        <f>IF((P802-Q802)=0,"",IFERROR(INDEX(coa_CF,MATCH(IF((P802-Q802)=1,K802,I802),coa_Name,0)),"Operating"))</f>
        <v/>
      </c>
      <c r="S802" s="95">
        <f>IF((P802-Q802)=1,L802,IF((P802-Q802)=-1,-J802,0))</f>
        <v/>
      </c>
      <c r="T802" s="95">
        <f>IF((P802-Q802)=1,N802,IF((P802-Q802)=-1,-M802,0))</f>
        <v/>
      </c>
      <c r="U802" s="101">
        <f>IF(AND(H802=1,LedAcct&lt;&gt;""),IF(AND(E802&gt;=LedFrom,E802&lt;=LedTo,OR(I802=LedAcct,K802=LedAcct,AND(LedAcct=acctTax,M802+N802&lt;&gt;0))),E802*10000+B802,""),"")</f>
        <v/>
      </c>
    </row>
    <row r="803">
      <c r="B803" s="101" t="n">
        <v>797</v>
      </c>
      <c r="C803" s="58" t="inlineStr">
        <is>
          <t>Transaction</t>
        </is>
      </c>
      <c r="D803" s="58">
        <f>IF(H803=1,INDEX(tx_ID,797)&amp;"","")</f>
        <v/>
      </c>
      <c r="E803" s="94">
        <f>IF(H803=1,INDEX(tx_Date,797),"")</f>
        <v/>
      </c>
      <c r="F803" s="58">
        <f>IF(H803=1,INDEX(tx_Desc,797)&amp;"","")</f>
        <v/>
      </c>
      <c r="G803" s="58">
        <f>IF(H803=1,IF(INDEX(tx_Cust,797)&amp;""&lt;&gt;"",INDEX(tx_Cust,797)&amp;"",INDEX(tx_Vend,797)&amp;""),"")</f>
        <v/>
      </c>
      <c r="H803" s="101">
        <f>IFERROR(N(INDEX(tx_Posted,797)),0)</f>
        <v/>
      </c>
      <c r="I803" s="58">
        <f>IF(H803=1,INDEX(tx_DrAcct,797)&amp;"","")</f>
        <v/>
      </c>
      <c r="J803" s="95">
        <f>IF(H803=1,INDEX(tx_DrAmt,797),0)</f>
        <v/>
      </c>
      <c r="K803" s="58">
        <f>IF(H803=1,INDEX(tx_CrAcct,797)&amp;"","")</f>
        <v/>
      </c>
      <c r="L803" s="95">
        <f>IF(H803=1,INDEX(tx_CrAmt,797),0)</f>
        <v/>
      </c>
      <c r="M803" s="95">
        <f>IF(H803=1,INDEX(tx_TaxDr,797),0)</f>
        <v/>
      </c>
      <c r="N803" s="95">
        <f>IF(H803=1,INDEX(tx_TaxCr,797),0)</f>
        <v/>
      </c>
      <c r="O803" s="101">
        <f>IF(H803=1,IF(E803&lt;FYStart,0,IF(E803&gt;FYEnd,13,YEAR(E803)*12+MONTH(E803)-FYYM+1)),"")</f>
        <v/>
      </c>
      <c r="P803" s="101">
        <f>IF(H803=1,IF(IFERROR(INDEX(coa_CF,MATCH(I803,coa_Name,0)),"")="Cash",1,0),0)</f>
        <v/>
      </c>
      <c r="Q803" s="101">
        <f>IF(H803=1,IF(IFERROR(INDEX(coa_CF,MATCH(K803,coa_Name,0)),"")="Cash",1,0),0)</f>
        <v/>
      </c>
      <c r="R803" s="58">
        <f>IF((P803-Q803)=0,"",IFERROR(INDEX(coa_CF,MATCH(IF((P803-Q803)=1,K803,I803),coa_Name,0)),"Operating"))</f>
        <v/>
      </c>
      <c r="S803" s="95">
        <f>IF((P803-Q803)=1,L803,IF((P803-Q803)=-1,-J803,0))</f>
        <v/>
      </c>
      <c r="T803" s="95">
        <f>IF((P803-Q803)=1,N803,IF((P803-Q803)=-1,-M803,0))</f>
        <v/>
      </c>
      <c r="U803" s="101">
        <f>IF(AND(H803=1,LedAcct&lt;&gt;""),IF(AND(E803&gt;=LedFrom,E803&lt;=LedTo,OR(I803=LedAcct,K803=LedAcct,AND(LedAcct=acctTax,M803+N803&lt;&gt;0))),E803*10000+B803,""),"")</f>
        <v/>
      </c>
    </row>
    <row r="804">
      <c r="B804" s="101" t="n">
        <v>798</v>
      </c>
      <c r="C804" s="58" t="inlineStr">
        <is>
          <t>Transaction</t>
        </is>
      </c>
      <c r="D804" s="58">
        <f>IF(H804=1,INDEX(tx_ID,798)&amp;"","")</f>
        <v/>
      </c>
      <c r="E804" s="94">
        <f>IF(H804=1,INDEX(tx_Date,798),"")</f>
        <v/>
      </c>
      <c r="F804" s="58">
        <f>IF(H804=1,INDEX(tx_Desc,798)&amp;"","")</f>
        <v/>
      </c>
      <c r="G804" s="58">
        <f>IF(H804=1,IF(INDEX(tx_Cust,798)&amp;""&lt;&gt;"",INDEX(tx_Cust,798)&amp;"",INDEX(tx_Vend,798)&amp;""),"")</f>
        <v/>
      </c>
      <c r="H804" s="101">
        <f>IFERROR(N(INDEX(tx_Posted,798)),0)</f>
        <v/>
      </c>
      <c r="I804" s="58">
        <f>IF(H804=1,INDEX(tx_DrAcct,798)&amp;"","")</f>
        <v/>
      </c>
      <c r="J804" s="95">
        <f>IF(H804=1,INDEX(tx_DrAmt,798),0)</f>
        <v/>
      </c>
      <c r="K804" s="58">
        <f>IF(H804=1,INDEX(tx_CrAcct,798)&amp;"","")</f>
        <v/>
      </c>
      <c r="L804" s="95">
        <f>IF(H804=1,INDEX(tx_CrAmt,798),0)</f>
        <v/>
      </c>
      <c r="M804" s="95">
        <f>IF(H804=1,INDEX(tx_TaxDr,798),0)</f>
        <v/>
      </c>
      <c r="N804" s="95">
        <f>IF(H804=1,INDEX(tx_TaxCr,798),0)</f>
        <v/>
      </c>
      <c r="O804" s="101">
        <f>IF(H804=1,IF(E804&lt;FYStart,0,IF(E804&gt;FYEnd,13,YEAR(E804)*12+MONTH(E804)-FYYM+1)),"")</f>
        <v/>
      </c>
      <c r="P804" s="101">
        <f>IF(H804=1,IF(IFERROR(INDEX(coa_CF,MATCH(I804,coa_Name,0)),"")="Cash",1,0),0)</f>
        <v/>
      </c>
      <c r="Q804" s="101">
        <f>IF(H804=1,IF(IFERROR(INDEX(coa_CF,MATCH(K804,coa_Name,0)),"")="Cash",1,0),0)</f>
        <v/>
      </c>
      <c r="R804" s="58">
        <f>IF((P804-Q804)=0,"",IFERROR(INDEX(coa_CF,MATCH(IF((P804-Q804)=1,K804,I804),coa_Name,0)),"Operating"))</f>
        <v/>
      </c>
      <c r="S804" s="95">
        <f>IF((P804-Q804)=1,L804,IF((P804-Q804)=-1,-J804,0))</f>
        <v/>
      </c>
      <c r="T804" s="95">
        <f>IF((P804-Q804)=1,N804,IF((P804-Q804)=-1,-M804,0))</f>
        <v/>
      </c>
      <c r="U804" s="101">
        <f>IF(AND(H804=1,LedAcct&lt;&gt;""),IF(AND(E804&gt;=LedFrom,E804&lt;=LedTo,OR(I804=LedAcct,K804=LedAcct,AND(LedAcct=acctTax,M804+N804&lt;&gt;0))),E804*10000+B804,""),"")</f>
        <v/>
      </c>
    </row>
    <row r="805">
      <c r="B805" s="101" t="n">
        <v>799</v>
      </c>
      <c r="C805" s="58" t="inlineStr">
        <is>
          <t>Transaction</t>
        </is>
      </c>
      <c r="D805" s="58">
        <f>IF(H805=1,INDEX(tx_ID,799)&amp;"","")</f>
        <v/>
      </c>
      <c r="E805" s="94">
        <f>IF(H805=1,INDEX(tx_Date,799),"")</f>
        <v/>
      </c>
      <c r="F805" s="58">
        <f>IF(H805=1,INDEX(tx_Desc,799)&amp;"","")</f>
        <v/>
      </c>
      <c r="G805" s="58">
        <f>IF(H805=1,IF(INDEX(tx_Cust,799)&amp;""&lt;&gt;"",INDEX(tx_Cust,799)&amp;"",INDEX(tx_Vend,799)&amp;""),"")</f>
        <v/>
      </c>
      <c r="H805" s="101">
        <f>IFERROR(N(INDEX(tx_Posted,799)),0)</f>
        <v/>
      </c>
      <c r="I805" s="58">
        <f>IF(H805=1,INDEX(tx_DrAcct,799)&amp;"","")</f>
        <v/>
      </c>
      <c r="J805" s="95">
        <f>IF(H805=1,INDEX(tx_DrAmt,799),0)</f>
        <v/>
      </c>
      <c r="K805" s="58">
        <f>IF(H805=1,INDEX(tx_CrAcct,799)&amp;"","")</f>
        <v/>
      </c>
      <c r="L805" s="95">
        <f>IF(H805=1,INDEX(tx_CrAmt,799),0)</f>
        <v/>
      </c>
      <c r="M805" s="95">
        <f>IF(H805=1,INDEX(tx_TaxDr,799),0)</f>
        <v/>
      </c>
      <c r="N805" s="95">
        <f>IF(H805=1,INDEX(tx_TaxCr,799),0)</f>
        <v/>
      </c>
      <c r="O805" s="101">
        <f>IF(H805=1,IF(E805&lt;FYStart,0,IF(E805&gt;FYEnd,13,YEAR(E805)*12+MONTH(E805)-FYYM+1)),"")</f>
        <v/>
      </c>
      <c r="P805" s="101">
        <f>IF(H805=1,IF(IFERROR(INDEX(coa_CF,MATCH(I805,coa_Name,0)),"")="Cash",1,0),0)</f>
        <v/>
      </c>
      <c r="Q805" s="101">
        <f>IF(H805=1,IF(IFERROR(INDEX(coa_CF,MATCH(K805,coa_Name,0)),"")="Cash",1,0),0)</f>
        <v/>
      </c>
      <c r="R805" s="58">
        <f>IF((P805-Q805)=0,"",IFERROR(INDEX(coa_CF,MATCH(IF((P805-Q805)=1,K805,I805),coa_Name,0)),"Operating"))</f>
        <v/>
      </c>
      <c r="S805" s="95">
        <f>IF((P805-Q805)=1,L805,IF((P805-Q805)=-1,-J805,0))</f>
        <v/>
      </c>
      <c r="T805" s="95">
        <f>IF((P805-Q805)=1,N805,IF((P805-Q805)=-1,-M805,0))</f>
        <v/>
      </c>
      <c r="U805" s="101">
        <f>IF(AND(H805=1,LedAcct&lt;&gt;""),IF(AND(E805&gt;=LedFrom,E805&lt;=LedTo,OR(I805=LedAcct,K805=LedAcct,AND(LedAcct=acctTax,M805+N805&lt;&gt;0))),E805*10000+B805,""),"")</f>
        <v/>
      </c>
    </row>
    <row r="806">
      <c r="B806" s="101" t="n">
        <v>800</v>
      </c>
      <c r="C806" s="58" t="inlineStr">
        <is>
          <t>Transaction</t>
        </is>
      </c>
      <c r="D806" s="58">
        <f>IF(H806=1,INDEX(tx_ID,800)&amp;"","")</f>
        <v/>
      </c>
      <c r="E806" s="94">
        <f>IF(H806=1,INDEX(tx_Date,800),"")</f>
        <v/>
      </c>
      <c r="F806" s="58">
        <f>IF(H806=1,INDEX(tx_Desc,800)&amp;"","")</f>
        <v/>
      </c>
      <c r="G806" s="58">
        <f>IF(H806=1,IF(INDEX(tx_Cust,800)&amp;""&lt;&gt;"",INDEX(tx_Cust,800)&amp;"",INDEX(tx_Vend,800)&amp;""),"")</f>
        <v/>
      </c>
      <c r="H806" s="101">
        <f>IFERROR(N(INDEX(tx_Posted,800)),0)</f>
        <v/>
      </c>
      <c r="I806" s="58">
        <f>IF(H806=1,INDEX(tx_DrAcct,800)&amp;"","")</f>
        <v/>
      </c>
      <c r="J806" s="95">
        <f>IF(H806=1,INDEX(tx_DrAmt,800),0)</f>
        <v/>
      </c>
      <c r="K806" s="58">
        <f>IF(H806=1,INDEX(tx_CrAcct,800)&amp;"","")</f>
        <v/>
      </c>
      <c r="L806" s="95">
        <f>IF(H806=1,INDEX(tx_CrAmt,800),0)</f>
        <v/>
      </c>
      <c r="M806" s="95">
        <f>IF(H806=1,INDEX(tx_TaxDr,800),0)</f>
        <v/>
      </c>
      <c r="N806" s="95">
        <f>IF(H806=1,INDEX(tx_TaxCr,800),0)</f>
        <v/>
      </c>
      <c r="O806" s="101">
        <f>IF(H806=1,IF(E806&lt;FYStart,0,IF(E806&gt;FYEnd,13,YEAR(E806)*12+MONTH(E806)-FYYM+1)),"")</f>
        <v/>
      </c>
      <c r="P806" s="101">
        <f>IF(H806=1,IF(IFERROR(INDEX(coa_CF,MATCH(I806,coa_Name,0)),"")="Cash",1,0),0)</f>
        <v/>
      </c>
      <c r="Q806" s="101">
        <f>IF(H806=1,IF(IFERROR(INDEX(coa_CF,MATCH(K806,coa_Name,0)),"")="Cash",1,0),0)</f>
        <v/>
      </c>
      <c r="R806" s="58">
        <f>IF((P806-Q806)=0,"",IFERROR(INDEX(coa_CF,MATCH(IF((P806-Q806)=1,K806,I806),coa_Name,0)),"Operating"))</f>
        <v/>
      </c>
      <c r="S806" s="95">
        <f>IF((P806-Q806)=1,L806,IF((P806-Q806)=-1,-J806,0))</f>
        <v/>
      </c>
      <c r="T806" s="95">
        <f>IF((P806-Q806)=1,N806,IF((P806-Q806)=-1,-M806,0))</f>
        <v/>
      </c>
      <c r="U806" s="101">
        <f>IF(AND(H806=1,LedAcct&lt;&gt;""),IF(AND(E806&gt;=LedFrom,E806&lt;=LedTo,OR(I806=LedAcct,K806=LedAcct,AND(LedAcct=acctTax,M806+N806&lt;&gt;0))),E806*10000+B806,""),"")</f>
        <v/>
      </c>
    </row>
    <row r="807">
      <c r="B807" s="101" t="n">
        <v>801</v>
      </c>
      <c r="C807" s="58" t="inlineStr">
        <is>
          <t>Transaction</t>
        </is>
      </c>
      <c r="D807" s="58">
        <f>IF(H807=1,INDEX(tx_ID,801)&amp;"","")</f>
        <v/>
      </c>
      <c r="E807" s="94">
        <f>IF(H807=1,INDEX(tx_Date,801),"")</f>
        <v/>
      </c>
      <c r="F807" s="58">
        <f>IF(H807=1,INDEX(tx_Desc,801)&amp;"","")</f>
        <v/>
      </c>
      <c r="G807" s="58">
        <f>IF(H807=1,IF(INDEX(tx_Cust,801)&amp;""&lt;&gt;"",INDEX(tx_Cust,801)&amp;"",INDEX(tx_Vend,801)&amp;""),"")</f>
        <v/>
      </c>
      <c r="H807" s="101">
        <f>IFERROR(N(INDEX(tx_Posted,801)),0)</f>
        <v/>
      </c>
      <c r="I807" s="58">
        <f>IF(H807=1,INDEX(tx_DrAcct,801)&amp;"","")</f>
        <v/>
      </c>
      <c r="J807" s="95">
        <f>IF(H807=1,INDEX(tx_DrAmt,801),0)</f>
        <v/>
      </c>
      <c r="K807" s="58">
        <f>IF(H807=1,INDEX(tx_CrAcct,801)&amp;"","")</f>
        <v/>
      </c>
      <c r="L807" s="95">
        <f>IF(H807=1,INDEX(tx_CrAmt,801),0)</f>
        <v/>
      </c>
      <c r="M807" s="95">
        <f>IF(H807=1,INDEX(tx_TaxDr,801),0)</f>
        <v/>
      </c>
      <c r="N807" s="95">
        <f>IF(H807=1,INDEX(tx_TaxCr,801),0)</f>
        <v/>
      </c>
      <c r="O807" s="101">
        <f>IF(H807=1,IF(E807&lt;FYStart,0,IF(E807&gt;FYEnd,13,YEAR(E807)*12+MONTH(E807)-FYYM+1)),"")</f>
        <v/>
      </c>
      <c r="P807" s="101">
        <f>IF(H807=1,IF(IFERROR(INDEX(coa_CF,MATCH(I807,coa_Name,0)),"")="Cash",1,0),0)</f>
        <v/>
      </c>
      <c r="Q807" s="101">
        <f>IF(H807=1,IF(IFERROR(INDEX(coa_CF,MATCH(K807,coa_Name,0)),"")="Cash",1,0),0)</f>
        <v/>
      </c>
      <c r="R807" s="58">
        <f>IF((P807-Q807)=0,"",IFERROR(INDEX(coa_CF,MATCH(IF((P807-Q807)=1,K807,I807),coa_Name,0)),"Operating"))</f>
        <v/>
      </c>
      <c r="S807" s="95">
        <f>IF((P807-Q807)=1,L807,IF((P807-Q807)=-1,-J807,0))</f>
        <v/>
      </c>
      <c r="T807" s="95">
        <f>IF((P807-Q807)=1,N807,IF((P807-Q807)=-1,-M807,0))</f>
        <v/>
      </c>
      <c r="U807" s="101">
        <f>IF(AND(H807=1,LedAcct&lt;&gt;""),IF(AND(E807&gt;=LedFrom,E807&lt;=LedTo,OR(I807=LedAcct,K807=LedAcct,AND(LedAcct=acctTax,M807+N807&lt;&gt;0))),E807*10000+B807,""),"")</f>
        <v/>
      </c>
    </row>
    <row r="808">
      <c r="B808" s="101" t="n">
        <v>802</v>
      </c>
      <c r="C808" s="58" t="inlineStr">
        <is>
          <t>Transaction</t>
        </is>
      </c>
      <c r="D808" s="58">
        <f>IF(H808=1,INDEX(tx_ID,802)&amp;"","")</f>
        <v/>
      </c>
      <c r="E808" s="94">
        <f>IF(H808=1,INDEX(tx_Date,802),"")</f>
        <v/>
      </c>
      <c r="F808" s="58">
        <f>IF(H808=1,INDEX(tx_Desc,802)&amp;"","")</f>
        <v/>
      </c>
      <c r="G808" s="58">
        <f>IF(H808=1,IF(INDEX(tx_Cust,802)&amp;""&lt;&gt;"",INDEX(tx_Cust,802)&amp;"",INDEX(tx_Vend,802)&amp;""),"")</f>
        <v/>
      </c>
      <c r="H808" s="101">
        <f>IFERROR(N(INDEX(tx_Posted,802)),0)</f>
        <v/>
      </c>
      <c r="I808" s="58">
        <f>IF(H808=1,INDEX(tx_DrAcct,802)&amp;"","")</f>
        <v/>
      </c>
      <c r="J808" s="95">
        <f>IF(H808=1,INDEX(tx_DrAmt,802),0)</f>
        <v/>
      </c>
      <c r="K808" s="58">
        <f>IF(H808=1,INDEX(tx_CrAcct,802)&amp;"","")</f>
        <v/>
      </c>
      <c r="L808" s="95">
        <f>IF(H808=1,INDEX(tx_CrAmt,802),0)</f>
        <v/>
      </c>
      <c r="M808" s="95">
        <f>IF(H808=1,INDEX(tx_TaxDr,802),0)</f>
        <v/>
      </c>
      <c r="N808" s="95">
        <f>IF(H808=1,INDEX(tx_TaxCr,802),0)</f>
        <v/>
      </c>
      <c r="O808" s="101">
        <f>IF(H808=1,IF(E808&lt;FYStart,0,IF(E808&gt;FYEnd,13,YEAR(E808)*12+MONTH(E808)-FYYM+1)),"")</f>
        <v/>
      </c>
      <c r="P808" s="101">
        <f>IF(H808=1,IF(IFERROR(INDEX(coa_CF,MATCH(I808,coa_Name,0)),"")="Cash",1,0),0)</f>
        <v/>
      </c>
      <c r="Q808" s="101">
        <f>IF(H808=1,IF(IFERROR(INDEX(coa_CF,MATCH(K808,coa_Name,0)),"")="Cash",1,0),0)</f>
        <v/>
      </c>
      <c r="R808" s="58">
        <f>IF((P808-Q808)=0,"",IFERROR(INDEX(coa_CF,MATCH(IF((P808-Q808)=1,K808,I808),coa_Name,0)),"Operating"))</f>
        <v/>
      </c>
      <c r="S808" s="95">
        <f>IF((P808-Q808)=1,L808,IF((P808-Q808)=-1,-J808,0))</f>
        <v/>
      </c>
      <c r="T808" s="95">
        <f>IF((P808-Q808)=1,N808,IF((P808-Q808)=-1,-M808,0))</f>
        <v/>
      </c>
      <c r="U808" s="101">
        <f>IF(AND(H808=1,LedAcct&lt;&gt;""),IF(AND(E808&gt;=LedFrom,E808&lt;=LedTo,OR(I808=LedAcct,K808=LedAcct,AND(LedAcct=acctTax,M808+N808&lt;&gt;0))),E808*10000+B808,""),"")</f>
        <v/>
      </c>
    </row>
    <row r="809">
      <c r="B809" s="101" t="n">
        <v>803</v>
      </c>
      <c r="C809" s="58" t="inlineStr">
        <is>
          <t>Transaction</t>
        </is>
      </c>
      <c r="D809" s="58">
        <f>IF(H809=1,INDEX(tx_ID,803)&amp;"","")</f>
        <v/>
      </c>
      <c r="E809" s="94">
        <f>IF(H809=1,INDEX(tx_Date,803),"")</f>
        <v/>
      </c>
      <c r="F809" s="58">
        <f>IF(H809=1,INDEX(tx_Desc,803)&amp;"","")</f>
        <v/>
      </c>
      <c r="G809" s="58">
        <f>IF(H809=1,IF(INDEX(tx_Cust,803)&amp;""&lt;&gt;"",INDEX(tx_Cust,803)&amp;"",INDEX(tx_Vend,803)&amp;""),"")</f>
        <v/>
      </c>
      <c r="H809" s="101">
        <f>IFERROR(N(INDEX(tx_Posted,803)),0)</f>
        <v/>
      </c>
      <c r="I809" s="58">
        <f>IF(H809=1,INDEX(tx_DrAcct,803)&amp;"","")</f>
        <v/>
      </c>
      <c r="J809" s="95">
        <f>IF(H809=1,INDEX(tx_DrAmt,803),0)</f>
        <v/>
      </c>
      <c r="K809" s="58">
        <f>IF(H809=1,INDEX(tx_CrAcct,803)&amp;"","")</f>
        <v/>
      </c>
      <c r="L809" s="95">
        <f>IF(H809=1,INDEX(tx_CrAmt,803),0)</f>
        <v/>
      </c>
      <c r="M809" s="95">
        <f>IF(H809=1,INDEX(tx_TaxDr,803),0)</f>
        <v/>
      </c>
      <c r="N809" s="95">
        <f>IF(H809=1,INDEX(tx_TaxCr,803),0)</f>
        <v/>
      </c>
      <c r="O809" s="101">
        <f>IF(H809=1,IF(E809&lt;FYStart,0,IF(E809&gt;FYEnd,13,YEAR(E809)*12+MONTH(E809)-FYYM+1)),"")</f>
        <v/>
      </c>
      <c r="P809" s="101">
        <f>IF(H809=1,IF(IFERROR(INDEX(coa_CF,MATCH(I809,coa_Name,0)),"")="Cash",1,0),0)</f>
        <v/>
      </c>
      <c r="Q809" s="101">
        <f>IF(H809=1,IF(IFERROR(INDEX(coa_CF,MATCH(K809,coa_Name,0)),"")="Cash",1,0),0)</f>
        <v/>
      </c>
      <c r="R809" s="58">
        <f>IF((P809-Q809)=0,"",IFERROR(INDEX(coa_CF,MATCH(IF((P809-Q809)=1,K809,I809),coa_Name,0)),"Operating"))</f>
        <v/>
      </c>
      <c r="S809" s="95">
        <f>IF((P809-Q809)=1,L809,IF((P809-Q809)=-1,-J809,0))</f>
        <v/>
      </c>
      <c r="T809" s="95">
        <f>IF((P809-Q809)=1,N809,IF((P809-Q809)=-1,-M809,0))</f>
        <v/>
      </c>
      <c r="U809" s="101">
        <f>IF(AND(H809=1,LedAcct&lt;&gt;""),IF(AND(E809&gt;=LedFrom,E809&lt;=LedTo,OR(I809=LedAcct,K809=LedAcct,AND(LedAcct=acctTax,M809+N809&lt;&gt;0))),E809*10000+B809,""),"")</f>
        <v/>
      </c>
    </row>
    <row r="810">
      <c r="B810" s="101" t="n">
        <v>804</v>
      </c>
      <c r="C810" s="58" t="inlineStr">
        <is>
          <t>Transaction</t>
        </is>
      </c>
      <c r="D810" s="58">
        <f>IF(H810=1,INDEX(tx_ID,804)&amp;"","")</f>
        <v/>
      </c>
      <c r="E810" s="94">
        <f>IF(H810=1,INDEX(tx_Date,804),"")</f>
        <v/>
      </c>
      <c r="F810" s="58">
        <f>IF(H810=1,INDEX(tx_Desc,804)&amp;"","")</f>
        <v/>
      </c>
      <c r="G810" s="58">
        <f>IF(H810=1,IF(INDEX(tx_Cust,804)&amp;""&lt;&gt;"",INDEX(tx_Cust,804)&amp;"",INDEX(tx_Vend,804)&amp;""),"")</f>
        <v/>
      </c>
      <c r="H810" s="101">
        <f>IFERROR(N(INDEX(tx_Posted,804)),0)</f>
        <v/>
      </c>
      <c r="I810" s="58">
        <f>IF(H810=1,INDEX(tx_DrAcct,804)&amp;"","")</f>
        <v/>
      </c>
      <c r="J810" s="95">
        <f>IF(H810=1,INDEX(tx_DrAmt,804),0)</f>
        <v/>
      </c>
      <c r="K810" s="58">
        <f>IF(H810=1,INDEX(tx_CrAcct,804)&amp;"","")</f>
        <v/>
      </c>
      <c r="L810" s="95">
        <f>IF(H810=1,INDEX(tx_CrAmt,804),0)</f>
        <v/>
      </c>
      <c r="M810" s="95">
        <f>IF(H810=1,INDEX(tx_TaxDr,804),0)</f>
        <v/>
      </c>
      <c r="N810" s="95">
        <f>IF(H810=1,INDEX(tx_TaxCr,804),0)</f>
        <v/>
      </c>
      <c r="O810" s="101">
        <f>IF(H810=1,IF(E810&lt;FYStart,0,IF(E810&gt;FYEnd,13,YEAR(E810)*12+MONTH(E810)-FYYM+1)),"")</f>
        <v/>
      </c>
      <c r="P810" s="101">
        <f>IF(H810=1,IF(IFERROR(INDEX(coa_CF,MATCH(I810,coa_Name,0)),"")="Cash",1,0),0)</f>
        <v/>
      </c>
      <c r="Q810" s="101">
        <f>IF(H810=1,IF(IFERROR(INDEX(coa_CF,MATCH(K810,coa_Name,0)),"")="Cash",1,0),0)</f>
        <v/>
      </c>
      <c r="R810" s="58">
        <f>IF((P810-Q810)=0,"",IFERROR(INDEX(coa_CF,MATCH(IF((P810-Q810)=1,K810,I810),coa_Name,0)),"Operating"))</f>
        <v/>
      </c>
      <c r="S810" s="95">
        <f>IF((P810-Q810)=1,L810,IF((P810-Q810)=-1,-J810,0))</f>
        <v/>
      </c>
      <c r="T810" s="95">
        <f>IF((P810-Q810)=1,N810,IF((P810-Q810)=-1,-M810,0))</f>
        <v/>
      </c>
      <c r="U810" s="101">
        <f>IF(AND(H810=1,LedAcct&lt;&gt;""),IF(AND(E810&gt;=LedFrom,E810&lt;=LedTo,OR(I810=LedAcct,K810=LedAcct,AND(LedAcct=acctTax,M810+N810&lt;&gt;0))),E810*10000+B810,""),"")</f>
        <v/>
      </c>
    </row>
    <row r="811">
      <c r="B811" s="101" t="n">
        <v>805</v>
      </c>
      <c r="C811" s="58" t="inlineStr">
        <is>
          <t>Transaction</t>
        </is>
      </c>
      <c r="D811" s="58">
        <f>IF(H811=1,INDEX(tx_ID,805)&amp;"","")</f>
        <v/>
      </c>
      <c r="E811" s="94">
        <f>IF(H811=1,INDEX(tx_Date,805),"")</f>
        <v/>
      </c>
      <c r="F811" s="58">
        <f>IF(H811=1,INDEX(tx_Desc,805)&amp;"","")</f>
        <v/>
      </c>
      <c r="G811" s="58">
        <f>IF(H811=1,IF(INDEX(tx_Cust,805)&amp;""&lt;&gt;"",INDEX(tx_Cust,805)&amp;"",INDEX(tx_Vend,805)&amp;""),"")</f>
        <v/>
      </c>
      <c r="H811" s="101">
        <f>IFERROR(N(INDEX(tx_Posted,805)),0)</f>
        <v/>
      </c>
      <c r="I811" s="58">
        <f>IF(H811=1,INDEX(tx_DrAcct,805)&amp;"","")</f>
        <v/>
      </c>
      <c r="J811" s="95">
        <f>IF(H811=1,INDEX(tx_DrAmt,805),0)</f>
        <v/>
      </c>
      <c r="K811" s="58">
        <f>IF(H811=1,INDEX(tx_CrAcct,805)&amp;"","")</f>
        <v/>
      </c>
      <c r="L811" s="95">
        <f>IF(H811=1,INDEX(tx_CrAmt,805),0)</f>
        <v/>
      </c>
      <c r="M811" s="95">
        <f>IF(H811=1,INDEX(tx_TaxDr,805),0)</f>
        <v/>
      </c>
      <c r="N811" s="95">
        <f>IF(H811=1,INDEX(tx_TaxCr,805),0)</f>
        <v/>
      </c>
      <c r="O811" s="101">
        <f>IF(H811=1,IF(E811&lt;FYStart,0,IF(E811&gt;FYEnd,13,YEAR(E811)*12+MONTH(E811)-FYYM+1)),"")</f>
        <v/>
      </c>
      <c r="P811" s="101">
        <f>IF(H811=1,IF(IFERROR(INDEX(coa_CF,MATCH(I811,coa_Name,0)),"")="Cash",1,0),0)</f>
        <v/>
      </c>
      <c r="Q811" s="101">
        <f>IF(H811=1,IF(IFERROR(INDEX(coa_CF,MATCH(K811,coa_Name,0)),"")="Cash",1,0),0)</f>
        <v/>
      </c>
      <c r="R811" s="58">
        <f>IF((P811-Q811)=0,"",IFERROR(INDEX(coa_CF,MATCH(IF((P811-Q811)=1,K811,I811),coa_Name,0)),"Operating"))</f>
        <v/>
      </c>
      <c r="S811" s="95">
        <f>IF((P811-Q811)=1,L811,IF((P811-Q811)=-1,-J811,0))</f>
        <v/>
      </c>
      <c r="T811" s="95">
        <f>IF((P811-Q811)=1,N811,IF((P811-Q811)=-1,-M811,0))</f>
        <v/>
      </c>
      <c r="U811" s="101">
        <f>IF(AND(H811=1,LedAcct&lt;&gt;""),IF(AND(E811&gt;=LedFrom,E811&lt;=LedTo,OR(I811=LedAcct,K811=LedAcct,AND(LedAcct=acctTax,M811+N811&lt;&gt;0))),E811*10000+B811,""),"")</f>
        <v/>
      </c>
    </row>
    <row r="812">
      <c r="B812" s="101" t="n">
        <v>806</v>
      </c>
      <c r="C812" s="58" t="inlineStr">
        <is>
          <t>Transaction</t>
        </is>
      </c>
      <c r="D812" s="58">
        <f>IF(H812=1,INDEX(tx_ID,806)&amp;"","")</f>
        <v/>
      </c>
      <c r="E812" s="94">
        <f>IF(H812=1,INDEX(tx_Date,806),"")</f>
        <v/>
      </c>
      <c r="F812" s="58">
        <f>IF(H812=1,INDEX(tx_Desc,806)&amp;"","")</f>
        <v/>
      </c>
      <c r="G812" s="58">
        <f>IF(H812=1,IF(INDEX(tx_Cust,806)&amp;""&lt;&gt;"",INDEX(tx_Cust,806)&amp;"",INDEX(tx_Vend,806)&amp;""),"")</f>
        <v/>
      </c>
      <c r="H812" s="101">
        <f>IFERROR(N(INDEX(tx_Posted,806)),0)</f>
        <v/>
      </c>
      <c r="I812" s="58">
        <f>IF(H812=1,INDEX(tx_DrAcct,806)&amp;"","")</f>
        <v/>
      </c>
      <c r="J812" s="95">
        <f>IF(H812=1,INDEX(tx_DrAmt,806),0)</f>
        <v/>
      </c>
      <c r="K812" s="58">
        <f>IF(H812=1,INDEX(tx_CrAcct,806)&amp;"","")</f>
        <v/>
      </c>
      <c r="L812" s="95">
        <f>IF(H812=1,INDEX(tx_CrAmt,806),0)</f>
        <v/>
      </c>
      <c r="M812" s="95">
        <f>IF(H812=1,INDEX(tx_TaxDr,806),0)</f>
        <v/>
      </c>
      <c r="N812" s="95">
        <f>IF(H812=1,INDEX(tx_TaxCr,806),0)</f>
        <v/>
      </c>
      <c r="O812" s="101">
        <f>IF(H812=1,IF(E812&lt;FYStart,0,IF(E812&gt;FYEnd,13,YEAR(E812)*12+MONTH(E812)-FYYM+1)),"")</f>
        <v/>
      </c>
      <c r="P812" s="101">
        <f>IF(H812=1,IF(IFERROR(INDEX(coa_CF,MATCH(I812,coa_Name,0)),"")="Cash",1,0),0)</f>
        <v/>
      </c>
      <c r="Q812" s="101">
        <f>IF(H812=1,IF(IFERROR(INDEX(coa_CF,MATCH(K812,coa_Name,0)),"")="Cash",1,0),0)</f>
        <v/>
      </c>
      <c r="R812" s="58">
        <f>IF((P812-Q812)=0,"",IFERROR(INDEX(coa_CF,MATCH(IF((P812-Q812)=1,K812,I812),coa_Name,0)),"Operating"))</f>
        <v/>
      </c>
      <c r="S812" s="95">
        <f>IF((P812-Q812)=1,L812,IF((P812-Q812)=-1,-J812,0))</f>
        <v/>
      </c>
      <c r="T812" s="95">
        <f>IF((P812-Q812)=1,N812,IF((P812-Q812)=-1,-M812,0))</f>
        <v/>
      </c>
      <c r="U812" s="101">
        <f>IF(AND(H812=1,LedAcct&lt;&gt;""),IF(AND(E812&gt;=LedFrom,E812&lt;=LedTo,OR(I812=LedAcct,K812=LedAcct,AND(LedAcct=acctTax,M812+N812&lt;&gt;0))),E812*10000+B812,""),"")</f>
        <v/>
      </c>
    </row>
    <row r="813">
      <c r="B813" s="101" t="n">
        <v>807</v>
      </c>
      <c r="C813" s="58" t="inlineStr">
        <is>
          <t>Transaction</t>
        </is>
      </c>
      <c r="D813" s="58">
        <f>IF(H813=1,INDEX(tx_ID,807)&amp;"","")</f>
        <v/>
      </c>
      <c r="E813" s="94">
        <f>IF(H813=1,INDEX(tx_Date,807),"")</f>
        <v/>
      </c>
      <c r="F813" s="58">
        <f>IF(H813=1,INDEX(tx_Desc,807)&amp;"","")</f>
        <v/>
      </c>
      <c r="G813" s="58">
        <f>IF(H813=1,IF(INDEX(tx_Cust,807)&amp;""&lt;&gt;"",INDEX(tx_Cust,807)&amp;"",INDEX(tx_Vend,807)&amp;""),"")</f>
        <v/>
      </c>
      <c r="H813" s="101">
        <f>IFERROR(N(INDEX(tx_Posted,807)),0)</f>
        <v/>
      </c>
      <c r="I813" s="58">
        <f>IF(H813=1,INDEX(tx_DrAcct,807)&amp;"","")</f>
        <v/>
      </c>
      <c r="J813" s="95">
        <f>IF(H813=1,INDEX(tx_DrAmt,807),0)</f>
        <v/>
      </c>
      <c r="K813" s="58">
        <f>IF(H813=1,INDEX(tx_CrAcct,807)&amp;"","")</f>
        <v/>
      </c>
      <c r="L813" s="95">
        <f>IF(H813=1,INDEX(tx_CrAmt,807),0)</f>
        <v/>
      </c>
      <c r="M813" s="95">
        <f>IF(H813=1,INDEX(tx_TaxDr,807),0)</f>
        <v/>
      </c>
      <c r="N813" s="95">
        <f>IF(H813=1,INDEX(tx_TaxCr,807),0)</f>
        <v/>
      </c>
      <c r="O813" s="101">
        <f>IF(H813=1,IF(E813&lt;FYStart,0,IF(E813&gt;FYEnd,13,YEAR(E813)*12+MONTH(E813)-FYYM+1)),"")</f>
        <v/>
      </c>
      <c r="P813" s="101">
        <f>IF(H813=1,IF(IFERROR(INDEX(coa_CF,MATCH(I813,coa_Name,0)),"")="Cash",1,0),0)</f>
        <v/>
      </c>
      <c r="Q813" s="101">
        <f>IF(H813=1,IF(IFERROR(INDEX(coa_CF,MATCH(K813,coa_Name,0)),"")="Cash",1,0),0)</f>
        <v/>
      </c>
      <c r="R813" s="58">
        <f>IF((P813-Q813)=0,"",IFERROR(INDEX(coa_CF,MATCH(IF((P813-Q813)=1,K813,I813),coa_Name,0)),"Operating"))</f>
        <v/>
      </c>
      <c r="S813" s="95">
        <f>IF((P813-Q813)=1,L813,IF((P813-Q813)=-1,-J813,0))</f>
        <v/>
      </c>
      <c r="T813" s="95">
        <f>IF((P813-Q813)=1,N813,IF((P813-Q813)=-1,-M813,0))</f>
        <v/>
      </c>
      <c r="U813" s="101">
        <f>IF(AND(H813=1,LedAcct&lt;&gt;""),IF(AND(E813&gt;=LedFrom,E813&lt;=LedTo,OR(I813=LedAcct,K813=LedAcct,AND(LedAcct=acctTax,M813+N813&lt;&gt;0))),E813*10000+B813,""),"")</f>
        <v/>
      </c>
    </row>
    <row r="814">
      <c r="B814" s="101" t="n">
        <v>808</v>
      </c>
      <c r="C814" s="58" t="inlineStr">
        <is>
          <t>Transaction</t>
        </is>
      </c>
      <c r="D814" s="58">
        <f>IF(H814=1,INDEX(tx_ID,808)&amp;"","")</f>
        <v/>
      </c>
      <c r="E814" s="94">
        <f>IF(H814=1,INDEX(tx_Date,808),"")</f>
        <v/>
      </c>
      <c r="F814" s="58">
        <f>IF(H814=1,INDEX(tx_Desc,808)&amp;"","")</f>
        <v/>
      </c>
      <c r="G814" s="58">
        <f>IF(H814=1,IF(INDEX(tx_Cust,808)&amp;""&lt;&gt;"",INDEX(tx_Cust,808)&amp;"",INDEX(tx_Vend,808)&amp;""),"")</f>
        <v/>
      </c>
      <c r="H814" s="101">
        <f>IFERROR(N(INDEX(tx_Posted,808)),0)</f>
        <v/>
      </c>
      <c r="I814" s="58">
        <f>IF(H814=1,INDEX(tx_DrAcct,808)&amp;"","")</f>
        <v/>
      </c>
      <c r="J814" s="95">
        <f>IF(H814=1,INDEX(tx_DrAmt,808),0)</f>
        <v/>
      </c>
      <c r="K814" s="58">
        <f>IF(H814=1,INDEX(tx_CrAcct,808)&amp;"","")</f>
        <v/>
      </c>
      <c r="L814" s="95">
        <f>IF(H814=1,INDEX(tx_CrAmt,808),0)</f>
        <v/>
      </c>
      <c r="M814" s="95">
        <f>IF(H814=1,INDEX(tx_TaxDr,808),0)</f>
        <v/>
      </c>
      <c r="N814" s="95">
        <f>IF(H814=1,INDEX(tx_TaxCr,808),0)</f>
        <v/>
      </c>
      <c r="O814" s="101">
        <f>IF(H814=1,IF(E814&lt;FYStart,0,IF(E814&gt;FYEnd,13,YEAR(E814)*12+MONTH(E814)-FYYM+1)),"")</f>
        <v/>
      </c>
      <c r="P814" s="101">
        <f>IF(H814=1,IF(IFERROR(INDEX(coa_CF,MATCH(I814,coa_Name,0)),"")="Cash",1,0),0)</f>
        <v/>
      </c>
      <c r="Q814" s="101">
        <f>IF(H814=1,IF(IFERROR(INDEX(coa_CF,MATCH(K814,coa_Name,0)),"")="Cash",1,0),0)</f>
        <v/>
      </c>
      <c r="R814" s="58">
        <f>IF((P814-Q814)=0,"",IFERROR(INDEX(coa_CF,MATCH(IF((P814-Q814)=1,K814,I814),coa_Name,0)),"Operating"))</f>
        <v/>
      </c>
      <c r="S814" s="95">
        <f>IF((P814-Q814)=1,L814,IF((P814-Q814)=-1,-J814,0))</f>
        <v/>
      </c>
      <c r="T814" s="95">
        <f>IF((P814-Q814)=1,N814,IF((P814-Q814)=-1,-M814,0))</f>
        <v/>
      </c>
      <c r="U814" s="101">
        <f>IF(AND(H814=1,LedAcct&lt;&gt;""),IF(AND(E814&gt;=LedFrom,E814&lt;=LedTo,OR(I814=LedAcct,K814=LedAcct,AND(LedAcct=acctTax,M814+N814&lt;&gt;0))),E814*10000+B814,""),"")</f>
        <v/>
      </c>
    </row>
    <row r="815">
      <c r="B815" s="101" t="n">
        <v>809</v>
      </c>
      <c r="C815" s="58" t="inlineStr">
        <is>
          <t>Transaction</t>
        </is>
      </c>
      <c r="D815" s="58">
        <f>IF(H815=1,INDEX(tx_ID,809)&amp;"","")</f>
        <v/>
      </c>
      <c r="E815" s="94">
        <f>IF(H815=1,INDEX(tx_Date,809),"")</f>
        <v/>
      </c>
      <c r="F815" s="58">
        <f>IF(H815=1,INDEX(tx_Desc,809)&amp;"","")</f>
        <v/>
      </c>
      <c r="G815" s="58">
        <f>IF(H815=1,IF(INDEX(tx_Cust,809)&amp;""&lt;&gt;"",INDEX(tx_Cust,809)&amp;"",INDEX(tx_Vend,809)&amp;""),"")</f>
        <v/>
      </c>
      <c r="H815" s="101">
        <f>IFERROR(N(INDEX(tx_Posted,809)),0)</f>
        <v/>
      </c>
      <c r="I815" s="58">
        <f>IF(H815=1,INDEX(tx_DrAcct,809)&amp;"","")</f>
        <v/>
      </c>
      <c r="J815" s="95">
        <f>IF(H815=1,INDEX(tx_DrAmt,809),0)</f>
        <v/>
      </c>
      <c r="K815" s="58">
        <f>IF(H815=1,INDEX(tx_CrAcct,809)&amp;"","")</f>
        <v/>
      </c>
      <c r="L815" s="95">
        <f>IF(H815=1,INDEX(tx_CrAmt,809),0)</f>
        <v/>
      </c>
      <c r="M815" s="95">
        <f>IF(H815=1,INDEX(tx_TaxDr,809),0)</f>
        <v/>
      </c>
      <c r="N815" s="95">
        <f>IF(H815=1,INDEX(tx_TaxCr,809),0)</f>
        <v/>
      </c>
      <c r="O815" s="101">
        <f>IF(H815=1,IF(E815&lt;FYStart,0,IF(E815&gt;FYEnd,13,YEAR(E815)*12+MONTH(E815)-FYYM+1)),"")</f>
        <v/>
      </c>
      <c r="P815" s="101">
        <f>IF(H815=1,IF(IFERROR(INDEX(coa_CF,MATCH(I815,coa_Name,0)),"")="Cash",1,0),0)</f>
        <v/>
      </c>
      <c r="Q815" s="101">
        <f>IF(H815=1,IF(IFERROR(INDEX(coa_CF,MATCH(K815,coa_Name,0)),"")="Cash",1,0),0)</f>
        <v/>
      </c>
      <c r="R815" s="58">
        <f>IF((P815-Q815)=0,"",IFERROR(INDEX(coa_CF,MATCH(IF((P815-Q815)=1,K815,I815),coa_Name,0)),"Operating"))</f>
        <v/>
      </c>
      <c r="S815" s="95">
        <f>IF((P815-Q815)=1,L815,IF((P815-Q815)=-1,-J815,0))</f>
        <v/>
      </c>
      <c r="T815" s="95">
        <f>IF((P815-Q815)=1,N815,IF((P815-Q815)=-1,-M815,0))</f>
        <v/>
      </c>
      <c r="U815" s="101">
        <f>IF(AND(H815=1,LedAcct&lt;&gt;""),IF(AND(E815&gt;=LedFrom,E815&lt;=LedTo,OR(I815=LedAcct,K815=LedAcct,AND(LedAcct=acctTax,M815+N815&lt;&gt;0))),E815*10000+B815,""),"")</f>
        <v/>
      </c>
    </row>
    <row r="816">
      <c r="B816" s="101" t="n">
        <v>810</v>
      </c>
      <c r="C816" s="58" t="inlineStr">
        <is>
          <t>Transaction</t>
        </is>
      </c>
      <c r="D816" s="58">
        <f>IF(H816=1,INDEX(tx_ID,810)&amp;"","")</f>
        <v/>
      </c>
      <c r="E816" s="94">
        <f>IF(H816=1,INDEX(tx_Date,810),"")</f>
        <v/>
      </c>
      <c r="F816" s="58">
        <f>IF(H816=1,INDEX(tx_Desc,810)&amp;"","")</f>
        <v/>
      </c>
      <c r="G816" s="58">
        <f>IF(H816=1,IF(INDEX(tx_Cust,810)&amp;""&lt;&gt;"",INDEX(tx_Cust,810)&amp;"",INDEX(tx_Vend,810)&amp;""),"")</f>
        <v/>
      </c>
      <c r="H816" s="101">
        <f>IFERROR(N(INDEX(tx_Posted,810)),0)</f>
        <v/>
      </c>
      <c r="I816" s="58">
        <f>IF(H816=1,INDEX(tx_DrAcct,810)&amp;"","")</f>
        <v/>
      </c>
      <c r="J816" s="95">
        <f>IF(H816=1,INDEX(tx_DrAmt,810),0)</f>
        <v/>
      </c>
      <c r="K816" s="58">
        <f>IF(H816=1,INDEX(tx_CrAcct,810)&amp;"","")</f>
        <v/>
      </c>
      <c r="L816" s="95">
        <f>IF(H816=1,INDEX(tx_CrAmt,810),0)</f>
        <v/>
      </c>
      <c r="M816" s="95">
        <f>IF(H816=1,INDEX(tx_TaxDr,810),0)</f>
        <v/>
      </c>
      <c r="N816" s="95">
        <f>IF(H816=1,INDEX(tx_TaxCr,810),0)</f>
        <v/>
      </c>
      <c r="O816" s="101">
        <f>IF(H816=1,IF(E816&lt;FYStart,0,IF(E816&gt;FYEnd,13,YEAR(E816)*12+MONTH(E816)-FYYM+1)),"")</f>
        <v/>
      </c>
      <c r="P816" s="101">
        <f>IF(H816=1,IF(IFERROR(INDEX(coa_CF,MATCH(I816,coa_Name,0)),"")="Cash",1,0),0)</f>
        <v/>
      </c>
      <c r="Q816" s="101">
        <f>IF(H816=1,IF(IFERROR(INDEX(coa_CF,MATCH(K816,coa_Name,0)),"")="Cash",1,0),0)</f>
        <v/>
      </c>
      <c r="R816" s="58">
        <f>IF((P816-Q816)=0,"",IFERROR(INDEX(coa_CF,MATCH(IF((P816-Q816)=1,K816,I816),coa_Name,0)),"Operating"))</f>
        <v/>
      </c>
      <c r="S816" s="95">
        <f>IF((P816-Q816)=1,L816,IF((P816-Q816)=-1,-J816,0))</f>
        <v/>
      </c>
      <c r="T816" s="95">
        <f>IF((P816-Q816)=1,N816,IF((P816-Q816)=-1,-M816,0))</f>
        <v/>
      </c>
      <c r="U816" s="101">
        <f>IF(AND(H816=1,LedAcct&lt;&gt;""),IF(AND(E816&gt;=LedFrom,E816&lt;=LedTo,OR(I816=LedAcct,K816=LedAcct,AND(LedAcct=acctTax,M816+N816&lt;&gt;0))),E816*10000+B816,""),"")</f>
        <v/>
      </c>
    </row>
    <row r="817">
      <c r="B817" s="101" t="n">
        <v>811</v>
      </c>
      <c r="C817" s="58" t="inlineStr">
        <is>
          <t>Transaction</t>
        </is>
      </c>
      <c r="D817" s="58">
        <f>IF(H817=1,INDEX(tx_ID,811)&amp;"","")</f>
        <v/>
      </c>
      <c r="E817" s="94">
        <f>IF(H817=1,INDEX(tx_Date,811),"")</f>
        <v/>
      </c>
      <c r="F817" s="58">
        <f>IF(H817=1,INDEX(tx_Desc,811)&amp;"","")</f>
        <v/>
      </c>
      <c r="G817" s="58">
        <f>IF(H817=1,IF(INDEX(tx_Cust,811)&amp;""&lt;&gt;"",INDEX(tx_Cust,811)&amp;"",INDEX(tx_Vend,811)&amp;""),"")</f>
        <v/>
      </c>
      <c r="H817" s="101">
        <f>IFERROR(N(INDEX(tx_Posted,811)),0)</f>
        <v/>
      </c>
      <c r="I817" s="58">
        <f>IF(H817=1,INDEX(tx_DrAcct,811)&amp;"","")</f>
        <v/>
      </c>
      <c r="J817" s="95">
        <f>IF(H817=1,INDEX(tx_DrAmt,811),0)</f>
        <v/>
      </c>
      <c r="K817" s="58">
        <f>IF(H817=1,INDEX(tx_CrAcct,811)&amp;"","")</f>
        <v/>
      </c>
      <c r="L817" s="95">
        <f>IF(H817=1,INDEX(tx_CrAmt,811),0)</f>
        <v/>
      </c>
      <c r="M817" s="95">
        <f>IF(H817=1,INDEX(tx_TaxDr,811),0)</f>
        <v/>
      </c>
      <c r="N817" s="95">
        <f>IF(H817=1,INDEX(tx_TaxCr,811),0)</f>
        <v/>
      </c>
      <c r="O817" s="101">
        <f>IF(H817=1,IF(E817&lt;FYStart,0,IF(E817&gt;FYEnd,13,YEAR(E817)*12+MONTH(E817)-FYYM+1)),"")</f>
        <v/>
      </c>
      <c r="P817" s="101">
        <f>IF(H817=1,IF(IFERROR(INDEX(coa_CF,MATCH(I817,coa_Name,0)),"")="Cash",1,0),0)</f>
        <v/>
      </c>
      <c r="Q817" s="101">
        <f>IF(H817=1,IF(IFERROR(INDEX(coa_CF,MATCH(K817,coa_Name,0)),"")="Cash",1,0),0)</f>
        <v/>
      </c>
      <c r="R817" s="58">
        <f>IF((P817-Q817)=0,"",IFERROR(INDEX(coa_CF,MATCH(IF((P817-Q817)=1,K817,I817),coa_Name,0)),"Operating"))</f>
        <v/>
      </c>
      <c r="S817" s="95">
        <f>IF((P817-Q817)=1,L817,IF((P817-Q817)=-1,-J817,0))</f>
        <v/>
      </c>
      <c r="T817" s="95">
        <f>IF((P817-Q817)=1,N817,IF((P817-Q817)=-1,-M817,0))</f>
        <v/>
      </c>
      <c r="U817" s="101">
        <f>IF(AND(H817=1,LedAcct&lt;&gt;""),IF(AND(E817&gt;=LedFrom,E817&lt;=LedTo,OR(I817=LedAcct,K817=LedAcct,AND(LedAcct=acctTax,M817+N817&lt;&gt;0))),E817*10000+B817,""),"")</f>
        <v/>
      </c>
    </row>
    <row r="818">
      <c r="B818" s="101" t="n">
        <v>812</v>
      </c>
      <c r="C818" s="58" t="inlineStr">
        <is>
          <t>Transaction</t>
        </is>
      </c>
      <c r="D818" s="58">
        <f>IF(H818=1,INDEX(tx_ID,812)&amp;"","")</f>
        <v/>
      </c>
      <c r="E818" s="94">
        <f>IF(H818=1,INDEX(tx_Date,812),"")</f>
        <v/>
      </c>
      <c r="F818" s="58">
        <f>IF(H818=1,INDEX(tx_Desc,812)&amp;"","")</f>
        <v/>
      </c>
      <c r="G818" s="58">
        <f>IF(H818=1,IF(INDEX(tx_Cust,812)&amp;""&lt;&gt;"",INDEX(tx_Cust,812)&amp;"",INDEX(tx_Vend,812)&amp;""),"")</f>
        <v/>
      </c>
      <c r="H818" s="101">
        <f>IFERROR(N(INDEX(tx_Posted,812)),0)</f>
        <v/>
      </c>
      <c r="I818" s="58">
        <f>IF(H818=1,INDEX(tx_DrAcct,812)&amp;"","")</f>
        <v/>
      </c>
      <c r="J818" s="95">
        <f>IF(H818=1,INDEX(tx_DrAmt,812),0)</f>
        <v/>
      </c>
      <c r="K818" s="58">
        <f>IF(H818=1,INDEX(tx_CrAcct,812)&amp;"","")</f>
        <v/>
      </c>
      <c r="L818" s="95">
        <f>IF(H818=1,INDEX(tx_CrAmt,812),0)</f>
        <v/>
      </c>
      <c r="M818" s="95">
        <f>IF(H818=1,INDEX(tx_TaxDr,812),0)</f>
        <v/>
      </c>
      <c r="N818" s="95">
        <f>IF(H818=1,INDEX(tx_TaxCr,812),0)</f>
        <v/>
      </c>
      <c r="O818" s="101">
        <f>IF(H818=1,IF(E818&lt;FYStart,0,IF(E818&gt;FYEnd,13,YEAR(E818)*12+MONTH(E818)-FYYM+1)),"")</f>
        <v/>
      </c>
      <c r="P818" s="101">
        <f>IF(H818=1,IF(IFERROR(INDEX(coa_CF,MATCH(I818,coa_Name,0)),"")="Cash",1,0),0)</f>
        <v/>
      </c>
      <c r="Q818" s="101">
        <f>IF(H818=1,IF(IFERROR(INDEX(coa_CF,MATCH(K818,coa_Name,0)),"")="Cash",1,0),0)</f>
        <v/>
      </c>
      <c r="R818" s="58">
        <f>IF((P818-Q818)=0,"",IFERROR(INDEX(coa_CF,MATCH(IF((P818-Q818)=1,K818,I818),coa_Name,0)),"Operating"))</f>
        <v/>
      </c>
      <c r="S818" s="95">
        <f>IF((P818-Q818)=1,L818,IF((P818-Q818)=-1,-J818,0))</f>
        <v/>
      </c>
      <c r="T818" s="95">
        <f>IF((P818-Q818)=1,N818,IF((P818-Q818)=-1,-M818,0))</f>
        <v/>
      </c>
      <c r="U818" s="101">
        <f>IF(AND(H818=1,LedAcct&lt;&gt;""),IF(AND(E818&gt;=LedFrom,E818&lt;=LedTo,OR(I818=LedAcct,K818=LedAcct,AND(LedAcct=acctTax,M818+N818&lt;&gt;0))),E818*10000+B818,""),"")</f>
        <v/>
      </c>
    </row>
    <row r="819">
      <c r="B819" s="101" t="n">
        <v>813</v>
      </c>
      <c r="C819" s="58" t="inlineStr">
        <is>
          <t>Transaction</t>
        </is>
      </c>
      <c r="D819" s="58">
        <f>IF(H819=1,INDEX(tx_ID,813)&amp;"","")</f>
        <v/>
      </c>
      <c r="E819" s="94">
        <f>IF(H819=1,INDEX(tx_Date,813),"")</f>
        <v/>
      </c>
      <c r="F819" s="58">
        <f>IF(H819=1,INDEX(tx_Desc,813)&amp;"","")</f>
        <v/>
      </c>
      <c r="G819" s="58">
        <f>IF(H819=1,IF(INDEX(tx_Cust,813)&amp;""&lt;&gt;"",INDEX(tx_Cust,813)&amp;"",INDEX(tx_Vend,813)&amp;""),"")</f>
        <v/>
      </c>
      <c r="H819" s="101">
        <f>IFERROR(N(INDEX(tx_Posted,813)),0)</f>
        <v/>
      </c>
      <c r="I819" s="58">
        <f>IF(H819=1,INDEX(tx_DrAcct,813)&amp;"","")</f>
        <v/>
      </c>
      <c r="J819" s="95">
        <f>IF(H819=1,INDEX(tx_DrAmt,813),0)</f>
        <v/>
      </c>
      <c r="K819" s="58">
        <f>IF(H819=1,INDEX(tx_CrAcct,813)&amp;"","")</f>
        <v/>
      </c>
      <c r="L819" s="95">
        <f>IF(H819=1,INDEX(tx_CrAmt,813),0)</f>
        <v/>
      </c>
      <c r="M819" s="95">
        <f>IF(H819=1,INDEX(tx_TaxDr,813),0)</f>
        <v/>
      </c>
      <c r="N819" s="95">
        <f>IF(H819=1,INDEX(tx_TaxCr,813),0)</f>
        <v/>
      </c>
      <c r="O819" s="101">
        <f>IF(H819=1,IF(E819&lt;FYStart,0,IF(E819&gt;FYEnd,13,YEAR(E819)*12+MONTH(E819)-FYYM+1)),"")</f>
        <v/>
      </c>
      <c r="P819" s="101">
        <f>IF(H819=1,IF(IFERROR(INDEX(coa_CF,MATCH(I819,coa_Name,0)),"")="Cash",1,0),0)</f>
        <v/>
      </c>
      <c r="Q819" s="101">
        <f>IF(H819=1,IF(IFERROR(INDEX(coa_CF,MATCH(K819,coa_Name,0)),"")="Cash",1,0),0)</f>
        <v/>
      </c>
      <c r="R819" s="58">
        <f>IF((P819-Q819)=0,"",IFERROR(INDEX(coa_CF,MATCH(IF((P819-Q819)=1,K819,I819),coa_Name,0)),"Operating"))</f>
        <v/>
      </c>
      <c r="S819" s="95">
        <f>IF((P819-Q819)=1,L819,IF((P819-Q819)=-1,-J819,0))</f>
        <v/>
      </c>
      <c r="T819" s="95">
        <f>IF((P819-Q819)=1,N819,IF((P819-Q819)=-1,-M819,0))</f>
        <v/>
      </c>
      <c r="U819" s="101">
        <f>IF(AND(H819=1,LedAcct&lt;&gt;""),IF(AND(E819&gt;=LedFrom,E819&lt;=LedTo,OR(I819=LedAcct,K819=LedAcct,AND(LedAcct=acctTax,M819+N819&lt;&gt;0))),E819*10000+B819,""),"")</f>
        <v/>
      </c>
    </row>
    <row r="820">
      <c r="B820" s="101" t="n">
        <v>814</v>
      </c>
      <c r="C820" s="58" t="inlineStr">
        <is>
          <t>Transaction</t>
        </is>
      </c>
      <c r="D820" s="58">
        <f>IF(H820=1,INDEX(tx_ID,814)&amp;"","")</f>
        <v/>
      </c>
      <c r="E820" s="94">
        <f>IF(H820=1,INDEX(tx_Date,814),"")</f>
        <v/>
      </c>
      <c r="F820" s="58">
        <f>IF(H820=1,INDEX(tx_Desc,814)&amp;"","")</f>
        <v/>
      </c>
      <c r="G820" s="58">
        <f>IF(H820=1,IF(INDEX(tx_Cust,814)&amp;""&lt;&gt;"",INDEX(tx_Cust,814)&amp;"",INDEX(tx_Vend,814)&amp;""),"")</f>
        <v/>
      </c>
      <c r="H820" s="101">
        <f>IFERROR(N(INDEX(tx_Posted,814)),0)</f>
        <v/>
      </c>
      <c r="I820" s="58">
        <f>IF(H820=1,INDEX(tx_DrAcct,814)&amp;"","")</f>
        <v/>
      </c>
      <c r="J820" s="95">
        <f>IF(H820=1,INDEX(tx_DrAmt,814),0)</f>
        <v/>
      </c>
      <c r="K820" s="58">
        <f>IF(H820=1,INDEX(tx_CrAcct,814)&amp;"","")</f>
        <v/>
      </c>
      <c r="L820" s="95">
        <f>IF(H820=1,INDEX(tx_CrAmt,814),0)</f>
        <v/>
      </c>
      <c r="M820" s="95">
        <f>IF(H820=1,INDEX(tx_TaxDr,814),0)</f>
        <v/>
      </c>
      <c r="N820" s="95">
        <f>IF(H820=1,INDEX(tx_TaxCr,814),0)</f>
        <v/>
      </c>
      <c r="O820" s="101">
        <f>IF(H820=1,IF(E820&lt;FYStart,0,IF(E820&gt;FYEnd,13,YEAR(E820)*12+MONTH(E820)-FYYM+1)),"")</f>
        <v/>
      </c>
      <c r="P820" s="101">
        <f>IF(H820=1,IF(IFERROR(INDEX(coa_CF,MATCH(I820,coa_Name,0)),"")="Cash",1,0),0)</f>
        <v/>
      </c>
      <c r="Q820" s="101">
        <f>IF(H820=1,IF(IFERROR(INDEX(coa_CF,MATCH(K820,coa_Name,0)),"")="Cash",1,0),0)</f>
        <v/>
      </c>
      <c r="R820" s="58">
        <f>IF((P820-Q820)=0,"",IFERROR(INDEX(coa_CF,MATCH(IF((P820-Q820)=1,K820,I820),coa_Name,0)),"Operating"))</f>
        <v/>
      </c>
      <c r="S820" s="95">
        <f>IF((P820-Q820)=1,L820,IF((P820-Q820)=-1,-J820,0))</f>
        <v/>
      </c>
      <c r="T820" s="95">
        <f>IF((P820-Q820)=1,N820,IF((P820-Q820)=-1,-M820,0))</f>
        <v/>
      </c>
      <c r="U820" s="101">
        <f>IF(AND(H820=1,LedAcct&lt;&gt;""),IF(AND(E820&gt;=LedFrom,E820&lt;=LedTo,OR(I820=LedAcct,K820=LedAcct,AND(LedAcct=acctTax,M820+N820&lt;&gt;0))),E820*10000+B820,""),"")</f>
        <v/>
      </c>
    </row>
    <row r="821">
      <c r="B821" s="101" t="n">
        <v>815</v>
      </c>
      <c r="C821" s="58" t="inlineStr">
        <is>
          <t>Transaction</t>
        </is>
      </c>
      <c r="D821" s="58">
        <f>IF(H821=1,INDEX(tx_ID,815)&amp;"","")</f>
        <v/>
      </c>
      <c r="E821" s="94">
        <f>IF(H821=1,INDEX(tx_Date,815),"")</f>
        <v/>
      </c>
      <c r="F821" s="58">
        <f>IF(H821=1,INDEX(tx_Desc,815)&amp;"","")</f>
        <v/>
      </c>
      <c r="G821" s="58">
        <f>IF(H821=1,IF(INDEX(tx_Cust,815)&amp;""&lt;&gt;"",INDEX(tx_Cust,815)&amp;"",INDEX(tx_Vend,815)&amp;""),"")</f>
        <v/>
      </c>
      <c r="H821" s="101">
        <f>IFERROR(N(INDEX(tx_Posted,815)),0)</f>
        <v/>
      </c>
      <c r="I821" s="58">
        <f>IF(H821=1,INDEX(tx_DrAcct,815)&amp;"","")</f>
        <v/>
      </c>
      <c r="J821" s="95">
        <f>IF(H821=1,INDEX(tx_DrAmt,815),0)</f>
        <v/>
      </c>
      <c r="K821" s="58">
        <f>IF(H821=1,INDEX(tx_CrAcct,815)&amp;"","")</f>
        <v/>
      </c>
      <c r="L821" s="95">
        <f>IF(H821=1,INDEX(tx_CrAmt,815),0)</f>
        <v/>
      </c>
      <c r="M821" s="95">
        <f>IF(H821=1,INDEX(tx_TaxDr,815),0)</f>
        <v/>
      </c>
      <c r="N821" s="95">
        <f>IF(H821=1,INDEX(tx_TaxCr,815),0)</f>
        <v/>
      </c>
      <c r="O821" s="101">
        <f>IF(H821=1,IF(E821&lt;FYStart,0,IF(E821&gt;FYEnd,13,YEAR(E821)*12+MONTH(E821)-FYYM+1)),"")</f>
        <v/>
      </c>
      <c r="P821" s="101">
        <f>IF(H821=1,IF(IFERROR(INDEX(coa_CF,MATCH(I821,coa_Name,0)),"")="Cash",1,0),0)</f>
        <v/>
      </c>
      <c r="Q821" s="101">
        <f>IF(H821=1,IF(IFERROR(INDEX(coa_CF,MATCH(K821,coa_Name,0)),"")="Cash",1,0),0)</f>
        <v/>
      </c>
      <c r="R821" s="58">
        <f>IF((P821-Q821)=0,"",IFERROR(INDEX(coa_CF,MATCH(IF((P821-Q821)=1,K821,I821),coa_Name,0)),"Operating"))</f>
        <v/>
      </c>
      <c r="S821" s="95">
        <f>IF((P821-Q821)=1,L821,IF((P821-Q821)=-1,-J821,0))</f>
        <v/>
      </c>
      <c r="T821" s="95">
        <f>IF((P821-Q821)=1,N821,IF((P821-Q821)=-1,-M821,0))</f>
        <v/>
      </c>
      <c r="U821" s="101">
        <f>IF(AND(H821=1,LedAcct&lt;&gt;""),IF(AND(E821&gt;=LedFrom,E821&lt;=LedTo,OR(I821=LedAcct,K821=LedAcct,AND(LedAcct=acctTax,M821+N821&lt;&gt;0))),E821*10000+B821,""),"")</f>
        <v/>
      </c>
    </row>
    <row r="822">
      <c r="B822" s="101" t="n">
        <v>816</v>
      </c>
      <c r="C822" s="58" t="inlineStr">
        <is>
          <t>Transaction</t>
        </is>
      </c>
      <c r="D822" s="58">
        <f>IF(H822=1,INDEX(tx_ID,816)&amp;"","")</f>
        <v/>
      </c>
      <c r="E822" s="94">
        <f>IF(H822=1,INDEX(tx_Date,816),"")</f>
        <v/>
      </c>
      <c r="F822" s="58">
        <f>IF(H822=1,INDEX(tx_Desc,816)&amp;"","")</f>
        <v/>
      </c>
      <c r="G822" s="58">
        <f>IF(H822=1,IF(INDEX(tx_Cust,816)&amp;""&lt;&gt;"",INDEX(tx_Cust,816)&amp;"",INDEX(tx_Vend,816)&amp;""),"")</f>
        <v/>
      </c>
      <c r="H822" s="101">
        <f>IFERROR(N(INDEX(tx_Posted,816)),0)</f>
        <v/>
      </c>
      <c r="I822" s="58">
        <f>IF(H822=1,INDEX(tx_DrAcct,816)&amp;"","")</f>
        <v/>
      </c>
      <c r="J822" s="95">
        <f>IF(H822=1,INDEX(tx_DrAmt,816),0)</f>
        <v/>
      </c>
      <c r="K822" s="58">
        <f>IF(H822=1,INDEX(tx_CrAcct,816)&amp;"","")</f>
        <v/>
      </c>
      <c r="L822" s="95">
        <f>IF(H822=1,INDEX(tx_CrAmt,816),0)</f>
        <v/>
      </c>
      <c r="M822" s="95">
        <f>IF(H822=1,INDEX(tx_TaxDr,816),0)</f>
        <v/>
      </c>
      <c r="N822" s="95">
        <f>IF(H822=1,INDEX(tx_TaxCr,816),0)</f>
        <v/>
      </c>
      <c r="O822" s="101">
        <f>IF(H822=1,IF(E822&lt;FYStart,0,IF(E822&gt;FYEnd,13,YEAR(E822)*12+MONTH(E822)-FYYM+1)),"")</f>
        <v/>
      </c>
      <c r="P822" s="101">
        <f>IF(H822=1,IF(IFERROR(INDEX(coa_CF,MATCH(I822,coa_Name,0)),"")="Cash",1,0),0)</f>
        <v/>
      </c>
      <c r="Q822" s="101">
        <f>IF(H822=1,IF(IFERROR(INDEX(coa_CF,MATCH(K822,coa_Name,0)),"")="Cash",1,0),0)</f>
        <v/>
      </c>
      <c r="R822" s="58">
        <f>IF((P822-Q822)=0,"",IFERROR(INDEX(coa_CF,MATCH(IF((P822-Q822)=1,K822,I822),coa_Name,0)),"Operating"))</f>
        <v/>
      </c>
      <c r="S822" s="95">
        <f>IF((P822-Q822)=1,L822,IF((P822-Q822)=-1,-J822,0))</f>
        <v/>
      </c>
      <c r="T822" s="95">
        <f>IF((P822-Q822)=1,N822,IF((P822-Q822)=-1,-M822,0))</f>
        <v/>
      </c>
      <c r="U822" s="101">
        <f>IF(AND(H822=1,LedAcct&lt;&gt;""),IF(AND(E822&gt;=LedFrom,E822&lt;=LedTo,OR(I822=LedAcct,K822=LedAcct,AND(LedAcct=acctTax,M822+N822&lt;&gt;0))),E822*10000+B822,""),"")</f>
        <v/>
      </c>
    </row>
    <row r="823">
      <c r="B823" s="101" t="n">
        <v>817</v>
      </c>
      <c r="C823" s="58" t="inlineStr">
        <is>
          <t>Transaction</t>
        </is>
      </c>
      <c r="D823" s="58">
        <f>IF(H823=1,INDEX(tx_ID,817)&amp;"","")</f>
        <v/>
      </c>
      <c r="E823" s="94">
        <f>IF(H823=1,INDEX(tx_Date,817),"")</f>
        <v/>
      </c>
      <c r="F823" s="58">
        <f>IF(H823=1,INDEX(tx_Desc,817)&amp;"","")</f>
        <v/>
      </c>
      <c r="G823" s="58">
        <f>IF(H823=1,IF(INDEX(tx_Cust,817)&amp;""&lt;&gt;"",INDEX(tx_Cust,817)&amp;"",INDEX(tx_Vend,817)&amp;""),"")</f>
        <v/>
      </c>
      <c r="H823" s="101">
        <f>IFERROR(N(INDEX(tx_Posted,817)),0)</f>
        <v/>
      </c>
      <c r="I823" s="58">
        <f>IF(H823=1,INDEX(tx_DrAcct,817)&amp;"","")</f>
        <v/>
      </c>
      <c r="J823" s="95">
        <f>IF(H823=1,INDEX(tx_DrAmt,817),0)</f>
        <v/>
      </c>
      <c r="K823" s="58">
        <f>IF(H823=1,INDEX(tx_CrAcct,817)&amp;"","")</f>
        <v/>
      </c>
      <c r="L823" s="95">
        <f>IF(H823=1,INDEX(tx_CrAmt,817),0)</f>
        <v/>
      </c>
      <c r="M823" s="95">
        <f>IF(H823=1,INDEX(tx_TaxDr,817),0)</f>
        <v/>
      </c>
      <c r="N823" s="95">
        <f>IF(H823=1,INDEX(tx_TaxCr,817),0)</f>
        <v/>
      </c>
      <c r="O823" s="101">
        <f>IF(H823=1,IF(E823&lt;FYStart,0,IF(E823&gt;FYEnd,13,YEAR(E823)*12+MONTH(E823)-FYYM+1)),"")</f>
        <v/>
      </c>
      <c r="P823" s="101">
        <f>IF(H823=1,IF(IFERROR(INDEX(coa_CF,MATCH(I823,coa_Name,0)),"")="Cash",1,0),0)</f>
        <v/>
      </c>
      <c r="Q823" s="101">
        <f>IF(H823=1,IF(IFERROR(INDEX(coa_CF,MATCH(K823,coa_Name,0)),"")="Cash",1,0),0)</f>
        <v/>
      </c>
      <c r="R823" s="58">
        <f>IF((P823-Q823)=0,"",IFERROR(INDEX(coa_CF,MATCH(IF((P823-Q823)=1,K823,I823),coa_Name,0)),"Operating"))</f>
        <v/>
      </c>
      <c r="S823" s="95">
        <f>IF((P823-Q823)=1,L823,IF((P823-Q823)=-1,-J823,0))</f>
        <v/>
      </c>
      <c r="T823" s="95">
        <f>IF((P823-Q823)=1,N823,IF((P823-Q823)=-1,-M823,0))</f>
        <v/>
      </c>
      <c r="U823" s="101">
        <f>IF(AND(H823=1,LedAcct&lt;&gt;""),IF(AND(E823&gt;=LedFrom,E823&lt;=LedTo,OR(I823=LedAcct,K823=LedAcct,AND(LedAcct=acctTax,M823+N823&lt;&gt;0))),E823*10000+B823,""),"")</f>
        <v/>
      </c>
    </row>
    <row r="824">
      <c r="B824" s="101" t="n">
        <v>818</v>
      </c>
      <c r="C824" s="58" t="inlineStr">
        <is>
          <t>Transaction</t>
        </is>
      </c>
      <c r="D824" s="58">
        <f>IF(H824=1,INDEX(tx_ID,818)&amp;"","")</f>
        <v/>
      </c>
      <c r="E824" s="94">
        <f>IF(H824=1,INDEX(tx_Date,818),"")</f>
        <v/>
      </c>
      <c r="F824" s="58">
        <f>IF(H824=1,INDEX(tx_Desc,818)&amp;"","")</f>
        <v/>
      </c>
      <c r="G824" s="58">
        <f>IF(H824=1,IF(INDEX(tx_Cust,818)&amp;""&lt;&gt;"",INDEX(tx_Cust,818)&amp;"",INDEX(tx_Vend,818)&amp;""),"")</f>
        <v/>
      </c>
      <c r="H824" s="101">
        <f>IFERROR(N(INDEX(tx_Posted,818)),0)</f>
        <v/>
      </c>
      <c r="I824" s="58">
        <f>IF(H824=1,INDEX(tx_DrAcct,818)&amp;"","")</f>
        <v/>
      </c>
      <c r="J824" s="95">
        <f>IF(H824=1,INDEX(tx_DrAmt,818),0)</f>
        <v/>
      </c>
      <c r="K824" s="58">
        <f>IF(H824=1,INDEX(tx_CrAcct,818)&amp;"","")</f>
        <v/>
      </c>
      <c r="L824" s="95">
        <f>IF(H824=1,INDEX(tx_CrAmt,818),0)</f>
        <v/>
      </c>
      <c r="M824" s="95">
        <f>IF(H824=1,INDEX(tx_TaxDr,818),0)</f>
        <v/>
      </c>
      <c r="N824" s="95">
        <f>IF(H824=1,INDEX(tx_TaxCr,818),0)</f>
        <v/>
      </c>
      <c r="O824" s="101">
        <f>IF(H824=1,IF(E824&lt;FYStart,0,IF(E824&gt;FYEnd,13,YEAR(E824)*12+MONTH(E824)-FYYM+1)),"")</f>
        <v/>
      </c>
      <c r="P824" s="101">
        <f>IF(H824=1,IF(IFERROR(INDEX(coa_CF,MATCH(I824,coa_Name,0)),"")="Cash",1,0),0)</f>
        <v/>
      </c>
      <c r="Q824" s="101">
        <f>IF(H824=1,IF(IFERROR(INDEX(coa_CF,MATCH(K824,coa_Name,0)),"")="Cash",1,0),0)</f>
        <v/>
      </c>
      <c r="R824" s="58">
        <f>IF((P824-Q824)=0,"",IFERROR(INDEX(coa_CF,MATCH(IF((P824-Q824)=1,K824,I824),coa_Name,0)),"Operating"))</f>
        <v/>
      </c>
      <c r="S824" s="95">
        <f>IF((P824-Q824)=1,L824,IF((P824-Q824)=-1,-J824,0))</f>
        <v/>
      </c>
      <c r="T824" s="95">
        <f>IF((P824-Q824)=1,N824,IF((P824-Q824)=-1,-M824,0))</f>
        <v/>
      </c>
      <c r="U824" s="101">
        <f>IF(AND(H824=1,LedAcct&lt;&gt;""),IF(AND(E824&gt;=LedFrom,E824&lt;=LedTo,OR(I824=LedAcct,K824=LedAcct,AND(LedAcct=acctTax,M824+N824&lt;&gt;0))),E824*10000+B824,""),"")</f>
        <v/>
      </c>
    </row>
    <row r="825">
      <c r="B825" s="101" t="n">
        <v>819</v>
      </c>
      <c r="C825" s="58" t="inlineStr">
        <is>
          <t>Transaction</t>
        </is>
      </c>
      <c r="D825" s="58">
        <f>IF(H825=1,INDEX(tx_ID,819)&amp;"","")</f>
        <v/>
      </c>
      <c r="E825" s="94">
        <f>IF(H825=1,INDEX(tx_Date,819),"")</f>
        <v/>
      </c>
      <c r="F825" s="58">
        <f>IF(H825=1,INDEX(tx_Desc,819)&amp;"","")</f>
        <v/>
      </c>
      <c r="G825" s="58">
        <f>IF(H825=1,IF(INDEX(tx_Cust,819)&amp;""&lt;&gt;"",INDEX(tx_Cust,819)&amp;"",INDEX(tx_Vend,819)&amp;""),"")</f>
        <v/>
      </c>
      <c r="H825" s="101">
        <f>IFERROR(N(INDEX(tx_Posted,819)),0)</f>
        <v/>
      </c>
      <c r="I825" s="58">
        <f>IF(H825=1,INDEX(tx_DrAcct,819)&amp;"","")</f>
        <v/>
      </c>
      <c r="J825" s="95">
        <f>IF(H825=1,INDEX(tx_DrAmt,819),0)</f>
        <v/>
      </c>
      <c r="K825" s="58">
        <f>IF(H825=1,INDEX(tx_CrAcct,819)&amp;"","")</f>
        <v/>
      </c>
      <c r="L825" s="95">
        <f>IF(H825=1,INDEX(tx_CrAmt,819),0)</f>
        <v/>
      </c>
      <c r="M825" s="95">
        <f>IF(H825=1,INDEX(tx_TaxDr,819),0)</f>
        <v/>
      </c>
      <c r="N825" s="95">
        <f>IF(H825=1,INDEX(tx_TaxCr,819),0)</f>
        <v/>
      </c>
      <c r="O825" s="101">
        <f>IF(H825=1,IF(E825&lt;FYStart,0,IF(E825&gt;FYEnd,13,YEAR(E825)*12+MONTH(E825)-FYYM+1)),"")</f>
        <v/>
      </c>
      <c r="P825" s="101">
        <f>IF(H825=1,IF(IFERROR(INDEX(coa_CF,MATCH(I825,coa_Name,0)),"")="Cash",1,0),0)</f>
        <v/>
      </c>
      <c r="Q825" s="101">
        <f>IF(H825=1,IF(IFERROR(INDEX(coa_CF,MATCH(K825,coa_Name,0)),"")="Cash",1,0),0)</f>
        <v/>
      </c>
      <c r="R825" s="58">
        <f>IF((P825-Q825)=0,"",IFERROR(INDEX(coa_CF,MATCH(IF((P825-Q825)=1,K825,I825),coa_Name,0)),"Operating"))</f>
        <v/>
      </c>
      <c r="S825" s="95">
        <f>IF((P825-Q825)=1,L825,IF((P825-Q825)=-1,-J825,0))</f>
        <v/>
      </c>
      <c r="T825" s="95">
        <f>IF((P825-Q825)=1,N825,IF((P825-Q825)=-1,-M825,0))</f>
        <v/>
      </c>
      <c r="U825" s="101">
        <f>IF(AND(H825=1,LedAcct&lt;&gt;""),IF(AND(E825&gt;=LedFrom,E825&lt;=LedTo,OR(I825=LedAcct,K825=LedAcct,AND(LedAcct=acctTax,M825+N825&lt;&gt;0))),E825*10000+B825,""),"")</f>
        <v/>
      </c>
    </row>
    <row r="826">
      <c r="B826" s="101" t="n">
        <v>820</v>
      </c>
      <c r="C826" s="58" t="inlineStr">
        <is>
          <t>Transaction</t>
        </is>
      </c>
      <c r="D826" s="58">
        <f>IF(H826=1,INDEX(tx_ID,820)&amp;"","")</f>
        <v/>
      </c>
      <c r="E826" s="94">
        <f>IF(H826=1,INDEX(tx_Date,820),"")</f>
        <v/>
      </c>
      <c r="F826" s="58">
        <f>IF(H826=1,INDEX(tx_Desc,820)&amp;"","")</f>
        <v/>
      </c>
      <c r="G826" s="58">
        <f>IF(H826=1,IF(INDEX(tx_Cust,820)&amp;""&lt;&gt;"",INDEX(tx_Cust,820)&amp;"",INDEX(tx_Vend,820)&amp;""),"")</f>
        <v/>
      </c>
      <c r="H826" s="101">
        <f>IFERROR(N(INDEX(tx_Posted,820)),0)</f>
        <v/>
      </c>
      <c r="I826" s="58">
        <f>IF(H826=1,INDEX(tx_DrAcct,820)&amp;"","")</f>
        <v/>
      </c>
      <c r="J826" s="95">
        <f>IF(H826=1,INDEX(tx_DrAmt,820),0)</f>
        <v/>
      </c>
      <c r="K826" s="58">
        <f>IF(H826=1,INDEX(tx_CrAcct,820)&amp;"","")</f>
        <v/>
      </c>
      <c r="L826" s="95">
        <f>IF(H826=1,INDEX(tx_CrAmt,820),0)</f>
        <v/>
      </c>
      <c r="M826" s="95">
        <f>IF(H826=1,INDEX(tx_TaxDr,820),0)</f>
        <v/>
      </c>
      <c r="N826" s="95">
        <f>IF(H826=1,INDEX(tx_TaxCr,820),0)</f>
        <v/>
      </c>
      <c r="O826" s="101">
        <f>IF(H826=1,IF(E826&lt;FYStart,0,IF(E826&gt;FYEnd,13,YEAR(E826)*12+MONTH(E826)-FYYM+1)),"")</f>
        <v/>
      </c>
      <c r="P826" s="101">
        <f>IF(H826=1,IF(IFERROR(INDEX(coa_CF,MATCH(I826,coa_Name,0)),"")="Cash",1,0),0)</f>
        <v/>
      </c>
      <c r="Q826" s="101">
        <f>IF(H826=1,IF(IFERROR(INDEX(coa_CF,MATCH(K826,coa_Name,0)),"")="Cash",1,0),0)</f>
        <v/>
      </c>
      <c r="R826" s="58">
        <f>IF((P826-Q826)=0,"",IFERROR(INDEX(coa_CF,MATCH(IF((P826-Q826)=1,K826,I826),coa_Name,0)),"Operating"))</f>
        <v/>
      </c>
      <c r="S826" s="95">
        <f>IF((P826-Q826)=1,L826,IF((P826-Q826)=-1,-J826,0))</f>
        <v/>
      </c>
      <c r="T826" s="95">
        <f>IF((P826-Q826)=1,N826,IF((P826-Q826)=-1,-M826,0))</f>
        <v/>
      </c>
      <c r="U826" s="101">
        <f>IF(AND(H826=1,LedAcct&lt;&gt;""),IF(AND(E826&gt;=LedFrom,E826&lt;=LedTo,OR(I826=LedAcct,K826=LedAcct,AND(LedAcct=acctTax,M826+N826&lt;&gt;0))),E826*10000+B826,""),"")</f>
        <v/>
      </c>
    </row>
    <row r="827">
      <c r="B827" s="101" t="n">
        <v>821</v>
      </c>
      <c r="C827" s="58" t="inlineStr">
        <is>
          <t>Transaction</t>
        </is>
      </c>
      <c r="D827" s="58">
        <f>IF(H827=1,INDEX(tx_ID,821)&amp;"","")</f>
        <v/>
      </c>
      <c r="E827" s="94">
        <f>IF(H827=1,INDEX(tx_Date,821),"")</f>
        <v/>
      </c>
      <c r="F827" s="58">
        <f>IF(H827=1,INDEX(tx_Desc,821)&amp;"","")</f>
        <v/>
      </c>
      <c r="G827" s="58">
        <f>IF(H827=1,IF(INDEX(tx_Cust,821)&amp;""&lt;&gt;"",INDEX(tx_Cust,821)&amp;"",INDEX(tx_Vend,821)&amp;""),"")</f>
        <v/>
      </c>
      <c r="H827" s="101">
        <f>IFERROR(N(INDEX(tx_Posted,821)),0)</f>
        <v/>
      </c>
      <c r="I827" s="58">
        <f>IF(H827=1,INDEX(tx_DrAcct,821)&amp;"","")</f>
        <v/>
      </c>
      <c r="J827" s="95">
        <f>IF(H827=1,INDEX(tx_DrAmt,821),0)</f>
        <v/>
      </c>
      <c r="K827" s="58">
        <f>IF(H827=1,INDEX(tx_CrAcct,821)&amp;"","")</f>
        <v/>
      </c>
      <c r="L827" s="95">
        <f>IF(H827=1,INDEX(tx_CrAmt,821),0)</f>
        <v/>
      </c>
      <c r="M827" s="95">
        <f>IF(H827=1,INDEX(tx_TaxDr,821),0)</f>
        <v/>
      </c>
      <c r="N827" s="95">
        <f>IF(H827=1,INDEX(tx_TaxCr,821),0)</f>
        <v/>
      </c>
      <c r="O827" s="101">
        <f>IF(H827=1,IF(E827&lt;FYStart,0,IF(E827&gt;FYEnd,13,YEAR(E827)*12+MONTH(E827)-FYYM+1)),"")</f>
        <v/>
      </c>
      <c r="P827" s="101">
        <f>IF(H827=1,IF(IFERROR(INDEX(coa_CF,MATCH(I827,coa_Name,0)),"")="Cash",1,0),0)</f>
        <v/>
      </c>
      <c r="Q827" s="101">
        <f>IF(H827=1,IF(IFERROR(INDEX(coa_CF,MATCH(K827,coa_Name,0)),"")="Cash",1,0),0)</f>
        <v/>
      </c>
      <c r="R827" s="58">
        <f>IF((P827-Q827)=0,"",IFERROR(INDEX(coa_CF,MATCH(IF((P827-Q827)=1,K827,I827),coa_Name,0)),"Operating"))</f>
        <v/>
      </c>
      <c r="S827" s="95">
        <f>IF((P827-Q827)=1,L827,IF((P827-Q827)=-1,-J827,0))</f>
        <v/>
      </c>
      <c r="T827" s="95">
        <f>IF((P827-Q827)=1,N827,IF((P827-Q827)=-1,-M827,0))</f>
        <v/>
      </c>
      <c r="U827" s="101">
        <f>IF(AND(H827=1,LedAcct&lt;&gt;""),IF(AND(E827&gt;=LedFrom,E827&lt;=LedTo,OR(I827=LedAcct,K827=LedAcct,AND(LedAcct=acctTax,M827+N827&lt;&gt;0))),E827*10000+B827,""),"")</f>
        <v/>
      </c>
    </row>
    <row r="828">
      <c r="B828" s="101" t="n">
        <v>822</v>
      </c>
      <c r="C828" s="58" t="inlineStr">
        <is>
          <t>Transaction</t>
        </is>
      </c>
      <c r="D828" s="58">
        <f>IF(H828=1,INDEX(tx_ID,822)&amp;"","")</f>
        <v/>
      </c>
      <c r="E828" s="94">
        <f>IF(H828=1,INDEX(tx_Date,822),"")</f>
        <v/>
      </c>
      <c r="F828" s="58">
        <f>IF(H828=1,INDEX(tx_Desc,822)&amp;"","")</f>
        <v/>
      </c>
      <c r="G828" s="58">
        <f>IF(H828=1,IF(INDEX(tx_Cust,822)&amp;""&lt;&gt;"",INDEX(tx_Cust,822)&amp;"",INDEX(tx_Vend,822)&amp;""),"")</f>
        <v/>
      </c>
      <c r="H828" s="101">
        <f>IFERROR(N(INDEX(tx_Posted,822)),0)</f>
        <v/>
      </c>
      <c r="I828" s="58">
        <f>IF(H828=1,INDEX(tx_DrAcct,822)&amp;"","")</f>
        <v/>
      </c>
      <c r="J828" s="95">
        <f>IF(H828=1,INDEX(tx_DrAmt,822),0)</f>
        <v/>
      </c>
      <c r="K828" s="58">
        <f>IF(H828=1,INDEX(tx_CrAcct,822)&amp;"","")</f>
        <v/>
      </c>
      <c r="L828" s="95">
        <f>IF(H828=1,INDEX(tx_CrAmt,822),0)</f>
        <v/>
      </c>
      <c r="M828" s="95">
        <f>IF(H828=1,INDEX(tx_TaxDr,822),0)</f>
        <v/>
      </c>
      <c r="N828" s="95">
        <f>IF(H828=1,INDEX(tx_TaxCr,822),0)</f>
        <v/>
      </c>
      <c r="O828" s="101">
        <f>IF(H828=1,IF(E828&lt;FYStart,0,IF(E828&gt;FYEnd,13,YEAR(E828)*12+MONTH(E828)-FYYM+1)),"")</f>
        <v/>
      </c>
      <c r="P828" s="101">
        <f>IF(H828=1,IF(IFERROR(INDEX(coa_CF,MATCH(I828,coa_Name,0)),"")="Cash",1,0),0)</f>
        <v/>
      </c>
      <c r="Q828" s="101">
        <f>IF(H828=1,IF(IFERROR(INDEX(coa_CF,MATCH(K828,coa_Name,0)),"")="Cash",1,0),0)</f>
        <v/>
      </c>
      <c r="R828" s="58">
        <f>IF((P828-Q828)=0,"",IFERROR(INDEX(coa_CF,MATCH(IF((P828-Q828)=1,K828,I828),coa_Name,0)),"Operating"))</f>
        <v/>
      </c>
      <c r="S828" s="95">
        <f>IF((P828-Q828)=1,L828,IF((P828-Q828)=-1,-J828,0))</f>
        <v/>
      </c>
      <c r="T828" s="95">
        <f>IF((P828-Q828)=1,N828,IF((P828-Q828)=-1,-M828,0))</f>
        <v/>
      </c>
      <c r="U828" s="101">
        <f>IF(AND(H828=1,LedAcct&lt;&gt;""),IF(AND(E828&gt;=LedFrom,E828&lt;=LedTo,OR(I828=LedAcct,K828=LedAcct,AND(LedAcct=acctTax,M828+N828&lt;&gt;0))),E828*10000+B828,""),"")</f>
        <v/>
      </c>
    </row>
    <row r="829">
      <c r="B829" s="101" t="n">
        <v>823</v>
      </c>
      <c r="C829" s="58" t="inlineStr">
        <is>
          <t>Transaction</t>
        </is>
      </c>
      <c r="D829" s="58">
        <f>IF(H829=1,INDEX(tx_ID,823)&amp;"","")</f>
        <v/>
      </c>
      <c r="E829" s="94">
        <f>IF(H829=1,INDEX(tx_Date,823),"")</f>
        <v/>
      </c>
      <c r="F829" s="58">
        <f>IF(H829=1,INDEX(tx_Desc,823)&amp;"","")</f>
        <v/>
      </c>
      <c r="G829" s="58">
        <f>IF(H829=1,IF(INDEX(tx_Cust,823)&amp;""&lt;&gt;"",INDEX(tx_Cust,823)&amp;"",INDEX(tx_Vend,823)&amp;""),"")</f>
        <v/>
      </c>
      <c r="H829" s="101">
        <f>IFERROR(N(INDEX(tx_Posted,823)),0)</f>
        <v/>
      </c>
      <c r="I829" s="58">
        <f>IF(H829=1,INDEX(tx_DrAcct,823)&amp;"","")</f>
        <v/>
      </c>
      <c r="J829" s="95">
        <f>IF(H829=1,INDEX(tx_DrAmt,823),0)</f>
        <v/>
      </c>
      <c r="K829" s="58">
        <f>IF(H829=1,INDEX(tx_CrAcct,823)&amp;"","")</f>
        <v/>
      </c>
      <c r="L829" s="95">
        <f>IF(H829=1,INDEX(tx_CrAmt,823),0)</f>
        <v/>
      </c>
      <c r="M829" s="95">
        <f>IF(H829=1,INDEX(tx_TaxDr,823),0)</f>
        <v/>
      </c>
      <c r="N829" s="95">
        <f>IF(H829=1,INDEX(tx_TaxCr,823),0)</f>
        <v/>
      </c>
      <c r="O829" s="101">
        <f>IF(H829=1,IF(E829&lt;FYStart,0,IF(E829&gt;FYEnd,13,YEAR(E829)*12+MONTH(E829)-FYYM+1)),"")</f>
        <v/>
      </c>
      <c r="P829" s="101">
        <f>IF(H829=1,IF(IFERROR(INDEX(coa_CF,MATCH(I829,coa_Name,0)),"")="Cash",1,0),0)</f>
        <v/>
      </c>
      <c r="Q829" s="101">
        <f>IF(H829=1,IF(IFERROR(INDEX(coa_CF,MATCH(K829,coa_Name,0)),"")="Cash",1,0),0)</f>
        <v/>
      </c>
      <c r="R829" s="58">
        <f>IF((P829-Q829)=0,"",IFERROR(INDEX(coa_CF,MATCH(IF((P829-Q829)=1,K829,I829),coa_Name,0)),"Operating"))</f>
        <v/>
      </c>
      <c r="S829" s="95">
        <f>IF((P829-Q829)=1,L829,IF((P829-Q829)=-1,-J829,0))</f>
        <v/>
      </c>
      <c r="T829" s="95">
        <f>IF((P829-Q829)=1,N829,IF((P829-Q829)=-1,-M829,0))</f>
        <v/>
      </c>
      <c r="U829" s="101">
        <f>IF(AND(H829=1,LedAcct&lt;&gt;""),IF(AND(E829&gt;=LedFrom,E829&lt;=LedTo,OR(I829=LedAcct,K829=LedAcct,AND(LedAcct=acctTax,M829+N829&lt;&gt;0))),E829*10000+B829,""),"")</f>
        <v/>
      </c>
    </row>
    <row r="830">
      <c r="B830" s="101" t="n">
        <v>824</v>
      </c>
      <c r="C830" s="58" t="inlineStr">
        <is>
          <t>Transaction</t>
        </is>
      </c>
      <c r="D830" s="58">
        <f>IF(H830=1,INDEX(tx_ID,824)&amp;"","")</f>
        <v/>
      </c>
      <c r="E830" s="94">
        <f>IF(H830=1,INDEX(tx_Date,824),"")</f>
        <v/>
      </c>
      <c r="F830" s="58">
        <f>IF(H830=1,INDEX(tx_Desc,824)&amp;"","")</f>
        <v/>
      </c>
      <c r="G830" s="58">
        <f>IF(H830=1,IF(INDEX(tx_Cust,824)&amp;""&lt;&gt;"",INDEX(tx_Cust,824)&amp;"",INDEX(tx_Vend,824)&amp;""),"")</f>
        <v/>
      </c>
      <c r="H830" s="101">
        <f>IFERROR(N(INDEX(tx_Posted,824)),0)</f>
        <v/>
      </c>
      <c r="I830" s="58">
        <f>IF(H830=1,INDEX(tx_DrAcct,824)&amp;"","")</f>
        <v/>
      </c>
      <c r="J830" s="95">
        <f>IF(H830=1,INDEX(tx_DrAmt,824),0)</f>
        <v/>
      </c>
      <c r="K830" s="58">
        <f>IF(H830=1,INDEX(tx_CrAcct,824)&amp;"","")</f>
        <v/>
      </c>
      <c r="L830" s="95">
        <f>IF(H830=1,INDEX(tx_CrAmt,824),0)</f>
        <v/>
      </c>
      <c r="M830" s="95">
        <f>IF(H830=1,INDEX(tx_TaxDr,824),0)</f>
        <v/>
      </c>
      <c r="N830" s="95">
        <f>IF(H830=1,INDEX(tx_TaxCr,824),0)</f>
        <v/>
      </c>
      <c r="O830" s="101">
        <f>IF(H830=1,IF(E830&lt;FYStart,0,IF(E830&gt;FYEnd,13,YEAR(E830)*12+MONTH(E830)-FYYM+1)),"")</f>
        <v/>
      </c>
      <c r="P830" s="101">
        <f>IF(H830=1,IF(IFERROR(INDEX(coa_CF,MATCH(I830,coa_Name,0)),"")="Cash",1,0),0)</f>
        <v/>
      </c>
      <c r="Q830" s="101">
        <f>IF(H830=1,IF(IFERROR(INDEX(coa_CF,MATCH(K830,coa_Name,0)),"")="Cash",1,0),0)</f>
        <v/>
      </c>
      <c r="R830" s="58">
        <f>IF((P830-Q830)=0,"",IFERROR(INDEX(coa_CF,MATCH(IF((P830-Q830)=1,K830,I830),coa_Name,0)),"Operating"))</f>
        <v/>
      </c>
      <c r="S830" s="95">
        <f>IF((P830-Q830)=1,L830,IF((P830-Q830)=-1,-J830,0))</f>
        <v/>
      </c>
      <c r="T830" s="95">
        <f>IF((P830-Q830)=1,N830,IF((P830-Q830)=-1,-M830,0))</f>
        <v/>
      </c>
      <c r="U830" s="101">
        <f>IF(AND(H830=1,LedAcct&lt;&gt;""),IF(AND(E830&gt;=LedFrom,E830&lt;=LedTo,OR(I830=LedAcct,K830=LedAcct,AND(LedAcct=acctTax,M830+N830&lt;&gt;0))),E830*10000+B830,""),"")</f>
        <v/>
      </c>
    </row>
    <row r="831">
      <c r="B831" s="101" t="n">
        <v>825</v>
      </c>
      <c r="C831" s="58" t="inlineStr">
        <is>
          <t>Transaction</t>
        </is>
      </c>
      <c r="D831" s="58">
        <f>IF(H831=1,INDEX(tx_ID,825)&amp;"","")</f>
        <v/>
      </c>
      <c r="E831" s="94">
        <f>IF(H831=1,INDEX(tx_Date,825),"")</f>
        <v/>
      </c>
      <c r="F831" s="58">
        <f>IF(H831=1,INDEX(tx_Desc,825)&amp;"","")</f>
        <v/>
      </c>
      <c r="G831" s="58">
        <f>IF(H831=1,IF(INDEX(tx_Cust,825)&amp;""&lt;&gt;"",INDEX(tx_Cust,825)&amp;"",INDEX(tx_Vend,825)&amp;""),"")</f>
        <v/>
      </c>
      <c r="H831" s="101">
        <f>IFERROR(N(INDEX(tx_Posted,825)),0)</f>
        <v/>
      </c>
      <c r="I831" s="58">
        <f>IF(H831=1,INDEX(tx_DrAcct,825)&amp;"","")</f>
        <v/>
      </c>
      <c r="J831" s="95">
        <f>IF(H831=1,INDEX(tx_DrAmt,825),0)</f>
        <v/>
      </c>
      <c r="K831" s="58">
        <f>IF(H831=1,INDEX(tx_CrAcct,825)&amp;"","")</f>
        <v/>
      </c>
      <c r="L831" s="95">
        <f>IF(H831=1,INDEX(tx_CrAmt,825),0)</f>
        <v/>
      </c>
      <c r="M831" s="95">
        <f>IF(H831=1,INDEX(tx_TaxDr,825),0)</f>
        <v/>
      </c>
      <c r="N831" s="95">
        <f>IF(H831=1,INDEX(tx_TaxCr,825),0)</f>
        <v/>
      </c>
      <c r="O831" s="101">
        <f>IF(H831=1,IF(E831&lt;FYStart,0,IF(E831&gt;FYEnd,13,YEAR(E831)*12+MONTH(E831)-FYYM+1)),"")</f>
        <v/>
      </c>
      <c r="P831" s="101">
        <f>IF(H831=1,IF(IFERROR(INDEX(coa_CF,MATCH(I831,coa_Name,0)),"")="Cash",1,0),0)</f>
        <v/>
      </c>
      <c r="Q831" s="101">
        <f>IF(H831=1,IF(IFERROR(INDEX(coa_CF,MATCH(K831,coa_Name,0)),"")="Cash",1,0),0)</f>
        <v/>
      </c>
      <c r="R831" s="58">
        <f>IF((P831-Q831)=0,"",IFERROR(INDEX(coa_CF,MATCH(IF((P831-Q831)=1,K831,I831),coa_Name,0)),"Operating"))</f>
        <v/>
      </c>
      <c r="S831" s="95">
        <f>IF((P831-Q831)=1,L831,IF((P831-Q831)=-1,-J831,0))</f>
        <v/>
      </c>
      <c r="T831" s="95">
        <f>IF((P831-Q831)=1,N831,IF((P831-Q831)=-1,-M831,0))</f>
        <v/>
      </c>
      <c r="U831" s="101">
        <f>IF(AND(H831=1,LedAcct&lt;&gt;""),IF(AND(E831&gt;=LedFrom,E831&lt;=LedTo,OR(I831=LedAcct,K831=LedAcct,AND(LedAcct=acctTax,M831+N831&lt;&gt;0))),E831*10000+B831,""),"")</f>
        <v/>
      </c>
    </row>
    <row r="832">
      <c r="B832" s="101" t="n">
        <v>826</v>
      </c>
      <c r="C832" s="58" t="inlineStr">
        <is>
          <t>Transaction</t>
        </is>
      </c>
      <c r="D832" s="58">
        <f>IF(H832=1,INDEX(tx_ID,826)&amp;"","")</f>
        <v/>
      </c>
      <c r="E832" s="94">
        <f>IF(H832=1,INDEX(tx_Date,826),"")</f>
        <v/>
      </c>
      <c r="F832" s="58">
        <f>IF(H832=1,INDEX(tx_Desc,826)&amp;"","")</f>
        <v/>
      </c>
      <c r="G832" s="58">
        <f>IF(H832=1,IF(INDEX(tx_Cust,826)&amp;""&lt;&gt;"",INDEX(tx_Cust,826)&amp;"",INDEX(tx_Vend,826)&amp;""),"")</f>
        <v/>
      </c>
      <c r="H832" s="101">
        <f>IFERROR(N(INDEX(tx_Posted,826)),0)</f>
        <v/>
      </c>
      <c r="I832" s="58">
        <f>IF(H832=1,INDEX(tx_DrAcct,826)&amp;"","")</f>
        <v/>
      </c>
      <c r="J832" s="95">
        <f>IF(H832=1,INDEX(tx_DrAmt,826),0)</f>
        <v/>
      </c>
      <c r="K832" s="58">
        <f>IF(H832=1,INDEX(tx_CrAcct,826)&amp;"","")</f>
        <v/>
      </c>
      <c r="L832" s="95">
        <f>IF(H832=1,INDEX(tx_CrAmt,826),0)</f>
        <v/>
      </c>
      <c r="M832" s="95">
        <f>IF(H832=1,INDEX(tx_TaxDr,826),0)</f>
        <v/>
      </c>
      <c r="N832" s="95">
        <f>IF(H832=1,INDEX(tx_TaxCr,826),0)</f>
        <v/>
      </c>
      <c r="O832" s="101">
        <f>IF(H832=1,IF(E832&lt;FYStart,0,IF(E832&gt;FYEnd,13,YEAR(E832)*12+MONTH(E832)-FYYM+1)),"")</f>
        <v/>
      </c>
      <c r="P832" s="101">
        <f>IF(H832=1,IF(IFERROR(INDEX(coa_CF,MATCH(I832,coa_Name,0)),"")="Cash",1,0),0)</f>
        <v/>
      </c>
      <c r="Q832" s="101">
        <f>IF(H832=1,IF(IFERROR(INDEX(coa_CF,MATCH(K832,coa_Name,0)),"")="Cash",1,0),0)</f>
        <v/>
      </c>
      <c r="R832" s="58">
        <f>IF((P832-Q832)=0,"",IFERROR(INDEX(coa_CF,MATCH(IF((P832-Q832)=1,K832,I832),coa_Name,0)),"Operating"))</f>
        <v/>
      </c>
      <c r="S832" s="95">
        <f>IF((P832-Q832)=1,L832,IF((P832-Q832)=-1,-J832,0))</f>
        <v/>
      </c>
      <c r="T832" s="95">
        <f>IF((P832-Q832)=1,N832,IF((P832-Q832)=-1,-M832,0))</f>
        <v/>
      </c>
      <c r="U832" s="101">
        <f>IF(AND(H832=1,LedAcct&lt;&gt;""),IF(AND(E832&gt;=LedFrom,E832&lt;=LedTo,OR(I832=LedAcct,K832=LedAcct,AND(LedAcct=acctTax,M832+N832&lt;&gt;0))),E832*10000+B832,""),"")</f>
        <v/>
      </c>
    </row>
    <row r="833">
      <c r="B833" s="101" t="n">
        <v>827</v>
      </c>
      <c r="C833" s="58" t="inlineStr">
        <is>
          <t>Transaction</t>
        </is>
      </c>
      <c r="D833" s="58">
        <f>IF(H833=1,INDEX(tx_ID,827)&amp;"","")</f>
        <v/>
      </c>
      <c r="E833" s="94">
        <f>IF(H833=1,INDEX(tx_Date,827),"")</f>
        <v/>
      </c>
      <c r="F833" s="58">
        <f>IF(H833=1,INDEX(tx_Desc,827)&amp;"","")</f>
        <v/>
      </c>
      <c r="G833" s="58">
        <f>IF(H833=1,IF(INDEX(tx_Cust,827)&amp;""&lt;&gt;"",INDEX(tx_Cust,827)&amp;"",INDEX(tx_Vend,827)&amp;""),"")</f>
        <v/>
      </c>
      <c r="H833" s="101">
        <f>IFERROR(N(INDEX(tx_Posted,827)),0)</f>
        <v/>
      </c>
      <c r="I833" s="58">
        <f>IF(H833=1,INDEX(tx_DrAcct,827)&amp;"","")</f>
        <v/>
      </c>
      <c r="J833" s="95">
        <f>IF(H833=1,INDEX(tx_DrAmt,827),0)</f>
        <v/>
      </c>
      <c r="K833" s="58">
        <f>IF(H833=1,INDEX(tx_CrAcct,827)&amp;"","")</f>
        <v/>
      </c>
      <c r="L833" s="95">
        <f>IF(H833=1,INDEX(tx_CrAmt,827),0)</f>
        <v/>
      </c>
      <c r="M833" s="95">
        <f>IF(H833=1,INDEX(tx_TaxDr,827),0)</f>
        <v/>
      </c>
      <c r="N833" s="95">
        <f>IF(H833=1,INDEX(tx_TaxCr,827),0)</f>
        <v/>
      </c>
      <c r="O833" s="101">
        <f>IF(H833=1,IF(E833&lt;FYStart,0,IF(E833&gt;FYEnd,13,YEAR(E833)*12+MONTH(E833)-FYYM+1)),"")</f>
        <v/>
      </c>
      <c r="P833" s="101">
        <f>IF(H833=1,IF(IFERROR(INDEX(coa_CF,MATCH(I833,coa_Name,0)),"")="Cash",1,0),0)</f>
        <v/>
      </c>
      <c r="Q833" s="101">
        <f>IF(H833=1,IF(IFERROR(INDEX(coa_CF,MATCH(K833,coa_Name,0)),"")="Cash",1,0),0)</f>
        <v/>
      </c>
      <c r="R833" s="58">
        <f>IF((P833-Q833)=0,"",IFERROR(INDEX(coa_CF,MATCH(IF((P833-Q833)=1,K833,I833),coa_Name,0)),"Operating"))</f>
        <v/>
      </c>
      <c r="S833" s="95">
        <f>IF((P833-Q833)=1,L833,IF((P833-Q833)=-1,-J833,0))</f>
        <v/>
      </c>
      <c r="T833" s="95">
        <f>IF((P833-Q833)=1,N833,IF((P833-Q833)=-1,-M833,0))</f>
        <v/>
      </c>
      <c r="U833" s="101">
        <f>IF(AND(H833=1,LedAcct&lt;&gt;""),IF(AND(E833&gt;=LedFrom,E833&lt;=LedTo,OR(I833=LedAcct,K833=LedAcct,AND(LedAcct=acctTax,M833+N833&lt;&gt;0))),E833*10000+B833,""),"")</f>
        <v/>
      </c>
    </row>
    <row r="834">
      <c r="B834" s="101" t="n">
        <v>828</v>
      </c>
      <c r="C834" s="58" t="inlineStr">
        <is>
          <t>Transaction</t>
        </is>
      </c>
      <c r="D834" s="58">
        <f>IF(H834=1,INDEX(tx_ID,828)&amp;"","")</f>
        <v/>
      </c>
      <c r="E834" s="94">
        <f>IF(H834=1,INDEX(tx_Date,828),"")</f>
        <v/>
      </c>
      <c r="F834" s="58">
        <f>IF(H834=1,INDEX(tx_Desc,828)&amp;"","")</f>
        <v/>
      </c>
      <c r="G834" s="58">
        <f>IF(H834=1,IF(INDEX(tx_Cust,828)&amp;""&lt;&gt;"",INDEX(tx_Cust,828)&amp;"",INDEX(tx_Vend,828)&amp;""),"")</f>
        <v/>
      </c>
      <c r="H834" s="101">
        <f>IFERROR(N(INDEX(tx_Posted,828)),0)</f>
        <v/>
      </c>
      <c r="I834" s="58">
        <f>IF(H834=1,INDEX(tx_DrAcct,828)&amp;"","")</f>
        <v/>
      </c>
      <c r="J834" s="95">
        <f>IF(H834=1,INDEX(tx_DrAmt,828),0)</f>
        <v/>
      </c>
      <c r="K834" s="58">
        <f>IF(H834=1,INDEX(tx_CrAcct,828)&amp;"","")</f>
        <v/>
      </c>
      <c r="L834" s="95">
        <f>IF(H834=1,INDEX(tx_CrAmt,828),0)</f>
        <v/>
      </c>
      <c r="M834" s="95">
        <f>IF(H834=1,INDEX(tx_TaxDr,828),0)</f>
        <v/>
      </c>
      <c r="N834" s="95">
        <f>IF(H834=1,INDEX(tx_TaxCr,828),0)</f>
        <v/>
      </c>
      <c r="O834" s="101">
        <f>IF(H834=1,IF(E834&lt;FYStart,0,IF(E834&gt;FYEnd,13,YEAR(E834)*12+MONTH(E834)-FYYM+1)),"")</f>
        <v/>
      </c>
      <c r="P834" s="101">
        <f>IF(H834=1,IF(IFERROR(INDEX(coa_CF,MATCH(I834,coa_Name,0)),"")="Cash",1,0),0)</f>
        <v/>
      </c>
      <c r="Q834" s="101">
        <f>IF(H834=1,IF(IFERROR(INDEX(coa_CF,MATCH(K834,coa_Name,0)),"")="Cash",1,0),0)</f>
        <v/>
      </c>
      <c r="R834" s="58">
        <f>IF((P834-Q834)=0,"",IFERROR(INDEX(coa_CF,MATCH(IF((P834-Q834)=1,K834,I834),coa_Name,0)),"Operating"))</f>
        <v/>
      </c>
      <c r="S834" s="95">
        <f>IF((P834-Q834)=1,L834,IF((P834-Q834)=-1,-J834,0))</f>
        <v/>
      </c>
      <c r="T834" s="95">
        <f>IF((P834-Q834)=1,N834,IF((P834-Q834)=-1,-M834,0))</f>
        <v/>
      </c>
      <c r="U834" s="101">
        <f>IF(AND(H834=1,LedAcct&lt;&gt;""),IF(AND(E834&gt;=LedFrom,E834&lt;=LedTo,OR(I834=LedAcct,K834=LedAcct,AND(LedAcct=acctTax,M834+N834&lt;&gt;0))),E834*10000+B834,""),"")</f>
        <v/>
      </c>
    </row>
    <row r="835">
      <c r="B835" s="101" t="n">
        <v>829</v>
      </c>
      <c r="C835" s="58" t="inlineStr">
        <is>
          <t>Transaction</t>
        </is>
      </c>
      <c r="D835" s="58">
        <f>IF(H835=1,INDEX(tx_ID,829)&amp;"","")</f>
        <v/>
      </c>
      <c r="E835" s="94">
        <f>IF(H835=1,INDEX(tx_Date,829),"")</f>
        <v/>
      </c>
      <c r="F835" s="58">
        <f>IF(H835=1,INDEX(tx_Desc,829)&amp;"","")</f>
        <v/>
      </c>
      <c r="G835" s="58">
        <f>IF(H835=1,IF(INDEX(tx_Cust,829)&amp;""&lt;&gt;"",INDEX(tx_Cust,829)&amp;"",INDEX(tx_Vend,829)&amp;""),"")</f>
        <v/>
      </c>
      <c r="H835" s="101">
        <f>IFERROR(N(INDEX(tx_Posted,829)),0)</f>
        <v/>
      </c>
      <c r="I835" s="58">
        <f>IF(H835=1,INDEX(tx_DrAcct,829)&amp;"","")</f>
        <v/>
      </c>
      <c r="J835" s="95">
        <f>IF(H835=1,INDEX(tx_DrAmt,829),0)</f>
        <v/>
      </c>
      <c r="K835" s="58">
        <f>IF(H835=1,INDEX(tx_CrAcct,829)&amp;"","")</f>
        <v/>
      </c>
      <c r="L835" s="95">
        <f>IF(H835=1,INDEX(tx_CrAmt,829),0)</f>
        <v/>
      </c>
      <c r="M835" s="95">
        <f>IF(H835=1,INDEX(tx_TaxDr,829),0)</f>
        <v/>
      </c>
      <c r="N835" s="95">
        <f>IF(H835=1,INDEX(tx_TaxCr,829),0)</f>
        <v/>
      </c>
      <c r="O835" s="101">
        <f>IF(H835=1,IF(E835&lt;FYStart,0,IF(E835&gt;FYEnd,13,YEAR(E835)*12+MONTH(E835)-FYYM+1)),"")</f>
        <v/>
      </c>
      <c r="P835" s="101">
        <f>IF(H835=1,IF(IFERROR(INDEX(coa_CF,MATCH(I835,coa_Name,0)),"")="Cash",1,0),0)</f>
        <v/>
      </c>
      <c r="Q835" s="101">
        <f>IF(H835=1,IF(IFERROR(INDEX(coa_CF,MATCH(K835,coa_Name,0)),"")="Cash",1,0),0)</f>
        <v/>
      </c>
      <c r="R835" s="58">
        <f>IF((P835-Q835)=0,"",IFERROR(INDEX(coa_CF,MATCH(IF((P835-Q835)=1,K835,I835),coa_Name,0)),"Operating"))</f>
        <v/>
      </c>
      <c r="S835" s="95">
        <f>IF((P835-Q835)=1,L835,IF((P835-Q835)=-1,-J835,0))</f>
        <v/>
      </c>
      <c r="T835" s="95">
        <f>IF((P835-Q835)=1,N835,IF((P835-Q835)=-1,-M835,0))</f>
        <v/>
      </c>
      <c r="U835" s="101">
        <f>IF(AND(H835=1,LedAcct&lt;&gt;""),IF(AND(E835&gt;=LedFrom,E835&lt;=LedTo,OR(I835=LedAcct,K835=LedAcct,AND(LedAcct=acctTax,M835+N835&lt;&gt;0))),E835*10000+B835,""),"")</f>
        <v/>
      </c>
    </row>
    <row r="836">
      <c r="B836" s="101" t="n">
        <v>830</v>
      </c>
      <c r="C836" s="58" t="inlineStr">
        <is>
          <t>Transaction</t>
        </is>
      </c>
      <c r="D836" s="58">
        <f>IF(H836=1,INDEX(tx_ID,830)&amp;"","")</f>
        <v/>
      </c>
      <c r="E836" s="94">
        <f>IF(H836=1,INDEX(tx_Date,830),"")</f>
        <v/>
      </c>
      <c r="F836" s="58">
        <f>IF(H836=1,INDEX(tx_Desc,830)&amp;"","")</f>
        <v/>
      </c>
      <c r="G836" s="58">
        <f>IF(H836=1,IF(INDEX(tx_Cust,830)&amp;""&lt;&gt;"",INDEX(tx_Cust,830)&amp;"",INDEX(tx_Vend,830)&amp;""),"")</f>
        <v/>
      </c>
      <c r="H836" s="101">
        <f>IFERROR(N(INDEX(tx_Posted,830)),0)</f>
        <v/>
      </c>
      <c r="I836" s="58">
        <f>IF(H836=1,INDEX(tx_DrAcct,830)&amp;"","")</f>
        <v/>
      </c>
      <c r="J836" s="95">
        <f>IF(H836=1,INDEX(tx_DrAmt,830),0)</f>
        <v/>
      </c>
      <c r="K836" s="58">
        <f>IF(H836=1,INDEX(tx_CrAcct,830)&amp;"","")</f>
        <v/>
      </c>
      <c r="L836" s="95">
        <f>IF(H836=1,INDEX(tx_CrAmt,830),0)</f>
        <v/>
      </c>
      <c r="M836" s="95">
        <f>IF(H836=1,INDEX(tx_TaxDr,830),0)</f>
        <v/>
      </c>
      <c r="N836" s="95">
        <f>IF(H836=1,INDEX(tx_TaxCr,830),0)</f>
        <v/>
      </c>
      <c r="O836" s="101">
        <f>IF(H836=1,IF(E836&lt;FYStart,0,IF(E836&gt;FYEnd,13,YEAR(E836)*12+MONTH(E836)-FYYM+1)),"")</f>
        <v/>
      </c>
      <c r="P836" s="101">
        <f>IF(H836=1,IF(IFERROR(INDEX(coa_CF,MATCH(I836,coa_Name,0)),"")="Cash",1,0),0)</f>
        <v/>
      </c>
      <c r="Q836" s="101">
        <f>IF(H836=1,IF(IFERROR(INDEX(coa_CF,MATCH(K836,coa_Name,0)),"")="Cash",1,0),0)</f>
        <v/>
      </c>
      <c r="R836" s="58">
        <f>IF((P836-Q836)=0,"",IFERROR(INDEX(coa_CF,MATCH(IF((P836-Q836)=1,K836,I836),coa_Name,0)),"Operating"))</f>
        <v/>
      </c>
      <c r="S836" s="95">
        <f>IF((P836-Q836)=1,L836,IF((P836-Q836)=-1,-J836,0))</f>
        <v/>
      </c>
      <c r="T836" s="95">
        <f>IF((P836-Q836)=1,N836,IF((P836-Q836)=-1,-M836,0))</f>
        <v/>
      </c>
      <c r="U836" s="101">
        <f>IF(AND(H836=1,LedAcct&lt;&gt;""),IF(AND(E836&gt;=LedFrom,E836&lt;=LedTo,OR(I836=LedAcct,K836=LedAcct,AND(LedAcct=acctTax,M836+N836&lt;&gt;0))),E836*10000+B836,""),"")</f>
        <v/>
      </c>
    </row>
    <row r="837">
      <c r="B837" s="101" t="n">
        <v>831</v>
      </c>
      <c r="C837" s="58" t="inlineStr">
        <is>
          <t>Transaction</t>
        </is>
      </c>
      <c r="D837" s="58">
        <f>IF(H837=1,INDEX(tx_ID,831)&amp;"","")</f>
        <v/>
      </c>
      <c r="E837" s="94">
        <f>IF(H837=1,INDEX(tx_Date,831),"")</f>
        <v/>
      </c>
      <c r="F837" s="58">
        <f>IF(H837=1,INDEX(tx_Desc,831)&amp;"","")</f>
        <v/>
      </c>
      <c r="G837" s="58">
        <f>IF(H837=1,IF(INDEX(tx_Cust,831)&amp;""&lt;&gt;"",INDEX(tx_Cust,831)&amp;"",INDEX(tx_Vend,831)&amp;""),"")</f>
        <v/>
      </c>
      <c r="H837" s="101">
        <f>IFERROR(N(INDEX(tx_Posted,831)),0)</f>
        <v/>
      </c>
      <c r="I837" s="58">
        <f>IF(H837=1,INDEX(tx_DrAcct,831)&amp;"","")</f>
        <v/>
      </c>
      <c r="J837" s="95">
        <f>IF(H837=1,INDEX(tx_DrAmt,831),0)</f>
        <v/>
      </c>
      <c r="K837" s="58">
        <f>IF(H837=1,INDEX(tx_CrAcct,831)&amp;"","")</f>
        <v/>
      </c>
      <c r="L837" s="95">
        <f>IF(H837=1,INDEX(tx_CrAmt,831),0)</f>
        <v/>
      </c>
      <c r="M837" s="95">
        <f>IF(H837=1,INDEX(tx_TaxDr,831),0)</f>
        <v/>
      </c>
      <c r="N837" s="95">
        <f>IF(H837=1,INDEX(tx_TaxCr,831),0)</f>
        <v/>
      </c>
      <c r="O837" s="101">
        <f>IF(H837=1,IF(E837&lt;FYStart,0,IF(E837&gt;FYEnd,13,YEAR(E837)*12+MONTH(E837)-FYYM+1)),"")</f>
        <v/>
      </c>
      <c r="P837" s="101">
        <f>IF(H837=1,IF(IFERROR(INDEX(coa_CF,MATCH(I837,coa_Name,0)),"")="Cash",1,0),0)</f>
        <v/>
      </c>
      <c r="Q837" s="101">
        <f>IF(H837=1,IF(IFERROR(INDEX(coa_CF,MATCH(K837,coa_Name,0)),"")="Cash",1,0),0)</f>
        <v/>
      </c>
      <c r="R837" s="58">
        <f>IF((P837-Q837)=0,"",IFERROR(INDEX(coa_CF,MATCH(IF((P837-Q837)=1,K837,I837),coa_Name,0)),"Operating"))</f>
        <v/>
      </c>
      <c r="S837" s="95">
        <f>IF((P837-Q837)=1,L837,IF((P837-Q837)=-1,-J837,0))</f>
        <v/>
      </c>
      <c r="T837" s="95">
        <f>IF((P837-Q837)=1,N837,IF((P837-Q837)=-1,-M837,0))</f>
        <v/>
      </c>
      <c r="U837" s="101">
        <f>IF(AND(H837=1,LedAcct&lt;&gt;""),IF(AND(E837&gt;=LedFrom,E837&lt;=LedTo,OR(I837=LedAcct,K837=LedAcct,AND(LedAcct=acctTax,M837+N837&lt;&gt;0))),E837*10000+B837,""),"")</f>
        <v/>
      </c>
    </row>
    <row r="838">
      <c r="B838" s="101" t="n">
        <v>832</v>
      </c>
      <c r="C838" s="58" t="inlineStr">
        <is>
          <t>Transaction</t>
        </is>
      </c>
      <c r="D838" s="58">
        <f>IF(H838=1,INDEX(tx_ID,832)&amp;"","")</f>
        <v/>
      </c>
      <c r="E838" s="94">
        <f>IF(H838=1,INDEX(tx_Date,832),"")</f>
        <v/>
      </c>
      <c r="F838" s="58">
        <f>IF(H838=1,INDEX(tx_Desc,832)&amp;"","")</f>
        <v/>
      </c>
      <c r="G838" s="58">
        <f>IF(H838=1,IF(INDEX(tx_Cust,832)&amp;""&lt;&gt;"",INDEX(tx_Cust,832)&amp;"",INDEX(tx_Vend,832)&amp;""),"")</f>
        <v/>
      </c>
      <c r="H838" s="101">
        <f>IFERROR(N(INDEX(tx_Posted,832)),0)</f>
        <v/>
      </c>
      <c r="I838" s="58">
        <f>IF(H838=1,INDEX(tx_DrAcct,832)&amp;"","")</f>
        <v/>
      </c>
      <c r="J838" s="95">
        <f>IF(H838=1,INDEX(tx_DrAmt,832),0)</f>
        <v/>
      </c>
      <c r="K838" s="58">
        <f>IF(H838=1,INDEX(tx_CrAcct,832)&amp;"","")</f>
        <v/>
      </c>
      <c r="L838" s="95">
        <f>IF(H838=1,INDEX(tx_CrAmt,832),0)</f>
        <v/>
      </c>
      <c r="M838" s="95">
        <f>IF(H838=1,INDEX(tx_TaxDr,832),0)</f>
        <v/>
      </c>
      <c r="N838" s="95">
        <f>IF(H838=1,INDEX(tx_TaxCr,832),0)</f>
        <v/>
      </c>
      <c r="O838" s="101">
        <f>IF(H838=1,IF(E838&lt;FYStart,0,IF(E838&gt;FYEnd,13,YEAR(E838)*12+MONTH(E838)-FYYM+1)),"")</f>
        <v/>
      </c>
      <c r="P838" s="101">
        <f>IF(H838=1,IF(IFERROR(INDEX(coa_CF,MATCH(I838,coa_Name,0)),"")="Cash",1,0),0)</f>
        <v/>
      </c>
      <c r="Q838" s="101">
        <f>IF(H838=1,IF(IFERROR(INDEX(coa_CF,MATCH(K838,coa_Name,0)),"")="Cash",1,0),0)</f>
        <v/>
      </c>
      <c r="R838" s="58">
        <f>IF((P838-Q838)=0,"",IFERROR(INDEX(coa_CF,MATCH(IF((P838-Q838)=1,K838,I838),coa_Name,0)),"Operating"))</f>
        <v/>
      </c>
      <c r="S838" s="95">
        <f>IF((P838-Q838)=1,L838,IF((P838-Q838)=-1,-J838,0))</f>
        <v/>
      </c>
      <c r="T838" s="95">
        <f>IF((P838-Q838)=1,N838,IF((P838-Q838)=-1,-M838,0))</f>
        <v/>
      </c>
      <c r="U838" s="101">
        <f>IF(AND(H838=1,LedAcct&lt;&gt;""),IF(AND(E838&gt;=LedFrom,E838&lt;=LedTo,OR(I838=LedAcct,K838=LedAcct,AND(LedAcct=acctTax,M838+N838&lt;&gt;0))),E838*10000+B838,""),"")</f>
        <v/>
      </c>
    </row>
    <row r="839">
      <c r="B839" s="101" t="n">
        <v>833</v>
      </c>
      <c r="C839" s="58" t="inlineStr">
        <is>
          <t>Transaction</t>
        </is>
      </c>
      <c r="D839" s="58">
        <f>IF(H839=1,INDEX(tx_ID,833)&amp;"","")</f>
        <v/>
      </c>
      <c r="E839" s="94">
        <f>IF(H839=1,INDEX(tx_Date,833),"")</f>
        <v/>
      </c>
      <c r="F839" s="58">
        <f>IF(H839=1,INDEX(tx_Desc,833)&amp;"","")</f>
        <v/>
      </c>
      <c r="G839" s="58">
        <f>IF(H839=1,IF(INDEX(tx_Cust,833)&amp;""&lt;&gt;"",INDEX(tx_Cust,833)&amp;"",INDEX(tx_Vend,833)&amp;""),"")</f>
        <v/>
      </c>
      <c r="H839" s="101">
        <f>IFERROR(N(INDEX(tx_Posted,833)),0)</f>
        <v/>
      </c>
      <c r="I839" s="58">
        <f>IF(H839=1,INDEX(tx_DrAcct,833)&amp;"","")</f>
        <v/>
      </c>
      <c r="J839" s="95">
        <f>IF(H839=1,INDEX(tx_DrAmt,833),0)</f>
        <v/>
      </c>
      <c r="K839" s="58">
        <f>IF(H839=1,INDEX(tx_CrAcct,833)&amp;"","")</f>
        <v/>
      </c>
      <c r="L839" s="95">
        <f>IF(H839=1,INDEX(tx_CrAmt,833),0)</f>
        <v/>
      </c>
      <c r="M839" s="95">
        <f>IF(H839=1,INDEX(tx_TaxDr,833),0)</f>
        <v/>
      </c>
      <c r="N839" s="95">
        <f>IF(H839=1,INDEX(tx_TaxCr,833),0)</f>
        <v/>
      </c>
      <c r="O839" s="101">
        <f>IF(H839=1,IF(E839&lt;FYStart,0,IF(E839&gt;FYEnd,13,YEAR(E839)*12+MONTH(E839)-FYYM+1)),"")</f>
        <v/>
      </c>
      <c r="P839" s="101">
        <f>IF(H839=1,IF(IFERROR(INDEX(coa_CF,MATCH(I839,coa_Name,0)),"")="Cash",1,0),0)</f>
        <v/>
      </c>
      <c r="Q839" s="101">
        <f>IF(H839=1,IF(IFERROR(INDEX(coa_CF,MATCH(K839,coa_Name,0)),"")="Cash",1,0),0)</f>
        <v/>
      </c>
      <c r="R839" s="58">
        <f>IF((P839-Q839)=0,"",IFERROR(INDEX(coa_CF,MATCH(IF((P839-Q839)=1,K839,I839),coa_Name,0)),"Operating"))</f>
        <v/>
      </c>
      <c r="S839" s="95">
        <f>IF((P839-Q839)=1,L839,IF((P839-Q839)=-1,-J839,0))</f>
        <v/>
      </c>
      <c r="T839" s="95">
        <f>IF((P839-Q839)=1,N839,IF((P839-Q839)=-1,-M839,0))</f>
        <v/>
      </c>
      <c r="U839" s="101">
        <f>IF(AND(H839=1,LedAcct&lt;&gt;""),IF(AND(E839&gt;=LedFrom,E839&lt;=LedTo,OR(I839=LedAcct,K839=LedAcct,AND(LedAcct=acctTax,M839+N839&lt;&gt;0))),E839*10000+B839,""),"")</f>
        <v/>
      </c>
    </row>
    <row r="840">
      <c r="B840" s="101" t="n">
        <v>834</v>
      </c>
      <c r="C840" s="58" t="inlineStr">
        <is>
          <t>Transaction</t>
        </is>
      </c>
      <c r="D840" s="58">
        <f>IF(H840=1,INDEX(tx_ID,834)&amp;"","")</f>
        <v/>
      </c>
      <c r="E840" s="94">
        <f>IF(H840=1,INDEX(tx_Date,834),"")</f>
        <v/>
      </c>
      <c r="F840" s="58">
        <f>IF(H840=1,INDEX(tx_Desc,834)&amp;"","")</f>
        <v/>
      </c>
      <c r="G840" s="58">
        <f>IF(H840=1,IF(INDEX(tx_Cust,834)&amp;""&lt;&gt;"",INDEX(tx_Cust,834)&amp;"",INDEX(tx_Vend,834)&amp;""),"")</f>
        <v/>
      </c>
      <c r="H840" s="101">
        <f>IFERROR(N(INDEX(tx_Posted,834)),0)</f>
        <v/>
      </c>
      <c r="I840" s="58">
        <f>IF(H840=1,INDEX(tx_DrAcct,834)&amp;"","")</f>
        <v/>
      </c>
      <c r="J840" s="95">
        <f>IF(H840=1,INDEX(tx_DrAmt,834),0)</f>
        <v/>
      </c>
      <c r="K840" s="58">
        <f>IF(H840=1,INDEX(tx_CrAcct,834)&amp;"","")</f>
        <v/>
      </c>
      <c r="L840" s="95">
        <f>IF(H840=1,INDEX(tx_CrAmt,834),0)</f>
        <v/>
      </c>
      <c r="M840" s="95">
        <f>IF(H840=1,INDEX(tx_TaxDr,834),0)</f>
        <v/>
      </c>
      <c r="N840" s="95">
        <f>IF(H840=1,INDEX(tx_TaxCr,834),0)</f>
        <v/>
      </c>
      <c r="O840" s="101">
        <f>IF(H840=1,IF(E840&lt;FYStart,0,IF(E840&gt;FYEnd,13,YEAR(E840)*12+MONTH(E840)-FYYM+1)),"")</f>
        <v/>
      </c>
      <c r="P840" s="101">
        <f>IF(H840=1,IF(IFERROR(INDEX(coa_CF,MATCH(I840,coa_Name,0)),"")="Cash",1,0),0)</f>
        <v/>
      </c>
      <c r="Q840" s="101">
        <f>IF(H840=1,IF(IFERROR(INDEX(coa_CF,MATCH(K840,coa_Name,0)),"")="Cash",1,0),0)</f>
        <v/>
      </c>
      <c r="R840" s="58">
        <f>IF((P840-Q840)=0,"",IFERROR(INDEX(coa_CF,MATCH(IF((P840-Q840)=1,K840,I840),coa_Name,0)),"Operating"))</f>
        <v/>
      </c>
      <c r="S840" s="95">
        <f>IF((P840-Q840)=1,L840,IF((P840-Q840)=-1,-J840,0))</f>
        <v/>
      </c>
      <c r="T840" s="95">
        <f>IF((P840-Q840)=1,N840,IF((P840-Q840)=-1,-M840,0))</f>
        <v/>
      </c>
      <c r="U840" s="101">
        <f>IF(AND(H840=1,LedAcct&lt;&gt;""),IF(AND(E840&gt;=LedFrom,E840&lt;=LedTo,OR(I840=LedAcct,K840=LedAcct,AND(LedAcct=acctTax,M840+N840&lt;&gt;0))),E840*10000+B840,""),"")</f>
        <v/>
      </c>
    </row>
    <row r="841">
      <c r="B841" s="101" t="n">
        <v>835</v>
      </c>
      <c r="C841" s="58" t="inlineStr">
        <is>
          <t>Transaction</t>
        </is>
      </c>
      <c r="D841" s="58">
        <f>IF(H841=1,INDEX(tx_ID,835)&amp;"","")</f>
        <v/>
      </c>
      <c r="E841" s="94">
        <f>IF(H841=1,INDEX(tx_Date,835),"")</f>
        <v/>
      </c>
      <c r="F841" s="58">
        <f>IF(H841=1,INDEX(tx_Desc,835)&amp;"","")</f>
        <v/>
      </c>
      <c r="G841" s="58">
        <f>IF(H841=1,IF(INDEX(tx_Cust,835)&amp;""&lt;&gt;"",INDEX(tx_Cust,835)&amp;"",INDEX(tx_Vend,835)&amp;""),"")</f>
        <v/>
      </c>
      <c r="H841" s="101">
        <f>IFERROR(N(INDEX(tx_Posted,835)),0)</f>
        <v/>
      </c>
      <c r="I841" s="58">
        <f>IF(H841=1,INDEX(tx_DrAcct,835)&amp;"","")</f>
        <v/>
      </c>
      <c r="J841" s="95">
        <f>IF(H841=1,INDEX(tx_DrAmt,835),0)</f>
        <v/>
      </c>
      <c r="K841" s="58">
        <f>IF(H841=1,INDEX(tx_CrAcct,835)&amp;"","")</f>
        <v/>
      </c>
      <c r="L841" s="95">
        <f>IF(H841=1,INDEX(tx_CrAmt,835),0)</f>
        <v/>
      </c>
      <c r="M841" s="95">
        <f>IF(H841=1,INDEX(tx_TaxDr,835),0)</f>
        <v/>
      </c>
      <c r="N841" s="95">
        <f>IF(H841=1,INDEX(tx_TaxCr,835),0)</f>
        <v/>
      </c>
      <c r="O841" s="101">
        <f>IF(H841=1,IF(E841&lt;FYStart,0,IF(E841&gt;FYEnd,13,YEAR(E841)*12+MONTH(E841)-FYYM+1)),"")</f>
        <v/>
      </c>
      <c r="P841" s="101">
        <f>IF(H841=1,IF(IFERROR(INDEX(coa_CF,MATCH(I841,coa_Name,0)),"")="Cash",1,0),0)</f>
        <v/>
      </c>
      <c r="Q841" s="101">
        <f>IF(H841=1,IF(IFERROR(INDEX(coa_CF,MATCH(K841,coa_Name,0)),"")="Cash",1,0),0)</f>
        <v/>
      </c>
      <c r="R841" s="58">
        <f>IF((P841-Q841)=0,"",IFERROR(INDEX(coa_CF,MATCH(IF((P841-Q841)=1,K841,I841),coa_Name,0)),"Operating"))</f>
        <v/>
      </c>
      <c r="S841" s="95">
        <f>IF((P841-Q841)=1,L841,IF((P841-Q841)=-1,-J841,0))</f>
        <v/>
      </c>
      <c r="T841" s="95">
        <f>IF((P841-Q841)=1,N841,IF((P841-Q841)=-1,-M841,0))</f>
        <v/>
      </c>
      <c r="U841" s="101">
        <f>IF(AND(H841=1,LedAcct&lt;&gt;""),IF(AND(E841&gt;=LedFrom,E841&lt;=LedTo,OR(I841=LedAcct,K841=LedAcct,AND(LedAcct=acctTax,M841+N841&lt;&gt;0))),E841*10000+B841,""),"")</f>
        <v/>
      </c>
    </row>
    <row r="842">
      <c r="B842" s="101" t="n">
        <v>836</v>
      </c>
      <c r="C842" s="58" t="inlineStr">
        <is>
          <t>Transaction</t>
        </is>
      </c>
      <c r="D842" s="58">
        <f>IF(H842=1,INDEX(tx_ID,836)&amp;"","")</f>
        <v/>
      </c>
      <c r="E842" s="94">
        <f>IF(H842=1,INDEX(tx_Date,836),"")</f>
        <v/>
      </c>
      <c r="F842" s="58">
        <f>IF(H842=1,INDEX(tx_Desc,836)&amp;"","")</f>
        <v/>
      </c>
      <c r="G842" s="58">
        <f>IF(H842=1,IF(INDEX(tx_Cust,836)&amp;""&lt;&gt;"",INDEX(tx_Cust,836)&amp;"",INDEX(tx_Vend,836)&amp;""),"")</f>
        <v/>
      </c>
      <c r="H842" s="101">
        <f>IFERROR(N(INDEX(tx_Posted,836)),0)</f>
        <v/>
      </c>
      <c r="I842" s="58">
        <f>IF(H842=1,INDEX(tx_DrAcct,836)&amp;"","")</f>
        <v/>
      </c>
      <c r="J842" s="95">
        <f>IF(H842=1,INDEX(tx_DrAmt,836),0)</f>
        <v/>
      </c>
      <c r="K842" s="58">
        <f>IF(H842=1,INDEX(tx_CrAcct,836)&amp;"","")</f>
        <v/>
      </c>
      <c r="L842" s="95">
        <f>IF(H842=1,INDEX(tx_CrAmt,836),0)</f>
        <v/>
      </c>
      <c r="M842" s="95">
        <f>IF(H842=1,INDEX(tx_TaxDr,836),0)</f>
        <v/>
      </c>
      <c r="N842" s="95">
        <f>IF(H842=1,INDEX(tx_TaxCr,836),0)</f>
        <v/>
      </c>
      <c r="O842" s="101">
        <f>IF(H842=1,IF(E842&lt;FYStart,0,IF(E842&gt;FYEnd,13,YEAR(E842)*12+MONTH(E842)-FYYM+1)),"")</f>
        <v/>
      </c>
      <c r="P842" s="101">
        <f>IF(H842=1,IF(IFERROR(INDEX(coa_CF,MATCH(I842,coa_Name,0)),"")="Cash",1,0),0)</f>
        <v/>
      </c>
      <c r="Q842" s="101">
        <f>IF(H842=1,IF(IFERROR(INDEX(coa_CF,MATCH(K842,coa_Name,0)),"")="Cash",1,0),0)</f>
        <v/>
      </c>
      <c r="R842" s="58">
        <f>IF((P842-Q842)=0,"",IFERROR(INDEX(coa_CF,MATCH(IF((P842-Q842)=1,K842,I842),coa_Name,0)),"Operating"))</f>
        <v/>
      </c>
      <c r="S842" s="95">
        <f>IF((P842-Q842)=1,L842,IF((P842-Q842)=-1,-J842,0))</f>
        <v/>
      </c>
      <c r="T842" s="95">
        <f>IF((P842-Q842)=1,N842,IF((P842-Q842)=-1,-M842,0))</f>
        <v/>
      </c>
      <c r="U842" s="101">
        <f>IF(AND(H842=1,LedAcct&lt;&gt;""),IF(AND(E842&gt;=LedFrom,E842&lt;=LedTo,OR(I842=LedAcct,K842=LedAcct,AND(LedAcct=acctTax,M842+N842&lt;&gt;0))),E842*10000+B842,""),"")</f>
        <v/>
      </c>
    </row>
    <row r="843">
      <c r="B843" s="101" t="n">
        <v>837</v>
      </c>
      <c r="C843" s="58" t="inlineStr">
        <is>
          <t>Transaction</t>
        </is>
      </c>
      <c r="D843" s="58">
        <f>IF(H843=1,INDEX(tx_ID,837)&amp;"","")</f>
        <v/>
      </c>
      <c r="E843" s="94">
        <f>IF(H843=1,INDEX(tx_Date,837),"")</f>
        <v/>
      </c>
      <c r="F843" s="58">
        <f>IF(H843=1,INDEX(tx_Desc,837)&amp;"","")</f>
        <v/>
      </c>
      <c r="G843" s="58">
        <f>IF(H843=1,IF(INDEX(tx_Cust,837)&amp;""&lt;&gt;"",INDEX(tx_Cust,837)&amp;"",INDEX(tx_Vend,837)&amp;""),"")</f>
        <v/>
      </c>
      <c r="H843" s="101">
        <f>IFERROR(N(INDEX(tx_Posted,837)),0)</f>
        <v/>
      </c>
      <c r="I843" s="58">
        <f>IF(H843=1,INDEX(tx_DrAcct,837)&amp;"","")</f>
        <v/>
      </c>
      <c r="J843" s="95">
        <f>IF(H843=1,INDEX(tx_DrAmt,837),0)</f>
        <v/>
      </c>
      <c r="K843" s="58">
        <f>IF(H843=1,INDEX(tx_CrAcct,837)&amp;"","")</f>
        <v/>
      </c>
      <c r="L843" s="95">
        <f>IF(H843=1,INDEX(tx_CrAmt,837),0)</f>
        <v/>
      </c>
      <c r="M843" s="95">
        <f>IF(H843=1,INDEX(tx_TaxDr,837),0)</f>
        <v/>
      </c>
      <c r="N843" s="95">
        <f>IF(H843=1,INDEX(tx_TaxCr,837),0)</f>
        <v/>
      </c>
      <c r="O843" s="101">
        <f>IF(H843=1,IF(E843&lt;FYStart,0,IF(E843&gt;FYEnd,13,YEAR(E843)*12+MONTH(E843)-FYYM+1)),"")</f>
        <v/>
      </c>
      <c r="P843" s="101">
        <f>IF(H843=1,IF(IFERROR(INDEX(coa_CF,MATCH(I843,coa_Name,0)),"")="Cash",1,0),0)</f>
        <v/>
      </c>
      <c r="Q843" s="101">
        <f>IF(H843=1,IF(IFERROR(INDEX(coa_CF,MATCH(K843,coa_Name,0)),"")="Cash",1,0),0)</f>
        <v/>
      </c>
      <c r="R843" s="58">
        <f>IF((P843-Q843)=0,"",IFERROR(INDEX(coa_CF,MATCH(IF((P843-Q843)=1,K843,I843),coa_Name,0)),"Operating"))</f>
        <v/>
      </c>
      <c r="S843" s="95">
        <f>IF((P843-Q843)=1,L843,IF((P843-Q843)=-1,-J843,0))</f>
        <v/>
      </c>
      <c r="T843" s="95">
        <f>IF((P843-Q843)=1,N843,IF((P843-Q843)=-1,-M843,0))</f>
        <v/>
      </c>
      <c r="U843" s="101">
        <f>IF(AND(H843=1,LedAcct&lt;&gt;""),IF(AND(E843&gt;=LedFrom,E843&lt;=LedTo,OR(I843=LedAcct,K843=LedAcct,AND(LedAcct=acctTax,M843+N843&lt;&gt;0))),E843*10000+B843,""),"")</f>
        <v/>
      </c>
    </row>
    <row r="844">
      <c r="B844" s="101" t="n">
        <v>838</v>
      </c>
      <c r="C844" s="58" t="inlineStr">
        <is>
          <t>Transaction</t>
        </is>
      </c>
      <c r="D844" s="58">
        <f>IF(H844=1,INDEX(tx_ID,838)&amp;"","")</f>
        <v/>
      </c>
      <c r="E844" s="94">
        <f>IF(H844=1,INDEX(tx_Date,838),"")</f>
        <v/>
      </c>
      <c r="F844" s="58">
        <f>IF(H844=1,INDEX(tx_Desc,838)&amp;"","")</f>
        <v/>
      </c>
      <c r="G844" s="58">
        <f>IF(H844=1,IF(INDEX(tx_Cust,838)&amp;""&lt;&gt;"",INDEX(tx_Cust,838)&amp;"",INDEX(tx_Vend,838)&amp;""),"")</f>
        <v/>
      </c>
      <c r="H844" s="101">
        <f>IFERROR(N(INDEX(tx_Posted,838)),0)</f>
        <v/>
      </c>
      <c r="I844" s="58">
        <f>IF(H844=1,INDEX(tx_DrAcct,838)&amp;"","")</f>
        <v/>
      </c>
      <c r="J844" s="95">
        <f>IF(H844=1,INDEX(tx_DrAmt,838),0)</f>
        <v/>
      </c>
      <c r="K844" s="58">
        <f>IF(H844=1,INDEX(tx_CrAcct,838)&amp;"","")</f>
        <v/>
      </c>
      <c r="L844" s="95">
        <f>IF(H844=1,INDEX(tx_CrAmt,838),0)</f>
        <v/>
      </c>
      <c r="M844" s="95">
        <f>IF(H844=1,INDEX(tx_TaxDr,838),0)</f>
        <v/>
      </c>
      <c r="N844" s="95">
        <f>IF(H844=1,INDEX(tx_TaxCr,838),0)</f>
        <v/>
      </c>
      <c r="O844" s="101">
        <f>IF(H844=1,IF(E844&lt;FYStart,0,IF(E844&gt;FYEnd,13,YEAR(E844)*12+MONTH(E844)-FYYM+1)),"")</f>
        <v/>
      </c>
      <c r="P844" s="101">
        <f>IF(H844=1,IF(IFERROR(INDEX(coa_CF,MATCH(I844,coa_Name,0)),"")="Cash",1,0),0)</f>
        <v/>
      </c>
      <c r="Q844" s="101">
        <f>IF(H844=1,IF(IFERROR(INDEX(coa_CF,MATCH(K844,coa_Name,0)),"")="Cash",1,0),0)</f>
        <v/>
      </c>
      <c r="R844" s="58">
        <f>IF((P844-Q844)=0,"",IFERROR(INDEX(coa_CF,MATCH(IF((P844-Q844)=1,K844,I844),coa_Name,0)),"Operating"))</f>
        <v/>
      </c>
      <c r="S844" s="95">
        <f>IF((P844-Q844)=1,L844,IF((P844-Q844)=-1,-J844,0))</f>
        <v/>
      </c>
      <c r="T844" s="95">
        <f>IF((P844-Q844)=1,N844,IF((P844-Q844)=-1,-M844,0))</f>
        <v/>
      </c>
      <c r="U844" s="101">
        <f>IF(AND(H844=1,LedAcct&lt;&gt;""),IF(AND(E844&gt;=LedFrom,E844&lt;=LedTo,OR(I844=LedAcct,K844=LedAcct,AND(LedAcct=acctTax,M844+N844&lt;&gt;0))),E844*10000+B844,""),"")</f>
        <v/>
      </c>
    </row>
    <row r="845">
      <c r="B845" s="101" t="n">
        <v>839</v>
      </c>
      <c r="C845" s="58" t="inlineStr">
        <is>
          <t>Transaction</t>
        </is>
      </c>
      <c r="D845" s="58">
        <f>IF(H845=1,INDEX(tx_ID,839)&amp;"","")</f>
        <v/>
      </c>
      <c r="E845" s="94">
        <f>IF(H845=1,INDEX(tx_Date,839),"")</f>
        <v/>
      </c>
      <c r="F845" s="58">
        <f>IF(H845=1,INDEX(tx_Desc,839)&amp;"","")</f>
        <v/>
      </c>
      <c r="G845" s="58">
        <f>IF(H845=1,IF(INDEX(tx_Cust,839)&amp;""&lt;&gt;"",INDEX(tx_Cust,839)&amp;"",INDEX(tx_Vend,839)&amp;""),"")</f>
        <v/>
      </c>
      <c r="H845" s="101">
        <f>IFERROR(N(INDEX(tx_Posted,839)),0)</f>
        <v/>
      </c>
      <c r="I845" s="58">
        <f>IF(H845=1,INDEX(tx_DrAcct,839)&amp;"","")</f>
        <v/>
      </c>
      <c r="J845" s="95">
        <f>IF(H845=1,INDEX(tx_DrAmt,839),0)</f>
        <v/>
      </c>
      <c r="K845" s="58">
        <f>IF(H845=1,INDEX(tx_CrAcct,839)&amp;"","")</f>
        <v/>
      </c>
      <c r="L845" s="95">
        <f>IF(H845=1,INDEX(tx_CrAmt,839),0)</f>
        <v/>
      </c>
      <c r="M845" s="95">
        <f>IF(H845=1,INDEX(tx_TaxDr,839),0)</f>
        <v/>
      </c>
      <c r="N845" s="95">
        <f>IF(H845=1,INDEX(tx_TaxCr,839),0)</f>
        <v/>
      </c>
      <c r="O845" s="101">
        <f>IF(H845=1,IF(E845&lt;FYStart,0,IF(E845&gt;FYEnd,13,YEAR(E845)*12+MONTH(E845)-FYYM+1)),"")</f>
        <v/>
      </c>
      <c r="P845" s="101">
        <f>IF(H845=1,IF(IFERROR(INDEX(coa_CF,MATCH(I845,coa_Name,0)),"")="Cash",1,0),0)</f>
        <v/>
      </c>
      <c r="Q845" s="101">
        <f>IF(H845=1,IF(IFERROR(INDEX(coa_CF,MATCH(K845,coa_Name,0)),"")="Cash",1,0),0)</f>
        <v/>
      </c>
      <c r="R845" s="58">
        <f>IF((P845-Q845)=0,"",IFERROR(INDEX(coa_CF,MATCH(IF((P845-Q845)=1,K845,I845),coa_Name,0)),"Operating"))</f>
        <v/>
      </c>
      <c r="S845" s="95">
        <f>IF((P845-Q845)=1,L845,IF((P845-Q845)=-1,-J845,0))</f>
        <v/>
      </c>
      <c r="T845" s="95">
        <f>IF((P845-Q845)=1,N845,IF((P845-Q845)=-1,-M845,0))</f>
        <v/>
      </c>
      <c r="U845" s="101">
        <f>IF(AND(H845=1,LedAcct&lt;&gt;""),IF(AND(E845&gt;=LedFrom,E845&lt;=LedTo,OR(I845=LedAcct,K845=LedAcct,AND(LedAcct=acctTax,M845+N845&lt;&gt;0))),E845*10000+B845,""),"")</f>
        <v/>
      </c>
    </row>
    <row r="846">
      <c r="B846" s="101" t="n">
        <v>840</v>
      </c>
      <c r="C846" s="58" t="inlineStr">
        <is>
          <t>Transaction</t>
        </is>
      </c>
      <c r="D846" s="58">
        <f>IF(H846=1,INDEX(tx_ID,840)&amp;"","")</f>
        <v/>
      </c>
      <c r="E846" s="94">
        <f>IF(H846=1,INDEX(tx_Date,840),"")</f>
        <v/>
      </c>
      <c r="F846" s="58">
        <f>IF(H846=1,INDEX(tx_Desc,840)&amp;"","")</f>
        <v/>
      </c>
      <c r="G846" s="58">
        <f>IF(H846=1,IF(INDEX(tx_Cust,840)&amp;""&lt;&gt;"",INDEX(tx_Cust,840)&amp;"",INDEX(tx_Vend,840)&amp;""),"")</f>
        <v/>
      </c>
      <c r="H846" s="101">
        <f>IFERROR(N(INDEX(tx_Posted,840)),0)</f>
        <v/>
      </c>
      <c r="I846" s="58">
        <f>IF(H846=1,INDEX(tx_DrAcct,840)&amp;"","")</f>
        <v/>
      </c>
      <c r="J846" s="95">
        <f>IF(H846=1,INDEX(tx_DrAmt,840),0)</f>
        <v/>
      </c>
      <c r="K846" s="58">
        <f>IF(H846=1,INDEX(tx_CrAcct,840)&amp;"","")</f>
        <v/>
      </c>
      <c r="L846" s="95">
        <f>IF(H846=1,INDEX(tx_CrAmt,840),0)</f>
        <v/>
      </c>
      <c r="M846" s="95">
        <f>IF(H846=1,INDEX(tx_TaxDr,840),0)</f>
        <v/>
      </c>
      <c r="N846" s="95">
        <f>IF(H846=1,INDEX(tx_TaxCr,840),0)</f>
        <v/>
      </c>
      <c r="O846" s="101">
        <f>IF(H846=1,IF(E846&lt;FYStart,0,IF(E846&gt;FYEnd,13,YEAR(E846)*12+MONTH(E846)-FYYM+1)),"")</f>
        <v/>
      </c>
      <c r="P846" s="101">
        <f>IF(H846=1,IF(IFERROR(INDEX(coa_CF,MATCH(I846,coa_Name,0)),"")="Cash",1,0),0)</f>
        <v/>
      </c>
      <c r="Q846" s="101">
        <f>IF(H846=1,IF(IFERROR(INDEX(coa_CF,MATCH(K846,coa_Name,0)),"")="Cash",1,0),0)</f>
        <v/>
      </c>
      <c r="R846" s="58">
        <f>IF((P846-Q846)=0,"",IFERROR(INDEX(coa_CF,MATCH(IF((P846-Q846)=1,K846,I846),coa_Name,0)),"Operating"))</f>
        <v/>
      </c>
      <c r="S846" s="95">
        <f>IF((P846-Q846)=1,L846,IF((P846-Q846)=-1,-J846,0))</f>
        <v/>
      </c>
      <c r="T846" s="95">
        <f>IF((P846-Q846)=1,N846,IF((P846-Q846)=-1,-M846,0))</f>
        <v/>
      </c>
      <c r="U846" s="101">
        <f>IF(AND(H846=1,LedAcct&lt;&gt;""),IF(AND(E846&gt;=LedFrom,E846&lt;=LedTo,OR(I846=LedAcct,K846=LedAcct,AND(LedAcct=acctTax,M846+N846&lt;&gt;0))),E846*10000+B846,""),"")</f>
        <v/>
      </c>
    </row>
    <row r="847">
      <c r="B847" s="101" t="n">
        <v>841</v>
      </c>
      <c r="C847" s="58" t="inlineStr">
        <is>
          <t>Transaction</t>
        </is>
      </c>
      <c r="D847" s="58">
        <f>IF(H847=1,INDEX(tx_ID,841)&amp;"","")</f>
        <v/>
      </c>
      <c r="E847" s="94">
        <f>IF(H847=1,INDEX(tx_Date,841),"")</f>
        <v/>
      </c>
      <c r="F847" s="58">
        <f>IF(H847=1,INDEX(tx_Desc,841)&amp;"","")</f>
        <v/>
      </c>
      <c r="G847" s="58">
        <f>IF(H847=1,IF(INDEX(tx_Cust,841)&amp;""&lt;&gt;"",INDEX(tx_Cust,841)&amp;"",INDEX(tx_Vend,841)&amp;""),"")</f>
        <v/>
      </c>
      <c r="H847" s="101">
        <f>IFERROR(N(INDEX(tx_Posted,841)),0)</f>
        <v/>
      </c>
      <c r="I847" s="58">
        <f>IF(H847=1,INDEX(tx_DrAcct,841)&amp;"","")</f>
        <v/>
      </c>
      <c r="J847" s="95">
        <f>IF(H847=1,INDEX(tx_DrAmt,841),0)</f>
        <v/>
      </c>
      <c r="K847" s="58">
        <f>IF(H847=1,INDEX(tx_CrAcct,841)&amp;"","")</f>
        <v/>
      </c>
      <c r="L847" s="95">
        <f>IF(H847=1,INDEX(tx_CrAmt,841),0)</f>
        <v/>
      </c>
      <c r="M847" s="95">
        <f>IF(H847=1,INDEX(tx_TaxDr,841),0)</f>
        <v/>
      </c>
      <c r="N847" s="95">
        <f>IF(H847=1,INDEX(tx_TaxCr,841),0)</f>
        <v/>
      </c>
      <c r="O847" s="101">
        <f>IF(H847=1,IF(E847&lt;FYStart,0,IF(E847&gt;FYEnd,13,YEAR(E847)*12+MONTH(E847)-FYYM+1)),"")</f>
        <v/>
      </c>
      <c r="P847" s="101">
        <f>IF(H847=1,IF(IFERROR(INDEX(coa_CF,MATCH(I847,coa_Name,0)),"")="Cash",1,0),0)</f>
        <v/>
      </c>
      <c r="Q847" s="101">
        <f>IF(H847=1,IF(IFERROR(INDEX(coa_CF,MATCH(K847,coa_Name,0)),"")="Cash",1,0),0)</f>
        <v/>
      </c>
      <c r="R847" s="58">
        <f>IF((P847-Q847)=0,"",IFERROR(INDEX(coa_CF,MATCH(IF((P847-Q847)=1,K847,I847),coa_Name,0)),"Operating"))</f>
        <v/>
      </c>
      <c r="S847" s="95">
        <f>IF((P847-Q847)=1,L847,IF((P847-Q847)=-1,-J847,0))</f>
        <v/>
      </c>
      <c r="T847" s="95">
        <f>IF((P847-Q847)=1,N847,IF((P847-Q847)=-1,-M847,0))</f>
        <v/>
      </c>
      <c r="U847" s="101">
        <f>IF(AND(H847=1,LedAcct&lt;&gt;""),IF(AND(E847&gt;=LedFrom,E847&lt;=LedTo,OR(I847=LedAcct,K847=LedAcct,AND(LedAcct=acctTax,M847+N847&lt;&gt;0))),E847*10000+B847,""),"")</f>
        <v/>
      </c>
    </row>
    <row r="848">
      <c r="B848" s="101" t="n">
        <v>842</v>
      </c>
      <c r="C848" s="58" t="inlineStr">
        <is>
          <t>Transaction</t>
        </is>
      </c>
      <c r="D848" s="58">
        <f>IF(H848=1,INDEX(tx_ID,842)&amp;"","")</f>
        <v/>
      </c>
      <c r="E848" s="94">
        <f>IF(H848=1,INDEX(tx_Date,842),"")</f>
        <v/>
      </c>
      <c r="F848" s="58">
        <f>IF(H848=1,INDEX(tx_Desc,842)&amp;"","")</f>
        <v/>
      </c>
      <c r="G848" s="58">
        <f>IF(H848=1,IF(INDEX(tx_Cust,842)&amp;""&lt;&gt;"",INDEX(tx_Cust,842)&amp;"",INDEX(tx_Vend,842)&amp;""),"")</f>
        <v/>
      </c>
      <c r="H848" s="101">
        <f>IFERROR(N(INDEX(tx_Posted,842)),0)</f>
        <v/>
      </c>
      <c r="I848" s="58">
        <f>IF(H848=1,INDEX(tx_DrAcct,842)&amp;"","")</f>
        <v/>
      </c>
      <c r="J848" s="95">
        <f>IF(H848=1,INDEX(tx_DrAmt,842),0)</f>
        <v/>
      </c>
      <c r="K848" s="58">
        <f>IF(H848=1,INDEX(tx_CrAcct,842)&amp;"","")</f>
        <v/>
      </c>
      <c r="L848" s="95">
        <f>IF(H848=1,INDEX(tx_CrAmt,842),0)</f>
        <v/>
      </c>
      <c r="M848" s="95">
        <f>IF(H848=1,INDEX(tx_TaxDr,842),0)</f>
        <v/>
      </c>
      <c r="N848" s="95">
        <f>IF(H848=1,INDEX(tx_TaxCr,842),0)</f>
        <v/>
      </c>
      <c r="O848" s="101">
        <f>IF(H848=1,IF(E848&lt;FYStart,0,IF(E848&gt;FYEnd,13,YEAR(E848)*12+MONTH(E848)-FYYM+1)),"")</f>
        <v/>
      </c>
      <c r="P848" s="101">
        <f>IF(H848=1,IF(IFERROR(INDEX(coa_CF,MATCH(I848,coa_Name,0)),"")="Cash",1,0),0)</f>
        <v/>
      </c>
      <c r="Q848" s="101">
        <f>IF(H848=1,IF(IFERROR(INDEX(coa_CF,MATCH(K848,coa_Name,0)),"")="Cash",1,0),0)</f>
        <v/>
      </c>
      <c r="R848" s="58">
        <f>IF((P848-Q848)=0,"",IFERROR(INDEX(coa_CF,MATCH(IF((P848-Q848)=1,K848,I848),coa_Name,0)),"Operating"))</f>
        <v/>
      </c>
      <c r="S848" s="95">
        <f>IF((P848-Q848)=1,L848,IF((P848-Q848)=-1,-J848,0))</f>
        <v/>
      </c>
      <c r="T848" s="95">
        <f>IF((P848-Q848)=1,N848,IF((P848-Q848)=-1,-M848,0))</f>
        <v/>
      </c>
      <c r="U848" s="101">
        <f>IF(AND(H848=1,LedAcct&lt;&gt;""),IF(AND(E848&gt;=LedFrom,E848&lt;=LedTo,OR(I848=LedAcct,K848=LedAcct,AND(LedAcct=acctTax,M848+N848&lt;&gt;0))),E848*10000+B848,""),"")</f>
        <v/>
      </c>
    </row>
    <row r="849">
      <c r="B849" s="101" t="n">
        <v>843</v>
      </c>
      <c r="C849" s="58" t="inlineStr">
        <is>
          <t>Transaction</t>
        </is>
      </c>
      <c r="D849" s="58">
        <f>IF(H849=1,INDEX(tx_ID,843)&amp;"","")</f>
        <v/>
      </c>
      <c r="E849" s="94">
        <f>IF(H849=1,INDEX(tx_Date,843),"")</f>
        <v/>
      </c>
      <c r="F849" s="58">
        <f>IF(H849=1,INDEX(tx_Desc,843)&amp;"","")</f>
        <v/>
      </c>
      <c r="G849" s="58">
        <f>IF(H849=1,IF(INDEX(tx_Cust,843)&amp;""&lt;&gt;"",INDEX(tx_Cust,843)&amp;"",INDEX(tx_Vend,843)&amp;""),"")</f>
        <v/>
      </c>
      <c r="H849" s="101">
        <f>IFERROR(N(INDEX(tx_Posted,843)),0)</f>
        <v/>
      </c>
      <c r="I849" s="58">
        <f>IF(H849=1,INDEX(tx_DrAcct,843)&amp;"","")</f>
        <v/>
      </c>
      <c r="J849" s="95">
        <f>IF(H849=1,INDEX(tx_DrAmt,843),0)</f>
        <v/>
      </c>
      <c r="K849" s="58">
        <f>IF(H849=1,INDEX(tx_CrAcct,843)&amp;"","")</f>
        <v/>
      </c>
      <c r="L849" s="95">
        <f>IF(H849=1,INDEX(tx_CrAmt,843),0)</f>
        <v/>
      </c>
      <c r="M849" s="95">
        <f>IF(H849=1,INDEX(tx_TaxDr,843),0)</f>
        <v/>
      </c>
      <c r="N849" s="95">
        <f>IF(H849=1,INDEX(tx_TaxCr,843),0)</f>
        <v/>
      </c>
      <c r="O849" s="101">
        <f>IF(H849=1,IF(E849&lt;FYStart,0,IF(E849&gt;FYEnd,13,YEAR(E849)*12+MONTH(E849)-FYYM+1)),"")</f>
        <v/>
      </c>
      <c r="P849" s="101">
        <f>IF(H849=1,IF(IFERROR(INDEX(coa_CF,MATCH(I849,coa_Name,0)),"")="Cash",1,0),0)</f>
        <v/>
      </c>
      <c r="Q849" s="101">
        <f>IF(H849=1,IF(IFERROR(INDEX(coa_CF,MATCH(K849,coa_Name,0)),"")="Cash",1,0),0)</f>
        <v/>
      </c>
      <c r="R849" s="58">
        <f>IF((P849-Q849)=0,"",IFERROR(INDEX(coa_CF,MATCH(IF((P849-Q849)=1,K849,I849),coa_Name,0)),"Operating"))</f>
        <v/>
      </c>
      <c r="S849" s="95">
        <f>IF((P849-Q849)=1,L849,IF((P849-Q849)=-1,-J849,0))</f>
        <v/>
      </c>
      <c r="T849" s="95">
        <f>IF((P849-Q849)=1,N849,IF((P849-Q849)=-1,-M849,0))</f>
        <v/>
      </c>
      <c r="U849" s="101">
        <f>IF(AND(H849=1,LedAcct&lt;&gt;""),IF(AND(E849&gt;=LedFrom,E849&lt;=LedTo,OR(I849=LedAcct,K849=LedAcct,AND(LedAcct=acctTax,M849+N849&lt;&gt;0))),E849*10000+B849,""),"")</f>
        <v/>
      </c>
    </row>
    <row r="850">
      <c r="B850" s="101" t="n">
        <v>844</v>
      </c>
      <c r="C850" s="58" t="inlineStr">
        <is>
          <t>Transaction</t>
        </is>
      </c>
      <c r="D850" s="58">
        <f>IF(H850=1,INDEX(tx_ID,844)&amp;"","")</f>
        <v/>
      </c>
      <c r="E850" s="94">
        <f>IF(H850=1,INDEX(tx_Date,844),"")</f>
        <v/>
      </c>
      <c r="F850" s="58">
        <f>IF(H850=1,INDEX(tx_Desc,844)&amp;"","")</f>
        <v/>
      </c>
      <c r="G850" s="58">
        <f>IF(H850=1,IF(INDEX(tx_Cust,844)&amp;""&lt;&gt;"",INDEX(tx_Cust,844)&amp;"",INDEX(tx_Vend,844)&amp;""),"")</f>
        <v/>
      </c>
      <c r="H850" s="101">
        <f>IFERROR(N(INDEX(tx_Posted,844)),0)</f>
        <v/>
      </c>
      <c r="I850" s="58">
        <f>IF(H850=1,INDEX(tx_DrAcct,844)&amp;"","")</f>
        <v/>
      </c>
      <c r="J850" s="95">
        <f>IF(H850=1,INDEX(tx_DrAmt,844),0)</f>
        <v/>
      </c>
      <c r="K850" s="58">
        <f>IF(H850=1,INDEX(tx_CrAcct,844)&amp;"","")</f>
        <v/>
      </c>
      <c r="L850" s="95">
        <f>IF(H850=1,INDEX(tx_CrAmt,844),0)</f>
        <v/>
      </c>
      <c r="M850" s="95">
        <f>IF(H850=1,INDEX(tx_TaxDr,844),0)</f>
        <v/>
      </c>
      <c r="N850" s="95">
        <f>IF(H850=1,INDEX(tx_TaxCr,844),0)</f>
        <v/>
      </c>
      <c r="O850" s="101">
        <f>IF(H850=1,IF(E850&lt;FYStart,0,IF(E850&gt;FYEnd,13,YEAR(E850)*12+MONTH(E850)-FYYM+1)),"")</f>
        <v/>
      </c>
      <c r="P850" s="101">
        <f>IF(H850=1,IF(IFERROR(INDEX(coa_CF,MATCH(I850,coa_Name,0)),"")="Cash",1,0),0)</f>
        <v/>
      </c>
      <c r="Q850" s="101">
        <f>IF(H850=1,IF(IFERROR(INDEX(coa_CF,MATCH(K850,coa_Name,0)),"")="Cash",1,0),0)</f>
        <v/>
      </c>
      <c r="R850" s="58">
        <f>IF((P850-Q850)=0,"",IFERROR(INDEX(coa_CF,MATCH(IF((P850-Q850)=1,K850,I850),coa_Name,0)),"Operating"))</f>
        <v/>
      </c>
      <c r="S850" s="95">
        <f>IF((P850-Q850)=1,L850,IF((P850-Q850)=-1,-J850,0))</f>
        <v/>
      </c>
      <c r="T850" s="95">
        <f>IF((P850-Q850)=1,N850,IF((P850-Q850)=-1,-M850,0))</f>
        <v/>
      </c>
      <c r="U850" s="101">
        <f>IF(AND(H850=1,LedAcct&lt;&gt;""),IF(AND(E850&gt;=LedFrom,E850&lt;=LedTo,OR(I850=LedAcct,K850=LedAcct,AND(LedAcct=acctTax,M850+N850&lt;&gt;0))),E850*10000+B850,""),"")</f>
        <v/>
      </c>
    </row>
    <row r="851">
      <c r="B851" s="101" t="n">
        <v>845</v>
      </c>
      <c r="C851" s="58" t="inlineStr">
        <is>
          <t>Transaction</t>
        </is>
      </c>
      <c r="D851" s="58">
        <f>IF(H851=1,INDEX(tx_ID,845)&amp;"","")</f>
        <v/>
      </c>
      <c r="E851" s="94">
        <f>IF(H851=1,INDEX(tx_Date,845),"")</f>
        <v/>
      </c>
      <c r="F851" s="58">
        <f>IF(H851=1,INDEX(tx_Desc,845)&amp;"","")</f>
        <v/>
      </c>
      <c r="G851" s="58">
        <f>IF(H851=1,IF(INDEX(tx_Cust,845)&amp;""&lt;&gt;"",INDEX(tx_Cust,845)&amp;"",INDEX(tx_Vend,845)&amp;""),"")</f>
        <v/>
      </c>
      <c r="H851" s="101">
        <f>IFERROR(N(INDEX(tx_Posted,845)),0)</f>
        <v/>
      </c>
      <c r="I851" s="58">
        <f>IF(H851=1,INDEX(tx_DrAcct,845)&amp;"","")</f>
        <v/>
      </c>
      <c r="J851" s="95">
        <f>IF(H851=1,INDEX(tx_DrAmt,845),0)</f>
        <v/>
      </c>
      <c r="K851" s="58">
        <f>IF(H851=1,INDEX(tx_CrAcct,845)&amp;"","")</f>
        <v/>
      </c>
      <c r="L851" s="95">
        <f>IF(H851=1,INDEX(tx_CrAmt,845),0)</f>
        <v/>
      </c>
      <c r="M851" s="95">
        <f>IF(H851=1,INDEX(tx_TaxDr,845),0)</f>
        <v/>
      </c>
      <c r="N851" s="95">
        <f>IF(H851=1,INDEX(tx_TaxCr,845),0)</f>
        <v/>
      </c>
      <c r="O851" s="101">
        <f>IF(H851=1,IF(E851&lt;FYStart,0,IF(E851&gt;FYEnd,13,YEAR(E851)*12+MONTH(E851)-FYYM+1)),"")</f>
        <v/>
      </c>
      <c r="P851" s="101">
        <f>IF(H851=1,IF(IFERROR(INDEX(coa_CF,MATCH(I851,coa_Name,0)),"")="Cash",1,0),0)</f>
        <v/>
      </c>
      <c r="Q851" s="101">
        <f>IF(H851=1,IF(IFERROR(INDEX(coa_CF,MATCH(K851,coa_Name,0)),"")="Cash",1,0),0)</f>
        <v/>
      </c>
      <c r="R851" s="58">
        <f>IF((P851-Q851)=0,"",IFERROR(INDEX(coa_CF,MATCH(IF((P851-Q851)=1,K851,I851),coa_Name,0)),"Operating"))</f>
        <v/>
      </c>
      <c r="S851" s="95">
        <f>IF((P851-Q851)=1,L851,IF((P851-Q851)=-1,-J851,0))</f>
        <v/>
      </c>
      <c r="T851" s="95">
        <f>IF((P851-Q851)=1,N851,IF((P851-Q851)=-1,-M851,0))</f>
        <v/>
      </c>
      <c r="U851" s="101">
        <f>IF(AND(H851=1,LedAcct&lt;&gt;""),IF(AND(E851&gt;=LedFrom,E851&lt;=LedTo,OR(I851=LedAcct,K851=LedAcct,AND(LedAcct=acctTax,M851+N851&lt;&gt;0))),E851*10000+B851,""),"")</f>
        <v/>
      </c>
    </row>
    <row r="852">
      <c r="B852" s="101" t="n">
        <v>846</v>
      </c>
      <c r="C852" s="58" t="inlineStr">
        <is>
          <t>Transaction</t>
        </is>
      </c>
      <c r="D852" s="58">
        <f>IF(H852=1,INDEX(tx_ID,846)&amp;"","")</f>
        <v/>
      </c>
      <c r="E852" s="94">
        <f>IF(H852=1,INDEX(tx_Date,846),"")</f>
        <v/>
      </c>
      <c r="F852" s="58">
        <f>IF(H852=1,INDEX(tx_Desc,846)&amp;"","")</f>
        <v/>
      </c>
      <c r="G852" s="58">
        <f>IF(H852=1,IF(INDEX(tx_Cust,846)&amp;""&lt;&gt;"",INDEX(tx_Cust,846)&amp;"",INDEX(tx_Vend,846)&amp;""),"")</f>
        <v/>
      </c>
      <c r="H852" s="101">
        <f>IFERROR(N(INDEX(tx_Posted,846)),0)</f>
        <v/>
      </c>
      <c r="I852" s="58">
        <f>IF(H852=1,INDEX(tx_DrAcct,846)&amp;"","")</f>
        <v/>
      </c>
      <c r="J852" s="95">
        <f>IF(H852=1,INDEX(tx_DrAmt,846),0)</f>
        <v/>
      </c>
      <c r="K852" s="58">
        <f>IF(H852=1,INDEX(tx_CrAcct,846)&amp;"","")</f>
        <v/>
      </c>
      <c r="L852" s="95">
        <f>IF(H852=1,INDEX(tx_CrAmt,846),0)</f>
        <v/>
      </c>
      <c r="M852" s="95">
        <f>IF(H852=1,INDEX(tx_TaxDr,846),0)</f>
        <v/>
      </c>
      <c r="N852" s="95">
        <f>IF(H852=1,INDEX(tx_TaxCr,846),0)</f>
        <v/>
      </c>
      <c r="O852" s="101">
        <f>IF(H852=1,IF(E852&lt;FYStart,0,IF(E852&gt;FYEnd,13,YEAR(E852)*12+MONTH(E852)-FYYM+1)),"")</f>
        <v/>
      </c>
      <c r="P852" s="101">
        <f>IF(H852=1,IF(IFERROR(INDEX(coa_CF,MATCH(I852,coa_Name,0)),"")="Cash",1,0),0)</f>
        <v/>
      </c>
      <c r="Q852" s="101">
        <f>IF(H852=1,IF(IFERROR(INDEX(coa_CF,MATCH(K852,coa_Name,0)),"")="Cash",1,0),0)</f>
        <v/>
      </c>
      <c r="R852" s="58">
        <f>IF((P852-Q852)=0,"",IFERROR(INDEX(coa_CF,MATCH(IF((P852-Q852)=1,K852,I852),coa_Name,0)),"Operating"))</f>
        <v/>
      </c>
      <c r="S852" s="95">
        <f>IF((P852-Q852)=1,L852,IF((P852-Q852)=-1,-J852,0))</f>
        <v/>
      </c>
      <c r="T852" s="95">
        <f>IF((P852-Q852)=1,N852,IF((P852-Q852)=-1,-M852,0))</f>
        <v/>
      </c>
      <c r="U852" s="101">
        <f>IF(AND(H852=1,LedAcct&lt;&gt;""),IF(AND(E852&gt;=LedFrom,E852&lt;=LedTo,OR(I852=LedAcct,K852=LedAcct,AND(LedAcct=acctTax,M852+N852&lt;&gt;0))),E852*10000+B852,""),"")</f>
        <v/>
      </c>
    </row>
    <row r="853">
      <c r="B853" s="101" t="n">
        <v>847</v>
      </c>
      <c r="C853" s="58" t="inlineStr">
        <is>
          <t>Transaction</t>
        </is>
      </c>
      <c r="D853" s="58">
        <f>IF(H853=1,INDEX(tx_ID,847)&amp;"","")</f>
        <v/>
      </c>
      <c r="E853" s="94">
        <f>IF(H853=1,INDEX(tx_Date,847),"")</f>
        <v/>
      </c>
      <c r="F853" s="58">
        <f>IF(H853=1,INDEX(tx_Desc,847)&amp;"","")</f>
        <v/>
      </c>
      <c r="G853" s="58">
        <f>IF(H853=1,IF(INDEX(tx_Cust,847)&amp;""&lt;&gt;"",INDEX(tx_Cust,847)&amp;"",INDEX(tx_Vend,847)&amp;""),"")</f>
        <v/>
      </c>
      <c r="H853" s="101">
        <f>IFERROR(N(INDEX(tx_Posted,847)),0)</f>
        <v/>
      </c>
      <c r="I853" s="58">
        <f>IF(H853=1,INDEX(tx_DrAcct,847)&amp;"","")</f>
        <v/>
      </c>
      <c r="J853" s="95">
        <f>IF(H853=1,INDEX(tx_DrAmt,847),0)</f>
        <v/>
      </c>
      <c r="K853" s="58">
        <f>IF(H853=1,INDEX(tx_CrAcct,847)&amp;"","")</f>
        <v/>
      </c>
      <c r="L853" s="95">
        <f>IF(H853=1,INDEX(tx_CrAmt,847),0)</f>
        <v/>
      </c>
      <c r="M853" s="95">
        <f>IF(H853=1,INDEX(tx_TaxDr,847),0)</f>
        <v/>
      </c>
      <c r="N853" s="95">
        <f>IF(H853=1,INDEX(tx_TaxCr,847),0)</f>
        <v/>
      </c>
      <c r="O853" s="101">
        <f>IF(H853=1,IF(E853&lt;FYStart,0,IF(E853&gt;FYEnd,13,YEAR(E853)*12+MONTH(E853)-FYYM+1)),"")</f>
        <v/>
      </c>
      <c r="P853" s="101">
        <f>IF(H853=1,IF(IFERROR(INDEX(coa_CF,MATCH(I853,coa_Name,0)),"")="Cash",1,0),0)</f>
        <v/>
      </c>
      <c r="Q853" s="101">
        <f>IF(H853=1,IF(IFERROR(INDEX(coa_CF,MATCH(K853,coa_Name,0)),"")="Cash",1,0),0)</f>
        <v/>
      </c>
      <c r="R853" s="58">
        <f>IF((P853-Q853)=0,"",IFERROR(INDEX(coa_CF,MATCH(IF((P853-Q853)=1,K853,I853),coa_Name,0)),"Operating"))</f>
        <v/>
      </c>
      <c r="S853" s="95">
        <f>IF((P853-Q853)=1,L853,IF((P853-Q853)=-1,-J853,0))</f>
        <v/>
      </c>
      <c r="T853" s="95">
        <f>IF((P853-Q853)=1,N853,IF((P853-Q853)=-1,-M853,0))</f>
        <v/>
      </c>
      <c r="U853" s="101">
        <f>IF(AND(H853=1,LedAcct&lt;&gt;""),IF(AND(E853&gt;=LedFrom,E853&lt;=LedTo,OR(I853=LedAcct,K853=LedAcct,AND(LedAcct=acctTax,M853+N853&lt;&gt;0))),E853*10000+B853,""),"")</f>
        <v/>
      </c>
    </row>
    <row r="854">
      <c r="B854" s="101" t="n">
        <v>848</v>
      </c>
      <c r="C854" s="58" t="inlineStr">
        <is>
          <t>Transaction</t>
        </is>
      </c>
      <c r="D854" s="58">
        <f>IF(H854=1,INDEX(tx_ID,848)&amp;"","")</f>
        <v/>
      </c>
      <c r="E854" s="94">
        <f>IF(H854=1,INDEX(tx_Date,848),"")</f>
        <v/>
      </c>
      <c r="F854" s="58">
        <f>IF(H854=1,INDEX(tx_Desc,848)&amp;"","")</f>
        <v/>
      </c>
      <c r="G854" s="58">
        <f>IF(H854=1,IF(INDEX(tx_Cust,848)&amp;""&lt;&gt;"",INDEX(tx_Cust,848)&amp;"",INDEX(tx_Vend,848)&amp;""),"")</f>
        <v/>
      </c>
      <c r="H854" s="101">
        <f>IFERROR(N(INDEX(tx_Posted,848)),0)</f>
        <v/>
      </c>
      <c r="I854" s="58">
        <f>IF(H854=1,INDEX(tx_DrAcct,848)&amp;"","")</f>
        <v/>
      </c>
      <c r="J854" s="95">
        <f>IF(H854=1,INDEX(tx_DrAmt,848),0)</f>
        <v/>
      </c>
      <c r="K854" s="58">
        <f>IF(H854=1,INDEX(tx_CrAcct,848)&amp;"","")</f>
        <v/>
      </c>
      <c r="L854" s="95">
        <f>IF(H854=1,INDEX(tx_CrAmt,848),0)</f>
        <v/>
      </c>
      <c r="M854" s="95">
        <f>IF(H854=1,INDEX(tx_TaxDr,848),0)</f>
        <v/>
      </c>
      <c r="N854" s="95">
        <f>IF(H854=1,INDEX(tx_TaxCr,848),0)</f>
        <v/>
      </c>
      <c r="O854" s="101">
        <f>IF(H854=1,IF(E854&lt;FYStart,0,IF(E854&gt;FYEnd,13,YEAR(E854)*12+MONTH(E854)-FYYM+1)),"")</f>
        <v/>
      </c>
      <c r="P854" s="101">
        <f>IF(H854=1,IF(IFERROR(INDEX(coa_CF,MATCH(I854,coa_Name,0)),"")="Cash",1,0),0)</f>
        <v/>
      </c>
      <c r="Q854" s="101">
        <f>IF(H854=1,IF(IFERROR(INDEX(coa_CF,MATCH(K854,coa_Name,0)),"")="Cash",1,0),0)</f>
        <v/>
      </c>
      <c r="R854" s="58">
        <f>IF((P854-Q854)=0,"",IFERROR(INDEX(coa_CF,MATCH(IF((P854-Q854)=1,K854,I854),coa_Name,0)),"Operating"))</f>
        <v/>
      </c>
      <c r="S854" s="95">
        <f>IF((P854-Q854)=1,L854,IF((P854-Q854)=-1,-J854,0))</f>
        <v/>
      </c>
      <c r="T854" s="95">
        <f>IF((P854-Q854)=1,N854,IF((P854-Q854)=-1,-M854,0))</f>
        <v/>
      </c>
      <c r="U854" s="101">
        <f>IF(AND(H854=1,LedAcct&lt;&gt;""),IF(AND(E854&gt;=LedFrom,E854&lt;=LedTo,OR(I854=LedAcct,K854=LedAcct,AND(LedAcct=acctTax,M854+N854&lt;&gt;0))),E854*10000+B854,""),"")</f>
        <v/>
      </c>
    </row>
    <row r="855">
      <c r="B855" s="101" t="n">
        <v>849</v>
      </c>
      <c r="C855" s="58" t="inlineStr">
        <is>
          <t>Transaction</t>
        </is>
      </c>
      <c r="D855" s="58">
        <f>IF(H855=1,INDEX(tx_ID,849)&amp;"","")</f>
        <v/>
      </c>
      <c r="E855" s="94">
        <f>IF(H855=1,INDEX(tx_Date,849),"")</f>
        <v/>
      </c>
      <c r="F855" s="58">
        <f>IF(H855=1,INDEX(tx_Desc,849)&amp;"","")</f>
        <v/>
      </c>
      <c r="G855" s="58">
        <f>IF(H855=1,IF(INDEX(tx_Cust,849)&amp;""&lt;&gt;"",INDEX(tx_Cust,849)&amp;"",INDEX(tx_Vend,849)&amp;""),"")</f>
        <v/>
      </c>
      <c r="H855" s="101">
        <f>IFERROR(N(INDEX(tx_Posted,849)),0)</f>
        <v/>
      </c>
      <c r="I855" s="58">
        <f>IF(H855=1,INDEX(tx_DrAcct,849)&amp;"","")</f>
        <v/>
      </c>
      <c r="J855" s="95">
        <f>IF(H855=1,INDEX(tx_DrAmt,849),0)</f>
        <v/>
      </c>
      <c r="K855" s="58">
        <f>IF(H855=1,INDEX(tx_CrAcct,849)&amp;"","")</f>
        <v/>
      </c>
      <c r="L855" s="95">
        <f>IF(H855=1,INDEX(tx_CrAmt,849),0)</f>
        <v/>
      </c>
      <c r="M855" s="95">
        <f>IF(H855=1,INDEX(tx_TaxDr,849),0)</f>
        <v/>
      </c>
      <c r="N855" s="95">
        <f>IF(H855=1,INDEX(tx_TaxCr,849),0)</f>
        <v/>
      </c>
      <c r="O855" s="101">
        <f>IF(H855=1,IF(E855&lt;FYStart,0,IF(E855&gt;FYEnd,13,YEAR(E855)*12+MONTH(E855)-FYYM+1)),"")</f>
        <v/>
      </c>
      <c r="P855" s="101">
        <f>IF(H855=1,IF(IFERROR(INDEX(coa_CF,MATCH(I855,coa_Name,0)),"")="Cash",1,0),0)</f>
        <v/>
      </c>
      <c r="Q855" s="101">
        <f>IF(H855=1,IF(IFERROR(INDEX(coa_CF,MATCH(K855,coa_Name,0)),"")="Cash",1,0),0)</f>
        <v/>
      </c>
      <c r="R855" s="58">
        <f>IF((P855-Q855)=0,"",IFERROR(INDEX(coa_CF,MATCH(IF((P855-Q855)=1,K855,I855),coa_Name,0)),"Operating"))</f>
        <v/>
      </c>
      <c r="S855" s="95">
        <f>IF((P855-Q855)=1,L855,IF((P855-Q855)=-1,-J855,0))</f>
        <v/>
      </c>
      <c r="T855" s="95">
        <f>IF((P855-Q855)=1,N855,IF((P855-Q855)=-1,-M855,0))</f>
        <v/>
      </c>
      <c r="U855" s="101">
        <f>IF(AND(H855=1,LedAcct&lt;&gt;""),IF(AND(E855&gt;=LedFrom,E855&lt;=LedTo,OR(I855=LedAcct,K855=LedAcct,AND(LedAcct=acctTax,M855+N855&lt;&gt;0))),E855*10000+B855,""),"")</f>
        <v/>
      </c>
    </row>
    <row r="856">
      <c r="B856" s="101" t="n">
        <v>850</v>
      </c>
      <c r="C856" s="58" t="inlineStr">
        <is>
          <t>Transaction</t>
        </is>
      </c>
      <c r="D856" s="58">
        <f>IF(H856=1,INDEX(tx_ID,850)&amp;"","")</f>
        <v/>
      </c>
      <c r="E856" s="94">
        <f>IF(H856=1,INDEX(tx_Date,850),"")</f>
        <v/>
      </c>
      <c r="F856" s="58">
        <f>IF(H856=1,INDEX(tx_Desc,850)&amp;"","")</f>
        <v/>
      </c>
      <c r="G856" s="58">
        <f>IF(H856=1,IF(INDEX(tx_Cust,850)&amp;""&lt;&gt;"",INDEX(tx_Cust,850)&amp;"",INDEX(tx_Vend,850)&amp;""),"")</f>
        <v/>
      </c>
      <c r="H856" s="101">
        <f>IFERROR(N(INDEX(tx_Posted,850)),0)</f>
        <v/>
      </c>
      <c r="I856" s="58">
        <f>IF(H856=1,INDEX(tx_DrAcct,850)&amp;"","")</f>
        <v/>
      </c>
      <c r="J856" s="95">
        <f>IF(H856=1,INDEX(tx_DrAmt,850),0)</f>
        <v/>
      </c>
      <c r="K856" s="58">
        <f>IF(H856=1,INDEX(tx_CrAcct,850)&amp;"","")</f>
        <v/>
      </c>
      <c r="L856" s="95">
        <f>IF(H856=1,INDEX(tx_CrAmt,850),0)</f>
        <v/>
      </c>
      <c r="M856" s="95">
        <f>IF(H856=1,INDEX(tx_TaxDr,850),0)</f>
        <v/>
      </c>
      <c r="N856" s="95">
        <f>IF(H856=1,INDEX(tx_TaxCr,850),0)</f>
        <v/>
      </c>
      <c r="O856" s="101">
        <f>IF(H856=1,IF(E856&lt;FYStart,0,IF(E856&gt;FYEnd,13,YEAR(E856)*12+MONTH(E856)-FYYM+1)),"")</f>
        <v/>
      </c>
      <c r="P856" s="101">
        <f>IF(H856=1,IF(IFERROR(INDEX(coa_CF,MATCH(I856,coa_Name,0)),"")="Cash",1,0),0)</f>
        <v/>
      </c>
      <c r="Q856" s="101">
        <f>IF(H856=1,IF(IFERROR(INDEX(coa_CF,MATCH(K856,coa_Name,0)),"")="Cash",1,0),0)</f>
        <v/>
      </c>
      <c r="R856" s="58">
        <f>IF((P856-Q856)=0,"",IFERROR(INDEX(coa_CF,MATCH(IF((P856-Q856)=1,K856,I856),coa_Name,0)),"Operating"))</f>
        <v/>
      </c>
      <c r="S856" s="95">
        <f>IF((P856-Q856)=1,L856,IF((P856-Q856)=-1,-J856,0))</f>
        <v/>
      </c>
      <c r="T856" s="95">
        <f>IF((P856-Q856)=1,N856,IF((P856-Q856)=-1,-M856,0))</f>
        <v/>
      </c>
      <c r="U856" s="101">
        <f>IF(AND(H856=1,LedAcct&lt;&gt;""),IF(AND(E856&gt;=LedFrom,E856&lt;=LedTo,OR(I856=LedAcct,K856=LedAcct,AND(LedAcct=acctTax,M856+N856&lt;&gt;0))),E856*10000+B856,""),"")</f>
        <v/>
      </c>
    </row>
    <row r="857">
      <c r="B857" s="101" t="n">
        <v>851</v>
      </c>
      <c r="C857" s="58" t="inlineStr">
        <is>
          <t>Transaction</t>
        </is>
      </c>
      <c r="D857" s="58">
        <f>IF(H857=1,INDEX(tx_ID,851)&amp;"","")</f>
        <v/>
      </c>
      <c r="E857" s="94">
        <f>IF(H857=1,INDEX(tx_Date,851),"")</f>
        <v/>
      </c>
      <c r="F857" s="58">
        <f>IF(H857=1,INDEX(tx_Desc,851)&amp;"","")</f>
        <v/>
      </c>
      <c r="G857" s="58">
        <f>IF(H857=1,IF(INDEX(tx_Cust,851)&amp;""&lt;&gt;"",INDEX(tx_Cust,851)&amp;"",INDEX(tx_Vend,851)&amp;""),"")</f>
        <v/>
      </c>
      <c r="H857" s="101">
        <f>IFERROR(N(INDEX(tx_Posted,851)),0)</f>
        <v/>
      </c>
      <c r="I857" s="58">
        <f>IF(H857=1,INDEX(tx_DrAcct,851)&amp;"","")</f>
        <v/>
      </c>
      <c r="J857" s="95">
        <f>IF(H857=1,INDEX(tx_DrAmt,851),0)</f>
        <v/>
      </c>
      <c r="K857" s="58">
        <f>IF(H857=1,INDEX(tx_CrAcct,851)&amp;"","")</f>
        <v/>
      </c>
      <c r="L857" s="95">
        <f>IF(H857=1,INDEX(tx_CrAmt,851),0)</f>
        <v/>
      </c>
      <c r="M857" s="95">
        <f>IF(H857=1,INDEX(tx_TaxDr,851),0)</f>
        <v/>
      </c>
      <c r="N857" s="95">
        <f>IF(H857=1,INDEX(tx_TaxCr,851),0)</f>
        <v/>
      </c>
      <c r="O857" s="101">
        <f>IF(H857=1,IF(E857&lt;FYStart,0,IF(E857&gt;FYEnd,13,YEAR(E857)*12+MONTH(E857)-FYYM+1)),"")</f>
        <v/>
      </c>
      <c r="P857" s="101">
        <f>IF(H857=1,IF(IFERROR(INDEX(coa_CF,MATCH(I857,coa_Name,0)),"")="Cash",1,0),0)</f>
        <v/>
      </c>
      <c r="Q857" s="101">
        <f>IF(H857=1,IF(IFERROR(INDEX(coa_CF,MATCH(K857,coa_Name,0)),"")="Cash",1,0),0)</f>
        <v/>
      </c>
      <c r="R857" s="58">
        <f>IF((P857-Q857)=0,"",IFERROR(INDEX(coa_CF,MATCH(IF((P857-Q857)=1,K857,I857),coa_Name,0)),"Operating"))</f>
        <v/>
      </c>
      <c r="S857" s="95">
        <f>IF((P857-Q857)=1,L857,IF((P857-Q857)=-1,-J857,0))</f>
        <v/>
      </c>
      <c r="T857" s="95">
        <f>IF((P857-Q857)=1,N857,IF((P857-Q857)=-1,-M857,0))</f>
        <v/>
      </c>
      <c r="U857" s="101">
        <f>IF(AND(H857=1,LedAcct&lt;&gt;""),IF(AND(E857&gt;=LedFrom,E857&lt;=LedTo,OR(I857=LedAcct,K857=LedAcct,AND(LedAcct=acctTax,M857+N857&lt;&gt;0))),E857*10000+B857,""),"")</f>
        <v/>
      </c>
    </row>
    <row r="858">
      <c r="B858" s="101" t="n">
        <v>852</v>
      </c>
      <c r="C858" s="58" t="inlineStr">
        <is>
          <t>Transaction</t>
        </is>
      </c>
      <c r="D858" s="58">
        <f>IF(H858=1,INDEX(tx_ID,852)&amp;"","")</f>
        <v/>
      </c>
      <c r="E858" s="94">
        <f>IF(H858=1,INDEX(tx_Date,852),"")</f>
        <v/>
      </c>
      <c r="F858" s="58">
        <f>IF(H858=1,INDEX(tx_Desc,852)&amp;"","")</f>
        <v/>
      </c>
      <c r="G858" s="58">
        <f>IF(H858=1,IF(INDEX(tx_Cust,852)&amp;""&lt;&gt;"",INDEX(tx_Cust,852)&amp;"",INDEX(tx_Vend,852)&amp;""),"")</f>
        <v/>
      </c>
      <c r="H858" s="101">
        <f>IFERROR(N(INDEX(tx_Posted,852)),0)</f>
        <v/>
      </c>
      <c r="I858" s="58">
        <f>IF(H858=1,INDEX(tx_DrAcct,852)&amp;"","")</f>
        <v/>
      </c>
      <c r="J858" s="95">
        <f>IF(H858=1,INDEX(tx_DrAmt,852),0)</f>
        <v/>
      </c>
      <c r="K858" s="58">
        <f>IF(H858=1,INDEX(tx_CrAcct,852)&amp;"","")</f>
        <v/>
      </c>
      <c r="L858" s="95">
        <f>IF(H858=1,INDEX(tx_CrAmt,852),0)</f>
        <v/>
      </c>
      <c r="M858" s="95">
        <f>IF(H858=1,INDEX(tx_TaxDr,852),0)</f>
        <v/>
      </c>
      <c r="N858" s="95">
        <f>IF(H858=1,INDEX(tx_TaxCr,852),0)</f>
        <v/>
      </c>
      <c r="O858" s="101">
        <f>IF(H858=1,IF(E858&lt;FYStart,0,IF(E858&gt;FYEnd,13,YEAR(E858)*12+MONTH(E858)-FYYM+1)),"")</f>
        <v/>
      </c>
      <c r="P858" s="101">
        <f>IF(H858=1,IF(IFERROR(INDEX(coa_CF,MATCH(I858,coa_Name,0)),"")="Cash",1,0),0)</f>
        <v/>
      </c>
      <c r="Q858" s="101">
        <f>IF(H858=1,IF(IFERROR(INDEX(coa_CF,MATCH(K858,coa_Name,0)),"")="Cash",1,0),0)</f>
        <v/>
      </c>
      <c r="R858" s="58">
        <f>IF((P858-Q858)=0,"",IFERROR(INDEX(coa_CF,MATCH(IF((P858-Q858)=1,K858,I858),coa_Name,0)),"Operating"))</f>
        <v/>
      </c>
      <c r="S858" s="95">
        <f>IF((P858-Q858)=1,L858,IF((P858-Q858)=-1,-J858,0))</f>
        <v/>
      </c>
      <c r="T858" s="95">
        <f>IF((P858-Q858)=1,N858,IF((P858-Q858)=-1,-M858,0))</f>
        <v/>
      </c>
      <c r="U858" s="101">
        <f>IF(AND(H858=1,LedAcct&lt;&gt;""),IF(AND(E858&gt;=LedFrom,E858&lt;=LedTo,OR(I858=LedAcct,K858=LedAcct,AND(LedAcct=acctTax,M858+N858&lt;&gt;0))),E858*10000+B858,""),"")</f>
        <v/>
      </c>
    </row>
    <row r="859">
      <c r="B859" s="101" t="n">
        <v>853</v>
      </c>
      <c r="C859" s="58" t="inlineStr">
        <is>
          <t>Transaction</t>
        </is>
      </c>
      <c r="D859" s="58">
        <f>IF(H859=1,INDEX(tx_ID,853)&amp;"","")</f>
        <v/>
      </c>
      <c r="E859" s="94">
        <f>IF(H859=1,INDEX(tx_Date,853),"")</f>
        <v/>
      </c>
      <c r="F859" s="58">
        <f>IF(H859=1,INDEX(tx_Desc,853)&amp;"","")</f>
        <v/>
      </c>
      <c r="G859" s="58">
        <f>IF(H859=1,IF(INDEX(tx_Cust,853)&amp;""&lt;&gt;"",INDEX(tx_Cust,853)&amp;"",INDEX(tx_Vend,853)&amp;""),"")</f>
        <v/>
      </c>
      <c r="H859" s="101">
        <f>IFERROR(N(INDEX(tx_Posted,853)),0)</f>
        <v/>
      </c>
      <c r="I859" s="58">
        <f>IF(H859=1,INDEX(tx_DrAcct,853)&amp;"","")</f>
        <v/>
      </c>
      <c r="J859" s="95">
        <f>IF(H859=1,INDEX(tx_DrAmt,853),0)</f>
        <v/>
      </c>
      <c r="K859" s="58">
        <f>IF(H859=1,INDEX(tx_CrAcct,853)&amp;"","")</f>
        <v/>
      </c>
      <c r="L859" s="95">
        <f>IF(H859=1,INDEX(tx_CrAmt,853),0)</f>
        <v/>
      </c>
      <c r="M859" s="95">
        <f>IF(H859=1,INDEX(tx_TaxDr,853),0)</f>
        <v/>
      </c>
      <c r="N859" s="95">
        <f>IF(H859=1,INDEX(tx_TaxCr,853),0)</f>
        <v/>
      </c>
      <c r="O859" s="101">
        <f>IF(H859=1,IF(E859&lt;FYStart,0,IF(E859&gt;FYEnd,13,YEAR(E859)*12+MONTH(E859)-FYYM+1)),"")</f>
        <v/>
      </c>
      <c r="P859" s="101">
        <f>IF(H859=1,IF(IFERROR(INDEX(coa_CF,MATCH(I859,coa_Name,0)),"")="Cash",1,0),0)</f>
        <v/>
      </c>
      <c r="Q859" s="101">
        <f>IF(H859=1,IF(IFERROR(INDEX(coa_CF,MATCH(K859,coa_Name,0)),"")="Cash",1,0),0)</f>
        <v/>
      </c>
      <c r="R859" s="58">
        <f>IF((P859-Q859)=0,"",IFERROR(INDEX(coa_CF,MATCH(IF((P859-Q859)=1,K859,I859),coa_Name,0)),"Operating"))</f>
        <v/>
      </c>
      <c r="S859" s="95">
        <f>IF((P859-Q859)=1,L859,IF((P859-Q859)=-1,-J859,0))</f>
        <v/>
      </c>
      <c r="T859" s="95">
        <f>IF((P859-Q859)=1,N859,IF((P859-Q859)=-1,-M859,0))</f>
        <v/>
      </c>
      <c r="U859" s="101">
        <f>IF(AND(H859=1,LedAcct&lt;&gt;""),IF(AND(E859&gt;=LedFrom,E859&lt;=LedTo,OR(I859=LedAcct,K859=LedAcct,AND(LedAcct=acctTax,M859+N859&lt;&gt;0))),E859*10000+B859,""),"")</f>
        <v/>
      </c>
    </row>
    <row r="860">
      <c r="B860" s="101" t="n">
        <v>854</v>
      </c>
      <c r="C860" s="58" t="inlineStr">
        <is>
          <t>Transaction</t>
        </is>
      </c>
      <c r="D860" s="58">
        <f>IF(H860=1,INDEX(tx_ID,854)&amp;"","")</f>
        <v/>
      </c>
      <c r="E860" s="94">
        <f>IF(H860=1,INDEX(tx_Date,854),"")</f>
        <v/>
      </c>
      <c r="F860" s="58">
        <f>IF(H860=1,INDEX(tx_Desc,854)&amp;"","")</f>
        <v/>
      </c>
      <c r="G860" s="58">
        <f>IF(H860=1,IF(INDEX(tx_Cust,854)&amp;""&lt;&gt;"",INDEX(tx_Cust,854)&amp;"",INDEX(tx_Vend,854)&amp;""),"")</f>
        <v/>
      </c>
      <c r="H860" s="101">
        <f>IFERROR(N(INDEX(tx_Posted,854)),0)</f>
        <v/>
      </c>
      <c r="I860" s="58">
        <f>IF(H860=1,INDEX(tx_DrAcct,854)&amp;"","")</f>
        <v/>
      </c>
      <c r="J860" s="95">
        <f>IF(H860=1,INDEX(tx_DrAmt,854),0)</f>
        <v/>
      </c>
      <c r="K860" s="58">
        <f>IF(H860=1,INDEX(tx_CrAcct,854)&amp;"","")</f>
        <v/>
      </c>
      <c r="L860" s="95">
        <f>IF(H860=1,INDEX(tx_CrAmt,854),0)</f>
        <v/>
      </c>
      <c r="M860" s="95">
        <f>IF(H860=1,INDEX(tx_TaxDr,854),0)</f>
        <v/>
      </c>
      <c r="N860" s="95">
        <f>IF(H860=1,INDEX(tx_TaxCr,854),0)</f>
        <v/>
      </c>
      <c r="O860" s="101">
        <f>IF(H860=1,IF(E860&lt;FYStart,0,IF(E860&gt;FYEnd,13,YEAR(E860)*12+MONTH(E860)-FYYM+1)),"")</f>
        <v/>
      </c>
      <c r="P860" s="101">
        <f>IF(H860=1,IF(IFERROR(INDEX(coa_CF,MATCH(I860,coa_Name,0)),"")="Cash",1,0),0)</f>
        <v/>
      </c>
      <c r="Q860" s="101">
        <f>IF(H860=1,IF(IFERROR(INDEX(coa_CF,MATCH(K860,coa_Name,0)),"")="Cash",1,0),0)</f>
        <v/>
      </c>
      <c r="R860" s="58">
        <f>IF((P860-Q860)=0,"",IFERROR(INDEX(coa_CF,MATCH(IF((P860-Q860)=1,K860,I860),coa_Name,0)),"Operating"))</f>
        <v/>
      </c>
      <c r="S860" s="95">
        <f>IF((P860-Q860)=1,L860,IF((P860-Q860)=-1,-J860,0))</f>
        <v/>
      </c>
      <c r="T860" s="95">
        <f>IF((P860-Q860)=1,N860,IF((P860-Q860)=-1,-M860,0))</f>
        <v/>
      </c>
      <c r="U860" s="101">
        <f>IF(AND(H860=1,LedAcct&lt;&gt;""),IF(AND(E860&gt;=LedFrom,E860&lt;=LedTo,OR(I860=LedAcct,K860=LedAcct,AND(LedAcct=acctTax,M860+N860&lt;&gt;0))),E860*10000+B860,""),"")</f>
        <v/>
      </c>
    </row>
    <row r="861">
      <c r="B861" s="101" t="n">
        <v>855</v>
      </c>
      <c r="C861" s="58" t="inlineStr">
        <is>
          <t>Transaction</t>
        </is>
      </c>
      <c r="D861" s="58">
        <f>IF(H861=1,INDEX(tx_ID,855)&amp;"","")</f>
        <v/>
      </c>
      <c r="E861" s="94">
        <f>IF(H861=1,INDEX(tx_Date,855),"")</f>
        <v/>
      </c>
      <c r="F861" s="58">
        <f>IF(H861=1,INDEX(tx_Desc,855)&amp;"","")</f>
        <v/>
      </c>
      <c r="G861" s="58">
        <f>IF(H861=1,IF(INDEX(tx_Cust,855)&amp;""&lt;&gt;"",INDEX(tx_Cust,855)&amp;"",INDEX(tx_Vend,855)&amp;""),"")</f>
        <v/>
      </c>
      <c r="H861" s="101">
        <f>IFERROR(N(INDEX(tx_Posted,855)),0)</f>
        <v/>
      </c>
      <c r="I861" s="58">
        <f>IF(H861=1,INDEX(tx_DrAcct,855)&amp;"","")</f>
        <v/>
      </c>
      <c r="J861" s="95">
        <f>IF(H861=1,INDEX(tx_DrAmt,855),0)</f>
        <v/>
      </c>
      <c r="K861" s="58">
        <f>IF(H861=1,INDEX(tx_CrAcct,855)&amp;"","")</f>
        <v/>
      </c>
      <c r="L861" s="95">
        <f>IF(H861=1,INDEX(tx_CrAmt,855),0)</f>
        <v/>
      </c>
      <c r="M861" s="95">
        <f>IF(H861=1,INDEX(tx_TaxDr,855),0)</f>
        <v/>
      </c>
      <c r="N861" s="95">
        <f>IF(H861=1,INDEX(tx_TaxCr,855),0)</f>
        <v/>
      </c>
      <c r="O861" s="101">
        <f>IF(H861=1,IF(E861&lt;FYStart,0,IF(E861&gt;FYEnd,13,YEAR(E861)*12+MONTH(E861)-FYYM+1)),"")</f>
        <v/>
      </c>
      <c r="P861" s="101">
        <f>IF(H861=1,IF(IFERROR(INDEX(coa_CF,MATCH(I861,coa_Name,0)),"")="Cash",1,0),0)</f>
        <v/>
      </c>
      <c r="Q861" s="101">
        <f>IF(H861=1,IF(IFERROR(INDEX(coa_CF,MATCH(K861,coa_Name,0)),"")="Cash",1,0),0)</f>
        <v/>
      </c>
      <c r="R861" s="58">
        <f>IF((P861-Q861)=0,"",IFERROR(INDEX(coa_CF,MATCH(IF((P861-Q861)=1,K861,I861),coa_Name,0)),"Operating"))</f>
        <v/>
      </c>
      <c r="S861" s="95">
        <f>IF((P861-Q861)=1,L861,IF((P861-Q861)=-1,-J861,0))</f>
        <v/>
      </c>
      <c r="T861" s="95">
        <f>IF((P861-Q861)=1,N861,IF((P861-Q861)=-1,-M861,0))</f>
        <v/>
      </c>
      <c r="U861" s="101">
        <f>IF(AND(H861=1,LedAcct&lt;&gt;""),IF(AND(E861&gt;=LedFrom,E861&lt;=LedTo,OR(I861=LedAcct,K861=LedAcct,AND(LedAcct=acctTax,M861+N861&lt;&gt;0))),E861*10000+B861,""),"")</f>
        <v/>
      </c>
    </row>
    <row r="862">
      <c r="B862" s="101" t="n">
        <v>856</v>
      </c>
      <c r="C862" s="58" t="inlineStr">
        <is>
          <t>Transaction</t>
        </is>
      </c>
      <c r="D862" s="58">
        <f>IF(H862=1,INDEX(tx_ID,856)&amp;"","")</f>
        <v/>
      </c>
      <c r="E862" s="94">
        <f>IF(H862=1,INDEX(tx_Date,856),"")</f>
        <v/>
      </c>
      <c r="F862" s="58">
        <f>IF(H862=1,INDEX(tx_Desc,856)&amp;"","")</f>
        <v/>
      </c>
      <c r="G862" s="58">
        <f>IF(H862=1,IF(INDEX(tx_Cust,856)&amp;""&lt;&gt;"",INDEX(tx_Cust,856)&amp;"",INDEX(tx_Vend,856)&amp;""),"")</f>
        <v/>
      </c>
      <c r="H862" s="101">
        <f>IFERROR(N(INDEX(tx_Posted,856)),0)</f>
        <v/>
      </c>
      <c r="I862" s="58">
        <f>IF(H862=1,INDEX(tx_DrAcct,856)&amp;"","")</f>
        <v/>
      </c>
      <c r="J862" s="95">
        <f>IF(H862=1,INDEX(tx_DrAmt,856),0)</f>
        <v/>
      </c>
      <c r="K862" s="58">
        <f>IF(H862=1,INDEX(tx_CrAcct,856)&amp;"","")</f>
        <v/>
      </c>
      <c r="L862" s="95">
        <f>IF(H862=1,INDEX(tx_CrAmt,856),0)</f>
        <v/>
      </c>
      <c r="M862" s="95">
        <f>IF(H862=1,INDEX(tx_TaxDr,856),0)</f>
        <v/>
      </c>
      <c r="N862" s="95">
        <f>IF(H862=1,INDEX(tx_TaxCr,856),0)</f>
        <v/>
      </c>
      <c r="O862" s="101">
        <f>IF(H862=1,IF(E862&lt;FYStart,0,IF(E862&gt;FYEnd,13,YEAR(E862)*12+MONTH(E862)-FYYM+1)),"")</f>
        <v/>
      </c>
      <c r="P862" s="101">
        <f>IF(H862=1,IF(IFERROR(INDEX(coa_CF,MATCH(I862,coa_Name,0)),"")="Cash",1,0),0)</f>
        <v/>
      </c>
      <c r="Q862" s="101">
        <f>IF(H862=1,IF(IFERROR(INDEX(coa_CF,MATCH(K862,coa_Name,0)),"")="Cash",1,0),0)</f>
        <v/>
      </c>
      <c r="R862" s="58">
        <f>IF((P862-Q862)=0,"",IFERROR(INDEX(coa_CF,MATCH(IF((P862-Q862)=1,K862,I862),coa_Name,0)),"Operating"))</f>
        <v/>
      </c>
      <c r="S862" s="95">
        <f>IF((P862-Q862)=1,L862,IF((P862-Q862)=-1,-J862,0))</f>
        <v/>
      </c>
      <c r="T862" s="95">
        <f>IF((P862-Q862)=1,N862,IF((P862-Q862)=-1,-M862,0))</f>
        <v/>
      </c>
      <c r="U862" s="101">
        <f>IF(AND(H862=1,LedAcct&lt;&gt;""),IF(AND(E862&gt;=LedFrom,E862&lt;=LedTo,OR(I862=LedAcct,K862=LedAcct,AND(LedAcct=acctTax,M862+N862&lt;&gt;0))),E862*10000+B862,""),"")</f>
        <v/>
      </c>
    </row>
    <row r="863">
      <c r="B863" s="101" t="n">
        <v>857</v>
      </c>
      <c r="C863" s="58" t="inlineStr">
        <is>
          <t>Transaction</t>
        </is>
      </c>
      <c r="D863" s="58">
        <f>IF(H863=1,INDEX(tx_ID,857)&amp;"","")</f>
        <v/>
      </c>
      <c r="E863" s="94">
        <f>IF(H863=1,INDEX(tx_Date,857),"")</f>
        <v/>
      </c>
      <c r="F863" s="58">
        <f>IF(H863=1,INDEX(tx_Desc,857)&amp;"","")</f>
        <v/>
      </c>
      <c r="G863" s="58">
        <f>IF(H863=1,IF(INDEX(tx_Cust,857)&amp;""&lt;&gt;"",INDEX(tx_Cust,857)&amp;"",INDEX(tx_Vend,857)&amp;""),"")</f>
        <v/>
      </c>
      <c r="H863" s="101">
        <f>IFERROR(N(INDEX(tx_Posted,857)),0)</f>
        <v/>
      </c>
      <c r="I863" s="58">
        <f>IF(H863=1,INDEX(tx_DrAcct,857)&amp;"","")</f>
        <v/>
      </c>
      <c r="J863" s="95">
        <f>IF(H863=1,INDEX(tx_DrAmt,857),0)</f>
        <v/>
      </c>
      <c r="K863" s="58">
        <f>IF(H863=1,INDEX(tx_CrAcct,857)&amp;"","")</f>
        <v/>
      </c>
      <c r="L863" s="95">
        <f>IF(H863=1,INDEX(tx_CrAmt,857),0)</f>
        <v/>
      </c>
      <c r="M863" s="95">
        <f>IF(H863=1,INDEX(tx_TaxDr,857),0)</f>
        <v/>
      </c>
      <c r="N863" s="95">
        <f>IF(H863=1,INDEX(tx_TaxCr,857),0)</f>
        <v/>
      </c>
      <c r="O863" s="101">
        <f>IF(H863=1,IF(E863&lt;FYStart,0,IF(E863&gt;FYEnd,13,YEAR(E863)*12+MONTH(E863)-FYYM+1)),"")</f>
        <v/>
      </c>
      <c r="P863" s="101">
        <f>IF(H863=1,IF(IFERROR(INDEX(coa_CF,MATCH(I863,coa_Name,0)),"")="Cash",1,0),0)</f>
        <v/>
      </c>
      <c r="Q863" s="101">
        <f>IF(H863=1,IF(IFERROR(INDEX(coa_CF,MATCH(K863,coa_Name,0)),"")="Cash",1,0),0)</f>
        <v/>
      </c>
      <c r="R863" s="58">
        <f>IF((P863-Q863)=0,"",IFERROR(INDEX(coa_CF,MATCH(IF((P863-Q863)=1,K863,I863),coa_Name,0)),"Operating"))</f>
        <v/>
      </c>
      <c r="S863" s="95">
        <f>IF((P863-Q863)=1,L863,IF((P863-Q863)=-1,-J863,0))</f>
        <v/>
      </c>
      <c r="T863" s="95">
        <f>IF((P863-Q863)=1,N863,IF((P863-Q863)=-1,-M863,0))</f>
        <v/>
      </c>
      <c r="U863" s="101">
        <f>IF(AND(H863=1,LedAcct&lt;&gt;""),IF(AND(E863&gt;=LedFrom,E863&lt;=LedTo,OR(I863=LedAcct,K863=LedAcct,AND(LedAcct=acctTax,M863+N863&lt;&gt;0))),E863*10000+B863,""),"")</f>
        <v/>
      </c>
    </row>
    <row r="864">
      <c r="B864" s="101" t="n">
        <v>858</v>
      </c>
      <c r="C864" s="58" t="inlineStr">
        <is>
          <t>Transaction</t>
        </is>
      </c>
      <c r="D864" s="58">
        <f>IF(H864=1,INDEX(tx_ID,858)&amp;"","")</f>
        <v/>
      </c>
      <c r="E864" s="94">
        <f>IF(H864=1,INDEX(tx_Date,858),"")</f>
        <v/>
      </c>
      <c r="F864" s="58">
        <f>IF(H864=1,INDEX(tx_Desc,858)&amp;"","")</f>
        <v/>
      </c>
      <c r="G864" s="58">
        <f>IF(H864=1,IF(INDEX(tx_Cust,858)&amp;""&lt;&gt;"",INDEX(tx_Cust,858)&amp;"",INDEX(tx_Vend,858)&amp;""),"")</f>
        <v/>
      </c>
      <c r="H864" s="101">
        <f>IFERROR(N(INDEX(tx_Posted,858)),0)</f>
        <v/>
      </c>
      <c r="I864" s="58">
        <f>IF(H864=1,INDEX(tx_DrAcct,858)&amp;"","")</f>
        <v/>
      </c>
      <c r="J864" s="95">
        <f>IF(H864=1,INDEX(tx_DrAmt,858),0)</f>
        <v/>
      </c>
      <c r="K864" s="58">
        <f>IF(H864=1,INDEX(tx_CrAcct,858)&amp;"","")</f>
        <v/>
      </c>
      <c r="L864" s="95">
        <f>IF(H864=1,INDEX(tx_CrAmt,858),0)</f>
        <v/>
      </c>
      <c r="M864" s="95">
        <f>IF(H864=1,INDEX(tx_TaxDr,858),0)</f>
        <v/>
      </c>
      <c r="N864" s="95">
        <f>IF(H864=1,INDEX(tx_TaxCr,858),0)</f>
        <v/>
      </c>
      <c r="O864" s="101">
        <f>IF(H864=1,IF(E864&lt;FYStart,0,IF(E864&gt;FYEnd,13,YEAR(E864)*12+MONTH(E864)-FYYM+1)),"")</f>
        <v/>
      </c>
      <c r="P864" s="101">
        <f>IF(H864=1,IF(IFERROR(INDEX(coa_CF,MATCH(I864,coa_Name,0)),"")="Cash",1,0),0)</f>
        <v/>
      </c>
      <c r="Q864" s="101">
        <f>IF(H864=1,IF(IFERROR(INDEX(coa_CF,MATCH(K864,coa_Name,0)),"")="Cash",1,0),0)</f>
        <v/>
      </c>
      <c r="R864" s="58">
        <f>IF((P864-Q864)=0,"",IFERROR(INDEX(coa_CF,MATCH(IF((P864-Q864)=1,K864,I864),coa_Name,0)),"Operating"))</f>
        <v/>
      </c>
      <c r="S864" s="95">
        <f>IF((P864-Q864)=1,L864,IF((P864-Q864)=-1,-J864,0))</f>
        <v/>
      </c>
      <c r="T864" s="95">
        <f>IF((P864-Q864)=1,N864,IF((P864-Q864)=-1,-M864,0))</f>
        <v/>
      </c>
      <c r="U864" s="101">
        <f>IF(AND(H864=1,LedAcct&lt;&gt;""),IF(AND(E864&gt;=LedFrom,E864&lt;=LedTo,OR(I864=LedAcct,K864=LedAcct,AND(LedAcct=acctTax,M864+N864&lt;&gt;0))),E864*10000+B864,""),"")</f>
        <v/>
      </c>
    </row>
    <row r="865">
      <c r="B865" s="101" t="n">
        <v>859</v>
      </c>
      <c r="C865" s="58" t="inlineStr">
        <is>
          <t>Transaction</t>
        </is>
      </c>
      <c r="D865" s="58">
        <f>IF(H865=1,INDEX(tx_ID,859)&amp;"","")</f>
        <v/>
      </c>
      <c r="E865" s="94">
        <f>IF(H865=1,INDEX(tx_Date,859),"")</f>
        <v/>
      </c>
      <c r="F865" s="58">
        <f>IF(H865=1,INDEX(tx_Desc,859)&amp;"","")</f>
        <v/>
      </c>
      <c r="G865" s="58">
        <f>IF(H865=1,IF(INDEX(tx_Cust,859)&amp;""&lt;&gt;"",INDEX(tx_Cust,859)&amp;"",INDEX(tx_Vend,859)&amp;""),"")</f>
        <v/>
      </c>
      <c r="H865" s="101">
        <f>IFERROR(N(INDEX(tx_Posted,859)),0)</f>
        <v/>
      </c>
      <c r="I865" s="58">
        <f>IF(H865=1,INDEX(tx_DrAcct,859)&amp;"","")</f>
        <v/>
      </c>
      <c r="J865" s="95">
        <f>IF(H865=1,INDEX(tx_DrAmt,859),0)</f>
        <v/>
      </c>
      <c r="K865" s="58">
        <f>IF(H865=1,INDEX(tx_CrAcct,859)&amp;"","")</f>
        <v/>
      </c>
      <c r="L865" s="95">
        <f>IF(H865=1,INDEX(tx_CrAmt,859),0)</f>
        <v/>
      </c>
      <c r="M865" s="95">
        <f>IF(H865=1,INDEX(tx_TaxDr,859),0)</f>
        <v/>
      </c>
      <c r="N865" s="95">
        <f>IF(H865=1,INDEX(tx_TaxCr,859),0)</f>
        <v/>
      </c>
      <c r="O865" s="101">
        <f>IF(H865=1,IF(E865&lt;FYStart,0,IF(E865&gt;FYEnd,13,YEAR(E865)*12+MONTH(E865)-FYYM+1)),"")</f>
        <v/>
      </c>
      <c r="P865" s="101">
        <f>IF(H865=1,IF(IFERROR(INDEX(coa_CF,MATCH(I865,coa_Name,0)),"")="Cash",1,0),0)</f>
        <v/>
      </c>
      <c r="Q865" s="101">
        <f>IF(H865=1,IF(IFERROR(INDEX(coa_CF,MATCH(K865,coa_Name,0)),"")="Cash",1,0),0)</f>
        <v/>
      </c>
      <c r="R865" s="58">
        <f>IF((P865-Q865)=0,"",IFERROR(INDEX(coa_CF,MATCH(IF((P865-Q865)=1,K865,I865),coa_Name,0)),"Operating"))</f>
        <v/>
      </c>
      <c r="S865" s="95">
        <f>IF((P865-Q865)=1,L865,IF((P865-Q865)=-1,-J865,0))</f>
        <v/>
      </c>
      <c r="T865" s="95">
        <f>IF((P865-Q865)=1,N865,IF((P865-Q865)=-1,-M865,0))</f>
        <v/>
      </c>
      <c r="U865" s="101">
        <f>IF(AND(H865=1,LedAcct&lt;&gt;""),IF(AND(E865&gt;=LedFrom,E865&lt;=LedTo,OR(I865=LedAcct,K865=LedAcct,AND(LedAcct=acctTax,M865+N865&lt;&gt;0))),E865*10000+B865,""),"")</f>
        <v/>
      </c>
    </row>
    <row r="866">
      <c r="B866" s="101" t="n">
        <v>860</v>
      </c>
      <c r="C866" s="58" t="inlineStr">
        <is>
          <t>Transaction</t>
        </is>
      </c>
      <c r="D866" s="58">
        <f>IF(H866=1,INDEX(tx_ID,860)&amp;"","")</f>
        <v/>
      </c>
      <c r="E866" s="94">
        <f>IF(H866=1,INDEX(tx_Date,860),"")</f>
        <v/>
      </c>
      <c r="F866" s="58">
        <f>IF(H866=1,INDEX(tx_Desc,860)&amp;"","")</f>
        <v/>
      </c>
      <c r="G866" s="58">
        <f>IF(H866=1,IF(INDEX(tx_Cust,860)&amp;""&lt;&gt;"",INDEX(tx_Cust,860)&amp;"",INDEX(tx_Vend,860)&amp;""),"")</f>
        <v/>
      </c>
      <c r="H866" s="101">
        <f>IFERROR(N(INDEX(tx_Posted,860)),0)</f>
        <v/>
      </c>
      <c r="I866" s="58">
        <f>IF(H866=1,INDEX(tx_DrAcct,860)&amp;"","")</f>
        <v/>
      </c>
      <c r="J866" s="95">
        <f>IF(H866=1,INDEX(tx_DrAmt,860),0)</f>
        <v/>
      </c>
      <c r="K866" s="58">
        <f>IF(H866=1,INDEX(tx_CrAcct,860)&amp;"","")</f>
        <v/>
      </c>
      <c r="L866" s="95">
        <f>IF(H866=1,INDEX(tx_CrAmt,860),0)</f>
        <v/>
      </c>
      <c r="M866" s="95">
        <f>IF(H866=1,INDEX(tx_TaxDr,860),0)</f>
        <v/>
      </c>
      <c r="N866" s="95">
        <f>IF(H866=1,INDEX(tx_TaxCr,860),0)</f>
        <v/>
      </c>
      <c r="O866" s="101">
        <f>IF(H866=1,IF(E866&lt;FYStart,0,IF(E866&gt;FYEnd,13,YEAR(E866)*12+MONTH(E866)-FYYM+1)),"")</f>
        <v/>
      </c>
      <c r="P866" s="101">
        <f>IF(H866=1,IF(IFERROR(INDEX(coa_CF,MATCH(I866,coa_Name,0)),"")="Cash",1,0),0)</f>
        <v/>
      </c>
      <c r="Q866" s="101">
        <f>IF(H866=1,IF(IFERROR(INDEX(coa_CF,MATCH(K866,coa_Name,0)),"")="Cash",1,0),0)</f>
        <v/>
      </c>
      <c r="R866" s="58">
        <f>IF((P866-Q866)=0,"",IFERROR(INDEX(coa_CF,MATCH(IF((P866-Q866)=1,K866,I866),coa_Name,0)),"Operating"))</f>
        <v/>
      </c>
      <c r="S866" s="95">
        <f>IF((P866-Q866)=1,L866,IF((P866-Q866)=-1,-J866,0))</f>
        <v/>
      </c>
      <c r="T866" s="95">
        <f>IF((P866-Q866)=1,N866,IF((P866-Q866)=-1,-M866,0))</f>
        <v/>
      </c>
      <c r="U866" s="101">
        <f>IF(AND(H866=1,LedAcct&lt;&gt;""),IF(AND(E866&gt;=LedFrom,E866&lt;=LedTo,OR(I866=LedAcct,K866=LedAcct,AND(LedAcct=acctTax,M866+N866&lt;&gt;0))),E866*10000+B866,""),"")</f>
        <v/>
      </c>
    </row>
    <row r="867">
      <c r="B867" s="101" t="n">
        <v>861</v>
      </c>
      <c r="C867" s="58" t="inlineStr">
        <is>
          <t>Transaction</t>
        </is>
      </c>
      <c r="D867" s="58">
        <f>IF(H867=1,INDEX(tx_ID,861)&amp;"","")</f>
        <v/>
      </c>
      <c r="E867" s="94">
        <f>IF(H867=1,INDEX(tx_Date,861),"")</f>
        <v/>
      </c>
      <c r="F867" s="58">
        <f>IF(H867=1,INDEX(tx_Desc,861)&amp;"","")</f>
        <v/>
      </c>
      <c r="G867" s="58">
        <f>IF(H867=1,IF(INDEX(tx_Cust,861)&amp;""&lt;&gt;"",INDEX(tx_Cust,861)&amp;"",INDEX(tx_Vend,861)&amp;""),"")</f>
        <v/>
      </c>
      <c r="H867" s="101">
        <f>IFERROR(N(INDEX(tx_Posted,861)),0)</f>
        <v/>
      </c>
      <c r="I867" s="58">
        <f>IF(H867=1,INDEX(tx_DrAcct,861)&amp;"","")</f>
        <v/>
      </c>
      <c r="J867" s="95">
        <f>IF(H867=1,INDEX(tx_DrAmt,861),0)</f>
        <v/>
      </c>
      <c r="K867" s="58">
        <f>IF(H867=1,INDEX(tx_CrAcct,861)&amp;"","")</f>
        <v/>
      </c>
      <c r="L867" s="95">
        <f>IF(H867=1,INDEX(tx_CrAmt,861),0)</f>
        <v/>
      </c>
      <c r="M867" s="95">
        <f>IF(H867=1,INDEX(tx_TaxDr,861),0)</f>
        <v/>
      </c>
      <c r="N867" s="95">
        <f>IF(H867=1,INDEX(tx_TaxCr,861),0)</f>
        <v/>
      </c>
      <c r="O867" s="101">
        <f>IF(H867=1,IF(E867&lt;FYStart,0,IF(E867&gt;FYEnd,13,YEAR(E867)*12+MONTH(E867)-FYYM+1)),"")</f>
        <v/>
      </c>
      <c r="P867" s="101">
        <f>IF(H867=1,IF(IFERROR(INDEX(coa_CF,MATCH(I867,coa_Name,0)),"")="Cash",1,0),0)</f>
        <v/>
      </c>
      <c r="Q867" s="101">
        <f>IF(H867=1,IF(IFERROR(INDEX(coa_CF,MATCH(K867,coa_Name,0)),"")="Cash",1,0),0)</f>
        <v/>
      </c>
      <c r="R867" s="58">
        <f>IF((P867-Q867)=0,"",IFERROR(INDEX(coa_CF,MATCH(IF((P867-Q867)=1,K867,I867),coa_Name,0)),"Operating"))</f>
        <v/>
      </c>
      <c r="S867" s="95">
        <f>IF((P867-Q867)=1,L867,IF((P867-Q867)=-1,-J867,0))</f>
        <v/>
      </c>
      <c r="T867" s="95">
        <f>IF((P867-Q867)=1,N867,IF((P867-Q867)=-1,-M867,0))</f>
        <v/>
      </c>
      <c r="U867" s="101">
        <f>IF(AND(H867=1,LedAcct&lt;&gt;""),IF(AND(E867&gt;=LedFrom,E867&lt;=LedTo,OR(I867=LedAcct,K867=LedAcct,AND(LedAcct=acctTax,M867+N867&lt;&gt;0))),E867*10000+B867,""),"")</f>
        <v/>
      </c>
    </row>
    <row r="868">
      <c r="B868" s="101" t="n">
        <v>862</v>
      </c>
      <c r="C868" s="58" t="inlineStr">
        <is>
          <t>Transaction</t>
        </is>
      </c>
      <c r="D868" s="58">
        <f>IF(H868=1,INDEX(tx_ID,862)&amp;"","")</f>
        <v/>
      </c>
      <c r="E868" s="94">
        <f>IF(H868=1,INDEX(tx_Date,862),"")</f>
        <v/>
      </c>
      <c r="F868" s="58">
        <f>IF(H868=1,INDEX(tx_Desc,862)&amp;"","")</f>
        <v/>
      </c>
      <c r="G868" s="58">
        <f>IF(H868=1,IF(INDEX(tx_Cust,862)&amp;""&lt;&gt;"",INDEX(tx_Cust,862)&amp;"",INDEX(tx_Vend,862)&amp;""),"")</f>
        <v/>
      </c>
      <c r="H868" s="101">
        <f>IFERROR(N(INDEX(tx_Posted,862)),0)</f>
        <v/>
      </c>
      <c r="I868" s="58">
        <f>IF(H868=1,INDEX(tx_DrAcct,862)&amp;"","")</f>
        <v/>
      </c>
      <c r="J868" s="95">
        <f>IF(H868=1,INDEX(tx_DrAmt,862),0)</f>
        <v/>
      </c>
      <c r="K868" s="58">
        <f>IF(H868=1,INDEX(tx_CrAcct,862)&amp;"","")</f>
        <v/>
      </c>
      <c r="L868" s="95">
        <f>IF(H868=1,INDEX(tx_CrAmt,862),0)</f>
        <v/>
      </c>
      <c r="M868" s="95">
        <f>IF(H868=1,INDEX(tx_TaxDr,862),0)</f>
        <v/>
      </c>
      <c r="N868" s="95">
        <f>IF(H868=1,INDEX(tx_TaxCr,862),0)</f>
        <v/>
      </c>
      <c r="O868" s="101">
        <f>IF(H868=1,IF(E868&lt;FYStart,0,IF(E868&gt;FYEnd,13,YEAR(E868)*12+MONTH(E868)-FYYM+1)),"")</f>
        <v/>
      </c>
      <c r="P868" s="101">
        <f>IF(H868=1,IF(IFERROR(INDEX(coa_CF,MATCH(I868,coa_Name,0)),"")="Cash",1,0),0)</f>
        <v/>
      </c>
      <c r="Q868" s="101">
        <f>IF(H868=1,IF(IFERROR(INDEX(coa_CF,MATCH(K868,coa_Name,0)),"")="Cash",1,0),0)</f>
        <v/>
      </c>
      <c r="R868" s="58">
        <f>IF((P868-Q868)=0,"",IFERROR(INDEX(coa_CF,MATCH(IF((P868-Q868)=1,K868,I868),coa_Name,0)),"Operating"))</f>
        <v/>
      </c>
      <c r="S868" s="95">
        <f>IF((P868-Q868)=1,L868,IF((P868-Q868)=-1,-J868,0))</f>
        <v/>
      </c>
      <c r="T868" s="95">
        <f>IF((P868-Q868)=1,N868,IF((P868-Q868)=-1,-M868,0))</f>
        <v/>
      </c>
      <c r="U868" s="101">
        <f>IF(AND(H868=1,LedAcct&lt;&gt;""),IF(AND(E868&gt;=LedFrom,E868&lt;=LedTo,OR(I868=LedAcct,K868=LedAcct,AND(LedAcct=acctTax,M868+N868&lt;&gt;0))),E868*10000+B868,""),"")</f>
        <v/>
      </c>
    </row>
    <row r="869">
      <c r="B869" s="101" t="n">
        <v>863</v>
      </c>
      <c r="C869" s="58" t="inlineStr">
        <is>
          <t>Transaction</t>
        </is>
      </c>
      <c r="D869" s="58">
        <f>IF(H869=1,INDEX(tx_ID,863)&amp;"","")</f>
        <v/>
      </c>
      <c r="E869" s="94">
        <f>IF(H869=1,INDEX(tx_Date,863),"")</f>
        <v/>
      </c>
      <c r="F869" s="58">
        <f>IF(H869=1,INDEX(tx_Desc,863)&amp;"","")</f>
        <v/>
      </c>
      <c r="G869" s="58">
        <f>IF(H869=1,IF(INDEX(tx_Cust,863)&amp;""&lt;&gt;"",INDEX(tx_Cust,863)&amp;"",INDEX(tx_Vend,863)&amp;""),"")</f>
        <v/>
      </c>
      <c r="H869" s="101">
        <f>IFERROR(N(INDEX(tx_Posted,863)),0)</f>
        <v/>
      </c>
      <c r="I869" s="58">
        <f>IF(H869=1,INDEX(tx_DrAcct,863)&amp;"","")</f>
        <v/>
      </c>
      <c r="J869" s="95">
        <f>IF(H869=1,INDEX(tx_DrAmt,863),0)</f>
        <v/>
      </c>
      <c r="K869" s="58">
        <f>IF(H869=1,INDEX(tx_CrAcct,863)&amp;"","")</f>
        <v/>
      </c>
      <c r="L869" s="95">
        <f>IF(H869=1,INDEX(tx_CrAmt,863),0)</f>
        <v/>
      </c>
      <c r="M869" s="95">
        <f>IF(H869=1,INDEX(tx_TaxDr,863),0)</f>
        <v/>
      </c>
      <c r="N869" s="95">
        <f>IF(H869=1,INDEX(tx_TaxCr,863),0)</f>
        <v/>
      </c>
      <c r="O869" s="101">
        <f>IF(H869=1,IF(E869&lt;FYStart,0,IF(E869&gt;FYEnd,13,YEAR(E869)*12+MONTH(E869)-FYYM+1)),"")</f>
        <v/>
      </c>
      <c r="P869" s="101">
        <f>IF(H869=1,IF(IFERROR(INDEX(coa_CF,MATCH(I869,coa_Name,0)),"")="Cash",1,0),0)</f>
        <v/>
      </c>
      <c r="Q869" s="101">
        <f>IF(H869=1,IF(IFERROR(INDEX(coa_CF,MATCH(K869,coa_Name,0)),"")="Cash",1,0),0)</f>
        <v/>
      </c>
      <c r="R869" s="58">
        <f>IF((P869-Q869)=0,"",IFERROR(INDEX(coa_CF,MATCH(IF((P869-Q869)=1,K869,I869),coa_Name,0)),"Operating"))</f>
        <v/>
      </c>
      <c r="S869" s="95">
        <f>IF((P869-Q869)=1,L869,IF((P869-Q869)=-1,-J869,0))</f>
        <v/>
      </c>
      <c r="T869" s="95">
        <f>IF((P869-Q869)=1,N869,IF((P869-Q869)=-1,-M869,0))</f>
        <v/>
      </c>
      <c r="U869" s="101">
        <f>IF(AND(H869=1,LedAcct&lt;&gt;""),IF(AND(E869&gt;=LedFrom,E869&lt;=LedTo,OR(I869=LedAcct,K869=LedAcct,AND(LedAcct=acctTax,M869+N869&lt;&gt;0))),E869*10000+B869,""),"")</f>
        <v/>
      </c>
    </row>
    <row r="870">
      <c r="B870" s="101" t="n">
        <v>864</v>
      </c>
      <c r="C870" s="58" t="inlineStr">
        <is>
          <t>Transaction</t>
        </is>
      </c>
      <c r="D870" s="58">
        <f>IF(H870=1,INDEX(tx_ID,864)&amp;"","")</f>
        <v/>
      </c>
      <c r="E870" s="94">
        <f>IF(H870=1,INDEX(tx_Date,864),"")</f>
        <v/>
      </c>
      <c r="F870" s="58">
        <f>IF(H870=1,INDEX(tx_Desc,864)&amp;"","")</f>
        <v/>
      </c>
      <c r="G870" s="58">
        <f>IF(H870=1,IF(INDEX(tx_Cust,864)&amp;""&lt;&gt;"",INDEX(tx_Cust,864)&amp;"",INDEX(tx_Vend,864)&amp;""),"")</f>
        <v/>
      </c>
      <c r="H870" s="101">
        <f>IFERROR(N(INDEX(tx_Posted,864)),0)</f>
        <v/>
      </c>
      <c r="I870" s="58">
        <f>IF(H870=1,INDEX(tx_DrAcct,864)&amp;"","")</f>
        <v/>
      </c>
      <c r="J870" s="95">
        <f>IF(H870=1,INDEX(tx_DrAmt,864),0)</f>
        <v/>
      </c>
      <c r="K870" s="58">
        <f>IF(H870=1,INDEX(tx_CrAcct,864)&amp;"","")</f>
        <v/>
      </c>
      <c r="L870" s="95">
        <f>IF(H870=1,INDEX(tx_CrAmt,864),0)</f>
        <v/>
      </c>
      <c r="M870" s="95">
        <f>IF(H870=1,INDEX(tx_TaxDr,864),0)</f>
        <v/>
      </c>
      <c r="N870" s="95">
        <f>IF(H870=1,INDEX(tx_TaxCr,864),0)</f>
        <v/>
      </c>
      <c r="O870" s="101">
        <f>IF(H870=1,IF(E870&lt;FYStart,0,IF(E870&gt;FYEnd,13,YEAR(E870)*12+MONTH(E870)-FYYM+1)),"")</f>
        <v/>
      </c>
      <c r="P870" s="101">
        <f>IF(H870=1,IF(IFERROR(INDEX(coa_CF,MATCH(I870,coa_Name,0)),"")="Cash",1,0),0)</f>
        <v/>
      </c>
      <c r="Q870" s="101">
        <f>IF(H870=1,IF(IFERROR(INDEX(coa_CF,MATCH(K870,coa_Name,0)),"")="Cash",1,0),0)</f>
        <v/>
      </c>
      <c r="R870" s="58">
        <f>IF((P870-Q870)=0,"",IFERROR(INDEX(coa_CF,MATCH(IF((P870-Q870)=1,K870,I870),coa_Name,0)),"Operating"))</f>
        <v/>
      </c>
      <c r="S870" s="95">
        <f>IF((P870-Q870)=1,L870,IF((P870-Q870)=-1,-J870,0))</f>
        <v/>
      </c>
      <c r="T870" s="95">
        <f>IF((P870-Q870)=1,N870,IF((P870-Q870)=-1,-M870,0))</f>
        <v/>
      </c>
      <c r="U870" s="101">
        <f>IF(AND(H870=1,LedAcct&lt;&gt;""),IF(AND(E870&gt;=LedFrom,E870&lt;=LedTo,OR(I870=LedAcct,K870=LedAcct,AND(LedAcct=acctTax,M870+N870&lt;&gt;0))),E870*10000+B870,""),"")</f>
        <v/>
      </c>
    </row>
    <row r="871">
      <c r="B871" s="101" t="n">
        <v>865</v>
      </c>
      <c r="C871" s="58" t="inlineStr">
        <is>
          <t>Transaction</t>
        </is>
      </c>
      <c r="D871" s="58">
        <f>IF(H871=1,INDEX(tx_ID,865)&amp;"","")</f>
        <v/>
      </c>
      <c r="E871" s="94">
        <f>IF(H871=1,INDEX(tx_Date,865),"")</f>
        <v/>
      </c>
      <c r="F871" s="58">
        <f>IF(H871=1,INDEX(tx_Desc,865)&amp;"","")</f>
        <v/>
      </c>
      <c r="G871" s="58">
        <f>IF(H871=1,IF(INDEX(tx_Cust,865)&amp;""&lt;&gt;"",INDEX(tx_Cust,865)&amp;"",INDEX(tx_Vend,865)&amp;""),"")</f>
        <v/>
      </c>
      <c r="H871" s="101">
        <f>IFERROR(N(INDEX(tx_Posted,865)),0)</f>
        <v/>
      </c>
      <c r="I871" s="58">
        <f>IF(H871=1,INDEX(tx_DrAcct,865)&amp;"","")</f>
        <v/>
      </c>
      <c r="J871" s="95">
        <f>IF(H871=1,INDEX(tx_DrAmt,865),0)</f>
        <v/>
      </c>
      <c r="K871" s="58">
        <f>IF(H871=1,INDEX(tx_CrAcct,865)&amp;"","")</f>
        <v/>
      </c>
      <c r="L871" s="95">
        <f>IF(H871=1,INDEX(tx_CrAmt,865),0)</f>
        <v/>
      </c>
      <c r="M871" s="95">
        <f>IF(H871=1,INDEX(tx_TaxDr,865),0)</f>
        <v/>
      </c>
      <c r="N871" s="95">
        <f>IF(H871=1,INDEX(tx_TaxCr,865),0)</f>
        <v/>
      </c>
      <c r="O871" s="101">
        <f>IF(H871=1,IF(E871&lt;FYStart,0,IF(E871&gt;FYEnd,13,YEAR(E871)*12+MONTH(E871)-FYYM+1)),"")</f>
        <v/>
      </c>
      <c r="P871" s="101">
        <f>IF(H871=1,IF(IFERROR(INDEX(coa_CF,MATCH(I871,coa_Name,0)),"")="Cash",1,0),0)</f>
        <v/>
      </c>
      <c r="Q871" s="101">
        <f>IF(H871=1,IF(IFERROR(INDEX(coa_CF,MATCH(K871,coa_Name,0)),"")="Cash",1,0),0)</f>
        <v/>
      </c>
      <c r="R871" s="58">
        <f>IF((P871-Q871)=0,"",IFERROR(INDEX(coa_CF,MATCH(IF((P871-Q871)=1,K871,I871),coa_Name,0)),"Operating"))</f>
        <v/>
      </c>
      <c r="S871" s="95">
        <f>IF((P871-Q871)=1,L871,IF((P871-Q871)=-1,-J871,0))</f>
        <v/>
      </c>
      <c r="T871" s="95">
        <f>IF((P871-Q871)=1,N871,IF((P871-Q871)=-1,-M871,0))</f>
        <v/>
      </c>
      <c r="U871" s="101">
        <f>IF(AND(H871=1,LedAcct&lt;&gt;""),IF(AND(E871&gt;=LedFrom,E871&lt;=LedTo,OR(I871=LedAcct,K871=LedAcct,AND(LedAcct=acctTax,M871+N871&lt;&gt;0))),E871*10000+B871,""),"")</f>
        <v/>
      </c>
    </row>
    <row r="872">
      <c r="B872" s="101" t="n">
        <v>866</v>
      </c>
      <c r="C872" s="58" t="inlineStr">
        <is>
          <t>Transaction</t>
        </is>
      </c>
      <c r="D872" s="58">
        <f>IF(H872=1,INDEX(tx_ID,866)&amp;"","")</f>
        <v/>
      </c>
      <c r="E872" s="94">
        <f>IF(H872=1,INDEX(tx_Date,866),"")</f>
        <v/>
      </c>
      <c r="F872" s="58">
        <f>IF(H872=1,INDEX(tx_Desc,866)&amp;"","")</f>
        <v/>
      </c>
      <c r="G872" s="58">
        <f>IF(H872=1,IF(INDEX(tx_Cust,866)&amp;""&lt;&gt;"",INDEX(tx_Cust,866)&amp;"",INDEX(tx_Vend,866)&amp;""),"")</f>
        <v/>
      </c>
      <c r="H872" s="101">
        <f>IFERROR(N(INDEX(tx_Posted,866)),0)</f>
        <v/>
      </c>
      <c r="I872" s="58">
        <f>IF(H872=1,INDEX(tx_DrAcct,866)&amp;"","")</f>
        <v/>
      </c>
      <c r="J872" s="95">
        <f>IF(H872=1,INDEX(tx_DrAmt,866),0)</f>
        <v/>
      </c>
      <c r="K872" s="58">
        <f>IF(H872=1,INDEX(tx_CrAcct,866)&amp;"","")</f>
        <v/>
      </c>
      <c r="L872" s="95">
        <f>IF(H872=1,INDEX(tx_CrAmt,866),0)</f>
        <v/>
      </c>
      <c r="M872" s="95">
        <f>IF(H872=1,INDEX(tx_TaxDr,866),0)</f>
        <v/>
      </c>
      <c r="N872" s="95">
        <f>IF(H872=1,INDEX(tx_TaxCr,866),0)</f>
        <v/>
      </c>
      <c r="O872" s="101">
        <f>IF(H872=1,IF(E872&lt;FYStart,0,IF(E872&gt;FYEnd,13,YEAR(E872)*12+MONTH(E872)-FYYM+1)),"")</f>
        <v/>
      </c>
      <c r="P872" s="101">
        <f>IF(H872=1,IF(IFERROR(INDEX(coa_CF,MATCH(I872,coa_Name,0)),"")="Cash",1,0),0)</f>
        <v/>
      </c>
      <c r="Q872" s="101">
        <f>IF(H872=1,IF(IFERROR(INDEX(coa_CF,MATCH(K872,coa_Name,0)),"")="Cash",1,0),0)</f>
        <v/>
      </c>
      <c r="R872" s="58">
        <f>IF((P872-Q872)=0,"",IFERROR(INDEX(coa_CF,MATCH(IF((P872-Q872)=1,K872,I872),coa_Name,0)),"Operating"))</f>
        <v/>
      </c>
      <c r="S872" s="95">
        <f>IF((P872-Q872)=1,L872,IF((P872-Q872)=-1,-J872,0))</f>
        <v/>
      </c>
      <c r="T872" s="95">
        <f>IF((P872-Q872)=1,N872,IF((P872-Q872)=-1,-M872,0))</f>
        <v/>
      </c>
      <c r="U872" s="101">
        <f>IF(AND(H872=1,LedAcct&lt;&gt;""),IF(AND(E872&gt;=LedFrom,E872&lt;=LedTo,OR(I872=LedAcct,K872=LedAcct,AND(LedAcct=acctTax,M872+N872&lt;&gt;0))),E872*10000+B872,""),"")</f>
        <v/>
      </c>
    </row>
    <row r="873">
      <c r="B873" s="101" t="n">
        <v>867</v>
      </c>
      <c r="C873" s="58" t="inlineStr">
        <is>
          <t>Transaction</t>
        </is>
      </c>
      <c r="D873" s="58">
        <f>IF(H873=1,INDEX(tx_ID,867)&amp;"","")</f>
        <v/>
      </c>
      <c r="E873" s="94">
        <f>IF(H873=1,INDEX(tx_Date,867),"")</f>
        <v/>
      </c>
      <c r="F873" s="58">
        <f>IF(H873=1,INDEX(tx_Desc,867)&amp;"","")</f>
        <v/>
      </c>
      <c r="G873" s="58">
        <f>IF(H873=1,IF(INDEX(tx_Cust,867)&amp;""&lt;&gt;"",INDEX(tx_Cust,867)&amp;"",INDEX(tx_Vend,867)&amp;""),"")</f>
        <v/>
      </c>
      <c r="H873" s="101">
        <f>IFERROR(N(INDEX(tx_Posted,867)),0)</f>
        <v/>
      </c>
      <c r="I873" s="58">
        <f>IF(H873=1,INDEX(tx_DrAcct,867)&amp;"","")</f>
        <v/>
      </c>
      <c r="J873" s="95">
        <f>IF(H873=1,INDEX(tx_DrAmt,867),0)</f>
        <v/>
      </c>
      <c r="K873" s="58">
        <f>IF(H873=1,INDEX(tx_CrAcct,867)&amp;"","")</f>
        <v/>
      </c>
      <c r="L873" s="95">
        <f>IF(H873=1,INDEX(tx_CrAmt,867),0)</f>
        <v/>
      </c>
      <c r="M873" s="95">
        <f>IF(H873=1,INDEX(tx_TaxDr,867),0)</f>
        <v/>
      </c>
      <c r="N873" s="95">
        <f>IF(H873=1,INDEX(tx_TaxCr,867),0)</f>
        <v/>
      </c>
      <c r="O873" s="101">
        <f>IF(H873=1,IF(E873&lt;FYStart,0,IF(E873&gt;FYEnd,13,YEAR(E873)*12+MONTH(E873)-FYYM+1)),"")</f>
        <v/>
      </c>
      <c r="P873" s="101">
        <f>IF(H873=1,IF(IFERROR(INDEX(coa_CF,MATCH(I873,coa_Name,0)),"")="Cash",1,0),0)</f>
        <v/>
      </c>
      <c r="Q873" s="101">
        <f>IF(H873=1,IF(IFERROR(INDEX(coa_CF,MATCH(K873,coa_Name,0)),"")="Cash",1,0),0)</f>
        <v/>
      </c>
      <c r="R873" s="58">
        <f>IF((P873-Q873)=0,"",IFERROR(INDEX(coa_CF,MATCH(IF((P873-Q873)=1,K873,I873),coa_Name,0)),"Operating"))</f>
        <v/>
      </c>
      <c r="S873" s="95">
        <f>IF((P873-Q873)=1,L873,IF((P873-Q873)=-1,-J873,0))</f>
        <v/>
      </c>
      <c r="T873" s="95">
        <f>IF((P873-Q873)=1,N873,IF((P873-Q873)=-1,-M873,0))</f>
        <v/>
      </c>
      <c r="U873" s="101">
        <f>IF(AND(H873=1,LedAcct&lt;&gt;""),IF(AND(E873&gt;=LedFrom,E873&lt;=LedTo,OR(I873=LedAcct,K873=LedAcct,AND(LedAcct=acctTax,M873+N873&lt;&gt;0))),E873*10000+B873,""),"")</f>
        <v/>
      </c>
    </row>
    <row r="874">
      <c r="B874" s="101" t="n">
        <v>868</v>
      </c>
      <c r="C874" s="58" t="inlineStr">
        <is>
          <t>Transaction</t>
        </is>
      </c>
      <c r="D874" s="58">
        <f>IF(H874=1,INDEX(tx_ID,868)&amp;"","")</f>
        <v/>
      </c>
      <c r="E874" s="94">
        <f>IF(H874=1,INDEX(tx_Date,868),"")</f>
        <v/>
      </c>
      <c r="F874" s="58">
        <f>IF(H874=1,INDEX(tx_Desc,868)&amp;"","")</f>
        <v/>
      </c>
      <c r="G874" s="58">
        <f>IF(H874=1,IF(INDEX(tx_Cust,868)&amp;""&lt;&gt;"",INDEX(tx_Cust,868)&amp;"",INDEX(tx_Vend,868)&amp;""),"")</f>
        <v/>
      </c>
      <c r="H874" s="101">
        <f>IFERROR(N(INDEX(tx_Posted,868)),0)</f>
        <v/>
      </c>
      <c r="I874" s="58">
        <f>IF(H874=1,INDEX(tx_DrAcct,868)&amp;"","")</f>
        <v/>
      </c>
      <c r="J874" s="95">
        <f>IF(H874=1,INDEX(tx_DrAmt,868),0)</f>
        <v/>
      </c>
      <c r="K874" s="58">
        <f>IF(H874=1,INDEX(tx_CrAcct,868)&amp;"","")</f>
        <v/>
      </c>
      <c r="L874" s="95">
        <f>IF(H874=1,INDEX(tx_CrAmt,868),0)</f>
        <v/>
      </c>
      <c r="M874" s="95">
        <f>IF(H874=1,INDEX(tx_TaxDr,868),0)</f>
        <v/>
      </c>
      <c r="N874" s="95">
        <f>IF(H874=1,INDEX(tx_TaxCr,868),0)</f>
        <v/>
      </c>
      <c r="O874" s="101">
        <f>IF(H874=1,IF(E874&lt;FYStart,0,IF(E874&gt;FYEnd,13,YEAR(E874)*12+MONTH(E874)-FYYM+1)),"")</f>
        <v/>
      </c>
      <c r="P874" s="101">
        <f>IF(H874=1,IF(IFERROR(INDEX(coa_CF,MATCH(I874,coa_Name,0)),"")="Cash",1,0),0)</f>
        <v/>
      </c>
      <c r="Q874" s="101">
        <f>IF(H874=1,IF(IFERROR(INDEX(coa_CF,MATCH(K874,coa_Name,0)),"")="Cash",1,0),0)</f>
        <v/>
      </c>
      <c r="R874" s="58">
        <f>IF((P874-Q874)=0,"",IFERROR(INDEX(coa_CF,MATCH(IF((P874-Q874)=1,K874,I874),coa_Name,0)),"Operating"))</f>
        <v/>
      </c>
      <c r="S874" s="95">
        <f>IF((P874-Q874)=1,L874,IF((P874-Q874)=-1,-J874,0))</f>
        <v/>
      </c>
      <c r="T874" s="95">
        <f>IF((P874-Q874)=1,N874,IF((P874-Q874)=-1,-M874,0))</f>
        <v/>
      </c>
      <c r="U874" s="101">
        <f>IF(AND(H874=1,LedAcct&lt;&gt;""),IF(AND(E874&gt;=LedFrom,E874&lt;=LedTo,OR(I874=LedAcct,K874=LedAcct,AND(LedAcct=acctTax,M874+N874&lt;&gt;0))),E874*10000+B874,""),"")</f>
        <v/>
      </c>
    </row>
    <row r="875">
      <c r="B875" s="101" t="n">
        <v>869</v>
      </c>
      <c r="C875" s="58" t="inlineStr">
        <is>
          <t>Transaction</t>
        </is>
      </c>
      <c r="D875" s="58">
        <f>IF(H875=1,INDEX(tx_ID,869)&amp;"","")</f>
        <v/>
      </c>
      <c r="E875" s="94">
        <f>IF(H875=1,INDEX(tx_Date,869),"")</f>
        <v/>
      </c>
      <c r="F875" s="58">
        <f>IF(H875=1,INDEX(tx_Desc,869)&amp;"","")</f>
        <v/>
      </c>
      <c r="G875" s="58">
        <f>IF(H875=1,IF(INDEX(tx_Cust,869)&amp;""&lt;&gt;"",INDEX(tx_Cust,869)&amp;"",INDEX(tx_Vend,869)&amp;""),"")</f>
        <v/>
      </c>
      <c r="H875" s="101">
        <f>IFERROR(N(INDEX(tx_Posted,869)),0)</f>
        <v/>
      </c>
      <c r="I875" s="58">
        <f>IF(H875=1,INDEX(tx_DrAcct,869)&amp;"","")</f>
        <v/>
      </c>
      <c r="J875" s="95">
        <f>IF(H875=1,INDEX(tx_DrAmt,869),0)</f>
        <v/>
      </c>
      <c r="K875" s="58">
        <f>IF(H875=1,INDEX(tx_CrAcct,869)&amp;"","")</f>
        <v/>
      </c>
      <c r="L875" s="95">
        <f>IF(H875=1,INDEX(tx_CrAmt,869),0)</f>
        <v/>
      </c>
      <c r="M875" s="95">
        <f>IF(H875=1,INDEX(tx_TaxDr,869),0)</f>
        <v/>
      </c>
      <c r="N875" s="95">
        <f>IF(H875=1,INDEX(tx_TaxCr,869),0)</f>
        <v/>
      </c>
      <c r="O875" s="101">
        <f>IF(H875=1,IF(E875&lt;FYStart,0,IF(E875&gt;FYEnd,13,YEAR(E875)*12+MONTH(E875)-FYYM+1)),"")</f>
        <v/>
      </c>
      <c r="P875" s="101">
        <f>IF(H875=1,IF(IFERROR(INDEX(coa_CF,MATCH(I875,coa_Name,0)),"")="Cash",1,0),0)</f>
        <v/>
      </c>
      <c r="Q875" s="101">
        <f>IF(H875=1,IF(IFERROR(INDEX(coa_CF,MATCH(K875,coa_Name,0)),"")="Cash",1,0),0)</f>
        <v/>
      </c>
      <c r="R875" s="58">
        <f>IF((P875-Q875)=0,"",IFERROR(INDEX(coa_CF,MATCH(IF((P875-Q875)=1,K875,I875),coa_Name,0)),"Operating"))</f>
        <v/>
      </c>
      <c r="S875" s="95">
        <f>IF((P875-Q875)=1,L875,IF((P875-Q875)=-1,-J875,0))</f>
        <v/>
      </c>
      <c r="T875" s="95">
        <f>IF((P875-Q875)=1,N875,IF((P875-Q875)=-1,-M875,0))</f>
        <v/>
      </c>
      <c r="U875" s="101">
        <f>IF(AND(H875=1,LedAcct&lt;&gt;""),IF(AND(E875&gt;=LedFrom,E875&lt;=LedTo,OR(I875=LedAcct,K875=LedAcct,AND(LedAcct=acctTax,M875+N875&lt;&gt;0))),E875*10000+B875,""),"")</f>
        <v/>
      </c>
    </row>
    <row r="876">
      <c r="B876" s="101" t="n">
        <v>870</v>
      </c>
      <c r="C876" s="58" t="inlineStr">
        <is>
          <t>Transaction</t>
        </is>
      </c>
      <c r="D876" s="58">
        <f>IF(H876=1,INDEX(tx_ID,870)&amp;"","")</f>
        <v/>
      </c>
      <c r="E876" s="94">
        <f>IF(H876=1,INDEX(tx_Date,870),"")</f>
        <v/>
      </c>
      <c r="F876" s="58">
        <f>IF(H876=1,INDEX(tx_Desc,870)&amp;"","")</f>
        <v/>
      </c>
      <c r="G876" s="58">
        <f>IF(H876=1,IF(INDEX(tx_Cust,870)&amp;""&lt;&gt;"",INDEX(tx_Cust,870)&amp;"",INDEX(tx_Vend,870)&amp;""),"")</f>
        <v/>
      </c>
      <c r="H876" s="101">
        <f>IFERROR(N(INDEX(tx_Posted,870)),0)</f>
        <v/>
      </c>
      <c r="I876" s="58">
        <f>IF(H876=1,INDEX(tx_DrAcct,870)&amp;"","")</f>
        <v/>
      </c>
      <c r="J876" s="95">
        <f>IF(H876=1,INDEX(tx_DrAmt,870),0)</f>
        <v/>
      </c>
      <c r="K876" s="58">
        <f>IF(H876=1,INDEX(tx_CrAcct,870)&amp;"","")</f>
        <v/>
      </c>
      <c r="L876" s="95">
        <f>IF(H876=1,INDEX(tx_CrAmt,870),0)</f>
        <v/>
      </c>
      <c r="M876" s="95">
        <f>IF(H876=1,INDEX(tx_TaxDr,870),0)</f>
        <v/>
      </c>
      <c r="N876" s="95">
        <f>IF(H876=1,INDEX(tx_TaxCr,870),0)</f>
        <v/>
      </c>
      <c r="O876" s="101">
        <f>IF(H876=1,IF(E876&lt;FYStart,0,IF(E876&gt;FYEnd,13,YEAR(E876)*12+MONTH(E876)-FYYM+1)),"")</f>
        <v/>
      </c>
      <c r="P876" s="101">
        <f>IF(H876=1,IF(IFERROR(INDEX(coa_CF,MATCH(I876,coa_Name,0)),"")="Cash",1,0),0)</f>
        <v/>
      </c>
      <c r="Q876" s="101">
        <f>IF(H876=1,IF(IFERROR(INDEX(coa_CF,MATCH(K876,coa_Name,0)),"")="Cash",1,0),0)</f>
        <v/>
      </c>
      <c r="R876" s="58">
        <f>IF((P876-Q876)=0,"",IFERROR(INDEX(coa_CF,MATCH(IF((P876-Q876)=1,K876,I876),coa_Name,0)),"Operating"))</f>
        <v/>
      </c>
      <c r="S876" s="95">
        <f>IF((P876-Q876)=1,L876,IF((P876-Q876)=-1,-J876,0))</f>
        <v/>
      </c>
      <c r="T876" s="95">
        <f>IF((P876-Q876)=1,N876,IF((P876-Q876)=-1,-M876,0))</f>
        <v/>
      </c>
      <c r="U876" s="101">
        <f>IF(AND(H876=1,LedAcct&lt;&gt;""),IF(AND(E876&gt;=LedFrom,E876&lt;=LedTo,OR(I876=LedAcct,K876=LedAcct,AND(LedAcct=acctTax,M876+N876&lt;&gt;0))),E876*10000+B876,""),"")</f>
        <v/>
      </c>
    </row>
    <row r="877">
      <c r="B877" s="101" t="n">
        <v>871</v>
      </c>
      <c r="C877" s="58" t="inlineStr">
        <is>
          <t>Transaction</t>
        </is>
      </c>
      <c r="D877" s="58">
        <f>IF(H877=1,INDEX(tx_ID,871)&amp;"","")</f>
        <v/>
      </c>
      <c r="E877" s="94">
        <f>IF(H877=1,INDEX(tx_Date,871),"")</f>
        <v/>
      </c>
      <c r="F877" s="58">
        <f>IF(H877=1,INDEX(tx_Desc,871)&amp;"","")</f>
        <v/>
      </c>
      <c r="G877" s="58">
        <f>IF(H877=1,IF(INDEX(tx_Cust,871)&amp;""&lt;&gt;"",INDEX(tx_Cust,871)&amp;"",INDEX(tx_Vend,871)&amp;""),"")</f>
        <v/>
      </c>
      <c r="H877" s="101">
        <f>IFERROR(N(INDEX(tx_Posted,871)),0)</f>
        <v/>
      </c>
      <c r="I877" s="58">
        <f>IF(H877=1,INDEX(tx_DrAcct,871)&amp;"","")</f>
        <v/>
      </c>
      <c r="J877" s="95">
        <f>IF(H877=1,INDEX(tx_DrAmt,871),0)</f>
        <v/>
      </c>
      <c r="K877" s="58">
        <f>IF(H877=1,INDEX(tx_CrAcct,871)&amp;"","")</f>
        <v/>
      </c>
      <c r="L877" s="95">
        <f>IF(H877=1,INDEX(tx_CrAmt,871),0)</f>
        <v/>
      </c>
      <c r="M877" s="95">
        <f>IF(H877=1,INDEX(tx_TaxDr,871),0)</f>
        <v/>
      </c>
      <c r="N877" s="95">
        <f>IF(H877=1,INDEX(tx_TaxCr,871),0)</f>
        <v/>
      </c>
      <c r="O877" s="101">
        <f>IF(H877=1,IF(E877&lt;FYStart,0,IF(E877&gt;FYEnd,13,YEAR(E877)*12+MONTH(E877)-FYYM+1)),"")</f>
        <v/>
      </c>
      <c r="P877" s="101">
        <f>IF(H877=1,IF(IFERROR(INDEX(coa_CF,MATCH(I877,coa_Name,0)),"")="Cash",1,0),0)</f>
        <v/>
      </c>
      <c r="Q877" s="101">
        <f>IF(H877=1,IF(IFERROR(INDEX(coa_CF,MATCH(K877,coa_Name,0)),"")="Cash",1,0),0)</f>
        <v/>
      </c>
      <c r="R877" s="58">
        <f>IF((P877-Q877)=0,"",IFERROR(INDEX(coa_CF,MATCH(IF((P877-Q877)=1,K877,I877),coa_Name,0)),"Operating"))</f>
        <v/>
      </c>
      <c r="S877" s="95">
        <f>IF((P877-Q877)=1,L877,IF((P877-Q877)=-1,-J877,0))</f>
        <v/>
      </c>
      <c r="T877" s="95">
        <f>IF((P877-Q877)=1,N877,IF((P877-Q877)=-1,-M877,0))</f>
        <v/>
      </c>
      <c r="U877" s="101">
        <f>IF(AND(H877=1,LedAcct&lt;&gt;""),IF(AND(E877&gt;=LedFrom,E877&lt;=LedTo,OR(I877=LedAcct,K877=LedAcct,AND(LedAcct=acctTax,M877+N877&lt;&gt;0))),E877*10000+B877,""),"")</f>
        <v/>
      </c>
    </row>
    <row r="878">
      <c r="B878" s="101" t="n">
        <v>872</v>
      </c>
      <c r="C878" s="58" t="inlineStr">
        <is>
          <t>Transaction</t>
        </is>
      </c>
      <c r="D878" s="58">
        <f>IF(H878=1,INDEX(tx_ID,872)&amp;"","")</f>
        <v/>
      </c>
      <c r="E878" s="94">
        <f>IF(H878=1,INDEX(tx_Date,872),"")</f>
        <v/>
      </c>
      <c r="F878" s="58">
        <f>IF(H878=1,INDEX(tx_Desc,872)&amp;"","")</f>
        <v/>
      </c>
      <c r="G878" s="58">
        <f>IF(H878=1,IF(INDEX(tx_Cust,872)&amp;""&lt;&gt;"",INDEX(tx_Cust,872)&amp;"",INDEX(tx_Vend,872)&amp;""),"")</f>
        <v/>
      </c>
      <c r="H878" s="101">
        <f>IFERROR(N(INDEX(tx_Posted,872)),0)</f>
        <v/>
      </c>
      <c r="I878" s="58">
        <f>IF(H878=1,INDEX(tx_DrAcct,872)&amp;"","")</f>
        <v/>
      </c>
      <c r="J878" s="95">
        <f>IF(H878=1,INDEX(tx_DrAmt,872),0)</f>
        <v/>
      </c>
      <c r="K878" s="58">
        <f>IF(H878=1,INDEX(tx_CrAcct,872)&amp;"","")</f>
        <v/>
      </c>
      <c r="L878" s="95">
        <f>IF(H878=1,INDEX(tx_CrAmt,872),0)</f>
        <v/>
      </c>
      <c r="M878" s="95">
        <f>IF(H878=1,INDEX(tx_TaxDr,872),0)</f>
        <v/>
      </c>
      <c r="N878" s="95">
        <f>IF(H878=1,INDEX(tx_TaxCr,872),0)</f>
        <v/>
      </c>
      <c r="O878" s="101">
        <f>IF(H878=1,IF(E878&lt;FYStart,0,IF(E878&gt;FYEnd,13,YEAR(E878)*12+MONTH(E878)-FYYM+1)),"")</f>
        <v/>
      </c>
      <c r="P878" s="101">
        <f>IF(H878=1,IF(IFERROR(INDEX(coa_CF,MATCH(I878,coa_Name,0)),"")="Cash",1,0),0)</f>
        <v/>
      </c>
      <c r="Q878" s="101">
        <f>IF(H878=1,IF(IFERROR(INDEX(coa_CF,MATCH(K878,coa_Name,0)),"")="Cash",1,0),0)</f>
        <v/>
      </c>
      <c r="R878" s="58">
        <f>IF((P878-Q878)=0,"",IFERROR(INDEX(coa_CF,MATCH(IF((P878-Q878)=1,K878,I878),coa_Name,0)),"Operating"))</f>
        <v/>
      </c>
      <c r="S878" s="95">
        <f>IF((P878-Q878)=1,L878,IF((P878-Q878)=-1,-J878,0))</f>
        <v/>
      </c>
      <c r="T878" s="95">
        <f>IF((P878-Q878)=1,N878,IF((P878-Q878)=-1,-M878,0))</f>
        <v/>
      </c>
      <c r="U878" s="101">
        <f>IF(AND(H878=1,LedAcct&lt;&gt;""),IF(AND(E878&gt;=LedFrom,E878&lt;=LedTo,OR(I878=LedAcct,K878=LedAcct,AND(LedAcct=acctTax,M878+N878&lt;&gt;0))),E878*10000+B878,""),"")</f>
        <v/>
      </c>
    </row>
    <row r="879">
      <c r="B879" s="101" t="n">
        <v>873</v>
      </c>
      <c r="C879" s="58" t="inlineStr">
        <is>
          <t>Transaction</t>
        </is>
      </c>
      <c r="D879" s="58">
        <f>IF(H879=1,INDEX(tx_ID,873)&amp;"","")</f>
        <v/>
      </c>
      <c r="E879" s="94">
        <f>IF(H879=1,INDEX(tx_Date,873),"")</f>
        <v/>
      </c>
      <c r="F879" s="58">
        <f>IF(H879=1,INDEX(tx_Desc,873)&amp;"","")</f>
        <v/>
      </c>
      <c r="G879" s="58">
        <f>IF(H879=1,IF(INDEX(tx_Cust,873)&amp;""&lt;&gt;"",INDEX(tx_Cust,873)&amp;"",INDEX(tx_Vend,873)&amp;""),"")</f>
        <v/>
      </c>
      <c r="H879" s="101">
        <f>IFERROR(N(INDEX(tx_Posted,873)),0)</f>
        <v/>
      </c>
      <c r="I879" s="58">
        <f>IF(H879=1,INDEX(tx_DrAcct,873)&amp;"","")</f>
        <v/>
      </c>
      <c r="J879" s="95">
        <f>IF(H879=1,INDEX(tx_DrAmt,873),0)</f>
        <v/>
      </c>
      <c r="K879" s="58">
        <f>IF(H879=1,INDEX(tx_CrAcct,873)&amp;"","")</f>
        <v/>
      </c>
      <c r="L879" s="95">
        <f>IF(H879=1,INDEX(tx_CrAmt,873),0)</f>
        <v/>
      </c>
      <c r="M879" s="95">
        <f>IF(H879=1,INDEX(tx_TaxDr,873),0)</f>
        <v/>
      </c>
      <c r="N879" s="95">
        <f>IF(H879=1,INDEX(tx_TaxCr,873),0)</f>
        <v/>
      </c>
      <c r="O879" s="101">
        <f>IF(H879=1,IF(E879&lt;FYStart,0,IF(E879&gt;FYEnd,13,YEAR(E879)*12+MONTH(E879)-FYYM+1)),"")</f>
        <v/>
      </c>
      <c r="P879" s="101">
        <f>IF(H879=1,IF(IFERROR(INDEX(coa_CF,MATCH(I879,coa_Name,0)),"")="Cash",1,0),0)</f>
        <v/>
      </c>
      <c r="Q879" s="101">
        <f>IF(H879=1,IF(IFERROR(INDEX(coa_CF,MATCH(K879,coa_Name,0)),"")="Cash",1,0),0)</f>
        <v/>
      </c>
      <c r="R879" s="58">
        <f>IF((P879-Q879)=0,"",IFERROR(INDEX(coa_CF,MATCH(IF((P879-Q879)=1,K879,I879),coa_Name,0)),"Operating"))</f>
        <v/>
      </c>
      <c r="S879" s="95">
        <f>IF((P879-Q879)=1,L879,IF((P879-Q879)=-1,-J879,0))</f>
        <v/>
      </c>
      <c r="T879" s="95">
        <f>IF((P879-Q879)=1,N879,IF((P879-Q879)=-1,-M879,0))</f>
        <v/>
      </c>
      <c r="U879" s="101">
        <f>IF(AND(H879=1,LedAcct&lt;&gt;""),IF(AND(E879&gt;=LedFrom,E879&lt;=LedTo,OR(I879=LedAcct,K879=LedAcct,AND(LedAcct=acctTax,M879+N879&lt;&gt;0))),E879*10000+B879,""),"")</f>
        <v/>
      </c>
    </row>
    <row r="880">
      <c r="B880" s="101" t="n">
        <v>874</v>
      </c>
      <c r="C880" s="58" t="inlineStr">
        <is>
          <t>Transaction</t>
        </is>
      </c>
      <c r="D880" s="58">
        <f>IF(H880=1,INDEX(tx_ID,874)&amp;"","")</f>
        <v/>
      </c>
      <c r="E880" s="94">
        <f>IF(H880=1,INDEX(tx_Date,874),"")</f>
        <v/>
      </c>
      <c r="F880" s="58">
        <f>IF(H880=1,INDEX(tx_Desc,874)&amp;"","")</f>
        <v/>
      </c>
      <c r="G880" s="58">
        <f>IF(H880=1,IF(INDEX(tx_Cust,874)&amp;""&lt;&gt;"",INDEX(tx_Cust,874)&amp;"",INDEX(tx_Vend,874)&amp;""),"")</f>
        <v/>
      </c>
      <c r="H880" s="101">
        <f>IFERROR(N(INDEX(tx_Posted,874)),0)</f>
        <v/>
      </c>
      <c r="I880" s="58">
        <f>IF(H880=1,INDEX(tx_DrAcct,874)&amp;"","")</f>
        <v/>
      </c>
      <c r="J880" s="95">
        <f>IF(H880=1,INDEX(tx_DrAmt,874),0)</f>
        <v/>
      </c>
      <c r="K880" s="58">
        <f>IF(H880=1,INDEX(tx_CrAcct,874)&amp;"","")</f>
        <v/>
      </c>
      <c r="L880" s="95">
        <f>IF(H880=1,INDEX(tx_CrAmt,874),0)</f>
        <v/>
      </c>
      <c r="M880" s="95">
        <f>IF(H880=1,INDEX(tx_TaxDr,874),0)</f>
        <v/>
      </c>
      <c r="N880" s="95">
        <f>IF(H880=1,INDEX(tx_TaxCr,874),0)</f>
        <v/>
      </c>
      <c r="O880" s="101">
        <f>IF(H880=1,IF(E880&lt;FYStart,0,IF(E880&gt;FYEnd,13,YEAR(E880)*12+MONTH(E880)-FYYM+1)),"")</f>
        <v/>
      </c>
      <c r="P880" s="101">
        <f>IF(H880=1,IF(IFERROR(INDEX(coa_CF,MATCH(I880,coa_Name,0)),"")="Cash",1,0),0)</f>
        <v/>
      </c>
      <c r="Q880" s="101">
        <f>IF(H880=1,IF(IFERROR(INDEX(coa_CF,MATCH(K880,coa_Name,0)),"")="Cash",1,0),0)</f>
        <v/>
      </c>
      <c r="R880" s="58">
        <f>IF((P880-Q880)=0,"",IFERROR(INDEX(coa_CF,MATCH(IF((P880-Q880)=1,K880,I880),coa_Name,0)),"Operating"))</f>
        <v/>
      </c>
      <c r="S880" s="95">
        <f>IF((P880-Q880)=1,L880,IF((P880-Q880)=-1,-J880,0))</f>
        <v/>
      </c>
      <c r="T880" s="95">
        <f>IF((P880-Q880)=1,N880,IF((P880-Q880)=-1,-M880,0))</f>
        <v/>
      </c>
      <c r="U880" s="101">
        <f>IF(AND(H880=1,LedAcct&lt;&gt;""),IF(AND(E880&gt;=LedFrom,E880&lt;=LedTo,OR(I880=LedAcct,K880=LedAcct,AND(LedAcct=acctTax,M880+N880&lt;&gt;0))),E880*10000+B880,""),"")</f>
        <v/>
      </c>
    </row>
    <row r="881">
      <c r="B881" s="101" t="n">
        <v>875</v>
      </c>
      <c r="C881" s="58" t="inlineStr">
        <is>
          <t>Transaction</t>
        </is>
      </c>
      <c r="D881" s="58">
        <f>IF(H881=1,INDEX(tx_ID,875)&amp;"","")</f>
        <v/>
      </c>
      <c r="E881" s="94">
        <f>IF(H881=1,INDEX(tx_Date,875),"")</f>
        <v/>
      </c>
      <c r="F881" s="58">
        <f>IF(H881=1,INDEX(tx_Desc,875)&amp;"","")</f>
        <v/>
      </c>
      <c r="G881" s="58">
        <f>IF(H881=1,IF(INDEX(tx_Cust,875)&amp;""&lt;&gt;"",INDEX(tx_Cust,875)&amp;"",INDEX(tx_Vend,875)&amp;""),"")</f>
        <v/>
      </c>
      <c r="H881" s="101">
        <f>IFERROR(N(INDEX(tx_Posted,875)),0)</f>
        <v/>
      </c>
      <c r="I881" s="58">
        <f>IF(H881=1,INDEX(tx_DrAcct,875)&amp;"","")</f>
        <v/>
      </c>
      <c r="J881" s="95">
        <f>IF(H881=1,INDEX(tx_DrAmt,875),0)</f>
        <v/>
      </c>
      <c r="K881" s="58">
        <f>IF(H881=1,INDEX(tx_CrAcct,875)&amp;"","")</f>
        <v/>
      </c>
      <c r="L881" s="95">
        <f>IF(H881=1,INDEX(tx_CrAmt,875),0)</f>
        <v/>
      </c>
      <c r="M881" s="95">
        <f>IF(H881=1,INDEX(tx_TaxDr,875),0)</f>
        <v/>
      </c>
      <c r="N881" s="95">
        <f>IF(H881=1,INDEX(tx_TaxCr,875),0)</f>
        <v/>
      </c>
      <c r="O881" s="101">
        <f>IF(H881=1,IF(E881&lt;FYStart,0,IF(E881&gt;FYEnd,13,YEAR(E881)*12+MONTH(E881)-FYYM+1)),"")</f>
        <v/>
      </c>
      <c r="P881" s="101">
        <f>IF(H881=1,IF(IFERROR(INDEX(coa_CF,MATCH(I881,coa_Name,0)),"")="Cash",1,0),0)</f>
        <v/>
      </c>
      <c r="Q881" s="101">
        <f>IF(H881=1,IF(IFERROR(INDEX(coa_CF,MATCH(K881,coa_Name,0)),"")="Cash",1,0),0)</f>
        <v/>
      </c>
      <c r="R881" s="58">
        <f>IF((P881-Q881)=0,"",IFERROR(INDEX(coa_CF,MATCH(IF((P881-Q881)=1,K881,I881),coa_Name,0)),"Operating"))</f>
        <v/>
      </c>
      <c r="S881" s="95">
        <f>IF((P881-Q881)=1,L881,IF((P881-Q881)=-1,-J881,0))</f>
        <v/>
      </c>
      <c r="T881" s="95">
        <f>IF((P881-Q881)=1,N881,IF((P881-Q881)=-1,-M881,0))</f>
        <v/>
      </c>
      <c r="U881" s="101">
        <f>IF(AND(H881=1,LedAcct&lt;&gt;""),IF(AND(E881&gt;=LedFrom,E881&lt;=LedTo,OR(I881=LedAcct,K881=LedAcct,AND(LedAcct=acctTax,M881+N881&lt;&gt;0))),E881*10000+B881,""),"")</f>
        <v/>
      </c>
    </row>
    <row r="882">
      <c r="B882" s="101" t="n">
        <v>876</v>
      </c>
      <c r="C882" s="58" t="inlineStr">
        <is>
          <t>Transaction</t>
        </is>
      </c>
      <c r="D882" s="58">
        <f>IF(H882=1,INDEX(tx_ID,876)&amp;"","")</f>
        <v/>
      </c>
      <c r="E882" s="94">
        <f>IF(H882=1,INDEX(tx_Date,876),"")</f>
        <v/>
      </c>
      <c r="F882" s="58">
        <f>IF(H882=1,INDEX(tx_Desc,876)&amp;"","")</f>
        <v/>
      </c>
      <c r="G882" s="58">
        <f>IF(H882=1,IF(INDEX(tx_Cust,876)&amp;""&lt;&gt;"",INDEX(tx_Cust,876)&amp;"",INDEX(tx_Vend,876)&amp;""),"")</f>
        <v/>
      </c>
      <c r="H882" s="101">
        <f>IFERROR(N(INDEX(tx_Posted,876)),0)</f>
        <v/>
      </c>
      <c r="I882" s="58">
        <f>IF(H882=1,INDEX(tx_DrAcct,876)&amp;"","")</f>
        <v/>
      </c>
      <c r="J882" s="95">
        <f>IF(H882=1,INDEX(tx_DrAmt,876),0)</f>
        <v/>
      </c>
      <c r="K882" s="58">
        <f>IF(H882=1,INDEX(tx_CrAcct,876)&amp;"","")</f>
        <v/>
      </c>
      <c r="L882" s="95">
        <f>IF(H882=1,INDEX(tx_CrAmt,876),0)</f>
        <v/>
      </c>
      <c r="M882" s="95">
        <f>IF(H882=1,INDEX(tx_TaxDr,876),0)</f>
        <v/>
      </c>
      <c r="N882" s="95">
        <f>IF(H882=1,INDEX(tx_TaxCr,876),0)</f>
        <v/>
      </c>
      <c r="O882" s="101">
        <f>IF(H882=1,IF(E882&lt;FYStart,0,IF(E882&gt;FYEnd,13,YEAR(E882)*12+MONTH(E882)-FYYM+1)),"")</f>
        <v/>
      </c>
      <c r="P882" s="101">
        <f>IF(H882=1,IF(IFERROR(INDEX(coa_CF,MATCH(I882,coa_Name,0)),"")="Cash",1,0),0)</f>
        <v/>
      </c>
      <c r="Q882" s="101">
        <f>IF(H882=1,IF(IFERROR(INDEX(coa_CF,MATCH(K882,coa_Name,0)),"")="Cash",1,0),0)</f>
        <v/>
      </c>
      <c r="R882" s="58">
        <f>IF((P882-Q882)=0,"",IFERROR(INDEX(coa_CF,MATCH(IF((P882-Q882)=1,K882,I882),coa_Name,0)),"Operating"))</f>
        <v/>
      </c>
      <c r="S882" s="95">
        <f>IF((P882-Q882)=1,L882,IF((P882-Q882)=-1,-J882,0))</f>
        <v/>
      </c>
      <c r="T882" s="95">
        <f>IF((P882-Q882)=1,N882,IF((P882-Q882)=-1,-M882,0))</f>
        <v/>
      </c>
      <c r="U882" s="101">
        <f>IF(AND(H882=1,LedAcct&lt;&gt;""),IF(AND(E882&gt;=LedFrom,E882&lt;=LedTo,OR(I882=LedAcct,K882=LedAcct,AND(LedAcct=acctTax,M882+N882&lt;&gt;0))),E882*10000+B882,""),"")</f>
        <v/>
      </c>
    </row>
    <row r="883">
      <c r="B883" s="101" t="n">
        <v>877</v>
      </c>
      <c r="C883" s="58" t="inlineStr">
        <is>
          <t>Transaction</t>
        </is>
      </c>
      <c r="D883" s="58">
        <f>IF(H883=1,INDEX(tx_ID,877)&amp;"","")</f>
        <v/>
      </c>
      <c r="E883" s="94">
        <f>IF(H883=1,INDEX(tx_Date,877),"")</f>
        <v/>
      </c>
      <c r="F883" s="58">
        <f>IF(H883=1,INDEX(tx_Desc,877)&amp;"","")</f>
        <v/>
      </c>
      <c r="G883" s="58">
        <f>IF(H883=1,IF(INDEX(tx_Cust,877)&amp;""&lt;&gt;"",INDEX(tx_Cust,877)&amp;"",INDEX(tx_Vend,877)&amp;""),"")</f>
        <v/>
      </c>
      <c r="H883" s="101">
        <f>IFERROR(N(INDEX(tx_Posted,877)),0)</f>
        <v/>
      </c>
      <c r="I883" s="58">
        <f>IF(H883=1,INDEX(tx_DrAcct,877)&amp;"","")</f>
        <v/>
      </c>
      <c r="J883" s="95">
        <f>IF(H883=1,INDEX(tx_DrAmt,877),0)</f>
        <v/>
      </c>
      <c r="K883" s="58">
        <f>IF(H883=1,INDEX(tx_CrAcct,877)&amp;"","")</f>
        <v/>
      </c>
      <c r="L883" s="95">
        <f>IF(H883=1,INDEX(tx_CrAmt,877),0)</f>
        <v/>
      </c>
      <c r="M883" s="95">
        <f>IF(H883=1,INDEX(tx_TaxDr,877),0)</f>
        <v/>
      </c>
      <c r="N883" s="95">
        <f>IF(H883=1,INDEX(tx_TaxCr,877),0)</f>
        <v/>
      </c>
      <c r="O883" s="101">
        <f>IF(H883=1,IF(E883&lt;FYStart,0,IF(E883&gt;FYEnd,13,YEAR(E883)*12+MONTH(E883)-FYYM+1)),"")</f>
        <v/>
      </c>
      <c r="P883" s="101">
        <f>IF(H883=1,IF(IFERROR(INDEX(coa_CF,MATCH(I883,coa_Name,0)),"")="Cash",1,0),0)</f>
        <v/>
      </c>
      <c r="Q883" s="101">
        <f>IF(H883=1,IF(IFERROR(INDEX(coa_CF,MATCH(K883,coa_Name,0)),"")="Cash",1,0),0)</f>
        <v/>
      </c>
      <c r="R883" s="58">
        <f>IF((P883-Q883)=0,"",IFERROR(INDEX(coa_CF,MATCH(IF((P883-Q883)=1,K883,I883),coa_Name,0)),"Operating"))</f>
        <v/>
      </c>
      <c r="S883" s="95">
        <f>IF((P883-Q883)=1,L883,IF((P883-Q883)=-1,-J883,0))</f>
        <v/>
      </c>
      <c r="T883" s="95">
        <f>IF((P883-Q883)=1,N883,IF((P883-Q883)=-1,-M883,0))</f>
        <v/>
      </c>
      <c r="U883" s="101">
        <f>IF(AND(H883=1,LedAcct&lt;&gt;""),IF(AND(E883&gt;=LedFrom,E883&lt;=LedTo,OR(I883=LedAcct,K883=LedAcct,AND(LedAcct=acctTax,M883+N883&lt;&gt;0))),E883*10000+B883,""),"")</f>
        <v/>
      </c>
    </row>
    <row r="884">
      <c r="B884" s="101" t="n">
        <v>878</v>
      </c>
      <c r="C884" s="58" t="inlineStr">
        <is>
          <t>Transaction</t>
        </is>
      </c>
      <c r="D884" s="58">
        <f>IF(H884=1,INDEX(tx_ID,878)&amp;"","")</f>
        <v/>
      </c>
      <c r="E884" s="94">
        <f>IF(H884=1,INDEX(tx_Date,878),"")</f>
        <v/>
      </c>
      <c r="F884" s="58">
        <f>IF(H884=1,INDEX(tx_Desc,878)&amp;"","")</f>
        <v/>
      </c>
      <c r="G884" s="58">
        <f>IF(H884=1,IF(INDEX(tx_Cust,878)&amp;""&lt;&gt;"",INDEX(tx_Cust,878)&amp;"",INDEX(tx_Vend,878)&amp;""),"")</f>
        <v/>
      </c>
      <c r="H884" s="101">
        <f>IFERROR(N(INDEX(tx_Posted,878)),0)</f>
        <v/>
      </c>
      <c r="I884" s="58">
        <f>IF(H884=1,INDEX(tx_DrAcct,878)&amp;"","")</f>
        <v/>
      </c>
      <c r="J884" s="95">
        <f>IF(H884=1,INDEX(tx_DrAmt,878),0)</f>
        <v/>
      </c>
      <c r="K884" s="58">
        <f>IF(H884=1,INDEX(tx_CrAcct,878)&amp;"","")</f>
        <v/>
      </c>
      <c r="L884" s="95">
        <f>IF(H884=1,INDEX(tx_CrAmt,878),0)</f>
        <v/>
      </c>
      <c r="M884" s="95">
        <f>IF(H884=1,INDEX(tx_TaxDr,878),0)</f>
        <v/>
      </c>
      <c r="N884" s="95">
        <f>IF(H884=1,INDEX(tx_TaxCr,878),0)</f>
        <v/>
      </c>
      <c r="O884" s="101">
        <f>IF(H884=1,IF(E884&lt;FYStart,0,IF(E884&gt;FYEnd,13,YEAR(E884)*12+MONTH(E884)-FYYM+1)),"")</f>
        <v/>
      </c>
      <c r="P884" s="101">
        <f>IF(H884=1,IF(IFERROR(INDEX(coa_CF,MATCH(I884,coa_Name,0)),"")="Cash",1,0),0)</f>
        <v/>
      </c>
      <c r="Q884" s="101">
        <f>IF(H884=1,IF(IFERROR(INDEX(coa_CF,MATCH(K884,coa_Name,0)),"")="Cash",1,0),0)</f>
        <v/>
      </c>
      <c r="R884" s="58">
        <f>IF((P884-Q884)=0,"",IFERROR(INDEX(coa_CF,MATCH(IF((P884-Q884)=1,K884,I884),coa_Name,0)),"Operating"))</f>
        <v/>
      </c>
      <c r="S884" s="95">
        <f>IF((P884-Q884)=1,L884,IF((P884-Q884)=-1,-J884,0))</f>
        <v/>
      </c>
      <c r="T884" s="95">
        <f>IF((P884-Q884)=1,N884,IF((P884-Q884)=-1,-M884,0))</f>
        <v/>
      </c>
      <c r="U884" s="101">
        <f>IF(AND(H884=1,LedAcct&lt;&gt;""),IF(AND(E884&gt;=LedFrom,E884&lt;=LedTo,OR(I884=LedAcct,K884=LedAcct,AND(LedAcct=acctTax,M884+N884&lt;&gt;0))),E884*10000+B884,""),"")</f>
        <v/>
      </c>
    </row>
    <row r="885">
      <c r="B885" s="101" t="n">
        <v>879</v>
      </c>
      <c r="C885" s="58" t="inlineStr">
        <is>
          <t>Transaction</t>
        </is>
      </c>
      <c r="D885" s="58">
        <f>IF(H885=1,INDEX(tx_ID,879)&amp;"","")</f>
        <v/>
      </c>
      <c r="E885" s="94">
        <f>IF(H885=1,INDEX(tx_Date,879),"")</f>
        <v/>
      </c>
      <c r="F885" s="58">
        <f>IF(H885=1,INDEX(tx_Desc,879)&amp;"","")</f>
        <v/>
      </c>
      <c r="G885" s="58">
        <f>IF(H885=1,IF(INDEX(tx_Cust,879)&amp;""&lt;&gt;"",INDEX(tx_Cust,879)&amp;"",INDEX(tx_Vend,879)&amp;""),"")</f>
        <v/>
      </c>
      <c r="H885" s="101">
        <f>IFERROR(N(INDEX(tx_Posted,879)),0)</f>
        <v/>
      </c>
      <c r="I885" s="58">
        <f>IF(H885=1,INDEX(tx_DrAcct,879)&amp;"","")</f>
        <v/>
      </c>
      <c r="J885" s="95">
        <f>IF(H885=1,INDEX(tx_DrAmt,879),0)</f>
        <v/>
      </c>
      <c r="K885" s="58">
        <f>IF(H885=1,INDEX(tx_CrAcct,879)&amp;"","")</f>
        <v/>
      </c>
      <c r="L885" s="95">
        <f>IF(H885=1,INDEX(tx_CrAmt,879),0)</f>
        <v/>
      </c>
      <c r="M885" s="95">
        <f>IF(H885=1,INDEX(tx_TaxDr,879),0)</f>
        <v/>
      </c>
      <c r="N885" s="95">
        <f>IF(H885=1,INDEX(tx_TaxCr,879),0)</f>
        <v/>
      </c>
      <c r="O885" s="101">
        <f>IF(H885=1,IF(E885&lt;FYStart,0,IF(E885&gt;FYEnd,13,YEAR(E885)*12+MONTH(E885)-FYYM+1)),"")</f>
        <v/>
      </c>
      <c r="P885" s="101">
        <f>IF(H885=1,IF(IFERROR(INDEX(coa_CF,MATCH(I885,coa_Name,0)),"")="Cash",1,0),0)</f>
        <v/>
      </c>
      <c r="Q885" s="101">
        <f>IF(H885=1,IF(IFERROR(INDEX(coa_CF,MATCH(K885,coa_Name,0)),"")="Cash",1,0),0)</f>
        <v/>
      </c>
      <c r="R885" s="58">
        <f>IF((P885-Q885)=0,"",IFERROR(INDEX(coa_CF,MATCH(IF((P885-Q885)=1,K885,I885),coa_Name,0)),"Operating"))</f>
        <v/>
      </c>
      <c r="S885" s="95">
        <f>IF((P885-Q885)=1,L885,IF((P885-Q885)=-1,-J885,0))</f>
        <v/>
      </c>
      <c r="T885" s="95">
        <f>IF((P885-Q885)=1,N885,IF((P885-Q885)=-1,-M885,0))</f>
        <v/>
      </c>
      <c r="U885" s="101">
        <f>IF(AND(H885=1,LedAcct&lt;&gt;""),IF(AND(E885&gt;=LedFrom,E885&lt;=LedTo,OR(I885=LedAcct,K885=LedAcct,AND(LedAcct=acctTax,M885+N885&lt;&gt;0))),E885*10000+B885,""),"")</f>
        <v/>
      </c>
    </row>
    <row r="886">
      <c r="B886" s="101" t="n">
        <v>880</v>
      </c>
      <c r="C886" s="58" t="inlineStr">
        <is>
          <t>Transaction</t>
        </is>
      </c>
      <c r="D886" s="58">
        <f>IF(H886=1,INDEX(tx_ID,880)&amp;"","")</f>
        <v/>
      </c>
      <c r="E886" s="94">
        <f>IF(H886=1,INDEX(tx_Date,880),"")</f>
        <v/>
      </c>
      <c r="F886" s="58">
        <f>IF(H886=1,INDEX(tx_Desc,880)&amp;"","")</f>
        <v/>
      </c>
      <c r="G886" s="58">
        <f>IF(H886=1,IF(INDEX(tx_Cust,880)&amp;""&lt;&gt;"",INDEX(tx_Cust,880)&amp;"",INDEX(tx_Vend,880)&amp;""),"")</f>
        <v/>
      </c>
      <c r="H886" s="101">
        <f>IFERROR(N(INDEX(tx_Posted,880)),0)</f>
        <v/>
      </c>
      <c r="I886" s="58">
        <f>IF(H886=1,INDEX(tx_DrAcct,880)&amp;"","")</f>
        <v/>
      </c>
      <c r="J886" s="95">
        <f>IF(H886=1,INDEX(tx_DrAmt,880),0)</f>
        <v/>
      </c>
      <c r="K886" s="58">
        <f>IF(H886=1,INDEX(tx_CrAcct,880)&amp;"","")</f>
        <v/>
      </c>
      <c r="L886" s="95">
        <f>IF(H886=1,INDEX(tx_CrAmt,880),0)</f>
        <v/>
      </c>
      <c r="M886" s="95">
        <f>IF(H886=1,INDEX(tx_TaxDr,880),0)</f>
        <v/>
      </c>
      <c r="N886" s="95">
        <f>IF(H886=1,INDEX(tx_TaxCr,880),0)</f>
        <v/>
      </c>
      <c r="O886" s="101">
        <f>IF(H886=1,IF(E886&lt;FYStart,0,IF(E886&gt;FYEnd,13,YEAR(E886)*12+MONTH(E886)-FYYM+1)),"")</f>
        <v/>
      </c>
      <c r="P886" s="101">
        <f>IF(H886=1,IF(IFERROR(INDEX(coa_CF,MATCH(I886,coa_Name,0)),"")="Cash",1,0),0)</f>
        <v/>
      </c>
      <c r="Q886" s="101">
        <f>IF(H886=1,IF(IFERROR(INDEX(coa_CF,MATCH(K886,coa_Name,0)),"")="Cash",1,0),0)</f>
        <v/>
      </c>
      <c r="R886" s="58">
        <f>IF((P886-Q886)=0,"",IFERROR(INDEX(coa_CF,MATCH(IF((P886-Q886)=1,K886,I886),coa_Name,0)),"Operating"))</f>
        <v/>
      </c>
      <c r="S886" s="95">
        <f>IF((P886-Q886)=1,L886,IF((P886-Q886)=-1,-J886,0))</f>
        <v/>
      </c>
      <c r="T886" s="95">
        <f>IF((P886-Q886)=1,N886,IF((P886-Q886)=-1,-M886,0))</f>
        <v/>
      </c>
      <c r="U886" s="101">
        <f>IF(AND(H886=1,LedAcct&lt;&gt;""),IF(AND(E886&gt;=LedFrom,E886&lt;=LedTo,OR(I886=LedAcct,K886=LedAcct,AND(LedAcct=acctTax,M886+N886&lt;&gt;0))),E886*10000+B886,""),"")</f>
        <v/>
      </c>
    </row>
    <row r="887">
      <c r="B887" s="101" t="n">
        <v>881</v>
      </c>
      <c r="C887" s="58" t="inlineStr">
        <is>
          <t>Transaction</t>
        </is>
      </c>
      <c r="D887" s="58">
        <f>IF(H887=1,INDEX(tx_ID,881)&amp;"","")</f>
        <v/>
      </c>
      <c r="E887" s="94">
        <f>IF(H887=1,INDEX(tx_Date,881),"")</f>
        <v/>
      </c>
      <c r="F887" s="58">
        <f>IF(H887=1,INDEX(tx_Desc,881)&amp;"","")</f>
        <v/>
      </c>
      <c r="G887" s="58">
        <f>IF(H887=1,IF(INDEX(tx_Cust,881)&amp;""&lt;&gt;"",INDEX(tx_Cust,881)&amp;"",INDEX(tx_Vend,881)&amp;""),"")</f>
        <v/>
      </c>
      <c r="H887" s="101">
        <f>IFERROR(N(INDEX(tx_Posted,881)),0)</f>
        <v/>
      </c>
      <c r="I887" s="58">
        <f>IF(H887=1,INDEX(tx_DrAcct,881)&amp;"","")</f>
        <v/>
      </c>
      <c r="J887" s="95">
        <f>IF(H887=1,INDEX(tx_DrAmt,881),0)</f>
        <v/>
      </c>
      <c r="K887" s="58">
        <f>IF(H887=1,INDEX(tx_CrAcct,881)&amp;"","")</f>
        <v/>
      </c>
      <c r="L887" s="95">
        <f>IF(H887=1,INDEX(tx_CrAmt,881),0)</f>
        <v/>
      </c>
      <c r="M887" s="95">
        <f>IF(H887=1,INDEX(tx_TaxDr,881),0)</f>
        <v/>
      </c>
      <c r="N887" s="95">
        <f>IF(H887=1,INDEX(tx_TaxCr,881),0)</f>
        <v/>
      </c>
      <c r="O887" s="101">
        <f>IF(H887=1,IF(E887&lt;FYStart,0,IF(E887&gt;FYEnd,13,YEAR(E887)*12+MONTH(E887)-FYYM+1)),"")</f>
        <v/>
      </c>
      <c r="P887" s="101">
        <f>IF(H887=1,IF(IFERROR(INDEX(coa_CF,MATCH(I887,coa_Name,0)),"")="Cash",1,0),0)</f>
        <v/>
      </c>
      <c r="Q887" s="101">
        <f>IF(H887=1,IF(IFERROR(INDEX(coa_CF,MATCH(K887,coa_Name,0)),"")="Cash",1,0),0)</f>
        <v/>
      </c>
      <c r="R887" s="58">
        <f>IF((P887-Q887)=0,"",IFERROR(INDEX(coa_CF,MATCH(IF((P887-Q887)=1,K887,I887),coa_Name,0)),"Operating"))</f>
        <v/>
      </c>
      <c r="S887" s="95">
        <f>IF((P887-Q887)=1,L887,IF((P887-Q887)=-1,-J887,0))</f>
        <v/>
      </c>
      <c r="T887" s="95">
        <f>IF((P887-Q887)=1,N887,IF((P887-Q887)=-1,-M887,0))</f>
        <v/>
      </c>
      <c r="U887" s="101">
        <f>IF(AND(H887=1,LedAcct&lt;&gt;""),IF(AND(E887&gt;=LedFrom,E887&lt;=LedTo,OR(I887=LedAcct,K887=LedAcct,AND(LedAcct=acctTax,M887+N887&lt;&gt;0))),E887*10000+B887,""),"")</f>
        <v/>
      </c>
    </row>
    <row r="888">
      <c r="B888" s="101" t="n">
        <v>882</v>
      </c>
      <c r="C888" s="58" t="inlineStr">
        <is>
          <t>Transaction</t>
        </is>
      </c>
      <c r="D888" s="58">
        <f>IF(H888=1,INDEX(tx_ID,882)&amp;"","")</f>
        <v/>
      </c>
      <c r="E888" s="94">
        <f>IF(H888=1,INDEX(tx_Date,882),"")</f>
        <v/>
      </c>
      <c r="F888" s="58">
        <f>IF(H888=1,INDEX(tx_Desc,882)&amp;"","")</f>
        <v/>
      </c>
      <c r="G888" s="58">
        <f>IF(H888=1,IF(INDEX(tx_Cust,882)&amp;""&lt;&gt;"",INDEX(tx_Cust,882)&amp;"",INDEX(tx_Vend,882)&amp;""),"")</f>
        <v/>
      </c>
      <c r="H888" s="101">
        <f>IFERROR(N(INDEX(tx_Posted,882)),0)</f>
        <v/>
      </c>
      <c r="I888" s="58">
        <f>IF(H888=1,INDEX(tx_DrAcct,882)&amp;"","")</f>
        <v/>
      </c>
      <c r="J888" s="95">
        <f>IF(H888=1,INDEX(tx_DrAmt,882),0)</f>
        <v/>
      </c>
      <c r="K888" s="58">
        <f>IF(H888=1,INDEX(tx_CrAcct,882)&amp;"","")</f>
        <v/>
      </c>
      <c r="L888" s="95">
        <f>IF(H888=1,INDEX(tx_CrAmt,882),0)</f>
        <v/>
      </c>
      <c r="M888" s="95">
        <f>IF(H888=1,INDEX(tx_TaxDr,882),0)</f>
        <v/>
      </c>
      <c r="N888" s="95">
        <f>IF(H888=1,INDEX(tx_TaxCr,882),0)</f>
        <v/>
      </c>
      <c r="O888" s="101">
        <f>IF(H888=1,IF(E888&lt;FYStart,0,IF(E888&gt;FYEnd,13,YEAR(E888)*12+MONTH(E888)-FYYM+1)),"")</f>
        <v/>
      </c>
      <c r="P888" s="101">
        <f>IF(H888=1,IF(IFERROR(INDEX(coa_CF,MATCH(I888,coa_Name,0)),"")="Cash",1,0),0)</f>
        <v/>
      </c>
      <c r="Q888" s="101">
        <f>IF(H888=1,IF(IFERROR(INDEX(coa_CF,MATCH(K888,coa_Name,0)),"")="Cash",1,0),0)</f>
        <v/>
      </c>
      <c r="R888" s="58">
        <f>IF((P888-Q888)=0,"",IFERROR(INDEX(coa_CF,MATCH(IF((P888-Q888)=1,K888,I888),coa_Name,0)),"Operating"))</f>
        <v/>
      </c>
      <c r="S888" s="95">
        <f>IF((P888-Q888)=1,L888,IF((P888-Q888)=-1,-J888,0))</f>
        <v/>
      </c>
      <c r="T888" s="95">
        <f>IF((P888-Q888)=1,N888,IF((P888-Q888)=-1,-M888,0))</f>
        <v/>
      </c>
      <c r="U888" s="101">
        <f>IF(AND(H888=1,LedAcct&lt;&gt;""),IF(AND(E888&gt;=LedFrom,E888&lt;=LedTo,OR(I888=LedAcct,K888=LedAcct,AND(LedAcct=acctTax,M888+N888&lt;&gt;0))),E888*10000+B888,""),"")</f>
        <v/>
      </c>
    </row>
    <row r="889">
      <c r="B889" s="101" t="n">
        <v>883</v>
      </c>
      <c r="C889" s="58" t="inlineStr">
        <is>
          <t>Transaction</t>
        </is>
      </c>
      <c r="D889" s="58">
        <f>IF(H889=1,INDEX(tx_ID,883)&amp;"","")</f>
        <v/>
      </c>
      <c r="E889" s="94">
        <f>IF(H889=1,INDEX(tx_Date,883),"")</f>
        <v/>
      </c>
      <c r="F889" s="58">
        <f>IF(H889=1,INDEX(tx_Desc,883)&amp;"","")</f>
        <v/>
      </c>
      <c r="G889" s="58">
        <f>IF(H889=1,IF(INDEX(tx_Cust,883)&amp;""&lt;&gt;"",INDEX(tx_Cust,883)&amp;"",INDEX(tx_Vend,883)&amp;""),"")</f>
        <v/>
      </c>
      <c r="H889" s="101">
        <f>IFERROR(N(INDEX(tx_Posted,883)),0)</f>
        <v/>
      </c>
      <c r="I889" s="58">
        <f>IF(H889=1,INDEX(tx_DrAcct,883)&amp;"","")</f>
        <v/>
      </c>
      <c r="J889" s="95">
        <f>IF(H889=1,INDEX(tx_DrAmt,883),0)</f>
        <v/>
      </c>
      <c r="K889" s="58">
        <f>IF(H889=1,INDEX(tx_CrAcct,883)&amp;"","")</f>
        <v/>
      </c>
      <c r="L889" s="95">
        <f>IF(H889=1,INDEX(tx_CrAmt,883),0)</f>
        <v/>
      </c>
      <c r="M889" s="95">
        <f>IF(H889=1,INDEX(tx_TaxDr,883),0)</f>
        <v/>
      </c>
      <c r="N889" s="95">
        <f>IF(H889=1,INDEX(tx_TaxCr,883),0)</f>
        <v/>
      </c>
      <c r="O889" s="101">
        <f>IF(H889=1,IF(E889&lt;FYStart,0,IF(E889&gt;FYEnd,13,YEAR(E889)*12+MONTH(E889)-FYYM+1)),"")</f>
        <v/>
      </c>
      <c r="P889" s="101">
        <f>IF(H889=1,IF(IFERROR(INDEX(coa_CF,MATCH(I889,coa_Name,0)),"")="Cash",1,0),0)</f>
        <v/>
      </c>
      <c r="Q889" s="101">
        <f>IF(H889=1,IF(IFERROR(INDEX(coa_CF,MATCH(K889,coa_Name,0)),"")="Cash",1,0),0)</f>
        <v/>
      </c>
      <c r="R889" s="58">
        <f>IF((P889-Q889)=0,"",IFERROR(INDEX(coa_CF,MATCH(IF((P889-Q889)=1,K889,I889),coa_Name,0)),"Operating"))</f>
        <v/>
      </c>
      <c r="S889" s="95">
        <f>IF((P889-Q889)=1,L889,IF((P889-Q889)=-1,-J889,0))</f>
        <v/>
      </c>
      <c r="T889" s="95">
        <f>IF((P889-Q889)=1,N889,IF((P889-Q889)=-1,-M889,0))</f>
        <v/>
      </c>
      <c r="U889" s="101">
        <f>IF(AND(H889=1,LedAcct&lt;&gt;""),IF(AND(E889&gt;=LedFrom,E889&lt;=LedTo,OR(I889=LedAcct,K889=LedAcct,AND(LedAcct=acctTax,M889+N889&lt;&gt;0))),E889*10000+B889,""),"")</f>
        <v/>
      </c>
    </row>
    <row r="890">
      <c r="B890" s="101" t="n">
        <v>884</v>
      </c>
      <c r="C890" s="58" t="inlineStr">
        <is>
          <t>Transaction</t>
        </is>
      </c>
      <c r="D890" s="58">
        <f>IF(H890=1,INDEX(tx_ID,884)&amp;"","")</f>
        <v/>
      </c>
      <c r="E890" s="94">
        <f>IF(H890=1,INDEX(tx_Date,884),"")</f>
        <v/>
      </c>
      <c r="F890" s="58">
        <f>IF(H890=1,INDEX(tx_Desc,884)&amp;"","")</f>
        <v/>
      </c>
      <c r="G890" s="58">
        <f>IF(H890=1,IF(INDEX(tx_Cust,884)&amp;""&lt;&gt;"",INDEX(tx_Cust,884)&amp;"",INDEX(tx_Vend,884)&amp;""),"")</f>
        <v/>
      </c>
      <c r="H890" s="101">
        <f>IFERROR(N(INDEX(tx_Posted,884)),0)</f>
        <v/>
      </c>
      <c r="I890" s="58">
        <f>IF(H890=1,INDEX(tx_DrAcct,884)&amp;"","")</f>
        <v/>
      </c>
      <c r="J890" s="95">
        <f>IF(H890=1,INDEX(tx_DrAmt,884),0)</f>
        <v/>
      </c>
      <c r="K890" s="58">
        <f>IF(H890=1,INDEX(tx_CrAcct,884)&amp;"","")</f>
        <v/>
      </c>
      <c r="L890" s="95">
        <f>IF(H890=1,INDEX(tx_CrAmt,884),0)</f>
        <v/>
      </c>
      <c r="M890" s="95">
        <f>IF(H890=1,INDEX(tx_TaxDr,884),0)</f>
        <v/>
      </c>
      <c r="N890" s="95">
        <f>IF(H890=1,INDEX(tx_TaxCr,884),0)</f>
        <v/>
      </c>
      <c r="O890" s="101">
        <f>IF(H890=1,IF(E890&lt;FYStart,0,IF(E890&gt;FYEnd,13,YEAR(E890)*12+MONTH(E890)-FYYM+1)),"")</f>
        <v/>
      </c>
      <c r="P890" s="101">
        <f>IF(H890=1,IF(IFERROR(INDEX(coa_CF,MATCH(I890,coa_Name,0)),"")="Cash",1,0),0)</f>
        <v/>
      </c>
      <c r="Q890" s="101">
        <f>IF(H890=1,IF(IFERROR(INDEX(coa_CF,MATCH(K890,coa_Name,0)),"")="Cash",1,0),0)</f>
        <v/>
      </c>
      <c r="R890" s="58">
        <f>IF((P890-Q890)=0,"",IFERROR(INDEX(coa_CF,MATCH(IF((P890-Q890)=1,K890,I890),coa_Name,0)),"Operating"))</f>
        <v/>
      </c>
      <c r="S890" s="95">
        <f>IF((P890-Q890)=1,L890,IF((P890-Q890)=-1,-J890,0))</f>
        <v/>
      </c>
      <c r="T890" s="95">
        <f>IF((P890-Q890)=1,N890,IF((P890-Q890)=-1,-M890,0))</f>
        <v/>
      </c>
      <c r="U890" s="101">
        <f>IF(AND(H890=1,LedAcct&lt;&gt;""),IF(AND(E890&gt;=LedFrom,E890&lt;=LedTo,OR(I890=LedAcct,K890=LedAcct,AND(LedAcct=acctTax,M890+N890&lt;&gt;0))),E890*10000+B890,""),"")</f>
        <v/>
      </c>
    </row>
    <row r="891">
      <c r="B891" s="101" t="n">
        <v>885</v>
      </c>
      <c r="C891" s="58" t="inlineStr">
        <is>
          <t>Transaction</t>
        </is>
      </c>
      <c r="D891" s="58">
        <f>IF(H891=1,INDEX(tx_ID,885)&amp;"","")</f>
        <v/>
      </c>
      <c r="E891" s="94">
        <f>IF(H891=1,INDEX(tx_Date,885),"")</f>
        <v/>
      </c>
      <c r="F891" s="58">
        <f>IF(H891=1,INDEX(tx_Desc,885)&amp;"","")</f>
        <v/>
      </c>
      <c r="G891" s="58">
        <f>IF(H891=1,IF(INDEX(tx_Cust,885)&amp;""&lt;&gt;"",INDEX(tx_Cust,885)&amp;"",INDEX(tx_Vend,885)&amp;""),"")</f>
        <v/>
      </c>
      <c r="H891" s="101">
        <f>IFERROR(N(INDEX(tx_Posted,885)),0)</f>
        <v/>
      </c>
      <c r="I891" s="58">
        <f>IF(H891=1,INDEX(tx_DrAcct,885)&amp;"","")</f>
        <v/>
      </c>
      <c r="J891" s="95">
        <f>IF(H891=1,INDEX(tx_DrAmt,885),0)</f>
        <v/>
      </c>
      <c r="K891" s="58">
        <f>IF(H891=1,INDEX(tx_CrAcct,885)&amp;"","")</f>
        <v/>
      </c>
      <c r="L891" s="95">
        <f>IF(H891=1,INDEX(tx_CrAmt,885),0)</f>
        <v/>
      </c>
      <c r="M891" s="95">
        <f>IF(H891=1,INDEX(tx_TaxDr,885),0)</f>
        <v/>
      </c>
      <c r="N891" s="95">
        <f>IF(H891=1,INDEX(tx_TaxCr,885),0)</f>
        <v/>
      </c>
      <c r="O891" s="101">
        <f>IF(H891=1,IF(E891&lt;FYStart,0,IF(E891&gt;FYEnd,13,YEAR(E891)*12+MONTH(E891)-FYYM+1)),"")</f>
        <v/>
      </c>
      <c r="P891" s="101">
        <f>IF(H891=1,IF(IFERROR(INDEX(coa_CF,MATCH(I891,coa_Name,0)),"")="Cash",1,0),0)</f>
        <v/>
      </c>
      <c r="Q891" s="101">
        <f>IF(H891=1,IF(IFERROR(INDEX(coa_CF,MATCH(K891,coa_Name,0)),"")="Cash",1,0),0)</f>
        <v/>
      </c>
      <c r="R891" s="58">
        <f>IF((P891-Q891)=0,"",IFERROR(INDEX(coa_CF,MATCH(IF((P891-Q891)=1,K891,I891),coa_Name,0)),"Operating"))</f>
        <v/>
      </c>
      <c r="S891" s="95">
        <f>IF((P891-Q891)=1,L891,IF((P891-Q891)=-1,-J891,0))</f>
        <v/>
      </c>
      <c r="T891" s="95">
        <f>IF((P891-Q891)=1,N891,IF((P891-Q891)=-1,-M891,0))</f>
        <v/>
      </c>
      <c r="U891" s="101">
        <f>IF(AND(H891=1,LedAcct&lt;&gt;""),IF(AND(E891&gt;=LedFrom,E891&lt;=LedTo,OR(I891=LedAcct,K891=LedAcct,AND(LedAcct=acctTax,M891+N891&lt;&gt;0))),E891*10000+B891,""),"")</f>
        <v/>
      </c>
    </row>
    <row r="892">
      <c r="B892" s="101" t="n">
        <v>886</v>
      </c>
      <c r="C892" s="58" t="inlineStr">
        <is>
          <t>Transaction</t>
        </is>
      </c>
      <c r="D892" s="58">
        <f>IF(H892=1,INDEX(tx_ID,886)&amp;"","")</f>
        <v/>
      </c>
      <c r="E892" s="94">
        <f>IF(H892=1,INDEX(tx_Date,886),"")</f>
        <v/>
      </c>
      <c r="F892" s="58">
        <f>IF(H892=1,INDEX(tx_Desc,886)&amp;"","")</f>
        <v/>
      </c>
      <c r="G892" s="58">
        <f>IF(H892=1,IF(INDEX(tx_Cust,886)&amp;""&lt;&gt;"",INDEX(tx_Cust,886)&amp;"",INDEX(tx_Vend,886)&amp;""),"")</f>
        <v/>
      </c>
      <c r="H892" s="101">
        <f>IFERROR(N(INDEX(tx_Posted,886)),0)</f>
        <v/>
      </c>
      <c r="I892" s="58">
        <f>IF(H892=1,INDEX(tx_DrAcct,886)&amp;"","")</f>
        <v/>
      </c>
      <c r="J892" s="95">
        <f>IF(H892=1,INDEX(tx_DrAmt,886),0)</f>
        <v/>
      </c>
      <c r="K892" s="58">
        <f>IF(H892=1,INDEX(tx_CrAcct,886)&amp;"","")</f>
        <v/>
      </c>
      <c r="L892" s="95">
        <f>IF(H892=1,INDEX(tx_CrAmt,886),0)</f>
        <v/>
      </c>
      <c r="M892" s="95">
        <f>IF(H892=1,INDEX(tx_TaxDr,886),0)</f>
        <v/>
      </c>
      <c r="N892" s="95">
        <f>IF(H892=1,INDEX(tx_TaxCr,886),0)</f>
        <v/>
      </c>
      <c r="O892" s="101">
        <f>IF(H892=1,IF(E892&lt;FYStart,0,IF(E892&gt;FYEnd,13,YEAR(E892)*12+MONTH(E892)-FYYM+1)),"")</f>
        <v/>
      </c>
      <c r="P892" s="101">
        <f>IF(H892=1,IF(IFERROR(INDEX(coa_CF,MATCH(I892,coa_Name,0)),"")="Cash",1,0),0)</f>
        <v/>
      </c>
      <c r="Q892" s="101">
        <f>IF(H892=1,IF(IFERROR(INDEX(coa_CF,MATCH(K892,coa_Name,0)),"")="Cash",1,0),0)</f>
        <v/>
      </c>
      <c r="R892" s="58">
        <f>IF((P892-Q892)=0,"",IFERROR(INDEX(coa_CF,MATCH(IF((P892-Q892)=1,K892,I892),coa_Name,0)),"Operating"))</f>
        <v/>
      </c>
      <c r="S892" s="95">
        <f>IF((P892-Q892)=1,L892,IF((P892-Q892)=-1,-J892,0))</f>
        <v/>
      </c>
      <c r="T892" s="95">
        <f>IF((P892-Q892)=1,N892,IF((P892-Q892)=-1,-M892,0))</f>
        <v/>
      </c>
      <c r="U892" s="101">
        <f>IF(AND(H892=1,LedAcct&lt;&gt;""),IF(AND(E892&gt;=LedFrom,E892&lt;=LedTo,OR(I892=LedAcct,K892=LedAcct,AND(LedAcct=acctTax,M892+N892&lt;&gt;0))),E892*10000+B892,""),"")</f>
        <v/>
      </c>
    </row>
    <row r="893">
      <c r="B893" s="101" t="n">
        <v>887</v>
      </c>
      <c r="C893" s="58" t="inlineStr">
        <is>
          <t>Transaction</t>
        </is>
      </c>
      <c r="D893" s="58">
        <f>IF(H893=1,INDEX(tx_ID,887)&amp;"","")</f>
        <v/>
      </c>
      <c r="E893" s="94">
        <f>IF(H893=1,INDEX(tx_Date,887),"")</f>
        <v/>
      </c>
      <c r="F893" s="58">
        <f>IF(H893=1,INDEX(tx_Desc,887)&amp;"","")</f>
        <v/>
      </c>
      <c r="G893" s="58">
        <f>IF(H893=1,IF(INDEX(tx_Cust,887)&amp;""&lt;&gt;"",INDEX(tx_Cust,887)&amp;"",INDEX(tx_Vend,887)&amp;""),"")</f>
        <v/>
      </c>
      <c r="H893" s="101">
        <f>IFERROR(N(INDEX(tx_Posted,887)),0)</f>
        <v/>
      </c>
      <c r="I893" s="58">
        <f>IF(H893=1,INDEX(tx_DrAcct,887)&amp;"","")</f>
        <v/>
      </c>
      <c r="J893" s="95">
        <f>IF(H893=1,INDEX(tx_DrAmt,887),0)</f>
        <v/>
      </c>
      <c r="K893" s="58">
        <f>IF(H893=1,INDEX(tx_CrAcct,887)&amp;"","")</f>
        <v/>
      </c>
      <c r="L893" s="95">
        <f>IF(H893=1,INDEX(tx_CrAmt,887),0)</f>
        <v/>
      </c>
      <c r="M893" s="95">
        <f>IF(H893=1,INDEX(tx_TaxDr,887),0)</f>
        <v/>
      </c>
      <c r="N893" s="95">
        <f>IF(H893=1,INDEX(tx_TaxCr,887),0)</f>
        <v/>
      </c>
      <c r="O893" s="101">
        <f>IF(H893=1,IF(E893&lt;FYStart,0,IF(E893&gt;FYEnd,13,YEAR(E893)*12+MONTH(E893)-FYYM+1)),"")</f>
        <v/>
      </c>
      <c r="P893" s="101">
        <f>IF(H893=1,IF(IFERROR(INDEX(coa_CF,MATCH(I893,coa_Name,0)),"")="Cash",1,0),0)</f>
        <v/>
      </c>
      <c r="Q893" s="101">
        <f>IF(H893=1,IF(IFERROR(INDEX(coa_CF,MATCH(K893,coa_Name,0)),"")="Cash",1,0),0)</f>
        <v/>
      </c>
      <c r="R893" s="58">
        <f>IF((P893-Q893)=0,"",IFERROR(INDEX(coa_CF,MATCH(IF((P893-Q893)=1,K893,I893),coa_Name,0)),"Operating"))</f>
        <v/>
      </c>
      <c r="S893" s="95">
        <f>IF((P893-Q893)=1,L893,IF((P893-Q893)=-1,-J893,0))</f>
        <v/>
      </c>
      <c r="T893" s="95">
        <f>IF((P893-Q893)=1,N893,IF((P893-Q893)=-1,-M893,0))</f>
        <v/>
      </c>
      <c r="U893" s="101">
        <f>IF(AND(H893=1,LedAcct&lt;&gt;""),IF(AND(E893&gt;=LedFrom,E893&lt;=LedTo,OR(I893=LedAcct,K893=LedAcct,AND(LedAcct=acctTax,M893+N893&lt;&gt;0))),E893*10000+B893,""),"")</f>
        <v/>
      </c>
    </row>
    <row r="894">
      <c r="B894" s="101" t="n">
        <v>888</v>
      </c>
      <c r="C894" s="58" t="inlineStr">
        <is>
          <t>Transaction</t>
        </is>
      </c>
      <c r="D894" s="58">
        <f>IF(H894=1,INDEX(tx_ID,888)&amp;"","")</f>
        <v/>
      </c>
      <c r="E894" s="94">
        <f>IF(H894=1,INDEX(tx_Date,888),"")</f>
        <v/>
      </c>
      <c r="F894" s="58">
        <f>IF(H894=1,INDEX(tx_Desc,888)&amp;"","")</f>
        <v/>
      </c>
      <c r="G894" s="58">
        <f>IF(H894=1,IF(INDEX(tx_Cust,888)&amp;""&lt;&gt;"",INDEX(tx_Cust,888)&amp;"",INDEX(tx_Vend,888)&amp;""),"")</f>
        <v/>
      </c>
      <c r="H894" s="101">
        <f>IFERROR(N(INDEX(tx_Posted,888)),0)</f>
        <v/>
      </c>
      <c r="I894" s="58">
        <f>IF(H894=1,INDEX(tx_DrAcct,888)&amp;"","")</f>
        <v/>
      </c>
      <c r="J894" s="95">
        <f>IF(H894=1,INDEX(tx_DrAmt,888),0)</f>
        <v/>
      </c>
      <c r="K894" s="58">
        <f>IF(H894=1,INDEX(tx_CrAcct,888)&amp;"","")</f>
        <v/>
      </c>
      <c r="L894" s="95">
        <f>IF(H894=1,INDEX(tx_CrAmt,888),0)</f>
        <v/>
      </c>
      <c r="M894" s="95">
        <f>IF(H894=1,INDEX(tx_TaxDr,888),0)</f>
        <v/>
      </c>
      <c r="N894" s="95">
        <f>IF(H894=1,INDEX(tx_TaxCr,888),0)</f>
        <v/>
      </c>
      <c r="O894" s="101">
        <f>IF(H894=1,IF(E894&lt;FYStart,0,IF(E894&gt;FYEnd,13,YEAR(E894)*12+MONTH(E894)-FYYM+1)),"")</f>
        <v/>
      </c>
      <c r="P894" s="101">
        <f>IF(H894=1,IF(IFERROR(INDEX(coa_CF,MATCH(I894,coa_Name,0)),"")="Cash",1,0),0)</f>
        <v/>
      </c>
      <c r="Q894" s="101">
        <f>IF(H894=1,IF(IFERROR(INDEX(coa_CF,MATCH(K894,coa_Name,0)),"")="Cash",1,0),0)</f>
        <v/>
      </c>
      <c r="R894" s="58">
        <f>IF((P894-Q894)=0,"",IFERROR(INDEX(coa_CF,MATCH(IF((P894-Q894)=1,K894,I894),coa_Name,0)),"Operating"))</f>
        <v/>
      </c>
      <c r="S894" s="95">
        <f>IF((P894-Q894)=1,L894,IF((P894-Q894)=-1,-J894,0))</f>
        <v/>
      </c>
      <c r="T894" s="95">
        <f>IF((P894-Q894)=1,N894,IF((P894-Q894)=-1,-M894,0))</f>
        <v/>
      </c>
      <c r="U894" s="101">
        <f>IF(AND(H894=1,LedAcct&lt;&gt;""),IF(AND(E894&gt;=LedFrom,E894&lt;=LedTo,OR(I894=LedAcct,K894=LedAcct,AND(LedAcct=acctTax,M894+N894&lt;&gt;0))),E894*10000+B894,""),"")</f>
        <v/>
      </c>
    </row>
    <row r="895">
      <c r="B895" s="101" t="n">
        <v>889</v>
      </c>
      <c r="C895" s="58" t="inlineStr">
        <is>
          <t>Transaction</t>
        </is>
      </c>
      <c r="D895" s="58">
        <f>IF(H895=1,INDEX(tx_ID,889)&amp;"","")</f>
        <v/>
      </c>
      <c r="E895" s="94">
        <f>IF(H895=1,INDEX(tx_Date,889),"")</f>
        <v/>
      </c>
      <c r="F895" s="58">
        <f>IF(H895=1,INDEX(tx_Desc,889)&amp;"","")</f>
        <v/>
      </c>
      <c r="G895" s="58">
        <f>IF(H895=1,IF(INDEX(tx_Cust,889)&amp;""&lt;&gt;"",INDEX(tx_Cust,889)&amp;"",INDEX(tx_Vend,889)&amp;""),"")</f>
        <v/>
      </c>
      <c r="H895" s="101">
        <f>IFERROR(N(INDEX(tx_Posted,889)),0)</f>
        <v/>
      </c>
      <c r="I895" s="58">
        <f>IF(H895=1,INDEX(tx_DrAcct,889)&amp;"","")</f>
        <v/>
      </c>
      <c r="J895" s="95">
        <f>IF(H895=1,INDEX(tx_DrAmt,889),0)</f>
        <v/>
      </c>
      <c r="K895" s="58">
        <f>IF(H895=1,INDEX(tx_CrAcct,889)&amp;"","")</f>
        <v/>
      </c>
      <c r="L895" s="95">
        <f>IF(H895=1,INDEX(tx_CrAmt,889),0)</f>
        <v/>
      </c>
      <c r="M895" s="95">
        <f>IF(H895=1,INDEX(tx_TaxDr,889),0)</f>
        <v/>
      </c>
      <c r="N895" s="95">
        <f>IF(H895=1,INDEX(tx_TaxCr,889),0)</f>
        <v/>
      </c>
      <c r="O895" s="101">
        <f>IF(H895=1,IF(E895&lt;FYStart,0,IF(E895&gt;FYEnd,13,YEAR(E895)*12+MONTH(E895)-FYYM+1)),"")</f>
        <v/>
      </c>
      <c r="P895" s="101">
        <f>IF(H895=1,IF(IFERROR(INDEX(coa_CF,MATCH(I895,coa_Name,0)),"")="Cash",1,0),0)</f>
        <v/>
      </c>
      <c r="Q895" s="101">
        <f>IF(H895=1,IF(IFERROR(INDEX(coa_CF,MATCH(K895,coa_Name,0)),"")="Cash",1,0),0)</f>
        <v/>
      </c>
      <c r="R895" s="58">
        <f>IF((P895-Q895)=0,"",IFERROR(INDEX(coa_CF,MATCH(IF((P895-Q895)=1,K895,I895),coa_Name,0)),"Operating"))</f>
        <v/>
      </c>
      <c r="S895" s="95">
        <f>IF((P895-Q895)=1,L895,IF((P895-Q895)=-1,-J895,0))</f>
        <v/>
      </c>
      <c r="T895" s="95">
        <f>IF((P895-Q895)=1,N895,IF((P895-Q895)=-1,-M895,0))</f>
        <v/>
      </c>
      <c r="U895" s="101">
        <f>IF(AND(H895=1,LedAcct&lt;&gt;""),IF(AND(E895&gt;=LedFrom,E895&lt;=LedTo,OR(I895=LedAcct,K895=LedAcct,AND(LedAcct=acctTax,M895+N895&lt;&gt;0))),E895*10000+B895,""),"")</f>
        <v/>
      </c>
    </row>
    <row r="896">
      <c r="B896" s="101" t="n">
        <v>890</v>
      </c>
      <c r="C896" s="58" t="inlineStr">
        <is>
          <t>Transaction</t>
        </is>
      </c>
      <c r="D896" s="58">
        <f>IF(H896=1,INDEX(tx_ID,890)&amp;"","")</f>
        <v/>
      </c>
      <c r="E896" s="94">
        <f>IF(H896=1,INDEX(tx_Date,890),"")</f>
        <v/>
      </c>
      <c r="F896" s="58">
        <f>IF(H896=1,INDEX(tx_Desc,890)&amp;"","")</f>
        <v/>
      </c>
      <c r="G896" s="58">
        <f>IF(H896=1,IF(INDEX(tx_Cust,890)&amp;""&lt;&gt;"",INDEX(tx_Cust,890)&amp;"",INDEX(tx_Vend,890)&amp;""),"")</f>
        <v/>
      </c>
      <c r="H896" s="101">
        <f>IFERROR(N(INDEX(tx_Posted,890)),0)</f>
        <v/>
      </c>
      <c r="I896" s="58">
        <f>IF(H896=1,INDEX(tx_DrAcct,890)&amp;"","")</f>
        <v/>
      </c>
      <c r="J896" s="95">
        <f>IF(H896=1,INDEX(tx_DrAmt,890),0)</f>
        <v/>
      </c>
      <c r="K896" s="58">
        <f>IF(H896=1,INDEX(tx_CrAcct,890)&amp;"","")</f>
        <v/>
      </c>
      <c r="L896" s="95">
        <f>IF(H896=1,INDEX(tx_CrAmt,890),0)</f>
        <v/>
      </c>
      <c r="M896" s="95">
        <f>IF(H896=1,INDEX(tx_TaxDr,890),0)</f>
        <v/>
      </c>
      <c r="N896" s="95">
        <f>IF(H896=1,INDEX(tx_TaxCr,890),0)</f>
        <v/>
      </c>
      <c r="O896" s="101">
        <f>IF(H896=1,IF(E896&lt;FYStart,0,IF(E896&gt;FYEnd,13,YEAR(E896)*12+MONTH(E896)-FYYM+1)),"")</f>
        <v/>
      </c>
      <c r="P896" s="101">
        <f>IF(H896=1,IF(IFERROR(INDEX(coa_CF,MATCH(I896,coa_Name,0)),"")="Cash",1,0),0)</f>
        <v/>
      </c>
      <c r="Q896" s="101">
        <f>IF(H896=1,IF(IFERROR(INDEX(coa_CF,MATCH(K896,coa_Name,0)),"")="Cash",1,0),0)</f>
        <v/>
      </c>
      <c r="R896" s="58">
        <f>IF((P896-Q896)=0,"",IFERROR(INDEX(coa_CF,MATCH(IF((P896-Q896)=1,K896,I896),coa_Name,0)),"Operating"))</f>
        <v/>
      </c>
      <c r="S896" s="95">
        <f>IF((P896-Q896)=1,L896,IF((P896-Q896)=-1,-J896,0))</f>
        <v/>
      </c>
      <c r="T896" s="95">
        <f>IF((P896-Q896)=1,N896,IF((P896-Q896)=-1,-M896,0))</f>
        <v/>
      </c>
      <c r="U896" s="101">
        <f>IF(AND(H896=1,LedAcct&lt;&gt;""),IF(AND(E896&gt;=LedFrom,E896&lt;=LedTo,OR(I896=LedAcct,K896=LedAcct,AND(LedAcct=acctTax,M896+N896&lt;&gt;0))),E896*10000+B896,""),"")</f>
        <v/>
      </c>
    </row>
    <row r="897">
      <c r="B897" s="101" t="n">
        <v>891</v>
      </c>
      <c r="C897" s="58" t="inlineStr">
        <is>
          <t>Transaction</t>
        </is>
      </c>
      <c r="D897" s="58">
        <f>IF(H897=1,INDEX(tx_ID,891)&amp;"","")</f>
        <v/>
      </c>
      <c r="E897" s="94">
        <f>IF(H897=1,INDEX(tx_Date,891),"")</f>
        <v/>
      </c>
      <c r="F897" s="58">
        <f>IF(H897=1,INDEX(tx_Desc,891)&amp;"","")</f>
        <v/>
      </c>
      <c r="G897" s="58">
        <f>IF(H897=1,IF(INDEX(tx_Cust,891)&amp;""&lt;&gt;"",INDEX(tx_Cust,891)&amp;"",INDEX(tx_Vend,891)&amp;""),"")</f>
        <v/>
      </c>
      <c r="H897" s="101">
        <f>IFERROR(N(INDEX(tx_Posted,891)),0)</f>
        <v/>
      </c>
      <c r="I897" s="58">
        <f>IF(H897=1,INDEX(tx_DrAcct,891)&amp;"","")</f>
        <v/>
      </c>
      <c r="J897" s="95">
        <f>IF(H897=1,INDEX(tx_DrAmt,891),0)</f>
        <v/>
      </c>
      <c r="K897" s="58">
        <f>IF(H897=1,INDEX(tx_CrAcct,891)&amp;"","")</f>
        <v/>
      </c>
      <c r="L897" s="95">
        <f>IF(H897=1,INDEX(tx_CrAmt,891),0)</f>
        <v/>
      </c>
      <c r="M897" s="95">
        <f>IF(H897=1,INDEX(tx_TaxDr,891),0)</f>
        <v/>
      </c>
      <c r="N897" s="95">
        <f>IF(H897=1,INDEX(tx_TaxCr,891),0)</f>
        <v/>
      </c>
      <c r="O897" s="101">
        <f>IF(H897=1,IF(E897&lt;FYStart,0,IF(E897&gt;FYEnd,13,YEAR(E897)*12+MONTH(E897)-FYYM+1)),"")</f>
        <v/>
      </c>
      <c r="P897" s="101">
        <f>IF(H897=1,IF(IFERROR(INDEX(coa_CF,MATCH(I897,coa_Name,0)),"")="Cash",1,0),0)</f>
        <v/>
      </c>
      <c r="Q897" s="101">
        <f>IF(H897=1,IF(IFERROR(INDEX(coa_CF,MATCH(K897,coa_Name,0)),"")="Cash",1,0),0)</f>
        <v/>
      </c>
      <c r="R897" s="58">
        <f>IF((P897-Q897)=0,"",IFERROR(INDEX(coa_CF,MATCH(IF((P897-Q897)=1,K897,I897),coa_Name,0)),"Operating"))</f>
        <v/>
      </c>
      <c r="S897" s="95">
        <f>IF((P897-Q897)=1,L897,IF((P897-Q897)=-1,-J897,0))</f>
        <v/>
      </c>
      <c r="T897" s="95">
        <f>IF((P897-Q897)=1,N897,IF((P897-Q897)=-1,-M897,0))</f>
        <v/>
      </c>
      <c r="U897" s="101">
        <f>IF(AND(H897=1,LedAcct&lt;&gt;""),IF(AND(E897&gt;=LedFrom,E897&lt;=LedTo,OR(I897=LedAcct,K897=LedAcct,AND(LedAcct=acctTax,M897+N897&lt;&gt;0))),E897*10000+B897,""),"")</f>
        <v/>
      </c>
    </row>
    <row r="898">
      <c r="B898" s="101" t="n">
        <v>892</v>
      </c>
      <c r="C898" s="58" t="inlineStr">
        <is>
          <t>Transaction</t>
        </is>
      </c>
      <c r="D898" s="58">
        <f>IF(H898=1,INDEX(tx_ID,892)&amp;"","")</f>
        <v/>
      </c>
      <c r="E898" s="94">
        <f>IF(H898=1,INDEX(tx_Date,892),"")</f>
        <v/>
      </c>
      <c r="F898" s="58">
        <f>IF(H898=1,INDEX(tx_Desc,892)&amp;"","")</f>
        <v/>
      </c>
      <c r="G898" s="58">
        <f>IF(H898=1,IF(INDEX(tx_Cust,892)&amp;""&lt;&gt;"",INDEX(tx_Cust,892)&amp;"",INDEX(tx_Vend,892)&amp;""),"")</f>
        <v/>
      </c>
      <c r="H898" s="101">
        <f>IFERROR(N(INDEX(tx_Posted,892)),0)</f>
        <v/>
      </c>
      <c r="I898" s="58">
        <f>IF(H898=1,INDEX(tx_DrAcct,892)&amp;"","")</f>
        <v/>
      </c>
      <c r="J898" s="95">
        <f>IF(H898=1,INDEX(tx_DrAmt,892),0)</f>
        <v/>
      </c>
      <c r="K898" s="58">
        <f>IF(H898=1,INDEX(tx_CrAcct,892)&amp;"","")</f>
        <v/>
      </c>
      <c r="L898" s="95">
        <f>IF(H898=1,INDEX(tx_CrAmt,892),0)</f>
        <v/>
      </c>
      <c r="M898" s="95">
        <f>IF(H898=1,INDEX(tx_TaxDr,892),0)</f>
        <v/>
      </c>
      <c r="N898" s="95">
        <f>IF(H898=1,INDEX(tx_TaxCr,892),0)</f>
        <v/>
      </c>
      <c r="O898" s="101">
        <f>IF(H898=1,IF(E898&lt;FYStart,0,IF(E898&gt;FYEnd,13,YEAR(E898)*12+MONTH(E898)-FYYM+1)),"")</f>
        <v/>
      </c>
      <c r="P898" s="101">
        <f>IF(H898=1,IF(IFERROR(INDEX(coa_CF,MATCH(I898,coa_Name,0)),"")="Cash",1,0),0)</f>
        <v/>
      </c>
      <c r="Q898" s="101">
        <f>IF(H898=1,IF(IFERROR(INDEX(coa_CF,MATCH(K898,coa_Name,0)),"")="Cash",1,0),0)</f>
        <v/>
      </c>
      <c r="R898" s="58">
        <f>IF((P898-Q898)=0,"",IFERROR(INDEX(coa_CF,MATCH(IF((P898-Q898)=1,K898,I898),coa_Name,0)),"Operating"))</f>
        <v/>
      </c>
      <c r="S898" s="95">
        <f>IF((P898-Q898)=1,L898,IF((P898-Q898)=-1,-J898,0))</f>
        <v/>
      </c>
      <c r="T898" s="95">
        <f>IF((P898-Q898)=1,N898,IF((P898-Q898)=-1,-M898,0))</f>
        <v/>
      </c>
      <c r="U898" s="101">
        <f>IF(AND(H898=1,LedAcct&lt;&gt;""),IF(AND(E898&gt;=LedFrom,E898&lt;=LedTo,OR(I898=LedAcct,K898=LedAcct,AND(LedAcct=acctTax,M898+N898&lt;&gt;0))),E898*10000+B898,""),"")</f>
        <v/>
      </c>
    </row>
    <row r="899">
      <c r="B899" s="101" t="n">
        <v>893</v>
      </c>
      <c r="C899" s="58" t="inlineStr">
        <is>
          <t>Transaction</t>
        </is>
      </c>
      <c r="D899" s="58">
        <f>IF(H899=1,INDEX(tx_ID,893)&amp;"","")</f>
        <v/>
      </c>
      <c r="E899" s="94">
        <f>IF(H899=1,INDEX(tx_Date,893),"")</f>
        <v/>
      </c>
      <c r="F899" s="58">
        <f>IF(H899=1,INDEX(tx_Desc,893)&amp;"","")</f>
        <v/>
      </c>
      <c r="G899" s="58">
        <f>IF(H899=1,IF(INDEX(tx_Cust,893)&amp;""&lt;&gt;"",INDEX(tx_Cust,893)&amp;"",INDEX(tx_Vend,893)&amp;""),"")</f>
        <v/>
      </c>
      <c r="H899" s="101">
        <f>IFERROR(N(INDEX(tx_Posted,893)),0)</f>
        <v/>
      </c>
      <c r="I899" s="58">
        <f>IF(H899=1,INDEX(tx_DrAcct,893)&amp;"","")</f>
        <v/>
      </c>
      <c r="J899" s="95">
        <f>IF(H899=1,INDEX(tx_DrAmt,893),0)</f>
        <v/>
      </c>
      <c r="K899" s="58">
        <f>IF(H899=1,INDEX(tx_CrAcct,893)&amp;"","")</f>
        <v/>
      </c>
      <c r="L899" s="95">
        <f>IF(H899=1,INDEX(tx_CrAmt,893),0)</f>
        <v/>
      </c>
      <c r="M899" s="95">
        <f>IF(H899=1,INDEX(tx_TaxDr,893),0)</f>
        <v/>
      </c>
      <c r="N899" s="95">
        <f>IF(H899=1,INDEX(tx_TaxCr,893),0)</f>
        <v/>
      </c>
      <c r="O899" s="101">
        <f>IF(H899=1,IF(E899&lt;FYStart,0,IF(E899&gt;FYEnd,13,YEAR(E899)*12+MONTH(E899)-FYYM+1)),"")</f>
        <v/>
      </c>
      <c r="P899" s="101">
        <f>IF(H899=1,IF(IFERROR(INDEX(coa_CF,MATCH(I899,coa_Name,0)),"")="Cash",1,0),0)</f>
        <v/>
      </c>
      <c r="Q899" s="101">
        <f>IF(H899=1,IF(IFERROR(INDEX(coa_CF,MATCH(K899,coa_Name,0)),"")="Cash",1,0),0)</f>
        <v/>
      </c>
      <c r="R899" s="58">
        <f>IF((P899-Q899)=0,"",IFERROR(INDEX(coa_CF,MATCH(IF((P899-Q899)=1,K899,I899),coa_Name,0)),"Operating"))</f>
        <v/>
      </c>
      <c r="S899" s="95">
        <f>IF((P899-Q899)=1,L899,IF((P899-Q899)=-1,-J899,0))</f>
        <v/>
      </c>
      <c r="T899" s="95">
        <f>IF((P899-Q899)=1,N899,IF((P899-Q899)=-1,-M899,0))</f>
        <v/>
      </c>
      <c r="U899" s="101">
        <f>IF(AND(H899=1,LedAcct&lt;&gt;""),IF(AND(E899&gt;=LedFrom,E899&lt;=LedTo,OR(I899=LedAcct,K899=LedAcct,AND(LedAcct=acctTax,M899+N899&lt;&gt;0))),E899*10000+B899,""),"")</f>
        <v/>
      </c>
    </row>
    <row r="900">
      <c r="B900" s="101" t="n">
        <v>894</v>
      </c>
      <c r="C900" s="58" t="inlineStr">
        <is>
          <t>Transaction</t>
        </is>
      </c>
      <c r="D900" s="58">
        <f>IF(H900=1,INDEX(tx_ID,894)&amp;"","")</f>
        <v/>
      </c>
      <c r="E900" s="94">
        <f>IF(H900=1,INDEX(tx_Date,894),"")</f>
        <v/>
      </c>
      <c r="F900" s="58">
        <f>IF(H900=1,INDEX(tx_Desc,894)&amp;"","")</f>
        <v/>
      </c>
      <c r="G900" s="58">
        <f>IF(H900=1,IF(INDEX(tx_Cust,894)&amp;""&lt;&gt;"",INDEX(tx_Cust,894)&amp;"",INDEX(tx_Vend,894)&amp;""),"")</f>
        <v/>
      </c>
      <c r="H900" s="101">
        <f>IFERROR(N(INDEX(tx_Posted,894)),0)</f>
        <v/>
      </c>
      <c r="I900" s="58">
        <f>IF(H900=1,INDEX(tx_DrAcct,894)&amp;"","")</f>
        <v/>
      </c>
      <c r="J900" s="95">
        <f>IF(H900=1,INDEX(tx_DrAmt,894),0)</f>
        <v/>
      </c>
      <c r="K900" s="58">
        <f>IF(H900=1,INDEX(tx_CrAcct,894)&amp;"","")</f>
        <v/>
      </c>
      <c r="L900" s="95">
        <f>IF(H900=1,INDEX(tx_CrAmt,894),0)</f>
        <v/>
      </c>
      <c r="M900" s="95">
        <f>IF(H900=1,INDEX(tx_TaxDr,894),0)</f>
        <v/>
      </c>
      <c r="N900" s="95">
        <f>IF(H900=1,INDEX(tx_TaxCr,894),0)</f>
        <v/>
      </c>
      <c r="O900" s="101">
        <f>IF(H900=1,IF(E900&lt;FYStart,0,IF(E900&gt;FYEnd,13,YEAR(E900)*12+MONTH(E900)-FYYM+1)),"")</f>
        <v/>
      </c>
      <c r="P900" s="101">
        <f>IF(H900=1,IF(IFERROR(INDEX(coa_CF,MATCH(I900,coa_Name,0)),"")="Cash",1,0),0)</f>
        <v/>
      </c>
      <c r="Q900" s="101">
        <f>IF(H900=1,IF(IFERROR(INDEX(coa_CF,MATCH(K900,coa_Name,0)),"")="Cash",1,0),0)</f>
        <v/>
      </c>
      <c r="R900" s="58">
        <f>IF((P900-Q900)=0,"",IFERROR(INDEX(coa_CF,MATCH(IF((P900-Q900)=1,K900,I900),coa_Name,0)),"Operating"))</f>
        <v/>
      </c>
      <c r="S900" s="95">
        <f>IF((P900-Q900)=1,L900,IF((P900-Q900)=-1,-J900,0))</f>
        <v/>
      </c>
      <c r="T900" s="95">
        <f>IF((P900-Q900)=1,N900,IF((P900-Q900)=-1,-M900,0))</f>
        <v/>
      </c>
      <c r="U900" s="101">
        <f>IF(AND(H900=1,LedAcct&lt;&gt;""),IF(AND(E900&gt;=LedFrom,E900&lt;=LedTo,OR(I900=LedAcct,K900=LedAcct,AND(LedAcct=acctTax,M900+N900&lt;&gt;0))),E900*10000+B900,""),"")</f>
        <v/>
      </c>
    </row>
    <row r="901">
      <c r="B901" s="101" t="n">
        <v>895</v>
      </c>
      <c r="C901" s="58" t="inlineStr">
        <is>
          <t>Transaction</t>
        </is>
      </c>
      <c r="D901" s="58">
        <f>IF(H901=1,INDEX(tx_ID,895)&amp;"","")</f>
        <v/>
      </c>
      <c r="E901" s="94">
        <f>IF(H901=1,INDEX(tx_Date,895),"")</f>
        <v/>
      </c>
      <c r="F901" s="58">
        <f>IF(H901=1,INDEX(tx_Desc,895)&amp;"","")</f>
        <v/>
      </c>
      <c r="G901" s="58">
        <f>IF(H901=1,IF(INDEX(tx_Cust,895)&amp;""&lt;&gt;"",INDEX(tx_Cust,895)&amp;"",INDEX(tx_Vend,895)&amp;""),"")</f>
        <v/>
      </c>
      <c r="H901" s="101">
        <f>IFERROR(N(INDEX(tx_Posted,895)),0)</f>
        <v/>
      </c>
      <c r="I901" s="58">
        <f>IF(H901=1,INDEX(tx_DrAcct,895)&amp;"","")</f>
        <v/>
      </c>
      <c r="J901" s="95">
        <f>IF(H901=1,INDEX(tx_DrAmt,895),0)</f>
        <v/>
      </c>
      <c r="K901" s="58">
        <f>IF(H901=1,INDEX(tx_CrAcct,895)&amp;"","")</f>
        <v/>
      </c>
      <c r="L901" s="95">
        <f>IF(H901=1,INDEX(tx_CrAmt,895),0)</f>
        <v/>
      </c>
      <c r="M901" s="95">
        <f>IF(H901=1,INDEX(tx_TaxDr,895),0)</f>
        <v/>
      </c>
      <c r="N901" s="95">
        <f>IF(H901=1,INDEX(tx_TaxCr,895),0)</f>
        <v/>
      </c>
      <c r="O901" s="101">
        <f>IF(H901=1,IF(E901&lt;FYStart,0,IF(E901&gt;FYEnd,13,YEAR(E901)*12+MONTH(E901)-FYYM+1)),"")</f>
        <v/>
      </c>
      <c r="P901" s="101">
        <f>IF(H901=1,IF(IFERROR(INDEX(coa_CF,MATCH(I901,coa_Name,0)),"")="Cash",1,0),0)</f>
        <v/>
      </c>
      <c r="Q901" s="101">
        <f>IF(H901=1,IF(IFERROR(INDEX(coa_CF,MATCH(K901,coa_Name,0)),"")="Cash",1,0),0)</f>
        <v/>
      </c>
      <c r="R901" s="58">
        <f>IF((P901-Q901)=0,"",IFERROR(INDEX(coa_CF,MATCH(IF((P901-Q901)=1,K901,I901),coa_Name,0)),"Operating"))</f>
        <v/>
      </c>
      <c r="S901" s="95">
        <f>IF((P901-Q901)=1,L901,IF((P901-Q901)=-1,-J901,0))</f>
        <v/>
      </c>
      <c r="T901" s="95">
        <f>IF((P901-Q901)=1,N901,IF((P901-Q901)=-1,-M901,0))</f>
        <v/>
      </c>
      <c r="U901" s="101">
        <f>IF(AND(H901=1,LedAcct&lt;&gt;""),IF(AND(E901&gt;=LedFrom,E901&lt;=LedTo,OR(I901=LedAcct,K901=LedAcct,AND(LedAcct=acctTax,M901+N901&lt;&gt;0))),E901*10000+B901,""),"")</f>
        <v/>
      </c>
    </row>
    <row r="902">
      <c r="B902" s="101" t="n">
        <v>896</v>
      </c>
      <c r="C902" s="58" t="inlineStr">
        <is>
          <t>Transaction</t>
        </is>
      </c>
      <c r="D902" s="58">
        <f>IF(H902=1,INDEX(tx_ID,896)&amp;"","")</f>
        <v/>
      </c>
      <c r="E902" s="94">
        <f>IF(H902=1,INDEX(tx_Date,896),"")</f>
        <v/>
      </c>
      <c r="F902" s="58">
        <f>IF(H902=1,INDEX(tx_Desc,896)&amp;"","")</f>
        <v/>
      </c>
      <c r="G902" s="58">
        <f>IF(H902=1,IF(INDEX(tx_Cust,896)&amp;""&lt;&gt;"",INDEX(tx_Cust,896)&amp;"",INDEX(tx_Vend,896)&amp;""),"")</f>
        <v/>
      </c>
      <c r="H902" s="101">
        <f>IFERROR(N(INDEX(tx_Posted,896)),0)</f>
        <v/>
      </c>
      <c r="I902" s="58">
        <f>IF(H902=1,INDEX(tx_DrAcct,896)&amp;"","")</f>
        <v/>
      </c>
      <c r="J902" s="95">
        <f>IF(H902=1,INDEX(tx_DrAmt,896),0)</f>
        <v/>
      </c>
      <c r="K902" s="58">
        <f>IF(H902=1,INDEX(tx_CrAcct,896)&amp;"","")</f>
        <v/>
      </c>
      <c r="L902" s="95">
        <f>IF(H902=1,INDEX(tx_CrAmt,896),0)</f>
        <v/>
      </c>
      <c r="M902" s="95">
        <f>IF(H902=1,INDEX(tx_TaxDr,896),0)</f>
        <v/>
      </c>
      <c r="N902" s="95">
        <f>IF(H902=1,INDEX(tx_TaxCr,896),0)</f>
        <v/>
      </c>
      <c r="O902" s="101">
        <f>IF(H902=1,IF(E902&lt;FYStart,0,IF(E902&gt;FYEnd,13,YEAR(E902)*12+MONTH(E902)-FYYM+1)),"")</f>
        <v/>
      </c>
      <c r="P902" s="101">
        <f>IF(H902=1,IF(IFERROR(INDEX(coa_CF,MATCH(I902,coa_Name,0)),"")="Cash",1,0),0)</f>
        <v/>
      </c>
      <c r="Q902" s="101">
        <f>IF(H902=1,IF(IFERROR(INDEX(coa_CF,MATCH(K902,coa_Name,0)),"")="Cash",1,0),0)</f>
        <v/>
      </c>
      <c r="R902" s="58">
        <f>IF((P902-Q902)=0,"",IFERROR(INDEX(coa_CF,MATCH(IF((P902-Q902)=1,K902,I902),coa_Name,0)),"Operating"))</f>
        <v/>
      </c>
      <c r="S902" s="95">
        <f>IF((P902-Q902)=1,L902,IF((P902-Q902)=-1,-J902,0))</f>
        <v/>
      </c>
      <c r="T902" s="95">
        <f>IF((P902-Q902)=1,N902,IF((P902-Q902)=-1,-M902,0))</f>
        <v/>
      </c>
      <c r="U902" s="101">
        <f>IF(AND(H902=1,LedAcct&lt;&gt;""),IF(AND(E902&gt;=LedFrom,E902&lt;=LedTo,OR(I902=LedAcct,K902=LedAcct,AND(LedAcct=acctTax,M902+N902&lt;&gt;0))),E902*10000+B902,""),"")</f>
        <v/>
      </c>
    </row>
    <row r="903">
      <c r="B903" s="101" t="n">
        <v>897</v>
      </c>
      <c r="C903" s="58" t="inlineStr">
        <is>
          <t>Transaction</t>
        </is>
      </c>
      <c r="D903" s="58">
        <f>IF(H903=1,INDEX(tx_ID,897)&amp;"","")</f>
        <v/>
      </c>
      <c r="E903" s="94">
        <f>IF(H903=1,INDEX(tx_Date,897),"")</f>
        <v/>
      </c>
      <c r="F903" s="58">
        <f>IF(H903=1,INDEX(tx_Desc,897)&amp;"","")</f>
        <v/>
      </c>
      <c r="G903" s="58">
        <f>IF(H903=1,IF(INDEX(tx_Cust,897)&amp;""&lt;&gt;"",INDEX(tx_Cust,897)&amp;"",INDEX(tx_Vend,897)&amp;""),"")</f>
        <v/>
      </c>
      <c r="H903" s="101">
        <f>IFERROR(N(INDEX(tx_Posted,897)),0)</f>
        <v/>
      </c>
      <c r="I903" s="58">
        <f>IF(H903=1,INDEX(tx_DrAcct,897)&amp;"","")</f>
        <v/>
      </c>
      <c r="J903" s="95">
        <f>IF(H903=1,INDEX(tx_DrAmt,897),0)</f>
        <v/>
      </c>
      <c r="K903" s="58">
        <f>IF(H903=1,INDEX(tx_CrAcct,897)&amp;"","")</f>
        <v/>
      </c>
      <c r="L903" s="95">
        <f>IF(H903=1,INDEX(tx_CrAmt,897),0)</f>
        <v/>
      </c>
      <c r="M903" s="95">
        <f>IF(H903=1,INDEX(tx_TaxDr,897),0)</f>
        <v/>
      </c>
      <c r="N903" s="95">
        <f>IF(H903=1,INDEX(tx_TaxCr,897),0)</f>
        <v/>
      </c>
      <c r="O903" s="101">
        <f>IF(H903=1,IF(E903&lt;FYStart,0,IF(E903&gt;FYEnd,13,YEAR(E903)*12+MONTH(E903)-FYYM+1)),"")</f>
        <v/>
      </c>
      <c r="P903" s="101">
        <f>IF(H903=1,IF(IFERROR(INDEX(coa_CF,MATCH(I903,coa_Name,0)),"")="Cash",1,0),0)</f>
        <v/>
      </c>
      <c r="Q903" s="101">
        <f>IF(H903=1,IF(IFERROR(INDEX(coa_CF,MATCH(K903,coa_Name,0)),"")="Cash",1,0),0)</f>
        <v/>
      </c>
      <c r="R903" s="58">
        <f>IF((P903-Q903)=0,"",IFERROR(INDEX(coa_CF,MATCH(IF((P903-Q903)=1,K903,I903),coa_Name,0)),"Operating"))</f>
        <v/>
      </c>
      <c r="S903" s="95">
        <f>IF((P903-Q903)=1,L903,IF((P903-Q903)=-1,-J903,0))</f>
        <v/>
      </c>
      <c r="T903" s="95">
        <f>IF((P903-Q903)=1,N903,IF((P903-Q903)=-1,-M903,0))</f>
        <v/>
      </c>
      <c r="U903" s="101">
        <f>IF(AND(H903=1,LedAcct&lt;&gt;""),IF(AND(E903&gt;=LedFrom,E903&lt;=LedTo,OR(I903=LedAcct,K903=LedAcct,AND(LedAcct=acctTax,M903+N903&lt;&gt;0))),E903*10000+B903,""),"")</f>
        <v/>
      </c>
    </row>
    <row r="904">
      <c r="B904" s="101" t="n">
        <v>898</v>
      </c>
      <c r="C904" s="58" t="inlineStr">
        <is>
          <t>Transaction</t>
        </is>
      </c>
      <c r="D904" s="58">
        <f>IF(H904=1,INDEX(tx_ID,898)&amp;"","")</f>
        <v/>
      </c>
      <c r="E904" s="94">
        <f>IF(H904=1,INDEX(tx_Date,898),"")</f>
        <v/>
      </c>
      <c r="F904" s="58">
        <f>IF(H904=1,INDEX(tx_Desc,898)&amp;"","")</f>
        <v/>
      </c>
      <c r="G904" s="58">
        <f>IF(H904=1,IF(INDEX(tx_Cust,898)&amp;""&lt;&gt;"",INDEX(tx_Cust,898)&amp;"",INDEX(tx_Vend,898)&amp;""),"")</f>
        <v/>
      </c>
      <c r="H904" s="101">
        <f>IFERROR(N(INDEX(tx_Posted,898)),0)</f>
        <v/>
      </c>
      <c r="I904" s="58">
        <f>IF(H904=1,INDEX(tx_DrAcct,898)&amp;"","")</f>
        <v/>
      </c>
      <c r="J904" s="95">
        <f>IF(H904=1,INDEX(tx_DrAmt,898),0)</f>
        <v/>
      </c>
      <c r="K904" s="58">
        <f>IF(H904=1,INDEX(tx_CrAcct,898)&amp;"","")</f>
        <v/>
      </c>
      <c r="L904" s="95">
        <f>IF(H904=1,INDEX(tx_CrAmt,898),0)</f>
        <v/>
      </c>
      <c r="M904" s="95">
        <f>IF(H904=1,INDEX(tx_TaxDr,898),0)</f>
        <v/>
      </c>
      <c r="N904" s="95">
        <f>IF(H904=1,INDEX(tx_TaxCr,898),0)</f>
        <v/>
      </c>
      <c r="O904" s="101">
        <f>IF(H904=1,IF(E904&lt;FYStart,0,IF(E904&gt;FYEnd,13,YEAR(E904)*12+MONTH(E904)-FYYM+1)),"")</f>
        <v/>
      </c>
      <c r="P904" s="101">
        <f>IF(H904=1,IF(IFERROR(INDEX(coa_CF,MATCH(I904,coa_Name,0)),"")="Cash",1,0),0)</f>
        <v/>
      </c>
      <c r="Q904" s="101">
        <f>IF(H904=1,IF(IFERROR(INDEX(coa_CF,MATCH(K904,coa_Name,0)),"")="Cash",1,0),0)</f>
        <v/>
      </c>
      <c r="R904" s="58">
        <f>IF((P904-Q904)=0,"",IFERROR(INDEX(coa_CF,MATCH(IF((P904-Q904)=1,K904,I904),coa_Name,0)),"Operating"))</f>
        <v/>
      </c>
      <c r="S904" s="95">
        <f>IF((P904-Q904)=1,L904,IF((P904-Q904)=-1,-J904,0))</f>
        <v/>
      </c>
      <c r="T904" s="95">
        <f>IF((P904-Q904)=1,N904,IF((P904-Q904)=-1,-M904,0))</f>
        <v/>
      </c>
      <c r="U904" s="101">
        <f>IF(AND(H904=1,LedAcct&lt;&gt;""),IF(AND(E904&gt;=LedFrom,E904&lt;=LedTo,OR(I904=LedAcct,K904=LedAcct,AND(LedAcct=acctTax,M904+N904&lt;&gt;0))),E904*10000+B904,""),"")</f>
        <v/>
      </c>
    </row>
    <row r="905">
      <c r="B905" s="101" t="n">
        <v>899</v>
      </c>
      <c r="C905" s="58" t="inlineStr">
        <is>
          <t>Transaction</t>
        </is>
      </c>
      <c r="D905" s="58">
        <f>IF(H905=1,INDEX(tx_ID,899)&amp;"","")</f>
        <v/>
      </c>
      <c r="E905" s="94">
        <f>IF(H905=1,INDEX(tx_Date,899),"")</f>
        <v/>
      </c>
      <c r="F905" s="58">
        <f>IF(H905=1,INDEX(tx_Desc,899)&amp;"","")</f>
        <v/>
      </c>
      <c r="G905" s="58">
        <f>IF(H905=1,IF(INDEX(tx_Cust,899)&amp;""&lt;&gt;"",INDEX(tx_Cust,899)&amp;"",INDEX(tx_Vend,899)&amp;""),"")</f>
        <v/>
      </c>
      <c r="H905" s="101">
        <f>IFERROR(N(INDEX(tx_Posted,899)),0)</f>
        <v/>
      </c>
      <c r="I905" s="58">
        <f>IF(H905=1,INDEX(tx_DrAcct,899)&amp;"","")</f>
        <v/>
      </c>
      <c r="J905" s="95">
        <f>IF(H905=1,INDEX(tx_DrAmt,899),0)</f>
        <v/>
      </c>
      <c r="K905" s="58">
        <f>IF(H905=1,INDEX(tx_CrAcct,899)&amp;"","")</f>
        <v/>
      </c>
      <c r="L905" s="95">
        <f>IF(H905=1,INDEX(tx_CrAmt,899),0)</f>
        <v/>
      </c>
      <c r="M905" s="95">
        <f>IF(H905=1,INDEX(tx_TaxDr,899),0)</f>
        <v/>
      </c>
      <c r="N905" s="95">
        <f>IF(H905=1,INDEX(tx_TaxCr,899),0)</f>
        <v/>
      </c>
      <c r="O905" s="101">
        <f>IF(H905=1,IF(E905&lt;FYStart,0,IF(E905&gt;FYEnd,13,YEAR(E905)*12+MONTH(E905)-FYYM+1)),"")</f>
        <v/>
      </c>
      <c r="P905" s="101">
        <f>IF(H905=1,IF(IFERROR(INDEX(coa_CF,MATCH(I905,coa_Name,0)),"")="Cash",1,0),0)</f>
        <v/>
      </c>
      <c r="Q905" s="101">
        <f>IF(H905=1,IF(IFERROR(INDEX(coa_CF,MATCH(K905,coa_Name,0)),"")="Cash",1,0),0)</f>
        <v/>
      </c>
      <c r="R905" s="58">
        <f>IF((P905-Q905)=0,"",IFERROR(INDEX(coa_CF,MATCH(IF((P905-Q905)=1,K905,I905),coa_Name,0)),"Operating"))</f>
        <v/>
      </c>
      <c r="S905" s="95">
        <f>IF((P905-Q905)=1,L905,IF((P905-Q905)=-1,-J905,0))</f>
        <v/>
      </c>
      <c r="T905" s="95">
        <f>IF((P905-Q905)=1,N905,IF((P905-Q905)=-1,-M905,0))</f>
        <v/>
      </c>
      <c r="U905" s="101">
        <f>IF(AND(H905=1,LedAcct&lt;&gt;""),IF(AND(E905&gt;=LedFrom,E905&lt;=LedTo,OR(I905=LedAcct,K905=LedAcct,AND(LedAcct=acctTax,M905+N905&lt;&gt;0))),E905*10000+B905,""),"")</f>
        <v/>
      </c>
    </row>
    <row r="906">
      <c r="B906" s="101" t="n">
        <v>900</v>
      </c>
      <c r="C906" s="58" t="inlineStr">
        <is>
          <t>Transaction</t>
        </is>
      </c>
      <c r="D906" s="58">
        <f>IF(H906=1,INDEX(tx_ID,900)&amp;"","")</f>
        <v/>
      </c>
      <c r="E906" s="94">
        <f>IF(H906=1,INDEX(tx_Date,900),"")</f>
        <v/>
      </c>
      <c r="F906" s="58">
        <f>IF(H906=1,INDEX(tx_Desc,900)&amp;"","")</f>
        <v/>
      </c>
      <c r="G906" s="58">
        <f>IF(H906=1,IF(INDEX(tx_Cust,900)&amp;""&lt;&gt;"",INDEX(tx_Cust,900)&amp;"",INDEX(tx_Vend,900)&amp;""),"")</f>
        <v/>
      </c>
      <c r="H906" s="101">
        <f>IFERROR(N(INDEX(tx_Posted,900)),0)</f>
        <v/>
      </c>
      <c r="I906" s="58">
        <f>IF(H906=1,INDEX(tx_DrAcct,900)&amp;"","")</f>
        <v/>
      </c>
      <c r="J906" s="95">
        <f>IF(H906=1,INDEX(tx_DrAmt,900),0)</f>
        <v/>
      </c>
      <c r="K906" s="58">
        <f>IF(H906=1,INDEX(tx_CrAcct,900)&amp;"","")</f>
        <v/>
      </c>
      <c r="L906" s="95">
        <f>IF(H906=1,INDEX(tx_CrAmt,900),0)</f>
        <v/>
      </c>
      <c r="M906" s="95">
        <f>IF(H906=1,INDEX(tx_TaxDr,900),0)</f>
        <v/>
      </c>
      <c r="N906" s="95">
        <f>IF(H906=1,INDEX(tx_TaxCr,900),0)</f>
        <v/>
      </c>
      <c r="O906" s="101">
        <f>IF(H906=1,IF(E906&lt;FYStart,0,IF(E906&gt;FYEnd,13,YEAR(E906)*12+MONTH(E906)-FYYM+1)),"")</f>
        <v/>
      </c>
      <c r="P906" s="101">
        <f>IF(H906=1,IF(IFERROR(INDEX(coa_CF,MATCH(I906,coa_Name,0)),"")="Cash",1,0),0)</f>
        <v/>
      </c>
      <c r="Q906" s="101">
        <f>IF(H906=1,IF(IFERROR(INDEX(coa_CF,MATCH(K906,coa_Name,0)),"")="Cash",1,0),0)</f>
        <v/>
      </c>
      <c r="R906" s="58">
        <f>IF((P906-Q906)=0,"",IFERROR(INDEX(coa_CF,MATCH(IF((P906-Q906)=1,K906,I906),coa_Name,0)),"Operating"))</f>
        <v/>
      </c>
      <c r="S906" s="95">
        <f>IF((P906-Q906)=1,L906,IF((P906-Q906)=-1,-J906,0))</f>
        <v/>
      </c>
      <c r="T906" s="95">
        <f>IF((P906-Q906)=1,N906,IF((P906-Q906)=-1,-M906,0))</f>
        <v/>
      </c>
      <c r="U906" s="101">
        <f>IF(AND(H906=1,LedAcct&lt;&gt;""),IF(AND(E906&gt;=LedFrom,E906&lt;=LedTo,OR(I906=LedAcct,K906=LedAcct,AND(LedAcct=acctTax,M906+N906&lt;&gt;0))),E906*10000+B906,""),"")</f>
        <v/>
      </c>
    </row>
    <row r="907">
      <c r="B907" s="101" t="n">
        <v>901</v>
      </c>
      <c r="C907" s="58" t="inlineStr">
        <is>
          <t>Transaction</t>
        </is>
      </c>
      <c r="D907" s="58">
        <f>IF(H907=1,INDEX(tx_ID,901)&amp;"","")</f>
        <v/>
      </c>
      <c r="E907" s="94">
        <f>IF(H907=1,INDEX(tx_Date,901),"")</f>
        <v/>
      </c>
      <c r="F907" s="58">
        <f>IF(H907=1,INDEX(tx_Desc,901)&amp;"","")</f>
        <v/>
      </c>
      <c r="G907" s="58">
        <f>IF(H907=1,IF(INDEX(tx_Cust,901)&amp;""&lt;&gt;"",INDEX(tx_Cust,901)&amp;"",INDEX(tx_Vend,901)&amp;""),"")</f>
        <v/>
      </c>
      <c r="H907" s="101">
        <f>IFERROR(N(INDEX(tx_Posted,901)),0)</f>
        <v/>
      </c>
      <c r="I907" s="58">
        <f>IF(H907=1,INDEX(tx_DrAcct,901)&amp;"","")</f>
        <v/>
      </c>
      <c r="J907" s="95">
        <f>IF(H907=1,INDEX(tx_DrAmt,901),0)</f>
        <v/>
      </c>
      <c r="K907" s="58">
        <f>IF(H907=1,INDEX(tx_CrAcct,901)&amp;"","")</f>
        <v/>
      </c>
      <c r="L907" s="95">
        <f>IF(H907=1,INDEX(tx_CrAmt,901),0)</f>
        <v/>
      </c>
      <c r="M907" s="95">
        <f>IF(H907=1,INDEX(tx_TaxDr,901),0)</f>
        <v/>
      </c>
      <c r="N907" s="95">
        <f>IF(H907=1,INDEX(tx_TaxCr,901),0)</f>
        <v/>
      </c>
      <c r="O907" s="101">
        <f>IF(H907=1,IF(E907&lt;FYStart,0,IF(E907&gt;FYEnd,13,YEAR(E907)*12+MONTH(E907)-FYYM+1)),"")</f>
        <v/>
      </c>
      <c r="P907" s="101">
        <f>IF(H907=1,IF(IFERROR(INDEX(coa_CF,MATCH(I907,coa_Name,0)),"")="Cash",1,0),0)</f>
        <v/>
      </c>
      <c r="Q907" s="101">
        <f>IF(H907=1,IF(IFERROR(INDEX(coa_CF,MATCH(K907,coa_Name,0)),"")="Cash",1,0),0)</f>
        <v/>
      </c>
      <c r="R907" s="58">
        <f>IF((P907-Q907)=0,"",IFERROR(INDEX(coa_CF,MATCH(IF((P907-Q907)=1,K907,I907),coa_Name,0)),"Operating"))</f>
        <v/>
      </c>
      <c r="S907" s="95">
        <f>IF((P907-Q907)=1,L907,IF((P907-Q907)=-1,-J907,0))</f>
        <v/>
      </c>
      <c r="T907" s="95">
        <f>IF((P907-Q907)=1,N907,IF((P907-Q907)=-1,-M907,0))</f>
        <v/>
      </c>
      <c r="U907" s="101">
        <f>IF(AND(H907=1,LedAcct&lt;&gt;""),IF(AND(E907&gt;=LedFrom,E907&lt;=LedTo,OR(I907=LedAcct,K907=LedAcct,AND(LedAcct=acctTax,M907+N907&lt;&gt;0))),E907*10000+B907,""),"")</f>
        <v/>
      </c>
    </row>
    <row r="908">
      <c r="B908" s="101" t="n">
        <v>902</v>
      </c>
      <c r="C908" s="58" t="inlineStr">
        <is>
          <t>Transaction</t>
        </is>
      </c>
      <c r="D908" s="58">
        <f>IF(H908=1,INDEX(tx_ID,902)&amp;"","")</f>
        <v/>
      </c>
      <c r="E908" s="94">
        <f>IF(H908=1,INDEX(tx_Date,902),"")</f>
        <v/>
      </c>
      <c r="F908" s="58">
        <f>IF(H908=1,INDEX(tx_Desc,902)&amp;"","")</f>
        <v/>
      </c>
      <c r="G908" s="58">
        <f>IF(H908=1,IF(INDEX(tx_Cust,902)&amp;""&lt;&gt;"",INDEX(tx_Cust,902)&amp;"",INDEX(tx_Vend,902)&amp;""),"")</f>
        <v/>
      </c>
      <c r="H908" s="101">
        <f>IFERROR(N(INDEX(tx_Posted,902)),0)</f>
        <v/>
      </c>
      <c r="I908" s="58">
        <f>IF(H908=1,INDEX(tx_DrAcct,902)&amp;"","")</f>
        <v/>
      </c>
      <c r="J908" s="95">
        <f>IF(H908=1,INDEX(tx_DrAmt,902),0)</f>
        <v/>
      </c>
      <c r="K908" s="58">
        <f>IF(H908=1,INDEX(tx_CrAcct,902)&amp;"","")</f>
        <v/>
      </c>
      <c r="L908" s="95">
        <f>IF(H908=1,INDEX(tx_CrAmt,902),0)</f>
        <v/>
      </c>
      <c r="M908" s="95">
        <f>IF(H908=1,INDEX(tx_TaxDr,902),0)</f>
        <v/>
      </c>
      <c r="N908" s="95">
        <f>IF(H908=1,INDEX(tx_TaxCr,902),0)</f>
        <v/>
      </c>
      <c r="O908" s="101">
        <f>IF(H908=1,IF(E908&lt;FYStart,0,IF(E908&gt;FYEnd,13,YEAR(E908)*12+MONTH(E908)-FYYM+1)),"")</f>
        <v/>
      </c>
      <c r="P908" s="101">
        <f>IF(H908=1,IF(IFERROR(INDEX(coa_CF,MATCH(I908,coa_Name,0)),"")="Cash",1,0),0)</f>
        <v/>
      </c>
      <c r="Q908" s="101">
        <f>IF(H908=1,IF(IFERROR(INDEX(coa_CF,MATCH(K908,coa_Name,0)),"")="Cash",1,0),0)</f>
        <v/>
      </c>
      <c r="R908" s="58">
        <f>IF((P908-Q908)=0,"",IFERROR(INDEX(coa_CF,MATCH(IF((P908-Q908)=1,K908,I908),coa_Name,0)),"Operating"))</f>
        <v/>
      </c>
      <c r="S908" s="95">
        <f>IF((P908-Q908)=1,L908,IF((P908-Q908)=-1,-J908,0))</f>
        <v/>
      </c>
      <c r="T908" s="95">
        <f>IF((P908-Q908)=1,N908,IF((P908-Q908)=-1,-M908,0))</f>
        <v/>
      </c>
      <c r="U908" s="101">
        <f>IF(AND(H908=1,LedAcct&lt;&gt;""),IF(AND(E908&gt;=LedFrom,E908&lt;=LedTo,OR(I908=LedAcct,K908=LedAcct,AND(LedAcct=acctTax,M908+N908&lt;&gt;0))),E908*10000+B908,""),"")</f>
        <v/>
      </c>
    </row>
    <row r="909">
      <c r="B909" s="101" t="n">
        <v>903</v>
      </c>
      <c r="C909" s="58" t="inlineStr">
        <is>
          <t>Transaction</t>
        </is>
      </c>
      <c r="D909" s="58">
        <f>IF(H909=1,INDEX(tx_ID,903)&amp;"","")</f>
        <v/>
      </c>
      <c r="E909" s="94">
        <f>IF(H909=1,INDEX(tx_Date,903),"")</f>
        <v/>
      </c>
      <c r="F909" s="58">
        <f>IF(H909=1,INDEX(tx_Desc,903)&amp;"","")</f>
        <v/>
      </c>
      <c r="G909" s="58">
        <f>IF(H909=1,IF(INDEX(tx_Cust,903)&amp;""&lt;&gt;"",INDEX(tx_Cust,903)&amp;"",INDEX(tx_Vend,903)&amp;""),"")</f>
        <v/>
      </c>
      <c r="H909" s="101">
        <f>IFERROR(N(INDEX(tx_Posted,903)),0)</f>
        <v/>
      </c>
      <c r="I909" s="58">
        <f>IF(H909=1,INDEX(tx_DrAcct,903)&amp;"","")</f>
        <v/>
      </c>
      <c r="J909" s="95">
        <f>IF(H909=1,INDEX(tx_DrAmt,903),0)</f>
        <v/>
      </c>
      <c r="K909" s="58">
        <f>IF(H909=1,INDEX(tx_CrAcct,903)&amp;"","")</f>
        <v/>
      </c>
      <c r="L909" s="95">
        <f>IF(H909=1,INDEX(tx_CrAmt,903),0)</f>
        <v/>
      </c>
      <c r="M909" s="95">
        <f>IF(H909=1,INDEX(tx_TaxDr,903),0)</f>
        <v/>
      </c>
      <c r="N909" s="95">
        <f>IF(H909=1,INDEX(tx_TaxCr,903),0)</f>
        <v/>
      </c>
      <c r="O909" s="101">
        <f>IF(H909=1,IF(E909&lt;FYStart,0,IF(E909&gt;FYEnd,13,YEAR(E909)*12+MONTH(E909)-FYYM+1)),"")</f>
        <v/>
      </c>
      <c r="P909" s="101">
        <f>IF(H909=1,IF(IFERROR(INDEX(coa_CF,MATCH(I909,coa_Name,0)),"")="Cash",1,0),0)</f>
        <v/>
      </c>
      <c r="Q909" s="101">
        <f>IF(H909=1,IF(IFERROR(INDEX(coa_CF,MATCH(K909,coa_Name,0)),"")="Cash",1,0),0)</f>
        <v/>
      </c>
      <c r="R909" s="58">
        <f>IF((P909-Q909)=0,"",IFERROR(INDEX(coa_CF,MATCH(IF((P909-Q909)=1,K909,I909),coa_Name,0)),"Operating"))</f>
        <v/>
      </c>
      <c r="S909" s="95">
        <f>IF((P909-Q909)=1,L909,IF((P909-Q909)=-1,-J909,0))</f>
        <v/>
      </c>
      <c r="T909" s="95">
        <f>IF((P909-Q909)=1,N909,IF((P909-Q909)=-1,-M909,0))</f>
        <v/>
      </c>
      <c r="U909" s="101">
        <f>IF(AND(H909=1,LedAcct&lt;&gt;""),IF(AND(E909&gt;=LedFrom,E909&lt;=LedTo,OR(I909=LedAcct,K909=LedAcct,AND(LedAcct=acctTax,M909+N909&lt;&gt;0))),E909*10000+B909,""),"")</f>
        <v/>
      </c>
    </row>
    <row r="910">
      <c r="B910" s="101" t="n">
        <v>904</v>
      </c>
      <c r="C910" s="58" t="inlineStr">
        <is>
          <t>Transaction</t>
        </is>
      </c>
      <c r="D910" s="58">
        <f>IF(H910=1,INDEX(tx_ID,904)&amp;"","")</f>
        <v/>
      </c>
      <c r="E910" s="94">
        <f>IF(H910=1,INDEX(tx_Date,904),"")</f>
        <v/>
      </c>
      <c r="F910" s="58">
        <f>IF(H910=1,INDEX(tx_Desc,904)&amp;"","")</f>
        <v/>
      </c>
      <c r="G910" s="58">
        <f>IF(H910=1,IF(INDEX(tx_Cust,904)&amp;""&lt;&gt;"",INDEX(tx_Cust,904)&amp;"",INDEX(tx_Vend,904)&amp;""),"")</f>
        <v/>
      </c>
      <c r="H910" s="101">
        <f>IFERROR(N(INDEX(tx_Posted,904)),0)</f>
        <v/>
      </c>
      <c r="I910" s="58">
        <f>IF(H910=1,INDEX(tx_DrAcct,904)&amp;"","")</f>
        <v/>
      </c>
      <c r="J910" s="95">
        <f>IF(H910=1,INDEX(tx_DrAmt,904),0)</f>
        <v/>
      </c>
      <c r="K910" s="58">
        <f>IF(H910=1,INDEX(tx_CrAcct,904)&amp;"","")</f>
        <v/>
      </c>
      <c r="L910" s="95">
        <f>IF(H910=1,INDEX(tx_CrAmt,904),0)</f>
        <v/>
      </c>
      <c r="M910" s="95">
        <f>IF(H910=1,INDEX(tx_TaxDr,904),0)</f>
        <v/>
      </c>
      <c r="N910" s="95">
        <f>IF(H910=1,INDEX(tx_TaxCr,904),0)</f>
        <v/>
      </c>
      <c r="O910" s="101">
        <f>IF(H910=1,IF(E910&lt;FYStart,0,IF(E910&gt;FYEnd,13,YEAR(E910)*12+MONTH(E910)-FYYM+1)),"")</f>
        <v/>
      </c>
      <c r="P910" s="101">
        <f>IF(H910=1,IF(IFERROR(INDEX(coa_CF,MATCH(I910,coa_Name,0)),"")="Cash",1,0),0)</f>
        <v/>
      </c>
      <c r="Q910" s="101">
        <f>IF(H910=1,IF(IFERROR(INDEX(coa_CF,MATCH(K910,coa_Name,0)),"")="Cash",1,0),0)</f>
        <v/>
      </c>
      <c r="R910" s="58">
        <f>IF((P910-Q910)=0,"",IFERROR(INDEX(coa_CF,MATCH(IF((P910-Q910)=1,K910,I910),coa_Name,0)),"Operating"))</f>
        <v/>
      </c>
      <c r="S910" s="95">
        <f>IF((P910-Q910)=1,L910,IF((P910-Q910)=-1,-J910,0))</f>
        <v/>
      </c>
      <c r="T910" s="95">
        <f>IF((P910-Q910)=1,N910,IF((P910-Q910)=-1,-M910,0))</f>
        <v/>
      </c>
      <c r="U910" s="101">
        <f>IF(AND(H910=1,LedAcct&lt;&gt;""),IF(AND(E910&gt;=LedFrom,E910&lt;=LedTo,OR(I910=LedAcct,K910=LedAcct,AND(LedAcct=acctTax,M910+N910&lt;&gt;0))),E910*10000+B910,""),"")</f>
        <v/>
      </c>
    </row>
    <row r="911">
      <c r="B911" s="101" t="n">
        <v>905</v>
      </c>
      <c r="C911" s="58" t="inlineStr">
        <is>
          <t>Transaction</t>
        </is>
      </c>
      <c r="D911" s="58">
        <f>IF(H911=1,INDEX(tx_ID,905)&amp;"","")</f>
        <v/>
      </c>
      <c r="E911" s="94">
        <f>IF(H911=1,INDEX(tx_Date,905),"")</f>
        <v/>
      </c>
      <c r="F911" s="58">
        <f>IF(H911=1,INDEX(tx_Desc,905)&amp;"","")</f>
        <v/>
      </c>
      <c r="G911" s="58">
        <f>IF(H911=1,IF(INDEX(tx_Cust,905)&amp;""&lt;&gt;"",INDEX(tx_Cust,905)&amp;"",INDEX(tx_Vend,905)&amp;""),"")</f>
        <v/>
      </c>
      <c r="H911" s="101">
        <f>IFERROR(N(INDEX(tx_Posted,905)),0)</f>
        <v/>
      </c>
      <c r="I911" s="58">
        <f>IF(H911=1,INDEX(tx_DrAcct,905)&amp;"","")</f>
        <v/>
      </c>
      <c r="J911" s="95">
        <f>IF(H911=1,INDEX(tx_DrAmt,905),0)</f>
        <v/>
      </c>
      <c r="K911" s="58">
        <f>IF(H911=1,INDEX(tx_CrAcct,905)&amp;"","")</f>
        <v/>
      </c>
      <c r="L911" s="95">
        <f>IF(H911=1,INDEX(tx_CrAmt,905),0)</f>
        <v/>
      </c>
      <c r="M911" s="95">
        <f>IF(H911=1,INDEX(tx_TaxDr,905),0)</f>
        <v/>
      </c>
      <c r="N911" s="95">
        <f>IF(H911=1,INDEX(tx_TaxCr,905),0)</f>
        <v/>
      </c>
      <c r="O911" s="101">
        <f>IF(H911=1,IF(E911&lt;FYStart,0,IF(E911&gt;FYEnd,13,YEAR(E911)*12+MONTH(E911)-FYYM+1)),"")</f>
        <v/>
      </c>
      <c r="P911" s="101">
        <f>IF(H911=1,IF(IFERROR(INDEX(coa_CF,MATCH(I911,coa_Name,0)),"")="Cash",1,0),0)</f>
        <v/>
      </c>
      <c r="Q911" s="101">
        <f>IF(H911=1,IF(IFERROR(INDEX(coa_CF,MATCH(K911,coa_Name,0)),"")="Cash",1,0),0)</f>
        <v/>
      </c>
      <c r="R911" s="58">
        <f>IF((P911-Q911)=0,"",IFERROR(INDEX(coa_CF,MATCH(IF((P911-Q911)=1,K911,I911),coa_Name,0)),"Operating"))</f>
        <v/>
      </c>
      <c r="S911" s="95">
        <f>IF((P911-Q911)=1,L911,IF((P911-Q911)=-1,-J911,0))</f>
        <v/>
      </c>
      <c r="T911" s="95">
        <f>IF((P911-Q911)=1,N911,IF((P911-Q911)=-1,-M911,0))</f>
        <v/>
      </c>
      <c r="U911" s="101">
        <f>IF(AND(H911=1,LedAcct&lt;&gt;""),IF(AND(E911&gt;=LedFrom,E911&lt;=LedTo,OR(I911=LedAcct,K911=LedAcct,AND(LedAcct=acctTax,M911+N911&lt;&gt;0))),E911*10000+B911,""),"")</f>
        <v/>
      </c>
    </row>
    <row r="912">
      <c r="B912" s="101" t="n">
        <v>906</v>
      </c>
      <c r="C912" s="58" t="inlineStr">
        <is>
          <t>Transaction</t>
        </is>
      </c>
      <c r="D912" s="58">
        <f>IF(H912=1,INDEX(tx_ID,906)&amp;"","")</f>
        <v/>
      </c>
      <c r="E912" s="94">
        <f>IF(H912=1,INDEX(tx_Date,906),"")</f>
        <v/>
      </c>
      <c r="F912" s="58">
        <f>IF(H912=1,INDEX(tx_Desc,906)&amp;"","")</f>
        <v/>
      </c>
      <c r="G912" s="58">
        <f>IF(H912=1,IF(INDEX(tx_Cust,906)&amp;""&lt;&gt;"",INDEX(tx_Cust,906)&amp;"",INDEX(tx_Vend,906)&amp;""),"")</f>
        <v/>
      </c>
      <c r="H912" s="101">
        <f>IFERROR(N(INDEX(tx_Posted,906)),0)</f>
        <v/>
      </c>
      <c r="I912" s="58">
        <f>IF(H912=1,INDEX(tx_DrAcct,906)&amp;"","")</f>
        <v/>
      </c>
      <c r="J912" s="95">
        <f>IF(H912=1,INDEX(tx_DrAmt,906),0)</f>
        <v/>
      </c>
      <c r="K912" s="58">
        <f>IF(H912=1,INDEX(tx_CrAcct,906)&amp;"","")</f>
        <v/>
      </c>
      <c r="L912" s="95">
        <f>IF(H912=1,INDEX(tx_CrAmt,906),0)</f>
        <v/>
      </c>
      <c r="M912" s="95">
        <f>IF(H912=1,INDEX(tx_TaxDr,906),0)</f>
        <v/>
      </c>
      <c r="N912" s="95">
        <f>IF(H912=1,INDEX(tx_TaxCr,906),0)</f>
        <v/>
      </c>
      <c r="O912" s="101">
        <f>IF(H912=1,IF(E912&lt;FYStart,0,IF(E912&gt;FYEnd,13,YEAR(E912)*12+MONTH(E912)-FYYM+1)),"")</f>
        <v/>
      </c>
      <c r="P912" s="101">
        <f>IF(H912=1,IF(IFERROR(INDEX(coa_CF,MATCH(I912,coa_Name,0)),"")="Cash",1,0),0)</f>
        <v/>
      </c>
      <c r="Q912" s="101">
        <f>IF(H912=1,IF(IFERROR(INDEX(coa_CF,MATCH(K912,coa_Name,0)),"")="Cash",1,0),0)</f>
        <v/>
      </c>
      <c r="R912" s="58">
        <f>IF((P912-Q912)=0,"",IFERROR(INDEX(coa_CF,MATCH(IF((P912-Q912)=1,K912,I912),coa_Name,0)),"Operating"))</f>
        <v/>
      </c>
      <c r="S912" s="95">
        <f>IF((P912-Q912)=1,L912,IF((P912-Q912)=-1,-J912,0))</f>
        <v/>
      </c>
      <c r="T912" s="95">
        <f>IF((P912-Q912)=1,N912,IF((P912-Q912)=-1,-M912,0))</f>
        <v/>
      </c>
      <c r="U912" s="101">
        <f>IF(AND(H912=1,LedAcct&lt;&gt;""),IF(AND(E912&gt;=LedFrom,E912&lt;=LedTo,OR(I912=LedAcct,K912=LedAcct,AND(LedAcct=acctTax,M912+N912&lt;&gt;0))),E912*10000+B912,""),"")</f>
        <v/>
      </c>
    </row>
    <row r="913">
      <c r="B913" s="101" t="n">
        <v>907</v>
      </c>
      <c r="C913" s="58" t="inlineStr">
        <is>
          <t>Transaction</t>
        </is>
      </c>
      <c r="D913" s="58">
        <f>IF(H913=1,INDEX(tx_ID,907)&amp;"","")</f>
        <v/>
      </c>
      <c r="E913" s="94">
        <f>IF(H913=1,INDEX(tx_Date,907),"")</f>
        <v/>
      </c>
      <c r="F913" s="58">
        <f>IF(H913=1,INDEX(tx_Desc,907)&amp;"","")</f>
        <v/>
      </c>
      <c r="G913" s="58">
        <f>IF(H913=1,IF(INDEX(tx_Cust,907)&amp;""&lt;&gt;"",INDEX(tx_Cust,907)&amp;"",INDEX(tx_Vend,907)&amp;""),"")</f>
        <v/>
      </c>
      <c r="H913" s="101">
        <f>IFERROR(N(INDEX(tx_Posted,907)),0)</f>
        <v/>
      </c>
      <c r="I913" s="58">
        <f>IF(H913=1,INDEX(tx_DrAcct,907)&amp;"","")</f>
        <v/>
      </c>
      <c r="J913" s="95">
        <f>IF(H913=1,INDEX(tx_DrAmt,907),0)</f>
        <v/>
      </c>
      <c r="K913" s="58">
        <f>IF(H913=1,INDEX(tx_CrAcct,907)&amp;"","")</f>
        <v/>
      </c>
      <c r="L913" s="95">
        <f>IF(H913=1,INDEX(tx_CrAmt,907),0)</f>
        <v/>
      </c>
      <c r="M913" s="95">
        <f>IF(H913=1,INDEX(tx_TaxDr,907),0)</f>
        <v/>
      </c>
      <c r="N913" s="95">
        <f>IF(H913=1,INDEX(tx_TaxCr,907),0)</f>
        <v/>
      </c>
      <c r="O913" s="101">
        <f>IF(H913=1,IF(E913&lt;FYStart,0,IF(E913&gt;FYEnd,13,YEAR(E913)*12+MONTH(E913)-FYYM+1)),"")</f>
        <v/>
      </c>
      <c r="P913" s="101">
        <f>IF(H913=1,IF(IFERROR(INDEX(coa_CF,MATCH(I913,coa_Name,0)),"")="Cash",1,0),0)</f>
        <v/>
      </c>
      <c r="Q913" s="101">
        <f>IF(H913=1,IF(IFERROR(INDEX(coa_CF,MATCH(K913,coa_Name,0)),"")="Cash",1,0),0)</f>
        <v/>
      </c>
      <c r="R913" s="58">
        <f>IF((P913-Q913)=0,"",IFERROR(INDEX(coa_CF,MATCH(IF((P913-Q913)=1,K913,I913),coa_Name,0)),"Operating"))</f>
        <v/>
      </c>
      <c r="S913" s="95">
        <f>IF((P913-Q913)=1,L913,IF((P913-Q913)=-1,-J913,0))</f>
        <v/>
      </c>
      <c r="T913" s="95">
        <f>IF((P913-Q913)=1,N913,IF((P913-Q913)=-1,-M913,0))</f>
        <v/>
      </c>
      <c r="U913" s="101">
        <f>IF(AND(H913=1,LedAcct&lt;&gt;""),IF(AND(E913&gt;=LedFrom,E913&lt;=LedTo,OR(I913=LedAcct,K913=LedAcct,AND(LedAcct=acctTax,M913+N913&lt;&gt;0))),E913*10000+B913,""),"")</f>
        <v/>
      </c>
    </row>
    <row r="914">
      <c r="B914" s="101" t="n">
        <v>908</v>
      </c>
      <c r="C914" s="58" t="inlineStr">
        <is>
          <t>Transaction</t>
        </is>
      </c>
      <c r="D914" s="58">
        <f>IF(H914=1,INDEX(tx_ID,908)&amp;"","")</f>
        <v/>
      </c>
      <c r="E914" s="94">
        <f>IF(H914=1,INDEX(tx_Date,908),"")</f>
        <v/>
      </c>
      <c r="F914" s="58">
        <f>IF(H914=1,INDEX(tx_Desc,908)&amp;"","")</f>
        <v/>
      </c>
      <c r="G914" s="58">
        <f>IF(H914=1,IF(INDEX(tx_Cust,908)&amp;""&lt;&gt;"",INDEX(tx_Cust,908)&amp;"",INDEX(tx_Vend,908)&amp;""),"")</f>
        <v/>
      </c>
      <c r="H914" s="101">
        <f>IFERROR(N(INDEX(tx_Posted,908)),0)</f>
        <v/>
      </c>
      <c r="I914" s="58">
        <f>IF(H914=1,INDEX(tx_DrAcct,908)&amp;"","")</f>
        <v/>
      </c>
      <c r="J914" s="95">
        <f>IF(H914=1,INDEX(tx_DrAmt,908),0)</f>
        <v/>
      </c>
      <c r="K914" s="58">
        <f>IF(H914=1,INDEX(tx_CrAcct,908)&amp;"","")</f>
        <v/>
      </c>
      <c r="L914" s="95">
        <f>IF(H914=1,INDEX(tx_CrAmt,908),0)</f>
        <v/>
      </c>
      <c r="M914" s="95">
        <f>IF(H914=1,INDEX(tx_TaxDr,908),0)</f>
        <v/>
      </c>
      <c r="N914" s="95">
        <f>IF(H914=1,INDEX(tx_TaxCr,908),0)</f>
        <v/>
      </c>
      <c r="O914" s="101">
        <f>IF(H914=1,IF(E914&lt;FYStart,0,IF(E914&gt;FYEnd,13,YEAR(E914)*12+MONTH(E914)-FYYM+1)),"")</f>
        <v/>
      </c>
      <c r="P914" s="101">
        <f>IF(H914=1,IF(IFERROR(INDEX(coa_CF,MATCH(I914,coa_Name,0)),"")="Cash",1,0),0)</f>
        <v/>
      </c>
      <c r="Q914" s="101">
        <f>IF(H914=1,IF(IFERROR(INDEX(coa_CF,MATCH(K914,coa_Name,0)),"")="Cash",1,0),0)</f>
        <v/>
      </c>
      <c r="R914" s="58">
        <f>IF((P914-Q914)=0,"",IFERROR(INDEX(coa_CF,MATCH(IF((P914-Q914)=1,K914,I914),coa_Name,0)),"Operating"))</f>
        <v/>
      </c>
      <c r="S914" s="95">
        <f>IF((P914-Q914)=1,L914,IF((P914-Q914)=-1,-J914,0))</f>
        <v/>
      </c>
      <c r="T914" s="95">
        <f>IF((P914-Q914)=1,N914,IF((P914-Q914)=-1,-M914,0))</f>
        <v/>
      </c>
      <c r="U914" s="101">
        <f>IF(AND(H914=1,LedAcct&lt;&gt;""),IF(AND(E914&gt;=LedFrom,E914&lt;=LedTo,OR(I914=LedAcct,K914=LedAcct,AND(LedAcct=acctTax,M914+N914&lt;&gt;0))),E914*10000+B914,""),"")</f>
        <v/>
      </c>
    </row>
    <row r="915">
      <c r="B915" s="101" t="n">
        <v>909</v>
      </c>
      <c r="C915" s="58" t="inlineStr">
        <is>
          <t>Transaction</t>
        </is>
      </c>
      <c r="D915" s="58">
        <f>IF(H915=1,INDEX(tx_ID,909)&amp;"","")</f>
        <v/>
      </c>
      <c r="E915" s="94">
        <f>IF(H915=1,INDEX(tx_Date,909),"")</f>
        <v/>
      </c>
      <c r="F915" s="58">
        <f>IF(H915=1,INDEX(tx_Desc,909)&amp;"","")</f>
        <v/>
      </c>
      <c r="G915" s="58">
        <f>IF(H915=1,IF(INDEX(tx_Cust,909)&amp;""&lt;&gt;"",INDEX(tx_Cust,909)&amp;"",INDEX(tx_Vend,909)&amp;""),"")</f>
        <v/>
      </c>
      <c r="H915" s="101">
        <f>IFERROR(N(INDEX(tx_Posted,909)),0)</f>
        <v/>
      </c>
      <c r="I915" s="58">
        <f>IF(H915=1,INDEX(tx_DrAcct,909)&amp;"","")</f>
        <v/>
      </c>
      <c r="J915" s="95">
        <f>IF(H915=1,INDEX(tx_DrAmt,909),0)</f>
        <v/>
      </c>
      <c r="K915" s="58">
        <f>IF(H915=1,INDEX(tx_CrAcct,909)&amp;"","")</f>
        <v/>
      </c>
      <c r="L915" s="95">
        <f>IF(H915=1,INDEX(tx_CrAmt,909),0)</f>
        <v/>
      </c>
      <c r="M915" s="95">
        <f>IF(H915=1,INDEX(tx_TaxDr,909),0)</f>
        <v/>
      </c>
      <c r="N915" s="95">
        <f>IF(H915=1,INDEX(tx_TaxCr,909),0)</f>
        <v/>
      </c>
      <c r="O915" s="101">
        <f>IF(H915=1,IF(E915&lt;FYStart,0,IF(E915&gt;FYEnd,13,YEAR(E915)*12+MONTH(E915)-FYYM+1)),"")</f>
        <v/>
      </c>
      <c r="P915" s="101">
        <f>IF(H915=1,IF(IFERROR(INDEX(coa_CF,MATCH(I915,coa_Name,0)),"")="Cash",1,0),0)</f>
        <v/>
      </c>
      <c r="Q915" s="101">
        <f>IF(H915=1,IF(IFERROR(INDEX(coa_CF,MATCH(K915,coa_Name,0)),"")="Cash",1,0),0)</f>
        <v/>
      </c>
      <c r="R915" s="58">
        <f>IF((P915-Q915)=0,"",IFERROR(INDEX(coa_CF,MATCH(IF((P915-Q915)=1,K915,I915),coa_Name,0)),"Operating"))</f>
        <v/>
      </c>
      <c r="S915" s="95">
        <f>IF((P915-Q915)=1,L915,IF((P915-Q915)=-1,-J915,0))</f>
        <v/>
      </c>
      <c r="T915" s="95">
        <f>IF((P915-Q915)=1,N915,IF((P915-Q915)=-1,-M915,0))</f>
        <v/>
      </c>
      <c r="U915" s="101">
        <f>IF(AND(H915=1,LedAcct&lt;&gt;""),IF(AND(E915&gt;=LedFrom,E915&lt;=LedTo,OR(I915=LedAcct,K915=LedAcct,AND(LedAcct=acctTax,M915+N915&lt;&gt;0))),E915*10000+B915,""),"")</f>
        <v/>
      </c>
    </row>
    <row r="916">
      <c r="B916" s="101" t="n">
        <v>910</v>
      </c>
      <c r="C916" s="58" t="inlineStr">
        <is>
          <t>Transaction</t>
        </is>
      </c>
      <c r="D916" s="58">
        <f>IF(H916=1,INDEX(tx_ID,910)&amp;"","")</f>
        <v/>
      </c>
      <c r="E916" s="94">
        <f>IF(H916=1,INDEX(tx_Date,910),"")</f>
        <v/>
      </c>
      <c r="F916" s="58">
        <f>IF(H916=1,INDEX(tx_Desc,910)&amp;"","")</f>
        <v/>
      </c>
      <c r="G916" s="58">
        <f>IF(H916=1,IF(INDEX(tx_Cust,910)&amp;""&lt;&gt;"",INDEX(tx_Cust,910)&amp;"",INDEX(tx_Vend,910)&amp;""),"")</f>
        <v/>
      </c>
      <c r="H916" s="101">
        <f>IFERROR(N(INDEX(tx_Posted,910)),0)</f>
        <v/>
      </c>
      <c r="I916" s="58">
        <f>IF(H916=1,INDEX(tx_DrAcct,910)&amp;"","")</f>
        <v/>
      </c>
      <c r="J916" s="95">
        <f>IF(H916=1,INDEX(tx_DrAmt,910),0)</f>
        <v/>
      </c>
      <c r="K916" s="58">
        <f>IF(H916=1,INDEX(tx_CrAcct,910)&amp;"","")</f>
        <v/>
      </c>
      <c r="L916" s="95">
        <f>IF(H916=1,INDEX(tx_CrAmt,910),0)</f>
        <v/>
      </c>
      <c r="M916" s="95">
        <f>IF(H916=1,INDEX(tx_TaxDr,910),0)</f>
        <v/>
      </c>
      <c r="N916" s="95">
        <f>IF(H916=1,INDEX(tx_TaxCr,910),0)</f>
        <v/>
      </c>
      <c r="O916" s="101">
        <f>IF(H916=1,IF(E916&lt;FYStart,0,IF(E916&gt;FYEnd,13,YEAR(E916)*12+MONTH(E916)-FYYM+1)),"")</f>
        <v/>
      </c>
      <c r="P916" s="101">
        <f>IF(H916=1,IF(IFERROR(INDEX(coa_CF,MATCH(I916,coa_Name,0)),"")="Cash",1,0),0)</f>
        <v/>
      </c>
      <c r="Q916" s="101">
        <f>IF(H916=1,IF(IFERROR(INDEX(coa_CF,MATCH(K916,coa_Name,0)),"")="Cash",1,0),0)</f>
        <v/>
      </c>
      <c r="R916" s="58">
        <f>IF((P916-Q916)=0,"",IFERROR(INDEX(coa_CF,MATCH(IF((P916-Q916)=1,K916,I916),coa_Name,0)),"Operating"))</f>
        <v/>
      </c>
      <c r="S916" s="95">
        <f>IF((P916-Q916)=1,L916,IF((P916-Q916)=-1,-J916,0))</f>
        <v/>
      </c>
      <c r="T916" s="95">
        <f>IF((P916-Q916)=1,N916,IF((P916-Q916)=-1,-M916,0))</f>
        <v/>
      </c>
      <c r="U916" s="101">
        <f>IF(AND(H916=1,LedAcct&lt;&gt;""),IF(AND(E916&gt;=LedFrom,E916&lt;=LedTo,OR(I916=LedAcct,K916=LedAcct,AND(LedAcct=acctTax,M916+N916&lt;&gt;0))),E916*10000+B916,""),"")</f>
        <v/>
      </c>
    </row>
    <row r="917">
      <c r="B917" s="101" t="n">
        <v>911</v>
      </c>
      <c r="C917" s="58" t="inlineStr">
        <is>
          <t>Transaction</t>
        </is>
      </c>
      <c r="D917" s="58">
        <f>IF(H917=1,INDEX(tx_ID,911)&amp;"","")</f>
        <v/>
      </c>
      <c r="E917" s="94">
        <f>IF(H917=1,INDEX(tx_Date,911),"")</f>
        <v/>
      </c>
      <c r="F917" s="58">
        <f>IF(H917=1,INDEX(tx_Desc,911)&amp;"","")</f>
        <v/>
      </c>
      <c r="G917" s="58">
        <f>IF(H917=1,IF(INDEX(tx_Cust,911)&amp;""&lt;&gt;"",INDEX(tx_Cust,911)&amp;"",INDEX(tx_Vend,911)&amp;""),"")</f>
        <v/>
      </c>
      <c r="H917" s="101">
        <f>IFERROR(N(INDEX(tx_Posted,911)),0)</f>
        <v/>
      </c>
      <c r="I917" s="58">
        <f>IF(H917=1,INDEX(tx_DrAcct,911)&amp;"","")</f>
        <v/>
      </c>
      <c r="J917" s="95">
        <f>IF(H917=1,INDEX(tx_DrAmt,911),0)</f>
        <v/>
      </c>
      <c r="K917" s="58">
        <f>IF(H917=1,INDEX(tx_CrAcct,911)&amp;"","")</f>
        <v/>
      </c>
      <c r="L917" s="95">
        <f>IF(H917=1,INDEX(tx_CrAmt,911),0)</f>
        <v/>
      </c>
      <c r="M917" s="95">
        <f>IF(H917=1,INDEX(tx_TaxDr,911),0)</f>
        <v/>
      </c>
      <c r="N917" s="95">
        <f>IF(H917=1,INDEX(tx_TaxCr,911),0)</f>
        <v/>
      </c>
      <c r="O917" s="101">
        <f>IF(H917=1,IF(E917&lt;FYStart,0,IF(E917&gt;FYEnd,13,YEAR(E917)*12+MONTH(E917)-FYYM+1)),"")</f>
        <v/>
      </c>
      <c r="P917" s="101">
        <f>IF(H917=1,IF(IFERROR(INDEX(coa_CF,MATCH(I917,coa_Name,0)),"")="Cash",1,0),0)</f>
        <v/>
      </c>
      <c r="Q917" s="101">
        <f>IF(H917=1,IF(IFERROR(INDEX(coa_CF,MATCH(K917,coa_Name,0)),"")="Cash",1,0),0)</f>
        <v/>
      </c>
      <c r="R917" s="58">
        <f>IF((P917-Q917)=0,"",IFERROR(INDEX(coa_CF,MATCH(IF((P917-Q917)=1,K917,I917),coa_Name,0)),"Operating"))</f>
        <v/>
      </c>
      <c r="S917" s="95">
        <f>IF((P917-Q917)=1,L917,IF((P917-Q917)=-1,-J917,0))</f>
        <v/>
      </c>
      <c r="T917" s="95">
        <f>IF((P917-Q917)=1,N917,IF((P917-Q917)=-1,-M917,0))</f>
        <v/>
      </c>
      <c r="U917" s="101">
        <f>IF(AND(H917=1,LedAcct&lt;&gt;""),IF(AND(E917&gt;=LedFrom,E917&lt;=LedTo,OR(I917=LedAcct,K917=LedAcct,AND(LedAcct=acctTax,M917+N917&lt;&gt;0))),E917*10000+B917,""),"")</f>
        <v/>
      </c>
    </row>
    <row r="918">
      <c r="B918" s="101" t="n">
        <v>912</v>
      </c>
      <c r="C918" s="58" t="inlineStr">
        <is>
          <t>Transaction</t>
        </is>
      </c>
      <c r="D918" s="58">
        <f>IF(H918=1,INDEX(tx_ID,912)&amp;"","")</f>
        <v/>
      </c>
      <c r="E918" s="94">
        <f>IF(H918=1,INDEX(tx_Date,912),"")</f>
        <v/>
      </c>
      <c r="F918" s="58">
        <f>IF(H918=1,INDEX(tx_Desc,912)&amp;"","")</f>
        <v/>
      </c>
      <c r="G918" s="58">
        <f>IF(H918=1,IF(INDEX(tx_Cust,912)&amp;""&lt;&gt;"",INDEX(tx_Cust,912)&amp;"",INDEX(tx_Vend,912)&amp;""),"")</f>
        <v/>
      </c>
      <c r="H918" s="101">
        <f>IFERROR(N(INDEX(tx_Posted,912)),0)</f>
        <v/>
      </c>
      <c r="I918" s="58">
        <f>IF(H918=1,INDEX(tx_DrAcct,912)&amp;"","")</f>
        <v/>
      </c>
      <c r="J918" s="95">
        <f>IF(H918=1,INDEX(tx_DrAmt,912),0)</f>
        <v/>
      </c>
      <c r="K918" s="58">
        <f>IF(H918=1,INDEX(tx_CrAcct,912)&amp;"","")</f>
        <v/>
      </c>
      <c r="L918" s="95">
        <f>IF(H918=1,INDEX(tx_CrAmt,912),0)</f>
        <v/>
      </c>
      <c r="M918" s="95">
        <f>IF(H918=1,INDEX(tx_TaxDr,912),0)</f>
        <v/>
      </c>
      <c r="N918" s="95">
        <f>IF(H918=1,INDEX(tx_TaxCr,912),0)</f>
        <v/>
      </c>
      <c r="O918" s="101">
        <f>IF(H918=1,IF(E918&lt;FYStart,0,IF(E918&gt;FYEnd,13,YEAR(E918)*12+MONTH(E918)-FYYM+1)),"")</f>
        <v/>
      </c>
      <c r="P918" s="101">
        <f>IF(H918=1,IF(IFERROR(INDEX(coa_CF,MATCH(I918,coa_Name,0)),"")="Cash",1,0),0)</f>
        <v/>
      </c>
      <c r="Q918" s="101">
        <f>IF(H918=1,IF(IFERROR(INDEX(coa_CF,MATCH(K918,coa_Name,0)),"")="Cash",1,0),0)</f>
        <v/>
      </c>
      <c r="R918" s="58">
        <f>IF((P918-Q918)=0,"",IFERROR(INDEX(coa_CF,MATCH(IF((P918-Q918)=1,K918,I918),coa_Name,0)),"Operating"))</f>
        <v/>
      </c>
      <c r="S918" s="95">
        <f>IF((P918-Q918)=1,L918,IF((P918-Q918)=-1,-J918,0))</f>
        <v/>
      </c>
      <c r="T918" s="95">
        <f>IF((P918-Q918)=1,N918,IF((P918-Q918)=-1,-M918,0))</f>
        <v/>
      </c>
      <c r="U918" s="101">
        <f>IF(AND(H918=1,LedAcct&lt;&gt;""),IF(AND(E918&gt;=LedFrom,E918&lt;=LedTo,OR(I918=LedAcct,K918=LedAcct,AND(LedAcct=acctTax,M918+N918&lt;&gt;0))),E918*10000+B918,""),"")</f>
        <v/>
      </c>
    </row>
    <row r="919">
      <c r="B919" s="101" t="n">
        <v>913</v>
      </c>
      <c r="C919" s="58" t="inlineStr">
        <is>
          <t>Transaction</t>
        </is>
      </c>
      <c r="D919" s="58">
        <f>IF(H919=1,INDEX(tx_ID,913)&amp;"","")</f>
        <v/>
      </c>
      <c r="E919" s="94">
        <f>IF(H919=1,INDEX(tx_Date,913),"")</f>
        <v/>
      </c>
      <c r="F919" s="58">
        <f>IF(H919=1,INDEX(tx_Desc,913)&amp;"","")</f>
        <v/>
      </c>
      <c r="G919" s="58">
        <f>IF(H919=1,IF(INDEX(tx_Cust,913)&amp;""&lt;&gt;"",INDEX(tx_Cust,913)&amp;"",INDEX(tx_Vend,913)&amp;""),"")</f>
        <v/>
      </c>
      <c r="H919" s="101">
        <f>IFERROR(N(INDEX(tx_Posted,913)),0)</f>
        <v/>
      </c>
      <c r="I919" s="58">
        <f>IF(H919=1,INDEX(tx_DrAcct,913)&amp;"","")</f>
        <v/>
      </c>
      <c r="J919" s="95">
        <f>IF(H919=1,INDEX(tx_DrAmt,913),0)</f>
        <v/>
      </c>
      <c r="K919" s="58">
        <f>IF(H919=1,INDEX(tx_CrAcct,913)&amp;"","")</f>
        <v/>
      </c>
      <c r="L919" s="95">
        <f>IF(H919=1,INDEX(tx_CrAmt,913),0)</f>
        <v/>
      </c>
      <c r="M919" s="95">
        <f>IF(H919=1,INDEX(tx_TaxDr,913),0)</f>
        <v/>
      </c>
      <c r="N919" s="95">
        <f>IF(H919=1,INDEX(tx_TaxCr,913),0)</f>
        <v/>
      </c>
      <c r="O919" s="101">
        <f>IF(H919=1,IF(E919&lt;FYStart,0,IF(E919&gt;FYEnd,13,YEAR(E919)*12+MONTH(E919)-FYYM+1)),"")</f>
        <v/>
      </c>
      <c r="P919" s="101">
        <f>IF(H919=1,IF(IFERROR(INDEX(coa_CF,MATCH(I919,coa_Name,0)),"")="Cash",1,0),0)</f>
        <v/>
      </c>
      <c r="Q919" s="101">
        <f>IF(H919=1,IF(IFERROR(INDEX(coa_CF,MATCH(K919,coa_Name,0)),"")="Cash",1,0),0)</f>
        <v/>
      </c>
      <c r="R919" s="58">
        <f>IF((P919-Q919)=0,"",IFERROR(INDEX(coa_CF,MATCH(IF((P919-Q919)=1,K919,I919),coa_Name,0)),"Operating"))</f>
        <v/>
      </c>
      <c r="S919" s="95">
        <f>IF((P919-Q919)=1,L919,IF((P919-Q919)=-1,-J919,0))</f>
        <v/>
      </c>
      <c r="T919" s="95">
        <f>IF((P919-Q919)=1,N919,IF((P919-Q919)=-1,-M919,0))</f>
        <v/>
      </c>
      <c r="U919" s="101">
        <f>IF(AND(H919=1,LedAcct&lt;&gt;""),IF(AND(E919&gt;=LedFrom,E919&lt;=LedTo,OR(I919=LedAcct,K919=LedAcct,AND(LedAcct=acctTax,M919+N919&lt;&gt;0))),E919*10000+B919,""),"")</f>
        <v/>
      </c>
    </row>
    <row r="920">
      <c r="B920" s="101" t="n">
        <v>914</v>
      </c>
      <c r="C920" s="58" t="inlineStr">
        <is>
          <t>Transaction</t>
        </is>
      </c>
      <c r="D920" s="58">
        <f>IF(H920=1,INDEX(tx_ID,914)&amp;"","")</f>
        <v/>
      </c>
      <c r="E920" s="94">
        <f>IF(H920=1,INDEX(tx_Date,914),"")</f>
        <v/>
      </c>
      <c r="F920" s="58">
        <f>IF(H920=1,INDEX(tx_Desc,914)&amp;"","")</f>
        <v/>
      </c>
      <c r="G920" s="58">
        <f>IF(H920=1,IF(INDEX(tx_Cust,914)&amp;""&lt;&gt;"",INDEX(tx_Cust,914)&amp;"",INDEX(tx_Vend,914)&amp;""),"")</f>
        <v/>
      </c>
      <c r="H920" s="101">
        <f>IFERROR(N(INDEX(tx_Posted,914)),0)</f>
        <v/>
      </c>
      <c r="I920" s="58">
        <f>IF(H920=1,INDEX(tx_DrAcct,914)&amp;"","")</f>
        <v/>
      </c>
      <c r="J920" s="95">
        <f>IF(H920=1,INDEX(tx_DrAmt,914),0)</f>
        <v/>
      </c>
      <c r="K920" s="58">
        <f>IF(H920=1,INDEX(tx_CrAcct,914)&amp;"","")</f>
        <v/>
      </c>
      <c r="L920" s="95">
        <f>IF(H920=1,INDEX(tx_CrAmt,914),0)</f>
        <v/>
      </c>
      <c r="M920" s="95">
        <f>IF(H920=1,INDEX(tx_TaxDr,914),0)</f>
        <v/>
      </c>
      <c r="N920" s="95">
        <f>IF(H920=1,INDEX(tx_TaxCr,914),0)</f>
        <v/>
      </c>
      <c r="O920" s="101">
        <f>IF(H920=1,IF(E920&lt;FYStart,0,IF(E920&gt;FYEnd,13,YEAR(E920)*12+MONTH(E920)-FYYM+1)),"")</f>
        <v/>
      </c>
      <c r="P920" s="101">
        <f>IF(H920=1,IF(IFERROR(INDEX(coa_CF,MATCH(I920,coa_Name,0)),"")="Cash",1,0),0)</f>
        <v/>
      </c>
      <c r="Q920" s="101">
        <f>IF(H920=1,IF(IFERROR(INDEX(coa_CF,MATCH(K920,coa_Name,0)),"")="Cash",1,0),0)</f>
        <v/>
      </c>
      <c r="R920" s="58">
        <f>IF((P920-Q920)=0,"",IFERROR(INDEX(coa_CF,MATCH(IF((P920-Q920)=1,K920,I920),coa_Name,0)),"Operating"))</f>
        <v/>
      </c>
      <c r="S920" s="95">
        <f>IF((P920-Q920)=1,L920,IF((P920-Q920)=-1,-J920,0))</f>
        <v/>
      </c>
      <c r="T920" s="95">
        <f>IF((P920-Q920)=1,N920,IF((P920-Q920)=-1,-M920,0))</f>
        <v/>
      </c>
      <c r="U920" s="101">
        <f>IF(AND(H920=1,LedAcct&lt;&gt;""),IF(AND(E920&gt;=LedFrom,E920&lt;=LedTo,OR(I920=LedAcct,K920=LedAcct,AND(LedAcct=acctTax,M920+N920&lt;&gt;0))),E920*10000+B920,""),"")</f>
        <v/>
      </c>
    </row>
    <row r="921">
      <c r="B921" s="101" t="n">
        <v>915</v>
      </c>
      <c r="C921" s="58" t="inlineStr">
        <is>
          <t>Transaction</t>
        </is>
      </c>
      <c r="D921" s="58">
        <f>IF(H921=1,INDEX(tx_ID,915)&amp;"","")</f>
        <v/>
      </c>
      <c r="E921" s="94">
        <f>IF(H921=1,INDEX(tx_Date,915),"")</f>
        <v/>
      </c>
      <c r="F921" s="58">
        <f>IF(H921=1,INDEX(tx_Desc,915)&amp;"","")</f>
        <v/>
      </c>
      <c r="G921" s="58">
        <f>IF(H921=1,IF(INDEX(tx_Cust,915)&amp;""&lt;&gt;"",INDEX(tx_Cust,915)&amp;"",INDEX(tx_Vend,915)&amp;""),"")</f>
        <v/>
      </c>
      <c r="H921" s="101">
        <f>IFERROR(N(INDEX(tx_Posted,915)),0)</f>
        <v/>
      </c>
      <c r="I921" s="58">
        <f>IF(H921=1,INDEX(tx_DrAcct,915)&amp;"","")</f>
        <v/>
      </c>
      <c r="J921" s="95">
        <f>IF(H921=1,INDEX(tx_DrAmt,915),0)</f>
        <v/>
      </c>
      <c r="K921" s="58">
        <f>IF(H921=1,INDEX(tx_CrAcct,915)&amp;"","")</f>
        <v/>
      </c>
      <c r="L921" s="95">
        <f>IF(H921=1,INDEX(tx_CrAmt,915),0)</f>
        <v/>
      </c>
      <c r="M921" s="95">
        <f>IF(H921=1,INDEX(tx_TaxDr,915),0)</f>
        <v/>
      </c>
      <c r="N921" s="95">
        <f>IF(H921=1,INDEX(tx_TaxCr,915),0)</f>
        <v/>
      </c>
      <c r="O921" s="101">
        <f>IF(H921=1,IF(E921&lt;FYStart,0,IF(E921&gt;FYEnd,13,YEAR(E921)*12+MONTH(E921)-FYYM+1)),"")</f>
        <v/>
      </c>
      <c r="P921" s="101">
        <f>IF(H921=1,IF(IFERROR(INDEX(coa_CF,MATCH(I921,coa_Name,0)),"")="Cash",1,0),0)</f>
        <v/>
      </c>
      <c r="Q921" s="101">
        <f>IF(H921=1,IF(IFERROR(INDEX(coa_CF,MATCH(K921,coa_Name,0)),"")="Cash",1,0),0)</f>
        <v/>
      </c>
      <c r="R921" s="58">
        <f>IF((P921-Q921)=0,"",IFERROR(INDEX(coa_CF,MATCH(IF((P921-Q921)=1,K921,I921),coa_Name,0)),"Operating"))</f>
        <v/>
      </c>
      <c r="S921" s="95">
        <f>IF((P921-Q921)=1,L921,IF((P921-Q921)=-1,-J921,0))</f>
        <v/>
      </c>
      <c r="T921" s="95">
        <f>IF((P921-Q921)=1,N921,IF((P921-Q921)=-1,-M921,0))</f>
        <v/>
      </c>
      <c r="U921" s="101">
        <f>IF(AND(H921=1,LedAcct&lt;&gt;""),IF(AND(E921&gt;=LedFrom,E921&lt;=LedTo,OR(I921=LedAcct,K921=LedAcct,AND(LedAcct=acctTax,M921+N921&lt;&gt;0))),E921*10000+B921,""),"")</f>
        <v/>
      </c>
    </row>
    <row r="922">
      <c r="B922" s="101" t="n">
        <v>916</v>
      </c>
      <c r="C922" s="58" t="inlineStr">
        <is>
          <t>Transaction</t>
        </is>
      </c>
      <c r="D922" s="58">
        <f>IF(H922=1,INDEX(tx_ID,916)&amp;"","")</f>
        <v/>
      </c>
      <c r="E922" s="94">
        <f>IF(H922=1,INDEX(tx_Date,916),"")</f>
        <v/>
      </c>
      <c r="F922" s="58">
        <f>IF(H922=1,INDEX(tx_Desc,916)&amp;"","")</f>
        <v/>
      </c>
      <c r="G922" s="58">
        <f>IF(H922=1,IF(INDEX(tx_Cust,916)&amp;""&lt;&gt;"",INDEX(tx_Cust,916)&amp;"",INDEX(tx_Vend,916)&amp;""),"")</f>
        <v/>
      </c>
      <c r="H922" s="101">
        <f>IFERROR(N(INDEX(tx_Posted,916)),0)</f>
        <v/>
      </c>
      <c r="I922" s="58">
        <f>IF(H922=1,INDEX(tx_DrAcct,916)&amp;"","")</f>
        <v/>
      </c>
      <c r="J922" s="95">
        <f>IF(H922=1,INDEX(tx_DrAmt,916),0)</f>
        <v/>
      </c>
      <c r="K922" s="58">
        <f>IF(H922=1,INDEX(tx_CrAcct,916)&amp;"","")</f>
        <v/>
      </c>
      <c r="L922" s="95">
        <f>IF(H922=1,INDEX(tx_CrAmt,916),0)</f>
        <v/>
      </c>
      <c r="M922" s="95">
        <f>IF(H922=1,INDEX(tx_TaxDr,916),0)</f>
        <v/>
      </c>
      <c r="N922" s="95">
        <f>IF(H922=1,INDEX(tx_TaxCr,916),0)</f>
        <v/>
      </c>
      <c r="O922" s="101">
        <f>IF(H922=1,IF(E922&lt;FYStart,0,IF(E922&gt;FYEnd,13,YEAR(E922)*12+MONTH(E922)-FYYM+1)),"")</f>
        <v/>
      </c>
      <c r="P922" s="101">
        <f>IF(H922=1,IF(IFERROR(INDEX(coa_CF,MATCH(I922,coa_Name,0)),"")="Cash",1,0),0)</f>
        <v/>
      </c>
      <c r="Q922" s="101">
        <f>IF(H922=1,IF(IFERROR(INDEX(coa_CF,MATCH(K922,coa_Name,0)),"")="Cash",1,0),0)</f>
        <v/>
      </c>
      <c r="R922" s="58">
        <f>IF((P922-Q922)=0,"",IFERROR(INDEX(coa_CF,MATCH(IF((P922-Q922)=1,K922,I922),coa_Name,0)),"Operating"))</f>
        <v/>
      </c>
      <c r="S922" s="95">
        <f>IF((P922-Q922)=1,L922,IF((P922-Q922)=-1,-J922,0))</f>
        <v/>
      </c>
      <c r="T922" s="95">
        <f>IF((P922-Q922)=1,N922,IF((P922-Q922)=-1,-M922,0))</f>
        <v/>
      </c>
      <c r="U922" s="101">
        <f>IF(AND(H922=1,LedAcct&lt;&gt;""),IF(AND(E922&gt;=LedFrom,E922&lt;=LedTo,OR(I922=LedAcct,K922=LedAcct,AND(LedAcct=acctTax,M922+N922&lt;&gt;0))),E922*10000+B922,""),"")</f>
        <v/>
      </c>
    </row>
    <row r="923">
      <c r="B923" s="101" t="n">
        <v>917</v>
      </c>
      <c r="C923" s="58" t="inlineStr">
        <is>
          <t>Transaction</t>
        </is>
      </c>
      <c r="D923" s="58">
        <f>IF(H923=1,INDEX(tx_ID,917)&amp;"","")</f>
        <v/>
      </c>
      <c r="E923" s="94">
        <f>IF(H923=1,INDEX(tx_Date,917),"")</f>
        <v/>
      </c>
      <c r="F923" s="58">
        <f>IF(H923=1,INDEX(tx_Desc,917)&amp;"","")</f>
        <v/>
      </c>
      <c r="G923" s="58">
        <f>IF(H923=1,IF(INDEX(tx_Cust,917)&amp;""&lt;&gt;"",INDEX(tx_Cust,917)&amp;"",INDEX(tx_Vend,917)&amp;""),"")</f>
        <v/>
      </c>
      <c r="H923" s="101">
        <f>IFERROR(N(INDEX(tx_Posted,917)),0)</f>
        <v/>
      </c>
      <c r="I923" s="58">
        <f>IF(H923=1,INDEX(tx_DrAcct,917)&amp;"","")</f>
        <v/>
      </c>
      <c r="J923" s="95">
        <f>IF(H923=1,INDEX(tx_DrAmt,917),0)</f>
        <v/>
      </c>
      <c r="K923" s="58">
        <f>IF(H923=1,INDEX(tx_CrAcct,917)&amp;"","")</f>
        <v/>
      </c>
      <c r="L923" s="95">
        <f>IF(H923=1,INDEX(tx_CrAmt,917),0)</f>
        <v/>
      </c>
      <c r="M923" s="95">
        <f>IF(H923=1,INDEX(tx_TaxDr,917),0)</f>
        <v/>
      </c>
      <c r="N923" s="95">
        <f>IF(H923=1,INDEX(tx_TaxCr,917),0)</f>
        <v/>
      </c>
      <c r="O923" s="101">
        <f>IF(H923=1,IF(E923&lt;FYStart,0,IF(E923&gt;FYEnd,13,YEAR(E923)*12+MONTH(E923)-FYYM+1)),"")</f>
        <v/>
      </c>
      <c r="P923" s="101">
        <f>IF(H923=1,IF(IFERROR(INDEX(coa_CF,MATCH(I923,coa_Name,0)),"")="Cash",1,0),0)</f>
        <v/>
      </c>
      <c r="Q923" s="101">
        <f>IF(H923=1,IF(IFERROR(INDEX(coa_CF,MATCH(K923,coa_Name,0)),"")="Cash",1,0),0)</f>
        <v/>
      </c>
      <c r="R923" s="58">
        <f>IF((P923-Q923)=0,"",IFERROR(INDEX(coa_CF,MATCH(IF((P923-Q923)=1,K923,I923),coa_Name,0)),"Operating"))</f>
        <v/>
      </c>
      <c r="S923" s="95">
        <f>IF((P923-Q923)=1,L923,IF((P923-Q923)=-1,-J923,0))</f>
        <v/>
      </c>
      <c r="T923" s="95">
        <f>IF((P923-Q923)=1,N923,IF((P923-Q923)=-1,-M923,0))</f>
        <v/>
      </c>
      <c r="U923" s="101">
        <f>IF(AND(H923=1,LedAcct&lt;&gt;""),IF(AND(E923&gt;=LedFrom,E923&lt;=LedTo,OR(I923=LedAcct,K923=LedAcct,AND(LedAcct=acctTax,M923+N923&lt;&gt;0))),E923*10000+B923,""),"")</f>
        <v/>
      </c>
    </row>
    <row r="924">
      <c r="B924" s="101" t="n">
        <v>918</v>
      </c>
      <c r="C924" s="58" t="inlineStr">
        <is>
          <t>Transaction</t>
        </is>
      </c>
      <c r="D924" s="58">
        <f>IF(H924=1,INDEX(tx_ID,918)&amp;"","")</f>
        <v/>
      </c>
      <c r="E924" s="94">
        <f>IF(H924=1,INDEX(tx_Date,918),"")</f>
        <v/>
      </c>
      <c r="F924" s="58">
        <f>IF(H924=1,INDEX(tx_Desc,918)&amp;"","")</f>
        <v/>
      </c>
      <c r="G924" s="58">
        <f>IF(H924=1,IF(INDEX(tx_Cust,918)&amp;""&lt;&gt;"",INDEX(tx_Cust,918)&amp;"",INDEX(tx_Vend,918)&amp;""),"")</f>
        <v/>
      </c>
      <c r="H924" s="101">
        <f>IFERROR(N(INDEX(tx_Posted,918)),0)</f>
        <v/>
      </c>
      <c r="I924" s="58">
        <f>IF(H924=1,INDEX(tx_DrAcct,918)&amp;"","")</f>
        <v/>
      </c>
      <c r="J924" s="95">
        <f>IF(H924=1,INDEX(tx_DrAmt,918),0)</f>
        <v/>
      </c>
      <c r="K924" s="58">
        <f>IF(H924=1,INDEX(tx_CrAcct,918)&amp;"","")</f>
        <v/>
      </c>
      <c r="L924" s="95">
        <f>IF(H924=1,INDEX(tx_CrAmt,918),0)</f>
        <v/>
      </c>
      <c r="M924" s="95">
        <f>IF(H924=1,INDEX(tx_TaxDr,918),0)</f>
        <v/>
      </c>
      <c r="N924" s="95">
        <f>IF(H924=1,INDEX(tx_TaxCr,918),0)</f>
        <v/>
      </c>
      <c r="O924" s="101">
        <f>IF(H924=1,IF(E924&lt;FYStart,0,IF(E924&gt;FYEnd,13,YEAR(E924)*12+MONTH(E924)-FYYM+1)),"")</f>
        <v/>
      </c>
      <c r="P924" s="101">
        <f>IF(H924=1,IF(IFERROR(INDEX(coa_CF,MATCH(I924,coa_Name,0)),"")="Cash",1,0),0)</f>
        <v/>
      </c>
      <c r="Q924" s="101">
        <f>IF(H924=1,IF(IFERROR(INDEX(coa_CF,MATCH(K924,coa_Name,0)),"")="Cash",1,0),0)</f>
        <v/>
      </c>
      <c r="R924" s="58">
        <f>IF((P924-Q924)=0,"",IFERROR(INDEX(coa_CF,MATCH(IF((P924-Q924)=1,K924,I924),coa_Name,0)),"Operating"))</f>
        <v/>
      </c>
      <c r="S924" s="95">
        <f>IF((P924-Q924)=1,L924,IF((P924-Q924)=-1,-J924,0))</f>
        <v/>
      </c>
      <c r="T924" s="95">
        <f>IF((P924-Q924)=1,N924,IF((P924-Q924)=-1,-M924,0))</f>
        <v/>
      </c>
      <c r="U924" s="101">
        <f>IF(AND(H924=1,LedAcct&lt;&gt;""),IF(AND(E924&gt;=LedFrom,E924&lt;=LedTo,OR(I924=LedAcct,K924=LedAcct,AND(LedAcct=acctTax,M924+N924&lt;&gt;0))),E924*10000+B924,""),"")</f>
        <v/>
      </c>
    </row>
    <row r="925">
      <c r="B925" s="101" t="n">
        <v>919</v>
      </c>
      <c r="C925" s="58" t="inlineStr">
        <is>
          <t>Transaction</t>
        </is>
      </c>
      <c r="D925" s="58">
        <f>IF(H925=1,INDEX(tx_ID,919)&amp;"","")</f>
        <v/>
      </c>
      <c r="E925" s="94">
        <f>IF(H925=1,INDEX(tx_Date,919),"")</f>
        <v/>
      </c>
      <c r="F925" s="58">
        <f>IF(H925=1,INDEX(tx_Desc,919)&amp;"","")</f>
        <v/>
      </c>
      <c r="G925" s="58">
        <f>IF(H925=1,IF(INDEX(tx_Cust,919)&amp;""&lt;&gt;"",INDEX(tx_Cust,919)&amp;"",INDEX(tx_Vend,919)&amp;""),"")</f>
        <v/>
      </c>
      <c r="H925" s="101">
        <f>IFERROR(N(INDEX(tx_Posted,919)),0)</f>
        <v/>
      </c>
      <c r="I925" s="58">
        <f>IF(H925=1,INDEX(tx_DrAcct,919)&amp;"","")</f>
        <v/>
      </c>
      <c r="J925" s="95">
        <f>IF(H925=1,INDEX(tx_DrAmt,919),0)</f>
        <v/>
      </c>
      <c r="K925" s="58">
        <f>IF(H925=1,INDEX(tx_CrAcct,919)&amp;"","")</f>
        <v/>
      </c>
      <c r="L925" s="95">
        <f>IF(H925=1,INDEX(tx_CrAmt,919),0)</f>
        <v/>
      </c>
      <c r="M925" s="95">
        <f>IF(H925=1,INDEX(tx_TaxDr,919),0)</f>
        <v/>
      </c>
      <c r="N925" s="95">
        <f>IF(H925=1,INDEX(tx_TaxCr,919),0)</f>
        <v/>
      </c>
      <c r="O925" s="101">
        <f>IF(H925=1,IF(E925&lt;FYStart,0,IF(E925&gt;FYEnd,13,YEAR(E925)*12+MONTH(E925)-FYYM+1)),"")</f>
        <v/>
      </c>
      <c r="P925" s="101">
        <f>IF(H925=1,IF(IFERROR(INDEX(coa_CF,MATCH(I925,coa_Name,0)),"")="Cash",1,0),0)</f>
        <v/>
      </c>
      <c r="Q925" s="101">
        <f>IF(H925=1,IF(IFERROR(INDEX(coa_CF,MATCH(K925,coa_Name,0)),"")="Cash",1,0),0)</f>
        <v/>
      </c>
      <c r="R925" s="58">
        <f>IF((P925-Q925)=0,"",IFERROR(INDEX(coa_CF,MATCH(IF((P925-Q925)=1,K925,I925),coa_Name,0)),"Operating"))</f>
        <v/>
      </c>
      <c r="S925" s="95">
        <f>IF((P925-Q925)=1,L925,IF((P925-Q925)=-1,-J925,0))</f>
        <v/>
      </c>
      <c r="T925" s="95">
        <f>IF((P925-Q925)=1,N925,IF((P925-Q925)=-1,-M925,0))</f>
        <v/>
      </c>
      <c r="U925" s="101">
        <f>IF(AND(H925=1,LedAcct&lt;&gt;""),IF(AND(E925&gt;=LedFrom,E925&lt;=LedTo,OR(I925=LedAcct,K925=LedAcct,AND(LedAcct=acctTax,M925+N925&lt;&gt;0))),E925*10000+B925,""),"")</f>
        <v/>
      </c>
    </row>
    <row r="926">
      <c r="B926" s="101" t="n">
        <v>920</v>
      </c>
      <c r="C926" s="58" t="inlineStr">
        <is>
          <t>Transaction</t>
        </is>
      </c>
      <c r="D926" s="58">
        <f>IF(H926=1,INDEX(tx_ID,920)&amp;"","")</f>
        <v/>
      </c>
      <c r="E926" s="94">
        <f>IF(H926=1,INDEX(tx_Date,920),"")</f>
        <v/>
      </c>
      <c r="F926" s="58">
        <f>IF(H926=1,INDEX(tx_Desc,920)&amp;"","")</f>
        <v/>
      </c>
      <c r="G926" s="58">
        <f>IF(H926=1,IF(INDEX(tx_Cust,920)&amp;""&lt;&gt;"",INDEX(tx_Cust,920)&amp;"",INDEX(tx_Vend,920)&amp;""),"")</f>
        <v/>
      </c>
      <c r="H926" s="101">
        <f>IFERROR(N(INDEX(tx_Posted,920)),0)</f>
        <v/>
      </c>
      <c r="I926" s="58">
        <f>IF(H926=1,INDEX(tx_DrAcct,920)&amp;"","")</f>
        <v/>
      </c>
      <c r="J926" s="95">
        <f>IF(H926=1,INDEX(tx_DrAmt,920),0)</f>
        <v/>
      </c>
      <c r="K926" s="58">
        <f>IF(H926=1,INDEX(tx_CrAcct,920)&amp;"","")</f>
        <v/>
      </c>
      <c r="L926" s="95">
        <f>IF(H926=1,INDEX(tx_CrAmt,920),0)</f>
        <v/>
      </c>
      <c r="M926" s="95">
        <f>IF(H926=1,INDEX(tx_TaxDr,920),0)</f>
        <v/>
      </c>
      <c r="N926" s="95">
        <f>IF(H926=1,INDEX(tx_TaxCr,920),0)</f>
        <v/>
      </c>
      <c r="O926" s="101">
        <f>IF(H926=1,IF(E926&lt;FYStart,0,IF(E926&gt;FYEnd,13,YEAR(E926)*12+MONTH(E926)-FYYM+1)),"")</f>
        <v/>
      </c>
      <c r="P926" s="101">
        <f>IF(H926=1,IF(IFERROR(INDEX(coa_CF,MATCH(I926,coa_Name,0)),"")="Cash",1,0),0)</f>
        <v/>
      </c>
      <c r="Q926" s="101">
        <f>IF(H926=1,IF(IFERROR(INDEX(coa_CF,MATCH(K926,coa_Name,0)),"")="Cash",1,0),0)</f>
        <v/>
      </c>
      <c r="R926" s="58">
        <f>IF((P926-Q926)=0,"",IFERROR(INDEX(coa_CF,MATCH(IF((P926-Q926)=1,K926,I926),coa_Name,0)),"Operating"))</f>
        <v/>
      </c>
      <c r="S926" s="95">
        <f>IF((P926-Q926)=1,L926,IF((P926-Q926)=-1,-J926,0))</f>
        <v/>
      </c>
      <c r="T926" s="95">
        <f>IF((P926-Q926)=1,N926,IF((P926-Q926)=-1,-M926,0))</f>
        <v/>
      </c>
      <c r="U926" s="101">
        <f>IF(AND(H926=1,LedAcct&lt;&gt;""),IF(AND(E926&gt;=LedFrom,E926&lt;=LedTo,OR(I926=LedAcct,K926=LedAcct,AND(LedAcct=acctTax,M926+N926&lt;&gt;0))),E926*10000+B926,""),"")</f>
        <v/>
      </c>
    </row>
    <row r="927">
      <c r="B927" s="101" t="n">
        <v>921</v>
      </c>
      <c r="C927" s="58" t="inlineStr">
        <is>
          <t>Transaction</t>
        </is>
      </c>
      <c r="D927" s="58">
        <f>IF(H927=1,INDEX(tx_ID,921)&amp;"","")</f>
        <v/>
      </c>
      <c r="E927" s="94">
        <f>IF(H927=1,INDEX(tx_Date,921),"")</f>
        <v/>
      </c>
      <c r="F927" s="58">
        <f>IF(H927=1,INDEX(tx_Desc,921)&amp;"","")</f>
        <v/>
      </c>
      <c r="G927" s="58">
        <f>IF(H927=1,IF(INDEX(tx_Cust,921)&amp;""&lt;&gt;"",INDEX(tx_Cust,921)&amp;"",INDEX(tx_Vend,921)&amp;""),"")</f>
        <v/>
      </c>
      <c r="H927" s="101">
        <f>IFERROR(N(INDEX(tx_Posted,921)),0)</f>
        <v/>
      </c>
      <c r="I927" s="58">
        <f>IF(H927=1,INDEX(tx_DrAcct,921)&amp;"","")</f>
        <v/>
      </c>
      <c r="J927" s="95">
        <f>IF(H927=1,INDEX(tx_DrAmt,921),0)</f>
        <v/>
      </c>
      <c r="K927" s="58">
        <f>IF(H927=1,INDEX(tx_CrAcct,921)&amp;"","")</f>
        <v/>
      </c>
      <c r="L927" s="95">
        <f>IF(H927=1,INDEX(tx_CrAmt,921),0)</f>
        <v/>
      </c>
      <c r="M927" s="95">
        <f>IF(H927=1,INDEX(tx_TaxDr,921),0)</f>
        <v/>
      </c>
      <c r="N927" s="95">
        <f>IF(H927=1,INDEX(tx_TaxCr,921),0)</f>
        <v/>
      </c>
      <c r="O927" s="101">
        <f>IF(H927=1,IF(E927&lt;FYStart,0,IF(E927&gt;FYEnd,13,YEAR(E927)*12+MONTH(E927)-FYYM+1)),"")</f>
        <v/>
      </c>
      <c r="P927" s="101">
        <f>IF(H927=1,IF(IFERROR(INDEX(coa_CF,MATCH(I927,coa_Name,0)),"")="Cash",1,0),0)</f>
        <v/>
      </c>
      <c r="Q927" s="101">
        <f>IF(H927=1,IF(IFERROR(INDEX(coa_CF,MATCH(K927,coa_Name,0)),"")="Cash",1,0),0)</f>
        <v/>
      </c>
      <c r="R927" s="58">
        <f>IF((P927-Q927)=0,"",IFERROR(INDEX(coa_CF,MATCH(IF((P927-Q927)=1,K927,I927),coa_Name,0)),"Operating"))</f>
        <v/>
      </c>
      <c r="S927" s="95">
        <f>IF((P927-Q927)=1,L927,IF((P927-Q927)=-1,-J927,0))</f>
        <v/>
      </c>
      <c r="T927" s="95">
        <f>IF((P927-Q927)=1,N927,IF((P927-Q927)=-1,-M927,0))</f>
        <v/>
      </c>
      <c r="U927" s="101">
        <f>IF(AND(H927=1,LedAcct&lt;&gt;""),IF(AND(E927&gt;=LedFrom,E927&lt;=LedTo,OR(I927=LedAcct,K927=LedAcct,AND(LedAcct=acctTax,M927+N927&lt;&gt;0))),E927*10000+B927,""),"")</f>
        <v/>
      </c>
    </row>
    <row r="928">
      <c r="B928" s="101" t="n">
        <v>922</v>
      </c>
      <c r="C928" s="58" t="inlineStr">
        <is>
          <t>Transaction</t>
        </is>
      </c>
      <c r="D928" s="58">
        <f>IF(H928=1,INDEX(tx_ID,922)&amp;"","")</f>
        <v/>
      </c>
      <c r="E928" s="94">
        <f>IF(H928=1,INDEX(tx_Date,922),"")</f>
        <v/>
      </c>
      <c r="F928" s="58">
        <f>IF(H928=1,INDEX(tx_Desc,922)&amp;"","")</f>
        <v/>
      </c>
      <c r="G928" s="58">
        <f>IF(H928=1,IF(INDEX(tx_Cust,922)&amp;""&lt;&gt;"",INDEX(tx_Cust,922)&amp;"",INDEX(tx_Vend,922)&amp;""),"")</f>
        <v/>
      </c>
      <c r="H928" s="101">
        <f>IFERROR(N(INDEX(tx_Posted,922)),0)</f>
        <v/>
      </c>
      <c r="I928" s="58">
        <f>IF(H928=1,INDEX(tx_DrAcct,922)&amp;"","")</f>
        <v/>
      </c>
      <c r="J928" s="95">
        <f>IF(H928=1,INDEX(tx_DrAmt,922),0)</f>
        <v/>
      </c>
      <c r="K928" s="58">
        <f>IF(H928=1,INDEX(tx_CrAcct,922)&amp;"","")</f>
        <v/>
      </c>
      <c r="L928" s="95">
        <f>IF(H928=1,INDEX(tx_CrAmt,922),0)</f>
        <v/>
      </c>
      <c r="M928" s="95">
        <f>IF(H928=1,INDEX(tx_TaxDr,922),0)</f>
        <v/>
      </c>
      <c r="N928" s="95">
        <f>IF(H928=1,INDEX(tx_TaxCr,922),0)</f>
        <v/>
      </c>
      <c r="O928" s="101">
        <f>IF(H928=1,IF(E928&lt;FYStart,0,IF(E928&gt;FYEnd,13,YEAR(E928)*12+MONTH(E928)-FYYM+1)),"")</f>
        <v/>
      </c>
      <c r="P928" s="101">
        <f>IF(H928=1,IF(IFERROR(INDEX(coa_CF,MATCH(I928,coa_Name,0)),"")="Cash",1,0),0)</f>
        <v/>
      </c>
      <c r="Q928" s="101">
        <f>IF(H928=1,IF(IFERROR(INDEX(coa_CF,MATCH(K928,coa_Name,0)),"")="Cash",1,0),0)</f>
        <v/>
      </c>
      <c r="R928" s="58">
        <f>IF((P928-Q928)=0,"",IFERROR(INDEX(coa_CF,MATCH(IF((P928-Q928)=1,K928,I928),coa_Name,0)),"Operating"))</f>
        <v/>
      </c>
      <c r="S928" s="95">
        <f>IF((P928-Q928)=1,L928,IF((P928-Q928)=-1,-J928,0))</f>
        <v/>
      </c>
      <c r="T928" s="95">
        <f>IF((P928-Q928)=1,N928,IF((P928-Q928)=-1,-M928,0))</f>
        <v/>
      </c>
      <c r="U928" s="101">
        <f>IF(AND(H928=1,LedAcct&lt;&gt;""),IF(AND(E928&gt;=LedFrom,E928&lt;=LedTo,OR(I928=LedAcct,K928=LedAcct,AND(LedAcct=acctTax,M928+N928&lt;&gt;0))),E928*10000+B928,""),"")</f>
        <v/>
      </c>
    </row>
    <row r="929">
      <c r="B929" s="101" t="n">
        <v>923</v>
      </c>
      <c r="C929" s="58" t="inlineStr">
        <is>
          <t>Transaction</t>
        </is>
      </c>
      <c r="D929" s="58">
        <f>IF(H929=1,INDEX(tx_ID,923)&amp;"","")</f>
        <v/>
      </c>
      <c r="E929" s="94">
        <f>IF(H929=1,INDEX(tx_Date,923),"")</f>
        <v/>
      </c>
      <c r="F929" s="58">
        <f>IF(H929=1,INDEX(tx_Desc,923)&amp;"","")</f>
        <v/>
      </c>
      <c r="G929" s="58">
        <f>IF(H929=1,IF(INDEX(tx_Cust,923)&amp;""&lt;&gt;"",INDEX(tx_Cust,923)&amp;"",INDEX(tx_Vend,923)&amp;""),"")</f>
        <v/>
      </c>
      <c r="H929" s="101">
        <f>IFERROR(N(INDEX(tx_Posted,923)),0)</f>
        <v/>
      </c>
      <c r="I929" s="58">
        <f>IF(H929=1,INDEX(tx_DrAcct,923)&amp;"","")</f>
        <v/>
      </c>
      <c r="J929" s="95">
        <f>IF(H929=1,INDEX(tx_DrAmt,923),0)</f>
        <v/>
      </c>
      <c r="K929" s="58">
        <f>IF(H929=1,INDEX(tx_CrAcct,923)&amp;"","")</f>
        <v/>
      </c>
      <c r="L929" s="95">
        <f>IF(H929=1,INDEX(tx_CrAmt,923),0)</f>
        <v/>
      </c>
      <c r="M929" s="95">
        <f>IF(H929=1,INDEX(tx_TaxDr,923),0)</f>
        <v/>
      </c>
      <c r="N929" s="95">
        <f>IF(H929=1,INDEX(tx_TaxCr,923),0)</f>
        <v/>
      </c>
      <c r="O929" s="101">
        <f>IF(H929=1,IF(E929&lt;FYStart,0,IF(E929&gt;FYEnd,13,YEAR(E929)*12+MONTH(E929)-FYYM+1)),"")</f>
        <v/>
      </c>
      <c r="P929" s="101">
        <f>IF(H929=1,IF(IFERROR(INDEX(coa_CF,MATCH(I929,coa_Name,0)),"")="Cash",1,0),0)</f>
        <v/>
      </c>
      <c r="Q929" s="101">
        <f>IF(H929=1,IF(IFERROR(INDEX(coa_CF,MATCH(K929,coa_Name,0)),"")="Cash",1,0),0)</f>
        <v/>
      </c>
      <c r="R929" s="58">
        <f>IF((P929-Q929)=0,"",IFERROR(INDEX(coa_CF,MATCH(IF((P929-Q929)=1,K929,I929),coa_Name,0)),"Operating"))</f>
        <v/>
      </c>
      <c r="S929" s="95">
        <f>IF((P929-Q929)=1,L929,IF((P929-Q929)=-1,-J929,0))</f>
        <v/>
      </c>
      <c r="T929" s="95">
        <f>IF((P929-Q929)=1,N929,IF((P929-Q929)=-1,-M929,0))</f>
        <v/>
      </c>
      <c r="U929" s="101">
        <f>IF(AND(H929=1,LedAcct&lt;&gt;""),IF(AND(E929&gt;=LedFrom,E929&lt;=LedTo,OR(I929=LedAcct,K929=LedAcct,AND(LedAcct=acctTax,M929+N929&lt;&gt;0))),E929*10000+B929,""),"")</f>
        <v/>
      </c>
    </row>
    <row r="930">
      <c r="B930" s="101" t="n">
        <v>924</v>
      </c>
      <c r="C930" s="58" t="inlineStr">
        <is>
          <t>Transaction</t>
        </is>
      </c>
      <c r="D930" s="58">
        <f>IF(H930=1,INDEX(tx_ID,924)&amp;"","")</f>
        <v/>
      </c>
      <c r="E930" s="94">
        <f>IF(H930=1,INDEX(tx_Date,924),"")</f>
        <v/>
      </c>
      <c r="F930" s="58">
        <f>IF(H930=1,INDEX(tx_Desc,924)&amp;"","")</f>
        <v/>
      </c>
      <c r="G930" s="58">
        <f>IF(H930=1,IF(INDEX(tx_Cust,924)&amp;""&lt;&gt;"",INDEX(tx_Cust,924)&amp;"",INDEX(tx_Vend,924)&amp;""),"")</f>
        <v/>
      </c>
      <c r="H930" s="101">
        <f>IFERROR(N(INDEX(tx_Posted,924)),0)</f>
        <v/>
      </c>
      <c r="I930" s="58">
        <f>IF(H930=1,INDEX(tx_DrAcct,924)&amp;"","")</f>
        <v/>
      </c>
      <c r="J930" s="95">
        <f>IF(H930=1,INDEX(tx_DrAmt,924),0)</f>
        <v/>
      </c>
      <c r="K930" s="58">
        <f>IF(H930=1,INDEX(tx_CrAcct,924)&amp;"","")</f>
        <v/>
      </c>
      <c r="L930" s="95">
        <f>IF(H930=1,INDEX(tx_CrAmt,924),0)</f>
        <v/>
      </c>
      <c r="M930" s="95">
        <f>IF(H930=1,INDEX(tx_TaxDr,924),0)</f>
        <v/>
      </c>
      <c r="N930" s="95">
        <f>IF(H930=1,INDEX(tx_TaxCr,924),0)</f>
        <v/>
      </c>
      <c r="O930" s="101">
        <f>IF(H930=1,IF(E930&lt;FYStart,0,IF(E930&gt;FYEnd,13,YEAR(E930)*12+MONTH(E930)-FYYM+1)),"")</f>
        <v/>
      </c>
      <c r="P930" s="101">
        <f>IF(H930=1,IF(IFERROR(INDEX(coa_CF,MATCH(I930,coa_Name,0)),"")="Cash",1,0),0)</f>
        <v/>
      </c>
      <c r="Q930" s="101">
        <f>IF(H930=1,IF(IFERROR(INDEX(coa_CF,MATCH(K930,coa_Name,0)),"")="Cash",1,0),0)</f>
        <v/>
      </c>
      <c r="R930" s="58">
        <f>IF((P930-Q930)=0,"",IFERROR(INDEX(coa_CF,MATCH(IF((P930-Q930)=1,K930,I930),coa_Name,0)),"Operating"))</f>
        <v/>
      </c>
      <c r="S930" s="95">
        <f>IF((P930-Q930)=1,L930,IF((P930-Q930)=-1,-J930,0))</f>
        <v/>
      </c>
      <c r="T930" s="95">
        <f>IF((P930-Q930)=1,N930,IF((P930-Q930)=-1,-M930,0))</f>
        <v/>
      </c>
      <c r="U930" s="101">
        <f>IF(AND(H930=1,LedAcct&lt;&gt;""),IF(AND(E930&gt;=LedFrom,E930&lt;=LedTo,OR(I930=LedAcct,K930=LedAcct,AND(LedAcct=acctTax,M930+N930&lt;&gt;0))),E930*10000+B930,""),"")</f>
        <v/>
      </c>
    </row>
    <row r="931">
      <c r="B931" s="101" t="n">
        <v>925</v>
      </c>
      <c r="C931" s="58" t="inlineStr">
        <is>
          <t>Transaction</t>
        </is>
      </c>
      <c r="D931" s="58">
        <f>IF(H931=1,INDEX(tx_ID,925)&amp;"","")</f>
        <v/>
      </c>
      <c r="E931" s="94">
        <f>IF(H931=1,INDEX(tx_Date,925),"")</f>
        <v/>
      </c>
      <c r="F931" s="58">
        <f>IF(H931=1,INDEX(tx_Desc,925)&amp;"","")</f>
        <v/>
      </c>
      <c r="G931" s="58">
        <f>IF(H931=1,IF(INDEX(tx_Cust,925)&amp;""&lt;&gt;"",INDEX(tx_Cust,925)&amp;"",INDEX(tx_Vend,925)&amp;""),"")</f>
        <v/>
      </c>
      <c r="H931" s="101">
        <f>IFERROR(N(INDEX(tx_Posted,925)),0)</f>
        <v/>
      </c>
      <c r="I931" s="58">
        <f>IF(H931=1,INDEX(tx_DrAcct,925)&amp;"","")</f>
        <v/>
      </c>
      <c r="J931" s="95">
        <f>IF(H931=1,INDEX(tx_DrAmt,925),0)</f>
        <v/>
      </c>
      <c r="K931" s="58">
        <f>IF(H931=1,INDEX(tx_CrAcct,925)&amp;"","")</f>
        <v/>
      </c>
      <c r="L931" s="95">
        <f>IF(H931=1,INDEX(tx_CrAmt,925),0)</f>
        <v/>
      </c>
      <c r="M931" s="95">
        <f>IF(H931=1,INDEX(tx_TaxDr,925),0)</f>
        <v/>
      </c>
      <c r="N931" s="95">
        <f>IF(H931=1,INDEX(tx_TaxCr,925),0)</f>
        <v/>
      </c>
      <c r="O931" s="101">
        <f>IF(H931=1,IF(E931&lt;FYStart,0,IF(E931&gt;FYEnd,13,YEAR(E931)*12+MONTH(E931)-FYYM+1)),"")</f>
        <v/>
      </c>
      <c r="P931" s="101">
        <f>IF(H931=1,IF(IFERROR(INDEX(coa_CF,MATCH(I931,coa_Name,0)),"")="Cash",1,0),0)</f>
        <v/>
      </c>
      <c r="Q931" s="101">
        <f>IF(H931=1,IF(IFERROR(INDEX(coa_CF,MATCH(K931,coa_Name,0)),"")="Cash",1,0),0)</f>
        <v/>
      </c>
      <c r="R931" s="58">
        <f>IF((P931-Q931)=0,"",IFERROR(INDEX(coa_CF,MATCH(IF((P931-Q931)=1,K931,I931),coa_Name,0)),"Operating"))</f>
        <v/>
      </c>
      <c r="S931" s="95">
        <f>IF((P931-Q931)=1,L931,IF((P931-Q931)=-1,-J931,0))</f>
        <v/>
      </c>
      <c r="T931" s="95">
        <f>IF((P931-Q931)=1,N931,IF((P931-Q931)=-1,-M931,0))</f>
        <v/>
      </c>
      <c r="U931" s="101">
        <f>IF(AND(H931=1,LedAcct&lt;&gt;""),IF(AND(E931&gt;=LedFrom,E931&lt;=LedTo,OR(I931=LedAcct,K931=LedAcct,AND(LedAcct=acctTax,M931+N931&lt;&gt;0))),E931*10000+B931,""),"")</f>
        <v/>
      </c>
    </row>
    <row r="932">
      <c r="B932" s="101" t="n">
        <v>926</v>
      </c>
      <c r="C932" s="58" t="inlineStr">
        <is>
          <t>Transaction</t>
        </is>
      </c>
      <c r="D932" s="58">
        <f>IF(H932=1,INDEX(tx_ID,926)&amp;"","")</f>
        <v/>
      </c>
      <c r="E932" s="94">
        <f>IF(H932=1,INDEX(tx_Date,926),"")</f>
        <v/>
      </c>
      <c r="F932" s="58">
        <f>IF(H932=1,INDEX(tx_Desc,926)&amp;"","")</f>
        <v/>
      </c>
      <c r="G932" s="58">
        <f>IF(H932=1,IF(INDEX(tx_Cust,926)&amp;""&lt;&gt;"",INDEX(tx_Cust,926)&amp;"",INDEX(tx_Vend,926)&amp;""),"")</f>
        <v/>
      </c>
      <c r="H932" s="101">
        <f>IFERROR(N(INDEX(tx_Posted,926)),0)</f>
        <v/>
      </c>
      <c r="I932" s="58">
        <f>IF(H932=1,INDEX(tx_DrAcct,926)&amp;"","")</f>
        <v/>
      </c>
      <c r="J932" s="95">
        <f>IF(H932=1,INDEX(tx_DrAmt,926),0)</f>
        <v/>
      </c>
      <c r="K932" s="58">
        <f>IF(H932=1,INDEX(tx_CrAcct,926)&amp;"","")</f>
        <v/>
      </c>
      <c r="L932" s="95">
        <f>IF(H932=1,INDEX(tx_CrAmt,926),0)</f>
        <v/>
      </c>
      <c r="M932" s="95">
        <f>IF(H932=1,INDEX(tx_TaxDr,926),0)</f>
        <v/>
      </c>
      <c r="N932" s="95">
        <f>IF(H932=1,INDEX(tx_TaxCr,926),0)</f>
        <v/>
      </c>
      <c r="O932" s="101">
        <f>IF(H932=1,IF(E932&lt;FYStart,0,IF(E932&gt;FYEnd,13,YEAR(E932)*12+MONTH(E932)-FYYM+1)),"")</f>
        <v/>
      </c>
      <c r="P932" s="101">
        <f>IF(H932=1,IF(IFERROR(INDEX(coa_CF,MATCH(I932,coa_Name,0)),"")="Cash",1,0),0)</f>
        <v/>
      </c>
      <c r="Q932" s="101">
        <f>IF(H932=1,IF(IFERROR(INDEX(coa_CF,MATCH(K932,coa_Name,0)),"")="Cash",1,0),0)</f>
        <v/>
      </c>
      <c r="R932" s="58">
        <f>IF((P932-Q932)=0,"",IFERROR(INDEX(coa_CF,MATCH(IF((P932-Q932)=1,K932,I932),coa_Name,0)),"Operating"))</f>
        <v/>
      </c>
      <c r="S932" s="95">
        <f>IF((P932-Q932)=1,L932,IF((P932-Q932)=-1,-J932,0))</f>
        <v/>
      </c>
      <c r="T932" s="95">
        <f>IF((P932-Q932)=1,N932,IF((P932-Q932)=-1,-M932,0))</f>
        <v/>
      </c>
      <c r="U932" s="101">
        <f>IF(AND(H932=1,LedAcct&lt;&gt;""),IF(AND(E932&gt;=LedFrom,E932&lt;=LedTo,OR(I932=LedAcct,K932=LedAcct,AND(LedAcct=acctTax,M932+N932&lt;&gt;0))),E932*10000+B932,""),"")</f>
        <v/>
      </c>
    </row>
    <row r="933">
      <c r="B933" s="101" t="n">
        <v>927</v>
      </c>
      <c r="C933" s="58" t="inlineStr">
        <is>
          <t>Transaction</t>
        </is>
      </c>
      <c r="D933" s="58">
        <f>IF(H933=1,INDEX(tx_ID,927)&amp;"","")</f>
        <v/>
      </c>
      <c r="E933" s="94">
        <f>IF(H933=1,INDEX(tx_Date,927),"")</f>
        <v/>
      </c>
      <c r="F933" s="58">
        <f>IF(H933=1,INDEX(tx_Desc,927)&amp;"","")</f>
        <v/>
      </c>
      <c r="G933" s="58">
        <f>IF(H933=1,IF(INDEX(tx_Cust,927)&amp;""&lt;&gt;"",INDEX(tx_Cust,927)&amp;"",INDEX(tx_Vend,927)&amp;""),"")</f>
        <v/>
      </c>
      <c r="H933" s="101">
        <f>IFERROR(N(INDEX(tx_Posted,927)),0)</f>
        <v/>
      </c>
      <c r="I933" s="58">
        <f>IF(H933=1,INDEX(tx_DrAcct,927)&amp;"","")</f>
        <v/>
      </c>
      <c r="J933" s="95">
        <f>IF(H933=1,INDEX(tx_DrAmt,927),0)</f>
        <v/>
      </c>
      <c r="K933" s="58">
        <f>IF(H933=1,INDEX(tx_CrAcct,927)&amp;"","")</f>
        <v/>
      </c>
      <c r="L933" s="95">
        <f>IF(H933=1,INDEX(tx_CrAmt,927),0)</f>
        <v/>
      </c>
      <c r="M933" s="95">
        <f>IF(H933=1,INDEX(tx_TaxDr,927),0)</f>
        <v/>
      </c>
      <c r="N933" s="95">
        <f>IF(H933=1,INDEX(tx_TaxCr,927),0)</f>
        <v/>
      </c>
      <c r="O933" s="101">
        <f>IF(H933=1,IF(E933&lt;FYStart,0,IF(E933&gt;FYEnd,13,YEAR(E933)*12+MONTH(E933)-FYYM+1)),"")</f>
        <v/>
      </c>
      <c r="P933" s="101">
        <f>IF(H933=1,IF(IFERROR(INDEX(coa_CF,MATCH(I933,coa_Name,0)),"")="Cash",1,0),0)</f>
        <v/>
      </c>
      <c r="Q933" s="101">
        <f>IF(H933=1,IF(IFERROR(INDEX(coa_CF,MATCH(K933,coa_Name,0)),"")="Cash",1,0),0)</f>
        <v/>
      </c>
      <c r="R933" s="58">
        <f>IF((P933-Q933)=0,"",IFERROR(INDEX(coa_CF,MATCH(IF((P933-Q933)=1,K933,I933),coa_Name,0)),"Operating"))</f>
        <v/>
      </c>
      <c r="S933" s="95">
        <f>IF((P933-Q933)=1,L933,IF((P933-Q933)=-1,-J933,0))</f>
        <v/>
      </c>
      <c r="T933" s="95">
        <f>IF((P933-Q933)=1,N933,IF((P933-Q933)=-1,-M933,0))</f>
        <v/>
      </c>
      <c r="U933" s="101">
        <f>IF(AND(H933=1,LedAcct&lt;&gt;""),IF(AND(E933&gt;=LedFrom,E933&lt;=LedTo,OR(I933=LedAcct,K933=LedAcct,AND(LedAcct=acctTax,M933+N933&lt;&gt;0))),E933*10000+B933,""),"")</f>
        <v/>
      </c>
    </row>
    <row r="934">
      <c r="B934" s="101" t="n">
        <v>928</v>
      </c>
      <c r="C934" s="58" t="inlineStr">
        <is>
          <t>Transaction</t>
        </is>
      </c>
      <c r="D934" s="58">
        <f>IF(H934=1,INDEX(tx_ID,928)&amp;"","")</f>
        <v/>
      </c>
      <c r="E934" s="94">
        <f>IF(H934=1,INDEX(tx_Date,928),"")</f>
        <v/>
      </c>
      <c r="F934" s="58">
        <f>IF(H934=1,INDEX(tx_Desc,928)&amp;"","")</f>
        <v/>
      </c>
      <c r="G934" s="58">
        <f>IF(H934=1,IF(INDEX(tx_Cust,928)&amp;""&lt;&gt;"",INDEX(tx_Cust,928)&amp;"",INDEX(tx_Vend,928)&amp;""),"")</f>
        <v/>
      </c>
      <c r="H934" s="101">
        <f>IFERROR(N(INDEX(tx_Posted,928)),0)</f>
        <v/>
      </c>
      <c r="I934" s="58">
        <f>IF(H934=1,INDEX(tx_DrAcct,928)&amp;"","")</f>
        <v/>
      </c>
      <c r="J934" s="95">
        <f>IF(H934=1,INDEX(tx_DrAmt,928),0)</f>
        <v/>
      </c>
      <c r="K934" s="58">
        <f>IF(H934=1,INDEX(tx_CrAcct,928)&amp;"","")</f>
        <v/>
      </c>
      <c r="L934" s="95">
        <f>IF(H934=1,INDEX(tx_CrAmt,928),0)</f>
        <v/>
      </c>
      <c r="M934" s="95">
        <f>IF(H934=1,INDEX(tx_TaxDr,928),0)</f>
        <v/>
      </c>
      <c r="N934" s="95">
        <f>IF(H934=1,INDEX(tx_TaxCr,928),0)</f>
        <v/>
      </c>
      <c r="O934" s="101">
        <f>IF(H934=1,IF(E934&lt;FYStart,0,IF(E934&gt;FYEnd,13,YEAR(E934)*12+MONTH(E934)-FYYM+1)),"")</f>
        <v/>
      </c>
      <c r="P934" s="101">
        <f>IF(H934=1,IF(IFERROR(INDEX(coa_CF,MATCH(I934,coa_Name,0)),"")="Cash",1,0),0)</f>
        <v/>
      </c>
      <c r="Q934" s="101">
        <f>IF(H934=1,IF(IFERROR(INDEX(coa_CF,MATCH(K934,coa_Name,0)),"")="Cash",1,0),0)</f>
        <v/>
      </c>
      <c r="R934" s="58">
        <f>IF((P934-Q934)=0,"",IFERROR(INDEX(coa_CF,MATCH(IF((P934-Q934)=1,K934,I934),coa_Name,0)),"Operating"))</f>
        <v/>
      </c>
      <c r="S934" s="95">
        <f>IF((P934-Q934)=1,L934,IF((P934-Q934)=-1,-J934,0))</f>
        <v/>
      </c>
      <c r="T934" s="95">
        <f>IF((P934-Q934)=1,N934,IF((P934-Q934)=-1,-M934,0))</f>
        <v/>
      </c>
      <c r="U934" s="101">
        <f>IF(AND(H934=1,LedAcct&lt;&gt;""),IF(AND(E934&gt;=LedFrom,E934&lt;=LedTo,OR(I934=LedAcct,K934=LedAcct,AND(LedAcct=acctTax,M934+N934&lt;&gt;0))),E934*10000+B934,""),"")</f>
        <v/>
      </c>
    </row>
    <row r="935">
      <c r="B935" s="101" t="n">
        <v>929</v>
      </c>
      <c r="C935" s="58" t="inlineStr">
        <is>
          <t>Transaction</t>
        </is>
      </c>
      <c r="D935" s="58">
        <f>IF(H935=1,INDEX(tx_ID,929)&amp;"","")</f>
        <v/>
      </c>
      <c r="E935" s="94">
        <f>IF(H935=1,INDEX(tx_Date,929),"")</f>
        <v/>
      </c>
      <c r="F935" s="58">
        <f>IF(H935=1,INDEX(tx_Desc,929)&amp;"","")</f>
        <v/>
      </c>
      <c r="G935" s="58">
        <f>IF(H935=1,IF(INDEX(tx_Cust,929)&amp;""&lt;&gt;"",INDEX(tx_Cust,929)&amp;"",INDEX(tx_Vend,929)&amp;""),"")</f>
        <v/>
      </c>
      <c r="H935" s="101">
        <f>IFERROR(N(INDEX(tx_Posted,929)),0)</f>
        <v/>
      </c>
      <c r="I935" s="58">
        <f>IF(H935=1,INDEX(tx_DrAcct,929)&amp;"","")</f>
        <v/>
      </c>
      <c r="J935" s="95">
        <f>IF(H935=1,INDEX(tx_DrAmt,929),0)</f>
        <v/>
      </c>
      <c r="K935" s="58">
        <f>IF(H935=1,INDEX(tx_CrAcct,929)&amp;"","")</f>
        <v/>
      </c>
      <c r="L935" s="95">
        <f>IF(H935=1,INDEX(tx_CrAmt,929),0)</f>
        <v/>
      </c>
      <c r="M935" s="95">
        <f>IF(H935=1,INDEX(tx_TaxDr,929),0)</f>
        <v/>
      </c>
      <c r="N935" s="95">
        <f>IF(H935=1,INDEX(tx_TaxCr,929),0)</f>
        <v/>
      </c>
      <c r="O935" s="101">
        <f>IF(H935=1,IF(E935&lt;FYStart,0,IF(E935&gt;FYEnd,13,YEAR(E935)*12+MONTH(E935)-FYYM+1)),"")</f>
        <v/>
      </c>
      <c r="P935" s="101">
        <f>IF(H935=1,IF(IFERROR(INDEX(coa_CF,MATCH(I935,coa_Name,0)),"")="Cash",1,0),0)</f>
        <v/>
      </c>
      <c r="Q935" s="101">
        <f>IF(H935=1,IF(IFERROR(INDEX(coa_CF,MATCH(K935,coa_Name,0)),"")="Cash",1,0),0)</f>
        <v/>
      </c>
      <c r="R935" s="58">
        <f>IF((P935-Q935)=0,"",IFERROR(INDEX(coa_CF,MATCH(IF((P935-Q935)=1,K935,I935),coa_Name,0)),"Operating"))</f>
        <v/>
      </c>
      <c r="S935" s="95">
        <f>IF((P935-Q935)=1,L935,IF((P935-Q935)=-1,-J935,0))</f>
        <v/>
      </c>
      <c r="T935" s="95">
        <f>IF((P935-Q935)=1,N935,IF((P935-Q935)=-1,-M935,0))</f>
        <v/>
      </c>
      <c r="U935" s="101">
        <f>IF(AND(H935=1,LedAcct&lt;&gt;""),IF(AND(E935&gt;=LedFrom,E935&lt;=LedTo,OR(I935=LedAcct,K935=LedAcct,AND(LedAcct=acctTax,M935+N935&lt;&gt;0))),E935*10000+B935,""),"")</f>
        <v/>
      </c>
    </row>
    <row r="936">
      <c r="B936" s="101" t="n">
        <v>930</v>
      </c>
      <c r="C936" s="58" t="inlineStr">
        <is>
          <t>Transaction</t>
        </is>
      </c>
      <c r="D936" s="58">
        <f>IF(H936=1,INDEX(tx_ID,930)&amp;"","")</f>
        <v/>
      </c>
      <c r="E936" s="94">
        <f>IF(H936=1,INDEX(tx_Date,930),"")</f>
        <v/>
      </c>
      <c r="F936" s="58">
        <f>IF(H936=1,INDEX(tx_Desc,930)&amp;"","")</f>
        <v/>
      </c>
      <c r="G936" s="58">
        <f>IF(H936=1,IF(INDEX(tx_Cust,930)&amp;""&lt;&gt;"",INDEX(tx_Cust,930)&amp;"",INDEX(tx_Vend,930)&amp;""),"")</f>
        <v/>
      </c>
      <c r="H936" s="101">
        <f>IFERROR(N(INDEX(tx_Posted,930)),0)</f>
        <v/>
      </c>
      <c r="I936" s="58">
        <f>IF(H936=1,INDEX(tx_DrAcct,930)&amp;"","")</f>
        <v/>
      </c>
      <c r="J936" s="95">
        <f>IF(H936=1,INDEX(tx_DrAmt,930),0)</f>
        <v/>
      </c>
      <c r="K936" s="58">
        <f>IF(H936=1,INDEX(tx_CrAcct,930)&amp;"","")</f>
        <v/>
      </c>
      <c r="L936" s="95">
        <f>IF(H936=1,INDEX(tx_CrAmt,930),0)</f>
        <v/>
      </c>
      <c r="M936" s="95">
        <f>IF(H936=1,INDEX(tx_TaxDr,930),0)</f>
        <v/>
      </c>
      <c r="N936" s="95">
        <f>IF(H936=1,INDEX(tx_TaxCr,930),0)</f>
        <v/>
      </c>
      <c r="O936" s="101">
        <f>IF(H936=1,IF(E936&lt;FYStart,0,IF(E936&gt;FYEnd,13,YEAR(E936)*12+MONTH(E936)-FYYM+1)),"")</f>
        <v/>
      </c>
      <c r="P936" s="101">
        <f>IF(H936=1,IF(IFERROR(INDEX(coa_CF,MATCH(I936,coa_Name,0)),"")="Cash",1,0),0)</f>
        <v/>
      </c>
      <c r="Q936" s="101">
        <f>IF(H936=1,IF(IFERROR(INDEX(coa_CF,MATCH(K936,coa_Name,0)),"")="Cash",1,0),0)</f>
        <v/>
      </c>
      <c r="R936" s="58">
        <f>IF((P936-Q936)=0,"",IFERROR(INDEX(coa_CF,MATCH(IF((P936-Q936)=1,K936,I936),coa_Name,0)),"Operating"))</f>
        <v/>
      </c>
      <c r="S936" s="95">
        <f>IF((P936-Q936)=1,L936,IF((P936-Q936)=-1,-J936,0))</f>
        <v/>
      </c>
      <c r="T936" s="95">
        <f>IF((P936-Q936)=1,N936,IF((P936-Q936)=-1,-M936,0))</f>
        <v/>
      </c>
      <c r="U936" s="101">
        <f>IF(AND(H936=1,LedAcct&lt;&gt;""),IF(AND(E936&gt;=LedFrom,E936&lt;=LedTo,OR(I936=LedAcct,K936=LedAcct,AND(LedAcct=acctTax,M936+N936&lt;&gt;0))),E936*10000+B936,""),"")</f>
        <v/>
      </c>
    </row>
    <row r="937">
      <c r="B937" s="101" t="n">
        <v>931</v>
      </c>
      <c r="C937" s="58" t="inlineStr">
        <is>
          <t>Transaction</t>
        </is>
      </c>
      <c r="D937" s="58">
        <f>IF(H937=1,INDEX(tx_ID,931)&amp;"","")</f>
        <v/>
      </c>
      <c r="E937" s="94">
        <f>IF(H937=1,INDEX(tx_Date,931),"")</f>
        <v/>
      </c>
      <c r="F937" s="58">
        <f>IF(H937=1,INDEX(tx_Desc,931)&amp;"","")</f>
        <v/>
      </c>
      <c r="G937" s="58">
        <f>IF(H937=1,IF(INDEX(tx_Cust,931)&amp;""&lt;&gt;"",INDEX(tx_Cust,931)&amp;"",INDEX(tx_Vend,931)&amp;""),"")</f>
        <v/>
      </c>
      <c r="H937" s="101">
        <f>IFERROR(N(INDEX(tx_Posted,931)),0)</f>
        <v/>
      </c>
      <c r="I937" s="58">
        <f>IF(H937=1,INDEX(tx_DrAcct,931)&amp;"","")</f>
        <v/>
      </c>
      <c r="J937" s="95">
        <f>IF(H937=1,INDEX(tx_DrAmt,931),0)</f>
        <v/>
      </c>
      <c r="K937" s="58">
        <f>IF(H937=1,INDEX(tx_CrAcct,931)&amp;"","")</f>
        <v/>
      </c>
      <c r="L937" s="95">
        <f>IF(H937=1,INDEX(tx_CrAmt,931),0)</f>
        <v/>
      </c>
      <c r="M937" s="95">
        <f>IF(H937=1,INDEX(tx_TaxDr,931),0)</f>
        <v/>
      </c>
      <c r="N937" s="95">
        <f>IF(H937=1,INDEX(tx_TaxCr,931),0)</f>
        <v/>
      </c>
      <c r="O937" s="101">
        <f>IF(H937=1,IF(E937&lt;FYStart,0,IF(E937&gt;FYEnd,13,YEAR(E937)*12+MONTH(E937)-FYYM+1)),"")</f>
        <v/>
      </c>
      <c r="P937" s="101">
        <f>IF(H937=1,IF(IFERROR(INDEX(coa_CF,MATCH(I937,coa_Name,0)),"")="Cash",1,0),0)</f>
        <v/>
      </c>
      <c r="Q937" s="101">
        <f>IF(H937=1,IF(IFERROR(INDEX(coa_CF,MATCH(K937,coa_Name,0)),"")="Cash",1,0),0)</f>
        <v/>
      </c>
      <c r="R937" s="58">
        <f>IF((P937-Q937)=0,"",IFERROR(INDEX(coa_CF,MATCH(IF((P937-Q937)=1,K937,I937),coa_Name,0)),"Operating"))</f>
        <v/>
      </c>
      <c r="S937" s="95">
        <f>IF((P937-Q937)=1,L937,IF((P937-Q937)=-1,-J937,0))</f>
        <v/>
      </c>
      <c r="T937" s="95">
        <f>IF((P937-Q937)=1,N937,IF((P937-Q937)=-1,-M937,0))</f>
        <v/>
      </c>
      <c r="U937" s="101">
        <f>IF(AND(H937=1,LedAcct&lt;&gt;""),IF(AND(E937&gt;=LedFrom,E937&lt;=LedTo,OR(I937=LedAcct,K937=LedAcct,AND(LedAcct=acctTax,M937+N937&lt;&gt;0))),E937*10000+B937,""),"")</f>
        <v/>
      </c>
    </row>
    <row r="938">
      <c r="B938" s="101" t="n">
        <v>932</v>
      </c>
      <c r="C938" s="58" t="inlineStr">
        <is>
          <t>Transaction</t>
        </is>
      </c>
      <c r="D938" s="58">
        <f>IF(H938=1,INDEX(tx_ID,932)&amp;"","")</f>
        <v/>
      </c>
      <c r="E938" s="94">
        <f>IF(H938=1,INDEX(tx_Date,932),"")</f>
        <v/>
      </c>
      <c r="F938" s="58">
        <f>IF(H938=1,INDEX(tx_Desc,932)&amp;"","")</f>
        <v/>
      </c>
      <c r="G938" s="58">
        <f>IF(H938=1,IF(INDEX(tx_Cust,932)&amp;""&lt;&gt;"",INDEX(tx_Cust,932)&amp;"",INDEX(tx_Vend,932)&amp;""),"")</f>
        <v/>
      </c>
      <c r="H938" s="101">
        <f>IFERROR(N(INDEX(tx_Posted,932)),0)</f>
        <v/>
      </c>
      <c r="I938" s="58">
        <f>IF(H938=1,INDEX(tx_DrAcct,932)&amp;"","")</f>
        <v/>
      </c>
      <c r="J938" s="95">
        <f>IF(H938=1,INDEX(tx_DrAmt,932),0)</f>
        <v/>
      </c>
      <c r="K938" s="58">
        <f>IF(H938=1,INDEX(tx_CrAcct,932)&amp;"","")</f>
        <v/>
      </c>
      <c r="L938" s="95">
        <f>IF(H938=1,INDEX(tx_CrAmt,932),0)</f>
        <v/>
      </c>
      <c r="M938" s="95">
        <f>IF(H938=1,INDEX(tx_TaxDr,932),0)</f>
        <v/>
      </c>
      <c r="N938" s="95">
        <f>IF(H938=1,INDEX(tx_TaxCr,932),0)</f>
        <v/>
      </c>
      <c r="O938" s="101">
        <f>IF(H938=1,IF(E938&lt;FYStart,0,IF(E938&gt;FYEnd,13,YEAR(E938)*12+MONTH(E938)-FYYM+1)),"")</f>
        <v/>
      </c>
      <c r="P938" s="101">
        <f>IF(H938=1,IF(IFERROR(INDEX(coa_CF,MATCH(I938,coa_Name,0)),"")="Cash",1,0),0)</f>
        <v/>
      </c>
      <c r="Q938" s="101">
        <f>IF(H938=1,IF(IFERROR(INDEX(coa_CF,MATCH(K938,coa_Name,0)),"")="Cash",1,0),0)</f>
        <v/>
      </c>
      <c r="R938" s="58">
        <f>IF((P938-Q938)=0,"",IFERROR(INDEX(coa_CF,MATCH(IF((P938-Q938)=1,K938,I938),coa_Name,0)),"Operating"))</f>
        <v/>
      </c>
      <c r="S938" s="95">
        <f>IF((P938-Q938)=1,L938,IF((P938-Q938)=-1,-J938,0))</f>
        <v/>
      </c>
      <c r="T938" s="95">
        <f>IF((P938-Q938)=1,N938,IF((P938-Q938)=-1,-M938,0))</f>
        <v/>
      </c>
      <c r="U938" s="101">
        <f>IF(AND(H938=1,LedAcct&lt;&gt;""),IF(AND(E938&gt;=LedFrom,E938&lt;=LedTo,OR(I938=LedAcct,K938=LedAcct,AND(LedAcct=acctTax,M938+N938&lt;&gt;0))),E938*10000+B938,""),"")</f>
        <v/>
      </c>
    </row>
    <row r="939">
      <c r="B939" s="101" t="n">
        <v>933</v>
      </c>
      <c r="C939" s="58" t="inlineStr">
        <is>
          <t>Transaction</t>
        </is>
      </c>
      <c r="D939" s="58">
        <f>IF(H939=1,INDEX(tx_ID,933)&amp;"","")</f>
        <v/>
      </c>
      <c r="E939" s="94">
        <f>IF(H939=1,INDEX(tx_Date,933),"")</f>
        <v/>
      </c>
      <c r="F939" s="58">
        <f>IF(H939=1,INDEX(tx_Desc,933)&amp;"","")</f>
        <v/>
      </c>
      <c r="G939" s="58">
        <f>IF(H939=1,IF(INDEX(tx_Cust,933)&amp;""&lt;&gt;"",INDEX(tx_Cust,933)&amp;"",INDEX(tx_Vend,933)&amp;""),"")</f>
        <v/>
      </c>
      <c r="H939" s="101">
        <f>IFERROR(N(INDEX(tx_Posted,933)),0)</f>
        <v/>
      </c>
      <c r="I939" s="58">
        <f>IF(H939=1,INDEX(tx_DrAcct,933)&amp;"","")</f>
        <v/>
      </c>
      <c r="J939" s="95">
        <f>IF(H939=1,INDEX(tx_DrAmt,933),0)</f>
        <v/>
      </c>
      <c r="K939" s="58">
        <f>IF(H939=1,INDEX(tx_CrAcct,933)&amp;"","")</f>
        <v/>
      </c>
      <c r="L939" s="95">
        <f>IF(H939=1,INDEX(tx_CrAmt,933),0)</f>
        <v/>
      </c>
      <c r="M939" s="95">
        <f>IF(H939=1,INDEX(tx_TaxDr,933),0)</f>
        <v/>
      </c>
      <c r="N939" s="95">
        <f>IF(H939=1,INDEX(tx_TaxCr,933),0)</f>
        <v/>
      </c>
      <c r="O939" s="101">
        <f>IF(H939=1,IF(E939&lt;FYStart,0,IF(E939&gt;FYEnd,13,YEAR(E939)*12+MONTH(E939)-FYYM+1)),"")</f>
        <v/>
      </c>
      <c r="P939" s="101">
        <f>IF(H939=1,IF(IFERROR(INDEX(coa_CF,MATCH(I939,coa_Name,0)),"")="Cash",1,0),0)</f>
        <v/>
      </c>
      <c r="Q939" s="101">
        <f>IF(H939=1,IF(IFERROR(INDEX(coa_CF,MATCH(K939,coa_Name,0)),"")="Cash",1,0),0)</f>
        <v/>
      </c>
      <c r="R939" s="58">
        <f>IF((P939-Q939)=0,"",IFERROR(INDEX(coa_CF,MATCH(IF((P939-Q939)=1,K939,I939),coa_Name,0)),"Operating"))</f>
        <v/>
      </c>
      <c r="S939" s="95">
        <f>IF((P939-Q939)=1,L939,IF((P939-Q939)=-1,-J939,0))</f>
        <v/>
      </c>
      <c r="T939" s="95">
        <f>IF((P939-Q939)=1,N939,IF((P939-Q939)=-1,-M939,0))</f>
        <v/>
      </c>
      <c r="U939" s="101">
        <f>IF(AND(H939=1,LedAcct&lt;&gt;""),IF(AND(E939&gt;=LedFrom,E939&lt;=LedTo,OR(I939=LedAcct,K939=LedAcct,AND(LedAcct=acctTax,M939+N939&lt;&gt;0))),E939*10000+B939,""),"")</f>
        <v/>
      </c>
    </row>
    <row r="940">
      <c r="B940" s="101" t="n">
        <v>934</v>
      </c>
      <c r="C940" s="58" t="inlineStr">
        <is>
          <t>Transaction</t>
        </is>
      </c>
      <c r="D940" s="58">
        <f>IF(H940=1,INDEX(tx_ID,934)&amp;"","")</f>
        <v/>
      </c>
      <c r="E940" s="94">
        <f>IF(H940=1,INDEX(tx_Date,934),"")</f>
        <v/>
      </c>
      <c r="F940" s="58">
        <f>IF(H940=1,INDEX(tx_Desc,934)&amp;"","")</f>
        <v/>
      </c>
      <c r="G940" s="58">
        <f>IF(H940=1,IF(INDEX(tx_Cust,934)&amp;""&lt;&gt;"",INDEX(tx_Cust,934)&amp;"",INDEX(tx_Vend,934)&amp;""),"")</f>
        <v/>
      </c>
      <c r="H940" s="101">
        <f>IFERROR(N(INDEX(tx_Posted,934)),0)</f>
        <v/>
      </c>
      <c r="I940" s="58">
        <f>IF(H940=1,INDEX(tx_DrAcct,934)&amp;"","")</f>
        <v/>
      </c>
      <c r="J940" s="95">
        <f>IF(H940=1,INDEX(tx_DrAmt,934),0)</f>
        <v/>
      </c>
      <c r="K940" s="58">
        <f>IF(H940=1,INDEX(tx_CrAcct,934)&amp;"","")</f>
        <v/>
      </c>
      <c r="L940" s="95">
        <f>IF(H940=1,INDEX(tx_CrAmt,934),0)</f>
        <v/>
      </c>
      <c r="M940" s="95">
        <f>IF(H940=1,INDEX(tx_TaxDr,934),0)</f>
        <v/>
      </c>
      <c r="N940" s="95">
        <f>IF(H940=1,INDEX(tx_TaxCr,934),0)</f>
        <v/>
      </c>
      <c r="O940" s="101">
        <f>IF(H940=1,IF(E940&lt;FYStart,0,IF(E940&gt;FYEnd,13,YEAR(E940)*12+MONTH(E940)-FYYM+1)),"")</f>
        <v/>
      </c>
      <c r="P940" s="101">
        <f>IF(H940=1,IF(IFERROR(INDEX(coa_CF,MATCH(I940,coa_Name,0)),"")="Cash",1,0),0)</f>
        <v/>
      </c>
      <c r="Q940" s="101">
        <f>IF(H940=1,IF(IFERROR(INDEX(coa_CF,MATCH(K940,coa_Name,0)),"")="Cash",1,0),0)</f>
        <v/>
      </c>
      <c r="R940" s="58">
        <f>IF((P940-Q940)=0,"",IFERROR(INDEX(coa_CF,MATCH(IF((P940-Q940)=1,K940,I940),coa_Name,0)),"Operating"))</f>
        <v/>
      </c>
      <c r="S940" s="95">
        <f>IF((P940-Q940)=1,L940,IF((P940-Q940)=-1,-J940,0))</f>
        <v/>
      </c>
      <c r="T940" s="95">
        <f>IF((P940-Q940)=1,N940,IF((P940-Q940)=-1,-M940,0))</f>
        <v/>
      </c>
      <c r="U940" s="101">
        <f>IF(AND(H940=1,LedAcct&lt;&gt;""),IF(AND(E940&gt;=LedFrom,E940&lt;=LedTo,OR(I940=LedAcct,K940=LedAcct,AND(LedAcct=acctTax,M940+N940&lt;&gt;0))),E940*10000+B940,""),"")</f>
        <v/>
      </c>
    </row>
    <row r="941">
      <c r="B941" s="101" t="n">
        <v>935</v>
      </c>
      <c r="C941" s="58" t="inlineStr">
        <is>
          <t>Transaction</t>
        </is>
      </c>
      <c r="D941" s="58">
        <f>IF(H941=1,INDEX(tx_ID,935)&amp;"","")</f>
        <v/>
      </c>
      <c r="E941" s="94">
        <f>IF(H941=1,INDEX(tx_Date,935),"")</f>
        <v/>
      </c>
      <c r="F941" s="58">
        <f>IF(H941=1,INDEX(tx_Desc,935)&amp;"","")</f>
        <v/>
      </c>
      <c r="G941" s="58">
        <f>IF(H941=1,IF(INDEX(tx_Cust,935)&amp;""&lt;&gt;"",INDEX(tx_Cust,935)&amp;"",INDEX(tx_Vend,935)&amp;""),"")</f>
        <v/>
      </c>
      <c r="H941" s="101">
        <f>IFERROR(N(INDEX(tx_Posted,935)),0)</f>
        <v/>
      </c>
      <c r="I941" s="58">
        <f>IF(H941=1,INDEX(tx_DrAcct,935)&amp;"","")</f>
        <v/>
      </c>
      <c r="J941" s="95">
        <f>IF(H941=1,INDEX(tx_DrAmt,935),0)</f>
        <v/>
      </c>
      <c r="K941" s="58">
        <f>IF(H941=1,INDEX(tx_CrAcct,935)&amp;"","")</f>
        <v/>
      </c>
      <c r="L941" s="95">
        <f>IF(H941=1,INDEX(tx_CrAmt,935),0)</f>
        <v/>
      </c>
      <c r="M941" s="95">
        <f>IF(H941=1,INDEX(tx_TaxDr,935),0)</f>
        <v/>
      </c>
      <c r="N941" s="95">
        <f>IF(H941=1,INDEX(tx_TaxCr,935),0)</f>
        <v/>
      </c>
      <c r="O941" s="101">
        <f>IF(H941=1,IF(E941&lt;FYStart,0,IF(E941&gt;FYEnd,13,YEAR(E941)*12+MONTH(E941)-FYYM+1)),"")</f>
        <v/>
      </c>
      <c r="P941" s="101">
        <f>IF(H941=1,IF(IFERROR(INDEX(coa_CF,MATCH(I941,coa_Name,0)),"")="Cash",1,0),0)</f>
        <v/>
      </c>
      <c r="Q941" s="101">
        <f>IF(H941=1,IF(IFERROR(INDEX(coa_CF,MATCH(K941,coa_Name,0)),"")="Cash",1,0),0)</f>
        <v/>
      </c>
      <c r="R941" s="58">
        <f>IF((P941-Q941)=0,"",IFERROR(INDEX(coa_CF,MATCH(IF((P941-Q941)=1,K941,I941),coa_Name,0)),"Operating"))</f>
        <v/>
      </c>
      <c r="S941" s="95">
        <f>IF((P941-Q941)=1,L941,IF((P941-Q941)=-1,-J941,0))</f>
        <v/>
      </c>
      <c r="T941" s="95">
        <f>IF((P941-Q941)=1,N941,IF((P941-Q941)=-1,-M941,0))</f>
        <v/>
      </c>
      <c r="U941" s="101">
        <f>IF(AND(H941=1,LedAcct&lt;&gt;""),IF(AND(E941&gt;=LedFrom,E941&lt;=LedTo,OR(I941=LedAcct,K941=LedAcct,AND(LedAcct=acctTax,M941+N941&lt;&gt;0))),E941*10000+B941,""),"")</f>
        <v/>
      </c>
    </row>
    <row r="942">
      <c r="B942" s="101" t="n">
        <v>936</v>
      </c>
      <c r="C942" s="58" t="inlineStr">
        <is>
          <t>Transaction</t>
        </is>
      </c>
      <c r="D942" s="58">
        <f>IF(H942=1,INDEX(tx_ID,936)&amp;"","")</f>
        <v/>
      </c>
      <c r="E942" s="94">
        <f>IF(H942=1,INDEX(tx_Date,936),"")</f>
        <v/>
      </c>
      <c r="F942" s="58">
        <f>IF(H942=1,INDEX(tx_Desc,936)&amp;"","")</f>
        <v/>
      </c>
      <c r="G942" s="58">
        <f>IF(H942=1,IF(INDEX(tx_Cust,936)&amp;""&lt;&gt;"",INDEX(tx_Cust,936)&amp;"",INDEX(tx_Vend,936)&amp;""),"")</f>
        <v/>
      </c>
      <c r="H942" s="101">
        <f>IFERROR(N(INDEX(tx_Posted,936)),0)</f>
        <v/>
      </c>
      <c r="I942" s="58">
        <f>IF(H942=1,INDEX(tx_DrAcct,936)&amp;"","")</f>
        <v/>
      </c>
      <c r="J942" s="95">
        <f>IF(H942=1,INDEX(tx_DrAmt,936),0)</f>
        <v/>
      </c>
      <c r="K942" s="58">
        <f>IF(H942=1,INDEX(tx_CrAcct,936)&amp;"","")</f>
        <v/>
      </c>
      <c r="L942" s="95">
        <f>IF(H942=1,INDEX(tx_CrAmt,936),0)</f>
        <v/>
      </c>
      <c r="M942" s="95">
        <f>IF(H942=1,INDEX(tx_TaxDr,936),0)</f>
        <v/>
      </c>
      <c r="N942" s="95">
        <f>IF(H942=1,INDEX(tx_TaxCr,936),0)</f>
        <v/>
      </c>
      <c r="O942" s="101">
        <f>IF(H942=1,IF(E942&lt;FYStart,0,IF(E942&gt;FYEnd,13,YEAR(E942)*12+MONTH(E942)-FYYM+1)),"")</f>
        <v/>
      </c>
      <c r="P942" s="101">
        <f>IF(H942=1,IF(IFERROR(INDEX(coa_CF,MATCH(I942,coa_Name,0)),"")="Cash",1,0),0)</f>
        <v/>
      </c>
      <c r="Q942" s="101">
        <f>IF(H942=1,IF(IFERROR(INDEX(coa_CF,MATCH(K942,coa_Name,0)),"")="Cash",1,0),0)</f>
        <v/>
      </c>
      <c r="R942" s="58">
        <f>IF((P942-Q942)=0,"",IFERROR(INDEX(coa_CF,MATCH(IF((P942-Q942)=1,K942,I942),coa_Name,0)),"Operating"))</f>
        <v/>
      </c>
      <c r="S942" s="95">
        <f>IF((P942-Q942)=1,L942,IF((P942-Q942)=-1,-J942,0))</f>
        <v/>
      </c>
      <c r="T942" s="95">
        <f>IF((P942-Q942)=1,N942,IF((P942-Q942)=-1,-M942,0))</f>
        <v/>
      </c>
      <c r="U942" s="101">
        <f>IF(AND(H942=1,LedAcct&lt;&gt;""),IF(AND(E942&gt;=LedFrom,E942&lt;=LedTo,OR(I942=LedAcct,K942=LedAcct,AND(LedAcct=acctTax,M942+N942&lt;&gt;0))),E942*10000+B942,""),"")</f>
        <v/>
      </c>
    </row>
    <row r="943">
      <c r="B943" s="101" t="n">
        <v>937</v>
      </c>
      <c r="C943" s="58" t="inlineStr">
        <is>
          <t>Transaction</t>
        </is>
      </c>
      <c r="D943" s="58">
        <f>IF(H943=1,INDEX(tx_ID,937)&amp;"","")</f>
        <v/>
      </c>
      <c r="E943" s="94">
        <f>IF(H943=1,INDEX(tx_Date,937),"")</f>
        <v/>
      </c>
      <c r="F943" s="58">
        <f>IF(H943=1,INDEX(tx_Desc,937)&amp;"","")</f>
        <v/>
      </c>
      <c r="G943" s="58">
        <f>IF(H943=1,IF(INDEX(tx_Cust,937)&amp;""&lt;&gt;"",INDEX(tx_Cust,937)&amp;"",INDEX(tx_Vend,937)&amp;""),"")</f>
        <v/>
      </c>
      <c r="H943" s="101">
        <f>IFERROR(N(INDEX(tx_Posted,937)),0)</f>
        <v/>
      </c>
      <c r="I943" s="58">
        <f>IF(H943=1,INDEX(tx_DrAcct,937)&amp;"","")</f>
        <v/>
      </c>
      <c r="J943" s="95">
        <f>IF(H943=1,INDEX(tx_DrAmt,937),0)</f>
        <v/>
      </c>
      <c r="K943" s="58">
        <f>IF(H943=1,INDEX(tx_CrAcct,937)&amp;"","")</f>
        <v/>
      </c>
      <c r="L943" s="95">
        <f>IF(H943=1,INDEX(tx_CrAmt,937),0)</f>
        <v/>
      </c>
      <c r="M943" s="95">
        <f>IF(H943=1,INDEX(tx_TaxDr,937),0)</f>
        <v/>
      </c>
      <c r="N943" s="95">
        <f>IF(H943=1,INDEX(tx_TaxCr,937),0)</f>
        <v/>
      </c>
      <c r="O943" s="101">
        <f>IF(H943=1,IF(E943&lt;FYStart,0,IF(E943&gt;FYEnd,13,YEAR(E943)*12+MONTH(E943)-FYYM+1)),"")</f>
        <v/>
      </c>
      <c r="P943" s="101">
        <f>IF(H943=1,IF(IFERROR(INDEX(coa_CF,MATCH(I943,coa_Name,0)),"")="Cash",1,0),0)</f>
        <v/>
      </c>
      <c r="Q943" s="101">
        <f>IF(H943=1,IF(IFERROR(INDEX(coa_CF,MATCH(K943,coa_Name,0)),"")="Cash",1,0),0)</f>
        <v/>
      </c>
      <c r="R943" s="58">
        <f>IF((P943-Q943)=0,"",IFERROR(INDEX(coa_CF,MATCH(IF((P943-Q943)=1,K943,I943),coa_Name,0)),"Operating"))</f>
        <v/>
      </c>
      <c r="S943" s="95">
        <f>IF((P943-Q943)=1,L943,IF((P943-Q943)=-1,-J943,0))</f>
        <v/>
      </c>
      <c r="T943" s="95">
        <f>IF((P943-Q943)=1,N943,IF((P943-Q943)=-1,-M943,0))</f>
        <v/>
      </c>
      <c r="U943" s="101">
        <f>IF(AND(H943=1,LedAcct&lt;&gt;""),IF(AND(E943&gt;=LedFrom,E943&lt;=LedTo,OR(I943=LedAcct,K943=LedAcct,AND(LedAcct=acctTax,M943+N943&lt;&gt;0))),E943*10000+B943,""),"")</f>
        <v/>
      </c>
    </row>
    <row r="944">
      <c r="B944" s="101" t="n">
        <v>938</v>
      </c>
      <c r="C944" s="58" t="inlineStr">
        <is>
          <t>Transaction</t>
        </is>
      </c>
      <c r="D944" s="58">
        <f>IF(H944=1,INDEX(tx_ID,938)&amp;"","")</f>
        <v/>
      </c>
      <c r="E944" s="94">
        <f>IF(H944=1,INDEX(tx_Date,938),"")</f>
        <v/>
      </c>
      <c r="F944" s="58">
        <f>IF(H944=1,INDEX(tx_Desc,938)&amp;"","")</f>
        <v/>
      </c>
      <c r="G944" s="58">
        <f>IF(H944=1,IF(INDEX(tx_Cust,938)&amp;""&lt;&gt;"",INDEX(tx_Cust,938)&amp;"",INDEX(tx_Vend,938)&amp;""),"")</f>
        <v/>
      </c>
      <c r="H944" s="101">
        <f>IFERROR(N(INDEX(tx_Posted,938)),0)</f>
        <v/>
      </c>
      <c r="I944" s="58">
        <f>IF(H944=1,INDEX(tx_DrAcct,938)&amp;"","")</f>
        <v/>
      </c>
      <c r="J944" s="95">
        <f>IF(H944=1,INDEX(tx_DrAmt,938),0)</f>
        <v/>
      </c>
      <c r="K944" s="58">
        <f>IF(H944=1,INDEX(tx_CrAcct,938)&amp;"","")</f>
        <v/>
      </c>
      <c r="L944" s="95">
        <f>IF(H944=1,INDEX(tx_CrAmt,938),0)</f>
        <v/>
      </c>
      <c r="M944" s="95">
        <f>IF(H944=1,INDEX(tx_TaxDr,938),0)</f>
        <v/>
      </c>
      <c r="N944" s="95">
        <f>IF(H944=1,INDEX(tx_TaxCr,938),0)</f>
        <v/>
      </c>
      <c r="O944" s="101">
        <f>IF(H944=1,IF(E944&lt;FYStart,0,IF(E944&gt;FYEnd,13,YEAR(E944)*12+MONTH(E944)-FYYM+1)),"")</f>
        <v/>
      </c>
      <c r="P944" s="101">
        <f>IF(H944=1,IF(IFERROR(INDEX(coa_CF,MATCH(I944,coa_Name,0)),"")="Cash",1,0),0)</f>
        <v/>
      </c>
      <c r="Q944" s="101">
        <f>IF(H944=1,IF(IFERROR(INDEX(coa_CF,MATCH(K944,coa_Name,0)),"")="Cash",1,0),0)</f>
        <v/>
      </c>
      <c r="R944" s="58">
        <f>IF((P944-Q944)=0,"",IFERROR(INDEX(coa_CF,MATCH(IF((P944-Q944)=1,K944,I944),coa_Name,0)),"Operating"))</f>
        <v/>
      </c>
      <c r="S944" s="95">
        <f>IF((P944-Q944)=1,L944,IF((P944-Q944)=-1,-J944,0))</f>
        <v/>
      </c>
      <c r="T944" s="95">
        <f>IF((P944-Q944)=1,N944,IF((P944-Q944)=-1,-M944,0))</f>
        <v/>
      </c>
      <c r="U944" s="101">
        <f>IF(AND(H944=1,LedAcct&lt;&gt;""),IF(AND(E944&gt;=LedFrom,E944&lt;=LedTo,OR(I944=LedAcct,K944=LedAcct,AND(LedAcct=acctTax,M944+N944&lt;&gt;0))),E944*10000+B944,""),"")</f>
        <v/>
      </c>
    </row>
    <row r="945">
      <c r="B945" s="101" t="n">
        <v>939</v>
      </c>
      <c r="C945" s="58" t="inlineStr">
        <is>
          <t>Transaction</t>
        </is>
      </c>
      <c r="D945" s="58">
        <f>IF(H945=1,INDEX(tx_ID,939)&amp;"","")</f>
        <v/>
      </c>
      <c r="E945" s="94">
        <f>IF(H945=1,INDEX(tx_Date,939),"")</f>
        <v/>
      </c>
      <c r="F945" s="58">
        <f>IF(H945=1,INDEX(tx_Desc,939)&amp;"","")</f>
        <v/>
      </c>
      <c r="G945" s="58">
        <f>IF(H945=1,IF(INDEX(tx_Cust,939)&amp;""&lt;&gt;"",INDEX(tx_Cust,939)&amp;"",INDEX(tx_Vend,939)&amp;""),"")</f>
        <v/>
      </c>
      <c r="H945" s="101">
        <f>IFERROR(N(INDEX(tx_Posted,939)),0)</f>
        <v/>
      </c>
      <c r="I945" s="58">
        <f>IF(H945=1,INDEX(tx_DrAcct,939)&amp;"","")</f>
        <v/>
      </c>
      <c r="J945" s="95">
        <f>IF(H945=1,INDEX(tx_DrAmt,939),0)</f>
        <v/>
      </c>
      <c r="K945" s="58">
        <f>IF(H945=1,INDEX(tx_CrAcct,939)&amp;"","")</f>
        <v/>
      </c>
      <c r="L945" s="95">
        <f>IF(H945=1,INDEX(tx_CrAmt,939),0)</f>
        <v/>
      </c>
      <c r="M945" s="95">
        <f>IF(H945=1,INDEX(tx_TaxDr,939),0)</f>
        <v/>
      </c>
      <c r="N945" s="95">
        <f>IF(H945=1,INDEX(tx_TaxCr,939),0)</f>
        <v/>
      </c>
      <c r="O945" s="101">
        <f>IF(H945=1,IF(E945&lt;FYStart,0,IF(E945&gt;FYEnd,13,YEAR(E945)*12+MONTH(E945)-FYYM+1)),"")</f>
        <v/>
      </c>
      <c r="P945" s="101">
        <f>IF(H945=1,IF(IFERROR(INDEX(coa_CF,MATCH(I945,coa_Name,0)),"")="Cash",1,0),0)</f>
        <v/>
      </c>
      <c r="Q945" s="101">
        <f>IF(H945=1,IF(IFERROR(INDEX(coa_CF,MATCH(K945,coa_Name,0)),"")="Cash",1,0),0)</f>
        <v/>
      </c>
      <c r="R945" s="58">
        <f>IF((P945-Q945)=0,"",IFERROR(INDEX(coa_CF,MATCH(IF((P945-Q945)=1,K945,I945),coa_Name,0)),"Operating"))</f>
        <v/>
      </c>
      <c r="S945" s="95">
        <f>IF((P945-Q945)=1,L945,IF((P945-Q945)=-1,-J945,0))</f>
        <v/>
      </c>
      <c r="T945" s="95">
        <f>IF((P945-Q945)=1,N945,IF((P945-Q945)=-1,-M945,0))</f>
        <v/>
      </c>
      <c r="U945" s="101">
        <f>IF(AND(H945=1,LedAcct&lt;&gt;""),IF(AND(E945&gt;=LedFrom,E945&lt;=LedTo,OR(I945=LedAcct,K945=LedAcct,AND(LedAcct=acctTax,M945+N945&lt;&gt;0))),E945*10000+B945,""),"")</f>
        <v/>
      </c>
    </row>
    <row r="946">
      <c r="B946" s="101" t="n">
        <v>940</v>
      </c>
      <c r="C946" s="58" t="inlineStr">
        <is>
          <t>Transaction</t>
        </is>
      </c>
      <c r="D946" s="58">
        <f>IF(H946=1,INDEX(tx_ID,940)&amp;"","")</f>
        <v/>
      </c>
      <c r="E946" s="94">
        <f>IF(H946=1,INDEX(tx_Date,940),"")</f>
        <v/>
      </c>
      <c r="F946" s="58">
        <f>IF(H946=1,INDEX(tx_Desc,940)&amp;"","")</f>
        <v/>
      </c>
      <c r="G946" s="58">
        <f>IF(H946=1,IF(INDEX(tx_Cust,940)&amp;""&lt;&gt;"",INDEX(tx_Cust,940)&amp;"",INDEX(tx_Vend,940)&amp;""),"")</f>
        <v/>
      </c>
      <c r="H946" s="101">
        <f>IFERROR(N(INDEX(tx_Posted,940)),0)</f>
        <v/>
      </c>
      <c r="I946" s="58">
        <f>IF(H946=1,INDEX(tx_DrAcct,940)&amp;"","")</f>
        <v/>
      </c>
      <c r="J946" s="95">
        <f>IF(H946=1,INDEX(tx_DrAmt,940),0)</f>
        <v/>
      </c>
      <c r="K946" s="58">
        <f>IF(H946=1,INDEX(tx_CrAcct,940)&amp;"","")</f>
        <v/>
      </c>
      <c r="L946" s="95">
        <f>IF(H946=1,INDEX(tx_CrAmt,940),0)</f>
        <v/>
      </c>
      <c r="M946" s="95">
        <f>IF(H946=1,INDEX(tx_TaxDr,940),0)</f>
        <v/>
      </c>
      <c r="N946" s="95">
        <f>IF(H946=1,INDEX(tx_TaxCr,940),0)</f>
        <v/>
      </c>
      <c r="O946" s="101">
        <f>IF(H946=1,IF(E946&lt;FYStart,0,IF(E946&gt;FYEnd,13,YEAR(E946)*12+MONTH(E946)-FYYM+1)),"")</f>
        <v/>
      </c>
      <c r="P946" s="101">
        <f>IF(H946=1,IF(IFERROR(INDEX(coa_CF,MATCH(I946,coa_Name,0)),"")="Cash",1,0),0)</f>
        <v/>
      </c>
      <c r="Q946" s="101">
        <f>IF(H946=1,IF(IFERROR(INDEX(coa_CF,MATCH(K946,coa_Name,0)),"")="Cash",1,0),0)</f>
        <v/>
      </c>
      <c r="R946" s="58">
        <f>IF((P946-Q946)=0,"",IFERROR(INDEX(coa_CF,MATCH(IF((P946-Q946)=1,K946,I946),coa_Name,0)),"Operating"))</f>
        <v/>
      </c>
      <c r="S946" s="95">
        <f>IF((P946-Q946)=1,L946,IF((P946-Q946)=-1,-J946,0))</f>
        <v/>
      </c>
      <c r="T946" s="95">
        <f>IF((P946-Q946)=1,N946,IF((P946-Q946)=-1,-M946,0))</f>
        <v/>
      </c>
      <c r="U946" s="101">
        <f>IF(AND(H946=1,LedAcct&lt;&gt;""),IF(AND(E946&gt;=LedFrom,E946&lt;=LedTo,OR(I946=LedAcct,K946=LedAcct,AND(LedAcct=acctTax,M946+N946&lt;&gt;0))),E946*10000+B946,""),"")</f>
        <v/>
      </c>
    </row>
    <row r="947">
      <c r="B947" s="101" t="n">
        <v>941</v>
      </c>
      <c r="C947" s="58" t="inlineStr">
        <is>
          <t>Transaction</t>
        </is>
      </c>
      <c r="D947" s="58">
        <f>IF(H947=1,INDEX(tx_ID,941)&amp;"","")</f>
        <v/>
      </c>
      <c r="E947" s="94">
        <f>IF(H947=1,INDEX(tx_Date,941),"")</f>
        <v/>
      </c>
      <c r="F947" s="58">
        <f>IF(H947=1,INDEX(tx_Desc,941)&amp;"","")</f>
        <v/>
      </c>
      <c r="G947" s="58">
        <f>IF(H947=1,IF(INDEX(tx_Cust,941)&amp;""&lt;&gt;"",INDEX(tx_Cust,941)&amp;"",INDEX(tx_Vend,941)&amp;""),"")</f>
        <v/>
      </c>
      <c r="H947" s="101">
        <f>IFERROR(N(INDEX(tx_Posted,941)),0)</f>
        <v/>
      </c>
      <c r="I947" s="58">
        <f>IF(H947=1,INDEX(tx_DrAcct,941)&amp;"","")</f>
        <v/>
      </c>
      <c r="J947" s="95">
        <f>IF(H947=1,INDEX(tx_DrAmt,941),0)</f>
        <v/>
      </c>
      <c r="K947" s="58">
        <f>IF(H947=1,INDEX(tx_CrAcct,941)&amp;"","")</f>
        <v/>
      </c>
      <c r="L947" s="95">
        <f>IF(H947=1,INDEX(tx_CrAmt,941),0)</f>
        <v/>
      </c>
      <c r="M947" s="95">
        <f>IF(H947=1,INDEX(tx_TaxDr,941),0)</f>
        <v/>
      </c>
      <c r="N947" s="95">
        <f>IF(H947=1,INDEX(tx_TaxCr,941),0)</f>
        <v/>
      </c>
      <c r="O947" s="101">
        <f>IF(H947=1,IF(E947&lt;FYStart,0,IF(E947&gt;FYEnd,13,YEAR(E947)*12+MONTH(E947)-FYYM+1)),"")</f>
        <v/>
      </c>
      <c r="P947" s="101">
        <f>IF(H947=1,IF(IFERROR(INDEX(coa_CF,MATCH(I947,coa_Name,0)),"")="Cash",1,0),0)</f>
        <v/>
      </c>
      <c r="Q947" s="101">
        <f>IF(H947=1,IF(IFERROR(INDEX(coa_CF,MATCH(K947,coa_Name,0)),"")="Cash",1,0),0)</f>
        <v/>
      </c>
      <c r="R947" s="58">
        <f>IF((P947-Q947)=0,"",IFERROR(INDEX(coa_CF,MATCH(IF((P947-Q947)=1,K947,I947),coa_Name,0)),"Operating"))</f>
        <v/>
      </c>
      <c r="S947" s="95">
        <f>IF((P947-Q947)=1,L947,IF((P947-Q947)=-1,-J947,0))</f>
        <v/>
      </c>
      <c r="T947" s="95">
        <f>IF((P947-Q947)=1,N947,IF((P947-Q947)=-1,-M947,0))</f>
        <v/>
      </c>
      <c r="U947" s="101">
        <f>IF(AND(H947=1,LedAcct&lt;&gt;""),IF(AND(E947&gt;=LedFrom,E947&lt;=LedTo,OR(I947=LedAcct,K947=LedAcct,AND(LedAcct=acctTax,M947+N947&lt;&gt;0))),E947*10000+B947,""),"")</f>
        <v/>
      </c>
    </row>
    <row r="948">
      <c r="B948" s="101" t="n">
        <v>942</v>
      </c>
      <c r="C948" s="58" t="inlineStr">
        <is>
          <t>Transaction</t>
        </is>
      </c>
      <c r="D948" s="58">
        <f>IF(H948=1,INDEX(tx_ID,942)&amp;"","")</f>
        <v/>
      </c>
      <c r="E948" s="94">
        <f>IF(H948=1,INDEX(tx_Date,942),"")</f>
        <v/>
      </c>
      <c r="F948" s="58">
        <f>IF(H948=1,INDEX(tx_Desc,942)&amp;"","")</f>
        <v/>
      </c>
      <c r="G948" s="58">
        <f>IF(H948=1,IF(INDEX(tx_Cust,942)&amp;""&lt;&gt;"",INDEX(tx_Cust,942)&amp;"",INDEX(tx_Vend,942)&amp;""),"")</f>
        <v/>
      </c>
      <c r="H948" s="101">
        <f>IFERROR(N(INDEX(tx_Posted,942)),0)</f>
        <v/>
      </c>
      <c r="I948" s="58">
        <f>IF(H948=1,INDEX(tx_DrAcct,942)&amp;"","")</f>
        <v/>
      </c>
      <c r="J948" s="95">
        <f>IF(H948=1,INDEX(tx_DrAmt,942),0)</f>
        <v/>
      </c>
      <c r="K948" s="58">
        <f>IF(H948=1,INDEX(tx_CrAcct,942)&amp;"","")</f>
        <v/>
      </c>
      <c r="L948" s="95">
        <f>IF(H948=1,INDEX(tx_CrAmt,942),0)</f>
        <v/>
      </c>
      <c r="M948" s="95">
        <f>IF(H948=1,INDEX(tx_TaxDr,942),0)</f>
        <v/>
      </c>
      <c r="N948" s="95">
        <f>IF(H948=1,INDEX(tx_TaxCr,942),0)</f>
        <v/>
      </c>
      <c r="O948" s="101">
        <f>IF(H948=1,IF(E948&lt;FYStart,0,IF(E948&gt;FYEnd,13,YEAR(E948)*12+MONTH(E948)-FYYM+1)),"")</f>
        <v/>
      </c>
      <c r="P948" s="101">
        <f>IF(H948=1,IF(IFERROR(INDEX(coa_CF,MATCH(I948,coa_Name,0)),"")="Cash",1,0),0)</f>
        <v/>
      </c>
      <c r="Q948" s="101">
        <f>IF(H948=1,IF(IFERROR(INDEX(coa_CF,MATCH(K948,coa_Name,0)),"")="Cash",1,0),0)</f>
        <v/>
      </c>
      <c r="R948" s="58">
        <f>IF((P948-Q948)=0,"",IFERROR(INDEX(coa_CF,MATCH(IF((P948-Q948)=1,K948,I948),coa_Name,0)),"Operating"))</f>
        <v/>
      </c>
      <c r="S948" s="95">
        <f>IF((P948-Q948)=1,L948,IF((P948-Q948)=-1,-J948,0))</f>
        <v/>
      </c>
      <c r="T948" s="95">
        <f>IF((P948-Q948)=1,N948,IF((P948-Q948)=-1,-M948,0))</f>
        <v/>
      </c>
      <c r="U948" s="101">
        <f>IF(AND(H948=1,LedAcct&lt;&gt;""),IF(AND(E948&gt;=LedFrom,E948&lt;=LedTo,OR(I948=LedAcct,K948=LedAcct,AND(LedAcct=acctTax,M948+N948&lt;&gt;0))),E948*10000+B948,""),"")</f>
        <v/>
      </c>
    </row>
    <row r="949">
      <c r="B949" s="101" t="n">
        <v>943</v>
      </c>
      <c r="C949" s="58" t="inlineStr">
        <is>
          <t>Transaction</t>
        </is>
      </c>
      <c r="D949" s="58">
        <f>IF(H949=1,INDEX(tx_ID,943)&amp;"","")</f>
        <v/>
      </c>
      <c r="E949" s="94">
        <f>IF(H949=1,INDEX(tx_Date,943),"")</f>
        <v/>
      </c>
      <c r="F949" s="58">
        <f>IF(H949=1,INDEX(tx_Desc,943)&amp;"","")</f>
        <v/>
      </c>
      <c r="G949" s="58">
        <f>IF(H949=1,IF(INDEX(tx_Cust,943)&amp;""&lt;&gt;"",INDEX(tx_Cust,943)&amp;"",INDEX(tx_Vend,943)&amp;""),"")</f>
        <v/>
      </c>
      <c r="H949" s="101">
        <f>IFERROR(N(INDEX(tx_Posted,943)),0)</f>
        <v/>
      </c>
      <c r="I949" s="58">
        <f>IF(H949=1,INDEX(tx_DrAcct,943)&amp;"","")</f>
        <v/>
      </c>
      <c r="J949" s="95">
        <f>IF(H949=1,INDEX(tx_DrAmt,943),0)</f>
        <v/>
      </c>
      <c r="K949" s="58">
        <f>IF(H949=1,INDEX(tx_CrAcct,943)&amp;"","")</f>
        <v/>
      </c>
      <c r="L949" s="95">
        <f>IF(H949=1,INDEX(tx_CrAmt,943),0)</f>
        <v/>
      </c>
      <c r="M949" s="95">
        <f>IF(H949=1,INDEX(tx_TaxDr,943),0)</f>
        <v/>
      </c>
      <c r="N949" s="95">
        <f>IF(H949=1,INDEX(tx_TaxCr,943),0)</f>
        <v/>
      </c>
      <c r="O949" s="101">
        <f>IF(H949=1,IF(E949&lt;FYStart,0,IF(E949&gt;FYEnd,13,YEAR(E949)*12+MONTH(E949)-FYYM+1)),"")</f>
        <v/>
      </c>
      <c r="P949" s="101">
        <f>IF(H949=1,IF(IFERROR(INDEX(coa_CF,MATCH(I949,coa_Name,0)),"")="Cash",1,0),0)</f>
        <v/>
      </c>
      <c r="Q949" s="101">
        <f>IF(H949=1,IF(IFERROR(INDEX(coa_CF,MATCH(K949,coa_Name,0)),"")="Cash",1,0),0)</f>
        <v/>
      </c>
      <c r="R949" s="58">
        <f>IF((P949-Q949)=0,"",IFERROR(INDEX(coa_CF,MATCH(IF((P949-Q949)=1,K949,I949),coa_Name,0)),"Operating"))</f>
        <v/>
      </c>
      <c r="S949" s="95">
        <f>IF((P949-Q949)=1,L949,IF((P949-Q949)=-1,-J949,0))</f>
        <v/>
      </c>
      <c r="T949" s="95">
        <f>IF((P949-Q949)=1,N949,IF((P949-Q949)=-1,-M949,0))</f>
        <v/>
      </c>
      <c r="U949" s="101">
        <f>IF(AND(H949=1,LedAcct&lt;&gt;""),IF(AND(E949&gt;=LedFrom,E949&lt;=LedTo,OR(I949=LedAcct,K949=LedAcct,AND(LedAcct=acctTax,M949+N949&lt;&gt;0))),E949*10000+B949,""),"")</f>
        <v/>
      </c>
    </row>
    <row r="950">
      <c r="B950" s="101" t="n">
        <v>944</v>
      </c>
      <c r="C950" s="58" t="inlineStr">
        <is>
          <t>Transaction</t>
        </is>
      </c>
      <c r="D950" s="58">
        <f>IF(H950=1,INDEX(tx_ID,944)&amp;"","")</f>
        <v/>
      </c>
      <c r="E950" s="94">
        <f>IF(H950=1,INDEX(tx_Date,944),"")</f>
        <v/>
      </c>
      <c r="F950" s="58">
        <f>IF(H950=1,INDEX(tx_Desc,944)&amp;"","")</f>
        <v/>
      </c>
      <c r="G950" s="58">
        <f>IF(H950=1,IF(INDEX(tx_Cust,944)&amp;""&lt;&gt;"",INDEX(tx_Cust,944)&amp;"",INDEX(tx_Vend,944)&amp;""),"")</f>
        <v/>
      </c>
      <c r="H950" s="101">
        <f>IFERROR(N(INDEX(tx_Posted,944)),0)</f>
        <v/>
      </c>
      <c r="I950" s="58">
        <f>IF(H950=1,INDEX(tx_DrAcct,944)&amp;"","")</f>
        <v/>
      </c>
      <c r="J950" s="95">
        <f>IF(H950=1,INDEX(tx_DrAmt,944),0)</f>
        <v/>
      </c>
      <c r="K950" s="58">
        <f>IF(H950=1,INDEX(tx_CrAcct,944)&amp;"","")</f>
        <v/>
      </c>
      <c r="L950" s="95">
        <f>IF(H950=1,INDEX(tx_CrAmt,944),0)</f>
        <v/>
      </c>
      <c r="M950" s="95">
        <f>IF(H950=1,INDEX(tx_TaxDr,944),0)</f>
        <v/>
      </c>
      <c r="N950" s="95">
        <f>IF(H950=1,INDEX(tx_TaxCr,944),0)</f>
        <v/>
      </c>
      <c r="O950" s="101">
        <f>IF(H950=1,IF(E950&lt;FYStart,0,IF(E950&gt;FYEnd,13,YEAR(E950)*12+MONTH(E950)-FYYM+1)),"")</f>
        <v/>
      </c>
      <c r="P950" s="101">
        <f>IF(H950=1,IF(IFERROR(INDEX(coa_CF,MATCH(I950,coa_Name,0)),"")="Cash",1,0),0)</f>
        <v/>
      </c>
      <c r="Q950" s="101">
        <f>IF(H950=1,IF(IFERROR(INDEX(coa_CF,MATCH(K950,coa_Name,0)),"")="Cash",1,0),0)</f>
        <v/>
      </c>
      <c r="R950" s="58">
        <f>IF((P950-Q950)=0,"",IFERROR(INDEX(coa_CF,MATCH(IF((P950-Q950)=1,K950,I950),coa_Name,0)),"Operating"))</f>
        <v/>
      </c>
      <c r="S950" s="95">
        <f>IF((P950-Q950)=1,L950,IF((P950-Q950)=-1,-J950,0))</f>
        <v/>
      </c>
      <c r="T950" s="95">
        <f>IF((P950-Q950)=1,N950,IF((P950-Q950)=-1,-M950,0))</f>
        <v/>
      </c>
      <c r="U950" s="101">
        <f>IF(AND(H950=1,LedAcct&lt;&gt;""),IF(AND(E950&gt;=LedFrom,E950&lt;=LedTo,OR(I950=LedAcct,K950=LedAcct,AND(LedAcct=acctTax,M950+N950&lt;&gt;0))),E950*10000+B950,""),"")</f>
        <v/>
      </c>
    </row>
    <row r="951">
      <c r="B951" s="101" t="n">
        <v>945</v>
      </c>
      <c r="C951" s="58" t="inlineStr">
        <is>
          <t>Transaction</t>
        </is>
      </c>
      <c r="D951" s="58">
        <f>IF(H951=1,INDEX(tx_ID,945)&amp;"","")</f>
        <v/>
      </c>
      <c r="E951" s="94">
        <f>IF(H951=1,INDEX(tx_Date,945),"")</f>
        <v/>
      </c>
      <c r="F951" s="58">
        <f>IF(H951=1,INDEX(tx_Desc,945)&amp;"","")</f>
        <v/>
      </c>
      <c r="G951" s="58">
        <f>IF(H951=1,IF(INDEX(tx_Cust,945)&amp;""&lt;&gt;"",INDEX(tx_Cust,945)&amp;"",INDEX(tx_Vend,945)&amp;""),"")</f>
        <v/>
      </c>
      <c r="H951" s="101">
        <f>IFERROR(N(INDEX(tx_Posted,945)),0)</f>
        <v/>
      </c>
      <c r="I951" s="58">
        <f>IF(H951=1,INDEX(tx_DrAcct,945)&amp;"","")</f>
        <v/>
      </c>
      <c r="J951" s="95">
        <f>IF(H951=1,INDEX(tx_DrAmt,945),0)</f>
        <v/>
      </c>
      <c r="K951" s="58">
        <f>IF(H951=1,INDEX(tx_CrAcct,945)&amp;"","")</f>
        <v/>
      </c>
      <c r="L951" s="95">
        <f>IF(H951=1,INDEX(tx_CrAmt,945),0)</f>
        <v/>
      </c>
      <c r="M951" s="95">
        <f>IF(H951=1,INDEX(tx_TaxDr,945),0)</f>
        <v/>
      </c>
      <c r="N951" s="95">
        <f>IF(H951=1,INDEX(tx_TaxCr,945),0)</f>
        <v/>
      </c>
      <c r="O951" s="101">
        <f>IF(H951=1,IF(E951&lt;FYStart,0,IF(E951&gt;FYEnd,13,YEAR(E951)*12+MONTH(E951)-FYYM+1)),"")</f>
        <v/>
      </c>
      <c r="P951" s="101">
        <f>IF(H951=1,IF(IFERROR(INDEX(coa_CF,MATCH(I951,coa_Name,0)),"")="Cash",1,0),0)</f>
        <v/>
      </c>
      <c r="Q951" s="101">
        <f>IF(H951=1,IF(IFERROR(INDEX(coa_CF,MATCH(K951,coa_Name,0)),"")="Cash",1,0),0)</f>
        <v/>
      </c>
      <c r="R951" s="58">
        <f>IF((P951-Q951)=0,"",IFERROR(INDEX(coa_CF,MATCH(IF((P951-Q951)=1,K951,I951),coa_Name,0)),"Operating"))</f>
        <v/>
      </c>
      <c r="S951" s="95">
        <f>IF((P951-Q951)=1,L951,IF((P951-Q951)=-1,-J951,0))</f>
        <v/>
      </c>
      <c r="T951" s="95">
        <f>IF((P951-Q951)=1,N951,IF((P951-Q951)=-1,-M951,0))</f>
        <v/>
      </c>
      <c r="U951" s="101">
        <f>IF(AND(H951=1,LedAcct&lt;&gt;""),IF(AND(E951&gt;=LedFrom,E951&lt;=LedTo,OR(I951=LedAcct,K951=LedAcct,AND(LedAcct=acctTax,M951+N951&lt;&gt;0))),E951*10000+B951,""),"")</f>
        <v/>
      </c>
    </row>
    <row r="952">
      <c r="B952" s="101" t="n">
        <v>946</v>
      </c>
      <c r="C952" s="58" t="inlineStr">
        <is>
          <t>Transaction</t>
        </is>
      </c>
      <c r="D952" s="58">
        <f>IF(H952=1,INDEX(tx_ID,946)&amp;"","")</f>
        <v/>
      </c>
      <c r="E952" s="94">
        <f>IF(H952=1,INDEX(tx_Date,946),"")</f>
        <v/>
      </c>
      <c r="F952" s="58">
        <f>IF(H952=1,INDEX(tx_Desc,946)&amp;"","")</f>
        <v/>
      </c>
      <c r="G952" s="58">
        <f>IF(H952=1,IF(INDEX(tx_Cust,946)&amp;""&lt;&gt;"",INDEX(tx_Cust,946)&amp;"",INDEX(tx_Vend,946)&amp;""),"")</f>
        <v/>
      </c>
      <c r="H952" s="101">
        <f>IFERROR(N(INDEX(tx_Posted,946)),0)</f>
        <v/>
      </c>
      <c r="I952" s="58">
        <f>IF(H952=1,INDEX(tx_DrAcct,946)&amp;"","")</f>
        <v/>
      </c>
      <c r="J952" s="95">
        <f>IF(H952=1,INDEX(tx_DrAmt,946),0)</f>
        <v/>
      </c>
      <c r="K952" s="58">
        <f>IF(H952=1,INDEX(tx_CrAcct,946)&amp;"","")</f>
        <v/>
      </c>
      <c r="L952" s="95">
        <f>IF(H952=1,INDEX(tx_CrAmt,946),0)</f>
        <v/>
      </c>
      <c r="M952" s="95">
        <f>IF(H952=1,INDEX(tx_TaxDr,946),0)</f>
        <v/>
      </c>
      <c r="N952" s="95">
        <f>IF(H952=1,INDEX(tx_TaxCr,946),0)</f>
        <v/>
      </c>
      <c r="O952" s="101">
        <f>IF(H952=1,IF(E952&lt;FYStart,0,IF(E952&gt;FYEnd,13,YEAR(E952)*12+MONTH(E952)-FYYM+1)),"")</f>
        <v/>
      </c>
      <c r="P952" s="101">
        <f>IF(H952=1,IF(IFERROR(INDEX(coa_CF,MATCH(I952,coa_Name,0)),"")="Cash",1,0),0)</f>
        <v/>
      </c>
      <c r="Q952" s="101">
        <f>IF(H952=1,IF(IFERROR(INDEX(coa_CF,MATCH(K952,coa_Name,0)),"")="Cash",1,0),0)</f>
        <v/>
      </c>
      <c r="R952" s="58">
        <f>IF((P952-Q952)=0,"",IFERROR(INDEX(coa_CF,MATCH(IF((P952-Q952)=1,K952,I952),coa_Name,0)),"Operating"))</f>
        <v/>
      </c>
      <c r="S952" s="95">
        <f>IF((P952-Q952)=1,L952,IF((P952-Q952)=-1,-J952,0))</f>
        <v/>
      </c>
      <c r="T952" s="95">
        <f>IF((P952-Q952)=1,N952,IF((P952-Q952)=-1,-M952,0))</f>
        <v/>
      </c>
      <c r="U952" s="101">
        <f>IF(AND(H952=1,LedAcct&lt;&gt;""),IF(AND(E952&gt;=LedFrom,E952&lt;=LedTo,OR(I952=LedAcct,K952=LedAcct,AND(LedAcct=acctTax,M952+N952&lt;&gt;0))),E952*10000+B952,""),"")</f>
        <v/>
      </c>
    </row>
    <row r="953">
      <c r="B953" s="101" t="n">
        <v>947</v>
      </c>
      <c r="C953" s="58" t="inlineStr">
        <is>
          <t>Transaction</t>
        </is>
      </c>
      <c r="D953" s="58">
        <f>IF(H953=1,INDEX(tx_ID,947)&amp;"","")</f>
        <v/>
      </c>
      <c r="E953" s="94">
        <f>IF(H953=1,INDEX(tx_Date,947),"")</f>
        <v/>
      </c>
      <c r="F953" s="58">
        <f>IF(H953=1,INDEX(tx_Desc,947)&amp;"","")</f>
        <v/>
      </c>
      <c r="G953" s="58">
        <f>IF(H953=1,IF(INDEX(tx_Cust,947)&amp;""&lt;&gt;"",INDEX(tx_Cust,947)&amp;"",INDEX(tx_Vend,947)&amp;""),"")</f>
        <v/>
      </c>
      <c r="H953" s="101">
        <f>IFERROR(N(INDEX(tx_Posted,947)),0)</f>
        <v/>
      </c>
      <c r="I953" s="58">
        <f>IF(H953=1,INDEX(tx_DrAcct,947)&amp;"","")</f>
        <v/>
      </c>
      <c r="J953" s="95">
        <f>IF(H953=1,INDEX(tx_DrAmt,947),0)</f>
        <v/>
      </c>
      <c r="K953" s="58">
        <f>IF(H953=1,INDEX(tx_CrAcct,947)&amp;"","")</f>
        <v/>
      </c>
      <c r="L953" s="95">
        <f>IF(H953=1,INDEX(tx_CrAmt,947),0)</f>
        <v/>
      </c>
      <c r="M953" s="95">
        <f>IF(H953=1,INDEX(tx_TaxDr,947),0)</f>
        <v/>
      </c>
      <c r="N953" s="95">
        <f>IF(H953=1,INDEX(tx_TaxCr,947),0)</f>
        <v/>
      </c>
      <c r="O953" s="101">
        <f>IF(H953=1,IF(E953&lt;FYStart,0,IF(E953&gt;FYEnd,13,YEAR(E953)*12+MONTH(E953)-FYYM+1)),"")</f>
        <v/>
      </c>
      <c r="P953" s="101">
        <f>IF(H953=1,IF(IFERROR(INDEX(coa_CF,MATCH(I953,coa_Name,0)),"")="Cash",1,0),0)</f>
        <v/>
      </c>
      <c r="Q953" s="101">
        <f>IF(H953=1,IF(IFERROR(INDEX(coa_CF,MATCH(K953,coa_Name,0)),"")="Cash",1,0),0)</f>
        <v/>
      </c>
      <c r="R953" s="58">
        <f>IF((P953-Q953)=0,"",IFERROR(INDEX(coa_CF,MATCH(IF((P953-Q953)=1,K953,I953),coa_Name,0)),"Operating"))</f>
        <v/>
      </c>
      <c r="S953" s="95">
        <f>IF((P953-Q953)=1,L953,IF((P953-Q953)=-1,-J953,0))</f>
        <v/>
      </c>
      <c r="T953" s="95">
        <f>IF((P953-Q953)=1,N953,IF((P953-Q953)=-1,-M953,0))</f>
        <v/>
      </c>
      <c r="U953" s="101">
        <f>IF(AND(H953=1,LedAcct&lt;&gt;""),IF(AND(E953&gt;=LedFrom,E953&lt;=LedTo,OR(I953=LedAcct,K953=LedAcct,AND(LedAcct=acctTax,M953+N953&lt;&gt;0))),E953*10000+B953,""),"")</f>
        <v/>
      </c>
    </row>
    <row r="954">
      <c r="B954" s="101" t="n">
        <v>948</v>
      </c>
      <c r="C954" s="58" t="inlineStr">
        <is>
          <t>Transaction</t>
        </is>
      </c>
      <c r="D954" s="58">
        <f>IF(H954=1,INDEX(tx_ID,948)&amp;"","")</f>
        <v/>
      </c>
      <c r="E954" s="94">
        <f>IF(H954=1,INDEX(tx_Date,948),"")</f>
        <v/>
      </c>
      <c r="F954" s="58">
        <f>IF(H954=1,INDEX(tx_Desc,948)&amp;"","")</f>
        <v/>
      </c>
      <c r="G954" s="58">
        <f>IF(H954=1,IF(INDEX(tx_Cust,948)&amp;""&lt;&gt;"",INDEX(tx_Cust,948)&amp;"",INDEX(tx_Vend,948)&amp;""),"")</f>
        <v/>
      </c>
      <c r="H954" s="101">
        <f>IFERROR(N(INDEX(tx_Posted,948)),0)</f>
        <v/>
      </c>
      <c r="I954" s="58">
        <f>IF(H954=1,INDEX(tx_DrAcct,948)&amp;"","")</f>
        <v/>
      </c>
      <c r="J954" s="95">
        <f>IF(H954=1,INDEX(tx_DrAmt,948),0)</f>
        <v/>
      </c>
      <c r="K954" s="58">
        <f>IF(H954=1,INDEX(tx_CrAcct,948)&amp;"","")</f>
        <v/>
      </c>
      <c r="L954" s="95">
        <f>IF(H954=1,INDEX(tx_CrAmt,948),0)</f>
        <v/>
      </c>
      <c r="M954" s="95">
        <f>IF(H954=1,INDEX(tx_TaxDr,948),0)</f>
        <v/>
      </c>
      <c r="N954" s="95">
        <f>IF(H954=1,INDEX(tx_TaxCr,948),0)</f>
        <v/>
      </c>
      <c r="O954" s="101">
        <f>IF(H954=1,IF(E954&lt;FYStart,0,IF(E954&gt;FYEnd,13,YEAR(E954)*12+MONTH(E954)-FYYM+1)),"")</f>
        <v/>
      </c>
      <c r="P954" s="101">
        <f>IF(H954=1,IF(IFERROR(INDEX(coa_CF,MATCH(I954,coa_Name,0)),"")="Cash",1,0),0)</f>
        <v/>
      </c>
      <c r="Q954" s="101">
        <f>IF(H954=1,IF(IFERROR(INDEX(coa_CF,MATCH(K954,coa_Name,0)),"")="Cash",1,0),0)</f>
        <v/>
      </c>
      <c r="R954" s="58">
        <f>IF((P954-Q954)=0,"",IFERROR(INDEX(coa_CF,MATCH(IF((P954-Q954)=1,K954,I954),coa_Name,0)),"Operating"))</f>
        <v/>
      </c>
      <c r="S954" s="95">
        <f>IF((P954-Q954)=1,L954,IF((P954-Q954)=-1,-J954,0))</f>
        <v/>
      </c>
      <c r="T954" s="95">
        <f>IF((P954-Q954)=1,N954,IF((P954-Q954)=-1,-M954,0))</f>
        <v/>
      </c>
      <c r="U954" s="101">
        <f>IF(AND(H954=1,LedAcct&lt;&gt;""),IF(AND(E954&gt;=LedFrom,E954&lt;=LedTo,OR(I954=LedAcct,K954=LedAcct,AND(LedAcct=acctTax,M954+N954&lt;&gt;0))),E954*10000+B954,""),"")</f>
        <v/>
      </c>
    </row>
    <row r="955">
      <c r="B955" s="101" t="n">
        <v>949</v>
      </c>
      <c r="C955" s="58" t="inlineStr">
        <is>
          <t>Transaction</t>
        </is>
      </c>
      <c r="D955" s="58">
        <f>IF(H955=1,INDEX(tx_ID,949)&amp;"","")</f>
        <v/>
      </c>
      <c r="E955" s="94">
        <f>IF(H955=1,INDEX(tx_Date,949),"")</f>
        <v/>
      </c>
      <c r="F955" s="58">
        <f>IF(H955=1,INDEX(tx_Desc,949)&amp;"","")</f>
        <v/>
      </c>
      <c r="G955" s="58">
        <f>IF(H955=1,IF(INDEX(tx_Cust,949)&amp;""&lt;&gt;"",INDEX(tx_Cust,949)&amp;"",INDEX(tx_Vend,949)&amp;""),"")</f>
        <v/>
      </c>
      <c r="H955" s="101">
        <f>IFERROR(N(INDEX(tx_Posted,949)),0)</f>
        <v/>
      </c>
      <c r="I955" s="58">
        <f>IF(H955=1,INDEX(tx_DrAcct,949)&amp;"","")</f>
        <v/>
      </c>
      <c r="J955" s="95">
        <f>IF(H955=1,INDEX(tx_DrAmt,949),0)</f>
        <v/>
      </c>
      <c r="K955" s="58">
        <f>IF(H955=1,INDEX(tx_CrAcct,949)&amp;"","")</f>
        <v/>
      </c>
      <c r="L955" s="95">
        <f>IF(H955=1,INDEX(tx_CrAmt,949),0)</f>
        <v/>
      </c>
      <c r="M955" s="95">
        <f>IF(H955=1,INDEX(tx_TaxDr,949),0)</f>
        <v/>
      </c>
      <c r="N955" s="95">
        <f>IF(H955=1,INDEX(tx_TaxCr,949),0)</f>
        <v/>
      </c>
      <c r="O955" s="101">
        <f>IF(H955=1,IF(E955&lt;FYStart,0,IF(E955&gt;FYEnd,13,YEAR(E955)*12+MONTH(E955)-FYYM+1)),"")</f>
        <v/>
      </c>
      <c r="P955" s="101">
        <f>IF(H955=1,IF(IFERROR(INDEX(coa_CF,MATCH(I955,coa_Name,0)),"")="Cash",1,0),0)</f>
        <v/>
      </c>
      <c r="Q955" s="101">
        <f>IF(H955=1,IF(IFERROR(INDEX(coa_CF,MATCH(K955,coa_Name,0)),"")="Cash",1,0),0)</f>
        <v/>
      </c>
      <c r="R955" s="58">
        <f>IF((P955-Q955)=0,"",IFERROR(INDEX(coa_CF,MATCH(IF((P955-Q955)=1,K955,I955),coa_Name,0)),"Operating"))</f>
        <v/>
      </c>
      <c r="S955" s="95">
        <f>IF((P955-Q955)=1,L955,IF((P955-Q955)=-1,-J955,0))</f>
        <v/>
      </c>
      <c r="T955" s="95">
        <f>IF((P955-Q955)=1,N955,IF((P955-Q955)=-1,-M955,0))</f>
        <v/>
      </c>
      <c r="U955" s="101">
        <f>IF(AND(H955=1,LedAcct&lt;&gt;""),IF(AND(E955&gt;=LedFrom,E955&lt;=LedTo,OR(I955=LedAcct,K955=LedAcct,AND(LedAcct=acctTax,M955+N955&lt;&gt;0))),E955*10000+B955,""),"")</f>
        <v/>
      </c>
    </row>
    <row r="956">
      <c r="B956" s="101" t="n">
        <v>950</v>
      </c>
      <c r="C956" s="58" t="inlineStr">
        <is>
          <t>Transaction</t>
        </is>
      </c>
      <c r="D956" s="58">
        <f>IF(H956=1,INDEX(tx_ID,950)&amp;"","")</f>
        <v/>
      </c>
      <c r="E956" s="94">
        <f>IF(H956=1,INDEX(tx_Date,950),"")</f>
        <v/>
      </c>
      <c r="F956" s="58">
        <f>IF(H956=1,INDEX(tx_Desc,950)&amp;"","")</f>
        <v/>
      </c>
      <c r="G956" s="58">
        <f>IF(H956=1,IF(INDEX(tx_Cust,950)&amp;""&lt;&gt;"",INDEX(tx_Cust,950)&amp;"",INDEX(tx_Vend,950)&amp;""),"")</f>
        <v/>
      </c>
      <c r="H956" s="101">
        <f>IFERROR(N(INDEX(tx_Posted,950)),0)</f>
        <v/>
      </c>
      <c r="I956" s="58">
        <f>IF(H956=1,INDEX(tx_DrAcct,950)&amp;"","")</f>
        <v/>
      </c>
      <c r="J956" s="95">
        <f>IF(H956=1,INDEX(tx_DrAmt,950),0)</f>
        <v/>
      </c>
      <c r="K956" s="58">
        <f>IF(H956=1,INDEX(tx_CrAcct,950)&amp;"","")</f>
        <v/>
      </c>
      <c r="L956" s="95">
        <f>IF(H956=1,INDEX(tx_CrAmt,950),0)</f>
        <v/>
      </c>
      <c r="M956" s="95">
        <f>IF(H956=1,INDEX(tx_TaxDr,950),0)</f>
        <v/>
      </c>
      <c r="N956" s="95">
        <f>IF(H956=1,INDEX(tx_TaxCr,950),0)</f>
        <v/>
      </c>
      <c r="O956" s="101">
        <f>IF(H956=1,IF(E956&lt;FYStart,0,IF(E956&gt;FYEnd,13,YEAR(E956)*12+MONTH(E956)-FYYM+1)),"")</f>
        <v/>
      </c>
      <c r="P956" s="101">
        <f>IF(H956=1,IF(IFERROR(INDEX(coa_CF,MATCH(I956,coa_Name,0)),"")="Cash",1,0),0)</f>
        <v/>
      </c>
      <c r="Q956" s="101">
        <f>IF(H956=1,IF(IFERROR(INDEX(coa_CF,MATCH(K956,coa_Name,0)),"")="Cash",1,0),0)</f>
        <v/>
      </c>
      <c r="R956" s="58">
        <f>IF((P956-Q956)=0,"",IFERROR(INDEX(coa_CF,MATCH(IF((P956-Q956)=1,K956,I956),coa_Name,0)),"Operating"))</f>
        <v/>
      </c>
      <c r="S956" s="95">
        <f>IF((P956-Q956)=1,L956,IF((P956-Q956)=-1,-J956,0))</f>
        <v/>
      </c>
      <c r="T956" s="95">
        <f>IF((P956-Q956)=1,N956,IF((P956-Q956)=-1,-M956,0))</f>
        <v/>
      </c>
      <c r="U956" s="101">
        <f>IF(AND(H956=1,LedAcct&lt;&gt;""),IF(AND(E956&gt;=LedFrom,E956&lt;=LedTo,OR(I956=LedAcct,K956=LedAcct,AND(LedAcct=acctTax,M956+N956&lt;&gt;0))),E956*10000+B956,""),"")</f>
        <v/>
      </c>
    </row>
    <row r="957">
      <c r="B957" s="101" t="n">
        <v>951</v>
      </c>
      <c r="C957" s="58" t="inlineStr">
        <is>
          <t>Transaction</t>
        </is>
      </c>
      <c r="D957" s="58">
        <f>IF(H957=1,INDEX(tx_ID,951)&amp;"","")</f>
        <v/>
      </c>
      <c r="E957" s="94">
        <f>IF(H957=1,INDEX(tx_Date,951),"")</f>
        <v/>
      </c>
      <c r="F957" s="58">
        <f>IF(H957=1,INDEX(tx_Desc,951)&amp;"","")</f>
        <v/>
      </c>
      <c r="G957" s="58">
        <f>IF(H957=1,IF(INDEX(tx_Cust,951)&amp;""&lt;&gt;"",INDEX(tx_Cust,951)&amp;"",INDEX(tx_Vend,951)&amp;""),"")</f>
        <v/>
      </c>
      <c r="H957" s="101">
        <f>IFERROR(N(INDEX(tx_Posted,951)),0)</f>
        <v/>
      </c>
      <c r="I957" s="58">
        <f>IF(H957=1,INDEX(tx_DrAcct,951)&amp;"","")</f>
        <v/>
      </c>
      <c r="J957" s="95">
        <f>IF(H957=1,INDEX(tx_DrAmt,951),0)</f>
        <v/>
      </c>
      <c r="K957" s="58">
        <f>IF(H957=1,INDEX(tx_CrAcct,951)&amp;"","")</f>
        <v/>
      </c>
      <c r="L957" s="95">
        <f>IF(H957=1,INDEX(tx_CrAmt,951),0)</f>
        <v/>
      </c>
      <c r="M957" s="95">
        <f>IF(H957=1,INDEX(tx_TaxDr,951),0)</f>
        <v/>
      </c>
      <c r="N957" s="95">
        <f>IF(H957=1,INDEX(tx_TaxCr,951),0)</f>
        <v/>
      </c>
      <c r="O957" s="101">
        <f>IF(H957=1,IF(E957&lt;FYStart,0,IF(E957&gt;FYEnd,13,YEAR(E957)*12+MONTH(E957)-FYYM+1)),"")</f>
        <v/>
      </c>
      <c r="P957" s="101">
        <f>IF(H957=1,IF(IFERROR(INDEX(coa_CF,MATCH(I957,coa_Name,0)),"")="Cash",1,0),0)</f>
        <v/>
      </c>
      <c r="Q957" s="101">
        <f>IF(H957=1,IF(IFERROR(INDEX(coa_CF,MATCH(K957,coa_Name,0)),"")="Cash",1,0),0)</f>
        <v/>
      </c>
      <c r="R957" s="58">
        <f>IF((P957-Q957)=0,"",IFERROR(INDEX(coa_CF,MATCH(IF((P957-Q957)=1,K957,I957),coa_Name,0)),"Operating"))</f>
        <v/>
      </c>
      <c r="S957" s="95">
        <f>IF((P957-Q957)=1,L957,IF((P957-Q957)=-1,-J957,0))</f>
        <v/>
      </c>
      <c r="T957" s="95">
        <f>IF((P957-Q957)=1,N957,IF((P957-Q957)=-1,-M957,0))</f>
        <v/>
      </c>
      <c r="U957" s="101">
        <f>IF(AND(H957=1,LedAcct&lt;&gt;""),IF(AND(E957&gt;=LedFrom,E957&lt;=LedTo,OR(I957=LedAcct,K957=LedAcct,AND(LedAcct=acctTax,M957+N957&lt;&gt;0))),E957*10000+B957,""),"")</f>
        <v/>
      </c>
    </row>
    <row r="958">
      <c r="B958" s="101" t="n">
        <v>952</v>
      </c>
      <c r="C958" s="58" t="inlineStr">
        <is>
          <t>Transaction</t>
        </is>
      </c>
      <c r="D958" s="58">
        <f>IF(H958=1,INDEX(tx_ID,952)&amp;"","")</f>
        <v/>
      </c>
      <c r="E958" s="94">
        <f>IF(H958=1,INDEX(tx_Date,952),"")</f>
        <v/>
      </c>
      <c r="F958" s="58">
        <f>IF(H958=1,INDEX(tx_Desc,952)&amp;"","")</f>
        <v/>
      </c>
      <c r="G958" s="58">
        <f>IF(H958=1,IF(INDEX(tx_Cust,952)&amp;""&lt;&gt;"",INDEX(tx_Cust,952)&amp;"",INDEX(tx_Vend,952)&amp;""),"")</f>
        <v/>
      </c>
      <c r="H958" s="101">
        <f>IFERROR(N(INDEX(tx_Posted,952)),0)</f>
        <v/>
      </c>
      <c r="I958" s="58">
        <f>IF(H958=1,INDEX(tx_DrAcct,952)&amp;"","")</f>
        <v/>
      </c>
      <c r="J958" s="95">
        <f>IF(H958=1,INDEX(tx_DrAmt,952),0)</f>
        <v/>
      </c>
      <c r="K958" s="58">
        <f>IF(H958=1,INDEX(tx_CrAcct,952)&amp;"","")</f>
        <v/>
      </c>
      <c r="L958" s="95">
        <f>IF(H958=1,INDEX(tx_CrAmt,952),0)</f>
        <v/>
      </c>
      <c r="M958" s="95">
        <f>IF(H958=1,INDEX(tx_TaxDr,952),0)</f>
        <v/>
      </c>
      <c r="N958" s="95">
        <f>IF(H958=1,INDEX(tx_TaxCr,952),0)</f>
        <v/>
      </c>
      <c r="O958" s="101">
        <f>IF(H958=1,IF(E958&lt;FYStart,0,IF(E958&gt;FYEnd,13,YEAR(E958)*12+MONTH(E958)-FYYM+1)),"")</f>
        <v/>
      </c>
      <c r="P958" s="101">
        <f>IF(H958=1,IF(IFERROR(INDEX(coa_CF,MATCH(I958,coa_Name,0)),"")="Cash",1,0),0)</f>
        <v/>
      </c>
      <c r="Q958" s="101">
        <f>IF(H958=1,IF(IFERROR(INDEX(coa_CF,MATCH(K958,coa_Name,0)),"")="Cash",1,0),0)</f>
        <v/>
      </c>
      <c r="R958" s="58">
        <f>IF((P958-Q958)=0,"",IFERROR(INDEX(coa_CF,MATCH(IF((P958-Q958)=1,K958,I958),coa_Name,0)),"Operating"))</f>
        <v/>
      </c>
      <c r="S958" s="95">
        <f>IF((P958-Q958)=1,L958,IF((P958-Q958)=-1,-J958,0))</f>
        <v/>
      </c>
      <c r="T958" s="95">
        <f>IF((P958-Q958)=1,N958,IF((P958-Q958)=-1,-M958,0))</f>
        <v/>
      </c>
      <c r="U958" s="101">
        <f>IF(AND(H958=1,LedAcct&lt;&gt;""),IF(AND(E958&gt;=LedFrom,E958&lt;=LedTo,OR(I958=LedAcct,K958=LedAcct,AND(LedAcct=acctTax,M958+N958&lt;&gt;0))),E958*10000+B958,""),"")</f>
        <v/>
      </c>
    </row>
    <row r="959">
      <c r="B959" s="101" t="n">
        <v>953</v>
      </c>
      <c r="C959" s="58" t="inlineStr">
        <is>
          <t>Transaction</t>
        </is>
      </c>
      <c r="D959" s="58">
        <f>IF(H959=1,INDEX(tx_ID,953)&amp;"","")</f>
        <v/>
      </c>
      <c r="E959" s="94">
        <f>IF(H959=1,INDEX(tx_Date,953),"")</f>
        <v/>
      </c>
      <c r="F959" s="58">
        <f>IF(H959=1,INDEX(tx_Desc,953)&amp;"","")</f>
        <v/>
      </c>
      <c r="G959" s="58">
        <f>IF(H959=1,IF(INDEX(tx_Cust,953)&amp;""&lt;&gt;"",INDEX(tx_Cust,953)&amp;"",INDEX(tx_Vend,953)&amp;""),"")</f>
        <v/>
      </c>
      <c r="H959" s="101">
        <f>IFERROR(N(INDEX(tx_Posted,953)),0)</f>
        <v/>
      </c>
      <c r="I959" s="58">
        <f>IF(H959=1,INDEX(tx_DrAcct,953)&amp;"","")</f>
        <v/>
      </c>
      <c r="J959" s="95">
        <f>IF(H959=1,INDEX(tx_DrAmt,953),0)</f>
        <v/>
      </c>
      <c r="K959" s="58">
        <f>IF(H959=1,INDEX(tx_CrAcct,953)&amp;"","")</f>
        <v/>
      </c>
      <c r="L959" s="95">
        <f>IF(H959=1,INDEX(tx_CrAmt,953),0)</f>
        <v/>
      </c>
      <c r="M959" s="95">
        <f>IF(H959=1,INDEX(tx_TaxDr,953),0)</f>
        <v/>
      </c>
      <c r="N959" s="95">
        <f>IF(H959=1,INDEX(tx_TaxCr,953),0)</f>
        <v/>
      </c>
      <c r="O959" s="101">
        <f>IF(H959=1,IF(E959&lt;FYStart,0,IF(E959&gt;FYEnd,13,YEAR(E959)*12+MONTH(E959)-FYYM+1)),"")</f>
        <v/>
      </c>
      <c r="P959" s="101">
        <f>IF(H959=1,IF(IFERROR(INDEX(coa_CF,MATCH(I959,coa_Name,0)),"")="Cash",1,0),0)</f>
        <v/>
      </c>
      <c r="Q959" s="101">
        <f>IF(H959=1,IF(IFERROR(INDEX(coa_CF,MATCH(K959,coa_Name,0)),"")="Cash",1,0),0)</f>
        <v/>
      </c>
      <c r="R959" s="58">
        <f>IF((P959-Q959)=0,"",IFERROR(INDEX(coa_CF,MATCH(IF((P959-Q959)=1,K959,I959),coa_Name,0)),"Operating"))</f>
        <v/>
      </c>
      <c r="S959" s="95">
        <f>IF((P959-Q959)=1,L959,IF((P959-Q959)=-1,-J959,0))</f>
        <v/>
      </c>
      <c r="T959" s="95">
        <f>IF((P959-Q959)=1,N959,IF((P959-Q959)=-1,-M959,0))</f>
        <v/>
      </c>
      <c r="U959" s="101">
        <f>IF(AND(H959=1,LedAcct&lt;&gt;""),IF(AND(E959&gt;=LedFrom,E959&lt;=LedTo,OR(I959=LedAcct,K959=LedAcct,AND(LedAcct=acctTax,M959+N959&lt;&gt;0))),E959*10000+B959,""),"")</f>
        <v/>
      </c>
    </row>
    <row r="960">
      <c r="B960" s="101" t="n">
        <v>954</v>
      </c>
      <c r="C960" s="58" t="inlineStr">
        <is>
          <t>Transaction</t>
        </is>
      </c>
      <c r="D960" s="58">
        <f>IF(H960=1,INDEX(tx_ID,954)&amp;"","")</f>
        <v/>
      </c>
      <c r="E960" s="94">
        <f>IF(H960=1,INDEX(tx_Date,954),"")</f>
        <v/>
      </c>
      <c r="F960" s="58">
        <f>IF(H960=1,INDEX(tx_Desc,954)&amp;"","")</f>
        <v/>
      </c>
      <c r="G960" s="58">
        <f>IF(H960=1,IF(INDEX(tx_Cust,954)&amp;""&lt;&gt;"",INDEX(tx_Cust,954)&amp;"",INDEX(tx_Vend,954)&amp;""),"")</f>
        <v/>
      </c>
      <c r="H960" s="101">
        <f>IFERROR(N(INDEX(tx_Posted,954)),0)</f>
        <v/>
      </c>
      <c r="I960" s="58">
        <f>IF(H960=1,INDEX(tx_DrAcct,954)&amp;"","")</f>
        <v/>
      </c>
      <c r="J960" s="95">
        <f>IF(H960=1,INDEX(tx_DrAmt,954),0)</f>
        <v/>
      </c>
      <c r="K960" s="58">
        <f>IF(H960=1,INDEX(tx_CrAcct,954)&amp;"","")</f>
        <v/>
      </c>
      <c r="L960" s="95">
        <f>IF(H960=1,INDEX(tx_CrAmt,954),0)</f>
        <v/>
      </c>
      <c r="M960" s="95">
        <f>IF(H960=1,INDEX(tx_TaxDr,954),0)</f>
        <v/>
      </c>
      <c r="N960" s="95">
        <f>IF(H960=1,INDEX(tx_TaxCr,954),0)</f>
        <v/>
      </c>
      <c r="O960" s="101">
        <f>IF(H960=1,IF(E960&lt;FYStart,0,IF(E960&gt;FYEnd,13,YEAR(E960)*12+MONTH(E960)-FYYM+1)),"")</f>
        <v/>
      </c>
      <c r="P960" s="101">
        <f>IF(H960=1,IF(IFERROR(INDEX(coa_CF,MATCH(I960,coa_Name,0)),"")="Cash",1,0),0)</f>
        <v/>
      </c>
      <c r="Q960" s="101">
        <f>IF(H960=1,IF(IFERROR(INDEX(coa_CF,MATCH(K960,coa_Name,0)),"")="Cash",1,0),0)</f>
        <v/>
      </c>
      <c r="R960" s="58">
        <f>IF((P960-Q960)=0,"",IFERROR(INDEX(coa_CF,MATCH(IF((P960-Q960)=1,K960,I960),coa_Name,0)),"Operating"))</f>
        <v/>
      </c>
      <c r="S960" s="95">
        <f>IF((P960-Q960)=1,L960,IF((P960-Q960)=-1,-J960,0))</f>
        <v/>
      </c>
      <c r="T960" s="95">
        <f>IF((P960-Q960)=1,N960,IF((P960-Q960)=-1,-M960,0))</f>
        <v/>
      </c>
      <c r="U960" s="101">
        <f>IF(AND(H960=1,LedAcct&lt;&gt;""),IF(AND(E960&gt;=LedFrom,E960&lt;=LedTo,OR(I960=LedAcct,K960=LedAcct,AND(LedAcct=acctTax,M960+N960&lt;&gt;0))),E960*10000+B960,""),"")</f>
        <v/>
      </c>
    </row>
    <row r="961">
      <c r="B961" s="101" t="n">
        <v>955</v>
      </c>
      <c r="C961" s="58" t="inlineStr">
        <is>
          <t>Transaction</t>
        </is>
      </c>
      <c r="D961" s="58">
        <f>IF(H961=1,INDEX(tx_ID,955)&amp;"","")</f>
        <v/>
      </c>
      <c r="E961" s="94">
        <f>IF(H961=1,INDEX(tx_Date,955),"")</f>
        <v/>
      </c>
      <c r="F961" s="58">
        <f>IF(H961=1,INDEX(tx_Desc,955)&amp;"","")</f>
        <v/>
      </c>
      <c r="G961" s="58">
        <f>IF(H961=1,IF(INDEX(tx_Cust,955)&amp;""&lt;&gt;"",INDEX(tx_Cust,955)&amp;"",INDEX(tx_Vend,955)&amp;""),"")</f>
        <v/>
      </c>
      <c r="H961" s="101">
        <f>IFERROR(N(INDEX(tx_Posted,955)),0)</f>
        <v/>
      </c>
      <c r="I961" s="58">
        <f>IF(H961=1,INDEX(tx_DrAcct,955)&amp;"","")</f>
        <v/>
      </c>
      <c r="J961" s="95">
        <f>IF(H961=1,INDEX(tx_DrAmt,955),0)</f>
        <v/>
      </c>
      <c r="K961" s="58">
        <f>IF(H961=1,INDEX(tx_CrAcct,955)&amp;"","")</f>
        <v/>
      </c>
      <c r="L961" s="95">
        <f>IF(H961=1,INDEX(tx_CrAmt,955),0)</f>
        <v/>
      </c>
      <c r="M961" s="95">
        <f>IF(H961=1,INDEX(tx_TaxDr,955),0)</f>
        <v/>
      </c>
      <c r="N961" s="95">
        <f>IF(H961=1,INDEX(tx_TaxCr,955),0)</f>
        <v/>
      </c>
      <c r="O961" s="101">
        <f>IF(H961=1,IF(E961&lt;FYStart,0,IF(E961&gt;FYEnd,13,YEAR(E961)*12+MONTH(E961)-FYYM+1)),"")</f>
        <v/>
      </c>
      <c r="P961" s="101">
        <f>IF(H961=1,IF(IFERROR(INDEX(coa_CF,MATCH(I961,coa_Name,0)),"")="Cash",1,0),0)</f>
        <v/>
      </c>
      <c r="Q961" s="101">
        <f>IF(H961=1,IF(IFERROR(INDEX(coa_CF,MATCH(K961,coa_Name,0)),"")="Cash",1,0),0)</f>
        <v/>
      </c>
      <c r="R961" s="58">
        <f>IF((P961-Q961)=0,"",IFERROR(INDEX(coa_CF,MATCH(IF((P961-Q961)=1,K961,I961),coa_Name,0)),"Operating"))</f>
        <v/>
      </c>
      <c r="S961" s="95">
        <f>IF((P961-Q961)=1,L961,IF((P961-Q961)=-1,-J961,0))</f>
        <v/>
      </c>
      <c r="T961" s="95">
        <f>IF((P961-Q961)=1,N961,IF((P961-Q961)=-1,-M961,0))</f>
        <v/>
      </c>
      <c r="U961" s="101">
        <f>IF(AND(H961=1,LedAcct&lt;&gt;""),IF(AND(E961&gt;=LedFrom,E961&lt;=LedTo,OR(I961=LedAcct,K961=LedAcct,AND(LedAcct=acctTax,M961+N961&lt;&gt;0))),E961*10000+B961,""),"")</f>
        <v/>
      </c>
    </row>
    <row r="962">
      <c r="B962" s="101" t="n">
        <v>956</v>
      </c>
      <c r="C962" s="58" t="inlineStr">
        <is>
          <t>Transaction</t>
        </is>
      </c>
      <c r="D962" s="58">
        <f>IF(H962=1,INDEX(tx_ID,956)&amp;"","")</f>
        <v/>
      </c>
      <c r="E962" s="94">
        <f>IF(H962=1,INDEX(tx_Date,956),"")</f>
        <v/>
      </c>
      <c r="F962" s="58">
        <f>IF(H962=1,INDEX(tx_Desc,956)&amp;"","")</f>
        <v/>
      </c>
      <c r="G962" s="58">
        <f>IF(H962=1,IF(INDEX(tx_Cust,956)&amp;""&lt;&gt;"",INDEX(tx_Cust,956)&amp;"",INDEX(tx_Vend,956)&amp;""),"")</f>
        <v/>
      </c>
      <c r="H962" s="101">
        <f>IFERROR(N(INDEX(tx_Posted,956)),0)</f>
        <v/>
      </c>
      <c r="I962" s="58">
        <f>IF(H962=1,INDEX(tx_DrAcct,956)&amp;"","")</f>
        <v/>
      </c>
      <c r="J962" s="95">
        <f>IF(H962=1,INDEX(tx_DrAmt,956),0)</f>
        <v/>
      </c>
      <c r="K962" s="58">
        <f>IF(H962=1,INDEX(tx_CrAcct,956)&amp;"","")</f>
        <v/>
      </c>
      <c r="L962" s="95">
        <f>IF(H962=1,INDEX(tx_CrAmt,956),0)</f>
        <v/>
      </c>
      <c r="M962" s="95">
        <f>IF(H962=1,INDEX(tx_TaxDr,956),0)</f>
        <v/>
      </c>
      <c r="N962" s="95">
        <f>IF(H962=1,INDEX(tx_TaxCr,956),0)</f>
        <v/>
      </c>
      <c r="O962" s="101">
        <f>IF(H962=1,IF(E962&lt;FYStart,0,IF(E962&gt;FYEnd,13,YEAR(E962)*12+MONTH(E962)-FYYM+1)),"")</f>
        <v/>
      </c>
      <c r="P962" s="101">
        <f>IF(H962=1,IF(IFERROR(INDEX(coa_CF,MATCH(I962,coa_Name,0)),"")="Cash",1,0),0)</f>
        <v/>
      </c>
      <c r="Q962" s="101">
        <f>IF(H962=1,IF(IFERROR(INDEX(coa_CF,MATCH(K962,coa_Name,0)),"")="Cash",1,0),0)</f>
        <v/>
      </c>
      <c r="R962" s="58">
        <f>IF((P962-Q962)=0,"",IFERROR(INDEX(coa_CF,MATCH(IF((P962-Q962)=1,K962,I962),coa_Name,0)),"Operating"))</f>
        <v/>
      </c>
      <c r="S962" s="95">
        <f>IF((P962-Q962)=1,L962,IF((P962-Q962)=-1,-J962,0))</f>
        <v/>
      </c>
      <c r="T962" s="95">
        <f>IF((P962-Q962)=1,N962,IF((P962-Q962)=-1,-M962,0))</f>
        <v/>
      </c>
      <c r="U962" s="101">
        <f>IF(AND(H962=1,LedAcct&lt;&gt;""),IF(AND(E962&gt;=LedFrom,E962&lt;=LedTo,OR(I962=LedAcct,K962=LedAcct,AND(LedAcct=acctTax,M962+N962&lt;&gt;0))),E962*10000+B962,""),"")</f>
        <v/>
      </c>
    </row>
    <row r="963">
      <c r="B963" s="101" t="n">
        <v>957</v>
      </c>
      <c r="C963" s="58" t="inlineStr">
        <is>
          <t>Transaction</t>
        </is>
      </c>
      <c r="D963" s="58">
        <f>IF(H963=1,INDEX(tx_ID,957)&amp;"","")</f>
        <v/>
      </c>
      <c r="E963" s="94">
        <f>IF(H963=1,INDEX(tx_Date,957),"")</f>
        <v/>
      </c>
      <c r="F963" s="58">
        <f>IF(H963=1,INDEX(tx_Desc,957)&amp;"","")</f>
        <v/>
      </c>
      <c r="G963" s="58">
        <f>IF(H963=1,IF(INDEX(tx_Cust,957)&amp;""&lt;&gt;"",INDEX(tx_Cust,957)&amp;"",INDEX(tx_Vend,957)&amp;""),"")</f>
        <v/>
      </c>
      <c r="H963" s="101">
        <f>IFERROR(N(INDEX(tx_Posted,957)),0)</f>
        <v/>
      </c>
      <c r="I963" s="58">
        <f>IF(H963=1,INDEX(tx_DrAcct,957)&amp;"","")</f>
        <v/>
      </c>
      <c r="J963" s="95">
        <f>IF(H963=1,INDEX(tx_DrAmt,957),0)</f>
        <v/>
      </c>
      <c r="K963" s="58">
        <f>IF(H963=1,INDEX(tx_CrAcct,957)&amp;"","")</f>
        <v/>
      </c>
      <c r="L963" s="95">
        <f>IF(H963=1,INDEX(tx_CrAmt,957),0)</f>
        <v/>
      </c>
      <c r="M963" s="95">
        <f>IF(H963=1,INDEX(tx_TaxDr,957),0)</f>
        <v/>
      </c>
      <c r="N963" s="95">
        <f>IF(H963=1,INDEX(tx_TaxCr,957),0)</f>
        <v/>
      </c>
      <c r="O963" s="101">
        <f>IF(H963=1,IF(E963&lt;FYStart,0,IF(E963&gt;FYEnd,13,YEAR(E963)*12+MONTH(E963)-FYYM+1)),"")</f>
        <v/>
      </c>
      <c r="P963" s="101">
        <f>IF(H963=1,IF(IFERROR(INDEX(coa_CF,MATCH(I963,coa_Name,0)),"")="Cash",1,0),0)</f>
        <v/>
      </c>
      <c r="Q963" s="101">
        <f>IF(H963=1,IF(IFERROR(INDEX(coa_CF,MATCH(K963,coa_Name,0)),"")="Cash",1,0),0)</f>
        <v/>
      </c>
      <c r="R963" s="58">
        <f>IF((P963-Q963)=0,"",IFERROR(INDEX(coa_CF,MATCH(IF((P963-Q963)=1,K963,I963),coa_Name,0)),"Operating"))</f>
        <v/>
      </c>
      <c r="S963" s="95">
        <f>IF((P963-Q963)=1,L963,IF((P963-Q963)=-1,-J963,0))</f>
        <v/>
      </c>
      <c r="T963" s="95">
        <f>IF((P963-Q963)=1,N963,IF((P963-Q963)=-1,-M963,0))</f>
        <v/>
      </c>
      <c r="U963" s="101">
        <f>IF(AND(H963=1,LedAcct&lt;&gt;""),IF(AND(E963&gt;=LedFrom,E963&lt;=LedTo,OR(I963=LedAcct,K963=LedAcct,AND(LedAcct=acctTax,M963+N963&lt;&gt;0))),E963*10000+B963,""),"")</f>
        <v/>
      </c>
    </row>
    <row r="964">
      <c r="B964" s="101" t="n">
        <v>958</v>
      </c>
      <c r="C964" s="58" t="inlineStr">
        <is>
          <t>Transaction</t>
        </is>
      </c>
      <c r="D964" s="58">
        <f>IF(H964=1,INDEX(tx_ID,958)&amp;"","")</f>
        <v/>
      </c>
      <c r="E964" s="94">
        <f>IF(H964=1,INDEX(tx_Date,958),"")</f>
        <v/>
      </c>
      <c r="F964" s="58">
        <f>IF(H964=1,INDEX(tx_Desc,958)&amp;"","")</f>
        <v/>
      </c>
      <c r="G964" s="58">
        <f>IF(H964=1,IF(INDEX(tx_Cust,958)&amp;""&lt;&gt;"",INDEX(tx_Cust,958)&amp;"",INDEX(tx_Vend,958)&amp;""),"")</f>
        <v/>
      </c>
      <c r="H964" s="101">
        <f>IFERROR(N(INDEX(tx_Posted,958)),0)</f>
        <v/>
      </c>
      <c r="I964" s="58">
        <f>IF(H964=1,INDEX(tx_DrAcct,958)&amp;"","")</f>
        <v/>
      </c>
      <c r="J964" s="95">
        <f>IF(H964=1,INDEX(tx_DrAmt,958),0)</f>
        <v/>
      </c>
      <c r="K964" s="58">
        <f>IF(H964=1,INDEX(tx_CrAcct,958)&amp;"","")</f>
        <v/>
      </c>
      <c r="L964" s="95">
        <f>IF(H964=1,INDEX(tx_CrAmt,958),0)</f>
        <v/>
      </c>
      <c r="M964" s="95">
        <f>IF(H964=1,INDEX(tx_TaxDr,958),0)</f>
        <v/>
      </c>
      <c r="N964" s="95">
        <f>IF(H964=1,INDEX(tx_TaxCr,958),0)</f>
        <v/>
      </c>
      <c r="O964" s="101">
        <f>IF(H964=1,IF(E964&lt;FYStart,0,IF(E964&gt;FYEnd,13,YEAR(E964)*12+MONTH(E964)-FYYM+1)),"")</f>
        <v/>
      </c>
      <c r="P964" s="101">
        <f>IF(H964=1,IF(IFERROR(INDEX(coa_CF,MATCH(I964,coa_Name,0)),"")="Cash",1,0),0)</f>
        <v/>
      </c>
      <c r="Q964" s="101">
        <f>IF(H964=1,IF(IFERROR(INDEX(coa_CF,MATCH(K964,coa_Name,0)),"")="Cash",1,0),0)</f>
        <v/>
      </c>
      <c r="R964" s="58">
        <f>IF((P964-Q964)=0,"",IFERROR(INDEX(coa_CF,MATCH(IF((P964-Q964)=1,K964,I964),coa_Name,0)),"Operating"))</f>
        <v/>
      </c>
      <c r="S964" s="95">
        <f>IF((P964-Q964)=1,L964,IF((P964-Q964)=-1,-J964,0))</f>
        <v/>
      </c>
      <c r="T964" s="95">
        <f>IF((P964-Q964)=1,N964,IF((P964-Q964)=-1,-M964,0))</f>
        <v/>
      </c>
      <c r="U964" s="101">
        <f>IF(AND(H964=1,LedAcct&lt;&gt;""),IF(AND(E964&gt;=LedFrom,E964&lt;=LedTo,OR(I964=LedAcct,K964=LedAcct,AND(LedAcct=acctTax,M964+N964&lt;&gt;0))),E964*10000+B964,""),"")</f>
        <v/>
      </c>
    </row>
    <row r="965">
      <c r="B965" s="101" t="n">
        <v>959</v>
      </c>
      <c r="C965" s="58" t="inlineStr">
        <is>
          <t>Transaction</t>
        </is>
      </c>
      <c r="D965" s="58">
        <f>IF(H965=1,INDEX(tx_ID,959)&amp;"","")</f>
        <v/>
      </c>
      <c r="E965" s="94">
        <f>IF(H965=1,INDEX(tx_Date,959),"")</f>
        <v/>
      </c>
      <c r="F965" s="58">
        <f>IF(H965=1,INDEX(tx_Desc,959)&amp;"","")</f>
        <v/>
      </c>
      <c r="G965" s="58">
        <f>IF(H965=1,IF(INDEX(tx_Cust,959)&amp;""&lt;&gt;"",INDEX(tx_Cust,959)&amp;"",INDEX(tx_Vend,959)&amp;""),"")</f>
        <v/>
      </c>
      <c r="H965" s="101">
        <f>IFERROR(N(INDEX(tx_Posted,959)),0)</f>
        <v/>
      </c>
      <c r="I965" s="58">
        <f>IF(H965=1,INDEX(tx_DrAcct,959)&amp;"","")</f>
        <v/>
      </c>
      <c r="J965" s="95">
        <f>IF(H965=1,INDEX(tx_DrAmt,959),0)</f>
        <v/>
      </c>
      <c r="K965" s="58">
        <f>IF(H965=1,INDEX(tx_CrAcct,959)&amp;"","")</f>
        <v/>
      </c>
      <c r="L965" s="95">
        <f>IF(H965=1,INDEX(tx_CrAmt,959),0)</f>
        <v/>
      </c>
      <c r="M965" s="95">
        <f>IF(H965=1,INDEX(tx_TaxDr,959),0)</f>
        <v/>
      </c>
      <c r="N965" s="95">
        <f>IF(H965=1,INDEX(tx_TaxCr,959),0)</f>
        <v/>
      </c>
      <c r="O965" s="101">
        <f>IF(H965=1,IF(E965&lt;FYStart,0,IF(E965&gt;FYEnd,13,YEAR(E965)*12+MONTH(E965)-FYYM+1)),"")</f>
        <v/>
      </c>
      <c r="P965" s="101">
        <f>IF(H965=1,IF(IFERROR(INDEX(coa_CF,MATCH(I965,coa_Name,0)),"")="Cash",1,0),0)</f>
        <v/>
      </c>
      <c r="Q965" s="101">
        <f>IF(H965=1,IF(IFERROR(INDEX(coa_CF,MATCH(K965,coa_Name,0)),"")="Cash",1,0),0)</f>
        <v/>
      </c>
      <c r="R965" s="58">
        <f>IF((P965-Q965)=0,"",IFERROR(INDEX(coa_CF,MATCH(IF((P965-Q965)=1,K965,I965),coa_Name,0)),"Operating"))</f>
        <v/>
      </c>
      <c r="S965" s="95">
        <f>IF((P965-Q965)=1,L965,IF((P965-Q965)=-1,-J965,0))</f>
        <v/>
      </c>
      <c r="T965" s="95">
        <f>IF((P965-Q965)=1,N965,IF((P965-Q965)=-1,-M965,0))</f>
        <v/>
      </c>
      <c r="U965" s="101">
        <f>IF(AND(H965=1,LedAcct&lt;&gt;""),IF(AND(E965&gt;=LedFrom,E965&lt;=LedTo,OR(I965=LedAcct,K965=LedAcct,AND(LedAcct=acctTax,M965+N965&lt;&gt;0))),E965*10000+B965,""),"")</f>
        <v/>
      </c>
    </row>
    <row r="966">
      <c r="B966" s="101" t="n">
        <v>960</v>
      </c>
      <c r="C966" s="58" t="inlineStr">
        <is>
          <t>Transaction</t>
        </is>
      </c>
      <c r="D966" s="58">
        <f>IF(H966=1,INDEX(tx_ID,960)&amp;"","")</f>
        <v/>
      </c>
      <c r="E966" s="94">
        <f>IF(H966=1,INDEX(tx_Date,960),"")</f>
        <v/>
      </c>
      <c r="F966" s="58">
        <f>IF(H966=1,INDEX(tx_Desc,960)&amp;"","")</f>
        <v/>
      </c>
      <c r="G966" s="58">
        <f>IF(H966=1,IF(INDEX(tx_Cust,960)&amp;""&lt;&gt;"",INDEX(tx_Cust,960)&amp;"",INDEX(tx_Vend,960)&amp;""),"")</f>
        <v/>
      </c>
      <c r="H966" s="101">
        <f>IFERROR(N(INDEX(tx_Posted,960)),0)</f>
        <v/>
      </c>
      <c r="I966" s="58">
        <f>IF(H966=1,INDEX(tx_DrAcct,960)&amp;"","")</f>
        <v/>
      </c>
      <c r="J966" s="95">
        <f>IF(H966=1,INDEX(tx_DrAmt,960),0)</f>
        <v/>
      </c>
      <c r="K966" s="58">
        <f>IF(H966=1,INDEX(tx_CrAcct,960)&amp;"","")</f>
        <v/>
      </c>
      <c r="L966" s="95">
        <f>IF(H966=1,INDEX(tx_CrAmt,960),0)</f>
        <v/>
      </c>
      <c r="M966" s="95">
        <f>IF(H966=1,INDEX(tx_TaxDr,960),0)</f>
        <v/>
      </c>
      <c r="N966" s="95">
        <f>IF(H966=1,INDEX(tx_TaxCr,960),0)</f>
        <v/>
      </c>
      <c r="O966" s="101">
        <f>IF(H966=1,IF(E966&lt;FYStart,0,IF(E966&gt;FYEnd,13,YEAR(E966)*12+MONTH(E966)-FYYM+1)),"")</f>
        <v/>
      </c>
      <c r="P966" s="101">
        <f>IF(H966=1,IF(IFERROR(INDEX(coa_CF,MATCH(I966,coa_Name,0)),"")="Cash",1,0),0)</f>
        <v/>
      </c>
      <c r="Q966" s="101">
        <f>IF(H966=1,IF(IFERROR(INDEX(coa_CF,MATCH(K966,coa_Name,0)),"")="Cash",1,0),0)</f>
        <v/>
      </c>
      <c r="R966" s="58">
        <f>IF((P966-Q966)=0,"",IFERROR(INDEX(coa_CF,MATCH(IF((P966-Q966)=1,K966,I966),coa_Name,0)),"Operating"))</f>
        <v/>
      </c>
      <c r="S966" s="95">
        <f>IF((P966-Q966)=1,L966,IF((P966-Q966)=-1,-J966,0))</f>
        <v/>
      </c>
      <c r="T966" s="95">
        <f>IF((P966-Q966)=1,N966,IF((P966-Q966)=-1,-M966,0))</f>
        <v/>
      </c>
      <c r="U966" s="101">
        <f>IF(AND(H966=1,LedAcct&lt;&gt;""),IF(AND(E966&gt;=LedFrom,E966&lt;=LedTo,OR(I966=LedAcct,K966=LedAcct,AND(LedAcct=acctTax,M966+N966&lt;&gt;0))),E966*10000+B966,""),"")</f>
        <v/>
      </c>
    </row>
    <row r="967">
      <c r="B967" s="101" t="n">
        <v>961</v>
      </c>
      <c r="C967" s="58" t="inlineStr">
        <is>
          <t>Transaction</t>
        </is>
      </c>
      <c r="D967" s="58">
        <f>IF(H967=1,INDEX(tx_ID,961)&amp;"","")</f>
        <v/>
      </c>
      <c r="E967" s="94">
        <f>IF(H967=1,INDEX(tx_Date,961),"")</f>
        <v/>
      </c>
      <c r="F967" s="58">
        <f>IF(H967=1,INDEX(tx_Desc,961)&amp;"","")</f>
        <v/>
      </c>
      <c r="G967" s="58">
        <f>IF(H967=1,IF(INDEX(tx_Cust,961)&amp;""&lt;&gt;"",INDEX(tx_Cust,961)&amp;"",INDEX(tx_Vend,961)&amp;""),"")</f>
        <v/>
      </c>
      <c r="H967" s="101">
        <f>IFERROR(N(INDEX(tx_Posted,961)),0)</f>
        <v/>
      </c>
      <c r="I967" s="58">
        <f>IF(H967=1,INDEX(tx_DrAcct,961)&amp;"","")</f>
        <v/>
      </c>
      <c r="J967" s="95">
        <f>IF(H967=1,INDEX(tx_DrAmt,961),0)</f>
        <v/>
      </c>
      <c r="K967" s="58">
        <f>IF(H967=1,INDEX(tx_CrAcct,961)&amp;"","")</f>
        <v/>
      </c>
      <c r="L967" s="95">
        <f>IF(H967=1,INDEX(tx_CrAmt,961),0)</f>
        <v/>
      </c>
      <c r="M967" s="95">
        <f>IF(H967=1,INDEX(tx_TaxDr,961),0)</f>
        <v/>
      </c>
      <c r="N967" s="95">
        <f>IF(H967=1,INDEX(tx_TaxCr,961),0)</f>
        <v/>
      </c>
      <c r="O967" s="101">
        <f>IF(H967=1,IF(E967&lt;FYStart,0,IF(E967&gt;FYEnd,13,YEAR(E967)*12+MONTH(E967)-FYYM+1)),"")</f>
        <v/>
      </c>
      <c r="P967" s="101">
        <f>IF(H967=1,IF(IFERROR(INDEX(coa_CF,MATCH(I967,coa_Name,0)),"")="Cash",1,0),0)</f>
        <v/>
      </c>
      <c r="Q967" s="101">
        <f>IF(H967=1,IF(IFERROR(INDEX(coa_CF,MATCH(K967,coa_Name,0)),"")="Cash",1,0),0)</f>
        <v/>
      </c>
      <c r="R967" s="58">
        <f>IF((P967-Q967)=0,"",IFERROR(INDEX(coa_CF,MATCH(IF((P967-Q967)=1,K967,I967),coa_Name,0)),"Operating"))</f>
        <v/>
      </c>
      <c r="S967" s="95">
        <f>IF((P967-Q967)=1,L967,IF((P967-Q967)=-1,-J967,0))</f>
        <v/>
      </c>
      <c r="T967" s="95">
        <f>IF((P967-Q967)=1,N967,IF((P967-Q967)=-1,-M967,0))</f>
        <v/>
      </c>
      <c r="U967" s="101">
        <f>IF(AND(H967=1,LedAcct&lt;&gt;""),IF(AND(E967&gt;=LedFrom,E967&lt;=LedTo,OR(I967=LedAcct,K967=LedAcct,AND(LedAcct=acctTax,M967+N967&lt;&gt;0))),E967*10000+B967,""),"")</f>
        <v/>
      </c>
    </row>
    <row r="968">
      <c r="B968" s="101" t="n">
        <v>962</v>
      </c>
      <c r="C968" s="58" t="inlineStr">
        <is>
          <t>Transaction</t>
        </is>
      </c>
      <c r="D968" s="58">
        <f>IF(H968=1,INDEX(tx_ID,962)&amp;"","")</f>
        <v/>
      </c>
      <c r="E968" s="94">
        <f>IF(H968=1,INDEX(tx_Date,962),"")</f>
        <v/>
      </c>
      <c r="F968" s="58">
        <f>IF(H968=1,INDEX(tx_Desc,962)&amp;"","")</f>
        <v/>
      </c>
      <c r="G968" s="58">
        <f>IF(H968=1,IF(INDEX(tx_Cust,962)&amp;""&lt;&gt;"",INDEX(tx_Cust,962)&amp;"",INDEX(tx_Vend,962)&amp;""),"")</f>
        <v/>
      </c>
      <c r="H968" s="101">
        <f>IFERROR(N(INDEX(tx_Posted,962)),0)</f>
        <v/>
      </c>
      <c r="I968" s="58">
        <f>IF(H968=1,INDEX(tx_DrAcct,962)&amp;"","")</f>
        <v/>
      </c>
      <c r="J968" s="95">
        <f>IF(H968=1,INDEX(tx_DrAmt,962),0)</f>
        <v/>
      </c>
      <c r="K968" s="58">
        <f>IF(H968=1,INDEX(tx_CrAcct,962)&amp;"","")</f>
        <v/>
      </c>
      <c r="L968" s="95">
        <f>IF(H968=1,INDEX(tx_CrAmt,962),0)</f>
        <v/>
      </c>
      <c r="M968" s="95">
        <f>IF(H968=1,INDEX(tx_TaxDr,962),0)</f>
        <v/>
      </c>
      <c r="N968" s="95">
        <f>IF(H968=1,INDEX(tx_TaxCr,962),0)</f>
        <v/>
      </c>
      <c r="O968" s="101">
        <f>IF(H968=1,IF(E968&lt;FYStart,0,IF(E968&gt;FYEnd,13,YEAR(E968)*12+MONTH(E968)-FYYM+1)),"")</f>
        <v/>
      </c>
      <c r="P968" s="101">
        <f>IF(H968=1,IF(IFERROR(INDEX(coa_CF,MATCH(I968,coa_Name,0)),"")="Cash",1,0),0)</f>
        <v/>
      </c>
      <c r="Q968" s="101">
        <f>IF(H968=1,IF(IFERROR(INDEX(coa_CF,MATCH(K968,coa_Name,0)),"")="Cash",1,0),0)</f>
        <v/>
      </c>
      <c r="R968" s="58">
        <f>IF((P968-Q968)=0,"",IFERROR(INDEX(coa_CF,MATCH(IF((P968-Q968)=1,K968,I968),coa_Name,0)),"Operating"))</f>
        <v/>
      </c>
      <c r="S968" s="95">
        <f>IF((P968-Q968)=1,L968,IF((P968-Q968)=-1,-J968,0))</f>
        <v/>
      </c>
      <c r="T968" s="95">
        <f>IF((P968-Q968)=1,N968,IF((P968-Q968)=-1,-M968,0))</f>
        <v/>
      </c>
      <c r="U968" s="101">
        <f>IF(AND(H968=1,LedAcct&lt;&gt;""),IF(AND(E968&gt;=LedFrom,E968&lt;=LedTo,OR(I968=LedAcct,K968=LedAcct,AND(LedAcct=acctTax,M968+N968&lt;&gt;0))),E968*10000+B968,""),"")</f>
        <v/>
      </c>
    </row>
    <row r="969">
      <c r="B969" s="101" t="n">
        <v>963</v>
      </c>
      <c r="C969" s="58" t="inlineStr">
        <is>
          <t>Transaction</t>
        </is>
      </c>
      <c r="D969" s="58">
        <f>IF(H969=1,INDEX(tx_ID,963)&amp;"","")</f>
        <v/>
      </c>
      <c r="E969" s="94">
        <f>IF(H969=1,INDEX(tx_Date,963),"")</f>
        <v/>
      </c>
      <c r="F969" s="58">
        <f>IF(H969=1,INDEX(tx_Desc,963)&amp;"","")</f>
        <v/>
      </c>
      <c r="G969" s="58">
        <f>IF(H969=1,IF(INDEX(tx_Cust,963)&amp;""&lt;&gt;"",INDEX(tx_Cust,963)&amp;"",INDEX(tx_Vend,963)&amp;""),"")</f>
        <v/>
      </c>
      <c r="H969" s="101">
        <f>IFERROR(N(INDEX(tx_Posted,963)),0)</f>
        <v/>
      </c>
      <c r="I969" s="58">
        <f>IF(H969=1,INDEX(tx_DrAcct,963)&amp;"","")</f>
        <v/>
      </c>
      <c r="J969" s="95">
        <f>IF(H969=1,INDEX(tx_DrAmt,963),0)</f>
        <v/>
      </c>
      <c r="K969" s="58">
        <f>IF(H969=1,INDEX(tx_CrAcct,963)&amp;"","")</f>
        <v/>
      </c>
      <c r="L969" s="95">
        <f>IF(H969=1,INDEX(tx_CrAmt,963),0)</f>
        <v/>
      </c>
      <c r="M969" s="95">
        <f>IF(H969=1,INDEX(tx_TaxDr,963),0)</f>
        <v/>
      </c>
      <c r="N969" s="95">
        <f>IF(H969=1,INDEX(tx_TaxCr,963),0)</f>
        <v/>
      </c>
      <c r="O969" s="101">
        <f>IF(H969=1,IF(E969&lt;FYStart,0,IF(E969&gt;FYEnd,13,YEAR(E969)*12+MONTH(E969)-FYYM+1)),"")</f>
        <v/>
      </c>
      <c r="P969" s="101">
        <f>IF(H969=1,IF(IFERROR(INDEX(coa_CF,MATCH(I969,coa_Name,0)),"")="Cash",1,0),0)</f>
        <v/>
      </c>
      <c r="Q969" s="101">
        <f>IF(H969=1,IF(IFERROR(INDEX(coa_CF,MATCH(K969,coa_Name,0)),"")="Cash",1,0),0)</f>
        <v/>
      </c>
      <c r="R969" s="58">
        <f>IF((P969-Q969)=0,"",IFERROR(INDEX(coa_CF,MATCH(IF((P969-Q969)=1,K969,I969),coa_Name,0)),"Operating"))</f>
        <v/>
      </c>
      <c r="S969" s="95">
        <f>IF((P969-Q969)=1,L969,IF((P969-Q969)=-1,-J969,0))</f>
        <v/>
      </c>
      <c r="T969" s="95">
        <f>IF((P969-Q969)=1,N969,IF((P969-Q969)=-1,-M969,0))</f>
        <v/>
      </c>
      <c r="U969" s="101">
        <f>IF(AND(H969=1,LedAcct&lt;&gt;""),IF(AND(E969&gt;=LedFrom,E969&lt;=LedTo,OR(I969=LedAcct,K969=LedAcct,AND(LedAcct=acctTax,M969+N969&lt;&gt;0))),E969*10000+B969,""),"")</f>
        <v/>
      </c>
    </row>
    <row r="970">
      <c r="B970" s="101" t="n">
        <v>964</v>
      </c>
      <c r="C970" s="58" t="inlineStr">
        <is>
          <t>Transaction</t>
        </is>
      </c>
      <c r="D970" s="58">
        <f>IF(H970=1,INDEX(tx_ID,964)&amp;"","")</f>
        <v/>
      </c>
      <c r="E970" s="94">
        <f>IF(H970=1,INDEX(tx_Date,964),"")</f>
        <v/>
      </c>
      <c r="F970" s="58">
        <f>IF(H970=1,INDEX(tx_Desc,964)&amp;"","")</f>
        <v/>
      </c>
      <c r="G970" s="58">
        <f>IF(H970=1,IF(INDEX(tx_Cust,964)&amp;""&lt;&gt;"",INDEX(tx_Cust,964)&amp;"",INDEX(tx_Vend,964)&amp;""),"")</f>
        <v/>
      </c>
      <c r="H970" s="101">
        <f>IFERROR(N(INDEX(tx_Posted,964)),0)</f>
        <v/>
      </c>
      <c r="I970" s="58">
        <f>IF(H970=1,INDEX(tx_DrAcct,964)&amp;"","")</f>
        <v/>
      </c>
      <c r="J970" s="95">
        <f>IF(H970=1,INDEX(tx_DrAmt,964),0)</f>
        <v/>
      </c>
      <c r="K970" s="58">
        <f>IF(H970=1,INDEX(tx_CrAcct,964)&amp;"","")</f>
        <v/>
      </c>
      <c r="L970" s="95">
        <f>IF(H970=1,INDEX(tx_CrAmt,964),0)</f>
        <v/>
      </c>
      <c r="M970" s="95">
        <f>IF(H970=1,INDEX(tx_TaxDr,964),0)</f>
        <v/>
      </c>
      <c r="N970" s="95">
        <f>IF(H970=1,INDEX(tx_TaxCr,964),0)</f>
        <v/>
      </c>
      <c r="O970" s="101">
        <f>IF(H970=1,IF(E970&lt;FYStart,0,IF(E970&gt;FYEnd,13,YEAR(E970)*12+MONTH(E970)-FYYM+1)),"")</f>
        <v/>
      </c>
      <c r="P970" s="101">
        <f>IF(H970=1,IF(IFERROR(INDEX(coa_CF,MATCH(I970,coa_Name,0)),"")="Cash",1,0),0)</f>
        <v/>
      </c>
      <c r="Q970" s="101">
        <f>IF(H970=1,IF(IFERROR(INDEX(coa_CF,MATCH(K970,coa_Name,0)),"")="Cash",1,0),0)</f>
        <v/>
      </c>
      <c r="R970" s="58">
        <f>IF((P970-Q970)=0,"",IFERROR(INDEX(coa_CF,MATCH(IF((P970-Q970)=1,K970,I970),coa_Name,0)),"Operating"))</f>
        <v/>
      </c>
      <c r="S970" s="95">
        <f>IF((P970-Q970)=1,L970,IF((P970-Q970)=-1,-J970,0))</f>
        <v/>
      </c>
      <c r="T970" s="95">
        <f>IF((P970-Q970)=1,N970,IF((P970-Q970)=-1,-M970,0))</f>
        <v/>
      </c>
      <c r="U970" s="101">
        <f>IF(AND(H970=1,LedAcct&lt;&gt;""),IF(AND(E970&gt;=LedFrom,E970&lt;=LedTo,OR(I970=LedAcct,K970=LedAcct,AND(LedAcct=acctTax,M970+N970&lt;&gt;0))),E970*10000+B970,""),"")</f>
        <v/>
      </c>
    </row>
    <row r="971">
      <c r="B971" s="101" t="n">
        <v>965</v>
      </c>
      <c r="C971" s="58" t="inlineStr">
        <is>
          <t>Transaction</t>
        </is>
      </c>
      <c r="D971" s="58">
        <f>IF(H971=1,INDEX(tx_ID,965)&amp;"","")</f>
        <v/>
      </c>
      <c r="E971" s="94">
        <f>IF(H971=1,INDEX(tx_Date,965),"")</f>
        <v/>
      </c>
      <c r="F971" s="58">
        <f>IF(H971=1,INDEX(tx_Desc,965)&amp;"","")</f>
        <v/>
      </c>
      <c r="G971" s="58">
        <f>IF(H971=1,IF(INDEX(tx_Cust,965)&amp;""&lt;&gt;"",INDEX(tx_Cust,965)&amp;"",INDEX(tx_Vend,965)&amp;""),"")</f>
        <v/>
      </c>
      <c r="H971" s="101">
        <f>IFERROR(N(INDEX(tx_Posted,965)),0)</f>
        <v/>
      </c>
      <c r="I971" s="58">
        <f>IF(H971=1,INDEX(tx_DrAcct,965)&amp;"","")</f>
        <v/>
      </c>
      <c r="J971" s="95">
        <f>IF(H971=1,INDEX(tx_DrAmt,965),0)</f>
        <v/>
      </c>
      <c r="K971" s="58">
        <f>IF(H971=1,INDEX(tx_CrAcct,965)&amp;"","")</f>
        <v/>
      </c>
      <c r="L971" s="95">
        <f>IF(H971=1,INDEX(tx_CrAmt,965),0)</f>
        <v/>
      </c>
      <c r="M971" s="95">
        <f>IF(H971=1,INDEX(tx_TaxDr,965),0)</f>
        <v/>
      </c>
      <c r="N971" s="95">
        <f>IF(H971=1,INDEX(tx_TaxCr,965),0)</f>
        <v/>
      </c>
      <c r="O971" s="101">
        <f>IF(H971=1,IF(E971&lt;FYStart,0,IF(E971&gt;FYEnd,13,YEAR(E971)*12+MONTH(E971)-FYYM+1)),"")</f>
        <v/>
      </c>
      <c r="P971" s="101">
        <f>IF(H971=1,IF(IFERROR(INDEX(coa_CF,MATCH(I971,coa_Name,0)),"")="Cash",1,0),0)</f>
        <v/>
      </c>
      <c r="Q971" s="101">
        <f>IF(H971=1,IF(IFERROR(INDEX(coa_CF,MATCH(K971,coa_Name,0)),"")="Cash",1,0),0)</f>
        <v/>
      </c>
      <c r="R971" s="58">
        <f>IF((P971-Q971)=0,"",IFERROR(INDEX(coa_CF,MATCH(IF((P971-Q971)=1,K971,I971),coa_Name,0)),"Operating"))</f>
        <v/>
      </c>
      <c r="S971" s="95">
        <f>IF((P971-Q971)=1,L971,IF((P971-Q971)=-1,-J971,0))</f>
        <v/>
      </c>
      <c r="T971" s="95">
        <f>IF((P971-Q971)=1,N971,IF((P971-Q971)=-1,-M971,0))</f>
        <v/>
      </c>
      <c r="U971" s="101">
        <f>IF(AND(H971=1,LedAcct&lt;&gt;""),IF(AND(E971&gt;=LedFrom,E971&lt;=LedTo,OR(I971=LedAcct,K971=LedAcct,AND(LedAcct=acctTax,M971+N971&lt;&gt;0))),E971*10000+B971,""),"")</f>
        <v/>
      </c>
    </row>
    <row r="972">
      <c r="B972" s="101" t="n">
        <v>966</v>
      </c>
      <c r="C972" s="58" t="inlineStr">
        <is>
          <t>Transaction</t>
        </is>
      </c>
      <c r="D972" s="58">
        <f>IF(H972=1,INDEX(tx_ID,966)&amp;"","")</f>
        <v/>
      </c>
      <c r="E972" s="94">
        <f>IF(H972=1,INDEX(tx_Date,966),"")</f>
        <v/>
      </c>
      <c r="F972" s="58">
        <f>IF(H972=1,INDEX(tx_Desc,966)&amp;"","")</f>
        <v/>
      </c>
      <c r="G972" s="58">
        <f>IF(H972=1,IF(INDEX(tx_Cust,966)&amp;""&lt;&gt;"",INDEX(tx_Cust,966)&amp;"",INDEX(tx_Vend,966)&amp;""),"")</f>
        <v/>
      </c>
      <c r="H972" s="101">
        <f>IFERROR(N(INDEX(tx_Posted,966)),0)</f>
        <v/>
      </c>
      <c r="I972" s="58">
        <f>IF(H972=1,INDEX(tx_DrAcct,966)&amp;"","")</f>
        <v/>
      </c>
      <c r="J972" s="95">
        <f>IF(H972=1,INDEX(tx_DrAmt,966),0)</f>
        <v/>
      </c>
      <c r="K972" s="58">
        <f>IF(H972=1,INDEX(tx_CrAcct,966)&amp;"","")</f>
        <v/>
      </c>
      <c r="L972" s="95">
        <f>IF(H972=1,INDEX(tx_CrAmt,966),0)</f>
        <v/>
      </c>
      <c r="M972" s="95">
        <f>IF(H972=1,INDEX(tx_TaxDr,966),0)</f>
        <v/>
      </c>
      <c r="N972" s="95">
        <f>IF(H972=1,INDEX(tx_TaxCr,966),0)</f>
        <v/>
      </c>
      <c r="O972" s="101">
        <f>IF(H972=1,IF(E972&lt;FYStart,0,IF(E972&gt;FYEnd,13,YEAR(E972)*12+MONTH(E972)-FYYM+1)),"")</f>
        <v/>
      </c>
      <c r="P972" s="101">
        <f>IF(H972=1,IF(IFERROR(INDEX(coa_CF,MATCH(I972,coa_Name,0)),"")="Cash",1,0),0)</f>
        <v/>
      </c>
      <c r="Q972" s="101">
        <f>IF(H972=1,IF(IFERROR(INDEX(coa_CF,MATCH(K972,coa_Name,0)),"")="Cash",1,0),0)</f>
        <v/>
      </c>
      <c r="R972" s="58">
        <f>IF((P972-Q972)=0,"",IFERROR(INDEX(coa_CF,MATCH(IF((P972-Q972)=1,K972,I972),coa_Name,0)),"Operating"))</f>
        <v/>
      </c>
      <c r="S972" s="95">
        <f>IF((P972-Q972)=1,L972,IF((P972-Q972)=-1,-J972,0))</f>
        <v/>
      </c>
      <c r="T972" s="95">
        <f>IF((P972-Q972)=1,N972,IF((P972-Q972)=-1,-M972,0))</f>
        <v/>
      </c>
      <c r="U972" s="101">
        <f>IF(AND(H972=1,LedAcct&lt;&gt;""),IF(AND(E972&gt;=LedFrom,E972&lt;=LedTo,OR(I972=LedAcct,K972=LedAcct,AND(LedAcct=acctTax,M972+N972&lt;&gt;0))),E972*10000+B972,""),"")</f>
        <v/>
      </c>
    </row>
    <row r="973">
      <c r="B973" s="101" t="n">
        <v>967</v>
      </c>
      <c r="C973" s="58" t="inlineStr">
        <is>
          <t>Transaction</t>
        </is>
      </c>
      <c r="D973" s="58">
        <f>IF(H973=1,INDEX(tx_ID,967)&amp;"","")</f>
        <v/>
      </c>
      <c r="E973" s="94">
        <f>IF(H973=1,INDEX(tx_Date,967),"")</f>
        <v/>
      </c>
      <c r="F973" s="58">
        <f>IF(H973=1,INDEX(tx_Desc,967)&amp;"","")</f>
        <v/>
      </c>
      <c r="G973" s="58">
        <f>IF(H973=1,IF(INDEX(tx_Cust,967)&amp;""&lt;&gt;"",INDEX(tx_Cust,967)&amp;"",INDEX(tx_Vend,967)&amp;""),"")</f>
        <v/>
      </c>
      <c r="H973" s="101">
        <f>IFERROR(N(INDEX(tx_Posted,967)),0)</f>
        <v/>
      </c>
      <c r="I973" s="58">
        <f>IF(H973=1,INDEX(tx_DrAcct,967)&amp;"","")</f>
        <v/>
      </c>
      <c r="J973" s="95">
        <f>IF(H973=1,INDEX(tx_DrAmt,967),0)</f>
        <v/>
      </c>
      <c r="K973" s="58">
        <f>IF(H973=1,INDEX(tx_CrAcct,967)&amp;"","")</f>
        <v/>
      </c>
      <c r="L973" s="95">
        <f>IF(H973=1,INDEX(tx_CrAmt,967),0)</f>
        <v/>
      </c>
      <c r="M973" s="95">
        <f>IF(H973=1,INDEX(tx_TaxDr,967),0)</f>
        <v/>
      </c>
      <c r="N973" s="95">
        <f>IF(H973=1,INDEX(tx_TaxCr,967),0)</f>
        <v/>
      </c>
      <c r="O973" s="101">
        <f>IF(H973=1,IF(E973&lt;FYStart,0,IF(E973&gt;FYEnd,13,YEAR(E973)*12+MONTH(E973)-FYYM+1)),"")</f>
        <v/>
      </c>
      <c r="P973" s="101">
        <f>IF(H973=1,IF(IFERROR(INDEX(coa_CF,MATCH(I973,coa_Name,0)),"")="Cash",1,0),0)</f>
        <v/>
      </c>
      <c r="Q973" s="101">
        <f>IF(H973=1,IF(IFERROR(INDEX(coa_CF,MATCH(K973,coa_Name,0)),"")="Cash",1,0),0)</f>
        <v/>
      </c>
      <c r="R973" s="58">
        <f>IF((P973-Q973)=0,"",IFERROR(INDEX(coa_CF,MATCH(IF((P973-Q973)=1,K973,I973),coa_Name,0)),"Operating"))</f>
        <v/>
      </c>
      <c r="S973" s="95">
        <f>IF((P973-Q973)=1,L973,IF((P973-Q973)=-1,-J973,0))</f>
        <v/>
      </c>
      <c r="T973" s="95">
        <f>IF((P973-Q973)=1,N973,IF((P973-Q973)=-1,-M973,0))</f>
        <v/>
      </c>
      <c r="U973" s="101">
        <f>IF(AND(H973=1,LedAcct&lt;&gt;""),IF(AND(E973&gt;=LedFrom,E973&lt;=LedTo,OR(I973=LedAcct,K973=LedAcct,AND(LedAcct=acctTax,M973+N973&lt;&gt;0))),E973*10000+B973,""),"")</f>
        <v/>
      </c>
    </row>
    <row r="974">
      <c r="B974" s="101" t="n">
        <v>968</v>
      </c>
      <c r="C974" s="58" t="inlineStr">
        <is>
          <t>Transaction</t>
        </is>
      </c>
      <c r="D974" s="58">
        <f>IF(H974=1,INDEX(tx_ID,968)&amp;"","")</f>
        <v/>
      </c>
      <c r="E974" s="94">
        <f>IF(H974=1,INDEX(tx_Date,968),"")</f>
        <v/>
      </c>
      <c r="F974" s="58">
        <f>IF(H974=1,INDEX(tx_Desc,968)&amp;"","")</f>
        <v/>
      </c>
      <c r="G974" s="58">
        <f>IF(H974=1,IF(INDEX(tx_Cust,968)&amp;""&lt;&gt;"",INDEX(tx_Cust,968)&amp;"",INDEX(tx_Vend,968)&amp;""),"")</f>
        <v/>
      </c>
      <c r="H974" s="101">
        <f>IFERROR(N(INDEX(tx_Posted,968)),0)</f>
        <v/>
      </c>
      <c r="I974" s="58">
        <f>IF(H974=1,INDEX(tx_DrAcct,968)&amp;"","")</f>
        <v/>
      </c>
      <c r="J974" s="95">
        <f>IF(H974=1,INDEX(tx_DrAmt,968),0)</f>
        <v/>
      </c>
      <c r="K974" s="58">
        <f>IF(H974=1,INDEX(tx_CrAcct,968)&amp;"","")</f>
        <v/>
      </c>
      <c r="L974" s="95">
        <f>IF(H974=1,INDEX(tx_CrAmt,968),0)</f>
        <v/>
      </c>
      <c r="M974" s="95">
        <f>IF(H974=1,INDEX(tx_TaxDr,968),0)</f>
        <v/>
      </c>
      <c r="N974" s="95">
        <f>IF(H974=1,INDEX(tx_TaxCr,968),0)</f>
        <v/>
      </c>
      <c r="O974" s="101">
        <f>IF(H974=1,IF(E974&lt;FYStart,0,IF(E974&gt;FYEnd,13,YEAR(E974)*12+MONTH(E974)-FYYM+1)),"")</f>
        <v/>
      </c>
      <c r="P974" s="101">
        <f>IF(H974=1,IF(IFERROR(INDEX(coa_CF,MATCH(I974,coa_Name,0)),"")="Cash",1,0),0)</f>
        <v/>
      </c>
      <c r="Q974" s="101">
        <f>IF(H974=1,IF(IFERROR(INDEX(coa_CF,MATCH(K974,coa_Name,0)),"")="Cash",1,0),0)</f>
        <v/>
      </c>
      <c r="R974" s="58">
        <f>IF((P974-Q974)=0,"",IFERROR(INDEX(coa_CF,MATCH(IF((P974-Q974)=1,K974,I974),coa_Name,0)),"Operating"))</f>
        <v/>
      </c>
      <c r="S974" s="95">
        <f>IF((P974-Q974)=1,L974,IF((P974-Q974)=-1,-J974,0))</f>
        <v/>
      </c>
      <c r="T974" s="95">
        <f>IF((P974-Q974)=1,N974,IF((P974-Q974)=-1,-M974,0))</f>
        <v/>
      </c>
      <c r="U974" s="101">
        <f>IF(AND(H974=1,LedAcct&lt;&gt;""),IF(AND(E974&gt;=LedFrom,E974&lt;=LedTo,OR(I974=LedAcct,K974=LedAcct,AND(LedAcct=acctTax,M974+N974&lt;&gt;0))),E974*10000+B974,""),"")</f>
        <v/>
      </c>
    </row>
    <row r="975">
      <c r="B975" s="101" t="n">
        <v>969</v>
      </c>
      <c r="C975" s="58" t="inlineStr">
        <is>
          <t>Transaction</t>
        </is>
      </c>
      <c r="D975" s="58">
        <f>IF(H975=1,INDEX(tx_ID,969)&amp;"","")</f>
        <v/>
      </c>
      <c r="E975" s="94">
        <f>IF(H975=1,INDEX(tx_Date,969),"")</f>
        <v/>
      </c>
      <c r="F975" s="58">
        <f>IF(H975=1,INDEX(tx_Desc,969)&amp;"","")</f>
        <v/>
      </c>
      <c r="G975" s="58">
        <f>IF(H975=1,IF(INDEX(tx_Cust,969)&amp;""&lt;&gt;"",INDEX(tx_Cust,969)&amp;"",INDEX(tx_Vend,969)&amp;""),"")</f>
        <v/>
      </c>
      <c r="H975" s="101">
        <f>IFERROR(N(INDEX(tx_Posted,969)),0)</f>
        <v/>
      </c>
      <c r="I975" s="58">
        <f>IF(H975=1,INDEX(tx_DrAcct,969)&amp;"","")</f>
        <v/>
      </c>
      <c r="J975" s="95">
        <f>IF(H975=1,INDEX(tx_DrAmt,969),0)</f>
        <v/>
      </c>
      <c r="K975" s="58">
        <f>IF(H975=1,INDEX(tx_CrAcct,969)&amp;"","")</f>
        <v/>
      </c>
      <c r="L975" s="95">
        <f>IF(H975=1,INDEX(tx_CrAmt,969),0)</f>
        <v/>
      </c>
      <c r="M975" s="95">
        <f>IF(H975=1,INDEX(tx_TaxDr,969),0)</f>
        <v/>
      </c>
      <c r="N975" s="95">
        <f>IF(H975=1,INDEX(tx_TaxCr,969),0)</f>
        <v/>
      </c>
      <c r="O975" s="101">
        <f>IF(H975=1,IF(E975&lt;FYStart,0,IF(E975&gt;FYEnd,13,YEAR(E975)*12+MONTH(E975)-FYYM+1)),"")</f>
        <v/>
      </c>
      <c r="P975" s="101">
        <f>IF(H975=1,IF(IFERROR(INDEX(coa_CF,MATCH(I975,coa_Name,0)),"")="Cash",1,0),0)</f>
        <v/>
      </c>
      <c r="Q975" s="101">
        <f>IF(H975=1,IF(IFERROR(INDEX(coa_CF,MATCH(K975,coa_Name,0)),"")="Cash",1,0),0)</f>
        <v/>
      </c>
      <c r="R975" s="58">
        <f>IF((P975-Q975)=0,"",IFERROR(INDEX(coa_CF,MATCH(IF((P975-Q975)=1,K975,I975),coa_Name,0)),"Operating"))</f>
        <v/>
      </c>
      <c r="S975" s="95">
        <f>IF((P975-Q975)=1,L975,IF((P975-Q975)=-1,-J975,0))</f>
        <v/>
      </c>
      <c r="T975" s="95">
        <f>IF((P975-Q975)=1,N975,IF((P975-Q975)=-1,-M975,0))</f>
        <v/>
      </c>
      <c r="U975" s="101">
        <f>IF(AND(H975=1,LedAcct&lt;&gt;""),IF(AND(E975&gt;=LedFrom,E975&lt;=LedTo,OR(I975=LedAcct,K975=LedAcct,AND(LedAcct=acctTax,M975+N975&lt;&gt;0))),E975*10000+B975,""),"")</f>
        <v/>
      </c>
    </row>
    <row r="976">
      <c r="B976" s="101" t="n">
        <v>970</v>
      </c>
      <c r="C976" s="58" t="inlineStr">
        <is>
          <t>Transaction</t>
        </is>
      </c>
      <c r="D976" s="58">
        <f>IF(H976=1,INDEX(tx_ID,970)&amp;"","")</f>
        <v/>
      </c>
      <c r="E976" s="94">
        <f>IF(H976=1,INDEX(tx_Date,970),"")</f>
        <v/>
      </c>
      <c r="F976" s="58">
        <f>IF(H976=1,INDEX(tx_Desc,970)&amp;"","")</f>
        <v/>
      </c>
      <c r="G976" s="58">
        <f>IF(H976=1,IF(INDEX(tx_Cust,970)&amp;""&lt;&gt;"",INDEX(tx_Cust,970)&amp;"",INDEX(tx_Vend,970)&amp;""),"")</f>
        <v/>
      </c>
      <c r="H976" s="101">
        <f>IFERROR(N(INDEX(tx_Posted,970)),0)</f>
        <v/>
      </c>
      <c r="I976" s="58">
        <f>IF(H976=1,INDEX(tx_DrAcct,970)&amp;"","")</f>
        <v/>
      </c>
      <c r="J976" s="95">
        <f>IF(H976=1,INDEX(tx_DrAmt,970),0)</f>
        <v/>
      </c>
      <c r="K976" s="58">
        <f>IF(H976=1,INDEX(tx_CrAcct,970)&amp;"","")</f>
        <v/>
      </c>
      <c r="L976" s="95">
        <f>IF(H976=1,INDEX(tx_CrAmt,970),0)</f>
        <v/>
      </c>
      <c r="M976" s="95">
        <f>IF(H976=1,INDEX(tx_TaxDr,970),0)</f>
        <v/>
      </c>
      <c r="N976" s="95">
        <f>IF(H976=1,INDEX(tx_TaxCr,970),0)</f>
        <v/>
      </c>
      <c r="O976" s="101">
        <f>IF(H976=1,IF(E976&lt;FYStart,0,IF(E976&gt;FYEnd,13,YEAR(E976)*12+MONTH(E976)-FYYM+1)),"")</f>
        <v/>
      </c>
      <c r="P976" s="101">
        <f>IF(H976=1,IF(IFERROR(INDEX(coa_CF,MATCH(I976,coa_Name,0)),"")="Cash",1,0),0)</f>
        <v/>
      </c>
      <c r="Q976" s="101">
        <f>IF(H976=1,IF(IFERROR(INDEX(coa_CF,MATCH(K976,coa_Name,0)),"")="Cash",1,0),0)</f>
        <v/>
      </c>
      <c r="R976" s="58">
        <f>IF((P976-Q976)=0,"",IFERROR(INDEX(coa_CF,MATCH(IF((P976-Q976)=1,K976,I976),coa_Name,0)),"Operating"))</f>
        <v/>
      </c>
      <c r="S976" s="95">
        <f>IF((P976-Q976)=1,L976,IF((P976-Q976)=-1,-J976,0))</f>
        <v/>
      </c>
      <c r="T976" s="95">
        <f>IF((P976-Q976)=1,N976,IF((P976-Q976)=-1,-M976,0))</f>
        <v/>
      </c>
      <c r="U976" s="101">
        <f>IF(AND(H976=1,LedAcct&lt;&gt;""),IF(AND(E976&gt;=LedFrom,E976&lt;=LedTo,OR(I976=LedAcct,K976=LedAcct,AND(LedAcct=acctTax,M976+N976&lt;&gt;0))),E976*10000+B976,""),"")</f>
        <v/>
      </c>
    </row>
    <row r="977">
      <c r="B977" s="101" t="n">
        <v>971</v>
      </c>
      <c r="C977" s="58" t="inlineStr">
        <is>
          <t>Transaction</t>
        </is>
      </c>
      <c r="D977" s="58">
        <f>IF(H977=1,INDEX(tx_ID,971)&amp;"","")</f>
        <v/>
      </c>
      <c r="E977" s="94">
        <f>IF(H977=1,INDEX(tx_Date,971),"")</f>
        <v/>
      </c>
      <c r="F977" s="58">
        <f>IF(H977=1,INDEX(tx_Desc,971)&amp;"","")</f>
        <v/>
      </c>
      <c r="G977" s="58">
        <f>IF(H977=1,IF(INDEX(tx_Cust,971)&amp;""&lt;&gt;"",INDEX(tx_Cust,971)&amp;"",INDEX(tx_Vend,971)&amp;""),"")</f>
        <v/>
      </c>
      <c r="H977" s="101">
        <f>IFERROR(N(INDEX(tx_Posted,971)),0)</f>
        <v/>
      </c>
      <c r="I977" s="58">
        <f>IF(H977=1,INDEX(tx_DrAcct,971)&amp;"","")</f>
        <v/>
      </c>
      <c r="J977" s="95">
        <f>IF(H977=1,INDEX(tx_DrAmt,971),0)</f>
        <v/>
      </c>
      <c r="K977" s="58">
        <f>IF(H977=1,INDEX(tx_CrAcct,971)&amp;"","")</f>
        <v/>
      </c>
      <c r="L977" s="95">
        <f>IF(H977=1,INDEX(tx_CrAmt,971),0)</f>
        <v/>
      </c>
      <c r="M977" s="95">
        <f>IF(H977=1,INDEX(tx_TaxDr,971),0)</f>
        <v/>
      </c>
      <c r="N977" s="95">
        <f>IF(H977=1,INDEX(tx_TaxCr,971),0)</f>
        <v/>
      </c>
      <c r="O977" s="101">
        <f>IF(H977=1,IF(E977&lt;FYStart,0,IF(E977&gt;FYEnd,13,YEAR(E977)*12+MONTH(E977)-FYYM+1)),"")</f>
        <v/>
      </c>
      <c r="P977" s="101">
        <f>IF(H977=1,IF(IFERROR(INDEX(coa_CF,MATCH(I977,coa_Name,0)),"")="Cash",1,0),0)</f>
        <v/>
      </c>
      <c r="Q977" s="101">
        <f>IF(H977=1,IF(IFERROR(INDEX(coa_CF,MATCH(K977,coa_Name,0)),"")="Cash",1,0),0)</f>
        <v/>
      </c>
      <c r="R977" s="58">
        <f>IF((P977-Q977)=0,"",IFERROR(INDEX(coa_CF,MATCH(IF((P977-Q977)=1,K977,I977),coa_Name,0)),"Operating"))</f>
        <v/>
      </c>
      <c r="S977" s="95">
        <f>IF((P977-Q977)=1,L977,IF((P977-Q977)=-1,-J977,0))</f>
        <v/>
      </c>
      <c r="T977" s="95">
        <f>IF((P977-Q977)=1,N977,IF((P977-Q977)=-1,-M977,0))</f>
        <v/>
      </c>
      <c r="U977" s="101">
        <f>IF(AND(H977=1,LedAcct&lt;&gt;""),IF(AND(E977&gt;=LedFrom,E977&lt;=LedTo,OR(I977=LedAcct,K977=LedAcct,AND(LedAcct=acctTax,M977+N977&lt;&gt;0))),E977*10000+B977,""),"")</f>
        <v/>
      </c>
    </row>
    <row r="978">
      <c r="B978" s="101" t="n">
        <v>972</v>
      </c>
      <c r="C978" s="58" t="inlineStr">
        <is>
          <t>Transaction</t>
        </is>
      </c>
      <c r="D978" s="58">
        <f>IF(H978=1,INDEX(tx_ID,972)&amp;"","")</f>
        <v/>
      </c>
      <c r="E978" s="94">
        <f>IF(H978=1,INDEX(tx_Date,972),"")</f>
        <v/>
      </c>
      <c r="F978" s="58">
        <f>IF(H978=1,INDEX(tx_Desc,972)&amp;"","")</f>
        <v/>
      </c>
      <c r="G978" s="58">
        <f>IF(H978=1,IF(INDEX(tx_Cust,972)&amp;""&lt;&gt;"",INDEX(tx_Cust,972)&amp;"",INDEX(tx_Vend,972)&amp;""),"")</f>
        <v/>
      </c>
      <c r="H978" s="101">
        <f>IFERROR(N(INDEX(tx_Posted,972)),0)</f>
        <v/>
      </c>
      <c r="I978" s="58">
        <f>IF(H978=1,INDEX(tx_DrAcct,972)&amp;"","")</f>
        <v/>
      </c>
      <c r="J978" s="95">
        <f>IF(H978=1,INDEX(tx_DrAmt,972),0)</f>
        <v/>
      </c>
      <c r="K978" s="58">
        <f>IF(H978=1,INDEX(tx_CrAcct,972)&amp;"","")</f>
        <v/>
      </c>
      <c r="L978" s="95">
        <f>IF(H978=1,INDEX(tx_CrAmt,972),0)</f>
        <v/>
      </c>
      <c r="M978" s="95">
        <f>IF(H978=1,INDEX(tx_TaxDr,972),0)</f>
        <v/>
      </c>
      <c r="N978" s="95">
        <f>IF(H978=1,INDEX(tx_TaxCr,972),0)</f>
        <v/>
      </c>
      <c r="O978" s="101">
        <f>IF(H978=1,IF(E978&lt;FYStart,0,IF(E978&gt;FYEnd,13,YEAR(E978)*12+MONTH(E978)-FYYM+1)),"")</f>
        <v/>
      </c>
      <c r="P978" s="101">
        <f>IF(H978=1,IF(IFERROR(INDEX(coa_CF,MATCH(I978,coa_Name,0)),"")="Cash",1,0),0)</f>
        <v/>
      </c>
      <c r="Q978" s="101">
        <f>IF(H978=1,IF(IFERROR(INDEX(coa_CF,MATCH(K978,coa_Name,0)),"")="Cash",1,0),0)</f>
        <v/>
      </c>
      <c r="R978" s="58">
        <f>IF((P978-Q978)=0,"",IFERROR(INDEX(coa_CF,MATCH(IF((P978-Q978)=1,K978,I978),coa_Name,0)),"Operating"))</f>
        <v/>
      </c>
      <c r="S978" s="95">
        <f>IF((P978-Q978)=1,L978,IF((P978-Q978)=-1,-J978,0))</f>
        <v/>
      </c>
      <c r="T978" s="95">
        <f>IF((P978-Q978)=1,N978,IF((P978-Q978)=-1,-M978,0))</f>
        <v/>
      </c>
      <c r="U978" s="101">
        <f>IF(AND(H978=1,LedAcct&lt;&gt;""),IF(AND(E978&gt;=LedFrom,E978&lt;=LedTo,OR(I978=LedAcct,K978=LedAcct,AND(LedAcct=acctTax,M978+N978&lt;&gt;0))),E978*10000+B978,""),"")</f>
        <v/>
      </c>
    </row>
    <row r="979">
      <c r="B979" s="101" t="n">
        <v>973</v>
      </c>
      <c r="C979" s="58" t="inlineStr">
        <is>
          <t>Transaction</t>
        </is>
      </c>
      <c r="D979" s="58">
        <f>IF(H979=1,INDEX(tx_ID,973)&amp;"","")</f>
        <v/>
      </c>
      <c r="E979" s="94">
        <f>IF(H979=1,INDEX(tx_Date,973),"")</f>
        <v/>
      </c>
      <c r="F979" s="58">
        <f>IF(H979=1,INDEX(tx_Desc,973)&amp;"","")</f>
        <v/>
      </c>
      <c r="G979" s="58">
        <f>IF(H979=1,IF(INDEX(tx_Cust,973)&amp;""&lt;&gt;"",INDEX(tx_Cust,973)&amp;"",INDEX(tx_Vend,973)&amp;""),"")</f>
        <v/>
      </c>
      <c r="H979" s="101">
        <f>IFERROR(N(INDEX(tx_Posted,973)),0)</f>
        <v/>
      </c>
      <c r="I979" s="58">
        <f>IF(H979=1,INDEX(tx_DrAcct,973)&amp;"","")</f>
        <v/>
      </c>
      <c r="J979" s="95">
        <f>IF(H979=1,INDEX(tx_DrAmt,973),0)</f>
        <v/>
      </c>
      <c r="K979" s="58">
        <f>IF(H979=1,INDEX(tx_CrAcct,973)&amp;"","")</f>
        <v/>
      </c>
      <c r="L979" s="95">
        <f>IF(H979=1,INDEX(tx_CrAmt,973),0)</f>
        <v/>
      </c>
      <c r="M979" s="95">
        <f>IF(H979=1,INDEX(tx_TaxDr,973),0)</f>
        <v/>
      </c>
      <c r="N979" s="95">
        <f>IF(H979=1,INDEX(tx_TaxCr,973),0)</f>
        <v/>
      </c>
      <c r="O979" s="101">
        <f>IF(H979=1,IF(E979&lt;FYStart,0,IF(E979&gt;FYEnd,13,YEAR(E979)*12+MONTH(E979)-FYYM+1)),"")</f>
        <v/>
      </c>
      <c r="P979" s="101">
        <f>IF(H979=1,IF(IFERROR(INDEX(coa_CF,MATCH(I979,coa_Name,0)),"")="Cash",1,0),0)</f>
        <v/>
      </c>
      <c r="Q979" s="101">
        <f>IF(H979=1,IF(IFERROR(INDEX(coa_CF,MATCH(K979,coa_Name,0)),"")="Cash",1,0),0)</f>
        <v/>
      </c>
      <c r="R979" s="58">
        <f>IF((P979-Q979)=0,"",IFERROR(INDEX(coa_CF,MATCH(IF((P979-Q979)=1,K979,I979),coa_Name,0)),"Operating"))</f>
        <v/>
      </c>
      <c r="S979" s="95">
        <f>IF((P979-Q979)=1,L979,IF((P979-Q979)=-1,-J979,0))</f>
        <v/>
      </c>
      <c r="T979" s="95">
        <f>IF((P979-Q979)=1,N979,IF((P979-Q979)=-1,-M979,0))</f>
        <v/>
      </c>
      <c r="U979" s="101">
        <f>IF(AND(H979=1,LedAcct&lt;&gt;""),IF(AND(E979&gt;=LedFrom,E979&lt;=LedTo,OR(I979=LedAcct,K979=LedAcct,AND(LedAcct=acctTax,M979+N979&lt;&gt;0))),E979*10000+B979,""),"")</f>
        <v/>
      </c>
    </row>
    <row r="980">
      <c r="B980" s="101" t="n">
        <v>974</v>
      </c>
      <c r="C980" s="58" t="inlineStr">
        <is>
          <t>Transaction</t>
        </is>
      </c>
      <c r="D980" s="58">
        <f>IF(H980=1,INDEX(tx_ID,974)&amp;"","")</f>
        <v/>
      </c>
      <c r="E980" s="94">
        <f>IF(H980=1,INDEX(tx_Date,974),"")</f>
        <v/>
      </c>
      <c r="F980" s="58">
        <f>IF(H980=1,INDEX(tx_Desc,974)&amp;"","")</f>
        <v/>
      </c>
      <c r="G980" s="58">
        <f>IF(H980=1,IF(INDEX(tx_Cust,974)&amp;""&lt;&gt;"",INDEX(tx_Cust,974)&amp;"",INDEX(tx_Vend,974)&amp;""),"")</f>
        <v/>
      </c>
      <c r="H980" s="101">
        <f>IFERROR(N(INDEX(tx_Posted,974)),0)</f>
        <v/>
      </c>
      <c r="I980" s="58">
        <f>IF(H980=1,INDEX(tx_DrAcct,974)&amp;"","")</f>
        <v/>
      </c>
      <c r="J980" s="95">
        <f>IF(H980=1,INDEX(tx_DrAmt,974),0)</f>
        <v/>
      </c>
      <c r="K980" s="58">
        <f>IF(H980=1,INDEX(tx_CrAcct,974)&amp;"","")</f>
        <v/>
      </c>
      <c r="L980" s="95">
        <f>IF(H980=1,INDEX(tx_CrAmt,974),0)</f>
        <v/>
      </c>
      <c r="M980" s="95">
        <f>IF(H980=1,INDEX(tx_TaxDr,974),0)</f>
        <v/>
      </c>
      <c r="N980" s="95">
        <f>IF(H980=1,INDEX(tx_TaxCr,974),0)</f>
        <v/>
      </c>
      <c r="O980" s="101">
        <f>IF(H980=1,IF(E980&lt;FYStart,0,IF(E980&gt;FYEnd,13,YEAR(E980)*12+MONTH(E980)-FYYM+1)),"")</f>
        <v/>
      </c>
      <c r="P980" s="101">
        <f>IF(H980=1,IF(IFERROR(INDEX(coa_CF,MATCH(I980,coa_Name,0)),"")="Cash",1,0),0)</f>
        <v/>
      </c>
      <c r="Q980" s="101">
        <f>IF(H980=1,IF(IFERROR(INDEX(coa_CF,MATCH(K980,coa_Name,0)),"")="Cash",1,0),0)</f>
        <v/>
      </c>
      <c r="R980" s="58">
        <f>IF((P980-Q980)=0,"",IFERROR(INDEX(coa_CF,MATCH(IF((P980-Q980)=1,K980,I980),coa_Name,0)),"Operating"))</f>
        <v/>
      </c>
      <c r="S980" s="95">
        <f>IF((P980-Q980)=1,L980,IF((P980-Q980)=-1,-J980,0))</f>
        <v/>
      </c>
      <c r="T980" s="95">
        <f>IF((P980-Q980)=1,N980,IF((P980-Q980)=-1,-M980,0))</f>
        <v/>
      </c>
      <c r="U980" s="101">
        <f>IF(AND(H980=1,LedAcct&lt;&gt;""),IF(AND(E980&gt;=LedFrom,E980&lt;=LedTo,OR(I980=LedAcct,K980=LedAcct,AND(LedAcct=acctTax,M980+N980&lt;&gt;0))),E980*10000+B980,""),"")</f>
        <v/>
      </c>
    </row>
    <row r="981">
      <c r="B981" s="101" t="n">
        <v>975</v>
      </c>
      <c r="C981" s="58" t="inlineStr">
        <is>
          <t>Transaction</t>
        </is>
      </c>
      <c r="D981" s="58">
        <f>IF(H981=1,INDEX(tx_ID,975)&amp;"","")</f>
        <v/>
      </c>
      <c r="E981" s="94">
        <f>IF(H981=1,INDEX(tx_Date,975),"")</f>
        <v/>
      </c>
      <c r="F981" s="58">
        <f>IF(H981=1,INDEX(tx_Desc,975)&amp;"","")</f>
        <v/>
      </c>
      <c r="G981" s="58">
        <f>IF(H981=1,IF(INDEX(tx_Cust,975)&amp;""&lt;&gt;"",INDEX(tx_Cust,975)&amp;"",INDEX(tx_Vend,975)&amp;""),"")</f>
        <v/>
      </c>
      <c r="H981" s="101">
        <f>IFERROR(N(INDEX(tx_Posted,975)),0)</f>
        <v/>
      </c>
      <c r="I981" s="58">
        <f>IF(H981=1,INDEX(tx_DrAcct,975)&amp;"","")</f>
        <v/>
      </c>
      <c r="J981" s="95">
        <f>IF(H981=1,INDEX(tx_DrAmt,975),0)</f>
        <v/>
      </c>
      <c r="K981" s="58">
        <f>IF(H981=1,INDEX(tx_CrAcct,975)&amp;"","")</f>
        <v/>
      </c>
      <c r="L981" s="95">
        <f>IF(H981=1,INDEX(tx_CrAmt,975),0)</f>
        <v/>
      </c>
      <c r="M981" s="95">
        <f>IF(H981=1,INDEX(tx_TaxDr,975),0)</f>
        <v/>
      </c>
      <c r="N981" s="95">
        <f>IF(H981=1,INDEX(tx_TaxCr,975),0)</f>
        <v/>
      </c>
      <c r="O981" s="101">
        <f>IF(H981=1,IF(E981&lt;FYStart,0,IF(E981&gt;FYEnd,13,YEAR(E981)*12+MONTH(E981)-FYYM+1)),"")</f>
        <v/>
      </c>
      <c r="P981" s="101">
        <f>IF(H981=1,IF(IFERROR(INDEX(coa_CF,MATCH(I981,coa_Name,0)),"")="Cash",1,0),0)</f>
        <v/>
      </c>
      <c r="Q981" s="101">
        <f>IF(H981=1,IF(IFERROR(INDEX(coa_CF,MATCH(K981,coa_Name,0)),"")="Cash",1,0),0)</f>
        <v/>
      </c>
      <c r="R981" s="58">
        <f>IF((P981-Q981)=0,"",IFERROR(INDEX(coa_CF,MATCH(IF((P981-Q981)=1,K981,I981),coa_Name,0)),"Operating"))</f>
        <v/>
      </c>
      <c r="S981" s="95">
        <f>IF((P981-Q981)=1,L981,IF((P981-Q981)=-1,-J981,0))</f>
        <v/>
      </c>
      <c r="T981" s="95">
        <f>IF((P981-Q981)=1,N981,IF((P981-Q981)=-1,-M981,0))</f>
        <v/>
      </c>
      <c r="U981" s="101">
        <f>IF(AND(H981=1,LedAcct&lt;&gt;""),IF(AND(E981&gt;=LedFrom,E981&lt;=LedTo,OR(I981=LedAcct,K981=LedAcct,AND(LedAcct=acctTax,M981+N981&lt;&gt;0))),E981*10000+B981,""),"")</f>
        <v/>
      </c>
    </row>
    <row r="982">
      <c r="B982" s="101" t="n">
        <v>976</v>
      </c>
      <c r="C982" s="58" t="inlineStr">
        <is>
          <t>Transaction</t>
        </is>
      </c>
      <c r="D982" s="58">
        <f>IF(H982=1,INDEX(tx_ID,976)&amp;"","")</f>
        <v/>
      </c>
      <c r="E982" s="94">
        <f>IF(H982=1,INDEX(tx_Date,976),"")</f>
        <v/>
      </c>
      <c r="F982" s="58">
        <f>IF(H982=1,INDEX(tx_Desc,976)&amp;"","")</f>
        <v/>
      </c>
      <c r="G982" s="58">
        <f>IF(H982=1,IF(INDEX(tx_Cust,976)&amp;""&lt;&gt;"",INDEX(tx_Cust,976)&amp;"",INDEX(tx_Vend,976)&amp;""),"")</f>
        <v/>
      </c>
      <c r="H982" s="101">
        <f>IFERROR(N(INDEX(tx_Posted,976)),0)</f>
        <v/>
      </c>
      <c r="I982" s="58">
        <f>IF(H982=1,INDEX(tx_DrAcct,976)&amp;"","")</f>
        <v/>
      </c>
      <c r="J982" s="95">
        <f>IF(H982=1,INDEX(tx_DrAmt,976),0)</f>
        <v/>
      </c>
      <c r="K982" s="58">
        <f>IF(H982=1,INDEX(tx_CrAcct,976)&amp;"","")</f>
        <v/>
      </c>
      <c r="L982" s="95">
        <f>IF(H982=1,INDEX(tx_CrAmt,976),0)</f>
        <v/>
      </c>
      <c r="M982" s="95">
        <f>IF(H982=1,INDEX(tx_TaxDr,976),0)</f>
        <v/>
      </c>
      <c r="N982" s="95">
        <f>IF(H982=1,INDEX(tx_TaxCr,976),0)</f>
        <v/>
      </c>
      <c r="O982" s="101">
        <f>IF(H982=1,IF(E982&lt;FYStart,0,IF(E982&gt;FYEnd,13,YEAR(E982)*12+MONTH(E982)-FYYM+1)),"")</f>
        <v/>
      </c>
      <c r="P982" s="101">
        <f>IF(H982=1,IF(IFERROR(INDEX(coa_CF,MATCH(I982,coa_Name,0)),"")="Cash",1,0),0)</f>
        <v/>
      </c>
      <c r="Q982" s="101">
        <f>IF(H982=1,IF(IFERROR(INDEX(coa_CF,MATCH(K982,coa_Name,0)),"")="Cash",1,0),0)</f>
        <v/>
      </c>
      <c r="R982" s="58">
        <f>IF((P982-Q982)=0,"",IFERROR(INDEX(coa_CF,MATCH(IF((P982-Q982)=1,K982,I982),coa_Name,0)),"Operating"))</f>
        <v/>
      </c>
      <c r="S982" s="95">
        <f>IF((P982-Q982)=1,L982,IF((P982-Q982)=-1,-J982,0))</f>
        <v/>
      </c>
      <c r="T982" s="95">
        <f>IF((P982-Q982)=1,N982,IF((P982-Q982)=-1,-M982,0))</f>
        <v/>
      </c>
      <c r="U982" s="101">
        <f>IF(AND(H982=1,LedAcct&lt;&gt;""),IF(AND(E982&gt;=LedFrom,E982&lt;=LedTo,OR(I982=LedAcct,K982=LedAcct,AND(LedAcct=acctTax,M982+N982&lt;&gt;0))),E982*10000+B982,""),"")</f>
        <v/>
      </c>
    </row>
    <row r="983">
      <c r="B983" s="101" t="n">
        <v>977</v>
      </c>
      <c r="C983" s="58" t="inlineStr">
        <is>
          <t>Transaction</t>
        </is>
      </c>
      <c r="D983" s="58">
        <f>IF(H983=1,INDEX(tx_ID,977)&amp;"","")</f>
        <v/>
      </c>
      <c r="E983" s="94">
        <f>IF(H983=1,INDEX(tx_Date,977),"")</f>
        <v/>
      </c>
      <c r="F983" s="58">
        <f>IF(H983=1,INDEX(tx_Desc,977)&amp;"","")</f>
        <v/>
      </c>
      <c r="G983" s="58">
        <f>IF(H983=1,IF(INDEX(tx_Cust,977)&amp;""&lt;&gt;"",INDEX(tx_Cust,977)&amp;"",INDEX(tx_Vend,977)&amp;""),"")</f>
        <v/>
      </c>
      <c r="H983" s="101">
        <f>IFERROR(N(INDEX(tx_Posted,977)),0)</f>
        <v/>
      </c>
      <c r="I983" s="58">
        <f>IF(H983=1,INDEX(tx_DrAcct,977)&amp;"","")</f>
        <v/>
      </c>
      <c r="J983" s="95">
        <f>IF(H983=1,INDEX(tx_DrAmt,977),0)</f>
        <v/>
      </c>
      <c r="K983" s="58">
        <f>IF(H983=1,INDEX(tx_CrAcct,977)&amp;"","")</f>
        <v/>
      </c>
      <c r="L983" s="95">
        <f>IF(H983=1,INDEX(tx_CrAmt,977),0)</f>
        <v/>
      </c>
      <c r="M983" s="95">
        <f>IF(H983=1,INDEX(tx_TaxDr,977),0)</f>
        <v/>
      </c>
      <c r="N983" s="95">
        <f>IF(H983=1,INDEX(tx_TaxCr,977),0)</f>
        <v/>
      </c>
      <c r="O983" s="101">
        <f>IF(H983=1,IF(E983&lt;FYStart,0,IF(E983&gt;FYEnd,13,YEAR(E983)*12+MONTH(E983)-FYYM+1)),"")</f>
        <v/>
      </c>
      <c r="P983" s="101">
        <f>IF(H983=1,IF(IFERROR(INDEX(coa_CF,MATCH(I983,coa_Name,0)),"")="Cash",1,0),0)</f>
        <v/>
      </c>
      <c r="Q983" s="101">
        <f>IF(H983=1,IF(IFERROR(INDEX(coa_CF,MATCH(K983,coa_Name,0)),"")="Cash",1,0),0)</f>
        <v/>
      </c>
      <c r="R983" s="58">
        <f>IF((P983-Q983)=0,"",IFERROR(INDEX(coa_CF,MATCH(IF((P983-Q983)=1,K983,I983),coa_Name,0)),"Operating"))</f>
        <v/>
      </c>
      <c r="S983" s="95">
        <f>IF((P983-Q983)=1,L983,IF((P983-Q983)=-1,-J983,0))</f>
        <v/>
      </c>
      <c r="T983" s="95">
        <f>IF((P983-Q983)=1,N983,IF((P983-Q983)=-1,-M983,0))</f>
        <v/>
      </c>
      <c r="U983" s="101">
        <f>IF(AND(H983=1,LedAcct&lt;&gt;""),IF(AND(E983&gt;=LedFrom,E983&lt;=LedTo,OR(I983=LedAcct,K983=LedAcct,AND(LedAcct=acctTax,M983+N983&lt;&gt;0))),E983*10000+B983,""),"")</f>
        <v/>
      </c>
    </row>
    <row r="984">
      <c r="B984" s="101" t="n">
        <v>978</v>
      </c>
      <c r="C984" s="58" t="inlineStr">
        <is>
          <t>Transaction</t>
        </is>
      </c>
      <c r="D984" s="58">
        <f>IF(H984=1,INDEX(tx_ID,978)&amp;"","")</f>
        <v/>
      </c>
      <c r="E984" s="94">
        <f>IF(H984=1,INDEX(tx_Date,978),"")</f>
        <v/>
      </c>
      <c r="F984" s="58">
        <f>IF(H984=1,INDEX(tx_Desc,978)&amp;"","")</f>
        <v/>
      </c>
      <c r="G984" s="58">
        <f>IF(H984=1,IF(INDEX(tx_Cust,978)&amp;""&lt;&gt;"",INDEX(tx_Cust,978)&amp;"",INDEX(tx_Vend,978)&amp;""),"")</f>
        <v/>
      </c>
      <c r="H984" s="101">
        <f>IFERROR(N(INDEX(tx_Posted,978)),0)</f>
        <v/>
      </c>
      <c r="I984" s="58">
        <f>IF(H984=1,INDEX(tx_DrAcct,978)&amp;"","")</f>
        <v/>
      </c>
      <c r="J984" s="95">
        <f>IF(H984=1,INDEX(tx_DrAmt,978),0)</f>
        <v/>
      </c>
      <c r="K984" s="58">
        <f>IF(H984=1,INDEX(tx_CrAcct,978)&amp;"","")</f>
        <v/>
      </c>
      <c r="L984" s="95">
        <f>IF(H984=1,INDEX(tx_CrAmt,978),0)</f>
        <v/>
      </c>
      <c r="M984" s="95">
        <f>IF(H984=1,INDEX(tx_TaxDr,978),0)</f>
        <v/>
      </c>
      <c r="N984" s="95">
        <f>IF(H984=1,INDEX(tx_TaxCr,978),0)</f>
        <v/>
      </c>
      <c r="O984" s="101">
        <f>IF(H984=1,IF(E984&lt;FYStart,0,IF(E984&gt;FYEnd,13,YEAR(E984)*12+MONTH(E984)-FYYM+1)),"")</f>
        <v/>
      </c>
      <c r="P984" s="101">
        <f>IF(H984=1,IF(IFERROR(INDEX(coa_CF,MATCH(I984,coa_Name,0)),"")="Cash",1,0),0)</f>
        <v/>
      </c>
      <c r="Q984" s="101">
        <f>IF(H984=1,IF(IFERROR(INDEX(coa_CF,MATCH(K984,coa_Name,0)),"")="Cash",1,0),0)</f>
        <v/>
      </c>
      <c r="R984" s="58">
        <f>IF((P984-Q984)=0,"",IFERROR(INDEX(coa_CF,MATCH(IF((P984-Q984)=1,K984,I984),coa_Name,0)),"Operating"))</f>
        <v/>
      </c>
      <c r="S984" s="95">
        <f>IF((P984-Q984)=1,L984,IF((P984-Q984)=-1,-J984,0))</f>
        <v/>
      </c>
      <c r="T984" s="95">
        <f>IF((P984-Q984)=1,N984,IF((P984-Q984)=-1,-M984,0))</f>
        <v/>
      </c>
      <c r="U984" s="101">
        <f>IF(AND(H984=1,LedAcct&lt;&gt;""),IF(AND(E984&gt;=LedFrom,E984&lt;=LedTo,OR(I984=LedAcct,K984=LedAcct,AND(LedAcct=acctTax,M984+N984&lt;&gt;0))),E984*10000+B984,""),"")</f>
        <v/>
      </c>
    </row>
    <row r="985">
      <c r="B985" s="101" t="n">
        <v>979</v>
      </c>
      <c r="C985" s="58" t="inlineStr">
        <is>
          <t>Transaction</t>
        </is>
      </c>
      <c r="D985" s="58">
        <f>IF(H985=1,INDEX(tx_ID,979)&amp;"","")</f>
        <v/>
      </c>
      <c r="E985" s="94">
        <f>IF(H985=1,INDEX(tx_Date,979),"")</f>
        <v/>
      </c>
      <c r="F985" s="58">
        <f>IF(H985=1,INDEX(tx_Desc,979)&amp;"","")</f>
        <v/>
      </c>
      <c r="G985" s="58">
        <f>IF(H985=1,IF(INDEX(tx_Cust,979)&amp;""&lt;&gt;"",INDEX(tx_Cust,979)&amp;"",INDEX(tx_Vend,979)&amp;""),"")</f>
        <v/>
      </c>
      <c r="H985" s="101">
        <f>IFERROR(N(INDEX(tx_Posted,979)),0)</f>
        <v/>
      </c>
      <c r="I985" s="58">
        <f>IF(H985=1,INDEX(tx_DrAcct,979)&amp;"","")</f>
        <v/>
      </c>
      <c r="J985" s="95">
        <f>IF(H985=1,INDEX(tx_DrAmt,979),0)</f>
        <v/>
      </c>
      <c r="K985" s="58">
        <f>IF(H985=1,INDEX(tx_CrAcct,979)&amp;"","")</f>
        <v/>
      </c>
      <c r="L985" s="95">
        <f>IF(H985=1,INDEX(tx_CrAmt,979),0)</f>
        <v/>
      </c>
      <c r="M985" s="95">
        <f>IF(H985=1,INDEX(tx_TaxDr,979),0)</f>
        <v/>
      </c>
      <c r="N985" s="95">
        <f>IF(H985=1,INDEX(tx_TaxCr,979),0)</f>
        <v/>
      </c>
      <c r="O985" s="101">
        <f>IF(H985=1,IF(E985&lt;FYStart,0,IF(E985&gt;FYEnd,13,YEAR(E985)*12+MONTH(E985)-FYYM+1)),"")</f>
        <v/>
      </c>
      <c r="P985" s="101">
        <f>IF(H985=1,IF(IFERROR(INDEX(coa_CF,MATCH(I985,coa_Name,0)),"")="Cash",1,0),0)</f>
        <v/>
      </c>
      <c r="Q985" s="101">
        <f>IF(H985=1,IF(IFERROR(INDEX(coa_CF,MATCH(K985,coa_Name,0)),"")="Cash",1,0),0)</f>
        <v/>
      </c>
      <c r="R985" s="58">
        <f>IF((P985-Q985)=0,"",IFERROR(INDEX(coa_CF,MATCH(IF((P985-Q985)=1,K985,I985),coa_Name,0)),"Operating"))</f>
        <v/>
      </c>
      <c r="S985" s="95">
        <f>IF((P985-Q985)=1,L985,IF((P985-Q985)=-1,-J985,0))</f>
        <v/>
      </c>
      <c r="T985" s="95">
        <f>IF((P985-Q985)=1,N985,IF((P985-Q985)=-1,-M985,0))</f>
        <v/>
      </c>
      <c r="U985" s="101">
        <f>IF(AND(H985=1,LedAcct&lt;&gt;""),IF(AND(E985&gt;=LedFrom,E985&lt;=LedTo,OR(I985=LedAcct,K985=LedAcct,AND(LedAcct=acctTax,M985+N985&lt;&gt;0))),E985*10000+B985,""),"")</f>
        <v/>
      </c>
    </row>
    <row r="986">
      <c r="B986" s="101" t="n">
        <v>980</v>
      </c>
      <c r="C986" s="58" t="inlineStr">
        <is>
          <t>Transaction</t>
        </is>
      </c>
      <c r="D986" s="58">
        <f>IF(H986=1,INDEX(tx_ID,980)&amp;"","")</f>
        <v/>
      </c>
      <c r="E986" s="94">
        <f>IF(H986=1,INDEX(tx_Date,980),"")</f>
        <v/>
      </c>
      <c r="F986" s="58">
        <f>IF(H986=1,INDEX(tx_Desc,980)&amp;"","")</f>
        <v/>
      </c>
      <c r="G986" s="58">
        <f>IF(H986=1,IF(INDEX(tx_Cust,980)&amp;""&lt;&gt;"",INDEX(tx_Cust,980)&amp;"",INDEX(tx_Vend,980)&amp;""),"")</f>
        <v/>
      </c>
      <c r="H986" s="101">
        <f>IFERROR(N(INDEX(tx_Posted,980)),0)</f>
        <v/>
      </c>
      <c r="I986" s="58">
        <f>IF(H986=1,INDEX(tx_DrAcct,980)&amp;"","")</f>
        <v/>
      </c>
      <c r="J986" s="95">
        <f>IF(H986=1,INDEX(tx_DrAmt,980),0)</f>
        <v/>
      </c>
      <c r="K986" s="58">
        <f>IF(H986=1,INDEX(tx_CrAcct,980)&amp;"","")</f>
        <v/>
      </c>
      <c r="L986" s="95">
        <f>IF(H986=1,INDEX(tx_CrAmt,980),0)</f>
        <v/>
      </c>
      <c r="M986" s="95">
        <f>IF(H986=1,INDEX(tx_TaxDr,980),0)</f>
        <v/>
      </c>
      <c r="N986" s="95">
        <f>IF(H986=1,INDEX(tx_TaxCr,980),0)</f>
        <v/>
      </c>
      <c r="O986" s="101">
        <f>IF(H986=1,IF(E986&lt;FYStart,0,IF(E986&gt;FYEnd,13,YEAR(E986)*12+MONTH(E986)-FYYM+1)),"")</f>
        <v/>
      </c>
      <c r="P986" s="101">
        <f>IF(H986=1,IF(IFERROR(INDEX(coa_CF,MATCH(I986,coa_Name,0)),"")="Cash",1,0),0)</f>
        <v/>
      </c>
      <c r="Q986" s="101">
        <f>IF(H986=1,IF(IFERROR(INDEX(coa_CF,MATCH(K986,coa_Name,0)),"")="Cash",1,0),0)</f>
        <v/>
      </c>
      <c r="R986" s="58">
        <f>IF((P986-Q986)=0,"",IFERROR(INDEX(coa_CF,MATCH(IF((P986-Q986)=1,K986,I986),coa_Name,0)),"Operating"))</f>
        <v/>
      </c>
      <c r="S986" s="95">
        <f>IF((P986-Q986)=1,L986,IF((P986-Q986)=-1,-J986,0))</f>
        <v/>
      </c>
      <c r="T986" s="95">
        <f>IF((P986-Q986)=1,N986,IF((P986-Q986)=-1,-M986,0))</f>
        <v/>
      </c>
      <c r="U986" s="101">
        <f>IF(AND(H986=1,LedAcct&lt;&gt;""),IF(AND(E986&gt;=LedFrom,E986&lt;=LedTo,OR(I986=LedAcct,K986=LedAcct,AND(LedAcct=acctTax,M986+N986&lt;&gt;0))),E986*10000+B986,""),"")</f>
        <v/>
      </c>
    </row>
    <row r="987">
      <c r="B987" s="101" t="n">
        <v>981</v>
      </c>
      <c r="C987" s="58" t="inlineStr">
        <is>
          <t>Transaction</t>
        </is>
      </c>
      <c r="D987" s="58">
        <f>IF(H987=1,INDEX(tx_ID,981)&amp;"","")</f>
        <v/>
      </c>
      <c r="E987" s="94">
        <f>IF(H987=1,INDEX(tx_Date,981),"")</f>
        <v/>
      </c>
      <c r="F987" s="58">
        <f>IF(H987=1,INDEX(tx_Desc,981)&amp;"","")</f>
        <v/>
      </c>
      <c r="G987" s="58">
        <f>IF(H987=1,IF(INDEX(tx_Cust,981)&amp;""&lt;&gt;"",INDEX(tx_Cust,981)&amp;"",INDEX(tx_Vend,981)&amp;""),"")</f>
        <v/>
      </c>
      <c r="H987" s="101">
        <f>IFERROR(N(INDEX(tx_Posted,981)),0)</f>
        <v/>
      </c>
      <c r="I987" s="58">
        <f>IF(H987=1,INDEX(tx_DrAcct,981)&amp;"","")</f>
        <v/>
      </c>
      <c r="J987" s="95">
        <f>IF(H987=1,INDEX(tx_DrAmt,981),0)</f>
        <v/>
      </c>
      <c r="K987" s="58">
        <f>IF(H987=1,INDEX(tx_CrAcct,981)&amp;"","")</f>
        <v/>
      </c>
      <c r="L987" s="95">
        <f>IF(H987=1,INDEX(tx_CrAmt,981),0)</f>
        <v/>
      </c>
      <c r="M987" s="95">
        <f>IF(H987=1,INDEX(tx_TaxDr,981),0)</f>
        <v/>
      </c>
      <c r="N987" s="95">
        <f>IF(H987=1,INDEX(tx_TaxCr,981),0)</f>
        <v/>
      </c>
      <c r="O987" s="101">
        <f>IF(H987=1,IF(E987&lt;FYStart,0,IF(E987&gt;FYEnd,13,YEAR(E987)*12+MONTH(E987)-FYYM+1)),"")</f>
        <v/>
      </c>
      <c r="P987" s="101">
        <f>IF(H987=1,IF(IFERROR(INDEX(coa_CF,MATCH(I987,coa_Name,0)),"")="Cash",1,0),0)</f>
        <v/>
      </c>
      <c r="Q987" s="101">
        <f>IF(H987=1,IF(IFERROR(INDEX(coa_CF,MATCH(K987,coa_Name,0)),"")="Cash",1,0),0)</f>
        <v/>
      </c>
      <c r="R987" s="58">
        <f>IF((P987-Q987)=0,"",IFERROR(INDEX(coa_CF,MATCH(IF((P987-Q987)=1,K987,I987),coa_Name,0)),"Operating"))</f>
        <v/>
      </c>
      <c r="S987" s="95">
        <f>IF((P987-Q987)=1,L987,IF((P987-Q987)=-1,-J987,0))</f>
        <v/>
      </c>
      <c r="T987" s="95">
        <f>IF((P987-Q987)=1,N987,IF((P987-Q987)=-1,-M987,0))</f>
        <v/>
      </c>
      <c r="U987" s="101">
        <f>IF(AND(H987=1,LedAcct&lt;&gt;""),IF(AND(E987&gt;=LedFrom,E987&lt;=LedTo,OR(I987=LedAcct,K987=LedAcct,AND(LedAcct=acctTax,M987+N987&lt;&gt;0))),E987*10000+B987,""),"")</f>
        <v/>
      </c>
    </row>
    <row r="988">
      <c r="B988" s="101" t="n">
        <v>982</v>
      </c>
      <c r="C988" s="58" t="inlineStr">
        <is>
          <t>Transaction</t>
        </is>
      </c>
      <c r="D988" s="58">
        <f>IF(H988=1,INDEX(tx_ID,982)&amp;"","")</f>
        <v/>
      </c>
      <c r="E988" s="94">
        <f>IF(H988=1,INDEX(tx_Date,982),"")</f>
        <v/>
      </c>
      <c r="F988" s="58">
        <f>IF(H988=1,INDEX(tx_Desc,982)&amp;"","")</f>
        <v/>
      </c>
      <c r="G988" s="58">
        <f>IF(H988=1,IF(INDEX(tx_Cust,982)&amp;""&lt;&gt;"",INDEX(tx_Cust,982)&amp;"",INDEX(tx_Vend,982)&amp;""),"")</f>
        <v/>
      </c>
      <c r="H988" s="101">
        <f>IFERROR(N(INDEX(tx_Posted,982)),0)</f>
        <v/>
      </c>
      <c r="I988" s="58">
        <f>IF(H988=1,INDEX(tx_DrAcct,982)&amp;"","")</f>
        <v/>
      </c>
      <c r="J988" s="95">
        <f>IF(H988=1,INDEX(tx_DrAmt,982),0)</f>
        <v/>
      </c>
      <c r="K988" s="58">
        <f>IF(H988=1,INDEX(tx_CrAcct,982)&amp;"","")</f>
        <v/>
      </c>
      <c r="L988" s="95">
        <f>IF(H988=1,INDEX(tx_CrAmt,982),0)</f>
        <v/>
      </c>
      <c r="M988" s="95">
        <f>IF(H988=1,INDEX(tx_TaxDr,982),0)</f>
        <v/>
      </c>
      <c r="N988" s="95">
        <f>IF(H988=1,INDEX(tx_TaxCr,982),0)</f>
        <v/>
      </c>
      <c r="O988" s="101">
        <f>IF(H988=1,IF(E988&lt;FYStart,0,IF(E988&gt;FYEnd,13,YEAR(E988)*12+MONTH(E988)-FYYM+1)),"")</f>
        <v/>
      </c>
      <c r="P988" s="101">
        <f>IF(H988=1,IF(IFERROR(INDEX(coa_CF,MATCH(I988,coa_Name,0)),"")="Cash",1,0),0)</f>
        <v/>
      </c>
      <c r="Q988" s="101">
        <f>IF(H988=1,IF(IFERROR(INDEX(coa_CF,MATCH(K988,coa_Name,0)),"")="Cash",1,0),0)</f>
        <v/>
      </c>
      <c r="R988" s="58">
        <f>IF((P988-Q988)=0,"",IFERROR(INDEX(coa_CF,MATCH(IF((P988-Q988)=1,K988,I988),coa_Name,0)),"Operating"))</f>
        <v/>
      </c>
      <c r="S988" s="95">
        <f>IF((P988-Q988)=1,L988,IF((P988-Q988)=-1,-J988,0))</f>
        <v/>
      </c>
      <c r="T988" s="95">
        <f>IF((P988-Q988)=1,N988,IF((P988-Q988)=-1,-M988,0))</f>
        <v/>
      </c>
      <c r="U988" s="101">
        <f>IF(AND(H988=1,LedAcct&lt;&gt;""),IF(AND(E988&gt;=LedFrom,E988&lt;=LedTo,OR(I988=LedAcct,K988=LedAcct,AND(LedAcct=acctTax,M988+N988&lt;&gt;0))),E988*10000+B988,""),"")</f>
        <v/>
      </c>
    </row>
    <row r="989">
      <c r="B989" s="101" t="n">
        <v>983</v>
      </c>
      <c r="C989" s="58" t="inlineStr">
        <is>
          <t>Transaction</t>
        </is>
      </c>
      <c r="D989" s="58">
        <f>IF(H989=1,INDEX(tx_ID,983)&amp;"","")</f>
        <v/>
      </c>
      <c r="E989" s="94">
        <f>IF(H989=1,INDEX(tx_Date,983),"")</f>
        <v/>
      </c>
      <c r="F989" s="58">
        <f>IF(H989=1,INDEX(tx_Desc,983)&amp;"","")</f>
        <v/>
      </c>
      <c r="G989" s="58">
        <f>IF(H989=1,IF(INDEX(tx_Cust,983)&amp;""&lt;&gt;"",INDEX(tx_Cust,983)&amp;"",INDEX(tx_Vend,983)&amp;""),"")</f>
        <v/>
      </c>
      <c r="H989" s="101">
        <f>IFERROR(N(INDEX(tx_Posted,983)),0)</f>
        <v/>
      </c>
      <c r="I989" s="58">
        <f>IF(H989=1,INDEX(tx_DrAcct,983)&amp;"","")</f>
        <v/>
      </c>
      <c r="J989" s="95">
        <f>IF(H989=1,INDEX(tx_DrAmt,983),0)</f>
        <v/>
      </c>
      <c r="K989" s="58">
        <f>IF(H989=1,INDEX(tx_CrAcct,983)&amp;"","")</f>
        <v/>
      </c>
      <c r="L989" s="95">
        <f>IF(H989=1,INDEX(tx_CrAmt,983),0)</f>
        <v/>
      </c>
      <c r="M989" s="95">
        <f>IF(H989=1,INDEX(tx_TaxDr,983),0)</f>
        <v/>
      </c>
      <c r="N989" s="95">
        <f>IF(H989=1,INDEX(tx_TaxCr,983),0)</f>
        <v/>
      </c>
      <c r="O989" s="101">
        <f>IF(H989=1,IF(E989&lt;FYStart,0,IF(E989&gt;FYEnd,13,YEAR(E989)*12+MONTH(E989)-FYYM+1)),"")</f>
        <v/>
      </c>
      <c r="P989" s="101">
        <f>IF(H989=1,IF(IFERROR(INDEX(coa_CF,MATCH(I989,coa_Name,0)),"")="Cash",1,0),0)</f>
        <v/>
      </c>
      <c r="Q989" s="101">
        <f>IF(H989=1,IF(IFERROR(INDEX(coa_CF,MATCH(K989,coa_Name,0)),"")="Cash",1,0),0)</f>
        <v/>
      </c>
      <c r="R989" s="58">
        <f>IF((P989-Q989)=0,"",IFERROR(INDEX(coa_CF,MATCH(IF((P989-Q989)=1,K989,I989),coa_Name,0)),"Operating"))</f>
        <v/>
      </c>
      <c r="S989" s="95">
        <f>IF((P989-Q989)=1,L989,IF((P989-Q989)=-1,-J989,0))</f>
        <v/>
      </c>
      <c r="T989" s="95">
        <f>IF((P989-Q989)=1,N989,IF((P989-Q989)=-1,-M989,0))</f>
        <v/>
      </c>
      <c r="U989" s="101">
        <f>IF(AND(H989=1,LedAcct&lt;&gt;""),IF(AND(E989&gt;=LedFrom,E989&lt;=LedTo,OR(I989=LedAcct,K989=LedAcct,AND(LedAcct=acctTax,M989+N989&lt;&gt;0))),E989*10000+B989,""),"")</f>
        <v/>
      </c>
    </row>
    <row r="990">
      <c r="B990" s="101" t="n">
        <v>984</v>
      </c>
      <c r="C990" s="58" t="inlineStr">
        <is>
          <t>Transaction</t>
        </is>
      </c>
      <c r="D990" s="58">
        <f>IF(H990=1,INDEX(tx_ID,984)&amp;"","")</f>
        <v/>
      </c>
      <c r="E990" s="94">
        <f>IF(H990=1,INDEX(tx_Date,984),"")</f>
        <v/>
      </c>
      <c r="F990" s="58">
        <f>IF(H990=1,INDEX(tx_Desc,984)&amp;"","")</f>
        <v/>
      </c>
      <c r="G990" s="58">
        <f>IF(H990=1,IF(INDEX(tx_Cust,984)&amp;""&lt;&gt;"",INDEX(tx_Cust,984)&amp;"",INDEX(tx_Vend,984)&amp;""),"")</f>
        <v/>
      </c>
      <c r="H990" s="101">
        <f>IFERROR(N(INDEX(tx_Posted,984)),0)</f>
        <v/>
      </c>
      <c r="I990" s="58">
        <f>IF(H990=1,INDEX(tx_DrAcct,984)&amp;"","")</f>
        <v/>
      </c>
      <c r="J990" s="95">
        <f>IF(H990=1,INDEX(tx_DrAmt,984),0)</f>
        <v/>
      </c>
      <c r="K990" s="58">
        <f>IF(H990=1,INDEX(tx_CrAcct,984)&amp;"","")</f>
        <v/>
      </c>
      <c r="L990" s="95">
        <f>IF(H990=1,INDEX(tx_CrAmt,984),0)</f>
        <v/>
      </c>
      <c r="M990" s="95">
        <f>IF(H990=1,INDEX(tx_TaxDr,984),0)</f>
        <v/>
      </c>
      <c r="N990" s="95">
        <f>IF(H990=1,INDEX(tx_TaxCr,984),0)</f>
        <v/>
      </c>
      <c r="O990" s="101">
        <f>IF(H990=1,IF(E990&lt;FYStart,0,IF(E990&gt;FYEnd,13,YEAR(E990)*12+MONTH(E990)-FYYM+1)),"")</f>
        <v/>
      </c>
      <c r="P990" s="101">
        <f>IF(H990=1,IF(IFERROR(INDEX(coa_CF,MATCH(I990,coa_Name,0)),"")="Cash",1,0),0)</f>
        <v/>
      </c>
      <c r="Q990" s="101">
        <f>IF(H990=1,IF(IFERROR(INDEX(coa_CF,MATCH(K990,coa_Name,0)),"")="Cash",1,0),0)</f>
        <v/>
      </c>
      <c r="R990" s="58">
        <f>IF((P990-Q990)=0,"",IFERROR(INDEX(coa_CF,MATCH(IF((P990-Q990)=1,K990,I990),coa_Name,0)),"Operating"))</f>
        <v/>
      </c>
      <c r="S990" s="95">
        <f>IF((P990-Q990)=1,L990,IF((P990-Q990)=-1,-J990,0))</f>
        <v/>
      </c>
      <c r="T990" s="95">
        <f>IF((P990-Q990)=1,N990,IF((P990-Q990)=-1,-M990,0))</f>
        <v/>
      </c>
      <c r="U990" s="101">
        <f>IF(AND(H990=1,LedAcct&lt;&gt;""),IF(AND(E990&gt;=LedFrom,E990&lt;=LedTo,OR(I990=LedAcct,K990=LedAcct,AND(LedAcct=acctTax,M990+N990&lt;&gt;0))),E990*10000+B990,""),"")</f>
        <v/>
      </c>
    </row>
    <row r="991">
      <c r="B991" s="101" t="n">
        <v>985</v>
      </c>
      <c r="C991" s="58" t="inlineStr">
        <is>
          <t>Transaction</t>
        </is>
      </c>
      <c r="D991" s="58">
        <f>IF(H991=1,INDEX(tx_ID,985)&amp;"","")</f>
        <v/>
      </c>
      <c r="E991" s="94">
        <f>IF(H991=1,INDEX(tx_Date,985),"")</f>
        <v/>
      </c>
      <c r="F991" s="58">
        <f>IF(H991=1,INDEX(tx_Desc,985)&amp;"","")</f>
        <v/>
      </c>
      <c r="G991" s="58">
        <f>IF(H991=1,IF(INDEX(tx_Cust,985)&amp;""&lt;&gt;"",INDEX(tx_Cust,985)&amp;"",INDEX(tx_Vend,985)&amp;""),"")</f>
        <v/>
      </c>
      <c r="H991" s="101">
        <f>IFERROR(N(INDEX(tx_Posted,985)),0)</f>
        <v/>
      </c>
      <c r="I991" s="58">
        <f>IF(H991=1,INDEX(tx_DrAcct,985)&amp;"","")</f>
        <v/>
      </c>
      <c r="J991" s="95">
        <f>IF(H991=1,INDEX(tx_DrAmt,985),0)</f>
        <v/>
      </c>
      <c r="K991" s="58">
        <f>IF(H991=1,INDEX(tx_CrAcct,985)&amp;"","")</f>
        <v/>
      </c>
      <c r="L991" s="95">
        <f>IF(H991=1,INDEX(tx_CrAmt,985),0)</f>
        <v/>
      </c>
      <c r="M991" s="95">
        <f>IF(H991=1,INDEX(tx_TaxDr,985),0)</f>
        <v/>
      </c>
      <c r="N991" s="95">
        <f>IF(H991=1,INDEX(tx_TaxCr,985),0)</f>
        <v/>
      </c>
      <c r="O991" s="101">
        <f>IF(H991=1,IF(E991&lt;FYStart,0,IF(E991&gt;FYEnd,13,YEAR(E991)*12+MONTH(E991)-FYYM+1)),"")</f>
        <v/>
      </c>
      <c r="P991" s="101">
        <f>IF(H991=1,IF(IFERROR(INDEX(coa_CF,MATCH(I991,coa_Name,0)),"")="Cash",1,0),0)</f>
        <v/>
      </c>
      <c r="Q991" s="101">
        <f>IF(H991=1,IF(IFERROR(INDEX(coa_CF,MATCH(K991,coa_Name,0)),"")="Cash",1,0),0)</f>
        <v/>
      </c>
      <c r="R991" s="58">
        <f>IF((P991-Q991)=0,"",IFERROR(INDEX(coa_CF,MATCH(IF((P991-Q991)=1,K991,I991),coa_Name,0)),"Operating"))</f>
        <v/>
      </c>
      <c r="S991" s="95">
        <f>IF((P991-Q991)=1,L991,IF((P991-Q991)=-1,-J991,0))</f>
        <v/>
      </c>
      <c r="T991" s="95">
        <f>IF((P991-Q991)=1,N991,IF((P991-Q991)=-1,-M991,0))</f>
        <v/>
      </c>
      <c r="U991" s="101">
        <f>IF(AND(H991=1,LedAcct&lt;&gt;""),IF(AND(E991&gt;=LedFrom,E991&lt;=LedTo,OR(I991=LedAcct,K991=LedAcct,AND(LedAcct=acctTax,M991+N991&lt;&gt;0))),E991*10000+B991,""),"")</f>
        <v/>
      </c>
    </row>
    <row r="992">
      <c r="B992" s="101" t="n">
        <v>986</v>
      </c>
      <c r="C992" s="58" t="inlineStr">
        <is>
          <t>Transaction</t>
        </is>
      </c>
      <c r="D992" s="58">
        <f>IF(H992=1,INDEX(tx_ID,986)&amp;"","")</f>
        <v/>
      </c>
      <c r="E992" s="94">
        <f>IF(H992=1,INDEX(tx_Date,986),"")</f>
        <v/>
      </c>
      <c r="F992" s="58">
        <f>IF(H992=1,INDEX(tx_Desc,986)&amp;"","")</f>
        <v/>
      </c>
      <c r="G992" s="58">
        <f>IF(H992=1,IF(INDEX(tx_Cust,986)&amp;""&lt;&gt;"",INDEX(tx_Cust,986)&amp;"",INDEX(tx_Vend,986)&amp;""),"")</f>
        <v/>
      </c>
      <c r="H992" s="101">
        <f>IFERROR(N(INDEX(tx_Posted,986)),0)</f>
        <v/>
      </c>
      <c r="I992" s="58">
        <f>IF(H992=1,INDEX(tx_DrAcct,986)&amp;"","")</f>
        <v/>
      </c>
      <c r="J992" s="95">
        <f>IF(H992=1,INDEX(tx_DrAmt,986),0)</f>
        <v/>
      </c>
      <c r="K992" s="58">
        <f>IF(H992=1,INDEX(tx_CrAcct,986)&amp;"","")</f>
        <v/>
      </c>
      <c r="L992" s="95">
        <f>IF(H992=1,INDEX(tx_CrAmt,986),0)</f>
        <v/>
      </c>
      <c r="M992" s="95">
        <f>IF(H992=1,INDEX(tx_TaxDr,986),0)</f>
        <v/>
      </c>
      <c r="N992" s="95">
        <f>IF(H992=1,INDEX(tx_TaxCr,986),0)</f>
        <v/>
      </c>
      <c r="O992" s="101">
        <f>IF(H992=1,IF(E992&lt;FYStart,0,IF(E992&gt;FYEnd,13,YEAR(E992)*12+MONTH(E992)-FYYM+1)),"")</f>
        <v/>
      </c>
      <c r="P992" s="101">
        <f>IF(H992=1,IF(IFERROR(INDEX(coa_CF,MATCH(I992,coa_Name,0)),"")="Cash",1,0),0)</f>
        <v/>
      </c>
      <c r="Q992" s="101">
        <f>IF(H992=1,IF(IFERROR(INDEX(coa_CF,MATCH(K992,coa_Name,0)),"")="Cash",1,0),0)</f>
        <v/>
      </c>
      <c r="R992" s="58">
        <f>IF((P992-Q992)=0,"",IFERROR(INDEX(coa_CF,MATCH(IF((P992-Q992)=1,K992,I992),coa_Name,0)),"Operating"))</f>
        <v/>
      </c>
      <c r="S992" s="95">
        <f>IF((P992-Q992)=1,L992,IF((P992-Q992)=-1,-J992,0))</f>
        <v/>
      </c>
      <c r="T992" s="95">
        <f>IF((P992-Q992)=1,N992,IF((P992-Q992)=-1,-M992,0))</f>
        <v/>
      </c>
      <c r="U992" s="101">
        <f>IF(AND(H992=1,LedAcct&lt;&gt;""),IF(AND(E992&gt;=LedFrom,E992&lt;=LedTo,OR(I992=LedAcct,K992=LedAcct,AND(LedAcct=acctTax,M992+N992&lt;&gt;0))),E992*10000+B992,""),"")</f>
        <v/>
      </c>
    </row>
    <row r="993">
      <c r="B993" s="101" t="n">
        <v>987</v>
      </c>
      <c r="C993" s="58" t="inlineStr">
        <is>
          <t>Transaction</t>
        </is>
      </c>
      <c r="D993" s="58">
        <f>IF(H993=1,INDEX(tx_ID,987)&amp;"","")</f>
        <v/>
      </c>
      <c r="E993" s="94">
        <f>IF(H993=1,INDEX(tx_Date,987),"")</f>
        <v/>
      </c>
      <c r="F993" s="58">
        <f>IF(H993=1,INDEX(tx_Desc,987)&amp;"","")</f>
        <v/>
      </c>
      <c r="G993" s="58">
        <f>IF(H993=1,IF(INDEX(tx_Cust,987)&amp;""&lt;&gt;"",INDEX(tx_Cust,987)&amp;"",INDEX(tx_Vend,987)&amp;""),"")</f>
        <v/>
      </c>
      <c r="H993" s="101">
        <f>IFERROR(N(INDEX(tx_Posted,987)),0)</f>
        <v/>
      </c>
      <c r="I993" s="58">
        <f>IF(H993=1,INDEX(tx_DrAcct,987)&amp;"","")</f>
        <v/>
      </c>
      <c r="J993" s="95">
        <f>IF(H993=1,INDEX(tx_DrAmt,987),0)</f>
        <v/>
      </c>
      <c r="K993" s="58">
        <f>IF(H993=1,INDEX(tx_CrAcct,987)&amp;"","")</f>
        <v/>
      </c>
      <c r="L993" s="95">
        <f>IF(H993=1,INDEX(tx_CrAmt,987),0)</f>
        <v/>
      </c>
      <c r="M993" s="95">
        <f>IF(H993=1,INDEX(tx_TaxDr,987),0)</f>
        <v/>
      </c>
      <c r="N993" s="95">
        <f>IF(H993=1,INDEX(tx_TaxCr,987),0)</f>
        <v/>
      </c>
      <c r="O993" s="101">
        <f>IF(H993=1,IF(E993&lt;FYStart,0,IF(E993&gt;FYEnd,13,YEAR(E993)*12+MONTH(E993)-FYYM+1)),"")</f>
        <v/>
      </c>
      <c r="P993" s="101">
        <f>IF(H993=1,IF(IFERROR(INDEX(coa_CF,MATCH(I993,coa_Name,0)),"")="Cash",1,0),0)</f>
        <v/>
      </c>
      <c r="Q993" s="101">
        <f>IF(H993=1,IF(IFERROR(INDEX(coa_CF,MATCH(K993,coa_Name,0)),"")="Cash",1,0),0)</f>
        <v/>
      </c>
      <c r="R993" s="58">
        <f>IF((P993-Q993)=0,"",IFERROR(INDEX(coa_CF,MATCH(IF((P993-Q993)=1,K993,I993),coa_Name,0)),"Operating"))</f>
        <v/>
      </c>
      <c r="S993" s="95">
        <f>IF((P993-Q993)=1,L993,IF((P993-Q993)=-1,-J993,0))</f>
        <v/>
      </c>
      <c r="T993" s="95">
        <f>IF((P993-Q993)=1,N993,IF((P993-Q993)=-1,-M993,0))</f>
        <v/>
      </c>
      <c r="U993" s="101">
        <f>IF(AND(H993=1,LedAcct&lt;&gt;""),IF(AND(E993&gt;=LedFrom,E993&lt;=LedTo,OR(I993=LedAcct,K993=LedAcct,AND(LedAcct=acctTax,M993+N993&lt;&gt;0))),E993*10000+B993,""),"")</f>
        <v/>
      </c>
    </row>
    <row r="994">
      <c r="B994" s="101" t="n">
        <v>988</v>
      </c>
      <c r="C994" s="58" t="inlineStr">
        <is>
          <t>Transaction</t>
        </is>
      </c>
      <c r="D994" s="58">
        <f>IF(H994=1,INDEX(tx_ID,988)&amp;"","")</f>
        <v/>
      </c>
      <c r="E994" s="94">
        <f>IF(H994=1,INDEX(tx_Date,988),"")</f>
        <v/>
      </c>
      <c r="F994" s="58">
        <f>IF(H994=1,INDEX(tx_Desc,988)&amp;"","")</f>
        <v/>
      </c>
      <c r="G994" s="58">
        <f>IF(H994=1,IF(INDEX(tx_Cust,988)&amp;""&lt;&gt;"",INDEX(tx_Cust,988)&amp;"",INDEX(tx_Vend,988)&amp;""),"")</f>
        <v/>
      </c>
      <c r="H994" s="101">
        <f>IFERROR(N(INDEX(tx_Posted,988)),0)</f>
        <v/>
      </c>
      <c r="I994" s="58">
        <f>IF(H994=1,INDEX(tx_DrAcct,988)&amp;"","")</f>
        <v/>
      </c>
      <c r="J994" s="95">
        <f>IF(H994=1,INDEX(tx_DrAmt,988),0)</f>
        <v/>
      </c>
      <c r="K994" s="58">
        <f>IF(H994=1,INDEX(tx_CrAcct,988)&amp;"","")</f>
        <v/>
      </c>
      <c r="L994" s="95">
        <f>IF(H994=1,INDEX(tx_CrAmt,988),0)</f>
        <v/>
      </c>
      <c r="M994" s="95">
        <f>IF(H994=1,INDEX(tx_TaxDr,988),0)</f>
        <v/>
      </c>
      <c r="N994" s="95">
        <f>IF(H994=1,INDEX(tx_TaxCr,988),0)</f>
        <v/>
      </c>
      <c r="O994" s="101">
        <f>IF(H994=1,IF(E994&lt;FYStart,0,IF(E994&gt;FYEnd,13,YEAR(E994)*12+MONTH(E994)-FYYM+1)),"")</f>
        <v/>
      </c>
      <c r="P994" s="101">
        <f>IF(H994=1,IF(IFERROR(INDEX(coa_CF,MATCH(I994,coa_Name,0)),"")="Cash",1,0),0)</f>
        <v/>
      </c>
      <c r="Q994" s="101">
        <f>IF(H994=1,IF(IFERROR(INDEX(coa_CF,MATCH(K994,coa_Name,0)),"")="Cash",1,0),0)</f>
        <v/>
      </c>
      <c r="R994" s="58">
        <f>IF((P994-Q994)=0,"",IFERROR(INDEX(coa_CF,MATCH(IF((P994-Q994)=1,K994,I994),coa_Name,0)),"Operating"))</f>
        <v/>
      </c>
      <c r="S994" s="95">
        <f>IF((P994-Q994)=1,L994,IF((P994-Q994)=-1,-J994,0))</f>
        <v/>
      </c>
      <c r="T994" s="95">
        <f>IF((P994-Q994)=1,N994,IF((P994-Q994)=-1,-M994,0))</f>
        <v/>
      </c>
      <c r="U994" s="101">
        <f>IF(AND(H994=1,LedAcct&lt;&gt;""),IF(AND(E994&gt;=LedFrom,E994&lt;=LedTo,OR(I994=LedAcct,K994=LedAcct,AND(LedAcct=acctTax,M994+N994&lt;&gt;0))),E994*10000+B994,""),"")</f>
        <v/>
      </c>
    </row>
    <row r="995">
      <c r="B995" s="101" t="n">
        <v>989</v>
      </c>
      <c r="C995" s="58" t="inlineStr">
        <is>
          <t>Transaction</t>
        </is>
      </c>
      <c r="D995" s="58">
        <f>IF(H995=1,INDEX(tx_ID,989)&amp;"","")</f>
        <v/>
      </c>
      <c r="E995" s="94">
        <f>IF(H995=1,INDEX(tx_Date,989),"")</f>
        <v/>
      </c>
      <c r="F995" s="58">
        <f>IF(H995=1,INDEX(tx_Desc,989)&amp;"","")</f>
        <v/>
      </c>
      <c r="G995" s="58">
        <f>IF(H995=1,IF(INDEX(tx_Cust,989)&amp;""&lt;&gt;"",INDEX(tx_Cust,989)&amp;"",INDEX(tx_Vend,989)&amp;""),"")</f>
        <v/>
      </c>
      <c r="H995" s="101">
        <f>IFERROR(N(INDEX(tx_Posted,989)),0)</f>
        <v/>
      </c>
      <c r="I995" s="58">
        <f>IF(H995=1,INDEX(tx_DrAcct,989)&amp;"","")</f>
        <v/>
      </c>
      <c r="J995" s="95">
        <f>IF(H995=1,INDEX(tx_DrAmt,989),0)</f>
        <v/>
      </c>
      <c r="K995" s="58">
        <f>IF(H995=1,INDEX(tx_CrAcct,989)&amp;"","")</f>
        <v/>
      </c>
      <c r="L995" s="95">
        <f>IF(H995=1,INDEX(tx_CrAmt,989),0)</f>
        <v/>
      </c>
      <c r="M995" s="95">
        <f>IF(H995=1,INDEX(tx_TaxDr,989),0)</f>
        <v/>
      </c>
      <c r="N995" s="95">
        <f>IF(H995=1,INDEX(tx_TaxCr,989),0)</f>
        <v/>
      </c>
      <c r="O995" s="101">
        <f>IF(H995=1,IF(E995&lt;FYStart,0,IF(E995&gt;FYEnd,13,YEAR(E995)*12+MONTH(E995)-FYYM+1)),"")</f>
        <v/>
      </c>
      <c r="P995" s="101">
        <f>IF(H995=1,IF(IFERROR(INDEX(coa_CF,MATCH(I995,coa_Name,0)),"")="Cash",1,0),0)</f>
        <v/>
      </c>
      <c r="Q995" s="101">
        <f>IF(H995=1,IF(IFERROR(INDEX(coa_CF,MATCH(K995,coa_Name,0)),"")="Cash",1,0),0)</f>
        <v/>
      </c>
      <c r="R995" s="58">
        <f>IF((P995-Q995)=0,"",IFERROR(INDEX(coa_CF,MATCH(IF((P995-Q995)=1,K995,I995),coa_Name,0)),"Operating"))</f>
        <v/>
      </c>
      <c r="S995" s="95">
        <f>IF((P995-Q995)=1,L995,IF((P995-Q995)=-1,-J995,0))</f>
        <v/>
      </c>
      <c r="T995" s="95">
        <f>IF((P995-Q995)=1,N995,IF((P995-Q995)=-1,-M995,0))</f>
        <v/>
      </c>
      <c r="U995" s="101">
        <f>IF(AND(H995=1,LedAcct&lt;&gt;""),IF(AND(E995&gt;=LedFrom,E995&lt;=LedTo,OR(I995=LedAcct,K995=LedAcct,AND(LedAcct=acctTax,M995+N995&lt;&gt;0))),E995*10000+B995,""),"")</f>
        <v/>
      </c>
    </row>
    <row r="996">
      <c r="B996" s="101" t="n">
        <v>990</v>
      </c>
      <c r="C996" s="58" t="inlineStr">
        <is>
          <t>Transaction</t>
        </is>
      </c>
      <c r="D996" s="58">
        <f>IF(H996=1,INDEX(tx_ID,990)&amp;"","")</f>
        <v/>
      </c>
      <c r="E996" s="94">
        <f>IF(H996=1,INDEX(tx_Date,990),"")</f>
        <v/>
      </c>
      <c r="F996" s="58">
        <f>IF(H996=1,INDEX(tx_Desc,990)&amp;"","")</f>
        <v/>
      </c>
      <c r="G996" s="58">
        <f>IF(H996=1,IF(INDEX(tx_Cust,990)&amp;""&lt;&gt;"",INDEX(tx_Cust,990)&amp;"",INDEX(tx_Vend,990)&amp;""),"")</f>
        <v/>
      </c>
      <c r="H996" s="101">
        <f>IFERROR(N(INDEX(tx_Posted,990)),0)</f>
        <v/>
      </c>
      <c r="I996" s="58">
        <f>IF(H996=1,INDEX(tx_DrAcct,990)&amp;"","")</f>
        <v/>
      </c>
      <c r="J996" s="95">
        <f>IF(H996=1,INDEX(tx_DrAmt,990),0)</f>
        <v/>
      </c>
      <c r="K996" s="58">
        <f>IF(H996=1,INDEX(tx_CrAcct,990)&amp;"","")</f>
        <v/>
      </c>
      <c r="L996" s="95">
        <f>IF(H996=1,INDEX(tx_CrAmt,990),0)</f>
        <v/>
      </c>
      <c r="M996" s="95">
        <f>IF(H996=1,INDEX(tx_TaxDr,990),0)</f>
        <v/>
      </c>
      <c r="N996" s="95">
        <f>IF(H996=1,INDEX(tx_TaxCr,990),0)</f>
        <v/>
      </c>
      <c r="O996" s="101">
        <f>IF(H996=1,IF(E996&lt;FYStart,0,IF(E996&gt;FYEnd,13,YEAR(E996)*12+MONTH(E996)-FYYM+1)),"")</f>
        <v/>
      </c>
      <c r="P996" s="101">
        <f>IF(H996=1,IF(IFERROR(INDEX(coa_CF,MATCH(I996,coa_Name,0)),"")="Cash",1,0),0)</f>
        <v/>
      </c>
      <c r="Q996" s="101">
        <f>IF(H996=1,IF(IFERROR(INDEX(coa_CF,MATCH(K996,coa_Name,0)),"")="Cash",1,0),0)</f>
        <v/>
      </c>
      <c r="R996" s="58">
        <f>IF((P996-Q996)=0,"",IFERROR(INDEX(coa_CF,MATCH(IF((P996-Q996)=1,K996,I996),coa_Name,0)),"Operating"))</f>
        <v/>
      </c>
      <c r="S996" s="95">
        <f>IF((P996-Q996)=1,L996,IF((P996-Q996)=-1,-J996,0))</f>
        <v/>
      </c>
      <c r="T996" s="95">
        <f>IF((P996-Q996)=1,N996,IF((P996-Q996)=-1,-M996,0))</f>
        <v/>
      </c>
      <c r="U996" s="101">
        <f>IF(AND(H996=1,LedAcct&lt;&gt;""),IF(AND(E996&gt;=LedFrom,E996&lt;=LedTo,OR(I996=LedAcct,K996=LedAcct,AND(LedAcct=acctTax,M996+N996&lt;&gt;0))),E996*10000+B996,""),"")</f>
        <v/>
      </c>
    </row>
    <row r="997">
      <c r="B997" s="101" t="n">
        <v>991</v>
      </c>
      <c r="C997" s="58" t="inlineStr">
        <is>
          <t>Transaction</t>
        </is>
      </c>
      <c r="D997" s="58">
        <f>IF(H997=1,INDEX(tx_ID,991)&amp;"","")</f>
        <v/>
      </c>
      <c r="E997" s="94">
        <f>IF(H997=1,INDEX(tx_Date,991),"")</f>
        <v/>
      </c>
      <c r="F997" s="58">
        <f>IF(H997=1,INDEX(tx_Desc,991)&amp;"","")</f>
        <v/>
      </c>
      <c r="G997" s="58">
        <f>IF(H997=1,IF(INDEX(tx_Cust,991)&amp;""&lt;&gt;"",INDEX(tx_Cust,991)&amp;"",INDEX(tx_Vend,991)&amp;""),"")</f>
        <v/>
      </c>
      <c r="H997" s="101">
        <f>IFERROR(N(INDEX(tx_Posted,991)),0)</f>
        <v/>
      </c>
      <c r="I997" s="58">
        <f>IF(H997=1,INDEX(tx_DrAcct,991)&amp;"","")</f>
        <v/>
      </c>
      <c r="J997" s="95">
        <f>IF(H997=1,INDEX(tx_DrAmt,991),0)</f>
        <v/>
      </c>
      <c r="K997" s="58">
        <f>IF(H997=1,INDEX(tx_CrAcct,991)&amp;"","")</f>
        <v/>
      </c>
      <c r="L997" s="95">
        <f>IF(H997=1,INDEX(tx_CrAmt,991),0)</f>
        <v/>
      </c>
      <c r="M997" s="95">
        <f>IF(H997=1,INDEX(tx_TaxDr,991),0)</f>
        <v/>
      </c>
      <c r="N997" s="95">
        <f>IF(H997=1,INDEX(tx_TaxCr,991),0)</f>
        <v/>
      </c>
      <c r="O997" s="101">
        <f>IF(H997=1,IF(E997&lt;FYStart,0,IF(E997&gt;FYEnd,13,YEAR(E997)*12+MONTH(E997)-FYYM+1)),"")</f>
        <v/>
      </c>
      <c r="P997" s="101">
        <f>IF(H997=1,IF(IFERROR(INDEX(coa_CF,MATCH(I997,coa_Name,0)),"")="Cash",1,0),0)</f>
        <v/>
      </c>
      <c r="Q997" s="101">
        <f>IF(H997=1,IF(IFERROR(INDEX(coa_CF,MATCH(K997,coa_Name,0)),"")="Cash",1,0),0)</f>
        <v/>
      </c>
      <c r="R997" s="58">
        <f>IF((P997-Q997)=0,"",IFERROR(INDEX(coa_CF,MATCH(IF((P997-Q997)=1,K997,I997),coa_Name,0)),"Operating"))</f>
        <v/>
      </c>
      <c r="S997" s="95">
        <f>IF((P997-Q997)=1,L997,IF((P997-Q997)=-1,-J997,0))</f>
        <v/>
      </c>
      <c r="T997" s="95">
        <f>IF((P997-Q997)=1,N997,IF((P997-Q997)=-1,-M997,0))</f>
        <v/>
      </c>
      <c r="U997" s="101">
        <f>IF(AND(H997=1,LedAcct&lt;&gt;""),IF(AND(E997&gt;=LedFrom,E997&lt;=LedTo,OR(I997=LedAcct,K997=LedAcct,AND(LedAcct=acctTax,M997+N997&lt;&gt;0))),E997*10000+B997,""),"")</f>
        <v/>
      </c>
    </row>
    <row r="998">
      <c r="B998" s="101" t="n">
        <v>992</v>
      </c>
      <c r="C998" s="58" t="inlineStr">
        <is>
          <t>Transaction</t>
        </is>
      </c>
      <c r="D998" s="58">
        <f>IF(H998=1,INDEX(tx_ID,992)&amp;"","")</f>
        <v/>
      </c>
      <c r="E998" s="94">
        <f>IF(H998=1,INDEX(tx_Date,992),"")</f>
        <v/>
      </c>
      <c r="F998" s="58">
        <f>IF(H998=1,INDEX(tx_Desc,992)&amp;"","")</f>
        <v/>
      </c>
      <c r="G998" s="58">
        <f>IF(H998=1,IF(INDEX(tx_Cust,992)&amp;""&lt;&gt;"",INDEX(tx_Cust,992)&amp;"",INDEX(tx_Vend,992)&amp;""),"")</f>
        <v/>
      </c>
      <c r="H998" s="101">
        <f>IFERROR(N(INDEX(tx_Posted,992)),0)</f>
        <v/>
      </c>
      <c r="I998" s="58">
        <f>IF(H998=1,INDEX(tx_DrAcct,992)&amp;"","")</f>
        <v/>
      </c>
      <c r="J998" s="95">
        <f>IF(H998=1,INDEX(tx_DrAmt,992),0)</f>
        <v/>
      </c>
      <c r="K998" s="58">
        <f>IF(H998=1,INDEX(tx_CrAcct,992)&amp;"","")</f>
        <v/>
      </c>
      <c r="L998" s="95">
        <f>IF(H998=1,INDEX(tx_CrAmt,992),0)</f>
        <v/>
      </c>
      <c r="M998" s="95">
        <f>IF(H998=1,INDEX(tx_TaxDr,992),0)</f>
        <v/>
      </c>
      <c r="N998" s="95">
        <f>IF(H998=1,INDEX(tx_TaxCr,992),0)</f>
        <v/>
      </c>
      <c r="O998" s="101">
        <f>IF(H998=1,IF(E998&lt;FYStart,0,IF(E998&gt;FYEnd,13,YEAR(E998)*12+MONTH(E998)-FYYM+1)),"")</f>
        <v/>
      </c>
      <c r="P998" s="101">
        <f>IF(H998=1,IF(IFERROR(INDEX(coa_CF,MATCH(I998,coa_Name,0)),"")="Cash",1,0),0)</f>
        <v/>
      </c>
      <c r="Q998" s="101">
        <f>IF(H998=1,IF(IFERROR(INDEX(coa_CF,MATCH(K998,coa_Name,0)),"")="Cash",1,0),0)</f>
        <v/>
      </c>
      <c r="R998" s="58">
        <f>IF((P998-Q998)=0,"",IFERROR(INDEX(coa_CF,MATCH(IF((P998-Q998)=1,K998,I998),coa_Name,0)),"Operating"))</f>
        <v/>
      </c>
      <c r="S998" s="95">
        <f>IF((P998-Q998)=1,L998,IF((P998-Q998)=-1,-J998,0))</f>
        <v/>
      </c>
      <c r="T998" s="95">
        <f>IF((P998-Q998)=1,N998,IF((P998-Q998)=-1,-M998,0))</f>
        <v/>
      </c>
      <c r="U998" s="101">
        <f>IF(AND(H998=1,LedAcct&lt;&gt;""),IF(AND(E998&gt;=LedFrom,E998&lt;=LedTo,OR(I998=LedAcct,K998=LedAcct,AND(LedAcct=acctTax,M998+N998&lt;&gt;0))),E998*10000+B998,""),"")</f>
        <v/>
      </c>
    </row>
    <row r="999">
      <c r="B999" s="101" t="n">
        <v>993</v>
      </c>
      <c r="C999" s="58" t="inlineStr">
        <is>
          <t>Transaction</t>
        </is>
      </c>
      <c r="D999" s="58">
        <f>IF(H999=1,INDEX(tx_ID,993)&amp;"","")</f>
        <v/>
      </c>
      <c r="E999" s="94">
        <f>IF(H999=1,INDEX(tx_Date,993),"")</f>
        <v/>
      </c>
      <c r="F999" s="58">
        <f>IF(H999=1,INDEX(tx_Desc,993)&amp;"","")</f>
        <v/>
      </c>
      <c r="G999" s="58">
        <f>IF(H999=1,IF(INDEX(tx_Cust,993)&amp;""&lt;&gt;"",INDEX(tx_Cust,993)&amp;"",INDEX(tx_Vend,993)&amp;""),"")</f>
        <v/>
      </c>
      <c r="H999" s="101">
        <f>IFERROR(N(INDEX(tx_Posted,993)),0)</f>
        <v/>
      </c>
      <c r="I999" s="58">
        <f>IF(H999=1,INDEX(tx_DrAcct,993)&amp;"","")</f>
        <v/>
      </c>
      <c r="J999" s="95">
        <f>IF(H999=1,INDEX(tx_DrAmt,993),0)</f>
        <v/>
      </c>
      <c r="K999" s="58">
        <f>IF(H999=1,INDEX(tx_CrAcct,993)&amp;"","")</f>
        <v/>
      </c>
      <c r="L999" s="95">
        <f>IF(H999=1,INDEX(tx_CrAmt,993),0)</f>
        <v/>
      </c>
      <c r="M999" s="95">
        <f>IF(H999=1,INDEX(tx_TaxDr,993),0)</f>
        <v/>
      </c>
      <c r="N999" s="95">
        <f>IF(H999=1,INDEX(tx_TaxCr,993),0)</f>
        <v/>
      </c>
      <c r="O999" s="101">
        <f>IF(H999=1,IF(E999&lt;FYStart,0,IF(E999&gt;FYEnd,13,YEAR(E999)*12+MONTH(E999)-FYYM+1)),"")</f>
        <v/>
      </c>
      <c r="P999" s="101">
        <f>IF(H999=1,IF(IFERROR(INDEX(coa_CF,MATCH(I999,coa_Name,0)),"")="Cash",1,0),0)</f>
        <v/>
      </c>
      <c r="Q999" s="101">
        <f>IF(H999=1,IF(IFERROR(INDEX(coa_CF,MATCH(K999,coa_Name,0)),"")="Cash",1,0),0)</f>
        <v/>
      </c>
      <c r="R999" s="58">
        <f>IF((P999-Q999)=0,"",IFERROR(INDEX(coa_CF,MATCH(IF((P999-Q999)=1,K999,I999),coa_Name,0)),"Operating"))</f>
        <v/>
      </c>
      <c r="S999" s="95">
        <f>IF((P999-Q999)=1,L999,IF((P999-Q999)=-1,-J999,0))</f>
        <v/>
      </c>
      <c r="T999" s="95">
        <f>IF((P999-Q999)=1,N999,IF((P999-Q999)=-1,-M999,0))</f>
        <v/>
      </c>
      <c r="U999" s="101">
        <f>IF(AND(H999=1,LedAcct&lt;&gt;""),IF(AND(E999&gt;=LedFrom,E999&lt;=LedTo,OR(I999=LedAcct,K999=LedAcct,AND(LedAcct=acctTax,M999+N999&lt;&gt;0))),E999*10000+B999,""),"")</f>
        <v/>
      </c>
    </row>
    <row r="1000">
      <c r="B1000" s="101" t="n">
        <v>994</v>
      </c>
      <c r="C1000" s="58" t="inlineStr">
        <is>
          <t>Transaction</t>
        </is>
      </c>
      <c r="D1000" s="58">
        <f>IF(H1000=1,INDEX(tx_ID,994)&amp;"","")</f>
        <v/>
      </c>
      <c r="E1000" s="94">
        <f>IF(H1000=1,INDEX(tx_Date,994),"")</f>
        <v/>
      </c>
      <c r="F1000" s="58">
        <f>IF(H1000=1,INDEX(tx_Desc,994)&amp;"","")</f>
        <v/>
      </c>
      <c r="G1000" s="58">
        <f>IF(H1000=1,IF(INDEX(tx_Cust,994)&amp;""&lt;&gt;"",INDEX(tx_Cust,994)&amp;"",INDEX(tx_Vend,994)&amp;""),"")</f>
        <v/>
      </c>
      <c r="H1000" s="101">
        <f>IFERROR(N(INDEX(tx_Posted,994)),0)</f>
        <v/>
      </c>
      <c r="I1000" s="58">
        <f>IF(H1000=1,INDEX(tx_DrAcct,994)&amp;"","")</f>
        <v/>
      </c>
      <c r="J1000" s="95">
        <f>IF(H1000=1,INDEX(tx_DrAmt,994),0)</f>
        <v/>
      </c>
      <c r="K1000" s="58">
        <f>IF(H1000=1,INDEX(tx_CrAcct,994)&amp;"","")</f>
        <v/>
      </c>
      <c r="L1000" s="95">
        <f>IF(H1000=1,INDEX(tx_CrAmt,994),0)</f>
        <v/>
      </c>
      <c r="M1000" s="95">
        <f>IF(H1000=1,INDEX(tx_TaxDr,994),0)</f>
        <v/>
      </c>
      <c r="N1000" s="95">
        <f>IF(H1000=1,INDEX(tx_TaxCr,994),0)</f>
        <v/>
      </c>
      <c r="O1000" s="101">
        <f>IF(H1000=1,IF(E1000&lt;FYStart,0,IF(E1000&gt;FYEnd,13,YEAR(E1000)*12+MONTH(E1000)-FYYM+1)),"")</f>
        <v/>
      </c>
      <c r="P1000" s="101">
        <f>IF(H1000=1,IF(IFERROR(INDEX(coa_CF,MATCH(I1000,coa_Name,0)),"")="Cash",1,0),0)</f>
        <v/>
      </c>
      <c r="Q1000" s="101">
        <f>IF(H1000=1,IF(IFERROR(INDEX(coa_CF,MATCH(K1000,coa_Name,0)),"")="Cash",1,0),0)</f>
        <v/>
      </c>
      <c r="R1000" s="58">
        <f>IF((P1000-Q1000)=0,"",IFERROR(INDEX(coa_CF,MATCH(IF((P1000-Q1000)=1,K1000,I1000),coa_Name,0)),"Operating"))</f>
        <v/>
      </c>
      <c r="S1000" s="95">
        <f>IF((P1000-Q1000)=1,L1000,IF((P1000-Q1000)=-1,-J1000,0))</f>
        <v/>
      </c>
      <c r="T1000" s="95">
        <f>IF((P1000-Q1000)=1,N1000,IF((P1000-Q1000)=-1,-M1000,0))</f>
        <v/>
      </c>
      <c r="U1000" s="101">
        <f>IF(AND(H1000=1,LedAcct&lt;&gt;""),IF(AND(E1000&gt;=LedFrom,E1000&lt;=LedTo,OR(I1000=LedAcct,K1000=LedAcct,AND(LedAcct=acctTax,M1000+N1000&lt;&gt;0))),E1000*10000+B1000,""),"")</f>
        <v/>
      </c>
    </row>
    <row r="1001">
      <c r="B1001" s="101" t="n">
        <v>995</v>
      </c>
      <c r="C1001" s="58" t="inlineStr">
        <is>
          <t>Transaction</t>
        </is>
      </c>
      <c r="D1001" s="58">
        <f>IF(H1001=1,INDEX(tx_ID,995)&amp;"","")</f>
        <v/>
      </c>
      <c r="E1001" s="94">
        <f>IF(H1001=1,INDEX(tx_Date,995),"")</f>
        <v/>
      </c>
      <c r="F1001" s="58">
        <f>IF(H1001=1,INDEX(tx_Desc,995)&amp;"","")</f>
        <v/>
      </c>
      <c r="G1001" s="58">
        <f>IF(H1001=1,IF(INDEX(tx_Cust,995)&amp;""&lt;&gt;"",INDEX(tx_Cust,995)&amp;"",INDEX(tx_Vend,995)&amp;""),"")</f>
        <v/>
      </c>
      <c r="H1001" s="101">
        <f>IFERROR(N(INDEX(tx_Posted,995)),0)</f>
        <v/>
      </c>
      <c r="I1001" s="58">
        <f>IF(H1001=1,INDEX(tx_DrAcct,995)&amp;"","")</f>
        <v/>
      </c>
      <c r="J1001" s="95">
        <f>IF(H1001=1,INDEX(tx_DrAmt,995),0)</f>
        <v/>
      </c>
      <c r="K1001" s="58">
        <f>IF(H1001=1,INDEX(tx_CrAcct,995)&amp;"","")</f>
        <v/>
      </c>
      <c r="L1001" s="95">
        <f>IF(H1001=1,INDEX(tx_CrAmt,995),0)</f>
        <v/>
      </c>
      <c r="M1001" s="95">
        <f>IF(H1001=1,INDEX(tx_TaxDr,995),0)</f>
        <v/>
      </c>
      <c r="N1001" s="95">
        <f>IF(H1001=1,INDEX(tx_TaxCr,995),0)</f>
        <v/>
      </c>
      <c r="O1001" s="101">
        <f>IF(H1001=1,IF(E1001&lt;FYStart,0,IF(E1001&gt;FYEnd,13,YEAR(E1001)*12+MONTH(E1001)-FYYM+1)),"")</f>
        <v/>
      </c>
      <c r="P1001" s="101">
        <f>IF(H1001=1,IF(IFERROR(INDEX(coa_CF,MATCH(I1001,coa_Name,0)),"")="Cash",1,0),0)</f>
        <v/>
      </c>
      <c r="Q1001" s="101">
        <f>IF(H1001=1,IF(IFERROR(INDEX(coa_CF,MATCH(K1001,coa_Name,0)),"")="Cash",1,0),0)</f>
        <v/>
      </c>
      <c r="R1001" s="58">
        <f>IF((P1001-Q1001)=0,"",IFERROR(INDEX(coa_CF,MATCH(IF((P1001-Q1001)=1,K1001,I1001),coa_Name,0)),"Operating"))</f>
        <v/>
      </c>
      <c r="S1001" s="95">
        <f>IF((P1001-Q1001)=1,L1001,IF((P1001-Q1001)=-1,-J1001,0))</f>
        <v/>
      </c>
      <c r="T1001" s="95">
        <f>IF((P1001-Q1001)=1,N1001,IF((P1001-Q1001)=-1,-M1001,0))</f>
        <v/>
      </c>
      <c r="U1001" s="101">
        <f>IF(AND(H1001=1,LedAcct&lt;&gt;""),IF(AND(E1001&gt;=LedFrom,E1001&lt;=LedTo,OR(I1001=LedAcct,K1001=LedAcct,AND(LedAcct=acctTax,M1001+N1001&lt;&gt;0))),E1001*10000+B1001,""),"")</f>
        <v/>
      </c>
    </row>
    <row r="1002">
      <c r="B1002" s="101" t="n">
        <v>996</v>
      </c>
      <c r="C1002" s="58" t="inlineStr">
        <is>
          <t>Transaction</t>
        </is>
      </c>
      <c r="D1002" s="58">
        <f>IF(H1002=1,INDEX(tx_ID,996)&amp;"","")</f>
        <v/>
      </c>
      <c r="E1002" s="94">
        <f>IF(H1002=1,INDEX(tx_Date,996),"")</f>
        <v/>
      </c>
      <c r="F1002" s="58">
        <f>IF(H1002=1,INDEX(tx_Desc,996)&amp;"","")</f>
        <v/>
      </c>
      <c r="G1002" s="58">
        <f>IF(H1002=1,IF(INDEX(tx_Cust,996)&amp;""&lt;&gt;"",INDEX(tx_Cust,996)&amp;"",INDEX(tx_Vend,996)&amp;""),"")</f>
        <v/>
      </c>
      <c r="H1002" s="101">
        <f>IFERROR(N(INDEX(tx_Posted,996)),0)</f>
        <v/>
      </c>
      <c r="I1002" s="58">
        <f>IF(H1002=1,INDEX(tx_DrAcct,996)&amp;"","")</f>
        <v/>
      </c>
      <c r="J1002" s="95">
        <f>IF(H1002=1,INDEX(tx_DrAmt,996),0)</f>
        <v/>
      </c>
      <c r="K1002" s="58">
        <f>IF(H1002=1,INDEX(tx_CrAcct,996)&amp;"","")</f>
        <v/>
      </c>
      <c r="L1002" s="95">
        <f>IF(H1002=1,INDEX(tx_CrAmt,996),0)</f>
        <v/>
      </c>
      <c r="M1002" s="95">
        <f>IF(H1002=1,INDEX(tx_TaxDr,996),0)</f>
        <v/>
      </c>
      <c r="N1002" s="95">
        <f>IF(H1002=1,INDEX(tx_TaxCr,996),0)</f>
        <v/>
      </c>
      <c r="O1002" s="101">
        <f>IF(H1002=1,IF(E1002&lt;FYStart,0,IF(E1002&gt;FYEnd,13,YEAR(E1002)*12+MONTH(E1002)-FYYM+1)),"")</f>
        <v/>
      </c>
      <c r="P1002" s="101">
        <f>IF(H1002=1,IF(IFERROR(INDEX(coa_CF,MATCH(I1002,coa_Name,0)),"")="Cash",1,0),0)</f>
        <v/>
      </c>
      <c r="Q1002" s="101">
        <f>IF(H1002=1,IF(IFERROR(INDEX(coa_CF,MATCH(K1002,coa_Name,0)),"")="Cash",1,0),0)</f>
        <v/>
      </c>
      <c r="R1002" s="58">
        <f>IF((P1002-Q1002)=0,"",IFERROR(INDEX(coa_CF,MATCH(IF((P1002-Q1002)=1,K1002,I1002),coa_Name,0)),"Operating"))</f>
        <v/>
      </c>
      <c r="S1002" s="95">
        <f>IF((P1002-Q1002)=1,L1002,IF((P1002-Q1002)=-1,-J1002,0))</f>
        <v/>
      </c>
      <c r="T1002" s="95">
        <f>IF((P1002-Q1002)=1,N1002,IF((P1002-Q1002)=-1,-M1002,0))</f>
        <v/>
      </c>
      <c r="U1002" s="101">
        <f>IF(AND(H1002=1,LedAcct&lt;&gt;""),IF(AND(E1002&gt;=LedFrom,E1002&lt;=LedTo,OR(I1002=LedAcct,K1002=LedAcct,AND(LedAcct=acctTax,M1002+N1002&lt;&gt;0))),E1002*10000+B1002,""),"")</f>
        <v/>
      </c>
    </row>
    <row r="1003">
      <c r="B1003" s="101" t="n">
        <v>997</v>
      </c>
      <c r="C1003" s="58" t="inlineStr">
        <is>
          <t>Transaction</t>
        </is>
      </c>
      <c r="D1003" s="58">
        <f>IF(H1003=1,INDEX(tx_ID,997)&amp;"","")</f>
        <v/>
      </c>
      <c r="E1003" s="94">
        <f>IF(H1003=1,INDEX(tx_Date,997),"")</f>
        <v/>
      </c>
      <c r="F1003" s="58">
        <f>IF(H1003=1,INDEX(tx_Desc,997)&amp;"","")</f>
        <v/>
      </c>
      <c r="G1003" s="58">
        <f>IF(H1003=1,IF(INDEX(tx_Cust,997)&amp;""&lt;&gt;"",INDEX(tx_Cust,997)&amp;"",INDEX(tx_Vend,997)&amp;""),"")</f>
        <v/>
      </c>
      <c r="H1003" s="101">
        <f>IFERROR(N(INDEX(tx_Posted,997)),0)</f>
        <v/>
      </c>
      <c r="I1003" s="58">
        <f>IF(H1003=1,INDEX(tx_DrAcct,997)&amp;"","")</f>
        <v/>
      </c>
      <c r="J1003" s="95">
        <f>IF(H1003=1,INDEX(tx_DrAmt,997),0)</f>
        <v/>
      </c>
      <c r="K1003" s="58">
        <f>IF(H1003=1,INDEX(tx_CrAcct,997)&amp;"","")</f>
        <v/>
      </c>
      <c r="L1003" s="95">
        <f>IF(H1003=1,INDEX(tx_CrAmt,997),0)</f>
        <v/>
      </c>
      <c r="M1003" s="95">
        <f>IF(H1003=1,INDEX(tx_TaxDr,997),0)</f>
        <v/>
      </c>
      <c r="N1003" s="95">
        <f>IF(H1003=1,INDEX(tx_TaxCr,997),0)</f>
        <v/>
      </c>
      <c r="O1003" s="101">
        <f>IF(H1003=1,IF(E1003&lt;FYStart,0,IF(E1003&gt;FYEnd,13,YEAR(E1003)*12+MONTH(E1003)-FYYM+1)),"")</f>
        <v/>
      </c>
      <c r="P1003" s="101">
        <f>IF(H1003=1,IF(IFERROR(INDEX(coa_CF,MATCH(I1003,coa_Name,0)),"")="Cash",1,0),0)</f>
        <v/>
      </c>
      <c r="Q1003" s="101">
        <f>IF(H1003=1,IF(IFERROR(INDEX(coa_CF,MATCH(K1003,coa_Name,0)),"")="Cash",1,0),0)</f>
        <v/>
      </c>
      <c r="R1003" s="58">
        <f>IF((P1003-Q1003)=0,"",IFERROR(INDEX(coa_CF,MATCH(IF((P1003-Q1003)=1,K1003,I1003),coa_Name,0)),"Operating"))</f>
        <v/>
      </c>
      <c r="S1003" s="95">
        <f>IF((P1003-Q1003)=1,L1003,IF((P1003-Q1003)=-1,-J1003,0))</f>
        <v/>
      </c>
      <c r="T1003" s="95">
        <f>IF((P1003-Q1003)=1,N1003,IF((P1003-Q1003)=-1,-M1003,0))</f>
        <v/>
      </c>
      <c r="U1003" s="101">
        <f>IF(AND(H1003=1,LedAcct&lt;&gt;""),IF(AND(E1003&gt;=LedFrom,E1003&lt;=LedTo,OR(I1003=LedAcct,K1003=LedAcct,AND(LedAcct=acctTax,M1003+N1003&lt;&gt;0))),E1003*10000+B1003,""),"")</f>
        <v/>
      </c>
    </row>
    <row r="1004">
      <c r="B1004" s="101" t="n">
        <v>998</v>
      </c>
      <c r="C1004" s="58" t="inlineStr">
        <is>
          <t>Transaction</t>
        </is>
      </c>
      <c r="D1004" s="58">
        <f>IF(H1004=1,INDEX(tx_ID,998)&amp;"","")</f>
        <v/>
      </c>
      <c r="E1004" s="94">
        <f>IF(H1004=1,INDEX(tx_Date,998),"")</f>
        <v/>
      </c>
      <c r="F1004" s="58">
        <f>IF(H1004=1,INDEX(tx_Desc,998)&amp;"","")</f>
        <v/>
      </c>
      <c r="G1004" s="58">
        <f>IF(H1004=1,IF(INDEX(tx_Cust,998)&amp;""&lt;&gt;"",INDEX(tx_Cust,998)&amp;"",INDEX(tx_Vend,998)&amp;""),"")</f>
        <v/>
      </c>
      <c r="H1004" s="101">
        <f>IFERROR(N(INDEX(tx_Posted,998)),0)</f>
        <v/>
      </c>
      <c r="I1004" s="58">
        <f>IF(H1004=1,INDEX(tx_DrAcct,998)&amp;"","")</f>
        <v/>
      </c>
      <c r="J1004" s="95">
        <f>IF(H1004=1,INDEX(tx_DrAmt,998),0)</f>
        <v/>
      </c>
      <c r="K1004" s="58">
        <f>IF(H1004=1,INDEX(tx_CrAcct,998)&amp;"","")</f>
        <v/>
      </c>
      <c r="L1004" s="95">
        <f>IF(H1004=1,INDEX(tx_CrAmt,998),0)</f>
        <v/>
      </c>
      <c r="M1004" s="95">
        <f>IF(H1004=1,INDEX(tx_TaxDr,998),0)</f>
        <v/>
      </c>
      <c r="N1004" s="95">
        <f>IF(H1004=1,INDEX(tx_TaxCr,998),0)</f>
        <v/>
      </c>
      <c r="O1004" s="101">
        <f>IF(H1004=1,IF(E1004&lt;FYStart,0,IF(E1004&gt;FYEnd,13,YEAR(E1004)*12+MONTH(E1004)-FYYM+1)),"")</f>
        <v/>
      </c>
      <c r="P1004" s="101">
        <f>IF(H1004=1,IF(IFERROR(INDEX(coa_CF,MATCH(I1004,coa_Name,0)),"")="Cash",1,0),0)</f>
        <v/>
      </c>
      <c r="Q1004" s="101">
        <f>IF(H1004=1,IF(IFERROR(INDEX(coa_CF,MATCH(K1004,coa_Name,0)),"")="Cash",1,0),0)</f>
        <v/>
      </c>
      <c r="R1004" s="58">
        <f>IF((P1004-Q1004)=0,"",IFERROR(INDEX(coa_CF,MATCH(IF((P1004-Q1004)=1,K1004,I1004),coa_Name,0)),"Operating"))</f>
        <v/>
      </c>
      <c r="S1004" s="95">
        <f>IF((P1004-Q1004)=1,L1004,IF((P1004-Q1004)=-1,-J1004,0))</f>
        <v/>
      </c>
      <c r="T1004" s="95">
        <f>IF((P1004-Q1004)=1,N1004,IF((P1004-Q1004)=-1,-M1004,0))</f>
        <v/>
      </c>
      <c r="U1004" s="101">
        <f>IF(AND(H1004=1,LedAcct&lt;&gt;""),IF(AND(E1004&gt;=LedFrom,E1004&lt;=LedTo,OR(I1004=LedAcct,K1004=LedAcct,AND(LedAcct=acctTax,M1004+N1004&lt;&gt;0))),E1004*10000+B1004,""),"")</f>
        <v/>
      </c>
    </row>
    <row r="1005">
      <c r="B1005" s="101" t="n">
        <v>999</v>
      </c>
      <c r="C1005" s="58" t="inlineStr">
        <is>
          <t>Transaction</t>
        </is>
      </c>
      <c r="D1005" s="58">
        <f>IF(H1005=1,INDEX(tx_ID,999)&amp;"","")</f>
        <v/>
      </c>
      <c r="E1005" s="94">
        <f>IF(H1005=1,INDEX(tx_Date,999),"")</f>
        <v/>
      </c>
      <c r="F1005" s="58">
        <f>IF(H1005=1,INDEX(tx_Desc,999)&amp;"","")</f>
        <v/>
      </c>
      <c r="G1005" s="58">
        <f>IF(H1005=1,IF(INDEX(tx_Cust,999)&amp;""&lt;&gt;"",INDEX(tx_Cust,999)&amp;"",INDEX(tx_Vend,999)&amp;""),"")</f>
        <v/>
      </c>
      <c r="H1005" s="101">
        <f>IFERROR(N(INDEX(tx_Posted,999)),0)</f>
        <v/>
      </c>
      <c r="I1005" s="58">
        <f>IF(H1005=1,INDEX(tx_DrAcct,999)&amp;"","")</f>
        <v/>
      </c>
      <c r="J1005" s="95">
        <f>IF(H1005=1,INDEX(tx_DrAmt,999),0)</f>
        <v/>
      </c>
      <c r="K1005" s="58">
        <f>IF(H1005=1,INDEX(tx_CrAcct,999)&amp;"","")</f>
        <v/>
      </c>
      <c r="L1005" s="95">
        <f>IF(H1005=1,INDEX(tx_CrAmt,999),0)</f>
        <v/>
      </c>
      <c r="M1005" s="95">
        <f>IF(H1005=1,INDEX(tx_TaxDr,999),0)</f>
        <v/>
      </c>
      <c r="N1005" s="95">
        <f>IF(H1005=1,INDEX(tx_TaxCr,999),0)</f>
        <v/>
      </c>
      <c r="O1005" s="101">
        <f>IF(H1005=1,IF(E1005&lt;FYStart,0,IF(E1005&gt;FYEnd,13,YEAR(E1005)*12+MONTH(E1005)-FYYM+1)),"")</f>
        <v/>
      </c>
      <c r="P1005" s="101">
        <f>IF(H1005=1,IF(IFERROR(INDEX(coa_CF,MATCH(I1005,coa_Name,0)),"")="Cash",1,0),0)</f>
        <v/>
      </c>
      <c r="Q1005" s="101">
        <f>IF(H1005=1,IF(IFERROR(INDEX(coa_CF,MATCH(K1005,coa_Name,0)),"")="Cash",1,0),0)</f>
        <v/>
      </c>
      <c r="R1005" s="58">
        <f>IF((P1005-Q1005)=0,"",IFERROR(INDEX(coa_CF,MATCH(IF((P1005-Q1005)=1,K1005,I1005),coa_Name,0)),"Operating"))</f>
        <v/>
      </c>
      <c r="S1005" s="95">
        <f>IF((P1005-Q1005)=1,L1005,IF((P1005-Q1005)=-1,-J1005,0))</f>
        <v/>
      </c>
      <c r="T1005" s="95">
        <f>IF((P1005-Q1005)=1,N1005,IF((P1005-Q1005)=-1,-M1005,0))</f>
        <v/>
      </c>
      <c r="U1005" s="101">
        <f>IF(AND(H1005=1,LedAcct&lt;&gt;""),IF(AND(E1005&gt;=LedFrom,E1005&lt;=LedTo,OR(I1005=LedAcct,K1005=LedAcct,AND(LedAcct=acctTax,M1005+N1005&lt;&gt;0))),E1005*10000+B1005,""),"")</f>
        <v/>
      </c>
    </row>
    <row r="1006">
      <c r="B1006" s="101" t="n">
        <v>1000</v>
      </c>
      <c r="C1006" s="58" t="inlineStr">
        <is>
          <t>Transaction</t>
        </is>
      </c>
      <c r="D1006" s="58">
        <f>IF(H1006=1,INDEX(tx_ID,1000)&amp;"","")</f>
        <v/>
      </c>
      <c r="E1006" s="94">
        <f>IF(H1006=1,INDEX(tx_Date,1000),"")</f>
        <v/>
      </c>
      <c r="F1006" s="58">
        <f>IF(H1006=1,INDEX(tx_Desc,1000)&amp;"","")</f>
        <v/>
      </c>
      <c r="G1006" s="58">
        <f>IF(H1006=1,IF(INDEX(tx_Cust,1000)&amp;""&lt;&gt;"",INDEX(tx_Cust,1000)&amp;"",INDEX(tx_Vend,1000)&amp;""),"")</f>
        <v/>
      </c>
      <c r="H1006" s="101">
        <f>IFERROR(N(INDEX(tx_Posted,1000)),0)</f>
        <v/>
      </c>
      <c r="I1006" s="58">
        <f>IF(H1006=1,INDEX(tx_DrAcct,1000)&amp;"","")</f>
        <v/>
      </c>
      <c r="J1006" s="95">
        <f>IF(H1006=1,INDEX(tx_DrAmt,1000),0)</f>
        <v/>
      </c>
      <c r="K1006" s="58">
        <f>IF(H1006=1,INDEX(tx_CrAcct,1000)&amp;"","")</f>
        <v/>
      </c>
      <c r="L1006" s="95">
        <f>IF(H1006=1,INDEX(tx_CrAmt,1000),0)</f>
        <v/>
      </c>
      <c r="M1006" s="95">
        <f>IF(H1006=1,INDEX(tx_TaxDr,1000),0)</f>
        <v/>
      </c>
      <c r="N1006" s="95">
        <f>IF(H1006=1,INDEX(tx_TaxCr,1000),0)</f>
        <v/>
      </c>
      <c r="O1006" s="101">
        <f>IF(H1006=1,IF(E1006&lt;FYStart,0,IF(E1006&gt;FYEnd,13,YEAR(E1006)*12+MONTH(E1006)-FYYM+1)),"")</f>
        <v/>
      </c>
      <c r="P1006" s="101">
        <f>IF(H1006=1,IF(IFERROR(INDEX(coa_CF,MATCH(I1006,coa_Name,0)),"")="Cash",1,0),0)</f>
        <v/>
      </c>
      <c r="Q1006" s="101">
        <f>IF(H1006=1,IF(IFERROR(INDEX(coa_CF,MATCH(K1006,coa_Name,0)),"")="Cash",1,0),0)</f>
        <v/>
      </c>
      <c r="R1006" s="58">
        <f>IF((P1006-Q1006)=0,"",IFERROR(INDEX(coa_CF,MATCH(IF((P1006-Q1006)=1,K1006,I1006),coa_Name,0)),"Operating"))</f>
        <v/>
      </c>
      <c r="S1006" s="95">
        <f>IF((P1006-Q1006)=1,L1006,IF((P1006-Q1006)=-1,-J1006,0))</f>
        <v/>
      </c>
      <c r="T1006" s="95">
        <f>IF((P1006-Q1006)=1,N1006,IF((P1006-Q1006)=-1,-M1006,0))</f>
        <v/>
      </c>
      <c r="U1006" s="101">
        <f>IF(AND(H1006=1,LedAcct&lt;&gt;""),IF(AND(E1006&gt;=LedFrom,E1006&lt;=LedTo,OR(I1006=LedAcct,K1006=LedAcct,AND(LedAcct=acctTax,M1006+N1006&lt;&gt;0))),E1006*10000+B1006,""),"")</f>
        <v/>
      </c>
    </row>
    <row r="1007">
      <c r="B1007" s="101" t="n">
        <v>1001</v>
      </c>
      <c r="C1007" s="58" t="inlineStr">
        <is>
          <t>Transaction</t>
        </is>
      </c>
      <c r="D1007" s="58">
        <f>IF(H1007=1,INDEX(tx_ID,1001)&amp;"","")</f>
        <v/>
      </c>
      <c r="E1007" s="94">
        <f>IF(H1007=1,INDEX(tx_Date,1001),"")</f>
        <v/>
      </c>
      <c r="F1007" s="58">
        <f>IF(H1007=1,INDEX(tx_Desc,1001)&amp;"","")</f>
        <v/>
      </c>
      <c r="G1007" s="58">
        <f>IF(H1007=1,IF(INDEX(tx_Cust,1001)&amp;""&lt;&gt;"",INDEX(tx_Cust,1001)&amp;"",INDEX(tx_Vend,1001)&amp;""),"")</f>
        <v/>
      </c>
      <c r="H1007" s="101">
        <f>IFERROR(N(INDEX(tx_Posted,1001)),0)</f>
        <v/>
      </c>
      <c r="I1007" s="58">
        <f>IF(H1007=1,INDEX(tx_DrAcct,1001)&amp;"","")</f>
        <v/>
      </c>
      <c r="J1007" s="95">
        <f>IF(H1007=1,INDEX(tx_DrAmt,1001),0)</f>
        <v/>
      </c>
      <c r="K1007" s="58">
        <f>IF(H1007=1,INDEX(tx_CrAcct,1001)&amp;"","")</f>
        <v/>
      </c>
      <c r="L1007" s="95">
        <f>IF(H1007=1,INDEX(tx_CrAmt,1001),0)</f>
        <v/>
      </c>
      <c r="M1007" s="95">
        <f>IF(H1007=1,INDEX(tx_TaxDr,1001),0)</f>
        <v/>
      </c>
      <c r="N1007" s="95">
        <f>IF(H1007=1,INDEX(tx_TaxCr,1001),0)</f>
        <v/>
      </c>
      <c r="O1007" s="101">
        <f>IF(H1007=1,IF(E1007&lt;FYStart,0,IF(E1007&gt;FYEnd,13,YEAR(E1007)*12+MONTH(E1007)-FYYM+1)),"")</f>
        <v/>
      </c>
      <c r="P1007" s="101">
        <f>IF(H1007=1,IF(IFERROR(INDEX(coa_CF,MATCH(I1007,coa_Name,0)),"")="Cash",1,0),0)</f>
        <v/>
      </c>
      <c r="Q1007" s="101">
        <f>IF(H1007=1,IF(IFERROR(INDEX(coa_CF,MATCH(K1007,coa_Name,0)),"")="Cash",1,0),0)</f>
        <v/>
      </c>
      <c r="R1007" s="58">
        <f>IF((P1007-Q1007)=0,"",IFERROR(INDEX(coa_CF,MATCH(IF((P1007-Q1007)=1,K1007,I1007),coa_Name,0)),"Operating"))</f>
        <v/>
      </c>
      <c r="S1007" s="95">
        <f>IF((P1007-Q1007)=1,L1007,IF((P1007-Q1007)=-1,-J1007,0))</f>
        <v/>
      </c>
      <c r="T1007" s="95">
        <f>IF((P1007-Q1007)=1,N1007,IF((P1007-Q1007)=-1,-M1007,0))</f>
        <v/>
      </c>
      <c r="U1007" s="101">
        <f>IF(AND(H1007=1,LedAcct&lt;&gt;""),IF(AND(E1007&gt;=LedFrom,E1007&lt;=LedTo,OR(I1007=LedAcct,K1007=LedAcct,AND(LedAcct=acctTax,M1007+N1007&lt;&gt;0))),E1007*10000+B1007,""),"")</f>
        <v/>
      </c>
    </row>
    <row r="1008">
      <c r="B1008" s="101" t="n">
        <v>1002</v>
      </c>
      <c r="C1008" s="58" t="inlineStr">
        <is>
          <t>Transaction</t>
        </is>
      </c>
      <c r="D1008" s="58">
        <f>IF(H1008=1,INDEX(tx_ID,1002)&amp;"","")</f>
        <v/>
      </c>
      <c r="E1008" s="94">
        <f>IF(H1008=1,INDEX(tx_Date,1002),"")</f>
        <v/>
      </c>
      <c r="F1008" s="58">
        <f>IF(H1008=1,INDEX(tx_Desc,1002)&amp;"","")</f>
        <v/>
      </c>
      <c r="G1008" s="58">
        <f>IF(H1008=1,IF(INDEX(tx_Cust,1002)&amp;""&lt;&gt;"",INDEX(tx_Cust,1002)&amp;"",INDEX(tx_Vend,1002)&amp;""),"")</f>
        <v/>
      </c>
      <c r="H1008" s="101">
        <f>IFERROR(N(INDEX(tx_Posted,1002)),0)</f>
        <v/>
      </c>
      <c r="I1008" s="58">
        <f>IF(H1008=1,INDEX(tx_DrAcct,1002)&amp;"","")</f>
        <v/>
      </c>
      <c r="J1008" s="95">
        <f>IF(H1008=1,INDEX(tx_DrAmt,1002),0)</f>
        <v/>
      </c>
      <c r="K1008" s="58">
        <f>IF(H1008=1,INDEX(tx_CrAcct,1002)&amp;"","")</f>
        <v/>
      </c>
      <c r="L1008" s="95">
        <f>IF(H1008=1,INDEX(tx_CrAmt,1002),0)</f>
        <v/>
      </c>
      <c r="M1008" s="95">
        <f>IF(H1008=1,INDEX(tx_TaxDr,1002),0)</f>
        <v/>
      </c>
      <c r="N1008" s="95">
        <f>IF(H1008=1,INDEX(tx_TaxCr,1002),0)</f>
        <v/>
      </c>
      <c r="O1008" s="101">
        <f>IF(H1008=1,IF(E1008&lt;FYStart,0,IF(E1008&gt;FYEnd,13,YEAR(E1008)*12+MONTH(E1008)-FYYM+1)),"")</f>
        <v/>
      </c>
      <c r="P1008" s="101">
        <f>IF(H1008=1,IF(IFERROR(INDEX(coa_CF,MATCH(I1008,coa_Name,0)),"")="Cash",1,0),0)</f>
        <v/>
      </c>
      <c r="Q1008" s="101">
        <f>IF(H1008=1,IF(IFERROR(INDEX(coa_CF,MATCH(K1008,coa_Name,0)),"")="Cash",1,0),0)</f>
        <v/>
      </c>
      <c r="R1008" s="58">
        <f>IF((P1008-Q1008)=0,"",IFERROR(INDEX(coa_CF,MATCH(IF((P1008-Q1008)=1,K1008,I1008),coa_Name,0)),"Operating"))</f>
        <v/>
      </c>
      <c r="S1008" s="95">
        <f>IF((P1008-Q1008)=1,L1008,IF((P1008-Q1008)=-1,-J1008,0))</f>
        <v/>
      </c>
      <c r="T1008" s="95">
        <f>IF((P1008-Q1008)=1,N1008,IF((P1008-Q1008)=-1,-M1008,0))</f>
        <v/>
      </c>
      <c r="U1008" s="101">
        <f>IF(AND(H1008=1,LedAcct&lt;&gt;""),IF(AND(E1008&gt;=LedFrom,E1008&lt;=LedTo,OR(I1008=LedAcct,K1008=LedAcct,AND(LedAcct=acctTax,M1008+N1008&lt;&gt;0))),E1008*10000+B1008,""),"")</f>
        <v/>
      </c>
    </row>
    <row r="1009">
      <c r="B1009" s="101" t="n">
        <v>1003</v>
      </c>
      <c r="C1009" s="58" t="inlineStr">
        <is>
          <t>Transaction</t>
        </is>
      </c>
      <c r="D1009" s="58">
        <f>IF(H1009=1,INDEX(tx_ID,1003)&amp;"","")</f>
        <v/>
      </c>
      <c r="E1009" s="94">
        <f>IF(H1009=1,INDEX(tx_Date,1003),"")</f>
        <v/>
      </c>
      <c r="F1009" s="58">
        <f>IF(H1009=1,INDEX(tx_Desc,1003)&amp;"","")</f>
        <v/>
      </c>
      <c r="G1009" s="58">
        <f>IF(H1009=1,IF(INDEX(tx_Cust,1003)&amp;""&lt;&gt;"",INDEX(tx_Cust,1003)&amp;"",INDEX(tx_Vend,1003)&amp;""),"")</f>
        <v/>
      </c>
      <c r="H1009" s="101">
        <f>IFERROR(N(INDEX(tx_Posted,1003)),0)</f>
        <v/>
      </c>
      <c r="I1009" s="58">
        <f>IF(H1009=1,INDEX(tx_DrAcct,1003)&amp;"","")</f>
        <v/>
      </c>
      <c r="J1009" s="95">
        <f>IF(H1009=1,INDEX(tx_DrAmt,1003),0)</f>
        <v/>
      </c>
      <c r="K1009" s="58">
        <f>IF(H1009=1,INDEX(tx_CrAcct,1003)&amp;"","")</f>
        <v/>
      </c>
      <c r="L1009" s="95">
        <f>IF(H1009=1,INDEX(tx_CrAmt,1003),0)</f>
        <v/>
      </c>
      <c r="M1009" s="95">
        <f>IF(H1009=1,INDEX(tx_TaxDr,1003),0)</f>
        <v/>
      </c>
      <c r="N1009" s="95">
        <f>IF(H1009=1,INDEX(tx_TaxCr,1003),0)</f>
        <v/>
      </c>
      <c r="O1009" s="101">
        <f>IF(H1009=1,IF(E1009&lt;FYStart,0,IF(E1009&gt;FYEnd,13,YEAR(E1009)*12+MONTH(E1009)-FYYM+1)),"")</f>
        <v/>
      </c>
      <c r="P1009" s="101">
        <f>IF(H1009=1,IF(IFERROR(INDEX(coa_CF,MATCH(I1009,coa_Name,0)),"")="Cash",1,0),0)</f>
        <v/>
      </c>
      <c r="Q1009" s="101">
        <f>IF(H1009=1,IF(IFERROR(INDEX(coa_CF,MATCH(K1009,coa_Name,0)),"")="Cash",1,0),0)</f>
        <v/>
      </c>
      <c r="R1009" s="58">
        <f>IF((P1009-Q1009)=0,"",IFERROR(INDEX(coa_CF,MATCH(IF((P1009-Q1009)=1,K1009,I1009),coa_Name,0)),"Operating"))</f>
        <v/>
      </c>
      <c r="S1009" s="95">
        <f>IF((P1009-Q1009)=1,L1009,IF((P1009-Q1009)=-1,-J1009,0))</f>
        <v/>
      </c>
      <c r="T1009" s="95">
        <f>IF((P1009-Q1009)=1,N1009,IF((P1009-Q1009)=-1,-M1009,0))</f>
        <v/>
      </c>
      <c r="U1009" s="101">
        <f>IF(AND(H1009=1,LedAcct&lt;&gt;""),IF(AND(E1009&gt;=LedFrom,E1009&lt;=LedTo,OR(I1009=LedAcct,K1009=LedAcct,AND(LedAcct=acctTax,M1009+N1009&lt;&gt;0))),E1009*10000+B1009,""),"")</f>
        <v/>
      </c>
    </row>
    <row r="1010">
      <c r="B1010" s="101" t="n">
        <v>1004</v>
      </c>
      <c r="C1010" s="58" t="inlineStr">
        <is>
          <t>Transaction</t>
        </is>
      </c>
      <c r="D1010" s="58">
        <f>IF(H1010=1,INDEX(tx_ID,1004)&amp;"","")</f>
        <v/>
      </c>
      <c r="E1010" s="94">
        <f>IF(H1010=1,INDEX(tx_Date,1004),"")</f>
        <v/>
      </c>
      <c r="F1010" s="58">
        <f>IF(H1010=1,INDEX(tx_Desc,1004)&amp;"","")</f>
        <v/>
      </c>
      <c r="G1010" s="58">
        <f>IF(H1010=1,IF(INDEX(tx_Cust,1004)&amp;""&lt;&gt;"",INDEX(tx_Cust,1004)&amp;"",INDEX(tx_Vend,1004)&amp;""),"")</f>
        <v/>
      </c>
      <c r="H1010" s="101">
        <f>IFERROR(N(INDEX(tx_Posted,1004)),0)</f>
        <v/>
      </c>
      <c r="I1010" s="58">
        <f>IF(H1010=1,INDEX(tx_DrAcct,1004)&amp;"","")</f>
        <v/>
      </c>
      <c r="J1010" s="95">
        <f>IF(H1010=1,INDEX(tx_DrAmt,1004),0)</f>
        <v/>
      </c>
      <c r="K1010" s="58">
        <f>IF(H1010=1,INDEX(tx_CrAcct,1004)&amp;"","")</f>
        <v/>
      </c>
      <c r="L1010" s="95">
        <f>IF(H1010=1,INDEX(tx_CrAmt,1004),0)</f>
        <v/>
      </c>
      <c r="M1010" s="95">
        <f>IF(H1010=1,INDEX(tx_TaxDr,1004),0)</f>
        <v/>
      </c>
      <c r="N1010" s="95">
        <f>IF(H1010=1,INDEX(tx_TaxCr,1004),0)</f>
        <v/>
      </c>
      <c r="O1010" s="101">
        <f>IF(H1010=1,IF(E1010&lt;FYStart,0,IF(E1010&gt;FYEnd,13,YEAR(E1010)*12+MONTH(E1010)-FYYM+1)),"")</f>
        <v/>
      </c>
      <c r="P1010" s="101">
        <f>IF(H1010=1,IF(IFERROR(INDEX(coa_CF,MATCH(I1010,coa_Name,0)),"")="Cash",1,0),0)</f>
        <v/>
      </c>
      <c r="Q1010" s="101">
        <f>IF(H1010=1,IF(IFERROR(INDEX(coa_CF,MATCH(K1010,coa_Name,0)),"")="Cash",1,0),0)</f>
        <v/>
      </c>
      <c r="R1010" s="58">
        <f>IF((P1010-Q1010)=0,"",IFERROR(INDEX(coa_CF,MATCH(IF((P1010-Q1010)=1,K1010,I1010),coa_Name,0)),"Operating"))</f>
        <v/>
      </c>
      <c r="S1010" s="95">
        <f>IF((P1010-Q1010)=1,L1010,IF((P1010-Q1010)=-1,-J1010,0))</f>
        <v/>
      </c>
      <c r="T1010" s="95">
        <f>IF((P1010-Q1010)=1,N1010,IF((P1010-Q1010)=-1,-M1010,0))</f>
        <v/>
      </c>
      <c r="U1010" s="101">
        <f>IF(AND(H1010=1,LedAcct&lt;&gt;""),IF(AND(E1010&gt;=LedFrom,E1010&lt;=LedTo,OR(I1010=LedAcct,K1010=LedAcct,AND(LedAcct=acctTax,M1010+N1010&lt;&gt;0))),E1010*10000+B1010,""),"")</f>
        <v/>
      </c>
    </row>
    <row r="1011">
      <c r="B1011" s="101" t="n">
        <v>1005</v>
      </c>
      <c r="C1011" s="58" t="inlineStr">
        <is>
          <t>Transaction</t>
        </is>
      </c>
      <c r="D1011" s="58">
        <f>IF(H1011=1,INDEX(tx_ID,1005)&amp;"","")</f>
        <v/>
      </c>
      <c r="E1011" s="94">
        <f>IF(H1011=1,INDEX(tx_Date,1005),"")</f>
        <v/>
      </c>
      <c r="F1011" s="58">
        <f>IF(H1011=1,INDEX(tx_Desc,1005)&amp;"","")</f>
        <v/>
      </c>
      <c r="G1011" s="58">
        <f>IF(H1011=1,IF(INDEX(tx_Cust,1005)&amp;""&lt;&gt;"",INDEX(tx_Cust,1005)&amp;"",INDEX(tx_Vend,1005)&amp;""),"")</f>
        <v/>
      </c>
      <c r="H1011" s="101">
        <f>IFERROR(N(INDEX(tx_Posted,1005)),0)</f>
        <v/>
      </c>
      <c r="I1011" s="58">
        <f>IF(H1011=1,INDEX(tx_DrAcct,1005)&amp;"","")</f>
        <v/>
      </c>
      <c r="J1011" s="95">
        <f>IF(H1011=1,INDEX(tx_DrAmt,1005),0)</f>
        <v/>
      </c>
      <c r="K1011" s="58">
        <f>IF(H1011=1,INDEX(tx_CrAcct,1005)&amp;"","")</f>
        <v/>
      </c>
      <c r="L1011" s="95">
        <f>IF(H1011=1,INDEX(tx_CrAmt,1005),0)</f>
        <v/>
      </c>
      <c r="M1011" s="95">
        <f>IF(H1011=1,INDEX(tx_TaxDr,1005),0)</f>
        <v/>
      </c>
      <c r="N1011" s="95">
        <f>IF(H1011=1,INDEX(tx_TaxCr,1005),0)</f>
        <v/>
      </c>
      <c r="O1011" s="101">
        <f>IF(H1011=1,IF(E1011&lt;FYStart,0,IF(E1011&gt;FYEnd,13,YEAR(E1011)*12+MONTH(E1011)-FYYM+1)),"")</f>
        <v/>
      </c>
      <c r="P1011" s="101">
        <f>IF(H1011=1,IF(IFERROR(INDEX(coa_CF,MATCH(I1011,coa_Name,0)),"")="Cash",1,0),0)</f>
        <v/>
      </c>
      <c r="Q1011" s="101">
        <f>IF(H1011=1,IF(IFERROR(INDEX(coa_CF,MATCH(K1011,coa_Name,0)),"")="Cash",1,0),0)</f>
        <v/>
      </c>
      <c r="R1011" s="58">
        <f>IF((P1011-Q1011)=0,"",IFERROR(INDEX(coa_CF,MATCH(IF((P1011-Q1011)=1,K1011,I1011),coa_Name,0)),"Operating"))</f>
        <v/>
      </c>
      <c r="S1011" s="95">
        <f>IF((P1011-Q1011)=1,L1011,IF((P1011-Q1011)=-1,-J1011,0))</f>
        <v/>
      </c>
      <c r="T1011" s="95">
        <f>IF((P1011-Q1011)=1,N1011,IF((P1011-Q1011)=-1,-M1011,0))</f>
        <v/>
      </c>
      <c r="U1011" s="101">
        <f>IF(AND(H1011=1,LedAcct&lt;&gt;""),IF(AND(E1011&gt;=LedFrom,E1011&lt;=LedTo,OR(I1011=LedAcct,K1011=LedAcct,AND(LedAcct=acctTax,M1011+N1011&lt;&gt;0))),E1011*10000+B1011,""),"")</f>
        <v/>
      </c>
    </row>
    <row r="1012">
      <c r="B1012" s="101" t="n">
        <v>1006</v>
      </c>
      <c r="C1012" s="58" t="inlineStr">
        <is>
          <t>Transaction</t>
        </is>
      </c>
      <c r="D1012" s="58">
        <f>IF(H1012=1,INDEX(tx_ID,1006)&amp;"","")</f>
        <v/>
      </c>
      <c r="E1012" s="94">
        <f>IF(H1012=1,INDEX(tx_Date,1006),"")</f>
        <v/>
      </c>
      <c r="F1012" s="58">
        <f>IF(H1012=1,INDEX(tx_Desc,1006)&amp;"","")</f>
        <v/>
      </c>
      <c r="G1012" s="58">
        <f>IF(H1012=1,IF(INDEX(tx_Cust,1006)&amp;""&lt;&gt;"",INDEX(tx_Cust,1006)&amp;"",INDEX(tx_Vend,1006)&amp;""),"")</f>
        <v/>
      </c>
      <c r="H1012" s="101">
        <f>IFERROR(N(INDEX(tx_Posted,1006)),0)</f>
        <v/>
      </c>
      <c r="I1012" s="58">
        <f>IF(H1012=1,INDEX(tx_DrAcct,1006)&amp;"","")</f>
        <v/>
      </c>
      <c r="J1012" s="95">
        <f>IF(H1012=1,INDEX(tx_DrAmt,1006),0)</f>
        <v/>
      </c>
      <c r="K1012" s="58">
        <f>IF(H1012=1,INDEX(tx_CrAcct,1006)&amp;"","")</f>
        <v/>
      </c>
      <c r="L1012" s="95">
        <f>IF(H1012=1,INDEX(tx_CrAmt,1006),0)</f>
        <v/>
      </c>
      <c r="M1012" s="95">
        <f>IF(H1012=1,INDEX(tx_TaxDr,1006),0)</f>
        <v/>
      </c>
      <c r="N1012" s="95">
        <f>IF(H1012=1,INDEX(tx_TaxCr,1006),0)</f>
        <v/>
      </c>
      <c r="O1012" s="101">
        <f>IF(H1012=1,IF(E1012&lt;FYStart,0,IF(E1012&gt;FYEnd,13,YEAR(E1012)*12+MONTH(E1012)-FYYM+1)),"")</f>
        <v/>
      </c>
      <c r="P1012" s="101">
        <f>IF(H1012=1,IF(IFERROR(INDEX(coa_CF,MATCH(I1012,coa_Name,0)),"")="Cash",1,0),0)</f>
        <v/>
      </c>
      <c r="Q1012" s="101">
        <f>IF(H1012=1,IF(IFERROR(INDEX(coa_CF,MATCH(K1012,coa_Name,0)),"")="Cash",1,0),0)</f>
        <v/>
      </c>
      <c r="R1012" s="58">
        <f>IF((P1012-Q1012)=0,"",IFERROR(INDEX(coa_CF,MATCH(IF((P1012-Q1012)=1,K1012,I1012),coa_Name,0)),"Operating"))</f>
        <v/>
      </c>
      <c r="S1012" s="95">
        <f>IF((P1012-Q1012)=1,L1012,IF((P1012-Q1012)=-1,-J1012,0))</f>
        <v/>
      </c>
      <c r="T1012" s="95">
        <f>IF((P1012-Q1012)=1,N1012,IF((P1012-Q1012)=-1,-M1012,0))</f>
        <v/>
      </c>
      <c r="U1012" s="101">
        <f>IF(AND(H1012=1,LedAcct&lt;&gt;""),IF(AND(E1012&gt;=LedFrom,E1012&lt;=LedTo,OR(I1012=LedAcct,K1012=LedAcct,AND(LedAcct=acctTax,M1012+N1012&lt;&gt;0))),E1012*10000+B1012,""),"")</f>
        <v/>
      </c>
    </row>
    <row r="1013">
      <c r="B1013" s="101" t="n">
        <v>1007</v>
      </c>
      <c r="C1013" s="58" t="inlineStr">
        <is>
          <t>Transaction</t>
        </is>
      </c>
      <c r="D1013" s="58">
        <f>IF(H1013=1,INDEX(tx_ID,1007)&amp;"","")</f>
        <v/>
      </c>
      <c r="E1013" s="94">
        <f>IF(H1013=1,INDEX(tx_Date,1007),"")</f>
        <v/>
      </c>
      <c r="F1013" s="58">
        <f>IF(H1013=1,INDEX(tx_Desc,1007)&amp;"","")</f>
        <v/>
      </c>
      <c r="G1013" s="58">
        <f>IF(H1013=1,IF(INDEX(tx_Cust,1007)&amp;""&lt;&gt;"",INDEX(tx_Cust,1007)&amp;"",INDEX(tx_Vend,1007)&amp;""),"")</f>
        <v/>
      </c>
      <c r="H1013" s="101">
        <f>IFERROR(N(INDEX(tx_Posted,1007)),0)</f>
        <v/>
      </c>
      <c r="I1013" s="58">
        <f>IF(H1013=1,INDEX(tx_DrAcct,1007)&amp;"","")</f>
        <v/>
      </c>
      <c r="J1013" s="95">
        <f>IF(H1013=1,INDEX(tx_DrAmt,1007),0)</f>
        <v/>
      </c>
      <c r="K1013" s="58">
        <f>IF(H1013=1,INDEX(tx_CrAcct,1007)&amp;"","")</f>
        <v/>
      </c>
      <c r="L1013" s="95">
        <f>IF(H1013=1,INDEX(tx_CrAmt,1007),0)</f>
        <v/>
      </c>
      <c r="M1013" s="95">
        <f>IF(H1013=1,INDEX(tx_TaxDr,1007),0)</f>
        <v/>
      </c>
      <c r="N1013" s="95">
        <f>IF(H1013=1,INDEX(tx_TaxCr,1007),0)</f>
        <v/>
      </c>
      <c r="O1013" s="101">
        <f>IF(H1013=1,IF(E1013&lt;FYStart,0,IF(E1013&gt;FYEnd,13,YEAR(E1013)*12+MONTH(E1013)-FYYM+1)),"")</f>
        <v/>
      </c>
      <c r="P1013" s="101">
        <f>IF(H1013=1,IF(IFERROR(INDEX(coa_CF,MATCH(I1013,coa_Name,0)),"")="Cash",1,0),0)</f>
        <v/>
      </c>
      <c r="Q1013" s="101">
        <f>IF(H1013=1,IF(IFERROR(INDEX(coa_CF,MATCH(K1013,coa_Name,0)),"")="Cash",1,0),0)</f>
        <v/>
      </c>
      <c r="R1013" s="58">
        <f>IF((P1013-Q1013)=0,"",IFERROR(INDEX(coa_CF,MATCH(IF((P1013-Q1013)=1,K1013,I1013),coa_Name,0)),"Operating"))</f>
        <v/>
      </c>
      <c r="S1013" s="95">
        <f>IF((P1013-Q1013)=1,L1013,IF((P1013-Q1013)=-1,-J1013,0))</f>
        <v/>
      </c>
      <c r="T1013" s="95">
        <f>IF((P1013-Q1013)=1,N1013,IF((P1013-Q1013)=-1,-M1013,0))</f>
        <v/>
      </c>
      <c r="U1013" s="101">
        <f>IF(AND(H1013=1,LedAcct&lt;&gt;""),IF(AND(E1013&gt;=LedFrom,E1013&lt;=LedTo,OR(I1013=LedAcct,K1013=LedAcct,AND(LedAcct=acctTax,M1013+N1013&lt;&gt;0))),E1013*10000+B1013,""),"")</f>
        <v/>
      </c>
    </row>
    <row r="1014">
      <c r="B1014" s="101" t="n">
        <v>1008</v>
      </c>
      <c r="C1014" s="58" t="inlineStr">
        <is>
          <t>Transaction</t>
        </is>
      </c>
      <c r="D1014" s="58">
        <f>IF(H1014=1,INDEX(tx_ID,1008)&amp;"","")</f>
        <v/>
      </c>
      <c r="E1014" s="94">
        <f>IF(H1014=1,INDEX(tx_Date,1008),"")</f>
        <v/>
      </c>
      <c r="F1014" s="58">
        <f>IF(H1014=1,INDEX(tx_Desc,1008)&amp;"","")</f>
        <v/>
      </c>
      <c r="G1014" s="58">
        <f>IF(H1014=1,IF(INDEX(tx_Cust,1008)&amp;""&lt;&gt;"",INDEX(tx_Cust,1008)&amp;"",INDEX(tx_Vend,1008)&amp;""),"")</f>
        <v/>
      </c>
      <c r="H1014" s="101">
        <f>IFERROR(N(INDEX(tx_Posted,1008)),0)</f>
        <v/>
      </c>
      <c r="I1014" s="58">
        <f>IF(H1014=1,INDEX(tx_DrAcct,1008)&amp;"","")</f>
        <v/>
      </c>
      <c r="J1014" s="95">
        <f>IF(H1014=1,INDEX(tx_DrAmt,1008),0)</f>
        <v/>
      </c>
      <c r="K1014" s="58">
        <f>IF(H1014=1,INDEX(tx_CrAcct,1008)&amp;"","")</f>
        <v/>
      </c>
      <c r="L1014" s="95">
        <f>IF(H1014=1,INDEX(tx_CrAmt,1008),0)</f>
        <v/>
      </c>
      <c r="M1014" s="95">
        <f>IF(H1014=1,INDEX(tx_TaxDr,1008),0)</f>
        <v/>
      </c>
      <c r="N1014" s="95">
        <f>IF(H1014=1,INDEX(tx_TaxCr,1008),0)</f>
        <v/>
      </c>
      <c r="O1014" s="101">
        <f>IF(H1014=1,IF(E1014&lt;FYStart,0,IF(E1014&gt;FYEnd,13,YEAR(E1014)*12+MONTH(E1014)-FYYM+1)),"")</f>
        <v/>
      </c>
      <c r="P1014" s="101">
        <f>IF(H1014=1,IF(IFERROR(INDEX(coa_CF,MATCH(I1014,coa_Name,0)),"")="Cash",1,0),0)</f>
        <v/>
      </c>
      <c r="Q1014" s="101">
        <f>IF(H1014=1,IF(IFERROR(INDEX(coa_CF,MATCH(K1014,coa_Name,0)),"")="Cash",1,0),0)</f>
        <v/>
      </c>
      <c r="R1014" s="58">
        <f>IF((P1014-Q1014)=0,"",IFERROR(INDEX(coa_CF,MATCH(IF((P1014-Q1014)=1,K1014,I1014),coa_Name,0)),"Operating"))</f>
        <v/>
      </c>
      <c r="S1014" s="95">
        <f>IF((P1014-Q1014)=1,L1014,IF((P1014-Q1014)=-1,-J1014,0))</f>
        <v/>
      </c>
      <c r="T1014" s="95">
        <f>IF((P1014-Q1014)=1,N1014,IF((P1014-Q1014)=-1,-M1014,0))</f>
        <v/>
      </c>
      <c r="U1014" s="101">
        <f>IF(AND(H1014=1,LedAcct&lt;&gt;""),IF(AND(E1014&gt;=LedFrom,E1014&lt;=LedTo,OR(I1014=LedAcct,K1014=LedAcct,AND(LedAcct=acctTax,M1014+N1014&lt;&gt;0))),E1014*10000+B1014,""),"")</f>
        <v/>
      </c>
    </row>
    <row r="1015">
      <c r="B1015" s="101" t="n">
        <v>1009</v>
      </c>
      <c r="C1015" s="58" t="inlineStr">
        <is>
          <t>Transaction</t>
        </is>
      </c>
      <c r="D1015" s="58">
        <f>IF(H1015=1,INDEX(tx_ID,1009)&amp;"","")</f>
        <v/>
      </c>
      <c r="E1015" s="94">
        <f>IF(H1015=1,INDEX(tx_Date,1009),"")</f>
        <v/>
      </c>
      <c r="F1015" s="58">
        <f>IF(H1015=1,INDEX(tx_Desc,1009)&amp;"","")</f>
        <v/>
      </c>
      <c r="G1015" s="58">
        <f>IF(H1015=1,IF(INDEX(tx_Cust,1009)&amp;""&lt;&gt;"",INDEX(tx_Cust,1009)&amp;"",INDEX(tx_Vend,1009)&amp;""),"")</f>
        <v/>
      </c>
      <c r="H1015" s="101">
        <f>IFERROR(N(INDEX(tx_Posted,1009)),0)</f>
        <v/>
      </c>
      <c r="I1015" s="58">
        <f>IF(H1015=1,INDEX(tx_DrAcct,1009)&amp;"","")</f>
        <v/>
      </c>
      <c r="J1015" s="95">
        <f>IF(H1015=1,INDEX(tx_DrAmt,1009),0)</f>
        <v/>
      </c>
      <c r="K1015" s="58">
        <f>IF(H1015=1,INDEX(tx_CrAcct,1009)&amp;"","")</f>
        <v/>
      </c>
      <c r="L1015" s="95">
        <f>IF(H1015=1,INDEX(tx_CrAmt,1009),0)</f>
        <v/>
      </c>
      <c r="M1015" s="95">
        <f>IF(H1015=1,INDEX(tx_TaxDr,1009),0)</f>
        <v/>
      </c>
      <c r="N1015" s="95">
        <f>IF(H1015=1,INDEX(tx_TaxCr,1009),0)</f>
        <v/>
      </c>
      <c r="O1015" s="101">
        <f>IF(H1015=1,IF(E1015&lt;FYStart,0,IF(E1015&gt;FYEnd,13,YEAR(E1015)*12+MONTH(E1015)-FYYM+1)),"")</f>
        <v/>
      </c>
      <c r="P1015" s="101">
        <f>IF(H1015=1,IF(IFERROR(INDEX(coa_CF,MATCH(I1015,coa_Name,0)),"")="Cash",1,0),0)</f>
        <v/>
      </c>
      <c r="Q1015" s="101">
        <f>IF(H1015=1,IF(IFERROR(INDEX(coa_CF,MATCH(K1015,coa_Name,0)),"")="Cash",1,0),0)</f>
        <v/>
      </c>
      <c r="R1015" s="58">
        <f>IF((P1015-Q1015)=0,"",IFERROR(INDEX(coa_CF,MATCH(IF((P1015-Q1015)=1,K1015,I1015),coa_Name,0)),"Operating"))</f>
        <v/>
      </c>
      <c r="S1015" s="95">
        <f>IF((P1015-Q1015)=1,L1015,IF((P1015-Q1015)=-1,-J1015,0))</f>
        <v/>
      </c>
      <c r="T1015" s="95">
        <f>IF((P1015-Q1015)=1,N1015,IF((P1015-Q1015)=-1,-M1015,0))</f>
        <v/>
      </c>
      <c r="U1015" s="101">
        <f>IF(AND(H1015=1,LedAcct&lt;&gt;""),IF(AND(E1015&gt;=LedFrom,E1015&lt;=LedTo,OR(I1015=LedAcct,K1015=LedAcct,AND(LedAcct=acctTax,M1015+N1015&lt;&gt;0))),E1015*10000+B1015,""),"")</f>
        <v/>
      </c>
    </row>
    <row r="1016">
      <c r="B1016" s="101" t="n">
        <v>1010</v>
      </c>
      <c r="C1016" s="58" t="inlineStr">
        <is>
          <t>Transaction</t>
        </is>
      </c>
      <c r="D1016" s="58">
        <f>IF(H1016=1,INDEX(tx_ID,1010)&amp;"","")</f>
        <v/>
      </c>
      <c r="E1016" s="94">
        <f>IF(H1016=1,INDEX(tx_Date,1010),"")</f>
        <v/>
      </c>
      <c r="F1016" s="58">
        <f>IF(H1016=1,INDEX(tx_Desc,1010)&amp;"","")</f>
        <v/>
      </c>
      <c r="G1016" s="58">
        <f>IF(H1016=1,IF(INDEX(tx_Cust,1010)&amp;""&lt;&gt;"",INDEX(tx_Cust,1010)&amp;"",INDEX(tx_Vend,1010)&amp;""),"")</f>
        <v/>
      </c>
      <c r="H1016" s="101">
        <f>IFERROR(N(INDEX(tx_Posted,1010)),0)</f>
        <v/>
      </c>
      <c r="I1016" s="58">
        <f>IF(H1016=1,INDEX(tx_DrAcct,1010)&amp;"","")</f>
        <v/>
      </c>
      <c r="J1016" s="95">
        <f>IF(H1016=1,INDEX(tx_DrAmt,1010),0)</f>
        <v/>
      </c>
      <c r="K1016" s="58">
        <f>IF(H1016=1,INDEX(tx_CrAcct,1010)&amp;"","")</f>
        <v/>
      </c>
      <c r="L1016" s="95">
        <f>IF(H1016=1,INDEX(tx_CrAmt,1010),0)</f>
        <v/>
      </c>
      <c r="M1016" s="95">
        <f>IF(H1016=1,INDEX(tx_TaxDr,1010),0)</f>
        <v/>
      </c>
      <c r="N1016" s="95">
        <f>IF(H1016=1,INDEX(tx_TaxCr,1010),0)</f>
        <v/>
      </c>
      <c r="O1016" s="101">
        <f>IF(H1016=1,IF(E1016&lt;FYStart,0,IF(E1016&gt;FYEnd,13,YEAR(E1016)*12+MONTH(E1016)-FYYM+1)),"")</f>
        <v/>
      </c>
      <c r="P1016" s="101">
        <f>IF(H1016=1,IF(IFERROR(INDEX(coa_CF,MATCH(I1016,coa_Name,0)),"")="Cash",1,0),0)</f>
        <v/>
      </c>
      <c r="Q1016" s="101">
        <f>IF(H1016=1,IF(IFERROR(INDEX(coa_CF,MATCH(K1016,coa_Name,0)),"")="Cash",1,0),0)</f>
        <v/>
      </c>
      <c r="R1016" s="58">
        <f>IF((P1016-Q1016)=0,"",IFERROR(INDEX(coa_CF,MATCH(IF((P1016-Q1016)=1,K1016,I1016),coa_Name,0)),"Operating"))</f>
        <v/>
      </c>
      <c r="S1016" s="95">
        <f>IF((P1016-Q1016)=1,L1016,IF((P1016-Q1016)=-1,-J1016,0))</f>
        <v/>
      </c>
      <c r="T1016" s="95">
        <f>IF((P1016-Q1016)=1,N1016,IF((P1016-Q1016)=-1,-M1016,0))</f>
        <v/>
      </c>
      <c r="U1016" s="101">
        <f>IF(AND(H1016=1,LedAcct&lt;&gt;""),IF(AND(E1016&gt;=LedFrom,E1016&lt;=LedTo,OR(I1016=LedAcct,K1016=LedAcct,AND(LedAcct=acctTax,M1016+N1016&lt;&gt;0))),E1016*10000+B1016,""),"")</f>
        <v/>
      </c>
    </row>
    <row r="1017">
      <c r="B1017" s="101" t="n">
        <v>1011</v>
      </c>
      <c r="C1017" s="58" t="inlineStr">
        <is>
          <t>Transaction</t>
        </is>
      </c>
      <c r="D1017" s="58">
        <f>IF(H1017=1,INDEX(tx_ID,1011)&amp;"","")</f>
        <v/>
      </c>
      <c r="E1017" s="94">
        <f>IF(H1017=1,INDEX(tx_Date,1011),"")</f>
        <v/>
      </c>
      <c r="F1017" s="58">
        <f>IF(H1017=1,INDEX(tx_Desc,1011)&amp;"","")</f>
        <v/>
      </c>
      <c r="G1017" s="58">
        <f>IF(H1017=1,IF(INDEX(tx_Cust,1011)&amp;""&lt;&gt;"",INDEX(tx_Cust,1011)&amp;"",INDEX(tx_Vend,1011)&amp;""),"")</f>
        <v/>
      </c>
      <c r="H1017" s="101">
        <f>IFERROR(N(INDEX(tx_Posted,1011)),0)</f>
        <v/>
      </c>
      <c r="I1017" s="58">
        <f>IF(H1017=1,INDEX(tx_DrAcct,1011)&amp;"","")</f>
        <v/>
      </c>
      <c r="J1017" s="95">
        <f>IF(H1017=1,INDEX(tx_DrAmt,1011),0)</f>
        <v/>
      </c>
      <c r="K1017" s="58">
        <f>IF(H1017=1,INDEX(tx_CrAcct,1011)&amp;"","")</f>
        <v/>
      </c>
      <c r="L1017" s="95">
        <f>IF(H1017=1,INDEX(tx_CrAmt,1011),0)</f>
        <v/>
      </c>
      <c r="M1017" s="95">
        <f>IF(H1017=1,INDEX(tx_TaxDr,1011),0)</f>
        <v/>
      </c>
      <c r="N1017" s="95">
        <f>IF(H1017=1,INDEX(tx_TaxCr,1011),0)</f>
        <v/>
      </c>
      <c r="O1017" s="101">
        <f>IF(H1017=1,IF(E1017&lt;FYStart,0,IF(E1017&gt;FYEnd,13,YEAR(E1017)*12+MONTH(E1017)-FYYM+1)),"")</f>
        <v/>
      </c>
      <c r="P1017" s="101">
        <f>IF(H1017=1,IF(IFERROR(INDEX(coa_CF,MATCH(I1017,coa_Name,0)),"")="Cash",1,0),0)</f>
        <v/>
      </c>
      <c r="Q1017" s="101">
        <f>IF(H1017=1,IF(IFERROR(INDEX(coa_CF,MATCH(K1017,coa_Name,0)),"")="Cash",1,0),0)</f>
        <v/>
      </c>
      <c r="R1017" s="58">
        <f>IF((P1017-Q1017)=0,"",IFERROR(INDEX(coa_CF,MATCH(IF((P1017-Q1017)=1,K1017,I1017),coa_Name,0)),"Operating"))</f>
        <v/>
      </c>
      <c r="S1017" s="95">
        <f>IF((P1017-Q1017)=1,L1017,IF((P1017-Q1017)=-1,-J1017,0))</f>
        <v/>
      </c>
      <c r="T1017" s="95">
        <f>IF((P1017-Q1017)=1,N1017,IF((P1017-Q1017)=-1,-M1017,0))</f>
        <v/>
      </c>
      <c r="U1017" s="101">
        <f>IF(AND(H1017=1,LedAcct&lt;&gt;""),IF(AND(E1017&gt;=LedFrom,E1017&lt;=LedTo,OR(I1017=LedAcct,K1017=LedAcct,AND(LedAcct=acctTax,M1017+N1017&lt;&gt;0))),E1017*10000+B1017,""),"")</f>
        <v/>
      </c>
    </row>
    <row r="1018">
      <c r="B1018" s="101" t="n">
        <v>1012</v>
      </c>
      <c r="C1018" s="58" t="inlineStr">
        <is>
          <t>Transaction</t>
        </is>
      </c>
      <c r="D1018" s="58">
        <f>IF(H1018=1,INDEX(tx_ID,1012)&amp;"","")</f>
        <v/>
      </c>
      <c r="E1018" s="94">
        <f>IF(H1018=1,INDEX(tx_Date,1012),"")</f>
        <v/>
      </c>
      <c r="F1018" s="58">
        <f>IF(H1018=1,INDEX(tx_Desc,1012)&amp;"","")</f>
        <v/>
      </c>
      <c r="G1018" s="58">
        <f>IF(H1018=1,IF(INDEX(tx_Cust,1012)&amp;""&lt;&gt;"",INDEX(tx_Cust,1012)&amp;"",INDEX(tx_Vend,1012)&amp;""),"")</f>
        <v/>
      </c>
      <c r="H1018" s="101">
        <f>IFERROR(N(INDEX(tx_Posted,1012)),0)</f>
        <v/>
      </c>
      <c r="I1018" s="58">
        <f>IF(H1018=1,INDEX(tx_DrAcct,1012)&amp;"","")</f>
        <v/>
      </c>
      <c r="J1018" s="95">
        <f>IF(H1018=1,INDEX(tx_DrAmt,1012),0)</f>
        <v/>
      </c>
      <c r="K1018" s="58">
        <f>IF(H1018=1,INDEX(tx_CrAcct,1012)&amp;"","")</f>
        <v/>
      </c>
      <c r="L1018" s="95">
        <f>IF(H1018=1,INDEX(tx_CrAmt,1012),0)</f>
        <v/>
      </c>
      <c r="M1018" s="95">
        <f>IF(H1018=1,INDEX(tx_TaxDr,1012),0)</f>
        <v/>
      </c>
      <c r="N1018" s="95">
        <f>IF(H1018=1,INDEX(tx_TaxCr,1012),0)</f>
        <v/>
      </c>
      <c r="O1018" s="101">
        <f>IF(H1018=1,IF(E1018&lt;FYStart,0,IF(E1018&gt;FYEnd,13,YEAR(E1018)*12+MONTH(E1018)-FYYM+1)),"")</f>
        <v/>
      </c>
      <c r="P1018" s="101">
        <f>IF(H1018=1,IF(IFERROR(INDEX(coa_CF,MATCH(I1018,coa_Name,0)),"")="Cash",1,0),0)</f>
        <v/>
      </c>
      <c r="Q1018" s="101">
        <f>IF(H1018=1,IF(IFERROR(INDEX(coa_CF,MATCH(K1018,coa_Name,0)),"")="Cash",1,0),0)</f>
        <v/>
      </c>
      <c r="R1018" s="58">
        <f>IF((P1018-Q1018)=0,"",IFERROR(INDEX(coa_CF,MATCH(IF((P1018-Q1018)=1,K1018,I1018),coa_Name,0)),"Operating"))</f>
        <v/>
      </c>
      <c r="S1018" s="95">
        <f>IF((P1018-Q1018)=1,L1018,IF((P1018-Q1018)=-1,-J1018,0))</f>
        <v/>
      </c>
      <c r="T1018" s="95">
        <f>IF((P1018-Q1018)=1,N1018,IF((P1018-Q1018)=-1,-M1018,0))</f>
        <v/>
      </c>
      <c r="U1018" s="101">
        <f>IF(AND(H1018=1,LedAcct&lt;&gt;""),IF(AND(E1018&gt;=LedFrom,E1018&lt;=LedTo,OR(I1018=LedAcct,K1018=LedAcct,AND(LedAcct=acctTax,M1018+N1018&lt;&gt;0))),E1018*10000+B1018,""),"")</f>
        <v/>
      </c>
    </row>
    <row r="1019">
      <c r="B1019" s="101" t="n">
        <v>1013</v>
      </c>
      <c r="C1019" s="58" t="inlineStr">
        <is>
          <t>Transaction</t>
        </is>
      </c>
      <c r="D1019" s="58">
        <f>IF(H1019=1,INDEX(tx_ID,1013)&amp;"","")</f>
        <v/>
      </c>
      <c r="E1019" s="94">
        <f>IF(H1019=1,INDEX(tx_Date,1013),"")</f>
        <v/>
      </c>
      <c r="F1019" s="58">
        <f>IF(H1019=1,INDEX(tx_Desc,1013)&amp;"","")</f>
        <v/>
      </c>
      <c r="G1019" s="58">
        <f>IF(H1019=1,IF(INDEX(tx_Cust,1013)&amp;""&lt;&gt;"",INDEX(tx_Cust,1013)&amp;"",INDEX(tx_Vend,1013)&amp;""),"")</f>
        <v/>
      </c>
      <c r="H1019" s="101">
        <f>IFERROR(N(INDEX(tx_Posted,1013)),0)</f>
        <v/>
      </c>
      <c r="I1019" s="58">
        <f>IF(H1019=1,INDEX(tx_DrAcct,1013)&amp;"","")</f>
        <v/>
      </c>
      <c r="J1019" s="95">
        <f>IF(H1019=1,INDEX(tx_DrAmt,1013),0)</f>
        <v/>
      </c>
      <c r="K1019" s="58">
        <f>IF(H1019=1,INDEX(tx_CrAcct,1013)&amp;"","")</f>
        <v/>
      </c>
      <c r="L1019" s="95">
        <f>IF(H1019=1,INDEX(tx_CrAmt,1013),0)</f>
        <v/>
      </c>
      <c r="M1019" s="95">
        <f>IF(H1019=1,INDEX(tx_TaxDr,1013),0)</f>
        <v/>
      </c>
      <c r="N1019" s="95">
        <f>IF(H1019=1,INDEX(tx_TaxCr,1013),0)</f>
        <v/>
      </c>
      <c r="O1019" s="101">
        <f>IF(H1019=1,IF(E1019&lt;FYStart,0,IF(E1019&gt;FYEnd,13,YEAR(E1019)*12+MONTH(E1019)-FYYM+1)),"")</f>
        <v/>
      </c>
      <c r="P1019" s="101">
        <f>IF(H1019=1,IF(IFERROR(INDEX(coa_CF,MATCH(I1019,coa_Name,0)),"")="Cash",1,0),0)</f>
        <v/>
      </c>
      <c r="Q1019" s="101">
        <f>IF(H1019=1,IF(IFERROR(INDEX(coa_CF,MATCH(K1019,coa_Name,0)),"")="Cash",1,0),0)</f>
        <v/>
      </c>
      <c r="R1019" s="58">
        <f>IF((P1019-Q1019)=0,"",IFERROR(INDEX(coa_CF,MATCH(IF((P1019-Q1019)=1,K1019,I1019),coa_Name,0)),"Operating"))</f>
        <v/>
      </c>
      <c r="S1019" s="95">
        <f>IF((P1019-Q1019)=1,L1019,IF((P1019-Q1019)=-1,-J1019,0))</f>
        <v/>
      </c>
      <c r="T1019" s="95">
        <f>IF((P1019-Q1019)=1,N1019,IF((P1019-Q1019)=-1,-M1019,0))</f>
        <v/>
      </c>
      <c r="U1019" s="101">
        <f>IF(AND(H1019=1,LedAcct&lt;&gt;""),IF(AND(E1019&gt;=LedFrom,E1019&lt;=LedTo,OR(I1019=LedAcct,K1019=LedAcct,AND(LedAcct=acctTax,M1019+N1019&lt;&gt;0))),E1019*10000+B1019,""),"")</f>
        <v/>
      </c>
    </row>
    <row r="1020">
      <c r="B1020" s="101" t="n">
        <v>1014</v>
      </c>
      <c r="C1020" s="58" t="inlineStr">
        <is>
          <t>Transaction</t>
        </is>
      </c>
      <c r="D1020" s="58">
        <f>IF(H1020=1,INDEX(tx_ID,1014)&amp;"","")</f>
        <v/>
      </c>
      <c r="E1020" s="94">
        <f>IF(H1020=1,INDEX(tx_Date,1014),"")</f>
        <v/>
      </c>
      <c r="F1020" s="58">
        <f>IF(H1020=1,INDEX(tx_Desc,1014)&amp;"","")</f>
        <v/>
      </c>
      <c r="G1020" s="58">
        <f>IF(H1020=1,IF(INDEX(tx_Cust,1014)&amp;""&lt;&gt;"",INDEX(tx_Cust,1014)&amp;"",INDEX(tx_Vend,1014)&amp;""),"")</f>
        <v/>
      </c>
      <c r="H1020" s="101">
        <f>IFERROR(N(INDEX(tx_Posted,1014)),0)</f>
        <v/>
      </c>
      <c r="I1020" s="58">
        <f>IF(H1020=1,INDEX(tx_DrAcct,1014)&amp;"","")</f>
        <v/>
      </c>
      <c r="J1020" s="95">
        <f>IF(H1020=1,INDEX(tx_DrAmt,1014),0)</f>
        <v/>
      </c>
      <c r="K1020" s="58">
        <f>IF(H1020=1,INDEX(tx_CrAcct,1014)&amp;"","")</f>
        <v/>
      </c>
      <c r="L1020" s="95">
        <f>IF(H1020=1,INDEX(tx_CrAmt,1014),0)</f>
        <v/>
      </c>
      <c r="M1020" s="95">
        <f>IF(H1020=1,INDEX(tx_TaxDr,1014),0)</f>
        <v/>
      </c>
      <c r="N1020" s="95">
        <f>IF(H1020=1,INDEX(tx_TaxCr,1014),0)</f>
        <v/>
      </c>
      <c r="O1020" s="101">
        <f>IF(H1020=1,IF(E1020&lt;FYStart,0,IF(E1020&gt;FYEnd,13,YEAR(E1020)*12+MONTH(E1020)-FYYM+1)),"")</f>
        <v/>
      </c>
      <c r="P1020" s="101">
        <f>IF(H1020=1,IF(IFERROR(INDEX(coa_CF,MATCH(I1020,coa_Name,0)),"")="Cash",1,0),0)</f>
        <v/>
      </c>
      <c r="Q1020" s="101">
        <f>IF(H1020=1,IF(IFERROR(INDEX(coa_CF,MATCH(K1020,coa_Name,0)),"")="Cash",1,0),0)</f>
        <v/>
      </c>
      <c r="R1020" s="58">
        <f>IF((P1020-Q1020)=0,"",IFERROR(INDEX(coa_CF,MATCH(IF((P1020-Q1020)=1,K1020,I1020),coa_Name,0)),"Operating"))</f>
        <v/>
      </c>
      <c r="S1020" s="95">
        <f>IF((P1020-Q1020)=1,L1020,IF((P1020-Q1020)=-1,-J1020,0))</f>
        <v/>
      </c>
      <c r="T1020" s="95">
        <f>IF((P1020-Q1020)=1,N1020,IF((P1020-Q1020)=-1,-M1020,0))</f>
        <v/>
      </c>
      <c r="U1020" s="101">
        <f>IF(AND(H1020=1,LedAcct&lt;&gt;""),IF(AND(E1020&gt;=LedFrom,E1020&lt;=LedTo,OR(I1020=LedAcct,K1020=LedAcct,AND(LedAcct=acctTax,M1020+N1020&lt;&gt;0))),E1020*10000+B1020,""),"")</f>
        <v/>
      </c>
    </row>
    <row r="1021">
      <c r="B1021" s="101" t="n">
        <v>1015</v>
      </c>
      <c r="C1021" s="58" t="inlineStr">
        <is>
          <t>Transaction</t>
        </is>
      </c>
      <c r="D1021" s="58">
        <f>IF(H1021=1,INDEX(tx_ID,1015)&amp;"","")</f>
        <v/>
      </c>
      <c r="E1021" s="94">
        <f>IF(H1021=1,INDEX(tx_Date,1015),"")</f>
        <v/>
      </c>
      <c r="F1021" s="58">
        <f>IF(H1021=1,INDEX(tx_Desc,1015)&amp;"","")</f>
        <v/>
      </c>
      <c r="G1021" s="58">
        <f>IF(H1021=1,IF(INDEX(tx_Cust,1015)&amp;""&lt;&gt;"",INDEX(tx_Cust,1015)&amp;"",INDEX(tx_Vend,1015)&amp;""),"")</f>
        <v/>
      </c>
      <c r="H1021" s="101">
        <f>IFERROR(N(INDEX(tx_Posted,1015)),0)</f>
        <v/>
      </c>
      <c r="I1021" s="58">
        <f>IF(H1021=1,INDEX(tx_DrAcct,1015)&amp;"","")</f>
        <v/>
      </c>
      <c r="J1021" s="95">
        <f>IF(H1021=1,INDEX(tx_DrAmt,1015),0)</f>
        <v/>
      </c>
      <c r="K1021" s="58">
        <f>IF(H1021=1,INDEX(tx_CrAcct,1015)&amp;"","")</f>
        <v/>
      </c>
      <c r="L1021" s="95">
        <f>IF(H1021=1,INDEX(tx_CrAmt,1015),0)</f>
        <v/>
      </c>
      <c r="M1021" s="95">
        <f>IF(H1021=1,INDEX(tx_TaxDr,1015),0)</f>
        <v/>
      </c>
      <c r="N1021" s="95">
        <f>IF(H1021=1,INDEX(tx_TaxCr,1015),0)</f>
        <v/>
      </c>
      <c r="O1021" s="101">
        <f>IF(H1021=1,IF(E1021&lt;FYStart,0,IF(E1021&gt;FYEnd,13,YEAR(E1021)*12+MONTH(E1021)-FYYM+1)),"")</f>
        <v/>
      </c>
      <c r="P1021" s="101">
        <f>IF(H1021=1,IF(IFERROR(INDEX(coa_CF,MATCH(I1021,coa_Name,0)),"")="Cash",1,0),0)</f>
        <v/>
      </c>
      <c r="Q1021" s="101">
        <f>IF(H1021=1,IF(IFERROR(INDEX(coa_CF,MATCH(K1021,coa_Name,0)),"")="Cash",1,0),0)</f>
        <v/>
      </c>
      <c r="R1021" s="58">
        <f>IF((P1021-Q1021)=0,"",IFERROR(INDEX(coa_CF,MATCH(IF((P1021-Q1021)=1,K1021,I1021),coa_Name,0)),"Operating"))</f>
        <v/>
      </c>
      <c r="S1021" s="95">
        <f>IF((P1021-Q1021)=1,L1021,IF((P1021-Q1021)=-1,-J1021,0))</f>
        <v/>
      </c>
      <c r="T1021" s="95">
        <f>IF((P1021-Q1021)=1,N1021,IF((P1021-Q1021)=-1,-M1021,0))</f>
        <v/>
      </c>
      <c r="U1021" s="101">
        <f>IF(AND(H1021=1,LedAcct&lt;&gt;""),IF(AND(E1021&gt;=LedFrom,E1021&lt;=LedTo,OR(I1021=LedAcct,K1021=LedAcct,AND(LedAcct=acctTax,M1021+N1021&lt;&gt;0))),E1021*10000+B1021,""),"")</f>
        <v/>
      </c>
    </row>
    <row r="1022">
      <c r="B1022" s="101" t="n">
        <v>1016</v>
      </c>
      <c r="C1022" s="58" t="inlineStr">
        <is>
          <t>Transaction</t>
        </is>
      </c>
      <c r="D1022" s="58">
        <f>IF(H1022=1,INDEX(tx_ID,1016)&amp;"","")</f>
        <v/>
      </c>
      <c r="E1022" s="94">
        <f>IF(H1022=1,INDEX(tx_Date,1016),"")</f>
        <v/>
      </c>
      <c r="F1022" s="58">
        <f>IF(H1022=1,INDEX(tx_Desc,1016)&amp;"","")</f>
        <v/>
      </c>
      <c r="G1022" s="58">
        <f>IF(H1022=1,IF(INDEX(tx_Cust,1016)&amp;""&lt;&gt;"",INDEX(tx_Cust,1016)&amp;"",INDEX(tx_Vend,1016)&amp;""),"")</f>
        <v/>
      </c>
      <c r="H1022" s="101">
        <f>IFERROR(N(INDEX(tx_Posted,1016)),0)</f>
        <v/>
      </c>
      <c r="I1022" s="58">
        <f>IF(H1022=1,INDEX(tx_DrAcct,1016)&amp;"","")</f>
        <v/>
      </c>
      <c r="J1022" s="95">
        <f>IF(H1022=1,INDEX(tx_DrAmt,1016),0)</f>
        <v/>
      </c>
      <c r="K1022" s="58">
        <f>IF(H1022=1,INDEX(tx_CrAcct,1016)&amp;"","")</f>
        <v/>
      </c>
      <c r="L1022" s="95">
        <f>IF(H1022=1,INDEX(tx_CrAmt,1016),0)</f>
        <v/>
      </c>
      <c r="M1022" s="95">
        <f>IF(H1022=1,INDEX(tx_TaxDr,1016),0)</f>
        <v/>
      </c>
      <c r="N1022" s="95">
        <f>IF(H1022=1,INDEX(tx_TaxCr,1016),0)</f>
        <v/>
      </c>
      <c r="O1022" s="101">
        <f>IF(H1022=1,IF(E1022&lt;FYStart,0,IF(E1022&gt;FYEnd,13,YEAR(E1022)*12+MONTH(E1022)-FYYM+1)),"")</f>
        <v/>
      </c>
      <c r="P1022" s="101">
        <f>IF(H1022=1,IF(IFERROR(INDEX(coa_CF,MATCH(I1022,coa_Name,0)),"")="Cash",1,0),0)</f>
        <v/>
      </c>
      <c r="Q1022" s="101">
        <f>IF(H1022=1,IF(IFERROR(INDEX(coa_CF,MATCH(K1022,coa_Name,0)),"")="Cash",1,0),0)</f>
        <v/>
      </c>
      <c r="R1022" s="58">
        <f>IF((P1022-Q1022)=0,"",IFERROR(INDEX(coa_CF,MATCH(IF((P1022-Q1022)=1,K1022,I1022),coa_Name,0)),"Operating"))</f>
        <v/>
      </c>
      <c r="S1022" s="95">
        <f>IF((P1022-Q1022)=1,L1022,IF((P1022-Q1022)=-1,-J1022,0))</f>
        <v/>
      </c>
      <c r="T1022" s="95">
        <f>IF((P1022-Q1022)=1,N1022,IF((P1022-Q1022)=-1,-M1022,0))</f>
        <v/>
      </c>
      <c r="U1022" s="101">
        <f>IF(AND(H1022=1,LedAcct&lt;&gt;""),IF(AND(E1022&gt;=LedFrom,E1022&lt;=LedTo,OR(I1022=LedAcct,K1022=LedAcct,AND(LedAcct=acctTax,M1022+N1022&lt;&gt;0))),E1022*10000+B1022,""),"")</f>
        <v/>
      </c>
    </row>
    <row r="1023">
      <c r="B1023" s="101" t="n">
        <v>1017</v>
      </c>
      <c r="C1023" s="58" t="inlineStr">
        <is>
          <t>Transaction</t>
        </is>
      </c>
      <c r="D1023" s="58">
        <f>IF(H1023=1,INDEX(tx_ID,1017)&amp;"","")</f>
        <v/>
      </c>
      <c r="E1023" s="94">
        <f>IF(H1023=1,INDEX(tx_Date,1017),"")</f>
        <v/>
      </c>
      <c r="F1023" s="58">
        <f>IF(H1023=1,INDEX(tx_Desc,1017)&amp;"","")</f>
        <v/>
      </c>
      <c r="G1023" s="58">
        <f>IF(H1023=1,IF(INDEX(tx_Cust,1017)&amp;""&lt;&gt;"",INDEX(tx_Cust,1017)&amp;"",INDEX(tx_Vend,1017)&amp;""),"")</f>
        <v/>
      </c>
      <c r="H1023" s="101">
        <f>IFERROR(N(INDEX(tx_Posted,1017)),0)</f>
        <v/>
      </c>
      <c r="I1023" s="58">
        <f>IF(H1023=1,INDEX(tx_DrAcct,1017)&amp;"","")</f>
        <v/>
      </c>
      <c r="J1023" s="95">
        <f>IF(H1023=1,INDEX(tx_DrAmt,1017),0)</f>
        <v/>
      </c>
      <c r="K1023" s="58">
        <f>IF(H1023=1,INDEX(tx_CrAcct,1017)&amp;"","")</f>
        <v/>
      </c>
      <c r="L1023" s="95">
        <f>IF(H1023=1,INDEX(tx_CrAmt,1017),0)</f>
        <v/>
      </c>
      <c r="M1023" s="95">
        <f>IF(H1023=1,INDEX(tx_TaxDr,1017),0)</f>
        <v/>
      </c>
      <c r="N1023" s="95">
        <f>IF(H1023=1,INDEX(tx_TaxCr,1017),0)</f>
        <v/>
      </c>
      <c r="O1023" s="101">
        <f>IF(H1023=1,IF(E1023&lt;FYStart,0,IF(E1023&gt;FYEnd,13,YEAR(E1023)*12+MONTH(E1023)-FYYM+1)),"")</f>
        <v/>
      </c>
      <c r="P1023" s="101">
        <f>IF(H1023=1,IF(IFERROR(INDEX(coa_CF,MATCH(I1023,coa_Name,0)),"")="Cash",1,0),0)</f>
        <v/>
      </c>
      <c r="Q1023" s="101">
        <f>IF(H1023=1,IF(IFERROR(INDEX(coa_CF,MATCH(K1023,coa_Name,0)),"")="Cash",1,0),0)</f>
        <v/>
      </c>
      <c r="R1023" s="58">
        <f>IF((P1023-Q1023)=0,"",IFERROR(INDEX(coa_CF,MATCH(IF((P1023-Q1023)=1,K1023,I1023),coa_Name,0)),"Operating"))</f>
        <v/>
      </c>
      <c r="S1023" s="95">
        <f>IF((P1023-Q1023)=1,L1023,IF((P1023-Q1023)=-1,-J1023,0))</f>
        <v/>
      </c>
      <c r="T1023" s="95">
        <f>IF((P1023-Q1023)=1,N1023,IF((P1023-Q1023)=-1,-M1023,0))</f>
        <v/>
      </c>
      <c r="U1023" s="101">
        <f>IF(AND(H1023=1,LedAcct&lt;&gt;""),IF(AND(E1023&gt;=LedFrom,E1023&lt;=LedTo,OR(I1023=LedAcct,K1023=LedAcct,AND(LedAcct=acctTax,M1023+N1023&lt;&gt;0))),E1023*10000+B1023,""),"")</f>
        <v/>
      </c>
    </row>
    <row r="1024">
      <c r="B1024" s="101" t="n">
        <v>1018</v>
      </c>
      <c r="C1024" s="58" t="inlineStr">
        <is>
          <t>Transaction</t>
        </is>
      </c>
      <c r="D1024" s="58">
        <f>IF(H1024=1,INDEX(tx_ID,1018)&amp;"","")</f>
        <v/>
      </c>
      <c r="E1024" s="94">
        <f>IF(H1024=1,INDEX(tx_Date,1018),"")</f>
        <v/>
      </c>
      <c r="F1024" s="58">
        <f>IF(H1024=1,INDEX(tx_Desc,1018)&amp;"","")</f>
        <v/>
      </c>
      <c r="G1024" s="58">
        <f>IF(H1024=1,IF(INDEX(tx_Cust,1018)&amp;""&lt;&gt;"",INDEX(tx_Cust,1018)&amp;"",INDEX(tx_Vend,1018)&amp;""),"")</f>
        <v/>
      </c>
      <c r="H1024" s="101">
        <f>IFERROR(N(INDEX(tx_Posted,1018)),0)</f>
        <v/>
      </c>
      <c r="I1024" s="58">
        <f>IF(H1024=1,INDEX(tx_DrAcct,1018)&amp;"","")</f>
        <v/>
      </c>
      <c r="J1024" s="95">
        <f>IF(H1024=1,INDEX(tx_DrAmt,1018),0)</f>
        <v/>
      </c>
      <c r="K1024" s="58">
        <f>IF(H1024=1,INDEX(tx_CrAcct,1018)&amp;"","")</f>
        <v/>
      </c>
      <c r="L1024" s="95">
        <f>IF(H1024=1,INDEX(tx_CrAmt,1018),0)</f>
        <v/>
      </c>
      <c r="M1024" s="95">
        <f>IF(H1024=1,INDEX(tx_TaxDr,1018),0)</f>
        <v/>
      </c>
      <c r="N1024" s="95">
        <f>IF(H1024=1,INDEX(tx_TaxCr,1018),0)</f>
        <v/>
      </c>
      <c r="O1024" s="101">
        <f>IF(H1024=1,IF(E1024&lt;FYStart,0,IF(E1024&gt;FYEnd,13,YEAR(E1024)*12+MONTH(E1024)-FYYM+1)),"")</f>
        <v/>
      </c>
      <c r="P1024" s="101">
        <f>IF(H1024=1,IF(IFERROR(INDEX(coa_CF,MATCH(I1024,coa_Name,0)),"")="Cash",1,0),0)</f>
        <v/>
      </c>
      <c r="Q1024" s="101">
        <f>IF(H1024=1,IF(IFERROR(INDEX(coa_CF,MATCH(K1024,coa_Name,0)),"")="Cash",1,0),0)</f>
        <v/>
      </c>
      <c r="R1024" s="58">
        <f>IF((P1024-Q1024)=0,"",IFERROR(INDEX(coa_CF,MATCH(IF((P1024-Q1024)=1,K1024,I1024),coa_Name,0)),"Operating"))</f>
        <v/>
      </c>
      <c r="S1024" s="95">
        <f>IF((P1024-Q1024)=1,L1024,IF((P1024-Q1024)=-1,-J1024,0))</f>
        <v/>
      </c>
      <c r="T1024" s="95">
        <f>IF((P1024-Q1024)=1,N1024,IF((P1024-Q1024)=-1,-M1024,0))</f>
        <v/>
      </c>
      <c r="U1024" s="101">
        <f>IF(AND(H1024=1,LedAcct&lt;&gt;""),IF(AND(E1024&gt;=LedFrom,E1024&lt;=LedTo,OR(I1024=LedAcct,K1024=LedAcct,AND(LedAcct=acctTax,M1024+N1024&lt;&gt;0))),E1024*10000+B1024,""),"")</f>
        <v/>
      </c>
    </row>
    <row r="1025">
      <c r="B1025" s="101" t="n">
        <v>1019</v>
      </c>
      <c r="C1025" s="58" t="inlineStr">
        <is>
          <t>Transaction</t>
        </is>
      </c>
      <c r="D1025" s="58">
        <f>IF(H1025=1,INDEX(tx_ID,1019)&amp;"","")</f>
        <v/>
      </c>
      <c r="E1025" s="94">
        <f>IF(H1025=1,INDEX(tx_Date,1019),"")</f>
        <v/>
      </c>
      <c r="F1025" s="58">
        <f>IF(H1025=1,INDEX(tx_Desc,1019)&amp;"","")</f>
        <v/>
      </c>
      <c r="G1025" s="58">
        <f>IF(H1025=1,IF(INDEX(tx_Cust,1019)&amp;""&lt;&gt;"",INDEX(tx_Cust,1019)&amp;"",INDEX(tx_Vend,1019)&amp;""),"")</f>
        <v/>
      </c>
      <c r="H1025" s="101">
        <f>IFERROR(N(INDEX(tx_Posted,1019)),0)</f>
        <v/>
      </c>
      <c r="I1025" s="58">
        <f>IF(H1025=1,INDEX(tx_DrAcct,1019)&amp;"","")</f>
        <v/>
      </c>
      <c r="J1025" s="95">
        <f>IF(H1025=1,INDEX(tx_DrAmt,1019),0)</f>
        <v/>
      </c>
      <c r="K1025" s="58">
        <f>IF(H1025=1,INDEX(tx_CrAcct,1019)&amp;"","")</f>
        <v/>
      </c>
      <c r="L1025" s="95">
        <f>IF(H1025=1,INDEX(tx_CrAmt,1019),0)</f>
        <v/>
      </c>
      <c r="M1025" s="95">
        <f>IF(H1025=1,INDEX(tx_TaxDr,1019),0)</f>
        <v/>
      </c>
      <c r="N1025" s="95">
        <f>IF(H1025=1,INDEX(tx_TaxCr,1019),0)</f>
        <v/>
      </c>
      <c r="O1025" s="101">
        <f>IF(H1025=1,IF(E1025&lt;FYStart,0,IF(E1025&gt;FYEnd,13,YEAR(E1025)*12+MONTH(E1025)-FYYM+1)),"")</f>
        <v/>
      </c>
      <c r="P1025" s="101">
        <f>IF(H1025=1,IF(IFERROR(INDEX(coa_CF,MATCH(I1025,coa_Name,0)),"")="Cash",1,0),0)</f>
        <v/>
      </c>
      <c r="Q1025" s="101">
        <f>IF(H1025=1,IF(IFERROR(INDEX(coa_CF,MATCH(K1025,coa_Name,0)),"")="Cash",1,0),0)</f>
        <v/>
      </c>
      <c r="R1025" s="58">
        <f>IF((P1025-Q1025)=0,"",IFERROR(INDEX(coa_CF,MATCH(IF((P1025-Q1025)=1,K1025,I1025),coa_Name,0)),"Operating"))</f>
        <v/>
      </c>
      <c r="S1025" s="95">
        <f>IF((P1025-Q1025)=1,L1025,IF((P1025-Q1025)=-1,-J1025,0))</f>
        <v/>
      </c>
      <c r="T1025" s="95">
        <f>IF((P1025-Q1025)=1,N1025,IF((P1025-Q1025)=-1,-M1025,0))</f>
        <v/>
      </c>
      <c r="U1025" s="101">
        <f>IF(AND(H1025=1,LedAcct&lt;&gt;""),IF(AND(E1025&gt;=LedFrom,E1025&lt;=LedTo,OR(I1025=LedAcct,K1025=LedAcct,AND(LedAcct=acctTax,M1025+N1025&lt;&gt;0))),E1025*10000+B1025,""),"")</f>
        <v/>
      </c>
    </row>
    <row r="1026">
      <c r="B1026" s="101" t="n">
        <v>1020</v>
      </c>
      <c r="C1026" s="58" t="inlineStr">
        <is>
          <t>Transaction</t>
        </is>
      </c>
      <c r="D1026" s="58">
        <f>IF(H1026=1,INDEX(tx_ID,1020)&amp;"","")</f>
        <v/>
      </c>
      <c r="E1026" s="94">
        <f>IF(H1026=1,INDEX(tx_Date,1020),"")</f>
        <v/>
      </c>
      <c r="F1026" s="58">
        <f>IF(H1026=1,INDEX(tx_Desc,1020)&amp;"","")</f>
        <v/>
      </c>
      <c r="G1026" s="58">
        <f>IF(H1026=1,IF(INDEX(tx_Cust,1020)&amp;""&lt;&gt;"",INDEX(tx_Cust,1020)&amp;"",INDEX(tx_Vend,1020)&amp;""),"")</f>
        <v/>
      </c>
      <c r="H1026" s="101">
        <f>IFERROR(N(INDEX(tx_Posted,1020)),0)</f>
        <v/>
      </c>
      <c r="I1026" s="58">
        <f>IF(H1026=1,INDEX(tx_DrAcct,1020)&amp;"","")</f>
        <v/>
      </c>
      <c r="J1026" s="95">
        <f>IF(H1026=1,INDEX(tx_DrAmt,1020),0)</f>
        <v/>
      </c>
      <c r="K1026" s="58">
        <f>IF(H1026=1,INDEX(tx_CrAcct,1020)&amp;"","")</f>
        <v/>
      </c>
      <c r="L1026" s="95">
        <f>IF(H1026=1,INDEX(tx_CrAmt,1020),0)</f>
        <v/>
      </c>
      <c r="M1026" s="95">
        <f>IF(H1026=1,INDEX(tx_TaxDr,1020),0)</f>
        <v/>
      </c>
      <c r="N1026" s="95">
        <f>IF(H1026=1,INDEX(tx_TaxCr,1020),0)</f>
        <v/>
      </c>
      <c r="O1026" s="101">
        <f>IF(H1026=1,IF(E1026&lt;FYStart,0,IF(E1026&gt;FYEnd,13,YEAR(E1026)*12+MONTH(E1026)-FYYM+1)),"")</f>
        <v/>
      </c>
      <c r="P1026" s="101">
        <f>IF(H1026=1,IF(IFERROR(INDEX(coa_CF,MATCH(I1026,coa_Name,0)),"")="Cash",1,0),0)</f>
        <v/>
      </c>
      <c r="Q1026" s="101">
        <f>IF(H1026=1,IF(IFERROR(INDEX(coa_CF,MATCH(K1026,coa_Name,0)),"")="Cash",1,0),0)</f>
        <v/>
      </c>
      <c r="R1026" s="58">
        <f>IF((P1026-Q1026)=0,"",IFERROR(INDEX(coa_CF,MATCH(IF((P1026-Q1026)=1,K1026,I1026),coa_Name,0)),"Operating"))</f>
        <v/>
      </c>
      <c r="S1026" s="95">
        <f>IF((P1026-Q1026)=1,L1026,IF((P1026-Q1026)=-1,-J1026,0))</f>
        <v/>
      </c>
      <c r="T1026" s="95">
        <f>IF((P1026-Q1026)=1,N1026,IF((P1026-Q1026)=-1,-M1026,0))</f>
        <v/>
      </c>
      <c r="U1026" s="101">
        <f>IF(AND(H1026=1,LedAcct&lt;&gt;""),IF(AND(E1026&gt;=LedFrom,E1026&lt;=LedTo,OR(I1026=LedAcct,K1026=LedAcct,AND(LedAcct=acctTax,M1026+N1026&lt;&gt;0))),E1026*10000+B1026,""),"")</f>
        <v/>
      </c>
    </row>
    <row r="1027">
      <c r="B1027" s="101" t="n">
        <v>1021</v>
      </c>
      <c r="C1027" s="58" t="inlineStr">
        <is>
          <t>Transaction</t>
        </is>
      </c>
      <c r="D1027" s="58">
        <f>IF(H1027=1,INDEX(tx_ID,1021)&amp;"","")</f>
        <v/>
      </c>
      <c r="E1027" s="94">
        <f>IF(H1027=1,INDEX(tx_Date,1021),"")</f>
        <v/>
      </c>
      <c r="F1027" s="58">
        <f>IF(H1027=1,INDEX(tx_Desc,1021)&amp;"","")</f>
        <v/>
      </c>
      <c r="G1027" s="58">
        <f>IF(H1027=1,IF(INDEX(tx_Cust,1021)&amp;""&lt;&gt;"",INDEX(tx_Cust,1021)&amp;"",INDEX(tx_Vend,1021)&amp;""),"")</f>
        <v/>
      </c>
      <c r="H1027" s="101">
        <f>IFERROR(N(INDEX(tx_Posted,1021)),0)</f>
        <v/>
      </c>
      <c r="I1027" s="58">
        <f>IF(H1027=1,INDEX(tx_DrAcct,1021)&amp;"","")</f>
        <v/>
      </c>
      <c r="J1027" s="95">
        <f>IF(H1027=1,INDEX(tx_DrAmt,1021),0)</f>
        <v/>
      </c>
      <c r="K1027" s="58">
        <f>IF(H1027=1,INDEX(tx_CrAcct,1021)&amp;"","")</f>
        <v/>
      </c>
      <c r="L1027" s="95">
        <f>IF(H1027=1,INDEX(tx_CrAmt,1021),0)</f>
        <v/>
      </c>
      <c r="M1027" s="95">
        <f>IF(H1027=1,INDEX(tx_TaxDr,1021),0)</f>
        <v/>
      </c>
      <c r="N1027" s="95">
        <f>IF(H1027=1,INDEX(tx_TaxCr,1021),0)</f>
        <v/>
      </c>
      <c r="O1027" s="101">
        <f>IF(H1027=1,IF(E1027&lt;FYStart,0,IF(E1027&gt;FYEnd,13,YEAR(E1027)*12+MONTH(E1027)-FYYM+1)),"")</f>
        <v/>
      </c>
      <c r="P1027" s="101">
        <f>IF(H1027=1,IF(IFERROR(INDEX(coa_CF,MATCH(I1027,coa_Name,0)),"")="Cash",1,0),0)</f>
        <v/>
      </c>
      <c r="Q1027" s="101">
        <f>IF(H1027=1,IF(IFERROR(INDEX(coa_CF,MATCH(K1027,coa_Name,0)),"")="Cash",1,0),0)</f>
        <v/>
      </c>
      <c r="R1027" s="58">
        <f>IF((P1027-Q1027)=0,"",IFERROR(INDEX(coa_CF,MATCH(IF((P1027-Q1027)=1,K1027,I1027),coa_Name,0)),"Operating"))</f>
        <v/>
      </c>
      <c r="S1027" s="95">
        <f>IF((P1027-Q1027)=1,L1027,IF((P1027-Q1027)=-1,-J1027,0))</f>
        <v/>
      </c>
      <c r="T1027" s="95">
        <f>IF((P1027-Q1027)=1,N1027,IF((P1027-Q1027)=-1,-M1027,0))</f>
        <v/>
      </c>
      <c r="U1027" s="101">
        <f>IF(AND(H1027=1,LedAcct&lt;&gt;""),IF(AND(E1027&gt;=LedFrom,E1027&lt;=LedTo,OR(I1027=LedAcct,K1027=LedAcct,AND(LedAcct=acctTax,M1027+N1027&lt;&gt;0))),E1027*10000+B1027,""),"")</f>
        <v/>
      </c>
    </row>
    <row r="1028">
      <c r="B1028" s="101" t="n">
        <v>1022</v>
      </c>
      <c r="C1028" s="58" t="inlineStr">
        <is>
          <t>Transaction</t>
        </is>
      </c>
      <c r="D1028" s="58">
        <f>IF(H1028=1,INDEX(tx_ID,1022)&amp;"","")</f>
        <v/>
      </c>
      <c r="E1028" s="94">
        <f>IF(H1028=1,INDEX(tx_Date,1022),"")</f>
        <v/>
      </c>
      <c r="F1028" s="58">
        <f>IF(H1028=1,INDEX(tx_Desc,1022)&amp;"","")</f>
        <v/>
      </c>
      <c r="G1028" s="58">
        <f>IF(H1028=1,IF(INDEX(tx_Cust,1022)&amp;""&lt;&gt;"",INDEX(tx_Cust,1022)&amp;"",INDEX(tx_Vend,1022)&amp;""),"")</f>
        <v/>
      </c>
      <c r="H1028" s="101">
        <f>IFERROR(N(INDEX(tx_Posted,1022)),0)</f>
        <v/>
      </c>
      <c r="I1028" s="58">
        <f>IF(H1028=1,INDEX(tx_DrAcct,1022)&amp;"","")</f>
        <v/>
      </c>
      <c r="J1028" s="95">
        <f>IF(H1028=1,INDEX(tx_DrAmt,1022),0)</f>
        <v/>
      </c>
      <c r="K1028" s="58">
        <f>IF(H1028=1,INDEX(tx_CrAcct,1022)&amp;"","")</f>
        <v/>
      </c>
      <c r="L1028" s="95">
        <f>IF(H1028=1,INDEX(tx_CrAmt,1022),0)</f>
        <v/>
      </c>
      <c r="M1028" s="95">
        <f>IF(H1028=1,INDEX(tx_TaxDr,1022),0)</f>
        <v/>
      </c>
      <c r="N1028" s="95">
        <f>IF(H1028=1,INDEX(tx_TaxCr,1022),0)</f>
        <v/>
      </c>
      <c r="O1028" s="101">
        <f>IF(H1028=1,IF(E1028&lt;FYStart,0,IF(E1028&gt;FYEnd,13,YEAR(E1028)*12+MONTH(E1028)-FYYM+1)),"")</f>
        <v/>
      </c>
      <c r="P1028" s="101">
        <f>IF(H1028=1,IF(IFERROR(INDEX(coa_CF,MATCH(I1028,coa_Name,0)),"")="Cash",1,0),0)</f>
        <v/>
      </c>
      <c r="Q1028" s="101">
        <f>IF(H1028=1,IF(IFERROR(INDEX(coa_CF,MATCH(K1028,coa_Name,0)),"")="Cash",1,0),0)</f>
        <v/>
      </c>
      <c r="R1028" s="58">
        <f>IF((P1028-Q1028)=0,"",IFERROR(INDEX(coa_CF,MATCH(IF((P1028-Q1028)=1,K1028,I1028),coa_Name,0)),"Operating"))</f>
        <v/>
      </c>
      <c r="S1028" s="95">
        <f>IF((P1028-Q1028)=1,L1028,IF((P1028-Q1028)=-1,-J1028,0))</f>
        <v/>
      </c>
      <c r="T1028" s="95">
        <f>IF((P1028-Q1028)=1,N1028,IF((P1028-Q1028)=-1,-M1028,0))</f>
        <v/>
      </c>
      <c r="U1028" s="101">
        <f>IF(AND(H1028=1,LedAcct&lt;&gt;""),IF(AND(E1028&gt;=LedFrom,E1028&lt;=LedTo,OR(I1028=LedAcct,K1028=LedAcct,AND(LedAcct=acctTax,M1028+N1028&lt;&gt;0))),E1028*10000+B1028,""),"")</f>
        <v/>
      </c>
    </row>
    <row r="1029">
      <c r="B1029" s="101" t="n">
        <v>1023</v>
      </c>
      <c r="C1029" s="58" t="inlineStr">
        <is>
          <t>Transaction</t>
        </is>
      </c>
      <c r="D1029" s="58">
        <f>IF(H1029=1,INDEX(tx_ID,1023)&amp;"","")</f>
        <v/>
      </c>
      <c r="E1029" s="94">
        <f>IF(H1029=1,INDEX(tx_Date,1023),"")</f>
        <v/>
      </c>
      <c r="F1029" s="58">
        <f>IF(H1029=1,INDEX(tx_Desc,1023)&amp;"","")</f>
        <v/>
      </c>
      <c r="G1029" s="58">
        <f>IF(H1029=1,IF(INDEX(tx_Cust,1023)&amp;""&lt;&gt;"",INDEX(tx_Cust,1023)&amp;"",INDEX(tx_Vend,1023)&amp;""),"")</f>
        <v/>
      </c>
      <c r="H1029" s="101">
        <f>IFERROR(N(INDEX(tx_Posted,1023)),0)</f>
        <v/>
      </c>
      <c r="I1029" s="58">
        <f>IF(H1029=1,INDEX(tx_DrAcct,1023)&amp;"","")</f>
        <v/>
      </c>
      <c r="J1029" s="95">
        <f>IF(H1029=1,INDEX(tx_DrAmt,1023),0)</f>
        <v/>
      </c>
      <c r="K1029" s="58">
        <f>IF(H1029=1,INDEX(tx_CrAcct,1023)&amp;"","")</f>
        <v/>
      </c>
      <c r="L1029" s="95">
        <f>IF(H1029=1,INDEX(tx_CrAmt,1023),0)</f>
        <v/>
      </c>
      <c r="M1029" s="95">
        <f>IF(H1029=1,INDEX(tx_TaxDr,1023),0)</f>
        <v/>
      </c>
      <c r="N1029" s="95">
        <f>IF(H1029=1,INDEX(tx_TaxCr,1023),0)</f>
        <v/>
      </c>
      <c r="O1029" s="101">
        <f>IF(H1029=1,IF(E1029&lt;FYStart,0,IF(E1029&gt;FYEnd,13,YEAR(E1029)*12+MONTH(E1029)-FYYM+1)),"")</f>
        <v/>
      </c>
      <c r="P1029" s="101">
        <f>IF(H1029=1,IF(IFERROR(INDEX(coa_CF,MATCH(I1029,coa_Name,0)),"")="Cash",1,0),0)</f>
        <v/>
      </c>
      <c r="Q1029" s="101">
        <f>IF(H1029=1,IF(IFERROR(INDEX(coa_CF,MATCH(K1029,coa_Name,0)),"")="Cash",1,0),0)</f>
        <v/>
      </c>
      <c r="R1029" s="58">
        <f>IF((P1029-Q1029)=0,"",IFERROR(INDEX(coa_CF,MATCH(IF((P1029-Q1029)=1,K1029,I1029),coa_Name,0)),"Operating"))</f>
        <v/>
      </c>
      <c r="S1029" s="95">
        <f>IF((P1029-Q1029)=1,L1029,IF((P1029-Q1029)=-1,-J1029,0))</f>
        <v/>
      </c>
      <c r="T1029" s="95">
        <f>IF((P1029-Q1029)=1,N1029,IF((P1029-Q1029)=-1,-M1029,0))</f>
        <v/>
      </c>
      <c r="U1029" s="101">
        <f>IF(AND(H1029=1,LedAcct&lt;&gt;""),IF(AND(E1029&gt;=LedFrom,E1029&lt;=LedTo,OR(I1029=LedAcct,K1029=LedAcct,AND(LedAcct=acctTax,M1029+N1029&lt;&gt;0))),E1029*10000+B1029,""),"")</f>
        <v/>
      </c>
    </row>
    <row r="1030">
      <c r="B1030" s="101" t="n">
        <v>1024</v>
      </c>
      <c r="C1030" s="58" t="inlineStr">
        <is>
          <t>Transaction</t>
        </is>
      </c>
      <c r="D1030" s="58">
        <f>IF(H1030=1,INDEX(tx_ID,1024)&amp;"","")</f>
        <v/>
      </c>
      <c r="E1030" s="94">
        <f>IF(H1030=1,INDEX(tx_Date,1024),"")</f>
        <v/>
      </c>
      <c r="F1030" s="58">
        <f>IF(H1030=1,INDEX(tx_Desc,1024)&amp;"","")</f>
        <v/>
      </c>
      <c r="G1030" s="58">
        <f>IF(H1030=1,IF(INDEX(tx_Cust,1024)&amp;""&lt;&gt;"",INDEX(tx_Cust,1024)&amp;"",INDEX(tx_Vend,1024)&amp;""),"")</f>
        <v/>
      </c>
      <c r="H1030" s="101">
        <f>IFERROR(N(INDEX(tx_Posted,1024)),0)</f>
        <v/>
      </c>
      <c r="I1030" s="58">
        <f>IF(H1030=1,INDEX(tx_DrAcct,1024)&amp;"","")</f>
        <v/>
      </c>
      <c r="J1030" s="95">
        <f>IF(H1030=1,INDEX(tx_DrAmt,1024),0)</f>
        <v/>
      </c>
      <c r="K1030" s="58">
        <f>IF(H1030=1,INDEX(tx_CrAcct,1024)&amp;"","")</f>
        <v/>
      </c>
      <c r="L1030" s="95">
        <f>IF(H1030=1,INDEX(tx_CrAmt,1024),0)</f>
        <v/>
      </c>
      <c r="M1030" s="95">
        <f>IF(H1030=1,INDEX(tx_TaxDr,1024),0)</f>
        <v/>
      </c>
      <c r="N1030" s="95">
        <f>IF(H1030=1,INDEX(tx_TaxCr,1024),0)</f>
        <v/>
      </c>
      <c r="O1030" s="101">
        <f>IF(H1030=1,IF(E1030&lt;FYStart,0,IF(E1030&gt;FYEnd,13,YEAR(E1030)*12+MONTH(E1030)-FYYM+1)),"")</f>
        <v/>
      </c>
      <c r="P1030" s="101">
        <f>IF(H1030=1,IF(IFERROR(INDEX(coa_CF,MATCH(I1030,coa_Name,0)),"")="Cash",1,0),0)</f>
        <v/>
      </c>
      <c r="Q1030" s="101">
        <f>IF(H1030=1,IF(IFERROR(INDEX(coa_CF,MATCH(K1030,coa_Name,0)),"")="Cash",1,0),0)</f>
        <v/>
      </c>
      <c r="R1030" s="58">
        <f>IF((P1030-Q1030)=0,"",IFERROR(INDEX(coa_CF,MATCH(IF((P1030-Q1030)=1,K1030,I1030),coa_Name,0)),"Operating"))</f>
        <v/>
      </c>
      <c r="S1030" s="95">
        <f>IF((P1030-Q1030)=1,L1030,IF((P1030-Q1030)=-1,-J1030,0))</f>
        <v/>
      </c>
      <c r="T1030" s="95">
        <f>IF((P1030-Q1030)=1,N1030,IF((P1030-Q1030)=-1,-M1030,0))</f>
        <v/>
      </c>
      <c r="U1030" s="101">
        <f>IF(AND(H1030=1,LedAcct&lt;&gt;""),IF(AND(E1030&gt;=LedFrom,E1030&lt;=LedTo,OR(I1030=LedAcct,K1030=LedAcct,AND(LedAcct=acctTax,M1030+N1030&lt;&gt;0))),E1030*10000+B1030,""),"")</f>
        <v/>
      </c>
    </row>
    <row r="1031">
      <c r="B1031" s="101" t="n">
        <v>1025</v>
      </c>
      <c r="C1031" s="58" t="inlineStr">
        <is>
          <t>Transaction</t>
        </is>
      </c>
      <c r="D1031" s="58">
        <f>IF(H1031=1,INDEX(tx_ID,1025)&amp;"","")</f>
        <v/>
      </c>
      <c r="E1031" s="94">
        <f>IF(H1031=1,INDEX(tx_Date,1025),"")</f>
        <v/>
      </c>
      <c r="F1031" s="58">
        <f>IF(H1031=1,INDEX(tx_Desc,1025)&amp;"","")</f>
        <v/>
      </c>
      <c r="G1031" s="58">
        <f>IF(H1031=1,IF(INDEX(tx_Cust,1025)&amp;""&lt;&gt;"",INDEX(tx_Cust,1025)&amp;"",INDEX(tx_Vend,1025)&amp;""),"")</f>
        <v/>
      </c>
      <c r="H1031" s="101">
        <f>IFERROR(N(INDEX(tx_Posted,1025)),0)</f>
        <v/>
      </c>
      <c r="I1031" s="58">
        <f>IF(H1031=1,INDEX(tx_DrAcct,1025)&amp;"","")</f>
        <v/>
      </c>
      <c r="J1031" s="95">
        <f>IF(H1031=1,INDEX(tx_DrAmt,1025),0)</f>
        <v/>
      </c>
      <c r="K1031" s="58">
        <f>IF(H1031=1,INDEX(tx_CrAcct,1025)&amp;"","")</f>
        <v/>
      </c>
      <c r="L1031" s="95">
        <f>IF(H1031=1,INDEX(tx_CrAmt,1025),0)</f>
        <v/>
      </c>
      <c r="M1031" s="95">
        <f>IF(H1031=1,INDEX(tx_TaxDr,1025),0)</f>
        <v/>
      </c>
      <c r="N1031" s="95">
        <f>IF(H1031=1,INDEX(tx_TaxCr,1025),0)</f>
        <v/>
      </c>
      <c r="O1031" s="101">
        <f>IF(H1031=1,IF(E1031&lt;FYStart,0,IF(E1031&gt;FYEnd,13,YEAR(E1031)*12+MONTH(E1031)-FYYM+1)),"")</f>
        <v/>
      </c>
      <c r="P1031" s="101">
        <f>IF(H1031=1,IF(IFERROR(INDEX(coa_CF,MATCH(I1031,coa_Name,0)),"")="Cash",1,0),0)</f>
        <v/>
      </c>
      <c r="Q1031" s="101">
        <f>IF(H1031=1,IF(IFERROR(INDEX(coa_CF,MATCH(K1031,coa_Name,0)),"")="Cash",1,0),0)</f>
        <v/>
      </c>
      <c r="R1031" s="58">
        <f>IF((P1031-Q1031)=0,"",IFERROR(INDEX(coa_CF,MATCH(IF((P1031-Q1031)=1,K1031,I1031),coa_Name,0)),"Operating"))</f>
        <v/>
      </c>
      <c r="S1031" s="95">
        <f>IF((P1031-Q1031)=1,L1031,IF((P1031-Q1031)=-1,-J1031,0))</f>
        <v/>
      </c>
      <c r="T1031" s="95">
        <f>IF((P1031-Q1031)=1,N1031,IF((P1031-Q1031)=-1,-M1031,0))</f>
        <v/>
      </c>
      <c r="U1031" s="101">
        <f>IF(AND(H1031=1,LedAcct&lt;&gt;""),IF(AND(E1031&gt;=LedFrom,E1031&lt;=LedTo,OR(I1031=LedAcct,K1031=LedAcct,AND(LedAcct=acctTax,M1031+N1031&lt;&gt;0))),E1031*10000+B1031,""),"")</f>
        <v/>
      </c>
    </row>
    <row r="1032">
      <c r="B1032" s="101" t="n">
        <v>1026</v>
      </c>
      <c r="C1032" s="58" t="inlineStr">
        <is>
          <t>Transaction</t>
        </is>
      </c>
      <c r="D1032" s="58">
        <f>IF(H1032=1,INDEX(tx_ID,1026)&amp;"","")</f>
        <v/>
      </c>
      <c r="E1032" s="94">
        <f>IF(H1032=1,INDEX(tx_Date,1026),"")</f>
        <v/>
      </c>
      <c r="F1032" s="58">
        <f>IF(H1032=1,INDEX(tx_Desc,1026)&amp;"","")</f>
        <v/>
      </c>
      <c r="G1032" s="58">
        <f>IF(H1032=1,IF(INDEX(tx_Cust,1026)&amp;""&lt;&gt;"",INDEX(tx_Cust,1026)&amp;"",INDEX(tx_Vend,1026)&amp;""),"")</f>
        <v/>
      </c>
      <c r="H1032" s="101">
        <f>IFERROR(N(INDEX(tx_Posted,1026)),0)</f>
        <v/>
      </c>
      <c r="I1032" s="58">
        <f>IF(H1032=1,INDEX(tx_DrAcct,1026)&amp;"","")</f>
        <v/>
      </c>
      <c r="J1032" s="95">
        <f>IF(H1032=1,INDEX(tx_DrAmt,1026),0)</f>
        <v/>
      </c>
      <c r="K1032" s="58">
        <f>IF(H1032=1,INDEX(tx_CrAcct,1026)&amp;"","")</f>
        <v/>
      </c>
      <c r="L1032" s="95">
        <f>IF(H1032=1,INDEX(tx_CrAmt,1026),0)</f>
        <v/>
      </c>
      <c r="M1032" s="95">
        <f>IF(H1032=1,INDEX(tx_TaxDr,1026),0)</f>
        <v/>
      </c>
      <c r="N1032" s="95">
        <f>IF(H1032=1,INDEX(tx_TaxCr,1026),0)</f>
        <v/>
      </c>
      <c r="O1032" s="101">
        <f>IF(H1032=1,IF(E1032&lt;FYStart,0,IF(E1032&gt;FYEnd,13,YEAR(E1032)*12+MONTH(E1032)-FYYM+1)),"")</f>
        <v/>
      </c>
      <c r="P1032" s="101">
        <f>IF(H1032=1,IF(IFERROR(INDEX(coa_CF,MATCH(I1032,coa_Name,0)),"")="Cash",1,0),0)</f>
        <v/>
      </c>
      <c r="Q1032" s="101">
        <f>IF(H1032=1,IF(IFERROR(INDEX(coa_CF,MATCH(K1032,coa_Name,0)),"")="Cash",1,0),0)</f>
        <v/>
      </c>
      <c r="R1032" s="58">
        <f>IF((P1032-Q1032)=0,"",IFERROR(INDEX(coa_CF,MATCH(IF((P1032-Q1032)=1,K1032,I1032),coa_Name,0)),"Operating"))</f>
        <v/>
      </c>
      <c r="S1032" s="95">
        <f>IF((P1032-Q1032)=1,L1032,IF((P1032-Q1032)=-1,-J1032,0))</f>
        <v/>
      </c>
      <c r="T1032" s="95">
        <f>IF((P1032-Q1032)=1,N1032,IF((P1032-Q1032)=-1,-M1032,0))</f>
        <v/>
      </c>
      <c r="U1032" s="101">
        <f>IF(AND(H1032=1,LedAcct&lt;&gt;""),IF(AND(E1032&gt;=LedFrom,E1032&lt;=LedTo,OR(I1032=LedAcct,K1032=LedAcct,AND(LedAcct=acctTax,M1032+N1032&lt;&gt;0))),E1032*10000+B1032,""),"")</f>
        <v/>
      </c>
    </row>
    <row r="1033">
      <c r="B1033" s="101" t="n">
        <v>1027</v>
      </c>
      <c r="C1033" s="58" t="inlineStr">
        <is>
          <t>Transaction</t>
        </is>
      </c>
      <c r="D1033" s="58">
        <f>IF(H1033=1,INDEX(tx_ID,1027)&amp;"","")</f>
        <v/>
      </c>
      <c r="E1033" s="94">
        <f>IF(H1033=1,INDEX(tx_Date,1027),"")</f>
        <v/>
      </c>
      <c r="F1033" s="58">
        <f>IF(H1033=1,INDEX(tx_Desc,1027)&amp;"","")</f>
        <v/>
      </c>
      <c r="G1033" s="58">
        <f>IF(H1033=1,IF(INDEX(tx_Cust,1027)&amp;""&lt;&gt;"",INDEX(tx_Cust,1027)&amp;"",INDEX(tx_Vend,1027)&amp;""),"")</f>
        <v/>
      </c>
      <c r="H1033" s="101">
        <f>IFERROR(N(INDEX(tx_Posted,1027)),0)</f>
        <v/>
      </c>
      <c r="I1033" s="58">
        <f>IF(H1033=1,INDEX(tx_DrAcct,1027)&amp;"","")</f>
        <v/>
      </c>
      <c r="J1033" s="95">
        <f>IF(H1033=1,INDEX(tx_DrAmt,1027),0)</f>
        <v/>
      </c>
      <c r="K1033" s="58">
        <f>IF(H1033=1,INDEX(tx_CrAcct,1027)&amp;"","")</f>
        <v/>
      </c>
      <c r="L1033" s="95">
        <f>IF(H1033=1,INDEX(tx_CrAmt,1027),0)</f>
        <v/>
      </c>
      <c r="M1033" s="95">
        <f>IF(H1033=1,INDEX(tx_TaxDr,1027),0)</f>
        <v/>
      </c>
      <c r="N1033" s="95">
        <f>IF(H1033=1,INDEX(tx_TaxCr,1027),0)</f>
        <v/>
      </c>
      <c r="O1033" s="101">
        <f>IF(H1033=1,IF(E1033&lt;FYStart,0,IF(E1033&gt;FYEnd,13,YEAR(E1033)*12+MONTH(E1033)-FYYM+1)),"")</f>
        <v/>
      </c>
      <c r="P1033" s="101">
        <f>IF(H1033=1,IF(IFERROR(INDEX(coa_CF,MATCH(I1033,coa_Name,0)),"")="Cash",1,0),0)</f>
        <v/>
      </c>
      <c r="Q1033" s="101">
        <f>IF(H1033=1,IF(IFERROR(INDEX(coa_CF,MATCH(K1033,coa_Name,0)),"")="Cash",1,0),0)</f>
        <v/>
      </c>
      <c r="R1033" s="58">
        <f>IF((P1033-Q1033)=0,"",IFERROR(INDEX(coa_CF,MATCH(IF((P1033-Q1033)=1,K1033,I1033),coa_Name,0)),"Operating"))</f>
        <v/>
      </c>
      <c r="S1033" s="95">
        <f>IF((P1033-Q1033)=1,L1033,IF((P1033-Q1033)=-1,-J1033,0))</f>
        <v/>
      </c>
      <c r="T1033" s="95">
        <f>IF((P1033-Q1033)=1,N1033,IF((P1033-Q1033)=-1,-M1033,0))</f>
        <v/>
      </c>
      <c r="U1033" s="101">
        <f>IF(AND(H1033=1,LedAcct&lt;&gt;""),IF(AND(E1033&gt;=LedFrom,E1033&lt;=LedTo,OR(I1033=LedAcct,K1033=LedAcct,AND(LedAcct=acctTax,M1033+N1033&lt;&gt;0))),E1033*10000+B1033,""),"")</f>
        <v/>
      </c>
    </row>
    <row r="1034">
      <c r="B1034" s="101" t="n">
        <v>1028</v>
      </c>
      <c r="C1034" s="58" t="inlineStr">
        <is>
          <t>Transaction</t>
        </is>
      </c>
      <c r="D1034" s="58">
        <f>IF(H1034=1,INDEX(tx_ID,1028)&amp;"","")</f>
        <v/>
      </c>
      <c r="E1034" s="94">
        <f>IF(H1034=1,INDEX(tx_Date,1028),"")</f>
        <v/>
      </c>
      <c r="F1034" s="58">
        <f>IF(H1034=1,INDEX(tx_Desc,1028)&amp;"","")</f>
        <v/>
      </c>
      <c r="G1034" s="58">
        <f>IF(H1034=1,IF(INDEX(tx_Cust,1028)&amp;""&lt;&gt;"",INDEX(tx_Cust,1028)&amp;"",INDEX(tx_Vend,1028)&amp;""),"")</f>
        <v/>
      </c>
      <c r="H1034" s="101">
        <f>IFERROR(N(INDEX(tx_Posted,1028)),0)</f>
        <v/>
      </c>
      <c r="I1034" s="58">
        <f>IF(H1034=1,INDEX(tx_DrAcct,1028)&amp;"","")</f>
        <v/>
      </c>
      <c r="J1034" s="95">
        <f>IF(H1034=1,INDEX(tx_DrAmt,1028),0)</f>
        <v/>
      </c>
      <c r="K1034" s="58">
        <f>IF(H1034=1,INDEX(tx_CrAcct,1028)&amp;"","")</f>
        <v/>
      </c>
      <c r="L1034" s="95">
        <f>IF(H1034=1,INDEX(tx_CrAmt,1028),0)</f>
        <v/>
      </c>
      <c r="M1034" s="95">
        <f>IF(H1034=1,INDEX(tx_TaxDr,1028),0)</f>
        <v/>
      </c>
      <c r="N1034" s="95">
        <f>IF(H1034=1,INDEX(tx_TaxCr,1028),0)</f>
        <v/>
      </c>
      <c r="O1034" s="101">
        <f>IF(H1034=1,IF(E1034&lt;FYStart,0,IF(E1034&gt;FYEnd,13,YEAR(E1034)*12+MONTH(E1034)-FYYM+1)),"")</f>
        <v/>
      </c>
      <c r="P1034" s="101">
        <f>IF(H1034=1,IF(IFERROR(INDEX(coa_CF,MATCH(I1034,coa_Name,0)),"")="Cash",1,0),0)</f>
        <v/>
      </c>
      <c r="Q1034" s="101">
        <f>IF(H1034=1,IF(IFERROR(INDEX(coa_CF,MATCH(K1034,coa_Name,0)),"")="Cash",1,0),0)</f>
        <v/>
      </c>
      <c r="R1034" s="58">
        <f>IF((P1034-Q1034)=0,"",IFERROR(INDEX(coa_CF,MATCH(IF((P1034-Q1034)=1,K1034,I1034),coa_Name,0)),"Operating"))</f>
        <v/>
      </c>
      <c r="S1034" s="95">
        <f>IF((P1034-Q1034)=1,L1034,IF((P1034-Q1034)=-1,-J1034,0))</f>
        <v/>
      </c>
      <c r="T1034" s="95">
        <f>IF((P1034-Q1034)=1,N1034,IF((P1034-Q1034)=-1,-M1034,0))</f>
        <v/>
      </c>
      <c r="U1034" s="101">
        <f>IF(AND(H1034=1,LedAcct&lt;&gt;""),IF(AND(E1034&gt;=LedFrom,E1034&lt;=LedTo,OR(I1034=LedAcct,K1034=LedAcct,AND(LedAcct=acctTax,M1034+N1034&lt;&gt;0))),E1034*10000+B1034,""),"")</f>
        <v/>
      </c>
    </row>
    <row r="1035">
      <c r="B1035" s="101" t="n">
        <v>1029</v>
      </c>
      <c r="C1035" s="58" t="inlineStr">
        <is>
          <t>Transaction</t>
        </is>
      </c>
      <c r="D1035" s="58">
        <f>IF(H1035=1,INDEX(tx_ID,1029)&amp;"","")</f>
        <v/>
      </c>
      <c r="E1035" s="94">
        <f>IF(H1035=1,INDEX(tx_Date,1029),"")</f>
        <v/>
      </c>
      <c r="F1035" s="58">
        <f>IF(H1035=1,INDEX(tx_Desc,1029)&amp;"","")</f>
        <v/>
      </c>
      <c r="G1035" s="58">
        <f>IF(H1035=1,IF(INDEX(tx_Cust,1029)&amp;""&lt;&gt;"",INDEX(tx_Cust,1029)&amp;"",INDEX(tx_Vend,1029)&amp;""),"")</f>
        <v/>
      </c>
      <c r="H1035" s="101">
        <f>IFERROR(N(INDEX(tx_Posted,1029)),0)</f>
        <v/>
      </c>
      <c r="I1035" s="58">
        <f>IF(H1035=1,INDEX(tx_DrAcct,1029)&amp;"","")</f>
        <v/>
      </c>
      <c r="J1035" s="95">
        <f>IF(H1035=1,INDEX(tx_DrAmt,1029),0)</f>
        <v/>
      </c>
      <c r="K1035" s="58">
        <f>IF(H1035=1,INDEX(tx_CrAcct,1029)&amp;"","")</f>
        <v/>
      </c>
      <c r="L1035" s="95">
        <f>IF(H1035=1,INDEX(tx_CrAmt,1029),0)</f>
        <v/>
      </c>
      <c r="M1035" s="95">
        <f>IF(H1035=1,INDEX(tx_TaxDr,1029),0)</f>
        <v/>
      </c>
      <c r="N1035" s="95">
        <f>IF(H1035=1,INDEX(tx_TaxCr,1029),0)</f>
        <v/>
      </c>
      <c r="O1035" s="101">
        <f>IF(H1035=1,IF(E1035&lt;FYStart,0,IF(E1035&gt;FYEnd,13,YEAR(E1035)*12+MONTH(E1035)-FYYM+1)),"")</f>
        <v/>
      </c>
      <c r="P1035" s="101">
        <f>IF(H1035=1,IF(IFERROR(INDEX(coa_CF,MATCH(I1035,coa_Name,0)),"")="Cash",1,0),0)</f>
        <v/>
      </c>
      <c r="Q1035" s="101">
        <f>IF(H1035=1,IF(IFERROR(INDEX(coa_CF,MATCH(K1035,coa_Name,0)),"")="Cash",1,0),0)</f>
        <v/>
      </c>
      <c r="R1035" s="58">
        <f>IF((P1035-Q1035)=0,"",IFERROR(INDEX(coa_CF,MATCH(IF((P1035-Q1035)=1,K1035,I1035),coa_Name,0)),"Operating"))</f>
        <v/>
      </c>
      <c r="S1035" s="95">
        <f>IF((P1035-Q1035)=1,L1035,IF((P1035-Q1035)=-1,-J1035,0))</f>
        <v/>
      </c>
      <c r="T1035" s="95">
        <f>IF((P1035-Q1035)=1,N1035,IF((P1035-Q1035)=-1,-M1035,0))</f>
        <v/>
      </c>
      <c r="U1035" s="101">
        <f>IF(AND(H1035=1,LedAcct&lt;&gt;""),IF(AND(E1035&gt;=LedFrom,E1035&lt;=LedTo,OR(I1035=LedAcct,K1035=LedAcct,AND(LedAcct=acctTax,M1035+N1035&lt;&gt;0))),E1035*10000+B1035,""),"")</f>
        <v/>
      </c>
    </row>
    <row r="1036">
      <c r="B1036" s="101" t="n">
        <v>1030</v>
      </c>
      <c r="C1036" s="58" t="inlineStr">
        <is>
          <t>Transaction</t>
        </is>
      </c>
      <c r="D1036" s="58">
        <f>IF(H1036=1,INDEX(tx_ID,1030)&amp;"","")</f>
        <v/>
      </c>
      <c r="E1036" s="94">
        <f>IF(H1036=1,INDEX(tx_Date,1030),"")</f>
        <v/>
      </c>
      <c r="F1036" s="58">
        <f>IF(H1036=1,INDEX(tx_Desc,1030)&amp;"","")</f>
        <v/>
      </c>
      <c r="G1036" s="58">
        <f>IF(H1036=1,IF(INDEX(tx_Cust,1030)&amp;""&lt;&gt;"",INDEX(tx_Cust,1030)&amp;"",INDEX(tx_Vend,1030)&amp;""),"")</f>
        <v/>
      </c>
      <c r="H1036" s="101">
        <f>IFERROR(N(INDEX(tx_Posted,1030)),0)</f>
        <v/>
      </c>
      <c r="I1036" s="58">
        <f>IF(H1036=1,INDEX(tx_DrAcct,1030)&amp;"","")</f>
        <v/>
      </c>
      <c r="J1036" s="95">
        <f>IF(H1036=1,INDEX(tx_DrAmt,1030),0)</f>
        <v/>
      </c>
      <c r="K1036" s="58">
        <f>IF(H1036=1,INDEX(tx_CrAcct,1030)&amp;"","")</f>
        <v/>
      </c>
      <c r="L1036" s="95">
        <f>IF(H1036=1,INDEX(tx_CrAmt,1030),0)</f>
        <v/>
      </c>
      <c r="M1036" s="95">
        <f>IF(H1036=1,INDEX(tx_TaxDr,1030),0)</f>
        <v/>
      </c>
      <c r="N1036" s="95">
        <f>IF(H1036=1,INDEX(tx_TaxCr,1030),0)</f>
        <v/>
      </c>
      <c r="O1036" s="101">
        <f>IF(H1036=1,IF(E1036&lt;FYStart,0,IF(E1036&gt;FYEnd,13,YEAR(E1036)*12+MONTH(E1036)-FYYM+1)),"")</f>
        <v/>
      </c>
      <c r="P1036" s="101">
        <f>IF(H1036=1,IF(IFERROR(INDEX(coa_CF,MATCH(I1036,coa_Name,0)),"")="Cash",1,0),0)</f>
        <v/>
      </c>
      <c r="Q1036" s="101">
        <f>IF(H1036=1,IF(IFERROR(INDEX(coa_CF,MATCH(K1036,coa_Name,0)),"")="Cash",1,0),0)</f>
        <v/>
      </c>
      <c r="R1036" s="58">
        <f>IF((P1036-Q1036)=0,"",IFERROR(INDEX(coa_CF,MATCH(IF((P1036-Q1036)=1,K1036,I1036),coa_Name,0)),"Operating"))</f>
        <v/>
      </c>
      <c r="S1036" s="95">
        <f>IF((P1036-Q1036)=1,L1036,IF((P1036-Q1036)=-1,-J1036,0))</f>
        <v/>
      </c>
      <c r="T1036" s="95">
        <f>IF((P1036-Q1036)=1,N1036,IF((P1036-Q1036)=-1,-M1036,0))</f>
        <v/>
      </c>
      <c r="U1036" s="101">
        <f>IF(AND(H1036=1,LedAcct&lt;&gt;""),IF(AND(E1036&gt;=LedFrom,E1036&lt;=LedTo,OR(I1036=LedAcct,K1036=LedAcct,AND(LedAcct=acctTax,M1036+N1036&lt;&gt;0))),E1036*10000+B1036,""),"")</f>
        <v/>
      </c>
    </row>
    <row r="1037">
      <c r="B1037" s="101" t="n">
        <v>1031</v>
      </c>
      <c r="C1037" s="58" t="inlineStr">
        <is>
          <t>Transaction</t>
        </is>
      </c>
      <c r="D1037" s="58">
        <f>IF(H1037=1,INDEX(tx_ID,1031)&amp;"","")</f>
        <v/>
      </c>
      <c r="E1037" s="94">
        <f>IF(H1037=1,INDEX(tx_Date,1031),"")</f>
        <v/>
      </c>
      <c r="F1037" s="58">
        <f>IF(H1037=1,INDEX(tx_Desc,1031)&amp;"","")</f>
        <v/>
      </c>
      <c r="G1037" s="58">
        <f>IF(H1037=1,IF(INDEX(tx_Cust,1031)&amp;""&lt;&gt;"",INDEX(tx_Cust,1031)&amp;"",INDEX(tx_Vend,1031)&amp;""),"")</f>
        <v/>
      </c>
      <c r="H1037" s="101">
        <f>IFERROR(N(INDEX(tx_Posted,1031)),0)</f>
        <v/>
      </c>
      <c r="I1037" s="58">
        <f>IF(H1037=1,INDEX(tx_DrAcct,1031)&amp;"","")</f>
        <v/>
      </c>
      <c r="J1037" s="95">
        <f>IF(H1037=1,INDEX(tx_DrAmt,1031),0)</f>
        <v/>
      </c>
      <c r="K1037" s="58">
        <f>IF(H1037=1,INDEX(tx_CrAcct,1031)&amp;"","")</f>
        <v/>
      </c>
      <c r="L1037" s="95">
        <f>IF(H1037=1,INDEX(tx_CrAmt,1031),0)</f>
        <v/>
      </c>
      <c r="M1037" s="95">
        <f>IF(H1037=1,INDEX(tx_TaxDr,1031),0)</f>
        <v/>
      </c>
      <c r="N1037" s="95">
        <f>IF(H1037=1,INDEX(tx_TaxCr,1031),0)</f>
        <v/>
      </c>
      <c r="O1037" s="101">
        <f>IF(H1037=1,IF(E1037&lt;FYStart,0,IF(E1037&gt;FYEnd,13,YEAR(E1037)*12+MONTH(E1037)-FYYM+1)),"")</f>
        <v/>
      </c>
      <c r="P1037" s="101">
        <f>IF(H1037=1,IF(IFERROR(INDEX(coa_CF,MATCH(I1037,coa_Name,0)),"")="Cash",1,0),0)</f>
        <v/>
      </c>
      <c r="Q1037" s="101">
        <f>IF(H1037=1,IF(IFERROR(INDEX(coa_CF,MATCH(K1037,coa_Name,0)),"")="Cash",1,0),0)</f>
        <v/>
      </c>
      <c r="R1037" s="58">
        <f>IF((P1037-Q1037)=0,"",IFERROR(INDEX(coa_CF,MATCH(IF((P1037-Q1037)=1,K1037,I1037),coa_Name,0)),"Operating"))</f>
        <v/>
      </c>
      <c r="S1037" s="95">
        <f>IF((P1037-Q1037)=1,L1037,IF((P1037-Q1037)=-1,-J1037,0))</f>
        <v/>
      </c>
      <c r="T1037" s="95">
        <f>IF((P1037-Q1037)=1,N1037,IF((P1037-Q1037)=-1,-M1037,0))</f>
        <v/>
      </c>
      <c r="U1037" s="101">
        <f>IF(AND(H1037=1,LedAcct&lt;&gt;""),IF(AND(E1037&gt;=LedFrom,E1037&lt;=LedTo,OR(I1037=LedAcct,K1037=LedAcct,AND(LedAcct=acctTax,M1037+N1037&lt;&gt;0))),E1037*10000+B1037,""),"")</f>
        <v/>
      </c>
    </row>
    <row r="1038">
      <c r="B1038" s="101" t="n">
        <v>1032</v>
      </c>
      <c r="C1038" s="58" t="inlineStr">
        <is>
          <t>Transaction</t>
        </is>
      </c>
      <c r="D1038" s="58">
        <f>IF(H1038=1,INDEX(tx_ID,1032)&amp;"","")</f>
        <v/>
      </c>
      <c r="E1038" s="94">
        <f>IF(H1038=1,INDEX(tx_Date,1032),"")</f>
        <v/>
      </c>
      <c r="F1038" s="58">
        <f>IF(H1038=1,INDEX(tx_Desc,1032)&amp;"","")</f>
        <v/>
      </c>
      <c r="G1038" s="58">
        <f>IF(H1038=1,IF(INDEX(tx_Cust,1032)&amp;""&lt;&gt;"",INDEX(tx_Cust,1032)&amp;"",INDEX(tx_Vend,1032)&amp;""),"")</f>
        <v/>
      </c>
      <c r="H1038" s="101">
        <f>IFERROR(N(INDEX(tx_Posted,1032)),0)</f>
        <v/>
      </c>
      <c r="I1038" s="58">
        <f>IF(H1038=1,INDEX(tx_DrAcct,1032)&amp;"","")</f>
        <v/>
      </c>
      <c r="J1038" s="95">
        <f>IF(H1038=1,INDEX(tx_DrAmt,1032),0)</f>
        <v/>
      </c>
      <c r="K1038" s="58">
        <f>IF(H1038=1,INDEX(tx_CrAcct,1032)&amp;"","")</f>
        <v/>
      </c>
      <c r="L1038" s="95">
        <f>IF(H1038=1,INDEX(tx_CrAmt,1032),0)</f>
        <v/>
      </c>
      <c r="M1038" s="95">
        <f>IF(H1038=1,INDEX(tx_TaxDr,1032),0)</f>
        <v/>
      </c>
      <c r="N1038" s="95">
        <f>IF(H1038=1,INDEX(tx_TaxCr,1032),0)</f>
        <v/>
      </c>
      <c r="O1038" s="101">
        <f>IF(H1038=1,IF(E1038&lt;FYStart,0,IF(E1038&gt;FYEnd,13,YEAR(E1038)*12+MONTH(E1038)-FYYM+1)),"")</f>
        <v/>
      </c>
      <c r="P1038" s="101">
        <f>IF(H1038=1,IF(IFERROR(INDEX(coa_CF,MATCH(I1038,coa_Name,0)),"")="Cash",1,0),0)</f>
        <v/>
      </c>
      <c r="Q1038" s="101">
        <f>IF(H1038=1,IF(IFERROR(INDEX(coa_CF,MATCH(K1038,coa_Name,0)),"")="Cash",1,0),0)</f>
        <v/>
      </c>
      <c r="R1038" s="58">
        <f>IF((P1038-Q1038)=0,"",IFERROR(INDEX(coa_CF,MATCH(IF((P1038-Q1038)=1,K1038,I1038),coa_Name,0)),"Operating"))</f>
        <v/>
      </c>
      <c r="S1038" s="95">
        <f>IF((P1038-Q1038)=1,L1038,IF((P1038-Q1038)=-1,-J1038,0))</f>
        <v/>
      </c>
      <c r="T1038" s="95">
        <f>IF((P1038-Q1038)=1,N1038,IF((P1038-Q1038)=-1,-M1038,0))</f>
        <v/>
      </c>
      <c r="U1038" s="101">
        <f>IF(AND(H1038=1,LedAcct&lt;&gt;""),IF(AND(E1038&gt;=LedFrom,E1038&lt;=LedTo,OR(I1038=LedAcct,K1038=LedAcct,AND(LedAcct=acctTax,M1038+N1038&lt;&gt;0))),E1038*10000+B1038,""),"")</f>
        <v/>
      </c>
    </row>
    <row r="1039">
      <c r="B1039" s="101" t="n">
        <v>1033</v>
      </c>
      <c r="C1039" s="58" t="inlineStr">
        <is>
          <t>Transaction</t>
        </is>
      </c>
      <c r="D1039" s="58">
        <f>IF(H1039=1,INDEX(tx_ID,1033)&amp;"","")</f>
        <v/>
      </c>
      <c r="E1039" s="94">
        <f>IF(H1039=1,INDEX(tx_Date,1033),"")</f>
        <v/>
      </c>
      <c r="F1039" s="58">
        <f>IF(H1039=1,INDEX(tx_Desc,1033)&amp;"","")</f>
        <v/>
      </c>
      <c r="G1039" s="58">
        <f>IF(H1039=1,IF(INDEX(tx_Cust,1033)&amp;""&lt;&gt;"",INDEX(tx_Cust,1033)&amp;"",INDEX(tx_Vend,1033)&amp;""),"")</f>
        <v/>
      </c>
      <c r="H1039" s="101">
        <f>IFERROR(N(INDEX(tx_Posted,1033)),0)</f>
        <v/>
      </c>
      <c r="I1039" s="58">
        <f>IF(H1039=1,INDEX(tx_DrAcct,1033)&amp;"","")</f>
        <v/>
      </c>
      <c r="J1039" s="95">
        <f>IF(H1039=1,INDEX(tx_DrAmt,1033),0)</f>
        <v/>
      </c>
      <c r="K1039" s="58">
        <f>IF(H1039=1,INDEX(tx_CrAcct,1033)&amp;"","")</f>
        <v/>
      </c>
      <c r="L1039" s="95">
        <f>IF(H1039=1,INDEX(tx_CrAmt,1033),0)</f>
        <v/>
      </c>
      <c r="M1039" s="95">
        <f>IF(H1039=1,INDEX(tx_TaxDr,1033),0)</f>
        <v/>
      </c>
      <c r="N1039" s="95">
        <f>IF(H1039=1,INDEX(tx_TaxCr,1033),0)</f>
        <v/>
      </c>
      <c r="O1039" s="101">
        <f>IF(H1039=1,IF(E1039&lt;FYStart,0,IF(E1039&gt;FYEnd,13,YEAR(E1039)*12+MONTH(E1039)-FYYM+1)),"")</f>
        <v/>
      </c>
      <c r="P1039" s="101">
        <f>IF(H1039=1,IF(IFERROR(INDEX(coa_CF,MATCH(I1039,coa_Name,0)),"")="Cash",1,0),0)</f>
        <v/>
      </c>
      <c r="Q1039" s="101">
        <f>IF(H1039=1,IF(IFERROR(INDEX(coa_CF,MATCH(K1039,coa_Name,0)),"")="Cash",1,0),0)</f>
        <v/>
      </c>
      <c r="R1039" s="58">
        <f>IF((P1039-Q1039)=0,"",IFERROR(INDEX(coa_CF,MATCH(IF((P1039-Q1039)=1,K1039,I1039),coa_Name,0)),"Operating"))</f>
        <v/>
      </c>
      <c r="S1039" s="95">
        <f>IF((P1039-Q1039)=1,L1039,IF((P1039-Q1039)=-1,-J1039,0))</f>
        <v/>
      </c>
      <c r="T1039" s="95">
        <f>IF((P1039-Q1039)=1,N1039,IF((P1039-Q1039)=-1,-M1039,0))</f>
        <v/>
      </c>
      <c r="U1039" s="101">
        <f>IF(AND(H1039=1,LedAcct&lt;&gt;""),IF(AND(E1039&gt;=LedFrom,E1039&lt;=LedTo,OR(I1039=LedAcct,K1039=LedAcct,AND(LedAcct=acctTax,M1039+N1039&lt;&gt;0))),E1039*10000+B1039,""),"")</f>
        <v/>
      </c>
    </row>
    <row r="1040">
      <c r="B1040" s="101" t="n">
        <v>1034</v>
      </c>
      <c r="C1040" s="58" t="inlineStr">
        <is>
          <t>Transaction</t>
        </is>
      </c>
      <c r="D1040" s="58">
        <f>IF(H1040=1,INDEX(tx_ID,1034)&amp;"","")</f>
        <v/>
      </c>
      <c r="E1040" s="94">
        <f>IF(H1040=1,INDEX(tx_Date,1034),"")</f>
        <v/>
      </c>
      <c r="F1040" s="58">
        <f>IF(H1040=1,INDEX(tx_Desc,1034)&amp;"","")</f>
        <v/>
      </c>
      <c r="G1040" s="58">
        <f>IF(H1040=1,IF(INDEX(tx_Cust,1034)&amp;""&lt;&gt;"",INDEX(tx_Cust,1034)&amp;"",INDEX(tx_Vend,1034)&amp;""),"")</f>
        <v/>
      </c>
      <c r="H1040" s="101">
        <f>IFERROR(N(INDEX(tx_Posted,1034)),0)</f>
        <v/>
      </c>
      <c r="I1040" s="58">
        <f>IF(H1040=1,INDEX(tx_DrAcct,1034)&amp;"","")</f>
        <v/>
      </c>
      <c r="J1040" s="95">
        <f>IF(H1040=1,INDEX(tx_DrAmt,1034),0)</f>
        <v/>
      </c>
      <c r="K1040" s="58">
        <f>IF(H1040=1,INDEX(tx_CrAcct,1034)&amp;"","")</f>
        <v/>
      </c>
      <c r="L1040" s="95">
        <f>IF(H1040=1,INDEX(tx_CrAmt,1034),0)</f>
        <v/>
      </c>
      <c r="M1040" s="95">
        <f>IF(H1040=1,INDEX(tx_TaxDr,1034),0)</f>
        <v/>
      </c>
      <c r="N1040" s="95">
        <f>IF(H1040=1,INDEX(tx_TaxCr,1034),0)</f>
        <v/>
      </c>
      <c r="O1040" s="101">
        <f>IF(H1040=1,IF(E1040&lt;FYStart,0,IF(E1040&gt;FYEnd,13,YEAR(E1040)*12+MONTH(E1040)-FYYM+1)),"")</f>
        <v/>
      </c>
      <c r="P1040" s="101">
        <f>IF(H1040=1,IF(IFERROR(INDEX(coa_CF,MATCH(I1040,coa_Name,0)),"")="Cash",1,0),0)</f>
        <v/>
      </c>
      <c r="Q1040" s="101">
        <f>IF(H1040=1,IF(IFERROR(INDEX(coa_CF,MATCH(K1040,coa_Name,0)),"")="Cash",1,0),0)</f>
        <v/>
      </c>
      <c r="R1040" s="58">
        <f>IF((P1040-Q1040)=0,"",IFERROR(INDEX(coa_CF,MATCH(IF((P1040-Q1040)=1,K1040,I1040),coa_Name,0)),"Operating"))</f>
        <v/>
      </c>
      <c r="S1040" s="95">
        <f>IF((P1040-Q1040)=1,L1040,IF((P1040-Q1040)=-1,-J1040,0))</f>
        <v/>
      </c>
      <c r="T1040" s="95">
        <f>IF((P1040-Q1040)=1,N1040,IF((P1040-Q1040)=-1,-M1040,0))</f>
        <v/>
      </c>
      <c r="U1040" s="101">
        <f>IF(AND(H1040=1,LedAcct&lt;&gt;""),IF(AND(E1040&gt;=LedFrom,E1040&lt;=LedTo,OR(I1040=LedAcct,K1040=LedAcct,AND(LedAcct=acctTax,M1040+N1040&lt;&gt;0))),E1040*10000+B1040,""),"")</f>
        <v/>
      </c>
    </row>
    <row r="1041">
      <c r="B1041" s="101" t="n">
        <v>1035</v>
      </c>
      <c r="C1041" s="58" t="inlineStr">
        <is>
          <t>Transaction</t>
        </is>
      </c>
      <c r="D1041" s="58">
        <f>IF(H1041=1,INDEX(tx_ID,1035)&amp;"","")</f>
        <v/>
      </c>
      <c r="E1041" s="94">
        <f>IF(H1041=1,INDEX(tx_Date,1035),"")</f>
        <v/>
      </c>
      <c r="F1041" s="58">
        <f>IF(H1041=1,INDEX(tx_Desc,1035)&amp;"","")</f>
        <v/>
      </c>
      <c r="G1041" s="58">
        <f>IF(H1041=1,IF(INDEX(tx_Cust,1035)&amp;""&lt;&gt;"",INDEX(tx_Cust,1035)&amp;"",INDEX(tx_Vend,1035)&amp;""),"")</f>
        <v/>
      </c>
      <c r="H1041" s="101">
        <f>IFERROR(N(INDEX(tx_Posted,1035)),0)</f>
        <v/>
      </c>
      <c r="I1041" s="58">
        <f>IF(H1041=1,INDEX(tx_DrAcct,1035)&amp;"","")</f>
        <v/>
      </c>
      <c r="J1041" s="95">
        <f>IF(H1041=1,INDEX(tx_DrAmt,1035),0)</f>
        <v/>
      </c>
      <c r="K1041" s="58">
        <f>IF(H1041=1,INDEX(tx_CrAcct,1035)&amp;"","")</f>
        <v/>
      </c>
      <c r="L1041" s="95">
        <f>IF(H1041=1,INDEX(tx_CrAmt,1035),0)</f>
        <v/>
      </c>
      <c r="M1041" s="95">
        <f>IF(H1041=1,INDEX(tx_TaxDr,1035),0)</f>
        <v/>
      </c>
      <c r="N1041" s="95">
        <f>IF(H1041=1,INDEX(tx_TaxCr,1035),0)</f>
        <v/>
      </c>
      <c r="O1041" s="101">
        <f>IF(H1041=1,IF(E1041&lt;FYStart,0,IF(E1041&gt;FYEnd,13,YEAR(E1041)*12+MONTH(E1041)-FYYM+1)),"")</f>
        <v/>
      </c>
      <c r="P1041" s="101">
        <f>IF(H1041=1,IF(IFERROR(INDEX(coa_CF,MATCH(I1041,coa_Name,0)),"")="Cash",1,0),0)</f>
        <v/>
      </c>
      <c r="Q1041" s="101">
        <f>IF(H1041=1,IF(IFERROR(INDEX(coa_CF,MATCH(K1041,coa_Name,0)),"")="Cash",1,0),0)</f>
        <v/>
      </c>
      <c r="R1041" s="58">
        <f>IF((P1041-Q1041)=0,"",IFERROR(INDEX(coa_CF,MATCH(IF((P1041-Q1041)=1,K1041,I1041),coa_Name,0)),"Operating"))</f>
        <v/>
      </c>
      <c r="S1041" s="95">
        <f>IF((P1041-Q1041)=1,L1041,IF((P1041-Q1041)=-1,-J1041,0))</f>
        <v/>
      </c>
      <c r="T1041" s="95">
        <f>IF((P1041-Q1041)=1,N1041,IF((P1041-Q1041)=-1,-M1041,0))</f>
        <v/>
      </c>
      <c r="U1041" s="101">
        <f>IF(AND(H1041=1,LedAcct&lt;&gt;""),IF(AND(E1041&gt;=LedFrom,E1041&lt;=LedTo,OR(I1041=LedAcct,K1041=LedAcct,AND(LedAcct=acctTax,M1041+N1041&lt;&gt;0))),E1041*10000+B1041,""),"")</f>
        <v/>
      </c>
    </row>
    <row r="1042">
      <c r="B1042" s="101" t="n">
        <v>1036</v>
      </c>
      <c r="C1042" s="58" t="inlineStr">
        <is>
          <t>Transaction</t>
        </is>
      </c>
      <c r="D1042" s="58">
        <f>IF(H1042=1,INDEX(tx_ID,1036)&amp;"","")</f>
        <v/>
      </c>
      <c r="E1042" s="94">
        <f>IF(H1042=1,INDEX(tx_Date,1036),"")</f>
        <v/>
      </c>
      <c r="F1042" s="58">
        <f>IF(H1042=1,INDEX(tx_Desc,1036)&amp;"","")</f>
        <v/>
      </c>
      <c r="G1042" s="58">
        <f>IF(H1042=1,IF(INDEX(tx_Cust,1036)&amp;""&lt;&gt;"",INDEX(tx_Cust,1036)&amp;"",INDEX(tx_Vend,1036)&amp;""),"")</f>
        <v/>
      </c>
      <c r="H1042" s="101">
        <f>IFERROR(N(INDEX(tx_Posted,1036)),0)</f>
        <v/>
      </c>
      <c r="I1042" s="58">
        <f>IF(H1042=1,INDEX(tx_DrAcct,1036)&amp;"","")</f>
        <v/>
      </c>
      <c r="J1042" s="95">
        <f>IF(H1042=1,INDEX(tx_DrAmt,1036),0)</f>
        <v/>
      </c>
      <c r="K1042" s="58">
        <f>IF(H1042=1,INDEX(tx_CrAcct,1036)&amp;"","")</f>
        <v/>
      </c>
      <c r="L1042" s="95">
        <f>IF(H1042=1,INDEX(tx_CrAmt,1036),0)</f>
        <v/>
      </c>
      <c r="M1042" s="95">
        <f>IF(H1042=1,INDEX(tx_TaxDr,1036),0)</f>
        <v/>
      </c>
      <c r="N1042" s="95">
        <f>IF(H1042=1,INDEX(tx_TaxCr,1036),0)</f>
        <v/>
      </c>
      <c r="O1042" s="101">
        <f>IF(H1042=1,IF(E1042&lt;FYStart,0,IF(E1042&gt;FYEnd,13,YEAR(E1042)*12+MONTH(E1042)-FYYM+1)),"")</f>
        <v/>
      </c>
      <c r="P1042" s="101">
        <f>IF(H1042=1,IF(IFERROR(INDEX(coa_CF,MATCH(I1042,coa_Name,0)),"")="Cash",1,0),0)</f>
        <v/>
      </c>
      <c r="Q1042" s="101">
        <f>IF(H1042=1,IF(IFERROR(INDEX(coa_CF,MATCH(K1042,coa_Name,0)),"")="Cash",1,0),0)</f>
        <v/>
      </c>
      <c r="R1042" s="58">
        <f>IF((P1042-Q1042)=0,"",IFERROR(INDEX(coa_CF,MATCH(IF((P1042-Q1042)=1,K1042,I1042),coa_Name,0)),"Operating"))</f>
        <v/>
      </c>
      <c r="S1042" s="95">
        <f>IF((P1042-Q1042)=1,L1042,IF((P1042-Q1042)=-1,-J1042,0))</f>
        <v/>
      </c>
      <c r="T1042" s="95">
        <f>IF((P1042-Q1042)=1,N1042,IF((P1042-Q1042)=-1,-M1042,0))</f>
        <v/>
      </c>
      <c r="U1042" s="101">
        <f>IF(AND(H1042=1,LedAcct&lt;&gt;""),IF(AND(E1042&gt;=LedFrom,E1042&lt;=LedTo,OR(I1042=LedAcct,K1042=LedAcct,AND(LedAcct=acctTax,M1042+N1042&lt;&gt;0))),E1042*10000+B1042,""),"")</f>
        <v/>
      </c>
    </row>
    <row r="1043">
      <c r="B1043" s="101" t="n">
        <v>1037</v>
      </c>
      <c r="C1043" s="58" t="inlineStr">
        <is>
          <t>Transaction</t>
        </is>
      </c>
      <c r="D1043" s="58">
        <f>IF(H1043=1,INDEX(tx_ID,1037)&amp;"","")</f>
        <v/>
      </c>
      <c r="E1043" s="94">
        <f>IF(H1043=1,INDEX(tx_Date,1037),"")</f>
        <v/>
      </c>
      <c r="F1043" s="58">
        <f>IF(H1043=1,INDEX(tx_Desc,1037)&amp;"","")</f>
        <v/>
      </c>
      <c r="G1043" s="58">
        <f>IF(H1043=1,IF(INDEX(tx_Cust,1037)&amp;""&lt;&gt;"",INDEX(tx_Cust,1037)&amp;"",INDEX(tx_Vend,1037)&amp;""),"")</f>
        <v/>
      </c>
      <c r="H1043" s="101">
        <f>IFERROR(N(INDEX(tx_Posted,1037)),0)</f>
        <v/>
      </c>
      <c r="I1043" s="58">
        <f>IF(H1043=1,INDEX(tx_DrAcct,1037)&amp;"","")</f>
        <v/>
      </c>
      <c r="J1043" s="95">
        <f>IF(H1043=1,INDEX(tx_DrAmt,1037),0)</f>
        <v/>
      </c>
      <c r="K1043" s="58">
        <f>IF(H1043=1,INDEX(tx_CrAcct,1037)&amp;"","")</f>
        <v/>
      </c>
      <c r="L1043" s="95">
        <f>IF(H1043=1,INDEX(tx_CrAmt,1037),0)</f>
        <v/>
      </c>
      <c r="M1043" s="95">
        <f>IF(H1043=1,INDEX(tx_TaxDr,1037),0)</f>
        <v/>
      </c>
      <c r="N1043" s="95">
        <f>IF(H1043=1,INDEX(tx_TaxCr,1037),0)</f>
        <v/>
      </c>
      <c r="O1043" s="101">
        <f>IF(H1043=1,IF(E1043&lt;FYStart,0,IF(E1043&gt;FYEnd,13,YEAR(E1043)*12+MONTH(E1043)-FYYM+1)),"")</f>
        <v/>
      </c>
      <c r="P1043" s="101">
        <f>IF(H1043=1,IF(IFERROR(INDEX(coa_CF,MATCH(I1043,coa_Name,0)),"")="Cash",1,0),0)</f>
        <v/>
      </c>
      <c r="Q1043" s="101">
        <f>IF(H1043=1,IF(IFERROR(INDEX(coa_CF,MATCH(K1043,coa_Name,0)),"")="Cash",1,0),0)</f>
        <v/>
      </c>
      <c r="R1043" s="58">
        <f>IF((P1043-Q1043)=0,"",IFERROR(INDEX(coa_CF,MATCH(IF((P1043-Q1043)=1,K1043,I1043),coa_Name,0)),"Operating"))</f>
        <v/>
      </c>
      <c r="S1043" s="95">
        <f>IF((P1043-Q1043)=1,L1043,IF((P1043-Q1043)=-1,-J1043,0))</f>
        <v/>
      </c>
      <c r="T1043" s="95">
        <f>IF((P1043-Q1043)=1,N1043,IF((P1043-Q1043)=-1,-M1043,0))</f>
        <v/>
      </c>
      <c r="U1043" s="101">
        <f>IF(AND(H1043=1,LedAcct&lt;&gt;""),IF(AND(E1043&gt;=LedFrom,E1043&lt;=LedTo,OR(I1043=LedAcct,K1043=LedAcct,AND(LedAcct=acctTax,M1043+N1043&lt;&gt;0))),E1043*10000+B1043,""),"")</f>
        <v/>
      </c>
    </row>
    <row r="1044">
      <c r="B1044" s="101" t="n">
        <v>1038</v>
      </c>
      <c r="C1044" s="58" t="inlineStr">
        <is>
          <t>Transaction</t>
        </is>
      </c>
      <c r="D1044" s="58">
        <f>IF(H1044=1,INDEX(tx_ID,1038)&amp;"","")</f>
        <v/>
      </c>
      <c r="E1044" s="94">
        <f>IF(H1044=1,INDEX(tx_Date,1038),"")</f>
        <v/>
      </c>
      <c r="F1044" s="58">
        <f>IF(H1044=1,INDEX(tx_Desc,1038)&amp;"","")</f>
        <v/>
      </c>
      <c r="G1044" s="58">
        <f>IF(H1044=1,IF(INDEX(tx_Cust,1038)&amp;""&lt;&gt;"",INDEX(tx_Cust,1038)&amp;"",INDEX(tx_Vend,1038)&amp;""),"")</f>
        <v/>
      </c>
      <c r="H1044" s="101">
        <f>IFERROR(N(INDEX(tx_Posted,1038)),0)</f>
        <v/>
      </c>
      <c r="I1044" s="58">
        <f>IF(H1044=1,INDEX(tx_DrAcct,1038)&amp;"","")</f>
        <v/>
      </c>
      <c r="J1044" s="95">
        <f>IF(H1044=1,INDEX(tx_DrAmt,1038),0)</f>
        <v/>
      </c>
      <c r="K1044" s="58">
        <f>IF(H1044=1,INDEX(tx_CrAcct,1038)&amp;"","")</f>
        <v/>
      </c>
      <c r="L1044" s="95">
        <f>IF(H1044=1,INDEX(tx_CrAmt,1038),0)</f>
        <v/>
      </c>
      <c r="M1044" s="95">
        <f>IF(H1044=1,INDEX(tx_TaxDr,1038),0)</f>
        <v/>
      </c>
      <c r="N1044" s="95">
        <f>IF(H1044=1,INDEX(tx_TaxCr,1038),0)</f>
        <v/>
      </c>
      <c r="O1044" s="101">
        <f>IF(H1044=1,IF(E1044&lt;FYStart,0,IF(E1044&gt;FYEnd,13,YEAR(E1044)*12+MONTH(E1044)-FYYM+1)),"")</f>
        <v/>
      </c>
      <c r="P1044" s="101">
        <f>IF(H1044=1,IF(IFERROR(INDEX(coa_CF,MATCH(I1044,coa_Name,0)),"")="Cash",1,0),0)</f>
        <v/>
      </c>
      <c r="Q1044" s="101">
        <f>IF(H1044=1,IF(IFERROR(INDEX(coa_CF,MATCH(K1044,coa_Name,0)),"")="Cash",1,0),0)</f>
        <v/>
      </c>
      <c r="R1044" s="58">
        <f>IF((P1044-Q1044)=0,"",IFERROR(INDEX(coa_CF,MATCH(IF((P1044-Q1044)=1,K1044,I1044),coa_Name,0)),"Operating"))</f>
        <v/>
      </c>
      <c r="S1044" s="95">
        <f>IF((P1044-Q1044)=1,L1044,IF((P1044-Q1044)=-1,-J1044,0))</f>
        <v/>
      </c>
      <c r="T1044" s="95">
        <f>IF((P1044-Q1044)=1,N1044,IF((P1044-Q1044)=-1,-M1044,0))</f>
        <v/>
      </c>
      <c r="U1044" s="101">
        <f>IF(AND(H1044=1,LedAcct&lt;&gt;""),IF(AND(E1044&gt;=LedFrom,E1044&lt;=LedTo,OR(I1044=LedAcct,K1044=LedAcct,AND(LedAcct=acctTax,M1044+N1044&lt;&gt;0))),E1044*10000+B1044,""),"")</f>
        <v/>
      </c>
    </row>
    <row r="1045">
      <c r="B1045" s="101" t="n">
        <v>1039</v>
      </c>
      <c r="C1045" s="58" t="inlineStr">
        <is>
          <t>Transaction</t>
        </is>
      </c>
      <c r="D1045" s="58">
        <f>IF(H1045=1,INDEX(tx_ID,1039)&amp;"","")</f>
        <v/>
      </c>
      <c r="E1045" s="94">
        <f>IF(H1045=1,INDEX(tx_Date,1039),"")</f>
        <v/>
      </c>
      <c r="F1045" s="58">
        <f>IF(H1045=1,INDEX(tx_Desc,1039)&amp;"","")</f>
        <v/>
      </c>
      <c r="G1045" s="58">
        <f>IF(H1045=1,IF(INDEX(tx_Cust,1039)&amp;""&lt;&gt;"",INDEX(tx_Cust,1039)&amp;"",INDEX(tx_Vend,1039)&amp;""),"")</f>
        <v/>
      </c>
      <c r="H1045" s="101">
        <f>IFERROR(N(INDEX(tx_Posted,1039)),0)</f>
        <v/>
      </c>
      <c r="I1045" s="58">
        <f>IF(H1045=1,INDEX(tx_DrAcct,1039)&amp;"","")</f>
        <v/>
      </c>
      <c r="J1045" s="95">
        <f>IF(H1045=1,INDEX(tx_DrAmt,1039),0)</f>
        <v/>
      </c>
      <c r="K1045" s="58">
        <f>IF(H1045=1,INDEX(tx_CrAcct,1039)&amp;"","")</f>
        <v/>
      </c>
      <c r="L1045" s="95">
        <f>IF(H1045=1,INDEX(tx_CrAmt,1039),0)</f>
        <v/>
      </c>
      <c r="M1045" s="95">
        <f>IF(H1045=1,INDEX(tx_TaxDr,1039),0)</f>
        <v/>
      </c>
      <c r="N1045" s="95">
        <f>IF(H1045=1,INDEX(tx_TaxCr,1039),0)</f>
        <v/>
      </c>
      <c r="O1045" s="101">
        <f>IF(H1045=1,IF(E1045&lt;FYStart,0,IF(E1045&gt;FYEnd,13,YEAR(E1045)*12+MONTH(E1045)-FYYM+1)),"")</f>
        <v/>
      </c>
      <c r="P1045" s="101">
        <f>IF(H1045=1,IF(IFERROR(INDEX(coa_CF,MATCH(I1045,coa_Name,0)),"")="Cash",1,0),0)</f>
        <v/>
      </c>
      <c r="Q1045" s="101">
        <f>IF(H1045=1,IF(IFERROR(INDEX(coa_CF,MATCH(K1045,coa_Name,0)),"")="Cash",1,0),0)</f>
        <v/>
      </c>
      <c r="R1045" s="58">
        <f>IF((P1045-Q1045)=0,"",IFERROR(INDEX(coa_CF,MATCH(IF((P1045-Q1045)=1,K1045,I1045),coa_Name,0)),"Operating"))</f>
        <v/>
      </c>
      <c r="S1045" s="95">
        <f>IF((P1045-Q1045)=1,L1045,IF((P1045-Q1045)=-1,-J1045,0))</f>
        <v/>
      </c>
      <c r="T1045" s="95">
        <f>IF((P1045-Q1045)=1,N1045,IF((P1045-Q1045)=-1,-M1045,0))</f>
        <v/>
      </c>
      <c r="U1045" s="101">
        <f>IF(AND(H1045=1,LedAcct&lt;&gt;""),IF(AND(E1045&gt;=LedFrom,E1045&lt;=LedTo,OR(I1045=LedAcct,K1045=LedAcct,AND(LedAcct=acctTax,M1045+N1045&lt;&gt;0))),E1045*10000+B1045,""),"")</f>
        <v/>
      </c>
    </row>
    <row r="1046">
      <c r="B1046" s="101" t="n">
        <v>1040</v>
      </c>
      <c r="C1046" s="58" t="inlineStr">
        <is>
          <t>Transaction</t>
        </is>
      </c>
      <c r="D1046" s="58">
        <f>IF(H1046=1,INDEX(tx_ID,1040)&amp;"","")</f>
        <v/>
      </c>
      <c r="E1046" s="94">
        <f>IF(H1046=1,INDEX(tx_Date,1040),"")</f>
        <v/>
      </c>
      <c r="F1046" s="58">
        <f>IF(H1046=1,INDEX(tx_Desc,1040)&amp;"","")</f>
        <v/>
      </c>
      <c r="G1046" s="58">
        <f>IF(H1046=1,IF(INDEX(tx_Cust,1040)&amp;""&lt;&gt;"",INDEX(tx_Cust,1040)&amp;"",INDEX(tx_Vend,1040)&amp;""),"")</f>
        <v/>
      </c>
      <c r="H1046" s="101">
        <f>IFERROR(N(INDEX(tx_Posted,1040)),0)</f>
        <v/>
      </c>
      <c r="I1046" s="58">
        <f>IF(H1046=1,INDEX(tx_DrAcct,1040)&amp;"","")</f>
        <v/>
      </c>
      <c r="J1046" s="95">
        <f>IF(H1046=1,INDEX(tx_DrAmt,1040),0)</f>
        <v/>
      </c>
      <c r="K1046" s="58">
        <f>IF(H1046=1,INDEX(tx_CrAcct,1040)&amp;"","")</f>
        <v/>
      </c>
      <c r="L1046" s="95">
        <f>IF(H1046=1,INDEX(tx_CrAmt,1040),0)</f>
        <v/>
      </c>
      <c r="M1046" s="95">
        <f>IF(H1046=1,INDEX(tx_TaxDr,1040),0)</f>
        <v/>
      </c>
      <c r="N1046" s="95">
        <f>IF(H1046=1,INDEX(tx_TaxCr,1040),0)</f>
        <v/>
      </c>
      <c r="O1046" s="101">
        <f>IF(H1046=1,IF(E1046&lt;FYStart,0,IF(E1046&gt;FYEnd,13,YEAR(E1046)*12+MONTH(E1046)-FYYM+1)),"")</f>
        <v/>
      </c>
      <c r="P1046" s="101">
        <f>IF(H1046=1,IF(IFERROR(INDEX(coa_CF,MATCH(I1046,coa_Name,0)),"")="Cash",1,0),0)</f>
        <v/>
      </c>
      <c r="Q1046" s="101">
        <f>IF(H1046=1,IF(IFERROR(INDEX(coa_CF,MATCH(K1046,coa_Name,0)),"")="Cash",1,0),0)</f>
        <v/>
      </c>
      <c r="R1046" s="58">
        <f>IF((P1046-Q1046)=0,"",IFERROR(INDEX(coa_CF,MATCH(IF((P1046-Q1046)=1,K1046,I1046),coa_Name,0)),"Operating"))</f>
        <v/>
      </c>
      <c r="S1046" s="95">
        <f>IF((P1046-Q1046)=1,L1046,IF((P1046-Q1046)=-1,-J1046,0))</f>
        <v/>
      </c>
      <c r="T1046" s="95">
        <f>IF((P1046-Q1046)=1,N1046,IF((P1046-Q1046)=-1,-M1046,0))</f>
        <v/>
      </c>
      <c r="U1046" s="101">
        <f>IF(AND(H1046=1,LedAcct&lt;&gt;""),IF(AND(E1046&gt;=LedFrom,E1046&lt;=LedTo,OR(I1046=LedAcct,K1046=LedAcct,AND(LedAcct=acctTax,M1046+N1046&lt;&gt;0))),E1046*10000+B1046,""),"")</f>
        <v/>
      </c>
    </row>
    <row r="1047">
      <c r="B1047" s="101" t="n">
        <v>1041</v>
      </c>
      <c r="C1047" s="58" t="inlineStr">
        <is>
          <t>Transaction</t>
        </is>
      </c>
      <c r="D1047" s="58">
        <f>IF(H1047=1,INDEX(tx_ID,1041)&amp;"","")</f>
        <v/>
      </c>
      <c r="E1047" s="94">
        <f>IF(H1047=1,INDEX(tx_Date,1041),"")</f>
        <v/>
      </c>
      <c r="F1047" s="58">
        <f>IF(H1047=1,INDEX(tx_Desc,1041)&amp;"","")</f>
        <v/>
      </c>
      <c r="G1047" s="58">
        <f>IF(H1047=1,IF(INDEX(tx_Cust,1041)&amp;""&lt;&gt;"",INDEX(tx_Cust,1041)&amp;"",INDEX(tx_Vend,1041)&amp;""),"")</f>
        <v/>
      </c>
      <c r="H1047" s="101">
        <f>IFERROR(N(INDEX(tx_Posted,1041)),0)</f>
        <v/>
      </c>
      <c r="I1047" s="58">
        <f>IF(H1047=1,INDEX(tx_DrAcct,1041)&amp;"","")</f>
        <v/>
      </c>
      <c r="J1047" s="95">
        <f>IF(H1047=1,INDEX(tx_DrAmt,1041),0)</f>
        <v/>
      </c>
      <c r="K1047" s="58">
        <f>IF(H1047=1,INDEX(tx_CrAcct,1041)&amp;"","")</f>
        <v/>
      </c>
      <c r="L1047" s="95">
        <f>IF(H1047=1,INDEX(tx_CrAmt,1041),0)</f>
        <v/>
      </c>
      <c r="M1047" s="95">
        <f>IF(H1047=1,INDEX(tx_TaxDr,1041),0)</f>
        <v/>
      </c>
      <c r="N1047" s="95">
        <f>IF(H1047=1,INDEX(tx_TaxCr,1041),0)</f>
        <v/>
      </c>
      <c r="O1047" s="101">
        <f>IF(H1047=1,IF(E1047&lt;FYStart,0,IF(E1047&gt;FYEnd,13,YEAR(E1047)*12+MONTH(E1047)-FYYM+1)),"")</f>
        <v/>
      </c>
      <c r="P1047" s="101">
        <f>IF(H1047=1,IF(IFERROR(INDEX(coa_CF,MATCH(I1047,coa_Name,0)),"")="Cash",1,0),0)</f>
        <v/>
      </c>
      <c r="Q1047" s="101">
        <f>IF(H1047=1,IF(IFERROR(INDEX(coa_CF,MATCH(K1047,coa_Name,0)),"")="Cash",1,0),0)</f>
        <v/>
      </c>
      <c r="R1047" s="58">
        <f>IF((P1047-Q1047)=0,"",IFERROR(INDEX(coa_CF,MATCH(IF((P1047-Q1047)=1,K1047,I1047),coa_Name,0)),"Operating"))</f>
        <v/>
      </c>
      <c r="S1047" s="95">
        <f>IF((P1047-Q1047)=1,L1047,IF((P1047-Q1047)=-1,-J1047,0))</f>
        <v/>
      </c>
      <c r="T1047" s="95">
        <f>IF((P1047-Q1047)=1,N1047,IF((P1047-Q1047)=-1,-M1047,0))</f>
        <v/>
      </c>
      <c r="U1047" s="101">
        <f>IF(AND(H1047=1,LedAcct&lt;&gt;""),IF(AND(E1047&gt;=LedFrom,E1047&lt;=LedTo,OR(I1047=LedAcct,K1047=LedAcct,AND(LedAcct=acctTax,M1047+N1047&lt;&gt;0))),E1047*10000+B1047,""),"")</f>
        <v/>
      </c>
    </row>
    <row r="1048">
      <c r="B1048" s="101" t="n">
        <v>1042</v>
      </c>
      <c r="C1048" s="58" t="inlineStr">
        <is>
          <t>Transaction</t>
        </is>
      </c>
      <c r="D1048" s="58">
        <f>IF(H1048=1,INDEX(tx_ID,1042)&amp;"","")</f>
        <v/>
      </c>
      <c r="E1048" s="94">
        <f>IF(H1048=1,INDEX(tx_Date,1042),"")</f>
        <v/>
      </c>
      <c r="F1048" s="58">
        <f>IF(H1048=1,INDEX(tx_Desc,1042)&amp;"","")</f>
        <v/>
      </c>
      <c r="G1048" s="58">
        <f>IF(H1048=1,IF(INDEX(tx_Cust,1042)&amp;""&lt;&gt;"",INDEX(tx_Cust,1042)&amp;"",INDEX(tx_Vend,1042)&amp;""),"")</f>
        <v/>
      </c>
      <c r="H1048" s="101">
        <f>IFERROR(N(INDEX(tx_Posted,1042)),0)</f>
        <v/>
      </c>
      <c r="I1048" s="58">
        <f>IF(H1048=1,INDEX(tx_DrAcct,1042)&amp;"","")</f>
        <v/>
      </c>
      <c r="J1048" s="95">
        <f>IF(H1048=1,INDEX(tx_DrAmt,1042),0)</f>
        <v/>
      </c>
      <c r="K1048" s="58">
        <f>IF(H1048=1,INDEX(tx_CrAcct,1042)&amp;"","")</f>
        <v/>
      </c>
      <c r="L1048" s="95">
        <f>IF(H1048=1,INDEX(tx_CrAmt,1042),0)</f>
        <v/>
      </c>
      <c r="M1048" s="95">
        <f>IF(H1048=1,INDEX(tx_TaxDr,1042),0)</f>
        <v/>
      </c>
      <c r="N1048" s="95">
        <f>IF(H1048=1,INDEX(tx_TaxCr,1042),0)</f>
        <v/>
      </c>
      <c r="O1048" s="101">
        <f>IF(H1048=1,IF(E1048&lt;FYStart,0,IF(E1048&gt;FYEnd,13,YEAR(E1048)*12+MONTH(E1048)-FYYM+1)),"")</f>
        <v/>
      </c>
      <c r="P1048" s="101">
        <f>IF(H1048=1,IF(IFERROR(INDEX(coa_CF,MATCH(I1048,coa_Name,0)),"")="Cash",1,0),0)</f>
        <v/>
      </c>
      <c r="Q1048" s="101">
        <f>IF(H1048=1,IF(IFERROR(INDEX(coa_CF,MATCH(K1048,coa_Name,0)),"")="Cash",1,0),0)</f>
        <v/>
      </c>
      <c r="R1048" s="58">
        <f>IF((P1048-Q1048)=0,"",IFERROR(INDEX(coa_CF,MATCH(IF((P1048-Q1048)=1,K1048,I1048),coa_Name,0)),"Operating"))</f>
        <v/>
      </c>
      <c r="S1048" s="95">
        <f>IF((P1048-Q1048)=1,L1048,IF((P1048-Q1048)=-1,-J1048,0))</f>
        <v/>
      </c>
      <c r="T1048" s="95">
        <f>IF((P1048-Q1048)=1,N1048,IF((P1048-Q1048)=-1,-M1048,0))</f>
        <v/>
      </c>
      <c r="U1048" s="101">
        <f>IF(AND(H1048=1,LedAcct&lt;&gt;""),IF(AND(E1048&gt;=LedFrom,E1048&lt;=LedTo,OR(I1048=LedAcct,K1048=LedAcct,AND(LedAcct=acctTax,M1048+N1048&lt;&gt;0))),E1048*10000+B1048,""),"")</f>
        <v/>
      </c>
    </row>
    <row r="1049">
      <c r="B1049" s="101" t="n">
        <v>1043</v>
      </c>
      <c r="C1049" s="58" t="inlineStr">
        <is>
          <t>Transaction</t>
        </is>
      </c>
      <c r="D1049" s="58">
        <f>IF(H1049=1,INDEX(tx_ID,1043)&amp;"","")</f>
        <v/>
      </c>
      <c r="E1049" s="94">
        <f>IF(H1049=1,INDEX(tx_Date,1043),"")</f>
        <v/>
      </c>
      <c r="F1049" s="58">
        <f>IF(H1049=1,INDEX(tx_Desc,1043)&amp;"","")</f>
        <v/>
      </c>
      <c r="G1049" s="58">
        <f>IF(H1049=1,IF(INDEX(tx_Cust,1043)&amp;""&lt;&gt;"",INDEX(tx_Cust,1043)&amp;"",INDEX(tx_Vend,1043)&amp;""),"")</f>
        <v/>
      </c>
      <c r="H1049" s="101">
        <f>IFERROR(N(INDEX(tx_Posted,1043)),0)</f>
        <v/>
      </c>
      <c r="I1049" s="58">
        <f>IF(H1049=1,INDEX(tx_DrAcct,1043)&amp;"","")</f>
        <v/>
      </c>
      <c r="J1049" s="95">
        <f>IF(H1049=1,INDEX(tx_DrAmt,1043),0)</f>
        <v/>
      </c>
      <c r="K1049" s="58">
        <f>IF(H1049=1,INDEX(tx_CrAcct,1043)&amp;"","")</f>
        <v/>
      </c>
      <c r="L1049" s="95">
        <f>IF(H1049=1,INDEX(tx_CrAmt,1043),0)</f>
        <v/>
      </c>
      <c r="M1049" s="95">
        <f>IF(H1049=1,INDEX(tx_TaxDr,1043),0)</f>
        <v/>
      </c>
      <c r="N1049" s="95">
        <f>IF(H1049=1,INDEX(tx_TaxCr,1043),0)</f>
        <v/>
      </c>
      <c r="O1049" s="101">
        <f>IF(H1049=1,IF(E1049&lt;FYStart,0,IF(E1049&gt;FYEnd,13,YEAR(E1049)*12+MONTH(E1049)-FYYM+1)),"")</f>
        <v/>
      </c>
      <c r="P1049" s="101">
        <f>IF(H1049=1,IF(IFERROR(INDEX(coa_CF,MATCH(I1049,coa_Name,0)),"")="Cash",1,0),0)</f>
        <v/>
      </c>
      <c r="Q1049" s="101">
        <f>IF(H1049=1,IF(IFERROR(INDEX(coa_CF,MATCH(K1049,coa_Name,0)),"")="Cash",1,0),0)</f>
        <v/>
      </c>
      <c r="R1049" s="58">
        <f>IF((P1049-Q1049)=0,"",IFERROR(INDEX(coa_CF,MATCH(IF((P1049-Q1049)=1,K1049,I1049),coa_Name,0)),"Operating"))</f>
        <v/>
      </c>
      <c r="S1049" s="95">
        <f>IF((P1049-Q1049)=1,L1049,IF((P1049-Q1049)=-1,-J1049,0))</f>
        <v/>
      </c>
      <c r="T1049" s="95">
        <f>IF((P1049-Q1049)=1,N1049,IF((P1049-Q1049)=-1,-M1049,0))</f>
        <v/>
      </c>
      <c r="U1049" s="101">
        <f>IF(AND(H1049=1,LedAcct&lt;&gt;""),IF(AND(E1049&gt;=LedFrom,E1049&lt;=LedTo,OR(I1049=LedAcct,K1049=LedAcct,AND(LedAcct=acctTax,M1049+N1049&lt;&gt;0))),E1049*10000+B1049,""),"")</f>
        <v/>
      </c>
    </row>
    <row r="1050">
      <c r="B1050" s="101" t="n">
        <v>1044</v>
      </c>
      <c r="C1050" s="58" t="inlineStr">
        <is>
          <t>Transaction</t>
        </is>
      </c>
      <c r="D1050" s="58">
        <f>IF(H1050=1,INDEX(tx_ID,1044)&amp;"","")</f>
        <v/>
      </c>
      <c r="E1050" s="94">
        <f>IF(H1050=1,INDEX(tx_Date,1044),"")</f>
        <v/>
      </c>
      <c r="F1050" s="58">
        <f>IF(H1050=1,INDEX(tx_Desc,1044)&amp;"","")</f>
        <v/>
      </c>
      <c r="G1050" s="58">
        <f>IF(H1050=1,IF(INDEX(tx_Cust,1044)&amp;""&lt;&gt;"",INDEX(tx_Cust,1044)&amp;"",INDEX(tx_Vend,1044)&amp;""),"")</f>
        <v/>
      </c>
      <c r="H1050" s="101">
        <f>IFERROR(N(INDEX(tx_Posted,1044)),0)</f>
        <v/>
      </c>
      <c r="I1050" s="58">
        <f>IF(H1050=1,INDEX(tx_DrAcct,1044)&amp;"","")</f>
        <v/>
      </c>
      <c r="J1050" s="95">
        <f>IF(H1050=1,INDEX(tx_DrAmt,1044),0)</f>
        <v/>
      </c>
      <c r="K1050" s="58">
        <f>IF(H1050=1,INDEX(tx_CrAcct,1044)&amp;"","")</f>
        <v/>
      </c>
      <c r="L1050" s="95">
        <f>IF(H1050=1,INDEX(tx_CrAmt,1044),0)</f>
        <v/>
      </c>
      <c r="M1050" s="95">
        <f>IF(H1050=1,INDEX(tx_TaxDr,1044),0)</f>
        <v/>
      </c>
      <c r="N1050" s="95">
        <f>IF(H1050=1,INDEX(tx_TaxCr,1044),0)</f>
        <v/>
      </c>
      <c r="O1050" s="101">
        <f>IF(H1050=1,IF(E1050&lt;FYStart,0,IF(E1050&gt;FYEnd,13,YEAR(E1050)*12+MONTH(E1050)-FYYM+1)),"")</f>
        <v/>
      </c>
      <c r="P1050" s="101">
        <f>IF(H1050=1,IF(IFERROR(INDEX(coa_CF,MATCH(I1050,coa_Name,0)),"")="Cash",1,0),0)</f>
        <v/>
      </c>
      <c r="Q1050" s="101">
        <f>IF(H1050=1,IF(IFERROR(INDEX(coa_CF,MATCH(K1050,coa_Name,0)),"")="Cash",1,0),0)</f>
        <v/>
      </c>
      <c r="R1050" s="58">
        <f>IF((P1050-Q1050)=0,"",IFERROR(INDEX(coa_CF,MATCH(IF((P1050-Q1050)=1,K1050,I1050),coa_Name,0)),"Operating"))</f>
        <v/>
      </c>
      <c r="S1050" s="95">
        <f>IF((P1050-Q1050)=1,L1050,IF((P1050-Q1050)=-1,-J1050,0))</f>
        <v/>
      </c>
      <c r="T1050" s="95">
        <f>IF((P1050-Q1050)=1,N1050,IF((P1050-Q1050)=-1,-M1050,0))</f>
        <v/>
      </c>
      <c r="U1050" s="101">
        <f>IF(AND(H1050=1,LedAcct&lt;&gt;""),IF(AND(E1050&gt;=LedFrom,E1050&lt;=LedTo,OR(I1050=LedAcct,K1050=LedAcct,AND(LedAcct=acctTax,M1050+N1050&lt;&gt;0))),E1050*10000+B1050,""),"")</f>
        <v/>
      </c>
    </row>
    <row r="1051">
      <c r="B1051" s="101" t="n">
        <v>1045</v>
      </c>
      <c r="C1051" s="58" t="inlineStr">
        <is>
          <t>Transaction</t>
        </is>
      </c>
      <c r="D1051" s="58">
        <f>IF(H1051=1,INDEX(tx_ID,1045)&amp;"","")</f>
        <v/>
      </c>
      <c r="E1051" s="94">
        <f>IF(H1051=1,INDEX(tx_Date,1045),"")</f>
        <v/>
      </c>
      <c r="F1051" s="58">
        <f>IF(H1051=1,INDEX(tx_Desc,1045)&amp;"","")</f>
        <v/>
      </c>
      <c r="G1051" s="58">
        <f>IF(H1051=1,IF(INDEX(tx_Cust,1045)&amp;""&lt;&gt;"",INDEX(tx_Cust,1045)&amp;"",INDEX(tx_Vend,1045)&amp;""),"")</f>
        <v/>
      </c>
      <c r="H1051" s="101">
        <f>IFERROR(N(INDEX(tx_Posted,1045)),0)</f>
        <v/>
      </c>
      <c r="I1051" s="58">
        <f>IF(H1051=1,INDEX(tx_DrAcct,1045)&amp;"","")</f>
        <v/>
      </c>
      <c r="J1051" s="95">
        <f>IF(H1051=1,INDEX(tx_DrAmt,1045),0)</f>
        <v/>
      </c>
      <c r="K1051" s="58">
        <f>IF(H1051=1,INDEX(tx_CrAcct,1045)&amp;"","")</f>
        <v/>
      </c>
      <c r="L1051" s="95">
        <f>IF(H1051=1,INDEX(tx_CrAmt,1045),0)</f>
        <v/>
      </c>
      <c r="M1051" s="95">
        <f>IF(H1051=1,INDEX(tx_TaxDr,1045),0)</f>
        <v/>
      </c>
      <c r="N1051" s="95">
        <f>IF(H1051=1,INDEX(tx_TaxCr,1045),0)</f>
        <v/>
      </c>
      <c r="O1051" s="101">
        <f>IF(H1051=1,IF(E1051&lt;FYStart,0,IF(E1051&gt;FYEnd,13,YEAR(E1051)*12+MONTH(E1051)-FYYM+1)),"")</f>
        <v/>
      </c>
      <c r="P1051" s="101">
        <f>IF(H1051=1,IF(IFERROR(INDEX(coa_CF,MATCH(I1051,coa_Name,0)),"")="Cash",1,0),0)</f>
        <v/>
      </c>
      <c r="Q1051" s="101">
        <f>IF(H1051=1,IF(IFERROR(INDEX(coa_CF,MATCH(K1051,coa_Name,0)),"")="Cash",1,0),0)</f>
        <v/>
      </c>
      <c r="R1051" s="58">
        <f>IF((P1051-Q1051)=0,"",IFERROR(INDEX(coa_CF,MATCH(IF((P1051-Q1051)=1,K1051,I1051),coa_Name,0)),"Operating"))</f>
        <v/>
      </c>
      <c r="S1051" s="95">
        <f>IF((P1051-Q1051)=1,L1051,IF((P1051-Q1051)=-1,-J1051,0))</f>
        <v/>
      </c>
      <c r="T1051" s="95">
        <f>IF((P1051-Q1051)=1,N1051,IF((P1051-Q1051)=-1,-M1051,0))</f>
        <v/>
      </c>
      <c r="U1051" s="101">
        <f>IF(AND(H1051=1,LedAcct&lt;&gt;""),IF(AND(E1051&gt;=LedFrom,E1051&lt;=LedTo,OR(I1051=LedAcct,K1051=LedAcct,AND(LedAcct=acctTax,M1051+N1051&lt;&gt;0))),E1051*10000+B1051,""),"")</f>
        <v/>
      </c>
    </row>
    <row r="1052">
      <c r="B1052" s="101" t="n">
        <v>1046</v>
      </c>
      <c r="C1052" s="58" t="inlineStr">
        <is>
          <t>Transaction</t>
        </is>
      </c>
      <c r="D1052" s="58">
        <f>IF(H1052=1,INDEX(tx_ID,1046)&amp;"","")</f>
        <v/>
      </c>
      <c r="E1052" s="94">
        <f>IF(H1052=1,INDEX(tx_Date,1046),"")</f>
        <v/>
      </c>
      <c r="F1052" s="58">
        <f>IF(H1052=1,INDEX(tx_Desc,1046)&amp;"","")</f>
        <v/>
      </c>
      <c r="G1052" s="58">
        <f>IF(H1052=1,IF(INDEX(tx_Cust,1046)&amp;""&lt;&gt;"",INDEX(tx_Cust,1046)&amp;"",INDEX(tx_Vend,1046)&amp;""),"")</f>
        <v/>
      </c>
      <c r="H1052" s="101">
        <f>IFERROR(N(INDEX(tx_Posted,1046)),0)</f>
        <v/>
      </c>
      <c r="I1052" s="58">
        <f>IF(H1052=1,INDEX(tx_DrAcct,1046)&amp;"","")</f>
        <v/>
      </c>
      <c r="J1052" s="95">
        <f>IF(H1052=1,INDEX(tx_DrAmt,1046),0)</f>
        <v/>
      </c>
      <c r="K1052" s="58">
        <f>IF(H1052=1,INDEX(tx_CrAcct,1046)&amp;"","")</f>
        <v/>
      </c>
      <c r="L1052" s="95">
        <f>IF(H1052=1,INDEX(tx_CrAmt,1046),0)</f>
        <v/>
      </c>
      <c r="M1052" s="95">
        <f>IF(H1052=1,INDEX(tx_TaxDr,1046),0)</f>
        <v/>
      </c>
      <c r="N1052" s="95">
        <f>IF(H1052=1,INDEX(tx_TaxCr,1046),0)</f>
        <v/>
      </c>
      <c r="O1052" s="101">
        <f>IF(H1052=1,IF(E1052&lt;FYStart,0,IF(E1052&gt;FYEnd,13,YEAR(E1052)*12+MONTH(E1052)-FYYM+1)),"")</f>
        <v/>
      </c>
      <c r="P1052" s="101">
        <f>IF(H1052=1,IF(IFERROR(INDEX(coa_CF,MATCH(I1052,coa_Name,0)),"")="Cash",1,0),0)</f>
        <v/>
      </c>
      <c r="Q1052" s="101">
        <f>IF(H1052=1,IF(IFERROR(INDEX(coa_CF,MATCH(K1052,coa_Name,0)),"")="Cash",1,0),0)</f>
        <v/>
      </c>
      <c r="R1052" s="58">
        <f>IF((P1052-Q1052)=0,"",IFERROR(INDEX(coa_CF,MATCH(IF((P1052-Q1052)=1,K1052,I1052),coa_Name,0)),"Operating"))</f>
        <v/>
      </c>
      <c r="S1052" s="95">
        <f>IF((P1052-Q1052)=1,L1052,IF((P1052-Q1052)=-1,-J1052,0))</f>
        <v/>
      </c>
      <c r="T1052" s="95">
        <f>IF((P1052-Q1052)=1,N1052,IF((P1052-Q1052)=-1,-M1052,0))</f>
        <v/>
      </c>
      <c r="U1052" s="101">
        <f>IF(AND(H1052=1,LedAcct&lt;&gt;""),IF(AND(E1052&gt;=LedFrom,E1052&lt;=LedTo,OR(I1052=LedAcct,K1052=LedAcct,AND(LedAcct=acctTax,M1052+N1052&lt;&gt;0))),E1052*10000+B1052,""),"")</f>
        <v/>
      </c>
    </row>
    <row r="1053">
      <c r="B1053" s="101" t="n">
        <v>1047</v>
      </c>
      <c r="C1053" s="58" t="inlineStr">
        <is>
          <t>Transaction</t>
        </is>
      </c>
      <c r="D1053" s="58">
        <f>IF(H1053=1,INDEX(tx_ID,1047)&amp;"","")</f>
        <v/>
      </c>
      <c r="E1053" s="94">
        <f>IF(H1053=1,INDEX(tx_Date,1047),"")</f>
        <v/>
      </c>
      <c r="F1053" s="58">
        <f>IF(H1053=1,INDEX(tx_Desc,1047)&amp;"","")</f>
        <v/>
      </c>
      <c r="G1053" s="58">
        <f>IF(H1053=1,IF(INDEX(tx_Cust,1047)&amp;""&lt;&gt;"",INDEX(tx_Cust,1047)&amp;"",INDEX(tx_Vend,1047)&amp;""),"")</f>
        <v/>
      </c>
      <c r="H1053" s="101">
        <f>IFERROR(N(INDEX(tx_Posted,1047)),0)</f>
        <v/>
      </c>
      <c r="I1053" s="58">
        <f>IF(H1053=1,INDEX(tx_DrAcct,1047)&amp;"","")</f>
        <v/>
      </c>
      <c r="J1053" s="95">
        <f>IF(H1053=1,INDEX(tx_DrAmt,1047),0)</f>
        <v/>
      </c>
      <c r="K1053" s="58">
        <f>IF(H1053=1,INDEX(tx_CrAcct,1047)&amp;"","")</f>
        <v/>
      </c>
      <c r="L1053" s="95">
        <f>IF(H1053=1,INDEX(tx_CrAmt,1047),0)</f>
        <v/>
      </c>
      <c r="M1053" s="95">
        <f>IF(H1053=1,INDEX(tx_TaxDr,1047),0)</f>
        <v/>
      </c>
      <c r="N1053" s="95">
        <f>IF(H1053=1,INDEX(tx_TaxCr,1047),0)</f>
        <v/>
      </c>
      <c r="O1053" s="101">
        <f>IF(H1053=1,IF(E1053&lt;FYStart,0,IF(E1053&gt;FYEnd,13,YEAR(E1053)*12+MONTH(E1053)-FYYM+1)),"")</f>
        <v/>
      </c>
      <c r="P1053" s="101">
        <f>IF(H1053=1,IF(IFERROR(INDEX(coa_CF,MATCH(I1053,coa_Name,0)),"")="Cash",1,0),0)</f>
        <v/>
      </c>
      <c r="Q1053" s="101">
        <f>IF(H1053=1,IF(IFERROR(INDEX(coa_CF,MATCH(K1053,coa_Name,0)),"")="Cash",1,0),0)</f>
        <v/>
      </c>
      <c r="R1053" s="58">
        <f>IF((P1053-Q1053)=0,"",IFERROR(INDEX(coa_CF,MATCH(IF((P1053-Q1053)=1,K1053,I1053),coa_Name,0)),"Operating"))</f>
        <v/>
      </c>
      <c r="S1053" s="95">
        <f>IF((P1053-Q1053)=1,L1053,IF((P1053-Q1053)=-1,-J1053,0))</f>
        <v/>
      </c>
      <c r="T1053" s="95">
        <f>IF((P1053-Q1053)=1,N1053,IF((P1053-Q1053)=-1,-M1053,0))</f>
        <v/>
      </c>
      <c r="U1053" s="101">
        <f>IF(AND(H1053=1,LedAcct&lt;&gt;""),IF(AND(E1053&gt;=LedFrom,E1053&lt;=LedTo,OR(I1053=LedAcct,K1053=LedAcct,AND(LedAcct=acctTax,M1053+N1053&lt;&gt;0))),E1053*10000+B1053,""),"")</f>
        <v/>
      </c>
    </row>
    <row r="1054">
      <c r="B1054" s="101" t="n">
        <v>1048</v>
      </c>
      <c r="C1054" s="58" t="inlineStr">
        <is>
          <t>Transaction</t>
        </is>
      </c>
      <c r="D1054" s="58">
        <f>IF(H1054=1,INDEX(tx_ID,1048)&amp;"","")</f>
        <v/>
      </c>
      <c r="E1054" s="94">
        <f>IF(H1054=1,INDEX(tx_Date,1048),"")</f>
        <v/>
      </c>
      <c r="F1054" s="58">
        <f>IF(H1054=1,INDEX(tx_Desc,1048)&amp;"","")</f>
        <v/>
      </c>
      <c r="G1054" s="58">
        <f>IF(H1054=1,IF(INDEX(tx_Cust,1048)&amp;""&lt;&gt;"",INDEX(tx_Cust,1048)&amp;"",INDEX(tx_Vend,1048)&amp;""),"")</f>
        <v/>
      </c>
      <c r="H1054" s="101">
        <f>IFERROR(N(INDEX(tx_Posted,1048)),0)</f>
        <v/>
      </c>
      <c r="I1054" s="58">
        <f>IF(H1054=1,INDEX(tx_DrAcct,1048)&amp;"","")</f>
        <v/>
      </c>
      <c r="J1054" s="95">
        <f>IF(H1054=1,INDEX(tx_DrAmt,1048),0)</f>
        <v/>
      </c>
      <c r="K1054" s="58">
        <f>IF(H1054=1,INDEX(tx_CrAcct,1048)&amp;"","")</f>
        <v/>
      </c>
      <c r="L1054" s="95">
        <f>IF(H1054=1,INDEX(tx_CrAmt,1048),0)</f>
        <v/>
      </c>
      <c r="M1054" s="95">
        <f>IF(H1054=1,INDEX(tx_TaxDr,1048),0)</f>
        <v/>
      </c>
      <c r="N1054" s="95">
        <f>IF(H1054=1,INDEX(tx_TaxCr,1048),0)</f>
        <v/>
      </c>
      <c r="O1054" s="101">
        <f>IF(H1054=1,IF(E1054&lt;FYStart,0,IF(E1054&gt;FYEnd,13,YEAR(E1054)*12+MONTH(E1054)-FYYM+1)),"")</f>
        <v/>
      </c>
      <c r="P1054" s="101">
        <f>IF(H1054=1,IF(IFERROR(INDEX(coa_CF,MATCH(I1054,coa_Name,0)),"")="Cash",1,0),0)</f>
        <v/>
      </c>
      <c r="Q1054" s="101">
        <f>IF(H1054=1,IF(IFERROR(INDEX(coa_CF,MATCH(K1054,coa_Name,0)),"")="Cash",1,0),0)</f>
        <v/>
      </c>
      <c r="R1054" s="58">
        <f>IF((P1054-Q1054)=0,"",IFERROR(INDEX(coa_CF,MATCH(IF((P1054-Q1054)=1,K1054,I1054),coa_Name,0)),"Operating"))</f>
        <v/>
      </c>
      <c r="S1054" s="95">
        <f>IF((P1054-Q1054)=1,L1054,IF((P1054-Q1054)=-1,-J1054,0))</f>
        <v/>
      </c>
      <c r="T1054" s="95">
        <f>IF((P1054-Q1054)=1,N1054,IF((P1054-Q1054)=-1,-M1054,0))</f>
        <v/>
      </c>
      <c r="U1054" s="101">
        <f>IF(AND(H1054=1,LedAcct&lt;&gt;""),IF(AND(E1054&gt;=LedFrom,E1054&lt;=LedTo,OR(I1054=LedAcct,K1054=LedAcct,AND(LedAcct=acctTax,M1054+N1054&lt;&gt;0))),E1054*10000+B1054,""),"")</f>
        <v/>
      </c>
    </row>
    <row r="1055">
      <c r="B1055" s="101" t="n">
        <v>1049</v>
      </c>
      <c r="C1055" s="58" t="inlineStr">
        <is>
          <t>Transaction</t>
        </is>
      </c>
      <c r="D1055" s="58">
        <f>IF(H1055=1,INDEX(tx_ID,1049)&amp;"","")</f>
        <v/>
      </c>
      <c r="E1055" s="94">
        <f>IF(H1055=1,INDEX(tx_Date,1049),"")</f>
        <v/>
      </c>
      <c r="F1055" s="58">
        <f>IF(H1055=1,INDEX(tx_Desc,1049)&amp;"","")</f>
        <v/>
      </c>
      <c r="G1055" s="58">
        <f>IF(H1055=1,IF(INDEX(tx_Cust,1049)&amp;""&lt;&gt;"",INDEX(tx_Cust,1049)&amp;"",INDEX(tx_Vend,1049)&amp;""),"")</f>
        <v/>
      </c>
      <c r="H1055" s="101">
        <f>IFERROR(N(INDEX(tx_Posted,1049)),0)</f>
        <v/>
      </c>
      <c r="I1055" s="58">
        <f>IF(H1055=1,INDEX(tx_DrAcct,1049)&amp;"","")</f>
        <v/>
      </c>
      <c r="J1055" s="95">
        <f>IF(H1055=1,INDEX(tx_DrAmt,1049),0)</f>
        <v/>
      </c>
      <c r="K1055" s="58">
        <f>IF(H1055=1,INDEX(tx_CrAcct,1049)&amp;"","")</f>
        <v/>
      </c>
      <c r="L1055" s="95">
        <f>IF(H1055=1,INDEX(tx_CrAmt,1049),0)</f>
        <v/>
      </c>
      <c r="M1055" s="95">
        <f>IF(H1055=1,INDEX(tx_TaxDr,1049),0)</f>
        <v/>
      </c>
      <c r="N1055" s="95">
        <f>IF(H1055=1,INDEX(tx_TaxCr,1049),0)</f>
        <v/>
      </c>
      <c r="O1055" s="101">
        <f>IF(H1055=1,IF(E1055&lt;FYStart,0,IF(E1055&gt;FYEnd,13,YEAR(E1055)*12+MONTH(E1055)-FYYM+1)),"")</f>
        <v/>
      </c>
      <c r="P1055" s="101">
        <f>IF(H1055=1,IF(IFERROR(INDEX(coa_CF,MATCH(I1055,coa_Name,0)),"")="Cash",1,0),0)</f>
        <v/>
      </c>
      <c r="Q1055" s="101">
        <f>IF(H1055=1,IF(IFERROR(INDEX(coa_CF,MATCH(K1055,coa_Name,0)),"")="Cash",1,0),0)</f>
        <v/>
      </c>
      <c r="R1055" s="58">
        <f>IF((P1055-Q1055)=0,"",IFERROR(INDEX(coa_CF,MATCH(IF((P1055-Q1055)=1,K1055,I1055),coa_Name,0)),"Operating"))</f>
        <v/>
      </c>
      <c r="S1055" s="95">
        <f>IF((P1055-Q1055)=1,L1055,IF((P1055-Q1055)=-1,-J1055,0))</f>
        <v/>
      </c>
      <c r="T1055" s="95">
        <f>IF((P1055-Q1055)=1,N1055,IF((P1055-Q1055)=-1,-M1055,0))</f>
        <v/>
      </c>
      <c r="U1055" s="101">
        <f>IF(AND(H1055=1,LedAcct&lt;&gt;""),IF(AND(E1055&gt;=LedFrom,E1055&lt;=LedTo,OR(I1055=LedAcct,K1055=LedAcct,AND(LedAcct=acctTax,M1055+N1055&lt;&gt;0))),E1055*10000+B1055,""),"")</f>
        <v/>
      </c>
    </row>
    <row r="1056">
      <c r="B1056" s="101" t="n">
        <v>1050</v>
      </c>
      <c r="C1056" s="58" t="inlineStr">
        <is>
          <t>Transaction</t>
        </is>
      </c>
      <c r="D1056" s="58">
        <f>IF(H1056=1,INDEX(tx_ID,1050)&amp;"","")</f>
        <v/>
      </c>
      <c r="E1056" s="94">
        <f>IF(H1056=1,INDEX(tx_Date,1050),"")</f>
        <v/>
      </c>
      <c r="F1056" s="58">
        <f>IF(H1056=1,INDEX(tx_Desc,1050)&amp;"","")</f>
        <v/>
      </c>
      <c r="G1056" s="58">
        <f>IF(H1056=1,IF(INDEX(tx_Cust,1050)&amp;""&lt;&gt;"",INDEX(tx_Cust,1050)&amp;"",INDEX(tx_Vend,1050)&amp;""),"")</f>
        <v/>
      </c>
      <c r="H1056" s="101">
        <f>IFERROR(N(INDEX(tx_Posted,1050)),0)</f>
        <v/>
      </c>
      <c r="I1056" s="58">
        <f>IF(H1056=1,INDEX(tx_DrAcct,1050)&amp;"","")</f>
        <v/>
      </c>
      <c r="J1056" s="95">
        <f>IF(H1056=1,INDEX(tx_DrAmt,1050),0)</f>
        <v/>
      </c>
      <c r="K1056" s="58">
        <f>IF(H1056=1,INDEX(tx_CrAcct,1050)&amp;"","")</f>
        <v/>
      </c>
      <c r="L1056" s="95">
        <f>IF(H1056=1,INDEX(tx_CrAmt,1050),0)</f>
        <v/>
      </c>
      <c r="M1056" s="95">
        <f>IF(H1056=1,INDEX(tx_TaxDr,1050),0)</f>
        <v/>
      </c>
      <c r="N1056" s="95">
        <f>IF(H1056=1,INDEX(tx_TaxCr,1050),0)</f>
        <v/>
      </c>
      <c r="O1056" s="101">
        <f>IF(H1056=1,IF(E1056&lt;FYStart,0,IF(E1056&gt;FYEnd,13,YEAR(E1056)*12+MONTH(E1056)-FYYM+1)),"")</f>
        <v/>
      </c>
      <c r="P1056" s="101">
        <f>IF(H1056=1,IF(IFERROR(INDEX(coa_CF,MATCH(I1056,coa_Name,0)),"")="Cash",1,0),0)</f>
        <v/>
      </c>
      <c r="Q1056" s="101">
        <f>IF(H1056=1,IF(IFERROR(INDEX(coa_CF,MATCH(K1056,coa_Name,0)),"")="Cash",1,0),0)</f>
        <v/>
      </c>
      <c r="R1056" s="58">
        <f>IF((P1056-Q1056)=0,"",IFERROR(INDEX(coa_CF,MATCH(IF((P1056-Q1056)=1,K1056,I1056),coa_Name,0)),"Operating"))</f>
        <v/>
      </c>
      <c r="S1056" s="95">
        <f>IF((P1056-Q1056)=1,L1056,IF((P1056-Q1056)=-1,-J1056,0))</f>
        <v/>
      </c>
      <c r="T1056" s="95">
        <f>IF((P1056-Q1056)=1,N1056,IF((P1056-Q1056)=-1,-M1056,0))</f>
        <v/>
      </c>
      <c r="U1056" s="101">
        <f>IF(AND(H1056=1,LedAcct&lt;&gt;""),IF(AND(E1056&gt;=LedFrom,E1056&lt;=LedTo,OR(I1056=LedAcct,K1056=LedAcct,AND(LedAcct=acctTax,M1056+N1056&lt;&gt;0))),E1056*10000+B1056,""),"")</f>
        <v/>
      </c>
    </row>
    <row r="1057">
      <c r="B1057" s="101" t="n">
        <v>1051</v>
      </c>
      <c r="C1057" s="58" t="inlineStr">
        <is>
          <t>Transaction</t>
        </is>
      </c>
      <c r="D1057" s="58">
        <f>IF(H1057=1,INDEX(tx_ID,1051)&amp;"","")</f>
        <v/>
      </c>
      <c r="E1057" s="94">
        <f>IF(H1057=1,INDEX(tx_Date,1051),"")</f>
        <v/>
      </c>
      <c r="F1057" s="58">
        <f>IF(H1057=1,INDEX(tx_Desc,1051)&amp;"","")</f>
        <v/>
      </c>
      <c r="G1057" s="58">
        <f>IF(H1057=1,IF(INDEX(tx_Cust,1051)&amp;""&lt;&gt;"",INDEX(tx_Cust,1051)&amp;"",INDEX(tx_Vend,1051)&amp;""),"")</f>
        <v/>
      </c>
      <c r="H1057" s="101">
        <f>IFERROR(N(INDEX(tx_Posted,1051)),0)</f>
        <v/>
      </c>
      <c r="I1057" s="58">
        <f>IF(H1057=1,INDEX(tx_DrAcct,1051)&amp;"","")</f>
        <v/>
      </c>
      <c r="J1057" s="95">
        <f>IF(H1057=1,INDEX(tx_DrAmt,1051),0)</f>
        <v/>
      </c>
      <c r="K1057" s="58">
        <f>IF(H1057=1,INDEX(tx_CrAcct,1051)&amp;"","")</f>
        <v/>
      </c>
      <c r="L1057" s="95">
        <f>IF(H1057=1,INDEX(tx_CrAmt,1051),0)</f>
        <v/>
      </c>
      <c r="M1057" s="95">
        <f>IF(H1057=1,INDEX(tx_TaxDr,1051),0)</f>
        <v/>
      </c>
      <c r="N1057" s="95">
        <f>IF(H1057=1,INDEX(tx_TaxCr,1051),0)</f>
        <v/>
      </c>
      <c r="O1057" s="101">
        <f>IF(H1057=1,IF(E1057&lt;FYStart,0,IF(E1057&gt;FYEnd,13,YEAR(E1057)*12+MONTH(E1057)-FYYM+1)),"")</f>
        <v/>
      </c>
      <c r="P1057" s="101">
        <f>IF(H1057=1,IF(IFERROR(INDEX(coa_CF,MATCH(I1057,coa_Name,0)),"")="Cash",1,0),0)</f>
        <v/>
      </c>
      <c r="Q1057" s="101">
        <f>IF(H1057=1,IF(IFERROR(INDEX(coa_CF,MATCH(K1057,coa_Name,0)),"")="Cash",1,0),0)</f>
        <v/>
      </c>
      <c r="R1057" s="58">
        <f>IF((P1057-Q1057)=0,"",IFERROR(INDEX(coa_CF,MATCH(IF((P1057-Q1057)=1,K1057,I1057),coa_Name,0)),"Operating"))</f>
        <v/>
      </c>
      <c r="S1057" s="95">
        <f>IF((P1057-Q1057)=1,L1057,IF((P1057-Q1057)=-1,-J1057,0))</f>
        <v/>
      </c>
      <c r="T1057" s="95">
        <f>IF((P1057-Q1057)=1,N1057,IF((P1057-Q1057)=-1,-M1057,0))</f>
        <v/>
      </c>
      <c r="U1057" s="101">
        <f>IF(AND(H1057=1,LedAcct&lt;&gt;""),IF(AND(E1057&gt;=LedFrom,E1057&lt;=LedTo,OR(I1057=LedAcct,K1057=LedAcct,AND(LedAcct=acctTax,M1057+N1057&lt;&gt;0))),E1057*10000+B1057,""),"")</f>
        <v/>
      </c>
    </row>
    <row r="1058">
      <c r="B1058" s="101" t="n">
        <v>1052</v>
      </c>
      <c r="C1058" s="58" t="inlineStr">
        <is>
          <t>Transaction</t>
        </is>
      </c>
      <c r="D1058" s="58">
        <f>IF(H1058=1,INDEX(tx_ID,1052)&amp;"","")</f>
        <v/>
      </c>
      <c r="E1058" s="94">
        <f>IF(H1058=1,INDEX(tx_Date,1052),"")</f>
        <v/>
      </c>
      <c r="F1058" s="58">
        <f>IF(H1058=1,INDEX(tx_Desc,1052)&amp;"","")</f>
        <v/>
      </c>
      <c r="G1058" s="58">
        <f>IF(H1058=1,IF(INDEX(tx_Cust,1052)&amp;""&lt;&gt;"",INDEX(tx_Cust,1052)&amp;"",INDEX(tx_Vend,1052)&amp;""),"")</f>
        <v/>
      </c>
      <c r="H1058" s="101">
        <f>IFERROR(N(INDEX(tx_Posted,1052)),0)</f>
        <v/>
      </c>
      <c r="I1058" s="58">
        <f>IF(H1058=1,INDEX(tx_DrAcct,1052)&amp;"","")</f>
        <v/>
      </c>
      <c r="J1058" s="95">
        <f>IF(H1058=1,INDEX(tx_DrAmt,1052),0)</f>
        <v/>
      </c>
      <c r="K1058" s="58">
        <f>IF(H1058=1,INDEX(tx_CrAcct,1052)&amp;"","")</f>
        <v/>
      </c>
      <c r="L1058" s="95">
        <f>IF(H1058=1,INDEX(tx_CrAmt,1052),0)</f>
        <v/>
      </c>
      <c r="M1058" s="95">
        <f>IF(H1058=1,INDEX(tx_TaxDr,1052),0)</f>
        <v/>
      </c>
      <c r="N1058" s="95">
        <f>IF(H1058=1,INDEX(tx_TaxCr,1052),0)</f>
        <v/>
      </c>
      <c r="O1058" s="101">
        <f>IF(H1058=1,IF(E1058&lt;FYStart,0,IF(E1058&gt;FYEnd,13,YEAR(E1058)*12+MONTH(E1058)-FYYM+1)),"")</f>
        <v/>
      </c>
      <c r="P1058" s="101">
        <f>IF(H1058=1,IF(IFERROR(INDEX(coa_CF,MATCH(I1058,coa_Name,0)),"")="Cash",1,0),0)</f>
        <v/>
      </c>
      <c r="Q1058" s="101">
        <f>IF(H1058=1,IF(IFERROR(INDEX(coa_CF,MATCH(K1058,coa_Name,0)),"")="Cash",1,0),0)</f>
        <v/>
      </c>
      <c r="R1058" s="58">
        <f>IF((P1058-Q1058)=0,"",IFERROR(INDEX(coa_CF,MATCH(IF((P1058-Q1058)=1,K1058,I1058),coa_Name,0)),"Operating"))</f>
        <v/>
      </c>
      <c r="S1058" s="95">
        <f>IF((P1058-Q1058)=1,L1058,IF((P1058-Q1058)=-1,-J1058,0))</f>
        <v/>
      </c>
      <c r="T1058" s="95">
        <f>IF((P1058-Q1058)=1,N1058,IF((P1058-Q1058)=-1,-M1058,0))</f>
        <v/>
      </c>
      <c r="U1058" s="101">
        <f>IF(AND(H1058=1,LedAcct&lt;&gt;""),IF(AND(E1058&gt;=LedFrom,E1058&lt;=LedTo,OR(I1058=LedAcct,K1058=LedAcct,AND(LedAcct=acctTax,M1058+N1058&lt;&gt;0))),E1058*10000+B1058,""),"")</f>
        <v/>
      </c>
    </row>
    <row r="1059">
      <c r="B1059" s="101" t="n">
        <v>1053</v>
      </c>
      <c r="C1059" s="58" t="inlineStr">
        <is>
          <t>Transaction</t>
        </is>
      </c>
      <c r="D1059" s="58">
        <f>IF(H1059=1,INDEX(tx_ID,1053)&amp;"","")</f>
        <v/>
      </c>
      <c r="E1059" s="94">
        <f>IF(H1059=1,INDEX(tx_Date,1053),"")</f>
        <v/>
      </c>
      <c r="F1059" s="58">
        <f>IF(H1059=1,INDEX(tx_Desc,1053)&amp;"","")</f>
        <v/>
      </c>
      <c r="G1059" s="58">
        <f>IF(H1059=1,IF(INDEX(tx_Cust,1053)&amp;""&lt;&gt;"",INDEX(tx_Cust,1053)&amp;"",INDEX(tx_Vend,1053)&amp;""),"")</f>
        <v/>
      </c>
      <c r="H1059" s="101">
        <f>IFERROR(N(INDEX(tx_Posted,1053)),0)</f>
        <v/>
      </c>
      <c r="I1059" s="58">
        <f>IF(H1059=1,INDEX(tx_DrAcct,1053)&amp;"","")</f>
        <v/>
      </c>
      <c r="J1059" s="95">
        <f>IF(H1059=1,INDEX(tx_DrAmt,1053),0)</f>
        <v/>
      </c>
      <c r="K1059" s="58">
        <f>IF(H1059=1,INDEX(tx_CrAcct,1053)&amp;"","")</f>
        <v/>
      </c>
      <c r="L1059" s="95">
        <f>IF(H1059=1,INDEX(tx_CrAmt,1053),0)</f>
        <v/>
      </c>
      <c r="M1059" s="95">
        <f>IF(H1059=1,INDEX(tx_TaxDr,1053),0)</f>
        <v/>
      </c>
      <c r="N1059" s="95">
        <f>IF(H1059=1,INDEX(tx_TaxCr,1053),0)</f>
        <v/>
      </c>
      <c r="O1059" s="101">
        <f>IF(H1059=1,IF(E1059&lt;FYStart,0,IF(E1059&gt;FYEnd,13,YEAR(E1059)*12+MONTH(E1059)-FYYM+1)),"")</f>
        <v/>
      </c>
      <c r="P1059" s="101">
        <f>IF(H1059=1,IF(IFERROR(INDEX(coa_CF,MATCH(I1059,coa_Name,0)),"")="Cash",1,0),0)</f>
        <v/>
      </c>
      <c r="Q1059" s="101">
        <f>IF(H1059=1,IF(IFERROR(INDEX(coa_CF,MATCH(K1059,coa_Name,0)),"")="Cash",1,0),0)</f>
        <v/>
      </c>
      <c r="R1059" s="58">
        <f>IF((P1059-Q1059)=0,"",IFERROR(INDEX(coa_CF,MATCH(IF((P1059-Q1059)=1,K1059,I1059),coa_Name,0)),"Operating"))</f>
        <v/>
      </c>
      <c r="S1059" s="95">
        <f>IF((P1059-Q1059)=1,L1059,IF((P1059-Q1059)=-1,-J1059,0))</f>
        <v/>
      </c>
      <c r="T1059" s="95">
        <f>IF((P1059-Q1059)=1,N1059,IF((P1059-Q1059)=-1,-M1059,0))</f>
        <v/>
      </c>
      <c r="U1059" s="101">
        <f>IF(AND(H1059=1,LedAcct&lt;&gt;""),IF(AND(E1059&gt;=LedFrom,E1059&lt;=LedTo,OR(I1059=LedAcct,K1059=LedAcct,AND(LedAcct=acctTax,M1059+N1059&lt;&gt;0))),E1059*10000+B1059,""),"")</f>
        <v/>
      </c>
    </row>
    <row r="1060">
      <c r="B1060" s="101" t="n">
        <v>1054</v>
      </c>
      <c r="C1060" s="58" t="inlineStr">
        <is>
          <t>Transaction</t>
        </is>
      </c>
      <c r="D1060" s="58">
        <f>IF(H1060=1,INDEX(tx_ID,1054)&amp;"","")</f>
        <v/>
      </c>
      <c r="E1060" s="94">
        <f>IF(H1060=1,INDEX(tx_Date,1054),"")</f>
        <v/>
      </c>
      <c r="F1060" s="58">
        <f>IF(H1060=1,INDEX(tx_Desc,1054)&amp;"","")</f>
        <v/>
      </c>
      <c r="G1060" s="58">
        <f>IF(H1060=1,IF(INDEX(tx_Cust,1054)&amp;""&lt;&gt;"",INDEX(tx_Cust,1054)&amp;"",INDEX(tx_Vend,1054)&amp;""),"")</f>
        <v/>
      </c>
      <c r="H1060" s="101">
        <f>IFERROR(N(INDEX(tx_Posted,1054)),0)</f>
        <v/>
      </c>
      <c r="I1060" s="58">
        <f>IF(H1060=1,INDEX(tx_DrAcct,1054)&amp;"","")</f>
        <v/>
      </c>
      <c r="J1060" s="95">
        <f>IF(H1060=1,INDEX(tx_DrAmt,1054),0)</f>
        <v/>
      </c>
      <c r="K1060" s="58">
        <f>IF(H1060=1,INDEX(tx_CrAcct,1054)&amp;"","")</f>
        <v/>
      </c>
      <c r="L1060" s="95">
        <f>IF(H1060=1,INDEX(tx_CrAmt,1054),0)</f>
        <v/>
      </c>
      <c r="M1060" s="95">
        <f>IF(H1060=1,INDEX(tx_TaxDr,1054),0)</f>
        <v/>
      </c>
      <c r="N1060" s="95">
        <f>IF(H1060=1,INDEX(tx_TaxCr,1054),0)</f>
        <v/>
      </c>
      <c r="O1060" s="101">
        <f>IF(H1060=1,IF(E1060&lt;FYStart,0,IF(E1060&gt;FYEnd,13,YEAR(E1060)*12+MONTH(E1060)-FYYM+1)),"")</f>
        <v/>
      </c>
      <c r="P1060" s="101">
        <f>IF(H1060=1,IF(IFERROR(INDEX(coa_CF,MATCH(I1060,coa_Name,0)),"")="Cash",1,0),0)</f>
        <v/>
      </c>
      <c r="Q1060" s="101">
        <f>IF(H1060=1,IF(IFERROR(INDEX(coa_CF,MATCH(K1060,coa_Name,0)),"")="Cash",1,0),0)</f>
        <v/>
      </c>
      <c r="R1060" s="58">
        <f>IF((P1060-Q1060)=0,"",IFERROR(INDEX(coa_CF,MATCH(IF((P1060-Q1060)=1,K1060,I1060),coa_Name,0)),"Operating"))</f>
        <v/>
      </c>
      <c r="S1060" s="95">
        <f>IF((P1060-Q1060)=1,L1060,IF((P1060-Q1060)=-1,-J1060,0))</f>
        <v/>
      </c>
      <c r="T1060" s="95">
        <f>IF((P1060-Q1060)=1,N1060,IF((P1060-Q1060)=-1,-M1060,0))</f>
        <v/>
      </c>
      <c r="U1060" s="101">
        <f>IF(AND(H1060=1,LedAcct&lt;&gt;""),IF(AND(E1060&gt;=LedFrom,E1060&lt;=LedTo,OR(I1060=LedAcct,K1060=LedAcct,AND(LedAcct=acctTax,M1060+N1060&lt;&gt;0))),E1060*10000+B1060,""),"")</f>
        <v/>
      </c>
    </row>
    <row r="1061">
      <c r="B1061" s="101" t="n">
        <v>1055</v>
      </c>
      <c r="C1061" s="58" t="inlineStr">
        <is>
          <t>Transaction</t>
        </is>
      </c>
      <c r="D1061" s="58">
        <f>IF(H1061=1,INDEX(tx_ID,1055)&amp;"","")</f>
        <v/>
      </c>
      <c r="E1061" s="94">
        <f>IF(H1061=1,INDEX(tx_Date,1055),"")</f>
        <v/>
      </c>
      <c r="F1061" s="58">
        <f>IF(H1061=1,INDEX(tx_Desc,1055)&amp;"","")</f>
        <v/>
      </c>
      <c r="G1061" s="58">
        <f>IF(H1061=1,IF(INDEX(tx_Cust,1055)&amp;""&lt;&gt;"",INDEX(tx_Cust,1055)&amp;"",INDEX(tx_Vend,1055)&amp;""),"")</f>
        <v/>
      </c>
      <c r="H1061" s="101">
        <f>IFERROR(N(INDEX(tx_Posted,1055)),0)</f>
        <v/>
      </c>
      <c r="I1061" s="58">
        <f>IF(H1061=1,INDEX(tx_DrAcct,1055)&amp;"","")</f>
        <v/>
      </c>
      <c r="J1061" s="95">
        <f>IF(H1061=1,INDEX(tx_DrAmt,1055),0)</f>
        <v/>
      </c>
      <c r="K1061" s="58">
        <f>IF(H1061=1,INDEX(tx_CrAcct,1055)&amp;"","")</f>
        <v/>
      </c>
      <c r="L1061" s="95">
        <f>IF(H1061=1,INDEX(tx_CrAmt,1055),0)</f>
        <v/>
      </c>
      <c r="M1061" s="95">
        <f>IF(H1061=1,INDEX(tx_TaxDr,1055),0)</f>
        <v/>
      </c>
      <c r="N1061" s="95">
        <f>IF(H1061=1,INDEX(tx_TaxCr,1055),0)</f>
        <v/>
      </c>
      <c r="O1061" s="101">
        <f>IF(H1061=1,IF(E1061&lt;FYStart,0,IF(E1061&gt;FYEnd,13,YEAR(E1061)*12+MONTH(E1061)-FYYM+1)),"")</f>
        <v/>
      </c>
      <c r="P1061" s="101">
        <f>IF(H1061=1,IF(IFERROR(INDEX(coa_CF,MATCH(I1061,coa_Name,0)),"")="Cash",1,0),0)</f>
        <v/>
      </c>
      <c r="Q1061" s="101">
        <f>IF(H1061=1,IF(IFERROR(INDEX(coa_CF,MATCH(K1061,coa_Name,0)),"")="Cash",1,0),0)</f>
        <v/>
      </c>
      <c r="R1061" s="58">
        <f>IF((P1061-Q1061)=0,"",IFERROR(INDEX(coa_CF,MATCH(IF((P1061-Q1061)=1,K1061,I1061),coa_Name,0)),"Operating"))</f>
        <v/>
      </c>
      <c r="S1061" s="95">
        <f>IF((P1061-Q1061)=1,L1061,IF((P1061-Q1061)=-1,-J1061,0))</f>
        <v/>
      </c>
      <c r="T1061" s="95">
        <f>IF((P1061-Q1061)=1,N1061,IF((P1061-Q1061)=-1,-M1061,0))</f>
        <v/>
      </c>
      <c r="U1061" s="101">
        <f>IF(AND(H1061=1,LedAcct&lt;&gt;""),IF(AND(E1061&gt;=LedFrom,E1061&lt;=LedTo,OR(I1061=LedAcct,K1061=LedAcct,AND(LedAcct=acctTax,M1061+N1061&lt;&gt;0))),E1061*10000+B1061,""),"")</f>
        <v/>
      </c>
    </row>
    <row r="1062">
      <c r="B1062" s="101" t="n">
        <v>1056</v>
      </c>
      <c r="C1062" s="58" t="inlineStr">
        <is>
          <t>Transaction</t>
        </is>
      </c>
      <c r="D1062" s="58">
        <f>IF(H1062=1,INDEX(tx_ID,1056)&amp;"","")</f>
        <v/>
      </c>
      <c r="E1062" s="94">
        <f>IF(H1062=1,INDEX(tx_Date,1056),"")</f>
        <v/>
      </c>
      <c r="F1062" s="58">
        <f>IF(H1062=1,INDEX(tx_Desc,1056)&amp;"","")</f>
        <v/>
      </c>
      <c r="G1062" s="58">
        <f>IF(H1062=1,IF(INDEX(tx_Cust,1056)&amp;""&lt;&gt;"",INDEX(tx_Cust,1056)&amp;"",INDEX(tx_Vend,1056)&amp;""),"")</f>
        <v/>
      </c>
      <c r="H1062" s="101">
        <f>IFERROR(N(INDEX(tx_Posted,1056)),0)</f>
        <v/>
      </c>
      <c r="I1062" s="58">
        <f>IF(H1062=1,INDEX(tx_DrAcct,1056)&amp;"","")</f>
        <v/>
      </c>
      <c r="J1062" s="95">
        <f>IF(H1062=1,INDEX(tx_DrAmt,1056),0)</f>
        <v/>
      </c>
      <c r="K1062" s="58">
        <f>IF(H1062=1,INDEX(tx_CrAcct,1056)&amp;"","")</f>
        <v/>
      </c>
      <c r="L1062" s="95">
        <f>IF(H1062=1,INDEX(tx_CrAmt,1056),0)</f>
        <v/>
      </c>
      <c r="M1062" s="95">
        <f>IF(H1062=1,INDEX(tx_TaxDr,1056),0)</f>
        <v/>
      </c>
      <c r="N1062" s="95">
        <f>IF(H1062=1,INDEX(tx_TaxCr,1056),0)</f>
        <v/>
      </c>
      <c r="O1062" s="101">
        <f>IF(H1062=1,IF(E1062&lt;FYStart,0,IF(E1062&gt;FYEnd,13,YEAR(E1062)*12+MONTH(E1062)-FYYM+1)),"")</f>
        <v/>
      </c>
      <c r="P1062" s="101">
        <f>IF(H1062=1,IF(IFERROR(INDEX(coa_CF,MATCH(I1062,coa_Name,0)),"")="Cash",1,0),0)</f>
        <v/>
      </c>
      <c r="Q1062" s="101">
        <f>IF(H1062=1,IF(IFERROR(INDEX(coa_CF,MATCH(K1062,coa_Name,0)),"")="Cash",1,0),0)</f>
        <v/>
      </c>
      <c r="R1062" s="58">
        <f>IF((P1062-Q1062)=0,"",IFERROR(INDEX(coa_CF,MATCH(IF((P1062-Q1062)=1,K1062,I1062),coa_Name,0)),"Operating"))</f>
        <v/>
      </c>
      <c r="S1062" s="95">
        <f>IF((P1062-Q1062)=1,L1062,IF((P1062-Q1062)=-1,-J1062,0))</f>
        <v/>
      </c>
      <c r="T1062" s="95">
        <f>IF((P1062-Q1062)=1,N1062,IF((P1062-Q1062)=-1,-M1062,0))</f>
        <v/>
      </c>
      <c r="U1062" s="101">
        <f>IF(AND(H1062=1,LedAcct&lt;&gt;""),IF(AND(E1062&gt;=LedFrom,E1062&lt;=LedTo,OR(I1062=LedAcct,K1062=LedAcct,AND(LedAcct=acctTax,M1062+N1062&lt;&gt;0))),E1062*10000+B1062,""),"")</f>
        <v/>
      </c>
    </row>
    <row r="1063">
      <c r="B1063" s="101" t="n">
        <v>1057</v>
      </c>
      <c r="C1063" s="58" t="inlineStr">
        <is>
          <t>Transaction</t>
        </is>
      </c>
      <c r="D1063" s="58">
        <f>IF(H1063=1,INDEX(tx_ID,1057)&amp;"","")</f>
        <v/>
      </c>
      <c r="E1063" s="94">
        <f>IF(H1063=1,INDEX(tx_Date,1057),"")</f>
        <v/>
      </c>
      <c r="F1063" s="58">
        <f>IF(H1063=1,INDEX(tx_Desc,1057)&amp;"","")</f>
        <v/>
      </c>
      <c r="G1063" s="58">
        <f>IF(H1063=1,IF(INDEX(tx_Cust,1057)&amp;""&lt;&gt;"",INDEX(tx_Cust,1057)&amp;"",INDEX(tx_Vend,1057)&amp;""),"")</f>
        <v/>
      </c>
      <c r="H1063" s="101">
        <f>IFERROR(N(INDEX(tx_Posted,1057)),0)</f>
        <v/>
      </c>
      <c r="I1063" s="58">
        <f>IF(H1063=1,INDEX(tx_DrAcct,1057)&amp;"","")</f>
        <v/>
      </c>
      <c r="J1063" s="95">
        <f>IF(H1063=1,INDEX(tx_DrAmt,1057),0)</f>
        <v/>
      </c>
      <c r="K1063" s="58">
        <f>IF(H1063=1,INDEX(tx_CrAcct,1057)&amp;"","")</f>
        <v/>
      </c>
      <c r="L1063" s="95">
        <f>IF(H1063=1,INDEX(tx_CrAmt,1057),0)</f>
        <v/>
      </c>
      <c r="M1063" s="95">
        <f>IF(H1063=1,INDEX(tx_TaxDr,1057),0)</f>
        <v/>
      </c>
      <c r="N1063" s="95">
        <f>IF(H1063=1,INDEX(tx_TaxCr,1057),0)</f>
        <v/>
      </c>
      <c r="O1063" s="101">
        <f>IF(H1063=1,IF(E1063&lt;FYStart,0,IF(E1063&gt;FYEnd,13,YEAR(E1063)*12+MONTH(E1063)-FYYM+1)),"")</f>
        <v/>
      </c>
      <c r="P1063" s="101">
        <f>IF(H1063=1,IF(IFERROR(INDEX(coa_CF,MATCH(I1063,coa_Name,0)),"")="Cash",1,0),0)</f>
        <v/>
      </c>
      <c r="Q1063" s="101">
        <f>IF(H1063=1,IF(IFERROR(INDEX(coa_CF,MATCH(K1063,coa_Name,0)),"")="Cash",1,0),0)</f>
        <v/>
      </c>
      <c r="R1063" s="58">
        <f>IF((P1063-Q1063)=0,"",IFERROR(INDEX(coa_CF,MATCH(IF((P1063-Q1063)=1,K1063,I1063),coa_Name,0)),"Operating"))</f>
        <v/>
      </c>
      <c r="S1063" s="95">
        <f>IF((P1063-Q1063)=1,L1063,IF((P1063-Q1063)=-1,-J1063,0))</f>
        <v/>
      </c>
      <c r="T1063" s="95">
        <f>IF((P1063-Q1063)=1,N1063,IF((P1063-Q1063)=-1,-M1063,0))</f>
        <v/>
      </c>
      <c r="U1063" s="101">
        <f>IF(AND(H1063=1,LedAcct&lt;&gt;""),IF(AND(E1063&gt;=LedFrom,E1063&lt;=LedTo,OR(I1063=LedAcct,K1063=LedAcct,AND(LedAcct=acctTax,M1063+N1063&lt;&gt;0))),E1063*10000+B1063,""),"")</f>
        <v/>
      </c>
    </row>
    <row r="1064">
      <c r="B1064" s="101" t="n">
        <v>1058</v>
      </c>
      <c r="C1064" s="58" t="inlineStr">
        <is>
          <t>Transaction</t>
        </is>
      </c>
      <c r="D1064" s="58">
        <f>IF(H1064=1,INDEX(tx_ID,1058)&amp;"","")</f>
        <v/>
      </c>
      <c r="E1064" s="94">
        <f>IF(H1064=1,INDEX(tx_Date,1058),"")</f>
        <v/>
      </c>
      <c r="F1064" s="58">
        <f>IF(H1064=1,INDEX(tx_Desc,1058)&amp;"","")</f>
        <v/>
      </c>
      <c r="G1064" s="58">
        <f>IF(H1064=1,IF(INDEX(tx_Cust,1058)&amp;""&lt;&gt;"",INDEX(tx_Cust,1058)&amp;"",INDEX(tx_Vend,1058)&amp;""),"")</f>
        <v/>
      </c>
      <c r="H1064" s="101">
        <f>IFERROR(N(INDEX(tx_Posted,1058)),0)</f>
        <v/>
      </c>
      <c r="I1064" s="58">
        <f>IF(H1064=1,INDEX(tx_DrAcct,1058)&amp;"","")</f>
        <v/>
      </c>
      <c r="J1064" s="95">
        <f>IF(H1064=1,INDEX(tx_DrAmt,1058),0)</f>
        <v/>
      </c>
      <c r="K1064" s="58">
        <f>IF(H1064=1,INDEX(tx_CrAcct,1058)&amp;"","")</f>
        <v/>
      </c>
      <c r="L1064" s="95">
        <f>IF(H1064=1,INDEX(tx_CrAmt,1058),0)</f>
        <v/>
      </c>
      <c r="M1064" s="95">
        <f>IF(H1064=1,INDEX(tx_TaxDr,1058),0)</f>
        <v/>
      </c>
      <c r="N1064" s="95">
        <f>IF(H1064=1,INDEX(tx_TaxCr,1058),0)</f>
        <v/>
      </c>
      <c r="O1064" s="101">
        <f>IF(H1064=1,IF(E1064&lt;FYStart,0,IF(E1064&gt;FYEnd,13,YEAR(E1064)*12+MONTH(E1064)-FYYM+1)),"")</f>
        <v/>
      </c>
      <c r="P1064" s="101">
        <f>IF(H1064=1,IF(IFERROR(INDEX(coa_CF,MATCH(I1064,coa_Name,0)),"")="Cash",1,0),0)</f>
        <v/>
      </c>
      <c r="Q1064" s="101">
        <f>IF(H1064=1,IF(IFERROR(INDEX(coa_CF,MATCH(K1064,coa_Name,0)),"")="Cash",1,0),0)</f>
        <v/>
      </c>
      <c r="R1064" s="58">
        <f>IF((P1064-Q1064)=0,"",IFERROR(INDEX(coa_CF,MATCH(IF((P1064-Q1064)=1,K1064,I1064),coa_Name,0)),"Operating"))</f>
        <v/>
      </c>
      <c r="S1064" s="95">
        <f>IF((P1064-Q1064)=1,L1064,IF((P1064-Q1064)=-1,-J1064,0))</f>
        <v/>
      </c>
      <c r="T1064" s="95">
        <f>IF((P1064-Q1064)=1,N1064,IF((P1064-Q1064)=-1,-M1064,0))</f>
        <v/>
      </c>
      <c r="U1064" s="101">
        <f>IF(AND(H1064=1,LedAcct&lt;&gt;""),IF(AND(E1064&gt;=LedFrom,E1064&lt;=LedTo,OR(I1064=LedAcct,K1064=LedAcct,AND(LedAcct=acctTax,M1064+N1064&lt;&gt;0))),E1064*10000+B1064,""),"")</f>
        <v/>
      </c>
    </row>
    <row r="1065">
      <c r="B1065" s="101" t="n">
        <v>1059</v>
      </c>
      <c r="C1065" s="58" t="inlineStr">
        <is>
          <t>Transaction</t>
        </is>
      </c>
      <c r="D1065" s="58">
        <f>IF(H1065=1,INDEX(tx_ID,1059)&amp;"","")</f>
        <v/>
      </c>
      <c r="E1065" s="94">
        <f>IF(H1065=1,INDEX(tx_Date,1059),"")</f>
        <v/>
      </c>
      <c r="F1065" s="58">
        <f>IF(H1065=1,INDEX(tx_Desc,1059)&amp;"","")</f>
        <v/>
      </c>
      <c r="G1065" s="58">
        <f>IF(H1065=1,IF(INDEX(tx_Cust,1059)&amp;""&lt;&gt;"",INDEX(tx_Cust,1059)&amp;"",INDEX(tx_Vend,1059)&amp;""),"")</f>
        <v/>
      </c>
      <c r="H1065" s="101">
        <f>IFERROR(N(INDEX(tx_Posted,1059)),0)</f>
        <v/>
      </c>
      <c r="I1065" s="58">
        <f>IF(H1065=1,INDEX(tx_DrAcct,1059)&amp;"","")</f>
        <v/>
      </c>
      <c r="J1065" s="95">
        <f>IF(H1065=1,INDEX(tx_DrAmt,1059),0)</f>
        <v/>
      </c>
      <c r="K1065" s="58">
        <f>IF(H1065=1,INDEX(tx_CrAcct,1059)&amp;"","")</f>
        <v/>
      </c>
      <c r="L1065" s="95">
        <f>IF(H1065=1,INDEX(tx_CrAmt,1059),0)</f>
        <v/>
      </c>
      <c r="M1065" s="95">
        <f>IF(H1065=1,INDEX(tx_TaxDr,1059),0)</f>
        <v/>
      </c>
      <c r="N1065" s="95">
        <f>IF(H1065=1,INDEX(tx_TaxCr,1059),0)</f>
        <v/>
      </c>
      <c r="O1065" s="101">
        <f>IF(H1065=1,IF(E1065&lt;FYStart,0,IF(E1065&gt;FYEnd,13,YEAR(E1065)*12+MONTH(E1065)-FYYM+1)),"")</f>
        <v/>
      </c>
      <c r="P1065" s="101">
        <f>IF(H1065=1,IF(IFERROR(INDEX(coa_CF,MATCH(I1065,coa_Name,0)),"")="Cash",1,0),0)</f>
        <v/>
      </c>
      <c r="Q1065" s="101">
        <f>IF(H1065=1,IF(IFERROR(INDEX(coa_CF,MATCH(K1065,coa_Name,0)),"")="Cash",1,0),0)</f>
        <v/>
      </c>
      <c r="R1065" s="58">
        <f>IF((P1065-Q1065)=0,"",IFERROR(INDEX(coa_CF,MATCH(IF((P1065-Q1065)=1,K1065,I1065),coa_Name,0)),"Operating"))</f>
        <v/>
      </c>
      <c r="S1065" s="95">
        <f>IF((P1065-Q1065)=1,L1065,IF((P1065-Q1065)=-1,-J1065,0))</f>
        <v/>
      </c>
      <c r="T1065" s="95">
        <f>IF((P1065-Q1065)=1,N1065,IF((P1065-Q1065)=-1,-M1065,0))</f>
        <v/>
      </c>
      <c r="U1065" s="101">
        <f>IF(AND(H1065=1,LedAcct&lt;&gt;""),IF(AND(E1065&gt;=LedFrom,E1065&lt;=LedTo,OR(I1065=LedAcct,K1065=LedAcct,AND(LedAcct=acctTax,M1065+N1065&lt;&gt;0))),E1065*10000+B1065,""),"")</f>
        <v/>
      </c>
    </row>
    <row r="1066">
      <c r="B1066" s="101" t="n">
        <v>1060</v>
      </c>
      <c r="C1066" s="58" t="inlineStr">
        <is>
          <t>Transaction</t>
        </is>
      </c>
      <c r="D1066" s="58">
        <f>IF(H1066=1,INDEX(tx_ID,1060)&amp;"","")</f>
        <v/>
      </c>
      <c r="E1066" s="94">
        <f>IF(H1066=1,INDEX(tx_Date,1060),"")</f>
        <v/>
      </c>
      <c r="F1066" s="58">
        <f>IF(H1066=1,INDEX(tx_Desc,1060)&amp;"","")</f>
        <v/>
      </c>
      <c r="G1066" s="58">
        <f>IF(H1066=1,IF(INDEX(tx_Cust,1060)&amp;""&lt;&gt;"",INDEX(tx_Cust,1060)&amp;"",INDEX(tx_Vend,1060)&amp;""),"")</f>
        <v/>
      </c>
      <c r="H1066" s="101">
        <f>IFERROR(N(INDEX(tx_Posted,1060)),0)</f>
        <v/>
      </c>
      <c r="I1066" s="58">
        <f>IF(H1066=1,INDEX(tx_DrAcct,1060)&amp;"","")</f>
        <v/>
      </c>
      <c r="J1066" s="95">
        <f>IF(H1066=1,INDEX(tx_DrAmt,1060),0)</f>
        <v/>
      </c>
      <c r="K1066" s="58">
        <f>IF(H1066=1,INDEX(tx_CrAcct,1060)&amp;"","")</f>
        <v/>
      </c>
      <c r="L1066" s="95">
        <f>IF(H1066=1,INDEX(tx_CrAmt,1060),0)</f>
        <v/>
      </c>
      <c r="M1066" s="95">
        <f>IF(H1066=1,INDEX(tx_TaxDr,1060),0)</f>
        <v/>
      </c>
      <c r="N1066" s="95">
        <f>IF(H1066=1,INDEX(tx_TaxCr,1060),0)</f>
        <v/>
      </c>
      <c r="O1066" s="101">
        <f>IF(H1066=1,IF(E1066&lt;FYStart,0,IF(E1066&gt;FYEnd,13,YEAR(E1066)*12+MONTH(E1066)-FYYM+1)),"")</f>
        <v/>
      </c>
      <c r="P1066" s="101">
        <f>IF(H1066=1,IF(IFERROR(INDEX(coa_CF,MATCH(I1066,coa_Name,0)),"")="Cash",1,0),0)</f>
        <v/>
      </c>
      <c r="Q1066" s="101">
        <f>IF(H1066=1,IF(IFERROR(INDEX(coa_CF,MATCH(K1066,coa_Name,0)),"")="Cash",1,0),0)</f>
        <v/>
      </c>
      <c r="R1066" s="58">
        <f>IF((P1066-Q1066)=0,"",IFERROR(INDEX(coa_CF,MATCH(IF((P1066-Q1066)=1,K1066,I1066),coa_Name,0)),"Operating"))</f>
        <v/>
      </c>
      <c r="S1066" s="95">
        <f>IF((P1066-Q1066)=1,L1066,IF((P1066-Q1066)=-1,-J1066,0))</f>
        <v/>
      </c>
      <c r="T1066" s="95">
        <f>IF((P1066-Q1066)=1,N1066,IF((P1066-Q1066)=-1,-M1066,0))</f>
        <v/>
      </c>
      <c r="U1066" s="101">
        <f>IF(AND(H1066=1,LedAcct&lt;&gt;""),IF(AND(E1066&gt;=LedFrom,E1066&lt;=LedTo,OR(I1066=LedAcct,K1066=LedAcct,AND(LedAcct=acctTax,M1066+N1066&lt;&gt;0))),E1066*10000+B1066,""),"")</f>
        <v/>
      </c>
    </row>
    <row r="1067">
      <c r="B1067" s="101" t="n">
        <v>1061</v>
      </c>
      <c r="C1067" s="58" t="inlineStr">
        <is>
          <t>Transaction</t>
        </is>
      </c>
      <c r="D1067" s="58">
        <f>IF(H1067=1,INDEX(tx_ID,1061)&amp;"","")</f>
        <v/>
      </c>
      <c r="E1067" s="94">
        <f>IF(H1067=1,INDEX(tx_Date,1061),"")</f>
        <v/>
      </c>
      <c r="F1067" s="58">
        <f>IF(H1067=1,INDEX(tx_Desc,1061)&amp;"","")</f>
        <v/>
      </c>
      <c r="G1067" s="58">
        <f>IF(H1067=1,IF(INDEX(tx_Cust,1061)&amp;""&lt;&gt;"",INDEX(tx_Cust,1061)&amp;"",INDEX(tx_Vend,1061)&amp;""),"")</f>
        <v/>
      </c>
      <c r="H1067" s="101">
        <f>IFERROR(N(INDEX(tx_Posted,1061)),0)</f>
        <v/>
      </c>
      <c r="I1067" s="58">
        <f>IF(H1067=1,INDEX(tx_DrAcct,1061)&amp;"","")</f>
        <v/>
      </c>
      <c r="J1067" s="95">
        <f>IF(H1067=1,INDEX(tx_DrAmt,1061),0)</f>
        <v/>
      </c>
      <c r="K1067" s="58">
        <f>IF(H1067=1,INDEX(tx_CrAcct,1061)&amp;"","")</f>
        <v/>
      </c>
      <c r="L1067" s="95">
        <f>IF(H1067=1,INDEX(tx_CrAmt,1061),0)</f>
        <v/>
      </c>
      <c r="M1067" s="95">
        <f>IF(H1067=1,INDEX(tx_TaxDr,1061),0)</f>
        <v/>
      </c>
      <c r="N1067" s="95">
        <f>IF(H1067=1,INDEX(tx_TaxCr,1061),0)</f>
        <v/>
      </c>
      <c r="O1067" s="101">
        <f>IF(H1067=1,IF(E1067&lt;FYStart,0,IF(E1067&gt;FYEnd,13,YEAR(E1067)*12+MONTH(E1067)-FYYM+1)),"")</f>
        <v/>
      </c>
      <c r="P1067" s="101">
        <f>IF(H1067=1,IF(IFERROR(INDEX(coa_CF,MATCH(I1067,coa_Name,0)),"")="Cash",1,0),0)</f>
        <v/>
      </c>
      <c r="Q1067" s="101">
        <f>IF(H1067=1,IF(IFERROR(INDEX(coa_CF,MATCH(K1067,coa_Name,0)),"")="Cash",1,0),0)</f>
        <v/>
      </c>
      <c r="R1067" s="58">
        <f>IF((P1067-Q1067)=0,"",IFERROR(INDEX(coa_CF,MATCH(IF((P1067-Q1067)=1,K1067,I1067),coa_Name,0)),"Operating"))</f>
        <v/>
      </c>
      <c r="S1067" s="95">
        <f>IF((P1067-Q1067)=1,L1067,IF((P1067-Q1067)=-1,-J1067,0))</f>
        <v/>
      </c>
      <c r="T1067" s="95">
        <f>IF((P1067-Q1067)=1,N1067,IF((P1067-Q1067)=-1,-M1067,0))</f>
        <v/>
      </c>
      <c r="U1067" s="101">
        <f>IF(AND(H1067=1,LedAcct&lt;&gt;""),IF(AND(E1067&gt;=LedFrom,E1067&lt;=LedTo,OR(I1067=LedAcct,K1067=LedAcct,AND(LedAcct=acctTax,M1067+N1067&lt;&gt;0))),E1067*10000+B1067,""),"")</f>
        <v/>
      </c>
    </row>
    <row r="1068">
      <c r="B1068" s="101" t="n">
        <v>1062</v>
      </c>
      <c r="C1068" s="58" t="inlineStr">
        <is>
          <t>Transaction</t>
        </is>
      </c>
      <c r="D1068" s="58">
        <f>IF(H1068=1,INDEX(tx_ID,1062)&amp;"","")</f>
        <v/>
      </c>
      <c r="E1068" s="94">
        <f>IF(H1068=1,INDEX(tx_Date,1062),"")</f>
        <v/>
      </c>
      <c r="F1068" s="58">
        <f>IF(H1068=1,INDEX(tx_Desc,1062)&amp;"","")</f>
        <v/>
      </c>
      <c r="G1068" s="58">
        <f>IF(H1068=1,IF(INDEX(tx_Cust,1062)&amp;""&lt;&gt;"",INDEX(tx_Cust,1062)&amp;"",INDEX(tx_Vend,1062)&amp;""),"")</f>
        <v/>
      </c>
      <c r="H1068" s="101">
        <f>IFERROR(N(INDEX(tx_Posted,1062)),0)</f>
        <v/>
      </c>
      <c r="I1068" s="58">
        <f>IF(H1068=1,INDEX(tx_DrAcct,1062)&amp;"","")</f>
        <v/>
      </c>
      <c r="J1068" s="95">
        <f>IF(H1068=1,INDEX(tx_DrAmt,1062),0)</f>
        <v/>
      </c>
      <c r="K1068" s="58">
        <f>IF(H1068=1,INDEX(tx_CrAcct,1062)&amp;"","")</f>
        <v/>
      </c>
      <c r="L1068" s="95">
        <f>IF(H1068=1,INDEX(tx_CrAmt,1062),0)</f>
        <v/>
      </c>
      <c r="M1068" s="95">
        <f>IF(H1068=1,INDEX(tx_TaxDr,1062),0)</f>
        <v/>
      </c>
      <c r="N1068" s="95">
        <f>IF(H1068=1,INDEX(tx_TaxCr,1062),0)</f>
        <v/>
      </c>
      <c r="O1068" s="101">
        <f>IF(H1068=1,IF(E1068&lt;FYStart,0,IF(E1068&gt;FYEnd,13,YEAR(E1068)*12+MONTH(E1068)-FYYM+1)),"")</f>
        <v/>
      </c>
      <c r="P1068" s="101">
        <f>IF(H1068=1,IF(IFERROR(INDEX(coa_CF,MATCH(I1068,coa_Name,0)),"")="Cash",1,0),0)</f>
        <v/>
      </c>
      <c r="Q1068" s="101">
        <f>IF(H1068=1,IF(IFERROR(INDEX(coa_CF,MATCH(K1068,coa_Name,0)),"")="Cash",1,0),0)</f>
        <v/>
      </c>
      <c r="R1068" s="58">
        <f>IF((P1068-Q1068)=0,"",IFERROR(INDEX(coa_CF,MATCH(IF((P1068-Q1068)=1,K1068,I1068),coa_Name,0)),"Operating"))</f>
        <v/>
      </c>
      <c r="S1068" s="95">
        <f>IF((P1068-Q1068)=1,L1068,IF((P1068-Q1068)=-1,-J1068,0))</f>
        <v/>
      </c>
      <c r="T1068" s="95">
        <f>IF((P1068-Q1068)=1,N1068,IF((P1068-Q1068)=-1,-M1068,0))</f>
        <v/>
      </c>
      <c r="U1068" s="101">
        <f>IF(AND(H1068=1,LedAcct&lt;&gt;""),IF(AND(E1068&gt;=LedFrom,E1068&lt;=LedTo,OR(I1068=LedAcct,K1068=LedAcct,AND(LedAcct=acctTax,M1068+N1068&lt;&gt;0))),E1068*10000+B1068,""),"")</f>
        <v/>
      </c>
    </row>
    <row r="1069">
      <c r="B1069" s="101" t="n">
        <v>1063</v>
      </c>
      <c r="C1069" s="58" t="inlineStr">
        <is>
          <t>Transaction</t>
        </is>
      </c>
      <c r="D1069" s="58">
        <f>IF(H1069=1,INDEX(tx_ID,1063)&amp;"","")</f>
        <v/>
      </c>
      <c r="E1069" s="94">
        <f>IF(H1069=1,INDEX(tx_Date,1063),"")</f>
        <v/>
      </c>
      <c r="F1069" s="58">
        <f>IF(H1069=1,INDEX(tx_Desc,1063)&amp;"","")</f>
        <v/>
      </c>
      <c r="G1069" s="58">
        <f>IF(H1069=1,IF(INDEX(tx_Cust,1063)&amp;""&lt;&gt;"",INDEX(tx_Cust,1063)&amp;"",INDEX(tx_Vend,1063)&amp;""),"")</f>
        <v/>
      </c>
      <c r="H1069" s="101">
        <f>IFERROR(N(INDEX(tx_Posted,1063)),0)</f>
        <v/>
      </c>
      <c r="I1069" s="58">
        <f>IF(H1069=1,INDEX(tx_DrAcct,1063)&amp;"","")</f>
        <v/>
      </c>
      <c r="J1069" s="95">
        <f>IF(H1069=1,INDEX(tx_DrAmt,1063),0)</f>
        <v/>
      </c>
      <c r="K1069" s="58">
        <f>IF(H1069=1,INDEX(tx_CrAcct,1063)&amp;"","")</f>
        <v/>
      </c>
      <c r="L1069" s="95">
        <f>IF(H1069=1,INDEX(tx_CrAmt,1063),0)</f>
        <v/>
      </c>
      <c r="M1069" s="95">
        <f>IF(H1069=1,INDEX(tx_TaxDr,1063),0)</f>
        <v/>
      </c>
      <c r="N1069" s="95">
        <f>IF(H1069=1,INDEX(tx_TaxCr,1063),0)</f>
        <v/>
      </c>
      <c r="O1069" s="101">
        <f>IF(H1069=1,IF(E1069&lt;FYStart,0,IF(E1069&gt;FYEnd,13,YEAR(E1069)*12+MONTH(E1069)-FYYM+1)),"")</f>
        <v/>
      </c>
      <c r="P1069" s="101">
        <f>IF(H1069=1,IF(IFERROR(INDEX(coa_CF,MATCH(I1069,coa_Name,0)),"")="Cash",1,0),0)</f>
        <v/>
      </c>
      <c r="Q1069" s="101">
        <f>IF(H1069=1,IF(IFERROR(INDEX(coa_CF,MATCH(K1069,coa_Name,0)),"")="Cash",1,0),0)</f>
        <v/>
      </c>
      <c r="R1069" s="58">
        <f>IF((P1069-Q1069)=0,"",IFERROR(INDEX(coa_CF,MATCH(IF((P1069-Q1069)=1,K1069,I1069),coa_Name,0)),"Operating"))</f>
        <v/>
      </c>
      <c r="S1069" s="95">
        <f>IF((P1069-Q1069)=1,L1069,IF((P1069-Q1069)=-1,-J1069,0))</f>
        <v/>
      </c>
      <c r="T1069" s="95">
        <f>IF((P1069-Q1069)=1,N1069,IF((P1069-Q1069)=-1,-M1069,0))</f>
        <v/>
      </c>
      <c r="U1069" s="101">
        <f>IF(AND(H1069=1,LedAcct&lt;&gt;""),IF(AND(E1069&gt;=LedFrom,E1069&lt;=LedTo,OR(I1069=LedAcct,K1069=LedAcct,AND(LedAcct=acctTax,M1069+N1069&lt;&gt;0))),E1069*10000+B1069,""),"")</f>
        <v/>
      </c>
    </row>
    <row r="1070">
      <c r="B1070" s="101" t="n">
        <v>1064</v>
      </c>
      <c r="C1070" s="58" t="inlineStr">
        <is>
          <t>Transaction</t>
        </is>
      </c>
      <c r="D1070" s="58">
        <f>IF(H1070=1,INDEX(tx_ID,1064)&amp;"","")</f>
        <v/>
      </c>
      <c r="E1070" s="94">
        <f>IF(H1070=1,INDEX(tx_Date,1064),"")</f>
        <v/>
      </c>
      <c r="F1070" s="58">
        <f>IF(H1070=1,INDEX(tx_Desc,1064)&amp;"","")</f>
        <v/>
      </c>
      <c r="G1070" s="58">
        <f>IF(H1070=1,IF(INDEX(tx_Cust,1064)&amp;""&lt;&gt;"",INDEX(tx_Cust,1064)&amp;"",INDEX(tx_Vend,1064)&amp;""),"")</f>
        <v/>
      </c>
      <c r="H1070" s="101">
        <f>IFERROR(N(INDEX(tx_Posted,1064)),0)</f>
        <v/>
      </c>
      <c r="I1070" s="58">
        <f>IF(H1070=1,INDEX(tx_DrAcct,1064)&amp;"","")</f>
        <v/>
      </c>
      <c r="J1070" s="95">
        <f>IF(H1070=1,INDEX(tx_DrAmt,1064),0)</f>
        <v/>
      </c>
      <c r="K1070" s="58">
        <f>IF(H1070=1,INDEX(tx_CrAcct,1064)&amp;"","")</f>
        <v/>
      </c>
      <c r="L1070" s="95">
        <f>IF(H1070=1,INDEX(tx_CrAmt,1064),0)</f>
        <v/>
      </c>
      <c r="M1070" s="95">
        <f>IF(H1070=1,INDEX(tx_TaxDr,1064),0)</f>
        <v/>
      </c>
      <c r="N1070" s="95">
        <f>IF(H1070=1,INDEX(tx_TaxCr,1064),0)</f>
        <v/>
      </c>
      <c r="O1070" s="101">
        <f>IF(H1070=1,IF(E1070&lt;FYStart,0,IF(E1070&gt;FYEnd,13,YEAR(E1070)*12+MONTH(E1070)-FYYM+1)),"")</f>
        <v/>
      </c>
      <c r="P1070" s="101">
        <f>IF(H1070=1,IF(IFERROR(INDEX(coa_CF,MATCH(I1070,coa_Name,0)),"")="Cash",1,0),0)</f>
        <v/>
      </c>
      <c r="Q1070" s="101">
        <f>IF(H1070=1,IF(IFERROR(INDEX(coa_CF,MATCH(K1070,coa_Name,0)),"")="Cash",1,0),0)</f>
        <v/>
      </c>
      <c r="R1070" s="58">
        <f>IF((P1070-Q1070)=0,"",IFERROR(INDEX(coa_CF,MATCH(IF((P1070-Q1070)=1,K1070,I1070),coa_Name,0)),"Operating"))</f>
        <v/>
      </c>
      <c r="S1070" s="95">
        <f>IF((P1070-Q1070)=1,L1070,IF((P1070-Q1070)=-1,-J1070,0))</f>
        <v/>
      </c>
      <c r="T1070" s="95">
        <f>IF((P1070-Q1070)=1,N1070,IF((P1070-Q1070)=-1,-M1070,0))</f>
        <v/>
      </c>
      <c r="U1070" s="101">
        <f>IF(AND(H1070=1,LedAcct&lt;&gt;""),IF(AND(E1070&gt;=LedFrom,E1070&lt;=LedTo,OR(I1070=LedAcct,K1070=LedAcct,AND(LedAcct=acctTax,M1070+N1070&lt;&gt;0))),E1070*10000+B1070,""),"")</f>
        <v/>
      </c>
    </row>
    <row r="1071">
      <c r="B1071" s="101" t="n">
        <v>1065</v>
      </c>
      <c r="C1071" s="58" t="inlineStr">
        <is>
          <t>Transaction</t>
        </is>
      </c>
      <c r="D1071" s="58">
        <f>IF(H1071=1,INDEX(tx_ID,1065)&amp;"","")</f>
        <v/>
      </c>
      <c r="E1071" s="94">
        <f>IF(H1071=1,INDEX(tx_Date,1065),"")</f>
        <v/>
      </c>
      <c r="F1071" s="58">
        <f>IF(H1071=1,INDEX(tx_Desc,1065)&amp;"","")</f>
        <v/>
      </c>
      <c r="G1071" s="58">
        <f>IF(H1071=1,IF(INDEX(tx_Cust,1065)&amp;""&lt;&gt;"",INDEX(tx_Cust,1065)&amp;"",INDEX(tx_Vend,1065)&amp;""),"")</f>
        <v/>
      </c>
      <c r="H1071" s="101">
        <f>IFERROR(N(INDEX(tx_Posted,1065)),0)</f>
        <v/>
      </c>
      <c r="I1071" s="58">
        <f>IF(H1071=1,INDEX(tx_DrAcct,1065)&amp;"","")</f>
        <v/>
      </c>
      <c r="J1071" s="95">
        <f>IF(H1071=1,INDEX(tx_DrAmt,1065),0)</f>
        <v/>
      </c>
      <c r="K1071" s="58">
        <f>IF(H1071=1,INDEX(tx_CrAcct,1065)&amp;"","")</f>
        <v/>
      </c>
      <c r="L1071" s="95">
        <f>IF(H1071=1,INDEX(tx_CrAmt,1065),0)</f>
        <v/>
      </c>
      <c r="M1071" s="95">
        <f>IF(H1071=1,INDEX(tx_TaxDr,1065),0)</f>
        <v/>
      </c>
      <c r="N1071" s="95">
        <f>IF(H1071=1,INDEX(tx_TaxCr,1065),0)</f>
        <v/>
      </c>
      <c r="O1071" s="101">
        <f>IF(H1071=1,IF(E1071&lt;FYStart,0,IF(E1071&gt;FYEnd,13,YEAR(E1071)*12+MONTH(E1071)-FYYM+1)),"")</f>
        <v/>
      </c>
      <c r="P1071" s="101">
        <f>IF(H1071=1,IF(IFERROR(INDEX(coa_CF,MATCH(I1071,coa_Name,0)),"")="Cash",1,0),0)</f>
        <v/>
      </c>
      <c r="Q1071" s="101">
        <f>IF(H1071=1,IF(IFERROR(INDEX(coa_CF,MATCH(K1071,coa_Name,0)),"")="Cash",1,0),0)</f>
        <v/>
      </c>
      <c r="R1071" s="58">
        <f>IF((P1071-Q1071)=0,"",IFERROR(INDEX(coa_CF,MATCH(IF((P1071-Q1071)=1,K1071,I1071),coa_Name,0)),"Operating"))</f>
        <v/>
      </c>
      <c r="S1071" s="95">
        <f>IF((P1071-Q1071)=1,L1071,IF((P1071-Q1071)=-1,-J1071,0))</f>
        <v/>
      </c>
      <c r="T1071" s="95">
        <f>IF((P1071-Q1071)=1,N1071,IF((P1071-Q1071)=-1,-M1071,0))</f>
        <v/>
      </c>
      <c r="U1071" s="101">
        <f>IF(AND(H1071=1,LedAcct&lt;&gt;""),IF(AND(E1071&gt;=LedFrom,E1071&lt;=LedTo,OR(I1071=LedAcct,K1071=LedAcct,AND(LedAcct=acctTax,M1071+N1071&lt;&gt;0))),E1071*10000+B1071,""),"")</f>
        <v/>
      </c>
    </row>
    <row r="1072">
      <c r="B1072" s="101" t="n">
        <v>1066</v>
      </c>
      <c r="C1072" s="58" t="inlineStr">
        <is>
          <t>Transaction</t>
        </is>
      </c>
      <c r="D1072" s="58">
        <f>IF(H1072=1,INDEX(tx_ID,1066)&amp;"","")</f>
        <v/>
      </c>
      <c r="E1072" s="94">
        <f>IF(H1072=1,INDEX(tx_Date,1066),"")</f>
        <v/>
      </c>
      <c r="F1072" s="58">
        <f>IF(H1072=1,INDEX(tx_Desc,1066)&amp;"","")</f>
        <v/>
      </c>
      <c r="G1072" s="58">
        <f>IF(H1072=1,IF(INDEX(tx_Cust,1066)&amp;""&lt;&gt;"",INDEX(tx_Cust,1066)&amp;"",INDEX(tx_Vend,1066)&amp;""),"")</f>
        <v/>
      </c>
      <c r="H1072" s="101">
        <f>IFERROR(N(INDEX(tx_Posted,1066)),0)</f>
        <v/>
      </c>
      <c r="I1072" s="58">
        <f>IF(H1072=1,INDEX(tx_DrAcct,1066)&amp;"","")</f>
        <v/>
      </c>
      <c r="J1072" s="95">
        <f>IF(H1072=1,INDEX(tx_DrAmt,1066),0)</f>
        <v/>
      </c>
      <c r="K1072" s="58">
        <f>IF(H1072=1,INDEX(tx_CrAcct,1066)&amp;"","")</f>
        <v/>
      </c>
      <c r="L1072" s="95">
        <f>IF(H1072=1,INDEX(tx_CrAmt,1066),0)</f>
        <v/>
      </c>
      <c r="M1072" s="95">
        <f>IF(H1072=1,INDEX(tx_TaxDr,1066),0)</f>
        <v/>
      </c>
      <c r="N1072" s="95">
        <f>IF(H1072=1,INDEX(tx_TaxCr,1066),0)</f>
        <v/>
      </c>
      <c r="O1072" s="101">
        <f>IF(H1072=1,IF(E1072&lt;FYStart,0,IF(E1072&gt;FYEnd,13,YEAR(E1072)*12+MONTH(E1072)-FYYM+1)),"")</f>
        <v/>
      </c>
      <c r="P1072" s="101">
        <f>IF(H1072=1,IF(IFERROR(INDEX(coa_CF,MATCH(I1072,coa_Name,0)),"")="Cash",1,0),0)</f>
        <v/>
      </c>
      <c r="Q1072" s="101">
        <f>IF(H1072=1,IF(IFERROR(INDEX(coa_CF,MATCH(K1072,coa_Name,0)),"")="Cash",1,0),0)</f>
        <v/>
      </c>
      <c r="R1072" s="58">
        <f>IF((P1072-Q1072)=0,"",IFERROR(INDEX(coa_CF,MATCH(IF((P1072-Q1072)=1,K1072,I1072),coa_Name,0)),"Operating"))</f>
        <v/>
      </c>
      <c r="S1072" s="95">
        <f>IF((P1072-Q1072)=1,L1072,IF((P1072-Q1072)=-1,-J1072,0))</f>
        <v/>
      </c>
      <c r="T1072" s="95">
        <f>IF((P1072-Q1072)=1,N1072,IF((P1072-Q1072)=-1,-M1072,0))</f>
        <v/>
      </c>
      <c r="U1072" s="101">
        <f>IF(AND(H1072=1,LedAcct&lt;&gt;""),IF(AND(E1072&gt;=LedFrom,E1072&lt;=LedTo,OR(I1072=LedAcct,K1072=LedAcct,AND(LedAcct=acctTax,M1072+N1072&lt;&gt;0))),E1072*10000+B1072,""),"")</f>
        <v/>
      </c>
    </row>
    <row r="1073">
      <c r="B1073" s="101" t="n">
        <v>1067</v>
      </c>
      <c r="C1073" s="58" t="inlineStr">
        <is>
          <t>Transaction</t>
        </is>
      </c>
      <c r="D1073" s="58">
        <f>IF(H1073=1,INDEX(tx_ID,1067)&amp;"","")</f>
        <v/>
      </c>
      <c r="E1073" s="94">
        <f>IF(H1073=1,INDEX(tx_Date,1067),"")</f>
        <v/>
      </c>
      <c r="F1073" s="58">
        <f>IF(H1073=1,INDEX(tx_Desc,1067)&amp;"","")</f>
        <v/>
      </c>
      <c r="G1073" s="58">
        <f>IF(H1073=1,IF(INDEX(tx_Cust,1067)&amp;""&lt;&gt;"",INDEX(tx_Cust,1067)&amp;"",INDEX(tx_Vend,1067)&amp;""),"")</f>
        <v/>
      </c>
      <c r="H1073" s="101">
        <f>IFERROR(N(INDEX(tx_Posted,1067)),0)</f>
        <v/>
      </c>
      <c r="I1073" s="58">
        <f>IF(H1073=1,INDEX(tx_DrAcct,1067)&amp;"","")</f>
        <v/>
      </c>
      <c r="J1073" s="95">
        <f>IF(H1073=1,INDEX(tx_DrAmt,1067),0)</f>
        <v/>
      </c>
      <c r="K1073" s="58">
        <f>IF(H1073=1,INDEX(tx_CrAcct,1067)&amp;"","")</f>
        <v/>
      </c>
      <c r="L1073" s="95">
        <f>IF(H1073=1,INDEX(tx_CrAmt,1067),0)</f>
        <v/>
      </c>
      <c r="M1073" s="95">
        <f>IF(H1073=1,INDEX(tx_TaxDr,1067),0)</f>
        <v/>
      </c>
      <c r="N1073" s="95">
        <f>IF(H1073=1,INDEX(tx_TaxCr,1067),0)</f>
        <v/>
      </c>
      <c r="O1073" s="101">
        <f>IF(H1073=1,IF(E1073&lt;FYStart,0,IF(E1073&gt;FYEnd,13,YEAR(E1073)*12+MONTH(E1073)-FYYM+1)),"")</f>
        <v/>
      </c>
      <c r="P1073" s="101">
        <f>IF(H1073=1,IF(IFERROR(INDEX(coa_CF,MATCH(I1073,coa_Name,0)),"")="Cash",1,0),0)</f>
        <v/>
      </c>
      <c r="Q1073" s="101">
        <f>IF(H1073=1,IF(IFERROR(INDEX(coa_CF,MATCH(K1073,coa_Name,0)),"")="Cash",1,0),0)</f>
        <v/>
      </c>
      <c r="R1073" s="58">
        <f>IF((P1073-Q1073)=0,"",IFERROR(INDEX(coa_CF,MATCH(IF((P1073-Q1073)=1,K1073,I1073),coa_Name,0)),"Operating"))</f>
        <v/>
      </c>
      <c r="S1073" s="95">
        <f>IF((P1073-Q1073)=1,L1073,IF((P1073-Q1073)=-1,-J1073,0))</f>
        <v/>
      </c>
      <c r="T1073" s="95">
        <f>IF((P1073-Q1073)=1,N1073,IF((P1073-Q1073)=-1,-M1073,0))</f>
        <v/>
      </c>
      <c r="U1073" s="101">
        <f>IF(AND(H1073=1,LedAcct&lt;&gt;""),IF(AND(E1073&gt;=LedFrom,E1073&lt;=LedTo,OR(I1073=LedAcct,K1073=LedAcct,AND(LedAcct=acctTax,M1073+N1073&lt;&gt;0))),E1073*10000+B1073,""),"")</f>
        <v/>
      </c>
    </row>
    <row r="1074">
      <c r="B1074" s="101" t="n">
        <v>1068</v>
      </c>
      <c r="C1074" s="58" t="inlineStr">
        <is>
          <t>Transaction</t>
        </is>
      </c>
      <c r="D1074" s="58">
        <f>IF(H1074=1,INDEX(tx_ID,1068)&amp;"","")</f>
        <v/>
      </c>
      <c r="E1074" s="94">
        <f>IF(H1074=1,INDEX(tx_Date,1068),"")</f>
        <v/>
      </c>
      <c r="F1074" s="58">
        <f>IF(H1074=1,INDEX(tx_Desc,1068)&amp;"","")</f>
        <v/>
      </c>
      <c r="G1074" s="58">
        <f>IF(H1074=1,IF(INDEX(tx_Cust,1068)&amp;""&lt;&gt;"",INDEX(tx_Cust,1068)&amp;"",INDEX(tx_Vend,1068)&amp;""),"")</f>
        <v/>
      </c>
      <c r="H1074" s="101">
        <f>IFERROR(N(INDEX(tx_Posted,1068)),0)</f>
        <v/>
      </c>
      <c r="I1074" s="58">
        <f>IF(H1074=1,INDEX(tx_DrAcct,1068)&amp;"","")</f>
        <v/>
      </c>
      <c r="J1074" s="95">
        <f>IF(H1074=1,INDEX(tx_DrAmt,1068),0)</f>
        <v/>
      </c>
      <c r="K1074" s="58">
        <f>IF(H1074=1,INDEX(tx_CrAcct,1068)&amp;"","")</f>
        <v/>
      </c>
      <c r="L1074" s="95">
        <f>IF(H1074=1,INDEX(tx_CrAmt,1068),0)</f>
        <v/>
      </c>
      <c r="M1074" s="95">
        <f>IF(H1074=1,INDEX(tx_TaxDr,1068),0)</f>
        <v/>
      </c>
      <c r="N1074" s="95">
        <f>IF(H1074=1,INDEX(tx_TaxCr,1068),0)</f>
        <v/>
      </c>
      <c r="O1074" s="101">
        <f>IF(H1074=1,IF(E1074&lt;FYStart,0,IF(E1074&gt;FYEnd,13,YEAR(E1074)*12+MONTH(E1074)-FYYM+1)),"")</f>
        <v/>
      </c>
      <c r="P1074" s="101">
        <f>IF(H1074=1,IF(IFERROR(INDEX(coa_CF,MATCH(I1074,coa_Name,0)),"")="Cash",1,0),0)</f>
        <v/>
      </c>
      <c r="Q1074" s="101">
        <f>IF(H1074=1,IF(IFERROR(INDEX(coa_CF,MATCH(K1074,coa_Name,0)),"")="Cash",1,0),0)</f>
        <v/>
      </c>
      <c r="R1074" s="58">
        <f>IF((P1074-Q1074)=0,"",IFERROR(INDEX(coa_CF,MATCH(IF((P1074-Q1074)=1,K1074,I1074),coa_Name,0)),"Operating"))</f>
        <v/>
      </c>
      <c r="S1074" s="95">
        <f>IF((P1074-Q1074)=1,L1074,IF((P1074-Q1074)=-1,-J1074,0))</f>
        <v/>
      </c>
      <c r="T1074" s="95">
        <f>IF((P1074-Q1074)=1,N1074,IF((P1074-Q1074)=-1,-M1074,0))</f>
        <v/>
      </c>
      <c r="U1074" s="101">
        <f>IF(AND(H1074=1,LedAcct&lt;&gt;""),IF(AND(E1074&gt;=LedFrom,E1074&lt;=LedTo,OR(I1074=LedAcct,K1074=LedAcct,AND(LedAcct=acctTax,M1074+N1074&lt;&gt;0))),E1074*10000+B1074,""),"")</f>
        <v/>
      </c>
    </row>
    <row r="1075">
      <c r="B1075" s="101" t="n">
        <v>1069</v>
      </c>
      <c r="C1075" s="58" t="inlineStr">
        <is>
          <t>Transaction</t>
        </is>
      </c>
      <c r="D1075" s="58">
        <f>IF(H1075=1,INDEX(tx_ID,1069)&amp;"","")</f>
        <v/>
      </c>
      <c r="E1075" s="94">
        <f>IF(H1075=1,INDEX(tx_Date,1069),"")</f>
        <v/>
      </c>
      <c r="F1075" s="58">
        <f>IF(H1075=1,INDEX(tx_Desc,1069)&amp;"","")</f>
        <v/>
      </c>
      <c r="G1075" s="58">
        <f>IF(H1075=1,IF(INDEX(tx_Cust,1069)&amp;""&lt;&gt;"",INDEX(tx_Cust,1069)&amp;"",INDEX(tx_Vend,1069)&amp;""),"")</f>
        <v/>
      </c>
      <c r="H1075" s="101">
        <f>IFERROR(N(INDEX(tx_Posted,1069)),0)</f>
        <v/>
      </c>
      <c r="I1075" s="58">
        <f>IF(H1075=1,INDEX(tx_DrAcct,1069)&amp;"","")</f>
        <v/>
      </c>
      <c r="J1075" s="95">
        <f>IF(H1075=1,INDEX(tx_DrAmt,1069),0)</f>
        <v/>
      </c>
      <c r="K1075" s="58">
        <f>IF(H1075=1,INDEX(tx_CrAcct,1069)&amp;"","")</f>
        <v/>
      </c>
      <c r="L1075" s="95">
        <f>IF(H1075=1,INDEX(tx_CrAmt,1069),0)</f>
        <v/>
      </c>
      <c r="M1075" s="95">
        <f>IF(H1075=1,INDEX(tx_TaxDr,1069),0)</f>
        <v/>
      </c>
      <c r="N1075" s="95">
        <f>IF(H1075=1,INDEX(tx_TaxCr,1069),0)</f>
        <v/>
      </c>
      <c r="O1075" s="101">
        <f>IF(H1075=1,IF(E1075&lt;FYStart,0,IF(E1075&gt;FYEnd,13,YEAR(E1075)*12+MONTH(E1075)-FYYM+1)),"")</f>
        <v/>
      </c>
      <c r="P1075" s="101">
        <f>IF(H1075=1,IF(IFERROR(INDEX(coa_CF,MATCH(I1075,coa_Name,0)),"")="Cash",1,0),0)</f>
        <v/>
      </c>
      <c r="Q1075" s="101">
        <f>IF(H1075=1,IF(IFERROR(INDEX(coa_CF,MATCH(K1075,coa_Name,0)),"")="Cash",1,0),0)</f>
        <v/>
      </c>
      <c r="R1075" s="58">
        <f>IF((P1075-Q1075)=0,"",IFERROR(INDEX(coa_CF,MATCH(IF((P1075-Q1075)=1,K1075,I1075),coa_Name,0)),"Operating"))</f>
        <v/>
      </c>
      <c r="S1075" s="95">
        <f>IF((P1075-Q1075)=1,L1075,IF((P1075-Q1075)=-1,-J1075,0))</f>
        <v/>
      </c>
      <c r="T1075" s="95">
        <f>IF((P1075-Q1075)=1,N1075,IF((P1075-Q1075)=-1,-M1075,0))</f>
        <v/>
      </c>
      <c r="U1075" s="101">
        <f>IF(AND(H1075=1,LedAcct&lt;&gt;""),IF(AND(E1075&gt;=LedFrom,E1075&lt;=LedTo,OR(I1075=LedAcct,K1075=LedAcct,AND(LedAcct=acctTax,M1075+N1075&lt;&gt;0))),E1075*10000+B1075,""),"")</f>
        <v/>
      </c>
    </row>
    <row r="1076">
      <c r="B1076" s="101" t="n">
        <v>1070</v>
      </c>
      <c r="C1076" s="58" t="inlineStr">
        <is>
          <t>Transaction</t>
        </is>
      </c>
      <c r="D1076" s="58">
        <f>IF(H1076=1,INDEX(tx_ID,1070)&amp;"","")</f>
        <v/>
      </c>
      <c r="E1076" s="94">
        <f>IF(H1076=1,INDEX(tx_Date,1070),"")</f>
        <v/>
      </c>
      <c r="F1076" s="58">
        <f>IF(H1076=1,INDEX(tx_Desc,1070)&amp;"","")</f>
        <v/>
      </c>
      <c r="G1076" s="58">
        <f>IF(H1076=1,IF(INDEX(tx_Cust,1070)&amp;""&lt;&gt;"",INDEX(tx_Cust,1070)&amp;"",INDEX(tx_Vend,1070)&amp;""),"")</f>
        <v/>
      </c>
      <c r="H1076" s="101">
        <f>IFERROR(N(INDEX(tx_Posted,1070)),0)</f>
        <v/>
      </c>
      <c r="I1076" s="58">
        <f>IF(H1076=1,INDEX(tx_DrAcct,1070)&amp;"","")</f>
        <v/>
      </c>
      <c r="J1076" s="95">
        <f>IF(H1076=1,INDEX(tx_DrAmt,1070),0)</f>
        <v/>
      </c>
      <c r="K1076" s="58">
        <f>IF(H1076=1,INDEX(tx_CrAcct,1070)&amp;"","")</f>
        <v/>
      </c>
      <c r="L1076" s="95">
        <f>IF(H1076=1,INDEX(tx_CrAmt,1070),0)</f>
        <v/>
      </c>
      <c r="M1076" s="95">
        <f>IF(H1076=1,INDEX(tx_TaxDr,1070),0)</f>
        <v/>
      </c>
      <c r="N1076" s="95">
        <f>IF(H1076=1,INDEX(tx_TaxCr,1070),0)</f>
        <v/>
      </c>
      <c r="O1076" s="101">
        <f>IF(H1076=1,IF(E1076&lt;FYStart,0,IF(E1076&gt;FYEnd,13,YEAR(E1076)*12+MONTH(E1076)-FYYM+1)),"")</f>
        <v/>
      </c>
      <c r="P1076" s="101">
        <f>IF(H1076=1,IF(IFERROR(INDEX(coa_CF,MATCH(I1076,coa_Name,0)),"")="Cash",1,0),0)</f>
        <v/>
      </c>
      <c r="Q1076" s="101">
        <f>IF(H1076=1,IF(IFERROR(INDEX(coa_CF,MATCH(K1076,coa_Name,0)),"")="Cash",1,0),0)</f>
        <v/>
      </c>
      <c r="R1076" s="58">
        <f>IF((P1076-Q1076)=0,"",IFERROR(INDEX(coa_CF,MATCH(IF((P1076-Q1076)=1,K1076,I1076),coa_Name,0)),"Operating"))</f>
        <v/>
      </c>
      <c r="S1076" s="95">
        <f>IF((P1076-Q1076)=1,L1076,IF((P1076-Q1076)=-1,-J1076,0))</f>
        <v/>
      </c>
      <c r="T1076" s="95">
        <f>IF((P1076-Q1076)=1,N1076,IF((P1076-Q1076)=-1,-M1076,0))</f>
        <v/>
      </c>
      <c r="U1076" s="101">
        <f>IF(AND(H1076=1,LedAcct&lt;&gt;""),IF(AND(E1076&gt;=LedFrom,E1076&lt;=LedTo,OR(I1076=LedAcct,K1076=LedAcct,AND(LedAcct=acctTax,M1076+N1076&lt;&gt;0))),E1076*10000+B1076,""),"")</f>
        <v/>
      </c>
    </row>
    <row r="1077">
      <c r="B1077" s="101" t="n">
        <v>1071</v>
      </c>
      <c r="C1077" s="58" t="inlineStr">
        <is>
          <t>Transaction</t>
        </is>
      </c>
      <c r="D1077" s="58">
        <f>IF(H1077=1,INDEX(tx_ID,1071)&amp;"","")</f>
        <v/>
      </c>
      <c r="E1077" s="94">
        <f>IF(H1077=1,INDEX(tx_Date,1071),"")</f>
        <v/>
      </c>
      <c r="F1077" s="58">
        <f>IF(H1077=1,INDEX(tx_Desc,1071)&amp;"","")</f>
        <v/>
      </c>
      <c r="G1077" s="58">
        <f>IF(H1077=1,IF(INDEX(tx_Cust,1071)&amp;""&lt;&gt;"",INDEX(tx_Cust,1071)&amp;"",INDEX(tx_Vend,1071)&amp;""),"")</f>
        <v/>
      </c>
      <c r="H1077" s="101">
        <f>IFERROR(N(INDEX(tx_Posted,1071)),0)</f>
        <v/>
      </c>
      <c r="I1077" s="58">
        <f>IF(H1077=1,INDEX(tx_DrAcct,1071)&amp;"","")</f>
        <v/>
      </c>
      <c r="J1077" s="95">
        <f>IF(H1077=1,INDEX(tx_DrAmt,1071),0)</f>
        <v/>
      </c>
      <c r="K1077" s="58">
        <f>IF(H1077=1,INDEX(tx_CrAcct,1071)&amp;"","")</f>
        <v/>
      </c>
      <c r="L1077" s="95">
        <f>IF(H1077=1,INDEX(tx_CrAmt,1071),0)</f>
        <v/>
      </c>
      <c r="M1077" s="95">
        <f>IF(H1077=1,INDEX(tx_TaxDr,1071),0)</f>
        <v/>
      </c>
      <c r="N1077" s="95">
        <f>IF(H1077=1,INDEX(tx_TaxCr,1071),0)</f>
        <v/>
      </c>
      <c r="O1077" s="101">
        <f>IF(H1077=1,IF(E1077&lt;FYStart,0,IF(E1077&gt;FYEnd,13,YEAR(E1077)*12+MONTH(E1077)-FYYM+1)),"")</f>
        <v/>
      </c>
      <c r="P1077" s="101">
        <f>IF(H1077=1,IF(IFERROR(INDEX(coa_CF,MATCH(I1077,coa_Name,0)),"")="Cash",1,0),0)</f>
        <v/>
      </c>
      <c r="Q1077" s="101">
        <f>IF(H1077=1,IF(IFERROR(INDEX(coa_CF,MATCH(K1077,coa_Name,0)),"")="Cash",1,0),0)</f>
        <v/>
      </c>
      <c r="R1077" s="58">
        <f>IF((P1077-Q1077)=0,"",IFERROR(INDEX(coa_CF,MATCH(IF((P1077-Q1077)=1,K1077,I1077),coa_Name,0)),"Operating"))</f>
        <v/>
      </c>
      <c r="S1077" s="95">
        <f>IF((P1077-Q1077)=1,L1077,IF((P1077-Q1077)=-1,-J1077,0))</f>
        <v/>
      </c>
      <c r="T1077" s="95">
        <f>IF((P1077-Q1077)=1,N1077,IF((P1077-Q1077)=-1,-M1077,0))</f>
        <v/>
      </c>
      <c r="U1077" s="101">
        <f>IF(AND(H1077=1,LedAcct&lt;&gt;""),IF(AND(E1077&gt;=LedFrom,E1077&lt;=LedTo,OR(I1077=LedAcct,K1077=LedAcct,AND(LedAcct=acctTax,M1077+N1077&lt;&gt;0))),E1077*10000+B1077,""),"")</f>
        <v/>
      </c>
    </row>
    <row r="1078">
      <c r="B1078" s="101" t="n">
        <v>1072</v>
      </c>
      <c r="C1078" s="58" t="inlineStr">
        <is>
          <t>Transaction</t>
        </is>
      </c>
      <c r="D1078" s="58">
        <f>IF(H1078=1,INDEX(tx_ID,1072)&amp;"","")</f>
        <v/>
      </c>
      <c r="E1078" s="94">
        <f>IF(H1078=1,INDEX(tx_Date,1072),"")</f>
        <v/>
      </c>
      <c r="F1078" s="58">
        <f>IF(H1078=1,INDEX(tx_Desc,1072)&amp;"","")</f>
        <v/>
      </c>
      <c r="G1078" s="58">
        <f>IF(H1078=1,IF(INDEX(tx_Cust,1072)&amp;""&lt;&gt;"",INDEX(tx_Cust,1072)&amp;"",INDEX(tx_Vend,1072)&amp;""),"")</f>
        <v/>
      </c>
      <c r="H1078" s="101">
        <f>IFERROR(N(INDEX(tx_Posted,1072)),0)</f>
        <v/>
      </c>
      <c r="I1078" s="58">
        <f>IF(H1078=1,INDEX(tx_DrAcct,1072)&amp;"","")</f>
        <v/>
      </c>
      <c r="J1078" s="95">
        <f>IF(H1078=1,INDEX(tx_DrAmt,1072),0)</f>
        <v/>
      </c>
      <c r="K1078" s="58">
        <f>IF(H1078=1,INDEX(tx_CrAcct,1072)&amp;"","")</f>
        <v/>
      </c>
      <c r="L1078" s="95">
        <f>IF(H1078=1,INDEX(tx_CrAmt,1072),0)</f>
        <v/>
      </c>
      <c r="M1078" s="95">
        <f>IF(H1078=1,INDEX(tx_TaxDr,1072),0)</f>
        <v/>
      </c>
      <c r="N1078" s="95">
        <f>IF(H1078=1,INDEX(tx_TaxCr,1072),0)</f>
        <v/>
      </c>
      <c r="O1078" s="101">
        <f>IF(H1078=1,IF(E1078&lt;FYStart,0,IF(E1078&gt;FYEnd,13,YEAR(E1078)*12+MONTH(E1078)-FYYM+1)),"")</f>
        <v/>
      </c>
      <c r="P1078" s="101">
        <f>IF(H1078=1,IF(IFERROR(INDEX(coa_CF,MATCH(I1078,coa_Name,0)),"")="Cash",1,0),0)</f>
        <v/>
      </c>
      <c r="Q1078" s="101">
        <f>IF(H1078=1,IF(IFERROR(INDEX(coa_CF,MATCH(K1078,coa_Name,0)),"")="Cash",1,0),0)</f>
        <v/>
      </c>
      <c r="R1078" s="58">
        <f>IF((P1078-Q1078)=0,"",IFERROR(INDEX(coa_CF,MATCH(IF((P1078-Q1078)=1,K1078,I1078),coa_Name,0)),"Operating"))</f>
        <v/>
      </c>
      <c r="S1078" s="95">
        <f>IF((P1078-Q1078)=1,L1078,IF((P1078-Q1078)=-1,-J1078,0))</f>
        <v/>
      </c>
      <c r="T1078" s="95">
        <f>IF((P1078-Q1078)=1,N1078,IF((P1078-Q1078)=-1,-M1078,0))</f>
        <v/>
      </c>
      <c r="U1078" s="101">
        <f>IF(AND(H1078=1,LedAcct&lt;&gt;""),IF(AND(E1078&gt;=LedFrom,E1078&lt;=LedTo,OR(I1078=LedAcct,K1078=LedAcct,AND(LedAcct=acctTax,M1078+N1078&lt;&gt;0))),E1078*10000+B1078,""),"")</f>
        <v/>
      </c>
    </row>
    <row r="1079">
      <c r="B1079" s="101" t="n">
        <v>1073</v>
      </c>
      <c r="C1079" s="58" t="inlineStr">
        <is>
          <t>Transaction</t>
        </is>
      </c>
      <c r="D1079" s="58">
        <f>IF(H1079=1,INDEX(tx_ID,1073)&amp;"","")</f>
        <v/>
      </c>
      <c r="E1079" s="94">
        <f>IF(H1079=1,INDEX(tx_Date,1073),"")</f>
        <v/>
      </c>
      <c r="F1079" s="58">
        <f>IF(H1079=1,INDEX(tx_Desc,1073)&amp;"","")</f>
        <v/>
      </c>
      <c r="G1079" s="58">
        <f>IF(H1079=1,IF(INDEX(tx_Cust,1073)&amp;""&lt;&gt;"",INDEX(tx_Cust,1073)&amp;"",INDEX(tx_Vend,1073)&amp;""),"")</f>
        <v/>
      </c>
      <c r="H1079" s="101">
        <f>IFERROR(N(INDEX(tx_Posted,1073)),0)</f>
        <v/>
      </c>
      <c r="I1079" s="58">
        <f>IF(H1079=1,INDEX(tx_DrAcct,1073)&amp;"","")</f>
        <v/>
      </c>
      <c r="J1079" s="95">
        <f>IF(H1079=1,INDEX(tx_DrAmt,1073),0)</f>
        <v/>
      </c>
      <c r="K1079" s="58">
        <f>IF(H1079=1,INDEX(tx_CrAcct,1073)&amp;"","")</f>
        <v/>
      </c>
      <c r="L1079" s="95">
        <f>IF(H1079=1,INDEX(tx_CrAmt,1073),0)</f>
        <v/>
      </c>
      <c r="M1079" s="95">
        <f>IF(H1079=1,INDEX(tx_TaxDr,1073),0)</f>
        <v/>
      </c>
      <c r="N1079" s="95">
        <f>IF(H1079=1,INDEX(tx_TaxCr,1073),0)</f>
        <v/>
      </c>
      <c r="O1079" s="101">
        <f>IF(H1079=1,IF(E1079&lt;FYStart,0,IF(E1079&gt;FYEnd,13,YEAR(E1079)*12+MONTH(E1079)-FYYM+1)),"")</f>
        <v/>
      </c>
      <c r="P1079" s="101">
        <f>IF(H1079=1,IF(IFERROR(INDEX(coa_CF,MATCH(I1079,coa_Name,0)),"")="Cash",1,0),0)</f>
        <v/>
      </c>
      <c r="Q1079" s="101">
        <f>IF(H1079=1,IF(IFERROR(INDEX(coa_CF,MATCH(K1079,coa_Name,0)),"")="Cash",1,0),0)</f>
        <v/>
      </c>
      <c r="R1079" s="58">
        <f>IF((P1079-Q1079)=0,"",IFERROR(INDEX(coa_CF,MATCH(IF((P1079-Q1079)=1,K1079,I1079),coa_Name,0)),"Operating"))</f>
        <v/>
      </c>
      <c r="S1079" s="95">
        <f>IF((P1079-Q1079)=1,L1079,IF((P1079-Q1079)=-1,-J1079,0))</f>
        <v/>
      </c>
      <c r="T1079" s="95">
        <f>IF((P1079-Q1079)=1,N1079,IF((P1079-Q1079)=-1,-M1079,0))</f>
        <v/>
      </c>
      <c r="U1079" s="101">
        <f>IF(AND(H1079=1,LedAcct&lt;&gt;""),IF(AND(E1079&gt;=LedFrom,E1079&lt;=LedTo,OR(I1079=LedAcct,K1079=LedAcct,AND(LedAcct=acctTax,M1079+N1079&lt;&gt;0))),E1079*10000+B1079,""),"")</f>
        <v/>
      </c>
    </row>
    <row r="1080">
      <c r="B1080" s="101" t="n">
        <v>1074</v>
      </c>
      <c r="C1080" s="58" t="inlineStr">
        <is>
          <t>Transaction</t>
        </is>
      </c>
      <c r="D1080" s="58">
        <f>IF(H1080=1,INDEX(tx_ID,1074)&amp;"","")</f>
        <v/>
      </c>
      <c r="E1080" s="94">
        <f>IF(H1080=1,INDEX(tx_Date,1074),"")</f>
        <v/>
      </c>
      <c r="F1080" s="58">
        <f>IF(H1080=1,INDEX(tx_Desc,1074)&amp;"","")</f>
        <v/>
      </c>
      <c r="G1080" s="58">
        <f>IF(H1080=1,IF(INDEX(tx_Cust,1074)&amp;""&lt;&gt;"",INDEX(tx_Cust,1074)&amp;"",INDEX(tx_Vend,1074)&amp;""),"")</f>
        <v/>
      </c>
      <c r="H1080" s="101">
        <f>IFERROR(N(INDEX(tx_Posted,1074)),0)</f>
        <v/>
      </c>
      <c r="I1080" s="58">
        <f>IF(H1080=1,INDEX(tx_DrAcct,1074)&amp;"","")</f>
        <v/>
      </c>
      <c r="J1080" s="95">
        <f>IF(H1080=1,INDEX(tx_DrAmt,1074),0)</f>
        <v/>
      </c>
      <c r="K1080" s="58">
        <f>IF(H1080=1,INDEX(tx_CrAcct,1074)&amp;"","")</f>
        <v/>
      </c>
      <c r="L1080" s="95">
        <f>IF(H1080=1,INDEX(tx_CrAmt,1074),0)</f>
        <v/>
      </c>
      <c r="M1080" s="95">
        <f>IF(H1080=1,INDEX(tx_TaxDr,1074),0)</f>
        <v/>
      </c>
      <c r="N1080" s="95">
        <f>IF(H1080=1,INDEX(tx_TaxCr,1074),0)</f>
        <v/>
      </c>
      <c r="O1080" s="101">
        <f>IF(H1080=1,IF(E1080&lt;FYStart,0,IF(E1080&gt;FYEnd,13,YEAR(E1080)*12+MONTH(E1080)-FYYM+1)),"")</f>
        <v/>
      </c>
      <c r="P1080" s="101">
        <f>IF(H1080=1,IF(IFERROR(INDEX(coa_CF,MATCH(I1080,coa_Name,0)),"")="Cash",1,0),0)</f>
        <v/>
      </c>
      <c r="Q1080" s="101">
        <f>IF(H1080=1,IF(IFERROR(INDEX(coa_CF,MATCH(K1080,coa_Name,0)),"")="Cash",1,0),0)</f>
        <v/>
      </c>
      <c r="R1080" s="58">
        <f>IF((P1080-Q1080)=0,"",IFERROR(INDEX(coa_CF,MATCH(IF((P1080-Q1080)=1,K1080,I1080),coa_Name,0)),"Operating"))</f>
        <v/>
      </c>
      <c r="S1080" s="95">
        <f>IF((P1080-Q1080)=1,L1080,IF((P1080-Q1080)=-1,-J1080,0))</f>
        <v/>
      </c>
      <c r="T1080" s="95">
        <f>IF((P1080-Q1080)=1,N1080,IF((P1080-Q1080)=-1,-M1080,0))</f>
        <v/>
      </c>
      <c r="U1080" s="101">
        <f>IF(AND(H1080=1,LedAcct&lt;&gt;""),IF(AND(E1080&gt;=LedFrom,E1080&lt;=LedTo,OR(I1080=LedAcct,K1080=LedAcct,AND(LedAcct=acctTax,M1080+N1080&lt;&gt;0))),E1080*10000+B1080,""),"")</f>
        <v/>
      </c>
    </row>
    <row r="1081">
      <c r="B1081" s="101" t="n">
        <v>1075</v>
      </c>
      <c r="C1081" s="58" t="inlineStr">
        <is>
          <t>Transaction</t>
        </is>
      </c>
      <c r="D1081" s="58">
        <f>IF(H1081=1,INDEX(tx_ID,1075)&amp;"","")</f>
        <v/>
      </c>
      <c r="E1081" s="94">
        <f>IF(H1081=1,INDEX(tx_Date,1075),"")</f>
        <v/>
      </c>
      <c r="F1081" s="58">
        <f>IF(H1081=1,INDEX(tx_Desc,1075)&amp;"","")</f>
        <v/>
      </c>
      <c r="G1081" s="58">
        <f>IF(H1081=1,IF(INDEX(tx_Cust,1075)&amp;""&lt;&gt;"",INDEX(tx_Cust,1075)&amp;"",INDEX(tx_Vend,1075)&amp;""),"")</f>
        <v/>
      </c>
      <c r="H1081" s="101">
        <f>IFERROR(N(INDEX(tx_Posted,1075)),0)</f>
        <v/>
      </c>
      <c r="I1081" s="58">
        <f>IF(H1081=1,INDEX(tx_DrAcct,1075)&amp;"","")</f>
        <v/>
      </c>
      <c r="J1081" s="95">
        <f>IF(H1081=1,INDEX(tx_DrAmt,1075),0)</f>
        <v/>
      </c>
      <c r="K1081" s="58">
        <f>IF(H1081=1,INDEX(tx_CrAcct,1075)&amp;"","")</f>
        <v/>
      </c>
      <c r="L1081" s="95">
        <f>IF(H1081=1,INDEX(tx_CrAmt,1075),0)</f>
        <v/>
      </c>
      <c r="M1081" s="95">
        <f>IF(H1081=1,INDEX(tx_TaxDr,1075),0)</f>
        <v/>
      </c>
      <c r="N1081" s="95">
        <f>IF(H1081=1,INDEX(tx_TaxCr,1075),0)</f>
        <v/>
      </c>
      <c r="O1081" s="101">
        <f>IF(H1081=1,IF(E1081&lt;FYStart,0,IF(E1081&gt;FYEnd,13,YEAR(E1081)*12+MONTH(E1081)-FYYM+1)),"")</f>
        <v/>
      </c>
      <c r="P1081" s="101">
        <f>IF(H1081=1,IF(IFERROR(INDEX(coa_CF,MATCH(I1081,coa_Name,0)),"")="Cash",1,0),0)</f>
        <v/>
      </c>
      <c r="Q1081" s="101">
        <f>IF(H1081=1,IF(IFERROR(INDEX(coa_CF,MATCH(K1081,coa_Name,0)),"")="Cash",1,0),0)</f>
        <v/>
      </c>
      <c r="R1081" s="58">
        <f>IF((P1081-Q1081)=0,"",IFERROR(INDEX(coa_CF,MATCH(IF((P1081-Q1081)=1,K1081,I1081),coa_Name,0)),"Operating"))</f>
        <v/>
      </c>
      <c r="S1081" s="95">
        <f>IF((P1081-Q1081)=1,L1081,IF((P1081-Q1081)=-1,-J1081,0))</f>
        <v/>
      </c>
      <c r="T1081" s="95">
        <f>IF((P1081-Q1081)=1,N1081,IF((P1081-Q1081)=-1,-M1081,0))</f>
        <v/>
      </c>
      <c r="U1081" s="101">
        <f>IF(AND(H1081=1,LedAcct&lt;&gt;""),IF(AND(E1081&gt;=LedFrom,E1081&lt;=LedTo,OR(I1081=LedAcct,K1081=LedAcct,AND(LedAcct=acctTax,M1081+N1081&lt;&gt;0))),E1081*10000+B1081,""),"")</f>
        <v/>
      </c>
    </row>
    <row r="1082">
      <c r="B1082" s="101" t="n">
        <v>1076</v>
      </c>
      <c r="C1082" s="58" t="inlineStr">
        <is>
          <t>Transaction</t>
        </is>
      </c>
      <c r="D1082" s="58">
        <f>IF(H1082=1,INDEX(tx_ID,1076)&amp;"","")</f>
        <v/>
      </c>
      <c r="E1082" s="94">
        <f>IF(H1082=1,INDEX(tx_Date,1076),"")</f>
        <v/>
      </c>
      <c r="F1082" s="58">
        <f>IF(H1082=1,INDEX(tx_Desc,1076)&amp;"","")</f>
        <v/>
      </c>
      <c r="G1082" s="58">
        <f>IF(H1082=1,IF(INDEX(tx_Cust,1076)&amp;""&lt;&gt;"",INDEX(tx_Cust,1076)&amp;"",INDEX(tx_Vend,1076)&amp;""),"")</f>
        <v/>
      </c>
      <c r="H1082" s="101">
        <f>IFERROR(N(INDEX(tx_Posted,1076)),0)</f>
        <v/>
      </c>
      <c r="I1082" s="58">
        <f>IF(H1082=1,INDEX(tx_DrAcct,1076)&amp;"","")</f>
        <v/>
      </c>
      <c r="J1082" s="95">
        <f>IF(H1082=1,INDEX(tx_DrAmt,1076),0)</f>
        <v/>
      </c>
      <c r="K1082" s="58">
        <f>IF(H1082=1,INDEX(tx_CrAcct,1076)&amp;"","")</f>
        <v/>
      </c>
      <c r="L1082" s="95">
        <f>IF(H1082=1,INDEX(tx_CrAmt,1076),0)</f>
        <v/>
      </c>
      <c r="M1082" s="95">
        <f>IF(H1082=1,INDEX(tx_TaxDr,1076),0)</f>
        <v/>
      </c>
      <c r="N1082" s="95">
        <f>IF(H1082=1,INDEX(tx_TaxCr,1076),0)</f>
        <v/>
      </c>
      <c r="O1082" s="101">
        <f>IF(H1082=1,IF(E1082&lt;FYStart,0,IF(E1082&gt;FYEnd,13,YEAR(E1082)*12+MONTH(E1082)-FYYM+1)),"")</f>
        <v/>
      </c>
      <c r="P1082" s="101">
        <f>IF(H1082=1,IF(IFERROR(INDEX(coa_CF,MATCH(I1082,coa_Name,0)),"")="Cash",1,0),0)</f>
        <v/>
      </c>
      <c r="Q1082" s="101">
        <f>IF(H1082=1,IF(IFERROR(INDEX(coa_CF,MATCH(K1082,coa_Name,0)),"")="Cash",1,0),0)</f>
        <v/>
      </c>
      <c r="R1082" s="58">
        <f>IF((P1082-Q1082)=0,"",IFERROR(INDEX(coa_CF,MATCH(IF((P1082-Q1082)=1,K1082,I1082),coa_Name,0)),"Operating"))</f>
        <v/>
      </c>
      <c r="S1082" s="95">
        <f>IF((P1082-Q1082)=1,L1082,IF((P1082-Q1082)=-1,-J1082,0))</f>
        <v/>
      </c>
      <c r="T1082" s="95">
        <f>IF((P1082-Q1082)=1,N1082,IF((P1082-Q1082)=-1,-M1082,0))</f>
        <v/>
      </c>
      <c r="U1082" s="101">
        <f>IF(AND(H1082=1,LedAcct&lt;&gt;""),IF(AND(E1082&gt;=LedFrom,E1082&lt;=LedTo,OR(I1082=LedAcct,K1082=LedAcct,AND(LedAcct=acctTax,M1082+N1082&lt;&gt;0))),E1082*10000+B1082,""),"")</f>
        <v/>
      </c>
    </row>
    <row r="1083">
      <c r="B1083" s="101" t="n">
        <v>1077</v>
      </c>
      <c r="C1083" s="58" t="inlineStr">
        <is>
          <t>Transaction</t>
        </is>
      </c>
      <c r="D1083" s="58">
        <f>IF(H1083=1,INDEX(tx_ID,1077)&amp;"","")</f>
        <v/>
      </c>
      <c r="E1083" s="94">
        <f>IF(H1083=1,INDEX(tx_Date,1077),"")</f>
        <v/>
      </c>
      <c r="F1083" s="58">
        <f>IF(H1083=1,INDEX(tx_Desc,1077)&amp;"","")</f>
        <v/>
      </c>
      <c r="G1083" s="58">
        <f>IF(H1083=1,IF(INDEX(tx_Cust,1077)&amp;""&lt;&gt;"",INDEX(tx_Cust,1077)&amp;"",INDEX(tx_Vend,1077)&amp;""),"")</f>
        <v/>
      </c>
      <c r="H1083" s="101">
        <f>IFERROR(N(INDEX(tx_Posted,1077)),0)</f>
        <v/>
      </c>
      <c r="I1083" s="58">
        <f>IF(H1083=1,INDEX(tx_DrAcct,1077)&amp;"","")</f>
        <v/>
      </c>
      <c r="J1083" s="95">
        <f>IF(H1083=1,INDEX(tx_DrAmt,1077),0)</f>
        <v/>
      </c>
      <c r="K1083" s="58">
        <f>IF(H1083=1,INDEX(tx_CrAcct,1077)&amp;"","")</f>
        <v/>
      </c>
      <c r="L1083" s="95">
        <f>IF(H1083=1,INDEX(tx_CrAmt,1077),0)</f>
        <v/>
      </c>
      <c r="M1083" s="95">
        <f>IF(H1083=1,INDEX(tx_TaxDr,1077),0)</f>
        <v/>
      </c>
      <c r="N1083" s="95">
        <f>IF(H1083=1,INDEX(tx_TaxCr,1077),0)</f>
        <v/>
      </c>
      <c r="O1083" s="101">
        <f>IF(H1083=1,IF(E1083&lt;FYStart,0,IF(E1083&gt;FYEnd,13,YEAR(E1083)*12+MONTH(E1083)-FYYM+1)),"")</f>
        <v/>
      </c>
      <c r="P1083" s="101">
        <f>IF(H1083=1,IF(IFERROR(INDEX(coa_CF,MATCH(I1083,coa_Name,0)),"")="Cash",1,0),0)</f>
        <v/>
      </c>
      <c r="Q1083" s="101">
        <f>IF(H1083=1,IF(IFERROR(INDEX(coa_CF,MATCH(K1083,coa_Name,0)),"")="Cash",1,0),0)</f>
        <v/>
      </c>
      <c r="R1083" s="58">
        <f>IF((P1083-Q1083)=0,"",IFERROR(INDEX(coa_CF,MATCH(IF((P1083-Q1083)=1,K1083,I1083),coa_Name,0)),"Operating"))</f>
        <v/>
      </c>
      <c r="S1083" s="95">
        <f>IF((P1083-Q1083)=1,L1083,IF((P1083-Q1083)=-1,-J1083,0))</f>
        <v/>
      </c>
      <c r="T1083" s="95">
        <f>IF((P1083-Q1083)=1,N1083,IF((P1083-Q1083)=-1,-M1083,0))</f>
        <v/>
      </c>
      <c r="U1083" s="101">
        <f>IF(AND(H1083=1,LedAcct&lt;&gt;""),IF(AND(E1083&gt;=LedFrom,E1083&lt;=LedTo,OR(I1083=LedAcct,K1083=LedAcct,AND(LedAcct=acctTax,M1083+N1083&lt;&gt;0))),E1083*10000+B1083,""),"")</f>
        <v/>
      </c>
    </row>
    <row r="1084">
      <c r="B1084" s="101" t="n">
        <v>1078</v>
      </c>
      <c r="C1084" s="58" t="inlineStr">
        <is>
          <t>Transaction</t>
        </is>
      </c>
      <c r="D1084" s="58">
        <f>IF(H1084=1,INDEX(tx_ID,1078)&amp;"","")</f>
        <v/>
      </c>
      <c r="E1084" s="94">
        <f>IF(H1084=1,INDEX(tx_Date,1078),"")</f>
        <v/>
      </c>
      <c r="F1084" s="58">
        <f>IF(H1084=1,INDEX(tx_Desc,1078)&amp;"","")</f>
        <v/>
      </c>
      <c r="G1084" s="58">
        <f>IF(H1084=1,IF(INDEX(tx_Cust,1078)&amp;""&lt;&gt;"",INDEX(tx_Cust,1078)&amp;"",INDEX(tx_Vend,1078)&amp;""),"")</f>
        <v/>
      </c>
      <c r="H1084" s="101">
        <f>IFERROR(N(INDEX(tx_Posted,1078)),0)</f>
        <v/>
      </c>
      <c r="I1084" s="58">
        <f>IF(H1084=1,INDEX(tx_DrAcct,1078)&amp;"","")</f>
        <v/>
      </c>
      <c r="J1084" s="95">
        <f>IF(H1084=1,INDEX(tx_DrAmt,1078),0)</f>
        <v/>
      </c>
      <c r="K1084" s="58">
        <f>IF(H1084=1,INDEX(tx_CrAcct,1078)&amp;"","")</f>
        <v/>
      </c>
      <c r="L1084" s="95">
        <f>IF(H1084=1,INDEX(tx_CrAmt,1078),0)</f>
        <v/>
      </c>
      <c r="M1084" s="95">
        <f>IF(H1084=1,INDEX(tx_TaxDr,1078),0)</f>
        <v/>
      </c>
      <c r="N1084" s="95">
        <f>IF(H1084=1,INDEX(tx_TaxCr,1078),0)</f>
        <v/>
      </c>
      <c r="O1084" s="101">
        <f>IF(H1084=1,IF(E1084&lt;FYStart,0,IF(E1084&gt;FYEnd,13,YEAR(E1084)*12+MONTH(E1084)-FYYM+1)),"")</f>
        <v/>
      </c>
      <c r="P1084" s="101">
        <f>IF(H1084=1,IF(IFERROR(INDEX(coa_CF,MATCH(I1084,coa_Name,0)),"")="Cash",1,0),0)</f>
        <v/>
      </c>
      <c r="Q1084" s="101">
        <f>IF(H1084=1,IF(IFERROR(INDEX(coa_CF,MATCH(K1084,coa_Name,0)),"")="Cash",1,0),0)</f>
        <v/>
      </c>
      <c r="R1084" s="58">
        <f>IF((P1084-Q1084)=0,"",IFERROR(INDEX(coa_CF,MATCH(IF((P1084-Q1084)=1,K1084,I1084),coa_Name,0)),"Operating"))</f>
        <v/>
      </c>
      <c r="S1084" s="95">
        <f>IF((P1084-Q1084)=1,L1084,IF((P1084-Q1084)=-1,-J1084,0))</f>
        <v/>
      </c>
      <c r="T1084" s="95">
        <f>IF((P1084-Q1084)=1,N1084,IF((P1084-Q1084)=-1,-M1084,0))</f>
        <v/>
      </c>
      <c r="U1084" s="101">
        <f>IF(AND(H1084=1,LedAcct&lt;&gt;""),IF(AND(E1084&gt;=LedFrom,E1084&lt;=LedTo,OR(I1084=LedAcct,K1084=LedAcct,AND(LedAcct=acctTax,M1084+N1084&lt;&gt;0))),E1084*10000+B1084,""),"")</f>
        <v/>
      </c>
    </row>
    <row r="1085">
      <c r="B1085" s="101" t="n">
        <v>1079</v>
      </c>
      <c r="C1085" s="58" t="inlineStr">
        <is>
          <t>Transaction</t>
        </is>
      </c>
      <c r="D1085" s="58">
        <f>IF(H1085=1,INDEX(tx_ID,1079)&amp;"","")</f>
        <v/>
      </c>
      <c r="E1085" s="94">
        <f>IF(H1085=1,INDEX(tx_Date,1079),"")</f>
        <v/>
      </c>
      <c r="F1085" s="58">
        <f>IF(H1085=1,INDEX(tx_Desc,1079)&amp;"","")</f>
        <v/>
      </c>
      <c r="G1085" s="58">
        <f>IF(H1085=1,IF(INDEX(tx_Cust,1079)&amp;""&lt;&gt;"",INDEX(tx_Cust,1079)&amp;"",INDEX(tx_Vend,1079)&amp;""),"")</f>
        <v/>
      </c>
      <c r="H1085" s="101">
        <f>IFERROR(N(INDEX(tx_Posted,1079)),0)</f>
        <v/>
      </c>
      <c r="I1085" s="58">
        <f>IF(H1085=1,INDEX(tx_DrAcct,1079)&amp;"","")</f>
        <v/>
      </c>
      <c r="J1085" s="95">
        <f>IF(H1085=1,INDEX(tx_DrAmt,1079),0)</f>
        <v/>
      </c>
      <c r="K1085" s="58">
        <f>IF(H1085=1,INDEX(tx_CrAcct,1079)&amp;"","")</f>
        <v/>
      </c>
      <c r="L1085" s="95">
        <f>IF(H1085=1,INDEX(tx_CrAmt,1079),0)</f>
        <v/>
      </c>
      <c r="M1085" s="95">
        <f>IF(H1085=1,INDEX(tx_TaxDr,1079),0)</f>
        <v/>
      </c>
      <c r="N1085" s="95">
        <f>IF(H1085=1,INDEX(tx_TaxCr,1079),0)</f>
        <v/>
      </c>
      <c r="O1085" s="101">
        <f>IF(H1085=1,IF(E1085&lt;FYStart,0,IF(E1085&gt;FYEnd,13,YEAR(E1085)*12+MONTH(E1085)-FYYM+1)),"")</f>
        <v/>
      </c>
      <c r="P1085" s="101">
        <f>IF(H1085=1,IF(IFERROR(INDEX(coa_CF,MATCH(I1085,coa_Name,0)),"")="Cash",1,0),0)</f>
        <v/>
      </c>
      <c r="Q1085" s="101">
        <f>IF(H1085=1,IF(IFERROR(INDEX(coa_CF,MATCH(K1085,coa_Name,0)),"")="Cash",1,0),0)</f>
        <v/>
      </c>
      <c r="R1085" s="58">
        <f>IF((P1085-Q1085)=0,"",IFERROR(INDEX(coa_CF,MATCH(IF((P1085-Q1085)=1,K1085,I1085),coa_Name,0)),"Operating"))</f>
        <v/>
      </c>
      <c r="S1085" s="95">
        <f>IF((P1085-Q1085)=1,L1085,IF((P1085-Q1085)=-1,-J1085,0))</f>
        <v/>
      </c>
      <c r="T1085" s="95">
        <f>IF((P1085-Q1085)=1,N1085,IF((P1085-Q1085)=-1,-M1085,0))</f>
        <v/>
      </c>
      <c r="U1085" s="101">
        <f>IF(AND(H1085=1,LedAcct&lt;&gt;""),IF(AND(E1085&gt;=LedFrom,E1085&lt;=LedTo,OR(I1085=LedAcct,K1085=LedAcct,AND(LedAcct=acctTax,M1085+N1085&lt;&gt;0))),E1085*10000+B1085,""),"")</f>
        <v/>
      </c>
    </row>
    <row r="1086">
      <c r="B1086" s="101" t="n">
        <v>1080</v>
      </c>
      <c r="C1086" s="58" t="inlineStr">
        <is>
          <t>Transaction</t>
        </is>
      </c>
      <c r="D1086" s="58">
        <f>IF(H1086=1,INDEX(tx_ID,1080)&amp;"","")</f>
        <v/>
      </c>
      <c r="E1086" s="94">
        <f>IF(H1086=1,INDEX(tx_Date,1080),"")</f>
        <v/>
      </c>
      <c r="F1086" s="58">
        <f>IF(H1086=1,INDEX(tx_Desc,1080)&amp;"","")</f>
        <v/>
      </c>
      <c r="G1086" s="58">
        <f>IF(H1086=1,IF(INDEX(tx_Cust,1080)&amp;""&lt;&gt;"",INDEX(tx_Cust,1080)&amp;"",INDEX(tx_Vend,1080)&amp;""),"")</f>
        <v/>
      </c>
      <c r="H1086" s="101">
        <f>IFERROR(N(INDEX(tx_Posted,1080)),0)</f>
        <v/>
      </c>
      <c r="I1086" s="58">
        <f>IF(H1086=1,INDEX(tx_DrAcct,1080)&amp;"","")</f>
        <v/>
      </c>
      <c r="J1086" s="95">
        <f>IF(H1086=1,INDEX(tx_DrAmt,1080),0)</f>
        <v/>
      </c>
      <c r="K1086" s="58">
        <f>IF(H1086=1,INDEX(tx_CrAcct,1080)&amp;"","")</f>
        <v/>
      </c>
      <c r="L1086" s="95">
        <f>IF(H1086=1,INDEX(tx_CrAmt,1080),0)</f>
        <v/>
      </c>
      <c r="M1086" s="95">
        <f>IF(H1086=1,INDEX(tx_TaxDr,1080),0)</f>
        <v/>
      </c>
      <c r="N1086" s="95">
        <f>IF(H1086=1,INDEX(tx_TaxCr,1080),0)</f>
        <v/>
      </c>
      <c r="O1086" s="101">
        <f>IF(H1086=1,IF(E1086&lt;FYStart,0,IF(E1086&gt;FYEnd,13,YEAR(E1086)*12+MONTH(E1086)-FYYM+1)),"")</f>
        <v/>
      </c>
      <c r="P1086" s="101">
        <f>IF(H1086=1,IF(IFERROR(INDEX(coa_CF,MATCH(I1086,coa_Name,0)),"")="Cash",1,0),0)</f>
        <v/>
      </c>
      <c r="Q1086" s="101">
        <f>IF(H1086=1,IF(IFERROR(INDEX(coa_CF,MATCH(K1086,coa_Name,0)),"")="Cash",1,0),0)</f>
        <v/>
      </c>
      <c r="R1086" s="58">
        <f>IF((P1086-Q1086)=0,"",IFERROR(INDEX(coa_CF,MATCH(IF((P1086-Q1086)=1,K1086,I1086),coa_Name,0)),"Operating"))</f>
        <v/>
      </c>
      <c r="S1086" s="95">
        <f>IF((P1086-Q1086)=1,L1086,IF((P1086-Q1086)=-1,-J1086,0))</f>
        <v/>
      </c>
      <c r="T1086" s="95">
        <f>IF((P1086-Q1086)=1,N1086,IF((P1086-Q1086)=-1,-M1086,0))</f>
        <v/>
      </c>
      <c r="U1086" s="101">
        <f>IF(AND(H1086=1,LedAcct&lt;&gt;""),IF(AND(E1086&gt;=LedFrom,E1086&lt;=LedTo,OR(I1086=LedAcct,K1086=LedAcct,AND(LedAcct=acctTax,M1086+N1086&lt;&gt;0))),E1086*10000+B1086,""),"")</f>
        <v/>
      </c>
    </row>
    <row r="1087">
      <c r="B1087" s="101" t="n">
        <v>1081</v>
      </c>
      <c r="C1087" s="58" t="inlineStr">
        <is>
          <t>Transaction</t>
        </is>
      </c>
      <c r="D1087" s="58">
        <f>IF(H1087=1,INDEX(tx_ID,1081)&amp;"","")</f>
        <v/>
      </c>
      <c r="E1087" s="94">
        <f>IF(H1087=1,INDEX(tx_Date,1081),"")</f>
        <v/>
      </c>
      <c r="F1087" s="58">
        <f>IF(H1087=1,INDEX(tx_Desc,1081)&amp;"","")</f>
        <v/>
      </c>
      <c r="G1087" s="58">
        <f>IF(H1087=1,IF(INDEX(tx_Cust,1081)&amp;""&lt;&gt;"",INDEX(tx_Cust,1081)&amp;"",INDEX(tx_Vend,1081)&amp;""),"")</f>
        <v/>
      </c>
      <c r="H1087" s="101">
        <f>IFERROR(N(INDEX(tx_Posted,1081)),0)</f>
        <v/>
      </c>
      <c r="I1087" s="58">
        <f>IF(H1087=1,INDEX(tx_DrAcct,1081)&amp;"","")</f>
        <v/>
      </c>
      <c r="J1087" s="95">
        <f>IF(H1087=1,INDEX(tx_DrAmt,1081),0)</f>
        <v/>
      </c>
      <c r="K1087" s="58">
        <f>IF(H1087=1,INDEX(tx_CrAcct,1081)&amp;"","")</f>
        <v/>
      </c>
      <c r="L1087" s="95">
        <f>IF(H1087=1,INDEX(tx_CrAmt,1081),0)</f>
        <v/>
      </c>
      <c r="M1087" s="95">
        <f>IF(H1087=1,INDEX(tx_TaxDr,1081),0)</f>
        <v/>
      </c>
      <c r="N1087" s="95">
        <f>IF(H1087=1,INDEX(tx_TaxCr,1081),0)</f>
        <v/>
      </c>
      <c r="O1087" s="101">
        <f>IF(H1087=1,IF(E1087&lt;FYStart,0,IF(E1087&gt;FYEnd,13,YEAR(E1087)*12+MONTH(E1087)-FYYM+1)),"")</f>
        <v/>
      </c>
      <c r="P1087" s="101">
        <f>IF(H1087=1,IF(IFERROR(INDEX(coa_CF,MATCH(I1087,coa_Name,0)),"")="Cash",1,0),0)</f>
        <v/>
      </c>
      <c r="Q1087" s="101">
        <f>IF(H1087=1,IF(IFERROR(INDEX(coa_CF,MATCH(K1087,coa_Name,0)),"")="Cash",1,0),0)</f>
        <v/>
      </c>
      <c r="R1087" s="58">
        <f>IF((P1087-Q1087)=0,"",IFERROR(INDEX(coa_CF,MATCH(IF((P1087-Q1087)=1,K1087,I1087),coa_Name,0)),"Operating"))</f>
        <v/>
      </c>
      <c r="S1087" s="95">
        <f>IF((P1087-Q1087)=1,L1087,IF((P1087-Q1087)=-1,-J1087,0))</f>
        <v/>
      </c>
      <c r="T1087" s="95">
        <f>IF((P1087-Q1087)=1,N1087,IF((P1087-Q1087)=-1,-M1087,0))</f>
        <v/>
      </c>
      <c r="U1087" s="101">
        <f>IF(AND(H1087=1,LedAcct&lt;&gt;""),IF(AND(E1087&gt;=LedFrom,E1087&lt;=LedTo,OR(I1087=LedAcct,K1087=LedAcct,AND(LedAcct=acctTax,M1087+N1087&lt;&gt;0))),E1087*10000+B1087,""),"")</f>
        <v/>
      </c>
    </row>
    <row r="1088">
      <c r="B1088" s="101" t="n">
        <v>1082</v>
      </c>
      <c r="C1088" s="58" t="inlineStr">
        <is>
          <t>Transaction</t>
        </is>
      </c>
      <c r="D1088" s="58">
        <f>IF(H1088=1,INDEX(tx_ID,1082)&amp;"","")</f>
        <v/>
      </c>
      <c r="E1088" s="94">
        <f>IF(H1088=1,INDEX(tx_Date,1082),"")</f>
        <v/>
      </c>
      <c r="F1088" s="58">
        <f>IF(H1088=1,INDEX(tx_Desc,1082)&amp;"","")</f>
        <v/>
      </c>
      <c r="G1088" s="58">
        <f>IF(H1088=1,IF(INDEX(tx_Cust,1082)&amp;""&lt;&gt;"",INDEX(tx_Cust,1082)&amp;"",INDEX(tx_Vend,1082)&amp;""),"")</f>
        <v/>
      </c>
      <c r="H1088" s="101">
        <f>IFERROR(N(INDEX(tx_Posted,1082)),0)</f>
        <v/>
      </c>
      <c r="I1088" s="58">
        <f>IF(H1088=1,INDEX(tx_DrAcct,1082)&amp;"","")</f>
        <v/>
      </c>
      <c r="J1088" s="95">
        <f>IF(H1088=1,INDEX(tx_DrAmt,1082),0)</f>
        <v/>
      </c>
      <c r="K1088" s="58">
        <f>IF(H1088=1,INDEX(tx_CrAcct,1082)&amp;"","")</f>
        <v/>
      </c>
      <c r="L1088" s="95">
        <f>IF(H1088=1,INDEX(tx_CrAmt,1082),0)</f>
        <v/>
      </c>
      <c r="M1088" s="95">
        <f>IF(H1088=1,INDEX(tx_TaxDr,1082),0)</f>
        <v/>
      </c>
      <c r="N1088" s="95">
        <f>IF(H1088=1,INDEX(tx_TaxCr,1082),0)</f>
        <v/>
      </c>
      <c r="O1088" s="101">
        <f>IF(H1088=1,IF(E1088&lt;FYStart,0,IF(E1088&gt;FYEnd,13,YEAR(E1088)*12+MONTH(E1088)-FYYM+1)),"")</f>
        <v/>
      </c>
      <c r="P1088" s="101">
        <f>IF(H1088=1,IF(IFERROR(INDEX(coa_CF,MATCH(I1088,coa_Name,0)),"")="Cash",1,0),0)</f>
        <v/>
      </c>
      <c r="Q1088" s="101">
        <f>IF(H1088=1,IF(IFERROR(INDEX(coa_CF,MATCH(K1088,coa_Name,0)),"")="Cash",1,0),0)</f>
        <v/>
      </c>
      <c r="R1088" s="58">
        <f>IF((P1088-Q1088)=0,"",IFERROR(INDEX(coa_CF,MATCH(IF((P1088-Q1088)=1,K1088,I1088),coa_Name,0)),"Operating"))</f>
        <v/>
      </c>
      <c r="S1088" s="95">
        <f>IF((P1088-Q1088)=1,L1088,IF((P1088-Q1088)=-1,-J1088,0))</f>
        <v/>
      </c>
      <c r="T1088" s="95">
        <f>IF((P1088-Q1088)=1,N1088,IF((P1088-Q1088)=-1,-M1088,0))</f>
        <v/>
      </c>
      <c r="U1088" s="101">
        <f>IF(AND(H1088=1,LedAcct&lt;&gt;""),IF(AND(E1088&gt;=LedFrom,E1088&lt;=LedTo,OR(I1088=LedAcct,K1088=LedAcct,AND(LedAcct=acctTax,M1088+N1088&lt;&gt;0))),E1088*10000+B1088,""),"")</f>
        <v/>
      </c>
    </row>
    <row r="1089">
      <c r="B1089" s="101" t="n">
        <v>1083</v>
      </c>
      <c r="C1089" s="58" t="inlineStr">
        <is>
          <t>Transaction</t>
        </is>
      </c>
      <c r="D1089" s="58">
        <f>IF(H1089=1,INDEX(tx_ID,1083)&amp;"","")</f>
        <v/>
      </c>
      <c r="E1089" s="94">
        <f>IF(H1089=1,INDEX(tx_Date,1083),"")</f>
        <v/>
      </c>
      <c r="F1089" s="58">
        <f>IF(H1089=1,INDEX(tx_Desc,1083)&amp;"","")</f>
        <v/>
      </c>
      <c r="G1089" s="58">
        <f>IF(H1089=1,IF(INDEX(tx_Cust,1083)&amp;""&lt;&gt;"",INDEX(tx_Cust,1083)&amp;"",INDEX(tx_Vend,1083)&amp;""),"")</f>
        <v/>
      </c>
      <c r="H1089" s="101">
        <f>IFERROR(N(INDEX(tx_Posted,1083)),0)</f>
        <v/>
      </c>
      <c r="I1089" s="58">
        <f>IF(H1089=1,INDEX(tx_DrAcct,1083)&amp;"","")</f>
        <v/>
      </c>
      <c r="J1089" s="95">
        <f>IF(H1089=1,INDEX(tx_DrAmt,1083),0)</f>
        <v/>
      </c>
      <c r="K1089" s="58">
        <f>IF(H1089=1,INDEX(tx_CrAcct,1083)&amp;"","")</f>
        <v/>
      </c>
      <c r="L1089" s="95">
        <f>IF(H1089=1,INDEX(tx_CrAmt,1083),0)</f>
        <v/>
      </c>
      <c r="M1089" s="95">
        <f>IF(H1089=1,INDEX(tx_TaxDr,1083),0)</f>
        <v/>
      </c>
      <c r="N1089" s="95">
        <f>IF(H1089=1,INDEX(tx_TaxCr,1083),0)</f>
        <v/>
      </c>
      <c r="O1089" s="101">
        <f>IF(H1089=1,IF(E1089&lt;FYStart,0,IF(E1089&gt;FYEnd,13,YEAR(E1089)*12+MONTH(E1089)-FYYM+1)),"")</f>
        <v/>
      </c>
      <c r="P1089" s="101">
        <f>IF(H1089=1,IF(IFERROR(INDEX(coa_CF,MATCH(I1089,coa_Name,0)),"")="Cash",1,0),0)</f>
        <v/>
      </c>
      <c r="Q1089" s="101">
        <f>IF(H1089=1,IF(IFERROR(INDEX(coa_CF,MATCH(K1089,coa_Name,0)),"")="Cash",1,0),0)</f>
        <v/>
      </c>
      <c r="R1089" s="58">
        <f>IF((P1089-Q1089)=0,"",IFERROR(INDEX(coa_CF,MATCH(IF((P1089-Q1089)=1,K1089,I1089),coa_Name,0)),"Operating"))</f>
        <v/>
      </c>
      <c r="S1089" s="95">
        <f>IF((P1089-Q1089)=1,L1089,IF((P1089-Q1089)=-1,-J1089,0))</f>
        <v/>
      </c>
      <c r="T1089" s="95">
        <f>IF((P1089-Q1089)=1,N1089,IF((P1089-Q1089)=-1,-M1089,0))</f>
        <v/>
      </c>
      <c r="U1089" s="101">
        <f>IF(AND(H1089=1,LedAcct&lt;&gt;""),IF(AND(E1089&gt;=LedFrom,E1089&lt;=LedTo,OR(I1089=LedAcct,K1089=LedAcct,AND(LedAcct=acctTax,M1089+N1089&lt;&gt;0))),E1089*10000+B1089,""),"")</f>
        <v/>
      </c>
    </row>
    <row r="1090">
      <c r="B1090" s="101" t="n">
        <v>1084</v>
      </c>
      <c r="C1090" s="58" t="inlineStr">
        <is>
          <t>Transaction</t>
        </is>
      </c>
      <c r="D1090" s="58">
        <f>IF(H1090=1,INDEX(tx_ID,1084)&amp;"","")</f>
        <v/>
      </c>
      <c r="E1090" s="94">
        <f>IF(H1090=1,INDEX(tx_Date,1084),"")</f>
        <v/>
      </c>
      <c r="F1090" s="58">
        <f>IF(H1090=1,INDEX(tx_Desc,1084)&amp;"","")</f>
        <v/>
      </c>
      <c r="G1090" s="58">
        <f>IF(H1090=1,IF(INDEX(tx_Cust,1084)&amp;""&lt;&gt;"",INDEX(tx_Cust,1084)&amp;"",INDEX(tx_Vend,1084)&amp;""),"")</f>
        <v/>
      </c>
      <c r="H1090" s="101">
        <f>IFERROR(N(INDEX(tx_Posted,1084)),0)</f>
        <v/>
      </c>
      <c r="I1090" s="58">
        <f>IF(H1090=1,INDEX(tx_DrAcct,1084)&amp;"","")</f>
        <v/>
      </c>
      <c r="J1090" s="95">
        <f>IF(H1090=1,INDEX(tx_DrAmt,1084),0)</f>
        <v/>
      </c>
      <c r="K1090" s="58">
        <f>IF(H1090=1,INDEX(tx_CrAcct,1084)&amp;"","")</f>
        <v/>
      </c>
      <c r="L1090" s="95">
        <f>IF(H1090=1,INDEX(tx_CrAmt,1084),0)</f>
        <v/>
      </c>
      <c r="M1090" s="95">
        <f>IF(H1090=1,INDEX(tx_TaxDr,1084),0)</f>
        <v/>
      </c>
      <c r="N1090" s="95">
        <f>IF(H1090=1,INDEX(tx_TaxCr,1084),0)</f>
        <v/>
      </c>
      <c r="O1090" s="101">
        <f>IF(H1090=1,IF(E1090&lt;FYStart,0,IF(E1090&gt;FYEnd,13,YEAR(E1090)*12+MONTH(E1090)-FYYM+1)),"")</f>
        <v/>
      </c>
      <c r="P1090" s="101">
        <f>IF(H1090=1,IF(IFERROR(INDEX(coa_CF,MATCH(I1090,coa_Name,0)),"")="Cash",1,0),0)</f>
        <v/>
      </c>
      <c r="Q1090" s="101">
        <f>IF(H1090=1,IF(IFERROR(INDEX(coa_CF,MATCH(K1090,coa_Name,0)),"")="Cash",1,0),0)</f>
        <v/>
      </c>
      <c r="R1090" s="58">
        <f>IF((P1090-Q1090)=0,"",IFERROR(INDEX(coa_CF,MATCH(IF((P1090-Q1090)=1,K1090,I1090),coa_Name,0)),"Operating"))</f>
        <v/>
      </c>
      <c r="S1090" s="95">
        <f>IF((P1090-Q1090)=1,L1090,IF((P1090-Q1090)=-1,-J1090,0))</f>
        <v/>
      </c>
      <c r="T1090" s="95">
        <f>IF((P1090-Q1090)=1,N1090,IF((P1090-Q1090)=-1,-M1090,0))</f>
        <v/>
      </c>
      <c r="U1090" s="101">
        <f>IF(AND(H1090=1,LedAcct&lt;&gt;""),IF(AND(E1090&gt;=LedFrom,E1090&lt;=LedTo,OR(I1090=LedAcct,K1090=LedAcct,AND(LedAcct=acctTax,M1090+N1090&lt;&gt;0))),E1090*10000+B1090,""),"")</f>
        <v/>
      </c>
    </row>
    <row r="1091">
      <c r="B1091" s="101" t="n">
        <v>1085</v>
      </c>
      <c r="C1091" s="58" t="inlineStr">
        <is>
          <t>Transaction</t>
        </is>
      </c>
      <c r="D1091" s="58">
        <f>IF(H1091=1,INDEX(tx_ID,1085)&amp;"","")</f>
        <v/>
      </c>
      <c r="E1091" s="94">
        <f>IF(H1091=1,INDEX(tx_Date,1085),"")</f>
        <v/>
      </c>
      <c r="F1091" s="58">
        <f>IF(H1091=1,INDEX(tx_Desc,1085)&amp;"","")</f>
        <v/>
      </c>
      <c r="G1091" s="58">
        <f>IF(H1091=1,IF(INDEX(tx_Cust,1085)&amp;""&lt;&gt;"",INDEX(tx_Cust,1085)&amp;"",INDEX(tx_Vend,1085)&amp;""),"")</f>
        <v/>
      </c>
      <c r="H1091" s="101">
        <f>IFERROR(N(INDEX(tx_Posted,1085)),0)</f>
        <v/>
      </c>
      <c r="I1091" s="58">
        <f>IF(H1091=1,INDEX(tx_DrAcct,1085)&amp;"","")</f>
        <v/>
      </c>
      <c r="J1091" s="95">
        <f>IF(H1091=1,INDEX(tx_DrAmt,1085),0)</f>
        <v/>
      </c>
      <c r="K1091" s="58">
        <f>IF(H1091=1,INDEX(tx_CrAcct,1085)&amp;"","")</f>
        <v/>
      </c>
      <c r="L1091" s="95">
        <f>IF(H1091=1,INDEX(tx_CrAmt,1085),0)</f>
        <v/>
      </c>
      <c r="M1091" s="95">
        <f>IF(H1091=1,INDEX(tx_TaxDr,1085),0)</f>
        <v/>
      </c>
      <c r="N1091" s="95">
        <f>IF(H1091=1,INDEX(tx_TaxCr,1085),0)</f>
        <v/>
      </c>
      <c r="O1091" s="101">
        <f>IF(H1091=1,IF(E1091&lt;FYStart,0,IF(E1091&gt;FYEnd,13,YEAR(E1091)*12+MONTH(E1091)-FYYM+1)),"")</f>
        <v/>
      </c>
      <c r="P1091" s="101">
        <f>IF(H1091=1,IF(IFERROR(INDEX(coa_CF,MATCH(I1091,coa_Name,0)),"")="Cash",1,0),0)</f>
        <v/>
      </c>
      <c r="Q1091" s="101">
        <f>IF(H1091=1,IF(IFERROR(INDEX(coa_CF,MATCH(K1091,coa_Name,0)),"")="Cash",1,0),0)</f>
        <v/>
      </c>
      <c r="R1091" s="58">
        <f>IF((P1091-Q1091)=0,"",IFERROR(INDEX(coa_CF,MATCH(IF((P1091-Q1091)=1,K1091,I1091),coa_Name,0)),"Operating"))</f>
        <v/>
      </c>
      <c r="S1091" s="95">
        <f>IF((P1091-Q1091)=1,L1091,IF((P1091-Q1091)=-1,-J1091,0))</f>
        <v/>
      </c>
      <c r="T1091" s="95">
        <f>IF((P1091-Q1091)=1,N1091,IF((P1091-Q1091)=-1,-M1091,0))</f>
        <v/>
      </c>
      <c r="U1091" s="101">
        <f>IF(AND(H1091=1,LedAcct&lt;&gt;""),IF(AND(E1091&gt;=LedFrom,E1091&lt;=LedTo,OR(I1091=LedAcct,K1091=LedAcct,AND(LedAcct=acctTax,M1091+N1091&lt;&gt;0))),E1091*10000+B1091,""),"")</f>
        <v/>
      </c>
    </row>
    <row r="1092">
      <c r="B1092" s="101" t="n">
        <v>1086</v>
      </c>
      <c r="C1092" s="58" t="inlineStr">
        <is>
          <t>Transaction</t>
        </is>
      </c>
      <c r="D1092" s="58">
        <f>IF(H1092=1,INDEX(tx_ID,1086)&amp;"","")</f>
        <v/>
      </c>
      <c r="E1092" s="94">
        <f>IF(H1092=1,INDEX(tx_Date,1086),"")</f>
        <v/>
      </c>
      <c r="F1092" s="58">
        <f>IF(H1092=1,INDEX(tx_Desc,1086)&amp;"","")</f>
        <v/>
      </c>
      <c r="G1092" s="58">
        <f>IF(H1092=1,IF(INDEX(tx_Cust,1086)&amp;""&lt;&gt;"",INDEX(tx_Cust,1086)&amp;"",INDEX(tx_Vend,1086)&amp;""),"")</f>
        <v/>
      </c>
      <c r="H1092" s="101">
        <f>IFERROR(N(INDEX(tx_Posted,1086)),0)</f>
        <v/>
      </c>
      <c r="I1092" s="58">
        <f>IF(H1092=1,INDEX(tx_DrAcct,1086)&amp;"","")</f>
        <v/>
      </c>
      <c r="J1092" s="95">
        <f>IF(H1092=1,INDEX(tx_DrAmt,1086),0)</f>
        <v/>
      </c>
      <c r="K1092" s="58">
        <f>IF(H1092=1,INDEX(tx_CrAcct,1086)&amp;"","")</f>
        <v/>
      </c>
      <c r="L1092" s="95">
        <f>IF(H1092=1,INDEX(tx_CrAmt,1086),0)</f>
        <v/>
      </c>
      <c r="M1092" s="95">
        <f>IF(H1092=1,INDEX(tx_TaxDr,1086),0)</f>
        <v/>
      </c>
      <c r="N1092" s="95">
        <f>IF(H1092=1,INDEX(tx_TaxCr,1086),0)</f>
        <v/>
      </c>
      <c r="O1092" s="101">
        <f>IF(H1092=1,IF(E1092&lt;FYStart,0,IF(E1092&gt;FYEnd,13,YEAR(E1092)*12+MONTH(E1092)-FYYM+1)),"")</f>
        <v/>
      </c>
      <c r="P1092" s="101">
        <f>IF(H1092=1,IF(IFERROR(INDEX(coa_CF,MATCH(I1092,coa_Name,0)),"")="Cash",1,0),0)</f>
        <v/>
      </c>
      <c r="Q1092" s="101">
        <f>IF(H1092=1,IF(IFERROR(INDEX(coa_CF,MATCH(K1092,coa_Name,0)),"")="Cash",1,0),0)</f>
        <v/>
      </c>
      <c r="R1092" s="58">
        <f>IF((P1092-Q1092)=0,"",IFERROR(INDEX(coa_CF,MATCH(IF((P1092-Q1092)=1,K1092,I1092),coa_Name,0)),"Operating"))</f>
        <v/>
      </c>
      <c r="S1092" s="95">
        <f>IF((P1092-Q1092)=1,L1092,IF((P1092-Q1092)=-1,-J1092,0))</f>
        <v/>
      </c>
      <c r="T1092" s="95">
        <f>IF((P1092-Q1092)=1,N1092,IF((P1092-Q1092)=-1,-M1092,0))</f>
        <v/>
      </c>
      <c r="U1092" s="101">
        <f>IF(AND(H1092=1,LedAcct&lt;&gt;""),IF(AND(E1092&gt;=LedFrom,E1092&lt;=LedTo,OR(I1092=LedAcct,K1092=LedAcct,AND(LedAcct=acctTax,M1092+N1092&lt;&gt;0))),E1092*10000+B1092,""),"")</f>
        <v/>
      </c>
    </row>
    <row r="1093">
      <c r="B1093" s="101" t="n">
        <v>1087</v>
      </c>
      <c r="C1093" s="58" t="inlineStr">
        <is>
          <t>Transaction</t>
        </is>
      </c>
      <c r="D1093" s="58">
        <f>IF(H1093=1,INDEX(tx_ID,1087)&amp;"","")</f>
        <v/>
      </c>
      <c r="E1093" s="94">
        <f>IF(H1093=1,INDEX(tx_Date,1087),"")</f>
        <v/>
      </c>
      <c r="F1093" s="58">
        <f>IF(H1093=1,INDEX(tx_Desc,1087)&amp;"","")</f>
        <v/>
      </c>
      <c r="G1093" s="58">
        <f>IF(H1093=1,IF(INDEX(tx_Cust,1087)&amp;""&lt;&gt;"",INDEX(tx_Cust,1087)&amp;"",INDEX(tx_Vend,1087)&amp;""),"")</f>
        <v/>
      </c>
      <c r="H1093" s="101">
        <f>IFERROR(N(INDEX(tx_Posted,1087)),0)</f>
        <v/>
      </c>
      <c r="I1093" s="58">
        <f>IF(H1093=1,INDEX(tx_DrAcct,1087)&amp;"","")</f>
        <v/>
      </c>
      <c r="J1093" s="95">
        <f>IF(H1093=1,INDEX(tx_DrAmt,1087),0)</f>
        <v/>
      </c>
      <c r="K1093" s="58">
        <f>IF(H1093=1,INDEX(tx_CrAcct,1087)&amp;"","")</f>
        <v/>
      </c>
      <c r="L1093" s="95">
        <f>IF(H1093=1,INDEX(tx_CrAmt,1087),0)</f>
        <v/>
      </c>
      <c r="M1093" s="95">
        <f>IF(H1093=1,INDEX(tx_TaxDr,1087),0)</f>
        <v/>
      </c>
      <c r="N1093" s="95">
        <f>IF(H1093=1,INDEX(tx_TaxCr,1087),0)</f>
        <v/>
      </c>
      <c r="O1093" s="101">
        <f>IF(H1093=1,IF(E1093&lt;FYStart,0,IF(E1093&gt;FYEnd,13,YEAR(E1093)*12+MONTH(E1093)-FYYM+1)),"")</f>
        <v/>
      </c>
      <c r="P1093" s="101">
        <f>IF(H1093=1,IF(IFERROR(INDEX(coa_CF,MATCH(I1093,coa_Name,0)),"")="Cash",1,0),0)</f>
        <v/>
      </c>
      <c r="Q1093" s="101">
        <f>IF(H1093=1,IF(IFERROR(INDEX(coa_CF,MATCH(K1093,coa_Name,0)),"")="Cash",1,0),0)</f>
        <v/>
      </c>
      <c r="R1093" s="58">
        <f>IF((P1093-Q1093)=0,"",IFERROR(INDEX(coa_CF,MATCH(IF((P1093-Q1093)=1,K1093,I1093),coa_Name,0)),"Operating"))</f>
        <v/>
      </c>
      <c r="S1093" s="95">
        <f>IF((P1093-Q1093)=1,L1093,IF((P1093-Q1093)=-1,-J1093,0))</f>
        <v/>
      </c>
      <c r="T1093" s="95">
        <f>IF((P1093-Q1093)=1,N1093,IF((P1093-Q1093)=-1,-M1093,0))</f>
        <v/>
      </c>
      <c r="U1093" s="101">
        <f>IF(AND(H1093=1,LedAcct&lt;&gt;""),IF(AND(E1093&gt;=LedFrom,E1093&lt;=LedTo,OR(I1093=LedAcct,K1093=LedAcct,AND(LedAcct=acctTax,M1093+N1093&lt;&gt;0))),E1093*10000+B1093,""),"")</f>
        <v/>
      </c>
    </row>
    <row r="1094">
      <c r="B1094" s="101" t="n">
        <v>1088</v>
      </c>
      <c r="C1094" s="58" t="inlineStr">
        <is>
          <t>Transaction</t>
        </is>
      </c>
      <c r="D1094" s="58">
        <f>IF(H1094=1,INDEX(tx_ID,1088)&amp;"","")</f>
        <v/>
      </c>
      <c r="E1094" s="94">
        <f>IF(H1094=1,INDEX(tx_Date,1088),"")</f>
        <v/>
      </c>
      <c r="F1094" s="58">
        <f>IF(H1094=1,INDEX(tx_Desc,1088)&amp;"","")</f>
        <v/>
      </c>
      <c r="G1094" s="58">
        <f>IF(H1094=1,IF(INDEX(tx_Cust,1088)&amp;""&lt;&gt;"",INDEX(tx_Cust,1088)&amp;"",INDEX(tx_Vend,1088)&amp;""),"")</f>
        <v/>
      </c>
      <c r="H1094" s="101">
        <f>IFERROR(N(INDEX(tx_Posted,1088)),0)</f>
        <v/>
      </c>
      <c r="I1094" s="58">
        <f>IF(H1094=1,INDEX(tx_DrAcct,1088)&amp;"","")</f>
        <v/>
      </c>
      <c r="J1094" s="95">
        <f>IF(H1094=1,INDEX(tx_DrAmt,1088),0)</f>
        <v/>
      </c>
      <c r="K1094" s="58">
        <f>IF(H1094=1,INDEX(tx_CrAcct,1088)&amp;"","")</f>
        <v/>
      </c>
      <c r="L1094" s="95">
        <f>IF(H1094=1,INDEX(tx_CrAmt,1088),0)</f>
        <v/>
      </c>
      <c r="M1094" s="95">
        <f>IF(H1094=1,INDEX(tx_TaxDr,1088),0)</f>
        <v/>
      </c>
      <c r="N1094" s="95">
        <f>IF(H1094=1,INDEX(tx_TaxCr,1088),0)</f>
        <v/>
      </c>
      <c r="O1094" s="101">
        <f>IF(H1094=1,IF(E1094&lt;FYStart,0,IF(E1094&gt;FYEnd,13,YEAR(E1094)*12+MONTH(E1094)-FYYM+1)),"")</f>
        <v/>
      </c>
      <c r="P1094" s="101">
        <f>IF(H1094=1,IF(IFERROR(INDEX(coa_CF,MATCH(I1094,coa_Name,0)),"")="Cash",1,0),0)</f>
        <v/>
      </c>
      <c r="Q1094" s="101">
        <f>IF(H1094=1,IF(IFERROR(INDEX(coa_CF,MATCH(K1094,coa_Name,0)),"")="Cash",1,0),0)</f>
        <v/>
      </c>
      <c r="R1094" s="58">
        <f>IF((P1094-Q1094)=0,"",IFERROR(INDEX(coa_CF,MATCH(IF((P1094-Q1094)=1,K1094,I1094),coa_Name,0)),"Operating"))</f>
        <v/>
      </c>
      <c r="S1094" s="95">
        <f>IF((P1094-Q1094)=1,L1094,IF((P1094-Q1094)=-1,-J1094,0))</f>
        <v/>
      </c>
      <c r="T1094" s="95">
        <f>IF((P1094-Q1094)=1,N1094,IF((P1094-Q1094)=-1,-M1094,0))</f>
        <v/>
      </c>
      <c r="U1094" s="101">
        <f>IF(AND(H1094=1,LedAcct&lt;&gt;""),IF(AND(E1094&gt;=LedFrom,E1094&lt;=LedTo,OR(I1094=LedAcct,K1094=LedAcct,AND(LedAcct=acctTax,M1094+N1094&lt;&gt;0))),E1094*10000+B1094,""),"")</f>
        <v/>
      </c>
    </row>
    <row r="1095">
      <c r="B1095" s="101" t="n">
        <v>1089</v>
      </c>
      <c r="C1095" s="58" t="inlineStr">
        <is>
          <t>Transaction</t>
        </is>
      </c>
      <c r="D1095" s="58">
        <f>IF(H1095=1,INDEX(tx_ID,1089)&amp;"","")</f>
        <v/>
      </c>
      <c r="E1095" s="94">
        <f>IF(H1095=1,INDEX(tx_Date,1089),"")</f>
        <v/>
      </c>
      <c r="F1095" s="58">
        <f>IF(H1095=1,INDEX(tx_Desc,1089)&amp;"","")</f>
        <v/>
      </c>
      <c r="G1095" s="58">
        <f>IF(H1095=1,IF(INDEX(tx_Cust,1089)&amp;""&lt;&gt;"",INDEX(tx_Cust,1089)&amp;"",INDEX(tx_Vend,1089)&amp;""),"")</f>
        <v/>
      </c>
      <c r="H1095" s="101">
        <f>IFERROR(N(INDEX(tx_Posted,1089)),0)</f>
        <v/>
      </c>
      <c r="I1095" s="58">
        <f>IF(H1095=1,INDEX(tx_DrAcct,1089)&amp;"","")</f>
        <v/>
      </c>
      <c r="J1095" s="95">
        <f>IF(H1095=1,INDEX(tx_DrAmt,1089),0)</f>
        <v/>
      </c>
      <c r="K1095" s="58">
        <f>IF(H1095=1,INDEX(tx_CrAcct,1089)&amp;"","")</f>
        <v/>
      </c>
      <c r="L1095" s="95">
        <f>IF(H1095=1,INDEX(tx_CrAmt,1089),0)</f>
        <v/>
      </c>
      <c r="M1095" s="95">
        <f>IF(H1095=1,INDEX(tx_TaxDr,1089),0)</f>
        <v/>
      </c>
      <c r="N1095" s="95">
        <f>IF(H1095=1,INDEX(tx_TaxCr,1089),0)</f>
        <v/>
      </c>
      <c r="O1095" s="101">
        <f>IF(H1095=1,IF(E1095&lt;FYStart,0,IF(E1095&gt;FYEnd,13,YEAR(E1095)*12+MONTH(E1095)-FYYM+1)),"")</f>
        <v/>
      </c>
      <c r="P1095" s="101">
        <f>IF(H1095=1,IF(IFERROR(INDEX(coa_CF,MATCH(I1095,coa_Name,0)),"")="Cash",1,0),0)</f>
        <v/>
      </c>
      <c r="Q1095" s="101">
        <f>IF(H1095=1,IF(IFERROR(INDEX(coa_CF,MATCH(K1095,coa_Name,0)),"")="Cash",1,0),0)</f>
        <v/>
      </c>
      <c r="R1095" s="58">
        <f>IF((P1095-Q1095)=0,"",IFERROR(INDEX(coa_CF,MATCH(IF((P1095-Q1095)=1,K1095,I1095),coa_Name,0)),"Operating"))</f>
        <v/>
      </c>
      <c r="S1095" s="95">
        <f>IF((P1095-Q1095)=1,L1095,IF((P1095-Q1095)=-1,-J1095,0))</f>
        <v/>
      </c>
      <c r="T1095" s="95">
        <f>IF((P1095-Q1095)=1,N1095,IF((P1095-Q1095)=-1,-M1095,0))</f>
        <v/>
      </c>
      <c r="U1095" s="101">
        <f>IF(AND(H1095=1,LedAcct&lt;&gt;""),IF(AND(E1095&gt;=LedFrom,E1095&lt;=LedTo,OR(I1095=LedAcct,K1095=LedAcct,AND(LedAcct=acctTax,M1095+N1095&lt;&gt;0))),E1095*10000+B1095,""),"")</f>
        <v/>
      </c>
    </row>
    <row r="1096">
      <c r="B1096" s="101" t="n">
        <v>1090</v>
      </c>
      <c r="C1096" s="58" t="inlineStr">
        <is>
          <t>Transaction</t>
        </is>
      </c>
      <c r="D1096" s="58">
        <f>IF(H1096=1,INDEX(tx_ID,1090)&amp;"","")</f>
        <v/>
      </c>
      <c r="E1096" s="94">
        <f>IF(H1096=1,INDEX(tx_Date,1090),"")</f>
        <v/>
      </c>
      <c r="F1096" s="58">
        <f>IF(H1096=1,INDEX(tx_Desc,1090)&amp;"","")</f>
        <v/>
      </c>
      <c r="G1096" s="58">
        <f>IF(H1096=1,IF(INDEX(tx_Cust,1090)&amp;""&lt;&gt;"",INDEX(tx_Cust,1090)&amp;"",INDEX(tx_Vend,1090)&amp;""),"")</f>
        <v/>
      </c>
      <c r="H1096" s="101">
        <f>IFERROR(N(INDEX(tx_Posted,1090)),0)</f>
        <v/>
      </c>
      <c r="I1096" s="58">
        <f>IF(H1096=1,INDEX(tx_DrAcct,1090)&amp;"","")</f>
        <v/>
      </c>
      <c r="J1096" s="95">
        <f>IF(H1096=1,INDEX(tx_DrAmt,1090),0)</f>
        <v/>
      </c>
      <c r="K1096" s="58">
        <f>IF(H1096=1,INDEX(tx_CrAcct,1090)&amp;"","")</f>
        <v/>
      </c>
      <c r="L1096" s="95">
        <f>IF(H1096=1,INDEX(tx_CrAmt,1090),0)</f>
        <v/>
      </c>
      <c r="M1096" s="95">
        <f>IF(H1096=1,INDEX(tx_TaxDr,1090),0)</f>
        <v/>
      </c>
      <c r="N1096" s="95">
        <f>IF(H1096=1,INDEX(tx_TaxCr,1090),0)</f>
        <v/>
      </c>
      <c r="O1096" s="101">
        <f>IF(H1096=1,IF(E1096&lt;FYStart,0,IF(E1096&gt;FYEnd,13,YEAR(E1096)*12+MONTH(E1096)-FYYM+1)),"")</f>
        <v/>
      </c>
      <c r="P1096" s="101">
        <f>IF(H1096=1,IF(IFERROR(INDEX(coa_CF,MATCH(I1096,coa_Name,0)),"")="Cash",1,0),0)</f>
        <v/>
      </c>
      <c r="Q1096" s="101">
        <f>IF(H1096=1,IF(IFERROR(INDEX(coa_CF,MATCH(K1096,coa_Name,0)),"")="Cash",1,0),0)</f>
        <v/>
      </c>
      <c r="R1096" s="58">
        <f>IF((P1096-Q1096)=0,"",IFERROR(INDEX(coa_CF,MATCH(IF((P1096-Q1096)=1,K1096,I1096),coa_Name,0)),"Operating"))</f>
        <v/>
      </c>
      <c r="S1096" s="95">
        <f>IF((P1096-Q1096)=1,L1096,IF((P1096-Q1096)=-1,-J1096,0))</f>
        <v/>
      </c>
      <c r="T1096" s="95">
        <f>IF((P1096-Q1096)=1,N1096,IF((P1096-Q1096)=-1,-M1096,0))</f>
        <v/>
      </c>
      <c r="U1096" s="101">
        <f>IF(AND(H1096=1,LedAcct&lt;&gt;""),IF(AND(E1096&gt;=LedFrom,E1096&lt;=LedTo,OR(I1096=LedAcct,K1096=LedAcct,AND(LedAcct=acctTax,M1096+N1096&lt;&gt;0))),E1096*10000+B1096,""),"")</f>
        <v/>
      </c>
    </row>
    <row r="1097">
      <c r="B1097" s="101" t="n">
        <v>1091</v>
      </c>
      <c r="C1097" s="58" t="inlineStr">
        <is>
          <t>Transaction</t>
        </is>
      </c>
      <c r="D1097" s="58">
        <f>IF(H1097=1,INDEX(tx_ID,1091)&amp;"","")</f>
        <v/>
      </c>
      <c r="E1097" s="94">
        <f>IF(H1097=1,INDEX(tx_Date,1091),"")</f>
        <v/>
      </c>
      <c r="F1097" s="58">
        <f>IF(H1097=1,INDEX(tx_Desc,1091)&amp;"","")</f>
        <v/>
      </c>
      <c r="G1097" s="58">
        <f>IF(H1097=1,IF(INDEX(tx_Cust,1091)&amp;""&lt;&gt;"",INDEX(tx_Cust,1091)&amp;"",INDEX(tx_Vend,1091)&amp;""),"")</f>
        <v/>
      </c>
      <c r="H1097" s="101">
        <f>IFERROR(N(INDEX(tx_Posted,1091)),0)</f>
        <v/>
      </c>
      <c r="I1097" s="58">
        <f>IF(H1097=1,INDEX(tx_DrAcct,1091)&amp;"","")</f>
        <v/>
      </c>
      <c r="J1097" s="95">
        <f>IF(H1097=1,INDEX(tx_DrAmt,1091),0)</f>
        <v/>
      </c>
      <c r="K1097" s="58">
        <f>IF(H1097=1,INDEX(tx_CrAcct,1091)&amp;"","")</f>
        <v/>
      </c>
      <c r="L1097" s="95">
        <f>IF(H1097=1,INDEX(tx_CrAmt,1091),0)</f>
        <v/>
      </c>
      <c r="M1097" s="95">
        <f>IF(H1097=1,INDEX(tx_TaxDr,1091),0)</f>
        <v/>
      </c>
      <c r="N1097" s="95">
        <f>IF(H1097=1,INDEX(tx_TaxCr,1091),0)</f>
        <v/>
      </c>
      <c r="O1097" s="101">
        <f>IF(H1097=1,IF(E1097&lt;FYStart,0,IF(E1097&gt;FYEnd,13,YEAR(E1097)*12+MONTH(E1097)-FYYM+1)),"")</f>
        <v/>
      </c>
      <c r="P1097" s="101">
        <f>IF(H1097=1,IF(IFERROR(INDEX(coa_CF,MATCH(I1097,coa_Name,0)),"")="Cash",1,0),0)</f>
        <v/>
      </c>
      <c r="Q1097" s="101">
        <f>IF(H1097=1,IF(IFERROR(INDEX(coa_CF,MATCH(K1097,coa_Name,0)),"")="Cash",1,0),0)</f>
        <v/>
      </c>
      <c r="R1097" s="58">
        <f>IF((P1097-Q1097)=0,"",IFERROR(INDEX(coa_CF,MATCH(IF((P1097-Q1097)=1,K1097,I1097),coa_Name,0)),"Operating"))</f>
        <v/>
      </c>
      <c r="S1097" s="95">
        <f>IF((P1097-Q1097)=1,L1097,IF((P1097-Q1097)=-1,-J1097,0))</f>
        <v/>
      </c>
      <c r="T1097" s="95">
        <f>IF((P1097-Q1097)=1,N1097,IF((P1097-Q1097)=-1,-M1097,0))</f>
        <v/>
      </c>
      <c r="U1097" s="101">
        <f>IF(AND(H1097=1,LedAcct&lt;&gt;""),IF(AND(E1097&gt;=LedFrom,E1097&lt;=LedTo,OR(I1097=LedAcct,K1097=LedAcct,AND(LedAcct=acctTax,M1097+N1097&lt;&gt;0))),E1097*10000+B1097,""),"")</f>
        <v/>
      </c>
    </row>
    <row r="1098">
      <c r="B1098" s="101" t="n">
        <v>1092</v>
      </c>
      <c r="C1098" s="58" t="inlineStr">
        <is>
          <t>Transaction</t>
        </is>
      </c>
      <c r="D1098" s="58">
        <f>IF(H1098=1,INDEX(tx_ID,1092)&amp;"","")</f>
        <v/>
      </c>
      <c r="E1098" s="94">
        <f>IF(H1098=1,INDEX(tx_Date,1092),"")</f>
        <v/>
      </c>
      <c r="F1098" s="58">
        <f>IF(H1098=1,INDEX(tx_Desc,1092)&amp;"","")</f>
        <v/>
      </c>
      <c r="G1098" s="58">
        <f>IF(H1098=1,IF(INDEX(tx_Cust,1092)&amp;""&lt;&gt;"",INDEX(tx_Cust,1092)&amp;"",INDEX(tx_Vend,1092)&amp;""),"")</f>
        <v/>
      </c>
      <c r="H1098" s="101">
        <f>IFERROR(N(INDEX(tx_Posted,1092)),0)</f>
        <v/>
      </c>
      <c r="I1098" s="58">
        <f>IF(H1098=1,INDEX(tx_DrAcct,1092)&amp;"","")</f>
        <v/>
      </c>
      <c r="J1098" s="95">
        <f>IF(H1098=1,INDEX(tx_DrAmt,1092),0)</f>
        <v/>
      </c>
      <c r="K1098" s="58">
        <f>IF(H1098=1,INDEX(tx_CrAcct,1092)&amp;"","")</f>
        <v/>
      </c>
      <c r="L1098" s="95">
        <f>IF(H1098=1,INDEX(tx_CrAmt,1092),0)</f>
        <v/>
      </c>
      <c r="M1098" s="95">
        <f>IF(H1098=1,INDEX(tx_TaxDr,1092),0)</f>
        <v/>
      </c>
      <c r="N1098" s="95">
        <f>IF(H1098=1,INDEX(tx_TaxCr,1092),0)</f>
        <v/>
      </c>
      <c r="O1098" s="101">
        <f>IF(H1098=1,IF(E1098&lt;FYStart,0,IF(E1098&gt;FYEnd,13,YEAR(E1098)*12+MONTH(E1098)-FYYM+1)),"")</f>
        <v/>
      </c>
      <c r="P1098" s="101">
        <f>IF(H1098=1,IF(IFERROR(INDEX(coa_CF,MATCH(I1098,coa_Name,0)),"")="Cash",1,0),0)</f>
        <v/>
      </c>
      <c r="Q1098" s="101">
        <f>IF(H1098=1,IF(IFERROR(INDEX(coa_CF,MATCH(K1098,coa_Name,0)),"")="Cash",1,0),0)</f>
        <v/>
      </c>
      <c r="R1098" s="58">
        <f>IF((P1098-Q1098)=0,"",IFERROR(INDEX(coa_CF,MATCH(IF((P1098-Q1098)=1,K1098,I1098),coa_Name,0)),"Operating"))</f>
        <v/>
      </c>
      <c r="S1098" s="95">
        <f>IF((P1098-Q1098)=1,L1098,IF((P1098-Q1098)=-1,-J1098,0))</f>
        <v/>
      </c>
      <c r="T1098" s="95">
        <f>IF((P1098-Q1098)=1,N1098,IF((P1098-Q1098)=-1,-M1098,0))</f>
        <v/>
      </c>
      <c r="U1098" s="101">
        <f>IF(AND(H1098=1,LedAcct&lt;&gt;""),IF(AND(E1098&gt;=LedFrom,E1098&lt;=LedTo,OR(I1098=LedAcct,K1098=LedAcct,AND(LedAcct=acctTax,M1098+N1098&lt;&gt;0))),E1098*10000+B1098,""),"")</f>
        <v/>
      </c>
    </row>
    <row r="1099">
      <c r="B1099" s="101" t="n">
        <v>1093</v>
      </c>
      <c r="C1099" s="58" t="inlineStr">
        <is>
          <t>Transaction</t>
        </is>
      </c>
      <c r="D1099" s="58">
        <f>IF(H1099=1,INDEX(tx_ID,1093)&amp;"","")</f>
        <v/>
      </c>
      <c r="E1099" s="94">
        <f>IF(H1099=1,INDEX(tx_Date,1093),"")</f>
        <v/>
      </c>
      <c r="F1099" s="58">
        <f>IF(H1099=1,INDEX(tx_Desc,1093)&amp;"","")</f>
        <v/>
      </c>
      <c r="G1099" s="58">
        <f>IF(H1099=1,IF(INDEX(tx_Cust,1093)&amp;""&lt;&gt;"",INDEX(tx_Cust,1093)&amp;"",INDEX(tx_Vend,1093)&amp;""),"")</f>
        <v/>
      </c>
      <c r="H1099" s="101">
        <f>IFERROR(N(INDEX(tx_Posted,1093)),0)</f>
        <v/>
      </c>
      <c r="I1099" s="58">
        <f>IF(H1099=1,INDEX(tx_DrAcct,1093)&amp;"","")</f>
        <v/>
      </c>
      <c r="J1099" s="95">
        <f>IF(H1099=1,INDEX(tx_DrAmt,1093),0)</f>
        <v/>
      </c>
      <c r="K1099" s="58">
        <f>IF(H1099=1,INDEX(tx_CrAcct,1093)&amp;"","")</f>
        <v/>
      </c>
      <c r="L1099" s="95">
        <f>IF(H1099=1,INDEX(tx_CrAmt,1093),0)</f>
        <v/>
      </c>
      <c r="M1099" s="95">
        <f>IF(H1099=1,INDEX(tx_TaxDr,1093),0)</f>
        <v/>
      </c>
      <c r="N1099" s="95">
        <f>IF(H1099=1,INDEX(tx_TaxCr,1093),0)</f>
        <v/>
      </c>
      <c r="O1099" s="101">
        <f>IF(H1099=1,IF(E1099&lt;FYStart,0,IF(E1099&gt;FYEnd,13,YEAR(E1099)*12+MONTH(E1099)-FYYM+1)),"")</f>
        <v/>
      </c>
      <c r="P1099" s="101">
        <f>IF(H1099=1,IF(IFERROR(INDEX(coa_CF,MATCH(I1099,coa_Name,0)),"")="Cash",1,0),0)</f>
        <v/>
      </c>
      <c r="Q1099" s="101">
        <f>IF(H1099=1,IF(IFERROR(INDEX(coa_CF,MATCH(K1099,coa_Name,0)),"")="Cash",1,0),0)</f>
        <v/>
      </c>
      <c r="R1099" s="58">
        <f>IF((P1099-Q1099)=0,"",IFERROR(INDEX(coa_CF,MATCH(IF((P1099-Q1099)=1,K1099,I1099),coa_Name,0)),"Operating"))</f>
        <v/>
      </c>
      <c r="S1099" s="95">
        <f>IF((P1099-Q1099)=1,L1099,IF((P1099-Q1099)=-1,-J1099,0))</f>
        <v/>
      </c>
      <c r="T1099" s="95">
        <f>IF((P1099-Q1099)=1,N1099,IF((P1099-Q1099)=-1,-M1099,0))</f>
        <v/>
      </c>
      <c r="U1099" s="101">
        <f>IF(AND(H1099=1,LedAcct&lt;&gt;""),IF(AND(E1099&gt;=LedFrom,E1099&lt;=LedTo,OR(I1099=LedAcct,K1099=LedAcct,AND(LedAcct=acctTax,M1099+N1099&lt;&gt;0))),E1099*10000+B1099,""),"")</f>
        <v/>
      </c>
    </row>
    <row r="1100">
      <c r="B1100" s="101" t="n">
        <v>1094</v>
      </c>
      <c r="C1100" s="58" t="inlineStr">
        <is>
          <t>Transaction</t>
        </is>
      </c>
      <c r="D1100" s="58">
        <f>IF(H1100=1,INDEX(tx_ID,1094)&amp;"","")</f>
        <v/>
      </c>
      <c r="E1100" s="94">
        <f>IF(H1100=1,INDEX(tx_Date,1094),"")</f>
        <v/>
      </c>
      <c r="F1100" s="58">
        <f>IF(H1100=1,INDEX(tx_Desc,1094)&amp;"","")</f>
        <v/>
      </c>
      <c r="G1100" s="58">
        <f>IF(H1100=1,IF(INDEX(tx_Cust,1094)&amp;""&lt;&gt;"",INDEX(tx_Cust,1094)&amp;"",INDEX(tx_Vend,1094)&amp;""),"")</f>
        <v/>
      </c>
      <c r="H1100" s="101">
        <f>IFERROR(N(INDEX(tx_Posted,1094)),0)</f>
        <v/>
      </c>
      <c r="I1100" s="58">
        <f>IF(H1100=1,INDEX(tx_DrAcct,1094)&amp;"","")</f>
        <v/>
      </c>
      <c r="J1100" s="95">
        <f>IF(H1100=1,INDEX(tx_DrAmt,1094),0)</f>
        <v/>
      </c>
      <c r="K1100" s="58">
        <f>IF(H1100=1,INDEX(tx_CrAcct,1094)&amp;"","")</f>
        <v/>
      </c>
      <c r="L1100" s="95">
        <f>IF(H1100=1,INDEX(tx_CrAmt,1094),0)</f>
        <v/>
      </c>
      <c r="M1100" s="95">
        <f>IF(H1100=1,INDEX(tx_TaxDr,1094),0)</f>
        <v/>
      </c>
      <c r="N1100" s="95">
        <f>IF(H1100=1,INDEX(tx_TaxCr,1094),0)</f>
        <v/>
      </c>
      <c r="O1100" s="101">
        <f>IF(H1100=1,IF(E1100&lt;FYStart,0,IF(E1100&gt;FYEnd,13,YEAR(E1100)*12+MONTH(E1100)-FYYM+1)),"")</f>
        <v/>
      </c>
      <c r="P1100" s="101">
        <f>IF(H1100=1,IF(IFERROR(INDEX(coa_CF,MATCH(I1100,coa_Name,0)),"")="Cash",1,0),0)</f>
        <v/>
      </c>
      <c r="Q1100" s="101">
        <f>IF(H1100=1,IF(IFERROR(INDEX(coa_CF,MATCH(K1100,coa_Name,0)),"")="Cash",1,0),0)</f>
        <v/>
      </c>
      <c r="R1100" s="58">
        <f>IF((P1100-Q1100)=0,"",IFERROR(INDEX(coa_CF,MATCH(IF((P1100-Q1100)=1,K1100,I1100),coa_Name,0)),"Operating"))</f>
        <v/>
      </c>
      <c r="S1100" s="95">
        <f>IF((P1100-Q1100)=1,L1100,IF((P1100-Q1100)=-1,-J1100,0))</f>
        <v/>
      </c>
      <c r="T1100" s="95">
        <f>IF((P1100-Q1100)=1,N1100,IF((P1100-Q1100)=-1,-M1100,0))</f>
        <v/>
      </c>
      <c r="U1100" s="101">
        <f>IF(AND(H1100=1,LedAcct&lt;&gt;""),IF(AND(E1100&gt;=LedFrom,E1100&lt;=LedTo,OR(I1100=LedAcct,K1100=LedAcct,AND(LedAcct=acctTax,M1100+N1100&lt;&gt;0))),E1100*10000+B1100,""),"")</f>
        <v/>
      </c>
    </row>
    <row r="1101">
      <c r="B1101" s="101" t="n">
        <v>1095</v>
      </c>
      <c r="C1101" s="58" t="inlineStr">
        <is>
          <t>Transaction</t>
        </is>
      </c>
      <c r="D1101" s="58">
        <f>IF(H1101=1,INDEX(tx_ID,1095)&amp;"","")</f>
        <v/>
      </c>
      <c r="E1101" s="94">
        <f>IF(H1101=1,INDEX(tx_Date,1095),"")</f>
        <v/>
      </c>
      <c r="F1101" s="58">
        <f>IF(H1101=1,INDEX(tx_Desc,1095)&amp;"","")</f>
        <v/>
      </c>
      <c r="G1101" s="58">
        <f>IF(H1101=1,IF(INDEX(tx_Cust,1095)&amp;""&lt;&gt;"",INDEX(tx_Cust,1095)&amp;"",INDEX(tx_Vend,1095)&amp;""),"")</f>
        <v/>
      </c>
      <c r="H1101" s="101">
        <f>IFERROR(N(INDEX(tx_Posted,1095)),0)</f>
        <v/>
      </c>
      <c r="I1101" s="58">
        <f>IF(H1101=1,INDEX(tx_DrAcct,1095)&amp;"","")</f>
        <v/>
      </c>
      <c r="J1101" s="95">
        <f>IF(H1101=1,INDEX(tx_DrAmt,1095),0)</f>
        <v/>
      </c>
      <c r="K1101" s="58">
        <f>IF(H1101=1,INDEX(tx_CrAcct,1095)&amp;"","")</f>
        <v/>
      </c>
      <c r="L1101" s="95">
        <f>IF(H1101=1,INDEX(tx_CrAmt,1095),0)</f>
        <v/>
      </c>
      <c r="M1101" s="95">
        <f>IF(H1101=1,INDEX(tx_TaxDr,1095),0)</f>
        <v/>
      </c>
      <c r="N1101" s="95">
        <f>IF(H1101=1,INDEX(tx_TaxCr,1095),0)</f>
        <v/>
      </c>
      <c r="O1101" s="101">
        <f>IF(H1101=1,IF(E1101&lt;FYStart,0,IF(E1101&gt;FYEnd,13,YEAR(E1101)*12+MONTH(E1101)-FYYM+1)),"")</f>
        <v/>
      </c>
      <c r="P1101" s="101">
        <f>IF(H1101=1,IF(IFERROR(INDEX(coa_CF,MATCH(I1101,coa_Name,0)),"")="Cash",1,0),0)</f>
        <v/>
      </c>
      <c r="Q1101" s="101">
        <f>IF(H1101=1,IF(IFERROR(INDEX(coa_CF,MATCH(K1101,coa_Name,0)),"")="Cash",1,0),0)</f>
        <v/>
      </c>
      <c r="R1101" s="58">
        <f>IF((P1101-Q1101)=0,"",IFERROR(INDEX(coa_CF,MATCH(IF((P1101-Q1101)=1,K1101,I1101),coa_Name,0)),"Operating"))</f>
        <v/>
      </c>
      <c r="S1101" s="95">
        <f>IF((P1101-Q1101)=1,L1101,IF((P1101-Q1101)=-1,-J1101,0))</f>
        <v/>
      </c>
      <c r="T1101" s="95">
        <f>IF((P1101-Q1101)=1,N1101,IF((P1101-Q1101)=-1,-M1101,0))</f>
        <v/>
      </c>
      <c r="U1101" s="101">
        <f>IF(AND(H1101=1,LedAcct&lt;&gt;""),IF(AND(E1101&gt;=LedFrom,E1101&lt;=LedTo,OR(I1101=LedAcct,K1101=LedAcct,AND(LedAcct=acctTax,M1101+N1101&lt;&gt;0))),E1101*10000+B1101,""),"")</f>
        <v/>
      </c>
    </row>
    <row r="1102">
      <c r="B1102" s="101" t="n">
        <v>1096</v>
      </c>
      <c r="C1102" s="58" t="inlineStr">
        <is>
          <t>Transaction</t>
        </is>
      </c>
      <c r="D1102" s="58">
        <f>IF(H1102=1,INDEX(tx_ID,1096)&amp;"","")</f>
        <v/>
      </c>
      <c r="E1102" s="94">
        <f>IF(H1102=1,INDEX(tx_Date,1096),"")</f>
        <v/>
      </c>
      <c r="F1102" s="58">
        <f>IF(H1102=1,INDEX(tx_Desc,1096)&amp;"","")</f>
        <v/>
      </c>
      <c r="G1102" s="58">
        <f>IF(H1102=1,IF(INDEX(tx_Cust,1096)&amp;""&lt;&gt;"",INDEX(tx_Cust,1096)&amp;"",INDEX(tx_Vend,1096)&amp;""),"")</f>
        <v/>
      </c>
      <c r="H1102" s="101">
        <f>IFERROR(N(INDEX(tx_Posted,1096)),0)</f>
        <v/>
      </c>
      <c r="I1102" s="58">
        <f>IF(H1102=1,INDEX(tx_DrAcct,1096)&amp;"","")</f>
        <v/>
      </c>
      <c r="J1102" s="95">
        <f>IF(H1102=1,INDEX(tx_DrAmt,1096),0)</f>
        <v/>
      </c>
      <c r="K1102" s="58">
        <f>IF(H1102=1,INDEX(tx_CrAcct,1096)&amp;"","")</f>
        <v/>
      </c>
      <c r="L1102" s="95">
        <f>IF(H1102=1,INDEX(tx_CrAmt,1096),0)</f>
        <v/>
      </c>
      <c r="M1102" s="95">
        <f>IF(H1102=1,INDEX(tx_TaxDr,1096),0)</f>
        <v/>
      </c>
      <c r="N1102" s="95">
        <f>IF(H1102=1,INDEX(tx_TaxCr,1096),0)</f>
        <v/>
      </c>
      <c r="O1102" s="101">
        <f>IF(H1102=1,IF(E1102&lt;FYStart,0,IF(E1102&gt;FYEnd,13,YEAR(E1102)*12+MONTH(E1102)-FYYM+1)),"")</f>
        <v/>
      </c>
      <c r="P1102" s="101">
        <f>IF(H1102=1,IF(IFERROR(INDEX(coa_CF,MATCH(I1102,coa_Name,0)),"")="Cash",1,0),0)</f>
        <v/>
      </c>
      <c r="Q1102" s="101">
        <f>IF(H1102=1,IF(IFERROR(INDEX(coa_CF,MATCH(K1102,coa_Name,0)),"")="Cash",1,0),0)</f>
        <v/>
      </c>
      <c r="R1102" s="58">
        <f>IF((P1102-Q1102)=0,"",IFERROR(INDEX(coa_CF,MATCH(IF((P1102-Q1102)=1,K1102,I1102),coa_Name,0)),"Operating"))</f>
        <v/>
      </c>
      <c r="S1102" s="95">
        <f>IF((P1102-Q1102)=1,L1102,IF((P1102-Q1102)=-1,-J1102,0))</f>
        <v/>
      </c>
      <c r="T1102" s="95">
        <f>IF((P1102-Q1102)=1,N1102,IF((P1102-Q1102)=-1,-M1102,0))</f>
        <v/>
      </c>
      <c r="U1102" s="101">
        <f>IF(AND(H1102=1,LedAcct&lt;&gt;""),IF(AND(E1102&gt;=LedFrom,E1102&lt;=LedTo,OR(I1102=LedAcct,K1102=LedAcct,AND(LedAcct=acctTax,M1102+N1102&lt;&gt;0))),E1102*10000+B1102,""),"")</f>
        <v/>
      </c>
    </row>
    <row r="1103">
      <c r="B1103" s="101" t="n">
        <v>1097</v>
      </c>
      <c r="C1103" s="58" t="inlineStr">
        <is>
          <t>Transaction</t>
        </is>
      </c>
      <c r="D1103" s="58">
        <f>IF(H1103=1,INDEX(tx_ID,1097)&amp;"","")</f>
        <v/>
      </c>
      <c r="E1103" s="94">
        <f>IF(H1103=1,INDEX(tx_Date,1097),"")</f>
        <v/>
      </c>
      <c r="F1103" s="58">
        <f>IF(H1103=1,INDEX(tx_Desc,1097)&amp;"","")</f>
        <v/>
      </c>
      <c r="G1103" s="58">
        <f>IF(H1103=1,IF(INDEX(tx_Cust,1097)&amp;""&lt;&gt;"",INDEX(tx_Cust,1097)&amp;"",INDEX(tx_Vend,1097)&amp;""),"")</f>
        <v/>
      </c>
      <c r="H1103" s="101">
        <f>IFERROR(N(INDEX(tx_Posted,1097)),0)</f>
        <v/>
      </c>
      <c r="I1103" s="58">
        <f>IF(H1103=1,INDEX(tx_DrAcct,1097)&amp;"","")</f>
        <v/>
      </c>
      <c r="J1103" s="95">
        <f>IF(H1103=1,INDEX(tx_DrAmt,1097),0)</f>
        <v/>
      </c>
      <c r="K1103" s="58">
        <f>IF(H1103=1,INDEX(tx_CrAcct,1097)&amp;"","")</f>
        <v/>
      </c>
      <c r="L1103" s="95">
        <f>IF(H1103=1,INDEX(tx_CrAmt,1097),0)</f>
        <v/>
      </c>
      <c r="M1103" s="95">
        <f>IF(H1103=1,INDEX(tx_TaxDr,1097),0)</f>
        <v/>
      </c>
      <c r="N1103" s="95">
        <f>IF(H1103=1,INDEX(tx_TaxCr,1097),0)</f>
        <v/>
      </c>
      <c r="O1103" s="101">
        <f>IF(H1103=1,IF(E1103&lt;FYStart,0,IF(E1103&gt;FYEnd,13,YEAR(E1103)*12+MONTH(E1103)-FYYM+1)),"")</f>
        <v/>
      </c>
      <c r="P1103" s="101">
        <f>IF(H1103=1,IF(IFERROR(INDEX(coa_CF,MATCH(I1103,coa_Name,0)),"")="Cash",1,0),0)</f>
        <v/>
      </c>
      <c r="Q1103" s="101">
        <f>IF(H1103=1,IF(IFERROR(INDEX(coa_CF,MATCH(K1103,coa_Name,0)),"")="Cash",1,0),0)</f>
        <v/>
      </c>
      <c r="R1103" s="58">
        <f>IF((P1103-Q1103)=0,"",IFERROR(INDEX(coa_CF,MATCH(IF((P1103-Q1103)=1,K1103,I1103),coa_Name,0)),"Operating"))</f>
        <v/>
      </c>
      <c r="S1103" s="95">
        <f>IF((P1103-Q1103)=1,L1103,IF((P1103-Q1103)=-1,-J1103,0))</f>
        <v/>
      </c>
      <c r="T1103" s="95">
        <f>IF((P1103-Q1103)=1,N1103,IF((P1103-Q1103)=-1,-M1103,0))</f>
        <v/>
      </c>
      <c r="U1103" s="101">
        <f>IF(AND(H1103=1,LedAcct&lt;&gt;""),IF(AND(E1103&gt;=LedFrom,E1103&lt;=LedTo,OR(I1103=LedAcct,K1103=LedAcct,AND(LedAcct=acctTax,M1103+N1103&lt;&gt;0))),E1103*10000+B1103,""),"")</f>
        <v/>
      </c>
    </row>
    <row r="1104">
      <c r="B1104" s="101" t="n">
        <v>1098</v>
      </c>
      <c r="C1104" s="58" t="inlineStr">
        <is>
          <t>Transaction</t>
        </is>
      </c>
      <c r="D1104" s="58">
        <f>IF(H1104=1,INDEX(tx_ID,1098)&amp;"","")</f>
        <v/>
      </c>
      <c r="E1104" s="94">
        <f>IF(H1104=1,INDEX(tx_Date,1098),"")</f>
        <v/>
      </c>
      <c r="F1104" s="58">
        <f>IF(H1104=1,INDEX(tx_Desc,1098)&amp;"","")</f>
        <v/>
      </c>
      <c r="G1104" s="58">
        <f>IF(H1104=1,IF(INDEX(tx_Cust,1098)&amp;""&lt;&gt;"",INDEX(tx_Cust,1098)&amp;"",INDEX(tx_Vend,1098)&amp;""),"")</f>
        <v/>
      </c>
      <c r="H1104" s="101">
        <f>IFERROR(N(INDEX(tx_Posted,1098)),0)</f>
        <v/>
      </c>
      <c r="I1104" s="58">
        <f>IF(H1104=1,INDEX(tx_DrAcct,1098)&amp;"","")</f>
        <v/>
      </c>
      <c r="J1104" s="95">
        <f>IF(H1104=1,INDEX(tx_DrAmt,1098),0)</f>
        <v/>
      </c>
      <c r="K1104" s="58">
        <f>IF(H1104=1,INDEX(tx_CrAcct,1098)&amp;"","")</f>
        <v/>
      </c>
      <c r="L1104" s="95">
        <f>IF(H1104=1,INDEX(tx_CrAmt,1098),0)</f>
        <v/>
      </c>
      <c r="M1104" s="95">
        <f>IF(H1104=1,INDEX(tx_TaxDr,1098),0)</f>
        <v/>
      </c>
      <c r="N1104" s="95">
        <f>IF(H1104=1,INDEX(tx_TaxCr,1098),0)</f>
        <v/>
      </c>
      <c r="O1104" s="101">
        <f>IF(H1104=1,IF(E1104&lt;FYStart,0,IF(E1104&gt;FYEnd,13,YEAR(E1104)*12+MONTH(E1104)-FYYM+1)),"")</f>
        <v/>
      </c>
      <c r="P1104" s="101">
        <f>IF(H1104=1,IF(IFERROR(INDEX(coa_CF,MATCH(I1104,coa_Name,0)),"")="Cash",1,0),0)</f>
        <v/>
      </c>
      <c r="Q1104" s="101">
        <f>IF(H1104=1,IF(IFERROR(INDEX(coa_CF,MATCH(K1104,coa_Name,0)),"")="Cash",1,0),0)</f>
        <v/>
      </c>
      <c r="R1104" s="58">
        <f>IF((P1104-Q1104)=0,"",IFERROR(INDEX(coa_CF,MATCH(IF((P1104-Q1104)=1,K1104,I1104),coa_Name,0)),"Operating"))</f>
        <v/>
      </c>
      <c r="S1104" s="95">
        <f>IF((P1104-Q1104)=1,L1104,IF((P1104-Q1104)=-1,-J1104,0))</f>
        <v/>
      </c>
      <c r="T1104" s="95">
        <f>IF((P1104-Q1104)=1,N1104,IF((P1104-Q1104)=-1,-M1104,0))</f>
        <v/>
      </c>
      <c r="U1104" s="101">
        <f>IF(AND(H1104=1,LedAcct&lt;&gt;""),IF(AND(E1104&gt;=LedFrom,E1104&lt;=LedTo,OR(I1104=LedAcct,K1104=LedAcct,AND(LedAcct=acctTax,M1104+N1104&lt;&gt;0))),E1104*10000+B1104,""),"")</f>
        <v/>
      </c>
    </row>
    <row r="1105">
      <c r="B1105" s="101" t="n">
        <v>1099</v>
      </c>
      <c r="C1105" s="58" t="inlineStr">
        <is>
          <t>Transaction</t>
        </is>
      </c>
      <c r="D1105" s="58">
        <f>IF(H1105=1,INDEX(tx_ID,1099)&amp;"","")</f>
        <v/>
      </c>
      <c r="E1105" s="94">
        <f>IF(H1105=1,INDEX(tx_Date,1099),"")</f>
        <v/>
      </c>
      <c r="F1105" s="58">
        <f>IF(H1105=1,INDEX(tx_Desc,1099)&amp;"","")</f>
        <v/>
      </c>
      <c r="G1105" s="58">
        <f>IF(H1105=1,IF(INDEX(tx_Cust,1099)&amp;""&lt;&gt;"",INDEX(tx_Cust,1099)&amp;"",INDEX(tx_Vend,1099)&amp;""),"")</f>
        <v/>
      </c>
      <c r="H1105" s="101">
        <f>IFERROR(N(INDEX(tx_Posted,1099)),0)</f>
        <v/>
      </c>
      <c r="I1105" s="58">
        <f>IF(H1105=1,INDEX(tx_DrAcct,1099)&amp;"","")</f>
        <v/>
      </c>
      <c r="J1105" s="95">
        <f>IF(H1105=1,INDEX(tx_DrAmt,1099),0)</f>
        <v/>
      </c>
      <c r="K1105" s="58">
        <f>IF(H1105=1,INDEX(tx_CrAcct,1099)&amp;"","")</f>
        <v/>
      </c>
      <c r="L1105" s="95">
        <f>IF(H1105=1,INDEX(tx_CrAmt,1099),0)</f>
        <v/>
      </c>
      <c r="M1105" s="95">
        <f>IF(H1105=1,INDEX(tx_TaxDr,1099),0)</f>
        <v/>
      </c>
      <c r="N1105" s="95">
        <f>IF(H1105=1,INDEX(tx_TaxCr,1099),0)</f>
        <v/>
      </c>
      <c r="O1105" s="101">
        <f>IF(H1105=1,IF(E1105&lt;FYStart,0,IF(E1105&gt;FYEnd,13,YEAR(E1105)*12+MONTH(E1105)-FYYM+1)),"")</f>
        <v/>
      </c>
      <c r="P1105" s="101">
        <f>IF(H1105=1,IF(IFERROR(INDEX(coa_CF,MATCH(I1105,coa_Name,0)),"")="Cash",1,0),0)</f>
        <v/>
      </c>
      <c r="Q1105" s="101">
        <f>IF(H1105=1,IF(IFERROR(INDEX(coa_CF,MATCH(K1105,coa_Name,0)),"")="Cash",1,0),0)</f>
        <v/>
      </c>
      <c r="R1105" s="58">
        <f>IF((P1105-Q1105)=0,"",IFERROR(INDEX(coa_CF,MATCH(IF((P1105-Q1105)=1,K1105,I1105),coa_Name,0)),"Operating"))</f>
        <v/>
      </c>
      <c r="S1105" s="95">
        <f>IF((P1105-Q1105)=1,L1105,IF((P1105-Q1105)=-1,-J1105,0))</f>
        <v/>
      </c>
      <c r="T1105" s="95">
        <f>IF((P1105-Q1105)=1,N1105,IF((P1105-Q1105)=-1,-M1105,0))</f>
        <v/>
      </c>
      <c r="U1105" s="101">
        <f>IF(AND(H1105=1,LedAcct&lt;&gt;""),IF(AND(E1105&gt;=LedFrom,E1105&lt;=LedTo,OR(I1105=LedAcct,K1105=LedAcct,AND(LedAcct=acctTax,M1105+N1105&lt;&gt;0))),E1105*10000+B1105,""),"")</f>
        <v/>
      </c>
    </row>
    <row r="1106">
      <c r="B1106" s="101" t="n">
        <v>1100</v>
      </c>
      <c r="C1106" s="58" t="inlineStr">
        <is>
          <t>Transaction</t>
        </is>
      </c>
      <c r="D1106" s="58">
        <f>IF(H1106=1,INDEX(tx_ID,1100)&amp;"","")</f>
        <v/>
      </c>
      <c r="E1106" s="94">
        <f>IF(H1106=1,INDEX(tx_Date,1100),"")</f>
        <v/>
      </c>
      <c r="F1106" s="58">
        <f>IF(H1106=1,INDEX(tx_Desc,1100)&amp;"","")</f>
        <v/>
      </c>
      <c r="G1106" s="58">
        <f>IF(H1106=1,IF(INDEX(tx_Cust,1100)&amp;""&lt;&gt;"",INDEX(tx_Cust,1100)&amp;"",INDEX(tx_Vend,1100)&amp;""),"")</f>
        <v/>
      </c>
      <c r="H1106" s="101">
        <f>IFERROR(N(INDEX(tx_Posted,1100)),0)</f>
        <v/>
      </c>
      <c r="I1106" s="58">
        <f>IF(H1106=1,INDEX(tx_DrAcct,1100)&amp;"","")</f>
        <v/>
      </c>
      <c r="J1106" s="95">
        <f>IF(H1106=1,INDEX(tx_DrAmt,1100),0)</f>
        <v/>
      </c>
      <c r="K1106" s="58">
        <f>IF(H1106=1,INDEX(tx_CrAcct,1100)&amp;"","")</f>
        <v/>
      </c>
      <c r="L1106" s="95">
        <f>IF(H1106=1,INDEX(tx_CrAmt,1100),0)</f>
        <v/>
      </c>
      <c r="M1106" s="95">
        <f>IF(H1106=1,INDEX(tx_TaxDr,1100),0)</f>
        <v/>
      </c>
      <c r="N1106" s="95">
        <f>IF(H1106=1,INDEX(tx_TaxCr,1100),0)</f>
        <v/>
      </c>
      <c r="O1106" s="101">
        <f>IF(H1106=1,IF(E1106&lt;FYStart,0,IF(E1106&gt;FYEnd,13,YEAR(E1106)*12+MONTH(E1106)-FYYM+1)),"")</f>
        <v/>
      </c>
      <c r="P1106" s="101">
        <f>IF(H1106=1,IF(IFERROR(INDEX(coa_CF,MATCH(I1106,coa_Name,0)),"")="Cash",1,0),0)</f>
        <v/>
      </c>
      <c r="Q1106" s="101">
        <f>IF(H1106=1,IF(IFERROR(INDEX(coa_CF,MATCH(K1106,coa_Name,0)),"")="Cash",1,0),0)</f>
        <v/>
      </c>
      <c r="R1106" s="58">
        <f>IF((P1106-Q1106)=0,"",IFERROR(INDEX(coa_CF,MATCH(IF((P1106-Q1106)=1,K1106,I1106),coa_Name,0)),"Operating"))</f>
        <v/>
      </c>
      <c r="S1106" s="95">
        <f>IF((P1106-Q1106)=1,L1106,IF((P1106-Q1106)=-1,-J1106,0))</f>
        <v/>
      </c>
      <c r="T1106" s="95">
        <f>IF((P1106-Q1106)=1,N1106,IF((P1106-Q1106)=-1,-M1106,0))</f>
        <v/>
      </c>
      <c r="U1106" s="101">
        <f>IF(AND(H1106=1,LedAcct&lt;&gt;""),IF(AND(E1106&gt;=LedFrom,E1106&lt;=LedTo,OR(I1106=LedAcct,K1106=LedAcct,AND(LedAcct=acctTax,M1106+N1106&lt;&gt;0))),E1106*10000+B1106,""),"")</f>
        <v/>
      </c>
    </row>
    <row r="1107">
      <c r="B1107" s="101" t="n">
        <v>1101</v>
      </c>
      <c r="C1107" s="58" t="inlineStr">
        <is>
          <t>Transaction</t>
        </is>
      </c>
      <c r="D1107" s="58">
        <f>IF(H1107=1,INDEX(tx_ID,1101)&amp;"","")</f>
        <v/>
      </c>
      <c r="E1107" s="94">
        <f>IF(H1107=1,INDEX(tx_Date,1101),"")</f>
        <v/>
      </c>
      <c r="F1107" s="58">
        <f>IF(H1107=1,INDEX(tx_Desc,1101)&amp;"","")</f>
        <v/>
      </c>
      <c r="G1107" s="58">
        <f>IF(H1107=1,IF(INDEX(tx_Cust,1101)&amp;""&lt;&gt;"",INDEX(tx_Cust,1101)&amp;"",INDEX(tx_Vend,1101)&amp;""),"")</f>
        <v/>
      </c>
      <c r="H1107" s="101">
        <f>IFERROR(N(INDEX(tx_Posted,1101)),0)</f>
        <v/>
      </c>
      <c r="I1107" s="58">
        <f>IF(H1107=1,INDEX(tx_DrAcct,1101)&amp;"","")</f>
        <v/>
      </c>
      <c r="J1107" s="95">
        <f>IF(H1107=1,INDEX(tx_DrAmt,1101),0)</f>
        <v/>
      </c>
      <c r="K1107" s="58">
        <f>IF(H1107=1,INDEX(tx_CrAcct,1101)&amp;"","")</f>
        <v/>
      </c>
      <c r="L1107" s="95">
        <f>IF(H1107=1,INDEX(tx_CrAmt,1101),0)</f>
        <v/>
      </c>
      <c r="M1107" s="95">
        <f>IF(H1107=1,INDEX(tx_TaxDr,1101),0)</f>
        <v/>
      </c>
      <c r="N1107" s="95">
        <f>IF(H1107=1,INDEX(tx_TaxCr,1101),0)</f>
        <v/>
      </c>
      <c r="O1107" s="101">
        <f>IF(H1107=1,IF(E1107&lt;FYStart,0,IF(E1107&gt;FYEnd,13,YEAR(E1107)*12+MONTH(E1107)-FYYM+1)),"")</f>
        <v/>
      </c>
      <c r="P1107" s="101">
        <f>IF(H1107=1,IF(IFERROR(INDEX(coa_CF,MATCH(I1107,coa_Name,0)),"")="Cash",1,0),0)</f>
        <v/>
      </c>
      <c r="Q1107" s="101">
        <f>IF(H1107=1,IF(IFERROR(INDEX(coa_CF,MATCH(K1107,coa_Name,0)),"")="Cash",1,0),0)</f>
        <v/>
      </c>
      <c r="R1107" s="58">
        <f>IF((P1107-Q1107)=0,"",IFERROR(INDEX(coa_CF,MATCH(IF((P1107-Q1107)=1,K1107,I1107),coa_Name,0)),"Operating"))</f>
        <v/>
      </c>
      <c r="S1107" s="95">
        <f>IF((P1107-Q1107)=1,L1107,IF((P1107-Q1107)=-1,-J1107,0))</f>
        <v/>
      </c>
      <c r="T1107" s="95">
        <f>IF((P1107-Q1107)=1,N1107,IF((P1107-Q1107)=-1,-M1107,0))</f>
        <v/>
      </c>
      <c r="U1107" s="101">
        <f>IF(AND(H1107=1,LedAcct&lt;&gt;""),IF(AND(E1107&gt;=LedFrom,E1107&lt;=LedTo,OR(I1107=LedAcct,K1107=LedAcct,AND(LedAcct=acctTax,M1107+N1107&lt;&gt;0))),E1107*10000+B1107,""),"")</f>
        <v/>
      </c>
    </row>
    <row r="1108">
      <c r="B1108" s="101" t="n">
        <v>1102</v>
      </c>
      <c r="C1108" s="58" t="inlineStr">
        <is>
          <t>Transaction</t>
        </is>
      </c>
      <c r="D1108" s="58">
        <f>IF(H1108=1,INDEX(tx_ID,1102)&amp;"","")</f>
        <v/>
      </c>
      <c r="E1108" s="94">
        <f>IF(H1108=1,INDEX(tx_Date,1102),"")</f>
        <v/>
      </c>
      <c r="F1108" s="58">
        <f>IF(H1108=1,INDEX(tx_Desc,1102)&amp;"","")</f>
        <v/>
      </c>
      <c r="G1108" s="58">
        <f>IF(H1108=1,IF(INDEX(tx_Cust,1102)&amp;""&lt;&gt;"",INDEX(tx_Cust,1102)&amp;"",INDEX(tx_Vend,1102)&amp;""),"")</f>
        <v/>
      </c>
      <c r="H1108" s="101">
        <f>IFERROR(N(INDEX(tx_Posted,1102)),0)</f>
        <v/>
      </c>
      <c r="I1108" s="58">
        <f>IF(H1108=1,INDEX(tx_DrAcct,1102)&amp;"","")</f>
        <v/>
      </c>
      <c r="J1108" s="95">
        <f>IF(H1108=1,INDEX(tx_DrAmt,1102),0)</f>
        <v/>
      </c>
      <c r="K1108" s="58">
        <f>IF(H1108=1,INDEX(tx_CrAcct,1102)&amp;"","")</f>
        <v/>
      </c>
      <c r="L1108" s="95">
        <f>IF(H1108=1,INDEX(tx_CrAmt,1102),0)</f>
        <v/>
      </c>
      <c r="M1108" s="95">
        <f>IF(H1108=1,INDEX(tx_TaxDr,1102),0)</f>
        <v/>
      </c>
      <c r="N1108" s="95">
        <f>IF(H1108=1,INDEX(tx_TaxCr,1102),0)</f>
        <v/>
      </c>
      <c r="O1108" s="101">
        <f>IF(H1108=1,IF(E1108&lt;FYStart,0,IF(E1108&gt;FYEnd,13,YEAR(E1108)*12+MONTH(E1108)-FYYM+1)),"")</f>
        <v/>
      </c>
      <c r="P1108" s="101">
        <f>IF(H1108=1,IF(IFERROR(INDEX(coa_CF,MATCH(I1108,coa_Name,0)),"")="Cash",1,0),0)</f>
        <v/>
      </c>
      <c r="Q1108" s="101">
        <f>IF(H1108=1,IF(IFERROR(INDEX(coa_CF,MATCH(K1108,coa_Name,0)),"")="Cash",1,0),0)</f>
        <v/>
      </c>
      <c r="R1108" s="58">
        <f>IF((P1108-Q1108)=0,"",IFERROR(INDEX(coa_CF,MATCH(IF((P1108-Q1108)=1,K1108,I1108),coa_Name,0)),"Operating"))</f>
        <v/>
      </c>
      <c r="S1108" s="95">
        <f>IF((P1108-Q1108)=1,L1108,IF((P1108-Q1108)=-1,-J1108,0))</f>
        <v/>
      </c>
      <c r="T1108" s="95">
        <f>IF((P1108-Q1108)=1,N1108,IF((P1108-Q1108)=-1,-M1108,0))</f>
        <v/>
      </c>
      <c r="U1108" s="101">
        <f>IF(AND(H1108=1,LedAcct&lt;&gt;""),IF(AND(E1108&gt;=LedFrom,E1108&lt;=LedTo,OR(I1108=LedAcct,K1108=LedAcct,AND(LedAcct=acctTax,M1108+N1108&lt;&gt;0))),E1108*10000+B1108,""),"")</f>
        <v/>
      </c>
    </row>
    <row r="1109">
      <c r="B1109" s="101" t="n">
        <v>1103</v>
      </c>
      <c r="C1109" s="58" t="inlineStr">
        <is>
          <t>Transaction</t>
        </is>
      </c>
      <c r="D1109" s="58">
        <f>IF(H1109=1,INDEX(tx_ID,1103)&amp;"","")</f>
        <v/>
      </c>
      <c r="E1109" s="94">
        <f>IF(H1109=1,INDEX(tx_Date,1103),"")</f>
        <v/>
      </c>
      <c r="F1109" s="58">
        <f>IF(H1109=1,INDEX(tx_Desc,1103)&amp;"","")</f>
        <v/>
      </c>
      <c r="G1109" s="58">
        <f>IF(H1109=1,IF(INDEX(tx_Cust,1103)&amp;""&lt;&gt;"",INDEX(tx_Cust,1103)&amp;"",INDEX(tx_Vend,1103)&amp;""),"")</f>
        <v/>
      </c>
      <c r="H1109" s="101">
        <f>IFERROR(N(INDEX(tx_Posted,1103)),0)</f>
        <v/>
      </c>
      <c r="I1109" s="58">
        <f>IF(H1109=1,INDEX(tx_DrAcct,1103)&amp;"","")</f>
        <v/>
      </c>
      <c r="J1109" s="95">
        <f>IF(H1109=1,INDEX(tx_DrAmt,1103),0)</f>
        <v/>
      </c>
      <c r="K1109" s="58">
        <f>IF(H1109=1,INDEX(tx_CrAcct,1103)&amp;"","")</f>
        <v/>
      </c>
      <c r="L1109" s="95">
        <f>IF(H1109=1,INDEX(tx_CrAmt,1103),0)</f>
        <v/>
      </c>
      <c r="M1109" s="95">
        <f>IF(H1109=1,INDEX(tx_TaxDr,1103),0)</f>
        <v/>
      </c>
      <c r="N1109" s="95">
        <f>IF(H1109=1,INDEX(tx_TaxCr,1103),0)</f>
        <v/>
      </c>
      <c r="O1109" s="101">
        <f>IF(H1109=1,IF(E1109&lt;FYStart,0,IF(E1109&gt;FYEnd,13,YEAR(E1109)*12+MONTH(E1109)-FYYM+1)),"")</f>
        <v/>
      </c>
      <c r="P1109" s="101">
        <f>IF(H1109=1,IF(IFERROR(INDEX(coa_CF,MATCH(I1109,coa_Name,0)),"")="Cash",1,0),0)</f>
        <v/>
      </c>
      <c r="Q1109" s="101">
        <f>IF(H1109=1,IF(IFERROR(INDEX(coa_CF,MATCH(K1109,coa_Name,0)),"")="Cash",1,0),0)</f>
        <v/>
      </c>
      <c r="R1109" s="58">
        <f>IF((P1109-Q1109)=0,"",IFERROR(INDEX(coa_CF,MATCH(IF((P1109-Q1109)=1,K1109,I1109),coa_Name,0)),"Operating"))</f>
        <v/>
      </c>
      <c r="S1109" s="95">
        <f>IF((P1109-Q1109)=1,L1109,IF((P1109-Q1109)=-1,-J1109,0))</f>
        <v/>
      </c>
      <c r="T1109" s="95">
        <f>IF((P1109-Q1109)=1,N1109,IF((P1109-Q1109)=-1,-M1109,0))</f>
        <v/>
      </c>
      <c r="U1109" s="101">
        <f>IF(AND(H1109=1,LedAcct&lt;&gt;""),IF(AND(E1109&gt;=LedFrom,E1109&lt;=LedTo,OR(I1109=LedAcct,K1109=LedAcct,AND(LedAcct=acctTax,M1109+N1109&lt;&gt;0))),E1109*10000+B1109,""),"")</f>
        <v/>
      </c>
    </row>
    <row r="1110">
      <c r="B1110" s="101" t="n">
        <v>1104</v>
      </c>
      <c r="C1110" s="58" t="inlineStr">
        <is>
          <t>Transaction</t>
        </is>
      </c>
      <c r="D1110" s="58">
        <f>IF(H1110=1,INDEX(tx_ID,1104)&amp;"","")</f>
        <v/>
      </c>
      <c r="E1110" s="94">
        <f>IF(H1110=1,INDEX(tx_Date,1104),"")</f>
        <v/>
      </c>
      <c r="F1110" s="58">
        <f>IF(H1110=1,INDEX(tx_Desc,1104)&amp;"","")</f>
        <v/>
      </c>
      <c r="G1110" s="58">
        <f>IF(H1110=1,IF(INDEX(tx_Cust,1104)&amp;""&lt;&gt;"",INDEX(tx_Cust,1104)&amp;"",INDEX(tx_Vend,1104)&amp;""),"")</f>
        <v/>
      </c>
      <c r="H1110" s="101">
        <f>IFERROR(N(INDEX(tx_Posted,1104)),0)</f>
        <v/>
      </c>
      <c r="I1110" s="58">
        <f>IF(H1110=1,INDEX(tx_DrAcct,1104)&amp;"","")</f>
        <v/>
      </c>
      <c r="J1110" s="95">
        <f>IF(H1110=1,INDEX(tx_DrAmt,1104),0)</f>
        <v/>
      </c>
      <c r="K1110" s="58">
        <f>IF(H1110=1,INDEX(tx_CrAcct,1104)&amp;"","")</f>
        <v/>
      </c>
      <c r="L1110" s="95">
        <f>IF(H1110=1,INDEX(tx_CrAmt,1104),0)</f>
        <v/>
      </c>
      <c r="M1110" s="95">
        <f>IF(H1110=1,INDEX(tx_TaxDr,1104),0)</f>
        <v/>
      </c>
      <c r="N1110" s="95">
        <f>IF(H1110=1,INDEX(tx_TaxCr,1104),0)</f>
        <v/>
      </c>
      <c r="O1110" s="101">
        <f>IF(H1110=1,IF(E1110&lt;FYStart,0,IF(E1110&gt;FYEnd,13,YEAR(E1110)*12+MONTH(E1110)-FYYM+1)),"")</f>
        <v/>
      </c>
      <c r="P1110" s="101">
        <f>IF(H1110=1,IF(IFERROR(INDEX(coa_CF,MATCH(I1110,coa_Name,0)),"")="Cash",1,0),0)</f>
        <v/>
      </c>
      <c r="Q1110" s="101">
        <f>IF(H1110=1,IF(IFERROR(INDEX(coa_CF,MATCH(K1110,coa_Name,0)),"")="Cash",1,0),0)</f>
        <v/>
      </c>
      <c r="R1110" s="58">
        <f>IF((P1110-Q1110)=0,"",IFERROR(INDEX(coa_CF,MATCH(IF((P1110-Q1110)=1,K1110,I1110),coa_Name,0)),"Operating"))</f>
        <v/>
      </c>
      <c r="S1110" s="95">
        <f>IF((P1110-Q1110)=1,L1110,IF((P1110-Q1110)=-1,-J1110,0))</f>
        <v/>
      </c>
      <c r="T1110" s="95">
        <f>IF((P1110-Q1110)=1,N1110,IF((P1110-Q1110)=-1,-M1110,0))</f>
        <v/>
      </c>
      <c r="U1110" s="101">
        <f>IF(AND(H1110=1,LedAcct&lt;&gt;""),IF(AND(E1110&gt;=LedFrom,E1110&lt;=LedTo,OR(I1110=LedAcct,K1110=LedAcct,AND(LedAcct=acctTax,M1110+N1110&lt;&gt;0))),E1110*10000+B1110,""),"")</f>
        <v/>
      </c>
    </row>
    <row r="1111">
      <c r="B1111" s="101" t="n">
        <v>1105</v>
      </c>
      <c r="C1111" s="58" t="inlineStr">
        <is>
          <t>Transaction</t>
        </is>
      </c>
      <c r="D1111" s="58">
        <f>IF(H1111=1,INDEX(tx_ID,1105)&amp;"","")</f>
        <v/>
      </c>
      <c r="E1111" s="94">
        <f>IF(H1111=1,INDEX(tx_Date,1105),"")</f>
        <v/>
      </c>
      <c r="F1111" s="58">
        <f>IF(H1111=1,INDEX(tx_Desc,1105)&amp;"","")</f>
        <v/>
      </c>
      <c r="G1111" s="58">
        <f>IF(H1111=1,IF(INDEX(tx_Cust,1105)&amp;""&lt;&gt;"",INDEX(tx_Cust,1105)&amp;"",INDEX(tx_Vend,1105)&amp;""),"")</f>
        <v/>
      </c>
      <c r="H1111" s="101">
        <f>IFERROR(N(INDEX(tx_Posted,1105)),0)</f>
        <v/>
      </c>
      <c r="I1111" s="58">
        <f>IF(H1111=1,INDEX(tx_DrAcct,1105)&amp;"","")</f>
        <v/>
      </c>
      <c r="J1111" s="95">
        <f>IF(H1111=1,INDEX(tx_DrAmt,1105),0)</f>
        <v/>
      </c>
      <c r="K1111" s="58">
        <f>IF(H1111=1,INDEX(tx_CrAcct,1105)&amp;"","")</f>
        <v/>
      </c>
      <c r="L1111" s="95">
        <f>IF(H1111=1,INDEX(tx_CrAmt,1105),0)</f>
        <v/>
      </c>
      <c r="M1111" s="95">
        <f>IF(H1111=1,INDEX(tx_TaxDr,1105),0)</f>
        <v/>
      </c>
      <c r="N1111" s="95">
        <f>IF(H1111=1,INDEX(tx_TaxCr,1105),0)</f>
        <v/>
      </c>
      <c r="O1111" s="101">
        <f>IF(H1111=1,IF(E1111&lt;FYStart,0,IF(E1111&gt;FYEnd,13,YEAR(E1111)*12+MONTH(E1111)-FYYM+1)),"")</f>
        <v/>
      </c>
      <c r="P1111" s="101">
        <f>IF(H1111=1,IF(IFERROR(INDEX(coa_CF,MATCH(I1111,coa_Name,0)),"")="Cash",1,0),0)</f>
        <v/>
      </c>
      <c r="Q1111" s="101">
        <f>IF(H1111=1,IF(IFERROR(INDEX(coa_CF,MATCH(K1111,coa_Name,0)),"")="Cash",1,0),0)</f>
        <v/>
      </c>
      <c r="R1111" s="58">
        <f>IF((P1111-Q1111)=0,"",IFERROR(INDEX(coa_CF,MATCH(IF((P1111-Q1111)=1,K1111,I1111),coa_Name,0)),"Operating"))</f>
        <v/>
      </c>
      <c r="S1111" s="95">
        <f>IF((P1111-Q1111)=1,L1111,IF((P1111-Q1111)=-1,-J1111,0))</f>
        <v/>
      </c>
      <c r="T1111" s="95">
        <f>IF((P1111-Q1111)=1,N1111,IF((P1111-Q1111)=-1,-M1111,0))</f>
        <v/>
      </c>
      <c r="U1111" s="101">
        <f>IF(AND(H1111=1,LedAcct&lt;&gt;""),IF(AND(E1111&gt;=LedFrom,E1111&lt;=LedTo,OR(I1111=LedAcct,K1111=LedAcct,AND(LedAcct=acctTax,M1111+N1111&lt;&gt;0))),E1111*10000+B1111,""),"")</f>
        <v/>
      </c>
    </row>
    <row r="1112">
      <c r="B1112" s="101" t="n">
        <v>1106</v>
      </c>
      <c r="C1112" s="58" t="inlineStr">
        <is>
          <t>Transaction</t>
        </is>
      </c>
      <c r="D1112" s="58">
        <f>IF(H1112=1,INDEX(tx_ID,1106)&amp;"","")</f>
        <v/>
      </c>
      <c r="E1112" s="94">
        <f>IF(H1112=1,INDEX(tx_Date,1106),"")</f>
        <v/>
      </c>
      <c r="F1112" s="58">
        <f>IF(H1112=1,INDEX(tx_Desc,1106)&amp;"","")</f>
        <v/>
      </c>
      <c r="G1112" s="58">
        <f>IF(H1112=1,IF(INDEX(tx_Cust,1106)&amp;""&lt;&gt;"",INDEX(tx_Cust,1106)&amp;"",INDEX(tx_Vend,1106)&amp;""),"")</f>
        <v/>
      </c>
      <c r="H1112" s="101">
        <f>IFERROR(N(INDEX(tx_Posted,1106)),0)</f>
        <v/>
      </c>
      <c r="I1112" s="58">
        <f>IF(H1112=1,INDEX(tx_DrAcct,1106)&amp;"","")</f>
        <v/>
      </c>
      <c r="J1112" s="95">
        <f>IF(H1112=1,INDEX(tx_DrAmt,1106),0)</f>
        <v/>
      </c>
      <c r="K1112" s="58">
        <f>IF(H1112=1,INDEX(tx_CrAcct,1106)&amp;"","")</f>
        <v/>
      </c>
      <c r="L1112" s="95">
        <f>IF(H1112=1,INDEX(tx_CrAmt,1106),0)</f>
        <v/>
      </c>
      <c r="M1112" s="95">
        <f>IF(H1112=1,INDEX(tx_TaxDr,1106),0)</f>
        <v/>
      </c>
      <c r="N1112" s="95">
        <f>IF(H1112=1,INDEX(tx_TaxCr,1106),0)</f>
        <v/>
      </c>
      <c r="O1112" s="101">
        <f>IF(H1112=1,IF(E1112&lt;FYStart,0,IF(E1112&gt;FYEnd,13,YEAR(E1112)*12+MONTH(E1112)-FYYM+1)),"")</f>
        <v/>
      </c>
      <c r="P1112" s="101">
        <f>IF(H1112=1,IF(IFERROR(INDEX(coa_CF,MATCH(I1112,coa_Name,0)),"")="Cash",1,0),0)</f>
        <v/>
      </c>
      <c r="Q1112" s="101">
        <f>IF(H1112=1,IF(IFERROR(INDEX(coa_CF,MATCH(K1112,coa_Name,0)),"")="Cash",1,0),0)</f>
        <v/>
      </c>
      <c r="R1112" s="58">
        <f>IF((P1112-Q1112)=0,"",IFERROR(INDEX(coa_CF,MATCH(IF((P1112-Q1112)=1,K1112,I1112),coa_Name,0)),"Operating"))</f>
        <v/>
      </c>
      <c r="S1112" s="95">
        <f>IF((P1112-Q1112)=1,L1112,IF((P1112-Q1112)=-1,-J1112,0))</f>
        <v/>
      </c>
      <c r="T1112" s="95">
        <f>IF((P1112-Q1112)=1,N1112,IF((P1112-Q1112)=-1,-M1112,0))</f>
        <v/>
      </c>
      <c r="U1112" s="101">
        <f>IF(AND(H1112=1,LedAcct&lt;&gt;""),IF(AND(E1112&gt;=LedFrom,E1112&lt;=LedTo,OR(I1112=LedAcct,K1112=LedAcct,AND(LedAcct=acctTax,M1112+N1112&lt;&gt;0))),E1112*10000+B1112,""),"")</f>
        <v/>
      </c>
    </row>
    <row r="1113">
      <c r="B1113" s="101" t="n">
        <v>1107</v>
      </c>
      <c r="C1113" s="58" t="inlineStr">
        <is>
          <t>Transaction</t>
        </is>
      </c>
      <c r="D1113" s="58">
        <f>IF(H1113=1,INDEX(tx_ID,1107)&amp;"","")</f>
        <v/>
      </c>
      <c r="E1113" s="94">
        <f>IF(H1113=1,INDEX(tx_Date,1107),"")</f>
        <v/>
      </c>
      <c r="F1113" s="58">
        <f>IF(H1113=1,INDEX(tx_Desc,1107)&amp;"","")</f>
        <v/>
      </c>
      <c r="G1113" s="58">
        <f>IF(H1113=1,IF(INDEX(tx_Cust,1107)&amp;""&lt;&gt;"",INDEX(tx_Cust,1107)&amp;"",INDEX(tx_Vend,1107)&amp;""),"")</f>
        <v/>
      </c>
      <c r="H1113" s="101">
        <f>IFERROR(N(INDEX(tx_Posted,1107)),0)</f>
        <v/>
      </c>
      <c r="I1113" s="58">
        <f>IF(H1113=1,INDEX(tx_DrAcct,1107)&amp;"","")</f>
        <v/>
      </c>
      <c r="J1113" s="95">
        <f>IF(H1113=1,INDEX(tx_DrAmt,1107),0)</f>
        <v/>
      </c>
      <c r="K1113" s="58">
        <f>IF(H1113=1,INDEX(tx_CrAcct,1107)&amp;"","")</f>
        <v/>
      </c>
      <c r="L1113" s="95">
        <f>IF(H1113=1,INDEX(tx_CrAmt,1107),0)</f>
        <v/>
      </c>
      <c r="M1113" s="95">
        <f>IF(H1113=1,INDEX(tx_TaxDr,1107),0)</f>
        <v/>
      </c>
      <c r="N1113" s="95">
        <f>IF(H1113=1,INDEX(tx_TaxCr,1107),0)</f>
        <v/>
      </c>
      <c r="O1113" s="101">
        <f>IF(H1113=1,IF(E1113&lt;FYStart,0,IF(E1113&gt;FYEnd,13,YEAR(E1113)*12+MONTH(E1113)-FYYM+1)),"")</f>
        <v/>
      </c>
      <c r="P1113" s="101">
        <f>IF(H1113=1,IF(IFERROR(INDEX(coa_CF,MATCH(I1113,coa_Name,0)),"")="Cash",1,0),0)</f>
        <v/>
      </c>
      <c r="Q1113" s="101">
        <f>IF(H1113=1,IF(IFERROR(INDEX(coa_CF,MATCH(K1113,coa_Name,0)),"")="Cash",1,0),0)</f>
        <v/>
      </c>
      <c r="R1113" s="58">
        <f>IF((P1113-Q1113)=0,"",IFERROR(INDEX(coa_CF,MATCH(IF((P1113-Q1113)=1,K1113,I1113),coa_Name,0)),"Operating"))</f>
        <v/>
      </c>
      <c r="S1113" s="95">
        <f>IF((P1113-Q1113)=1,L1113,IF((P1113-Q1113)=-1,-J1113,0))</f>
        <v/>
      </c>
      <c r="T1113" s="95">
        <f>IF((P1113-Q1113)=1,N1113,IF((P1113-Q1113)=-1,-M1113,0))</f>
        <v/>
      </c>
      <c r="U1113" s="101">
        <f>IF(AND(H1113=1,LedAcct&lt;&gt;""),IF(AND(E1113&gt;=LedFrom,E1113&lt;=LedTo,OR(I1113=LedAcct,K1113=LedAcct,AND(LedAcct=acctTax,M1113+N1113&lt;&gt;0))),E1113*10000+B1113,""),"")</f>
        <v/>
      </c>
    </row>
    <row r="1114">
      <c r="B1114" s="101" t="n">
        <v>1108</v>
      </c>
      <c r="C1114" s="58" t="inlineStr">
        <is>
          <t>Transaction</t>
        </is>
      </c>
      <c r="D1114" s="58">
        <f>IF(H1114=1,INDEX(tx_ID,1108)&amp;"","")</f>
        <v/>
      </c>
      <c r="E1114" s="94">
        <f>IF(H1114=1,INDEX(tx_Date,1108),"")</f>
        <v/>
      </c>
      <c r="F1114" s="58">
        <f>IF(H1114=1,INDEX(tx_Desc,1108)&amp;"","")</f>
        <v/>
      </c>
      <c r="G1114" s="58">
        <f>IF(H1114=1,IF(INDEX(tx_Cust,1108)&amp;""&lt;&gt;"",INDEX(tx_Cust,1108)&amp;"",INDEX(tx_Vend,1108)&amp;""),"")</f>
        <v/>
      </c>
      <c r="H1114" s="101">
        <f>IFERROR(N(INDEX(tx_Posted,1108)),0)</f>
        <v/>
      </c>
      <c r="I1114" s="58">
        <f>IF(H1114=1,INDEX(tx_DrAcct,1108)&amp;"","")</f>
        <v/>
      </c>
      <c r="J1114" s="95">
        <f>IF(H1114=1,INDEX(tx_DrAmt,1108),0)</f>
        <v/>
      </c>
      <c r="K1114" s="58">
        <f>IF(H1114=1,INDEX(tx_CrAcct,1108)&amp;"","")</f>
        <v/>
      </c>
      <c r="L1114" s="95">
        <f>IF(H1114=1,INDEX(tx_CrAmt,1108),0)</f>
        <v/>
      </c>
      <c r="M1114" s="95">
        <f>IF(H1114=1,INDEX(tx_TaxDr,1108),0)</f>
        <v/>
      </c>
      <c r="N1114" s="95">
        <f>IF(H1114=1,INDEX(tx_TaxCr,1108),0)</f>
        <v/>
      </c>
      <c r="O1114" s="101">
        <f>IF(H1114=1,IF(E1114&lt;FYStart,0,IF(E1114&gt;FYEnd,13,YEAR(E1114)*12+MONTH(E1114)-FYYM+1)),"")</f>
        <v/>
      </c>
      <c r="P1114" s="101">
        <f>IF(H1114=1,IF(IFERROR(INDEX(coa_CF,MATCH(I1114,coa_Name,0)),"")="Cash",1,0),0)</f>
        <v/>
      </c>
      <c r="Q1114" s="101">
        <f>IF(H1114=1,IF(IFERROR(INDEX(coa_CF,MATCH(K1114,coa_Name,0)),"")="Cash",1,0),0)</f>
        <v/>
      </c>
      <c r="R1114" s="58">
        <f>IF((P1114-Q1114)=0,"",IFERROR(INDEX(coa_CF,MATCH(IF((P1114-Q1114)=1,K1114,I1114),coa_Name,0)),"Operating"))</f>
        <v/>
      </c>
      <c r="S1114" s="95">
        <f>IF((P1114-Q1114)=1,L1114,IF((P1114-Q1114)=-1,-J1114,0))</f>
        <v/>
      </c>
      <c r="T1114" s="95">
        <f>IF((P1114-Q1114)=1,N1114,IF((P1114-Q1114)=-1,-M1114,0))</f>
        <v/>
      </c>
      <c r="U1114" s="101">
        <f>IF(AND(H1114=1,LedAcct&lt;&gt;""),IF(AND(E1114&gt;=LedFrom,E1114&lt;=LedTo,OR(I1114=LedAcct,K1114=LedAcct,AND(LedAcct=acctTax,M1114+N1114&lt;&gt;0))),E1114*10000+B1114,""),"")</f>
        <v/>
      </c>
    </row>
    <row r="1115">
      <c r="B1115" s="101" t="n">
        <v>1109</v>
      </c>
      <c r="C1115" s="58" t="inlineStr">
        <is>
          <t>Transaction</t>
        </is>
      </c>
      <c r="D1115" s="58">
        <f>IF(H1115=1,INDEX(tx_ID,1109)&amp;"","")</f>
        <v/>
      </c>
      <c r="E1115" s="94">
        <f>IF(H1115=1,INDEX(tx_Date,1109),"")</f>
        <v/>
      </c>
      <c r="F1115" s="58">
        <f>IF(H1115=1,INDEX(tx_Desc,1109)&amp;"","")</f>
        <v/>
      </c>
      <c r="G1115" s="58">
        <f>IF(H1115=1,IF(INDEX(tx_Cust,1109)&amp;""&lt;&gt;"",INDEX(tx_Cust,1109)&amp;"",INDEX(tx_Vend,1109)&amp;""),"")</f>
        <v/>
      </c>
      <c r="H1115" s="101">
        <f>IFERROR(N(INDEX(tx_Posted,1109)),0)</f>
        <v/>
      </c>
      <c r="I1115" s="58">
        <f>IF(H1115=1,INDEX(tx_DrAcct,1109)&amp;"","")</f>
        <v/>
      </c>
      <c r="J1115" s="95">
        <f>IF(H1115=1,INDEX(tx_DrAmt,1109),0)</f>
        <v/>
      </c>
      <c r="K1115" s="58">
        <f>IF(H1115=1,INDEX(tx_CrAcct,1109)&amp;"","")</f>
        <v/>
      </c>
      <c r="L1115" s="95">
        <f>IF(H1115=1,INDEX(tx_CrAmt,1109),0)</f>
        <v/>
      </c>
      <c r="M1115" s="95">
        <f>IF(H1115=1,INDEX(tx_TaxDr,1109),0)</f>
        <v/>
      </c>
      <c r="N1115" s="95">
        <f>IF(H1115=1,INDEX(tx_TaxCr,1109),0)</f>
        <v/>
      </c>
      <c r="O1115" s="101">
        <f>IF(H1115=1,IF(E1115&lt;FYStart,0,IF(E1115&gt;FYEnd,13,YEAR(E1115)*12+MONTH(E1115)-FYYM+1)),"")</f>
        <v/>
      </c>
      <c r="P1115" s="101">
        <f>IF(H1115=1,IF(IFERROR(INDEX(coa_CF,MATCH(I1115,coa_Name,0)),"")="Cash",1,0),0)</f>
        <v/>
      </c>
      <c r="Q1115" s="101">
        <f>IF(H1115=1,IF(IFERROR(INDEX(coa_CF,MATCH(K1115,coa_Name,0)),"")="Cash",1,0),0)</f>
        <v/>
      </c>
      <c r="R1115" s="58">
        <f>IF((P1115-Q1115)=0,"",IFERROR(INDEX(coa_CF,MATCH(IF((P1115-Q1115)=1,K1115,I1115),coa_Name,0)),"Operating"))</f>
        <v/>
      </c>
      <c r="S1115" s="95">
        <f>IF((P1115-Q1115)=1,L1115,IF((P1115-Q1115)=-1,-J1115,0))</f>
        <v/>
      </c>
      <c r="T1115" s="95">
        <f>IF((P1115-Q1115)=1,N1115,IF((P1115-Q1115)=-1,-M1115,0))</f>
        <v/>
      </c>
      <c r="U1115" s="101">
        <f>IF(AND(H1115=1,LedAcct&lt;&gt;""),IF(AND(E1115&gt;=LedFrom,E1115&lt;=LedTo,OR(I1115=LedAcct,K1115=LedAcct,AND(LedAcct=acctTax,M1115+N1115&lt;&gt;0))),E1115*10000+B1115,""),"")</f>
        <v/>
      </c>
    </row>
    <row r="1116">
      <c r="B1116" s="101" t="n">
        <v>1110</v>
      </c>
      <c r="C1116" s="58" t="inlineStr">
        <is>
          <t>Transaction</t>
        </is>
      </c>
      <c r="D1116" s="58">
        <f>IF(H1116=1,INDEX(tx_ID,1110)&amp;"","")</f>
        <v/>
      </c>
      <c r="E1116" s="94">
        <f>IF(H1116=1,INDEX(tx_Date,1110),"")</f>
        <v/>
      </c>
      <c r="F1116" s="58">
        <f>IF(H1116=1,INDEX(tx_Desc,1110)&amp;"","")</f>
        <v/>
      </c>
      <c r="G1116" s="58">
        <f>IF(H1116=1,IF(INDEX(tx_Cust,1110)&amp;""&lt;&gt;"",INDEX(tx_Cust,1110)&amp;"",INDEX(tx_Vend,1110)&amp;""),"")</f>
        <v/>
      </c>
      <c r="H1116" s="101">
        <f>IFERROR(N(INDEX(tx_Posted,1110)),0)</f>
        <v/>
      </c>
      <c r="I1116" s="58">
        <f>IF(H1116=1,INDEX(tx_DrAcct,1110)&amp;"","")</f>
        <v/>
      </c>
      <c r="J1116" s="95">
        <f>IF(H1116=1,INDEX(tx_DrAmt,1110),0)</f>
        <v/>
      </c>
      <c r="K1116" s="58">
        <f>IF(H1116=1,INDEX(tx_CrAcct,1110)&amp;"","")</f>
        <v/>
      </c>
      <c r="L1116" s="95">
        <f>IF(H1116=1,INDEX(tx_CrAmt,1110),0)</f>
        <v/>
      </c>
      <c r="M1116" s="95">
        <f>IF(H1116=1,INDEX(tx_TaxDr,1110),0)</f>
        <v/>
      </c>
      <c r="N1116" s="95">
        <f>IF(H1116=1,INDEX(tx_TaxCr,1110),0)</f>
        <v/>
      </c>
      <c r="O1116" s="101">
        <f>IF(H1116=1,IF(E1116&lt;FYStart,0,IF(E1116&gt;FYEnd,13,YEAR(E1116)*12+MONTH(E1116)-FYYM+1)),"")</f>
        <v/>
      </c>
      <c r="P1116" s="101">
        <f>IF(H1116=1,IF(IFERROR(INDEX(coa_CF,MATCH(I1116,coa_Name,0)),"")="Cash",1,0),0)</f>
        <v/>
      </c>
      <c r="Q1116" s="101">
        <f>IF(H1116=1,IF(IFERROR(INDEX(coa_CF,MATCH(K1116,coa_Name,0)),"")="Cash",1,0),0)</f>
        <v/>
      </c>
      <c r="R1116" s="58">
        <f>IF((P1116-Q1116)=0,"",IFERROR(INDEX(coa_CF,MATCH(IF((P1116-Q1116)=1,K1116,I1116),coa_Name,0)),"Operating"))</f>
        <v/>
      </c>
      <c r="S1116" s="95">
        <f>IF((P1116-Q1116)=1,L1116,IF((P1116-Q1116)=-1,-J1116,0))</f>
        <v/>
      </c>
      <c r="T1116" s="95">
        <f>IF((P1116-Q1116)=1,N1116,IF((P1116-Q1116)=-1,-M1116,0))</f>
        <v/>
      </c>
      <c r="U1116" s="101">
        <f>IF(AND(H1116=1,LedAcct&lt;&gt;""),IF(AND(E1116&gt;=LedFrom,E1116&lt;=LedTo,OR(I1116=LedAcct,K1116=LedAcct,AND(LedAcct=acctTax,M1116+N1116&lt;&gt;0))),E1116*10000+B1116,""),"")</f>
        <v/>
      </c>
    </row>
    <row r="1117">
      <c r="B1117" s="101" t="n">
        <v>1111</v>
      </c>
      <c r="C1117" s="58" t="inlineStr">
        <is>
          <t>Transaction</t>
        </is>
      </c>
      <c r="D1117" s="58">
        <f>IF(H1117=1,INDEX(tx_ID,1111)&amp;"","")</f>
        <v/>
      </c>
      <c r="E1117" s="94">
        <f>IF(H1117=1,INDEX(tx_Date,1111),"")</f>
        <v/>
      </c>
      <c r="F1117" s="58">
        <f>IF(H1117=1,INDEX(tx_Desc,1111)&amp;"","")</f>
        <v/>
      </c>
      <c r="G1117" s="58">
        <f>IF(H1117=1,IF(INDEX(tx_Cust,1111)&amp;""&lt;&gt;"",INDEX(tx_Cust,1111)&amp;"",INDEX(tx_Vend,1111)&amp;""),"")</f>
        <v/>
      </c>
      <c r="H1117" s="101">
        <f>IFERROR(N(INDEX(tx_Posted,1111)),0)</f>
        <v/>
      </c>
      <c r="I1117" s="58">
        <f>IF(H1117=1,INDEX(tx_DrAcct,1111)&amp;"","")</f>
        <v/>
      </c>
      <c r="J1117" s="95">
        <f>IF(H1117=1,INDEX(tx_DrAmt,1111),0)</f>
        <v/>
      </c>
      <c r="K1117" s="58">
        <f>IF(H1117=1,INDEX(tx_CrAcct,1111)&amp;"","")</f>
        <v/>
      </c>
      <c r="L1117" s="95">
        <f>IF(H1117=1,INDEX(tx_CrAmt,1111),0)</f>
        <v/>
      </c>
      <c r="M1117" s="95">
        <f>IF(H1117=1,INDEX(tx_TaxDr,1111),0)</f>
        <v/>
      </c>
      <c r="N1117" s="95">
        <f>IF(H1117=1,INDEX(tx_TaxCr,1111),0)</f>
        <v/>
      </c>
      <c r="O1117" s="101">
        <f>IF(H1117=1,IF(E1117&lt;FYStart,0,IF(E1117&gt;FYEnd,13,YEAR(E1117)*12+MONTH(E1117)-FYYM+1)),"")</f>
        <v/>
      </c>
      <c r="P1117" s="101">
        <f>IF(H1117=1,IF(IFERROR(INDEX(coa_CF,MATCH(I1117,coa_Name,0)),"")="Cash",1,0),0)</f>
        <v/>
      </c>
      <c r="Q1117" s="101">
        <f>IF(H1117=1,IF(IFERROR(INDEX(coa_CF,MATCH(K1117,coa_Name,0)),"")="Cash",1,0),0)</f>
        <v/>
      </c>
      <c r="R1117" s="58">
        <f>IF((P1117-Q1117)=0,"",IFERROR(INDEX(coa_CF,MATCH(IF((P1117-Q1117)=1,K1117,I1117),coa_Name,0)),"Operating"))</f>
        <v/>
      </c>
      <c r="S1117" s="95">
        <f>IF((P1117-Q1117)=1,L1117,IF((P1117-Q1117)=-1,-J1117,0))</f>
        <v/>
      </c>
      <c r="T1117" s="95">
        <f>IF((P1117-Q1117)=1,N1117,IF((P1117-Q1117)=-1,-M1117,0))</f>
        <v/>
      </c>
      <c r="U1117" s="101">
        <f>IF(AND(H1117=1,LedAcct&lt;&gt;""),IF(AND(E1117&gt;=LedFrom,E1117&lt;=LedTo,OR(I1117=LedAcct,K1117=LedAcct,AND(LedAcct=acctTax,M1117+N1117&lt;&gt;0))),E1117*10000+B1117,""),"")</f>
        <v/>
      </c>
    </row>
    <row r="1118">
      <c r="B1118" s="101" t="n">
        <v>1112</v>
      </c>
      <c r="C1118" s="58" t="inlineStr">
        <is>
          <t>Transaction</t>
        </is>
      </c>
      <c r="D1118" s="58">
        <f>IF(H1118=1,INDEX(tx_ID,1112)&amp;"","")</f>
        <v/>
      </c>
      <c r="E1118" s="94">
        <f>IF(H1118=1,INDEX(tx_Date,1112),"")</f>
        <v/>
      </c>
      <c r="F1118" s="58">
        <f>IF(H1118=1,INDEX(tx_Desc,1112)&amp;"","")</f>
        <v/>
      </c>
      <c r="G1118" s="58">
        <f>IF(H1118=1,IF(INDEX(tx_Cust,1112)&amp;""&lt;&gt;"",INDEX(tx_Cust,1112)&amp;"",INDEX(tx_Vend,1112)&amp;""),"")</f>
        <v/>
      </c>
      <c r="H1118" s="101">
        <f>IFERROR(N(INDEX(tx_Posted,1112)),0)</f>
        <v/>
      </c>
      <c r="I1118" s="58">
        <f>IF(H1118=1,INDEX(tx_DrAcct,1112)&amp;"","")</f>
        <v/>
      </c>
      <c r="J1118" s="95">
        <f>IF(H1118=1,INDEX(tx_DrAmt,1112),0)</f>
        <v/>
      </c>
      <c r="K1118" s="58">
        <f>IF(H1118=1,INDEX(tx_CrAcct,1112)&amp;"","")</f>
        <v/>
      </c>
      <c r="L1118" s="95">
        <f>IF(H1118=1,INDEX(tx_CrAmt,1112),0)</f>
        <v/>
      </c>
      <c r="M1118" s="95">
        <f>IF(H1118=1,INDEX(tx_TaxDr,1112),0)</f>
        <v/>
      </c>
      <c r="N1118" s="95">
        <f>IF(H1118=1,INDEX(tx_TaxCr,1112),0)</f>
        <v/>
      </c>
      <c r="O1118" s="101">
        <f>IF(H1118=1,IF(E1118&lt;FYStart,0,IF(E1118&gt;FYEnd,13,YEAR(E1118)*12+MONTH(E1118)-FYYM+1)),"")</f>
        <v/>
      </c>
      <c r="P1118" s="101">
        <f>IF(H1118=1,IF(IFERROR(INDEX(coa_CF,MATCH(I1118,coa_Name,0)),"")="Cash",1,0),0)</f>
        <v/>
      </c>
      <c r="Q1118" s="101">
        <f>IF(H1118=1,IF(IFERROR(INDEX(coa_CF,MATCH(K1118,coa_Name,0)),"")="Cash",1,0),0)</f>
        <v/>
      </c>
      <c r="R1118" s="58">
        <f>IF((P1118-Q1118)=0,"",IFERROR(INDEX(coa_CF,MATCH(IF((P1118-Q1118)=1,K1118,I1118),coa_Name,0)),"Operating"))</f>
        <v/>
      </c>
      <c r="S1118" s="95">
        <f>IF((P1118-Q1118)=1,L1118,IF((P1118-Q1118)=-1,-J1118,0))</f>
        <v/>
      </c>
      <c r="T1118" s="95">
        <f>IF((P1118-Q1118)=1,N1118,IF((P1118-Q1118)=-1,-M1118,0))</f>
        <v/>
      </c>
      <c r="U1118" s="101">
        <f>IF(AND(H1118=1,LedAcct&lt;&gt;""),IF(AND(E1118&gt;=LedFrom,E1118&lt;=LedTo,OR(I1118=LedAcct,K1118=LedAcct,AND(LedAcct=acctTax,M1118+N1118&lt;&gt;0))),E1118*10000+B1118,""),"")</f>
        <v/>
      </c>
    </row>
    <row r="1119">
      <c r="B1119" s="101" t="n">
        <v>1113</v>
      </c>
      <c r="C1119" s="58" t="inlineStr">
        <is>
          <t>Transaction</t>
        </is>
      </c>
      <c r="D1119" s="58">
        <f>IF(H1119=1,INDEX(tx_ID,1113)&amp;"","")</f>
        <v/>
      </c>
      <c r="E1119" s="94">
        <f>IF(H1119=1,INDEX(tx_Date,1113),"")</f>
        <v/>
      </c>
      <c r="F1119" s="58">
        <f>IF(H1119=1,INDEX(tx_Desc,1113)&amp;"","")</f>
        <v/>
      </c>
      <c r="G1119" s="58">
        <f>IF(H1119=1,IF(INDEX(tx_Cust,1113)&amp;""&lt;&gt;"",INDEX(tx_Cust,1113)&amp;"",INDEX(tx_Vend,1113)&amp;""),"")</f>
        <v/>
      </c>
      <c r="H1119" s="101">
        <f>IFERROR(N(INDEX(tx_Posted,1113)),0)</f>
        <v/>
      </c>
      <c r="I1119" s="58">
        <f>IF(H1119=1,INDEX(tx_DrAcct,1113)&amp;"","")</f>
        <v/>
      </c>
      <c r="J1119" s="95">
        <f>IF(H1119=1,INDEX(tx_DrAmt,1113),0)</f>
        <v/>
      </c>
      <c r="K1119" s="58">
        <f>IF(H1119=1,INDEX(tx_CrAcct,1113)&amp;"","")</f>
        <v/>
      </c>
      <c r="L1119" s="95">
        <f>IF(H1119=1,INDEX(tx_CrAmt,1113),0)</f>
        <v/>
      </c>
      <c r="M1119" s="95">
        <f>IF(H1119=1,INDEX(tx_TaxDr,1113),0)</f>
        <v/>
      </c>
      <c r="N1119" s="95">
        <f>IF(H1119=1,INDEX(tx_TaxCr,1113),0)</f>
        <v/>
      </c>
      <c r="O1119" s="101">
        <f>IF(H1119=1,IF(E1119&lt;FYStart,0,IF(E1119&gt;FYEnd,13,YEAR(E1119)*12+MONTH(E1119)-FYYM+1)),"")</f>
        <v/>
      </c>
      <c r="P1119" s="101">
        <f>IF(H1119=1,IF(IFERROR(INDEX(coa_CF,MATCH(I1119,coa_Name,0)),"")="Cash",1,0),0)</f>
        <v/>
      </c>
      <c r="Q1119" s="101">
        <f>IF(H1119=1,IF(IFERROR(INDEX(coa_CF,MATCH(K1119,coa_Name,0)),"")="Cash",1,0),0)</f>
        <v/>
      </c>
      <c r="R1119" s="58">
        <f>IF((P1119-Q1119)=0,"",IFERROR(INDEX(coa_CF,MATCH(IF((P1119-Q1119)=1,K1119,I1119),coa_Name,0)),"Operating"))</f>
        <v/>
      </c>
      <c r="S1119" s="95">
        <f>IF((P1119-Q1119)=1,L1119,IF((P1119-Q1119)=-1,-J1119,0))</f>
        <v/>
      </c>
      <c r="T1119" s="95">
        <f>IF((P1119-Q1119)=1,N1119,IF((P1119-Q1119)=-1,-M1119,0))</f>
        <v/>
      </c>
      <c r="U1119" s="101">
        <f>IF(AND(H1119=1,LedAcct&lt;&gt;""),IF(AND(E1119&gt;=LedFrom,E1119&lt;=LedTo,OR(I1119=LedAcct,K1119=LedAcct,AND(LedAcct=acctTax,M1119+N1119&lt;&gt;0))),E1119*10000+B1119,""),"")</f>
        <v/>
      </c>
    </row>
    <row r="1120">
      <c r="B1120" s="101" t="n">
        <v>1114</v>
      </c>
      <c r="C1120" s="58" t="inlineStr">
        <is>
          <t>Transaction</t>
        </is>
      </c>
      <c r="D1120" s="58">
        <f>IF(H1120=1,INDEX(tx_ID,1114)&amp;"","")</f>
        <v/>
      </c>
      <c r="E1120" s="94">
        <f>IF(H1120=1,INDEX(tx_Date,1114),"")</f>
        <v/>
      </c>
      <c r="F1120" s="58">
        <f>IF(H1120=1,INDEX(tx_Desc,1114)&amp;"","")</f>
        <v/>
      </c>
      <c r="G1120" s="58">
        <f>IF(H1120=1,IF(INDEX(tx_Cust,1114)&amp;""&lt;&gt;"",INDEX(tx_Cust,1114)&amp;"",INDEX(tx_Vend,1114)&amp;""),"")</f>
        <v/>
      </c>
      <c r="H1120" s="101">
        <f>IFERROR(N(INDEX(tx_Posted,1114)),0)</f>
        <v/>
      </c>
      <c r="I1120" s="58">
        <f>IF(H1120=1,INDEX(tx_DrAcct,1114)&amp;"","")</f>
        <v/>
      </c>
      <c r="J1120" s="95">
        <f>IF(H1120=1,INDEX(tx_DrAmt,1114),0)</f>
        <v/>
      </c>
      <c r="K1120" s="58">
        <f>IF(H1120=1,INDEX(tx_CrAcct,1114)&amp;"","")</f>
        <v/>
      </c>
      <c r="L1120" s="95">
        <f>IF(H1120=1,INDEX(tx_CrAmt,1114),0)</f>
        <v/>
      </c>
      <c r="M1120" s="95">
        <f>IF(H1120=1,INDEX(tx_TaxDr,1114),0)</f>
        <v/>
      </c>
      <c r="N1120" s="95">
        <f>IF(H1120=1,INDEX(tx_TaxCr,1114),0)</f>
        <v/>
      </c>
      <c r="O1120" s="101">
        <f>IF(H1120=1,IF(E1120&lt;FYStart,0,IF(E1120&gt;FYEnd,13,YEAR(E1120)*12+MONTH(E1120)-FYYM+1)),"")</f>
        <v/>
      </c>
      <c r="P1120" s="101">
        <f>IF(H1120=1,IF(IFERROR(INDEX(coa_CF,MATCH(I1120,coa_Name,0)),"")="Cash",1,0),0)</f>
        <v/>
      </c>
      <c r="Q1120" s="101">
        <f>IF(H1120=1,IF(IFERROR(INDEX(coa_CF,MATCH(K1120,coa_Name,0)),"")="Cash",1,0),0)</f>
        <v/>
      </c>
      <c r="R1120" s="58">
        <f>IF((P1120-Q1120)=0,"",IFERROR(INDEX(coa_CF,MATCH(IF((P1120-Q1120)=1,K1120,I1120),coa_Name,0)),"Operating"))</f>
        <v/>
      </c>
      <c r="S1120" s="95">
        <f>IF((P1120-Q1120)=1,L1120,IF((P1120-Q1120)=-1,-J1120,0))</f>
        <v/>
      </c>
      <c r="T1120" s="95">
        <f>IF((P1120-Q1120)=1,N1120,IF((P1120-Q1120)=-1,-M1120,0))</f>
        <v/>
      </c>
      <c r="U1120" s="101">
        <f>IF(AND(H1120=1,LedAcct&lt;&gt;""),IF(AND(E1120&gt;=LedFrom,E1120&lt;=LedTo,OR(I1120=LedAcct,K1120=LedAcct,AND(LedAcct=acctTax,M1120+N1120&lt;&gt;0))),E1120*10000+B1120,""),"")</f>
        <v/>
      </c>
    </row>
    <row r="1121">
      <c r="B1121" s="101" t="n">
        <v>1115</v>
      </c>
      <c r="C1121" s="58" t="inlineStr">
        <is>
          <t>Transaction</t>
        </is>
      </c>
      <c r="D1121" s="58">
        <f>IF(H1121=1,INDEX(tx_ID,1115)&amp;"","")</f>
        <v/>
      </c>
      <c r="E1121" s="94">
        <f>IF(H1121=1,INDEX(tx_Date,1115),"")</f>
        <v/>
      </c>
      <c r="F1121" s="58">
        <f>IF(H1121=1,INDEX(tx_Desc,1115)&amp;"","")</f>
        <v/>
      </c>
      <c r="G1121" s="58">
        <f>IF(H1121=1,IF(INDEX(tx_Cust,1115)&amp;""&lt;&gt;"",INDEX(tx_Cust,1115)&amp;"",INDEX(tx_Vend,1115)&amp;""),"")</f>
        <v/>
      </c>
      <c r="H1121" s="101">
        <f>IFERROR(N(INDEX(tx_Posted,1115)),0)</f>
        <v/>
      </c>
      <c r="I1121" s="58">
        <f>IF(H1121=1,INDEX(tx_DrAcct,1115)&amp;"","")</f>
        <v/>
      </c>
      <c r="J1121" s="95">
        <f>IF(H1121=1,INDEX(tx_DrAmt,1115),0)</f>
        <v/>
      </c>
      <c r="K1121" s="58">
        <f>IF(H1121=1,INDEX(tx_CrAcct,1115)&amp;"","")</f>
        <v/>
      </c>
      <c r="L1121" s="95">
        <f>IF(H1121=1,INDEX(tx_CrAmt,1115),0)</f>
        <v/>
      </c>
      <c r="M1121" s="95">
        <f>IF(H1121=1,INDEX(tx_TaxDr,1115),0)</f>
        <v/>
      </c>
      <c r="N1121" s="95">
        <f>IF(H1121=1,INDEX(tx_TaxCr,1115),0)</f>
        <v/>
      </c>
      <c r="O1121" s="101">
        <f>IF(H1121=1,IF(E1121&lt;FYStart,0,IF(E1121&gt;FYEnd,13,YEAR(E1121)*12+MONTH(E1121)-FYYM+1)),"")</f>
        <v/>
      </c>
      <c r="P1121" s="101">
        <f>IF(H1121=1,IF(IFERROR(INDEX(coa_CF,MATCH(I1121,coa_Name,0)),"")="Cash",1,0),0)</f>
        <v/>
      </c>
      <c r="Q1121" s="101">
        <f>IF(H1121=1,IF(IFERROR(INDEX(coa_CF,MATCH(K1121,coa_Name,0)),"")="Cash",1,0),0)</f>
        <v/>
      </c>
      <c r="R1121" s="58">
        <f>IF((P1121-Q1121)=0,"",IFERROR(INDEX(coa_CF,MATCH(IF((P1121-Q1121)=1,K1121,I1121),coa_Name,0)),"Operating"))</f>
        <v/>
      </c>
      <c r="S1121" s="95">
        <f>IF((P1121-Q1121)=1,L1121,IF((P1121-Q1121)=-1,-J1121,0))</f>
        <v/>
      </c>
      <c r="T1121" s="95">
        <f>IF((P1121-Q1121)=1,N1121,IF((P1121-Q1121)=-1,-M1121,0))</f>
        <v/>
      </c>
      <c r="U1121" s="101">
        <f>IF(AND(H1121=1,LedAcct&lt;&gt;""),IF(AND(E1121&gt;=LedFrom,E1121&lt;=LedTo,OR(I1121=LedAcct,K1121=LedAcct,AND(LedAcct=acctTax,M1121+N1121&lt;&gt;0))),E1121*10000+B1121,""),"")</f>
        <v/>
      </c>
    </row>
    <row r="1122">
      <c r="B1122" s="101" t="n">
        <v>1116</v>
      </c>
      <c r="C1122" s="58" t="inlineStr">
        <is>
          <t>Transaction</t>
        </is>
      </c>
      <c r="D1122" s="58">
        <f>IF(H1122=1,INDEX(tx_ID,1116)&amp;"","")</f>
        <v/>
      </c>
      <c r="E1122" s="94">
        <f>IF(H1122=1,INDEX(tx_Date,1116),"")</f>
        <v/>
      </c>
      <c r="F1122" s="58">
        <f>IF(H1122=1,INDEX(tx_Desc,1116)&amp;"","")</f>
        <v/>
      </c>
      <c r="G1122" s="58">
        <f>IF(H1122=1,IF(INDEX(tx_Cust,1116)&amp;""&lt;&gt;"",INDEX(tx_Cust,1116)&amp;"",INDEX(tx_Vend,1116)&amp;""),"")</f>
        <v/>
      </c>
      <c r="H1122" s="101">
        <f>IFERROR(N(INDEX(tx_Posted,1116)),0)</f>
        <v/>
      </c>
      <c r="I1122" s="58">
        <f>IF(H1122=1,INDEX(tx_DrAcct,1116)&amp;"","")</f>
        <v/>
      </c>
      <c r="J1122" s="95">
        <f>IF(H1122=1,INDEX(tx_DrAmt,1116),0)</f>
        <v/>
      </c>
      <c r="K1122" s="58">
        <f>IF(H1122=1,INDEX(tx_CrAcct,1116)&amp;"","")</f>
        <v/>
      </c>
      <c r="L1122" s="95">
        <f>IF(H1122=1,INDEX(tx_CrAmt,1116),0)</f>
        <v/>
      </c>
      <c r="M1122" s="95">
        <f>IF(H1122=1,INDEX(tx_TaxDr,1116),0)</f>
        <v/>
      </c>
      <c r="N1122" s="95">
        <f>IF(H1122=1,INDEX(tx_TaxCr,1116),0)</f>
        <v/>
      </c>
      <c r="O1122" s="101">
        <f>IF(H1122=1,IF(E1122&lt;FYStart,0,IF(E1122&gt;FYEnd,13,YEAR(E1122)*12+MONTH(E1122)-FYYM+1)),"")</f>
        <v/>
      </c>
      <c r="P1122" s="101">
        <f>IF(H1122=1,IF(IFERROR(INDEX(coa_CF,MATCH(I1122,coa_Name,0)),"")="Cash",1,0),0)</f>
        <v/>
      </c>
      <c r="Q1122" s="101">
        <f>IF(H1122=1,IF(IFERROR(INDEX(coa_CF,MATCH(K1122,coa_Name,0)),"")="Cash",1,0),0)</f>
        <v/>
      </c>
      <c r="R1122" s="58">
        <f>IF((P1122-Q1122)=0,"",IFERROR(INDEX(coa_CF,MATCH(IF((P1122-Q1122)=1,K1122,I1122),coa_Name,0)),"Operating"))</f>
        <v/>
      </c>
      <c r="S1122" s="95">
        <f>IF((P1122-Q1122)=1,L1122,IF((P1122-Q1122)=-1,-J1122,0))</f>
        <v/>
      </c>
      <c r="T1122" s="95">
        <f>IF((P1122-Q1122)=1,N1122,IF((P1122-Q1122)=-1,-M1122,0))</f>
        <v/>
      </c>
      <c r="U1122" s="101">
        <f>IF(AND(H1122=1,LedAcct&lt;&gt;""),IF(AND(E1122&gt;=LedFrom,E1122&lt;=LedTo,OR(I1122=LedAcct,K1122=LedAcct,AND(LedAcct=acctTax,M1122+N1122&lt;&gt;0))),E1122*10000+B1122,""),"")</f>
        <v/>
      </c>
    </row>
    <row r="1123">
      <c r="B1123" s="101" t="n">
        <v>1117</v>
      </c>
      <c r="C1123" s="58" t="inlineStr">
        <is>
          <t>Transaction</t>
        </is>
      </c>
      <c r="D1123" s="58">
        <f>IF(H1123=1,INDEX(tx_ID,1117)&amp;"","")</f>
        <v/>
      </c>
      <c r="E1123" s="94">
        <f>IF(H1123=1,INDEX(tx_Date,1117),"")</f>
        <v/>
      </c>
      <c r="F1123" s="58">
        <f>IF(H1123=1,INDEX(tx_Desc,1117)&amp;"","")</f>
        <v/>
      </c>
      <c r="G1123" s="58">
        <f>IF(H1123=1,IF(INDEX(tx_Cust,1117)&amp;""&lt;&gt;"",INDEX(tx_Cust,1117)&amp;"",INDEX(tx_Vend,1117)&amp;""),"")</f>
        <v/>
      </c>
      <c r="H1123" s="101">
        <f>IFERROR(N(INDEX(tx_Posted,1117)),0)</f>
        <v/>
      </c>
      <c r="I1123" s="58">
        <f>IF(H1123=1,INDEX(tx_DrAcct,1117)&amp;"","")</f>
        <v/>
      </c>
      <c r="J1123" s="95">
        <f>IF(H1123=1,INDEX(tx_DrAmt,1117),0)</f>
        <v/>
      </c>
      <c r="K1123" s="58">
        <f>IF(H1123=1,INDEX(tx_CrAcct,1117)&amp;"","")</f>
        <v/>
      </c>
      <c r="L1123" s="95">
        <f>IF(H1123=1,INDEX(tx_CrAmt,1117),0)</f>
        <v/>
      </c>
      <c r="M1123" s="95">
        <f>IF(H1123=1,INDEX(tx_TaxDr,1117),0)</f>
        <v/>
      </c>
      <c r="N1123" s="95">
        <f>IF(H1123=1,INDEX(tx_TaxCr,1117),0)</f>
        <v/>
      </c>
      <c r="O1123" s="101">
        <f>IF(H1123=1,IF(E1123&lt;FYStart,0,IF(E1123&gt;FYEnd,13,YEAR(E1123)*12+MONTH(E1123)-FYYM+1)),"")</f>
        <v/>
      </c>
      <c r="P1123" s="101">
        <f>IF(H1123=1,IF(IFERROR(INDEX(coa_CF,MATCH(I1123,coa_Name,0)),"")="Cash",1,0),0)</f>
        <v/>
      </c>
      <c r="Q1123" s="101">
        <f>IF(H1123=1,IF(IFERROR(INDEX(coa_CF,MATCH(K1123,coa_Name,0)),"")="Cash",1,0),0)</f>
        <v/>
      </c>
      <c r="R1123" s="58">
        <f>IF((P1123-Q1123)=0,"",IFERROR(INDEX(coa_CF,MATCH(IF((P1123-Q1123)=1,K1123,I1123),coa_Name,0)),"Operating"))</f>
        <v/>
      </c>
      <c r="S1123" s="95">
        <f>IF((P1123-Q1123)=1,L1123,IF((P1123-Q1123)=-1,-J1123,0))</f>
        <v/>
      </c>
      <c r="T1123" s="95">
        <f>IF((P1123-Q1123)=1,N1123,IF((P1123-Q1123)=-1,-M1123,0))</f>
        <v/>
      </c>
      <c r="U1123" s="101">
        <f>IF(AND(H1123=1,LedAcct&lt;&gt;""),IF(AND(E1123&gt;=LedFrom,E1123&lt;=LedTo,OR(I1123=LedAcct,K1123=LedAcct,AND(LedAcct=acctTax,M1123+N1123&lt;&gt;0))),E1123*10000+B1123,""),"")</f>
        <v/>
      </c>
    </row>
    <row r="1124">
      <c r="B1124" s="101" t="n">
        <v>1118</v>
      </c>
      <c r="C1124" s="58" t="inlineStr">
        <is>
          <t>Transaction</t>
        </is>
      </c>
      <c r="D1124" s="58">
        <f>IF(H1124=1,INDEX(tx_ID,1118)&amp;"","")</f>
        <v/>
      </c>
      <c r="E1124" s="94">
        <f>IF(H1124=1,INDEX(tx_Date,1118),"")</f>
        <v/>
      </c>
      <c r="F1124" s="58">
        <f>IF(H1124=1,INDEX(tx_Desc,1118)&amp;"","")</f>
        <v/>
      </c>
      <c r="G1124" s="58">
        <f>IF(H1124=1,IF(INDEX(tx_Cust,1118)&amp;""&lt;&gt;"",INDEX(tx_Cust,1118)&amp;"",INDEX(tx_Vend,1118)&amp;""),"")</f>
        <v/>
      </c>
      <c r="H1124" s="101">
        <f>IFERROR(N(INDEX(tx_Posted,1118)),0)</f>
        <v/>
      </c>
      <c r="I1124" s="58">
        <f>IF(H1124=1,INDEX(tx_DrAcct,1118)&amp;"","")</f>
        <v/>
      </c>
      <c r="J1124" s="95">
        <f>IF(H1124=1,INDEX(tx_DrAmt,1118),0)</f>
        <v/>
      </c>
      <c r="K1124" s="58">
        <f>IF(H1124=1,INDEX(tx_CrAcct,1118)&amp;"","")</f>
        <v/>
      </c>
      <c r="L1124" s="95">
        <f>IF(H1124=1,INDEX(tx_CrAmt,1118),0)</f>
        <v/>
      </c>
      <c r="M1124" s="95">
        <f>IF(H1124=1,INDEX(tx_TaxDr,1118),0)</f>
        <v/>
      </c>
      <c r="N1124" s="95">
        <f>IF(H1124=1,INDEX(tx_TaxCr,1118),0)</f>
        <v/>
      </c>
      <c r="O1124" s="101">
        <f>IF(H1124=1,IF(E1124&lt;FYStart,0,IF(E1124&gt;FYEnd,13,YEAR(E1124)*12+MONTH(E1124)-FYYM+1)),"")</f>
        <v/>
      </c>
      <c r="P1124" s="101">
        <f>IF(H1124=1,IF(IFERROR(INDEX(coa_CF,MATCH(I1124,coa_Name,0)),"")="Cash",1,0),0)</f>
        <v/>
      </c>
      <c r="Q1124" s="101">
        <f>IF(H1124=1,IF(IFERROR(INDEX(coa_CF,MATCH(K1124,coa_Name,0)),"")="Cash",1,0),0)</f>
        <v/>
      </c>
      <c r="R1124" s="58">
        <f>IF((P1124-Q1124)=0,"",IFERROR(INDEX(coa_CF,MATCH(IF((P1124-Q1124)=1,K1124,I1124),coa_Name,0)),"Operating"))</f>
        <v/>
      </c>
      <c r="S1124" s="95">
        <f>IF((P1124-Q1124)=1,L1124,IF((P1124-Q1124)=-1,-J1124,0))</f>
        <v/>
      </c>
      <c r="T1124" s="95">
        <f>IF((P1124-Q1124)=1,N1124,IF((P1124-Q1124)=-1,-M1124,0))</f>
        <v/>
      </c>
      <c r="U1124" s="101">
        <f>IF(AND(H1124=1,LedAcct&lt;&gt;""),IF(AND(E1124&gt;=LedFrom,E1124&lt;=LedTo,OR(I1124=LedAcct,K1124=LedAcct,AND(LedAcct=acctTax,M1124+N1124&lt;&gt;0))),E1124*10000+B1124,""),"")</f>
        <v/>
      </c>
    </row>
    <row r="1125">
      <c r="B1125" s="101" t="n">
        <v>1119</v>
      </c>
      <c r="C1125" s="58" t="inlineStr">
        <is>
          <t>Transaction</t>
        </is>
      </c>
      <c r="D1125" s="58">
        <f>IF(H1125=1,INDEX(tx_ID,1119)&amp;"","")</f>
        <v/>
      </c>
      <c r="E1125" s="94">
        <f>IF(H1125=1,INDEX(tx_Date,1119),"")</f>
        <v/>
      </c>
      <c r="F1125" s="58">
        <f>IF(H1125=1,INDEX(tx_Desc,1119)&amp;"","")</f>
        <v/>
      </c>
      <c r="G1125" s="58">
        <f>IF(H1125=1,IF(INDEX(tx_Cust,1119)&amp;""&lt;&gt;"",INDEX(tx_Cust,1119)&amp;"",INDEX(tx_Vend,1119)&amp;""),"")</f>
        <v/>
      </c>
      <c r="H1125" s="101">
        <f>IFERROR(N(INDEX(tx_Posted,1119)),0)</f>
        <v/>
      </c>
      <c r="I1125" s="58">
        <f>IF(H1125=1,INDEX(tx_DrAcct,1119)&amp;"","")</f>
        <v/>
      </c>
      <c r="J1125" s="95">
        <f>IF(H1125=1,INDEX(tx_DrAmt,1119),0)</f>
        <v/>
      </c>
      <c r="K1125" s="58">
        <f>IF(H1125=1,INDEX(tx_CrAcct,1119)&amp;"","")</f>
        <v/>
      </c>
      <c r="L1125" s="95">
        <f>IF(H1125=1,INDEX(tx_CrAmt,1119),0)</f>
        <v/>
      </c>
      <c r="M1125" s="95">
        <f>IF(H1125=1,INDEX(tx_TaxDr,1119),0)</f>
        <v/>
      </c>
      <c r="N1125" s="95">
        <f>IF(H1125=1,INDEX(tx_TaxCr,1119),0)</f>
        <v/>
      </c>
      <c r="O1125" s="101">
        <f>IF(H1125=1,IF(E1125&lt;FYStart,0,IF(E1125&gt;FYEnd,13,YEAR(E1125)*12+MONTH(E1125)-FYYM+1)),"")</f>
        <v/>
      </c>
      <c r="P1125" s="101">
        <f>IF(H1125=1,IF(IFERROR(INDEX(coa_CF,MATCH(I1125,coa_Name,0)),"")="Cash",1,0),0)</f>
        <v/>
      </c>
      <c r="Q1125" s="101">
        <f>IF(H1125=1,IF(IFERROR(INDEX(coa_CF,MATCH(K1125,coa_Name,0)),"")="Cash",1,0),0)</f>
        <v/>
      </c>
      <c r="R1125" s="58">
        <f>IF((P1125-Q1125)=0,"",IFERROR(INDEX(coa_CF,MATCH(IF((P1125-Q1125)=1,K1125,I1125),coa_Name,0)),"Operating"))</f>
        <v/>
      </c>
      <c r="S1125" s="95">
        <f>IF((P1125-Q1125)=1,L1125,IF((P1125-Q1125)=-1,-J1125,0))</f>
        <v/>
      </c>
      <c r="T1125" s="95">
        <f>IF((P1125-Q1125)=1,N1125,IF((P1125-Q1125)=-1,-M1125,0))</f>
        <v/>
      </c>
      <c r="U1125" s="101">
        <f>IF(AND(H1125=1,LedAcct&lt;&gt;""),IF(AND(E1125&gt;=LedFrom,E1125&lt;=LedTo,OR(I1125=LedAcct,K1125=LedAcct,AND(LedAcct=acctTax,M1125+N1125&lt;&gt;0))),E1125*10000+B1125,""),"")</f>
        <v/>
      </c>
    </row>
    <row r="1126">
      <c r="B1126" s="101" t="n">
        <v>1120</v>
      </c>
      <c r="C1126" s="58" t="inlineStr">
        <is>
          <t>Transaction</t>
        </is>
      </c>
      <c r="D1126" s="58">
        <f>IF(H1126=1,INDEX(tx_ID,1120)&amp;"","")</f>
        <v/>
      </c>
      <c r="E1126" s="94">
        <f>IF(H1126=1,INDEX(tx_Date,1120),"")</f>
        <v/>
      </c>
      <c r="F1126" s="58">
        <f>IF(H1126=1,INDEX(tx_Desc,1120)&amp;"","")</f>
        <v/>
      </c>
      <c r="G1126" s="58">
        <f>IF(H1126=1,IF(INDEX(tx_Cust,1120)&amp;""&lt;&gt;"",INDEX(tx_Cust,1120)&amp;"",INDEX(tx_Vend,1120)&amp;""),"")</f>
        <v/>
      </c>
      <c r="H1126" s="101">
        <f>IFERROR(N(INDEX(tx_Posted,1120)),0)</f>
        <v/>
      </c>
      <c r="I1126" s="58">
        <f>IF(H1126=1,INDEX(tx_DrAcct,1120)&amp;"","")</f>
        <v/>
      </c>
      <c r="J1126" s="95">
        <f>IF(H1126=1,INDEX(tx_DrAmt,1120),0)</f>
        <v/>
      </c>
      <c r="K1126" s="58">
        <f>IF(H1126=1,INDEX(tx_CrAcct,1120)&amp;"","")</f>
        <v/>
      </c>
      <c r="L1126" s="95">
        <f>IF(H1126=1,INDEX(tx_CrAmt,1120),0)</f>
        <v/>
      </c>
      <c r="M1126" s="95">
        <f>IF(H1126=1,INDEX(tx_TaxDr,1120),0)</f>
        <v/>
      </c>
      <c r="N1126" s="95">
        <f>IF(H1126=1,INDEX(tx_TaxCr,1120),0)</f>
        <v/>
      </c>
      <c r="O1126" s="101">
        <f>IF(H1126=1,IF(E1126&lt;FYStart,0,IF(E1126&gt;FYEnd,13,YEAR(E1126)*12+MONTH(E1126)-FYYM+1)),"")</f>
        <v/>
      </c>
      <c r="P1126" s="101">
        <f>IF(H1126=1,IF(IFERROR(INDEX(coa_CF,MATCH(I1126,coa_Name,0)),"")="Cash",1,0),0)</f>
        <v/>
      </c>
      <c r="Q1126" s="101">
        <f>IF(H1126=1,IF(IFERROR(INDEX(coa_CF,MATCH(K1126,coa_Name,0)),"")="Cash",1,0),0)</f>
        <v/>
      </c>
      <c r="R1126" s="58">
        <f>IF((P1126-Q1126)=0,"",IFERROR(INDEX(coa_CF,MATCH(IF((P1126-Q1126)=1,K1126,I1126),coa_Name,0)),"Operating"))</f>
        <v/>
      </c>
      <c r="S1126" s="95">
        <f>IF((P1126-Q1126)=1,L1126,IF((P1126-Q1126)=-1,-J1126,0))</f>
        <v/>
      </c>
      <c r="T1126" s="95">
        <f>IF((P1126-Q1126)=1,N1126,IF((P1126-Q1126)=-1,-M1126,0))</f>
        <v/>
      </c>
      <c r="U1126" s="101">
        <f>IF(AND(H1126=1,LedAcct&lt;&gt;""),IF(AND(E1126&gt;=LedFrom,E1126&lt;=LedTo,OR(I1126=LedAcct,K1126=LedAcct,AND(LedAcct=acctTax,M1126+N1126&lt;&gt;0))),E1126*10000+B1126,""),"")</f>
        <v/>
      </c>
    </row>
    <row r="1127">
      <c r="B1127" s="101" t="n">
        <v>1121</v>
      </c>
      <c r="C1127" s="58" t="inlineStr">
        <is>
          <t>Transaction</t>
        </is>
      </c>
      <c r="D1127" s="58">
        <f>IF(H1127=1,INDEX(tx_ID,1121)&amp;"","")</f>
        <v/>
      </c>
      <c r="E1127" s="94">
        <f>IF(H1127=1,INDEX(tx_Date,1121),"")</f>
        <v/>
      </c>
      <c r="F1127" s="58">
        <f>IF(H1127=1,INDEX(tx_Desc,1121)&amp;"","")</f>
        <v/>
      </c>
      <c r="G1127" s="58">
        <f>IF(H1127=1,IF(INDEX(tx_Cust,1121)&amp;""&lt;&gt;"",INDEX(tx_Cust,1121)&amp;"",INDEX(tx_Vend,1121)&amp;""),"")</f>
        <v/>
      </c>
      <c r="H1127" s="101">
        <f>IFERROR(N(INDEX(tx_Posted,1121)),0)</f>
        <v/>
      </c>
      <c r="I1127" s="58">
        <f>IF(H1127=1,INDEX(tx_DrAcct,1121)&amp;"","")</f>
        <v/>
      </c>
      <c r="J1127" s="95">
        <f>IF(H1127=1,INDEX(tx_DrAmt,1121),0)</f>
        <v/>
      </c>
      <c r="K1127" s="58">
        <f>IF(H1127=1,INDEX(tx_CrAcct,1121)&amp;"","")</f>
        <v/>
      </c>
      <c r="L1127" s="95">
        <f>IF(H1127=1,INDEX(tx_CrAmt,1121),0)</f>
        <v/>
      </c>
      <c r="M1127" s="95">
        <f>IF(H1127=1,INDEX(tx_TaxDr,1121),0)</f>
        <v/>
      </c>
      <c r="N1127" s="95">
        <f>IF(H1127=1,INDEX(tx_TaxCr,1121),0)</f>
        <v/>
      </c>
      <c r="O1127" s="101">
        <f>IF(H1127=1,IF(E1127&lt;FYStart,0,IF(E1127&gt;FYEnd,13,YEAR(E1127)*12+MONTH(E1127)-FYYM+1)),"")</f>
        <v/>
      </c>
      <c r="P1127" s="101">
        <f>IF(H1127=1,IF(IFERROR(INDEX(coa_CF,MATCH(I1127,coa_Name,0)),"")="Cash",1,0),0)</f>
        <v/>
      </c>
      <c r="Q1127" s="101">
        <f>IF(H1127=1,IF(IFERROR(INDEX(coa_CF,MATCH(K1127,coa_Name,0)),"")="Cash",1,0),0)</f>
        <v/>
      </c>
      <c r="R1127" s="58">
        <f>IF((P1127-Q1127)=0,"",IFERROR(INDEX(coa_CF,MATCH(IF((P1127-Q1127)=1,K1127,I1127),coa_Name,0)),"Operating"))</f>
        <v/>
      </c>
      <c r="S1127" s="95">
        <f>IF((P1127-Q1127)=1,L1127,IF((P1127-Q1127)=-1,-J1127,0))</f>
        <v/>
      </c>
      <c r="T1127" s="95">
        <f>IF((P1127-Q1127)=1,N1127,IF((P1127-Q1127)=-1,-M1127,0))</f>
        <v/>
      </c>
      <c r="U1127" s="101">
        <f>IF(AND(H1127=1,LedAcct&lt;&gt;""),IF(AND(E1127&gt;=LedFrom,E1127&lt;=LedTo,OR(I1127=LedAcct,K1127=LedAcct,AND(LedAcct=acctTax,M1127+N1127&lt;&gt;0))),E1127*10000+B1127,""),"")</f>
        <v/>
      </c>
    </row>
    <row r="1128">
      <c r="B1128" s="101" t="n">
        <v>1122</v>
      </c>
      <c r="C1128" s="58" t="inlineStr">
        <is>
          <t>Transaction</t>
        </is>
      </c>
      <c r="D1128" s="58">
        <f>IF(H1128=1,INDEX(tx_ID,1122)&amp;"","")</f>
        <v/>
      </c>
      <c r="E1128" s="94">
        <f>IF(H1128=1,INDEX(tx_Date,1122),"")</f>
        <v/>
      </c>
      <c r="F1128" s="58">
        <f>IF(H1128=1,INDEX(tx_Desc,1122)&amp;"","")</f>
        <v/>
      </c>
      <c r="G1128" s="58">
        <f>IF(H1128=1,IF(INDEX(tx_Cust,1122)&amp;""&lt;&gt;"",INDEX(tx_Cust,1122)&amp;"",INDEX(tx_Vend,1122)&amp;""),"")</f>
        <v/>
      </c>
      <c r="H1128" s="101">
        <f>IFERROR(N(INDEX(tx_Posted,1122)),0)</f>
        <v/>
      </c>
      <c r="I1128" s="58">
        <f>IF(H1128=1,INDEX(tx_DrAcct,1122)&amp;"","")</f>
        <v/>
      </c>
      <c r="J1128" s="95">
        <f>IF(H1128=1,INDEX(tx_DrAmt,1122),0)</f>
        <v/>
      </c>
      <c r="K1128" s="58">
        <f>IF(H1128=1,INDEX(tx_CrAcct,1122)&amp;"","")</f>
        <v/>
      </c>
      <c r="L1128" s="95">
        <f>IF(H1128=1,INDEX(tx_CrAmt,1122),0)</f>
        <v/>
      </c>
      <c r="M1128" s="95">
        <f>IF(H1128=1,INDEX(tx_TaxDr,1122),0)</f>
        <v/>
      </c>
      <c r="N1128" s="95">
        <f>IF(H1128=1,INDEX(tx_TaxCr,1122),0)</f>
        <v/>
      </c>
      <c r="O1128" s="101">
        <f>IF(H1128=1,IF(E1128&lt;FYStart,0,IF(E1128&gt;FYEnd,13,YEAR(E1128)*12+MONTH(E1128)-FYYM+1)),"")</f>
        <v/>
      </c>
      <c r="P1128" s="101">
        <f>IF(H1128=1,IF(IFERROR(INDEX(coa_CF,MATCH(I1128,coa_Name,0)),"")="Cash",1,0),0)</f>
        <v/>
      </c>
      <c r="Q1128" s="101">
        <f>IF(H1128=1,IF(IFERROR(INDEX(coa_CF,MATCH(K1128,coa_Name,0)),"")="Cash",1,0),0)</f>
        <v/>
      </c>
      <c r="R1128" s="58">
        <f>IF((P1128-Q1128)=0,"",IFERROR(INDEX(coa_CF,MATCH(IF((P1128-Q1128)=1,K1128,I1128),coa_Name,0)),"Operating"))</f>
        <v/>
      </c>
      <c r="S1128" s="95">
        <f>IF((P1128-Q1128)=1,L1128,IF((P1128-Q1128)=-1,-J1128,0))</f>
        <v/>
      </c>
      <c r="T1128" s="95">
        <f>IF((P1128-Q1128)=1,N1128,IF((P1128-Q1128)=-1,-M1128,0))</f>
        <v/>
      </c>
      <c r="U1128" s="101">
        <f>IF(AND(H1128=1,LedAcct&lt;&gt;""),IF(AND(E1128&gt;=LedFrom,E1128&lt;=LedTo,OR(I1128=LedAcct,K1128=LedAcct,AND(LedAcct=acctTax,M1128+N1128&lt;&gt;0))),E1128*10000+B1128,""),"")</f>
        <v/>
      </c>
    </row>
    <row r="1129">
      <c r="B1129" s="101" t="n">
        <v>1123</v>
      </c>
      <c r="C1129" s="58" t="inlineStr">
        <is>
          <t>Transaction</t>
        </is>
      </c>
      <c r="D1129" s="58">
        <f>IF(H1129=1,INDEX(tx_ID,1123)&amp;"","")</f>
        <v/>
      </c>
      <c r="E1129" s="94">
        <f>IF(H1129=1,INDEX(tx_Date,1123),"")</f>
        <v/>
      </c>
      <c r="F1129" s="58">
        <f>IF(H1129=1,INDEX(tx_Desc,1123)&amp;"","")</f>
        <v/>
      </c>
      <c r="G1129" s="58">
        <f>IF(H1129=1,IF(INDEX(tx_Cust,1123)&amp;""&lt;&gt;"",INDEX(tx_Cust,1123)&amp;"",INDEX(tx_Vend,1123)&amp;""),"")</f>
        <v/>
      </c>
      <c r="H1129" s="101">
        <f>IFERROR(N(INDEX(tx_Posted,1123)),0)</f>
        <v/>
      </c>
      <c r="I1129" s="58">
        <f>IF(H1129=1,INDEX(tx_DrAcct,1123)&amp;"","")</f>
        <v/>
      </c>
      <c r="J1129" s="95">
        <f>IF(H1129=1,INDEX(tx_DrAmt,1123),0)</f>
        <v/>
      </c>
      <c r="K1129" s="58">
        <f>IF(H1129=1,INDEX(tx_CrAcct,1123)&amp;"","")</f>
        <v/>
      </c>
      <c r="L1129" s="95">
        <f>IF(H1129=1,INDEX(tx_CrAmt,1123),0)</f>
        <v/>
      </c>
      <c r="M1129" s="95">
        <f>IF(H1129=1,INDEX(tx_TaxDr,1123),0)</f>
        <v/>
      </c>
      <c r="N1129" s="95">
        <f>IF(H1129=1,INDEX(tx_TaxCr,1123),0)</f>
        <v/>
      </c>
      <c r="O1129" s="101">
        <f>IF(H1129=1,IF(E1129&lt;FYStart,0,IF(E1129&gt;FYEnd,13,YEAR(E1129)*12+MONTH(E1129)-FYYM+1)),"")</f>
        <v/>
      </c>
      <c r="P1129" s="101">
        <f>IF(H1129=1,IF(IFERROR(INDEX(coa_CF,MATCH(I1129,coa_Name,0)),"")="Cash",1,0),0)</f>
        <v/>
      </c>
      <c r="Q1129" s="101">
        <f>IF(H1129=1,IF(IFERROR(INDEX(coa_CF,MATCH(K1129,coa_Name,0)),"")="Cash",1,0),0)</f>
        <v/>
      </c>
      <c r="R1129" s="58">
        <f>IF((P1129-Q1129)=0,"",IFERROR(INDEX(coa_CF,MATCH(IF((P1129-Q1129)=1,K1129,I1129),coa_Name,0)),"Operating"))</f>
        <v/>
      </c>
      <c r="S1129" s="95">
        <f>IF((P1129-Q1129)=1,L1129,IF((P1129-Q1129)=-1,-J1129,0))</f>
        <v/>
      </c>
      <c r="T1129" s="95">
        <f>IF((P1129-Q1129)=1,N1129,IF((P1129-Q1129)=-1,-M1129,0))</f>
        <v/>
      </c>
      <c r="U1129" s="101">
        <f>IF(AND(H1129=1,LedAcct&lt;&gt;""),IF(AND(E1129&gt;=LedFrom,E1129&lt;=LedTo,OR(I1129=LedAcct,K1129=LedAcct,AND(LedAcct=acctTax,M1129+N1129&lt;&gt;0))),E1129*10000+B1129,""),"")</f>
        <v/>
      </c>
    </row>
    <row r="1130">
      <c r="B1130" s="101" t="n">
        <v>1124</v>
      </c>
      <c r="C1130" s="58" t="inlineStr">
        <is>
          <t>Transaction</t>
        </is>
      </c>
      <c r="D1130" s="58">
        <f>IF(H1130=1,INDEX(tx_ID,1124)&amp;"","")</f>
        <v/>
      </c>
      <c r="E1130" s="94">
        <f>IF(H1130=1,INDEX(tx_Date,1124),"")</f>
        <v/>
      </c>
      <c r="F1130" s="58">
        <f>IF(H1130=1,INDEX(tx_Desc,1124)&amp;"","")</f>
        <v/>
      </c>
      <c r="G1130" s="58">
        <f>IF(H1130=1,IF(INDEX(tx_Cust,1124)&amp;""&lt;&gt;"",INDEX(tx_Cust,1124)&amp;"",INDEX(tx_Vend,1124)&amp;""),"")</f>
        <v/>
      </c>
      <c r="H1130" s="101">
        <f>IFERROR(N(INDEX(tx_Posted,1124)),0)</f>
        <v/>
      </c>
      <c r="I1130" s="58">
        <f>IF(H1130=1,INDEX(tx_DrAcct,1124)&amp;"","")</f>
        <v/>
      </c>
      <c r="J1130" s="95">
        <f>IF(H1130=1,INDEX(tx_DrAmt,1124),0)</f>
        <v/>
      </c>
      <c r="K1130" s="58">
        <f>IF(H1130=1,INDEX(tx_CrAcct,1124)&amp;"","")</f>
        <v/>
      </c>
      <c r="L1130" s="95">
        <f>IF(H1130=1,INDEX(tx_CrAmt,1124),0)</f>
        <v/>
      </c>
      <c r="M1130" s="95">
        <f>IF(H1130=1,INDEX(tx_TaxDr,1124),0)</f>
        <v/>
      </c>
      <c r="N1130" s="95">
        <f>IF(H1130=1,INDEX(tx_TaxCr,1124),0)</f>
        <v/>
      </c>
      <c r="O1130" s="101">
        <f>IF(H1130=1,IF(E1130&lt;FYStart,0,IF(E1130&gt;FYEnd,13,YEAR(E1130)*12+MONTH(E1130)-FYYM+1)),"")</f>
        <v/>
      </c>
      <c r="P1130" s="101">
        <f>IF(H1130=1,IF(IFERROR(INDEX(coa_CF,MATCH(I1130,coa_Name,0)),"")="Cash",1,0),0)</f>
        <v/>
      </c>
      <c r="Q1130" s="101">
        <f>IF(H1130=1,IF(IFERROR(INDEX(coa_CF,MATCH(K1130,coa_Name,0)),"")="Cash",1,0),0)</f>
        <v/>
      </c>
      <c r="R1130" s="58">
        <f>IF((P1130-Q1130)=0,"",IFERROR(INDEX(coa_CF,MATCH(IF((P1130-Q1130)=1,K1130,I1130),coa_Name,0)),"Operating"))</f>
        <v/>
      </c>
      <c r="S1130" s="95">
        <f>IF((P1130-Q1130)=1,L1130,IF((P1130-Q1130)=-1,-J1130,0))</f>
        <v/>
      </c>
      <c r="T1130" s="95">
        <f>IF((P1130-Q1130)=1,N1130,IF((P1130-Q1130)=-1,-M1130,0))</f>
        <v/>
      </c>
      <c r="U1130" s="101">
        <f>IF(AND(H1130=1,LedAcct&lt;&gt;""),IF(AND(E1130&gt;=LedFrom,E1130&lt;=LedTo,OR(I1130=LedAcct,K1130=LedAcct,AND(LedAcct=acctTax,M1130+N1130&lt;&gt;0))),E1130*10000+B1130,""),"")</f>
        <v/>
      </c>
    </row>
    <row r="1131">
      <c r="B1131" s="101" t="n">
        <v>1125</v>
      </c>
      <c r="C1131" s="58" t="inlineStr">
        <is>
          <t>Transaction</t>
        </is>
      </c>
      <c r="D1131" s="58">
        <f>IF(H1131=1,INDEX(tx_ID,1125)&amp;"","")</f>
        <v/>
      </c>
      <c r="E1131" s="94">
        <f>IF(H1131=1,INDEX(tx_Date,1125),"")</f>
        <v/>
      </c>
      <c r="F1131" s="58">
        <f>IF(H1131=1,INDEX(tx_Desc,1125)&amp;"","")</f>
        <v/>
      </c>
      <c r="G1131" s="58">
        <f>IF(H1131=1,IF(INDEX(tx_Cust,1125)&amp;""&lt;&gt;"",INDEX(tx_Cust,1125)&amp;"",INDEX(tx_Vend,1125)&amp;""),"")</f>
        <v/>
      </c>
      <c r="H1131" s="101">
        <f>IFERROR(N(INDEX(tx_Posted,1125)),0)</f>
        <v/>
      </c>
      <c r="I1131" s="58">
        <f>IF(H1131=1,INDEX(tx_DrAcct,1125)&amp;"","")</f>
        <v/>
      </c>
      <c r="J1131" s="95">
        <f>IF(H1131=1,INDEX(tx_DrAmt,1125),0)</f>
        <v/>
      </c>
      <c r="K1131" s="58">
        <f>IF(H1131=1,INDEX(tx_CrAcct,1125)&amp;"","")</f>
        <v/>
      </c>
      <c r="L1131" s="95">
        <f>IF(H1131=1,INDEX(tx_CrAmt,1125),0)</f>
        <v/>
      </c>
      <c r="M1131" s="95">
        <f>IF(H1131=1,INDEX(tx_TaxDr,1125),0)</f>
        <v/>
      </c>
      <c r="N1131" s="95">
        <f>IF(H1131=1,INDEX(tx_TaxCr,1125),0)</f>
        <v/>
      </c>
      <c r="O1131" s="101">
        <f>IF(H1131=1,IF(E1131&lt;FYStart,0,IF(E1131&gt;FYEnd,13,YEAR(E1131)*12+MONTH(E1131)-FYYM+1)),"")</f>
        <v/>
      </c>
      <c r="P1131" s="101">
        <f>IF(H1131=1,IF(IFERROR(INDEX(coa_CF,MATCH(I1131,coa_Name,0)),"")="Cash",1,0),0)</f>
        <v/>
      </c>
      <c r="Q1131" s="101">
        <f>IF(H1131=1,IF(IFERROR(INDEX(coa_CF,MATCH(K1131,coa_Name,0)),"")="Cash",1,0),0)</f>
        <v/>
      </c>
      <c r="R1131" s="58">
        <f>IF((P1131-Q1131)=0,"",IFERROR(INDEX(coa_CF,MATCH(IF((P1131-Q1131)=1,K1131,I1131),coa_Name,0)),"Operating"))</f>
        <v/>
      </c>
      <c r="S1131" s="95">
        <f>IF((P1131-Q1131)=1,L1131,IF((P1131-Q1131)=-1,-J1131,0))</f>
        <v/>
      </c>
      <c r="T1131" s="95">
        <f>IF((P1131-Q1131)=1,N1131,IF((P1131-Q1131)=-1,-M1131,0))</f>
        <v/>
      </c>
      <c r="U1131" s="101">
        <f>IF(AND(H1131=1,LedAcct&lt;&gt;""),IF(AND(E1131&gt;=LedFrom,E1131&lt;=LedTo,OR(I1131=LedAcct,K1131=LedAcct,AND(LedAcct=acctTax,M1131+N1131&lt;&gt;0))),E1131*10000+B1131,""),"")</f>
        <v/>
      </c>
    </row>
    <row r="1132">
      <c r="B1132" s="101" t="n">
        <v>1126</v>
      </c>
      <c r="C1132" s="58" t="inlineStr">
        <is>
          <t>Transaction</t>
        </is>
      </c>
      <c r="D1132" s="58">
        <f>IF(H1132=1,INDEX(tx_ID,1126)&amp;"","")</f>
        <v/>
      </c>
      <c r="E1132" s="94">
        <f>IF(H1132=1,INDEX(tx_Date,1126),"")</f>
        <v/>
      </c>
      <c r="F1132" s="58">
        <f>IF(H1132=1,INDEX(tx_Desc,1126)&amp;"","")</f>
        <v/>
      </c>
      <c r="G1132" s="58">
        <f>IF(H1132=1,IF(INDEX(tx_Cust,1126)&amp;""&lt;&gt;"",INDEX(tx_Cust,1126)&amp;"",INDEX(tx_Vend,1126)&amp;""),"")</f>
        <v/>
      </c>
      <c r="H1132" s="101">
        <f>IFERROR(N(INDEX(tx_Posted,1126)),0)</f>
        <v/>
      </c>
      <c r="I1132" s="58">
        <f>IF(H1132=1,INDEX(tx_DrAcct,1126)&amp;"","")</f>
        <v/>
      </c>
      <c r="J1132" s="95">
        <f>IF(H1132=1,INDEX(tx_DrAmt,1126),0)</f>
        <v/>
      </c>
      <c r="K1132" s="58">
        <f>IF(H1132=1,INDEX(tx_CrAcct,1126)&amp;"","")</f>
        <v/>
      </c>
      <c r="L1132" s="95">
        <f>IF(H1132=1,INDEX(tx_CrAmt,1126),0)</f>
        <v/>
      </c>
      <c r="M1132" s="95">
        <f>IF(H1132=1,INDEX(tx_TaxDr,1126),0)</f>
        <v/>
      </c>
      <c r="N1132" s="95">
        <f>IF(H1132=1,INDEX(tx_TaxCr,1126),0)</f>
        <v/>
      </c>
      <c r="O1132" s="101">
        <f>IF(H1132=1,IF(E1132&lt;FYStart,0,IF(E1132&gt;FYEnd,13,YEAR(E1132)*12+MONTH(E1132)-FYYM+1)),"")</f>
        <v/>
      </c>
      <c r="P1132" s="101">
        <f>IF(H1132=1,IF(IFERROR(INDEX(coa_CF,MATCH(I1132,coa_Name,0)),"")="Cash",1,0),0)</f>
        <v/>
      </c>
      <c r="Q1132" s="101">
        <f>IF(H1132=1,IF(IFERROR(INDEX(coa_CF,MATCH(K1132,coa_Name,0)),"")="Cash",1,0),0)</f>
        <v/>
      </c>
      <c r="R1132" s="58">
        <f>IF((P1132-Q1132)=0,"",IFERROR(INDEX(coa_CF,MATCH(IF((P1132-Q1132)=1,K1132,I1132),coa_Name,0)),"Operating"))</f>
        <v/>
      </c>
      <c r="S1132" s="95">
        <f>IF((P1132-Q1132)=1,L1132,IF((P1132-Q1132)=-1,-J1132,0))</f>
        <v/>
      </c>
      <c r="T1132" s="95">
        <f>IF((P1132-Q1132)=1,N1132,IF((P1132-Q1132)=-1,-M1132,0))</f>
        <v/>
      </c>
      <c r="U1132" s="101">
        <f>IF(AND(H1132=1,LedAcct&lt;&gt;""),IF(AND(E1132&gt;=LedFrom,E1132&lt;=LedTo,OR(I1132=LedAcct,K1132=LedAcct,AND(LedAcct=acctTax,M1132+N1132&lt;&gt;0))),E1132*10000+B1132,""),"")</f>
        <v/>
      </c>
    </row>
    <row r="1133">
      <c r="B1133" s="101" t="n">
        <v>1127</v>
      </c>
      <c r="C1133" s="58" t="inlineStr">
        <is>
          <t>Transaction</t>
        </is>
      </c>
      <c r="D1133" s="58">
        <f>IF(H1133=1,INDEX(tx_ID,1127)&amp;"","")</f>
        <v/>
      </c>
      <c r="E1133" s="94">
        <f>IF(H1133=1,INDEX(tx_Date,1127),"")</f>
        <v/>
      </c>
      <c r="F1133" s="58">
        <f>IF(H1133=1,INDEX(tx_Desc,1127)&amp;"","")</f>
        <v/>
      </c>
      <c r="G1133" s="58">
        <f>IF(H1133=1,IF(INDEX(tx_Cust,1127)&amp;""&lt;&gt;"",INDEX(tx_Cust,1127)&amp;"",INDEX(tx_Vend,1127)&amp;""),"")</f>
        <v/>
      </c>
      <c r="H1133" s="101">
        <f>IFERROR(N(INDEX(tx_Posted,1127)),0)</f>
        <v/>
      </c>
      <c r="I1133" s="58">
        <f>IF(H1133=1,INDEX(tx_DrAcct,1127)&amp;"","")</f>
        <v/>
      </c>
      <c r="J1133" s="95">
        <f>IF(H1133=1,INDEX(tx_DrAmt,1127),0)</f>
        <v/>
      </c>
      <c r="K1133" s="58">
        <f>IF(H1133=1,INDEX(tx_CrAcct,1127)&amp;"","")</f>
        <v/>
      </c>
      <c r="L1133" s="95">
        <f>IF(H1133=1,INDEX(tx_CrAmt,1127),0)</f>
        <v/>
      </c>
      <c r="M1133" s="95">
        <f>IF(H1133=1,INDEX(tx_TaxDr,1127),0)</f>
        <v/>
      </c>
      <c r="N1133" s="95">
        <f>IF(H1133=1,INDEX(tx_TaxCr,1127),0)</f>
        <v/>
      </c>
      <c r="O1133" s="101">
        <f>IF(H1133=1,IF(E1133&lt;FYStart,0,IF(E1133&gt;FYEnd,13,YEAR(E1133)*12+MONTH(E1133)-FYYM+1)),"")</f>
        <v/>
      </c>
      <c r="P1133" s="101">
        <f>IF(H1133=1,IF(IFERROR(INDEX(coa_CF,MATCH(I1133,coa_Name,0)),"")="Cash",1,0),0)</f>
        <v/>
      </c>
      <c r="Q1133" s="101">
        <f>IF(H1133=1,IF(IFERROR(INDEX(coa_CF,MATCH(K1133,coa_Name,0)),"")="Cash",1,0),0)</f>
        <v/>
      </c>
      <c r="R1133" s="58">
        <f>IF((P1133-Q1133)=0,"",IFERROR(INDEX(coa_CF,MATCH(IF((P1133-Q1133)=1,K1133,I1133),coa_Name,0)),"Operating"))</f>
        <v/>
      </c>
      <c r="S1133" s="95">
        <f>IF((P1133-Q1133)=1,L1133,IF((P1133-Q1133)=-1,-J1133,0))</f>
        <v/>
      </c>
      <c r="T1133" s="95">
        <f>IF((P1133-Q1133)=1,N1133,IF((P1133-Q1133)=-1,-M1133,0))</f>
        <v/>
      </c>
      <c r="U1133" s="101">
        <f>IF(AND(H1133=1,LedAcct&lt;&gt;""),IF(AND(E1133&gt;=LedFrom,E1133&lt;=LedTo,OR(I1133=LedAcct,K1133=LedAcct,AND(LedAcct=acctTax,M1133+N1133&lt;&gt;0))),E1133*10000+B1133,""),"")</f>
        <v/>
      </c>
    </row>
    <row r="1134">
      <c r="B1134" s="101" t="n">
        <v>1128</v>
      </c>
      <c r="C1134" s="58" t="inlineStr">
        <is>
          <t>Transaction</t>
        </is>
      </c>
      <c r="D1134" s="58">
        <f>IF(H1134=1,INDEX(tx_ID,1128)&amp;"","")</f>
        <v/>
      </c>
      <c r="E1134" s="94">
        <f>IF(H1134=1,INDEX(tx_Date,1128),"")</f>
        <v/>
      </c>
      <c r="F1134" s="58">
        <f>IF(H1134=1,INDEX(tx_Desc,1128)&amp;"","")</f>
        <v/>
      </c>
      <c r="G1134" s="58">
        <f>IF(H1134=1,IF(INDEX(tx_Cust,1128)&amp;""&lt;&gt;"",INDEX(tx_Cust,1128)&amp;"",INDEX(tx_Vend,1128)&amp;""),"")</f>
        <v/>
      </c>
      <c r="H1134" s="101">
        <f>IFERROR(N(INDEX(tx_Posted,1128)),0)</f>
        <v/>
      </c>
      <c r="I1134" s="58">
        <f>IF(H1134=1,INDEX(tx_DrAcct,1128)&amp;"","")</f>
        <v/>
      </c>
      <c r="J1134" s="95">
        <f>IF(H1134=1,INDEX(tx_DrAmt,1128),0)</f>
        <v/>
      </c>
      <c r="K1134" s="58">
        <f>IF(H1134=1,INDEX(tx_CrAcct,1128)&amp;"","")</f>
        <v/>
      </c>
      <c r="L1134" s="95">
        <f>IF(H1134=1,INDEX(tx_CrAmt,1128),0)</f>
        <v/>
      </c>
      <c r="M1134" s="95">
        <f>IF(H1134=1,INDEX(tx_TaxDr,1128),0)</f>
        <v/>
      </c>
      <c r="N1134" s="95">
        <f>IF(H1134=1,INDEX(tx_TaxCr,1128),0)</f>
        <v/>
      </c>
      <c r="O1134" s="101">
        <f>IF(H1134=1,IF(E1134&lt;FYStart,0,IF(E1134&gt;FYEnd,13,YEAR(E1134)*12+MONTH(E1134)-FYYM+1)),"")</f>
        <v/>
      </c>
      <c r="P1134" s="101">
        <f>IF(H1134=1,IF(IFERROR(INDEX(coa_CF,MATCH(I1134,coa_Name,0)),"")="Cash",1,0),0)</f>
        <v/>
      </c>
      <c r="Q1134" s="101">
        <f>IF(H1134=1,IF(IFERROR(INDEX(coa_CF,MATCH(K1134,coa_Name,0)),"")="Cash",1,0),0)</f>
        <v/>
      </c>
      <c r="R1134" s="58">
        <f>IF((P1134-Q1134)=0,"",IFERROR(INDEX(coa_CF,MATCH(IF((P1134-Q1134)=1,K1134,I1134),coa_Name,0)),"Operating"))</f>
        <v/>
      </c>
      <c r="S1134" s="95">
        <f>IF((P1134-Q1134)=1,L1134,IF((P1134-Q1134)=-1,-J1134,0))</f>
        <v/>
      </c>
      <c r="T1134" s="95">
        <f>IF((P1134-Q1134)=1,N1134,IF((P1134-Q1134)=-1,-M1134,0))</f>
        <v/>
      </c>
      <c r="U1134" s="101">
        <f>IF(AND(H1134=1,LedAcct&lt;&gt;""),IF(AND(E1134&gt;=LedFrom,E1134&lt;=LedTo,OR(I1134=LedAcct,K1134=LedAcct,AND(LedAcct=acctTax,M1134+N1134&lt;&gt;0))),E1134*10000+B1134,""),"")</f>
        <v/>
      </c>
    </row>
    <row r="1135">
      <c r="B1135" s="101" t="n">
        <v>1129</v>
      </c>
      <c r="C1135" s="58" t="inlineStr">
        <is>
          <t>Transaction</t>
        </is>
      </c>
      <c r="D1135" s="58">
        <f>IF(H1135=1,INDEX(tx_ID,1129)&amp;"","")</f>
        <v/>
      </c>
      <c r="E1135" s="94">
        <f>IF(H1135=1,INDEX(tx_Date,1129),"")</f>
        <v/>
      </c>
      <c r="F1135" s="58">
        <f>IF(H1135=1,INDEX(tx_Desc,1129)&amp;"","")</f>
        <v/>
      </c>
      <c r="G1135" s="58">
        <f>IF(H1135=1,IF(INDEX(tx_Cust,1129)&amp;""&lt;&gt;"",INDEX(tx_Cust,1129)&amp;"",INDEX(tx_Vend,1129)&amp;""),"")</f>
        <v/>
      </c>
      <c r="H1135" s="101">
        <f>IFERROR(N(INDEX(tx_Posted,1129)),0)</f>
        <v/>
      </c>
      <c r="I1135" s="58">
        <f>IF(H1135=1,INDEX(tx_DrAcct,1129)&amp;"","")</f>
        <v/>
      </c>
      <c r="J1135" s="95">
        <f>IF(H1135=1,INDEX(tx_DrAmt,1129),0)</f>
        <v/>
      </c>
      <c r="K1135" s="58">
        <f>IF(H1135=1,INDEX(tx_CrAcct,1129)&amp;"","")</f>
        <v/>
      </c>
      <c r="L1135" s="95">
        <f>IF(H1135=1,INDEX(tx_CrAmt,1129),0)</f>
        <v/>
      </c>
      <c r="M1135" s="95">
        <f>IF(H1135=1,INDEX(tx_TaxDr,1129),0)</f>
        <v/>
      </c>
      <c r="N1135" s="95">
        <f>IF(H1135=1,INDEX(tx_TaxCr,1129),0)</f>
        <v/>
      </c>
      <c r="O1135" s="101">
        <f>IF(H1135=1,IF(E1135&lt;FYStart,0,IF(E1135&gt;FYEnd,13,YEAR(E1135)*12+MONTH(E1135)-FYYM+1)),"")</f>
        <v/>
      </c>
      <c r="P1135" s="101">
        <f>IF(H1135=1,IF(IFERROR(INDEX(coa_CF,MATCH(I1135,coa_Name,0)),"")="Cash",1,0),0)</f>
        <v/>
      </c>
      <c r="Q1135" s="101">
        <f>IF(H1135=1,IF(IFERROR(INDEX(coa_CF,MATCH(K1135,coa_Name,0)),"")="Cash",1,0),0)</f>
        <v/>
      </c>
      <c r="R1135" s="58">
        <f>IF((P1135-Q1135)=0,"",IFERROR(INDEX(coa_CF,MATCH(IF((P1135-Q1135)=1,K1135,I1135),coa_Name,0)),"Operating"))</f>
        <v/>
      </c>
      <c r="S1135" s="95">
        <f>IF((P1135-Q1135)=1,L1135,IF((P1135-Q1135)=-1,-J1135,0))</f>
        <v/>
      </c>
      <c r="T1135" s="95">
        <f>IF((P1135-Q1135)=1,N1135,IF((P1135-Q1135)=-1,-M1135,0))</f>
        <v/>
      </c>
      <c r="U1135" s="101">
        <f>IF(AND(H1135=1,LedAcct&lt;&gt;""),IF(AND(E1135&gt;=LedFrom,E1135&lt;=LedTo,OR(I1135=LedAcct,K1135=LedAcct,AND(LedAcct=acctTax,M1135+N1135&lt;&gt;0))),E1135*10000+B1135,""),"")</f>
        <v/>
      </c>
    </row>
    <row r="1136">
      <c r="B1136" s="101" t="n">
        <v>1130</v>
      </c>
      <c r="C1136" s="58" t="inlineStr">
        <is>
          <t>Transaction</t>
        </is>
      </c>
      <c r="D1136" s="58">
        <f>IF(H1136=1,INDEX(tx_ID,1130)&amp;"","")</f>
        <v/>
      </c>
      <c r="E1136" s="94">
        <f>IF(H1136=1,INDEX(tx_Date,1130),"")</f>
        <v/>
      </c>
      <c r="F1136" s="58">
        <f>IF(H1136=1,INDEX(tx_Desc,1130)&amp;"","")</f>
        <v/>
      </c>
      <c r="G1136" s="58">
        <f>IF(H1136=1,IF(INDEX(tx_Cust,1130)&amp;""&lt;&gt;"",INDEX(tx_Cust,1130)&amp;"",INDEX(tx_Vend,1130)&amp;""),"")</f>
        <v/>
      </c>
      <c r="H1136" s="101">
        <f>IFERROR(N(INDEX(tx_Posted,1130)),0)</f>
        <v/>
      </c>
      <c r="I1136" s="58">
        <f>IF(H1136=1,INDEX(tx_DrAcct,1130)&amp;"","")</f>
        <v/>
      </c>
      <c r="J1136" s="95">
        <f>IF(H1136=1,INDEX(tx_DrAmt,1130),0)</f>
        <v/>
      </c>
      <c r="K1136" s="58">
        <f>IF(H1136=1,INDEX(tx_CrAcct,1130)&amp;"","")</f>
        <v/>
      </c>
      <c r="L1136" s="95">
        <f>IF(H1136=1,INDEX(tx_CrAmt,1130),0)</f>
        <v/>
      </c>
      <c r="M1136" s="95">
        <f>IF(H1136=1,INDEX(tx_TaxDr,1130),0)</f>
        <v/>
      </c>
      <c r="N1136" s="95">
        <f>IF(H1136=1,INDEX(tx_TaxCr,1130),0)</f>
        <v/>
      </c>
      <c r="O1136" s="101">
        <f>IF(H1136=1,IF(E1136&lt;FYStart,0,IF(E1136&gt;FYEnd,13,YEAR(E1136)*12+MONTH(E1136)-FYYM+1)),"")</f>
        <v/>
      </c>
      <c r="P1136" s="101">
        <f>IF(H1136=1,IF(IFERROR(INDEX(coa_CF,MATCH(I1136,coa_Name,0)),"")="Cash",1,0),0)</f>
        <v/>
      </c>
      <c r="Q1136" s="101">
        <f>IF(H1136=1,IF(IFERROR(INDEX(coa_CF,MATCH(K1136,coa_Name,0)),"")="Cash",1,0),0)</f>
        <v/>
      </c>
      <c r="R1136" s="58">
        <f>IF((P1136-Q1136)=0,"",IFERROR(INDEX(coa_CF,MATCH(IF((P1136-Q1136)=1,K1136,I1136),coa_Name,0)),"Operating"))</f>
        <v/>
      </c>
      <c r="S1136" s="95">
        <f>IF((P1136-Q1136)=1,L1136,IF((P1136-Q1136)=-1,-J1136,0))</f>
        <v/>
      </c>
      <c r="T1136" s="95">
        <f>IF((P1136-Q1136)=1,N1136,IF((P1136-Q1136)=-1,-M1136,0))</f>
        <v/>
      </c>
      <c r="U1136" s="101">
        <f>IF(AND(H1136=1,LedAcct&lt;&gt;""),IF(AND(E1136&gt;=LedFrom,E1136&lt;=LedTo,OR(I1136=LedAcct,K1136=LedAcct,AND(LedAcct=acctTax,M1136+N1136&lt;&gt;0))),E1136*10000+B1136,""),"")</f>
        <v/>
      </c>
    </row>
    <row r="1137">
      <c r="B1137" s="101" t="n">
        <v>1131</v>
      </c>
      <c r="C1137" s="58" t="inlineStr">
        <is>
          <t>Transaction</t>
        </is>
      </c>
      <c r="D1137" s="58">
        <f>IF(H1137=1,INDEX(tx_ID,1131)&amp;"","")</f>
        <v/>
      </c>
      <c r="E1137" s="94">
        <f>IF(H1137=1,INDEX(tx_Date,1131),"")</f>
        <v/>
      </c>
      <c r="F1137" s="58">
        <f>IF(H1137=1,INDEX(tx_Desc,1131)&amp;"","")</f>
        <v/>
      </c>
      <c r="G1137" s="58">
        <f>IF(H1137=1,IF(INDEX(tx_Cust,1131)&amp;""&lt;&gt;"",INDEX(tx_Cust,1131)&amp;"",INDEX(tx_Vend,1131)&amp;""),"")</f>
        <v/>
      </c>
      <c r="H1137" s="101">
        <f>IFERROR(N(INDEX(tx_Posted,1131)),0)</f>
        <v/>
      </c>
      <c r="I1137" s="58">
        <f>IF(H1137=1,INDEX(tx_DrAcct,1131)&amp;"","")</f>
        <v/>
      </c>
      <c r="J1137" s="95">
        <f>IF(H1137=1,INDEX(tx_DrAmt,1131),0)</f>
        <v/>
      </c>
      <c r="K1137" s="58">
        <f>IF(H1137=1,INDEX(tx_CrAcct,1131)&amp;"","")</f>
        <v/>
      </c>
      <c r="L1137" s="95">
        <f>IF(H1137=1,INDEX(tx_CrAmt,1131),0)</f>
        <v/>
      </c>
      <c r="M1137" s="95">
        <f>IF(H1137=1,INDEX(tx_TaxDr,1131),0)</f>
        <v/>
      </c>
      <c r="N1137" s="95">
        <f>IF(H1137=1,INDEX(tx_TaxCr,1131),0)</f>
        <v/>
      </c>
      <c r="O1137" s="101">
        <f>IF(H1137=1,IF(E1137&lt;FYStart,0,IF(E1137&gt;FYEnd,13,YEAR(E1137)*12+MONTH(E1137)-FYYM+1)),"")</f>
        <v/>
      </c>
      <c r="P1137" s="101">
        <f>IF(H1137=1,IF(IFERROR(INDEX(coa_CF,MATCH(I1137,coa_Name,0)),"")="Cash",1,0),0)</f>
        <v/>
      </c>
      <c r="Q1137" s="101">
        <f>IF(H1137=1,IF(IFERROR(INDEX(coa_CF,MATCH(K1137,coa_Name,0)),"")="Cash",1,0),0)</f>
        <v/>
      </c>
      <c r="R1137" s="58">
        <f>IF((P1137-Q1137)=0,"",IFERROR(INDEX(coa_CF,MATCH(IF((P1137-Q1137)=1,K1137,I1137),coa_Name,0)),"Operating"))</f>
        <v/>
      </c>
      <c r="S1137" s="95">
        <f>IF((P1137-Q1137)=1,L1137,IF((P1137-Q1137)=-1,-J1137,0))</f>
        <v/>
      </c>
      <c r="T1137" s="95">
        <f>IF((P1137-Q1137)=1,N1137,IF((P1137-Q1137)=-1,-M1137,0))</f>
        <v/>
      </c>
      <c r="U1137" s="101">
        <f>IF(AND(H1137=1,LedAcct&lt;&gt;""),IF(AND(E1137&gt;=LedFrom,E1137&lt;=LedTo,OR(I1137=LedAcct,K1137=LedAcct,AND(LedAcct=acctTax,M1137+N1137&lt;&gt;0))),E1137*10000+B1137,""),"")</f>
        <v/>
      </c>
    </row>
    <row r="1138">
      <c r="B1138" s="101" t="n">
        <v>1132</v>
      </c>
      <c r="C1138" s="58" t="inlineStr">
        <is>
          <t>Transaction</t>
        </is>
      </c>
      <c r="D1138" s="58">
        <f>IF(H1138=1,INDEX(tx_ID,1132)&amp;"","")</f>
        <v/>
      </c>
      <c r="E1138" s="94">
        <f>IF(H1138=1,INDEX(tx_Date,1132),"")</f>
        <v/>
      </c>
      <c r="F1138" s="58">
        <f>IF(H1138=1,INDEX(tx_Desc,1132)&amp;"","")</f>
        <v/>
      </c>
      <c r="G1138" s="58">
        <f>IF(H1138=1,IF(INDEX(tx_Cust,1132)&amp;""&lt;&gt;"",INDEX(tx_Cust,1132)&amp;"",INDEX(tx_Vend,1132)&amp;""),"")</f>
        <v/>
      </c>
      <c r="H1138" s="101">
        <f>IFERROR(N(INDEX(tx_Posted,1132)),0)</f>
        <v/>
      </c>
      <c r="I1138" s="58">
        <f>IF(H1138=1,INDEX(tx_DrAcct,1132)&amp;"","")</f>
        <v/>
      </c>
      <c r="J1138" s="95">
        <f>IF(H1138=1,INDEX(tx_DrAmt,1132),0)</f>
        <v/>
      </c>
      <c r="K1138" s="58">
        <f>IF(H1138=1,INDEX(tx_CrAcct,1132)&amp;"","")</f>
        <v/>
      </c>
      <c r="L1138" s="95">
        <f>IF(H1138=1,INDEX(tx_CrAmt,1132),0)</f>
        <v/>
      </c>
      <c r="M1138" s="95">
        <f>IF(H1138=1,INDEX(tx_TaxDr,1132),0)</f>
        <v/>
      </c>
      <c r="N1138" s="95">
        <f>IF(H1138=1,INDEX(tx_TaxCr,1132),0)</f>
        <v/>
      </c>
      <c r="O1138" s="101">
        <f>IF(H1138=1,IF(E1138&lt;FYStart,0,IF(E1138&gt;FYEnd,13,YEAR(E1138)*12+MONTH(E1138)-FYYM+1)),"")</f>
        <v/>
      </c>
      <c r="P1138" s="101">
        <f>IF(H1138=1,IF(IFERROR(INDEX(coa_CF,MATCH(I1138,coa_Name,0)),"")="Cash",1,0),0)</f>
        <v/>
      </c>
      <c r="Q1138" s="101">
        <f>IF(H1138=1,IF(IFERROR(INDEX(coa_CF,MATCH(K1138,coa_Name,0)),"")="Cash",1,0),0)</f>
        <v/>
      </c>
      <c r="R1138" s="58">
        <f>IF((P1138-Q1138)=0,"",IFERROR(INDEX(coa_CF,MATCH(IF((P1138-Q1138)=1,K1138,I1138),coa_Name,0)),"Operating"))</f>
        <v/>
      </c>
      <c r="S1138" s="95">
        <f>IF((P1138-Q1138)=1,L1138,IF((P1138-Q1138)=-1,-J1138,0))</f>
        <v/>
      </c>
      <c r="T1138" s="95">
        <f>IF((P1138-Q1138)=1,N1138,IF((P1138-Q1138)=-1,-M1138,0))</f>
        <v/>
      </c>
      <c r="U1138" s="101">
        <f>IF(AND(H1138=1,LedAcct&lt;&gt;""),IF(AND(E1138&gt;=LedFrom,E1138&lt;=LedTo,OR(I1138=LedAcct,K1138=LedAcct,AND(LedAcct=acctTax,M1138+N1138&lt;&gt;0))),E1138*10000+B1138,""),"")</f>
        <v/>
      </c>
    </row>
    <row r="1139">
      <c r="B1139" s="101" t="n">
        <v>1133</v>
      </c>
      <c r="C1139" s="58" t="inlineStr">
        <is>
          <t>Transaction</t>
        </is>
      </c>
      <c r="D1139" s="58">
        <f>IF(H1139=1,INDEX(tx_ID,1133)&amp;"","")</f>
        <v/>
      </c>
      <c r="E1139" s="94">
        <f>IF(H1139=1,INDEX(tx_Date,1133),"")</f>
        <v/>
      </c>
      <c r="F1139" s="58">
        <f>IF(H1139=1,INDEX(tx_Desc,1133)&amp;"","")</f>
        <v/>
      </c>
      <c r="G1139" s="58">
        <f>IF(H1139=1,IF(INDEX(tx_Cust,1133)&amp;""&lt;&gt;"",INDEX(tx_Cust,1133)&amp;"",INDEX(tx_Vend,1133)&amp;""),"")</f>
        <v/>
      </c>
      <c r="H1139" s="101">
        <f>IFERROR(N(INDEX(tx_Posted,1133)),0)</f>
        <v/>
      </c>
      <c r="I1139" s="58">
        <f>IF(H1139=1,INDEX(tx_DrAcct,1133)&amp;"","")</f>
        <v/>
      </c>
      <c r="J1139" s="95">
        <f>IF(H1139=1,INDEX(tx_DrAmt,1133),0)</f>
        <v/>
      </c>
      <c r="K1139" s="58">
        <f>IF(H1139=1,INDEX(tx_CrAcct,1133)&amp;"","")</f>
        <v/>
      </c>
      <c r="L1139" s="95">
        <f>IF(H1139=1,INDEX(tx_CrAmt,1133),0)</f>
        <v/>
      </c>
      <c r="M1139" s="95">
        <f>IF(H1139=1,INDEX(tx_TaxDr,1133),0)</f>
        <v/>
      </c>
      <c r="N1139" s="95">
        <f>IF(H1139=1,INDEX(tx_TaxCr,1133),0)</f>
        <v/>
      </c>
      <c r="O1139" s="101">
        <f>IF(H1139=1,IF(E1139&lt;FYStart,0,IF(E1139&gt;FYEnd,13,YEAR(E1139)*12+MONTH(E1139)-FYYM+1)),"")</f>
        <v/>
      </c>
      <c r="P1139" s="101">
        <f>IF(H1139=1,IF(IFERROR(INDEX(coa_CF,MATCH(I1139,coa_Name,0)),"")="Cash",1,0),0)</f>
        <v/>
      </c>
      <c r="Q1139" s="101">
        <f>IF(H1139=1,IF(IFERROR(INDEX(coa_CF,MATCH(K1139,coa_Name,0)),"")="Cash",1,0),0)</f>
        <v/>
      </c>
      <c r="R1139" s="58">
        <f>IF((P1139-Q1139)=0,"",IFERROR(INDEX(coa_CF,MATCH(IF((P1139-Q1139)=1,K1139,I1139),coa_Name,0)),"Operating"))</f>
        <v/>
      </c>
      <c r="S1139" s="95">
        <f>IF((P1139-Q1139)=1,L1139,IF((P1139-Q1139)=-1,-J1139,0))</f>
        <v/>
      </c>
      <c r="T1139" s="95">
        <f>IF((P1139-Q1139)=1,N1139,IF((P1139-Q1139)=-1,-M1139,0))</f>
        <v/>
      </c>
      <c r="U1139" s="101">
        <f>IF(AND(H1139=1,LedAcct&lt;&gt;""),IF(AND(E1139&gt;=LedFrom,E1139&lt;=LedTo,OR(I1139=LedAcct,K1139=LedAcct,AND(LedAcct=acctTax,M1139+N1139&lt;&gt;0))),E1139*10000+B1139,""),"")</f>
        <v/>
      </c>
    </row>
    <row r="1140">
      <c r="B1140" s="101" t="n">
        <v>1134</v>
      </c>
      <c r="C1140" s="58" t="inlineStr">
        <is>
          <t>Transaction</t>
        </is>
      </c>
      <c r="D1140" s="58">
        <f>IF(H1140=1,INDEX(tx_ID,1134)&amp;"","")</f>
        <v/>
      </c>
      <c r="E1140" s="94">
        <f>IF(H1140=1,INDEX(tx_Date,1134),"")</f>
        <v/>
      </c>
      <c r="F1140" s="58">
        <f>IF(H1140=1,INDEX(tx_Desc,1134)&amp;"","")</f>
        <v/>
      </c>
      <c r="G1140" s="58">
        <f>IF(H1140=1,IF(INDEX(tx_Cust,1134)&amp;""&lt;&gt;"",INDEX(tx_Cust,1134)&amp;"",INDEX(tx_Vend,1134)&amp;""),"")</f>
        <v/>
      </c>
      <c r="H1140" s="101">
        <f>IFERROR(N(INDEX(tx_Posted,1134)),0)</f>
        <v/>
      </c>
      <c r="I1140" s="58">
        <f>IF(H1140=1,INDEX(tx_DrAcct,1134)&amp;"","")</f>
        <v/>
      </c>
      <c r="J1140" s="95">
        <f>IF(H1140=1,INDEX(tx_DrAmt,1134),0)</f>
        <v/>
      </c>
      <c r="K1140" s="58">
        <f>IF(H1140=1,INDEX(tx_CrAcct,1134)&amp;"","")</f>
        <v/>
      </c>
      <c r="L1140" s="95">
        <f>IF(H1140=1,INDEX(tx_CrAmt,1134),0)</f>
        <v/>
      </c>
      <c r="M1140" s="95">
        <f>IF(H1140=1,INDEX(tx_TaxDr,1134),0)</f>
        <v/>
      </c>
      <c r="N1140" s="95">
        <f>IF(H1140=1,INDEX(tx_TaxCr,1134),0)</f>
        <v/>
      </c>
      <c r="O1140" s="101">
        <f>IF(H1140=1,IF(E1140&lt;FYStart,0,IF(E1140&gt;FYEnd,13,YEAR(E1140)*12+MONTH(E1140)-FYYM+1)),"")</f>
        <v/>
      </c>
      <c r="P1140" s="101">
        <f>IF(H1140=1,IF(IFERROR(INDEX(coa_CF,MATCH(I1140,coa_Name,0)),"")="Cash",1,0),0)</f>
        <v/>
      </c>
      <c r="Q1140" s="101">
        <f>IF(H1140=1,IF(IFERROR(INDEX(coa_CF,MATCH(K1140,coa_Name,0)),"")="Cash",1,0),0)</f>
        <v/>
      </c>
      <c r="R1140" s="58">
        <f>IF((P1140-Q1140)=0,"",IFERROR(INDEX(coa_CF,MATCH(IF((P1140-Q1140)=1,K1140,I1140),coa_Name,0)),"Operating"))</f>
        <v/>
      </c>
      <c r="S1140" s="95">
        <f>IF((P1140-Q1140)=1,L1140,IF((P1140-Q1140)=-1,-J1140,0))</f>
        <v/>
      </c>
      <c r="T1140" s="95">
        <f>IF((P1140-Q1140)=1,N1140,IF((P1140-Q1140)=-1,-M1140,0))</f>
        <v/>
      </c>
      <c r="U1140" s="101">
        <f>IF(AND(H1140=1,LedAcct&lt;&gt;""),IF(AND(E1140&gt;=LedFrom,E1140&lt;=LedTo,OR(I1140=LedAcct,K1140=LedAcct,AND(LedAcct=acctTax,M1140+N1140&lt;&gt;0))),E1140*10000+B1140,""),"")</f>
        <v/>
      </c>
    </row>
    <row r="1141">
      <c r="B1141" s="101" t="n">
        <v>1135</v>
      </c>
      <c r="C1141" s="58" t="inlineStr">
        <is>
          <t>Transaction</t>
        </is>
      </c>
      <c r="D1141" s="58">
        <f>IF(H1141=1,INDEX(tx_ID,1135)&amp;"","")</f>
        <v/>
      </c>
      <c r="E1141" s="94">
        <f>IF(H1141=1,INDEX(tx_Date,1135),"")</f>
        <v/>
      </c>
      <c r="F1141" s="58">
        <f>IF(H1141=1,INDEX(tx_Desc,1135)&amp;"","")</f>
        <v/>
      </c>
      <c r="G1141" s="58">
        <f>IF(H1141=1,IF(INDEX(tx_Cust,1135)&amp;""&lt;&gt;"",INDEX(tx_Cust,1135)&amp;"",INDEX(tx_Vend,1135)&amp;""),"")</f>
        <v/>
      </c>
      <c r="H1141" s="101">
        <f>IFERROR(N(INDEX(tx_Posted,1135)),0)</f>
        <v/>
      </c>
      <c r="I1141" s="58">
        <f>IF(H1141=1,INDEX(tx_DrAcct,1135)&amp;"","")</f>
        <v/>
      </c>
      <c r="J1141" s="95">
        <f>IF(H1141=1,INDEX(tx_DrAmt,1135),0)</f>
        <v/>
      </c>
      <c r="K1141" s="58">
        <f>IF(H1141=1,INDEX(tx_CrAcct,1135)&amp;"","")</f>
        <v/>
      </c>
      <c r="L1141" s="95">
        <f>IF(H1141=1,INDEX(tx_CrAmt,1135),0)</f>
        <v/>
      </c>
      <c r="M1141" s="95">
        <f>IF(H1141=1,INDEX(tx_TaxDr,1135),0)</f>
        <v/>
      </c>
      <c r="N1141" s="95">
        <f>IF(H1141=1,INDEX(tx_TaxCr,1135),0)</f>
        <v/>
      </c>
      <c r="O1141" s="101">
        <f>IF(H1141=1,IF(E1141&lt;FYStart,0,IF(E1141&gt;FYEnd,13,YEAR(E1141)*12+MONTH(E1141)-FYYM+1)),"")</f>
        <v/>
      </c>
      <c r="P1141" s="101">
        <f>IF(H1141=1,IF(IFERROR(INDEX(coa_CF,MATCH(I1141,coa_Name,0)),"")="Cash",1,0),0)</f>
        <v/>
      </c>
      <c r="Q1141" s="101">
        <f>IF(H1141=1,IF(IFERROR(INDEX(coa_CF,MATCH(K1141,coa_Name,0)),"")="Cash",1,0),0)</f>
        <v/>
      </c>
      <c r="R1141" s="58">
        <f>IF((P1141-Q1141)=0,"",IFERROR(INDEX(coa_CF,MATCH(IF((P1141-Q1141)=1,K1141,I1141),coa_Name,0)),"Operating"))</f>
        <v/>
      </c>
      <c r="S1141" s="95">
        <f>IF((P1141-Q1141)=1,L1141,IF((P1141-Q1141)=-1,-J1141,0))</f>
        <v/>
      </c>
      <c r="T1141" s="95">
        <f>IF((P1141-Q1141)=1,N1141,IF((P1141-Q1141)=-1,-M1141,0))</f>
        <v/>
      </c>
      <c r="U1141" s="101">
        <f>IF(AND(H1141=1,LedAcct&lt;&gt;""),IF(AND(E1141&gt;=LedFrom,E1141&lt;=LedTo,OR(I1141=LedAcct,K1141=LedAcct,AND(LedAcct=acctTax,M1141+N1141&lt;&gt;0))),E1141*10000+B1141,""),"")</f>
        <v/>
      </c>
    </row>
    <row r="1142">
      <c r="B1142" s="101" t="n">
        <v>1136</v>
      </c>
      <c r="C1142" s="58" t="inlineStr">
        <is>
          <t>Transaction</t>
        </is>
      </c>
      <c r="D1142" s="58">
        <f>IF(H1142=1,INDEX(tx_ID,1136)&amp;"","")</f>
        <v/>
      </c>
      <c r="E1142" s="94">
        <f>IF(H1142=1,INDEX(tx_Date,1136),"")</f>
        <v/>
      </c>
      <c r="F1142" s="58">
        <f>IF(H1142=1,INDEX(tx_Desc,1136)&amp;"","")</f>
        <v/>
      </c>
      <c r="G1142" s="58">
        <f>IF(H1142=1,IF(INDEX(tx_Cust,1136)&amp;""&lt;&gt;"",INDEX(tx_Cust,1136)&amp;"",INDEX(tx_Vend,1136)&amp;""),"")</f>
        <v/>
      </c>
      <c r="H1142" s="101">
        <f>IFERROR(N(INDEX(tx_Posted,1136)),0)</f>
        <v/>
      </c>
      <c r="I1142" s="58">
        <f>IF(H1142=1,INDEX(tx_DrAcct,1136)&amp;"","")</f>
        <v/>
      </c>
      <c r="J1142" s="95">
        <f>IF(H1142=1,INDEX(tx_DrAmt,1136),0)</f>
        <v/>
      </c>
      <c r="K1142" s="58">
        <f>IF(H1142=1,INDEX(tx_CrAcct,1136)&amp;"","")</f>
        <v/>
      </c>
      <c r="L1142" s="95">
        <f>IF(H1142=1,INDEX(tx_CrAmt,1136),0)</f>
        <v/>
      </c>
      <c r="M1142" s="95">
        <f>IF(H1142=1,INDEX(tx_TaxDr,1136),0)</f>
        <v/>
      </c>
      <c r="N1142" s="95">
        <f>IF(H1142=1,INDEX(tx_TaxCr,1136),0)</f>
        <v/>
      </c>
      <c r="O1142" s="101">
        <f>IF(H1142=1,IF(E1142&lt;FYStart,0,IF(E1142&gt;FYEnd,13,YEAR(E1142)*12+MONTH(E1142)-FYYM+1)),"")</f>
        <v/>
      </c>
      <c r="P1142" s="101">
        <f>IF(H1142=1,IF(IFERROR(INDEX(coa_CF,MATCH(I1142,coa_Name,0)),"")="Cash",1,0),0)</f>
        <v/>
      </c>
      <c r="Q1142" s="101">
        <f>IF(H1142=1,IF(IFERROR(INDEX(coa_CF,MATCH(K1142,coa_Name,0)),"")="Cash",1,0),0)</f>
        <v/>
      </c>
      <c r="R1142" s="58">
        <f>IF((P1142-Q1142)=0,"",IFERROR(INDEX(coa_CF,MATCH(IF((P1142-Q1142)=1,K1142,I1142),coa_Name,0)),"Operating"))</f>
        <v/>
      </c>
      <c r="S1142" s="95">
        <f>IF((P1142-Q1142)=1,L1142,IF((P1142-Q1142)=-1,-J1142,0))</f>
        <v/>
      </c>
      <c r="T1142" s="95">
        <f>IF((P1142-Q1142)=1,N1142,IF((P1142-Q1142)=-1,-M1142,0))</f>
        <v/>
      </c>
      <c r="U1142" s="101">
        <f>IF(AND(H1142=1,LedAcct&lt;&gt;""),IF(AND(E1142&gt;=LedFrom,E1142&lt;=LedTo,OR(I1142=LedAcct,K1142=LedAcct,AND(LedAcct=acctTax,M1142+N1142&lt;&gt;0))),E1142*10000+B1142,""),"")</f>
        <v/>
      </c>
    </row>
    <row r="1143">
      <c r="B1143" s="101" t="n">
        <v>1137</v>
      </c>
      <c r="C1143" s="58" t="inlineStr">
        <is>
          <t>Transaction</t>
        </is>
      </c>
      <c r="D1143" s="58">
        <f>IF(H1143=1,INDEX(tx_ID,1137)&amp;"","")</f>
        <v/>
      </c>
      <c r="E1143" s="94">
        <f>IF(H1143=1,INDEX(tx_Date,1137),"")</f>
        <v/>
      </c>
      <c r="F1143" s="58">
        <f>IF(H1143=1,INDEX(tx_Desc,1137)&amp;"","")</f>
        <v/>
      </c>
      <c r="G1143" s="58">
        <f>IF(H1143=1,IF(INDEX(tx_Cust,1137)&amp;""&lt;&gt;"",INDEX(tx_Cust,1137)&amp;"",INDEX(tx_Vend,1137)&amp;""),"")</f>
        <v/>
      </c>
      <c r="H1143" s="101">
        <f>IFERROR(N(INDEX(tx_Posted,1137)),0)</f>
        <v/>
      </c>
      <c r="I1143" s="58">
        <f>IF(H1143=1,INDEX(tx_DrAcct,1137)&amp;"","")</f>
        <v/>
      </c>
      <c r="J1143" s="95">
        <f>IF(H1143=1,INDEX(tx_DrAmt,1137),0)</f>
        <v/>
      </c>
      <c r="K1143" s="58">
        <f>IF(H1143=1,INDEX(tx_CrAcct,1137)&amp;"","")</f>
        <v/>
      </c>
      <c r="L1143" s="95">
        <f>IF(H1143=1,INDEX(tx_CrAmt,1137),0)</f>
        <v/>
      </c>
      <c r="M1143" s="95">
        <f>IF(H1143=1,INDEX(tx_TaxDr,1137),0)</f>
        <v/>
      </c>
      <c r="N1143" s="95">
        <f>IF(H1143=1,INDEX(tx_TaxCr,1137),0)</f>
        <v/>
      </c>
      <c r="O1143" s="101">
        <f>IF(H1143=1,IF(E1143&lt;FYStart,0,IF(E1143&gt;FYEnd,13,YEAR(E1143)*12+MONTH(E1143)-FYYM+1)),"")</f>
        <v/>
      </c>
      <c r="P1143" s="101">
        <f>IF(H1143=1,IF(IFERROR(INDEX(coa_CF,MATCH(I1143,coa_Name,0)),"")="Cash",1,0),0)</f>
        <v/>
      </c>
      <c r="Q1143" s="101">
        <f>IF(H1143=1,IF(IFERROR(INDEX(coa_CF,MATCH(K1143,coa_Name,0)),"")="Cash",1,0),0)</f>
        <v/>
      </c>
      <c r="R1143" s="58">
        <f>IF((P1143-Q1143)=0,"",IFERROR(INDEX(coa_CF,MATCH(IF((P1143-Q1143)=1,K1143,I1143),coa_Name,0)),"Operating"))</f>
        <v/>
      </c>
      <c r="S1143" s="95">
        <f>IF((P1143-Q1143)=1,L1143,IF((P1143-Q1143)=-1,-J1143,0))</f>
        <v/>
      </c>
      <c r="T1143" s="95">
        <f>IF((P1143-Q1143)=1,N1143,IF((P1143-Q1143)=-1,-M1143,0))</f>
        <v/>
      </c>
      <c r="U1143" s="101">
        <f>IF(AND(H1143=1,LedAcct&lt;&gt;""),IF(AND(E1143&gt;=LedFrom,E1143&lt;=LedTo,OR(I1143=LedAcct,K1143=LedAcct,AND(LedAcct=acctTax,M1143+N1143&lt;&gt;0))),E1143*10000+B1143,""),"")</f>
        <v/>
      </c>
    </row>
    <row r="1144">
      <c r="B1144" s="101" t="n">
        <v>1138</v>
      </c>
      <c r="C1144" s="58" t="inlineStr">
        <is>
          <t>Transaction</t>
        </is>
      </c>
      <c r="D1144" s="58">
        <f>IF(H1144=1,INDEX(tx_ID,1138)&amp;"","")</f>
        <v/>
      </c>
      <c r="E1144" s="94">
        <f>IF(H1144=1,INDEX(tx_Date,1138),"")</f>
        <v/>
      </c>
      <c r="F1144" s="58">
        <f>IF(H1144=1,INDEX(tx_Desc,1138)&amp;"","")</f>
        <v/>
      </c>
      <c r="G1144" s="58">
        <f>IF(H1144=1,IF(INDEX(tx_Cust,1138)&amp;""&lt;&gt;"",INDEX(tx_Cust,1138)&amp;"",INDEX(tx_Vend,1138)&amp;""),"")</f>
        <v/>
      </c>
      <c r="H1144" s="101">
        <f>IFERROR(N(INDEX(tx_Posted,1138)),0)</f>
        <v/>
      </c>
      <c r="I1144" s="58">
        <f>IF(H1144=1,INDEX(tx_DrAcct,1138)&amp;"","")</f>
        <v/>
      </c>
      <c r="J1144" s="95">
        <f>IF(H1144=1,INDEX(tx_DrAmt,1138),0)</f>
        <v/>
      </c>
      <c r="K1144" s="58">
        <f>IF(H1144=1,INDEX(tx_CrAcct,1138)&amp;"","")</f>
        <v/>
      </c>
      <c r="L1144" s="95">
        <f>IF(H1144=1,INDEX(tx_CrAmt,1138),0)</f>
        <v/>
      </c>
      <c r="M1144" s="95">
        <f>IF(H1144=1,INDEX(tx_TaxDr,1138),0)</f>
        <v/>
      </c>
      <c r="N1144" s="95">
        <f>IF(H1144=1,INDEX(tx_TaxCr,1138),0)</f>
        <v/>
      </c>
      <c r="O1144" s="101">
        <f>IF(H1144=1,IF(E1144&lt;FYStart,0,IF(E1144&gt;FYEnd,13,YEAR(E1144)*12+MONTH(E1144)-FYYM+1)),"")</f>
        <v/>
      </c>
      <c r="P1144" s="101">
        <f>IF(H1144=1,IF(IFERROR(INDEX(coa_CF,MATCH(I1144,coa_Name,0)),"")="Cash",1,0),0)</f>
        <v/>
      </c>
      <c r="Q1144" s="101">
        <f>IF(H1144=1,IF(IFERROR(INDEX(coa_CF,MATCH(K1144,coa_Name,0)),"")="Cash",1,0),0)</f>
        <v/>
      </c>
      <c r="R1144" s="58">
        <f>IF((P1144-Q1144)=0,"",IFERROR(INDEX(coa_CF,MATCH(IF((P1144-Q1144)=1,K1144,I1144),coa_Name,0)),"Operating"))</f>
        <v/>
      </c>
      <c r="S1144" s="95">
        <f>IF((P1144-Q1144)=1,L1144,IF((P1144-Q1144)=-1,-J1144,0))</f>
        <v/>
      </c>
      <c r="T1144" s="95">
        <f>IF((P1144-Q1144)=1,N1144,IF((P1144-Q1144)=-1,-M1144,0))</f>
        <v/>
      </c>
      <c r="U1144" s="101">
        <f>IF(AND(H1144=1,LedAcct&lt;&gt;""),IF(AND(E1144&gt;=LedFrom,E1144&lt;=LedTo,OR(I1144=LedAcct,K1144=LedAcct,AND(LedAcct=acctTax,M1144+N1144&lt;&gt;0))),E1144*10000+B1144,""),"")</f>
        <v/>
      </c>
    </row>
    <row r="1145">
      <c r="B1145" s="101" t="n">
        <v>1139</v>
      </c>
      <c r="C1145" s="58" t="inlineStr">
        <is>
          <t>Transaction</t>
        </is>
      </c>
      <c r="D1145" s="58">
        <f>IF(H1145=1,INDEX(tx_ID,1139)&amp;"","")</f>
        <v/>
      </c>
      <c r="E1145" s="94">
        <f>IF(H1145=1,INDEX(tx_Date,1139),"")</f>
        <v/>
      </c>
      <c r="F1145" s="58">
        <f>IF(H1145=1,INDEX(tx_Desc,1139)&amp;"","")</f>
        <v/>
      </c>
      <c r="G1145" s="58">
        <f>IF(H1145=1,IF(INDEX(tx_Cust,1139)&amp;""&lt;&gt;"",INDEX(tx_Cust,1139)&amp;"",INDEX(tx_Vend,1139)&amp;""),"")</f>
        <v/>
      </c>
      <c r="H1145" s="101">
        <f>IFERROR(N(INDEX(tx_Posted,1139)),0)</f>
        <v/>
      </c>
      <c r="I1145" s="58">
        <f>IF(H1145=1,INDEX(tx_DrAcct,1139)&amp;"","")</f>
        <v/>
      </c>
      <c r="J1145" s="95">
        <f>IF(H1145=1,INDEX(tx_DrAmt,1139),0)</f>
        <v/>
      </c>
      <c r="K1145" s="58">
        <f>IF(H1145=1,INDEX(tx_CrAcct,1139)&amp;"","")</f>
        <v/>
      </c>
      <c r="L1145" s="95">
        <f>IF(H1145=1,INDEX(tx_CrAmt,1139),0)</f>
        <v/>
      </c>
      <c r="M1145" s="95">
        <f>IF(H1145=1,INDEX(tx_TaxDr,1139),0)</f>
        <v/>
      </c>
      <c r="N1145" s="95">
        <f>IF(H1145=1,INDEX(tx_TaxCr,1139),0)</f>
        <v/>
      </c>
      <c r="O1145" s="101">
        <f>IF(H1145=1,IF(E1145&lt;FYStart,0,IF(E1145&gt;FYEnd,13,YEAR(E1145)*12+MONTH(E1145)-FYYM+1)),"")</f>
        <v/>
      </c>
      <c r="P1145" s="101">
        <f>IF(H1145=1,IF(IFERROR(INDEX(coa_CF,MATCH(I1145,coa_Name,0)),"")="Cash",1,0),0)</f>
        <v/>
      </c>
      <c r="Q1145" s="101">
        <f>IF(H1145=1,IF(IFERROR(INDEX(coa_CF,MATCH(K1145,coa_Name,0)),"")="Cash",1,0),0)</f>
        <v/>
      </c>
      <c r="R1145" s="58">
        <f>IF((P1145-Q1145)=0,"",IFERROR(INDEX(coa_CF,MATCH(IF((P1145-Q1145)=1,K1145,I1145),coa_Name,0)),"Operating"))</f>
        <v/>
      </c>
      <c r="S1145" s="95">
        <f>IF((P1145-Q1145)=1,L1145,IF((P1145-Q1145)=-1,-J1145,0))</f>
        <v/>
      </c>
      <c r="T1145" s="95">
        <f>IF((P1145-Q1145)=1,N1145,IF((P1145-Q1145)=-1,-M1145,0))</f>
        <v/>
      </c>
      <c r="U1145" s="101">
        <f>IF(AND(H1145=1,LedAcct&lt;&gt;""),IF(AND(E1145&gt;=LedFrom,E1145&lt;=LedTo,OR(I1145=LedAcct,K1145=LedAcct,AND(LedAcct=acctTax,M1145+N1145&lt;&gt;0))),E1145*10000+B1145,""),"")</f>
        <v/>
      </c>
    </row>
    <row r="1146">
      <c r="B1146" s="101" t="n">
        <v>1140</v>
      </c>
      <c r="C1146" s="58" t="inlineStr">
        <is>
          <t>Transaction</t>
        </is>
      </c>
      <c r="D1146" s="58">
        <f>IF(H1146=1,INDEX(tx_ID,1140)&amp;"","")</f>
        <v/>
      </c>
      <c r="E1146" s="94">
        <f>IF(H1146=1,INDEX(tx_Date,1140),"")</f>
        <v/>
      </c>
      <c r="F1146" s="58">
        <f>IF(H1146=1,INDEX(tx_Desc,1140)&amp;"","")</f>
        <v/>
      </c>
      <c r="G1146" s="58">
        <f>IF(H1146=1,IF(INDEX(tx_Cust,1140)&amp;""&lt;&gt;"",INDEX(tx_Cust,1140)&amp;"",INDEX(tx_Vend,1140)&amp;""),"")</f>
        <v/>
      </c>
      <c r="H1146" s="101">
        <f>IFERROR(N(INDEX(tx_Posted,1140)),0)</f>
        <v/>
      </c>
      <c r="I1146" s="58">
        <f>IF(H1146=1,INDEX(tx_DrAcct,1140)&amp;"","")</f>
        <v/>
      </c>
      <c r="J1146" s="95">
        <f>IF(H1146=1,INDEX(tx_DrAmt,1140),0)</f>
        <v/>
      </c>
      <c r="K1146" s="58">
        <f>IF(H1146=1,INDEX(tx_CrAcct,1140)&amp;"","")</f>
        <v/>
      </c>
      <c r="L1146" s="95">
        <f>IF(H1146=1,INDEX(tx_CrAmt,1140),0)</f>
        <v/>
      </c>
      <c r="M1146" s="95">
        <f>IF(H1146=1,INDEX(tx_TaxDr,1140),0)</f>
        <v/>
      </c>
      <c r="N1146" s="95">
        <f>IF(H1146=1,INDEX(tx_TaxCr,1140),0)</f>
        <v/>
      </c>
      <c r="O1146" s="101">
        <f>IF(H1146=1,IF(E1146&lt;FYStart,0,IF(E1146&gt;FYEnd,13,YEAR(E1146)*12+MONTH(E1146)-FYYM+1)),"")</f>
        <v/>
      </c>
      <c r="P1146" s="101">
        <f>IF(H1146=1,IF(IFERROR(INDEX(coa_CF,MATCH(I1146,coa_Name,0)),"")="Cash",1,0),0)</f>
        <v/>
      </c>
      <c r="Q1146" s="101">
        <f>IF(H1146=1,IF(IFERROR(INDEX(coa_CF,MATCH(K1146,coa_Name,0)),"")="Cash",1,0),0)</f>
        <v/>
      </c>
      <c r="R1146" s="58">
        <f>IF((P1146-Q1146)=0,"",IFERROR(INDEX(coa_CF,MATCH(IF((P1146-Q1146)=1,K1146,I1146),coa_Name,0)),"Operating"))</f>
        <v/>
      </c>
      <c r="S1146" s="95">
        <f>IF((P1146-Q1146)=1,L1146,IF((P1146-Q1146)=-1,-J1146,0))</f>
        <v/>
      </c>
      <c r="T1146" s="95">
        <f>IF((P1146-Q1146)=1,N1146,IF((P1146-Q1146)=-1,-M1146,0))</f>
        <v/>
      </c>
      <c r="U1146" s="101">
        <f>IF(AND(H1146=1,LedAcct&lt;&gt;""),IF(AND(E1146&gt;=LedFrom,E1146&lt;=LedTo,OR(I1146=LedAcct,K1146=LedAcct,AND(LedAcct=acctTax,M1146+N1146&lt;&gt;0))),E1146*10000+B1146,""),"")</f>
        <v/>
      </c>
    </row>
    <row r="1147">
      <c r="B1147" s="101" t="n">
        <v>1141</v>
      </c>
      <c r="C1147" s="58" t="inlineStr">
        <is>
          <t>Transaction</t>
        </is>
      </c>
      <c r="D1147" s="58">
        <f>IF(H1147=1,INDEX(tx_ID,1141)&amp;"","")</f>
        <v/>
      </c>
      <c r="E1147" s="94">
        <f>IF(H1147=1,INDEX(tx_Date,1141),"")</f>
        <v/>
      </c>
      <c r="F1147" s="58">
        <f>IF(H1147=1,INDEX(tx_Desc,1141)&amp;"","")</f>
        <v/>
      </c>
      <c r="G1147" s="58">
        <f>IF(H1147=1,IF(INDEX(tx_Cust,1141)&amp;""&lt;&gt;"",INDEX(tx_Cust,1141)&amp;"",INDEX(tx_Vend,1141)&amp;""),"")</f>
        <v/>
      </c>
      <c r="H1147" s="101">
        <f>IFERROR(N(INDEX(tx_Posted,1141)),0)</f>
        <v/>
      </c>
      <c r="I1147" s="58">
        <f>IF(H1147=1,INDEX(tx_DrAcct,1141)&amp;"","")</f>
        <v/>
      </c>
      <c r="J1147" s="95">
        <f>IF(H1147=1,INDEX(tx_DrAmt,1141),0)</f>
        <v/>
      </c>
      <c r="K1147" s="58">
        <f>IF(H1147=1,INDEX(tx_CrAcct,1141)&amp;"","")</f>
        <v/>
      </c>
      <c r="L1147" s="95">
        <f>IF(H1147=1,INDEX(tx_CrAmt,1141),0)</f>
        <v/>
      </c>
      <c r="M1147" s="95">
        <f>IF(H1147=1,INDEX(tx_TaxDr,1141),0)</f>
        <v/>
      </c>
      <c r="N1147" s="95">
        <f>IF(H1147=1,INDEX(tx_TaxCr,1141),0)</f>
        <v/>
      </c>
      <c r="O1147" s="101">
        <f>IF(H1147=1,IF(E1147&lt;FYStart,0,IF(E1147&gt;FYEnd,13,YEAR(E1147)*12+MONTH(E1147)-FYYM+1)),"")</f>
        <v/>
      </c>
      <c r="P1147" s="101">
        <f>IF(H1147=1,IF(IFERROR(INDEX(coa_CF,MATCH(I1147,coa_Name,0)),"")="Cash",1,0),0)</f>
        <v/>
      </c>
      <c r="Q1147" s="101">
        <f>IF(H1147=1,IF(IFERROR(INDEX(coa_CF,MATCH(K1147,coa_Name,0)),"")="Cash",1,0),0)</f>
        <v/>
      </c>
      <c r="R1147" s="58">
        <f>IF((P1147-Q1147)=0,"",IFERROR(INDEX(coa_CF,MATCH(IF((P1147-Q1147)=1,K1147,I1147),coa_Name,0)),"Operating"))</f>
        <v/>
      </c>
      <c r="S1147" s="95">
        <f>IF((P1147-Q1147)=1,L1147,IF((P1147-Q1147)=-1,-J1147,0))</f>
        <v/>
      </c>
      <c r="T1147" s="95">
        <f>IF((P1147-Q1147)=1,N1147,IF((P1147-Q1147)=-1,-M1147,0))</f>
        <v/>
      </c>
      <c r="U1147" s="101">
        <f>IF(AND(H1147=1,LedAcct&lt;&gt;""),IF(AND(E1147&gt;=LedFrom,E1147&lt;=LedTo,OR(I1147=LedAcct,K1147=LedAcct,AND(LedAcct=acctTax,M1147+N1147&lt;&gt;0))),E1147*10000+B1147,""),"")</f>
        <v/>
      </c>
    </row>
    <row r="1148">
      <c r="B1148" s="101" t="n">
        <v>1142</v>
      </c>
      <c r="C1148" s="58" t="inlineStr">
        <is>
          <t>Transaction</t>
        </is>
      </c>
      <c r="D1148" s="58">
        <f>IF(H1148=1,INDEX(tx_ID,1142)&amp;"","")</f>
        <v/>
      </c>
      <c r="E1148" s="94">
        <f>IF(H1148=1,INDEX(tx_Date,1142),"")</f>
        <v/>
      </c>
      <c r="F1148" s="58">
        <f>IF(H1148=1,INDEX(tx_Desc,1142)&amp;"","")</f>
        <v/>
      </c>
      <c r="G1148" s="58">
        <f>IF(H1148=1,IF(INDEX(tx_Cust,1142)&amp;""&lt;&gt;"",INDEX(tx_Cust,1142)&amp;"",INDEX(tx_Vend,1142)&amp;""),"")</f>
        <v/>
      </c>
      <c r="H1148" s="101">
        <f>IFERROR(N(INDEX(tx_Posted,1142)),0)</f>
        <v/>
      </c>
      <c r="I1148" s="58">
        <f>IF(H1148=1,INDEX(tx_DrAcct,1142)&amp;"","")</f>
        <v/>
      </c>
      <c r="J1148" s="95">
        <f>IF(H1148=1,INDEX(tx_DrAmt,1142),0)</f>
        <v/>
      </c>
      <c r="K1148" s="58">
        <f>IF(H1148=1,INDEX(tx_CrAcct,1142)&amp;"","")</f>
        <v/>
      </c>
      <c r="L1148" s="95">
        <f>IF(H1148=1,INDEX(tx_CrAmt,1142),0)</f>
        <v/>
      </c>
      <c r="M1148" s="95">
        <f>IF(H1148=1,INDEX(tx_TaxDr,1142),0)</f>
        <v/>
      </c>
      <c r="N1148" s="95">
        <f>IF(H1148=1,INDEX(tx_TaxCr,1142),0)</f>
        <v/>
      </c>
      <c r="O1148" s="101">
        <f>IF(H1148=1,IF(E1148&lt;FYStart,0,IF(E1148&gt;FYEnd,13,YEAR(E1148)*12+MONTH(E1148)-FYYM+1)),"")</f>
        <v/>
      </c>
      <c r="P1148" s="101">
        <f>IF(H1148=1,IF(IFERROR(INDEX(coa_CF,MATCH(I1148,coa_Name,0)),"")="Cash",1,0),0)</f>
        <v/>
      </c>
      <c r="Q1148" s="101">
        <f>IF(H1148=1,IF(IFERROR(INDEX(coa_CF,MATCH(K1148,coa_Name,0)),"")="Cash",1,0),0)</f>
        <v/>
      </c>
      <c r="R1148" s="58">
        <f>IF((P1148-Q1148)=0,"",IFERROR(INDEX(coa_CF,MATCH(IF((P1148-Q1148)=1,K1148,I1148),coa_Name,0)),"Operating"))</f>
        <v/>
      </c>
      <c r="S1148" s="95">
        <f>IF((P1148-Q1148)=1,L1148,IF((P1148-Q1148)=-1,-J1148,0))</f>
        <v/>
      </c>
      <c r="T1148" s="95">
        <f>IF((P1148-Q1148)=1,N1148,IF((P1148-Q1148)=-1,-M1148,0))</f>
        <v/>
      </c>
      <c r="U1148" s="101">
        <f>IF(AND(H1148=1,LedAcct&lt;&gt;""),IF(AND(E1148&gt;=LedFrom,E1148&lt;=LedTo,OR(I1148=LedAcct,K1148=LedAcct,AND(LedAcct=acctTax,M1148+N1148&lt;&gt;0))),E1148*10000+B1148,""),"")</f>
        <v/>
      </c>
    </row>
    <row r="1149">
      <c r="B1149" s="101" t="n">
        <v>1143</v>
      </c>
      <c r="C1149" s="58" t="inlineStr">
        <is>
          <t>Transaction</t>
        </is>
      </c>
      <c r="D1149" s="58">
        <f>IF(H1149=1,INDEX(tx_ID,1143)&amp;"","")</f>
        <v/>
      </c>
      <c r="E1149" s="94">
        <f>IF(H1149=1,INDEX(tx_Date,1143),"")</f>
        <v/>
      </c>
      <c r="F1149" s="58">
        <f>IF(H1149=1,INDEX(tx_Desc,1143)&amp;"","")</f>
        <v/>
      </c>
      <c r="G1149" s="58">
        <f>IF(H1149=1,IF(INDEX(tx_Cust,1143)&amp;""&lt;&gt;"",INDEX(tx_Cust,1143)&amp;"",INDEX(tx_Vend,1143)&amp;""),"")</f>
        <v/>
      </c>
      <c r="H1149" s="101">
        <f>IFERROR(N(INDEX(tx_Posted,1143)),0)</f>
        <v/>
      </c>
      <c r="I1149" s="58">
        <f>IF(H1149=1,INDEX(tx_DrAcct,1143)&amp;"","")</f>
        <v/>
      </c>
      <c r="J1149" s="95">
        <f>IF(H1149=1,INDEX(tx_DrAmt,1143),0)</f>
        <v/>
      </c>
      <c r="K1149" s="58">
        <f>IF(H1149=1,INDEX(tx_CrAcct,1143)&amp;"","")</f>
        <v/>
      </c>
      <c r="L1149" s="95">
        <f>IF(H1149=1,INDEX(tx_CrAmt,1143),0)</f>
        <v/>
      </c>
      <c r="M1149" s="95">
        <f>IF(H1149=1,INDEX(tx_TaxDr,1143),0)</f>
        <v/>
      </c>
      <c r="N1149" s="95">
        <f>IF(H1149=1,INDEX(tx_TaxCr,1143),0)</f>
        <v/>
      </c>
      <c r="O1149" s="101">
        <f>IF(H1149=1,IF(E1149&lt;FYStart,0,IF(E1149&gt;FYEnd,13,YEAR(E1149)*12+MONTH(E1149)-FYYM+1)),"")</f>
        <v/>
      </c>
      <c r="P1149" s="101">
        <f>IF(H1149=1,IF(IFERROR(INDEX(coa_CF,MATCH(I1149,coa_Name,0)),"")="Cash",1,0),0)</f>
        <v/>
      </c>
      <c r="Q1149" s="101">
        <f>IF(H1149=1,IF(IFERROR(INDEX(coa_CF,MATCH(K1149,coa_Name,0)),"")="Cash",1,0),0)</f>
        <v/>
      </c>
      <c r="R1149" s="58">
        <f>IF((P1149-Q1149)=0,"",IFERROR(INDEX(coa_CF,MATCH(IF((P1149-Q1149)=1,K1149,I1149),coa_Name,0)),"Operating"))</f>
        <v/>
      </c>
      <c r="S1149" s="95">
        <f>IF((P1149-Q1149)=1,L1149,IF((P1149-Q1149)=-1,-J1149,0))</f>
        <v/>
      </c>
      <c r="T1149" s="95">
        <f>IF((P1149-Q1149)=1,N1149,IF((P1149-Q1149)=-1,-M1149,0))</f>
        <v/>
      </c>
      <c r="U1149" s="101">
        <f>IF(AND(H1149=1,LedAcct&lt;&gt;""),IF(AND(E1149&gt;=LedFrom,E1149&lt;=LedTo,OR(I1149=LedAcct,K1149=LedAcct,AND(LedAcct=acctTax,M1149+N1149&lt;&gt;0))),E1149*10000+B1149,""),"")</f>
        <v/>
      </c>
    </row>
    <row r="1150">
      <c r="B1150" s="101" t="n">
        <v>1144</v>
      </c>
      <c r="C1150" s="58" t="inlineStr">
        <is>
          <t>Transaction</t>
        </is>
      </c>
      <c r="D1150" s="58">
        <f>IF(H1150=1,INDEX(tx_ID,1144)&amp;"","")</f>
        <v/>
      </c>
      <c r="E1150" s="94">
        <f>IF(H1150=1,INDEX(tx_Date,1144),"")</f>
        <v/>
      </c>
      <c r="F1150" s="58">
        <f>IF(H1150=1,INDEX(tx_Desc,1144)&amp;"","")</f>
        <v/>
      </c>
      <c r="G1150" s="58">
        <f>IF(H1150=1,IF(INDEX(tx_Cust,1144)&amp;""&lt;&gt;"",INDEX(tx_Cust,1144)&amp;"",INDEX(tx_Vend,1144)&amp;""),"")</f>
        <v/>
      </c>
      <c r="H1150" s="101">
        <f>IFERROR(N(INDEX(tx_Posted,1144)),0)</f>
        <v/>
      </c>
      <c r="I1150" s="58">
        <f>IF(H1150=1,INDEX(tx_DrAcct,1144)&amp;"","")</f>
        <v/>
      </c>
      <c r="J1150" s="95">
        <f>IF(H1150=1,INDEX(tx_DrAmt,1144),0)</f>
        <v/>
      </c>
      <c r="K1150" s="58">
        <f>IF(H1150=1,INDEX(tx_CrAcct,1144)&amp;"","")</f>
        <v/>
      </c>
      <c r="L1150" s="95">
        <f>IF(H1150=1,INDEX(tx_CrAmt,1144),0)</f>
        <v/>
      </c>
      <c r="M1150" s="95">
        <f>IF(H1150=1,INDEX(tx_TaxDr,1144),0)</f>
        <v/>
      </c>
      <c r="N1150" s="95">
        <f>IF(H1150=1,INDEX(tx_TaxCr,1144),0)</f>
        <v/>
      </c>
      <c r="O1150" s="101">
        <f>IF(H1150=1,IF(E1150&lt;FYStart,0,IF(E1150&gt;FYEnd,13,YEAR(E1150)*12+MONTH(E1150)-FYYM+1)),"")</f>
        <v/>
      </c>
      <c r="P1150" s="101">
        <f>IF(H1150=1,IF(IFERROR(INDEX(coa_CF,MATCH(I1150,coa_Name,0)),"")="Cash",1,0),0)</f>
        <v/>
      </c>
      <c r="Q1150" s="101">
        <f>IF(H1150=1,IF(IFERROR(INDEX(coa_CF,MATCH(K1150,coa_Name,0)),"")="Cash",1,0),0)</f>
        <v/>
      </c>
      <c r="R1150" s="58">
        <f>IF((P1150-Q1150)=0,"",IFERROR(INDEX(coa_CF,MATCH(IF((P1150-Q1150)=1,K1150,I1150),coa_Name,0)),"Operating"))</f>
        <v/>
      </c>
      <c r="S1150" s="95">
        <f>IF((P1150-Q1150)=1,L1150,IF((P1150-Q1150)=-1,-J1150,0))</f>
        <v/>
      </c>
      <c r="T1150" s="95">
        <f>IF((P1150-Q1150)=1,N1150,IF((P1150-Q1150)=-1,-M1150,0))</f>
        <v/>
      </c>
      <c r="U1150" s="101">
        <f>IF(AND(H1150=1,LedAcct&lt;&gt;""),IF(AND(E1150&gt;=LedFrom,E1150&lt;=LedTo,OR(I1150=LedAcct,K1150=LedAcct,AND(LedAcct=acctTax,M1150+N1150&lt;&gt;0))),E1150*10000+B1150,""),"")</f>
        <v/>
      </c>
    </row>
    <row r="1151">
      <c r="B1151" s="101" t="n">
        <v>1145</v>
      </c>
      <c r="C1151" s="58" t="inlineStr">
        <is>
          <t>Transaction</t>
        </is>
      </c>
      <c r="D1151" s="58">
        <f>IF(H1151=1,INDEX(tx_ID,1145)&amp;"","")</f>
        <v/>
      </c>
      <c r="E1151" s="94">
        <f>IF(H1151=1,INDEX(tx_Date,1145),"")</f>
        <v/>
      </c>
      <c r="F1151" s="58">
        <f>IF(H1151=1,INDEX(tx_Desc,1145)&amp;"","")</f>
        <v/>
      </c>
      <c r="G1151" s="58">
        <f>IF(H1151=1,IF(INDEX(tx_Cust,1145)&amp;""&lt;&gt;"",INDEX(tx_Cust,1145)&amp;"",INDEX(tx_Vend,1145)&amp;""),"")</f>
        <v/>
      </c>
      <c r="H1151" s="101">
        <f>IFERROR(N(INDEX(tx_Posted,1145)),0)</f>
        <v/>
      </c>
      <c r="I1151" s="58">
        <f>IF(H1151=1,INDEX(tx_DrAcct,1145)&amp;"","")</f>
        <v/>
      </c>
      <c r="J1151" s="95">
        <f>IF(H1151=1,INDEX(tx_DrAmt,1145),0)</f>
        <v/>
      </c>
      <c r="K1151" s="58">
        <f>IF(H1151=1,INDEX(tx_CrAcct,1145)&amp;"","")</f>
        <v/>
      </c>
      <c r="L1151" s="95">
        <f>IF(H1151=1,INDEX(tx_CrAmt,1145),0)</f>
        <v/>
      </c>
      <c r="M1151" s="95">
        <f>IF(H1151=1,INDEX(tx_TaxDr,1145),0)</f>
        <v/>
      </c>
      <c r="N1151" s="95">
        <f>IF(H1151=1,INDEX(tx_TaxCr,1145),0)</f>
        <v/>
      </c>
      <c r="O1151" s="101">
        <f>IF(H1151=1,IF(E1151&lt;FYStart,0,IF(E1151&gt;FYEnd,13,YEAR(E1151)*12+MONTH(E1151)-FYYM+1)),"")</f>
        <v/>
      </c>
      <c r="P1151" s="101">
        <f>IF(H1151=1,IF(IFERROR(INDEX(coa_CF,MATCH(I1151,coa_Name,0)),"")="Cash",1,0),0)</f>
        <v/>
      </c>
      <c r="Q1151" s="101">
        <f>IF(H1151=1,IF(IFERROR(INDEX(coa_CF,MATCH(K1151,coa_Name,0)),"")="Cash",1,0),0)</f>
        <v/>
      </c>
      <c r="R1151" s="58">
        <f>IF((P1151-Q1151)=0,"",IFERROR(INDEX(coa_CF,MATCH(IF((P1151-Q1151)=1,K1151,I1151),coa_Name,0)),"Operating"))</f>
        <v/>
      </c>
      <c r="S1151" s="95">
        <f>IF((P1151-Q1151)=1,L1151,IF((P1151-Q1151)=-1,-J1151,0))</f>
        <v/>
      </c>
      <c r="T1151" s="95">
        <f>IF((P1151-Q1151)=1,N1151,IF((P1151-Q1151)=-1,-M1151,0))</f>
        <v/>
      </c>
      <c r="U1151" s="101">
        <f>IF(AND(H1151=1,LedAcct&lt;&gt;""),IF(AND(E1151&gt;=LedFrom,E1151&lt;=LedTo,OR(I1151=LedAcct,K1151=LedAcct,AND(LedAcct=acctTax,M1151+N1151&lt;&gt;0))),E1151*10000+B1151,""),"")</f>
        <v/>
      </c>
    </row>
    <row r="1152">
      <c r="B1152" s="101" t="n">
        <v>1146</v>
      </c>
      <c r="C1152" s="58" t="inlineStr">
        <is>
          <t>Transaction</t>
        </is>
      </c>
      <c r="D1152" s="58">
        <f>IF(H1152=1,INDEX(tx_ID,1146)&amp;"","")</f>
        <v/>
      </c>
      <c r="E1152" s="94">
        <f>IF(H1152=1,INDEX(tx_Date,1146),"")</f>
        <v/>
      </c>
      <c r="F1152" s="58">
        <f>IF(H1152=1,INDEX(tx_Desc,1146)&amp;"","")</f>
        <v/>
      </c>
      <c r="G1152" s="58">
        <f>IF(H1152=1,IF(INDEX(tx_Cust,1146)&amp;""&lt;&gt;"",INDEX(tx_Cust,1146)&amp;"",INDEX(tx_Vend,1146)&amp;""),"")</f>
        <v/>
      </c>
      <c r="H1152" s="101">
        <f>IFERROR(N(INDEX(tx_Posted,1146)),0)</f>
        <v/>
      </c>
      <c r="I1152" s="58">
        <f>IF(H1152=1,INDEX(tx_DrAcct,1146)&amp;"","")</f>
        <v/>
      </c>
      <c r="J1152" s="95">
        <f>IF(H1152=1,INDEX(tx_DrAmt,1146),0)</f>
        <v/>
      </c>
      <c r="K1152" s="58">
        <f>IF(H1152=1,INDEX(tx_CrAcct,1146)&amp;"","")</f>
        <v/>
      </c>
      <c r="L1152" s="95">
        <f>IF(H1152=1,INDEX(tx_CrAmt,1146),0)</f>
        <v/>
      </c>
      <c r="M1152" s="95">
        <f>IF(H1152=1,INDEX(tx_TaxDr,1146),0)</f>
        <v/>
      </c>
      <c r="N1152" s="95">
        <f>IF(H1152=1,INDEX(tx_TaxCr,1146),0)</f>
        <v/>
      </c>
      <c r="O1152" s="101">
        <f>IF(H1152=1,IF(E1152&lt;FYStart,0,IF(E1152&gt;FYEnd,13,YEAR(E1152)*12+MONTH(E1152)-FYYM+1)),"")</f>
        <v/>
      </c>
      <c r="P1152" s="101">
        <f>IF(H1152=1,IF(IFERROR(INDEX(coa_CF,MATCH(I1152,coa_Name,0)),"")="Cash",1,0),0)</f>
        <v/>
      </c>
      <c r="Q1152" s="101">
        <f>IF(H1152=1,IF(IFERROR(INDEX(coa_CF,MATCH(K1152,coa_Name,0)),"")="Cash",1,0),0)</f>
        <v/>
      </c>
      <c r="R1152" s="58">
        <f>IF((P1152-Q1152)=0,"",IFERROR(INDEX(coa_CF,MATCH(IF((P1152-Q1152)=1,K1152,I1152),coa_Name,0)),"Operating"))</f>
        <v/>
      </c>
      <c r="S1152" s="95">
        <f>IF((P1152-Q1152)=1,L1152,IF((P1152-Q1152)=-1,-J1152,0))</f>
        <v/>
      </c>
      <c r="T1152" s="95">
        <f>IF((P1152-Q1152)=1,N1152,IF((P1152-Q1152)=-1,-M1152,0))</f>
        <v/>
      </c>
      <c r="U1152" s="101">
        <f>IF(AND(H1152=1,LedAcct&lt;&gt;""),IF(AND(E1152&gt;=LedFrom,E1152&lt;=LedTo,OR(I1152=LedAcct,K1152=LedAcct,AND(LedAcct=acctTax,M1152+N1152&lt;&gt;0))),E1152*10000+B1152,""),"")</f>
        <v/>
      </c>
    </row>
    <row r="1153">
      <c r="B1153" s="101" t="n">
        <v>1147</v>
      </c>
      <c r="C1153" s="58" t="inlineStr">
        <is>
          <t>Transaction</t>
        </is>
      </c>
      <c r="D1153" s="58">
        <f>IF(H1153=1,INDEX(tx_ID,1147)&amp;"","")</f>
        <v/>
      </c>
      <c r="E1153" s="94">
        <f>IF(H1153=1,INDEX(tx_Date,1147),"")</f>
        <v/>
      </c>
      <c r="F1153" s="58">
        <f>IF(H1153=1,INDEX(tx_Desc,1147)&amp;"","")</f>
        <v/>
      </c>
      <c r="G1153" s="58">
        <f>IF(H1153=1,IF(INDEX(tx_Cust,1147)&amp;""&lt;&gt;"",INDEX(tx_Cust,1147)&amp;"",INDEX(tx_Vend,1147)&amp;""),"")</f>
        <v/>
      </c>
      <c r="H1153" s="101">
        <f>IFERROR(N(INDEX(tx_Posted,1147)),0)</f>
        <v/>
      </c>
      <c r="I1153" s="58">
        <f>IF(H1153=1,INDEX(tx_DrAcct,1147)&amp;"","")</f>
        <v/>
      </c>
      <c r="J1153" s="95">
        <f>IF(H1153=1,INDEX(tx_DrAmt,1147),0)</f>
        <v/>
      </c>
      <c r="K1153" s="58">
        <f>IF(H1153=1,INDEX(tx_CrAcct,1147)&amp;"","")</f>
        <v/>
      </c>
      <c r="L1153" s="95">
        <f>IF(H1153=1,INDEX(tx_CrAmt,1147),0)</f>
        <v/>
      </c>
      <c r="M1153" s="95">
        <f>IF(H1153=1,INDEX(tx_TaxDr,1147),0)</f>
        <v/>
      </c>
      <c r="N1153" s="95">
        <f>IF(H1153=1,INDEX(tx_TaxCr,1147),0)</f>
        <v/>
      </c>
      <c r="O1153" s="101">
        <f>IF(H1153=1,IF(E1153&lt;FYStart,0,IF(E1153&gt;FYEnd,13,YEAR(E1153)*12+MONTH(E1153)-FYYM+1)),"")</f>
        <v/>
      </c>
      <c r="P1153" s="101">
        <f>IF(H1153=1,IF(IFERROR(INDEX(coa_CF,MATCH(I1153,coa_Name,0)),"")="Cash",1,0),0)</f>
        <v/>
      </c>
      <c r="Q1153" s="101">
        <f>IF(H1153=1,IF(IFERROR(INDEX(coa_CF,MATCH(K1153,coa_Name,0)),"")="Cash",1,0),0)</f>
        <v/>
      </c>
      <c r="R1153" s="58">
        <f>IF((P1153-Q1153)=0,"",IFERROR(INDEX(coa_CF,MATCH(IF((P1153-Q1153)=1,K1153,I1153),coa_Name,0)),"Operating"))</f>
        <v/>
      </c>
      <c r="S1153" s="95">
        <f>IF((P1153-Q1153)=1,L1153,IF((P1153-Q1153)=-1,-J1153,0))</f>
        <v/>
      </c>
      <c r="T1153" s="95">
        <f>IF((P1153-Q1153)=1,N1153,IF((P1153-Q1153)=-1,-M1153,0))</f>
        <v/>
      </c>
      <c r="U1153" s="101">
        <f>IF(AND(H1153=1,LedAcct&lt;&gt;""),IF(AND(E1153&gt;=LedFrom,E1153&lt;=LedTo,OR(I1153=LedAcct,K1153=LedAcct,AND(LedAcct=acctTax,M1153+N1153&lt;&gt;0))),E1153*10000+B1153,""),"")</f>
        <v/>
      </c>
    </row>
    <row r="1154">
      <c r="B1154" s="101" t="n">
        <v>1148</v>
      </c>
      <c r="C1154" s="58" t="inlineStr">
        <is>
          <t>Transaction</t>
        </is>
      </c>
      <c r="D1154" s="58">
        <f>IF(H1154=1,INDEX(tx_ID,1148)&amp;"","")</f>
        <v/>
      </c>
      <c r="E1154" s="94">
        <f>IF(H1154=1,INDEX(tx_Date,1148),"")</f>
        <v/>
      </c>
      <c r="F1154" s="58">
        <f>IF(H1154=1,INDEX(tx_Desc,1148)&amp;"","")</f>
        <v/>
      </c>
      <c r="G1154" s="58">
        <f>IF(H1154=1,IF(INDEX(tx_Cust,1148)&amp;""&lt;&gt;"",INDEX(tx_Cust,1148)&amp;"",INDEX(tx_Vend,1148)&amp;""),"")</f>
        <v/>
      </c>
      <c r="H1154" s="101">
        <f>IFERROR(N(INDEX(tx_Posted,1148)),0)</f>
        <v/>
      </c>
      <c r="I1154" s="58">
        <f>IF(H1154=1,INDEX(tx_DrAcct,1148)&amp;"","")</f>
        <v/>
      </c>
      <c r="J1154" s="95">
        <f>IF(H1154=1,INDEX(tx_DrAmt,1148),0)</f>
        <v/>
      </c>
      <c r="K1154" s="58">
        <f>IF(H1154=1,INDEX(tx_CrAcct,1148)&amp;"","")</f>
        <v/>
      </c>
      <c r="L1154" s="95">
        <f>IF(H1154=1,INDEX(tx_CrAmt,1148),0)</f>
        <v/>
      </c>
      <c r="M1154" s="95">
        <f>IF(H1154=1,INDEX(tx_TaxDr,1148),0)</f>
        <v/>
      </c>
      <c r="N1154" s="95">
        <f>IF(H1154=1,INDEX(tx_TaxCr,1148),0)</f>
        <v/>
      </c>
      <c r="O1154" s="101">
        <f>IF(H1154=1,IF(E1154&lt;FYStart,0,IF(E1154&gt;FYEnd,13,YEAR(E1154)*12+MONTH(E1154)-FYYM+1)),"")</f>
        <v/>
      </c>
      <c r="P1154" s="101">
        <f>IF(H1154=1,IF(IFERROR(INDEX(coa_CF,MATCH(I1154,coa_Name,0)),"")="Cash",1,0),0)</f>
        <v/>
      </c>
      <c r="Q1154" s="101">
        <f>IF(H1154=1,IF(IFERROR(INDEX(coa_CF,MATCH(K1154,coa_Name,0)),"")="Cash",1,0),0)</f>
        <v/>
      </c>
      <c r="R1154" s="58">
        <f>IF((P1154-Q1154)=0,"",IFERROR(INDEX(coa_CF,MATCH(IF((P1154-Q1154)=1,K1154,I1154),coa_Name,0)),"Operating"))</f>
        <v/>
      </c>
      <c r="S1154" s="95">
        <f>IF((P1154-Q1154)=1,L1154,IF((P1154-Q1154)=-1,-J1154,0))</f>
        <v/>
      </c>
      <c r="T1154" s="95">
        <f>IF((P1154-Q1154)=1,N1154,IF((P1154-Q1154)=-1,-M1154,0))</f>
        <v/>
      </c>
      <c r="U1154" s="101">
        <f>IF(AND(H1154=1,LedAcct&lt;&gt;""),IF(AND(E1154&gt;=LedFrom,E1154&lt;=LedTo,OR(I1154=LedAcct,K1154=LedAcct,AND(LedAcct=acctTax,M1154+N1154&lt;&gt;0))),E1154*10000+B1154,""),"")</f>
        <v/>
      </c>
    </row>
    <row r="1155">
      <c r="B1155" s="101" t="n">
        <v>1149</v>
      </c>
      <c r="C1155" s="58" t="inlineStr">
        <is>
          <t>Transaction</t>
        </is>
      </c>
      <c r="D1155" s="58">
        <f>IF(H1155=1,INDEX(tx_ID,1149)&amp;"","")</f>
        <v/>
      </c>
      <c r="E1155" s="94">
        <f>IF(H1155=1,INDEX(tx_Date,1149),"")</f>
        <v/>
      </c>
      <c r="F1155" s="58">
        <f>IF(H1155=1,INDEX(tx_Desc,1149)&amp;"","")</f>
        <v/>
      </c>
      <c r="G1155" s="58">
        <f>IF(H1155=1,IF(INDEX(tx_Cust,1149)&amp;""&lt;&gt;"",INDEX(tx_Cust,1149)&amp;"",INDEX(tx_Vend,1149)&amp;""),"")</f>
        <v/>
      </c>
      <c r="H1155" s="101">
        <f>IFERROR(N(INDEX(tx_Posted,1149)),0)</f>
        <v/>
      </c>
      <c r="I1155" s="58">
        <f>IF(H1155=1,INDEX(tx_DrAcct,1149)&amp;"","")</f>
        <v/>
      </c>
      <c r="J1155" s="95">
        <f>IF(H1155=1,INDEX(tx_DrAmt,1149),0)</f>
        <v/>
      </c>
      <c r="K1155" s="58">
        <f>IF(H1155=1,INDEX(tx_CrAcct,1149)&amp;"","")</f>
        <v/>
      </c>
      <c r="L1155" s="95">
        <f>IF(H1155=1,INDEX(tx_CrAmt,1149),0)</f>
        <v/>
      </c>
      <c r="M1155" s="95">
        <f>IF(H1155=1,INDEX(tx_TaxDr,1149),0)</f>
        <v/>
      </c>
      <c r="N1155" s="95">
        <f>IF(H1155=1,INDEX(tx_TaxCr,1149),0)</f>
        <v/>
      </c>
      <c r="O1155" s="101">
        <f>IF(H1155=1,IF(E1155&lt;FYStart,0,IF(E1155&gt;FYEnd,13,YEAR(E1155)*12+MONTH(E1155)-FYYM+1)),"")</f>
        <v/>
      </c>
      <c r="P1155" s="101">
        <f>IF(H1155=1,IF(IFERROR(INDEX(coa_CF,MATCH(I1155,coa_Name,0)),"")="Cash",1,0),0)</f>
        <v/>
      </c>
      <c r="Q1155" s="101">
        <f>IF(H1155=1,IF(IFERROR(INDEX(coa_CF,MATCH(K1155,coa_Name,0)),"")="Cash",1,0),0)</f>
        <v/>
      </c>
      <c r="R1155" s="58">
        <f>IF((P1155-Q1155)=0,"",IFERROR(INDEX(coa_CF,MATCH(IF((P1155-Q1155)=1,K1155,I1155),coa_Name,0)),"Operating"))</f>
        <v/>
      </c>
      <c r="S1155" s="95">
        <f>IF((P1155-Q1155)=1,L1155,IF((P1155-Q1155)=-1,-J1155,0))</f>
        <v/>
      </c>
      <c r="T1155" s="95">
        <f>IF((P1155-Q1155)=1,N1155,IF((P1155-Q1155)=-1,-M1155,0))</f>
        <v/>
      </c>
      <c r="U1155" s="101">
        <f>IF(AND(H1155=1,LedAcct&lt;&gt;""),IF(AND(E1155&gt;=LedFrom,E1155&lt;=LedTo,OR(I1155=LedAcct,K1155=LedAcct,AND(LedAcct=acctTax,M1155+N1155&lt;&gt;0))),E1155*10000+B1155,""),"")</f>
        <v/>
      </c>
    </row>
    <row r="1156">
      <c r="B1156" s="101" t="n">
        <v>1150</v>
      </c>
      <c r="C1156" s="58" t="inlineStr">
        <is>
          <t>Transaction</t>
        </is>
      </c>
      <c r="D1156" s="58">
        <f>IF(H1156=1,INDEX(tx_ID,1150)&amp;"","")</f>
        <v/>
      </c>
      <c r="E1156" s="94">
        <f>IF(H1156=1,INDEX(tx_Date,1150),"")</f>
        <v/>
      </c>
      <c r="F1156" s="58">
        <f>IF(H1156=1,INDEX(tx_Desc,1150)&amp;"","")</f>
        <v/>
      </c>
      <c r="G1156" s="58">
        <f>IF(H1156=1,IF(INDEX(tx_Cust,1150)&amp;""&lt;&gt;"",INDEX(tx_Cust,1150)&amp;"",INDEX(tx_Vend,1150)&amp;""),"")</f>
        <v/>
      </c>
      <c r="H1156" s="101">
        <f>IFERROR(N(INDEX(tx_Posted,1150)),0)</f>
        <v/>
      </c>
      <c r="I1156" s="58">
        <f>IF(H1156=1,INDEX(tx_DrAcct,1150)&amp;"","")</f>
        <v/>
      </c>
      <c r="J1156" s="95">
        <f>IF(H1156=1,INDEX(tx_DrAmt,1150),0)</f>
        <v/>
      </c>
      <c r="K1156" s="58">
        <f>IF(H1156=1,INDEX(tx_CrAcct,1150)&amp;"","")</f>
        <v/>
      </c>
      <c r="L1156" s="95">
        <f>IF(H1156=1,INDEX(tx_CrAmt,1150),0)</f>
        <v/>
      </c>
      <c r="M1156" s="95">
        <f>IF(H1156=1,INDEX(tx_TaxDr,1150),0)</f>
        <v/>
      </c>
      <c r="N1156" s="95">
        <f>IF(H1156=1,INDEX(tx_TaxCr,1150),0)</f>
        <v/>
      </c>
      <c r="O1156" s="101">
        <f>IF(H1156=1,IF(E1156&lt;FYStart,0,IF(E1156&gt;FYEnd,13,YEAR(E1156)*12+MONTH(E1156)-FYYM+1)),"")</f>
        <v/>
      </c>
      <c r="P1156" s="101">
        <f>IF(H1156=1,IF(IFERROR(INDEX(coa_CF,MATCH(I1156,coa_Name,0)),"")="Cash",1,0),0)</f>
        <v/>
      </c>
      <c r="Q1156" s="101">
        <f>IF(H1156=1,IF(IFERROR(INDEX(coa_CF,MATCH(K1156,coa_Name,0)),"")="Cash",1,0),0)</f>
        <v/>
      </c>
      <c r="R1156" s="58">
        <f>IF((P1156-Q1156)=0,"",IFERROR(INDEX(coa_CF,MATCH(IF((P1156-Q1156)=1,K1156,I1156),coa_Name,0)),"Operating"))</f>
        <v/>
      </c>
      <c r="S1156" s="95">
        <f>IF((P1156-Q1156)=1,L1156,IF((P1156-Q1156)=-1,-J1156,0))</f>
        <v/>
      </c>
      <c r="T1156" s="95">
        <f>IF((P1156-Q1156)=1,N1156,IF((P1156-Q1156)=-1,-M1156,0))</f>
        <v/>
      </c>
      <c r="U1156" s="101">
        <f>IF(AND(H1156=1,LedAcct&lt;&gt;""),IF(AND(E1156&gt;=LedFrom,E1156&lt;=LedTo,OR(I1156=LedAcct,K1156=LedAcct,AND(LedAcct=acctTax,M1156+N1156&lt;&gt;0))),E1156*10000+B1156,""),"")</f>
        <v/>
      </c>
    </row>
    <row r="1157">
      <c r="B1157" s="101" t="n">
        <v>1151</v>
      </c>
      <c r="C1157" s="58" t="inlineStr">
        <is>
          <t>Transaction</t>
        </is>
      </c>
      <c r="D1157" s="58">
        <f>IF(H1157=1,INDEX(tx_ID,1151)&amp;"","")</f>
        <v/>
      </c>
      <c r="E1157" s="94">
        <f>IF(H1157=1,INDEX(tx_Date,1151),"")</f>
        <v/>
      </c>
      <c r="F1157" s="58">
        <f>IF(H1157=1,INDEX(tx_Desc,1151)&amp;"","")</f>
        <v/>
      </c>
      <c r="G1157" s="58">
        <f>IF(H1157=1,IF(INDEX(tx_Cust,1151)&amp;""&lt;&gt;"",INDEX(tx_Cust,1151)&amp;"",INDEX(tx_Vend,1151)&amp;""),"")</f>
        <v/>
      </c>
      <c r="H1157" s="101">
        <f>IFERROR(N(INDEX(tx_Posted,1151)),0)</f>
        <v/>
      </c>
      <c r="I1157" s="58">
        <f>IF(H1157=1,INDEX(tx_DrAcct,1151)&amp;"","")</f>
        <v/>
      </c>
      <c r="J1157" s="95">
        <f>IF(H1157=1,INDEX(tx_DrAmt,1151),0)</f>
        <v/>
      </c>
      <c r="K1157" s="58">
        <f>IF(H1157=1,INDEX(tx_CrAcct,1151)&amp;"","")</f>
        <v/>
      </c>
      <c r="L1157" s="95">
        <f>IF(H1157=1,INDEX(tx_CrAmt,1151),0)</f>
        <v/>
      </c>
      <c r="M1157" s="95">
        <f>IF(H1157=1,INDEX(tx_TaxDr,1151),0)</f>
        <v/>
      </c>
      <c r="N1157" s="95">
        <f>IF(H1157=1,INDEX(tx_TaxCr,1151),0)</f>
        <v/>
      </c>
      <c r="O1157" s="101">
        <f>IF(H1157=1,IF(E1157&lt;FYStart,0,IF(E1157&gt;FYEnd,13,YEAR(E1157)*12+MONTH(E1157)-FYYM+1)),"")</f>
        <v/>
      </c>
      <c r="P1157" s="101">
        <f>IF(H1157=1,IF(IFERROR(INDEX(coa_CF,MATCH(I1157,coa_Name,0)),"")="Cash",1,0),0)</f>
        <v/>
      </c>
      <c r="Q1157" s="101">
        <f>IF(H1157=1,IF(IFERROR(INDEX(coa_CF,MATCH(K1157,coa_Name,0)),"")="Cash",1,0),0)</f>
        <v/>
      </c>
      <c r="R1157" s="58">
        <f>IF((P1157-Q1157)=0,"",IFERROR(INDEX(coa_CF,MATCH(IF((P1157-Q1157)=1,K1157,I1157),coa_Name,0)),"Operating"))</f>
        <v/>
      </c>
      <c r="S1157" s="95">
        <f>IF((P1157-Q1157)=1,L1157,IF((P1157-Q1157)=-1,-J1157,0))</f>
        <v/>
      </c>
      <c r="T1157" s="95">
        <f>IF((P1157-Q1157)=1,N1157,IF((P1157-Q1157)=-1,-M1157,0))</f>
        <v/>
      </c>
      <c r="U1157" s="101">
        <f>IF(AND(H1157=1,LedAcct&lt;&gt;""),IF(AND(E1157&gt;=LedFrom,E1157&lt;=LedTo,OR(I1157=LedAcct,K1157=LedAcct,AND(LedAcct=acctTax,M1157+N1157&lt;&gt;0))),E1157*10000+B1157,""),"")</f>
        <v/>
      </c>
    </row>
    <row r="1158">
      <c r="B1158" s="101" t="n">
        <v>1152</v>
      </c>
      <c r="C1158" s="58" t="inlineStr">
        <is>
          <t>Transaction</t>
        </is>
      </c>
      <c r="D1158" s="58">
        <f>IF(H1158=1,INDEX(tx_ID,1152)&amp;"","")</f>
        <v/>
      </c>
      <c r="E1158" s="94">
        <f>IF(H1158=1,INDEX(tx_Date,1152),"")</f>
        <v/>
      </c>
      <c r="F1158" s="58">
        <f>IF(H1158=1,INDEX(tx_Desc,1152)&amp;"","")</f>
        <v/>
      </c>
      <c r="G1158" s="58">
        <f>IF(H1158=1,IF(INDEX(tx_Cust,1152)&amp;""&lt;&gt;"",INDEX(tx_Cust,1152)&amp;"",INDEX(tx_Vend,1152)&amp;""),"")</f>
        <v/>
      </c>
      <c r="H1158" s="101">
        <f>IFERROR(N(INDEX(tx_Posted,1152)),0)</f>
        <v/>
      </c>
      <c r="I1158" s="58">
        <f>IF(H1158=1,INDEX(tx_DrAcct,1152)&amp;"","")</f>
        <v/>
      </c>
      <c r="J1158" s="95">
        <f>IF(H1158=1,INDEX(tx_DrAmt,1152),0)</f>
        <v/>
      </c>
      <c r="K1158" s="58">
        <f>IF(H1158=1,INDEX(tx_CrAcct,1152)&amp;"","")</f>
        <v/>
      </c>
      <c r="L1158" s="95">
        <f>IF(H1158=1,INDEX(tx_CrAmt,1152),0)</f>
        <v/>
      </c>
      <c r="M1158" s="95">
        <f>IF(H1158=1,INDEX(tx_TaxDr,1152),0)</f>
        <v/>
      </c>
      <c r="N1158" s="95">
        <f>IF(H1158=1,INDEX(tx_TaxCr,1152),0)</f>
        <v/>
      </c>
      <c r="O1158" s="101">
        <f>IF(H1158=1,IF(E1158&lt;FYStart,0,IF(E1158&gt;FYEnd,13,YEAR(E1158)*12+MONTH(E1158)-FYYM+1)),"")</f>
        <v/>
      </c>
      <c r="P1158" s="101">
        <f>IF(H1158=1,IF(IFERROR(INDEX(coa_CF,MATCH(I1158,coa_Name,0)),"")="Cash",1,0),0)</f>
        <v/>
      </c>
      <c r="Q1158" s="101">
        <f>IF(H1158=1,IF(IFERROR(INDEX(coa_CF,MATCH(K1158,coa_Name,0)),"")="Cash",1,0),0)</f>
        <v/>
      </c>
      <c r="R1158" s="58">
        <f>IF((P1158-Q1158)=0,"",IFERROR(INDEX(coa_CF,MATCH(IF((P1158-Q1158)=1,K1158,I1158),coa_Name,0)),"Operating"))</f>
        <v/>
      </c>
      <c r="S1158" s="95">
        <f>IF((P1158-Q1158)=1,L1158,IF((P1158-Q1158)=-1,-J1158,0))</f>
        <v/>
      </c>
      <c r="T1158" s="95">
        <f>IF((P1158-Q1158)=1,N1158,IF((P1158-Q1158)=-1,-M1158,0))</f>
        <v/>
      </c>
      <c r="U1158" s="101">
        <f>IF(AND(H1158=1,LedAcct&lt;&gt;""),IF(AND(E1158&gt;=LedFrom,E1158&lt;=LedTo,OR(I1158=LedAcct,K1158=LedAcct,AND(LedAcct=acctTax,M1158+N1158&lt;&gt;0))),E1158*10000+B1158,""),"")</f>
        <v/>
      </c>
    </row>
    <row r="1159">
      <c r="B1159" s="101" t="n">
        <v>1153</v>
      </c>
      <c r="C1159" s="58" t="inlineStr">
        <is>
          <t>Transaction</t>
        </is>
      </c>
      <c r="D1159" s="58">
        <f>IF(H1159=1,INDEX(tx_ID,1153)&amp;"","")</f>
        <v/>
      </c>
      <c r="E1159" s="94">
        <f>IF(H1159=1,INDEX(tx_Date,1153),"")</f>
        <v/>
      </c>
      <c r="F1159" s="58">
        <f>IF(H1159=1,INDEX(tx_Desc,1153)&amp;"","")</f>
        <v/>
      </c>
      <c r="G1159" s="58">
        <f>IF(H1159=1,IF(INDEX(tx_Cust,1153)&amp;""&lt;&gt;"",INDEX(tx_Cust,1153)&amp;"",INDEX(tx_Vend,1153)&amp;""),"")</f>
        <v/>
      </c>
      <c r="H1159" s="101">
        <f>IFERROR(N(INDEX(tx_Posted,1153)),0)</f>
        <v/>
      </c>
      <c r="I1159" s="58">
        <f>IF(H1159=1,INDEX(tx_DrAcct,1153)&amp;"","")</f>
        <v/>
      </c>
      <c r="J1159" s="95">
        <f>IF(H1159=1,INDEX(tx_DrAmt,1153),0)</f>
        <v/>
      </c>
      <c r="K1159" s="58">
        <f>IF(H1159=1,INDEX(tx_CrAcct,1153)&amp;"","")</f>
        <v/>
      </c>
      <c r="L1159" s="95">
        <f>IF(H1159=1,INDEX(tx_CrAmt,1153),0)</f>
        <v/>
      </c>
      <c r="M1159" s="95">
        <f>IF(H1159=1,INDEX(tx_TaxDr,1153),0)</f>
        <v/>
      </c>
      <c r="N1159" s="95">
        <f>IF(H1159=1,INDEX(tx_TaxCr,1153),0)</f>
        <v/>
      </c>
      <c r="O1159" s="101">
        <f>IF(H1159=1,IF(E1159&lt;FYStart,0,IF(E1159&gt;FYEnd,13,YEAR(E1159)*12+MONTH(E1159)-FYYM+1)),"")</f>
        <v/>
      </c>
      <c r="P1159" s="101">
        <f>IF(H1159=1,IF(IFERROR(INDEX(coa_CF,MATCH(I1159,coa_Name,0)),"")="Cash",1,0),0)</f>
        <v/>
      </c>
      <c r="Q1159" s="101">
        <f>IF(H1159=1,IF(IFERROR(INDEX(coa_CF,MATCH(K1159,coa_Name,0)),"")="Cash",1,0),0)</f>
        <v/>
      </c>
      <c r="R1159" s="58">
        <f>IF((P1159-Q1159)=0,"",IFERROR(INDEX(coa_CF,MATCH(IF((P1159-Q1159)=1,K1159,I1159),coa_Name,0)),"Operating"))</f>
        <v/>
      </c>
      <c r="S1159" s="95">
        <f>IF((P1159-Q1159)=1,L1159,IF((P1159-Q1159)=-1,-J1159,0))</f>
        <v/>
      </c>
      <c r="T1159" s="95">
        <f>IF((P1159-Q1159)=1,N1159,IF((P1159-Q1159)=-1,-M1159,0))</f>
        <v/>
      </c>
      <c r="U1159" s="101">
        <f>IF(AND(H1159=1,LedAcct&lt;&gt;""),IF(AND(E1159&gt;=LedFrom,E1159&lt;=LedTo,OR(I1159=LedAcct,K1159=LedAcct,AND(LedAcct=acctTax,M1159+N1159&lt;&gt;0))),E1159*10000+B1159,""),"")</f>
        <v/>
      </c>
    </row>
    <row r="1160">
      <c r="B1160" s="101" t="n">
        <v>1154</v>
      </c>
      <c r="C1160" s="58" t="inlineStr">
        <is>
          <t>Transaction</t>
        </is>
      </c>
      <c r="D1160" s="58">
        <f>IF(H1160=1,INDEX(tx_ID,1154)&amp;"","")</f>
        <v/>
      </c>
      <c r="E1160" s="94">
        <f>IF(H1160=1,INDEX(tx_Date,1154),"")</f>
        <v/>
      </c>
      <c r="F1160" s="58">
        <f>IF(H1160=1,INDEX(tx_Desc,1154)&amp;"","")</f>
        <v/>
      </c>
      <c r="G1160" s="58">
        <f>IF(H1160=1,IF(INDEX(tx_Cust,1154)&amp;""&lt;&gt;"",INDEX(tx_Cust,1154)&amp;"",INDEX(tx_Vend,1154)&amp;""),"")</f>
        <v/>
      </c>
      <c r="H1160" s="101">
        <f>IFERROR(N(INDEX(tx_Posted,1154)),0)</f>
        <v/>
      </c>
      <c r="I1160" s="58">
        <f>IF(H1160=1,INDEX(tx_DrAcct,1154)&amp;"","")</f>
        <v/>
      </c>
      <c r="J1160" s="95">
        <f>IF(H1160=1,INDEX(tx_DrAmt,1154),0)</f>
        <v/>
      </c>
      <c r="K1160" s="58">
        <f>IF(H1160=1,INDEX(tx_CrAcct,1154)&amp;"","")</f>
        <v/>
      </c>
      <c r="L1160" s="95">
        <f>IF(H1160=1,INDEX(tx_CrAmt,1154),0)</f>
        <v/>
      </c>
      <c r="M1160" s="95">
        <f>IF(H1160=1,INDEX(tx_TaxDr,1154),0)</f>
        <v/>
      </c>
      <c r="N1160" s="95">
        <f>IF(H1160=1,INDEX(tx_TaxCr,1154),0)</f>
        <v/>
      </c>
      <c r="O1160" s="101">
        <f>IF(H1160=1,IF(E1160&lt;FYStart,0,IF(E1160&gt;FYEnd,13,YEAR(E1160)*12+MONTH(E1160)-FYYM+1)),"")</f>
        <v/>
      </c>
      <c r="P1160" s="101">
        <f>IF(H1160=1,IF(IFERROR(INDEX(coa_CF,MATCH(I1160,coa_Name,0)),"")="Cash",1,0),0)</f>
        <v/>
      </c>
      <c r="Q1160" s="101">
        <f>IF(H1160=1,IF(IFERROR(INDEX(coa_CF,MATCH(K1160,coa_Name,0)),"")="Cash",1,0),0)</f>
        <v/>
      </c>
      <c r="R1160" s="58">
        <f>IF((P1160-Q1160)=0,"",IFERROR(INDEX(coa_CF,MATCH(IF((P1160-Q1160)=1,K1160,I1160),coa_Name,0)),"Operating"))</f>
        <v/>
      </c>
      <c r="S1160" s="95">
        <f>IF((P1160-Q1160)=1,L1160,IF((P1160-Q1160)=-1,-J1160,0))</f>
        <v/>
      </c>
      <c r="T1160" s="95">
        <f>IF((P1160-Q1160)=1,N1160,IF((P1160-Q1160)=-1,-M1160,0))</f>
        <v/>
      </c>
      <c r="U1160" s="101">
        <f>IF(AND(H1160=1,LedAcct&lt;&gt;""),IF(AND(E1160&gt;=LedFrom,E1160&lt;=LedTo,OR(I1160=LedAcct,K1160=LedAcct,AND(LedAcct=acctTax,M1160+N1160&lt;&gt;0))),E1160*10000+B1160,""),"")</f>
        <v/>
      </c>
    </row>
    <row r="1161">
      <c r="B1161" s="101" t="n">
        <v>1155</v>
      </c>
      <c r="C1161" s="58" t="inlineStr">
        <is>
          <t>Transaction</t>
        </is>
      </c>
      <c r="D1161" s="58">
        <f>IF(H1161=1,INDEX(tx_ID,1155)&amp;"","")</f>
        <v/>
      </c>
      <c r="E1161" s="94">
        <f>IF(H1161=1,INDEX(tx_Date,1155),"")</f>
        <v/>
      </c>
      <c r="F1161" s="58">
        <f>IF(H1161=1,INDEX(tx_Desc,1155)&amp;"","")</f>
        <v/>
      </c>
      <c r="G1161" s="58">
        <f>IF(H1161=1,IF(INDEX(tx_Cust,1155)&amp;""&lt;&gt;"",INDEX(tx_Cust,1155)&amp;"",INDEX(tx_Vend,1155)&amp;""),"")</f>
        <v/>
      </c>
      <c r="H1161" s="101">
        <f>IFERROR(N(INDEX(tx_Posted,1155)),0)</f>
        <v/>
      </c>
      <c r="I1161" s="58">
        <f>IF(H1161=1,INDEX(tx_DrAcct,1155)&amp;"","")</f>
        <v/>
      </c>
      <c r="J1161" s="95">
        <f>IF(H1161=1,INDEX(tx_DrAmt,1155),0)</f>
        <v/>
      </c>
      <c r="K1161" s="58">
        <f>IF(H1161=1,INDEX(tx_CrAcct,1155)&amp;"","")</f>
        <v/>
      </c>
      <c r="L1161" s="95">
        <f>IF(H1161=1,INDEX(tx_CrAmt,1155),0)</f>
        <v/>
      </c>
      <c r="M1161" s="95">
        <f>IF(H1161=1,INDEX(tx_TaxDr,1155),0)</f>
        <v/>
      </c>
      <c r="N1161" s="95">
        <f>IF(H1161=1,INDEX(tx_TaxCr,1155),0)</f>
        <v/>
      </c>
      <c r="O1161" s="101">
        <f>IF(H1161=1,IF(E1161&lt;FYStart,0,IF(E1161&gt;FYEnd,13,YEAR(E1161)*12+MONTH(E1161)-FYYM+1)),"")</f>
        <v/>
      </c>
      <c r="P1161" s="101">
        <f>IF(H1161=1,IF(IFERROR(INDEX(coa_CF,MATCH(I1161,coa_Name,0)),"")="Cash",1,0),0)</f>
        <v/>
      </c>
      <c r="Q1161" s="101">
        <f>IF(H1161=1,IF(IFERROR(INDEX(coa_CF,MATCH(K1161,coa_Name,0)),"")="Cash",1,0),0)</f>
        <v/>
      </c>
      <c r="R1161" s="58">
        <f>IF((P1161-Q1161)=0,"",IFERROR(INDEX(coa_CF,MATCH(IF((P1161-Q1161)=1,K1161,I1161),coa_Name,0)),"Operating"))</f>
        <v/>
      </c>
      <c r="S1161" s="95">
        <f>IF((P1161-Q1161)=1,L1161,IF((P1161-Q1161)=-1,-J1161,0))</f>
        <v/>
      </c>
      <c r="T1161" s="95">
        <f>IF((P1161-Q1161)=1,N1161,IF((P1161-Q1161)=-1,-M1161,0))</f>
        <v/>
      </c>
      <c r="U1161" s="101">
        <f>IF(AND(H1161=1,LedAcct&lt;&gt;""),IF(AND(E1161&gt;=LedFrom,E1161&lt;=LedTo,OR(I1161=LedAcct,K1161=LedAcct,AND(LedAcct=acctTax,M1161+N1161&lt;&gt;0))),E1161*10000+B1161,""),"")</f>
        <v/>
      </c>
    </row>
    <row r="1162">
      <c r="B1162" s="101" t="n">
        <v>1156</v>
      </c>
      <c r="C1162" s="58" t="inlineStr">
        <is>
          <t>Transaction</t>
        </is>
      </c>
      <c r="D1162" s="58">
        <f>IF(H1162=1,INDEX(tx_ID,1156)&amp;"","")</f>
        <v/>
      </c>
      <c r="E1162" s="94">
        <f>IF(H1162=1,INDEX(tx_Date,1156),"")</f>
        <v/>
      </c>
      <c r="F1162" s="58">
        <f>IF(H1162=1,INDEX(tx_Desc,1156)&amp;"","")</f>
        <v/>
      </c>
      <c r="G1162" s="58">
        <f>IF(H1162=1,IF(INDEX(tx_Cust,1156)&amp;""&lt;&gt;"",INDEX(tx_Cust,1156)&amp;"",INDEX(tx_Vend,1156)&amp;""),"")</f>
        <v/>
      </c>
      <c r="H1162" s="101">
        <f>IFERROR(N(INDEX(tx_Posted,1156)),0)</f>
        <v/>
      </c>
      <c r="I1162" s="58">
        <f>IF(H1162=1,INDEX(tx_DrAcct,1156)&amp;"","")</f>
        <v/>
      </c>
      <c r="J1162" s="95">
        <f>IF(H1162=1,INDEX(tx_DrAmt,1156),0)</f>
        <v/>
      </c>
      <c r="K1162" s="58">
        <f>IF(H1162=1,INDEX(tx_CrAcct,1156)&amp;"","")</f>
        <v/>
      </c>
      <c r="L1162" s="95">
        <f>IF(H1162=1,INDEX(tx_CrAmt,1156),0)</f>
        <v/>
      </c>
      <c r="M1162" s="95">
        <f>IF(H1162=1,INDEX(tx_TaxDr,1156),0)</f>
        <v/>
      </c>
      <c r="N1162" s="95">
        <f>IF(H1162=1,INDEX(tx_TaxCr,1156),0)</f>
        <v/>
      </c>
      <c r="O1162" s="101">
        <f>IF(H1162=1,IF(E1162&lt;FYStart,0,IF(E1162&gt;FYEnd,13,YEAR(E1162)*12+MONTH(E1162)-FYYM+1)),"")</f>
        <v/>
      </c>
      <c r="P1162" s="101">
        <f>IF(H1162=1,IF(IFERROR(INDEX(coa_CF,MATCH(I1162,coa_Name,0)),"")="Cash",1,0),0)</f>
        <v/>
      </c>
      <c r="Q1162" s="101">
        <f>IF(H1162=1,IF(IFERROR(INDEX(coa_CF,MATCH(K1162,coa_Name,0)),"")="Cash",1,0),0)</f>
        <v/>
      </c>
      <c r="R1162" s="58">
        <f>IF((P1162-Q1162)=0,"",IFERROR(INDEX(coa_CF,MATCH(IF((P1162-Q1162)=1,K1162,I1162),coa_Name,0)),"Operating"))</f>
        <v/>
      </c>
      <c r="S1162" s="95">
        <f>IF((P1162-Q1162)=1,L1162,IF((P1162-Q1162)=-1,-J1162,0))</f>
        <v/>
      </c>
      <c r="T1162" s="95">
        <f>IF((P1162-Q1162)=1,N1162,IF((P1162-Q1162)=-1,-M1162,0))</f>
        <v/>
      </c>
      <c r="U1162" s="101">
        <f>IF(AND(H1162=1,LedAcct&lt;&gt;""),IF(AND(E1162&gt;=LedFrom,E1162&lt;=LedTo,OR(I1162=LedAcct,K1162=LedAcct,AND(LedAcct=acctTax,M1162+N1162&lt;&gt;0))),E1162*10000+B1162,""),"")</f>
        <v/>
      </c>
    </row>
    <row r="1163">
      <c r="B1163" s="101" t="n">
        <v>1157</v>
      </c>
      <c r="C1163" s="58" t="inlineStr">
        <is>
          <t>Transaction</t>
        </is>
      </c>
      <c r="D1163" s="58">
        <f>IF(H1163=1,INDEX(tx_ID,1157)&amp;"","")</f>
        <v/>
      </c>
      <c r="E1163" s="94">
        <f>IF(H1163=1,INDEX(tx_Date,1157),"")</f>
        <v/>
      </c>
      <c r="F1163" s="58">
        <f>IF(H1163=1,INDEX(tx_Desc,1157)&amp;"","")</f>
        <v/>
      </c>
      <c r="G1163" s="58">
        <f>IF(H1163=1,IF(INDEX(tx_Cust,1157)&amp;""&lt;&gt;"",INDEX(tx_Cust,1157)&amp;"",INDEX(tx_Vend,1157)&amp;""),"")</f>
        <v/>
      </c>
      <c r="H1163" s="101">
        <f>IFERROR(N(INDEX(tx_Posted,1157)),0)</f>
        <v/>
      </c>
      <c r="I1163" s="58">
        <f>IF(H1163=1,INDEX(tx_DrAcct,1157)&amp;"","")</f>
        <v/>
      </c>
      <c r="J1163" s="95">
        <f>IF(H1163=1,INDEX(tx_DrAmt,1157),0)</f>
        <v/>
      </c>
      <c r="K1163" s="58">
        <f>IF(H1163=1,INDEX(tx_CrAcct,1157)&amp;"","")</f>
        <v/>
      </c>
      <c r="L1163" s="95">
        <f>IF(H1163=1,INDEX(tx_CrAmt,1157),0)</f>
        <v/>
      </c>
      <c r="M1163" s="95">
        <f>IF(H1163=1,INDEX(tx_TaxDr,1157),0)</f>
        <v/>
      </c>
      <c r="N1163" s="95">
        <f>IF(H1163=1,INDEX(tx_TaxCr,1157),0)</f>
        <v/>
      </c>
      <c r="O1163" s="101">
        <f>IF(H1163=1,IF(E1163&lt;FYStart,0,IF(E1163&gt;FYEnd,13,YEAR(E1163)*12+MONTH(E1163)-FYYM+1)),"")</f>
        <v/>
      </c>
      <c r="P1163" s="101">
        <f>IF(H1163=1,IF(IFERROR(INDEX(coa_CF,MATCH(I1163,coa_Name,0)),"")="Cash",1,0),0)</f>
        <v/>
      </c>
      <c r="Q1163" s="101">
        <f>IF(H1163=1,IF(IFERROR(INDEX(coa_CF,MATCH(K1163,coa_Name,0)),"")="Cash",1,0),0)</f>
        <v/>
      </c>
      <c r="R1163" s="58">
        <f>IF((P1163-Q1163)=0,"",IFERROR(INDEX(coa_CF,MATCH(IF((P1163-Q1163)=1,K1163,I1163),coa_Name,0)),"Operating"))</f>
        <v/>
      </c>
      <c r="S1163" s="95">
        <f>IF((P1163-Q1163)=1,L1163,IF((P1163-Q1163)=-1,-J1163,0))</f>
        <v/>
      </c>
      <c r="T1163" s="95">
        <f>IF((P1163-Q1163)=1,N1163,IF((P1163-Q1163)=-1,-M1163,0))</f>
        <v/>
      </c>
      <c r="U1163" s="101">
        <f>IF(AND(H1163=1,LedAcct&lt;&gt;""),IF(AND(E1163&gt;=LedFrom,E1163&lt;=LedTo,OR(I1163=LedAcct,K1163=LedAcct,AND(LedAcct=acctTax,M1163+N1163&lt;&gt;0))),E1163*10000+B1163,""),"")</f>
        <v/>
      </c>
    </row>
    <row r="1164">
      <c r="B1164" s="101" t="n">
        <v>1158</v>
      </c>
      <c r="C1164" s="58" t="inlineStr">
        <is>
          <t>Transaction</t>
        </is>
      </c>
      <c r="D1164" s="58">
        <f>IF(H1164=1,INDEX(tx_ID,1158)&amp;"","")</f>
        <v/>
      </c>
      <c r="E1164" s="94">
        <f>IF(H1164=1,INDEX(tx_Date,1158),"")</f>
        <v/>
      </c>
      <c r="F1164" s="58">
        <f>IF(H1164=1,INDEX(tx_Desc,1158)&amp;"","")</f>
        <v/>
      </c>
      <c r="G1164" s="58">
        <f>IF(H1164=1,IF(INDEX(tx_Cust,1158)&amp;""&lt;&gt;"",INDEX(tx_Cust,1158)&amp;"",INDEX(tx_Vend,1158)&amp;""),"")</f>
        <v/>
      </c>
      <c r="H1164" s="101">
        <f>IFERROR(N(INDEX(tx_Posted,1158)),0)</f>
        <v/>
      </c>
      <c r="I1164" s="58">
        <f>IF(H1164=1,INDEX(tx_DrAcct,1158)&amp;"","")</f>
        <v/>
      </c>
      <c r="J1164" s="95">
        <f>IF(H1164=1,INDEX(tx_DrAmt,1158),0)</f>
        <v/>
      </c>
      <c r="K1164" s="58">
        <f>IF(H1164=1,INDEX(tx_CrAcct,1158)&amp;"","")</f>
        <v/>
      </c>
      <c r="L1164" s="95">
        <f>IF(H1164=1,INDEX(tx_CrAmt,1158),0)</f>
        <v/>
      </c>
      <c r="M1164" s="95">
        <f>IF(H1164=1,INDEX(tx_TaxDr,1158),0)</f>
        <v/>
      </c>
      <c r="N1164" s="95">
        <f>IF(H1164=1,INDEX(tx_TaxCr,1158),0)</f>
        <v/>
      </c>
      <c r="O1164" s="101">
        <f>IF(H1164=1,IF(E1164&lt;FYStart,0,IF(E1164&gt;FYEnd,13,YEAR(E1164)*12+MONTH(E1164)-FYYM+1)),"")</f>
        <v/>
      </c>
      <c r="P1164" s="101">
        <f>IF(H1164=1,IF(IFERROR(INDEX(coa_CF,MATCH(I1164,coa_Name,0)),"")="Cash",1,0),0)</f>
        <v/>
      </c>
      <c r="Q1164" s="101">
        <f>IF(H1164=1,IF(IFERROR(INDEX(coa_CF,MATCH(K1164,coa_Name,0)),"")="Cash",1,0),0)</f>
        <v/>
      </c>
      <c r="R1164" s="58">
        <f>IF((P1164-Q1164)=0,"",IFERROR(INDEX(coa_CF,MATCH(IF((P1164-Q1164)=1,K1164,I1164),coa_Name,0)),"Operating"))</f>
        <v/>
      </c>
      <c r="S1164" s="95">
        <f>IF((P1164-Q1164)=1,L1164,IF((P1164-Q1164)=-1,-J1164,0))</f>
        <v/>
      </c>
      <c r="T1164" s="95">
        <f>IF((P1164-Q1164)=1,N1164,IF((P1164-Q1164)=-1,-M1164,0))</f>
        <v/>
      </c>
      <c r="U1164" s="101">
        <f>IF(AND(H1164=1,LedAcct&lt;&gt;""),IF(AND(E1164&gt;=LedFrom,E1164&lt;=LedTo,OR(I1164=LedAcct,K1164=LedAcct,AND(LedAcct=acctTax,M1164+N1164&lt;&gt;0))),E1164*10000+B1164,""),"")</f>
        <v/>
      </c>
    </row>
    <row r="1165">
      <c r="B1165" s="101" t="n">
        <v>1159</v>
      </c>
      <c r="C1165" s="58" t="inlineStr">
        <is>
          <t>Transaction</t>
        </is>
      </c>
      <c r="D1165" s="58">
        <f>IF(H1165=1,INDEX(tx_ID,1159)&amp;"","")</f>
        <v/>
      </c>
      <c r="E1165" s="94">
        <f>IF(H1165=1,INDEX(tx_Date,1159),"")</f>
        <v/>
      </c>
      <c r="F1165" s="58">
        <f>IF(H1165=1,INDEX(tx_Desc,1159)&amp;"","")</f>
        <v/>
      </c>
      <c r="G1165" s="58">
        <f>IF(H1165=1,IF(INDEX(tx_Cust,1159)&amp;""&lt;&gt;"",INDEX(tx_Cust,1159)&amp;"",INDEX(tx_Vend,1159)&amp;""),"")</f>
        <v/>
      </c>
      <c r="H1165" s="101">
        <f>IFERROR(N(INDEX(tx_Posted,1159)),0)</f>
        <v/>
      </c>
      <c r="I1165" s="58">
        <f>IF(H1165=1,INDEX(tx_DrAcct,1159)&amp;"","")</f>
        <v/>
      </c>
      <c r="J1165" s="95">
        <f>IF(H1165=1,INDEX(tx_DrAmt,1159),0)</f>
        <v/>
      </c>
      <c r="K1165" s="58">
        <f>IF(H1165=1,INDEX(tx_CrAcct,1159)&amp;"","")</f>
        <v/>
      </c>
      <c r="L1165" s="95">
        <f>IF(H1165=1,INDEX(tx_CrAmt,1159),0)</f>
        <v/>
      </c>
      <c r="M1165" s="95">
        <f>IF(H1165=1,INDEX(tx_TaxDr,1159),0)</f>
        <v/>
      </c>
      <c r="N1165" s="95">
        <f>IF(H1165=1,INDEX(tx_TaxCr,1159),0)</f>
        <v/>
      </c>
      <c r="O1165" s="101">
        <f>IF(H1165=1,IF(E1165&lt;FYStart,0,IF(E1165&gt;FYEnd,13,YEAR(E1165)*12+MONTH(E1165)-FYYM+1)),"")</f>
        <v/>
      </c>
      <c r="P1165" s="101">
        <f>IF(H1165=1,IF(IFERROR(INDEX(coa_CF,MATCH(I1165,coa_Name,0)),"")="Cash",1,0),0)</f>
        <v/>
      </c>
      <c r="Q1165" s="101">
        <f>IF(H1165=1,IF(IFERROR(INDEX(coa_CF,MATCH(K1165,coa_Name,0)),"")="Cash",1,0),0)</f>
        <v/>
      </c>
      <c r="R1165" s="58">
        <f>IF((P1165-Q1165)=0,"",IFERROR(INDEX(coa_CF,MATCH(IF((P1165-Q1165)=1,K1165,I1165),coa_Name,0)),"Operating"))</f>
        <v/>
      </c>
      <c r="S1165" s="95">
        <f>IF((P1165-Q1165)=1,L1165,IF((P1165-Q1165)=-1,-J1165,0))</f>
        <v/>
      </c>
      <c r="T1165" s="95">
        <f>IF((P1165-Q1165)=1,N1165,IF((P1165-Q1165)=-1,-M1165,0))</f>
        <v/>
      </c>
      <c r="U1165" s="101">
        <f>IF(AND(H1165=1,LedAcct&lt;&gt;""),IF(AND(E1165&gt;=LedFrom,E1165&lt;=LedTo,OR(I1165=LedAcct,K1165=LedAcct,AND(LedAcct=acctTax,M1165+N1165&lt;&gt;0))),E1165*10000+B1165,""),"")</f>
        <v/>
      </c>
    </row>
    <row r="1166">
      <c r="B1166" s="101" t="n">
        <v>1160</v>
      </c>
      <c r="C1166" s="58" t="inlineStr">
        <is>
          <t>Transaction</t>
        </is>
      </c>
      <c r="D1166" s="58">
        <f>IF(H1166=1,INDEX(tx_ID,1160)&amp;"","")</f>
        <v/>
      </c>
      <c r="E1166" s="94">
        <f>IF(H1166=1,INDEX(tx_Date,1160),"")</f>
        <v/>
      </c>
      <c r="F1166" s="58">
        <f>IF(H1166=1,INDEX(tx_Desc,1160)&amp;"","")</f>
        <v/>
      </c>
      <c r="G1166" s="58">
        <f>IF(H1166=1,IF(INDEX(tx_Cust,1160)&amp;""&lt;&gt;"",INDEX(tx_Cust,1160)&amp;"",INDEX(tx_Vend,1160)&amp;""),"")</f>
        <v/>
      </c>
      <c r="H1166" s="101">
        <f>IFERROR(N(INDEX(tx_Posted,1160)),0)</f>
        <v/>
      </c>
      <c r="I1166" s="58">
        <f>IF(H1166=1,INDEX(tx_DrAcct,1160)&amp;"","")</f>
        <v/>
      </c>
      <c r="J1166" s="95">
        <f>IF(H1166=1,INDEX(tx_DrAmt,1160),0)</f>
        <v/>
      </c>
      <c r="K1166" s="58">
        <f>IF(H1166=1,INDEX(tx_CrAcct,1160)&amp;"","")</f>
        <v/>
      </c>
      <c r="L1166" s="95">
        <f>IF(H1166=1,INDEX(tx_CrAmt,1160),0)</f>
        <v/>
      </c>
      <c r="M1166" s="95">
        <f>IF(H1166=1,INDEX(tx_TaxDr,1160),0)</f>
        <v/>
      </c>
      <c r="N1166" s="95">
        <f>IF(H1166=1,INDEX(tx_TaxCr,1160),0)</f>
        <v/>
      </c>
      <c r="O1166" s="101">
        <f>IF(H1166=1,IF(E1166&lt;FYStart,0,IF(E1166&gt;FYEnd,13,YEAR(E1166)*12+MONTH(E1166)-FYYM+1)),"")</f>
        <v/>
      </c>
      <c r="P1166" s="101">
        <f>IF(H1166=1,IF(IFERROR(INDEX(coa_CF,MATCH(I1166,coa_Name,0)),"")="Cash",1,0),0)</f>
        <v/>
      </c>
      <c r="Q1166" s="101">
        <f>IF(H1166=1,IF(IFERROR(INDEX(coa_CF,MATCH(K1166,coa_Name,0)),"")="Cash",1,0),0)</f>
        <v/>
      </c>
      <c r="R1166" s="58">
        <f>IF((P1166-Q1166)=0,"",IFERROR(INDEX(coa_CF,MATCH(IF((P1166-Q1166)=1,K1166,I1166),coa_Name,0)),"Operating"))</f>
        <v/>
      </c>
      <c r="S1166" s="95">
        <f>IF((P1166-Q1166)=1,L1166,IF((P1166-Q1166)=-1,-J1166,0))</f>
        <v/>
      </c>
      <c r="T1166" s="95">
        <f>IF((P1166-Q1166)=1,N1166,IF((P1166-Q1166)=-1,-M1166,0))</f>
        <v/>
      </c>
      <c r="U1166" s="101">
        <f>IF(AND(H1166=1,LedAcct&lt;&gt;""),IF(AND(E1166&gt;=LedFrom,E1166&lt;=LedTo,OR(I1166=LedAcct,K1166=LedAcct,AND(LedAcct=acctTax,M1166+N1166&lt;&gt;0))),E1166*10000+B1166,""),"")</f>
        <v/>
      </c>
    </row>
    <row r="1167">
      <c r="B1167" s="101" t="n">
        <v>1161</v>
      </c>
      <c r="C1167" s="58" t="inlineStr">
        <is>
          <t>Transaction</t>
        </is>
      </c>
      <c r="D1167" s="58">
        <f>IF(H1167=1,INDEX(tx_ID,1161)&amp;"","")</f>
        <v/>
      </c>
      <c r="E1167" s="94">
        <f>IF(H1167=1,INDEX(tx_Date,1161),"")</f>
        <v/>
      </c>
      <c r="F1167" s="58">
        <f>IF(H1167=1,INDEX(tx_Desc,1161)&amp;"","")</f>
        <v/>
      </c>
      <c r="G1167" s="58">
        <f>IF(H1167=1,IF(INDEX(tx_Cust,1161)&amp;""&lt;&gt;"",INDEX(tx_Cust,1161)&amp;"",INDEX(tx_Vend,1161)&amp;""),"")</f>
        <v/>
      </c>
      <c r="H1167" s="101">
        <f>IFERROR(N(INDEX(tx_Posted,1161)),0)</f>
        <v/>
      </c>
      <c r="I1167" s="58">
        <f>IF(H1167=1,INDEX(tx_DrAcct,1161)&amp;"","")</f>
        <v/>
      </c>
      <c r="J1167" s="95">
        <f>IF(H1167=1,INDEX(tx_DrAmt,1161),0)</f>
        <v/>
      </c>
      <c r="K1167" s="58">
        <f>IF(H1167=1,INDEX(tx_CrAcct,1161)&amp;"","")</f>
        <v/>
      </c>
      <c r="L1167" s="95">
        <f>IF(H1167=1,INDEX(tx_CrAmt,1161),0)</f>
        <v/>
      </c>
      <c r="M1167" s="95">
        <f>IF(H1167=1,INDEX(tx_TaxDr,1161),0)</f>
        <v/>
      </c>
      <c r="N1167" s="95">
        <f>IF(H1167=1,INDEX(tx_TaxCr,1161),0)</f>
        <v/>
      </c>
      <c r="O1167" s="101">
        <f>IF(H1167=1,IF(E1167&lt;FYStart,0,IF(E1167&gt;FYEnd,13,YEAR(E1167)*12+MONTH(E1167)-FYYM+1)),"")</f>
        <v/>
      </c>
      <c r="P1167" s="101">
        <f>IF(H1167=1,IF(IFERROR(INDEX(coa_CF,MATCH(I1167,coa_Name,0)),"")="Cash",1,0),0)</f>
        <v/>
      </c>
      <c r="Q1167" s="101">
        <f>IF(H1167=1,IF(IFERROR(INDEX(coa_CF,MATCH(K1167,coa_Name,0)),"")="Cash",1,0),0)</f>
        <v/>
      </c>
      <c r="R1167" s="58">
        <f>IF((P1167-Q1167)=0,"",IFERROR(INDEX(coa_CF,MATCH(IF((P1167-Q1167)=1,K1167,I1167),coa_Name,0)),"Operating"))</f>
        <v/>
      </c>
      <c r="S1167" s="95">
        <f>IF((P1167-Q1167)=1,L1167,IF((P1167-Q1167)=-1,-J1167,0))</f>
        <v/>
      </c>
      <c r="T1167" s="95">
        <f>IF((P1167-Q1167)=1,N1167,IF((P1167-Q1167)=-1,-M1167,0))</f>
        <v/>
      </c>
      <c r="U1167" s="101">
        <f>IF(AND(H1167=1,LedAcct&lt;&gt;""),IF(AND(E1167&gt;=LedFrom,E1167&lt;=LedTo,OR(I1167=LedAcct,K1167=LedAcct,AND(LedAcct=acctTax,M1167+N1167&lt;&gt;0))),E1167*10000+B1167,""),"")</f>
        <v/>
      </c>
    </row>
    <row r="1168">
      <c r="B1168" s="101" t="n">
        <v>1162</v>
      </c>
      <c r="C1168" s="58" t="inlineStr">
        <is>
          <t>Transaction</t>
        </is>
      </c>
      <c r="D1168" s="58">
        <f>IF(H1168=1,INDEX(tx_ID,1162)&amp;"","")</f>
        <v/>
      </c>
      <c r="E1168" s="94">
        <f>IF(H1168=1,INDEX(tx_Date,1162),"")</f>
        <v/>
      </c>
      <c r="F1168" s="58">
        <f>IF(H1168=1,INDEX(tx_Desc,1162)&amp;"","")</f>
        <v/>
      </c>
      <c r="G1168" s="58">
        <f>IF(H1168=1,IF(INDEX(tx_Cust,1162)&amp;""&lt;&gt;"",INDEX(tx_Cust,1162)&amp;"",INDEX(tx_Vend,1162)&amp;""),"")</f>
        <v/>
      </c>
      <c r="H1168" s="101">
        <f>IFERROR(N(INDEX(tx_Posted,1162)),0)</f>
        <v/>
      </c>
      <c r="I1168" s="58">
        <f>IF(H1168=1,INDEX(tx_DrAcct,1162)&amp;"","")</f>
        <v/>
      </c>
      <c r="J1168" s="95">
        <f>IF(H1168=1,INDEX(tx_DrAmt,1162),0)</f>
        <v/>
      </c>
      <c r="K1168" s="58">
        <f>IF(H1168=1,INDEX(tx_CrAcct,1162)&amp;"","")</f>
        <v/>
      </c>
      <c r="L1168" s="95">
        <f>IF(H1168=1,INDEX(tx_CrAmt,1162),0)</f>
        <v/>
      </c>
      <c r="M1168" s="95">
        <f>IF(H1168=1,INDEX(tx_TaxDr,1162),0)</f>
        <v/>
      </c>
      <c r="N1168" s="95">
        <f>IF(H1168=1,INDEX(tx_TaxCr,1162),0)</f>
        <v/>
      </c>
      <c r="O1168" s="101">
        <f>IF(H1168=1,IF(E1168&lt;FYStart,0,IF(E1168&gt;FYEnd,13,YEAR(E1168)*12+MONTH(E1168)-FYYM+1)),"")</f>
        <v/>
      </c>
      <c r="P1168" s="101">
        <f>IF(H1168=1,IF(IFERROR(INDEX(coa_CF,MATCH(I1168,coa_Name,0)),"")="Cash",1,0),0)</f>
        <v/>
      </c>
      <c r="Q1168" s="101">
        <f>IF(H1168=1,IF(IFERROR(INDEX(coa_CF,MATCH(K1168,coa_Name,0)),"")="Cash",1,0),0)</f>
        <v/>
      </c>
      <c r="R1168" s="58">
        <f>IF((P1168-Q1168)=0,"",IFERROR(INDEX(coa_CF,MATCH(IF((P1168-Q1168)=1,K1168,I1168),coa_Name,0)),"Operating"))</f>
        <v/>
      </c>
      <c r="S1168" s="95">
        <f>IF((P1168-Q1168)=1,L1168,IF((P1168-Q1168)=-1,-J1168,0))</f>
        <v/>
      </c>
      <c r="T1168" s="95">
        <f>IF((P1168-Q1168)=1,N1168,IF((P1168-Q1168)=-1,-M1168,0))</f>
        <v/>
      </c>
      <c r="U1168" s="101">
        <f>IF(AND(H1168=1,LedAcct&lt;&gt;""),IF(AND(E1168&gt;=LedFrom,E1168&lt;=LedTo,OR(I1168=LedAcct,K1168=LedAcct,AND(LedAcct=acctTax,M1168+N1168&lt;&gt;0))),E1168*10000+B1168,""),"")</f>
        <v/>
      </c>
    </row>
    <row r="1169">
      <c r="B1169" s="101" t="n">
        <v>1163</v>
      </c>
      <c r="C1169" s="58" t="inlineStr">
        <is>
          <t>Transaction</t>
        </is>
      </c>
      <c r="D1169" s="58">
        <f>IF(H1169=1,INDEX(tx_ID,1163)&amp;"","")</f>
        <v/>
      </c>
      <c r="E1169" s="94">
        <f>IF(H1169=1,INDEX(tx_Date,1163),"")</f>
        <v/>
      </c>
      <c r="F1169" s="58">
        <f>IF(H1169=1,INDEX(tx_Desc,1163)&amp;"","")</f>
        <v/>
      </c>
      <c r="G1169" s="58">
        <f>IF(H1169=1,IF(INDEX(tx_Cust,1163)&amp;""&lt;&gt;"",INDEX(tx_Cust,1163)&amp;"",INDEX(tx_Vend,1163)&amp;""),"")</f>
        <v/>
      </c>
      <c r="H1169" s="101">
        <f>IFERROR(N(INDEX(tx_Posted,1163)),0)</f>
        <v/>
      </c>
      <c r="I1169" s="58">
        <f>IF(H1169=1,INDEX(tx_DrAcct,1163)&amp;"","")</f>
        <v/>
      </c>
      <c r="J1169" s="95">
        <f>IF(H1169=1,INDEX(tx_DrAmt,1163),0)</f>
        <v/>
      </c>
      <c r="K1169" s="58">
        <f>IF(H1169=1,INDEX(tx_CrAcct,1163)&amp;"","")</f>
        <v/>
      </c>
      <c r="L1169" s="95">
        <f>IF(H1169=1,INDEX(tx_CrAmt,1163),0)</f>
        <v/>
      </c>
      <c r="M1169" s="95">
        <f>IF(H1169=1,INDEX(tx_TaxDr,1163),0)</f>
        <v/>
      </c>
      <c r="N1169" s="95">
        <f>IF(H1169=1,INDEX(tx_TaxCr,1163),0)</f>
        <v/>
      </c>
      <c r="O1169" s="101">
        <f>IF(H1169=1,IF(E1169&lt;FYStart,0,IF(E1169&gt;FYEnd,13,YEAR(E1169)*12+MONTH(E1169)-FYYM+1)),"")</f>
        <v/>
      </c>
      <c r="P1169" s="101">
        <f>IF(H1169=1,IF(IFERROR(INDEX(coa_CF,MATCH(I1169,coa_Name,0)),"")="Cash",1,0),0)</f>
        <v/>
      </c>
      <c r="Q1169" s="101">
        <f>IF(H1169=1,IF(IFERROR(INDEX(coa_CF,MATCH(K1169,coa_Name,0)),"")="Cash",1,0),0)</f>
        <v/>
      </c>
      <c r="R1169" s="58">
        <f>IF((P1169-Q1169)=0,"",IFERROR(INDEX(coa_CF,MATCH(IF((P1169-Q1169)=1,K1169,I1169),coa_Name,0)),"Operating"))</f>
        <v/>
      </c>
      <c r="S1169" s="95">
        <f>IF((P1169-Q1169)=1,L1169,IF((P1169-Q1169)=-1,-J1169,0))</f>
        <v/>
      </c>
      <c r="T1169" s="95">
        <f>IF((P1169-Q1169)=1,N1169,IF((P1169-Q1169)=-1,-M1169,0))</f>
        <v/>
      </c>
      <c r="U1169" s="101">
        <f>IF(AND(H1169=1,LedAcct&lt;&gt;""),IF(AND(E1169&gt;=LedFrom,E1169&lt;=LedTo,OR(I1169=LedAcct,K1169=LedAcct,AND(LedAcct=acctTax,M1169+N1169&lt;&gt;0))),E1169*10000+B1169,""),"")</f>
        <v/>
      </c>
    </row>
    <row r="1170">
      <c r="B1170" s="101" t="n">
        <v>1164</v>
      </c>
      <c r="C1170" s="58" t="inlineStr">
        <is>
          <t>Transaction</t>
        </is>
      </c>
      <c r="D1170" s="58">
        <f>IF(H1170=1,INDEX(tx_ID,1164)&amp;"","")</f>
        <v/>
      </c>
      <c r="E1170" s="94">
        <f>IF(H1170=1,INDEX(tx_Date,1164),"")</f>
        <v/>
      </c>
      <c r="F1170" s="58">
        <f>IF(H1170=1,INDEX(tx_Desc,1164)&amp;"","")</f>
        <v/>
      </c>
      <c r="G1170" s="58">
        <f>IF(H1170=1,IF(INDEX(tx_Cust,1164)&amp;""&lt;&gt;"",INDEX(tx_Cust,1164)&amp;"",INDEX(tx_Vend,1164)&amp;""),"")</f>
        <v/>
      </c>
      <c r="H1170" s="101">
        <f>IFERROR(N(INDEX(tx_Posted,1164)),0)</f>
        <v/>
      </c>
      <c r="I1170" s="58">
        <f>IF(H1170=1,INDEX(tx_DrAcct,1164)&amp;"","")</f>
        <v/>
      </c>
      <c r="J1170" s="95">
        <f>IF(H1170=1,INDEX(tx_DrAmt,1164),0)</f>
        <v/>
      </c>
      <c r="K1170" s="58">
        <f>IF(H1170=1,INDEX(tx_CrAcct,1164)&amp;"","")</f>
        <v/>
      </c>
      <c r="L1170" s="95">
        <f>IF(H1170=1,INDEX(tx_CrAmt,1164),0)</f>
        <v/>
      </c>
      <c r="M1170" s="95">
        <f>IF(H1170=1,INDEX(tx_TaxDr,1164),0)</f>
        <v/>
      </c>
      <c r="N1170" s="95">
        <f>IF(H1170=1,INDEX(tx_TaxCr,1164),0)</f>
        <v/>
      </c>
      <c r="O1170" s="101">
        <f>IF(H1170=1,IF(E1170&lt;FYStart,0,IF(E1170&gt;FYEnd,13,YEAR(E1170)*12+MONTH(E1170)-FYYM+1)),"")</f>
        <v/>
      </c>
      <c r="P1170" s="101">
        <f>IF(H1170=1,IF(IFERROR(INDEX(coa_CF,MATCH(I1170,coa_Name,0)),"")="Cash",1,0),0)</f>
        <v/>
      </c>
      <c r="Q1170" s="101">
        <f>IF(H1170=1,IF(IFERROR(INDEX(coa_CF,MATCH(K1170,coa_Name,0)),"")="Cash",1,0),0)</f>
        <v/>
      </c>
      <c r="R1170" s="58">
        <f>IF((P1170-Q1170)=0,"",IFERROR(INDEX(coa_CF,MATCH(IF((P1170-Q1170)=1,K1170,I1170),coa_Name,0)),"Operating"))</f>
        <v/>
      </c>
      <c r="S1170" s="95">
        <f>IF((P1170-Q1170)=1,L1170,IF((P1170-Q1170)=-1,-J1170,0))</f>
        <v/>
      </c>
      <c r="T1170" s="95">
        <f>IF((P1170-Q1170)=1,N1170,IF((P1170-Q1170)=-1,-M1170,0))</f>
        <v/>
      </c>
      <c r="U1170" s="101">
        <f>IF(AND(H1170=1,LedAcct&lt;&gt;""),IF(AND(E1170&gt;=LedFrom,E1170&lt;=LedTo,OR(I1170=LedAcct,K1170=LedAcct,AND(LedAcct=acctTax,M1170+N1170&lt;&gt;0))),E1170*10000+B1170,""),"")</f>
        <v/>
      </c>
    </row>
    <row r="1171">
      <c r="B1171" s="101" t="n">
        <v>1165</v>
      </c>
      <c r="C1171" s="58" t="inlineStr">
        <is>
          <t>Transaction</t>
        </is>
      </c>
      <c r="D1171" s="58">
        <f>IF(H1171=1,INDEX(tx_ID,1165)&amp;"","")</f>
        <v/>
      </c>
      <c r="E1171" s="94">
        <f>IF(H1171=1,INDEX(tx_Date,1165),"")</f>
        <v/>
      </c>
      <c r="F1171" s="58">
        <f>IF(H1171=1,INDEX(tx_Desc,1165)&amp;"","")</f>
        <v/>
      </c>
      <c r="G1171" s="58">
        <f>IF(H1171=1,IF(INDEX(tx_Cust,1165)&amp;""&lt;&gt;"",INDEX(tx_Cust,1165)&amp;"",INDEX(tx_Vend,1165)&amp;""),"")</f>
        <v/>
      </c>
      <c r="H1171" s="101">
        <f>IFERROR(N(INDEX(tx_Posted,1165)),0)</f>
        <v/>
      </c>
      <c r="I1171" s="58">
        <f>IF(H1171=1,INDEX(tx_DrAcct,1165)&amp;"","")</f>
        <v/>
      </c>
      <c r="J1171" s="95">
        <f>IF(H1171=1,INDEX(tx_DrAmt,1165),0)</f>
        <v/>
      </c>
      <c r="K1171" s="58">
        <f>IF(H1171=1,INDEX(tx_CrAcct,1165)&amp;"","")</f>
        <v/>
      </c>
      <c r="L1171" s="95">
        <f>IF(H1171=1,INDEX(tx_CrAmt,1165),0)</f>
        <v/>
      </c>
      <c r="M1171" s="95">
        <f>IF(H1171=1,INDEX(tx_TaxDr,1165),0)</f>
        <v/>
      </c>
      <c r="N1171" s="95">
        <f>IF(H1171=1,INDEX(tx_TaxCr,1165),0)</f>
        <v/>
      </c>
      <c r="O1171" s="101">
        <f>IF(H1171=1,IF(E1171&lt;FYStart,0,IF(E1171&gt;FYEnd,13,YEAR(E1171)*12+MONTH(E1171)-FYYM+1)),"")</f>
        <v/>
      </c>
      <c r="P1171" s="101">
        <f>IF(H1171=1,IF(IFERROR(INDEX(coa_CF,MATCH(I1171,coa_Name,0)),"")="Cash",1,0),0)</f>
        <v/>
      </c>
      <c r="Q1171" s="101">
        <f>IF(H1171=1,IF(IFERROR(INDEX(coa_CF,MATCH(K1171,coa_Name,0)),"")="Cash",1,0),0)</f>
        <v/>
      </c>
      <c r="R1171" s="58">
        <f>IF((P1171-Q1171)=0,"",IFERROR(INDEX(coa_CF,MATCH(IF((P1171-Q1171)=1,K1171,I1171),coa_Name,0)),"Operating"))</f>
        <v/>
      </c>
      <c r="S1171" s="95">
        <f>IF((P1171-Q1171)=1,L1171,IF((P1171-Q1171)=-1,-J1171,0))</f>
        <v/>
      </c>
      <c r="T1171" s="95">
        <f>IF((P1171-Q1171)=1,N1171,IF((P1171-Q1171)=-1,-M1171,0))</f>
        <v/>
      </c>
      <c r="U1171" s="101">
        <f>IF(AND(H1171=1,LedAcct&lt;&gt;""),IF(AND(E1171&gt;=LedFrom,E1171&lt;=LedTo,OR(I1171=LedAcct,K1171=LedAcct,AND(LedAcct=acctTax,M1171+N1171&lt;&gt;0))),E1171*10000+B1171,""),"")</f>
        <v/>
      </c>
    </row>
    <row r="1172">
      <c r="B1172" s="101" t="n">
        <v>1166</v>
      </c>
      <c r="C1172" s="58" t="inlineStr">
        <is>
          <t>Transaction</t>
        </is>
      </c>
      <c r="D1172" s="58">
        <f>IF(H1172=1,INDEX(tx_ID,1166)&amp;"","")</f>
        <v/>
      </c>
      <c r="E1172" s="94">
        <f>IF(H1172=1,INDEX(tx_Date,1166),"")</f>
        <v/>
      </c>
      <c r="F1172" s="58">
        <f>IF(H1172=1,INDEX(tx_Desc,1166)&amp;"","")</f>
        <v/>
      </c>
      <c r="G1172" s="58">
        <f>IF(H1172=1,IF(INDEX(tx_Cust,1166)&amp;""&lt;&gt;"",INDEX(tx_Cust,1166)&amp;"",INDEX(tx_Vend,1166)&amp;""),"")</f>
        <v/>
      </c>
      <c r="H1172" s="101">
        <f>IFERROR(N(INDEX(tx_Posted,1166)),0)</f>
        <v/>
      </c>
      <c r="I1172" s="58">
        <f>IF(H1172=1,INDEX(tx_DrAcct,1166)&amp;"","")</f>
        <v/>
      </c>
      <c r="J1172" s="95">
        <f>IF(H1172=1,INDEX(tx_DrAmt,1166),0)</f>
        <v/>
      </c>
      <c r="K1172" s="58">
        <f>IF(H1172=1,INDEX(tx_CrAcct,1166)&amp;"","")</f>
        <v/>
      </c>
      <c r="L1172" s="95">
        <f>IF(H1172=1,INDEX(tx_CrAmt,1166),0)</f>
        <v/>
      </c>
      <c r="M1172" s="95">
        <f>IF(H1172=1,INDEX(tx_TaxDr,1166),0)</f>
        <v/>
      </c>
      <c r="N1172" s="95">
        <f>IF(H1172=1,INDEX(tx_TaxCr,1166),0)</f>
        <v/>
      </c>
      <c r="O1172" s="101">
        <f>IF(H1172=1,IF(E1172&lt;FYStart,0,IF(E1172&gt;FYEnd,13,YEAR(E1172)*12+MONTH(E1172)-FYYM+1)),"")</f>
        <v/>
      </c>
      <c r="P1172" s="101">
        <f>IF(H1172=1,IF(IFERROR(INDEX(coa_CF,MATCH(I1172,coa_Name,0)),"")="Cash",1,0),0)</f>
        <v/>
      </c>
      <c r="Q1172" s="101">
        <f>IF(H1172=1,IF(IFERROR(INDEX(coa_CF,MATCH(K1172,coa_Name,0)),"")="Cash",1,0),0)</f>
        <v/>
      </c>
      <c r="R1172" s="58">
        <f>IF((P1172-Q1172)=0,"",IFERROR(INDEX(coa_CF,MATCH(IF((P1172-Q1172)=1,K1172,I1172),coa_Name,0)),"Operating"))</f>
        <v/>
      </c>
      <c r="S1172" s="95">
        <f>IF((P1172-Q1172)=1,L1172,IF((P1172-Q1172)=-1,-J1172,0))</f>
        <v/>
      </c>
      <c r="T1172" s="95">
        <f>IF((P1172-Q1172)=1,N1172,IF((P1172-Q1172)=-1,-M1172,0))</f>
        <v/>
      </c>
      <c r="U1172" s="101">
        <f>IF(AND(H1172=1,LedAcct&lt;&gt;""),IF(AND(E1172&gt;=LedFrom,E1172&lt;=LedTo,OR(I1172=LedAcct,K1172=LedAcct,AND(LedAcct=acctTax,M1172+N1172&lt;&gt;0))),E1172*10000+B1172,""),"")</f>
        <v/>
      </c>
    </row>
    <row r="1173">
      <c r="B1173" s="101" t="n">
        <v>1167</v>
      </c>
      <c r="C1173" s="58" t="inlineStr">
        <is>
          <t>Transaction</t>
        </is>
      </c>
      <c r="D1173" s="58">
        <f>IF(H1173=1,INDEX(tx_ID,1167)&amp;"","")</f>
        <v/>
      </c>
      <c r="E1173" s="94">
        <f>IF(H1173=1,INDEX(tx_Date,1167),"")</f>
        <v/>
      </c>
      <c r="F1173" s="58">
        <f>IF(H1173=1,INDEX(tx_Desc,1167)&amp;"","")</f>
        <v/>
      </c>
      <c r="G1173" s="58">
        <f>IF(H1173=1,IF(INDEX(tx_Cust,1167)&amp;""&lt;&gt;"",INDEX(tx_Cust,1167)&amp;"",INDEX(tx_Vend,1167)&amp;""),"")</f>
        <v/>
      </c>
      <c r="H1173" s="101">
        <f>IFERROR(N(INDEX(tx_Posted,1167)),0)</f>
        <v/>
      </c>
      <c r="I1173" s="58">
        <f>IF(H1173=1,INDEX(tx_DrAcct,1167)&amp;"","")</f>
        <v/>
      </c>
      <c r="J1173" s="95">
        <f>IF(H1173=1,INDEX(tx_DrAmt,1167),0)</f>
        <v/>
      </c>
      <c r="K1173" s="58">
        <f>IF(H1173=1,INDEX(tx_CrAcct,1167)&amp;"","")</f>
        <v/>
      </c>
      <c r="L1173" s="95">
        <f>IF(H1173=1,INDEX(tx_CrAmt,1167),0)</f>
        <v/>
      </c>
      <c r="M1173" s="95">
        <f>IF(H1173=1,INDEX(tx_TaxDr,1167),0)</f>
        <v/>
      </c>
      <c r="N1173" s="95">
        <f>IF(H1173=1,INDEX(tx_TaxCr,1167),0)</f>
        <v/>
      </c>
      <c r="O1173" s="101">
        <f>IF(H1173=1,IF(E1173&lt;FYStart,0,IF(E1173&gt;FYEnd,13,YEAR(E1173)*12+MONTH(E1173)-FYYM+1)),"")</f>
        <v/>
      </c>
      <c r="P1173" s="101">
        <f>IF(H1173=1,IF(IFERROR(INDEX(coa_CF,MATCH(I1173,coa_Name,0)),"")="Cash",1,0),0)</f>
        <v/>
      </c>
      <c r="Q1173" s="101">
        <f>IF(H1173=1,IF(IFERROR(INDEX(coa_CF,MATCH(K1173,coa_Name,0)),"")="Cash",1,0),0)</f>
        <v/>
      </c>
      <c r="R1173" s="58">
        <f>IF((P1173-Q1173)=0,"",IFERROR(INDEX(coa_CF,MATCH(IF((P1173-Q1173)=1,K1173,I1173),coa_Name,0)),"Operating"))</f>
        <v/>
      </c>
      <c r="S1173" s="95">
        <f>IF((P1173-Q1173)=1,L1173,IF((P1173-Q1173)=-1,-J1173,0))</f>
        <v/>
      </c>
      <c r="T1173" s="95">
        <f>IF((P1173-Q1173)=1,N1173,IF((P1173-Q1173)=-1,-M1173,0))</f>
        <v/>
      </c>
      <c r="U1173" s="101">
        <f>IF(AND(H1173=1,LedAcct&lt;&gt;""),IF(AND(E1173&gt;=LedFrom,E1173&lt;=LedTo,OR(I1173=LedAcct,K1173=LedAcct,AND(LedAcct=acctTax,M1173+N1173&lt;&gt;0))),E1173*10000+B1173,""),"")</f>
        <v/>
      </c>
    </row>
    <row r="1174">
      <c r="B1174" s="101" t="n">
        <v>1168</v>
      </c>
      <c r="C1174" s="58" t="inlineStr">
        <is>
          <t>Transaction</t>
        </is>
      </c>
      <c r="D1174" s="58">
        <f>IF(H1174=1,INDEX(tx_ID,1168)&amp;"","")</f>
        <v/>
      </c>
      <c r="E1174" s="94">
        <f>IF(H1174=1,INDEX(tx_Date,1168),"")</f>
        <v/>
      </c>
      <c r="F1174" s="58">
        <f>IF(H1174=1,INDEX(tx_Desc,1168)&amp;"","")</f>
        <v/>
      </c>
      <c r="G1174" s="58">
        <f>IF(H1174=1,IF(INDEX(tx_Cust,1168)&amp;""&lt;&gt;"",INDEX(tx_Cust,1168)&amp;"",INDEX(tx_Vend,1168)&amp;""),"")</f>
        <v/>
      </c>
      <c r="H1174" s="101">
        <f>IFERROR(N(INDEX(tx_Posted,1168)),0)</f>
        <v/>
      </c>
      <c r="I1174" s="58">
        <f>IF(H1174=1,INDEX(tx_DrAcct,1168)&amp;"","")</f>
        <v/>
      </c>
      <c r="J1174" s="95">
        <f>IF(H1174=1,INDEX(tx_DrAmt,1168),0)</f>
        <v/>
      </c>
      <c r="K1174" s="58">
        <f>IF(H1174=1,INDEX(tx_CrAcct,1168)&amp;"","")</f>
        <v/>
      </c>
      <c r="L1174" s="95">
        <f>IF(H1174=1,INDEX(tx_CrAmt,1168),0)</f>
        <v/>
      </c>
      <c r="M1174" s="95">
        <f>IF(H1174=1,INDEX(tx_TaxDr,1168),0)</f>
        <v/>
      </c>
      <c r="N1174" s="95">
        <f>IF(H1174=1,INDEX(tx_TaxCr,1168),0)</f>
        <v/>
      </c>
      <c r="O1174" s="101">
        <f>IF(H1174=1,IF(E1174&lt;FYStart,0,IF(E1174&gt;FYEnd,13,YEAR(E1174)*12+MONTH(E1174)-FYYM+1)),"")</f>
        <v/>
      </c>
      <c r="P1174" s="101">
        <f>IF(H1174=1,IF(IFERROR(INDEX(coa_CF,MATCH(I1174,coa_Name,0)),"")="Cash",1,0),0)</f>
        <v/>
      </c>
      <c r="Q1174" s="101">
        <f>IF(H1174=1,IF(IFERROR(INDEX(coa_CF,MATCH(K1174,coa_Name,0)),"")="Cash",1,0),0)</f>
        <v/>
      </c>
      <c r="R1174" s="58">
        <f>IF((P1174-Q1174)=0,"",IFERROR(INDEX(coa_CF,MATCH(IF((P1174-Q1174)=1,K1174,I1174),coa_Name,0)),"Operating"))</f>
        <v/>
      </c>
      <c r="S1174" s="95">
        <f>IF((P1174-Q1174)=1,L1174,IF((P1174-Q1174)=-1,-J1174,0))</f>
        <v/>
      </c>
      <c r="T1174" s="95">
        <f>IF((P1174-Q1174)=1,N1174,IF((P1174-Q1174)=-1,-M1174,0))</f>
        <v/>
      </c>
      <c r="U1174" s="101">
        <f>IF(AND(H1174=1,LedAcct&lt;&gt;""),IF(AND(E1174&gt;=LedFrom,E1174&lt;=LedTo,OR(I1174=LedAcct,K1174=LedAcct,AND(LedAcct=acctTax,M1174+N1174&lt;&gt;0))),E1174*10000+B1174,""),"")</f>
        <v/>
      </c>
    </row>
    <row r="1175">
      <c r="B1175" s="101" t="n">
        <v>1169</v>
      </c>
      <c r="C1175" s="58" t="inlineStr">
        <is>
          <t>Transaction</t>
        </is>
      </c>
      <c r="D1175" s="58">
        <f>IF(H1175=1,INDEX(tx_ID,1169)&amp;"","")</f>
        <v/>
      </c>
      <c r="E1175" s="94">
        <f>IF(H1175=1,INDEX(tx_Date,1169),"")</f>
        <v/>
      </c>
      <c r="F1175" s="58">
        <f>IF(H1175=1,INDEX(tx_Desc,1169)&amp;"","")</f>
        <v/>
      </c>
      <c r="G1175" s="58">
        <f>IF(H1175=1,IF(INDEX(tx_Cust,1169)&amp;""&lt;&gt;"",INDEX(tx_Cust,1169)&amp;"",INDEX(tx_Vend,1169)&amp;""),"")</f>
        <v/>
      </c>
      <c r="H1175" s="101">
        <f>IFERROR(N(INDEX(tx_Posted,1169)),0)</f>
        <v/>
      </c>
      <c r="I1175" s="58">
        <f>IF(H1175=1,INDEX(tx_DrAcct,1169)&amp;"","")</f>
        <v/>
      </c>
      <c r="J1175" s="95">
        <f>IF(H1175=1,INDEX(tx_DrAmt,1169),0)</f>
        <v/>
      </c>
      <c r="K1175" s="58">
        <f>IF(H1175=1,INDEX(tx_CrAcct,1169)&amp;"","")</f>
        <v/>
      </c>
      <c r="L1175" s="95">
        <f>IF(H1175=1,INDEX(tx_CrAmt,1169),0)</f>
        <v/>
      </c>
      <c r="M1175" s="95">
        <f>IF(H1175=1,INDEX(tx_TaxDr,1169),0)</f>
        <v/>
      </c>
      <c r="N1175" s="95">
        <f>IF(H1175=1,INDEX(tx_TaxCr,1169),0)</f>
        <v/>
      </c>
      <c r="O1175" s="101">
        <f>IF(H1175=1,IF(E1175&lt;FYStart,0,IF(E1175&gt;FYEnd,13,YEAR(E1175)*12+MONTH(E1175)-FYYM+1)),"")</f>
        <v/>
      </c>
      <c r="P1175" s="101">
        <f>IF(H1175=1,IF(IFERROR(INDEX(coa_CF,MATCH(I1175,coa_Name,0)),"")="Cash",1,0),0)</f>
        <v/>
      </c>
      <c r="Q1175" s="101">
        <f>IF(H1175=1,IF(IFERROR(INDEX(coa_CF,MATCH(K1175,coa_Name,0)),"")="Cash",1,0),0)</f>
        <v/>
      </c>
      <c r="R1175" s="58">
        <f>IF((P1175-Q1175)=0,"",IFERROR(INDEX(coa_CF,MATCH(IF((P1175-Q1175)=1,K1175,I1175),coa_Name,0)),"Operating"))</f>
        <v/>
      </c>
      <c r="S1175" s="95">
        <f>IF((P1175-Q1175)=1,L1175,IF((P1175-Q1175)=-1,-J1175,0))</f>
        <v/>
      </c>
      <c r="T1175" s="95">
        <f>IF((P1175-Q1175)=1,N1175,IF((P1175-Q1175)=-1,-M1175,0))</f>
        <v/>
      </c>
      <c r="U1175" s="101">
        <f>IF(AND(H1175=1,LedAcct&lt;&gt;""),IF(AND(E1175&gt;=LedFrom,E1175&lt;=LedTo,OR(I1175=LedAcct,K1175=LedAcct,AND(LedAcct=acctTax,M1175+N1175&lt;&gt;0))),E1175*10000+B1175,""),"")</f>
        <v/>
      </c>
    </row>
    <row r="1176">
      <c r="B1176" s="101" t="n">
        <v>1170</v>
      </c>
      <c r="C1176" s="58" t="inlineStr">
        <is>
          <t>Transaction</t>
        </is>
      </c>
      <c r="D1176" s="58">
        <f>IF(H1176=1,INDEX(tx_ID,1170)&amp;"","")</f>
        <v/>
      </c>
      <c r="E1176" s="94">
        <f>IF(H1176=1,INDEX(tx_Date,1170),"")</f>
        <v/>
      </c>
      <c r="F1176" s="58">
        <f>IF(H1176=1,INDEX(tx_Desc,1170)&amp;"","")</f>
        <v/>
      </c>
      <c r="G1176" s="58">
        <f>IF(H1176=1,IF(INDEX(tx_Cust,1170)&amp;""&lt;&gt;"",INDEX(tx_Cust,1170)&amp;"",INDEX(tx_Vend,1170)&amp;""),"")</f>
        <v/>
      </c>
      <c r="H1176" s="101">
        <f>IFERROR(N(INDEX(tx_Posted,1170)),0)</f>
        <v/>
      </c>
      <c r="I1176" s="58">
        <f>IF(H1176=1,INDEX(tx_DrAcct,1170)&amp;"","")</f>
        <v/>
      </c>
      <c r="J1176" s="95">
        <f>IF(H1176=1,INDEX(tx_DrAmt,1170),0)</f>
        <v/>
      </c>
      <c r="K1176" s="58">
        <f>IF(H1176=1,INDEX(tx_CrAcct,1170)&amp;"","")</f>
        <v/>
      </c>
      <c r="L1176" s="95">
        <f>IF(H1176=1,INDEX(tx_CrAmt,1170),0)</f>
        <v/>
      </c>
      <c r="M1176" s="95">
        <f>IF(H1176=1,INDEX(tx_TaxDr,1170),0)</f>
        <v/>
      </c>
      <c r="N1176" s="95">
        <f>IF(H1176=1,INDEX(tx_TaxCr,1170),0)</f>
        <v/>
      </c>
      <c r="O1176" s="101">
        <f>IF(H1176=1,IF(E1176&lt;FYStart,0,IF(E1176&gt;FYEnd,13,YEAR(E1176)*12+MONTH(E1176)-FYYM+1)),"")</f>
        <v/>
      </c>
      <c r="P1176" s="101">
        <f>IF(H1176=1,IF(IFERROR(INDEX(coa_CF,MATCH(I1176,coa_Name,0)),"")="Cash",1,0),0)</f>
        <v/>
      </c>
      <c r="Q1176" s="101">
        <f>IF(H1176=1,IF(IFERROR(INDEX(coa_CF,MATCH(K1176,coa_Name,0)),"")="Cash",1,0),0)</f>
        <v/>
      </c>
      <c r="R1176" s="58">
        <f>IF((P1176-Q1176)=0,"",IFERROR(INDEX(coa_CF,MATCH(IF((P1176-Q1176)=1,K1176,I1176),coa_Name,0)),"Operating"))</f>
        <v/>
      </c>
      <c r="S1176" s="95">
        <f>IF((P1176-Q1176)=1,L1176,IF((P1176-Q1176)=-1,-J1176,0))</f>
        <v/>
      </c>
      <c r="T1176" s="95">
        <f>IF((P1176-Q1176)=1,N1176,IF((P1176-Q1176)=-1,-M1176,0))</f>
        <v/>
      </c>
      <c r="U1176" s="101">
        <f>IF(AND(H1176=1,LedAcct&lt;&gt;""),IF(AND(E1176&gt;=LedFrom,E1176&lt;=LedTo,OR(I1176=LedAcct,K1176=LedAcct,AND(LedAcct=acctTax,M1176+N1176&lt;&gt;0))),E1176*10000+B1176,""),"")</f>
        <v/>
      </c>
    </row>
    <row r="1177">
      <c r="B1177" s="101" t="n">
        <v>1171</v>
      </c>
      <c r="C1177" s="58" t="inlineStr">
        <is>
          <t>Transaction</t>
        </is>
      </c>
      <c r="D1177" s="58">
        <f>IF(H1177=1,INDEX(tx_ID,1171)&amp;"","")</f>
        <v/>
      </c>
      <c r="E1177" s="94">
        <f>IF(H1177=1,INDEX(tx_Date,1171),"")</f>
        <v/>
      </c>
      <c r="F1177" s="58">
        <f>IF(H1177=1,INDEX(tx_Desc,1171)&amp;"","")</f>
        <v/>
      </c>
      <c r="G1177" s="58">
        <f>IF(H1177=1,IF(INDEX(tx_Cust,1171)&amp;""&lt;&gt;"",INDEX(tx_Cust,1171)&amp;"",INDEX(tx_Vend,1171)&amp;""),"")</f>
        <v/>
      </c>
      <c r="H1177" s="101">
        <f>IFERROR(N(INDEX(tx_Posted,1171)),0)</f>
        <v/>
      </c>
      <c r="I1177" s="58">
        <f>IF(H1177=1,INDEX(tx_DrAcct,1171)&amp;"","")</f>
        <v/>
      </c>
      <c r="J1177" s="95">
        <f>IF(H1177=1,INDEX(tx_DrAmt,1171),0)</f>
        <v/>
      </c>
      <c r="K1177" s="58">
        <f>IF(H1177=1,INDEX(tx_CrAcct,1171)&amp;"","")</f>
        <v/>
      </c>
      <c r="L1177" s="95">
        <f>IF(H1177=1,INDEX(tx_CrAmt,1171),0)</f>
        <v/>
      </c>
      <c r="M1177" s="95">
        <f>IF(H1177=1,INDEX(tx_TaxDr,1171),0)</f>
        <v/>
      </c>
      <c r="N1177" s="95">
        <f>IF(H1177=1,INDEX(tx_TaxCr,1171),0)</f>
        <v/>
      </c>
      <c r="O1177" s="101">
        <f>IF(H1177=1,IF(E1177&lt;FYStart,0,IF(E1177&gt;FYEnd,13,YEAR(E1177)*12+MONTH(E1177)-FYYM+1)),"")</f>
        <v/>
      </c>
      <c r="P1177" s="101">
        <f>IF(H1177=1,IF(IFERROR(INDEX(coa_CF,MATCH(I1177,coa_Name,0)),"")="Cash",1,0),0)</f>
        <v/>
      </c>
      <c r="Q1177" s="101">
        <f>IF(H1177=1,IF(IFERROR(INDEX(coa_CF,MATCH(K1177,coa_Name,0)),"")="Cash",1,0),0)</f>
        <v/>
      </c>
      <c r="R1177" s="58">
        <f>IF((P1177-Q1177)=0,"",IFERROR(INDEX(coa_CF,MATCH(IF((P1177-Q1177)=1,K1177,I1177),coa_Name,0)),"Operating"))</f>
        <v/>
      </c>
      <c r="S1177" s="95">
        <f>IF((P1177-Q1177)=1,L1177,IF((P1177-Q1177)=-1,-J1177,0))</f>
        <v/>
      </c>
      <c r="T1177" s="95">
        <f>IF((P1177-Q1177)=1,N1177,IF((P1177-Q1177)=-1,-M1177,0))</f>
        <v/>
      </c>
      <c r="U1177" s="101">
        <f>IF(AND(H1177=1,LedAcct&lt;&gt;""),IF(AND(E1177&gt;=LedFrom,E1177&lt;=LedTo,OR(I1177=LedAcct,K1177=LedAcct,AND(LedAcct=acctTax,M1177+N1177&lt;&gt;0))),E1177*10000+B1177,""),"")</f>
        <v/>
      </c>
    </row>
    <row r="1178">
      <c r="B1178" s="101" t="n">
        <v>1172</v>
      </c>
      <c r="C1178" s="58" t="inlineStr">
        <is>
          <t>Transaction</t>
        </is>
      </c>
      <c r="D1178" s="58">
        <f>IF(H1178=1,INDEX(tx_ID,1172)&amp;"","")</f>
        <v/>
      </c>
      <c r="E1178" s="94">
        <f>IF(H1178=1,INDEX(tx_Date,1172),"")</f>
        <v/>
      </c>
      <c r="F1178" s="58">
        <f>IF(H1178=1,INDEX(tx_Desc,1172)&amp;"","")</f>
        <v/>
      </c>
      <c r="G1178" s="58">
        <f>IF(H1178=1,IF(INDEX(tx_Cust,1172)&amp;""&lt;&gt;"",INDEX(tx_Cust,1172)&amp;"",INDEX(tx_Vend,1172)&amp;""),"")</f>
        <v/>
      </c>
      <c r="H1178" s="101">
        <f>IFERROR(N(INDEX(tx_Posted,1172)),0)</f>
        <v/>
      </c>
      <c r="I1178" s="58">
        <f>IF(H1178=1,INDEX(tx_DrAcct,1172)&amp;"","")</f>
        <v/>
      </c>
      <c r="J1178" s="95">
        <f>IF(H1178=1,INDEX(tx_DrAmt,1172),0)</f>
        <v/>
      </c>
      <c r="K1178" s="58">
        <f>IF(H1178=1,INDEX(tx_CrAcct,1172)&amp;"","")</f>
        <v/>
      </c>
      <c r="L1178" s="95">
        <f>IF(H1178=1,INDEX(tx_CrAmt,1172),0)</f>
        <v/>
      </c>
      <c r="M1178" s="95">
        <f>IF(H1178=1,INDEX(tx_TaxDr,1172),0)</f>
        <v/>
      </c>
      <c r="N1178" s="95">
        <f>IF(H1178=1,INDEX(tx_TaxCr,1172),0)</f>
        <v/>
      </c>
      <c r="O1178" s="101">
        <f>IF(H1178=1,IF(E1178&lt;FYStart,0,IF(E1178&gt;FYEnd,13,YEAR(E1178)*12+MONTH(E1178)-FYYM+1)),"")</f>
        <v/>
      </c>
      <c r="P1178" s="101">
        <f>IF(H1178=1,IF(IFERROR(INDEX(coa_CF,MATCH(I1178,coa_Name,0)),"")="Cash",1,0),0)</f>
        <v/>
      </c>
      <c r="Q1178" s="101">
        <f>IF(H1178=1,IF(IFERROR(INDEX(coa_CF,MATCH(K1178,coa_Name,0)),"")="Cash",1,0),0)</f>
        <v/>
      </c>
      <c r="R1178" s="58">
        <f>IF((P1178-Q1178)=0,"",IFERROR(INDEX(coa_CF,MATCH(IF((P1178-Q1178)=1,K1178,I1178),coa_Name,0)),"Operating"))</f>
        <v/>
      </c>
      <c r="S1178" s="95">
        <f>IF((P1178-Q1178)=1,L1178,IF((P1178-Q1178)=-1,-J1178,0))</f>
        <v/>
      </c>
      <c r="T1178" s="95">
        <f>IF((P1178-Q1178)=1,N1178,IF((P1178-Q1178)=-1,-M1178,0))</f>
        <v/>
      </c>
      <c r="U1178" s="101">
        <f>IF(AND(H1178=1,LedAcct&lt;&gt;""),IF(AND(E1178&gt;=LedFrom,E1178&lt;=LedTo,OR(I1178=LedAcct,K1178=LedAcct,AND(LedAcct=acctTax,M1178+N1178&lt;&gt;0))),E1178*10000+B1178,""),"")</f>
        <v/>
      </c>
    </row>
    <row r="1179">
      <c r="B1179" s="101" t="n">
        <v>1173</v>
      </c>
      <c r="C1179" s="58" t="inlineStr">
        <is>
          <t>Transaction</t>
        </is>
      </c>
      <c r="D1179" s="58">
        <f>IF(H1179=1,INDEX(tx_ID,1173)&amp;"","")</f>
        <v/>
      </c>
      <c r="E1179" s="94">
        <f>IF(H1179=1,INDEX(tx_Date,1173),"")</f>
        <v/>
      </c>
      <c r="F1179" s="58">
        <f>IF(H1179=1,INDEX(tx_Desc,1173)&amp;"","")</f>
        <v/>
      </c>
      <c r="G1179" s="58">
        <f>IF(H1179=1,IF(INDEX(tx_Cust,1173)&amp;""&lt;&gt;"",INDEX(tx_Cust,1173)&amp;"",INDEX(tx_Vend,1173)&amp;""),"")</f>
        <v/>
      </c>
      <c r="H1179" s="101">
        <f>IFERROR(N(INDEX(tx_Posted,1173)),0)</f>
        <v/>
      </c>
      <c r="I1179" s="58">
        <f>IF(H1179=1,INDEX(tx_DrAcct,1173)&amp;"","")</f>
        <v/>
      </c>
      <c r="J1179" s="95">
        <f>IF(H1179=1,INDEX(tx_DrAmt,1173),0)</f>
        <v/>
      </c>
      <c r="K1179" s="58">
        <f>IF(H1179=1,INDEX(tx_CrAcct,1173)&amp;"","")</f>
        <v/>
      </c>
      <c r="L1179" s="95">
        <f>IF(H1179=1,INDEX(tx_CrAmt,1173),0)</f>
        <v/>
      </c>
      <c r="M1179" s="95">
        <f>IF(H1179=1,INDEX(tx_TaxDr,1173),0)</f>
        <v/>
      </c>
      <c r="N1179" s="95">
        <f>IF(H1179=1,INDEX(tx_TaxCr,1173),0)</f>
        <v/>
      </c>
      <c r="O1179" s="101">
        <f>IF(H1179=1,IF(E1179&lt;FYStart,0,IF(E1179&gt;FYEnd,13,YEAR(E1179)*12+MONTH(E1179)-FYYM+1)),"")</f>
        <v/>
      </c>
      <c r="P1179" s="101">
        <f>IF(H1179=1,IF(IFERROR(INDEX(coa_CF,MATCH(I1179,coa_Name,0)),"")="Cash",1,0),0)</f>
        <v/>
      </c>
      <c r="Q1179" s="101">
        <f>IF(H1179=1,IF(IFERROR(INDEX(coa_CF,MATCH(K1179,coa_Name,0)),"")="Cash",1,0),0)</f>
        <v/>
      </c>
      <c r="R1179" s="58">
        <f>IF((P1179-Q1179)=0,"",IFERROR(INDEX(coa_CF,MATCH(IF((P1179-Q1179)=1,K1179,I1179),coa_Name,0)),"Operating"))</f>
        <v/>
      </c>
      <c r="S1179" s="95">
        <f>IF((P1179-Q1179)=1,L1179,IF((P1179-Q1179)=-1,-J1179,0))</f>
        <v/>
      </c>
      <c r="T1179" s="95">
        <f>IF((P1179-Q1179)=1,N1179,IF((P1179-Q1179)=-1,-M1179,0))</f>
        <v/>
      </c>
      <c r="U1179" s="101">
        <f>IF(AND(H1179=1,LedAcct&lt;&gt;""),IF(AND(E1179&gt;=LedFrom,E1179&lt;=LedTo,OR(I1179=LedAcct,K1179=LedAcct,AND(LedAcct=acctTax,M1179+N1179&lt;&gt;0))),E1179*10000+B1179,""),"")</f>
        <v/>
      </c>
    </row>
    <row r="1180">
      <c r="B1180" s="101" t="n">
        <v>1174</v>
      </c>
      <c r="C1180" s="58" t="inlineStr">
        <is>
          <t>Transaction</t>
        </is>
      </c>
      <c r="D1180" s="58">
        <f>IF(H1180=1,INDEX(tx_ID,1174)&amp;"","")</f>
        <v/>
      </c>
      <c r="E1180" s="94">
        <f>IF(H1180=1,INDEX(tx_Date,1174),"")</f>
        <v/>
      </c>
      <c r="F1180" s="58">
        <f>IF(H1180=1,INDEX(tx_Desc,1174)&amp;"","")</f>
        <v/>
      </c>
      <c r="G1180" s="58">
        <f>IF(H1180=1,IF(INDEX(tx_Cust,1174)&amp;""&lt;&gt;"",INDEX(tx_Cust,1174)&amp;"",INDEX(tx_Vend,1174)&amp;""),"")</f>
        <v/>
      </c>
      <c r="H1180" s="101">
        <f>IFERROR(N(INDEX(tx_Posted,1174)),0)</f>
        <v/>
      </c>
      <c r="I1180" s="58">
        <f>IF(H1180=1,INDEX(tx_DrAcct,1174)&amp;"","")</f>
        <v/>
      </c>
      <c r="J1180" s="95">
        <f>IF(H1180=1,INDEX(tx_DrAmt,1174),0)</f>
        <v/>
      </c>
      <c r="K1180" s="58">
        <f>IF(H1180=1,INDEX(tx_CrAcct,1174)&amp;"","")</f>
        <v/>
      </c>
      <c r="L1180" s="95">
        <f>IF(H1180=1,INDEX(tx_CrAmt,1174),0)</f>
        <v/>
      </c>
      <c r="M1180" s="95">
        <f>IF(H1180=1,INDEX(tx_TaxDr,1174),0)</f>
        <v/>
      </c>
      <c r="N1180" s="95">
        <f>IF(H1180=1,INDEX(tx_TaxCr,1174),0)</f>
        <v/>
      </c>
      <c r="O1180" s="101">
        <f>IF(H1180=1,IF(E1180&lt;FYStart,0,IF(E1180&gt;FYEnd,13,YEAR(E1180)*12+MONTH(E1180)-FYYM+1)),"")</f>
        <v/>
      </c>
      <c r="P1180" s="101">
        <f>IF(H1180=1,IF(IFERROR(INDEX(coa_CF,MATCH(I1180,coa_Name,0)),"")="Cash",1,0),0)</f>
        <v/>
      </c>
      <c r="Q1180" s="101">
        <f>IF(H1180=1,IF(IFERROR(INDEX(coa_CF,MATCH(K1180,coa_Name,0)),"")="Cash",1,0),0)</f>
        <v/>
      </c>
      <c r="R1180" s="58">
        <f>IF((P1180-Q1180)=0,"",IFERROR(INDEX(coa_CF,MATCH(IF((P1180-Q1180)=1,K1180,I1180),coa_Name,0)),"Operating"))</f>
        <v/>
      </c>
      <c r="S1180" s="95">
        <f>IF((P1180-Q1180)=1,L1180,IF((P1180-Q1180)=-1,-J1180,0))</f>
        <v/>
      </c>
      <c r="T1180" s="95">
        <f>IF((P1180-Q1180)=1,N1180,IF((P1180-Q1180)=-1,-M1180,0))</f>
        <v/>
      </c>
      <c r="U1180" s="101">
        <f>IF(AND(H1180=1,LedAcct&lt;&gt;""),IF(AND(E1180&gt;=LedFrom,E1180&lt;=LedTo,OR(I1180=LedAcct,K1180=LedAcct,AND(LedAcct=acctTax,M1180+N1180&lt;&gt;0))),E1180*10000+B1180,""),"")</f>
        <v/>
      </c>
    </row>
    <row r="1181">
      <c r="B1181" s="101" t="n">
        <v>1175</v>
      </c>
      <c r="C1181" s="58" t="inlineStr">
        <is>
          <t>Transaction</t>
        </is>
      </c>
      <c r="D1181" s="58">
        <f>IF(H1181=1,INDEX(tx_ID,1175)&amp;"","")</f>
        <v/>
      </c>
      <c r="E1181" s="94">
        <f>IF(H1181=1,INDEX(tx_Date,1175),"")</f>
        <v/>
      </c>
      <c r="F1181" s="58">
        <f>IF(H1181=1,INDEX(tx_Desc,1175)&amp;"","")</f>
        <v/>
      </c>
      <c r="G1181" s="58">
        <f>IF(H1181=1,IF(INDEX(tx_Cust,1175)&amp;""&lt;&gt;"",INDEX(tx_Cust,1175)&amp;"",INDEX(tx_Vend,1175)&amp;""),"")</f>
        <v/>
      </c>
      <c r="H1181" s="101">
        <f>IFERROR(N(INDEX(tx_Posted,1175)),0)</f>
        <v/>
      </c>
      <c r="I1181" s="58">
        <f>IF(H1181=1,INDEX(tx_DrAcct,1175)&amp;"","")</f>
        <v/>
      </c>
      <c r="J1181" s="95">
        <f>IF(H1181=1,INDEX(tx_DrAmt,1175),0)</f>
        <v/>
      </c>
      <c r="K1181" s="58">
        <f>IF(H1181=1,INDEX(tx_CrAcct,1175)&amp;"","")</f>
        <v/>
      </c>
      <c r="L1181" s="95">
        <f>IF(H1181=1,INDEX(tx_CrAmt,1175),0)</f>
        <v/>
      </c>
      <c r="M1181" s="95">
        <f>IF(H1181=1,INDEX(tx_TaxDr,1175),0)</f>
        <v/>
      </c>
      <c r="N1181" s="95">
        <f>IF(H1181=1,INDEX(tx_TaxCr,1175),0)</f>
        <v/>
      </c>
      <c r="O1181" s="101">
        <f>IF(H1181=1,IF(E1181&lt;FYStart,0,IF(E1181&gt;FYEnd,13,YEAR(E1181)*12+MONTH(E1181)-FYYM+1)),"")</f>
        <v/>
      </c>
      <c r="P1181" s="101">
        <f>IF(H1181=1,IF(IFERROR(INDEX(coa_CF,MATCH(I1181,coa_Name,0)),"")="Cash",1,0),0)</f>
        <v/>
      </c>
      <c r="Q1181" s="101">
        <f>IF(H1181=1,IF(IFERROR(INDEX(coa_CF,MATCH(K1181,coa_Name,0)),"")="Cash",1,0),0)</f>
        <v/>
      </c>
      <c r="R1181" s="58">
        <f>IF((P1181-Q1181)=0,"",IFERROR(INDEX(coa_CF,MATCH(IF((P1181-Q1181)=1,K1181,I1181),coa_Name,0)),"Operating"))</f>
        <v/>
      </c>
      <c r="S1181" s="95">
        <f>IF((P1181-Q1181)=1,L1181,IF((P1181-Q1181)=-1,-J1181,0))</f>
        <v/>
      </c>
      <c r="T1181" s="95">
        <f>IF((P1181-Q1181)=1,N1181,IF((P1181-Q1181)=-1,-M1181,0))</f>
        <v/>
      </c>
      <c r="U1181" s="101">
        <f>IF(AND(H1181=1,LedAcct&lt;&gt;""),IF(AND(E1181&gt;=LedFrom,E1181&lt;=LedTo,OR(I1181=LedAcct,K1181=LedAcct,AND(LedAcct=acctTax,M1181+N1181&lt;&gt;0))),E1181*10000+B1181,""),"")</f>
        <v/>
      </c>
    </row>
    <row r="1182">
      <c r="B1182" s="101" t="n">
        <v>1176</v>
      </c>
      <c r="C1182" s="58" t="inlineStr">
        <is>
          <t>Transaction</t>
        </is>
      </c>
      <c r="D1182" s="58">
        <f>IF(H1182=1,INDEX(tx_ID,1176)&amp;"","")</f>
        <v/>
      </c>
      <c r="E1182" s="94">
        <f>IF(H1182=1,INDEX(tx_Date,1176),"")</f>
        <v/>
      </c>
      <c r="F1182" s="58">
        <f>IF(H1182=1,INDEX(tx_Desc,1176)&amp;"","")</f>
        <v/>
      </c>
      <c r="G1182" s="58">
        <f>IF(H1182=1,IF(INDEX(tx_Cust,1176)&amp;""&lt;&gt;"",INDEX(tx_Cust,1176)&amp;"",INDEX(tx_Vend,1176)&amp;""),"")</f>
        <v/>
      </c>
      <c r="H1182" s="101">
        <f>IFERROR(N(INDEX(tx_Posted,1176)),0)</f>
        <v/>
      </c>
      <c r="I1182" s="58">
        <f>IF(H1182=1,INDEX(tx_DrAcct,1176)&amp;"","")</f>
        <v/>
      </c>
      <c r="J1182" s="95">
        <f>IF(H1182=1,INDEX(tx_DrAmt,1176),0)</f>
        <v/>
      </c>
      <c r="K1182" s="58">
        <f>IF(H1182=1,INDEX(tx_CrAcct,1176)&amp;"","")</f>
        <v/>
      </c>
      <c r="L1182" s="95">
        <f>IF(H1182=1,INDEX(tx_CrAmt,1176),0)</f>
        <v/>
      </c>
      <c r="M1182" s="95">
        <f>IF(H1182=1,INDEX(tx_TaxDr,1176),0)</f>
        <v/>
      </c>
      <c r="N1182" s="95">
        <f>IF(H1182=1,INDEX(tx_TaxCr,1176),0)</f>
        <v/>
      </c>
      <c r="O1182" s="101">
        <f>IF(H1182=1,IF(E1182&lt;FYStart,0,IF(E1182&gt;FYEnd,13,YEAR(E1182)*12+MONTH(E1182)-FYYM+1)),"")</f>
        <v/>
      </c>
      <c r="P1182" s="101">
        <f>IF(H1182=1,IF(IFERROR(INDEX(coa_CF,MATCH(I1182,coa_Name,0)),"")="Cash",1,0),0)</f>
        <v/>
      </c>
      <c r="Q1182" s="101">
        <f>IF(H1182=1,IF(IFERROR(INDEX(coa_CF,MATCH(K1182,coa_Name,0)),"")="Cash",1,0),0)</f>
        <v/>
      </c>
      <c r="R1182" s="58">
        <f>IF((P1182-Q1182)=0,"",IFERROR(INDEX(coa_CF,MATCH(IF((P1182-Q1182)=1,K1182,I1182),coa_Name,0)),"Operating"))</f>
        <v/>
      </c>
      <c r="S1182" s="95">
        <f>IF((P1182-Q1182)=1,L1182,IF((P1182-Q1182)=-1,-J1182,0))</f>
        <v/>
      </c>
      <c r="T1182" s="95">
        <f>IF((P1182-Q1182)=1,N1182,IF((P1182-Q1182)=-1,-M1182,0))</f>
        <v/>
      </c>
      <c r="U1182" s="101">
        <f>IF(AND(H1182=1,LedAcct&lt;&gt;""),IF(AND(E1182&gt;=LedFrom,E1182&lt;=LedTo,OR(I1182=LedAcct,K1182=LedAcct,AND(LedAcct=acctTax,M1182+N1182&lt;&gt;0))),E1182*10000+B1182,""),"")</f>
        <v/>
      </c>
    </row>
    <row r="1183">
      <c r="B1183" s="101" t="n">
        <v>1177</v>
      </c>
      <c r="C1183" s="58" t="inlineStr">
        <is>
          <t>Transaction</t>
        </is>
      </c>
      <c r="D1183" s="58">
        <f>IF(H1183=1,INDEX(tx_ID,1177)&amp;"","")</f>
        <v/>
      </c>
      <c r="E1183" s="94">
        <f>IF(H1183=1,INDEX(tx_Date,1177),"")</f>
        <v/>
      </c>
      <c r="F1183" s="58">
        <f>IF(H1183=1,INDEX(tx_Desc,1177)&amp;"","")</f>
        <v/>
      </c>
      <c r="G1183" s="58">
        <f>IF(H1183=1,IF(INDEX(tx_Cust,1177)&amp;""&lt;&gt;"",INDEX(tx_Cust,1177)&amp;"",INDEX(tx_Vend,1177)&amp;""),"")</f>
        <v/>
      </c>
      <c r="H1183" s="101">
        <f>IFERROR(N(INDEX(tx_Posted,1177)),0)</f>
        <v/>
      </c>
      <c r="I1183" s="58">
        <f>IF(H1183=1,INDEX(tx_DrAcct,1177)&amp;"","")</f>
        <v/>
      </c>
      <c r="J1183" s="95">
        <f>IF(H1183=1,INDEX(tx_DrAmt,1177),0)</f>
        <v/>
      </c>
      <c r="K1183" s="58">
        <f>IF(H1183=1,INDEX(tx_CrAcct,1177)&amp;"","")</f>
        <v/>
      </c>
      <c r="L1183" s="95">
        <f>IF(H1183=1,INDEX(tx_CrAmt,1177),0)</f>
        <v/>
      </c>
      <c r="M1183" s="95">
        <f>IF(H1183=1,INDEX(tx_TaxDr,1177),0)</f>
        <v/>
      </c>
      <c r="N1183" s="95">
        <f>IF(H1183=1,INDEX(tx_TaxCr,1177),0)</f>
        <v/>
      </c>
      <c r="O1183" s="101">
        <f>IF(H1183=1,IF(E1183&lt;FYStart,0,IF(E1183&gt;FYEnd,13,YEAR(E1183)*12+MONTH(E1183)-FYYM+1)),"")</f>
        <v/>
      </c>
      <c r="P1183" s="101">
        <f>IF(H1183=1,IF(IFERROR(INDEX(coa_CF,MATCH(I1183,coa_Name,0)),"")="Cash",1,0),0)</f>
        <v/>
      </c>
      <c r="Q1183" s="101">
        <f>IF(H1183=1,IF(IFERROR(INDEX(coa_CF,MATCH(K1183,coa_Name,0)),"")="Cash",1,0),0)</f>
        <v/>
      </c>
      <c r="R1183" s="58">
        <f>IF((P1183-Q1183)=0,"",IFERROR(INDEX(coa_CF,MATCH(IF((P1183-Q1183)=1,K1183,I1183),coa_Name,0)),"Operating"))</f>
        <v/>
      </c>
      <c r="S1183" s="95">
        <f>IF((P1183-Q1183)=1,L1183,IF((P1183-Q1183)=-1,-J1183,0))</f>
        <v/>
      </c>
      <c r="T1183" s="95">
        <f>IF((P1183-Q1183)=1,N1183,IF((P1183-Q1183)=-1,-M1183,0))</f>
        <v/>
      </c>
      <c r="U1183" s="101">
        <f>IF(AND(H1183=1,LedAcct&lt;&gt;""),IF(AND(E1183&gt;=LedFrom,E1183&lt;=LedTo,OR(I1183=LedAcct,K1183=LedAcct,AND(LedAcct=acctTax,M1183+N1183&lt;&gt;0))),E1183*10000+B1183,""),"")</f>
        <v/>
      </c>
    </row>
    <row r="1184">
      <c r="B1184" s="101" t="n">
        <v>1178</v>
      </c>
      <c r="C1184" s="58" t="inlineStr">
        <is>
          <t>Transaction</t>
        </is>
      </c>
      <c r="D1184" s="58">
        <f>IF(H1184=1,INDEX(tx_ID,1178)&amp;"","")</f>
        <v/>
      </c>
      <c r="E1184" s="94">
        <f>IF(H1184=1,INDEX(tx_Date,1178),"")</f>
        <v/>
      </c>
      <c r="F1184" s="58">
        <f>IF(H1184=1,INDEX(tx_Desc,1178)&amp;"","")</f>
        <v/>
      </c>
      <c r="G1184" s="58">
        <f>IF(H1184=1,IF(INDEX(tx_Cust,1178)&amp;""&lt;&gt;"",INDEX(tx_Cust,1178)&amp;"",INDEX(tx_Vend,1178)&amp;""),"")</f>
        <v/>
      </c>
      <c r="H1184" s="101">
        <f>IFERROR(N(INDEX(tx_Posted,1178)),0)</f>
        <v/>
      </c>
      <c r="I1184" s="58">
        <f>IF(H1184=1,INDEX(tx_DrAcct,1178)&amp;"","")</f>
        <v/>
      </c>
      <c r="J1184" s="95">
        <f>IF(H1184=1,INDEX(tx_DrAmt,1178),0)</f>
        <v/>
      </c>
      <c r="K1184" s="58">
        <f>IF(H1184=1,INDEX(tx_CrAcct,1178)&amp;"","")</f>
        <v/>
      </c>
      <c r="L1184" s="95">
        <f>IF(H1184=1,INDEX(tx_CrAmt,1178),0)</f>
        <v/>
      </c>
      <c r="M1184" s="95">
        <f>IF(H1184=1,INDEX(tx_TaxDr,1178),0)</f>
        <v/>
      </c>
      <c r="N1184" s="95">
        <f>IF(H1184=1,INDEX(tx_TaxCr,1178),0)</f>
        <v/>
      </c>
      <c r="O1184" s="101">
        <f>IF(H1184=1,IF(E1184&lt;FYStart,0,IF(E1184&gt;FYEnd,13,YEAR(E1184)*12+MONTH(E1184)-FYYM+1)),"")</f>
        <v/>
      </c>
      <c r="P1184" s="101">
        <f>IF(H1184=1,IF(IFERROR(INDEX(coa_CF,MATCH(I1184,coa_Name,0)),"")="Cash",1,0),0)</f>
        <v/>
      </c>
      <c r="Q1184" s="101">
        <f>IF(H1184=1,IF(IFERROR(INDEX(coa_CF,MATCH(K1184,coa_Name,0)),"")="Cash",1,0),0)</f>
        <v/>
      </c>
      <c r="R1184" s="58">
        <f>IF((P1184-Q1184)=0,"",IFERROR(INDEX(coa_CF,MATCH(IF((P1184-Q1184)=1,K1184,I1184),coa_Name,0)),"Operating"))</f>
        <v/>
      </c>
      <c r="S1184" s="95">
        <f>IF((P1184-Q1184)=1,L1184,IF((P1184-Q1184)=-1,-J1184,0))</f>
        <v/>
      </c>
      <c r="T1184" s="95">
        <f>IF((P1184-Q1184)=1,N1184,IF((P1184-Q1184)=-1,-M1184,0))</f>
        <v/>
      </c>
      <c r="U1184" s="101">
        <f>IF(AND(H1184=1,LedAcct&lt;&gt;""),IF(AND(E1184&gt;=LedFrom,E1184&lt;=LedTo,OR(I1184=LedAcct,K1184=LedAcct,AND(LedAcct=acctTax,M1184+N1184&lt;&gt;0))),E1184*10000+B1184,""),"")</f>
        <v/>
      </c>
    </row>
    <row r="1185">
      <c r="B1185" s="101" t="n">
        <v>1179</v>
      </c>
      <c r="C1185" s="58" t="inlineStr">
        <is>
          <t>Transaction</t>
        </is>
      </c>
      <c r="D1185" s="58">
        <f>IF(H1185=1,INDEX(tx_ID,1179)&amp;"","")</f>
        <v/>
      </c>
      <c r="E1185" s="94">
        <f>IF(H1185=1,INDEX(tx_Date,1179),"")</f>
        <v/>
      </c>
      <c r="F1185" s="58">
        <f>IF(H1185=1,INDEX(tx_Desc,1179)&amp;"","")</f>
        <v/>
      </c>
      <c r="G1185" s="58">
        <f>IF(H1185=1,IF(INDEX(tx_Cust,1179)&amp;""&lt;&gt;"",INDEX(tx_Cust,1179)&amp;"",INDEX(tx_Vend,1179)&amp;""),"")</f>
        <v/>
      </c>
      <c r="H1185" s="101">
        <f>IFERROR(N(INDEX(tx_Posted,1179)),0)</f>
        <v/>
      </c>
      <c r="I1185" s="58">
        <f>IF(H1185=1,INDEX(tx_DrAcct,1179)&amp;"","")</f>
        <v/>
      </c>
      <c r="J1185" s="95">
        <f>IF(H1185=1,INDEX(tx_DrAmt,1179),0)</f>
        <v/>
      </c>
      <c r="K1185" s="58">
        <f>IF(H1185=1,INDEX(tx_CrAcct,1179)&amp;"","")</f>
        <v/>
      </c>
      <c r="L1185" s="95">
        <f>IF(H1185=1,INDEX(tx_CrAmt,1179),0)</f>
        <v/>
      </c>
      <c r="M1185" s="95">
        <f>IF(H1185=1,INDEX(tx_TaxDr,1179),0)</f>
        <v/>
      </c>
      <c r="N1185" s="95">
        <f>IF(H1185=1,INDEX(tx_TaxCr,1179),0)</f>
        <v/>
      </c>
      <c r="O1185" s="101">
        <f>IF(H1185=1,IF(E1185&lt;FYStart,0,IF(E1185&gt;FYEnd,13,YEAR(E1185)*12+MONTH(E1185)-FYYM+1)),"")</f>
        <v/>
      </c>
      <c r="P1185" s="101">
        <f>IF(H1185=1,IF(IFERROR(INDEX(coa_CF,MATCH(I1185,coa_Name,0)),"")="Cash",1,0),0)</f>
        <v/>
      </c>
      <c r="Q1185" s="101">
        <f>IF(H1185=1,IF(IFERROR(INDEX(coa_CF,MATCH(K1185,coa_Name,0)),"")="Cash",1,0),0)</f>
        <v/>
      </c>
      <c r="R1185" s="58">
        <f>IF((P1185-Q1185)=0,"",IFERROR(INDEX(coa_CF,MATCH(IF((P1185-Q1185)=1,K1185,I1185),coa_Name,0)),"Operating"))</f>
        <v/>
      </c>
      <c r="S1185" s="95">
        <f>IF((P1185-Q1185)=1,L1185,IF((P1185-Q1185)=-1,-J1185,0))</f>
        <v/>
      </c>
      <c r="T1185" s="95">
        <f>IF((P1185-Q1185)=1,N1185,IF((P1185-Q1185)=-1,-M1185,0))</f>
        <v/>
      </c>
      <c r="U1185" s="101">
        <f>IF(AND(H1185=1,LedAcct&lt;&gt;""),IF(AND(E1185&gt;=LedFrom,E1185&lt;=LedTo,OR(I1185=LedAcct,K1185=LedAcct,AND(LedAcct=acctTax,M1185+N1185&lt;&gt;0))),E1185*10000+B1185,""),"")</f>
        <v/>
      </c>
    </row>
    <row r="1186">
      <c r="B1186" s="101" t="n">
        <v>1180</v>
      </c>
      <c r="C1186" s="58" t="inlineStr">
        <is>
          <t>Transaction</t>
        </is>
      </c>
      <c r="D1186" s="58">
        <f>IF(H1186=1,INDEX(tx_ID,1180)&amp;"","")</f>
        <v/>
      </c>
      <c r="E1186" s="94">
        <f>IF(H1186=1,INDEX(tx_Date,1180),"")</f>
        <v/>
      </c>
      <c r="F1186" s="58">
        <f>IF(H1186=1,INDEX(tx_Desc,1180)&amp;"","")</f>
        <v/>
      </c>
      <c r="G1186" s="58">
        <f>IF(H1186=1,IF(INDEX(tx_Cust,1180)&amp;""&lt;&gt;"",INDEX(tx_Cust,1180)&amp;"",INDEX(tx_Vend,1180)&amp;""),"")</f>
        <v/>
      </c>
      <c r="H1186" s="101">
        <f>IFERROR(N(INDEX(tx_Posted,1180)),0)</f>
        <v/>
      </c>
      <c r="I1186" s="58">
        <f>IF(H1186=1,INDEX(tx_DrAcct,1180)&amp;"","")</f>
        <v/>
      </c>
      <c r="J1186" s="95">
        <f>IF(H1186=1,INDEX(tx_DrAmt,1180),0)</f>
        <v/>
      </c>
      <c r="K1186" s="58">
        <f>IF(H1186=1,INDEX(tx_CrAcct,1180)&amp;"","")</f>
        <v/>
      </c>
      <c r="L1186" s="95">
        <f>IF(H1186=1,INDEX(tx_CrAmt,1180),0)</f>
        <v/>
      </c>
      <c r="M1186" s="95">
        <f>IF(H1186=1,INDEX(tx_TaxDr,1180),0)</f>
        <v/>
      </c>
      <c r="N1186" s="95">
        <f>IF(H1186=1,INDEX(tx_TaxCr,1180),0)</f>
        <v/>
      </c>
      <c r="O1186" s="101">
        <f>IF(H1186=1,IF(E1186&lt;FYStart,0,IF(E1186&gt;FYEnd,13,YEAR(E1186)*12+MONTH(E1186)-FYYM+1)),"")</f>
        <v/>
      </c>
      <c r="P1186" s="101">
        <f>IF(H1186=1,IF(IFERROR(INDEX(coa_CF,MATCH(I1186,coa_Name,0)),"")="Cash",1,0),0)</f>
        <v/>
      </c>
      <c r="Q1186" s="101">
        <f>IF(H1186=1,IF(IFERROR(INDEX(coa_CF,MATCH(K1186,coa_Name,0)),"")="Cash",1,0),0)</f>
        <v/>
      </c>
      <c r="R1186" s="58">
        <f>IF((P1186-Q1186)=0,"",IFERROR(INDEX(coa_CF,MATCH(IF((P1186-Q1186)=1,K1186,I1186),coa_Name,0)),"Operating"))</f>
        <v/>
      </c>
      <c r="S1186" s="95">
        <f>IF((P1186-Q1186)=1,L1186,IF((P1186-Q1186)=-1,-J1186,0))</f>
        <v/>
      </c>
      <c r="T1186" s="95">
        <f>IF((P1186-Q1186)=1,N1186,IF((P1186-Q1186)=-1,-M1186,0))</f>
        <v/>
      </c>
      <c r="U1186" s="101">
        <f>IF(AND(H1186=1,LedAcct&lt;&gt;""),IF(AND(E1186&gt;=LedFrom,E1186&lt;=LedTo,OR(I1186=LedAcct,K1186=LedAcct,AND(LedAcct=acctTax,M1186+N1186&lt;&gt;0))),E1186*10000+B1186,""),"")</f>
        <v/>
      </c>
    </row>
    <row r="1187">
      <c r="B1187" s="101" t="n">
        <v>1181</v>
      </c>
      <c r="C1187" s="58" t="inlineStr">
        <is>
          <t>Transaction</t>
        </is>
      </c>
      <c r="D1187" s="58">
        <f>IF(H1187=1,INDEX(tx_ID,1181)&amp;"","")</f>
        <v/>
      </c>
      <c r="E1187" s="94">
        <f>IF(H1187=1,INDEX(tx_Date,1181),"")</f>
        <v/>
      </c>
      <c r="F1187" s="58">
        <f>IF(H1187=1,INDEX(tx_Desc,1181)&amp;"","")</f>
        <v/>
      </c>
      <c r="G1187" s="58">
        <f>IF(H1187=1,IF(INDEX(tx_Cust,1181)&amp;""&lt;&gt;"",INDEX(tx_Cust,1181)&amp;"",INDEX(tx_Vend,1181)&amp;""),"")</f>
        <v/>
      </c>
      <c r="H1187" s="101">
        <f>IFERROR(N(INDEX(tx_Posted,1181)),0)</f>
        <v/>
      </c>
      <c r="I1187" s="58">
        <f>IF(H1187=1,INDEX(tx_DrAcct,1181)&amp;"","")</f>
        <v/>
      </c>
      <c r="J1187" s="95">
        <f>IF(H1187=1,INDEX(tx_DrAmt,1181),0)</f>
        <v/>
      </c>
      <c r="K1187" s="58">
        <f>IF(H1187=1,INDEX(tx_CrAcct,1181)&amp;"","")</f>
        <v/>
      </c>
      <c r="L1187" s="95">
        <f>IF(H1187=1,INDEX(tx_CrAmt,1181),0)</f>
        <v/>
      </c>
      <c r="M1187" s="95">
        <f>IF(H1187=1,INDEX(tx_TaxDr,1181),0)</f>
        <v/>
      </c>
      <c r="N1187" s="95">
        <f>IF(H1187=1,INDEX(tx_TaxCr,1181),0)</f>
        <v/>
      </c>
      <c r="O1187" s="101">
        <f>IF(H1187=1,IF(E1187&lt;FYStart,0,IF(E1187&gt;FYEnd,13,YEAR(E1187)*12+MONTH(E1187)-FYYM+1)),"")</f>
        <v/>
      </c>
      <c r="P1187" s="101">
        <f>IF(H1187=1,IF(IFERROR(INDEX(coa_CF,MATCH(I1187,coa_Name,0)),"")="Cash",1,0),0)</f>
        <v/>
      </c>
      <c r="Q1187" s="101">
        <f>IF(H1187=1,IF(IFERROR(INDEX(coa_CF,MATCH(K1187,coa_Name,0)),"")="Cash",1,0),0)</f>
        <v/>
      </c>
      <c r="R1187" s="58">
        <f>IF((P1187-Q1187)=0,"",IFERROR(INDEX(coa_CF,MATCH(IF((P1187-Q1187)=1,K1187,I1187),coa_Name,0)),"Operating"))</f>
        <v/>
      </c>
      <c r="S1187" s="95">
        <f>IF((P1187-Q1187)=1,L1187,IF((P1187-Q1187)=-1,-J1187,0))</f>
        <v/>
      </c>
      <c r="T1187" s="95">
        <f>IF((P1187-Q1187)=1,N1187,IF((P1187-Q1187)=-1,-M1187,0))</f>
        <v/>
      </c>
      <c r="U1187" s="101">
        <f>IF(AND(H1187=1,LedAcct&lt;&gt;""),IF(AND(E1187&gt;=LedFrom,E1187&lt;=LedTo,OR(I1187=LedAcct,K1187=LedAcct,AND(LedAcct=acctTax,M1187+N1187&lt;&gt;0))),E1187*10000+B1187,""),"")</f>
        <v/>
      </c>
    </row>
    <row r="1188">
      <c r="B1188" s="101" t="n">
        <v>1182</v>
      </c>
      <c r="C1188" s="58" t="inlineStr">
        <is>
          <t>Transaction</t>
        </is>
      </c>
      <c r="D1188" s="58">
        <f>IF(H1188=1,INDEX(tx_ID,1182)&amp;"","")</f>
        <v/>
      </c>
      <c r="E1188" s="94">
        <f>IF(H1188=1,INDEX(tx_Date,1182),"")</f>
        <v/>
      </c>
      <c r="F1188" s="58">
        <f>IF(H1188=1,INDEX(tx_Desc,1182)&amp;"","")</f>
        <v/>
      </c>
      <c r="G1188" s="58">
        <f>IF(H1188=1,IF(INDEX(tx_Cust,1182)&amp;""&lt;&gt;"",INDEX(tx_Cust,1182)&amp;"",INDEX(tx_Vend,1182)&amp;""),"")</f>
        <v/>
      </c>
      <c r="H1188" s="101">
        <f>IFERROR(N(INDEX(tx_Posted,1182)),0)</f>
        <v/>
      </c>
      <c r="I1188" s="58">
        <f>IF(H1188=1,INDEX(tx_DrAcct,1182)&amp;"","")</f>
        <v/>
      </c>
      <c r="J1188" s="95">
        <f>IF(H1188=1,INDEX(tx_DrAmt,1182),0)</f>
        <v/>
      </c>
      <c r="K1188" s="58">
        <f>IF(H1188=1,INDEX(tx_CrAcct,1182)&amp;"","")</f>
        <v/>
      </c>
      <c r="L1188" s="95">
        <f>IF(H1188=1,INDEX(tx_CrAmt,1182),0)</f>
        <v/>
      </c>
      <c r="M1188" s="95">
        <f>IF(H1188=1,INDEX(tx_TaxDr,1182),0)</f>
        <v/>
      </c>
      <c r="N1188" s="95">
        <f>IF(H1188=1,INDEX(tx_TaxCr,1182),0)</f>
        <v/>
      </c>
      <c r="O1188" s="101">
        <f>IF(H1188=1,IF(E1188&lt;FYStart,0,IF(E1188&gt;FYEnd,13,YEAR(E1188)*12+MONTH(E1188)-FYYM+1)),"")</f>
        <v/>
      </c>
      <c r="P1188" s="101">
        <f>IF(H1188=1,IF(IFERROR(INDEX(coa_CF,MATCH(I1188,coa_Name,0)),"")="Cash",1,0),0)</f>
        <v/>
      </c>
      <c r="Q1188" s="101">
        <f>IF(H1188=1,IF(IFERROR(INDEX(coa_CF,MATCH(K1188,coa_Name,0)),"")="Cash",1,0),0)</f>
        <v/>
      </c>
      <c r="R1188" s="58">
        <f>IF((P1188-Q1188)=0,"",IFERROR(INDEX(coa_CF,MATCH(IF((P1188-Q1188)=1,K1188,I1188),coa_Name,0)),"Operating"))</f>
        <v/>
      </c>
      <c r="S1188" s="95">
        <f>IF((P1188-Q1188)=1,L1188,IF((P1188-Q1188)=-1,-J1188,0))</f>
        <v/>
      </c>
      <c r="T1188" s="95">
        <f>IF((P1188-Q1188)=1,N1188,IF((P1188-Q1188)=-1,-M1188,0))</f>
        <v/>
      </c>
      <c r="U1188" s="101">
        <f>IF(AND(H1188=1,LedAcct&lt;&gt;""),IF(AND(E1188&gt;=LedFrom,E1188&lt;=LedTo,OR(I1188=LedAcct,K1188=LedAcct,AND(LedAcct=acctTax,M1188+N1188&lt;&gt;0))),E1188*10000+B1188,""),"")</f>
        <v/>
      </c>
    </row>
    <row r="1189">
      <c r="B1189" s="101" t="n">
        <v>1183</v>
      </c>
      <c r="C1189" s="58" t="inlineStr">
        <is>
          <t>Transaction</t>
        </is>
      </c>
      <c r="D1189" s="58">
        <f>IF(H1189=1,INDEX(tx_ID,1183)&amp;"","")</f>
        <v/>
      </c>
      <c r="E1189" s="94">
        <f>IF(H1189=1,INDEX(tx_Date,1183),"")</f>
        <v/>
      </c>
      <c r="F1189" s="58">
        <f>IF(H1189=1,INDEX(tx_Desc,1183)&amp;"","")</f>
        <v/>
      </c>
      <c r="G1189" s="58">
        <f>IF(H1189=1,IF(INDEX(tx_Cust,1183)&amp;""&lt;&gt;"",INDEX(tx_Cust,1183)&amp;"",INDEX(tx_Vend,1183)&amp;""),"")</f>
        <v/>
      </c>
      <c r="H1189" s="101">
        <f>IFERROR(N(INDEX(tx_Posted,1183)),0)</f>
        <v/>
      </c>
      <c r="I1189" s="58">
        <f>IF(H1189=1,INDEX(tx_DrAcct,1183)&amp;"","")</f>
        <v/>
      </c>
      <c r="J1189" s="95">
        <f>IF(H1189=1,INDEX(tx_DrAmt,1183),0)</f>
        <v/>
      </c>
      <c r="K1189" s="58">
        <f>IF(H1189=1,INDEX(tx_CrAcct,1183)&amp;"","")</f>
        <v/>
      </c>
      <c r="L1189" s="95">
        <f>IF(H1189=1,INDEX(tx_CrAmt,1183),0)</f>
        <v/>
      </c>
      <c r="M1189" s="95">
        <f>IF(H1189=1,INDEX(tx_TaxDr,1183),0)</f>
        <v/>
      </c>
      <c r="N1189" s="95">
        <f>IF(H1189=1,INDEX(tx_TaxCr,1183),0)</f>
        <v/>
      </c>
      <c r="O1189" s="101">
        <f>IF(H1189=1,IF(E1189&lt;FYStart,0,IF(E1189&gt;FYEnd,13,YEAR(E1189)*12+MONTH(E1189)-FYYM+1)),"")</f>
        <v/>
      </c>
      <c r="P1189" s="101">
        <f>IF(H1189=1,IF(IFERROR(INDEX(coa_CF,MATCH(I1189,coa_Name,0)),"")="Cash",1,0),0)</f>
        <v/>
      </c>
      <c r="Q1189" s="101">
        <f>IF(H1189=1,IF(IFERROR(INDEX(coa_CF,MATCH(K1189,coa_Name,0)),"")="Cash",1,0),0)</f>
        <v/>
      </c>
      <c r="R1189" s="58">
        <f>IF((P1189-Q1189)=0,"",IFERROR(INDEX(coa_CF,MATCH(IF((P1189-Q1189)=1,K1189,I1189),coa_Name,0)),"Operating"))</f>
        <v/>
      </c>
      <c r="S1189" s="95">
        <f>IF((P1189-Q1189)=1,L1189,IF((P1189-Q1189)=-1,-J1189,0))</f>
        <v/>
      </c>
      <c r="T1189" s="95">
        <f>IF((P1189-Q1189)=1,N1189,IF((P1189-Q1189)=-1,-M1189,0))</f>
        <v/>
      </c>
      <c r="U1189" s="101">
        <f>IF(AND(H1189=1,LedAcct&lt;&gt;""),IF(AND(E1189&gt;=LedFrom,E1189&lt;=LedTo,OR(I1189=LedAcct,K1189=LedAcct,AND(LedAcct=acctTax,M1189+N1189&lt;&gt;0))),E1189*10000+B1189,""),"")</f>
        <v/>
      </c>
    </row>
    <row r="1190">
      <c r="B1190" s="101" t="n">
        <v>1184</v>
      </c>
      <c r="C1190" s="58" t="inlineStr">
        <is>
          <t>Transaction</t>
        </is>
      </c>
      <c r="D1190" s="58">
        <f>IF(H1190=1,INDEX(tx_ID,1184)&amp;"","")</f>
        <v/>
      </c>
      <c r="E1190" s="94">
        <f>IF(H1190=1,INDEX(tx_Date,1184),"")</f>
        <v/>
      </c>
      <c r="F1190" s="58">
        <f>IF(H1190=1,INDEX(tx_Desc,1184)&amp;"","")</f>
        <v/>
      </c>
      <c r="G1190" s="58">
        <f>IF(H1190=1,IF(INDEX(tx_Cust,1184)&amp;""&lt;&gt;"",INDEX(tx_Cust,1184)&amp;"",INDEX(tx_Vend,1184)&amp;""),"")</f>
        <v/>
      </c>
      <c r="H1190" s="101">
        <f>IFERROR(N(INDEX(tx_Posted,1184)),0)</f>
        <v/>
      </c>
      <c r="I1190" s="58">
        <f>IF(H1190=1,INDEX(tx_DrAcct,1184)&amp;"","")</f>
        <v/>
      </c>
      <c r="J1190" s="95">
        <f>IF(H1190=1,INDEX(tx_DrAmt,1184),0)</f>
        <v/>
      </c>
      <c r="K1190" s="58">
        <f>IF(H1190=1,INDEX(tx_CrAcct,1184)&amp;"","")</f>
        <v/>
      </c>
      <c r="L1190" s="95">
        <f>IF(H1190=1,INDEX(tx_CrAmt,1184),0)</f>
        <v/>
      </c>
      <c r="M1190" s="95">
        <f>IF(H1190=1,INDEX(tx_TaxDr,1184),0)</f>
        <v/>
      </c>
      <c r="N1190" s="95">
        <f>IF(H1190=1,INDEX(tx_TaxCr,1184),0)</f>
        <v/>
      </c>
      <c r="O1190" s="101">
        <f>IF(H1190=1,IF(E1190&lt;FYStart,0,IF(E1190&gt;FYEnd,13,YEAR(E1190)*12+MONTH(E1190)-FYYM+1)),"")</f>
        <v/>
      </c>
      <c r="P1190" s="101">
        <f>IF(H1190=1,IF(IFERROR(INDEX(coa_CF,MATCH(I1190,coa_Name,0)),"")="Cash",1,0),0)</f>
        <v/>
      </c>
      <c r="Q1190" s="101">
        <f>IF(H1190=1,IF(IFERROR(INDEX(coa_CF,MATCH(K1190,coa_Name,0)),"")="Cash",1,0),0)</f>
        <v/>
      </c>
      <c r="R1190" s="58">
        <f>IF((P1190-Q1190)=0,"",IFERROR(INDEX(coa_CF,MATCH(IF((P1190-Q1190)=1,K1190,I1190),coa_Name,0)),"Operating"))</f>
        <v/>
      </c>
      <c r="S1190" s="95">
        <f>IF((P1190-Q1190)=1,L1190,IF((P1190-Q1190)=-1,-J1190,0))</f>
        <v/>
      </c>
      <c r="T1190" s="95">
        <f>IF((P1190-Q1190)=1,N1190,IF((P1190-Q1190)=-1,-M1190,0))</f>
        <v/>
      </c>
      <c r="U1190" s="101">
        <f>IF(AND(H1190=1,LedAcct&lt;&gt;""),IF(AND(E1190&gt;=LedFrom,E1190&lt;=LedTo,OR(I1190=LedAcct,K1190=LedAcct,AND(LedAcct=acctTax,M1190+N1190&lt;&gt;0))),E1190*10000+B1190,""),"")</f>
        <v/>
      </c>
    </row>
    <row r="1191">
      <c r="B1191" s="101" t="n">
        <v>1185</v>
      </c>
      <c r="C1191" s="58" t="inlineStr">
        <is>
          <t>Transaction</t>
        </is>
      </c>
      <c r="D1191" s="58">
        <f>IF(H1191=1,INDEX(tx_ID,1185)&amp;"","")</f>
        <v/>
      </c>
      <c r="E1191" s="94">
        <f>IF(H1191=1,INDEX(tx_Date,1185),"")</f>
        <v/>
      </c>
      <c r="F1191" s="58">
        <f>IF(H1191=1,INDEX(tx_Desc,1185)&amp;"","")</f>
        <v/>
      </c>
      <c r="G1191" s="58">
        <f>IF(H1191=1,IF(INDEX(tx_Cust,1185)&amp;""&lt;&gt;"",INDEX(tx_Cust,1185)&amp;"",INDEX(tx_Vend,1185)&amp;""),"")</f>
        <v/>
      </c>
      <c r="H1191" s="101">
        <f>IFERROR(N(INDEX(tx_Posted,1185)),0)</f>
        <v/>
      </c>
      <c r="I1191" s="58">
        <f>IF(H1191=1,INDEX(tx_DrAcct,1185)&amp;"","")</f>
        <v/>
      </c>
      <c r="J1191" s="95">
        <f>IF(H1191=1,INDEX(tx_DrAmt,1185),0)</f>
        <v/>
      </c>
      <c r="K1191" s="58">
        <f>IF(H1191=1,INDEX(tx_CrAcct,1185)&amp;"","")</f>
        <v/>
      </c>
      <c r="L1191" s="95">
        <f>IF(H1191=1,INDEX(tx_CrAmt,1185),0)</f>
        <v/>
      </c>
      <c r="M1191" s="95">
        <f>IF(H1191=1,INDEX(tx_TaxDr,1185),0)</f>
        <v/>
      </c>
      <c r="N1191" s="95">
        <f>IF(H1191=1,INDEX(tx_TaxCr,1185),0)</f>
        <v/>
      </c>
      <c r="O1191" s="101">
        <f>IF(H1191=1,IF(E1191&lt;FYStart,0,IF(E1191&gt;FYEnd,13,YEAR(E1191)*12+MONTH(E1191)-FYYM+1)),"")</f>
        <v/>
      </c>
      <c r="P1191" s="101">
        <f>IF(H1191=1,IF(IFERROR(INDEX(coa_CF,MATCH(I1191,coa_Name,0)),"")="Cash",1,0),0)</f>
        <v/>
      </c>
      <c r="Q1191" s="101">
        <f>IF(H1191=1,IF(IFERROR(INDEX(coa_CF,MATCH(K1191,coa_Name,0)),"")="Cash",1,0),0)</f>
        <v/>
      </c>
      <c r="R1191" s="58">
        <f>IF((P1191-Q1191)=0,"",IFERROR(INDEX(coa_CF,MATCH(IF((P1191-Q1191)=1,K1191,I1191),coa_Name,0)),"Operating"))</f>
        <v/>
      </c>
      <c r="S1191" s="95">
        <f>IF((P1191-Q1191)=1,L1191,IF((P1191-Q1191)=-1,-J1191,0))</f>
        <v/>
      </c>
      <c r="T1191" s="95">
        <f>IF((P1191-Q1191)=1,N1191,IF((P1191-Q1191)=-1,-M1191,0))</f>
        <v/>
      </c>
      <c r="U1191" s="101">
        <f>IF(AND(H1191=1,LedAcct&lt;&gt;""),IF(AND(E1191&gt;=LedFrom,E1191&lt;=LedTo,OR(I1191=LedAcct,K1191=LedAcct,AND(LedAcct=acctTax,M1191+N1191&lt;&gt;0))),E1191*10000+B1191,""),"")</f>
        <v/>
      </c>
    </row>
    <row r="1192">
      <c r="B1192" s="101" t="n">
        <v>1186</v>
      </c>
      <c r="C1192" s="58" t="inlineStr">
        <is>
          <t>Transaction</t>
        </is>
      </c>
      <c r="D1192" s="58">
        <f>IF(H1192=1,INDEX(tx_ID,1186)&amp;"","")</f>
        <v/>
      </c>
      <c r="E1192" s="94">
        <f>IF(H1192=1,INDEX(tx_Date,1186),"")</f>
        <v/>
      </c>
      <c r="F1192" s="58">
        <f>IF(H1192=1,INDEX(tx_Desc,1186)&amp;"","")</f>
        <v/>
      </c>
      <c r="G1192" s="58">
        <f>IF(H1192=1,IF(INDEX(tx_Cust,1186)&amp;""&lt;&gt;"",INDEX(tx_Cust,1186)&amp;"",INDEX(tx_Vend,1186)&amp;""),"")</f>
        <v/>
      </c>
      <c r="H1192" s="101">
        <f>IFERROR(N(INDEX(tx_Posted,1186)),0)</f>
        <v/>
      </c>
      <c r="I1192" s="58">
        <f>IF(H1192=1,INDEX(tx_DrAcct,1186)&amp;"","")</f>
        <v/>
      </c>
      <c r="J1192" s="95">
        <f>IF(H1192=1,INDEX(tx_DrAmt,1186),0)</f>
        <v/>
      </c>
      <c r="K1192" s="58">
        <f>IF(H1192=1,INDEX(tx_CrAcct,1186)&amp;"","")</f>
        <v/>
      </c>
      <c r="L1192" s="95">
        <f>IF(H1192=1,INDEX(tx_CrAmt,1186),0)</f>
        <v/>
      </c>
      <c r="M1192" s="95">
        <f>IF(H1192=1,INDEX(tx_TaxDr,1186),0)</f>
        <v/>
      </c>
      <c r="N1192" s="95">
        <f>IF(H1192=1,INDEX(tx_TaxCr,1186),0)</f>
        <v/>
      </c>
      <c r="O1192" s="101">
        <f>IF(H1192=1,IF(E1192&lt;FYStart,0,IF(E1192&gt;FYEnd,13,YEAR(E1192)*12+MONTH(E1192)-FYYM+1)),"")</f>
        <v/>
      </c>
      <c r="P1192" s="101">
        <f>IF(H1192=1,IF(IFERROR(INDEX(coa_CF,MATCH(I1192,coa_Name,0)),"")="Cash",1,0),0)</f>
        <v/>
      </c>
      <c r="Q1192" s="101">
        <f>IF(H1192=1,IF(IFERROR(INDEX(coa_CF,MATCH(K1192,coa_Name,0)),"")="Cash",1,0),0)</f>
        <v/>
      </c>
      <c r="R1192" s="58">
        <f>IF((P1192-Q1192)=0,"",IFERROR(INDEX(coa_CF,MATCH(IF((P1192-Q1192)=1,K1192,I1192),coa_Name,0)),"Operating"))</f>
        <v/>
      </c>
      <c r="S1192" s="95">
        <f>IF((P1192-Q1192)=1,L1192,IF((P1192-Q1192)=-1,-J1192,0))</f>
        <v/>
      </c>
      <c r="T1192" s="95">
        <f>IF((P1192-Q1192)=1,N1192,IF((P1192-Q1192)=-1,-M1192,0))</f>
        <v/>
      </c>
      <c r="U1192" s="101">
        <f>IF(AND(H1192=1,LedAcct&lt;&gt;""),IF(AND(E1192&gt;=LedFrom,E1192&lt;=LedTo,OR(I1192=LedAcct,K1192=LedAcct,AND(LedAcct=acctTax,M1192+N1192&lt;&gt;0))),E1192*10000+B1192,""),"")</f>
        <v/>
      </c>
    </row>
    <row r="1193">
      <c r="B1193" s="101" t="n">
        <v>1187</v>
      </c>
      <c r="C1193" s="58" t="inlineStr">
        <is>
          <t>Transaction</t>
        </is>
      </c>
      <c r="D1193" s="58">
        <f>IF(H1193=1,INDEX(tx_ID,1187)&amp;"","")</f>
        <v/>
      </c>
      <c r="E1193" s="94">
        <f>IF(H1193=1,INDEX(tx_Date,1187),"")</f>
        <v/>
      </c>
      <c r="F1193" s="58">
        <f>IF(H1193=1,INDEX(tx_Desc,1187)&amp;"","")</f>
        <v/>
      </c>
      <c r="G1193" s="58">
        <f>IF(H1193=1,IF(INDEX(tx_Cust,1187)&amp;""&lt;&gt;"",INDEX(tx_Cust,1187)&amp;"",INDEX(tx_Vend,1187)&amp;""),"")</f>
        <v/>
      </c>
      <c r="H1193" s="101">
        <f>IFERROR(N(INDEX(tx_Posted,1187)),0)</f>
        <v/>
      </c>
      <c r="I1193" s="58">
        <f>IF(H1193=1,INDEX(tx_DrAcct,1187)&amp;"","")</f>
        <v/>
      </c>
      <c r="J1193" s="95">
        <f>IF(H1193=1,INDEX(tx_DrAmt,1187),0)</f>
        <v/>
      </c>
      <c r="K1193" s="58">
        <f>IF(H1193=1,INDEX(tx_CrAcct,1187)&amp;"","")</f>
        <v/>
      </c>
      <c r="L1193" s="95">
        <f>IF(H1193=1,INDEX(tx_CrAmt,1187),0)</f>
        <v/>
      </c>
      <c r="M1193" s="95">
        <f>IF(H1193=1,INDEX(tx_TaxDr,1187),0)</f>
        <v/>
      </c>
      <c r="N1193" s="95">
        <f>IF(H1193=1,INDEX(tx_TaxCr,1187),0)</f>
        <v/>
      </c>
      <c r="O1193" s="101">
        <f>IF(H1193=1,IF(E1193&lt;FYStart,0,IF(E1193&gt;FYEnd,13,YEAR(E1193)*12+MONTH(E1193)-FYYM+1)),"")</f>
        <v/>
      </c>
      <c r="P1193" s="101">
        <f>IF(H1193=1,IF(IFERROR(INDEX(coa_CF,MATCH(I1193,coa_Name,0)),"")="Cash",1,0),0)</f>
        <v/>
      </c>
      <c r="Q1193" s="101">
        <f>IF(H1193=1,IF(IFERROR(INDEX(coa_CF,MATCH(K1193,coa_Name,0)),"")="Cash",1,0),0)</f>
        <v/>
      </c>
      <c r="R1193" s="58">
        <f>IF((P1193-Q1193)=0,"",IFERROR(INDEX(coa_CF,MATCH(IF((P1193-Q1193)=1,K1193,I1193),coa_Name,0)),"Operating"))</f>
        <v/>
      </c>
      <c r="S1193" s="95">
        <f>IF((P1193-Q1193)=1,L1193,IF((P1193-Q1193)=-1,-J1193,0))</f>
        <v/>
      </c>
      <c r="T1193" s="95">
        <f>IF((P1193-Q1193)=1,N1193,IF((P1193-Q1193)=-1,-M1193,0))</f>
        <v/>
      </c>
      <c r="U1193" s="101">
        <f>IF(AND(H1193=1,LedAcct&lt;&gt;""),IF(AND(E1193&gt;=LedFrom,E1193&lt;=LedTo,OR(I1193=LedAcct,K1193=LedAcct,AND(LedAcct=acctTax,M1193+N1193&lt;&gt;0))),E1193*10000+B1193,""),"")</f>
        <v/>
      </c>
    </row>
    <row r="1194">
      <c r="B1194" s="101" t="n">
        <v>1188</v>
      </c>
      <c r="C1194" s="58" t="inlineStr">
        <is>
          <t>Transaction</t>
        </is>
      </c>
      <c r="D1194" s="58">
        <f>IF(H1194=1,INDEX(tx_ID,1188)&amp;"","")</f>
        <v/>
      </c>
      <c r="E1194" s="94">
        <f>IF(H1194=1,INDEX(tx_Date,1188),"")</f>
        <v/>
      </c>
      <c r="F1194" s="58">
        <f>IF(H1194=1,INDEX(tx_Desc,1188)&amp;"","")</f>
        <v/>
      </c>
      <c r="G1194" s="58">
        <f>IF(H1194=1,IF(INDEX(tx_Cust,1188)&amp;""&lt;&gt;"",INDEX(tx_Cust,1188)&amp;"",INDEX(tx_Vend,1188)&amp;""),"")</f>
        <v/>
      </c>
      <c r="H1194" s="101">
        <f>IFERROR(N(INDEX(tx_Posted,1188)),0)</f>
        <v/>
      </c>
      <c r="I1194" s="58">
        <f>IF(H1194=1,INDEX(tx_DrAcct,1188)&amp;"","")</f>
        <v/>
      </c>
      <c r="J1194" s="95">
        <f>IF(H1194=1,INDEX(tx_DrAmt,1188),0)</f>
        <v/>
      </c>
      <c r="K1194" s="58">
        <f>IF(H1194=1,INDEX(tx_CrAcct,1188)&amp;"","")</f>
        <v/>
      </c>
      <c r="L1194" s="95">
        <f>IF(H1194=1,INDEX(tx_CrAmt,1188),0)</f>
        <v/>
      </c>
      <c r="M1194" s="95">
        <f>IF(H1194=1,INDEX(tx_TaxDr,1188),0)</f>
        <v/>
      </c>
      <c r="N1194" s="95">
        <f>IF(H1194=1,INDEX(tx_TaxCr,1188),0)</f>
        <v/>
      </c>
      <c r="O1194" s="101">
        <f>IF(H1194=1,IF(E1194&lt;FYStart,0,IF(E1194&gt;FYEnd,13,YEAR(E1194)*12+MONTH(E1194)-FYYM+1)),"")</f>
        <v/>
      </c>
      <c r="P1194" s="101">
        <f>IF(H1194=1,IF(IFERROR(INDEX(coa_CF,MATCH(I1194,coa_Name,0)),"")="Cash",1,0),0)</f>
        <v/>
      </c>
      <c r="Q1194" s="101">
        <f>IF(H1194=1,IF(IFERROR(INDEX(coa_CF,MATCH(K1194,coa_Name,0)),"")="Cash",1,0),0)</f>
        <v/>
      </c>
      <c r="R1194" s="58">
        <f>IF((P1194-Q1194)=0,"",IFERROR(INDEX(coa_CF,MATCH(IF((P1194-Q1194)=1,K1194,I1194),coa_Name,0)),"Operating"))</f>
        <v/>
      </c>
      <c r="S1194" s="95">
        <f>IF((P1194-Q1194)=1,L1194,IF((P1194-Q1194)=-1,-J1194,0))</f>
        <v/>
      </c>
      <c r="T1194" s="95">
        <f>IF((P1194-Q1194)=1,N1194,IF((P1194-Q1194)=-1,-M1194,0))</f>
        <v/>
      </c>
      <c r="U1194" s="101">
        <f>IF(AND(H1194=1,LedAcct&lt;&gt;""),IF(AND(E1194&gt;=LedFrom,E1194&lt;=LedTo,OR(I1194=LedAcct,K1194=LedAcct,AND(LedAcct=acctTax,M1194+N1194&lt;&gt;0))),E1194*10000+B1194,""),"")</f>
        <v/>
      </c>
    </row>
    <row r="1195">
      <c r="B1195" s="101" t="n">
        <v>1189</v>
      </c>
      <c r="C1195" s="58" t="inlineStr">
        <is>
          <t>Transaction</t>
        </is>
      </c>
      <c r="D1195" s="58">
        <f>IF(H1195=1,INDEX(tx_ID,1189)&amp;"","")</f>
        <v/>
      </c>
      <c r="E1195" s="94">
        <f>IF(H1195=1,INDEX(tx_Date,1189),"")</f>
        <v/>
      </c>
      <c r="F1195" s="58">
        <f>IF(H1195=1,INDEX(tx_Desc,1189)&amp;"","")</f>
        <v/>
      </c>
      <c r="G1195" s="58">
        <f>IF(H1195=1,IF(INDEX(tx_Cust,1189)&amp;""&lt;&gt;"",INDEX(tx_Cust,1189)&amp;"",INDEX(tx_Vend,1189)&amp;""),"")</f>
        <v/>
      </c>
      <c r="H1195" s="101">
        <f>IFERROR(N(INDEX(tx_Posted,1189)),0)</f>
        <v/>
      </c>
      <c r="I1195" s="58">
        <f>IF(H1195=1,INDEX(tx_DrAcct,1189)&amp;"","")</f>
        <v/>
      </c>
      <c r="J1195" s="95">
        <f>IF(H1195=1,INDEX(tx_DrAmt,1189),0)</f>
        <v/>
      </c>
      <c r="K1195" s="58">
        <f>IF(H1195=1,INDEX(tx_CrAcct,1189)&amp;"","")</f>
        <v/>
      </c>
      <c r="L1195" s="95">
        <f>IF(H1195=1,INDEX(tx_CrAmt,1189),0)</f>
        <v/>
      </c>
      <c r="M1195" s="95">
        <f>IF(H1195=1,INDEX(tx_TaxDr,1189),0)</f>
        <v/>
      </c>
      <c r="N1195" s="95">
        <f>IF(H1195=1,INDEX(tx_TaxCr,1189),0)</f>
        <v/>
      </c>
      <c r="O1195" s="101">
        <f>IF(H1195=1,IF(E1195&lt;FYStart,0,IF(E1195&gt;FYEnd,13,YEAR(E1195)*12+MONTH(E1195)-FYYM+1)),"")</f>
        <v/>
      </c>
      <c r="P1195" s="101">
        <f>IF(H1195=1,IF(IFERROR(INDEX(coa_CF,MATCH(I1195,coa_Name,0)),"")="Cash",1,0),0)</f>
        <v/>
      </c>
      <c r="Q1195" s="101">
        <f>IF(H1195=1,IF(IFERROR(INDEX(coa_CF,MATCH(K1195,coa_Name,0)),"")="Cash",1,0),0)</f>
        <v/>
      </c>
      <c r="R1195" s="58">
        <f>IF((P1195-Q1195)=0,"",IFERROR(INDEX(coa_CF,MATCH(IF((P1195-Q1195)=1,K1195,I1195),coa_Name,0)),"Operating"))</f>
        <v/>
      </c>
      <c r="S1195" s="95">
        <f>IF((P1195-Q1195)=1,L1195,IF((P1195-Q1195)=-1,-J1195,0))</f>
        <v/>
      </c>
      <c r="T1195" s="95">
        <f>IF((P1195-Q1195)=1,N1195,IF((P1195-Q1195)=-1,-M1195,0))</f>
        <v/>
      </c>
      <c r="U1195" s="101">
        <f>IF(AND(H1195=1,LedAcct&lt;&gt;""),IF(AND(E1195&gt;=LedFrom,E1195&lt;=LedTo,OR(I1195=LedAcct,K1195=LedAcct,AND(LedAcct=acctTax,M1195+N1195&lt;&gt;0))),E1195*10000+B1195,""),"")</f>
        <v/>
      </c>
    </row>
    <row r="1196">
      <c r="B1196" s="101" t="n">
        <v>1190</v>
      </c>
      <c r="C1196" s="58" t="inlineStr">
        <is>
          <t>Transaction</t>
        </is>
      </c>
      <c r="D1196" s="58">
        <f>IF(H1196=1,INDEX(tx_ID,1190)&amp;"","")</f>
        <v/>
      </c>
      <c r="E1196" s="94">
        <f>IF(H1196=1,INDEX(tx_Date,1190),"")</f>
        <v/>
      </c>
      <c r="F1196" s="58">
        <f>IF(H1196=1,INDEX(tx_Desc,1190)&amp;"","")</f>
        <v/>
      </c>
      <c r="G1196" s="58">
        <f>IF(H1196=1,IF(INDEX(tx_Cust,1190)&amp;""&lt;&gt;"",INDEX(tx_Cust,1190)&amp;"",INDEX(tx_Vend,1190)&amp;""),"")</f>
        <v/>
      </c>
      <c r="H1196" s="101">
        <f>IFERROR(N(INDEX(tx_Posted,1190)),0)</f>
        <v/>
      </c>
      <c r="I1196" s="58">
        <f>IF(H1196=1,INDEX(tx_DrAcct,1190)&amp;"","")</f>
        <v/>
      </c>
      <c r="J1196" s="95">
        <f>IF(H1196=1,INDEX(tx_DrAmt,1190),0)</f>
        <v/>
      </c>
      <c r="K1196" s="58">
        <f>IF(H1196=1,INDEX(tx_CrAcct,1190)&amp;"","")</f>
        <v/>
      </c>
      <c r="L1196" s="95">
        <f>IF(H1196=1,INDEX(tx_CrAmt,1190),0)</f>
        <v/>
      </c>
      <c r="M1196" s="95">
        <f>IF(H1196=1,INDEX(tx_TaxDr,1190),0)</f>
        <v/>
      </c>
      <c r="N1196" s="95">
        <f>IF(H1196=1,INDEX(tx_TaxCr,1190),0)</f>
        <v/>
      </c>
      <c r="O1196" s="101">
        <f>IF(H1196=1,IF(E1196&lt;FYStart,0,IF(E1196&gt;FYEnd,13,YEAR(E1196)*12+MONTH(E1196)-FYYM+1)),"")</f>
        <v/>
      </c>
      <c r="P1196" s="101">
        <f>IF(H1196=1,IF(IFERROR(INDEX(coa_CF,MATCH(I1196,coa_Name,0)),"")="Cash",1,0),0)</f>
        <v/>
      </c>
      <c r="Q1196" s="101">
        <f>IF(H1196=1,IF(IFERROR(INDEX(coa_CF,MATCH(K1196,coa_Name,0)),"")="Cash",1,0),0)</f>
        <v/>
      </c>
      <c r="R1196" s="58">
        <f>IF((P1196-Q1196)=0,"",IFERROR(INDEX(coa_CF,MATCH(IF((P1196-Q1196)=1,K1196,I1196),coa_Name,0)),"Operating"))</f>
        <v/>
      </c>
      <c r="S1196" s="95">
        <f>IF((P1196-Q1196)=1,L1196,IF((P1196-Q1196)=-1,-J1196,0))</f>
        <v/>
      </c>
      <c r="T1196" s="95">
        <f>IF((P1196-Q1196)=1,N1196,IF((P1196-Q1196)=-1,-M1196,0))</f>
        <v/>
      </c>
      <c r="U1196" s="101">
        <f>IF(AND(H1196=1,LedAcct&lt;&gt;""),IF(AND(E1196&gt;=LedFrom,E1196&lt;=LedTo,OR(I1196=LedAcct,K1196=LedAcct,AND(LedAcct=acctTax,M1196+N1196&lt;&gt;0))),E1196*10000+B1196,""),"")</f>
        <v/>
      </c>
    </row>
    <row r="1197">
      <c r="B1197" s="101" t="n">
        <v>1191</v>
      </c>
      <c r="C1197" s="58" t="inlineStr">
        <is>
          <t>Transaction</t>
        </is>
      </c>
      <c r="D1197" s="58">
        <f>IF(H1197=1,INDEX(tx_ID,1191)&amp;"","")</f>
        <v/>
      </c>
      <c r="E1197" s="94">
        <f>IF(H1197=1,INDEX(tx_Date,1191),"")</f>
        <v/>
      </c>
      <c r="F1197" s="58">
        <f>IF(H1197=1,INDEX(tx_Desc,1191)&amp;"","")</f>
        <v/>
      </c>
      <c r="G1197" s="58">
        <f>IF(H1197=1,IF(INDEX(tx_Cust,1191)&amp;""&lt;&gt;"",INDEX(tx_Cust,1191)&amp;"",INDEX(tx_Vend,1191)&amp;""),"")</f>
        <v/>
      </c>
      <c r="H1197" s="101">
        <f>IFERROR(N(INDEX(tx_Posted,1191)),0)</f>
        <v/>
      </c>
      <c r="I1197" s="58">
        <f>IF(H1197=1,INDEX(tx_DrAcct,1191)&amp;"","")</f>
        <v/>
      </c>
      <c r="J1197" s="95">
        <f>IF(H1197=1,INDEX(tx_DrAmt,1191),0)</f>
        <v/>
      </c>
      <c r="K1197" s="58">
        <f>IF(H1197=1,INDEX(tx_CrAcct,1191)&amp;"","")</f>
        <v/>
      </c>
      <c r="L1197" s="95">
        <f>IF(H1197=1,INDEX(tx_CrAmt,1191),0)</f>
        <v/>
      </c>
      <c r="M1197" s="95">
        <f>IF(H1197=1,INDEX(tx_TaxDr,1191),0)</f>
        <v/>
      </c>
      <c r="N1197" s="95">
        <f>IF(H1197=1,INDEX(tx_TaxCr,1191),0)</f>
        <v/>
      </c>
      <c r="O1197" s="101">
        <f>IF(H1197=1,IF(E1197&lt;FYStart,0,IF(E1197&gt;FYEnd,13,YEAR(E1197)*12+MONTH(E1197)-FYYM+1)),"")</f>
        <v/>
      </c>
      <c r="P1197" s="101">
        <f>IF(H1197=1,IF(IFERROR(INDEX(coa_CF,MATCH(I1197,coa_Name,0)),"")="Cash",1,0),0)</f>
        <v/>
      </c>
      <c r="Q1197" s="101">
        <f>IF(H1197=1,IF(IFERROR(INDEX(coa_CF,MATCH(K1197,coa_Name,0)),"")="Cash",1,0),0)</f>
        <v/>
      </c>
      <c r="R1197" s="58">
        <f>IF((P1197-Q1197)=0,"",IFERROR(INDEX(coa_CF,MATCH(IF((P1197-Q1197)=1,K1197,I1197),coa_Name,0)),"Operating"))</f>
        <v/>
      </c>
      <c r="S1197" s="95">
        <f>IF((P1197-Q1197)=1,L1197,IF((P1197-Q1197)=-1,-J1197,0))</f>
        <v/>
      </c>
      <c r="T1197" s="95">
        <f>IF((P1197-Q1197)=1,N1197,IF((P1197-Q1197)=-1,-M1197,0))</f>
        <v/>
      </c>
      <c r="U1197" s="101">
        <f>IF(AND(H1197=1,LedAcct&lt;&gt;""),IF(AND(E1197&gt;=LedFrom,E1197&lt;=LedTo,OR(I1197=LedAcct,K1197=LedAcct,AND(LedAcct=acctTax,M1197+N1197&lt;&gt;0))),E1197*10000+B1197,""),"")</f>
        <v/>
      </c>
    </row>
    <row r="1198">
      <c r="B1198" s="101" t="n">
        <v>1192</v>
      </c>
      <c r="C1198" s="58" t="inlineStr">
        <is>
          <t>Transaction</t>
        </is>
      </c>
      <c r="D1198" s="58">
        <f>IF(H1198=1,INDEX(tx_ID,1192)&amp;"","")</f>
        <v/>
      </c>
      <c r="E1198" s="94">
        <f>IF(H1198=1,INDEX(tx_Date,1192),"")</f>
        <v/>
      </c>
      <c r="F1198" s="58">
        <f>IF(H1198=1,INDEX(tx_Desc,1192)&amp;"","")</f>
        <v/>
      </c>
      <c r="G1198" s="58">
        <f>IF(H1198=1,IF(INDEX(tx_Cust,1192)&amp;""&lt;&gt;"",INDEX(tx_Cust,1192)&amp;"",INDEX(tx_Vend,1192)&amp;""),"")</f>
        <v/>
      </c>
      <c r="H1198" s="101">
        <f>IFERROR(N(INDEX(tx_Posted,1192)),0)</f>
        <v/>
      </c>
      <c r="I1198" s="58">
        <f>IF(H1198=1,INDEX(tx_DrAcct,1192)&amp;"","")</f>
        <v/>
      </c>
      <c r="J1198" s="95">
        <f>IF(H1198=1,INDEX(tx_DrAmt,1192),0)</f>
        <v/>
      </c>
      <c r="K1198" s="58">
        <f>IF(H1198=1,INDEX(tx_CrAcct,1192)&amp;"","")</f>
        <v/>
      </c>
      <c r="L1198" s="95">
        <f>IF(H1198=1,INDEX(tx_CrAmt,1192),0)</f>
        <v/>
      </c>
      <c r="M1198" s="95">
        <f>IF(H1198=1,INDEX(tx_TaxDr,1192),0)</f>
        <v/>
      </c>
      <c r="N1198" s="95">
        <f>IF(H1198=1,INDEX(tx_TaxCr,1192),0)</f>
        <v/>
      </c>
      <c r="O1198" s="101">
        <f>IF(H1198=1,IF(E1198&lt;FYStart,0,IF(E1198&gt;FYEnd,13,YEAR(E1198)*12+MONTH(E1198)-FYYM+1)),"")</f>
        <v/>
      </c>
      <c r="P1198" s="101">
        <f>IF(H1198=1,IF(IFERROR(INDEX(coa_CF,MATCH(I1198,coa_Name,0)),"")="Cash",1,0),0)</f>
        <v/>
      </c>
      <c r="Q1198" s="101">
        <f>IF(H1198=1,IF(IFERROR(INDEX(coa_CF,MATCH(K1198,coa_Name,0)),"")="Cash",1,0),0)</f>
        <v/>
      </c>
      <c r="R1198" s="58">
        <f>IF((P1198-Q1198)=0,"",IFERROR(INDEX(coa_CF,MATCH(IF((P1198-Q1198)=1,K1198,I1198),coa_Name,0)),"Operating"))</f>
        <v/>
      </c>
      <c r="S1198" s="95">
        <f>IF((P1198-Q1198)=1,L1198,IF((P1198-Q1198)=-1,-J1198,0))</f>
        <v/>
      </c>
      <c r="T1198" s="95">
        <f>IF((P1198-Q1198)=1,N1198,IF((P1198-Q1198)=-1,-M1198,0))</f>
        <v/>
      </c>
      <c r="U1198" s="101">
        <f>IF(AND(H1198=1,LedAcct&lt;&gt;""),IF(AND(E1198&gt;=LedFrom,E1198&lt;=LedTo,OR(I1198=LedAcct,K1198=LedAcct,AND(LedAcct=acctTax,M1198+N1198&lt;&gt;0))),E1198*10000+B1198,""),"")</f>
        <v/>
      </c>
    </row>
    <row r="1199">
      <c r="B1199" s="101" t="n">
        <v>1193</v>
      </c>
      <c r="C1199" s="58" t="inlineStr">
        <is>
          <t>Transaction</t>
        </is>
      </c>
      <c r="D1199" s="58">
        <f>IF(H1199=1,INDEX(tx_ID,1193)&amp;"","")</f>
        <v/>
      </c>
      <c r="E1199" s="94">
        <f>IF(H1199=1,INDEX(tx_Date,1193),"")</f>
        <v/>
      </c>
      <c r="F1199" s="58">
        <f>IF(H1199=1,INDEX(tx_Desc,1193)&amp;"","")</f>
        <v/>
      </c>
      <c r="G1199" s="58">
        <f>IF(H1199=1,IF(INDEX(tx_Cust,1193)&amp;""&lt;&gt;"",INDEX(tx_Cust,1193)&amp;"",INDEX(tx_Vend,1193)&amp;""),"")</f>
        <v/>
      </c>
      <c r="H1199" s="101">
        <f>IFERROR(N(INDEX(tx_Posted,1193)),0)</f>
        <v/>
      </c>
      <c r="I1199" s="58">
        <f>IF(H1199=1,INDEX(tx_DrAcct,1193)&amp;"","")</f>
        <v/>
      </c>
      <c r="J1199" s="95">
        <f>IF(H1199=1,INDEX(tx_DrAmt,1193),0)</f>
        <v/>
      </c>
      <c r="K1199" s="58">
        <f>IF(H1199=1,INDEX(tx_CrAcct,1193)&amp;"","")</f>
        <v/>
      </c>
      <c r="L1199" s="95">
        <f>IF(H1199=1,INDEX(tx_CrAmt,1193),0)</f>
        <v/>
      </c>
      <c r="M1199" s="95">
        <f>IF(H1199=1,INDEX(tx_TaxDr,1193),0)</f>
        <v/>
      </c>
      <c r="N1199" s="95">
        <f>IF(H1199=1,INDEX(tx_TaxCr,1193),0)</f>
        <v/>
      </c>
      <c r="O1199" s="101">
        <f>IF(H1199=1,IF(E1199&lt;FYStart,0,IF(E1199&gt;FYEnd,13,YEAR(E1199)*12+MONTH(E1199)-FYYM+1)),"")</f>
        <v/>
      </c>
      <c r="P1199" s="101">
        <f>IF(H1199=1,IF(IFERROR(INDEX(coa_CF,MATCH(I1199,coa_Name,0)),"")="Cash",1,0),0)</f>
        <v/>
      </c>
      <c r="Q1199" s="101">
        <f>IF(H1199=1,IF(IFERROR(INDEX(coa_CF,MATCH(K1199,coa_Name,0)),"")="Cash",1,0),0)</f>
        <v/>
      </c>
      <c r="R1199" s="58">
        <f>IF((P1199-Q1199)=0,"",IFERROR(INDEX(coa_CF,MATCH(IF((P1199-Q1199)=1,K1199,I1199),coa_Name,0)),"Operating"))</f>
        <v/>
      </c>
      <c r="S1199" s="95">
        <f>IF((P1199-Q1199)=1,L1199,IF((P1199-Q1199)=-1,-J1199,0))</f>
        <v/>
      </c>
      <c r="T1199" s="95">
        <f>IF((P1199-Q1199)=1,N1199,IF((P1199-Q1199)=-1,-M1199,0))</f>
        <v/>
      </c>
      <c r="U1199" s="101">
        <f>IF(AND(H1199=1,LedAcct&lt;&gt;""),IF(AND(E1199&gt;=LedFrom,E1199&lt;=LedTo,OR(I1199=LedAcct,K1199=LedAcct,AND(LedAcct=acctTax,M1199+N1199&lt;&gt;0))),E1199*10000+B1199,""),"")</f>
        <v/>
      </c>
    </row>
    <row r="1200">
      <c r="B1200" s="101" t="n">
        <v>1194</v>
      </c>
      <c r="C1200" s="58" t="inlineStr">
        <is>
          <t>Transaction</t>
        </is>
      </c>
      <c r="D1200" s="58">
        <f>IF(H1200=1,INDEX(tx_ID,1194)&amp;"","")</f>
        <v/>
      </c>
      <c r="E1200" s="94">
        <f>IF(H1200=1,INDEX(tx_Date,1194),"")</f>
        <v/>
      </c>
      <c r="F1200" s="58">
        <f>IF(H1200=1,INDEX(tx_Desc,1194)&amp;"","")</f>
        <v/>
      </c>
      <c r="G1200" s="58">
        <f>IF(H1200=1,IF(INDEX(tx_Cust,1194)&amp;""&lt;&gt;"",INDEX(tx_Cust,1194)&amp;"",INDEX(tx_Vend,1194)&amp;""),"")</f>
        <v/>
      </c>
      <c r="H1200" s="101">
        <f>IFERROR(N(INDEX(tx_Posted,1194)),0)</f>
        <v/>
      </c>
      <c r="I1200" s="58">
        <f>IF(H1200=1,INDEX(tx_DrAcct,1194)&amp;"","")</f>
        <v/>
      </c>
      <c r="J1200" s="95">
        <f>IF(H1200=1,INDEX(tx_DrAmt,1194),0)</f>
        <v/>
      </c>
      <c r="K1200" s="58">
        <f>IF(H1200=1,INDEX(tx_CrAcct,1194)&amp;"","")</f>
        <v/>
      </c>
      <c r="L1200" s="95">
        <f>IF(H1200=1,INDEX(tx_CrAmt,1194),0)</f>
        <v/>
      </c>
      <c r="M1200" s="95">
        <f>IF(H1200=1,INDEX(tx_TaxDr,1194),0)</f>
        <v/>
      </c>
      <c r="N1200" s="95">
        <f>IF(H1200=1,INDEX(tx_TaxCr,1194),0)</f>
        <v/>
      </c>
      <c r="O1200" s="101">
        <f>IF(H1200=1,IF(E1200&lt;FYStart,0,IF(E1200&gt;FYEnd,13,YEAR(E1200)*12+MONTH(E1200)-FYYM+1)),"")</f>
        <v/>
      </c>
      <c r="P1200" s="101">
        <f>IF(H1200=1,IF(IFERROR(INDEX(coa_CF,MATCH(I1200,coa_Name,0)),"")="Cash",1,0),0)</f>
        <v/>
      </c>
      <c r="Q1200" s="101">
        <f>IF(H1200=1,IF(IFERROR(INDEX(coa_CF,MATCH(K1200,coa_Name,0)),"")="Cash",1,0),0)</f>
        <v/>
      </c>
      <c r="R1200" s="58">
        <f>IF((P1200-Q1200)=0,"",IFERROR(INDEX(coa_CF,MATCH(IF((P1200-Q1200)=1,K1200,I1200),coa_Name,0)),"Operating"))</f>
        <v/>
      </c>
      <c r="S1200" s="95">
        <f>IF((P1200-Q1200)=1,L1200,IF((P1200-Q1200)=-1,-J1200,0))</f>
        <v/>
      </c>
      <c r="T1200" s="95">
        <f>IF((P1200-Q1200)=1,N1200,IF((P1200-Q1200)=-1,-M1200,0))</f>
        <v/>
      </c>
      <c r="U1200" s="101">
        <f>IF(AND(H1200=1,LedAcct&lt;&gt;""),IF(AND(E1200&gt;=LedFrom,E1200&lt;=LedTo,OR(I1200=LedAcct,K1200=LedAcct,AND(LedAcct=acctTax,M1200+N1200&lt;&gt;0))),E1200*10000+B1200,""),"")</f>
        <v/>
      </c>
    </row>
    <row r="1201">
      <c r="B1201" s="101" t="n">
        <v>1195</v>
      </c>
      <c r="C1201" s="58" t="inlineStr">
        <is>
          <t>Transaction</t>
        </is>
      </c>
      <c r="D1201" s="58">
        <f>IF(H1201=1,INDEX(tx_ID,1195)&amp;"","")</f>
        <v/>
      </c>
      <c r="E1201" s="94">
        <f>IF(H1201=1,INDEX(tx_Date,1195),"")</f>
        <v/>
      </c>
      <c r="F1201" s="58">
        <f>IF(H1201=1,INDEX(tx_Desc,1195)&amp;"","")</f>
        <v/>
      </c>
      <c r="G1201" s="58">
        <f>IF(H1201=1,IF(INDEX(tx_Cust,1195)&amp;""&lt;&gt;"",INDEX(tx_Cust,1195)&amp;"",INDEX(tx_Vend,1195)&amp;""),"")</f>
        <v/>
      </c>
      <c r="H1201" s="101">
        <f>IFERROR(N(INDEX(tx_Posted,1195)),0)</f>
        <v/>
      </c>
      <c r="I1201" s="58">
        <f>IF(H1201=1,INDEX(tx_DrAcct,1195)&amp;"","")</f>
        <v/>
      </c>
      <c r="J1201" s="95">
        <f>IF(H1201=1,INDEX(tx_DrAmt,1195),0)</f>
        <v/>
      </c>
      <c r="K1201" s="58">
        <f>IF(H1201=1,INDEX(tx_CrAcct,1195)&amp;"","")</f>
        <v/>
      </c>
      <c r="L1201" s="95">
        <f>IF(H1201=1,INDEX(tx_CrAmt,1195),0)</f>
        <v/>
      </c>
      <c r="M1201" s="95">
        <f>IF(H1201=1,INDEX(tx_TaxDr,1195),0)</f>
        <v/>
      </c>
      <c r="N1201" s="95">
        <f>IF(H1201=1,INDEX(tx_TaxCr,1195),0)</f>
        <v/>
      </c>
      <c r="O1201" s="101">
        <f>IF(H1201=1,IF(E1201&lt;FYStart,0,IF(E1201&gt;FYEnd,13,YEAR(E1201)*12+MONTH(E1201)-FYYM+1)),"")</f>
        <v/>
      </c>
      <c r="P1201" s="101">
        <f>IF(H1201=1,IF(IFERROR(INDEX(coa_CF,MATCH(I1201,coa_Name,0)),"")="Cash",1,0),0)</f>
        <v/>
      </c>
      <c r="Q1201" s="101">
        <f>IF(H1201=1,IF(IFERROR(INDEX(coa_CF,MATCH(K1201,coa_Name,0)),"")="Cash",1,0),0)</f>
        <v/>
      </c>
      <c r="R1201" s="58">
        <f>IF((P1201-Q1201)=0,"",IFERROR(INDEX(coa_CF,MATCH(IF((P1201-Q1201)=1,K1201,I1201),coa_Name,0)),"Operating"))</f>
        <v/>
      </c>
      <c r="S1201" s="95">
        <f>IF((P1201-Q1201)=1,L1201,IF((P1201-Q1201)=-1,-J1201,0))</f>
        <v/>
      </c>
      <c r="T1201" s="95">
        <f>IF((P1201-Q1201)=1,N1201,IF((P1201-Q1201)=-1,-M1201,0))</f>
        <v/>
      </c>
      <c r="U1201" s="101">
        <f>IF(AND(H1201=1,LedAcct&lt;&gt;""),IF(AND(E1201&gt;=LedFrom,E1201&lt;=LedTo,OR(I1201=LedAcct,K1201=LedAcct,AND(LedAcct=acctTax,M1201+N1201&lt;&gt;0))),E1201*10000+B1201,""),"")</f>
        <v/>
      </c>
    </row>
    <row r="1202">
      <c r="B1202" s="101" t="n">
        <v>1196</v>
      </c>
      <c r="C1202" s="58" t="inlineStr">
        <is>
          <t>Transaction</t>
        </is>
      </c>
      <c r="D1202" s="58">
        <f>IF(H1202=1,INDEX(tx_ID,1196)&amp;"","")</f>
        <v/>
      </c>
      <c r="E1202" s="94">
        <f>IF(H1202=1,INDEX(tx_Date,1196),"")</f>
        <v/>
      </c>
      <c r="F1202" s="58">
        <f>IF(H1202=1,INDEX(tx_Desc,1196)&amp;"","")</f>
        <v/>
      </c>
      <c r="G1202" s="58">
        <f>IF(H1202=1,IF(INDEX(tx_Cust,1196)&amp;""&lt;&gt;"",INDEX(tx_Cust,1196)&amp;"",INDEX(tx_Vend,1196)&amp;""),"")</f>
        <v/>
      </c>
      <c r="H1202" s="101">
        <f>IFERROR(N(INDEX(tx_Posted,1196)),0)</f>
        <v/>
      </c>
      <c r="I1202" s="58">
        <f>IF(H1202=1,INDEX(tx_DrAcct,1196)&amp;"","")</f>
        <v/>
      </c>
      <c r="J1202" s="95">
        <f>IF(H1202=1,INDEX(tx_DrAmt,1196),0)</f>
        <v/>
      </c>
      <c r="K1202" s="58">
        <f>IF(H1202=1,INDEX(tx_CrAcct,1196)&amp;"","")</f>
        <v/>
      </c>
      <c r="L1202" s="95">
        <f>IF(H1202=1,INDEX(tx_CrAmt,1196),0)</f>
        <v/>
      </c>
      <c r="M1202" s="95">
        <f>IF(H1202=1,INDEX(tx_TaxDr,1196),0)</f>
        <v/>
      </c>
      <c r="N1202" s="95">
        <f>IF(H1202=1,INDEX(tx_TaxCr,1196),0)</f>
        <v/>
      </c>
      <c r="O1202" s="101">
        <f>IF(H1202=1,IF(E1202&lt;FYStart,0,IF(E1202&gt;FYEnd,13,YEAR(E1202)*12+MONTH(E1202)-FYYM+1)),"")</f>
        <v/>
      </c>
      <c r="P1202" s="101">
        <f>IF(H1202=1,IF(IFERROR(INDEX(coa_CF,MATCH(I1202,coa_Name,0)),"")="Cash",1,0),0)</f>
        <v/>
      </c>
      <c r="Q1202" s="101">
        <f>IF(H1202=1,IF(IFERROR(INDEX(coa_CF,MATCH(K1202,coa_Name,0)),"")="Cash",1,0),0)</f>
        <v/>
      </c>
      <c r="R1202" s="58">
        <f>IF((P1202-Q1202)=0,"",IFERROR(INDEX(coa_CF,MATCH(IF((P1202-Q1202)=1,K1202,I1202),coa_Name,0)),"Operating"))</f>
        <v/>
      </c>
      <c r="S1202" s="95">
        <f>IF((P1202-Q1202)=1,L1202,IF((P1202-Q1202)=-1,-J1202,0))</f>
        <v/>
      </c>
      <c r="T1202" s="95">
        <f>IF((P1202-Q1202)=1,N1202,IF((P1202-Q1202)=-1,-M1202,0))</f>
        <v/>
      </c>
      <c r="U1202" s="101">
        <f>IF(AND(H1202=1,LedAcct&lt;&gt;""),IF(AND(E1202&gt;=LedFrom,E1202&lt;=LedTo,OR(I1202=LedAcct,K1202=LedAcct,AND(LedAcct=acctTax,M1202+N1202&lt;&gt;0))),E1202*10000+B1202,""),"")</f>
        <v/>
      </c>
    </row>
    <row r="1203">
      <c r="B1203" s="101" t="n">
        <v>1197</v>
      </c>
      <c r="C1203" s="58" t="inlineStr">
        <is>
          <t>Transaction</t>
        </is>
      </c>
      <c r="D1203" s="58">
        <f>IF(H1203=1,INDEX(tx_ID,1197)&amp;"","")</f>
        <v/>
      </c>
      <c r="E1203" s="94">
        <f>IF(H1203=1,INDEX(tx_Date,1197),"")</f>
        <v/>
      </c>
      <c r="F1203" s="58">
        <f>IF(H1203=1,INDEX(tx_Desc,1197)&amp;"","")</f>
        <v/>
      </c>
      <c r="G1203" s="58">
        <f>IF(H1203=1,IF(INDEX(tx_Cust,1197)&amp;""&lt;&gt;"",INDEX(tx_Cust,1197)&amp;"",INDEX(tx_Vend,1197)&amp;""),"")</f>
        <v/>
      </c>
      <c r="H1203" s="101">
        <f>IFERROR(N(INDEX(tx_Posted,1197)),0)</f>
        <v/>
      </c>
      <c r="I1203" s="58">
        <f>IF(H1203=1,INDEX(tx_DrAcct,1197)&amp;"","")</f>
        <v/>
      </c>
      <c r="J1203" s="95">
        <f>IF(H1203=1,INDEX(tx_DrAmt,1197),0)</f>
        <v/>
      </c>
      <c r="K1203" s="58">
        <f>IF(H1203=1,INDEX(tx_CrAcct,1197)&amp;"","")</f>
        <v/>
      </c>
      <c r="L1203" s="95">
        <f>IF(H1203=1,INDEX(tx_CrAmt,1197),0)</f>
        <v/>
      </c>
      <c r="M1203" s="95">
        <f>IF(H1203=1,INDEX(tx_TaxDr,1197),0)</f>
        <v/>
      </c>
      <c r="N1203" s="95">
        <f>IF(H1203=1,INDEX(tx_TaxCr,1197),0)</f>
        <v/>
      </c>
      <c r="O1203" s="101">
        <f>IF(H1203=1,IF(E1203&lt;FYStart,0,IF(E1203&gt;FYEnd,13,YEAR(E1203)*12+MONTH(E1203)-FYYM+1)),"")</f>
        <v/>
      </c>
      <c r="P1203" s="101">
        <f>IF(H1203=1,IF(IFERROR(INDEX(coa_CF,MATCH(I1203,coa_Name,0)),"")="Cash",1,0),0)</f>
        <v/>
      </c>
      <c r="Q1203" s="101">
        <f>IF(H1203=1,IF(IFERROR(INDEX(coa_CF,MATCH(K1203,coa_Name,0)),"")="Cash",1,0),0)</f>
        <v/>
      </c>
      <c r="R1203" s="58">
        <f>IF((P1203-Q1203)=0,"",IFERROR(INDEX(coa_CF,MATCH(IF((P1203-Q1203)=1,K1203,I1203),coa_Name,0)),"Operating"))</f>
        <v/>
      </c>
      <c r="S1203" s="95">
        <f>IF((P1203-Q1203)=1,L1203,IF((P1203-Q1203)=-1,-J1203,0))</f>
        <v/>
      </c>
      <c r="T1203" s="95">
        <f>IF((P1203-Q1203)=1,N1203,IF((P1203-Q1203)=-1,-M1203,0))</f>
        <v/>
      </c>
      <c r="U1203" s="101">
        <f>IF(AND(H1203=1,LedAcct&lt;&gt;""),IF(AND(E1203&gt;=LedFrom,E1203&lt;=LedTo,OR(I1203=LedAcct,K1203=LedAcct,AND(LedAcct=acctTax,M1203+N1203&lt;&gt;0))),E1203*10000+B1203,""),"")</f>
        <v/>
      </c>
    </row>
    <row r="1204">
      <c r="B1204" s="101" t="n">
        <v>1198</v>
      </c>
      <c r="C1204" s="58" t="inlineStr">
        <is>
          <t>Transaction</t>
        </is>
      </c>
      <c r="D1204" s="58">
        <f>IF(H1204=1,INDEX(tx_ID,1198)&amp;"","")</f>
        <v/>
      </c>
      <c r="E1204" s="94">
        <f>IF(H1204=1,INDEX(tx_Date,1198),"")</f>
        <v/>
      </c>
      <c r="F1204" s="58">
        <f>IF(H1204=1,INDEX(tx_Desc,1198)&amp;"","")</f>
        <v/>
      </c>
      <c r="G1204" s="58">
        <f>IF(H1204=1,IF(INDEX(tx_Cust,1198)&amp;""&lt;&gt;"",INDEX(tx_Cust,1198)&amp;"",INDEX(tx_Vend,1198)&amp;""),"")</f>
        <v/>
      </c>
      <c r="H1204" s="101">
        <f>IFERROR(N(INDEX(tx_Posted,1198)),0)</f>
        <v/>
      </c>
      <c r="I1204" s="58">
        <f>IF(H1204=1,INDEX(tx_DrAcct,1198)&amp;"","")</f>
        <v/>
      </c>
      <c r="J1204" s="95">
        <f>IF(H1204=1,INDEX(tx_DrAmt,1198),0)</f>
        <v/>
      </c>
      <c r="K1204" s="58">
        <f>IF(H1204=1,INDEX(tx_CrAcct,1198)&amp;"","")</f>
        <v/>
      </c>
      <c r="L1204" s="95">
        <f>IF(H1204=1,INDEX(tx_CrAmt,1198),0)</f>
        <v/>
      </c>
      <c r="M1204" s="95">
        <f>IF(H1204=1,INDEX(tx_TaxDr,1198),0)</f>
        <v/>
      </c>
      <c r="N1204" s="95">
        <f>IF(H1204=1,INDEX(tx_TaxCr,1198),0)</f>
        <v/>
      </c>
      <c r="O1204" s="101">
        <f>IF(H1204=1,IF(E1204&lt;FYStart,0,IF(E1204&gt;FYEnd,13,YEAR(E1204)*12+MONTH(E1204)-FYYM+1)),"")</f>
        <v/>
      </c>
      <c r="P1204" s="101">
        <f>IF(H1204=1,IF(IFERROR(INDEX(coa_CF,MATCH(I1204,coa_Name,0)),"")="Cash",1,0),0)</f>
        <v/>
      </c>
      <c r="Q1204" s="101">
        <f>IF(H1204=1,IF(IFERROR(INDEX(coa_CF,MATCH(K1204,coa_Name,0)),"")="Cash",1,0),0)</f>
        <v/>
      </c>
      <c r="R1204" s="58">
        <f>IF((P1204-Q1204)=0,"",IFERROR(INDEX(coa_CF,MATCH(IF((P1204-Q1204)=1,K1204,I1204),coa_Name,0)),"Operating"))</f>
        <v/>
      </c>
      <c r="S1204" s="95">
        <f>IF((P1204-Q1204)=1,L1204,IF((P1204-Q1204)=-1,-J1204,0))</f>
        <v/>
      </c>
      <c r="T1204" s="95">
        <f>IF((P1204-Q1204)=1,N1204,IF((P1204-Q1204)=-1,-M1204,0))</f>
        <v/>
      </c>
      <c r="U1204" s="101">
        <f>IF(AND(H1204=1,LedAcct&lt;&gt;""),IF(AND(E1204&gt;=LedFrom,E1204&lt;=LedTo,OR(I1204=LedAcct,K1204=LedAcct,AND(LedAcct=acctTax,M1204+N1204&lt;&gt;0))),E1204*10000+B1204,""),"")</f>
        <v/>
      </c>
    </row>
    <row r="1205">
      <c r="B1205" s="101" t="n">
        <v>1199</v>
      </c>
      <c r="C1205" s="58" t="inlineStr">
        <is>
          <t>Transaction</t>
        </is>
      </c>
      <c r="D1205" s="58">
        <f>IF(H1205=1,INDEX(tx_ID,1199)&amp;"","")</f>
        <v/>
      </c>
      <c r="E1205" s="94">
        <f>IF(H1205=1,INDEX(tx_Date,1199),"")</f>
        <v/>
      </c>
      <c r="F1205" s="58">
        <f>IF(H1205=1,INDEX(tx_Desc,1199)&amp;"","")</f>
        <v/>
      </c>
      <c r="G1205" s="58">
        <f>IF(H1205=1,IF(INDEX(tx_Cust,1199)&amp;""&lt;&gt;"",INDEX(tx_Cust,1199)&amp;"",INDEX(tx_Vend,1199)&amp;""),"")</f>
        <v/>
      </c>
      <c r="H1205" s="101">
        <f>IFERROR(N(INDEX(tx_Posted,1199)),0)</f>
        <v/>
      </c>
      <c r="I1205" s="58">
        <f>IF(H1205=1,INDEX(tx_DrAcct,1199)&amp;"","")</f>
        <v/>
      </c>
      <c r="J1205" s="95">
        <f>IF(H1205=1,INDEX(tx_DrAmt,1199),0)</f>
        <v/>
      </c>
      <c r="K1205" s="58">
        <f>IF(H1205=1,INDEX(tx_CrAcct,1199)&amp;"","")</f>
        <v/>
      </c>
      <c r="L1205" s="95">
        <f>IF(H1205=1,INDEX(tx_CrAmt,1199),0)</f>
        <v/>
      </c>
      <c r="M1205" s="95">
        <f>IF(H1205=1,INDEX(tx_TaxDr,1199),0)</f>
        <v/>
      </c>
      <c r="N1205" s="95">
        <f>IF(H1205=1,INDEX(tx_TaxCr,1199),0)</f>
        <v/>
      </c>
      <c r="O1205" s="101">
        <f>IF(H1205=1,IF(E1205&lt;FYStart,0,IF(E1205&gt;FYEnd,13,YEAR(E1205)*12+MONTH(E1205)-FYYM+1)),"")</f>
        <v/>
      </c>
      <c r="P1205" s="101">
        <f>IF(H1205=1,IF(IFERROR(INDEX(coa_CF,MATCH(I1205,coa_Name,0)),"")="Cash",1,0),0)</f>
        <v/>
      </c>
      <c r="Q1205" s="101">
        <f>IF(H1205=1,IF(IFERROR(INDEX(coa_CF,MATCH(K1205,coa_Name,0)),"")="Cash",1,0),0)</f>
        <v/>
      </c>
      <c r="R1205" s="58">
        <f>IF((P1205-Q1205)=0,"",IFERROR(INDEX(coa_CF,MATCH(IF((P1205-Q1205)=1,K1205,I1205),coa_Name,0)),"Operating"))</f>
        <v/>
      </c>
      <c r="S1205" s="95">
        <f>IF((P1205-Q1205)=1,L1205,IF((P1205-Q1205)=-1,-J1205,0))</f>
        <v/>
      </c>
      <c r="T1205" s="95">
        <f>IF((P1205-Q1205)=1,N1205,IF((P1205-Q1205)=-1,-M1205,0))</f>
        <v/>
      </c>
      <c r="U1205" s="101">
        <f>IF(AND(H1205=1,LedAcct&lt;&gt;""),IF(AND(E1205&gt;=LedFrom,E1205&lt;=LedTo,OR(I1205=LedAcct,K1205=LedAcct,AND(LedAcct=acctTax,M1205+N1205&lt;&gt;0))),E1205*10000+B1205,""),"")</f>
        <v/>
      </c>
    </row>
    <row r="1206">
      <c r="B1206" s="101" t="n">
        <v>1200</v>
      </c>
      <c r="C1206" s="58" t="inlineStr">
        <is>
          <t>Transaction</t>
        </is>
      </c>
      <c r="D1206" s="58">
        <f>IF(H1206=1,INDEX(tx_ID,1200)&amp;"","")</f>
        <v/>
      </c>
      <c r="E1206" s="94">
        <f>IF(H1206=1,INDEX(tx_Date,1200),"")</f>
        <v/>
      </c>
      <c r="F1206" s="58">
        <f>IF(H1206=1,INDEX(tx_Desc,1200)&amp;"","")</f>
        <v/>
      </c>
      <c r="G1206" s="58">
        <f>IF(H1206=1,IF(INDEX(tx_Cust,1200)&amp;""&lt;&gt;"",INDEX(tx_Cust,1200)&amp;"",INDEX(tx_Vend,1200)&amp;""),"")</f>
        <v/>
      </c>
      <c r="H1206" s="101">
        <f>IFERROR(N(INDEX(tx_Posted,1200)),0)</f>
        <v/>
      </c>
      <c r="I1206" s="58">
        <f>IF(H1206=1,INDEX(tx_DrAcct,1200)&amp;"","")</f>
        <v/>
      </c>
      <c r="J1206" s="95">
        <f>IF(H1206=1,INDEX(tx_DrAmt,1200),0)</f>
        <v/>
      </c>
      <c r="K1206" s="58">
        <f>IF(H1206=1,INDEX(tx_CrAcct,1200)&amp;"","")</f>
        <v/>
      </c>
      <c r="L1206" s="95">
        <f>IF(H1206=1,INDEX(tx_CrAmt,1200),0)</f>
        <v/>
      </c>
      <c r="M1206" s="95">
        <f>IF(H1206=1,INDEX(tx_TaxDr,1200),0)</f>
        <v/>
      </c>
      <c r="N1206" s="95">
        <f>IF(H1206=1,INDEX(tx_TaxCr,1200),0)</f>
        <v/>
      </c>
      <c r="O1206" s="101">
        <f>IF(H1206=1,IF(E1206&lt;FYStart,0,IF(E1206&gt;FYEnd,13,YEAR(E1206)*12+MONTH(E1206)-FYYM+1)),"")</f>
        <v/>
      </c>
      <c r="P1206" s="101">
        <f>IF(H1206=1,IF(IFERROR(INDEX(coa_CF,MATCH(I1206,coa_Name,0)),"")="Cash",1,0),0)</f>
        <v/>
      </c>
      <c r="Q1206" s="101">
        <f>IF(H1206=1,IF(IFERROR(INDEX(coa_CF,MATCH(K1206,coa_Name,0)),"")="Cash",1,0),0)</f>
        <v/>
      </c>
      <c r="R1206" s="58">
        <f>IF((P1206-Q1206)=0,"",IFERROR(INDEX(coa_CF,MATCH(IF((P1206-Q1206)=1,K1206,I1206),coa_Name,0)),"Operating"))</f>
        <v/>
      </c>
      <c r="S1206" s="95">
        <f>IF((P1206-Q1206)=1,L1206,IF((P1206-Q1206)=-1,-J1206,0))</f>
        <v/>
      </c>
      <c r="T1206" s="95">
        <f>IF((P1206-Q1206)=1,N1206,IF((P1206-Q1206)=-1,-M1206,0))</f>
        <v/>
      </c>
      <c r="U1206" s="101">
        <f>IF(AND(H1206=1,LedAcct&lt;&gt;""),IF(AND(E1206&gt;=LedFrom,E1206&lt;=LedTo,OR(I1206=LedAcct,K1206=LedAcct,AND(LedAcct=acctTax,M1206+N1206&lt;&gt;0))),E1206*10000+B1206,""),"")</f>
        <v/>
      </c>
    </row>
    <row r="1207">
      <c r="B1207" s="101" t="n">
        <v>1201</v>
      </c>
      <c r="C1207" s="58" t="inlineStr">
        <is>
          <t>Transaction</t>
        </is>
      </c>
      <c r="D1207" s="58">
        <f>IF(H1207=1,INDEX(tx_ID,1201)&amp;"","")</f>
        <v/>
      </c>
      <c r="E1207" s="94">
        <f>IF(H1207=1,INDEX(tx_Date,1201),"")</f>
        <v/>
      </c>
      <c r="F1207" s="58">
        <f>IF(H1207=1,INDEX(tx_Desc,1201)&amp;"","")</f>
        <v/>
      </c>
      <c r="G1207" s="58">
        <f>IF(H1207=1,IF(INDEX(tx_Cust,1201)&amp;""&lt;&gt;"",INDEX(tx_Cust,1201)&amp;"",INDEX(tx_Vend,1201)&amp;""),"")</f>
        <v/>
      </c>
      <c r="H1207" s="101">
        <f>IFERROR(N(INDEX(tx_Posted,1201)),0)</f>
        <v/>
      </c>
      <c r="I1207" s="58">
        <f>IF(H1207=1,INDEX(tx_DrAcct,1201)&amp;"","")</f>
        <v/>
      </c>
      <c r="J1207" s="95">
        <f>IF(H1207=1,INDEX(tx_DrAmt,1201),0)</f>
        <v/>
      </c>
      <c r="K1207" s="58">
        <f>IF(H1207=1,INDEX(tx_CrAcct,1201)&amp;"","")</f>
        <v/>
      </c>
      <c r="L1207" s="95">
        <f>IF(H1207=1,INDEX(tx_CrAmt,1201),0)</f>
        <v/>
      </c>
      <c r="M1207" s="95">
        <f>IF(H1207=1,INDEX(tx_TaxDr,1201),0)</f>
        <v/>
      </c>
      <c r="N1207" s="95">
        <f>IF(H1207=1,INDEX(tx_TaxCr,1201),0)</f>
        <v/>
      </c>
      <c r="O1207" s="101">
        <f>IF(H1207=1,IF(E1207&lt;FYStart,0,IF(E1207&gt;FYEnd,13,YEAR(E1207)*12+MONTH(E1207)-FYYM+1)),"")</f>
        <v/>
      </c>
      <c r="P1207" s="101">
        <f>IF(H1207=1,IF(IFERROR(INDEX(coa_CF,MATCH(I1207,coa_Name,0)),"")="Cash",1,0),0)</f>
        <v/>
      </c>
      <c r="Q1207" s="101">
        <f>IF(H1207=1,IF(IFERROR(INDEX(coa_CF,MATCH(K1207,coa_Name,0)),"")="Cash",1,0),0)</f>
        <v/>
      </c>
      <c r="R1207" s="58">
        <f>IF((P1207-Q1207)=0,"",IFERROR(INDEX(coa_CF,MATCH(IF((P1207-Q1207)=1,K1207,I1207),coa_Name,0)),"Operating"))</f>
        <v/>
      </c>
      <c r="S1207" s="95">
        <f>IF((P1207-Q1207)=1,L1207,IF((P1207-Q1207)=-1,-J1207,0))</f>
        <v/>
      </c>
      <c r="T1207" s="95">
        <f>IF((P1207-Q1207)=1,N1207,IF((P1207-Q1207)=-1,-M1207,0))</f>
        <v/>
      </c>
      <c r="U1207" s="101">
        <f>IF(AND(H1207=1,LedAcct&lt;&gt;""),IF(AND(E1207&gt;=LedFrom,E1207&lt;=LedTo,OR(I1207=LedAcct,K1207=LedAcct,AND(LedAcct=acctTax,M1207+N1207&lt;&gt;0))),E1207*10000+B1207,""),"")</f>
        <v/>
      </c>
    </row>
    <row r="1208">
      <c r="B1208" s="101" t="n">
        <v>1202</v>
      </c>
      <c r="C1208" s="58" t="inlineStr">
        <is>
          <t>Transaction</t>
        </is>
      </c>
      <c r="D1208" s="58">
        <f>IF(H1208=1,INDEX(tx_ID,1202)&amp;"","")</f>
        <v/>
      </c>
      <c r="E1208" s="94">
        <f>IF(H1208=1,INDEX(tx_Date,1202),"")</f>
        <v/>
      </c>
      <c r="F1208" s="58">
        <f>IF(H1208=1,INDEX(tx_Desc,1202)&amp;"","")</f>
        <v/>
      </c>
      <c r="G1208" s="58">
        <f>IF(H1208=1,IF(INDEX(tx_Cust,1202)&amp;""&lt;&gt;"",INDEX(tx_Cust,1202)&amp;"",INDEX(tx_Vend,1202)&amp;""),"")</f>
        <v/>
      </c>
      <c r="H1208" s="101">
        <f>IFERROR(N(INDEX(tx_Posted,1202)),0)</f>
        <v/>
      </c>
      <c r="I1208" s="58">
        <f>IF(H1208=1,INDEX(tx_DrAcct,1202)&amp;"","")</f>
        <v/>
      </c>
      <c r="J1208" s="95">
        <f>IF(H1208=1,INDEX(tx_DrAmt,1202),0)</f>
        <v/>
      </c>
      <c r="K1208" s="58">
        <f>IF(H1208=1,INDEX(tx_CrAcct,1202)&amp;"","")</f>
        <v/>
      </c>
      <c r="L1208" s="95">
        <f>IF(H1208=1,INDEX(tx_CrAmt,1202),0)</f>
        <v/>
      </c>
      <c r="M1208" s="95">
        <f>IF(H1208=1,INDEX(tx_TaxDr,1202),0)</f>
        <v/>
      </c>
      <c r="N1208" s="95">
        <f>IF(H1208=1,INDEX(tx_TaxCr,1202),0)</f>
        <v/>
      </c>
      <c r="O1208" s="101">
        <f>IF(H1208=1,IF(E1208&lt;FYStart,0,IF(E1208&gt;FYEnd,13,YEAR(E1208)*12+MONTH(E1208)-FYYM+1)),"")</f>
        <v/>
      </c>
      <c r="P1208" s="101">
        <f>IF(H1208=1,IF(IFERROR(INDEX(coa_CF,MATCH(I1208,coa_Name,0)),"")="Cash",1,0),0)</f>
        <v/>
      </c>
      <c r="Q1208" s="101">
        <f>IF(H1208=1,IF(IFERROR(INDEX(coa_CF,MATCH(K1208,coa_Name,0)),"")="Cash",1,0),0)</f>
        <v/>
      </c>
      <c r="R1208" s="58">
        <f>IF((P1208-Q1208)=0,"",IFERROR(INDEX(coa_CF,MATCH(IF((P1208-Q1208)=1,K1208,I1208),coa_Name,0)),"Operating"))</f>
        <v/>
      </c>
      <c r="S1208" s="95">
        <f>IF((P1208-Q1208)=1,L1208,IF((P1208-Q1208)=-1,-J1208,0))</f>
        <v/>
      </c>
      <c r="T1208" s="95">
        <f>IF((P1208-Q1208)=1,N1208,IF((P1208-Q1208)=-1,-M1208,0))</f>
        <v/>
      </c>
      <c r="U1208" s="101">
        <f>IF(AND(H1208=1,LedAcct&lt;&gt;""),IF(AND(E1208&gt;=LedFrom,E1208&lt;=LedTo,OR(I1208=LedAcct,K1208=LedAcct,AND(LedAcct=acctTax,M1208+N1208&lt;&gt;0))),E1208*10000+B1208,""),"")</f>
        <v/>
      </c>
    </row>
    <row r="1209">
      <c r="B1209" s="101" t="n">
        <v>1203</v>
      </c>
      <c r="C1209" s="58" t="inlineStr">
        <is>
          <t>Transaction</t>
        </is>
      </c>
      <c r="D1209" s="58">
        <f>IF(H1209=1,INDEX(tx_ID,1203)&amp;"","")</f>
        <v/>
      </c>
      <c r="E1209" s="94">
        <f>IF(H1209=1,INDEX(tx_Date,1203),"")</f>
        <v/>
      </c>
      <c r="F1209" s="58">
        <f>IF(H1209=1,INDEX(tx_Desc,1203)&amp;"","")</f>
        <v/>
      </c>
      <c r="G1209" s="58">
        <f>IF(H1209=1,IF(INDEX(tx_Cust,1203)&amp;""&lt;&gt;"",INDEX(tx_Cust,1203)&amp;"",INDEX(tx_Vend,1203)&amp;""),"")</f>
        <v/>
      </c>
      <c r="H1209" s="101">
        <f>IFERROR(N(INDEX(tx_Posted,1203)),0)</f>
        <v/>
      </c>
      <c r="I1209" s="58">
        <f>IF(H1209=1,INDEX(tx_DrAcct,1203)&amp;"","")</f>
        <v/>
      </c>
      <c r="J1209" s="95">
        <f>IF(H1209=1,INDEX(tx_DrAmt,1203),0)</f>
        <v/>
      </c>
      <c r="K1209" s="58">
        <f>IF(H1209=1,INDEX(tx_CrAcct,1203)&amp;"","")</f>
        <v/>
      </c>
      <c r="L1209" s="95">
        <f>IF(H1209=1,INDEX(tx_CrAmt,1203),0)</f>
        <v/>
      </c>
      <c r="M1209" s="95">
        <f>IF(H1209=1,INDEX(tx_TaxDr,1203),0)</f>
        <v/>
      </c>
      <c r="N1209" s="95">
        <f>IF(H1209=1,INDEX(tx_TaxCr,1203),0)</f>
        <v/>
      </c>
      <c r="O1209" s="101">
        <f>IF(H1209=1,IF(E1209&lt;FYStart,0,IF(E1209&gt;FYEnd,13,YEAR(E1209)*12+MONTH(E1209)-FYYM+1)),"")</f>
        <v/>
      </c>
      <c r="P1209" s="101">
        <f>IF(H1209=1,IF(IFERROR(INDEX(coa_CF,MATCH(I1209,coa_Name,0)),"")="Cash",1,0),0)</f>
        <v/>
      </c>
      <c r="Q1209" s="101">
        <f>IF(H1209=1,IF(IFERROR(INDEX(coa_CF,MATCH(K1209,coa_Name,0)),"")="Cash",1,0),0)</f>
        <v/>
      </c>
      <c r="R1209" s="58">
        <f>IF((P1209-Q1209)=0,"",IFERROR(INDEX(coa_CF,MATCH(IF((P1209-Q1209)=1,K1209,I1209),coa_Name,0)),"Operating"))</f>
        <v/>
      </c>
      <c r="S1209" s="95">
        <f>IF((P1209-Q1209)=1,L1209,IF((P1209-Q1209)=-1,-J1209,0))</f>
        <v/>
      </c>
      <c r="T1209" s="95">
        <f>IF((P1209-Q1209)=1,N1209,IF((P1209-Q1209)=-1,-M1209,0))</f>
        <v/>
      </c>
      <c r="U1209" s="101">
        <f>IF(AND(H1209=1,LedAcct&lt;&gt;""),IF(AND(E1209&gt;=LedFrom,E1209&lt;=LedTo,OR(I1209=LedAcct,K1209=LedAcct,AND(LedAcct=acctTax,M1209+N1209&lt;&gt;0))),E1209*10000+B1209,""),"")</f>
        <v/>
      </c>
    </row>
    <row r="1210">
      <c r="B1210" s="101" t="n">
        <v>1204</v>
      </c>
      <c r="C1210" s="58" t="inlineStr">
        <is>
          <t>Transaction</t>
        </is>
      </c>
      <c r="D1210" s="58">
        <f>IF(H1210=1,INDEX(tx_ID,1204)&amp;"","")</f>
        <v/>
      </c>
      <c r="E1210" s="94">
        <f>IF(H1210=1,INDEX(tx_Date,1204),"")</f>
        <v/>
      </c>
      <c r="F1210" s="58">
        <f>IF(H1210=1,INDEX(tx_Desc,1204)&amp;"","")</f>
        <v/>
      </c>
      <c r="G1210" s="58">
        <f>IF(H1210=1,IF(INDEX(tx_Cust,1204)&amp;""&lt;&gt;"",INDEX(tx_Cust,1204)&amp;"",INDEX(tx_Vend,1204)&amp;""),"")</f>
        <v/>
      </c>
      <c r="H1210" s="101">
        <f>IFERROR(N(INDEX(tx_Posted,1204)),0)</f>
        <v/>
      </c>
      <c r="I1210" s="58">
        <f>IF(H1210=1,INDEX(tx_DrAcct,1204)&amp;"","")</f>
        <v/>
      </c>
      <c r="J1210" s="95">
        <f>IF(H1210=1,INDEX(tx_DrAmt,1204),0)</f>
        <v/>
      </c>
      <c r="K1210" s="58">
        <f>IF(H1210=1,INDEX(tx_CrAcct,1204)&amp;"","")</f>
        <v/>
      </c>
      <c r="L1210" s="95">
        <f>IF(H1210=1,INDEX(tx_CrAmt,1204),0)</f>
        <v/>
      </c>
      <c r="M1210" s="95">
        <f>IF(H1210=1,INDEX(tx_TaxDr,1204),0)</f>
        <v/>
      </c>
      <c r="N1210" s="95">
        <f>IF(H1210=1,INDEX(tx_TaxCr,1204),0)</f>
        <v/>
      </c>
      <c r="O1210" s="101">
        <f>IF(H1210=1,IF(E1210&lt;FYStart,0,IF(E1210&gt;FYEnd,13,YEAR(E1210)*12+MONTH(E1210)-FYYM+1)),"")</f>
        <v/>
      </c>
      <c r="P1210" s="101">
        <f>IF(H1210=1,IF(IFERROR(INDEX(coa_CF,MATCH(I1210,coa_Name,0)),"")="Cash",1,0),0)</f>
        <v/>
      </c>
      <c r="Q1210" s="101">
        <f>IF(H1210=1,IF(IFERROR(INDEX(coa_CF,MATCH(K1210,coa_Name,0)),"")="Cash",1,0),0)</f>
        <v/>
      </c>
      <c r="R1210" s="58">
        <f>IF((P1210-Q1210)=0,"",IFERROR(INDEX(coa_CF,MATCH(IF((P1210-Q1210)=1,K1210,I1210),coa_Name,0)),"Operating"))</f>
        <v/>
      </c>
      <c r="S1210" s="95">
        <f>IF((P1210-Q1210)=1,L1210,IF((P1210-Q1210)=-1,-J1210,0))</f>
        <v/>
      </c>
      <c r="T1210" s="95">
        <f>IF((P1210-Q1210)=1,N1210,IF((P1210-Q1210)=-1,-M1210,0))</f>
        <v/>
      </c>
      <c r="U1210" s="101">
        <f>IF(AND(H1210=1,LedAcct&lt;&gt;""),IF(AND(E1210&gt;=LedFrom,E1210&lt;=LedTo,OR(I1210=LedAcct,K1210=LedAcct,AND(LedAcct=acctTax,M1210+N1210&lt;&gt;0))),E1210*10000+B1210,""),"")</f>
        <v/>
      </c>
    </row>
    <row r="1211">
      <c r="B1211" s="101" t="n">
        <v>1205</v>
      </c>
      <c r="C1211" s="58" t="inlineStr">
        <is>
          <t>Transaction</t>
        </is>
      </c>
      <c r="D1211" s="58">
        <f>IF(H1211=1,INDEX(tx_ID,1205)&amp;"","")</f>
        <v/>
      </c>
      <c r="E1211" s="94">
        <f>IF(H1211=1,INDEX(tx_Date,1205),"")</f>
        <v/>
      </c>
      <c r="F1211" s="58">
        <f>IF(H1211=1,INDEX(tx_Desc,1205)&amp;"","")</f>
        <v/>
      </c>
      <c r="G1211" s="58">
        <f>IF(H1211=1,IF(INDEX(tx_Cust,1205)&amp;""&lt;&gt;"",INDEX(tx_Cust,1205)&amp;"",INDEX(tx_Vend,1205)&amp;""),"")</f>
        <v/>
      </c>
      <c r="H1211" s="101">
        <f>IFERROR(N(INDEX(tx_Posted,1205)),0)</f>
        <v/>
      </c>
      <c r="I1211" s="58">
        <f>IF(H1211=1,INDEX(tx_DrAcct,1205)&amp;"","")</f>
        <v/>
      </c>
      <c r="J1211" s="95">
        <f>IF(H1211=1,INDEX(tx_DrAmt,1205),0)</f>
        <v/>
      </c>
      <c r="K1211" s="58">
        <f>IF(H1211=1,INDEX(tx_CrAcct,1205)&amp;"","")</f>
        <v/>
      </c>
      <c r="L1211" s="95">
        <f>IF(H1211=1,INDEX(tx_CrAmt,1205),0)</f>
        <v/>
      </c>
      <c r="M1211" s="95">
        <f>IF(H1211=1,INDEX(tx_TaxDr,1205),0)</f>
        <v/>
      </c>
      <c r="N1211" s="95">
        <f>IF(H1211=1,INDEX(tx_TaxCr,1205),0)</f>
        <v/>
      </c>
      <c r="O1211" s="101">
        <f>IF(H1211=1,IF(E1211&lt;FYStart,0,IF(E1211&gt;FYEnd,13,YEAR(E1211)*12+MONTH(E1211)-FYYM+1)),"")</f>
        <v/>
      </c>
      <c r="P1211" s="101">
        <f>IF(H1211=1,IF(IFERROR(INDEX(coa_CF,MATCH(I1211,coa_Name,0)),"")="Cash",1,0),0)</f>
        <v/>
      </c>
      <c r="Q1211" s="101">
        <f>IF(H1211=1,IF(IFERROR(INDEX(coa_CF,MATCH(K1211,coa_Name,0)),"")="Cash",1,0),0)</f>
        <v/>
      </c>
      <c r="R1211" s="58">
        <f>IF((P1211-Q1211)=0,"",IFERROR(INDEX(coa_CF,MATCH(IF((P1211-Q1211)=1,K1211,I1211),coa_Name,0)),"Operating"))</f>
        <v/>
      </c>
      <c r="S1211" s="95">
        <f>IF((P1211-Q1211)=1,L1211,IF((P1211-Q1211)=-1,-J1211,0))</f>
        <v/>
      </c>
      <c r="T1211" s="95">
        <f>IF((P1211-Q1211)=1,N1211,IF((P1211-Q1211)=-1,-M1211,0))</f>
        <v/>
      </c>
      <c r="U1211" s="101">
        <f>IF(AND(H1211=1,LedAcct&lt;&gt;""),IF(AND(E1211&gt;=LedFrom,E1211&lt;=LedTo,OR(I1211=LedAcct,K1211=LedAcct,AND(LedAcct=acctTax,M1211+N1211&lt;&gt;0))),E1211*10000+B1211,""),"")</f>
        <v/>
      </c>
    </row>
    <row r="1212">
      <c r="B1212" s="101" t="n">
        <v>1206</v>
      </c>
      <c r="C1212" s="58" t="inlineStr">
        <is>
          <t>Transaction</t>
        </is>
      </c>
      <c r="D1212" s="58">
        <f>IF(H1212=1,INDEX(tx_ID,1206)&amp;"","")</f>
        <v/>
      </c>
      <c r="E1212" s="94">
        <f>IF(H1212=1,INDEX(tx_Date,1206),"")</f>
        <v/>
      </c>
      <c r="F1212" s="58">
        <f>IF(H1212=1,INDEX(tx_Desc,1206)&amp;"","")</f>
        <v/>
      </c>
      <c r="G1212" s="58">
        <f>IF(H1212=1,IF(INDEX(tx_Cust,1206)&amp;""&lt;&gt;"",INDEX(tx_Cust,1206)&amp;"",INDEX(tx_Vend,1206)&amp;""),"")</f>
        <v/>
      </c>
      <c r="H1212" s="101">
        <f>IFERROR(N(INDEX(tx_Posted,1206)),0)</f>
        <v/>
      </c>
      <c r="I1212" s="58">
        <f>IF(H1212=1,INDEX(tx_DrAcct,1206)&amp;"","")</f>
        <v/>
      </c>
      <c r="J1212" s="95">
        <f>IF(H1212=1,INDEX(tx_DrAmt,1206),0)</f>
        <v/>
      </c>
      <c r="K1212" s="58">
        <f>IF(H1212=1,INDEX(tx_CrAcct,1206)&amp;"","")</f>
        <v/>
      </c>
      <c r="L1212" s="95">
        <f>IF(H1212=1,INDEX(tx_CrAmt,1206),0)</f>
        <v/>
      </c>
      <c r="M1212" s="95">
        <f>IF(H1212=1,INDEX(tx_TaxDr,1206),0)</f>
        <v/>
      </c>
      <c r="N1212" s="95">
        <f>IF(H1212=1,INDEX(tx_TaxCr,1206),0)</f>
        <v/>
      </c>
      <c r="O1212" s="101">
        <f>IF(H1212=1,IF(E1212&lt;FYStart,0,IF(E1212&gt;FYEnd,13,YEAR(E1212)*12+MONTH(E1212)-FYYM+1)),"")</f>
        <v/>
      </c>
      <c r="P1212" s="101">
        <f>IF(H1212=1,IF(IFERROR(INDEX(coa_CF,MATCH(I1212,coa_Name,0)),"")="Cash",1,0),0)</f>
        <v/>
      </c>
      <c r="Q1212" s="101">
        <f>IF(H1212=1,IF(IFERROR(INDEX(coa_CF,MATCH(K1212,coa_Name,0)),"")="Cash",1,0),0)</f>
        <v/>
      </c>
      <c r="R1212" s="58">
        <f>IF((P1212-Q1212)=0,"",IFERROR(INDEX(coa_CF,MATCH(IF((P1212-Q1212)=1,K1212,I1212),coa_Name,0)),"Operating"))</f>
        <v/>
      </c>
      <c r="S1212" s="95">
        <f>IF((P1212-Q1212)=1,L1212,IF((P1212-Q1212)=-1,-J1212,0))</f>
        <v/>
      </c>
      <c r="T1212" s="95">
        <f>IF((P1212-Q1212)=1,N1212,IF((P1212-Q1212)=-1,-M1212,0))</f>
        <v/>
      </c>
      <c r="U1212" s="101">
        <f>IF(AND(H1212=1,LedAcct&lt;&gt;""),IF(AND(E1212&gt;=LedFrom,E1212&lt;=LedTo,OR(I1212=LedAcct,K1212=LedAcct,AND(LedAcct=acctTax,M1212+N1212&lt;&gt;0))),E1212*10000+B1212,""),"")</f>
        <v/>
      </c>
    </row>
    <row r="1213">
      <c r="B1213" s="101" t="n">
        <v>1207</v>
      </c>
      <c r="C1213" s="58" t="inlineStr">
        <is>
          <t>Transaction</t>
        </is>
      </c>
      <c r="D1213" s="58">
        <f>IF(H1213=1,INDEX(tx_ID,1207)&amp;"","")</f>
        <v/>
      </c>
      <c r="E1213" s="94">
        <f>IF(H1213=1,INDEX(tx_Date,1207),"")</f>
        <v/>
      </c>
      <c r="F1213" s="58">
        <f>IF(H1213=1,INDEX(tx_Desc,1207)&amp;"","")</f>
        <v/>
      </c>
      <c r="G1213" s="58">
        <f>IF(H1213=1,IF(INDEX(tx_Cust,1207)&amp;""&lt;&gt;"",INDEX(tx_Cust,1207)&amp;"",INDEX(tx_Vend,1207)&amp;""),"")</f>
        <v/>
      </c>
      <c r="H1213" s="101">
        <f>IFERROR(N(INDEX(tx_Posted,1207)),0)</f>
        <v/>
      </c>
      <c r="I1213" s="58">
        <f>IF(H1213=1,INDEX(tx_DrAcct,1207)&amp;"","")</f>
        <v/>
      </c>
      <c r="J1213" s="95">
        <f>IF(H1213=1,INDEX(tx_DrAmt,1207),0)</f>
        <v/>
      </c>
      <c r="K1213" s="58">
        <f>IF(H1213=1,INDEX(tx_CrAcct,1207)&amp;"","")</f>
        <v/>
      </c>
      <c r="L1213" s="95">
        <f>IF(H1213=1,INDEX(tx_CrAmt,1207),0)</f>
        <v/>
      </c>
      <c r="M1213" s="95">
        <f>IF(H1213=1,INDEX(tx_TaxDr,1207),0)</f>
        <v/>
      </c>
      <c r="N1213" s="95">
        <f>IF(H1213=1,INDEX(tx_TaxCr,1207),0)</f>
        <v/>
      </c>
      <c r="O1213" s="101">
        <f>IF(H1213=1,IF(E1213&lt;FYStart,0,IF(E1213&gt;FYEnd,13,YEAR(E1213)*12+MONTH(E1213)-FYYM+1)),"")</f>
        <v/>
      </c>
      <c r="P1213" s="101">
        <f>IF(H1213=1,IF(IFERROR(INDEX(coa_CF,MATCH(I1213,coa_Name,0)),"")="Cash",1,0),0)</f>
        <v/>
      </c>
      <c r="Q1213" s="101">
        <f>IF(H1213=1,IF(IFERROR(INDEX(coa_CF,MATCH(K1213,coa_Name,0)),"")="Cash",1,0),0)</f>
        <v/>
      </c>
      <c r="R1213" s="58">
        <f>IF((P1213-Q1213)=0,"",IFERROR(INDEX(coa_CF,MATCH(IF((P1213-Q1213)=1,K1213,I1213),coa_Name,0)),"Operating"))</f>
        <v/>
      </c>
      <c r="S1213" s="95">
        <f>IF((P1213-Q1213)=1,L1213,IF((P1213-Q1213)=-1,-J1213,0))</f>
        <v/>
      </c>
      <c r="T1213" s="95">
        <f>IF((P1213-Q1213)=1,N1213,IF((P1213-Q1213)=-1,-M1213,0))</f>
        <v/>
      </c>
      <c r="U1213" s="101">
        <f>IF(AND(H1213=1,LedAcct&lt;&gt;""),IF(AND(E1213&gt;=LedFrom,E1213&lt;=LedTo,OR(I1213=LedAcct,K1213=LedAcct,AND(LedAcct=acctTax,M1213+N1213&lt;&gt;0))),E1213*10000+B1213,""),"")</f>
        <v/>
      </c>
    </row>
    <row r="1214">
      <c r="B1214" s="101" t="n">
        <v>1208</v>
      </c>
      <c r="C1214" s="58" t="inlineStr">
        <is>
          <t>Transaction</t>
        </is>
      </c>
      <c r="D1214" s="58">
        <f>IF(H1214=1,INDEX(tx_ID,1208)&amp;"","")</f>
        <v/>
      </c>
      <c r="E1214" s="94">
        <f>IF(H1214=1,INDEX(tx_Date,1208),"")</f>
        <v/>
      </c>
      <c r="F1214" s="58">
        <f>IF(H1214=1,INDEX(tx_Desc,1208)&amp;"","")</f>
        <v/>
      </c>
      <c r="G1214" s="58">
        <f>IF(H1214=1,IF(INDEX(tx_Cust,1208)&amp;""&lt;&gt;"",INDEX(tx_Cust,1208)&amp;"",INDEX(tx_Vend,1208)&amp;""),"")</f>
        <v/>
      </c>
      <c r="H1214" s="101">
        <f>IFERROR(N(INDEX(tx_Posted,1208)),0)</f>
        <v/>
      </c>
      <c r="I1214" s="58">
        <f>IF(H1214=1,INDEX(tx_DrAcct,1208)&amp;"","")</f>
        <v/>
      </c>
      <c r="J1214" s="95">
        <f>IF(H1214=1,INDEX(tx_DrAmt,1208),0)</f>
        <v/>
      </c>
      <c r="K1214" s="58">
        <f>IF(H1214=1,INDEX(tx_CrAcct,1208)&amp;"","")</f>
        <v/>
      </c>
      <c r="L1214" s="95">
        <f>IF(H1214=1,INDEX(tx_CrAmt,1208),0)</f>
        <v/>
      </c>
      <c r="M1214" s="95">
        <f>IF(H1214=1,INDEX(tx_TaxDr,1208),0)</f>
        <v/>
      </c>
      <c r="N1214" s="95">
        <f>IF(H1214=1,INDEX(tx_TaxCr,1208),0)</f>
        <v/>
      </c>
      <c r="O1214" s="101">
        <f>IF(H1214=1,IF(E1214&lt;FYStart,0,IF(E1214&gt;FYEnd,13,YEAR(E1214)*12+MONTH(E1214)-FYYM+1)),"")</f>
        <v/>
      </c>
      <c r="P1214" s="101">
        <f>IF(H1214=1,IF(IFERROR(INDEX(coa_CF,MATCH(I1214,coa_Name,0)),"")="Cash",1,0),0)</f>
        <v/>
      </c>
      <c r="Q1214" s="101">
        <f>IF(H1214=1,IF(IFERROR(INDEX(coa_CF,MATCH(K1214,coa_Name,0)),"")="Cash",1,0),0)</f>
        <v/>
      </c>
      <c r="R1214" s="58">
        <f>IF((P1214-Q1214)=0,"",IFERROR(INDEX(coa_CF,MATCH(IF((P1214-Q1214)=1,K1214,I1214),coa_Name,0)),"Operating"))</f>
        <v/>
      </c>
      <c r="S1214" s="95">
        <f>IF((P1214-Q1214)=1,L1214,IF((P1214-Q1214)=-1,-J1214,0))</f>
        <v/>
      </c>
      <c r="T1214" s="95">
        <f>IF((P1214-Q1214)=1,N1214,IF((P1214-Q1214)=-1,-M1214,0))</f>
        <v/>
      </c>
      <c r="U1214" s="101">
        <f>IF(AND(H1214=1,LedAcct&lt;&gt;""),IF(AND(E1214&gt;=LedFrom,E1214&lt;=LedTo,OR(I1214=LedAcct,K1214=LedAcct,AND(LedAcct=acctTax,M1214+N1214&lt;&gt;0))),E1214*10000+B1214,""),"")</f>
        <v/>
      </c>
    </row>
    <row r="1215">
      <c r="B1215" s="101" t="n">
        <v>1209</v>
      </c>
      <c r="C1215" s="58" t="inlineStr">
        <is>
          <t>Transaction</t>
        </is>
      </c>
      <c r="D1215" s="58">
        <f>IF(H1215=1,INDEX(tx_ID,1209)&amp;"","")</f>
        <v/>
      </c>
      <c r="E1215" s="94">
        <f>IF(H1215=1,INDEX(tx_Date,1209),"")</f>
        <v/>
      </c>
      <c r="F1215" s="58">
        <f>IF(H1215=1,INDEX(tx_Desc,1209)&amp;"","")</f>
        <v/>
      </c>
      <c r="G1215" s="58">
        <f>IF(H1215=1,IF(INDEX(tx_Cust,1209)&amp;""&lt;&gt;"",INDEX(tx_Cust,1209)&amp;"",INDEX(tx_Vend,1209)&amp;""),"")</f>
        <v/>
      </c>
      <c r="H1215" s="101">
        <f>IFERROR(N(INDEX(tx_Posted,1209)),0)</f>
        <v/>
      </c>
      <c r="I1215" s="58">
        <f>IF(H1215=1,INDEX(tx_DrAcct,1209)&amp;"","")</f>
        <v/>
      </c>
      <c r="J1215" s="95">
        <f>IF(H1215=1,INDEX(tx_DrAmt,1209),0)</f>
        <v/>
      </c>
      <c r="K1215" s="58">
        <f>IF(H1215=1,INDEX(tx_CrAcct,1209)&amp;"","")</f>
        <v/>
      </c>
      <c r="L1215" s="95">
        <f>IF(H1215=1,INDEX(tx_CrAmt,1209),0)</f>
        <v/>
      </c>
      <c r="M1215" s="95">
        <f>IF(H1215=1,INDEX(tx_TaxDr,1209),0)</f>
        <v/>
      </c>
      <c r="N1215" s="95">
        <f>IF(H1215=1,INDEX(tx_TaxCr,1209),0)</f>
        <v/>
      </c>
      <c r="O1215" s="101">
        <f>IF(H1215=1,IF(E1215&lt;FYStart,0,IF(E1215&gt;FYEnd,13,YEAR(E1215)*12+MONTH(E1215)-FYYM+1)),"")</f>
        <v/>
      </c>
      <c r="P1215" s="101">
        <f>IF(H1215=1,IF(IFERROR(INDEX(coa_CF,MATCH(I1215,coa_Name,0)),"")="Cash",1,0),0)</f>
        <v/>
      </c>
      <c r="Q1215" s="101">
        <f>IF(H1215=1,IF(IFERROR(INDEX(coa_CF,MATCH(K1215,coa_Name,0)),"")="Cash",1,0),0)</f>
        <v/>
      </c>
      <c r="R1215" s="58">
        <f>IF((P1215-Q1215)=0,"",IFERROR(INDEX(coa_CF,MATCH(IF((P1215-Q1215)=1,K1215,I1215),coa_Name,0)),"Operating"))</f>
        <v/>
      </c>
      <c r="S1215" s="95">
        <f>IF((P1215-Q1215)=1,L1215,IF((P1215-Q1215)=-1,-J1215,0))</f>
        <v/>
      </c>
      <c r="T1215" s="95">
        <f>IF((P1215-Q1215)=1,N1215,IF((P1215-Q1215)=-1,-M1215,0))</f>
        <v/>
      </c>
      <c r="U1215" s="101">
        <f>IF(AND(H1215=1,LedAcct&lt;&gt;""),IF(AND(E1215&gt;=LedFrom,E1215&lt;=LedTo,OR(I1215=LedAcct,K1215=LedAcct,AND(LedAcct=acctTax,M1215+N1215&lt;&gt;0))),E1215*10000+B1215,""),"")</f>
        <v/>
      </c>
    </row>
    <row r="1216">
      <c r="B1216" s="101" t="n">
        <v>1210</v>
      </c>
      <c r="C1216" s="58" t="inlineStr">
        <is>
          <t>Transaction</t>
        </is>
      </c>
      <c r="D1216" s="58">
        <f>IF(H1216=1,INDEX(tx_ID,1210)&amp;"","")</f>
        <v/>
      </c>
      <c r="E1216" s="94">
        <f>IF(H1216=1,INDEX(tx_Date,1210),"")</f>
        <v/>
      </c>
      <c r="F1216" s="58">
        <f>IF(H1216=1,INDEX(tx_Desc,1210)&amp;"","")</f>
        <v/>
      </c>
      <c r="G1216" s="58">
        <f>IF(H1216=1,IF(INDEX(tx_Cust,1210)&amp;""&lt;&gt;"",INDEX(tx_Cust,1210)&amp;"",INDEX(tx_Vend,1210)&amp;""),"")</f>
        <v/>
      </c>
      <c r="H1216" s="101">
        <f>IFERROR(N(INDEX(tx_Posted,1210)),0)</f>
        <v/>
      </c>
      <c r="I1216" s="58">
        <f>IF(H1216=1,INDEX(tx_DrAcct,1210)&amp;"","")</f>
        <v/>
      </c>
      <c r="J1216" s="95">
        <f>IF(H1216=1,INDEX(tx_DrAmt,1210),0)</f>
        <v/>
      </c>
      <c r="K1216" s="58">
        <f>IF(H1216=1,INDEX(tx_CrAcct,1210)&amp;"","")</f>
        <v/>
      </c>
      <c r="L1216" s="95">
        <f>IF(H1216=1,INDEX(tx_CrAmt,1210),0)</f>
        <v/>
      </c>
      <c r="M1216" s="95">
        <f>IF(H1216=1,INDEX(tx_TaxDr,1210),0)</f>
        <v/>
      </c>
      <c r="N1216" s="95">
        <f>IF(H1216=1,INDEX(tx_TaxCr,1210),0)</f>
        <v/>
      </c>
      <c r="O1216" s="101">
        <f>IF(H1216=1,IF(E1216&lt;FYStart,0,IF(E1216&gt;FYEnd,13,YEAR(E1216)*12+MONTH(E1216)-FYYM+1)),"")</f>
        <v/>
      </c>
      <c r="P1216" s="101">
        <f>IF(H1216=1,IF(IFERROR(INDEX(coa_CF,MATCH(I1216,coa_Name,0)),"")="Cash",1,0),0)</f>
        <v/>
      </c>
      <c r="Q1216" s="101">
        <f>IF(H1216=1,IF(IFERROR(INDEX(coa_CF,MATCH(K1216,coa_Name,0)),"")="Cash",1,0),0)</f>
        <v/>
      </c>
      <c r="R1216" s="58">
        <f>IF((P1216-Q1216)=0,"",IFERROR(INDEX(coa_CF,MATCH(IF((P1216-Q1216)=1,K1216,I1216),coa_Name,0)),"Operating"))</f>
        <v/>
      </c>
      <c r="S1216" s="95">
        <f>IF((P1216-Q1216)=1,L1216,IF((P1216-Q1216)=-1,-J1216,0))</f>
        <v/>
      </c>
      <c r="T1216" s="95">
        <f>IF((P1216-Q1216)=1,N1216,IF((P1216-Q1216)=-1,-M1216,0))</f>
        <v/>
      </c>
      <c r="U1216" s="101">
        <f>IF(AND(H1216=1,LedAcct&lt;&gt;""),IF(AND(E1216&gt;=LedFrom,E1216&lt;=LedTo,OR(I1216=LedAcct,K1216=LedAcct,AND(LedAcct=acctTax,M1216+N1216&lt;&gt;0))),E1216*10000+B1216,""),"")</f>
        <v/>
      </c>
    </row>
    <row r="1217">
      <c r="B1217" s="101" t="n">
        <v>1211</v>
      </c>
      <c r="C1217" s="58" t="inlineStr">
        <is>
          <t>Transaction</t>
        </is>
      </c>
      <c r="D1217" s="58">
        <f>IF(H1217=1,INDEX(tx_ID,1211)&amp;"","")</f>
        <v/>
      </c>
      <c r="E1217" s="94">
        <f>IF(H1217=1,INDEX(tx_Date,1211),"")</f>
        <v/>
      </c>
      <c r="F1217" s="58">
        <f>IF(H1217=1,INDEX(tx_Desc,1211)&amp;"","")</f>
        <v/>
      </c>
      <c r="G1217" s="58">
        <f>IF(H1217=1,IF(INDEX(tx_Cust,1211)&amp;""&lt;&gt;"",INDEX(tx_Cust,1211)&amp;"",INDEX(tx_Vend,1211)&amp;""),"")</f>
        <v/>
      </c>
      <c r="H1217" s="101">
        <f>IFERROR(N(INDEX(tx_Posted,1211)),0)</f>
        <v/>
      </c>
      <c r="I1217" s="58">
        <f>IF(H1217=1,INDEX(tx_DrAcct,1211)&amp;"","")</f>
        <v/>
      </c>
      <c r="J1217" s="95">
        <f>IF(H1217=1,INDEX(tx_DrAmt,1211),0)</f>
        <v/>
      </c>
      <c r="K1217" s="58">
        <f>IF(H1217=1,INDEX(tx_CrAcct,1211)&amp;"","")</f>
        <v/>
      </c>
      <c r="L1217" s="95">
        <f>IF(H1217=1,INDEX(tx_CrAmt,1211),0)</f>
        <v/>
      </c>
      <c r="M1217" s="95">
        <f>IF(H1217=1,INDEX(tx_TaxDr,1211),0)</f>
        <v/>
      </c>
      <c r="N1217" s="95">
        <f>IF(H1217=1,INDEX(tx_TaxCr,1211),0)</f>
        <v/>
      </c>
      <c r="O1217" s="101">
        <f>IF(H1217=1,IF(E1217&lt;FYStart,0,IF(E1217&gt;FYEnd,13,YEAR(E1217)*12+MONTH(E1217)-FYYM+1)),"")</f>
        <v/>
      </c>
      <c r="P1217" s="101">
        <f>IF(H1217=1,IF(IFERROR(INDEX(coa_CF,MATCH(I1217,coa_Name,0)),"")="Cash",1,0),0)</f>
        <v/>
      </c>
      <c r="Q1217" s="101">
        <f>IF(H1217=1,IF(IFERROR(INDEX(coa_CF,MATCH(K1217,coa_Name,0)),"")="Cash",1,0),0)</f>
        <v/>
      </c>
      <c r="R1217" s="58">
        <f>IF((P1217-Q1217)=0,"",IFERROR(INDEX(coa_CF,MATCH(IF((P1217-Q1217)=1,K1217,I1217),coa_Name,0)),"Operating"))</f>
        <v/>
      </c>
      <c r="S1217" s="95">
        <f>IF((P1217-Q1217)=1,L1217,IF((P1217-Q1217)=-1,-J1217,0))</f>
        <v/>
      </c>
      <c r="T1217" s="95">
        <f>IF((P1217-Q1217)=1,N1217,IF((P1217-Q1217)=-1,-M1217,0))</f>
        <v/>
      </c>
      <c r="U1217" s="101">
        <f>IF(AND(H1217=1,LedAcct&lt;&gt;""),IF(AND(E1217&gt;=LedFrom,E1217&lt;=LedTo,OR(I1217=LedAcct,K1217=LedAcct,AND(LedAcct=acctTax,M1217+N1217&lt;&gt;0))),E1217*10000+B1217,""),"")</f>
        <v/>
      </c>
    </row>
    <row r="1218">
      <c r="B1218" s="101" t="n">
        <v>1212</v>
      </c>
      <c r="C1218" s="58" t="inlineStr">
        <is>
          <t>Transaction</t>
        </is>
      </c>
      <c r="D1218" s="58">
        <f>IF(H1218=1,INDEX(tx_ID,1212)&amp;"","")</f>
        <v/>
      </c>
      <c r="E1218" s="94">
        <f>IF(H1218=1,INDEX(tx_Date,1212),"")</f>
        <v/>
      </c>
      <c r="F1218" s="58">
        <f>IF(H1218=1,INDEX(tx_Desc,1212)&amp;"","")</f>
        <v/>
      </c>
      <c r="G1218" s="58">
        <f>IF(H1218=1,IF(INDEX(tx_Cust,1212)&amp;""&lt;&gt;"",INDEX(tx_Cust,1212)&amp;"",INDEX(tx_Vend,1212)&amp;""),"")</f>
        <v/>
      </c>
      <c r="H1218" s="101">
        <f>IFERROR(N(INDEX(tx_Posted,1212)),0)</f>
        <v/>
      </c>
      <c r="I1218" s="58">
        <f>IF(H1218=1,INDEX(tx_DrAcct,1212)&amp;"","")</f>
        <v/>
      </c>
      <c r="J1218" s="95">
        <f>IF(H1218=1,INDEX(tx_DrAmt,1212),0)</f>
        <v/>
      </c>
      <c r="K1218" s="58">
        <f>IF(H1218=1,INDEX(tx_CrAcct,1212)&amp;"","")</f>
        <v/>
      </c>
      <c r="L1218" s="95">
        <f>IF(H1218=1,INDEX(tx_CrAmt,1212),0)</f>
        <v/>
      </c>
      <c r="M1218" s="95">
        <f>IF(H1218=1,INDEX(tx_TaxDr,1212),0)</f>
        <v/>
      </c>
      <c r="N1218" s="95">
        <f>IF(H1218=1,INDEX(tx_TaxCr,1212),0)</f>
        <v/>
      </c>
      <c r="O1218" s="101">
        <f>IF(H1218=1,IF(E1218&lt;FYStart,0,IF(E1218&gt;FYEnd,13,YEAR(E1218)*12+MONTH(E1218)-FYYM+1)),"")</f>
        <v/>
      </c>
      <c r="P1218" s="101">
        <f>IF(H1218=1,IF(IFERROR(INDEX(coa_CF,MATCH(I1218,coa_Name,0)),"")="Cash",1,0),0)</f>
        <v/>
      </c>
      <c r="Q1218" s="101">
        <f>IF(H1218=1,IF(IFERROR(INDEX(coa_CF,MATCH(K1218,coa_Name,0)),"")="Cash",1,0),0)</f>
        <v/>
      </c>
      <c r="R1218" s="58">
        <f>IF((P1218-Q1218)=0,"",IFERROR(INDEX(coa_CF,MATCH(IF((P1218-Q1218)=1,K1218,I1218),coa_Name,0)),"Operating"))</f>
        <v/>
      </c>
      <c r="S1218" s="95">
        <f>IF((P1218-Q1218)=1,L1218,IF((P1218-Q1218)=-1,-J1218,0))</f>
        <v/>
      </c>
      <c r="T1218" s="95">
        <f>IF((P1218-Q1218)=1,N1218,IF((P1218-Q1218)=-1,-M1218,0))</f>
        <v/>
      </c>
      <c r="U1218" s="101">
        <f>IF(AND(H1218=1,LedAcct&lt;&gt;""),IF(AND(E1218&gt;=LedFrom,E1218&lt;=LedTo,OR(I1218=LedAcct,K1218=LedAcct,AND(LedAcct=acctTax,M1218+N1218&lt;&gt;0))),E1218*10000+B1218,""),"")</f>
        <v/>
      </c>
    </row>
    <row r="1219">
      <c r="B1219" s="101" t="n">
        <v>1213</v>
      </c>
      <c r="C1219" s="58" t="inlineStr">
        <is>
          <t>Transaction</t>
        </is>
      </c>
      <c r="D1219" s="58">
        <f>IF(H1219=1,INDEX(tx_ID,1213)&amp;"","")</f>
        <v/>
      </c>
      <c r="E1219" s="94">
        <f>IF(H1219=1,INDEX(tx_Date,1213),"")</f>
        <v/>
      </c>
      <c r="F1219" s="58">
        <f>IF(H1219=1,INDEX(tx_Desc,1213)&amp;"","")</f>
        <v/>
      </c>
      <c r="G1219" s="58">
        <f>IF(H1219=1,IF(INDEX(tx_Cust,1213)&amp;""&lt;&gt;"",INDEX(tx_Cust,1213)&amp;"",INDEX(tx_Vend,1213)&amp;""),"")</f>
        <v/>
      </c>
      <c r="H1219" s="101">
        <f>IFERROR(N(INDEX(tx_Posted,1213)),0)</f>
        <v/>
      </c>
      <c r="I1219" s="58">
        <f>IF(H1219=1,INDEX(tx_DrAcct,1213)&amp;"","")</f>
        <v/>
      </c>
      <c r="J1219" s="95">
        <f>IF(H1219=1,INDEX(tx_DrAmt,1213),0)</f>
        <v/>
      </c>
      <c r="K1219" s="58">
        <f>IF(H1219=1,INDEX(tx_CrAcct,1213)&amp;"","")</f>
        <v/>
      </c>
      <c r="L1219" s="95">
        <f>IF(H1219=1,INDEX(tx_CrAmt,1213),0)</f>
        <v/>
      </c>
      <c r="M1219" s="95">
        <f>IF(H1219=1,INDEX(tx_TaxDr,1213),0)</f>
        <v/>
      </c>
      <c r="N1219" s="95">
        <f>IF(H1219=1,INDEX(tx_TaxCr,1213),0)</f>
        <v/>
      </c>
      <c r="O1219" s="101">
        <f>IF(H1219=1,IF(E1219&lt;FYStart,0,IF(E1219&gt;FYEnd,13,YEAR(E1219)*12+MONTH(E1219)-FYYM+1)),"")</f>
        <v/>
      </c>
      <c r="P1219" s="101">
        <f>IF(H1219=1,IF(IFERROR(INDEX(coa_CF,MATCH(I1219,coa_Name,0)),"")="Cash",1,0),0)</f>
        <v/>
      </c>
      <c r="Q1219" s="101">
        <f>IF(H1219=1,IF(IFERROR(INDEX(coa_CF,MATCH(K1219,coa_Name,0)),"")="Cash",1,0),0)</f>
        <v/>
      </c>
      <c r="R1219" s="58">
        <f>IF((P1219-Q1219)=0,"",IFERROR(INDEX(coa_CF,MATCH(IF((P1219-Q1219)=1,K1219,I1219),coa_Name,0)),"Operating"))</f>
        <v/>
      </c>
      <c r="S1219" s="95">
        <f>IF((P1219-Q1219)=1,L1219,IF((P1219-Q1219)=-1,-J1219,0))</f>
        <v/>
      </c>
      <c r="T1219" s="95">
        <f>IF((P1219-Q1219)=1,N1219,IF((P1219-Q1219)=-1,-M1219,0))</f>
        <v/>
      </c>
      <c r="U1219" s="101">
        <f>IF(AND(H1219=1,LedAcct&lt;&gt;""),IF(AND(E1219&gt;=LedFrom,E1219&lt;=LedTo,OR(I1219=LedAcct,K1219=LedAcct,AND(LedAcct=acctTax,M1219+N1219&lt;&gt;0))),E1219*10000+B1219,""),"")</f>
        <v/>
      </c>
    </row>
    <row r="1220">
      <c r="B1220" s="101" t="n">
        <v>1214</v>
      </c>
      <c r="C1220" s="58" t="inlineStr">
        <is>
          <t>Transaction</t>
        </is>
      </c>
      <c r="D1220" s="58">
        <f>IF(H1220=1,INDEX(tx_ID,1214)&amp;"","")</f>
        <v/>
      </c>
      <c r="E1220" s="94">
        <f>IF(H1220=1,INDEX(tx_Date,1214),"")</f>
        <v/>
      </c>
      <c r="F1220" s="58">
        <f>IF(H1220=1,INDEX(tx_Desc,1214)&amp;"","")</f>
        <v/>
      </c>
      <c r="G1220" s="58">
        <f>IF(H1220=1,IF(INDEX(tx_Cust,1214)&amp;""&lt;&gt;"",INDEX(tx_Cust,1214)&amp;"",INDEX(tx_Vend,1214)&amp;""),"")</f>
        <v/>
      </c>
      <c r="H1220" s="101">
        <f>IFERROR(N(INDEX(tx_Posted,1214)),0)</f>
        <v/>
      </c>
      <c r="I1220" s="58">
        <f>IF(H1220=1,INDEX(tx_DrAcct,1214)&amp;"","")</f>
        <v/>
      </c>
      <c r="J1220" s="95">
        <f>IF(H1220=1,INDEX(tx_DrAmt,1214),0)</f>
        <v/>
      </c>
      <c r="K1220" s="58">
        <f>IF(H1220=1,INDEX(tx_CrAcct,1214)&amp;"","")</f>
        <v/>
      </c>
      <c r="L1220" s="95">
        <f>IF(H1220=1,INDEX(tx_CrAmt,1214),0)</f>
        <v/>
      </c>
      <c r="M1220" s="95">
        <f>IF(H1220=1,INDEX(tx_TaxDr,1214),0)</f>
        <v/>
      </c>
      <c r="N1220" s="95">
        <f>IF(H1220=1,INDEX(tx_TaxCr,1214),0)</f>
        <v/>
      </c>
      <c r="O1220" s="101">
        <f>IF(H1220=1,IF(E1220&lt;FYStart,0,IF(E1220&gt;FYEnd,13,YEAR(E1220)*12+MONTH(E1220)-FYYM+1)),"")</f>
        <v/>
      </c>
      <c r="P1220" s="101">
        <f>IF(H1220=1,IF(IFERROR(INDEX(coa_CF,MATCH(I1220,coa_Name,0)),"")="Cash",1,0),0)</f>
        <v/>
      </c>
      <c r="Q1220" s="101">
        <f>IF(H1220=1,IF(IFERROR(INDEX(coa_CF,MATCH(K1220,coa_Name,0)),"")="Cash",1,0),0)</f>
        <v/>
      </c>
      <c r="R1220" s="58">
        <f>IF((P1220-Q1220)=0,"",IFERROR(INDEX(coa_CF,MATCH(IF((P1220-Q1220)=1,K1220,I1220),coa_Name,0)),"Operating"))</f>
        <v/>
      </c>
      <c r="S1220" s="95">
        <f>IF((P1220-Q1220)=1,L1220,IF((P1220-Q1220)=-1,-J1220,0))</f>
        <v/>
      </c>
      <c r="T1220" s="95">
        <f>IF((P1220-Q1220)=1,N1220,IF((P1220-Q1220)=-1,-M1220,0))</f>
        <v/>
      </c>
      <c r="U1220" s="101">
        <f>IF(AND(H1220=1,LedAcct&lt;&gt;""),IF(AND(E1220&gt;=LedFrom,E1220&lt;=LedTo,OR(I1220=LedAcct,K1220=LedAcct,AND(LedAcct=acctTax,M1220+N1220&lt;&gt;0))),E1220*10000+B1220,""),"")</f>
        <v/>
      </c>
    </row>
    <row r="1221">
      <c r="B1221" s="101" t="n">
        <v>1215</v>
      </c>
      <c r="C1221" s="58" t="inlineStr">
        <is>
          <t>Transaction</t>
        </is>
      </c>
      <c r="D1221" s="58">
        <f>IF(H1221=1,INDEX(tx_ID,1215)&amp;"","")</f>
        <v/>
      </c>
      <c r="E1221" s="94">
        <f>IF(H1221=1,INDEX(tx_Date,1215),"")</f>
        <v/>
      </c>
      <c r="F1221" s="58">
        <f>IF(H1221=1,INDEX(tx_Desc,1215)&amp;"","")</f>
        <v/>
      </c>
      <c r="G1221" s="58">
        <f>IF(H1221=1,IF(INDEX(tx_Cust,1215)&amp;""&lt;&gt;"",INDEX(tx_Cust,1215)&amp;"",INDEX(tx_Vend,1215)&amp;""),"")</f>
        <v/>
      </c>
      <c r="H1221" s="101">
        <f>IFERROR(N(INDEX(tx_Posted,1215)),0)</f>
        <v/>
      </c>
      <c r="I1221" s="58">
        <f>IF(H1221=1,INDEX(tx_DrAcct,1215)&amp;"","")</f>
        <v/>
      </c>
      <c r="J1221" s="95">
        <f>IF(H1221=1,INDEX(tx_DrAmt,1215),0)</f>
        <v/>
      </c>
      <c r="K1221" s="58">
        <f>IF(H1221=1,INDEX(tx_CrAcct,1215)&amp;"","")</f>
        <v/>
      </c>
      <c r="L1221" s="95">
        <f>IF(H1221=1,INDEX(tx_CrAmt,1215),0)</f>
        <v/>
      </c>
      <c r="M1221" s="95">
        <f>IF(H1221=1,INDEX(tx_TaxDr,1215),0)</f>
        <v/>
      </c>
      <c r="N1221" s="95">
        <f>IF(H1221=1,INDEX(tx_TaxCr,1215),0)</f>
        <v/>
      </c>
      <c r="O1221" s="101">
        <f>IF(H1221=1,IF(E1221&lt;FYStart,0,IF(E1221&gt;FYEnd,13,YEAR(E1221)*12+MONTH(E1221)-FYYM+1)),"")</f>
        <v/>
      </c>
      <c r="P1221" s="101">
        <f>IF(H1221=1,IF(IFERROR(INDEX(coa_CF,MATCH(I1221,coa_Name,0)),"")="Cash",1,0),0)</f>
        <v/>
      </c>
      <c r="Q1221" s="101">
        <f>IF(H1221=1,IF(IFERROR(INDEX(coa_CF,MATCH(K1221,coa_Name,0)),"")="Cash",1,0),0)</f>
        <v/>
      </c>
      <c r="R1221" s="58">
        <f>IF((P1221-Q1221)=0,"",IFERROR(INDEX(coa_CF,MATCH(IF((P1221-Q1221)=1,K1221,I1221),coa_Name,0)),"Operating"))</f>
        <v/>
      </c>
      <c r="S1221" s="95">
        <f>IF((P1221-Q1221)=1,L1221,IF((P1221-Q1221)=-1,-J1221,0))</f>
        <v/>
      </c>
      <c r="T1221" s="95">
        <f>IF((P1221-Q1221)=1,N1221,IF((P1221-Q1221)=-1,-M1221,0))</f>
        <v/>
      </c>
      <c r="U1221" s="101">
        <f>IF(AND(H1221=1,LedAcct&lt;&gt;""),IF(AND(E1221&gt;=LedFrom,E1221&lt;=LedTo,OR(I1221=LedAcct,K1221=LedAcct,AND(LedAcct=acctTax,M1221+N1221&lt;&gt;0))),E1221*10000+B1221,""),"")</f>
        <v/>
      </c>
    </row>
    <row r="1222">
      <c r="B1222" s="101" t="n">
        <v>1216</v>
      </c>
      <c r="C1222" s="58" t="inlineStr">
        <is>
          <t>Transaction</t>
        </is>
      </c>
      <c r="D1222" s="58">
        <f>IF(H1222=1,INDEX(tx_ID,1216)&amp;"","")</f>
        <v/>
      </c>
      <c r="E1222" s="94">
        <f>IF(H1222=1,INDEX(tx_Date,1216),"")</f>
        <v/>
      </c>
      <c r="F1222" s="58">
        <f>IF(H1222=1,INDEX(tx_Desc,1216)&amp;"","")</f>
        <v/>
      </c>
      <c r="G1222" s="58">
        <f>IF(H1222=1,IF(INDEX(tx_Cust,1216)&amp;""&lt;&gt;"",INDEX(tx_Cust,1216)&amp;"",INDEX(tx_Vend,1216)&amp;""),"")</f>
        <v/>
      </c>
      <c r="H1222" s="101">
        <f>IFERROR(N(INDEX(tx_Posted,1216)),0)</f>
        <v/>
      </c>
      <c r="I1222" s="58">
        <f>IF(H1222=1,INDEX(tx_DrAcct,1216)&amp;"","")</f>
        <v/>
      </c>
      <c r="J1222" s="95">
        <f>IF(H1222=1,INDEX(tx_DrAmt,1216),0)</f>
        <v/>
      </c>
      <c r="K1222" s="58">
        <f>IF(H1222=1,INDEX(tx_CrAcct,1216)&amp;"","")</f>
        <v/>
      </c>
      <c r="L1222" s="95">
        <f>IF(H1222=1,INDEX(tx_CrAmt,1216),0)</f>
        <v/>
      </c>
      <c r="M1222" s="95">
        <f>IF(H1222=1,INDEX(tx_TaxDr,1216),0)</f>
        <v/>
      </c>
      <c r="N1222" s="95">
        <f>IF(H1222=1,INDEX(tx_TaxCr,1216),0)</f>
        <v/>
      </c>
      <c r="O1222" s="101">
        <f>IF(H1222=1,IF(E1222&lt;FYStart,0,IF(E1222&gt;FYEnd,13,YEAR(E1222)*12+MONTH(E1222)-FYYM+1)),"")</f>
        <v/>
      </c>
      <c r="P1222" s="101">
        <f>IF(H1222=1,IF(IFERROR(INDEX(coa_CF,MATCH(I1222,coa_Name,0)),"")="Cash",1,0),0)</f>
        <v/>
      </c>
      <c r="Q1222" s="101">
        <f>IF(H1222=1,IF(IFERROR(INDEX(coa_CF,MATCH(K1222,coa_Name,0)),"")="Cash",1,0),0)</f>
        <v/>
      </c>
      <c r="R1222" s="58">
        <f>IF((P1222-Q1222)=0,"",IFERROR(INDEX(coa_CF,MATCH(IF((P1222-Q1222)=1,K1222,I1222),coa_Name,0)),"Operating"))</f>
        <v/>
      </c>
      <c r="S1222" s="95">
        <f>IF((P1222-Q1222)=1,L1222,IF((P1222-Q1222)=-1,-J1222,0))</f>
        <v/>
      </c>
      <c r="T1222" s="95">
        <f>IF((P1222-Q1222)=1,N1222,IF((P1222-Q1222)=-1,-M1222,0))</f>
        <v/>
      </c>
      <c r="U1222" s="101">
        <f>IF(AND(H1222=1,LedAcct&lt;&gt;""),IF(AND(E1222&gt;=LedFrom,E1222&lt;=LedTo,OR(I1222=LedAcct,K1222=LedAcct,AND(LedAcct=acctTax,M1222+N1222&lt;&gt;0))),E1222*10000+B1222,""),"")</f>
        <v/>
      </c>
    </row>
    <row r="1223">
      <c r="B1223" s="101" t="n">
        <v>1217</v>
      </c>
      <c r="C1223" s="58" t="inlineStr">
        <is>
          <t>Transaction</t>
        </is>
      </c>
      <c r="D1223" s="58">
        <f>IF(H1223=1,INDEX(tx_ID,1217)&amp;"","")</f>
        <v/>
      </c>
      <c r="E1223" s="94">
        <f>IF(H1223=1,INDEX(tx_Date,1217),"")</f>
        <v/>
      </c>
      <c r="F1223" s="58">
        <f>IF(H1223=1,INDEX(tx_Desc,1217)&amp;"","")</f>
        <v/>
      </c>
      <c r="G1223" s="58">
        <f>IF(H1223=1,IF(INDEX(tx_Cust,1217)&amp;""&lt;&gt;"",INDEX(tx_Cust,1217)&amp;"",INDEX(tx_Vend,1217)&amp;""),"")</f>
        <v/>
      </c>
      <c r="H1223" s="101">
        <f>IFERROR(N(INDEX(tx_Posted,1217)),0)</f>
        <v/>
      </c>
      <c r="I1223" s="58">
        <f>IF(H1223=1,INDEX(tx_DrAcct,1217)&amp;"","")</f>
        <v/>
      </c>
      <c r="J1223" s="95">
        <f>IF(H1223=1,INDEX(tx_DrAmt,1217),0)</f>
        <v/>
      </c>
      <c r="K1223" s="58">
        <f>IF(H1223=1,INDEX(tx_CrAcct,1217)&amp;"","")</f>
        <v/>
      </c>
      <c r="L1223" s="95">
        <f>IF(H1223=1,INDEX(tx_CrAmt,1217),0)</f>
        <v/>
      </c>
      <c r="M1223" s="95">
        <f>IF(H1223=1,INDEX(tx_TaxDr,1217),0)</f>
        <v/>
      </c>
      <c r="N1223" s="95">
        <f>IF(H1223=1,INDEX(tx_TaxCr,1217),0)</f>
        <v/>
      </c>
      <c r="O1223" s="101">
        <f>IF(H1223=1,IF(E1223&lt;FYStart,0,IF(E1223&gt;FYEnd,13,YEAR(E1223)*12+MONTH(E1223)-FYYM+1)),"")</f>
        <v/>
      </c>
      <c r="P1223" s="101">
        <f>IF(H1223=1,IF(IFERROR(INDEX(coa_CF,MATCH(I1223,coa_Name,0)),"")="Cash",1,0),0)</f>
        <v/>
      </c>
      <c r="Q1223" s="101">
        <f>IF(H1223=1,IF(IFERROR(INDEX(coa_CF,MATCH(K1223,coa_Name,0)),"")="Cash",1,0),0)</f>
        <v/>
      </c>
      <c r="R1223" s="58">
        <f>IF((P1223-Q1223)=0,"",IFERROR(INDEX(coa_CF,MATCH(IF((P1223-Q1223)=1,K1223,I1223),coa_Name,0)),"Operating"))</f>
        <v/>
      </c>
      <c r="S1223" s="95">
        <f>IF((P1223-Q1223)=1,L1223,IF((P1223-Q1223)=-1,-J1223,0))</f>
        <v/>
      </c>
      <c r="T1223" s="95">
        <f>IF((P1223-Q1223)=1,N1223,IF((P1223-Q1223)=-1,-M1223,0))</f>
        <v/>
      </c>
      <c r="U1223" s="101">
        <f>IF(AND(H1223=1,LedAcct&lt;&gt;""),IF(AND(E1223&gt;=LedFrom,E1223&lt;=LedTo,OR(I1223=LedAcct,K1223=LedAcct,AND(LedAcct=acctTax,M1223+N1223&lt;&gt;0))),E1223*10000+B1223,""),"")</f>
        <v/>
      </c>
    </row>
    <row r="1224">
      <c r="B1224" s="101" t="n">
        <v>1218</v>
      </c>
      <c r="C1224" s="58" t="inlineStr">
        <is>
          <t>Transaction</t>
        </is>
      </c>
      <c r="D1224" s="58">
        <f>IF(H1224=1,INDEX(tx_ID,1218)&amp;"","")</f>
        <v/>
      </c>
      <c r="E1224" s="94">
        <f>IF(H1224=1,INDEX(tx_Date,1218),"")</f>
        <v/>
      </c>
      <c r="F1224" s="58">
        <f>IF(H1224=1,INDEX(tx_Desc,1218)&amp;"","")</f>
        <v/>
      </c>
      <c r="G1224" s="58">
        <f>IF(H1224=1,IF(INDEX(tx_Cust,1218)&amp;""&lt;&gt;"",INDEX(tx_Cust,1218)&amp;"",INDEX(tx_Vend,1218)&amp;""),"")</f>
        <v/>
      </c>
      <c r="H1224" s="101">
        <f>IFERROR(N(INDEX(tx_Posted,1218)),0)</f>
        <v/>
      </c>
      <c r="I1224" s="58">
        <f>IF(H1224=1,INDEX(tx_DrAcct,1218)&amp;"","")</f>
        <v/>
      </c>
      <c r="J1224" s="95">
        <f>IF(H1224=1,INDEX(tx_DrAmt,1218),0)</f>
        <v/>
      </c>
      <c r="K1224" s="58">
        <f>IF(H1224=1,INDEX(tx_CrAcct,1218)&amp;"","")</f>
        <v/>
      </c>
      <c r="L1224" s="95">
        <f>IF(H1224=1,INDEX(tx_CrAmt,1218),0)</f>
        <v/>
      </c>
      <c r="M1224" s="95">
        <f>IF(H1224=1,INDEX(tx_TaxDr,1218),0)</f>
        <v/>
      </c>
      <c r="N1224" s="95">
        <f>IF(H1224=1,INDEX(tx_TaxCr,1218),0)</f>
        <v/>
      </c>
      <c r="O1224" s="101">
        <f>IF(H1224=1,IF(E1224&lt;FYStart,0,IF(E1224&gt;FYEnd,13,YEAR(E1224)*12+MONTH(E1224)-FYYM+1)),"")</f>
        <v/>
      </c>
      <c r="P1224" s="101">
        <f>IF(H1224=1,IF(IFERROR(INDEX(coa_CF,MATCH(I1224,coa_Name,0)),"")="Cash",1,0),0)</f>
        <v/>
      </c>
      <c r="Q1224" s="101">
        <f>IF(H1224=1,IF(IFERROR(INDEX(coa_CF,MATCH(K1224,coa_Name,0)),"")="Cash",1,0),0)</f>
        <v/>
      </c>
      <c r="R1224" s="58">
        <f>IF((P1224-Q1224)=0,"",IFERROR(INDEX(coa_CF,MATCH(IF((P1224-Q1224)=1,K1224,I1224),coa_Name,0)),"Operating"))</f>
        <v/>
      </c>
      <c r="S1224" s="95">
        <f>IF((P1224-Q1224)=1,L1224,IF((P1224-Q1224)=-1,-J1224,0))</f>
        <v/>
      </c>
      <c r="T1224" s="95">
        <f>IF((P1224-Q1224)=1,N1224,IF((P1224-Q1224)=-1,-M1224,0))</f>
        <v/>
      </c>
      <c r="U1224" s="101">
        <f>IF(AND(H1224=1,LedAcct&lt;&gt;""),IF(AND(E1224&gt;=LedFrom,E1224&lt;=LedTo,OR(I1224=LedAcct,K1224=LedAcct,AND(LedAcct=acctTax,M1224+N1224&lt;&gt;0))),E1224*10000+B1224,""),"")</f>
        <v/>
      </c>
    </row>
    <row r="1225">
      <c r="B1225" s="101" t="n">
        <v>1219</v>
      </c>
      <c r="C1225" s="58" t="inlineStr">
        <is>
          <t>Transaction</t>
        </is>
      </c>
      <c r="D1225" s="58">
        <f>IF(H1225=1,INDEX(tx_ID,1219)&amp;"","")</f>
        <v/>
      </c>
      <c r="E1225" s="94">
        <f>IF(H1225=1,INDEX(tx_Date,1219),"")</f>
        <v/>
      </c>
      <c r="F1225" s="58">
        <f>IF(H1225=1,INDEX(tx_Desc,1219)&amp;"","")</f>
        <v/>
      </c>
      <c r="G1225" s="58">
        <f>IF(H1225=1,IF(INDEX(tx_Cust,1219)&amp;""&lt;&gt;"",INDEX(tx_Cust,1219)&amp;"",INDEX(tx_Vend,1219)&amp;""),"")</f>
        <v/>
      </c>
      <c r="H1225" s="101">
        <f>IFERROR(N(INDEX(tx_Posted,1219)),0)</f>
        <v/>
      </c>
      <c r="I1225" s="58">
        <f>IF(H1225=1,INDEX(tx_DrAcct,1219)&amp;"","")</f>
        <v/>
      </c>
      <c r="J1225" s="95">
        <f>IF(H1225=1,INDEX(tx_DrAmt,1219),0)</f>
        <v/>
      </c>
      <c r="K1225" s="58">
        <f>IF(H1225=1,INDEX(tx_CrAcct,1219)&amp;"","")</f>
        <v/>
      </c>
      <c r="L1225" s="95">
        <f>IF(H1225=1,INDEX(tx_CrAmt,1219),0)</f>
        <v/>
      </c>
      <c r="M1225" s="95">
        <f>IF(H1225=1,INDEX(tx_TaxDr,1219),0)</f>
        <v/>
      </c>
      <c r="N1225" s="95">
        <f>IF(H1225=1,INDEX(tx_TaxCr,1219),0)</f>
        <v/>
      </c>
      <c r="O1225" s="101">
        <f>IF(H1225=1,IF(E1225&lt;FYStart,0,IF(E1225&gt;FYEnd,13,YEAR(E1225)*12+MONTH(E1225)-FYYM+1)),"")</f>
        <v/>
      </c>
      <c r="P1225" s="101">
        <f>IF(H1225=1,IF(IFERROR(INDEX(coa_CF,MATCH(I1225,coa_Name,0)),"")="Cash",1,0),0)</f>
        <v/>
      </c>
      <c r="Q1225" s="101">
        <f>IF(H1225=1,IF(IFERROR(INDEX(coa_CF,MATCH(K1225,coa_Name,0)),"")="Cash",1,0),0)</f>
        <v/>
      </c>
      <c r="R1225" s="58">
        <f>IF((P1225-Q1225)=0,"",IFERROR(INDEX(coa_CF,MATCH(IF((P1225-Q1225)=1,K1225,I1225),coa_Name,0)),"Operating"))</f>
        <v/>
      </c>
      <c r="S1225" s="95">
        <f>IF((P1225-Q1225)=1,L1225,IF((P1225-Q1225)=-1,-J1225,0))</f>
        <v/>
      </c>
      <c r="T1225" s="95">
        <f>IF((P1225-Q1225)=1,N1225,IF((P1225-Q1225)=-1,-M1225,0))</f>
        <v/>
      </c>
      <c r="U1225" s="101">
        <f>IF(AND(H1225=1,LedAcct&lt;&gt;""),IF(AND(E1225&gt;=LedFrom,E1225&lt;=LedTo,OR(I1225=LedAcct,K1225=LedAcct,AND(LedAcct=acctTax,M1225+N1225&lt;&gt;0))),E1225*10000+B1225,""),"")</f>
        <v/>
      </c>
    </row>
    <row r="1226">
      <c r="B1226" s="101" t="n">
        <v>1220</v>
      </c>
      <c r="C1226" s="58" t="inlineStr">
        <is>
          <t>Transaction</t>
        </is>
      </c>
      <c r="D1226" s="58">
        <f>IF(H1226=1,INDEX(tx_ID,1220)&amp;"","")</f>
        <v/>
      </c>
      <c r="E1226" s="94">
        <f>IF(H1226=1,INDEX(tx_Date,1220),"")</f>
        <v/>
      </c>
      <c r="F1226" s="58">
        <f>IF(H1226=1,INDEX(tx_Desc,1220)&amp;"","")</f>
        <v/>
      </c>
      <c r="G1226" s="58">
        <f>IF(H1226=1,IF(INDEX(tx_Cust,1220)&amp;""&lt;&gt;"",INDEX(tx_Cust,1220)&amp;"",INDEX(tx_Vend,1220)&amp;""),"")</f>
        <v/>
      </c>
      <c r="H1226" s="101">
        <f>IFERROR(N(INDEX(tx_Posted,1220)),0)</f>
        <v/>
      </c>
      <c r="I1226" s="58">
        <f>IF(H1226=1,INDEX(tx_DrAcct,1220)&amp;"","")</f>
        <v/>
      </c>
      <c r="J1226" s="95">
        <f>IF(H1226=1,INDEX(tx_DrAmt,1220),0)</f>
        <v/>
      </c>
      <c r="K1226" s="58">
        <f>IF(H1226=1,INDEX(tx_CrAcct,1220)&amp;"","")</f>
        <v/>
      </c>
      <c r="L1226" s="95">
        <f>IF(H1226=1,INDEX(tx_CrAmt,1220),0)</f>
        <v/>
      </c>
      <c r="M1226" s="95">
        <f>IF(H1226=1,INDEX(tx_TaxDr,1220),0)</f>
        <v/>
      </c>
      <c r="N1226" s="95">
        <f>IF(H1226=1,INDEX(tx_TaxCr,1220),0)</f>
        <v/>
      </c>
      <c r="O1226" s="101">
        <f>IF(H1226=1,IF(E1226&lt;FYStart,0,IF(E1226&gt;FYEnd,13,YEAR(E1226)*12+MONTH(E1226)-FYYM+1)),"")</f>
        <v/>
      </c>
      <c r="P1226" s="101">
        <f>IF(H1226=1,IF(IFERROR(INDEX(coa_CF,MATCH(I1226,coa_Name,0)),"")="Cash",1,0),0)</f>
        <v/>
      </c>
      <c r="Q1226" s="101">
        <f>IF(H1226=1,IF(IFERROR(INDEX(coa_CF,MATCH(K1226,coa_Name,0)),"")="Cash",1,0),0)</f>
        <v/>
      </c>
      <c r="R1226" s="58">
        <f>IF((P1226-Q1226)=0,"",IFERROR(INDEX(coa_CF,MATCH(IF((P1226-Q1226)=1,K1226,I1226),coa_Name,0)),"Operating"))</f>
        <v/>
      </c>
      <c r="S1226" s="95">
        <f>IF((P1226-Q1226)=1,L1226,IF((P1226-Q1226)=-1,-J1226,0))</f>
        <v/>
      </c>
      <c r="T1226" s="95">
        <f>IF((P1226-Q1226)=1,N1226,IF((P1226-Q1226)=-1,-M1226,0))</f>
        <v/>
      </c>
      <c r="U1226" s="101">
        <f>IF(AND(H1226=1,LedAcct&lt;&gt;""),IF(AND(E1226&gt;=LedFrom,E1226&lt;=LedTo,OR(I1226=LedAcct,K1226=LedAcct,AND(LedAcct=acctTax,M1226+N1226&lt;&gt;0))),E1226*10000+B1226,""),"")</f>
        <v/>
      </c>
    </row>
    <row r="1227">
      <c r="B1227" s="101" t="n">
        <v>1221</v>
      </c>
      <c r="C1227" s="58" t="inlineStr">
        <is>
          <t>Transaction</t>
        </is>
      </c>
      <c r="D1227" s="58">
        <f>IF(H1227=1,INDEX(tx_ID,1221)&amp;"","")</f>
        <v/>
      </c>
      <c r="E1227" s="94">
        <f>IF(H1227=1,INDEX(tx_Date,1221),"")</f>
        <v/>
      </c>
      <c r="F1227" s="58">
        <f>IF(H1227=1,INDEX(tx_Desc,1221)&amp;"","")</f>
        <v/>
      </c>
      <c r="G1227" s="58">
        <f>IF(H1227=1,IF(INDEX(tx_Cust,1221)&amp;""&lt;&gt;"",INDEX(tx_Cust,1221)&amp;"",INDEX(tx_Vend,1221)&amp;""),"")</f>
        <v/>
      </c>
      <c r="H1227" s="101">
        <f>IFERROR(N(INDEX(tx_Posted,1221)),0)</f>
        <v/>
      </c>
      <c r="I1227" s="58">
        <f>IF(H1227=1,INDEX(tx_DrAcct,1221)&amp;"","")</f>
        <v/>
      </c>
      <c r="J1227" s="95">
        <f>IF(H1227=1,INDEX(tx_DrAmt,1221),0)</f>
        <v/>
      </c>
      <c r="K1227" s="58">
        <f>IF(H1227=1,INDEX(tx_CrAcct,1221)&amp;"","")</f>
        <v/>
      </c>
      <c r="L1227" s="95">
        <f>IF(H1227=1,INDEX(tx_CrAmt,1221),0)</f>
        <v/>
      </c>
      <c r="M1227" s="95">
        <f>IF(H1227=1,INDEX(tx_TaxDr,1221),0)</f>
        <v/>
      </c>
      <c r="N1227" s="95">
        <f>IF(H1227=1,INDEX(tx_TaxCr,1221),0)</f>
        <v/>
      </c>
      <c r="O1227" s="101">
        <f>IF(H1227=1,IF(E1227&lt;FYStart,0,IF(E1227&gt;FYEnd,13,YEAR(E1227)*12+MONTH(E1227)-FYYM+1)),"")</f>
        <v/>
      </c>
      <c r="P1227" s="101">
        <f>IF(H1227=1,IF(IFERROR(INDEX(coa_CF,MATCH(I1227,coa_Name,0)),"")="Cash",1,0),0)</f>
        <v/>
      </c>
      <c r="Q1227" s="101">
        <f>IF(H1227=1,IF(IFERROR(INDEX(coa_CF,MATCH(K1227,coa_Name,0)),"")="Cash",1,0),0)</f>
        <v/>
      </c>
      <c r="R1227" s="58">
        <f>IF((P1227-Q1227)=0,"",IFERROR(INDEX(coa_CF,MATCH(IF((P1227-Q1227)=1,K1227,I1227),coa_Name,0)),"Operating"))</f>
        <v/>
      </c>
      <c r="S1227" s="95">
        <f>IF((P1227-Q1227)=1,L1227,IF((P1227-Q1227)=-1,-J1227,0))</f>
        <v/>
      </c>
      <c r="T1227" s="95">
        <f>IF((P1227-Q1227)=1,N1227,IF((P1227-Q1227)=-1,-M1227,0))</f>
        <v/>
      </c>
      <c r="U1227" s="101">
        <f>IF(AND(H1227=1,LedAcct&lt;&gt;""),IF(AND(E1227&gt;=LedFrom,E1227&lt;=LedTo,OR(I1227=LedAcct,K1227=LedAcct,AND(LedAcct=acctTax,M1227+N1227&lt;&gt;0))),E1227*10000+B1227,""),"")</f>
        <v/>
      </c>
    </row>
    <row r="1228">
      <c r="B1228" s="101" t="n">
        <v>1222</v>
      </c>
      <c r="C1228" s="58" t="inlineStr">
        <is>
          <t>Transaction</t>
        </is>
      </c>
      <c r="D1228" s="58">
        <f>IF(H1228=1,INDEX(tx_ID,1222)&amp;"","")</f>
        <v/>
      </c>
      <c r="E1228" s="94">
        <f>IF(H1228=1,INDEX(tx_Date,1222),"")</f>
        <v/>
      </c>
      <c r="F1228" s="58">
        <f>IF(H1228=1,INDEX(tx_Desc,1222)&amp;"","")</f>
        <v/>
      </c>
      <c r="G1228" s="58">
        <f>IF(H1228=1,IF(INDEX(tx_Cust,1222)&amp;""&lt;&gt;"",INDEX(tx_Cust,1222)&amp;"",INDEX(tx_Vend,1222)&amp;""),"")</f>
        <v/>
      </c>
      <c r="H1228" s="101">
        <f>IFERROR(N(INDEX(tx_Posted,1222)),0)</f>
        <v/>
      </c>
      <c r="I1228" s="58">
        <f>IF(H1228=1,INDEX(tx_DrAcct,1222)&amp;"","")</f>
        <v/>
      </c>
      <c r="J1228" s="95">
        <f>IF(H1228=1,INDEX(tx_DrAmt,1222),0)</f>
        <v/>
      </c>
      <c r="K1228" s="58">
        <f>IF(H1228=1,INDEX(tx_CrAcct,1222)&amp;"","")</f>
        <v/>
      </c>
      <c r="L1228" s="95">
        <f>IF(H1228=1,INDEX(tx_CrAmt,1222),0)</f>
        <v/>
      </c>
      <c r="M1228" s="95">
        <f>IF(H1228=1,INDEX(tx_TaxDr,1222),0)</f>
        <v/>
      </c>
      <c r="N1228" s="95">
        <f>IF(H1228=1,INDEX(tx_TaxCr,1222),0)</f>
        <v/>
      </c>
      <c r="O1228" s="101">
        <f>IF(H1228=1,IF(E1228&lt;FYStart,0,IF(E1228&gt;FYEnd,13,YEAR(E1228)*12+MONTH(E1228)-FYYM+1)),"")</f>
        <v/>
      </c>
      <c r="P1228" s="101">
        <f>IF(H1228=1,IF(IFERROR(INDEX(coa_CF,MATCH(I1228,coa_Name,0)),"")="Cash",1,0),0)</f>
        <v/>
      </c>
      <c r="Q1228" s="101">
        <f>IF(H1228=1,IF(IFERROR(INDEX(coa_CF,MATCH(K1228,coa_Name,0)),"")="Cash",1,0),0)</f>
        <v/>
      </c>
      <c r="R1228" s="58">
        <f>IF((P1228-Q1228)=0,"",IFERROR(INDEX(coa_CF,MATCH(IF((P1228-Q1228)=1,K1228,I1228),coa_Name,0)),"Operating"))</f>
        <v/>
      </c>
      <c r="S1228" s="95">
        <f>IF((P1228-Q1228)=1,L1228,IF((P1228-Q1228)=-1,-J1228,0))</f>
        <v/>
      </c>
      <c r="T1228" s="95">
        <f>IF((P1228-Q1228)=1,N1228,IF((P1228-Q1228)=-1,-M1228,0))</f>
        <v/>
      </c>
      <c r="U1228" s="101">
        <f>IF(AND(H1228=1,LedAcct&lt;&gt;""),IF(AND(E1228&gt;=LedFrom,E1228&lt;=LedTo,OR(I1228=LedAcct,K1228=LedAcct,AND(LedAcct=acctTax,M1228+N1228&lt;&gt;0))),E1228*10000+B1228,""),"")</f>
        <v/>
      </c>
    </row>
    <row r="1229">
      <c r="B1229" s="101" t="n">
        <v>1223</v>
      </c>
      <c r="C1229" s="58" t="inlineStr">
        <is>
          <t>Transaction</t>
        </is>
      </c>
      <c r="D1229" s="58">
        <f>IF(H1229=1,INDEX(tx_ID,1223)&amp;"","")</f>
        <v/>
      </c>
      <c r="E1229" s="94">
        <f>IF(H1229=1,INDEX(tx_Date,1223),"")</f>
        <v/>
      </c>
      <c r="F1229" s="58">
        <f>IF(H1229=1,INDEX(tx_Desc,1223)&amp;"","")</f>
        <v/>
      </c>
      <c r="G1229" s="58">
        <f>IF(H1229=1,IF(INDEX(tx_Cust,1223)&amp;""&lt;&gt;"",INDEX(tx_Cust,1223)&amp;"",INDEX(tx_Vend,1223)&amp;""),"")</f>
        <v/>
      </c>
      <c r="H1229" s="101">
        <f>IFERROR(N(INDEX(tx_Posted,1223)),0)</f>
        <v/>
      </c>
      <c r="I1229" s="58">
        <f>IF(H1229=1,INDEX(tx_DrAcct,1223)&amp;"","")</f>
        <v/>
      </c>
      <c r="J1229" s="95">
        <f>IF(H1229=1,INDEX(tx_DrAmt,1223),0)</f>
        <v/>
      </c>
      <c r="K1229" s="58">
        <f>IF(H1229=1,INDEX(tx_CrAcct,1223)&amp;"","")</f>
        <v/>
      </c>
      <c r="L1229" s="95">
        <f>IF(H1229=1,INDEX(tx_CrAmt,1223),0)</f>
        <v/>
      </c>
      <c r="M1229" s="95">
        <f>IF(H1229=1,INDEX(tx_TaxDr,1223),0)</f>
        <v/>
      </c>
      <c r="N1229" s="95">
        <f>IF(H1229=1,INDEX(tx_TaxCr,1223),0)</f>
        <v/>
      </c>
      <c r="O1229" s="101">
        <f>IF(H1229=1,IF(E1229&lt;FYStart,0,IF(E1229&gt;FYEnd,13,YEAR(E1229)*12+MONTH(E1229)-FYYM+1)),"")</f>
        <v/>
      </c>
      <c r="P1229" s="101">
        <f>IF(H1229=1,IF(IFERROR(INDEX(coa_CF,MATCH(I1229,coa_Name,0)),"")="Cash",1,0),0)</f>
        <v/>
      </c>
      <c r="Q1229" s="101">
        <f>IF(H1229=1,IF(IFERROR(INDEX(coa_CF,MATCH(K1229,coa_Name,0)),"")="Cash",1,0),0)</f>
        <v/>
      </c>
      <c r="R1229" s="58">
        <f>IF((P1229-Q1229)=0,"",IFERROR(INDEX(coa_CF,MATCH(IF((P1229-Q1229)=1,K1229,I1229),coa_Name,0)),"Operating"))</f>
        <v/>
      </c>
      <c r="S1229" s="95">
        <f>IF((P1229-Q1229)=1,L1229,IF((P1229-Q1229)=-1,-J1229,0))</f>
        <v/>
      </c>
      <c r="T1229" s="95">
        <f>IF((P1229-Q1229)=1,N1229,IF((P1229-Q1229)=-1,-M1229,0))</f>
        <v/>
      </c>
      <c r="U1229" s="101">
        <f>IF(AND(H1229=1,LedAcct&lt;&gt;""),IF(AND(E1229&gt;=LedFrom,E1229&lt;=LedTo,OR(I1229=LedAcct,K1229=LedAcct,AND(LedAcct=acctTax,M1229+N1229&lt;&gt;0))),E1229*10000+B1229,""),"")</f>
        <v/>
      </c>
    </row>
    <row r="1230">
      <c r="B1230" s="101" t="n">
        <v>1224</v>
      </c>
      <c r="C1230" s="58" t="inlineStr">
        <is>
          <t>Transaction</t>
        </is>
      </c>
      <c r="D1230" s="58">
        <f>IF(H1230=1,INDEX(tx_ID,1224)&amp;"","")</f>
        <v/>
      </c>
      <c r="E1230" s="94">
        <f>IF(H1230=1,INDEX(tx_Date,1224),"")</f>
        <v/>
      </c>
      <c r="F1230" s="58">
        <f>IF(H1230=1,INDEX(tx_Desc,1224)&amp;"","")</f>
        <v/>
      </c>
      <c r="G1230" s="58">
        <f>IF(H1230=1,IF(INDEX(tx_Cust,1224)&amp;""&lt;&gt;"",INDEX(tx_Cust,1224)&amp;"",INDEX(tx_Vend,1224)&amp;""),"")</f>
        <v/>
      </c>
      <c r="H1230" s="101">
        <f>IFERROR(N(INDEX(tx_Posted,1224)),0)</f>
        <v/>
      </c>
      <c r="I1230" s="58">
        <f>IF(H1230=1,INDEX(tx_DrAcct,1224)&amp;"","")</f>
        <v/>
      </c>
      <c r="J1230" s="95">
        <f>IF(H1230=1,INDEX(tx_DrAmt,1224),0)</f>
        <v/>
      </c>
      <c r="K1230" s="58">
        <f>IF(H1230=1,INDEX(tx_CrAcct,1224)&amp;"","")</f>
        <v/>
      </c>
      <c r="L1230" s="95">
        <f>IF(H1230=1,INDEX(tx_CrAmt,1224),0)</f>
        <v/>
      </c>
      <c r="M1230" s="95">
        <f>IF(H1230=1,INDEX(tx_TaxDr,1224),0)</f>
        <v/>
      </c>
      <c r="N1230" s="95">
        <f>IF(H1230=1,INDEX(tx_TaxCr,1224),0)</f>
        <v/>
      </c>
      <c r="O1230" s="101">
        <f>IF(H1230=1,IF(E1230&lt;FYStart,0,IF(E1230&gt;FYEnd,13,YEAR(E1230)*12+MONTH(E1230)-FYYM+1)),"")</f>
        <v/>
      </c>
      <c r="P1230" s="101">
        <f>IF(H1230=1,IF(IFERROR(INDEX(coa_CF,MATCH(I1230,coa_Name,0)),"")="Cash",1,0),0)</f>
        <v/>
      </c>
      <c r="Q1230" s="101">
        <f>IF(H1230=1,IF(IFERROR(INDEX(coa_CF,MATCH(K1230,coa_Name,0)),"")="Cash",1,0),0)</f>
        <v/>
      </c>
      <c r="R1230" s="58">
        <f>IF((P1230-Q1230)=0,"",IFERROR(INDEX(coa_CF,MATCH(IF((P1230-Q1230)=1,K1230,I1230),coa_Name,0)),"Operating"))</f>
        <v/>
      </c>
      <c r="S1230" s="95">
        <f>IF((P1230-Q1230)=1,L1230,IF((P1230-Q1230)=-1,-J1230,0))</f>
        <v/>
      </c>
      <c r="T1230" s="95">
        <f>IF((P1230-Q1230)=1,N1230,IF((P1230-Q1230)=-1,-M1230,0))</f>
        <v/>
      </c>
      <c r="U1230" s="101">
        <f>IF(AND(H1230=1,LedAcct&lt;&gt;""),IF(AND(E1230&gt;=LedFrom,E1230&lt;=LedTo,OR(I1230=LedAcct,K1230=LedAcct,AND(LedAcct=acctTax,M1230+N1230&lt;&gt;0))),E1230*10000+B1230,""),"")</f>
        <v/>
      </c>
    </row>
    <row r="1231">
      <c r="B1231" s="101" t="n">
        <v>1225</v>
      </c>
      <c r="C1231" s="58" t="inlineStr">
        <is>
          <t>Transaction</t>
        </is>
      </c>
      <c r="D1231" s="58">
        <f>IF(H1231=1,INDEX(tx_ID,1225)&amp;"","")</f>
        <v/>
      </c>
      <c r="E1231" s="94">
        <f>IF(H1231=1,INDEX(tx_Date,1225),"")</f>
        <v/>
      </c>
      <c r="F1231" s="58">
        <f>IF(H1231=1,INDEX(tx_Desc,1225)&amp;"","")</f>
        <v/>
      </c>
      <c r="G1231" s="58">
        <f>IF(H1231=1,IF(INDEX(tx_Cust,1225)&amp;""&lt;&gt;"",INDEX(tx_Cust,1225)&amp;"",INDEX(tx_Vend,1225)&amp;""),"")</f>
        <v/>
      </c>
      <c r="H1231" s="101">
        <f>IFERROR(N(INDEX(tx_Posted,1225)),0)</f>
        <v/>
      </c>
      <c r="I1231" s="58">
        <f>IF(H1231=1,INDEX(tx_DrAcct,1225)&amp;"","")</f>
        <v/>
      </c>
      <c r="J1231" s="95">
        <f>IF(H1231=1,INDEX(tx_DrAmt,1225),0)</f>
        <v/>
      </c>
      <c r="K1231" s="58">
        <f>IF(H1231=1,INDEX(tx_CrAcct,1225)&amp;"","")</f>
        <v/>
      </c>
      <c r="L1231" s="95">
        <f>IF(H1231=1,INDEX(tx_CrAmt,1225),0)</f>
        <v/>
      </c>
      <c r="M1231" s="95">
        <f>IF(H1231=1,INDEX(tx_TaxDr,1225),0)</f>
        <v/>
      </c>
      <c r="N1231" s="95">
        <f>IF(H1231=1,INDEX(tx_TaxCr,1225),0)</f>
        <v/>
      </c>
      <c r="O1231" s="101">
        <f>IF(H1231=1,IF(E1231&lt;FYStart,0,IF(E1231&gt;FYEnd,13,YEAR(E1231)*12+MONTH(E1231)-FYYM+1)),"")</f>
        <v/>
      </c>
      <c r="P1231" s="101">
        <f>IF(H1231=1,IF(IFERROR(INDEX(coa_CF,MATCH(I1231,coa_Name,0)),"")="Cash",1,0),0)</f>
        <v/>
      </c>
      <c r="Q1231" s="101">
        <f>IF(H1231=1,IF(IFERROR(INDEX(coa_CF,MATCH(K1231,coa_Name,0)),"")="Cash",1,0),0)</f>
        <v/>
      </c>
      <c r="R1231" s="58">
        <f>IF((P1231-Q1231)=0,"",IFERROR(INDEX(coa_CF,MATCH(IF((P1231-Q1231)=1,K1231,I1231),coa_Name,0)),"Operating"))</f>
        <v/>
      </c>
      <c r="S1231" s="95">
        <f>IF((P1231-Q1231)=1,L1231,IF((P1231-Q1231)=-1,-J1231,0))</f>
        <v/>
      </c>
      <c r="T1231" s="95">
        <f>IF((P1231-Q1231)=1,N1231,IF((P1231-Q1231)=-1,-M1231,0))</f>
        <v/>
      </c>
      <c r="U1231" s="101">
        <f>IF(AND(H1231=1,LedAcct&lt;&gt;""),IF(AND(E1231&gt;=LedFrom,E1231&lt;=LedTo,OR(I1231=LedAcct,K1231=LedAcct,AND(LedAcct=acctTax,M1231+N1231&lt;&gt;0))),E1231*10000+B1231,""),"")</f>
        <v/>
      </c>
    </row>
    <row r="1232">
      <c r="B1232" s="101" t="n">
        <v>1226</v>
      </c>
      <c r="C1232" s="58" t="inlineStr">
        <is>
          <t>Transaction</t>
        </is>
      </c>
      <c r="D1232" s="58">
        <f>IF(H1232=1,INDEX(tx_ID,1226)&amp;"","")</f>
        <v/>
      </c>
      <c r="E1232" s="94">
        <f>IF(H1232=1,INDEX(tx_Date,1226),"")</f>
        <v/>
      </c>
      <c r="F1232" s="58">
        <f>IF(H1232=1,INDEX(tx_Desc,1226)&amp;"","")</f>
        <v/>
      </c>
      <c r="G1232" s="58">
        <f>IF(H1232=1,IF(INDEX(tx_Cust,1226)&amp;""&lt;&gt;"",INDEX(tx_Cust,1226)&amp;"",INDEX(tx_Vend,1226)&amp;""),"")</f>
        <v/>
      </c>
      <c r="H1232" s="101">
        <f>IFERROR(N(INDEX(tx_Posted,1226)),0)</f>
        <v/>
      </c>
      <c r="I1232" s="58">
        <f>IF(H1232=1,INDEX(tx_DrAcct,1226)&amp;"","")</f>
        <v/>
      </c>
      <c r="J1232" s="95">
        <f>IF(H1232=1,INDEX(tx_DrAmt,1226),0)</f>
        <v/>
      </c>
      <c r="K1232" s="58">
        <f>IF(H1232=1,INDEX(tx_CrAcct,1226)&amp;"","")</f>
        <v/>
      </c>
      <c r="L1232" s="95">
        <f>IF(H1232=1,INDEX(tx_CrAmt,1226),0)</f>
        <v/>
      </c>
      <c r="M1232" s="95">
        <f>IF(H1232=1,INDEX(tx_TaxDr,1226),0)</f>
        <v/>
      </c>
      <c r="N1232" s="95">
        <f>IF(H1232=1,INDEX(tx_TaxCr,1226),0)</f>
        <v/>
      </c>
      <c r="O1232" s="101">
        <f>IF(H1232=1,IF(E1232&lt;FYStart,0,IF(E1232&gt;FYEnd,13,YEAR(E1232)*12+MONTH(E1232)-FYYM+1)),"")</f>
        <v/>
      </c>
      <c r="P1232" s="101">
        <f>IF(H1232=1,IF(IFERROR(INDEX(coa_CF,MATCH(I1232,coa_Name,0)),"")="Cash",1,0),0)</f>
        <v/>
      </c>
      <c r="Q1232" s="101">
        <f>IF(H1232=1,IF(IFERROR(INDEX(coa_CF,MATCH(K1232,coa_Name,0)),"")="Cash",1,0),0)</f>
        <v/>
      </c>
      <c r="R1232" s="58">
        <f>IF((P1232-Q1232)=0,"",IFERROR(INDEX(coa_CF,MATCH(IF((P1232-Q1232)=1,K1232,I1232),coa_Name,0)),"Operating"))</f>
        <v/>
      </c>
      <c r="S1232" s="95">
        <f>IF((P1232-Q1232)=1,L1232,IF((P1232-Q1232)=-1,-J1232,0))</f>
        <v/>
      </c>
      <c r="T1232" s="95">
        <f>IF((P1232-Q1232)=1,N1232,IF((P1232-Q1232)=-1,-M1232,0))</f>
        <v/>
      </c>
      <c r="U1232" s="101">
        <f>IF(AND(H1232=1,LedAcct&lt;&gt;""),IF(AND(E1232&gt;=LedFrom,E1232&lt;=LedTo,OR(I1232=LedAcct,K1232=LedAcct,AND(LedAcct=acctTax,M1232+N1232&lt;&gt;0))),E1232*10000+B1232,""),"")</f>
        <v/>
      </c>
    </row>
    <row r="1233">
      <c r="B1233" s="101" t="n">
        <v>1227</v>
      </c>
      <c r="C1233" s="58" t="inlineStr">
        <is>
          <t>Transaction</t>
        </is>
      </c>
      <c r="D1233" s="58">
        <f>IF(H1233=1,INDEX(tx_ID,1227)&amp;"","")</f>
        <v/>
      </c>
      <c r="E1233" s="94">
        <f>IF(H1233=1,INDEX(tx_Date,1227),"")</f>
        <v/>
      </c>
      <c r="F1233" s="58">
        <f>IF(H1233=1,INDEX(tx_Desc,1227)&amp;"","")</f>
        <v/>
      </c>
      <c r="G1233" s="58">
        <f>IF(H1233=1,IF(INDEX(tx_Cust,1227)&amp;""&lt;&gt;"",INDEX(tx_Cust,1227)&amp;"",INDEX(tx_Vend,1227)&amp;""),"")</f>
        <v/>
      </c>
      <c r="H1233" s="101">
        <f>IFERROR(N(INDEX(tx_Posted,1227)),0)</f>
        <v/>
      </c>
      <c r="I1233" s="58">
        <f>IF(H1233=1,INDEX(tx_DrAcct,1227)&amp;"","")</f>
        <v/>
      </c>
      <c r="J1233" s="95">
        <f>IF(H1233=1,INDEX(tx_DrAmt,1227),0)</f>
        <v/>
      </c>
      <c r="K1233" s="58">
        <f>IF(H1233=1,INDEX(tx_CrAcct,1227)&amp;"","")</f>
        <v/>
      </c>
      <c r="L1233" s="95">
        <f>IF(H1233=1,INDEX(tx_CrAmt,1227),0)</f>
        <v/>
      </c>
      <c r="M1233" s="95">
        <f>IF(H1233=1,INDEX(tx_TaxDr,1227),0)</f>
        <v/>
      </c>
      <c r="N1233" s="95">
        <f>IF(H1233=1,INDEX(tx_TaxCr,1227),0)</f>
        <v/>
      </c>
      <c r="O1233" s="101">
        <f>IF(H1233=1,IF(E1233&lt;FYStart,0,IF(E1233&gt;FYEnd,13,YEAR(E1233)*12+MONTH(E1233)-FYYM+1)),"")</f>
        <v/>
      </c>
      <c r="P1233" s="101">
        <f>IF(H1233=1,IF(IFERROR(INDEX(coa_CF,MATCH(I1233,coa_Name,0)),"")="Cash",1,0),0)</f>
        <v/>
      </c>
      <c r="Q1233" s="101">
        <f>IF(H1233=1,IF(IFERROR(INDEX(coa_CF,MATCH(K1233,coa_Name,0)),"")="Cash",1,0),0)</f>
        <v/>
      </c>
      <c r="R1233" s="58">
        <f>IF((P1233-Q1233)=0,"",IFERROR(INDEX(coa_CF,MATCH(IF((P1233-Q1233)=1,K1233,I1233),coa_Name,0)),"Operating"))</f>
        <v/>
      </c>
      <c r="S1233" s="95">
        <f>IF((P1233-Q1233)=1,L1233,IF((P1233-Q1233)=-1,-J1233,0))</f>
        <v/>
      </c>
      <c r="T1233" s="95">
        <f>IF((P1233-Q1233)=1,N1233,IF((P1233-Q1233)=-1,-M1233,0))</f>
        <v/>
      </c>
      <c r="U1233" s="101">
        <f>IF(AND(H1233=1,LedAcct&lt;&gt;""),IF(AND(E1233&gt;=LedFrom,E1233&lt;=LedTo,OR(I1233=LedAcct,K1233=LedAcct,AND(LedAcct=acctTax,M1233+N1233&lt;&gt;0))),E1233*10000+B1233,""),"")</f>
        <v/>
      </c>
    </row>
    <row r="1234">
      <c r="B1234" s="101" t="n">
        <v>1228</v>
      </c>
      <c r="C1234" s="58" t="inlineStr">
        <is>
          <t>Transaction</t>
        </is>
      </c>
      <c r="D1234" s="58">
        <f>IF(H1234=1,INDEX(tx_ID,1228)&amp;"","")</f>
        <v/>
      </c>
      <c r="E1234" s="94">
        <f>IF(H1234=1,INDEX(tx_Date,1228),"")</f>
        <v/>
      </c>
      <c r="F1234" s="58">
        <f>IF(H1234=1,INDEX(tx_Desc,1228)&amp;"","")</f>
        <v/>
      </c>
      <c r="G1234" s="58">
        <f>IF(H1234=1,IF(INDEX(tx_Cust,1228)&amp;""&lt;&gt;"",INDEX(tx_Cust,1228)&amp;"",INDEX(tx_Vend,1228)&amp;""),"")</f>
        <v/>
      </c>
      <c r="H1234" s="101">
        <f>IFERROR(N(INDEX(tx_Posted,1228)),0)</f>
        <v/>
      </c>
      <c r="I1234" s="58">
        <f>IF(H1234=1,INDEX(tx_DrAcct,1228)&amp;"","")</f>
        <v/>
      </c>
      <c r="J1234" s="95">
        <f>IF(H1234=1,INDEX(tx_DrAmt,1228),0)</f>
        <v/>
      </c>
      <c r="K1234" s="58">
        <f>IF(H1234=1,INDEX(tx_CrAcct,1228)&amp;"","")</f>
        <v/>
      </c>
      <c r="L1234" s="95">
        <f>IF(H1234=1,INDEX(tx_CrAmt,1228),0)</f>
        <v/>
      </c>
      <c r="M1234" s="95">
        <f>IF(H1234=1,INDEX(tx_TaxDr,1228),0)</f>
        <v/>
      </c>
      <c r="N1234" s="95">
        <f>IF(H1234=1,INDEX(tx_TaxCr,1228),0)</f>
        <v/>
      </c>
      <c r="O1234" s="101">
        <f>IF(H1234=1,IF(E1234&lt;FYStart,0,IF(E1234&gt;FYEnd,13,YEAR(E1234)*12+MONTH(E1234)-FYYM+1)),"")</f>
        <v/>
      </c>
      <c r="P1234" s="101">
        <f>IF(H1234=1,IF(IFERROR(INDEX(coa_CF,MATCH(I1234,coa_Name,0)),"")="Cash",1,0),0)</f>
        <v/>
      </c>
      <c r="Q1234" s="101">
        <f>IF(H1234=1,IF(IFERROR(INDEX(coa_CF,MATCH(K1234,coa_Name,0)),"")="Cash",1,0),0)</f>
        <v/>
      </c>
      <c r="R1234" s="58">
        <f>IF((P1234-Q1234)=0,"",IFERROR(INDEX(coa_CF,MATCH(IF((P1234-Q1234)=1,K1234,I1234),coa_Name,0)),"Operating"))</f>
        <v/>
      </c>
      <c r="S1234" s="95">
        <f>IF((P1234-Q1234)=1,L1234,IF((P1234-Q1234)=-1,-J1234,0))</f>
        <v/>
      </c>
      <c r="T1234" s="95">
        <f>IF((P1234-Q1234)=1,N1234,IF((P1234-Q1234)=-1,-M1234,0))</f>
        <v/>
      </c>
      <c r="U1234" s="101">
        <f>IF(AND(H1234=1,LedAcct&lt;&gt;""),IF(AND(E1234&gt;=LedFrom,E1234&lt;=LedTo,OR(I1234=LedAcct,K1234=LedAcct,AND(LedAcct=acctTax,M1234+N1234&lt;&gt;0))),E1234*10000+B1234,""),"")</f>
        <v/>
      </c>
    </row>
    <row r="1235">
      <c r="B1235" s="101" t="n">
        <v>1229</v>
      </c>
      <c r="C1235" s="58" t="inlineStr">
        <is>
          <t>Transaction</t>
        </is>
      </c>
      <c r="D1235" s="58">
        <f>IF(H1235=1,INDEX(tx_ID,1229)&amp;"","")</f>
        <v/>
      </c>
      <c r="E1235" s="94">
        <f>IF(H1235=1,INDEX(tx_Date,1229),"")</f>
        <v/>
      </c>
      <c r="F1235" s="58">
        <f>IF(H1235=1,INDEX(tx_Desc,1229)&amp;"","")</f>
        <v/>
      </c>
      <c r="G1235" s="58">
        <f>IF(H1235=1,IF(INDEX(tx_Cust,1229)&amp;""&lt;&gt;"",INDEX(tx_Cust,1229)&amp;"",INDEX(tx_Vend,1229)&amp;""),"")</f>
        <v/>
      </c>
      <c r="H1235" s="101">
        <f>IFERROR(N(INDEX(tx_Posted,1229)),0)</f>
        <v/>
      </c>
      <c r="I1235" s="58">
        <f>IF(H1235=1,INDEX(tx_DrAcct,1229)&amp;"","")</f>
        <v/>
      </c>
      <c r="J1235" s="95">
        <f>IF(H1235=1,INDEX(tx_DrAmt,1229),0)</f>
        <v/>
      </c>
      <c r="K1235" s="58">
        <f>IF(H1235=1,INDEX(tx_CrAcct,1229)&amp;"","")</f>
        <v/>
      </c>
      <c r="L1235" s="95">
        <f>IF(H1235=1,INDEX(tx_CrAmt,1229),0)</f>
        <v/>
      </c>
      <c r="M1235" s="95">
        <f>IF(H1235=1,INDEX(tx_TaxDr,1229),0)</f>
        <v/>
      </c>
      <c r="N1235" s="95">
        <f>IF(H1235=1,INDEX(tx_TaxCr,1229),0)</f>
        <v/>
      </c>
      <c r="O1235" s="101">
        <f>IF(H1235=1,IF(E1235&lt;FYStart,0,IF(E1235&gt;FYEnd,13,YEAR(E1235)*12+MONTH(E1235)-FYYM+1)),"")</f>
        <v/>
      </c>
      <c r="P1235" s="101">
        <f>IF(H1235=1,IF(IFERROR(INDEX(coa_CF,MATCH(I1235,coa_Name,0)),"")="Cash",1,0),0)</f>
        <v/>
      </c>
      <c r="Q1235" s="101">
        <f>IF(H1235=1,IF(IFERROR(INDEX(coa_CF,MATCH(K1235,coa_Name,0)),"")="Cash",1,0),0)</f>
        <v/>
      </c>
      <c r="R1235" s="58">
        <f>IF((P1235-Q1235)=0,"",IFERROR(INDEX(coa_CF,MATCH(IF((P1235-Q1235)=1,K1235,I1235),coa_Name,0)),"Operating"))</f>
        <v/>
      </c>
      <c r="S1235" s="95">
        <f>IF((P1235-Q1235)=1,L1235,IF((P1235-Q1235)=-1,-J1235,0))</f>
        <v/>
      </c>
      <c r="T1235" s="95">
        <f>IF((P1235-Q1235)=1,N1235,IF((P1235-Q1235)=-1,-M1235,0))</f>
        <v/>
      </c>
      <c r="U1235" s="101">
        <f>IF(AND(H1235=1,LedAcct&lt;&gt;""),IF(AND(E1235&gt;=LedFrom,E1235&lt;=LedTo,OR(I1235=LedAcct,K1235=LedAcct,AND(LedAcct=acctTax,M1235+N1235&lt;&gt;0))),E1235*10000+B1235,""),"")</f>
        <v/>
      </c>
    </row>
    <row r="1236">
      <c r="B1236" s="101" t="n">
        <v>1230</v>
      </c>
      <c r="C1236" s="58" t="inlineStr">
        <is>
          <t>Transaction</t>
        </is>
      </c>
      <c r="D1236" s="58">
        <f>IF(H1236=1,INDEX(tx_ID,1230)&amp;"","")</f>
        <v/>
      </c>
      <c r="E1236" s="94">
        <f>IF(H1236=1,INDEX(tx_Date,1230),"")</f>
        <v/>
      </c>
      <c r="F1236" s="58">
        <f>IF(H1236=1,INDEX(tx_Desc,1230)&amp;"","")</f>
        <v/>
      </c>
      <c r="G1236" s="58">
        <f>IF(H1236=1,IF(INDEX(tx_Cust,1230)&amp;""&lt;&gt;"",INDEX(tx_Cust,1230)&amp;"",INDEX(tx_Vend,1230)&amp;""),"")</f>
        <v/>
      </c>
      <c r="H1236" s="101">
        <f>IFERROR(N(INDEX(tx_Posted,1230)),0)</f>
        <v/>
      </c>
      <c r="I1236" s="58">
        <f>IF(H1236=1,INDEX(tx_DrAcct,1230)&amp;"","")</f>
        <v/>
      </c>
      <c r="J1236" s="95">
        <f>IF(H1236=1,INDEX(tx_DrAmt,1230),0)</f>
        <v/>
      </c>
      <c r="K1236" s="58">
        <f>IF(H1236=1,INDEX(tx_CrAcct,1230)&amp;"","")</f>
        <v/>
      </c>
      <c r="L1236" s="95">
        <f>IF(H1236=1,INDEX(tx_CrAmt,1230),0)</f>
        <v/>
      </c>
      <c r="M1236" s="95">
        <f>IF(H1236=1,INDEX(tx_TaxDr,1230),0)</f>
        <v/>
      </c>
      <c r="N1236" s="95">
        <f>IF(H1236=1,INDEX(tx_TaxCr,1230),0)</f>
        <v/>
      </c>
      <c r="O1236" s="101">
        <f>IF(H1236=1,IF(E1236&lt;FYStart,0,IF(E1236&gt;FYEnd,13,YEAR(E1236)*12+MONTH(E1236)-FYYM+1)),"")</f>
        <v/>
      </c>
      <c r="P1236" s="101">
        <f>IF(H1236=1,IF(IFERROR(INDEX(coa_CF,MATCH(I1236,coa_Name,0)),"")="Cash",1,0),0)</f>
        <v/>
      </c>
      <c r="Q1236" s="101">
        <f>IF(H1236=1,IF(IFERROR(INDEX(coa_CF,MATCH(K1236,coa_Name,0)),"")="Cash",1,0),0)</f>
        <v/>
      </c>
      <c r="R1236" s="58">
        <f>IF((P1236-Q1236)=0,"",IFERROR(INDEX(coa_CF,MATCH(IF((P1236-Q1236)=1,K1236,I1236),coa_Name,0)),"Operating"))</f>
        <v/>
      </c>
      <c r="S1236" s="95">
        <f>IF((P1236-Q1236)=1,L1236,IF((P1236-Q1236)=-1,-J1236,0))</f>
        <v/>
      </c>
      <c r="T1236" s="95">
        <f>IF((P1236-Q1236)=1,N1236,IF((P1236-Q1236)=-1,-M1236,0))</f>
        <v/>
      </c>
      <c r="U1236" s="101">
        <f>IF(AND(H1236=1,LedAcct&lt;&gt;""),IF(AND(E1236&gt;=LedFrom,E1236&lt;=LedTo,OR(I1236=LedAcct,K1236=LedAcct,AND(LedAcct=acctTax,M1236+N1236&lt;&gt;0))),E1236*10000+B1236,""),"")</f>
        <v/>
      </c>
    </row>
    <row r="1237">
      <c r="B1237" s="101" t="n">
        <v>1231</v>
      </c>
      <c r="C1237" s="58" t="inlineStr">
        <is>
          <t>Transaction</t>
        </is>
      </c>
      <c r="D1237" s="58">
        <f>IF(H1237=1,INDEX(tx_ID,1231)&amp;"","")</f>
        <v/>
      </c>
      <c r="E1237" s="94">
        <f>IF(H1237=1,INDEX(tx_Date,1231),"")</f>
        <v/>
      </c>
      <c r="F1237" s="58">
        <f>IF(H1237=1,INDEX(tx_Desc,1231)&amp;"","")</f>
        <v/>
      </c>
      <c r="G1237" s="58">
        <f>IF(H1237=1,IF(INDEX(tx_Cust,1231)&amp;""&lt;&gt;"",INDEX(tx_Cust,1231)&amp;"",INDEX(tx_Vend,1231)&amp;""),"")</f>
        <v/>
      </c>
      <c r="H1237" s="101">
        <f>IFERROR(N(INDEX(tx_Posted,1231)),0)</f>
        <v/>
      </c>
      <c r="I1237" s="58">
        <f>IF(H1237=1,INDEX(tx_DrAcct,1231)&amp;"","")</f>
        <v/>
      </c>
      <c r="J1237" s="95">
        <f>IF(H1237=1,INDEX(tx_DrAmt,1231),0)</f>
        <v/>
      </c>
      <c r="K1237" s="58">
        <f>IF(H1237=1,INDEX(tx_CrAcct,1231)&amp;"","")</f>
        <v/>
      </c>
      <c r="L1237" s="95">
        <f>IF(H1237=1,INDEX(tx_CrAmt,1231),0)</f>
        <v/>
      </c>
      <c r="M1237" s="95">
        <f>IF(H1237=1,INDEX(tx_TaxDr,1231),0)</f>
        <v/>
      </c>
      <c r="N1237" s="95">
        <f>IF(H1237=1,INDEX(tx_TaxCr,1231),0)</f>
        <v/>
      </c>
      <c r="O1237" s="101">
        <f>IF(H1237=1,IF(E1237&lt;FYStart,0,IF(E1237&gt;FYEnd,13,YEAR(E1237)*12+MONTH(E1237)-FYYM+1)),"")</f>
        <v/>
      </c>
      <c r="P1237" s="101">
        <f>IF(H1237=1,IF(IFERROR(INDEX(coa_CF,MATCH(I1237,coa_Name,0)),"")="Cash",1,0),0)</f>
        <v/>
      </c>
      <c r="Q1237" s="101">
        <f>IF(H1237=1,IF(IFERROR(INDEX(coa_CF,MATCH(K1237,coa_Name,0)),"")="Cash",1,0),0)</f>
        <v/>
      </c>
      <c r="R1237" s="58">
        <f>IF((P1237-Q1237)=0,"",IFERROR(INDEX(coa_CF,MATCH(IF((P1237-Q1237)=1,K1237,I1237),coa_Name,0)),"Operating"))</f>
        <v/>
      </c>
      <c r="S1237" s="95">
        <f>IF((P1237-Q1237)=1,L1237,IF((P1237-Q1237)=-1,-J1237,0))</f>
        <v/>
      </c>
      <c r="T1237" s="95">
        <f>IF((P1237-Q1237)=1,N1237,IF((P1237-Q1237)=-1,-M1237,0))</f>
        <v/>
      </c>
      <c r="U1237" s="101">
        <f>IF(AND(H1237=1,LedAcct&lt;&gt;""),IF(AND(E1237&gt;=LedFrom,E1237&lt;=LedTo,OR(I1237=LedAcct,K1237=LedAcct,AND(LedAcct=acctTax,M1237+N1237&lt;&gt;0))),E1237*10000+B1237,""),"")</f>
        <v/>
      </c>
    </row>
    <row r="1238">
      <c r="B1238" s="101" t="n">
        <v>1232</v>
      </c>
      <c r="C1238" s="58" t="inlineStr">
        <is>
          <t>Transaction</t>
        </is>
      </c>
      <c r="D1238" s="58">
        <f>IF(H1238=1,INDEX(tx_ID,1232)&amp;"","")</f>
        <v/>
      </c>
      <c r="E1238" s="94">
        <f>IF(H1238=1,INDEX(tx_Date,1232),"")</f>
        <v/>
      </c>
      <c r="F1238" s="58">
        <f>IF(H1238=1,INDEX(tx_Desc,1232)&amp;"","")</f>
        <v/>
      </c>
      <c r="G1238" s="58">
        <f>IF(H1238=1,IF(INDEX(tx_Cust,1232)&amp;""&lt;&gt;"",INDEX(tx_Cust,1232)&amp;"",INDEX(tx_Vend,1232)&amp;""),"")</f>
        <v/>
      </c>
      <c r="H1238" s="101">
        <f>IFERROR(N(INDEX(tx_Posted,1232)),0)</f>
        <v/>
      </c>
      <c r="I1238" s="58">
        <f>IF(H1238=1,INDEX(tx_DrAcct,1232)&amp;"","")</f>
        <v/>
      </c>
      <c r="J1238" s="95">
        <f>IF(H1238=1,INDEX(tx_DrAmt,1232),0)</f>
        <v/>
      </c>
      <c r="K1238" s="58">
        <f>IF(H1238=1,INDEX(tx_CrAcct,1232)&amp;"","")</f>
        <v/>
      </c>
      <c r="L1238" s="95">
        <f>IF(H1238=1,INDEX(tx_CrAmt,1232),0)</f>
        <v/>
      </c>
      <c r="M1238" s="95">
        <f>IF(H1238=1,INDEX(tx_TaxDr,1232),0)</f>
        <v/>
      </c>
      <c r="N1238" s="95">
        <f>IF(H1238=1,INDEX(tx_TaxCr,1232),0)</f>
        <v/>
      </c>
      <c r="O1238" s="101">
        <f>IF(H1238=1,IF(E1238&lt;FYStart,0,IF(E1238&gt;FYEnd,13,YEAR(E1238)*12+MONTH(E1238)-FYYM+1)),"")</f>
        <v/>
      </c>
      <c r="P1238" s="101">
        <f>IF(H1238=1,IF(IFERROR(INDEX(coa_CF,MATCH(I1238,coa_Name,0)),"")="Cash",1,0),0)</f>
        <v/>
      </c>
      <c r="Q1238" s="101">
        <f>IF(H1238=1,IF(IFERROR(INDEX(coa_CF,MATCH(K1238,coa_Name,0)),"")="Cash",1,0),0)</f>
        <v/>
      </c>
      <c r="R1238" s="58">
        <f>IF((P1238-Q1238)=0,"",IFERROR(INDEX(coa_CF,MATCH(IF((P1238-Q1238)=1,K1238,I1238),coa_Name,0)),"Operating"))</f>
        <v/>
      </c>
      <c r="S1238" s="95">
        <f>IF((P1238-Q1238)=1,L1238,IF((P1238-Q1238)=-1,-J1238,0))</f>
        <v/>
      </c>
      <c r="T1238" s="95">
        <f>IF((P1238-Q1238)=1,N1238,IF((P1238-Q1238)=-1,-M1238,0))</f>
        <v/>
      </c>
      <c r="U1238" s="101">
        <f>IF(AND(H1238=1,LedAcct&lt;&gt;""),IF(AND(E1238&gt;=LedFrom,E1238&lt;=LedTo,OR(I1238=LedAcct,K1238=LedAcct,AND(LedAcct=acctTax,M1238+N1238&lt;&gt;0))),E1238*10000+B1238,""),"")</f>
        <v/>
      </c>
    </row>
    <row r="1239">
      <c r="B1239" s="101" t="n">
        <v>1233</v>
      </c>
      <c r="C1239" s="58" t="inlineStr">
        <is>
          <t>Transaction</t>
        </is>
      </c>
      <c r="D1239" s="58">
        <f>IF(H1239=1,INDEX(tx_ID,1233)&amp;"","")</f>
        <v/>
      </c>
      <c r="E1239" s="94">
        <f>IF(H1239=1,INDEX(tx_Date,1233),"")</f>
        <v/>
      </c>
      <c r="F1239" s="58">
        <f>IF(H1239=1,INDEX(tx_Desc,1233)&amp;"","")</f>
        <v/>
      </c>
      <c r="G1239" s="58">
        <f>IF(H1239=1,IF(INDEX(tx_Cust,1233)&amp;""&lt;&gt;"",INDEX(tx_Cust,1233)&amp;"",INDEX(tx_Vend,1233)&amp;""),"")</f>
        <v/>
      </c>
      <c r="H1239" s="101">
        <f>IFERROR(N(INDEX(tx_Posted,1233)),0)</f>
        <v/>
      </c>
      <c r="I1239" s="58">
        <f>IF(H1239=1,INDEX(tx_DrAcct,1233)&amp;"","")</f>
        <v/>
      </c>
      <c r="J1239" s="95">
        <f>IF(H1239=1,INDEX(tx_DrAmt,1233),0)</f>
        <v/>
      </c>
      <c r="K1239" s="58">
        <f>IF(H1239=1,INDEX(tx_CrAcct,1233)&amp;"","")</f>
        <v/>
      </c>
      <c r="L1239" s="95">
        <f>IF(H1239=1,INDEX(tx_CrAmt,1233),0)</f>
        <v/>
      </c>
      <c r="M1239" s="95">
        <f>IF(H1239=1,INDEX(tx_TaxDr,1233),0)</f>
        <v/>
      </c>
      <c r="N1239" s="95">
        <f>IF(H1239=1,INDEX(tx_TaxCr,1233),0)</f>
        <v/>
      </c>
      <c r="O1239" s="101">
        <f>IF(H1239=1,IF(E1239&lt;FYStart,0,IF(E1239&gt;FYEnd,13,YEAR(E1239)*12+MONTH(E1239)-FYYM+1)),"")</f>
        <v/>
      </c>
      <c r="P1239" s="101">
        <f>IF(H1239=1,IF(IFERROR(INDEX(coa_CF,MATCH(I1239,coa_Name,0)),"")="Cash",1,0),0)</f>
        <v/>
      </c>
      <c r="Q1239" s="101">
        <f>IF(H1239=1,IF(IFERROR(INDEX(coa_CF,MATCH(K1239,coa_Name,0)),"")="Cash",1,0),0)</f>
        <v/>
      </c>
      <c r="R1239" s="58">
        <f>IF((P1239-Q1239)=0,"",IFERROR(INDEX(coa_CF,MATCH(IF((P1239-Q1239)=1,K1239,I1239),coa_Name,0)),"Operating"))</f>
        <v/>
      </c>
      <c r="S1239" s="95">
        <f>IF((P1239-Q1239)=1,L1239,IF((P1239-Q1239)=-1,-J1239,0))</f>
        <v/>
      </c>
      <c r="T1239" s="95">
        <f>IF((P1239-Q1239)=1,N1239,IF((P1239-Q1239)=-1,-M1239,0))</f>
        <v/>
      </c>
      <c r="U1239" s="101">
        <f>IF(AND(H1239=1,LedAcct&lt;&gt;""),IF(AND(E1239&gt;=LedFrom,E1239&lt;=LedTo,OR(I1239=LedAcct,K1239=LedAcct,AND(LedAcct=acctTax,M1239+N1239&lt;&gt;0))),E1239*10000+B1239,""),"")</f>
        <v/>
      </c>
    </row>
    <row r="1240">
      <c r="B1240" s="101" t="n">
        <v>1234</v>
      </c>
      <c r="C1240" s="58" t="inlineStr">
        <is>
          <t>Transaction</t>
        </is>
      </c>
      <c r="D1240" s="58">
        <f>IF(H1240=1,INDEX(tx_ID,1234)&amp;"","")</f>
        <v/>
      </c>
      <c r="E1240" s="94">
        <f>IF(H1240=1,INDEX(tx_Date,1234),"")</f>
        <v/>
      </c>
      <c r="F1240" s="58">
        <f>IF(H1240=1,INDEX(tx_Desc,1234)&amp;"","")</f>
        <v/>
      </c>
      <c r="G1240" s="58">
        <f>IF(H1240=1,IF(INDEX(tx_Cust,1234)&amp;""&lt;&gt;"",INDEX(tx_Cust,1234)&amp;"",INDEX(tx_Vend,1234)&amp;""),"")</f>
        <v/>
      </c>
      <c r="H1240" s="101">
        <f>IFERROR(N(INDEX(tx_Posted,1234)),0)</f>
        <v/>
      </c>
      <c r="I1240" s="58">
        <f>IF(H1240=1,INDEX(tx_DrAcct,1234)&amp;"","")</f>
        <v/>
      </c>
      <c r="J1240" s="95">
        <f>IF(H1240=1,INDEX(tx_DrAmt,1234),0)</f>
        <v/>
      </c>
      <c r="K1240" s="58">
        <f>IF(H1240=1,INDEX(tx_CrAcct,1234)&amp;"","")</f>
        <v/>
      </c>
      <c r="L1240" s="95">
        <f>IF(H1240=1,INDEX(tx_CrAmt,1234),0)</f>
        <v/>
      </c>
      <c r="M1240" s="95">
        <f>IF(H1240=1,INDEX(tx_TaxDr,1234),0)</f>
        <v/>
      </c>
      <c r="N1240" s="95">
        <f>IF(H1240=1,INDEX(tx_TaxCr,1234),0)</f>
        <v/>
      </c>
      <c r="O1240" s="101">
        <f>IF(H1240=1,IF(E1240&lt;FYStart,0,IF(E1240&gt;FYEnd,13,YEAR(E1240)*12+MONTH(E1240)-FYYM+1)),"")</f>
        <v/>
      </c>
      <c r="P1240" s="101">
        <f>IF(H1240=1,IF(IFERROR(INDEX(coa_CF,MATCH(I1240,coa_Name,0)),"")="Cash",1,0),0)</f>
        <v/>
      </c>
      <c r="Q1240" s="101">
        <f>IF(H1240=1,IF(IFERROR(INDEX(coa_CF,MATCH(K1240,coa_Name,0)),"")="Cash",1,0),0)</f>
        <v/>
      </c>
      <c r="R1240" s="58">
        <f>IF((P1240-Q1240)=0,"",IFERROR(INDEX(coa_CF,MATCH(IF((P1240-Q1240)=1,K1240,I1240),coa_Name,0)),"Operating"))</f>
        <v/>
      </c>
      <c r="S1240" s="95">
        <f>IF((P1240-Q1240)=1,L1240,IF((P1240-Q1240)=-1,-J1240,0))</f>
        <v/>
      </c>
      <c r="T1240" s="95">
        <f>IF((P1240-Q1240)=1,N1240,IF((P1240-Q1240)=-1,-M1240,0))</f>
        <v/>
      </c>
      <c r="U1240" s="101">
        <f>IF(AND(H1240=1,LedAcct&lt;&gt;""),IF(AND(E1240&gt;=LedFrom,E1240&lt;=LedTo,OR(I1240=LedAcct,K1240=LedAcct,AND(LedAcct=acctTax,M1240+N1240&lt;&gt;0))),E1240*10000+B1240,""),"")</f>
        <v/>
      </c>
    </row>
    <row r="1241">
      <c r="B1241" s="101" t="n">
        <v>1235</v>
      </c>
      <c r="C1241" s="58" t="inlineStr">
        <is>
          <t>Transaction</t>
        </is>
      </c>
      <c r="D1241" s="58">
        <f>IF(H1241=1,INDEX(tx_ID,1235)&amp;"","")</f>
        <v/>
      </c>
      <c r="E1241" s="94">
        <f>IF(H1241=1,INDEX(tx_Date,1235),"")</f>
        <v/>
      </c>
      <c r="F1241" s="58">
        <f>IF(H1241=1,INDEX(tx_Desc,1235)&amp;"","")</f>
        <v/>
      </c>
      <c r="G1241" s="58">
        <f>IF(H1241=1,IF(INDEX(tx_Cust,1235)&amp;""&lt;&gt;"",INDEX(tx_Cust,1235)&amp;"",INDEX(tx_Vend,1235)&amp;""),"")</f>
        <v/>
      </c>
      <c r="H1241" s="101">
        <f>IFERROR(N(INDEX(tx_Posted,1235)),0)</f>
        <v/>
      </c>
      <c r="I1241" s="58">
        <f>IF(H1241=1,INDEX(tx_DrAcct,1235)&amp;"","")</f>
        <v/>
      </c>
      <c r="J1241" s="95">
        <f>IF(H1241=1,INDEX(tx_DrAmt,1235),0)</f>
        <v/>
      </c>
      <c r="K1241" s="58">
        <f>IF(H1241=1,INDEX(tx_CrAcct,1235)&amp;"","")</f>
        <v/>
      </c>
      <c r="L1241" s="95">
        <f>IF(H1241=1,INDEX(tx_CrAmt,1235),0)</f>
        <v/>
      </c>
      <c r="M1241" s="95">
        <f>IF(H1241=1,INDEX(tx_TaxDr,1235),0)</f>
        <v/>
      </c>
      <c r="N1241" s="95">
        <f>IF(H1241=1,INDEX(tx_TaxCr,1235),0)</f>
        <v/>
      </c>
      <c r="O1241" s="101">
        <f>IF(H1241=1,IF(E1241&lt;FYStart,0,IF(E1241&gt;FYEnd,13,YEAR(E1241)*12+MONTH(E1241)-FYYM+1)),"")</f>
        <v/>
      </c>
      <c r="P1241" s="101">
        <f>IF(H1241=1,IF(IFERROR(INDEX(coa_CF,MATCH(I1241,coa_Name,0)),"")="Cash",1,0),0)</f>
        <v/>
      </c>
      <c r="Q1241" s="101">
        <f>IF(H1241=1,IF(IFERROR(INDEX(coa_CF,MATCH(K1241,coa_Name,0)),"")="Cash",1,0),0)</f>
        <v/>
      </c>
      <c r="R1241" s="58">
        <f>IF((P1241-Q1241)=0,"",IFERROR(INDEX(coa_CF,MATCH(IF((P1241-Q1241)=1,K1241,I1241),coa_Name,0)),"Operating"))</f>
        <v/>
      </c>
      <c r="S1241" s="95">
        <f>IF((P1241-Q1241)=1,L1241,IF((P1241-Q1241)=-1,-J1241,0))</f>
        <v/>
      </c>
      <c r="T1241" s="95">
        <f>IF((P1241-Q1241)=1,N1241,IF((P1241-Q1241)=-1,-M1241,0))</f>
        <v/>
      </c>
      <c r="U1241" s="101">
        <f>IF(AND(H1241=1,LedAcct&lt;&gt;""),IF(AND(E1241&gt;=LedFrom,E1241&lt;=LedTo,OR(I1241=LedAcct,K1241=LedAcct,AND(LedAcct=acctTax,M1241+N1241&lt;&gt;0))),E1241*10000+B1241,""),"")</f>
        <v/>
      </c>
    </row>
    <row r="1242">
      <c r="B1242" s="101" t="n">
        <v>1236</v>
      </c>
      <c r="C1242" s="58" t="inlineStr">
        <is>
          <t>Transaction</t>
        </is>
      </c>
      <c r="D1242" s="58">
        <f>IF(H1242=1,INDEX(tx_ID,1236)&amp;"","")</f>
        <v/>
      </c>
      <c r="E1242" s="94">
        <f>IF(H1242=1,INDEX(tx_Date,1236),"")</f>
        <v/>
      </c>
      <c r="F1242" s="58">
        <f>IF(H1242=1,INDEX(tx_Desc,1236)&amp;"","")</f>
        <v/>
      </c>
      <c r="G1242" s="58">
        <f>IF(H1242=1,IF(INDEX(tx_Cust,1236)&amp;""&lt;&gt;"",INDEX(tx_Cust,1236)&amp;"",INDEX(tx_Vend,1236)&amp;""),"")</f>
        <v/>
      </c>
      <c r="H1242" s="101">
        <f>IFERROR(N(INDEX(tx_Posted,1236)),0)</f>
        <v/>
      </c>
      <c r="I1242" s="58">
        <f>IF(H1242=1,INDEX(tx_DrAcct,1236)&amp;"","")</f>
        <v/>
      </c>
      <c r="J1242" s="95">
        <f>IF(H1242=1,INDEX(tx_DrAmt,1236),0)</f>
        <v/>
      </c>
      <c r="K1242" s="58">
        <f>IF(H1242=1,INDEX(tx_CrAcct,1236)&amp;"","")</f>
        <v/>
      </c>
      <c r="L1242" s="95">
        <f>IF(H1242=1,INDEX(tx_CrAmt,1236),0)</f>
        <v/>
      </c>
      <c r="M1242" s="95">
        <f>IF(H1242=1,INDEX(tx_TaxDr,1236),0)</f>
        <v/>
      </c>
      <c r="N1242" s="95">
        <f>IF(H1242=1,INDEX(tx_TaxCr,1236),0)</f>
        <v/>
      </c>
      <c r="O1242" s="101">
        <f>IF(H1242=1,IF(E1242&lt;FYStart,0,IF(E1242&gt;FYEnd,13,YEAR(E1242)*12+MONTH(E1242)-FYYM+1)),"")</f>
        <v/>
      </c>
      <c r="P1242" s="101">
        <f>IF(H1242=1,IF(IFERROR(INDEX(coa_CF,MATCH(I1242,coa_Name,0)),"")="Cash",1,0),0)</f>
        <v/>
      </c>
      <c r="Q1242" s="101">
        <f>IF(H1242=1,IF(IFERROR(INDEX(coa_CF,MATCH(K1242,coa_Name,0)),"")="Cash",1,0),0)</f>
        <v/>
      </c>
      <c r="R1242" s="58">
        <f>IF((P1242-Q1242)=0,"",IFERROR(INDEX(coa_CF,MATCH(IF((P1242-Q1242)=1,K1242,I1242),coa_Name,0)),"Operating"))</f>
        <v/>
      </c>
      <c r="S1242" s="95">
        <f>IF((P1242-Q1242)=1,L1242,IF((P1242-Q1242)=-1,-J1242,0))</f>
        <v/>
      </c>
      <c r="T1242" s="95">
        <f>IF((P1242-Q1242)=1,N1242,IF((P1242-Q1242)=-1,-M1242,0))</f>
        <v/>
      </c>
      <c r="U1242" s="101">
        <f>IF(AND(H1242=1,LedAcct&lt;&gt;""),IF(AND(E1242&gt;=LedFrom,E1242&lt;=LedTo,OR(I1242=LedAcct,K1242=LedAcct,AND(LedAcct=acctTax,M1242+N1242&lt;&gt;0))),E1242*10000+B1242,""),"")</f>
        <v/>
      </c>
    </row>
    <row r="1243">
      <c r="B1243" s="101" t="n">
        <v>1237</v>
      </c>
      <c r="C1243" s="58" t="inlineStr">
        <is>
          <t>Transaction</t>
        </is>
      </c>
      <c r="D1243" s="58">
        <f>IF(H1243=1,INDEX(tx_ID,1237)&amp;"","")</f>
        <v/>
      </c>
      <c r="E1243" s="94">
        <f>IF(H1243=1,INDEX(tx_Date,1237),"")</f>
        <v/>
      </c>
      <c r="F1243" s="58">
        <f>IF(H1243=1,INDEX(tx_Desc,1237)&amp;"","")</f>
        <v/>
      </c>
      <c r="G1243" s="58">
        <f>IF(H1243=1,IF(INDEX(tx_Cust,1237)&amp;""&lt;&gt;"",INDEX(tx_Cust,1237)&amp;"",INDEX(tx_Vend,1237)&amp;""),"")</f>
        <v/>
      </c>
      <c r="H1243" s="101">
        <f>IFERROR(N(INDEX(tx_Posted,1237)),0)</f>
        <v/>
      </c>
      <c r="I1243" s="58">
        <f>IF(H1243=1,INDEX(tx_DrAcct,1237)&amp;"","")</f>
        <v/>
      </c>
      <c r="J1243" s="95">
        <f>IF(H1243=1,INDEX(tx_DrAmt,1237),0)</f>
        <v/>
      </c>
      <c r="K1243" s="58">
        <f>IF(H1243=1,INDEX(tx_CrAcct,1237)&amp;"","")</f>
        <v/>
      </c>
      <c r="L1243" s="95">
        <f>IF(H1243=1,INDEX(tx_CrAmt,1237),0)</f>
        <v/>
      </c>
      <c r="M1243" s="95">
        <f>IF(H1243=1,INDEX(tx_TaxDr,1237),0)</f>
        <v/>
      </c>
      <c r="N1243" s="95">
        <f>IF(H1243=1,INDEX(tx_TaxCr,1237),0)</f>
        <v/>
      </c>
      <c r="O1243" s="101">
        <f>IF(H1243=1,IF(E1243&lt;FYStart,0,IF(E1243&gt;FYEnd,13,YEAR(E1243)*12+MONTH(E1243)-FYYM+1)),"")</f>
        <v/>
      </c>
      <c r="P1243" s="101">
        <f>IF(H1243=1,IF(IFERROR(INDEX(coa_CF,MATCH(I1243,coa_Name,0)),"")="Cash",1,0),0)</f>
        <v/>
      </c>
      <c r="Q1243" s="101">
        <f>IF(H1243=1,IF(IFERROR(INDEX(coa_CF,MATCH(K1243,coa_Name,0)),"")="Cash",1,0),0)</f>
        <v/>
      </c>
      <c r="R1243" s="58">
        <f>IF((P1243-Q1243)=0,"",IFERROR(INDEX(coa_CF,MATCH(IF((P1243-Q1243)=1,K1243,I1243),coa_Name,0)),"Operating"))</f>
        <v/>
      </c>
      <c r="S1243" s="95">
        <f>IF((P1243-Q1243)=1,L1243,IF((P1243-Q1243)=-1,-J1243,0))</f>
        <v/>
      </c>
      <c r="T1243" s="95">
        <f>IF((P1243-Q1243)=1,N1243,IF((P1243-Q1243)=-1,-M1243,0))</f>
        <v/>
      </c>
      <c r="U1243" s="101">
        <f>IF(AND(H1243=1,LedAcct&lt;&gt;""),IF(AND(E1243&gt;=LedFrom,E1243&lt;=LedTo,OR(I1243=LedAcct,K1243=LedAcct,AND(LedAcct=acctTax,M1243+N1243&lt;&gt;0))),E1243*10000+B1243,""),"")</f>
        <v/>
      </c>
    </row>
    <row r="1244">
      <c r="B1244" s="101" t="n">
        <v>1238</v>
      </c>
      <c r="C1244" s="58" t="inlineStr">
        <is>
          <t>Transaction</t>
        </is>
      </c>
      <c r="D1244" s="58">
        <f>IF(H1244=1,INDEX(tx_ID,1238)&amp;"","")</f>
        <v/>
      </c>
      <c r="E1244" s="94">
        <f>IF(H1244=1,INDEX(tx_Date,1238),"")</f>
        <v/>
      </c>
      <c r="F1244" s="58">
        <f>IF(H1244=1,INDEX(tx_Desc,1238)&amp;"","")</f>
        <v/>
      </c>
      <c r="G1244" s="58">
        <f>IF(H1244=1,IF(INDEX(tx_Cust,1238)&amp;""&lt;&gt;"",INDEX(tx_Cust,1238)&amp;"",INDEX(tx_Vend,1238)&amp;""),"")</f>
        <v/>
      </c>
      <c r="H1244" s="101">
        <f>IFERROR(N(INDEX(tx_Posted,1238)),0)</f>
        <v/>
      </c>
      <c r="I1244" s="58">
        <f>IF(H1244=1,INDEX(tx_DrAcct,1238)&amp;"","")</f>
        <v/>
      </c>
      <c r="J1244" s="95">
        <f>IF(H1244=1,INDEX(tx_DrAmt,1238),0)</f>
        <v/>
      </c>
      <c r="K1244" s="58">
        <f>IF(H1244=1,INDEX(tx_CrAcct,1238)&amp;"","")</f>
        <v/>
      </c>
      <c r="L1244" s="95">
        <f>IF(H1244=1,INDEX(tx_CrAmt,1238),0)</f>
        <v/>
      </c>
      <c r="M1244" s="95">
        <f>IF(H1244=1,INDEX(tx_TaxDr,1238),0)</f>
        <v/>
      </c>
      <c r="N1244" s="95">
        <f>IF(H1244=1,INDEX(tx_TaxCr,1238),0)</f>
        <v/>
      </c>
      <c r="O1244" s="101">
        <f>IF(H1244=1,IF(E1244&lt;FYStart,0,IF(E1244&gt;FYEnd,13,YEAR(E1244)*12+MONTH(E1244)-FYYM+1)),"")</f>
        <v/>
      </c>
      <c r="P1244" s="101">
        <f>IF(H1244=1,IF(IFERROR(INDEX(coa_CF,MATCH(I1244,coa_Name,0)),"")="Cash",1,0),0)</f>
        <v/>
      </c>
      <c r="Q1244" s="101">
        <f>IF(H1244=1,IF(IFERROR(INDEX(coa_CF,MATCH(K1244,coa_Name,0)),"")="Cash",1,0),0)</f>
        <v/>
      </c>
      <c r="R1244" s="58">
        <f>IF((P1244-Q1244)=0,"",IFERROR(INDEX(coa_CF,MATCH(IF((P1244-Q1244)=1,K1244,I1244),coa_Name,0)),"Operating"))</f>
        <v/>
      </c>
      <c r="S1244" s="95">
        <f>IF((P1244-Q1244)=1,L1244,IF((P1244-Q1244)=-1,-J1244,0))</f>
        <v/>
      </c>
      <c r="T1244" s="95">
        <f>IF((P1244-Q1244)=1,N1244,IF((P1244-Q1244)=-1,-M1244,0))</f>
        <v/>
      </c>
      <c r="U1244" s="101">
        <f>IF(AND(H1244=1,LedAcct&lt;&gt;""),IF(AND(E1244&gt;=LedFrom,E1244&lt;=LedTo,OR(I1244=LedAcct,K1244=LedAcct,AND(LedAcct=acctTax,M1244+N1244&lt;&gt;0))),E1244*10000+B1244,""),"")</f>
        <v/>
      </c>
    </row>
    <row r="1245">
      <c r="B1245" s="101" t="n">
        <v>1239</v>
      </c>
      <c r="C1245" s="58" t="inlineStr">
        <is>
          <t>Transaction</t>
        </is>
      </c>
      <c r="D1245" s="58">
        <f>IF(H1245=1,INDEX(tx_ID,1239)&amp;"","")</f>
        <v/>
      </c>
      <c r="E1245" s="94">
        <f>IF(H1245=1,INDEX(tx_Date,1239),"")</f>
        <v/>
      </c>
      <c r="F1245" s="58">
        <f>IF(H1245=1,INDEX(tx_Desc,1239)&amp;"","")</f>
        <v/>
      </c>
      <c r="G1245" s="58">
        <f>IF(H1245=1,IF(INDEX(tx_Cust,1239)&amp;""&lt;&gt;"",INDEX(tx_Cust,1239)&amp;"",INDEX(tx_Vend,1239)&amp;""),"")</f>
        <v/>
      </c>
      <c r="H1245" s="101">
        <f>IFERROR(N(INDEX(tx_Posted,1239)),0)</f>
        <v/>
      </c>
      <c r="I1245" s="58">
        <f>IF(H1245=1,INDEX(tx_DrAcct,1239)&amp;"","")</f>
        <v/>
      </c>
      <c r="J1245" s="95">
        <f>IF(H1245=1,INDEX(tx_DrAmt,1239),0)</f>
        <v/>
      </c>
      <c r="K1245" s="58">
        <f>IF(H1245=1,INDEX(tx_CrAcct,1239)&amp;"","")</f>
        <v/>
      </c>
      <c r="L1245" s="95">
        <f>IF(H1245=1,INDEX(tx_CrAmt,1239),0)</f>
        <v/>
      </c>
      <c r="M1245" s="95">
        <f>IF(H1245=1,INDEX(tx_TaxDr,1239),0)</f>
        <v/>
      </c>
      <c r="N1245" s="95">
        <f>IF(H1245=1,INDEX(tx_TaxCr,1239),0)</f>
        <v/>
      </c>
      <c r="O1245" s="101">
        <f>IF(H1245=1,IF(E1245&lt;FYStart,0,IF(E1245&gt;FYEnd,13,YEAR(E1245)*12+MONTH(E1245)-FYYM+1)),"")</f>
        <v/>
      </c>
      <c r="P1245" s="101">
        <f>IF(H1245=1,IF(IFERROR(INDEX(coa_CF,MATCH(I1245,coa_Name,0)),"")="Cash",1,0),0)</f>
        <v/>
      </c>
      <c r="Q1245" s="101">
        <f>IF(H1245=1,IF(IFERROR(INDEX(coa_CF,MATCH(K1245,coa_Name,0)),"")="Cash",1,0),0)</f>
        <v/>
      </c>
      <c r="R1245" s="58">
        <f>IF((P1245-Q1245)=0,"",IFERROR(INDEX(coa_CF,MATCH(IF((P1245-Q1245)=1,K1245,I1245),coa_Name,0)),"Operating"))</f>
        <v/>
      </c>
      <c r="S1245" s="95">
        <f>IF((P1245-Q1245)=1,L1245,IF((P1245-Q1245)=-1,-J1245,0))</f>
        <v/>
      </c>
      <c r="T1245" s="95">
        <f>IF((P1245-Q1245)=1,N1245,IF((P1245-Q1245)=-1,-M1245,0))</f>
        <v/>
      </c>
      <c r="U1245" s="101">
        <f>IF(AND(H1245=1,LedAcct&lt;&gt;""),IF(AND(E1245&gt;=LedFrom,E1245&lt;=LedTo,OR(I1245=LedAcct,K1245=LedAcct,AND(LedAcct=acctTax,M1245+N1245&lt;&gt;0))),E1245*10000+B1245,""),"")</f>
        <v/>
      </c>
    </row>
    <row r="1246">
      <c r="B1246" s="101" t="n">
        <v>1240</v>
      </c>
      <c r="C1246" s="58" t="inlineStr">
        <is>
          <t>Transaction</t>
        </is>
      </c>
      <c r="D1246" s="58">
        <f>IF(H1246=1,INDEX(tx_ID,1240)&amp;"","")</f>
        <v/>
      </c>
      <c r="E1246" s="94">
        <f>IF(H1246=1,INDEX(tx_Date,1240),"")</f>
        <v/>
      </c>
      <c r="F1246" s="58">
        <f>IF(H1246=1,INDEX(tx_Desc,1240)&amp;"","")</f>
        <v/>
      </c>
      <c r="G1246" s="58">
        <f>IF(H1246=1,IF(INDEX(tx_Cust,1240)&amp;""&lt;&gt;"",INDEX(tx_Cust,1240)&amp;"",INDEX(tx_Vend,1240)&amp;""),"")</f>
        <v/>
      </c>
      <c r="H1246" s="101">
        <f>IFERROR(N(INDEX(tx_Posted,1240)),0)</f>
        <v/>
      </c>
      <c r="I1246" s="58">
        <f>IF(H1246=1,INDEX(tx_DrAcct,1240)&amp;"","")</f>
        <v/>
      </c>
      <c r="J1246" s="95">
        <f>IF(H1246=1,INDEX(tx_DrAmt,1240),0)</f>
        <v/>
      </c>
      <c r="K1246" s="58">
        <f>IF(H1246=1,INDEX(tx_CrAcct,1240)&amp;"","")</f>
        <v/>
      </c>
      <c r="L1246" s="95">
        <f>IF(H1246=1,INDEX(tx_CrAmt,1240),0)</f>
        <v/>
      </c>
      <c r="M1246" s="95">
        <f>IF(H1246=1,INDEX(tx_TaxDr,1240),0)</f>
        <v/>
      </c>
      <c r="N1246" s="95">
        <f>IF(H1246=1,INDEX(tx_TaxCr,1240),0)</f>
        <v/>
      </c>
      <c r="O1246" s="101">
        <f>IF(H1246=1,IF(E1246&lt;FYStart,0,IF(E1246&gt;FYEnd,13,YEAR(E1246)*12+MONTH(E1246)-FYYM+1)),"")</f>
        <v/>
      </c>
      <c r="P1246" s="101">
        <f>IF(H1246=1,IF(IFERROR(INDEX(coa_CF,MATCH(I1246,coa_Name,0)),"")="Cash",1,0),0)</f>
        <v/>
      </c>
      <c r="Q1246" s="101">
        <f>IF(H1246=1,IF(IFERROR(INDEX(coa_CF,MATCH(K1246,coa_Name,0)),"")="Cash",1,0),0)</f>
        <v/>
      </c>
      <c r="R1246" s="58">
        <f>IF((P1246-Q1246)=0,"",IFERROR(INDEX(coa_CF,MATCH(IF((P1246-Q1246)=1,K1246,I1246),coa_Name,0)),"Operating"))</f>
        <v/>
      </c>
      <c r="S1246" s="95">
        <f>IF((P1246-Q1246)=1,L1246,IF((P1246-Q1246)=-1,-J1246,0))</f>
        <v/>
      </c>
      <c r="T1246" s="95">
        <f>IF((P1246-Q1246)=1,N1246,IF((P1246-Q1246)=-1,-M1246,0))</f>
        <v/>
      </c>
      <c r="U1246" s="101">
        <f>IF(AND(H1246=1,LedAcct&lt;&gt;""),IF(AND(E1246&gt;=LedFrom,E1246&lt;=LedTo,OR(I1246=LedAcct,K1246=LedAcct,AND(LedAcct=acctTax,M1246+N1246&lt;&gt;0))),E1246*10000+B1246,""),"")</f>
        <v/>
      </c>
    </row>
    <row r="1247">
      <c r="B1247" s="101" t="n">
        <v>1241</v>
      </c>
      <c r="C1247" s="58" t="inlineStr">
        <is>
          <t>Transaction</t>
        </is>
      </c>
      <c r="D1247" s="58">
        <f>IF(H1247=1,INDEX(tx_ID,1241)&amp;"","")</f>
        <v/>
      </c>
      <c r="E1247" s="94">
        <f>IF(H1247=1,INDEX(tx_Date,1241),"")</f>
        <v/>
      </c>
      <c r="F1247" s="58">
        <f>IF(H1247=1,INDEX(tx_Desc,1241)&amp;"","")</f>
        <v/>
      </c>
      <c r="G1247" s="58">
        <f>IF(H1247=1,IF(INDEX(tx_Cust,1241)&amp;""&lt;&gt;"",INDEX(tx_Cust,1241)&amp;"",INDEX(tx_Vend,1241)&amp;""),"")</f>
        <v/>
      </c>
      <c r="H1247" s="101">
        <f>IFERROR(N(INDEX(tx_Posted,1241)),0)</f>
        <v/>
      </c>
      <c r="I1247" s="58">
        <f>IF(H1247=1,INDEX(tx_DrAcct,1241)&amp;"","")</f>
        <v/>
      </c>
      <c r="J1247" s="95">
        <f>IF(H1247=1,INDEX(tx_DrAmt,1241),0)</f>
        <v/>
      </c>
      <c r="K1247" s="58">
        <f>IF(H1247=1,INDEX(tx_CrAcct,1241)&amp;"","")</f>
        <v/>
      </c>
      <c r="L1247" s="95">
        <f>IF(H1247=1,INDEX(tx_CrAmt,1241),0)</f>
        <v/>
      </c>
      <c r="M1247" s="95">
        <f>IF(H1247=1,INDEX(tx_TaxDr,1241),0)</f>
        <v/>
      </c>
      <c r="N1247" s="95">
        <f>IF(H1247=1,INDEX(tx_TaxCr,1241),0)</f>
        <v/>
      </c>
      <c r="O1247" s="101">
        <f>IF(H1247=1,IF(E1247&lt;FYStart,0,IF(E1247&gt;FYEnd,13,YEAR(E1247)*12+MONTH(E1247)-FYYM+1)),"")</f>
        <v/>
      </c>
      <c r="P1247" s="101">
        <f>IF(H1247=1,IF(IFERROR(INDEX(coa_CF,MATCH(I1247,coa_Name,0)),"")="Cash",1,0),0)</f>
        <v/>
      </c>
      <c r="Q1247" s="101">
        <f>IF(H1247=1,IF(IFERROR(INDEX(coa_CF,MATCH(K1247,coa_Name,0)),"")="Cash",1,0),0)</f>
        <v/>
      </c>
      <c r="R1247" s="58">
        <f>IF((P1247-Q1247)=0,"",IFERROR(INDEX(coa_CF,MATCH(IF((P1247-Q1247)=1,K1247,I1247),coa_Name,0)),"Operating"))</f>
        <v/>
      </c>
      <c r="S1247" s="95">
        <f>IF((P1247-Q1247)=1,L1247,IF((P1247-Q1247)=-1,-J1247,0))</f>
        <v/>
      </c>
      <c r="T1247" s="95">
        <f>IF((P1247-Q1247)=1,N1247,IF((P1247-Q1247)=-1,-M1247,0))</f>
        <v/>
      </c>
      <c r="U1247" s="101">
        <f>IF(AND(H1247=1,LedAcct&lt;&gt;""),IF(AND(E1247&gt;=LedFrom,E1247&lt;=LedTo,OR(I1247=LedAcct,K1247=LedAcct,AND(LedAcct=acctTax,M1247+N1247&lt;&gt;0))),E1247*10000+B1247,""),"")</f>
        <v/>
      </c>
    </row>
    <row r="1248">
      <c r="B1248" s="101" t="n">
        <v>1242</v>
      </c>
      <c r="C1248" s="58" t="inlineStr">
        <is>
          <t>Transaction</t>
        </is>
      </c>
      <c r="D1248" s="58">
        <f>IF(H1248=1,INDEX(tx_ID,1242)&amp;"","")</f>
        <v/>
      </c>
      <c r="E1248" s="94">
        <f>IF(H1248=1,INDEX(tx_Date,1242),"")</f>
        <v/>
      </c>
      <c r="F1248" s="58">
        <f>IF(H1248=1,INDEX(tx_Desc,1242)&amp;"","")</f>
        <v/>
      </c>
      <c r="G1248" s="58">
        <f>IF(H1248=1,IF(INDEX(tx_Cust,1242)&amp;""&lt;&gt;"",INDEX(tx_Cust,1242)&amp;"",INDEX(tx_Vend,1242)&amp;""),"")</f>
        <v/>
      </c>
      <c r="H1248" s="101">
        <f>IFERROR(N(INDEX(tx_Posted,1242)),0)</f>
        <v/>
      </c>
      <c r="I1248" s="58">
        <f>IF(H1248=1,INDEX(tx_DrAcct,1242)&amp;"","")</f>
        <v/>
      </c>
      <c r="J1248" s="95">
        <f>IF(H1248=1,INDEX(tx_DrAmt,1242),0)</f>
        <v/>
      </c>
      <c r="K1248" s="58">
        <f>IF(H1248=1,INDEX(tx_CrAcct,1242)&amp;"","")</f>
        <v/>
      </c>
      <c r="L1248" s="95">
        <f>IF(H1248=1,INDEX(tx_CrAmt,1242),0)</f>
        <v/>
      </c>
      <c r="M1248" s="95">
        <f>IF(H1248=1,INDEX(tx_TaxDr,1242),0)</f>
        <v/>
      </c>
      <c r="N1248" s="95">
        <f>IF(H1248=1,INDEX(tx_TaxCr,1242),0)</f>
        <v/>
      </c>
      <c r="O1248" s="101">
        <f>IF(H1248=1,IF(E1248&lt;FYStart,0,IF(E1248&gt;FYEnd,13,YEAR(E1248)*12+MONTH(E1248)-FYYM+1)),"")</f>
        <v/>
      </c>
      <c r="P1248" s="101">
        <f>IF(H1248=1,IF(IFERROR(INDEX(coa_CF,MATCH(I1248,coa_Name,0)),"")="Cash",1,0),0)</f>
        <v/>
      </c>
      <c r="Q1248" s="101">
        <f>IF(H1248=1,IF(IFERROR(INDEX(coa_CF,MATCH(K1248,coa_Name,0)),"")="Cash",1,0),0)</f>
        <v/>
      </c>
      <c r="R1248" s="58">
        <f>IF((P1248-Q1248)=0,"",IFERROR(INDEX(coa_CF,MATCH(IF((P1248-Q1248)=1,K1248,I1248),coa_Name,0)),"Operating"))</f>
        <v/>
      </c>
      <c r="S1248" s="95">
        <f>IF((P1248-Q1248)=1,L1248,IF((P1248-Q1248)=-1,-J1248,0))</f>
        <v/>
      </c>
      <c r="T1248" s="95">
        <f>IF((P1248-Q1248)=1,N1248,IF((P1248-Q1248)=-1,-M1248,0))</f>
        <v/>
      </c>
      <c r="U1248" s="101">
        <f>IF(AND(H1248=1,LedAcct&lt;&gt;""),IF(AND(E1248&gt;=LedFrom,E1248&lt;=LedTo,OR(I1248=LedAcct,K1248=LedAcct,AND(LedAcct=acctTax,M1248+N1248&lt;&gt;0))),E1248*10000+B1248,""),"")</f>
        <v/>
      </c>
    </row>
    <row r="1249">
      <c r="B1249" s="101" t="n">
        <v>1243</v>
      </c>
      <c r="C1249" s="58" t="inlineStr">
        <is>
          <t>Transaction</t>
        </is>
      </c>
      <c r="D1249" s="58">
        <f>IF(H1249=1,INDEX(tx_ID,1243)&amp;"","")</f>
        <v/>
      </c>
      <c r="E1249" s="94">
        <f>IF(H1249=1,INDEX(tx_Date,1243),"")</f>
        <v/>
      </c>
      <c r="F1249" s="58">
        <f>IF(H1249=1,INDEX(tx_Desc,1243)&amp;"","")</f>
        <v/>
      </c>
      <c r="G1249" s="58">
        <f>IF(H1249=1,IF(INDEX(tx_Cust,1243)&amp;""&lt;&gt;"",INDEX(tx_Cust,1243)&amp;"",INDEX(tx_Vend,1243)&amp;""),"")</f>
        <v/>
      </c>
      <c r="H1249" s="101">
        <f>IFERROR(N(INDEX(tx_Posted,1243)),0)</f>
        <v/>
      </c>
      <c r="I1249" s="58">
        <f>IF(H1249=1,INDEX(tx_DrAcct,1243)&amp;"","")</f>
        <v/>
      </c>
      <c r="J1249" s="95">
        <f>IF(H1249=1,INDEX(tx_DrAmt,1243),0)</f>
        <v/>
      </c>
      <c r="K1249" s="58">
        <f>IF(H1249=1,INDEX(tx_CrAcct,1243)&amp;"","")</f>
        <v/>
      </c>
      <c r="L1249" s="95">
        <f>IF(H1249=1,INDEX(tx_CrAmt,1243),0)</f>
        <v/>
      </c>
      <c r="M1249" s="95">
        <f>IF(H1249=1,INDEX(tx_TaxDr,1243),0)</f>
        <v/>
      </c>
      <c r="N1249" s="95">
        <f>IF(H1249=1,INDEX(tx_TaxCr,1243),0)</f>
        <v/>
      </c>
      <c r="O1249" s="101">
        <f>IF(H1249=1,IF(E1249&lt;FYStart,0,IF(E1249&gt;FYEnd,13,YEAR(E1249)*12+MONTH(E1249)-FYYM+1)),"")</f>
        <v/>
      </c>
      <c r="P1249" s="101">
        <f>IF(H1249=1,IF(IFERROR(INDEX(coa_CF,MATCH(I1249,coa_Name,0)),"")="Cash",1,0),0)</f>
        <v/>
      </c>
      <c r="Q1249" s="101">
        <f>IF(H1249=1,IF(IFERROR(INDEX(coa_CF,MATCH(K1249,coa_Name,0)),"")="Cash",1,0),0)</f>
        <v/>
      </c>
      <c r="R1249" s="58">
        <f>IF((P1249-Q1249)=0,"",IFERROR(INDEX(coa_CF,MATCH(IF((P1249-Q1249)=1,K1249,I1249),coa_Name,0)),"Operating"))</f>
        <v/>
      </c>
      <c r="S1249" s="95">
        <f>IF((P1249-Q1249)=1,L1249,IF((P1249-Q1249)=-1,-J1249,0))</f>
        <v/>
      </c>
      <c r="T1249" s="95">
        <f>IF((P1249-Q1249)=1,N1249,IF((P1249-Q1249)=-1,-M1249,0))</f>
        <v/>
      </c>
      <c r="U1249" s="101">
        <f>IF(AND(H1249=1,LedAcct&lt;&gt;""),IF(AND(E1249&gt;=LedFrom,E1249&lt;=LedTo,OR(I1249=LedAcct,K1249=LedAcct,AND(LedAcct=acctTax,M1249+N1249&lt;&gt;0))),E1249*10000+B1249,""),"")</f>
        <v/>
      </c>
    </row>
    <row r="1250">
      <c r="B1250" s="101" t="n">
        <v>1244</v>
      </c>
      <c r="C1250" s="58" t="inlineStr">
        <is>
          <t>Transaction</t>
        </is>
      </c>
      <c r="D1250" s="58">
        <f>IF(H1250=1,INDEX(tx_ID,1244)&amp;"","")</f>
        <v/>
      </c>
      <c r="E1250" s="94">
        <f>IF(H1250=1,INDEX(tx_Date,1244),"")</f>
        <v/>
      </c>
      <c r="F1250" s="58">
        <f>IF(H1250=1,INDEX(tx_Desc,1244)&amp;"","")</f>
        <v/>
      </c>
      <c r="G1250" s="58">
        <f>IF(H1250=1,IF(INDEX(tx_Cust,1244)&amp;""&lt;&gt;"",INDEX(tx_Cust,1244)&amp;"",INDEX(tx_Vend,1244)&amp;""),"")</f>
        <v/>
      </c>
      <c r="H1250" s="101">
        <f>IFERROR(N(INDEX(tx_Posted,1244)),0)</f>
        <v/>
      </c>
      <c r="I1250" s="58">
        <f>IF(H1250=1,INDEX(tx_DrAcct,1244)&amp;"","")</f>
        <v/>
      </c>
      <c r="J1250" s="95">
        <f>IF(H1250=1,INDEX(tx_DrAmt,1244),0)</f>
        <v/>
      </c>
      <c r="K1250" s="58">
        <f>IF(H1250=1,INDEX(tx_CrAcct,1244)&amp;"","")</f>
        <v/>
      </c>
      <c r="L1250" s="95">
        <f>IF(H1250=1,INDEX(tx_CrAmt,1244),0)</f>
        <v/>
      </c>
      <c r="M1250" s="95">
        <f>IF(H1250=1,INDEX(tx_TaxDr,1244),0)</f>
        <v/>
      </c>
      <c r="N1250" s="95">
        <f>IF(H1250=1,INDEX(tx_TaxCr,1244),0)</f>
        <v/>
      </c>
      <c r="O1250" s="101">
        <f>IF(H1250=1,IF(E1250&lt;FYStart,0,IF(E1250&gt;FYEnd,13,YEAR(E1250)*12+MONTH(E1250)-FYYM+1)),"")</f>
        <v/>
      </c>
      <c r="P1250" s="101">
        <f>IF(H1250=1,IF(IFERROR(INDEX(coa_CF,MATCH(I1250,coa_Name,0)),"")="Cash",1,0),0)</f>
        <v/>
      </c>
      <c r="Q1250" s="101">
        <f>IF(H1250=1,IF(IFERROR(INDEX(coa_CF,MATCH(K1250,coa_Name,0)),"")="Cash",1,0),0)</f>
        <v/>
      </c>
      <c r="R1250" s="58">
        <f>IF((P1250-Q1250)=0,"",IFERROR(INDEX(coa_CF,MATCH(IF((P1250-Q1250)=1,K1250,I1250),coa_Name,0)),"Operating"))</f>
        <v/>
      </c>
      <c r="S1250" s="95">
        <f>IF((P1250-Q1250)=1,L1250,IF((P1250-Q1250)=-1,-J1250,0))</f>
        <v/>
      </c>
      <c r="T1250" s="95">
        <f>IF((P1250-Q1250)=1,N1250,IF((P1250-Q1250)=-1,-M1250,0))</f>
        <v/>
      </c>
      <c r="U1250" s="101">
        <f>IF(AND(H1250=1,LedAcct&lt;&gt;""),IF(AND(E1250&gt;=LedFrom,E1250&lt;=LedTo,OR(I1250=LedAcct,K1250=LedAcct,AND(LedAcct=acctTax,M1250+N1250&lt;&gt;0))),E1250*10000+B1250,""),"")</f>
        <v/>
      </c>
    </row>
    <row r="1251">
      <c r="B1251" s="101" t="n">
        <v>1245</v>
      </c>
      <c r="C1251" s="58" t="inlineStr">
        <is>
          <t>Transaction</t>
        </is>
      </c>
      <c r="D1251" s="58">
        <f>IF(H1251=1,INDEX(tx_ID,1245)&amp;"","")</f>
        <v/>
      </c>
      <c r="E1251" s="94">
        <f>IF(H1251=1,INDEX(tx_Date,1245),"")</f>
        <v/>
      </c>
      <c r="F1251" s="58">
        <f>IF(H1251=1,INDEX(tx_Desc,1245)&amp;"","")</f>
        <v/>
      </c>
      <c r="G1251" s="58">
        <f>IF(H1251=1,IF(INDEX(tx_Cust,1245)&amp;""&lt;&gt;"",INDEX(tx_Cust,1245)&amp;"",INDEX(tx_Vend,1245)&amp;""),"")</f>
        <v/>
      </c>
      <c r="H1251" s="101">
        <f>IFERROR(N(INDEX(tx_Posted,1245)),0)</f>
        <v/>
      </c>
      <c r="I1251" s="58">
        <f>IF(H1251=1,INDEX(tx_DrAcct,1245)&amp;"","")</f>
        <v/>
      </c>
      <c r="J1251" s="95">
        <f>IF(H1251=1,INDEX(tx_DrAmt,1245),0)</f>
        <v/>
      </c>
      <c r="K1251" s="58">
        <f>IF(H1251=1,INDEX(tx_CrAcct,1245)&amp;"","")</f>
        <v/>
      </c>
      <c r="L1251" s="95">
        <f>IF(H1251=1,INDEX(tx_CrAmt,1245),0)</f>
        <v/>
      </c>
      <c r="M1251" s="95">
        <f>IF(H1251=1,INDEX(tx_TaxDr,1245),0)</f>
        <v/>
      </c>
      <c r="N1251" s="95">
        <f>IF(H1251=1,INDEX(tx_TaxCr,1245),0)</f>
        <v/>
      </c>
      <c r="O1251" s="101">
        <f>IF(H1251=1,IF(E1251&lt;FYStart,0,IF(E1251&gt;FYEnd,13,YEAR(E1251)*12+MONTH(E1251)-FYYM+1)),"")</f>
        <v/>
      </c>
      <c r="P1251" s="101">
        <f>IF(H1251=1,IF(IFERROR(INDEX(coa_CF,MATCH(I1251,coa_Name,0)),"")="Cash",1,0),0)</f>
        <v/>
      </c>
      <c r="Q1251" s="101">
        <f>IF(H1251=1,IF(IFERROR(INDEX(coa_CF,MATCH(K1251,coa_Name,0)),"")="Cash",1,0),0)</f>
        <v/>
      </c>
      <c r="R1251" s="58">
        <f>IF((P1251-Q1251)=0,"",IFERROR(INDEX(coa_CF,MATCH(IF((P1251-Q1251)=1,K1251,I1251),coa_Name,0)),"Operating"))</f>
        <v/>
      </c>
      <c r="S1251" s="95">
        <f>IF((P1251-Q1251)=1,L1251,IF((P1251-Q1251)=-1,-J1251,0))</f>
        <v/>
      </c>
      <c r="T1251" s="95">
        <f>IF((P1251-Q1251)=1,N1251,IF((P1251-Q1251)=-1,-M1251,0))</f>
        <v/>
      </c>
      <c r="U1251" s="101">
        <f>IF(AND(H1251=1,LedAcct&lt;&gt;""),IF(AND(E1251&gt;=LedFrom,E1251&lt;=LedTo,OR(I1251=LedAcct,K1251=LedAcct,AND(LedAcct=acctTax,M1251+N1251&lt;&gt;0))),E1251*10000+B1251,""),"")</f>
        <v/>
      </c>
    </row>
    <row r="1252">
      <c r="B1252" s="101" t="n">
        <v>1246</v>
      </c>
      <c r="C1252" s="58" t="inlineStr">
        <is>
          <t>Transaction</t>
        </is>
      </c>
      <c r="D1252" s="58">
        <f>IF(H1252=1,INDEX(tx_ID,1246)&amp;"","")</f>
        <v/>
      </c>
      <c r="E1252" s="94">
        <f>IF(H1252=1,INDEX(tx_Date,1246),"")</f>
        <v/>
      </c>
      <c r="F1252" s="58">
        <f>IF(H1252=1,INDEX(tx_Desc,1246)&amp;"","")</f>
        <v/>
      </c>
      <c r="G1252" s="58">
        <f>IF(H1252=1,IF(INDEX(tx_Cust,1246)&amp;""&lt;&gt;"",INDEX(tx_Cust,1246)&amp;"",INDEX(tx_Vend,1246)&amp;""),"")</f>
        <v/>
      </c>
      <c r="H1252" s="101">
        <f>IFERROR(N(INDEX(tx_Posted,1246)),0)</f>
        <v/>
      </c>
      <c r="I1252" s="58">
        <f>IF(H1252=1,INDEX(tx_DrAcct,1246)&amp;"","")</f>
        <v/>
      </c>
      <c r="J1252" s="95">
        <f>IF(H1252=1,INDEX(tx_DrAmt,1246),0)</f>
        <v/>
      </c>
      <c r="K1252" s="58">
        <f>IF(H1252=1,INDEX(tx_CrAcct,1246)&amp;"","")</f>
        <v/>
      </c>
      <c r="L1252" s="95">
        <f>IF(H1252=1,INDEX(tx_CrAmt,1246),0)</f>
        <v/>
      </c>
      <c r="M1252" s="95">
        <f>IF(H1252=1,INDEX(tx_TaxDr,1246),0)</f>
        <v/>
      </c>
      <c r="N1252" s="95">
        <f>IF(H1252=1,INDEX(tx_TaxCr,1246),0)</f>
        <v/>
      </c>
      <c r="O1252" s="101">
        <f>IF(H1252=1,IF(E1252&lt;FYStart,0,IF(E1252&gt;FYEnd,13,YEAR(E1252)*12+MONTH(E1252)-FYYM+1)),"")</f>
        <v/>
      </c>
      <c r="P1252" s="101">
        <f>IF(H1252=1,IF(IFERROR(INDEX(coa_CF,MATCH(I1252,coa_Name,0)),"")="Cash",1,0),0)</f>
        <v/>
      </c>
      <c r="Q1252" s="101">
        <f>IF(H1252=1,IF(IFERROR(INDEX(coa_CF,MATCH(K1252,coa_Name,0)),"")="Cash",1,0),0)</f>
        <v/>
      </c>
      <c r="R1252" s="58">
        <f>IF((P1252-Q1252)=0,"",IFERROR(INDEX(coa_CF,MATCH(IF((P1252-Q1252)=1,K1252,I1252),coa_Name,0)),"Operating"))</f>
        <v/>
      </c>
      <c r="S1252" s="95">
        <f>IF((P1252-Q1252)=1,L1252,IF((P1252-Q1252)=-1,-J1252,0))</f>
        <v/>
      </c>
      <c r="T1252" s="95">
        <f>IF((P1252-Q1252)=1,N1252,IF((P1252-Q1252)=-1,-M1252,0))</f>
        <v/>
      </c>
      <c r="U1252" s="101">
        <f>IF(AND(H1252=1,LedAcct&lt;&gt;""),IF(AND(E1252&gt;=LedFrom,E1252&lt;=LedTo,OR(I1252=LedAcct,K1252=LedAcct,AND(LedAcct=acctTax,M1252+N1252&lt;&gt;0))),E1252*10000+B1252,""),"")</f>
        <v/>
      </c>
    </row>
    <row r="1253">
      <c r="B1253" s="101" t="n">
        <v>1247</v>
      </c>
      <c r="C1253" s="58" t="inlineStr">
        <is>
          <t>Transaction</t>
        </is>
      </c>
      <c r="D1253" s="58">
        <f>IF(H1253=1,INDEX(tx_ID,1247)&amp;"","")</f>
        <v/>
      </c>
      <c r="E1253" s="94">
        <f>IF(H1253=1,INDEX(tx_Date,1247),"")</f>
        <v/>
      </c>
      <c r="F1253" s="58">
        <f>IF(H1253=1,INDEX(tx_Desc,1247)&amp;"","")</f>
        <v/>
      </c>
      <c r="G1253" s="58">
        <f>IF(H1253=1,IF(INDEX(tx_Cust,1247)&amp;""&lt;&gt;"",INDEX(tx_Cust,1247)&amp;"",INDEX(tx_Vend,1247)&amp;""),"")</f>
        <v/>
      </c>
      <c r="H1253" s="101">
        <f>IFERROR(N(INDEX(tx_Posted,1247)),0)</f>
        <v/>
      </c>
      <c r="I1253" s="58">
        <f>IF(H1253=1,INDEX(tx_DrAcct,1247)&amp;"","")</f>
        <v/>
      </c>
      <c r="J1253" s="95">
        <f>IF(H1253=1,INDEX(tx_DrAmt,1247),0)</f>
        <v/>
      </c>
      <c r="K1253" s="58">
        <f>IF(H1253=1,INDEX(tx_CrAcct,1247)&amp;"","")</f>
        <v/>
      </c>
      <c r="L1253" s="95">
        <f>IF(H1253=1,INDEX(tx_CrAmt,1247),0)</f>
        <v/>
      </c>
      <c r="M1253" s="95">
        <f>IF(H1253=1,INDEX(tx_TaxDr,1247),0)</f>
        <v/>
      </c>
      <c r="N1253" s="95">
        <f>IF(H1253=1,INDEX(tx_TaxCr,1247),0)</f>
        <v/>
      </c>
      <c r="O1253" s="101">
        <f>IF(H1253=1,IF(E1253&lt;FYStart,0,IF(E1253&gt;FYEnd,13,YEAR(E1253)*12+MONTH(E1253)-FYYM+1)),"")</f>
        <v/>
      </c>
      <c r="P1253" s="101">
        <f>IF(H1253=1,IF(IFERROR(INDEX(coa_CF,MATCH(I1253,coa_Name,0)),"")="Cash",1,0),0)</f>
        <v/>
      </c>
      <c r="Q1253" s="101">
        <f>IF(H1253=1,IF(IFERROR(INDEX(coa_CF,MATCH(K1253,coa_Name,0)),"")="Cash",1,0),0)</f>
        <v/>
      </c>
      <c r="R1253" s="58">
        <f>IF((P1253-Q1253)=0,"",IFERROR(INDEX(coa_CF,MATCH(IF((P1253-Q1253)=1,K1253,I1253),coa_Name,0)),"Operating"))</f>
        <v/>
      </c>
      <c r="S1253" s="95">
        <f>IF((P1253-Q1253)=1,L1253,IF((P1253-Q1253)=-1,-J1253,0))</f>
        <v/>
      </c>
      <c r="T1253" s="95">
        <f>IF((P1253-Q1253)=1,N1253,IF((P1253-Q1253)=-1,-M1253,0))</f>
        <v/>
      </c>
      <c r="U1253" s="101">
        <f>IF(AND(H1253=1,LedAcct&lt;&gt;""),IF(AND(E1253&gt;=LedFrom,E1253&lt;=LedTo,OR(I1253=LedAcct,K1253=LedAcct,AND(LedAcct=acctTax,M1253+N1253&lt;&gt;0))),E1253*10000+B1253,""),"")</f>
        <v/>
      </c>
    </row>
    <row r="1254">
      <c r="B1254" s="101" t="n">
        <v>1248</v>
      </c>
      <c r="C1254" s="58" t="inlineStr">
        <is>
          <t>Transaction</t>
        </is>
      </c>
      <c r="D1254" s="58">
        <f>IF(H1254=1,INDEX(tx_ID,1248)&amp;"","")</f>
        <v/>
      </c>
      <c r="E1254" s="94">
        <f>IF(H1254=1,INDEX(tx_Date,1248),"")</f>
        <v/>
      </c>
      <c r="F1254" s="58">
        <f>IF(H1254=1,INDEX(tx_Desc,1248)&amp;"","")</f>
        <v/>
      </c>
      <c r="G1254" s="58">
        <f>IF(H1254=1,IF(INDEX(tx_Cust,1248)&amp;""&lt;&gt;"",INDEX(tx_Cust,1248)&amp;"",INDEX(tx_Vend,1248)&amp;""),"")</f>
        <v/>
      </c>
      <c r="H1254" s="101">
        <f>IFERROR(N(INDEX(tx_Posted,1248)),0)</f>
        <v/>
      </c>
      <c r="I1254" s="58">
        <f>IF(H1254=1,INDEX(tx_DrAcct,1248)&amp;"","")</f>
        <v/>
      </c>
      <c r="J1254" s="95">
        <f>IF(H1254=1,INDEX(tx_DrAmt,1248),0)</f>
        <v/>
      </c>
      <c r="K1254" s="58">
        <f>IF(H1254=1,INDEX(tx_CrAcct,1248)&amp;"","")</f>
        <v/>
      </c>
      <c r="L1254" s="95">
        <f>IF(H1254=1,INDEX(tx_CrAmt,1248),0)</f>
        <v/>
      </c>
      <c r="M1254" s="95">
        <f>IF(H1254=1,INDEX(tx_TaxDr,1248),0)</f>
        <v/>
      </c>
      <c r="N1254" s="95">
        <f>IF(H1254=1,INDEX(tx_TaxCr,1248),0)</f>
        <v/>
      </c>
      <c r="O1254" s="101">
        <f>IF(H1254=1,IF(E1254&lt;FYStart,0,IF(E1254&gt;FYEnd,13,YEAR(E1254)*12+MONTH(E1254)-FYYM+1)),"")</f>
        <v/>
      </c>
      <c r="P1254" s="101">
        <f>IF(H1254=1,IF(IFERROR(INDEX(coa_CF,MATCH(I1254,coa_Name,0)),"")="Cash",1,0),0)</f>
        <v/>
      </c>
      <c r="Q1254" s="101">
        <f>IF(H1254=1,IF(IFERROR(INDEX(coa_CF,MATCH(K1254,coa_Name,0)),"")="Cash",1,0),0)</f>
        <v/>
      </c>
      <c r="R1254" s="58">
        <f>IF((P1254-Q1254)=0,"",IFERROR(INDEX(coa_CF,MATCH(IF((P1254-Q1254)=1,K1254,I1254),coa_Name,0)),"Operating"))</f>
        <v/>
      </c>
      <c r="S1254" s="95">
        <f>IF((P1254-Q1254)=1,L1254,IF((P1254-Q1254)=-1,-J1254,0))</f>
        <v/>
      </c>
      <c r="T1254" s="95">
        <f>IF((P1254-Q1254)=1,N1254,IF((P1254-Q1254)=-1,-M1254,0))</f>
        <v/>
      </c>
      <c r="U1254" s="101">
        <f>IF(AND(H1254=1,LedAcct&lt;&gt;""),IF(AND(E1254&gt;=LedFrom,E1254&lt;=LedTo,OR(I1254=LedAcct,K1254=LedAcct,AND(LedAcct=acctTax,M1254+N1254&lt;&gt;0))),E1254*10000+B1254,""),"")</f>
        <v/>
      </c>
    </row>
    <row r="1255">
      <c r="B1255" s="101" t="n">
        <v>1249</v>
      </c>
      <c r="C1255" s="58" t="inlineStr">
        <is>
          <t>Transaction</t>
        </is>
      </c>
      <c r="D1255" s="58">
        <f>IF(H1255=1,INDEX(tx_ID,1249)&amp;"","")</f>
        <v/>
      </c>
      <c r="E1255" s="94">
        <f>IF(H1255=1,INDEX(tx_Date,1249),"")</f>
        <v/>
      </c>
      <c r="F1255" s="58">
        <f>IF(H1255=1,INDEX(tx_Desc,1249)&amp;"","")</f>
        <v/>
      </c>
      <c r="G1255" s="58">
        <f>IF(H1255=1,IF(INDEX(tx_Cust,1249)&amp;""&lt;&gt;"",INDEX(tx_Cust,1249)&amp;"",INDEX(tx_Vend,1249)&amp;""),"")</f>
        <v/>
      </c>
      <c r="H1255" s="101">
        <f>IFERROR(N(INDEX(tx_Posted,1249)),0)</f>
        <v/>
      </c>
      <c r="I1255" s="58">
        <f>IF(H1255=1,INDEX(tx_DrAcct,1249)&amp;"","")</f>
        <v/>
      </c>
      <c r="J1255" s="95">
        <f>IF(H1255=1,INDEX(tx_DrAmt,1249),0)</f>
        <v/>
      </c>
      <c r="K1255" s="58">
        <f>IF(H1255=1,INDEX(tx_CrAcct,1249)&amp;"","")</f>
        <v/>
      </c>
      <c r="L1255" s="95">
        <f>IF(H1255=1,INDEX(tx_CrAmt,1249),0)</f>
        <v/>
      </c>
      <c r="M1255" s="95">
        <f>IF(H1255=1,INDEX(tx_TaxDr,1249),0)</f>
        <v/>
      </c>
      <c r="N1255" s="95">
        <f>IF(H1255=1,INDEX(tx_TaxCr,1249),0)</f>
        <v/>
      </c>
      <c r="O1255" s="101">
        <f>IF(H1255=1,IF(E1255&lt;FYStart,0,IF(E1255&gt;FYEnd,13,YEAR(E1255)*12+MONTH(E1255)-FYYM+1)),"")</f>
        <v/>
      </c>
      <c r="P1255" s="101">
        <f>IF(H1255=1,IF(IFERROR(INDEX(coa_CF,MATCH(I1255,coa_Name,0)),"")="Cash",1,0),0)</f>
        <v/>
      </c>
      <c r="Q1255" s="101">
        <f>IF(H1255=1,IF(IFERROR(INDEX(coa_CF,MATCH(K1255,coa_Name,0)),"")="Cash",1,0),0)</f>
        <v/>
      </c>
      <c r="R1255" s="58">
        <f>IF((P1255-Q1255)=0,"",IFERROR(INDEX(coa_CF,MATCH(IF((P1255-Q1255)=1,K1255,I1255),coa_Name,0)),"Operating"))</f>
        <v/>
      </c>
      <c r="S1255" s="95">
        <f>IF((P1255-Q1255)=1,L1255,IF((P1255-Q1255)=-1,-J1255,0))</f>
        <v/>
      </c>
      <c r="T1255" s="95">
        <f>IF((P1255-Q1255)=1,N1255,IF((P1255-Q1255)=-1,-M1255,0))</f>
        <v/>
      </c>
      <c r="U1255" s="101">
        <f>IF(AND(H1255=1,LedAcct&lt;&gt;""),IF(AND(E1255&gt;=LedFrom,E1255&lt;=LedTo,OR(I1255=LedAcct,K1255=LedAcct,AND(LedAcct=acctTax,M1255+N1255&lt;&gt;0))),E1255*10000+B1255,""),"")</f>
        <v/>
      </c>
    </row>
    <row r="1256">
      <c r="B1256" s="101" t="n">
        <v>1250</v>
      </c>
      <c r="C1256" s="58" t="inlineStr">
        <is>
          <t>Transaction</t>
        </is>
      </c>
      <c r="D1256" s="58">
        <f>IF(H1256=1,INDEX(tx_ID,1250)&amp;"","")</f>
        <v/>
      </c>
      <c r="E1256" s="94">
        <f>IF(H1256=1,INDEX(tx_Date,1250),"")</f>
        <v/>
      </c>
      <c r="F1256" s="58">
        <f>IF(H1256=1,INDEX(tx_Desc,1250)&amp;"","")</f>
        <v/>
      </c>
      <c r="G1256" s="58">
        <f>IF(H1256=1,IF(INDEX(tx_Cust,1250)&amp;""&lt;&gt;"",INDEX(tx_Cust,1250)&amp;"",INDEX(tx_Vend,1250)&amp;""),"")</f>
        <v/>
      </c>
      <c r="H1256" s="101">
        <f>IFERROR(N(INDEX(tx_Posted,1250)),0)</f>
        <v/>
      </c>
      <c r="I1256" s="58">
        <f>IF(H1256=1,INDEX(tx_DrAcct,1250)&amp;"","")</f>
        <v/>
      </c>
      <c r="J1256" s="95">
        <f>IF(H1256=1,INDEX(tx_DrAmt,1250),0)</f>
        <v/>
      </c>
      <c r="K1256" s="58">
        <f>IF(H1256=1,INDEX(tx_CrAcct,1250)&amp;"","")</f>
        <v/>
      </c>
      <c r="L1256" s="95">
        <f>IF(H1256=1,INDEX(tx_CrAmt,1250),0)</f>
        <v/>
      </c>
      <c r="M1256" s="95">
        <f>IF(H1256=1,INDEX(tx_TaxDr,1250),0)</f>
        <v/>
      </c>
      <c r="N1256" s="95">
        <f>IF(H1256=1,INDEX(tx_TaxCr,1250),0)</f>
        <v/>
      </c>
      <c r="O1256" s="101">
        <f>IF(H1256=1,IF(E1256&lt;FYStart,0,IF(E1256&gt;FYEnd,13,YEAR(E1256)*12+MONTH(E1256)-FYYM+1)),"")</f>
        <v/>
      </c>
      <c r="P1256" s="101">
        <f>IF(H1256=1,IF(IFERROR(INDEX(coa_CF,MATCH(I1256,coa_Name,0)),"")="Cash",1,0),0)</f>
        <v/>
      </c>
      <c r="Q1256" s="101">
        <f>IF(H1256=1,IF(IFERROR(INDEX(coa_CF,MATCH(K1256,coa_Name,0)),"")="Cash",1,0),0)</f>
        <v/>
      </c>
      <c r="R1256" s="58">
        <f>IF((P1256-Q1256)=0,"",IFERROR(INDEX(coa_CF,MATCH(IF((P1256-Q1256)=1,K1256,I1256),coa_Name,0)),"Operating"))</f>
        <v/>
      </c>
      <c r="S1256" s="95">
        <f>IF((P1256-Q1256)=1,L1256,IF((P1256-Q1256)=-1,-J1256,0))</f>
        <v/>
      </c>
      <c r="T1256" s="95">
        <f>IF((P1256-Q1256)=1,N1256,IF((P1256-Q1256)=-1,-M1256,0))</f>
        <v/>
      </c>
      <c r="U1256" s="101">
        <f>IF(AND(H1256=1,LedAcct&lt;&gt;""),IF(AND(E1256&gt;=LedFrom,E1256&lt;=LedTo,OR(I1256=LedAcct,K1256=LedAcct,AND(LedAcct=acctTax,M1256+N1256&lt;&gt;0))),E1256*10000+B1256,""),"")</f>
        <v/>
      </c>
    </row>
    <row r="1257">
      <c r="B1257" s="101" t="n">
        <v>1251</v>
      </c>
      <c r="C1257" s="58" t="inlineStr">
        <is>
          <t>Transaction</t>
        </is>
      </c>
      <c r="D1257" s="58">
        <f>IF(H1257=1,INDEX(tx_ID,1251)&amp;"","")</f>
        <v/>
      </c>
      <c r="E1257" s="94">
        <f>IF(H1257=1,INDEX(tx_Date,1251),"")</f>
        <v/>
      </c>
      <c r="F1257" s="58">
        <f>IF(H1257=1,INDEX(tx_Desc,1251)&amp;"","")</f>
        <v/>
      </c>
      <c r="G1257" s="58">
        <f>IF(H1257=1,IF(INDEX(tx_Cust,1251)&amp;""&lt;&gt;"",INDEX(tx_Cust,1251)&amp;"",INDEX(tx_Vend,1251)&amp;""),"")</f>
        <v/>
      </c>
      <c r="H1257" s="101">
        <f>IFERROR(N(INDEX(tx_Posted,1251)),0)</f>
        <v/>
      </c>
      <c r="I1257" s="58">
        <f>IF(H1257=1,INDEX(tx_DrAcct,1251)&amp;"","")</f>
        <v/>
      </c>
      <c r="J1257" s="95">
        <f>IF(H1257=1,INDEX(tx_DrAmt,1251),0)</f>
        <v/>
      </c>
      <c r="K1257" s="58">
        <f>IF(H1257=1,INDEX(tx_CrAcct,1251)&amp;"","")</f>
        <v/>
      </c>
      <c r="L1257" s="95">
        <f>IF(H1257=1,INDEX(tx_CrAmt,1251),0)</f>
        <v/>
      </c>
      <c r="M1257" s="95">
        <f>IF(H1257=1,INDEX(tx_TaxDr,1251),0)</f>
        <v/>
      </c>
      <c r="N1257" s="95">
        <f>IF(H1257=1,INDEX(tx_TaxCr,1251),0)</f>
        <v/>
      </c>
      <c r="O1257" s="101">
        <f>IF(H1257=1,IF(E1257&lt;FYStart,0,IF(E1257&gt;FYEnd,13,YEAR(E1257)*12+MONTH(E1257)-FYYM+1)),"")</f>
        <v/>
      </c>
      <c r="P1257" s="101">
        <f>IF(H1257=1,IF(IFERROR(INDEX(coa_CF,MATCH(I1257,coa_Name,0)),"")="Cash",1,0),0)</f>
        <v/>
      </c>
      <c r="Q1257" s="101">
        <f>IF(H1257=1,IF(IFERROR(INDEX(coa_CF,MATCH(K1257,coa_Name,0)),"")="Cash",1,0),0)</f>
        <v/>
      </c>
      <c r="R1257" s="58">
        <f>IF((P1257-Q1257)=0,"",IFERROR(INDEX(coa_CF,MATCH(IF((P1257-Q1257)=1,K1257,I1257),coa_Name,0)),"Operating"))</f>
        <v/>
      </c>
      <c r="S1257" s="95">
        <f>IF((P1257-Q1257)=1,L1257,IF((P1257-Q1257)=-1,-J1257,0))</f>
        <v/>
      </c>
      <c r="T1257" s="95">
        <f>IF((P1257-Q1257)=1,N1257,IF((P1257-Q1257)=-1,-M1257,0))</f>
        <v/>
      </c>
      <c r="U1257" s="101">
        <f>IF(AND(H1257=1,LedAcct&lt;&gt;""),IF(AND(E1257&gt;=LedFrom,E1257&lt;=LedTo,OR(I1257=LedAcct,K1257=LedAcct,AND(LedAcct=acctTax,M1257+N1257&lt;&gt;0))),E1257*10000+B1257,""),"")</f>
        <v/>
      </c>
    </row>
    <row r="1258">
      <c r="B1258" s="101" t="n">
        <v>1252</v>
      </c>
      <c r="C1258" s="58" t="inlineStr">
        <is>
          <t>Transaction</t>
        </is>
      </c>
      <c r="D1258" s="58">
        <f>IF(H1258=1,INDEX(tx_ID,1252)&amp;"","")</f>
        <v/>
      </c>
      <c r="E1258" s="94">
        <f>IF(H1258=1,INDEX(tx_Date,1252),"")</f>
        <v/>
      </c>
      <c r="F1258" s="58">
        <f>IF(H1258=1,INDEX(tx_Desc,1252)&amp;"","")</f>
        <v/>
      </c>
      <c r="G1258" s="58">
        <f>IF(H1258=1,IF(INDEX(tx_Cust,1252)&amp;""&lt;&gt;"",INDEX(tx_Cust,1252)&amp;"",INDEX(tx_Vend,1252)&amp;""),"")</f>
        <v/>
      </c>
      <c r="H1258" s="101">
        <f>IFERROR(N(INDEX(tx_Posted,1252)),0)</f>
        <v/>
      </c>
      <c r="I1258" s="58">
        <f>IF(H1258=1,INDEX(tx_DrAcct,1252)&amp;"","")</f>
        <v/>
      </c>
      <c r="J1258" s="95">
        <f>IF(H1258=1,INDEX(tx_DrAmt,1252),0)</f>
        <v/>
      </c>
      <c r="K1258" s="58">
        <f>IF(H1258=1,INDEX(tx_CrAcct,1252)&amp;"","")</f>
        <v/>
      </c>
      <c r="L1258" s="95">
        <f>IF(H1258=1,INDEX(tx_CrAmt,1252),0)</f>
        <v/>
      </c>
      <c r="M1258" s="95">
        <f>IF(H1258=1,INDEX(tx_TaxDr,1252),0)</f>
        <v/>
      </c>
      <c r="N1258" s="95">
        <f>IF(H1258=1,INDEX(tx_TaxCr,1252),0)</f>
        <v/>
      </c>
      <c r="O1258" s="101">
        <f>IF(H1258=1,IF(E1258&lt;FYStart,0,IF(E1258&gt;FYEnd,13,YEAR(E1258)*12+MONTH(E1258)-FYYM+1)),"")</f>
        <v/>
      </c>
      <c r="P1258" s="101">
        <f>IF(H1258=1,IF(IFERROR(INDEX(coa_CF,MATCH(I1258,coa_Name,0)),"")="Cash",1,0),0)</f>
        <v/>
      </c>
      <c r="Q1258" s="101">
        <f>IF(H1258=1,IF(IFERROR(INDEX(coa_CF,MATCH(K1258,coa_Name,0)),"")="Cash",1,0),0)</f>
        <v/>
      </c>
      <c r="R1258" s="58">
        <f>IF((P1258-Q1258)=0,"",IFERROR(INDEX(coa_CF,MATCH(IF((P1258-Q1258)=1,K1258,I1258),coa_Name,0)),"Operating"))</f>
        <v/>
      </c>
      <c r="S1258" s="95">
        <f>IF((P1258-Q1258)=1,L1258,IF((P1258-Q1258)=-1,-J1258,0))</f>
        <v/>
      </c>
      <c r="T1258" s="95">
        <f>IF((P1258-Q1258)=1,N1258,IF((P1258-Q1258)=-1,-M1258,0))</f>
        <v/>
      </c>
      <c r="U1258" s="101">
        <f>IF(AND(H1258=1,LedAcct&lt;&gt;""),IF(AND(E1258&gt;=LedFrom,E1258&lt;=LedTo,OR(I1258=LedAcct,K1258=LedAcct,AND(LedAcct=acctTax,M1258+N1258&lt;&gt;0))),E1258*10000+B1258,""),"")</f>
        <v/>
      </c>
    </row>
    <row r="1259">
      <c r="B1259" s="101" t="n">
        <v>1253</v>
      </c>
      <c r="C1259" s="58" t="inlineStr">
        <is>
          <t>Transaction</t>
        </is>
      </c>
      <c r="D1259" s="58">
        <f>IF(H1259=1,INDEX(tx_ID,1253)&amp;"","")</f>
        <v/>
      </c>
      <c r="E1259" s="94">
        <f>IF(H1259=1,INDEX(tx_Date,1253),"")</f>
        <v/>
      </c>
      <c r="F1259" s="58">
        <f>IF(H1259=1,INDEX(tx_Desc,1253)&amp;"","")</f>
        <v/>
      </c>
      <c r="G1259" s="58">
        <f>IF(H1259=1,IF(INDEX(tx_Cust,1253)&amp;""&lt;&gt;"",INDEX(tx_Cust,1253)&amp;"",INDEX(tx_Vend,1253)&amp;""),"")</f>
        <v/>
      </c>
      <c r="H1259" s="101">
        <f>IFERROR(N(INDEX(tx_Posted,1253)),0)</f>
        <v/>
      </c>
      <c r="I1259" s="58">
        <f>IF(H1259=1,INDEX(tx_DrAcct,1253)&amp;"","")</f>
        <v/>
      </c>
      <c r="J1259" s="95">
        <f>IF(H1259=1,INDEX(tx_DrAmt,1253),0)</f>
        <v/>
      </c>
      <c r="K1259" s="58">
        <f>IF(H1259=1,INDEX(tx_CrAcct,1253)&amp;"","")</f>
        <v/>
      </c>
      <c r="L1259" s="95">
        <f>IF(H1259=1,INDEX(tx_CrAmt,1253),0)</f>
        <v/>
      </c>
      <c r="M1259" s="95">
        <f>IF(H1259=1,INDEX(tx_TaxDr,1253),0)</f>
        <v/>
      </c>
      <c r="N1259" s="95">
        <f>IF(H1259=1,INDEX(tx_TaxCr,1253),0)</f>
        <v/>
      </c>
      <c r="O1259" s="101">
        <f>IF(H1259=1,IF(E1259&lt;FYStart,0,IF(E1259&gt;FYEnd,13,YEAR(E1259)*12+MONTH(E1259)-FYYM+1)),"")</f>
        <v/>
      </c>
      <c r="P1259" s="101">
        <f>IF(H1259=1,IF(IFERROR(INDEX(coa_CF,MATCH(I1259,coa_Name,0)),"")="Cash",1,0),0)</f>
        <v/>
      </c>
      <c r="Q1259" s="101">
        <f>IF(H1259=1,IF(IFERROR(INDEX(coa_CF,MATCH(K1259,coa_Name,0)),"")="Cash",1,0),0)</f>
        <v/>
      </c>
      <c r="R1259" s="58">
        <f>IF((P1259-Q1259)=0,"",IFERROR(INDEX(coa_CF,MATCH(IF((P1259-Q1259)=1,K1259,I1259),coa_Name,0)),"Operating"))</f>
        <v/>
      </c>
      <c r="S1259" s="95">
        <f>IF((P1259-Q1259)=1,L1259,IF((P1259-Q1259)=-1,-J1259,0))</f>
        <v/>
      </c>
      <c r="T1259" s="95">
        <f>IF((P1259-Q1259)=1,N1259,IF((P1259-Q1259)=-1,-M1259,0))</f>
        <v/>
      </c>
      <c r="U1259" s="101">
        <f>IF(AND(H1259=1,LedAcct&lt;&gt;""),IF(AND(E1259&gt;=LedFrom,E1259&lt;=LedTo,OR(I1259=LedAcct,K1259=LedAcct,AND(LedAcct=acctTax,M1259+N1259&lt;&gt;0))),E1259*10000+B1259,""),"")</f>
        <v/>
      </c>
    </row>
    <row r="1260">
      <c r="B1260" s="101" t="n">
        <v>1254</v>
      </c>
      <c r="C1260" s="58" t="inlineStr">
        <is>
          <t>Transaction</t>
        </is>
      </c>
      <c r="D1260" s="58">
        <f>IF(H1260=1,INDEX(tx_ID,1254)&amp;"","")</f>
        <v/>
      </c>
      <c r="E1260" s="94">
        <f>IF(H1260=1,INDEX(tx_Date,1254),"")</f>
        <v/>
      </c>
      <c r="F1260" s="58">
        <f>IF(H1260=1,INDEX(tx_Desc,1254)&amp;"","")</f>
        <v/>
      </c>
      <c r="G1260" s="58">
        <f>IF(H1260=1,IF(INDEX(tx_Cust,1254)&amp;""&lt;&gt;"",INDEX(tx_Cust,1254)&amp;"",INDEX(tx_Vend,1254)&amp;""),"")</f>
        <v/>
      </c>
      <c r="H1260" s="101">
        <f>IFERROR(N(INDEX(tx_Posted,1254)),0)</f>
        <v/>
      </c>
      <c r="I1260" s="58">
        <f>IF(H1260=1,INDEX(tx_DrAcct,1254)&amp;"","")</f>
        <v/>
      </c>
      <c r="J1260" s="95">
        <f>IF(H1260=1,INDEX(tx_DrAmt,1254),0)</f>
        <v/>
      </c>
      <c r="K1260" s="58">
        <f>IF(H1260=1,INDEX(tx_CrAcct,1254)&amp;"","")</f>
        <v/>
      </c>
      <c r="L1260" s="95">
        <f>IF(H1260=1,INDEX(tx_CrAmt,1254),0)</f>
        <v/>
      </c>
      <c r="M1260" s="95">
        <f>IF(H1260=1,INDEX(tx_TaxDr,1254),0)</f>
        <v/>
      </c>
      <c r="N1260" s="95">
        <f>IF(H1260=1,INDEX(tx_TaxCr,1254),0)</f>
        <v/>
      </c>
      <c r="O1260" s="101">
        <f>IF(H1260=1,IF(E1260&lt;FYStart,0,IF(E1260&gt;FYEnd,13,YEAR(E1260)*12+MONTH(E1260)-FYYM+1)),"")</f>
        <v/>
      </c>
      <c r="P1260" s="101">
        <f>IF(H1260=1,IF(IFERROR(INDEX(coa_CF,MATCH(I1260,coa_Name,0)),"")="Cash",1,0),0)</f>
        <v/>
      </c>
      <c r="Q1260" s="101">
        <f>IF(H1260=1,IF(IFERROR(INDEX(coa_CF,MATCH(K1260,coa_Name,0)),"")="Cash",1,0),0)</f>
        <v/>
      </c>
      <c r="R1260" s="58">
        <f>IF((P1260-Q1260)=0,"",IFERROR(INDEX(coa_CF,MATCH(IF((P1260-Q1260)=1,K1260,I1260),coa_Name,0)),"Operating"))</f>
        <v/>
      </c>
      <c r="S1260" s="95">
        <f>IF((P1260-Q1260)=1,L1260,IF((P1260-Q1260)=-1,-J1260,0))</f>
        <v/>
      </c>
      <c r="T1260" s="95">
        <f>IF((P1260-Q1260)=1,N1260,IF((P1260-Q1260)=-1,-M1260,0))</f>
        <v/>
      </c>
      <c r="U1260" s="101">
        <f>IF(AND(H1260=1,LedAcct&lt;&gt;""),IF(AND(E1260&gt;=LedFrom,E1260&lt;=LedTo,OR(I1260=LedAcct,K1260=LedAcct,AND(LedAcct=acctTax,M1260+N1260&lt;&gt;0))),E1260*10000+B1260,""),"")</f>
        <v/>
      </c>
    </row>
    <row r="1261">
      <c r="B1261" s="101" t="n">
        <v>1255</v>
      </c>
      <c r="C1261" s="58" t="inlineStr">
        <is>
          <t>Transaction</t>
        </is>
      </c>
      <c r="D1261" s="58">
        <f>IF(H1261=1,INDEX(tx_ID,1255)&amp;"","")</f>
        <v/>
      </c>
      <c r="E1261" s="94">
        <f>IF(H1261=1,INDEX(tx_Date,1255),"")</f>
        <v/>
      </c>
      <c r="F1261" s="58">
        <f>IF(H1261=1,INDEX(tx_Desc,1255)&amp;"","")</f>
        <v/>
      </c>
      <c r="G1261" s="58">
        <f>IF(H1261=1,IF(INDEX(tx_Cust,1255)&amp;""&lt;&gt;"",INDEX(tx_Cust,1255)&amp;"",INDEX(tx_Vend,1255)&amp;""),"")</f>
        <v/>
      </c>
      <c r="H1261" s="101">
        <f>IFERROR(N(INDEX(tx_Posted,1255)),0)</f>
        <v/>
      </c>
      <c r="I1261" s="58">
        <f>IF(H1261=1,INDEX(tx_DrAcct,1255)&amp;"","")</f>
        <v/>
      </c>
      <c r="J1261" s="95">
        <f>IF(H1261=1,INDEX(tx_DrAmt,1255),0)</f>
        <v/>
      </c>
      <c r="K1261" s="58">
        <f>IF(H1261=1,INDEX(tx_CrAcct,1255)&amp;"","")</f>
        <v/>
      </c>
      <c r="L1261" s="95">
        <f>IF(H1261=1,INDEX(tx_CrAmt,1255),0)</f>
        <v/>
      </c>
      <c r="M1261" s="95">
        <f>IF(H1261=1,INDEX(tx_TaxDr,1255),0)</f>
        <v/>
      </c>
      <c r="N1261" s="95">
        <f>IF(H1261=1,INDEX(tx_TaxCr,1255),0)</f>
        <v/>
      </c>
      <c r="O1261" s="101">
        <f>IF(H1261=1,IF(E1261&lt;FYStart,0,IF(E1261&gt;FYEnd,13,YEAR(E1261)*12+MONTH(E1261)-FYYM+1)),"")</f>
        <v/>
      </c>
      <c r="P1261" s="101">
        <f>IF(H1261=1,IF(IFERROR(INDEX(coa_CF,MATCH(I1261,coa_Name,0)),"")="Cash",1,0),0)</f>
        <v/>
      </c>
      <c r="Q1261" s="101">
        <f>IF(H1261=1,IF(IFERROR(INDEX(coa_CF,MATCH(K1261,coa_Name,0)),"")="Cash",1,0),0)</f>
        <v/>
      </c>
      <c r="R1261" s="58">
        <f>IF((P1261-Q1261)=0,"",IFERROR(INDEX(coa_CF,MATCH(IF((P1261-Q1261)=1,K1261,I1261),coa_Name,0)),"Operating"))</f>
        <v/>
      </c>
      <c r="S1261" s="95">
        <f>IF((P1261-Q1261)=1,L1261,IF((P1261-Q1261)=-1,-J1261,0))</f>
        <v/>
      </c>
      <c r="T1261" s="95">
        <f>IF((P1261-Q1261)=1,N1261,IF((P1261-Q1261)=-1,-M1261,0))</f>
        <v/>
      </c>
      <c r="U1261" s="101">
        <f>IF(AND(H1261=1,LedAcct&lt;&gt;""),IF(AND(E1261&gt;=LedFrom,E1261&lt;=LedTo,OR(I1261=LedAcct,K1261=LedAcct,AND(LedAcct=acctTax,M1261+N1261&lt;&gt;0))),E1261*10000+B1261,""),"")</f>
        <v/>
      </c>
    </row>
    <row r="1262">
      <c r="B1262" s="101" t="n">
        <v>1256</v>
      </c>
      <c r="C1262" s="58" t="inlineStr">
        <is>
          <t>Transaction</t>
        </is>
      </c>
      <c r="D1262" s="58">
        <f>IF(H1262=1,INDEX(tx_ID,1256)&amp;"","")</f>
        <v/>
      </c>
      <c r="E1262" s="94">
        <f>IF(H1262=1,INDEX(tx_Date,1256),"")</f>
        <v/>
      </c>
      <c r="F1262" s="58">
        <f>IF(H1262=1,INDEX(tx_Desc,1256)&amp;"","")</f>
        <v/>
      </c>
      <c r="G1262" s="58">
        <f>IF(H1262=1,IF(INDEX(tx_Cust,1256)&amp;""&lt;&gt;"",INDEX(tx_Cust,1256)&amp;"",INDEX(tx_Vend,1256)&amp;""),"")</f>
        <v/>
      </c>
      <c r="H1262" s="101">
        <f>IFERROR(N(INDEX(tx_Posted,1256)),0)</f>
        <v/>
      </c>
      <c r="I1262" s="58">
        <f>IF(H1262=1,INDEX(tx_DrAcct,1256)&amp;"","")</f>
        <v/>
      </c>
      <c r="J1262" s="95">
        <f>IF(H1262=1,INDEX(tx_DrAmt,1256),0)</f>
        <v/>
      </c>
      <c r="K1262" s="58">
        <f>IF(H1262=1,INDEX(tx_CrAcct,1256)&amp;"","")</f>
        <v/>
      </c>
      <c r="L1262" s="95">
        <f>IF(H1262=1,INDEX(tx_CrAmt,1256),0)</f>
        <v/>
      </c>
      <c r="M1262" s="95">
        <f>IF(H1262=1,INDEX(tx_TaxDr,1256),0)</f>
        <v/>
      </c>
      <c r="N1262" s="95">
        <f>IF(H1262=1,INDEX(tx_TaxCr,1256),0)</f>
        <v/>
      </c>
      <c r="O1262" s="101">
        <f>IF(H1262=1,IF(E1262&lt;FYStart,0,IF(E1262&gt;FYEnd,13,YEAR(E1262)*12+MONTH(E1262)-FYYM+1)),"")</f>
        <v/>
      </c>
      <c r="P1262" s="101">
        <f>IF(H1262=1,IF(IFERROR(INDEX(coa_CF,MATCH(I1262,coa_Name,0)),"")="Cash",1,0),0)</f>
        <v/>
      </c>
      <c r="Q1262" s="101">
        <f>IF(H1262=1,IF(IFERROR(INDEX(coa_CF,MATCH(K1262,coa_Name,0)),"")="Cash",1,0),0)</f>
        <v/>
      </c>
      <c r="R1262" s="58">
        <f>IF((P1262-Q1262)=0,"",IFERROR(INDEX(coa_CF,MATCH(IF((P1262-Q1262)=1,K1262,I1262),coa_Name,0)),"Operating"))</f>
        <v/>
      </c>
      <c r="S1262" s="95">
        <f>IF((P1262-Q1262)=1,L1262,IF((P1262-Q1262)=-1,-J1262,0))</f>
        <v/>
      </c>
      <c r="T1262" s="95">
        <f>IF((P1262-Q1262)=1,N1262,IF((P1262-Q1262)=-1,-M1262,0))</f>
        <v/>
      </c>
      <c r="U1262" s="101">
        <f>IF(AND(H1262=1,LedAcct&lt;&gt;""),IF(AND(E1262&gt;=LedFrom,E1262&lt;=LedTo,OR(I1262=LedAcct,K1262=LedAcct,AND(LedAcct=acctTax,M1262+N1262&lt;&gt;0))),E1262*10000+B1262,""),"")</f>
        <v/>
      </c>
    </row>
    <row r="1263">
      <c r="B1263" s="101" t="n">
        <v>1257</v>
      </c>
      <c r="C1263" s="58" t="inlineStr">
        <is>
          <t>Transaction</t>
        </is>
      </c>
      <c r="D1263" s="58">
        <f>IF(H1263=1,INDEX(tx_ID,1257)&amp;"","")</f>
        <v/>
      </c>
      <c r="E1263" s="94">
        <f>IF(H1263=1,INDEX(tx_Date,1257),"")</f>
        <v/>
      </c>
      <c r="F1263" s="58">
        <f>IF(H1263=1,INDEX(tx_Desc,1257)&amp;"","")</f>
        <v/>
      </c>
      <c r="G1263" s="58">
        <f>IF(H1263=1,IF(INDEX(tx_Cust,1257)&amp;""&lt;&gt;"",INDEX(tx_Cust,1257)&amp;"",INDEX(tx_Vend,1257)&amp;""),"")</f>
        <v/>
      </c>
      <c r="H1263" s="101">
        <f>IFERROR(N(INDEX(tx_Posted,1257)),0)</f>
        <v/>
      </c>
      <c r="I1263" s="58">
        <f>IF(H1263=1,INDEX(tx_DrAcct,1257)&amp;"","")</f>
        <v/>
      </c>
      <c r="J1263" s="95">
        <f>IF(H1263=1,INDEX(tx_DrAmt,1257),0)</f>
        <v/>
      </c>
      <c r="K1263" s="58">
        <f>IF(H1263=1,INDEX(tx_CrAcct,1257)&amp;"","")</f>
        <v/>
      </c>
      <c r="L1263" s="95">
        <f>IF(H1263=1,INDEX(tx_CrAmt,1257),0)</f>
        <v/>
      </c>
      <c r="M1263" s="95">
        <f>IF(H1263=1,INDEX(tx_TaxDr,1257),0)</f>
        <v/>
      </c>
      <c r="N1263" s="95">
        <f>IF(H1263=1,INDEX(tx_TaxCr,1257),0)</f>
        <v/>
      </c>
      <c r="O1263" s="101">
        <f>IF(H1263=1,IF(E1263&lt;FYStart,0,IF(E1263&gt;FYEnd,13,YEAR(E1263)*12+MONTH(E1263)-FYYM+1)),"")</f>
        <v/>
      </c>
      <c r="P1263" s="101">
        <f>IF(H1263=1,IF(IFERROR(INDEX(coa_CF,MATCH(I1263,coa_Name,0)),"")="Cash",1,0),0)</f>
        <v/>
      </c>
      <c r="Q1263" s="101">
        <f>IF(H1263=1,IF(IFERROR(INDEX(coa_CF,MATCH(K1263,coa_Name,0)),"")="Cash",1,0),0)</f>
        <v/>
      </c>
      <c r="R1263" s="58">
        <f>IF((P1263-Q1263)=0,"",IFERROR(INDEX(coa_CF,MATCH(IF((P1263-Q1263)=1,K1263,I1263),coa_Name,0)),"Operating"))</f>
        <v/>
      </c>
      <c r="S1263" s="95">
        <f>IF((P1263-Q1263)=1,L1263,IF((P1263-Q1263)=-1,-J1263,0))</f>
        <v/>
      </c>
      <c r="T1263" s="95">
        <f>IF((P1263-Q1263)=1,N1263,IF((P1263-Q1263)=-1,-M1263,0))</f>
        <v/>
      </c>
      <c r="U1263" s="101">
        <f>IF(AND(H1263=1,LedAcct&lt;&gt;""),IF(AND(E1263&gt;=LedFrom,E1263&lt;=LedTo,OR(I1263=LedAcct,K1263=LedAcct,AND(LedAcct=acctTax,M1263+N1263&lt;&gt;0))),E1263*10000+B1263,""),"")</f>
        <v/>
      </c>
    </row>
    <row r="1264">
      <c r="B1264" s="101" t="n">
        <v>1258</v>
      </c>
      <c r="C1264" s="58" t="inlineStr">
        <is>
          <t>Transaction</t>
        </is>
      </c>
      <c r="D1264" s="58">
        <f>IF(H1264=1,INDEX(tx_ID,1258)&amp;"","")</f>
        <v/>
      </c>
      <c r="E1264" s="94">
        <f>IF(H1264=1,INDEX(tx_Date,1258),"")</f>
        <v/>
      </c>
      <c r="F1264" s="58">
        <f>IF(H1264=1,INDEX(tx_Desc,1258)&amp;"","")</f>
        <v/>
      </c>
      <c r="G1264" s="58">
        <f>IF(H1264=1,IF(INDEX(tx_Cust,1258)&amp;""&lt;&gt;"",INDEX(tx_Cust,1258)&amp;"",INDEX(tx_Vend,1258)&amp;""),"")</f>
        <v/>
      </c>
      <c r="H1264" s="101">
        <f>IFERROR(N(INDEX(tx_Posted,1258)),0)</f>
        <v/>
      </c>
      <c r="I1264" s="58">
        <f>IF(H1264=1,INDEX(tx_DrAcct,1258)&amp;"","")</f>
        <v/>
      </c>
      <c r="J1264" s="95">
        <f>IF(H1264=1,INDEX(tx_DrAmt,1258),0)</f>
        <v/>
      </c>
      <c r="K1264" s="58">
        <f>IF(H1264=1,INDEX(tx_CrAcct,1258)&amp;"","")</f>
        <v/>
      </c>
      <c r="L1264" s="95">
        <f>IF(H1264=1,INDEX(tx_CrAmt,1258),0)</f>
        <v/>
      </c>
      <c r="M1264" s="95">
        <f>IF(H1264=1,INDEX(tx_TaxDr,1258),0)</f>
        <v/>
      </c>
      <c r="N1264" s="95">
        <f>IF(H1264=1,INDEX(tx_TaxCr,1258),0)</f>
        <v/>
      </c>
      <c r="O1264" s="101">
        <f>IF(H1264=1,IF(E1264&lt;FYStart,0,IF(E1264&gt;FYEnd,13,YEAR(E1264)*12+MONTH(E1264)-FYYM+1)),"")</f>
        <v/>
      </c>
      <c r="P1264" s="101">
        <f>IF(H1264=1,IF(IFERROR(INDEX(coa_CF,MATCH(I1264,coa_Name,0)),"")="Cash",1,0),0)</f>
        <v/>
      </c>
      <c r="Q1264" s="101">
        <f>IF(H1264=1,IF(IFERROR(INDEX(coa_CF,MATCH(K1264,coa_Name,0)),"")="Cash",1,0),0)</f>
        <v/>
      </c>
      <c r="R1264" s="58">
        <f>IF((P1264-Q1264)=0,"",IFERROR(INDEX(coa_CF,MATCH(IF((P1264-Q1264)=1,K1264,I1264),coa_Name,0)),"Operating"))</f>
        <v/>
      </c>
      <c r="S1264" s="95">
        <f>IF((P1264-Q1264)=1,L1264,IF((P1264-Q1264)=-1,-J1264,0))</f>
        <v/>
      </c>
      <c r="T1264" s="95">
        <f>IF((P1264-Q1264)=1,N1264,IF((P1264-Q1264)=-1,-M1264,0))</f>
        <v/>
      </c>
      <c r="U1264" s="101">
        <f>IF(AND(H1264=1,LedAcct&lt;&gt;""),IF(AND(E1264&gt;=LedFrom,E1264&lt;=LedTo,OR(I1264=LedAcct,K1264=LedAcct,AND(LedAcct=acctTax,M1264+N1264&lt;&gt;0))),E1264*10000+B1264,""),"")</f>
        <v/>
      </c>
    </row>
    <row r="1265">
      <c r="B1265" s="101" t="n">
        <v>1259</v>
      </c>
      <c r="C1265" s="58" t="inlineStr">
        <is>
          <t>Transaction</t>
        </is>
      </c>
      <c r="D1265" s="58">
        <f>IF(H1265=1,INDEX(tx_ID,1259)&amp;"","")</f>
        <v/>
      </c>
      <c r="E1265" s="94">
        <f>IF(H1265=1,INDEX(tx_Date,1259),"")</f>
        <v/>
      </c>
      <c r="F1265" s="58">
        <f>IF(H1265=1,INDEX(tx_Desc,1259)&amp;"","")</f>
        <v/>
      </c>
      <c r="G1265" s="58">
        <f>IF(H1265=1,IF(INDEX(tx_Cust,1259)&amp;""&lt;&gt;"",INDEX(tx_Cust,1259)&amp;"",INDEX(tx_Vend,1259)&amp;""),"")</f>
        <v/>
      </c>
      <c r="H1265" s="101">
        <f>IFERROR(N(INDEX(tx_Posted,1259)),0)</f>
        <v/>
      </c>
      <c r="I1265" s="58">
        <f>IF(H1265=1,INDEX(tx_DrAcct,1259)&amp;"","")</f>
        <v/>
      </c>
      <c r="J1265" s="95">
        <f>IF(H1265=1,INDEX(tx_DrAmt,1259),0)</f>
        <v/>
      </c>
      <c r="K1265" s="58">
        <f>IF(H1265=1,INDEX(tx_CrAcct,1259)&amp;"","")</f>
        <v/>
      </c>
      <c r="L1265" s="95">
        <f>IF(H1265=1,INDEX(tx_CrAmt,1259),0)</f>
        <v/>
      </c>
      <c r="M1265" s="95">
        <f>IF(H1265=1,INDEX(tx_TaxDr,1259),0)</f>
        <v/>
      </c>
      <c r="N1265" s="95">
        <f>IF(H1265=1,INDEX(tx_TaxCr,1259),0)</f>
        <v/>
      </c>
      <c r="O1265" s="101">
        <f>IF(H1265=1,IF(E1265&lt;FYStart,0,IF(E1265&gt;FYEnd,13,YEAR(E1265)*12+MONTH(E1265)-FYYM+1)),"")</f>
        <v/>
      </c>
      <c r="P1265" s="101">
        <f>IF(H1265=1,IF(IFERROR(INDEX(coa_CF,MATCH(I1265,coa_Name,0)),"")="Cash",1,0),0)</f>
        <v/>
      </c>
      <c r="Q1265" s="101">
        <f>IF(H1265=1,IF(IFERROR(INDEX(coa_CF,MATCH(K1265,coa_Name,0)),"")="Cash",1,0),0)</f>
        <v/>
      </c>
      <c r="R1265" s="58">
        <f>IF((P1265-Q1265)=0,"",IFERROR(INDEX(coa_CF,MATCH(IF((P1265-Q1265)=1,K1265,I1265),coa_Name,0)),"Operating"))</f>
        <v/>
      </c>
      <c r="S1265" s="95">
        <f>IF((P1265-Q1265)=1,L1265,IF((P1265-Q1265)=-1,-J1265,0))</f>
        <v/>
      </c>
      <c r="T1265" s="95">
        <f>IF((P1265-Q1265)=1,N1265,IF((P1265-Q1265)=-1,-M1265,0))</f>
        <v/>
      </c>
      <c r="U1265" s="101">
        <f>IF(AND(H1265=1,LedAcct&lt;&gt;""),IF(AND(E1265&gt;=LedFrom,E1265&lt;=LedTo,OR(I1265=LedAcct,K1265=LedAcct,AND(LedAcct=acctTax,M1265+N1265&lt;&gt;0))),E1265*10000+B1265,""),"")</f>
        <v/>
      </c>
    </row>
    <row r="1266">
      <c r="B1266" s="101" t="n">
        <v>1260</v>
      </c>
      <c r="C1266" s="58" t="inlineStr">
        <is>
          <t>Transaction</t>
        </is>
      </c>
      <c r="D1266" s="58">
        <f>IF(H1266=1,INDEX(tx_ID,1260)&amp;"","")</f>
        <v/>
      </c>
      <c r="E1266" s="94">
        <f>IF(H1266=1,INDEX(tx_Date,1260),"")</f>
        <v/>
      </c>
      <c r="F1266" s="58">
        <f>IF(H1266=1,INDEX(tx_Desc,1260)&amp;"","")</f>
        <v/>
      </c>
      <c r="G1266" s="58">
        <f>IF(H1266=1,IF(INDEX(tx_Cust,1260)&amp;""&lt;&gt;"",INDEX(tx_Cust,1260)&amp;"",INDEX(tx_Vend,1260)&amp;""),"")</f>
        <v/>
      </c>
      <c r="H1266" s="101">
        <f>IFERROR(N(INDEX(tx_Posted,1260)),0)</f>
        <v/>
      </c>
      <c r="I1266" s="58">
        <f>IF(H1266=1,INDEX(tx_DrAcct,1260)&amp;"","")</f>
        <v/>
      </c>
      <c r="J1266" s="95">
        <f>IF(H1266=1,INDEX(tx_DrAmt,1260),0)</f>
        <v/>
      </c>
      <c r="K1266" s="58">
        <f>IF(H1266=1,INDEX(tx_CrAcct,1260)&amp;"","")</f>
        <v/>
      </c>
      <c r="L1266" s="95">
        <f>IF(H1266=1,INDEX(tx_CrAmt,1260),0)</f>
        <v/>
      </c>
      <c r="M1266" s="95">
        <f>IF(H1266=1,INDEX(tx_TaxDr,1260),0)</f>
        <v/>
      </c>
      <c r="N1266" s="95">
        <f>IF(H1266=1,INDEX(tx_TaxCr,1260),0)</f>
        <v/>
      </c>
      <c r="O1266" s="101">
        <f>IF(H1266=1,IF(E1266&lt;FYStart,0,IF(E1266&gt;FYEnd,13,YEAR(E1266)*12+MONTH(E1266)-FYYM+1)),"")</f>
        <v/>
      </c>
      <c r="P1266" s="101">
        <f>IF(H1266=1,IF(IFERROR(INDEX(coa_CF,MATCH(I1266,coa_Name,0)),"")="Cash",1,0),0)</f>
        <v/>
      </c>
      <c r="Q1266" s="101">
        <f>IF(H1266=1,IF(IFERROR(INDEX(coa_CF,MATCH(K1266,coa_Name,0)),"")="Cash",1,0),0)</f>
        <v/>
      </c>
      <c r="R1266" s="58">
        <f>IF((P1266-Q1266)=0,"",IFERROR(INDEX(coa_CF,MATCH(IF((P1266-Q1266)=1,K1266,I1266),coa_Name,0)),"Operating"))</f>
        <v/>
      </c>
      <c r="S1266" s="95">
        <f>IF((P1266-Q1266)=1,L1266,IF((P1266-Q1266)=-1,-J1266,0))</f>
        <v/>
      </c>
      <c r="T1266" s="95">
        <f>IF((P1266-Q1266)=1,N1266,IF((P1266-Q1266)=-1,-M1266,0))</f>
        <v/>
      </c>
      <c r="U1266" s="101">
        <f>IF(AND(H1266=1,LedAcct&lt;&gt;""),IF(AND(E1266&gt;=LedFrom,E1266&lt;=LedTo,OR(I1266=LedAcct,K1266=LedAcct,AND(LedAcct=acctTax,M1266+N1266&lt;&gt;0))),E1266*10000+B1266,""),"")</f>
        <v/>
      </c>
    </row>
    <row r="1267">
      <c r="B1267" s="101" t="n">
        <v>1261</v>
      </c>
      <c r="C1267" s="58" t="inlineStr">
        <is>
          <t>Transaction</t>
        </is>
      </c>
      <c r="D1267" s="58">
        <f>IF(H1267=1,INDEX(tx_ID,1261)&amp;"","")</f>
        <v/>
      </c>
      <c r="E1267" s="94">
        <f>IF(H1267=1,INDEX(tx_Date,1261),"")</f>
        <v/>
      </c>
      <c r="F1267" s="58">
        <f>IF(H1267=1,INDEX(tx_Desc,1261)&amp;"","")</f>
        <v/>
      </c>
      <c r="G1267" s="58">
        <f>IF(H1267=1,IF(INDEX(tx_Cust,1261)&amp;""&lt;&gt;"",INDEX(tx_Cust,1261)&amp;"",INDEX(tx_Vend,1261)&amp;""),"")</f>
        <v/>
      </c>
      <c r="H1267" s="101">
        <f>IFERROR(N(INDEX(tx_Posted,1261)),0)</f>
        <v/>
      </c>
      <c r="I1267" s="58">
        <f>IF(H1267=1,INDEX(tx_DrAcct,1261)&amp;"","")</f>
        <v/>
      </c>
      <c r="J1267" s="95">
        <f>IF(H1267=1,INDEX(tx_DrAmt,1261),0)</f>
        <v/>
      </c>
      <c r="K1267" s="58">
        <f>IF(H1267=1,INDEX(tx_CrAcct,1261)&amp;"","")</f>
        <v/>
      </c>
      <c r="L1267" s="95">
        <f>IF(H1267=1,INDEX(tx_CrAmt,1261),0)</f>
        <v/>
      </c>
      <c r="M1267" s="95">
        <f>IF(H1267=1,INDEX(tx_TaxDr,1261),0)</f>
        <v/>
      </c>
      <c r="N1267" s="95">
        <f>IF(H1267=1,INDEX(tx_TaxCr,1261),0)</f>
        <v/>
      </c>
      <c r="O1267" s="101">
        <f>IF(H1267=1,IF(E1267&lt;FYStart,0,IF(E1267&gt;FYEnd,13,YEAR(E1267)*12+MONTH(E1267)-FYYM+1)),"")</f>
        <v/>
      </c>
      <c r="P1267" s="101">
        <f>IF(H1267=1,IF(IFERROR(INDEX(coa_CF,MATCH(I1267,coa_Name,0)),"")="Cash",1,0),0)</f>
        <v/>
      </c>
      <c r="Q1267" s="101">
        <f>IF(H1267=1,IF(IFERROR(INDEX(coa_CF,MATCH(K1267,coa_Name,0)),"")="Cash",1,0),0)</f>
        <v/>
      </c>
      <c r="R1267" s="58">
        <f>IF((P1267-Q1267)=0,"",IFERROR(INDEX(coa_CF,MATCH(IF((P1267-Q1267)=1,K1267,I1267),coa_Name,0)),"Operating"))</f>
        <v/>
      </c>
      <c r="S1267" s="95">
        <f>IF((P1267-Q1267)=1,L1267,IF((P1267-Q1267)=-1,-J1267,0))</f>
        <v/>
      </c>
      <c r="T1267" s="95">
        <f>IF((P1267-Q1267)=1,N1267,IF((P1267-Q1267)=-1,-M1267,0))</f>
        <v/>
      </c>
      <c r="U1267" s="101">
        <f>IF(AND(H1267=1,LedAcct&lt;&gt;""),IF(AND(E1267&gt;=LedFrom,E1267&lt;=LedTo,OR(I1267=LedAcct,K1267=LedAcct,AND(LedAcct=acctTax,M1267+N1267&lt;&gt;0))),E1267*10000+B1267,""),"")</f>
        <v/>
      </c>
    </row>
    <row r="1268">
      <c r="B1268" s="101" t="n">
        <v>1262</v>
      </c>
      <c r="C1268" s="58" t="inlineStr">
        <is>
          <t>Transaction</t>
        </is>
      </c>
      <c r="D1268" s="58">
        <f>IF(H1268=1,INDEX(tx_ID,1262)&amp;"","")</f>
        <v/>
      </c>
      <c r="E1268" s="94">
        <f>IF(H1268=1,INDEX(tx_Date,1262),"")</f>
        <v/>
      </c>
      <c r="F1268" s="58">
        <f>IF(H1268=1,INDEX(tx_Desc,1262)&amp;"","")</f>
        <v/>
      </c>
      <c r="G1268" s="58">
        <f>IF(H1268=1,IF(INDEX(tx_Cust,1262)&amp;""&lt;&gt;"",INDEX(tx_Cust,1262)&amp;"",INDEX(tx_Vend,1262)&amp;""),"")</f>
        <v/>
      </c>
      <c r="H1268" s="101">
        <f>IFERROR(N(INDEX(tx_Posted,1262)),0)</f>
        <v/>
      </c>
      <c r="I1268" s="58">
        <f>IF(H1268=1,INDEX(tx_DrAcct,1262)&amp;"","")</f>
        <v/>
      </c>
      <c r="J1268" s="95">
        <f>IF(H1268=1,INDEX(tx_DrAmt,1262),0)</f>
        <v/>
      </c>
      <c r="K1268" s="58">
        <f>IF(H1268=1,INDEX(tx_CrAcct,1262)&amp;"","")</f>
        <v/>
      </c>
      <c r="L1268" s="95">
        <f>IF(H1268=1,INDEX(tx_CrAmt,1262),0)</f>
        <v/>
      </c>
      <c r="M1268" s="95">
        <f>IF(H1268=1,INDEX(tx_TaxDr,1262),0)</f>
        <v/>
      </c>
      <c r="N1268" s="95">
        <f>IF(H1268=1,INDEX(tx_TaxCr,1262),0)</f>
        <v/>
      </c>
      <c r="O1268" s="101">
        <f>IF(H1268=1,IF(E1268&lt;FYStart,0,IF(E1268&gt;FYEnd,13,YEAR(E1268)*12+MONTH(E1268)-FYYM+1)),"")</f>
        <v/>
      </c>
      <c r="P1268" s="101">
        <f>IF(H1268=1,IF(IFERROR(INDEX(coa_CF,MATCH(I1268,coa_Name,0)),"")="Cash",1,0),0)</f>
        <v/>
      </c>
      <c r="Q1268" s="101">
        <f>IF(H1268=1,IF(IFERROR(INDEX(coa_CF,MATCH(K1268,coa_Name,0)),"")="Cash",1,0),0)</f>
        <v/>
      </c>
      <c r="R1268" s="58">
        <f>IF((P1268-Q1268)=0,"",IFERROR(INDEX(coa_CF,MATCH(IF((P1268-Q1268)=1,K1268,I1268),coa_Name,0)),"Operating"))</f>
        <v/>
      </c>
      <c r="S1268" s="95">
        <f>IF((P1268-Q1268)=1,L1268,IF((P1268-Q1268)=-1,-J1268,0))</f>
        <v/>
      </c>
      <c r="T1268" s="95">
        <f>IF((P1268-Q1268)=1,N1268,IF((P1268-Q1268)=-1,-M1268,0))</f>
        <v/>
      </c>
      <c r="U1268" s="101">
        <f>IF(AND(H1268=1,LedAcct&lt;&gt;""),IF(AND(E1268&gt;=LedFrom,E1268&lt;=LedTo,OR(I1268=LedAcct,K1268=LedAcct,AND(LedAcct=acctTax,M1268+N1268&lt;&gt;0))),E1268*10000+B1268,""),"")</f>
        <v/>
      </c>
    </row>
    <row r="1269">
      <c r="B1269" s="101" t="n">
        <v>1263</v>
      </c>
      <c r="C1269" s="58" t="inlineStr">
        <is>
          <t>Transaction</t>
        </is>
      </c>
      <c r="D1269" s="58">
        <f>IF(H1269=1,INDEX(tx_ID,1263)&amp;"","")</f>
        <v/>
      </c>
      <c r="E1269" s="94">
        <f>IF(H1269=1,INDEX(tx_Date,1263),"")</f>
        <v/>
      </c>
      <c r="F1269" s="58">
        <f>IF(H1269=1,INDEX(tx_Desc,1263)&amp;"","")</f>
        <v/>
      </c>
      <c r="G1269" s="58">
        <f>IF(H1269=1,IF(INDEX(tx_Cust,1263)&amp;""&lt;&gt;"",INDEX(tx_Cust,1263)&amp;"",INDEX(tx_Vend,1263)&amp;""),"")</f>
        <v/>
      </c>
      <c r="H1269" s="101">
        <f>IFERROR(N(INDEX(tx_Posted,1263)),0)</f>
        <v/>
      </c>
      <c r="I1269" s="58">
        <f>IF(H1269=1,INDEX(tx_DrAcct,1263)&amp;"","")</f>
        <v/>
      </c>
      <c r="J1269" s="95">
        <f>IF(H1269=1,INDEX(tx_DrAmt,1263),0)</f>
        <v/>
      </c>
      <c r="K1269" s="58">
        <f>IF(H1269=1,INDEX(tx_CrAcct,1263)&amp;"","")</f>
        <v/>
      </c>
      <c r="L1269" s="95">
        <f>IF(H1269=1,INDEX(tx_CrAmt,1263),0)</f>
        <v/>
      </c>
      <c r="M1269" s="95">
        <f>IF(H1269=1,INDEX(tx_TaxDr,1263),0)</f>
        <v/>
      </c>
      <c r="N1269" s="95">
        <f>IF(H1269=1,INDEX(tx_TaxCr,1263),0)</f>
        <v/>
      </c>
      <c r="O1269" s="101">
        <f>IF(H1269=1,IF(E1269&lt;FYStart,0,IF(E1269&gt;FYEnd,13,YEAR(E1269)*12+MONTH(E1269)-FYYM+1)),"")</f>
        <v/>
      </c>
      <c r="P1269" s="101">
        <f>IF(H1269=1,IF(IFERROR(INDEX(coa_CF,MATCH(I1269,coa_Name,0)),"")="Cash",1,0),0)</f>
        <v/>
      </c>
      <c r="Q1269" s="101">
        <f>IF(H1269=1,IF(IFERROR(INDEX(coa_CF,MATCH(K1269,coa_Name,0)),"")="Cash",1,0),0)</f>
        <v/>
      </c>
      <c r="R1269" s="58">
        <f>IF((P1269-Q1269)=0,"",IFERROR(INDEX(coa_CF,MATCH(IF((P1269-Q1269)=1,K1269,I1269),coa_Name,0)),"Operating"))</f>
        <v/>
      </c>
      <c r="S1269" s="95">
        <f>IF((P1269-Q1269)=1,L1269,IF((P1269-Q1269)=-1,-J1269,0))</f>
        <v/>
      </c>
      <c r="T1269" s="95">
        <f>IF((P1269-Q1269)=1,N1269,IF((P1269-Q1269)=-1,-M1269,0))</f>
        <v/>
      </c>
      <c r="U1269" s="101">
        <f>IF(AND(H1269=1,LedAcct&lt;&gt;""),IF(AND(E1269&gt;=LedFrom,E1269&lt;=LedTo,OR(I1269=LedAcct,K1269=LedAcct,AND(LedAcct=acctTax,M1269+N1269&lt;&gt;0))),E1269*10000+B1269,""),"")</f>
        <v/>
      </c>
    </row>
    <row r="1270">
      <c r="B1270" s="101" t="n">
        <v>1264</v>
      </c>
      <c r="C1270" s="58" t="inlineStr">
        <is>
          <t>Transaction</t>
        </is>
      </c>
      <c r="D1270" s="58">
        <f>IF(H1270=1,INDEX(tx_ID,1264)&amp;"","")</f>
        <v/>
      </c>
      <c r="E1270" s="94">
        <f>IF(H1270=1,INDEX(tx_Date,1264),"")</f>
        <v/>
      </c>
      <c r="F1270" s="58">
        <f>IF(H1270=1,INDEX(tx_Desc,1264)&amp;"","")</f>
        <v/>
      </c>
      <c r="G1270" s="58">
        <f>IF(H1270=1,IF(INDEX(tx_Cust,1264)&amp;""&lt;&gt;"",INDEX(tx_Cust,1264)&amp;"",INDEX(tx_Vend,1264)&amp;""),"")</f>
        <v/>
      </c>
      <c r="H1270" s="101">
        <f>IFERROR(N(INDEX(tx_Posted,1264)),0)</f>
        <v/>
      </c>
      <c r="I1270" s="58">
        <f>IF(H1270=1,INDEX(tx_DrAcct,1264)&amp;"","")</f>
        <v/>
      </c>
      <c r="J1270" s="95">
        <f>IF(H1270=1,INDEX(tx_DrAmt,1264),0)</f>
        <v/>
      </c>
      <c r="K1270" s="58">
        <f>IF(H1270=1,INDEX(tx_CrAcct,1264)&amp;"","")</f>
        <v/>
      </c>
      <c r="L1270" s="95">
        <f>IF(H1270=1,INDEX(tx_CrAmt,1264),0)</f>
        <v/>
      </c>
      <c r="M1270" s="95">
        <f>IF(H1270=1,INDEX(tx_TaxDr,1264),0)</f>
        <v/>
      </c>
      <c r="N1270" s="95">
        <f>IF(H1270=1,INDEX(tx_TaxCr,1264),0)</f>
        <v/>
      </c>
      <c r="O1270" s="101">
        <f>IF(H1270=1,IF(E1270&lt;FYStart,0,IF(E1270&gt;FYEnd,13,YEAR(E1270)*12+MONTH(E1270)-FYYM+1)),"")</f>
        <v/>
      </c>
      <c r="P1270" s="101">
        <f>IF(H1270=1,IF(IFERROR(INDEX(coa_CF,MATCH(I1270,coa_Name,0)),"")="Cash",1,0),0)</f>
        <v/>
      </c>
      <c r="Q1270" s="101">
        <f>IF(H1270=1,IF(IFERROR(INDEX(coa_CF,MATCH(K1270,coa_Name,0)),"")="Cash",1,0),0)</f>
        <v/>
      </c>
      <c r="R1270" s="58">
        <f>IF((P1270-Q1270)=0,"",IFERROR(INDEX(coa_CF,MATCH(IF((P1270-Q1270)=1,K1270,I1270),coa_Name,0)),"Operating"))</f>
        <v/>
      </c>
      <c r="S1270" s="95">
        <f>IF((P1270-Q1270)=1,L1270,IF((P1270-Q1270)=-1,-J1270,0))</f>
        <v/>
      </c>
      <c r="T1270" s="95">
        <f>IF((P1270-Q1270)=1,N1270,IF((P1270-Q1270)=-1,-M1270,0))</f>
        <v/>
      </c>
      <c r="U1270" s="101">
        <f>IF(AND(H1270=1,LedAcct&lt;&gt;""),IF(AND(E1270&gt;=LedFrom,E1270&lt;=LedTo,OR(I1270=LedAcct,K1270=LedAcct,AND(LedAcct=acctTax,M1270+N1270&lt;&gt;0))),E1270*10000+B1270,""),"")</f>
        <v/>
      </c>
    </row>
    <row r="1271">
      <c r="B1271" s="101" t="n">
        <v>1265</v>
      </c>
      <c r="C1271" s="58" t="inlineStr">
        <is>
          <t>Transaction</t>
        </is>
      </c>
      <c r="D1271" s="58">
        <f>IF(H1271=1,INDEX(tx_ID,1265)&amp;"","")</f>
        <v/>
      </c>
      <c r="E1271" s="94">
        <f>IF(H1271=1,INDEX(tx_Date,1265),"")</f>
        <v/>
      </c>
      <c r="F1271" s="58">
        <f>IF(H1271=1,INDEX(tx_Desc,1265)&amp;"","")</f>
        <v/>
      </c>
      <c r="G1271" s="58">
        <f>IF(H1271=1,IF(INDEX(tx_Cust,1265)&amp;""&lt;&gt;"",INDEX(tx_Cust,1265)&amp;"",INDEX(tx_Vend,1265)&amp;""),"")</f>
        <v/>
      </c>
      <c r="H1271" s="101">
        <f>IFERROR(N(INDEX(tx_Posted,1265)),0)</f>
        <v/>
      </c>
      <c r="I1271" s="58">
        <f>IF(H1271=1,INDEX(tx_DrAcct,1265)&amp;"","")</f>
        <v/>
      </c>
      <c r="J1271" s="95">
        <f>IF(H1271=1,INDEX(tx_DrAmt,1265),0)</f>
        <v/>
      </c>
      <c r="K1271" s="58">
        <f>IF(H1271=1,INDEX(tx_CrAcct,1265)&amp;"","")</f>
        <v/>
      </c>
      <c r="L1271" s="95">
        <f>IF(H1271=1,INDEX(tx_CrAmt,1265),0)</f>
        <v/>
      </c>
      <c r="M1271" s="95">
        <f>IF(H1271=1,INDEX(tx_TaxDr,1265),0)</f>
        <v/>
      </c>
      <c r="N1271" s="95">
        <f>IF(H1271=1,INDEX(tx_TaxCr,1265),0)</f>
        <v/>
      </c>
      <c r="O1271" s="101">
        <f>IF(H1271=1,IF(E1271&lt;FYStart,0,IF(E1271&gt;FYEnd,13,YEAR(E1271)*12+MONTH(E1271)-FYYM+1)),"")</f>
        <v/>
      </c>
      <c r="P1271" s="101">
        <f>IF(H1271=1,IF(IFERROR(INDEX(coa_CF,MATCH(I1271,coa_Name,0)),"")="Cash",1,0),0)</f>
        <v/>
      </c>
      <c r="Q1271" s="101">
        <f>IF(H1271=1,IF(IFERROR(INDEX(coa_CF,MATCH(K1271,coa_Name,0)),"")="Cash",1,0),0)</f>
        <v/>
      </c>
      <c r="R1271" s="58">
        <f>IF((P1271-Q1271)=0,"",IFERROR(INDEX(coa_CF,MATCH(IF((P1271-Q1271)=1,K1271,I1271),coa_Name,0)),"Operating"))</f>
        <v/>
      </c>
      <c r="S1271" s="95">
        <f>IF((P1271-Q1271)=1,L1271,IF((P1271-Q1271)=-1,-J1271,0))</f>
        <v/>
      </c>
      <c r="T1271" s="95">
        <f>IF((P1271-Q1271)=1,N1271,IF((P1271-Q1271)=-1,-M1271,0))</f>
        <v/>
      </c>
      <c r="U1271" s="101">
        <f>IF(AND(H1271=1,LedAcct&lt;&gt;""),IF(AND(E1271&gt;=LedFrom,E1271&lt;=LedTo,OR(I1271=LedAcct,K1271=LedAcct,AND(LedAcct=acctTax,M1271+N1271&lt;&gt;0))),E1271*10000+B1271,""),"")</f>
        <v/>
      </c>
    </row>
    <row r="1272">
      <c r="B1272" s="101" t="n">
        <v>1266</v>
      </c>
      <c r="C1272" s="58" t="inlineStr">
        <is>
          <t>Transaction</t>
        </is>
      </c>
      <c r="D1272" s="58">
        <f>IF(H1272=1,INDEX(tx_ID,1266)&amp;"","")</f>
        <v/>
      </c>
      <c r="E1272" s="94">
        <f>IF(H1272=1,INDEX(tx_Date,1266),"")</f>
        <v/>
      </c>
      <c r="F1272" s="58">
        <f>IF(H1272=1,INDEX(tx_Desc,1266)&amp;"","")</f>
        <v/>
      </c>
      <c r="G1272" s="58">
        <f>IF(H1272=1,IF(INDEX(tx_Cust,1266)&amp;""&lt;&gt;"",INDEX(tx_Cust,1266)&amp;"",INDEX(tx_Vend,1266)&amp;""),"")</f>
        <v/>
      </c>
      <c r="H1272" s="101">
        <f>IFERROR(N(INDEX(tx_Posted,1266)),0)</f>
        <v/>
      </c>
      <c r="I1272" s="58">
        <f>IF(H1272=1,INDEX(tx_DrAcct,1266)&amp;"","")</f>
        <v/>
      </c>
      <c r="J1272" s="95">
        <f>IF(H1272=1,INDEX(tx_DrAmt,1266),0)</f>
        <v/>
      </c>
      <c r="K1272" s="58">
        <f>IF(H1272=1,INDEX(tx_CrAcct,1266)&amp;"","")</f>
        <v/>
      </c>
      <c r="L1272" s="95">
        <f>IF(H1272=1,INDEX(tx_CrAmt,1266),0)</f>
        <v/>
      </c>
      <c r="M1272" s="95">
        <f>IF(H1272=1,INDEX(tx_TaxDr,1266),0)</f>
        <v/>
      </c>
      <c r="N1272" s="95">
        <f>IF(H1272=1,INDEX(tx_TaxCr,1266),0)</f>
        <v/>
      </c>
      <c r="O1272" s="101">
        <f>IF(H1272=1,IF(E1272&lt;FYStart,0,IF(E1272&gt;FYEnd,13,YEAR(E1272)*12+MONTH(E1272)-FYYM+1)),"")</f>
        <v/>
      </c>
      <c r="P1272" s="101">
        <f>IF(H1272=1,IF(IFERROR(INDEX(coa_CF,MATCH(I1272,coa_Name,0)),"")="Cash",1,0),0)</f>
        <v/>
      </c>
      <c r="Q1272" s="101">
        <f>IF(H1272=1,IF(IFERROR(INDEX(coa_CF,MATCH(K1272,coa_Name,0)),"")="Cash",1,0),0)</f>
        <v/>
      </c>
      <c r="R1272" s="58">
        <f>IF((P1272-Q1272)=0,"",IFERROR(INDEX(coa_CF,MATCH(IF((P1272-Q1272)=1,K1272,I1272),coa_Name,0)),"Operating"))</f>
        <v/>
      </c>
      <c r="S1272" s="95">
        <f>IF((P1272-Q1272)=1,L1272,IF((P1272-Q1272)=-1,-J1272,0))</f>
        <v/>
      </c>
      <c r="T1272" s="95">
        <f>IF((P1272-Q1272)=1,N1272,IF((P1272-Q1272)=-1,-M1272,0))</f>
        <v/>
      </c>
      <c r="U1272" s="101">
        <f>IF(AND(H1272=1,LedAcct&lt;&gt;""),IF(AND(E1272&gt;=LedFrom,E1272&lt;=LedTo,OR(I1272=LedAcct,K1272=LedAcct,AND(LedAcct=acctTax,M1272+N1272&lt;&gt;0))),E1272*10000+B1272,""),"")</f>
        <v/>
      </c>
    </row>
    <row r="1273">
      <c r="B1273" s="101" t="n">
        <v>1267</v>
      </c>
      <c r="C1273" s="58" t="inlineStr">
        <is>
          <t>Transaction</t>
        </is>
      </c>
      <c r="D1273" s="58">
        <f>IF(H1273=1,INDEX(tx_ID,1267)&amp;"","")</f>
        <v/>
      </c>
      <c r="E1273" s="94">
        <f>IF(H1273=1,INDEX(tx_Date,1267),"")</f>
        <v/>
      </c>
      <c r="F1273" s="58">
        <f>IF(H1273=1,INDEX(tx_Desc,1267)&amp;"","")</f>
        <v/>
      </c>
      <c r="G1273" s="58">
        <f>IF(H1273=1,IF(INDEX(tx_Cust,1267)&amp;""&lt;&gt;"",INDEX(tx_Cust,1267)&amp;"",INDEX(tx_Vend,1267)&amp;""),"")</f>
        <v/>
      </c>
      <c r="H1273" s="101">
        <f>IFERROR(N(INDEX(tx_Posted,1267)),0)</f>
        <v/>
      </c>
      <c r="I1273" s="58">
        <f>IF(H1273=1,INDEX(tx_DrAcct,1267)&amp;"","")</f>
        <v/>
      </c>
      <c r="J1273" s="95">
        <f>IF(H1273=1,INDEX(tx_DrAmt,1267),0)</f>
        <v/>
      </c>
      <c r="K1273" s="58">
        <f>IF(H1273=1,INDEX(tx_CrAcct,1267)&amp;"","")</f>
        <v/>
      </c>
      <c r="L1273" s="95">
        <f>IF(H1273=1,INDEX(tx_CrAmt,1267),0)</f>
        <v/>
      </c>
      <c r="M1273" s="95">
        <f>IF(H1273=1,INDEX(tx_TaxDr,1267),0)</f>
        <v/>
      </c>
      <c r="N1273" s="95">
        <f>IF(H1273=1,INDEX(tx_TaxCr,1267),0)</f>
        <v/>
      </c>
      <c r="O1273" s="101">
        <f>IF(H1273=1,IF(E1273&lt;FYStart,0,IF(E1273&gt;FYEnd,13,YEAR(E1273)*12+MONTH(E1273)-FYYM+1)),"")</f>
        <v/>
      </c>
      <c r="P1273" s="101">
        <f>IF(H1273=1,IF(IFERROR(INDEX(coa_CF,MATCH(I1273,coa_Name,0)),"")="Cash",1,0),0)</f>
        <v/>
      </c>
      <c r="Q1273" s="101">
        <f>IF(H1273=1,IF(IFERROR(INDEX(coa_CF,MATCH(K1273,coa_Name,0)),"")="Cash",1,0),0)</f>
        <v/>
      </c>
      <c r="R1273" s="58">
        <f>IF((P1273-Q1273)=0,"",IFERROR(INDEX(coa_CF,MATCH(IF((P1273-Q1273)=1,K1273,I1273),coa_Name,0)),"Operating"))</f>
        <v/>
      </c>
      <c r="S1273" s="95">
        <f>IF((P1273-Q1273)=1,L1273,IF((P1273-Q1273)=-1,-J1273,0))</f>
        <v/>
      </c>
      <c r="T1273" s="95">
        <f>IF((P1273-Q1273)=1,N1273,IF((P1273-Q1273)=-1,-M1273,0))</f>
        <v/>
      </c>
      <c r="U1273" s="101">
        <f>IF(AND(H1273=1,LedAcct&lt;&gt;""),IF(AND(E1273&gt;=LedFrom,E1273&lt;=LedTo,OR(I1273=LedAcct,K1273=LedAcct,AND(LedAcct=acctTax,M1273+N1273&lt;&gt;0))),E1273*10000+B1273,""),"")</f>
        <v/>
      </c>
    </row>
    <row r="1274">
      <c r="B1274" s="101" t="n">
        <v>1268</v>
      </c>
      <c r="C1274" s="58" t="inlineStr">
        <is>
          <t>Transaction</t>
        </is>
      </c>
      <c r="D1274" s="58">
        <f>IF(H1274=1,INDEX(tx_ID,1268)&amp;"","")</f>
        <v/>
      </c>
      <c r="E1274" s="94">
        <f>IF(H1274=1,INDEX(tx_Date,1268),"")</f>
        <v/>
      </c>
      <c r="F1274" s="58">
        <f>IF(H1274=1,INDEX(tx_Desc,1268)&amp;"","")</f>
        <v/>
      </c>
      <c r="G1274" s="58">
        <f>IF(H1274=1,IF(INDEX(tx_Cust,1268)&amp;""&lt;&gt;"",INDEX(tx_Cust,1268)&amp;"",INDEX(tx_Vend,1268)&amp;""),"")</f>
        <v/>
      </c>
      <c r="H1274" s="101">
        <f>IFERROR(N(INDEX(tx_Posted,1268)),0)</f>
        <v/>
      </c>
      <c r="I1274" s="58">
        <f>IF(H1274=1,INDEX(tx_DrAcct,1268)&amp;"","")</f>
        <v/>
      </c>
      <c r="J1274" s="95">
        <f>IF(H1274=1,INDEX(tx_DrAmt,1268),0)</f>
        <v/>
      </c>
      <c r="K1274" s="58">
        <f>IF(H1274=1,INDEX(tx_CrAcct,1268)&amp;"","")</f>
        <v/>
      </c>
      <c r="L1274" s="95">
        <f>IF(H1274=1,INDEX(tx_CrAmt,1268),0)</f>
        <v/>
      </c>
      <c r="M1274" s="95">
        <f>IF(H1274=1,INDEX(tx_TaxDr,1268),0)</f>
        <v/>
      </c>
      <c r="N1274" s="95">
        <f>IF(H1274=1,INDEX(tx_TaxCr,1268),0)</f>
        <v/>
      </c>
      <c r="O1274" s="101">
        <f>IF(H1274=1,IF(E1274&lt;FYStart,0,IF(E1274&gt;FYEnd,13,YEAR(E1274)*12+MONTH(E1274)-FYYM+1)),"")</f>
        <v/>
      </c>
      <c r="P1274" s="101">
        <f>IF(H1274=1,IF(IFERROR(INDEX(coa_CF,MATCH(I1274,coa_Name,0)),"")="Cash",1,0),0)</f>
        <v/>
      </c>
      <c r="Q1274" s="101">
        <f>IF(H1274=1,IF(IFERROR(INDEX(coa_CF,MATCH(K1274,coa_Name,0)),"")="Cash",1,0),0)</f>
        <v/>
      </c>
      <c r="R1274" s="58">
        <f>IF((P1274-Q1274)=0,"",IFERROR(INDEX(coa_CF,MATCH(IF((P1274-Q1274)=1,K1274,I1274),coa_Name,0)),"Operating"))</f>
        <v/>
      </c>
      <c r="S1274" s="95">
        <f>IF((P1274-Q1274)=1,L1274,IF((P1274-Q1274)=-1,-J1274,0))</f>
        <v/>
      </c>
      <c r="T1274" s="95">
        <f>IF((P1274-Q1274)=1,N1274,IF((P1274-Q1274)=-1,-M1274,0))</f>
        <v/>
      </c>
      <c r="U1274" s="101">
        <f>IF(AND(H1274=1,LedAcct&lt;&gt;""),IF(AND(E1274&gt;=LedFrom,E1274&lt;=LedTo,OR(I1274=LedAcct,K1274=LedAcct,AND(LedAcct=acctTax,M1274+N1274&lt;&gt;0))),E1274*10000+B1274,""),"")</f>
        <v/>
      </c>
    </row>
    <row r="1275">
      <c r="B1275" s="101" t="n">
        <v>1269</v>
      </c>
      <c r="C1275" s="58" t="inlineStr">
        <is>
          <t>Transaction</t>
        </is>
      </c>
      <c r="D1275" s="58">
        <f>IF(H1275=1,INDEX(tx_ID,1269)&amp;"","")</f>
        <v/>
      </c>
      <c r="E1275" s="94">
        <f>IF(H1275=1,INDEX(tx_Date,1269),"")</f>
        <v/>
      </c>
      <c r="F1275" s="58">
        <f>IF(H1275=1,INDEX(tx_Desc,1269)&amp;"","")</f>
        <v/>
      </c>
      <c r="G1275" s="58">
        <f>IF(H1275=1,IF(INDEX(tx_Cust,1269)&amp;""&lt;&gt;"",INDEX(tx_Cust,1269)&amp;"",INDEX(tx_Vend,1269)&amp;""),"")</f>
        <v/>
      </c>
      <c r="H1275" s="101">
        <f>IFERROR(N(INDEX(tx_Posted,1269)),0)</f>
        <v/>
      </c>
      <c r="I1275" s="58">
        <f>IF(H1275=1,INDEX(tx_DrAcct,1269)&amp;"","")</f>
        <v/>
      </c>
      <c r="J1275" s="95">
        <f>IF(H1275=1,INDEX(tx_DrAmt,1269),0)</f>
        <v/>
      </c>
      <c r="K1275" s="58">
        <f>IF(H1275=1,INDEX(tx_CrAcct,1269)&amp;"","")</f>
        <v/>
      </c>
      <c r="L1275" s="95">
        <f>IF(H1275=1,INDEX(tx_CrAmt,1269),0)</f>
        <v/>
      </c>
      <c r="M1275" s="95">
        <f>IF(H1275=1,INDEX(tx_TaxDr,1269),0)</f>
        <v/>
      </c>
      <c r="N1275" s="95">
        <f>IF(H1275=1,INDEX(tx_TaxCr,1269),0)</f>
        <v/>
      </c>
      <c r="O1275" s="101">
        <f>IF(H1275=1,IF(E1275&lt;FYStart,0,IF(E1275&gt;FYEnd,13,YEAR(E1275)*12+MONTH(E1275)-FYYM+1)),"")</f>
        <v/>
      </c>
      <c r="P1275" s="101">
        <f>IF(H1275=1,IF(IFERROR(INDEX(coa_CF,MATCH(I1275,coa_Name,0)),"")="Cash",1,0),0)</f>
        <v/>
      </c>
      <c r="Q1275" s="101">
        <f>IF(H1275=1,IF(IFERROR(INDEX(coa_CF,MATCH(K1275,coa_Name,0)),"")="Cash",1,0),0)</f>
        <v/>
      </c>
      <c r="R1275" s="58">
        <f>IF((P1275-Q1275)=0,"",IFERROR(INDEX(coa_CF,MATCH(IF((P1275-Q1275)=1,K1275,I1275),coa_Name,0)),"Operating"))</f>
        <v/>
      </c>
      <c r="S1275" s="95">
        <f>IF((P1275-Q1275)=1,L1275,IF((P1275-Q1275)=-1,-J1275,0))</f>
        <v/>
      </c>
      <c r="T1275" s="95">
        <f>IF((P1275-Q1275)=1,N1275,IF((P1275-Q1275)=-1,-M1275,0))</f>
        <v/>
      </c>
      <c r="U1275" s="101">
        <f>IF(AND(H1275=1,LedAcct&lt;&gt;""),IF(AND(E1275&gt;=LedFrom,E1275&lt;=LedTo,OR(I1275=LedAcct,K1275=LedAcct,AND(LedAcct=acctTax,M1275+N1275&lt;&gt;0))),E1275*10000+B1275,""),"")</f>
        <v/>
      </c>
    </row>
    <row r="1276">
      <c r="B1276" s="101" t="n">
        <v>1270</v>
      </c>
      <c r="C1276" s="58" t="inlineStr">
        <is>
          <t>Transaction</t>
        </is>
      </c>
      <c r="D1276" s="58">
        <f>IF(H1276=1,INDEX(tx_ID,1270)&amp;"","")</f>
        <v/>
      </c>
      <c r="E1276" s="94">
        <f>IF(H1276=1,INDEX(tx_Date,1270),"")</f>
        <v/>
      </c>
      <c r="F1276" s="58">
        <f>IF(H1276=1,INDEX(tx_Desc,1270)&amp;"","")</f>
        <v/>
      </c>
      <c r="G1276" s="58">
        <f>IF(H1276=1,IF(INDEX(tx_Cust,1270)&amp;""&lt;&gt;"",INDEX(tx_Cust,1270)&amp;"",INDEX(tx_Vend,1270)&amp;""),"")</f>
        <v/>
      </c>
      <c r="H1276" s="101">
        <f>IFERROR(N(INDEX(tx_Posted,1270)),0)</f>
        <v/>
      </c>
      <c r="I1276" s="58">
        <f>IF(H1276=1,INDEX(tx_DrAcct,1270)&amp;"","")</f>
        <v/>
      </c>
      <c r="J1276" s="95">
        <f>IF(H1276=1,INDEX(tx_DrAmt,1270),0)</f>
        <v/>
      </c>
      <c r="K1276" s="58">
        <f>IF(H1276=1,INDEX(tx_CrAcct,1270)&amp;"","")</f>
        <v/>
      </c>
      <c r="L1276" s="95">
        <f>IF(H1276=1,INDEX(tx_CrAmt,1270),0)</f>
        <v/>
      </c>
      <c r="M1276" s="95">
        <f>IF(H1276=1,INDEX(tx_TaxDr,1270),0)</f>
        <v/>
      </c>
      <c r="N1276" s="95">
        <f>IF(H1276=1,INDEX(tx_TaxCr,1270),0)</f>
        <v/>
      </c>
      <c r="O1276" s="101">
        <f>IF(H1276=1,IF(E1276&lt;FYStart,0,IF(E1276&gt;FYEnd,13,YEAR(E1276)*12+MONTH(E1276)-FYYM+1)),"")</f>
        <v/>
      </c>
      <c r="P1276" s="101">
        <f>IF(H1276=1,IF(IFERROR(INDEX(coa_CF,MATCH(I1276,coa_Name,0)),"")="Cash",1,0),0)</f>
        <v/>
      </c>
      <c r="Q1276" s="101">
        <f>IF(H1276=1,IF(IFERROR(INDEX(coa_CF,MATCH(K1276,coa_Name,0)),"")="Cash",1,0),0)</f>
        <v/>
      </c>
      <c r="R1276" s="58">
        <f>IF((P1276-Q1276)=0,"",IFERROR(INDEX(coa_CF,MATCH(IF((P1276-Q1276)=1,K1276,I1276),coa_Name,0)),"Operating"))</f>
        <v/>
      </c>
      <c r="S1276" s="95">
        <f>IF((P1276-Q1276)=1,L1276,IF((P1276-Q1276)=-1,-J1276,0))</f>
        <v/>
      </c>
      <c r="T1276" s="95">
        <f>IF((P1276-Q1276)=1,N1276,IF((P1276-Q1276)=-1,-M1276,0))</f>
        <v/>
      </c>
      <c r="U1276" s="101">
        <f>IF(AND(H1276=1,LedAcct&lt;&gt;""),IF(AND(E1276&gt;=LedFrom,E1276&lt;=LedTo,OR(I1276=LedAcct,K1276=LedAcct,AND(LedAcct=acctTax,M1276+N1276&lt;&gt;0))),E1276*10000+B1276,""),"")</f>
        <v/>
      </c>
    </row>
    <row r="1277">
      <c r="B1277" s="101" t="n">
        <v>1271</v>
      </c>
      <c r="C1277" s="58" t="inlineStr">
        <is>
          <t>Transaction</t>
        </is>
      </c>
      <c r="D1277" s="58">
        <f>IF(H1277=1,INDEX(tx_ID,1271)&amp;"","")</f>
        <v/>
      </c>
      <c r="E1277" s="94">
        <f>IF(H1277=1,INDEX(tx_Date,1271),"")</f>
        <v/>
      </c>
      <c r="F1277" s="58">
        <f>IF(H1277=1,INDEX(tx_Desc,1271)&amp;"","")</f>
        <v/>
      </c>
      <c r="G1277" s="58">
        <f>IF(H1277=1,IF(INDEX(tx_Cust,1271)&amp;""&lt;&gt;"",INDEX(tx_Cust,1271)&amp;"",INDEX(tx_Vend,1271)&amp;""),"")</f>
        <v/>
      </c>
      <c r="H1277" s="101">
        <f>IFERROR(N(INDEX(tx_Posted,1271)),0)</f>
        <v/>
      </c>
      <c r="I1277" s="58">
        <f>IF(H1277=1,INDEX(tx_DrAcct,1271)&amp;"","")</f>
        <v/>
      </c>
      <c r="J1277" s="95">
        <f>IF(H1277=1,INDEX(tx_DrAmt,1271),0)</f>
        <v/>
      </c>
      <c r="K1277" s="58">
        <f>IF(H1277=1,INDEX(tx_CrAcct,1271)&amp;"","")</f>
        <v/>
      </c>
      <c r="L1277" s="95">
        <f>IF(H1277=1,INDEX(tx_CrAmt,1271),0)</f>
        <v/>
      </c>
      <c r="M1277" s="95">
        <f>IF(H1277=1,INDEX(tx_TaxDr,1271),0)</f>
        <v/>
      </c>
      <c r="N1277" s="95">
        <f>IF(H1277=1,INDEX(tx_TaxCr,1271),0)</f>
        <v/>
      </c>
      <c r="O1277" s="101">
        <f>IF(H1277=1,IF(E1277&lt;FYStart,0,IF(E1277&gt;FYEnd,13,YEAR(E1277)*12+MONTH(E1277)-FYYM+1)),"")</f>
        <v/>
      </c>
      <c r="P1277" s="101">
        <f>IF(H1277=1,IF(IFERROR(INDEX(coa_CF,MATCH(I1277,coa_Name,0)),"")="Cash",1,0),0)</f>
        <v/>
      </c>
      <c r="Q1277" s="101">
        <f>IF(H1277=1,IF(IFERROR(INDEX(coa_CF,MATCH(K1277,coa_Name,0)),"")="Cash",1,0),0)</f>
        <v/>
      </c>
      <c r="R1277" s="58">
        <f>IF((P1277-Q1277)=0,"",IFERROR(INDEX(coa_CF,MATCH(IF((P1277-Q1277)=1,K1277,I1277),coa_Name,0)),"Operating"))</f>
        <v/>
      </c>
      <c r="S1277" s="95">
        <f>IF((P1277-Q1277)=1,L1277,IF((P1277-Q1277)=-1,-J1277,0))</f>
        <v/>
      </c>
      <c r="T1277" s="95">
        <f>IF((P1277-Q1277)=1,N1277,IF((P1277-Q1277)=-1,-M1277,0))</f>
        <v/>
      </c>
      <c r="U1277" s="101">
        <f>IF(AND(H1277=1,LedAcct&lt;&gt;""),IF(AND(E1277&gt;=LedFrom,E1277&lt;=LedTo,OR(I1277=LedAcct,K1277=LedAcct,AND(LedAcct=acctTax,M1277+N1277&lt;&gt;0))),E1277*10000+B1277,""),"")</f>
        <v/>
      </c>
    </row>
    <row r="1278">
      <c r="B1278" s="101" t="n">
        <v>1272</v>
      </c>
      <c r="C1278" s="58" t="inlineStr">
        <is>
          <t>Transaction</t>
        </is>
      </c>
      <c r="D1278" s="58">
        <f>IF(H1278=1,INDEX(tx_ID,1272)&amp;"","")</f>
        <v/>
      </c>
      <c r="E1278" s="94">
        <f>IF(H1278=1,INDEX(tx_Date,1272),"")</f>
        <v/>
      </c>
      <c r="F1278" s="58">
        <f>IF(H1278=1,INDEX(tx_Desc,1272)&amp;"","")</f>
        <v/>
      </c>
      <c r="G1278" s="58">
        <f>IF(H1278=1,IF(INDEX(tx_Cust,1272)&amp;""&lt;&gt;"",INDEX(tx_Cust,1272)&amp;"",INDEX(tx_Vend,1272)&amp;""),"")</f>
        <v/>
      </c>
      <c r="H1278" s="101">
        <f>IFERROR(N(INDEX(tx_Posted,1272)),0)</f>
        <v/>
      </c>
      <c r="I1278" s="58">
        <f>IF(H1278=1,INDEX(tx_DrAcct,1272)&amp;"","")</f>
        <v/>
      </c>
      <c r="J1278" s="95">
        <f>IF(H1278=1,INDEX(tx_DrAmt,1272),0)</f>
        <v/>
      </c>
      <c r="K1278" s="58">
        <f>IF(H1278=1,INDEX(tx_CrAcct,1272)&amp;"","")</f>
        <v/>
      </c>
      <c r="L1278" s="95">
        <f>IF(H1278=1,INDEX(tx_CrAmt,1272),0)</f>
        <v/>
      </c>
      <c r="M1278" s="95">
        <f>IF(H1278=1,INDEX(tx_TaxDr,1272),0)</f>
        <v/>
      </c>
      <c r="N1278" s="95">
        <f>IF(H1278=1,INDEX(tx_TaxCr,1272),0)</f>
        <v/>
      </c>
      <c r="O1278" s="101">
        <f>IF(H1278=1,IF(E1278&lt;FYStart,0,IF(E1278&gt;FYEnd,13,YEAR(E1278)*12+MONTH(E1278)-FYYM+1)),"")</f>
        <v/>
      </c>
      <c r="P1278" s="101">
        <f>IF(H1278=1,IF(IFERROR(INDEX(coa_CF,MATCH(I1278,coa_Name,0)),"")="Cash",1,0),0)</f>
        <v/>
      </c>
      <c r="Q1278" s="101">
        <f>IF(H1278=1,IF(IFERROR(INDEX(coa_CF,MATCH(K1278,coa_Name,0)),"")="Cash",1,0),0)</f>
        <v/>
      </c>
      <c r="R1278" s="58">
        <f>IF((P1278-Q1278)=0,"",IFERROR(INDEX(coa_CF,MATCH(IF((P1278-Q1278)=1,K1278,I1278),coa_Name,0)),"Operating"))</f>
        <v/>
      </c>
      <c r="S1278" s="95">
        <f>IF((P1278-Q1278)=1,L1278,IF((P1278-Q1278)=-1,-J1278,0))</f>
        <v/>
      </c>
      <c r="T1278" s="95">
        <f>IF((P1278-Q1278)=1,N1278,IF((P1278-Q1278)=-1,-M1278,0))</f>
        <v/>
      </c>
      <c r="U1278" s="101">
        <f>IF(AND(H1278=1,LedAcct&lt;&gt;""),IF(AND(E1278&gt;=LedFrom,E1278&lt;=LedTo,OR(I1278=LedAcct,K1278=LedAcct,AND(LedAcct=acctTax,M1278+N1278&lt;&gt;0))),E1278*10000+B1278,""),"")</f>
        <v/>
      </c>
    </row>
    <row r="1279">
      <c r="B1279" s="101" t="n">
        <v>1273</v>
      </c>
      <c r="C1279" s="58" t="inlineStr">
        <is>
          <t>Transaction</t>
        </is>
      </c>
      <c r="D1279" s="58">
        <f>IF(H1279=1,INDEX(tx_ID,1273)&amp;"","")</f>
        <v/>
      </c>
      <c r="E1279" s="94">
        <f>IF(H1279=1,INDEX(tx_Date,1273),"")</f>
        <v/>
      </c>
      <c r="F1279" s="58">
        <f>IF(H1279=1,INDEX(tx_Desc,1273)&amp;"","")</f>
        <v/>
      </c>
      <c r="G1279" s="58">
        <f>IF(H1279=1,IF(INDEX(tx_Cust,1273)&amp;""&lt;&gt;"",INDEX(tx_Cust,1273)&amp;"",INDEX(tx_Vend,1273)&amp;""),"")</f>
        <v/>
      </c>
      <c r="H1279" s="101">
        <f>IFERROR(N(INDEX(tx_Posted,1273)),0)</f>
        <v/>
      </c>
      <c r="I1279" s="58">
        <f>IF(H1279=1,INDEX(tx_DrAcct,1273)&amp;"","")</f>
        <v/>
      </c>
      <c r="J1279" s="95">
        <f>IF(H1279=1,INDEX(tx_DrAmt,1273),0)</f>
        <v/>
      </c>
      <c r="K1279" s="58">
        <f>IF(H1279=1,INDEX(tx_CrAcct,1273)&amp;"","")</f>
        <v/>
      </c>
      <c r="L1279" s="95">
        <f>IF(H1279=1,INDEX(tx_CrAmt,1273),0)</f>
        <v/>
      </c>
      <c r="M1279" s="95">
        <f>IF(H1279=1,INDEX(tx_TaxDr,1273),0)</f>
        <v/>
      </c>
      <c r="N1279" s="95">
        <f>IF(H1279=1,INDEX(tx_TaxCr,1273),0)</f>
        <v/>
      </c>
      <c r="O1279" s="101">
        <f>IF(H1279=1,IF(E1279&lt;FYStart,0,IF(E1279&gt;FYEnd,13,YEAR(E1279)*12+MONTH(E1279)-FYYM+1)),"")</f>
        <v/>
      </c>
      <c r="P1279" s="101">
        <f>IF(H1279=1,IF(IFERROR(INDEX(coa_CF,MATCH(I1279,coa_Name,0)),"")="Cash",1,0),0)</f>
        <v/>
      </c>
      <c r="Q1279" s="101">
        <f>IF(H1279=1,IF(IFERROR(INDEX(coa_CF,MATCH(K1279,coa_Name,0)),"")="Cash",1,0),0)</f>
        <v/>
      </c>
      <c r="R1279" s="58">
        <f>IF((P1279-Q1279)=0,"",IFERROR(INDEX(coa_CF,MATCH(IF((P1279-Q1279)=1,K1279,I1279),coa_Name,0)),"Operating"))</f>
        <v/>
      </c>
      <c r="S1279" s="95">
        <f>IF((P1279-Q1279)=1,L1279,IF((P1279-Q1279)=-1,-J1279,0))</f>
        <v/>
      </c>
      <c r="T1279" s="95">
        <f>IF((P1279-Q1279)=1,N1279,IF((P1279-Q1279)=-1,-M1279,0))</f>
        <v/>
      </c>
      <c r="U1279" s="101">
        <f>IF(AND(H1279=1,LedAcct&lt;&gt;""),IF(AND(E1279&gt;=LedFrom,E1279&lt;=LedTo,OR(I1279=LedAcct,K1279=LedAcct,AND(LedAcct=acctTax,M1279+N1279&lt;&gt;0))),E1279*10000+B1279,""),"")</f>
        <v/>
      </c>
    </row>
    <row r="1280">
      <c r="B1280" s="101" t="n">
        <v>1274</v>
      </c>
      <c r="C1280" s="58" t="inlineStr">
        <is>
          <t>Transaction</t>
        </is>
      </c>
      <c r="D1280" s="58">
        <f>IF(H1280=1,INDEX(tx_ID,1274)&amp;"","")</f>
        <v/>
      </c>
      <c r="E1280" s="94">
        <f>IF(H1280=1,INDEX(tx_Date,1274),"")</f>
        <v/>
      </c>
      <c r="F1280" s="58">
        <f>IF(H1280=1,INDEX(tx_Desc,1274)&amp;"","")</f>
        <v/>
      </c>
      <c r="G1280" s="58">
        <f>IF(H1280=1,IF(INDEX(tx_Cust,1274)&amp;""&lt;&gt;"",INDEX(tx_Cust,1274)&amp;"",INDEX(tx_Vend,1274)&amp;""),"")</f>
        <v/>
      </c>
      <c r="H1280" s="101">
        <f>IFERROR(N(INDEX(tx_Posted,1274)),0)</f>
        <v/>
      </c>
      <c r="I1280" s="58">
        <f>IF(H1280=1,INDEX(tx_DrAcct,1274)&amp;"","")</f>
        <v/>
      </c>
      <c r="J1280" s="95">
        <f>IF(H1280=1,INDEX(tx_DrAmt,1274),0)</f>
        <v/>
      </c>
      <c r="K1280" s="58">
        <f>IF(H1280=1,INDEX(tx_CrAcct,1274)&amp;"","")</f>
        <v/>
      </c>
      <c r="L1280" s="95">
        <f>IF(H1280=1,INDEX(tx_CrAmt,1274),0)</f>
        <v/>
      </c>
      <c r="M1280" s="95">
        <f>IF(H1280=1,INDEX(tx_TaxDr,1274),0)</f>
        <v/>
      </c>
      <c r="N1280" s="95">
        <f>IF(H1280=1,INDEX(tx_TaxCr,1274),0)</f>
        <v/>
      </c>
      <c r="O1280" s="101">
        <f>IF(H1280=1,IF(E1280&lt;FYStart,0,IF(E1280&gt;FYEnd,13,YEAR(E1280)*12+MONTH(E1280)-FYYM+1)),"")</f>
        <v/>
      </c>
      <c r="P1280" s="101">
        <f>IF(H1280=1,IF(IFERROR(INDEX(coa_CF,MATCH(I1280,coa_Name,0)),"")="Cash",1,0),0)</f>
        <v/>
      </c>
      <c r="Q1280" s="101">
        <f>IF(H1280=1,IF(IFERROR(INDEX(coa_CF,MATCH(K1280,coa_Name,0)),"")="Cash",1,0),0)</f>
        <v/>
      </c>
      <c r="R1280" s="58">
        <f>IF((P1280-Q1280)=0,"",IFERROR(INDEX(coa_CF,MATCH(IF((P1280-Q1280)=1,K1280,I1280),coa_Name,0)),"Operating"))</f>
        <v/>
      </c>
      <c r="S1280" s="95">
        <f>IF((P1280-Q1280)=1,L1280,IF((P1280-Q1280)=-1,-J1280,0))</f>
        <v/>
      </c>
      <c r="T1280" s="95">
        <f>IF((P1280-Q1280)=1,N1280,IF((P1280-Q1280)=-1,-M1280,0))</f>
        <v/>
      </c>
      <c r="U1280" s="101">
        <f>IF(AND(H1280=1,LedAcct&lt;&gt;""),IF(AND(E1280&gt;=LedFrom,E1280&lt;=LedTo,OR(I1280=LedAcct,K1280=LedAcct,AND(LedAcct=acctTax,M1280+N1280&lt;&gt;0))),E1280*10000+B1280,""),"")</f>
        <v/>
      </c>
    </row>
    <row r="1281">
      <c r="B1281" s="101" t="n">
        <v>1275</v>
      </c>
      <c r="C1281" s="58" t="inlineStr">
        <is>
          <t>Transaction</t>
        </is>
      </c>
      <c r="D1281" s="58">
        <f>IF(H1281=1,INDEX(tx_ID,1275)&amp;"","")</f>
        <v/>
      </c>
      <c r="E1281" s="94">
        <f>IF(H1281=1,INDEX(tx_Date,1275),"")</f>
        <v/>
      </c>
      <c r="F1281" s="58">
        <f>IF(H1281=1,INDEX(tx_Desc,1275)&amp;"","")</f>
        <v/>
      </c>
      <c r="G1281" s="58">
        <f>IF(H1281=1,IF(INDEX(tx_Cust,1275)&amp;""&lt;&gt;"",INDEX(tx_Cust,1275)&amp;"",INDEX(tx_Vend,1275)&amp;""),"")</f>
        <v/>
      </c>
      <c r="H1281" s="101">
        <f>IFERROR(N(INDEX(tx_Posted,1275)),0)</f>
        <v/>
      </c>
      <c r="I1281" s="58">
        <f>IF(H1281=1,INDEX(tx_DrAcct,1275)&amp;"","")</f>
        <v/>
      </c>
      <c r="J1281" s="95">
        <f>IF(H1281=1,INDEX(tx_DrAmt,1275),0)</f>
        <v/>
      </c>
      <c r="K1281" s="58">
        <f>IF(H1281=1,INDEX(tx_CrAcct,1275)&amp;"","")</f>
        <v/>
      </c>
      <c r="L1281" s="95">
        <f>IF(H1281=1,INDEX(tx_CrAmt,1275),0)</f>
        <v/>
      </c>
      <c r="M1281" s="95">
        <f>IF(H1281=1,INDEX(tx_TaxDr,1275),0)</f>
        <v/>
      </c>
      <c r="N1281" s="95">
        <f>IF(H1281=1,INDEX(tx_TaxCr,1275),0)</f>
        <v/>
      </c>
      <c r="O1281" s="101">
        <f>IF(H1281=1,IF(E1281&lt;FYStart,0,IF(E1281&gt;FYEnd,13,YEAR(E1281)*12+MONTH(E1281)-FYYM+1)),"")</f>
        <v/>
      </c>
      <c r="P1281" s="101">
        <f>IF(H1281=1,IF(IFERROR(INDEX(coa_CF,MATCH(I1281,coa_Name,0)),"")="Cash",1,0),0)</f>
        <v/>
      </c>
      <c r="Q1281" s="101">
        <f>IF(H1281=1,IF(IFERROR(INDEX(coa_CF,MATCH(K1281,coa_Name,0)),"")="Cash",1,0),0)</f>
        <v/>
      </c>
      <c r="R1281" s="58">
        <f>IF((P1281-Q1281)=0,"",IFERROR(INDEX(coa_CF,MATCH(IF((P1281-Q1281)=1,K1281,I1281),coa_Name,0)),"Operating"))</f>
        <v/>
      </c>
      <c r="S1281" s="95">
        <f>IF((P1281-Q1281)=1,L1281,IF((P1281-Q1281)=-1,-J1281,0))</f>
        <v/>
      </c>
      <c r="T1281" s="95">
        <f>IF((P1281-Q1281)=1,N1281,IF((P1281-Q1281)=-1,-M1281,0))</f>
        <v/>
      </c>
      <c r="U1281" s="101">
        <f>IF(AND(H1281=1,LedAcct&lt;&gt;""),IF(AND(E1281&gt;=LedFrom,E1281&lt;=LedTo,OR(I1281=LedAcct,K1281=LedAcct,AND(LedAcct=acctTax,M1281+N1281&lt;&gt;0))),E1281*10000+B1281,""),"")</f>
        <v/>
      </c>
    </row>
    <row r="1282">
      <c r="B1282" s="101" t="n">
        <v>1276</v>
      </c>
      <c r="C1282" s="58" t="inlineStr">
        <is>
          <t>Transaction</t>
        </is>
      </c>
      <c r="D1282" s="58">
        <f>IF(H1282=1,INDEX(tx_ID,1276)&amp;"","")</f>
        <v/>
      </c>
      <c r="E1282" s="94">
        <f>IF(H1282=1,INDEX(tx_Date,1276),"")</f>
        <v/>
      </c>
      <c r="F1282" s="58">
        <f>IF(H1282=1,INDEX(tx_Desc,1276)&amp;"","")</f>
        <v/>
      </c>
      <c r="G1282" s="58">
        <f>IF(H1282=1,IF(INDEX(tx_Cust,1276)&amp;""&lt;&gt;"",INDEX(tx_Cust,1276)&amp;"",INDEX(tx_Vend,1276)&amp;""),"")</f>
        <v/>
      </c>
      <c r="H1282" s="101">
        <f>IFERROR(N(INDEX(tx_Posted,1276)),0)</f>
        <v/>
      </c>
      <c r="I1282" s="58">
        <f>IF(H1282=1,INDEX(tx_DrAcct,1276)&amp;"","")</f>
        <v/>
      </c>
      <c r="J1282" s="95">
        <f>IF(H1282=1,INDEX(tx_DrAmt,1276),0)</f>
        <v/>
      </c>
      <c r="K1282" s="58">
        <f>IF(H1282=1,INDEX(tx_CrAcct,1276)&amp;"","")</f>
        <v/>
      </c>
      <c r="L1282" s="95">
        <f>IF(H1282=1,INDEX(tx_CrAmt,1276),0)</f>
        <v/>
      </c>
      <c r="M1282" s="95">
        <f>IF(H1282=1,INDEX(tx_TaxDr,1276),0)</f>
        <v/>
      </c>
      <c r="N1282" s="95">
        <f>IF(H1282=1,INDEX(tx_TaxCr,1276),0)</f>
        <v/>
      </c>
      <c r="O1282" s="101">
        <f>IF(H1282=1,IF(E1282&lt;FYStart,0,IF(E1282&gt;FYEnd,13,YEAR(E1282)*12+MONTH(E1282)-FYYM+1)),"")</f>
        <v/>
      </c>
      <c r="P1282" s="101">
        <f>IF(H1282=1,IF(IFERROR(INDEX(coa_CF,MATCH(I1282,coa_Name,0)),"")="Cash",1,0),0)</f>
        <v/>
      </c>
      <c r="Q1282" s="101">
        <f>IF(H1282=1,IF(IFERROR(INDEX(coa_CF,MATCH(K1282,coa_Name,0)),"")="Cash",1,0),0)</f>
        <v/>
      </c>
      <c r="R1282" s="58">
        <f>IF((P1282-Q1282)=0,"",IFERROR(INDEX(coa_CF,MATCH(IF((P1282-Q1282)=1,K1282,I1282),coa_Name,0)),"Operating"))</f>
        <v/>
      </c>
      <c r="S1282" s="95">
        <f>IF((P1282-Q1282)=1,L1282,IF((P1282-Q1282)=-1,-J1282,0))</f>
        <v/>
      </c>
      <c r="T1282" s="95">
        <f>IF((P1282-Q1282)=1,N1282,IF((P1282-Q1282)=-1,-M1282,0))</f>
        <v/>
      </c>
      <c r="U1282" s="101">
        <f>IF(AND(H1282=1,LedAcct&lt;&gt;""),IF(AND(E1282&gt;=LedFrom,E1282&lt;=LedTo,OR(I1282=LedAcct,K1282=LedAcct,AND(LedAcct=acctTax,M1282+N1282&lt;&gt;0))),E1282*10000+B1282,""),"")</f>
        <v/>
      </c>
    </row>
    <row r="1283">
      <c r="B1283" s="101" t="n">
        <v>1277</v>
      </c>
      <c r="C1283" s="58" t="inlineStr">
        <is>
          <t>Transaction</t>
        </is>
      </c>
      <c r="D1283" s="58">
        <f>IF(H1283=1,INDEX(tx_ID,1277)&amp;"","")</f>
        <v/>
      </c>
      <c r="E1283" s="94">
        <f>IF(H1283=1,INDEX(tx_Date,1277),"")</f>
        <v/>
      </c>
      <c r="F1283" s="58">
        <f>IF(H1283=1,INDEX(tx_Desc,1277)&amp;"","")</f>
        <v/>
      </c>
      <c r="G1283" s="58">
        <f>IF(H1283=1,IF(INDEX(tx_Cust,1277)&amp;""&lt;&gt;"",INDEX(tx_Cust,1277)&amp;"",INDEX(tx_Vend,1277)&amp;""),"")</f>
        <v/>
      </c>
      <c r="H1283" s="101">
        <f>IFERROR(N(INDEX(tx_Posted,1277)),0)</f>
        <v/>
      </c>
      <c r="I1283" s="58">
        <f>IF(H1283=1,INDEX(tx_DrAcct,1277)&amp;"","")</f>
        <v/>
      </c>
      <c r="J1283" s="95">
        <f>IF(H1283=1,INDEX(tx_DrAmt,1277),0)</f>
        <v/>
      </c>
      <c r="K1283" s="58">
        <f>IF(H1283=1,INDEX(tx_CrAcct,1277)&amp;"","")</f>
        <v/>
      </c>
      <c r="L1283" s="95">
        <f>IF(H1283=1,INDEX(tx_CrAmt,1277),0)</f>
        <v/>
      </c>
      <c r="M1283" s="95">
        <f>IF(H1283=1,INDEX(tx_TaxDr,1277),0)</f>
        <v/>
      </c>
      <c r="N1283" s="95">
        <f>IF(H1283=1,INDEX(tx_TaxCr,1277),0)</f>
        <v/>
      </c>
      <c r="O1283" s="101">
        <f>IF(H1283=1,IF(E1283&lt;FYStart,0,IF(E1283&gt;FYEnd,13,YEAR(E1283)*12+MONTH(E1283)-FYYM+1)),"")</f>
        <v/>
      </c>
      <c r="P1283" s="101">
        <f>IF(H1283=1,IF(IFERROR(INDEX(coa_CF,MATCH(I1283,coa_Name,0)),"")="Cash",1,0),0)</f>
        <v/>
      </c>
      <c r="Q1283" s="101">
        <f>IF(H1283=1,IF(IFERROR(INDEX(coa_CF,MATCH(K1283,coa_Name,0)),"")="Cash",1,0),0)</f>
        <v/>
      </c>
      <c r="R1283" s="58">
        <f>IF((P1283-Q1283)=0,"",IFERROR(INDEX(coa_CF,MATCH(IF((P1283-Q1283)=1,K1283,I1283),coa_Name,0)),"Operating"))</f>
        <v/>
      </c>
      <c r="S1283" s="95">
        <f>IF((P1283-Q1283)=1,L1283,IF((P1283-Q1283)=-1,-J1283,0))</f>
        <v/>
      </c>
      <c r="T1283" s="95">
        <f>IF((P1283-Q1283)=1,N1283,IF((P1283-Q1283)=-1,-M1283,0))</f>
        <v/>
      </c>
      <c r="U1283" s="101">
        <f>IF(AND(H1283=1,LedAcct&lt;&gt;""),IF(AND(E1283&gt;=LedFrom,E1283&lt;=LedTo,OR(I1283=LedAcct,K1283=LedAcct,AND(LedAcct=acctTax,M1283+N1283&lt;&gt;0))),E1283*10000+B1283,""),"")</f>
        <v/>
      </c>
    </row>
    <row r="1284">
      <c r="B1284" s="101" t="n">
        <v>1278</v>
      </c>
      <c r="C1284" s="58" t="inlineStr">
        <is>
          <t>Transaction</t>
        </is>
      </c>
      <c r="D1284" s="58">
        <f>IF(H1284=1,INDEX(tx_ID,1278)&amp;"","")</f>
        <v/>
      </c>
      <c r="E1284" s="94">
        <f>IF(H1284=1,INDEX(tx_Date,1278),"")</f>
        <v/>
      </c>
      <c r="F1284" s="58">
        <f>IF(H1284=1,INDEX(tx_Desc,1278)&amp;"","")</f>
        <v/>
      </c>
      <c r="G1284" s="58">
        <f>IF(H1284=1,IF(INDEX(tx_Cust,1278)&amp;""&lt;&gt;"",INDEX(tx_Cust,1278)&amp;"",INDEX(tx_Vend,1278)&amp;""),"")</f>
        <v/>
      </c>
      <c r="H1284" s="101">
        <f>IFERROR(N(INDEX(tx_Posted,1278)),0)</f>
        <v/>
      </c>
      <c r="I1284" s="58">
        <f>IF(H1284=1,INDEX(tx_DrAcct,1278)&amp;"","")</f>
        <v/>
      </c>
      <c r="J1284" s="95">
        <f>IF(H1284=1,INDEX(tx_DrAmt,1278),0)</f>
        <v/>
      </c>
      <c r="K1284" s="58">
        <f>IF(H1284=1,INDEX(tx_CrAcct,1278)&amp;"","")</f>
        <v/>
      </c>
      <c r="L1284" s="95">
        <f>IF(H1284=1,INDEX(tx_CrAmt,1278),0)</f>
        <v/>
      </c>
      <c r="M1284" s="95">
        <f>IF(H1284=1,INDEX(tx_TaxDr,1278),0)</f>
        <v/>
      </c>
      <c r="N1284" s="95">
        <f>IF(H1284=1,INDEX(tx_TaxCr,1278),0)</f>
        <v/>
      </c>
      <c r="O1284" s="101">
        <f>IF(H1284=1,IF(E1284&lt;FYStart,0,IF(E1284&gt;FYEnd,13,YEAR(E1284)*12+MONTH(E1284)-FYYM+1)),"")</f>
        <v/>
      </c>
      <c r="P1284" s="101">
        <f>IF(H1284=1,IF(IFERROR(INDEX(coa_CF,MATCH(I1284,coa_Name,0)),"")="Cash",1,0),0)</f>
        <v/>
      </c>
      <c r="Q1284" s="101">
        <f>IF(H1284=1,IF(IFERROR(INDEX(coa_CF,MATCH(K1284,coa_Name,0)),"")="Cash",1,0),0)</f>
        <v/>
      </c>
      <c r="R1284" s="58">
        <f>IF((P1284-Q1284)=0,"",IFERROR(INDEX(coa_CF,MATCH(IF((P1284-Q1284)=1,K1284,I1284),coa_Name,0)),"Operating"))</f>
        <v/>
      </c>
      <c r="S1284" s="95">
        <f>IF((P1284-Q1284)=1,L1284,IF((P1284-Q1284)=-1,-J1284,0))</f>
        <v/>
      </c>
      <c r="T1284" s="95">
        <f>IF((P1284-Q1284)=1,N1284,IF((P1284-Q1284)=-1,-M1284,0))</f>
        <v/>
      </c>
      <c r="U1284" s="101">
        <f>IF(AND(H1284=1,LedAcct&lt;&gt;""),IF(AND(E1284&gt;=LedFrom,E1284&lt;=LedTo,OR(I1284=LedAcct,K1284=LedAcct,AND(LedAcct=acctTax,M1284+N1284&lt;&gt;0))),E1284*10000+B1284,""),"")</f>
        <v/>
      </c>
    </row>
    <row r="1285">
      <c r="B1285" s="101" t="n">
        <v>1279</v>
      </c>
      <c r="C1285" s="58" t="inlineStr">
        <is>
          <t>Transaction</t>
        </is>
      </c>
      <c r="D1285" s="58">
        <f>IF(H1285=1,INDEX(tx_ID,1279)&amp;"","")</f>
        <v/>
      </c>
      <c r="E1285" s="94">
        <f>IF(H1285=1,INDEX(tx_Date,1279),"")</f>
        <v/>
      </c>
      <c r="F1285" s="58">
        <f>IF(H1285=1,INDEX(tx_Desc,1279)&amp;"","")</f>
        <v/>
      </c>
      <c r="G1285" s="58">
        <f>IF(H1285=1,IF(INDEX(tx_Cust,1279)&amp;""&lt;&gt;"",INDEX(tx_Cust,1279)&amp;"",INDEX(tx_Vend,1279)&amp;""),"")</f>
        <v/>
      </c>
      <c r="H1285" s="101">
        <f>IFERROR(N(INDEX(tx_Posted,1279)),0)</f>
        <v/>
      </c>
      <c r="I1285" s="58">
        <f>IF(H1285=1,INDEX(tx_DrAcct,1279)&amp;"","")</f>
        <v/>
      </c>
      <c r="J1285" s="95">
        <f>IF(H1285=1,INDEX(tx_DrAmt,1279),0)</f>
        <v/>
      </c>
      <c r="K1285" s="58">
        <f>IF(H1285=1,INDEX(tx_CrAcct,1279)&amp;"","")</f>
        <v/>
      </c>
      <c r="L1285" s="95">
        <f>IF(H1285=1,INDEX(tx_CrAmt,1279),0)</f>
        <v/>
      </c>
      <c r="M1285" s="95">
        <f>IF(H1285=1,INDEX(tx_TaxDr,1279),0)</f>
        <v/>
      </c>
      <c r="N1285" s="95">
        <f>IF(H1285=1,INDEX(tx_TaxCr,1279),0)</f>
        <v/>
      </c>
      <c r="O1285" s="101">
        <f>IF(H1285=1,IF(E1285&lt;FYStart,0,IF(E1285&gt;FYEnd,13,YEAR(E1285)*12+MONTH(E1285)-FYYM+1)),"")</f>
        <v/>
      </c>
      <c r="P1285" s="101">
        <f>IF(H1285=1,IF(IFERROR(INDEX(coa_CF,MATCH(I1285,coa_Name,0)),"")="Cash",1,0),0)</f>
        <v/>
      </c>
      <c r="Q1285" s="101">
        <f>IF(H1285=1,IF(IFERROR(INDEX(coa_CF,MATCH(K1285,coa_Name,0)),"")="Cash",1,0),0)</f>
        <v/>
      </c>
      <c r="R1285" s="58">
        <f>IF((P1285-Q1285)=0,"",IFERROR(INDEX(coa_CF,MATCH(IF((P1285-Q1285)=1,K1285,I1285),coa_Name,0)),"Operating"))</f>
        <v/>
      </c>
      <c r="S1285" s="95">
        <f>IF((P1285-Q1285)=1,L1285,IF((P1285-Q1285)=-1,-J1285,0))</f>
        <v/>
      </c>
      <c r="T1285" s="95">
        <f>IF((P1285-Q1285)=1,N1285,IF((P1285-Q1285)=-1,-M1285,0))</f>
        <v/>
      </c>
      <c r="U1285" s="101">
        <f>IF(AND(H1285=1,LedAcct&lt;&gt;""),IF(AND(E1285&gt;=LedFrom,E1285&lt;=LedTo,OR(I1285=LedAcct,K1285=LedAcct,AND(LedAcct=acctTax,M1285+N1285&lt;&gt;0))),E1285*10000+B1285,""),"")</f>
        <v/>
      </c>
    </row>
    <row r="1286">
      <c r="B1286" s="101" t="n">
        <v>1280</v>
      </c>
      <c r="C1286" s="58" t="inlineStr">
        <is>
          <t>Transaction</t>
        </is>
      </c>
      <c r="D1286" s="58">
        <f>IF(H1286=1,INDEX(tx_ID,1280)&amp;"","")</f>
        <v/>
      </c>
      <c r="E1286" s="94">
        <f>IF(H1286=1,INDEX(tx_Date,1280),"")</f>
        <v/>
      </c>
      <c r="F1286" s="58">
        <f>IF(H1286=1,INDEX(tx_Desc,1280)&amp;"","")</f>
        <v/>
      </c>
      <c r="G1286" s="58">
        <f>IF(H1286=1,IF(INDEX(tx_Cust,1280)&amp;""&lt;&gt;"",INDEX(tx_Cust,1280)&amp;"",INDEX(tx_Vend,1280)&amp;""),"")</f>
        <v/>
      </c>
      <c r="H1286" s="101">
        <f>IFERROR(N(INDEX(tx_Posted,1280)),0)</f>
        <v/>
      </c>
      <c r="I1286" s="58">
        <f>IF(H1286=1,INDEX(tx_DrAcct,1280)&amp;"","")</f>
        <v/>
      </c>
      <c r="J1286" s="95">
        <f>IF(H1286=1,INDEX(tx_DrAmt,1280),0)</f>
        <v/>
      </c>
      <c r="K1286" s="58">
        <f>IF(H1286=1,INDEX(tx_CrAcct,1280)&amp;"","")</f>
        <v/>
      </c>
      <c r="L1286" s="95">
        <f>IF(H1286=1,INDEX(tx_CrAmt,1280),0)</f>
        <v/>
      </c>
      <c r="M1286" s="95">
        <f>IF(H1286=1,INDEX(tx_TaxDr,1280),0)</f>
        <v/>
      </c>
      <c r="N1286" s="95">
        <f>IF(H1286=1,INDEX(tx_TaxCr,1280),0)</f>
        <v/>
      </c>
      <c r="O1286" s="101">
        <f>IF(H1286=1,IF(E1286&lt;FYStart,0,IF(E1286&gt;FYEnd,13,YEAR(E1286)*12+MONTH(E1286)-FYYM+1)),"")</f>
        <v/>
      </c>
      <c r="P1286" s="101">
        <f>IF(H1286=1,IF(IFERROR(INDEX(coa_CF,MATCH(I1286,coa_Name,0)),"")="Cash",1,0),0)</f>
        <v/>
      </c>
      <c r="Q1286" s="101">
        <f>IF(H1286=1,IF(IFERROR(INDEX(coa_CF,MATCH(K1286,coa_Name,0)),"")="Cash",1,0),0)</f>
        <v/>
      </c>
      <c r="R1286" s="58">
        <f>IF((P1286-Q1286)=0,"",IFERROR(INDEX(coa_CF,MATCH(IF((P1286-Q1286)=1,K1286,I1286),coa_Name,0)),"Operating"))</f>
        <v/>
      </c>
      <c r="S1286" s="95">
        <f>IF((P1286-Q1286)=1,L1286,IF((P1286-Q1286)=-1,-J1286,0))</f>
        <v/>
      </c>
      <c r="T1286" s="95">
        <f>IF((P1286-Q1286)=1,N1286,IF((P1286-Q1286)=-1,-M1286,0))</f>
        <v/>
      </c>
      <c r="U1286" s="101">
        <f>IF(AND(H1286=1,LedAcct&lt;&gt;""),IF(AND(E1286&gt;=LedFrom,E1286&lt;=LedTo,OR(I1286=LedAcct,K1286=LedAcct,AND(LedAcct=acctTax,M1286+N1286&lt;&gt;0))),E1286*10000+B1286,""),"")</f>
        <v/>
      </c>
    </row>
    <row r="1287">
      <c r="B1287" s="101" t="n">
        <v>1281</v>
      </c>
      <c r="C1287" s="58" t="inlineStr">
        <is>
          <t>Transaction</t>
        </is>
      </c>
      <c r="D1287" s="58">
        <f>IF(H1287=1,INDEX(tx_ID,1281)&amp;"","")</f>
        <v/>
      </c>
      <c r="E1287" s="94">
        <f>IF(H1287=1,INDEX(tx_Date,1281),"")</f>
        <v/>
      </c>
      <c r="F1287" s="58">
        <f>IF(H1287=1,INDEX(tx_Desc,1281)&amp;"","")</f>
        <v/>
      </c>
      <c r="G1287" s="58">
        <f>IF(H1287=1,IF(INDEX(tx_Cust,1281)&amp;""&lt;&gt;"",INDEX(tx_Cust,1281)&amp;"",INDEX(tx_Vend,1281)&amp;""),"")</f>
        <v/>
      </c>
      <c r="H1287" s="101">
        <f>IFERROR(N(INDEX(tx_Posted,1281)),0)</f>
        <v/>
      </c>
      <c r="I1287" s="58">
        <f>IF(H1287=1,INDEX(tx_DrAcct,1281)&amp;"","")</f>
        <v/>
      </c>
      <c r="J1287" s="95">
        <f>IF(H1287=1,INDEX(tx_DrAmt,1281),0)</f>
        <v/>
      </c>
      <c r="K1287" s="58">
        <f>IF(H1287=1,INDEX(tx_CrAcct,1281)&amp;"","")</f>
        <v/>
      </c>
      <c r="L1287" s="95">
        <f>IF(H1287=1,INDEX(tx_CrAmt,1281),0)</f>
        <v/>
      </c>
      <c r="M1287" s="95">
        <f>IF(H1287=1,INDEX(tx_TaxDr,1281),0)</f>
        <v/>
      </c>
      <c r="N1287" s="95">
        <f>IF(H1287=1,INDEX(tx_TaxCr,1281),0)</f>
        <v/>
      </c>
      <c r="O1287" s="101">
        <f>IF(H1287=1,IF(E1287&lt;FYStart,0,IF(E1287&gt;FYEnd,13,YEAR(E1287)*12+MONTH(E1287)-FYYM+1)),"")</f>
        <v/>
      </c>
      <c r="P1287" s="101">
        <f>IF(H1287=1,IF(IFERROR(INDEX(coa_CF,MATCH(I1287,coa_Name,0)),"")="Cash",1,0),0)</f>
        <v/>
      </c>
      <c r="Q1287" s="101">
        <f>IF(H1287=1,IF(IFERROR(INDEX(coa_CF,MATCH(K1287,coa_Name,0)),"")="Cash",1,0),0)</f>
        <v/>
      </c>
      <c r="R1287" s="58">
        <f>IF((P1287-Q1287)=0,"",IFERROR(INDEX(coa_CF,MATCH(IF((P1287-Q1287)=1,K1287,I1287),coa_Name,0)),"Operating"))</f>
        <v/>
      </c>
      <c r="S1287" s="95">
        <f>IF((P1287-Q1287)=1,L1287,IF((P1287-Q1287)=-1,-J1287,0))</f>
        <v/>
      </c>
      <c r="T1287" s="95">
        <f>IF((P1287-Q1287)=1,N1287,IF((P1287-Q1287)=-1,-M1287,0))</f>
        <v/>
      </c>
      <c r="U1287" s="101">
        <f>IF(AND(H1287=1,LedAcct&lt;&gt;""),IF(AND(E1287&gt;=LedFrom,E1287&lt;=LedTo,OR(I1287=LedAcct,K1287=LedAcct,AND(LedAcct=acctTax,M1287+N1287&lt;&gt;0))),E1287*10000+B1287,""),"")</f>
        <v/>
      </c>
    </row>
    <row r="1288">
      <c r="B1288" s="101" t="n">
        <v>1282</v>
      </c>
      <c r="C1288" s="58" t="inlineStr">
        <is>
          <t>Transaction</t>
        </is>
      </c>
      <c r="D1288" s="58">
        <f>IF(H1288=1,INDEX(tx_ID,1282)&amp;"","")</f>
        <v/>
      </c>
      <c r="E1288" s="94">
        <f>IF(H1288=1,INDEX(tx_Date,1282),"")</f>
        <v/>
      </c>
      <c r="F1288" s="58">
        <f>IF(H1288=1,INDEX(tx_Desc,1282)&amp;"","")</f>
        <v/>
      </c>
      <c r="G1288" s="58">
        <f>IF(H1288=1,IF(INDEX(tx_Cust,1282)&amp;""&lt;&gt;"",INDEX(tx_Cust,1282)&amp;"",INDEX(tx_Vend,1282)&amp;""),"")</f>
        <v/>
      </c>
      <c r="H1288" s="101">
        <f>IFERROR(N(INDEX(tx_Posted,1282)),0)</f>
        <v/>
      </c>
      <c r="I1288" s="58">
        <f>IF(H1288=1,INDEX(tx_DrAcct,1282)&amp;"","")</f>
        <v/>
      </c>
      <c r="J1288" s="95">
        <f>IF(H1288=1,INDEX(tx_DrAmt,1282),0)</f>
        <v/>
      </c>
      <c r="K1288" s="58">
        <f>IF(H1288=1,INDEX(tx_CrAcct,1282)&amp;"","")</f>
        <v/>
      </c>
      <c r="L1288" s="95">
        <f>IF(H1288=1,INDEX(tx_CrAmt,1282),0)</f>
        <v/>
      </c>
      <c r="M1288" s="95">
        <f>IF(H1288=1,INDEX(tx_TaxDr,1282),0)</f>
        <v/>
      </c>
      <c r="N1288" s="95">
        <f>IF(H1288=1,INDEX(tx_TaxCr,1282),0)</f>
        <v/>
      </c>
      <c r="O1288" s="101">
        <f>IF(H1288=1,IF(E1288&lt;FYStart,0,IF(E1288&gt;FYEnd,13,YEAR(E1288)*12+MONTH(E1288)-FYYM+1)),"")</f>
        <v/>
      </c>
      <c r="P1288" s="101">
        <f>IF(H1288=1,IF(IFERROR(INDEX(coa_CF,MATCH(I1288,coa_Name,0)),"")="Cash",1,0),0)</f>
        <v/>
      </c>
      <c r="Q1288" s="101">
        <f>IF(H1288=1,IF(IFERROR(INDEX(coa_CF,MATCH(K1288,coa_Name,0)),"")="Cash",1,0),0)</f>
        <v/>
      </c>
      <c r="R1288" s="58">
        <f>IF((P1288-Q1288)=0,"",IFERROR(INDEX(coa_CF,MATCH(IF((P1288-Q1288)=1,K1288,I1288),coa_Name,0)),"Operating"))</f>
        <v/>
      </c>
      <c r="S1288" s="95">
        <f>IF((P1288-Q1288)=1,L1288,IF((P1288-Q1288)=-1,-J1288,0))</f>
        <v/>
      </c>
      <c r="T1288" s="95">
        <f>IF((P1288-Q1288)=1,N1288,IF((P1288-Q1288)=-1,-M1288,0))</f>
        <v/>
      </c>
      <c r="U1288" s="101">
        <f>IF(AND(H1288=1,LedAcct&lt;&gt;""),IF(AND(E1288&gt;=LedFrom,E1288&lt;=LedTo,OR(I1288=LedAcct,K1288=LedAcct,AND(LedAcct=acctTax,M1288+N1288&lt;&gt;0))),E1288*10000+B1288,""),"")</f>
        <v/>
      </c>
    </row>
    <row r="1289">
      <c r="B1289" s="101" t="n">
        <v>1283</v>
      </c>
      <c r="C1289" s="58" t="inlineStr">
        <is>
          <t>Transaction</t>
        </is>
      </c>
      <c r="D1289" s="58">
        <f>IF(H1289=1,INDEX(tx_ID,1283)&amp;"","")</f>
        <v/>
      </c>
      <c r="E1289" s="94">
        <f>IF(H1289=1,INDEX(tx_Date,1283),"")</f>
        <v/>
      </c>
      <c r="F1289" s="58">
        <f>IF(H1289=1,INDEX(tx_Desc,1283)&amp;"","")</f>
        <v/>
      </c>
      <c r="G1289" s="58">
        <f>IF(H1289=1,IF(INDEX(tx_Cust,1283)&amp;""&lt;&gt;"",INDEX(tx_Cust,1283)&amp;"",INDEX(tx_Vend,1283)&amp;""),"")</f>
        <v/>
      </c>
      <c r="H1289" s="101">
        <f>IFERROR(N(INDEX(tx_Posted,1283)),0)</f>
        <v/>
      </c>
      <c r="I1289" s="58">
        <f>IF(H1289=1,INDEX(tx_DrAcct,1283)&amp;"","")</f>
        <v/>
      </c>
      <c r="J1289" s="95">
        <f>IF(H1289=1,INDEX(tx_DrAmt,1283),0)</f>
        <v/>
      </c>
      <c r="K1289" s="58">
        <f>IF(H1289=1,INDEX(tx_CrAcct,1283)&amp;"","")</f>
        <v/>
      </c>
      <c r="L1289" s="95">
        <f>IF(H1289=1,INDEX(tx_CrAmt,1283),0)</f>
        <v/>
      </c>
      <c r="M1289" s="95">
        <f>IF(H1289=1,INDEX(tx_TaxDr,1283),0)</f>
        <v/>
      </c>
      <c r="N1289" s="95">
        <f>IF(H1289=1,INDEX(tx_TaxCr,1283),0)</f>
        <v/>
      </c>
      <c r="O1289" s="101">
        <f>IF(H1289=1,IF(E1289&lt;FYStart,0,IF(E1289&gt;FYEnd,13,YEAR(E1289)*12+MONTH(E1289)-FYYM+1)),"")</f>
        <v/>
      </c>
      <c r="P1289" s="101">
        <f>IF(H1289=1,IF(IFERROR(INDEX(coa_CF,MATCH(I1289,coa_Name,0)),"")="Cash",1,0),0)</f>
        <v/>
      </c>
      <c r="Q1289" s="101">
        <f>IF(H1289=1,IF(IFERROR(INDEX(coa_CF,MATCH(K1289,coa_Name,0)),"")="Cash",1,0),0)</f>
        <v/>
      </c>
      <c r="R1289" s="58">
        <f>IF((P1289-Q1289)=0,"",IFERROR(INDEX(coa_CF,MATCH(IF((P1289-Q1289)=1,K1289,I1289),coa_Name,0)),"Operating"))</f>
        <v/>
      </c>
      <c r="S1289" s="95">
        <f>IF((P1289-Q1289)=1,L1289,IF((P1289-Q1289)=-1,-J1289,0))</f>
        <v/>
      </c>
      <c r="T1289" s="95">
        <f>IF((P1289-Q1289)=1,N1289,IF((P1289-Q1289)=-1,-M1289,0))</f>
        <v/>
      </c>
      <c r="U1289" s="101">
        <f>IF(AND(H1289=1,LedAcct&lt;&gt;""),IF(AND(E1289&gt;=LedFrom,E1289&lt;=LedTo,OR(I1289=LedAcct,K1289=LedAcct,AND(LedAcct=acctTax,M1289+N1289&lt;&gt;0))),E1289*10000+B1289,""),"")</f>
        <v/>
      </c>
    </row>
    <row r="1290">
      <c r="B1290" s="101" t="n">
        <v>1284</v>
      </c>
      <c r="C1290" s="58" t="inlineStr">
        <is>
          <t>Transaction</t>
        </is>
      </c>
      <c r="D1290" s="58">
        <f>IF(H1290=1,INDEX(tx_ID,1284)&amp;"","")</f>
        <v/>
      </c>
      <c r="E1290" s="94">
        <f>IF(H1290=1,INDEX(tx_Date,1284),"")</f>
        <v/>
      </c>
      <c r="F1290" s="58">
        <f>IF(H1290=1,INDEX(tx_Desc,1284)&amp;"","")</f>
        <v/>
      </c>
      <c r="G1290" s="58">
        <f>IF(H1290=1,IF(INDEX(tx_Cust,1284)&amp;""&lt;&gt;"",INDEX(tx_Cust,1284)&amp;"",INDEX(tx_Vend,1284)&amp;""),"")</f>
        <v/>
      </c>
      <c r="H1290" s="101">
        <f>IFERROR(N(INDEX(tx_Posted,1284)),0)</f>
        <v/>
      </c>
      <c r="I1290" s="58">
        <f>IF(H1290=1,INDEX(tx_DrAcct,1284)&amp;"","")</f>
        <v/>
      </c>
      <c r="J1290" s="95">
        <f>IF(H1290=1,INDEX(tx_DrAmt,1284),0)</f>
        <v/>
      </c>
      <c r="K1290" s="58">
        <f>IF(H1290=1,INDEX(tx_CrAcct,1284)&amp;"","")</f>
        <v/>
      </c>
      <c r="L1290" s="95">
        <f>IF(H1290=1,INDEX(tx_CrAmt,1284),0)</f>
        <v/>
      </c>
      <c r="M1290" s="95">
        <f>IF(H1290=1,INDEX(tx_TaxDr,1284),0)</f>
        <v/>
      </c>
      <c r="N1290" s="95">
        <f>IF(H1290=1,INDEX(tx_TaxCr,1284),0)</f>
        <v/>
      </c>
      <c r="O1290" s="101">
        <f>IF(H1290=1,IF(E1290&lt;FYStart,0,IF(E1290&gt;FYEnd,13,YEAR(E1290)*12+MONTH(E1290)-FYYM+1)),"")</f>
        <v/>
      </c>
      <c r="P1290" s="101">
        <f>IF(H1290=1,IF(IFERROR(INDEX(coa_CF,MATCH(I1290,coa_Name,0)),"")="Cash",1,0),0)</f>
        <v/>
      </c>
      <c r="Q1290" s="101">
        <f>IF(H1290=1,IF(IFERROR(INDEX(coa_CF,MATCH(K1290,coa_Name,0)),"")="Cash",1,0),0)</f>
        <v/>
      </c>
      <c r="R1290" s="58">
        <f>IF((P1290-Q1290)=0,"",IFERROR(INDEX(coa_CF,MATCH(IF((P1290-Q1290)=1,K1290,I1290),coa_Name,0)),"Operating"))</f>
        <v/>
      </c>
      <c r="S1290" s="95">
        <f>IF((P1290-Q1290)=1,L1290,IF((P1290-Q1290)=-1,-J1290,0))</f>
        <v/>
      </c>
      <c r="T1290" s="95">
        <f>IF((P1290-Q1290)=1,N1290,IF((P1290-Q1290)=-1,-M1290,0))</f>
        <v/>
      </c>
      <c r="U1290" s="101">
        <f>IF(AND(H1290=1,LedAcct&lt;&gt;""),IF(AND(E1290&gt;=LedFrom,E1290&lt;=LedTo,OR(I1290=LedAcct,K1290=LedAcct,AND(LedAcct=acctTax,M1290+N1290&lt;&gt;0))),E1290*10000+B1290,""),"")</f>
        <v/>
      </c>
    </row>
    <row r="1291">
      <c r="B1291" s="101" t="n">
        <v>1285</v>
      </c>
      <c r="C1291" s="58" t="inlineStr">
        <is>
          <t>Transaction</t>
        </is>
      </c>
      <c r="D1291" s="58">
        <f>IF(H1291=1,INDEX(tx_ID,1285)&amp;"","")</f>
        <v/>
      </c>
      <c r="E1291" s="94">
        <f>IF(H1291=1,INDEX(tx_Date,1285),"")</f>
        <v/>
      </c>
      <c r="F1291" s="58">
        <f>IF(H1291=1,INDEX(tx_Desc,1285)&amp;"","")</f>
        <v/>
      </c>
      <c r="G1291" s="58">
        <f>IF(H1291=1,IF(INDEX(tx_Cust,1285)&amp;""&lt;&gt;"",INDEX(tx_Cust,1285)&amp;"",INDEX(tx_Vend,1285)&amp;""),"")</f>
        <v/>
      </c>
      <c r="H1291" s="101">
        <f>IFERROR(N(INDEX(tx_Posted,1285)),0)</f>
        <v/>
      </c>
      <c r="I1291" s="58">
        <f>IF(H1291=1,INDEX(tx_DrAcct,1285)&amp;"","")</f>
        <v/>
      </c>
      <c r="J1291" s="95">
        <f>IF(H1291=1,INDEX(tx_DrAmt,1285),0)</f>
        <v/>
      </c>
      <c r="K1291" s="58">
        <f>IF(H1291=1,INDEX(tx_CrAcct,1285)&amp;"","")</f>
        <v/>
      </c>
      <c r="L1291" s="95">
        <f>IF(H1291=1,INDEX(tx_CrAmt,1285),0)</f>
        <v/>
      </c>
      <c r="M1291" s="95">
        <f>IF(H1291=1,INDEX(tx_TaxDr,1285),0)</f>
        <v/>
      </c>
      <c r="N1291" s="95">
        <f>IF(H1291=1,INDEX(tx_TaxCr,1285),0)</f>
        <v/>
      </c>
      <c r="O1291" s="101">
        <f>IF(H1291=1,IF(E1291&lt;FYStart,0,IF(E1291&gt;FYEnd,13,YEAR(E1291)*12+MONTH(E1291)-FYYM+1)),"")</f>
        <v/>
      </c>
      <c r="P1291" s="101">
        <f>IF(H1291=1,IF(IFERROR(INDEX(coa_CF,MATCH(I1291,coa_Name,0)),"")="Cash",1,0),0)</f>
        <v/>
      </c>
      <c r="Q1291" s="101">
        <f>IF(H1291=1,IF(IFERROR(INDEX(coa_CF,MATCH(K1291,coa_Name,0)),"")="Cash",1,0),0)</f>
        <v/>
      </c>
      <c r="R1291" s="58">
        <f>IF((P1291-Q1291)=0,"",IFERROR(INDEX(coa_CF,MATCH(IF((P1291-Q1291)=1,K1291,I1291),coa_Name,0)),"Operating"))</f>
        <v/>
      </c>
      <c r="S1291" s="95">
        <f>IF((P1291-Q1291)=1,L1291,IF((P1291-Q1291)=-1,-J1291,0))</f>
        <v/>
      </c>
      <c r="T1291" s="95">
        <f>IF((P1291-Q1291)=1,N1291,IF((P1291-Q1291)=-1,-M1291,0))</f>
        <v/>
      </c>
      <c r="U1291" s="101">
        <f>IF(AND(H1291=1,LedAcct&lt;&gt;""),IF(AND(E1291&gt;=LedFrom,E1291&lt;=LedTo,OR(I1291=LedAcct,K1291=LedAcct,AND(LedAcct=acctTax,M1291+N1291&lt;&gt;0))),E1291*10000+B1291,""),"")</f>
        <v/>
      </c>
    </row>
    <row r="1292">
      <c r="B1292" s="101" t="n">
        <v>1286</v>
      </c>
      <c r="C1292" s="58" t="inlineStr">
        <is>
          <t>Transaction</t>
        </is>
      </c>
      <c r="D1292" s="58">
        <f>IF(H1292=1,INDEX(tx_ID,1286)&amp;"","")</f>
        <v/>
      </c>
      <c r="E1292" s="94">
        <f>IF(H1292=1,INDEX(tx_Date,1286),"")</f>
        <v/>
      </c>
      <c r="F1292" s="58">
        <f>IF(H1292=1,INDEX(tx_Desc,1286)&amp;"","")</f>
        <v/>
      </c>
      <c r="G1292" s="58">
        <f>IF(H1292=1,IF(INDEX(tx_Cust,1286)&amp;""&lt;&gt;"",INDEX(tx_Cust,1286)&amp;"",INDEX(tx_Vend,1286)&amp;""),"")</f>
        <v/>
      </c>
      <c r="H1292" s="101">
        <f>IFERROR(N(INDEX(tx_Posted,1286)),0)</f>
        <v/>
      </c>
      <c r="I1292" s="58">
        <f>IF(H1292=1,INDEX(tx_DrAcct,1286)&amp;"","")</f>
        <v/>
      </c>
      <c r="J1292" s="95">
        <f>IF(H1292=1,INDEX(tx_DrAmt,1286),0)</f>
        <v/>
      </c>
      <c r="K1292" s="58">
        <f>IF(H1292=1,INDEX(tx_CrAcct,1286)&amp;"","")</f>
        <v/>
      </c>
      <c r="L1292" s="95">
        <f>IF(H1292=1,INDEX(tx_CrAmt,1286),0)</f>
        <v/>
      </c>
      <c r="M1292" s="95">
        <f>IF(H1292=1,INDEX(tx_TaxDr,1286),0)</f>
        <v/>
      </c>
      <c r="N1292" s="95">
        <f>IF(H1292=1,INDEX(tx_TaxCr,1286),0)</f>
        <v/>
      </c>
      <c r="O1292" s="101">
        <f>IF(H1292=1,IF(E1292&lt;FYStart,0,IF(E1292&gt;FYEnd,13,YEAR(E1292)*12+MONTH(E1292)-FYYM+1)),"")</f>
        <v/>
      </c>
      <c r="P1292" s="101">
        <f>IF(H1292=1,IF(IFERROR(INDEX(coa_CF,MATCH(I1292,coa_Name,0)),"")="Cash",1,0),0)</f>
        <v/>
      </c>
      <c r="Q1292" s="101">
        <f>IF(H1292=1,IF(IFERROR(INDEX(coa_CF,MATCH(K1292,coa_Name,0)),"")="Cash",1,0),0)</f>
        <v/>
      </c>
      <c r="R1292" s="58">
        <f>IF((P1292-Q1292)=0,"",IFERROR(INDEX(coa_CF,MATCH(IF((P1292-Q1292)=1,K1292,I1292),coa_Name,0)),"Operating"))</f>
        <v/>
      </c>
      <c r="S1292" s="95">
        <f>IF((P1292-Q1292)=1,L1292,IF((P1292-Q1292)=-1,-J1292,0))</f>
        <v/>
      </c>
      <c r="T1292" s="95">
        <f>IF((P1292-Q1292)=1,N1292,IF((P1292-Q1292)=-1,-M1292,0))</f>
        <v/>
      </c>
      <c r="U1292" s="101">
        <f>IF(AND(H1292=1,LedAcct&lt;&gt;""),IF(AND(E1292&gt;=LedFrom,E1292&lt;=LedTo,OR(I1292=LedAcct,K1292=LedAcct,AND(LedAcct=acctTax,M1292+N1292&lt;&gt;0))),E1292*10000+B1292,""),"")</f>
        <v/>
      </c>
    </row>
    <row r="1293">
      <c r="B1293" s="101" t="n">
        <v>1287</v>
      </c>
      <c r="C1293" s="58" t="inlineStr">
        <is>
          <t>Transaction</t>
        </is>
      </c>
      <c r="D1293" s="58">
        <f>IF(H1293=1,INDEX(tx_ID,1287)&amp;"","")</f>
        <v/>
      </c>
      <c r="E1293" s="94">
        <f>IF(H1293=1,INDEX(tx_Date,1287),"")</f>
        <v/>
      </c>
      <c r="F1293" s="58">
        <f>IF(H1293=1,INDEX(tx_Desc,1287)&amp;"","")</f>
        <v/>
      </c>
      <c r="G1293" s="58">
        <f>IF(H1293=1,IF(INDEX(tx_Cust,1287)&amp;""&lt;&gt;"",INDEX(tx_Cust,1287)&amp;"",INDEX(tx_Vend,1287)&amp;""),"")</f>
        <v/>
      </c>
      <c r="H1293" s="101">
        <f>IFERROR(N(INDEX(tx_Posted,1287)),0)</f>
        <v/>
      </c>
      <c r="I1293" s="58">
        <f>IF(H1293=1,INDEX(tx_DrAcct,1287)&amp;"","")</f>
        <v/>
      </c>
      <c r="J1293" s="95">
        <f>IF(H1293=1,INDEX(tx_DrAmt,1287),0)</f>
        <v/>
      </c>
      <c r="K1293" s="58">
        <f>IF(H1293=1,INDEX(tx_CrAcct,1287)&amp;"","")</f>
        <v/>
      </c>
      <c r="L1293" s="95">
        <f>IF(H1293=1,INDEX(tx_CrAmt,1287),0)</f>
        <v/>
      </c>
      <c r="M1293" s="95">
        <f>IF(H1293=1,INDEX(tx_TaxDr,1287),0)</f>
        <v/>
      </c>
      <c r="N1293" s="95">
        <f>IF(H1293=1,INDEX(tx_TaxCr,1287),0)</f>
        <v/>
      </c>
      <c r="O1293" s="101">
        <f>IF(H1293=1,IF(E1293&lt;FYStart,0,IF(E1293&gt;FYEnd,13,YEAR(E1293)*12+MONTH(E1293)-FYYM+1)),"")</f>
        <v/>
      </c>
      <c r="P1293" s="101">
        <f>IF(H1293=1,IF(IFERROR(INDEX(coa_CF,MATCH(I1293,coa_Name,0)),"")="Cash",1,0),0)</f>
        <v/>
      </c>
      <c r="Q1293" s="101">
        <f>IF(H1293=1,IF(IFERROR(INDEX(coa_CF,MATCH(K1293,coa_Name,0)),"")="Cash",1,0),0)</f>
        <v/>
      </c>
      <c r="R1293" s="58">
        <f>IF((P1293-Q1293)=0,"",IFERROR(INDEX(coa_CF,MATCH(IF((P1293-Q1293)=1,K1293,I1293),coa_Name,0)),"Operating"))</f>
        <v/>
      </c>
      <c r="S1293" s="95">
        <f>IF((P1293-Q1293)=1,L1293,IF((P1293-Q1293)=-1,-J1293,0))</f>
        <v/>
      </c>
      <c r="T1293" s="95">
        <f>IF((P1293-Q1293)=1,N1293,IF((P1293-Q1293)=-1,-M1293,0))</f>
        <v/>
      </c>
      <c r="U1293" s="101">
        <f>IF(AND(H1293=1,LedAcct&lt;&gt;""),IF(AND(E1293&gt;=LedFrom,E1293&lt;=LedTo,OR(I1293=LedAcct,K1293=LedAcct,AND(LedAcct=acctTax,M1293+N1293&lt;&gt;0))),E1293*10000+B1293,""),"")</f>
        <v/>
      </c>
    </row>
    <row r="1294">
      <c r="B1294" s="101" t="n">
        <v>1288</v>
      </c>
      <c r="C1294" s="58" t="inlineStr">
        <is>
          <t>Transaction</t>
        </is>
      </c>
      <c r="D1294" s="58">
        <f>IF(H1294=1,INDEX(tx_ID,1288)&amp;"","")</f>
        <v/>
      </c>
      <c r="E1294" s="94">
        <f>IF(H1294=1,INDEX(tx_Date,1288),"")</f>
        <v/>
      </c>
      <c r="F1294" s="58">
        <f>IF(H1294=1,INDEX(tx_Desc,1288)&amp;"","")</f>
        <v/>
      </c>
      <c r="G1294" s="58">
        <f>IF(H1294=1,IF(INDEX(tx_Cust,1288)&amp;""&lt;&gt;"",INDEX(tx_Cust,1288)&amp;"",INDEX(tx_Vend,1288)&amp;""),"")</f>
        <v/>
      </c>
      <c r="H1294" s="101">
        <f>IFERROR(N(INDEX(tx_Posted,1288)),0)</f>
        <v/>
      </c>
      <c r="I1294" s="58">
        <f>IF(H1294=1,INDEX(tx_DrAcct,1288)&amp;"","")</f>
        <v/>
      </c>
      <c r="J1294" s="95">
        <f>IF(H1294=1,INDEX(tx_DrAmt,1288),0)</f>
        <v/>
      </c>
      <c r="K1294" s="58">
        <f>IF(H1294=1,INDEX(tx_CrAcct,1288)&amp;"","")</f>
        <v/>
      </c>
      <c r="L1294" s="95">
        <f>IF(H1294=1,INDEX(tx_CrAmt,1288),0)</f>
        <v/>
      </c>
      <c r="M1294" s="95">
        <f>IF(H1294=1,INDEX(tx_TaxDr,1288),0)</f>
        <v/>
      </c>
      <c r="N1294" s="95">
        <f>IF(H1294=1,INDEX(tx_TaxCr,1288),0)</f>
        <v/>
      </c>
      <c r="O1294" s="101">
        <f>IF(H1294=1,IF(E1294&lt;FYStart,0,IF(E1294&gt;FYEnd,13,YEAR(E1294)*12+MONTH(E1294)-FYYM+1)),"")</f>
        <v/>
      </c>
      <c r="P1294" s="101">
        <f>IF(H1294=1,IF(IFERROR(INDEX(coa_CF,MATCH(I1294,coa_Name,0)),"")="Cash",1,0),0)</f>
        <v/>
      </c>
      <c r="Q1294" s="101">
        <f>IF(H1294=1,IF(IFERROR(INDEX(coa_CF,MATCH(K1294,coa_Name,0)),"")="Cash",1,0),0)</f>
        <v/>
      </c>
      <c r="R1294" s="58">
        <f>IF((P1294-Q1294)=0,"",IFERROR(INDEX(coa_CF,MATCH(IF((P1294-Q1294)=1,K1294,I1294),coa_Name,0)),"Operating"))</f>
        <v/>
      </c>
      <c r="S1294" s="95">
        <f>IF((P1294-Q1294)=1,L1294,IF((P1294-Q1294)=-1,-J1294,0))</f>
        <v/>
      </c>
      <c r="T1294" s="95">
        <f>IF((P1294-Q1294)=1,N1294,IF((P1294-Q1294)=-1,-M1294,0))</f>
        <v/>
      </c>
      <c r="U1294" s="101">
        <f>IF(AND(H1294=1,LedAcct&lt;&gt;""),IF(AND(E1294&gt;=LedFrom,E1294&lt;=LedTo,OR(I1294=LedAcct,K1294=LedAcct,AND(LedAcct=acctTax,M1294+N1294&lt;&gt;0))),E1294*10000+B1294,""),"")</f>
        <v/>
      </c>
    </row>
    <row r="1295">
      <c r="B1295" s="101" t="n">
        <v>1289</v>
      </c>
      <c r="C1295" s="58" t="inlineStr">
        <is>
          <t>Transaction</t>
        </is>
      </c>
      <c r="D1295" s="58">
        <f>IF(H1295=1,INDEX(tx_ID,1289)&amp;"","")</f>
        <v/>
      </c>
      <c r="E1295" s="94">
        <f>IF(H1295=1,INDEX(tx_Date,1289),"")</f>
        <v/>
      </c>
      <c r="F1295" s="58">
        <f>IF(H1295=1,INDEX(tx_Desc,1289)&amp;"","")</f>
        <v/>
      </c>
      <c r="G1295" s="58">
        <f>IF(H1295=1,IF(INDEX(tx_Cust,1289)&amp;""&lt;&gt;"",INDEX(tx_Cust,1289)&amp;"",INDEX(tx_Vend,1289)&amp;""),"")</f>
        <v/>
      </c>
      <c r="H1295" s="101">
        <f>IFERROR(N(INDEX(tx_Posted,1289)),0)</f>
        <v/>
      </c>
      <c r="I1295" s="58">
        <f>IF(H1295=1,INDEX(tx_DrAcct,1289)&amp;"","")</f>
        <v/>
      </c>
      <c r="J1295" s="95">
        <f>IF(H1295=1,INDEX(tx_DrAmt,1289),0)</f>
        <v/>
      </c>
      <c r="K1295" s="58">
        <f>IF(H1295=1,INDEX(tx_CrAcct,1289)&amp;"","")</f>
        <v/>
      </c>
      <c r="L1295" s="95">
        <f>IF(H1295=1,INDEX(tx_CrAmt,1289),0)</f>
        <v/>
      </c>
      <c r="M1295" s="95">
        <f>IF(H1295=1,INDEX(tx_TaxDr,1289),0)</f>
        <v/>
      </c>
      <c r="N1295" s="95">
        <f>IF(H1295=1,INDEX(tx_TaxCr,1289),0)</f>
        <v/>
      </c>
      <c r="O1295" s="101">
        <f>IF(H1295=1,IF(E1295&lt;FYStart,0,IF(E1295&gt;FYEnd,13,YEAR(E1295)*12+MONTH(E1295)-FYYM+1)),"")</f>
        <v/>
      </c>
      <c r="P1295" s="101">
        <f>IF(H1295=1,IF(IFERROR(INDEX(coa_CF,MATCH(I1295,coa_Name,0)),"")="Cash",1,0),0)</f>
        <v/>
      </c>
      <c r="Q1295" s="101">
        <f>IF(H1295=1,IF(IFERROR(INDEX(coa_CF,MATCH(K1295,coa_Name,0)),"")="Cash",1,0),0)</f>
        <v/>
      </c>
      <c r="R1295" s="58">
        <f>IF((P1295-Q1295)=0,"",IFERROR(INDEX(coa_CF,MATCH(IF((P1295-Q1295)=1,K1295,I1295),coa_Name,0)),"Operating"))</f>
        <v/>
      </c>
      <c r="S1295" s="95">
        <f>IF((P1295-Q1295)=1,L1295,IF((P1295-Q1295)=-1,-J1295,0))</f>
        <v/>
      </c>
      <c r="T1295" s="95">
        <f>IF((P1295-Q1295)=1,N1295,IF((P1295-Q1295)=-1,-M1295,0))</f>
        <v/>
      </c>
      <c r="U1295" s="101">
        <f>IF(AND(H1295=1,LedAcct&lt;&gt;""),IF(AND(E1295&gt;=LedFrom,E1295&lt;=LedTo,OR(I1295=LedAcct,K1295=LedAcct,AND(LedAcct=acctTax,M1295+N1295&lt;&gt;0))),E1295*10000+B1295,""),"")</f>
        <v/>
      </c>
    </row>
    <row r="1296">
      <c r="B1296" s="101" t="n">
        <v>1290</v>
      </c>
      <c r="C1296" s="58" t="inlineStr">
        <is>
          <t>Transaction</t>
        </is>
      </c>
      <c r="D1296" s="58">
        <f>IF(H1296=1,INDEX(tx_ID,1290)&amp;"","")</f>
        <v/>
      </c>
      <c r="E1296" s="94">
        <f>IF(H1296=1,INDEX(tx_Date,1290),"")</f>
        <v/>
      </c>
      <c r="F1296" s="58">
        <f>IF(H1296=1,INDEX(tx_Desc,1290)&amp;"","")</f>
        <v/>
      </c>
      <c r="G1296" s="58">
        <f>IF(H1296=1,IF(INDEX(tx_Cust,1290)&amp;""&lt;&gt;"",INDEX(tx_Cust,1290)&amp;"",INDEX(tx_Vend,1290)&amp;""),"")</f>
        <v/>
      </c>
      <c r="H1296" s="101">
        <f>IFERROR(N(INDEX(tx_Posted,1290)),0)</f>
        <v/>
      </c>
      <c r="I1296" s="58">
        <f>IF(H1296=1,INDEX(tx_DrAcct,1290)&amp;"","")</f>
        <v/>
      </c>
      <c r="J1296" s="95">
        <f>IF(H1296=1,INDEX(tx_DrAmt,1290),0)</f>
        <v/>
      </c>
      <c r="K1296" s="58">
        <f>IF(H1296=1,INDEX(tx_CrAcct,1290)&amp;"","")</f>
        <v/>
      </c>
      <c r="L1296" s="95">
        <f>IF(H1296=1,INDEX(tx_CrAmt,1290),0)</f>
        <v/>
      </c>
      <c r="M1296" s="95">
        <f>IF(H1296=1,INDEX(tx_TaxDr,1290),0)</f>
        <v/>
      </c>
      <c r="N1296" s="95">
        <f>IF(H1296=1,INDEX(tx_TaxCr,1290),0)</f>
        <v/>
      </c>
      <c r="O1296" s="101">
        <f>IF(H1296=1,IF(E1296&lt;FYStart,0,IF(E1296&gt;FYEnd,13,YEAR(E1296)*12+MONTH(E1296)-FYYM+1)),"")</f>
        <v/>
      </c>
      <c r="P1296" s="101">
        <f>IF(H1296=1,IF(IFERROR(INDEX(coa_CF,MATCH(I1296,coa_Name,0)),"")="Cash",1,0),0)</f>
        <v/>
      </c>
      <c r="Q1296" s="101">
        <f>IF(H1296=1,IF(IFERROR(INDEX(coa_CF,MATCH(K1296,coa_Name,0)),"")="Cash",1,0),0)</f>
        <v/>
      </c>
      <c r="R1296" s="58">
        <f>IF((P1296-Q1296)=0,"",IFERROR(INDEX(coa_CF,MATCH(IF((P1296-Q1296)=1,K1296,I1296),coa_Name,0)),"Operating"))</f>
        <v/>
      </c>
      <c r="S1296" s="95">
        <f>IF((P1296-Q1296)=1,L1296,IF((P1296-Q1296)=-1,-J1296,0))</f>
        <v/>
      </c>
      <c r="T1296" s="95">
        <f>IF((P1296-Q1296)=1,N1296,IF((P1296-Q1296)=-1,-M1296,0))</f>
        <v/>
      </c>
      <c r="U1296" s="101">
        <f>IF(AND(H1296=1,LedAcct&lt;&gt;""),IF(AND(E1296&gt;=LedFrom,E1296&lt;=LedTo,OR(I1296=LedAcct,K1296=LedAcct,AND(LedAcct=acctTax,M1296+N1296&lt;&gt;0))),E1296*10000+B1296,""),"")</f>
        <v/>
      </c>
    </row>
    <row r="1297">
      <c r="B1297" s="101" t="n">
        <v>1291</v>
      </c>
      <c r="C1297" s="58" t="inlineStr">
        <is>
          <t>Transaction</t>
        </is>
      </c>
      <c r="D1297" s="58">
        <f>IF(H1297=1,INDEX(tx_ID,1291)&amp;"","")</f>
        <v/>
      </c>
      <c r="E1297" s="94">
        <f>IF(H1297=1,INDEX(tx_Date,1291),"")</f>
        <v/>
      </c>
      <c r="F1297" s="58">
        <f>IF(H1297=1,INDEX(tx_Desc,1291)&amp;"","")</f>
        <v/>
      </c>
      <c r="G1297" s="58">
        <f>IF(H1297=1,IF(INDEX(tx_Cust,1291)&amp;""&lt;&gt;"",INDEX(tx_Cust,1291)&amp;"",INDEX(tx_Vend,1291)&amp;""),"")</f>
        <v/>
      </c>
      <c r="H1297" s="101">
        <f>IFERROR(N(INDEX(tx_Posted,1291)),0)</f>
        <v/>
      </c>
      <c r="I1297" s="58">
        <f>IF(H1297=1,INDEX(tx_DrAcct,1291)&amp;"","")</f>
        <v/>
      </c>
      <c r="J1297" s="95">
        <f>IF(H1297=1,INDEX(tx_DrAmt,1291),0)</f>
        <v/>
      </c>
      <c r="K1297" s="58">
        <f>IF(H1297=1,INDEX(tx_CrAcct,1291)&amp;"","")</f>
        <v/>
      </c>
      <c r="L1297" s="95">
        <f>IF(H1297=1,INDEX(tx_CrAmt,1291),0)</f>
        <v/>
      </c>
      <c r="M1297" s="95">
        <f>IF(H1297=1,INDEX(tx_TaxDr,1291),0)</f>
        <v/>
      </c>
      <c r="N1297" s="95">
        <f>IF(H1297=1,INDEX(tx_TaxCr,1291),0)</f>
        <v/>
      </c>
      <c r="O1297" s="101">
        <f>IF(H1297=1,IF(E1297&lt;FYStart,0,IF(E1297&gt;FYEnd,13,YEAR(E1297)*12+MONTH(E1297)-FYYM+1)),"")</f>
        <v/>
      </c>
      <c r="P1297" s="101">
        <f>IF(H1297=1,IF(IFERROR(INDEX(coa_CF,MATCH(I1297,coa_Name,0)),"")="Cash",1,0),0)</f>
        <v/>
      </c>
      <c r="Q1297" s="101">
        <f>IF(H1297=1,IF(IFERROR(INDEX(coa_CF,MATCH(K1297,coa_Name,0)),"")="Cash",1,0),0)</f>
        <v/>
      </c>
      <c r="R1297" s="58">
        <f>IF((P1297-Q1297)=0,"",IFERROR(INDEX(coa_CF,MATCH(IF((P1297-Q1297)=1,K1297,I1297),coa_Name,0)),"Operating"))</f>
        <v/>
      </c>
      <c r="S1297" s="95">
        <f>IF((P1297-Q1297)=1,L1297,IF((P1297-Q1297)=-1,-J1297,0))</f>
        <v/>
      </c>
      <c r="T1297" s="95">
        <f>IF((P1297-Q1297)=1,N1297,IF((P1297-Q1297)=-1,-M1297,0))</f>
        <v/>
      </c>
      <c r="U1297" s="101">
        <f>IF(AND(H1297=1,LedAcct&lt;&gt;""),IF(AND(E1297&gt;=LedFrom,E1297&lt;=LedTo,OR(I1297=LedAcct,K1297=LedAcct,AND(LedAcct=acctTax,M1297+N1297&lt;&gt;0))),E1297*10000+B1297,""),"")</f>
        <v/>
      </c>
    </row>
    <row r="1298">
      <c r="B1298" s="101" t="n">
        <v>1292</v>
      </c>
      <c r="C1298" s="58" t="inlineStr">
        <is>
          <t>Transaction</t>
        </is>
      </c>
      <c r="D1298" s="58">
        <f>IF(H1298=1,INDEX(tx_ID,1292)&amp;"","")</f>
        <v/>
      </c>
      <c r="E1298" s="94">
        <f>IF(H1298=1,INDEX(tx_Date,1292),"")</f>
        <v/>
      </c>
      <c r="F1298" s="58">
        <f>IF(H1298=1,INDEX(tx_Desc,1292)&amp;"","")</f>
        <v/>
      </c>
      <c r="G1298" s="58">
        <f>IF(H1298=1,IF(INDEX(tx_Cust,1292)&amp;""&lt;&gt;"",INDEX(tx_Cust,1292)&amp;"",INDEX(tx_Vend,1292)&amp;""),"")</f>
        <v/>
      </c>
      <c r="H1298" s="101">
        <f>IFERROR(N(INDEX(tx_Posted,1292)),0)</f>
        <v/>
      </c>
      <c r="I1298" s="58">
        <f>IF(H1298=1,INDEX(tx_DrAcct,1292)&amp;"","")</f>
        <v/>
      </c>
      <c r="J1298" s="95">
        <f>IF(H1298=1,INDEX(tx_DrAmt,1292),0)</f>
        <v/>
      </c>
      <c r="K1298" s="58">
        <f>IF(H1298=1,INDEX(tx_CrAcct,1292)&amp;"","")</f>
        <v/>
      </c>
      <c r="L1298" s="95">
        <f>IF(H1298=1,INDEX(tx_CrAmt,1292),0)</f>
        <v/>
      </c>
      <c r="M1298" s="95">
        <f>IF(H1298=1,INDEX(tx_TaxDr,1292),0)</f>
        <v/>
      </c>
      <c r="N1298" s="95">
        <f>IF(H1298=1,INDEX(tx_TaxCr,1292),0)</f>
        <v/>
      </c>
      <c r="O1298" s="101">
        <f>IF(H1298=1,IF(E1298&lt;FYStart,0,IF(E1298&gt;FYEnd,13,YEAR(E1298)*12+MONTH(E1298)-FYYM+1)),"")</f>
        <v/>
      </c>
      <c r="P1298" s="101">
        <f>IF(H1298=1,IF(IFERROR(INDEX(coa_CF,MATCH(I1298,coa_Name,0)),"")="Cash",1,0),0)</f>
        <v/>
      </c>
      <c r="Q1298" s="101">
        <f>IF(H1298=1,IF(IFERROR(INDEX(coa_CF,MATCH(K1298,coa_Name,0)),"")="Cash",1,0),0)</f>
        <v/>
      </c>
      <c r="R1298" s="58">
        <f>IF((P1298-Q1298)=0,"",IFERROR(INDEX(coa_CF,MATCH(IF((P1298-Q1298)=1,K1298,I1298),coa_Name,0)),"Operating"))</f>
        <v/>
      </c>
      <c r="S1298" s="95">
        <f>IF((P1298-Q1298)=1,L1298,IF((P1298-Q1298)=-1,-J1298,0))</f>
        <v/>
      </c>
      <c r="T1298" s="95">
        <f>IF((P1298-Q1298)=1,N1298,IF((P1298-Q1298)=-1,-M1298,0))</f>
        <v/>
      </c>
      <c r="U1298" s="101">
        <f>IF(AND(H1298=1,LedAcct&lt;&gt;""),IF(AND(E1298&gt;=LedFrom,E1298&lt;=LedTo,OR(I1298=LedAcct,K1298=LedAcct,AND(LedAcct=acctTax,M1298+N1298&lt;&gt;0))),E1298*10000+B1298,""),"")</f>
        <v/>
      </c>
    </row>
    <row r="1299">
      <c r="B1299" s="101" t="n">
        <v>1293</v>
      </c>
      <c r="C1299" s="58" t="inlineStr">
        <is>
          <t>Transaction</t>
        </is>
      </c>
      <c r="D1299" s="58">
        <f>IF(H1299=1,INDEX(tx_ID,1293)&amp;"","")</f>
        <v/>
      </c>
      <c r="E1299" s="94">
        <f>IF(H1299=1,INDEX(tx_Date,1293),"")</f>
        <v/>
      </c>
      <c r="F1299" s="58">
        <f>IF(H1299=1,INDEX(tx_Desc,1293)&amp;"","")</f>
        <v/>
      </c>
      <c r="G1299" s="58">
        <f>IF(H1299=1,IF(INDEX(tx_Cust,1293)&amp;""&lt;&gt;"",INDEX(tx_Cust,1293)&amp;"",INDEX(tx_Vend,1293)&amp;""),"")</f>
        <v/>
      </c>
      <c r="H1299" s="101">
        <f>IFERROR(N(INDEX(tx_Posted,1293)),0)</f>
        <v/>
      </c>
      <c r="I1299" s="58">
        <f>IF(H1299=1,INDEX(tx_DrAcct,1293)&amp;"","")</f>
        <v/>
      </c>
      <c r="J1299" s="95">
        <f>IF(H1299=1,INDEX(tx_DrAmt,1293),0)</f>
        <v/>
      </c>
      <c r="K1299" s="58">
        <f>IF(H1299=1,INDEX(tx_CrAcct,1293)&amp;"","")</f>
        <v/>
      </c>
      <c r="L1299" s="95">
        <f>IF(H1299=1,INDEX(tx_CrAmt,1293),0)</f>
        <v/>
      </c>
      <c r="M1299" s="95">
        <f>IF(H1299=1,INDEX(tx_TaxDr,1293),0)</f>
        <v/>
      </c>
      <c r="N1299" s="95">
        <f>IF(H1299=1,INDEX(tx_TaxCr,1293),0)</f>
        <v/>
      </c>
      <c r="O1299" s="101">
        <f>IF(H1299=1,IF(E1299&lt;FYStart,0,IF(E1299&gt;FYEnd,13,YEAR(E1299)*12+MONTH(E1299)-FYYM+1)),"")</f>
        <v/>
      </c>
      <c r="P1299" s="101">
        <f>IF(H1299=1,IF(IFERROR(INDEX(coa_CF,MATCH(I1299,coa_Name,0)),"")="Cash",1,0),0)</f>
        <v/>
      </c>
      <c r="Q1299" s="101">
        <f>IF(H1299=1,IF(IFERROR(INDEX(coa_CF,MATCH(K1299,coa_Name,0)),"")="Cash",1,0),0)</f>
        <v/>
      </c>
      <c r="R1299" s="58">
        <f>IF((P1299-Q1299)=0,"",IFERROR(INDEX(coa_CF,MATCH(IF((P1299-Q1299)=1,K1299,I1299),coa_Name,0)),"Operating"))</f>
        <v/>
      </c>
      <c r="S1299" s="95">
        <f>IF((P1299-Q1299)=1,L1299,IF((P1299-Q1299)=-1,-J1299,0))</f>
        <v/>
      </c>
      <c r="T1299" s="95">
        <f>IF((P1299-Q1299)=1,N1299,IF((P1299-Q1299)=-1,-M1299,0))</f>
        <v/>
      </c>
      <c r="U1299" s="101">
        <f>IF(AND(H1299=1,LedAcct&lt;&gt;""),IF(AND(E1299&gt;=LedFrom,E1299&lt;=LedTo,OR(I1299=LedAcct,K1299=LedAcct,AND(LedAcct=acctTax,M1299+N1299&lt;&gt;0))),E1299*10000+B1299,""),"")</f>
        <v/>
      </c>
    </row>
    <row r="1300">
      <c r="B1300" s="101" t="n">
        <v>1294</v>
      </c>
      <c r="C1300" s="58" t="inlineStr">
        <is>
          <t>Transaction</t>
        </is>
      </c>
      <c r="D1300" s="58">
        <f>IF(H1300=1,INDEX(tx_ID,1294)&amp;"","")</f>
        <v/>
      </c>
      <c r="E1300" s="94">
        <f>IF(H1300=1,INDEX(tx_Date,1294),"")</f>
        <v/>
      </c>
      <c r="F1300" s="58">
        <f>IF(H1300=1,INDEX(tx_Desc,1294)&amp;"","")</f>
        <v/>
      </c>
      <c r="G1300" s="58">
        <f>IF(H1300=1,IF(INDEX(tx_Cust,1294)&amp;""&lt;&gt;"",INDEX(tx_Cust,1294)&amp;"",INDEX(tx_Vend,1294)&amp;""),"")</f>
        <v/>
      </c>
      <c r="H1300" s="101">
        <f>IFERROR(N(INDEX(tx_Posted,1294)),0)</f>
        <v/>
      </c>
      <c r="I1300" s="58">
        <f>IF(H1300=1,INDEX(tx_DrAcct,1294)&amp;"","")</f>
        <v/>
      </c>
      <c r="J1300" s="95">
        <f>IF(H1300=1,INDEX(tx_DrAmt,1294),0)</f>
        <v/>
      </c>
      <c r="K1300" s="58">
        <f>IF(H1300=1,INDEX(tx_CrAcct,1294)&amp;"","")</f>
        <v/>
      </c>
      <c r="L1300" s="95">
        <f>IF(H1300=1,INDEX(tx_CrAmt,1294),0)</f>
        <v/>
      </c>
      <c r="M1300" s="95">
        <f>IF(H1300=1,INDEX(tx_TaxDr,1294),0)</f>
        <v/>
      </c>
      <c r="N1300" s="95">
        <f>IF(H1300=1,INDEX(tx_TaxCr,1294),0)</f>
        <v/>
      </c>
      <c r="O1300" s="101">
        <f>IF(H1300=1,IF(E1300&lt;FYStart,0,IF(E1300&gt;FYEnd,13,YEAR(E1300)*12+MONTH(E1300)-FYYM+1)),"")</f>
        <v/>
      </c>
      <c r="P1300" s="101">
        <f>IF(H1300=1,IF(IFERROR(INDEX(coa_CF,MATCH(I1300,coa_Name,0)),"")="Cash",1,0),0)</f>
        <v/>
      </c>
      <c r="Q1300" s="101">
        <f>IF(H1300=1,IF(IFERROR(INDEX(coa_CF,MATCH(K1300,coa_Name,0)),"")="Cash",1,0),0)</f>
        <v/>
      </c>
      <c r="R1300" s="58">
        <f>IF((P1300-Q1300)=0,"",IFERROR(INDEX(coa_CF,MATCH(IF((P1300-Q1300)=1,K1300,I1300),coa_Name,0)),"Operating"))</f>
        <v/>
      </c>
      <c r="S1300" s="95">
        <f>IF((P1300-Q1300)=1,L1300,IF((P1300-Q1300)=-1,-J1300,0))</f>
        <v/>
      </c>
      <c r="T1300" s="95">
        <f>IF((P1300-Q1300)=1,N1300,IF((P1300-Q1300)=-1,-M1300,0))</f>
        <v/>
      </c>
      <c r="U1300" s="101">
        <f>IF(AND(H1300=1,LedAcct&lt;&gt;""),IF(AND(E1300&gt;=LedFrom,E1300&lt;=LedTo,OR(I1300=LedAcct,K1300=LedAcct,AND(LedAcct=acctTax,M1300+N1300&lt;&gt;0))),E1300*10000+B1300,""),"")</f>
        <v/>
      </c>
    </row>
    <row r="1301">
      <c r="B1301" s="101" t="n">
        <v>1295</v>
      </c>
      <c r="C1301" s="58" t="inlineStr">
        <is>
          <t>Transaction</t>
        </is>
      </c>
      <c r="D1301" s="58">
        <f>IF(H1301=1,INDEX(tx_ID,1295)&amp;"","")</f>
        <v/>
      </c>
      <c r="E1301" s="94">
        <f>IF(H1301=1,INDEX(tx_Date,1295),"")</f>
        <v/>
      </c>
      <c r="F1301" s="58">
        <f>IF(H1301=1,INDEX(tx_Desc,1295)&amp;"","")</f>
        <v/>
      </c>
      <c r="G1301" s="58">
        <f>IF(H1301=1,IF(INDEX(tx_Cust,1295)&amp;""&lt;&gt;"",INDEX(tx_Cust,1295)&amp;"",INDEX(tx_Vend,1295)&amp;""),"")</f>
        <v/>
      </c>
      <c r="H1301" s="101">
        <f>IFERROR(N(INDEX(tx_Posted,1295)),0)</f>
        <v/>
      </c>
      <c r="I1301" s="58">
        <f>IF(H1301=1,INDEX(tx_DrAcct,1295)&amp;"","")</f>
        <v/>
      </c>
      <c r="J1301" s="95">
        <f>IF(H1301=1,INDEX(tx_DrAmt,1295),0)</f>
        <v/>
      </c>
      <c r="K1301" s="58">
        <f>IF(H1301=1,INDEX(tx_CrAcct,1295)&amp;"","")</f>
        <v/>
      </c>
      <c r="L1301" s="95">
        <f>IF(H1301=1,INDEX(tx_CrAmt,1295),0)</f>
        <v/>
      </c>
      <c r="M1301" s="95">
        <f>IF(H1301=1,INDEX(tx_TaxDr,1295),0)</f>
        <v/>
      </c>
      <c r="N1301" s="95">
        <f>IF(H1301=1,INDEX(tx_TaxCr,1295),0)</f>
        <v/>
      </c>
      <c r="O1301" s="101">
        <f>IF(H1301=1,IF(E1301&lt;FYStart,0,IF(E1301&gt;FYEnd,13,YEAR(E1301)*12+MONTH(E1301)-FYYM+1)),"")</f>
        <v/>
      </c>
      <c r="P1301" s="101">
        <f>IF(H1301=1,IF(IFERROR(INDEX(coa_CF,MATCH(I1301,coa_Name,0)),"")="Cash",1,0),0)</f>
        <v/>
      </c>
      <c r="Q1301" s="101">
        <f>IF(H1301=1,IF(IFERROR(INDEX(coa_CF,MATCH(K1301,coa_Name,0)),"")="Cash",1,0),0)</f>
        <v/>
      </c>
      <c r="R1301" s="58">
        <f>IF((P1301-Q1301)=0,"",IFERROR(INDEX(coa_CF,MATCH(IF((P1301-Q1301)=1,K1301,I1301),coa_Name,0)),"Operating"))</f>
        <v/>
      </c>
      <c r="S1301" s="95">
        <f>IF((P1301-Q1301)=1,L1301,IF((P1301-Q1301)=-1,-J1301,0))</f>
        <v/>
      </c>
      <c r="T1301" s="95">
        <f>IF((P1301-Q1301)=1,N1301,IF((P1301-Q1301)=-1,-M1301,0))</f>
        <v/>
      </c>
      <c r="U1301" s="101">
        <f>IF(AND(H1301=1,LedAcct&lt;&gt;""),IF(AND(E1301&gt;=LedFrom,E1301&lt;=LedTo,OR(I1301=LedAcct,K1301=LedAcct,AND(LedAcct=acctTax,M1301+N1301&lt;&gt;0))),E1301*10000+B1301,""),"")</f>
        <v/>
      </c>
    </row>
    <row r="1302">
      <c r="B1302" s="101" t="n">
        <v>1296</v>
      </c>
      <c r="C1302" s="58" t="inlineStr">
        <is>
          <t>Transaction</t>
        </is>
      </c>
      <c r="D1302" s="58">
        <f>IF(H1302=1,INDEX(tx_ID,1296)&amp;"","")</f>
        <v/>
      </c>
      <c r="E1302" s="94">
        <f>IF(H1302=1,INDEX(tx_Date,1296),"")</f>
        <v/>
      </c>
      <c r="F1302" s="58">
        <f>IF(H1302=1,INDEX(tx_Desc,1296)&amp;"","")</f>
        <v/>
      </c>
      <c r="G1302" s="58">
        <f>IF(H1302=1,IF(INDEX(tx_Cust,1296)&amp;""&lt;&gt;"",INDEX(tx_Cust,1296)&amp;"",INDEX(tx_Vend,1296)&amp;""),"")</f>
        <v/>
      </c>
      <c r="H1302" s="101">
        <f>IFERROR(N(INDEX(tx_Posted,1296)),0)</f>
        <v/>
      </c>
      <c r="I1302" s="58">
        <f>IF(H1302=1,INDEX(tx_DrAcct,1296)&amp;"","")</f>
        <v/>
      </c>
      <c r="J1302" s="95">
        <f>IF(H1302=1,INDEX(tx_DrAmt,1296),0)</f>
        <v/>
      </c>
      <c r="K1302" s="58">
        <f>IF(H1302=1,INDEX(tx_CrAcct,1296)&amp;"","")</f>
        <v/>
      </c>
      <c r="L1302" s="95">
        <f>IF(H1302=1,INDEX(tx_CrAmt,1296),0)</f>
        <v/>
      </c>
      <c r="M1302" s="95">
        <f>IF(H1302=1,INDEX(tx_TaxDr,1296),0)</f>
        <v/>
      </c>
      <c r="N1302" s="95">
        <f>IF(H1302=1,INDEX(tx_TaxCr,1296),0)</f>
        <v/>
      </c>
      <c r="O1302" s="101">
        <f>IF(H1302=1,IF(E1302&lt;FYStart,0,IF(E1302&gt;FYEnd,13,YEAR(E1302)*12+MONTH(E1302)-FYYM+1)),"")</f>
        <v/>
      </c>
      <c r="P1302" s="101">
        <f>IF(H1302=1,IF(IFERROR(INDEX(coa_CF,MATCH(I1302,coa_Name,0)),"")="Cash",1,0),0)</f>
        <v/>
      </c>
      <c r="Q1302" s="101">
        <f>IF(H1302=1,IF(IFERROR(INDEX(coa_CF,MATCH(K1302,coa_Name,0)),"")="Cash",1,0),0)</f>
        <v/>
      </c>
      <c r="R1302" s="58">
        <f>IF((P1302-Q1302)=0,"",IFERROR(INDEX(coa_CF,MATCH(IF((P1302-Q1302)=1,K1302,I1302),coa_Name,0)),"Operating"))</f>
        <v/>
      </c>
      <c r="S1302" s="95">
        <f>IF((P1302-Q1302)=1,L1302,IF((P1302-Q1302)=-1,-J1302,0))</f>
        <v/>
      </c>
      <c r="T1302" s="95">
        <f>IF((P1302-Q1302)=1,N1302,IF((P1302-Q1302)=-1,-M1302,0))</f>
        <v/>
      </c>
      <c r="U1302" s="101">
        <f>IF(AND(H1302=1,LedAcct&lt;&gt;""),IF(AND(E1302&gt;=LedFrom,E1302&lt;=LedTo,OR(I1302=LedAcct,K1302=LedAcct,AND(LedAcct=acctTax,M1302+N1302&lt;&gt;0))),E1302*10000+B1302,""),"")</f>
        <v/>
      </c>
    </row>
    <row r="1303">
      <c r="B1303" s="101" t="n">
        <v>1297</v>
      </c>
      <c r="C1303" s="58" t="inlineStr">
        <is>
          <t>Transaction</t>
        </is>
      </c>
      <c r="D1303" s="58">
        <f>IF(H1303=1,INDEX(tx_ID,1297)&amp;"","")</f>
        <v/>
      </c>
      <c r="E1303" s="94">
        <f>IF(H1303=1,INDEX(tx_Date,1297),"")</f>
        <v/>
      </c>
      <c r="F1303" s="58">
        <f>IF(H1303=1,INDEX(tx_Desc,1297)&amp;"","")</f>
        <v/>
      </c>
      <c r="G1303" s="58">
        <f>IF(H1303=1,IF(INDEX(tx_Cust,1297)&amp;""&lt;&gt;"",INDEX(tx_Cust,1297)&amp;"",INDEX(tx_Vend,1297)&amp;""),"")</f>
        <v/>
      </c>
      <c r="H1303" s="101">
        <f>IFERROR(N(INDEX(tx_Posted,1297)),0)</f>
        <v/>
      </c>
      <c r="I1303" s="58">
        <f>IF(H1303=1,INDEX(tx_DrAcct,1297)&amp;"","")</f>
        <v/>
      </c>
      <c r="J1303" s="95">
        <f>IF(H1303=1,INDEX(tx_DrAmt,1297),0)</f>
        <v/>
      </c>
      <c r="K1303" s="58">
        <f>IF(H1303=1,INDEX(tx_CrAcct,1297)&amp;"","")</f>
        <v/>
      </c>
      <c r="L1303" s="95">
        <f>IF(H1303=1,INDEX(tx_CrAmt,1297),0)</f>
        <v/>
      </c>
      <c r="M1303" s="95">
        <f>IF(H1303=1,INDEX(tx_TaxDr,1297),0)</f>
        <v/>
      </c>
      <c r="N1303" s="95">
        <f>IF(H1303=1,INDEX(tx_TaxCr,1297),0)</f>
        <v/>
      </c>
      <c r="O1303" s="101">
        <f>IF(H1303=1,IF(E1303&lt;FYStart,0,IF(E1303&gt;FYEnd,13,YEAR(E1303)*12+MONTH(E1303)-FYYM+1)),"")</f>
        <v/>
      </c>
      <c r="P1303" s="101">
        <f>IF(H1303=1,IF(IFERROR(INDEX(coa_CF,MATCH(I1303,coa_Name,0)),"")="Cash",1,0),0)</f>
        <v/>
      </c>
      <c r="Q1303" s="101">
        <f>IF(H1303=1,IF(IFERROR(INDEX(coa_CF,MATCH(K1303,coa_Name,0)),"")="Cash",1,0),0)</f>
        <v/>
      </c>
      <c r="R1303" s="58">
        <f>IF((P1303-Q1303)=0,"",IFERROR(INDEX(coa_CF,MATCH(IF((P1303-Q1303)=1,K1303,I1303),coa_Name,0)),"Operating"))</f>
        <v/>
      </c>
      <c r="S1303" s="95">
        <f>IF((P1303-Q1303)=1,L1303,IF((P1303-Q1303)=-1,-J1303,0))</f>
        <v/>
      </c>
      <c r="T1303" s="95">
        <f>IF((P1303-Q1303)=1,N1303,IF((P1303-Q1303)=-1,-M1303,0))</f>
        <v/>
      </c>
      <c r="U1303" s="101">
        <f>IF(AND(H1303=1,LedAcct&lt;&gt;""),IF(AND(E1303&gt;=LedFrom,E1303&lt;=LedTo,OR(I1303=LedAcct,K1303=LedAcct,AND(LedAcct=acctTax,M1303+N1303&lt;&gt;0))),E1303*10000+B1303,""),"")</f>
        <v/>
      </c>
    </row>
    <row r="1304">
      <c r="B1304" s="101" t="n">
        <v>1298</v>
      </c>
      <c r="C1304" s="58" t="inlineStr">
        <is>
          <t>Transaction</t>
        </is>
      </c>
      <c r="D1304" s="58">
        <f>IF(H1304=1,INDEX(tx_ID,1298)&amp;"","")</f>
        <v/>
      </c>
      <c r="E1304" s="94">
        <f>IF(H1304=1,INDEX(tx_Date,1298),"")</f>
        <v/>
      </c>
      <c r="F1304" s="58">
        <f>IF(H1304=1,INDEX(tx_Desc,1298)&amp;"","")</f>
        <v/>
      </c>
      <c r="G1304" s="58">
        <f>IF(H1304=1,IF(INDEX(tx_Cust,1298)&amp;""&lt;&gt;"",INDEX(tx_Cust,1298)&amp;"",INDEX(tx_Vend,1298)&amp;""),"")</f>
        <v/>
      </c>
      <c r="H1304" s="101">
        <f>IFERROR(N(INDEX(tx_Posted,1298)),0)</f>
        <v/>
      </c>
      <c r="I1304" s="58">
        <f>IF(H1304=1,INDEX(tx_DrAcct,1298)&amp;"","")</f>
        <v/>
      </c>
      <c r="J1304" s="95">
        <f>IF(H1304=1,INDEX(tx_DrAmt,1298),0)</f>
        <v/>
      </c>
      <c r="K1304" s="58">
        <f>IF(H1304=1,INDEX(tx_CrAcct,1298)&amp;"","")</f>
        <v/>
      </c>
      <c r="L1304" s="95">
        <f>IF(H1304=1,INDEX(tx_CrAmt,1298),0)</f>
        <v/>
      </c>
      <c r="M1304" s="95">
        <f>IF(H1304=1,INDEX(tx_TaxDr,1298),0)</f>
        <v/>
      </c>
      <c r="N1304" s="95">
        <f>IF(H1304=1,INDEX(tx_TaxCr,1298),0)</f>
        <v/>
      </c>
      <c r="O1304" s="101">
        <f>IF(H1304=1,IF(E1304&lt;FYStart,0,IF(E1304&gt;FYEnd,13,YEAR(E1304)*12+MONTH(E1304)-FYYM+1)),"")</f>
        <v/>
      </c>
      <c r="P1304" s="101">
        <f>IF(H1304=1,IF(IFERROR(INDEX(coa_CF,MATCH(I1304,coa_Name,0)),"")="Cash",1,0),0)</f>
        <v/>
      </c>
      <c r="Q1304" s="101">
        <f>IF(H1304=1,IF(IFERROR(INDEX(coa_CF,MATCH(K1304,coa_Name,0)),"")="Cash",1,0),0)</f>
        <v/>
      </c>
      <c r="R1304" s="58">
        <f>IF((P1304-Q1304)=0,"",IFERROR(INDEX(coa_CF,MATCH(IF((P1304-Q1304)=1,K1304,I1304),coa_Name,0)),"Operating"))</f>
        <v/>
      </c>
      <c r="S1304" s="95">
        <f>IF((P1304-Q1304)=1,L1304,IF((P1304-Q1304)=-1,-J1304,0))</f>
        <v/>
      </c>
      <c r="T1304" s="95">
        <f>IF((P1304-Q1304)=1,N1304,IF((P1304-Q1304)=-1,-M1304,0))</f>
        <v/>
      </c>
      <c r="U1304" s="101">
        <f>IF(AND(H1304=1,LedAcct&lt;&gt;""),IF(AND(E1304&gt;=LedFrom,E1304&lt;=LedTo,OR(I1304=LedAcct,K1304=LedAcct,AND(LedAcct=acctTax,M1304+N1304&lt;&gt;0))),E1304*10000+B1304,""),"")</f>
        <v/>
      </c>
    </row>
    <row r="1305">
      <c r="B1305" s="101" t="n">
        <v>1299</v>
      </c>
      <c r="C1305" s="58" t="inlineStr">
        <is>
          <t>Transaction</t>
        </is>
      </c>
      <c r="D1305" s="58">
        <f>IF(H1305=1,INDEX(tx_ID,1299)&amp;"","")</f>
        <v/>
      </c>
      <c r="E1305" s="94">
        <f>IF(H1305=1,INDEX(tx_Date,1299),"")</f>
        <v/>
      </c>
      <c r="F1305" s="58">
        <f>IF(H1305=1,INDEX(tx_Desc,1299)&amp;"","")</f>
        <v/>
      </c>
      <c r="G1305" s="58">
        <f>IF(H1305=1,IF(INDEX(tx_Cust,1299)&amp;""&lt;&gt;"",INDEX(tx_Cust,1299)&amp;"",INDEX(tx_Vend,1299)&amp;""),"")</f>
        <v/>
      </c>
      <c r="H1305" s="101">
        <f>IFERROR(N(INDEX(tx_Posted,1299)),0)</f>
        <v/>
      </c>
      <c r="I1305" s="58">
        <f>IF(H1305=1,INDEX(tx_DrAcct,1299)&amp;"","")</f>
        <v/>
      </c>
      <c r="J1305" s="95">
        <f>IF(H1305=1,INDEX(tx_DrAmt,1299),0)</f>
        <v/>
      </c>
      <c r="K1305" s="58">
        <f>IF(H1305=1,INDEX(tx_CrAcct,1299)&amp;"","")</f>
        <v/>
      </c>
      <c r="L1305" s="95">
        <f>IF(H1305=1,INDEX(tx_CrAmt,1299),0)</f>
        <v/>
      </c>
      <c r="M1305" s="95">
        <f>IF(H1305=1,INDEX(tx_TaxDr,1299),0)</f>
        <v/>
      </c>
      <c r="N1305" s="95">
        <f>IF(H1305=1,INDEX(tx_TaxCr,1299),0)</f>
        <v/>
      </c>
      <c r="O1305" s="101">
        <f>IF(H1305=1,IF(E1305&lt;FYStart,0,IF(E1305&gt;FYEnd,13,YEAR(E1305)*12+MONTH(E1305)-FYYM+1)),"")</f>
        <v/>
      </c>
      <c r="P1305" s="101">
        <f>IF(H1305=1,IF(IFERROR(INDEX(coa_CF,MATCH(I1305,coa_Name,0)),"")="Cash",1,0),0)</f>
        <v/>
      </c>
      <c r="Q1305" s="101">
        <f>IF(H1305=1,IF(IFERROR(INDEX(coa_CF,MATCH(K1305,coa_Name,0)),"")="Cash",1,0),0)</f>
        <v/>
      </c>
      <c r="R1305" s="58">
        <f>IF((P1305-Q1305)=0,"",IFERROR(INDEX(coa_CF,MATCH(IF((P1305-Q1305)=1,K1305,I1305),coa_Name,0)),"Operating"))</f>
        <v/>
      </c>
      <c r="S1305" s="95">
        <f>IF((P1305-Q1305)=1,L1305,IF((P1305-Q1305)=-1,-J1305,0))</f>
        <v/>
      </c>
      <c r="T1305" s="95">
        <f>IF((P1305-Q1305)=1,N1305,IF((P1305-Q1305)=-1,-M1305,0))</f>
        <v/>
      </c>
      <c r="U1305" s="101">
        <f>IF(AND(H1305=1,LedAcct&lt;&gt;""),IF(AND(E1305&gt;=LedFrom,E1305&lt;=LedTo,OR(I1305=LedAcct,K1305=LedAcct,AND(LedAcct=acctTax,M1305+N1305&lt;&gt;0))),E1305*10000+B1305,""),"")</f>
        <v/>
      </c>
    </row>
    <row r="1306">
      <c r="B1306" s="101" t="n">
        <v>1300</v>
      </c>
      <c r="C1306" s="58" t="inlineStr">
        <is>
          <t>Transaction</t>
        </is>
      </c>
      <c r="D1306" s="58">
        <f>IF(H1306=1,INDEX(tx_ID,1300)&amp;"","")</f>
        <v/>
      </c>
      <c r="E1306" s="94">
        <f>IF(H1306=1,INDEX(tx_Date,1300),"")</f>
        <v/>
      </c>
      <c r="F1306" s="58">
        <f>IF(H1306=1,INDEX(tx_Desc,1300)&amp;"","")</f>
        <v/>
      </c>
      <c r="G1306" s="58">
        <f>IF(H1306=1,IF(INDEX(tx_Cust,1300)&amp;""&lt;&gt;"",INDEX(tx_Cust,1300)&amp;"",INDEX(tx_Vend,1300)&amp;""),"")</f>
        <v/>
      </c>
      <c r="H1306" s="101">
        <f>IFERROR(N(INDEX(tx_Posted,1300)),0)</f>
        <v/>
      </c>
      <c r="I1306" s="58">
        <f>IF(H1306=1,INDEX(tx_DrAcct,1300)&amp;"","")</f>
        <v/>
      </c>
      <c r="J1306" s="95">
        <f>IF(H1306=1,INDEX(tx_DrAmt,1300),0)</f>
        <v/>
      </c>
      <c r="K1306" s="58">
        <f>IF(H1306=1,INDEX(tx_CrAcct,1300)&amp;"","")</f>
        <v/>
      </c>
      <c r="L1306" s="95">
        <f>IF(H1306=1,INDEX(tx_CrAmt,1300),0)</f>
        <v/>
      </c>
      <c r="M1306" s="95">
        <f>IF(H1306=1,INDEX(tx_TaxDr,1300),0)</f>
        <v/>
      </c>
      <c r="N1306" s="95">
        <f>IF(H1306=1,INDEX(tx_TaxCr,1300),0)</f>
        <v/>
      </c>
      <c r="O1306" s="101">
        <f>IF(H1306=1,IF(E1306&lt;FYStart,0,IF(E1306&gt;FYEnd,13,YEAR(E1306)*12+MONTH(E1306)-FYYM+1)),"")</f>
        <v/>
      </c>
      <c r="P1306" s="101">
        <f>IF(H1306=1,IF(IFERROR(INDEX(coa_CF,MATCH(I1306,coa_Name,0)),"")="Cash",1,0),0)</f>
        <v/>
      </c>
      <c r="Q1306" s="101">
        <f>IF(H1306=1,IF(IFERROR(INDEX(coa_CF,MATCH(K1306,coa_Name,0)),"")="Cash",1,0),0)</f>
        <v/>
      </c>
      <c r="R1306" s="58">
        <f>IF((P1306-Q1306)=0,"",IFERROR(INDEX(coa_CF,MATCH(IF((P1306-Q1306)=1,K1306,I1306),coa_Name,0)),"Operating"))</f>
        <v/>
      </c>
      <c r="S1306" s="95">
        <f>IF((P1306-Q1306)=1,L1306,IF((P1306-Q1306)=-1,-J1306,0))</f>
        <v/>
      </c>
      <c r="T1306" s="95">
        <f>IF((P1306-Q1306)=1,N1306,IF((P1306-Q1306)=-1,-M1306,0))</f>
        <v/>
      </c>
      <c r="U1306" s="101">
        <f>IF(AND(H1306=1,LedAcct&lt;&gt;""),IF(AND(E1306&gt;=LedFrom,E1306&lt;=LedTo,OR(I1306=LedAcct,K1306=LedAcct,AND(LedAcct=acctTax,M1306+N1306&lt;&gt;0))),E1306*10000+B1306,""),"")</f>
        <v/>
      </c>
    </row>
    <row r="1307">
      <c r="B1307" s="101" t="n">
        <v>1301</v>
      </c>
      <c r="C1307" s="58" t="inlineStr">
        <is>
          <t>Transaction</t>
        </is>
      </c>
      <c r="D1307" s="58">
        <f>IF(H1307=1,INDEX(tx_ID,1301)&amp;"","")</f>
        <v/>
      </c>
      <c r="E1307" s="94">
        <f>IF(H1307=1,INDEX(tx_Date,1301),"")</f>
        <v/>
      </c>
      <c r="F1307" s="58">
        <f>IF(H1307=1,INDEX(tx_Desc,1301)&amp;"","")</f>
        <v/>
      </c>
      <c r="G1307" s="58">
        <f>IF(H1307=1,IF(INDEX(tx_Cust,1301)&amp;""&lt;&gt;"",INDEX(tx_Cust,1301)&amp;"",INDEX(tx_Vend,1301)&amp;""),"")</f>
        <v/>
      </c>
      <c r="H1307" s="101">
        <f>IFERROR(N(INDEX(tx_Posted,1301)),0)</f>
        <v/>
      </c>
      <c r="I1307" s="58">
        <f>IF(H1307=1,INDEX(tx_DrAcct,1301)&amp;"","")</f>
        <v/>
      </c>
      <c r="J1307" s="95">
        <f>IF(H1307=1,INDEX(tx_DrAmt,1301),0)</f>
        <v/>
      </c>
      <c r="K1307" s="58">
        <f>IF(H1307=1,INDEX(tx_CrAcct,1301)&amp;"","")</f>
        <v/>
      </c>
      <c r="L1307" s="95">
        <f>IF(H1307=1,INDEX(tx_CrAmt,1301),0)</f>
        <v/>
      </c>
      <c r="M1307" s="95">
        <f>IF(H1307=1,INDEX(tx_TaxDr,1301),0)</f>
        <v/>
      </c>
      <c r="N1307" s="95">
        <f>IF(H1307=1,INDEX(tx_TaxCr,1301),0)</f>
        <v/>
      </c>
      <c r="O1307" s="101">
        <f>IF(H1307=1,IF(E1307&lt;FYStart,0,IF(E1307&gt;FYEnd,13,YEAR(E1307)*12+MONTH(E1307)-FYYM+1)),"")</f>
        <v/>
      </c>
      <c r="P1307" s="101">
        <f>IF(H1307=1,IF(IFERROR(INDEX(coa_CF,MATCH(I1307,coa_Name,0)),"")="Cash",1,0),0)</f>
        <v/>
      </c>
      <c r="Q1307" s="101">
        <f>IF(H1307=1,IF(IFERROR(INDEX(coa_CF,MATCH(K1307,coa_Name,0)),"")="Cash",1,0),0)</f>
        <v/>
      </c>
      <c r="R1307" s="58">
        <f>IF((P1307-Q1307)=0,"",IFERROR(INDEX(coa_CF,MATCH(IF((P1307-Q1307)=1,K1307,I1307),coa_Name,0)),"Operating"))</f>
        <v/>
      </c>
      <c r="S1307" s="95">
        <f>IF((P1307-Q1307)=1,L1307,IF((P1307-Q1307)=-1,-J1307,0))</f>
        <v/>
      </c>
      <c r="T1307" s="95">
        <f>IF((P1307-Q1307)=1,N1307,IF((P1307-Q1307)=-1,-M1307,0))</f>
        <v/>
      </c>
      <c r="U1307" s="101">
        <f>IF(AND(H1307=1,LedAcct&lt;&gt;""),IF(AND(E1307&gt;=LedFrom,E1307&lt;=LedTo,OR(I1307=LedAcct,K1307=LedAcct,AND(LedAcct=acctTax,M1307+N1307&lt;&gt;0))),E1307*10000+B1307,""),"")</f>
        <v/>
      </c>
    </row>
    <row r="1308">
      <c r="B1308" s="101" t="n">
        <v>1302</v>
      </c>
      <c r="C1308" s="58" t="inlineStr">
        <is>
          <t>Transaction</t>
        </is>
      </c>
      <c r="D1308" s="58">
        <f>IF(H1308=1,INDEX(tx_ID,1302)&amp;"","")</f>
        <v/>
      </c>
      <c r="E1308" s="94">
        <f>IF(H1308=1,INDEX(tx_Date,1302),"")</f>
        <v/>
      </c>
      <c r="F1308" s="58">
        <f>IF(H1308=1,INDEX(tx_Desc,1302)&amp;"","")</f>
        <v/>
      </c>
      <c r="G1308" s="58">
        <f>IF(H1308=1,IF(INDEX(tx_Cust,1302)&amp;""&lt;&gt;"",INDEX(tx_Cust,1302)&amp;"",INDEX(tx_Vend,1302)&amp;""),"")</f>
        <v/>
      </c>
      <c r="H1308" s="101">
        <f>IFERROR(N(INDEX(tx_Posted,1302)),0)</f>
        <v/>
      </c>
      <c r="I1308" s="58">
        <f>IF(H1308=1,INDEX(tx_DrAcct,1302)&amp;"","")</f>
        <v/>
      </c>
      <c r="J1308" s="95">
        <f>IF(H1308=1,INDEX(tx_DrAmt,1302),0)</f>
        <v/>
      </c>
      <c r="K1308" s="58">
        <f>IF(H1308=1,INDEX(tx_CrAcct,1302)&amp;"","")</f>
        <v/>
      </c>
      <c r="L1308" s="95">
        <f>IF(H1308=1,INDEX(tx_CrAmt,1302),0)</f>
        <v/>
      </c>
      <c r="M1308" s="95">
        <f>IF(H1308=1,INDEX(tx_TaxDr,1302),0)</f>
        <v/>
      </c>
      <c r="N1308" s="95">
        <f>IF(H1308=1,INDEX(tx_TaxCr,1302),0)</f>
        <v/>
      </c>
      <c r="O1308" s="101">
        <f>IF(H1308=1,IF(E1308&lt;FYStart,0,IF(E1308&gt;FYEnd,13,YEAR(E1308)*12+MONTH(E1308)-FYYM+1)),"")</f>
        <v/>
      </c>
      <c r="P1308" s="101">
        <f>IF(H1308=1,IF(IFERROR(INDEX(coa_CF,MATCH(I1308,coa_Name,0)),"")="Cash",1,0),0)</f>
        <v/>
      </c>
      <c r="Q1308" s="101">
        <f>IF(H1308=1,IF(IFERROR(INDEX(coa_CF,MATCH(K1308,coa_Name,0)),"")="Cash",1,0),0)</f>
        <v/>
      </c>
      <c r="R1308" s="58">
        <f>IF((P1308-Q1308)=0,"",IFERROR(INDEX(coa_CF,MATCH(IF((P1308-Q1308)=1,K1308,I1308),coa_Name,0)),"Operating"))</f>
        <v/>
      </c>
      <c r="S1308" s="95">
        <f>IF((P1308-Q1308)=1,L1308,IF((P1308-Q1308)=-1,-J1308,0))</f>
        <v/>
      </c>
      <c r="T1308" s="95">
        <f>IF((P1308-Q1308)=1,N1308,IF((P1308-Q1308)=-1,-M1308,0))</f>
        <v/>
      </c>
      <c r="U1308" s="101">
        <f>IF(AND(H1308=1,LedAcct&lt;&gt;""),IF(AND(E1308&gt;=LedFrom,E1308&lt;=LedTo,OR(I1308=LedAcct,K1308=LedAcct,AND(LedAcct=acctTax,M1308+N1308&lt;&gt;0))),E1308*10000+B1308,""),"")</f>
        <v/>
      </c>
    </row>
    <row r="1309">
      <c r="B1309" s="101" t="n">
        <v>1303</v>
      </c>
      <c r="C1309" s="58" t="inlineStr">
        <is>
          <t>Transaction</t>
        </is>
      </c>
      <c r="D1309" s="58">
        <f>IF(H1309=1,INDEX(tx_ID,1303)&amp;"","")</f>
        <v/>
      </c>
      <c r="E1309" s="94">
        <f>IF(H1309=1,INDEX(tx_Date,1303),"")</f>
        <v/>
      </c>
      <c r="F1309" s="58">
        <f>IF(H1309=1,INDEX(tx_Desc,1303)&amp;"","")</f>
        <v/>
      </c>
      <c r="G1309" s="58">
        <f>IF(H1309=1,IF(INDEX(tx_Cust,1303)&amp;""&lt;&gt;"",INDEX(tx_Cust,1303)&amp;"",INDEX(tx_Vend,1303)&amp;""),"")</f>
        <v/>
      </c>
      <c r="H1309" s="101">
        <f>IFERROR(N(INDEX(tx_Posted,1303)),0)</f>
        <v/>
      </c>
      <c r="I1309" s="58">
        <f>IF(H1309=1,INDEX(tx_DrAcct,1303)&amp;"","")</f>
        <v/>
      </c>
      <c r="J1309" s="95">
        <f>IF(H1309=1,INDEX(tx_DrAmt,1303),0)</f>
        <v/>
      </c>
      <c r="K1309" s="58">
        <f>IF(H1309=1,INDEX(tx_CrAcct,1303)&amp;"","")</f>
        <v/>
      </c>
      <c r="L1309" s="95">
        <f>IF(H1309=1,INDEX(tx_CrAmt,1303),0)</f>
        <v/>
      </c>
      <c r="M1309" s="95">
        <f>IF(H1309=1,INDEX(tx_TaxDr,1303),0)</f>
        <v/>
      </c>
      <c r="N1309" s="95">
        <f>IF(H1309=1,INDEX(tx_TaxCr,1303),0)</f>
        <v/>
      </c>
      <c r="O1309" s="101">
        <f>IF(H1309=1,IF(E1309&lt;FYStart,0,IF(E1309&gt;FYEnd,13,YEAR(E1309)*12+MONTH(E1309)-FYYM+1)),"")</f>
        <v/>
      </c>
      <c r="P1309" s="101">
        <f>IF(H1309=1,IF(IFERROR(INDEX(coa_CF,MATCH(I1309,coa_Name,0)),"")="Cash",1,0),0)</f>
        <v/>
      </c>
      <c r="Q1309" s="101">
        <f>IF(H1309=1,IF(IFERROR(INDEX(coa_CF,MATCH(K1309,coa_Name,0)),"")="Cash",1,0),0)</f>
        <v/>
      </c>
      <c r="R1309" s="58">
        <f>IF((P1309-Q1309)=0,"",IFERROR(INDEX(coa_CF,MATCH(IF((P1309-Q1309)=1,K1309,I1309),coa_Name,0)),"Operating"))</f>
        <v/>
      </c>
      <c r="S1309" s="95">
        <f>IF((P1309-Q1309)=1,L1309,IF((P1309-Q1309)=-1,-J1309,0))</f>
        <v/>
      </c>
      <c r="T1309" s="95">
        <f>IF((P1309-Q1309)=1,N1309,IF((P1309-Q1309)=-1,-M1309,0))</f>
        <v/>
      </c>
      <c r="U1309" s="101">
        <f>IF(AND(H1309=1,LedAcct&lt;&gt;""),IF(AND(E1309&gt;=LedFrom,E1309&lt;=LedTo,OR(I1309=LedAcct,K1309=LedAcct,AND(LedAcct=acctTax,M1309+N1309&lt;&gt;0))),E1309*10000+B1309,""),"")</f>
        <v/>
      </c>
    </row>
    <row r="1310">
      <c r="B1310" s="101" t="n">
        <v>1304</v>
      </c>
      <c r="C1310" s="58" t="inlineStr">
        <is>
          <t>Transaction</t>
        </is>
      </c>
      <c r="D1310" s="58">
        <f>IF(H1310=1,INDEX(tx_ID,1304)&amp;"","")</f>
        <v/>
      </c>
      <c r="E1310" s="94">
        <f>IF(H1310=1,INDEX(tx_Date,1304),"")</f>
        <v/>
      </c>
      <c r="F1310" s="58">
        <f>IF(H1310=1,INDEX(tx_Desc,1304)&amp;"","")</f>
        <v/>
      </c>
      <c r="G1310" s="58">
        <f>IF(H1310=1,IF(INDEX(tx_Cust,1304)&amp;""&lt;&gt;"",INDEX(tx_Cust,1304)&amp;"",INDEX(tx_Vend,1304)&amp;""),"")</f>
        <v/>
      </c>
      <c r="H1310" s="101">
        <f>IFERROR(N(INDEX(tx_Posted,1304)),0)</f>
        <v/>
      </c>
      <c r="I1310" s="58">
        <f>IF(H1310=1,INDEX(tx_DrAcct,1304)&amp;"","")</f>
        <v/>
      </c>
      <c r="J1310" s="95">
        <f>IF(H1310=1,INDEX(tx_DrAmt,1304),0)</f>
        <v/>
      </c>
      <c r="K1310" s="58">
        <f>IF(H1310=1,INDEX(tx_CrAcct,1304)&amp;"","")</f>
        <v/>
      </c>
      <c r="L1310" s="95">
        <f>IF(H1310=1,INDEX(tx_CrAmt,1304),0)</f>
        <v/>
      </c>
      <c r="M1310" s="95">
        <f>IF(H1310=1,INDEX(tx_TaxDr,1304),0)</f>
        <v/>
      </c>
      <c r="N1310" s="95">
        <f>IF(H1310=1,INDEX(tx_TaxCr,1304),0)</f>
        <v/>
      </c>
      <c r="O1310" s="101">
        <f>IF(H1310=1,IF(E1310&lt;FYStart,0,IF(E1310&gt;FYEnd,13,YEAR(E1310)*12+MONTH(E1310)-FYYM+1)),"")</f>
        <v/>
      </c>
      <c r="P1310" s="101">
        <f>IF(H1310=1,IF(IFERROR(INDEX(coa_CF,MATCH(I1310,coa_Name,0)),"")="Cash",1,0),0)</f>
        <v/>
      </c>
      <c r="Q1310" s="101">
        <f>IF(H1310=1,IF(IFERROR(INDEX(coa_CF,MATCH(K1310,coa_Name,0)),"")="Cash",1,0),0)</f>
        <v/>
      </c>
      <c r="R1310" s="58">
        <f>IF((P1310-Q1310)=0,"",IFERROR(INDEX(coa_CF,MATCH(IF((P1310-Q1310)=1,K1310,I1310),coa_Name,0)),"Operating"))</f>
        <v/>
      </c>
      <c r="S1310" s="95">
        <f>IF((P1310-Q1310)=1,L1310,IF((P1310-Q1310)=-1,-J1310,0))</f>
        <v/>
      </c>
      <c r="T1310" s="95">
        <f>IF((P1310-Q1310)=1,N1310,IF((P1310-Q1310)=-1,-M1310,0))</f>
        <v/>
      </c>
      <c r="U1310" s="101">
        <f>IF(AND(H1310=1,LedAcct&lt;&gt;""),IF(AND(E1310&gt;=LedFrom,E1310&lt;=LedTo,OR(I1310=LedAcct,K1310=LedAcct,AND(LedAcct=acctTax,M1310+N1310&lt;&gt;0))),E1310*10000+B1310,""),"")</f>
        <v/>
      </c>
    </row>
    <row r="1311">
      <c r="B1311" s="101" t="n">
        <v>1305</v>
      </c>
      <c r="C1311" s="58" t="inlineStr">
        <is>
          <t>Transaction</t>
        </is>
      </c>
      <c r="D1311" s="58">
        <f>IF(H1311=1,INDEX(tx_ID,1305)&amp;"","")</f>
        <v/>
      </c>
      <c r="E1311" s="94">
        <f>IF(H1311=1,INDEX(tx_Date,1305),"")</f>
        <v/>
      </c>
      <c r="F1311" s="58">
        <f>IF(H1311=1,INDEX(tx_Desc,1305)&amp;"","")</f>
        <v/>
      </c>
      <c r="G1311" s="58">
        <f>IF(H1311=1,IF(INDEX(tx_Cust,1305)&amp;""&lt;&gt;"",INDEX(tx_Cust,1305)&amp;"",INDEX(tx_Vend,1305)&amp;""),"")</f>
        <v/>
      </c>
      <c r="H1311" s="101">
        <f>IFERROR(N(INDEX(tx_Posted,1305)),0)</f>
        <v/>
      </c>
      <c r="I1311" s="58">
        <f>IF(H1311=1,INDEX(tx_DrAcct,1305)&amp;"","")</f>
        <v/>
      </c>
      <c r="J1311" s="95">
        <f>IF(H1311=1,INDEX(tx_DrAmt,1305),0)</f>
        <v/>
      </c>
      <c r="K1311" s="58">
        <f>IF(H1311=1,INDEX(tx_CrAcct,1305)&amp;"","")</f>
        <v/>
      </c>
      <c r="L1311" s="95">
        <f>IF(H1311=1,INDEX(tx_CrAmt,1305),0)</f>
        <v/>
      </c>
      <c r="M1311" s="95">
        <f>IF(H1311=1,INDEX(tx_TaxDr,1305),0)</f>
        <v/>
      </c>
      <c r="N1311" s="95">
        <f>IF(H1311=1,INDEX(tx_TaxCr,1305),0)</f>
        <v/>
      </c>
      <c r="O1311" s="101">
        <f>IF(H1311=1,IF(E1311&lt;FYStart,0,IF(E1311&gt;FYEnd,13,YEAR(E1311)*12+MONTH(E1311)-FYYM+1)),"")</f>
        <v/>
      </c>
      <c r="P1311" s="101">
        <f>IF(H1311=1,IF(IFERROR(INDEX(coa_CF,MATCH(I1311,coa_Name,0)),"")="Cash",1,0),0)</f>
        <v/>
      </c>
      <c r="Q1311" s="101">
        <f>IF(H1311=1,IF(IFERROR(INDEX(coa_CF,MATCH(K1311,coa_Name,0)),"")="Cash",1,0),0)</f>
        <v/>
      </c>
      <c r="R1311" s="58">
        <f>IF((P1311-Q1311)=0,"",IFERROR(INDEX(coa_CF,MATCH(IF((P1311-Q1311)=1,K1311,I1311),coa_Name,0)),"Operating"))</f>
        <v/>
      </c>
      <c r="S1311" s="95">
        <f>IF((P1311-Q1311)=1,L1311,IF((P1311-Q1311)=-1,-J1311,0))</f>
        <v/>
      </c>
      <c r="T1311" s="95">
        <f>IF((P1311-Q1311)=1,N1311,IF((P1311-Q1311)=-1,-M1311,0))</f>
        <v/>
      </c>
      <c r="U1311" s="101">
        <f>IF(AND(H1311=1,LedAcct&lt;&gt;""),IF(AND(E1311&gt;=LedFrom,E1311&lt;=LedTo,OR(I1311=LedAcct,K1311=LedAcct,AND(LedAcct=acctTax,M1311+N1311&lt;&gt;0))),E1311*10000+B1311,""),"")</f>
        <v/>
      </c>
    </row>
    <row r="1312">
      <c r="B1312" s="101" t="n">
        <v>1306</v>
      </c>
      <c r="C1312" s="58" t="inlineStr">
        <is>
          <t>Transaction</t>
        </is>
      </c>
      <c r="D1312" s="58">
        <f>IF(H1312=1,INDEX(tx_ID,1306)&amp;"","")</f>
        <v/>
      </c>
      <c r="E1312" s="94">
        <f>IF(H1312=1,INDEX(tx_Date,1306),"")</f>
        <v/>
      </c>
      <c r="F1312" s="58">
        <f>IF(H1312=1,INDEX(tx_Desc,1306)&amp;"","")</f>
        <v/>
      </c>
      <c r="G1312" s="58">
        <f>IF(H1312=1,IF(INDEX(tx_Cust,1306)&amp;""&lt;&gt;"",INDEX(tx_Cust,1306)&amp;"",INDEX(tx_Vend,1306)&amp;""),"")</f>
        <v/>
      </c>
      <c r="H1312" s="101">
        <f>IFERROR(N(INDEX(tx_Posted,1306)),0)</f>
        <v/>
      </c>
      <c r="I1312" s="58">
        <f>IF(H1312=1,INDEX(tx_DrAcct,1306)&amp;"","")</f>
        <v/>
      </c>
      <c r="J1312" s="95">
        <f>IF(H1312=1,INDEX(tx_DrAmt,1306),0)</f>
        <v/>
      </c>
      <c r="K1312" s="58">
        <f>IF(H1312=1,INDEX(tx_CrAcct,1306)&amp;"","")</f>
        <v/>
      </c>
      <c r="L1312" s="95">
        <f>IF(H1312=1,INDEX(tx_CrAmt,1306),0)</f>
        <v/>
      </c>
      <c r="M1312" s="95">
        <f>IF(H1312=1,INDEX(tx_TaxDr,1306),0)</f>
        <v/>
      </c>
      <c r="N1312" s="95">
        <f>IF(H1312=1,INDEX(tx_TaxCr,1306),0)</f>
        <v/>
      </c>
      <c r="O1312" s="101">
        <f>IF(H1312=1,IF(E1312&lt;FYStart,0,IF(E1312&gt;FYEnd,13,YEAR(E1312)*12+MONTH(E1312)-FYYM+1)),"")</f>
        <v/>
      </c>
      <c r="P1312" s="101">
        <f>IF(H1312=1,IF(IFERROR(INDEX(coa_CF,MATCH(I1312,coa_Name,0)),"")="Cash",1,0),0)</f>
        <v/>
      </c>
      <c r="Q1312" s="101">
        <f>IF(H1312=1,IF(IFERROR(INDEX(coa_CF,MATCH(K1312,coa_Name,0)),"")="Cash",1,0),0)</f>
        <v/>
      </c>
      <c r="R1312" s="58">
        <f>IF((P1312-Q1312)=0,"",IFERROR(INDEX(coa_CF,MATCH(IF((P1312-Q1312)=1,K1312,I1312),coa_Name,0)),"Operating"))</f>
        <v/>
      </c>
      <c r="S1312" s="95">
        <f>IF((P1312-Q1312)=1,L1312,IF((P1312-Q1312)=-1,-J1312,0))</f>
        <v/>
      </c>
      <c r="T1312" s="95">
        <f>IF((P1312-Q1312)=1,N1312,IF((P1312-Q1312)=-1,-M1312,0))</f>
        <v/>
      </c>
      <c r="U1312" s="101">
        <f>IF(AND(H1312=1,LedAcct&lt;&gt;""),IF(AND(E1312&gt;=LedFrom,E1312&lt;=LedTo,OR(I1312=LedAcct,K1312=LedAcct,AND(LedAcct=acctTax,M1312+N1312&lt;&gt;0))),E1312*10000+B1312,""),"")</f>
        <v/>
      </c>
    </row>
    <row r="1313">
      <c r="B1313" s="101" t="n">
        <v>1307</v>
      </c>
      <c r="C1313" s="58" t="inlineStr">
        <is>
          <t>Transaction</t>
        </is>
      </c>
      <c r="D1313" s="58">
        <f>IF(H1313=1,INDEX(tx_ID,1307)&amp;"","")</f>
        <v/>
      </c>
      <c r="E1313" s="94">
        <f>IF(H1313=1,INDEX(tx_Date,1307),"")</f>
        <v/>
      </c>
      <c r="F1313" s="58">
        <f>IF(H1313=1,INDEX(tx_Desc,1307)&amp;"","")</f>
        <v/>
      </c>
      <c r="G1313" s="58">
        <f>IF(H1313=1,IF(INDEX(tx_Cust,1307)&amp;""&lt;&gt;"",INDEX(tx_Cust,1307)&amp;"",INDEX(tx_Vend,1307)&amp;""),"")</f>
        <v/>
      </c>
      <c r="H1313" s="101">
        <f>IFERROR(N(INDEX(tx_Posted,1307)),0)</f>
        <v/>
      </c>
      <c r="I1313" s="58">
        <f>IF(H1313=1,INDEX(tx_DrAcct,1307)&amp;"","")</f>
        <v/>
      </c>
      <c r="J1313" s="95">
        <f>IF(H1313=1,INDEX(tx_DrAmt,1307),0)</f>
        <v/>
      </c>
      <c r="K1313" s="58">
        <f>IF(H1313=1,INDEX(tx_CrAcct,1307)&amp;"","")</f>
        <v/>
      </c>
      <c r="L1313" s="95">
        <f>IF(H1313=1,INDEX(tx_CrAmt,1307),0)</f>
        <v/>
      </c>
      <c r="M1313" s="95">
        <f>IF(H1313=1,INDEX(tx_TaxDr,1307),0)</f>
        <v/>
      </c>
      <c r="N1313" s="95">
        <f>IF(H1313=1,INDEX(tx_TaxCr,1307),0)</f>
        <v/>
      </c>
      <c r="O1313" s="101">
        <f>IF(H1313=1,IF(E1313&lt;FYStart,0,IF(E1313&gt;FYEnd,13,YEAR(E1313)*12+MONTH(E1313)-FYYM+1)),"")</f>
        <v/>
      </c>
      <c r="P1313" s="101">
        <f>IF(H1313=1,IF(IFERROR(INDEX(coa_CF,MATCH(I1313,coa_Name,0)),"")="Cash",1,0),0)</f>
        <v/>
      </c>
      <c r="Q1313" s="101">
        <f>IF(H1313=1,IF(IFERROR(INDEX(coa_CF,MATCH(K1313,coa_Name,0)),"")="Cash",1,0),0)</f>
        <v/>
      </c>
      <c r="R1313" s="58">
        <f>IF((P1313-Q1313)=0,"",IFERROR(INDEX(coa_CF,MATCH(IF((P1313-Q1313)=1,K1313,I1313),coa_Name,0)),"Operating"))</f>
        <v/>
      </c>
      <c r="S1313" s="95">
        <f>IF((P1313-Q1313)=1,L1313,IF((P1313-Q1313)=-1,-J1313,0))</f>
        <v/>
      </c>
      <c r="T1313" s="95">
        <f>IF((P1313-Q1313)=1,N1313,IF((P1313-Q1313)=-1,-M1313,0))</f>
        <v/>
      </c>
      <c r="U1313" s="101">
        <f>IF(AND(H1313=1,LedAcct&lt;&gt;""),IF(AND(E1313&gt;=LedFrom,E1313&lt;=LedTo,OR(I1313=LedAcct,K1313=LedAcct,AND(LedAcct=acctTax,M1313+N1313&lt;&gt;0))),E1313*10000+B1313,""),"")</f>
        <v/>
      </c>
    </row>
    <row r="1314">
      <c r="B1314" s="101" t="n">
        <v>1308</v>
      </c>
      <c r="C1314" s="58" t="inlineStr">
        <is>
          <t>Transaction</t>
        </is>
      </c>
      <c r="D1314" s="58">
        <f>IF(H1314=1,INDEX(tx_ID,1308)&amp;"","")</f>
        <v/>
      </c>
      <c r="E1314" s="94">
        <f>IF(H1314=1,INDEX(tx_Date,1308),"")</f>
        <v/>
      </c>
      <c r="F1314" s="58">
        <f>IF(H1314=1,INDEX(tx_Desc,1308)&amp;"","")</f>
        <v/>
      </c>
      <c r="G1314" s="58">
        <f>IF(H1314=1,IF(INDEX(tx_Cust,1308)&amp;""&lt;&gt;"",INDEX(tx_Cust,1308)&amp;"",INDEX(tx_Vend,1308)&amp;""),"")</f>
        <v/>
      </c>
      <c r="H1314" s="101">
        <f>IFERROR(N(INDEX(tx_Posted,1308)),0)</f>
        <v/>
      </c>
      <c r="I1314" s="58">
        <f>IF(H1314=1,INDEX(tx_DrAcct,1308)&amp;"","")</f>
        <v/>
      </c>
      <c r="J1314" s="95">
        <f>IF(H1314=1,INDEX(tx_DrAmt,1308),0)</f>
        <v/>
      </c>
      <c r="K1314" s="58">
        <f>IF(H1314=1,INDEX(tx_CrAcct,1308)&amp;"","")</f>
        <v/>
      </c>
      <c r="L1314" s="95">
        <f>IF(H1314=1,INDEX(tx_CrAmt,1308),0)</f>
        <v/>
      </c>
      <c r="M1314" s="95">
        <f>IF(H1314=1,INDEX(tx_TaxDr,1308),0)</f>
        <v/>
      </c>
      <c r="N1314" s="95">
        <f>IF(H1314=1,INDEX(tx_TaxCr,1308),0)</f>
        <v/>
      </c>
      <c r="O1314" s="101">
        <f>IF(H1314=1,IF(E1314&lt;FYStart,0,IF(E1314&gt;FYEnd,13,YEAR(E1314)*12+MONTH(E1314)-FYYM+1)),"")</f>
        <v/>
      </c>
      <c r="P1314" s="101">
        <f>IF(H1314=1,IF(IFERROR(INDEX(coa_CF,MATCH(I1314,coa_Name,0)),"")="Cash",1,0),0)</f>
        <v/>
      </c>
      <c r="Q1314" s="101">
        <f>IF(H1314=1,IF(IFERROR(INDEX(coa_CF,MATCH(K1314,coa_Name,0)),"")="Cash",1,0),0)</f>
        <v/>
      </c>
      <c r="R1314" s="58">
        <f>IF((P1314-Q1314)=0,"",IFERROR(INDEX(coa_CF,MATCH(IF((P1314-Q1314)=1,K1314,I1314),coa_Name,0)),"Operating"))</f>
        <v/>
      </c>
      <c r="S1314" s="95">
        <f>IF((P1314-Q1314)=1,L1314,IF((P1314-Q1314)=-1,-J1314,0))</f>
        <v/>
      </c>
      <c r="T1314" s="95">
        <f>IF((P1314-Q1314)=1,N1314,IF((P1314-Q1314)=-1,-M1314,0))</f>
        <v/>
      </c>
      <c r="U1314" s="101">
        <f>IF(AND(H1314=1,LedAcct&lt;&gt;""),IF(AND(E1314&gt;=LedFrom,E1314&lt;=LedTo,OR(I1314=LedAcct,K1314=LedAcct,AND(LedAcct=acctTax,M1314+N1314&lt;&gt;0))),E1314*10000+B1314,""),"")</f>
        <v/>
      </c>
    </row>
    <row r="1315">
      <c r="B1315" s="101" t="n">
        <v>1309</v>
      </c>
      <c r="C1315" s="58" t="inlineStr">
        <is>
          <t>Transaction</t>
        </is>
      </c>
      <c r="D1315" s="58">
        <f>IF(H1315=1,INDEX(tx_ID,1309)&amp;"","")</f>
        <v/>
      </c>
      <c r="E1315" s="94">
        <f>IF(H1315=1,INDEX(tx_Date,1309),"")</f>
        <v/>
      </c>
      <c r="F1315" s="58">
        <f>IF(H1315=1,INDEX(tx_Desc,1309)&amp;"","")</f>
        <v/>
      </c>
      <c r="G1315" s="58">
        <f>IF(H1315=1,IF(INDEX(tx_Cust,1309)&amp;""&lt;&gt;"",INDEX(tx_Cust,1309)&amp;"",INDEX(tx_Vend,1309)&amp;""),"")</f>
        <v/>
      </c>
      <c r="H1315" s="101">
        <f>IFERROR(N(INDEX(tx_Posted,1309)),0)</f>
        <v/>
      </c>
      <c r="I1315" s="58">
        <f>IF(H1315=1,INDEX(tx_DrAcct,1309)&amp;"","")</f>
        <v/>
      </c>
      <c r="J1315" s="95">
        <f>IF(H1315=1,INDEX(tx_DrAmt,1309),0)</f>
        <v/>
      </c>
      <c r="K1315" s="58">
        <f>IF(H1315=1,INDEX(tx_CrAcct,1309)&amp;"","")</f>
        <v/>
      </c>
      <c r="L1315" s="95">
        <f>IF(H1315=1,INDEX(tx_CrAmt,1309),0)</f>
        <v/>
      </c>
      <c r="M1315" s="95">
        <f>IF(H1315=1,INDEX(tx_TaxDr,1309),0)</f>
        <v/>
      </c>
      <c r="N1315" s="95">
        <f>IF(H1315=1,INDEX(tx_TaxCr,1309),0)</f>
        <v/>
      </c>
      <c r="O1315" s="101">
        <f>IF(H1315=1,IF(E1315&lt;FYStart,0,IF(E1315&gt;FYEnd,13,YEAR(E1315)*12+MONTH(E1315)-FYYM+1)),"")</f>
        <v/>
      </c>
      <c r="P1315" s="101">
        <f>IF(H1315=1,IF(IFERROR(INDEX(coa_CF,MATCH(I1315,coa_Name,0)),"")="Cash",1,0),0)</f>
        <v/>
      </c>
      <c r="Q1315" s="101">
        <f>IF(H1315=1,IF(IFERROR(INDEX(coa_CF,MATCH(K1315,coa_Name,0)),"")="Cash",1,0),0)</f>
        <v/>
      </c>
      <c r="R1315" s="58">
        <f>IF((P1315-Q1315)=0,"",IFERROR(INDEX(coa_CF,MATCH(IF((P1315-Q1315)=1,K1315,I1315),coa_Name,0)),"Operating"))</f>
        <v/>
      </c>
      <c r="S1315" s="95">
        <f>IF((P1315-Q1315)=1,L1315,IF((P1315-Q1315)=-1,-J1315,0))</f>
        <v/>
      </c>
      <c r="T1315" s="95">
        <f>IF((P1315-Q1315)=1,N1315,IF((P1315-Q1315)=-1,-M1315,0))</f>
        <v/>
      </c>
      <c r="U1315" s="101">
        <f>IF(AND(H1315=1,LedAcct&lt;&gt;""),IF(AND(E1315&gt;=LedFrom,E1315&lt;=LedTo,OR(I1315=LedAcct,K1315=LedAcct,AND(LedAcct=acctTax,M1315+N1315&lt;&gt;0))),E1315*10000+B1315,""),"")</f>
        <v/>
      </c>
    </row>
    <row r="1316">
      <c r="B1316" s="101" t="n">
        <v>1310</v>
      </c>
      <c r="C1316" s="58" t="inlineStr">
        <is>
          <t>Transaction</t>
        </is>
      </c>
      <c r="D1316" s="58">
        <f>IF(H1316=1,INDEX(tx_ID,1310)&amp;"","")</f>
        <v/>
      </c>
      <c r="E1316" s="94">
        <f>IF(H1316=1,INDEX(tx_Date,1310),"")</f>
        <v/>
      </c>
      <c r="F1316" s="58">
        <f>IF(H1316=1,INDEX(tx_Desc,1310)&amp;"","")</f>
        <v/>
      </c>
      <c r="G1316" s="58">
        <f>IF(H1316=1,IF(INDEX(tx_Cust,1310)&amp;""&lt;&gt;"",INDEX(tx_Cust,1310)&amp;"",INDEX(tx_Vend,1310)&amp;""),"")</f>
        <v/>
      </c>
      <c r="H1316" s="101">
        <f>IFERROR(N(INDEX(tx_Posted,1310)),0)</f>
        <v/>
      </c>
      <c r="I1316" s="58">
        <f>IF(H1316=1,INDEX(tx_DrAcct,1310)&amp;"","")</f>
        <v/>
      </c>
      <c r="J1316" s="95">
        <f>IF(H1316=1,INDEX(tx_DrAmt,1310),0)</f>
        <v/>
      </c>
      <c r="K1316" s="58">
        <f>IF(H1316=1,INDEX(tx_CrAcct,1310)&amp;"","")</f>
        <v/>
      </c>
      <c r="L1316" s="95">
        <f>IF(H1316=1,INDEX(tx_CrAmt,1310),0)</f>
        <v/>
      </c>
      <c r="M1316" s="95">
        <f>IF(H1316=1,INDEX(tx_TaxDr,1310),0)</f>
        <v/>
      </c>
      <c r="N1316" s="95">
        <f>IF(H1316=1,INDEX(tx_TaxCr,1310),0)</f>
        <v/>
      </c>
      <c r="O1316" s="101">
        <f>IF(H1316=1,IF(E1316&lt;FYStart,0,IF(E1316&gt;FYEnd,13,YEAR(E1316)*12+MONTH(E1316)-FYYM+1)),"")</f>
        <v/>
      </c>
      <c r="P1316" s="101">
        <f>IF(H1316=1,IF(IFERROR(INDEX(coa_CF,MATCH(I1316,coa_Name,0)),"")="Cash",1,0),0)</f>
        <v/>
      </c>
      <c r="Q1316" s="101">
        <f>IF(H1316=1,IF(IFERROR(INDEX(coa_CF,MATCH(K1316,coa_Name,0)),"")="Cash",1,0),0)</f>
        <v/>
      </c>
      <c r="R1316" s="58">
        <f>IF((P1316-Q1316)=0,"",IFERROR(INDEX(coa_CF,MATCH(IF((P1316-Q1316)=1,K1316,I1316),coa_Name,0)),"Operating"))</f>
        <v/>
      </c>
      <c r="S1316" s="95">
        <f>IF((P1316-Q1316)=1,L1316,IF((P1316-Q1316)=-1,-J1316,0))</f>
        <v/>
      </c>
      <c r="T1316" s="95">
        <f>IF((P1316-Q1316)=1,N1316,IF((P1316-Q1316)=-1,-M1316,0))</f>
        <v/>
      </c>
      <c r="U1316" s="101">
        <f>IF(AND(H1316=1,LedAcct&lt;&gt;""),IF(AND(E1316&gt;=LedFrom,E1316&lt;=LedTo,OR(I1316=LedAcct,K1316=LedAcct,AND(LedAcct=acctTax,M1316+N1316&lt;&gt;0))),E1316*10000+B1316,""),"")</f>
        <v/>
      </c>
    </row>
    <row r="1317">
      <c r="B1317" s="101" t="n">
        <v>1311</v>
      </c>
      <c r="C1317" s="58" t="inlineStr">
        <is>
          <t>Transaction</t>
        </is>
      </c>
      <c r="D1317" s="58">
        <f>IF(H1317=1,INDEX(tx_ID,1311)&amp;"","")</f>
        <v/>
      </c>
      <c r="E1317" s="94">
        <f>IF(H1317=1,INDEX(tx_Date,1311),"")</f>
        <v/>
      </c>
      <c r="F1317" s="58">
        <f>IF(H1317=1,INDEX(tx_Desc,1311)&amp;"","")</f>
        <v/>
      </c>
      <c r="G1317" s="58">
        <f>IF(H1317=1,IF(INDEX(tx_Cust,1311)&amp;""&lt;&gt;"",INDEX(tx_Cust,1311)&amp;"",INDEX(tx_Vend,1311)&amp;""),"")</f>
        <v/>
      </c>
      <c r="H1317" s="101">
        <f>IFERROR(N(INDEX(tx_Posted,1311)),0)</f>
        <v/>
      </c>
      <c r="I1317" s="58">
        <f>IF(H1317=1,INDEX(tx_DrAcct,1311)&amp;"","")</f>
        <v/>
      </c>
      <c r="J1317" s="95">
        <f>IF(H1317=1,INDEX(tx_DrAmt,1311),0)</f>
        <v/>
      </c>
      <c r="K1317" s="58">
        <f>IF(H1317=1,INDEX(tx_CrAcct,1311)&amp;"","")</f>
        <v/>
      </c>
      <c r="L1317" s="95">
        <f>IF(H1317=1,INDEX(tx_CrAmt,1311),0)</f>
        <v/>
      </c>
      <c r="M1317" s="95">
        <f>IF(H1317=1,INDEX(tx_TaxDr,1311),0)</f>
        <v/>
      </c>
      <c r="N1317" s="95">
        <f>IF(H1317=1,INDEX(tx_TaxCr,1311),0)</f>
        <v/>
      </c>
      <c r="O1317" s="101">
        <f>IF(H1317=1,IF(E1317&lt;FYStart,0,IF(E1317&gt;FYEnd,13,YEAR(E1317)*12+MONTH(E1317)-FYYM+1)),"")</f>
        <v/>
      </c>
      <c r="P1317" s="101">
        <f>IF(H1317=1,IF(IFERROR(INDEX(coa_CF,MATCH(I1317,coa_Name,0)),"")="Cash",1,0),0)</f>
        <v/>
      </c>
      <c r="Q1317" s="101">
        <f>IF(H1317=1,IF(IFERROR(INDEX(coa_CF,MATCH(K1317,coa_Name,0)),"")="Cash",1,0),0)</f>
        <v/>
      </c>
      <c r="R1317" s="58">
        <f>IF((P1317-Q1317)=0,"",IFERROR(INDEX(coa_CF,MATCH(IF((P1317-Q1317)=1,K1317,I1317),coa_Name,0)),"Operating"))</f>
        <v/>
      </c>
      <c r="S1317" s="95">
        <f>IF((P1317-Q1317)=1,L1317,IF((P1317-Q1317)=-1,-J1317,0))</f>
        <v/>
      </c>
      <c r="T1317" s="95">
        <f>IF((P1317-Q1317)=1,N1317,IF((P1317-Q1317)=-1,-M1317,0))</f>
        <v/>
      </c>
      <c r="U1317" s="101">
        <f>IF(AND(H1317=1,LedAcct&lt;&gt;""),IF(AND(E1317&gt;=LedFrom,E1317&lt;=LedTo,OR(I1317=LedAcct,K1317=LedAcct,AND(LedAcct=acctTax,M1317+N1317&lt;&gt;0))),E1317*10000+B1317,""),"")</f>
        <v/>
      </c>
    </row>
    <row r="1318">
      <c r="B1318" s="101" t="n">
        <v>1312</v>
      </c>
      <c r="C1318" s="58" t="inlineStr">
        <is>
          <t>Transaction</t>
        </is>
      </c>
      <c r="D1318" s="58">
        <f>IF(H1318=1,INDEX(tx_ID,1312)&amp;"","")</f>
        <v/>
      </c>
      <c r="E1318" s="94">
        <f>IF(H1318=1,INDEX(tx_Date,1312),"")</f>
        <v/>
      </c>
      <c r="F1318" s="58">
        <f>IF(H1318=1,INDEX(tx_Desc,1312)&amp;"","")</f>
        <v/>
      </c>
      <c r="G1318" s="58">
        <f>IF(H1318=1,IF(INDEX(tx_Cust,1312)&amp;""&lt;&gt;"",INDEX(tx_Cust,1312)&amp;"",INDEX(tx_Vend,1312)&amp;""),"")</f>
        <v/>
      </c>
      <c r="H1318" s="101">
        <f>IFERROR(N(INDEX(tx_Posted,1312)),0)</f>
        <v/>
      </c>
      <c r="I1318" s="58">
        <f>IF(H1318=1,INDEX(tx_DrAcct,1312)&amp;"","")</f>
        <v/>
      </c>
      <c r="J1318" s="95">
        <f>IF(H1318=1,INDEX(tx_DrAmt,1312),0)</f>
        <v/>
      </c>
      <c r="K1318" s="58">
        <f>IF(H1318=1,INDEX(tx_CrAcct,1312)&amp;"","")</f>
        <v/>
      </c>
      <c r="L1318" s="95">
        <f>IF(H1318=1,INDEX(tx_CrAmt,1312),0)</f>
        <v/>
      </c>
      <c r="M1318" s="95">
        <f>IF(H1318=1,INDEX(tx_TaxDr,1312),0)</f>
        <v/>
      </c>
      <c r="N1318" s="95">
        <f>IF(H1318=1,INDEX(tx_TaxCr,1312),0)</f>
        <v/>
      </c>
      <c r="O1318" s="101">
        <f>IF(H1318=1,IF(E1318&lt;FYStart,0,IF(E1318&gt;FYEnd,13,YEAR(E1318)*12+MONTH(E1318)-FYYM+1)),"")</f>
        <v/>
      </c>
      <c r="P1318" s="101">
        <f>IF(H1318=1,IF(IFERROR(INDEX(coa_CF,MATCH(I1318,coa_Name,0)),"")="Cash",1,0),0)</f>
        <v/>
      </c>
      <c r="Q1318" s="101">
        <f>IF(H1318=1,IF(IFERROR(INDEX(coa_CF,MATCH(K1318,coa_Name,0)),"")="Cash",1,0),0)</f>
        <v/>
      </c>
      <c r="R1318" s="58">
        <f>IF((P1318-Q1318)=0,"",IFERROR(INDEX(coa_CF,MATCH(IF((P1318-Q1318)=1,K1318,I1318),coa_Name,0)),"Operating"))</f>
        <v/>
      </c>
      <c r="S1318" s="95">
        <f>IF((P1318-Q1318)=1,L1318,IF((P1318-Q1318)=-1,-J1318,0))</f>
        <v/>
      </c>
      <c r="T1318" s="95">
        <f>IF((P1318-Q1318)=1,N1318,IF((P1318-Q1318)=-1,-M1318,0))</f>
        <v/>
      </c>
      <c r="U1318" s="101">
        <f>IF(AND(H1318=1,LedAcct&lt;&gt;""),IF(AND(E1318&gt;=LedFrom,E1318&lt;=LedTo,OR(I1318=LedAcct,K1318=LedAcct,AND(LedAcct=acctTax,M1318+N1318&lt;&gt;0))),E1318*10000+B1318,""),"")</f>
        <v/>
      </c>
    </row>
    <row r="1319">
      <c r="B1319" s="101" t="n">
        <v>1313</v>
      </c>
      <c r="C1319" s="58" t="inlineStr">
        <is>
          <t>Transaction</t>
        </is>
      </c>
      <c r="D1319" s="58">
        <f>IF(H1319=1,INDEX(tx_ID,1313)&amp;"","")</f>
        <v/>
      </c>
      <c r="E1319" s="94">
        <f>IF(H1319=1,INDEX(tx_Date,1313),"")</f>
        <v/>
      </c>
      <c r="F1319" s="58">
        <f>IF(H1319=1,INDEX(tx_Desc,1313)&amp;"","")</f>
        <v/>
      </c>
      <c r="G1319" s="58">
        <f>IF(H1319=1,IF(INDEX(tx_Cust,1313)&amp;""&lt;&gt;"",INDEX(tx_Cust,1313)&amp;"",INDEX(tx_Vend,1313)&amp;""),"")</f>
        <v/>
      </c>
      <c r="H1319" s="101">
        <f>IFERROR(N(INDEX(tx_Posted,1313)),0)</f>
        <v/>
      </c>
      <c r="I1319" s="58">
        <f>IF(H1319=1,INDEX(tx_DrAcct,1313)&amp;"","")</f>
        <v/>
      </c>
      <c r="J1319" s="95">
        <f>IF(H1319=1,INDEX(tx_DrAmt,1313),0)</f>
        <v/>
      </c>
      <c r="K1319" s="58">
        <f>IF(H1319=1,INDEX(tx_CrAcct,1313)&amp;"","")</f>
        <v/>
      </c>
      <c r="L1319" s="95">
        <f>IF(H1319=1,INDEX(tx_CrAmt,1313),0)</f>
        <v/>
      </c>
      <c r="M1319" s="95">
        <f>IF(H1319=1,INDEX(tx_TaxDr,1313),0)</f>
        <v/>
      </c>
      <c r="N1319" s="95">
        <f>IF(H1319=1,INDEX(tx_TaxCr,1313),0)</f>
        <v/>
      </c>
      <c r="O1319" s="101">
        <f>IF(H1319=1,IF(E1319&lt;FYStart,0,IF(E1319&gt;FYEnd,13,YEAR(E1319)*12+MONTH(E1319)-FYYM+1)),"")</f>
        <v/>
      </c>
      <c r="P1319" s="101">
        <f>IF(H1319=1,IF(IFERROR(INDEX(coa_CF,MATCH(I1319,coa_Name,0)),"")="Cash",1,0),0)</f>
        <v/>
      </c>
      <c r="Q1319" s="101">
        <f>IF(H1319=1,IF(IFERROR(INDEX(coa_CF,MATCH(K1319,coa_Name,0)),"")="Cash",1,0),0)</f>
        <v/>
      </c>
      <c r="R1319" s="58">
        <f>IF((P1319-Q1319)=0,"",IFERROR(INDEX(coa_CF,MATCH(IF((P1319-Q1319)=1,K1319,I1319),coa_Name,0)),"Operating"))</f>
        <v/>
      </c>
      <c r="S1319" s="95">
        <f>IF((P1319-Q1319)=1,L1319,IF((P1319-Q1319)=-1,-J1319,0))</f>
        <v/>
      </c>
      <c r="T1319" s="95">
        <f>IF((P1319-Q1319)=1,N1319,IF((P1319-Q1319)=-1,-M1319,0))</f>
        <v/>
      </c>
      <c r="U1319" s="101">
        <f>IF(AND(H1319=1,LedAcct&lt;&gt;""),IF(AND(E1319&gt;=LedFrom,E1319&lt;=LedTo,OR(I1319=LedAcct,K1319=LedAcct,AND(LedAcct=acctTax,M1319+N1319&lt;&gt;0))),E1319*10000+B1319,""),"")</f>
        <v/>
      </c>
    </row>
    <row r="1320">
      <c r="B1320" s="101" t="n">
        <v>1314</v>
      </c>
      <c r="C1320" s="58" t="inlineStr">
        <is>
          <t>Transaction</t>
        </is>
      </c>
      <c r="D1320" s="58">
        <f>IF(H1320=1,INDEX(tx_ID,1314)&amp;"","")</f>
        <v/>
      </c>
      <c r="E1320" s="94">
        <f>IF(H1320=1,INDEX(tx_Date,1314),"")</f>
        <v/>
      </c>
      <c r="F1320" s="58">
        <f>IF(H1320=1,INDEX(tx_Desc,1314)&amp;"","")</f>
        <v/>
      </c>
      <c r="G1320" s="58">
        <f>IF(H1320=1,IF(INDEX(tx_Cust,1314)&amp;""&lt;&gt;"",INDEX(tx_Cust,1314)&amp;"",INDEX(tx_Vend,1314)&amp;""),"")</f>
        <v/>
      </c>
      <c r="H1320" s="101">
        <f>IFERROR(N(INDEX(tx_Posted,1314)),0)</f>
        <v/>
      </c>
      <c r="I1320" s="58">
        <f>IF(H1320=1,INDEX(tx_DrAcct,1314)&amp;"","")</f>
        <v/>
      </c>
      <c r="J1320" s="95">
        <f>IF(H1320=1,INDEX(tx_DrAmt,1314),0)</f>
        <v/>
      </c>
      <c r="K1320" s="58">
        <f>IF(H1320=1,INDEX(tx_CrAcct,1314)&amp;"","")</f>
        <v/>
      </c>
      <c r="L1320" s="95">
        <f>IF(H1320=1,INDEX(tx_CrAmt,1314),0)</f>
        <v/>
      </c>
      <c r="M1320" s="95">
        <f>IF(H1320=1,INDEX(tx_TaxDr,1314),0)</f>
        <v/>
      </c>
      <c r="N1320" s="95">
        <f>IF(H1320=1,INDEX(tx_TaxCr,1314),0)</f>
        <v/>
      </c>
      <c r="O1320" s="101">
        <f>IF(H1320=1,IF(E1320&lt;FYStart,0,IF(E1320&gt;FYEnd,13,YEAR(E1320)*12+MONTH(E1320)-FYYM+1)),"")</f>
        <v/>
      </c>
      <c r="P1320" s="101">
        <f>IF(H1320=1,IF(IFERROR(INDEX(coa_CF,MATCH(I1320,coa_Name,0)),"")="Cash",1,0),0)</f>
        <v/>
      </c>
      <c r="Q1320" s="101">
        <f>IF(H1320=1,IF(IFERROR(INDEX(coa_CF,MATCH(K1320,coa_Name,0)),"")="Cash",1,0),0)</f>
        <v/>
      </c>
      <c r="R1320" s="58">
        <f>IF((P1320-Q1320)=0,"",IFERROR(INDEX(coa_CF,MATCH(IF((P1320-Q1320)=1,K1320,I1320),coa_Name,0)),"Operating"))</f>
        <v/>
      </c>
      <c r="S1320" s="95">
        <f>IF((P1320-Q1320)=1,L1320,IF((P1320-Q1320)=-1,-J1320,0))</f>
        <v/>
      </c>
      <c r="T1320" s="95">
        <f>IF((P1320-Q1320)=1,N1320,IF((P1320-Q1320)=-1,-M1320,0))</f>
        <v/>
      </c>
      <c r="U1320" s="101">
        <f>IF(AND(H1320=1,LedAcct&lt;&gt;""),IF(AND(E1320&gt;=LedFrom,E1320&lt;=LedTo,OR(I1320=LedAcct,K1320=LedAcct,AND(LedAcct=acctTax,M1320+N1320&lt;&gt;0))),E1320*10000+B1320,""),"")</f>
        <v/>
      </c>
    </row>
    <row r="1321">
      <c r="B1321" s="101" t="n">
        <v>1315</v>
      </c>
      <c r="C1321" s="58" t="inlineStr">
        <is>
          <t>Transaction</t>
        </is>
      </c>
      <c r="D1321" s="58">
        <f>IF(H1321=1,INDEX(tx_ID,1315)&amp;"","")</f>
        <v/>
      </c>
      <c r="E1321" s="94">
        <f>IF(H1321=1,INDEX(tx_Date,1315),"")</f>
        <v/>
      </c>
      <c r="F1321" s="58">
        <f>IF(H1321=1,INDEX(tx_Desc,1315)&amp;"","")</f>
        <v/>
      </c>
      <c r="G1321" s="58">
        <f>IF(H1321=1,IF(INDEX(tx_Cust,1315)&amp;""&lt;&gt;"",INDEX(tx_Cust,1315)&amp;"",INDEX(tx_Vend,1315)&amp;""),"")</f>
        <v/>
      </c>
      <c r="H1321" s="101">
        <f>IFERROR(N(INDEX(tx_Posted,1315)),0)</f>
        <v/>
      </c>
      <c r="I1321" s="58">
        <f>IF(H1321=1,INDEX(tx_DrAcct,1315)&amp;"","")</f>
        <v/>
      </c>
      <c r="J1321" s="95">
        <f>IF(H1321=1,INDEX(tx_DrAmt,1315),0)</f>
        <v/>
      </c>
      <c r="K1321" s="58">
        <f>IF(H1321=1,INDEX(tx_CrAcct,1315)&amp;"","")</f>
        <v/>
      </c>
      <c r="L1321" s="95">
        <f>IF(H1321=1,INDEX(tx_CrAmt,1315),0)</f>
        <v/>
      </c>
      <c r="M1321" s="95">
        <f>IF(H1321=1,INDEX(tx_TaxDr,1315),0)</f>
        <v/>
      </c>
      <c r="N1321" s="95">
        <f>IF(H1321=1,INDEX(tx_TaxCr,1315),0)</f>
        <v/>
      </c>
      <c r="O1321" s="101">
        <f>IF(H1321=1,IF(E1321&lt;FYStart,0,IF(E1321&gt;FYEnd,13,YEAR(E1321)*12+MONTH(E1321)-FYYM+1)),"")</f>
        <v/>
      </c>
      <c r="P1321" s="101">
        <f>IF(H1321=1,IF(IFERROR(INDEX(coa_CF,MATCH(I1321,coa_Name,0)),"")="Cash",1,0),0)</f>
        <v/>
      </c>
      <c r="Q1321" s="101">
        <f>IF(H1321=1,IF(IFERROR(INDEX(coa_CF,MATCH(K1321,coa_Name,0)),"")="Cash",1,0),0)</f>
        <v/>
      </c>
      <c r="R1321" s="58">
        <f>IF((P1321-Q1321)=0,"",IFERROR(INDEX(coa_CF,MATCH(IF((P1321-Q1321)=1,K1321,I1321),coa_Name,0)),"Operating"))</f>
        <v/>
      </c>
      <c r="S1321" s="95">
        <f>IF((P1321-Q1321)=1,L1321,IF((P1321-Q1321)=-1,-J1321,0))</f>
        <v/>
      </c>
      <c r="T1321" s="95">
        <f>IF((P1321-Q1321)=1,N1321,IF((P1321-Q1321)=-1,-M1321,0))</f>
        <v/>
      </c>
      <c r="U1321" s="101">
        <f>IF(AND(H1321=1,LedAcct&lt;&gt;""),IF(AND(E1321&gt;=LedFrom,E1321&lt;=LedTo,OR(I1321=LedAcct,K1321=LedAcct,AND(LedAcct=acctTax,M1321+N1321&lt;&gt;0))),E1321*10000+B1321,""),"")</f>
        <v/>
      </c>
    </row>
    <row r="1322">
      <c r="B1322" s="101" t="n">
        <v>1316</v>
      </c>
      <c r="C1322" s="58" t="inlineStr">
        <is>
          <t>Transaction</t>
        </is>
      </c>
      <c r="D1322" s="58">
        <f>IF(H1322=1,INDEX(tx_ID,1316)&amp;"","")</f>
        <v/>
      </c>
      <c r="E1322" s="94">
        <f>IF(H1322=1,INDEX(tx_Date,1316),"")</f>
        <v/>
      </c>
      <c r="F1322" s="58">
        <f>IF(H1322=1,INDEX(tx_Desc,1316)&amp;"","")</f>
        <v/>
      </c>
      <c r="G1322" s="58">
        <f>IF(H1322=1,IF(INDEX(tx_Cust,1316)&amp;""&lt;&gt;"",INDEX(tx_Cust,1316)&amp;"",INDEX(tx_Vend,1316)&amp;""),"")</f>
        <v/>
      </c>
      <c r="H1322" s="101">
        <f>IFERROR(N(INDEX(tx_Posted,1316)),0)</f>
        <v/>
      </c>
      <c r="I1322" s="58">
        <f>IF(H1322=1,INDEX(tx_DrAcct,1316)&amp;"","")</f>
        <v/>
      </c>
      <c r="J1322" s="95">
        <f>IF(H1322=1,INDEX(tx_DrAmt,1316),0)</f>
        <v/>
      </c>
      <c r="K1322" s="58">
        <f>IF(H1322=1,INDEX(tx_CrAcct,1316)&amp;"","")</f>
        <v/>
      </c>
      <c r="L1322" s="95">
        <f>IF(H1322=1,INDEX(tx_CrAmt,1316),0)</f>
        <v/>
      </c>
      <c r="M1322" s="95">
        <f>IF(H1322=1,INDEX(tx_TaxDr,1316),0)</f>
        <v/>
      </c>
      <c r="N1322" s="95">
        <f>IF(H1322=1,INDEX(tx_TaxCr,1316),0)</f>
        <v/>
      </c>
      <c r="O1322" s="101">
        <f>IF(H1322=1,IF(E1322&lt;FYStart,0,IF(E1322&gt;FYEnd,13,YEAR(E1322)*12+MONTH(E1322)-FYYM+1)),"")</f>
        <v/>
      </c>
      <c r="P1322" s="101">
        <f>IF(H1322=1,IF(IFERROR(INDEX(coa_CF,MATCH(I1322,coa_Name,0)),"")="Cash",1,0),0)</f>
        <v/>
      </c>
      <c r="Q1322" s="101">
        <f>IF(H1322=1,IF(IFERROR(INDEX(coa_CF,MATCH(K1322,coa_Name,0)),"")="Cash",1,0),0)</f>
        <v/>
      </c>
      <c r="R1322" s="58">
        <f>IF((P1322-Q1322)=0,"",IFERROR(INDEX(coa_CF,MATCH(IF((P1322-Q1322)=1,K1322,I1322),coa_Name,0)),"Operating"))</f>
        <v/>
      </c>
      <c r="S1322" s="95">
        <f>IF((P1322-Q1322)=1,L1322,IF((P1322-Q1322)=-1,-J1322,0))</f>
        <v/>
      </c>
      <c r="T1322" s="95">
        <f>IF((P1322-Q1322)=1,N1322,IF((P1322-Q1322)=-1,-M1322,0))</f>
        <v/>
      </c>
      <c r="U1322" s="101">
        <f>IF(AND(H1322=1,LedAcct&lt;&gt;""),IF(AND(E1322&gt;=LedFrom,E1322&lt;=LedTo,OR(I1322=LedAcct,K1322=LedAcct,AND(LedAcct=acctTax,M1322+N1322&lt;&gt;0))),E1322*10000+B1322,""),"")</f>
        <v/>
      </c>
    </row>
    <row r="1323">
      <c r="B1323" s="101" t="n">
        <v>1317</v>
      </c>
      <c r="C1323" s="58" t="inlineStr">
        <is>
          <t>Transaction</t>
        </is>
      </c>
      <c r="D1323" s="58">
        <f>IF(H1323=1,INDEX(tx_ID,1317)&amp;"","")</f>
        <v/>
      </c>
      <c r="E1323" s="94">
        <f>IF(H1323=1,INDEX(tx_Date,1317),"")</f>
        <v/>
      </c>
      <c r="F1323" s="58">
        <f>IF(H1323=1,INDEX(tx_Desc,1317)&amp;"","")</f>
        <v/>
      </c>
      <c r="G1323" s="58">
        <f>IF(H1323=1,IF(INDEX(tx_Cust,1317)&amp;""&lt;&gt;"",INDEX(tx_Cust,1317)&amp;"",INDEX(tx_Vend,1317)&amp;""),"")</f>
        <v/>
      </c>
      <c r="H1323" s="101">
        <f>IFERROR(N(INDEX(tx_Posted,1317)),0)</f>
        <v/>
      </c>
      <c r="I1323" s="58">
        <f>IF(H1323=1,INDEX(tx_DrAcct,1317)&amp;"","")</f>
        <v/>
      </c>
      <c r="J1323" s="95">
        <f>IF(H1323=1,INDEX(tx_DrAmt,1317),0)</f>
        <v/>
      </c>
      <c r="K1323" s="58">
        <f>IF(H1323=1,INDEX(tx_CrAcct,1317)&amp;"","")</f>
        <v/>
      </c>
      <c r="L1323" s="95">
        <f>IF(H1323=1,INDEX(tx_CrAmt,1317),0)</f>
        <v/>
      </c>
      <c r="M1323" s="95">
        <f>IF(H1323=1,INDEX(tx_TaxDr,1317),0)</f>
        <v/>
      </c>
      <c r="N1323" s="95">
        <f>IF(H1323=1,INDEX(tx_TaxCr,1317),0)</f>
        <v/>
      </c>
      <c r="O1323" s="101">
        <f>IF(H1323=1,IF(E1323&lt;FYStart,0,IF(E1323&gt;FYEnd,13,YEAR(E1323)*12+MONTH(E1323)-FYYM+1)),"")</f>
        <v/>
      </c>
      <c r="P1323" s="101">
        <f>IF(H1323=1,IF(IFERROR(INDEX(coa_CF,MATCH(I1323,coa_Name,0)),"")="Cash",1,0),0)</f>
        <v/>
      </c>
      <c r="Q1323" s="101">
        <f>IF(H1323=1,IF(IFERROR(INDEX(coa_CF,MATCH(K1323,coa_Name,0)),"")="Cash",1,0),0)</f>
        <v/>
      </c>
      <c r="R1323" s="58">
        <f>IF((P1323-Q1323)=0,"",IFERROR(INDEX(coa_CF,MATCH(IF((P1323-Q1323)=1,K1323,I1323),coa_Name,0)),"Operating"))</f>
        <v/>
      </c>
      <c r="S1323" s="95">
        <f>IF((P1323-Q1323)=1,L1323,IF((P1323-Q1323)=-1,-J1323,0))</f>
        <v/>
      </c>
      <c r="T1323" s="95">
        <f>IF((P1323-Q1323)=1,N1323,IF((P1323-Q1323)=-1,-M1323,0))</f>
        <v/>
      </c>
      <c r="U1323" s="101">
        <f>IF(AND(H1323=1,LedAcct&lt;&gt;""),IF(AND(E1323&gt;=LedFrom,E1323&lt;=LedTo,OR(I1323=LedAcct,K1323=LedAcct,AND(LedAcct=acctTax,M1323+N1323&lt;&gt;0))),E1323*10000+B1323,""),"")</f>
        <v/>
      </c>
    </row>
    <row r="1324">
      <c r="B1324" s="101" t="n">
        <v>1318</v>
      </c>
      <c r="C1324" s="58" t="inlineStr">
        <is>
          <t>Transaction</t>
        </is>
      </c>
      <c r="D1324" s="58">
        <f>IF(H1324=1,INDEX(tx_ID,1318)&amp;"","")</f>
        <v/>
      </c>
      <c r="E1324" s="94">
        <f>IF(H1324=1,INDEX(tx_Date,1318),"")</f>
        <v/>
      </c>
      <c r="F1324" s="58">
        <f>IF(H1324=1,INDEX(tx_Desc,1318)&amp;"","")</f>
        <v/>
      </c>
      <c r="G1324" s="58">
        <f>IF(H1324=1,IF(INDEX(tx_Cust,1318)&amp;""&lt;&gt;"",INDEX(tx_Cust,1318)&amp;"",INDEX(tx_Vend,1318)&amp;""),"")</f>
        <v/>
      </c>
      <c r="H1324" s="101">
        <f>IFERROR(N(INDEX(tx_Posted,1318)),0)</f>
        <v/>
      </c>
      <c r="I1324" s="58">
        <f>IF(H1324=1,INDEX(tx_DrAcct,1318)&amp;"","")</f>
        <v/>
      </c>
      <c r="J1324" s="95">
        <f>IF(H1324=1,INDEX(tx_DrAmt,1318),0)</f>
        <v/>
      </c>
      <c r="K1324" s="58">
        <f>IF(H1324=1,INDEX(tx_CrAcct,1318)&amp;"","")</f>
        <v/>
      </c>
      <c r="L1324" s="95">
        <f>IF(H1324=1,INDEX(tx_CrAmt,1318),0)</f>
        <v/>
      </c>
      <c r="M1324" s="95">
        <f>IF(H1324=1,INDEX(tx_TaxDr,1318),0)</f>
        <v/>
      </c>
      <c r="N1324" s="95">
        <f>IF(H1324=1,INDEX(tx_TaxCr,1318),0)</f>
        <v/>
      </c>
      <c r="O1324" s="101">
        <f>IF(H1324=1,IF(E1324&lt;FYStart,0,IF(E1324&gt;FYEnd,13,YEAR(E1324)*12+MONTH(E1324)-FYYM+1)),"")</f>
        <v/>
      </c>
      <c r="P1324" s="101">
        <f>IF(H1324=1,IF(IFERROR(INDEX(coa_CF,MATCH(I1324,coa_Name,0)),"")="Cash",1,0),0)</f>
        <v/>
      </c>
      <c r="Q1324" s="101">
        <f>IF(H1324=1,IF(IFERROR(INDEX(coa_CF,MATCH(K1324,coa_Name,0)),"")="Cash",1,0),0)</f>
        <v/>
      </c>
      <c r="R1324" s="58">
        <f>IF((P1324-Q1324)=0,"",IFERROR(INDEX(coa_CF,MATCH(IF((P1324-Q1324)=1,K1324,I1324),coa_Name,0)),"Operating"))</f>
        <v/>
      </c>
      <c r="S1324" s="95">
        <f>IF((P1324-Q1324)=1,L1324,IF((P1324-Q1324)=-1,-J1324,0))</f>
        <v/>
      </c>
      <c r="T1324" s="95">
        <f>IF((P1324-Q1324)=1,N1324,IF((P1324-Q1324)=-1,-M1324,0))</f>
        <v/>
      </c>
      <c r="U1324" s="101">
        <f>IF(AND(H1324=1,LedAcct&lt;&gt;""),IF(AND(E1324&gt;=LedFrom,E1324&lt;=LedTo,OR(I1324=LedAcct,K1324=LedAcct,AND(LedAcct=acctTax,M1324+N1324&lt;&gt;0))),E1324*10000+B1324,""),"")</f>
        <v/>
      </c>
    </row>
    <row r="1325">
      <c r="B1325" s="101" t="n">
        <v>1319</v>
      </c>
      <c r="C1325" s="58" t="inlineStr">
        <is>
          <t>Transaction</t>
        </is>
      </c>
      <c r="D1325" s="58">
        <f>IF(H1325=1,INDEX(tx_ID,1319)&amp;"","")</f>
        <v/>
      </c>
      <c r="E1325" s="94">
        <f>IF(H1325=1,INDEX(tx_Date,1319),"")</f>
        <v/>
      </c>
      <c r="F1325" s="58">
        <f>IF(H1325=1,INDEX(tx_Desc,1319)&amp;"","")</f>
        <v/>
      </c>
      <c r="G1325" s="58">
        <f>IF(H1325=1,IF(INDEX(tx_Cust,1319)&amp;""&lt;&gt;"",INDEX(tx_Cust,1319)&amp;"",INDEX(tx_Vend,1319)&amp;""),"")</f>
        <v/>
      </c>
      <c r="H1325" s="101">
        <f>IFERROR(N(INDEX(tx_Posted,1319)),0)</f>
        <v/>
      </c>
      <c r="I1325" s="58">
        <f>IF(H1325=1,INDEX(tx_DrAcct,1319)&amp;"","")</f>
        <v/>
      </c>
      <c r="J1325" s="95">
        <f>IF(H1325=1,INDEX(tx_DrAmt,1319),0)</f>
        <v/>
      </c>
      <c r="K1325" s="58">
        <f>IF(H1325=1,INDEX(tx_CrAcct,1319)&amp;"","")</f>
        <v/>
      </c>
      <c r="L1325" s="95">
        <f>IF(H1325=1,INDEX(tx_CrAmt,1319),0)</f>
        <v/>
      </c>
      <c r="M1325" s="95">
        <f>IF(H1325=1,INDEX(tx_TaxDr,1319),0)</f>
        <v/>
      </c>
      <c r="N1325" s="95">
        <f>IF(H1325=1,INDEX(tx_TaxCr,1319),0)</f>
        <v/>
      </c>
      <c r="O1325" s="101">
        <f>IF(H1325=1,IF(E1325&lt;FYStart,0,IF(E1325&gt;FYEnd,13,YEAR(E1325)*12+MONTH(E1325)-FYYM+1)),"")</f>
        <v/>
      </c>
      <c r="P1325" s="101">
        <f>IF(H1325=1,IF(IFERROR(INDEX(coa_CF,MATCH(I1325,coa_Name,0)),"")="Cash",1,0),0)</f>
        <v/>
      </c>
      <c r="Q1325" s="101">
        <f>IF(H1325=1,IF(IFERROR(INDEX(coa_CF,MATCH(K1325,coa_Name,0)),"")="Cash",1,0),0)</f>
        <v/>
      </c>
      <c r="R1325" s="58">
        <f>IF((P1325-Q1325)=0,"",IFERROR(INDEX(coa_CF,MATCH(IF((P1325-Q1325)=1,K1325,I1325),coa_Name,0)),"Operating"))</f>
        <v/>
      </c>
      <c r="S1325" s="95">
        <f>IF((P1325-Q1325)=1,L1325,IF((P1325-Q1325)=-1,-J1325,0))</f>
        <v/>
      </c>
      <c r="T1325" s="95">
        <f>IF((P1325-Q1325)=1,N1325,IF((P1325-Q1325)=-1,-M1325,0))</f>
        <v/>
      </c>
      <c r="U1325" s="101">
        <f>IF(AND(H1325=1,LedAcct&lt;&gt;""),IF(AND(E1325&gt;=LedFrom,E1325&lt;=LedTo,OR(I1325=LedAcct,K1325=LedAcct,AND(LedAcct=acctTax,M1325+N1325&lt;&gt;0))),E1325*10000+B1325,""),"")</f>
        <v/>
      </c>
    </row>
    <row r="1326">
      <c r="B1326" s="101" t="n">
        <v>1320</v>
      </c>
      <c r="C1326" s="58" t="inlineStr">
        <is>
          <t>Transaction</t>
        </is>
      </c>
      <c r="D1326" s="58">
        <f>IF(H1326=1,INDEX(tx_ID,1320)&amp;"","")</f>
        <v/>
      </c>
      <c r="E1326" s="94">
        <f>IF(H1326=1,INDEX(tx_Date,1320),"")</f>
        <v/>
      </c>
      <c r="F1326" s="58">
        <f>IF(H1326=1,INDEX(tx_Desc,1320)&amp;"","")</f>
        <v/>
      </c>
      <c r="G1326" s="58">
        <f>IF(H1326=1,IF(INDEX(tx_Cust,1320)&amp;""&lt;&gt;"",INDEX(tx_Cust,1320)&amp;"",INDEX(tx_Vend,1320)&amp;""),"")</f>
        <v/>
      </c>
      <c r="H1326" s="101">
        <f>IFERROR(N(INDEX(tx_Posted,1320)),0)</f>
        <v/>
      </c>
      <c r="I1326" s="58">
        <f>IF(H1326=1,INDEX(tx_DrAcct,1320)&amp;"","")</f>
        <v/>
      </c>
      <c r="J1326" s="95">
        <f>IF(H1326=1,INDEX(tx_DrAmt,1320),0)</f>
        <v/>
      </c>
      <c r="K1326" s="58">
        <f>IF(H1326=1,INDEX(tx_CrAcct,1320)&amp;"","")</f>
        <v/>
      </c>
      <c r="L1326" s="95">
        <f>IF(H1326=1,INDEX(tx_CrAmt,1320),0)</f>
        <v/>
      </c>
      <c r="M1326" s="95">
        <f>IF(H1326=1,INDEX(tx_TaxDr,1320),0)</f>
        <v/>
      </c>
      <c r="N1326" s="95">
        <f>IF(H1326=1,INDEX(tx_TaxCr,1320),0)</f>
        <v/>
      </c>
      <c r="O1326" s="101">
        <f>IF(H1326=1,IF(E1326&lt;FYStart,0,IF(E1326&gt;FYEnd,13,YEAR(E1326)*12+MONTH(E1326)-FYYM+1)),"")</f>
        <v/>
      </c>
      <c r="P1326" s="101">
        <f>IF(H1326=1,IF(IFERROR(INDEX(coa_CF,MATCH(I1326,coa_Name,0)),"")="Cash",1,0),0)</f>
        <v/>
      </c>
      <c r="Q1326" s="101">
        <f>IF(H1326=1,IF(IFERROR(INDEX(coa_CF,MATCH(K1326,coa_Name,0)),"")="Cash",1,0),0)</f>
        <v/>
      </c>
      <c r="R1326" s="58">
        <f>IF((P1326-Q1326)=0,"",IFERROR(INDEX(coa_CF,MATCH(IF((P1326-Q1326)=1,K1326,I1326),coa_Name,0)),"Operating"))</f>
        <v/>
      </c>
      <c r="S1326" s="95">
        <f>IF((P1326-Q1326)=1,L1326,IF((P1326-Q1326)=-1,-J1326,0))</f>
        <v/>
      </c>
      <c r="T1326" s="95">
        <f>IF((P1326-Q1326)=1,N1326,IF((P1326-Q1326)=-1,-M1326,0))</f>
        <v/>
      </c>
      <c r="U1326" s="101">
        <f>IF(AND(H1326=1,LedAcct&lt;&gt;""),IF(AND(E1326&gt;=LedFrom,E1326&lt;=LedTo,OR(I1326=LedAcct,K1326=LedAcct,AND(LedAcct=acctTax,M1326+N1326&lt;&gt;0))),E1326*10000+B1326,""),"")</f>
        <v/>
      </c>
    </row>
    <row r="1327">
      <c r="B1327" s="101" t="n">
        <v>1321</v>
      </c>
      <c r="C1327" s="58" t="inlineStr">
        <is>
          <t>Transaction</t>
        </is>
      </c>
      <c r="D1327" s="58">
        <f>IF(H1327=1,INDEX(tx_ID,1321)&amp;"","")</f>
        <v/>
      </c>
      <c r="E1327" s="94">
        <f>IF(H1327=1,INDEX(tx_Date,1321),"")</f>
        <v/>
      </c>
      <c r="F1327" s="58">
        <f>IF(H1327=1,INDEX(tx_Desc,1321)&amp;"","")</f>
        <v/>
      </c>
      <c r="G1327" s="58">
        <f>IF(H1327=1,IF(INDEX(tx_Cust,1321)&amp;""&lt;&gt;"",INDEX(tx_Cust,1321)&amp;"",INDEX(tx_Vend,1321)&amp;""),"")</f>
        <v/>
      </c>
      <c r="H1327" s="101">
        <f>IFERROR(N(INDEX(tx_Posted,1321)),0)</f>
        <v/>
      </c>
      <c r="I1327" s="58">
        <f>IF(H1327=1,INDEX(tx_DrAcct,1321)&amp;"","")</f>
        <v/>
      </c>
      <c r="J1327" s="95">
        <f>IF(H1327=1,INDEX(tx_DrAmt,1321),0)</f>
        <v/>
      </c>
      <c r="K1327" s="58">
        <f>IF(H1327=1,INDEX(tx_CrAcct,1321)&amp;"","")</f>
        <v/>
      </c>
      <c r="L1327" s="95">
        <f>IF(H1327=1,INDEX(tx_CrAmt,1321),0)</f>
        <v/>
      </c>
      <c r="M1327" s="95">
        <f>IF(H1327=1,INDEX(tx_TaxDr,1321),0)</f>
        <v/>
      </c>
      <c r="N1327" s="95">
        <f>IF(H1327=1,INDEX(tx_TaxCr,1321),0)</f>
        <v/>
      </c>
      <c r="O1327" s="101">
        <f>IF(H1327=1,IF(E1327&lt;FYStart,0,IF(E1327&gt;FYEnd,13,YEAR(E1327)*12+MONTH(E1327)-FYYM+1)),"")</f>
        <v/>
      </c>
      <c r="P1327" s="101">
        <f>IF(H1327=1,IF(IFERROR(INDEX(coa_CF,MATCH(I1327,coa_Name,0)),"")="Cash",1,0),0)</f>
        <v/>
      </c>
      <c r="Q1327" s="101">
        <f>IF(H1327=1,IF(IFERROR(INDEX(coa_CF,MATCH(K1327,coa_Name,0)),"")="Cash",1,0),0)</f>
        <v/>
      </c>
      <c r="R1327" s="58">
        <f>IF((P1327-Q1327)=0,"",IFERROR(INDEX(coa_CF,MATCH(IF((P1327-Q1327)=1,K1327,I1327),coa_Name,0)),"Operating"))</f>
        <v/>
      </c>
      <c r="S1327" s="95">
        <f>IF((P1327-Q1327)=1,L1327,IF((P1327-Q1327)=-1,-J1327,0))</f>
        <v/>
      </c>
      <c r="T1327" s="95">
        <f>IF((P1327-Q1327)=1,N1327,IF((P1327-Q1327)=-1,-M1327,0))</f>
        <v/>
      </c>
      <c r="U1327" s="101">
        <f>IF(AND(H1327=1,LedAcct&lt;&gt;""),IF(AND(E1327&gt;=LedFrom,E1327&lt;=LedTo,OR(I1327=LedAcct,K1327=LedAcct,AND(LedAcct=acctTax,M1327+N1327&lt;&gt;0))),E1327*10000+B1327,""),"")</f>
        <v/>
      </c>
    </row>
    <row r="1328">
      <c r="B1328" s="101" t="n">
        <v>1322</v>
      </c>
      <c r="C1328" s="58" t="inlineStr">
        <is>
          <t>Transaction</t>
        </is>
      </c>
      <c r="D1328" s="58">
        <f>IF(H1328=1,INDEX(tx_ID,1322)&amp;"","")</f>
        <v/>
      </c>
      <c r="E1328" s="94">
        <f>IF(H1328=1,INDEX(tx_Date,1322),"")</f>
        <v/>
      </c>
      <c r="F1328" s="58">
        <f>IF(H1328=1,INDEX(tx_Desc,1322)&amp;"","")</f>
        <v/>
      </c>
      <c r="G1328" s="58">
        <f>IF(H1328=1,IF(INDEX(tx_Cust,1322)&amp;""&lt;&gt;"",INDEX(tx_Cust,1322)&amp;"",INDEX(tx_Vend,1322)&amp;""),"")</f>
        <v/>
      </c>
      <c r="H1328" s="101">
        <f>IFERROR(N(INDEX(tx_Posted,1322)),0)</f>
        <v/>
      </c>
      <c r="I1328" s="58">
        <f>IF(H1328=1,INDEX(tx_DrAcct,1322)&amp;"","")</f>
        <v/>
      </c>
      <c r="J1328" s="95">
        <f>IF(H1328=1,INDEX(tx_DrAmt,1322),0)</f>
        <v/>
      </c>
      <c r="K1328" s="58">
        <f>IF(H1328=1,INDEX(tx_CrAcct,1322)&amp;"","")</f>
        <v/>
      </c>
      <c r="L1328" s="95">
        <f>IF(H1328=1,INDEX(tx_CrAmt,1322),0)</f>
        <v/>
      </c>
      <c r="M1328" s="95">
        <f>IF(H1328=1,INDEX(tx_TaxDr,1322),0)</f>
        <v/>
      </c>
      <c r="N1328" s="95">
        <f>IF(H1328=1,INDEX(tx_TaxCr,1322),0)</f>
        <v/>
      </c>
      <c r="O1328" s="101">
        <f>IF(H1328=1,IF(E1328&lt;FYStart,0,IF(E1328&gt;FYEnd,13,YEAR(E1328)*12+MONTH(E1328)-FYYM+1)),"")</f>
        <v/>
      </c>
      <c r="P1328" s="101">
        <f>IF(H1328=1,IF(IFERROR(INDEX(coa_CF,MATCH(I1328,coa_Name,0)),"")="Cash",1,0),0)</f>
        <v/>
      </c>
      <c r="Q1328" s="101">
        <f>IF(H1328=1,IF(IFERROR(INDEX(coa_CF,MATCH(K1328,coa_Name,0)),"")="Cash",1,0),0)</f>
        <v/>
      </c>
      <c r="R1328" s="58">
        <f>IF((P1328-Q1328)=0,"",IFERROR(INDEX(coa_CF,MATCH(IF((P1328-Q1328)=1,K1328,I1328),coa_Name,0)),"Operating"))</f>
        <v/>
      </c>
      <c r="S1328" s="95">
        <f>IF((P1328-Q1328)=1,L1328,IF((P1328-Q1328)=-1,-J1328,0))</f>
        <v/>
      </c>
      <c r="T1328" s="95">
        <f>IF((P1328-Q1328)=1,N1328,IF((P1328-Q1328)=-1,-M1328,0))</f>
        <v/>
      </c>
      <c r="U1328" s="101">
        <f>IF(AND(H1328=1,LedAcct&lt;&gt;""),IF(AND(E1328&gt;=LedFrom,E1328&lt;=LedTo,OR(I1328=LedAcct,K1328=LedAcct,AND(LedAcct=acctTax,M1328+N1328&lt;&gt;0))),E1328*10000+B1328,""),"")</f>
        <v/>
      </c>
    </row>
    <row r="1329">
      <c r="B1329" s="101" t="n">
        <v>1323</v>
      </c>
      <c r="C1329" s="58" t="inlineStr">
        <is>
          <t>Transaction</t>
        </is>
      </c>
      <c r="D1329" s="58">
        <f>IF(H1329=1,INDEX(tx_ID,1323)&amp;"","")</f>
        <v/>
      </c>
      <c r="E1329" s="94">
        <f>IF(H1329=1,INDEX(tx_Date,1323),"")</f>
        <v/>
      </c>
      <c r="F1329" s="58">
        <f>IF(H1329=1,INDEX(tx_Desc,1323)&amp;"","")</f>
        <v/>
      </c>
      <c r="G1329" s="58">
        <f>IF(H1329=1,IF(INDEX(tx_Cust,1323)&amp;""&lt;&gt;"",INDEX(tx_Cust,1323)&amp;"",INDEX(tx_Vend,1323)&amp;""),"")</f>
        <v/>
      </c>
      <c r="H1329" s="101">
        <f>IFERROR(N(INDEX(tx_Posted,1323)),0)</f>
        <v/>
      </c>
      <c r="I1329" s="58">
        <f>IF(H1329=1,INDEX(tx_DrAcct,1323)&amp;"","")</f>
        <v/>
      </c>
      <c r="J1329" s="95">
        <f>IF(H1329=1,INDEX(tx_DrAmt,1323),0)</f>
        <v/>
      </c>
      <c r="K1329" s="58">
        <f>IF(H1329=1,INDEX(tx_CrAcct,1323)&amp;"","")</f>
        <v/>
      </c>
      <c r="L1329" s="95">
        <f>IF(H1329=1,INDEX(tx_CrAmt,1323),0)</f>
        <v/>
      </c>
      <c r="M1329" s="95">
        <f>IF(H1329=1,INDEX(tx_TaxDr,1323),0)</f>
        <v/>
      </c>
      <c r="N1329" s="95">
        <f>IF(H1329=1,INDEX(tx_TaxCr,1323),0)</f>
        <v/>
      </c>
      <c r="O1329" s="101">
        <f>IF(H1329=1,IF(E1329&lt;FYStart,0,IF(E1329&gt;FYEnd,13,YEAR(E1329)*12+MONTH(E1329)-FYYM+1)),"")</f>
        <v/>
      </c>
      <c r="P1329" s="101">
        <f>IF(H1329=1,IF(IFERROR(INDEX(coa_CF,MATCH(I1329,coa_Name,0)),"")="Cash",1,0),0)</f>
        <v/>
      </c>
      <c r="Q1329" s="101">
        <f>IF(H1329=1,IF(IFERROR(INDEX(coa_CF,MATCH(K1329,coa_Name,0)),"")="Cash",1,0),0)</f>
        <v/>
      </c>
      <c r="R1329" s="58">
        <f>IF((P1329-Q1329)=0,"",IFERROR(INDEX(coa_CF,MATCH(IF((P1329-Q1329)=1,K1329,I1329),coa_Name,0)),"Operating"))</f>
        <v/>
      </c>
      <c r="S1329" s="95">
        <f>IF((P1329-Q1329)=1,L1329,IF((P1329-Q1329)=-1,-J1329,0))</f>
        <v/>
      </c>
      <c r="T1329" s="95">
        <f>IF((P1329-Q1329)=1,N1329,IF((P1329-Q1329)=-1,-M1329,0))</f>
        <v/>
      </c>
      <c r="U1329" s="101">
        <f>IF(AND(H1329=1,LedAcct&lt;&gt;""),IF(AND(E1329&gt;=LedFrom,E1329&lt;=LedTo,OR(I1329=LedAcct,K1329=LedAcct,AND(LedAcct=acctTax,M1329+N1329&lt;&gt;0))),E1329*10000+B1329,""),"")</f>
        <v/>
      </c>
    </row>
    <row r="1330">
      <c r="B1330" s="101" t="n">
        <v>1324</v>
      </c>
      <c r="C1330" s="58" t="inlineStr">
        <is>
          <t>Transaction</t>
        </is>
      </c>
      <c r="D1330" s="58">
        <f>IF(H1330=1,INDEX(tx_ID,1324)&amp;"","")</f>
        <v/>
      </c>
      <c r="E1330" s="94">
        <f>IF(H1330=1,INDEX(tx_Date,1324),"")</f>
        <v/>
      </c>
      <c r="F1330" s="58">
        <f>IF(H1330=1,INDEX(tx_Desc,1324)&amp;"","")</f>
        <v/>
      </c>
      <c r="G1330" s="58">
        <f>IF(H1330=1,IF(INDEX(tx_Cust,1324)&amp;""&lt;&gt;"",INDEX(tx_Cust,1324)&amp;"",INDEX(tx_Vend,1324)&amp;""),"")</f>
        <v/>
      </c>
      <c r="H1330" s="101">
        <f>IFERROR(N(INDEX(tx_Posted,1324)),0)</f>
        <v/>
      </c>
      <c r="I1330" s="58">
        <f>IF(H1330=1,INDEX(tx_DrAcct,1324)&amp;"","")</f>
        <v/>
      </c>
      <c r="J1330" s="95">
        <f>IF(H1330=1,INDEX(tx_DrAmt,1324),0)</f>
        <v/>
      </c>
      <c r="K1330" s="58">
        <f>IF(H1330=1,INDEX(tx_CrAcct,1324)&amp;"","")</f>
        <v/>
      </c>
      <c r="L1330" s="95">
        <f>IF(H1330=1,INDEX(tx_CrAmt,1324),0)</f>
        <v/>
      </c>
      <c r="M1330" s="95">
        <f>IF(H1330=1,INDEX(tx_TaxDr,1324),0)</f>
        <v/>
      </c>
      <c r="N1330" s="95">
        <f>IF(H1330=1,INDEX(tx_TaxCr,1324),0)</f>
        <v/>
      </c>
      <c r="O1330" s="101">
        <f>IF(H1330=1,IF(E1330&lt;FYStart,0,IF(E1330&gt;FYEnd,13,YEAR(E1330)*12+MONTH(E1330)-FYYM+1)),"")</f>
        <v/>
      </c>
      <c r="P1330" s="101">
        <f>IF(H1330=1,IF(IFERROR(INDEX(coa_CF,MATCH(I1330,coa_Name,0)),"")="Cash",1,0),0)</f>
        <v/>
      </c>
      <c r="Q1330" s="101">
        <f>IF(H1330=1,IF(IFERROR(INDEX(coa_CF,MATCH(K1330,coa_Name,0)),"")="Cash",1,0),0)</f>
        <v/>
      </c>
      <c r="R1330" s="58">
        <f>IF((P1330-Q1330)=0,"",IFERROR(INDEX(coa_CF,MATCH(IF((P1330-Q1330)=1,K1330,I1330),coa_Name,0)),"Operating"))</f>
        <v/>
      </c>
      <c r="S1330" s="95">
        <f>IF((P1330-Q1330)=1,L1330,IF((P1330-Q1330)=-1,-J1330,0))</f>
        <v/>
      </c>
      <c r="T1330" s="95">
        <f>IF((P1330-Q1330)=1,N1330,IF((P1330-Q1330)=-1,-M1330,0))</f>
        <v/>
      </c>
      <c r="U1330" s="101">
        <f>IF(AND(H1330=1,LedAcct&lt;&gt;""),IF(AND(E1330&gt;=LedFrom,E1330&lt;=LedTo,OR(I1330=LedAcct,K1330=LedAcct,AND(LedAcct=acctTax,M1330+N1330&lt;&gt;0))),E1330*10000+B1330,""),"")</f>
        <v/>
      </c>
    </row>
    <row r="1331">
      <c r="B1331" s="101" t="n">
        <v>1325</v>
      </c>
      <c r="C1331" s="58" t="inlineStr">
        <is>
          <t>Transaction</t>
        </is>
      </c>
      <c r="D1331" s="58">
        <f>IF(H1331=1,INDEX(tx_ID,1325)&amp;"","")</f>
        <v/>
      </c>
      <c r="E1331" s="94">
        <f>IF(H1331=1,INDEX(tx_Date,1325),"")</f>
        <v/>
      </c>
      <c r="F1331" s="58">
        <f>IF(H1331=1,INDEX(tx_Desc,1325)&amp;"","")</f>
        <v/>
      </c>
      <c r="G1331" s="58">
        <f>IF(H1331=1,IF(INDEX(tx_Cust,1325)&amp;""&lt;&gt;"",INDEX(tx_Cust,1325)&amp;"",INDEX(tx_Vend,1325)&amp;""),"")</f>
        <v/>
      </c>
      <c r="H1331" s="101">
        <f>IFERROR(N(INDEX(tx_Posted,1325)),0)</f>
        <v/>
      </c>
      <c r="I1331" s="58">
        <f>IF(H1331=1,INDEX(tx_DrAcct,1325)&amp;"","")</f>
        <v/>
      </c>
      <c r="J1331" s="95">
        <f>IF(H1331=1,INDEX(tx_DrAmt,1325),0)</f>
        <v/>
      </c>
      <c r="K1331" s="58">
        <f>IF(H1331=1,INDEX(tx_CrAcct,1325)&amp;"","")</f>
        <v/>
      </c>
      <c r="L1331" s="95">
        <f>IF(H1331=1,INDEX(tx_CrAmt,1325),0)</f>
        <v/>
      </c>
      <c r="M1331" s="95">
        <f>IF(H1331=1,INDEX(tx_TaxDr,1325),0)</f>
        <v/>
      </c>
      <c r="N1331" s="95">
        <f>IF(H1331=1,INDEX(tx_TaxCr,1325),0)</f>
        <v/>
      </c>
      <c r="O1331" s="101">
        <f>IF(H1331=1,IF(E1331&lt;FYStart,0,IF(E1331&gt;FYEnd,13,YEAR(E1331)*12+MONTH(E1331)-FYYM+1)),"")</f>
        <v/>
      </c>
      <c r="P1331" s="101">
        <f>IF(H1331=1,IF(IFERROR(INDEX(coa_CF,MATCH(I1331,coa_Name,0)),"")="Cash",1,0),0)</f>
        <v/>
      </c>
      <c r="Q1331" s="101">
        <f>IF(H1331=1,IF(IFERROR(INDEX(coa_CF,MATCH(K1331,coa_Name,0)),"")="Cash",1,0),0)</f>
        <v/>
      </c>
      <c r="R1331" s="58">
        <f>IF((P1331-Q1331)=0,"",IFERROR(INDEX(coa_CF,MATCH(IF((P1331-Q1331)=1,K1331,I1331),coa_Name,0)),"Operating"))</f>
        <v/>
      </c>
      <c r="S1331" s="95">
        <f>IF((P1331-Q1331)=1,L1331,IF((P1331-Q1331)=-1,-J1331,0))</f>
        <v/>
      </c>
      <c r="T1331" s="95">
        <f>IF((P1331-Q1331)=1,N1331,IF((P1331-Q1331)=-1,-M1331,0))</f>
        <v/>
      </c>
      <c r="U1331" s="101">
        <f>IF(AND(H1331=1,LedAcct&lt;&gt;""),IF(AND(E1331&gt;=LedFrom,E1331&lt;=LedTo,OR(I1331=LedAcct,K1331=LedAcct,AND(LedAcct=acctTax,M1331+N1331&lt;&gt;0))),E1331*10000+B1331,""),"")</f>
        <v/>
      </c>
    </row>
    <row r="1332">
      <c r="B1332" s="101" t="n">
        <v>1326</v>
      </c>
      <c r="C1332" s="58" t="inlineStr">
        <is>
          <t>Transaction</t>
        </is>
      </c>
      <c r="D1332" s="58">
        <f>IF(H1332=1,INDEX(tx_ID,1326)&amp;"","")</f>
        <v/>
      </c>
      <c r="E1332" s="94">
        <f>IF(H1332=1,INDEX(tx_Date,1326),"")</f>
        <v/>
      </c>
      <c r="F1332" s="58">
        <f>IF(H1332=1,INDEX(tx_Desc,1326)&amp;"","")</f>
        <v/>
      </c>
      <c r="G1332" s="58">
        <f>IF(H1332=1,IF(INDEX(tx_Cust,1326)&amp;""&lt;&gt;"",INDEX(tx_Cust,1326)&amp;"",INDEX(tx_Vend,1326)&amp;""),"")</f>
        <v/>
      </c>
      <c r="H1332" s="101">
        <f>IFERROR(N(INDEX(tx_Posted,1326)),0)</f>
        <v/>
      </c>
      <c r="I1332" s="58">
        <f>IF(H1332=1,INDEX(tx_DrAcct,1326)&amp;"","")</f>
        <v/>
      </c>
      <c r="J1332" s="95">
        <f>IF(H1332=1,INDEX(tx_DrAmt,1326),0)</f>
        <v/>
      </c>
      <c r="K1332" s="58">
        <f>IF(H1332=1,INDEX(tx_CrAcct,1326)&amp;"","")</f>
        <v/>
      </c>
      <c r="L1332" s="95">
        <f>IF(H1332=1,INDEX(tx_CrAmt,1326),0)</f>
        <v/>
      </c>
      <c r="M1332" s="95">
        <f>IF(H1332=1,INDEX(tx_TaxDr,1326),0)</f>
        <v/>
      </c>
      <c r="N1332" s="95">
        <f>IF(H1332=1,INDEX(tx_TaxCr,1326),0)</f>
        <v/>
      </c>
      <c r="O1332" s="101">
        <f>IF(H1332=1,IF(E1332&lt;FYStart,0,IF(E1332&gt;FYEnd,13,YEAR(E1332)*12+MONTH(E1332)-FYYM+1)),"")</f>
        <v/>
      </c>
      <c r="P1332" s="101">
        <f>IF(H1332=1,IF(IFERROR(INDEX(coa_CF,MATCH(I1332,coa_Name,0)),"")="Cash",1,0),0)</f>
        <v/>
      </c>
      <c r="Q1332" s="101">
        <f>IF(H1332=1,IF(IFERROR(INDEX(coa_CF,MATCH(K1332,coa_Name,0)),"")="Cash",1,0),0)</f>
        <v/>
      </c>
      <c r="R1332" s="58">
        <f>IF((P1332-Q1332)=0,"",IFERROR(INDEX(coa_CF,MATCH(IF((P1332-Q1332)=1,K1332,I1332),coa_Name,0)),"Operating"))</f>
        <v/>
      </c>
      <c r="S1332" s="95">
        <f>IF((P1332-Q1332)=1,L1332,IF((P1332-Q1332)=-1,-J1332,0))</f>
        <v/>
      </c>
      <c r="T1332" s="95">
        <f>IF((P1332-Q1332)=1,N1332,IF((P1332-Q1332)=-1,-M1332,0))</f>
        <v/>
      </c>
      <c r="U1332" s="101">
        <f>IF(AND(H1332=1,LedAcct&lt;&gt;""),IF(AND(E1332&gt;=LedFrom,E1332&lt;=LedTo,OR(I1332=LedAcct,K1332=LedAcct,AND(LedAcct=acctTax,M1332+N1332&lt;&gt;0))),E1332*10000+B1332,""),"")</f>
        <v/>
      </c>
    </row>
    <row r="1333">
      <c r="B1333" s="101" t="n">
        <v>1327</v>
      </c>
      <c r="C1333" s="58" t="inlineStr">
        <is>
          <t>Transaction</t>
        </is>
      </c>
      <c r="D1333" s="58">
        <f>IF(H1333=1,INDEX(tx_ID,1327)&amp;"","")</f>
        <v/>
      </c>
      <c r="E1333" s="94">
        <f>IF(H1333=1,INDEX(tx_Date,1327),"")</f>
        <v/>
      </c>
      <c r="F1333" s="58">
        <f>IF(H1333=1,INDEX(tx_Desc,1327)&amp;"","")</f>
        <v/>
      </c>
      <c r="G1333" s="58">
        <f>IF(H1333=1,IF(INDEX(tx_Cust,1327)&amp;""&lt;&gt;"",INDEX(tx_Cust,1327)&amp;"",INDEX(tx_Vend,1327)&amp;""),"")</f>
        <v/>
      </c>
      <c r="H1333" s="101">
        <f>IFERROR(N(INDEX(tx_Posted,1327)),0)</f>
        <v/>
      </c>
      <c r="I1333" s="58">
        <f>IF(H1333=1,INDEX(tx_DrAcct,1327)&amp;"","")</f>
        <v/>
      </c>
      <c r="J1333" s="95">
        <f>IF(H1333=1,INDEX(tx_DrAmt,1327),0)</f>
        <v/>
      </c>
      <c r="K1333" s="58">
        <f>IF(H1333=1,INDEX(tx_CrAcct,1327)&amp;"","")</f>
        <v/>
      </c>
      <c r="L1333" s="95">
        <f>IF(H1333=1,INDEX(tx_CrAmt,1327),0)</f>
        <v/>
      </c>
      <c r="M1333" s="95">
        <f>IF(H1333=1,INDEX(tx_TaxDr,1327),0)</f>
        <v/>
      </c>
      <c r="N1333" s="95">
        <f>IF(H1333=1,INDEX(tx_TaxCr,1327),0)</f>
        <v/>
      </c>
      <c r="O1333" s="101">
        <f>IF(H1333=1,IF(E1333&lt;FYStart,0,IF(E1333&gt;FYEnd,13,YEAR(E1333)*12+MONTH(E1333)-FYYM+1)),"")</f>
        <v/>
      </c>
      <c r="P1333" s="101">
        <f>IF(H1333=1,IF(IFERROR(INDEX(coa_CF,MATCH(I1333,coa_Name,0)),"")="Cash",1,0),0)</f>
        <v/>
      </c>
      <c r="Q1333" s="101">
        <f>IF(H1333=1,IF(IFERROR(INDEX(coa_CF,MATCH(K1333,coa_Name,0)),"")="Cash",1,0),0)</f>
        <v/>
      </c>
      <c r="R1333" s="58">
        <f>IF((P1333-Q1333)=0,"",IFERROR(INDEX(coa_CF,MATCH(IF((P1333-Q1333)=1,K1333,I1333),coa_Name,0)),"Operating"))</f>
        <v/>
      </c>
      <c r="S1333" s="95">
        <f>IF((P1333-Q1333)=1,L1333,IF((P1333-Q1333)=-1,-J1333,0))</f>
        <v/>
      </c>
      <c r="T1333" s="95">
        <f>IF((P1333-Q1333)=1,N1333,IF((P1333-Q1333)=-1,-M1333,0))</f>
        <v/>
      </c>
      <c r="U1333" s="101">
        <f>IF(AND(H1333=1,LedAcct&lt;&gt;""),IF(AND(E1333&gt;=LedFrom,E1333&lt;=LedTo,OR(I1333=LedAcct,K1333=LedAcct,AND(LedAcct=acctTax,M1333+N1333&lt;&gt;0))),E1333*10000+B1333,""),"")</f>
        <v/>
      </c>
    </row>
    <row r="1334">
      <c r="B1334" s="101" t="n">
        <v>1328</v>
      </c>
      <c r="C1334" s="58" t="inlineStr">
        <is>
          <t>Transaction</t>
        </is>
      </c>
      <c r="D1334" s="58">
        <f>IF(H1334=1,INDEX(tx_ID,1328)&amp;"","")</f>
        <v/>
      </c>
      <c r="E1334" s="94">
        <f>IF(H1334=1,INDEX(tx_Date,1328),"")</f>
        <v/>
      </c>
      <c r="F1334" s="58">
        <f>IF(H1334=1,INDEX(tx_Desc,1328)&amp;"","")</f>
        <v/>
      </c>
      <c r="G1334" s="58">
        <f>IF(H1334=1,IF(INDEX(tx_Cust,1328)&amp;""&lt;&gt;"",INDEX(tx_Cust,1328)&amp;"",INDEX(tx_Vend,1328)&amp;""),"")</f>
        <v/>
      </c>
      <c r="H1334" s="101">
        <f>IFERROR(N(INDEX(tx_Posted,1328)),0)</f>
        <v/>
      </c>
      <c r="I1334" s="58">
        <f>IF(H1334=1,INDEX(tx_DrAcct,1328)&amp;"","")</f>
        <v/>
      </c>
      <c r="J1334" s="95">
        <f>IF(H1334=1,INDEX(tx_DrAmt,1328),0)</f>
        <v/>
      </c>
      <c r="K1334" s="58">
        <f>IF(H1334=1,INDEX(tx_CrAcct,1328)&amp;"","")</f>
        <v/>
      </c>
      <c r="L1334" s="95">
        <f>IF(H1334=1,INDEX(tx_CrAmt,1328),0)</f>
        <v/>
      </c>
      <c r="M1334" s="95">
        <f>IF(H1334=1,INDEX(tx_TaxDr,1328),0)</f>
        <v/>
      </c>
      <c r="N1334" s="95">
        <f>IF(H1334=1,INDEX(tx_TaxCr,1328),0)</f>
        <v/>
      </c>
      <c r="O1334" s="101">
        <f>IF(H1334=1,IF(E1334&lt;FYStart,0,IF(E1334&gt;FYEnd,13,YEAR(E1334)*12+MONTH(E1334)-FYYM+1)),"")</f>
        <v/>
      </c>
      <c r="P1334" s="101">
        <f>IF(H1334=1,IF(IFERROR(INDEX(coa_CF,MATCH(I1334,coa_Name,0)),"")="Cash",1,0),0)</f>
        <v/>
      </c>
      <c r="Q1334" s="101">
        <f>IF(H1334=1,IF(IFERROR(INDEX(coa_CF,MATCH(K1334,coa_Name,0)),"")="Cash",1,0),0)</f>
        <v/>
      </c>
      <c r="R1334" s="58">
        <f>IF((P1334-Q1334)=0,"",IFERROR(INDEX(coa_CF,MATCH(IF((P1334-Q1334)=1,K1334,I1334),coa_Name,0)),"Operating"))</f>
        <v/>
      </c>
      <c r="S1334" s="95">
        <f>IF((P1334-Q1334)=1,L1334,IF((P1334-Q1334)=-1,-J1334,0))</f>
        <v/>
      </c>
      <c r="T1334" s="95">
        <f>IF((P1334-Q1334)=1,N1334,IF((P1334-Q1334)=-1,-M1334,0))</f>
        <v/>
      </c>
      <c r="U1334" s="101">
        <f>IF(AND(H1334=1,LedAcct&lt;&gt;""),IF(AND(E1334&gt;=LedFrom,E1334&lt;=LedTo,OR(I1334=LedAcct,K1334=LedAcct,AND(LedAcct=acctTax,M1334+N1334&lt;&gt;0))),E1334*10000+B1334,""),"")</f>
        <v/>
      </c>
    </row>
    <row r="1335">
      <c r="B1335" s="101" t="n">
        <v>1329</v>
      </c>
      <c r="C1335" s="58" t="inlineStr">
        <is>
          <t>Transaction</t>
        </is>
      </c>
      <c r="D1335" s="58">
        <f>IF(H1335=1,INDEX(tx_ID,1329)&amp;"","")</f>
        <v/>
      </c>
      <c r="E1335" s="94">
        <f>IF(H1335=1,INDEX(tx_Date,1329),"")</f>
        <v/>
      </c>
      <c r="F1335" s="58">
        <f>IF(H1335=1,INDEX(tx_Desc,1329)&amp;"","")</f>
        <v/>
      </c>
      <c r="G1335" s="58">
        <f>IF(H1335=1,IF(INDEX(tx_Cust,1329)&amp;""&lt;&gt;"",INDEX(tx_Cust,1329)&amp;"",INDEX(tx_Vend,1329)&amp;""),"")</f>
        <v/>
      </c>
      <c r="H1335" s="101">
        <f>IFERROR(N(INDEX(tx_Posted,1329)),0)</f>
        <v/>
      </c>
      <c r="I1335" s="58">
        <f>IF(H1335=1,INDEX(tx_DrAcct,1329)&amp;"","")</f>
        <v/>
      </c>
      <c r="J1335" s="95">
        <f>IF(H1335=1,INDEX(tx_DrAmt,1329),0)</f>
        <v/>
      </c>
      <c r="K1335" s="58">
        <f>IF(H1335=1,INDEX(tx_CrAcct,1329)&amp;"","")</f>
        <v/>
      </c>
      <c r="L1335" s="95">
        <f>IF(H1335=1,INDEX(tx_CrAmt,1329),0)</f>
        <v/>
      </c>
      <c r="M1335" s="95">
        <f>IF(H1335=1,INDEX(tx_TaxDr,1329),0)</f>
        <v/>
      </c>
      <c r="N1335" s="95">
        <f>IF(H1335=1,INDEX(tx_TaxCr,1329),0)</f>
        <v/>
      </c>
      <c r="O1335" s="101">
        <f>IF(H1335=1,IF(E1335&lt;FYStart,0,IF(E1335&gt;FYEnd,13,YEAR(E1335)*12+MONTH(E1335)-FYYM+1)),"")</f>
        <v/>
      </c>
      <c r="P1335" s="101">
        <f>IF(H1335=1,IF(IFERROR(INDEX(coa_CF,MATCH(I1335,coa_Name,0)),"")="Cash",1,0),0)</f>
        <v/>
      </c>
      <c r="Q1335" s="101">
        <f>IF(H1335=1,IF(IFERROR(INDEX(coa_CF,MATCH(K1335,coa_Name,0)),"")="Cash",1,0),0)</f>
        <v/>
      </c>
      <c r="R1335" s="58">
        <f>IF((P1335-Q1335)=0,"",IFERROR(INDEX(coa_CF,MATCH(IF((P1335-Q1335)=1,K1335,I1335),coa_Name,0)),"Operating"))</f>
        <v/>
      </c>
      <c r="S1335" s="95">
        <f>IF((P1335-Q1335)=1,L1335,IF((P1335-Q1335)=-1,-J1335,0))</f>
        <v/>
      </c>
      <c r="T1335" s="95">
        <f>IF((P1335-Q1335)=1,N1335,IF((P1335-Q1335)=-1,-M1335,0))</f>
        <v/>
      </c>
      <c r="U1335" s="101">
        <f>IF(AND(H1335=1,LedAcct&lt;&gt;""),IF(AND(E1335&gt;=LedFrom,E1335&lt;=LedTo,OR(I1335=LedAcct,K1335=LedAcct,AND(LedAcct=acctTax,M1335+N1335&lt;&gt;0))),E1335*10000+B1335,""),"")</f>
        <v/>
      </c>
    </row>
    <row r="1336">
      <c r="B1336" s="101" t="n">
        <v>1330</v>
      </c>
      <c r="C1336" s="58" t="inlineStr">
        <is>
          <t>Transaction</t>
        </is>
      </c>
      <c r="D1336" s="58">
        <f>IF(H1336=1,INDEX(tx_ID,1330)&amp;"","")</f>
        <v/>
      </c>
      <c r="E1336" s="94">
        <f>IF(H1336=1,INDEX(tx_Date,1330),"")</f>
        <v/>
      </c>
      <c r="F1336" s="58">
        <f>IF(H1336=1,INDEX(tx_Desc,1330)&amp;"","")</f>
        <v/>
      </c>
      <c r="G1336" s="58">
        <f>IF(H1336=1,IF(INDEX(tx_Cust,1330)&amp;""&lt;&gt;"",INDEX(tx_Cust,1330)&amp;"",INDEX(tx_Vend,1330)&amp;""),"")</f>
        <v/>
      </c>
      <c r="H1336" s="101">
        <f>IFERROR(N(INDEX(tx_Posted,1330)),0)</f>
        <v/>
      </c>
      <c r="I1336" s="58">
        <f>IF(H1336=1,INDEX(tx_DrAcct,1330)&amp;"","")</f>
        <v/>
      </c>
      <c r="J1336" s="95">
        <f>IF(H1336=1,INDEX(tx_DrAmt,1330),0)</f>
        <v/>
      </c>
      <c r="K1336" s="58">
        <f>IF(H1336=1,INDEX(tx_CrAcct,1330)&amp;"","")</f>
        <v/>
      </c>
      <c r="L1336" s="95">
        <f>IF(H1336=1,INDEX(tx_CrAmt,1330),0)</f>
        <v/>
      </c>
      <c r="M1336" s="95">
        <f>IF(H1336=1,INDEX(tx_TaxDr,1330),0)</f>
        <v/>
      </c>
      <c r="N1336" s="95">
        <f>IF(H1336=1,INDEX(tx_TaxCr,1330),0)</f>
        <v/>
      </c>
      <c r="O1336" s="101">
        <f>IF(H1336=1,IF(E1336&lt;FYStart,0,IF(E1336&gt;FYEnd,13,YEAR(E1336)*12+MONTH(E1336)-FYYM+1)),"")</f>
        <v/>
      </c>
      <c r="P1336" s="101">
        <f>IF(H1336=1,IF(IFERROR(INDEX(coa_CF,MATCH(I1336,coa_Name,0)),"")="Cash",1,0),0)</f>
        <v/>
      </c>
      <c r="Q1336" s="101">
        <f>IF(H1336=1,IF(IFERROR(INDEX(coa_CF,MATCH(K1336,coa_Name,0)),"")="Cash",1,0),0)</f>
        <v/>
      </c>
      <c r="R1336" s="58">
        <f>IF((P1336-Q1336)=0,"",IFERROR(INDEX(coa_CF,MATCH(IF((P1336-Q1336)=1,K1336,I1336),coa_Name,0)),"Operating"))</f>
        <v/>
      </c>
      <c r="S1336" s="95">
        <f>IF((P1336-Q1336)=1,L1336,IF((P1336-Q1336)=-1,-J1336,0))</f>
        <v/>
      </c>
      <c r="T1336" s="95">
        <f>IF((P1336-Q1336)=1,N1336,IF((P1336-Q1336)=-1,-M1336,0))</f>
        <v/>
      </c>
      <c r="U1336" s="101">
        <f>IF(AND(H1336=1,LedAcct&lt;&gt;""),IF(AND(E1336&gt;=LedFrom,E1336&lt;=LedTo,OR(I1336=LedAcct,K1336=LedAcct,AND(LedAcct=acctTax,M1336+N1336&lt;&gt;0))),E1336*10000+B1336,""),"")</f>
        <v/>
      </c>
    </row>
    <row r="1337">
      <c r="B1337" s="101" t="n">
        <v>1331</v>
      </c>
      <c r="C1337" s="58" t="inlineStr">
        <is>
          <t>Transaction</t>
        </is>
      </c>
      <c r="D1337" s="58">
        <f>IF(H1337=1,INDEX(tx_ID,1331)&amp;"","")</f>
        <v/>
      </c>
      <c r="E1337" s="94">
        <f>IF(H1337=1,INDEX(tx_Date,1331),"")</f>
        <v/>
      </c>
      <c r="F1337" s="58">
        <f>IF(H1337=1,INDEX(tx_Desc,1331)&amp;"","")</f>
        <v/>
      </c>
      <c r="G1337" s="58">
        <f>IF(H1337=1,IF(INDEX(tx_Cust,1331)&amp;""&lt;&gt;"",INDEX(tx_Cust,1331)&amp;"",INDEX(tx_Vend,1331)&amp;""),"")</f>
        <v/>
      </c>
      <c r="H1337" s="101">
        <f>IFERROR(N(INDEX(tx_Posted,1331)),0)</f>
        <v/>
      </c>
      <c r="I1337" s="58">
        <f>IF(H1337=1,INDEX(tx_DrAcct,1331)&amp;"","")</f>
        <v/>
      </c>
      <c r="J1337" s="95">
        <f>IF(H1337=1,INDEX(tx_DrAmt,1331),0)</f>
        <v/>
      </c>
      <c r="K1337" s="58">
        <f>IF(H1337=1,INDEX(tx_CrAcct,1331)&amp;"","")</f>
        <v/>
      </c>
      <c r="L1337" s="95">
        <f>IF(H1337=1,INDEX(tx_CrAmt,1331),0)</f>
        <v/>
      </c>
      <c r="M1337" s="95">
        <f>IF(H1337=1,INDEX(tx_TaxDr,1331),0)</f>
        <v/>
      </c>
      <c r="N1337" s="95">
        <f>IF(H1337=1,INDEX(tx_TaxCr,1331),0)</f>
        <v/>
      </c>
      <c r="O1337" s="101">
        <f>IF(H1337=1,IF(E1337&lt;FYStart,0,IF(E1337&gt;FYEnd,13,YEAR(E1337)*12+MONTH(E1337)-FYYM+1)),"")</f>
        <v/>
      </c>
      <c r="P1337" s="101">
        <f>IF(H1337=1,IF(IFERROR(INDEX(coa_CF,MATCH(I1337,coa_Name,0)),"")="Cash",1,0),0)</f>
        <v/>
      </c>
      <c r="Q1337" s="101">
        <f>IF(H1337=1,IF(IFERROR(INDEX(coa_CF,MATCH(K1337,coa_Name,0)),"")="Cash",1,0),0)</f>
        <v/>
      </c>
      <c r="R1337" s="58">
        <f>IF((P1337-Q1337)=0,"",IFERROR(INDEX(coa_CF,MATCH(IF((P1337-Q1337)=1,K1337,I1337),coa_Name,0)),"Operating"))</f>
        <v/>
      </c>
      <c r="S1337" s="95">
        <f>IF((P1337-Q1337)=1,L1337,IF((P1337-Q1337)=-1,-J1337,0))</f>
        <v/>
      </c>
      <c r="T1337" s="95">
        <f>IF((P1337-Q1337)=1,N1337,IF((P1337-Q1337)=-1,-M1337,0))</f>
        <v/>
      </c>
      <c r="U1337" s="101">
        <f>IF(AND(H1337=1,LedAcct&lt;&gt;""),IF(AND(E1337&gt;=LedFrom,E1337&lt;=LedTo,OR(I1337=LedAcct,K1337=LedAcct,AND(LedAcct=acctTax,M1337+N1337&lt;&gt;0))),E1337*10000+B1337,""),"")</f>
        <v/>
      </c>
    </row>
    <row r="1338">
      <c r="B1338" s="101" t="n">
        <v>1332</v>
      </c>
      <c r="C1338" s="58" t="inlineStr">
        <is>
          <t>Transaction</t>
        </is>
      </c>
      <c r="D1338" s="58">
        <f>IF(H1338=1,INDEX(tx_ID,1332)&amp;"","")</f>
        <v/>
      </c>
      <c r="E1338" s="94">
        <f>IF(H1338=1,INDEX(tx_Date,1332),"")</f>
        <v/>
      </c>
      <c r="F1338" s="58">
        <f>IF(H1338=1,INDEX(tx_Desc,1332)&amp;"","")</f>
        <v/>
      </c>
      <c r="G1338" s="58">
        <f>IF(H1338=1,IF(INDEX(tx_Cust,1332)&amp;""&lt;&gt;"",INDEX(tx_Cust,1332)&amp;"",INDEX(tx_Vend,1332)&amp;""),"")</f>
        <v/>
      </c>
      <c r="H1338" s="101">
        <f>IFERROR(N(INDEX(tx_Posted,1332)),0)</f>
        <v/>
      </c>
      <c r="I1338" s="58">
        <f>IF(H1338=1,INDEX(tx_DrAcct,1332)&amp;"","")</f>
        <v/>
      </c>
      <c r="J1338" s="95">
        <f>IF(H1338=1,INDEX(tx_DrAmt,1332),0)</f>
        <v/>
      </c>
      <c r="K1338" s="58">
        <f>IF(H1338=1,INDEX(tx_CrAcct,1332)&amp;"","")</f>
        <v/>
      </c>
      <c r="L1338" s="95">
        <f>IF(H1338=1,INDEX(tx_CrAmt,1332),0)</f>
        <v/>
      </c>
      <c r="M1338" s="95">
        <f>IF(H1338=1,INDEX(tx_TaxDr,1332),0)</f>
        <v/>
      </c>
      <c r="N1338" s="95">
        <f>IF(H1338=1,INDEX(tx_TaxCr,1332),0)</f>
        <v/>
      </c>
      <c r="O1338" s="101">
        <f>IF(H1338=1,IF(E1338&lt;FYStart,0,IF(E1338&gt;FYEnd,13,YEAR(E1338)*12+MONTH(E1338)-FYYM+1)),"")</f>
        <v/>
      </c>
      <c r="P1338" s="101">
        <f>IF(H1338=1,IF(IFERROR(INDEX(coa_CF,MATCH(I1338,coa_Name,0)),"")="Cash",1,0),0)</f>
        <v/>
      </c>
      <c r="Q1338" s="101">
        <f>IF(H1338=1,IF(IFERROR(INDEX(coa_CF,MATCH(K1338,coa_Name,0)),"")="Cash",1,0),0)</f>
        <v/>
      </c>
      <c r="R1338" s="58">
        <f>IF((P1338-Q1338)=0,"",IFERROR(INDEX(coa_CF,MATCH(IF((P1338-Q1338)=1,K1338,I1338),coa_Name,0)),"Operating"))</f>
        <v/>
      </c>
      <c r="S1338" s="95">
        <f>IF((P1338-Q1338)=1,L1338,IF((P1338-Q1338)=-1,-J1338,0))</f>
        <v/>
      </c>
      <c r="T1338" s="95">
        <f>IF((P1338-Q1338)=1,N1338,IF((P1338-Q1338)=-1,-M1338,0))</f>
        <v/>
      </c>
      <c r="U1338" s="101">
        <f>IF(AND(H1338=1,LedAcct&lt;&gt;""),IF(AND(E1338&gt;=LedFrom,E1338&lt;=LedTo,OR(I1338=LedAcct,K1338=LedAcct,AND(LedAcct=acctTax,M1338+N1338&lt;&gt;0))),E1338*10000+B1338,""),"")</f>
        <v/>
      </c>
    </row>
    <row r="1339">
      <c r="B1339" s="101" t="n">
        <v>1333</v>
      </c>
      <c r="C1339" s="58" t="inlineStr">
        <is>
          <t>Transaction</t>
        </is>
      </c>
      <c r="D1339" s="58">
        <f>IF(H1339=1,INDEX(tx_ID,1333)&amp;"","")</f>
        <v/>
      </c>
      <c r="E1339" s="94">
        <f>IF(H1339=1,INDEX(tx_Date,1333),"")</f>
        <v/>
      </c>
      <c r="F1339" s="58">
        <f>IF(H1339=1,INDEX(tx_Desc,1333)&amp;"","")</f>
        <v/>
      </c>
      <c r="G1339" s="58">
        <f>IF(H1339=1,IF(INDEX(tx_Cust,1333)&amp;""&lt;&gt;"",INDEX(tx_Cust,1333)&amp;"",INDEX(tx_Vend,1333)&amp;""),"")</f>
        <v/>
      </c>
      <c r="H1339" s="101">
        <f>IFERROR(N(INDEX(tx_Posted,1333)),0)</f>
        <v/>
      </c>
      <c r="I1339" s="58">
        <f>IF(H1339=1,INDEX(tx_DrAcct,1333)&amp;"","")</f>
        <v/>
      </c>
      <c r="J1339" s="95">
        <f>IF(H1339=1,INDEX(tx_DrAmt,1333),0)</f>
        <v/>
      </c>
      <c r="K1339" s="58">
        <f>IF(H1339=1,INDEX(tx_CrAcct,1333)&amp;"","")</f>
        <v/>
      </c>
      <c r="L1339" s="95">
        <f>IF(H1339=1,INDEX(tx_CrAmt,1333),0)</f>
        <v/>
      </c>
      <c r="M1339" s="95">
        <f>IF(H1339=1,INDEX(tx_TaxDr,1333),0)</f>
        <v/>
      </c>
      <c r="N1339" s="95">
        <f>IF(H1339=1,INDEX(tx_TaxCr,1333),0)</f>
        <v/>
      </c>
      <c r="O1339" s="101">
        <f>IF(H1339=1,IF(E1339&lt;FYStart,0,IF(E1339&gt;FYEnd,13,YEAR(E1339)*12+MONTH(E1339)-FYYM+1)),"")</f>
        <v/>
      </c>
      <c r="P1339" s="101">
        <f>IF(H1339=1,IF(IFERROR(INDEX(coa_CF,MATCH(I1339,coa_Name,0)),"")="Cash",1,0),0)</f>
        <v/>
      </c>
      <c r="Q1339" s="101">
        <f>IF(H1339=1,IF(IFERROR(INDEX(coa_CF,MATCH(K1339,coa_Name,0)),"")="Cash",1,0),0)</f>
        <v/>
      </c>
      <c r="R1339" s="58">
        <f>IF((P1339-Q1339)=0,"",IFERROR(INDEX(coa_CF,MATCH(IF((P1339-Q1339)=1,K1339,I1339),coa_Name,0)),"Operating"))</f>
        <v/>
      </c>
      <c r="S1339" s="95">
        <f>IF((P1339-Q1339)=1,L1339,IF((P1339-Q1339)=-1,-J1339,0))</f>
        <v/>
      </c>
      <c r="T1339" s="95">
        <f>IF((P1339-Q1339)=1,N1339,IF((P1339-Q1339)=-1,-M1339,0))</f>
        <v/>
      </c>
      <c r="U1339" s="101">
        <f>IF(AND(H1339=1,LedAcct&lt;&gt;""),IF(AND(E1339&gt;=LedFrom,E1339&lt;=LedTo,OR(I1339=LedAcct,K1339=LedAcct,AND(LedAcct=acctTax,M1339+N1339&lt;&gt;0))),E1339*10000+B1339,""),"")</f>
        <v/>
      </c>
    </row>
    <row r="1340">
      <c r="B1340" s="101" t="n">
        <v>1334</v>
      </c>
      <c r="C1340" s="58" t="inlineStr">
        <is>
          <t>Transaction</t>
        </is>
      </c>
      <c r="D1340" s="58">
        <f>IF(H1340=1,INDEX(tx_ID,1334)&amp;"","")</f>
        <v/>
      </c>
      <c r="E1340" s="94">
        <f>IF(H1340=1,INDEX(tx_Date,1334),"")</f>
        <v/>
      </c>
      <c r="F1340" s="58">
        <f>IF(H1340=1,INDEX(tx_Desc,1334)&amp;"","")</f>
        <v/>
      </c>
      <c r="G1340" s="58">
        <f>IF(H1340=1,IF(INDEX(tx_Cust,1334)&amp;""&lt;&gt;"",INDEX(tx_Cust,1334)&amp;"",INDEX(tx_Vend,1334)&amp;""),"")</f>
        <v/>
      </c>
      <c r="H1340" s="101">
        <f>IFERROR(N(INDEX(tx_Posted,1334)),0)</f>
        <v/>
      </c>
      <c r="I1340" s="58">
        <f>IF(H1340=1,INDEX(tx_DrAcct,1334)&amp;"","")</f>
        <v/>
      </c>
      <c r="J1340" s="95">
        <f>IF(H1340=1,INDEX(tx_DrAmt,1334),0)</f>
        <v/>
      </c>
      <c r="K1340" s="58">
        <f>IF(H1340=1,INDEX(tx_CrAcct,1334)&amp;"","")</f>
        <v/>
      </c>
      <c r="L1340" s="95">
        <f>IF(H1340=1,INDEX(tx_CrAmt,1334),0)</f>
        <v/>
      </c>
      <c r="M1340" s="95">
        <f>IF(H1340=1,INDEX(tx_TaxDr,1334),0)</f>
        <v/>
      </c>
      <c r="N1340" s="95">
        <f>IF(H1340=1,INDEX(tx_TaxCr,1334),0)</f>
        <v/>
      </c>
      <c r="O1340" s="101">
        <f>IF(H1340=1,IF(E1340&lt;FYStart,0,IF(E1340&gt;FYEnd,13,YEAR(E1340)*12+MONTH(E1340)-FYYM+1)),"")</f>
        <v/>
      </c>
      <c r="P1340" s="101">
        <f>IF(H1340=1,IF(IFERROR(INDEX(coa_CF,MATCH(I1340,coa_Name,0)),"")="Cash",1,0),0)</f>
        <v/>
      </c>
      <c r="Q1340" s="101">
        <f>IF(H1340=1,IF(IFERROR(INDEX(coa_CF,MATCH(K1340,coa_Name,0)),"")="Cash",1,0),0)</f>
        <v/>
      </c>
      <c r="R1340" s="58">
        <f>IF((P1340-Q1340)=0,"",IFERROR(INDEX(coa_CF,MATCH(IF((P1340-Q1340)=1,K1340,I1340),coa_Name,0)),"Operating"))</f>
        <v/>
      </c>
      <c r="S1340" s="95">
        <f>IF((P1340-Q1340)=1,L1340,IF((P1340-Q1340)=-1,-J1340,0))</f>
        <v/>
      </c>
      <c r="T1340" s="95">
        <f>IF((P1340-Q1340)=1,N1340,IF((P1340-Q1340)=-1,-M1340,0))</f>
        <v/>
      </c>
      <c r="U1340" s="101">
        <f>IF(AND(H1340=1,LedAcct&lt;&gt;""),IF(AND(E1340&gt;=LedFrom,E1340&lt;=LedTo,OR(I1340=LedAcct,K1340=LedAcct,AND(LedAcct=acctTax,M1340+N1340&lt;&gt;0))),E1340*10000+B1340,""),"")</f>
        <v/>
      </c>
    </row>
    <row r="1341">
      <c r="B1341" s="101" t="n">
        <v>1335</v>
      </c>
      <c r="C1341" s="58" t="inlineStr">
        <is>
          <t>Transaction</t>
        </is>
      </c>
      <c r="D1341" s="58">
        <f>IF(H1341=1,INDEX(tx_ID,1335)&amp;"","")</f>
        <v/>
      </c>
      <c r="E1341" s="94">
        <f>IF(H1341=1,INDEX(tx_Date,1335),"")</f>
        <v/>
      </c>
      <c r="F1341" s="58">
        <f>IF(H1341=1,INDEX(tx_Desc,1335)&amp;"","")</f>
        <v/>
      </c>
      <c r="G1341" s="58">
        <f>IF(H1341=1,IF(INDEX(tx_Cust,1335)&amp;""&lt;&gt;"",INDEX(tx_Cust,1335)&amp;"",INDEX(tx_Vend,1335)&amp;""),"")</f>
        <v/>
      </c>
      <c r="H1341" s="101">
        <f>IFERROR(N(INDEX(tx_Posted,1335)),0)</f>
        <v/>
      </c>
      <c r="I1341" s="58">
        <f>IF(H1341=1,INDEX(tx_DrAcct,1335)&amp;"","")</f>
        <v/>
      </c>
      <c r="J1341" s="95">
        <f>IF(H1341=1,INDEX(tx_DrAmt,1335),0)</f>
        <v/>
      </c>
      <c r="K1341" s="58">
        <f>IF(H1341=1,INDEX(tx_CrAcct,1335)&amp;"","")</f>
        <v/>
      </c>
      <c r="L1341" s="95">
        <f>IF(H1341=1,INDEX(tx_CrAmt,1335),0)</f>
        <v/>
      </c>
      <c r="M1341" s="95">
        <f>IF(H1341=1,INDEX(tx_TaxDr,1335),0)</f>
        <v/>
      </c>
      <c r="N1341" s="95">
        <f>IF(H1341=1,INDEX(tx_TaxCr,1335),0)</f>
        <v/>
      </c>
      <c r="O1341" s="101">
        <f>IF(H1341=1,IF(E1341&lt;FYStart,0,IF(E1341&gt;FYEnd,13,YEAR(E1341)*12+MONTH(E1341)-FYYM+1)),"")</f>
        <v/>
      </c>
      <c r="P1341" s="101">
        <f>IF(H1341=1,IF(IFERROR(INDEX(coa_CF,MATCH(I1341,coa_Name,0)),"")="Cash",1,0),0)</f>
        <v/>
      </c>
      <c r="Q1341" s="101">
        <f>IF(H1341=1,IF(IFERROR(INDEX(coa_CF,MATCH(K1341,coa_Name,0)),"")="Cash",1,0),0)</f>
        <v/>
      </c>
      <c r="R1341" s="58">
        <f>IF((P1341-Q1341)=0,"",IFERROR(INDEX(coa_CF,MATCH(IF((P1341-Q1341)=1,K1341,I1341),coa_Name,0)),"Operating"))</f>
        <v/>
      </c>
      <c r="S1341" s="95">
        <f>IF((P1341-Q1341)=1,L1341,IF((P1341-Q1341)=-1,-J1341,0))</f>
        <v/>
      </c>
      <c r="T1341" s="95">
        <f>IF((P1341-Q1341)=1,N1341,IF((P1341-Q1341)=-1,-M1341,0))</f>
        <v/>
      </c>
      <c r="U1341" s="101">
        <f>IF(AND(H1341=1,LedAcct&lt;&gt;""),IF(AND(E1341&gt;=LedFrom,E1341&lt;=LedTo,OR(I1341=LedAcct,K1341=LedAcct,AND(LedAcct=acctTax,M1341+N1341&lt;&gt;0))),E1341*10000+B1341,""),"")</f>
        <v/>
      </c>
    </row>
    <row r="1342">
      <c r="B1342" s="101" t="n">
        <v>1336</v>
      </c>
      <c r="C1342" s="58" t="inlineStr">
        <is>
          <t>Transaction</t>
        </is>
      </c>
      <c r="D1342" s="58">
        <f>IF(H1342=1,INDEX(tx_ID,1336)&amp;"","")</f>
        <v/>
      </c>
      <c r="E1342" s="94">
        <f>IF(H1342=1,INDEX(tx_Date,1336),"")</f>
        <v/>
      </c>
      <c r="F1342" s="58">
        <f>IF(H1342=1,INDEX(tx_Desc,1336)&amp;"","")</f>
        <v/>
      </c>
      <c r="G1342" s="58">
        <f>IF(H1342=1,IF(INDEX(tx_Cust,1336)&amp;""&lt;&gt;"",INDEX(tx_Cust,1336)&amp;"",INDEX(tx_Vend,1336)&amp;""),"")</f>
        <v/>
      </c>
      <c r="H1342" s="101">
        <f>IFERROR(N(INDEX(tx_Posted,1336)),0)</f>
        <v/>
      </c>
      <c r="I1342" s="58">
        <f>IF(H1342=1,INDEX(tx_DrAcct,1336)&amp;"","")</f>
        <v/>
      </c>
      <c r="J1342" s="95">
        <f>IF(H1342=1,INDEX(tx_DrAmt,1336),0)</f>
        <v/>
      </c>
      <c r="K1342" s="58">
        <f>IF(H1342=1,INDEX(tx_CrAcct,1336)&amp;"","")</f>
        <v/>
      </c>
      <c r="L1342" s="95">
        <f>IF(H1342=1,INDEX(tx_CrAmt,1336),0)</f>
        <v/>
      </c>
      <c r="M1342" s="95">
        <f>IF(H1342=1,INDEX(tx_TaxDr,1336),0)</f>
        <v/>
      </c>
      <c r="N1342" s="95">
        <f>IF(H1342=1,INDEX(tx_TaxCr,1336),0)</f>
        <v/>
      </c>
      <c r="O1342" s="101">
        <f>IF(H1342=1,IF(E1342&lt;FYStart,0,IF(E1342&gt;FYEnd,13,YEAR(E1342)*12+MONTH(E1342)-FYYM+1)),"")</f>
        <v/>
      </c>
      <c r="P1342" s="101">
        <f>IF(H1342=1,IF(IFERROR(INDEX(coa_CF,MATCH(I1342,coa_Name,0)),"")="Cash",1,0),0)</f>
        <v/>
      </c>
      <c r="Q1342" s="101">
        <f>IF(H1342=1,IF(IFERROR(INDEX(coa_CF,MATCH(K1342,coa_Name,0)),"")="Cash",1,0),0)</f>
        <v/>
      </c>
      <c r="R1342" s="58">
        <f>IF((P1342-Q1342)=0,"",IFERROR(INDEX(coa_CF,MATCH(IF((P1342-Q1342)=1,K1342,I1342),coa_Name,0)),"Operating"))</f>
        <v/>
      </c>
      <c r="S1342" s="95">
        <f>IF((P1342-Q1342)=1,L1342,IF((P1342-Q1342)=-1,-J1342,0))</f>
        <v/>
      </c>
      <c r="T1342" s="95">
        <f>IF((P1342-Q1342)=1,N1342,IF((P1342-Q1342)=-1,-M1342,0))</f>
        <v/>
      </c>
      <c r="U1342" s="101">
        <f>IF(AND(H1342=1,LedAcct&lt;&gt;""),IF(AND(E1342&gt;=LedFrom,E1342&lt;=LedTo,OR(I1342=LedAcct,K1342=LedAcct,AND(LedAcct=acctTax,M1342+N1342&lt;&gt;0))),E1342*10000+B1342,""),"")</f>
        <v/>
      </c>
    </row>
    <row r="1343">
      <c r="B1343" s="101" t="n">
        <v>1337</v>
      </c>
      <c r="C1343" s="58" t="inlineStr">
        <is>
          <t>Transaction</t>
        </is>
      </c>
      <c r="D1343" s="58">
        <f>IF(H1343=1,INDEX(tx_ID,1337)&amp;"","")</f>
        <v/>
      </c>
      <c r="E1343" s="94">
        <f>IF(H1343=1,INDEX(tx_Date,1337),"")</f>
        <v/>
      </c>
      <c r="F1343" s="58">
        <f>IF(H1343=1,INDEX(tx_Desc,1337)&amp;"","")</f>
        <v/>
      </c>
      <c r="G1343" s="58">
        <f>IF(H1343=1,IF(INDEX(tx_Cust,1337)&amp;""&lt;&gt;"",INDEX(tx_Cust,1337)&amp;"",INDEX(tx_Vend,1337)&amp;""),"")</f>
        <v/>
      </c>
      <c r="H1343" s="101">
        <f>IFERROR(N(INDEX(tx_Posted,1337)),0)</f>
        <v/>
      </c>
      <c r="I1343" s="58">
        <f>IF(H1343=1,INDEX(tx_DrAcct,1337)&amp;"","")</f>
        <v/>
      </c>
      <c r="J1343" s="95">
        <f>IF(H1343=1,INDEX(tx_DrAmt,1337),0)</f>
        <v/>
      </c>
      <c r="K1343" s="58">
        <f>IF(H1343=1,INDEX(tx_CrAcct,1337)&amp;"","")</f>
        <v/>
      </c>
      <c r="L1343" s="95">
        <f>IF(H1343=1,INDEX(tx_CrAmt,1337),0)</f>
        <v/>
      </c>
      <c r="M1343" s="95">
        <f>IF(H1343=1,INDEX(tx_TaxDr,1337),0)</f>
        <v/>
      </c>
      <c r="N1343" s="95">
        <f>IF(H1343=1,INDEX(tx_TaxCr,1337),0)</f>
        <v/>
      </c>
      <c r="O1343" s="101">
        <f>IF(H1343=1,IF(E1343&lt;FYStart,0,IF(E1343&gt;FYEnd,13,YEAR(E1343)*12+MONTH(E1343)-FYYM+1)),"")</f>
        <v/>
      </c>
      <c r="P1343" s="101">
        <f>IF(H1343=1,IF(IFERROR(INDEX(coa_CF,MATCH(I1343,coa_Name,0)),"")="Cash",1,0),0)</f>
        <v/>
      </c>
      <c r="Q1343" s="101">
        <f>IF(H1343=1,IF(IFERROR(INDEX(coa_CF,MATCH(K1343,coa_Name,0)),"")="Cash",1,0),0)</f>
        <v/>
      </c>
      <c r="R1343" s="58">
        <f>IF((P1343-Q1343)=0,"",IFERROR(INDEX(coa_CF,MATCH(IF((P1343-Q1343)=1,K1343,I1343),coa_Name,0)),"Operating"))</f>
        <v/>
      </c>
      <c r="S1343" s="95">
        <f>IF((P1343-Q1343)=1,L1343,IF((P1343-Q1343)=-1,-J1343,0))</f>
        <v/>
      </c>
      <c r="T1343" s="95">
        <f>IF((P1343-Q1343)=1,N1343,IF((P1343-Q1343)=-1,-M1343,0))</f>
        <v/>
      </c>
      <c r="U1343" s="101">
        <f>IF(AND(H1343=1,LedAcct&lt;&gt;""),IF(AND(E1343&gt;=LedFrom,E1343&lt;=LedTo,OR(I1343=LedAcct,K1343=LedAcct,AND(LedAcct=acctTax,M1343+N1343&lt;&gt;0))),E1343*10000+B1343,""),"")</f>
        <v/>
      </c>
    </row>
    <row r="1344">
      <c r="B1344" s="101" t="n">
        <v>1338</v>
      </c>
      <c r="C1344" s="58" t="inlineStr">
        <is>
          <t>Transaction</t>
        </is>
      </c>
      <c r="D1344" s="58">
        <f>IF(H1344=1,INDEX(tx_ID,1338)&amp;"","")</f>
        <v/>
      </c>
      <c r="E1344" s="94">
        <f>IF(H1344=1,INDEX(tx_Date,1338),"")</f>
        <v/>
      </c>
      <c r="F1344" s="58">
        <f>IF(H1344=1,INDEX(tx_Desc,1338)&amp;"","")</f>
        <v/>
      </c>
      <c r="G1344" s="58">
        <f>IF(H1344=1,IF(INDEX(tx_Cust,1338)&amp;""&lt;&gt;"",INDEX(tx_Cust,1338)&amp;"",INDEX(tx_Vend,1338)&amp;""),"")</f>
        <v/>
      </c>
      <c r="H1344" s="101">
        <f>IFERROR(N(INDEX(tx_Posted,1338)),0)</f>
        <v/>
      </c>
      <c r="I1344" s="58">
        <f>IF(H1344=1,INDEX(tx_DrAcct,1338)&amp;"","")</f>
        <v/>
      </c>
      <c r="J1344" s="95">
        <f>IF(H1344=1,INDEX(tx_DrAmt,1338),0)</f>
        <v/>
      </c>
      <c r="K1344" s="58">
        <f>IF(H1344=1,INDEX(tx_CrAcct,1338)&amp;"","")</f>
        <v/>
      </c>
      <c r="L1344" s="95">
        <f>IF(H1344=1,INDEX(tx_CrAmt,1338),0)</f>
        <v/>
      </c>
      <c r="M1344" s="95">
        <f>IF(H1344=1,INDEX(tx_TaxDr,1338),0)</f>
        <v/>
      </c>
      <c r="N1344" s="95">
        <f>IF(H1344=1,INDEX(tx_TaxCr,1338),0)</f>
        <v/>
      </c>
      <c r="O1344" s="101">
        <f>IF(H1344=1,IF(E1344&lt;FYStart,0,IF(E1344&gt;FYEnd,13,YEAR(E1344)*12+MONTH(E1344)-FYYM+1)),"")</f>
        <v/>
      </c>
      <c r="P1344" s="101">
        <f>IF(H1344=1,IF(IFERROR(INDEX(coa_CF,MATCH(I1344,coa_Name,0)),"")="Cash",1,0),0)</f>
        <v/>
      </c>
      <c r="Q1344" s="101">
        <f>IF(H1344=1,IF(IFERROR(INDEX(coa_CF,MATCH(K1344,coa_Name,0)),"")="Cash",1,0),0)</f>
        <v/>
      </c>
      <c r="R1344" s="58">
        <f>IF((P1344-Q1344)=0,"",IFERROR(INDEX(coa_CF,MATCH(IF((P1344-Q1344)=1,K1344,I1344),coa_Name,0)),"Operating"))</f>
        <v/>
      </c>
      <c r="S1344" s="95">
        <f>IF((P1344-Q1344)=1,L1344,IF((P1344-Q1344)=-1,-J1344,0))</f>
        <v/>
      </c>
      <c r="T1344" s="95">
        <f>IF((P1344-Q1344)=1,N1344,IF((P1344-Q1344)=-1,-M1344,0))</f>
        <v/>
      </c>
      <c r="U1344" s="101">
        <f>IF(AND(H1344=1,LedAcct&lt;&gt;""),IF(AND(E1344&gt;=LedFrom,E1344&lt;=LedTo,OR(I1344=LedAcct,K1344=LedAcct,AND(LedAcct=acctTax,M1344+N1344&lt;&gt;0))),E1344*10000+B1344,""),"")</f>
        <v/>
      </c>
    </row>
    <row r="1345">
      <c r="B1345" s="101" t="n">
        <v>1339</v>
      </c>
      <c r="C1345" s="58" t="inlineStr">
        <is>
          <t>Transaction</t>
        </is>
      </c>
      <c r="D1345" s="58">
        <f>IF(H1345=1,INDEX(tx_ID,1339)&amp;"","")</f>
        <v/>
      </c>
      <c r="E1345" s="94">
        <f>IF(H1345=1,INDEX(tx_Date,1339),"")</f>
        <v/>
      </c>
      <c r="F1345" s="58">
        <f>IF(H1345=1,INDEX(tx_Desc,1339)&amp;"","")</f>
        <v/>
      </c>
      <c r="G1345" s="58">
        <f>IF(H1345=1,IF(INDEX(tx_Cust,1339)&amp;""&lt;&gt;"",INDEX(tx_Cust,1339)&amp;"",INDEX(tx_Vend,1339)&amp;""),"")</f>
        <v/>
      </c>
      <c r="H1345" s="101">
        <f>IFERROR(N(INDEX(tx_Posted,1339)),0)</f>
        <v/>
      </c>
      <c r="I1345" s="58">
        <f>IF(H1345=1,INDEX(tx_DrAcct,1339)&amp;"","")</f>
        <v/>
      </c>
      <c r="J1345" s="95">
        <f>IF(H1345=1,INDEX(tx_DrAmt,1339),0)</f>
        <v/>
      </c>
      <c r="K1345" s="58">
        <f>IF(H1345=1,INDEX(tx_CrAcct,1339)&amp;"","")</f>
        <v/>
      </c>
      <c r="L1345" s="95">
        <f>IF(H1345=1,INDEX(tx_CrAmt,1339),0)</f>
        <v/>
      </c>
      <c r="M1345" s="95">
        <f>IF(H1345=1,INDEX(tx_TaxDr,1339),0)</f>
        <v/>
      </c>
      <c r="N1345" s="95">
        <f>IF(H1345=1,INDEX(tx_TaxCr,1339),0)</f>
        <v/>
      </c>
      <c r="O1345" s="101">
        <f>IF(H1345=1,IF(E1345&lt;FYStart,0,IF(E1345&gt;FYEnd,13,YEAR(E1345)*12+MONTH(E1345)-FYYM+1)),"")</f>
        <v/>
      </c>
      <c r="P1345" s="101">
        <f>IF(H1345=1,IF(IFERROR(INDEX(coa_CF,MATCH(I1345,coa_Name,0)),"")="Cash",1,0),0)</f>
        <v/>
      </c>
      <c r="Q1345" s="101">
        <f>IF(H1345=1,IF(IFERROR(INDEX(coa_CF,MATCH(K1345,coa_Name,0)),"")="Cash",1,0),0)</f>
        <v/>
      </c>
      <c r="R1345" s="58">
        <f>IF((P1345-Q1345)=0,"",IFERROR(INDEX(coa_CF,MATCH(IF((P1345-Q1345)=1,K1345,I1345),coa_Name,0)),"Operating"))</f>
        <v/>
      </c>
      <c r="S1345" s="95">
        <f>IF((P1345-Q1345)=1,L1345,IF((P1345-Q1345)=-1,-J1345,0))</f>
        <v/>
      </c>
      <c r="T1345" s="95">
        <f>IF((P1345-Q1345)=1,N1345,IF((P1345-Q1345)=-1,-M1345,0))</f>
        <v/>
      </c>
      <c r="U1345" s="101">
        <f>IF(AND(H1345=1,LedAcct&lt;&gt;""),IF(AND(E1345&gt;=LedFrom,E1345&lt;=LedTo,OR(I1345=LedAcct,K1345=LedAcct,AND(LedAcct=acctTax,M1345+N1345&lt;&gt;0))),E1345*10000+B1345,""),"")</f>
        <v/>
      </c>
    </row>
    <row r="1346">
      <c r="B1346" s="101" t="n">
        <v>1340</v>
      </c>
      <c r="C1346" s="58" t="inlineStr">
        <is>
          <t>Transaction</t>
        </is>
      </c>
      <c r="D1346" s="58">
        <f>IF(H1346=1,INDEX(tx_ID,1340)&amp;"","")</f>
        <v/>
      </c>
      <c r="E1346" s="94">
        <f>IF(H1346=1,INDEX(tx_Date,1340),"")</f>
        <v/>
      </c>
      <c r="F1346" s="58">
        <f>IF(H1346=1,INDEX(tx_Desc,1340)&amp;"","")</f>
        <v/>
      </c>
      <c r="G1346" s="58">
        <f>IF(H1346=1,IF(INDEX(tx_Cust,1340)&amp;""&lt;&gt;"",INDEX(tx_Cust,1340)&amp;"",INDEX(tx_Vend,1340)&amp;""),"")</f>
        <v/>
      </c>
      <c r="H1346" s="101">
        <f>IFERROR(N(INDEX(tx_Posted,1340)),0)</f>
        <v/>
      </c>
      <c r="I1346" s="58">
        <f>IF(H1346=1,INDEX(tx_DrAcct,1340)&amp;"","")</f>
        <v/>
      </c>
      <c r="J1346" s="95">
        <f>IF(H1346=1,INDEX(tx_DrAmt,1340),0)</f>
        <v/>
      </c>
      <c r="K1346" s="58">
        <f>IF(H1346=1,INDEX(tx_CrAcct,1340)&amp;"","")</f>
        <v/>
      </c>
      <c r="L1346" s="95">
        <f>IF(H1346=1,INDEX(tx_CrAmt,1340),0)</f>
        <v/>
      </c>
      <c r="M1346" s="95">
        <f>IF(H1346=1,INDEX(tx_TaxDr,1340),0)</f>
        <v/>
      </c>
      <c r="N1346" s="95">
        <f>IF(H1346=1,INDEX(tx_TaxCr,1340),0)</f>
        <v/>
      </c>
      <c r="O1346" s="101">
        <f>IF(H1346=1,IF(E1346&lt;FYStart,0,IF(E1346&gt;FYEnd,13,YEAR(E1346)*12+MONTH(E1346)-FYYM+1)),"")</f>
        <v/>
      </c>
      <c r="P1346" s="101">
        <f>IF(H1346=1,IF(IFERROR(INDEX(coa_CF,MATCH(I1346,coa_Name,0)),"")="Cash",1,0),0)</f>
        <v/>
      </c>
      <c r="Q1346" s="101">
        <f>IF(H1346=1,IF(IFERROR(INDEX(coa_CF,MATCH(K1346,coa_Name,0)),"")="Cash",1,0),0)</f>
        <v/>
      </c>
      <c r="R1346" s="58">
        <f>IF((P1346-Q1346)=0,"",IFERROR(INDEX(coa_CF,MATCH(IF((P1346-Q1346)=1,K1346,I1346),coa_Name,0)),"Operating"))</f>
        <v/>
      </c>
      <c r="S1346" s="95">
        <f>IF((P1346-Q1346)=1,L1346,IF((P1346-Q1346)=-1,-J1346,0))</f>
        <v/>
      </c>
      <c r="T1346" s="95">
        <f>IF((P1346-Q1346)=1,N1346,IF((P1346-Q1346)=-1,-M1346,0))</f>
        <v/>
      </c>
      <c r="U1346" s="101">
        <f>IF(AND(H1346=1,LedAcct&lt;&gt;""),IF(AND(E1346&gt;=LedFrom,E1346&lt;=LedTo,OR(I1346=LedAcct,K1346=LedAcct,AND(LedAcct=acctTax,M1346+N1346&lt;&gt;0))),E1346*10000+B1346,""),"")</f>
        <v/>
      </c>
    </row>
    <row r="1347">
      <c r="B1347" s="101" t="n">
        <v>1341</v>
      </c>
      <c r="C1347" s="58" t="inlineStr">
        <is>
          <t>Transaction</t>
        </is>
      </c>
      <c r="D1347" s="58">
        <f>IF(H1347=1,INDEX(tx_ID,1341)&amp;"","")</f>
        <v/>
      </c>
      <c r="E1347" s="94">
        <f>IF(H1347=1,INDEX(tx_Date,1341),"")</f>
        <v/>
      </c>
      <c r="F1347" s="58">
        <f>IF(H1347=1,INDEX(tx_Desc,1341)&amp;"","")</f>
        <v/>
      </c>
      <c r="G1347" s="58">
        <f>IF(H1347=1,IF(INDEX(tx_Cust,1341)&amp;""&lt;&gt;"",INDEX(tx_Cust,1341)&amp;"",INDEX(tx_Vend,1341)&amp;""),"")</f>
        <v/>
      </c>
      <c r="H1347" s="101">
        <f>IFERROR(N(INDEX(tx_Posted,1341)),0)</f>
        <v/>
      </c>
      <c r="I1347" s="58">
        <f>IF(H1347=1,INDEX(tx_DrAcct,1341)&amp;"","")</f>
        <v/>
      </c>
      <c r="J1347" s="95">
        <f>IF(H1347=1,INDEX(tx_DrAmt,1341),0)</f>
        <v/>
      </c>
      <c r="K1347" s="58">
        <f>IF(H1347=1,INDEX(tx_CrAcct,1341)&amp;"","")</f>
        <v/>
      </c>
      <c r="L1347" s="95">
        <f>IF(H1347=1,INDEX(tx_CrAmt,1341),0)</f>
        <v/>
      </c>
      <c r="M1347" s="95">
        <f>IF(H1347=1,INDEX(tx_TaxDr,1341),0)</f>
        <v/>
      </c>
      <c r="N1347" s="95">
        <f>IF(H1347=1,INDEX(tx_TaxCr,1341),0)</f>
        <v/>
      </c>
      <c r="O1347" s="101">
        <f>IF(H1347=1,IF(E1347&lt;FYStart,0,IF(E1347&gt;FYEnd,13,YEAR(E1347)*12+MONTH(E1347)-FYYM+1)),"")</f>
        <v/>
      </c>
      <c r="P1347" s="101">
        <f>IF(H1347=1,IF(IFERROR(INDEX(coa_CF,MATCH(I1347,coa_Name,0)),"")="Cash",1,0),0)</f>
        <v/>
      </c>
      <c r="Q1347" s="101">
        <f>IF(H1347=1,IF(IFERROR(INDEX(coa_CF,MATCH(K1347,coa_Name,0)),"")="Cash",1,0),0)</f>
        <v/>
      </c>
      <c r="R1347" s="58">
        <f>IF((P1347-Q1347)=0,"",IFERROR(INDEX(coa_CF,MATCH(IF((P1347-Q1347)=1,K1347,I1347),coa_Name,0)),"Operating"))</f>
        <v/>
      </c>
      <c r="S1347" s="95">
        <f>IF((P1347-Q1347)=1,L1347,IF((P1347-Q1347)=-1,-J1347,0))</f>
        <v/>
      </c>
      <c r="T1347" s="95">
        <f>IF((P1347-Q1347)=1,N1347,IF((P1347-Q1347)=-1,-M1347,0))</f>
        <v/>
      </c>
      <c r="U1347" s="101">
        <f>IF(AND(H1347=1,LedAcct&lt;&gt;""),IF(AND(E1347&gt;=LedFrom,E1347&lt;=LedTo,OR(I1347=LedAcct,K1347=LedAcct,AND(LedAcct=acctTax,M1347+N1347&lt;&gt;0))),E1347*10000+B1347,""),"")</f>
        <v/>
      </c>
    </row>
    <row r="1348">
      <c r="B1348" s="101" t="n">
        <v>1342</v>
      </c>
      <c r="C1348" s="58" t="inlineStr">
        <is>
          <t>Transaction</t>
        </is>
      </c>
      <c r="D1348" s="58">
        <f>IF(H1348=1,INDEX(tx_ID,1342)&amp;"","")</f>
        <v/>
      </c>
      <c r="E1348" s="94">
        <f>IF(H1348=1,INDEX(tx_Date,1342),"")</f>
        <v/>
      </c>
      <c r="F1348" s="58">
        <f>IF(H1348=1,INDEX(tx_Desc,1342)&amp;"","")</f>
        <v/>
      </c>
      <c r="G1348" s="58">
        <f>IF(H1348=1,IF(INDEX(tx_Cust,1342)&amp;""&lt;&gt;"",INDEX(tx_Cust,1342)&amp;"",INDEX(tx_Vend,1342)&amp;""),"")</f>
        <v/>
      </c>
      <c r="H1348" s="101">
        <f>IFERROR(N(INDEX(tx_Posted,1342)),0)</f>
        <v/>
      </c>
      <c r="I1348" s="58">
        <f>IF(H1348=1,INDEX(tx_DrAcct,1342)&amp;"","")</f>
        <v/>
      </c>
      <c r="J1348" s="95">
        <f>IF(H1348=1,INDEX(tx_DrAmt,1342),0)</f>
        <v/>
      </c>
      <c r="K1348" s="58">
        <f>IF(H1348=1,INDEX(tx_CrAcct,1342)&amp;"","")</f>
        <v/>
      </c>
      <c r="L1348" s="95">
        <f>IF(H1348=1,INDEX(tx_CrAmt,1342),0)</f>
        <v/>
      </c>
      <c r="M1348" s="95">
        <f>IF(H1348=1,INDEX(tx_TaxDr,1342),0)</f>
        <v/>
      </c>
      <c r="N1348" s="95">
        <f>IF(H1348=1,INDEX(tx_TaxCr,1342),0)</f>
        <v/>
      </c>
      <c r="O1348" s="101">
        <f>IF(H1348=1,IF(E1348&lt;FYStart,0,IF(E1348&gt;FYEnd,13,YEAR(E1348)*12+MONTH(E1348)-FYYM+1)),"")</f>
        <v/>
      </c>
      <c r="P1348" s="101">
        <f>IF(H1348=1,IF(IFERROR(INDEX(coa_CF,MATCH(I1348,coa_Name,0)),"")="Cash",1,0),0)</f>
        <v/>
      </c>
      <c r="Q1348" s="101">
        <f>IF(H1348=1,IF(IFERROR(INDEX(coa_CF,MATCH(K1348,coa_Name,0)),"")="Cash",1,0),0)</f>
        <v/>
      </c>
      <c r="R1348" s="58">
        <f>IF((P1348-Q1348)=0,"",IFERROR(INDEX(coa_CF,MATCH(IF((P1348-Q1348)=1,K1348,I1348),coa_Name,0)),"Operating"))</f>
        <v/>
      </c>
      <c r="S1348" s="95">
        <f>IF((P1348-Q1348)=1,L1348,IF((P1348-Q1348)=-1,-J1348,0))</f>
        <v/>
      </c>
      <c r="T1348" s="95">
        <f>IF((P1348-Q1348)=1,N1348,IF((P1348-Q1348)=-1,-M1348,0))</f>
        <v/>
      </c>
      <c r="U1348" s="101">
        <f>IF(AND(H1348=1,LedAcct&lt;&gt;""),IF(AND(E1348&gt;=LedFrom,E1348&lt;=LedTo,OR(I1348=LedAcct,K1348=LedAcct,AND(LedAcct=acctTax,M1348+N1348&lt;&gt;0))),E1348*10000+B1348,""),"")</f>
        <v/>
      </c>
    </row>
    <row r="1349">
      <c r="B1349" s="101" t="n">
        <v>1343</v>
      </c>
      <c r="C1349" s="58" t="inlineStr">
        <is>
          <t>Transaction</t>
        </is>
      </c>
      <c r="D1349" s="58">
        <f>IF(H1349=1,INDEX(tx_ID,1343)&amp;"","")</f>
        <v/>
      </c>
      <c r="E1349" s="94">
        <f>IF(H1349=1,INDEX(tx_Date,1343),"")</f>
        <v/>
      </c>
      <c r="F1349" s="58">
        <f>IF(H1349=1,INDEX(tx_Desc,1343)&amp;"","")</f>
        <v/>
      </c>
      <c r="G1349" s="58">
        <f>IF(H1349=1,IF(INDEX(tx_Cust,1343)&amp;""&lt;&gt;"",INDEX(tx_Cust,1343)&amp;"",INDEX(tx_Vend,1343)&amp;""),"")</f>
        <v/>
      </c>
      <c r="H1349" s="101">
        <f>IFERROR(N(INDEX(tx_Posted,1343)),0)</f>
        <v/>
      </c>
      <c r="I1349" s="58">
        <f>IF(H1349=1,INDEX(tx_DrAcct,1343)&amp;"","")</f>
        <v/>
      </c>
      <c r="J1349" s="95">
        <f>IF(H1349=1,INDEX(tx_DrAmt,1343),0)</f>
        <v/>
      </c>
      <c r="K1349" s="58">
        <f>IF(H1349=1,INDEX(tx_CrAcct,1343)&amp;"","")</f>
        <v/>
      </c>
      <c r="L1349" s="95">
        <f>IF(H1349=1,INDEX(tx_CrAmt,1343),0)</f>
        <v/>
      </c>
      <c r="M1349" s="95">
        <f>IF(H1349=1,INDEX(tx_TaxDr,1343),0)</f>
        <v/>
      </c>
      <c r="N1349" s="95">
        <f>IF(H1349=1,INDEX(tx_TaxCr,1343),0)</f>
        <v/>
      </c>
      <c r="O1349" s="101">
        <f>IF(H1349=1,IF(E1349&lt;FYStart,0,IF(E1349&gt;FYEnd,13,YEAR(E1349)*12+MONTH(E1349)-FYYM+1)),"")</f>
        <v/>
      </c>
      <c r="P1349" s="101">
        <f>IF(H1349=1,IF(IFERROR(INDEX(coa_CF,MATCH(I1349,coa_Name,0)),"")="Cash",1,0),0)</f>
        <v/>
      </c>
      <c r="Q1349" s="101">
        <f>IF(H1349=1,IF(IFERROR(INDEX(coa_CF,MATCH(K1349,coa_Name,0)),"")="Cash",1,0),0)</f>
        <v/>
      </c>
      <c r="R1349" s="58">
        <f>IF((P1349-Q1349)=0,"",IFERROR(INDEX(coa_CF,MATCH(IF((P1349-Q1349)=1,K1349,I1349),coa_Name,0)),"Operating"))</f>
        <v/>
      </c>
      <c r="S1349" s="95">
        <f>IF((P1349-Q1349)=1,L1349,IF((P1349-Q1349)=-1,-J1349,0))</f>
        <v/>
      </c>
      <c r="T1349" s="95">
        <f>IF((P1349-Q1349)=1,N1349,IF((P1349-Q1349)=-1,-M1349,0))</f>
        <v/>
      </c>
      <c r="U1349" s="101">
        <f>IF(AND(H1349=1,LedAcct&lt;&gt;""),IF(AND(E1349&gt;=LedFrom,E1349&lt;=LedTo,OR(I1349=LedAcct,K1349=LedAcct,AND(LedAcct=acctTax,M1349+N1349&lt;&gt;0))),E1349*10000+B1349,""),"")</f>
        <v/>
      </c>
    </row>
    <row r="1350">
      <c r="B1350" s="101" t="n">
        <v>1344</v>
      </c>
      <c r="C1350" s="58" t="inlineStr">
        <is>
          <t>Transaction</t>
        </is>
      </c>
      <c r="D1350" s="58">
        <f>IF(H1350=1,INDEX(tx_ID,1344)&amp;"","")</f>
        <v/>
      </c>
      <c r="E1350" s="94">
        <f>IF(H1350=1,INDEX(tx_Date,1344),"")</f>
        <v/>
      </c>
      <c r="F1350" s="58">
        <f>IF(H1350=1,INDEX(tx_Desc,1344)&amp;"","")</f>
        <v/>
      </c>
      <c r="G1350" s="58">
        <f>IF(H1350=1,IF(INDEX(tx_Cust,1344)&amp;""&lt;&gt;"",INDEX(tx_Cust,1344)&amp;"",INDEX(tx_Vend,1344)&amp;""),"")</f>
        <v/>
      </c>
      <c r="H1350" s="101">
        <f>IFERROR(N(INDEX(tx_Posted,1344)),0)</f>
        <v/>
      </c>
      <c r="I1350" s="58">
        <f>IF(H1350=1,INDEX(tx_DrAcct,1344)&amp;"","")</f>
        <v/>
      </c>
      <c r="J1350" s="95">
        <f>IF(H1350=1,INDEX(tx_DrAmt,1344),0)</f>
        <v/>
      </c>
      <c r="K1350" s="58">
        <f>IF(H1350=1,INDEX(tx_CrAcct,1344)&amp;"","")</f>
        <v/>
      </c>
      <c r="L1350" s="95">
        <f>IF(H1350=1,INDEX(tx_CrAmt,1344),0)</f>
        <v/>
      </c>
      <c r="M1350" s="95">
        <f>IF(H1350=1,INDEX(tx_TaxDr,1344),0)</f>
        <v/>
      </c>
      <c r="N1350" s="95">
        <f>IF(H1350=1,INDEX(tx_TaxCr,1344),0)</f>
        <v/>
      </c>
      <c r="O1350" s="101">
        <f>IF(H1350=1,IF(E1350&lt;FYStart,0,IF(E1350&gt;FYEnd,13,YEAR(E1350)*12+MONTH(E1350)-FYYM+1)),"")</f>
        <v/>
      </c>
      <c r="P1350" s="101">
        <f>IF(H1350=1,IF(IFERROR(INDEX(coa_CF,MATCH(I1350,coa_Name,0)),"")="Cash",1,0),0)</f>
        <v/>
      </c>
      <c r="Q1350" s="101">
        <f>IF(H1350=1,IF(IFERROR(INDEX(coa_CF,MATCH(K1350,coa_Name,0)),"")="Cash",1,0),0)</f>
        <v/>
      </c>
      <c r="R1350" s="58">
        <f>IF((P1350-Q1350)=0,"",IFERROR(INDEX(coa_CF,MATCH(IF((P1350-Q1350)=1,K1350,I1350),coa_Name,0)),"Operating"))</f>
        <v/>
      </c>
      <c r="S1350" s="95">
        <f>IF((P1350-Q1350)=1,L1350,IF((P1350-Q1350)=-1,-J1350,0))</f>
        <v/>
      </c>
      <c r="T1350" s="95">
        <f>IF((P1350-Q1350)=1,N1350,IF((P1350-Q1350)=-1,-M1350,0))</f>
        <v/>
      </c>
      <c r="U1350" s="101">
        <f>IF(AND(H1350=1,LedAcct&lt;&gt;""),IF(AND(E1350&gt;=LedFrom,E1350&lt;=LedTo,OR(I1350=LedAcct,K1350=LedAcct,AND(LedAcct=acctTax,M1350+N1350&lt;&gt;0))),E1350*10000+B1350,""),"")</f>
        <v/>
      </c>
    </row>
    <row r="1351">
      <c r="B1351" s="101" t="n">
        <v>1345</v>
      </c>
      <c r="C1351" s="58" t="inlineStr">
        <is>
          <t>Transaction</t>
        </is>
      </c>
      <c r="D1351" s="58">
        <f>IF(H1351=1,INDEX(tx_ID,1345)&amp;"","")</f>
        <v/>
      </c>
      <c r="E1351" s="94">
        <f>IF(H1351=1,INDEX(tx_Date,1345),"")</f>
        <v/>
      </c>
      <c r="F1351" s="58">
        <f>IF(H1351=1,INDEX(tx_Desc,1345)&amp;"","")</f>
        <v/>
      </c>
      <c r="G1351" s="58">
        <f>IF(H1351=1,IF(INDEX(tx_Cust,1345)&amp;""&lt;&gt;"",INDEX(tx_Cust,1345)&amp;"",INDEX(tx_Vend,1345)&amp;""),"")</f>
        <v/>
      </c>
      <c r="H1351" s="101">
        <f>IFERROR(N(INDEX(tx_Posted,1345)),0)</f>
        <v/>
      </c>
      <c r="I1351" s="58">
        <f>IF(H1351=1,INDEX(tx_DrAcct,1345)&amp;"","")</f>
        <v/>
      </c>
      <c r="J1351" s="95">
        <f>IF(H1351=1,INDEX(tx_DrAmt,1345),0)</f>
        <v/>
      </c>
      <c r="K1351" s="58">
        <f>IF(H1351=1,INDEX(tx_CrAcct,1345)&amp;"","")</f>
        <v/>
      </c>
      <c r="L1351" s="95">
        <f>IF(H1351=1,INDEX(tx_CrAmt,1345),0)</f>
        <v/>
      </c>
      <c r="M1351" s="95">
        <f>IF(H1351=1,INDEX(tx_TaxDr,1345),0)</f>
        <v/>
      </c>
      <c r="N1351" s="95">
        <f>IF(H1351=1,INDEX(tx_TaxCr,1345),0)</f>
        <v/>
      </c>
      <c r="O1351" s="101">
        <f>IF(H1351=1,IF(E1351&lt;FYStart,0,IF(E1351&gt;FYEnd,13,YEAR(E1351)*12+MONTH(E1351)-FYYM+1)),"")</f>
        <v/>
      </c>
      <c r="P1351" s="101">
        <f>IF(H1351=1,IF(IFERROR(INDEX(coa_CF,MATCH(I1351,coa_Name,0)),"")="Cash",1,0),0)</f>
        <v/>
      </c>
      <c r="Q1351" s="101">
        <f>IF(H1351=1,IF(IFERROR(INDEX(coa_CF,MATCH(K1351,coa_Name,0)),"")="Cash",1,0),0)</f>
        <v/>
      </c>
      <c r="R1351" s="58">
        <f>IF((P1351-Q1351)=0,"",IFERROR(INDEX(coa_CF,MATCH(IF((P1351-Q1351)=1,K1351,I1351),coa_Name,0)),"Operating"))</f>
        <v/>
      </c>
      <c r="S1351" s="95">
        <f>IF((P1351-Q1351)=1,L1351,IF((P1351-Q1351)=-1,-J1351,0))</f>
        <v/>
      </c>
      <c r="T1351" s="95">
        <f>IF((P1351-Q1351)=1,N1351,IF((P1351-Q1351)=-1,-M1351,0))</f>
        <v/>
      </c>
      <c r="U1351" s="101">
        <f>IF(AND(H1351=1,LedAcct&lt;&gt;""),IF(AND(E1351&gt;=LedFrom,E1351&lt;=LedTo,OR(I1351=LedAcct,K1351=LedAcct,AND(LedAcct=acctTax,M1351+N1351&lt;&gt;0))),E1351*10000+B1351,""),"")</f>
        <v/>
      </c>
    </row>
    <row r="1352">
      <c r="B1352" s="101" t="n">
        <v>1346</v>
      </c>
      <c r="C1352" s="58" t="inlineStr">
        <is>
          <t>Transaction</t>
        </is>
      </c>
      <c r="D1352" s="58">
        <f>IF(H1352=1,INDEX(tx_ID,1346)&amp;"","")</f>
        <v/>
      </c>
      <c r="E1352" s="94">
        <f>IF(H1352=1,INDEX(tx_Date,1346),"")</f>
        <v/>
      </c>
      <c r="F1352" s="58">
        <f>IF(H1352=1,INDEX(tx_Desc,1346)&amp;"","")</f>
        <v/>
      </c>
      <c r="G1352" s="58">
        <f>IF(H1352=1,IF(INDEX(tx_Cust,1346)&amp;""&lt;&gt;"",INDEX(tx_Cust,1346)&amp;"",INDEX(tx_Vend,1346)&amp;""),"")</f>
        <v/>
      </c>
      <c r="H1352" s="101">
        <f>IFERROR(N(INDEX(tx_Posted,1346)),0)</f>
        <v/>
      </c>
      <c r="I1352" s="58">
        <f>IF(H1352=1,INDEX(tx_DrAcct,1346)&amp;"","")</f>
        <v/>
      </c>
      <c r="J1352" s="95">
        <f>IF(H1352=1,INDEX(tx_DrAmt,1346),0)</f>
        <v/>
      </c>
      <c r="K1352" s="58">
        <f>IF(H1352=1,INDEX(tx_CrAcct,1346)&amp;"","")</f>
        <v/>
      </c>
      <c r="L1352" s="95">
        <f>IF(H1352=1,INDEX(tx_CrAmt,1346),0)</f>
        <v/>
      </c>
      <c r="M1352" s="95">
        <f>IF(H1352=1,INDEX(tx_TaxDr,1346),0)</f>
        <v/>
      </c>
      <c r="N1352" s="95">
        <f>IF(H1352=1,INDEX(tx_TaxCr,1346),0)</f>
        <v/>
      </c>
      <c r="O1352" s="101">
        <f>IF(H1352=1,IF(E1352&lt;FYStart,0,IF(E1352&gt;FYEnd,13,YEAR(E1352)*12+MONTH(E1352)-FYYM+1)),"")</f>
        <v/>
      </c>
      <c r="P1352" s="101">
        <f>IF(H1352=1,IF(IFERROR(INDEX(coa_CF,MATCH(I1352,coa_Name,0)),"")="Cash",1,0),0)</f>
        <v/>
      </c>
      <c r="Q1352" s="101">
        <f>IF(H1352=1,IF(IFERROR(INDEX(coa_CF,MATCH(K1352,coa_Name,0)),"")="Cash",1,0),0)</f>
        <v/>
      </c>
      <c r="R1352" s="58">
        <f>IF((P1352-Q1352)=0,"",IFERROR(INDEX(coa_CF,MATCH(IF((P1352-Q1352)=1,K1352,I1352),coa_Name,0)),"Operating"))</f>
        <v/>
      </c>
      <c r="S1352" s="95">
        <f>IF((P1352-Q1352)=1,L1352,IF((P1352-Q1352)=-1,-J1352,0))</f>
        <v/>
      </c>
      <c r="T1352" s="95">
        <f>IF((P1352-Q1352)=1,N1352,IF((P1352-Q1352)=-1,-M1352,0))</f>
        <v/>
      </c>
      <c r="U1352" s="101">
        <f>IF(AND(H1352=1,LedAcct&lt;&gt;""),IF(AND(E1352&gt;=LedFrom,E1352&lt;=LedTo,OR(I1352=LedAcct,K1352=LedAcct,AND(LedAcct=acctTax,M1352+N1352&lt;&gt;0))),E1352*10000+B1352,""),"")</f>
        <v/>
      </c>
    </row>
    <row r="1353">
      <c r="B1353" s="101" t="n">
        <v>1347</v>
      </c>
      <c r="C1353" s="58" t="inlineStr">
        <is>
          <t>Transaction</t>
        </is>
      </c>
      <c r="D1353" s="58">
        <f>IF(H1353=1,INDEX(tx_ID,1347)&amp;"","")</f>
        <v/>
      </c>
      <c r="E1353" s="94">
        <f>IF(H1353=1,INDEX(tx_Date,1347),"")</f>
        <v/>
      </c>
      <c r="F1353" s="58">
        <f>IF(H1353=1,INDEX(tx_Desc,1347)&amp;"","")</f>
        <v/>
      </c>
      <c r="G1353" s="58">
        <f>IF(H1353=1,IF(INDEX(tx_Cust,1347)&amp;""&lt;&gt;"",INDEX(tx_Cust,1347)&amp;"",INDEX(tx_Vend,1347)&amp;""),"")</f>
        <v/>
      </c>
      <c r="H1353" s="101">
        <f>IFERROR(N(INDEX(tx_Posted,1347)),0)</f>
        <v/>
      </c>
      <c r="I1353" s="58">
        <f>IF(H1353=1,INDEX(tx_DrAcct,1347)&amp;"","")</f>
        <v/>
      </c>
      <c r="J1353" s="95">
        <f>IF(H1353=1,INDEX(tx_DrAmt,1347),0)</f>
        <v/>
      </c>
      <c r="K1353" s="58">
        <f>IF(H1353=1,INDEX(tx_CrAcct,1347)&amp;"","")</f>
        <v/>
      </c>
      <c r="L1353" s="95">
        <f>IF(H1353=1,INDEX(tx_CrAmt,1347),0)</f>
        <v/>
      </c>
      <c r="M1353" s="95">
        <f>IF(H1353=1,INDEX(tx_TaxDr,1347),0)</f>
        <v/>
      </c>
      <c r="N1353" s="95">
        <f>IF(H1353=1,INDEX(tx_TaxCr,1347),0)</f>
        <v/>
      </c>
      <c r="O1353" s="101">
        <f>IF(H1353=1,IF(E1353&lt;FYStart,0,IF(E1353&gt;FYEnd,13,YEAR(E1353)*12+MONTH(E1353)-FYYM+1)),"")</f>
        <v/>
      </c>
      <c r="P1353" s="101">
        <f>IF(H1353=1,IF(IFERROR(INDEX(coa_CF,MATCH(I1353,coa_Name,0)),"")="Cash",1,0),0)</f>
        <v/>
      </c>
      <c r="Q1353" s="101">
        <f>IF(H1353=1,IF(IFERROR(INDEX(coa_CF,MATCH(K1353,coa_Name,0)),"")="Cash",1,0),0)</f>
        <v/>
      </c>
      <c r="R1353" s="58">
        <f>IF((P1353-Q1353)=0,"",IFERROR(INDEX(coa_CF,MATCH(IF((P1353-Q1353)=1,K1353,I1353),coa_Name,0)),"Operating"))</f>
        <v/>
      </c>
      <c r="S1353" s="95">
        <f>IF((P1353-Q1353)=1,L1353,IF((P1353-Q1353)=-1,-J1353,0))</f>
        <v/>
      </c>
      <c r="T1353" s="95">
        <f>IF((P1353-Q1353)=1,N1353,IF((P1353-Q1353)=-1,-M1353,0))</f>
        <v/>
      </c>
      <c r="U1353" s="101">
        <f>IF(AND(H1353=1,LedAcct&lt;&gt;""),IF(AND(E1353&gt;=LedFrom,E1353&lt;=LedTo,OR(I1353=LedAcct,K1353=LedAcct,AND(LedAcct=acctTax,M1353+N1353&lt;&gt;0))),E1353*10000+B1353,""),"")</f>
        <v/>
      </c>
    </row>
    <row r="1354">
      <c r="B1354" s="101" t="n">
        <v>1348</v>
      </c>
      <c r="C1354" s="58" t="inlineStr">
        <is>
          <t>Transaction</t>
        </is>
      </c>
      <c r="D1354" s="58">
        <f>IF(H1354=1,INDEX(tx_ID,1348)&amp;"","")</f>
        <v/>
      </c>
      <c r="E1354" s="94">
        <f>IF(H1354=1,INDEX(tx_Date,1348),"")</f>
        <v/>
      </c>
      <c r="F1354" s="58">
        <f>IF(H1354=1,INDEX(tx_Desc,1348)&amp;"","")</f>
        <v/>
      </c>
      <c r="G1354" s="58">
        <f>IF(H1354=1,IF(INDEX(tx_Cust,1348)&amp;""&lt;&gt;"",INDEX(tx_Cust,1348)&amp;"",INDEX(tx_Vend,1348)&amp;""),"")</f>
        <v/>
      </c>
      <c r="H1354" s="101">
        <f>IFERROR(N(INDEX(tx_Posted,1348)),0)</f>
        <v/>
      </c>
      <c r="I1354" s="58">
        <f>IF(H1354=1,INDEX(tx_DrAcct,1348)&amp;"","")</f>
        <v/>
      </c>
      <c r="J1354" s="95">
        <f>IF(H1354=1,INDEX(tx_DrAmt,1348),0)</f>
        <v/>
      </c>
      <c r="K1354" s="58">
        <f>IF(H1354=1,INDEX(tx_CrAcct,1348)&amp;"","")</f>
        <v/>
      </c>
      <c r="L1354" s="95">
        <f>IF(H1354=1,INDEX(tx_CrAmt,1348),0)</f>
        <v/>
      </c>
      <c r="M1354" s="95">
        <f>IF(H1354=1,INDEX(tx_TaxDr,1348),0)</f>
        <v/>
      </c>
      <c r="N1354" s="95">
        <f>IF(H1354=1,INDEX(tx_TaxCr,1348),0)</f>
        <v/>
      </c>
      <c r="O1354" s="101">
        <f>IF(H1354=1,IF(E1354&lt;FYStart,0,IF(E1354&gt;FYEnd,13,YEAR(E1354)*12+MONTH(E1354)-FYYM+1)),"")</f>
        <v/>
      </c>
      <c r="P1354" s="101">
        <f>IF(H1354=1,IF(IFERROR(INDEX(coa_CF,MATCH(I1354,coa_Name,0)),"")="Cash",1,0),0)</f>
        <v/>
      </c>
      <c r="Q1354" s="101">
        <f>IF(H1354=1,IF(IFERROR(INDEX(coa_CF,MATCH(K1354,coa_Name,0)),"")="Cash",1,0),0)</f>
        <v/>
      </c>
      <c r="R1354" s="58">
        <f>IF((P1354-Q1354)=0,"",IFERROR(INDEX(coa_CF,MATCH(IF((P1354-Q1354)=1,K1354,I1354),coa_Name,0)),"Operating"))</f>
        <v/>
      </c>
      <c r="S1354" s="95">
        <f>IF((P1354-Q1354)=1,L1354,IF((P1354-Q1354)=-1,-J1354,0))</f>
        <v/>
      </c>
      <c r="T1354" s="95">
        <f>IF((P1354-Q1354)=1,N1354,IF((P1354-Q1354)=-1,-M1354,0))</f>
        <v/>
      </c>
      <c r="U1354" s="101">
        <f>IF(AND(H1354=1,LedAcct&lt;&gt;""),IF(AND(E1354&gt;=LedFrom,E1354&lt;=LedTo,OR(I1354=LedAcct,K1354=LedAcct,AND(LedAcct=acctTax,M1354+N1354&lt;&gt;0))),E1354*10000+B1354,""),"")</f>
        <v/>
      </c>
    </row>
    <row r="1355">
      <c r="B1355" s="101" t="n">
        <v>1349</v>
      </c>
      <c r="C1355" s="58" t="inlineStr">
        <is>
          <t>Transaction</t>
        </is>
      </c>
      <c r="D1355" s="58">
        <f>IF(H1355=1,INDEX(tx_ID,1349)&amp;"","")</f>
        <v/>
      </c>
      <c r="E1355" s="94">
        <f>IF(H1355=1,INDEX(tx_Date,1349),"")</f>
        <v/>
      </c>
      <c r="F1355" s="58">
        <f>IF(H1355=1,INDEX(tx_Desc,1349)&amp;"","")</f>
        <v/>
      </c>
      <c r="G1355" s="58">
        <f>IF(H1355=1,IF(INDEX(tx_Cust,1349)&amp;""&lt;&gt;"",INDEX(tx_Cust,1349)&amp;"",INDEX(tx_Vend,1349)&amp;""),"")</f>
        <v/>
      </c>
      <c r="H1355" s="101">
        <f>IFERROR(N(INDEX(tx_Posted,1349)),0)</f>
        <v/>
      </c>
      <c r="I1355" s="58">
        <f>IF(H1355=1,INDEX(tx_DrAcct,1349)&amp;"","")</f>
        <v/>
      </c>
      <c r="J1355" s="95">
        <f>IF(H1355=1,INDEX(tx_DrAmt,1349),0)</f>
        <v/>
      </c>
      <c r="K1355" s="58">
        <f>IF(H1355=1,INDEX(tx_CrAcct,1349)&amp;"","")</f>
        <v/>
      </c>
      <c r="L1355" s="95">
        <f>IF(H1355=1,INDEX(tx_CrAmt,1349),0)</f>
        <v/>
      </c>
      <c r="M1355" s="95">
        <f>IF(H1355=1,INDEX(tx_TaxDr,1349),0)</f>
        <v/>
      </c>
      <c r="N1355" s="95">
        <f>IF(H1355=1,INDEX(tx_TaxCr,1349),0)</f>
        <v/>
      </c>
      <c r="O1355" s="101">
        <f>IF(H1355=1,IF(E1355&lt;FYStart,0,IF(E1355&gt;FYEnd,13,YEAR(E1355)*12+MONTH(E1355)-FYYM+1)),"")</f>
        <v/>
      </c>
      <c r="P1355" s="101">
        <f>IF(H1355=1,IF(IFERROR(INDEX(coa_CF,MATCH(I1355,coa_Name,0)),"")="Cash",1,0),0)</f>
        <v/>
      </c>
      <c r="Q1355" s="101">
        <f>IF(H1355=1,IF(IFERROR(INDEX(coa_CF,MATCH(K1355,coa_Name,0)),"")="Cash",1,0),0)</f>
        <v/>
      </c>
      <c r="R1355" s="58">
        <f>IF((P1355-Q1355)=0,"",IFERROR(INDEX(coa_CF,MATCH(IF((P1355-Q1355)=1,K1355,I1355),coa_Name,0)),"Operating"))</f>
        <v/>
      </c>
      <c r="S1355" s="95">
        <f>IF((P1355-Q1355)=1,L1355,IF((P1355-Q1355)=-1,-J1355,0))</f>
        <v/>
      </c>
      <c r="T1355" s="95">
        <f>IF((P1355-Q1355)=1,N1355,IF((P1355-Q1355)=-1,-M1355,0))</f>
        <v/>
      </c>
      <c r="U1355" s="101">
        <f>IF(AND(H1355=1,LedAcct&lt;&gt;""),IF(AND(E1355&gt;=LedFrom,E1355&lt;=LedTo,OR(I1355=LedAcct,K1355=LedAcct,AND(LedAcct=acctTax,M1355+N1355&lt;&gt;0))),E1355*10000+B1355,""),"")</f>
        <v/>
      </c>
    </row>
    <row r="1356">
      <c r="B1356" s="101" t="n">
        <v>1350</v>
      </c>
      <c r="C1356" s="58" t="inlineStr">
        <is>
          <t>Transaction</t>
        </is>
      </c>
      <c r="D1356" s="58">
        <f>IF(H1356=1,INDEX(tx_ID,1350)&amp;"","")</f>
        <v/>
      </c>
      <c r="E1356" s="94">
        <f>IF(H1356=1,INDEX(tx_Date,1350),"")</f>
        <v/>
      </c>
      <c r="F1356" s="58">
        <f>IF(H1356=1,INDEX(tx_Desc,1350)&amp;"","")</f>
        <v/>
      </c>
      <c r="G1356" s="58">
        <f>IF(H1356=1,IF(INDEX(tx_Cust,1350)&amp;""&lt;&gt;"",INDEX(tx_Cust,1350)&amp;"",INDEX(tx_Vend,1350)&amp;""),"")</f>
        <v/>
      </c>
      <c r="H1356" s="101">
        <f>IFERROR(N(INDEX(tx_Posted,1350)),0)</f>
        <v/>
      </c>
      <c r="I1356" s="58">
        <f>IF(H1356=1,INDEX(tx_DrAcct,1350)&amp;"","")</f>
        <v/>
      </c>
      <c r="J1356" s="95">
        <f>IF(H1356=1,INDEX(tx_DrAmt,1350),0)</f>
        <v/>
      </c>
      <c r="K1356" s="58">
        <f>IF(H1356=1,INDEX(tx_CrAcct,1350)&amp;"","")</f>
        <v/>
      </c>
      <c r="L1356" s="95">
        <f>IF(H1356=1,INDEX(tx_CrAmt,1350),0)</f>
        <v/>
      </c>
      <c r="M1356" s="95">
        <f>IF(H1356=1,INDEX(tx_TaxDr,1350),0)</f>
        <v/>
      </c>
      <c r="N1356" s="95">
        <f>IF(H1356=1,INDEX(tx_TaxCr,1350),0)</f>
        <v/>
      </c>
      <c r="O1356" s="101">
        <f>IF(H1356=1,IF(E1356&lt;FYStart,0,IF(E1356&gt;FYEnd,13,YEAR(E1356)*12+MONTH(E1356)-FYYM+1)),"")</f>
        <v/>
      </c>
      <c r="P1356" s="101">
        <f>IF(H1356=1,IF(IFERROR(INDEX(coa_CF,MATCH(I1356,coa_Name,0)),"")="Cash",1,0),0)</f>
        <v/>
      </c>
      <c r="Q1356" s="101">
        <f>IF(H1356=1,IF(IFERROR(INDEX(coa_CF,MATCH(K1356,coa_Name,0)),"")="Cash",1,0),0)</f>
        <v/>
      </c>
      <c r="R1356" s="58">
        <f>IF((P1356-Q1356)=0,"",IFERROR(INDEX(coa_CF,MATCH(IF((P1356-Q1356)=1,K1356,I1356),coa_Name,0)),"Operating"))</f>
        <v/>
      </c>
      <c r="S1356" s="95">
        <f>IF((P1356-Q1356)=1,L1356,IF((P1356-Q1356)=-1,-J1356,0))</f>
        <v/>
      </c>
      <c r="T1356" s="95">
        <f>IF((P1356-Q1356)=1,N1356,IF((P1356-Q1356)=-1,-M1356,0))</f>
        <v/>
      </c>
      <c r="U1356" s="101">
        <f>IF(AND(H1356=1,LedAcct&lt;&gt;""),IF(AND(E1356&gt;=LedFrom,E1356&lt;=LedTo,OR(I1356=LedAcct,K1356=LedAcct,AND(LedAcct=acctTax,M1356+N1356&lt;&gt;0))),E1356*10000+B1356,""),"")</f>
        <v/>
      </c>
    </row>
    <row r="1357">
      <c r="B1357" s="101" t="n">
        <v>1351</v>
      </c>
      <c r="C1357" s="58" t="inlineStr">
        <is>
          <t>Transaction</t>
        </is>
      </c>
      <c r="D1357" s="58">
        <f>IF(H1357=1,INDEX(tx_ID,1351)&amp;"","")</f>
        <v/>
      </c>
      <c r="E1357" s="94">
        <f>IF(H1357=1,INDEX(tx_Date,1351),"")</f>
        <v/>
      </c>
      <c r="F1357" s="58">
        <f>IF(H1357=1,INDEX(tx_Desc,1351)&amp;"","")</f>
        <v/>
      </c>
      <c r="G1357" s="58">
        <f>IF(H1357=1,IF(INDEX(tx_Cust,1351)&amp;""&lt;&gt;"",INDEX(tx_Cust,1351)&amp;"",INDEX(tx_Vend,1351)&amp;""),"")</f>
        <v/>
      </c>
      <c r="H1357" s="101">
        <f>IFERROR(N(INDEX(tx_Posted,1351)),0)</f>
        <v/>
      </c>
      <c r="I1357" s="58">
        <f>IF(H1357=1,INDEX(tx_DrAcct,1351)&amp;"","")</f>
        <v/>
      </c>
      <c r="J1357" s="95">
        <f>IF(H1357=1,INDEX(tx_DrAmt,1351),0)</f>
        <v/>
      </c>
      <c r="K1357" s="58">
        <f>IF(H1357=1,INDEX(tx_CrAcct,1351)&amp;"","")</f>
        <v/>
      </c>
      <c r="L1357" s="95">
        <f>IF(H1357=1,INDEX(tx_CrAmt,1351),0)</f>
        <v/>
      </c>
      <c r="M1357" s="95">
        <f>IF(H1357=1,INDEX(tx_TaxDr,1351),0)</f>
        <v/>
      </c>
      <c r="N1357" s="95">
        <f>IF(H1357=1,INDEX(tx_TaxCr,1351),0)</f>
        <v/>
      </c>
      <c r="O1357" s="101">
        <f>IF(H1357=1,IF(E1357&lt;FYStart,0,IF(E1357&gt;FYEnd,13,YEAR(E1357)*12+MONTH(E1357)-FYYM+1)),"")</f>
        <v/>
      </c>
      <c r="P1357" s="101">
        <f>IF(H1357=1,IF(IFERROR(INDEX(coa_CF,MATCH(I1357,coa_Name,0)),"")="Cash",1,0),0)</f>
        <v/>
      </c>
      <c r="Q1357" s="101">
        <f>IF(H1357=1,IF(IFERROR(INDEX(coa_CF,MATCH(K1357,coa_Name,0)),"")="Cash",1,0),0)</f>
        <v/>
      </c>
      <c r="R1357" s="58">
        <f>IF((P1357-Q1357)=0,"",IFERROR(INDEX(coa_CF,MATCH(IF((P1357-Q1357)=1,K1357,I1357),coa_Name,0)),"Operating"))</f>
        <v/>
      </c>
      <c r="S1357" s="95">
        <f>IF((P1357-Q1357)=1,L1357,IF((P1357-Q1357)=-1,-J1357,0))</f>
        <v/>
      </c>
      <c r="T1357" s="95">
        <f>IF((P1357-Q1357)=1,N1357,IF((P1357-Q1357)=-1,-M1357,0))</f>
        <v/>
      </c>
      <c r="U1357" s="101">
        <f>IF(AND(H1357=1,LedAcct&lt;&gt;""),IF(AND(E1357&gt;=LedFrom,E1357&lt;=LedTo,OR(I1357=LedAcct,K1357=LedAcct,AND(LedAcct=acctTax,M1357+N1357&lt;&gt;0))),E1357*10000+B1357,""),"")</f>
        <v/>
      </c>
    </row>
    <row r="1358">
      <c r="B1358" s="101" t="n">
        <v>1352</v>
      </c>
      <c r="C1358" s="58" t="inlineStr">
        <is>
          <t>Transaction</t>
        </is>
      </c>
      <c r="D1358" s="58">
        <f>IF(H1358=1,INDEX(tx_ID,1352)&amp;"","")</f>
        <v/>
      </c>
      <c r="E1358" s="94">
        <f>IF(H1358=1,INDEX(tx_Date,1352),"")</f>
        <v/>
      </c>
      <c r="F1358" s="58">
        <f>IF(H1358=1,INDEX(tx_Desc,1352)&amp;"","")</f>
        <v/>
      </c>
      <c r="G1358" s="58">
        <f>IF(H1358=1,IF(INDEX(tx_Cust,1352)&amp;""&lt;&gt;"",INDEX(tx_Cust,1352)&amp;"",INDEX(tx_Vend,1352)&amp;""),"")</f>
        <v/>
      </c>
      <c r="H1358" s="101">
        <f>IFERROR(N(INDEX(tx_Posted,1352)),0)</f>
        <v/>
      </c>
      <c r="I1358" s="58">
        <f>IF(H1358=1,INDEX(tx_DrAcct,1352)&amp;"","")</f>
        <v/>
      </c>
      <c r="J1358" s="95">
        <f>IF(H1358=1,INDEX(tx_DrAmt,1352),0)</f>
        <v/>
      </c>
      <c r="K1358" s="58">
        <f>IF(H1358=1,INDEX(tx_CrAcct,1352)&amp;"","")</f>
        <v/>
      </c>
      <c r="L1358" s="95">
        <f>IF(H1358=1,INDEX(tx_CrAmt,1352),0)</f>
        <v/>
      </c>
      <c r="M1358" s="95">
        <f>IF(H1358=1,INDEX(tx_TaxDr,1352),0)</f>
        <v/>
      </c>
      <c r="N1358" s="95">
        <f>IF(H1358=1,INDEX(tx_TaxCr,1352),0)</f>
        <v/>
      </c>
      <c r="O1358" s="101">
        <f>IF(H1358=1,IF(E1358&lt;FYStart,0,IF(E1358&gt;FYEnd,13,YEAR(E1358)*12+MONTH(E1358)-FYYM+1)),"")</f>
        <v/>
      </c>
      <c r="P1358" s="101">
        <f>IF(H1358=1,IF(IFERROR(INDEX(coa_CF,MATCH(I1358,coa_Name,0)),"")="Cash",1,0),0)</f>
        <v/>
      </c>
      <c r="Q1358" s="101">
        <f>IF(H1358=1,IF(IFERROR(INDEX(coa_CF,MATCH(K1358,coa_Name,0)),"")="Cash",1,0),0)</f>
        <v/>
      </c>
      <c r="R1358" s="58">
        <f>IF((P1358-Q1358)=0,"",IFERROR(INDEX(coa_CF,MATCH(IF((P1358-Q1358)=1,K1358,I1358),coa_Name,0)),"Operating"))</f>
        <v/>
      </c>
      <c r="S1358" s="95">
        <f>IF((P1358-Q1358)=1,L1358,IF((P1358-Q1358)=-1,-J1358,0))</f>
        <v/>
      </c>
      <c r="T1358" s="95">
        <f>IF((P1358-Q1358)=1,N1358,IF((P1358-Q1358)=-1,-M1358,0))</f>
        <v/>
      </c>
      <c r="U1358" s="101">
        <f>IF(AND(H1358=1,LedAcct&lt;&gt;""),IF(AND(E1358&gt;=LedFrom,E1358&lt;=LedTo,OR(I1358=LedAcct,K1358=LedAcct,AND(LedAcct=acctTax,M1358+N1358&lt;&gt;0))),E1358*10000+B1358,""),"")</f>
        <v/>
      </c>
    </row>
    <row r="1359">
      <c r="B1359" s="101" t="n">
        <v>1353</v>
      </c>
      <c r="C1359" s="58" t="inlineStr">
        <is>
          <t>Transaction</t>
        </is>
      </c>
      <c r="D1359" s="58">
        <f>IF(H1359=1,INDEX(tx_ID,1353)&amp;"","")</f>
        <v/>
      </c>
      <c r="E1359" s="94">
        <f>IF(H1359=1,INDEX(tx_Date,1353),"")</f>
        <v/>
      </c>
      <c r="F1359" s="58">
        <f>IF(H1359=1,INDEX(tx_Desc,1353)&amp;"","")</f>
        <v/>
      </c>
      <c r="G1359" s="58">
        <f>IF(H1359=1,IF(INDEX(tx_Cust,1353)&amp;""&lt;&gt;"",INDEX(tx_Cust,1353)&amp;"",INDEX(tx_Vend,1353)&amp;""),"")</f>
        <v/>
      </c>
      <c r="H1359" s="101">
        <f>IFERROR(N(INDEX(tx_Posted,1353)),0)</f>
        <v/>
      </c>
      <c r="I1359" s="58">
        <f>IF(H1359=1,INDEX(tx_DrAcct,1353)&amp;"","")</f>
        <v/>
      </c>
      <c r="J1359" s="95">
        <f>IF(H1359=1,INDEX(tx_DrAmt,1353),0)</f>
        <v/>
      </c>
      <c r="K1359" s="58">
        <f>IF(H1359=1,INDEX(tx_CrAcct,1353)&amp;"","")</f>
        <v/>
      </c>
      <c r="L1359" s="95">
        <f>IF(H1359=1,INDEX(tx_CrAmt,1353),0)</f>
        <v/>
      </c>
      <c r="M1359" s="95">
        <f>IF(H1359=1,INDEX(tx_TaxDr,1353),0)</f>
        <v/>
      </c>
      <c r="N1359" s="95">
        <f>IF(H1359=1,INDEX(tx_TaxCr,1353),0)</f>
        <v/>
      </c>
      <c r="O1359" s="101">
        <f>IF(H1359=1,IF(E1359&lt;FYStart,0,IF(E1359&gt;FYEnd,13,YEAR(E1359)*12+MONTH(E1359)-FYYM+1)),"")</f>
        <v/>
      </c>
      <c r="P1359" s="101">
        <f>IF(H1359=1,IF(IFERROR(INDEX(coa_CF,MATCH(I1359,coa_Name,0)),"")="Cash",1,0),0)</f>
        <v/>
      </c>
      <c r="Q1359" s="101">
        <f>IF(H1359=1,IF(IFERROR(INDEX(coa_CF,MATCH(K1359,coa_Name,0)),"")="Cash",1,0),0)</f>
        <v/>
      </c>
      <c r="R1359" s="58">
        <f>IF((P1359-Q1359)=0,"",IFERROR(INDEX(coa_CF,MATCH(IF((P1359-Q1359)=1,K1359,I1359),coa_Name,0)),"Operating"))</f>
        <v/>
      </c>
      <c r="S1359" s="95">
        <f>IF((P1359-Q1359)=1,L1359,IF((P1359-Q1359)=-1,-J1359,0))</f>
        <v/>
      </c>
      <c r="T1359" s="95">
        <f>IF((P1359-Q1359)=1,N1359,IF((P1359-Q1359)=-1,-M1359,0))</f>
        <v/>
      </c>
      <c r="U1359" s="101">
        <f>IF(AND(H1359=1,LedAcct&lt;&gt;""),IF(AND(E1359&gt;=LedFrom,E1359&lt;=LedTo,OR(I1359=LedAcct,K1359=LedAcct,AND(LedAcct=acctTax,M1359+N1359&lt;&gt;0))),E1359*10000+B1359,""),"")</f>
        <v/>
      </c>
    </row>
    <row r="1360">
      <c r="B1360" s="101" t="n">
        <v>1354</v>
      </c>
      <c r="C1360" s="58" t="inlineStr">
        <is>
          <t>Transaction</t>
        </is>
      </c>
      <c r="D1360" s="58">
        <f>IF(H1360=1,INDEX(tx_ID,1354)&amp;"","")</f>
        <v/>
      </c>
      <c r="E1360" s="94">
        <f>IF(H1360=1,INDEX(tx_Date,1354),"")</f>
        <v/>
      </c>
      <c r="F1360" s="58">
        <f>IF(H1360=1,INDEX(tx_Desc,1354)&amp;"","")</f>
        <v/>
      </c>
      <c r="G1360" s="58">
        <f>IF(H1360=1,IF(INDEX(tx_Cust,1354)&amp;""&lt;&gt;"",INDEX(tx_Cust,1354)&amp;"",INDEX(tx_Vend,1354)&amp;""),"")</f>
        <v/>
      </c>
      <c r="H1360" s="101">
        <f>IFERROR(N(INDEX(tx_Posted,1354)),0)</f>
        <v/>
      </c>
      <c r="I1360" s="58">
        <f>IF(H1360=1,INDEX(tx_DrAcct,1354)&amp;"","")</f>
        <v/>
      </c>
      <c r="J1360" s="95">
        <f>IF(H1360=1,INDEX(tx_DrAmt,1354),0)</f>
        <v/>
      </c>
      <c r="K1360" s="58">
        <f>IF(H1360=1,INDEX(tx_CrAcct,1354)&amp;"","")</f>
        <v/>
      </c>
      <c r="L1360" s="95">
        <f>IF(H1360=1,INDEX(tx_CrAmt,1354),0)</f>
        <v/>
      </c>
      <c r="M1360" s="95">
        <f>IF(H1360=1,INDEX(tx_TaxDr,1354),0)</f>
        <v/>
      </c>
      <c r="N1360" s="95">
        <f>IF(H1360=1,INDEX(tx_TaxCr,1354),0)</f>
        <v/>
      </c>
      <c r="O1360" s="101">
        <f>IF(H1360=1,IF(E1360&lt;FYStart,0,IF(E1360&gt;FYEnd,13,YEAR(E1360)*12+MONTH(E1360)-FYYM+1)),"")</f>
        <v/>
      </c>
      <c r="P1360" s="101">
        <f>IF(H1360=1,IF(IFERROR(INDEX(coa_CF,MATCH(I1360,coa_Name,0)),"")="Cash",1,0),0)</f>
        <v/>
      </c>
      <c r="Q1360" s="101">
        <f>IF(H1360=1,IF(IFERROR(INDEX(coa_CF,MATCH(K1360,coa_Name,0)),"")="Cash",1,0),0)</f>
        <v/>
      </c>
      <c r="R1360" s="58">
        <f>IF((P1360-Q1360)=0,"",IFERROR(INDEX(coa_CF,MATCH(IF((P1360-Q1360)=1,K1360,I1360),coa_Name,0)),"Operating"))</f>
        <v/>
      </c>
      <c r="S1360" s="95">
        <f>IF((P1360-Q1360)=1,L1360,IF((P1360-Q1360)=-1,-J1360,0))</f>
        <v/>
      </c>
      <c r="T1360" s="95">
        <f>IF((P1360-Q1360)=1,N1360,IF((P1360-Q1360)=-1,-M1360,0))</f>
        <v/>
      </c>
      <c r="U1360" s="101">
        <f>IF(AND(H1360=1,LedAcct&lt;&gt;""),IF(AND(E1360&gt;=LedFrom,E1360&lt;=LedTo,OR(I1360=LedAcct,K1360=LedAcct,AND(LedAcct=acctTax,M1360+N1360&lt;&gt;0))),E1360*10000+B1360,""),"")</f>
        <v/>
      </c>
    </row>
    <row r="1361">
      <c r="B1361" s="101" t="n">
        <v>1355</v>
      </c>
      <c r="C1361" s="58" t="inlineStr">
        <is>
          <t>Transaction</t>
        </is>
      </c>
      <c r="D1361" s="58">
        <f>IF(H1361=1,INDEX(tx_ID,1355)&amp;"","")</f>
        <v/>
      </c>
      <c r="E1361" s="94">
        <f>IF(H1361=1,INDEX(tx_Date,1355),"")</f>
        <v/>
      </c>
      <c r="F1361" s="58">
        <f>IF(H1361=1,INDEX(tx_Desc,1355)&amp;"","")</f>
        <v/>
      </c>
      <c r="G1361" s="58">
        <f>IF(H1361=1,IF(INDEX(tx_Cust,1355)&amp;""&lt;&gt;"",INDEX(tx_Cust,1355)&amp;"",INDEX(tx_Vend,1355)&amp;""),"")</f>
        <v/>
      </c>
      <c r="H1361" s="101">
        <f>IFERROR(N(INDEX(tx_Posted,1355)),0)</f>
        <v/>
      </c>
      <c r="I1361" s="58">
        <f>IF(H1361=1,INDEX(tx_DrAcct,1355)&amp;"","")</f>
        <v/>
      </c>
      <c r="J1361" s="95">
        <f>IF(H1361=1,INDEX(tx_DrAmt,1355),0)</f>
        <v/>
      </c>
      <c r="K1361" s="58">
        <f>IF(H1361=1,INDEX(tx_CrAcct,1355)&amp;"","")</f>
        <v/>
      </c>
      <c r="L1361" s="95">
        <f>IF(H1361=1,INDEX(tx_CrAmt,1355),0)</f>
        <v/>
      </c>
      <c r="M1361" s="95">
        <f>IF(H1361=1,INDEX(tx_TaxDr,1355),0)</f>
        <v/>
      </c>
      <c r="N1361" s="95">
        <f>IF(H1361=1,INDEX(tx_TaxCr,1355),0)</f>
        <v/>
      </c>
      <c r="O1361" s="101">
        <f>IF(H1361=1,IF(E1361&lt;FYStart,0,IF(E1361&gt;FYEnd,13,YEAR(E1361)*12+MONTH(E1361)-FYYM+1)),"")</f>
        <v/>
      </c>
      <c r="P1361" s="101">
        <f>IF(H1361=1,IF(IFERROR(INDEX(coa_CF,MATCH(I1361,coa_Name,0)),"")="Cash",1,0),0)</f>
        <v/>
      </c>
      <c r="Q1361" s="101">
        <f>IF(H1361=1,IF(IFERROR(INDEX(coa_CF,MATCH(K1361,coa_Name,0)),"")="Cash",1,0),0)</f>
        <v/>
      </c>
      <c r="R1361" s="58">
        <f>IF((P1361-Q1361)=0,"",IFERROR(INDEX(coa_CF,MATCH(IF((P1361-Q1361)=1,K1361,I1361),coa_Name,0)),"Operating"))</f>
        <v/>
      </c>
      <c r="S1361" s="95">
        <f>IF((P1361-Q1361)=1,L1361,IF((P1361-Q1361)=-1,-J1361,0))</f>
        <v/>
      </c>
      <c r="T1361" s="95">
        <f>IF((P1361-Q1361)=1,N1361,IF((P1361-Q1361)=-1,-M1361,0))</f>
        <v/>
      </c>
      <c r="U1361" s="101">
        <f>IF(AND(H1361=1,LedAcct&lt;&gt;""),IF(AND(E1361&gt;=LedFrom,E1361&lt;=LedTo,OR(I1361=LedAcct,K1361=LedAcct,AND(LedAcct=acctTax,M1361+N1361&lt;&gt;0))),E1361*10000+B1361,""),"")</f>
        <v/>
      </c>
    </row>
    <row r="1362">
      <c r="B1362" s="101" t="n">
        <v>1356</v>
      </c>
      <c r="C1362" s="58" t="inlineStr">
        <is>
          <t>Transaction</t>
        </is>
      </c>
      <c r="D1362" s="58">
        <f>IF(H1362=1,INDEX(tx_ID,1356)&amp;"","")</f>
        <v/>
      </c>
      <c r="E1362" s="94">
        <f>IF(H1362=1,INDEX(tx_Date,1356),"")</f>
        <v/>
      </c>
      <c r="F1362" s="58">
        <f>IF(H1362=1,INDEX(tx_Desc,1356)&amp;"","")</f>
        <v/>
      </c>
      <c r="G1362" s="58">
        <f>IF(H1362=1,IF(INDEX(tx_Cust,1356)&amp;""&lt;&gt;"",INDEX(tx_Cust,1356)&amp;"",INDEX(tx_Vend,1356)&amp;""),"")</f>
        <v/>
      </c>
      <c r="H1362" s="101">
        <f>IFERROR(N(INDEX(tx_Posted,1356)),0)</f>
        <v/>
      </c>
      <c r="I1362" s="58">
        <f>IF(H1362=1,INDEX(tx_DrAcct,1356)&amp;"","")</f>
        <v/>
      </c>
      <c r="J1362" s="95">
        <f>IF(H1362=1,INDEX(tx_DrAmt,1356),0)</f>
        <v/>
      </c>
      <c r="K1362" s="58">
        <f>IF(H1362=1,INDEX(tx_CrAcct,1356)&amp;"","")</f>
        <v/>
      </c>
      <c r="L1362" s="95">
        <f>IF(H1362=1,INDEX(tx_CrAmt,1356),0)</f>
        <v/>
      </c>
      <c r="M1362" s="95">
        <f>IF(H1362=1,INDEX(tx_TaxDr,1356),0)</f>
        <v/>
      </c>
      <c r="N1362" s="95">
        <f>IF(H1362=1,INDEX(tx_TaxCr,1356),0)</f>
        <v/>
      </c>
      <c r="O1362" s="101">
        <f>IF(H1362=1,IF(E1362&lt;FYStart,0,IF(E1362&gt;FYEnd,13,YEAR(E1362)*12+MONTH(E1362)-FYYM+1)),"")</f>
        <v/>
      </c>
      <c r="P1362" s="101">
        <f>IF(H1362=1,IF(IFERROR(INDEX(coa_CF,MATCH(I1362,coa_Name,0)),"")="Cash",1,0),0)</f>
        <v/>
      </c>
      <c r="Q1362" s="101">
        <f>IF(H1362=1,IF(IFERROR(INDEX(coa_CF,MATCH(K1362,coa_Name,0)),"")="Cash",1,0),0)</f>
        <v/>
      </c>
      <c r="R1362" s="58">
        <f>IF((P1362-Q1362)=0,"",IFERROR(INDEX(coa_CF,MATCH(IF((P1362-Q1362)=1,K1362,I1362),coa_Name,0)),"Operating"))</f>
        <v/>
      </c>
      <c r="S1362" s="95">
        <f>IF((P1362-Q1362)=1,L1362,IF((P1362-Q1362)=-1,-J1362,0))</f>
        <v/>
      </c>
      <c r="T1362" s="95">
        <f>IF((P1362-Q1362)=1,N1362,IF((P1362-Q1362)=-1,-M1362,0))</f>
        <v/>
      </c>
      <c r="U1362" s="101">
        <f>IF(AND(H1362=1,LedAcct&lt;&gt;""),IF(AND(E1362&gt;=LedFrom,E1362&lt;=LedTo,OR(I1362=LedAcct,K1362=LedAcct,AND(LedAcct=acctTax,M1362+N1362&lt;&gt;0))),E1362*10000+B1362,""),"")</f>
        <v/>
      </c>
    </row>
    <row r="1363">
      <c r="B1363" s="101" t="n">
        <v>1357</v>
      </c>
      <c r="C1363" s="58" t="inlineStr">
        <is>
          <t>Transaction</t>
        </is>
      </c>
      <c r="D1363" s="58">
        <f>IF(H1363=1,INDEX(tx_ID,1357)&amp;"","")</f>
        <v/>
      </c>
      <c r="E1363" s="94">
        <f>IF(H1363=1,INDEX(tx_Date,1357),"")</f>
        <v/>
      </c>
      <c r="F1363" s="58">
        <f>IF(H1363=1,INDEX(tx_Desc,1357)&amp;"","")</f>
        <v/>
      </c>
      <c r="G1363" s="58">
        <f>IF(H1363=1,IF(INDEX(tx_Cust,1357)&amp;""&lt;&gt;"",INDEX(tx_Cust,1357)&amp;"",INDEX(tx_Vend,1357)&amp;""),"")</f>
        <v/>
      </c>
      <c r="H1363" s="101">
        <f>IFERROR(N(INDEX(tx_Posted,1357)),0)</f>
        <v/>
      </c>
      <c r="I1363" s="58">
        <f>IF(H1363=1,INDEX(tx_DrAcct,1357)&amp;"","")</f>
        <v/>
      </c>
      <c r="J1363" s="95">
        <f>IF(H1363=1,INDEX(tx_DrAmt,1357),0)</f>
        <v/>
      </c>
      <c r="K1363" s="58">
        <f>IF(H1363=1,INDEX(tx_CrAcct,1357)&amp;"","")</f>
        <v/>
      </c>
      <c r="L1363" s="95">
        <f>IF(H1363=1,INDEX(tx_CrAmt,1357),0)</f>
        <v/>
      </c>
      <c r="M1363" s="95">
        <f>IF(H1363=1,INDEX(tx_TaxDr,1357),0)</f>
        <v/>
      </c>
      <c r="N1363" s="95">
        <f>IF(H1363=1,INDEX(tx_TaxCr,1357),0)</f>
        <v/>
      </c>
      <c r="O1363" s="101">
        <f>IF(H1363=1,IF(E1363&lt;FYStart,0,IF(E1363&gt;FYEnd,13,YEAR(E1363)*12+MONTH(E1363)-FYYM+1)),"")</f>
        <v/>
      </c>
      <c r="P1363" s="101">
        <f>IF(H1363=1,IF(IFERROR(INDEX(coa_CF,MATCH(I1363,coa_Name,0)),"")="Cash",1,0),0)</f>
        <v/>
      </c>
      <c r="Q1363" s="101">
        <f>IF(H1363=1,IF(IFERROR(INDEX(coa_CF,MATCH(K1363,coa_Name,0)),"")="Cash",1,0),0)</f>
        <v/>
      </c>
      <c r="R1363" s="58">
        <f>IF((P1363-Q1363)=0,"",IFERROR(INDEX(coa_CF,MATCH(IF((P1363-Q1363)=1,K1363,I1363),coa_Name,0)),"Operating"))</f>
        <v/>
      </c>
      <c r="S1363" s="95">
        <f>IF((P1363-Q1363)=1,L1363,IF((P1363-Q1363)=-1,-J1363,0))</f>
        <v/>
      </c>
      <c r="T1363" s="95">
        <f>IF((P1363-Q1363)=1,N1363,IF((P1363-Q1363)=-1,-M1363,0))</f>
        <v/>
      </c>
      <c r="U1363" s="101">
        <f>IF(AND(H1363=1,LedAcct&lt;&gt;""),IF(AND(E1363&gt;=LedFrom,E1363&lt;=LedTo,OR(I1363=LedAcct,K1363=LedAcct,AND(LedAcct=acctTax,M1363+N1363&lt;&gt;0))),E1363*10000+B1363,""),"")</f>
        <v/>
      </c>
    </row>
    <row r="1364">
      <c r="B1364" s="101" t="n">
        <v>1358</v>
      </c>
      <c r="C1364" s="58" t="inlineStr">
        <is>
          <t>Transaction</t>
        </is>
      </c>
      <c r="D1364" s="58">
        <f>IF(H1364=1,INDEX(tx_ID,1358)&amp;"","")</f>
        <v/>
      </c>
      <c r="E1364" s="94">
        <f>IF(H1364=1,INDEX(tx_Date,1358),"")</f>
        <v/>
      </c>
      <c r="F1364" s="58">
        <f>IF(H1364=1,INDEX(tx_Desc,1358)&amp;"","")</f>
        <v/>
      </c>
      <c r="G1364" s="58">
        <f>IF(H1364=1,IF(INDEX(tx_Cust,1358)&amp;""&lt;&gt;"",INDEX(tx_Cust,1358)&amp;"",INDEX(tx_Vend,1358)&amp;""),"")</f>
        <v/>
      </c>
      <c r="H1364" s="101">
        <f>IFERROR(N(INDEX(tx_Posted,1358)),0)</f>
        <v/>
      </c>
      <c r="I1364" s="58">
        <f>IF(H1364=1,INDEX(tx_DrAcct,1358)&amp;"","")</f>
        <v/>
      </c>
      <c r="J1364" s="95">
        <f>IF(H1364=1,INDEX(tx_DrAmt,1358),0)</f>
        <v/>
      </c>
      <c r="K1364" s="58">
        <f>IF(H1364=1,INDEX(tx_CrAcct,1358)&amp;"","")</f>
        <v/>
      </c>
      <c r="L1364" s="95">
        <f>IF(H1364=1,INDEX(tx_CrAmt,1358),0)</f>
        <v/>
      </c>
      <c r="M1364" s="95">
        <f>IF(H1364=1,INDEX(tx_TaxDr,1358),0)</f>
        <v/>
      </c>
      <c r="N1364" s="95">
        <f>IF(H1364=1,INDEX(tx_TaxCr,1358),0)</f>
        <v/>
      </c>
      <c r="O1364" s="101">
        <f>IF(H1364=1,IF(E1364&lt;FYStart,0,IF(E1364&gt;FYEnd,13,YEAR(E1364)*12+MONTH(E1364)-FYYM+1)),"")</f>
        <v/>
      </c>
      <c r="P1364" s="101">
        <f>IF(H1364=1,IF(IFERROR(INDEX(coa_CF,MATCH(I1364,coa_Name,0)),"")="Cash",1,0),0)</f>
        <v/>
      </c>
      <c r="Q1364" s="101">
        <f>IF(H1364=1,IF(IFERROR(INDEX(coa_CF,MATCH(K1364,coa_Name,0)),"")="Cash",1,0),0)</f>
        <v/>
      </c>
      <c r="R1364" s="58">
        <f>IF((P1364-Q1364)=0,"",IFERROR(INDEX(coa_CF,MATCH(IF((P1364-Q1364)=1,K1364,I1364),coa_Name,0)),"Operating"))</f>
        <v/>
      </c>
      <c r="S1364" s="95">
        <f>IF((P1364-Q1364)=1,L1364,IF((P1364-Q1364)=-1,-J1364,0))</f>
        <v/>
      </c>
      <c r="T1364" s="95">
        <f>IF((P1364-Q1364)=1,N1364,IF((P1364-Q1364)=-1,-M1364,0))</f>
        <v/>
      </c>
      <c r="U1364" s="101">
        <f>IF(AND(H1364=1,LedAcct&lt;&gt;""),IF(AND(E1364&gt;=LedFrom,E1364&lt;=LedTo,OR(I1364=LedAcct,K1364=LedAcct,AND(LedAcct=acctTax,M1364+N1364&lt;&gt;0))),E1364*10000+B1364,""),"")</f>
        <v/>
      </c>
    </row>
    <row r="1365">
      <c r="B1365" s="101" t="n">
        <v>1359</v>
      </c>
      <c r="C1365" s="58" t="inlineStr">
        <is>
          <t>Transaction</t>
        </is>
      </c>
      <c r="D1365" s="58">
        <f>IF(H1365=1,INDEX(tx_ID,1359)&amp;"","")</f>
        <v/>
      </c>
      <c r="E1365" s="94">
        <f>IF(H1365=1,INDEX(tx_Date,1359),"")</f>
        <v/>
      </c>
      <c r="F1365" s="58">
        <f>IF(H1365=1,INDEX(tx_Desc,1359)&amp;"","")</f>
        <v/>
      </c>
      <c r="G1365" s="58">
        <f>IF(H1365=1,IF(INDEX(tx_Cust,1359)&amp;""&lt;&gt;"",INDEX(tx_Cust,1359)&amp;"",INDEX(tx_Vend,1359)&amp;""),"")</f>
        <v/>
      </c>
      <c r="H1365" s="101">
        <f>IFERROR(N(INDEX(tx_Posted,1359)),0)</f>
        <v/>
      </c>
      <c r="I1365" s="58">
        <f>IF(H1365=1,INDEX(tx_DrAcct,1359)&amp;"","")</f>
        <v/>
      </c>
      <c r="J1365" s="95">
        <f>IF(H1365=1,INDEX(tx_DrAmt,1359),0)</f>
        <v/>
      </c>
      <c r="K1365" s="58">
        <f>IF(H1365=1,INDEX(tx_CrAcct,1359)&amp;"","")</f>
        <v/>
      </c>
      <c r="L1365" s="95">
        <f>IF(H1365=1,INDEX(tx_CrAmt,1359),0)</f>
        <v/>
      </c>
      <c r="M1365" s="95">
        <f>IF(H1365=1,INDEX(tx_TaxDr,1359),0)</f>
        <v/>
      </c>
      <c r="N1365" s="95">
        <f>IF(H1365=1,INDEX(tx_TaxCr,1359),0)</f>
        <v/>
      </c>
      <c r="O1365" s="101">
        <f>IF(H1365=1,IF(E1365&lt;FYStart,0,IF(E1365&gt;FYEnd,13,YEAR(E1365)*12+MONTH(E1365)-FYYM+1)),"")</f>
        <v/>
      </c>
      <c r="P1365" s="101">
        <f>IF(H1365=1,IF(IFERROR(INDEX(coa_CF,MATCH(I1365,coa_Name,0)),"")="Cash",1,0),0)</f>
        <v/>
      </c>
      <c r="Q1365" s="101">
        <f>IF(H1365=1,IF(IFERROR(INDEX(coa_CF,MATCH(K1365,coa_Name,0)),"")="Cash",1,0),0)</f>
        <v/>
      </c>
      <c r="R1365" s="58">
        <f>IF((P1365-Q1365)=0,"",IFERROR(INDEX(coa_CF,MATCH(IF((P1365-Q1365)=1,K1365,I1365),coa_Name,0)),"Operating"))</f>
        <v/>
      </c>
      <c r="S1365" s="95">
        <f>IF((P1365-Q1365)=1,L1365,IF((P1365-Q1365)=-1,-J1365,0))</f>
        <v/>
      </c>
      <c r="T1365" s="95">
        <f>IF((P1365-Q1365)=1,N1365,IF((P1365-Q1365)=-1,-M1365,0))</f>
        <v/>
      </c>
      <c r="U1365" s="101">
        <f>IF(AND(H1365=1,LedAcct&lt;&gt;""),IF(AND(E1365&gt;=LedFrom,E1365&lt;=LedTo,OR(I1365=LedAcct,K1365=LedAcct,AND(LedAcct=acctTax,M1365+N1365&lt;&gt;0))),E1365*10000+B1365,""),"")</f>
        <v/>
      </c>
    </row>
    <row r="1366">
      <c r="B1366" s="101" t="n">
        <v>1360</v>
      </c>
      <c r="C1366" s="58" t="inlineStr">
        <is>
          <t>Transaction</t>
        </is>
      </c>
      <c r="D1366" s="58">
        <f>IF(H1366=1,INDEX(tx_ID,1360)&amp;"","")</f>
        <v/>
      </c>
      <c r="E1366" s="94">
        <f>IF(H1366=1,INDEX(tx_Date,1360),"")</f>
        <v/>
      </c>
      <c r="F1366" s="58">
        <f>IF(H1366=1,INDEX(tx_Desc,1360)&amp;"","")</f>
        <v/>
      </c>
      <c r="G1366" s="58">
        <f>IF(H1366=1,IF(INDEX(tx_Cust,1360)&amp;""&lt;&gt;"",INDEX(tx_Cust,1360)&amp;"",INDEX(tx_Vend,1360)&amp;""),"")</f>
        <v/>
      </c>
      <c r="H1366" s="101">
        <f>IFERROR(N(INDEX(tx_Posted,1360)),0)</f>
        <v/>
      </c>
      <c r="I1366" s="58">
        <f>IF(H1366=1,INDEX(tx_DrAcct,1360)&amp;"","")</f>
        <v/>
      </c>
      <c r="J1366" s="95">
        <f>IF(H1366=1,INDEX(tx_DrAmt,1360),0)</f>
        <v/>
      </c>
      <c r="K1366" s="58">
        <f>IF(H1366=1,INDEX(tx_CrAcct,1360)&amp;"","")</f>
        <v/>
      </c>
      <c r="L1366" s="95">
        <f>IF(H1366=1,INDEX(tx_CrAmt,1360),0)</f>
        <v/>
      </c>
      <c r="M1366" s="95">
        <f>IF(H1366=1,INDEX(tx_TaxDr,1360),0)</f>
        <v/>
      </c>
      <c r="N1366" s="95">
        <f>IF(H1366=1,INDEX(tx_TaxCr,1360),0)</f>
        <v/>
      </c>
      <c r="O1366" s="101">
        <f>IF(H1366=1,IF(E1366&lt;FYStart,0,IF(E1366&gt;FYEnd,13,YEAR(E1366)*12+MONTH(E1366)-FYYM+1)),"")</f>
        <v/>
      </c>
      <c r="P1366" s="101">
        <f>IF(H1366=1,IF(IFERROR(INDEX(coa_CF,MATCH(I1366,coa_Name,0)),"")="Cash",1,0),0)</f>
        <v/>
      </c>
      <c r="Q1366" s="101">
        <f>IF(H1366=1,IF(IFERROR(INDEX(coa_CF,MATCH(K1366,coa_Name,0)),"")="Cash",1,0),0)</f>
        <v/>
      </c>
      <c r="R1366" s="58">
        <f>IF((P1366-Q1366)=0,"",IFERROR(INDEX(coa_CF,MATCH(IF((P1366-Q1366)=1,K1366,I1366),coa_Name,0)),"Operating"))</f>
        <v/>
      </c>
      <c r="S1366" s="95">
        <f>IF((P1366-Q1366)=1,L1366,IF((P1366-Q1366)=-1,-J1366,0))</f>
        <v/>
      </c>
      <c r="T1366" s="95">
        <f>IF((P1366-Q1366)=1,N1366,IF((P1366-Q1366)=-1,-M1366,0))</f>
        <v/>
      </c>
      <c r="U1366" s="101">
        <f>IF(AND(H1366=1,LedAcct&lt;&gt;""),IF(AND(E1366&gt;=LedFrom,E1366&lt;=LedTo,OR(I1366=LedAcct,K1366=LedAcct,AND(LedAcct=acctTax,M1366+N1366&lt;&gt;0))),E1366*10000+B1366,""),"")</f>
        <v/>
      </c>
    </row>
    <row r="1367">
      <c r="B1367" s="101" t="n">
        <v>1361</v>
      </c>
      <c r="C1367" s="58" t="inlineStr">
        <is>
          <t>Transaction</t>
        </is>
      </c>
      <c r="D1367" s="58">
        <f>IF(H1367=1,INDEX(tx_ID,1361)&amp;"","")</f>
        <v/>
      </c>
      <c r="E1367" s="94">
        <f>IF(H1367=1,INDEX(tx_Date,1361),"")</f>
        <v/>
      </c>
      <c r="F1367" s="58">
        <f>IF(H1367=1,INDEX(tx_Desc,1361)&amp;"","")</f>
        <v/>
      </c>
      <c r="G1367" s="58">
        <f>IF(H1367=1,IF(INDEX(tx_Cust,1361)&amp;""&lt;&gt;"",INDEX(tx_Cust,1361)&amp;"",INDEX(tx_Vend,1361)&amp;""),"")</f>
        <v/>
      </c>
      <c r="H1367" s="101">
        <f>IFERROR(N(INDEX(tx_Posted,1361)),0)</f>
        <v/>
      </c>
      <c r="I1367" s="58">
        <f>IF(H1367=1,INDEX(tx_DrAcct,1361)&amp;"","")</f>
        <v/>
      </c>
      <c r="J1367" s="95">
        <f>IF(H1367=1,INDEX(tx_DrAmt,1361),0)</f>
        <v/>
      </c>
      <c r="K1367" s="58">
        <f>IF(H1367=1,INDEX(tx_CrAcct,1361)&amp;"","")</f>
        <v/>
      </c>
      <c r="L1367" s="95">
        <f>IF(H1367=1,INDEX(tx_CrAmt,1361),0)</f>
        <v/>
      </c>
      <c r="M1367" s="95">
        <f>IF(H1367=1,INDEX(tx_TaxDr,1361),0)</f>
        <v/>
      </c>
      <c r="N1367" s="95">
        <f>IF(H1367=1,INDEX(tx_TaxCr,1361),0)</f>
        <v/>
      </c>
      <c r="O1367" s="101">
        <f>IF(H1367=1,IF(E1367&lt;FYStart,0,IF(E1367&gt;FYEnd,13,YEAR(E1367)*12+MONTH(E1367)-FYYM+1)),"")</f>
        <v/>
      </c>
      <c r="P1367" s="101">
        <f>IF(H1367=1,IF(IFERROR(INDEX(coa_CF,MATCH(I1367,coa_Name,0)),"")="Cash",1,0),0)</f>
        <v/>
      </c>
      <c r="Q1367" s="101">
        <f>IF(H1367=1,IF(IFERROR(INDEX(coa_CF,MATCH(K1367,coa_Name,0)),"")="Cash",1,0),0)</f>
        <v/>
      </c>
      <c r="R1367" s="58">
        <f>IF((P1367-Q1367)=0,"",IFERROR(INDEX(coa_CF,MATCH(IF((P1367-Q1367)=1,K1367,I1367),coa_Name,0)),"Operating"))</f>
        <v/>
      </c>
      <c r="S1367" s="95">
        <f>IF((P1367-Q1367)=1,L1367,IF((P1367-Q1367)=-1,-J1367,0))</f>
        <v/>
      </c>
      <c r="T1367" s="95">
        <f>IF((P1367-Q1367)=1,N1367,IF((P1367-Q1367)=-1,-M1367,0))</f>
        <v/>
      </c>
      <c r="U1367" s="101">
        <f>IF(AND(H1367=1,LedAcct&lt;&gt;""),IF(AND(E1367&gt;=LedFrom,E1367&lt;=LedTo,OR(I1367=LedAcct,K1367=LedAcct,AND(LedAcct=acctTax,M1367+N1367&lt;&gt;0))),E1367*10000+B1367,""),"")</f>
        <v/>
      </c>
    </row>
    <row r="1368">
      <c r="B1368" s="101" t="n">
        <v>1362</v>
      </c>
      <c r="C1368" s="58" t="inlineStr">
        <is>
          <t>Transaction</t>
        </is>
      </c>
      <c r="D1368" s="58">
        <f>IF(H1368=1,INDEX(tx_ID,1362)&amp;"","")</f>
        <v/>
      </c>
      <c r="E1368" s="94">
        <f>IF(H1368=1,INDEX(tx_Date,1362),"")</f>
        <v/>
      </c>
      <c r="F1368" s="58">
        <f>IF(H1368=1,INDEX(tx_Desc,1362)&amp;"","")</f>
        <v/>
      </c>
      <c r="G1368" s="58">
        <f>IF(H1368=1,IF(INDEX(tx_Cust,1362)&amp;""&lt;&gt;"",INDEX(tx_Cust,1362)&amp;"",INDEX(tx_Vend,1362)&amp;""),"")</f>
        <v/>
      </c>
      <c r="H1368" s="101">
        <f>IFERROR(N(INDEX(tx_Posted,1362)),0)</f>
        <v/>
      </c>
      <c r="I1368" s="58">
        <f>IF(H1368=1,INDEX(tx_DrAcct,1362)&amp;"","")</f>
        <v/>
      </c>
      <c r="J1368" s="95">
        <f>IF(H1368=1,INDEX(tx_DrAmt,1362),0)</f>
        <v/>
      </c>
      <c r="K1368" s="58">
        <f>IF(H1368=1,INDEX(tx_CrAcct,1362)&amp;"","")</f>
        <v/>
      </c>
      <c r="L1368" s="95">
        <f>IF(H1368=1,INDEX(tx_CrAmt,1362),0)</f>
        <v/>
      </c>
      <c r="M1368" s="95">
        <f>IF(H1368=1,INDEX(tx_TaxDr,1362),0)</f>
        <v/>
      </c>
      <c r="N1368" s="95">
        <f>IF(H1368=1,INDEX(tx_TaxCr,1362),0)</f>
        <v/>
      </c>
      <c r="O1368" s="101">
        <f>IF(H1368=1,IF(E1368&lt;FYStart,0,IF(E1368&gt;FYEnd,13,YEAR(E1368)*12+MONTH(E1368)-FYYM+1)),"")</f>
        <v/>
      </c>
      <c r="P1368" s="101">
        <f>IF(H1368=1,IF(IFERROR(INDEX(coa_CF,MATCH(I1368,coa_Name,0)),"")="Cash",1,0),0)</f>
        <v/>
      </c>
      <c r="Q1368" s="101">
        <f>IF(H1368=1,IF(IFERROR(INDEX(coa_CF,MATCH(K1368,coa_Name,0)),"")="Cash",1,0),0)</f>
        <v/>
      </c>
      <c r="R1368" s="58">
        <f>IF((P1368-Q1368)=0,"",IFERROR(INDEX(coa_CF,MATCH(IF((P1368-Q1368)=1,K1368,I1368),coa_Name,0)),"Operating"))</f>
        <v/>
      </c>
      <c r="S1368" s="95">
        <f>IF((P1368-Q1368)=1,L1368,IF((P1368-Q1368)=-1,-J1368,0))</f>
        <v/>
      </c>
      <c r="T1368" s="95">
        <f>IF((P1368-Q1368)=1,N1368,IF((P1368-Q1368)=-1,-M1368,0))</f>
        <v/>
      </c>
      <c r="U1368" s="101">
        <f>IF(AND(H1368=1,LedAcct&lt;&gt;""),IF(AND(E1368&gt;=LedFrom,E1368&lt;=LedTo,OR(I1368=LedAcct,K1368=LedAcct,AND(LedAcct=acctTax,M1368+N1368&lt;&gt;0))),E1368*10000+B1368,""),"")</f>
        <v/>
      </c>
    </row>
    <row r="1369">
      <c r="B1369" s="101" t="n">
        <v>1363</v>
      </c>
      <c r="C1369" s="58" t="inlineStr">
        <is>
          <t>Transaction</t>
        </is>
      </c>
      <c r="D1369" s="58">
        <f>IF(H1369=1,INDEX(tx_ID,1363)&amp;"","")</f>
        <v/>
      </c>
      <c r="E1369" s="94">
        <f>IF(H1369=1,INDEX(tx_Date,1363),"")</f>
        <v/>
      </c>
      <c r="F1369" s="58">
        <f>IF(H1369=1,INDEX(tx_Desc,1363)&amp;"","")</f>
        <v/>
      </c>
      <c r="G1369" s="58">
        <f>IF(H1369=1,IF(INDEX(tx_Cust,1363)&amp;""&lt;&gt;"",INDEX(tx_Cust,1363)&amp;"",INDEX(tx_Vend,1363)&amp;""),"")</f>
        <v/>
      </c>
      <c r="H1369" s="101">
        <f>IFERROR(N(INDEX(tx_Posted,1363)),0)</f>
        <v/>
      </c>
      <c r="I1369" s="58">
        <f>IF(H1369=1,INDEX(tx_DrAcct,1363)&amp;"","")</f>
        <v/>
      </c>
      <c r="J1369" s="95">
        <f>IF(H1369=1,INDEX(tx_DrAmt,1363),0)</f>
        <v/>
      </c>
      <c r="K1369" s="58">
        <f>IF(H1369=1,INDEX(tx_CrAcct,1363)&amp;"","")</f>
        <v/>
      </c>
      <c r="L1369" s="95">
        <f>IF(H1369=1,INDEX(tx_CrAmt,1363),0)</f>
        <v/>
      </c>
      <c r="M1369" s="95">
        <f>IF(H1369=1,INDEX(tx_TaxDr,1363),0)</f>
        <v/>
      </c>
      <c r="N1369" s="95">
        <f>IF(H1369=1,INDEX(tx_TaxCr,1363),0)</f>
        <v/>
      </c>
      <c r="O1369" s="101">
        <f>IF(H1369=1,IF(E1369&lt;FYStart,0,IF(E1369&gt;FYEnd,13,YEAR(E1369)*12+MONTH(E1369)-FYYM+1)),"")</f>
        <v/>
      </c>
      <c r="P1369" s="101">
        <f>IF(H1369=1,IF(IFERROR(INDEX(coa_CF,MATCH(I1369,coa_Name,0)),"")="Cash",1,0),0)</f>
        <v/>
      </c>
      <c r="Q1369" s="101">
        <f>IF(H1369=1,IF(IFERROR(INDEX(coa_CF,MATCH(K1369,coa_Name,0)),"")="Cash",1,0),0)</f>
        <v/>
      </c>
      <c r="R1369" s="58">
        <f>IF((P1369-Q1369)=0,"",IFERROR(INDEX(coa_CF,MATCH(IF((P1369-Q1369)=1,K1369,I1369),coa_Name,0)),"Operating"))</f>
        <v/>
      </c>
      <c r="S1369" s="95">
        <f>IF((P1369-Q1369)=1,L1369,IF((P1369-Q1369)=-1,-J1369,0))</f>
        <v/>
      </c>
      <c r="T1369" s="95">
        <f>IF((P1369-Q1369)=1,N1369,IF((P1369-Q1369)=-1,-M1369,0))</f>
        <v/>
      </c>
      <c r="U1369" s="101">
        <f>IF(AND(H1369=1,LedAcct&lt;&gt;""),IF(AND(E1369&gt;=LedFrom,E1369&lt;=LedTo,OR(I1369=LedAcct,K1369=LedAcct,AND(LedAcct=acctTax,M1369+N1369&lt;&gt;0))),E1369*10000+B1369,""),"")</f>
        <v/>
      </c>
    </row>
    <row r="1370">
      <c r="B1370" s="101" t="n">
        <v>1364</v>
      </c>
      <c r="C1370" s="58" t="inlineStr">
        <is>
          <t>Transaction</t>
        </is>
      </c>
      <c r="D1370" s="58">
        <f>IF(H1370=1,INDEX(tx_ID,1364)&amp;"","")</f>
        <v/>
      </c>
      <c r="E1370" s="94">
        <f>IF(H1370=1,INDEX(tx_Date,1364),"")</f>
        <v/>
      </c>
      <c r="F1370" s="58">
        <f>IF(H1370=1,INDEX(tx_Desc,1364)&amp;"","")</f>
        <v/>
      </c>
      <c r="G1370" s="58">
        <f>IF(H1370=1,IF(INDEX(tx_Cust,1364)&amp;""&lt;&gt;"",INDEX(tx_Cust,1364)&amp;"",INDEX(tx_Vend,1364)&amp;""),"")</f>
        <v/>
      </c>
      <c r="H1370" s="101">
        <f>IFERROR(N(INDEX(tx_Posted,1364)),0)</f>
        <v/>
      </c>
      <c r="I1370" s="58">
        <f>IF(H1370=1,INDEX(tx_DrAcct,1364)&amp;"","")</f>
        <v/>
      </c>
      <c r="J1370" s="95">
        <f>IF(H1370=1,INDEX(tx_DrAmt,1364),0)</f>
        <v/>
      </c>
      <c r="K1370" s="58">
        <f>IF(H1370=1,INDEX(tx_CrAcct,1364)&amp;"","")</f>
        <v/>
      </c>
      <c r="L1370" s="95">
        <f>IF(H1370=1,INDEX(tx_CrAmt,1364),0)</f>
        <v/>
      </c>
      <c r="M1370" s="95">
        <f>IF(H1370=1,INDEX(tx_TaxDr,1364),0)</f>
        <v/>
      </c>
      <c r="N1370" s="95">
        <f>IF(H1370=1,INDEX(tx_TaxCr,1364),0)</f>
        <v/>
      </c>
      <c r="O1370" s="101">
        <f>IF(H1370=1,IF(E1370&lt;FYStart,0,IF(E1370&gt;FYEnd,13,YEAR(E1370)*12+MONTH(E1370)-FYYM+1)),"")</f>
        <v/>
      </c>
      <c r="P1370" s="101">
        <f>IF(H1370=1,IF(IFERROR(INDEX(coa_CF,MATCH(I1370,coa_Name,0)),"")="Cash",1,0),0)</f>
        <v/>
      </c>
      <c r="Q1370" s="101">
        <f>IF(H1370=1,IF(IFERROR(INDEX(coa_CF,MATCH(K1370,coa_Name,0)),"")="Cash",1,0),0)</f>
        <v/>
      </c>
      <c r="R1370" s="58">
        <f>IF((P1370-Q1370)=0,"",IFERROR(INDEX(coa_CF,MATCH(IF((P1370-Q1370)=1,K1370,I1370),coa_Name,0)),"Operating"))</f>
        <v/>
      </c>
      <c r="S1370" s="95">
        <f>IF((P1370-Q1370)=1,L1370,IF((P1370-Q1370)=-1,-J1370,0))</f>
        <v/>
      </c>
      <c r="T1370" s="95">
        <f>IF((P1370-Q1370)=1,N1370,IF((P1370-Q1370)=-1,-M1370,0))</f>
        <v/>
      </c>
      <c r="U1370" s="101">
        <f>IF(AND(H1370=1,LedAcct&lt;&gt;""),IF(AND(E1370&gt;=LedFrom,E1370&lt;=LedTo,OR(I1370=LedAcct,K1370=LedAcct,AND(LedAcct=acctTax,M1370+N1370&lt;&gt;0))),E1370*10000+B1370,""),"")</f>
        <v/>
      </c>
    </row>
    <row r="1371">
      <c r="B1371" s="101" t="n">
        <v>1365</v>
      </c>
      <c r="C1371" s="58" t="inlineStr">
        <is>
          <t>Transaction</t>
        </is>
      </c>
      <c r="D1371" s="58">
        <f>IF(H1371=1,INDEX(tx_ID,1365)&amp;"","")</f>
        <v/>
      </c>
      <c r="E1371" s="94">
        <f>IF(H1371=1,INDEX(tx_Date,1365),"")</f>
        <v/>
      </c>
      <c r="F1371" s="58">
        <f>IF(H1371=1,INDEX(tx_Desc,1365)&amp;"","")</f>
        <v/>
      </c>
      <c r="G1371" s="58">
        <f>IF(H1371=1,IF(INDEX(tx_Cust,1365)&amp;""&lt;&gt;"",INDEX(tx_Cust,1365)&amp;"",INDEX(tx_Vend,1365)&amp;""),"")</f>
        <v/>
      </c>
      <c r="H1371" s="101">
        <f>IFERROR(N(INDEX(tx_Posted,1365)),0)</f>
        <v/>
      </c>
      <c r="I1371" s="58">
        <f>IF(H1371=1,INDEX(tx_DrAcct,1365)&amp;"","")</f>
        <v/>
      </c>
      <c r="J1371" s="95">
        <f>IF(H1371=1,INDEX(tx_DrAmt,1365),0)</f>
        <v/>
      </c>
      <c r="K1371" s="58">
        <f>IF(H1371=1,INDEX(tx_CrAcct,1365)&amp;"","")</f>
        <v/>
      </c>
      <c r="L1371" s="95">
        <f>IF(H1371=1,INDEX(tx_CrAmt,1365),0)</f>
        <v/>
      </c>
      <c r="M1371" s="95">
        <f>IF(H1371=1,INDEX(tx_TaxDr,1365),0)</f>
        <v/>
      </c>
      <c r="N1371" s="95">
        <f>IF(H1371=1,INDEX(tx_TaxCr,1365),0)</f>
        <v/>
      </c>
      <c r="O1371" s="101">
        <f>IF(H1371=1,IF(E1371&lt;FYStart,0,IF(E1371&gt;FYEnd,13,YEAR(E1371)*12+MONTH(E1371)-FYYM+1)),"")</f>
        <v/>
      </c>
      <c r="P1371" s="101">
        <f>IF(H1371=1,IF(IFERROR(INDEX(coa_CF,MATCH(I1371,coa_Name,0)),"")="Cash",1,0),0)</f>
        <v/>
      </c>
      <c r="Q1371" s="101">
        <f>IF(H1371=1,IF(IFERROR(INDEX(coa_CF,MATCH(K1371,coa_Name,0)),"")="Cash",1,0),0)</f>
        <v/>
      </c>
      <c r="R1371" s="58">
        <f>IF((P1371-Q1371)=0,"",IFERROR(INDEX(coa_CF,MATCH(IF((P1371-Q1371)=1,K1371,I1371),coa_Name,0)),"Operating"))</f>
        <v/>
      </c>
      <c r="S1371" s="95">
        <f>IF((P1371-Q1371)=1,L1371,IF((P1371-Q1371)=-1,-J1371,0))</f>
        <v/>
      </c>
      <c r="T1371" s="95">
        <f>IF((P1371-Q1371)=1,N1371,IF((P1371-Q1371)=-1,-M1371,0))</f>
        <v/>
      </c>
      <c r="U1371" s="101">
        <f>IF(AND(H1371=1,LedAcct&lt;&gt;""),IF(AND(E1371&gt;=LedFrom,E1371&lt;=LedTo,OR(I1371=LedAcct,K1371=LedAcct,AND(LedAcct=acctTax,M1371+N1371&lt;&gt;0))),E1371*10000+B1371,""),"")</f>
        <v/>
      </c>
    </row>
    <row r="1372">
      <c r="B1372" s="101" t="n">
        <v>1366</v>
      </c>
      <c r="C1372" s="58" t="inlineStr">
        <is>
          <t>Transaction</t>
        </is>
      </c>
      <c r="D1372" s="58">
        <f>IF(H1372=1,INDEX(tx_ID,1366)&amp;"","")</f>
        <v/>
      </c>
      <c r="E1372" s="94">
        <f>IF(H1372=1,INDEX(tx_Date,1366),"")</f>
        <v/>
      </c>
      <c r="F1372" s="58">
        <f>IF(H1372=1,INDEX(tx_Desc,1366)&amp;"","")</f>
        <v/>
      </c>
      <c r="G1372" s="58">
        <f>IF(H1372=1,IF(INDEX(tx_Cust,1366)&amp;""&lt;&gt;"",INDEX(tx_Cust,1366)&amp;"",INDEX(tx_Vend,1366)&amp;""),"")</f>
        <v/>
      </c>
      <c r="H1372" s="101">
        <f>IFERROR(N(INDEX(tx_Posted,1366)),0)</f>
        <v/>
      </c>
      <c r="I1372" s="58">
        <f>IF(H1372=1,INDEX(tx_DrAcct,1366)&amp;"","")</f>
        <v/>
      </c>
      <c r="J1372" s="95">
        <f>IF(H1372=1,INDEX(tx_DrAmt,1366),0)</f>
        <v/>
      </c>
      <c r="K1372" s="58">
        <f>IF(H1372=1,INDEX(tx_CrAcct,1366)&amp;"","")</f>
        <v/>
      </c>
      <c r="L1372" s="95">
        <f>IF(H1372=1,INDEX(tx_CrAmt,1366),0)</f>
        <v/>
      </c>
      <c r="M1372" s="95">
        <f>IF(H1372=1,INDEX(tx_TaxDr,1366),0)</f>
        <v/>
      </c>
      <c r="N1372" s="95">
        <f>IF(H1372=1,INDEX(tx_TaxCr,1366),0)</f>
        <v/>
      </c>
      <c r="O1372" s="101">
        <f>IF(H1372=1,IF(E1372&lt;FYStart,0,IF(E1372&gt;FYEnd,13,YEAR(E1372)*12+MONTH(E1372)-FYYM+1)),"")</f>
        <v/>
      </c>
      <c r="P1372" s="101">
        <f>IF(H1372=1,IF(IFERROR(INDEX(coa_CF,MATCH(I1372,coa_Name,0)),"")="Cash",1,0),0)</f>
        <v/>
      </c>
      <c r="Q1372" s="101">
        <f>IF(H1372=1,IF(IFERROR(INDEX(coa_CF,MATCH(K1372,coa_Name,0)),"")="Cash",1,0),0)</f>
        <v/>
      </c>
      <c r="R1372" s="58">
        <f>IF((P1372-Q1372)=0,"",IFERROR(INDEX(coa_CF,MATCH(IF((P1372-Q1372)=1,K1372,I1372),coa_Name,0)),"Operating"))</f>
        <v/>
      </c>
      <c r="S1372" s="95">
        <f>IF((P1372-Q1372)=1,L1372,IF((P1372-Q1372)=-1,-J1372,0))</f>
        <v/>
      </c>
      <c r="T1372" s="95">
        <f>IF((P1372-Q1372)=1,N1372,IF((P1372-Q1372)=-1,-M1372,0))</f>
        <v/>
      </c>
      <c r="U1372" s="101">
        <f>IF(AND(H1372=1,LedAcct&lt;&gt;""),IF(AND(E1372&gt;=LedFrom,E1372&lt;=LedTo,OR(I1372=LedAcct,K1372=LedAcct,AND(LedAcct=acctTax,M1372+N1372&lt;&gt;0))),E1372*10000+B1372,""),"")</f>
        <v/>
      </c>
    </row>
    <row r="1373">
      <c r="B1373" s="101" t="n">
        <v>1367</v>
      </c>
      <c r="C1373" s="58" t="inlineStr">
        <is>
          <t>Transaction</t>
        </is>
      </c>
      <c r="D1373" s="58">
        <f>IF(H1373=1,INDEX(tx_ID,1367)&amp;"","")</f>
        <v/>
      </c>
      <c r="E1373" s="94">
        <f>IF(H1373=1,INDEX(tx_Date,1367),"")</f>
        <v/>
      </c>
      <c r="F1373" s="58">
        <f>IF(H1373=1,INDEX(tx_Desc,1367)&amp;"","")</f>
        <v/>
      </c>
      <c r="G1373" s="58">
        <f>IF(H1373=1,IF(INDEX(tx_Cust,1367)&amp;""&lt;&gt;"",INDEX(tx_Cust,1367)&amp;"",INDEX(tx_Vend,1367)&amp;""),"")</f>
        <v/>
      </c>
      <c r="H1373" s="101">
        <f>IFERROR(N(INDEX(tx_Posted,1367)),0)</f>
        <v/>
      </c>
      <c r="I1373" s="58">
        <f>IF(H1373=1,INDEX(tx_DrAcct,1367)&amp;"","")</f>
        <v/>
      </c>
      <c r="J1373" s="95">
        <f>IF(H1373=1,INDEX(tx_DrAmt,1367),0)</f>
        <v/>
      </c>
      <c r="K1373" s="58">
        <f>IF(H1373=1,INDEX(tx_CrAcct,1367)&amp;"","")</f>
        <v/>
      </c>
      <c r="L1373" s="95">
        <f>IF(H1373=1,INDEX(tx_CrAmt,1367),0)</f>
        <v/>
      </c>
      <c r="M1373" s="95">
        <f>IF(H1373=1,INDEX(tx_TaxDr,1367),0)</f>
        <v/>
      </c>
      <c r="N1373" s="95">
        <f>IF(H1373=1,INDEX(tx_TaxCr,1367),0)</f>
        <v/>
      </c>
      <c r="O1373" s="101">
        <f>IF(H1373=1,IF(E1373&lt;FYStart,0,IF(E1373&gt;FYEnd,13,YEAR(E1373)*12+MONTH(E1373)-FYYM+1)),"")</f>
        <v/>
      </c>
      <c r="P1373" s="101">
        <f>IF(H1373=1,IF(IFERROR(INDEX(coa_CF,MATCH(I1373,coa_Name,0)),"")="Cash",1,0),0)</f>
        <v/>
      </c>
      <c r="Q1373" s="101">
        <f>IF(H1373=1,IF(IFERROR(INDEX(coa_CF,MATCH(K1373,coa_Name,0)),"")="Cash",1,0),0)</f>
        <v/>
      </c>
      <c r="R1373" s="58">
        <f>IF((P1373-Q1373)=0,"",IFERROR(INDEX(coa_CF,MATCH(IF((P1373-Q1373)=1,K1373,I1373),coa_Name,0)),"Operating"))</f>
        <v/>
      </c>
      <c r="S1373" s="95">
        <f>IF((P1373-Q1373)=1,L1373,IF((P1373-Q1373)=-1,-J1373,0))</f>
        <v/>
      </c>
      <c r="T1373" s="95">
        <f>IF((P1373-Q1373)=1,N1373,IF((P1373-Q1373)=-1,-M1373,0))</f>
        <v/>
      </c>
      <c r="U1373" s="101">
        <f>IF(AND(H1373=1,LedAcct&lt;&gt;""),IF(AND(E1373&gt;=LedFrom,E1373&lt;=LedTo,OR(I1373=LedAcct,K1373=LedAcct,AND(LedAcct=acctTax,M1373+N1373&lt;&gt;0))),E1373*10000+B1373,""),"")</f>
        <v/>
      </c>
    </row>
    <row r="1374">
      <c r="B1374" s="101" t="n">
        <v>1368</v>
      </c>
      <c r="C1374" s="58" t="inlineStr">
        <is>
          <t>Transaction</t>
        </is>
      </c>
      <c r="D1374" s="58">
        <f>IF(H1374=1,INDEX(tx_ID,1368)&amp;"","")</f>
        <v/>
      </c>
      <c r="E1374" s="94">
        <f>IF(H1374=1,INDEX(tx_Date,1368),"")</f>
        <v/>
      </c>
      <c r="F1374" s="58">
        <f>IF(H1374=1,INDEX(tx_Desc,1368)&amp;"","")</f>
        <v/>
      </c>
      <c r="G1374" s="58">
        <f>IF(H1374=1,IF(INDEX(tx_Cust,1368)&amp;""&lt;&gt;"",INDEX(tx_Cust,1368)&amp;"",INDEX(tx_Vend,1368)&amp;""),"")</f>
        <v/>
      </c>
      <c r="H1374" s="101">
        <f>IFERROR(N(INDEX(tx_Posted,1368)),0)</f>
        <v/>
      </c>
      <c r="I1374" s="58">
        <f>IF(H1374=1,INDEX(tx_DrAcct,1368)&amp;"","")</f>
        <v/>
      </c>
      <c r="J1374" s="95">
        <f>IF(H1374=1,INDEX(tx_DrAmt,1368),0)</f>
        <v/>
      </c>
      <c r="K1374" s="58">
        <f>IF(H1374=1,INDEX(tx_CrAcct,1368)&amp;"","")</f>
        <v/>
      </c>
      <c r="L1374" s="95">
        <f>IF(H1374=1,INDEX(tx_CrAmt,1368),0)</f>
        <v/>
      </c>
      <c r="M1374" s="95">
        <f>IF(H1374=1,INDEX(tx_TaxDr,1368),0)</f>
        <v/>
      </c>
      <c r="N1374" s="95">
        <f>IF(H1374=1,INDEX(tx_TaxCr,1368),0)</f>
        <v/>
      </c>
      <c r="O1374" s="101">
        <f>IF(H1374=1,IF(E1374&lt;FYStart,0,IF(E1374&gt;FYEnd,13,YEAR(E1374)*12+MONTH(E1374)-FYYM+1)),"")</f>
        <v/>
      </c>
      <c r="P1374" s="101">
        <f>IF(H1374=1,IF(IFERROR(INDEX(coa_CF,MATCH(I1374,coa_Name,0)),"")="Cash",1,0),0)</f>
        <v/>
      </c>
      <c r="Q1374" s="101">
        <f>IF(H1374=1,IF(IFERROR(INDEX(coa_CF,MATCH(K1374,coa_Name,0)),"")="Cash",1,0),0)</f>
        <v/>
      </c>
      <c r="R1374" s="58">
        <f>IF((P1374-Q1374)=0,"",IFERROR(INDEX(coa_CF,MATCH(IF((P1374-Q1374)=1,K1374,I1374),coa_Name,0)),"Operating"))</f>
        <v/>
      </c>
      <c r="S1374" s="95">
        <f>IF((P1374-Q1374)=1,L1374,IF((P1374-Q1374)=-1,-J1374,0))</f>
        <v/>
      </c>
      <c r="T1374" s="95">
        <f>IF((P1374-Q1374)=1,N1374,IF((P1374-Q1374)=-1,-M1374,0))</f>
        <v/>
      </c>
      <c r="U1374" s="101">
        <f>IF(AND(H1374=1,LedAcct&lt;&gt;""),IF(AND(E1374&gt;=LedFrom,E1374&lt;=LedTo,OR(I1374=LedAcct,K1374=LedAcct,AND(LedAcct=acctTax,M1374+N1374&lt;&gt;0))),E1374*10000+B1374,""),"")</f>
        <v/>
      </c>
    </row>
    <row r="1375">
      <c r="B1375" s="101" t="n">
        <v>1369</v>
      </c>
      <c r="C1375" s="58" t="inlineStr">
        <is>
          <t>Transaction</t>
        </is>
      </c>
      <c r="D1375" s="58">
        <f>IF(H1375=1,INDEX(tx_ID,1369)&amp;"","")</f>
        <v/>
      </c>
      <c r="E1375" s="94">
        <f>IF(H1375=1,INDEX(tx_Date,1369),"")</f>
        <v/>
      </c>
      <c r="F1375" s="58">
        <f>IF(H1375=1,INDEX(tx_Desc,1369)&amp;"","")</f>
        <v/>
      </c>
      <c r="G1375" s="58">
        <f>IF(H1375=1,IF(INDEX(tx_Cust,1369)&amp;""&lt;&gt;"",INDEX(tx_Cust,1369)&amp;"",INDEX(tx_Vend,1369)&amp;""),"")</f>
        <v/>
      </c>
      <c r="H1375" s="101">
        <f>IFERROR(N(INDEX(tx_Posted,1369)),0)</f>
        <v/>
      </c>
      <c r="I1375" s="58">
        <f>IF(H1375=1,INDEX(tx_DrAcct,1369)&amp;"","")</f>
        <v/>
      </c>
      <c r="J1375" s="95">
        <f>IF(H1375=1,INDEX(tx_DrAmt,1369),0)</f>
        <v/>
      </c>
      <c r="K1375" s="58">
        <f>IF(H1375=1,INDEX(tx_CrAcct,1369)&amp;"","")</f>
        <v/>
      </c>
      <c r="L1375" s="95">
        <f>IF(H1375=1,INDEX(tx_CrAmt,1369),0)</f>
        <v/>
      </c>
      <c r="M1375" s="95">
        <f>IF(H1375=1,INDEX(tx_TaxDr,1369),0)</f>
        <v/>
      </c>
      <c r="N1375" s="95">
        <f>IF(H1375=1,INDEX(tx_TaxCr,1369),0)</f>
        <v/>
      </c>
      <c r="O1375" s="101">
        <f>IF(H1375=1,IF(E1375&lt;FYStart,0,IF(E1375&gt;FYEnd,13,YEAR(E1375)*12+MONTH(E1375)-FYYM+1)),"")</f>
        <v/>
      </c>
      <c r="P1375" s="101">
        <f>IF(H1375=1,IF(IFERROR(INDEX(coa_CF,MATCH(I1375,coa_Name,0)),"")="Cash",1,0),0)</f>
        <v/>
      </c>
      <c r="Q1375" s="101">
        <f>IF(H1375=1,IF(IFERROR(INDEX(coa_CF,MATCH(K1375,coa_Name,0)),"")="Cash",1,0),0)</f>
        <v/>
      </c>
      <c r="R1375" s="58">
        <f>IF((P1375-Q1375)=0,"",IFERROR(INDEX(coa_CF,MATCH(IF((P1375-Q1375)=1,K1375,I1375),coa_Name,0)),"Operating"))</f>
        <v/>
      </c>
      <c r="S1375" s="95">
        <f>IF((P1375-Q1375)=1,L1375,IF((P1375-Q1375)=-1,-J1375,0))</f>
        <v/>
      </c>
      <c r="T1375" s="95">
        <f>IF((P1375-Q1375)=1,N1375,IF((P1375-Q1375)=-1,-M1375,0))</f>
        <v/>
      </c>
      <c r="U1375" s="101">
        <f>IF(AND(H1375=1,LedAcct&lt;&gt;""),IF(AND(E1375&gt;=LedFrom,E1375&lt;=LedTo,OR(I1375=LedAcct,K1375=LedAcct,AND(LedAcct=acctTax,M1375+N1375&lt;&gt;0))),E1375*10000+B1375,""),"")</f>
        <v/>
      </c>
    </row>
    <row r="1376">
      <c r="B1376" s="101" t="n">
        <v>1370</v>
      </c>
      <c r="C1376" s="58" t="inlineStr">
        <is>
          <t>Transaction</t>
        </is>
      </c>
      <c r="D1376" s="58">
        <f>IF(H1376=1,INDEX(tx_ID,1370)&amp;"","")</f>
        <v/>
      </c>
      <c r="E1376" s="94">
        <f>IF(H1376=1,INDEX(tx_Date,1370),"")</f>
        <v/>
      </c>
      <c r="F1376" s="58">
        <f>IF(H1376=1,INDEX(tx_Desc,1370)&amp;"","")</f>
        <v/>
      </c>
      <c r="G1376" s="58">
        <f>IF(H1376=1,IF(INDEX(tx_Cust,1370)&amp;""&lt;&gt;"",INDEX(tx_Cust,1370)&amp;"",INDEX(tx_Vend,1370)&amp;""),"")</f>
        <v/>
      </c>
      <c r="H1376" s="101">
        <f>IFERROR(N(INDEX(tx_Posted,1370)),0)</f>
        <v/>
      </c>
      <c r="I1376" s="58">
        <f>IF(H1376=1,INDEX(tx_DrAcct,1370)&amp;"","")</f>
        <v/>
      </c>
      <c r="J1376" s="95">
        <f>IF(H1376=1,INDEX(tx_DrAmt,1370),0)</f>
        <v/>
      </c>
      <c r="K1376" s="58">
        <f>IF(H1376=1,INDEX(tx_CrAcct,1370)&amp;"","")</f>
        <v/>
      </c>
      <c r="L1376" s="95">
        <f>IF(H1376=1,INDEX(tx_CrAmt,1370),0)</f>
        <v/>
      </c>
      <c r="M1376" s="95">
        <f>IF(H1376=1,INDEX(tx_TaxDr,1370),0)</f>
        <v/>
      </c>
      <c r="N1376" s="95">
        <f>IF(H1376=1,INDEX(tx_TaxCr,1370),0)</f>
        <v/>
      </c>
      <c r="O1376" s="101">
        <f>IF(H1376=1,IF(E1376&lt;FYStart,0,IF(E1376&gt;FYEnd,13,YEAR(E1376)*12+MONTH(E1376)-FYYM+1)),"")</f>
        <v/>
      </c>
      <c r="P1376" s="101">
        <f>IF(H1376=1,IF(IFERROR(INDEX(coa_CF,MATCH(I1376,coa_Name,0)),"")="Cash",1,0),0)</f>
        <v/>
      </c>
      <c r="Q1376" s="101">
        <f>IF(H1376=1,IF(IFERROR(INDEX(coa_CF,MATCH(K1376,coa_Name,0)),"")="Cash",1,0),0)</f>
        <v/>
      </c>
      <c r="R1376" s="58">
        <f>IF((P1376-Q1376)=0,"",IFERROR(INDEX(coa_CF,MATCH(IF((P1376-Q1376)=1,K1376,I1376),coa_Name,0)),"Operating"))</f>
        <v/>
      </c>
      <c r="S1376" s="95">
        <f>IF((P1376-Q1376)=1,L1376,IF((P1376-Q1376)=-1,-J1376,0))</f>
        <v/>
      </c>
      <c r="T1376" s="95">
        <f>IF((P1376-Q1376)=1,N1376,IF((P1376-Q1376)=-1,-M1376,0))</f>
        <v/>
      </c>
      <c r="U1376" s="101">
        <f>IF(AND(H1376=1,LedAcct&lt;&gt;""),IF(AND(E1376&gt;=LedFrom,E1376&lt;=LedTo,OR(I1376=LedAcct,K1376=LedAcct,AND(LedAcct=acctTax,M1376+N1376&lt;&gt;0))),E1376*10000+B1376,""),"")</f>
        <v/>
      </c>
    </row>
    <row r="1377">
      <c r="B1377" s="101" t="n">
        <v>1371</v>
      </c>
      <c r="C1377" s="58" t="inlineStr">
        <is>
          <t>Transaction</t>
        </is>
      </c>
      <c r="D1377" s="58">
        <f>IF(H1377=1,INDEX(tx_ID,1371)&amp;"","")</f>
        <v/>
      </c>
      <c r="E1377" s="94">
        <f>IF(H1377=1,INDEX(tx_Date,1371),"")</f>
        <v/>
      </c>
      <c r="F1377" s="58">
        <f>IF(H1377=1,INDEX(tx_Desc,1371)&amp;"","")</f>
        <v/>
      </c>
      <c r="G1377" s="58">
        <f>IF(H1377=1,IF(INDEX(tx_Cust,1371)&amp;""&lt;&gt;"",INDEX(tx_Cust,1371)&amp;"",INDEX(tx_Vend,1371)&amp;""),"")</f>
        <v/>
      </c>
      <c r="H1377" s="101">
        <f>IFERROR(N(INDEX(tx_Posted,1371)),0)</f>
        <v/>
      </c>
      <c r="I1377" s="58">
        <f>IF(H1377=1,INDEX(tx_DrAcct,1371)&amp;"","")</f>
        <v/>
      </c>
      <c r="J1377" s="95">
        <f>IF(H1377=1,INDEX(tx_DrAmt,1371),0)</f>
        <v/>
      </c>
      <c r="K1377" s="58">
        <f>IF(H1377=1,INDEX(tx_CrAcct,1371)&amp;"","")</f>
        <v/>
      </c>
      <c r="L1377" s="95">
        <f>IF(H1377=1,INDEX(tx_CrAmt,1371),0)</f>
        <v/>
      </c>
      <c r="M1377" s="95">
        <f>IF(H1377=1,INDEX(tx_TaxDr,1371),0)</f>
        <v/>
      </c>
      <c r="N1377" s="95">
        <f>IF(H1377=1,INDEX(tx_TaxCr,1371),0)</f>
        <v/>
      </c>
      <c r="O1377" s="101">
        <f>IF(H1377=1,IF(E1377&lt;FYStart,0,IF(E1377&gt;FYEnd,13,YEAR(E1377)*12+MONTH(E1377)-FYYM+1)),"")</f>
        <v/>
      </c>
      <c r="P1377" s="101">
        <f>IF(H1377=1,IF(IFERROR(INDEX(coa_CF,MATCH(I1377,coa_Name,0)),"")="Cash",1,0),0)</f>
        <v/>
      </c>
      <c r="Q1377" s="101">
        <f>IF(H1377=1,IF(IFERROR(INDEX(coa_CF,MATCH(K1377,coa_Name,0)),"")="Cash",1,0),0)</f>
        <v/>
      </c>
      <c r="R1377" s="58">
        <f>IF((P1377-Q1377)=0,"",IFERROR(INDEX(coa_CF,MATCH(IF((P1377-Q1377)=1,K1377,I1377),coa_Name,0)),"Operating"))</f>
        <v/>
      </c>
      <c r="S1377" s="95">
        <f>IF((P1377-Q1377)=1,L1377,IF((P1377-Q1377)=-1,-J1377,0))</f>
        <v/>
      </c>
      <c r="T1377" s="95">
        <f>IF((P1377-Q1377)=1,N1377,IF((P1377-Q1377)=-1,-M1377,0))</f>
        <v/>
      </c>
      <c r="U1377" s="101">
        <f>IF(AND(H1377=1,LedAcct&lt;&gt;""),IF(AND(E1377&gt;=LedFrom,E1377&lt;=LedTo,OR(I1377=LedAcct,K1377=LedAcct,AND(LedAcct=acctTax,M1377+N1377&lt;&gt;0))),E1377*10000+B1377,""),"")</f>
        <v/>
      </c>
    </row>
    <row r="1378">
      <c r="B1378" s="101" t="n">
        <v>1372</v>
      </c>
      <c r="C1378" s="58" t="inlineStr">
        <is>
          <t>Transaction</t>
        </is>
      </c>
      <c r="D1378" s="58">
        <f>IF(H1378=1,INDEX(tx_ID,1372)&amp;"","")</f>
        <v/>
      </c>
      <c r="E1378" s="94">
        <f>IF(H1378=1,INDEX(tx_Date,1372),"")</f>
        <v/>
      </c>
      <c r="F1378" s="58">
        <f>IF(H1378=1,INDEX(tx_Desc,1372)&amp;"","")</f>
        <v/>
      </c>
      <c r="G1378" s="58">
        <f>IF(H1378=1,IF(INDEX(tx_Cust,1372)&amp;""&lt;&gt;"",INDEX(tx_Cust,1372)&amp;"",INDEX(tx_Vend,1372)&amp;""),"")</f>
        <v/>
      </c>
      <c r="H1378" s="101">
        <f>IFERROR(N(INDEX(tx_Posted,1372)),0)</f>
        <v/>
      </c>
      <c r="I1378" s="58">
        <f>IF(H1378=1,INDEX(tx_DrAcct,1372)&amp;"","")</f>
        <v/>
      </c>
      <c r="J1378" s="95">
        <f>IF(H1378=1,INDEX(tx_DrAmt,1372),0)</f>
        <v/>
      </c>
      <c r="K1378" s="58">
        <f>IF(H1378=1,INDEX(tx_CrAcct,1372)&amp;"","")</f>
        <v/>
      </c>
      <c r="L1378" s="95">
        <f>IF(H1378=1,INDEX(tx_CrAmt,1372),0)</f>
        <v/>
      </c>
      <c r="M1378" s="95">
        <f>IF(H1378=1,INDEX(tx_TaxDr,1372),0)</f>
        <v/>
      </c>
      <c r="N1378" s="95">
        <f>IF(H1378=1,INDEX(tx_TaxCr,1372),0)</f>
        <v/>
      </c>
      <c r="O1378" s="101">
        <f>IF(H1378=1,IF(E1378&lt;FYStart,0,IF(E1378&gt;FYEnd,13,YEAR(E1378)*12+MONTH(E1378)-FYYM+1)),"")</f>
        <v/>
      </c>
      <c r="P1378" s="101">
        <f>IF(H1378=1,IF(IFERROR(INDEX(coa_CF,MATCH(I1378,coa_Name,0)),"")="Cash",1,0),0)</f>
        <v/>
      </c>
      <c r="Q1378" s="101">
        <f>IF(H1378=1,IF(IFERROR(INDEX(coa_CF,MATCH(K1378,coa_Name,0)),"")="Cash",1,0),0)</f>
        <v/>
      </c>
      <c r="R1378" s="58">
        <f>IF((P1378-Q1378)=0,"",IFERROR(INDEX(coa_CF,MATCH(IF((P1378-Q1378)=1,K1378,I1378),coa_Name,0)),"Operating"))</f>
        <v/>
      </c>
      <c r="S1378" s="95">
        <f>IF((P1378-Q1378)=1,L1378,IF((P1378-Q1378)=-1,-J1378,0))</f>
        <v/>
      </c>
      <c r="T1378" s="95">
        <f>IF((P1378-Q1378)=1,N1378,IF((P1378-Q1378)=-1,-M1378,0))</f>
        <v/>
      </c>
      <c r="U1378" s="101">
        <f>IF(AND(H1378=1,LedAcct&lt;&gt;""),IF(AND(E1378&gt;=LedFrom,E1378&lt;=LedTo,OR(I1378=LedAcct,K1378=LedAcct,AND(LedAcct=acctTax,M1378+N1378&lt;&gt;0))),E1378*10000+B1378,""),"")</f>
        <v/>
      </c>
    </row>
    <row r="1379">
      <c r="B1379" s="101" t="n">
        <v>1373</v>
      </c>
      <c r="C1379" s="58" t="inlineStr">
        <is>
          <t>Transaction</t>
        </is>
      </c>
      <c r="D1379" s="58">
        <f>IF(H1379=1,INDEX(tx_ID,1373)&amp;"","")</f>
        <v/>
      </c>
      <c r="E1379" s="94">
        <f>IF(H1379=1,INDEX(tx_Date,1373),"")</f>
        <v/>
      </c>
      <c r="F1379" s="58">
        <f>IF(H1379=1,INDEX(tx_Desc,1373)&amp;"","")</f>
        <v/>
      </c>
      <c r="G1379" s="58">
        <f>IF(H1379=1,IF(INDEX(tx_Cust,1373)&amp;""&lt;&gt;"",INDEX(tx_Cust,1373)&amp;"",INDEX(tx_Vend,1373)&amp;""),"")</f>
        <v/>
      </c>
      <c r="H1379" s="101">
        <f>IFERROR(N(INDEX(tx_Posted,1373)),0)</f>
        <v/>
      </c>
      <c r="I1379" s="58">
        <f>IF(H1379=1,INDEX(tx_DrAcct,1373)&amp;"","")</f>
        <v/>
      </c>
      <c r="J1379" s="95">
        <f>IF(H1379=1,INDEX(tx_DrAmt,1373),0)</f>
        <v/>
      </c>
      <c r="K1379" s="58">
        <f>IF(H1379=1,INDEX(tx_CrAcct,1373)&amp;"","")</f>
        <v/>
      </c>
      <c r="L1379" s="95">
        <f>IF(H1379=1,INDEX(tx_CrAmt,1373),0)</f>
        <v/>
      </c>
      <c r="M1379" s="95">
        <f>IF(H1379=1,INDEX(tx_TaxDr,1373),0)</f>
        <v/>
      </c>
      <c r="N1379" s="95">
        <f>IF(H1379=1,INDEX(tx_TaxCr,1373),0)</f>
        <v/>
      </c>
      <c r="O1379" s="101">
        <f>IF(H1379=1,IF(E1379&lt;FYStart,0,IF(E1379&gt;FYEnd,13,YEAR(E1379)*12+MONTH(E1379)-FYYM+1)),"")</f>
        <v/>
      </c>
      <c r="P1379" s="101">
        <f>IF(H1379=1,IF(IFERROR(INDEX(coa_CF,MATCH(I1379,coa_Name,0)),"")="Cash",1,0),0)</f>
        <v/>
      </c>
      <c r="Q1379" s="101">
        <f>IF(H1379=1,IF(IFERROR(INDEX(coa_CF,MATCH(K1379,coa_Name,0)),"")="Cash",1,0),0)</f>
        <v/>
      </c>
      <c r="R1379" s="58">
        <f>IF((P1379-Q1379)=0,"",IFERROR(INDEX(coa_CF,MATCH(IF((P1379-Q1379)=1,K1379,I1379),coa_Name,0)),"Operating"))</f>
        <v/>
      </c>
      <c r="S1379" s="95">
        <f>IF((P1379-Q1379)=1,L1379,IF((P1379-Q1379)=-1,-J1379,0))</f>
        <v/>
      </c>
      <c r="T1379" s="95">
        <f>IF((P1379-Q1379)=1,N1379,IF((P1379-Q1379)=-1,-M1379,0))</f>
        <v/>
      </c>
      <c r="U1379" s="101">
        <f>IF(AND(H1379=1,LedAcct&lt;&gt;""),IF(AND(E1379&gt;=LedFrom,E1379&lt;=LedTo,OR(I1379=LedAcct,K1379=LedAcct,AND(LedAcct=acctTax,M1379+N1379&lt;&gt;0))),E1379*10000+B1379,""),"")</f>
        <v/>
      </c>
    </row>
    <row r="1380">
      <c r="B1380" s="101" t="n">
        <v>1374</v>
      </c>
      <c r="C1380" s="58" t="inlineStr">
        <is>
          <t>Transaction</t>
        </is>
      </c>
      <c r="D1380" s="58">
        <f>IF(H1380=1,INDEX(tx_ID,1374)&amp;"","")</f>
        <v/>
      </c>
      <c r="E1380" s="94">
        <f>IF(H1380=1,INDEX(tx_Date,1374),"")</f>
        <v/>
      </c>
      <c r="F1380" s="58">
        <f>IF(H1380=1,INDEX(tx_Desc,1374)&amp;"","")</f>
        <v/>
      </c>
      <c r="G1380" s="58">
        <f>IF(H1380=1,IF(INDEX(tx_Cust,1374)&amp;""&lt;&gt;"",INDEX(tx_Cust,1374)&amp;"",INDEX(tx_Vend,1374)&amp;""),"")</f>
        <v/>
      </c>
      <c r="H1380" s="101">
        <f>IFERROR(N(INDEX(tx_Posted,1374)),0)</f>
        <v/>
      </c>
      <c r="I1380" s="58">
        <f>IF(H1380=1,INDEX(tx_DrAcct,1374)&amp;"","")</f>
        <v/>
      </c>
      <c r="J1380" s="95">
        <f>IF(H1380=1,INDEX(tx_DrAmt,1374),0)</f>
        <v/>
      </c>
      <c r="K1380" s="58">
        <f>IF(H1380=1,INDEX(tx_CrAcct,1374)&amp;"","")</f>
        <v/>
      </c>
      <c r="L1380" s="95">
        <f>IF(H1380=1,INDEX(tx_CrAmt,1374),0)</f>
        <v/>
      </c>
      <c r="M1380" s="95">
        <f>IF(H1380=1,INDEX(tx_TaxDr,1374),0)</f>
        <v/>
      </c>
      <c r="N1380" s="95">
        <f>IF(H1380=1,INDEX(tx_TaxCr,1374),0)</f>
        <v/>
      </c>
      <c r="O1380" s="101">
        <f>IF(H1380=1,IF(E1380&lt;FYStart,0,IF(E1380&gt;FYEnd,13,YEAR(E1380)*12+MONTH(E1380)-FYYM+1)),"")</f>
        <v/>
      </c>
      <c r="P1380" s="101">
        <f>IF(H1380=1,IF(IFERROR(INDEX(coa_CF,MATCH(I1380,coa_Name,0)),"")="Cash",1,0),0)</f>
        <v/>
      </c>
      <c r="Q1380" s="101">
        <f>IF(H1380=1,IF(IFERROR(INDEX(coa_CF,MATCH(K1380,coa_Name,0)),"")="Cash",1,0),0)</f>
        <v/>
      </c>
      <c r="R1380" s="58">
        <f>IF((P1380-Q1380)=0,"",IFERROR(INDEX(coa_CF,MATCH(IF((P1380-Q1380)=1,K1380,I1380),coa_Name,0)),"Operating"))</f>
        <v/>
      </c>
      <c r="S1380" s="95">
        <f>IF((P1380-Q1380)=1,L1380,IF((P1380-Q1380)=-1,-J1380,0))</f>
        <v/>
      </c>
      <c r="T1380" s="95">
        <f>IF((P1380-Q1380)=1,N1380,IF((P1380-Q1380)=-1,-M1380,0))</f>
        <v/>
      </c>
      <c r="U1380" s="101">
        <f>IF(AND(H1380=1,LedAcct&lt;&gt;""),IF(AND(E1380&gt;=LedFrom,E1380&lt;=LedTo,OR(I1380=LedAcct,K1380=LedAcct,AND(LedAcct=acctTax,M1380+N1380&lt;&gt;0))),E1380*10000+B1380,""),"")</f>
        <v/>
      </c>
    </row>
    <row r="1381">
      <c r="B1381" s="101" t="n">
        <v>1375</v>
      </c>
      <c r="C1381" s="58" t="inlineStr">
        <is>
          <t>Transaction</t>
        </is>
      </c>
      <c r="D1381" s="58">
        <f>IF(H1381=1,INDEX(tx_ID,1375)&amp;"","")</f>
        <v/>
      </c>
      <c r="E1381" s="94">
        <f>IF(H1381=1,INDEX(tx_Date,1375),"")</f>
        <v/>
      </c>
      <c r="F1381" s="58">
        <f>IF(H1381=1,INDEX(tx_Desc,1375)&amp;"","")</f>
        <v/>
      </c>
      <c r="G1381" s="58">
        <f>IF(H1381=1,IF(INDEX(tx_Cust,1375)&amp;""&lt;&gt;"",INDEX(tx_Cust,1375)&amp;"",INDEX(tx_Vend,1375)&amp;""),"")</f>
        <v/>
      </c>
      <c r="H1381" s="101">
        <f>IFERROR(N(INDEX(tx_Posted,1375)),0)</f>
        <v/>
      </c>
      <c r="I1381" s="58">
        <f>IF(H1381=1,INDEX(tx_DrAcct,1375)&amp;"","")</f>
        <v/>
      </c>
      <c r="J1381" s="95">
        <f>IF(H1381=1,INDEX(tx_DrAmt,1375),0)</f>
        <v/>
      </c>
      <c r="K1381" s="58">
        <f>IF(H1381=1,INDEX(tx_CrAcct,1375)&amp;"","")</f>
        <v/>
      </c>
      <c r="L1381" s="95">
        <f>IF(H1381=1,INDEX(tx_CrAmt,1375),0)</f>
        <v/>
      </c>
      <c r="M1381" s="95">
        <f>IF(H1381=1,INDEX(tx_TaxDr,1375),0)</f>
        <v/>
      </c>
      <c r="N1381" s="95">
        <f>IF(H1381=1,INDEX(tx_TaxCr,1375),0)</f>
        <v/>
      </c>
      <c r="O1381" s="101">
        <f>IF(H1381=1,IF(E1381&lt;FYStart,0,IF(E1381&gt;FYEnd,13,YEAR(E1381)*12+MONTH(E1381)-FYYM+1)),"")</f>
        <v/>
      </c>
      <c r="P1381" s="101">
        <f>IF(H1381=1,IF(IFERROR(INDEX(coa_CF,MATCH(I1381,coa_Name,0)),"")="Cash",1,0),0)</f>
        <v/>
      </c>
      <c r="Q1381" s="101">
        <f>IF(H1381=1,IF(IFERROR(INDEX(coa_CF,MATCH(K1381,coa_Name,0)),"")="Cash",1,0),0)</f>
        <v/>
      </c>
      <c r="R1381" s="58">
        <f>IF((P1381-Q1381)=0,"",IFERROR(INDEX(coa_CF,MATCH(IF((P1381-Q1381)=1,K1381,I1381),coa_Name,0)),"Operating"))</f>
        <v/>
      </c>
      <c r="S1381" s="95">
        <f>IF((P1381-Q1381)=1,L1381,IF((P1381-Q1381)=-1,-J1381,0))</f>
        <v/>
      </c>
      <c r="T1381" s="95">
        <f>IF((P1381-Q1381)=1,N1381,IF((P1381-Q1381)=-1,-M1381,0))</f>
        <v/>
      </c>
      <c r="U1381" s="101">
        <f>IF(AND(H1381=1,LedAcct&lt;&gt;""),IF(AND(E1381&gt;=LedFrom,E1381&lt;=LedTo,OR(I1381=LedAcct,K1381=LedAcct,AND(LedAcct=acctTax,M1381+N1381&lt;&gt;0))),E1381*10000+B1381,""),"")</f>
        <v/>
      </c>
    </row>
    <row r="1382">
      <c r="B1382" s="101" t="n">
        <v>1376</v>
      </c>
      <c r="C1382" s="58" t="inlineStr">
        <is>
          <t>Transaction</t>
        </is>
      </c>
      <c r="D1382" s="58">
        <f>IF(H1382=1,INDEX(tx_ID,1376)&amp;"","")</f>
        <v/>
      </c>
      <c r="E1382" s="94">
        <f>IF(H1382=1,INDEX(tx_Date,1376),"")</f>
        <v/>
      </c>
      <c r="F1382" s="58">
        <f>IF(H1382=1,INDEX(tx_Desc,1376)&amp;"","")</f>
        <v/>
      </c>
      <c r="G1382" s="58">
        <f>IF(H1382=1,IF(INDEX(tx_Cust,1376)&amp;""&lt;&gt;"",INDEX(tx_Cust,1376)&amp;"",INDEX(tx_Vend,1376)&amp;""),"")</f>
        <v/>
      </c>
      <c r="H1382" s="101">
        <f>IFERROR(N(INDEX(tx_Posted,1376)),0)</f>
        <v/>
      </c>
      <c r="I1382" s="58">
        <f>IF(H1382=1,INDEX(tx_DrAcct,1376)&amp;"","")</f>
        <v/>
      </c>
      <c r="J1382" s="95">
        <f>IF(H1382=1,INDEX(tx_DrAmt,1376),0)</f>
        <v/>
      </c>
      <c r="K1382" s="58">
        <f>IF(H1382=1,INDEX(tx_CrAcct,1376)&amp;"","")</f>
        <v/>
      </c>
      <c r="L1382" s="95">
        <f>IF(H1382=1,INDEX(tx_CrAmt,1376),0)</f>
        <v/>
      </c>
      <c r="M1382" s="95">
        <f>IF(H1382=1,INDEX(tx_TaxDr,1376),0)</f>
        <v/>
      </c>
      <c r="N1382" s="95">
        <f>IF(H1382=1,INDEX(tx_TaxCr,1376),0)</f>
        <v/>
      </c>
      <c r="O1382" s="101">
        <f>IF(H1382=1,IF(E1382&lt;FYStart,0,IF(E1382&gt;FYEnd,13,YEAR(E1382)*12+MONTH(E1382)-FYYM+1)),"")</f>
        <v/>
      </c>
      <c r="P1382" s="101">
        <f>IF(H1382=1,IF(IFERROR(INDEX(coa_CF,MATCH(I1382,coa_Name,0)),"")="Cash",1,0),0)</f>
        <v/>
      </c>
      <c r="Q1382" s="101">
        <f>IF(H1382=1,IF(IFERROR(INDEX(coa_CF,MATCH(K1382,coa_Name,0)),"")="Cash",1,0),0)</f>
        <v/>
      </c>
      <c r="R1382" s="58">
        <f>IF((P1382-Q1382)=0,"",IFERROR(INDEX(coa_CF,MATCH(IF((P1382-Q1382)=1,K1382,I1382),coa_Name,0)),"Operating"))</f>
        <v/>
      </c>
      <c r="S1382" s="95">
        <f>IF((P1382-Q1382)=1,L1382,IF((P1382-Q1382)=-1,-J1382,0))</f>
        <v/>
      </c>
      <c r="T1382" s="95">
        <f>IF((P1382-Q1382)=1,N1382,IF((P1382-Q1382)=-1,-M1382,0))</f>
        <v/>
      </c>
      <c r="U1382" s="101">
        <f>IF(AND(H1382=1,LedAcct&lt;&gt;""),IF(AND(E1382&gt;=LedFrom,E1382&lt;=LedTo,OR(I1382=LedAcct,K1382=LedAcct,AND(LedAcct=acctTax,M1382+N1382&lt;&gt;0))),E1382*10000+B1382,""),"")</f>
        <v/>
      </c>
    </row>
    <row r="1383">
      <c r="B1383" s="101" t="n">
        <v>1377</v>
      </c>
      <c r="C1383" s="58" t="inlineStr">
        <is>
          <t>Transaction</t>
        </is>
      </c>
      <c r="D1383" s="58">
        <f>IF(H1383=1,INDEX(tx_ID,1377)&amp;"","")</f>
        <v/>
      </c>
      <c r="E1383" s="94">
        <f>IF(H1383=1,INDEX(tx_Date,1377),"")</f>
        <v/>
      </c>
      <c r="F1383" s="58">
        <f>IF(H1383=1,INDEX(tx_Desc,1377)&amp;"","")</f>
        <v/>
      </c>
      <c r="G1383" s="58">
        <f>IF(H1383=1,IF(INDEX(tx_Cust,1377)&amp;""&lt;&gt;"",INDEX(tx_Cust,1377)&amp;"",INDEX(tx_Vend,1377)&amp;""),"")</f>
        <v/>
      </c>
      <c r="H1383" s="101">
        <f>IFERROR(N(INDEX(tx_Posted,1377)),0)</f>
        <v/>
      </c>
      <c r="I1383" s="58">
        <f>IF(H1383=1,INDEX(tx_DrAcct,1377)&amp;"","")</f>
        <v/>
      </c>
      <c r="J1383" s="95">
        <f>IF(H1383=1,INDEX(tx_DrAmt,1377),0)</f>
        <v/>
      </c>
      <c r="K1383" s="58">
        <f>IF(H1383=1,INDEX(tx_CrAcct,1377)&amp;"","")</f>
        <v/>
      </c>
      <c r="L1383" s="95">
        <f>IF(H1383=1,INDEX(tx_CrAmt,1377),0)</f>
        <v/>
      </c>
      <c r="M1383" s="95">
        <f>IF(H1383=1,INDEX(tx_TaxDr,1377),0)</f>
        <v/>
      </c>
      <c r="N1383" s="95">
        <f>IF(H1383=1,INDEX(tx_TaxCr,1377),0)</f>
        <v/>
      </c>
      <c r="O1383" s="101">
        <f>IF(H1383=1,IF(E1383&lt;FYStart,0,IF(E1383&gt;FYEnd,13,YEAR(E1383)*12+MONTH(E1383)-FYYM+1)),"")</f>
        <v/>
      </c>
      <c r="P1383" s="101">
        <f>IF(H1383=1,IF(IFERROR(INDEX(coa_CF,MATCH(I1383,coa_Name,0)),"")="Cash",1,0),0)</f>
        <v/>
      </c>
      <c r="Q1383" s="101">
        <f>IF(H1383=1,IF(IFERROR(INDEX(coa_CF,MATCH(K1383,coa_Name,0)),"")="Cash",1,0),0)</f>
        <v/>
      </c>
      <c r="R1383" s="58">
        <f>IF((P1383-Q1383)=0,"",IFERROR(INDEX(coa_CF,MATCH(IF((P1383-Q1383)=1,K1383,I1383),coa_Name,0)),"Operating"))</f>
        <v/>
      </c>
      <c r="S1383" s="95">
        <f>IF((P1383-Q1383)=1,L1383,IF((P1383-Q1383)=-1,-J1383,0))</f>
        <v/>
      </c>
      <c r="T1383" s="95">
        <f>IF((P1383-Q1383)=1,N1383,IF((P1383-Q1383)=-1,-M1383,0))</f>
        <v/>
      </c>
      <c r="U1383" s="101">
        <f>IF(AND(H1383=1,LedAcct&lt;&gt;""),IF(AND(E1383&gt;=LedFrom,E1383&lt;=LedTo,OR(I1383=LedAcct,K1383=LedAcct,AND(LedAcct=acctTax,M1383+N1383&lt;&gt;0))),E1383*10000+B1383,""),"")</f>
        <v/>
      </c>
    </row>
    <row r="1384">
      <c r="B1384" s="101" t="n">
        <v>1378</v>
      </c>
      <c r="C1384" s="58" t="inlineStr">
        <is>
          <t>Transaction</t>
        </is>
      </c>
      <c r="D1384" s="58">
        <f>IF(H1384=1,INDEX(tx_ID,1378)&amp;"","")</f>
        <v/>
      </c>
      <c r="E1384" s="94">
        <f>IF(H1384=1,INDEX(tx_Date,1378),"")</f>
        <v/>
      </c>
      <c r="F1384" s="58">
        <f>IF(H1384=1,INDEX(tx_Desc,1378)&amp;"","")</f>
        <v/>
      </c>
      <c r="G1384" s="58">
        <f>IF(H1384=1,IF(INDEX(tx_Cust,1378)&amp;""&lt;&gt;"",INDEX(tx_Cust,1378)&amp;"",INDEX(tx_Vend,1378)&amp;""),"")</f>
        <v/>
      </c>
      <c r="H1384" s="101">
        <f>IFERROR(N(INDEX(tx_Posted,1378)),0)</f>
        <v/>
      </c>
      <c r="I1384" s="58">
        <f>IF(H1384=1,INDEX(tx_DrAcct,1378)&amp;"","")</f>
        <v/>
      </c>
      <c r="J1384" s="95">
        <f>IF(H1384=1,INDEX(tx_DrAmt,1378),0)</f>
        <v/>
      </c>
      <c r="K1384" s="58">
        <f>IF(H1384=1,INDEX(tx_CrAcct,1378)&amp;"","")</f>
        <v/>
      </c>
      <c r="L1384" s="95">
        <f>IF(H1384=1,INDEX(tx_CrAmt,1378),0)</f>
        <v/>
      </c>
      <c r="M1384" s="95">
        <f>IF(H1384=1,INDEX(tx_TaxDr,1378),0)</f>
        <v/>
      </c>
      <c r="N1384" s="95">
        <f>IF(H1384=1,INDEX(tx_TaxCr,1378),0)</f>
        <v/>
      </c>
      <c r="O1384" s="101">
        <f>IF(H1384=1,IF(E1384&lt;FYStart,0,IF(E1384&gt;FYEnd,13,YEAR(E1384)*12+MONTH(E1384)-FYYM+1)),"")</f>
        <v/>
      </c>
      <c r="P1384" s="101">
        <f>IF(H1384=1,IF(IFERROR(INDEX(coa_CF,MATCH(I1384,coa_Name,0)),"")="Cash",1,0),0)</f>
        <v/>
      </c>
      <c r="Q1384" s="101">
        <f>IF(H1384=1,IF(IFERROR(INDEX(coa_CF,MATCH(K1384,coa_Name,0)),"")="Cash",1,0),0)</f>
        <v/>
      </c>
      <c r="R1384" s="58">
        <f>IF((P1384-Q1384)=0,"",IFERROR(INDEX(coa_CF,MATCH(IF((P1384-Q1384)=1,K1384,I1384),coa_Name,0)),"Operating"))</f>
        <v/>
      </c>
      <c r="S1384" s="95">
        <f>IF((P1384-Q1384)=1,L1384,IF((P1384-Q1384)=-1,-J1384,0))</f>
        <v/>
      </c>
      <c r="T1384" s="95">
        <f>IF((P1384-Q1384)=1,N1384,IF((P1384-Q1384)=-1,-M1384,0))</f>
        <v/>
      </c>
      <c r="U1384" s="101">
        <f>IF(AND(H1384=1,LedAcct&lt;&gt;""),IF(AND(E1384&gt;=LedFrom,E1384&lt;=LedTo,OR(I1384=LedAcct,K1384=LedAcct,AND(LedAcct=acctTax,M1384+N1384&lt;&gt;0))),E1384*10000+B1384,""),"")</f>
        <v/>
      </c>
    </row>
    <row r="1385">
      <c r="B1385" s="101" t="n">
        <v>1379</v>
      </c>
      <c r="C1385" s="58" t="inlineStr">
        <is>
          <t>Transaction</t>
        </is>
      </c>
      <c r="D1385" s="58">
        <f>IF(H1385=1,INDEX(tx_ID,1379)&amp;"","")</f>
        <v/>
      </c>
      <c r="E1385" s="94">
        <f>IF(H1385=1,INDEX(tx_Date,1379),"")</f>
        <v/>
      </c>
      <c r="F1385" s="58">
        <f>IF(H1385=1,INDEX(tx_Desc,1379)&amp;"","")</f>
        <v/>
      </c>
      <c r="G1385" s="58">
        <f>IF(H1385=1,IF(INDEX(tx_Cust,1379)&amp;""&lt;&gt;"",INDEX(tx_Cust,1379)&amp;"",INDEX(tx_Vend,1379)&amp;""),"")</f>
        <v/>
      </c>
      <c r="H1385" s="101">
        <f>IFERROR(N(INDEX(tx_Posted,1379)),0)</f>
        <v/>
      </c>
      <c r="I1385" s="58">
        <f>IF(H1385=1,INDEX(tx_DrAcct,1379)&amp;"","")</f>
        <v/>
      </c>
      <c r="J1385" s="95">
        <f>IF(H1385=1,INDEX(tx_DrAmt,1379),0)</f>
        <v/>
      </c>
      <c r="K1385" s="58">
        <f>IF(H1385=1,INDEX(tx_CrAcct,1379)&amp;"","")</f>
        <v/>
      </c>
      <c r="L1385" s="95">
        <f>IF(H1385=1,INDEX(tx_CrAmt,1379),0)</f>
        <v/>
      </c>
      <c r="M1385" s="95">
        <f>IF(H1385=1,INDEX(tx_TaxDr,1379),0)</f>
        <v/>
      </c>
      <c r="N1385" s="95">
        <f>IF(H1385=1,INDEX(tx_TaxCr,1379),0)</f>
        <v/>
      </c>
      <c r="O1385" s="101">
        <f>IF(H1385=1,IF(E1385&lt;FYStart,0,IF(E1385&gt;FYEnd,13,YEAR(E1385)*12+MONTH(E1385)-FYYM+1)),"")</f>
        <v/>
      </c>
      <c r="P1385" s="101">
        <f>IF(H1385=1,IF(IFERROR(INDEX(coa_CF,MATCH(I1385,coa_Name,0)),"")="Cash",1,0),0)</f>
        <v/>
      </c>
      <c r="Q1385" s="101">
        <f>IF(H1385=1,IF(IFERROR(INDEX(coa_CF,MATCH(K1385,coa_Name,0)),"")="Cash",1,0),0)</f>
        <v/>
      </c>
      <c r="R1385" s="58">
        <f>IF((P1385-Q1385)=0,"",IFERROR(INDEX(coa_CF,MATCH(IF((P1385-Q1385)=1,K1385,I1385),coa_Name,0)),"Operating"))</f>
        <v/>
      </c>
      <c r="S1385" s="95">
        <f>IF((P1385-Q1385)=1,L1385,IF((P1385-Q1385)=-1,-J1385,0))</f>
        <v/>
      </c>
      <c r="T1385" s="95">
        <f>IF((P1385-Q1385)=1,N1385,IF((P1385-Q1385)=-1,-M1385,0))</f>
        <v/>
      </c>
      <c r="U1385" s="101">
        <f>IF(AND(H1385=1,LedAcct&lt;&gt;""),IF(AND(E1385&gt;=LedFrom,E1385&lt;=LedTo,OR(I1385=LedAcct,K1385=LedAcct,AND(LedAcct=acctTax,M1385+N1385&lt;&gt;0))),E1385*10000+B1385,""),"")</f>
        <v/>
      </c>
    </row>
    <row r="1386">
      <c r="B1386" s="101" t="n">
        <v>1380</v>
      </c>
      <c r="C1386" s="58" t="inlineStr">
        <is>
          <t>Transaction</t>
        </is>
      </c>
      <c r="D1386" s="58">
        <f>IF(H1386=1,INDEX(tx_ID,1380)&amp;"","")</f>
        <v/>
      </c>
      <c r="E1386" s="94">
        <f>IF(H1386=1,INDEX(tx_Date,1380),"")</f>
        <v/>
      </c>
      <c r="F1386" s="58">
        <f>IF(H1386=1,INDEX(tx_Desc,1380)&amp;"","")</f>
        <v/>
      </c>
      <c r="G1386" s="58">
        <f>IF(H1386=1,IF(INDEX(tx_Cust,1380)&amp;""&lt;&gt;"",INDEX(tx_Cust,1380)&amp;"",INDEX(tx_Vend,1380)&amp;""),"")</f>
        <v/>
      </c>
      <c r="H1386" s="101">
        <f>IFERROR(N(INDEX(tx_Posted,1380)),0)</f>
        <v/>
      </c>
      <c r="I1386" s="58">
        <f>IF(H1386=1,INDEX(tx_DrAcct,1380)&amp;"","")</f>
        <v/>
      </c>
      <c r="J1386" s="95">
        <f>IF(H1386=1,INDEX(tx_DrAmt,1380),0)</f>
        <v/>
      </c>
      <c r="K1386" s="58">
        <f>IF(H1386=1,INDEX(tx_CrAcct,1380)&amp;"","")</f>
        <v/>
      </c>
      <c r="L1386" s="95">
        <f>IF(H1386=1,INDEX(tx_CrAmt,1380),0)</f>
        <v/>
      </c>
      <c r="M1386" s="95">
        <f>IF(H1386=1,INDEX(tx_TaxDr,1380),0)</f>
        <v/>
      </c>
      <c r="N1386" s="95">
        <f>IF(H1386=1,INDEX(tx_TaxCr,1380),0)</f>
        <v/>
      </c>
      <c r="O1386" s="101">
        <f>IF(H1386=1,IF(E1386&lt;FYStart,0,IF(E1386&gt;FYEnd,13,YEAR(E1386)*12+MONTH(E1386)-FYYM+1)),"")</f>
        <v/>
      </c>
      <c r="P1386" s="101">
        <f>IF(H1386=1,IF(IFERROR(INDEX(coa_CF,MATCH(I1386,coa_Name,0)),"")="Cash",1,0),0)</f>
        <v/>
      </c>
      <c r="Q1386" s="101">
        <f>IF(H1386=1,IF(IFERROR(INDEX(coa_CF,MATCH(K1386,coa_Name,0)),"")="Cash",1,0),0)</f>
        <v/>
      </c>
      <c r="R1386" s="58">
        <f>IF((P1386-Q1386)=0,"",IFERROR(INDEX(coa_CF,MATCH(IF((P1386-Q1386)=1,K1386,I1386),coa_Name,0)),"Operating"))</f>
        <v/>
      </c>
      <c r="S1386" s="95">
        <f>IF((P1386-Q1386)=1,L1386,IF((P1386-Q1386)=-1,-J1386,0))</f>
        <v/>
      </c>
      <c r="T1386" s="95">
        <f>IF((P1386-Q1386)=1,N1386,IF((P1386-Q1386)=-1,-M1386,0))</f>
        <v/>
      </c>
      <c r="U1386" s="101">
        <f>IF(AND(H1386=1,LedAcct&lt;&gt;""),IF(AND(E1386&gt;=LedFrom,E1386&lt;=LedTo,OR(I1386=LedAcct,K1386=LedAcct,AND(LedAcct=acctTax,M1386+N1386&lt;&gt;0))),E1386*10000+B1386,""),"")</f>
        <v/>
      </c>
    </row>
    <row r="1387">
      <c r="B1387" s="101" t="n">
        <v>1381</v>
      </c>
      <c r="C1387" s="58" t="inlineStr">
        <is>
          <t>Transaction</t>
        </is>
      </c>
      <c r="D1387" s="58">
        <f>IF(H1387=1,INDEX(tx_ID,1381)&amp;"","")</f>
        <v/>
      </c>
      <c r="E1387" s="94">
        <f>IF(H1387=1,INDEX(tx_Date,1381),"")</f>
        <v/>
      </c>
      <c r="F1387" s="58">
        <f>IF(H1387=1,INDEX(tx_Desc,1381)&amp;"","")</f>
        <v/>
      </c>
      <c r="G1387" s="58">
        <f>IF(H1387=1,IF(INDEX(tx_Cust,1381)&amp;""&lt;&gt;"",INDEX(tx_Cust,1381)&amp;"",INDEX(tx_Vend,1381)&amp;""),"")</f>
        <v/>
      </c>
      <c r="H1387" s="101">
        <f>IFERROR(N(INDEX(tx_Posted,1381)),0)</f>
        <v/>
      </c>
      <c r="I1387" s="58">
        <f>IF(H1387=1,INDEX(tx_DrAcct,1381)&amp;"","")</f>
        <v/>
      </c>
      <c r="J1387" s="95">
        <f>IF(H1387=1,INDEX(tx_DrAmt,1381),0)</f>
        <v/>
      </c>
      <c r="K1387" s="58">
        <f>IF(H1387=1,INDEX(tx_CrAcct,1381)&amp;"","")</f>
        <v/>
      </c>
      <c r="L1387" s="95">
        <f>IF(H1387=1,INDEX(tx_CrAmt,1381),0)</f>
        <v/>
      </c>
      <c r="M1387" s="95">
        <f>IF(H1387=1,INDEX(tx_TaxDr,1381),0)</f>
        <v/>
      </c>
      <c r="N1387" s="95">
        <f>IF(H1387=1,INDEX(tx_TaxCr,1381),0)</f>
        <v/>
      </c>
      <c r="O1387" s="101">
        <f>IF(H1387=1,IF(E1387&lt;FYStart,0,IF(E1387&gt;FYEnd,13,YEAR(E1387)*12+MONTH(E1387)-FYYM+1)),"")</f>
        <v/>
      </c>
      <c r="P1387" s="101">
        <f>IF(H1387=1,IF(IFERROR(INDEX(coa_CF,MATCH(I1387,coa_Name,0)),"")="Cash",1,0),0)</f>
        <v/>
      </c>
      <c r="Q1387" s="101">
        <f>IF(H1387=1,IF(IFERROR(INDEX(coa_CF,MATCH(K1387,coa_Name,0)),"")="Cash",1,0),0)</f>
        <v/>
      </c>
      <c r="R1387" s="58">
        <f>IF((P1387-Q1387)=0,"",IFERROR(INDEX(coa_CF,MATCH(IF((P1387-Q1387)=1,K1387,I1387),coa_Name,0)),"Operating"))</f>
        <v/>
      </c>
      <c r="S1387" s="95">
        <f>IF((P1387-Q1387)=1,L1387,IF((P1387-Q1387)=-1,-J1387,0))</f>
        <v/>
      </c>
      <c r="T1387" s="95">
        <f>IF((P1387-Q1387)=1,N1387,IF((P1387-Q1387)=-1,-M1387,0))</f>
        <v/>
      </c>
      <c r="U1387" s="101">
        <f>IF(AND(H1387=1,LedAcct&lt;&gt;""),IF(AND(E1387&gt;=LedFrom,E1387&lt;=LedTo,OR(I1387=LedAcct,K1387=LedAcct,AND(LedAcct=acctTax,M1387+N1387&lt;&gt;0))),E1387*10000+B1387,""),"")</f>
        <v/>
      </c>
    </row>
    <row r="1388">
      <c r="B1388" s="101" t="n">
        <v>1382</v>
      </c>
      <c r="C1388" s="58" t="inlineStr">
        <is>
          <t>Transaction</t>
        </is>
      </c>
      <c r="D1388" s="58">
        <f>IF(H1388=1,INDEX(tx_ID,1382)&amp;"","")</f>
        <v/>
      </c>
      <c r="E1388" s="94">
        <f>IF(H1388=1,INDEX(tx_Date,1382),"")</f>
        <v/>
      </c>
      <c r="F1388" s="58">
        <f>IF(H1388=1,INDEX(tx_Desc,1382)&amp;"","")</f>
        <v/>
      </c>
      <c r="G1388" s="58">
        <f>IF(H1388=1,IF(INDEX(tx_Cust,1382)&amp;""&lt;&gt;"",INDEX(tx_Cust,1382)&amp;"",INDEX(tx_Vend,1382)&amp;""),"")</f>
        <v/>
      </c>
      <c r="H1388" s="101">
        <f>IFERROR(N(INDEX(tx_Posted,1382)),0)</f>
        <v/>
      </c>
      <c r="I1388" s="58">
        <f>IF(H1388=1,INDEX(tx_DrAcct,1382)&amp;"","")</f>
        <v/>
      </c>
      <c r="J1388" s="95">
        <f>IF(H1388=1,INDEX(tx_DrAmt,1382),0)</f>
        <v/>
      </c>
      <c r="K1388" s="58">
        <f>IF(H1388=1,INDEX(tx_CrAcct,1382)&amp;"","")</f>
        <v/>
      </c>
      <c r="L1388" s="95">
        <f>IF(H1388=1,INDEX(tx_CrAmt,1382),0)</f>
        <v/>
      </c>
      <c r="M1388" s="95">
        <f>IF(H1388=1,INDEX(tx_TaxDr,1382),0)</f>
        <v/>
      </c>
      <c r="N1388" s="95">
        <f>IF(H1388=1,INDEX(tx_TaxCr,1382),0)</f>
        <v/>
      </c>
      <c r="O1388" s="101">
        <f>IF(H1388=1,IF(E1388&lt;FYStart,0,IF(E1388&gt;FYEnd,13,YEAR(E1388)*12+MONTH(E1388)-FYYM+1)),"")</f>
        <v/>
      </c>
      <c r="P1388" s="101">
        <f>IF(H1388=1,IF(IFERROR(INDEX(coa_CF,MATCH(I1388,coa_Name,0)),"")="Cash",1,0),0)</f>
        <v/>
      </c>
      <c r="Q1388" s="101">
        <f>IF(H1388=1,IF(IFERROR(INDEX(coa_CF,MATCH(K1388,coa_Name,0)),"")="Cash",1,0),0)</f>
        <v/>
      </c>
      <c r="R1388" s="58">
        <f>IF((P1388-Q1388)=0,"",IFERROR(INDEX(coa_CF,MATCH(IF((P1388-Q1388)=1,K1388,I1388),coa_Name,0)),"Operating"))</f>
        <v/>
      </c>
      <c r="S1388" s="95">
        <f>IF((P1388-Q1388)=1,L1388,IF((P1388-Q1388)=-1,-J1388,0))</f>
        <v/>
      </c>
      <c r="T1388" s="95">
        <f>IF((P1388-Q1388)=1,N1388,IF((P1388-Q1388)=-1,-M1388,0))</f>
        <v/>
      </c>
      <c r="U1388" s="101">
        <f>IF(AND(H1388=1,LedAcct&lt;&gt;""),IF(AND(E1388&gt;=LedFrom,E1388&lt;=LedTo,OR(I1388=LedAcct,K1388=LedAcct,AND(LedAcct=acctTax,M1388+N1388&lt;&gt;0))),E1388*10000+B1388,""),"")</f>
        <v/>
      </c>
    </row>
    <row r="1389">
      <c r="B1389" s="101" t="n">
        <v>1383</v>
      </c>
      <c r="C1389" s="58" t="inlineStr">
        <is>
          <t>Transaction</t>
        </is>
      </c>
      <c r="D1389" s="58">
        <f>IF(H1389=1,INDEX(tx_ID,1383)&amp;"","")</f>
        <v/>
      </c>
      <c r="E1389" s="94">
        <f>IF(H1389=1,INDEX(tx_Date,1383),"")</f>
        <v/>
      </c>
      <c r="F1389" s="58">
        <f>IF(H1389=1,INDEX(tx_Desc,1383)&amp;"","")</f>
        <v/>
      </c>
      <c r="G1389" s="58">
        <f>IF(H1389=1,IF(INDEX(tx_Cust,1383)&amp;""&lt;&gt;"",INDEX(tx_Cust,1383)&amp;"",INDEX(tx_Vend,1383)&amp;""),"")</f>
        <v/>
      </c>
      <c r="H1389" s="101">
        <f>IFERROR(N(INDEX(tx_Posted,1383)),0)</f>
        <v/>
      </c>
      <c r="I1389" s="58">
        <f>IF(H1389=1,INDEX(tx_DrAcct,1383)&amp;"","")</f>
        <v/>
      </c>
      <c r="J1389" s="95">
        <f>IF(H1389=1,INDEX(tx_DrAmt,1383),0)</f>
        <v/>
      </c>
      <c r="K1389" s="58">
        <f>IF(H1389=1,INDEX(tx_CrAcct,1383)&amp;"","")</f>
        <v/>
      </c>
      <c r="L1389" s="95">
        <f>IF(H1389=1,INDEX(tx_CrAmt,1383),0)</f>
        <v/>
      </c>
      <c r="M1389" s="95">
        <f>IF(H1389=1,INDEX(tx_TaxDr,1383),0)</f>
        <v/>
      </c>
      <c r="N1389" s="95">
        <f>IF(H1389=1,INDEX(tx_TaxCr,1383),0)</f>
        <v/>
      </c>
      <c r="O1389" s="101">
        <f>IF(H1389=1,IF(E1389&lt;FYStart,0,IF(E1389&gt;FYEnd,13,YEAR(E1389)*12+MONTH(E1389)-FYYM+1)),"")</f>
        <v/>
      </c>
      <c r="P1389" s="101">
        <f>IF(H1389=1,IF(IFERROR(INDEX(coa_CF,MATCH(I1389,coa_Name,0)),"")="Cash",1,0),0)</f>
        <v/>
      </c>
      <c r="Q1389" s="101">
        <f>IF(H1389=1,IF(IFERROR(INDEX(coa_CF,MATCH(K1389,coa_Name,0)),"")="Cash",1,0),0)</f>
        <v/>
      </c>
      <c r="R1389" s="58">
        <f>IF((P1389-Q1389)=0,"",IFERROR(INDEX(coa_CF,MATCH(IF((P1389-Q1389)=1,K1389,I1389),coa_Name,0)),"Operating"))</f>
        <v/>
      </c>
      <c r="S1389" s="95">
        <f>IF((P1389-Q1389)=1,L1389,IF((P1389-Q1389)=-1,-J1389,0))</f>
        <v/>
      </c>
      <c r="T1389" s="95">
        <f>IF((P1389-Q1389)=1,N1389,IF((P1389-Q1389)=-1,-M1389,0))</f>
        <v/>
      </c>
      <c r="U1389" s="101">
        <f>IF(AND(H1389=1,LedAcct&lt;&gt;""),IF(AND(E1389&gt;=LedFrom,E1389&lt;=LedTo,OR(I1389=LedAcct,K1389=LedAcct,AND(LedAcct=acctTax,M1389+N1389&lt;&gt;0))),E1389*10000+B1389,""),"")</f>
        <v/>
      </c>
    </row>
    <row r="1390">
      <c r="B1390" s="101" t="n">
        <v>1384</v>
      </c>
      <c r="C1390" s="58" t="inlineStr">
        <is>
          <t>Transaction</t>
        </is>
      </c>
      <c r="D1390" s="58">
        <f>IF(H1390=1,INDEX(tx_ID,1384)&amp;"","")</f>
        <v/>
      </c>
      <c r="E1390" s="94">
        <f>IF(H1390=1,INDEX(tx_Date,1384),"")</f>
        <v/>
      </c>
      <c r="F1390" s="58">
        <f>IF(H1390=1,INDEX(tx_Desc,1384)&amp;"","")</f>
        <v/>
      </c>
      <c r="G1390" s="58">
        <f>IF(H1390=1,IF(INDEX(tx_Cust,1384)&amp;""&lt;&gt;"",INDEX(tx_Cust,1384)&amp;"",INDEX(tx_Vend,1384)&amp;""),"")</f>
        <v/>
      </c>
      <c r="H1390" s="101">
        <f>IFERROR(N(INDEX(tx_Posted,1384)),0)</f>
        <v/>
      </c>
      <c r="I1390" s="58">
        <f>IF(H1390=1,INDEX(tx_DrAcct,1384)&amp;"","")</f>
        <v/>
      </c>
      <c r="J1390" s="95">
        <f>IF(H1390=1,INDEX(tx_DrAmt,1384),0)</f>
        <v/>
      </c>
      <c r="K1390" s="58">
        <f>IF(H1390=1,INDEX(tx_CrAcct,1384)&amp;"","")</f>
        <v/>
      </c>
      <c r="L1390" s="95">
        <f>IF(H1390=1,INDEX(tx_CrAmt,1384),0)</f>
        <v/>
      </c>
      <c r="M1390" s="95">
        <f>IF(H1390=1,INDEX(tx_TaxDr,1384),0)</f>
        <v/>
      </c>
      <c r="N1390" s="95">
        <f>IF(H1390=1,INDEX(tx_TaxCr,1384),0)</f>
        <v/>
      </c>
      <c r="O1390" s="101">
        <f>IF(H1390=1,IF(E1390&lt;FYStart,0,IF(E1390&gt;FYEnd,13,YEAR(E1390)*12+MONTH(E1390)-FYYM+1)),"")</f>
        <v/>
      </c>
      <c r="P1390" s="101">
        <f>IF(H1390=1,IF(IFERROR(INDEX(coa_CF,MATCH(I1390,coa_Name,0)),"")="Cash",1,0),0)</f>
        <v/>
      </c>
      <c r="Q1390" s="101">
        <f>IF(H1390=1,IF(IFERROR(INDEX(coa_CF,MATCH(K1390,coa_Name,0)),"")="Cash",1,0),0)</f>
        <v/>
      </c>
      <c r="R1390" s="58">
        <f>IF((P1390-Q1390)=0,"",IFERROR(INDEX(coa_CF,MATCH(IF((P1390-Q1390)=1,K1390,I1390),coa_Name,0)),"Operating"))</f>
        <v/>
      </c>
      <c r="S1390" s="95">
        <f>IF((P1390-Q1390)=1,L1390,IF((P1390-Q1390)=-1,-J1390,0))</f>
        <v/>
      </c>
      <c r="T1390" s="95">
        <f>IF((P1390-Q1390)=1,N1390,IF((P1390-Q1390)=-1,-M1390,0))</f>
        <v/>
      </c>
      <c r="U1390" s="101">
        <f>IF(AND(H1390=1,LedAcct&lt;&gt;""),IF(AND(E1390&gt;=LedFrom,E1390&lt;=LedTo,OR(I1390=LedAcct,K1390=LedAcct,AND(LedAcct=acctTax,M1390+N1390&lt;&gt;0))),E1390*10000+B1390,""),"")</f>
        <v/>
      </c>
    </row>
    <row r="1391">
      <c r="B1391" s="101" t="n">
        <v>1385</v>
      </c>
      <c r="C1391" s="58" t="inlineStr">
        <is>
          <t>Transaction</t>
        </is>
      </c>
      <c r="D1391" s="58">
        <f>IF(H1391=1,INDEX(tx_ID,1385)&amp;"","")</f>
        <v/>
      </c>
      <c r="E1391" s="94">
        <f>IF(H1391=1,INDEX(tx_Date,1385),"")</f>
        <v/>
      </c>
      <c r="F1391" s="58">
        <f>IF(H1391=1,INDEX(tx_Desc,1385)&amp;"","")</f>
        <v/>
      </c>
      <c r="G1391" s="58">
        <f>IF(H1391=1,IF(INDEX(tx_Cust,1385)&amp;""&lt;&gt;"",INDEX(tx_Cust,1385)&amp;"",INDEX(tx_Vend,1385)&amp;""),"")</f>
        <v/>
      </c>
      <c r="H1391" s="101">
        <f>IFERROR(N(INDEX(tx_Posted,1385)),0)</f>
        <v/>
      </c>
      <c r="I1391" s="58">
        <f>IF(H1391=1,INDEX(tx_DrAcct,1385)&amp;"","")</f>
        <v/>
      </c>
      <c r="J1391" s="95">
        <f>IF(H1391=1,INDEX(tx_DrAmt,1385),0)</f>
        <v/>
      </c>
      <c r="K1391" s="58">
        <f>IF(H1391=1,INDEX(tx_CrAcct,1385)&amp;"","")</f>
        <v/>
      </c>
      <c r="L1391" s="95">
        <f>IF(H1391=1,INDEX(tx_CrAmt,1385),0)</f>
        <v/>
      </c>
      <c r="M1391" s="95">
        <f>IF(H1391=1,INDEX(tx_TaxDr,1385),0)</f>
        <v/>
      </c>
      <c r="N1391" s="95">
        <f>IF(H1391=1,INDEX(tx_TaxCr,1385),0)</f>
        <v/>
      </c>
      <c r="O1391" s="101">
        <f>IF(H1391=1,IF(E1391&lt;FYStart,0,IF(E1391&gt;FYEnd,13,YEAR(E1391)*12+MONTH(E1391)-FYYM+1)),"")</f>
        <v/>
      </c>
      <c r="P1391" s="101">
        <f>IF(H1391=1,IF(IFERROR(INDEX(coa_CF,MATCH(I1391,coa_Name,0)),"")="Cash",1,0),0)</f>
        <v/>
      </c>
      <c r="Q1391" s="101">
        <f>IF(H1391=1,IF(IFERROR(INDEX(coa_CF,MATCH(K1391,coa_Name,0)),"")="Cash",1,0),0)</f>
        <v/>
      </c>
      <c r="R1391" s="58">
        <f>IF((P1391-Q1391)=0,"",IFERROR(INDEX(coa_CF,MATCH(IF((P1391-Q1391)=1,K1391,I1391),coa_Name,0)),"Operating"))</f>
        <v/>
      </c>
      <c r="S1391" s="95">
        <f>IF((P1391-Q1391)=1,L1391,IF((P1391-Q1391)=-1,-J1391,0))</f>
        <v/>
      </c>
      <c r="T1391" s="95">
        <f>IF((P1391-Q1391)=1,N1391,IF((P1391-Q1391)=-1,-M1391,0))</f>
        <v/>
      </c>
      <c r="U1391" s="101">
        <f>IF(AND(H1391=1,LedAcct&lt;&gt;""),IF(AND(E1391&gt;=LedFrom,E1391&lt;=LedTo,OR(I1391=LedAcct,K1391=LedAcct,AND(LedAcct=acctTax,M1391+N1391&lt;&gt;0))),E1391*10000+B1391,""),"")</f>
        <v/>
      </c>
    </row>
    <row r="1392">
      <c r="B1392" s="101" t="n">
        <v>1386</v>
      </c>
      <c r="C1392" s="58" t="inlineStr">
        <is>
          <t>Transaction</t>
        </is>
      </c>
      <c r="D1392" s="58">
        <f>IF(H1392=1,INDEX(tx_ID,1386)&amp;"","")</f>
        <v/>
      </c>
      <c r="E1392" s="94">
        <f>IF(H1392=1,INDEX(tx_Date,1386),"")</f>
        <v/>
      </c>
      <c r="F1392" s="58">
        <f>IF(H1392=1,INDEX(tx_Desc,1386)&amp;"","")</f>
        <v/>
      </c>
      <c r="G1392" s="58">
        <f>IF(H1392=1,IF(INDEX(tx_Cust,1386)&amp;""&lt;&gt;"",INDEX(tx_Cust,1386)&amp;"",INDEX(tx_Vend,1386)&amp;""),"")</f>
        <v/>
      </c>
      <c r="H1392" s="101">
        <f>IFERROR(N(INDEX(tx_Posted,1386)),0)</f>
        <v/>
      </c>
      <c r="I1392" s="58">
        <f>IF(H1392=1,INDEX(tx_DrAcct,1386)&amp;"","")</f>
        <v/>
      </c>
      <c r="J1392" s="95">
        <f>IF(H1392=1,INDEX(tx_DrAmt,1386),0)</f>
        <v/>
      </c>
      <c r="K1392" s="58">
        <f>IF(H1392=1,INDEX(tx_CrAcct,1386)&amp;"","")</f>
        <v/>
      </c>
      <c r="L1392" s="95">
        <f>IF(H1392=1,INDEX(tx_CrAmt,1386),0)</f>
        <v/>
      </c>
      <c r="M1392" s="95">
        <f>IF(H1392=1,INDEX(tx_TaxDr,1386),0)</f>
        <v/>
      </c>
      <c r="N1392" s="95">
        <f>IF(H1392=1,INDEX(tx_TaxCr,1386),0)</f>
        <v/>
      </c>
      <c r="O1392" s="101">
        <f>IF(H1392=1,IF(E1392&lt;FYStart,0,IF(E1392&gt;FYEnd,13,YEAR(E1392)*12+MONTH(E1392)-FYYM+1)),"")</f>
        <v/>
      </c>
      <c r="P1392" s="101">
        <f>IF(H1392=1,IF(IFERROR(INDEX(coa_CF,MATCH(I1392,coa_Name,0)),"")="Cash",1,0),0)</f>
        <v/>
      </c>
      <c r="Q1392" s="101">
        <f>IF(H1392=1,IF(IFERROR(INDEX(coa_CF,MATCH(K1392,coa_Name,0)),"")="Cash",1,0),0)</f>
        <v/>
      </c>
      <c r="R1392" s="58">
        <f>IF((P1392-Q1392)=0,"",IFERROR(INDEX(coa_CF,MATCH(IF((P1392-Q1392)=1,K1392,I1392),coa_Name,0)),"Operating"))</f>
        <v/>
      </c>
      <c r="S1392" s="95">
        <f>IF((P1392-Q1392)=1,L1392,IF((P1392-Q1392)=-1,-J1392,0))</f>
        <v/>
      </c>
      <c r="T1392" s="95">
        <f>IF((P1392-Q1392)=1,N1392,IF((P1392-Q1392)=-1,-M1392,0))</f>
        <v/>
      </c>
      <c r="U1392" s="101">
        <f>IF(AND(H1392=1,LedAcct&lt;&gt;""),IF(AND(E1392&gt;=LedFrom,E1392&lt;=LedTo,OR(I1392=LedAcct,K1392=LedAcct,AND(LedAcct=acctTax,M1392+N1392&lt;&gt;0))),E1392*10000+B1392,""),"")</f>
        <v/>
      </c>
    </row>
    <row r="1393">
      <c r="B1393" s="101" t="n">
        <v>1387</v>
      </c>
      <c r="C1393" s="58" t="inlineStr">
        <is>
          <t>Transaction</t>
        </is>
      </c>
      <c r="D1393" s="58">
        <f>IF(H1393=1,INDEX(tx_ID,1387)&amp;"","")</f>
        <v/>
      </c>
      <c r="E1393" s="94">
        <f>IF(H1393=1,INDEX(tx_Date,1387),"")</f>
        <v/>
      </c>
      <c r="F1393" s="58">
        <f>IF(H1393=1,INDEX(tx_Desc,1387)&amp;"","")</f>
        <v/>
      </c>
      <c r="G1393" s="58">
        <f>IF(H1393=1,IF(INDEX(tx_Cust,1387)&amp;""&lt;&gt;"",INDEX(tx_Cust,1387)&amp;"",INDEX(tx_Vend,1387)&amp;""),"")</f>
        <v/>
      </c>
      <c r="H1393" s="101">
        <f>IFERROR(N(INDEX(tx_Posted,1387)),0)</f>
        <v/>
      </c>
      <c r="I1393" s="58">
        <f>IF(H1393=1,INDEX(tx_DrAcct,1387)&amp;"","")</f>
        <v/>
      </c>
      <c r="J1393" s="95">
        <f>IF(H1393=1,INDEX(tx_DrAmt,1387),0)</f>
        <v/>
      </c>
      <c r="K1393" s="58">
        <f>IF(H1393=1,INDEX(tx_CrAcct,1387)&amp;"","")</f>
        <v/>
      </c>
      <c r="L1393" s="95">
        <f>IF(H1393=1,INDEX(tx_CrAmt,1387),0)</f>
        <v/>
      </c>
      <c r="M1393" s="95">
        <f>IF(H1393=1,INDEX(tx_TaxDr,1387),0)</f>
        <v/>
      </c>
      <c r="N1393" s="95">
        <f>IF(H1393=1,INDEX(tx_TaxCr,1387),0)</f>
        <v/>
      </c>
      <c r="O1393" s="101">
        <f>IF(H1393=1,IF(E1393&lt;FYStart,0,IF(E1393&gt;FYEnd,13,YEAR(E1393)*12+MONTH(E1393)-FYYM+1)),"")</f>
        <v/>
      </c>
      <c r="P1393" s="101">
        <f>IF(H1393=1,IF(IFERROR(INDEX(coa_CF,MATCH(I1393,coa_Name,0)),"")="Cash",1,0),0)</f>
        <v/>
      </c>
      <c r="Q1393" s="101">
        <f>IF(H1393=1,IF(IFERROR(INDEX(coa_CF,MATCH(K1393,coa_Name,0)),"")="Cash",1,0),0)</f>
        <v/>
      </c>
      <c r="R1393" s="58">
        <f>IF((P1393-Q1393)=0,"",IFERROR(INDEX(coa_CF,MATCH(IF((P1393-Q1393)=1,K1393,I1393),coa_Name,0)),"Operating"))</f>
        <v/>
      </c>
      <c r="S1393" s="95">
        <f>IF((P1393-Q1393)=1,L1393,IF((P1393-Q1393)=-1,-J1393,0))</f>
        <v/>
      </c>
      <c r="T1393" s="95">
        <f>IF((P1393-Q1393)=1,N1393,IF((P1393-Q1393)=-1,-M1393,0))</f>
        <v/>
      </c>
      <c r="U1393" s="101">
        <f>IF(AND(H1393=1,LedAcct&lt;&gt;""),IF(AND(E1393&gt;=LedFrom,E1393&lt;=LedTo,OR(I1393=LedAcct,K1393=LedAcct,AND(LedAcct=acctTax,M1393+N1393&lt;&gt;0))),E1393*10000+B1393,""),"")</f>
        <v/>
      </c>
    </row>
    <row r="1394">
      <c r="B1394" s="101" t="n">
        <v>1388</v>
      </c>
      <c r="C1394" s="58" t="inlineStr">
        <is>
          <t>Transaction</t>
        </is>
      </c>
      <c r="D1394" s="58">
        <f>IF(H1394=1,INDEX(tx_ID,1388)&amp;"","")</f>
        <v/>
      </c>
      <c r="E1394" s="94">
        <f>IF(H1394=1,INDEX(tx_Date,1388),"")</f>
        <v/>
      </c>
      <c r="F1394" s="58">
        <f>IF(H1394=1,INDEX(tx_Desc,1388)&amp;"","")</f>
        <v/>
      </c>
      <c r="G1394" s="58">
        <f>IF(H1394=1,IF(INDEX(tx_Cust,1388)&amp;""&lt;&gt;"",INDEX(tx_Cust,1388)&amp;"",INDEX(tx_Vend,1388)&amp;""),"")</f>
        <v/>
      </c>
      <c r="H1394" s="101">
        <f>IFERROR(N(INDEX(tx_Posted,1388)),0)</f>
        <v/>
      </c>
      <c r="I1394" s="58">
        <f>IF(H1394=1,INDEX(tx_DrAcct,1388)&amp;"","")</f>
        <v/>
      </c>
      <c r="J1394" s="95">
        <f>IF(H1394=1,INDEX(tx_DrAmt,1388),0)</f>
        <v/>
      </c>
      <c r="K1394" s="58">
        <f>IF(H1394=1,INDEX(tx_CrAcct,1388)&amp;"","")</f>
        <v/>
      </c>
      <c r="L1394" s="95">
        <f>IF(H1394=1,INDEX(tx_CrAmt,1388),0)</f>
        <v/>
      </c>
      <c r="M1394" s="95">
        <f>IF(H1394=1,INDEX(tx_TaxDr,1388),0)</f>
        <v/>
      </c>
      <c r="N1394" s="95">
        <f>IF(H1394=1,INDEX(tx_TaxCr,1388),0)</f>
        <v/>
      </c>
      <c r="O1394" s="101">
        <f>IF(H1394=1,IF(E1394&lt;FYStart,0,IF(E1394&gt;FYEnd,13,YEAR(E1394)*12+MONTH(E1394)-FYYM+1)),"")</f>
        <v/>
      </c>
      <c r="P1394" s="101">
        <f>IF(H1394=1,IF(IFERROR(INDEX(coa_CF,MATCH(I1394,coa_Name,0)),"")="Cash",1,0),0)</f>
        <v/>
      </c>
      <c r="Q1394" s="101">
        <f>IF(H1394=1,IF(IFERROR(INDEX(coa_CF,MATCH(K1394,coa_Name,0)),"")="Cash",1,0),0)</f>
        <v/>
      </c>
      <c r="R1394" s="58">
        <f>IF((P1394-Q1394)=0,"",IFERROR(INDEX(coa_CF,MATCH(IF((P1394-Q1394)=1,K1394,I1394),coa_Name,0)),"Operating"))</f>
        <v/>
      </c>
      <c r="S1394" s="95">
        <f>IF((P1394-Q1394)=1,L1394,IF((P1394-Q1394)=-1,-J1394,0))</f>
        <v/>
      </c>
      <c r="T1394" s="95">
        <f>IF((P1394-Q1394)=1,N1394,IF((P1394-Q1394)=-1,-M1394,0))</f>
        <v/>
      </c>
      <c r="U1394" s="101">
        <f>IF(AND(H1394=1,LedAcct&lt;&gt;""),IF(AND(E1394&gt;=LedFrom,E1394&lt;=LedTo,OR(I1394=LedAcct,K1394=LedAcct,AND(LedAcct=acctTax,M1394+N1394&lt;&gt;0))),E1394*10000+B1394,""),"")</f>
        <v/>
      </c>
    </row>
    <row r="1395">
      <c r="B1395" s="101" t="n">
        <v>1389</v>
      </c>
      <c r="C1395" s="58" t="inlineStr">
        <is>
          <t>Transaction</t>
        </is>
      </c>
      <c r="D1395" s="58">
        <f>IF(H1395=1,INDEX(tx_ID,1389)&amp;"","")</f>
        <v/>
      </c>
      <c r="E1395" s="94">
        <f>IF(H1395=1,INDEX(tx_Date,1389),"")</f>
        <v/>
      </c>
      <c r="F1395" s="58">
        <f>IF(H1395=1,INDEX(tx_Desc,1389)&amp;"","")</f>
        <v/>
      </c>
      <c r="G1395" s="58">
        <f>IF(H1395=1,IF(INDEX(tx_Cust,1389)&amp;""&lt;&gt;"",INDEX(tx_Cust,1389)&amp;"",INDEX(tx_Vend,1389)&amp;""),"")</f>
        <v/>
      </c>
      <c r="H1395" s="101">
        <f>IFERROR(N(INDEX(tx_Posted,1389)),0)</f>
        <v/>
      </c>
      <c r="I1395" s="58">
        <f>IF(H1395=1,INDEX(tx_DrAcct,1389)&amp;"","")</f>
        <v/>
      </c>
      <c r="J1395" s="95">
        <f>IF(H1395=1,INDEX(tx_DrAmt,1389),0)</f>
        <v/>
      </c>
      <c r="K1395" s="58">
        <f>IF(H1395=1,INDEX(tx_CrAcct,1389)&amp;"","")</f>
        <v/>
      </c>
      <c r="L1395" s="95">
        <f>IF(H1395=1,INDEX(tx_CrAmt,1389),0)</f>
        <v/>
      </c>
      <c r="M1395" s="95">
        <f>IF(H1395=1,INDEX(tx_TaxDr,1389),0)</f>
        <v/>
      </c>
      <c r="N1395" s="95">
        <f>IF(H1395=1,INDEX(tx_TaxCr,1389),0)</f>
        <v/>
      </c>
      <c r="O1395" s="101">
        <f>IF(H1395=1,IF(E1395&lt;FYStart,0,IF(E1395&gt;FYEnd,13,YEAR(E1395)*12+MONTH(E1395)-FYYM+1)),"")</f>
        <v/>
      </c>
      <c r="P1395" s="101">
        <f>IF(H1395=1,IF(IFERROR(INDEX(coa_CF,MATCH(I1395,coa_Name,0)),"")="Cash",1,0),0)</f>
        <v/>
      </c>
      <c r="Q1395" s="101">
        <f>IF(H1395=1,IF(IFERROR(INDEX(coa_CF,MATCH(K1395,coa_Name,0)),"")="Cash",1,0),0)</f>
        <v/>
      </c>
      <c r="R1395" s="58">
        <f>IF((P1395-Q1395)=0,"",IFERROR(INDEX(coa_CF,MATCH(IF((P1395-Q1395)=1,K1395,I1395),coa_Name,0)),"Operating"))</f>
        <v/>
      </c>
      <c r="S1395" s="95">
        <f>IF((P1395-Q1395)=1,L1395,IF((P1395-Q1395)=-1,-J1395,0))</f>
        <v/>
      </c>
      <c r="T1395" s="95">
        <f>IF((P1395-Q1395)=1,N1395,IF((P1395-Q1395)=-1,-M1395,0))</f>
        <v/>
      </c>
      <c r="U1395" s="101">
        <f>IF(AND(H1395=1,LedAcct&lt;&gt;""),IF(AND(E1395&gt;=LedFrom,E1395&lt;=LedTo,OR(I1395=LedAcct,K1395=LedAcct,AND(LedAcct=acctTax,M1395+N1395&lt;&gt;0))),E1395*10000+B1395,""),"")</f>
        <v/>
      </c>
    </row>
    <row r="1396">
      <c r="B1396" s="101" t="n">
        <v>1390</v>
      </c>
      <c r="C1396" s="58" t="inlineStr">
        <is>
          <t>Transaction</t>
        </is>
      </c>
      <c r="D1396" s="58">
        <f>IF(H1396=1,INDEX(tx_ID,1390)&amp;"","")</f>
        <v/>
      </c>
      <c r="E1396" s="94">
        <f>IF(H1396=1,INDEX(tx_Date,1390),"")</f>
        <v/>
      </c>
      <c r="F1396" s="58">
        <f>IF(H1396=1,INDEX(tx_Desc,1390)&amp;"","")</f>
        <v/>
      </c>
      <c r="G1396" s="58">
        <f>IF(H1396=1,IF(INDEX(tx_Cust,1390)&amp;""&lt;&gt;"",INDEX(tx_Cust,1390)&amp;"",INDEX(tx_Vend,1390)&amp;""),"")</f>
        <v/>
      </c>
      <c r="H1396" s="101">
        <f>IFERROR(N(INDEX(tx_Posted,1390)),0)</f>
        <v/>
      </c>
      <c r="I1396" s="58">
        <f>IF(H1396=1,INDEX(tx_DrAcct,1390)&amp;"","")</f>
        <v/>
      </c>
      <c r="J1396" s="95">
        <f>IF(H1396=1,INDEX(tx_DrAmt,1390),0)</f>
        <v/>
      </c>
      <c r="K1396" s="58">
        <f>IF(H1396=1,INDEX(tx_CrAcct,1390)&amp;"","")</f>
        <v/>
      </c>
      <c r="L1396" s="95">
        <f>IF(H1396=1,INDEX(tx_CrAmt,1390),0)</f>
        <v/>
      </c>
      <c r="M1396" s="95">
        <f>IF(H1396=1,INDEX(tx_TaxDr,1390),0)</f>
        <v/>
      </c>
      <c r="N1396" s="95">
        <f>IF(H1396=1,INDEX(tx_TaxCr,1390),0)</f>
        <v/>
      </c>
      <c r="O1396" s="101">
        <f>IF(H1396=1,IF(E1396&lt;FYStart,0,IF(E1396&gt;FYEnd,13,YEAR(E1396)*12+MONTH(E1396)-FYYM+1)),"")</f>
        <v/>
      </c>
      <c r="P1396" s="101">
        <f>IF(H1396=1,IF(IFERROR(INDEX(coa_CF,MATCH(I1396,coa_Name,0)),"")="Cash",1,0),0)</f>
        <v/>
      </c>
      <c r="Q1396" s="101">
        <f>IF(H1396=1,IF(IFERROR(INDEX(coa_CF,MATCH(K1396,coa_Name,0)),"")="Cash",1,0),0)</f>
        <v/>
      </c>
      <c r="R1396" s="58">
        <f>IF((P1396-Q1396)=0,"",IFERROR(INDEX(coa_CF,MATCH(IF((P1396-Q1396)=1,K1396,I1396),coa_Name,0)),"Operating"))</f>
        <v/>
      </c>
      <c r="S1396" s="95">
        <f>IF((P1396-Q1396)=1,L1396,IF((P1396-Q1396)=-1,-J1396,0))</f>
        <v/>
      </c>
      <c r="T1396" s="95">
        <f>IF((P1396-Q1396)=1,N1396,IF((P1396-Q1396)=-1,-M1396,0))</f>
        <v/>
      </c>
      <c r="U1396" s="101">
        <f>IF(AND(H1396=1,LedAcct&lt;&gt;""),IF(AND(E1396&gt;=LedFrom,E1396&lt;=LedTo,OR(I1396=LedAcct,K1396=LedAcct,AND(LedAcct=acctTax,M1396+N1396&lt;&gt;0))),E1396*10000+B1396,""),"")</f>
        <v/>
      </c>
    </row>
    <row r="1397">
      <c r="B1397" s="101" t="n">
        <v>1391</v>
      </c>
      <c r="C1397" s="58" t="inlineStr">
        <is>
          <t>Transaction</t>
        </is>
      </c>
      <c r="D1397" s="58">
        <f>IF(H1397=1,INDEX(tx_ID,1391)&amp;"","")</f>
        <v/>
      </c>
      <c r="E1397" s="94">
        <f>IF(H1397=1,INDEX(tx_Date,1391),"")</f>
        <v/>
      </c>
      <c r="F1397" s="58">
        <f>IF(H1397=1,INDEX(tx_Desc,1391)&amp;"","")</f>
        <v/>
      </c>
      <c r="G1397" s="58">
        <f>IF(H1397=1,IF(INDEX(tx_Cust,1391)&amp;""&lt;&gt;"",INDEX(tx_Cust,1391)&amp;"",INDEX(tx_Vend,1391)&amp;""),"")</f>
        <v/>
      </c>
      <c r="H1397" s="101">
        <f>IFERROR(N(INDEX(tx_Posted,1391)),0)</f>
        <v/>
      </c>
      <c r="I1397" s="58">
        <f>IF(H1397=1,INDEX(tx_DrAcct,1391)&amp;"","")</f>
        <v/>
      </c>
      <c r="J1397" s="95">
        <f>IF(H1397=1,INDEX(tx_DrAmt,1391),0)</f>
        <v/>
      </c>
      <c r="K1397" s="58">
        <f>IF(H1397=1,INDEX(tx_CrAcct,1391)&amp;"","")</f>
        <v/>
      </c>
      <c r="L1397" s="95">
        <f>IF(H1397=1,INDEX(tx_CrAmt,1391),0)</f>
        <v/>
      </c>
      <c r="M1397" s="95">
        <f>IF(H1397=1,INDEX(tx_TaxDr,1391),0)</f>
        <v/>
      </c>
      <c r="N1397" s="95">
        <f>IF(H1397=1,INDEX(tx_TaxCr,1391),0)</f>
        <v/>
      </c>
      <c r="O1397" s="101">
        <f>IF(H1397=1,IF(E1397&lt;FYStart,0,IF(E1397&gt;FYEnd,13,YEAR(E1397)*12+MONTH(E1397)-FYYM+1)),"")</f>
        <v/>
      </c>
      <c r="P1397" s="101">
        <f>IF(H1397=1,IF(IFERROR(INDEX(coa_CF,MATCH(I1397,coa_Name,0)),"")="Cash",1,0),0)</f>
        <v/>
      </c>
      <c r="Q1397" s="101">
        <f>IF(H1397=1,IF(IFERROR(INDEX(coa_CF,MATCH(K1397,coa_Name,0)),"")="Cash",1,0),0)</f>
        <v/>
      </c>
      <c r="R1397" s="58">
        <f>IF((P1397-Q1397)=0,"",IFERROR(INDEX(coa_CF,MATCH(IF((P1397-Q1397)=1,K1397,I1397),coa_Name,0)),"Operating"))</f>
        <v/>
      </c>
      <c r="S1397" s="95">
        <f>IF((P1397-Q1397)=1,L1397,IF((P1397-Q1397)=-1,-J1397,0))</f>
        <v/>
      </c>
      <c r="T1397" s="95">
        <f>IF((P1397-Q1397)=1,N1397,IF((P1397-Q1397)=-1,-M1397,0))</f>
        <v/>
      </c>
      <c r="U1397" s="101">
        <f>IF(AND(H1397=1,LedAcct&lt;&gt;""),IF(AND(E1397&gt;=LedFrom,E1397&lt;=LedTo,OR(I1397=LedAcct,K1397=LedAcct,AND(LedAcct=acctTax,M1397+N1397&lt;&gt;0))),E1397*10000+B1397,""),"")</f>
        <v/>
      </c>
    </row>
    <row r="1398">
      <c r="B1398" s="101" t="n">
        <v>1392</v>
      </c>
      <c r="C1398" s="58" t="inlineStr">
        <is>
          <t>Transaction</t>
        </is>
      </c>
      <c r="D1398" s="58">
        <f>IF(H1398=1,INDEX(tx_ID,1392)&amp;"","")</f>
        <v/>
      </c>
      <c r="E1398" s="94">
        <f>IF(H1398=1,INDEX(tx_Date,1392),"")</f>
        <v/>
      </c>
      <c r="F1398" s="58">
        <f>IF(H1398=1,INDEX(tx_Desc,1392)&amp;"","")</f>
        <v/>
      </c>
      <c r="G1398" s="58">
        <f>IF(H1398=1,IF(INDEX(tx_Cust,1392)&amp;""&lt;&gt;"",INDEX(tx_Cust,1392)&amp;"",INDEX(tx_Vend,1392)&amp;""),"")</f>
        <v/>
      </c>
      <c r="H1398" s="101">
        <f>IFERROR(N(INDEX(tx_Posted,1392)),0)</f>
        <v/>
      </c>
      <c r="I1398" s="58">
        <f>IF(H1398=1,INDEX(tx_DrAcct,1392)&amp;"","")</f>
        <v/>
      </c>
      <c r="J1398" s="95">
        <f>IF(H1398=1,INDEX(tx_DrAmt,1392),0)</f>
        <v/>
      </c>
      <c r="K1398" s="58">
        <f>IF(H1398=1,INDEX(tx_CrAcct,1392)&amp;"","")</f>
        <v/>
      </c>
      <c r="L1398" s="95">
        <f>IF(H1398=1,INDEX(tx_CrAmt,1392),0)</f>
        <v/>
      </c>
      <c r="M1398" s="95">
        <f>IF(H1398=1,INDEX(tx_TaxDr,1392),0)</f>
        <v/>
      </c>
      <c r="N1398" s="95">
        <f>IF(H1398=1,INDEX(tx_TaxCr,1392),0)</f>
        <v/>
      </c>
      <c r="O1398" s="101">
        <f>IF(H1398=1,IF(E1398&lt;FYStart,0,IF(E1398&gt;FYEnd,13,YEAR(E1398)*12+MONTH(E1398)-FYYM+1)),"")</f>
        <v/>
      </c>
      <c r="P1398" s="101">
        <f>IF(H1398=1,IF(IFERROR(INDEX(coa_CF,MATCH(I1398,coa_Name,0)),"")="Cash",1,0),0)</f>
        <v/>
      </c>
      <c r="Q1398" s="101">
        <f>IF(H1398=1,IF(IFERROR(INDEX(coa_CF,MATCH(K1398,coa_Name,0)),"")="Cash",1,0),0)</f>
        <v/>
      </c>
      <c r="R1398" s="58">
        <f>IF((P1398-Q1398)=0,"",IFERROR(INDEX(coa_CF,MATCH(IF((P1398-Q1398)=1,K1398,I1398),coa_Name,0)),"Operating"))</f>
        <v/>
      </c>
      <c r="S1398" s="95">
        <f>IF((P1398-Q1398)=1,L1398,IF((P1398-Q1398)=-1,-J1398,0))</f>
        <v/>
      </c>
      <c r="T1398" s="95">
        <f>IF((P1398-Q1398)=1,N1398,IF((P1398-Q1398)=-1,-M1398,0))</f>
        <v/>
      </c>
      <c r="U1398" s="101">
        <f>IF(AND(H1398=1,LedAcct&lt;&gt;""),IF(AND(E1398&gt;=LedFrom,E1398&lt;=LedTo,OR(I1398=LedAcct,K1398=LedAcct,AND(LedAcct=acctTax,M1398+N1398&lt;&gt;0))),E1398*10000+B1398,""),"")</f>
        <v/>
      </c>
    </row>
    <row r="1399">
      <c r="B1399" s="101" t="n">
        <v>1393</v>
      </c>
      <c r="C1399" s="58" t="inlineStr">
        <is>
          <t>Transaction</t>
        </is>
      </c>
      <c r="D1399" s="58">
        <f>IF(H1399=1,INDEX(tx_ID,1393)&amp;"","")</f>
        <v/>
      </c>
      <c r="E1399" s="94">
        <f>IF(H1399=1,INDEX(tx_Date,1393),"")</f>
        <v/>
      </c>
      <c r="F1399" s="58">
        <f>IF(H1399=1,INDEX(tx_Desc,1393)&amp;"","")</f>
        <v/>
      </c>
      <c r="G1399" s="58">
        <f>IF(H1399=1,IF(INDEX(tx_Cust,1393)&amp;""&lt;&gt;"",INDEX(tx_Cust,1393)&amp;"",INDEX(tx_Vend,1393)&amp;""),"")</f>
        <v/>
      </c>
      <c r="H1399" s="101">
        <f>IFERROR(N(INDEX(tx_Posted,1393)),0)</f>
        <v/>
      </c>
      <c r="I1399" s="58">
        <f>IF(H1399=1,INDEX(tx_DrAcct,1393)&amp;"","")</f>
        <v/>
      </c>
      <c r="J1399" s="95">
        <f>IF(H1399=1,INDEX(tx_DrAmt,1393),0)</f>
        <v/>
      </c>
      <c r="K1399" s="58">
        <f>IF(H1399=1,INDEX(tx_CrAcct,1393)&amp;"","")</f>
        <v/>
      </c>
      <c r="L1399" s="95">
        <f>IF(H1399=1,INDEX(tx_CrAmt,1393),0)</f>
        <v/>
      </c>
      <c r="M1399" s="95">
        <f>IF(H1399=1,INDEX(tx_TaxDr,1393),0)</f>
        <v/>
      </c>
      <c r="N1399" s="95">
        <f>IF(H1399=1,INDEX(tx_TaxCr,1393),0)</f>
        <v/>
      </c>
      <c r="O1399" s="101">
        <f>IF(H1399=1,IF(E1399&lt;FYStart,0,IF(E1399&gt;FYEnd,13,YEAR(E1399)*12+MONTH(E1399)-FYYM+1)),"")</f>
        <v/>
      </c>
      <c r="P1399" s="101">
        <f>IF(H1399=1,IF(IFERROR(INDEX(coa_CF,MATCH(I1399,coa_Name,0)),"")="Cash",1,0),0)</f>
        <v/>
      </c>
      <c r="Q1399" s="101">
        <f>IF(H1399=1,IF(IFERROR(INDEX(coa_CF,MATCH(K1399,coa_Name,0)),"")="Cash",1,0),0)</f>
        <v/>
      </c>
      <c r="R1399" s="58">
        <f>IF((P1399-Q1399)=0,"",IFERROR(INDEX(coa_CF,MATCH(IF((P1399-Q1399)=1,K1399,I1399),coa_Name,0)),"Operating"))</f>
        <v/>
      </c>
      <c r="S1399" s="95">
        <f>IF((P1399-Q1399)=1,L1399,IF((P1399-Q1399)=-1,-J1399,0))</f>
        <v/>
      </c>
      <c r="T1399" s="95">
        <f>IF((P1399-Q1399)=1,N1399,IF((P1399-Q1399)=-1,-M1399,0))</f>
        <v/>
      </c>
      <c r="U1399" s="101">
        <f>IF(AND(H1399=1,LedAcct&lt;&gt;""),IF(AND(E1399&gt;=LedFrom,E1399&lt;=LedTo,OR(I1399=LedAcct,K1399=LedAcct,AND(LedAcct=acctTax,M1399+N1399&lt;&gt;0))),E1399*10000+B1399,""),"")</f>
        <v/>
      </c>
    </row>
    <row r="1400">
      <c r="B1400" s="101" t="n">
        <v>1394</v>
      </c>
      <c r="C1400" s="58" t="inlineStr">
        <is>
          <t>Transaction</t>
        </is>
      </c>
      <c r="D1400" s="58">
        <f>IF(H1400=1,INDEX(tx_ID,1394)&amp;"","")</f>
        <v/>
      </c>
      <c r="E1400" s="94">
        <f>IF(H1400=1,INDEX(tx_Date,1394),"")</f>
        <v/>
      </c>
      <c r="F1400" s="58">
        <f>IF(H1400=1,INDEX(tx_Desc,1394)&amp;"","")</f>
        <v/>
      </c>
      <c r="G1400" s="58">
        <f>IF(H1400=1,IF(INDEX(tx_Cust,1394)&amp;""&lt;&gt;"",INDEX(tx_Cust,1394)&amp;"",INDEX(tx_Vend,1394)&amp;""),"")</f>
        <v/>
      </c>
      <c r="H1400" s="101">
        <f>IFERROR(N(INDEX(tx_Posted,1394)),0)</f>
        <v/>
      </c>
      <c r="I1400" s="58">
        <f>IF(H1400=1,INDEX(tx_DrAcct,1394)&amp;"","")</f>
        <v/>
      </c>
      <c r="J1400" s="95">
        <f>IF(H1400=1,INDEX(tx_DrAmt,1394),0)</f>
        <v/>
      </c>
      <c r="K1400" s="58">
        <f>IF(H1400=1,INDEX(tx_CrAcct,1394)&amp;"","")</f>
        <v/>
      </c>
      <c r="L1400" s="95">
        <f>IF(H1400=1,INDEX(tx_CrAmt,1394),0)</f>
        <v/>
      </c>
      <c r="M1400" s="95">
        <f>IF(H1400=1,INDEX(tx_TaxDr,1394),0)</f>
        <v/>
      </c>
      <c r="N1400" s="95">
        <f>IF(H1400=1,INDEX(tx_TaxCr,1394),0)</f>
        <v/>
      </c>
      <c r="O1400" s="101">
        <f>IF(H1400=1,IF(E1400&lt;FYStart,0,IF(E1400&gt;FYEnd,13,YEAR(E1400)*12+MONTH(E1400)-FYYM+1)),"")</f>
        <v/>
      </c>
      <c r="P1400" s="101">
        <f>IF(H1400=1,IF(IFERROR(INDEX(coa_CF,MATCH(I1400,coa_Name,0)),"")="Cash",1,0),0)</f>
        <v/>
      </c>
      <c r="Q1400" s="101">
        <f>IF(H1400=1,IF(IFERROR(INDEX(coa_CF,MATCH(K1400,coa_Name,0)),"")="Cash",1,0),0)</f>
        <v/>
      </c>
      <c r="R1400" s="58">
        <f>IF((P1400-Q1400)=0,"",IFERROR(INDEX(coa_CF,MATCH(IF((P1400-Q1400)=1,K1400,I1400),coa_Name,0)),"Operating"))</f>
        <v/>
      </c>
      <c r="S1400" s="95">
        <f>IF((P1400-Q1400)=1,L1400,IF((P1400-Q1400)=-1,-J1400,0))</f>
        <v/>
      </c>
      <c r="T1400" s="95">
        <f>IF((P1400-Q1400)=1,N1400,IF((P1400-Q1400)=-1,-M1400,0))</f>
        <v/>
      </c>
      <c r="U1400" s="101">
        <f>IF(AND(H1400=1,LedAcct&lt;&gt;""),IF(AND(E1400&gt;=LedFrom,E1400&lt;=LedTo,OR(I1400=LedAcct,K1400=LedAcct,AND(LedAcct=acctTax,M1400+N1400&lt;&gt;0))),E1400*10000+B1400,""),"")</f>
        <v/>
      </c>
    </row>
    <row r="1401">
      <c r="B1401" s="101" t="n">
        <v>1395</v>
      </c>
      <c r="C1401" s="58" t="inlineStr">
        <is>
          <t>Transaction</t>
        </is>
      </c>
      <c r="D1401" s="58">
        <f>IF(H1401=1,INDEX(tx_ID,1395)&amp;"","")</f>
        <v/>
      </c>
      <c r="E1401" s="94">
        <f>IF(H1401=1,INDEX(tx_Date,1395),"")</f>
        <v/>
      </c>
      <c r="F1401" s="58">
        <f>IF(H1401=1,INDEX(tx_Desc,1395)&amp;"","")</f>
        <v/>
      </c>
      <c r="G1401" s="58">
        <f>IF(H1401=1,IF(INDEX(tx_Cust,1395)&amp;""&lt;&gt;"",INDEX(tx_Cust,1395)&amp;"",INDEX(tx_Vend,1395)&amp;""),"")</f>
        <v/>
      </c>
      <c r="H1401" s="101">
        <f>IFERROR(N(INDEX(tx_Posted,1395)),0)</f>
        <v/>
      </c>
      <c r="I1401" s="58">
        <f>IF(H1401=1,INDEX(tx_DrAcct,1395)&amp;"","")</f>
        <v/>
      </c>
      <c r="J1401" s="95">
        <f>IF(H1401=1,INDEX(tx_DrAmt,1395),0)</f>
        <v/>
      </c>
      <c r="K1401" s="58">
        <f>IF(H1401=1,INDEX(tx_CrAcct,1395)&amp;"","")</f>
        <v/>
      </c>
      <c r="L1401" s="95">
        <f>IF(H1401=1,INDEX(tx_CrAmt,1395),0)</f>
        <v/>
      </c>
      <c r="M1401" s="95">
        <f>IF(H1401=1,INDEX(tx_TaxDr,1395),0)</f>
        <v/>
      </c>
      <c r="N1401" s="95">
        <f>IF(H1401=1,INDEX(tx_TaxCr,1395),0)</f>
        <v/>
      </c>
      <c r="O1401" s="101">
        <f>IF(H1401=1,IF(E1401&lt;FYStart,0,IF(E1401&gt;FYEnd,13,YEAR(E1401)*12+MONTH(E1401)-FYYM+1)),"")</f>
        <v/>
      </c>
      <c r="P1401" s="101">
        <f>IF(H1401=1,IF(IFERROR(INDEX(coa_CF,MATCH(I1401,coa_Name,0)),"")="Cash",1,0),0)</f>
        <v/>
      </c>
      <c r="Q1401" s="101">
        <f>IF(H1401=1,IF(IFERROR(INDEX(coa_CF,MATCH(K1401,coa_Name,0)),"")="Cash",1,0),0)</f>
        <v/>
      </c>
      <c r="R1401" s="58">
        <f>IF((P1401-Q1401)=0,"",IFERROR(INDEX(coa_CF,MATCH(IF((P1401-Q1401)=1,K1401,I1401),coa_Name,0)),"Operating"))</f>
        <v/>
      </c>
      <c r="S1401" s="95">
        <f>IF((P1401-Q1401)=1,L1401,IF((P1401-Q1401)=-1,-J1401,0))</f>
        <v/>
      </c>
      <c r="T1401" s="95">
        <f>IF((P1401-Q1401)=1,N1401,IF((P1401-Q1401)=-1,-M1401,0))</f>
        <v/>
      </c>
      <c r="U1401" s="101">
        <f>IF(AND(H1401=1,LedAcct&lt;&gt;""),IF(AND(E1401&gt;=LedFrom,E1401&lt;=LedTo,OR(I1401=LedAcct,K1401=LedAcct,AND(LedAcct=acctTax,M1401+N1401&lt;&gt;0))),E1401*10000+B1401,""),"")</f>
        <v/>
      </c>
    </row>
    <row r="1402">
      <c r="B1402" s="101" t="n">
        <v>1396</v>
      </c>
      <c r="C1402" s="58" t="inlineStr">
        <is>
          <t>Transaction</t>
        </is>
      </c>
      <c r="D1402" s="58">
        <f>IF(H1402=1,INDEX(tx_ID,1396)&amp;"","")</f>
        <v/>
      </c>
      <c r="E1402" s="94">
        <f>IF(H1402=1,INDEX(tx_Date,1396),"")</f>
        <v/>
      </c>
      <c r="F1402" s="58">
        <f>IF(H1402=1,INDEX(tx_Desc,1396)&amp;"","")</f>
        <v/>
      </c>
      <c r="G1402" s="58">
        <f>IF(H1402=1,IF(INDEX(tx_Cust,1396)&amp;""&lt;&gt;"",INDEX(tx_Cust,1396)&amp;"",INDEX(tx_Vend,1396)&amp;""),"")</f>
        <v/>
      </c>
      <c r="H1402" s="101">
        <f>IFERROR(N(INDEX(tx_Posted,1396)),0)</f>
        <v/>
      </c>
      <c r="I1402" s="58">
        <f>IF(H1402=1,INDEX(tx_DrAcct,1396)&amp;"","")</f>
        <v/>
      </c>
      <c r="J1402" s="95">
        <f>IF(H1402=1,INDEX(tx_DrAmt,1396),0)</f>
        <v/>
      </c>
      <c r="K1402" s="58">
        <f>IF(H1402=1,INDEX(tx_CrAcct,1396)&amp;"","")</f>
        <v/>
      </c>
      <c r="L1402" s="95">
        <f>IF(H1402=1,INDEX(tx_CrAmt,1396),0)</f>
        <v/>
      </c>
      <c r="M1402" s="95">
        <f>IF(H1402=1,INDEX(tx_TaxDr,1396),0)</f>
        <v/>
      </c>
      <c r="N1402" s="95">
        <f>IF(H1402=1,INDEX(tx_TaxCr,1396),0)</f>
        <v/>
      </c>
      <c r="O1402" s="101">
        <f>IF(H1402=1,IF(E1402&lt;FYStart,0,IF(E1402&gt;FYEnd,13,YEAR(E1402)*12+MONTH(E1402)-FYYM+1)),"")</f>
        <v/>
      </c>
      <c r="P1402" s="101">
        <f>IF(H1402=1,IF(IFERROR(INDEX(coa_CF,MATCH(I1402,coa_Name,0)),"")="Cash",1,0),0)</f>
        <v/>
      </c>
      <c r="Q1402" s="101">
        <f>IF(H1402=1,IF(IFERROR(INDEX(coa_CF,MATCH(K1402,coa_Name,0)),"")="Cash",1,0),0)</f>
        <v/>
      </c>
      <c r="R1402" s="58">
        <f>IF((P1402-Q1402)=0,"",IFERROR(INDEX(coa_CF,MATCH(IF((P1402-Q1402)=1,K1402,I1402),coa_Name,0)),"Operating"))</f>
        <v/>
      </c>
      <c r="S1402" s="95">
        <f>IF((P1402-Q1402)=1,L1402,IF((P1402-Q1402)=-1,-J1402,0))</f>
        <v/>
      </c>
      <c r="T1402" s="95">
        <f>IF((P1402-Q1402)=1,N1402,IF((P1402-Q1402)=-1,-M1402,0))</f>
        <v/>
      </c>
      <c r="U1402" s="101">
        <f>IF(AND(H1402=1,LedAcct&lt;&gt;""),IF(AND(E1402&gt;=LedFrom,E1402&lt;=LedTo,OR(I1402=LedAcct,K1402=LedAcct,AND(LedAcct=acctTax,M1402+N1402&lt;&gt;0))),E1402*10000+B1402,""),"")</f>
        <v/>
      </c>
    </row>
    <row r="1403">
      <c r="B1403" s="101" t="n">
        <v>1397</v>
      </c>
      <c r="C1403" s="58" t="inlineStr">
        <is>
          <t>Transaction</t>
        </is>
      </c>
      <c r="D1403" s="58">
        <f>IF(H1403=1,INDEX(tx_ID,1397)&amp;"","")</f>
        <v/>
      </c>
      <c r="E1403" s="94">
        <f>IF(H1403=1,INDEX(tx_Date,1397),"")</f>
        <v/>
      </c>
      <c r="F1403" s="58">
        <f>IF(H1403=1,INDEX(tx_Desc,1397)&amp;"","")</f>
        <v/>
      </c>
      <c r="G1403" s="58">
        <f>IF(H1403=1,IF(INDEX(tx_Cust,1397)&amp;""&lt;&gt;"",INDEX(tx_Cust,1397)&amp;"",INDEX(tx_Vend,1397)&amp;""),"")</f>
        <v/>
      </c>
      <c r="H1403" s="101">
        <f>IFERROR(N(INDEX(tx_Posted,1397)),0)</f>
        <v/>
      </c>
      <c r="I1403" s="58">
        <f>IF(H1403=1,INDEX(tx_DrAcct,1397)&amp;"","")</f>
        <v/>
      </c>
      <c r="J1403" s="95">
        <f>IF(H1403=1,INDEX(tx_DrAmt,1397),0)</f>
        <v/>
      </c>
      <c r="K1403" s="58">
        <f>IF(H1403=1,INDEX(tx_CrAcct,1397)&amp;"","")</f>
        <v/>
      </c>
      <c r="L1403" s="95">
        <f>IF(H1403=1,INDEX(tx_CrAmt,1397),0)</f>
        <v/>
      </c>
      <c r="M1403" s="95">
        <f>IF(H1403=1,INDEX(tx_TaxDr,1397),0)</f>
        <v/>
      </c>
      <c r="N1403" s="95">
        <f>IF(H1403=1,INDEX(tx_TaxCr,1397),0)</f>
        <v/>
      </c>
      <c r="O1403" s="101">
        <f>IF(H1403=1,IF(E1403&lt;FYStart,0,IF(E1403&gt;FYEnd,13,YEAR(E1403)*12+MONTH(E1403)-FYYM+1)),"")</f>
        <v/>
      </c>
      <c r="P1403" s="101">
        <f>IF(H1403=1,IF(IFERROR(INDEX(coa_CF,MATCH(I1403,coa_Name,0)),"")="Cash",1,0),0)</f>
        <v/>
      </c>
      <c r="Q1403" s="101">
        <f>IF(H1403=1,IF(IFERROR(INDEX(coa_CF,MATCH(K1403,coa_Name,0)),"")="Cash",1,0),0)</f>
        <v/>
      </c>
      <c r="R1403" s="58">
        <f>IF((P1403-Q1403)=0,"",IFERROR(INDEX(coa_CF,MATCH(IF((P1403-Q1403)=1,K1403,I1403),coa_Name,0)),"Operating"))</f>
        <v/>
      </c>
      <c r="S1403" s="95">
        <f>IF((P1403-Q1403)=1,L1403,IF((P1403-Q1403)=-1,-J1403,0))</f>
        <v/>
      </c>
      <c r="T1403" s="95">
        <f>IF((P1403-Q1403)=1,N1403,IF((P1403-Q1403)=-1,-M1403,0))</f>
        <v/>
      </c>
      <c r="U1403" s="101">
        <f>IF(AND(H1403=1,LedAcct&lt;&gt;""),IF(AND(E1403&gt;=LedFrom,E1403&lt;=LedTo,OR(I1403=LedAcct,K1403=LedAcct,AND(LedAcct=acctTax,M1403+N1403&lt;&gt;0))),E1403*10000+B1403,""),"")</f>
        <v/>
      </c>
    </row>
    <row r="1404">
      <c r="B1404" s="101" t="n">
        <v>1398</v>
      </c>
      <c r="C1404" s="58" t="inlineStr">
        <is>
          <t>Transaction</t>
        </is>
      </c>
      <c r="D1404" s="58">
        <f>IF(H1404=1,INDEX(tx_ID,1398)&amp;"","")</f>
        <v/>
      </c>
      <c r="E1404" s="94">
        <f>IF(H1404=1,INDEX(tx_Date,1398),"")</f>
        <v/>
      </c>
      <c r="F1404" s="58">
        <f>IF(H1404=1,INDEX(tx_Desc,1398)&amp;"","")</f>
        <v/>
      </c>
      <c r="G1404" s="58">
        <f>IF(H1404=1,IF(INDEX(tx_Cust,1398)&amp;""&lt;&gt;"",INDEX(tx_Cust,1398)&amp;"",INDEX(tx_Vend,1398)&amp;""),"")</f>
        <v/>
      </c>
      <c r="H1404" s="101">
        <f>IFERROR(N(INDEX(tx_Posted,1398)),0)</f>
        <v/>
      </c>
      <c r="I1404" s="58">
        <f>IF(H1404=1,INDEX(tx_DrAcct,1398)&amp;"","")</f>
        <v/>
      </c>
      <c r="J1404" s="95">
        <f>IF(H1404=1,INDEX(tx_DrAmt,1398),0)</f>
        <v/>
      </c>
      <c r="K1404" s="58">
        <f>IF(H1404=1,INDEX(tx_CrAcct,1398)&amp;"","")</f>
        <v/>
      </c>
      <c r="L1404" s="95">
        <f>IF(H1404=1,INDEX(tx_CrAmt,1398),0)</f>
        <v/>
      </c>
      <c r="M1404" s="95">
        <f>IF(H1404=1,INDEX(tx_TaxDr,1398),0)</f>
        <v/>
      </c>
      <c r="N1404" s="95">
        <f>IF(H1404=1,INDEX(tx_TaxCr,1398),0)</f>
        <v/>
      </c>
      <c r="O1404" s="101">
        <f>IF(H1404=1,IF(E1404&lt;FYStart,0,IF(E1404&gt;FYEnd,13,YEAR(E1404)*12+MONTH(E1404)-FYYM+1)),"")</f>
        <v/>
      </c>
      <c r="P1404" s="101">
        <f>IF(H1404=1,IF(IFERROR(INDEX(coa_CF,MATCH(I1404,coa_Name,0)),"")="Cash",1,0),0)</f>
        <v/>
      </c>
      <c r="Q1404" s="101">
        <f>IF(H1404=1,IF(IFERROR(INDEX(coa_CF,MATCH(K1404,coa_Name,0)),"")="Cash",1,0),0)</f>
        <v/>
      </c>
      <c r="R1404" s="58">
        <f>IF((P1404-Q1404)=0,"",IFERROR(INDEX(coa_CF,MATCH(IF((P1404-Q1404)=1,K1404,I1404),coa_Name,0)),"Operating"))</f>
        <v/>
      </c>
      <c r="S1404" s="95">
        <f>IF((P1404-Q1404)=1,L1404,IF((P1404-Q1404)=-1,-J1404,0))</f>
        <v/>
      </c>
      <c r="T1404" s="95">
        <f>IF((P1404-Q1404)=1,N1404,IF((P1404-Q1404)=-1,-M1404,0))</f>
        <v/>
      </c>
      <c r="U1404" s="101">
        <f>IF(AND(H1404=1,LedAcct&lt;&gt;""),IF(AND(E1404&gt;=LedFrom,E1404&lt;=LedTo,OR(I1404=LedAcct,K1404=LedAcct,AND(LedAcct=acctTax,M1404+N1404&lt;&gt;0))),E1404*10000+B1404,""),"")</f>
        <v/>
      </c>
    </row>
    <row r="1405">
      <c r="B1405" s="101" t="n">
        <v>1399</v>
      </c>
      <c r="C1405" s="58" t="inlineStr">
        <is>
          <t>Transaction</t>
        </is>
      </c>
      <c r="D1405" s="58">
        <f>IF(H1405=1,INDEX(tx_ID,1399)&amp;"","")</f>
        <v/>
      </c>
      <c r="E1405" s="94">
        <f>IF(H1405=1,INDEX(tx_Date,1399),"")</f>
        <v/>
      </c>
      <c r="F1405" s="58">
        <f>IF(H1405=1,INDEX(tx_Desc,1399)&amp;"","")</f>
        <v/>
      </c>
      <c r="G1405" s="58">
        <f>IF(H1405=1,IF(INDEX(tx_Cust,1399)&amp;""&lt;&gt;"",INDEX(tx_Cust,1399)&amp;"",INDEX(tx_Vend,1399)&amp;""),"")</f>
        <v/>
      </c>
      <c r="H1405" s="101">
        <f>IFERROR(N(INDEX(tx_Posted,1399)),0)</f>
        <v/>
      </c>
      <c r="I1405" s="58">
        <f>IF(H1405=1,INDEX(tx_DrAcct,1399)&amp;"","")</f>
        <v/>
      </c>
      <c r="J1405" s="95">
        <f>IF(H1405=1,INDEX(tx_DrAmt,1399),0)</f>
        <v/>
      </c>
      <c r="K1405" s="58">
        <f>IF(H1405=1,INDEX(tx_CrAcct,1399)&amp;"","")</f>
        <v/>
      </c>
      <c r="L1405" s="95">
        <f>IF(H1405=1,INDEX(tx_CrAmt,1399),0)</f>
        <v/>
      </c>
      <c r="M1405" s="95">
        <f>IF(H1405=1,INDEX(tx_TaxDr,1399),0)</f>
        <v/>
      </c>
      <c r="N1405" s="95">
        <f>IF(H1405=1,INDEX(tx_TaxCr,1399),0)</f>
        <v/>
      </c>
      <c r="O1405" s="101">
        <f>IF(H1405=1,IF(E1405&lt;FYStart,0,IF(E1405&gt;FYEnd,13,YEAR(E1405)*12+MONTH(E1405)-FYYM+1)),"")</f>
        <v/>
      </c>
      <c r="P1405" s="101">
        <f>IF(H1405=1,IF(IFERROR(INDEX(coa_CF,MATCH(I1405,coa_Name,0)),"")="Cash",1,0),0)</f>
        <v/>
      </c>
      <c r="Q1405" s="101">
        <f>IF(H1405=1,IF(IFERROR(INDEX(coa_CF,MATCH(K1405,coa_Name,0)),"")="Cash",1,0),0)</f>
        <v/>
      </c>
      <c r="R1405" s="58">
        <f>IF((P1405-Q1405)=0,"",IFERROR(INDEX(coa_CF,MATCH(IF((P1405-Q1405)=1,K1405,I1405),coa_Name,0)),"Operating"))</f>
        <v/>
      </c>
      <c r="S1405" s="95">
        <f>IF((P1405-Q1405)=1,L1405,IF((P1405-Q1405)=-1,-J1405,0))</f>
        <v/>
      </c>
      <c r="T1405" s="95">
        <f>IF((P1405-Q1405)=1,N1405,IF((P1405-Q1405)=-1,-M1405,0))</f>
        <v/>
      </c>
      <c r="U1405" s="101">
        <f>IF(AND(H1405=1,LedAcct&lt;&gt;""),IF(AND(E1405&gt;=LedFrom,E1405&lt;=LedTo,OR(I1405=LedAcct,K1405=LedAcct,AND(LedAcct=acctTax,M1405+N1405&lt;&gt;0))),E1405*10000+B1405,""),"")</f>
        <v/>
      </c>
    </row>
    <row r="1406">
      <c r="B1406" s="101" t="n">
        <v>1400</v>
      </c>
      <c r="C1406" s="58" t="inlineStr">
        <is>
          <t>Transaction</t>
        </is>
      </c>
      <c r="D1406" s="58">
        <f>IF(H1406=1,INDEX(tx_ID,1400)&amp;"","")</f>
        <v/>
      </c>
      <c r="E1406" s="94">
        <f>IF(H1406=1,INDEX(tx_Date,1400),"")</f>
        <v/>
      </c>
      <c r="F1406" s="58">
        <f>IF(H1406=1,INDEX(tx_Desc,1400)&amp;"","")</f>
        <v/>
      </c>
      <c r="G1406" s="58">
        <f>IF(H1406=1,IF(INDEX(tx_Cust,1400)&amp;""&lt;&gt;"",INDEX(tx_Cust,1400)&amp;"",INDEX(tx_Vend,1400)&amp;""),"")</f>
        <v/>
      </c>
      <c r="H1406" s="101">
        <f>IFERROR(N(INDEX(tx_Posted,1400)),0)</f>
        <v/>
      </c>
      <c r="I1406" s="58">
        <f>IF(H1406=1,INDEX(tx_DrAcct,1400)&amp;"","")</f>
        <v/>
      </c>
      <c r="J1406" s="95">
        <f>IF(H1406=1,INDEX(tx_DrAmt,1400),0)</f>
        <v/>
      </c>
      <c r="K1406" s="58">
        <f>IF(H1406=1,INDEX(tx_CrAcct,1400)&amp;"","")</f>
        <v/>
      </c>
      <c r="L1406" s="95">
        <f>IF(H1406=1,INDEX(tx_CrAmt,1400),0)</f>
        <v/>
      </c>
      <c r="M1406" s="95">
        <f>IF(H1406=1,INDEX(tx_TaxDr,1400),0)</f>
        <v/>
      </c>
      <c r="N1406" s="95">
        <f>IF(H1406=1,INDEX(tx_TaxCr,1400),0)</f>
        <v/>
      </c>
      <c r="O1406" s="101">
        <f>IF(H1406=1,IF(E1406&lt;FYStart,0,IF(E1406&gt;FYEnd,13,YEAR(E1406)*12+MONTH(E1406)-FYYM+1)),"")</f>
        <v/>
      </c>
      <c r="P1406" s="101">
        <f>IF(H1406=1,IF(IFERROR(INDEX(coa_CF,MATCH(I1406,coa_Name,0)),"")="Cash",1,0),0)</f>
        <v/>
      </c>
      <c r="Q1406" s="101">
        <f>IF(H1406=1,IF(IFERROR(INDEX(coa_CF,MATCH(K1406,coa_Name,0)),"")="Cash",1,0),0)</f>
        <v/>
      </c>
      <c r="R1406" s="58">
        <f>IF((P1406-Q1406)=0,"",IFERROR(INDEX(coa_CF,MATCH(IF((P1406-Q1406)=1,K1406,I1406),coa_Name,0)),"Operating"))</f>
        <v/>
      </c>
      <c r="S1406" s="95">
        <f>IF((P1406-Q1406)=1,L1406,IF((P1406-Q1406)=-1,-J1406,0))</f>
        <v/>
      </c>
      <c r="T1406" s="95">
        <f>IF((P1406-Q1406)=1,N1406,IF((P1406-Q1406)=-1,-M1406,0))</f>
        <v/>
      </c>
      <c r="U1406" s="101">
        <f>IF(AND(H1406=1,LedAcct&lt;&gt;""),IF(AND(E1406&gt;=LedFrom,E1406&lt;=LedTo,OR(I1406=LedAcct,K1406=LedAcct,AND(LedAcct=acctTax,M1406+N1406&lt;&gt;0))),E1406*10000+B1406,""),"")</f>
        <v/>
      </c>
    </row>
    <row r="1407">
      <c r="B1407" s="101" t="n">
        <v>1401</v>
      </c>
      <c r="C1407" s="58" t="inlineStr">
        <is>
          <t>Transaction</t>
        </is>
      </c>
      <c r="D1407" s="58">
        <f>IF(H1407=1,INDEX(tx_ID,1401)&amp;"","")</f>
        <v/>
      </c>
      <c r="E1407" s="94">
        <f>IF(H1407=1,INDEX(tx_Date,1401),"")</f>
        <v/>
      </c>
      <c r="F1407" s="58">
        <f>IF(H1407=1,INDEX(tx_Desc,1401)&amp;"","")</f>
        <v/>
      </c>
      <c r="G1407" s="58">
        <f>IF(H1407=1,IF(INDEX(tx_Cust,1401)&amp;""&lt;&gt;"",INDEX(tx_Cust,1401)&amp;"",INDEX(tx_Vend,1401)&amp;""),"")</f>
        <v/>
      </c>
      <c r="H1407" s="101">
        <f>IFERROR(N(INDEX(tx_Posted,1401)),0)</f>
        <v/>
      </c>
      <c r="I1407" s="58">
        <f>IF(H1407=1,INDEX(tx_DrAcct,1401)&amp;"","")</f>
        <v/>
      </c>
      <c r="J1407" s="95">
        <f>IF(H1407=1,INDEX(tx_DrAmt,1401),0)</f>
        <v/>
      </c>
      <c r="K1407" s="58">
        <f>IF(H1407=1,INDEX(tx_CrAcct,1401)&amp;"","")</f>
        <v/>
      </c>
      <c r="L1407" s="95">
        <f>IF(H1407=1,INDEX(tx_CrAmt,1401),0)</f>
        <v/>
      </c>
      <c r="M1407" s="95">
        <f>IF(H1407=1,INDEX(tx_TaxDr,1401),0)</f>
        <v/>
      </c>
      <c r="N1407" s="95">
        <f>IF(H1407=1,INDEX(tx_TaxCr,1401),0)</f>
        <v/>
      </c>
      <c r="O1407" s="101">
        <f>IF(H1407=1,IF(E1407&lt;FYStart,0,IF(E1407&gt;FYEnd,13,YEAR(E1407)*12+MONTH(E1407)-FYYM+1)),"")</f>
        <v/>
      </c>
      <c r="P1407" s="101">
        <f>IF(H1407=1,IF(IFERROR(INDEX(coa_CF,MATCH(I1407,coa_Name,0)),"")="Cash",1,0),0)</f>
        <v/>
      </c>
      <c r="Q1407" s="101">
        <f>IF(H1407=1,IF(IFERROR(INDEX(coa_CF,MATCH(K1407,coa_Name,0)),"")="Cash",1,0),0)</f>
        <v/>
      </c>
      <c r="R1407" s="58">
        <f>IF((P1407-Q1407)=0,"",IFERROR(INDEX(coa_CF,MATCH(IF((P1407-Q1407)=1,K1407,I1407),coa_Name,0)),"Operating"))</f>
        <v/>
      </c>
      <c r="S1407" s="95">
        <f>IF((P1407-Q1407)=1,L1407,IF((P1407-Q1407)=-1,-J1407,0))</f>
        <v/>
      </c>
      <c r="T1407" s="95">
        <f>IF((P1407-Q1407)=1,N1407,IF((P1407-Q1407)=-1,-M1407,0))</f>
        <v/>
      </c>
      <c r="U1407" s="101">
        <f>IF(AND(H1407=1,LedAcct&lt;&gt;""),IF(AND(E1407&gt;=LedFrom,E1407&lt;=LedTo,OR(I1407=LedAcct,K1407=LedAcct,AND(LedAcct=acctTax,M1407+N1407&lt;&gt;0))),E1407*10000+B1407,""),"")</f>
        <v/>
      </c>
    </row>
    <row r="1408">
      <c r="B1408" s="101" t="n">
        <v>1402</v>
      </c>
      <c r="C1408" s="58" t="inlineStr">
        <is>
          <t>Transaction</t>
        </is>
      </c>
      <c r="D1408" s="58">
        <f>IF(H1408=1,INDEX(tx_ID,1402)&amp;"","")</f>
        <v/>
      </c>
      <c r="E1408" s="94">
        <f>IF(H1408=1,INDEX(tx_Date,1402),"")</f>
        <v/>
      </c>
      <c r="F1408" s="58">
        <f>IF(H1408=1,INDEX(tx_Desc,1402)&amp;"","")</f>
        <v/>
      </c>
      <c r="G1408" s="58">
        <f>IF(H1408=1,IF(INDEX(tx_Cust,1402)&amp;""&lt;&gt;"",INDEX(tx_Cust,1402)&amp;"",INDEX(tx_Vend,1402)&amp;""),"")</f>
        <v/>
      </c>
      <c r="H1408" s="101">
        <f>IFERROR(N(INDEX(tx_Posted,1402)),0)</f>
        <v/>
      </c>
      <c r="I1408" s="58">
        <f>IF(H1408=1,INDEX(tx_DrAcct,1402)&amp;"","")</f>
        <v/>
      </c>
      <c r="J1408" s="95">
        <f>IF(H1408=1,INDEX(tx_DrAmt,1402),0)</f>
        <v/>
      </c>
      <c r="K1408" s="58">
        <f>IF(H1408=1,INDEX(tx_CrAcct,1402)&amp;"","")</f>
        <v/>
      </c>
      <c r="L1408" s="95">
        <f>IF(H1408=1,INDEX(tx_CrAmt,1402),0)</f>
        <v/>
      </c>
      <c r="M1408" s="95">
        <f>IF(H1408=1,INDEX(tx_TaxDr,1402),0)</f>
        <v/>
      </c>
      <c r="N1408" s="95">
        <f>IF(H1408=1,INDEX(tx_TaxCr,1402),0)</f>
        <v/>
      </c>
      <c r="O1408" s="101">
        <f>IF(H1408=1,IF(E1408&lt;FYStart,0,IF(E1408&gt;FYEnd,13,YEAR(E1408)*12+MONTH(E1408)-FYYM+1)),"")</f>
        <v/>
      </c>
      <c r="P1408" s="101">
        <f>IF(H1408=1,IF(IFERROR(INDEX(coa_CF,MATCH(I1408,coa_Name,0)),"")="Cash",1,0),0)</f>
        <v/>
      </c>
      <c r="Q1408" s="101">
        <f>IF(H1408=1,IF(IFERROR(INDEX(coa_CF,MATCH(K1408,coa_Name,0)),"")="Cash",1,0),0)</f>
        <v/>
      </c>
      <c r="R1408" s="58">
        <f>IF((P1408-Q1408)=0,"",IFERROR(INDEX(coa_CF,MATCH(IF((P1408-Q1408)=1,K1408,I1408),coa_Name,0)),"Operating"))</f>
        <v/>
      </c>
      <c r="S1408" s="95">
        <f>IF((P1408-Q1408)=1,L1408,IF((P1408-Q1408)=-1,-J1408,0))</f>
        <v/>
      </c>
      <c r="T1408" s="95">
        <f>IF((P1408-Q1408)=1,N1408,IF((P1408-Q1408)=-1,-M1408,0))</f>
        <v/>
      </c>
      <c r="U1408" s="101">
        <f>IF(AND(H1408=1,LedAcct&lt;&gt;""),IF(AND(E1408&gt;=LedFrom,E1408&lt;=LedTo,OR(I1408=LedAcct,K1408=LedAcct,AND(LedAcct=acctTax,M1408+N1408&lt;&gt;0))),E1408*10000+B1408,""),"")</f>
        <v/>
      </c>
    </row>
    <row r="1409">
      <c r="B1409" s="101" t="n">
        <v>1403</v>
      </c>
      <c r="C1409" s="58" t="inlineStr">
        <is>
          <t>Transaction</t>
        </is>
      </c>
      <c r="D1409" s="58">
        <f>IF(H1409=1,INDEX(tx_ID,1403)&amp;"","")</f>
        <v/>
      </c>
      <c r="E1409" s="94">
        <f>IF(H1409=1,INDEX(tx_Date,1403),"")</f>
        <v/>
      </c>
      <c r="F1409" s="58">
        <f>IF(H1409=1,INDEX(tx_Desc,1403)&amp;"","")</f>
        <v/>
      </c>
      <c r="G1409" s="58">
        <f>IF(H1409=1,IF(INDEX(tx_Cust,1403)&amp;""&lt;&gt;"",INDEX(tx_Cust,1403)&amp;"",INDEX(tx_Vend,1403)&amp;""),"")</f>
        <v/>
      </c>
      <c r="H1409" s="101">
        <f>IFERROR(N(INDEX(tx_Posted,1403)),0)</f>
        <v/>
      </c>
      <c r="I1409" s="58">
        <f>IF(H1409=1,INDEX(tx_DrAcct,1403)&amp;"","")</f>
        <v/>
      </c>
      <c r="J1409" s="95">
        <f>IF(H1409=1,INDEX(tx_DrAmt,1403),0)</f>
        <v/>
      </c>
      <c r="K1409" s="58">
        <f>IF(H1409=1,INDEX(tx_CrAcct,1403)&amp;"","")</f>
        <v/>
      </c>
      <c r="L1409" s="95">
        <f>IF(H1409=1,INDEX(tx_CrAmt,1403),0)</f>
        <v/>
      </c>
      <c r="M1409" s="95">
        <f>IF(H1409=1,INDEX(tx_TaxDr,1403),0)</f>
        <v/>
      </c>
      <c r="N1409" s="95">
        <f>IF(H1409=1,INDEX(tx_TaxCr,1403),0)</f>
        <v/>
      </c>
      <c r="O1409" s="101">
        <f>IF(H1409=1,IF(E1409&lt;FYStart,0,IF(E1409&gt;FYEnd,13,YEAR(E1409)*12+MONTH(E1409)-FYYM+1)),"")</f>
        <v/>
      </c>
      <c r="P1409" s="101">
        <f>IF(H1409=1,IF(IFERROR(INDEX(coa_CF,MATCH(I1409,coa_Name,0)),"")="Cash",1,0),0)</f>
        <v/>
      </c>
      <c r="Q1409" s="101">
        <f>IF(H1409=1,IF(IFERROR(INDEX(coa_CF,MATCH(K1409,coa_Name,0)),"")="Cash",1,0),0)</f>
        <v/>
      </c>
      <c r="R1409" s="58">
        <f>IF((P1409-Q1409)=0,"",IFERROR(INDEX(coa_CF,MATCH(IF((P1409-Q1409)=1,K1409,I1409),coa_Name,0)),"Operating"))</f>
        <v/>
      </c>
      <c r="S1409" s="95">
        <f>IF((P1409-Q1409)=1,L1409,IF((P1409-Q1409)=-1,-J1409,0))</f>
        <v/>
      </c>
      <c r="T1409" s="95">
        <f>IF((P1409-Q1409)=1,N1409,IF((P1409-Q1409)=-1,-M1409,0))</f>
        <v/>
      </c>
      <c r="U1409" s="101">
        <f>IF(AND(H1409=1,LedAcct&lt;&gt;""),IF(AND(E1409&gt;=LedFrom,E1409&lt;=LedTo,OR(I1409=LedAcct,K1409=LedAcct,AND(LedAcct=acctTax,M1409+N1409&lt;&gt;0))),E1409*10000+B1409,""),"")</f>
        <v/>
      </c>
    </row>
    <row r="1410">
      <c r="B1410" s="101" t="n">
        <v>1404</v>
      </c>
      <c r="C1410" s="58" t="inlineStr">
        <is>
          <t>Transaction</t>
        </is>
      </c>
      <c r="D1410" s="58">
        <f>IF(H1410=1,INDEX(tx_ID,1404)&amp;"","")</f>
        <v/>
      </c>
      <c r="E1410" s="94">
        <f>IF(H1410=1,INDEX(tx_Date,1404),"")</f>
        <v/>
      </c>
      <c r="F1410" s="58">
        <f>IF(H1410=1,INDEX(tx_Desc,1404)&amp;"","")</f>
        <v/>
      </c>
      <c r="G1410" s="58">
        <f>IF(H1410=1,IF(INDEX(tx_Cust,1404)&amp;""&lt;&gt;"",INDEX(tx_Cust,1404)&amp;"",INDEX(tx_Vend,1404)&amp;""),"")</f>
        <v/>
      </c>
      <c r="H1410" s="101">
        <f>IFERROR(N(INDEX(tx_Posted,1404)),0)</f>
        <v/>
      </c>
      <c r="I1410" s="58">
        <f>IF(H1410=1,INDEX(tx_DrAcct,1404)&amp;"","")</f>
        <v/>
      </c>
      <c r="J1410" s="95">
        <f>IF(H1410=1,INDEX(tx_DrAmt,1404),0)</f>
        <v/>
      </c>
      <c r="K1410" s="58">
        <f>IF(H1410=1,INDEX(tx_CrAcct,1404)&amp;"","")</f>
        <v/>
      </c>
      <c r="L1410" s="95">
        <f>IF(H1410=1,INDEX(tx_CrAmt,1404),0)</f>
        <v/>
      </c>
      <c r="M1410" s="95">
        <f>IF(H1410=1,INDEX(tx_TaxDr,1404),0)</f>
        <v/>
      </c>
      <c r="N1410" s="95">
        <f>IF(H1410=1,INDEX(tx_TaxCr,1404),0)</f>
        <v/>
      </c>
      <c r="O1410" s="101">
        <f>IF(H1410=1,IF(E1410&lt;FYStart,0,IF(E1410&gt;FYEnd,13,YEAR(E1410)*12+MONTH(E1410)-FYYM+1)),"")</f>
        <v/>
      </c>
      <c r="P1410" s="101">
        <f>IF(H1410=1,IF(IFERROR(INDEX(coa_CF,MATCH(I1410,coa_Name,0)),"")="Cash",1,0),0)</f>
        <v/>
      </c>
      <c r="Q1410" s="101">
        <f>IF(H1410=1,IF(IFERROR(INDEX(coa_CF,MATCH(K1410,coa_Name,0)),"")="Cash",1,0),0)</f>
        <v/>
      </c>
      <c r="R1410" s="58">
        <f>IF((P1410-Q1410)=0,"",IFERROR(INDEX(coa_CF,MATCH(IF((P1410-Q1410)=1,K1410,I1410),coa_Name,0)),"Operating"))</f>
        <v/>
      </c>
      <c r="S1410" s="95">
        <f>IF((P1410-Q1410)=1,L1410,IF((P1410-Q1410)=-1,-J1410,0))</f>
        <v/>
      </c>
      <c r="T1410" s="95">
        <f>IF((P1410-Q1410)=1,N1410,IF((P1410-Q1410)=-1,-M1410,0))</f>
        <v/>
      </c>
      <c r="U1410" s="101">
        <f>IF(AND(H1410=1,LedAcct&lt;&gt;""),IF(AND(E1410&gt;=LedFrom,E1410&lt;=LedTo,OR(I1410=LedAcct,K1410=LedAcct,AND(LedAcct=acctTax,M1410+N1410&lt;&gt;0))),E1410*10000+B1410,""),"")</f>
        <v/>
      </c>
    </row>
    <row r="1411">
      <c r="B1411" s="101" t="n">
        <v>1405</v>
      </c>
      <c r="C1411" s="58" t="inlineStr">
        <is>
          <t>Transaction</t>
        </is>
      </c>
      <c r="D1411" s="58">
        <f>IF(H1411=1,INDEX(tx_ID,1405)&amp;"","")</f>
        <v/>
      </c>
      <c r="E1411" s="94">
        <f>IF(H1411=1,INDEX(tx_Date,1405),"")</f>
        <v/>
      </c>
      <c r="F1411" s="58">
        <f>IF(H1411=1,INDEX(tx_Desc,1405)&amp;"","")</f>
        <v/>
      </c>
      <c r="G1411" s="58">
        <f>IF(H1411=1,IF(INDEX(tx_Cust,1405)&amp;""&lt;&gt;"",INDEX(tx_Cust,1405)&amp;"",INDEX(tx_Vend,1405)&amp;""),"")</f>
        <v/>
      </c>
      <c r="H1411" s="101">
        <f>IFERROR(N(INDEX(tx_Posted,1405)),0)</f>
        <v/>
      </c>
      <c r="I1411" s="58">
        <f>IF(H1411=1,INDEX(tx_DrAcct,1405)&amp;"","")</f>
        <v/>
      </c>
      <c r="J1411" s="95">
        <f>IF(H1411=1,INDEX(tx_DrAmt,1405),0)</f>
        <v/>
      </c>
      <c r="K1411" s="58">
        <f>IF(H1411=1,INDEX(tx_CrAcct,1405)&amp;"","")</f>
        <v/>
      </c>
      <c r="L1411" s="95">
        <f>IF(H1411=1,INDEX(tx_CrAmt,1405),0)</f>
        <v/>
      </c>
      <c r="M1411" s="95">
        <f>IF(H1411=1,INDEX(tx_TaxDr,1405),0)</f>
        <v/>
      </c>
      <c r="N1411" s="95">
        <f>IF(H1411=1,INDEX(tx_TaxCr,1405),0)</f>
        <v/>
      </c>
      <c r="O1411" s="101">
        <f>IF(H1411=1,IF(E1411&lt;FYStart,0,IF(E1411&gt;FYEnd,13,YEAR(E1411)*12+MONTH(E1411)-FYYM+1)),"")</f>
        <v/>
      </c>
      <c r="P1411" s="101">
        <f>IF(H1411=1,IF(IFERROR(INDEX(coa_CF,MATCH(I1411,coa_Name,0)),"")="Cash",1,0),0)</f>
        <v/>
      </c>
      <c r="Q1411" s="101">
        <f>IF(H1411=1,IF(IFERROR(INDEX(coa_CF,MATCH(K1411,coa_Name,0)),"")="Cash",1,0),0)</f>
        <v/>
      </c>
      <c r="R1411" s="58">
        <f>IF((P1411-Q1411)=0,"",IFERROR(INDEX(coa_CF,MATCH(IF((P1411-Q1411)=1,K1411,I1411),coa_Name,0)),"Operating"))</f>
        <v/>
      </c>
      <c r="S1411" s="95">
        <f>IF((P1411-Q1411)=1,L1411,IF((P1411-Q1411)=-1,-J1411,0))</f>
        <v/>
      </c>
      <c r="T1411" s="95">
        <f>IF((P1411-Q1411)=1,N1411,IF((P1411-Q1411)=-1,-M1411,0))</f>
        <v/>
      </c>
      <c r="U1411" s="101">
        <f>IF(AND(H1411=1,LedAcct&lt;&gt;""),IF(AND(E1411&gt;=LedFrom,E1411&lt;=LedTo,OR(I1411=LedAcct,K1411=LedAcct,AND(LedAcct=acctTax,M1411+N1411&lt;&gt;0))),E1411*10000+B1411,""),"")</f>
        <v/>
      </c>
    </row>
    <row r="1412">
      <c r="B1412" s="101" t="n">
        <v>1406</v>
      </c>
      <c r="C1412" s="58" t="inlineStr">
        <is>
          <t>Transaction</t>
        </is>
      </c>
      <c r="D1412" s="58">
        <f>IF(H1412=1,INDEX(tx_ID,1406)&amp;"","")</f>
        <v/>
      </c>
      <c r="E1412" s="94">
        <f>IF(H1412=1,INDEX(tx_Date,1406),"")</f>
        <v/>
      </c>
      <c r="F1412" s="58">
        <f>IF(H1412=1,INDEX(tx_Desc,1406)&amp;"","")</f>
        <v/>
      </c>
      <c r="G1412" s="58">
        <f>IF(H1412=1,IF(INDEX(tx_Cust,1406)&amp;""&lt;&gt;"",INDEX(tx_Cust,1406)&amp;"",INDEX(tx_Vend,1406)&amp;""),"")</f>
        <v/>
      </c>
      <c r="H1412" s="101">
        <f>IFERROR(N(INDEX(tx_Posted,1406)),0)</f>
        <v/>
      </c>
      <c r="I1412" s="58">
        <f>IF(H1412=1,INDEX(tx_DrAcct,1406)&amp;"","")</f>
        <v/>
      </c>
      <c r="J1412" s="95">
        <f>IF(H1412=1,INDEX(tx_DrAmt,1406),0)</f>
        <v/>
      </c>
      <c r="K1412" s="58">
        <f>IF(H1412=1,INDEX(tx_CrAcct,1406)&amp;"","")</f>
        <v/>
      </c>
      <c r="L1412" s="95">
        <f>IF(H1412=1,INDEX(tx_CrAmt,1406),0)</f>
        <v/>
      </c>
      <c r="M1412" s="95">
        <f>IF(H1412=1,INDEX(tx_TaxDr,1406),0)</f>
        <v/>
      </c>
      <c r="N1412" s="95">
        <f>IF(H1412=1,INDEX(tx_TaxCr,1406),0)</f>
        <v/>
      </c>
      <c r="O1412" s="101">
        <f>IF(H1412=1,IF(E1412&lt;FYStart,0,IF(E1412&gt;FYEnd,13,YEAR(E1412)*12+MONTH(E1412)-FYYM+1)),"")</f>
        <v/>
      </c>
      <c r="P1412" s="101">
        <f>IF(H1412=1,IF(IFERROR(INDEX(coa_CF,MATCH(I1412,coa_Name,0)),"")="Cash",1,0),0)</f>
        <v/>
      </c>
      <c r="Q1412" s="101">
        <f>IF(H1412=1,IF(IFERROR(INDEX(coa_CF,MATCH(K1412,coa_Name,0)),"")="Cash",1,0),0)</f>
        <v/>
      </c>
      <c r="R1412" s="58">
        <f>IF((P1412-Q1412)=0,"",IFERROR(INDEX(coa_CF,MATCH(IF((P1412-Q1412)=1,K1412,I1412),coa_Name,0)),"Operating"))</f>
        <v/>
      </c>
      <c r="S1412" s="95">
        <f>IF((P1412-Q1412)=1,L1412,IF((P1412-Q1412)=-1,-J1412,0))</f>
        <v/>
      </c>
      <c r="T1412" s="95">
        <f>IF((P1412-Q1412)=1,N1412,IF((P1412-Q1412)=-1,-M1412,0))</f>
        <v/>
      </c>
      <c r="U1412" s="101">
        <f>IF(AND(H1412=1,LedAcct&lt;&gt;""),IF(AND(E1412&gt;=LedFrom,E1412&lt;=LedTo,OR(I1412=LedAcct,K1412=LedAcct,AND(LedAcct=acctTax,M1412+N1412&lt;&gt;0))),E1412*10000+B1412,""),"")</f>
        <v/>
      </c>
    </row>
    <row r="1413">
      <c r="B1413" s="101" t="n">
        <v>1407</v>
      </c>
      <c r="C1413" s="58" t="inlineStr">
        <is>
          <t>Transaction</t>
        </is>
      </c>
      <c r="D1413" s="58">
        <f>IF(H1413=1,INDEX(tx_ID,1407)&amp;"","")</f>
        <v/>
      </c>
      <c r="E1413" s="94">
        <f>IF(H1413=1,INDEX(tx_Date,1407),"")</f>
        <v/>
      </c>
      <c r="F1413" s="58">
        <f>IF(H1413=1,INDEX(tx_Desc,1407)&amp;"","")</f>
        <v/>
      </c>
      <c r="G1413" s="58">
        <f>IF(H1413=1,IF(INDEX(tx_Cust,1407)&amp;""&lt;&gt;"",INDEX(tx_Cust,1407)&amp;"",INDEX(tx_Vend,1407)&amp;""),"")</f>
        <v/>
      </c>
      <c r="H1413" s="101">
        <f>IFERROR(N(INDEX(tx_Posted,1407)),0)</f>
        <v/>
      </c>
      <c r="I1413" s="58">
        <f>IF(H1413=1,INDEX(tx_DrAcct,1407)&amp;"","")</f>
        <v/>
      </c>
      <c r="J1413" s="95">
        <f>IF(H1413=1,INDEX(tx_DrAmt,1407),0)</f>
        <v/>
      </c>
      <c r="K1413" s="58">
        <f>IF(H1413=1,INDEX(tx_CrAcct,1407)&amp;"","")</f>
        <v/>
      </c>
      <c r="L1413" s="95">
        <f>IF(H1413=1,INDEX(tx_CrAmt,1407),0)</f>
        <v/>
      </c>
      <c r="M1413" s="95">
        <f>IF(H1413=1,INDEX(tx_TaxDr,1407),0)</f>
        <v/>
      </c>
      <c r="N1413" s="95">
        <f>IF(H1413=1,INDEX(tx_TaxCr,1407),0)</f>
        <v/>
      </c>
      <c r="O1413" s="101">
        <f>IF(H1413=1,IF(E1413&lt;FYStart,0,IF(E1413&gt;FYEnd,13,YEAR(E1413)*12+MONTH(E1413)-FYYM+1)),"")</f>
        <v/>
      </c>
      <c r="P1413" s="101">
        <f>IF(H1413=1,IF(IFERROR(INDEX(coa_CF,MATCH(I1413,coa_Name,0)),"")="Cash",1,0),0)</f>
        <v/>
      </c>
      <c r="Q1413" s="101">
        <f>IF(H1413=1,IF(IFERROR(INDEX(coa_CF,MATCH(K1413,coa_Name,0)),"")="Cash",1,0),0)</f>
        <v/>
      </c>
      <c r="R1413" s="58">
        <f>IF((P1413-Q1413)=0,"",IFERROR(INDEX(coa_CF,MATCH(IF((P1413-Q1413)=1,K1413,I1413),coa_Name,0)),"Operating"))</f>
        <v/>
      </c>
      <c r="S1413" s="95">
        <f>IF((P1413-Q1413)=1,L1413,IF((P1413-Q1413)=-1,-J1413,0))</f>
        <v/>
      </c>
      <c r="T1413" s="95">
        <f>IF((P1413-Q1413)=1,N1413,IF((P1413-Q1413)=-1,-M1413,0))</f>
        <v/>
      </c>
      <c r="U1413" s="101">
        <f>IF(AND(H1413=1,LedAcct&lt;&gt;""),IF(AND(E1413&gt;=LedFrom,E1413&lt;=LedTo,OR(I1413=LedAcct,K1413=LedAcct,AND(LedAcct=acctTax,M1413+N1413&lt;&gt;0))),E1413*10000+B1413,""),"")</f>
        <v/>
      </c>
    </row>
    <row r="1414">
      <c r="B1414" s="101" t="n">
        <v>1408</v>
      </c>
      <c r="C1414" s="58" t="inlineStr">
        <is>
          <t>Transaction</t>
        </is>
      </c>
      <c r="D1414" s="58">
        <f>IF(H1414=1,INDEX(tx_ID,1408)&amp;"","")</f>
        <v/>
      </c>
      <c r="E1414" s="94">
        <f>IF(H1414=1,INDEX(tx_Date,1408),"")</f>
        <v/>
      </c>
      <c r="F1414" s="58">
        <f>IF(H1414=1,INDEX(tx_Desc,1408)&amp;"","")</f>
        <v/>
      </c>
      <c r="G1414" s="58">
        <f>IF(H1414=1,IF(INDEX(tx_Cust,1408)&amp;""&lt;&gt;"",INDEX(tx_Cust,1408)&amp;"",INDEX(tx_Vend,1408)&amp;""),"")</f>
        <v/>
      </c>
      <c r="H1414" s="101">
        <f>IFERROR(N(INDEX(tx_Posted,1408)),0)</f>
        <v/>
      </c>
      <c r="I1414" s="58">
        <f>IF(H1414=1,INDEX(tx_DrAcct,1408)&amp;"","")</f>
        <v/>
      </c>
      <c r="J1414" s="95">
        <f>IF(H1414=1,INDEX(tx_DrAmt,1408),0)</f>
        <v/>
      </c>
      <c r="K1414" s="58">
        <f>IF(H1414=1,INDEX(tx_CrAcct,1408)&amp;"","")</f>
        <v/>
      </c>
      <c r="L1414" s="95">
        <f>IF(H1414=1,INDEX(tx_CrAmt,1408),0)</f>
        <v/>
      </c>
      <c r="M1414" s="95">
        <f>IF(H1414=1,INDEX(tx_TaxDr,1408),0)</f>
        <v/>
      </c>
      <c r="N1414" s="95">
        <f>IF(H1414=1,INDEX(tx_TaxCr,1408),0)</f>
        <v/>
      </c>
      <c r="O1414" s="101">
        <f>IF(H1414=1,IF(E1414&lt;FYStart,0,IF(E1414&gt;FYEnd,13,YEAR(E1414)*12+MONTH(E1414)-FYYM+1)),"")</f>
        <v/>
      </c>
      <c r="P1414" s="101">
        <f>IF(H1414=1,IF(IFERROR(INDEX(coa_CF,MATCH(I1414,coa_Name,0)),"")="Cash",1,0),0)</f>
        <v/>
      </c>
      <c r="Q1414" s="101">
        <f>IF(H1414=1,IF(IFERROR(INDEX(coa_CF,MATCH(K1414,coa_Name,0)),"")="Cash",1,0),0)</f>
        <v/>
      </c>
      <c r="R1414" s="58">
        <f>IF((P1414-Q1414)=0,"",IFERROR(INDEX(coa_CF,MATCH(IF((P1414-Q1414)=1,K1414,I1414),coa_Name,0)),"Operating"))</f>
        <v/>
      </c>
      <c r="S1414" s="95">
        <f>IF((P1414-Q1414)=1,L1414,IF((P1414-Q1414)=-1,-J1414,0))</f>
        <v/>
      </c>
      <c r="T1414" s="95">
        <f>IF((P1414-Q1414)=1,N1414,IF((P1414-Q1414)=-1,-M1414,0))</f>
        <v/>
      </c>
      <c r="U1414" s="101">
        <f>IF(AND(H1414=1,LedAcct&lt;&gt;""),IF(AND(E1414&gt;=LedFrom,E1414&lt;=LedTo,OR(I1414=LedAcct,K1414=LedAcct,AND(LedAcct=acctTax,M1414+N1414&lt;&gt;0))),E1414*10000+B1414,""),"")</f>
        <v/>
      </c>
    </row>
    <row r="1415">
      <c r="B1415" s="101" t="n">
        <v>1409</v>
      </c>
      <c r="C1415" s="58" t="inlineStr">
        <is>
          <t>Transaction</t>
        </is>
      </c>
      <c r="D1415" s="58">
        <f>IF(H1415=1,INDEX(tx_ID,1409)&amp;"","")</f>
        <v/>
      </c>
      <c r="E1415" s="94">
        <f>IF(H1415=1,INDEX(tx_Date,1409),"")</f>
        <v/>
      </c>
      <c r="F1415" s="58">
        <f>IF(H1415=1,INDEX(tx_Desc,1409)&amp;"","")</f>
        <v/>
      </c>
      <c r="G1415" s="58">
        <f>IF(H1415=1,IF(INDEX(tx_Cust,1409)&amp;""&lt;&gt;"",INDEX(tx_Cust,1409)&amp;"",INDEX(tx_Vend,1409)&amp;""),"")</f>
        <v/>
      </c>
      <c r="H1415" s="101">
        <f>IFERROR(N(INDEX(tx_Posted,1409)),0)</f>
        <v/>
      </c>
      <c r="I1415" s="58">
        <f>IF(H1415=1,INDEX(tx_DrAcct,1409)&amp;"","")</f>
        <v/>
      </c>
      <c r="J1415" s="95">
        <f>IF(H1415=1,INDEX(tx_DrAmt,1409),0)</f>
        <v/>
      </c>
      <c r="K1415" s="58">
        <f>IF(H1415=1,INDEX(tx_CrAcct,1409)&amp;"","")</f>
        <v/>
      </c>
      <c r="L1415" s="95">
        <f>IF(H1415=1,INDEX(tx_CrAmt,1409),0)</f>
        <v/>
      </c>
      <c r="M1415" s="95">
        <f>IF(H1415=1,INDEX(tx_TaxDr,1409),0)</f>
        <v/>
      </c>
      <c r="N1415" s="95">
        <f>IF(H1415=1,INDEX(tx_TaxCr,1409),0)</f>
        <v/>
      </c>
      <c r="O1415" s="101">
        <f>IF(H1415=1,IF(E1415&lt;FYStart,0,IF(E1415&gt;FYEnd,13,YEAR(E1415)*12+MONTH(E1415)-FYYM+1)),"")</f>
        <v/>
      </c>
      <c r="P1415" s="101">
        <f>IF(H1415=1,IF(IFERROR(INDEX(coa_CF,MATCH(I1415,coa_Name,0)),"")="Cash",1,0),0)</f>
        <v/>
      </c>
      <c r="Q1415" s="101">
        <f>IF(H1415=1,IF(IFERROR(INDEX(coa_CF,MATCH(K1415,coa_Name,0)),"")="Cash",1,0),0)</f>
        <v/>
      </c>
      <c r="R1415" s="58">
        <f>IF((P1415-Q1415)=0,"",IFERROR(INDEX(coa_CF,MATCH(IF((P1415-Q1415)=1,K1415,I1415),coa_Name,0)),"Operating"))</f>
        <v/>
      </c>
      <c r="S1415" s="95">
        <f>IF((P1415-Q1415)=1,L1415,IF((P1415-Q1415)=-1,-J1415,0))</f>
        <v/>
      </c>
      <c r="T1415" s="95">
        <f>IF((P1415-Q1415)=1,N1415,IF((P1415-Q1415)=-1,-M1415,0))</f>
        <v/>
      </c>
      <c r="U1415" s="101">
        <f>IF(AND(H1415=1,LedAcct&lt;&gt;""),IF(AND(E1415&gt;=LedFrom,E1415&lt;=LedTo,OR(I1415=LedAcct,K1415=LedAcct,AND(LedAcct=acctTax,M1415+N1415&lt;&gt;0))),E1415*10000+B1415,""),"")</f>
        <v/>
      </c>
    </row>
    <row r="1416">
      <c r="B1416" s="101" t="n">
        <v>1410</v>
      </c>
      <c r="C1416" s="58" t="inlineStr">
        <is>
          <t>Transaction</t>
        </is>
      </c>
      <c r="D1416" s="58">
        <f>IF(H1416=1,INDEX(tx_ID,1410)&amp;"","")</f>
        <v/>
      </c>
      <c r="E1416" s="94">
        <f>IF(H1416=1,INDEX(tx_Date,1410),"")</f>
        <v/>
      </c>
      <c r="F1416" s="58">
        <f>IF(H1416=1,INDEX(tx_Desc,1410)&amp;"","")</f>
        <v/>
      </c>
      <c r="G1416" s="58">
        <f>IF(H1416=1,IF(INDEX(tx_Cust,1410)&amp;""&lt;&gt;"",INDEX(tx_Cust,1410)&amp;"",INDEX(tx_Vend,1410)&amp;""),"")</f>
        <v/>
      </c>
      <c r="H1416" s="101">
        <f>IFERROR(N(INDEX(tx_Posted,1410)),0)</f>
        <v/>
      </c>
      <c r="I1416" s="58">
        <f>IF(H1416=1,INDEX(tx_DrAcct,1410)&amp;"","")</f>
        <v/>
      </c>
      <c r="J1416" s="95">
        <f>IF(H1416=1,INDEX(tx_DrAmt,1410),0)</f>
        <v/>
      </c>
      <c r="K1416" s="58">
        <f>IF(H1416=1,INDEX(tx_CrAcct,1410)&amp;"","")</f>
        <v/>
      </c>
      <c r="L1416" s="95">
        <f>IF(H1416=1,INDEX(tx_CrAmt,1410),0)</f>
        <v/>
      </c>
      <c r="M1416" s="95">
        <f>IF(H1416=1,INDEX(tx_TaxDr,1410),0)</f>
        <v/>
      </c>
      <c r="N1416" s="95">
        <f>IF(H1416=1,INDEX(tx_TaxCr,1410),0)</f>
        <v/>
      </c>
      <c r="O1416" s="101">
        <f>IF(H1416=1,IF(E1416&lt;FYStart,0,IF(E1416&gt;FYEnd,13,YEAR(E1416)*12+MONTH(E1416)-FYYM+1)),"")</f>
        <v/>
      </c>
      <c r="P1416" s="101">
        <f>IF(H1416=1,IF(IFERROR(INDEX(coa_CF,MATCH(I1416,coa_Name,0)),"")="Cash",1,0),0)</f>
        <v/>
      </c>
      <c r="Q1416" s="101">
        <f>IF(H1416=1,IF(IFERROR(INDEX(coa_CF,MATCH(K1416,coa_Name,0)),"")="Cash",1,0),0)</f>
        <v/>
      </c>
      <c r="R1416" s="58">
        <f>IF((P1416-Q1416)=0,"",IFERROR(INDEX(coa_CF,MATCH(IF((P1416-Q1416)=1,K1416,I1416),coa_Name,0)),"Operating"))</f>
        <v/>
      </c>
      <c r="S1416" s="95">
        <f>IF((P1416-Q1416)=1,L1416,IF((P1416-Q1416)=-1,-J1416,0))</f>
        <v/>
      </c>
      <c r="T1416" s="95">
        <f>IF((P1416-Q1416)=1,N1416,IF((P1416-Q1416)=-1,-M1416,0))</f>
        <v/>
      </c>
      <c r="U1416" s="101">
        <f>IF(AND(H1416=1,LedAcct&lt;&gt;""),IF(AND(E1416&gt;=LedFrom,E1416&lt;=LedTo,OR(I1416=LedAcct,K1416=LedAcct,AND(LedAcct=acctTax,M1416+N1416&lt;&gt;0))),E1416*10000+B1416,""),"")</f>
        <v/>
      </c>
    </row>
    <row r="1417">
      <c r="B1417" s="101" t="n">
        <v>1411</v>
      </c>
      <c r="C1417" s="58" t="inlineStr">
        <is>
          <t>Transaction</t>
        </is>
      </c>
      <c r="D1417" s="58">
        <f>IF(H1417=1,INDEX(tx_ID,1411)&amp;"","")</f>
        <v/>
      </c>
      <c r="E1417" s="94">
        <f>IF(H1417=1,INDEX(tx_Date,1411),"")</f>
        <v/>
      </c>
      <c r="F1417" s="58">
        <f>IF(H1417=1,INDEX(tx_Desc,1411)&amp;"","")</f>
        <v/>
      </c>
      <c r="G1417" s="58">
        <f>IF(H1417=1,IF(INDEX(tx_Cust,1411)&amp;""&lt;&gt;"",INDEX(tx_Cust,1411)&amp;"",INDEX(tx_Vend,1411)&amp;""),"")</f>
        <v/>
      </c>
      <c r="H1417" s="101">
        <f>IFERROR(N(INDEX(tx_Posted,1411)),0)</f>
        <v/>
      </c>
      <c r="I1417" s="58">
        <f>IF(H1417=1,INDEX(tx_DrAcct,1411)&amp;"","")</f>
        <v/>
      </c>
      <c r="J1417" s="95">
        <f>IF(H1417=1,INDEX(tx_DrAmt,1411),0)</f>
        <v/>
      </c>
      <c r="K1417" s="58">
        <f>IF(H1417=1,INDEX(tx_CrAcct,1411)&amp;"","")</f>
        <v/>
      </c>
      <c r="L1417" s="95">
        <f>IF(H1417=1,INDEX(tx_CrAmt,1411),0)</f>
        <v/>
      </c>
      <c r="M1417" s="95">
        <f>IF(H1417=1,INDEX(tx_TaxDr,1411),0)</f>
        <v/>
      </c>
      <c r="N1417" s="95">
        <f>IF(H1417=1,INDEX(tx_TaxCr,1411),0)</f>
        <v/>
      </c>
      <c r="O1417" s="101">
        <f>IF(H1417=1,IF(E1417&lt;FYStart,0,IF(E1417&gt;FYEnd,13,YEAR(E1417)*12+MONTH(E1417)-FYYM+1)),"")</f>
        <v/>
      </c>
      <c r="P1417" s="101">
        <f>IF(H1417=1,IF(IFERROR(INDEX(coa_CF,MATCH(I1417,coa_Name,0)),"")="Cash",1,0),0)</f>
        <v/>
      </c>
      <c r="Q1417" s="101">
        <f>IF(H1417=1,IF(IFERROR(INDEX(coa_CF,MATCH(K1417,coa_Name,0)),"")="Cash",1,0),0)</f>
        <v/>
      </c>
      <c r="R1417" s="58">
        <f>IF((P1417-Q1417)=0,"",IFERROR(INDEX(coa_CF,MATCH(IF((P1417-Q1417)=1,K1417,I1417),coa_Name,0)),"Operating"))</f>
        <v/>
      </c>
      <c r="S1417" s="95">
        <f>IF((P1417-Q1417)=1,L1417,IF((P1417-Q1417)=-1,-J1417,0))</f>
        <v/>
      </c>
      <c r="T1417" s="95">
        <f>IF((P1417-Q1417)=1,N1417,IF((P1417-Q1417)=-1,-M1417,0))</f>
        <v/>
      </c>
      <c r="U1417" s="101">
        <f>IF(AND(H1417=1,LedAcct&lt;&gt;""),IF(AND(E1417&gt;=LedFrom,E1417&lt;=LedTo,OR(I1417=LedAcct,K1417=LedAcct,AND(LedAcct=acctTax,M1417+N1417&lt;&gt;0))),E1417*10000+B1417,""),"")</f>
        <v/>
      </c>
    </row>
    <row r="1418">
      <c r="B1418" s="101" t="n">
        <v>1412</v>
      </c>
      <c r="C1418" s="58" t="inlineStr">
        <is>
          <t>Transaction</t>
        </is>
      </c>
      <c r="D1418" s="58">
        <f>IF(H1418=1,INDEX(tx_ID,1412)&amp;"","")</f>
        <v/>
      </c>
      <c r="E1418" s="94">
        <f>IF(H1418=1,INDEX(tx_Date,1412),"")</f>
        <v/>
      </c>
      <c r="F1418" s="58">
        <f>IF(H1418=1,INDEX(tx_Desc,1412)&amp;"","")</f>
        <v/>
      </c>
      <c r="G1418" s="58">
        <f>IF(H1418=1,IF(INDEX(tx_Cust,1412)&amp;""&lt;&gt;"",INDEX(tx_Cust,1412)&amp;"",INDEX(tx_Vend,1412)&amp;""),"")</f>
        <v/>
      </c>
      <c r="H1418" s="101">
        <f>IFERROR(N(INDEX(tx_Posted,1412)),0)</f>
        <v/>
      </c>
      <c r="I1418" s="58">
        <f>IF(H1418=1,INDEX(tx_DrAcct,1412)&amp;"","")</f>
        <v/>
      </c>
      <c r="J1418" s="95">
        <f>IF(H1418=1,INDEX(tx_DrAmt,1412),0)</f>
        <v/>
      </c>
      <c r="K1418" s="58">
        <f>IF(H1418=1,INDEX(tx_CrAcct,1412)&amp;"","")</f>
        <v/>
      </c>
      <c r="L1418" s="95">
        <f>IF(H1418=1,INDEX(tx_CrAmt,1412),0)</f>
        <v/>
      </c>
      <c r="M1418" s="95">
        <f>IF(H1418=1,INDEX(tx_TaxDr,1412),0)</f>
        <v/>
      </c>
      <c r="N1418" s="95">
        <f>IF(H1418=1,INDEX(tx_TaxCr,1412),0)</f>
        <v/>
      </c>
      <c r="O1418" s="101">
        <f>IF(H1418=1,IF(E1418&lt;FYStart,0,IF(E1418&gt;FYEnd,13,YEAR(E1418)*12+MONTH(E1418)-FYYM+1)),"")</f>
        <v/>
      </c>
      <c r="P1418" s="101">
        <f>IF(H1418=1,IF(IFERROR(INDEX(coa_CF,MATCH(I1418,coa_Name,0)),"")="Cash",1,0),0)</f>
        <v/>
      </c>
      <c r="Q1418" s="101">
        <f>IF(H1418=1,IF(IFERROR(INDEX(coa_CF,MATCH(K1418,coa_Name,0)),"")="Cash",1,0),0)</f>
        <v/>
      </c>
      <c r="R1418" s="58">
        <f>IF((P1418-Q1418)=0,"",IFERROR(INDEX(coa_CF,MATCH(IF((P1418-Q1418)=1,K1418,I1418),coa_Name,0)),"Operating"))</f>
        <v/>
      </c>
      <c r="S1418" s="95">
        <f>IF((P1418-Q1418)=1,L1418,IF((P1418-Q1418)=-1,-J1418,0))</f>
        <v/>
      </c>
      <c r="T1418" s="95">
        <f>IF((P1418-Q1418)=1,N1418,IF((P1418-Q1418)=-1,-M1418,0))</f>
        <v/>
      </c>
      <c r="U1418" s="101">
        <f>IF(AND(H1418=1,LedAcct&lt;&gt;""),IF(AND(E1418&gt;=LedFrom,E1418&lt;=LedTo,OR(I1418=LedAcct,K1418=LedAcct,AND(LedAcct=acctTax,M1418+N1418&lt;&gt;0))),E1418*10000+B1418,""),"")</f>
        <v/>
      </c>
    </row>
    <row r="1419">
      <c r="B1419" s="101" t="n">
        <v>1413</v>
      </c>
      <c r="C1419" s="58" t="inlineStr">
        <is>
          <t>Transaction</t>
        </is>
      </c>
      <c r="D1419" s="58">
        <f>IF(H1419=1,INDEX(tx_ID,1413)&amp;"","")</f>
        <v/>
      </c>
      <c r="E1419" s="94">
        <f>IF(H1419=1,INDEX(tx_Date,1413),"")</f>
        <v/>
      </c>
      <c r="F1419" s="58">
        <f>IF(H1419=1,INDEX(tx_Desc,1413)&amp;"","")</f>
        <v/>
      </c>
      <c r="G1419" s="58">
        <f>IF(H1419=1,IF(INDEX(tx_Cust,1413)&amp;""&lt;&gt;"",INDEX(tx_Cust,1413)&amp;"",INDEX(tx_Vend,1413)&amp;""),"")</f>
        <v/>
      </c>
      <c r="H1419" s="101">
        <f>IFERROR(N(INDEX(tx_Posted,1413)),0)</f>
        <v/>
      </c>
      <c r="I1419" s="58">
        <f>IF(H1419=1,INDEX(tx_DrAcct,1413)&amp;"","")</f>
        <v/>
      </c>
      <c r="J1419" s="95">
        <f>IF(H1419=1,INDEX(tx_DrAmt,1413),0)</f>
        <v/>
      </c>
      <c r="K1419" s="58">
        <f>IF(H1419=1,INDEX(tx_CrAcct,1413)&amp;"","")</f>
        <v/>
      </c>
      <c r="L1419" s="95">
        <f>IF(H1419=1,INDEX(tx_CrAmt,1413),0)</f>
        <v/>
      </c>
      <c r="M1419" s="95">
        <f>IF(H1419=1,INDEX(tx_TaxDr,1413),0)</f>
        <v/>
      </c>
      <c r="N1419" s="95">
        <f>IF(H1419=1,INDEX(tx_TaxCr,1413),0)</f>
        <v/>
      </c>
      <c r="O1419" s="101">
        <f>IF(H1419=1,IF(E1419&lt;FYStart,0,IF(E1419&gt;FYEnd,13,YEAR(E1419)*12+MONTH(E1419)-FYYM+1)),"")</f>
        <v/>
      </c>
      <c r="P1419" s="101">
        <f>IF(H1419=1,IF(IFERROR(INDEX(coa_CF,MATCH(I1419,coa_Name,0)),"")="Cash",1,0),0)</f>
        <v/>
      </c>
      <c r="Q1419" s="101">
        <f>IF(H1419=1,IF(IFERROR(INDEX(coa_CF,MATCH(K1419,coa_Name,0)),"")="Cash",1,0),0)</f>
        <v/>
      </c>
      <c r="R1419" s="58">
        <f>IF((P1419-Q1419)=0,"",IFERROR(INDEX(coa_CF,MATCH(IF((P1419-Q1419)=1,K1419,I1419),coa_Name,0)),"Operating"))</f>
        <v/>
      </c>
      <c r="S1419" s="95">
        <f>IF((P1419-Q1419)=1,L1419,IF((P1419-Q1419)=-1,-J1419,0))</f>
        <v/>
      </c>
      <c r="T1419" s="95">
        <f>IF((P1419-Q1419)=1,N1419,IF((P1419-Q1419)=-1,-M1419,0))</f>
        <v/>
      </c>
      <c r="U1419" s="101">
        <f>IF(AND(H1419=1,LedAcct&lt;&gt;""),IF(AND(E1419&gt;=LedFrom,E1419&lt;=LedTo,OR(I1419=LedAcct,K1419=LedAcct,AND(LedAcct=acctTax,M1419+N1419&lt;&gt;0))),E1419*10000+B1419,""),"")</f>
        <v/>
      </c>
    </row>
    <row r="1420">
      <c r="B1420" s="101" t="n">
        <v>1414</v>
      </c>
      <c r="C1420" s="58" t="inlineStr">
        <is>
          <t>Transaction</t>
        </is>
      </c>
      <c r="D1420" s="58">
        <f>IF(H1420=1,INDEX(tx_ID,1414)&amp;"","")</f>
        <v/>
      </c>
      <c r="E1420" s="94">
        <f>IF(H1420=1,INDEX(tx_Date,1414),"")</f>
        <v/>
      </c>
      <c r="F1420" s="58">
        <f>IF(H1420=1,INDEX(tx_Desc,1414)&amp;"","")</f>
        <v/>
      </c>
      <c r="G1420" s="58">
        <f>IF(H1420=1,IF(INDEX(tx_Cust,1414)&amp;""&lt;&gt;"",INDEX(tx_Cust,1414)&amp;"",INDEX(tx_Vend,1414)&amp;""),"")</f>
        <v/>
      </c>
      <c r="H1420" s="101">
        <f>IFERROR(N(INDEX(tx_Posted,1414)),0)</f>
        <v/>
      </c>
      <c r="I1420" s="58">
        <f>IF(H1420=1,INDEX(tx_DrAcct,1414)&amp;"","")</f>
        <v/>
      </c>
      <c r="J1420" s="95">
        <f>IF(H1420=1,INDEX(tx_DrAmt,1414),0)</f>
        <v/>
      </c>
      <c r="K1420" s="58">
        <f>IF(H1420=1,INDEX(tx_CrAcct,1414)&amp;"","")</f>
        <v/>
      </c>
      <c r="L1420" s="95">
        <f>IF(H1420=1,INDEX(tx_CrAmt,1414),0)</f>
        <v/>
      </c>
      <c r="M1420" s="95">
        <f>IF(H1420=1,INDEX(tx_TaxDr,1414),0)</f>
        <v/>
      </c>
      <c r="N1420" s="95">
        <f>IF(H1420=1,INDEX(tx_TaxCr,1414),0)</f>
        <v/>
      </c>
      <c r="O1420" s="101">
        <f>IF(H1420=1,IF(E1420&lt;FYStart,0,IF(E1420&gt;FYEnd,13,YEAR(E1420)*12+MONTH(E1420)-FYYM+1)),"")</f>
        <v/>
      </c>
      <c r="P1420" s="101">
        <f>IF(H1420=1,IF(IFERROR(INDEX(coa_CF,MATCH(I1420,coa_Name,0)),"")="Cash",1,0),0)</f>
        <v/>
      </c>
      <c r="Q1420" s="101">
        <f>IF(H1420=1,IF(IFERROR(INDEX(coa_CF,MATCH(K1420,coa_Name,0)),"")="Cash",1,0),0)</f>
        <v/>
      </c>
      <c r="R1420" s="58">
        <f>IF((P1420-Q1420)=0,"",IFERROR(INDEX(coa_CF,MATCH(IF((P1420-Q1420)=1,K1420,I1420),coa_Name,0)),"Operating"))</f>
        <v/>
      </c>
      <c r="S1420" s="95">
        <f>IF((P1420-Q1420)=1,L1420,IF((P1420-Q1420)=-1,-J1420,0))</f>
        <v/>
      </c>
      <c r="T1420" s="95">
        <f>IF((P1420-Q1420)=1,N1420,IF((P1420-Q1420)=-1,-M1420,0))</f>
        <v/>
      </c>
      <c r="U1420" s="101">
        <f>IF(AND(H1420=1,LedAcct&lt;&gt;""),IF(AND(E1420&gt;=LedFrom,E1420&lt;=LedTo,OR(I1420=LedAcct,K1420=LedAcct,AND(LedAcct=acctTax,M1420+N1420&lt;&gt;0))),E1420*10000+B1420,""),"")</f>
        <v/>
      </c>
    </row>
    <row r="1421">
      <c r="B1421" s="101" t="n">
        <v>1415</v>
      </c>
      <c r="C1421" s="58" t="inlineStr">
        <is>
          <t>Transaction</t>
        </is>
      </c>
      <c r="D1421" s="58">
        <f>IF(H1421=1,INDEX(tx_ID,1415)&amp;"","")</f>
        <v/>
      </c>
      <c r="E1421" s="94">
        <f>IF(H1421=1,INDEX(tx_Date,1415),"")</f>
        <v/>
      </c>
      <c r="F1421" s="58">
        <f>IF(H1421=1,INDEX(tx_Desc,1415)&amp;"","")</f>
        <v/>
      </c>
      <c r="G1421" s="58">
        <f>IF(H1421=1,IF(INDEX(tx_Cust,1415)&amp;""&lt;&gt;"",INDEX(tx_Cust,1415)&amp;"",INDEX(tx_Vend,1415)&amp;""),"")</f>
        <v/>
      </c>
      <c r="H1421" s="101">
        <f>IFERROR(N(INDEX(tx_Posted,1415)),0)</f>
        <v/>
      </c>
      <c r="I1421" s="58">
        <f>IF(H1421=1,INDEX(tx_DrAcct,1415)&amp;"","")</f>
        <v/>
      </c>
      <c r="J1421" s="95">
        <f>IF(H1421=1,INDEX(tx_DrAmt,1415),0)</f>
        <v/>
      </c>
      <c r="K1421" s="58">
        <f>IF(H1421=1,INDEX(tx_CrAcct,1415)&amp;"","")</f>
        <v/>
      </c>
      <c r="L1421" s="95">
        <f>IF(H1421=1,INDEX(tx_CrAmt,1415),0)</f>
        <v/>
      </c>
      <c r="M1421" s="95">
        <f>IF(H1421=1,INDEX(tx_TaxDr,1415),0)</f>
        <v/>
      </c>
      <c r="N1421" s="95">
        <f>IF(H1421=1,INDEX(tx_TaxCr,1415),0)</f>
        <v/>
      </c>
      <c r="O1421" s="101">
        <f>IF(H1421=1,IF(E1421&lt;FYStart,0,IF(E1421&gt;FYEnd,13,YEAR(E1421)*12+MONTH(E1421)-FYYM+1)),"")</f>
        <v/>
      </c>
      <c r="P1421" s="101">
        <f>IF(H1421=1,IF(IFERROR(INDEX(coa_CF,MATCH(I1421,coa_Name,0)),"")="Cash",1,0),0)</f>
        <v/>
      </c>
      <c r="Q1421" s="101">
        <f>IF(H1421=1,IF(IFERROR(INDEX(coa_CF,MATCH(K1421,coa_Name,0)),"")="Cash",1,0),0)</f>
        <v/>
      </c>
      <c r="R1421" s="58">
        <f>IF((P1421-Q1421)=0,"",IFERROR(INDEX(coa_CF,MATCH(IF((P1421-Q1421)=1,K1421,I1421),coa_Name,0)),"Operating"))</f>
        <v/>
      </c>
      <c r="S1421" s="95">
        <f>IF((P1421-Q1421)=1,L1421,IF((P1421-Q1421)=-1,-J1421,0))</f>
        <v/>
      </c>
      <c r="T1421" s="95">
        <f>IF((P1421-Q1421)=1,N1421,IF((P1421-Q1421)=-1,-M1421,0))</f>
        <v/>
      </c>
      <c r="U1421" s="101">
        <f>IF(AND(H1421=1,LedAcct&lt;&gt;""),IF(AND(E1421&gt;=LedFrom,E1421&lt;=LedTo,OR(I1421=LedAcct,K1421=LedAcct,AND(LedAcct=acctTax,M1421+N1421&lt;&gt;0))),E1421*10000+B1421,""),"")</f>
        <v/>
      </c>
    </row>
    <row r="1422">
      <c r="B1422" s="101" t="n">
        <v>1416</v>
      </c>
      <c r="C1422" s="58" t="inlineStr">
        <is>
          <t>Transaction</t>
        </is>
      </c>
      <c r="D1422" s="58">
        <f>IF(H1422=1,INDEX(tx_ID,1416)&amp;"","")</f>
        <v/>
      </c>
      <c r="E1422" s="94">
        <f>IF(H1422=1,INDEX(tx_Date,1416),"")</f>
        <v/>
      </c>
      <c r="F1422" s="58">
        <f>IF(H1422=1,INDEX(tx_Desc,1416)&amp;"","")</f>
        <v/>
      </c>
      <c r="G1422" s="58">
        <f>IF(H1422=1,IF(INDEX(tx_Cust,1416)&amp;""&lt;&gt;"",INDEX(tx_Cust,1416)&amp;"",INDEX(tx_Vend,1416)&amp;""),"")</f>
        <v/>
      </c>
      <c r="H1422" s="101">
        <f>IFERROR(N(INDEX(tx_Posted,1416)),0)</f>
        <v/>
      </c>
      <c r="I1422" s="58">
        <f>IF(H1422=1,INDEX(tx_DrAcct,1416)&amp;"","")</f>
        <v/>
      </c>
      <c r="J1422" s="95">
        <f>IF(H1422=1,INDEX(tx_DrAmt,1416),0)</f>
        <v/>
      </c>
      <c r="K1422" s="58">
        <f>IF(H1422=1,INDEX(tx_CrAcct,1416)&amp;"","")</f>
        <v/>
      </c>
      <c r="L1422" s="95">
        <f>IF(H1422=1,INDEX(tx_CrAmt,1416),0)</f>
        <v/>
      </c>
      <c r="M1422" s="95">
        <f>IF(H1422=1,INDEX(tx_TaxDr,1416),0)</f>
        <v/>
      </c>
      <c r="N1422" s="95">
        <f>IF(H1422=1,INDEX(tx_TaxCr,1416),0)</f>
        <v/>
      </c>
      <c r="O1422" s="101">
        <f>IF(H1422=1,IF(E1422&lt;FYStart,0,IF(E1422&gt;FYEnd,13,YEAR(E1422)*12+MONTH(E1422)-FYYM+1)),"")</f>
        <v/>
      </c>
      <c r="P1422" s="101">
        <f>IF(H1422=1,IF(IFERROR(INDEX(coa_CF,MATCH(I1422,coa_Name,0)),"")="Cash",1,0),0)</f>
        <v/>
      </c>
      <c r="Q1422" s="101">
        <f>IF(H1422=1,IF(IFERROR(INDEX(coa_CF,MATCH(K1422,coa_Name,0)),"")="Cash",1,0),0)</f>
        <v/>
      </c>
      <c r="R1422" s="58">
        <f>IF((P1422-Q1422)=0,"",IFERROR(INDEX(coa_CF,MATCH(IF((P1422-Q1422)=1,K1422,I1422),coa_Name,0)),"Operating"))</f>
        <v/>
      </c>
      <c r="S1422" s="95">
        <f>IF((P1422-Q1422)=1,L1422,IF((P1422-Q1422)=-1,-J1422,0))</f>
        <v/>
      </c>
      <c r="T1422" s="95">
        <f>IF((P1422-Q1422)=1,N1422,IF((P1422-Q1422)=-1,-M1422,0))</f>
        <v/>
      </c>
      <c r="U1422" s="101">
        <f>IF(AND(H1422=1,LedAcct&lt;&gt;""),IF(AND(E1422&gt;=LedFrom,E1422&lt;=LedTo,OR(I1422=LedAcct,K1422=LedAcct,AND(LedAcct=acctTax,M1422+N1422&lt;&gt;0))),E1422*10000+B1422,""),"")</f>
        <v/>
      </c>
    </row>
    <row r="1423">
      <c r="B1423" s="101" t="n">
        <v>1417</v>
      </c>
      <c r="C1423" s="58" t="inlineStr">
        <is>
          <t>Transaction</t>
        </is>
      </c>
      <c r="D1423" s="58">
        <f>IF(H1423=1,INDEX(tx_ID,1417)&amp;"","")</f>
        <v/>
      </c>
      <c r="E1423" s="94">
        <f>IF(H1423=1,INDEX(tx_Date,1417),"")</f>
        <v/>
      </c>
      <c r="F1423" s="58">
        <f>IF(H1423=1,INDEX(tx_Desc,1417)&amp;"","")</f>
        <v/>
      </c>
      <c r="G1423" s="58">
        <f>IF(H1423=1,IF(INDEX(tx_Cust,1417)&amp;""&lt;&gt;"",INDEX(tx_Cust,1417)&amp;"",INDEX(tx_Vend,1417)&amp;""),"")</f>
        <v/>
      </c>
      <c r="H1423" s="101">
        <f>IFERROR(N(INDEX(tx_Posted,1417)),0)</f>
        <v/>
      </c>
      <c r="I1423" s="58">
        <f>IF(H1423=1,INDEX(tx_DrAcct,1417)&amp;"","")</f>
        <v/>
      </c>
      <c r="J1423" s="95">
        <f>IF(H1423=1,INDEX(tx_DrAmt,1417),0)</f>
        <v/>
      </c>
      <c r="K1423" s="58">
        <f>IF(H1423=1,INDEX(tx_CrAcct,1417)&amp;"","")</f>
        <v/>
      </c>
      <c r="L1423" s="95">
        <f>IF(H1423=1,INDEX(tx_CrAmt,1417),0)</f>
        <v/>
      </c>
      <c r="M1423" s="95">
        <f>IF(H1423=1,INDEX(tx_TaxDr,1417),0)</f>
        <v/>
      </c>
      <c r="N1423" s="95">
        <f>IF(H1423=1,INDEX(tx_TaxCr,1417),0)</f>
        <v/>
      </c>
      <c r="O1423" s="101">
        <f>IF(H1423=1,IF(E1423&lt;FYStart,0,IF(E1423&gt;FYEnd,13,YEAR(E1423)*12+MONTH(E1423)-FYYM+1)),"")</f>
        <v/>
      </c>
      <c r="P1423" s="101">
        <f>IF(H1423=1,IF(IFERROR(INDEX(coa_CF,MATCH(I1423,coa_Name,0)),"")="Cash",1,0),0)</f>
        <v/>
      </c>
      <c r="Q1423" s="101">
        <f>IF(H1423=1,IF(IFERROR(INDEX(coa_CF,MATCH(K1423,coa_Name,0)),"")="Cash",1,0),0)</f>
        <v/>
      </c>
      <c r="R1423" s="58">
        <f>IF((P1423-Q1423)=0,"",IFERROR(INDEX(coa_CF,MATCH(IF((P1423-Q1423)=1,K1423,I1423),coa_Name,0)),"Operating"))</f>
        <v/>
      </c>
      <c r="S1423" s="95">
        <f>IF((P1423-Q1423)=1,L1423,IF((P1423-Q1423)=-1,-J1423,0))</f>
        <v/>
      </c>
      <c r="T1423" s="95">
        <f>IF((P1423-Q1423)=1,N1423,IF((P1423-Q1423)=-1,-M1423,0))</f>
        <v/>
      </c>
      <c r="U1423" s="101">
        <f>IF(AND(H1423=1,LedAcct&lt;&gt;""),IF(AND(E1423&gt;=LedFrom,E1423&lt;=LedTo,OR(I1423=LedAcct,K1423=LedAcct,AND(LedAcct=acctTax,M1423+N1423&lt;&gt;0))),E1423*10000+B1423,""),"")</f>
        <v/>
      </c>
    </row>
    <row r="1424">
      <c r="B1424" s="101" t="n">
        <v>1418</v>
      </c>
      <c r="C1424" s="58" t="inlineStr">
        <is>
          <t>Transaction</t>
        </is>
      </c>
      <c r="D1424" s="58">
        <f>IF(H1424=1,INDEX(tx_ID,1418)&amp;"","")</f>
        <v/>
      </c>
      <c r="E1424" s="94">
        <f>IF(H1424=1,INDEX(tx_Date,1418),"")</f>
        <v/>
      </c>
      <c r="F1424" s="58">
        <f>IF(H1424=1,INDEX(tx_Desc,1418)&amp;"","")</f>
        <v/>
      </c>
      <c r="G1424" s="58">
        <f>IF(H1424=1,IF(INDEX(tx_Cust,1418)&amp;""&lt;&gt;"",INDEX(tx_Cust,1418)&amp;"",INDEX(tx_Vend,1418)&amp;""),"")</f>
        <v/>
      </c>
      <c r="H1424" s="101">
        <f>IFERROR(N(INDEX(tx_Posted,1418)),0)</f>
        <v/>
      </c>
      <c r="I1424" s="58">
        <f>IF(H1424=1,INDEX(tx_DrAcct,1418)&amp;"","")</f>
        <v/>
      </c>
      <c r="J1424" s="95">
        <f>IF(H1424=1,INDEX(tx_DrAmt,1418),0)</f>
        <v/>
      </c>
      <c r="K1424" s="58">
        <f>IF(H1424=1,INDEX(tx_CrAcct,1418)&amp;"","")</f>
        <v/>
      </c>
      <c r="L1424" s="95">
        <f>IF(H1424=1,INDEX(tx_CrAmt,1418),0)</f>
        <v/>
      </c>
      <c r="M1424" s="95">
        <f>IF(H1424=1,INDEX(tx_TaxDr,1418),0)</f>
        <v/>
      </c>
      <c r="N1424" s="95">
        <f>IF(H1424=1,INDEX(tx_TaxCr,1418),0)</f>
        <v/>
      </c>
      <c r="O1424" s="101">
        <f>IF(H1424=1,IF(E1424&lt;FYStart,0,IF(E1424&gt;FYEnd,13,YEAR(E1424)*12+MONTH(E1424)-FYYM+1)),"")</f>
        <v/>
      </c>
      <c r="P1424" s="101">
        <f>IF(H1424=1,IF(IFERROR(INDEX(coa_CF,MATCH(I1424,coa_Name,0)),"")="Cash",1,0),0)</f>
        <v/>
      </c>
      <c r="Q1424" s="101">
        <f>IF(H1424=1,IF(IFERROR(INDEX(coa_CF,MATCH(K1424,coa_Name,0)),"")="Cash",1,0),0)</f>
        <v/>
      </c>
      <c r="R1424" s="58">
        <f>IF((P1424-Q1424)=0,"",IFERROR(INDEX(coa_CF,MATCH(IF((P1424-Q1424)=1,K1424,I1424),coa_Name,0)),"Operating"))</f>
        <v/>
      </c>
      <c r="S1424" s="95">
        <f>IF((P1424-Q1424)=1,L1424,IF((P1424-Q1424)=-1,-J1424,0))</f>
        <v/>
      </c>
      <c r="T1424" s="95">
        <f>IF((P1424-Q1424)=1,N1424,IF((P1424-Q1424)=-1,-M1424,0))</f>
        <v/>
      </c>
      <c r="U1424" s="101">
        <f>IF(AND(H1424=1,LedAcct&lt;&gt;""),IF(AND(E1424&gt;=LedFrom,E1424&lt;=LedTo,OR(I1424=LedAcct,K1424=LedAcct,AND(LedAcct=acctTax,M1424+N1424&lt;&gt;0))),E1424*10000+B1424,""),"")</f>
        <v/>
      </c>
    </row>
    <row r="1425">
      <c r="B1425" s="101" t="n">
        <v>1419</v>
      </c>
      <c r="C1425" s="58" t="inlineStr">
        <is>
          <t>Transaction</t>
        </is>
      </c>
      <c r="D1425" s="58">
        <f>IF(H1425=1,INDEX(tx_ID,1419)&amp;"","")</f>
        <v/>
      </c>
      <c r="E1425" s="94">
        <f>IF(H1425=1,INDEX(tx_Date,1419),"")</f>
        <v/>
      </c>
      <c r="F1425" s="58">
        <f>IF(H1425=1,INDEX(tx_Desc,1419)&amp;"","")</f>
        <v/>
      </c>
      <c r="G1425" s="58">
        <f>IF(H1425=1,IF(INDEX(tx_Cust,1419)&amp;""&lt;&gt;"",INDEX(tx_Cust,1419)&amp;"",INDEX(tx_Vend,1419)&amp;""),"")</f>
        <v/>
      </c>
      <c r="H1425" s="101">
        <f>IFERROR(N(INDEX(tx_Posted,1419)),0)</f>
        <v/>
      </c>
      <c r="I1425" s="58">
        <f>IF(H1425=1,INDEX(tx_DrAcct,1419)&amp;"","")</f>
        <v/>
      </c>
      <c r="J1425" s="95">
        <f>IF(H1425=1,INDEX(tx_DrAmt,1419),0)</f>
        <v/>
      </c>
      <c r="K1425" s="58">
        <f>IF(H1425=1,INDEX(tx_CrAcct,1419)&amp;"","")</f>
        <v/>
      </c>
      <c r="L1425" s="95">
        <f>IF(H1425=1,INDEX(tx_CrAmt,1419),0)</f>
        <v/>
      </c>
      <c r="M1425" s="95">
        <f>IF(H1425=1,INDEX(tx_TaxDr,1419),0)</f>
        <v/>
      </c>
      <c r="N1425" s="95">
        <f>IF(H1425=1,INDEX(tx_TaxCr,1419),0)</f>
        <v/>
      </c>
      <c r="O1425" s="101">
        <f>IF(H1425=1,IF(E1425&lt;FYStart,0,IF(E1425&gt;FYEnd,13,YEAR(E1425)*12+MONTH(E1425)-FYYM+1)),"")</f>
        <v/>
      </c>
      <c r="P1425" s="101">
        <f>IF(H1425=1,IF(IFERROR(INDEX(coa_CF,MATCH(I1425,coa_Name,0)),"")="Cash",1,0),0)</f>
        <v/>
      </c>
      <c r="Q1425" s="101">
        <f>IF(H1425=1,IF(IFERROR(INDEX(coa_CF,MATCH(K1425,coa_Name,0)),"")="Cash",1,0),0)</f>
        <v/>
      </c>
      <c r="R1425" s="58">
        <f>IF((P1425-Q1425)=0,"",IFERROR(INDEX(coa_CF,MATCH(IF((P1425-Q1425)=1,K1425,I1425),coa_Name,0)),"Operating"))</f>
        <v/>
      </c>
      <c r="S1425" s="95">
        <f>IF((P1425-Q1425)=1,L1425,IF((P1425-Q1425)=-1,-J1425,0))</f>
        <v/>
      </c>
      <c r="T1425" s="95">
        <f>IF((P1425-Q1425)=1,N1425,IF((P1425-Q1425)=-1,-M1425,0))</f>
        <v/>
      </c>
      <c r="U1425" s="101">
        <f>IF(AND(H1425=1,LedAcct&lt;&gt;""),IF(AND(E1425&gt;=LedFrom,E1425&lt;=LedTo,OR(I1425=LedAcct,K1425=LedAcct,AND(LedAcct=acctTax,M1425+N1425&lt;&gt;0))),E1425*10000+B1425,""),"")</f>
        <v/>
      </c>
    </row>
    <row r="1426">
      <c r="B1426" s="101" t="n">
        <v>1420</v>
      </c>
      <c r="C1426" s="58" t="inlineStr">
        <is>
          <t>Transaction</t>
        </is>
      </c>
      <c r="D1426" s="58">
        <f>IF(H1426=1,INDEX(tx_ID,1420)&amp;"","")</f>
        <v/>
      </c>
      <c r="E1426" s="94">
        <f>IF(H1426=1,INDEX(tx_Date,1420),"")</f>
        <v/>
      </c>
      <c r="F1426" s="58">
        <f>IF(H1426=1,INDEX(tx_Desc,1420)&amp;"","")</f>
        <v/>
      </c>
      <c r="G1426" s="58">
        <f>IF(H1426=1,IF(INDEX(tx_Cust,1420)&amp;""&lt;&gt;"",INDEX(tx_Cust,1420)&amp;"",INDEX(tx_Vend,1420)&amp;""),"")</f>
        <v/>
      </c>
      <c r="H1426" s="101">
        <f>IFERROR(N(INDEX(tx_Posted,1420)),0)</f>
        <v/>
      </c>
      <c r="I1426" s="58">
        <f>IF(H1426=1,INDEX(tx_DrAcct,1420)&amp;"","")</f>
        <v/>
      </c>
      <c r="J1426" s="95">
        <f>IF(H1426=1,INDEX(tx_DrAmt,1420),0)</f>
        <v/>
      </c>
      <c r="K1426" s="58">
        <f>IF(H1426=1,INDEX(tx_CrAcct,1420)&amp;"","")</f>
        <v/>
      </c>
      <c r="L1426" s="95">
        <f>IF(H1426=1,INDEX(tx_CrAmt,1420),0)</f>
        <v/>
      </c>
      <c r="M1426" s="95">
        <f>IF(H1426=1,INDEX(tx_TaxDr,1420),0)</f>
        <v/>
      </c>
      <c r="N1426" s="95">
        <f>IF(H1426=1,INDEX(tx_TaxCr,1420),0)</f>
        <v/>
      </c>
      <c r="O1426" s="101">
        <f>IF(H1426=1,IF(E1426&lt;FYStart,0,IF(E1426&gt;FYEnd,13,YEAR(E1426)*12+MONTH(E1426)-FYYM+1)),"")</f>
        <v/>
      </c>
      <c r="P1426" s="101">
        <f>IF(H1426=1,IF(IFERROR(INDEX(coa_CF,MATCH(I1426,coa_Name,0)),"")="Cash",1,0),0)</f>
        <v/>
      </c>
      <c r="Q1426" s="101">
        <f>IF(H1426=1,IF(IFERROR(INDEX(coa_CF,MATCH(K1426,coa_Name,0)),"")="Cash",1,0),0)</f>
        <v/>
      </c>
      <c r="R1426" s="58">
        <f>IF((P1426-Q1426)=0,"",IFERROR(INDEX(coa_CF,MATCH(IF((P1426-Q1426)=1,K1426,I1426),coa_Name,0)),"Operating"))</f>
        <v/>
      </c>
      <c r="S1426" s="95">
        <f>IF((P1426-Q1426)=1,L1426,IF((P1426-Q1426)=-1,-J1426,0))</f>
        <v/>
      </c>
      <c r="T1426" s="95">
        <f>IF((P1426-Q1426)=1,N1426,IF((P1426-Q1426)=-1,-M1426,0))</f>
        <v/>
      </c>
      <c r="U1426" s="101">
        <f>IF(AND(H1426=1,LedAcct&lt;&gt;""),IF(AND(E1426&gt;=LedFrom,E1426&lt;=LedTo,OR(I1426=LedAcct,K1426=LedAcct,AND(LedAcct=acctTax,M1426+N1426&lt;&gt;0))),E1426*10000+B1426,""),"")</f>
        <v/>
      </c>
    </row>
    <row r="1427">
      <c r="B1427" s="101" t="n">
        <v>1421</v>
      </c>
      <c r="C1427" s="58" t="inlineStr">
        <is>
          <t>Transaction</t>
        </is>
      </c>
      <c r="D1427" s="58">
        <f>IF(H1427=1,INDEX(tx_ID,1421)&amp;"","")</f>
        <v/>
      </c>
      <c r="E1427" s="94">
        <f>IF(H1427=1,INDEX(tx_Date,1421),"")</f>
        <v/>
      </c>
      <c r="F1427" s="58">
        <f>IF(H1427=1,INDEX(tx_Desc,1421)&amp;"","")</f>
        <v/>
      </c>
      <c r="G1427" s="58">
        <f>IF(H1427=1,IF(INDEX(tx_Cust,1421)&amp;""&lt;&gt;"",INDEX(tx_Cust,1421)&amp;"",INDEX(tx_Vend,1421)&amp;""),"")</f>
        <v/>
      </c>
      <c r="H1427" s="101">
        <f>IFERROR(N(INDEX(tx_Posted,1421)),0)</f>
        <v/>
      </c>
      <c r="I1427" s="58">
        <f>IF(H1427=1,INDEX(tx_DrAcct,1421)&amp;"","")</f>
        <v/>
      </c>
      <c r="J1427" s="95">
        <f>IF(H1427=1,INDEX(tx_DrAmt,1421),0)</f>
        <v/>
      </c>
      <c r="K1427" s="58">
        <f>IF(H1427=1,INDEX(tx_CrAcct,1421)&amp;"","")</f>
        <v/>
      </c>
      <c r="L1427" s="95">
        <f>IF(H1427=1,INDEX(tx_CrAmt,1421),0)</f>
        <v/>
      </c>
      <c r="M1427" s="95">
        <f>IF(H1427=1,INDEX(tx_TaxDr,1421),0)</f>
        <v/>
      </c>
      <c r="N1427" s="95">
        <f>IF(H1427=1,INDEX(tx_TaxCr,1421),0)</f>
        <v/>
      </c>
      <c r="O1427" s="101">
        <f>IF(H1427=1,IF(E1427&lt;FYStart,0,IF(E1427&gt;FYEnd,13,YEAR(E1427)*12+MONTH(E1427)-FYYM+1)),"")</f>
        <v/>
      </c>
      <c r="P1427" s="101">
        <f>IF(H1427=1,IF(IFERROR(INDEX(coa_CF,MATCH(I1427,coa_Name,0)),"")="Cash",1,0),0)</f>
        <v/>
      </c>
      <c r="Q1427" s="101">
        <f>IF(H1427=1,IF(IFERROR(INDEX(coa_CF,MATCH(K1427,coa_Name,0)),"")="Cash",1,0),0)</f>
        <v/>
      </c>
      <c r="R1427" s="58">
        <f>IF((P1427-Q1427)=0,"",IFERROR(INDEX(coa_CF,MATCH(IF((P1427-Q1427)=1,K1427,I1427),coa_Name,0)),"Operating"))</f>
        <v/>
      </c>
      <c r="S1427" s="95">
        <f>IF((P1427-Q1427)=1,L1427,IF((P1427-Q1427)=-1,-J1427,0))</f>
        <v/>
      </c>
      <c r="T1427" s="95">
        <f>IF((P1427-Q1427)=1,N1427,IF((P1427-Q1427)=-1,-M1427,0))</f>
        <v/>
      </c>
      <c r="U1427" s="101">
        <f>IF(AND(H1427=1,LedAcct&lt;&gt;""),IF(AND(E1427&gt;=LedFrom,E1427&lt;=LedTo,OR(I1427=LedAcct,K1427=LedAcct,AND(LedAcct=acctTax,M1427+N1427&lt;&gt;0))),E1427*10000+B1427,""),"")</f>
        <v/>
      </c>
    </row>
    <row r="1428">
      <c r="B1428" s="101" t="n">
        <v>1422</v>
      </c>
      <c r="C1428" s="58" t="inlineStr">
        <is>
          <t>Transaction</t>
        </is>
      </c>
      <c r="D1428" s="58">
        <f>IF(H1428=1,INDEX(tx_ID,1422)&amp;"","")</f>
        <v/>
      </c>
      <c r="E1428" s="94">
        <f>IF(H1428=1,INDEX(tx_Date,1422),"")</f>
        <v/>
      </c>
      <c r="F1428" s="58">
        <f>IF(H1428=1,INDEX(tx_Desc,1422)&amp;"","")</f>
        <v/>
      </c>
      <c r="G1428" s="58">
        <f>IF(H1428=1,IF(INDEX(tx_Cust,1422)&amp;""&lt;&gt;"",INDEX(tx_Cust,1422)&amp;"",INDEX(tx_Vend,1422)&amp;""),"")</f>
        <v/>
      </c>
      <c r="H1428" s="101">
        <f>IFERROR(N(INDEX(tx_Posted,1422)),0)</f>
        <v/>
      </c>
      <c r="I1428" s="58">
        <f>IF(H1428=1,INDEX(tx_DrAcct,1422)&amp;"","")</f>
        <v/>
      </c>
      <c r="J1428" s="95">
        <f>IF(H1428=1,INDEX(tx_DrAmt,1422),0)</f>
        <v/>
      </c>
      <c r="K1428" s="58">
        <f>IF(H1428=1,INDEX(tx_CrAcct,1422)&amp;"","")</f>
        <v/>
      </c>
      <c r="L1428" s="95">
        <f>IF(H1428=1,INDEX(tx_CrAmt,1422),0)</f>
        <v/>
      </c>
      <c r="M1428" s="95">
        <f>IF(H1428=1,INDEX(tx_TaxDr,1422),0)</f>
        <v/>
      </c>
      <c r="N1428" s="95">
        <f>IF(H1428=1,INDEX(tx_TaxCr,1422),0)</f>
        <v/>
      </c>
      <c r="O1428" s="101">
        <f>IF(H1428=1,IF(E1428&lt;FYStart,0,IF(E1428&gt;FYEnd,13,YEAR(E1428)*12+MONTH(E1428)-FYYM+1)),"")</f>
        <v/>
      </c>
      <c r="P1428" s="101">
        <f>IF(H1428=1,IF(IFERROR(INDEX(coa_CF,MATCH(I1428,coa_Name,0)),"")="Cash",1,0),0)</f>
        <v/>
      </c>
      <c r="Q1428" s="101">
        <f>IF(H1428=1,IF(IFERROR(INDEX(coa_CF,MATCH(K1428,coa_Name,0)),"")="Cash",1,0),0)</f>
        <v/>
      </c>
      <c r="R1428" s="58">
        <f>IF((P1428-Q1428)=0,"",IFERROR(INDEX(coa_CF,MATCH(IF((P1428-Q1428)=1,K1428,I1428),coa_Name,0)),"Operating"))</f>
        <v/>
      </c>
      <c r="S1428" s="95">
        <f>IF((P1428-Q1428)=1,L1428,IF((P1428-Q1428)=-1,-J1428,0))</f>
        <v/>
      </c>
      <c r="T1428" s="95">
        <f>IF((P1428-Q1428)=1,N1428,IF((P1428-Q1428)=-1,-M1428,0))</f>
        <v/>
      </c>
      <c r="U1428" s="101">
        <f>IF(AND(H1428=1,LedAcct&lt;&gt;""),IF(AND(E1428&gt;=LedFrom,E1428&lt;=LedTo,OR(I1428=LedAcct,K1428=LedAcct,AND(LedAcct=acctTax,M1428+N1428&lt;&gt;0))),E1428*10000+B1428,""),"")</f>
        <v/>
      </c>
    </row>
    <row r="1429">
      <c r="B1429" s="101" t="n">
        <v>1423</v>
      </c>
      <c r="C1429" s="58" t="inlineStr">
        <is>
          <t>Transaction</t>
        </is>
      </c>
      <c r="D1429" s="58">
        <f>IF(H1429=1,INDEX(tx_ID,1423)&amp;"","")</f>
        <v/>
      </c>
      <c r="E1429" s="94">
        <f>IF(H1429=1,INDEX(tx_Date,1423),"")</f>
        <v/>
      </c>
      <c r="F1429" s="58">
        <f>IF(H1429=1,INDEX(tx_Desc,1423)&amp;"","")</f>
        <v/>
      </c>
      <c r="G1429" s="58">
        <f>IF(H1429=1,IF(INDEX(tx_Cust,1423)&amp;""&lt;&gt;"",INDEX(tx_Cust,1423)&amp;"",INDEX(tx_Vend,1423)&amp;""),"")</f>
        <v/>
      </c>
      <c r="H1429" s="101">
        <f>IFERROR(N(INDEX(tx_Posted,1423)),0)</f>
        <v/>
      </c>
      <c r="I1429" s="58">
        <f>IF(H1429=1,INDEX(tx_DrAcct,1423)&amp;"","")</f>
        <v/>
      </c>
      <c r="J1429" s="95">
        <f>IF(H1429=1,INDEX(tx_DrAmt,1423),0)</f>
        <v/>
      </c>
      <c r="K1429" s="58">
        <f>IF(H1429=1,INDEX(tx_CrAcct,1423)&amp;"","")</f>
        <v/>
      </c>
      <c r="L1429" s="95">
        <f>IF(H1429=1,INDEX(tx_CrAmt,1423),0)</f>
        <v/>
      </c>
      <c r="M1429" s="95">
        <f>IF(H1429=1,INDEX(tx_TaxDr,1423),0)</f>
        <v/>
      </c>
      <c r="N1429" s="95">
        <f>IF(H1429=1,INDEX(tx_TaxCr,1423),0)</f>
        <v/>
      </c>
      <c r="O1429" s="101">
        <f>IF(H1429=1,IF(E1429&lt;FYStart,0,IF(E1429&gt;FYEnd,13,YEAR(E1429)*12+MONTH(E1429)-FYYM+1)),"")</f>
        <v/>
      </c>
      <c r="P1429" s="101">
        <f>IF(H1429=1,IF(IFERROR(INDEX(coa_CF,MATCH(I1429,coa_Name,0)),"")="Cash",1,0),0)</f>
        <v/>
      </c>
      <c r="Q1429" s="101">
        <f>IF(H1429=1,IF(IFERROR(INDEX(coa_CF,MATCH(K1429,coa_Name,0)),"")="Cash",1,0),0)</f>
        <v/>
      </c>
      <c r="R1429" s="58">
        <f>IF((P1429-Q1429)=0,"",IFERROR(INDEX(coa_CF,MATCH(IF((P1429-Q1429)=1,K1429,I1429),coa_Name,0)),"Operating"))</f>
        <v/>
      </c>
      <c r="S1429" s="95">
        <f>IF((P1429-Q1429)=1,L1429,IF((P1429-Q1429)=-1,-J1429,0))</f>
        <v/>
      </c>
      <c r="T1429" s="95">
        <f>IF((P1429-Q1429)=1,N1429,IF((P1429-Q1429)=-1,-M1429,0))</f>
        <v/>
      </c>
      <c r="U1429" s="101">
        <f>IF(AND(H1429=1,LedAcct&lt;&gt;""),IF(AND(E1429&gt;=LedFrom,E1429&lt;=LedTo,OR(I1429=LedAcct,K1429=LedAcct,AND(LedAcct=acctTax,M1429+N1429&lt;&gt;0))),E1429*10000+B1429,""),"")</f>
        <v/>
      </c>
    </row>
    <row r="1430">
      <c r="B1430" s="101" t="n">
        <v>1424</v>
      </c>
      <c r="C1430" s="58" t="inlineStr">
        <is>
          <t>Transaction</t>
        </is>
      </c>
      <c r="D1430" s="58">
        <f>IF(H1430=1,INDEX(tx_ID,1424)&amp;"","")</f>
        <v/>
      </c>
      <c r="E1430" s="94">
        <f>IF(H1430=1,INDEX(tx_Date,1424),"")</f>
        <v/>
      </c>
      <c r="F1430" s="58">
        <f>IF(H1430=1,INDEX(tx_Desc,1424)&amp;"","")</f>
        <v/>
      </c>
      <c r="G1430" s="58">
        <f>IF(H1430=1,IF(INDEX(tx_Cust,1424)&amp;""&lt;&gt;"",INDEX(tx_Cust,1424)&amp;"",INDEX(tx_Vend,1424)&amp;""),"")</f>
        <v/>
      </c>
      <c r="H1430" s="101">
        <f>IFERROR(N(INDEX(tx_Posted,1424)),0)</f>
        <v/>
      </c>
      <c r="I1430" s="58">
        <f>IF(H1430=1,INDEX(tx_DrAcct,1424)&amp;"","")</f>
        <v/>
      </c>
      <c r="J1430" s="95">
        <f>IF(H1430=1,INDEX(tx_DrAmt,1424),0)</f>
        <v/>
      </c>
      <c r="K1430" s="58">
        <f>IF(H1430=1,INDEX(tx_CrAcct,1424)&amp;"","")</f>
        <v/>
      </c>
      <c r="L1430" s="95">
        <f>IF(H1430=1,INDEX(tx_CrAmt,1424),0)</f>
        <v/>
      </c>
      <c r="M1430" s="95">
        <f>IF(H1430=1,INDEX(tx_TaxDr,1424),0)</f>
        <v/>
      </c>
      <c r="N1430" s="95">
        <f>IF(H1430=1,INDEX(tx_TaxCr,1424),0)</f>
        <v/>
      </c>
      <c r="O1430" s="101">
        <f>IF(H1430=1,IF(E1430&lt;FYStart,0,IF(E1430&gt;FYEnd,13,YEAR(E1430)*12+MONTH(E1430)-FYYM+1)),"")</f>
        <v/>
      </c>
      <c r="P1430" s="101">
        <f>IF(H1430=1,IF(IFERROR(INDEX(coa_CF,MATCH(I1430,coa_Name,0)),"")="Cash",1,0),0)</f>
        <v/>
      </c>
      <c r="Q1430" s="101">
        <f>IF(H1430=1,IF(IFERROR(INDEX(coa_CF,MATCH(K1430,coa_Name,0)),"")="Cash",1,0),0)</f>
        <v/>
      </c>
      <c r="R1430" s="58">
        <f>IF((P1430-Q1430)=0,"",IFERROR(INDEX(coa_CF,MATCH(IF((P1430-Q1430)=1,K1430,I1430),coa_Name,0)),"Operating"))</f>
        <v/>
      </c>
      <c r="S1430" s="95">
        <f>IF((P1430-Q1430)=1,L1430,IF((P1430-Q1430)=-1,-J1430,0))</f>
        <v/>
      </c>
      <c r="T1430" s="95">
        <f>IF((P1430-Q1430)=1,N1430,IF((P1430-Q1430)=-1,-M1430,0))</f>
        <v/>
      </c>
      <c r="U1430" s="101">
        <f>IF(AND(H1430=1,LedAcct&lt;&gt;""),IF(AND(E1430&gt;=LedFrom,E1430&lt;=LedTo,OR(I1430=LedAcct,K1430=LedAcct,AND(LedAcct=acctTax,M1430+N1430&lt;&gt;0))),E1430*10000+B1430,""),"")</f>
        <v/>
      </c>
    </row>
    <row r="1431">
      <c r="B1431" s="101" t="n">
        <v>1425</v>
      </c>
      <c r="C1431" s="58" t="inlineStr">
        <is>
          <t>Transaction</t>
        </is>
      </c>
      <c r="D1431" s="58">
        <f>IF(H1431=1,INDEX(tx_ID,1425)&amp;"","")</f>
        <v/>
      </c>
      <c r="E1431" s="94">
        <f>IF(H1431=1,INDEX(tx_Date,1425),"")</f>
        <v/>
      </c>
      <c r="F1431" s="58">
        <f>IF(H1431=1,INDEX(tx_Desc,1425)&amp;"","")</f>
        <v/>
      </c>
      <c r="G1431" s="58">
        <f>IF(H1431=1,IF(INDEX(tx_Cust,1425)&amp;""&lt;&gt;"",INDEX(tx_Cust,1425)&amp;"",INDEX(tx_Vend,1425)&amp;""),"")</f>
        <v/>
      </c>
      <c r="H1431" s="101">
        <f>IFERROR(N(INDEX(tx_Posted,1425)),0)</f>
        <v/>
      </c>
      <c r="I1431" s="58">
        <f>IF(H1431=1,INDEX(tx_DrAcct,1425)&amp;"","")</f>
        <v/>
      </c>
      <c r="J1431" s="95">
        <f>IF(H1431=1,INDEX(tx_DrAmt,1425),0)</f>
        <v/>
      </c>
      <c r="K1431" s="58">
        <f>IF(H1431=1,INDEX(tx_CrAcct,1425)&amp;"","")</f>
        <v/>
      </c>
      <c r="L1431" s="95">
        <f>IF(H1431=1,INDEX(tx_CrAmt,1425),0)</f>
        <v/>
      </c>
      <c r="M1431" s="95">
        <f>IF(H1431=1,INDEX(tx_TaxDr,1425),0)</f>
        <v/>
      </c>
      <c r="N1431" s="95">
        <f>IF(H1431=1,INDEX(tx_TaxCr,1425),0)</f>
        <v/>
      </c>
      <c r="O1431" s="101">
        <f>IF(H1431=1,IF(E1431&lt;FYStart,0,IF(E1431&gt;FYEnd,13,YEAR(E1431)*12+MONTH(E1431)-FYYM+1)),"")</f>
        <v/>
      </c>
      <c r="P1431" s="101">
        <f>IF(H1431=1,IF(IFERROR(INDEX(coa_CF,MATCH(I1431,coa_Name,0)),"")="Cash",1,0),0)</f>
        <v/>
      </c>
      <c r="Q1431" s="101">
        <f>IF(H1431=1,IF(IFERROR(INDEX(coa_CF,MATCH(K1431,coa_Name,0)),"")="Cash",1,0),0)</f>
        <v/>
      </c>
      <c r="R1431" s="58">
        <f>IF((P1431-Q1431)=0,"",IFERROR(INDEX(coa_CF,MATCH(IF((P1431-Q1431)=1,K1431,I1431),coa_Name,0)),"Operating"))</f>
        <v/>
      </c>
      <c r="S1431" s="95">
        <f>IF((P1431-Q1431)=1,L1431,IF((P1431-Q1431)=-1,-J1431,0))</f>
        <v/>
      </c>
      <c r="T1431" s="95">
        <f>IF((P1431-Q1431)=1,N1431,IF((P1431-Q1431)=-1,-M1431,0))</f>
        <v/>
      </c>
      <c r="U1431" s="101">
        <f>IF(AND(H1431=1,LedAcct&lt;&gt;""),IF(AND(E1431&gt;=LedFrom,E1431&lt;=LedTo,OR(I1431=LedAcct,K1431=LedAcct,AND(LedAcct=acctTax,M1431+N1431&lt;&gt;0))),E1431*10000+B1431,""),"")</f>
        <v/>
      </c>
    </row>
    <row r="1432">
      <c r="B1432" s="101" t="n">
        <v>1426</v>
      </c>
      <c r="C1432" s="58" t="inlineStr">
        <is>
          <t>Transaction</t>
        </is>
      </c>
      <c r="D1432" s="58">
        <f>IF(H1432=1,INDEX(tx_ID,1426)&amp;"","")</f>
        <v/>
      </c>
      <c r="E1432" s="94">
        <f>IF(H1432=1,INDEX(tx_Date,1426),"")</f>
        <v/>
      </c>
      <c r="F1432" s="58">
        <f>IF(H1432=1,INDEX(tx_Desc,1426)&amp;"","")</f>
        <v/>
      </c>
      <c r="G1432" s="58">
        <f>IF(H1432=1,IF(INDEX(tx_Cust,1426)&amp;""&lt;&gt;"",INDEX(tx_Cust,1426)&amp;"",INDEX(tx_Vend,1426)&amp;""),"")</f>
        <v/>
      </c>
      <c r="H1432" s="101">
        <f>IFERROR(N(INDEX(tx_Posted,1426)),0)</f>
        <v/>
      </c>
      <c r="I1432" s="58">
        <f>IF(H1432=1,INDEX(tx_DrAcct,1426)&amp;"","")</f>
        <v/>
      </c>
      <c r="J1432" s="95">
        <f>IF(H1432=1,INDEX(tx_DrAmt,1426),0)</f>
        <v/>
      </c>
      <c r="K1432" s="58">
        <f>IF(H1432=1,INDEX(tx_CrAcct,1426)&amp;"","")</f>
        <v/>
      </c>
      <c r="L1432" s="95">
        <f>IF(H1432=1,INDEX(tx_CrAmt,1426),0)</f>
        <v/>
      </c>
      <c r="M1432" s="95">
        <f>IF(H1432=1,INDEX(tx_TaxDr,1426),0)</f>
        <v/>
      </c>
      <c r="N1432" s="95">
        <f>IF(H1432=1,INDEX(tx_TaxCr,1426),0)</f>
        <v/>
      </c>
      <c r="O1432" s="101">
        <f>IF(H1432=1,IF(E1432&lt;FYStart,0,IF(E1432&gt;FYEnd,13,YEAR(E1432)*12+MONTH(E1432)-FYYM+1)),"")</f>
        <v/>
      </c>
      <c r="P1432" s="101">
        <f>IF(H1432=1,IF(IFERROR(INDEX(coa_CF,MATCH(I1432,coa_Name,0)),"")="Cash",1,0),0)</f>
        <v/>
      </c>
      <c r="Q1432" s="101">
        <f>IF(H1432=1,IF(IFERROR(INDEX(coa_CF,MATCH(K1432,coa_Name,0)),"")="Cash",1,0),0)</f>
        <v/>
      </c>
      <c r="R1432" s="58">
        <f>IF((P1432-Q1432)=0,"",IFERROR(INDEX(coa_CF,MATCH(IF((P1432-Q1432)=1,K1432,I1432),coa_Name,0)),"Operating"))</f>
        <v/>
      </c>
      <c r="S1432" s="95">
        <f>IF((P1432-Q1432)=1,L1432,IF((P1432-Q1432)=-1,-J1432,0))</f>
        <v/>
      </c>
      <c r="T1432" s="95">
        <f>IF((P1432-Q1432)=1,N1432,IF((P1432-Q1432)=-1,-M1432,0))</f>
        <v/>
      </c>
      <c r="U1432" s="101">
        <f>IF(AND(H1432=1,LedAcct&lt;&gt;""),IF(AND(E1432&gt;=LedFrom,E1432&lt;=LedTo,OR(I1432=LedAcct,K1432=LedAcct,AND(LedAcct=acctTax,M1432+N1432&lt;&gt;0))),E1432*10000+B1432,""),"")</f>
        <v/>
      </c>
    </row>
    <row r="1433">
      <c r="B1433" s="101" t="n">
        <v>1427</v>
      </c>
      <c r="C1433" s="58" t="inlineStr">
        <is>
          <t>Transaction</t>
        </is>
      </c>
      <c r="D1433" s="58">
        <f>IF(H1433=1,INDEX(tx_ID,1427)&amp;"","")</f>
        <v/>
      </c>
      <c r="E1433" s="94">
        <f>IF(H1433=1,INDEX(tx_Date,1427),"")</f>
        <v/>
      </c>
      <c r="F1433" s="58">
        <f>IF(H1433=1,INDEX(tx_Desc,1427)&amp;"","")</f>
        <v/>
      </c>
      <c r="G1433" s="58">
        <f>IF(H1433=1,IF(INDEX(tx_Cust,1427)&amp;""&lt;&gt;"",INDEX(tx_Cust,1427)&amp;"",INDEX(tx_Vend,1427)&amp;""),"")</f>
        <v/>
      </c>
      <c r="H1433" s="101">
        <f>IFERROR(N(INDEX(tx_Posted,1427)),0)</f>
        <v/>
      </c>
      <c r="I1433" s="58">
        <f>IF(H1433=1,INDEX(tx_DrAcct,1427)&amp;"","")</f>
        <v/>
      </c>
      <c r="J1433" s="95">
        <f>IF(H1433=1,INDEX(tx_DrAmt,1427),0)</f>
        <v/>
      </c>
      <c r="K1433" s="58">
        <f>IF(H1433=1,INDEX(tx_CrAcct,1427)&amp;"","")</f>
        <v/>
      </c>
      <c r="L1433" s="95">
        <f>IF(H1433=1,INDEX(tx_CrAmt,1427),0)</f>
        <v/>
      </c>
      <c r="M1433" s="95">
        <f>IF(H1433=1,INDEX(tx_TaxDr,1427),0)</f>
        <v/>
      </c>
      <c r="N1433" s="95">
        <f>IF(H1433=1,INDEX(tx_TaxCr,1427),0)</f>
        <v/>
      </c>
      <c r="O1433" s="101">
        <f>IF(H1433=1,IF(E1433&lt;FYStart,0,IF(E1433&gt;FYEnd,13,YEAR(E1433)*12+MONTH(E1433)-FYYM+1)),"")</f>
        <v/>
      </c>
      <c r="P1433" s="101">
        <f>IF(H1433=1,IF(IFERROR(INDEX(coa_CF,MATCH(I1433,coa_Name,0)),"")="Cash",1,0),0)</f>
        <v/>
      </c>
      <c r="Q1433" s="101">
        <f>IF(H1433=1,IF(IFERROR(INDEX(coa_CF,MATCH(K1433,coa_Name,0)),"")="Cash",1,0),0)</f>
        <v/>
      </c>
      <c r="R1433" s="58">
        <f>IF((P1433-Q1433)=0,"",IFERROR(INDEX(coa_CF,MATCH(IF((P1433-Q1433)=1,K1433,I1433),coa_Name,0)),"Operating"))</f>
        <v/>
      </c>
      <c r="S1433" s="95">
        <f>IF((P1433-Q1433)=1,L1433,IF((P1433-Q1433)=-1,-J1433,0))</f>
        <v/>
      </c>
      <c r="T1433" s="95">
        <f>IF((P1433-Q1433)=1,N1433,IF((P1433-Q1433)=-1,-M1433,0))</f>
        <v/>
      </c>
      <c r="U1433" s="101">
        <f>IF(AND(H1433=1,LedAcct&lt;&gt;""),IF(AND(E1433&gt;=LedFrom,E1433&lt;=LedTo,OR(I1433=LedAcct,K1433=LedAcct,AND(LedAcct=acctTax,M1433+N1433&lt;&gt;0))),E1433*10000+B1433,""),"")</f>
        <v/>
      </c>
    </row>
    <row r="1434">
      <c r="B1434" s="101" t="n">
        <v>1428</v>
      </c>
      <c r="C1434" s="58" t="inlineStr">
        <is>
          <t>Transaction</t>
        </is>
      </c>
      <c r="D1434" s="58">
        <f>IF(H1434=1,INDEX(tx_ID,1428)&amp;"","")</f>
        <v/>
      </c>
      <c r="E1434" s="94">
        <f>IF(H1434=1,INDEX(tx_Date,1428),"")</f>
        <v/>
      </c>
      <c r="F1434" s="58">
        <f>IF(H1434=1,INDEX(tx_Desc,1428)&amp;"","")</f>
        <v/>
      </c>
      <c r="G1434" s="58">
        <f>IF(H1434=1,IF(INDEX(tx_Cust,1428)&amp;""&lt;&gt;"",INDEX(tx_Cust,1428)&amp;"",INDEX(tx_Vend,1428)&amp;""),"")</f>
        <v/>
      </c>
      <c r="H1434" s="101">
        <f>IFERROR(N(INDEX(tx_Posted,1428)),0)</f>
        <v/>
      </c>
      <c r="I1434" s="58">
        <f>IF(H1434=1,INDEX(tx_DrAcct,1428)&amp;"","")</f>
        <v/>
      </c>
      <c r="J1434" s="95">
        <f>IF(H1434=1,INDEX(tx_DrAmt,1428),0)</f>
        <v/>
      </c>
      <c r="K1434" s="58">
        <f>IF(H1434=1,INDEX(tx_CrAcct,1428)&amp;"","")</f>
        <v/>
      </c>
      <c r="L1434" s="95">
        <f>IF(H1434=1,INDEX(tx_CrAmt,1428),0)</f>
        <v/>
      </c>
      <c r="M1434" s="95">
        <f>IF(H1434=1,INDEX(tx_TaxDr,1428),0)</f>
        <v/>
      </c>
      <c r="N1434" s="95">
        <f>IF(H1434=1,INDEX(tx_TaxCr,1428),0)</f>
        <v/>
      </c>
      <c r="O1434" s="101">
        <f>IF(H1434=1,IF(E1434&lt;FYStart,0,IF(E1434&gt;FYEnd,13,YEAR(E1434)*12+MONTH(E1434)-FYYM+1)),"")</f>
        <v/>
      </c>
      <c r="P1434" s="101">
        <f>IF(H1434=1,IF(IFERROR(INDEX(coa_CF,MATCH(I1434,coa_Name,0)),"")="Cash",1,0),0)</f>
        <v/>
      </c>
      <c r="Q1434" s="101">
        <f>IF(H1434=1,IF(IFERROR(INDEX(coa_CF,MATCH(K1434,coa_Name,0)),"")="Cash",1,0),0)</f>
        <v/>
      </c>
      <c r="R1434" s="58">
        <f>IF((P1434-Q1434)=0,"",IFERROR(INDEX(coa_CF,MATCH(IF((P1434-Q1434)=1,K1434,I1434),coa_Name,0)),"Operating"))</f>
        <v/>
      </c>
      <c r="S1434" s="95">
        <f>IF((P1434-Q1434)=1,L1434,IF((P1434-Q1434)=-1,-J1434,0))</f>
        <v/>
      </c>
      <c r="T1434" s="95">
        <f>IF((P1434-Q1434)=1,N1434,IF((P1434-Q1434)=-1,-M1434,0))</f>
        <v/>
      </c>
      <c r="U1434" s="101">
        <f>IF(AND(H1434=1,LedAcct&lt;&gt;""),IF(AND(E1434&gt;=LedFrom,E1434&lt;=LedTo,OR(I1434=LedAcct,K1434=LedAcct,AND(LedAcct=acctTax,M1434+N1434&lt;&gt;0))),E1434*10000+B1434,""),"")</f>
        <v/>
      </c>
    </row>
    <row r="1435">
      <c r="B1435" s="101" t="n">
        <v>1429</v>
      </c>
      <c r="C1435" s="58" t="inlineStr">
        <is>
          <t>Transaction</t>
        </is>
      </c>
      <c r="D1435" s="58">
        <f>IF(H1435=1,INDEX(tx_ID,1429)&amp;"","")</f>
        <v/>
      </c>
      <c r="E1435" s="94">
        <f>IF(H1435=1,INDEX(tx_Date,1429),"")</f>
        <v/>
      </c>
      <c r="F1435" s="58">
        <f>IF(H1435=1,INDEX(tx_Desc,1429)&amp;"","")</f>
        <v/>
      </c>
      <c r="G1435" s="58">
        <f>IF(H1435=1,IF(INDEX(tx_Cust,1429)&amp;""&lt;&gt;"",INDEX(tx_Cust,1429)&amp;"",INDEX(tx_Vend,1429)&amp;""),"")</f>
        <v/>
      </c>
      <c r="H1435" s="101">
        <f>IFERROR(N(INDEX(tx_Posted,1429)),0)</f>
        <v/>
      </c>
      <c r="I1435" s="58">
        <f>IF(H1435=1,INDEX(tx_DrAcct,1429)&amp;"","")</f>
        <v/>
      </c>
      <c r="J1435" s="95">
        <f>IF(H1435=1,INDEX(tx_DrAmt,1429),0)</f>
        <v/>
      </c>
      <c r="K1435" s="58">
        <f>IF(H1435=1,INDEX(tx_CrAcct,1429)&amp;"","")</f>
        <v/>
      </c>
      <c r="L1435" s="95">
        <f>IF(H1435=1,INDEX(tx_CrAmt,1429),0)</f>
        <v/>
      </c>
      <c r="M1435" s="95">
        <f>IF(H1435=1,INDEX(tx_TaxDr,1429),0)</f>
        <v/>
      </c>
      <c r="N1435" s="95">
        <f>IF(H1435=1,INDEX(tx_TaxCr,1429),0)</f>
        <v/>
      </c>
      <c r="O1435" s="101">
        <f>IF(H1435=1,IF(E1435&lt;FYStart,0,IF(E1435&gt;FYEnd,13,YEAR(E1435)*12+MONTH(E1435)-FYYM+1)),"")</f>
        <v/>
      </c>
      <c r="P1435" s="101">
        <f>IF(H1435=1,IF(IFERROR(INDEX(coa_CF,MATCH(I1435,coa_Name,0)),"")="Cash",1,0),0)</f>
        <v/>
      </c>
      <c r="Q1435" s="101">
        <f>IF(H1435=1,IF(IFERROR(INDEX(coa_CF,MATCH(K1435,coa_Name,0)),"")="Cash",1,0),0)</f>
        <v/>
      </c>
      <c r="R1435" s="58">
        <f>IF((P1435-Q1435)=0,"",IFERROR(INDEX(coa_CF,MATCH(IF((P1435-Q1435)=1,K1435,I1435),coa_Name,0)),"Operating"))</f>
        <v/>
      </c>
      <c r="S1435" s="95">
        <f>IF((P1435-Q1435)=1,L1435,IF((P1435-Q1435)=-1,-J1435,0))</f>
        <v/>
      </c>
      <c r="T1435" s="95">
        <f>IF((P1435-Q1435)=1,N1435,IF((P1435-Q1435)=-1,-M1435,0))</f>
        <v/>
      </c>
      <c r="U1435" s="101">
        <f>IF(AND(H1435=1,LedAcct&lt;&gt;""),IF(AND(E1435&gt;=LedFrom,E1435&lt;=LedTo,OR(I1435=LedAcct,K1435=LedAcct,AND(LedAcct=acctTax,M1435+N1435&lt;&gt;0))),E1435*10000+B1435,""),"")</f>
        <v/>
      </c>
    </row>
    <row r="1436">
      <c r="B1436" s="101" t="n">
        <v>1430</v>
      </c>
      <c r="C1436" s="58" t="inlineStr">
        <is>
          <t>Transaction</t>
        </is>
      </c>
      <c r="D1436" s="58">
        <f>IF(H1436=1,INDEX(tx_ID,1430)&amp;"","")</f>
        <v/>
      </c>
      <c r="E1436" s="94">
        <f>IF(H1436=1,INDEX(tx_Date,1430),"")</f>
        <v/>
      </c>
      <c r="F1436" s="58">
        <f>IF(H1436=1,INDEX(tx_Desc,1430)&amp;"","")</f>
        <v/>
      </c>
      <c r="G1436" s="58">
        <f>IF(H1436=1,IF(INDEX(tx_Cust,1430)&amp;""&lt;&gt;"",INDEX(tx_Cust,1430)&amp;"",INDEX(tx_Vend,1430)&amp;""),"")</f>
        <v/>
      </c>
      <c r="H1436" s="101">
        <f>IFERROR(N(INDEX(tx_Posted,1430)),0)</f>
        <v/>
      </c>
      <c r="I1436" s="58">
        <f>IF(H1436=1,INDEX(tx_DrAcct,1430)&amp;"","")</f>
        <v/>
      </c>
      <c r="J1436" s="95">
        <f>IF(H1436=1,INDEX(tx_DrAmt,1430),0)</f>
        <v/>
      </c>
      <c r="K1436" s="58">
        <f>IF(H1436=1,INDEX(tx_CrAcct,1430)&amp;"","")</f>
        <v/>
      </c>
      <c r="L1436" s="95">
        <f>IF(H1436=1,INDEX(tx_CrAmt,1430),0)</f>
        <v/>
      </c>
      <c r="M1436" s="95">
        <f>IF(H1436=1,INDEX(tx_TaxDr,1430),0)</f>
        <v/>
      </c>
      <c r="N1436" s="95">
        <f>IF(H1436=1,INDEX(tx_TaxCr,1430),0)</f>
        <v/>
      </c>
      <c r="O1436" s="101">
        <f>IF(H1436=1,IF(E1436&lt;FYStart,0,IF(E1436&gt;FYEnd,13,YEAR(E1436)*12+MONTH(E1436)-FYYM+1)),"")</f>
        <v/>
      </c>
      <c r="P1436" s="101">
        <f>IF(H1436=1,IF(IFERROR(INDEX(coa_CF,MATCH(I1436,coa_Name,0)),"")="Cash",1,0),0)</f>
        <v/>
      </c>
      <c r="Q1436" s="101">
        <f>IF(H1436=1,IF(IFERROR(INDEX(coa_CF,MATCH(K1436,coa_Name,0)),"")="Cash",1,0),0)</f>
        <v/>
      </c>
      <c r="R1436" s="58">
        <f>IF((P1436-Q1436)=0,"",IFERROR(INDEX(coa_CF,MATCH(IF((P1436-Q1436)=1,K1436,I1436),coa_Name,0)),"Operating"))</f>
        <v/>
      </c>
      <c r="S1436" s="95">
        <f>IF((P1436-Q1436)=1,L1436,IF((P1436-Q1436)=-1,-J1436,0))</f>
        <v/>
      </c>
      <c r="T1436" s="95">
        <f>IF((P1436-Q1436)=1,N1436,IF((P1436-Q1436)=-1,-M1436,0))</f>
        <v/>
      </c>
      <c r="U1436" s="101">
        <f>IF(AND(H1436=1,LedAcct&lt;&gt;""),IF(AND(E1436&gt;=LedFrom,E1436&lt;=LedTo,OR(I1436=LedAcct,K1436=LedAcct,AND(LedAcct=acctTax,M1436+N1436&lt;&gt;0))),E1436*10000+B1436,""),"")</f>
        <v/>
      </c>
    </row>
    <row r="1437">
      <c r="B1437" s="101" t="n">
        <v>1431</v>
      </c>
      <c r="C1437" s="58" t="inlineStr">
        <is>
          <t>Transaction</t>
        </is>
      </c>
      <c r="D1437" s="58">
        <f>IF(H1437=1,INDEX(tx_ID,1431)&amp;"","")</f>
        <v/>
      </c>
      <c r="E1437" s="94">
        <f>IF(H1437=1,INDEX(tx_Date,1431),"")</f>
        <v/>
      </c>
      <c r="F1437" s="58">
        <f>IF(H1437=1,INDEX(tx_Desc,1431)&amp;"","")</f>
        <v/>
      </c>
      <c r="G1437" s="58">
        <f>IF(H1437=1,IF(INDEX(tx_Cust,1431)&amp;""&lt;&gt;"",INDEX(tx_Cust,1431)&amp;"",INDEX(tx_Vend,1431)&amp;""),"")</f>
        <v/>
      </c>
      <c r="H1437" s="101">
        <f>IFERROR(N(INDEX(tx_Posted,1431)),0)</f>
        <v/>
      </c>
      <c r="I1437" s="58">
        <f>IF(H1437=1,INDEX(tx_DrAcct,1431)&amp;"","")</f>
        <v/>
      </c>
      <c r="J1437" s="95">
        <f>IF(H1437=1,INDEX(tx_DrAmt,1431),0)</f>
        <v/>
      </c>
      <c r="K1437" s="58">
        <f>IF(H1437=1,INDEX(tx_CrAcct,1431)&amp;"","")</f>
        <v/>
      </c>
      <c r="L1437" s="95">
        <f>IF(H1437=1,INDEX(tx_CrAmt,1431),0)</f>
        <v/>
      </c>
      <c r="M1437" s="95">
        <f>IF(H1437=1,INDEX(tx_TaxDr,1431),0)</f>
        <v/>
      </c>
      <c r="N1437" s="95">
        <f>IF(H1437=1,INDEX(tx_TaxCr,1431),0)</f>
        <v/>
      </c>
      <c r="O1437" s="101">
        <f>IF(H1437=1,IF(E1437&lt;FYStart,0,IF(E1437&gt;FYEnd,13,YEAR(E1437)*12+MONTH(E1437)-FYYM+1)),"")</f>
        <v/>
      </c>
      <c r="P1437" s="101">
        <f>IF(H1437=1,IF(IFERROR(INDEX(coa_CF,MATCH(I1437,coa_Name,0)),"")="Cash",1,0),0)</f>
        <v/>
      </c>
      <c r="Q1437" s="101">
        <f>IF(H1437=1,IF(IFERROR(INDEX(coa_CF,MATCH(K1437,coa_Name,0)),"")="Cash",1,0),0)</f>
        <v/>
      </c>
      <c r="R1437" s="58">
        <f>IF((P1437-Q1437)=0,"",IFERROR(INDEX(coa_CF,MATCH(IF((P1437-Q1437)=1,K1437,I1437),coa_Name,0)),"Operating"))</f>
        <v/>
      </c>
      <c r="S1437" s="95">
        <f>IF((P1437-Q1437)=1,L1437,IF((P1437-Q1437)=-1,-J1437,0))</f>
        <v/>
      </c>
      <c r="T1437" s="95">
        <f>IF((P1437-Q1437)=1,N1437,IF((P1437-Q1437)=-1,-M1437,0))</f>
        <v/>
      </c>
      <c r="U1437" s="101">
        <f>IF(AND(H1437=1,LedAcct&lt;&gt;""),IF(AND(E1437&gt;=LedFrom,E1437&lt;=LedTo,OR(I1437=LedAcct,K1437=LedAcct,AND(LedAcct=acctTax,M1437+N1437&lt;&gt;0))),E1437*10000+B1437,""),"")</f>
        <v/>
      </c>
    </row>
    <row r="1438">
      <c r="B1438" s="101" t="n">
        <v>1432</v>
      </c>
      <c r="C1438" s="58" t="inlineStr">
        <is>
          <t>Transaction</t>
        </is>
      </c>
      <c r="D1438" s="58">
        <f>IF(H1438=1,INDEX(tx_ID,1432)&amp;"","")</f>
        <v/>
      </c>
      <c r="E1438" s="94">
        <f>IF(H1438=1,INDEX(tx_Date,1432),"")</f>
        <v/>
      </c>
      <c r="F1438" s="58">
        <f>IF(H1438=1,INDEX(tx_Desc,1432)&amp;"","")</f>
        <v/>
      </c>
      <c r="G1438" s="58">
        <f>IF(H1438=1,IF(INDEX(tx_Cust,1432)&amp;""&lt;&gt;"",INDEX(tx_Cust,1432)&amp;"",INDEX(tx_Vend,1432)&amp;""),"")</f>
        <v/>
      </c>
      <c r="H1438" s="101">
        <f>IFERROR(N(INDEX(tx_Posted,1432)),0)</f>
        <v/>
      </c>
      <c r="I1438" s="58">
        <f>IF(H1438=1,INDEX(tx_DrAcct,1432)&amp;"","")</f>
        <v/>
      </c>
      <c r="J1438" s="95">
        <f>IF(H1438=1,INDEX(tx_DrAmt,1432),0)</f>
        <v/>
      </c>
      <c r="K1438" s="58">
        <f>IF(H1438=1,INDEX(tx_CrAcct,1432)&amp;"","")</f>
        <v/>
      </c>
      <c r="L1438" s="95">
        <f>IF(H1438=1,INDEX(tx_CrAmt,1432),0)</f>
        <v/>
      </c>
      <c r="M1438" s="95">
        <f>IF(H1438=1,INDEX(tx_TaxDr,1432),0)</f>
        <v/>
      </c>
      <c r="N1438" s="95">
        <f>IF(H1438=1,INDEX(tx_TaxCr,1432),0)</f>
        <v/>
      </c>
      <c r="O1438" s="101">
        <f>IF(H1438=1,IF(E1438&lt;FYStart,0,IF(E1438&gt;FYEnd,13,YEAR(E1438)*12+MONTH(E1438)-FYYM+1)),"")</f>
        <v/>
      </c>
      <c r="P1438" s="101">
        <f>IF(H1438=1,IF(IFERROR(INDEX(coa_CF,MATCH(I1438,coa_Name,0)),"")="Cash",1,0),0)</f>
        <v/>
      </c>
      <c r="Q1438" s="101">
        <f>IF(H1438=1,IF(IFERROR(INDEX(coa_CF,MATCH(K1438,coa_Name,0)),"")="Cash",1,0),0)</f>
        <v/>
      </c>
      <c r="R1438" s="58">
        <f>IF((P1438-Q1438)=0,"",IFERROR(INDEX(coa_CF,MATCH(IF((P1438-Q1438)=1,K1438,I1438),coa_Name,0)),"Operating"))</f>
        <v/>
      </c>
      <c r="S1438" s="95">
        <f>IF((P1438-Q1438)=1,L1438,IF((P1438-Q1438)=-1,-J1438,0))</f>
        <v/>
      </c>
      <c r="T1438" s="95">
        <f>IF((P1438-Q1438)=1,N1438,IF((P1438-Q1438)=-1,-M1438,0))</f>
        <v/>
      </c>
      <c r="U1438" s="101">
        <f>IF(AND(H1438=1,LedAcct&lt;&gt;""),IF(AND(E1438&gt;=LedFrom,E1438&lt;=LedTo,OR(I1438=LedAcct,K1438=LedAcct,AND(LedAcct=acctTax,M1438+N1438&lt;&gt;0))),E1438*10000+B1438,""),"")</f>
        <v/>
      </c>
    </row>
    <row r="1439">
      <c r="B1439" s="101" t="n">
        <v>1433</v>
      </c>
      <c r="C1439" s="58" t="inlineStr">
        <is>
          <t>Transaction</t>
        </is>
      </c>
      <c r="D1439" s="58">
        <f>IF(H1439=1,INDEX(tx_ID,1433)&amp;"","")</f>
        <v/>
      </c>
      <c r="E1439" s="94">
        <f>IF(H1439=1,INDEX(tx_Date,1433),"")</f>
        <v/>
      </c>
      <c r="F1439" s="58">
        <f>IF(H1439=1,INDEX(tx_Desc,1433)&amp;"","")</f>
        <v/>
      </c>
      <c r="G1439" s="58">
        <f>IF(H1439=1,IF(INDEX(tx_Cust,1433)&amp;""&lt;&gt;"",INDEX(tx_Cust,1433)&amp;"",INDEX(tx_Vend,1433)&amp;""),"")</f>
        <v/>
      </c>
      <c r="H1439" s="101">
        <f>IFERROR(N(INDEX(tx_Posted,1433)),0)</f>
        <v/>
      </c>
      <c r="I1439" s="58">
        <f>IF(H1439=1,INDEX(tx_DrAcct,1433)&amp;"","")</f>
        <v/>
      </c>
      <c r="J1439" s="95">
        <f>IF(H1439=1,INDEX(tx_DrAmt,1433),0)</f>
        <v/>
      </c>
      <c r="K1439" s="58">
        <f>IF(H1439=1,INDEX(tx_CrAcct,1433)&amp;"","")</f>
        <v/>
      </c>
      <c r="L1439" s="95">
        <f>IF(H1439=1,INDEX(tx_CrAmt,1433),0)</f>
        <v/>
      </c>
      <c r="M1439" s="95">
        <f>IF(H1439=1,INDEX(tx_TaxDr,1433),0)</f>
        <v/>
      </c>
      <c r="N1439" s="95">
        <f>IF(H1439=1,INDEX(tx_TaxCr,1433),0)</f>
        <v/>
      </c>
      <c r="O1439" s="101">
        <f>IF(H1439=1,IF(E1439&lt;FYStart,0,IF(E1439&gt;FYEnd,13,YEAR(E1439)*12+MONTH(E1439)-FYYM+1)),"")</f>
        <v/>
      </c>
      <c r="P1439" s="101">
        <f>IF(H1439=1,IF(IFERROR(INDEX(coa_CF,MATCH(I1439,coa_Name,0)),"")="Cash",1,0),0)</f>
        <v/>
      </c>
      <c r="Q1439" s="101">
        <f>IF(H1439=1,IF(IFERROR(INDEX(coa_CF,MATCH(K1439,coa_Name,0)),"")="Cash",1,0),0)</f>
        <v/>
      </c>
      <c r="R1439" s="58">
        <f>IF((P1439-Q1439)=0,"",IFERROR(INDEX(coa_CF,MATCH(IF((P1439-Q1439)=1,K1439,I1439),coa_Name,0)),"Operating"))</f>
        <v/>
      </c>
      <c r="S1439" s="95">
        <f>IF((P1439-Q1439)=1,L1439,IF((P1439-Q1439)=-1,-J1439,0))</f>
        <v/>
      </c>
      <c r="T1439" s="95">
        <f>IF((P1439-Q1439)=1,N1439,IF((P1439-Q1439)=-1,-M1439,0))</f>
        <v/>
      </c>
      <c r="U1439" s="101">
        <f>IF(AND(H1439=1,LedAcct&lt;&gt;""),IF(AND(E1439&gt;=LedFrom,E1439&lt;=LedTo,OR(I1439=LedAcct,K1439=LedAcct,AND(LedAcct=acctTax,M1439+N1439&lt;&gt;0))),E1439*10000+B1439,""),"")</f>
        <v/>
      </c>
    </row>
    <row r="1440">
      <c r="B1440" s="101" t="n">
        <v>1434</v>
      </c>
      <c r="C1440" s="58" t="inlineStr">
        <is>
          <t>Transaction</t>
        </is>
      </c>
      <c r="D1440" s="58">
        <f>IF(H1440=1,INDEX(tx_ID,1434)&amp;"","")</f>
        <v/>
      </c>
      <c r="E1440" s="94">
        <f>IF(H1440=1,INDEX(tx_Date,1434),"")</f>
        <v/>
      </c>
      <c r="F1440" s="58">
        <f>IF(H1440=1,INDEX(tx_Desc,1434)&amp;"","")</f>
        <v/>
      </c>
      <c r="G1440" s="58">
        <f>IF(H1440=1,IF(INDEX(tx_Cust,1434)&amp;""&lt;&gt;"",INDEX(tx_Cust,1434)&amp;"",INDEX(tx_Vend,1434)&amp;""),"")</f>
        <v/>
      </c>
      <c r="H1440" s="101">
        <f>IFERROR(N(INDEX(tx_Posted,1434)),0)</f>
        <v/>
      </c>
      <c r="I1440" s="58">
        <f>IF(H1440=1,INDEX(tx_DrAcct,1434)&amp;"","")</f>
        <v/>
      </c>
      <c r="J1440" s="95">
        <f>IF(H1440=1,INDEX(tx_DrAmt,1434),0)</f>
        <v/>
      </c>
      <c r="K1440" s="58">
        <f>IF(H1440=1,INDEX(tx_CrAcct,1434)&amp;"","")</f>
        <v/>
      </c>
      <c r="L1440" s="95">
        <f>IF(H1440=1,INDEX(tx_CrAmt,1434),0)</f>
        <v/>
      </c>
      <c r="M1440" s="95">
        <f>IF(H1440=1,INDEX(tx_TaxDr,1434),0)</f>
        <v/>
      </c>
      <c r="N1440" s="95">
        <f>IF(H1440=1,INDEX(tx_TaxCr,1434),0)</f>
        <v/>
      </c>
      <c r="O1440" s="101">
        <f>IF(H1440=1,IF(E1440&lt;FYStart,0,IF(E1440&gt;FYEnd,13,YEAR(E1440)*12+MONTH(E1440)-FYYM+1)),"")</f>
        <v/>
      </c>
      <c r="P1440" s="101">
        <f>IF(H1440=1,IF(IFERROR(INDEX(coa_CF,MATCH(I1440,coa_Name,0)),"")="Cash",1,0),0)</f>
        <v/>
      </c>
      <c r="Q1440" s="101">
        <f>IF(H1440=1,IF(IFERROR(INDEX(coa_CF,MATCH(K1440,coa_Name,0)),"")="Cash",1,0),0)</f>
        <v/>
      </c>
      <c r="R1440" s="58">
        <f>IF((P1440-Q1440)=0,"",IFERROR(INDEX(coa_CF,MATCH(IF((P1440-Q1440)=1,K1440,I1440),coa_Name,0)),"Operating"))</f>
        <v/>
      </c>
      <c r="S1440" s="95">
        <f>IF((P1440-Q1440)=1,L1440,IF((P1440-Q1440)=-1,-J1440,0))</f>
        <v/>
      </c>
      <c r="T1440" s="95">
        <f>IF((P1440-Q1440)=1,N1440,IF((P1440-Q1440)=-1,-M1440,0))</f>
        <v/>
      </c>
      <c r="U1440" s="101">
        <f>IF(AND(H1440=1,LedAcct&lt;&gt;""),IF(AND(E1440&gt;=LedFrom,E1440&lt;=LedTo,OR(I1440=LedAcct,K1440=LedAcct,AND(LedAcct=acctTax,M1440+N1440&lt;&gt;0))),E1440*10000+B1440,""),"")</f>
        <v/>
      </c>
    </row>
    <row r="1441">
      <c r="B1441" s="101" t="n">
        <v>1435</v>
      </c>
      <c r="C1441" s="58" t="inlineStr">
        <is>
          <t>Transaction</t>
        </is>
      </c>
      <c r="D1441" s="58">
        <f>IF(H1441=1,INDEX(tx_ID,1435)&amp;"","")</f>
        <v/>
      </c>
      <c r="E1441" s="94">
        <f>IF(H1441=1,INDEX(tx_Date,1435),"")</f>
        <v/>
      </c>
      <c r="F1441" s="58">
        <f>IF(H1441=1,INDEX(tx_Desc,1435)&amp;"","")</f>
        <v/>
      </c>
      <c r="G1441" s="58">
        <f>IF(H1441=1,IF(INDEX(tx_Cust,1435)&amp;""&lt;&gt;"",INDEX(tx_Cust,1435)&amp;"",INDEX(tx_Vend,1435)&amp;""),"")</f>
        <v/>
      </c>
      <c r="H1441" s="101">
        <f>IFERROR(N(INDEX(tx_Posted,1435)),0)</f>
        <v/>
      </c>
      <c r="I1441" s="58">
        <f>IF(H1441=1,INDEX(tx_DrAcct,1435)&amp;"","")</f>
        <v/>
      </c>
      <c r="J1441" s="95">
        <f>IF(H1441=1,INDEX(tx_DrAmt,1435),0)</f>
        <v/>
      </c>
      <c r="K1441" s="58">
        <f>IF(H1441=1,INDEX(tx_CrAcct,1435)&amp;"","")</f>
        <v/>
      </c>
      <c r="L1441" s="95">
        <f>IF(H1441=1,INDEX(tx_CrAmt,1435),0)</f>
        <v/>
      </c>
      <c r="M1441" s="95">
        <f>IF(H1441=1,INDEX(tx_TaxDr,1435),0)</f>
        <v/>
      </c>
      <c r="N1441" s="95">
        <f>IF(H1441=1,INDEX(tx_TaxCr,1435),0)</f>
        <v/>
      </c>
      <c r="O1441" s="101">
        <f>IF(H1441=1,IF(E1441&lt;FYStart,0,IF(E1441&gt;FYEnd,13,YEAR(E1441)*12+MONTH(E1441)-FYYM+1)),"")</f>
        <v/>
      </c>
      <c r="P1441" s="101">
        <f>IF(H1441=1,IF(IFERROR(INDEX(coa_CF,MATCH(I1441,coa_Name,0)),"")="Cash",1,0),0)</f>
        <v/>
      </c>
      <c r="Q1441" s="101">
        <f>IF(H1441=1,IF(IFERROR(INDEX(coa_CF,MATCH(K1441,coa_Name,0)),"")="Cash",1,0),0)</f>
        <v/>
      </c>
      <c r="R1441" s="58">
        <f>IF((P1441-Q1441)=0,"",IFERROR(INDEX(coa_CF,MATCH(IF((P1441-Q1441)=1,K1441,I1441),coa_Name,0)),"Operating"))</f>
        <v/>
      </c>
      <c r="S1441" s="95">
        <f>IF((P1441-Q1441)=1,L1441,IF((P1441-Q1441)=-1,-J1441,0))</f>
        <v/>
      </c>
      <c r="T1441" s="95">
        <f>IF((P1441-Q1441)=1,N1441,IF((P1441-Q1441)=-1,-M1441,0))</f>
        <v/>
      </c>
      <c r="U1441" s="101">
        <f>IF(AND(H1441=1,LedAcct&lt;&gt;""),IF(AND(E1441&gt;=LedFrom,E1441&lt;=LedTo,OR(I1441=LedAcct,K1441=LedAcct,AND(LedAcct=acctTax,M1441+N1441&lt;&gt;0))),E1441*10000+B1441,""),"")</f>
        <v/>
      </c>
    </row>
    <row r="1442">
      <c r="B1442" s="101" t="n">
        <v>1436</v>
      </c>
      <c r="C1442" s="58" t="inlineStr">
        <is>
          <t>Transaction</t>
        </is>
      </c>
      <c r="D1442" s="58">
        <f>IF(H1442=1,INDEX(tx_ID,1436)&amp;"","")</f>
        <v/>
      </c>
      <c r="E1442" s="94">
        <f>IF(H1442=1,INDEX(tx_Date,1436),"")</f>
        <v/>
      </c>
      <c r="F1442" s="58">
        <f>IF(H1442=1,INDEX(tx_Desc,1436)&amp;"","")</f>
        <v/>
      </c>
      <c r="G1442" s="58">
        <f>IF(H1442=1,IF(INDEX(tx_Cust,1436)&amp;""&lt;&gt;"",INDEX(tx_Cust,1436)&amp;"",INDEX(tx_Vend,1436)&amp;""),"")</f>
        <v/>
      </c>
      <c r="H1442" s="101">
        <f>IFERROR(N(INDEX(tx_Posted,1436)),0)</f>
        <v/>
      </c>
      <c r="I1442" s="58">
        <f>IF(H1442=1,INDEX(tx_DrAcct,1436)&amp;"","")</f>
        <v/>
      </c>
      <c r="J1442" s="95">
        <f>IF(H1442=1,INDEX(tx_DrAmt,1436),0)</f>
        <v/>
      </c>
      <c r="K1442" s="58">
        <f>IF(H1442=1,INDEX(tx_CrAcct,1436)&amp;"","")</f>
        <v/>
      </c>
      <c r="L1442" s="95">
        <f>IF(H1442=1,INDEX(tx_CrAmt,1436),0)</f>
        <v/>
      </c>
      <c r="M1442" s="95">
        <f>IF(H1442=1,INDEX(tx_TaxDr,1436),0)</f>
        <v/>
      </c>
      <c r="N1442" s="95">
        <f>IF(H1442=1,INDEX(tx_TaxCr,1436),0)</f>
        <v/>
      </c>
      <c r="O1442" s="101">
        <f>IF(H1442=1,IF(E1442&lt;FYStart,0,IF(E1442&gt;FYEnd,13,YEAR(E1442)*12+MONTH(E1442)-FYYM+1)),"")</f>
        <v/>
      </c>
      <c r="P1442" s="101">
        <f>IF(H1442=1,IF(IFERROR(INDEX(coa_CF,MATCH(I1442,coa_Name,0)),"")="Cash",1,0),0)</f>
        <v/>
      </c>
      <c r="Q1442" s="101">
        <f>IF(H1442=1,IF(IFERROR(INDEX(coa_CF,MATCH(K1442,coa_Name,0)),"")="Cash",1,0),0)</f>
        <v/>
      </c>
      <c r="R1442" s="58">
        <f>IF((P1442-Q1442)=0,"",IFERROR(INDEX(coa_CF,MATCH(IF((P1442-Q1442)=1,K1442,I1442),coa_Name,0)),"Operating"))</f>
        <v/>
      </c>
      <c r="S1442" s="95">
        <f>IF((P1442-Q1442)=1,L1442,IF((P1442-Q1442)=-1,-J1442,0))</f>
        <v/>
      </c>
      <c r="T1442" s="95">
        <f>IF((P1442-Q1442)=1,N1442,IF((P1442-Q1442)=-1,-M1442,0))</f>
        <v/>
      </c>
      <c r="U1442" s="101">
        <f>IF(AND(H1442=1,LedAcct&lt;&gt;""),IF(AND(E1442&gt;=LedFrom,E1442&lt;=LedTo,OR(I1442=LedAcct,K1442=LedAcct,AND(LedAcct=acctTax,M1442+N1442&lt;&gt;0))),E1442*10000+B1442,""),"")</f>
        <v/>
      </c>
    </row>
    <row r="1443">
      <c r="B1443" s="101" t="n">
        <v>1437</v>
      </c>
      <c r="C1443" s="58" t="inlineStr">
        <is>
          <t>Transaction</t>
        </is>
      </c>
      <c r="D1443" s="58">
        <f>IF(H1443=1,INDEX(tx_ID,1437)&amp;"","")</f>
        <v/>
      </c>
      <c r="E1443" s="94">
        <f>IF(H1443=1,INDEX(tx_Date,1437),"")</f>
        <v/>
      </c>
      <c r="F1443" s="58">
        <f>IF(H1443=1,INDEX(tx_Desc,1437)&amp;"","")</f>
        <v/>
      </c>
      <c r="G1443" s="58">
        <f>IF(H1443=1,IF(INDEX(tx_Cust,1437)&amp;""&lt;&gt;"",INDEX(tx_Cust,1437)&amp;"",INDEX(tx_Vend,1437)&amp;""),"")</f>
        <v/>
      </c>
      <c r="H1443" s="101">
        <f>IFERROR(N(INDEX(tx_Posted,1437)),0)</f>
        <v/>
      </c>
      <c r="I1443" s="58">
        <f>IF(H1443=1,INDEX(tx_DrAcct,1437)&amp;"","")</f>
        <v/>
      </c>
      <c r="J1443" s="95">
        <f>IF(H1443=1,INDEX(tx_DrAmt,1437),0)</f>
        <v/>
      </c>
      <c r="K1443" s="58">
        <f>IF(H1443=1,INDEX(tx_CrAcct,1437)&amp;"","")</f>
        <v/>
      </c>
      <c r="L1443" s="95">
        <f>IF(H1443=1,INDEX(tx_CrAmt,1437),0)</f>
        <v/>
      </c>
      <c r="M1443" s="95">
        <f>IF(H1443=1,INDEX(tx_TaxDr,1437),0)</f>
        <v/>
      </c>
      <c r="N1443" s="95">
        <f>IF(H1443=1,INDEX(tx_TaxCr,1437),0)</f>
        <v/>
      </c>
      <c r="O1443" s="101">
        <f>IF(H1443=1,IF(E1443&lt;FYStart,0,IF(E1443&gt;FYEnd,13,YEAR(E1443)*12+MONTH(E1443)-FYYM+1)),"")</f>
        <v/>
      </c>
      <c r="P1443" s="101">
        <f>IF(H1443=1,IF(IFERROR(INDEX(coa_CF,MATCH(I1443,coa_Name,0)),"")="Cash",1,0),0)</f>
        <v/>
      </c>
      <c r="Q1443" s="101">
        <f>IF(H1443=1,IF(IFERROR(INDEX(coa_CF,MATCH(K1443,coa_Name,0)),"")="Cash",1,0),0)</f>
        <v/>
      </c>
      <c r="R1443" s="58">
        <f>IF((P1443-Q1443)=0,"",IFERROR(INDEX(coa_CF,MATCH(IF((P1443-Q1443)=1,K1443,I1443),coa_Name,0)),"Operating"))</f>
        <v/>
      </c>
      <c r="S1443" s="95">
        <f>IF((P1443-Q1443)=1,L1443,IF((P1443-Q1443)=-1,-J1443,0))</f>
        <v/>
      </c>
      <c r="T1443" s="95">
        <f>IF((P1443-Q1443)=1,N1443,IF((P1443-Q1443)=-1,-M1443,0))</f>
        <v/>
      </c>
      <c r="U1443" s="101">
        <f>IF(AND(H1443=1,LedAcct&lt;&gt;""),IF(AND(E1443&gt;=LedFrom,E1443&lt;=LedTo,OR(I1443=LedAcct,K1443=LedAcct,AND(LedAcct=acctTax,M1443+N1443&lt;&gt;0))),E1443*10000+B1443,""),"")</f>
        <v/>
      </c>
    </row>
    <row r="1444">
      <c r="B1444" s="101" t="n">
        <v>1438</v>
      </c>
      <c r="C1444" s="58" t="inlineStr">
        <is>
          <t>Transaction</t>
        </is>
      </c>
      <c r="D1444" s="58">
        <f>IF(H1444=1,INDEX(tx_ID,1438)&amp;"","")</f>
        <v/>
      </c>
      <c r="E1444" s="94">
        <f>IF(H1444=1,INDEX(tx_Date,1438),"")</f>
        <v/>
      </c>
      <c r="F1444" s="58">
        <f>IF(H1444=1,INDEX(tx_Desc,1438)&amp;"","")</f>
        <v/>
      </c>
      <c r="G1444" s="58">
        <f>IF(H1444=1,IF(INDEX(tx_Cust,1438)&amp;""&lt;&gt;"",INDEX(tx_Cust,1438)&amp;"",INDEX(tx_Vend,1438)&amp;""),"")</f>
        <v/>
      </c>
      <c r="H1444" s="101">
        <f>IFERROR(N(INDEX(tx_Posted,1438)),0)</f>
        <v/>
      </c>
      <c r="I1444" s="58">
        <f>IF(H1444=1,INDEX(tx_DrAcct,1438)&amp;"","")</f>
        <v/>
      </c>
      <c r="J1444" s="95">
        <f>IF(H1444=1,INDEX(tx_DrAmt,1438),0)</f>
        <v/>
      </c>
      <c r="K1444" s="58">
        <f>IF(H1444=1,INDEX(tx_CrAcct,1438)&amp;"","")</f>
        <v/>
      </c>
      <c r="L1444" s="95">
        <f>IF(H1444=1,INDEX(tx_CrAmt,1438),0)</f>
        <v/>
      </c>
      <c r="M1444" s="95">
        <f>IF(H1444=1,INDEX(tx_TaxDr,1438),0)</f>
        <v/>
      </c>
      <c r="N1444" s="95">
        <f>IF(H1444=1,INDEX(tx_TaxCr,1438),0)</f>
        <v/>
      </c>
      <c r="O1444" s="101">
        <f>IF(H1444=1,IF(E1444&lt;FYStart,0,IF(E1444&gt;FYEnd,13,YEAR(E1444)*12+MONTH(E1444)-FYYM+1)),"")</f>
        <v/>
      </c>
      <c r="P1444" s="101">
        <f>IF(H1444=1,IF(IFERROR(INDEX(coa_CF,MATCH(I1444,coa_Name,0)),"")="Cash",1,0),0)</f>
        <v/>
      </c>
      <c r="Q1444" s="101">
        <f>IF(H1444=1,IF(IFERROR(INDEX(coa_CF,MATCH(K1444,coa_Name,0)),"")="Cash",1,0),0)</f>
        <v/>
      </c>
      <c r="R1444" s="58">
        <f>IF((P1444-Q1444)=0,"",IFERROR(INDEX(coa_CF,MATCH(IF((P1444-Q1444)=1,K1444,I1444),coa_Name,0)),"Operating"))</f>
        <v/>
      </c>
      <c r="S1444" s="95">
        <f>IF((P1444-Q1444)=1,L1444,IF((P1444-Q1444)=-1,-J1444,0))</f>
        <v/>
      </c>
      <c r="T1444" s="95">
        <f>IF((P1444-Q1444)=1,N1444,IF((P1444-Q1444)=-1,-M1444,0))</f>
        <v/>
      </c>
      <c r="U1444" s="101">
        <f>IF(AND(H1444=1,LedAcct&lt;&gt;""),IF(AND(E1444&gt;=LedFrom,E1444&lt;=LedTo,OR(I1444=LedAcct,K1444=LedAcct,AND(LedAcct=acctTax,M1444+N1444&lt;&gt;0))),E1444*10000+B1444,""),"")</f>
        <v/>
      </c>
    </row>
    <row r="1445">
      <c r="B1445" s="101" t="n">
        <v>1439</v>
      </c>
      <c r="C1445" s="58" t="inlineStr">
        <is>
          <t>Transaction</t>
        </is>
      </c>
      <c r="D1445" s="58">
        <f>IF(H1445=1,INDEX(tx_ID,1439)&amp;"","")</f>
        <v/>
      </c>
      <c r="E1445" s="94">
        <f>IF(H1445=1,INDEX(tx_Date,1439),"")</f>
        <v/>
      </c>
      <c r="F1445" s="58">
        <f>IF(H1445=1,INDEX(tx_Desc,1439)&amp;"","")</f>
        <v/>
      </c>
      <c r="G1445" s="58">
        <f>IF(H1445=1,IF(INDEX(tx_Cust,1439)&amp;""&lt;&gt;"",INDEX(tx_Cust,1439)&amp;"",INDEX(tx_Vend,1439)&amp;""),"")</f>
        <v/>
      </c>
      <c r="H1445" s="101">
        <f>IFERROR(N(INDEX(tx_Posted,1439)),0)</f>
        <v/>
      </c>
      <c r="I1445" s="58">
        <f>IF(H1445=1,INDEX(tx_DrAcct,1439)&amp;"","")</f>
        <v/>
      </c>
      <c r="J1445" s="95">
        <f>IF(H1445=1,INDEX(tx_DrAmt,1439),0)</f>
        <v/>
      </c>
      <c r="K1445" s="58">
        <f>IF(H1445=1,INDEX(tx_CrAcct,1439)&amp;"","")</f>
        <v/>
      </c>
      <c r="L1445" s="95">
        <f>IF(H1445=1,INDEX(tx_CrAmt,1439),0)</f>
        <v/>
      </c>
      <c r="M1445" s="95">
        <f>IF(H1445=1,INDEX(tx_TaxDr,1439),0)</f>
        <v/>
      </c>
      <c r="N1445" s="95">
        <f>IF(H1445=1,INDEX(tx_TaxCr,1439),0)</f>
        <v/>
      </c>
      <c r="O1445" s="101">
        <f>IF(H1445=1,IF(E1445&lt;FYStart,0,IF(E1445&gt;FYEnd,13,YEAR(E1445)*12+MONTH(E1445)-FYYM+1)),"")</f>
        <v/>
      </c>
      <c r="P1445" s="101">
        <f>IF(H1445=1,IF(IFERROR(INDEX(coa_CF,MATCH(I1445,coa_Name,0)),"")="Cash",1,0),0)</f>
        <v/>
      </c>
      <c r="Q1445" s="101">
        <f>IF(H1445=1,IF(IFERROR(INDEX(coa_CF,MATCH(K1445,coa_Name,0)),"")="Cash",1,0),0)</f>
        <v/>
      </c>
      <c r="R1445" s="58">
        <f>IF((P1445-Q1445)=0,"",IFERROR(INDEX(coa_CF,MATCH(IF((P1445-Q1445)=1,K1445,I1445),coa_Name,0)),"Operating"))</f>
        <v/>
      </c>
      <c r="S1445" s="95">
        <f>IF((P1445-Q1445)=1,L1445,IF((P1445-Q1445)=-1,-J1445,0))</f>
        <v/>
      </c>
      <c r="T1445" s="95">
        <f>IF((P1445-Q1445)=1,N1445,IF((P1445-Q1445)=-1,-M1445,0))</f>
        <v/>
      </c>
      <c r="U1445" s="101">
        <f>IF(AND(H1445=1,LedAcct&lt;&gt;""),IF(AND(E1445&gt;=LedFrom,E1445&lt;=LedTo,OR(I1445=LedAcct,K1445=LedAcct,AND(LedAcct=acctTax,M1445+N1445&lt;&gt;0))),E1445*10000+B1445,""),"")</f>
        <v/>
      </c>
    </row>
    <row r="1446">
      <c r="B1446" s="101" t="n">
        <v>1440</v>
      </c>
      <c r="C1446" s="58" t="inlineStr">
        <is>
          <t>Transaction</t>
        </is>
      </c>
      <c r="D1446" s="58">
        <f>IF(H1446=1,INDEX(tx_ID,1440)&amp;"","")</f>
        <v/>
      </c>
      <c r="E1446" s="94">
        <f>IF(H1446=1,INDEX(tx_Date,1440),"")</f>
        <v/>
      </c>
      <c r="F1446" s="58">
        <f>IF(H1446=1,INDEX(tx_Desc,1440)&amp;"","")</f>
        <v/>
      </c>
      <c r="G1446" s="58">
        <f>IF(H1446=1,IF(INDEX(tx_Cust,1440)&amp;""&lt;&gt;"",INDEX(tx_Cust,1440)&amp;"",INDEX(tx_Vend,1440)&amp;""),"")</f>
        <v/>
      </c>
      <c r="H1446" s="101">
        <f>IFERROR(N(INDEX(tx_Posted,1440)),0)</f>
        <v/>
      </c>
      <c r="I1446" s="58">
        <f>IF(H1446=1,INDEX(tx_DrAcct,1440)&amp;"","")</f>
        <v/>
      </c>
      <c r="J1446" s="95">
        <f>IF(H1446=1,INDEX(tx_DrAmt,1440),0)</f>
        <v/>
      </c>
      <c r="K1446" s="58">
        <f>IF(H1446=1,INDEX(tx_CrAcct,1440)&amp;"","")</f>
        <v/>
      </c>
      <c r="L1446" s="95">
        <f>IF(H1446=1,INDEX(tx_CrAmt,1440),0)</f>
        <v/>
      </c>
      <c r="M1446" s="95">
        <f>IF(H1446=1,INDEX(tx_TaxDr,1440),0)</f>
        <v/>
      </c>
      <c r="N1446" s="95">
        <f>IF(H1446=1,INDEX(tx_TaxCr,1440),0)</f>
        <v/>
      </c>
      <c r="O1446" s="101">
        <f>IF(H1446=1,IF(E1446&lt;FYStart,0,IF(E1446&gt;FYEnd,13,YEAR(E1446)*12+MONTH(E1446)-FYYM+1)),"")</f>
        <v/>
      </c>
      <c r="P1446" s="101">
        <f>IF(H1446=1,IF(IFERROR(INDEX(coa_CF,MATCH(I1446,coa_Name,0)),"")="Cash",1,0),0)</f>
        <v/>
      </c>
      <c r="Q1446" s="101">
        <f>IF(H1446=1,IF(IFERROR(INDEX(coa_CF,MATCH(K1446,coa_Name,0)),"")="Cash",1,0),0)</f>
        <v/>
      </c>
      <c r="R1446" s="58">
        <f>IF((P1446-Q1446)=0,"",IFERROR(INDEX(coa_CF,MATCH(IF((P1446-Q1446)=1,K1446,I1446),coa_Name,0)),"Operating"))</f>
        <v/>
      </c>
      <c r="S1446" s="95">
        <f>IF((P1446-Q1446)=1,L1446,IF((P1446-Q1446)=-1,-J1446,0))</f>
        <v/>
      </c>
      <c r="T1446" s="95">
        <f>IF((P1446-Q1446)=1,N1446,IF((P1446-Q1446)=-1,-M1446,0))</f>
        <v/>
      </c>
      <c r="U1446" s="101">
        <f>IF(AND(H1446=1,LedAcct&lt;&gt;""),IF(AND(E1446&gt;=LedFrom,E1446&lt;=LedTo,OR(I1446=LedAcct,K1446=LedAcct,AND(LedAcct=acctTax,M1446+N1446&lt;&gt;0))),E1446*10000+B1446,""),"")</f>
        <v/>
      </c>
    </row>
    <row r="1447">
      <c r="B1447" s="101" t="n">
        <v>1441</v>
      </c>
      <c r="C1447" s="58" t="inlineStr">
        <is>
          <t>Transaction</t>
        </is>
      </c>
      <c r="D1447" s="58">
        <f>IF(H1447=1,INDEX(tx_ID,1441)&amp;"","")</f>
        <v/>
      </c>
      <c r="E1447" s="94">
        <f>IF(H1447=1,INDEX(tx_Date,1441),"")</f>
        <v/>
      </c>
      <c r="F1447" s="58">
        <f>IF(H1447=1,INDEX(tx_Desc,1441)&amp;"","")</f>
        <v/>
      </c>
      <c r="G1447" s="58">
        <f>IF(H1447=1,IF(INDEX(tx_Cust,1441)&amp;""&lt;&gt;"",INDEX(tx_Cust,1441)&amp;"",INDEX(tx_Vend,1441)&amp;""),"")</f>
        <v/>
      </c>
      <c r="H1447" s="101">
        <f>IFERROR(N(INDEX(tx_Posted,1441)),0)</f>
        <v/>
      </c>
      <c r="I1447" s="58">
        <f>IF(H1447=1,INDEX(tx_DrAcct,1441)&amp;"","")</f>
        <v/>
      </c>
      <c r="J1447" s="95">
        <f>IF(H1447=1,INDEX(tx_DrAmt,1441),0)</f>
        <v/>
      </c>
      <c r="K1447" s="58">
        <f>IF(H1447=1,INDEX(tx_CrAcct,1441)&amp;"","")</f>
        <v/>
      </c>
      <c r="L1447" s="95">
        <f>IF(H1447=1,INDEX(tx_CrAmt,1441),0)</f>
        <v/>
      </c>
      <c r="M1447" s="95">
        <f>IF(H1447=1,INDEX(tx_TaxDr,1441),0)</f>
        <v/>
      </c>
      <c r="N1447" s="95">
        <f>IF(H1447=1,INDEX(tx_TaxCr,1441),0)</f>
        <v/>
      </c>
      <c r="O1447" s="101">
        <f>IF(H1447=1,IF(E1447&lt;FYStart,0,IF(E1447&gt;FYEnd,13,YEAR(E1447)*12+MONTH(E1447)-FYYM+1)),"")</f>
        <v/>
      </c>
      <c r="P1447" s="101">
        <f>IF(H1447=1,IF(IFERROR(INDEX(coa_CF,MATCH(I1447,coa_Name,0)),"")="Cash",1,0),0)</f>
        <v/>
      </c>
      <c r="Q1447" s="101">
        <f>IF(H1447=1,IF(IFERROR(INDEX(coa_CF,MATCH(K1447,coa_Name,0)),"")="Cash",1,0),0)</f>
        <v/>
      </c>
      <c r="R1447" s="58">
        <f>IF((P1447-Q1447)=0,"",IFERROR(INDEX(coa_CF,MATCH(IF((P1447-Q1447)=1,K1447,I1447),coa_Name,0)),"Operating"))</f>
        <v/>
      </c>
      <c r="S1447" s="95">
        <f>IF((P1447-Q1447)=1,L1447,IF((P1447-Q1447)=-1,-J1447,0))</f>
        <v/>
      </c>
      <c r="T1447" s="95">
        <f>IF((P1447-Q1447)=1,N1447,IF((P1447-Q1447)=-1,-M1447,0))</f>
        <v/>
      </c>
      <c r="U1447" s="101">
        <f>IF(AND(H1447=1,LedAcct&lt;&gt;""),IF(AND(E1447&gt;=LedFrom,E1447&lt;=LedTo,OR(I1447=LedAcct,K1447=LedAcct,AND(LedAcct=acctTax,M1447+N1447&lt;&gt;0))),E1447*10000+B1447,""),"")</f>
        <v/>
      </c>
    </row>
    <row r="1448">
      <c r="B1448" s="101" t="n">
        <v>1442</v>
      </c>
      <c r="C1448" s="58" t="inlineStr">
        <is>
          <t>Transaction</t>
        </is>
      </c>
      <c r="D1448" s="58">
        <f>IF(H1448=1,INDEX(tx_ID,1442)&amp;"","")</f>
        <v/>
      </c>
      <c r="E1448" s="94">
        <f>IF(H1448=1,INDEX(tx_Date,1442),"")</f>
        <v/>
      </c>
      <c r="F1448" s="58">
        <f>IF(H1448=1,INDEX(tx_Desc,1442)&amp;"","")</f>
        <v/>
      </c>
      <c r="G1448" s="58">
        <f>IF(H1448=1,IF(INDEX(tx_Cust,1442)&amp;""&lt;&gt;"",INDEX(tx_Cust,1442)&amp;"",INDEX(tx_Vend,1442)&amp;""),"")</f>
        <v/>
      </c>
      <c r="H1448" s="101">
        <f>IFERROR(N(INDEX(tx_Posted,1442)),0)</f>
        <v/>
      </c>
      <c r="I1448" s="58">
        <f>IF(H1448=1,INDEX(tx_DrAcct,1442)&amp;"","")</f>
        <v/>
      </c>
      <c r="J1448" s="95">
        <f>IF(H1448=1,INDEX(tx_DrAmt,1442),0)</f>
        <v/>
      </c>
      <c r="K1448" s="58">
        <f>IF(H1448=1,INDEX(tx_CrAcct,1442)&amp;"","")</f>
        <v/>
      </c>
      <c r="L1448" s="95">
        <f>IF(H1448=1,INDEX(tx_CrAmt,1442),0)</f>
        <v/>
      </c>
      <c r="M1448" s="95">
        <f>IF(H1448=1,INDEX(tx_TaxDr,1442),0)</f>
        <v/>
      </c>
      <c r="N1448" s="95">
        <f>IF(H1448=1,INDEX(tx_TaxCr,1442),0)</f>
        <v/>
      </c>
      <c r="O1448" s="101">
        <f>IF(H1448=1,IF(E1448&lt;FYStart,0,IF(E1448&gt;FYEnd,13,YEAR(E1448)*12+MONTH(E1448)-FYYM+1)),"")</f>
        <v/>
      </c>
      <c r="P1448" s="101">
        <f>IF(H1448=1,IF(IFERROR(INDEX(coa_CF,MATCH(I1448,coa_Name,0)),"")="Cash",1,0),0)</f>
        <v/>
      </c>
      <c r="Q1448" s="101">
        <f>IF(H1448=1,IF(IFERROR(INDEX(coa_CF,MATCH(K1448,coa_Name,0)),"")="Cash",1,0),0)</f>
        <v/>
      </c>
      <c r="R1448" s="58">
        <f>IF((P1448-Q1448)=0,"",IFERROR(INDEX(coa_CF,MATCH(IF((P1448-Q1448)=1,K1448,I1448),coa_Name,0)),"Operating"))</f>
        <v/>
      </c>
      <c r="S1448" s="95">
        <f>IF((P1448-Q1448)=1,L1448,IF((P1448-Q1448)=-1,-J1448,0))</f>
        <v/>
      </c>
      <c r="T1448" s="95">
        <f>IF((P1448-Q1448)=1,N1448,IF((P1448-Q1448)=-1,-M1448,0))</f>
        <v/>
      </c>
      <c r="U1448" s="101">
        <f>IF(AND(H1448=1,LedAcct&lt;&gt;""),IF(AND(E1448&gt;=LedFrom,E1448&lt;=LedTo,OR(I1448=LedAcct,K1448=LedAcct,AND(LedAcct=acctTax,M1448+N1448&lt;&gt;0))),E1448*10000+B1448,""),"")</f>
        <v/>
      </c>
    </row>
    <row r="1449">
      <c r="B1449" s="101" t="n">
        <v>1443</v>
      </c>
      <c r="C1449" s="58" t="inlineStr">
        <is>
          <t>Transaction</t>
        </is>
      </c>
      <c r="D1449" s="58">
        <f>IF(H1449=1,INDEX(tx_ID,1443)&amp;"","")</f>
        <v/>
      </c>
      <c r="E1449" s="94">
        <f>IF(H1449=1,INDEX(tx_Date,1443),"")</f>
        <v/>
      </c>
      <c r="F1449" s="58">
        <f>IF(H1449=1,INDEX(tx_Desc,1443)&amp;"","")</f>
        <v/>
      </c>
      <c r="G1449" s="58">
        <f>IF(H1449=1,IF(INDEX(tx_Cust,1443)&amp;""&lt;&gt;"",INDEX(tx_Cust,1443)&amp;"",INDEX(tx_Vend,1443)&amp;""),"")</f>
        <v/>
      </c>
      <c r="H1449" s="101">
        <f>IFERROR(N(INDEX(tx_Posted,1443)),0)</f>
        <v/>
      </c>
      <c r="I1449" s="58">
        <f>IF(H1449=1,INDEX(tx_DrAcct,1443)&amp;"","")</f>
        <v/>
      </c>
      <c r="J1449" s="95">
        <f>IF(H1449=1,INDEX(tx_DrAmt,1443),0)</f>
        <v/>
      </c>
      <c r="K1449" s="58">
        <f>IF(H1449=1,INDEX(tx_CrAcct,1443)&amp;"","")</f>
        <v/>
      </c>
      <c r="L1449" s="95">
        <f>IF(H1449=1,INDEX(tx_CrAmt,1443),0)</f>
        <v/>
      </c>
      <c r="M1449" s="95">
        <f>IF(H1449=1,INDEX(tx_TaxDr,1443),0)</f>
        <v/>
      </c>
      <c r="N1449" s="95">
        <f>IF(H1449=1,INDEX(tx_TaxCr,1443),0)</f>
        <v/>
      </c>
      <c r="O1449" s="101">
        <f>IF(H1449=1,IF(E1449&lt;FYStart,0,IF(E1449&gt;FYEnd,13,YEAR(E1449)*12+MONTH(E1449)-FYYM+1)),"")</f>
        <v/>
      </c>
      <c r="P1449" s="101">
        <f>IF(H1449=1,IF(IFERROR(INDEX(coa_CF,MATCH(I1449,coa_Name,0)),"")="Cash",1,0),0)</f>
        <v/>
      </c>
      <c r="Q1449" s="101">
        <f>IF(H1449=1,IF(IFERROR(INDEX(coa_CF,MATCH(K1449,coa_Name,0)),"")="Cash",1,0),0)</f>
        <v/>
      </c>
      <c r="R1449" s="58">
        <f>IF((P1449-Q1449)=0,"",IFERROR(INDEX(coa_CF,MATCH(IF((P1449-Q1449)=1,K1449,I1449),coa_Name,0)),"Operating"))</f>
        <v/>
      </c>
      <c r="S1449" s="95">
        <f>IF((P1449-Q1449)=1,L1449,IF((P1449-Q1449)=-1,-J1449,0))</f>
        <v/>
      </c>
      <c r="T1449" s="95">
        <f>IF((P1449-Q1449)=1,N1449,IF((P1449-Q1449)=-1,-M1449,0))</f>
        <v/>
      </c>
      <c r="U1449" s="101">
        <f>IF(AND(H1449=1,LedAcct&lt;&gt;""),IF(AND(E1449&gt;=LedFrom,E1449&lt;=LedTo,OR(I1449=LedAcct,K1449=LedAcct,AND(LedAcct=acctTax,M1449+N1449&lt;&gt;0))),E1449*10000+B1449,""),"")</f>
        <v/>
      </c>
    </row>
    <row r="1450">
      <c r="B1450" s="101" t="n">
        <v>1444</v>
      </c>
      <c r="C1450" s="58" t="inlineStr">
        <is>
          <t>Transaction</t>
        </is>
      </c>
      <c r="D1450" s="58">
        <f>IF(H1450=1,INDEX(tx_ID,1444)&amp;"","")</f>
        <v/>
      </c>
      <c r="E1450" s="94">
        <f>IF(H1450=1,INDEX(tx_Date,1444),"")</f>
        <v/>
      </c>
      <c r="F1450" s="58">
        <f>IF(H1450=1,INDEX(tx_Desc,1444)&amp;"","")</f>
        <v/>
      </c>
      <c r="G1450" s="58">
        <f>IF(H1450=1,IF(INDEX(tx_Cust,1444)&amp;""&lt;&gt;"",INDEX(tx_Cust,1444)&amp;"",INDEX(tx_Vend,1444)&amp;""),"")</f>
        <v/>
      </c>
      <c r="H1450" s="101">
        <f>IFERROR(N(INDEX(tx_Posted,1444)),0)</f>
        <v/>
      </c>
      <c r="I1450" s="58">
        <f>IF(H1450=1,INDEX(tx_DrAcct,1444)&amp;"","")</f>
        <v/>
      </c>
      <c r="J1450" s="95">
        <f>IF(H1450=1,INDEX(tx_DrAmt,1444),0)</f>
        <v/>
      </c>
      <c r="K1450" s="58">
        <f>IF(H1450=1,INDEX(tx_CrAcct,1444)&amp;"","")</f>
        <v/>
      </c>
      <c r="L1450" s="95">
        <f>IF(H1450=1,INDEX(tx_CrAmt,1444),0)</f>
        <v/>
      </c>
      <c r="M1450" s="95">
        <f>IF(H1450=1,INDEX(tx_TaxDr,1444),0)</f>
        <v/>
      </c>
      <c r="N1450" s="95">
        <f>IF(H1450=1,INDEX(tx_TaxCr,1444),0)</f>
        <v/>
      </c>
      <c r="O1450" s="101">
        <f>IF(H1450=1,IF(E1450&lt;FYStart,0,IF(E1450&gt;FYEnd,13,YEAR(E1450)*12+MONTH(E1450)-FYYM+1)),"")</f>
        <v/>
      </c>
      <c r="P1450" s="101">
        <f>IF(H1450=1,IF(IFERROR(INDEX(coa_CF,MATCH(I1450,coa_Name,0)),"")="Cash",1,0),0)</f>
        <v/>
      </c>
      <c r="Q1450" s="101">
        <f>IF(H1450=1,IF(IFERROR(INDEX(coa_CF,MATCH(K1450,coa_Name,0)),"")="Cash",1,0),0)</f>
        <v/>
      </c>
      <c r="R1450" s="58">
        <f>IF((P1450-Q1450)=0,"",IFERROR(INDEX(coa_CF,MATCH(IF((P1450-Q1450)=1,K1450,I1450),coa_Name,0)),"Operating"))</f>
        <v/>
      </c>
      <c r="S1450" s="95">
        <f>IF((P1450-Q1450)=1,L1450,IF((P1450-Q1450)=-1,-J1450,0))</f>
        <v/>
      </c>
      <c r="T1450" s="95">
        <f>IF((P1450-Q1450)=1,N1450,IF((P1450-Q1450)=-1,-M1450,0))</f>
        <v/>
      </c>
      <c r="U1450" s="101">
        <f>IF(AND(H1450=1,LedAcct&lt;&gt;""),IF(AND(E1450&gt;=LedFrom,E1450&lt;=LedTo,OR(I1450=LedAcct,K1450=LedAcct,AND(LedAcct=acctTax,M1450+N1450&lt;&gt;0))),E1450*10000+B1450,""),"")</f>
        <v/>
      </c>
    </row>
    <row r="1451">
      <c r="B1451" s="101" t="n">
        <v>1445</v>
      </c>
      <c r="C1451" s="58" t="inlineStr">
        <is>
          <t>Transaction</t>
        </is>
      </c>
      <c r="D1451" s="58">
        <f>IF(H1451=1,INDEX(tx_ID,1445)&amp;"","")</f>
        <v/>
      </c>
      <c r="E1451" s="94">
        <f>IF(H1451=1,INDEX(tx_Date,1445),"")</f>
        <v/>
      </c>
      <c r="F1451" s="58">
        <f>IF(H1451=1,INDEX(tx_Desc,1445)&amp;"","")</f>
        <v/>
      </c>
      <c r="G1451" s="58">
        <f>IF(H1451=1,IF(INDEX(tx_Cust,1445)&amp;""&lt;&gt;"",INDEX(tx_Cust,1445)&amp;"",INDEX(tx_Vend,1445)&amp;""),"")</f>
        <v/>
      </c>
      <c r="H1451" s="101">
        <f>IFERROR(N(INDEX(tx_Posted,1445)),0)</f>
        <v/>
      </c>
      <c r="I1451" s="58">
        <f>IF(H1451=1,INDEX(tx_DrAcct,1445)&amp;"","")</f>
        <v/>
      </c>
      <c r="J1451" s="95">
        <f>IF(H1451=1,INDEX(tx_DrAmt,1445),0)</f>
        <v/>
      </c>
      <c r="K1451" s="58">
        <f>IF(H1451=1,INDEX(tx_CrAcct,1445)&amp;"","")</f>
        <v/>
      </c>
      <c r="L1451" s="95">
        <f>IF(H1451=1,INDEX(tx_CrAmt,1445),0)</f>
        <v/>
      </c>
      <c r="M1451" s="95">
        <f>IF(H1451=1,INDEX(tx_TaxDr,1445),0)</f>
        <v/>
      </c>
      <c r="N1451" s="95">
        <f>IF(H1451=1,INDEX(tx_TaxCr,1445),0)</f>
        <v/>
      </c>
      <c r="O1451" s="101">
        <f>IF(H1451=1,IF(E1451&lt;FYStart,0,IF(E1451&gt;FYEnd,13,YEAR(E1451)*12+MONTH(E1451)-FYYM+1)),"")</f>
        <v/>
      </c>
      <c r="P1451" s="101">
        <f>IF(H1451=1,IF(IFERROR(INDEX(coa_CF,MATCH(I1451,coa_Name,0)),"")="Cash",1,0),0)</f>
        <v/>
      </c>
      <c r="Q1451" s="101">
        <f>IF(H1451=1,IF(IFERROR(INDEX(coa_CF,MATCH(K1451,coa_Name,0)),"")="Cash",1,0),0)</f>
        <v/>
      </c>
      <c r="R1451" s="58">
        <f>IF((P1451-Q1451)=0,"",IFERROR(INDEX(coa_CF,MATCH(IF((P1451-Q1451)=1,K1451,I1451),coa_Name,0)),"Operating"))</f>
        <v/>
      </c>
      <c r="S1451" s="95">
        <f>IF((P1451-Q1451)=1,L1451,IF((P1451-Q1451)=-1,-J1451,0))</f>
        <v/>
      </c>
      <c r="T1451" s="95">
        <f>IF((P1451-Q1451)=1,N1451,IF((P1451-Q1451)=-1,-M1451,0))</f>
        <v/>
      </c>
      <c r="U1451" s="101">
        <f>IF(AND(H1451=1,LedAcct&lt;&gt;""),IF(AND(E1451&gt;=LedFrom,E1451&lt;=LedTo,OR(I1451=LedAcct,K1451=LedAcct,AND(LedAcct=acctTax,M1451+N1451&lt;&gt;0))),E1451*10000+B1451,""),"")</f>
        <v/>
      </c>
    </row>
    <row r="1452">
      <c r="B1452" s="101" t="n">
        <v>1446</v>
      </c>
      <c r="C1452" s="58" t="inlineStr">
        <is>
          <t>Transaction</t>
        </is>
      </c>
      <c r="D1452" s="58">
        <f>IF(H1452=1,INDEX(tx_ID,1446)&amp;"","")</f>
        <v/>
      </c>
      <c r="E1452" s="94">
        <f>IF(H1452=1,INDEX(tx_Date,1446),"")</f>
        <v/>
      </c>
      <c r="F1452" s="58">
        <f>IF(H1452=1,INDEX(tx_Desc,1446)&amp;"","")</f>
        <v/>
      </c>
      <c r="G1452" s="58">
        <f>IF(H1452=1,IF(INDEX(tx_Cust,1446)&amp;""&lt;&gt;"",INDEX(tx_Cust,1446)&amp;"",INDEX(tx_Vend,1446)&amp;""),"")</f>
        <v/>
      </c>
      <c r="H1452" s="101">
        <f>IFERROR(N(INDEX(tx_Posted,1446)),0)</f>
        <v/>
      </c>
      <c r="I1452" s="58">
        <f>IF(H1452=1,INDEX(tx_DrAcct,1446)&amp;"","")</f>
        <v/>
      </c>
      <c r="J1452" s="95">
        <f>IF(H1452=1,INDEX(tx_DrAmt,1446),0)</f>
        <v/>
      </c>
      <c r="K1452" s="58">
        <f>IF(H1452=1,INDEX(tx_CrAcct,1446)&amp;"","")</f>
        <v/>
      </c>
      <c r="L1452" s="95">
        <f>IF(H1452=1,INDEX(tx_CrAmt,1446),0)</f>
        <v/>
      </c>
      <c r="M1452" s="95">
        <f>IF(H1452=1,INDEX(tx_TaxDr,1446),0)</f>
        <v/>
      </c>
      <c r="N1452" s="95">
        <f>IF(H1452=1,INDEX(tx_TaxCr,1446),0)</f>
        <v/>
      </c>
      <c r="O1452" s="101">
        <f>IF(H1452=1,IF(E1452&lt;FYStart,0,IF(E1452&gt;FYEnd,13,YEAR(E1452)*12+MONTH(E1452)-FYYM+1)),"")</f>
        <v/>
      </c>
      <c r="P1452" s="101">
        <f>IF(H1452=1,IF(IFERROR(INDEX(coa_CF,MATCH(I1452,coa_Name,0)),"")="Cash",1,0),0)</f>
        <v/>
      </c>
      <c r="Q1452" s="101">
        <f>IF(H1452=1,IF(IFERROR(INDEX(coa_CF,MATCH(K1452,coa_Name,0)),"")="Cash",1,0),0)</f>
        <v/>
      </c>
      <c r="R1452" s="58">
        <f>IF((P1452-Q1452)=0,"",IFERROR(INDEX(coa_CF,MATCH(IF((P1452-Q1452)=1,K1452,I1452),coa_Name,0)),"Operating"))</f>
        <v/>
      </c>
      <c r="S1452" s="95">
        <f>IF((P1452-Q1452)=1,L1452,IF((P1452-Q1452)=-1,-J1452,0))</f>
        <v/>
      </c>
      <c r="T1452" s="95">
        <f>IF((P1452-Q1452)=1,N1452,IF((P1452-Q1452)=-1,-M1452,0))</f>
        <v/>
      </c>
      <c r="U1452" s="101">
        <f>IF(AND(H1452=1,LedAcct&lt;&gt;""),IF(AND(E1452&gt;=LedFrom,E1452&lt;=LedTo,OR(I1452=LedAcct,K1452=LedAcct,AND(LedAcct=acctTax,M1452+N1452&lt;&gt;0))),E1452*10000+B1452,""),"")</f>
        <v/>
      </c>
    </row>
    <row r="1453">
      <c r="B1453" s="101" t="n">
        <v>1447</v>
      </c>
      <c r="C1453" s="58" t="inlineStr">
        <is>
          <t>Transaction</t>
        </is>
      </c>
      <c r="D1453" s="58">
        <f>IF(H1453=1,INDEX(tx_ID,1447)&amp;"","")</f>
        <v/>
      </c>
      <c r="E1453" s="94">
        <f>IF(H1453=1,INDEX(tx_Date,1447),"")</f>
        <v/>
      </c>
      <c r="F1453" s="58">
        <f>IF(H1453=1,INDEX(tx_Desc,1447)&amp;"","")</f>
        <v/>
      </c>
      <c r="G1453" s="58">
        <f>IF(H1453=1,IF(INDEX(tx_Cust,1447)&amp;""&lt;&gt;"",INDEX(tx_Cust,1447)&amp;"",INDEX(tx_Vend,1447)&amp;""),"")</f>
        <v/>
      </c>
      <c r="H1453" s="101">
        <f>IFERROR(N(INDEX(tx_Posted,1447)),0)</f>
        <v/>
      </c>
      <c r="I1453" s="58">
        <f>IF(H1453=1,INDEX(tx_DrAcct,1447)&amp;"","")</f>
        <v/>
      </c>
      <c r="J1453" s="95">
        <f>IF(H1453=1,INDEX(tx_DrAmt,1447),0)</f>
        <v/>
      </c>
      <c r="K1453" s="58">
        <f>IF(H1453=1,INDEX(tx_CrAcct,1447)&amp;"","")</f>
        <v/>
      </c>
      <c r="L1453" s="95">
        <f>IF(H1453=1,INDEX(tx_CrAmt,1447),0)</f>
        <v/>
      </c>
      <c r="M1453" s="95">
        <f>IF(H1453=1,INDEX(tx_TaxDr,1447),0)</f>
        <v/>
      </c>
      <c r="N1453" s="95">
        <f>IF(H1453=1,INDEX(tx_TaxCr,1447),0)</f>
        <v/>
      </c>
      <c r="O1453" s="101">
        <f>IF(H1453=1,IF(E1453&lt;FYStart,0,IF(E1453&gt;FYEnd,13,YEAR(E1453)*12+MONTH(E1453)-FYYM+1)),"")</f>
        <v/>
      </c>
      <c r="P1453" s="101">
        <f>IF(H1453=1,IF(IFERROR(INDEX(coa_CF,MATCH(I1453,coa_Name,0)),"")="Cash",1,0),0)</f>
        <v/>
      </c>
      <c r="Q1453" s="101">
        <f>IF(H1453=1,IF(IFERROR(INDEX(coa_CF,MATCH(K1453,coa_Name,0)),"")="Cash",1,0),0)</f>
        <v/>
      </c>
      <c r="R1453" s="58">
        <f>IF((P1453-Q1453)=0,"",IFERROR(INDEX(coa_CF,MATCH(IF((P1453-Q1453)=1,K1453,I1453),coa_Name,0)),"Operating"))</f>
        <v/>
      </c>
      <c r="S1453" s="95">
        <f>IF((P1453-Q1453)=1,L1453,IF((P1453-Q1453)=-1,-J1453,0))</f>
        <v/>
      </c>
      <c r="T1453" s="95">
        <f>IF((P1453-Q1453)=1,N1453,IF((P1453-Q1453)=-1,-M1453,0))</f>
        <v/>
      </c>
      <c r="U1453" s="101">
        <f>IF(AND(H1453=1,LedAcct&lt;&gt;""),IF(AND(E1453&gt;=LedFrom,E1453&lt;=LedTo,OR(I1453=LedAcct,K1453=LedAcct,AND(LedAcct=acctTax,M1453+N1453&lt;&gt;0))),E1453*10000+B1453,""),"")</f>
        <v/>
      </c>
    </row>
    <row r="1454">
      <c r="B1454" s="101" t="n">
        <v>1448</v>
      </c>
      <c r="C1454" s="58" t="inlineStr">
        <is>
          <t>Transaction</t>
        </is>
      </c>
      <c r="D1454" s="58">
        <f>IF(H1454=1,INDEX(tx_ID,1448)&amp;"","")</f>
        <v/>
      </c>
      <c r="E1454" s="94">
        <f>IF(H1454=1,INDEX(tx_Date,1448),"")</f>
        <v/>
      </c>
      <c r="F1454" s="58">
        <f>IF(H1454=1,INDEX(tx_Desc,1448)&amp;"","")</f>
        <v/>
      </c>
      <c r="G1454" s="58">
        <f>IF(H1454=1,IF(INDEX(tx_Cust,1448)&amp;""&lt;&gt;"",INDEX(tx_Cust,1448)&amp;"",INDEX(tx_Vend,1448)&amp;""),"")</f>
        <v/>
      </c>
      <c r="H1454" s="101">
        <f>IFERROR(N(INDEX(tx_Posted,1448)),0)</f>
        <v/>
      </c>
      <c r="I1454" s="58">
        <f>IF(H1454=1,INDEX(tx_DrAcct,1448)&amp;"","")</f>
        <v/>
      </c>
      <c r="J1454" s="95">
        <f>IF(H1454=1,INDEX(tx_DrAmt,1448),0)</f>
        <v/>
      </c>
      <c r="K1454" s="58">
        <f>IF(H1454=1,INDEX(tx_CrAcct,1448)&amp;"","")</f>
        <v/>
      </c>
      <c r="L1454" s="95">
        <f>IF(H1454=1,INDEX(tx_CrAmt,1448),0)</f>
        <v/>
      </c>
      <c r="M1454" s="95">
        <f>IF(H1454=1,INDEX(tx_TaxDr,1448),0)</f>
        <v/>
      </c>
      <c r="N1454" s="95">
        <f>IF(H1454=1,INDEX(tx_TaxCr,1448),0)</f>
        <v/>
      </c>
      <c r="O1454" s="101">
        <f>IF(H1454=1,IF(E1454&lt;FYStart,0,IF(E1454&gt;FYEnd,13,YEAR(E1454)*12+MONTH(E1454)-FYYM+1)),"")</f>
        <v/>
      </c>
      <c r="P1454" s="101">
        <f>IF(H1454=1,IF(IFERROR(INDEX(coa_CF,MATCH(I1454,coa_Name,0)),"")="Cash",1,0),0)</f>
        <v/>
      </c>
      <c r="Q1454" s="101">
        <f>IF(H1454=1,IF(IFERROR(INDEX(coa_CF,MATCH(K1454,coa_Name,0)),"")="Cash",1,0),0)</f>
        <v/>
      </c>
      <c r="R1454" s="58">
        <f>IF((P1454-Q1454)=0,"",IFERROR(INDEX(coa_CF,MATCH(IF((P1454-Q1454)=1,K1454,I1454),coa_Name,0)),"Operating"))</f>
        <v/>
      </c>
      <c r="S1454" s="95">
        <f>IF((P1454-Q1454)=1,L1454,IF((P1454-Q1454)=-1,-J1454,0))</f>
        <v/>
      </c>
      <c r="T1454" s="95">
        <f>IF((P1454-Q1454)=1,N1454,IF((P1454-Q1454)=-1,-M1454,0))</f>
        <v/>
      </c>
      <c r="U1454" s="101">
        <f>IF(AND(H1454=1,LedAcct&lt;&gt;""),IF(AND(E1454&gt;=LedFrom,E1454&lt;=LedTo,OR(I1454=LedAcct,K1454=LedAcct,AND(LedAcct=acctTax,M1454+N1454&lt;&gt;0))),E1454*10000+B1454,""),"")</f>
        <v/>
      </c>
    </row>
    <row r="1455">
      <c r="B1455" s="101" t="n">
        <v>1449</v>
      </c>
      <c r="C1455" s="58" t="inlineStr">
        <is>
          <t>Transaction</t>
        </is>
      </c>
      <c r="D1455" s="58">
        <f>IF(H1455=1,INDEX(tx_ID,1449)&amp;"","")</f>
        <v/>
      </c>
      <c r="E1455" s="94">
        <f>IF(H1455=1,INDEX(tx_Date,1449),"")</f>
        <v/>
      </c>
      <c r="F1455" s="58">
        <f>IF(H1455=1,INDEX(tx_Desc,1449)&amp;"","")</f>
        <v/>
      </c>
      <c r="G1455" s="58">
        <f>IF(H1455=1,IF(INDEX(tx_Cust,1449)&amp;""&lt;&gt;"",INDEX(tx_Cust,1449)&amp;"",INDEX(tx_Vend,1449)&amp;""),"")</f>
        <v/>
      </c>
      <c r="H1455" s="101">
        <f>IFERROR(N(INDEX(tx_Posted,1449)),0)</f>
        <v/>
      </c>
      <c r="I1455" s="58">
        <f>IF(H1455=1,INDEX(tx_DrAcct,1449)&amp;"","")</f>
        <v/>
      </c>
      <c r="J1455" s="95">
        <f>IF(H1455=1,INDEX(tx_DrAmt,1449),0)</f>
        <v/>
      </c>
      <c r="K1455" s="58">
        <f>IF(H1455=1,INDEX(tx_CrAcct,1449)&amp;"","")</f>
        <v/>
      </c>
      <c r="L1455" s="95">
        <f>IF(H1455=1,INDEX(tx_CrAmt,1449),0)</f>
        <v/>
      </c>
      <c r="M1455" s="95">
        <f>IF(H1455=1,INDEX(tx_TaxDr,1449),0)</f>
        <v/>
      </c>
      <c r="N1455" s="95">
        <f>IF(H1455=1,INDEX(tx_TaxCr,1449),0)</f>
        <v/>
      </c>
      <c r="O1455" s="101">
        <f>IF(H1455=1,IF(E1455&lt;FYStart,0,IF(E1455&gt;FYEnd,13,YEAR(E1455)*12+MONTH(E1455)-FYYM+1)),"")</f>
        <v/>
      </c>
      <c r="P1455" s="101">
        <f>IF(H1455=1,IF(IFERROR(INDEX(coa_CF,MATCH(I1455,coa_Name,0)),"")="Cash",1,0),0)</f>
        <v/>
      </c>
      <c r="Q1455" s="101">
        <f>IF(H1455=1,IF(IFERROR(INDEX(coa_CF,MATCH(K1455,coa_Name,0)),"")="Cash",1,0),0)</f>
        <v/>
      </c>
      <c r="R1455" s="58">
        <f>IF((P1455-Q1455)=0,"",IFERROR(INDEX(coa_CF,MATCH(IF((P1455-Q1455)=1,K1455,I1455),coa_Name,0)),"Operating"))</f>
        <v/>
      </c>
      <c r="S1455" s="95">
        <f>IF((P1455-Q1455)=1,L1455,IF((P1455-Q1455)=-1,-J1455,0))</f>
        <v/>
      </c>
      <c r="T1455" s="95">
        <f>IF((P1455-Q1455)=1,N1455,IF((P1455-Q1455)=-1,-M1455,0))</f>
        <v/>
      </c>
      <c r="U1455" s="101">
        <f>IF(AND(H1455=1,LedAcct&lt;&gt;""),IF(AND(E1455&gt;=LedFrom,E1455&lt;=LedTo,OR(I1455=LedAcct,K1455=LedAcct,AND(LedAcct=acctTax,M1455+N1455&lt;&gt;0))),E1455*10000+B1455,""),"")</f>
        <v/>
      </c>
    </row>
    <row r="1456">
      <c r="B1456" s="101" t="n">
        <v>1450</v>
      </c>
      <c r="C1456" s="58" t="inlineStr">
        <is>
          <t>Transaction</t>
        </is>
      </c>
      <c r="D1456" s="58">
        <f>IF(H1456=1,INDEX(tx_ID,1450)&amp;"","")</f>
        <v/>
      </c>
      <c r="E1456" s="94">
        <f>IF(H1456=1,INDEX(tx_Date,1450),"")</f>
        <v/>
      </c>
      <c r="F1456" s="58">
        <f>IF(H1456=1,INDEX(tx_Desc,1450)&amp;"","")</f>
        <v/>
      </c>
      <c r="G1456" s="58">
        <f>IF(H1456=1,IF(INDEX(tx_Cust,1450)&amp;""&lt;&gt;"",INDEX(tx_Cust,1450)&amp;"",INDEX(tx_Vend,1450)&amp;""),"")</f>
        <v/>
      </c>
      <c r="H1456" s="101">
        <f>IFERROR(N(INDEX(tx_Posted,1450)),0)</f>
        <v/>
      </c>
      <c r="I1456" s="58">
        <f>IF(H1456=1,INDEX(tx_DrAcct,1450)&amp;"","")</f>
        <v/>
      </c>
      <c r="J1456" s="95">
        <f>IF(H1456=1,INDEX(tx_DrAmt,1450),0)</f>
        <v/>
      </c>
      <c r="K1456" s="58">
        <f>IF(H1456=1,INDEX(tx_CrAcct,1450)&amp;"","")</f>
        <v/>
      </c>
      <c r="L1456" s="95">
        <f>IF(H1456=1,INDEX(tx_CrAmt,1450),0)</f>
        <v/>
      </c>
      <c r="M1456" s="95">
        <f>IF(H1456=1,INDEX(tx_TaxDr,1450),0)</f>
        <v/>
      </c>
      <c r="N1456" s="95">
        <f>IF(H1456=1,INDEX(tx_TaxCr,1450),0)</f>
        <v/>
      </c>
      <c r="O1456" s="101">
        <f>IF(H1456=1,IF(E1456&lt;FYStart,0,IF(E1456&gt;FYEnd,13,YEAR(E1456)*12+MONTH(E1456)-FYYM+1)),"")</f>
        <v/>
      </c>
      <c r="P1456" s="101">
        <f>IF(H1456=1,IF(IFERROR(INDEX(coa_CF,MATCH(I1456,coa_Name,0)),"")="Cash",1,0),0)</f>
        <v/>
      </c>
      <c r="Q1456" s="101">
        <f>IF(H1456=1,IF(IFERROR(INDEX(coa_CF,MATCH(K1456,coa_Name,0)),"")="Cash",1,0),0)</f>
        <v/>
      </c>
      <c r="R1456" s="58">
        <f>IF((P1456-Q1456)=0,"",IFERROR(INDEX(coa_CF,MATCH(IF((P1456-Q1456)=1,K1456,I1456),coa_Name,0)),"Operating"))</f>
        <v/>
      </c>
      <c r="S1456" s="95">
        <f>IF((P1456-Q1456)=1,L1456,IF((P1456-Q1456)=-1,-J1456,0))</f>
        <v/>
      </c>
      <c r="T1456" s="95">
        <f>IF((P1456-Q1456)=1,N1456,IF((P1456-Q1456)=-1,-M1456,0))</f>
        <v/>
      </c>
      <c r="U1456" s="101">
        <f>IF(AND(H1456=1,LedAcct&lt;&gt;""),IF(AND(E1456&gt;=LedFrom,E1456&lt;=LedTo,OR(I1456=LedAcct,K1456=LedAcct,AND(LedAcct=acctTax,M1456+N1456&lt;&gt;0))),E1456*10000+B1456,""),"")</f>
        <v/>
      </c>
    </row>
    <row r="1457">
      <c r="B1457" s="101" t="n">
        <v>1451</v>
      </c>
      <c r="C1457" s="58" t="inlineStr">
        <is>
          <t>Transaction</t>
        </is>
      </c>
      <c r="D1457" s="58">
        <f>IF(H1457=1,INDEX(tx_ID,1451)&amp;"","")</f>
        <v/>
      </c>
      <c r="E1457" s="94">
        <f>IF(H1457=1,INDEX(tx_Date,1451),"")</f>
        <v/>
      </c>
      <c r="F1457" s="58">
        <f>IF(H1457=1,INDEX(tx_Desc,1451)&amp;"","")</f>
        <v/>
      </c>
      <c r="G1457" s="58">
        <f>IF(H1457=1,IF(INDEX(tx_Cust,1451)&amp;""&lt;&gt;"",INDEX(tx_Cust,1451)&amp;"",INDEX(tx_Vend,1451)&amp;""),"")</f>
        <v/>
      </c>
      <c r="H1457" s="101">
        <f>IFERROR(N(INDEX(tx_Posted,1451)),0)</f>
        <v/>
      </c>
      <c r="I1457" s="58">
        <f>IF(H1457=1,INDEX(tx_DrAcct,1451)&amp;"","")</f>
        <v/>
      </c>
      <c r="J1457" s="95">
        <f>IF(H1457=1,INDEX(tx_DrAmt,1451),0)</f>
        <v/>
      </c>
      <c r="K1457" s="58">
        <f>IF(H1457=1,INDEX(tx_CrAcct,1451)&amp;"","")</f>
        <v/>
      </c>
      <c r="L1457" s="95">
        <f>IF(H1457=1,INDEX(tx_CrAmt,1451),0)</f>
        <v/>
      </c>
      <c r="M1457" s="95">
        <f>IF(H1457=1,INDEX(tx_TaxDr,1451),0)</f>
        <v/>
      </c>
      <c r="N1457" s="95">
        <f>IF(H1457=1,INDEX(tx_TaxCr,1451),0)</f>
        <v/>
      </c>
      <c r="O1457" s="101">
        <f>IF(H1457=1,IF(E1457&lt;FYStart,0,IF(E1457&gt;FYEnd,13,YEAR(E1457)*12+MONTH(E1457)-FYYM+1)),"")</f>
        <v/>
      </c>
      <c r="P1457" s="101">
        <f>IF(H1457=1,IF(IFERROR(INDEX(coa_CF,MATCH(I1457,coa_Name,0)),"")="Cash",1,0),0)</f>
        <v/>
      </c>
      <c r="Q1457" s="101">
        <f>IF(H1457=1,IF(IFERROR(INDEX(coa_CF,MATCH(K1457,coa_Name,0)),"")="Cash",1,0),0)</f>
        <v/>
      </c>
      <c r="R1457" s="58">
        <f>IF((P1457-Q1457)=0,"",IFERROR(INDEX(coa_CF,MATCH(IF((P1457-Q1457)=1,K1457,I1457),coa_Name,0)),"Operating"))</f>
        <v/>
      </c>
      <c r="S1457" s="95">
        <f>IF((P1457-Q1457)=1,L1457,IF((P1457-Q1457)=-1,-J1457,0))</f>
        <v/>
      </c>
      <c r="T1457" s="95">
        <f>IF((P1457-Q1457)=1,N1457,IF((P1457-Q1457)=-1,-M1457,0))</f>
        <v/>
      </c>
      <c r="U1457" s="101">
        <f>IF(AND(H1457=1,LedAcct&lt;&gt;""),IF(AND(E1457&gt;=LedFrom,E1457&lt;=LedTo,OR(I1457=LedAcct,K1457=LedAcct,AND(LedAcct=acctTax,M1457+N1457&lt;&gt;0))),E1457*10000+B1457,""),"")</f>
        <v/>
      </c>
    </row>
    <row r="1458">
      <c r="B1458" s="101" t="n">
        <v>1452</v>
      </c>
      <c r="C1458" s="58" t="inlineStr">
        <is>
          <t>Transaction</t>
        </is>
      </c>
      <c r="D1458" s="58">
        <f>IF(H1458=1,INDEX(tx_ID,1452)&amp;"","")</f>
        <v/>
      </c>
      <c r="E1458" s="94">
        <f>IF(H1458=1,INDEX(tx_Date,1452),"")</f>
        <v/>
      </c>
      <c r="F1458" s="58">
        <f>IF(H1458=1,INDEX(tx_Desc,1452)&amp;"","")</f>
        <v/>
      </c>
      <c r="G1458" s="58">
        <f>IF(H1458=1,IF(INDEX(tx_Cust,1452)&amp;""&lt;&gt;"",INDEX(tx_Cust,1452)&amp;"",INDEX(tx_Vend,1452)&amp;""),"")</f>
        <v/>
      </c>
      <c r="H1458" s="101">
        <f>IFERROR(N(INDEX(tx_Posted,1452)),0)</f>
        <v/>
      </c>
      <c r="I1458" s="58">
        <f>IF(H1458=1,INDEX(tx_DrAcct,1452)&amp;"","")</f>
        <v/>
      </c>
      <c r="J1458" s="95">
        <f>IF(H1458=1,INDEX(tx_DrAmt,1452),0)</f>
        <v/>
      </c>
      <c r="K1458" s="58">
        <f>IF(H1458=1,INDEX(tx_CrAcct,1452)&amp;"","")</f>
        <v/>
      </c>
      <c r="L1458" s="95">
        <f>IF(H1458=1,INDEX(tx_CrAmt,1452),0)</f>
        <v/>
      </c>
      <c r="M1458" s="95">
        <f>IF(H1458=1,INDEX(tx_TaxDr,1452),0)</f>
        <v/>
      </c>
      <c r="N1458" s="95">
        <f>IF(H1458=1,INDEX(tx_TaxCr,1452),0)</f>
        <v/>
      </c>
      <c r="O1458" s="101">
        <f>IF(H1458=1,IF(E1458&lt;FYStart,0,IF(E1458&gt;FYEnd,13,YEAR(E1458)*12+MONTH(E1458)-FYYM+1)),"")</f>
        <v/>
      </c>
      <c r="P1458" s="101">
        <f>IF(H1458=1,IF(IFERROR(INDEX(coa_CF,MATCH(I1458,coa_Name,0)),"")="Cash",1,0),0)</f>
        <v/>
      </c>
      <c r="Q1458" s="101">
        <f>IF(H1458=1,IF(IFERROR(INDEX(coa_CF,MATCH(K1458,coa_Name,0)),"")="Cash",1,0),0)</f>
        <v/>
      </c>
      <c r="R1458" s="58">
        <f>IF((P1458-Q1458)=0,"",IFERROR(INDEX(coa_CF,MATCH(IF((P1458-Q1458)=1,K1458,I1458),coa_Name,0)),"Operating"))</f>
        <v/>
      </c>
      <c r="S1458" s="95">
        <f>IF((P1458-Q1458)=1,L1458,IF((P1458-Q1458)=-1,-J1458,0))</f>
        <v/>
      </c>
      <c r="T1458" s="95">
        <f>IF((P1458-Q1458)=1,N1458,IF((P1458-Q1458)=-1,-M1458,0))</f>
        <v/>
      </c>
      <c r="U1458" s="101">
        <f>IF(AND(H1458=1,LedAcct&lt;&gt;""),IF(AND(E1458&gt;=LedFrom,E1458&lt;=LedTo,OR(I1458=LedAcct,K1458=LedAcct,AND(LedAcct=acctTax,M1458+N1458&lt;&gt;0))),E1458*10000+B1458,""),"")</f>
        <v/>
      </c>
    </row>
    <row r="1459">
      <c r="B1459" s="101" t="n">
        <v>1453</v>
      </c>
      <c r="C1459" s="58" t="inlineStr">
        <is>
          <t>Transaction</t>
        </is>
      </c>
      <c r="D1459" s="58">
        <f>IF(H1459=1,INDEX(tx_ID,1453)&amp;"","")</f>
        <v/>
      </c>
      <c r="E1459" s="94">
        <f>IF(H1459=1,INDEX(tx_Date,1453),"")</f>
        <v/>
      </c>
      <c r="F1459" s="58">
        <f>IF(H1459=1,INDEX(tx_Desc,1453)&amp;"","")</f>
        <v/>
      </c>
      <c r="G1459" s="58">
        <f>IF(H1459=1,IF(INDEX(tx_Cust,1453)&amp;""&lt;&gt;"",INDEX(tx_Cust,1453)&amp;"",INDEX(tx_Vend,1453)&amp;""),"")</f>
        <v/>
      </c>
      <c r="H1459" s="101">
        <f>IFERROR(N(INDEX(tx_Posted,1453)),0)</f>
        <v/>
      </c>
      <c r="I1459" s="58">
        <f>IF(H1459=1,INDEX(tx_DrAcct,1453)&amp;"","")</f>
        <v/>
      </c>
      <c r="J1459" s="95">
        <f>IF(H1459=1,INDEX(tx_DrAmt,1453),0)</f>
        <v/>
      </c>
      <c r="K1459" s="58">
        <f>IF(H1459=1,INDEX(tx_CrAcct,1453)&amp;"","")</f>
        <v/>
      </c>
      <c r="L1459" s="95">
        <f>IF(H1459=1,INDEX(tx_CrAmt,1453),0)</f>
        <v/>
      </c>
      <c r="M1459" s="95">
        <f>IF(H1459=1,INDEX(tx_TaxDr,1453),0)</f>
        <v/>
      </c>
      <c r="N1459" s="95">
        <f>IF(H1459=1,INDEX(tx_TaxCr,1453),0)</f>
        <v/>
      </c>
      <c r="O1459" s="101">
        <f>IF(H1459=1,IF(E1459&lt;FYStart,0,IF(E1459&gt;FYEnd,13,YEAR(E1459)*12+MONTH(E1459)-FYYM+1)),"")</f>
        <v/>
      </c>
      <c r="P1459" s="101">
        <f>IF(H1459=1,IF(IFERROR(INDEX(coa_CF,MATCH(I1459,coa_Name,0)),"")="Cash",1,0),0)</f>
        <v/>
      </c>
      <c r="Q1459" s="101">
        <f>IF(H1459=1,IF(IFERROR(INDEX(coa_CF,MATCH(K1459,coa_Name,0)),"")="Cash",1,0),0)</f>
        <v/>
      </c>
      <c r="R1459" s="58">
        <f>IF((P1459-Q1459)=0,"",IFERROR(INDEX(coa_CF,MATCH(IF((P1459-Q1459)=1,K1459,I1459),coa_Name,0)),"Operating"))</f>
        <v/>
      </c>
      <c r="S1459" s="95">
        <f>IF((P1459-Q1459)=1,L1459,IF((P1459-Q1459)=-1,-J1459,0))</f>
        <v/>
      </c>
      <c r="T1459" s="95">
        <f>IF((P1459-Q1459)=1,N1459,IF((P1459-Q1459)=-1,-M1459,0))</f>
        <v/>
      </c>
      <c r="U1459" s="101">
        <f>IF(AND(H1459=1,LedAcct&lt;&gt;""),IF(AND(E1459&gt;=LedFrom,E1459&lt;=LedTo,OR(I1459=LedAcct,K1459=LedAcct,AND(LedAcct=acctTax,M1459+N1459&lt;&gt;0))),E1459*10000+B1459,""),"")</f>
        <v/>
      </c>
    </row>
    <row r="1460">
      <c r="B1460" s="101" t="n">
        <v>1454</v>
      </c>
      <c r="C1460" s="58" t="inlineStr">
        <is>
          <t>Transaction</t>
        </is>
      </c>
      <c r="D1460" s="58">
        <f>IF(H1460=1,INDEX(tx_ID,1454)&amp;"","")</f>
        <v/>
      </c>
      <c r="E1460" s="94">
        <f>IF(H1460=1,INDEX(tx_Date,1454),"")</f>
        <v/>
      </c>
      <c r="F1460" s="58">
        <f>IF(H1460=1,INDEX(tx_Desc,1454)&amp;"","")</f>
        <v/>
      </c>
      <c r="G1460" s="58">
        <f>IF(H1460=1,IF(INDEX(tx_Cust,1454)&amp;""&lt;&gt;"",INDEX(tx_Cust,1454)&amp;"",INDEX(tx_Vend,1454)&amp;""),"")</f>
        <v/>
      </c>
      <c r="H1460" s="101">
        <f>IFERROR(N(INDEX(tx_Posted,1454)),0)</f>
        <v/>
      </c>
      <c r="I1460" s="58">
        <f>IF(H1460=1,INDEX(tx_DrAcct,1454)&amp;"","")</f>
        <v/>
      </c>
      <c r="J1460" s="95">
        <f>IF(H1460=1,INDEX(tx_DrAmt,1454),0)</f>
        <v/>
      </c>
      <c r="K1460" s="58">
        <f>IF(H1460=1,INDEX(tx_CrAcct,1454)&amp;"","")</f>
        <v/>
      </c>
      <c r="L1460" s="95">
        <f>IF(H1460=1,INDEX(tx_CrAmt,1454),0)</f>
        <v/>
      </c>
      <c r="M1460" s="95">
        <f>IF(H1460=1,INDEX(tx_TaxDr,1454),0)</f>
        <v/>
      </c>
      <c r="N1460" s="95">
        <f>IF(H1460=1,INDEX(tx_TaxCr,1454),0)</f>
        <v/>
      </c>
      <c r="O1460" s="101">
        <f>IF(H1460=1,IF(E1460&lt;FYStart,0,IF(E1460&gt;FYEnd,13,YEAR(E1460)*12+MONTH(E1460)-FYYM+1)),"")</f>
        <v/>
      </c>
      <c r="P1460" s="101">
        <f>IF(H1460=1,IF(IFERROR(INDEX(coa_CF,MATCH(I1460,coa_Name,0)),"")="Cash",1,0),0)</f>
        <v/>
      </c>
      <c r="Q1460" s="101">
        <f>IF(H1460=1,IF(IFERROR(INDEX(coa_CF,MATCH(K1460,coa_Name,0)),"")="Cash",1,0),0)</f>
        <v/>
      </c>
      <c r="R1460" s="58">
        <f>IF((P1460-Q1460)=0,"",IFERROR(INDEX(coa_CF,MATCH(IF((P1460-Q1460)=1,K1460,I1460),coa_Name,0)),"Operating"))</f>
        <v/>
      </c>
      <c r="S1460" s="95">
        <f>IF((P1460-Q1460)=1,L1460,IF((P1460-Q1460)=-1,-J1460,0))</f>
        <v/>
      </c>
      <c r="T1460" s="95">
        <f>IF((P1460-Q1460)=1,N1460,IF((P1460-Q1460)=-1,-M1460,0))</f>
        <v/>
      </c>
      <c r="U1460" s="101">
        <f>IF(AND(H1460=1,LedAcct&lt;&gt;""),IF(AND(E1460&gt;=LedFrom,E1460&lt;=LedTo,OR(I1460=LedAcct,K1460=LedAcct,AND(LedAcct=acctTax,M1460+N1460&lt;&gt;0))),E1460*10000+B1460,""),"")</f>
        <v/>
      </c>
    </row>
    <row r="1461">
      <c r="B1461" s="101" t="n">
        <v>1455</v>
      </c>
      <c r="C1461" s="58" t="inlineStr">
        <is>
          <t>Transaction</t>
        </is>
      </c>
      <c r="D1461" s="58">
        <f>IF(H1461=1,INDEX(tx_ID,1455)&amp;"","")</f>
        <v/>
      </c>
      <c r="E1461" s="94">
        <f>IF(H1461=1,INDEX(tx_Date,1455),"")</f>
        <v/>
      </c>
      <c r="F1461" s="58">
        <f>IF(H1461=1,INDEX(tx_Desc,1455)&amp;"","")</f>
        <v/>
      </c>
      <c r="G1461" s="58">
        <f>IF(H1461=1,IF(INDEX(tx_Cust,1455)&amp;""&lt;&gt;"",INDEX(tx_Cust,1455)&amp;"",INDEX(tx_Vend,1455)&amp;""),"")</f>
        <v/>
      </c>
      <c r="H1461" s="101">
        <f>IFERROR(N(INDEX(tx_Posted,1455)),0)</f>
        <v/>
      </c>
      <c r="I1461" s="58">
        <f>IF(H1461=1,INDEX(tx_DrAcct,1455)&amp;"","")</f>
        <v/>
      </c>
      <c r="J1461" s="95">
        <f>IF(H1461=1,INDEX(tx_DrAmt,1455),0)</f>
        <v/>
      </c>
      <c r="K1461" s="58">
        <f>IF(H1461=1,INDEX(tx_CrAcct,1455)&amp;"","")</f>
        <v/>
      </c>
      <c r="L1461" s="95">
        <f>IF(H1461=1,INDEX(tx_CrAmt,1455),0)</f>
        <v/>
      </c>
      <c r="M1461" s="95">
        <f>IF(H1461=1,INDEX(tx_TaxDr,1455),0)</f>
        <v/>
      </c>
      <c r="N1461" s="95">
        <f>IF(H1461=1,INDEX(tx_TaxCr,1455),0)</f>
        <v/>
      </c>
      <c r="O1461" s="101">
        <f>IF(H1461=1,IF(E1461&lt;FYStart,0,IF(E1461&gt;FYEnd,13,YEAR(E1461)*12+MONTH(E1461)-FYYM+1)),"")</f>
        <v/>
      </c>
      <c r="P1461" s="101">
        <f>IF(H1461=1,IF(IFERROR(INDEX(coa_CF,MATCH(I1461,coa_Name,0)),"")="Cash",1,0),0)</f>
        <v/>
      </c>
      <c r="Q1461" s="101">
        <f>IF(H1461=1,IF(IFERROR(INDEX(coa_CF,MATCH(K1461,coa_Name,0)),"")="Cash",1,0),0)</f>
        <v/>
      </c>
      <c r="R1461" s="58">
        <f>IF((P1461-Q1461)=0,"",IFERROR(INDEX(coa_CF,MATCH(IF((P1461-Q1461)=1,K1461,I1461),coa_Name,0)),"Operating"))</f>
        <v/>
      </c>
      <c r="S1461" s="95">
        <f>IF((P1461-Q1461)=1,L1461,IF((P1461-Q1461)=-1,-J1461,0))</f>
        <v/>
      </c>
      <c r="T1461" s="95">
        <f>IF((P1461-Q1461)=1,N1461,IF((P1461-Q1461)=-1,-M1461,0))</f>
        <v/>
      </c>
      <c r="U1461" s="101">
        <f>IF(AND(H1461=1,LedAcct&lt;&gt;""),IF(AND(E1461&gt;=LedFrom,E1461&lt;=LedTo,OR(I1461=LedAcct,K1461=LedAcct,AND(LedAcct=acctTax,M1461+N1461&lt;&gt;0))),E1461*10000+B1461,""),"")</f>
        <v/>
      </c>
    </row>
    <row r="1462">
      <c r="B1462" s="101" t="n">
        <v>1456</v>
      </c>
      <c r="C1462" s="58" t="inlineStr">
        <is>
          <t>Transaction</t>
        </is>
      </c>
      <c r="D1462" s="58">
        <f>IF(H1462=1,INDEX(tx_ID,1456)&amp;"","")</f>
        <v/>
      </c>
      <c r="E1462" s="94">
        <f>IF(H1462=1,INDEX(tx_Date,1456),"")</f>
        <v/>
      </c>
      <c r="F1462" s="58">
        <f>IF(H1462=1,INDEX(tx_Desc,1456)&amp;"","")</f>
        <v/>
      </c>
      <c r="G1462" s="58">
        <f>IF(H1462=1,IF(INDEX(tx_Cust,1456)&amp;""&lt;&gt;"",INDEX(tx_Cust,1456)&amp;"",INDEX(tx_Vend,1456)&amp;""),"")</f>
        <v/>
      </c>
      <c r="H1462" s="101">
        <f>IFERROR(N(INDEX(tx_Posted,1456)),0)</f>
        <v/>
      </c>
      <c r="I1462" s="58">
        <f>IF(H1462=1,INDEX(tx_DrAcct,1456)&amp;"","")</f>
        <v/>
      </c>
      <c r="J1462" s="95">
        <f>IF(H1462=1,INDEX(tx_DrAmt,1456),0)</f>
        <v/>
      </c>
      <c r="K1462" s="58">
        <f>IF(H1462=1,INDEX(tx_CrAcct,1456)&amp;"","")</f>
        <v/>
      </c>
      <c r="L1462" s="95">
        <f>IF(H1462=1,INDEX(tx_CrAmt,1456),0)</f>
        <v/>
      </c>
      <c r="M1462" s="95">
        <f>IF(H1462=1,INDEX(tx_TaxDr,1456),0)</f>
        <v/>
      </c>
      <c r="N1462" s="95">
        <f>IF(H1462=1,INDEX(tx_TaxCr,1456),0)</f>
        <v/>
      </c>
      <c r="O1462" s="101">
        <f>IF(H1462=1,IF(E1462&lt;FYStart,0,IF(E1462&gt;FYEnd,13,YEAR(E1462)*12+MONTH(E1462)-FYYM+1)),"")</f>
        <v/>
      </c>
      <c r="P1462" s="101">
        <f>IF(H1462=1,IF(IFERROR(INDEX(coa_CF,MATCH(I1462,coa_Name,0)),"")="Cash",1,0),0)</f>
        <v/>
      </c>
      <c r="Q1462" s="101">
        <f>IF(H1462=1,IF(IFERROR(INDEX(coa_CF,MATCH(K1462,coa_Name,0)),"")="Cash",1,0),0)</f>
        <v/>
      </c>
      <c r="R1462" s="58">
        <f>IF((P1462-Q1462)=0,"",IFERROR(INDEX(coa_CF,MATCH(IF((P1462-Q1462)=1,K1462,I1462),coa_Name,0)),"Operating"))</f>
        <v/>
      </c>
      <c r="S1462" s="95">
        <f>IF((P1462-Q1462)=1,L1462,IF((P1462-Q1462)=-1,-J1462,0))</f>
        <v/>
      </c>
      <c r="T1462" s="95">
        <f>IF((P1462-Q1462)=1,N1462,IF((P1462-Q1462)=-1,-M1462,0))</f>
        <v/>
      </c>
      <c r="U1462" s="101">
        <f>IF(AND(H1462=1,LedAcct&lt;&gt;""),IF(AND(E1462&gt;=LedFrom,E1462&lt;=LedTo,OR(I1462=LedAcct,K1462=LedAcct,AND(LedAcct=acctTax,M1462+N1462&lt;&gt;0))),E1462*10000+B1462,""),"")</f>
        <v/>
      </c>
    </row>
    <row r="1463">
      <c r="B1463" s="101" t="n">
        <v>1457</v>
      </c>
      <c r="C1463" s="58" t="inlineStr">
        <is>
          <t>Transaction</t>
        </is>
      </c>
      <c r="D1463" s="58">
        <f>IF(H1463=1,INDEX(tx_ID,1457)&amp;"","")</f>
        <v/>
      </c>
      <c r="E1463" s="94">
        <f>IF(H1463=1,INDEX(tx_Date,1457),"")</f>
        <v/>
      </c>
      <c r="F1463" s="58">
        <f>IF(H1463=1,INDEX(tx_Desc,1457)&amp;"","")</f>
        <v/>
      </c>
      <c r="G1463" s="58">
        <f>IF(H1463=1,IF(INDEX(tx_Cust,1457)&amp;""&lt;&gt;"",INDEX(tx_Cust,1457)&amp;"",INDEX(tx_Vend,1457)&amp;""),"")</f>
        <v/>
      </c>
      <c r="H1463" s="101">
        <f>IFERROR(N(INDEX(tx_Posted,1457)),0)</f>
        <v/>
      </c>
      <c r="I1463" s="58">
        <f>IF(H1463=1,INDEX(tx_DrAcct,1457)&amp;"","")</f>
        <v/>
      </c>
      <c r="J1463" s="95">
        <f>IF(H1463=1,INDEX(tx_DrAmt,1457),0)</f>
        <v/>
      </c>
      <c r="K1463" s="58">
        <f>IF(H1463=1,INDEX(tx_CrAcct,1457)&amp;"","")</f>
        <v/>
      </c>
      <c r="L1463" s="95">
        <f>IF(H1463=1,INDEX(tx_CrAmt,1457),0)</f>
        <v/>
      </c>
      <c r="M1463" s="95">
        <f>IF(H1463=1,INDEX(tx_TaxDr,1457),0)</f>
        <v/>
      </c>
      <c r="N1463" s="95">
        <f>IF(H1463=1,INDEX(tx_TaxCr,1457),0)</f>
        <v/>
      </c>
      <c r="O1463" s="101">
        <f>IF(H1463=1,IF(E1463&lt;FYStart,0,IF(E1463&gt;FYEnd,13,YEAR(E1463)*12+MONTH(E1463)-FYYM+1)),"")</f>
        <v/>
      </c>
      <c r="P1463" s="101">
        <f>IF(H1463=1,IF(IFERROR(INDEX(coa_CF,MATCH(I1463,coa_Name,0)),"")="Cash",1,0),0)</f>
        <v/>
      </c>
      <c r="Q1463" s="101">
        <f>IF(H1463=1,IF(IFERROR(INDEX(coa_CF,MATCH(K1463,coa_Name,0)),"")="Cash",1,0),0)</f>
        <v/>
      </c>
      <c r="R1463" s="58">
        <f>IF((P1463-Q1463)=0,"",IFERROR(INDEX(coa_CF,MATCH(IF((P1463-Q1463)=1,K1463,I1463),coa_Name,0)),"Operating"))</f>
        <v/>
      </c>
      <c r="S1463" s="95">
        <f>IF((P1463-Q1463)=1,L1463,IF((P1463-Q1463)=-1,-J1463,0))</f>
        <v/>
      </c>
      <c r="T1463" s="95">
        <f>IF((P1463-Q1463)=1,N1463,IF((P1463-Q1463)=-1,-M1463,0))</f>
        <v/>
      </c>
      <c r="U1463" s="101">
        <f>IF(AND(H1463=1,LedAcct&lt;&gt;""),IF(AND(E1463&gt;=LedFrom,E1463&lt;=LedTo,OR(I1463=LedAcct,K1463=LedAcct,AND(LedAcct=acctTax,M1463+N1463&lt;&gt;0))),E1463*10000+B1463,""),"")</f>
        <v/>
      </c>
    </row>
    <row r="1464">
      <c r="B1464" s="101" t="n">
        <v>1458</v>
      </c>
      <c r="C1464" s="58" t="inlineStr">
        <is>
          <t>Transaction</t>
        </is>
      </c>
      <c r="D1464" s="58">
        <f>IF(H1464=1,INDEX(tx_ID,1458)&amp;"","")</f>
        <v/>
      </c>
      <c r="E1464" s="94">
        <f>IF(H1464=1,INDEX(tx_Date,1458),"")</f>
        <v/>
      </c>
      <c r="F1464" s="58">
        <f>IF(H1464=1,INDEX(tx_Desc,1458)&amp;"","")</f>
        <v/>
      </c>
      <c r="G1464" s="58">
        <f>IF(H1464=1,IF(INDEX(tx_Cust,1458)&amp;""&lt;&gt;"",INDEX(tx_Cust,1458)&amp;"",INDEX(tx_Vend,1458)&amp;""),"")</f>
        <v/>
      </c>
      <c r="H1464" s="101">
        <f>IFERROR(N(INDEX(tx_Posted,1458)),0)</f>
        <v/>
      </c>
      <c r="I1464" s="58">
        <f>IF(H1464=1,INDEX(tx_DrAcct,1458)&amp;"","")</f>
        <v/>
      </c>
      <c r="J1464" s="95">
        <f>IF(H1464=1,INDEX(tx_DrAmt,1458),0)</f>
        <v/>
      </c>
      <c r="K1464" s="58">
        <f>IF(H1464=1,INDEX(tx_CrAcct,1458)&amp;"","")</f>
        <v/>
      </c>
      <c r="L1464" s="95">
        <f>IF(H1464=1,INDEX(tx_CrAmt,1458),0)</f>
        <v/>
      </c>
      <c r="M1464" s="95">
        <f>IF(H1464=1,INDEX(tx_TaxDr,1458),0)</f>
        <v/>
      </c>
      <c r="N1464" s="95">
        <f>IF(H1464=1,INDEX(tx_TaxCr,1458),0)</f>
        <v/>
      </c>
      <c r="O1464" s="101">
        <f>IF(H1464=1,IF(E1464&lt;FYStart,0,IF(E1464&gt;FYEnd,13,YEAR(E1464)*12+MONTH(E1464)-FYYM+1)),"")</f>
        <v/>
      </c>
      <c r="P1464" s="101">
        <f>IF(H1464=1,IF(IFERROR(INDEX(coa_CF,MATCH(I1464,coa_Name,0)),"")="Cash",1,0),0)</f>
        <v/>
      </c>
      <c r="Q1464" s="101">
        <f>IF(H1464=1,IF(IFERROR(INDEX(coa_CF,MATCH(K1464,coa_Name,0)),"")="Cash",1,0),0)</f>
        <v/>
      </c>
      <c r="R1464" s="58">
        <f>IF((P1464-Q1464)=0,"",IFERROR(INDEX(coa_CF,MATCH(IF((P1464-Q1464)=1,K1464,I1464),coa_Name,0)),"Operating"))</f>
        <v/>
      </c>
      <c r="S1464" s="95">
        <f>IF((P1464-Q1464)=1,L1464,IF((P1464-Q1464)=-1,-J1464,0))</f>
        <v/>
      </c>
      <c r="T1464" s="95">
        <f>IF((P1464-Q1464)=1,N1464,IF((P1464-Q1464)=-1,-M1464,0))</f>
        <v/>
      </c>
      <c r="U1464" s="101">
        <f>IF(AND(H1464=1,LedAcct&lt;&gt;""),IF(AND(E1464&gt;=LedFrom,E1464&lt;=LedTo,OR(I1464=LedAcct,K1464=LedAcct,AND(LedAcct=acctTax,M1464+N1464&lt;&gt;0))),E1464*10000+B1464,""),"")</f>
        <v/>
      </c>
    </row>
    <row r="1465">
      <c r="B1465" s="101" t="n">
        <v>1459</v>
      </c>
      <c r="C1465" s="58" t="inlineStr">
        <is>
          <t>Transaction</t>
        </is>
      </c>
      <c r="D1465" s="58">
        <f>IF(H1465=1,INDEX(tx_ID,1459)&amp;"","")</f>
        <v/>
      </c>
      <c r="E1465" s="94">
        <f>IF(H1465=1,INDEX(tx_Date,1459),"")</f>
        <v/>
      </c>
      <c r="F1465" s="58">
        <f>IF(H1465=1,INDEX(tx_Desc,1459)&amp;"","")</f>
        <v/>
      </c>
      <c r="G1465" s="58">
        <f>IF(H1465=1,IF(INDEX(tx_Cust,1459)&amp;""&lt;&gt;"",INDEX(tx_Cust,1459)&amp;"",INDEX(tx_Vend,1459)&amp;""),"")</f>
        <v/>
      </c>
      <c r="H1465" s="101">
        <f>IFERROR(N(INDEX(tx_Posted,1459)),0)</f>
        <v/>
      </c>
      <c r="I1465" s="58">
        <f>IF(H1465=1,INDEX(tx_DrAcct,1459)&amp;"","")</f>
        <v/>
      </c>
      <c r="J1465" s="95">
        <f>IF(H1465=1,INDEX(tx_DrAmt,1459),0)</f>
        <v/>
      </c>
      <c r="K1465" s="58">
        <f>IF(H1465=1,INDEX(tx_CrAcct,1459)&amp;"","")</f>
        <v/>
      </c>
      <c r="L1465" s="95">
        <f>IF(H1465=1,INDEX(tx_CrAmt,1459),0)</f>
        <v/>
      </c>
      <c r="M1465" s="95">
        <f>IF(H1465=1,INDEX(tx_TaxDr,1459),0)</f>
        <v/>
      </c>
      <c r="N1465" s="95">
        <f>IF(H1465=1,INDEX(tx_TaxCr,1459),0)</f>
        <v/>
      </c>
      <c r="O1465" s="101">
        <f>IF(H1465=1,IF(E1465&lt;FYStart,0,IF(E1465&gt;FYEnd,13,YEAR(E1465)*12+MONTH(E1465)-FYYM+1)),"")</f>
        <v/>
      </c>
      <c r="P1465" s="101">
        <f>IF(H1465=1,IF(IFERROR(INDEX(coa_CF,MATCH(I1465,coa_Name,0)),"")="Cash",1,0),0)</f>
        <v/>
      </c>
      <c r="Q1465" s="101">
        <f>IF(H1465=1,IF(IFERROR(INDEX(coa_CF,MATCH(K1465,coa_Name,0)),"")="Cash",1,0),0)</f>
        <v/>
      </c>
      <c r="R1465" s="58">
        <f>IF((P1465-Q1465)=0,"",IFERROR(INDEX(coa_CF,MATCH(IF((P1465-Q1465)=1,K1465,I1465),coa_Name,0)),"Operating"))</f>
        <v/>
      </c>
      <c r="S1465" s="95">
        <f>IF((P1465-Q1465)=1,L1465,IF((P1465-Q1465)=-1,-J1465,0))</f>
        <v/>
      </c>
      <c r="T1465" s="95">
        <f>IF((P1465-Q1465)=1,N1465,IF((P1465-Q1465)=-1,-M1465,0))</f>
        <v/>
      </c>
      <c r="U1465" s="101">
        <f>IF(AND(H1465=1,LedAcct&lt;&gt;""),IF(AND(E1465&gt;=LedFrom,E1465&lt;=LedTo,OR(I1465=LedAcct,K1465=LedAcct,AND(LedAcct=acctTax,M1465+N1465&lt;&gt;0))),E1465*10000+B1465,""),"")</f>
        <v/>
      </c>
    </row>
    <row r="1466">
      <c r="B1466" s="101" t="n">
        <v>1460</v>
      </c>
      <c r="C1466" s="58" t="inlineStr">
        <is>
          <t>Transaction</t>
        </is>
      </c>
      <c r="D1466" s="58">
        <f>IF(H1466=1,INDEX(tx_ID,1460)&amp;"","")</f>
        <v/>
      </c>
      <c r="E1466" s="94">
        <f>IF(H1466=1,INDEX(tx_Date,1460),"")</f>
        <v/>
      </c>
      <c r="F1466" s="58">
        <f>IF(H1466=1,INDEX(tx_Desc,1460)&amp;"","")</f>
        <v/>
      </c>
      <c r="G1466" s="58">
        <f>IF(H1466=1,IF(INDEX(tx_Cust,1460)&amp;""&lt;&gt;"",INDEX(tx_Cust,1460)&amp;"",INDEX(tx_Vend,1460)&amp;""),"")</f>
        <v/>
      </c>
      <c r="H1466" s="101">
        <f>IFERROR(N(INDEX(tx_Posted,1460)),0)</f>
        <v/>
      </c>
      <c r="I1466" s="58">
        <f>IF(H1466=1,INDEX(tx_DrAcct,1460)&amp;"","")</f>
        <v/>
      </c>
      <c r="J1466" s="95">
        <f>IF(H1466=1,INDEX(tx_DrAmt,1460),0)</f>
        <v/>
      </c>
      <c r="K1466" s="58">
        <f>IF(H1466=1,INDEX(tx_CrAcct,1460)&amp;"","")</f>
        <v/>
      </c>
      <c r="L1466" s="95">
        <f>IF(H1466=1,INDEX(tx_CrAmt,1460),0)</f>
        <v/>
      </c>
      <c r="M1466" s="95">
        <f>IF(H1466=1,INDEX(tx_TaxDr,1460),0)</f>
        <v/>
      </c>
      <c r="N1466" s="95">
        <f>IF(H1466=1,INDEX(tx_TaxCr,1460),0)</f>
        <v/>
      </c>
      <c r="O1466" s="101">
        <f>IF(H1466=1,IF(E1466&lt;FYStart,0,IF(E1466&gt;FYEnd,13,YEAR(E1466)*12+MONTH(E1466)-FYYM+1)),"")</f>
        <v/>
      </c>
      <c r="P1466" s="101">
        <f>IF(H1466=1,IF(IFERROR(INDEX(coa_CF,MATCH(I1466,coa_Name,0)),"")="Cash",1,0),0)</f>
        <v/>
      </c>
      <c r="Q1466" s="101">
        <f>IF(H1466=1,IF(IFERROR(INDEX(coa_CF,MATCH(K1466,coa_Name,0)),"")="Cash",1,0),0)</f>
        <v/>
      </c>
      <c r="R1466" s="58">
        <f>IF((P1466-Q1466)=0,"",IFERROR(INDEX(coa_CF,MATCH(IF((P1466-Q1466)=1,K1466,I1466),coa_Name,0)),"Operating"))</f>
        <v/>
      </c>
      <c r="S1466" s="95">
        <f>IF((P1466-Q1466)=1,L1466,IF((P1466-Q1466)=-1,-J1466,0))</f>
        <v/>
      </c>
      <c r="T1466" s="95">
        <f>IF((P1466-Q1466)=1,N1466,IF((P1466-Q1466)=-1,-M1466,0))</f>
        <v/>
      </c>
      <c r="U1466" s="101">
        <f>IF(AND(H1466=1,LedAcct&lt;&gt;""),IF(AND(E1466&gt;=LedFrom,E1466&lt;=LedTo,OR(I1466=LedAcct,K1466=LedAcct,AND(LedAcct=acctTax,M1466+N1466&lt;&gt;0))),E1466*10000+B1466,""),"")</f>
        <v/>
      </c>
    </row>
    <row r="1467">
      <c r="B1467" s="101" t="n">
        <v>1461</v>
      </c>
      <c r="C1467" s="58" t="inlineStr">
        <is>
          <t>Transaction</t>
        </is>
      </c>
      <c r="D1467" s="58">
        <f>IF(H1467=1,INDEX(tx_ID,1461)&amp;"","")</f>
        <v/>
      </c>
      <c r="E1467" s="94">
        <f>IF(H1467=1,INDEX(tx_Date,1461),"")</f>
        <v/>
      </c>
      <c r="F1467" s="58">
        <f>IF(H1467=1,INDEX(tx_Desc,1461)&amp;"","")</f>
        <v/>
      </c>
      <c r="G1467" s="58">
        <f>IF(H1467=1,IF(INDEX(tx_Cust,1461)&amp;""&lt;&gt;"",INDEX(tx_Cust,1461)&amp;"",INDEX(tx_Vend,1461)&amp;""),"")</f>
        <v/>
      </c>
      <c r="H1467" s="101">
        <f>IFERROR(N(INDEX(tx_Posted,1461)),0)</f>
        <v/>
      </c>
      <c r="I1467" s="58">
        <f>IF(H1467=1,INDEX(tx_DrAcct,1461)&amp;"","")</f>
        <v/>
      </c>
      <c r="J1467" s="95">
        <f>IF(H1467=1,INDEX(tx_DrAmt,1461),0)</f>
        <v/>
      </c>
      <c r="K1467" s="58">
        <f>IF(H1467=1,INDEX(tx_CrAcct,1461)&amp;"","")</f>
        <v/>
      </c>
      <c r="L1467" s="95">
        <f>IF(H1467=1,INDEX(tx_CrAmt,1461),0)</f>
        <v/>
      </c>
      <c r="M1467" s="95">
        <f>IF(H1467=1,INDEX(tx_TaxDr,1461),0)</f>
        <v/>
      </c>
      <c r="N1467" s="95">
        <f>IF(H1467=1,INDEX(tx_TaxCr,1461),0)</f>
        <v/>
      </c>
      <c r="O1467" s="101">
        <f>IF(H1467=1,IF(E1467&lt;FYStart,0,IF(E1467&gt;FYEnd,13,YEAR(E1467)*12+MONTH(E1467)-FYYM+1)),"")</f>
        <v/>
      </c>
      <c r="P1467" s="101">
        <f>IF(H1467=1,IF(IFERROR(INDEX(coa_CF,MATCH(I1467,coa_Name,0)),"")="Cash",1,0),0)</f>
        <v/>
      </c>
      <c r="Q1467" s="101">
        <f>IF(H1467=1,IF(IFERROR(INDEX(coa_CF,MATCH(K1467,coa_Name,0)),"")="Cash",1,0),0)</f>
        <v/>
      </c>
      <c r="R1467" s="58">
        <f>IF((P1467-Q1467)=0,"",IFERROR(INDEX(coa_CF,MATCH(IF((P1467-Q1467)=1,K1467,I1467),coa_Name,0)),"Operating"))</f>
        <v/>
      </c>
      <c r="S1467" s="95">
        <f>IF((P1467-Q1467)=1,L1467,IF((P1467-Q1467)=-1,-J1467,0))</f>
        <v/>
      </c>
      <c r="T1467" s="95">
        <f>IF((P1467-Q1467)=1,N1467,IF((P1467-Q1467)=-1,-M1467,0))</f>
        <v/>
      </c>
      <c r="U1467" s="101">
        <f>IF(AND(H1467=1,LedAcct&lt;&gt;""),IF(AND(E1467&gt;=LedFrom,E1467&lt;=LedTo,OR(I1467=LedAcct,K1467=LedAcct,AND(LedAcct=acctTax,M1467+N1467&lt;&gt;0))),E1467*10000+B1467,""),"")</f>
        <v/>
      </c>
    </row>
    <row r="1468">
      <c r="B1468" s="101" t="n">
        <v>1462</v>
      </c>
      <c r="C1468" s="58" t="inlineStr">
        <is>
          <t>Transaction</t>
        </is>
      </c>
      <c r="D1468" s="58">
        <f>IF(H1468=1,INDEX(tx_ID,1462)&amp;"","")</f>
        <v/>
      </c>
      <c r="E1468" s="94">
        <f>IF(H1468=1,INDEX(tx_Date,1462),"")</f>
        <v/>
      </c>
      <c r="F1468" s="58">
        <f>IF(H1468=1,INDEX(tx_Desc,1462)&amp;"","")</f>
        <v/>
      </c>
      <c r="G1468" s="58">
        <f>IF(H1468=1,IF(INDEX(tx_Cust,1462)&amp;""&lt;&gt;"",INDEX(tx_Cust,1462)&amp;"",INDEX(tx_Vend,1462)&amp;""),"")</f>
        <v/>
      </c>
      <c r="H1468" s="101">
        <f>IFERROR(N(INDEX(tx_Posted,1462)),0)</f>
        <v/>
      </c>
      <c r="I1468" s="58">
        <f>IF(H1468=1,INDEX(tx_DrAcct,1462)&amp;"","")</f>
        <v/>
      </c>
      <c r="J1468" s="95">
        <f>IF(H1468=1,INDEX(tx_DrAmt,1462),0)</f>
        <v/>
      </c>
      <c r="K1468" s="58">
        <f>IF(H1468=1,INDEX(tx_CrAcct,1462)&amp;"","")</f>
        <v/>
      </c>
      <c r="L1468" s="95">
        <f>IF(H1468=1,INDEX(tx_CrAmt,1462),0)</f>
        <v/>
      </c>
      <c r="M1468" s="95">
        <f>IF(H1468=1,INDEX(tx_TaxDr,1462),0)</f>
        <v/>
      </c>
      <c r="N1468" s="95">
        <f>IF(H1468=1,INDEX(tx_TaxCr,1462),0)</f>
        <v/>
      </c>
      <c r="O1468" s="101">
        <f>IF(H1468=1,IF(E1468&lt;FYStart,0,IF(E1468&gt;FYEnd,13,YEAR(E1468)*12+MONTH(E1468)-FYYM+1)),"")</f>
        <v/>
      </c>
      <c r="P1468" s="101">
        <f>IF(H1468=1,IF(IFERROR(INDEX(coa_CF,MATCH(I1468,coa_Name,0)),"")="Cash",1,0),0)</f>
        <v/>
      </c>
      <c r="Q1468" s="101">
        <f>IF(H1468=1,IF(IFERROR(INDEX(coa_CF,MATCH(K1468,coa_Name,0)),"")="Cash",1,0),0)</f>
        <v/>
      </c>
      <c r="R1468" s="58">
        <f>IF((P1468-Q1468)=0,"",IFERROR(INDEX(coa_CF,MATCH(IF((P1468-Q1468)=1,K1468,I1468),coa_Name,0)),"Operating"))</f>
        <v/>
      </c>
      <c r="S1468" s="95">
        <f>IF((P1468-Q1468)=1,L1468,IF((P1468-Q1468)=-1,-J1468,0))</f>
        <v/>
      </c>
      <c r="T1468" s="95">
        <f>IF((P1468-Q1468)=1,N1468,IF((P1468-Q1468)=-1,-M1468,0))</f>
        <v/>
      </c>
      <c r="U1468" s="101">
        <f>IF(AND(H1468=1,LedAcct&lt;&gt;""),IF(AND(E1468&gt;=LedFrom,E1468&lt;=LedTo,OR(I1468=LedAcct,K1468=LedAcct,AND(LedAcct=acctTax,M1468+N1468&lt;&gt;0))),E1468*10000+B1468,""),"")</f>
        <v/>
      </c>
    </row>
    <row r="1469">
      <c r="B1469" s="101" t="n">
        <v>1463</v>
      </c>
      <c r="C1469" s="58" t="inlineStr">
        <is>
          <t>Transaction</t>
        </is>
      </c>
      <c r="D1469" s="58">
        <f>IF(H1469=1,INDEX(tx_ID,1463)&amp;"","")</f>
        <v/>
      </c>
      <c r="E1469" s="94">
        <f>IF(H1469=1,INDEX(tx_Date,1463),"")</f>
        <v/>
      </c>
      <c r="F1469" s="58">
        <f>IF(H1469=1,INDEX(tx_Desc,1463)&amp;"","")</f>
        <v/>
      </c>
      <c r="G1469" s="58">
        <f>IF(H1469=1,IF(INDEX(tx_Cust,1463)&amp;""&lt;&gt;"",INDEX(tx_Cust,1463)&amp;"",INDEX(tx_Vend,1463)&amp;""),"")</f>
        <v/>
      </c>
      <c r="H1469" s="101">
        <f>IFERROR(N(INDEX(tx_Posted,1463)),0)</f>
        <v/>
      </c>
      <c r="I1469" s="58">
        <f>IF(H1469=1,INDEX(tx_DrAcct,1463)&amp;"","")</f>
        <v/>
      </c>
      <c r="J1469" s="95">
        <f>IF(H1469=1,INDEX(tx_DrAmt,1463),0)</f>
        <v/>
      </c>
      <c r="K1469" s="58">
        <f>IF(H1469=1,INDEX(tx_CrAcct,1463)&amp;"","")</f>
        <v/>
      </c>
      <c r="L1469" s="95">
        <f>IF(H1469=1,INDEX(tx_CrAmt,1463),0)</f>
        <v/>
      </c>
      <c r="M1469" s="95">
        <f>IF(H1469=1,INDEX(tx_TaxDr,1463),0)</f>
        <v/>
      </c>
      <c r="N1469" s="95">
        <f>IF(H1469=1,INDEX(tx_TaxCr,1463),0)</f>
        <v/>
      </c>
      <c r="O1469" s="101">
        <f>IF(H1469=1,IF(E1469&lt;FYStart,0,IF(E1469&gt;FYEnd,13,YEAR(E1469)*12+MONTH(E1469)-FYYM+1)),"")</f>
        <v/>
      </c>
      <c r="P1469" s="101">
        <f>IF(H1469=1,IF(IFERROR(INDEX(coa_CF,MATCH(I1469,coa_Name,0)),"")="Cash",1,0),0)</f>
        <v/>
      </c>
      <c r="Q1469" s="101">
        <f>IF(H1469=1,IF(IFERROR(INDEX(coa_CF,MATCH(K1469,coa_Name,0)),"")="Cash",1,0),0)</f>
        <v/>
      </c>
      <c r="R1469" s="58">
        <f>IF((P1469-Q1469)=0,"",IFERROR(INDEX(coa_CF,MATCH(IF((P1469-Q1469)=1,K1469,I1469),coa_Name,0)),"Operating"))</f>
        <v/>
      </c>
      <c r="S1469" s="95">
        <f>IF((P1469-Q1469)=1,L1469,IF((P1469-Q1469)=-1,-J1469,0))</f>
        <v/>
      </c>
      <c r="T1469" s="95">
        <f>IF((P1469-Q1469)=1,N1469,IF((P1469-Q1469)=-1,-M1469,0))</f>
        <v/>
      </c>
      <c r="U1469" s="101">
        <f>IF(AND(H1469=1,LedAcct&lt;&gt;""),IF(AND(E1469&gt;=LedFrom,E1469&lt;=LedTo,OR(I1469=LedAcct,K1469=LedAcct,AND(LedAcct=acctTax,M1469+N1469&lt;&gt;0))),E1469*10000+B1469,""),"")</f>
        <v/>
      </c>
    </row>
    <row r="1470">
      <c r="B1470" s="101" t="n">
        <v>1464</v>
      </c>
      <c r="C1470" s="58" t="inlineStr">
        <is>
          <t>Transaction</t>
        </is>
      </c>
      <c r="D1470" s="58">
        <f>IF(H1470=1,INDEX(tx_ID,1464)&amp;"","")</f>
        <v/>
      </c>
      <c r="E1470" s="94">
        <f>IF(H1470=1,INDEX(tx_Date,1464),"")</f>
        <v/>
      </c>
      <c r="F1470" s="58">
        <f>IF(H1470=1,INDEX(tx_Desc,1464)&amp;"","")</f>
        <v/>
      </c>
      <c r="G1470" s="58">
        <f>IF(H1470=1,IF(INDEX(tx_Cust,1464)&amp;""&lt;&gt;"",INDEX(tx_Cust,1464)&amp;"",INDEX(tx_Vend,1464)&amp;""),"")</f>
        <v/>
      </c>
      <c r="H1470" s="101">
        <f>IFERROR(N(INDEX(tx_Posted,1464)),0)</f>
        <v/>
      </c>
      <c r="I1470" s="58">
        <f>IF(H1470=1,INDEX(tx_DrAcct,1464)&amp;"","")</f>
        <v/>
      </c>
      <c r="J1470" s="95">
        <f>IF(H1470=1,INDEX(tx_DrAmt,1464),0)</f>
        <v/>
      </c>
      <c r="K1470" s="58">
        <f>IF(H1470=1,INDEX(tx_CrAcct,1464)&amp;"","")</f>
        <v/>
      </c>
      <c r="L1470" s="95">
        <f>IF(H1470=1,INDEX(tx_CrAmt,1464),0)</f>
        <v/>
      </c>
      <c r="M1470" s="95">
        <f>IF(H1470=1,INDEX(tx_TaxDr,1464),0)</f>
        <v/>
      </c>
      <c r="N1470" s="95">
        <f>IF(H1470=1,INDEX(tx_TaxCr,1464),0)</f>
        <v/>
      </c>
      <c r="O1470" s="101">
        <f>IF(H1470=1,IF(E1470&lt;FYStart,0,IF(E1470&gt;FYEnd,13,YEAR(E1470)*12+MONTH(E1470)-FYYM+1)),"")</f>
        <v/>
      </c>
      <c r="P1470" s="101">
        <f>IF(H1470=1,IF(IFERROR(INDEX(coa_CF,MATCH(I1470,coa_Name,0)),"")="Cash",1,0),0)</f>
        <v/>
      </c>
      <c r="Q1470" s="101">
        <f>IF(H1470=1,IF(IFERROR(INDEX(coa_CF,MATCH(K1470,coa_Name,0)),"")="Cash",1,0),0)</f>
        <v/>
      </c>
      <c r="R1470" s="58">
        <f>IF((P1470-Q1470)=0,"",IFERROR(INDEX(coa_CF,MATCH(IF((P1470-Q1470)=1,K1470,I1470),coa_Name,0)),"Operating"))</f>
        <v/>
      </c>
      <c r="S1470" s="95">
        <f>IF((P1470-Q1470)=1,L1470,IF((P1470-Q1470)=-1,-J1470,0))</f>
        <v/>
      </c>
      <c r="T1470" s="95">
        <f>IF((P1470-Q1470)=1,N1470,IF((P1470-Q1470)=-1,-M1470,0))</f>
        <v/>
      </c>
      <c r="U1470" s="101">
        <f>IF(AND(H1470=1,LedAcct&lt;&gt;""),IF(AND(E1470&gt;=LedFrom,E1470&lt;=LedTo,OR(I1470=LedAcct,K1470=LedAcct,AND(LedAcct=acctTax,M1470+N1470&lt;&gt;0))),E1470*10000+B1470,""),"")</f>
        <v/>
      </c>
    </row>
    <row r="1471">
      <c r="B1471" s="101" t="n">
        <v>1465</v>
      </c>
      <c r="C1471" s="58" t="inlineStr">
        <is>
          <t>Transaction</t>
        </is>
      </c>
      <c r="D1471" s="58">
        <f>IF(H1471=1,INDEX(tx_ID,1465)&amp;"","")</f>
        <v/>
      </c>
      <c r="E1471" s="94">
        <f>IF(H1471=1,INDEX(tx_Date,1465),"")</f>
        <v/>
      </c>
      <c r="F1471" s="58">
        <f>IF(H1471=1,INDEX(tx_Desc,1465)&amp;"","")</f>
        <v/>
      </c>
      <c r="G1471" s="58">
        <f>IF(H1471=1,IF(INDEX(tx_Cust,1465)&amp;""&lt;&gt;"",INDEX(tx_Cust,1465)&amp;"",INDEX(tx_Vend,1465)&amp;""),"")</f>
        <v/>
      </c>
      <c r="H1471" s="101">
        <f>IFERROR(N(INDEX(tx_Posted,1465)),0)</f>
        <v/>
      </c>
      <c r="I1471" s="58">
        <f>IF(H1471=1,INDEX(tx_DrAcct,1465)&amp;"","")</f>
        <v/>
      </c>
      <c r="J1471" s="95">
        <f>IF(H1471=1,INDEX(tx_DrAmt,1465),0)</f>
        <v/>
      </c>
      <c r="K1471" s="58">
        <f>IF(H1471=1,INDEX(tx_CrAcct,1465)&amp;"","")</f>
        <v/>
      </c>
      <c r="L1471" s="95">
        <f>IF(H1471=1,INDEX(tx_CrAmt,1465),0)</f>
        <v/>
      </c>
      <c r="M1471" s="95">
        <f>IF(H1471=1,INDEX(tx_TaxDr,1465),0)</f>
        <v/>
      </c>
      <c r="N1471" s="95">
        <f>IF(H1471=1,INDEX(tx_TaxCr,1465),0)</f>
        <v/>
      </c>
      <c r="O1471" s="101">
        <f>IF(H1471=1,IF(E1471&lt;FYStart,0,IF(E1471&gt;FYEnd,13,YEAR(E1471)*12+MONTH(E1471)-FYYM+1)),"")</f>
        <v/>
      </c>
      <c r="P1471" s="101">
        <f>IF(H1471=1,IF(IFERROR(INDEX(coa_CF,MATCH(I1471,coa_Name,0)),"")="Cash",1,0),0)</f>
        <v/>
      </c>
      <c r="Q1471" s="101">
        <f>IF(H1471=1,IF(IFERROR(INDEX(coa_CF,MATCH(K1471,coa_Name,0)),"")="Cash",1,0),0)</f>
        <v/>
      </c>
      <c r="R1471" s="58">
        <f>IF((P1471-Q1471)=0,"",IFERROR(INDEX(coa_CF,MATCH(IF((P1471-Q1471)=1,K1471,I1471),coa_Name,0)),"Operating"))</f>
        <v/>
      </c>
      <c r="S1471" s="95">
        <f>IF((P1471-Q1471)=1,L1471,IF((P1471-Q1471)=-1,-J1471,0))</f>
        <v/>
      </c>
      <c r="T1471" s="95">
        <f>IF((P1471-Q1471)=1,N1471,IF((P1471-Q1471)=-1,-M1471,0))</f>
        <v/>
      </c>
      <c r="U1471" s="101">
        <f>IF(AND(H1471=1,LedAcct&lt;&gt;""),IF(AND(E1471&gt;=LedFrom,E1471&lt;=LedTo,OR(I1471=LedAcct,K1471=LedAcct,AND(LedAcct=acctTax,M1471+N1471&lt;&gt;0))),E1471*10000+B1471,""),"")</f>
        <v/>
      </c>
    </row>
    <row r="1472">
      <c r="B1472" s="101" t="n">
        <v>1466</v>
      </c>
      <c r="C1472" s="58" t="inlineStr">
        <is>
          <t>Transaction</t>
        </is>
      </c>
      <c r="D1472" s="58">
        <f>IF(H1472=1,INDEX(tx_ID,1466)&amp;"","")</f>
        <v/>
      </c>
      <c r="E1472" s="94">
        <f>IF(H1472=1,INDEX(tx_Date,1466),"")</f>
        <v/>
      </c>
      <c r="F1472" s="58">
        <f>IF(H1472=1,INDEX(tx_Desc,1466)&amp;"","")</f>
        <v/>
      </c>
      <c r="G1472" s="58">
        <f>IF(H1472=1,IF(INDEX(tx_Cust,1466)&amp;""&lt;&gt;"",INDEX(tx_Cust,1466)&amp;"",INDEX(tx_Vend,1466)&amp;""),"")</f>
        <v/>
      </c>
      <c r="H1472" s="101">
        <f>IFERROR(N(INDEX(tx_Posted,1466)),0)</f>
        <v/>
      </c>
      <c r="I1472" s="58">
        <f>IF(H1472=1,INDEX(tx_DrAcct,1466)&amp;"","")</f>
        <v/>
      </c>
      <c r="J1472" s="95">
        <f>IF(H1472=1,INDEX(tx_DrAmt,1466),0)</f>
        <v/>
      </c>
      <c r="K1472" s="58">
        <f>IF(H1472=1,INDEX(tx_CrAcct,1466)&amp;"","")</f>
        <v/>
      </c>
      <c r="L1472" s="95">
        <f>IF(H1472=1,INDEX(tx_CrAmt,1466),0)</f>
        <v/>
      </c>
      <c r="M1472" s="95">
        <f>IF(H1472=1,INDEX(tx_TaxDr,1466),0)</f>
        <v/>
      </c>
      <c r="N1472" s="95">
        <f>IF(H1472=1,INDEX(tx_TaxCr,1466),0)</f>
        <v/>
      </c>
      <c r="O1472" s="101">
        <f>IF(H1472=1,IF(E1472&lt;FYStart,0,IF(E1472&gt;FYEnd,13,YEAR(E1472)*12+MONTH(E1472)-FYYM+1)),"")</f>
        <v/>
      </c>
      <c r="P1472" s="101">
        <f>IF(H1472=1,IF(IFERROR(INDEX(coa_CF,MATCH(I1472,coa_Name,0)),"")="Cash",1,0),0)</f>
        <v/>
      </c>
      <c r="Q1472" s="101">
        <f>IF(H1472=1,IF(IFERROR(INDEX(coa_CF,MATCH(K1472,coa_Name,0)),"")="Cash",1,0),0)</f>
        <v/>
      </c>
      <c r="R1472" s="58">
        <f>IF((P1472-Q1472)=0,"",IFERROR(INDEX(coa_CF,MATCH(IF((P1472-Q1472)=1,K1472,I1472),coa_Name,0)),"Operating"))</f>
        <v/>
      </c>
      <c r="S1472" s="95">
        <f>IF((P1472-Q1472)=1,L1472,IF((P1472-Q1472)=-1,-J1472,0))</f>
        <v/>
      </c>
      <c r="T1472" s="95">
        <f>IF((P1472-Q1472)=1,N1472,IF((P1472-Q1472)=-1,-M1472,0))</f>
        <v/>
      </c>
      <c r="U1472" s="101">
        <f>IF(AND(H1472=1,LedAcct&lt;&gt;""),IF(AND(E1472&gt;=LedFrom,E1472&lt;=LedTo,OR(I1472=LedAcct,K1472=LedAcct,AND(LedAcct=acctTax,M1472+N1472&lt;&gt;0))),E1472*10000+B1472,""),"")</f>
        <v/>
      </c>
    </row>
    <row r="1473">
      <c r="B1473" s="101" t="n">
        <v>1467</v>
      </c>
      <c r="C1473" s="58" t="inlineStr">
        <is>
          <t>Transaction</t>
        </is>
      </c>
      <c r="D1473" s="58">
        <f>IF(H1473=1,INDEX(tx_ID,1467)&amp;"","")</f>
        <v/>
      </c>
      <c r="E1473" s="94">
        <f>IF(H1473=1,INDEX(tx_Date,1467),"")</f>
        <v/>
      </c>
      <c r="F1473" s="58">
        <f>IF(H1473=1,INDEX(tx_Desc,1467)&amp;"","")</f>
        <v/>
      </c>
      <c r="G1473" s="58">
        <f>IF(H1473=1,IF(INDEX(tx_Cust,1467)&amp;""&lt;&gt;"",INDEX(tx_Cust,1467)&amp;"",INDEX(tx_Vend,1467)&amp;""),"")</f>
        <v/>
      </c>
      <c r="H1473" s="101">
        <f>IFERROR(N(INDEX(tx_Posted,1467)),0)</f>
        <v/>
      </c>
      <c r="I1473" s="58">
        <f>IF(H1473=1,INDEX(tx_DrAcct,1467)&amp;"","")</f>
        <v/>
      </c>
      <c r="J1473" s="95">
        <f>IF(H1473=1,INDEX(tx_DrAmt,1467),0)</f>
        <v/>
      </c>
      <c r="K1473" s="58">
        <f>IF(H1473=1,INDEX(tx_CrAcct,1467)&amp;"","")</f>
        <v/>
      </c>
      <c r="L1473" s="95">
        <f>IF(H1473=1,INDEX(tx_CrAmt,1467),0)</f>
        <v/>
      </c>
      <c r="M1473" s="95">
        <f>IF(H1473=1,INDEX(tx_TaxDr,1467),0)</f>
        <v/>
      </c>
      <c r="N1473" s="95">
        <f>IF(H1473=1,INDEX(tx_TaxCr,1467),0)</f>
        <v/>
      </c>
      <c r="O1473" s="101">
        <f>IF(H1473=1,IF(E1473&lt;FYStart,0,IF(E1473&gt;FYEnd,13,YEAR(E1473)*12+MONTH(E1473)-FYYM+1)),"")</f>
        <v/>
      </c>
      <c r="P1473" s="101">
        <f>IF(H1473=1,IF(IFERROR(INDEX(coa_CF,MATCH(I1473,coa_Name,0)),"")="Cash",1,0),0)</f>
        <v/>
      </c>
      <c r="Q1473" s="101">
        <f>IF(H1473=1,IF(IFERROR(INDEX(coa_CF,MATCH(K1473,coa_Name,0)),"")="Cash",1,0),0)</f>
        <v/>
      </c>
      <c r="R1473" s="58">
        <f>IF((P1473-Q1473)=0,"",IFERROR(INDEX(coa_CF,MATCH(IF((P1473-Q1473)=1,K1473,I1473),coa_Name,0)),"Operating"))</f>
        <v/>
      </c>
      <c r="S1473" s="95">
        <f>IF((P1473-Q1473)=1,L1473,IF((P1473-Q1473)=-1,-J1473,0))</f>
        <v/>
      </c>
      <c r="T1473" s="95">
        <f>IF((P1473-Q1473)=1,N1473,IF((P1473-Q1473)=-1,-M1473,0))</f>
        <v/>
      </c>
      <c r="U1473" s="101">
        <f>IF(AND(H1473=1,LedAcct&lt;&gt;""),IF(AND(E1473&gt;=LedFrom,E1473&lt;=LedTo,OR(I1473=LedAcct,K1473=LedAcct,AND(LedAcct=acctTax,M1473+N1473&lt;&gt;0))),E1473*10000+B1473,""),"")</f>
        <v/>
      </c>
    </row>
    <row r="1474">
      <c r="B1474" s="101" t="n">
        <v>1468</v>
      </c>
      <c r="C1474" s="58" t="inlineStr">
        <is>
          <t>Transaction</t>
        </is>
      </c>
      <c r="D1474" s="58">
        <f>IF(H1474=1,INDEX(tx_ID,1468)&amp;"","")</f>
        <v/>
      </c>
      <c r="E1474" s="94">
        <f>IF(H1474=1,INDEX(tx_Date,1468),"")</f>
        <v/>
      </c>
      <c r="F1474" s="58">
        <f>IF(H1474=1,INDEX(tx_Desc,1468)&amp;"","")</f>
        <v/>
      </c>
      <c r="G1474" s="58">
        <f>IF(H1474=1,IF(INDEX(tx_Cust,1468)&amp;""&lt;&gt;"",INDEX(tx_Cust,1468)&amp;"",INDEX(tx_Vend,1468)&amp;""),"")</f>
        <v/>
      </c>
      <c r="H1474" s="101">
        <f>IFERROR(N(INDEX(tx_Posted,1468)),0)</f>
        <v/>
      </c>
      <c r="I1474" s="58">
        <f>IF(H1474=1,INDEX(tx_DrAcct,1468)&amp;"","")</f>
        <v/>
      </c>
      <c r="J1474" s="95">
        <f>IF(H1474=1,INDEX(tx_DrAmt,1468),0)</f>
        <v/>
      </c>
      <c r="K1474" s="58">
        <f>IF(H1474=1,INDEX(tx_CrAcct,1468)&amp;"","")</f>
        <v/>
      </c>
      <c r="L1474" s="95">
        <f>IF(H1474=1,INDEX(tx_CrAmt,1468),0)</f>
        <v/>
      </c>
      <c r="M1474" s="95">
        <f>IF(H1474=1,INDEX(tx_TaxDr,1468),0)</f>
        <v/>
      </c>
      <c r="N1474" s="95">
        <f>IF(H1474=1,INDEX(tx_TaxCr,1468),0)</f>
        <v/>
      </c>
      <c r="O1474" s="101">
        <f>IF(H1474=1,IF(E1474&lt;FYStart,0,IF(E1474&gt;FYEnd,13,YEAR(E1474)*12+MONTH(E1474)-FYYM+1)),"")</f>
        <v/>
      </c>
      <c r="P1474" s="101">
        <f>IF(H1474=1,IF(IFERROR(INDEX(coa_CF,MATCH(I1474,coa_Name,0)),"")="Cash",1,0),0)</f>
        <v/>
      </c>
      <c r="Q1474" s="101">
        <f>IF(H1474=1,IF(IFERROR(INDEX(coa_CF,MATCH(K1474,coa_Name,0)),"")="Cash",1,0),0)</f>
        <v/>
      </c>
      <c r="R1474" s="58">
        <f>IF((P1474-Q1474)=0,"",IFERROR(INDEX(coa_CF,MATCH(IF((P1474-Q1474)=1,K1474,I1474),coa_Name,0)),"Operating"))</f>
        <v/>
      </c>
      <c r="S1474" s="95">
        <f>IF((P1474-Q1474)=1,L1474,IF((P1474-Q1474)=-1,-J1474,0))</f>
        <v/>
      </c>
      <c r="T1474" s="95">
        <f>IF((P1474-Q1474)=1,N1474,IF((P1474-Q1474)=-1,-M1474,0))</f>
        <v/>
      </c>
      <c r="U1474" s="101">
        <f>IF(AND(H1474=1,LedAcct&lt;&gt;""),IF(AND(E1474&gt;=LedFrom,E1474&lt;=LedTo,OR(I1474=LedAcct,K1474=LedAcct,AND(LedAcct=acctTax,M1474+N1474&lt;&gt;0))),E1474*10000+B1474,""),"")</f>
        <v/>
      </c>
    </row>
    <row r="1475">
      <c r="B1475" s="101" t="n">
        <v>1469</v>
      </c>
      <c r="C1475" s="58" t="inlineStr">
        <is>
          <t>Transaction</t>
        </is>
      </c>
      <c r="D1475" s="58">
        <f>IF(H1475=1,INDEX(tx_ID,1469)&amp;"","")</f>
        <v/>
      </c>
      <c r="E1475" s="94">
        <f>IF(H1475=1,INDEX(tx_Date,1469),"")</f>
        <v/>
      </c>
      <c r="F1475" s="58">
        <f>IF(H1475=1,INDEX(tx_Desc,1469)&amp;"","")</f>
        <v/>
      </c>
      <c r="G1475" s="58">
        <f>IF(H1475=1,IF(INDEX(tx_Cust,1469)&amp;""&lt;&gt;"",INDEX(tx_Cust,1469)&amp;"",INDEX(tx_Vend,1469)&amp;""),"")</f>
        <v/>
      </c>
      <c r="H1475" s="101">
        <f>IFERROR(N(INDEX(tx_Posted,1469)),0)</f>
        <v/>
      </c>
      <c r="I1475" s="58">
        <f>IF(H1475=1,INDEX(tx_DrAcct,1469)&amp;"","")</f>
        <v/>
      </c>
      <c r="J1475" s="95">
        <f>IF(H1475=1,INDEX(tx_DrAmt,1469),0)</f>
        <v/>
      </c>
      <c r="K1475" s="58">
        <f>IF(H1475=1,INDEX(tx_CrAcct,1469)&amp;"","")</f>
        <v/>
      </c>
      <c r="L1475" s="95">
        <f>IF(H1475=1,INDEX(tx_CrAmt,1469),0)</f>
        <v/>
      </c>
      <c r="M1475" s="95">
        <f>IF(H1475=1,INDEX(tx_TaxDr,1469),0)</f>
        <v/>
      </c>
      <c r="N1475" s="95">
        <f>IF(H1475=1,INDEX(tx_TaxCr,1469),0)</f>
        <v/>
      </c>
      <c r="O1475" s="101">
        <f>IF(H1475=1,IF(E1475&lt;FYStart,0,IF(E1475&gt;FYEnd,13,YEAR(E1475)*12+MONTH(E1475)-FYYM+1)),"")</f>
        <v/>
      </c>
      <c r="P1475" s="101">
        <f>IF(H1475=1,IF(IFERROR(INDEX(coa_CF,MATCH(I1475,coa_Name,0)),"")="Cash",1,0),0)</f>
        <v/>
      </c>
      <c r="Q1475" s="101">
        <f>IF(H1475=1,IF(IFERROR(INDEX(coa_CF,MATCH(K1475,coa_Name,0)),"")="Cash",1,0),0)</f>
        <v/>
      </c>
      <c r="R1475" s="58">
        <f>IF((P1475-Q1475)=0,"",IFERROR(INDEX(coa_CF,MATCH(IF((P1475-Q1475)=1,K1475,I1475),coa_Name,0)),"Operating"))</f>
        <v/>
      </c>
      <c r="S1475" s="95">
        <f>IF((P1475-Q1475)=1,L1475,IF((P1475-Q1475)=-1,-J1475,0))</f>
        <v/>
      </c>
      <c r="T1475" s="95">
        <f>IF((P1475-Q1475)=1,N1475,IF((P1475-Q1475)=-1,-M1475,0))</f>
        <v/>
      </c>
      <c r="U1475" s="101">
        <f>IF(AND(H1475=1,LedAcct&lt;&gt;""),IF(AND(E1475&gt;=LedFrom,E1475&lt;=LedTo,OR(I1475=LedAcct,K1475=LedAcct,AND(LedAcct=acctTax,M1475+N1475&lt;&gt;0))),E1475*10000+B1475,""),"")</f>
        <v/>
      </c>
    </row>
    <row r="1476">
      <c r="B1476" s="101" t="n">
        <v>1470</v>
      </c>
      <c r="C1476" s="58" t="inlineStr">
        <is>
          <t>Transaction</t>
        </is>
      </c>
      <c r="D1476" s="58">
        <f>IF(H1476=1,INDEX(tx_ID,1470)&amp;"","")</f>
        <v/>
      </c>
      <c r="E1476" s="94">
        <f>IF(H1476=1,INDEX(tx_Date,1470),"")</f>
        <v/>
      </c>
      <c r="F1476" s="58">
        <f>IF(H1476=1,INDEX(tx_Desc,1470)&amp;"","")</f>
        <v/>
      </c>
      <c r="G1476" s="58">
        <f>IF(H1476=1,IF(INDEX(tx_Cust,1470)&amp;""&lt;&gt;"",INDEX(tx_Cust,1470)&amp;"",INDEX(tx_Vend,1470)&amp;""),"")</f>
        <v/>
      </c>
      <c r="H1476" s="101">
        <f>IFERROR(N(INDEX(tx_Posted,1470)),0)</f>
        <v/>
      </c>
      <c r="I1476" s="58">
        <f>IF(H1476=1,INDEX(tx_DrAcct,1470)&amp;"","")</f>
        <v/>
      </c>
      <c r="J1476" s="95">
        <f>IF(H1476=1,INDEX(tx_DrAmt,1470),0)</f>
        <v/>
      </c>
      <c r="K1476" s="58">
        <f>IF(H1476=1,INDEX(tx_CrAcct,1470)&amp;"","")</f>
        <v/>
      </c>
      <c r="L1476" s="95">
        <f>IF(H1476=1,INDEX(tx_CrAmt,1470),0)</f>
        <v/>
      </c>
      <c r="M1476" s="95">
        <f>IF(H1476=1,INDEX(tx_TaxDr,1470),0)</f>
        <v/>
      </c>
      <c r="N1476" s="95">
        <f>IF(H1476=1,INDEX(tx_TaxCr,1470),0)</f>
        <v/>
      </c>
      <c r="O1476" s="101">
        <f>IF(H1476=1,IF(E1476&lt;FYStart,0,IF(E1476&gt;FYEnd,13,YEAR(E1476)*12+MONTH(E1476)-FYYM+1)),"")</f>
        <v/>
      </c>
      <c r="P1476" s="101">
        <f>IF(H1476=1,IF(IFERROR(INDEX(coa_CF,MATCH(I1476,coa_Name,0)),"")="Cash",1,0),0)</f>
        <v/>
      </c>
      <c r="Q1476" s="101">
        <f>IF(H1476=1,IF(IFERROR(INDEX(coa_CF,MATCH(K1476,coa_Name,0)),"")="Cash",1,0),0)</f>
        <v/>
      </c>
      <c r="R1476" s="58">
        <f>IF((P1476-Q1476)=0,"",IFERROR(INDEX(coa_CF,MATCH(IF((P1476-Q1476)=1,K1476,I1476),coa_Name,0)),"Operating"))</f>
        <v/>
      </c>
      <c r="S1476" s="95">
        <f>IF((P1476-Q1476)=1,L1476,IF((P1476-Q1476)=-1,-J1476,0))</f>
        <v/>
      </c>
      <c r="T1476" s="95">
        <f>IF((P1476-Q1476)=1,N1476,IF((P1476-Q1476)=-1,-M1476,0))</f>
        <v/>
      </c>
      <c r="U1476" s="101">
        <f>IF(AND(H1476=1,LedAcct&lt;&gt;""),IF(AND(E1476&gt;=LedFrom,E1476&lt;=LedTo,OR(I1476=LedAcct,K1476=LedAcct,AND(LedAcct=acctTax,M1476+N1476&lt;&gt;0))),E1476*10000+B1476,""),"")</f>
        <v/>
      </c>
    </row>
    <row r="1477">
      <c r="B1477" s="101" t="n">
        <v>1471</v>
      </c>
      <c r="C1477" s="58" t="inlineStr">
        <is>
          <t>Transaction</t>
        </is>
      </c>
      <c r="D1477" s="58">
        <f>IF(H1477=1,INDEX(tx_ID,1471)&amp;"","")</f>
        <v/>
      </c>
      <c r="E1477" s="94">
        <f>IF(H1477=1,INDEX(tx_Date,1471),"")</f>
        <v/>
      </c>
      <c r="F1477" s="58">
        <f>IF(H1477=1,INDEX(tx_Desc,1471)&amp;"","")</f>
        <v/>
      </c>
      <c r="G1477" s="58">
        <f>IF(H1477=1,IF(INDEX(tx_Cust,1471)&amp;""&lt;&gt;"",INDEX(tx_Cust,1471)&amp;"",INDEX(tx_Vend,1471)&amp;""),"")</f>
        <v/>
      </c>
      <c r="H1477" s="101">
        <f>IFERROR(N(INDEX(tx_Posted,1471)),0)</f>
        <v/>
      </c>
      <c r="I1477" s="58">
        <f>IF(H1477=1,INDEX(tx_DrAcct,1471)&amp;"","")</f>
        <v/>
      </c>
      <c r="J1477" s="95">
        <f>IF(H1477=1,INDEX(tx_DrAmt,1471),0)</f>
        <v/>
      </c>
      <c r="K1477" s="58">
        <f>IF(H1477=1,INDEX(tx_CrAcct,1471)&amp;"","")</f>
        <v/>
      </c>
      <c r="L1477" s="95">
        <f>IF(H1477=1,INDEX(tx_CrAmt,1471),0)</f>
        <v/>
      </c>
      <c r="M1477" s="95">
        <f>IF(H1477=1,INDEX(tx_TaxDr,1471),0)</f>
        <v/>
      </c>
      <c r="N1477" s="95">
        <f>IF(H1477=1,INDEX(tx_TaxCr,1471),0)</f>
        <v/>
      </c>
      <c r="O1477" s="101">
        <f>IF(H1477=1,IF(E1477&lt;FYStart,0,IF(E1477&gt;FYEnd,13,YEAR(E1477)*12+MONTH(E1477)-FYYM+1)),"")</f>
        <v/>
      </c>
      <c r="P1477" s="101">
        <f>IF(H1477=1,IF(IFERROR(INDEX(coa_CF,MATCH(I1477,coa_Name,0)),"")="Cash",1,0),0)</f>
        <v/>
      </c>
      <c r="Q1477" s="101">
        <f>IF(H1477=1,IF(IFERROR(INDEX(coa_CF,MATCH(K1477,coa_Name,0)),"")="Cash",1,0),0)</f>
        <v/>
      </c>
      <c r="R1477" s="58">
        <f>IF((P1477-Q1477)=0,"",IFERROR(INDEX(coa_CF,MATCH(IF((P1477-Q1477)=1,K1477,I1477),coa_Name,0)),"Operating"))</f>
        <v/>
      </c>
      <c r="S1477" s="95">
        <f>IF((P1477-Q1477)=1,L1477,IF((P1477-Q1477)=-1,-J1477,0))</f>
        <v/>
      </c>
      <c r="T1477" s="95">
        <f>IF((P1477-Q1477)=1,N1477,IF((P1477-Q1477)=-1,-M1477,0))</f>
        <v/>
      </c>
      <c r="U1477" s="101">
        <f>IF(AND(H1477=1,LedAcct&lt;&gt;""),IF(AND(E1477&gt;=LedFrom,E1477&lt;=LedTo,OR(I1477=LedAcct,K1477=LedAcct,AND(LedAcct=acctTax,M1477+N1477&lt;&gt;0))),E1477*10000+B1477,""),"")</f>
        <v/>
      </c>
    </row>
    <row r="1478">
      <c r="B1478" s="101" t="n">
        <v>1472</v>
      </c>
      <c r="C1478" s="58" t="inlineStr">
        <is>
          <t>Transaction</t>
        </is>
      </c>
      <c r="D1478" s="58">
        <f>IF(H1478=1,INDEX(tx_ID,1472)&amp;"","")</f>
        <v/>
      </c>
      <c r="E1478" s="94">
        <f>IF(H1478=1,INDEX(tx_Date,1472),"")</f>
        <v/>
      </c>
      <c r="F1478" s="58">
        <f>IF(H1478=1,INDEX(tx_Desc,1472)&amp;"","")</f>
        <v/>
      </c>
      <c r="G1478" s="58">
        <f>IF(H1478=1,IF(INDEX(tx_Cust,1472)&amp;""&lt;&gt;"",INDEX(tx_Cust,1472)&amp;"",INDEX(tx_Vend,1472)&amp;""),"")</f>
        <v/>
      </c>
      <c r="H1478" s="101">
        <f>IFERROR(N(INDEX(tx_Posted,1472)),0)</f>
        <v/>
      </c>
      <c r="I1478" s="58">
        <f>IF(H1478=1,INDEX(tx_DrAcct,1472)&amp;"","")</f>
        <v/>
      </c>
      <c r="J1478" s="95">
        <f>IF(H1478=1,INDEX(tx_DrAmt,1472),0)</f>
        <v/>
      </c>
      <c r="K1478" s="58">
        <f>IF(H1478=1,INDEX(tx_CrAcct,1472)&amp;"","")</f>
        <v/>
      </c>
      <c r="L1478" s="95">
        <f>IF(H1478=1,INDEX(tx_CrAmt,1472),0)</f>
        <v/>
      </c>
      <c r="M1478" s="95">
        <f>IF(H1478=1,INDEX(tx_TaxDr,1472),0)</f>
        <v/>
      </c>
      <c r="N1478" s="95">
        <f>IF(H1478=1,INDEX(tx_TaxCr,1472),0)</f>
        <v/>
      </c>
      <c r="O1478" s="101">
        <f>IF(H1478=1,IF(E1478&lt;FYStart,0,IF(E1478&gt;FYEnd,13,YEAR(E1478)*12+MONTH(E1478)-FYYM+1)),"")</f>
        <v/>
      </c>
      <c r="P1478" s="101">
        <f>IF(H1478=1,IF(IFERROR(INDEX(coa_CF,MATCH(I1478,coa_Name,0)),"")="Cash",1,0),0)</f>
        <v/>
      </c>
      <c r="Q1478" s="101">
        <f>IF(H1478=1,IF(IFERROR(INDEX(coa_CF,MATCH(K1478,coa_Name,0)),"")="Cash",1,0),0)</f>
        <v/>
      </c>
      <c r="R1478" s="58">
        <f>IF((P1478-Q1478)=0,"",IFERROR(INDEX(coa_CF,MATCH(IF((P1478-Q1478)=1,K1478,I1478),coa_Name,0)),"Operating"))</f>
        <v/>
      </c>
      <c r="S1478" s="95">
        <f>IF((P1478-Q1478)=1,L1478,IF((P1478-Q1478)=-1,-J1478,0))</f>
        <v/>
      </c>
      <c r="T1478" s="95">
        <f>IF((P1478-Q1478)=1,N1478,IF((P1478-Q1478)=-1,-M1478,0))</f>
        <v/>
      </c>
      <c r="U1478" s="101">
        <f>IF(AND(H1478=1,LedAcct&lt;&gt;""),IF(AND(E1478&gt;=LedFrom,E1478&lt;=LedTo,OR(I1478=LedAcct,K1478=LedAcct,AND(LedAcct=acctTax,M1478+N1478&lt;&gt;0))),E1478*10000+B1478,""),"")</f>
        <v/>
      </c>
    </row>
    <row r="1479">
      <c r="B1479" s="101" t="n">
        <v>1473</v>
      </c>
      <c r="C1479" s="58" t="inlineStr">
        <is>
          <t>Transaction</t>
        </is>
      </c>
      <c r="D1479" s="58">
        <f>IF(H1479=1,INDEX(tx_ID,1473)&amp;"","")</f>
        <v/>
      </c>
      <c r="E1479" s="94">
        <f>IF(H1479=1,INDEX(tx_Date,1473),"")</f>
        <v/>
      </c>
      <c r="F1479" s="58">
        <f>IF(H1479=1,INDEX(tx_Desc,1473)&amp;"","")</f>
        <v/>
      </c>
      <c r="G1479" s="58">
        <f>IF(H1479=1,IF(INDEX(tx_Cust,1473)&amp;""&lt;&gt;"",INDEX(tx_Cust,1473)&amp;"",INDEX(tx_Vend,1473)&amp;""),"")</f>
        <v/>
      </c>
      <c r="H1479" s="101">
        <f>IFERROR(N(INDEX(tx_Posted,1473)),0)</f>
        <v/>
      </c>
      <c r="I1479" s="58">
        <f>IF(H1479=1,INDEX(tx_DrAcct,1473)&amp;"","")</f>
        <v/>
      </c>
      <c r="J1479" s="95">
        <f>IF(H1479=1,INDEX(tx_DrAmt,1473),0)</f>
        <v/>
      </c>
      <c r="K1479" s="58">
        <f>IF(H1479=1,INDEX(tx_CrAcct,1473)&amp;"","")</f>
        <v/>
      </c>
      <c r="L1479" s="95">
        <f>IF(H1479=1,INDEX(tx_CrAmt,1473),0)</f>
        <v/>
      </c>
      <c r="M1479" s="95">
        <f>IF(H1479=1,INDEX(tx_TaxDr,1473),0)</f>
        <v/>
      </c>
      <c r="N1479" s="95">
        <f>IF(H1479=1,INDEX(tx_TaxCr,1473),0)</f>
        <v/>
      </c>
      <c r="O1479" s="101">
        <f>IF(H1479=1,IF(E1479&lt;FYStart,0,IF(E1479&gt;FYEnd,13,YEAR(E1479)*12+MONTH(E1479)-FYYM+1)),"")</f>
        <v/>
      </c>
      <c r="P1479" s="101">
        <f>IF(H1479=1,IF(IFERROR(INDEX(coa_CF,MATCH(I1479,coa_Name,0)),"")="Cash",1,0),0)</f>
        <v/>
      </c>
      <c r="Q1479" s="101">
        <f>IF(H1479=1,IF(IFERROR(INDEX(coa_CF,MATCH(K1479,coa_Name,0)),"")="Cash",1,0),0)</f>
        <v/>
      </c>
      <c r="R1479" s="58">
        <f>IF((P1479-Q1479)=0,"",IFERROR(INDEX(coa_CF,MATCH(IF((P1479-Q1479)=1,K1479,I1479),coa_Name,0)),"Operating"))</f>
        <v/>
      </c>
      <c r="S1479" s="95">
        <f>IF((P1479-Q1479)=1,L1479,IF((P1479-Q1479)=-1,-J1479,0))</f>
        <v/>
      </c>
      <c r="T1479" s="95">
        <f>IF((P1479-Q1479)=1,N1479,IF((P1479-Q1479)=-1,-M1479,0))</f>
        <v/>
      </c>
      <c r="U1479" s="101">
        <f>IF(AND(H1479=1,LedAcct&lt;&gt;""),IF(AND(E1479&gt;=LedFrom,E1479&lt;=LedTo,OR(I1479=LedAcct,K1479=LedAcct,AND(LedAcct=acctTax,M1479+N1479&lt;&gt;0))),E1479*10000+B1479,""),"")</f>
        <v/>
      </c>
    </row>
    <row r="1480">
      <c r="B1480" s="101" t="n">
        <v>1474</v>
      </c>
      <c r="C1480" s="58" t="inlineStr">
        <is>
          <t>Transaction</t>
        </is>
      </c>
      <c r="D1480" s="58">
        <f>IF(H1480=1,INDEX(tx_ID,1474)&amp;"","")</f>
        <v/>
      </c>
      <c r="E1480" s="94">
        <f>IF(H1480=1,INDEX(tx_Date,1474),"")</f>
        <v/>
      </c>
      <c r="F1480" s="58">
        <f>IF(H1480=1,INDEX(tx_Desc,1474)&amp;"","")</f>
        <v/>
      </c>
      <c r="G1480" s="58">
        <f>IF(H1480=1,IF(INDEX(tx_Cust,1474)&amp;""&lt;&gt;"",INDEX(tx_Cust,1474)&amp;"",INDEX(tx_Vend,1474)&amp;""),"")</f>
        <v/>
      </c>
      <c r="H1480" s="101">
        <f>IFERROR(N(INDEX(tx_Posted,1474)),0)</f>
        <v/>
      </c>
      <c r="I1480" s="58">
        <f>IF(H1480=1,INDEX(tx_DrAcct,1474)&amp;"","")</f>
        <v/>
      </c>
      <c r="J1480" s="95">
        <f>IF(H1480=1,INDEX(tx_DrAmt,1474),0)</f>
        <v/>
      </c>
      <c r="K1480" s="58">
        <f>IF(H1480=1,INDEX(tx_CrAcct,1474)&amp;"","")</f>
        <v/>
      </c>
      <c r="L1480" s="95">
        <f>IF(H1480=1,INDEX(tx_CrAmt,1474),0)</f>
        <v/>
      </c>
      <c r="M1480" s="95">
        <f>IF(H1480=1,INDEX(tx_TaxDr,1474),0)</f>
        <v/>
      </c>
      <c r="N1480" s="95">
        <f>IF(H1480=1,INDEX(tx_TaxCr,1474),0)</f>
        <v/>
      </c>
      <c r="O1480" s="101">
        <f>IF(H1480=1,IF(E1480&lt;FYStart,0,IF(E1480&gt;FYEnd,13,YEAR(E1480)*12+MONTH(E1480)-FYYM+1)),"")</f>
        <v/>
      </c>
      <c r="P1480" s="101">
        <f>IF(H1480=1,IF(IFERROR(INDEX(coa_CF,MATCH(I1480,coa_Name,0)),"")="Cash",1,0),0)</f>
        <v/>
      </c>
      <c r="Q1480" s="101">
        <f>IF(H1480=1,IF(IFERROR(INDEX(coa_CF,MATCH(K1480,coa_Name,0)),"")="Cash",1,0),0)</f>
        <v/>
      </c>
      <c r="R1480" s="58">
        <f>IF((P1480-Q1480)=0,"",IFERROR(INDEX(coa_CF,MATCH(IF((P1480-Q1480)=1,K1480,I1480),coa_Name,0)),"Operating"))</f>
        <v/>
      </c>
      <c r="S1480" s="95">
        <f>IF((P1480-Q1480)=1,L1480,IF((P1480-Q1480)=-1,-J1480,0))</f>
        <v/>
      </c>
      <c r="T1480" s="95">
        <f>IF((P1480-Q1480)=1,N1480,IF((P1480-Q1480)=-1,-M1480,0))</f>
        <v/>
      </c>
      <c r="U1480" s="101">
        <f>IF(AND(H1480=1,LedAcct&lt;&gt;""),IF(AND(E1480&gt;=LedFrom,E1480&lt;=LedTo,OR(I1480=LedAcct,K1480=LedAcct,AND(LedAcct=acctTax,M1480+N1480&lt;&gt;0))),E1480*10000+B1480,""),"")</f>
        <v/>
      </c>
    </row>
    <row r="1481">
      <c r="B1481" s="101" t="n">
        <v>1475</v>
      </c>
      <c r="C1481" s="58" t="inlineStr">
        <is>
          <t>Transaction</t>
        </is>
      </c>
      <c r="D1481" s="58">
        <f>IF(H1481=1,INDEX(tx_ID,1475)&amp;"","")</f>
        <v/>
      </c>
      <c r="E1481" s="94">
        <f>IF(H1481=1,INDEX(tx_Date,1475),"")</f>
        <v/>
      </c>
      <c r="F1481" s="58">
        <f>IF(H1481=1,INDEX(tx_Desc,1475)&amp;"","")</f>
        <v/>
      </c>
      <c r="G1481" s="58">
        <f>IF(H1481=1,IF(INDEX(tx_Cust,1475)&amp;""&lt;&gt;"",INDEX(tx_Cust,1475)&amp;"",INDEX(tx_Vend,1475)&amp;""),"")</f>
        <v/>
      </c>
      <c r="H1481" s="101">
        <f>IFERROR(N(INDEX(tx_Posted,1475)),0)</f>
        <v/>
      </c>
      <c r="I1481" s="58">
        <f>IF(H1481=1,INDEX(tx_DrAcct,1475)&amp;"","")</f>
        <v/>
      </c>
      <c r="J1481" s="95">
        <f>IF(H1481=1,INDEX(tx_DrAmt,1475),0)</f>
        <v/>
      </c>
      <c r="K1481" s="58">
        <f>IF(H1481=1,INDEX(tx_CrAcct,1475)&amp;"","")</f>
        <v/>
      </c>
      <c r="L1481" s="95">
        <f>IF(H1481=1,INDEX(tx_CrAmt,1475),0)</f>
        <v/>
      </c>
      <c r="M1481" s="95">
        <f>IF(H1481=1,INDEX(tx_TaxDr,1475),0)</f>
        <v/>
      </c>
      <c r="N1481" s="95">
        <f>IF(H1481=1,INDEX(tx_TaxCr,1475),0)</f>
        <v/>
      </c>
      <c r="O1481" s="101">
        <f>IF(H1481=1,IF(E1481&lt;FYStart,0,IF(E1481&gt;FYEnd,13,YEAR(E1481)*12+MONTH(E1481)-FYYM+1)),"")</f>
        <v/>
      </c>
      <c r="P1481" s="101">
        <f>IF(H1481=1,IF(IFERROR(INDEX(coa_CF,MATCH(I1481,coa_Name,0)),"")="Cash",1,0),0)</f>
        <v/>
      </c>
      <c r="Q1481" s="101">
        <f>IF(H1481=1,IF(IFERROR(INDEX(coa_CF,MATCH(K1481,coa_Name,0)),"")="Cash",1,0),0)</f>
        <v/>
      </c>
      <c r="R1481" s="58">
        <f>IF((P1481-Q1481)=0,"",IFERROR(INDEX(coa_CF,MATCH(IF((P1481-Q1481)=1,K1481,I1481),coa_Name,0)),"Operating"))</f>
        <v/>
      </c>
      <c r="S1481" s="95">
        <f>IF((P1481-Q1481)=1,L1481,IF((P1481-Q1481)=-1,-J1481,0))</f>
        <v/>
      </c>
      <c r="T1481" s="95">
        <f>IF((P1481-Q1481)=1,N1481,IF((P1481-Q1481)=-1,-M1481,0))</f>
        <v/>
      </c>
      <c r="U1481" s="101">
        <f>IF(AND(H1481=1,LedAcct&lt;&gt;""),IF(AND(E1481&gt;=LedFrom,E1481&lt;=LedTo,OR(I1481=LedAcct,K1481=LedAcct,AND(LedAcct=acctTax,M1481+N1481&lt;&gt;0))),E1481*10000+B1481,""),"")</f>
        <v/>
      </c>
    </row>
    <row r="1482">
      <c r="B1482" s="101" t="n">
        <v>1476</v>
      </c>
      <c r="C1482" s="58" t="inlineStr">
        <is>
          <t>Transaction</t>
        </is>
      </c>
      <c r="D1482" s="58">
        <f>IF(H1482=1,INDEX(tx_ID,1476)&amp;"","")</f>
        <v/>
      </c>
      <c r="E1482" s="94">
        <f>IF(H1482=1,INDEX(tx_Date,1476),"")</f>
        <v/>
      </c>
      <c r="F1482" s="58">
        <f>IF(H1482=1,INDEX(tx_Desc,1476)&amp;"","")</f>
        <v/>
      </c>
      <c r="G1482" s="58">
        <f>IF(H1482=1,IF(INDEX(tx_Cust,1476)&amp;""&lt;&gt;"",INDEX(tx_Cust,1476)&amp;"",INDEX(tx_Vend,1476)&amp;""),"")</f>
        <v/>
      </c>
      <c r="H1482" s="101">
        <f>IFERROR(N(INDEX(tx_Posted,1476)),0)</f>
        <v/>
      </c>
      <c r="I1482" s="58">
        <f>IF(H1482=1,INDEX(tx_DrAcct,1476)&amp;"","")</f>
        <v/>
      </c>
      <c r="J1482" s="95">
        <f>IF(H1482=1,INDEX(tx_DrAmt,1476),0)</f>
        <v/>
      </c>
      <c r="K1482" s="58">
        <f>IF(H1482=1,INDEX(tx_CrAcct,1476)&amp;"","")</f>
        <v/>
      </c>
      <c r="L1482" s="95">
        <f>IF(H1482=1,INDEX(tx_CrAmt,1476),0)</f>
        <v/>
      </c>
      <c r="M1482" s="95">
        <f>IF(H1482=1,INDEX(tx_TaxDr,1476),0)</f>
        <v/>
      </c>
      <c r="N1482" s="95">
        <f>IF(H1482=1,INDEX(tx_TaxCr,1476),0)</f>
        <v/>
      </c>
      <c r="O1482" s="101">
        <f>IF(H1482=1,IF(E1482&lt;FYStart,0,IF(E1482&gt;FYEnd,13,YEAR(E1482)*12+MONTH(E1482)-FYYM+1)),"")</f>
        <v/>
      </c>
      <c r="P1482" s="101">
        <f>IF(H1482=1,IF(IFERROR(INDEX(coa_CF,MATCH(I1482,coa_Name,0)),"")="Cash",1,0),0)</f>
        <v/>
      </c>
      <c r="Q1482" s="101">
        <f>IF(H1482=1,IF(IFERROR(INDEX(coa_CF,MATCH(K1482,coa_Name,0)),"")="Cash",1,0),0)</f>
        <v/>
      </c>
      <c r="R1482" s="58">
        <f>IF((P1482-Q1482)=0,"",IFERROR(INDEX(coa_CF,MATCH(IF((P1482-Q1482)=1,K1482,I1482),coa_Name,0)),"Operating"))</f>
        <v/>
      </c>
      <c r="S1482" s="95">
        <f>IF((P1482-Q1482)=1,L1482,IF((P1482-Q1482)=-1,-J1482,0))</f>
        <v/>
      </c>
      <c r="T1482" s="95">
        <f>IF((P1482-Q1482)=1,N1482,IF((P1482-Q1482)=-1,-M1482,0))</f>
        <v/>
      </c>
      <c r="U1482" s="101">
        <f>IF(AND(H1482=1,LedAcct&lt;&gt;""),IF(AND(E1482&gt;=LedFrom,E1482&lt;=LedTo,OR(I1482=LedAcct,K1482=LedAcct,AND(LedAcct=acctTax,M1482+N1482&lt;&gt;0))),E1482*10000+B1482,""),"")</f>
        <v/>
      </c>
    </row>
    <row r="1483">
      <c r="B1483" s="101" t="n">
        <v>1477</v>
      </c>
      <c r="C1483" s="58" t="inlineStr">
        <is>
          <t>Transaction</t>
        </is>
      </c>
      <c r="D1483" s="58">
        <f>IF(H1483=1,INDEX(tx_ID,1477)&amp;"","")</f>
        <v/>
      </c>
      <c r="E1483" s="94">
        <f>IF(H1483=1,INDEX(tx_Date,1477),"")</f>
        <v/>
      </c>
      <c r="F1483" s="58">
        <f>IF(H1483=1,INDEX(tx_Desc,1477)&amp;"","")</f>
        <v/>
      </c>
      <c r="G1483" s="58">
        <f>IF(H1483=1,IF(INDEX(tx_Cust,1477)&amp;""&lt;&gt;"",INDEX(tx_Cust,1477)&amp;"",INDEX(tx_Vend,1477)&amp;""),"")</f>
        <v/>
      </c>
      <c r="H1483" s="101">
        <f>IFERROR(N(INDEX(tx_Posted,1477)),0)</f>
        <v/>
      </c>
      <c r="I1483" s="58">
        <f>IF(H1483=1,INDEX(tx_DrAcct,1477)&amp;"","")</f>
        <v/>
      </c>
      <c r="J1483" s="95">
        <f>IF(H1483=1,INDEX(tx_DrAmt,1477),0)</f>
        <v/>
      </c>
      <c r="K1483" s="58">
        <f>IF(H1483=1,INDEX(tx_CrAcct,1477)&amp;"","")</f>
        <v/>
      </c>
      <c r="L1483" s="95">
        <f>IF(H1483=1,INDEX(tx_CrAmt,1477),0)</f>
        <v/>
      </c>
      <c r="M1483" s="95">
        <f>IF(H1483=1,INDEX(tx_TaxDr,1477),0)</f>
        <v/>
      </c>
      <c r="N1483" s="95">
        <f>IF(H1483=1,INDEX(tx_TaxCr,1477),0)</f>
        <v/>
      </c>
      <c r="O1483" s="101">
        <f>IF(H1483=1,IF(E1483&lt;FYStart,0,IF(E1483&gt;FYEnd,13,YEAR(E1483)*12+MONTH(E1483)-FYYM+1)),"")</f>
        <v/>
      </c>
      <c r="P1483" s="101">
        <f>IF(H1483=1,IF(IFERROR(INDEX(coa_CF,MATCH(I1483,coa_Name,0)),"")="Cash",1,0),0)</f>
        <v/>
      </c>
      <c r="Q1483" s="101">
        <f>IF(H1483=1,IF(IFERROR(INDEX(coa_CF,MATCH(K1483,coa_Name,0)),"")="Cash",1,0),0)</f>
        <v/>
      </c>
      <c r="R1483" s="58">
        <f>IF((P1483-Q1483)=0,"",IFERROR(INDEX(coa_CF,MATCH(IF((P1483-Q1483)=1,K1483,I1483),coa_Name,0)),"Operating"))</f>
        <v/>
      </c>
      <c r="S1483" s="95">
        <f>IF((P1483-Q1483)=1,L1483,IF((P1483-Q1483)=-1,-J1483,0))</f>
        <v/>
      </c>
      <c r="T1483" s="95">
        <f>IF((P1483-Q1483)=1,N1483,IF((P1483-Q1483)=-1,-M1483,0))</f>
        <v/>
      </c>
      <c r="U1483" s="101">
        <f>IF(AND(H1483=1,LedAcct&lt;&gt;""),IF(AND(E1483&gt;=LedFrom,E1483&lt;=LedTo,OR(I1483=LedAcct,K1483=LedAcct,AND(LedAcct=acctTax,M1483+N1483&lt;&gt;0))),E1483*10000+B1483,""),"")</f>
        <v/>
      </c>
    </row>
    <row r="1484">
      <c r="B1484" s="101" t="n">
        <v>1478</v>
      </c>
      <c r="C1484" s="58" t="inlineStr">
        <is>
          <t>Transaction</t>
        </is>
      </c>
      <c r="D1484" s="58">
        <f>IF(H1484=1,INDEX(tx_ID,1478)&amp;"","")</f>
        <v/>
      </c>
      <c r="E1484" s="94">
        <f>IF(H1484=1,INDEX(tx_Date,1478),"")</f>
        <v/>
      </c>
      <c r="F1484" s="58">
        <f>IF(H1484=1,INDEX(tx_Desc,1478)&amp;"","")</f>
        <v/>
      </c>
      <c r="G1484" s="58">
        <f>IF(H1484=1,IF(INDEX(tx_Cust,1478)&amp;""&lt;&gt;"",INDEX(tx_Cust,1478)&amp;"",INDEX(tx_Vend,1478)&amp;""),"")</f>
        <v/>
      </c>
      <c r="H1484" s="101">
        <f>IFERROR(N(INDEX(tx_Posted,1478)),0)</f>
        <v/>
      </c>
      <c r="I1484" s="58">
        <f>IF(H1484=1,INDEX(tx_DrAcct,1478)&amp;"","")</f>
        <v/>
      </c>
      <c r="J1484" s="95">
        <f>IF(H1484=1,INDEX(tx_DrAmt,1478),0)</f>
        <v/>
      </c>
      <c r="K1484" s="58">
        <f>IF(H1484=1,INDEX(tx_CrAcct,1478)&amp;"","")</f>
        <v/>
      </c>
      <c r="L1484" s="95">
        <f>IF(H1484=1,INDEX(tx_CrAmt,1478),0)</f>
        <v/>
      </c>
      <c r="M1484" s="95">
        <f>IF(H1484=1,INDEX(tx_TaxDr,1478),0)</f>
        <v/>
      </c>
      <c r="N1484" s="95">
        <f>IF(H1484=1,INDEX(tx_TaxCr,1478),0)</f>
        <v/>
      </c>
      <c r="O1484" s="101">
        <f>IF(H1484=1,IF(E1484&lt;FYStart,0,IF(E1484&gt;FYEnd,13,YEAR(E1484)*12+MONTH(E1484)-FYYM+1)),"")</f>
        <v/>
      </c>
      <c r="P1484" s="101">
        <f>IF(H1484=1,IF(IFERROR(INDEX(coa_CF,MATCH(I1484,coa_Name,0)),"")="Cash",1,0),0)</f>
        <v/>
      </c>
      <c r="Q1484" s="101">
        <f>IF(H1484=1,IF(IFERROR(INDEX(coa_CF,MATCH(K1484,coa_Name,0)),"")="Cash",1,0),0)</f>
        <v/>
      </c>
      <c r="R1484" s="58">
        <f>IF((P1484-Q1484)=0,"",IFERROR(INDEX(coa_CF,MATCH(IF((P1484-Q1484)=1,K1484,I1484),coa_Name,0)),"Operating"))</f>
        <v/>
      </c>
      <c r="S1484" s="95">
        <f>IF((P1484-Q1484)=1,L1484,IF((P1484-Q1484)=-1,-J1484,0))</f>
        <v/>
      </c>
      <c r="T1484" s="95">
        <f>IF((P1484-Q1484)=1,N1484,IF((P1484-Q1484)=-1,-M1484,0))</f>
        <v/>
      </c>
      <c r="U1484" s="101">
        <f>IF(AND(H1484=1,LedAcct&lt;&gt;""),IF(AND(E1484&gt;=LedFrom,E1484&lt;=LedTo,OR(I1484=LedAcct,K1484=LedAcct,AND(LedAcct=acctTax,M1484+N1484&lt;&gt;0))),E1484*10000+B1484,""),"")</f>
        <v/>
      </c>
    </row>
    <row r="1485">
      <c r="B1485" s="101" t="n">
        <v>1479</v>
      </c>
      <c r="C1485" s="58" t="inlineStr">
        <is>
          <t>Transaction</t>
        </is>
      </c>
      <c r="D1485" s="58">
        <f>IF(H1485=1,INDEX(tx_ID,1479)&amp;"","")</f>
        <v/>
      </c>
      <c r="E1485" s="94">
        <f>IF(H1485=1,INDEX(tx_Date,1479),"")</f>
        <v/>
      </c>
      <c r="F1485" s="58">
        <f>IF(H1485=1,INDEX(tx_Desc,1479)&amp;"","")</f>
        <v/>
      </c>
      <c r="G1485" s="58">
        <f>IF(H1485=1,IF(INDEX(tx_Cust,1479)&amp;""&lt;&gt;"",INDEX(tx_Cust,1479)&amp;"",INDEX(tx_Vend,1479)&amp;""),"")</f>
        <v/>
      </c>
      <c r="H1485" s="101">
        <f>IFERROR(N(INDEX(tx_Posted,1479)),0)</f>
        <v/>
      </c>
      <c r="I1485" s="58">
        <f>IF(H1485=1,INDEX(tx_DrAcct,1479)&amp;"","")</f>
        <v/>
      </c>
      <c r="J1485" s="95">
        <f>IF(H1485=1,INDEX(tx_DrAmt,1479),0)</f>
        <v/>
      </c>
      <c r="K1485" s="58">
        <f>IF(H1485=1,INDEX(tx_CrAcct,1479)&amp;"","")</f>
        <v/>
      </c>
      <c r="L1485" s="95">
        <f>IF(H1485=1,INDEX(tx_CrAmt,1479),0)</f>
        <v/>
      </c>
      <c r="M1485" s="95">
        <f>IF(H1485=1,INDEX(tx_TaxDr,1479),0)</f>
        <v/>
      </c>
      <c r="N1485" s="95">
        <f>IF(H1485=1,INDEX(tx_TaxCr,1479),0)</f>
        <v/>
      </c>
      <c r="O1485" s="101">
        <f>IF(H1485=1,IF(E1485&lt;FYStart,0,IF(E1485&gt;FYEnd,13,YEAR(E1485)*12+MONTH(E1485)-FYYM+1)),"")</f>
        <v/>
      </c>
      <c r="P1485" s="101">
        <f>IF(H1485=1,IF(IFERROR(INDEX(coa_CF,MATCH(I1485,coa_Name,0)),"")="Cash",1,0),0)</f>
        <v/>
      </c>
      <c r="Q1485" s="101">
        <f>IF(H1485=1,IF(IFERROR(INDEX(coa_CF,MATCH(K1485,coa_Name,0)),"")="Cash",1,0),0)</f>
        <v/>
      </c>
      <c r="R1485" s="58">
        <f>IF((P1485-Q1485)=0,"",IFERROR(INDEX(coa_CF,MATCH(IF((P1485-Q1485)=1,K1485,I1485),coa_Name,0)),"Operating"))</f>
        <v/>
      </c>
      <c r="S1485" s="95">
        <f>IF((P1485-Q1485)=1,L1485,IF((P1485-Q1485)=-1,-J1485,0))</f>
        <v/>
      </c>
      <c r="T1485" s="95">
        <f>IF((P1485-Q1485)=1,N1485,IF((P1485-Q1485)=-1,-M1485,0))</f>
        <v/>
      </c>
      <c r="U1485" s="101">
        <f>IF(AND(H1485=1,LedAcct&lt;&gt;""),IF(AND(E1485&gt;=LedFrom,E1485&lt;=LedTo,OR(I1485=LedAcct,K1485=LedAcct,AND(LedAcct=acctTax,M1485+N1485&lt;&gt;0))),E1485*10000+B1485,""),"")</f>
        <v/>
      </c>
    </row>
    <row r="1486">
      <c r="B1486" s="101" t="n">
        <v>1480</v>
      </c>
      <c r="C1486" s="58" t="inlineStr">
        <is>
          <t>Transaction</t>
        </is>
      </c>
      <c r="D1486" s="58">
        <f>IF(H1486=1,INDEX(tx_ID,1480)&amp;"","")</f>
        <v/>
      </c>
      <c r="E1486" s="94">
        <f>IF(H1486=1,INDEX(tx_Date,1480),"")</f>
        <v/>
      </c>
      <c r="F1486" s="58">
        <f>IF(H1486=1,INDEX(tx_Desc,1480)&amp;"","")</f>
        <v/>
      </c>
      <c r="G1486" s="58">
        <f>IF(H1486=1,IF(INDEX(tx_Cust,1480)&amp;""&lt;&gt;"",INDEX(tx_Cust,1480)&amp;"",INDEX(tx_Vend,1480)&amp;""),"")</f>
        <v/>
      </c>
      <c r="H1486" s="101">
        <f>IFERROR(N(INDEX(tx_Posted,1480)),0)</f>
        <v/>
      </c>
      <c r="I1486" s="58">
        <f>IF(H1486=1,INDEX(tx_DrAcct,1480)&amp;"","")</f>
        <v/>
      </c>
      <c r="J1486" s="95">
        <f>IF(H1486=1,INDEX(tx_DrAmt,1480),0)</f>
        <v/>
      </c>
      <c r="K1486" s="58">
        <f>IF(H1486=1,INDEX(tx_CrAcct,1480)&amp;"","")</f>
        <v/>
      </c>
      <c r="L1486" s="95">
        <f>IF(H1486=1,INDEX(tx_CrAmt,1480),0)</f>
        <v/>
      </c>
      <c r="M1486" s="95">
        <f>IF(H1486=1,INDEX(tx_TaxDr,1480),0)</f>
        <v/>
      </c>
      <c r="N1486" s="95">
        <f>IF(H1486=1,INDEX(tx_TaxCr,1480),0)</f>
        <v/>
      </c>
      <c r="O1486" s="101">
        <f>IF(H1486=1,IF(E1486&lt;FYStart,0,IF(E1486&gt;FYEnd,13,YEAR(E1486)*12+MONTH(E1486)-FYYM+1)),"")</f>
        <v/>
      </c>
      <c r="P1486" s="101">
        <f>IF(H1486=1,IF(IFERROR(INDEX(coa_CF,MATCH(I1486,coa_Name,0)),"")="Cash",1,0),0)</f>
        <v/>
      </c>
      <c r="Q1486" s="101">
        <f>IF(H1486=1,IF(IFERROR(INDEX(coa_CF,MATCH(K1486,coa_Name,0)),"")="Cash",1,0),0)</f>
        <v/>
      </c>
      <c r="R1486" s="58">
        <f>IF((P1486-Q1486)=0,"",IFERROR(INDEX(coa_CF,MATCH(IF((P1486-Q1486)=1,K1486,I1486),coa_Name,0)),"Operating"))</f>
        <v/>
      </c>
      <c r="S1486" s="95">
        <f>IF((P1486-Q1486)=1,L1486,IF((P1486-Q1486)=-1,-J1486,0))</f>
        <v/>
      </c>
      <c r="T1486" s="95">
        <f>IF((P1486-Q1486)=1,N1486,IF((P1486-Q1486)=-1,-M1486,0))</f>
        <v/>
      </c>
      <c r="U1486" s="101">
        <f>IF(AND(H1486=1,LedAcct&lt;&gt;""),IF(AND(E1486&gt;=LedFrom,E1486&lt;=LedTo,OR(I1486=LedAcct,K1486=LedAcct,AND(LedAcct=acctTax,M1486+N1486&lt;&gt;0))),E1486*10000+B1486,""),"")</f>
        <v/>
      </c>
    </row>
    <row r="1487">
      <c r="B1487" s="101" t="n">
        <v>1481</v>
      </c>
      <c r="C1487" s="58" t="inlineStr">
        <is>
          <t>Transaction</t>
        </is>
      </c>
      <c r="D1487" s="58">
        <f>IF(H1487=1,INDEX(tx_ID,1481)&amp;"","")</f>
        <v/>
      </c>
      <c r="E1487" s="94">
        <f>IF(H1487=1,INDEX(tx_Date,1481),"")</f>
        <v/>
      </c>
      <c r="F1487" s="58">
        <f>IF(H1487=1,INDEX(tx_Desc,1481)&amp;"","")</f>
        <v/>
      </c>
      <c r="G1487" s="58">
        <f>IF(H1487=1,IF(INDEX(tx_Cust,1481)&amp;""&lt;&gt;"",INDEX(tx_Cust,1481)&amp;"",INDEX(tx_Vend,1481)&amp;""),"")</f>
        <v/>
      </c>
      <c r="H1487" s="101">
        <f>IFERROR(N(INDEX(tx_Posted,1481)),0)</f>
        <v/>
      </c>
      <c r="I1487" s="58">
        <f>IF(H1487=1,INDEX(tx_DrAcct,1481)&amp;"","")</f>
        <v/>
      </c>
      <c r="J1487" s="95">
        <f>IF(H1487=1,INDEX(tx_DrAmt,1481),0)</f>
        <v/>
      </c>
      <c r="K1487" s="58">
        <f>IF(H1487=1,INDEX(tx_CrAcct,1481)&amp;"","")</f>
        <v/>
      </c>
      <c r="L1487" s="95">
        <f>IF(H1487=1,INDEX(tx_CrAmt,1481),0)</f>
        <v/>
      </c>
      <c r="M1487" s="95">
        <f>IF(H1487=1,INDEX(tx_TaxDr,1481),0)</f>
        <v/>
      </c>
      <c r="N1487" s="95">
        <f>IF(H1487=1,INDEX(tx_TaxCr,1481),0)</f>
        <v/>
      </c>
      <c r="O1487" s="101">
        <f>IF(H1487=1,IF(E1487&lt;FYStart,0,IF(E1487&gt;FYEnd,13,YEAR(E1487)*12+MONTH(E1487)-FYYM+1)),"")</f>
        <v/>
      </c>
      <c r="P1487" s="101">
        <f>IF(H1487=1,IF(IFERROR(INDEX(coa_CF,MATCH(I1487,coa_Name,0)),"")="Cash",1,0),0)</f>
        <v/>
      </c>
      <c r="Q1487" s="101">
        <f>IF(H1487=1,IF(IFERROR(INDEX(coa_CF,MATCH(K1487,coa_Name,0)),"")="Cash",1,0),0)</f>
        <v/>
      </c>
      <c r="R1487" s="58">
        <f>IF((P1487-Q1487)=0,"",IFERROR(INDEX(coa_CF,MATCH(IF((P1487-Q1487)=1,K1487,I1487),coa_Name,0)),"Operating"))</f>
        <v/>
      </c>
      <c r="S1487" s="95">
        <f>IF((P1487-Q1487)=1,L1487,IF((P1487-Q1487)=-1,-J1487,0))</f>
        <v/>
      </c>
      <c r="T1487" s="95">
        <f>IF((P1487-Q1487)=1,N1487,IF((P1487-Q1487)=-1,-M1487,0))</f>
        <v/>
      </c>
      <c r="U1487" s="101">
        <f>IF(AND(H1487=1,LedAcct&lt;&gt;""),IF(AND(E1487&gt;=LedFrom,E1487&lt;=LedTo,OR(I1487=LedAcct,K1487=LedAcct,AND(LedAcct=acctTax,M1487+N1487&lt;&gt;0))),E1487*10000+B1487,""),"")</f>
        <v/>
      </c>
    </row>
    <row r="1488">
      <c r="B1488" s="101" t="n">
        <v>1482</v>
      </c>
      <c r="C1488" s="58" t="inlineStr">
        <is>
          <t>Transaction</t>
        </is>
      </c>
      <c r="D1488" s="58">
        <f>IF(H1488=1,INDEX(tx_ID,1482)&amp;"","")</f>
        <v/>
      </c>
      <c r="E1488" s="94">
        <f>IF(H1488=1,INDEX(tx_Date,1482),"")</f>
        <v/>
      </c>
      <c r="F1488" s="58">
        <f>IF(H1488=1,INDEX(tx_Desc,1482)&amp;"","")</f>
        <v/>
      </c>
      <c r="G1488" s="58">
        <f>IF(H1488=1,IF(INDEX(tx_Cust,1482)&amp;""&lt;&gt;"",INDEX(tx_Cust,1482)&amp;"",INDEX(tx_Vend,1482)&amp;""),"")</f>
        <v/>
      </c>
      <c r="H1488" s="101">
        <f>IFERROR(N(INDEX(tx_Posted,1482)),0)</f>
        <v/>
      </c>
      <c r="I1488" s="58">
        <f>IF(H1488=1,INDEX(tx_DrAcct,1482)&amp;"","")</f>
        <v/>
      </c>
      <c r="J1488" s="95">
        <f>IF(H1488=1,INDEX(tx_DrAmt,1482),0)</f>
        <v/>
      </c>
      <c r="K1488" s="58">
        <f>IF(H1488=1,INDEX(tx_CrAcct,1482)&amp;"","")</f>
        <v/>
      </c>
      <c r="L1488" s="95">
        <f>IF(H1488=1,INDEX(tx_CrAmt,1482),0)</f>
        <v/>
      </c>
      <c r="M1488" s="95">
        <f>IF(H1488=1,INDEX(tx_TaxDr,1482),0)</f>
        <v/>
      </c>
      <c r="N1488" s="95">
        <f>IF(H1488=1,INDEX(tx_TaxCr,1482),0)</f>
        <v/>
      </c>
      <c r="O1488" s="101">
        <f>IF(H1488=1,IF(E1488&lt;FYStart,0,IF(E1488&gt;FYEnd,13,YEAR(E1488)*12+MONTH(E1488)-FYYM+1)),"")</f>
        <v/>
      </c>
      <c r="P1488" s="101">
        <f>IF(H1488=1,IF(IFERROR(INDEX(coa_CF,MATCH(I1488,coa_Name,0)),"")="Cash",1,0),0)</f>
        <v/>
      </c>
      <c r="Q1488" s="101">
        <f>IF(H1488=1,IF(IFERROR(INDEX(coa_CF,MATCH(K1488,coa_Name,0)),"")="Cash",1,0),0)</f>
        <v/>
      </c>
      <c r="R1488" s="58">
        <f>IF((P1488-Q1488)=0,"",IFERROR(INDEX(coa_CF,MATCH(IF((P1488-Q1488)=1,K1488,I1488),coa_Name,0)),"Operating"))</f>
        <v/>
      </c>
      <c r="S1488" s="95">
        <f>IF((P1488-Q1488)=1,L1488,IF((P1488-Q1488)=-1,-J1488,0))</f>
        <v/>
      </c>
      <c r="T1488" s="95">
        <f>IF((P1488-Q1488)=1,N1488,IF((P1488-Q1488)=-1,-M1488,0))</f>
        <v/>
      </c>
      <c r="U1488" s="101">
        <f>IF(AND(H1488=1,LedAcct&lt;&gt;""),IF(AND(E1488&gt;=LedFrom,E1488&lt;=LedTo,OR(I1488=LedAcct,K1488=LedAcct,AND(LedAcct=acctTax,M1488+N1488&lt;&gt;0))),E1488*10000+B1488,""),"")</f>
        <v/>
      </c>
    </row>
    <row r="1489">
      <c r="B1489" s="101" t="n">
        <v>1483</v>
      </c>
      <c r="C1489" s="58" t="inlineStr">
        <is>
          <t>Transaction</t>
        </is>
      </c>
      <c r="D1489" s="58">
        <f>IF(H1489=1,INDEX(tx_ID,1483)&amp;"","")</f>
        <v/>
      </c>
      <c r="E1489" s="94">
        <f>IF(H1489=1,INDEX(tx_Date,1483),"")</f>
        <v/>
      </c>
      <c r="F1489" s="58">
        <f>IF(H1489=1,INDEX(tx_Desc,1483)&amp;"","")</f>
        <v/>
      </c>
      <c r="G1489" s="58">
        <f>IF(H1489=1,IF(INDEX(tx_Cust,1483)&amp;""&lt;&gt;"",INDEX(tx_Cust,1483)&amp;"",INDEX(tx_Vend,1483)&amp;""),"")</f>
        <v/>
      </c>
      <c r="H1489" s="101">
        <f>IFERROR(N(INDEX(tx_Posted,1483)),0)</f>
        <v/>
      </c>
      <c r="I1489" s="58">
        <f>IF(H1489=1,INDEX(tx_DrAcct,1483)&amp;"","")</f>
        <v/>
      </c>
      <c r="J1489" s="95">
        <f>IF(H1489=1,INDEX(tx_DrAmt,1483),0)</f>
        <v/>
      </c>
      <c r="K1489" s="58">
        <f>IF(H1489=1,INDEX(tx_CrAcct,1483)&amp;"","")</f>
        <v/>
      </c>
      <c r="L1489" s="95">
        <f>IF(H1489=1,INDEX(tx_CrAmt,1483),0)</f>
        <v/>
      </c>
      <c r="M1489" s="95">
        <f>IF(H1489=1,INDEX(tx_TaxDr,1483),0)</f>
        <v/>
      </c>
      <c r="N1489" s="95">
        <f>IF(H1489=1,INDEX(tx_TaxCr,1483),0)</f>
        <v/>
      </c>
      <c r="O1489" s="101">
        <f>IF(H1489=1,IF(E1489&lt;FYStart,0,IF(E1489&gt;FYEnd,13,YEAR(E1489)*12+MONTH(E1489)-FYYM+1)),"")</f>
        <v/>
      </c>
      <c r="P1489" s="101">
        <f>IF(H1489=1,IF(IFERROR(INDEX(coa_CF,MATCH(I1489,coa_Name,0)),"")="Cash",1,0),0)</f>
        <v/>
      </c>
      <c r="Q1489" s="101">
        <f>IF(H1489=1,IF(IFERROR(INDEX(coa_CF,MATCH(K1489,coa_Name,0)),"")="Cash",1,0),0)</f>
        <v/>
      </c>
      <c r="R1489" s="58">
        <f>IF((P1489-Q1489)=0,"",IFERROR(INDEX(coa_CF,MATCH(IF((P1489-Q1489)=1,K1489,I1489),coa_Name,0)),"Operating"))</f>
        <v/>
      </c>
      <c r="S1489" s="95">
        <f>IF((P1489-Q1489)=1,L1489,IF((P1489-Q1489)=-1,-J1489,0))</f>
        <v/>
      </c>
      <c r="T1489" s="95">
        <f>IF((P1489-Q1489)=1,N1489,IF((P1489-Q1489)=-1,-M1489,0))</f>
        <v/>
      </c>
      <c r="U1489" s="101">
        <f>IF(AND(H1489=1,LedAcct&lt;&gt;""),IF(AND(E1489&gt;=LedFrom,E1489&lt;=LedTo,OR(I1489=LedAcct,K1489=LedAcct,AND(LedAcct=acctTax,M1489+N1489&lt;&gt;0))),E1489*10000+B1489,""),"")</f>
        <v/>
      </c>
    </row>
    <row r="1490">
      <c r="B1490" s="101" t="n">
        <v>1484</v>
      </c>
      <c r="C1490" s="58" t="inlineStr">
        <is>
          <t>Transaction</t>
        </is>
      </c>
      <c r="D1490" s="58">
        <f>IF(H1490=1,INDEX(tx_ID,1484)&amp;"","")</f>
        <v/>
      </c>
      <c r="E1490" s="94">
        <f>IF(H1490=1,INDEX(tx_Date,1484),"")</f>
        <v/>
      </c>
      <c r="F1490" s="58">
        <f>IF(H1490=1,INDEX(tx_Desc,1484)&amp;"","")</f>
        <v/>
      </c>
      <c r="G1490" s="58">
        <f>IF(H1490=1,IF(INDEX(tx_Cust,1484)&amp;""&lt;&gt;"",INDEX(tx_Cust,1484)&amp;"",INDEX(tx_Vend,1484)&amp;""),"")</f>
        <v/>
      </c>
      <c r="H1490" s="101">
        <f>IFERROR(N(INDEX(tx_Posted,1484)),0)</f>
        <v/>
      </c>
      <c r="I1490" s="58">
        <f>IF(H1490=1,INDEX(tx_DrAcct,1484)&amp;"","")</f>
        <v/>
      </c>
      <c r="J1490" s="95">
        <f>IF(H1490=1,INDEX(tx_DrAmt,1484),0)</f>
        <v/>
      </c>
      <c r="K1490" s="58">
        <f>IF(H1490=1,INDEX(tx_CrAcct,1484)&amp;"","")</f>
        <v/>
      </c>
      <c r="L1490" s="95">
        <f>IF(H1490=1,INDEX(tx_CrAmt,1484),0)</f>
        <v/>
      </c>
      <c r="M1490" s="95">
        <f>IF(H1490=1,INDEX(tx_TaxDr,1484),0)</f>
        <v/>
      </c>
      <c r="N1490" s="95">
        <f>IF(H1490=1,INDEX(tx_TaxCr,1484),0)</f>
        <v/>
      </c>
      <c r="O1490" s="101">
        <f>IF(H1490=1,IF(E1490&lt;FYStart,0,IF(E1490&gt;FYEnd,13,YEAR(E1490)*12+MONTH(E1490)-FYYM+1)),"")</f>
        <v/>
      </c>
      <c r="P1490" s="101">
        <f>IF(H1490=1,IF(IFERROR(INDEX(coa_CF,MATCH(I1490,coa_Name,0)),"")="Cash",1,0),0)</f>
        <v/>
      </c>
      <c r="Q1490" s="101">
        <f>IF(H1490=1,IF(IFERROR(INDEX(coa_CF,MATCH(K1490,coa_Name,0)),"")="Cash",1,0),0)</f>
        <v/>
      </c>
      <c r="R1490" s="58">
        <f>IF((P1490-Q1490)=0,"",IFERROR(INDEX(coa_CF,MATCH(IF((P1490-Q1490)=1,K1490,I1490),coa_Name,0)),"Operating"))</f>
        <v/>
      </c>
      <c r="S1490" s="95">
        <f>IF((P1490-Q1490)=1,L1490,IF((P1490-Q1490)=-1,-J1490,0))</f>
        <v/>
      </c>
      <c r="T1490" s="95">
        <f>IF((P1490-Q1490)=1,N1490,IF((P1490-Q1490)=-1,-M1490,0))</f>
        <v/>
      </c>
      <c r="U1490" s="101">
        <f>IF(AND(H1490=1,LedAcct&lt;&gt;""),IF(AND(E1490&gt;=LedFrom,E1490&lt;=LedTo,OR(I1490=LedAcct,K1490=LedAcct,AND(LedAcct=acctTax,M1490+N1490&lt;&gt;0))),E1490*10000+B1490,""),"")</f>
        <v/>
      </c>
    </row>
    <row r="1491">
      <c r="B1491" s="101" t="n">
        <v>1485</v>
      </c>
      <c r="C1491" s="58" t="inlineStr">
        <is>
          <t>Transaction</t>
        </is>
      </c>
      <c r="D1491" s="58">
        <f>IF(H1491=1,INDEX(tx_ID,1485)&amp;"","")</f>
        <v/>
      </c>
      <c r="E1491" s="94">
        <f>IF(H1491=1,INDEX(tx_Date,1485),"")</f>
        <v/>
      </c>
      <c r="F1491" s="58">
        <f>IF(H1491=1,INDEX(tx_Desc,1485)&amp;"","")</f>
        <v/>
      </c>
      <c r="G1491" s="58">
        <f>IF(H1491=1,IF(INDEX(tx_Cust,1485)&amp;""&lt;&gt;"",INDEX(tx_Cust,1485)&amp;"",INDEX(tx_Vend,1485)&amp;""),"")</f>
        <v/>
      </c>
      <c r="H1491" s="101">
        <f>IFERROR(N(INDEX(tx_Posted,1485)),0)</f>
        <v/>
      </c>
      <c r="I1491" s="58">
        <f>IF(H1491=1,INDEX(tx_DrAcct,1485)&amp;"","")</f>
        <v/>
      </c>
      <c r="J1491" s="95">
        <f>IF(H1491=1,INDEX(tx_DrAmt,1485),0)</f>
        <v/>
      </c>
      <c r="K1491" s="58">
        <f>IF(H1491=1,INDEX(tx_CrAcct,1485)&amp;"","")</f>
        <v/>
      </c>
      <c r="L1491" s="95">
        <f>IF(H1491=1,INDEX(tx_CrAmt,1485),0)</f>
        <v/>
      </c>
      <c r="M1491" s="95">
        <f>IF(H1491=1,INDEX(tx_TaxDr,1485),0)</f>
        <v/>
      </c>
      <c r="N1491" s="95">
        <f>IF(H1491=1,INDEX(tx_TaxCr,1485),0)</f>
        <v/>
      </c>
      <c r="O1491" s="101">
        <f>IF(H1491=1,IF(E1491&lt;FYStart,0,IF(E1491&gt;FYEnd,13,YEAR(E1491)*12+MONTH(E1491)-FYYM+1)),"")</f>
        <v/>
      </c>
      <c r="P1491" s="101">
        <f>IF(H1491=1,IF(IFERROR(INDEX(coa_CF,MATCH(I1491,coa_Name,0)),"")="Cash",1,0),0)</f>
        <v/>
      </c>
      <c r="Q1491" s="101">
        <f>IF(H1491=1,IF(IFERROR(INDEX(coa_CF,MATCH(K1491,coa_Name,0)),"")="Cash",1,0),0)</f>
        <v/>
      </c>
      <c r="R1491" s="58">
        <f>IF((P1491-Q1491)=0,"",IFERROR(INDEX(coa_CF,MATCH(IF((P1491-Q1491)=1,K1491,I1491),coa_Name,0)),"Operating"))</f>
        <v/>
      </c>
      <c r="S1491" s="95">
        <f>IF((P1491-Q1491)=1,L1491,IF((P1491-Q1491)=-1,-J1491,0))</f>
        <v/>
      </c>
      <c r="T1491" s="95">
        <f>IF((P1491-Q1491)=1,N1491,IF((P1491-Q1491)=-1,-M1491,0))</f>
        <v/>
      </c>
      <c r="U1491" s="101">
        <f>IF(AND(H1491=1,LedAcct&lt;&gt;""),IF(AND(E1491&gt;=LedFrom,E1491&lt;=LedTo,OR(I1491=LedAcct,K1491=LedAcct,AND(LedAcct=acctTax,M1491+N1491&lt;&gt;0))),E1491*10000+B1491,""),"")</f>
        <v/>
      </c>
    </row>
    <row r="1492">
      <c r="B1492" s="101" t="n">
        <v>1486</v>
      </c>
      <c r="C1492" s="58" t="inlineStr">
        <is>
          <t>Transaction</t>
        </is>
      </c>
      <c r="D1492" s="58">
        <f>IF(H1492=1,INDEX(tx_ID,1486)&amp;"","")</f>
        <v/>
      </c>
      <c r="E1492" s="94">
        <f>IF(H1492=1,INDEX(tx_Date,1486),"")</f>
        <v/>
      </c>
      <c r="F1492" s="58">
        <f>IF(H1492=1,INDEX(tx_Desc,1486)&amp;"","")</f>
        <v/>
      </c>
      <c r="G1492" s="58">
        <f>IF(H1492=1,IF(INDEX(tx_Cust,1486)&amp;""&lt;&gt;"",INDEX(tx_Cust,1486)&amp;"",INDEX(tx_Vend,1486)&amp;""),"")</f>
        <v/>
      </c>
      <c r="H1492" s="101">
        <f>IFERROR(N(INDEX(tx_Posted,1486)),0)</f>
        <v/>
      </c>
      <c r="I1492" s="58">
        <f>IF(H1492=1,INDEX(tx_DrAcct,1486)&amp;"","")</f>
        <v/>
      </c>
      <c r="J1492" s="95">
        <f>IF(H1492=1,INDEX(tx_DrAmt,1486),0)</f>
        <v/>
      </c>
      <c r="K1492" s="58">
        <f>IF(H1492=1,INDEX(tx_CrAcct,1486)&amp;"","")</f>
        <v/>
      </c>
      <c r="L1492" s="95">
        <f>IF(H1492=1,INDEX(tx_CrAmt,1486),0)</f>
        <v/>
      </c>
      <c r="M1492" s="95">
        <f>IF(H1492=1,INDEX(tx_TaxDr,1486),0)</f>
        <v/>
      </c>
      <c r="N1492" s="95">
        <f>IF(H1492=1,INDEX(tx_TaxCr,1486),0)</f>
        <v/>
      </c>
      <c r="O1492" s="101">
        <f>IF(H1492=1,IF(E1492&lt;FYStart,0,IF(E1492&gt;FYEnd,13,YEAR(E1492)*12+MONTH(E1492)-FYYM+1)),"")</f>
        <v/>
      </c>
      <c r="P1492" s="101">
        <f>IF(H1492=1,IF(IFERROR(INDEX(coa_CF,MATCH(I1492,coa_Name,0)),"")="Cash",1,0),0)</f>
        <v/>
      </c>
      <c r="Q1492" s="101">
        <f>IF(H1492=1,IF(IFERROR(INDEX(coa_CF,MATCH(K1492,coa_Name,0)),"")="Cash",1,0),0)</f>
        <v/>
      </c>
      <c r="R1492" s="58">
        <f>IF((P1492-Q1492)=0,"",IFERROR(INDEX(coa_CF,MATCH(IF((P1492-Q1492)=1,K1492,I1492),coa_Name,0)),"Operating"))</f>
        <v/>
      </c>
      <c r="S1492" s="95">
        <f>IF((P1492-Q1492)=1,L1492,IF((P1492-Q1492)=-1,-J1492,0))</f>
        <v/>
      </c>
      <c r="T1492" s="95">
        <f>IF((P1492-Q1492)=1,N1492,IF((P1492-Q1492)=-1,-M1492,0))</f>
        <v/>
      </c>
      <c r="U1492" s="101">
        <f>IF(AND(H1492=1,LedAcct&lt;&gt;""),IF(AND(E1492&gt;=LedFrom,E1492&lt;=LedTo,OR(I1492=LedAcct,K1492=LedAcct,AND(LedAcct=acctTax,M1492+N1492&lt;&gt;0))),E1492*10000+B1492,""),"")</f>
        <v/>
      </c>
    </row>
    <row r="1493">
      <c r="B1493" s="101" t="n">
        <v>1487</v>
      </c>
      <c r="C1493" s="58" t="inlineStr">
        <is>
          <t>Transaction</t>
        </is>
      </c>
      <c r="D1493" s="58">
        <f>IF(H1493=1,INDEX(tx_ID,1487)&amp;"","")</f>
        <v/>
      </c>
      <c r="E1493" s="94">
        <f>IF(H1493=1,INDEX(tx_Date,1487),"")</f>
        <v/>
      </c>
      <c r="F1493" s="58">
        <f>IF(H1493=1,INDEX(tx_Desc,1487)&amp;"","")</f>
        <v/>
      </c>
      <c r="G1493" s="58">
        <f>IF(H1493=1,IF(INDEX(tx_Cust,1487)&amp;""&lt;&gt;"",INDEX(tx_Cust,1487)&amp;"",INDEX(tx_Vend,1487)&amp;""),"")</f>
        <v/>
      </c>
      <c r="H1493" s="101">
        <f>IFERROR(N(INDEX(tx_Posted,1487)),0)</f>
        <v/>
      </c>
      <c r="I1493" s="58">
        <f>IF(H1493=1,INDEX(tx_DrAcct,1487)&amp;"","")</f>
        <v/>
      </c>
      <c r="J1493" s="95">
        <f>IF(H1493=1,INDEX(tx_DrAmt,1487),0)</f>
        <v/>
      </c>
      <c r="K1493" s="58">
        <f>IF(H1493=1,INDEX(tx_CrAcct,1487)&amp;"","")</f>
        <v/>
      </c>
      <c r="L1493" s="95">
        <f>IF(H1493=1,INDEX(tx_CrAmt,1487),0)</f>
        <v/>
      </c>
      <c r="M1493" s="95">
        <f>IF(H1493=1,INDEX(tx_TaxDr,1487),0)</f>
        <v/>
      </c>
      <c r="N1493" s="95">
        <f>IF(H1493=1,INDEX(tx_TaxCr,1487),0)</f>
        <v/>
      </c>
      <c r="O1493" s="101">
        <f>IF(H1493=1,IF(E1493&lt;FYStart,0,IF(E1493&gt;FYEnd,13,YEAR(E1493)*12+MONTH(E1493)-FYYM+1)),"")</f>
        <v/>
      </c>
      <c r="P1493" s="101">
        <f>IF(H1493=1,IF(IFERROR(INDEX(coa_CF,MATCH(I1493,coa_Name,0)),"")="Cash",1,0),0)</f>
        <v/>
      </c>
      <c r="Q1493" s="101">
        <f>IF(H1493=1,IF(IFERROR(INDEX(coa_CF,MATCH(K1493,coa_Name,0)),"")="Cash",1,0),0)</f>
        <v/>
      </c>
      <c r="R1493" s="58">
        <f>IF((P1493-Q1493)=0,"",IFERROR(INDEX(coa_CF,MATCH(IF((P1493-Q1493)=1,K1493,I1493),coa_Name,0)),"Operating"))</f>
        <v/>
      </c>
      <c r="S1493" s="95">
        <f>IF((P1493-Q1493)=1,L1493,IF((P1493-Q1493)=-1,-J1493,0))</f>
        <v/>
      </c>
      <c r="T1493" s="95">
        <f>IF((P1493-Q1493)=1,N1493,IF((P1493-Q1493)=-1,-M1493,0))</f>
        <v/>
      </c>
      <c r="U1493" s="101">
        <f>IF(AND(H1493=1,LedAcct&lt;&gt;""),IF(AND(E1493&gt;=LedFrom,E1493&lt;=LedTo,OR(I1493=LedAcct,K1493=LedAcct,AND(LedAcct=acctTax,M1493+N1493&lt;&gt;0))),E1493*10000+B1493,""),"")</f>
        <v/>
      </c>
    </row>
    <row r="1494">
      <c r="B1494" s="101" t="n">
        <v>1488</v>
      </c>
      <c r="C1494" s="58" t="inlineStr">
        <is>
          <t>Transaction</t>
        </is>
      </c>
      <c r="D1494" s="58">
        <f>IF(H1494=1,INDEX(tx_ID,1488)&amp;"","")</f>
        <v/>
      </c>
      <c r="E1494" s="94">
        <f>IF(H1494=1,INDEX(tx_Date,1488),"")</f>
        <v/>
      </c>
      <c r="F1494" s="58">
        <f>IF(H1494=1,INDEX(tx_Desc,1488)&amp;"","")</f>
        <v/>
      </c>
      <c r="G1494" s="58">
        <f>IF(H1494=1,IF(INDEX(tx_Cust,1488)&amp;""&lt;&gt;"",INDEX(tx_Cust,1488)&amp;"",INDEX(tx_Vend,1488)&amp;""),"")</f>
        <v/>
      </c>
      <c r="H1494" s="101">
        <f>IFERROR(N(INDEX(tx_Posted,1488)),0)</f>
        <v/>
      </c>
      <c r="I1494" s="58">
        <f>IF(H1494=1,INDEX(tx_DrAcct,1488)&amp;"","")</f>
        <v/>
      </c>
      <c r="J1494" s="95">
        <f>IF(H1494=1,INDEX(tx_DrAmt,1488),0)</f>
        <v/>
      </c>
      <c r="K1494" s="58">
        <f>IF(H1494=1,INDEX(tx_CrAcct,1488)&amp;"","")</f>
        <v/>
      </c>
      <c r="L1494" s="95">
        <f>IF(H1494=1,INDEX(tx_CrAmt,1488),0)</f>
        <v/>
      </c>
      <c r="M1494" s="95">
        <f>IF(H1494=1,INDEX(tx_TaxDr,1488),0)</f>
        <v/>
      </c>
      <c r="N1494" s="95">
        <f>IF(H1494=1,INDEX(tx_TaxCr,1488),0)</f>
        <v/>
      </c>
      <c r="O1494" s="101">
        <f>IF(H1494=1,IF(E1494&lt;FYStart,0,IF(E1494&gt;FYEnd,13,YEAR(E1494)*12+MONTH(E1494)-FYYM+1)),"")</f>
        <v/>
      </c>
      <c r="P1494" s="101">
        <f>IF(H1494=1,IF(IFERROR(INDEX(coa_CF,MATCH(I1494,coa_Name,0)),"")="Cash",1,0),0)</f>
        <v/>
      </c>
      <c r="Q1494" s="101">
        <f>IF(H1494=1,IF(IFERROR(INDEX(coa_CF,MATCH(K1494,coa_Name,0)),"")="Cash",1,0),0)</f>
        <v/>
      </c>
      <c r="R1494" s="58">
        <f>IF((P1494-Q1494)=0,"",IFERROR(INDEX(coa_CF,MATCH(IF((P1494-Q1494)=1,K1494,I1494),coa_Name,0)),"Operating"))</f>
        <v/>
      </c>
      <c r="S1494" s="95">
        <f>IF((P1494-Q1494)=1,L1494,IF((P1494-Q1494)=-1,-J1494,0))</f>
        <v/>
      </c>
      <c r="T1494" s="95">
        <f>IF((P1494-Q1494)=1,N1494,IF((P1494-Q1494)=-1,-M1494,0))</f>
        <v/>
      </c>
      <c r="U1494" s="101">
        <f>IF(AND(H1494=1,LedAcct&lt;&gt;""),IF(AND(E1494&gt;=LedFrom,E1494&lt;=LedTo,OR(I1494=LedAcct,K1494=LedAcct,AND(LedAcct=acctTax,M1494+N1494&lt;&gt;0))),E1494*10000+B1494,""),"")</f>
        <v/>
      </c>
    </row>
    <row r="1495">
      <c r="B1495" s="101" t="n">
        <v>1489</v>
      </c>
      <c r="C1495" s="58" t="inlineStr">
        <is>
          <t>Transaction</t>
        </is>
      </c>
      <c r="D1495" s="58">
        <f>IF(H1495=1,INDEX(tx_ID,1489)&amp;"","")</f>
        <v/>
      </c>
      <c r="E1495" s="94">
        <f>IF(H1495=1,INDEX(tx_Date,1489),"")</f>
        <v/>
      </c>
      <c r="F1495" s="58">
        <f>IF(H1495=1,INDEX(tx_Desc,1489)&amp;"","")</f>
        <v/>
      </c>
      <c r="G1495" s="58">
        <f>IF(H1495=1,IF(INDEX(tx_Cust,1489)&amp;""&lt;&gt;"",INDEX(tx_Cust,1489)&amp;"",INDEX(tx_Vend,1489)&amp;""),"")</f>
        <v/>
      </c>
      <c r="H1495" s="101">
        <f>IFERROR(N(INDEX(tx_Posted,1489)),0)</f>
        <v/>
      </c>
      <c r="I1495" s="58">
        <f>IF(H1495=1,INDEX(tx_DrAcct,1489)&amp;"","")</f>
        <v/>
      </c>
      <c r="J1495" s="95">
        <f>IF(H1495=1,INDEX(tx_DrAmt,1489),0)</f>
        <v/>
      </c>
      <c r="K1495" s="58">
        <f>IF(H1495=1,INDEX(tx_CrAcct,1489)&amp;"","")</f>
        <v/>
      </c>
      <c r="L1495" s="95">
        <f>IF(H1495=1,INDEX(tx_CrAmt,1489),0)</f>
        <v/>
      </c>
      <c r="M1495" s="95">
        <f>IF(H1495=1,INDEX(tx_TaxDr,1489),0)</f>
        <v/>
      </c>
      <c r="N1495" s="95">
        <f>IF(H1495=1,INDEX(tx_TaxCr,1489),0)</f>
        <v/>
      </c>
      <c r="O1495" s="101">
        <f>IF(H1495=1,IF(E1495&lt;FYStart,0,IF(E1495&gt;FYEnd,13,YEAR(E1495)*12+MONTH(E1495)-FYYM+1)),"")</f>
        <v/>
      </c>
      <c r="P1495" s="101">
        <f>IF(H1495=1,IF(IFERROR(INDEX(coa_CF,MATCH(I1495,coa_Name,0)),"")="Cash",1,0),0)</f>
        <v/>
      </c>
      <c r="Q1495" s="101">
        <f>IF(H1495=1,IF(IFERROR(INDEX(coa_CF,MATCH(K1495,coa_Name,0)),"")="Cash",1,0),0)</f>
        <v/>
      </c>
      <c r="R1495" s="58">
        <f>IF((P1495-Q1495)=0,"",IFERROR(INDEX(coa_CF,MATCH(IF((P1495-Q1495)=1,K1495,I1495),coa_Name,0)),"Operating"))</f>
        <v/>
      </c>
      <c r="S1495" s="95">
        <f>IF((P1495-Q1495)=1,L1495,IF((P1495-Q1495)=-1,-J1495,0))</f>
        <v/>
      </c>
      <c r="T1495" s="95">
        <f>IF((P1495-Q1495)=1,N1495,IF((P1495-Q1495)=-1,-M1495,0))</f>
        <v/>
      </c>
      <c r="U1495" s="101">
        <f>IF(AND(H1495=1,LedAcct&lt;&gt;""),IF(AND(E1495&gt;=LedFrom,E1495&lt;=LedTo,OR(I1495=LedAcct,K1495=LedAcct,AND(LedAcct=acctTax,M1495+N1495&lt;&gt;0))),E1495*10000+B1495,""),"")</f>
        <v/>
      </c>
    </row>
    <row r="1496">
      <c r="B1496" s="101" t="n">
        <v>1490</v>
      </c>
      <c r="C1496" s="58" t="inlineStr">
        <is>
          <t>Transaction</t>
        </is>
      </c>
      <c r="D1496" s="58">
        <f>IF(H1496=1,INDEX(tx_ID,1490)&amp;"","")</f>
        <v/>
      </c>
      <c r="E1496" s="94">
        <f>IF(H1496=1,INDEX(tx_Date,1490),"")</f>
        <v/>
      </c>
      <c r="F1496" s="58">
        <f>IF(H1496=1,INDEX(tx_Desc,1490)&amp;"","")</f>
        <v/>
      </c>
      <c r="G1496" s="58">
        <f>IF(H1496=1,IF(INDEX(tx_Cust,1490)&amp;""&lt;&gt;"",INDEX(tx_Cust,1490)&amp;"",INDEX(tx_Vend,1490)&amp;""),"")</f>
        <v/>
      </c>
      <c r="H1496" s="101">
        <f>IFERROR(N(INDEX(tx_Posted,1490)),0)</f>
        <v/>
      </c>
      <c r="I1496" s="58">
        <f>IF(H1496=1,INDEX(tx_DrAcct,1490)&amp;"","")</f>
        <v/>
      </c>
      <c r="J1496" s="95">
        <f>IF(H1496=1,INDEX(tx_DrAmt,1490),0)</f>
        <v/>
      </c>
      <c r="K1496" s="58">
        <f>IF(H1496=1,INDEX(tx_CrAcct,1490)&amp;"","")</f>
        <v/>
      </c>
      <c r="L1496" s="95">
        <f>IF(H1496=1,INDEX(tx_CrAmt,1490),0)</f>
        <v/>
      </c>
      <c r="M1496" s="95">
        <f>IF(H1496=1,INDEX(tx_TaxDr,1490),0)</f>
        <v/>
      </c>
      <c r="N1496" s="95">
        <f>IF(H1496=1,INDEX(tx_TaxCr,1490),0)</f>
        <v/>
      </c>
      <c r="O1496" s="101">
        <f>IF(H1496=1,IF(E1496&lt;FYStart,0,IF(E1496&gt;FYEnd,13,YEAR(E1496)*12+MONTH(E1496)-FYYM+1)),"")</f>
        <v/>
      </c>
      <c r="P1496" s="101">
        <f>IF(H1496=1,IF(IFERROR(INDEX(coa_CF,MATCH(I1496,coa_Name,0)),"")="Cash",1,0),0)</f>
        <v/>
      </c>
      <c r="Q1496" s="101">
        <f>IF(H1496=1,IF(IFERROR(INDEX(coa_CF,MATCH(K1496,coa_Name,0)),"")="Cash",1,0),0)</f>
        <v/>
      </c>
      <c r="R1496" s="58">
        <f>IF((P1496-Q1496)=0,"",IFERROR(INDEX(coa_CF,MATCH(IF((P1496-Q1496)=1,K1496,I1496),coa_Name,0)),"Operating"))</f>
        <v/>
      </c>
      <c r="S1496" s="95">
        <f>IF((P1496-Q1496)=1,L1496,IF((P1496-Q1496)=-1,-J1496,0))</f>
        <v/>
      </c>
      <c r="T1496" s="95">
        <f>IF((P1496-Q1496)=1,N1496,IF((P1496-Q1496)=-1,-M1496,0))</f>
        <v/>
      </c>
      <c r="U1496" s="101">
        <f>IF(AND(H1496=1,LedAcct&lt;&gt;""),IF(AND(E1496&gt;=LedFrom,E1496&lt;=LedTo,OR(I1496=LedAcct,K1496=LedAcct,AND(LedAcct=acctTax,M1496+N1496&lt;&gt;0))),E1496*10000+B1496,""),"")</f>
        <v/>
      </c>
    </row>
    <row r="1497">
      <c r="B1497" s="101" t="n">
        <v>1491</v>
      </c>
      <c r="C1497" s="58" t="inlineStr">
        <is>
          <t>Transaction</t>
        </is>
      </c>
      <c r="D1497" s="58">
        <f>IF(H1497=1,INDEX(tx_ID,1491)&amp;"","")</f>
        <v/>
      </c>
      <c r="E1497" s="94">
        <f>IF(H1497=1,INDEX(tx_Date,1491),"")</f>
        <v/>
      </c>
      <c r="F1497" s="58">
        <f>IF(H1497=1,INDEX(tx_Desc,1491)&amp;"","")</f>
        <v/>
      </c>
      <c r="G1497" s="58">
        <f>IF(H1497=1,IF(INDEX(tx_Cust,1491)&amp;""&lt;&gt;"",INDEX(tx_Cust,1491)&amp;"",INDEX(tx_Vend,1491)&amp;""),"")</f>
        <v/>
      </c>
      <c r="H1497" s="101">
        <f>IFERROR(N(INDEX(tx_Posted,1491)),0)</f>
        <v/>
      </c>
      <c r="I1497" s="58">
        <f>IF(H1497=1,INDEX(tx_DrAcct,1491)&amp;"","")</f>
        <v/>
      </c>
      <c r="J1497" s="95">
        <f>IF(H1497=1,INDEX(tx_DrAmt,1491),0)</f>
        <v/>
      </c>
      <c r="K1497" s="58">
        <f>IF(H1497=1,INDEX(tx_CrAcct,1491)&amp;"","")</f>
        <v/>
      </c>
      <c r="L1497" s="95">
        <f>IF(H1497=1,INDEX(tx_CrAmt,1491),0)</f>
        <v/>
      </c>
      <c r="M1497" s="95">
        <f>IF(H1497=1,INDEX(tx_TaxDr,1491),0)</f>
        <v/>
      </c>
      <c r="N1497" s="95">
        <f>IF(H1497=1,INDEX(tx_TaxCr,1491),0)</f>
        <v/>
      </c>
      <c r="O1497" s="101">
        <f>IF(H1497=1,IF(E1497&lt;FYStart,0,IF(E1497&gt;FYEnd,13,YEAR(E1497)*12+MONTH(E1497)-FYYM+1)),"")</f>
        <v/>
      </c>
      <c r="P1497" s="101">
        <f>IF(H1497=1,IF(IFERROR(INDEX(coa_CF,MATCH(I1497,coa_Name,0)),"")="Cash",1,0),0)</f>
        <v/>
      </c>
      <c r="Q1497" s="101">
        <f>IF(H1497=1,IF(IFERROR(INDEX(coa_CF,MATCH(K1497,coa_Name,0)),"")="Cash",1,0),0)</f>
        <v/>
      </c>
      <c r="R1497" s="58">
        <f>IF((P1497-Q1497)=0,"",IFERROR(INDEX(coa_CF,MATCH(IF((P1497-Q1497)=1,K1497,I1497),coa_Name,0)),"Operating"))</f>
        <v/>
      </c>
      <c r="S1497" s="95">
        <f>IF((P1497-Q1497)=1,L1497,IF((P1497-Q1497)=-1,-J1497,0))</f>
        <v/>
      </c>
      <c r="T1497" s="95">
        <f>IF((P1497-Q1497)=1,N1497,IF((P1497-Q1497)=-1,-M1497,0))</f>
        <v/>
      </c>
      <c r="U1497" s="101">
        <f>IF(AND(H1497=1,LedAcct&lt;&gt;""),IF(AND(E1497&gt;=LedFrom,E1497&lt;=LedTo,OR(I1497=LedAcct,K1497=LedAcct,AND(LedAcct=acctTax,M1497+N1497&lt;&gt;0))),E1497*10000+B1497,""),"")</f>
        <v/>
      </c>
    </row>
    <row r="1498">
      <c r="B1498" s="101" t="n">
        <v>1492</v>
      </c>
      <c r="C1498" s="58" t="inlineStr">
        <is>
          <t>Transaction</t>
        </is>
      </c>
      <c r="D1498" s="58">
        <f>IF(H1498=1,INDEX(tx_ID,1492)&amp;"","")</f>
        <v/>
      </c>
      <c r="E1498" s="94">
        <f>IF(H1498=1,INDEX(tx_Date,1492),"")</f>
        <v/>
      </c>
      <c r="F1498" s="58">
        <f>IF(H1498=1,INDEX(tx_Desc,1492)&amp;"","")</f>
        <v/>
      </c>
      <c r="G1498" s="58">
        <f>IF(H1498=1,IF(INDEX(tx_Cust,1492)&amp;""&lt;&gt;"",INDEX(tx_Cust,1492)&amp;"",INDEX(tx_Vend,1492)&amp;""),"")</f>
        <v/>
      </c>
      <c r="H1498" s="101">
        <f>IFERROR(N(INDEX(tx_Posted,1492)),0)</f>
        <v/>
      </c>
      <c r="I1498" s="58">
        <f>IF(H1498=1,INDEX(tx_DrAcct,1492)&amp;"","")</f>
        <v/>
      </c>
      <c r="J1498" s="95">
        <f>IF(H1498=1,INDEX(tx_DrAmt,1492),0)</f>
        <v/>
      </c>
      <c r="K1498" s="58">
        <f>IF(H1498=1,INDEX(tx_CrAcct,1492)&amp;"","")</f>
        <v/>
      </c>
      <c r="L1498" s="95">
        <f>IF(H1498=1,INDEX(tx_CrAmt,1492),0)</f>
        <v/>
      </c>
      <c r="M1498" s="95">
        <f>IF(H1498=1,INDEX(tx_TaxDr,1492),0)</f>
        <v/>
      </c>
      <c r="N1498" s="95">
        <f>IF(H1498=1,INDEX(tx_TaxCr,1492),0)</f>
        <v/>
      </c>
      <c r="O1498" s="101">
        <f>IF(H1498=1,IF(E1498&lt;FYStart,0,IF(E1498&gt;FYEnd,13,YEAR(E1498)*12+MONTH(E1498)-FYYM+1)),"")</f>
        <v/>
      </c>
      <c r="P1498" s="101">
        <f>IF(H1498=1,IF(IFERROR(INDEX(coa_CF,MATCH(I1498,coa_Name,0)),"")="Cash",1,0),0)</f>
        <v/>
      </c>
      <c r="Q1498" s="101">
        <f>IF(H1498=1,IF(IFERROR(INDEX(coa_CF,MATCH(K1498,coa_Name,0)),"")="Cash",1,0),0)</f>
        <v/>
      </c>
      <c r="R1498" s="58">
        <f>IF((P1498-Q1498)=0,"",IFERROR(INDEX(coa_CF,MATCH(IF((P1498-Q1498)=1,K1498,I1498),coa_Name,0)),"Operating"))</f>
        <v/>
      </c>
      <c r="S1498" s="95">
        <f>IF((P1498-Q1498)=1,L1498,IF((P1498-Q1498)=-1,-J1498,0))</f>
        <v/>
      </c>
      <c r="T1498" s="95">
        <f>IF((P1498-Q1498)=1,N1498,IF((P1498-Q1498)=-1,-M1498,0))</f>
        <v/>
      </c>
      <c r="U1498" s="101">
        <f>IF(AND(H1498=1,LedAcct&lt;&gt;""),IF(AND(E1498&gt;=LedFrom,E1498&lt;=LedTo,OR(I1498=LedAcct,K1498=LedAcct,AND(LedAcct=acctTax,M1498+N1498&lt;&gt;0))),E1498*10000+B1498,""),"")</f>
        <v/>
      </c>
    </row>
    <row r="1499">
      <c r="B1499" s="101" t="n">
        <v>1493</v>
      </c>
      <c r="C1499" s="58" t="inlineStr">
        <is>
          <t>Transaction</t>
        </is>
      </c>
      <c r="D1499" s="58">
        <f>IF(H1499=1,INDEX(tx_ID,1493)&amp;"","")</f>
        <v/>
      </c>
      <c r="E1499" s="94">
        <f>IF(H1499=1,INDEX(tx_Date,1493),"")</f>
        <v/>
      </c>
      <c r="F1499" s="58">
        <f>IF(H1499=1,INDEX(tx_Desc,1493)&amp;"","")</f>
        <v/>
      </c>
      <c r="G1499" s="58">
        <f>IF(H1499=1,IF(INDEX(tx_Cust,1493)&amp;""&lt;&gt;"",INDEX(tx_Cust,1493)&amp;"",INDEX(tx_Vend,1493)&amp;""),"")</f>
        <v/>
      </c>
      <c r="H1499" s="101">
        <f>IFERROR(N(INDEX(tx_Posted,1493)),0)</f>
        <v/>
      </c>
      <c r="I1499" s="58">
        <f>IF(H1499=1,INDEX(tx_DrAcct,1493)&amp;"","")</f>
        <v/>
      </c>
      <c r="J1499" s="95">
        <f>IF(H1499=1,INDEX(tx_DrAmt,1493),0)</f>
        <v/>
      </c>
      <c r="K1499" s="58">
        <f>IF(H1499=1,INDEX(tx_CrAcct,1493)&amp;"","")</f>
        <v/>
      </c>
      <c r="L1499" s="95">
        <f>IF(H1499=1,INDEX(tx_CrAmt,1493),0)</f>
        <v/>
      </c>
      <c r="M1499" s="95">
        <f>IF(H1499=1,INDEX(tx_TaxDr,1493),0)</f>
        <v/>
      </c>
      <c r="N1499" s="95">
        <f>IF(H1499=1,INDEX(tx_TaxCr,1493),0)</f>
        <v/>
      </c>
      <c r="O1499" s="101">
        <f>IF(H1499=1,IF(E1499&lt;FYStart,0,IF(E1499&gt;FYEnd,13,YEAR(E1499)*12+MONTH(E1499)-FYYM+1)),"")</f>
        <v/>
      </c>
      <c r="P1499" s="101">
        <f>IF(H1499=1,IF(IFERROR(INDEX(coa_CF,MATCH(I1499,coa_Name,0)),"")="Cash",1,0),0)</f>
        <v/>
      </c>
      <c r="Q1499" s="101">
        <f>IF(H1499=1,IF(IFERROR(INDEX(coa_CF,MATCH(K1499,coa_Name,0)),"")="Cash",1,0),0)</f>
        <v/>
      </c>
      <c r="R1499" s="58">
        <f>IF((P1499-Q1499)=0,"",IFERROR(INDEX(coa_CF,MATCH(IF((P1499-Q1499)=1,K1499,I1499),coa_Name,0)),"Operating"))</f>
        <v/>
      </c>
      <c r="S1499" s="95">
        <f>IF((P1499-Q1499)=1,L1499,IF((P1499-Q1499)=-1,-J1499,0))</f>
        <v/>
      </c>
      <c r="T1499" s="95">
        <f>IF((P1499-Q1499)=1,N1499,IF((P1499-Q1499)=-1,-M1499,0))</f>
        <v/>
      </c>
      <c r="U1499" s="101">
        <f>IF(AND(H1499=1,LedAcct&lt;&gt;""),IF(AND(E1499&gt;=LedFrom,E1499&lt;=LedTo,OR(I1499=LedAcct,K1499=LedAcct,AND(LedAcct=acctTax,M1499+N1499&lt;&gt;0))),E1499*10000+B1499,""),"")</f>
        <v/>
      </c>
    </row>
    <row r="1500">
      <c r="B1500" s="101" t="n">
        <v>1494</v>
      </c>
      <c r="C1500" s="58" t="inlineStr">
        <is>
          <t>Transaction</t>
        </is>
      </c>
      <c r="D1500" s="58">
        <f>IF(H1500=1,INDEX(tx_ID,1494)&amp;"","")</f>
        <v/>
      </c>
      <c r="E1500" s="94">
        <f>IF(H1500=1,INDEX(tx_Date,1494),"")</f>
        <v/>
      </c>
      <c r="F1500" s="58">
        <f>IF(H1500=1,INDEX(tx_Desc,1494)&amp;"","")</f>
        <v/>
      </c>
      <c r="G1500" s="58">
        <f>IF(H1500=1,IF(INDEX(tx_Cust,1494)&amp;""&lt;&gt;"",INDEX(tx_Cust,1494)&amp;"",INDEX(tx_Vend,1494)&amp;""),"")</f>
        <v/>
      </c>
      <c r="H1500" s="101">
        <f>IFERROR(N(INDEX(tx_Posted,1494)),0)</f>
        <v/>
      </c>
      <c r="I1500" s="58">
        <f>IF(H1500=1,INDEX(tx_DrAcct,1494)&amp;"","")</f>
        <v/>
      </c>
      <c r="J1500" s="95">
        <f>IF(H1500=1,INDEX(tx_DrAmt,1494),0)</f>
        <v/>
      </c>
      <c r="K1500" s="58">
        <f>IF(H1500=1,INDEX(tx_CrAcct,1494)&amp;"","")</f>
        <v/>
      </c>
      <c r="L1500" s="95">
        <f>IF(H1500=1,INDEX(tx_CrAmt,1494),0)</f>
        <v/>
      </c>
      <c r="M1500" s="95">
        <f>IF(H1500=1,INDEX(tx_TaxDr,1494),0)</f>
        <v/>
      </c>
      <c r="N1500" s="95">
        <f>IF(H1500=1,INDEX(tx_TaxCr,1494),0)</f>
        <v/>
      </c>
      <c r="O1500" s="101">
        <f>IF(H1500=1,IF(E1500&lt;FYStart,0,IF(E1500&gt;FYEnd,13,YEAR(E1500)*12+MONTH(E1500)-FYYM+1)),"")</f>
        <v/>
      </c>
      <c r="P1500" s="101">
        <f>IF(H1500=1,IF(IFERROR(INDEX(coa_CF,MATCH(I1500,coa_Name,0)),"")="Cash",1,0),0)</f>
        <v/>
      </c>
      <c r="Q1500" s="101">
        <f>IF(H1500=1,IF(IFERROR(INDEX(coa_CF,MATCH(K1500,coa_Name,0)),"")="Cash",1,0),0)</f>
        <v/>
      </c>
      <c r="R1500" s="58">
        <f>IF((P1500-Q1500)=0,"",IFERROR(INDEX(coa_CF,MATCH(IF((P1500-Q1500)=1,K1500,I1500),coa_Name,0)),"Operating"))</f>
        <v/>
      </c>
      <c r="S1500" s="95">
        <f>IF((P1500-Q1500)=1,L1500,IF((P1500-Q1500)=-1,-J1500,0))</f>
        <v/>
      </c>
      <c r="T1500" s="95">
        <f>IF((P1500-Q1500)=1,N1500,IF((P1500-Q1500)=-1,-M1500,0))</f>
        <v/>
      </c>
      <c r="U1500" s="101">
        <f>IF(AND(H1500=1,LedAcct&lt;&gt;""),IF(AND(E1500&gt;=LedFrom,E1500&lt;=LedTo,OR(I1500=LedAcct,K1500=LedAcct,AND(LedAcct=acctTax,M1500+N1500&lt;&gt;0))),E1500*10000+B1500,""),"")</f>
        <v/>
      </c>
    </row>
    <row r="1501">
      <c r="B1501" s="101" t="n">
        <v>1495</v>
      </c>
      <c r="C1501" s="58" t="inlineStr">
        <is>
          <t>Transaction</t>
        </is>
      </c>
      <c r="D1501" s="58">
        <f>IF(H1501=1,INDEX(tx_ID,1495)&amp;"","")</f>
        <v/>
      </c>
      <c r="E1501" s="94">
        <f>IF(H1501=1,INDEX(tx_Date,1495),"")</f>
        <v/>
      </c>
      <c r="F1501" s="58">
        <f>IF(H1501=1,INDEX(tx_Desc,1495)&amp;"","")</f>
        <v/>
      </c>
      <c r="G1501" s="58">
        <f>IF(H1501=1,IF(INDEX(tx_Cust,1495)&amp;""&lt;&gt;"",INDEX(tx_Cust,1495)&amp;"",INDEX(tx_Vend,1495)&amp;""),"")</f>
        <v/>
      </c>
      <c r="H1501" s="101">
        <f>IFERROR(N(INDEX(tx_Posted,1495)),0)</f>
        <v/>
      </c>
      <c r="I1501" s="58">
        <f>IF(H1501=1,INDEX(tx_DrAcct,1495)&amp;"","")</f>
        <v/>
      </c>
      <c r="J1501" s="95">
        <f>IF(H1501=1,INDEX(tx_DrAmt,1495),0)</f>
        <v/>
      </c>
      <c r="K1501" s="58">
        <f>IF(H1501=1,INDEX(tx_CrAcct,1495)&amp;"","")</f>
        <v/>
      </c>
      <c r="L1501" s="95">
        <f>IF(H1501=1,INDEX(tx_CrAmt,1495),0)</f>
        <v/>
      </c>
      <c r="M1501" s="95">
        <f>IF(H1501=1,INDEX(tx_TaxDr,1495),0)</f>
        <v/>
      </c>
      <c r="N1501" s="95">
        <f>IF(H1501=1,INDEX(tx_TaxCr,1495),0)</f>
        <v/>
      </c>
      <c r="O1501" s="101">
        <f>IF(H1501=1,IF(E1501&lt;FYStart,0,IF(E1501&gt;FYEnd,13,YEAR(E1501)*12+MONTH(E1501)-FYYM+1)),"")</f>
        <v/>
      </c>
      <c r="P1501" s="101">
        <f>IF(H1501=1,IF(IFERROR(INDEX(coa_CF,MATCH(I1501,coa_Name,0)),"")="Cash",1,0),0)</f>
        <v/>
      </c>
      <c r="Q1501" s="101">
        <f>IF(H1501=1,IF(IFERROR(INDEX(coa_CF,MATCH(K1501,coa_Name,0)),"")="Cash",1,0),0)</f>
        <v/>
      </c>
      <c r="R1501" s="58">
        <f>IF((P1501-Q1501)=0,"",IFERROR(INDEX(coa_CF,MATCH(IF((P1501-Q1501)=1,K1501,I1501),coa_Name,0)),"Operating"))</f>
        <v/>
      </c>
      <c r="S1501" s="95">
        <f>IF((P1501-Q1501)=1,L1501,IF((P1501-Q1501)=-1,-J1501,0))</f>
        <v/>
      </c>
      <c r="T1501" s="95">
        <f>IF((P1501-Q1501)=1,N1501,IF((P1501-Q1501)=-1,-M1501,0))</f>
        <v/>
      </c>
      <c r="U1501" s="101">
        <f>IF(AND(H1501=1,LedAcct&lt;&gt;""),IF(AND(E1501&gt;=LedFrom,E1501&lt;=LedTo,OR(I1501=LedAcct,K1501=LedAcct,AND(LedAcct=acctTax,M1501+N1501&lt;&gt;0))),E1501*10000+B1501,""),"")</f>
        <v/>
      </c>
    </row>
    <row r="1502">
      <c r="B1502" s="101" t="n">
        <v>1496</v>
      </c>
      <c r="C1502" s="58" t="inlineStr">
        <is>
          <t>Transaction</t>
        </is>
      </c>
      <c r="D1502" s="58">
        <f>IF(H1502=1,INDEX(tx_ID,1496)&amp;"","")</f>
        <v/>
      </c>
      <c r="E1502" s="94">
        <f>IF(H1502=1,INDEX(tx_Date,1496),"")</f>
        <v/>
      </c>
      <c r="F1502" s="58">
        <f>IF(H1502=1,INDEX(tx_Desc,1496)&amp;"","")</f>
        <v/>
      </c>
      <c r="G1502" s="58">
        <f>IF(H1502=1,IF(INDEX(tx_Cust,1496)&amp;""&lt;&gt;"",INDEX(tx_Cust,1496)&amp;"",INDEX(tx_Vend,1496)&amp;""),"")</f>
        <v/>
      </c>
      <c r="H1502" s="101">
        <f>IFERROR(N(INDEX(tx_Posted,1496)),0)</f>
        <v/>
      </c>
      <c r="I1502" s="58">
        <f>IF(H1502=1,INDEX(tx_DrAcct,1496)&amp;"","")</f>
        <v/>
      </c>
      <c r="J1502" s="95">
        <f>IF(H1502=1,INDEX(tx_DrAmt,1496),0)</f>
        <v/>
      </c>
      <c r="K1502" s="58">
        <f>IF(H1502=1,INDEX(tx_CrAcct,1496)&amp;"","")</f>
        <v/>
      </c>
      <c r="L1502" s="95">
        <f>IF(H1502=1,INDEX(tx_CrAmt,1496),0)</f>
        <v/>
      </c>
      <c r="M1502" s="95">
        <f>IF(H1502=1,INDEX(tx_TaxDr,1496),0)</f>
        <v/>
      </c>
      <c r="N1502" s="95">
        <f>IF(H1502=1,INDEX(tx_TaxCr,1496),0)</f>
        <v/>
      </c>
      <c r="O1502" s="101">
        <f>IF(H1502=1,IF(E1502&lt;FYStart,0,IF(E1502&gt;FYEnd,13,YEAR(E1502)*12+MONTH(E1502)-FYYM+1)),"")</f>
        <v/>
      </c>
      <c r="P1502" s="101">
        <f>IF(H1502=1,IF(IFERROR(INDEX(coa_CF,MATCH(I1502,coa_Name,0)),"")="Cash",1,0),0)</f>
        <v/>
      </c>
      <c r="Q1502" s="101">
        <f>IF(H1502=1,IF(IFERROR(INDEX(coa_CF,MATCH(K1502,coa_Name,0)),"")="Cash",1,0),0)</f>
        <v/>
      </c>
      <c r="R1502" s="58">
        <f>IF((P1502-Q1502)=0,"",IFERROR(INDEX(coa_CF,MATCH(IF((P1502-Q1502)=1,K1502,I1502),coa_Name,0)),"Operating"))</f>
        <v/>
      </c>
      <c r="S1502" s="95">
        <f>IF((P1502-Q1502)=1,L1502,IF((P1502-Q1502)=-1,-J1502,0))</f>
        <v/>
      </c>
      <c r="T1502" s="95">
        <f>IF((P1502-Q1502)=1,N1502,IF((P1502-Q1502)=-1,-M1502,0))</f>
        <v/>
      </c>
      <c r="U1502" s="101">
        <f>IF(AND(H1502=1,LedAcct&lt;&gt;""),IF(AND(E1502&gt;=LedFrom,E1502&lt;=LedTo,OR(I1502=LedAcct,K1502=LedAcct,AND(LedAcct=acctTax,M1502+N1502&lt;&gt;0))),E1502*10000+B1502,""),"")</f>
        <v/>
      </c>
    </row>
    <row r="1503">
      <c r="B1503" s="101" t="n">
        <v>1497</v>
      </c>
      <c r="C1503" s="58" t="inlineStr">
        <is>
          <t>Transaction</t>
        </is>
      </c>
      <c r="D1503" s="58">
        <f>IF(H1503=1,INDEX(tx_ID,1497)&amp;"","")</f>
        <v/>
      </c>
      <c r="E1503" s="94">
        <f>IF(H1503=1,INDEX(tx_Date,1497),"")</f>
        <v/>
      </c>
      <c r="F1503" s="58">
        <f>IF(H1503=1,INDEX(tx_Desc,1497)&amp;"","")</f>
        <v/>
      </c>
      <c r="G1503" s="58">
        <f>IF(H1503=1,IF(INDEX(tx_Cust,1497)&amp;""&lt;&gt;"",INDEX(tx_Cust,1497)&amp;"",INDEX(tx_Vend,1497)&amp;""),"")</f>
        <v/>
      </c>
      <c r="H1503" s="101">
        <f>IFERROR(N(INDEX(tx_Posted,1497)),0)</f>
        <v/>
      </c>
      <c r="I1503" s="58">
        <f>IF(H1503=1,INDEX(tx_DrAcct,1497)&amp;"","")</f>
        <v/>
      </c>
      <c r="J1503" s="95">
        <f>IF(H1503=1,INDEX(tx_DrAmt,1497),0)</f>
        <v/>
      </c>
      <c r="K1503" s="58">
        <f>IF(H1503=1,INDEX(tx_CrAcct,1497)&amp;"","")</f>
        <v/>
      </c>
      <c r="L1503" s="95">
        <f>IF(H1503=1,INDEX(tx_CrAmt,1497),0)</f>
        <v/>
      </c>
      <c r="M1503" s="95">
        <f>IF(H1503=1,INDEX(tx_TaxDr,1497),0)</f>
        <v/>
      </c>
      <c r="N1503" s="95">
        <f>IF(H1503=1,INDEX(tx_TaxCr,1497),0)</f>
        <v/>
      </c>
      <c r="O1503" s="101">
        <f>IF(H1503=1,IF(E1503&lt;FYStart,0,IF(E1503&gt;FYEnd,13,YEAR(E1503)*12+MONTH(E1503)-FYYM+1)),"")</f>
        <v/>
      </c>
      <c r="P1503" s="101">
        <f>IF(H1503=1,IF(IFERROR(INDEX(coa_CF,MATCH(I1503,coa_Name,0)),"")="Cash",1,0),0)</f>
        <v/>
      </c>
      <c r="Q1503" s="101">
        <f>IF(H1503=1,IF(IFERROR(INDEX(coa_CF,MATCH(K1503,coa_Name,0)),"")="Cash",1,0),0)</f>
        <v/>
      </c>
      <c r="R1503" s="58">
        <f>IF((P1503-Q1503)=0,"",IFERROR(INDEX(coa_CF,MATCH(IF((P1503-Q1503)=1,K1503,I1503),coa_Name,0)),"Operating"))</f>
        <v/>
      </c>
      <c r="S1503" s="95">
        <f>IF((P1503-Q1503)=1,L1503,IF((P1503-Q1503)=-1,-J1503,0))</f>
        <v/>
      </c>
      <c r="T1503" s="95">
        <f>IF((P1503-Q1503)=1,N1503,IF((P1503-Q1503)=-1,-M1503,0))</f>
        <v/>
      </c>
      <c r="U1503" s="101">
        <f>IF(AND(H1503=1,LedAcct&lt;&gt;""),IF(AND(E1503&gt;=LedFrom,E1503&lt;=LedTo,OR(I1503=LedAcct,K1503=LedAcct,AND(LedAcct=acctTax,M1503+N1503&lt;&gt;0))),E1503*10000+B1503,""),"")</f>
        <v/>
      </c>
    </row>
    <row r="1504">
      <c r="B1504" s="101" t="n">
        <v>1498</v>
      </c>
      <c r="C1504" s="58" t="inlineStr">
        <is>
          <t>Transaction</t>
        </is>
      </c>
      <c r="D1504" s="58">
        <f>IF(H1504=1,INDEX(tx_ID,1498)&amp;"","")</f>
        <v/>
      </c>
      <c r="E1504" s="94">
        <f>IF(H1504=1,INDEX(tx_Date,1498),"")</f>
        <v/>
      </c>
      <c r="F1504" s="58">
        <f>IF(H1504=1,INDEX(tx_Desc,1498)&amp;"","")</f>
        <v/>
      </c>
      <c r="G1504" s="58">
        <f>IF(H1504=1,IF(INDEX(tx_Cust,1498)&amp;""&lt;&gt;"",INDEX(tx_Cust,1498)&amp;"",INDEX(tx_Vend,1498)&amp;""),"")</f>
        <v/>
      </c>
      <c r="H1504" s="101">
        <f>IFERROR(N(INDEX(tx_Posted,1498)),0)</f>
        <v/>
      </c>
      <c r="I1504" s="58">
        <f>IF(H1504=1,INDEX(tx_DrAcct,1498)&amp;"","")</f>
        <v/>
      </c>
      <c r="J1504" s="95">
        <f>IF(H1504=1,INDEX(tx_DrAmt,1498),0)</f>
        <v/>
      </c>
      <c r="K1504" s="58">
        <f>IF(H1504=1,INDEX(tx_CrAcct,1498)&amp;"","")</f>
        <v/>
      </c>
      <c r="L1504" s="95">
        <f>IF(H1504=1,INDEX(tx_CrAmt,1498),0)</f>
        <v/>
      </c>
      <c r="M1504" s="95">
        <f>IF(H1504=1,INDEX(tx_TaxDr,1498),0)</f>
        <v/>
      </c>
      <c r="N1504" s="95">
        <f>IF(H1504=1,INDEX(tx_TaxCr,1498),0)</f>
        <v/>
      </c>
      <c r="O1504" s="101">
        <f>IF(H1504=1,IF(E1504&lt;FYStart,0,IF(E1504&gt;FYEnd,13,YEAR(E1504)*12+MONTH(E1504)-FYYM+1)),"")</f>
        <v/>
      </c>
      <c r="P1504" s="101">
        <f>IF(H1504=1,IF(IFERROR(INDEX(coa_CF,MATCH(I1504,coa_Name,0)),"")="Cash",1,0),0)</f>
        <v/>
      </c>
      <c r="Q1504" s="101">
        <f>IF(H1504=1,IF(IFERROR(INDEX(coa_CF,MATCH(K1504,coa_Name,0)),"")="Cash",1,0),0)</f>
        <v/>
      </c>
      <c r="R1504" s="58">
        <f>IF((P1504-Q1504)=0,"",IFERROR(INDEX(coa_CF,MATCH(IF((P1504-Q1504)=1,K1504,I1504),coa_Name,0)),"Operating"))</f>
        <v/>
      </c>
      <c r="S1504" s="95">
        <f>IF((P1504-Q1504)=1,L1504,IF((P1504-Q1504)=-1,-J1504,0))</f>
        <v/>
      </c>
      <c r="T1504" s="95">
        <f>IF((P1504-Q1504)=1,N1504,IF((P1504-Q1504)=-1,-M1504,0))</f>
        <v/>
      </c>
      <c r="U1504" s="101">
        <f>IF(AND(H1504=1,LedAcct&lt;&gt;""),IF(AND(E1504&gt;=LedFrom,E1504&lt;=LedTo,OR(I1504=LedAcct,K1504=LedAcct,AND(LedAcct=acctTax,M1504+N1504&lt;&gt;0))),E1504*10000+B1504,""),"")</f>
        <v/>
      </c>
    </row>
    <row r="1505">
      <c r="B1505" s="101" t="n">
        <v>1499</v>
      </c>
      <c r="C1505" s="58" t="inlineStr">
        <is>
          <t>Transaction</t>
        </is>
      </c>
      <c r="D1505" s="58">
        <f>IF(H1505=1,INDEX(tx_ID,1499)&amp;"","")</f>
        <v/>
      </c>
      <c r="E1505" s="94">
        <f>IF(H1505=1,INDEX(tx_Date,1499),"")</f>
        <v/>
      </c>
      <c r="F1505" s="58">
        <f>IF(H1505=1,INDEX(tx_Desc,1499)&amp;"","")</f>
        <v/>
      </c>
      <c r="G1505" s="58">
        <f>IF(H1505=1,IF(INDEX(tx_Cust,1499)&amp;""&lt;&gt;"",INDEX(tx_Cust,1499)&amp;"",INDEX(tx_Vend,1499)&amp;""),"")</f>
        <v/>
      </c>
      <c r="H1505" s="101">
        <f>IFERROR(N(INDEX(tx_Posted,1499)),0)</f>
        <v/>
      </c>
      <c r="I1505" s="58">
        <f>IF(H1505=1,INDEX(tx_DrAcct,1499)&amp;"","")</f>
        <v/>
      </c>
      <c r="J1505" s="95">
        <f>IF(H1505=1,INDEX(tx_DrAmt,1499),0)</f>
        <v/>
      </c>
      <c r="K1505" s="58">
        <f>IF(H1505=1,INDEX(tx_CrAcct,1499)&amp;"","")</f>
        <v/>
      </c>
      <c r="L1505" s="95">
        <f>IF(H1505=1,INDEX(tx_CrAmt,1499),0)</f>
        <v/>
      </c>
      <c r="M1505" s="95">
        <f>IF(H1505=1,INDEX(tx_TaxDr,1499),0)</f>
        <v/>
      </c>
      <c r="N1505" s="95">
        <f>IF(H1505=1,INDEX(tx_TaxCr,1499),0)</f>
        <v/>
      </c>
      <c r="O1505" s="101">
        <f>IF(H1505=1,IF(E1505&lt;FYStart,0,IF(E1505&gt;FYEnd,13,YEAR(E1505)*12+MONTH(E1505)-FYYM+1)),"")</f>
        <v/>
      </c>
      <c r="P1505" s="101">
        <f>IF(H1505=1,IF(IFERROR(INDEX(coa_CF,MATCH(I1505,coa_Name,0)),"")="Cash",1,0),0)</f>
        <v/>
      </c>
      <c r="Q1505" s="101">
        <f>IF(H1505=1,IF(IFERROR(INDEX(coa_CF,MATCH(K1505,coa_Name,0)),"")="Cash",1,0),0)</f>
        <v/>
      </c>
      <c r="R1505" s="58">
        <f>IF((P1505-Q1505)=0,"",IFERROR(INDEX(coa_CF,MATCH(IF((P1505-Q1505)=1,K1505,I1505),coa_Name,0)),"Operating"))</f>
        <v/>
      </c>
      <c r="S1505" s="95">
        <f>IF((P1505-Q1505)=1,L1505,IF((P1505-Q1505)=-1,-J1505,0))</f>
        <v/>
      </c>
      <c r="T1505" s="95">
        <f>IF((P1505-Q1505)=1,N1505,IF((P1505-Q1505)=-1,-M1505,0))</f>
        <v/>
      </c>
      <c r="U1505" s="101">
        <f>IF(AND(H1505=1,LedAcct&lt;&gt;""),IF(AND(E1505&gt;=LedFrom,E1505&lt;=LedTo,OR(I1505=LedAcct,K1505=LedAcct,AND(LedAcct=acctTax,M1505+N1505&lt;&gt;0))),E1505*10000+B1505,""),"")</f>
        <v/>
      </c>
    </row>
    <row r="1506">
      <c r="B1506" s="101" t="n">
        <v>1500</v>
      </c>
      <c r="C1506" s="58" t="inlineStr">
        <is>
          <t>Transaction</t>
        </is>
      </c>
      <c r="D1506" s="58">
        <f>IF(H1506=1,INDEX(tx_ID,1500)&amp;"","")</f>
        <v/>
      </c>
      <c r="E1506" s="94">
        <f>IF(H1506=1,INDEX(tx_Date,1500),"")</f>
        <v/>
      </c>
      <c r="F1506" s="58">
        <f>IF(H1506=1,INDEX(tx_Desc,1500)&amp;"","")</f>
        <v/>
      </c>
      <c r="G1506" s="58">
        <f>IF(H1506=1,IF(INDEX(tx_Cust,1500)&amp;""&lt;&gt;"",INDEX(tx_Cust,1500)&amp;"",INDEX(tx_Vend,1500)&amp;""),"")</f>
        <v/>
      </c>
      <c r="H1506" s="101">
        <f>IFERROR(N(INDEX(tx_Posted,1500)),0)</f>
        <v/>
      </c>
      <c r="I1506" s="58">
        <f>IF(H1506=1,INDEX(tx_DrAcct,1500)&amp;"","")</f>
        <v/>
      </c>
      <c r="J1506" s="95">
        <f>IF(H1506=1,INDEX(tx_DrAmt,1500),0)</f>
        <v/>
      </c>
      <c r="K1506" s="58">
        <f>IF(H1506=1,INDEX(tx_CrAcct,1500)&amp;"","")</f>
        <v/>
      </c>
      <c r="L1506" s="95">
        <f>IF(H1506=1,INDEX(tx_CrAmt,1500),0)</f>
        <v/>
      </c>
      <c r="M1506" s="95">
        <f>IF(H1506=1,INDEX(tx_TaxDr,1500),0)</f>
        <v/>
      </c>
      <c r="N1506" s="95">
        <f>IF(H1506=1,INDEX(tx_TaxCr,1500),0)</f>
        <v/>
      </c>
      <c r="O1506" s="101">
        <f>IF(H1506=1,IF(E1506&lt;FYStart,0,IF(E1506&gt;FYEnd,13,YEAR(E1506)*12+MONTH(E1506)-FYYM+1)),"")</f>
        <v/>
      </c>
      <c r="P1506" s="101">
        <f>IF(H1506=1,IF(IFERROR(INDEX(coa_CF,MATCH(I1506,coa_Name,0)),"")="Cash",1,0),0)</f>
        <v/>
      </c>
      <c r="Q1506" s="101">
        <f>IF(H1506=1,IF(IFERROR(INDEX(coa_CF,MATCH(K1506,coa_Name,0)),"")="Cash",1,0),0)</f>
        <v/>
      </c>
      <c r="R1506" s="58">
        <f>IF((P1506-Q1506)=0,"",IFERROR(INDEX(coa_CF,MATCH(IF((P1506-Q1506)=1,K1506,I1506),coa_Name,0)),"Operating"))</f>
        <v/>
      </c>
      <c r="S1506" s="95">
        <f>IF((P1506-Q1506)=1,L1506,IF((P1506-Q1506)=-1,-J1506,0))</f>
        <v/>
      </c>
      <c r="T1506" s="95">
        <f>IF((P1506-Q1506)=1,N1506,IF((P1506-Q1506)=-1,-M1506,0))</f>
        <v/>
      </c>
      <c r="U1506" s="101">
        <f>IF(AND(H1506=1,LedAcct&lt;&gt;""),IF(AND(E1506&gt;=LedFrom,E1506&lt;=LedTo,OR(I1506=LedAcct,K1506=LedAcct,AND(LedAcct=acctTax,M1506+N1506&lt;&gt;0))),E1506*10000+B1506,""),"")</f>
        <v/>
      </c>
    </row>
    <row r="1507">
      <c r="B1507" s="101" t="n">
        <v>1501</v>
      </c>
      <c r="C1507" s="58" t="inlineStr">
        <is>
          <t>Transaction</t>
        </is>
      </c>
      <c r="D1507" s="58">
        <f>IF(H1507=1,INDEX(tx_ID,1501)&amp;"","")</f>
        <v/>
      </c>
      <c r="E1507" s="94">
        <f>IF(H1507=1,INDEX(tx_Date,1501),"")</f>
        <v/>
      </c>
      <c r="F1507" s="58">
        <f>IF(H1507=1,INDEX(tx_Desc,1501)&amp;"","")</f>
        <v/>
      </c>
      <c r="G1507" s="58">
        <f>IF(H1507=1,IF(INDEX(tx_Cust,1501)&amp;""&lt;&gt;"",INDEX(tx_Cust,1501)&amp;"",INDEX(tx_Vend,1501)&amp;""),"")</f>
        <v/>
      </c>
      <c r="H1507" s="101">
        <f>IFERROR(N(INDEX(tx_Posted,1501)),0)</f>
        <v/>
      </c>
      <c r="I1507" s="58">
        <f>IF(H1507=1,INDEX(tx_DrAcct,1501)&amp;"","")</f>
        <v/>
      </c>
      <c r="J1507" s="95">
        <f>IF(H1507=1,INDEX(tx_DrAmt,1501),0)</f>
        <v/>
      </c>
      <c r="K1507" s="58">
        <f>IF(H1507=1,INDEX(tx_CrAcct,1501)&amp;"","")</f>
        <v/>
      </c>
      <c r="L1507" s="95">
        <f>IF(H1507=1,INDEX(tx_CrAmt,1501),0)</f>
        <v/>
      </c>
      <c r="M1507" s="95">
        <f>IF(H1507=1,INDEX(tx_TaxDr,1501),0)</f>
        <v/>
      </c>
      <c r="N1507" s="95">
        <f>IF(H1507=1,INDEX(tx_TaxCr,1501),0)</f>
        <v/>
      </c>
      <c r="O1507" s="101">
        <f>IF(H1507=1,IF(E1507&lt;FYStart,0,IF(E1507&gt;FYEnd,13,YEAR(E1507)*12+MONTH(E1507)-FYYM+1)),"")</f>
        <v/>
      </c>
      <c r="P1507" s="101">
        <f>IF(H1507=1,IF(IFERROR(INDEX(coa_CF,MATCH(I1507,coa_Name,0)),"")="Cash",1,0),0)</f>
        <v/>
      </c>
      <c r="Q1507" s="101">
        <f>IF(H1507=1,IF(IFERROR(INDEX(coa_CF,MATCH(K1507,coa_Name,0)),"")="Cash",1,0),0)</f>
        <v/>
      </c>
      <c r="R1507" s="58">
        <f>IF((P1507-Q1507)=0,"",IFERROR(INDEX(coa_CF,MATCH(IF((P1507-Q1507)=1,K1507,I1507),coa_Name,0)),"Operating"))</f>
        <v/>
      </c>
      <c r="S1507" s="95">
        <f>IF((P1507-Q1507)=1,L1507,IF((P1507-Q1507)=-1,-J1507,0))</f>
        <v/>
      </c>
      <c r="T1507" s="95">
        <f>IF((P1507-Q1507)=1,N1507,IF((P1507-Q1507)=-1,-M1507,0))</f>
        <v/>
      </c>
      <c r="U1507" s="101">
        <f>IF(AND(H1507=1,LedAcct&lt;&gt;""),IF(AND(E1507&gt;=LedFrom,E1507&lt;=LedTo,OR(I1507=LedAcct,K1507=LedAcct,AND(LedAcct=acctTax,M1507+N1507&lt;&gt;0))),E1507*10000+B1507,""),"")</f>
        <v/>
      </c>
    </row>
    <row r="1508">
      <c r="B1508" s="101" t="n">
        <v>1502</v>
      </c>
      <c r="C1508" s="58" t="inlineStr">
        <is>
          <t>Transaction</t>
        </is>
      </c>
      <c r="D1508" s="58">
        <f>IF(H1508=1,INDEX(tx_ID,1502)&amp;"","")</f>
        <v/>
      </c>
      <c r="E1508" s="94">
        <f>IF(H1508=1,INDEX(tx_Date,1502),"")</f>
        <v/>
      </c>
      <c r="F1508" s="58">
        <f>IF(H1508=1,INDEX(tx_Desc,1502)&amp;"","")</f>
        <v/>
      </c>
      <c r="G1508" s="58">
        <f>IF(H1508=1,IF(INDEX(tx_Cust,1502)&amp;""&lt;&gt;"",INDEX(tx_Cust,1502)&amp;"",INDEX(tx_Vend,1502)&amp;""),"")</f>
        <v/>
      </c>
      <c r="H1508" s="101">
        <f>IFERROR(N(INDEX(tx_Posted,1502)),0)</f>
        <v/>
      </c>
      <c r="I1508" s="58">
        <f>IF(H1508=1,INDEX(tx_DrAcct,1502)&amp;"","")</f>
        <v/>
      </c>
      <c r="J1508" s="95">
        <f>IF(H1508=1,INDEX(tx_DrAmt,1502),0)</f>
        <v/>
      </c>
      <c r="K1508" s="58">
        <f>IF(H1508=1,INDEX(tx_CrAcct,1502)&amp;"","")</f>
        <v/>
      </c>
      <c r="L1508" s="95">
        <f>IF(H1508=1,INDEX(tx_CrAmt,1502),0)</f>
        <v/>
      </c>
      <c r="M1508" s="95">
        <f>IF(H1508=1,INDEX(tx_TaxDr,1502),0)</f>
        <v/>
      </c>
      <c r="N1508" s="95">
        <f>IF(H1508=1,INDEX(tx_TaxCr,1502),0)</f>
        <v/>
      </c>
      <c r="O1508" s="101">
        <f>IF(H1508=1,IF(E1508&lt;FYStart,0,IF(E1508&gt;FYEnd,13,YEAR(E1508)*12+MONTH(E1508)-FYYM+1)),"")</f>
        <v/>
      </c>
      <c r="P1508" s="101">
        <f>IF(H1508=1,IF(IFERROR(INDEX(coa_CF,MATCH(I1508,coa_Name,0)),"")="Cash",1,0),0)</f>
        <v/>
      </c>
      <c r="Q1508" s="101">
        <f>IF(H1508=1,IF(IFERROR(INDEX(coa_CF,MATCH(K1508,coa_Name,0)),"")="Cash",1,0),0)</f>
        <v/>
      </c>
      <c r="R1508" s="58">
        <f>IF((P1508-Q1508)=0,"",IFERROR(INDEX(coa_CF,MATCH(IF((P1508-Q1508)=1,K1508,I1508),coa_Name,0)),"Operating"))</f>
        <v/>
      </c>
      <c r="S1508" s="95">
        <f>IF((P1508-Q1508)=1,L1508,IF((P1508-Q1508)=-1,-J1508,0))</f>
        <v/>
      </c>
      <c r="T1508" s="95">
        <f>IF((P1508-Q1508)=1,N1508,IF((P1508-Q1508)=-1,-M1508,0))</f>
        <v/>
      </c>
      <c r="U1508" s="101">
        <f>IF(AND(H1508=1,LedAcct&lt;&gt;""),IF(AND(E1508&gt;=LedFrom,E1508&lt;=LedTo,OR(I1508=LedAcct,K1508=LedAcct,AND(LedAcct=acctTax,M1508+N1508&lt;&gt;0))),E1508*10000+B1508,""),"")</f>
        <v/>
      </c>
    </row>
    <row r="1509">
      <c r="B1509" s="101" t="n">
        <v>1503</v>
      </c>
      <c r="C1509" s="58" t="inlineStr">
        <is>
          <t>Transaction</t>
        </is>
      </c>
      <c r="D1509" s="58">
        <f>IF(H1509=1,INDEX(tx_ID,1503)&amp;"","")</f>
        <v/>
      </c>
      <c r="E1509" s="94">
        <f>IF(H1509=1,INDEX(tx_Date,1503),"")</f>
        <v/>
      </c>
      <c r="F1509" s="58">
        <f>IF(H1509=1,INDEX(tx_Desc,1503)&amp;"","")</f>
        <v/>
      </c>
      <c r="G1509" s="58">
        <f>IF(H1509=1,IF(INDEX(tx_Cust,1503)&amp;""&lt;&gt;"",INDEX(tx_Cust,1503)&amp;"",INDEX(tx_Vend,1503)&amp;""),"")</f>
        <v/>
      </c>
      <c r="H1509" s="101">
        <f>IFERROR(N(INDEX(tx_Posted,1503)),0)</f>
        <v/>
      </c>
      <c r="I1509" s="58">
        <f>IF(H1509=1,INDEX(tx_DrAcct,1503)&amp;"","")</f>
        <v/>
      </c>
      <c r="J1509" s="95">
        <f>IF(H1509=1,INDEX(tx_DrAmt,1503),0)</f>
        <v/>
      </c>
      <c r="K1509" s="58">
        <f>IF(H1509=1,INDEX(tx_CrAcct,1503)&amp;"","")</f>
        <v/>
      </c>
      <c r="L1509" s="95">
        <f>IF(H1509=1,INDEX(tx_CrAmt,1503),0)</f>
        <v/>
      </c>
      <c r="M1509" s="95">
        <f>IF(H1509=1,INDEX(tx_TaxDr,1503),0)</f>
        <v/>
      </c>
      <c r="N1509" s="95">
        <f>IF(H1509=1,INDEX(tx_TaxCr,1503),0)</f>
        <v/>
      </c>
      <c r="O1509" s="101">
        <f>IF(H1509=1,IF(E1509&lt;FYStart,0,IF(E1509&gt;FYEnd,13,YEAR(E1509)*12+MONTH(E1509)-FYYM+1)),"")</f>
        <v/>
      </c>
      <c r="P1509" s="101">
        <f>IF(H1509=1,IF(IFERROR(INDEX(coa_CF,MATCH(I1509,coa_Name,0)),"")="Cash",1,0),0)</f>
        <v/>
      </c>
      <c r="Q1509" s="101">
        <f>IF(H1509=1,IF(IFERROR(INDEX(coa_CF,MATCH(K1509,coa_Name,0)),"")="Cash",1,0),0)</f>
        <v/>
      </c>
      <c r="R1509" s="58">
        <f>IF((P1509-Q1509)=0,"",IFERROR(INDEX(coa_CF,MATCH(IF((P1509-Q1509)=1,K1509,I1509),coa_Name,0)),"Operating"))</f>
        <v/>
      </c>
      <c r="S1509" s="95">
        <f>IF((P1509-Q1509)=1,L1509,IF((P1509-Q1509)=-1,-J1509,0))</f>
        <v/>
      </c>
      <c r="T1509" s="95">
        <f>IF((P1509-Q1509)=1,N1509,IF((P1509-Q1509)=-1,-M1509,0))</f>
        <v/>
      </c>
      <c r="U1509" s="101">
        <f>IF(AND(H1509=1,LedAcct&lt;&gt;""),IF(AND(E1509&gt;=LedFrom,E1509&lt;=LedTo,OR(I1509=LedAcct,K1509=LedAcct,AND(LedAcct=acctTax,M1509+N1509&lt;&gt;0))),E1509*10000+B1509,""),"")</f>
        <v/>
      </c>
    </row>
    <row r="1510">
      <c r="B1510" s="101" t="n">
        <v>1504</v>
      </c>
      <c r="C1510" s="58" t="inlineStr">
        <is>
          <t>Transaction</t>
        </is>
      </c>
      <c r="D1510" s="58">
        <f>IF(H1510=1,INDEX(tx_ID,1504)&amp;"","")</f>
        <v/>
      </c>
      <c r="E1510" s="94">
        <f>IF(H1510=1,INDEX(tx_Date,1504),"")</f>
        <v/>
      </c>
      <c r="F1510" s="58">
        <f>IF(H1510=1,INDEX(tx_Desc,1504)&amp;"","")</f>
        <v/>
      </c>
      <c r="G1510" s="58">
        <f>IF(H1510=1,IF(INDEX(tx_Cust,1504)&amp;""&lt;&gt;"",INDEX(tx_Cust,1504)&amp;"",INDEX(tx_Vend,1504)&amp;""),"")</f>
        <v/>
      </c>
      <c r="H1510" s="101">
        <f>IFERROR(N(INDEX(tx_Posted,1504)),0)</f>
        <v/>
      </c>
      <c r="I1510" s="58">
        <f>IF(H1510=1,INDEX(tx_DrAcct,1504)&amp;"","")</f>
        <v/>
      </c>
      <c r="J1510" s="95">
        <f>IF(H1510=1,INDEX(tx_DrAmt,1504),0)</f>
        <v/>
      </c>
      <c r="K1510" s="58">
        <f>IF(H1510=1,INDEX(tx_CrAcct,1504)&amp;"","")</f>
        <v/>
      </c>
      <c r="L1510" s="95">
        <f>IF(H1510=1,INDEX(tx_CrAmt,1504),0)</f>
        <v/>
      </c>
      <c r="M1510" s="95">
        <f>IF(H1510=1,INDEX(tx_TaxDr,1504),0)</f>
        <v/>
      </c>
      <c r="N1510" s="95">
        <f>IF(H1510=1,INDEX(tx_TaxCr,1504),0)</f>
        <v/>
      </c>
      <c r="O1510" s="101">
        <f>IF(H1510=1,IF(E1510&lt;FYStart,0,IF(E1510&gt;FYEnd,13,YEAR(E1510)*12+MONTH(E1510)-FYYM+1)),"")</f>
        <v/>
      </c>
      <c r="P1510" s="101">
        <f>IF(H1510=1,IF(IFERROR(INDEX(coa_CF,MATCH(I1510,coa_Name,0)),"")="Cash",1,0),0)</f>
        <v/>
      </c>
      <c r="Q1510" s="101">
        <f>IF(H1510=1,IF(IFERROR(INDEX(coa_CF,MATCH(K1510,coa_Name,0)),"")="Cash",1,0),0)</f>
        <v/>
      </c>
      <c r="R1510" s="58">
        <f>IF((P1510-Q1510)=0,"",IFERROR(INDEX(coa_CF,MATCH(IF((P1510-Q1510)=1,K1510,I1510),coa_Name,0)),"Operating"))</f>
        <v/>
      </c>
      <c r="S1510" s="95">
        <f>IF((P1510-Q1510)=1,L1510,IF((P1510-Q1510)=-1,-J1510,0))</f>
        <v/>
      </c>
      <c r="T1510" s="95">
        <f>IF((P1510-Q1510)=1,N1510,IF((P1510-Q1510)=-1,-M1510,0))</f>
        <v/>
      </c>
      <c r="U1510" s="101">
        <f>IF(AND(H1510=1,LedAcct&lt;&gt;""),IF(AND(E1510&gt;=LedFrom,E1510&lt;=LedTo,OR(I1510=LedAcct,K1510=LedAcct,AND(LedAcct=acctTax,M1510+N1510&lt;&gt;0))),E1510*10000+B1510,""),"")</f>
        <v/>
      </c>
    </row>
    <row r="1511">
      <c r="B1511" s="101" t="n">
        <v>1505</v>
      </c>
      <c r="C1511" s="58" t="inlineStr">
        <is>
          <t>Transaction</t>
        </is>
      </c>
      <c r="D1511" s="58">
        <f>IF(H1511=1,INDEX(tx_ID,1505)&amp;"","")</f>
        <v/>
      </c>
      <c r="E1511" s="94">
        <f>IF(H1511=1,INDEX(tx_Date,1505),"")</f>
        <v/>
      </c>
      <c r="F1511" s="58">
        <f>IF(H1511=1,INDEX(tx_Desc,1505)&amp;"","")</f>
        <v/>
      </c>
      <c r="G1511" s="58">
        <f>IF(H1511=1,IF(INDEX(tx_Cust,1505)&amp;""&lt;&gt;"",INDEX(tx_Cust,1505)&amp;"",INDEX(tx_Vend,1505)&amp;""),"")</f>
        <v/>
      </c>
      <c r="H1511" s="101">
        <f>IFERROR(N(INDEX(tx_Posted,1505)),0)</f>
        <v/>
      </c>
      <c r="I1511" s="58">
        <f>IF(H1511=1,INDEX(tx_DrAcct,1505)&amp;"","")</f>
        <v/>
      </c>
      <c r="J1511" s="95">
        <f>IF(H1511=1,INDEX(tx_DrAmt,1505),0)</f>
        <v/>
      </c>
      <c r="K1511" s="58">
        <f>IF(H1511=1,INDEX(tx_CrAcct,1505)&amp;"","")</f>
        <v/>
      </c>
      <c r="L1511" s="95">
        <f>IF(H1511=1,INDEX(tx_CrAmt,1505),0)</f>
        <v/>
      </c>
      <c r="M1511" s="95">
        <f>IF(H1511=1,INDEX(tx_TaxDr,1505),0)</f>
        <v/>
      </c>
      <c r="N1511" s="95">
        <f>IF(H1511=1,INDEX(tx_TaxCr,1505),0)</f>
        <v/>
      </c>
      <c r="O1511" s="101">
        <f>IF(H1511=1,IF(E1511&lt;FYStart,0,IF(E1511&gt;FYEnd,13,YEAR(E1511)*12+MONTH(E1511)-FYYM+1)),"")</f>
        <v/>
      </c>
      <c r="P1511" s="101">
        <f>IF(H1511=1,IF(IFERROR(INDEX(coa_CF,MATCH(I1511,coa_Name,0)),"")="Cash",1,0),0)</f>
        <v/>
      </c>
      <c r="Q1511" s="101">
        <f>IF(H1511=1,IF(IFERROR(INDEX(coa_CF,MATCH(K1511,coa_Name,0)),"")="Cash",1,0),0)</f>
        <v/>
      </c>
      <c r="R1511" s="58">
        <f>IF((P1511-Q1511)=0,"",IFERROR(INDEX(coa_CF,MATCH(IF((P1511-Q1511)=1,K1511,I1511),coa_Name,0)),"Operating"))</f>
        <v/>
      </c>
      <c r="S1511" s="95">
        <f>IF((P1511-Q1511)=1,L1511,IF((P1511-Q1511)=-1,-J1511,0))</f>
        <v/>
      </c>
      <c r="T1511" s="95">
        <f>IF((P1511-Q1511)=1,N1511,IF((P1511-Q1511)=-1,-M1511,0))</f>
        <v/>
      </c>
      <c r="U1511" s="101">
        <f>IF(AND(H1511=1,LedAcct&lt;&gt;""),IF(AND(E1511&gt;=LedFrom,E1511&lt;=LedTo,OR(I1511=LedAcct,K1511=LedAcct,AND(LedAcct=acctTax,M1511+N1511&lt;&gt;0))),E1511*10000+B1511,""),"")</f>
        <v/>
      </c>
    </row>
    <row r="1512">
      <c r="B1512" s="101" t="n">
        <v>1506</v>
      </c>
      <c r="C1512" s="58" t="inlineStr">
        <is>
          <t>Transaction</t>
        </is>
      </c>
      <c r="D1512" s="58">
        <f>IF(H1512=1,INDEX(tx_ID,1506)&amp;"","")</f>
        <v/>
      </c>
      <c r="E1512" s="94">
        <f>IF(H1512=1,INDEX(tx_Date,1506),"")</f>
        <v/>
      </c>
      <c r="F1512" s="58">
        <f>IF(H1512=1,INDEX(tx_Desc,1506)&amp;"","")</f>
        <v/>
      </c>
      <c r="G1512" s="58">
        <f>IF(H1512=1,IF(INDEX(tx_Cust,1506)&amp;""&lt;&gt;"",INDEX(tx_Cust,1506)&amp;"",INDEX(tx_Vend,1506)&amp;""),"")</f>
        <v/>
      </c>
      <c r="H1512" s="101">
        <f>IFERROR(N(INDEX(tx_Posted,1506)),0)</f>
        <v/>
      </c>
      <c r="I1512" s="58">
        <f>IF(H1512=1,INDEX(tx_DrAcct,1506)&amp;"","")</f>
        <v/>
      </c>
      <c r="J1512" s="95">
        <f>IF(H1512=1,INDEX(tx_DrAmt,1506),0)</f>
        <v/>
      </c>
      <c r="K1512" s="58">
        <f>IF(H1512=1,INDEX(tx_CrAcct,1506)&amp;"","")</f>
        <v/>
      </c>
      <c r="L1512" s="95">
        <f>IF(H1512=1,INDEX(tx_CrAmt,1506),0)</f>
        <v/>
      </c>
      <c r="M1512" s="95">
        <f>IF(H1512=1,INDEX(tx_TaxDr,1506),0)</f>
        <v/>
      </c>
      <c r="N1512" s="95">
        <f>IF(H1512=1,INDEX(tx_TaxCr,1506),0)</f>
        <v/>
      </c>
      <c r="O1512" s="101">
        <f>IF(H1512=1,IF(E1512&lt;FYStart,0,IF(E1512&gt;FYEnd,13,YEAR(E1512)*12+MONTH(E1512)-FYYM+1)),"")</f>
        <v/>
      </c>
      <c r="P1512" s="101">
        <f>IF(H1512=1,IF(IFERROR(INDEX(coa_CF,MATCH(I1512,coa_Name,0)),"")="Cash",1,0),0)</f>
        <v/>
      </c>
      <c r="Q1512" s="101">
        <f>IF(H1512=1,IF(IFERROR(INDEX(coa_CF,MATCH(K1512,coa_Name,0)),"")="Cash",1,0),0)</f>
        <v/>
      </c>
      <c r="R1512" s="58">
        <f>IF((P1512-Q1512)=0,"",IFERROR(INDEX(coa_CF,MATCH(IF((P1512-Q1512)=1,K1512,I1512),coa_Name,0)),"Operating"))</f>
        <v/>
      </c>
      <c r="S1512" s="95">
        <f>IF((P1512-Q1512)=1,L1512,IF((P1512-Q1512)=-1,-J1512,0))</f>
        <v/>
      </c>
      <c r="T1512" s="95">
        <f>IF((P1512-Q1512)=1,N1512,IF((P1512-Q1512)=-1,-M1512,0))</f>
        <v/>
      </c>
      <c r="U1512" s="101">
        <f>IF(AND(H1512=1,LedAcct&lt;&gt;""),IF(AND(E1512&gt;=LedFrom,E1512&lt;=LedTo,OR(I1512=LedAcct,K1512=LedAcct,AND(LedAcct=acctTax,M1512+N1512&lt;&gt;0))),E1512*10000+B1512,""),"")</f>
        <v/>
      </c>
    </row>
    <row r="1513">
      <c r="B1513" s="101" t="n">
        <v>1507</v>
      </c>
      <c r="C1513" s="58" t="inlineStr">
        <is>
          <t>Transaction</t>
        </is>
      </c>
      <c r="D1513" s="58">
        <f>IF(H1513=1,INDEX(tx_ID,1507)&amp;"","")</f>
        <v/>
      </c>
      <c r="E1513" s="94">
        <f>IF(H1513=1,INDEX(tx_Date,1507),"")</f>
        <v/>
      </c>
      <c r="F1513" s="58">
        <f>IF(H1513=1,INDEX(tx_Desc,1507)&amp;"","")</f>
        <v/>
      </c>
      <c r="G1513" s="58">
        <f>IF(H1513=1,IF(INDEX(tx_Cust,1507)&amp;""&lt;&gt;"",INDEX(tx_Cust,1507)&amp;"",INDEX(tx_Vend,1507)&amp;""),"")</f>
        <v/>
      </c>
      <c r="H1513" s="101">
        <f>IFERROR(N(INDEX(tx_Posted,1507)),0)</f>
        <v/>
      </c>
      <c r="I1513" s="58">
        <f>IF(H1513=1,INDEX(tx_DrAcct,1507)&amp;"","")</f>
        <v/>
      </c>
      <c r="J1513" s="95">
        <f>IF(H1513=1,INDEX(tx_DrAmt,1507),0)</f>
        <v/>
      </c>
      <c r="K1513" s="58">
        <f>IF(H1513=1,INDEX(tx_CrAcct,1507)&amp;"","")</f>
        <v/>
      </c>
      <c r="L1513" s="95">
        <f>IF(H1513=1,INDEX(tx_CrAmt,1507),0)</f>
        <v/>
      </c>
      <c r="M1513" s="95">
        <f>IF(H1513=1,INDEX(tx_TaxDr,1507),0)</f>
        <v/>
      </c>
      <c r="N1513" s="95">
        <f>IF(H1513=1,INDEX(tx_TaxCr,1507),0)</f>
        <v/>
      </c>
      <c r="O1513" s="101">
        <f>IF(H1513=1,IF(E1513&lt;FYStart,0,IF(E1513&gt;FYEnd,13,YEAR(E1513)*12+MONTH(E1513)-FYYM+1)),"")</f>
        <v/>
      </c>
      <c r="P1513" s="101">
        <f>IF(H1513=1,IF(IFERROR(INDEX(coa_CF,MATCH(I1513,coa_Name,0)),"")="Cash",1,0),0)</f>
        <v/>
      </c>
      <c r="Q1513" s="101">
        <f>IF(H1513=1,IF(IFERROR(INDEX(coa_CF,MATCH(K1513,coa_Name,0)),"")="Cash",1,0),0)</f>
        <v/>
      </c>
      <c r="R1513" s="58">
        <f>IF((P1513-Q1513)=0,"",IFERROR(INDEX(coa_CF,MATCH(IF((P1513-Q1513)=1,K1513,I1513),coa_Name,0)),"Operating"))</f>
        <v/>
      </c>
      <c r="S1513" s="95">
        <f>IF((P1513-Q1513)=1,L1513,IF((P1513-Q1513)=-1,-J1513,0))</f>
        <v/>
      </c>
      <c r="T1513" s="95">
        <f>IF((P1513-Q1513)=1,N1513,IF((P1513-Q1513)=-1,-M1513,0))</f>
        <v/>
      </c>
      <c r="U1513" s="101">
        <f>IF(AND(H1513=1,LedAcct&lt;&gt;""),IF(AND(E1513&gt;=LedFrom,E1513&lt;=LedTo,OR(I1513=LedAcct,K1513=LedAcct,AND(LedAcct=acctTax,M1513+N1513&lt;&gt;0))),E1513*10000+B1513,""),"")</f>
        <v/>
      </c>
    </row>
    <row r="1514">
      <c r="B1514" s="101" t="n">
        <v>1508</v>
      </c>
      <c r="C1514" s="58" t="inlineStr">
        <is>
          <t>Transaction</t>
        </is>
      </c>
      <c r="D1514" s="58">
        <f>IF(H1514=1,INDEX(tx_ID,1508)&amp;"","")</f>
        <v/>
      </c>
      <c r="E1514" s="94">
        <f>IF(H1514=1,INDEX(tx_Date,1508),"")</f>
        <v/>
      </c>
      <c r="F1514" s="58">
        <f>IF(H1514=1,INDEX(tx_Desc,1508)&amp;"","")</f>
        <v/>
      </c>
      <c r="G1514" s="58">
        <f>IF(H1514=1,IF(INDEX(tx_Cust,1508)&amp;""&lt;&gt;"",INDEX(tx_Cust,1508)&amp;"",INDEX(tx_Vend,1508)&amp;""),"")</f>
        <v/>
      </c>
      <c r="H1514" s="101">
        <f>IFERROR(N(INDEX(tx_Posted,1508)),0)</f>
        <v/>
      </c>
      <c r="I1514" s="58">
        <f>IF(H1514=1,INDEX(tx_DrAcct,1508)&amp;"","")</f>
        <v/>
      </c>
      <c r="J1514" s="95">
        <f>IF(H1514=1,INDEX(tx_DrAmt,1508),0)</f>
        <v/>
      </c>
      <c r="K1514" s="58">
        <f>IF(H1514=1,INDEX(tx_CrAcct,1508)&amp;"","")</f>
        <v/>
      </c>
      <c r="L1514" s="95">
        <f>IF(H1514=1,INDEX(tx_CrAmt,1508),0)</f>
        <v/>
      </c>
      <c r="M1514" s="95">
        <f>IF(H1514=1,INDEX(tx_TaxDr,1508),0)</f>
        <v/>
      </c>
      <c r="N1514" s="95">
        <f>IF(H1514=1,INDEX(tx_TaxCr,1508),0)</f>
        <v/>
      </c>
      <c r="O1514" s="101">
        <f>IF(H1514=1,IF(E1514&lt;FYStart,0,IF(E1514&gt;FYEnd,13,YEAR(E1514)*12+MONTH(E1514)-FYYM+1)),"")</f>
        <v/>
      </c>
      <c r="P1514" s="101">
        <f>IF(H1514=1,IF(IFERROR(INDEX(coa_CF,MATCH(I1514,coa_Name,0)),"")="Cash",1,0),0)</f>
        <v/>
      </c>
      <c r="Q1514" s="101">
        <f>IF(H1514=1,IF(IFERROR(INDEX(coa_CF,MATCH(K1514,coa_Name,0)),"")="Cash",1,0),0)</f>
        <v/>
      </c>
      <c r="R1514" s="58">
        <f>IF((P1514-Q1514)=0,"",IFERROR(INDEX(coa_CF,MATCH(IF((P1514-Q1514)=1,K1514,I1514),coa_Name,0)),"Operating"))</f>
        <v/>
      </c>
      <c r="S1514" s="95">
        <f>IF((P1514-Q1514)=1,L1514,IF((P1514-Q1514)=-1,-J1514,0))</f>
        <v/>
      </c>
      <c r="T1514" s="95">
        <f>IF((P1514-Q1514)=1,N1514,IF((P1514-Q1514)=-1,-M1514,0))</f>
        <v/>
      </c>
      <c r="U1514" s="101">
        <f>IF(AND(H1514=1,LedAcct&lt;&gt;""),IF(AND(E1514&gt;=LedFrom,E1514&lt;=LedTo,OR(I1514=LedAcct,K1514=LedAcct,AND(LedAcct=acctTax,M1514+N1514&lt;&gt;0))),E1514*10000+B1514,""),"")</f>
        <v/>
      </c>
    </row>
    <row r="1515">
      <c r="B1515" s="101" t="n">
        <v>1509</v>
      </c>
      <c r="C1515" s="58" t="inlineStr">
        <is>
          <t>Transaction</t>
        </is>
      </c>
      <c r="D1515" s="58">
        <f>IF(H1515=1,INDEX(tx_ID,1509)&amp;"","")</f>
        <v/>
      </c>
      <c r="E1515" s="94">
        <f>IF(H1515=1,INDEX(tx_Date,1509),"")</f>
        <v/>
      </c>
      <c r="F1515" s="58">
        <f>IF(H1515=1,INDEX(tx_Desc,1509)&amp;"","")</f>
        <v/>
      </c>
      <c r="G1515" s="58">
        <f>IF(H1515=1,IF(INDEX(tx_Cust,1509)&amp;""&lt;&gt;"",INDEX(tx_Cust,1509)&amp;"",INDEX(tx_Vend,1509)&amp;""),"")</f>
        <v/>
      </c>
      <c r="H1515" s="101">
        <f>IFERROR(N(INDEX(tx_Posted,1509)),0)</f>
        <v/>
      </c>
      <c r="I1515" s="58">
        <f>IF(H1515=1,INDEX(tx_DrAcct,1509)&amp;"","")</f>
        <v/>
      </c>
      <c r="J1515" s="95">
        <f>IF(H1515=1,INDEX(tx_DrAmt,1509),0)</f>
        <v/>
      </c>
      <c r="K1515" s="58">
        <f>IF(H1515=1,INDEX(tx_CrAcct,1509)&amp;"","")</f>
        <v/>
      </c>
      <c r="L1515" s="95">
        <f>IF(H1515=1,INDEX(tx_CrAmt,1509),0)</f>
        <v/>
      </c>
      <c r="M1515" s="95">
        <f>IF(H1515=1,INDEX(tx_TaxDr,1509),0)</f>
        <v/>
      </c>
      <c r="N1515" s="95">
        <f>IF(H1515=1,INDEX(tx_TaxCr,1509),0)</f>
        <v/>
      </c>
      <c r="O1515" s="101">
        <f>IF(H1515=1,IF(E1515&lt;FYStart,0,IF(E1515&gt;FYEnd,13,YEAR(E1515)*12+MONTH(E1515)-FYYM+1)),"")</f>
        <v/>
      </c>
      <c r="P1515" s="101">
        <f>IF(H1515=1,IF(IFERROR(INDEX(coa_CF,MATCH(I1515,coa_Name,0)),"")="Cash",1,0),0)</f>
        <v/>
      </c>
      <c r="Q1515" s="101">
        <f>IF(H1515=1,IF(IFERROR(INDEX(coa_CF,MATCH(K1515,coa_Name,0)),"")="Cash",1,0),0)</f>
        <v/>
      </c>
      <c r="R1515" s="58">
        <f>IF((P1515-Q1515)=0,"",IFERROR(INDEX(coa_CF,MATCH(IF((P1515-Q1515)=1,K1515,I1515),coa_Name,0)),"Operating"))</f>
        <v/>
      </c>
      <c r="S1515" s="95">
        <f>IF((P1515-Q1515)=1,L1515,IF((P1515-Q1515)=-1,-J1515,0))</f>
        <v/>
      </c>
      <c r="T1515" s="95">
        <f>IF((P1515-Q1515)=1,N1515,IF((P1515-Q1515)=-1,-M1515,0))</f>
        <v/>
      </c>
      <c r="U1515" s="101">
        <f>IF(AND(H1515=1,LedAcct&lt;&gt;""),IF(AND(E1515&gt;=LedFrom,E1515&lt;=LedTo,OR(I1515=LedAcct,K1515=LedAcct,AND(LedAcct=acctTax,M1515+N1515&lt;&gt;0))),E1515*10000+B1515,""),"")</f>
        <v/>
      </c>
    </row>
    <row r="1516">
      <c r="B1516" s="101" t="n">
        <v>1510</v>
      </c>
      <c r="C1516" s="58" t="inlineStr">
        <is>
          <t>Transaction</t>
        </is>
      </c>
      <c r="D1516" s="58">
        <f>IF(H1516=1,INDEX(tx_ID,1510)&amp;"","")</f>
        <v/>
      </c>
      <c r="E1516" s="94">
        <f>IF(H1516=1,INDEX(tx_Date,1510),"")</f>
        <v/>
      </c>
      <c r="F1516" s="58">
        <f>IF(H1516=1,INDEX(tx_Desc,1510)&amp;"","")</f>
        <v/>
      </c>
      <c r="G1516" s="58">
        <f>IF(H1516=1,IF(INDEX(tx_Cust,1510)&amp;""&lt;&gt;"",INDEX(tx_Cust,1510)&amp;"",INDEX(tx_Vend,1510)&amp;""),"")</f>
        <v/>
      </c>
      <c r="H1516" s="101">
        <f>IFERROR(N(INDEX(tx_Posted,1510)),0)</f>
        <v/>
      </c>
      <c r="I1516" s="58">
        <f>IF(H1516=1,INDEX(tx_DrAcct,1510)&amp;"","")</f>
        <v/>
      </c>
      <c r="J1516" s="95">
        <f>IF(H1516=1,INDEX(tx_DrAmt,1510),0)</f>
        <v/>
      </c>
      <c r="K1516" s="58">
        <f>IF(H1516=1,INDEX(tx_CrAcct,1510)&amp;"","")</f>
        <v/>
      </c>
      <c r="L1516" s="95">
        <f>IF(H1516=1,INDEX(tx_CrAmt,1510),0)</f>
        <v/>
      </c>
      <c r="M1516" s="95">
        <f>IF(H1516=1,INDEX(tx_TaxDr,1510),0)</f>
        <v/>
      </c>
      <c r="N1516" s="95">
        <f>IF(H1516=1,INDEX(tx_TaxCr,1510),0)</f>
        <v/>
      </c>
      <c r="O1516" s="101">
        <f>IF(H1516=1,IF(E1516&lt;FYStart,0,IF(E1516&gt;FYEnd,13,YEAR(E1516)*12+MONTH(E1516)-FYYM+1)),"")</f>
        <v/>
      </c>
      <c r="P1516" s="101">
        <f>IF(H1516=1,IF(IFERROR(INDEX(coa_CF,MATCH(I1516,coa_Name,0)),"")="Cash",1,0),0)</f>
        <v/>
      </c>
      <c r="Q1516" s="101">
        <f>IF(H1516=1,IF(IFERROR(INDEX(coa_CF,MATCH(K1516,coa_Name,0)),"")="Cash",1,0),0)</f>
        <v/>
      </c>
      <c r="R1516" s="58">
        <f>IF((P1516-Q1516)=0,"",IFERROR(INDEX(coa_CF,MATCH(IF((P1516-Q1516)=1,K1516,I1516),coa_Name,0)),"Operating"))</f>
        <v/>
      </c>
      <c r="S1516" s="95">
        <f>IF((P1516-Q1516)=1,L1516,IF((P1516-Q1516)=-1,-J1516,0))</f>
        <v/>
      </c>
      <c r="T1516" s="95">
        <f>IF((P1516-Q1516)=1,N1516,IF((P1516-Q1516)=-1,-M1516,0))</f>
        <v/>
      </c>
      <c r="U1516" s="101">
        <f>IF(AND(H1516=1,LedAcct&lt;&gt;""),IF(AND(E1516&gt;=LedFrom,E1516&lt;=LedTo,OR(I1516=LedAcct,K1516=LedAcct,AND(LedAcct=acctTax,M1516+N1516&lt;&gt;0))),E1516*10000+B1516,""),"")</f>
        <v/>
      </c>
    </row>
    <row r="1517">
      <c r="B1517" s="101" t="n">
        <v>1511</v>
      </c>
      <c r="C1517" s="58" t="inlineStr">
        <is>
          <t>Transaction</t>
        </is>
      </c>
      <c r="D1517" s="58">
        <f>IF(H1517=1,INDEX(tx_ID,1511)&amp;"","")</f>
        <v/>
      </c>
      <c r="E1517" s="94">
        <f>IF(H1517=1,INDEX(tx_Date,1511),"")</f>
        <v/>
      </c>
      <c r="F1517" s="58">
        <f>IF(H1517=1,INDEX(tx_Desc,1511)&amp;"","")</f>
        <v/>
      </c>
      <c r="G1517" s="58">
        <f>IF(H1517=1,IF(INDEX(tx_Cust,1511)&amp;""&lt;&gt;"",INDEX(tx_Cust,1511)&amp;"",INDEX(tx_Vend,1511)&amp;""),"")</f>
        <v/>
      </c>
      <c r="H1517" s="101">
        <f>IFERROR(N(INDEX(tx_Posted,1511)),0)</f>
        <v/>
      </c>
      <c r="I1517" s="58">
        <f>IF(H1517=1,INDEX(tx_DrAcct,1511)&amp;"","")</f>
        <v/>
      </c>
      <c r="J1517" s="95">
        <f>IF(H1517=1,INDEX(tx_DrAmt,1511),0)</f>
        <v/>
      </c>
      <c r="K1517" s="58">
        <f>IF(H1517=1,INDEX(tx_CrAcct,1511)&amp;"","")</f>
        <v/>
      </c>
      <c r="L1517" s="95">
        <f>IF(H1517=1,INDEX(tx_CrAmt,1511),0)</f>
        <v/>
      </c>
      <c r="M1517" s="95">
        <f>IF(H1517=1,INDEX(tx_TaxDr,1511),0)</f>
        <v/>
      </c>
      <c r="N1517" s="95">
        <f>IF(H1517=1,INDEX(tx_TaxCr,1511),0)</f>
        <v/>
      </c>
      <c r="O1517" s="101">
        <f>IF(H1517=1,IF(E1517&lt;FYStart,0,IF(E1517&gt;FYEnd,13,YEAR(E1517)*12+MONTH(E1517)-FYYM+1)),"")</f>
        <v/>
      </c>
      <c r="P1517" s="101">
        <f>IF(H1517=1,IF(IFERROR(INDEX(coa_CF,MATCH(I1517,coa_Name,0)),"")="Cash",1,0),0)</f>
        <v/>
      </c>
      <c r="Q1517" s="101">
        <f>IF(H1517=1,IF(IFERROR(INDEX(coa_CF,MATCH(K1517,coa_Name,0)),"")="Cash",1,0),0)</f>
        <v/>
      </c>
      <c r="R1517" s="58">
        <f>IF((P1517-Q1517)=0,"",IFERROR(INDEX(coa_CF,MATCH(IF((P1517-Q1517)=1,K1517,I1517),coa_Name,0)),"Operating"))</f>
        <v/>
      </c>
      <c r="S1517" s="95">
        <f>IF((P1517-Q1517)=1,L1517,IF((P1517-Q1517)=-1,-J1517,0))</f>
        <v/>
      </c>
      <c r="T1517" s="95">
        <f>IF((P1517-Q1517)=1,N1517,IF((P1517-Q1517)=-1,-M1517,0))</f>
        <v/>
      </c>
      <c r="U1517" s="101">
        <f>IF(AND(H1517=1,LedAcct&lt;&gt;""),IF(AND(E1517&gt;=LedFrom,E1517&lt;=LedTo,OR(I1517=LedAcct,K1517=LedAcct,AND(LedAcct=acctTax,M1517+N1517&lt;&gt;0))),E1517*10000+B1517,""),"")</f>
        <v/>
      </c>
    </row>
    <row r="1518">
      <c r="B1518" s="101" t="n">
        <v>1512</v>
      </c>
      <c r="C1518" s="58" t="inlineStr">
        <is>
          <t>Transaction</t>
        </is>
      </c>
      <c r="D1518" s="58">
        <f>IF(H1518=1,INDEX(tx_ID,1512)&amp;"","")</f>
        <v/>
      </c>
      <c r="E1518" s="94">
        <f>IF(H1518=1,INDEX(tx_Date,1512),"")</f>
        <v/>
      </c>
      <c r="F1518" s="58">
        <f>IF(H1518=1,INDEX(tx_Desc,1512)&amp;"","")</f>
        <v/>
      </c>
      <c r="G1518" s="58">
        <f>IF(H1518=1,IF(INDEX(tx_Cust,1512)&amp;""&lt;&gt;"",INDEX(tx_Cust,1512)&amp;"",INDEX(tx_Vend,1512)&amp;""),"")</f>
        <v/>
      </c>
      <c r="H1518" s="101">
        <f>IFERROR(N(INDEX(tx_Posted,1512)),0)</f>
        <v/>
      </c>
      <c r="I1518" s="58">
        <f>IF(H1518=1,INDEX(tx_DrAcct,1512)&amp;"","")</f>
        <v/>
      </c>
      <c r="J1518" s="95">
        <f>IF(H1518=1,INDEX(tx_DrAmt,1512),0)</f>
        <v/>
      </c>
      <c r="K1518" s="58">
        <f>IF(H1518=1,INDEX(tx_CrAcct,1512)&amp;"","")</f>
        <v/>
      </c>
      <c r="L1518" s="95">
        <f>IF(H1518=1,INDEX(tx_CrAmt,1512),0)</f>
        <v/>
      </c>
      <c r="M1518" s="95">
        <f>IF(H1518=1,INDEX(tx_TaxDr,1512),0)</f>
        <v/>
      </c>
      <c r="N1518" s="95">
        <f>IF(H1518=1,INDEX(tx_TaxCr,1512),0)</f>
        <v/>
      </c>
      <c r="O1518" s="101">
        <f>IF(H1518=1,IF(E1518&lt;FYStart,0,IF(E1518&gt;FYEnd,13,YEAR(E1518)*12+MONTH(E1518)-FYYM+1)),"")</f>
        <v/>
      </c>
      <c r="P1518" s="101">
        <f>IF(H1518=1,IF(IFERROR(INDEX(coa_CF,MATCH(I1518,coa_Name,0)),"")="Cash",1,0),0)</f>
        <v/>
      </c>
      <c r="Q1518" s="101">
        <f>IF(H1518=1,IF(IFERROR(INDEX(coa_CF,MATCH(K1518,coa_Name,0)),"")="Cash",1,0),0)</f>
        <v/>
      </c>
      <c r="R1518" s="58">
        <f>IF((P1518-Q1518)=0,"",IFERROR(INDEX(coa_CF,MATCH(IF((P1518-Q1518)=1,K1518,I1518),coa_Name,0)),"Operating"))</f>
        <v/>
      </c>
      <c r="S1518" s="95">
        <f>IF((P1518-Q1518)=1,L1518,IF((P1518-Q1518)=-1,-J1518,0))</f>
        <v/>
      </c>
      <c r="T1518" s="95">
        <f>IF((P1518-Q1518)=1,N1518,IF((P1518-Q1518)=-1,-M1518,0))</f>
        <v/>
      </c>
      <c r="U1518" s="101">
        <f>IF(AND(H1518=1,LedAcct&lt;&gt;""),IF(AND(E1518&gt;=LedFrom,E1518&lt;=LedTo,OR(I1518=LedAcct,K1518=LedAcct,AND(LedAcct=acctTax,M1518+N1518&lt;&gt;0))),E1518*10000+B1518,""),"")</f>
        <v/>
      </c>
    </row>
    <row r="1519">
      <c r="B1519" s="101" t="n">
        <v>1513</v>
      </c>
      <c r="C1519" s="58" t="inlineStr">
        <is>
          <t>Transaction</t>
        </is>
      </c>
      <c r="D1519" s="58">
        <f>IF(H1519=1,INDEX(tx_ID,1513)&amp;"","")</f>
        <v/>
      </c>
      <c r="E1519" s="94">
        <f>IF(H1519=1,INDEX(tx_Date,1513),"")</f>
        <v/>
      </c>
      <c r="F1519" s="58">
        <f>IF(H1519=1,INDEX(tx_Desc,1513)&amp;"","")</f>
        <v/>
      </c>
      <c r="G1519" s="58">
        <f>IF(H1519=1,IF(INDEX(tx_Cust,1513)&amp;""&lt;&gt;"",INDEX(tx_Cust,1513)&amp;"",INDEX(tx_Vend,1513)&amp;""),"")</f>
        <v/>
      </c>
      <c r="H1519" s="101">
        <f>IFERROR(N(INDEX(tx_Posted,1513)),0)</f>
        <v/>
      </c>
      <c r="I1519" s="58">
        <f>IF(H1519=1,INDEX(tx_DrAcct,1513)&amp;"","")</f>
        <v/>
      </c>
      <c r="J1519" s="95">
        <f>IF(H1519=1,INDEX(tx_DrAmt,1513),0)</f>
        <v/>
      </c>
      <c r="K1519" s="58">
        <f>IF(H1519=1,INDEX(tx_CrAcct,1513)&amp;"","")</f>
        <v/>
      </c>
      <c r="L1519" s="95">
        <f>IF(H1519=1,INDEX(tx_CrAmt,1513),0)</f>
        <v/>
      </c>
      <c r="M1519" s="95">
        <f>IF(H1519=1,INDEX(tx_TaxDr,1513),0)</f>
        <v/>
      </c>
      <c r="N1519" s="95">
        <f>IF(H1519=1,INDEX(tx_TaxCr,1513),0)</f>
        <v/>
      </c>
      <c r="O1519" s="101">
        <f>IF(H1519=1,IF(E1519&lt;FYStart,0,IF(E1519&gt;FYEnd,13,YEAR(E1519)*12+MONTH(E1519)-FYYM+1)),"")</f>
        <v/>
      </c>
      <c r="P1519" s="101">
        <f>IF(H1519=1,IF(IFERROR(INDEX(coa_CF,MATCH(I1519,coa_Name,0)),"")="Cash",1,0),0)</f>
        <v/>
      </c>
      <c r="Q1519" s="101">
        <f>IF(H1519=1,IF(IFERROR(INDEX(coa_CF,MATCH(K1519,coa_Name,0)),"")="Cash",1,0),0)</f>
        <v/>
      </c>
      <c r="R1519" s="58">
        <f>IF((P1519-Q1519)=0,"",IFERROR(INDEX(coa_CF,MATCH(IF((P1519-Q1519)=1,K1519,I1519),coa_Name,0)),"Operating"))</f>
        <v/>
      </c>
      <c r="S1519" s="95">
        <f>IF((P1519-Q1519)=1,L1519,IF((P1519-Q1519)=-1,-J1519,0))</f>
        <v/>
      </c>
      <c r="T1519" s="95">
        <f>IF((P1519-Q1519)=1,N1519,IF((P1519-Q1519)=-1,-M1519,0))</f>
        <v/>
      </c>
      <c r="U1519" s="101">
        <f>IF(AND(H1519=1,LedAcct&lt;&gt;""),IF(AND(E1519&gt;=LedFrom,E1519&lt;=LedTo,OR(I1519=LedAcct,K1519=LedAcct,AND(LedAcct=acctTax,M1519+N1519&lt;&gt;0))),E1519*10000+B1519,""),"")</f>
        <v/>
      </c>
    </row>
    <row r="1520">
      <c r="B1520" s="101" t="n">
        <v>1514</v>
      </c>
      <c r="C1520" s="58" t="inlineStr">
        <is>
          <t>Transaction</t>
        </is>
      </c>
      <c r="D1520" s="58">
        <f>IF(H1520=1,INDEX(tx_ID,1514)&amp;"","")</f>
        <v/>
      </c>
      <c r="E1520" s="94">
        <f>IF(H1520=1,INDEX(tx_Date,1514),"")</f>
        <v/>
      </c>
      <c r="F1520" s="58">
        <f>IF(H1520=1,INDEX(tx_Desc,1514)&amp;"","")</f>
        <v/>
      </c>
      <c r="G1520" s="58">
        <f>IF(H1520=1,IF(INDEX(tx_Cust,1514)&amp;""&lt;&gt;"",INDEX(tx_Cust,1514)&amp;"",INDEX(tx_Vend,1514)&amp;""),"")</f>
        <v/>
      </c>
      <c r="H1520" s="101">
        <f>IFERROR(N(INDEX(tx_Posted,1514)),0)</f>
        <v/>
      </c>
      <c r="I1520" s="58">
        <f>IF(H1520=1,INDEX(tx_DrAcct,1514)&amp;"","")</f>
        <v/>
      </c>
      <c r="J1520" s="95">
        <f>IF(H1520=1,INDEX(tx_DrAmt,1514),0)</f>
        <v/>
      </c>
      <c r="K1520" s="58">
        <f>IF(H1520=1,INDEX(tx_CrAcct,1514)&amp;"","")</f>
        <v/>
      </c>
      <c r="L1520" s="95">
        <f>IF(H1520=1,INDEX(tx_CrAmt,1514),0)</f>
        <v/>
      </c>
      <c r="M1520" s="95">
        <f>IF(H1520=1,INDEX(tx_TaxDr,1514),0)</f>
        <v/>
      </c>
      <c r="N1520" s="95">
        <f>IF(H1520=1,INDEX(tx_TaxCr,1514),0)</f>
        <v/>
      </c>
      <c r="O1520" s="101">
        <f>IF(H1520=1,IF(E1520&lt;FYStart,0,IF(E1520&gt;FYEnd,13,YEAR(E1520)*12+MONTH(E1520)-FYYM+1)),"")</f>
        <v/>
      </c>
      <c r="P1520" s="101">
        <f>IF(H1520=1,IF(IFERROR(INDEX(coa_CF,MATCH(I1520,coa_Name,0)),"")="Cash",1,0),0)</f>
        <v/>
      </c>
      <c r="Q1520" s="101">
        <f>IF(H1520=1,IF(IFERROR(INDEX(coa_CF,MATCH(K1520,coa_Name,0)),"")="Cash",1,0),0)</f>
        <v/>
      </c>
      <c r="R1520" s="58">
        <f>IF((P1520-Q1520)=0,"",IFERROR(INDEX(coa_CF,MATCH(IF((P1520-Q1520)=1,K1520,I1520),coa_Name,0)),"Operating"))</f>
        <v/>
      </c>
      <c r="S1520" s="95">
        <f>IF((P1520-Q1520)=1,L1520,IF((P1520-Q1520)=-1,-J1520,0))</f>
        <v/>
      </c>
      <c r="T1520" s="95">
        <f>IF((P1520-Q1520)=1,N1520,IF((P1520-Q1520)=-1,-M1520,0))</f>
        <v/>
      </c>
      <c r="U1520" s="101">
        <f>IF(AND(H1520=1,LedAcct&lt;&gt;""),IF(AND(E1520&gt;=LedFrom,E1520&lt;=LedTo,OR(I1520=LedAcct,K1520=LedAcct,AND(LedAcct=acctTax,M1520+N1520&lt;&gt;0))),E1520*10000+B1520,""),"")</f>
        <v/>
      </c>
    </row>
    <row r="1521">
      <c r="B1521" s="101" t="n">
        <v>1515</v>
      </c>
      <c r="C1521" s="58" t="inlineStr">
        <is>
          <t>Transaction</t>
        </is>
      </c>
      <c r="D1521" s="58">
        <f>IF(H1521=1,INDEX(tx_ID,1515)&amp;"","")</f>
        <v/>
      </c>
      <c r="E1521" s="94">
        <f>IF(H1521=1,INDEX(tx_Date,1515),"")</f>
        <v/>
      </c>
      <c r="F1521" s="58">
        <f>IF(H1521=1,INDEX(tx_Desc,1515)&amp;"","")</f>
        <v/>
      </c>
      <c r="G1521" s="58">
        <f>IF(H1521=1,IF(INDEX(tx_Cust,1515)&amp;""&lt;&gt;"",INDEX(tx_Cust,1515)&amp;"",INDEX(tx_Vend,1515)&amp;""),"")</f>
        <v/>
      </c>
      <c r="H1521" s="101">
        <f>IFERROR(N(INDEX(tx_Posted,1515)),0)</f>
        <v/>
      </c>
      <c r="I1521" s="58">
        <f>IF(H1521=1,INDEX(tx_DrAcct,1515)&amp;"","")</f>
        <v/>
      </c>
      <c r="J1521" s="95">
        <f>IF(H1521=1,INDEX(tx_DrAmt,1515),0)</f>
        <v/>
      </c>
      <c r="K1521" s="58">
        <f>IF(H1521=1,INDEX(tx_CrAcct,1515)&amp;"","")</f>
        <v/>
      </c>
      <c r="L1521" s="95">
        <f>IF(H1521=1,INDEX(tx_CrAmt,1515),0)</f>
        <v/>
      </c>
      <c r="M1521" s="95">
        <f>IF(H1521=1,INDEX(tx_TaxDr,1515),0)</f>
        <v/>
      </c>
      <c r="N1521" s="95">
        <f>IF(H1521=1,INDEX(tx_TaxCr,1515),0)</f>
        <v/>
      </c>
      <c r="O1521" s="101">
        <f>IF(H1521=1,IF(E1521&lt;FYStart,0,IF(E1521&gt;FYEnd,13,YEAR(E1521)*12+MONTH(E1521)-FYYM+1)),"")</f>
        <v/>
      </c>
      <c r="P1521" s="101">
        <f>IF(H1521=1,IF(IFERROR(INDEX(coa_CF,MATCH(I1521,coa_Name,0)),"")="Cash",1,0),0)</f>
        <v/>
      </c>
      <c r="Q1521" s="101">
        <f>IF(H1521=1,IF(IFERROR(INDEX(coa_CF,MATCH(K1521,coa_Name,0)),"")="Cash",1,0),0)</f>
        <v/>
      </c>
      <c r="R1521" s="58">
        <f>IF((P1521-Q1521)=0,"",IFERROR(INDEX(coa_CF,MATCH(IF((P1521-Q1521)=1,K1521,I1521),coa_Name,0)),"Operating"))</f>
        <v/>
      </c>
      <c r="S1521" s="95">
        <f>IF((P1521-Q1521)=1,L1521,IF((P1521-Q1521)=-1,-J1521,0))</f>
        <v/>
      </c>
      <c r="T1521" s="95">
        <f>IF((P1521-Q1521)=1,N1521,IF((P1521-Q1521)=-1,-M1521,0))</f>
        <v/>
      </c>
      <c r="U1521" s="101">
        <f>IF(AND(H1521=1,LedAcct&lt;&gt;""),IF(AND(E1521&gt;=LedFrom,E1521&lt;=LedTo,OR(I1521=LedAcct,K1521=LedAcct,AND(LedAcct=acctTax,M1521+N1521&lt;&gt;0))),E1521*10000+B1521,""),"")</f>
        <v/>
      </c>
    </row>
    <row r="1522">
      <c r="B1522" s="101" t="n">
        <v>1516</v>
      </c>
      <c r="C1522" s="58" t="inlineStr">
        <is>
          <t>Transaction</t>
        </is>
      </c>
      <c r="D1522" s="58">
        <f>IF(H1522=1,INDEX(tx_ID,1516)&amp;"","")</f>
        <v/>
      </c>
      <c r="E1522" s="94">
        <f>IF(H1522=1,INDEX(tx_Date,1516),"")</f>
        <v/>
      </c>
      <c r="F1522" s="58">
        <f>IF(H1522=1,INDEX(tx_Desc,1516)&amp;"","")</f>
        <v/>
      </c>
      <c r="G1522" s="58">
        <f>IF(H1522=1,IF(INDEX(tx_Cust,1516)&amp;""&lt;&gt;"",INDEX(tx_Cust,1516)&amp;"",INDEX(tx_Vend,1516)&amp;""),"")</f>
        <v/>
      </c>
      <c r="H1522" s="101">
        <f>IFERROR(N(INDEX(tx_Posted,1516)),0)</f>
        <v/>
      </c>
      <c r="I1522" s="58">
        <f>IF(H1522=1,INDEX(tx_DrAcct,1516)&amp;"","")</f>
        <v/>
      </c>
      <c r="J1522" s="95">
        <f>IF(H1522=1,INDEX(tx_DrAmt,1516),0)</f>
        <v/>
      </c>
      <c r="K1522" s="58">
        <f>IF(H1522=1,INDEX(tx_CrAcct,1516)&amp;"","")</f>
        <v/>
      </c>
      <c r="L1522" s="95">
        <f>IF(H1522=1,INDEX(tx_CrAmt,1516),0)</f>
        <v/>
      </c>
      <c r="M1522" s="95">
        <f>IF(H1522=1,INDEX(tx_TaxDr,1516),0)</f>
        <v/>
      </c>
      <c r="N1522" s="95">
        <f>IF(H1522=1,INDEX(tx_TaxCr,1516),0)</f>
        <v/>
      </c>
      <c r="O1522" s="101">
        <f>IF(H1522=1,IF(E1522&lt;FYStart,0,IF(E1522&gt;FYEnd,13,YEAR(E1522)*12+MONTH(E1522)-FYYM+1)),"")</f>
        <v/>
      </c>
      <c r="P1522" s="101">
        <f>IF(H1522=1,IF(IFERROR(INDEX(coa_CF,MATCH(I1522,coa_Name,0)),"")="Cash",1,0),0)</f>
        <v/>
      </c>
      <c r="Q1522" s="101">
        <f>IF(H1522=1,IF(IFERROR(INDEX(coa_CF,MATCH(K1522,coa_Name,0)),"")="Cash",1,0),0)</f>
        <v/>
      </c>
      <c r="R1522" s="58">
        <f>IF((P1522-Q1522)=0,"",IFERROR(INDEX(coa_CF,MATCH(IF((P1522-Q1522)=1,K1522,I1522),coa_Name,0)),"Operating"))</f>
        <v/>
      </c>
      <c r="S1522" s="95">
        <f>IF((P1522-Q1522)=1,L1522,IF((P1522-Q1522)=-1,-J1522,0))</f>
        <v/>
      </c>
      <c r="T1522" s="95">
        <f>IF((P1522-Q1522)=1,N1522,IF((P1522-Q1522)=-1,-M1522,0))</f>
        <v/>
      </c>
      <c r="U1522" s="101">
        <f>IF(AND(H1522=1,LedAcct&lt;&gt;""),IF(AND(E1522&gt;=LedFrom,E1522&lt;=LedTo,OR(I1522=LedAcct,K1522=LedAcct,AND(LedAcct=acctTax,M1522+N1522&lt;&gt;0))),E1522*10000+B1522,""),"")</f>
        <v/>
      </c>
    </row>
    <row r="1523">
      <c r="B1523" s="101" t="n">
        <v>1517</v>
      </c>
      <c r="C1523" s="58" t="inlineStr">
        <is>
          <t>Transaction</t>
        </is>
      </c>
      <c r="D1523" s="58">
        <f>IF(H1523=1,INDEX(tx_ID,1517)&amp;"","")</f>
        <v/>
      </c>
      <c r="E1523" s="94">
        <f>IF(H1523=1,INDEX(tx_Date,1517),"")</f>
        <v/>
      </c>
      <c r="F1523" s="58">
        <f>IF(H1523=1,INDEX(tx_Desc,1517)&amp;"","")</f>
        <v/>
      </c>
      <c r="G1523" s="58">
        <f>IF(H1523=1,IF(INDEX(tx_Cust,1517)&amp;""&lt;&gt;"",INDEX(tx_Cust,1517)&amp;"",INDEX(tx_Vend,1517)&amp;""),"")</f>
        <v/>
      </c>
      <c r="H1523" s="101">
        <f>IFERROR(N(INDEX(tx_Posted,1517)),0)</f>
        <v/>
      </c>
      <c r="I1523" s="58">
        <f>IF(H1523=1,INDEX(tx_DrAcct,1517)&amp;"","")</f>
        <v/>
      </c>
      <c r="J1523" s="95">
        <f>IF(H1523=1,INDEX(tx_DrAmt,1517),0)</f>
        <v/>
      </c>
      <c r="K1523" s="58">
        <f>IF(H1523=1,INDEX(tx_CrAcct,1517)&amp;"","")</f>
        <v/>
      </c>
      <c r="L1523" s="95">
        <f>IF(H1523=1,INDEX(tx_CrAmt,1517),0)</f>
        <v/>
      </c>
      <c r="M1523" s="95">
        <f>IF(H1523=1,INDEX(tx_TaxDr,1517),0)</f>
        <v/>
      </c>
      <c r="N1523" s="95">
        <f>IF(H1523=1,INDEX(tx_TaxCr,1517),0)</f>
        <v/>
      </c>
      <c r="O1523" s="101">
        <f>IF(H1523=1,IF(E1523&lt;FYStart,0,IF(E1523&gt;FYEnd,13,YEAR(E1523)*12+MONTH(E1523)-FYYM+1)),"")</f>
        <v/>
      </c>
      <c r="P1523" s="101">
        <f>IF(H1523=1,IF(IFERROR(INDEX(coa_CF,MATCH(I1523,coa_Name,0)),"")="Cash",1,0),0)</f>
        <v/>
      </c>
      <c r="Q1523" s="101">
        <f>IF(H1523=1,IF(IFERROR(INDEX(coa_CF,MATCH(K1523,coa_Name,0)),"")="Cash",1,0),0)</f>
        <v/>
      </c>
      <c r="R1523" s="58">
        <f>IF((P1523-Q1523)=0,"",IFERROR(INDEX(coa_CF,MATCH(IF((P1523-Q1523)=1,K1523,I1523),coa_Name,0)),"Operating"))</f>
        <v/>
      </c>
      <c r="S1523" s="95">
        <f>IF((P1523-Q1523)=1,L1523,IF((P1523-Q1523)=-1,-J1523,0))</f>
        <v/>
      </c>
      <c r="T1523" s="95">
        <f>IF((P1523-Q1523)=1,N1523,IF((P1523-Q1523)=-1,-M1523,0))</f>
        <v/>
      </c>
      <c r="U1523" s="101">
        <f>IF(AND(H1523=1,LedAcct&lt;&gt;""),IF(AND(E1523&gt;=LedFrom,E1523&lt;=LedTo,OR(I1523=LedAcct,K1523=LedAcct,AND(LedAcct=acctTax,M1523+N1523&lt;&gt;0))),E1523*10000+B1523,""),"")</f>
        <v/>
      </c>
    </row>
    <row r="1524">
      <c r="B1524" s="101" t="n">
        <v>1518</v>
      </c>
      <c r="C1524" s="58" t="inlineStr">
        <is>
          <t>Transaction</t>
        </is>
      </c>
      <c r="D1524" s="58">
        <f>IF(H1524=1,INDEX(tx_ID,1518)&amp;"","")</f>
        <v/>
      </c>
      <c r="E1524" s="94">
        <f>IF(H1524=1,INDEX(tx_Date,1518),"")</f>
        <v/>
      </c>
      <c r="F1524" s="58">
        <f>IF(H1524=1,INDEX(tx_Desc,1518)&amp;"","")</f>
        <v/>
      </c>
      <c r="G1524" s="58">
        <f>IF(H1524=1,IF(INDEX(tx_Cust,1518)&amp;""&lt;&gt;"",INDEX(tx_Cust,1518)&amp;"",INDEX(tx_Vend,1518)&amp;""),"")</f>
        <v/>
      </c>
      <c r="H1524" s="101">
        <f>IFERROR(N(INDEX(tx_Posted,1518)),0)</f>
        <v/>
      </c>
      <c r="I1524" s="58">
        <f>IF(H1524=1,INDEX(tx_DrAcct,1518)&amp;"","")</f>
        <v/>
      </c>
      <c r="J1524" s="95">
        <f>IF(H1524=1,INDEX(tx_DrAmt,1518),0)</f>
        <v/>
      </c>
      <c r="K1524" s="58">
        <f>IF(H1524=1,INDEX(tx_CrAcct,1518)&amp;"","")</f>
        <v/>
      </c>
      <c r="L1524" s="95">
        <f>IF(H1524=1,INDEX(tx_CrAmt,1518),0)</f>
        <v/>
      </c>
      <c r="M1524" s="95">
        <f>IF(H1524=1,INDEX(tx_TaxDr,1518),0)</f>
        <v/>
      </c>
      <c r="N1524" s="95">
        <f>IF(H1524=1,INDEX(tx_TaxCr,1518),0)</f>
        <v/>
      </c>
      <c r="O1524" s="101">
        <f>IF(H1524=1,IF(E1524&lt;FYStart,0,IF(E1524&gt;FYEnd,13,YEAR(E1524)*12+MONTH(E1524)-FYYM+1)),"")</f>
        <v/>
      </c>
      <c r="P1524" s="101">
        <f>IF(H1524=1,IF(IFERROR(INDEX(coa_CF,MATCH(I1524,coa_Name,0)),"")="Cash",1,0),0)</f>
        <v/>
      </c>
      <c r="Q1524" s="101">
        <f>IF(H1524=1,IF(IFERROR(INDEX(coa_CF,MATCH(K1524,coa_Name,0)),"")="Cash",1,0),0)</f>
        <v/>
      </c>
      <c r="R1524" s="58">
        <f>IF((P1524-Q1524)=0,"",IFERROR(INDEX(coa_CF,MATCH(IF((P1524-Q1524)=1,K1524,I1524),coa_Name,0)),"Operating"))</f>
        <v/>
      </c>
      <c r="S1524" s="95">
        <f>IF((P1524-Q1524)=1,L1524,IF((P1524-Q1524)=-1,-J1524,0))</f>
        <v/>
      </c>
      <c r="T1524" s="95">
        <f>IF((P1524-Q1524)=1,N1524,IF((P1524-Q1524)=-1,-M1524,0))</f>
        <v/>
      </c>
      <c r="U1524" s="101">
        <f>IF(AND(H1524=1,LedAcct&lt;&gt;""),IF(AND(E1524&gt;=LedFrom,E1524&lt;=LedTo,OR(I1524=LedAcct,K1524=LedAcct,AND(LedAcct=acctTax,M1524+N1524&lt;&gt;0))),E1524*10000+B1524,""),"")</f>
        <v/>
      </c>
    </row>
    <row r="1525">
      <c r="B1525" s="101" t="n">
        <v>1519</v>
      </c>
      <c r="C1525" s="58" t="inlineStr">
        <is>
          <t>Transaction</t>
        </is>
      </c>
      <c r="D1525" s="58">
        <f>IF(H1525=1,INDEX(tx_ID,1519)&amp;"","")</f>
        <v/>
      </c>
      <c r="E1525" s="94">
        <f>IF(H1525=1,INDEX(tx_Date,1519),"")</f>
        <v/>
      </c>
      <c r="F1525" s="58">
        <f>IF(H1525=1,INDEX(tx_Desc,1519)&amp;"","")</f>
        <v/>
      </c>
      <c r="G1525" s="58">
        <f>IF(H1525=1,IF(INDEX(tx_Cust,1519)&amp;""&lt;&gt;"",INDEX(tx_Cust,1519)&amp;"",INDEX(tx_Vend,1519)&amp;""),"")</f>
        <v/>
      </c>
      <c r="H1525" s="101">
        <f>IFERROR(N(INDEX(tx_Posted,1519)),0)</f>
        <v/>
      </c>
      <c r="I1525" s="58">
        <f>IF(H1525=1,INDEX(tx_DrAcct,1519)&amp;"","")</f>
        <v/>
      </c>
      <c r="J1525" s="95">
        <f>IF(H1525=1,INDEX(tx_DrAmt,1519),0)</f>
        <v/>
      </c>
      <c r="K1525" s="58">
        <f>IF(H1525=1,INDEX(tx_CrAcct,1519)&amp;"","")</f>
        <v/>
      </c>
      <c r="L1525" s="95">
        <f>IF(H1525=1,INDEX(tx_CrAmt,1519),0)</f>
        <v/>
      </c>
      <c r="M1525" s="95">
        <f>IF(H1525=1,INDEX(tx_TaxDr,1519),0)</f>
        <v/>
      </c>
      <c r="N1525" s="95">
        <f>IF(H1525=1,INDEX(tx_TaxCr,1519),0)</f>
        <v/>
      </c>
      <c r="O1525" s="101">
        <f>IF(H1525=1,IF(E1525&lt;FYStart,0,IF(E1525&gt;FYEnd,13,YEAR(E1525)*12+MONTH(E1525)-FYYM+1)),"")</f>
        <v/>
      </c>
      <c r="P1525" s="101">
        <f>IF(H1525=1,IF(IFERROR(INDEX(coa_CF,MATCH(I1525,coa_Name,0)),"")="Cash",1,0),0)</f>
        <v/>
      </c>
      <c r="Q1525" s="101">
        <f>IF(H1525=1,IF(IFERROR(INDEX(coa_CF,MATCH(K1525,coa_Name,0)),"")="Cash",1,0),0)</f>
        <v/>
      </c>
      <c r="R1525" s="58">
        <f>IF((P1525-Q1525)=0,"",IFERROR(INDEX(coa_CF,MATCH(IF((P1525-Q1525)=1,K1525,I1525),coa_Name,0)),"Operating"))</f>
        <v/>
      </c>
      <c r="S1525" s="95">
        <f>IF((P1525-Q1525)=1,L1525,IF((P1525-Q1525)=-1,-J1525,0))</f>
        <v/>
      </c>
      <c r="T1525" s="95">
        <f>IF((P1525-Q1525)=1,N1525,IF((P1525-Q1525)=-1,-M1525,0))</f>
        <v/>
      </c>
      <c r="U1525" s="101">
        <f>IF(AND(H1525=1,LedAcct&lt;&gt;""),IF(AND(E1525&gt;=LedFrom,E1525&lt;=LedTo,OR(I1525=LedAcct,K1525=LedAcct,AND(LedAcct=acctTax,M1525+N1525&lt;&gt;0))),E1525*10000+B1525,""),"")</f>
        <v/>
      </c>
    </row>
    <row r="1526">
      <c r="B1526" s="101" t="n">
        <v>1520</v>
      </c>
      <c r="C1526" s="58" t="inlineStr">
        <is>
          <t>Transaction</t>
        </is>
      </c>
      <c r="D1526" s="58">
        <f>IF(H1526=1,INDEX(tx_ID,1520)&amp;"","")</f>
        <v/>
      </c>
      <c r="E1526" s="94">
        <f>IF(H1526=1,INDEX(tx_Date,1520),"")</f>
        <v/>
      </c>
      <c r="F1526" s="58">
        <f>IF(H1526=1,INDEX(tx_Desc,1520)&amp;"","")</f>
        <v/>
      </c>
      <c r="G1526" s="58">
        <f>IF(H1526=1,IF(INDEX(tx_Cust,1520)&amp;""&lt;&gt;"",INDEX(tx_Cust,1520)&amp;"",INDEX(tx_Vend,1520)&amp;""),"")</f>
        <v/>
      </c>
      <c r="H1526" s="101">
        <f>IFERROR(N(INDEX(tx_Posted,1520)),0)</f>
        <v/>
      </c>
      <c r="I1526" s="58">
        <f>IF(H1526=1,INDEX(tx_DrAcct,1520)&amp;"","")</f>
        <v/>
      </c>
      <c r="J1526" s="95">
        <f>IF(H1526=1,INDEX(tx_DrAmt,1520),0)</f>
        <v/>
      </c>
      <c r="K1526" s="58">
        <f>IF(H1526=1,INDEX(tx_CrAcct,1520)&amp;"","")</f>
        <v/>
      </c>
      <c r="L1526" s="95">
        <f>IF(H1526=1,INDEX(tx_CrAmt,1520),0)</f>
        <v/>
      </c>
      <c r="M1526" s="95">
        <f>IF(H1526=1,INDEX(tx_TaxDr,1520),0)</f>
        <v/>
      </c>
      <c r="N1526" s="95">
        <f>IF(H1526=1,INDEX(tx_TaxCr,1520),0)</f>
        <v/>
      </c>
      <c r="O1526" s="101">
        <f>IF(H1526=1,IF(E1526&lt;FYStart,0,IF(E1526&gt;FYEnd,13,YEAR(E1526)*12+MONTH(E1526)-FYYM+1)),"")</f>
        <v/>
      </c>
      <c r="P1526" s="101">
        <f>IF(H1526=1,IF(IFERROR(INDEX(coa_CF,MATCH(I1526,coa_Name,0)),"")="Cash",1,0),0)</f>
        <v/>
      </c>
      <c r="Q1526" s="101">
        <f>IF(H1526=1,IF(IFERROR(INDEX(coa_CF,MATCH(K1526,coa_Name,0)),"")="Cash",1,0),0)</f>
        <v/>
      </c>
      <c r="R1526" s="58">
        <f>IF((P1526-Q1526)=0,"",IFERROR(INDEX(coa_CF,MATCH(IF((P1526-Q1526)=1,K1526,I1526),coa_Name,0)),"Operating"))</f>
        <v/>
      </c>
      <c r="S1526" s="95">
        <f>IF((P1526-Q1526)=1,L1526,IF((P1526-Q1526)=-1,-J1526,0))</f>
        <v/>
      </c>
      <c r="T1526" s="95">
        <f>IF((P1526-Q1526)=1,N1526,IF((P1526-Q1526)=-1,-M1526,0))</f>
        <v/>
      </c>
      <c r="U1526" s="101">
        <f>IF(AND(H1526=1,LedAcct&lt;&gt;""),IF(AND(E1526&gt;=LedFrom,E1526&lt;=LedTo,OR(I1526=LedAcct,K1526=LedAcct,AND(LedAcct=acctTax,M1526+N1526&lt;&gt;0))),E1526*10000+B1526,""),"")</f>
        <v/>
      </c>
    </row>
    <row r="1527">
      <c r="B1527" s="101" t="n">
        <v>1521</v>
      </c>
      <c r="C1527" s="58" t="inlineStr">
        <is>
          <t>Transaction</t>
        </is>
      </c>
      <c r="D1527" s="58">
        <f>IF(H1527=1,INDEX(tx_ID,1521)&amp;"","")</f>
        <v/>
      </c>
      <c r="E1527" s="94">
        <f>IF(H1527=1,INDEX(tx_Date,1521),"")</f>
        <v/>
      </c>
      <c r="F1527" s="58">
        <f>IF(H1527=1,INDEX(tx_Desc,1521)&amp;"","")</f>
        <v/>
      </c>
      <c r="G1527" s="58">
        <f>IF(H1527=1,IF(INDEX(tx_Cust,1521)&amp;""&lt;&gt;"",INDEX(tx_Cust,1521)&amp;"",INDEX(tx_Vend,1521)&amp;""),"")</f>
        <v/>
      </c>
      <c r="H1527" s="101">
        <f>IFERROR(N(INDEX(tx_Posted,1521)),0)</f>
        <v/>
      </c>
      <c r="I1527" s="58">
        <f>IF(H1527=1,INDEX(tx_DrAcct,1521)&amp;"","")</f>
        <v/>
      </c>
      <c r="J1527" s="95">
        <f>IF(H1527=1,INDEX(tx_DrAmt,1521),0)</f>
        <v/>
      </c>
      <c r="K1527" s="58">
        <f>IF(H1527=1,INDEX(tx_CrAcct,1521)&amp;"","")</f>
        <v/>
      </c>
      <c r="L1527" s="95">
        <f>IF(H1527=1,INDEX(tx_CrAmt,1521),0)</f>
        <v/>
      </c>
      <c r="M1527" s="95">
        <f>IF(H1527=1,INDEX(tx_TaxDr,1521),0)</f>
        <v/>
      </c>
      <c r="N1527" s="95">
        <f>IF(H1527=1,INDEX(tx_TaxCr,1521),0)</f>
        <v/>
      </c>
      <c r="O1527" s="101">
        <f>IF(H1527=1,IF(E1527&lt;FYStart,0,IF(E1527&gt;FYEnd,13,YEAR(E1527)*12+MONTH(E1527)-FYYM+1)),"")</f>
        <v/>
      </c>
      <c r="P1527" s="101">
        <f>IF(H1527=1,IF(IFERROR(INDEX(coa_CF,MATCH(I1527,coa_Name,0)),"")="Cash",1,0),0)</f>
        <v/>
      </c>
      <c r="Q1527" s="101">
        <f>IF(H1527=1,IF(IFERROR(INDEX(coa_CF,MATCH(K1527,coa_Name,0)),"")="Cash",1,0),0)</f>
        <v/>
      </c>
      <c r="R1527" s="58">
        <f>IF((P1527-Q1527)=0,"",IFERROR(INDEX(coa_CF,MATCH(IF((P1527-Q1527)=1,K1527,I1527),coa_Name,0)),"Operating"))</f>
        <v/>
      </c>
      <c r="S1527" s="95">
        <f>IF((P1527-Q1527)=1,L1527,IF((P1527-Q1527)=-1,-J1527,0))</f>
        <v/>
      </c>
      <c r="T1527" s="95">
        <f>IF((P1527-Q1527)=1,N1527,IF((P1527-Q1527)=-1,-M1527,0))</f>
        <v/>
      </c>
      <c r="U1527" s="101">
        <f>IF(AND(H1527=1,LedAcct&lt;&gt;""),IF(AND(E1527&gt;=LedFrom,E1527&lt;=LedTo,OR(I1527=LedAcct,K1527=LedAcct,AND(LedAcct=acctTax,M1527+N1527&lt;&gt;0))),E1527*10000+B1527,""),"")</f>
        <v/>
      </c>
    </row>
    <row r="1528">
      <c r="B1528" s="101" t="n">
        <v>1522</v>
      </c>
      <c r="C1528" s="58" t="inlineStr">
        <is>
          <t>Transaction</t>
        </is>
      </c>
      <c r="D1528" s="58">
        <f>IF(H1528=1,INDEX(tx_ID,1522)&amp;"","")</f>
        <v/>
      </c>
      <c r="E1528" s="94">
        <f>IF(H1528=1,INDEX(tx_Date,1522),"")</f>
        <v/>
      </c>
      <c r="F1528" s="58">
        <f>IF(H1528=1,INDEX(tx_Desc,1522)&amp;"","")</f>
        <v/>
      </c>
      <c r="G1528" s="58">
        <f>IF(H1528=1,IF(INDEX(tx_Cust,1522)&amp;""&lt;&gt;"",INDEX(tx_Cust,1522)&amp;"",INDEX(tx_Vend,1522)&amp;""),"")</f>
        <v/>
      </c>
      <c r="H1528" s="101">
        <f>IFERROR(N(INDEX(tx_Posted,1522)),0)</f>
        <v/>
      </c>
      <c r="I1528" s="58">
        <f>IF(H1528=1,INDEX(tx_DrAcct,1522)&amp;"","")</f>
        <v/>
      </c>
      <c r="J1528" s="95">
        <f>IF(H1528=1,INDEX(tx_DrAmt,1522),0)</f>
        <v/>
      </c>
      <c r="K1528" s="58">
        <f>IF(H1528=1,INDEX(tx_CrAcct,1522)&amp;"","")</f>
        <v/>
      </c>
      <c r="L1528" s="95">
        <f>IF(H1528=1,INDEX(tx_CrAmt,1522),0)</f>
        <v/>
      </c>
      <c r="M1528" s="95">
        <f>IF(H1528=1,INDEX(tx_TaxDr,1522),0)</f>
        <v/>
      </c>
      <c r="N1528" s="95">
        <f>IF(H1528=1,INDEX(tx_TaxCr,1522),0)</f>
        <v/>
      </c>
      <c r="O1528" s="101">
        <f>IF(H1528=1,IF(E1528&lt;FYStart,0,IF(E1528&gt;FYEnd,13,YEAR(E1528)*12+MONTH(E1528)-FYYM+1)),"")</f>
        <v/>
      </c>
      <c r="P1528" s="101">
        <f>IF(H1528=1,IF(IFERROR(INDEX(coa_CF,MATCH(I1528,coa_Name,0)),"")="Cash",1,0),0)</f>
        <v/>
      </c>
      <c r="Q1528" s="101">
        <f>IF(H1528=1,IF(IFERROR(INDEX(coa_CF,MATCH(K1528,coa_Name,0)),"")="Cash",1,0),0)</f>
        <v/>
      </c>
      <c r="R1528" s="58">
        <f>IF((P1528-Q1528)=0,"",IFERROR(INDEX(coa_CF,MATCH(IF((P1528-Q1528)=1,K1528,I1528),coa_Name,0)),"Operating"))</f>
        <v/>
      </c>
      <c r="S1528" s="95">
        <f>IF((P1528-Q1528)=1,L1528,IF((P1528-Q1528)=-1,-J1528,0))</f>
        <v/>
      </c>
      <c r="T1528" s="95">
        <f>IF((P1528-Q1528)=1,N1528,IF((P1528-Q1528)=-1,-M1528,0))</f>
        <v/>
      </c>
      <c r="U1528" s="101">
        <f>IF(AND(H1528=1,LedAcct&lt;&gt;""),IF(AND(E1528&gt;=LedFrom,E1528&lt;=LedTo,OR(I1528=LedAcct,K1528=LedAcct,AND(LedAcct=acctTax,M1528+N1528&lt;&gt;0))),E1528*10000+B1528,""),"")</f>
        <v/>
      </c>
    </row>
    <row r="1529">
      <c r="B1529" s="101" t="n">
        <v>1523</v>
      </c>
      <c r="C1529" s="58" t="inlineStr">
        <is>
          <t>Transaction</t>
        </is>
      </c>
      <c r="D1529" s="58">
        <f>IF(H1529=1,INDEX(tx_ID,1523)&amp;"","")</f>
        <v/>
      </c>
      <c r="E1529" s="94">
        <f>IF(H1529=1,INDEX(tx_Date,1523),"")</f>
        <v/>
      </c>
      <c r="F1529" s="58">
        <f>IF(H1529=1,INDEX(tx_Desc,1523)&amp;"","")</f>
        <v/>
      </c>
      <c r="G1529" s="58">
        <f>IF(H1529=1,IF(INDEX(tx_Cust,1523)&amp;""&lt;&gt;"",INDEX(tx_Cust,1523)&amp;"",INDEX(tx_Vend,1523)&amp;""),"")</f>
        <v/>
      </c>
      <c r="H1529" s="101">
        <f>IFERROR(N(INDEX(tx_Posted,1523)),0)</f>
        <v/>
      </c>
      <c r="I1529" s="58">
        <f>IF(H1529=1,INDEX(tx_DrAcct,1523)&amp;"","")</f>
        <v/>
      </c>
      <c r="J1529" s="95">
        <f>IF(H1529=1,INDEX(tx_DrAmt,1523),0)</f>
        <v/>
      </c>
      <c r="K1529" s="58">
        <f>IF(H1529=1,INDEX(tx_CrAcct,1523)&amp;"","")</f>
        <v/>
      </c>
      <c r="L1529" s="95">
        <f>IF(H1529=1,INDEX(tx_CrAmt,1523),0)</f>
        <v/>
      </c>
      <c r="M1529" s="95">
        <f>IF(H1529=1,INDEX(tx_TaxDr,1523),0)</f>
        <v/>
      </c>
      <c r="N1529" s="95">
        <f>IF(H1529=1,INDEX(tx_TaxCr,1523),0)</f>
        <v/>
      </c>
      <c r="O1529" s="101">
        <f>IF(H1529=1,IF(E1529&lt;FYStart,0,IF(E1529&gt;FYEnd,13,YEAR(E1529)*12+MONTH(E1529)-FYYM+1)),"")</f>
        <v/>
      </c>
      <c r="P1529" s="101">
        <f>IF(H1529=1,IF(IFERROR(INDEX(coa_CF,MATCH(I1529,coa_Name,0)),"")="Cash",1,0),0)</f>
        <v/>
      </c>
      <c r="Q1529" s="101">
        <f>IF(H1529=1,IF(IFERROR(INDEX(coa_CF,MATCH(K1529,coa_Name,0)),"")="Cash",1,0),0)</f>
        <v/>
      </c>
      <c r="R1529" s="58">
        <f>IF((P1529-Q1529)=0,"",IFERROR(INDEX(coa_CF,MATCH(IF((P1529-Q1529)=1,K1529,I1529),coa_Name,0)),"Operating"))</f>
        <v/>
      </c>
      <c r="S1529" s="95">
        <f>IF((P1529-Q1529)=1,L1529,IF((P1529-Q1529)=-1,-J1529,0))</f>
        <v/>
      </c>
      <c r="T1529" s="95">
        <f>IF((P1529-Q1529)=1,N1529,IF((P1529-Q1529)=-1,-M1529,0))</f>
        <v/>
      </c>
      <c r="U1529" s="101">
        <f>IF(AND(H1529=1,LedAcct&lt;&gt;""),IF(AND(E1529&gt;=LedFrom,E1529&lt;=LedTo,OR(I1529=LedAcct,K1529=LedAcct,AND(LedAcct=acctTax,M1529+N1529&lt;&gt;0))),E1529*10000+B1529,""),"")</f>
        <v/>
      </c>
    </row>
    <row r="1530">
      <c r="B1530" s="101" t="n">
        <v>1524</v>
      </c>
      <c r="C1530" s="58" t="inlineStr">
        <is>
          <t>Transaction</t>
        </is>
      </c>
      <c r="D1530" s="58">
        <f>IF(H1530=1,INDEX(tx_ID,1524)&amp;"","")</f>
        <v/>
      </c>
      <c r="E1530" s="94">
        <f>IF(H1530=1,INDEX(tx_Date,1524),"")</f>
        <v/>
      </c>
      <c r="F1530" s="58">
        <f>IF(H1530=1,INDEX(tx_Desc,1524)&amp;"","")</f>
        <v/>
      </c>
      <c r="G1530" s="58">
        <f>IF(H1530=1,IF(INDEX(tx_Cust,1524)&amp;""&lt;&gt;"",INDEX(tx_Cust,1524)&amp;"",INDEX(tx_Vend,1524)&amp;""),"")</f>
        <v/>
      </c>
      <c r="H1530" s="101">
        <f>IFERROR(N(INDEX(tx_Posted,1524)),0)</f>
        <v/>
      </c>
      <c r="I1530" s="58">
        <f>IF(H1530=1,INDEX(tx_DrAcct,1524)&amp;"","")</f>
        <v/>
      </c>
      <c r="J1530" s="95">
        <f>IF(H1530=1,INDEX(tx_DrAmt,1524),0)</f>
        <v/>
      </c>
      <c r="K1530" s="58">
        <f>IF(H1530=1,INDEX(tx_CrAcct,1524)&amp;"","")</f>
        <v/>
      </c>
      <c r="L1530" s="95">
        <f>IF(H1530=1,INDEX(tx_CrAmt,1524),0)</f>
        <v/>
      </c>
      <c r="M1530" s="95">
        <f>IF(H1530=1,INDEX(tx_TaxDr,1524),0)</f>
        <v/>
      </c>
      <c r="N1530" s="95">
        <f>IF(H1530=1,INDEX(tx_TaxCr,1524),0)</f>
        <v/>
      </c>
      <c r="O1530" s="101">
        <f>IF(H1530=1,IF(E1530&lt;FYStart,0,IF(E1530&gt;FYEnd,13,YEAR(E1530)*12+MONTH(E1530)-FYYM+1)),"")</f>
        <v/>
      </c>
      <c r="P1530" s="101">
        <f>IF(H1530=1,IF(IFERROR(INDEX(coa_CF,MATCH(I1530,coa_Name,0)),"")="Cash",1,0),0)</f>
        <v/>
      </c>
      <c r="Q1530" s="101">
        <f>IF(H1530=1,IF(IFERROR(INDEX(coa_CF,MATCH(K1530,coa_Name,0)),"")="Cash",1,0),0)</f>
        <v/>
      </c>
      <c r="R1530" s="58">
        <f>IF((P1530-Q1530)=0,"",IFERROR(INDEX(coa_CF,MATCH(IF((P1530-Q1530)=1,K1530,I1530),coa_Name,0)),"Operating"))</f>
        <v/>
      </c>
      <c r="S1530" s="95">
        <f>IF((P1530-Q1530)=1,L1530,IF((P1530-Q1530)=-1,-J1530,0))</f>
        <v/>
      </c>
      <c r="T1530" s="95">
        <f>IF((P1530-Q1530)=1,N1530,IF((P1530-Q1530)=-1,-M1530,0))</f>
        <v/>
      </c>
      <c r="U1530" s="101">
        <f>IF(AND(H1530=1,LedAcct&lt;&gt;""),IF(AND(E1530&gt;=LedFrom,E1530&lt;=LedTo,OR(I1530=LedAcct,K1530=LedAcct,AND(LedAcct=acctTax,M1530+N1530&lt;&gt;0))),E1530*10000+B1530,""),"")</f>
        <v/>
      </c>
    </row>
    <row r="1531">
      <c r="B1531" s="101" t="n">
        <v>1525</v>
      </c>
      <c r="C1531" s="58" t="inlineStr">
        <is>
          <t>Transaction</t>
        </is>
      </c>
      <c r="D1531" s="58">
        <f>IF(H1531=1,INDEX(tx_ID,1525)&amp;"","")</f>
        <v/>
      </c>
      <c r="E1531" s="94">
        <f>IF(H1531=1,INDEX(tx_Date,1525),"")</f>
        <v/>
      </c>
      <c r="F1531" s="58">
        <f>IF(H1531=1,INDEX(tx_Desc,1525)&amp;"","")</f>
        <v/>
      </c>
      <c r="G1531" s="58">
        <f>IF(H1531=1,IF(INDEX(tx_Cust,1525)&amp;""&lt;&gt;"",INDEX(tx_Cust,1525)&amp;"",INDEX(tx_Vend,1525)&amp;""),"")</f>
        <v/>
      </c>
      <c r="H1531" s="101">
        <f>IFERROR(N(INDEX(tx_Posted,1525)),0)</f>
        <v/>
      </c>
      <c r="I1531" s="58">
        <f>IF(H1531=1,INDEX(tx_DrAcct,1525)&amp;"","")</f>
        <v/>
      </c>
      <c r="J1531" s="95">
        <f>IF(H1531=1,INDEX(tx_DrAmt,1525),0)</f>
        <v/>
      </c>
      <c r="K1531" s="58">
        <f>IF(H1531=1,INDEX(tx_CrAcct,1525)&amp;"","")</f>
        <v/>
      </c>
      <c r="L1531" s="95">
        <f>IF(H1531=1,INDEX(tx_CrAmt,1525),0)</f>
        <v/>
      </c>
      <c r="M1531" s="95">
        <f>IF(H1531=1,INDEX(tx_TaxDr,1525),0)</f>
        <v/>
      </c>
      <c r="N1531" s="95">
        <f>IF(H1531=1,INDEX(tx_TaxCr,1525),0)</f>
        <v/>
      </c>
      <c r="O1531" s="101">
        <f>IF(H1531=1,IF(E1531&lt;FYStart,0,IF(E1531&gt;FYEnd,13,YEAR(E1531)*12+MONTH(E1531)-FYYM+1)),"")</f>
        <v/>
      </c>
      <c r="P1531" s="101">
        <f>IF(H1531=1,IF(IFERROR(INDEX(coa_CF,MATCH(I1531,coa_Name,0)),"")="Cash",1,0),0)</f>
        <v/>
      </c>
      <c r="Q1531" s="101">
        <f>IF(H1531=1,IF(IFERROR(INDEX(coa_CF,MATCH(K1531,coa_Name,0)),"")="Cash",1,0),0)</f>
        <v/>
      </c>
      <c r="R1531" s="58">
        <f>IF((P1531-Q1531)=0,"",IFERROR(INDEX(coa_CF,MATCH(IF((P1531-Q1531)=1,K1531,I1531),coa_Name,0)),"Operating"))</f>
        <v/>
      </c>
      <c r="S1531" s="95">
        <f>IF((P1531-Q1531)=1,L1531,IF((P1531-Q1531)=-1,-J1531,0))</f>
        <v/>
      </c>
      <c r="T1531" s="95">
        <f>IF((P1531-Q1531)=1,N1531,IF((P1531-Q1531)=-1,-M1531,0))</f>
        <v/>
      </c>
      <c r="U1531" s="101">
        <f>IF(AND(H1531=1,LedAcct&lt;&gt;""),IF(AND(E1531&gt;=LedFrom,E1531&lt;=LedTo,OR(I1531=LedAcct,K1531=LedAcct,AND(LedAcct=acctTax,M1531+N1531&lt;&gt;0))),E1531*10000+B1531,""),"")</f>
        <v/>
      </c>
    </row>
    <row r="1532">
      <c r="B1532" s="101" t="n">
        <v>1526</v>
      </c>
      <c r="C1532" s="58" t="inlineStr">
        <is>
          <t>Transaction</t>
        </is>
      </c>
      <c r="D1532" s="58">
        <f>IF(H1532=1,INDEX(tx_ID,1526)&amp;"","")</f>
        <v/>
      </c>
      <c r="E1532" s="94">
        <f>IF(H1532=1,INDEX(tx_Date,1526),"")</f>
        <v/>
      </c>
      <c r="F1532" s="58">
        <f>IF(H1532=1,INDEX(tx_Desc,1526)&amp;"","")</f>
        <v/>
      </c>
      <c r="G1532" s="58">
        <f>IF(H1532=1,IF(INDEX(tx_Cust,1526)&amp;""&lt;&gt;"",INDEX(tx_Cust,1526)&amp;"",INDEX(tx_Vend,1526)&amp;""),"")</f>
        <v/>
      </c>
      <c r="H1532" s="101">
        <f>IFERROR(N(INDEX(tx_Posted,1526)),0)</f>
        <v/>
      </c>
      <c r="I1532" s="58">
        <f>IF(H1532=1,INDEX(tx_DrAcct,1526)&amp;"","")</f>
        <v/>
      </c>
      <c r="J1532" s="95">
        <f>IF(H1532=1,INDEX(tx_DrAmt,1526),0)</f>
        <v/>
      </c>
      <c r="K1532" s="58">
        <f>IF(H1532=1,INDEX(tx_CrAcct,1526)&amp;"","")</f>
        <v/>
      </c>
      <c r="L1532" s="95">
        <f>IF(H1532=1,INDEX(tx_CrAmt,1526),0)</f>
        <v/>
      </c>
      <c r="M1532" s="95">
        <f>IF(H1532=1,INDEX(tx_TaxDr,1526),0)</f>
        <v/>
      </c>
      <c r="N1532" s="95">
        <f>IF(H1532=1,INDEX(tx_TaxCr,1526),0)</f>
        <v/>
      </c>
      <c r="O1532" s="101">
        <f>IF(H1532=1,IF(E1532&lt;FYStart,0,IF(E1532&gt;FYEnd,13,YEAR(E1532)*12+MONTH(E1532)-FYYM+1)),"")</f>
        <v/>
      </c>
      <c r="P1532" s="101">
        <f>IF(H1532=1,IF(IFERROR(INDEX(coa_CF,MATCH(I1532,coa_Name,0)),"")="Cash",1,0),0)</f>
        <v/>
      </c>
      <c r="Q1532" s="101">
        <f>IF(H1532=1,IF(IFERROR(INDEX(coa_CF,MATCH(K1532,coa_Name,0)),"")="Cash",1,0),0)</f>
        <v/>
      </c>
      <c r="R1532" s="58">
        <f>IF((P1532-Q1532)=0,"",IFERROR(INDEX(coa_CF,MATCH(IF((P1532-Q1532)=1,K1532,I1532),coa_Name,0)),"Operating"))</f>
        <v/>
      </c>
      <c r="S1532" s="95">
        <f>IF((P1532-Q1532)=1,L1532,IF((P1532-Q1532)=-1,-J1532,0))</f>
        <v/>
      </c>
      <c r="T1532" s="95">
        <f>IF((P1532-Q1532)=1,N1532,IF((P1532-Q1532)=-1,-M1532,0))</f>
        <v/>
      </c>
      <c r="U1532" s="101">
        <f>IF(AND(H1532=1,LedAcct&lt;&gt;""),IF(AND(E1532&gt;=LedFrom,E1532&lt;=LedTo,OR(I1532=LedAcct,K1532=LedAcct,AND(LedAcct=acctTax,M1532+N1532&lt;&gt;0))),E1532*10000+B1532,""),"")</f>
        <v/>
      </c>
    </row>
    <row r="1533">
      <c r="B1533" s="101" t="n">
        <v>1527</v>
      </c>
      <c r="C1533" s="58" t="inlineStr">
        <is>
          <t>Transaction</t>
        </is>
      </c>
      <c r="D1533" s="58">
        <f>IF(H1533=1,INDEX(tx_ID,1527)&amp;"","")</f>
        <v/>
      </c>
      <c r="E1533" s="94">
        <f>IF(H1533=1,INDEX(tx_Date,1527),"")</f>
        <v/>
      </c>
      <c r="F1533" s="58">
        <f>IF(H1533=1,INDEX(tx_Desc,1527)&amp;"","")</f>
        <v/>
      </c>
      <c r="G1533" s="58">
        <f>IF(H1533=1,IF(INDEX(tx_Cust,1527)&amp;""&lt;&gt;"",INDEX(tx_Cust,1527)&amp;"",INDEX(tx_Vend,1527)&amp;""),"")</f>
        <v/>
      </c>
      <c r="H1533" s="101">
        <f>IFERROR(N(INDEX(tx_Posted,1527)),0)</f>
        <v/>
      </c>
      <c r="I1533" s="58">
        <f>IF(H1533=1,INDEX(tx_DrAcct,1527)&amp;"","")</f>
        <v/>
      </c>
      <c r="J1533" s="95">
        <f>IF(H1533=1,INDEX(tx_DrAmt,1527),0)</f>
        <v/>
      </c>
      <c r="K1533" s="58">
        <f>IF(H1533=1,INDEX(tx_CrAcct,1527)&amp;"","")</f>
        <v/>
      </c>
      <c r="L1533" s="95">
        <f>IF(H1533=1,INDEX(tx_CrAmt,1527),0)</f>
        <v/>
      </c>
      <c r="M1533" s="95">
        <f>IF(H1533=1,INDEX(tx_TaxDr,1527),0)</f>
        <v/>
      </c>
      <c r="N1533" s="95">
        <f>IF(H1533=1,INDEX(tx_TaxCr,1527),0)</f>
        <v/>
      </c>
      <c r="O1533" s="101">
        <f>IF(H1533=1,IF(E1533&lt;FYStart,0,IF(E1533&gt;FYEnd,13,YEAR(E1533)*12+MONTH(E1533)-FYYM+1)),"")</f>
        <v/>
      </c>
      <c r="P1533" s="101">
        <f>IF(H1533=1,IF(IFERROR(INDEX(coa_CF,MATCH(I1533,coa_Name,0)),"")="Cash",1,0),0)</f>
        <v/>
      </c>
      <c r="Q1533" s="101">
        <f>IF(H1533=1,IF(IFERROR(INDEX(coa_CF,MATCH(K1533,coa_Name,0)),"")="Cash",1,0),0)</f>
        <v/>
      </c>
      <c r="R1533" s="58">
        <f>IF((P1533-Q1533)=0,"",IFERROR(INDEX(coa_CF,MATCH(IF((P1533-Q1533)=1,K1533,I1533),coa_Name,0)),"Operating"))</f>
        <v/>
      </c>
      <c r="S1533" s="95">
        <f>IF((P1533-Q1533)=1,L1533,IF((P1533-Q1533)=-1,-J1533,0))</f>
        <v/>
      </c>
      <c r="T1533" s="95">
        <f>IF((P1533-Q1533)=1,N1533,IF((P1533-Q1533)=-1,-M1533,0))</f>
        <v/>
      </c>
      <c r="U1533" s="101">
        <f>IF(AND(H1533=1,LedAcct&lt;&gt;""),IF(AND(E1533&gt;=LedFrom,E1533&lt;=LedTo,OR(I1533=LedAcct,K1533=LedAcct,AND(LedAcct=acctTax,M1533+N1533&lt;&gt;0))),E1533*10000+B1533,""),"")</f>
        <v/>
      </c>
    </row>
    <row r="1534">
      <c r="B1534" s="101" t="n">
        <v>1528</v>
      </c>
      <c r="C1534" s="58" t="inlineStr">
        <is>
          <t>Transaction</t>
        </is>
      </c>
      <c r="D1534" s="58">
        <f>IF(H1534=1,INDEX(tx_ID,1528)&amp;"","")</f>
        <v/>
      </c>
      <c r="E1534" s="94">
        <f>IF(H1534=1,INDEX(tx_Date,1528),"")</f>
        <v/>
      </c>
      <c r="F1534" s="58">
        <f>IF(H1534=1,INDEX(tx_Desc,1528)&amp;"","")</f>
        <v/>
      </c>
      <c r="G1534" s="58">
        <f>IF(H1534=1,IF(INDEX(tx_Cust,1528)&amp;""&lt;&gt;"",INDEX(tx_Cust,1528)&amp;"",INDEX(tx_Vend,1528)&amp;""),"")</f>
        <v/>
      </c>
      <c r="H1534" s="101">
        <f>IFERROR(N(INDEX(tx_Posted,1528)),0)</f>
        <v/>
      </c>
      <c r="I1534" s="58">
        <f>IF(H1534=1,INDEX(tx_DrAcct,1528)&amp;"","")</f>
        <v/>
      </c>
      <c r="J1534" s="95">
        <f>IF(H1534=1,INDEX(tx_DrAmt,1528),0)</f>
        <v/>
      </c>
      <c r="K1534" s="58">
        <f>IF(H1534=1,INDEX(tx_CrAcct,1528)&amp;"","")</f>
        <v/>
      </c>
      <c r="L1534" s="95">
        <f>IF(H1534=1,INDEX(tx_CrAmt,1528),0)</f>
        <v/>
      </c>
      <c r="M1534" s="95">
        <f>IF(H1534=1,INDEX(tx_TaxDr,1528),0)</f>
        <v/>
      </c>
      <c r="N1534" s="95">
        <f>IF(H1534=1,INDEX(tx_TaxCr,1528),0)</f>
        <v/>
      </c>
      <c r="O1534" s="101">
        <f>IF(H1534=1,IF(E1534&lt;FYStart,0,IF(E1534&gt;FYEnd,13,YEAR(E1534)*12+MONTH(E1534)-FYYM+1)),"")</f>
        <v/>
      </c>
      <c r="P1534" s="101">
        <f>IF(H1534=1,IF(IFERROR(INDEX(coa_CF,MATCH(I1534,coa_Name,0)),"")="Cash",1,0),0)</f>
        <v/>
      </c>
      <c r="Q1534" s="101">
        <f>IF(H1534=1,IF(IFERROR(INDEX(coa_CF,MATCH(K1534,coa_Name,0)),"")="Cash",1,0),0)</f>
        <v/>
      </c>
      <c r="R1534" s="58">
        <f>IF((P1534-Q1534)=0,"",IFERROR(INDEX(coa_CF,MATCH(IF((P1534-Q1534)=1,K1534,I1534),coa_Name,0)),"Operating"))</f>
        <v/>
      </c>
      <c r="S1534" s="95">
        <f>IF((P1534-Q1534)=1,L1534,IF((P1534-Q1534)=-1,-J1534,0))</f>
        <v/>
      </c>
      <c r="T1534" s="95">
        <f>IF((P1534-Q1534)=1,N1534,IF((P1534-Q1534)=-1,-M1534,0))</f>
        <v/>
      </c>
      <c r="U1534" s="101">
        <f>IF(AND(H1534=1,LedAcct&lt;&gt;""),IF(AND(E1534&gt;=LedFrom,E1534&lt;=LedTo,OR(I1534=LedAcct,K1534=LedAcct,AND(LedAcct=acctTax,M1534+N1534&lt;&gt;0))),E1534*10000+B1534,""),"")</f>
        <v/>
      </c>
    </row>
    <row r="1535">
      <c r="B1535" s="101" t="n">
        <v>1529</v>
      </c>
      <c r="C1535" s="58" t="inlineStr">
        <is>
          <t>Transaction</t>
        </is>
      </c>
      <c r="D1535" s="58">
        <f>IF(H1535=1,INDEX(tx_ID,1529)&amp;"","")</f>
        <v/>
      </c>
      <c r="E1535" s="94">
        <f>IF(H1535=1,INDEX(tx_Date,1529),"")</f>
        <v/>
      </c>
      <c r="F1535" s="58">
        <f>IF(H1535=1,INDEX(tx_Desc,1529)&amp;"","")</f>
        <v/>
      </c>
      <c r="G1535" s="58">
        <f>IF(H1535=1,IF(INDEX(tx_Cust,1529)&amp;""&lt;&gt;"",INDEX(tx_Cust,1529)&amp;"",INDEX(tx_Vend,1529)&amp;""),"")</f>
        <v/>
      </c>
      <c r="H1535" s="101">
        <f>IFERROR(N(INDEX(tx_Posted,1529)),0)</f>
        <v/>
      </c>
      <c r="I1535" s="58">
        <f>IF(H1535=1,INDEX(tx_DrAcct,1529)&amp;"","")</f>
        <v/>
      </c>
      <c r="J1535" s="95">
        <f>IF(H1535=1,INDEX(tx_DrAmt,1529),0)</f>
        <v/>
      </c>
      <c r="K1535" s="58">
        <f>IF(H1535=1,INDEX(tx_CrAcct,1529)&amp;"","")</f>
        <v/>
      </c>
      <c r="L1535" s="95">
        <f>IF(H1535=1,INDEX(tx_CrAmt,1529),0)</f>
        <v/>
      </c>
      <c r="M1535" s="95">
        <f>IF(H1535=1,INDEX(tx_TaxDr,1529),0)</f>
        <v/>
      </c>
      <c r="N1535" s="95">
        <f>IF(H1535=1,INDEX(tx_TaxCr,1529),0)</f>
        <v/>
      </c>
      <c r="O1535" s="101">
        <f>IF(H1535=1,IF(E1535&lt;FYStart,0,IF(E1535&gt;FYEnd,13,YEAR(E1535)*12+MONTH(E1535)-FYYM+1)),"")</f>
        <v/>
      </c>
      <c r="P1535" s="101">
        <f>IF(H1535=1,IF(IFERROR(INDEX(coa_CF,MATCH(I1535,coa_Name,0)),"")="Cash",1,0),0)</f>
        <v/>
      </c>
      <c r="Q1535" s="101">
        <f>IF(H1535=1,IF(IFERROR(INDEX(coa_CF,MATCH(K1535,coa_Name,0)),"")="Cash",1,0),0)</f>
        <v/>
      </c>
      <c r="R1535" s="58">
        <f>IF((P1535-Q1535)=0,"",IFERROR(INDEX(coa_CF,MATCH(IF((P1535-Q1535)=1,K1535,I1535),coa_Name,0)),"Operating"))</f>
        <v/>
      </c>
      <c r="S1535" s="95">
        <f>IF((P1535-Q1535)=1,L1535,IF((P1535-Q1535)=-1,-J1535,0))</f>
        <v/>
      </c>
      <c r="T1535" s="95">
        <f>IF((P1535-Q1535)=1,N1535,IF((P1535-Q1535)=-1,-M1535,0))</f>
        <v/>
      </c>
      <c r="U1535" s="101">
        <f>IF(AND(H1535=1,LedAcct&lt;&gt;""),IF(AND(E1535&gt;=LedFrom,E1535&lt;=LedTo,OR(I1535=LedAcct,K1535=LedAcct,AND(LedAcct=acctTax,M1535+N1535&lt;&gt;0))),E1535*10000+B1535,""),"")</f>
        <v/>
      </c>
    </row>
    <row r="1536">
      <c r="B1536" s="101" t="n">
        <v>1530</v>
      </c>
      <c r="C1536" s="58" t="inlineStr">
        <is>
          <t>Transaction</t>
        </is>
      </c>
      <c r="D1536" s="58">
        <f>IF(H1536=1,INDEX(tx_ID,1530)&amp;"","")</f>
        <v/>
      </c>
      <c r="E1536" s="94">
        <f>IF(H1536=1,INDEX(tx_Date,1530),"")</f>
        <v/>
      </c>
      <c r="F1536" s="58">
        <f>IF(H1536=1,INDEX(tx_Desc,1530)&amp;"","")</f>
        <v/>
      </c>
      <c r="G1536" s="58">
        <f>IF(H1536=1,IF(INDEX(tx_Cust,1530)&amp;""&lt;&gt;"",INDEX(tx_Cust,1530)&amp;"",INDEX(tx_Vend,1530)&amp;""),"")</f>
        <v/>
      </c>
      <c r="H1536" s="101">
        <f>IFERROR(N(INDEX(tx_Posted,1530)),0)</f>
        <v/>
      </c>
      <c r="I1536" s="58">
        <f>IF(H1536=1,INDEX(tx_DrAcct,1530)&amp;"","")</f>
        <v/>
      </c>
      <c r="J1536" s="95">
        <f>IF(H1536=1,INDEX(tx_DrAmt,1530),0)</f>
        <v/>
      </c>
      <c r="K1536" s="58">
        <f>IF(H1536=1,INDEX(tx_CrAcct,1530)&amp;"","")</f>
        <v/>
      </c>
      <c r="L1536" s="95">
        <f>IF(H1536=1,INDEX(tx_CrAmt,1530),0)</f>
        <v/>
      </c>
      <c r="M1536" s="95">
        <f>IF(H1536=1,INDEX(tx_TaxDr,1530),0)</f>
        <v/>
      </c>
      <c r="N1536" s="95">
        <f>IF(H1536=1,INDEX(tx_TaxCr,1530),0)</f>
        <v/>
      </c>
      <c r="O1536" s="101">
        <f>IF(H1536=1,IF(E1536&lt;FYStart,0,IF(E1536&gt;FYEnd,13,YEAR(E1536)*12+MONTH(E1536)-FYYM+1)),"")</f>
        <v/>
      </c>
      <c r="P1536" s="101">
        <f>IF(H1536=1,IF(IFERROR(INDEX(coa_CF,MATCH(I1536,coa_Name,0)),"")="Cash",1,0),0)</f>
        <v/>
      </c>
      <c r="Q1536" s="101">
        <f>IF(H1536=1,IF(IFERROR(INDEX(coa_CF,MATCH(K1536,coa_Name,0)),"")="Cash",1,0),0)</f>
        <v/>
      </c>
      <c r="R1536" s="58">
        <f>IF((P1536-Q1536)=0,"",IFERROR(INDEX(coa_CF,MATCH(IF((P1536-Q1536)=1,K1536,I1536),coa_Name,0)),"Operating"))</f>
        <v/>
      </c>
      <c r="S1536" s="95">
        <f>IF((P1536-Q1536)=1,L1536,IF((P1536-Q1536)=-1,-J1536,0))</f>
        <v/>
      </c>
      <c r="T1536" s="95">
        <f>IF((P1536-Q1536)=1,N1536,IF((P1536-Q1536)=-1,-M1536,0))</f>
        <v/>
      </c>
      <c r="U1536" s="101">
        <f>IF(AND(H1536=1,LedAcct&lt;&gt;""),IF(AND(E1536&gt;=LedFrom,E1536&lt;=LedTo,OR(I1536=LedAcct,K1536=LedAcct,AND(LedAcct=acctTax,M1536+N1536&lt;&gt;0))),E1536*10000+B1536,""),"")</f>
        <v/>
      </c>
    </row>
    <row r="1537">
      <c r="B1537" s="101" t="n">
        <v>1531</v>
      </c>
      <c r="C1537" s="58" t="inlineStr">
        <is>
          <t>Transaction</t>
        </is>
      </c>
      <c r="D1537" s="58">
        <f>IF(H1537=1,INDEX(tx_ID,1531)&amp;"","")</f>
        <v/>
      </c>
      <c r="E1537" s="94">
        <f>IF(H1537=1,INDEX(tx_Date,1531),"")</f>
        <v/>
      </c>
      <c r="F1537" s="58">
        <f>IF(H1537=1,INDEX(tx_Desc,1531)&amp;"","")</f>
        <v/>
      </c>
      <c r="G1537" s="58">
        <f>IF(H1537=1,IF(INDEX(tx_Cust,1531)&amp;""&lt;&gt;"",INDEX(tx_Cust,1531)&amp;"",INDEX(tx_Vend,1531)&amp;""),"")</f>
        <v/>
      </c>
      <c r="H1537" s="101">
        <f>IFERROR(N(INDEX(tx_Posted,1531)),0)</f>
        <v/>
      </c>
      <c r="I1537" s="58">
        <f>IF(H1537=1,INDEX(tx_DrAcct,1531)&amp;"","")</f>
        <v/>
      </c>
      <c r="J1537" s="95">
        <f>IF(H1537=1,INDEX(tx_DrAmt,1531),0)</f>
        <v/>
      </c>
      <c r="K1537" s="58">
        <f>IF(H1537=1,INDEX(tx_CrAcct,1531)&amp;"","")</f>
        <v/>
      </c>
      <c r="L1537" s="95">
        <f>IF(H1537=1,INDEX(tx_CrAmt,1531),0)</f>
        <v/>
      </c>
      <c r="M1537" s="95">
        <f>IF(H1537=1,INDEX(tx_TaxDr,1531),0)</f>
        <v/>
      </c>
      <c r="N1537" s="95">
        <f>IF(H1537=1,INDEX(tx_TaxCr,1531),0)</f>
        <v/>
      </c>
      <c r="O1537" s="101">
        <f>IF(H1537=1,IF(E1537&lt;FYStart,0,IF(E1537&gt;FYEnd,13,YEAR(E1537)*12+MONTH(E1537)-FYYM+1)),"")</f>
        <v/>
      </c>
      <c r="P1537" s="101">
        <f>IF(H1537=1,IF(IFERROR(INDEX(coa_CF,MATCH(I1537,coa_Name,0)),"")="Cash",1,0),0)</f>
        <v/>
      </c>
      <c r="Q1537" s="101">
        <f>IF(H1537=1,IF(IFERROR(INDEX(coa_CF,MATCH(K1537,coa_Name,0)),"")="Cash",1,0),0)</f>
        <v/>
      </c>
      <c r="R1537" s="58">
        <f>IF((P1537-Q1537)=0,"",IFERROR(INDEX(coa_CF,MATCH(IF((P1537-Q1537)=1,K1537,I1537),coa_Name,0)),"Operating"))</f>
        <v/>
      </c>
      <c r="S1537" s="95">
        <f>IF((P1537-Q1537)=1,L1537,IF((P1537-Q1537)=-1,-J1537,0))</f>
        <v/>
      </c>
      <c r="T1537" s="95">
        <f>IF((P1537-Q1537)=1,N1537,IF((P1537-Q1537)=-1,-M1537,0))</f>
        <v/>
      </c>
      <c r="U1537" s="101">
        <f>IF(AND(H1537=1,LedAcct&lt;&gt;""),IF(AND(E1537&gt;=LedFrom,E1537&lt;=LedTo,OR(I1537=LedAcct,K1537=LedAcct,AND(LedAcct=acctTax,M1537+N1537&lt;&gt;0))),E1537*10000+B1537,""),"")</f>
        <v/>
      </c>
    </row>
    <row r="1538">
      <c r="B1538" s="101" t="n">
        <v>1532</v>
      </c>
      <c r="C1538" s="58" t="inlineStr">
        <is>
          <t>Transaction</t>
        </is>
      </c>
      <c r="D1538" s="58">
        <f>IF(H1538=1,INDEX(tx_ID,1532)&amp;"","")</f>
        <v/>
      </c>
      <c r="E1538" s="94">
        <f>IF(H1538=1,INDEX(tx_Date,1532),"")</f>
        <v/>
      </c>
      <c r="F1538" s="58">
        <f>IF(H1538=1,INDEX(tx_Desc,1532)&amp;"","")</f>
        <v/>
      </c>
      <c r="G1538" s="58">
        <f>IF(H1538=1,IF(INDEX(tx_Cust,1532)&amp;""&lt;&gt;"",INDEX(tx_Cust,1532)&amp;"",INDEX(tx_Vend,1532)&amp;""),"")</f>
        <v/>
      </c>
      <c r="H1538" s="101">
        <f>IFERROR(N(INDEX(tx_Posted,1532)),0)</f>
        <v/>
      </c>
      <c r="I1538" s="58">
        <f>IF(H1538=1,INDEX(tx_DrAcct,1532)&amp;"","")</f>
        <v/>
      </c>
      <c r="J1538" s="95">
        <f>IF(H1538=1,INDEX(tx_DrAmt,1532),0)</f>
        <v/>
      </c>
      <c r="K1538" s="58">
        <f>IF(H1538=1,INDEX(tx_CrAcct,1532)&amp;"","")</f>
        <v/>
      </c>
      <c r="L1538" s="95">
        <f>IF(H1538=1,INDEX(tx_CrAmt,1532),0)</f>
        <v/>
      </c>
      <c r="M1538" s="95">
        <f>IF(H1538=1,INDEX(tx_TaxDr,1532),0)</f>
        <v/>
      </c>
      <c r="N1538" s="95">
        <f>IF(H1538=1,INDEX(tx_TaxCr,1532),0)</f>
        <v/>
      </c>
      <c r="O1538" s="101">
        <f>IF(H1538=1,IF(E1538&lt;FYStart,0,IF(E1538&gt;FYEnd,13,YEAR(E1538)*12+MONTH(E1538)-FYYM+1)),"")</f>
        <v/>
      </c>
      <c r="P1538" s="101">
        <f>IF(H1538=1,IF(IFERROR(INDEX(coa_CF,MATCH(I1538,coa_Name,0)),"")="Cash",1,0),0)</f>
        <v/>
      </c>
      <c r="Q1538" s="101">
        <f>IF(H1538=1,IF(IFERROR(INDEX(coa_CF,MATCH(K1538,coa_Name,0)),"")="Cash",1,0),0)</f>
        <v/>
      </c>
      <c r="R1538" s="58">
        <f>IF((P1538-Q1538)=0,"",IFERROR(INDEX(coa_CF,MATCH(IF((P1538-Q1538)=1,K1538,I1538),coa_Name,0)),"Operating"))</f>
        <v/>
      </c>
      <c r="S1538" s="95">
        <f>IF((P1538-Q1538)=1,L1538,IF((P1538-Q1538)=-1,-J1538,0))</f>
        <v/>
      </c>
      <c r="T1538" s="95">
        <f>IF((P1538-Q1538)=1,N1538,IF((P1538-Q1538)=-1,-M1538,0))</f>
        <v/>
      </c>
      <c r="U1538" s="101">
        <f>IF(AND(H1538=1,LedAcct&lt;&gt;""),IF(AND(E1538&gt;=LedFrom,E1538&lt;=LedTo,OR(I1538=LedAcct,K1538=LedAcct,AND(LedAcct=acctTax,M1538+N1538&lt;&gt;0))),E1538*10000+B1538,""),"")</f>
        <v/>
      </c>
    </row>
    <row r="1539">
      <c r="B1539" s="101" t="n">
        <v>1533</v>
      </c>
      <c r="C1539" s="58" t="inlineStr">
        <is>
          <t>Transaction</t>
        </is>
      </c>
      <c r="D1539" s="58">
        <f>IF(H1539=1,INDEX(tx_ID,1533)&amp;"","")</f>
        <v/>
      </c>
      <c r="E1539" s="94">
        <f>IF(H1539=1,INDEX(tx_Date,1533),"")</f>
        <v/>
      </c>
      <c r="F1539" s="58">
        <f>IF(H1539=1,INDEX(tx_Desc,1533)&amp;"","")</f>
        <v/>
      </c>
      <c r="G1539" s="58">
        <f>IF(H1539=1,IF(INDEX(tx_Cust,1533)&amp;""&lt;&gt;"",INDEX(tx_Cust,1533)&amp;"",INDEX(tx_Vend,1533)&amp;""),"")</f>
        <v/>
      </c>
      <c r="H1539" s="101">
        <f>IFERROR(N(INDEX(tx_Posted,1533)),0)</f>
        <v/>
      </c>
      <c r="I1539" s="58">
        <f>IF(H1539=1,INDEX(tx_DrAcct,1533)&amp;"","")</f>
        <v/>
      </c>
      <c r="J1539" s="95">
        <f>IF(H1539=1,INDEX(tx_DrAmt,1533),0)</f>
        <v/>
      </c>
      <c r="K1539" s="58">
        <f>IF(H1539=1,INDEX(tx_CrAcct,1533)&amp;"","")</f>
        <v/>
      </c>
      <c r="L1539" s="95">
        <f>IF(H1539=1,INDEX(tx_CrAmt,1533),0)</f>
        <v/>
      </c>
      <c r="M1539" s="95">
        <f>IF(H1539=1,INDEX(tx_TaxDr,1533),0)</f>
        <v/>
      </c>
      <c r="N1539" s="95">
        <f>IF(H1539=1,INDEX(tx_TaxCr,1533),0)</f>
        <v/>
      </c>
      <c r="O1539" s="101">
        <f>IF(H1539=1,IF(E1539&lt;FYStart,0,IF(E1539&gt;FYEnd,13,YEAR(E1539)*12+MONTH(E1539)-FYYM+1)),"")</f>
        <v/>
      </c>
      <c r="P1539" s="101">
        <f>IF(H1539=1,IF(IFERROR(INDEX(coa_CF,MATCH(I1539,coa_Name,0)),"")="Cash",1,0),0)</f>
        <v/>
      </c>
      <c r="Q1539" s="101">
        <f>IF(H1539=1,IF(IFERROR(INDEX(coa_CF,MATCH(K1539,coa_Name,0)),"")="Cash",1,0),0)</f>
        <v/>
      </c>
      <c r="R1539" s="58">
        <f>IF((P1539-Q1539)=0,"",IFERROR(INDEX(coa_CF,MATCH(IF((P1539-Q1539)=1,K1539,I1539),coa_Name,0)),"Operating"))</f>
        <v/>
      </c>
      <c r="S1539" s="95">
        <f>IF((P1539-Q1539)=1,L1539,IF((P1539-Q1539)=-1,-J1539,0))</f>
        <v/>
      </c>
      <c r="T1539" s="95">
        <f>IF((P1539-Q1539)=1,N1539,IF((P1539-Q1539)=-1,-M1539,0))</f>
        <v/>
      </c>
      <c r="U1539" s="101">
        <f>IF(AND(H1539=1,LedAcct&lt;&gt;""),IF(AND(E1539&gt;=LedFrom,E1539&lt;=LedTo,OR(I1539=LedAcct,K1539=LedAcct,AND(LedAcct=acctTax,M1539+N1539&lt;&gt;0))),E1539*10000+B1539,""),"")</f>
        <v/>
      </c>
    </row>
    <row r="1540">
      <c r="B1540" s="101" t="n">
        <v>1534</v>
      </c>
      <c r="C1540" s="58" t="inlineStr">
        <is>
          <t>Transaction</t>
        </is>
      </c>
      <c r="D1540" s="58">
        <f>IF(H1540=1,INDEX(tx_ID,1534)&amp;"","")</f>
        <v/>
      </c>
      <c r="E1540" s="94">
        <f>IF(H1540=1,INDEX(tx_Date,1534),"")</f>
        <v/>
      </c>
      <c r="F1540" s="58">
        <f>IF(H1540=1,INDEX(tx_Desc,1534)&amp;"","")</f>
        <v/>
      </c>
      <c r="G1540" s="58">
        <f>IF(H1540=1,IF(INDEX(tx_Cust,1534)&amp;""&lt;&gt;"",INDEX(tx_Cust,1534)&amp;"",INDEX(tx_Vend,1534)&amp;""),"")</f>
        <v/>
      </c>
      <c r="H1540" s="101">
        <f>IFERROR(N(INDEX(tx_Posted,1534)),0)</f>
        <v/>
      </c>
      <c r="I1540" s="58">
        <f>IF(H1540=1,INDEX(tx_DrAcct,1534)&amp;"","")</f>
        <v/>
      </c>
      <c r="J1540" s="95">
        <f>IF(H1540=1,INDEX(tx_DrAmt,1534),0)</f>
        <v/>
      </c>
      <c r="K1540" s="58">
        <f>IF(H1540=1,INDEX(tx_CrAcct,1534)&amp;"","")</f>
        <v/>
      </c>
      <c r="L1540" s="95">
        <f>IF(H1540=1,INDEX(tx_CrAmt,1534),0)</f>
        <v/>
      </c>
      <c r="M1540" s="95">
        <f>IF(H1540=1,INDEX(tx_TaxDr,1534),0)</f>
        <v/>
      </c>
      <c r="N1540" s="95">
        <f>IF(H1540=1,INDEX(tx_TaxCr,1534),0)</f>
        <v/>
      </c>
      <c r="O1540" s="101">
        <f>IF(H1540=1,IF(E1540&lt;FYStart,0,IF(E1540&gt;FYEnd,13,YEAR(E1540)*12+MONTH(E1540)-FYYM+1)),"")</f>
        <v/>
      </c>
      <c r="P1540" s="101">
        <f>IF(H1540=1,IF(IFERROR(INDEX(coa_CF,MATCH(I1540,coa_Name,0)),"")="Cash",1,0),0)</f>
        <v/>
      </c>
      <c r="Q1540" s="101">
        <f>IF(H1540=1,IF(IFERROR(INDEX(coa_CF,MATCH(K1540,coa_Name,0)),"")="Cash",1,0),0)</f>
        <v/>
      </c>
      <c r="R1540" s="58">
        <f>IF((P1540-Q1540)=0,"",IFERROR(INDEX(coa_CF,MATCH(IF((P1540-Q1540)=1,K1540,I1540),coa_Name,0)),"Operating"))</f>
        <v/>
      </c>
      <c r="S1540" s="95">
        <f>IF((P1540-Q1540)=1,L1540,IF((P1540-Q1540)=-1,-J1540,0))</f>
        <v/>
      </c>
      <c r="T1540" s="95">
        <f>IF((P1540-Q1540)=1,N1540,IF((P1540-Q1540)=-1,-M1540,0))</f>
        <v/>
      </c>
      <c r="U1540" s="101">
        <f>IF(AND(H1540=1,LedAcct&lt;&gt;""),IF(AND(E1540&gt;=LedFrom,E1540&lt;=LedTo,OR(I1540=LedAcct,K1540=LedAcct,AND(LedAcct=acctTax,M1540+N1540&lt;&gt;0))),E1540*10000+B1540,""),"")</f>
        <v/>
      </c>
    </row>
    <row r="1541">
      <c r="B1541" s="101" t="n">
        <v>1535</v>
      </c>
      <c r="C1541" s="58" t="inlineStr">
        <is>
          <t>Transaction</t>
        </is>
      </c>
      <c r="D1541" s="58">
        <f>IF(H1541=1,INDEX(tx_ID,1535)&amp;"","")</f>
        <v/>
      </c>
      <c r="E1541" s="94">
        <f>IF(H1541=1,INDEX(tx_Date,1535),"")</f>
        <v/>
      </c>
      <c r="F1541" s="58">
        <f>IF(H1541=1,INDEX(tx_Desc,1535)&amp;"","")</f>
        <v/>
      </c>
      <c r="G1541" s="58">
        <f>IF(H1541=1,IF(INDEX(tx_Cust,1535)&amp;""&lt;&gt;"",INDEX(tx_Cust,1535)&amp;"",INDEX(tx_Vend,1535)&amp;""),"")</f>
        <v/>
      </c>
      <c r="H1541" s="101">
        <f>IFERROR(N(INDEX(tx_Posted,1535)),0)</f>
        <v/>
      </c>
      <c r="I1541" s="58">
        <f>IF(H1541=1,INDEX(tx_DrAcct,1535)&amp;"","")</f>
        <v/>
      </c>
      <c r="J1541" s="95">
        <f>IF(H1541=1,INDEX(tx_DrAmt,1535),0)</f>
        <v/>
      </c>
      <c r="K1541" s="58">
        <f>IF(H1541=1,INDEX(tx_CrAcct,1535)&amp;"","")</f>
        <v/>
      </c>
      <c r="L1541" s="95">
        <f>IF(H1541=1,INDEX(tx_CrAmt,1535),0)</f>
        <v/>
      </c>
      <c r="M1541" s="95">
        <f>IF(H1541=1,INDEX(tx_TaxDr,1535),0)</f>
        <v/>
      </c>
      <c r="N1541" s="95">
        <f>IF(H1541=1,INDEX(tx_TaxCr,1535),0)</f>
        <v/>
      </c>
      <c r="O1541" s="101">
        <f>IF(H1541=1,IF(E1541&lt;FYStart,0,IF(E1541&gt;FYEnd,13,YEAR(E1541)*12+MONTH(E1541)-FYYM+1)),"")</f>
        <v/>
      </c>
      <c r="P1541" s="101">
        <f>IF(H1541=1,IF(IFERROR(INDEX(coa_CF,MATCH(I1541,coa_Name,0)),"")="Cash",1,0),0)</f>
        <v/>
      </c>
      <c r="Q1541" s="101">
        <f>IF(H1541=1,IF(IFERROR(INDEX(coa_CF,MATCH(K1541,coa_Name,0)),"")="Cash",1,0),0)</f>
        <v/>
      </c>
      <c r="R1541" s="58">
        <f>IF((P1541-Q1541)=0,"",IFERROR(INDEX(coa_CF,MATCH(IF((P1541-Q1541)=1,K1541,I1541),coa_Name,0)),"Operating"))</f>
        <v/>
      </c>
      <c r="S1541" s="95">
        <f>IF((P1541-Q1541)=1,L1541,IF((P1541-Q1541)=-1,-J1541,0))</f>
        <v/>
      </c>
      <c r="T1541" s="95">
        <f>IF((P1541-Q1541)=1,N1541,IF((P1541-Q1541)=-1,-M1541,0))</f>
        <v/>
      </c>
      <c r="U1541" s="101">
        <f>IF(AND(H1541=1,LedAcct&lt;&gt;""),IF(AND(E1541&gt;=LedFrom,E1541&lt;=LedTo,OR(I1541=LedAcct,K1541=LedAcct,AND(LedAcct=acctTax,M1541+N1541&lt;&gt;0))),E1541*10000+B1541,""),"")</f>
        <v/>
      </c>
    </row>
    <row r="1542">
      <c r="B1542" s="101" t="n">
        <v>1536</v>
      </c>
      <c r="C1542" s="58" t="inlineStr">
        <is>
          <t>Transaction</t>
        </is>
      </c>
      <c r="D1542" s="58">
        <f>IF(H1542=1,INDEX(tx_ID,1536)&amp;"","")</f>
        <v/>
      </c>
      <c r="E1542" s="94">
        <f>IF(H1542=1,INDEX(tx_Date,1536),"")</f>
        <v/>
      </c>
      <c r="F1542" s="58">
        <f>IF(H1542=1,INDEX(tx_Desc,1536)&amp;"","")</f>
        <v/>
      </c>
      <c r="G1542" s="58">
        <f>IF(H1542=1,IF(INDEX(tx_Cust,1536)&amp;""&lt;&gt;"",INDEX(tx_Cust,1536)&amp;"",INDEX(tx_Vend,1536)&amp;""),"")</f>
        <v/>
      </c>
      <c r="H1542" s="101">
        <f>IFERROR(N(INDEX(tx_Posted,1536)),0)</f>
        <v/>
      </c>
      <c r="I1542" s="58">
        <f>IF(H1542=1,INDEX(tx_DrAcct,1536)&amp;"","")</f>
        <v/>
      </c>
      <c r="J1542" s="95">
        <f>IF(H1542=1,INDEX(tx_DrAmt,1536),0)</f>
        <v/>
      </c>
      <c r="K1542" s="58">
        <f>IF(H1542=1,INDEX(tx_CrAcct,1536)&amp;"","")</f>
        <v/>
      </c>
      <c r="L1542" s="95">
        <f>IF(H1542=1,INDEX(tx_CrAmt,1536),0)</f>
        <v/>
      </c>
      <c r="M1542" s="95">
        <f>IF(H1542=1,INDEX(tx_TaxDr,1536),0)</f>
        <v/>
      </c>
      <c r="N1542" s="95">
        <f>IF(H1542=1,INDEX(tx_TaxCr,1536),0)</f>
        <v/>
      </c>
      <c r="O1542" s="101">
        <f>IF(H1542=1,IF(E1542&lt;FYStart,0,IF(E1542&gt;FYEnd,13,YEAR(E1542)*12+MONTH(E1542)-FYYM+1)),"")</f>
        <v/>
      </c>
      <c r="P1542" s="101">
        <f>IF(H1542=1,IF(IFERROR(INDEX(coa_CF,MATCH(I1542,coa_Name,0)),"")="Cash",1,0),0)</f>
        <v/>
      </c>
      <c r="Q1542" s="101">
        <f>IF(H1542=1,IF(IFERROR(INDEX(coa_CF,MATCH(K1542,coa_Name,0)),"")="Cash",1,0),0)</f>
        <v/>
      </c>
      <c r="R1542" s="58">
        <f>IF((P1542-Q1542)=0,"",IFERROR(INDEX(coa_CF,MATCH(IF((P1542-Q1542)=1,K1542,I1542),coa_Name,0)),"Operating"))</f>
        <v/>
      </c>
      <c r="S1542" s="95">
        <f>IF((P1542-Q1542)=1,L1542,IF((P1542-Q1542)=-1,-J1542,0))</f>
        <v/>
      </c>
      <c r="T1542" s="95">
        <f>IF((P1542-Q1542)=1,N1542,IF((P1542-Q1542)=-1,-M1542,0))</f>
        <v/>
      </c>
      <c r="U1542" s="101">
        <f>IF(AND(H1542=1,LedAcct&lt;&gt;""),IF(AND(E1542&gt;=LedFrom,E1542&lt;=LedTo,OR(I1542=LedAcct,K1542=LedAcct,AND(LedAcct=acctTax,M1542+N1542&lt;&gt;0))),E1542*10000+B1542,""),"")</f>
        <v/>
      </c>
    </row>
    <row r="1543">
      <c r="B1543" s="101" t="n">
        <v>1537</v>
      </c>
      <c r="C1543" s="58" t="inlineStr">
        <is>
          <t>Transaction</t>
        </is>
      </c>
      <c r="D1543" s="58">
        <f>IF(H1543=1,INDEX(tx_ID,1537)&amp;"","")</f>
        <v/>
      </c>
      <c r="E1543" s="94">
        <f>IF(H1543=1,INDEX(tx_Date,1537),"")</f>
        <v/>
      </c>
      <c r="F1543" s="58">
        <f>IF(H1543=1,INDEX(tx_Desc,1537)&amp;"","")</f>
        <v/>
      </c>
      <c r="G1543" s="58">
        <f>IF(H1543=1,IF(INDEX(tx_Cust,1537)&amp;""&lt;&gt;"",INDEX(tx_Cust,1537)&amp;"",INDEX(tx_Vend,1537)&amp;""),"")</f>
        <v/>
      </c>
      <c r="H1543" s="101">
        <f>IFERROR(N(INDEX(tx_Posted,1537)),0)</f>
        <v/>
      </c>
      <c r="I1543" s="58">
        <f>IF(H1543=1,INDEX(tx_DrAcct,1537)&amp;"","")</f>
        <v/>
      </c>
      <c r="J1543" s="95">
        <f>IF(H1543=1,INDEX(tx_DrAmt,1537),0)</f>
        <v/>
      </c>
      <c r="K1543" s="58">
        <f>IF(H1543=1,INDEX(tx_CrAcct,1537)&amp;"","")</f>
        <v/>
      </c>
      <c r="L1543" s="95">
        <f>IF(H1543=1,INDEX(tx_CrAmt,1537),0)</f>
        <v/>
      </c>
      <c r="M1543" s="95">
        <f>IF(H1543=1,INDEX(tx_TaxDr,1537),0)</f>
        <v/>
      </c>
      <c r="N1543" s="95">
        <f>IF(H1543=1,INDEX(tx_TaxCr,1537),0)</f>
        <v/>
      </c>
      <c r="O1543" s="101">
        <f>IF(H1543=1,IF(E1543&lt;FYStart,0,IF(E1543&gt;FYEnd,13,YEAR(E1543)*12+MONTH(E1543)-FYYM+1)),"")</f>
        <v/>
      </c>
      <c r="P1543" s="101">
        <f>IF(H1543=1,IF(IFERROR(INDEX(coa_CF,MATCH(I1543,coa_Name,0)),"")="Cash",1,0),0)</f>
        <v/>
      </c>
      <c r="Q1543" s="101">
        <f>IF(H1543=1,IF(IFERROR(INDEX(coa_CF,MATCH(K1543,coa_Name,0)),"")="Cash",1,0),0)</f>
        <v/>
      </c>
      <c r="R1543" s="58">
        <f>IF((P1543-Q1543)=0,"",IFERROR(INDEX(coa_CF,MATCH(IF((P1543-Q1543)=1,K1543,I1543),coa_Name,0)),"Operating"))</f>
        <v/>
      </c>
      <c r="S1543" s="95">
        <f>IF((P1543-Q1543)=1,L1543,IF((P1543-Q1543)=-1,-J1543,0))</f>
        <v/>
      </c>
      <c r="T1543" s="95">
        <f>IF((P1543-Q1543)=1,N1543,IF((P1543-Q1543)=-1,-M1543,0))</f>
        <v/>
      </c>
      <c r="U1543" s="101">
        <f>IF(AND(H1543=1,LedAcct&lt;&gt;""),IF(AND(E1543&gt;=LedFrom,E1543&lt;=LedTo,OR(I1543=LedAcct,K1543=LedAcct,AND(LedAcct=acctTax,M1543+N1543&lt;&gt;0))),E1543*10000+B1543,""),"")</f>
        <v/>
      </c>
    </row>
    <row r="1544">
      <c r="B1544" s="101" t="n">
        <v>1538</v>
      </c>
      <c r="C1544" s="58" t="inlineStr">
        <is>
          <t>Transaction</t>
        </is>
      </c>
      <c r="D1544" s="58">
        <f>IF(H1544=1,INDEX(tx_ID,1538)&amp;"","")</f>
        <v/>
      </c>
      <c r="E1544" s="94">
        <f>IF(H1544=1,INDEX(tx_Date,1538),"")</f>
        <v/>
      </c>
      <c r="F1544" s="58">
        <f>IF(H1544=1,INDEX(tx_Desc,1538)&amp;"","")</f>
        <v/>
      </c>
      <c r="G1544" s="58">
        <f>IF(H1544=1,IF(INDEX(tx_Cust,1538)&amp;""&lt;&gt;"",INDEX(tx_Cust,1538)&amp;"",INDEX(tx_Vend,1538)&amp;""),"")</f>
        <v/>
      </c>
      <c r="H1544" s="101">
        <f>IFERROR(N(INDEX(tx_Posted,1538)),0)</f>
        <v/>
      </c>
      <c r="I1544" s="58">
        <f>IF(H1544=1,INDEX(tx_DrAcct,1538)&amp;"","")</f>
        <v/>
      </c>
      <c r="J1544" s="95">
        <f>IF(H1544=1,INDEX(tx_DrAmt,1538),0)</f>
        <v/>
      </c>
      <c r="K1544" s="58">
        <f>IF(H1544=1,INDEX(tx_CrAcct,1538)&amp;"","")</f>
        <v/>
      </c>
      <c r="L1544" s="95">
        <f>IF(H1544=1,INDEX(tx_CrAmt,1538),0)</f>
        <v/>
      </c>
      <c r="M1544" s="95">
        <f>IF(H1544=1,INDEX(tx_TaxDr,1538),0)</f>
        <v/>
      </c>
      <c r="N1544" s="95">
        <f>IF(H1544=1,INDEX(tx_TaxCr,1538),0)</f>
        <v/>
      </c>
      <c r="O1544" s="101">
        <f>IF(H1544=1,IF(E1544&lt;FYStart,0,IF(E1544&gt;FYEnd,13,YEAR(E1544)*12+MONTH(E1544)-FYYM+1)),"")</f>
        <v/>
      </c>
      <c r="P1544" s="101">
        <f>IF(H1544=1,IF(IFERROR(INDEX(coa_CF,MATCH(I1544,coa_Name,0)),"")="Cash",1,0),0)</f>
        <v/>
      </c>
      <c r="Q1544" s="101">
        <f>IF(H1544=1,IF(IFERROR(INDEX(coa_CF,MATCH(K1544,coa_Name,0)),"")="Cash",1,0),0)</f>
        <v/>
      </c>
      <c r="R1544" s="58">
        <f>IF((P1544-Q1544)=0,"",IFERROR(INDEX(coa_CF,MATCH(IF((P1544-Q1544)=1,K1544,I1544),coa_Name,0)),"Operating"))</f>
        <v/>
      </c>
      <c r="S1544" s="95">
        <f>IF((P1544-Q1544)=1,L1544,IF((P1544-Q1544)=-1,-J1544,0))</f>
        <v/>
      </c>
      <c r="T1544" s="95">
        <f>IF((P1544-Q1544)=1,N1544,IF((P1544-Q1544)=-1,-M1544,0))</f>
        <v/>
      </c>
      <c r="U1544" s="101">
        <f>IF(AND(H1544=1,LedAcct&lt;&gt;""),IF(AND(E1544&gt;=LedFrom,E1544&lt;=LedTo,OR(I1544=LedAcct,K1544=LedAcct,AND(LedAcct=acctTax,M1544+N1544&lt;&gt;0))),E1544*10000+B1544,""),"")</f>
        <v/>
      </c>
    </row>
    <row r="1545">
      <c r="B1545" s="101" t="n">
        <v>1539</v>
      </c>
      <c r="C1545" s="58" t="inlineStr">
        <is>
          <t>Transaction</t>
        </is>
      </c>
      <c r="D1545" s="58">
        <f>IF(H1545=1,INDEX(tx_ID,1539)&amp;"","")</f>
        <v/>
      </c>
      <c r="E1545" s="94">
        <f>IF(H1545=1,INDEX(tx_Date,1539),"")</f>
        <v/>
      </c>
      <c r="F1545" s="58">
        <f>IF(H1545=1,INDEX(tx_Desc,1539)&amp;"","")</f>
        <v/>
      </c>
      <c r="G1545" s="58">
        <f>IF(H1545=1,IF(INDEX(tx_Cust,1539)&amp;""&lt;&gt;"",INDEX(tx_Cust,1539)&amp;"",INDEX(tx_Vend,1539)&amp;""),"")</f>
        <v/>
      </c>
      <c r="H1545" s="101">
        <f>IFERROR(N(INDEX(tx_Posted,1539)),0)</f>
        <v/>
      </c>
      <c r="I1545" s="58">
        <f>IF(H1545=1,INDEX(tx_DrAcct,1539)&amp;"","")</f>
        <v/>
      </c>
      <c r="J1545" s="95">
        <f>IF(H1545=1,INDEX(tx_DrAmt,1539),0)</f>
        <v/>
      </c>
      <c r="K1545" s="58">
        <f>IF(H1545=1,INDEX(tx_CrAcct,1539)&amp;"","")</f>
        <v/>
      </c>
      <c r="L1545" s="95">
        <f>IF(H1545=1,INDEX(tx_CrAmt,1539),0)</f>
        <v/>
      </c>
      <c r="M1545" s="95">
        <f>IF(H1545=1,INDEX(tx_TaxDr,1539),0)</f>
        <v/>
      </c>
      <c r="N1545" s="95">
        <f>IF(H1545=1,INDEX(tx_TaxCr,1539),0)</f>
        <v/>
      </c>
      <c r="O1545" s="101">
        <f>IF(H1545=1,IF(E1545&lt;FYStart,0,IF(E1545&gt;FYEnd,13,YEAR(E1545)*12+MONTH(E1545)-FYYM+1)),"")</f>
        <v/>
      </c>
      <c r="P1545" s="101">
        <f>IF(H1545=1,IF(IFERROR(INDEX(coa_CF,MATCH(I1545,coa_Name,0)),"")="Cash",1,0),0)</f>
        <v/>
      </c>
      <c r="Q1545" s="101">
        <f>IF(H1545=1,IF(IFERROR(INDEX(coa_CF,MATCH(K1545,coa_Name,0)),"")="Cash",1,0),0)</f>
        <v/>
      </c>
      <c r="R1545" s="58">
        <f>IF((P1545-Q1545)=0,"",IFERROR(INDEX(coa_CF,MATCH(IF((P1545-Q1545)=1,K1545,I1545),coa_Name,0)),"Operating"))</f>
        <v/>
      </c>
      <c r="S1545" s="95">
        <f>IF((P1545-Q1545)=1,L1545,IF((P1545-Q1545)=-1,-J1545,0))</f>
        <v/>
      </c>
      <c r="T1545" s="95">
        <f>IF((P1545-Q1545)=1,N1545,IF((P1545-Q1545)=-1,-M1545,0))</f>
        <v/>
      </c>
      <c r="U1545" s="101">
        <f>IF(AND(H1545=1,LedAcct&lt;&gt;""),IF(AND(E1545&gt;=LedFrom,E1545&lt;=LedTo,OR(I1545=LedAcct,K1545=LedAcct,AND(LedAcct=acctTax,M1545+N1545&lt;&gt;0))),E1545*10000+B1545,""),"")</f>
        <v/>
      </c>
    </row>
    <row r="1546">
      <c r="B1546" s="101" t="n">
        <v>1540</v>
      </c>
      <c r="C1546" s="58" t="inlineStr">
        <is>
          <t>Transaction</t>
        </is>
      </c>
      <c r="D1546" s="58">
        <f>IF(H1546=1,INDEX(tx_ID,1540)&amp;"","")</f>
        <v/>
      </c>
      <c r="E1546" s="94">
        <f>IF(H1546=1,INDEX(tx_Date,1540),"")</f>
        <v/>
      </c>
      <c r="F1546" s="58">
        <f>IF(H1546=1,INDEX(tx_Desc,1540)&amp;"","")</f>
        <v/>
      </c>
      <c r="G1546" s="58">
        <f>IF(H1546=1,IF(INDEX(tx_Cust,1540)&amp;""&lt;&gt;"",INDEX(tx_Cust,1540)&amp;"",INDEX(tx_Vend,1540)&amp;""),"")</f>
        <v/>
      </c>
      <c r="H1546" s="101">
        <f>IFERROR(N(INDEX(tx_Posted,1540)),0)</f>
        <v/>
      </c>
      <c r="I1546" s="58">
        <f>IF(H1546=1,INDEX(tx_DrAcct,1540)&amp;"","")</f>
        <v/>
      </c>
      <c r="J1546" s="95">
        <f>IF(H1546=1,INDEX(tx_DrAmt,1540),0)</f>
        <v/>
      </c>
      <c r="K1546" s="58">
        <f>IF(H1546=1,INDEX(tx_CrAcct,1540)&amp;"","")</f>
        <v/>
      </c>
      <c r="L1546" s="95">
        <f>IF(H1546=1,INDEX(tx_CrAmt,1540),0)</f>
        <v/>
      </c>
      <c r="M1546" s="95">
        <f>IF(H1546=1,INDEX(tx_TaxDr,1540),0)</f>
        <v/>
      </c>
      <c r="N1546" s="95">
        <f>IF(H1546=1,INDEX(tx_TaxCr,1540),0)</f>
        <v/>
      </c>
      <c r="O1546" s="101">
        <f>IF(H1546=1,IF(E1546&lt;FYStart,0,IF(E1546&gt;FYEnd,13,YEAR(E1546)*12+MONTH(E1546)-FYYM+1)),"")</f>
        <v/>
      </c>
      <c r="P1546" s="101">
        <f>IF(H1546=1,IF(IFERROR(INDEX(coa_CF,MATCH(I1546,coa_Name,0)),"")="Cash",1,0),0)</f>
        <v/>
      </c>
      <c r="Q1546" s="101">
        <f>IF(H1546=1,IF(IFERROR(INDEX(coa_CF,MATCH(K1546,coa_Name,0)),"")="Cash",1,0),0)</f>
        <v/>
      </c>
      <c r="R1546" s="58">
        <f>IF((P1546-Q1546)=0,"",IFERROR(INDEX(coa_CF,MATCH(IF((P1546-Q1546)=1,K1546,I1546),coa_Name,0)),"Operating"))</f>
        <v/>
      </c>
      <c r="S1546" s="95">
        <f>IF((P1546-Q1546)=1,L1546,IF((P1546-Q1546)=-1,-J1546,0))</f>
        <v/>
      </c>
      <c r="T1546" s="95">
        <f>IF((P1546-Q1546)=1,N1546,IF((P1546-Q1546)=-1,-M1546,0))</f>
        <v/>
      </c>
      <c r="U1546" s="101">
        <f>IF(AND(H1546=1,LedAcct&lt;&gt;""),IF(AND(E1546&gt;=LedFrom,E1546&lt;=LedTo,OR(I1546=LedAcct,K1546=LedAcct,AND(LedAcct=acctTax,M1546+N1546&lt;&gt;0))),E1546*10000+B1546,""),"")</f>
        <v/>
      </c>
    </row>
    <row r="1547">
      <c r="B1547" s="101" t="n">
        <v>1541</v>
      </c>
      <c r="C1547" s="58" t="inlineStr">
        <is>
          <t>Transaction</t>
        </is>
      </c>
      <c r="D1547" s="58">
        <f>IF(H1547=1,INDEX(tx_ID,1541)&amp;"","")</f>
        <v/>
      </c>
      <c r="E1547" s="94">
        <f>IF(H1547=1,INDEX(tx_Date,1541),"")</f>
        <v/>
      </c>
      <c r="F1547" s="58">
        <f>IF(H1547=1,INDEX(tx_Desc,1541)&amp;"","")</f>
        <v/>
      </c>
      <c r="G1547" s="58">
        <f>IF(H1547=1,IF(INDEX(tx_Cust,1541)&amp;""&lt;&gt;"",INDEX(tx_Cust,1541)&amp;"",INDEX(tx_Vend,1541)&amp;""),"")</f>
        <v/>
      </c>
      <c r="H1547" s="101">
        <f>IFERROR(N(INDEX(tx_Posted,1541)),0)</f>
        <v/>
      </c>
      <c r="I1547" s="58">
        <f>IF(H1547=1,INDEX(tx_DrAcct,1541)&amp;"","")</f>
        <v/>
      </c>
      <c r="J1547" s="95">
        <f>IF(H1547=1,INDEX(tx_DrAmt,1541),0)</f>
        <v/>
      </c>
      <c r="K1547" s="58">
        <f>IF(H1547=1,INDEX(tx_CrAcct,1541)&amp;"","")</f>
        <v/>
      </c>
      <c r="L1547" s="95">
        <f>IF(H1547=1,INDEX(tx_CrAmt,1541),0)</f>
        <v/>
      </c>
      <c r="M1547" s="95">
        <f>IF(H1547=1,INDEX(tx_TaxDr,1541),0)</f>
        <v/>
      </c>
      <c r="N1547" s="95">
        <f>IF(H1547=1,INDEX(tx_TaxCr,1541),0)</f>
        <v/>
      </c>
      <c r="O1547" s="101">
        <f>IF(H1547=1,IF(E1547&lt;FYStart,0,IF(E1547&gt;FYEnd,13,YEAR(E1547)*12+MONTH(E1547)-FYYM+1)),"")</f>
        <v/>
      </c>
      <c r="P1547" s="101">
        <f>IF(H1547=1,IF(IFERROR(INDEX(coa_CF,MATCH(I1547,coa_Name,0)),"")="Cash",1,0),0)</f>
        <v/>
      </c>
      <c r="Q1547" s="101">
        <f>IF(H1547=1,IF(IFERROR(INDEX(coa_CF,MATCH(K1547,coa_Name,0)),"")="Cash",1,0),0)</f>
        <v/>
      </c>
      <c r="R1547" s="58">
        <f>IF((P1547-Q1547)=0,"",IFERROR(INDEX(coa_CF,MATCH(IF((P1547-Q1547)=1,K1547,I1547),coa_Name,0)),"Operating"))</f>
        <v/>
      </c>
      <c r="S1547" s="95">
        <f>IF((P1547-Q1547)=1,L1547,IF((P1547-Q1547)=-1,-J1547,0))</f>
        <v/>
      </c>
      <c r="T1547" s="95">
        <f>IF((P1547-Q1547)=1,N1547,IF((P1547-Q1547)=-1,-M1547,0))</f>
        <v/>
      </c>
      <c r="U1547" s="101">
        <f>IF(AND(H1547=1,LedAcct&lt;&gt;""),IF(AND(E1547&gt;=LedFrom,E1547&lt;=LedTo,OR(I1547=LedAcct,K1547=LedAcct,AND(LedAcct=acctTax,M1547+N1547&lt;&gt;0))),E1547*10000+B1547,""),"")</f>
        <v/>
      </c>
    </row>
    <row r="1548">
      <c r="B1548" s="101" t="n">
        <v>1542</v>
      </c>
      <c r="C1548" s="58" t="inlineStr">
        <is>
          <t>Transaction</t>
        </is>
      </c>
      <c r="D1548" s="58">
        <f>IF(H1548=1,INDEX(tx_ID,1542)&amp;"","")</f>
        <v/>
      </c>
      <c r="E1548" s="94">
        <f>IF(H1548=1,INDEX(tx_Date,1542),"")</f>
        <v/>
      </c>
      <c r="F1548" s="58">
        <f>IF(H1548=1,INDEX(tx_Desc,1542)&amp;"","")</f>
        <v/>
      </c>
      <c r="G1548" s="58">
        <f>IF(H1548=1,IF(INDEX(tx_Cust,1542)&amp;""&lt;&gt;"",INDEX(tx_Cust,1542)&amp;"",INDEX(tx_Vend,1542)&amp;""),"")</f>
        <v/>
      </c>
      <c r="H1548" s="101">
        <f>IFERROR(N(INDEX(tx_Posted,1542)),0)</f>
        <v/>
      </c>
      <c r="I1548" s="58">
        <f>IF(H1548=1,INDEX(tx_DrAcct,1542)&amp;"","")</f>
        <v/>
      </c>
      <c r="J1548" s="95">
        <f>IF(H1548=1,INDEX(tx_DrAmt,1542),0)</f>
        <v/>
      </c>
      <c r="K1548" s="58">
        <f>IF(H1548=1,INDEX(tx_CrAcct,1542)&amp;"","")</f>
        <v/>
      </c>
      <c r="L1548" s="95">
        <f>IF(H1548=1,INDEX(tx_CrAmt,1542),0)</f>
        <v/>
      </c>
      <c r="M1548" s="95">
        <f>IF(H1548=1,INDEX(tx_TaxDr,1542),0)</f>
        <v/>
      </c>
      <c r="N1548" s="95">
        <f>IF(H1548=1,INDEX(tx_TaxCr,1542),0)</f>
        <v/>
      </c>
      <c r="O1548" s="101">
        <f>IF(H1548=1,IF(E1548&lt;FYStart,0,IF(E1548&gt;FYEnd,13,YEAR(E1548)*12+MONTH(E1548)-FYYM+1)),"")</f>
        <v/>
      </c>
      <c r="P1548" s="101">
        <f>IF(H1548=1,IF(IFERROR(INDEX(coa_CF,MATCH(I1548,coa_Name,0)),"")="Cash",1,0),0)</f>
        <v/>
      </c>
      <c r="Q1548" s="101">
        <f>IF(H1548=1,IF(IFERROR(INDEX(coa_CF,MATCH(K1548,coa_Name,0)),"")="Cash",1,0),0)</f>
        <v/>
      </c>
      <c r="R1548" s="58">
        <f>IF((P1548-Q1548)=0,"",IFERROR(INDEX(coa_CF,MATCH(IF((P1548-Q1548)=1,K1548,I1548),coa_Name,0)),"Operating"))</f>
        <v/>
      </c>
      <c r="S1548" s="95">
        <f>IF((P1548-Q1548)=1,L1548,IF((P1548-Q1548)=-1,-J1548,0))</f>
        <v/>
      </c>
      <c r="T1548" s="95">
        <f>IF((P1548-Q1548)=1,N1548,IF((P1548-Q1548)=-1,-M1548,0))</f>
        <v/>
      </c>
      <c r="U1548" s="101">
        <f>IF(AND(H1548=1,LedAcct&lt;&gt;""),IF(AND(E1548&gt;=LedFrom,E1548&lt;=LedTo,OR(I1548=LedAcct,K1548=LedAcct,AND(LedAcct=acctTax,M1548+N1548&lt;&gt;0))),E1548*10000+B1548,""),"")</f>
        <v/>
      </c>
    </row>
    <row r="1549">
      <c r="B1549" s="101" t="n">
        <v>1543</v>
      </c>
      <c r="C1549" s="58" t="inlineStr">
        <is>
          <t>Transaction</t>
        </is>
      </c>
      <c r="D1549" s="58">
        <f>IF(H1549=1,INDEX(tx_ID,1543)&amp;"","")</f>
        <v/>
      </c>
      <c r="E1549" s="94">
        <f>IF(H1549=1,INDEX(tx_Date,1543),"")</f>
        <v/>
      </c>
      <c r="F1549" s="58">
        <f>IF(H1549=1,INDEX(tx_Desc,1543)&amp;"","")</f>
        <v/>
      </c>
      <c r="G1549" s="58">
        <f>IF(H1549=1,IF(INDEX(tx_Cust,1543)&amp;""&lt;&gt;"",INDEX(tx_Cust,1543)&amp;"",INDEX(tx_Vend,1543)&amp;""),"")</f>
        <v/>
      </c>
      <c r="H1549" s="101">
        <f>IFERROR(N(INDEX(tx_Posted,1543)),0)</f>
        <v/>
      </c>
      <c r="I1549" s="58">
        <f>IF(H1549=1,INDEX(tx_DrAcct,1543)&amp;"","")</f>
        <v/>
      </c>
      <c r="J1549" s="95">
        <f>IF(H1549=1,INDEX(tx_DrAmt,1543),0)</f>
        <v/>
      </c>
      <c r="K1549" s="58">
        <f>IF(H1549=1,INDEX(tx_CrAcct,1543)&amp;"","")</f>
        <v/>
      </c>
      <c r="L1549" s="95">
        <f>IF(H1549=1,INDEX(tx_CrAmt,1543),0)</f>
        <v/>
      </c>
      <c r="M1549" s="95">
        <f>IF(H1549=1,INDEX(tx_TaxDr,1543),0)</f>
        <v/>
      </c>
      <c r="N1549" s="95">
        <f>IF(H1549=1,INDEX(tx_TaxCr,1543),0)</f>
        <v/>
      </c>
      <c r="O1549" s="101">
        <f>IF(H1549=1,IF(E1549&lt;FYStart,0,IF(E1549&gt;FYEnd,13,YEAR(E1549)*12+MONTH(E1549)-FYYM+1)),"")</f>
        <v/>
      </c>
      <c r="P1549" s="101">
        <f>IF(H1549=1,IF(IFERROR(INDEX(coa_CF,MATCH(I1549,coa_Name,0)),"")="Cash",1,0),0)</f>
        <v/>
      </c>
      <c r="Q1549" s="101">
        <f>IF(H1549=1,IF(IFERROR(INDEX(coa_CF,MATCH(K1549,coa_Name,0)),"")="Cash",1,0),0)</f>
        <v/>
      </c>
      <c r="R1549" s="58">
        <f>IF((P1549-Q1549)=0,"",IFERROR(INDEX(coa_CF,MATCH(IF((P1549-Q1549)=1,K1549,I1549),coa_Name,0)),"Operating"))</f>
        <v/>
      </c>
      <c r="S1549" s="95">
        <f>IF((P1549-Q1549)=1,L1549,IF((P1549-Q1549)=-1,-J1549,0))</f>
        <v/>
      </c>
      <c r="T1549" s="95">
        <f>IF((P1549-Q1549)=1,N1549,IF((P1549-Q1549)=-1,-M1549,0))</f>
        <v/>
      </c>
      <c r="U1549" s="101">
        <f>IF(AND(H1549=1,LedAcct&lt;&gt;""),IF(AND(E1549&gt;=LedFrom,E1549&lt;=LedTo,OR(I1549=LedAcct,K1549=LedAcct,AND(LedAcct=acctTax,M1549+N1549&lt;&gt;0))),E1549*10000+B1549,""),"")</f>
        <v/>
      </c>
    </row>
    <row r="1550">
      <c r="B1550" s="101" t="n">
        <v>1544</v>
      </c>
      <c r="C1550" s="58" t="inlineStr">
        <is>
          <t>Transaction</t>
        </is>
      </c>
      <c r="D1550" s="58">
        <f>IF(H1550=1,INDEX(tx_ID,1544)&amp;"","")</f>
        <v/>
      </c>
      <c r="E1550" s="94">
        <f>IF(H1550=1,INDEX(tx_Date,1544),"")</f>
        <v/>
      </c>
      <c r="F1550" s="58">
        <f>IF(H1550=1,INDEX(tx_Desc,1544)&amp;"","")</f>
        <v/>
      </c>
      <c r="G1550" s="58">
        <f>IF(H1550=1,IF(INDEX(tx_Cust,1544)&amp;""&lt;&gt;"",INDEX(tx_Cust,1544)&amp;"",INDEX(tx_Vend,1544)&amp;""),"")</f>
        <v/>
      </c>
      <c r="H1550" s="101">
        <f>IFERROR(N(INDEX(tx_Posted,1544)),0)</f>
        <v/>
      </c>
      <c r="I1550" s="58">
        <f>IF(H1550=1,INDEX(tx_DrAcct,1544)&amp;"","")</f>
        <v/>
      </c>
      <c r="J1550" s="95">
        <f>IF(H1550=1,INDEX(tx_DrAmt,1544),0)</f>
        <v/>
      </c>
      <c r="K1550" s="58">
        <f>IF(H1550=1,INDEX(tx_CrAcct,1544)&amp;"","")</f>
        <v/>
      </c>
      <c r="L1550" s="95">
        <f>IF(H1550=1,INDEX(tx_CrAmt,1544),0)</f>
        <v/>
      </c>
      <c r="M1550" s="95">
        <f>IF(H1550=1,INDEX(tx_TaxDr,1544),0)</f>
        <v/>
      </c>
      <c r="N1550" s="95">
        <f>IF(H1550=1,INDEX(tx_TaxCr,1544),0)</f>
        <v/>
      </c>
      <c r="O1550" s="101">
        <f>IF(H1550=1,IF(E1550&lt;FYStart,0,IF(E1550&gt;FYEnd,13,YEAR(E1550)*12+MONTH(E1550)-FYYM+1)),"")</f>
        <v/>
      </c>
      <c r="P1550" s="101">
        <f>IF(H1550=1,IF(IFERROR(INDEX(coa_CF,MATCH(I1550,coa_Name,0)),"")="Cash",1,0),0)</f>
        <v/>
      </c>
      <c r="Q1550" s="101">
        <f>IF(H1550=1,IF(IFERROR(INDEX(coa_CF,MATCH(K1550,coa_Name,0)),"")="Cash",1,0),0)</f>
        <v/>
      </c>
      <c r="R1550" s="58">
        <f>IF((P1550-Q1550)=0,"",IFERROR(INDEX(coa_CF,MATCH(IF((P1550-Q1550)=1,K1550,I1550),coa_Name,0)),"Operating"))</f>
        <v/>
      </c>
      <c r="S1550" s="95">
        <f>IF((P1550-Q1550)=1,L1550,IF((P1550-Q1550)=-1,-J1550,0))</f>
        <v/>
      </c>
      <c r="T1550" s="95">
        <f>IF((P1550-Q1550)=1,N1550,IF((P1550-Q1550)=-1,-M1550,0))</f>
        <v/>
      </c>
      <c r="U1550" s="101">
        <f>IF(AND(H1550=1,LedAcct&lt;&gt;""),IF(AND(E1550&gt;=LedFrom,E1550&lt;=LedTo,OR(I1550=LedAcct,K1550=LedAcct,AND(LedAcct=acctTax,M1550+N1550&lt;&gt;0))),E1550*10000+B1550,""),"")</f>
        <v/>
      </c>
    </row>
    <row r="1551">
      <c r="B1551" s="101" t="n">
        <v>1545</v>
      </c>
      <c r="C1551" s="58" t="inlineStr">
        <is>
          <t>Transaction</t>
        </is>
      </c>
      <c r="D1551" s="58">
        <f>IF(H1551=1,INDEX(tx_ID,1545)&amp;"","")</f>
        <v/>
      </c>
      <c r="E1551" s="94">
        <f>IF(H1551=1,INDEX(tx_Date,1545),"")</f>
        <v/>
      </c>
      <c r="F1551" s="58">
        <f>IF(H1551=1,INDEX(tx_Desc,1545)&amp;"","")</f>
        <v/>
      </c>
      <c r="G1551" s="58">
        <f>IF(H1551=1,IF(INDEX(tx_Cust,1545)&amp;""&lt;&gt;"",INDEX(tx_Cust,1545)&amp;"",INDEX(tx_Vend,1545)&amp;""),"")</f>
        <v/>
      </c>
      <c r="H1551" s="101">
        <f>IFERROR(N(INDEX(tx_Posted,1545)),0)</f>
        <v/>
      </c>
      <c r="I1551" s="58">
        <f>IF(H1551=1,INDEX(tx_DrAcct,1545)&amp;"","")</f>
        <v/>
      </c>
      <c r="J1551" s="95">
        <f>IF(H1551=1,INDEX(tx_DrAmt,1545),0)</f>
        <v/>
      </c>
      <c r="K1551" s="58">
        <f>IF(H1551=1,INDEX(tx_CrAcct,1545)&amp;"","")</f>
        <v/>
      </c>
      <c r="L1551" s="95">
        <f>IF(H1551=1,INDEX(tx_CrAmt,1545),0)</f>
        <v/>
      </c>
      <c r="M1551" s="95">
        <f>IF(H1551=1,INDEX(tx_TaxDr,1545),0)</f>
        <v/>
      </c>
      <c r="N1551" s="95">
        <f>IF(H1551=1,INDEX(tx_TaxCr,1545),0)</f>
        <v/>
      </c>
      <c r="O1551" s="101">
        <f>IF(H1551=1,IF(E1551&lt;FYStart,0,IF(E1551&gt;FYEnd,13,YEAR(E1551)*12+MONTH(E1551)-FYYM+1)),"")</f>
        <v/>
      </c>
      <c r="P1551" s="101">
        <f>IF(H1551=1,IF(IFERROR(INDEX(coa_CF,MATCH(I1551,coa_Name,0)),"")="Cash",1,0),0)</f>
        <v/>
      </c>
      <c r="Q1551" s="101">
        <f>IF(H1551=1,IF(IFERROR(INDEX(coa_CF,MATCH(K1551,coa_Name,0)),"")="Cash",1,0),0)</f>
        <v/>
      </c>
      <c r="R1551" s="58">
        <f>IF((P1551-Q1551)=0,"",IFERROR(INDEX(coa_CF,MATCH(IF((P1551-Q1551)=1,K1551,I1551),coa_Name,0)),"Operating"))</f>
        <v/>
      </c>
      <c r="S1551" s="95">
        <f>IF((P1551-Q1551)=1,L1551,IF((P1551-Q1551)=-1,-J1551,0))</f>
        <v/>
      </c>
      <c r="T1551" s="95">
        <f>IF((P1551-Q1551)=1,N1551,IF((P1551-Q1551)=-1,-M1551,0))</f>
        <v/>
      </c>
      <c r="U1551" s="101">
        <f>IF(AND(H1551=1,LedAcct&lt;&gt;""),IF(AND(E1551&gt;=LedFrom,E1551&lt;=LedTo,OR(I1551=LedAcct,K1551=LedAcct,AND(LedAcct=acctTax,M1551+N1551&lt;&gt;0))),E1551*10000+B1551,""),"")</f>
        <v/>
      </c>
    </row>
    <row r="1552">
      <c r="B1552" s="101" t="n">
        <v>1546</v>
      </c>
      <c r="C1552" s="58" t="inlineStr">
        <is>
          <t>Transaction</t>
        </is>
      </c>
      <c r="D1552" s="58">
        <f>IF(H1552=1,INDEX(tx_ID,1546)&amp;"","")</f>
        <v/>
      </c>
      <c r="E1552" s="94">
        <f>IF(H1552=1,INDEX(tx_Date,1546),"")</f>
        <v/>
      </c>
      <c r="F1552" s="58">
        <f>IF(H1552=1,INDEX(tx_Desc,1546)&amp;"","")</f>
        <v/>
      </c>
      <c r="G1552" s="58">
        <f>IF(H1552=1,IF(INDEX(tx_Cust,1546)&amp;""&lt;&gt;"",INDEX(tx_Cust,1546)&amp;"",INDEX(tx_Vend,1546)&amp;""),"")</f>
        <v/>
      </c>
      <c r="H1552" s="101">
        <f>IFERROR(N(INDEX(tx_Posted,1546)),0)</f>
        <v/>
      </c>
      <c r="I1552" s="58">
        <f>IF(H1552=1,INDEX(tx_DrAcct,1546)&amp;"","")</f>
        <v/>
      </c>
      <c r="J1552" s="95">
        <f>IF(H1552=1,INDEX(tx_DrAmt,1546),0)</f>
        <v/>
      </c>
      <c r="K1552" s="58">
        <f>IF(H1552=1,INDEX(tx_CrAcct,1546)&amp;"","")</f>
        <v/>
      </c>
      <c r="L1552" s="95">
        <f>IF(H1552=1,INDEX(tx_CrAmt,1546),0)</f>
        <v/>
      </c>
      <c r="M1552" s="95">
        <f>IF(H1552=1,INDEX(tx_TaxDr,1546),0)</f>
        <v/>
      </c>
      <c r="N1552" s="95">
        <f>IF(H1552=1,INDEX(tx_TaxCr,1546),0)</f>
        <v/>
      </c>
      <c r="O1552" s="101">
        <f>IF(H1552=1,IF(E1552&lt;FYStart,0,IF(E1552&gt;FYEnd,13,YEAR(E1552)*12+MONTH(E1552)-FYYM+1)),"")</f>
        <v/>
      </c>
      <c r="P1552" s="101">
        <f>IF(H1552=1,IF(IFERROR(INDEX(coa_CF,MATCH(I1552,coa_Name,0)),"")="Cash",1,0),0)</f>
        <v/>
      </c>
      <c r="Q1552" s="101">
        <f>IF(H1552=1,IF(IFERROR(INDEX(coa_CF,MATCH(K1552,coa_Name,0)),"")="Cash",1,0),0)</f>
        <v/>
      </c>
      <c r="R1552" s="58">
        <f>IF((P1552-Q1552)=0,"",IFERROR(INDEX(coa_CF,MATCH(IF((P1552-Q1552)=1,K1552,I1552),coa_Name,0)),"Operating"))</f>
        <v/>
      </c>
      <c r="S1552" s="95">
        <f>IF((P1552-Q1552)=1,L1552,IF((P1552-Q1552)=-1,-J1552,0))</f>
        <v/>
      </c>
      <c r="T1552" s="95">
        <f>IF((P1552-Q1552)=1,N1552,IF((P1552-Q1552)=-1,-M1552,0))</f>
        <v/>
      </c>
      <c r="U1552" s="101">
        <f>IF(AND(H1552=1,LedAcct&lt;&gt;""),IF(AND(E1552&gt;=LedFrom,E1552&lt;=LedTo,OR(I1552=LedAcct,K1552=LedAcct,AND(LedAcct=acctTax,M1552+N1552&lt;&gt;0))),E1552*10000+B1552,""),"")</f>
        <v/>
      </c>
    </row>
    <row r="1553">
      <c r="B1553" s="101" t="n">
        <v>1547</v>
      </c>
      <c r="C1553" s="58" t="inlineStr">
        <is>
          <t>Transaction</t>
        </is>
      </c>
      <c r="D1553" s="58">
        <f>IF(H1553=1,INDEX(tx_ID,1547)&amp;"","")</f>
        <v/>
      </c>
      <c r="E1553" s="94">
        <f>IF(H1553=1,INDEX(tx_Date,1547),"")</f>
        <v/>
      </c>
      <c r="F1553" s="58">
        <f>IF(H1553=1,INDEX(tx_Desc,1547)&amp;"","")</f>
        <v/>
      </c>
      <c r="G1553" s="58">
        <f>IF(H1553=1,IF(INDEX(tx_Cust,1547)&amp;""&lt;&gt;"",INDEX(tx_Cust,1547)&amp;"",INDEX(tx_Vend,1547)&amp;""),"")</f>
        <v/>
      </c>
      <c r="H1553" s="101">
        <f>IFERROR(N(INDEX(tx_Posted,1547)),0)</f>
        <v/>
      </c>
      <c r="I1553" s="58">
        <f>IF(H1553=1,INDEX(tx_DrAcct,1547)&amp;"","")</f>
        <v/>
      </c>
      <c r="J1553" s="95">
        <f>IF(H1553=1,INDEX(tx_DrAmt,1547),0)</f>
        <v/>
      </c>
      <c r="K1553" s="58">
        <f>IF(H1553=1,INDEX(tx_CrAcct,1547)&amp;"","")</f>
        <v/>
      </c>
      <c r="L1553" s="95">
        <f>IF(H1553=1,INDEX(tx_CrAmt,1547),0)</f>
        <v/>
      </c>
      <c r="M1553" s="95">
        <f>IF(H1553=1,INDEX(tx_TaxDr,1547),0)</f>
        <v/>
      </c>
      <c r="N1553" s="95">
        <f>IF(H1553=1,INDEX(tx_TaxCr,1547),0)</f>
        <v/>
      </c>
      <c r="O1553" s="101">
        <f>IF(H1553=1,IF(E1553&lt;FYStart,0,IF(E1553&gt;FYEnd,13,YEAR(E1553)*12+MONTH(E1553)-FYYM+1)),"")</f>
        <v/>
      </c>
      <c r="P1553" s="101">
        <f>IF(H1553=1,IF(IFERROR(INDEX(coa_CF,MATCH(I1553,coa_Name,0)),"")="Cash",1,0),0)</f>
        <v/>
      </c>
      <c r="Q1553" s="101">
        <f>IF(H1553=1,IF(IFERROR(INDEX(coa_CF,MATCH(K1553,coa_Name,0)),"")="Cash",1,0),0)</f>
        <v/>
      </c>
      <c r="R1553" s="58">
        <f>IF((P1553-Q1553)=0,"",IFERROR(INDEX(coa_CF,MATCH(IF((P1553-Q1553)=1,K1553,I1553),coa_Name,0)),"Operating"))</f>
        <v/>
      </c>
      <c r="S1553" s="95">
        <f>IF((P1553-Q1553)=1,L1553,IF((P1553-Q1553)=-1,-J1553,0))</f>
        <v/>
      </c>
      <c r="T1553" s="95">
        <f>IF((P1553-Q1553)=1,N1553,IF((P1553-Q1553)=-1,-M1553,0))</f>
        <v/>
      </c>
      <c r="U1553" s="101">
        <f>IF(AND(H1553=1,LedAcct&lt;&gt;""),IF(AND(E1553&gt;=LedFrom,E1553&lt;=LedTo,OR(I1553=LedAcct,K1553=LedAcct,AND(LedAcct=acctTax,M1553+N1553&lt;&gt;0))),E1553*10000+B1553,""),"")</f>
        <v/>
      </c>
    </row>
    <row r="1554">
      <c r="B1554" s="101" t="n">
        <v>1548</v>
      </c>
      <c r="C1554" s="58" t="inlineStr">
        <is>
          <t>Transaction</t>
        </is>
      </c>
      <c r="D1554" s="58">
        <f>IF(H1554=1,INDEX(tx_ID,1548)&amp;"","")</f>
        <v/>
      </c>
      <c r="E1554" s="94">
        <f>IF(H1554=1,INDEX(tx_Date,1548),"")</f>
        <v/>
      </c>
      <c r="F1554" s="58">
        <f>IF(H1554=1,INDEX(tx_Desc,1548)&amp;"","")</f>
        <v/>
      </c>
      <c r="G1554" s="58">
        <f>IF(H1554=1,IF(INDEX(tx_Cust,1548)&amp;""&lt;&gt;"",INDEX(tx_Cust,1548)&amp;"",INDEX(tx_Vend,1548)&amp;""),"")</f>
        <v/>
      </c>
      <c r="H1554" s="101">
        <f>IFERROR(N(INDEX(tx_Posted,1548)),0)</f>
        <v/>
      </c>
      <c r="I1554" s="58">
        <f>IF(H1554=1,INDEX(tx_DrAcct,1548)&amp;"","")</f>
        <v/>
      </c>
      <c r="J1554" s="95">
        <f>IF(H1554=1,INDEX(tx_DrAmt,1548),0)</f>
        <v/>
      </c>
      <c r="K1554" s="58">
        <f>IF(H1554=1,INDEX(tx_CrAcct,1548)&amp;"","")</f>
        <v/>
      </c>
      <c r="L1554" s="95">
        <f>IF(H1554=1,INDEX(tx_CrAmt,1548),0)</f>
        <v/>
      </c>
      <c r="M1554" s="95">
        <f>IF(H1554=1,INDEX(tx_TaxDr,1548),0)</f>
        <v/>
      </c>
      <c r="N1554" s="95">
        <f>IF(H1554=1,INDEX(tx_TaxCr,1548),0)</f>
        <v/>
      </c>
      <c r="O1554" s="101">
        <f>IF(H1554=1,IF(E1554&lt;FYStart,0,IF(E1554&gt;FYEnd,13,YEAR(E1554)*12+MONTH(E1554)-FYYM+1)),"")</f>
        <v/>
      </c>
      <c r="P1554" s="101">
        <f>IF(H1554=1,IF(IFERROR(INDEX(coa_CF,MATCH(I1554,coa_Name,0)),"")="Cash",1,0),0)</f>
        <v/>
      </c>
      <c r="Q1554" s="101">
        <f>IF(H1554=1,IF(IFERROR(INDEX(coa_CF,MATCH(K1554,coa_Name,0)),"")="Cash",1,0),0)</f>
        <v/>
      </c>
      <c r="R1554" s="58">
        <f>IF((P1554-Q1554)=0,"",IFERROR(INDEX(coa_CF,MATCH(IF((P1554-Q1554)=1,K1554,I1554),coa_Name,0)),"Operating"))</f>
        <v/>
      </c>
      <c r="S1554" s="95">
        <f>IF((P1554-Q1554)=1,L1554,IF((P1554-Q1554)=-1,-J1554,0))</f>
        <v/>
      </c>
      <c r="T1554" s="95">
        <f>IF((P1554-Q1554)=1,N1554,IF((P1554-Q1554)=-1,-M1554,0))</f>
        <v/>
      </c>
      <c r="U1554" s="101">
        <f>IF(AND(H1554=1,LedAcct&lt;&gt;""),IF(AND(E1554&gt;=LedFrom,E1554&lt;=LedTo,OR(I1554=LedAcct,K1554=LedAcct,AND(LedAcct=acctTax,M1554+N1554&lt;&gt;0))),E1554*10000+B1554,""),"")</f>
        <v/>
      </c>
    </row>
    <row r="1555">
      <c r="B1555" s="101" t="n">
        <v>1549</v>
      </c>
      <c r="C1555" s="58" t="inlineStr">
        <is>
          <t>Transaction</t>
        </is>
      </c>
      <c r="D1555" s="58">
        <f>IF(H1555=1,INDEX(tx_ID,1549)&amp;"","")</f>
        <v/>
      </c>
      <c r="E1555" s="94">
        <f>IF(H1555=1,INDEX(tx_Date,1549),"")</f>
        <v/>
      </c>
      <c r="F1555" s="58">
        <f>IF(H1555=1,INDEX(tx_Desc,1549)&amp;"","")</f>
        <v/>
      </c>
      <c r="G1555" s="58">
        <f>IF(H1555=1,IF(INDEX(tx_Cust,1549)&amp;""&lt;&gt;"",INDEX(tx_Cust,1549)&amp;"",INDEX(tx_Vend,1549)&amp;""),"")</f>
        <v/>
      </c>
      <c r="H1555" s="101">
        <f>IFERROR(N(INDEX(tx_Posted,1549)),0)</f>
        <v/>
      </c>
      <c r="I1555" s="58">
        <f>IF(H1555=1,INDEX(tx_DrAcct,1549)&amp;"","")</f>
        <v/>
      </c>
      <c r="J1555" s="95">
        <f>IF(H1555=1,INDEX(tx_DrAmt,1549),0)</f>
        <v/>
      </c>
      <c r="K1555" s="58">
        <f>IF(H1555=1,INDEX(tx_CrAcct,1549)&amp;"","")</f>
        <v/>
      </c>
      <c r="L1555" s="95">
        <f>IF(H1555=1,INDEX(tx_CrAmt,1549),0)</f>
        <v/>
      </c>
      <c r="M1555" s="95">
        <f>IF(H1555=1,INDEX(tx_TaxDr,1549),0)</f>
        <v/>
      </c>
      <c r="N1555" s="95">
        <f>IF(H1555=1,INDEX(tx_TaxCr,1549),0)</f>
        <v/>
      </c>
      <c r="O1555" s="101">
        <f>IF(H1555=1,IF(E1555&lt;FYStart,0,IF(E1555&gt;FYEnd,13,YEAR(E1555)*12+MONTH(E1555)-FYYM+1)),"")</f>
        <v/>
      </c>
      <c r="P1555" s="101">
        <f>IF(H1555=1,IF(IFERROR(INDEX(coa_CF,MATCH(I1555,coa_Name,0)),"")="Cash",1,0),0)</f>
        <v/>
      </c>
      <c r="Q1555" s="101">
        <f>IF(H1555=1,IF(IFERROR(INDEX(coa_CF,MATCH(K1555,coa_Name,0)),"")="Cash",1,0),0)</f>
        <v/>
      </c>
      <c r="R1555" s="58">
        <f>IF((P1555-Q1555)=0,"",IFERROR(INDEX(coa_CF,MATCH(IF((P1555-Q1555)=1,K1555,I1555),coa_Name,0)),"Operating"))</f>
        <v/>
      </c>
      <c r="S1555" s="95">
        <f>IF((P1555-Q1555)=1,L1555,IF((P1555-Q1555)=-1,-J1555,0))</f>
        <v/>
      </c>
      <c r="T1555" s="95">
        <f>IF((P1555-Q1555)=1,N1555,IF((P1555-Q1555)=-1,-M1555,0))</f>
        <v/>
      </c>
      <c r="U1555" s="101">
        <f>IF(AND(H1555=1,LedAcct&lt;&gt;""),IF(AND(E1555&gt;=LedFrom,E1555&lt;=LedTo,OR(I1555=LedAcct,K1555=LedAcct,AND(LedAcct=acctTax,M1555+N1555&lt;&gt;0))),E1555*10000+B1555,""),"")</f>
        <v/>
      </c>
    </row>
    <row r="1556">
      <c r="B1556" s="101" t="n">
        <v>1550</v>
      </c>
      <c r="C1556" s="58" t="inlineStr">
        <is>
          <t>Transaction</t>
        </is>
      </c>
      <c r="D1556" s="58">
        <f>IF(H1556=1,INDEX(tx_ID,1550)&amp;"","")</f>
        <v/>
      </c>
      <c r="E1556" s="94">
        <f>IF(H1556=1,INDEX(tx_Date,1550),"")</f>
        <v/>
      </c>
      <c r="F1556" s="58">
        <f>IF(H1556=1,INDEX(tx_Desc,1550)&amp;"","")</f>
        <v/>
      </c>
      <c r="G1556" s="58">
        <f>IF(H1556=1,IF(INDEX(tx_Cust,1550)&amp;""&lt;&gt;"",INDEX(tx_Cust,1550)&amp;"",INDEX(tx_Vend,1550)&amp;""),"")</f>
        <v/>
      </c>
      <c r="H1556" s="101">
        <f>IFERROR(N(INDEX(tx_Posted,1550)),0)</f>
        <v/>
      </c>
      <c r="I1556" s="58">
        <f>IF(H1556=1,INDEX(tx_DrAcct,1550)&amp;"","")</f>
        <v/>
      </c>
      <c r="J1556" s="95">
        <f>IF(H1556=1,INDEX(tx_DrAmt,1550),0)</f>
        <v/>
      </c>
      <c r="K1556" s="58">
        <f>IF(H1556=1,INDEX(tx_CrAcct,1550)&amp;"","")</f>
        <v/>
      </c>
      <c r="L1556" s="95">
        <f>IF(H1556=1,INDEX(tx_CrAmt,1550),0)</f>
        <v/>
      </c>
      <c r="M1556" s="95">
        <f>IF(H1556=1,INDEX(tx_TaxDr,1550),0)</f>
        <v/>
      </c>
      <c r="N1556" s="95">
        <f>IF(H1556=1,INDEX(tx_TaxCr,1550),0)</f>
        <v/>
      </c>
      <c r="O1556" s="101">
        <f>IF(H1556=1,IF(E1556&lt;FYStart,0,IF(E1556&gt;FYEnd,13,YEAR(E1556)*12+MONTH(E1556)-FYYM+1)),"")</f>
        <v/>
      </c>
      <c r="P1556" s="101">
        <f>IF(H1556=1,IF(IFERROR(INDEX(coa_CF,MATCH(I1556,coa_Name,0)),"")="Cash",1,0),0)</f>
        <v/>
      </c>
      <c r="Q1556" s="101">
        <f>IF(H1556=1,IF(IFERROR(INDEX(coa_CF,MATCH(K1556,coa_Name,0)),"")="Cash",1,0),0)</f>
        <v/>
      </c>
      <c r="R1556" s="58">
        <f>IF((P1556-Q1556)=0,"",IFERROR(INDEX(coa_CF,MATCH(IF((P1556-Q1556)=1,K1556,I1556),coa_Name,0)),"Operating"))</f>
        <v/>
      </c>
      <c r="S1556" s="95">
        <f>IF((P1556-Q1556)=1,L1556,IF((P1556-Q1556)=-1,-J1556,0))</f>
        <v/>
      </c>
      <c r="T1556" s="95">
        <f>IF((P1556-Q1556)=1,N1556,IF((P1556-Q1556)=-1,-M1556,0))</f>
        <v/>
      </c>
      <c r="U1556" s="101">
        <f>IF(AND(H1556=1,LedAcct&lt;&gt;""),IF(AND(E1556&gt;=LedFrom,E1556&lt;=LedTo,OR(I1556=LedAcct,K1556=LedAcct,AND(LedAcct=acctTax,M1556+N1556&lt;&gt;0))),E1556*10000+B1556,""),"")</f>
        <v/>
      </c>
    </row>
    <row r="1557">
      <c r="B1557" s="101" t="n">
        <v>1551</v>
      </c>
      <c r="C1557" s="58" t="inlineStr">
        <is>
          <t>Transaction</t>
        </is>
      </c>
      <c r="D1557" s="58">
        <f>IF(H1557=1,INDEX(tx_ID,1551)&amp;"","")</f>
        <v/>
      </c>
      <c r="E1557" s="94">
        <f>IF(H1557=1,INDEX(tx_Date,1551),"")</f>
        <v/>
      </c>
      <c r="F1557" s="58">
        <f>IF(H1557=1,INDEX(tx_Desc,1551)&amp;"","")</f>
        <v/>
      </c>
      <c r="G1557" s="58">
        <f>IF(H1557=1,IF(INDEX(tx_Cust,1551)&amp;""&lt;&gt;"",INDEX(tx_Cust,1551)&amp;"",INDEX(tx_Vend,1551)&amp;""),"")</f>
        <v/>
      </c>
      <c r="H1557" s="101">
        <f>IFERROR(N(INDEX(tx_Posted,1551)),0)</f>
        <v/>
      </c>
      <c r="I1557" s="58">
        <f>IF(H1557=1,INDEX(tx_DrAcct,1551)&amp;"","")</f>
        <v/>
      </c>
      <c r="J1557" s="95">
        <f>IF(H1557=1,INDEX(tx_DrAmt,1551),0)</f>
        <v/>
      </c>
      <c r="K1557" s="58">
        <f>IF(H1557=1,INDEX(tx_CrAcct,1551)&amp;"","")</f>
        <v/>
      </c>
      <c r="L1557" s="95">
        <f>IF(H1557=1,INDEX(tx_CrAmt,1551),0)</f>
        <v/>
      </c>
      <c r="M1557" s="95">
        <f>IF(H1557=1,INDEX(tx_TaxDr,1551),0)</f>
        <v/>
      </c>
      <c r="N1557" s="95">
        <f>IF(H1557=1,INDEX(tx_TaxCr,1551),0)</f>
        <v/>
      </c>
      <c r="O1557" s="101">
        <f>IF(H1557=1,IF(E1557&lt;FYStart,0,IF(E1557&gt;FYEnd,13,YEAR(E1557)*12+MONTH(E1557)-FYYM+1)),"")</f>
        <v/>
      </c>
      <c r="P1557" s="101">
        <f>IF(H1557=1,IF(IFERROR(INDEX(coa_CF,MATCH(I1557,coa_Name,0)),"")="Cash",1,0),0)</f>
        <v/>
      </c>
      <c r="Q1557" s="101">
        <f>IF(H1557=1,IF(IFERROR(INDEX(coa_CF,MATCH(K1557,coa_Name,0)),"")="Cash",1,0),0)</f>
        <v/>
      </c>
      <c r="R1557" s="58">
        <f>IF((P1557-Q1557)=0,"",IFERROR(INDEX(coa_CF,MATCH(IF((P1557-Q1557)=1,K1557,I1557),coa_Name,0)),"Operating"))</f>
        <v/>
      </c>
      <c r="S1557" s="95">
        <f>IF((P1557-Q1557)=1,L1557,IF((P1557-Q1557)=-1,-J1557,0))</f>
        <v/>
      </c>
      <c r="T1557" s="95">
        <f>IF((P1557-Q1557)=1,N1557,IF((P1557-Q1557)=-1,-M1557,0))</f>
        <v/>
      </c>
      <c r="U1557" s="101">
        <f>IF(AND(H1557=1,LedAcct&lt;&gt;""),IF(AND(E1557&gt;=LedFrom,E1557&lt;=LedTo,OR(I1557=LedAcct,K1557=LedAcct,AND(LedAcct=acctTax,M1557+N1557&lt;&gt;0))),E1557*10000+B1557,""),"")</f>
        <v/>
      </c>
    </row>
    <row r="1558">
      <c r="B1558" s="101" t="n">
        <v>1552</v>
      </c>
      <c r="C1558" s="58" t="inlineStr">
        <is>
          <t>Transaction</t>
        </is>
      </c>
      <c r="D1558" s="58">
        <f>IF(H1558=1,INDEX(tx_ID,1552)&amp;"","")</f>
        <v/>
      </c>
      <c r="E1558" s="94">
        <f>IF(H1558=1,INDEX(tx_Date,1552),"")</f>
        <v/>
      </c>
      <c r="F1558" s="58">
        <f>IF(H1558=1,INDEX(tx_Desc,1552)&amp;"","")</f>
        <v/>
      </c>
      <c r="G1558" s="58">
        <f>IF(H1558=1,IF(INDEX(tx_Cust,1552)&amp;""&lt;&gt;"",INDEX(tx_Cust,1552)&amp;"",INDEX(tx_Vend,1552)&amp;""),"")</f>
        <v/>
      </c>
      <c r="H1558" s="101">
        <f>IFERROR(N(INDEX(tx_Posted,1552)),0)</f>
        <v/>
      </c>
      <c r="I1558" s="58">
        <f>IF(H1558=1,INDEX(tx_DrAcct,1552)&amp;"","")</f>
        <v/>
      </c>
      <c r="J1558" s="95">
        <f>IF(H1558=1,INDEX(tx_DrAmt,1552),0)</f>
        <v/>
      </c>
      <c r="K1558" s="58">
        <f>IF(H1558=1,INDEX(tx_CrAcct,1552)&amp;"","")</f>
        <v/>
      </c>
      <c r="L1558" s="95">
        <f>IF(H1558=1,INDEX(tx_CrAmt,1552),0)</f>
        <v/>
      </c>
      <c r="M1558" s="95">
        <f>IF(H1558=1,INDEX(tx_TaxDr,1552),0)</f>
        <v/>
      </c>
      <c r="N1558" s="95">
        <f>IF(H1558=1,INDEX(tx_TaxCr,1552),0)</f>
        <v/>
      </c>
      <c r="O1558" s="101">
        <f>IF(H1558=1,IF(E1558&lt;FYStart,0,IF(E1558&gt;FYEnd,13,YEAR(E1558)*12+MONTH(E1558)-FYYM+1)),"")</f>
        <v/>
      </c>
      <c r="P1558" s="101">
        <f>IF(H1558=1,IF(IFERROR(INDEX(coa_CF,MATCH(I1558,coa_Name,0)),"")="Cash",1,0),0)</f>
        <v/>
      </c>
      <c r="Q1558" s="101">
        <f>IF(H1558=1,IF(IFERROR(INDEX(coa_CF,MATCH(K1558,coa_Name,0)),"")="Cash",1,0),0)</f>
        <v/>
      </c>
      <c r="R1558" s="58">
        <f>IF((P1558-Q1558)=0,"",IFERROR(INDEX(coa_CF,MATCH(IF((P1558-Q1558)=1,K1558,I1558),coa_Name,0)),"Operating"))</f>
        <v/>
      </c>
      <c r="S1558" s="95">
        <f>IF((P1558-Q1558)=1,L1558,IF((P1558-Q1558)=-1,-J1558,0))</f>
        <v/>
      </c>
      <c r="T1558" s="95">
        <f>IF((P1558-Q1558)=1,N1558,IF((P1558-Q1558)=-1,-M1558,0))</f>
        <v/>
      </c>
      <c r="U1558" s="101">
        <f>IF(AND(H1558=1,LedAcct&lt;&gt;""),IF(AND(E1558&gt;=LedFrom,E1558&lt;=LedTo,OR(I1558=LedAcct,K1558=LedAcct,AND(LedAcct=acctTax,M1558+N1558&lt;&gt;0))),E1558*10000+B1558,""),"")</f>
        <v/>
      </c>
    </row>
    <row r="1559">
      <c r="B1559" s="101" t="n">
        <v>1553</v>
      </c>
      <c r="C1559" s="58" t="inlineStr">
        <is>
          <t>Transaction</t>
        </is>
      </c>
      <c r="D1559" s="58">
        <f>IF(H1559=1,INDEX(tx_ID,1553)&amp;"","")</f>
        <v/>
      </c>
      <c r="E1559" s="94">
        <f>IF(H1559=1,INDEX(tx_Date,1553),"")</f>
        <v/>
      </c>
      <c r="F1559" s="58">
        <f>IF(H1559=1,INDEX(tx_Desc,1553)&amp;"","")</f>
        <v/>
      </c>
      <c r="G1559" s="58">
        <f>IF(H1559=1,IF(INDEX(tx_Cust,1553)&amp;""&lt;&gt;"",INDEX(tx_Cust,1553)&amp;"",INDEX(tx_Vend,1553)&amp;""),"")</f>
        <v/>
      </c>
      <c r="H1559" s="101">
        <f>IFERROR(N(INDEX(tx_Posted,1553)),0)</f>
        <v/>
      </c>
      <c r="I1559" s="58">
        <f>IF(H1559=1,INDEX(tx_DrAcct,1553)&amp;"","")</f>
        <v/>
      </c>
      <c r="J1559" s="95">
        <f>IF(H1559=1,INDEX(tx_DrAmt,1553),0)</f>
        <v/>
      </c>
      <c r="K1559" s="58">
        <f>IF(H1559=1,INDEX(tx_CrAcct,1553)&amp;"","")</f>
        <v/>
      </c>
      <c r="L1559" s="95">
        <f>IF(H1559=1,INDEX(tx_CrAmt,1553),0)</f>
        <v/>
      </c>
      <c r="M1559" s="95">
        <f>IF(H1559=1,INDEX(tx_TaxDr,1553),0)</f>
        <v/>
      </c>
      <c r="N1559" s="95">
        <f>IF(H1559=1,INDEX(tx_TaxCr,1553),0)</f>
        <v/>
      </c>
      <c r="O1559" s="101">
        <f>IF(H1559=1,IF(E1559&lt;FYStart,0,IF(E1559&gt;FYEnd,13,YEAR(E1559)*12+MONTH(E1559)-FYYM+1)),"")</f>
        <v/>
      </c>
      <c r="P1559" s="101">
        <f>IF(H1559=1,IF(IFERROR(INDEX(coa_CF,MATCH(I1559,coa_Name,0)),"")="Cash",1,0),0)</f>
        <v/>
      </c>
      <c r="Q1559" s="101">
        <f>IF(H1559=1,IF(IFERROR(INDEX(coa_CF,MATCH(K1559,coa_Name,0)),"")="Cash",1,0),0)</f>
        <v/>
      </c>
      <c r="R1559" s="58">
        <f>IF((P1559-Q1559)=0,"",IFERROR(INDEX(coa_CF,MATCH(IF((P1559-Q1559)=1,K1559,I1559),coa_Name,0)),"Operating"))</f>
        <v/>
      </c>
      <c r="S1559" s="95">
        <f>IF((P1559-Q1559)=1,L1559,IF((P1559-Q1559)=-1,-J1559,0))</f>
        <v/>
      </c>
      <c r="T1559" s="95">
        <f>IF((P1559-Q1559)=1,N1559,IF((P1559-Q1559)=-1,-M1559,0))</f>
        <v/>
      </c>
      <c r="U1559" s="101">
        <f>IF(AND(H1559=1,LedAcct&lt;&gt;""),IF(AND(E1559&gt;=LedFrom,E1559&lt;=LedTo,OR(I1559=LedAcct,K1559=LedAcct,AND(LedAcct=acctTax,M1559+N1559&lt;&gt;0))),E1559*10000+B1559,""),"")</f>
        <v/>
      </c>
    </row>
    <row r="1560">
      <c r="B1560" s="101" t="n">
        <v>1554</v>
      </c>
      <c r="C1560" s="58" t="inlineStr">
        <is>
          <t>Transaction</t>
        </is>
      </c>
      <c r="D1560" s="58">
        <f>IF(H1560=1,INDEX(tx_ID,1554)&amp;"","")</f>
        <v/>
      </c>
      <c r="E1560" s="94">
        <f>IF(H1560=1,INDEX(tx_Date,1554),"")</f>
        <v/>
      </c>
      <c r="F1560" s="58">
        <f>IF(H1560=1,INDEX(tx_Desc,1554)&amp;"","")</f>
        <v/>
      </c>
      <c r="G1560" s="58">
        <f>IF(H1560=1,IF(INDEX(tx_Cust,1554)&amp;""&lt;&gt;"",INDEX(tx_Cust,1554)&amp;"",INDEX(tx_Vend,1554)&amp;""),"")</f>
        <v/>
      </c>
      <c r="H1560" s="101">
        <f>IFERROR(N(INDEX(tx_Posted,1554)),0)</f>
        <v/>
      </c>
      <c r="I1560" s="58">
        <f>IF(H1560=1,INDEX(tx_DrAcct,1554)&amp;"","")</f>
        <v/>
      </c>
      <c r="J1560" s="95">
        <f>IF(H1560=1,INDEX(tx_DrAmt,1554),0)</f>
        <v/>
      </c>
      <c r="K1560" s="58">
        <f>IF(H1560=1,INDEX(tx_CrAcct,1554)&amp;"","")</f>
        <v/>
      </c>
      <c r="L1560" s="95">
        <f>IF(H1560=1,INDEX(tx_CrAmt,1554),0)</f>
        <v/>
      </c>
      <c r="M1560" s="95">
        <f>IF(H1560=1,INDEX(tx_TaxDr,1554),0)</f>
        <v/>
      </c>
      <c r="N1560" s="95">
        <f>IF(H1560=1,INDEX(tx_TaxCr,1554),0)</f>
        <v/>
      </c>
      <c r="O1560" s="101">
        <f>IF(H1560=1,IF(E1560&lt;FYStart,0,IF(E1560&gt;FYEnd,13,YEAR(E1560)*12+MONTH(E1560)-FYYM+1)),"")</f>
        <v/>
      </c>
      <c r="P1560" s="101">
        <f>IF(H1560=1,IF(IFERROR(INDEX(coa_CF,MATCH(I1560,coa_Name,0)),"")="Cash",1,0),0)</f>
        <v/>
      </c>
      <c r="Q1560" s="101">
        <f>IF(H1560=1,IF(IFERROR(INDEX(coa_CF,MATCH(K1560,coa_Name,0)),"")="Cash",1,0),0)</f>
        <v/>
      </c>
      <c r="R1560" s="58">
        <f>IF((P1560-Q1560)=0,"",IFERROR(INDEX(coa_CF,MATCH(IF((P1560-Q1560)=1,K1560,I1560),coa_Name,0)),"Operating"))</f>
        <v/>
      </c>
      <c r="S1560" s="95">
        <f>IF((P1560-Q1560)=1,L1560,IF((P1560-Q1560)=-1,-J1560,0))</f>
        <v/>
      </c>
      <c r="T1560" s="95">
        <f>IF((P1560-Q1560)=1,N1560,IF((P1560-Q1560)=-1,-M1560,0))</f>
        <v/>
      </c>
      <c r="U1560" s="101">
        <f>IF(AND(H1560=1,LedAcct&lt;&gt;""),IF(AND(E1560&gt;=LedFrom,E1560&lt;=LedTo,OR(I1560=LedAcct,K1560=LedAcct,AND(LedAcct=acctTax,M1560+N1560&lt;&gt;0))),E1560*10000+B1560,""),"")</f>
        <v/>
      </c>
    </row>
    <row r="1561">
      <c r="B1561" s="101" t="n">
        <v>1555</v>
      </c>
      <c r="C1561" s="58" t="inlineStr">
        <is>
          <t>Transaction</t>
        </is>
      </c>
      <c r="D1561" s="58">
        <f>IF(H1561=1,INDEX(tx_ID,1555)&amp;"","")</f>
        <v/>
      </c>
      <c r="E1561" s="94">
        <f>IF(H1561=1,INDEX(tx_Date,1555),"")</f>
        <v/>
      </c>
      <c r="F1561" s="58">
        <f>IF(H1561=1,INDEX(tx_Desc,1555)&amp;"","")</f>
        <v/>
      </c>
      <c r="G1561" s="58">
        <f>IF(H1561=1,IF(INDEX(tx_Cust,1555)&amp;""&lt;&gt;"",INDEX(tx_Cust,1555)&amp;"",INDEX(tx_Vend,1555)&amp;""),"")</f>
        <v/>
      </c>
      <c r="H1561" s="101">
        <f>IFERROR(N(INDEX(tx_Posted,1555)),0)</f>
        <v/>
      </c>
      <c r="I1561" s="58">
        <f>IF(H1561=1,INDEX(tx_DrAcct,1555)&amp;"","")</f>
        <v/>
      </c>
      <c r="J1561" s="95">
        <f>IF(H1561=1,INDEX(tx_DrAmt,1555),0)</f>
        <v/>
      </c>
      <c r="K1561" s="58">
        <f>IF(H1561=1,INDEX(tx_CrAcct,1555)&amp;"","")</f>
        <v/>
      </c>
      <c r="L1561" s="95">
        <f>IF(H1561=1,INDEX(tx_CrAmt,1555),0)</f>
        <v/>
      </c>
      <c r="M1561" s="95">
        <f>IF(H1561=1,INDEX(tx_TaxDr,1555),0)</f>
        <v/>
      </c>
      <c r="N1561" s="95">
        <f>IF(H1561=1,INDEX(tx_TaxCr,1555),0)</f>
        <v/>
      </c>
      <c r="O1561" s="101">
        <f>IF(H1561=1,IF(E1561&lt;FYStart,0,IF(E1561&gt;FYEnd,13,YEAR(E1561)*12+MONTH(E1561)-FYYM+1)),"")</f>
        <v/>
      </c>
      <c r="P1561" s="101">
        <f>IF(H1561=1,IF(IFERROR(INDEX(coa_CF,MATCH(I1561,coa_Name,0)),"")="Cash",1,0),0)</f>
        <v/>
      </c>
      <c r="Q1561" s="101">
        <f>IF(H1561=1,IF(IFERROR(INDEX(coa_CF,MATCH(K1561,coa_Name,0)),"")="Cash",1,0),0)</f>
        <v/>
      </c>
      <c r="R1561" s="58">
        <f>IF((P1561-Q1561)=0,"",IFERROR(INDEX(coa_CF,MATCH(IF((P1561-Q1561)=1,K1561,I1561),coa_Name,0)),"Operating"))</f>
        <v/>
      </c>
      <c r="S1561" s="95">
        <f>IF((P1561-Q1561)=1,L1561,IF((P1561-Q1561)=-1,-J1561,0))</f>
        <v/>
      </c>
      <c r="T1561" s="95">
        <f>IF((P1561-Q1561)=1,N1561,IF((P1561-Q1561)=-1,-M1561,0))</f>
        <v/>
      </c>
      <c r="U1561" s="101">
        <f>IF(AND(H1561=1,LedAcct&lt;&gt;""),IF(AND(E1561&gt;=LedFrom,E1561&lt;=LedTo,OR(I1561=LedAcct,K1561=LedAcct,AND(LedAcct=acctTax,M1561+N1561&lt;&gt;0))),E1561*10000+B1561,""),"")</f>
        <v/>
      </c>
    </row>
    <row r="1562">
      <c r="B1562" s="101" t="n">
        <v>1556</v>
      </c>
      <c r="C1562" s="58" t="inlineStr">
        <is>
          <t>Transaction</t>
        </is>
      </c>
      <c r="D1562" s="58">
        <f>IF(H1562=1,INDEX(tx_ID,1556)&amp;"","")</f>
        <v/>
      </c>
      <c r="E1562" s="94">
        <f>IF(H1562=1,INDEX(tx_Date,1556),"")</f>
        <v/>
      </c>
      <c r="F1562" s="58">
        <f>IF(H1562=1,INDEX(tx_Desc,1556)&amp;"","")</f>
        <v/>
      </c>
      <c r="G1562" s="58">
        <f>IF(H1562=1,IF(INDEX(tx_Cust,1556)&amp;""&lt;&gt;"",INDEX(tx_Cust,1556)&amp;"",INDEX(tx_Vend,1556)&amp;""),"")</f>
        <v/>
      </c>
      <c r="H1562" s="101">
        <f>IFERROR(N(INDEX(tx_Posted,1556)),0)</f>
        <v/>
      </c>
      <c r="I1562" s="58">
        <f>IF(H1562=1,INDEX(tx_DrAcct,1556)&amp;"","")</f>
        <v/>
      </c>
      <c r="J1562" s="95">
        <f>IF(H1562=1,INDEX(tx_DrAmt,1556),0)</f>
        <v/>
      </c>
      <c r="K1562" s="58">
        <f>IF(H1562=1,INDEX(tx_CrAcct,1556)&amp;"","")</f>
        <v/>
      </c>
      <c r="L1562" s="95">
        <f>IF(H1562=1,INDEX(tx_CrAmt,1556),0)</f>
        <v/>
      </c>
      <c r="M1562" s="95">
        <f>IF(H1562=1,INDEX(tx_TaxDr,1556),0)</f>
        <v/>
      </c>
      <c r="N1562" s="95">
        <f>IF(H1562=1,INDEX(tx_TaxCr,1556),0)</f>
        <v/>
      </c>
      <c r="O1562" s="101">
        <f>IF(H1562=1,IF(E1562&lt;FYStart,0,IF(E1562&gt;FYEnd,13,YEAR(E1562)*12+MONTH(E1562)-FYYM+1)),"")</f>
        <v/>
      </c>
      <c r="P1562" s="101">
        <f>IF(H1562=1,IF(IFERROR(INDEX(coa_CF,MATCH(I1562,coa_Name,0)),"")="Cash",1,0),0)</f>
        <v/>
      </c>
      <c r="Q1562" s="101">
        <f>IF(H1562=1,IF(IFERROR(INDEX(coa_CF,MATCH(K1562,coa_Name,0)),"")="Cash",1,0),0)</f>
        <v/>
      </c>
      <c r="R1562" s="58">
        <f>IF((P1562-Q1562)=0,"",IFERROR(INDEX(coa_CF,MATCH(IF((P1562-Q1562)=1,K1562,I1562),coa_Name,0)),"Operating"))</f>
        <v/>
      </c>
      <c r="S1562" s="95">
        <f>IF((P1562-Q1562)=1,L1562,IF((P1562-Q1562)=-1,-J1562,0))</f>
        <v/>
      </c>
      <c r="T1562" s="95">
        <f>IF((P1562-Q1562)=1,N1562,IF((P1562-Q1562)=-1,-M1562,0))</f>
        <v/>
      </c>
      <c r="U1562" s="101">
        <f>IF(AND(H1562=1,LedAcct&lt;&gt;""),IF(AND(E1562&gt;=LedFrom,E1562&lt;=LedTo,OR(I1562=LedAcct,K1562=LedAcct,AND(LedAcct=acctTax,M1562+N1562&lt;&gt;0))),E1562*10000+B1562,""),"")</f>
        <v/>
      </c>
    </row>
    <row r="1563">
      <c r="B1563" s="101" t="n">
        <v>1557</v>
      </c>
      <c r="C1563" s="58" t="inlineStr">
        <is>
          <t>Transaction</t>
        </is>
      </c>
      <c r="D1563" s="58">
        <f>IF(H1563=1,INDEX(tx_ID,1557)&amp;"","")</f>
        <v/>
      </c>
      <c r="E1563" s="94">
        <f>IF(H1563=1,INDEX(tx_Date,1557),"")</f>
        <v/>
      </c>
      <c r="F1563" s="58">
        <f>IF(H1563=1,INDEX(tx_Desc,1557)&amp;"","")</f>
        <v/>
      </c>
      <c r="G1563" s="58">
        <f>IF(H1563=1,IF(INDEX(tx_Cust,1557)&amp;""&lt;&gt;"",INDEX(tx_Cust,1557)&amp;"",INDEX(tx_Vend,1557)&amp;""),"")</f>
        <v/>
      </c>
      <c r="H1563" s="101">
        <f>IFERROR(N(INDEX(tx_Posted,1557)),0)</f>
        <v/>
      </c>
      <c r="I1563" s="58">
        <f>IF(H1563=1,INDEX(tx_DrAcct,1557)&amp;"","")</f>
        <v/>
      </c>
      <c r="J1563" s="95">
        <f>IF(H1563=1,INDEX(tx_DrAmt,1557),0)</f>
        <v/>
      </c>
      <c r="K1563" s="58">
        <f>IF(H1563=1,INDEX(tx_CrAcct,1557)&amp;"","")</f>
        <v/>
      </c>
      <c r="L1563" s="95">
        <f>IF(H1563=1,INDEX(tx_CrAmt,1557),0)</f>
        <v/>
      </c>
      <c r="M1563" s="95">
        <f>IF(H1563=1,INDEX(tx_TaxDr,1557),0)</f>
        <v/>
      </c>
      <c r="N1563" s="95">
        <f>IF(H1563=1,INDEX(tx_TaxCr,1557),0)</f>
        <v/>
      </c>
      <c r="O1563" s="101">
        <f>IF(H1563=1,IF(E1563&lt;FYStart,0,IF(E1563&gt;FYEnd,13,YEAR(E1563)*12+MONTH(E1563)-FYYM+1)),"")</f>
        <v/>
      </c>
      <c r="P1563" s="101">
        <f>IF(H1563=1,IF(IFERROR(INDEX(coa_CF,MATCH(I1563,coa_Name,0)),"")="Cash",1,0),0)</f>
        <v/>
      </c>
      <c r="Q1563" s="101">
        <f>IF(H1563=1,IF(IFERROR(INDEX(coa_CF,MATCH(K1563,coa_Name,0)),"")="Cash",1,0),0)</f>
        <v/>
      </c>
      <c r="R1563" s="58">
        <f>IF((P1563-Q1563)=0,"",IFERROR(INDEX(coa_CF,MATCH(IF((P1563-Q1563)=1,K1563,I1563),coa_Name,0)),"Operating"))</f>
        <v/>
      </c>
      <c r="S1563" s="95">
        <f>IF((P1563-Q1563)=1,L1563,IF((P1563-Q1563)=-1,-J1563,0))</f>
        <v/>
      </c>
      <c r="T1563" s="95">
        <f>IF((P1563-Q1563)=1,N1563,IF((P1563-Q1563)=-1,-M1563,0))</f>
        <v/>
      </c>
      <c r="U1563" s="101">
        <f>IF(AND(H1563=1,LedAcct&lt;&gt;""),IF(AND(E1563&gt;=LedFrom,E1563&lt;=LedTo,OR(I1563=LedAcct,K1563=LedAcct,AND(LedAcct=acctTax,M1563+N1563&lt;&gt;0))),E1563*10000+B1563,""),"")</f>
        <v/>
      </c>
    </row>
    <row r="1564">
      <c r="B1564" s="101" t="n">
        <v>1558</v>
      </c>
      <c r="C1564" s="58" t="inlineStr">
        <is>
          <t>Transaction</t>
        </is>
      </c>
      <c r="D1564" s="58">
        <f>IF(H1564=1,INDEX(tx_ID,1558)&amp;"","")</f>
        <v/>
      </c>
      <c r="E1564" s="94">
        <f>IF(H1564=1,INDEX(tx_Date,1558),"")</f>
        <v/>
      </c>
      <c r="F1564" s="58">
        <f>IF(H1564=1,INDEX(tx_Desc,1558)&amp;"","")</f>
        <v/>
      </c>
      <c r="G1564" s="58">
        <f>IF(H1564=1,IF(INDEX(tx_Cust,1558)&amp;""&lt;&gt;"",INDEX(tx_Cust,1558)&amp;"",INDEX(tx_Vend,1558)&amp;""),"")</f>
        <v/>
      </c>
      <c r="H1564" s="101">
        <f>IFERROR(N(INDEX(tx_Posted,1558)),0)</f>
        <v/>
      </c>
      <c r="I1564" s="58">
        <f>IF(H1564=1,INDEX(tx_DrAcct,1558)&amp;"","")</f>
        <v/>
      </c>
      <c r="J1564" s="95">
        <f>IF(H1564=1,INDEX(tx_DrAmt,1558),0)</f>
        <v/>
      </c>
      <c r="K1564" s="58">
        <f>IF(H1564=1,INDEX(tx_CrAcct,1558)&amp;"","")</f>
        <v/>
      </c>
      <c r="L1564" s="95">
        <f>IF(H1564=1,INDEX(tx_CrAmt,1558),0)</f>
        <v/>
      </c>
      <c r="M1564" s="95">
        <f>IF(H1564=1,INDEX(tx_TaxDr,1558),0)</f>
        <v/>
      </c>
      <c r="N1564" s="95">
        <f>IF(H1564=1,INDEX(tx_TaxCr,1558),0)</f>
        <v/>
      </c>
      <c r="O1564" s="101">
        <f>IF(H1564=1,IF(E1564&lt;FYStart,0,IF(E1564&gt;FYEnd,13,YEAR(E1564)*12+MONTH(E1564)-FYYM+1)),"")</f>
        <v/>
      </c>
      <c r="P1564" s="101">
        <f>IF(H1564=1,IF(IFERROR(INDEX(coa_CF,MATCH(I1564,coa_Name,0)),"")="Cash",1,0),0)</f>
        <v/>
      </c>
      <c r="Q1564" s="101">
        <f>IF(H1564=1,IF(IFERROR(INDEX(coa_CF,MATCH(K1564,coa_Name,0)),"")="Cash",1,0),0)</f>
        <v/>
      </c>
      <c r="R1564" s="58">
        <f>IF((P1564-Q1564)=0,"",IFERROR(INDEX(coa_CF,MATCH(IF((P1564-Q1564)=1,K1564,I1564),coa_Name,0)),"Operating"))</f>
        <v/>
      </c>
      <c r="S1564" s="95">
        <f>IF((P1564-Q1564)=1,L1564,IF((P1564-Q1564)=-1,-J1564,0))</f>
        <v/>
      </c>
      <c r="T1564" s="95">
        <f>IF((P1564-Q1564)=1,N1564,IF((P1564-Q1564)=-1,-M1564,0))</f>
        <v/>
      </c>
      <c r="U1564" s="101">
        <f>IF(AND(H1564=1,LedAcct&lt;&gt;""),IF(AND(E1564&gt;=LedFrom,E1564&lt;=LedTo,OR(I1564=LedAcct,K1564=LedAcct,AND(LedAcct=acctTax,M1564+N1564&lt;&gt;0))),E1564*10000+B1564,""),"")</f>
        <v/>
      </c>
    </row>
    <row r="1565">
      <c r="B1565" s="101" t="n">
        <v>1559</v>
      </c>
      <c r="C1565" s="58" t="inlineStr">
        <is>
          <t>Transaction</t>
        </is>
      </c>
      <c r="D1565" s="58">
        <f>IF(H1565=1,INDEX(tx_ID,1559)&amp;"","")</f>
        <v/>
      </c>
      <c r="E1565" s="94">
        <f>IF(H1565=1,INDEX(tx_Date,1559),"")</f>
        <v/>
      </c>
      <c r="F1565" s="58">
        <f>IF(H1565=1,INDEX(tx_Desc,1559)&amp;"","")</f>
        <v/>
      </c>
      <c r="G1565" s="58">
        <f>IF(H1565=1,IF(INDEX(tx_Cust,1559)&amp;""&lt;&gt;"",INDEX(tx_Cust,1559)&amp;"",INDEX(tx_Vend,1559)&amp;""),"")</f>
        <v/>
      </c>
      <c r="H1565" s="101">
        <f>IFERROR(N(INDEX(tx_Posted,1559)),0)</f>
        <v/>
      </c>
      <c r="I1565" s="58">
        <f>IF(H1565=1,INDEX(tx_DrAcct,1559)&amp;"","")</f>
        <v/>
      </c>
      <c r="J1565" s="95">
        <f>IF(H1565=1,INDEX(tx_DrAmt,1559),0)</f>
        <v/>
      </c>
      <c r="K1565" s="58">
        <f>IF(H1565=1,INDEX(tx_CrAcct,1559)&amp;"","")</f>
        <v/>
      </c>
      <c r="L1565" s="95">
        <f>IF(H1565=1,INDEX(tx_CrAmt,1559),0)</f>
        <v/>
      </c>
      <c r="M1565" s="95">
        <f>IF(H1565=1,INDEX(tx_TaxDr,1559),0)</f>
        <v/>
      </c>
      <c r="N1565" s="95">
        <f>IF(H1565=1,INDEX(tx_TaxCr,1559),0)</f>
        <v/>
      </c>
      <c r="O1565" s="101">
        <f>IF(H1565=1,IF(E1565&lt;FYStart,0,IF(E1565&gt;FYEnd,13,YEAR(E1565)*12+MONTH(E1565)-FYYM+1)),"")</f>
        <v/>
      </c>
      <c r="P1565" s="101">
        <f>IF(H1565=1,IF(IFERROR(INDEX(coa_CF,MATCH(I1565,coa_Name,0)),"")="Cash",1,0),0)</f>
        <v/>
      </c>
      <c r="Q1565" s="101">
        <f>IF(H1565=1,IF(IFERROR(INDEX(coa_CF,MATCH(K1565,coa_Name,0)),"")="Cash",1,0),0)</f>
        <v/>
      </c>
      <c r="R1565" s="58">
        <f>IF((P1565-Q1565)=0,"",IFERROR(INDEX(coa_CF,MATCH(IF((P1565-Q1565)=1,K1565,I1565),coa_Name,0)),"Operating"))</f>
        <v/>
      </c>
      <c r="S1565" s="95">
        <f>IF((P1565-Q1565)=1,L1565,IF((P1565-Q1565)=-1,-J1565,0))</f>
        <v/>
      </c>
      <c r="T1565" s="95">
        <f>IF((P1565-Q1565)=1,N1565,IF((P1565-Q1565)=-1,-M1565,0))</f>
        <v/>
      </c>
      <c r="U1565" s="101">
        <f>IF(AND(H1565=1,LedAcct&lt;&gt;""),IF(AND(E1565&gt;=LedFrom,E1565&lt;=LedTo,OR(I1565=LedAcct,K1565=LedAcct,AND(LedAcct=acctTax,M1565+N1565&lt;&gt;0))),E1565*10000+B1565,""),"")</f>
        <v/>
      </c>
    </row>
    <row r="1566">
      <c r="B1566" s="101" t="n">
        <v>1560</v>
      </c>
      <c r="C1566" s="58" t="inlineStr">
        <is>
          <t>Transaction</t>
        </is>
      </c>
      <c r="D1566" s="58">
        <f>IF(H1566=1,INDEX(tx_ID,1560)&amp;"","")</f>
        <v/>
      </c>
      <c r="E1566" s="94">
        <f>IF(H1566=1,INDEX(tx_Date,1560),"")</f>
        <v/>
      </c>
      <c r="F1566" s="58">
        <f>IF(H1566=1,INDEX(tx_Desc,1560)&amp;"","")</f>
        <v/>
      </c>
      <c r="G1566" s="58">
        <f>IF(H1566=1,IF(INDEX(tx_Cust,1560)&amp;""&lt;&gt;"",INDEX(tx_Cust,1560)&amp;"",INDEX(tx_Vend,1560)&amp;""),"")</f>
        <v/>
      </c>
      <c r="H1566" s="101">
        <f>IFERROR(N(INDEX(tx_Posted,1560)),0)</f>
        <v/>
      </c>
      <c r="I1566" s="58">
        <f>IF(H1566=1,INDEX(tx_DrAcct,1560)&amp;"","")</f>
        <v/>
      </c>
      <c r="J1566" s="95">
        <f>IF(H1566=1,INDEX(tx_DrAmt,1560),0)</f>
        <v/>
      </c>
      <c r="K1566" s="58">
        <f>IF(H1566=1,INDEX(tx_CrAcct,1560)&amp;"","")</f>
        <v/>
      </c>
      <c r="L1566" s="95">
        <f>IF(H1566=1,INDEX(tx_CrAmt,1560),0)</f>
        <v/>
      </c>
      <c r="M1566" s="95">
        <f>IF(H1566=1,INDEX(tx_TaxDr,1560),0)</f>
        <v/>
      </c>
      <c r="N1566" s="95">
        <f>IF(H1566=1,INDEX(tx_TaxCr,1560),0)</f>
        <v/>
      </c>
      <c r="O1566" s="101">
        <f>IF(H1566=1,IF(E1566&lt;FYStart,0,IF(E1566&gt;FYEnd,13,YEAR(E1566)*12+MONTH(E1566)-FYYM+1)),"")</f>
        <v/>
      </c>
      <c r="P1566" s="101">
        <f>IF(H1566=1,IF(IFERROR(INDEX(coa_CF,MATCH(I1566,coa_Name,0)),"")="Cash",1,0),0)</f>
        <v/>
      </c>
      <c r="Q1566" s="101">
        <f>IF(H1566=1,IF(IFERROR(INDEX(coa_CF,MATCH(K1566,coa_Name,0)),"")="Cash",1,0),0)</f>
        <v/>
      </c>
      <c r="R1566" s="58">
        <f>IF((P1566-Q1566)=0,"",IFERROR(INDEX(coa_CF,MATCH(IF((P1566-Q1566)=1,K1566,I1566),coa_Name,0)),"Operating"))</f>
        <v/>
      </c>
      <c r="S1566" s="95">
        <f>IF((P1566-Q1566)=1,L1566,IF((P1566-Q1566)=-1,-J1566,0))</f>
        <v/>
      </c>
      <c r="T1566" s="95">
        <f>IF((P1566-Q1566)=1,N1566,IF((P1566-Q1566)=-1,-M1566,0))</f>
        <v/>
      </c>
      <c r="U1566" s="101">
        <f>IF(AND(H1566=1,LedAcct&lt;&gt;""),IF(AND(E1566&gt;=LedFrom,E1566&lt;=LedTo,OR(I1566=LedAcct,K1566=LedAcct,AND(LedAcct=acctTax,M1566+N1566&lt;&gt;0))),E1566*10000+B1566,""),"")</f>
        <v/>
      </c>
    </row>
    <row r="1567">
      <c r="B1567" s="101" t="n">
        <v>1561</v>
      </c>
      <c r="C1567" s="58" t="inlineStr">
        <is>
          <t>Transaction</t>
        </is>
      </c>
      <c r="D1567" s="58">
        <f>IF(H1567=1,INDEX(tx_ID,1561)&amp;"","")</f>
        <v/>
      </c>
      <c r="E1567" s="94">
        <f>IF(H1567=1,INDEX(tx_Date,1561),"")</f>
        <v/>
      </c>
      <c r="F1567" s="58">
        <f>IF(H1567=1,INDEX(tx_Desc,1561)&amp;"","")</f>
        <v/>
      </c>
      <c r="G1567" s="58">
        <f>IF(H1567=1,IF(INDEX(tx_Cust,1561)&amp;""&lt;&gt;"",INDEX(tx_Cust,1561)&amp;"",INDEX(tx_Vend,1561)&amp;""),"")</f>
        <v/>
      </c>
      <c r="H1567" s="101">
        <f>IFERROR(N(INDEX(tx_Posted,1561)),0)</f>
        <v/>
      </c>
      <c r="I1567" s="58">
        <f>IF(H1567=1,INDEX(tx_DrAcct,1561)&amp;"","")</f>
        <v/>
      </c>
      <c r="J1567" s="95">
        <f>IF(H1567=1,INDEX(tx_DrAmt,1561),0)</f>
        <v/>
      </c>
      <c r="K1567" s="58">
        <f>IF(H1567=1,INDEX(tx_CrAcct,1561)&amp;"","")</f>
        <v/>
      </c>
      <c r="L1567" s="95">
        <f>IF(H1567=1,INDEX(tx_CrAmt,1561),0)</f>
        <v/>
      </c>
      <c r="M1567" s="95">
        <f>IF(H1567=1,INDEX(tx_TaxDr,1561),0)</f>
        <v/>
      </c>
      <c r="N1567" s="95">
        <f>IF(H1567=1,INDEX(tx_TaxCr,1561),0)</f>
        <v/>
      </c>
      <c r="O1567" s="101">
        <f>IF(H1567=1,IF(E1567&lt;FYStart,0,IF(E1567&gt;FYEnd,13,YEAR(E1567)*12+MONTH(E1567)-FYYM+1)),"")</f>
        <v/>
      </c>
      <c r="P1567" s="101">
        <f>IF(H1567=1,IF(IFERROR(INDEX(coa_CF,MATCH(I1567,coa_Name,0)),"")="Cash",1,0),0)</f>
        <v/>
      </c>
      <c r="Q1567" s="101">
        <f>IF(H1567=1,IF(IFERROR(INDEX(coa_CF,MATCH(K1567,coa_Name,0)),"")="Cash",1,0),0)</f>
        <v/>
      </c>
      <c r="R1567" s="58">
        <f>IF((P1567-Q1567)=0,"",IFERROR(INDEX(coa_CF,MATCH(IF((P1567-Q1567)=1,K1567,I1567),coa_Name,0)),"Operating"))</f>
        <v/>
      </c>
      <c r="S1567" s="95">
        <f>IF((P1567-Q1567)=1,L1567,IF((P1567-Q1567)=-1,-J1567,0))</f>
        <v/>
      </c>
      <c r="T1567" s="95">
        <f>IF((P1567-Q1567)=1,N1567,IF((P1567-Q1567)=-1,-M1567,0))</f>
        <v/>
      </c>
      <c r="U1567" s="101">
        <f>IF(AND(H1567=1,LedAcct&lt;&gt;""),IF(AND(E1567&gt;=LedFrom,E1567&lt;=LedTo,OR(I1567=LedAcct,K1567=LedAcct,AND(LedAcct=acctTax,M1567+N1567&lt;&gt;0))),E1567*10000+B1567,""),"")</f>
        <v/>
      </c>
    </row>
    <row r="1568">
      <c r="B1568" s="101" t="n">
        <v>1562</v>
      </c>
      <c r="C1568" s="58" t="inlineStr">
        <is>
          <t>Transaction</t>
        </is>
      </c>
      <c r="D1568" s="58">
        <f>IF(H1568=1,INDEX(tx_ID,1562)&amp;"","")</f>
        <v/>
      </c>
      <c r="E1568" s="94">
        <f>IF(H1568=1,INDEX(tx_Date,1562),"")</f>
        <v/>
      </c>
      <c r="F1568" s="58">
        <f>IF(H1568=1,INDEX(tx_Desc,1562)&amp;"","")</f>
        <v/>
      </c>
      <c r="G1568" s="58">
        <f>IF(H1568=1,IF(INDEX(tx_Cust,1562)&amp;""&lt;&gt;"",INDEX(tx_Cust,1562)&amp;"",INDEX(tx_Vend,1562)&amp;""),"")</f>
        <v/>
      </c>
      <c r="H1568" s="101">
        <f>IFERROR(N(INDEX(tx_Posted,1562)),0)</f>
        <v/>
      </c>
      <c r="I1568" s="58">
        <f>IF(H1568=1,INDEX(tx_DrAcct,1562)&amp;"","")</f>
        <v/>
      </c>
      <c r="J1568" s="95">
        <f>IF(H1568=1,INDEX(tx_DrAmt,1562),0)</f>
        <v/>
      </c>
      <c r="K1568" s="58">
        <f>IF(H1568=1,INDEX(tx_CrAcct,1562)&amp;"","")</f>
        <v/>
      </c>
      <c r="L1568" s="95">
        <f>IF(H1568=1,INDEX(tx_CrAmt,1562),0)</f>
        <v/>
      </c>
      <c r="M1568" s="95">
        <f>IF(H1568=1,INDEX(tx_TaxDr,1562),0)</f>
        <v/>
      </c>
      <c r="N1568" s="95">
        <f>IF(H1568=1,INDEX(tx_TaxCr,1562),0)</f>
        <v/>
      </c>
      <c r="O1568" s="101">
        <f>IF(H1568=1,IF(E1568&lt;FYStart,0,IF(E1568&gt;FYEnd,13,YEAR(E1568)*12+MONTH(E1568)-FYYM+1)),"")</f>
        <v/>
      </c>
      <c r="P1568" s="101">
        <f>IF(H1568=1,IF(IFERROR(INDEX(coa_CF,MATCH(I1568,coa_Name,0)),"")="Cash",1,0),0)</f>
        <v/>
      </c>
      <c r="Q1568" s="101">
        <f>IF(H1568=1,IF(IFERROR(INDEX(coa_CF,MATCH(K1568,coa_Name,0)),"")="Cash",1,0),0)</f>
        <v/>
      </c>
      <c r="R1568" s="58">
        <f>IF((P1568-Q1568)=0,"",IFERROR(INDEX(coa_CF,MATCH(IF((P1568-Q1568)=1,K1568,I1568),coa_Name,0)),"Operating"))</f>
        <v/>
      </c>
      <c r="S1568" s="95">
        <f>IF((P1568-Q1568)=1,L1568,IF((P1568-Q1568)=-1,-J1568,0))</f>
        <v/>
      </c>
      <c r="T1568" s="95">
        <f>IF((P1568-Q1568)=1,N1568,IF((P1568-Q1568)=-1,-M1568,0))</f>
        <v/>
      </c>
      <c r="U1568" s="101">
        <f>IF(AND(H1568=1,LedAcct&lt;&gt;""),IF(AND(E1568&gt;=LedFrom,E1568&lt;=LedTo,OR(I1568=LedAcct,K1568=LedAcct,AND(LedAcct=acctTax,M1568+N1568&lt;&gt;0))),E1568*10000+B1568,""),"")</f>
        <v/>
      </c>
    </row>
    <row r="1569">
      <c r="B1569" s="101" t="n">
        <v>1563</v>
      </c>
      <c r="C1569" s="58" t="inlineStr">
        <is>
          <t>Transaction</t>
        </is>
      </c>
      <c r="D1569" s="58">
        <f>IF(H1569=1,INDEX(tx_ID,1563)&amp;"","")</f>
        <v/>
      </c>
      <c r="E1569" s="94">
        <f>IF(H1569=1,INDEX(tx_Date,1563),"")</f>
        <v/>
      </c>
      <c r="F1569" s="58">
        <f>IF(H1569=1,INDEX(tx_Desc,1563)&amp;"","")</f>
        <v/>
      </c>
      <c r="G1569" s="58">
        <f>IF(H1569=1,IF(INDEX(tx_Cust,1563)&amp;""&lt;&gt;"",INDEX(tx_Cust,1563)&amp;"",INDEX(tx_Vend,1563)&amp;""),"")</f>
        <v/>
      </c>
      <c r="H1569" s="101">
        <f>IFERROR(N(INDEX(tx_Posted,1563)),0)</f>
        <v/>
      </c>
      <c r="I1569" s="58">
        <f>IF(H1569=1,INDEX(tx_DrAcct,1563)&amp;"","")</f>
        <v/>
      </c>
      <c r="J1569" s="95">
        <f>IF(H1569=1,INDEX(tx_DrAmt,1563),0)</f>
        <v/>
      </c>
      <c r="K1569" s="58">
        <f>IF(H1569=1,INDEX(tx_CrAcct,1563)&amp;"","")</f>
        <v/>
      </c>
      <c r="L1569" s="95">
        <f>IF(H1569=1,INDEX(tx_CrAmt,1563),0)</f>
        <v/>
      </c>
      <c r="M1569" s="95">
        <f>IF(H1569=1,INDEX(tx_TaxDr,1563),0)</f>
        <v/>
      </c>
      <c r="N1569" s="95">
        <f>IF(H1569=1,INDEX(tx_TaxCr,1563),0)</f>
        <v/>
      </c>
      <c r="O1569" s="101">
        <f>IF(H1569=1,IF(E1569&lt;FYStart,0,IF(E1569&gt;FYEnd,13,YEAR(E1569)*12+MONTH(E1569)-FYYM+1)),"")</f>
        <v/>
      </c>
      <c r="P1569" s="101">
        <f>IF(H1569=1,IF(IFERROR(INDEX(coa_CF,MATCH(I1569,coa_Name,0)),"")="Cash",1,0),0)</f>
        <v/>
      </c>
      <c r="Q1569" s="101">
        <f>IF(H1569=1,IF(IFERROR(INDEX(coa_CF,MATCH(K1569,coa_Name,0)),"")="Cash",1,0),0)</f>
        <v/>
      </c>
      <c r="R1569" s="58">
        <f>IF((P1569-Q1569)=0,"",IFERROR(INDEX(coa_CF,MATCH(IF((P1569-Q1569)=1,K1569,I1569),coa_Name,0)),"Operating"))</f>
        <v/>
      </c>
      <c r="S1569" s="95">
        <f>IF((P1569-Q1569)=1,L1569,IF((P1569-Q1569)=-1,-J1569,0))</f>
        <v/>
      </c>
      <c r="T1569" s="95">
        <f>IF((P1569-Q1569)=1,N1569,IF((P1569-Q1569)=-1,-M1569,0))</f>
        <v/>
      </c>
      <c r="U1569" s="101">
        <f>IF(AND(H1569=1,LedAcct&lt;&gt;""),IF(AND(E1569&gt;=LedFrom,E1569&lt;=LedTo,OR(I1569=LedAcct,K1569=LedAcct,AND(LedAcct=acctTax,M1569+N1569&lt;&gt;0))),E1569*10000+B1569,""),"")</f>
        <v/>
      </c>
    </row>
    <row r="1570">
      <c r="B1570" s="101" t="n">
        <v>1564</v>
      </c>
      <c r="C1570" s="58" t="inlineStr">
        <is>
          <t>Transaction</t>
        </is>
      </c>
      <c r="D1570" s="58">
        <f>IF(H1570=1,INDEX(tx_ID,1564)&amp;"","")</f>
        <v/>
      </c>
      <c r="E1570" s="94">
        <f>IF(H1570=1,INDEX(tx_Date,1564),"")</f>
        <v/>
      </c>
      <c r="F1570" s="58">
        <f>IF(H1570=1,INDEX(tx_Desc,1564)&amp;"","")</f>
        <v/>
      </c>
      <c r="G1570" s="58">
        <f>IF(H1570=1,IF(INDEX(tx_Cust,1564)&amp;""&lt;&gt;"",INDEX(tx_Cust,1564)&amp;"",INDEX(tx_Vend,1564)&amp;""),"")</f>
        <v/>
      </c>
      <c r="H1570" s="101">
        <f>IFERROR(N(INDEX(tx_Posted,1564)),0)</f>
        <v/>
      </c>
      <c r="I1570" s="58">
        <f>IF(H1570=1,INDEX(tx_DrAcct,1564)&amp;"","")</f>
        <v/>
      </c>
      <c r="J1570" s="95">
        <f>IF(H1570=1,INDEX(tx_DrAmt,1564),0)</f>
        <v/>
      </c>
      <c r="K1570" s="58">
        <f>IF(H1570=1,INDEX(tx_CrAcct,1564)&amp;"","")</f>
        <v/>
      </c>
      <c r="L1570" s="95">
        <f>IF(H1570=1,INDEX(tx_CrAmt,1564),0)</f>
        <v/>
      </c>
      <c r="M1570" s="95">
        <f>IF(H1570=1,INDEX(tx_TaxDr,1564),0)</f>
        <v/>
      </c>
      <c r="N1570" s="95">
        <f>IF(H1570=1,INDEX(tx_TaxCr,1564),0)</f>
        <v/>
      </c>
      <c r="O1570" s="101">
        <f>IF(H1570=1,IF(E1570&lt;FYStart,0,IF(E1570&gt;FYEnd,13,YEAR(E1570)*12+MONTH(E1570)-FYYM+1)),"")</f>
        <v/>
      </c>
      <c r="P1570" s="101">
        <f>IF(H1570=1,IF(IFERROR(INDEX(coa_CF,MATCH(I1570,coa_Name,0)),"")="Cash",1,0),0)</f>
        <v/>
      </c>
      <c r="Q1570" s="101">
        <f>IF(H1570=1,IF(IFERROR(INDEX(coa_CF,MATCH(K1570,coa_Name,0)),"")="Cash",1,0),0)</f>
        <v/>
      </c>
      <c r="R1570" s="58">
        <f>IF((P1570-Q1570)=0,"",IFERROR(INDEX(coa_CF,MATCH(IF((P1570-Q1570)=1,K1570,I1570),coa_Name,0)),"Operating"))</f>
        <v/>
      </c>
      <c r="S1570" s="95">
        <f>IF((P1570-Q1570)=1,L1570,IF((P1570-Q1570)=-1,-J1570,0))</f>
        <v/>
      </c>
      <c r="T1570" s="95">
        <f>IF((P1570-Q1570)=1,N1570,IF((P1570-Q1570)=-1,-M1570,0))</f>
        <v/>
      </c>
      <c r="U1570" s="101">
        <f>IF(AND(H1570=1,LedAcct&lt;&gt;""),IF(AND(E1570&gt;=LedFrom,E1570&lt;=LedTo,OR(I1570=LedAcct,K1570=LedAcct,AND(LedAcct=acctTax,M1570+N1570&lt;&gt;0))),E1570*10000+B1570,""),"")</f>
        <v/>
      </c>
    </row>
    <row r="1571">
      <c r="B1571" s="101" t="n">
        <v>1565</v>
      </c>
      <c r="C1571" s="58" t="inlineStr">
        <is>
          <t>Transaction</t>
        </is>
      </c>
      <c r="D1571" s="58">
        <f>IF(H1571=1,INDEX(tx_ID,1565)&amp;"","")</f>
        <v/>
      </c>
      <c r="E1571" s="94">
        <f>IF(H1571=1,INDEX(tx_Date,1565),"")</f>
        <v/>
      </c>
      <c r="F1571" s="58">
        <f>IF(H1571=1,INDEX(tx_Desc,1565)&amp;"","")</f>
        <v/>
      </c>
      <c r="G1571" s="58">
        <f>IF(H1571=1,IF(INDEX(tx_Cust,1565)&amp;""&lt;&gt;"",INDEX(tx_Cust,1565)&amp;"",INDEX(tx_Vend,1565)&amp;""),"")</f>
        <v/>
      </c>
      <c r="H1571" s="101">
        <f>IFERROR(N(INDEX(tx_Posted,1565)),0)</f>
        <v/>
      </c>
      <c r="I1571" s="58">
        <f>IF(H1571=1,INDEX(tx_DrAcct,1565)&amp;"","")</f>
        <v/>
      </c>
      <c r="J1571" s="95">
        <f>IF(H1571=1,INDEX(tx_DrAmt,1565),0)</f>
        <v/>
      </c>
      <c r="K1571" s="58">
        <f>IF(H1571=1,INDEX(tx_CrAcct,1565)&amp;"","")</f>
        <v/>
      </c>
      <c r="L1571" s="95">
        <f>IF(H1571=1,INDEX(tx_CrAmt,1565),0)</f>
        <v/>
      </c>
      <c r="M1571" s="95">
        <f>IF(H1571=1,INDEX(tx_TaxDr,1565),0)</f>
        <v/>
      </c>
      <c r="N1571" s="95">
        <f>IF(H1571=1,INDEX(tx_TaxCr,1565),0)</f>
        <v/>
      </c>
      <c r="O1571" s="101">
        <f>IF(H1571=1,IF(E1571&lt;FYStart,0,IF(E1571&gt;FYEnd,13,YEAR(E1571)*12+MONTH(E1571)-FYYM+1)),"")</f>
        <v/>
      </c>
      <c r="P1571" s="101">
        <f>IF(H1571=1,IF(IFERROR(INDEX(coa_CF,MATCH(I1571,coa_Name,0)),"")="Cash",1,0),0)</f>
        <v/>
      </c>
      <c r="Q1571" s="101">
        <f>IF(H1571=1,IF(IFERROR(INDEX(coa_CF,MATCH(K1571,coa_Name,0)),"")="Cash",1,0),0)</f>
        <v/>
      </c>
      <c r="R1571" s="58">
        <f>IF((P1571-Q1571)=0,"",IFERROR(INDEX(coa_CF,MATCH(IF((P1571-Q1571)=1,K1571,I1571),coa_Name,0)),"Operating"))</f>
        <v/>
      </c>
      <c r="S1571" s="95">
        <f>IF((P1571-Q1571)=1,L1571,IF((P1571-Q1571)=-1,-J1571,0))</f>
        <v/>
      </c>
      <c r="T1571" s="95">
        <f>IF((P1571-Q1571)=1,N1571,IF((P1571-Q1571)=-1,-M1571,0))</f>
        <v/>
      </c>
      <c r="U1571" s="101">
        <f>IF(AND(H1571=1,LedAcct&lt;&gt;""),IF(AND(E1571&gt;=LedFrom,E1571&lt;=LedTo,OR(I1571=LedAcct,K1571=LedAcct,AND(LedAcct=acctTax,M1571+N1571&lt;&gt;0))),E1571*10000+B1571,""),"")</f>
        <v/>
      </c>
    </row>
    <row r="1572">
      <c r="B1572" s="101" t="n">
        <v>1566</v>
      </c>
      <c r="C1572" s="58" t="inlineStr">
        <is>
          <t>Transaction</t>
        </is>
      </c>
      <c r="D1572" s="58">
        <f>IF(H1572=1,INDEX(tx_ID,1566)&amp;"","")</f>
        <v/>
      </c>
      <c r="E1572" s="94">
        <f>IF(H1572=1,INDEX(tx_Date,1566),"")</f>
        <v/>
      </c>
      <c r="F1572" s="58">
        <f>IF(H1572=1,INDEX(tx_Desc,1566)&amp;"","")</f>
        <v/>
      </c>
      <c r="G1572" s="58">
        <f>IF(H1572=1,IF(INDEX(tx_Cust,1566)&amp;""&lt;&gt;"",INDEX(tx_Cust,1566)&amp;"",INDEX(tx_Vend,1566)&amp;""),"")</f>
        <v/>
      </c>
      <c r="H1572" s="101">
        <f>IFERROR(N(INDEX(tx_Posted,1566)),0)</f>
        <v/>
      </c>
      <c r="I1572" s="58">
        <f>IF(H1572=1,INDEX(tx_DrAcct,1566)&amp;"","")</f>
        <v/>
      </c>
      <c r="J1572" s="95">
        <f>IF(H1572=1,INDEX(tx_DrAmt,1566),0)</f>
        <v/>
      </c>
      <c r="K1572" s="58">
        <f>IF(H1572=1,INDEX(tx_CrAcct,1566)&amp;"","")</f>
        <v/>
      </c>
      <c r="L1572" s="95">
        <f>IF(H1572=1,INDEX(tx_CrAmt,1566),0)</f>
        <v/>
      </c>
      <c r="M1572" s="95">
        <f>IF(H1572=1,INDEX(tx_TaxDr,1566),0)</f>
        <v/>
      </c>
      <c r="N1572" s="95">
        <f>IF(H1572=1,INDEX(tx_TaxCr,1566),0)</f>
        <v/>
      </c>
      <c r="O1572" s="101">
        <f>IF(H1572=1,IF(E1572&lt;FYStart,0,IF(E1572&gt;FYEnd,13,YEAR(E1572)*12+MONTH(E1572)-FYYM+1)),"")</f>
        <v/>
      </c>
      <c r="P1572" s="101">
        <f>IF(H1572=1,IF(IFERROR(INDEX(coa_CF,MATCH(I1572,coa_Name,0)),"")="Cash",1,0),0)</f>
        <v/>
      </c>
      <c r="Q1572" s="101">
        <f>IF(H1572=1,IF(IFERROR(INDEX(coa_CF,MATCH(K1572,coa_Name,0)),"")="Cash",1,0),0)</f>
        <v/>
      </c>
      <c r="R1572" s="58">
        <f>IF((P1572-Q1572)=0,"",IFERROR(INDEX(coa_CF,MATCH(IF((P1572-Q1572)=1,K1572,I1572),coa_Name,0)),"Operating"))</f>
        <v/>
      </c>
      <c r="S1572" s="95">
        <f>IF((P1572-Q1572)=1,L1572,IF((P1572-Q1572)=-1,-J1572,0))</f>
        <v/>
      </c>
      <c r="T1572" s="95">
        <f>IF((P1572-Q1572)=1,N1572,IF((P1572-Q1572)=-1,-M1572,0))</f>
        <v/>
      </c>
      <c r="U1572" s="101">
        <f>IF(AND(H1572=1,LedAcct&lt;&gt;""),IF(AND(E1572&gt;=LedFrom,E1572&lt;=LedTo,OR(I1572=LedAcct,K1572=LedAcct,AND(LedAcct=acctTax,M1572+N1572&lt;&gt;0))),E1572*10000+B1572,""),"")</f>
        <v/>
      </c>
    </row>
    <row r="1573">
      <c r="B1573" s="101" t="n">
        <v>1567</v>
      </c>
      <c r="C1573" s="58" t="inlineStr">
        <is>
          <t>Transaction</t>
        </is>
      </c>
      <c r="D1573" s="58">
        <f>IF(H1573=1,INDEX(tx_ID,1567)&amp;"","")</f>
        <v/>
      </c>
      <c r="E1573" s="94">
        <f>IF(H1573=1,INDEX(tx_Date,1567),"")</f>
        <v/>
      </c>
      <c r="F1573" s="58">
        <f>IF(H1573=1,INDEX(tx_Desc,1567)&amp;"","")</f>
        <v/>
      </c>
      <c r="G1573" s="58">
        <f>IF(H1573=1,IF(INDEX(tx_Cust,1567)&amp;""&lt;&gt;"",INDEX(tx_Cust,1567)&amp;"",INDEX(tx_Vend,1567)&amp;""),"")</f>
        <v/>
      </c>
      <c r="H1573" s="101">
        <f>IFERROR(N(INDEX(tx_Posted,1567)),0)</f>
        <v/>
      </c>
      <c r="I1573" s="58">
        <f>IF(H1573=1,INDEX(tx_DrAcct,1567)&amp;"","")</f>
        <v/>
      </c>
      <c r="J1573" s="95">
        <f>IF(H1573=1,INDEX(tx_DrAmt,1567),0)</f>
        <v/>
      </c>
      <c r="K1573" s="58">
        <f>IF(H1573=1,INDEX(tx_CrAcct,1567)&amp;"","")</f>
        <v/>
      </c>
      <c r="L1573" s="95">
        <f>IF(H1573=1,INDEX(tx_CrAmt,1567),0)</f>
        <v/>
      </c>
      <c r="M1573" s="95">
        <f>IF(H1573=1,INDEX(tx_TaxDr,1567),0)</f>
        <v/>
      </c>
      <c r="N1573" s="95">
        <f>IF(H1573=1,INDEX(tx_TaxCr,1567),0)</f>
        <v/>
      </c>
      <c r="O1573" s="101">
        <f>IF(H1573=1,IF(E1573&lt;FYStart,0,IF(E1573&gt;FYEnd,13,YEAR(E1573)*12+MONTH(E1573)-FYYM+1)),"")</f>
        <v/>
      </c>
      <c r="P1573" s="101">
        <f>IF(H1573=1,IF(IFERROR(INDEX(coa_CF,MATCH(I1573,coa_Name,0)),"")="Cash",1,0),0)</f>
        <v/>
      </c>
      <c r="Q1573" s="101">
        <f>IF(H1573=1,IF(IFERROR(INDEX(coa_CF,MATCH(K1573,coa_Name,0)),"")="Cash",1,0),0)</f>
        <v/>
      </c>
      <c r="R1573" s="58">
        <f>IF((P1573-Q1573)=0,"",IFERROR(INDEX(coa_CF,MATCH(IF((P1573-Q1573)=1,K1573,I1573),coa_Name,0)),"Operating"))</f>
        <v/>
      </c>
      <c r="S1573" s="95">
        <f>IF((P1573-Q1573)=1,L1573,IF((P1573-Q1573)=-1,-J1573,0))</f>
        <v/>
      </c>
      <c r="T1573" s="95">
        <f>IF((P1573-Q1573)=1,N1573,IF((P1573-Q1573)=-1,-M1573,0))</f>
        <v/>
      </c>
      <c r="U1573" s="101">
        <f>IF(AND(H1573=1,LedAcct&lt;&gt;""),IF(AND(E1573&gt;=LedFrom,E1573&lt;=LedTo,OR(I1573=LedAcct,K1573=LedAcct,AND(LedAcct=acctTax,M1573+N1573&lt;&gt;0))),E1573*10000+B1573,""),"")</f>
        <v/>
      </c>
    </row>
    <row r="1574">
      <c r="B1574" s="101" t="n">
        <v>1568</v>
      </c>
      <c r="C1574" s="58" t="inlineStr">
        <is>
          <t>Transaction</t>
        </is>
      </c>
      <c r="D1574" s="58">
        <f>IF(H1574=1,INDEX(tx_ID,1568)&amp;"","")</f>
        <v/>
      </c>
      <c r="E1574" s="94">
        <f>IF(H1574=1,INDEX(tx_Date,1568),"")</f>
        <v/>
      </c>
      <c r="F1574" s="58">
        <f>IF(H1574=1,INDEX(tx_Desc,1568)&amp;"","")</f>
        <v/>
      </c>
      <c r="G1574" s="58">
        <f>IF(H1574=1,IF(INDEX(tx_Cust,1568)&amp;""&lt;&gt;"",INDEX(tx_Cust,1568)&amp;"",INDEX(tx_Vend,1568)&amp;""),"")</f>
        <v/>
      </c>
      <c r="H1574" s="101">
        <f>IFERROR(N(INDEX(tx_Posted,1568)),0)</f>
        <v/>
      </c>
      <c r="I1574" s="58">
        <f>IF(H1574=1,INDEX(tx_DrAcct,1568)&amp;"","")</f>
        <v/>
      </c>
      <c r="J1574" s="95">
        <f>IF(H1574=1,INDEX(tx_DrAmt,1568),0)</f>
        <v/>
      </c>
      <c r="K1574" s="58">
        <f>IF(H1574=1,INDEX(tx_CrAcct,1568)&amp;"","")</f>
        <v/>
      </c>
      <c r="L1574" s="95">
        <f>IF(H1574=1,INDEX(tx_CrAmt,1568),0)</f>
        <v/>
      </c>
      <c r="M1574" s="95">
        <f>IF(H1574=1,INDEX(tx_TaxDr,1568),0)</f>
        <v/>
      </c>
      <c r="N1574" s="95">
        <f>IF(H1574=1,INDEX(tx_TaxCr,1568),0)</f>
        <v/>
      </c>
      <c r="O1574" s="101">
        <f>IF(H1574=1,IF(E1574&lt;FYStart,0,IF(E1574&gt;FYEnd,13,YEAR(E1574)*12+MONTH(E1574)-FYYM+1)),"")</f>
        <v/>
      </c>
      <c r="P1574" s="101">
        <f>IF(H1574=1,IF(IFERROR(INDEX(coa_CF,MATCH(I1574,coa_Name,0)),"")="Cash",1,0),0)</f>
        <v/>
      </c>
      <c r="Q1574" s="101">
        <f>IF(H1574=1,IF(IFERROR(INDEX(coa_CF,MATCH(K1574,coa_Name,0)),"")="Cash",1,0),0)</f>
        <v/>
      </c>
      <c r="R1574" s="58">
        <f>IF((P1574-Q1574)=0,"",IFERROR(INDEX(coa_CF,MATCH(IF((P1574-Q1574)=1,K1574,I1574),coa_Name,0)),"Operating"))</f>
        <v/>
      </c>
      <c r="S1574" s="95">
        <f>IF((P1574-Q1574)=1,L1574,IF((P1574-Q1574)=-1,-J1574,0))</f>
        <v/>
      </c>
      <c r="T1574" s="95">
        <f>IF((P1574-Q1574)=1,N1574,IF((P1574-Q1574)=-1,-M1574,0))</f>
        <v/>
      </c>
      <c r="U1574" s="101">
        <f>IF(AND(H1574=1,LedAcct&lt;&gt;""),IF(AND(E1574&gt;=LedFrom,E1574&lt;=LedTo,OR(I1574=LedAcct,K1574=LedAcct,AND(LedAcct=acctTax,M1574+N1574&lt;&gt;0))),E1574*10000+B1574,""),"")</f>
        <v/>
      </c>
    </row>
    <row r="1575">
      <c r="B1575" s="101" t="n">
        <v>1569</v>
      </c>
      <c r="C1575" s="58" t="inlineStr">
        <is>
          <t>Transaction</t>
        </is>
      </c>
      <c r="D1575" s="58">
        <f>IF(H1575=1,INDEX(tx_ID,1569)&amp;"","")</f>
        <v/>
      </c>
      <c r="E1575" s="94">
        <f>IF(H1575=1,INDEX(tx_Date,1569),"")</f>
        <v/>
      </c>
      <c r="F1575" s="58">
        <f>IF(H1575=1,INDEX(tx_Desc,1569)&amp;"","")</f>
        <v/>
      </c>
      <c r="G1575" s="58">
        <f>IF(H1575=1,IF(INDEX(tx_Cust,1569)&amp;""&lt;&gt;"",INDEX(tx_Cust,1569)&amp;"",INDEX(tx_Vend,1569)&amp;""),"")</f>
        <v/>
      </c>
      <c r="H1575" s="101">
        <f>IFERROR(N(INDEX(tx_Posted,1569)),0)</f>
        <v/>
      </c>
      <c r="I1575" s="58">
        <f>IF(H1575=1,INDEX(tx_DrAcct,1569)&amp;"","")</f>
        <v/>
      </c>
      <c r="J1575" s="95">
        <f>IF(H1575=1,INDEX(tx_DrAmt,1569),0)</f>
        <v/>
      </c>
      <c r="K1575" s="58">
        <f>IF(H1575=1,INDEX(tx_CrAcct,1569)&amp;"","")</f>
        <v/>
      </c>
      <c r="L1575" s="95">
        <f>IF(H1575=1,INDEX(tx_CrAmt,1569),0)</f>
        <v/>
      </c>
      <c r="M1575" s="95">
        <f>IF(H1575=1,INDEX(tx_TaxDr,1569),0)</f>
        <v/>
      </c>
      <c r="N1575" s="95">
        <f>IF(H1575=1,INDEX(tx_TaxCr,1569),0)</f>
        <v/>
      </c>
      <c r="O1575" s="101">
        <f>IF(H1575=1,IF(E1575&lt;FYStart,0,IF(E1575&gt;FYEnd,13,YEAR(E1575)*12+MONTH(E1575)-FYYM+1)),"")</f>
        <v/>
      </c>
      <c r="P1575" s="101">
        <f>IF(H1575=1,IF(IFERROR(INDEX(coa_CF,MATCH(I1575,coa_Name,0)),"")="Cash",1,0),0)</f>
        <v/>
      </c>
      <c r="Q1575" s="101">
        <f>IF(H1575=1,IF(IFERROR(INDEX(coa_CF,MATCH(K1575,coa_Name,0)),"")="Cash",1,0),0)</f>
        <v/>
      </c>
      <c r="R1575" s="58">
        <f>IF((P1575-Q1575)=0,"",IFERROR(INDEX(coa_CF,MATCH(IF((P1575-Q1575)=1,K1575,I1575),coa_Name,0)),"Operating"))</f>
        <v/>
      </c>
      <c r="S1575" s="95">
        <f>IF((P1575-Q1575)=1,L1575,IF((P1575-Q1575)=-1,-J1575,0))</f>
        <v/>
      </c>
      <c r="T1575" s="95">
        <f>IF((P1575-Q1575)=1,N1575,IF((P1575-Q1575)=-1,-M1575,0))</f>
        <v/>
      </c>
      <c r="U1575" s="101">
        <f>IF(AND(H1575=1,LedAcct&lt;&gt;""),IF(AND(E1575&gt;=LedFrom,E1575&lt;=LedTo,OR(I1575=LedAcct,K1575=LedAcct,AND(LedAcct=acctTax,M1575+N1575&lt;&gt;0))),E1575*10000+B1575,""),"")</f>
        <v/>
      </c>
    </row>
    <row r="1576">
      <c r="B1576" s="101" t="n">
        <v>1570</v>
      </c>
      <c r="C1576" s="58" t="inlineStr">
        <is>
          <t>Transaction</t>
        </is>
      </c>
      <c r="D1576" s="58">
        <f>IF(H1576=1,INDEX(tx_ID,1570)&amp;"","")</f>
        <v/>
      </c>
      <c r="E1576" s="94">
        <f>IF(H1576=1,INDEX(tx_Date,1570),"")</f>
        <v/>
      </c>
      <c r="F1576" s="58">
        <f>IF(H1576=1,INDEX(tx_Desc,1570)&amp;"","")</f>
        <v/>
      </c>
      <c r="G1576" s="58">
        <f>IF(H1576=1,IF(INDEX(tx_Cust,1570)&amp;""&lt;&gt;"",INDEX(tx_Cust,1570)&amp;"",INDEX(tx_Vend,1570)&amp;""),"")</f>
        <v/>
      </c>
      <c r="H1576" s="101">
        <f>IFERROR(N(INDEX(tx_Posted,1570)),0)</f>
        <v/>
      </c>
      <c r="I1576" s="58">
        <f>IF(H1576=1,INDEX(tx_DrAcct,1570)&amp;"","")</f>
        <v/>
      </c>
      <c r="J1576" s="95">
        <f>IF(H1576=1,INDEX(tx_DrAmt,1570),0)</f>
        <v/>
      </c>
      <c r="K1576" s="58">
        <f>IF(H1576=1,INDEX(tx_CrAcct,1570)&amp;"","")</f>
        <v/>
      </c>
      <c r="L1576" s="95">
        <f>IF(H1576=1,INDEX(tx_CrAmt,1570),0)</f>
        <v/>
      </c>
      <c r="M1576" s="95">
        <f>IF(H1576=1,INDEX(tx_TaxDr,1570),0)</f>
        <v/>
      </c>
      <c r="N1576" s="95">
        <f>IF(H1576=1,INDEX(tx_TaxCr,1570),0)</f>
        <v/>
      </c>
      <c r="O1576" s="101">
        <f>IF(H1576=1,IF(E1576&lt;FYStart,0,IF(E1576&gt;FYEnd,13,YEAR(E1576)*12+MONTH(E1576)-FYYM+1)),"")</f>
        <v/>
      </c>
      <c r="P1576" s="101">
        <f>IF(H1576=1,IF(IFERROR(INDEX(coa_CF,MATCH(I1576,coa_Name,0)),"")="Cash",1,0),0)</f>
        <v/>
      </c>
      <c r="Q1576" s="101">
        <f>IF(H1576=1,IF(IFERROR(INDEX(coa_CF,MATCH(K1576,coa_Name,0)),"")="Cash",1,0),0)</f>
        <v/>
      </c>
      <c r="R1576" s="58">
        <f>IF((P1576-Q1576)=0,"",IFERROR(INDEX(coa_CF,MATCH(IF((P1576-Q1576)=1,K1576,I1576),coa_Name,0)),"Operating"))</f>
        <v/>
      </c>
      <c r="S1576" s="95">
        <f>IF((P1576-Q1576)=1,L1576,IF((P1576-Q1576)=-1,-J1576,0))</f>
        <v/>
      </c>
      <c r="T1576" s="95">
        <f>IF((P1576-Q1576)=1,N1576,IF((P1576-Q1576)=-1,-M1576,0))</f>
        <v/>
      </c>
      <c r="U1576" s="101">
        <f>IF(AND(H1576=1,LedAcct&lt;&gt;""),IF(AND(E1576&gt;=LedFrom,E1576&lt;=LedTo,OR(I1576=LedAcct,K1576=LedAcct,AND(LedAcct=acctTax,M1576+N1576&lt;&gt;0))),E1576*10000+B1576,""),"")</f>
        <v/>
      </c>
    </row>
    <row r="1577">
      <c r="B1577" s="101" t="n">
        <v>1571</v>
      </c>
      <c r="C1577" s="58" t="inlineStr">
        <is>
          <t>Transaction</t>
        </is>
      </c>
      <c r="D1577" s="58">
        <f>IF(H1577=1,INDEX(tx_ID,1571)&amp;"","")</f>
        <v/>
      </c>
      <c r="E1577" s="94">
        <f>IF(H1577=1,INDEX(tx_Date,1571),"")</f>
        <v/>
      </c>
      <c r="F1577" s="58">
        <f>IF(H1577=1,INDEX(tx_Desc,1571)&amp;"","")</f>
        <v/>
      </c>
      <c r="G1577" s="58">
        <f>IF(H1577=1,IF(INDEX(tx_Cust,1571)&amp;""&lt;&gt;"",INDEX(tx_Cust,1571)&amp;"",INDEX(tx_Vend,1571)&amp;""),"")</f>
        <v/>
      </c>
      <c r="H1577" s="101">
        <f>IFERROR(N(INDEX(tx_Posted,1571)),0)</f>
        <v/>
      </c>
      <c r="I1577" s="58">
        <f>IF(H1577=1,INDEX(tx_DrAcct,1571)&amp;"","")</f>
        <v/>
      </c>
      <c r="J1577" s="95">
        <f>IF(H1577=1,INDEX(tx_DrAmt,1571),0)</f>
        <v/>
      </c>
      <c r="K1577" s="58">
        <f>IF(H1577=1,INDEX(tx_CrAcct,1571)&amp;"","")</f>
        <v/>
      </c>
      <c r="L1577" s="95">
        <f>IF(H1577=1,INDEX(tx_CrAmt,1571),0)</f>
        <v/>
      </c>
      <c r="M1577" s="95">
        <f>IF(H1577=1,INDEX(tx_TaxDr,1571),0)</f>
        <v/>
      </c>
      <c r="N1577" s="95">
        <f>IF(H1577=1,INDEX(tx_TaxCr,1571),0)</f>
        <v/>
      </c>
      <c r="O1577" s="101">
        <f>IF(H1577=1,IF(E1577&lt;FYStart,0,IF(E1577&gt;FYEnd,13,YEAR(E1577)*12+MONTH(E1577)-FYYM+1)),"")</f>
        <v/>
      </c>
      <c r="P1577" s="101">
        <f>IF(H1577=1,IF(IFERROR(INDEX(coa_CF,MATCH(I1577,coa_Name,0)),"")="Cash",1,0),0)</f>
        <v/>
      </c>
      <c r="Q1577" s="101">
        <f>IF(H1577=1,IF(IFERROR(INDEX(coa_CF,MATCH(K1577,coa_Name,0)),"")="Cash",1,0),0)</f>
        <v/>
      </c>
      <c r="R1577" s="58">
        <f>IF((P1577-Q1577)=0,"",IFERROR(INDEX(coa_CF,MATCH(IF((P1577-Q1577)=1,K1577,I1577),coa_Name,0)),"Operating"))</f>
        <v/>
      </c>
      <c r="S1577" s="95">
        <f>IF((P1577-Q1577)=1,L1577,IF((P1577-Q1577)=-1,-J1577,0))</f>
        <v/>
      </c>
      <c r="T1577" s="95">
        <f>IF((P1577-Q1577)=1,N1577,IF((P1577-Q1577)=-1,-M1577,0))</f>
        <v/>
      </c>
      <c r="U1577" s="101">
        <f>IF(AND(H1577=1,LedAcct&lt;&gt;""),IF(AND(E1577&gt;=LedFrom,E1577&lt;=LedTo,OR(I1577=LedAcct,K1577=LedAcct,AND(LedAcct=acctTax,M1577+N1577&lt;&gt;0))),E1577*10000+B1577,""),"")</f>
        <v/>
      </c>
    </row>
    <row r="1578">
      <c r="B1578" s="101" t="n">
        <v>1572</v>
      </c>
      <c r="C1578" s="58" t="inlineStr">
        <is>
          <t>Transaction</t>
        </is>
      </c>
      <c r="D1578" s="58">
        <f>IF(H1578=1,INDEX(tx_ID,1572)&amp;"","")</f>
        <v/>
      </c>
      <c r="E1578" s="94">
        <f>IF(H1578=1,INDEX(tx_Date,1572),"")</f>
        <v/>
      </c>
      <c r="F1578" s="58">
        <f>IF(H1578=1,INDEX(tx_Desc,1572)&amp;"","")</f>
        <v/>
      </c>
      <c r="G1578" s="58">
        <f>IF(H1578=1,IF(INDEX(tx_Cust,1572)&amp;""&lt;&gt;"",INDEX(tx_Cust,1572)&amp;"",INDEX(tx_Vend,1572)&amp;""),"")</f>
        <v/>
      </c>
      <c r="H1578" s="101">
        <f>IFERROR(N(INDEX(tx_Posted,1572)),0)</f>
        <v/>
      </c>
      <c r="I1578" s="58">
        <f>IF(H1578=1,INDEX(tx_DrAcct,1572)&amp;"","")</f>
        <v/>
      </c>
      <c r="J1578" s="95">
        <f>IF(H1578=1,INDEX(tx_DrAmt,1572),0)</f>
        <v/>
      </c>
      <c r="K1578" s="58">
        <f>IF(H1578=1,INDEX(tx_CrAcct,1572)&amp;"","")</f>
        <v/>
      </c>
      <c r="L1578" s="95">
        <f>IF(H1578=1,INDEX(tx_CrAmt,1572),0)</f>
        <v/>
      </c>
      <c r="M1578" s="95">
        <f>IF(H1578=1,INDEX(tx_TaxDr,1572),0)</f>
        <v/>
      </c>
      <c r="N1578" s="95">
        <f>IF(H1578=1,INDEX(tx_TaxCr,1572),0)</f>
        <v/>
      </c>
      <c r="O1578" s="101">
        <f>IF(H1578=1,IF(E1578&lt;FYStart,0,IF(E1578&gt;FYEnd,13,YEAR(E1578)*12+MONTH(E1578)-FYYM+1)),"")</f>
        <v/>
      </c>
      <c r="P1578" s="101">
        <f>IF(H1578=1,IF(IFERROR(INDEX(coa_CF,MATCH(I1578,coa_Name,0)),"")="Cash",1,0),0)</f>
        <v/>
      </c>
      <c r="Q1578" s="101">
        <f>IF(H1578=1,IF(IFERROR(INDEX(coa_CF,MATCH(K1578,coa_Name,0)),"")="Cash",1,0),0)</f>
        <v/>
      </c>
      <c r="R1578" s="58">
        <f>IF((P1578-Q1578)=0,"",IFERROR(INDEX(coa_CF,MATCH(IF((P1578-Q1578)=1,K1578,I1578),coa_Name,0)),"Operating"))</f>
        <v/>
      </c>
      <c r="S1578" s="95">
        <f>IF((P1578-Q1578)=1,L1578,IF((P1578-Q1578)=-1,-J1578,0))</f>
        <v/>
      </c>
      <c r="T1578" s="95">
        <f>IF((P1578-Q1578)=1,N1578,IF((P1578-Q1578)=-1,-M1578,0))</f>
        <v/>
      </c>
      <c r="U1578" s="101">
        <f>IF(AND(H1578=1,LedAcct&lt;&gt;""),IF(AND(E1578&gt;=LedFrom,E1578&lt;=LedTo,OR(I1578=LedAcct,K1578=LedAcct,AND(LedAcct=acctTax,M1578+N1578&lt;&gt;0))),E1578*10000+B1578,""),"")</f>
        <v/>
      </c>
    </row>
    <row r="1579">
      <c r="B1579" s="101" t="n">
        <v>1573</v>
      </c>
      <c r="C1579" s="58" t="inlineStr">
        <is>
          <t>Transaction</t>
        </is>
      </c>
      <c r="D1579" s="58">
        <f>IF(H1579=1,INDEX(tx_ID,1573)&amp;"","")</f>
        <v/>
      </c>
      <c r="E1579" s="94">
        <f>IF(H1579=1,INDEX(tx_Date,1573),"")</f>
        <v/>
      </c>
      <c r="F1579" s="58">
        <f>IF(H1579=1,INDEX(tx_Desc,1573)&amp;"","")</f>
        <v/>
      </c>
      <c r="G1579" s="58">
        <f>IF(H1579=1,IF(INDEX(tx_Cust,1573)&amp;""&lt;&gt;"",INDEX(tx_Cust,1573)&amp;"",INDEX(tx_Vend,1573)&amp;""),"")</f>
        <v/>
      </c>
      <c r="H1579" s="101">
        <f>IFERROR(N(INDEX(tx_Posted,1573)),0)</f>
        <v/>
      </c>
      <c r="I1579" s="58">
        <f>IF(H1579=1,INDEX(tx_DrAcct,1573)&amp;"","")</f>
        <v/>
      </c>
      <c r="J1579" s="95">
        <f>IF(H1579=1,INDEX(tx_DrAmt,1573),0)</f>
        <v/>
      </c>
      <c r="K1579" s="58">
        <f>IF(H1579=1,INDEX(tx_CrAcct,1573)&amp;"","")</f>
        <v/>
      </c>
      <c r="L1579" s="95">
        <f>IF(H1579=1,INDEX(tx_CrAmt,1573),0)</f>
        <v/>
      </c>
      <c r="M1579" s="95">
        <f>IF(H1579=1,INDEX(tx_TaxDr,1573),0)</f>
        <v/>
      </c>
      <c r="N1579" s="95">
        <f>IF(H1579=1,INDEX(tx_TaxCr,1573),0)</f>
        <v/>
      </c>
      <c r="O1579" s="101">
        <f>IF(H1579=1,IF(E1579&lt;FYStart,0,IF(E1579&gt;FYEnd,13,YEAR(E1579)*12+MONTH(E1579)-FYYM+1)),"")</f>
        <v/>
      </c>
      <c r="P1579" s="101">
        <f>IF(H1579=1,IF(IFERROR(INDEX(coa_CF,MATCH(I1579,coa_Name,0)),"")="Cash",1,0),0)</f>
        <v/>
      </c>
      <c r="Q1579" s="101">
        <f>IF(H1579=1,IF(IFERROR(INDEX(coa_CF,MATCH(K1579,coa_Name,0)),"")="Cash",1,0),0)</f>
        <v/>
      </c>
      <c r="R1579" s="58">
        <f>IF((P1579-Q1579)=0,"",IFERROR(INDEX(coa_CF,MATCH(IF((P1579-Q1579)=1,K1579,I1579),coa_Name,0)),"Operating"))</f>
        <v/>
      </c>
      <c r="S1579" s="95">
        <f>IF((P1579-Q1579)=1,L1579,IF((P1579-Q1579)=-1,-J1579,0))</f>
        <v/>
      </c>
      <c r="T1579" s="95">
        <f>IF((P1579-Q1579)=1,N1579,IF((P1579-Q1579)=-1,-M1579,0))</f>
        <v/>
      </c>
      <c r="U1579" s="101">
        <f>IF(AND(H1579=1,LedAcct&lt;&gt;""),IF(AND(E1579&gt;=LedFrom,E1579&lt;=LedTo,OR(I1579=LedAcct,K1579=LedAcct,AND(LedAcct=acctTax,M1579+N1579&lt;&gt;0))),E1579*10000+B1579,""),"")</f>
        <v/>
      </c>
    </row>
    <row r="1580">
      <c r="B1580" s="101" t="n">
        <v>1574</v>
      </c>
      <c r="C1580" s="58" t="inlineStr">
        <is>
          <t>Transaction</t>
        </is>
      </c>
      <c r="D1580" s="58">
        <f>IF(H1580=1,INDEX(tx_ID,1574)&amp;"","")</f>
        <v/>
      </c>
      <c r="E1580" s="94">
        <f>IF(H1580=1,INDEX(tx_Date,1574),"")</f>
        <v/>
      </c>
      <c r="F1580" s="58">
        <f>IF(H1580=1,INDEX(tx_Desc,1574)&amp;"","")</f>
        <v/>
      </c>
      <c r="G1580" s="58">
        <f>IF(H1580=1,IF(INDEX(tx_Cust,1574)&amp;""&lt;&gt;"",INDEX(tx_Cust,1574)&amp;"",INDEX(tx_Vend,1574)&amp;""),"")</f>
        <v/>
      </c>
      <c r="H1580" s="101">
        <f>IFERROR(N(INDEX(tx_Posted,1574)),0)</f>
        <v/>
      </c>
      <c r="I1580" s="58">
        <f>IF(H1580=1,INDEX(tx_DrAcct,1574)&amp;"","")</f>
        <v/>
      </c>
      <c r="J1580" s="95">
        <f>IF(H1580=1,INDEX(tx_DrAmt,1574),0)</f>
        <v/>
      </c>
      <c r="K1580" s="58">
        <f>IF(H1580=1,INDEX(tx_CrAcct,1574)&amp;"","")</f>
        <v/>
      </c>
      <c r="L1580" s="95">
        <f>IF(H1580=1,INDEX(tx_CrAmt,1574),0)</f>
        <v/>
      </c>
      <c r="M1580" s="95">
        <f>IF(H1580=1,INDEX(tx_TaxDr,1574),0)</f>
        <v/>
      </c>
      <c r="N1580" s="95">
        <f>IF(H1580=1,INDEX(tx_TaxCr,1574),0)</f>
        <v/>
      </c>
      <c r="O1580" s="101">
        <f>IF(H1580=1,IF(E1580&lt;FYStart,0,IF(E1580&gt;FYEnd,13,YEAR(E1580)*12+MONTH(E1580)-FYYM+1)),"")</f>
        <v/>
      </c>
      <c r="P1580" s="101">
        <f>IF(H1580=1,IF(IFERROR(INDEX(coa_CF,MATCH(I1580,coa_Name,0)),"")="Cash",1,0),0)</f>
        <v/>
      </c>
      <c r="Q1580" s="101">
        <f>IF(H1580=1,IF(IFERROR(INDEX(coa_CF,MATCH(K1580,coa_Name,0)),"")="Cash",1,0),0)</f>
        <v/>
      </c>
      <c r="R1580" s="58">
        <f>IF((P1580-Q1580)=0,"",IFERROR(INDEX(coa_CF,MATCH(IF((P1580-Q1580)=1,K1580,I1580),coa_Name,0)),"Operating"))</f>
        <v/>
      </c>
      <c r="S1580" s="95">
        <f>IF((P1580-Q1580)=1,L1580,IF((P1580-Q1580)=-1,-J1580,0))</f>
        <v/>
      </c>
      <c r="T1580" s="95">
        <f>IF((P1580-Q1580)=1,N1580,IF((P1580-Q1580)=-1,-M1580,0))</f>
        <v/>
      </c>
      <c r="U1580" s="101">
        <f>IF(AND(H1580=1,LedAcct&lt;&gt;""),IF(AND(E1580&gt;=LedFrom,E1580&lt;=LedTo,OR(I1580=LedAcct,K1580=LedAcct,AND(LedAcct=acctTax,M1580+N1580&lt;&gt;0))),E1580*10000+B1580,""),"")</f>
        <v/>
      </c>
    </row>
    <row r="1581">
      <c r="B1581" s="101" t="n">
        <v>1575</v>
      </c>
      <c r="C1581" s="58" t="inlineStr">
        <is>
          <t>Transaction</t>
        </is>
      </c>
      <c r="D1581" s="58">
        <f>IF(H1581=1,INDEX(tx_ID,1575)&amp;"","")</f>
        <v/>
      </c>
      <c r="E1581" s="94">
        <f>IF(H1581=1,INDEX(tx_Date,1575),"")</f>
        <v/>
      </c>
      <c r="F1581" s="58">
        <f>IF(H1581=1,INDEX(tx_Desc,1575)&amp;"","")</f>
        <v/>
      </c>
      <c r="G1581" s="58">
        <f>IF(H1581=1,IF(INDEX(tx_Cust,1575)&amp;""&lt;&gt;"",INDEX(tx_Cust,1575)&amp;"",INDEX(tx_Vend,1575)&amp;""),"")</f>
        <v/>
      </c>
      <c r="H1581" s="101">
        <f>IFERROR(N(INDEX(tx_Posted,1575)),0)</f>
        <v/>
      </c>
      <c r="I1581" s="58">
        <f>IF(H1581=1,INDEX(tx_DrAcct,1575)&amp;"","")</f>
        <v/>
      </c>
      <c r="J1581" s="95">
        <f>IF(H1581=1,INDEX(tx_DrAmt,1575),0)</f>
        <v/>
      </c>
      <c r="K1581" s="58">
        <f>IF(H1581=1,INDEX(tx_CrAcct,1575)&amp;"","")</f>
        <v/>
      </c>
      <c r="L1581" s="95">
        <f>IF(H1581=1,INDEX(tx_CrAmt,1575),0)</f>
        <v/>
      </c>
      <c r="M1581" s="95">
        <f>IF(H1581=1,INDEX(tx_TaxDr,1575),0)</f>
        <v/>
      </c>
      <c r="N1581" s="95">
        <f>IF(H1581=1,INDEX(tx_TaxCr,1575),0)</f>
        <v/>
      </c>
      <c r="O1581" s="101">
        <f>IF(H1581=1,IF(E1581&lt;FYStart,0,IF(E1581&gt;FYEnd,13,YEAR(E1581)*12+MONTH(E1581)-FYYM+1)),"")</f>
        <v/>
      </c>
      <c r="P1581" s="101">
        <f>IF(H1581=1,IF(IFERROR(INDEX(coa_CF,MATCH(I1581,coa_Name,0)),"")="Cash",1,0),0)</f>
        <v/>
      </c>
      <c r="Q1581" s="101">
        <f>IF(H1581=1,IF(IFERROR(INDEX(coa_CF,MATCH(K1581,coa_Name,0)),"")="Cash",1,0),0)</f>
        <v/>
      </c>
      <c r="R1581" s="58">
        <f>IF((P1581-Q1581)=0,"",IFERROR(INDEX(coa_CF,MATCH(IF((P1581-Q1581)=1,K1581,I1581),coa_Name,0)),"Operating"))</f>
        <v/>
      </c>
      <c r="S1581" s="95">
        <f>IF((P1581-Q1581)=1,L1581,IF((P1581-Q1581)=-1,-J1581,0))</f>
        <v/>
      </c>
      <c r="T1581" s="95">
        <f>IF((P1581-Q1581)=1,N1581,IF((P1581-Q1581)=-1,-M1581,0))</f>
        <v/>
      </c>
      <c r="U1581" s="101">
        <f>IF(AND(H1581=1,LedAcct&lt;&gt;""),IF(AND(E1581&gt;=LedFrom,E1581&lt;=LedTo,OR(I1581=LedAcct,K1581=LedAcct,AND(LedAcct=acctTax,M1581+N1581&lt;&gt;0))),E1581*10000+B1581,""),"")</f>
        <v/>
      </c>
    </row>
    <row r="1582">
      <c r="B1582" s="101" t="n">
        <v>1576</v>
      </c>
      <c r="C1582" s="58" t="inlineStr">
        <is>
          <t>Transaction</t>
        </is>
      </c>
      <c r="D1582" s="58">
        <f>IF(H1582=1,INDEX(tx_ID,1576)&amp;"","")</f>
        <v/>
      </c>
      <c r="E1582" s="94">
        <f>IF(H1582=1,INDEX(tx_Date,1576),"")</f>
        <v/>
      </c>
      <c r="F1582" s="58">
        <f>IF(H1582=1,INDEX(tx_Desc,1576)&amp;"","")</f>
        <v/>
      </c>
      <c r="G1582" s="58">
        <f>IF(H1582=1,IF(INDEX(tx_Cust,1576)&amp;""&lt;&gt;"",INDEX(tx_Cust,1576)&amp;"",INDEX(tx_Vend,1576)&amp;""),"")</f>
        <v/>
      </c>
      <c r="H1582" s="101">
        <f>IFERROR(N(INDEX(tx_Posted,1576)),0)</f>
        <v/>
      </c>
      <c r="I1582" s="58">
        <f>IF(H1582=1,INDEX(tx_DrAcct,1576)&amp;"","")</f>
        <v/>
      </c>
      <c r="J1582" s="95">
        <f>IF(H1582=1,INDEX(tx_DrAmt,1576),0)</f>
        <v/>
      </c>
      <c r="K1582" s="58">
        <f>IF(H1582=1,INDEX(tx_CrAcct,1576)&amp;"","")</f>
        <v/>
      </c>
      <c r="L1582" s="95">
        <f>IF(H1582=1,INDEX(tx_CrAmt,1576),0)</f>
        <v/>
      </c>
      <c r="M1582" s="95">
        <f>IF(H1582=1,INDEX(tx_TaxDr,1576),0)</f>
        <v/>
      </c>
      <c r="N1582" s="95">
        <f>IF(H1582=1,INDEX(tx_TaxCr,1576),0)</f>
        <v/>
      </c>
      <c r="O1582" s="101">
        <f>IF(H1582=1,IF(E1582&lt;FYStart,0,IF(E1582&gt;FYEnd,13,YEAR(E1582)*12+MONTH(E1582)-FYYM+1)),"")</f>
        <v/>
      </c>
      <c r="P1582" s="101">
        <f>IF(H1582=1,IF(IFERROR(INDEX(coa_CF,MATCH(I1582,coa_Name,0)),"")="Cash",1,0),0)</f>
        <v/>
      </c>
      <c r="Q1582" s="101">
        <f>IF(H1582=1,IF(IFERROR(INDEX(coa_CF,MATCH(K1582,coa_Name,0)),"")="Cash",1,0),0)</f>
        <v/>
      </c>
      <c r="R1582" s="58">
        <f>IF((P1582-Q1582)=0,"",IFERROR(INDEX(coa_CF,MATCH(IF((P1582-Q1582)=1,K1582,I1582),coa_Name,0)),"Operating"))</f>
        <v/>
      </c>
      <c r="S1582" s="95">
        <f>IF((P1582-Q1582)=1,L1582,IF((P1582-Q1582)=-1,-J1582,0))</f>
        <v/>
      </c>
      <c r="T1582" s="95">
        <f>IF((P1582-Q1582)=1,N1582,IF((P1582-Q1582)=-1,-M1582,0))</f>
        <v/>
      </c>
      <c r="U1582" s="101">
        <f>IF(AND(H1582=1,LedAcct&lt;&gt;""),IF(AND(E1582&gt;=LedFrom,E1582&lt;=LedTo,OR(I1582=LedAcct,K1582=LedAcct,AND(LedAcct=acctTax,M1582+N1582&lt;&gt;0))),E1582*10000+B1582,""),"")</f>
        <v/>
      </c>
    </row>
    <row r="1583">
      <c r="B1583" s="101" t="n">
        <v>1577</v>
      </c>
      <c r="C1583" s="58" t="inlineStr">
        <is>
          <t>Transaction</t>
        </is>
      </c>
      <c r="D1583" s="58">
        <f>IF(H1583=1,INDEX(tx_ID,1577)&amp;"","")</f>
        <v/>
      </c>
      <c r="E1583" s="94">
        <f>IF(H1583=1,INDEX(tx_Date,1577),"")</f>
        <v/>
      </c>
      <c r="F1583" s="58">
        <f>IF(H1583=1,INDEX(tx_Desc,1577)&amp;"","")</f>
        <v/>
      </c>
      <c r="G1583" s="58">
        <f>IF(H1583=1,IF(INDEX(tx_Cust,1577)&amp;""&lt;&gt;"",INDEX(tx_Cust,1577)&amp;"",INDEX(tx_Vend,1577)&amp;""),"")</f>
        <v/>
      </c>
      <c r="H1583" s="101">
        <f>IFERROR(N(INDEX(tx_Posted,1577)),0)</f>
        <v/>
      </c>
      <c r="I1583" s="58">
        <f>IF(H1583=1,INDEX(tx_DrAcct,1577)&amp;"","")</f>
        <v/>
      </c>
      <c r="J1583" s="95">
        <f>IF(H1583=1,INDEX(tx_DrAmt,1577),0)</f>
        <v/>
      </c>
      <c r="K1583" s="58">
        <f>IF(H1583=1,INDEX(tx_CrAcct,1577)&amp;"","")</f>
        <v/>
      </c>
      <c r="L1583" s="95">
        <f>IF(H1583=1,INDEX(tx_CrAmt,1577),0)</f>
        <v/>
      </c>
      <c r="M1583" s="95">
        <f>IF(H1583=1,INDEX(tx_TaxDr,1577),0)</f>
        <v/>
      </c>
      <c r="N1583" s="95">
        <f>IF(H1583=1,INDEX(tx_TaxCr,1577),0)</f>
        <v/>
      </c>
      <c r="O1583" s="101">
        <f>IF(H1583=1,IF(E1583&lt;FYStart,0,IF(E1583&gt;FYEnd,13,YEAR(E1583)*12+MONTH(E1583)-FYYM+1)),"")</f>
        <v/>
      </c>
      <c r="P1583" s="101">
        <f>IF(H1583=1,IF(IFERROR(INDEX(coa_CF,MATCH(I1583,coa_Name,0)),"")="Cash",1,0),0)</f>
        <v/>
      </c>
      <c r="Q1583" s="101">
        <f>IF(H1583=1,IF(IFERROR(INDEX(coa_CF,MATCH(K1583,coa_Name,0)),"")="Cash",1,0),0)</f>
        <v/>
      </c>
      <c r="R1583" s="58">
        <f>IF((P1583-Q1583)=0,"",IFERROR(INDEX(coa_CF,MATCH(IF((P1583-Q1583)=1,K1583,I1583),coa_Name,0)),"Operating"))</f>
        <v/>
      </c>
      <c r="S1583" s="95">
        <f>IF((P1583-Q1583)=1,L1583,IF((P1583-Q1583)=-1,-J1583,0))</f>
        <v/>
      </c>
      <c r="T1583" s="95">
        <f>IF((P1583-Q1583)=1,N1583,IF((P1583-Q1583)=-1,-M1583,0))</f>
        <v/>
      </c>
      <c r="U1583" s="101">
        <f>IF(AND(H1583=1,LedAcct&lt;&gt;""),IF(AND(E1583&gt;=LedFrom,E1583&lt;=LedTo,OR(I1583=LedAcct,K1583=LedAcct,AND(LedAcct=acctTax,M1583+N1583&lt;&gt;0))),E1583*10000+B1583,""),"")</f>
        <v/>
      </c>
    </row>
    <row r="1584">
      <c r="B1584" s="101" t="n">
        <v>1578</v>
      </c>
      <c r="C1584" s="58" t="inlineStr">
        <is>
          <t>Transaction</t>
        </is>
      </c>
      <c r="D1584" s="58">
        <f>IF(H1584=1,INDEX(tx_ID,1578)&amp;"","")</f>
        <v/>
      </c>
      <c r="E1584" s="94">
        <f>IF(H1584=1,INDEX(tx_Date,1578),"")</f>
        <v/>
      </c>
      <c r="F1584" s="58">
        <f>IF(H1584=1,INDEX(tx_Desc,1578)&amp;"","")</f>
        <v/>
      </c>
      <c r="G1584" s="58">
        <f>IF(H1584=1,IF(INDEX(tx_Cust,1578)&amp;""&lt;&gt;"",INDEX(tx_Cust,1578)&amp;"",INDEX(tx_Vend,1578)&amp;""),"")</f>
        <v/>
      </c>
      <c r="H1584" s="101">
        <f>IFERROR(N(INDEX(tx_Posted,1578)),0)</f>
        <v/>
      </c>
      <c r="I1584" s="58">
        <f>IF(H1584=1,INDEX(tx_DrAcct,1578)&amp;"","")</f>
        <v/>
      </c>
      <c r="J1584" s="95">
        <f>IF(H1584=1,INDEX(tx_DrAmt,1578),0)</f>
        <v/>
      </c>
      <c r="K1584" s="58">
        <f>IF(H1584=1,INDEX(tx_CrAcct,1578)&amp;"","")</f>
        <v/>
      </c>
      <c r="L1584" s="95">
        <f>IF(H1584=1,INDEX(tx_CrAmt,1578),0)</f>
        <v/>
      </c>
      <c r="M1584" s="95">
        <f>IF(H1584=1,INDEX(tx_TaxDr,1578),0)</f>
        <v/>
      </c>
      <c r="N1584" s="95">
        <f>IF(H1584=1,INDEX(tx_TaxCr,1578),0)</f>
        <v/>
      </c>
      <c r="O1584" s="101">
        <f>IF(H1584=1,IF(E1584&lt;FYStart,0,IF(E1584&gt;FYEnd,13,YEAR(E1584)*12+MONTH(E1584)-FYYM+1)),"")</f>
        <v/>
      </c>
      <c r="P1584" s="101">
        <f>IF(H1584=1,IF(IFERROR(INDEX(coa_CF,MATCH(I1584,coa_Name,0)),"")="Cash",1,0),0)</f>
        <v/>
      </c>
      <c r="Q1584" s="101">
        <f>IF(H1584=1,IF(IFERROR(INDEX(coa_CF,MATCH(K1584,coa_Name,0)),"")="Cash",1,0),0)</f>
        <v/>
      </c>
      <c r="R1584" s="58">
        <f>IF((P1584-Q1584)=0,"",IFERROR(INDEX(coa_CF,MATCH(IF((P1584-Q1584)=1,K1584,I1584),coa_Name,0)),"Operating"))</f>
        <v/>
      </c>
      <c r="S1584" s="95">
        <f>IF((P1584-Q1584)=1,L1584,IF((P1584-Q1584)=-1,-J1584,0))</f>
        <v/>
      </c>
      <c r="T1584" s="95">
        <f>IF((P1584-Q1584)=1,N1584,IF((P1584-Q1584)=-1,-M1584,0))</f>
        <v/>
      </c>
      <c r="U1584" s="101">
        <f>IF(AND(H1584=1,LedAcct&lt;&gt;""),IF(AND(E1584&gt;=LedFrom,E1584&lt;=LedTo,OR(I1584=LedAcct,K1584=LedAcct,AND(LedAcct=acctTax,M1584+N1584&lt;&gt;0))),E1584*10000+B1584,""),"")</f>
        <v/>
      </c>
    </row>
    <row r="1585">
      <c r="B1585" s="101" t="n">
        <v>1579</v>
      </c>
      <c r="C1585" s="58" t="inlineStr">
        <is>
          <t>Transaction</t>
        </is>
      </c>
      <c r="D1585" s="58">
        <f>IF(H1585=1,INDEX(tx_ID,1579)&amp;"","")</f>
        <v/>
      </c>
      <c r="E1585" s="94">
        <f>IF(H1585=1,INDEX(tx_Date,1579),"")</f>
        <v/>
      </c>
      <c r="F1585" s="58">
        <f>IF(H1585=1,INDEX(tx_Desc,1579)&amp;"","")</f>
        <v/>
      </c>
      <c r="G1585" s="58">
        <f>IF(H1585=1,IF(INDEX(tx_Cust,1579)&amp;""&lt;&gt;"",INDEX(tx_Cust,1579)&amp;"",INDEX(tx_Vend,1579)&amp;""),"")</f>
        <v/>
      </c>
      <c r="H1585" s="101">
        <f>IFERROR(N(INDEX(tx_Posted,1579)),0)</f>
        <v/>
      </c>
      <c r="I1585" s="58">
        <f>IF(H1585=1,INDEX(tx_DrAcct,1579)&amp;"","")</f>
        <v/>
      </c>
      <c r="J1585" s="95">
        <f>IF(H1585=1,INDEX(tx_DrAmt,1579),0)</f>
        <v/>
      </c>
      <c r="K1585" s="58">
        <f>IF(H1585=1,INDEX(tx_CrAcct,1579)&amp;"","")</f>
        <v/>
      </c>
      <c r="L1585" s="95">
        <f>IF(H1585=1,INDEX(tx_CrAmt,1579),0)</f>
        <v/>
      </c>
      <c r="M1585" s="95">
        <f>IF(H1585=1,INDEX(tx_TaxDr,1579),0)</f>
        <v/>
      </c>
      <c r="N1585" s="95">
        <f>IF(H1585=1,INDEX(tx_TaxCr,1579),0)</f>
        <v/>
      </c>
      <c r="O1585" s="101">
        <f>IF(H1585=1,IF(E1585&lt;FYStart,0,IF(E1585&gt;FYEnd,13,YEAR(E1585)*12+MONTH(E1585)-FYYM+1)),"")</f>
        <v/>
      </c>
      <c r="P1585" s="101">
        <f>IF(H1585=1,IF(IFERROR(INDEX(coa_CF,MATCH(I1585,coa_Name,0)),"")="Cash",1,0),0)</f>
        <v/>
      </c>
      <c r="Q1585" s="101">
        <f>IF(H1585=1,IF(IFERROR(INDEX(coa_CF,MATCH(K1585,coa_Name,0)),"")="Cash",1,0),0)</f>
        <v/>
      </c>
      <c r="R1585" s="58">
        <f>IF((P1585-Q1585)=0,"",IFERROR(INDEX(coa_CF,MATCH(IF((P1585-Q1585)=1,K1585,I1585),coa_Name,0)),"Operating"))</f>
        <v/>
      </c>
      <c r="S1585" s="95">
        <f>IF((P1585-Q1585)=1,L1585,IF((P1585-Q1585)=-1,-J1585,0))</f>
        <v/>
      </c>
      <c r="T1585" s="95">
        <f>IF((P1585-Q1585)=1,N1585,IF((P1585-Q1585)=-1,-M1585,0))</f>
        <v/>
      </c>
      <c r="U1585" s="101">
        <f>IF(AND(H1585=1,LedAcct&lt;&gt;""),IF(AND(E1585&gt;=LedFrom,E1585&lt;=LedTo,OR(I1585=LedAcct,K1585=LedAcct,AND(LedAcct=acctTax,M1585+N1585&lt;&gt;0))),E1585*10000+B1585,""),"")</f>
        <v/>
      </c>
    </row>
    <row r="1586">
      <c r="B1586" s="101" t="n">
        <v>1580</v>
      </c>
      <c r="C1586" s="58" t="inlineStr">
        <is>
          <t>Transaction</t>
        </is>
      </c>
      <c r="D1586" s="58">
        <f>IF(H1586=1,INDEX(tx_ID,1580)&amp;"","")</f>
        <v/>
      </c>
      <c r="E1586" s="94">
        <f>IF(H1586=1,INDEX(tx_Date,1580),"")</f>
        <v/>
      </c>
      <c r="F1586" s="58">
        <f>IF(H1586=1,INDEX(tx_Desc,1580)&amp;"","")</f>
        <v/>
      </c>
      <c r="G1586" s="58">
        <f>IF(H1586=1,IF(INDEX(tx_Cust,1580)&amp;""&lt;&gt;"",INDEX(tx_Cust,1580)&amp;"",INDEX(tx_Vend,1580)&amp;""),"")</f>
        <v/>
      </c>
      <c r="H1586" s="101">
        <f>IFERROR(N(INDEX(tx_Posted,1580)),0)</f>
        <v/>
      </c>
      <c r="I1586" s="58">
        <f>IF(H1586=1,INDEX(tx_DrAcct,1580)&amp;"","")</f>
        <v/>
      </c>
      <c r="J1586" s="95">
        <f>IF(H1586=1,INDEX(tx_DrAmt,1580),0)</f>
        <v/>
      </c>
      <c r="K1586" s="58">
        <f>IF(H1586=1,INDEX(tx_CrAcct,1580)&amp;"","")</f>
        <v/>
      </c>
      <c r="L1586" s="95">
        <f>IF(H1586=1,INDEX(tx_CrAmt,1580),0)</f>
        <v/>
      </c>
      <c r="M1586" s="95">
        <f>IF(H1586=1,INDEX(tx_TaxDr,1580),0)</f>
        <v/>
      </c>
      <c r="N1586" s="95">
        <f>IF(H1586=1,INDEX(tx_TaxCr,1580),0)</f>
        <v/>
      </c>
      <c r="O1586" s="101">
        <f>IF(H1586=1,IF(E1586&lt;FYStart,0,IF(E1586&gt;FYEnd,13,YEAR(E1586)*12+MONTH(E1586)-FYYM+1)),"")</f>
        <v/>
      </c>
      <c r="P1586" s="101">
        <f>IF(H1586=1,IF(IFERROR(INDEX(coa_CF,MATCH(I1586,coa_Name,0)),"")="Cash",1,0),0)</f>
        <v/>
      </c>
      <c r="Q1586" s="101">
        <f>IF(H1586=1,IF(IFERROR(INDEX(coa_CF,MATCH(K1586,coa_Name,0)),"")="Cash",1,0),0)</f>
        <v/>
      </c>
      <c r="R1586" s="58">
        <f>IF((P1586-Q1586)=0,"",IFERROR(INDEX(coa_CF,MATCH(IF((P1586-Q1586)=1,K1586,I1586),coa_Name,0)),"Operating"))</f>
        <v/>
      </c>
      <c r="S1586" s="95">
        <f>IF((P1586-Q1586)=1,L1586,IF((P1586-Q1586)=-1,-J1586,0))</f>
        <v/>
      </c>
      <c r="T1586" s="95">
        <f>IF((P1586-Q1586)=1,N1586,IF((P1586-Q1586)=-1,-M1586,0))</f>
        <v/>
      </c>
      <c r="U1586" s="101">
        <f>IF(AND(H1586=1,LedAcct&lt;&gt;""),IF(AND(E1586&gt;=LedFrom,E1586&lt;=LedTo,OR(I1586=LedAcct,K1586=LedAcct,AND(LedAcct=acctTax,M1586+N1586&lt;&gt;0))),E1586*10000+B1586,""),"")</f>
        <v/>
      </c>
    </row>
    <row r="1587">
      <c r="B1587" s="101" t="n">
        <v>1581</v>
      </c>
      <c r="C1587" s="58" t="inlineStr">
        <is>
          <t>Transaction</t>
        </is>
      </c>
      <c r="D1587" s="58">
        <f>IF(H1587=1,INDEX(tx_ID,1581)&amp;"","")</f>
        <v/>
      </c>
      <c r="E1587" s="94">
        <f>IF(H1587=1,INDEX(tx_Date,1581),"")</f>
        <v/>
      </c>
      <c r="F1587" s="58">
        <f>IF(H1587=1,INDEX(tx_Desc,1581)&amp;"","")</f>
        <v/>
      </c>
      <c r="G1587" s="58">
        <f>IF(H1587=1,IF(INDEX(tx_Cust,1581)&amp;""&lt;&gt;"",INDEX(tx_Cust,1581)&amp;"",INDEX(tx_Vend,1581)&amp;""),"")</f>
        <v/>
      </c>
      <c r="H1587" s="101">
        <f>IFERROR(N(INDEX(tx_Posted,1581)),0)</f>
        <v/>
      </c>
      <c r="I1587" s="58">
        <f>IF(H1587=1,INDEX(tx_DrAcct,1581)&amp;"","")</f>
        <v/>
      </c>
      <c r="J1587" s="95">
        <f>IF(H1587=1,INDEX(tx_DrAmt,1581),0)</f>
        <v/>
      </c>
      <c r="K1587" s="58">
        <f>IF(H1587=1,INDEX(tx_CrAcct,1581)&amp;"","")</f>
        <v/>
      </c>
      <c r="L1587" s="95">
        <f>IF(H1587=1,INDEX(tx_CrAmt,1581),0)</f>
        <v/>
      </c>
      <c r="M1587" s="95">
        <f>IF(H1587=1,INDEX(tx_TaxDr,1581),0)</f>
        <v/>
      </c>
      <c r="N1587" s="95">
        <f>IF(H1587=1,INDEX(tx_TaxCr,1581),0)</f>
        <v/>
      </c>
      <c r="O1587" s="101">
        <f>IF(H1587=1,IF(E1587&lt;FYStart,0,IF(E1587&gt;FYEnd,13,YEAR(E1587)*12+MONTH(E1587)-FYYM+1)),"")</f>
        <v/>
      </c>
      <c r="P1587" s="101">
        <f>IF(H1587=1,IF(IFERROR(INDEX(coa_CF,MATCH(I1587,coa_Name,0)),"")="Cash",1,0),0)</f>
        <v/>
      </c>
      <c r="Q1587" s="101">
        <f>IF(H1587=1,IF(IFERROR(INDEX(coa_CF,MATCH(K1587,coa_Name,0)),"")="Cash",1,0),0)</f>
        <v/>
      </c>
      <c r="R1587" s="58">
        <f>IF((P1587-Q1587)=0,"",IFERROR(INDEX(coa_CF,MATCH(IF((P1587-Q1587)=1,K1587,I1587),coa_Name,0)),"Operating"))</f>
        <v/>
      </c>
      <c r="S1587" s="95">
        <f>IF((P1587-Q1587)=1,L1587,IF((P1587-Q1587)=-1,-J1587,0))</f>
        <v/>
      </c>
      <c r="T1587" s="95">
        <f>IF((P1587-Q1587)=1,N1587,IF((P1587-Q1587)=-1,-M1587,0))</f>
        <v/>
      </c>
      <c r="U1587" s="101">
        <f>IF(AND(H1587=1,LedAcct&lt;&gt;""),IF(AND(E1587&gt;=LedFrom,E1587&lt;=LedTo,OR(I1587=LedAcct,K1587=LedAcct,AND(LedAcct=acctTax,M1587+N1587&lt;&gt;0))),E1587*10000+B1587,""),"")</f>
        <v/>
      </c>
    </row>
    <row r="1588">
      <c r="B1588" s="101" t="n">
        <v>1582</v>
      </c>
      <c r="C1588" s="58" t="inlineStr">
        <is>
          <t>Transaction</t>
        </is>
      </c>
      <c r="D1588" s="58">
        <f>IF(H1588=1,INDEX(tx_ID,1582)&amp;"","")</f>
        <v/>
      </c>
      <c r="E1588" s="94">
        <f>IF(H1588=1,INDEX(tx_Date,1582),"")</f>
        <v/>
      </c>
      <c r="F1588" s="58">
        <f>IF(H1588=1,INDEX(tx_Desc,1582)&amp;"","")</f>
        <v/>
      </c>
      <c r="G1588" s="58">
        <f>IF(H1588=1,IF(INDEX(tx_Cust,1582)&amp;""&lt;&gt;"",INDEX(tx_Cust,1582)&amp;"",INDEX(tx_Vend,1582)&amp;""),"")</f>
        <v/>
      </c>
      <c r="H1588" s="101">
        <f>IFERROR(N(INDEX(tx_Posted,1582)),0)</f>
        <v/>
      </c>
      <c r="I1588" s="58">
        <f>IF(H1588=1,INDEX(tx_DrAcct,1582)&amp;"","")</f>
        <v/>
      </c>
      <c r="J1588" s="95">
        <f>IF(H1588=1,INDEX(tx_DrAmt,1582),0)</f>
        <v/>
      </c>
      <c r="K1588" s="58">
        <f>IF(H1588=1,INDEX(tx_CrAcct,1582)&amp;"","")</f>
        <v/>
      </c>
      <c r="L1588" s="95">
        <f>IF(H1588=1,INDEX(tx_CrAmt,1582),0)</f>
        <v/>
      </c>
      <c r="M1588" s="95">
        <f>IF(H1588=1,INDEX(tx_TaxDr,1582),0)</f>
        <v/>
      </c>
      <c r="N1588" s="95">
        <f>IF(H1588=1,INDEX(tx_TaxCr,1582),0)</f>
        <v/>
      </c>
      <c r="O1588" s="101">
        <f>IF(H1588=1,IF(E1588&lt;FYStart,0,IF(E1588&gt;FYEnd,13,YEAR(E1588)*12+MONTH(E1588)-FYYM+1)),"")</f>
        <v/>
      </c>
      <c r="P1588" s="101">
        <f>IF(H1588=1,IF(IFERROR(INDEX(coa_CF,MATCH(I1588,coa_Name,0)),"")="Cash",1,0),0)</f>
        <v/>
      </c>
      <c r="Q1588" s="101">
        <f>IF(H1588=1,IF(IFERROR(INDEX(coa_CF,MATCH(K1588,coa_Name,0)),"")="Cash",1,0),0)</f>
        <v/>
      </c>
      <c r="R1588" s="58">
        <f>IF((P1588-Q1588)=0,"",IFERROR(INDEX(coa_CF,MATCH(IF((P1588-Q1588)=1,K1588,I1588),coa_Name,0)),"Operating"))</f>
        <v/>
      </c>
      <c r="S1588" s="95">
        <f>IF((P1588-Q1588)=1,L1588,IF((P1588-Q1588)=-1,-J1588,0))</f>
        <v/>
      </c>
      <c r="T1588" s="95">
        <f>IF((P1588-Q1588)=1,N1588,IF((P1588-Q1588)=-1,-M1588,0))</f>
        <v/>
      </c>
      <c r="U1588" s="101">
        <f>IF(AND(H1588=1,LedAcct&lt;&gt;""),IF(AND(E1588&gt;=LedFrom,E1588&lt;=LedTo,OR(I1588=LedAcct,K1588=LedAcct,AND(LedAcct=acctTax,M1588+N1588&lt;&gt;0))),E1588*10000+B1588,""),"")</f>
        <v/>
      </c>
    </row>
    <row r="1589">
      <c r="B1589" s="101" t="n">
        <v>1583</v>
      </c>
      <c r="C1589" s="58" t="inlineStr">
        <is>
          <t>Transaction</t>
        </is>
      </c>
      <c r="D1589" s="58">
        <f>IF(H1589=1,INDEX(tx_ID,1583)&amp;"","")</f>
        <v/>
      </c>
      <c r="E1589" s="94">
        <f>IF(H1589=1,INDEX(tx_Date,1583),"")</f>
        <v/>
      </c>
      <c r="F1589" s="58">
        <f>IF(H1589=1,INDEX(tx_Desc,1583)&amp;"","")</f>
        <v/>
      </c>
      <c r="G1589" s="58">
        <f>IF(H1589=1,IF(INDEX(tx_Cust,1583)&amp;""&lt;&gt;"",INDEX(tx_Cust,1583)&amp;"",INDEX(tx_Vend,1583)&amp;""),"")</f>
        <v/>
      </c>
      <c r="H1589" s="101">
        <f>IFERROR(N(INDEX(tx_Posted,1583)),0)</f>
        <v/>
      </c>
      <c r="I1589" s="58">
        <f>IF(H1589=1,INDEX(tx_DrAcct,1583)&amp;"","")</f>
        <v/>
      </c>
      <c r="J1589" s="95">
        <f>IF(H1589=1,INDEX(tx_DrAmt,1583),0)</f>
        <v/>
      </c>
      <c r="K1589" s="58">
        <f>IF(H1589=1,INDEX(tx_CrAcct,1583)&amp;"","")</f>
        <v/>
      </c>
      <c r="L1589" s="95">
        <f>IF(H1589=1,INDEX(tx_CrAmt,1583),0)</f>
        <v/>
      </c>
      <c r="M1589" s="95">
        <f>IF(H1589=1,INDEX(tx_TaxDr,1583),0)</f>
        <v/>
      </c>
      <c r="N1589" s="95">
        <f>IF(H1589=1,INDEX(tx_TaxCr,1583),0)</f>
        <v/>
      </c>
      <c r="O1589" s="101">
        <f>IF(H1589=1,IF(E1589&lt;FYStart,0,IF(E1589&gt;FYEnd,13,YEAR(E1589)*12+MONTH(E1589)-FYYM+1)),"")</f>
        <v/>
      </c>
      <c r="P1589" s="101">
        <f>IF(H1589=1,IF(IFERROR(INDEX(coa_CF,MATCH(I1589,coa_Name,0)),"")="Cash",1,0),0)</f>
        <v/>
      </c>
      <c r="Q1589" s="101">
        <f>IF(H1589=1,IF(IFERROR(INDEX(coa_CF,MATCH(K1589,coa_Name,0)),"")="Cash",1,0),0)</f>
        <v/>
      </c>
      <c r="R1589" s="58">
        <f>IF((P1589-Q1589)=0,"",IFERROR(INDEX(coa_CF,MATCH(IF((P1589-Q1589)=1,K1589,I1589),coa_Name,0)),"Operating"))</f>
        <v/>
      </c>
      <c r="S1589" s="95">
        <f>IF((P1589-Q1589)=1,L1589,IF((P1589-Q1589)=-1,-J1589,0))</f>
        <v/>
      </c>
      <c r="T1589" s="95">
        <f>IF((P1589-Q1589)=1,N1589,IF((P1589-Q1589)=-1,-M1589,0))</f>
        <v/>
      </c>
      <c r="U1589" s="101">
        <f>IF(AND(H1589=1,LedAcct&lt;&gt;""),IF(AND(E1589&gt;=LedFrom,E1589&lt;=LedTo,OR(I1589=LedAcct,K1589=LedAcct,AND(LedAcct=acctTax,M1589+N1589&lt;&gt;0))),E1589*10000+B1589,""),"")</f>
        <v/>
      </c>
    </row>
    <row r="1590">
      <c r="B1590" s="101" t="n">
        <v>1584</v>
      </c>
      <c r="C1590" s="58" t="inlineStr">
        <is>
          <t>Transaction</t>
        </is>
      </c>
      <c r="D1590" s="58">
        <f>IF(H1590=1,INDEX(tx_ID,1584)&amp;"","")</f>
        <v/>
      </c>
      <c r="E1590" s="94">
        <f>IF(H1590=1,INDEX(tx_Date,1584),"")</f>
        <v/>
      </c>
      <c r="F1590" s="58">
        <f>IF(H1590=1,INDEX(tx_Desc,1584)&amp;"","")</f>
        <v/>
      </c>
      <c r="G1590" s="58">
        <f>IF(H1590=1,IF(INDEX(tx_Cust,1584)&amp;""&lt;&gt;"",INDEX(tx_Cust,1584)&amp;"",INDEX(tx_Vend,1584)&amp;""),"")</f>
        <v/>
      </c>
      <c r="H1590" s="101">
        <f>IFERROR(N(INDEX(tx_Posted,1584)),0)</f>
        <v/>
      </c>
      <c r="I1590" s="58">
        <f>IF(H1590=1,INDEX(tx_DrAcct,1584)&amp;"","")</f>
        <v/>
      </c>
      <c r="J1590" s="95">
        <f>IF(H1590=1,INDEX(tx_DrAmt,1584),0)</f>
        <v/>
      </c>
      <c r="K1590" s="58">
        <f>IF(H1590=1,INDEX(tx_CrAcct,1584)&amp;"","")</f>
        <v/>
      </c>
      <c r="L1590" s="95">
        <f>IF(H1590=1,INDEX(tx_CrAmt,1584),0)</f>
        <v/>
      </c>
      <c r="M1590" s="95">
        <f>IF(H1590=1,INDEX(tx_TaxDr,1584),0)</f>
        <v/>
      </c>
      <c r="N1590" s="95">
        <f>IF(H1590=1,INDEX(tx_TaxCr,1584),0)</f>
        <v/>
      </c>
      <c r="O1590" s="101">
        <f>IF(H1590=1,IF(E1590&lt;FYStart,0,IF(E1590&gt;FYEnd,13,YEAR(E1590)*12+MONTH(E1590)-FYYM+1)),"")</f>
        <v/>
      </c>
      <c r="P1590" s="101">
        <f>IF(H1590=1,IF(IFERROR(INDEX(coa_CF,MATCH(I1590,coa_Name,0)),"")="Cash",1,0),0)</f>
        <v/>
      </c>
      <c r="Q1590" s="101">
        <f>IF(H1590=1,IF(IFERROR(INDEX(coa_CF,MATCH(K1590,coa_Name,0)),"")="Cash",1,0),0)</f>
        <v/>
      </c>
      <c r="R1590" s="58">
        <f>IF((P1590-Q1590)=0,"",IFERROR(INDEX(coa_CF,MATCH(IF((P1590-Q1590)=1,K1590,I1590),coa_Name,0)),"Operating"))</f>
        <v/>
      </c>
      <c r="S1590" s="95">
        <f>IF((P1590-Q1590)=1,L1590,IF((P1590-Q1590)=-1,-J1590,0))</f>
        <v/>
      </c>
      <c r="T1590" s="95">
        <f>IF((P1590-Q1590)=1,N1590,IF((P1590-Q1590)=-1,-M1590,0))</f>
        <v/>
      </c>
      <c r="U1590" s="101">
        <f>IF(AND(H1590=1,LedAcct&lt;&gt;""),IF(AND(E1590&gt;=LedFrom,E1590&lt;=LedTo,OR(I1590=LedAcct,K1590=LedAcct,AND(LedAcct=acctTax,M1590+N1590&lt;&gt;0))),E1590*10000+B1590,""),"")</f>
        <v/>
      </c>
    </row>
    <row r="1591">
      <c r="B1591" s="101" t="n">
        <v>1585</v>
      </c>
      <c r="C1591" s="58" t="inlineStr">
        <is>
          <t>Transaction</t>
        </is>
      </c>
      <c r="D1591" s="58">
        <f>IF(H1591=1,INDEX(tx_ID,1585)&amp;"","")</f>
        <v/>
      </c>
      <c r="E1591" s="94">
        <f>IF(H1591=1,INDEX(tx_Date,1585),"")</f>
        <v/>
      </c>
      <c r="F1591" s="58">
        <f>IF(H1591=1,INDEX(tx_Desc,1585)&amp;"","")</f>
        <v/>
      </c>
      <c r="G1591" s="58">
        <f>IF(H1591=1,IF(INDEX(tx_Cust,1585)&amp;""&lt;&gt;"",INDEX(tx_Cust,1585)&amp;"",INDEX(tx_Vend,1585)&amp;""),"")</f>
        <v/>
      </c>
      <c r="H1591" s="101">
        <f>IFERROR(N(INDEX(tx_Posted,1585)),0)</f>
        <v/>
      </c>
      <c r="I1591" s="58">
        <f>IF(H1591=1,INDEX(tx_DrAcct,1585)&amp;"","")</f>
        <v/>
      </c>
      <c r="J1591" s="95">
        <f>IF(H1591=1,INDEX(tx_DrAmt,1585),0)</f>
        <v/>
      </c>
      <c r="K1591" s="58">
        <f>IF(H1591=1,INDEX(tx_CrAcct,1585)&amp;"","")</f>
        <v/>
      </c>
      <c r="L1591" s="95">
        <f>IF(H1591=1,INDEX(tx_CrAmt,1585),0)</f>
        <v/>
      </c>
      <c r="M1591" s="95">
        <f>IF(H1591=1,INDEX(tx_TaxDr,1585),0)</f>
        <v/>
      </c>
      <c r="N1591" s="95">
        <f>IF(H1591=1,INDEX(tx_TaxCr,1585),0)</f>
        <v/>
      </c>
      <c r="O1591" s="101">
        <f>IF(H1591=1,IF(E1591&lt;FYStart,0,IF(E1591&gt;FYEnd,13,YEAR(E1591)*12+MONTH(E1591)-FYYM+1)),"")</f>
        <v/>
      </c>
      <c r="P1591" s="101">
        <f>IF(H1591=1,IF(IFERROR(INDEX(coa_CF,MATCH(I1591,coa_Name,0)),"")="Cash",1,0),0)</f>
        <v/>
      </c>
      <c r="Q1591" s="101">
        <f>IF(H1591=1,IF(IFERROR(INDEX(coa_CF,MATCH(K1591,coa_Name,0)),"")="Cash",1,0),0)</f>
        <v/>
      </c>
      <c r="R1591" s="58">
        <f>IF((P1591-Q1591)=0,"",IFERROR(INDEX(coa_CF,MATCH(IF((P1591-Q1591)=1,K1591,I1591),coa_Name,0)),"Operating"))</f>
        <v/>
      </c>
      <c r="S1591" s="95">
        <f>IF((P1591-Q1591)=1,L1591,IF((P1591-Q1591)=-1,-J1591,0))</f>
        <v/>
      </c>
      <c r="T1591" s="95">
        <f>IF((P1591-Q1591)=1,N1591,IF((P1591-Q1591)=-1,-M1591,0))</f>
        <v/>
      </c>
      <c r="U1591" s="101">
        <f>IF(AND(H1591=1,LedAcct&lt;&gt;""),IF(AND(E1591&gt;=LedFrom,E1591&lt;=LedTo,OR(I1591=LedAcct,K1591=LedAcct,AND(LedAcct=acctTax,M1591+N1591&lt;&gt;0))),E1591*10000+B1591,""),"")</f>
        <v/>
      </c>
    </row>
    <row r="1592">
      <c r="B1592" s="101" t="n">
        <v>1586</v>
      </c>
      <c r="C1592" s="58" t="inlineStr">
        <is>
          <t>Transaction</t>
        </is>
      </c>
      <c r="D1592" s="58">
        <f>IF(H1592=1,INDEX(tx_ID,1586)&amp;"","")</f>
        <v/>
      </c>
      <c r="E1592" s="94">
        <f>IF(H1592=1,INDEX(tx_Date,1586),"")</f>
        <v/>
      </c>
      <c r="F1592" s="58">
        <f>IF(H1592=1,INDEX(tx_Desc,1586)&amp;"","")</f>
        <v/>
      </c>
      <c r="G1592" s="58">
        <f>IF(H1592=1,IF(INDEX(tx_Cust,1586)&amp;""&lt;&gt;"",INDEX(tx_Cust,1586)&amp;"",INDEX(tx_Vend,1586)&amp;""),"")</f>
        <v/>
      </c>
      <c r="H1592" s="101">
        <f>IFERROR(N(INDEX(tx_Posted,1586)),0)</f>
        <v/>
      </c>
      <c r="I1592" s="58">
        <f>IF(H1592=1,INDEX(tx_DrAcct,1586)&amp;"","")</f>
        <v/>
      </c>
      <c r="J1592" s="95">
        <f>IF(H1592=1,INDEX(tx_DrAmt,1586),0)</f>
        <v/>
      </c>
      <c r="K1592" s="58">
        <f>IF(H1592=1,INDEX(tx_CrAcct,1586)&amp;"","")</f>
        <v/>
      </c>
      <c r="L1592" s="95">
        <f>IF(H1592=1,INDEX(tx_CrAmt,1586),0)</f>
        <v/>
      </c>
      <c r="M1592" s="95">
        <f>IF(H1592=1,INDEX(tx_TaxDr,1586),0)</f>
        <v/>
      </c>
      <c r="N1592" s="95">
        <f>IF(H1592=1,INDEX(tx_TaxCr,1586),0)</f>
        <v/>
      </c>
      <c r="O1592" s="101">
        <f>IF(H1592=1,IF(E1592&lt;FYStart,0,IF(E1592&gt;FYEnd,13,YEAR(E1592)*12+MONTH(E1592)-FYYM+1)),"")</f>
        <v/>
      </c>
      <c r="P1592" s="101">
        <f>IF(H1592=1,IF(IFERROR(INDEX(coa_CF,MATCH(I1592,coa_Name,0)),"")="Cash",1,0),0)</f>
        <v/>
      </c>
      <c r="Q1592" s="101">
        <f>IF(H1592=1,IF(IFERROR(INDEX(coa_CF,MATCH(K1592,coa_Name,0)),"")="Cash",1,0),0)</f>
        <v/>
      </c>
      <c r="R1592" s="58">
        <f>IF((P1592-Q1592)=0,"",IFERROR(INDEX(coa_CF,MATCH(IF((P1592-Q1592)=1,K1592,I1592),coa_Name,0)),"Operating"))</f>
        <v/>
      </c>
      <c r="S1592" s="95">
        <f>IF((P1592-Q1592)=1,L1592,IF((P1592-Q1592)=-1,-J1592,0))</f>
        <v/>
      </c>
      <c r="T1592" s="95">
        <f>IF((P1592-Q1592)=1,N1592,IF((P1592-Q1592)=-1,-M1592,0))</f>
        <v/>
      </c>
      <c r="U1592" s="101">
        <f>IF(AND(H1592=1,LedAcct&lt;&gt;""),IF(AND(E1592&gt;=LedFrom,E1592&lt;=LedTo,OR(I1592=LedAcct,K1592=LedAcct,AND(LedAcct=acctTax,M1592+N1592&lt;&gt;0))),E1592*10000+B1592,""),"")</f>
        <v/>
      </c>
    </row>
    <row r="1593">
      <c r="B1593" s="101" t="n">
        <v>1587</v>
      </c>
      <c r="C1593" s="58" t="inlineStr">
        <is>
          <t>Transaction</t>
        </is>
      </c>
      <c r="D1593" s="58">
        <f>IF(H1593=1,INDEX(tx_ID,1587)&amp;"","")</f>
        <v/>
      </c>
      <c r="E1593" s="94">
        <f>IF(H1593=1,INDEX(tx_Date,1587),"")</f>
        <v/>
      </c>
      <c r="F1593" s="58">
        <f>IF(H1593=1,INDEX(tx_Desc,1587)&amp;"","")</f>
        <v/>
      </c>
      <c r="G1593" s="58">
        <f>IF(H1593=1,IF(INDEX(tx_Cust,1587)&amp;""&lt;&gt;"",INDEX(tx_Cust,1587)&amp;"",INDEX(tx_Vend,1587)&amp;""),"")</f>
        <v/>
      </c>
      <c r="H1593" s="101">
        <f>IFERROR(N(INDEX(tx_Posted,1587)),0)</f>
        <v/>
      </c>
      <c r="I1593" s="58">
        <f>IF(H1593=1,INDEX(tx_DrAcct,1587)&amp;"","")</f>
        <v/>
      </c>
      <c r="J1593" s="95">
        <f>IF(H1593=1,INDEX(tx_DrAmt,1587),0)</f>
        <v/>
      </c>
      <c r="K1593" s="58">
        <f>IF(H1593=1,INDEX(tx_CrAcct,1587)&amp;"","")</f>
        <v/>
      </c>
      <c r="L1593" s="95">
        <f>IF(H1593=1,INDEX(tx_CrAmt,1587),0)</f>
        <v/>
      </c>
      <c r="M1593" s="95">
        <f>IF(H1593=1,INDEX(tx_TaxDr,1587),0)</f>
        <v/>
      </c>
      <c r="N1593" s="95">
        <f>IF(H1593=1,INDEX(tx_TaxCr,1587),0)</f>
        <v/>
      </c>
      <c r="O1593" s="101">
        <f>IF(H1593=1,IF(E1593&lt;FYStart,0,IF(E1593&gt;FYEnd,13,YEAR(E1593)*12+MONTH(E1593)-FYYM+1)),"")</f>
        <v/>
      </c>
      <c r="P1593" s="101">
        <f>IF(H1593=1,IF(IFERROR(INDEX(coa_CF,MATCH(I1593,coa_Name,0)),"")="Cash",1,0),0)</f>
        <v/>
      </c>
      <c r="Q1593" s="101">
        <f>IF(H1593=1,IF(IFERROR(INDEX(coa_CF,MATCH(K1593,coa_Name,0)),"")="Cash",1,0),0)</f>
        <v/>
      </c>
      <c r="R1593" s="58">
        <f>IF((P1593-Q1593)=0,"",IFERROR(INDEX(coa_CF,MATCH(IF((P1593-Q1593)=1,K1593,I1593),coa_Name,0)),"Operating"))</f>
        <v/>
      </c>
      <c r="S1593" s="95">
        <f>IF((P1593-Q1593)=1,L1593,IF((P1593-Q1593)=-1,-J1593,0))</f>
        <v/>
      </c>
      <c r="T1593" s="95">
        <f>IF((P1593-Q1593)=1,N1593,IF((P1593-Q1593)=-1,-M1593,0))</f>
        <v/>
      </c>
      <c r="U1593" s="101">
        <f>IF(AND(H1593=1,LedAcct&lt;&gt;""),IF(AND(E1593&gt;=LedFrom,E1593&lt;=LedTo,OR(I1593=LedAcct,K1593=LedAcct,AND(LedAcct=acctTax,M1593+N1593&lt;&gt;0))),E1593*10000+B1593,""),"")</f>
        <v/>
      </c>
    </row>
    <row r="1594">
      <c r="B1594" s="101" t="n">
        <v>1588</v>
      </c>
      <c r="C1594" s="58" t="inlineStr">
        <is>
          <t>Transaction</t>
        </is>
      </c>
      <c r="D1594" s="58">
        <f>IF(H1594=1,INDEX(tx_ID,1588)&amp;"","")</f>
        <v/>
      </c>
      <c r="E1594" s="94">
        <f>IF(H1594=1,INDEX(tx_Date,1588),"")</f>
        <v/>
      </c>
      <c r="F1594" s="58">
        <f>IF(H1594=1,INDEX(tx_Desc,1588)&amp;"","")</f>
        <v/>
      </c>
      <c r="G1594" s="58">
        <f>IF(H1594=1,IF(INDEX(tx_Cust,1588)&amp;""&lt;&gt;"",INDEX(tx_Cust,1588)&amp;"",INDEX(tx_Vend,1588)&amp;""),"")</f>
        <v/>
      </c>
      <c r="H1594" s="101">
        <f>IFERROR(N(INDEX(tx_Posted,1588)),0)</f>
        <v/>
      </c>
      <c r="I1594" s="58">
        <f>IF(H1594=1,INDEX(tx_DrAcct,1588)&amp;"","")</f>
        <v/>
      </c>
      <c r="J1594" s="95">
        <f>IF(H1594=1,INDEX(tx_DrAmt,1588),0)</f>
        <v/>
      </c>
      <c r="K1594" s="58">
        <f>IF(H1594=1,INDEX(tx_CrAcct,1588)&amp;"","")</f>
        <v/>
      </c>
      <c r="L1594" s="95">
        <f>IF(H1594=1,INDEX(tx_CrAmt,1588),0)</f>
        <v/>
      </c>
      <c r="M1594" s="95">
        <f>IF(H1594=1,INDEX(tx_TaxDr,1588),0)</f>
        <v/>
      </c>
      <c r="N1594" s="95">
        <f>IF(H1594=1,INDEX(tx_TaxCr,1588),0)</f>
        <v/>
      </c>
      <c r="O1594" s="101">
        <f>IF(H1594=1,IF(E1594&lt;FYStart,0,IF(E1594&gt;FYEnd,13,YEAR(E1594)*12+MONTH(E1594)-FYYM+1)),"")</f>
        <v/>
      </c>
      <c r="P1594" s="101">
        <f>IF(H1594=1,IF(IFERROR(INDEX(coa_CF,MATCH(I1594,coa_Name,0)),"")="Cash",1,0),0)</f>
        <v/>
      </c>
      <c r="Q1594" s="101">
        <f>IF(H1594=1,IF(IFERROR(INDEX(coa_CF,MATCH(K1594,coa_Name,0)),"")="Cash",1,0),0)</f>
        <v/>
      </c>
      <c r="R1594" s="58">
        <f>IF((P1594-Q1594)=0,"",IFERROR(INDEX(coa_CF,MATCH(IF((P1594-Q1594)=1,K1594,I1594),coa_Name,0)),"Operating"))</f>
        <v/>
      </c>
      <c r="S1594" s="95">
        <f>IF((P1594-Q1594)=1,L1594,IF((P1594-Q1594)=-1,-J1594,0))</f>
        <v/>
      </c>
      <c r="T1594" s="95">
        <f>IF((P1594-Q1594)=1,N1594,IF((P1594-Q1594)=-1,-M1594,0))</f>
        <v/>
      </c>
      <c r="U1594" s="101">
        <f>IF(AND(H1594=1,LedAcct&lt;&gt;""),IF(AND(E1594&gt;=LedFrom,E1594&lt;=LedTo,OR(I1594=LedAcct,K1594=LedAcct,AND(LedAcct=acctTax,M1594+N1594&lt;&gt;0))),E1594*10000+B1594,""),"")</f>
        <v/>
      </c>
    </row>
    <row r="1595">
      <c r="B1595" s="101" t="n">
        <v>1589</v>
      </c>
      <c r="C1595" s="58" t="inlineStr">
        <is>
          <t>Transaction</t>
        </is>
      </c>
      <c r="D1595" s="58">
        <f>IF(H1595=1,INDEX(tx_ID,1589)&amp;"","")</f>
        <v/>
      </c>
      <c r="E1595" s="94">
        <f>IF(H1595=1,INDEX(tx_Date,1589),"")</f>
        <v/>
      </c>
      <c r="F1595" s="58">
        <f>IF(H1595=1,INDEX(tx_Desc,1589)&amp;"","")</f>
        <v/>
      </c>
      <c r="G1595" s="58">
        <f>IF(H1595=1,IF(INDEX(tx_Cust,1589)&amp;""&lt;&gt;"",INDEX(tx_Cust,1589)&amp;"",INDEX(tx_Vend,1589)&amp;""),"")</f>
        <v/>
      </c>
      <c r="H1595" s="101">
        <f>IFERROR(N(INDEX(tx_Posted,1589)),0)</f>
        <v/>
      </c>
      <c r="I1595" s="58">
        <f>IF(H1595=1,INDEX(tx_DrAcct,1589)&amp;"","")</f>
        <v/>
      </c>
      <c r="J1595" s="95">
        <f>IF(H1595=1,INDEX(tx_DrAmt,1589),0)</f>
        <v/>
      </c>
      <c r="K1595" s="58">
        <f>IF(H1595=1,INDEX(tx_CrAcct,1589)&amp;"","")</f>
        <v/>
      </c>
      <c r="L1595" s="95">
        <f>IF(H1595=1,INDEX(tx_CrAmt,1589),0)</f>
        <v/>
      </c>
      <c r="M1595" s="95">
        <f>IF(H1595=1,INDEX(tx_TaxDr,1589),0)</f>
        <v/>
      </c>
      <c r="N1595" s="95">
        <f>IF(H1595=1,INDEX(tx_TaxCr,1589),0)</f>
        <v/>
      </c>
      <c r="O1595" s="101">
        <f>IF(H1595=1,IF(E1595&lt;FYStart,0,IF(E1595&gt;FYEnd,13,YEAR(E1595)*12+MONTH(E1595)-FYYM+1)),"")</f>
        <v/>
      </c>
      <c r="P1595" s="101">
        <f>IF(H1595=1,IF(IFERROR(INDEX(coa_CF,MATCH(I1595,coa_Name,0)),"")="Cash",1,0),0)</f>
        <v/>
      </c>
      <c r="Q1595" s="101">
        <f>IF(H1595=1,IF(IFERROR(INDEX(coa_CF,MATCH(K1595,coa_Name,0)),"")="Cash",1,0),0)</f>
        <v/>
      </c>
      <c r="R1595" s="58">
        <f>IF((P1595-Q1595)=0,"",IFERROR(INDEX(coa_CF,MATCH(IF((P1595-Q1595)=1,K1595,I1595),coa_Name,0)),"Operating"))</f>
        <v/>
      </c>
      <c r="S1595" s="95">
        <f>IF((P1595-Q1595)=1,L1595,IF((P1595-Q1595)=-1,-J1595,0))</f>
        <v/>
      </c>
      <c r="T1595" s="95">
        <f>IF((P1595-Q1595)=1,N1595,IF((P1595-Q1595)=-1,-M1595,0))</f>
        <v/>
      </c>
      <c r="U1595" s="101">
        <f>IF(AND(H1595=1,LedAcct&lt;&gt;""),IF(AND(E1595&gt;=LedFrom,E1595&lt;=LedTo,OR(I1595=LedAcct,K1595=LedAcct,AND(LedAcct=acctTax,M1595+N1595&lt;&gt;0))),E1595*10000+B1595,""),"")</f>
        <v/>
      </c>
    </row>
    <row r="1596">
      <c r="B1596" s="101" t="n">
        <v>1590</v>
      </c>
      <c r="C1596" s="58" t="inlineStr">
        <is>
          <t>Transaction</t>
        </is>
      </c>
      <c r="D1596" s="58">
        <f>IF(H1596=1,INDEX(tx_ID,1590)&amp;"","")</f>
        <v/>
      </c>
      <c r="E1596" s="94">
        <f>IF(H1596=1,INDEX(tx_Date,1590),"")</f>
        <v/>
      </c>
      <c r="F1596" s="58">
        <f>IF(H1596=1,INDEX(tx_Desc,1590)&amp;"","")</f>
        <v/>
      </c>
      <c r="G1596" s="58">
        <f>IF(H1596=1,IF(INDEX(tx_Cust,1590)&amp;""&lt;&gt;"",INDEX(tx_Cust,1590)&amp;"",INDEX(tx_Vend,1590)&amp;""),"")</f>
        <v/>
      </c>
      <c r="H1596" s="101">
        <f>IFERROR(N(INDEX(tx_Posted,1590)),0)</f>
        <v/>
      </c>
      <c r="I1596" s="58">
        <f>IF(H1596=1,INDEX(tx_DrAcct,1590)&amp;"","")</f>
        <v/>
      </c>
      <c r="J1596" s="95">
        <f>IF(H1596=1,INDEX(tx_DrAmt,1590),0)</f>
        <v/>
      </c>
      <c r="K1596" s="58">
        <f>IF(H1596=1,INDEX(tx_CrAcct,1590)&amp;"","")</f>
        <v/>
      </c>
      <c r="L1596" s="95">
        <f>IF(H1596=1,INDEX(tx_CrAmt,1590),0)</f>
        <v/>
      </c>
      <c r="M1596" s="95">
        <f>IF(H1596=1,INDEX(tx_TaxDr,1590),0)</f>
        <v/>
      </c>
      <c r="N1596" s="95">
        <f>IF(H1596=1,INDEX(tx_TaxCr,1590),0)</f>
        <v/>
      </c>
      <c r="O1596" s="101">
        <f>IF(H1596=1,IF(E1596&lt;FYStart,0,IF(E1596&gt;FYEnd,13,YEAR(E1596)*12+MONTH(E1596)-FYYM+1)),"")</f>
        <v/>
      </c>
      <c r="P1596" s="101">
        <f>IF(H1596=1,IF(IFERROR(INDEX(coa_CF,MATCH(I1596,coa_Name,0)),"")="Cash",1,0),0)</f>
        <v/>
      </c>
      <c r="Q1596" s="101">
        <f>IF(H1596=1,IF(IFERROR(INDEX(coa_CF,MATCH(K1596,coa_Name,0)),"")="Cash",1,0),0)</f>
        <v/>
      </c>
      <c r="R1596" s="58">
        <f>IF((P1596-Q1596)=0,"",IFERROR(INDEX(coa_CF,MATCH(IF((P1596-Q1596)=1,K1596,I1596),coa_Name,0)),"Operating"))</f>
        <v/>
      </c>
      <c r="S1596" s="95">
        <f>IF((P1596-Q1596)=1,L1596,IF((P1596-Q1596)=-1,-J1596,0))</f>
        <v/>
      </c>
      <c r="T1596" s="95">
        <f>IF((P1596-Q1596)=1,N1596,IF((P1596-Q1596)=-1,-M1596,0))</f>
        <v/>
      </c>
      <c r="U1596" s="101">
        <f>IF(AND(H1596=1,LedAcct&lt;&gt;""),IF(AND(E1596&gt;=LedFrom,E1596&lt;=LedTo,OR(I1596=LedAcct,K1596=LedAcct,AND(LedAcct=acctTax,M1596+N1596&lt;&gt;0))),E1596*10000+B1596,""),"")</f>
        <v/>
      </c>
    </row>
    <row r="1597">
      <c r="B1597" s="101" t="n">
        <v>1591</v>
      </c>
      <c r="C1597" s="58" t="inlineStr">
        <is>
          <t>Transaction</t>
        </is>
      </c>
      <c r="D1597" s="58">
        <f>IF(H1597=1,INDEX(tx_ID,1591)&amp;"","")</f>
        <v/>
      </c>
      <c r="E1597" s="94">
        <f>IF(H1597=1,INDEX(tx_Date,1591),"")</f>
        <v/>
      </c>
      <c r="F1597" s="58">
        <f>IF(H1597=1,INDEX(tx_Desc,1591)&amp;"","")</f>
        <v/>
      </c>
      <c r="G1597" s="58">
        <f>IF(H1597=1,IF(INDEX(tx_Cust,1591)&amp;""&lt;&gt;"",INDEX(tx_Cust,1591)&amp;"",INDEX(tx_Vend,1591)&amp;""),"")</f>
        <v/>
      </c>
      <c r="H1597" s="101">
        <f>IFERROR(N(INDEX(tx_Posted,1591)),0)</f>
        <v/>
      </c>
      <c r="I1597" s="58">
        <f>IF(H1597=1,INDEX(tx_DrAcct,1591)&amp;"","")</f>
        <v/>
      </c>
      <c r="J1597" s="95">
        <f>IF(H1597=1,INDEX(tx_DrAmt,1591),0)</f>
        <v/>
      </c>
      <c r="K1597" s="58">
        <f>IF(H1597=1,INDEX(tx_CrAcct,1591)&amp;"","")</f>
        <v/>
      </c>
      <c r="L1597" s="95">
        <f>IF(H1597=1,INDEX(tx_CrAmt,1591),0)</f>
        <v/>
      </c>
      <c r="M1597" s="95">
        <f>IF(H1597=1,INDEX(tx_TaxDr,1591),0)</f>
        <v/>
      </c>
      <c r="N1597" s="95">
        <f>IF(H1597=1,INDEX(tx_TaxCr,1591),0)</f>
        <v/>
      </c>
      <c r="O1597" s="101">
        <f>IF(H1597=1,IF(E1597&lt;FYStart,0,IF(E1597&gt;FYEnd,13,YEAR(E1597)*12+MONTH(E1597)-FYYM+1)),"")</f>
        <v/>
      </c>
      <c r="P1597" s="101">
        <f>IF(H1597=1,IF(IFERROR(INDEX(coa_CF,MATCH(I1597,coa_Name,0)),"")="Cash",1,0),0)</f>
        <v/>
      </c>
      <c r="Q1597" s="101">
        <f>IF(H1597=1,IF(IFERROR(INDEX(coa_CF,MATCH(K1597,coa_Name,0)),"")="Cash",1,0),0)</f>
        <v/>
      </c>
      <c r="R1597" s="58">
        <f>IF((P1597-Q1597)=0,"",IFERROR(INDEX(coa_CF,MATCH(IF((P1597-Q1597)=1,K1597,I1597),coa_Name,0)),"Operating"))</f>
        <v/>
      </c>
      <c r="S1597" s="95">
        <f>IF((P1597-Q1597)=1,L1597,IF((P1597-Q1597)=-1,-J1597,0))</f>
        <v/>
      </c>
      <c r="T1597" s="95">
        <f>IF((P1597-Q1597)=1,N1597,IF((P1597-Q1597)=-1,-M1597,0))</f>
        <v/>
      </c>
      <c r="U1597" s="101">
        <f>IF(AND(H1597=1,LedAcct&lt;&gt;""),IF(AND(E1597&gt;=LedFrom,E1597&lt;=LedTo,OR(I1597=LedAcct,K1597=LedAcct,AND(LedAcct=acctTax,M1597+N1597&lt;&gt;0))),E1597*10000+B1597,""),"")</f>
        <v/>
      </c>
    </row>
    <row r="1598">
      <c r="B1598" s="101" t="n">
        <v>1592</v>
      </c>
      <c r="C1598" s="58" t="inlineStr">
        <is>
          <t>Transaction</t>
        </is>
      </c>
      <c r="D1598" s="58">
        <f>IF(H1598=1,INDEX(tx_ID,1592)&amp;"","")</f>
        <v/>
      </c>
      <c r="E1598" s="94">
        <f>IF(H1598=1,INDEX(tx_Date,1592),"")</f>
        <v/>
      </c>
      <c r="F1598" s="58">
        <f>IF(H1598=1,INDEX(tx_Desc,1592)&amp;"","")</f>
        <v/>
      </c>
      <c r="G1598" s="58">
        <f>IF(H1598=1,IF(INDEX(tx_Cust,1592)&amp;""&lt;&gt;"",INDEX(tx_Cust,1592)&amp;"",INDEX(tx_Vend,1592)&amp;""),"")</f>
        <v/>
      </c>
      <c r="H1598" s="101">
        <f>IFERROR(N(INDEX(tx_Posted,1592)),0)</f>
        <v/>
      </c>
      <c r="I1598" s="58">
        <f>IF(H1598=1,INDEX(tx_DrAcct,1592)&amp;"","")</f>
        <v/>
      </c>
      <c r="J1598" s="95">
        <f>IF(H1598=1,INDEX(tx_DrAmt,1592),0)</f>
        <v/>
      </c>
      <c r="K1598" s="58">
        <f>IF(H1598=1,INDEX(tx_CrAcct,1592)&amp;"","")</f>
        <v/>
      </c>
      <c r="L1598" s="95">
        <f>IF(H1598=1,INDEX(tx_CrAmt,1592),0)</f>
        <v/>
      </c>
      <c r="M1598" s="95">
        <f>IF(H1598=1,INDEX(tx_TaxDr,1592),0)</f>
        <v/>
      </c>
      <c r="N1598" s="95">
        <f>IF(H1598=1,INDEX(tx_TaxCr,1592),0)</f>
        <v/>
      </c>
      <c r="O1598" s="101">
        <f>IF(H1598=1,IF(E1598&lt;FYStart,0,IF(E1598&gt;FYEnd,13,YEAR(E1598)*12+MONTH(E1598)-FYYM+1)),"")</f>
        <v/>
      </c>
      <c r="P1598" s="101">
        <f>IF(H1598=1,IF(IFERROR(INDEX(coa_CF,MATCH(I1598,coa_Name,0)),"")="Cash",1,0),0)</f>
        <v/>
      </c>
      <c r="Q1598" s="101">
        <f>IF(H1598=1,IF(IFERROR(INDEX(coa_CF,MATCH(K1598,coa_Name,0)),"")="Cash",1,0),0)</f>
        <v/>
      </c>
      <c r="R1598" s="58">
        <f>IF((P1598-Q1598)=0,"",IFERROR(INDEX(coa_CF,MATCH(IF((P1598-Q1598)=1,K1598,I1598),coa_Name,0)),"Operating"))</f>
        <v/>
      </c>
      <c r="S1598" s="95">
        <f>IF((P1598-Q1598)=1,L1598,IF((P1598-Q1598)=-1,-J1598,0))</f>
        <v/>
      </c>
      <c r="T1598" s="95">
        <f>IF((P1598-Q1598)=1,N1598,IF((P1598-Q1598)=-1,-M1598,0))</f>
        <v/>
      </c>
      <c r="U1598" s="101">
        <f>IF(AND(H1598=1,LedAcct&lt;&gt;""),IF(AND(E1598&gt;=LedFrom,E1598&lt;=LedTo,OR(I1598=LedAcct,K1598=LedAcct,AND(LedAcct=acctTax,M1598+N1598&lt;&gt;0))),E1598*10000+B1598,""),"")</f>
        <v/>
      </c>
    </row>
    <row r="1599">
      <c r="B1599" s="101" t="n">
        <v>1593</v>
      </c>
      <c r="C1599" s="58" t="inlineStr">
        <is>
          <t>Transaction</t>
        </is>
      </c>
      <c r="D1599" s="58">
        <f>IF(H1599=1,INDEX(tx_ID,1593)&amp;"","")</f>
        <v/>
      </c>
      <c r="E1599" s="94">
        <f>IF(H1599=1,INDEX(tx_Date,1593),"")</f>
        <v/>
      </c>
      <c r="F1599" s="58">
        <f>IF(H1599=1,INDEX(tx_Desc,1593)&amp;"","")</f>
        <v/>
      </c>
      <c r="G1599" s="58">
        <f>IF(H1599=1,IF(INDEX(tx_Cust,1593)&amp;""&lt;&gt;"",INDEX(tx_Cust,1593)&amp;"",INDEX(tx_Vend,1593)&amp;""),"")</f>
        <v/>
      </c>
      <c r="H1599" s="101">
        <f>IFERROR(N(INDEX(tx_Posted,1593)),0)</f>
        <v/>
      </c>
      <c r="I1599" s="58">
        <f>IF(H1599=1,INDEX(tx_DrAcct,1593)&amp;"","")</f>
        <v/>
      </c>
      <c r="J1599" s="95">
        <f>IF(H1599=1,INDEX(tx_DrAmt,1593),0)</f>
        <v/>
      </c>
      <c r="K1599" s="58">
        <f>IF(H1599=1,INDEX(tx_CrAcct,1593)&amp;"","")</f>
        <v/>
      </c>
      <c r="L1599" s="95">
        <f>IF(H1599=1,INDEX(tx_CrAmt,1593),0)</f>
        <v/>
      </c>
      <c r="M1599" s="95">
        <f>IF(H1599=1,INDEX(tx_TaxDr,1593),0)</f>
        <v/>
      </c>
      <c r="N1599" s="95">
        <f>IF(H1599=1,INDEX(tx_TaxCr,1593),0)</f>
        <v/>
      </c>
      <c r="O1599" s="101">
        <f>IF(H1599=1,IF(E1599&lt;FYStart,0,IF(E1599&gt;FYEnd,13,YEAR(E1599)*12+MONTH(E1599)-FYYM+1)),"")</f>
        <v/>
      </c>
      <c r="P1599" s="101">
        <f>IF(H1599=1,IF(IFERROR(INDEX(coa_CF,MATCH(I1599,coa_Name,0)),"")="Cash",1,0),0)</f>
        <v/>
      </c>
      <c r="Q1599" s="101">
        <f>IF(H1599=1,IF(IFERROR(INDEX(coa_CF,MATCH(K1599,coa_Name,0)),"")="Cash",1,0),0)</f>
        <v/>
      </c>
      <c r="R1599" s="58">
        <f>IF((P1599-Q1599)=0,"",IFERROR(INDEX(coa_CF,MATCH(IF((P1599-Q1599)=1,K1599,I1599),coa_Name,0)),"Operating"))</f>
        <v/>
      </c>
      <c r="S1599" s="95">
        <f>IF((P1599-Q1599)=1,L1599,IF((P1599-Q1599)=-1,-J1599,0))</f>
        <v/>
      </c>
      <c r="T1599" s="95">
        <f>IF((P1599-Q1599)=1,N1599,IF((P1599-Q1599)=-1,-M1599,0))</f>
        <v/>
      </c>
      <c r="U1599" s="101">
        <f>IF(AND(H1599=1,LedAcct&lt;&gt;""),IF(AND(E1599&gt;=LedFrom,E1599&lt;=LedTo,OR(I1599=LedAcct,K1599=LedAcct,AND(LedAcct=acctTax,M1599+N1599&lt;&gt;0))),E1599*10000+B1599,""),"")</f>
        <v/>
      </c>
    </row>
    <row r="1600">
      <c r="B1600" s="101" t="n">
        <v>1594</v>
      </c>
      <c r="C1600" s="58" t="inlineStr">
        <is>
          <t>Transaction</t>
        </is>
      </c>
      <c r="D1600" s="58">
        <f>IF(H1600=1,INDEX(tx_ID,1594)&amp;"","")</f>
        <v/>
      </c>
      <c r="E1600" s="94">
        <f>IF(H1600=1,INDEX(tx_Date,1594),"")</f>
        <v/>
      </c>
      <c r="F1600" s="58">
        <f>IF(H1600=1,INDEX(tx_Desc,1594)&amp;"","")</f>
        <v/>
      </c>
      <c r="G1600" s="58">
        <f>IF(H1600=1,IF(INDEX(tx_Cust,1594)&amp;""&lt;&gt;"",INDEX(tx_Cust,1594)&amp;"",INDEX(tx_Vend,1594)&amp;""),"")</f>
        <v/>
      </c>
      <c r="H1600" s="101">
        <f>IFERROR(N(INDEX(tx_Posted,1594)),0)</f>
        <v/>
      </c>
      <c r="I1600" s="58">
        <f>IF(H1600=1,INDEX(tx_DrAcct,1594)&amp;"","")</f>
        <v/>
      </c>
      <c r="J1600" s="95">
        <f>IF(H1600=1,INDEX(tx_DrAmt,1594),0)</f>
        <v/>
      </c>
      <c r="K1600" s="58">
        <f>IF(H1600=1,INDEX(tx_CrAcct,1594)&amp;"","")</f>
        <v/>
      </c>
      <c r="L1600" s="95">
        <f>IF(H1600=1,INDEX(tx_CrAmt,1594),0)</f>
        <v/>
      </c>
      <c r="M1600" s="95">
        <f>IF(H1600=1,INDEX(tx_TaxDr,1594),0)</f>
        <v/>
      </c>
      <c r="N1600" s="95">
        <f>IF(H1600=1,INDEX(tx_TaxCr,1594),0)</f>
        <v/>
      </c>
      <c r="O1600" s="101">
        <f>IF(H1600=1,IF(E1600&lt;FYStart,0,IF(E1600&gt;FYEnd,13,YEAR(E1600)*12+MONTH(E1600)-FYYM+1)),"")</f>
        <v/>
      </c>
      <c r="P1600" s="101">
        <f>IF(H1600=1,IF(IFERROR(INDEX(coa_CF,MATCH(I1600,coa_Name,0)),"")="Cash",1,0),0)</f>
        <v/>
      </c>
      <c r="Q1600" s="101">
        <f>IF(H1600=1,IF(IFERROR(INDEX(coa_CF,MATCH(K1600,coa_Name,0)),"")="Cash",1,0),0)</f>
        <v/>
      </c>
      <c r="R1600" s="58">
        <f>IF((P1600-Q1600)=0,"",IFERROR(INDEX(coa_CF,MATCH(IF((P1600-Q1600)=1,K1600,I1600),coa_Name,0)),"Operating"))</f>
        <v/>
      </c>
      <c r="S1600" s="95">
        <f>IF((P1600-Q1600)=1,L1600,IF((P1600-Q1600)=-1,-J1600,0))</f>
        <v/>
      </c>
      <c r="T1600" s="95">
        <f>IF((P1600-Q1600)=1,N1600,IF((P1600-Q1600)=-1,-M1600,0))</f>
        <v/>
      </c>
      <c r="U1600" s="101">
        <f>IF(AND(H1600=1,LedAcct&lt;&gt;""),IF(AND(E1600&gt;=LedFrom,E1600&lt;=LedTo,OR(I1600=LedAcct,K1600=LedAcct,AND(LedAcct=acctTax,M1600+N1600&lt;&gt;0))),E1600*10000+B1600,""),"")</f>
        <v/>
      </c>
    </row>
    <row r="1601">
      <c r="B1601" s="101" t="n">
        <v>1595</v>
      </c>
      <c r="C1601" s="58" t="inlineStr">
        <is>
          <t>Transaction</t>
        </is>
      </c>
      <c r="D1601" s="58">
        <f>IF(H1601=1,INDEX(tx_ID,1595)&amp;"","")</f>
        <v/>
      </c>
      <c r="E1601" s="94">
        <f>IF(H1601=1,INDEX(tx_Date,1595),"")</f>
        <v/>
      </c>
      <c r="F1601" s="58">
        <f>IF(H1601=1,INDEX(tx_Desc,1595)&amp;"","")</f>
        <v/>
      </c>
      <c r="G1601" s="58">
        <f>IF(H1601=1,IF(INDEX(tx_Cust,1595)&amp;""&lt;&gt;"",INDEX(tx_Cust,1595)&amp;"",INDEX(tx_Vend,1595)&amp;""),"")</f>
        <v/>
      </c>
      <c r="H1601" s="101">
        <f>IFERROR(N(INDEX(tx_Posted,1595)),0)</f>
        <v/>
      </c>
      <c r="I1601" s="58">
        <f>IF(H1601=1,INDEX(tx_DrAcct,1595)&amp;"","")</f>
        <v/>
      </c>
      <c r="J1601" s="95">
        <f>IF(H1601=1,INDEX(tx_DrAmt,1595),0)</f>
        <v/>
      </c>
      <c r="K1601" s="58">
        <f>IF(H1601=1,INDEX(tx_CrAcct,1595)&amp;"","")</f>
        <v/>
      </c>
      <c r="L1601" s="95">
        <f>IF(H1601=1,INDEX(tx_CrAmt,1595),0)</f>
        <v/>
      </c>
      <c r="M1601" s="95">
        <f>IF(H1601=1,INDEX(tx_TaxDr,1595),0)</f>
        <v/>
      </c>
      <c r="N1601" s="95">
        <f>IF(H1601=1,INDEX(tx_TaxCr,1595),0)</f>
        <v/>
      </c>
      <c r="O1601" s="101">
        <f>IF(H1601=1,IF(E1601&lt;FYStart,0,IF(E1601&gt;FYEnd,13,YEAR(E1601)*12+MONTH(E1601)-FYYM+1)),"")</f>
        <v/>
      </c>
      <c r="P1601" s="101">
        <f>IF(H1601=1,IF(IFERROR(INDEX(coa_CF,MATCH(I1601,coa_Name,0)),"")="Cash",1,0),0)</f>
        <v/>
      </c>
      <c r="Q1601" s="101">
        <f>IF(H1601=1,IF(IFERROR(INDEX(coa_CF,MATCH(K1601,coa_Name,0)),"")="Cash",1,0),0)</f>
        <v/>
      </c>
      <c r="R1601" s="58">
        <f>IF((P1601-Q1601)=0,"",IFERROR(INDEX(coa_CF,MATCH(IF((P1601-Q1601)=1,K1601,I1601),coa_Name,0)),"Operating"))</f>
        <v/>
      </c>
      <c r="S1601" s="95">
        <f>IF((P1601-Q1601)=1,L1601,IF((P1601-Q1601)=-1,-J1601,0))</f>
        <v/>
      </c>
      <c r="T1601" s="95">
        <f>IF((P1601-Q1601)=1,N1601,IF((P1601-Q1601)=-1,-M1601,0))</f>
        <v/>
      </c>
      <c r="U1601" s="101">
        <f>IF(AND(H1601=1,LedAcct&lt;&gt;""),IF(AND(E1601&gt;=LedFrom,E1601&lt;=LedTo,OR(I1601=LedAcct,K1601=LedAcct,AND(LedAcct=acctTax,M1601+N1601&lt;&gt;0))),E1601*10000+B1601,""),"")</f>
        <v/>
      </c>
    </row>
    <row r="1602">
      <c r="B1602" s="101" t="n">
        <v>1596</v>
      </c>
      <c r="C1602" s="58" t="inlineStr">
        <is>
          <t>Transaction</t>
        </is>
      </c>
      <c r="D1602" s="58">
        <f>IF(H1602=1,INDEX(tx_ID,1596)&amp;"","")</f>
        <v/>
      </c>
      <c r="E1602" s="94">
        <f>IF(H1602=1,INDEX(tx_Date,1596),"")</f>
        <v/>
      </c>
      <c r="F1602" s="58">
        <f>IF(H1602=1,INDEX(tx_Desc,1596)&amp;"","")</f>
        <v/>
      </c>
      <c r="G1602" s="58">
        <f>IF(H1602=1,IF(INDEX(tx_Cust,1596)&amp;""&lt;&gt;"",INDEX(tx_Cust,1596)&amp;"",INDEX(tx_Vend,1596)&amp;""),"")</f>
        <v/>
      </c>
      <c r="H1602" s="101">
        <f>IFERROR(N(INDEX(tx_Posted,1596)),0)</f>
        <v/>
      </c>
      <c r="I1602" s="58">
        <f>IF(H1602=1,INDEX(tx_DrAcct,1596)&amp;"","")</f>
        <v/>
      </c>
      <c r="J1602" s="95">
        <f>IF(H1602=1,INDEX(tx_DrAmt,1596),0)</f>
        <v/>
      </c>
      <c r="K1602" s="58">
        <f>IF(H1602=1,INDEX(tx_CrAcct,1596)&amp;"","")</f>
        <v/>
      </c>
      <c r="L1602" s="95">
        <f>IF(H1602=1,INDEX(tx_CrAmt,1596),0)</f>
        <v/>
      </c>
      <c r="M1602" s="95">
        <f>IF(H1602=1,INDEX(tx_TaxDr,1596),0)</f>
        <v/>
      </c>
      <c r="N1602" s="95">
        <f>IF(H1602=1,INDEX(tx_TaxCr,1596),0)</f>
        <v/>
      </c>
      <c r="O1602" s="101">
        <f>IF(H1602=1,IF(E1602&lt;FYStart,0,IF(E1602&gt;FYEnd,13,YEAR(E1602)*12+MONTH(E1602)-FYYM+1)),"")</f>
        <v/>
      </c>
      <c r="P1602" s="101">
        <f>IF(H1602=1,IF(IFERROR(INDEX(coa_CF,MATCH(I1602,coa_Name,0)),"")="Cash",1,0),0)</f>
        <v/>
      </c>
      <c r="Q1602" s="101">
        <f>IF(H1602=1,IF(IFERROR(INDEX(coa_CF,MATCH(K1602,coa_Name,0)),"")="Cash",1,0),0)</f>
        <v/>
      </c>
      <c r="R1602" s="58">
        <f>IF((P1602-Q1602)=0,"",IFERROR(INDEX(coa_CF,MATCH(IF((P1602-Q1602)=1,K1602,I1602),coa_Name,0)),"Operating"))</f>
        <v/>
      </c>
      <c r="S1602" s="95">
        <f>IF((P1602-Q1602)=1,L1602,IF((P1602-Q1602)=-1,-J1602,0))</f>
        <v/>
      </c>
      <c r="T1602" s="95">
        <f>IF((P1602-Q1602)=1,N1602,IF((P1602-Q1602)=-1,-M1602,0))</f>
        <v/>
      </c>
      <c r="U1602" s="101">
        <f>IF(AND(H1602=1,LedAcct&lt;&gt;""),IF(AND(E1602&gt;=LedFrom,E1602&lt;=LedTo,OR(I1602=LedAcct,K1602=LedAcct,AND(LedAcct=acctTax,M1602+N1602&lt;&gt;0))),E1602*10000+B1602,""),"")</f>
        <v/>
      </c>
    </row>
    <row r="1603">
      <c r="B1603" s="101" t="n">
        <v>1597</v>
      </c>
      <c r="C1603" s="58" t="inlineStr">
        <is>
          <t>Transaction</t>
        </is>
      </c>
      <c r="D1603" s="58">
        <f>IF(H1603=1,INDEX(tx_ID,1597)&amp;"","")</f>
        <v/>
      </c>
      <c r="E1603" s="94">
        <f>IF(H1603=1,INDEX(tx_Date,1597),"")</f>
        <v/>
      </c>
      <c r="F1603" s="58">
        <f>IF(H1603=1,INDEX(tx_Desc,1597)&amp;"","")</f>
        <v/>
      </c>
      <c r="G1603" s="58">
        <f>IF(H1603=1,IF(INDEX(tx_Cust,1597)&amp;""&lt;&gt;"",INDEX(tx_Cust,1597)&amp;"",INDEX(tx_Vend,1597)&amp;""),"")</f>
        <v/>
      </c>
      <c r="H1603" s="101">
        <f>IFERROR(N(INDEX(tx_Posted,1597)),0)</f>
        <v/>
      </c>
      <c r="I1603" s="58">
        <f>IF(H1603=1,INDEX(tx_DrAcct,1597)&amp;"","")</f>
        <v/>
      </c>
      <c r="J1603" s="95">
        <f>IF(H1603=1,INDEX(tx_DrAmt,1597),0)</f>
        <v/>
      </c>
      <c r="K1603" s="58">
        <f>IF(H1603=1,INDEX(tx_CrAcct,1597)&amp;"","")</f>
        <v/>
      </c>
      <c r="L1603" s="95">
        <f>IF(H1603=1,INDEX(tx_CrAmt,1597),0)</f>
        <v/>
      </c>
      <c r="M1603" s="95">
        <f>IF(H1603=1,INDEX(tx_TaxDr,1597),0)</f>
        <v/>
      </c>
      <c r="N1603" s="95">
        <f>IF(H1603=1,INDEX(tx_TaxCr,1597),0)</f>
        <v/>
      </c>
      <c r="O1603" s="101">
        <f>IF(H1603=1,IF(E1603&lt;FYStart,0,IF(E1603&gt;FYEnd,13,YEAR(E1603)*12+MONTH(E1603)-FYYM+1)),"")</f>
        <v/>
      </c>
      <c r="P1603" s="101">
        <f>IF(H1603=1,IF(IFERROR(INDEX(coa_CF,MATCH(I1603,coa_Name,0)),"")="Cash",1,0),0)</f>
        <v/>
      </c>
      <c r="Q1603" s="101">
        <f>IF(H1603=1,IF(IFERROR(INDEX(coa_CF,MATCH(K1603,coa_Name,0)),"")="Cash",1,0),0)</f>
        <v/>
      </c>
      <c r="R1603" s="58">
        <f>IF((P1603-Q1603)=0,"",IFERROR(INDEX(coa_CF,MATCH(IF((P1603-Q1603)=1,K1603,I1603),coa_Name,0)),"Operating"))</f>
        <v/>
      </c>
      <c r="S1603" s="95">
        <f>IF((P1603-Q1603)=1,L1603,IF((P1603-Q1603)=-1,-J1603,0))</f>
        <v/>
      </c>
      <c r="T1603" s="95">
        <f>IF((P1603-Q1603)=1,N1603,IF((P1603-Q1603)=-1,-M1603,0))</f>
        <v/>
      </c>
      <c r="U1603" s="101">
        <f>IF(AND(H1603=1,LedAcct&lt;&gt;""),IF(AND(E1603&gt;=LedFrom,E1603&lt;=LedTo,OR(I1603=LedAcct,K1603=LedAcct,AND(LedAcct=acctTax,M1603+N1603&lt;&gt;0))),E1603*10000+B1603,""),"")</f>
        <v/>
      </c>
    </row>
    <row r="1604">
      <c r="B1604" s="101" t="n">
        <v>1598</v>
      </c>
      <c r="C1604" s="58" t="inlineStr">
        <is>
          <t>Transaction</t>
        </is>
      </c>
      <c r="D1604" s="58">
        <f>IF(H1604=1,INDEX(tx_ID,1598)&amp;"","")</f>
        <v/>
      </c>
      <c r="E1604" s="94">
        <f>IF(H1604=1,INDEX(tx_Date,1598),"")</f>
        <v/>
      </c>
      <c r="F1604" s="58">
        <f>IF(H1604=1,INDEX(tx_Desc,1598)&amp;"","")</f>
        <v/>
      </c>
      <c r="G1604" s="58">
        <f>IF(H1604=1,IF(INDEX(tx_Cust,1598)&amp;""&lt;&gt;"",INDEX(tx_Cust,1598)&amp;"",INDEX(tx_Vend,1598)&amp;""),"")</f>
        <v/>
      </c>
      <c r="H1604" s="101">
        <f>IFERROR(N(INDEX(tx_Posted,1598)),0)</f>
        <v/>
      </c>
      <c r="I1604" s="58">
        <f>IF(H1604=1,INDEX(tx_DrAcct,1598)&amp;"","")</f>
        <v/>
      </c>
      <c r="J1604" s="95">
        <f>IF(H1604=1,INDEX(tx_DrAmt,1598),0)</f>
        <v/>
      </c>
      <c r="K1604" s="58">
        <f>IF(H1604=1,INDEX(tx_CrAcct,1598)&amp;"","")</f>
        <v/>
      </c>
      <c r="L1604" s="95">
        <f>IF(H1604=1,INDEX(tx_CrAmt,1598),0)</f>
        <v/>
      </c>
      <c r="M1604" s="95">
        <f>IF(H1604=1,INDEX(tx_TaxDr,1598),0)</f>
        <v/>
      </c>
      <c r="N1604" s="95">
        <f>IF(H1604=1,INDEX(tx_TaxCr,1598),0)</f>
        <v/>
      </c>
      <c r="O1604" s="101">
        <f>IF(H1604=1,IF(E1604&lt;FYStart,0,IF(E1604&gt;FYEnd,13,YEAR(E1604)*12+MONTH(E1604)-FYYM+1)),"")</f>
        <v/>
      </c>
      <c r="P1604" s="101">
        <f>IF(H1604=1,IF(IFERROR(INDEX(coa_CF,MATCH(I1604,coa_Name,0)),"")="Cash",1,0),0)</f>
        <v/>
      </c>
      <c r="Q1604" s="101">
        <f>IF(H1604=1,IF(IFERROR(INDEX(coa_CF,MATCH(K1604,coa_Name,0)),"")="Cash",1,0),0)</f>
        <v/>
      </c>
      <c r="R1604" s="58">
        <f>IF((P1604-Q1604)=0,"",IFERROR(INDEX(coa_CF,MATCH(IF((P1604-Q1604)=1,K1604,I1604),coa_Name,0)),"Operating"))</f>
        <v/>
      </c>
      <c r="S1604" s="95">
        <f>IF((P1604-Q1604)=1,L1604,IF((P1604-Q1604)=-1,-J1604,0))</f>
        <v/>
      </c>
      <c r="T1604" s="95">
        <f>IF((P1604-Q1604)=1,N1604,IF((P1604-Q1604)=-1,-M1604,0))</f>
        <v/>
      </c>
      <c r="U1604" s="101">
        <f>IF(AND(H1604=1,LedAcct&lt;&gt;""),IF(AND(E1604&gt;=LedFrom,E1604&lt;=LedTo,OR(I1604=LedAcct,K1604=LedAcct,AND(LedAcct=acctTax,M1604+N1604&lt;&gt;0))),E1604*10000+B1604,""),"")</f>
        <v/>
      </c>
    </row>
    <row r="1605">
      <c r="B1605" s="101" t="n">
        <v>1599</v>
      </c>
      <c r="C1605" s="58" t="inlineStr">
        <is>
          <t>Transaction</t>
        </is>
      </c>
      <c r="D1605" s="58">
        <f>IF(H1605=1,INDEX(tx_ID,1599)&amp;"","")</f>
        <v/>
      </c>
      <c r="E1605" s="94">
        <f>IF(H1605=1,INDEX(tx_Date,1599),"")</f>
        <v/>
      </c>
      <c r="F1605" s="58">
        <f>IF(H1605=1,INDEX(tx_Desc,1599)&amp;"","")</f>
        <v/>
      </c>
      <c r="G1605" s="58">
        <f>IF(H1605=1,IF(INDEX(tx_Cust,1599)&amp;""&lt;&gt;"",INDEX(tx_Cust,1599)&amp;"",INDEX(tx_Vend,1599)&amp;""),"")</f>
        <v/>
      </c>
      <c r="H1605" s="101">
        <f>IFERROR(N(INDEX(tx_Posted,1599)),0)</f>
        <v/>
      </c>
      <c r="I1605" s="58">
        <f>IF(H1605=1,INDEX(tx_DrAcct,1599)&amp;"","")</f>
        <v/>
      </c>
      <c r="J1605" s="95">
        <f>IF(H1605=1,INDEX(tx_DrAmt,1599),0)</f>
        <v/>
      </c>
      <c r="K1605" s="58">
        <f>IF(H1605=1,INDEX(tx_CrAcct,1599)&amp;"","")</f>
        <v/>
      </c>
      <c r="L1605" s="95">
        <f>IF(H1605=1,INDEX(tx_CrAmt,1599),0)</f>
        <v/>
      </c>
      <c r="M1605" s="95">
        <f>IF(H1605=1,INDEX(tx_TaxDr,1599),0)</f>
        <v/>
      </c>
      <c r="N1605" s="95">
        <f>IF(H1605=1,INDEX(tx_TaxCr,1599),0)</f>
        <v/>
      </c>
      <c r="O1605" s="101">
        <f>IF(H1605=1,IF(E1605&lt;FYStart,0,IF(E1605&gt;FYEnd,13,YEAR(E1605)*12+MONTH(E1605)-FYYM+1)),"")</f>
        <v/>
      </c>
      <c r="P1605" s="101">
        <f>IF(H1605=1,IF(IFERROR(INDEX(coa_CF,MATCH(I1605,coa_Name,0)),"")="Cash",1,0),0)</f>
        <v/>
      </c>
      <c r="Q1605" s="101">
        <f>IF(H1605=1,IF(IFERROR(INDEX(coa_CF,MATCH(K1605,coa_Name,0)),"")="Cash",1,0),0)</f>
        <v/>
      </c>
      <c r="R1605" s="58">
        <f>IF((P1605-Q1605)=0,"",IFERROR(INDEX(coa_CF,MATCH(IF((P1605-Q1605)=1,K1605,I1605),coa_Name,0)),"Operating"))</f>
        <v/>
      </c>
      <c r="S1605" s="95">
        <f>IF((P1605-Q1605)=1,L1605,IF((P1605-Q1605)=-1,-J1605,0))</f>
        <v/>
      </c>
      <c r="T1605" s="95">
        <f>IF((P1605-Q1605)=1,N1605,IF((P1605-Q1605)=-1,-M1605,0))</f>
        <v/>
      </c>
      <c r="U1605" s="101">
        <f>IF(AND(H1605=1,LedAcct&lt;&gt;""),IF(AND(E1605&gt;=LedFrom,E1605&lt;=LedTo,OR(I1605=LedAcct,K1605=LedAcct,AND(LedAcct=acctTax,M1605+N1605&lt;&gt;0))),E1605*10000+B1605,""),"")</f>
        <v/>
      </c>
    </row>
    <row r="1606">
      <c r="B1606" s="101" t="n">
        <v>1600</v>
      </c>
      <c r="C1606" s="58" t="inlineStr">
        <is>
          <t>Transaction</t>
        </is>
      </c>
      <c r="D1606" s="58">
        <f>IF(H1606=1,INDEX(tx_ID,1600)&amp;"","")</f>
        <v/>
      </c>
      <c r="E1606" s="94">
        <f>IF(H1606=1,INDEX(tx_Date,1600),"")</f>
        <v/>
      </c>
      <c r="F1606" s="58">
        <f>IF(H1606=1,INDEX(tx_Desc,1600)&amp;"","")</f>
        <v/>
      </c>
      <c r="G1606" s="58">
        <f>IF(H1606=1,IF(INDEX(tx_Cust,1600)&amp;""&lt;&gt;"",INDEX(tx_Cust,1600)&amp;"",INDEX(tx_Vend,1600)&amp;""),"")</f>
        <v/>
      </c>
      <c r="H1606" s="101">
        <f>IFERROR(N(INDEX(tx_Posted,1600)),0)</f>
        <v/>
      </c>
      <c r="I1606" s="58">
        <f>IF(H1606=1,INDEX(tx_DrAcct,1600)&amp;"","")</f>
        <v/>
      </c>
      <c r="J1606" s="95">
        <f>IF(H1606=1,INDEX(tx_DrAmt,1600),0)</f>
        <v/>
      </c>
      <c r="K1606" s="58">
        <f>IF(H1606=1,INDEX(tx_CrAcct,1600)&amp;"","")</f>
        <v/>
      </c>
      <c r="L1606" s="95">
        <f>IF(H1606=1,INDEX(tx_CrAmt,1600),0)</f>
        <v/>
      </c>
      <c r="M1606" s="95">
        <f>IF(H1606=1,INDEX(tx_TaxDr,1600),0)</f>
        <v/>
      </c>
      <c r="N1606" s="95">
        <f>IF(H1606=1,INDEX(tx_TaxCr,1600),0)</f>
        <v/>
      </c>
      <c r="O1606" s="101">
        <f>IF(H1606=1,IF(E1606&lt;FYStart,0,IF(E1606&gt;FYEnd,13,YEAR(E1606)*12+MONTH(E1606)-FYYM+1)),"")</f>
        <v/>
      </c>
      <c r="P1606" s="101">
        <f>IF(H1606=1,IF(IFERROR(INDEX(coa_CF,MATCH(I1606,coa_Name,0)),"")="Cash",1,0),0)</f>
        <v/>
      </c>
      <c r="Q1606" s="101">
        <f>IF(H1606=1,IF(IFERROR(INDEX(coa_CF,MATCH(K1606,coa_Name,0)),"")="Cash",1,0),0)</f>
        <v/>
      </c>
      <c r="R1606" s="58">
        <f>IF((P1606-Q1606)=0,"",IFERROR(INDEX(coa_CF,MATCH(IF((P1606-Q1606)=1,K1606,I1606),coa_Name,0)),"Operating"))</f>
        <v/>
      </c>
      <c r="S1606" s="95">
        <f>IF((P1606-Q1606)=1,L1606,IF((P1606-Q1606)=-1,-J1606,0))</f>
        <v/>
      </c>
      <c r="T1606" s="95">
        <f>IF((P1606-Q1606)=1,N1606,IF((P1606-Q1606)=-1,-M1606,0))</f>
        <v/>
      </c>
      <c r="U1606" s="101">
        <f>IF(AND(H1606=1,LedAcct&lt;&gt;""),IF(AND(E1606&gt;=LedFrom,E1606&lt;=LedTo,OR(I1606=LedAcct,K1606=LedAcct,AND(LedAcct=acctTax,M1606+N1606&lt;&gt;0))),E1606*10000+B1606,""),"")</f>
        <v/>
      </c>
    </row>
    <row r="1607">
      <c r="B1607" s="101" t="n">
        <v>1601</v>
      </c>
      <c r="C1607" s="58" t="inlineStr">
        <is>
          <t>Transaction</t>
        </is>
      </c>
      <c r="D1607" s="58">
        <f>IF(H1607=1,INDEX(tx_ID,1601)&amp;"","")</f>
        <v/>
      </c>
      <c r="E1607" s="94">
        <f>IF(H1607=1,INDEX(tx_Date,1601),"")</f>
        <v/>
      </c>
      <c r="F1607" s="58">
        <f>IF(H1607=1,INDEX(tx_Desc,1601)&amp;"","")</f>
        <v/>
      </c>
      <c r="G1607" s="58">
        <f>IF(H1607=1,IF(INDEX(tx_Cust,1601)&amp;""&lt;&gt;"",INDEX(tx_Cust,1601)&amp;"",INDEX(tx_Vend,1601)&amp;""),"")</f>
        <v/>
      </c>
      <c r="H1607" s="101">
        <f>IFERROR(N(INDEX(tx_Posted,1601)),0)</f>
        <v/>
      </c>
      <c r="I1607" s="58">
        <f>IF(H1607=1,INDEX(tx_DrAcct,1601)&amp;"","")</f>
        <v/>
      </c>
      <c r="J1607" s="95">
        <f>IF(H1607=1,INDEX(tx_DrAmt,1601),0)</f>
        <v/>
      </c>
      <c r="K1607" s="58">
        <f>IF(H1607=1,INDEX(tx_CrAcct,1601)&amp;"","")</f>
        <v/>
      </c>
      <c r="L1607" s="95">
        <f>IF(H1607=1,INDEX(tx_CrAmt,1601),0)</f>
        <v/>
      </c>
      <c r="M1607" s="95">
        <f>IF(H1607=1,INDEX(tx_TaxDr,1601),0)</f>
        <v/>
      </c>
      <c r="N1607" s="95">
        <f>IF(H1607=1,INDEX(tx_TaxCr,1601),0)</f>
        <v/>
      </c>
      <c r="O1607" s="101">
        <f>IF(H1607=1,IF(E1607&lt;FYStart,0,IF(E1607&gt;FYEnd,13,YEAR(E1607)*12+MONTH(E1607)-FYYM+1)),"")</f>
        <v/>
      </c>
      <c r="P1607" s="101">
        <f>IF(H1607=1,IF(IFERROR(INDEX(coa_CF,MATCH(I1607,coa_Name,0)),"")="Cash",1,0),0)</f>
        <v/>
      </c>
      <c r="Q1607" s="101">
        <f>IF(H1607=1,IF(IFERROR(INDEX(coa_CF,MATCH(K1607,coa_Name,0)),"")="Cash",1,0),0)</f>
        <v/>
      </c>
      <c r="R1607" s="58">
        <f>IF((P1607-Q1607)=0,"",IFERROR(INDEX(coa_CF,MATCH(IF((P1607-Q1607)=1,K1607,I1607),coa_Name,0)),"Operating"))</f>
        <v/>
      </c>
      <c r="S1607" s="95">
        <f>IF((P1607-Q1607)=1,L1607,IF((P1607-Q1607)=-1,-J1607,0))</f>
        <v/>
      </c>
      <c r="T1607" s="95">
        <f>IF((P1607-Q1607)=1,N1607,IF((P1607-Q1607)=-1,-M1607,0))</f>
        <v/>
      </c>
      <c r="U1607" s="101">
        <f>IF(AND(H1607=1,LedAcct&lt;&gt;""),IF(AND(E1607&gt;=LedFrom,E1607&lt;=LedTo,OR(I1607=LedAcct,K1607=LedAcct,AND(LedAcct=acctTax,M1607+N1607&lt;&gt;0))),E1607*10000+B1607,""),"")</f>
        <v/>
      </c>
    </row>
    <row r="1608">
      <c r="B1608" s="101" t="n">
        <v>1602</v>
      </c>
      <c r="C1608" s="58" t="inlineStr">
        <is>
          <t>Transaction</t>
        </is>
      </c>
      <c r="D1608" s="58">
        <f>IF(H1608=1,INDEX(tx_ID,1602)&amp;"","")</f>
        <v/>
      </c>
      <c r="E1608" s="94">
        <f>IF(H1608=1,INDEX(tx_Date,1602),"")</f>
        <v/>
      </c>
      <c r="F1608" s="58">
        <f>IF(H1608=1,INDEX(tx_Desc,1602)&amp;"","")</f>
        <v/>
      </c>
      <c r="G1608" s="58">
        <f>IF(H1608=1,IF(INDEX(tx_Cust,1602)&amp;""&lt;&gt;"",INDEX(tx_Cust,1602)&amp;"",INDEX(tx_Vend,1602)&amp;""),"")</f>
        <v/>
      </c>
      <c r="H1608" s="101">
        <f>IFERROR(N(INDEX(tx_Posted,1602)),0)</f>
        <v/>
      </c>
      <c r="I1608" s="58">
        <f>IF(H1608=1,INDEX(tx_DrAcct,1602)&amp;"","")</f>
        <v/>
      </c>
      <c r="J1608" s="95">
        <f>IF(H1608=1,INDEX(tx_DrAmt,1602),0)</f>
        <v/>
      </c>
      <c r="K1608" s="58">
        <f>IF(H1608=1,INDEX(tx_CrAcct,1602)&amp;"","")</f>
        <v/>
      </c>
      <c r="L1608" s="95">
        <f>IF(H1608=1,INDEX(tx_CrAmt,1602),0)</f>
        <v/>
      </c>
      <c r="M1608" s="95">
        <f>IF(H1608=1,INDEX(tx_TaxDr,1602),0)</f>
        <v/>
      </c>
      <c r="N1608" s="95">
        <f>IF(H1608=1,INDEX(tx_TaxCr,1602),0)</f>
        <v/>
      </c>
      <c r="O1608" s="101">
        <f>IF(H1608=1,IF(E1608&lt;FYStart,0,IF(E1608&gt;FYEnd,13,YEAR(E1608)*12+MONTH(E1608)-FYYM+1)),"")</f>
        <v/>
      </c>
      <c r="P1608" s="101">
        <f>IF(H1608=1,IF(IFERROR(INDEX(coa_CF,MATCH(I1608,coa_Name,0)),"")="Cash",1,0),0)</f>
        <v/>
      </c>
      <c r="Q1608" s="101">
        <f>IF(H1608=1,IF(IFERROR(INDEX(coa_CF,MATCH(K1608,coa_Name,0)),"")="Cash",1,0),0)</f>
        <v/>
      </c>
      <c r="R1608" s="58">
        <f>IF((P1608-Q1608)=0,"",IFERROR(INDEX(coa_CF,MATCH(IF((P1608-Q1608)=1,K1608,I1608),coa_Name,0)),"Operating"))</f>
        <v/>
      </c>
      <c r="S1608" s="95">
        <f>IF((P1608-Q1608)=1,L1608,IF((P1608-Q1608)=-1,-J1608,0))</f>
        <v/>
      </c>
      <c r="T1608" s="95">
        <f>IF((P1608-Q1608)=1,N1608,IF((P1608-Q1608)=-1,-M1608,0))</f>
        <v/>
      </c>
      <c r="U1608" s="101">
        <f>IF(AND(H1608=1,LedAcct&lt;&gt;""),IF(AND(E1608&gt;=LedFrom,E1608&lt;=LedTo,OR(I1608=LedAcct,K1608=LedAcct,AND(LedAcct=acctTax,M1608+N1608&lt;&gt;0))),E1608*10000+B1608,""),"")</f>
        <v/>
      </c>
    </row>
    <row r="1609">
      <c r="B1609" s="101" t="n">
        <v>1603</v>
      </c>
      <c r="C1609" s="58" t="inlineStr">
        <is>
          <t>Transaction</t>
        </is>
      </c>
      <c r="D1609" s="58">
        <f>IF(H1609=1,INDEX(tx_ID,1603)&amp;"","")</f>
        <v/>
      </c>
      <c r="E1609" s="94">
        <f>IF(H1609=1,INDEX(tx_Date,1603),"")</f>
        <v/>
      </c>
      <c r="F1609" s="58">
        <f>IF(H1609=1,INDEX(tx_Desc,1603)&amp;"","")</f>
        <v/>
      </c>
      <c r="G1609" s="58">
        <f>IF(H1609=1,IF(INDEX(tx_Cust,1603)&amp;""&lt;&gt;"",INDEX(tx_Cust,1603)&amp;"",INDEX(tx_Vend,1603)&amp;""),"")</f>
        <v/>
      </c>
      <c r="H1609" s="101">
        <f>IFERROR(N(INDEX(tx_Posted,1603)),0)</f>
        <v/>
      </c>
      <c r="I1609" s="58">
        <f>IF(H1609=1,INDEX(tx_DrAcct,1603)&amp;"","")</f>
        <v/>
      </c>
      <c r="J1609" s="95">
        <f>IF(H1609=1,INDEX(tx_DrAmt,1603),0)</f>
        <v/>
      </c>
      <c r="K1609" s="58">
        <f>IF(H1609=1,INDEX(tx_CrAcct,1603)&amp;"","")</f>
        <v/>
      </c>
      <c r="L1609" s="95">
        <f>IF(H1609=1,INDEX(tx_CrAmt,1603),0)</f>
        <v/>
      </c>
      <c r="M1609" s="95">
        <f>IF(H1609=1,INDEX(tx_TaxDr,1603),0)</f>
        <v/>
      </c>
      <c r="N1609" s="95">
        <f>IF(H1609=1,INDEX(tx_TaxCr,1603),0)</f>
        <v/>
      </c>
      <c r="O1609" s="101">
        <f>IF(H1609=1,IF(E1609&lt;FYStart,0,IF(E1609&gt;FYEnd,13,YEAR(E1609)*12+MONTH(E1609)-FYYM+1)),"")</f>
        <v/>
      </c>
      <c r="P1609" s="101">
        <f>IF(H1609=1,IF(IFERROR(INDEX(coa_CF,MATCH(I1609,coa_Name,0)),"")="Cash",1,0),0)</f>
        <v/>
      </c>
      <c r="Q1609" s="101">
        <f>IF(H1609=1,IF(IFERROR(INDEX(coa_CF,MATCH(K1609,coa_Name,0)),"")="Cash",1,0),0)</f>
        <v/>
      </c>
      <c r="R1609" s="58">
        <f>IF((P1609-Q1609)=0,"",IFERROR(INDEX(coa_CF,MATCH(IF((P1609-Q1609)=1,K1609,I1609),coa_Name,0)),"Operating"))</f>
        <v/>
      </c>
      <c r="S1609" s="95">
        <f>IF((P1609-Q1609)=1,L1609,IF((P1609-Q1609)=-1,-J1609,0))</f>
        <v/>
      </c>
      <c r="T1609" s="95">
        <f>IF((P1609-Q1609)=1,N1609,IF((P1609-Q1609)=-1,-M1609,0))</f>
        <v/>
      </c>
      <c r="U1609" s="101">
        <f>IF(AND(H1609=1,LedAcct&lt;&gt;""),IF(AND(E1609&gt;=LedFrom,E1609&lt;=LedTo,OR(I1609=LedAcct,K1609=LedAcct,AND(LedAcct=acctTax,M1609+N1609&lt;&gt;0))),E1609*10000+B1609,""),"")</f>
        <v/>
      </c>
    </row>
    <row r="1610">
      <c r="B1610" s="101" t="n">
        <v>1604</v>
      </c>
      <c r="C1610" s="58" t="inlineStr">
        <is>
          <t>Transaction</t>
        </is>
      </c>
      <c r="D1610" s="58">
        <f>IF(H1610=1,INDEX(tx_ID,1604)&amp;"","")</f>
        <v/>
      </c>
      <c r="E1610" s="94">
        <f>IF(H1610=1,INDEX(tx_Date,1604),"")</f>
        <v/>
      </c>
      <c r="F1610" s="58">
        <f>IF(H1610=1,INDEX(tx_Desc,1604)&amp;"","")</f>
        <v/>
      </c>
      <c r="G1610" s="58">
        <f>IF(H1610=1,IF(INDEX(tx_Cust,1604)&amp;""&lt;&gt;"",INDEX(tx_Cust,1604)&amp;"",INDEX(tx_Vend,1604)&amp;""),"")</f>
        <v/>
      </c>
      <c r="H1610" s="101">
        <f>IFERROR(N(INDEX(tx_Posted,1604)),0)</f>
        <v/>
      </c>
      <c r="I1610" s="58">
        <f>IF(H1610=1,INDEX(tx_DrAcct,1604)&amp;"","")</f>
        <v/>
      </c>
      <c r="J1610" s="95">
        <f>IF(H1610=1,INDEX(tx_DrAmt,1604),0)</f>
        <v/>
      </c>
      <c r="K1610" s="58">
        <f>IF(H1610=1,INDEX(tx_CrAcct,1604)&amp;"","")</f>
        <v/>
      </c>
      <c r="L1610" s="95">
        <f>IF(H1610=1,INDEX(tx_CrAmt,1604),0)</f>
        <v/>
      </c>
      <c r="M1610" s="95">
        <f>IF(H1610=1,INDEX(tx_TaxDr,1604),0)</f>
        <v/>
      </c>
      <c r="N1610" s="95">
        <f>IF(H1610=1,INDEX(tx_TaxCr,1604),0)</f>
        <v/>
      </c>
      <c r="O1610" s="101">
        <f>IF(H1610=1,IF(E1610&lt;FYStart,0,IF(E1610&gt;FYEnd,13,YEAR(E1610)*12+MONTH(E1610)-FYYM+1)),"")</f>
        <v/>
      </c>
      <c r="P1610" s="101">
        <f>IF(H1610=1,IF(IFERROR(INDEX(coa_CF,MATCH(I1610,coa_Name,0)),"")="Cash",1,0),0)</f>
        <v/>
      </c>
      <c r="Q1610" s="101">
        <f>IF(H1610=1,IF(IFERROR(INDEX(coa_CF,MATCH(K1610,coa_Name,0)),"")="Cash",1,0),0)</f>
        <v/>
      </c>
      <c r="R1610" s="58">
        <f>IF((P1610-Q1610)=0,"",IFERROR(INDEX(coa_CF,MATCH(IF((P1610-Q1610)=1,K1610,I1610),coa_Name,0)),"Operating"))</f>
        <v/>
      </c>
      <c r="S1610" s="95">
        <f>IF((P1610-Q1610)=1,L1610,IF((P1610-Q1610)=-1,-J1610,0))</f>
        <v/>
      </c>
      <c r="T1610" s="95">
        <f>IF((P1610-Q1610)=1,N1610,IF((P1610-Q1610)=-1,-M1610,0))</f>
        <v/>
      </c>
      <c r="U1610" s="101">
        <f>IF(AND(H1610=1,LedAcct&lt;&gt;""),IF(AND(E1610&gt;=LedFrom,E1610&lt;=LedTo,OR(I1610=LedAcct,K1610=LedAcct,AND(LedAcct=acctTax,M1610+N1610&lt;&gt;0))),E1610*10000+B1610,""),"")</f>
        <v/>
      </c>
    </row>
    <row r="1611">
      <c r="B1611" s="101" t="n">
        <v>1605</v>
      </c>
      <c r="C1611" s="58" t="inlineStr">
        <is>
          <t>Transaction</t>
        </is>
      </c>
      <c r="D1611" s="58">
        <f>IF(H1611=1,INDEX(tx_ID,1605)&amp;"","")</f>
        <v/>
      </c>
      <c r="E1611" s="94">
        <f>IF(H1611=1,INDEX(tx_Date,1605),"")</f>
        <v/>
      </c>
      <c r="F1611" s="58">
        <f>IF(H1611=1,INDEX(tx_Desc,1605)&amp;"","")</f>
        <v/>
      </c>
      <c r="G1611" s="58">
        <f>IF(H1611=1,IF(INDEX(tx_Cust,1605)&amp;""&lt;&gt;"",INDEX(tx_Cust,1605)&amp;"",INDEX(tx_Vend,1605)&amp;""),"")</f>
        <v/>
      </c>
      <c r="H1611" s="101">
        <f>IFERROR(N(INDEX(tx_Posted,1605)),0)</f>
        <v/>
      </c>
      <c r="I1611" s="58">
        <f>IF(H1611=1,INDEX(tx_DrAcct,1605)&amp;"","")</f>
        <v/>
      </c>
      <c r="J1611" s="95">
        <f>IF(H1611=1,INDEX(tx_DrAmt,1605),0)</f>
        <v/>
      </c>
      <c r="K1611" s="58">
        <f>IF(H1611=1,INDEX(tx_CrAcct,1605)&amp;"","")</f>
        <v/>
      </c>
      <c r="L1611" s="95">
        <f>IF(H1611=1,INDEX(tx_CrAmt,1605),0)</f>
        <v/>
      </c>
      <c r="M1611" s="95">
        <f>IF(H1611=1,INDEX(tx_TaxDr,1605),0)</f>
        <v/>
      </c>
      <c r="N1611" s="95">
        <f>IF(H1611=1,INDEX(tx_TaxCr,1605),0)</f>
        <v/>
      </c>
      <c r="O1611" s="101">
        <f>IF(H1611=1,IF(E1611&lt;FYStart,0,IF(E1611&gt;FYEnd,13,YEAR(E1611)*12+MONTH(E1611)-FYYM+1)),"")</f>
        <v/>
      </c>
      <c r="P1611" s="101">
        <f>IF(H1611=1,IF(IFERROR(INDEX(coa_CF,MATCH(I1611,coa_Name,0)),"")="Cash",1,0),0)</f>
        <v/>
      </c>
      <c r="Q1611" s="101">
        <f>IF(H1611=1,IF(IFERROR(INDEX(coa_CF,MATCH(K1611,coa_Name,0)),"")="Cash",1,0),0)</f>
        <v/>
      </c>
      <c r="R1611" s="58">
        <f>IF((P1611-Q1611)=0,"",IFERROR(INDEX(coa_CF,MATCH(IF((P1611-Q1611)=1,K1611,I1611),coa_Name,0)),"Operating"))</f>
        <v/>
      </c>
      <c r="S1611" s="95">
        <f>IF((P1611-Q1611)=1,L1611,IF((P1611-Q1611)=-1,-J1611,0))</f>
        <v/>
      </c>
      <c r="T1611" s="95">
        <f>IF((P1611-Q1611)=1,N1611,IF((P1611-Q1611)=-1,-M1611,0))</f>
        <v/>
      </c>
      <c r="U1611" s="101">
        <f>IF(AND(H1611=1,LedAcct&lt;&gt;""),IF(AND(E1611&gt;=LedFrom,E1611&lt;=LedTo,OR(I1611=LedAcct,K1611=LedAcct,AND(LedAcct=acctTax,M1611+N1611&lt;&gt;0))),E1611*10000+B1611,""),"")</f>
        <v/>
      </c>
    </row>
    <row r="1612">
      <c r="B1612" s="101" t="n">
        <v>1606</v>
      </c>
      <c r="C1612" s="58" t="inlineStr">
        <is>
          <t>Transaction</t>
        </is>
      </c>
      <c r="D1612" s="58">
        <f>IF(H1612=1,INDEX(tx_ID,1606)&amp;"","")</f>
        <v/>
      </c>
      <c r="E1612" s="94">
        <f>IF(H1612=1,INDEX(tx_Date,1606),"")</f>
        <v/>
      </c>
      <c r="F1612" s="58">
        <f>IF(H1612=1,INDEX(tx_Desc,1606)&amp;"","")</f>
        <v/>
      </c>
      <c r="G1612" s="58">
        <f>IF(H1612=1,IF(INDEX(tx_Cust,1606)&amp;""&lt;&gt;"",INDEX(tx_Cust,1606)&amp;"",INDEX(tx_Vend,1606)&amp;""),"")</f>
        <v/>
      </c>
      <c r="H1612" s="101">
        <f>IFERROR(N(INDEX(tx_Posted,1606)),0)</f>
        <v/>
      </c>
      <c r="I1612" s="58">
        <f>IF(H1612=1,INDEX(tx_DrAcct,1606)&amp;"","")</f>
        <v/>
      </c>
      <c r="J1612" s="95">
        <f>IF(H1612=1,INDEX(tx_DrAmt,1606),0)</f>
        <v/>
      </c>
      <c r="K1612" s="58">
        <f>IF(H1612=1,INDEX(tx_CrAcct,1606)&amp;"","")</f>
        <v/>
      </c>
      <c r="L1612" s="95">
        <f>IF(H1612=1,INDEX(tx_CrAmt,1606),0)</f>
        <v/>
      </c>
      <c r="M1612" s="95">
        <f>IF(H1612=1,INDEX(tx_TaxDr,1606),0)</f>
        <v/>
      </c>
      <c r="N1612" s="95">
        <f>IF(H1612=1,INDEX(tx_TaxCr,1606),0)</f>
        <v/>
      </c>
      <c r="O1612" s="101">
        <f>IF(H1612=1,IF(E1612&lt;FYStart,0,IF(E1612&gt;FYEnd,13,YEAR(E1612)*12+MONTH(E1612)-FYYM+1)),"")</f>
        <v/>
      </c>
      <c r="P1612" s="101">
        <f>IF(H1612=1,IF(IFERROR(INDEX(coa_CF,MATCH(I1612,coa_Name,0)),"")="Cash",1,0),0)</f>
        <v/>
      </c>
      <c r="Q1612" s="101">
        <f>IF(H1612=1,IF(IFERROR(INDEX(coa_CF,MATCH(K1612,coa_Name,0)),"")="Cash",1,0),0)</f>
        <v/>
      </c>
      <c r="R1612" s="58">
        <f>IF((P1612-Q1612)=0,"",IFERROR(INDEX(coa_CF,MATCH(IF((P1612-Q1612)=1,K1612,I1612),coa_Name,0)),"Operating"))</f>
        <v/>
      </c>
      <c r="S1612" s="95">
        <f>IF((P1612-Q1612)=1,L1612,IF((P1612-Q1612)=-1,-J1612,0))</f>
        <v/>
      </c>
      <c r="T1612" s="95">
        <f>IF((P1612-Q1612)=1,N1612,IF((P1612-Q1612)=-1,-M1612,0))</f>
        <v/>
      </c>
      <c r="U1612" s="101">
        <f>IF(AND(H1612=1,LedAcct&lt;&gt;""),IF(AND(E1612&gt;=LedFrom,E1612&lt;=LedTo,OR(I1612=LedAcct,K1612=LedAcct,AND(LedAcct=acctTax,M1612+N1612&lt;&gt;0))),E1612*10000+B1612,""),"")</f>
        <v/>
      </c>
    </row>
    <row r="1613">
      <c r="B1613" s="101" t="n">
        <v>1607</v>
      </c>
      <c r="C1613" s="58" t="inlineStr">
        <is>
          <t>Transaction</t>
        </is>
      </c>
      <c r="D1613" s="58">
        <f>IF(H1613=1,INDEX(tx_ID,1607)&amp;"","")</f>
        <v/>
      </c>
      <c r="E1613" s="94">
        <f>IF(H1613=1,INDEX(tx_Date,1607),"")</f>
        <v/>
      </c>
      <c r="F1613" s="58">
        <f>IF(H1613=1,INDEX(tx_Desc,1607)&amp;"","")</f>
        <v/>
      </c>
      <c r="G1613" s="58">
        <f>IF(H1613=1,IF(INDEX(tx_Cust,1607)&amp;""&lt;&gt;"",INDEX(tx_Cust,1607)&amp;"",INDEX(tx_Vend,1607)&amp;""),"")</f>
        <v/>
      </c>
      <c r="H1613" s="101">
        <f>IFERROR(N(INDEX(tx_Posted,1607)),0)</f>
        <v/>
      </c>
      <c r="I1613" s="58">
        <f>IF(H1613=1,INDEX(tx_DrAcct,1607)&amp;"","")</f>
        <v/>
      </c>
      <c r="J1613" s="95">
        <f>IF(H1613=1,INDEX(tx_DrAmt,1607),0)</f>
        <v/>
      </c>
      <c r="K1613" s="58">
        <f>IF(H1613=1,INDEX(tx_CrAcct,1607)&amp;"","")</f>
        <v/>
      </c>
      <c r="L1613" s="95">
        <f>IF(H1613=1,INDEX(tx_CrAmt,1607),0)</f>
        <v/>
      </c>
      <c r="M1613" s="95">
        <f>IF(H1613=1,INDEX(tx_TaxDr,1607),0)</f>
        <v/>
      </c>
      <c r="N1613" s="95">
        <f>IF(H1613=1,INDEX(tx_TaxCr,1607),0)</f>
        <v/>
      </c>
      <c r="O1613" s="101">
        <f>IF(H1613=1,IF(E1613&lt;FYStart,0,IF(E1613&gt;FYEnd,13,YEAR(E1613)*12+MONTH(E1613)-FYYM+1)),"")</f>
        <v/>
      </c>
      <c r="P1613" s="101">
        <f>IF(H1613=1,IF(IFERROR(INDEX(coa_CF,MATCH(I1613,coa_Name,0)),"")="Cash",1,0),0)</f>
        <v/>
      </c>
      <c r="Q1613" s="101">
        <f>IF(H1613=1,IF(IFERROR(INDEX(coa_CF,MATCH(K1613,coa_Name,0)),"")="Cash",1,0),0)</f>
        <v/>
      </c>
      <c r="R1613" s="58">
        <f>IF((P1613-Q1613)=0,"",IFERROR(INDEX(coa_CF,MATCH(IF((P1613-Q1613)=1,K1613,I1613),coa_Name,0)),"Operating"))</f>
        <v/>
      </c>
      <c r="S1613" s="95">
        <f>IF((P1613-Q1613)=1,L1613,IF((P1613-Q1613)=-1,-J1613,0))</f>
        <v/>
      </c>
      <c r="T1613" s="95">
        <f>IF((P1613-Q1613)=1,N1613,IF((P1613-Q1613)=-1,-M1613,0))</f>
        <v/>
      </c>
      <c r="U1613" s="101">
        <f>IF(AND(H1613=1,LedAcct&lt;&gt;""),IF(AND(E1613&gt;=LedFrom,E1613&lt;=LedTo,OR(I1613=LedAcct,K1613=LedAcct,AND(LedAcct=acctTax,M1613+N1613&lt;&gt;0))),E1613*10000+B1613,""),"")</f>
        <v/>
      </c>
    </row>
    <row r="1614">
      <c r="B1614" s="101" t="n">
        <v>1608</v>
      </c>
      <c r="C1614" s="58" t="inlineStr">
        <is>
          <t>Transaction</t>
        </is>
      </c>
      <c r="D1614" s="58">
        <f>IF(H1614=1,INDEX(tx_ID,1608)&amp;"","")</f>
        <v/>
      </c>
      <c r="E1614" s="94">
        <f>IF(H1614=1,INDEX(tx_Date,1608),"")</f>
        <v/>
      </c>
      <c r="F1614" s="58">
        <f>IF(H1614=1,INDEX(tx_Desc,1608)&amp;"","")</f>
        <v/>
      </c>
      <c r="G1614" s="58">
        <f>IF(H1614=1,IF(INDEX(tx_Cust,1608)&amp;""&lt;&gt;"",INDEX(tx_Cust,1608)&amp;"",INDEX(tx_Vend,1608)&amp;""),"")</f>
        <v/>
      </c>
      <c r="H1614" s="101">
        <f>IFERROR(N(INDEX(tx_Posted,1608)),0)</f>
        <v/>
      </c>
      <c r="I1614" s="58">
        <f>IF(H1614=1,INDEX(tx_DrAcct,1608)&amp;"","")</f>
        <v/>
      </c>
      <c r="J1614" s="95">
        <f>IF(H1614=1,INDEX(tx_DrAmt,1608),0)</f>
        <v/>
      </c>
      <c r="K1614" s="58">
        <f>IF(H1614=1,INDEX(tx_CrAcct,1608)&amp;"","")</f>
        <v/>
      </c>
      <c r="L1614" s="95">
        <f>IF(H1614=1,INDEX(tx_CrAmt,1608),0)</f>
        <v/>
      </c>
      <c r="M1614" s="95">
        <f>IF(H1614=1,INDEX(tx_TaxDr,1608),0)</f>
        <v/>
      </c>
      <c r="N1614" s="95">
        <f>IF(H1614=1,INDEX(tx_TaxCr,1608),0)</f>
        <v/>
      </c>
      <c r="O1614" s="101">
        <f>IF(H1614=1,IF(E1614&lt;FYStart,0,IF(E1614&gt;FYEnd,13,YEAR(E1614)*12+MONTH(E1614)-FYYM+1)),"")</f>
        <v/>
      </c>
      <c r="P1614" s="101">
        <f>IF(H1614=1,IF(IFERROR(INDEX(coa_CF,MATCH(I1614,coa_Name,0)),"")="Cash",1,0),0)</f>
        <v/>
      </c>
      <c r="Q1614" s="101">
        <f>IF(H1614=1,IF(IFERROR(INDEX(coa_CF,MATCH(K1614,coa_Name,0)),"")="Cash",1,0),0)</f>
        <v/>
      </c>
      <c r="R1614" s="58">
        <f>IF((P1614-Q1614)=0,"",IFERROR(INDEX(coa_CF,MATCH(IF((P1614-Q1614)=1,K1614,I1614),coa_Name,0)),"Operating"))</f>
        <v/>
      </c>
      <c r="S1614" s="95">
        <f>IF((P1614-Q1614)=1,L1614,IF((P1614-Q1614)=-1,-J1614,0))</f>
        <v/>
      </c>
      <c r="T1614" s="95">
        <f>IF((P1614-Q1614)=1,N1614,IF((P1614-Q1614)=-1,-M1614,0))</f>
        <v/>
      </c>
      <c r="U1614" s="101">
        <f>IF(AND(H1614=1,LedAcct&lt;&gt;""),IF(AND(E1614&gt;=LedFrom,E1614&lt;=LedTo,OR(I1614=LedAcct,K1614=LedAcct,AND(LedAcct=acctTax,M1614+N1614&lt;&gt;0))),E1614*10000+B1614,""),"")</f>
        <v/>
      </c>
    </row>
    <row r="1615">
      <c r="B1615" s="101" t="n">
        <v>1609</v>
      </c>
      <c r="C1615" s="58" t="inlineStr">
        <is>
          <t>Transaction</t>
        </is>
      </c>
      <c r="D1615" s="58">
        <f>IF(H1615=1,INDEX(tx_ID,1609)&amp;"","")</f>
        <v/>
      </c>
      <c r="E1615" s="94">
        <f>IF(H1615=1,INDEX(tx_Date,1609),"")</f>
        <v/>
      </c>
      <c r="F1615" s="58">
        <f>IF(H1615=1,INDEX(tx_Desc,1609)&amp;"","")</f>
        <v/>
      </c>
      <c r="G1615" s="58">
        <f>IF(H1615=1,IF(INDEX(tx_Cust,1609)&amp;""&lt;&gt;"",INDEX(tx_Cust,1609)&amp;"",INDEX(tx_Vend,1609)&amp;""),"")</f>
        <v/>
      </c>
      <c r="H1615" s="101">
        <f>IFERROR(N(INDEX(tx_Posted,1609)),0)</f>
        <v/>
      </c>
      <c r="I1615" s="58">
        <f>IF(H1615=1,INDEX(tx_DrAcct,1609)&amp;"","")</f>
        <v/>
      </c>
      <c r="J1615" s="95">
        <f>IF(H1615=1,INDEX(tx_DrAmt,1609),0)</f>
        <v/>
      </c>
      <c r="K1615" s="58">
        <f>IF(H1615=1,INDEX(tx_CrAcct,1609)&amp;"","")</f>
        <v/>
      </c>
      <c r="L1615" s="95">
        <f>IF(H1615=1,INDEX(tx_CrAmt,1609),0)</f>
        <v/>
      </c>
      <c r="M1615" s="95">
        <f>IF(H1615=1,INDEX(tx_TaxDr,1609),0)</f>
        <v/>
      </c>
      <c r="N1615" s="95">
        <f>IF(H1615=1,INDEX(tx_TaxCr,1609),0)</f>
        <v/>
      </c>
      <c r="O1615" s="101">
        <f>IF(H1615=1,IF(E1615&lt;FYStart,0,IF(E1615&gt;FYEnd,13,YEAR(E1615)*12+MONTH(E1615)-FYYM+1)),"")</f>
        <v/>
      </c>
      <c r="P1615" s="101">
        <f>IF(H1615=1,IF(IFERROR(INDEX(coa_CF,MATCH(I1615,coa_Name,0)),"")="Cash",1,0),0)</f>
        <v/>
      </c>
      <c r="Q1615" s="101">
        <f>IF(H1615=1,IF(IFERROR(INDEX(coa_CF,MATCH(K1615,coa_Name,0)),"")="Cash",1,0),0)</f>
        <v/>
      </c>
      <c r="R1615" s="58">
        <f>IF((P1615-Q1615)=0,"",IFERROR(INDEX(coa_CF,MATCH(IF((P1615-Q1615)=1,K1615,I1615),coa_Name,0)),"Operating"))</f>
        <v/>
      </c>
      <c r="S1615" s="95">
        <f>IF((P1615-Q1615)=1,L1615,IF((P1615-Q1615)=-1,-J1615,0))</f>
        <v/>
      </c>
      <c r="T1615" s="95">
        <f>IF((P1615-Q1615)=1,N1615,IF((P1615-Q1615)=-1,-M1615,0))</f>
        <v/>
      </c>
      <c r="U1615" s="101">
        <f>IF(AND(H1615=1,LedAcct&lt;&gt;""),IF(AND(E1615&gt;=LedFrom,E1615&lt;=LedTo,OR(I1615=LedAcct,K1615=LedAcct,AND(LedAcct=acctTax,M1615+N1615&lt;&gt;0))),E1615*10000+B1615,""),"")</f>
        <v/>
      </c>
    </row>
    <row r="1616">
      <c r="B1616" s="101" t="n">
        <v>1610</v>
      </c>
      <c r="C1616" s="58" t="inlineStr">
        <is>
          <t>Transaction</t>
        </is>
      </c>
      <c r="D1616" s="58">
        <f>IF(H1616=1,INDEX(tx_ID,1610)&amp;"","")</f>
        <v/>
      </c>
      <c r="E1616" s="94">
        <f>IF(H1616=1,INDEX(tx_Date,1610),"")</f>
        <v/>
      </c>
      <c r="F1616" s="58">
        <f>IF(H1616=1,INDEX(tx_Desc,1610)&amp;"","")</f>
        <v/>
      </c>
      <c r="G1616" s="58">
        <f>IF(H1616=1,IF(INDEX(tx_Cust,1610)&amp;""&lt;&gt;"",INDEX(tx_Cust,1610)&amp;"",INDEX(tx_Vend,1610)&amp;""),"")</f>
        <v/>
      </c>
      <c r="H1616" s="101">
        <f>IFERROR(N(INDEX(tx_Posted,1610)),0)</f>
        <v/>
      </c>
      <c r="I1616" s="58">
        <f>IF(H1616=1,INDEX(tx_DrAcct,1610)&amp;"","")</f>
        <v/>
      </c>
      <c r="J1616" s="95">
        <f>IF(H1616=1,INDEX(tx_DrAmt,1610),0)</f>
        <v/>
      </c>
      <c r="K1616" s="58">
        <f>IF(H1616=1,INDEX(tx_CrAcct,1610)&amp;"","")</f>
        <v/>
      </c>
      <c r="L1616" s="95">
        <f>IF(H1616=1,INDEX(tx_CrAmt,1610),0)</f>
        <v/>
      </c>
      <c r="M1616" s="95">
        <f>IF(H1616=1,INDEX(tx_TaxDr,1610),0)</f>
        <v/>
      </c>
      <c r="N1616" s="95">
        <f>IF(H1616=1,INDEX(tx_TaxCr,1610),0)</f>
        <v/>
      </c>
      <c r="O1616" s="101">
        <f>IF(H1616=1,IF(E1616&lt;FYStart,0,IF(E1616&gt;FYEnd,13,YEAR(E1616)*12+MONTH(E1616)-FYYM+1)),"")</f>
        <v/>
      </c>
      <c r="P1616" s="101">
        <f>IF(H1616=1,IF(IFERROR(INDEX(coa_CF,MATCH(I1616,coa_Name,0)),"")="Cash",1,0),0)</f>
        <v/>
      </c>
      <c r="Q1616" s="101">
        <f>IF(H1616=1,IF(IFERROR(INDEX(coa_CF,MATCH(K1616,coa_Name,0)),"")="Cash",1,0),0)</f>
        <v/>
      </c>
      <c r="R1616" s="58">
        <f>IF((P1616-Q1616)=0,"",IFERROR(INDEX(coa_CF,MATCH(IF((P1616-Q1616)=1,K1616,I1616),coa_Name,0)),"Operating"))</f>
        <v/>
      </c>
      <c r="S1616" s="95">
        <f>IF((P1616-Q1616)=1,L1616,IF((P1616-Q1616)=-1,-J1616,0))</f>
        <v/>
      </c>
      <c r="T1616" s="95">
        <f>IF((P1616-Q1616)=1,N1616,IF((P1616-Q1616)=-1,-M1616,0))</f>
        <v/>
      </c>
      <c r="U1616" s="101">
        <f>IF(AND(H1616=1,LedAcct&lt;&gt;""),IF(AND(E1616&gt;=LedFrom,E1616&lt;=LedTo,OR(I1616=LedAcct,K1616=LedAcct,AND(LedAcct=acctTax,M1616+N1616&lt;&gt;0))),E1616*10000+B1616,""),"")</f>
        <v/>
      </c>
    </row>
    <row r="1617">
      <c r="B1617" s="101" t="n">
        <v>1611</v>
      </c>
      <c r="C1617" s="58" t="inlineStr">
        <is>
          <t>Transaction</t>
        </is>
      </c>
      <c r="D1617" s="58">
        <f>IF(H1617=1,INDEX(tx_ID,1611)&amp;"","")</f>
        <v/>
      </c>
      <c r="E1617" s="94">
        <f>IF(H1617=1,INDEX(tx_Date,1611),"")</f>
        <v/>
      </c>
      <c r="F1617" s="58">
        <f>IF(H1617=1,INDEX(tx_Desc,1611)&amp;"","")</f>
        <v/>
      </c>
      <c r="G1617" s="58">
        <f>IF(H1617=1,IF(INDEX(tx_Cust,1611)&amp;""&lt;&gt;"",INDEX(tx_Cust,1611)&amp;"",INDEX(tx_Vend,1611)&amp;""),"")</f>
        <v/>
      </c>
      <c r="H1617" s="101">
        <f>IFERROR(N(INDEX(tx_Posted,1611)),0)</f>
        <v/>
      </c>
      <c r="I1617" s="58">
        <f>IF(H1617=1,INDEX(tx_DrAcct,1611)&amp;"","")</f>
        <v/>
      </c>
      <c r="J1617" s="95">
        <f>IF(H1617=1,INDEX(tx_DrAmt,1611),0)</f>
        <v/>
      </c>
      <c r="K1617" s="58">
        <f>IF(H1617=1,INDEX(tx_CrAcct,1611)&amp;"","")</f>
        <v/>
      </c>
      <c r="L1617" s="95">
        <f>IF(H1617=1,INDEX(tx_CrAmt,1611),0)</f>
        <v/>
      </c>
      <c r="M1617" s="95">
        <f>IF(H1617=1,INDEX(tx_TaxDr,1611),0)</f>
        <v/>
      </c>
      <c r="N1617" s="95">
        <f>IF(H1617=1,INDEX(tx_TaxCr,1611),0)</f>
        <v/>
      </c>
      <c r="O1617" s="101">
        <f>IF(H1617=1,IF(E1617&lt;FYStart,0,IF(E1617&gt;FYEnd,13,YEAR(E1617)*12+MONTH(E1617)-FYYM+1)),"")</f>
        <v/>
      </c>
      <c r="P1617" s="101">
        <f>IF(H1617=1,IF(IFERROR(INDEX(coa_CF,MATCH(I1617,coa_Name,0)),"")="Cash",1,0),0)</f>
        <v/>
      </c>
      <c r="Q1617" s="101">
        <f>IF(H1617=1,IF(IFERROR(INDEX(coa_CF,MATCH(K1617,coa_Name,0)),"")="Cash",1,0),0)</f>
        <v/>
      </c>
      <c r="R1617" s="58">
        <f>IF((P1617-Q1617)=0,"",IFERROR(INDEX(coa_CF,MATCH(IF((P1617-Q1617)=1,K1617,I1617),coa_Name,0)),"Operating"))</f>
        <v/>
      </c>
      <c r="S1617" s="95">
        <f>IF((P1617-Q1617)=1,L1617,IF((P1617-Q1617)=-1,-J1617,0))</f>
        <v/>
      </c>
      <c r="T1617" s="95">
        <f>IF((P1617-Q1617)=1,N1617,IF((P1617-Q1617)=-1,-M1617,0))</f>
        <v/>
      </c>
      <c r="U1617" s="101">
        <f>IF(AND(H1617=1,LedAcct&lt;&gt;""),IF(AND(E1617&gt;=LedFrom,E1617&lt;=LedTo,OR(I1617=LedAcct,K1617=LedAcct,AND(LedAcct=acctTax,M1617+N1617&lt;&gt;0))),E1617*10000+B1617,""),"")</f>
        <v/>
      </c>
    </row>
    <row r="1618">
      <c r="B1618" s="101" t="n">
        <v>1612</v>
      </c>
      <c r="C1618" s="58" t="inlineStr">
        <is>
          <t>Transaction</t>
        </is>
      </c>
      <c r="D1618" s="58">
        <f>IF(H1618=1,INDEX(tx_ID,1612)&amp;"","")</f>
        <v/>
      </c>
      <c r="E1618" s="94">
        <f>IF(H1618=1,INDEX(tx_Date,1612),"")</f>
        <v/>
      </c>
      <c r="F1618" s="58">
        <f>IF(H1618=1,INDEX(tx_Desc,1612)&amp;"","")</f>
        <v/>
      </c>
      <c r="G1618" s="58">
        <f>IF(H1618=1,IF(INDEX(tx_Cust,1612)&amp;""&lt;&gt;"",INDEX(tx_Cust,1612)&amp;"",INDEX(tx_Vend,1612)&amp;""),"")</f>
        <v/>
      </c>
      <c r="H1618" s="101">
        <f>IFERROR(N(INDEX(tx_Posted,1612)),0)</f>
        <v/>
      </c>
      <c r="I1618" s="58">
        <f>IF(H1618=1,INDEX(tx_DrAcct,1612)&amp;"","")</f>
        <v/>
      </c>
      <c r="J1618" s="95">
        <f>IF(H1618=1,INDEX(tx_DrAmt,1612),0)</f>
        <v/>
      </c>
      <c r="K1618" s="58">
        <f>IF(H1618=1,INDEX(tx_CrAcct,1612)&amp;"","")</f>
        <v/>
      </c>
      <c r="L1618" s="95">
        <f>IF(H1618=1,INDEX(tx_CrAmt,1612),0)</f>
        <v/>
      </c>
      <c r="M1618" s="95">
        <f>IF(H1618=1,INDEX(tx_TaxDr,1612),0)</f>
        <v/>
      </c>
      <c r="N1618" s="95">
        <f>IF(H1618=1,INDEX(tx_TaxCr,1612),0)</f>
        <v/>
      </c>
      <c r="O1618" s="101">
        <f>IF(H1618=1,IF(E1618&lt;FYStart,0,IF(E1618&gt;FYEnd,13,YEAR(E1618)*12+MONTH(E1618)-FYYM+1)),"")</f>
        <v/>
      </c>
      <c r="P1618" s="101">
        <f>IF(H1618=1,IF(IFERROR(INDEX(coa_CF,MATCH(I1618,coa_Name,0)),"")="Cash",1,0),0)</f>
        <v/>
      </c>
      <c r="Q1618" s="101">
        <f>IF(H1618=1,IF(IFERROR(INDEX(coa_CF,MATCH(K1618,coa_Name,0)),"")="Cash",1,0),0)</f>
        <v/>
      </c>
      <c r="R1618" s="58">
        <f>IF((P1618-Q1618)=0,"",IFERROR(INDEX(coa_CF,MATCH(IF((P1618-Q1618)=1,K1618,I1618),coa_Name,0)),"Operating"))</f>
        <v/>
      </c>
      <c r="S1618" s="95">
        <f>IF((P1618-Q1618)=1,L1618,IF((P1618-Q1618)=-1,-J1618,0))</f>
        <v/>
      </c>
      <c r="T1618" s="95">
        <f>IF((P1618-Q1618)=1,N1618,IF((P1618-Q1618)=-1,-M1618,0))</f>
        <v/>
      </c>
      <c r="U1618" s="101">
        <f>IF(AND(H1618=1,LedAcct&lt;&gt;""),IF(AND(E1618&gt;=LedFrom,E1618&lt;=LedTo,OR(I1618=LedAcct,K1618=LedAcct,AND(LedAcct=acctTax,M1618+N1618&lt;&gt;0))),E1618*10000+B1618,""),"")</f>
        <v/>
      </c>
    </row>
    <row r="1619">
      <c r="B1619" s="101" t="n">
        <v>1613</v>
      </c>
      <c r="C1619" s="58" t="inlineStr">
        <is>
          <t>Transaction</t>
        </is>
      </c>
      <c r="D1619" s="58">
        <f>IF(H1619=1,INDEX(tx_ID,1613)&amp;"","")</f>
        <v/>
      </c>
      <c r="E1619" s="94">
        <f>IF(H1619=1,INDEX(tx_Date,1613),"")</f>
        <v/>
      </c>
      <c r="F1619" s="58">
        <f>IF(H1619=1,INDEX(tx_Desc,1613)&amp;"","")</f>
        <v/>
      </c>
      <c r="G1619" s="58">
        <f>IF(H1619=1,IF(INDEX(tx_Cust,1613)&amp;""&lt;&gt;"",INDEX(tx_Cust,1613)&amp;"",INDEX(tx_Vend,1613)&amp;""),"")</f>
        <v/>
      </c>
      <c r="H1619" s="101">
        <f>IFERROR(N(INDEX(tx_Posted,1613)),0)</f>
        <v/>
      </c>
      <c r="I1619" s="58">
        <f>IF(H1619=1,INDEX(tx_DrAcct,1613)&amp;"","")</f>
        <v/>
      </c>
      <c r="J1619" s="95">
        <f>IF(H1619=1,INDEX(tx_DrAmt,1613),0)</f>
        <v/>
      </c>
      <c r="K1619" s="58">
        <f>IF(H1619=1,INDEX(tx_CrAcct,1613)&amp;"","")</f>
        <v/>
      </c>
      <c r="L1619" s="95">
        <f>IF(H1619=1,INDEX(tx_CrAmt,1613),0)</f>
        <v/>
      </c>
      <c r="M1619" s="95">
        <f>IF(H1619=1,INDEX(tx_TaxDr,1613),0)</f>
        <v/>
      </c>
      <c r="N1619" s="95">
        <f>IF(H1619=1,INDEX(tx_TaxCr,1613),0)</f>
        <v/>
      </c>
      <c r="O1619" s="101">
        <f>IF(H1619=1,IF(E1619&lt;FYStart,0,IF(E1619&gt;FYEnd,13,YEAR(E1619)*12+MONTH(E1619)-FYYM+1)),"")</f>
        <v/>
      </c>
      <c r="P1619" s="101">
        <f>IF(H1619=1,IF(IFERROR(INDEX(coa_CF,MATCH(I1619,coa_Name,0)),"")="Cash",1,0),0)</f>
        <v/>
      </c>
      <c r="Q1619" s="101">
        <f>IF(H1619=1,IF(IFERROR(INDEX(coa_CF,MATCH(K1619,coa_Name,0)),"")="Cash",1,0),0)</f>
        <v/>
      </c>
      <c r="R1619" s="58">
        <f>IF((P1619-Q1619)=0,"",IFERROR(INDEX(coa_CF,MATCH(IF((P1619-Q1619)=1,K1619,I1619),coa_Name,0)),"Operating"))</f>
        <v/>
      </c>
      <c r="S1619" s="95">
        <f>IF((P1619-Q1619)=1,L1619,IF((P1619-Q1619)=-1,-J1619,0))</f>
        <v/>
      </c>
      <c r="T1619" s="95">
        <f>IF((P1619-Q1619)=1,N1619,IF((P1619-Q1619)=-1,-M1619,0))</f>
        <v/>
      </c>
      <c r="U1619" s="101">
        <f>IF(AND(H1619=1,LedAcct&lt;&gt;""),IF(AND(E1619&gt;=LedFrom,E1619&lt;=LedTo,OR(I1619=LedAcct,K1619=LedAcct,AND(LedAcct=acctTax,M1619+N1619&lt;&gt;0))),E1619*10000+B1619,""),"")</f>
        <v/>
      </c>
    </row>
    <row r="1620">
      <c r="B1620" s="101" t="n">
        <v>1614</v>
      </c>
      <c r="C1620" s="58" t="inlineStr">
        <is>
          <t>Transaction</t>
        </is>
      </c>
      <c r="D1620" s="58">
        <f>IF(H1620=1,INDEX(tx_ID,1614)&amp;"","")</f>
        <v/>
      </c>
      <c r="E1620" s="94">
        <f>IF(H1620=1,INDEX(tx_Date,1614),"")</f>
        <v/>
      </c>
      <c r="F1620" s="58">
        <f>IF(H1620=1,INDEX(tx_Desc,1614)&amp;"","")</f>
        <v/>
      </c>
      <c r="G1620" s="58">
        <f>IF(H1620=1,IF(INDEX(tx_Cust,1614)&amp;""&lt;&gt;"",INDEX(tx_Cust,1614)&amp;"",INDEX(tx_Vend,1614)&amp;""),"")</f>
        <v/>
      </c>
      <c r="H1620" s="101">
        <f>IFERROR(N(INDEX(tx_Posted,1614)),0)</f>
        <v/>
      </c>
      <c r="I1620" s="58">
        <f>IF(H1620=1,INDEX(tx_DrAcct,1614)&amp;"","")</f>
        <v/>
      </c>
      <c r="J1620" s="95">
        <f>IF(H1620=1,INDEX(tx_DrAmt,1614),0)</f>
        <v/>
      </c>
      <c r="K1620" s="58">
        <f>IF(H1620=1,INDEX(tx_CrAcct,1614)&amp;"","")</f>
        <v/>
      </c>
      <c r="L1620" s="95">
        <f>IF(H1620=1,INDEX(tx_CrAmt,1614),0)</f>
        <v/>
      </c>
      <c r="M1620" s="95">
        <f>IF(H1620=1,INDEX(tx_TaxDr,1614),0)</f>
        <v/>
      </c>
      <c r="N1620" s="95">
        <f>IF(H1620=1,INDEX(tx_TaxCr,1614),0)</f>
        <v/>
      </c>
      <c r="O1620" s="101">
        <f>IF(H1620=1,IF(E1620&lt;FYStart,0,IF(E1620&gt;FYEnd,13,YEAR(E1620)*12+MONTH(E1620)-FYYM+1)),"")</f>
        <v/>
      </c>
      <c r="P1620" s="101">
        <f>IF(H1620=1,IF(IFERROR(INDEX(coa_CF,MATCH(I1620,coa_Name,0)),"")="Cash",1,0),0)</f>
        <v/>
      </c>
      <c r="Q1620" s="101">
        <f>IF(H1620=1,IF(IFERROR(INDEX(coa_CF,MATCH(K1620,coa_Name,0)),"")="Cash",1,0),0)</f>
        <v/>
      </c>
      <c r="R1620" s="58">
        <f>IF((P1620-Q1620)=0,"",IFERROR(INDEX(coa_CF,MATCH(IF((P1620-Q1620)=1,K1620,I1620),coa_Name,0)),"Operating"))</f>
        <v/>
      </c>
      <c r="S1620" s="95">
        <f>IF((P1620-Q1620)=1,L1620,IF((P1620-Q1620)=-1,-J1620,0))</f>
        <v/>
      </c>
      <c r="T1620" s="95">
        <f>IF((P1620-Q1620)=1,N1620,IF((P1620-Q1620)=-1,-M1620,0))</f>
        <v/>
      </c>
      <c r="U1620" s="101">
        <f>IF(AND(H1620=1,LedAcct&lt;&gt;""),IF(AND(E1620&gt;=LedFrom,E1620&lt;=LedTo,OR(I1620=LedAcct,K1620=LedAcct,AND(LedAcct=acctTax,M1620+N1620&lt;&gt;0))),E1620*10000+B1620,""),"")</f>
        <v/>
      </c>
    </row>
    <row r="1621">
      <c r="B1621" s="101" t="n">
        <v>1615</v>
      </c>
      <c r="C1621" s="58" t="inlineStr">
        <is>
          <t>Transaction</t>
        </is>
      </c>
      <c r="D1621" s="58">
        <f>IF(H1621=1,INDEX(tx_ID,1615)&amp;"","")</f>
        <v/>
      </c>
      <c r="E1621" s="94">
        <f>IF(H1621=1,INDEX(tx_Date,1615),"")</f>
        <v/>
      </c>
      <c r="F1621" s="58">
        <f>IF(H1621=1,INDEX(tx_Desc,1615)&amp;"","")</f>
        <v/>
      </c>
      <c r="G1621" s="58">
        <f>IF(H1621=1,IF(INDEX(tx_Cust,1615)&amp;""&lt;&gt;"",INDEX(tx_Cust,1615)&amp;"",INDEX(tx_Vend,1615)&amp;""),"")</f>
        <v/>
      </c>
      <c r="H1621" s="101">
        <f>IFERROR(N(INDEX(tx_Posted,1615)),0)</f>
        <v/>
      </c>
      <c r="I1621" s="58">
        <f>IF(H1621=1,INDEX(tx_DrAcct,1615)&amp;"","")</f>
        <v/>
      </c>
      <c r="J1621" s="95">
        <f>IF(H1621=1,INDEX(tx_DrAmt,1615),0)</f>
        <v/>
      </c>
      <c r="K1621" s="58">
        <f>IF(H1621=1,INDEX(tx_CrAcct,1615)&amp;"","")</f>
        <v/>
      </c>
      <c r="L1621" s="95">
        <f>IF(H1621=1,INDEX(tx_CrAmt,1615),0)</f>
        <v/>
      </c>
      <c r="M1621" s="95">
        <f>IF(H1621=1,INDEX(tx_TaxDr,1615),0)</f>
        <v/>
      </c>
      <c r="N1621" s="95">
        <f>IF(H1621=1,INDEX(tx_TaxCr,1615),0)</f>
        <v/>
      </c>
      <c r="O1621" s="101">
        <f>IF(H1621=1,IF(E1621&lt;FYStart,0,IF(E1621&gt;FYEnd,13,YEAR(E1621)*12+MONTH(E1621)-FYYM+1)),"")</f>
        <v/>
      </c>
      <c r="P1621" s="101">
        <f>IF(H1621=1,IF(IFERROR(INDEX(coa_CF,MATCH(I1621,coa_Name,0)),"")="Cash",1,0),0)</f>
        <v/>
      </c>
      <c r="Q1621" s="101">
        <f>IF(H1621=1,IF(IFERROR(INDEX(coa_CF,MATCH(K1621,coa_Name,0)),"")="Cash",1,0),0)</f>
        <v/>
      </c>
      <c r="R1621" s="58">
        <f>IF((P1621-Q1621)=0,"",IFERROR(INDEX(coa_CF,MATCH(IF((P1621-Q1621)=1,K1621,I1621),coa_Name,0)),"Operating"))</f>
        <v/>
      </c>
      <c r="S1621" s="95">
        <f>IF((P1621-Q1621)=1,L1621,IF((P1621-Q1621)=-1,-J1621,0))</f>
        <v/>
      </c>
      <c r="T1621" s="95">
        <f>IF((P1621-Q1621)=1,N1621,IF((P1621-Q1621)=-1,-M1621,0))</f>
        <v/>
      </c>
      <c r="U1621" s="101">
        <f>IF(AND(H1621=1,LedAcct&lt;&gt;""),IF(AND(E1621&gt;=LedFrom,E1621&lt;=LedTo,OR(I1621=LedAcct,K1621=LedAcct,AND(LedAcct=acctTax,M1621+N1621&lt;&gt;0))),E1621*10000+B1621,""),"")</f>
        <v/>
      </c>
    </row>
    <row r="1622">
      <c r="B1622" s="101" t="n">
        <v>1616</v>
      </c>
      <c r="C1622" s="58" t="inlineStr">
        <is>
          <t>Transaction</t>
        </is>
      </c>
      <c r="D1622" s="58">
        <f>IF(H1622=1,INDEX(tx_ID,1616)&amp;"","")</f>
        <v/>
      </c>
      <c r="E1622" s="94">
        <f>IF(H1622=1,INDEX(tx_Date,1616),"")</f>
        <v/>
      </c>
      <c r="F1622" s="58">
        <f>IF(H1622=1,INDEX(tx_Desc,1616)&amp;"","")</f>
        <v/>
      </c>
      <c r="G1622" s="58">
        <f>IF(H1622=1,IF(INDEX(tx_Cust,1616)&amp;""&lt;&gt;"",INDEX(tx_Cust,1616)&amp;"",INDEX(tx_Vend,1616)&amp;""),"")</f>
        <v/>
      </c>
      <c r="H1622" s="101">
        <f>IFERROR(N(INDEX(tx_Posted,1616)),0)</f>
        <v/>
      </c>
      <c r="I1622" s="58">
        <f>IF(H1622=1,INDEX(tx_DrAcct,1616)&amp;"","")</f>
        <v/>
      </c>
      <c r="J1622" s="95">
        <f>IF(H1622=1,INDEX(tx_DrAmt,1616),0)</f>
        <v/>
      </c>
      <c r="K1622" s="58">
        <f>IF(H1622=1,INDEX(tx_CrAcct,1616)&amp;"","")</f>
        <v/>
      </c>
      <c r="L1622" s="95">
        <f>IF(H1622=1,INDEX(tx_CrAmt,1616),0)</f>
        <v/>
      </c>
      <c r="M1622" s="95">
        <f>IF(H1622=1,INDEX(tx_TaxDr,1616),0)</f>
        <v/>
      </c>
      <c r="N1622" s="95">
        <f>IF(H1622=1,INDEX(tx_TaxCr,1616),0)</f>
        <v/>
      </c>
      <c r="O1622" s="101">
        <f>IF(H1622=1,IF(E1622&lt;FYStart,0,IF(E1622&gt;FYEnd,13,YEAR(E1622)*12+MONTH(E1622)-FYYM+1)),"")</f>
        <v/>
      </c>
      <c r="P1622" s="101">
        <f>IF(H1622=1,IF(IFERROR(INDEX(coa_CF,MATCH(I1622,coa_Name,0)),"")="Cash",1,0),0)</f>
        <v/>
      </c>
      <c r="Q1622" s="101">
        <f>IF(H1622=1,IF(IFERROR(INDEX(coa_CF,MATCH(K1622,coa_Name,0)),"")="Cash",1,0),0)</f>
        <v/>
      </c>
      <c r="R1622" s="58">
        <f>IF((P1622-Q1622)=0,"",IFERROR(INDEX(coa_CF,MATCH(IF((P1622-Q1622)=1,K1622,I1622),coa_Name,0)),"Operating"))</f>
        <v/>
      </c>
      <c r="S1622" s="95">
        <f>IF((P1622-Q1622)=1,L1622,IF((P1622-Q1622)=-1,-J1622,0))</f>
        <v/>
      </c>
      <c r="T1622" s="95">
        <f>IF((P1622-Q1622)=1,N1622,IF((P1622-Q1622)=-1,-M1622,0))</f>
        <v/>
      </c>
      <c r="U1622" s="101">
        <f>IF(AND(H1622=1,LedAcct&lt;&gt;""),IF(AND(E1622&gt;=LedFrom,E1622&lt;=LedTo,OR(I1622=LedAcct,K1622=LedAcct,AND(LedAcct=acctTax,M1622+N1622&lt;&gt;0))),E1622*10000+B1622,""),"")</f>
        <v/>
      </c>
    </row>
    <row r="1623">
      <c r="B1623" s="101" t="n">
        <v>1617</v>
      </c>
      <c r="C1623" s="58" t="inlineStr">
        <is>
          <t>Transaction</t>
        </is>
      </c>
      <c r="D1623" s="58">
        <f>IF(H1623=1,INDEX(tx_ID,1617)&amp;"","")</f>
        <v/>
      </c>
      <c r="E1623" s="94">
        <f>IF(H1623=1,INDEX(tx_Date,1617),"")</f>
        <v/>
      </c>
      <c r="F1623" s="58">
        <f>IF(H1623=1,INDEX(tx_Desc,1617)&amp;"","")</f>
        <v/>
      </c>
      <c r="G1623" s="58">
        <f>IF(H1623=1,IF(INDEX(tx_Cust,1617)&amp;""&lt;&gt;"",INDEX(tx_Cust,1617)&amp;"",INDEX(tx_Vend,1617)&amp;""),"")</f>
        <v/>
      </c>
      <c r="H1623" s="101">
        <f>IFERROR(N(INDEX(tx_Posted,1617)),0)</f>
        <v/>
      </c>
      <c r="I1623" s="58">
        <f>IF(H1623=1,INDEX(tx_DrAcct,1617)&amp;"","")</f>
        <v/>
      </c>
      <c r="J1623" s="95">
        <f>IF(H1623=1,INDEX(tx_DrAmt,1617),0)</f>
        <v/>
      </c>
      <c r="K1623" s="58">
        <f>IF(H1623=1,INDEX(tx_CrAcct,1617)&amp;"","")</f>
        <v/>
      </c>
      <c r="L1623" s="95">
        <f>IF(H1623=1,INDEX(tx_CrAmt,1617),0)</f>
        <v/>
      </c>
      <c r="M1623" s="95">
        <f>IF(H1623=1,INDEX(tx_TaxDr,1617),0)</f>
        <v/>
      </c>
      <c r="N1623" s="95">
        <f>IF(H1623=1,INDEX(tx_TaxCr,1617),0)</f>
        <v/>
      </c>
      <c r="O1623" s="101">
        <f>IF(H1623=1,IF(E1623&lt;FYStart,0,IF(E1623&gt;FYEnd,13,YEAR(E1623)*12+MONTH(E1623)-FYYM+1)),"")</f>
        <v/>
      </c>
      <c r="P1623" s="101">
        <f>IF(H1623=1,IF(IFERROR(INDEX(coa_CF,MATCH(I1623,coa_Name,0)),"")="Cash",1,0),0)</f>
        <v/>
      </c>
      <c r="Q1623" s="101">
        <f>IF(H1623=1,IF(IFERROR(INDEX(coa_CF,MATCH(K1623,coa_Name,0)),"")="Cash",1,0),0)</f>
        <v/>
      </c>
      <c r="R1623" s="58">
        <f>IF((P1623-Q1623)=0,"",IFERROR(INDEX(coa_CF,MATCH(IF((P1623-Q1623)=1,K1623,I1623),coa_Name,0)),"Operating"))</f>
        <v/>
      </c>
      <c r="S1623" s="95">
        <f>IF((P1623-Q1623)=1,L1623,IF((P1623-Q1623)=-1,-J1623,0))</f>
        <v/>
      </c>
      <c r="T1623" s="95">
        <f>IF((P1623-Q1623)=1,N1623,IF((P1623-Q1623)=-1,-M1623,0))</f>
        <v/>
      </c>
      <c r="U1623" s="101">
        <f>IF(AND(H1623=1,LedAcct&lt;&gt;""),IF(AND(E1623&gt;=LedFrom,E1623&lt;=LedTo,OR(I1623=LedAcct,K1623=LedAcct,AND(LedAcct=acctTax,M1623+N1623&lt;&gt;0))),E1623*10000+B1623,""),"")</f>
        <v/>
      </c>
    </row>
    <row r="1624">
      <c r="B1624" s="101" t="n">
        <v>1618</v>
      </c>
      <c r="C1624" s="58" t="inlineStr">
        <is>
          <t>Transaction</t>
        </is>
      </c>
      <c r="D1624" s="58">
        <f>IF(H1624=1,INDEX(tx_ID,1618)&amp;"","")</f>
        <v/>
      </c>
      <c r="E1624" s="94">
        <f>IF(H1624=1,INDEX(tx_Date,1618),"")</f>
        <v/>
      </c>
      <c r="F1624" s="58">
        <f>IF(H1624=1,INDEX(tx_Desc,1618)&amp;"","")</f>
        <v/>
      </c>
      <c r="G1624" s="58">
        <f>IF(H1624=1,IF(INDEX(tx_Cust,1618)&amp;""&lt;&gt;"",INDEX(tx_Cust,1618)&amp;"",INDEX(tx_Vend,1618)&amp;""),"")</f>
        <v/>
      </c>
      <c r="H1624" s="101">
        <f>IFERROR(N(INDEX(tx_Posted,1618)),0)</f>
        <v/>
      </c>
      <c r="I1624" s="58">
        <f>IF(H1624=1,INDEX(tx_DrAcct,1618)&amp;"","")</f>
        <v/>
      </c>
      <c r="J1624" s="95">
        <f>IF(H1624=1,INDEX(tx_DrAmt,1618),0)</f>
        <v/>
      </c>
      <c r="K1624" s="58">
        <f>IF(H1624=1,INDEX(tx_CrAcct,1618)&amp;"","")</f>
        <v/>
      </c>
      <c r="L1624" s="95">
        <f>IF(H1624=1,INDEX(tx_CrAmt,1618),0)</f>
        <v/>
      </c>
      <c r="M1624" s="95">
        <f>IF(H1624=1,INDEX(tx_TaxDr,1618),0)</f>
        <v/>
      </c>
      <c r="N1624" s="95">
        <f>IF(H1624=1,INDEX(tx_TaxCr,1618),0)</f>
        <v/>
      </c>
      <c r="O1624" s="101">
        <f>IF(H1624=1,IF(E1624&lt;FYStart,0,IF(E1624&gt;FYEnd,13,YEAR(E1624)*12+MONTH(E1624)-FYYM+1)),"")</f>
        <v/>
      </c>
      <c r="P1624" s="101">
        <f>IF(H1624=1,IF(IFERROR(INDEX(coa_CF,MATCH(I1624,coa_Name,0)),"")="Cash",1,0),0)</f>
        <v/>
      </c>
      <c r="Q1624" s="101">
        <f>IF(H1624=1,IF(IFERROR(INDEX(coa_CF,MATCH(K1624,coa_Name,0)),"")="Cash",1,0),0)</f>
        <v/>
      </c>
      <c r="R1624" s="58">
        <f>IF((P1624-Q1624)=0,"",IFERROR(INDEX(coa_CF,MATCH(IF((P1624-Q1624)=1,K1624,I1624),coa_Name,0)),"Operating"))</f>
        <v/>
      </c>
      <c r="S1624" s="95">
        <f>IF((P1624-Q1624)=1,L1624,IF((P1624-Q1624)=-1,-J1624,0))</f>
        <v/>
      </c>
      <c r="T1624" s="95">
        <f>IF((P1624-Q1624)=1,N1624,IF((P1624-Q1624)=-1,-M1624,0))</f>
        <v/>
      </c>
      <c r="U1624" s="101">
        <f>IF(AND(H1624=1,LedAcct&lt;&gt;""),IF(AND(E1624&gt;=LedFrom,E1624&lt;=LedTo,OR(I1624=LedAcct,K1624=LedAcct,AND(LedAcct=acctTax,M1624+N1624&lt;&gt;0))),E1624*10000+B1624,""),"")</f>
        <v/>
      </c>
    </row>
    <row r="1625">
      <c r="B1625" s="101" t="n">
        <v>1619</v>
      </c>
      <c r="C1625" s="58" t="inlineStr">
        <is>
          <t>Transaction</t>
        </is>
      </c>
      <c r="D1625" s="58">
        <f>IF(H1625=1,INDEX(tx_ID,1619)&amp;"","")</f>
        <v/>
      </c>
      <c r="E1625" s="94">
        <f>IF(H1625=1,INDEX(tx_Date,1619),"")</f>
        <v/>
      </c>
      <c r="F1625" s="58">
        <f>IF(H1625=1,INDEX(tx_Desc,1619)&amp;"","")</f>
        <v/>
      </c>
      <c r="G1625" s="58">
        <f>IF(H1625=1,IF(INDEX(tx_Cust,1619)&amp;""&lt;&gt;"",INDEX(tx_Cust,1619)&amp;"",INDEX(tx_Vend,1619)&amp;""),"")</f>
        <v/>
      </c>
      <c r="H1625" s="101">
        <f>IFERROR(N(INDEX(tx_Posted,1619)),0)</f>
        <v/>
      </c>
      <c r="I1625" s="58">
        <f>IF(H1625=1,INDEX(tx_DrAcct,1619)&amp;"","")</f>
        <v/>
      </c>
      <c r="J1625" s="95">
        <f>IF(H1625=1,INDEX(tx_DrAmt,1619),0)</f>
        <v/>
      </c>
      <c r="K1625" s="58">
        <f>IF(H1625=1,INDEX(tx_CrAcct,1619)&amp;"","")</f>
        <v/>
      </c>
      <c r="L1625" s="95">
        <f>IF(H1625=1,INDEX(tx_CrAmt,1619),0)</f>
        <v/>
      </c>
      <c r="M1625" s="95">
        <f>IF(H1625=1,INDEX(tx_TaxDr,1619),0)</f>
        <v/>
      </c>
      <c r="N1625" s="95">
        <f>IF(H1625=1,INDEX(tx_TaxCr,1619),0)</f>
        <v/>
      </c>
      <c r="O1625" s="101">
        <f>IF(H1625=1,IF(E1625&lt;FYStart,0,IF(E1625&gt;FYEnd,13,YEAR(E1625)*12+MONTH(E1625)-FYYM+1)),"")</f>
        <v/>
      </c>
      <c r="P1625" s="101">
        <f>IF(H1625=1,IF(IFERROR(INDEX(coa_CF,MATCH(I1625,coa_Name,0)),"")="Cash",1,0),0)</f>
        <v/>
      </c>
      <c r="Q1625" s="101">
        <f>IF(H1625=1,IF(IFERROR(INDEX(coa_CF,MATCH(K1625,coa_Name,0)),"")="Cash",1,0),0)</f>
        <v/>
      </c>
      <c r="R1625" s="58">
        <f>IF((P1625-Q1625)=0,"",IFERROR(INDEX(coa_CF,MATCH(IF((P1625-Q1625)=1,K1625,I1625),coa_Name,0)),"Operating"))</f>
        <v/>
      </c>
      <c r="S1625" s="95">
        <f>IF((P1625-Q1625)=1,L1625,IF((P1625-Q1625)=-1,-J1625,0))</f>
        <v/>
      </c>
      <c r="T1625" s="95">
        <f>IF((P1625-Q1625)=1,N1625,IF((P1625-Q1625)=-1,-M1625,0))</f>
        <v/>
      </c>
      <c r="U1625" s="101">
        <f>IF(AND(H1625=1,LedAcct&lt;&gt;""),IF(AND(E1625&gt;=LedFrom,E1625&lt;=LedTo,OR(I1625=LedAcct,K1625=LedAcct,AND(LedAcct=acctTax,M1625+N1625&lt;&gt;0))),E1625*10000+B1625,""),"")</f>
        <v/>
      </c>
    </row>
    <row r="1626">
      <c r="B1626" s="101" t="n">
        <v>1620</v>
      </c>
      <c r="C1626" s="58" t="inlineStr">
        <is>
          <t>Transaction</t>
        </is>
      </c>
      <c r="D1626" s="58">
        <f>IF(H1626=1,INDEX(tx_ID,1620)&amp;"","")</f>
        <v/>
      </c>
      <c r="E1626" s="94">
        <f>IF(H1626=1,INDEX(tx_Date,1620),"")</f>
        <v/>
      </c>
      <c r="F1626" s="58">
        <f>IF(H1626=1,INDEX(tx_Desc,1620)&amp;"","")</f>
        <v/>
      </c>
      <c r="G1626" s="58">
        <f>IF(H1626=1,IF(INDEX(tx_Cust,1620)&amp;""&lt;&gt;"",INDEX(tx_Cust,1620)&amp;"",INDEX(tx_Vend,1620)&amp;""),"")</f>
        <v/>
      </c>
      <c r="H1626" s="101">
        <f>IFERROR(N(INDEX(tx_Posted,1620)),0)</f>
        <v/>
      </c>
      <c r="I1626" s="58">
        <f>IF(H1626=1,INDEX(tx_DrAcct,1620)&amp;"","")</f>
        <v/>
      </c>
      <c r="J1626" s="95">
        <f>IF(H1626=1,INDEX(tx_DrAmt,1620),0)</f>
        <v/>
      </c>
      <c r="K1626" s="58">
        <f>IF(H1626=1,INDEX(tx_CrAcct,1620)&amp;"","")</f>
        <v/>
      </c>
      <c r="L1626" s="95">
        <f>IF(H1626=1,INDEX(tx_CrAmt,1620),0)</f>
        <v/>
      </c>
      <c r="M1626" s="95">
        <f>IF(H1626=1,INDEX(tx_TaxDr,1620),0)</f>
        <v/>
      </c>
      <c r="N1626" s="95">
        <f>IF(H1626=1,INDEX(tx_TaxCr,1620),0)</f>
        <v/>
      </c>
      <c r="O1626" s="101">
        <f>IF(H1626=1,IF(E1626&lt;FYStart,0,IF(E1626&gt;FYEnd,13,YEAR(E1626)*12+MONTH(E1626)-FYYM+1)),"")</f>
        <v/>
      </c>
      <c r="P1626" s="101">
        <f>IF(H1626=1,IF(IFERROR(INDEX(coa_CF,MATCH(I1626,coa_Name,0)),"")="Cash",1,0),0)</f>
        <v/>
      </c>
      <c r="Q1626" s="101">
        <f>IF(H1626=1,IF(IFERROR(INDEX(coa_CF,MATCH(K1626,coa_Name,0)),"")="Cash",1,0),0)</f>
        <v/>
      </c>
      <c r="R1626" s="58">
        <f>IF((P1626-Q1626)=0,"",IFERROR(INDEX(coa_CF,MATCH(IF((P1626-Q1626)=1,K1626,I1626),coa_Name,0)),"Operating"))</f>
        <v/>
      </c>
      <c r="S1626" s="95">
        <f>IF((P1626-Q1626)=1,L1626,IF((P1626-Q1626)=-1,-J1626,0))</f>
        <v/>
      </c>
      <c r="T1626" s="95">
        <f>IF((P1626-Q1626)=1,N1626,IF((P1626-Q1626)=-1,-M1626,0))</f>
        <v/>
      </c>
      <c r="U1626" s="101">
        <f>IF(AND(H1626=1,LedAcct&lt;&gt;""),IF(AND(E1626&gt;=LedFrom,E1626&lt;=LedTo,OR(I1626=LedAcct,K1626=LedAcct,AND(LedAcct=acctTax,M1626+N1626&lt;&gt;0))),E1626*10000+B1626,""),"")</f>
        <v/>
      </c>
    </row>
    <row r="1627">
      <c r="B1627" s="101" t="n">
        <v>1621</v>
      </c>
      <c r="C1627" s="58" t="inlineStr">
        <is>
          <t>Transaction</t>
        </is>
      </c>
      <c r="D1627" s="58">
        <f>IF(H1627=1,INDEX(tx_ID,1621)&amp;"","")</f>
        <v/>
      </c>
      <c r="E1627" s="94">
        <f>IF(H1627=1,INDEX(tx_Date,1621),"")</f>
        <v/>
      </c>
      <c r="F1627" s="58">
        <f>IF(H1627=1,INDEX(tx_Desc,1621)&amp;"","")</f>
        <v/>
      </c>
      <c r="G1627" s="58">
        <f>IF(H1627=1,IF(INDEX(tx_Cust,1621)&amp;""&lt;&gt;"",INDEX(tx_Cust,1621)&amp;"",INDEX(tx_Vend,1621)&amp;""),"")</f>
        <v/>
      </c>
      <c r="H1627" s="101">
        <f>IFERROR(N(INDEX(tx_Posted,1621)),0)</f>
        <v/>
      </c>
      <c r="I1627" s="58">
        <f>IF(H1627=1,INDEX(tx_DrAcct,1621)&amp;"","")</f>
        <v/>
      </c>
      <c r="J1627" s="95">
        <f>IF(H1627=1,INDEX(tx_DrAmt,1621),0)</f>
        <v/>
      </c>
      <c r="K1627" s="58">
        <f>IF(H1627=1,INDEX(tx_CrAcct,1621)&amp;"","")</f>
        <v/>
      </c>
      <c r="L1627" s="95">
        <f>IF(H1627=1,INDEX(tx_CrAmt,1621),0)</f>
        <v/>
      </c>
      <c r="M1627" s="95">
        <f>IF(H1627=1,INDEX(tx_TaxDr,1621),0)</f>
        <v/>
      </c>
      <c r="N1627" s="95">
        <f>IF(H1627=1,INDEX(tx_TaxCr,1621),0)</f>
        <v/>
      </c>
      <c r="O1627" s="101">
        <f>IF(H1627=1,IF(E1627&lt;FYStart,0,IF(E1627&gt;FYEnd,13,YEAR(E1627)*12+MONTH(E1627)-FYYM+1)),"")</f>
        <v/>
      </c>
      <c r="P1627" s="101">
        <f>IF(H1627=1,IF(IFERROR(INDEX(coa_CF,MATCH(I1627,coa_Name,0)),"")="Cash",1,0),0)</f>
        <v/>
      </c>
      <c r="Q1627" s="101">
        <f>IF(H1627=1,IF(IFERROR(INDEX(coa_CF,MATCH(K1627,coa_Name,0)),"")="Cash",1,0),0)</f>
        <v/>
      </c>
      <c r="R1627" s="58">
        <f>IF((P1627-Q1627)=0,"",IFERROR(INDEX(coa_CF,MATCH(IF((P1627-Q1627)=1,K1627,I1627),coa_Name,0)),"Operating"))</f>
        <v/>
      </c>
      <c r="S1627" s="95">
        <f>IF((P1627-Q1627)=1,L1627,IF((P1627-Q1627)=-1,-J1627,0))</f>
        <v/>
      </c>
      <c r="T1627" s="95">
        <f>IF((P1627-Q1627)=1,N1627,IF((P1627-Q1627)=-1,-M1627,0))</f>
        <v/>
      </c>
      <c r="U1627" s="101">
        <f>IF(AND(H1627=1,LedAcct&lt;&gt;""),IF(AND(E1627&gt;=LedFrom,E1627&lt;=LedTo,OR(I1627=LedAcct,K1627=LedAcct,AND(LedAcct=acctTax,M1627+N1627&lt;&gt;0))),E1627*10000+B1627,""),"")</f>
        <v/>
      </c>
    </row>
    <row r="1628">
      <c r="B1628" s="101" t="n">
        <v>1622</v>
      </c>
      <c r="C1628" s="58" t="inlineStr">
        <is>
          <t>Transaction</t>
        </is>
      </c>
      <c r="D1628" s="58">
        <f>IF(H1628=1,INDEX(tx_ID,1622)&amp;"","")</f>
        <v/>
      </c>
      <c r="E1628" s="94">
        <f>IF(H1628=1,INDEX(tx_Date,1622),"")</f>
        <v/>
      </c>
      <c r="F1628" s="58">
        <f>IF(H1628=1,INDEX(tx_Desc,1622)&amp;"","")</f>
        <v/>
      </c>
      <c r="G1628" s="58">
        <f>IF(H1628=1,IF(INDEX(tx_Cust,1622)&amp;""&lt;&gt;"",INDEX(tx_Cust,1622)&amp;"",INDEX(tx_Vend,1622)&amp;""),"")</f>
        <v/>
      </c>
      <c r="H1628" s="101">
        <f>IFERROR(N(INDEX(tx_Posted,1622)),0)</f>
        <v/>
      </c>
      <c r="I1628" s="58">
        <f>IF(H1628=1,INDEX(tx_DrAcct,1622)&amp;"","")</f>
        <v/>
      </c>
      <c r="J1628" s="95">
        <f>IF(H1628=1,INDEX(tx_DrAmt,1622),0)</f>
        <v/>
      </c>
      <c r="K1628" s="58">
        <f>IF(H1628=1,INDEX(tx_CrAcct,1622)&amp;"","")</f>
        <v/>
      </c>
      <c r="L1628" s="95">
        <f>IF(H1628=1,INDEX(tx_CrAmt,1622),0)</f>
        <v/>
      </c>
      <c r="M1628" s="95">
        <f>IF(H1628=1,INDEX(tx_TaxDr,1622),0)</f>
        <v/>
      </c>
      <c r="N1628" s="95">
        <f>IF(H1628=1,INDEX(tx_TaxCr,1622),0)</f>
        <v/>
      </c>
      <c r="O1628" s="101">
        <f>IF(H1628=1,IF(E1628&lt;FYStart,0,IF(E1628&gt;FYEnd,13,YEAR(E1628)*12+MONTH(E1628)-FYYM+1)),"")</f>
        <v/>
      </c>
      <c r="P1628" s="101">
        <f>IF(H1628=1,IF(IFERROR(INDEX(coa_CF,MATCH(I1628,coa_Name,0)),"")="Cash",1,0),0)</f>
        <v/>
      </c>
      <c r="Q1628" s="101">
        <f>IF(H1628=1,IF(IFERROR(INDEX(coa_CF,MATCH(K1628,coa_Name,0)),"")="Cash",1,0),0)</f>
        <v/>
      </c>
      <c r="R1628" s="58">
        <f>IF((P1628-Q1628)=0,"",IFERROR(INDEX(coa_CF,MATCH(IF((P1628-Q1628)=1,K1628,I1628),coa_Name,0)),"Operating"))</f>
        <v/>
      </c>
      <c r="S1628" s="95">
        <f>IF((P1628-Q1628)=1,L1628,IF((P1628-Q1628)=-1,-J1628,0))</f>
        <v/>
      </c>
      <c r="T1628" s="95">
        <f>IF((P1628-Q1628)=1,N1628,IF((P1628-Q1628)=-1,-M1628,0))</f>
        <v/>
      </c>
      <c r="U1628" s="101">
        <f>IF(AND(H1628=1,LedAcct&lt;&gt;""),IF(AND(E1628&gt;=LedFrom,E1628&lt;=LedTo,OR(I1628=LedAcct,K1628=LedAcct,AND(LedAcct=acctTax,M1628+N1628&lt;&gt;0))),E1628*10000+B1628,""),"")</f>
        <v/>
      </c>
    </row>
    <row r="1629">
      <c r="B1629" s="101" t="n">
        <v>1623</v>
      </c>
      <c r="C1629" s="58" t="inlineStr">
        <is>
          <t>Transaction</t>
        </is>
      </c>
      <c r="D1629" s="58">
        <f>IF(H1629=1,INDEX(tx_ID,1623)&amp;"","")</f>
        <v/>
      </c>
      <c r="E1629" s="94">
        <f>IF(H1629=1,INDEX(tx_Date,1623),"")</f>
        <v/>
      </c>
      <c r="F1629" s="58">
        <f>IF(H1629=1,INDEX(tx_Desc,1623)&amp;"","")</f>
        <v/>
      </c>
      <c r="G1629" s="58">
        <f>IF(H1629=1,IF(INDEX(tx_Cust,1623)&amp;""&lt;&gt;"",INDEX(tx_Cust,1623)&amp;"",INDEX(tx_Vend,1623)&amp;""),"")</f>
        <v/>
      </c>
      <c r="H1629" s="101">
        <f>IFERROR(N(INDEX(tx_Posted,1623)),0)</f>
        <v/>
      </c>
      <c r="I1629" s="58">
        <f>IF(H1629=1,INDEX(tx_DrAcct,1623)&amp;"","")</f>
        <v/>
      </c>
      <c r="J1629" s="95">
        <f>IF(H1629=1,INDEX(tx_DrAmt,1623),0)</f>
        <v/>
      </c>
      <c r="K1629" s="58">
        <f>IF(H1629=1,INDEX(tx_CrAcct,1623)&amp;"","")</f>
        <v/>
      </c>
      <c r="L1629" s="95">
        <f>IF(H1629=1,INDEX(tx_CrAmt,1623),0)</f>
        <v/>
      </c>
      <c r="M1629" s="95">
        <f>IF(H1629=1,INDEX(tx_TaxDr,1623),0)</f>
        <v/>
      </c>
      <c r="N1629" s="95">
        <f>IF(H1629=1,INDEX(tx_TaxCr,1623),0)</f>
        <v/>
      </c>
      <c r="O1629" s="101">
        <f>IF(H1629=1,IF(E1629&lt;FYStart,0,IF(E1629&gt;FYEnd,13,YEAR(E1629)*12+MONTH(E1629)-FYYM+1)),"")</f>
        <v/>
      </c>
      <c r="P1629" s="101">
        <f>IF(H1629=1,IF(IFERROR(INDEX(coa_CF,MATCH(I1629,coa_Name,0)),"")="Cash",1,0),0)</f>
        <v/>
      </c>
      <c r="Q1629" s="101">
        <f>IF(H1629=1,IF(IFERROR(INDEX(coa_CF,MATCH(K1629,coa_Name,0)),"")="Cash",1,0),0)</f>
        <v/>
      </c>
      <c r="R1629" s="58">
        <f>IF((P1629-Q1629)=0,"",IFERROR(INDEX(coa_CF,MATCH(IF((P1629-Q1629)=1,K1629,I1629),coa_Name,0)),"Operating"))</f>
        <v/>
      </c>
      <c r="S1629" s="95">
        <f>IF((P1629-Q1629)=1,L1629,IF((P1629-Q1629)=-1,-J1629,0))</f>
        <v/>
      </c>
      <c r="T1629" s="95">
        <f>IF((P1629-Q1629)=1,N1629,IF((P1629-Q1629)=-1,-M1629,0))</f>
        <v/>
      </c>
      <c r="U1629" s="101">
        <f>IF(AND(H1629=1,LedAcct&lt;&gt;""),IF(AND(E1629&gt;=LedFrom,E1629&lt;=LedTo,OR(I1629=LedAcct,K1629=LedAcct,AND(LedAcct=acctTax,M1629+N1629&lt;&gt;0))),E1629*10000+B1629,""),"")</f>
        <v/>
      </c>
    </row>
    <row r="1630">
      <c r="B1630" s="101" t="n">
        <v>1624</v>
      </c>
      <c r="C1630" s="58" t="inlineStr">
        <is>
          <t>Transaction</t>
        </is>
      </c>
      <c r="D1630" s="58">
        <f>IF(H1630=1,INDEX(tx_ID,1624)&amp;"","")</f>
        <v/>
      </c>
      <c r="E1630" s="94">
        <f>IF(H1630=1,INDEX(tx_Date,1624),"")</f>
        <v/>
      </c>
      <c r="F1630" s="58">
        <f>IF(H1630=1,INDEX(tx_Desc,1624)&amp;"","")</f>
        <v/>
      </c>
      <c r="G1630" s="58">
        <f>IF(H1630=1,IF(INDEX(tx_Cust,1624)&amp;""&lt;&gt;"",INDEX(tx_Cust,1624)&amp;"",INDEX(tx_Vend,1624)&amp;""),"")</f>
        <v/>
      </c>
      <c r="H1630" s="101">
        <f>IFERROR(N(INDEX(tx_Posted,1624)),0)</f>
        <v/>
      </c>
      <c r="I1630" s="58">
        <f>IF(H1630=1,INDEX(tx_DrAcct,1624)&amp;"","")</f>
        <v/>
      </c>
      <c r="J1630" s="95">
        <f>IF(H1630=1,INDEX(tx_DrAmt,1624),0)</f>
        <v/>
      </c>
      <c r="K1630" s="58">
        <f>IF(H1630=1,INDEX(tx_CrAcct,1624)&amp;"","")</f>
        <v/>
      </c>
      <c r="L1630" s="95">
        <f>IF(H1630=1,INDEX(tx_CrAmt,1624),0)</f>
        <v/>
      </c>
      <c r="M1630" s="95">
        <f>IF(H1630=1,INDEX(tx_TaxDr,1624),0)</f>
        <v/>
      </c>
      <c r="N1630" s="95">
        <f>IF(H1630=1,INDEX(tx_TaxCr,1624),0)</f>
        <v/>
      </c>
      <c r="O1630" s="101">
        <f>IF(H1630=1,IF(E1630&lt;FYStart,0,IF(E1630&gt;FYEnd,13,YEAR(E1630)*12+MONTH(E1630)-FYYM+1)),"")</f>
        <v/>
      </c>
      <c r="P1630" s="101">
        <f>IF(H1630=1,IF(IFERROR(INDEX(coa_CF,MATCH(I1630,coa_Name,0)),"")="Cash",1,0),0)</f>
        <v/>
      </c>
      <c r="Q1630" s="101">
        <f>IF(H1630=1,IF(IFERROR(INDEX(coa_CF,MATCH(K1630,coa_Name,0)),"")="Cash",1,0),0)</f>
        <v/>
      </c>
      <c r="R1630" s="58">
        <f>IF((P1630-Q1630)=0,"",IFERROR(INDEX(coa_CF,MATCH(IF((P1630-Q1630)=1,K1630,I1630),coa_Name,0)),"Operating"))</f>
        <v/>
      </c>
      <c r="S1630" s="95">
        <f>IF((P1630-Q1630)=1,L1630,IF((P1630-Q1630)=-1,-J1630,0))</f>
        <v/>
      </c>
      <c r="T1630" s="95">
        <f>IF((P1630-Q1630)=1,N1630,IF((P1630-Q1630)=-1,-M1630,0))</f>
        <v/>
      </c>
      <c r="U1630" s="101">
        <f>IF(AND(H1630=1,LedAcct&lt;&gt;""),IF(AND(E1630&gt;=LedFrom,E1630&lt;=LedTo,OR(I1630=LedAcct,K1630=LedAcct,AND(LedAcct=acctTax,M1630+N1630&lt;&gt;0))),E1630*10000+B1630,""),"")</f>
        <v/>
      </c>
    </row>
    <row r="1631">
      <c r="B1631" s="101" t="n">
        <v>1625</v>
      </c>
      <c r="C1631" s="58" t="inlineStr">
        <is>
          <t>Transaction</t>
        </is>
      </c>
      <c r="D1631" s="58">
        <f>IF(H1631=1,INDEX(tx_ID,1625)&amp;"","")</f>
        <v/>
      </c>
      <c r="E1631" s="94">
        <f>IF(H1631=1,INDEX(tx_Date,1625),"")</f>
        <v/>
      </c>
      <c r="F1631" s="58">
        <f>IF(H1631=1,INDEX(tx_Desc,1625)&amp;"","")</f>
        <v/>
      </c>
      <c r="G1631" s="58">
        <f>IF(H1631=1,IF(INDEX(tx_Cust,1625)&amp;""&lt;&gt;"",INDEX(tx_Cust,1625)&amp;"",INDEX(tx_Vend,1625)&amp;""),"")</f>
        <v/>
      </c>
      <c r="H1631" s="101">
        <f>IFERROR(N(INDEX(tx_Posted,1625)),0)</f>
        <v/>
      </c>
      <c r="I1631" s="58">
        <f>IF(H1631=1,INDEX(tx_DrAcct,1625)&amp;"","")</f>
        <v/>
      </c>
      <c r="J1631" s="95">
        <f>IF(H1631=1,INDEX(tx_DrAmt,1625),0)</f>
        <v/>
      </c>
      <c r="K1631" s="58">
        <f>IF(H1631=1,INDEX(tx_CrAcct,1625)&amp;"","")</f>
        <v/>
      </c>
      <c r="L1631" s="95">
        <f>IF(H1631=1,INDEX(tx_CrAmt,1625),0)</f>
        <v/>
      </c>
      <c r="M1631" s="95">
        <f>IF(H1631=1,INDEX(tx_TaxDr,1625),0)</f>
        <v/>
      </c>
      <c r="N1631" s="95">
        <f>IF(H1631=1,INDEX(tx_TaxCr,1625),0)</f>
        <v/>
      </c>
      <c r="O1631" s="101">
        <f>IF(H1631=1,IF(E1631&lt;FYStart,0,IF(E1631&gt;FYEnd,13,YEAR(E1631)*12+MONTH(E1631)-FYYM+1)),"")</f>
        <v/>
      </c>
      <c r="P1631" s="101">
        <f>IF(H1631=1,IF(IFERROR(INDEX(coa_CF,MATCH(I1631,coa_Name,0)),"")="Cash",1,0),0)</f>
        <v/>
      </c>
      <c r="Q1631" s="101">
        <f>IF(H1631=1,IF(IFERROR(INDEX(coa_CF,MATCH(K1631,coa_Name,0)),"")="Cash",1,0),0)</f>
        <v/>
      </c>
      <c r="R1631" s="58">
        <f>IF((P1631-Q1631)=0,"",IFERROR(INDEX(coa_CF,MATCH(IF((P1631-Q1631)=1,K1631,I1631),coa_Name,0)),"Operating"))</f>
        <v/>
      </c>
      <c r="S1631" s="95">
        <f>IF((P1631-Q1631)=1,L1631,IF((P1631-Q1631)=-1,-J1631,0))</f>
        <v/>
      </c>
      <c r="T1631" s="95">
        <f>IF((P1631-Q1631)=1,N1631,IF((P1631-Q1631)=-1,-M1631,0))</f>
        <v/>
      </c>
      <c r="U1631" s="101">
        <f>IF(AND(H1631=1,LedAcct&lt;&gt;""),IF(AND(E1631&gt;=LedFrom,E1631&lt;=LedTo,OR(I1631=LedAcct,K1631=LedAcct,AND(LedAcct=acctTax,M1631+N1631&lt;&gt;0))),E1631*10000+B1631,""),"")</f>
        <v/>
      </c>
    </row>
    <row r="1632">
      <c r="B1632" s="101" t="n">
        <v>1626</v>
      </c>
      <c r="C1632" s="58" t="inlineStr">
        <is>
          <t>Transaction</t>
        </is>
      </c>
      <c r="D1632" s="58">
        <f>IF(H1632=1,INDEX(tx_ID,1626)&amp;"","")</f>
        <v/>
      </c>
      <c r="E1632" s="94">
        <f>IF(H1632=1,INDEX(tx_Date,1626),"")</f>
        <v/>
      </c>
      <c r="F1632" s="58">
        <f>IF(H1632=1,INDEX(tx_Desc,1626)&amp;"","")</f>
        <v/>
      </c>
      <c r="G1632" s="58">
        <f>IF(H1632=1,IF(INDEX(tx_Cust,1626)&amp;""&lt;&gt;"",INDEX(tx_Cust,1626)&amp;"",INDEX(tx_Vend,1626)&amp;""),"")</f>
        <v/>
      </c>
      <c r="H1632" s="101">
        <f>IFERROR(N(INDEX(tx_Posted,1626)),0)</f>
        <v/>
      </c>
      <c r="I1632" s="58">
        <f>IF(H1632=1,INDEX(tx_DrAcct,1626)&amp;"","")</f>
        <v/>
      </c>
      <c r="J1632" s="95">
        <f>IF(H1632=1,INDEX(tx_DrAmt,1626),0)</f>
        <v/>
      </c>
      <c r="K1632" s="58">
        <f>IF(H1632=1,INDEX(tx_CrAcct,1626)&amp;"","")</f>
        <v/>
      </c>
      <c r="L1632" s="95">
        <f>IF(H1632=1,INDEX(tx_CrAmt,1626),0)</f>
        <v/>
      </c>
      <c r="M1632" s="95">
        <f>IF(H1632=1,INDEX(tx_TaxDr,1626),0)</f>
        <v/>
      </c>
      <c r="N1632" s="95">
        <f>IF(H1632=1,INDEX(tx_TaxCr,1626),0)</f>
        <v/>
      </c>
      <c r="O1632" s="101">
        <f>IF(H1632=1,IF(E1632&lt;FYStart,0,IF(E1632&gt;FYEnd,13,YEAR(E1632)*12+MONTH(E1632)-FYYM+1)),"")</f>
        <v/>
      </c>
      <c r="P1632" s="101">
        <f>IF(H1632=1,IF(IFERROR(INDEX(coa_CF,MATCH(I1632,coa_Name,0)),"")="Cash",1,0),0)</f>
        <v/>
      </c>
      <c r="Q1632" s="101">
        <f>IF(H1632=1,IF(IFERROR(INDEX(coa_CF,MATCH(K1632,coa_Name,0)),"")="Cash",1,0),0)</f>
        <v/>
      </c>
      <c r="R1632" s="58">
        <f>IF((P1632-Q1632)=0,"",IFERROR(INDEX(coa_CF,MATCH(IF((P1632-Q1632)=1,K1632,I1632),coa_Name,0)),"Operating"))</f>
        <v/>
      </c>
      <c r="S1632" s="95">
        <f>IF((P1632-Q1632)=1,L1632,IF((P1632-Q1632)=-1,-J1632,0))</f>
        <v/>
      </c>
      <c r="T1632" s="95">
        <f>IF((P1632-Q1632)=1,N1632,IF((P1632-Q1632)=-1,-M1632,0))</f>
        <v/>
      </c>
      <c r="U1632" s="101">
        <f>IF(AND(H1632=1,LedAcct&lt;&gt;""),IF(AND(E1632&gt;=LedFrom,E1632&lt;=LedTo,OR(I1632=LedAcct,K1632=LedAcct,AND(LedAcct=acctTax,M1632+N1632&lt;&gt;0))),E1632*10000+B1632,""),"")</f>
        <v/>
      </c>
    </row>
    <row r="1633">
      <c r="B1633" s="101" t="n">
        <v>1627</v>
      </c>
      <c r="C1633" s="58" t="inlineStr">
        <is>
          <t>Transaction</t>
        </is>
      </c>
      <c r="D1633" s="58">
        <f>IF(H1633=1,INDEX(tx_ID,1627)&amp;"","")</f>
        <v/>
      </c>
      <c r="E1633" s="94">
        <f>IF(H1633=1,INDEX(tx_Date,1627),"")</f>
        <v/>
      </c>
      <c r="F1633" s="58">
        <f>IF(H1633=1,INDEX(tx_Desc,1627)&amp;"","")</f>
        <v/>
      </c>
      <c r="G1633" s="58">
        <f>IF(H1633=1,IF(INDEX(tx_Cust,1627)&amp;""&lt;&gt;"",INDEX(tx_Cust,1627)&amp;"",INDEX(tx_Vend,1627)&amp;""),"")</f>
        <v/>
      </c>
      <c r="H1633" s="101">
        <f>IFERROR(N(INDEX(tx_Posted,1627)),0)</f>
        <v/>
      </c>
      <c r="I1633" s="58">
        <f>IF(H1633=1,INDEX(tx_DrAcct,1627)&amp;"","")</f>
        <v/>
      </c>
      <c r="J1633" s="95">
        <f>IF(H1633=1,INDEX(tx_DrAmt,1627),0)</f>
        <v/>
      </c>
      <c r="K1633" s="58">
        <f>IF(H1633=1,INDEX(tx_CrAcct,1627)&amp;"","")</f>
        <v/>
      </c>
      <c r="L1633" s="95">
        <f>IF(H1633=1,INDEX(tx_CrAmt,1627),0)</f>
        <v/>
      </c>
      <c r="M1633" s="95">
        <f>IF(H1633=1,INDEX(tx_TaxDr,1627),0)</f>
        <v/>
      </c>
      <c r="N1633" s="95">
        <f>IF(H1633=1,INDEX(tx_TaxCr,1627),0)</f>
        <v/>
      </c>
      <c r="O1633" s="101">
        <f>IF(H1633=1,IF(E1633&lt;FYStart,0,IF(E1633&gt;FYEnd,13,YEAR(E1633)*12+MONTH(E1633)-FYYM+1)),"")</f>
        <v/>
      </c>
      <c r="P1633" s="101">
        <f>IF(H1633=1,IF(IFERROR(INDEX(coa_CF,MATCH(I1633,coa_Name,0)),"")="Cash",1,0),0)</f>
        <v/>
      </c>
      <c r="Q1633" s="101">
        <f>IF(H1633=1,IF(IFERROR(INDEX(coa_CF,MATCH(K1633,coa_Name,0)),"")="Cash",1,0),0)</f>
        <v/>
      </c>
      <c r="R1633" s="58">
        <f>IF((P1633-Q1633)=0,"",IFERROR(INDEX(coa_CF,MATCH(IF((P1633-Q1633)=1,K1633,I1633),coa_Name,0)),"Operating"))</f>
        <v/>
      </c>
      <c r="S1633" s="95">
        <f>IF((P1633-Q1633)=1,L1633,IF((P1633-Q1633)=-1,-J1633,0))</f>
        <v/>
      </c>
      <c r="T1633" s="95">
        <f>IF((P1633-Q1633)=1,N1633,IF((P1633-Q1633)=-1,-M1633,0))</f>
        <v/>
      </c>
      <c r="U1633" s="101">
        <f>IF(AND(H1633=1,LedAcct&lt;&gt;""),IF(AND(E1633&gt;=LedFrom,E1633&lt;=LedTo,OR(I1633=LedAcct,K1633=LedAcct,AND(LedAcct=acctTax,M1633+N1633&lt;&gt;0))),E1633*10000+B1633,""),"")</f>
        <v/>
      </c>
    </row>
    <row r="1634">
      <c r="B1634" s="101" t="n">
        <v>1628</v>
      </c>
      <c r="C1634" s="58" t="inlineStr">
        <is>
          <t>Transaction</t>
        </is>
      </c>
      <c r="D1634" s="58">
        <f>IF(H1634=1,INDEX(tx_ID,1628)&amp;"","")</f>
        <v/>
      </c>
      <c r="E1634" s="94">
        <f>IF(H1634=1,INDEX(tx_Date,1628),"")</f>
        <v/>
      </c>
      <c r="F1634" s="58">
        <f>IF(H1634=1,INDEX(tx_Desc,1628)&amp;"","")</f>
        <v/>
      </c>
      <c r="G1634" s="58">
        <f>IF(H1634=1,IF(INDEX(tx_Cust,1628)&amp;""&lt;&gt;"",INDEX(tx_Cust,1628)&amp;"",INDEX(tx_Vend,1628)&amp;""),"")</f>
        <v/>
      </c>
      <c r="H1634" s="101">
        <f>IFERROR(N(INDEX(tx_Posted,1628)),0)</f>
        <v/>
      </c>
      <c r="I1634" s="58">
        <f>IF(H1634=1,INDEX(tx_DrAcct,1628)&amp;"","")</f>
        <v/>
      </c>
      <c r="J1634" s="95">
        <f>IF(H1634=1,INDEX(tx_DrAmt,1628),0)</f>
        <v/>
      </c>
      <c r="K1634" s="58">
        <f>IF(H1634=1,INDEX(tx_CrAcct,1628)&amp;"","")</f>
        <v/>
      </c>
      <c r="L1634" s="95">
        <f>IF(H1634=1,INDEX(tx_CrAmt,1628),0)</f>
        <v/>
      </c>
      <c r="M1634" s="95">
        <f>IF(H1634=1,INDEX(tx_TaxDr,1628),0)</f>
        <v/>
      </c>
      <c r="N1634" s="95">
        <f>IF(H1634=1,INDEX(tx_TaxCr,1628),0)</f>
        <v/>
      </c>
      <c r="O1634" s="101">
        <f>IF(H1634=1,IF(E1634&lt;FYStart,0,IF(E1634&gt;FYEnd,13,YEAR(E1634)*12+MONTH(E1634)-FYYM+1)),"")</f>
        <v/>
      </c>
      <c r="P1634" s="101">
        <f>IF(H1634=1,IF(IFERROR(INDEX(coa_CF,MATCH(I1634,coa_Name,0)),"")="Cash",1,0),0)</f>
        <v/>
      </c>
      <c r="Q1634" s="101">
        <f>IF(H1634=1,IF(IFERROR(INDEX(coa_CF,MATCH(K1634,coa_Name,0)),"")="Cash",1,0),0)</f>
        <v/>
      </c>
      <c r="R1634" s="58">
        <f>IF((P1634-Q1634)=0,"",IFERROR(INDEX(coa_CF,MATCH(IF((P1634-Q1634)=1,K1634,I1634),coa_Name,0)),"Operating"))</f>
        <v/>
      </c>
      <c r="S1634" s="95">
        <f>IF((P1634-Q1634)=1,L1634,IF((P1634-Q1634)=-1,-J1634,0))</f>
        <v/>
      </c>
      <c r="T1634" s="95">
        <f>IF((P1634-Q1634)=1,N1634,IF((P1634-Q1634)=-1,-M1634,0))</f>
        <v/>
      </c>
      <c r="U1634" s="101">
        <f>IF(AND(H1634=1,LedAcct&lt;&gt;""),IF(AND(E1634&gt;=LedFrom,E1634&lt;=LedTo,OR(I1634=LedAcct,K1634=LedAcct,AND(LedAcct=acctTax,M1634+N1634&lt;&gt;0))),E1634*10000+B1634,""),"")</f>
        <v/>
      </c>
    </row>
    <row r="1635">
      <c r="B1635" s="101" t="n">
        <v>1629</v>
      </c>
      <c r="C1635" s="58" t="inlineStr">
        <is>
          <t>Transaction</t>
        </is>
      </c>
      <c r="D1635" s="58">
        <f>IF(H1635=1,INDEX(tx_ID,1629)&amp;"","")</f>
        <v/>
      </c>
      <c r="E1635" s="94">
        <f>IF(H1635=1,INDEX(tx_Date,1629),"")</f>
        <v/>
      </c>
      <c r="F1635" s="58">
        <f>IF(H1635=1,INDEX(tx_Desc,1629)&amp;"","")</f>
        <v/>
      </c>
      <c r="G1635" s="58">
        <f>IF(H1635=1,IF(INDEX(tx_Cust,1629)&amp;""&lt;&gt;"",INDEX(tx_Cust,1629)&amp;"",INDEX(tx_Vend,1629)&amp;""),"")</f>
        <v/>
      </c>
      <c r="H1635" s="101">
        <f>IFERROR(N(INDEX(tx_Posted,1629)),0)</f>
        <v/>
      </c>
      <c r="I1635" s="58">
        <f>IF(H1635=1,INDEX(tx_DrAcct,1629)&amp;"","")</f>
        <v/>
      </c>
      <c r="J1635" s="95">
        <f>IF(H1635=1,INDEX(tx_DrAmt,1629),0)</f>
        <v/>
      </c>
      <c r="K1635" s="58">
        <f>IF(H1635=1,INDEX(tx_CrAcct,1629)&amp;"","")</f>
        <v/>
      </c>
      <c r="L1635" s="95">
        <f>IF(H1635=1,INDEX(tx_CrAmt,1629),0)</f>
        <v/>
      </c>
      <c r="M1635" s="95">
        <f>IF(H1635=1,INDEX(tx_TaxDr,1629),0)</f>
        <v/>
      </c>
      <c r="N1635" s="95">
        <f>IF(H1635=1,INDEX(tx_TaxCr,1629),0)</f>
        <v/>
      </c>
      <c r="O1635" s="101">
        <f>IF(H1635=1,IF(E1635&lt;FYStart,0,IF(E1635&gt;FYEnd,13,YEAR(E1635)*12+MONTH(E1635)-FYYM+1)),"")</f>
        <v/>
      </c>
      <c r="P1635" s="101">
        <f>IF(H1635=1,IF(IFERROR(INDEX(coa_CF,MATCH(I1635,coa_Name,0)),"")="Cash",1,0),0)</f>
        <v/>
      </c>
      <c r="Q1635" s="101">
        <f>IF(H1635=1,IF(IFERROR(INDEX(coa_CF,MATCH(K1635,coa_Name,0)),"")="Cash",1,0),0)</f>
        <v/>
      </c>
      <c r="R1635" s="58">
        <f>IF((P1635-Q1635)=0,"",IFERROR(INDEX(coa_CF,MATCH(IF((P1635-Q1635)=1,K1635,I1635),coa_Name,0)),"Operating"))</f>
        <v/>
      </c>
      <c r="S1635" s="95">
        <f>IF((P1635-Q1635)=1,L1635,IF((P1635-Q1635)=-1,-J1635,0))</f>
        <v/>
      </c>
      <c r="T1635" s="95">
        <f>IF((P1635-Q1635)=1,N1635,IF((P1635-Q1635)=-1,-M1635,0))</f>
        <v/>
      </c>
      <c r="U1635" s="101">
        <f>IF(AND(H1635=1,LedAcct&lt;&gt;""),IF(AND(E1635&gt;=LedFrom,E1635&lt;=LedTo,OR(I1635=LedAcct,K1635=LedAcct,AND(LedAcct=acctTax,M1635+N1635&lt;&gt;0))),E1635*10000+B1635,""),"")</f>
        <v/>
      </c>
    </row>
    <row r="1636">
      <c r="B1636" s="101" t="n">
        <v>1630</v>
      </c>
      <c r="C1636" s="58" t="inlineStr">
        <is>
          <t>Transaction</t>
        </is>
      </c>
      <c r="D1636" s="58">
        <f>IF(H1636=1,INDEX(tx_ID,1630)&amp;"","")</f>
        <v/>
      </c>
      <c r="E1636" s="94">
        <f>IF(H1636=1,INDEX(tx_Date,1630),"")</f>
        <v/>
      </c>
      <c r="F1636" s="58">
        <f>IF(H1636=1,INDEX(tx_Desc,1630)&amp;"","")</f>
        <v/>
      </c>
      <c r="G1636" s="58">
        <f>IF(H1636=1,IF(INDEX(tx_Cust,1630)&amp;""&lt;&gt;"",INDEX(tx_Cust,1630)&amp;"",INDEX(tx_Vend,1630)&amp;""),"")</f>
        <v/>
      </c>
      <c r="H1636" s="101">
        <f>IFERROR(N(INDEX(tx_Posted,1630)),0)</f>
        <v/>
      </c>
      <c r="I1636" s="58">
        <f>IF(H1636=1,INDEX(tx_DrAcct,1630)&amp;"","")</f>
        <v/>
      </c>
      <c r="J1636" s="95">
        <f>IF(H1636=1,INDEX(tx_DrAmt,1630),0)</f>
        <v/>
      </c>
      <c r="K1636" s="58">
        <f>IF(H1636=1,INDEX(tx_CrAcct,1630)&amp;"","")</f>
        <v/>
      </c>
      <c r="L1636" s="95">
        <f>IF(H1636=1,INDEX(tx_CrAmt,1630),0)</f>
        <v/>
      </c>
      <c r="M1636" s="95">
        <f>IF(H1636=1,INDEX(tx_TaxDr,1630),0)</f>
        <v/>
      </c>
      <c r="N1636" s="95">
        <f>IF(H1636=1,INDEX(tx_TaxCr,1630),0)</f>
        <v/>
      </c>
      <c r="O1636" s="101">
        <f>IF(H1636=1,IF(E1636&lt;FYStart,0,IF(E1636&gt;FYEnd,13,YEAR(E1636)*12+MONTH(E1636)-FYYM+1)),"")</f>
        <v/>
      </c>
      <c r="P1636" s="101">
        <f>IF(H1636=1,IF(IFERROR(INDEX(coa_CF,MATCH(I1636,coa_Name,0)),"")="Cash",1,0),0)</f>
        <v/>
      </c>
      <c r="Q1636" s="101">
        <f>IF(H1636=1,IF(IFERROR(INDEX(coa_CF,MATCH(K1636,coa_Name,0)),"")="Cash",1,0),0)</f>
        <v/>
      </c>
      <c r="R1636" s="58">
        <f>IF((P1636-Q1636)=0,"",IFERROR(INDEX(coa_CF,MATCH(IF((P1636-Q1636)=1,K1636,I1636),coa_Name,0)),"Operating"))</f>
        <v/>
      </c>
      <c r="S1636" s="95">
        <f>IF((P1636-Q1636)=1,L1636,IF((P1636-Q1636)=-1,-J1636,0))</f>
        <v/>
      </c>
      <c r="T1636" s="95">
        <f>IF((P1636-Q1636)=1,N1636,IF((P1636-Q1636)=-1,-M1636,0))</f>
        <v/>
      </c>
      <c r="U1636" s="101">
        <f>IF(AND(H1636=1,LedAcct&lt;&gt;""),IF(AND(E1636&gt;=LedFrom,E1636&lt;=LedTo,OR(I1636=LedAcct,K1636=LedAcct,AND(LedAcct=acctTax,M1636+N1636&lt;&gt;0))),E1636*10000+B1636,""),"")</f>
        <v/>
      </c>
    </row>
    <row r="1637">
      <c r="B1637" s="101" t="n">
        <v>1631</v>
      </c>
      <c r="C1637" s="58" t="inlineStr">
        <is>
          <t>Transaction</t>
        </is>
      </c>
      <c r="D1637" s="58">
        <f>IF(H1637=1,INDEX(tx_ID,1631)&amp;"","")</f>
        <v/>
      </c>
      <c r="E1637" s="94">
        <f>IF(H1637=1,INDEX(tx_Date,1631),"")</f>
        <v/>
      </c>
      <c r="F1637" s="58">
        <f>IF(H1637=1,INDEX(tx_Desc,1631)&amp;"","")</f>
        <v/>
      </c>
      <c r="G1637" s="58">
        <f>IF(H1637=1,IF(INDEX(tx_Cust,1631)&amp;""&lt;&gt;"",INDEX(tx_Cust,1631)&amp;"",INDEX(tx_Vend,1631)&amp;""),"")</f>
        <v/>
      </c>
      <c r="H1637" s="101">
        <f>IFERROR(N(INDEX(tx_Posted,1631)),0)</f>
        <v/>
      </c>
      <c r="I1637" s="58">
        <f>IF(H1637=1,INDEX(tx_DrAcct,1631)&amp;"","")</f>
        <v/>
      </c>
      <c r="J1637" s="95">
        <f>IF(H1637=1,INDEX(tx_DrAmt,1631),0)</f>
        <v/>
      </c>
      <c r="K1637" s="58">
        <f>IF(H1637=1,INDEX(tx_CrAcct,1631)&amp;"","")</f>
        <v/>
      </c>
      <c r="L1637" s="95">
        <f>IF(H1637=1,INDEX(tx_CrAmt,1631),0)</f>
        <v/>
      </c>
      <c r="M1637" s="95">
        <f>IF(H1637=1,INDEX(tx_TaxDr,1631),0)</f>
        <v/>
      </c>
      <c r="N1637" s="95">
        <f>IF(H1637=1,INDEX(tx_TaxCr,1631),0)</f>
        <v/>
      </c>
      <c r="O1637" s="101">
        <f>IF(H1637=1,IF(E1637&lt;FYStart,0,IF(E1637&gt;FYEnd,13,YEAR(E1637)*12+MONTH(E1637)-FYYM+1)),"")</f>
        <v/>
      </c>
      <c r="P1637" s="101">
        <f>IF(H1637=1,IF(IFERROR(INDEX(coa_CF,MATCH(I1637,coa_Name,0)),"")="Cash",1,0),0)</f>
        <v/>
      </c>
      <c r="Q1637" s="101">
        <f>IF(H1637=1,IF(IFERROR(INDEX(coa_CF,MATCH(K1637,coa_Name,0)),"")="Cash",1,0),0)</f>
        <v/>
      </c>
      <c r="R1637" s="58">
        <f>IF((P1637-Q1637)=0,"",IFERROR(INDEX(coa_CF,MATCH(IF((P1637-Q1637)=1,K1637,I1637),coa_Name,0)),"Operating"))</f>
        <v/>
      </c>
      <c r="S1637" s="95">
        <f>IF((P1637-Q1637)=1,L1637,IF((P1637-Q1637)=-1,-J1637,0))</f>
        <v/>
      </c>
      <c r="T1637" s="95">
        <f>IF((P1637-Q1637)=1,N1637,IF((P1637-Q1637)=-1,-M1637,0))</f>
        <v/>
      </c>
      <c r="U1637" s="101">
        <f>IF(AND(H1637=1,LedAcct&lt;&gt;""),IF(AND(E1637&gt;=LedFrom,E1637&lt;=LedTo,OR(I1637=LedAcct,K1637=LedAcct,AND(LedAcct=acctTax,M1637+N1637&lt;&gt;0))),E1637*10000+B1637,""),"")</f>
        <v/>
      </c>
    </row>
    <row r="1638">
      <c r="B1638" s="101" t="n">
        <v>1632</v>
      </c>
      <c r="C1638" s="58" t="inlineStr">
        <is>
          <t>Transaction</t>
        </is>
      </c>
      <c r="D1638" s="58">
        <f>IF(H1638=1,INDEX(tx_ID,1632)&amp;"","")</f>
        <v/>
      </c>
      <c r="E1638" s="94">
        <f>IF(H1638=1,INDEX(tx_Date,1632),"")</f>
        <v/>
      </c>
      <c r="F1638" s="58">
        <f>IF(H1638=1,INDEX(tx_Desc,1632)&amp;"","")</f>
        <v/>
      </c>
      <c r="G1638" s="58">
        <f>IF(H1638=1,IF(INDEX(tx_Cust,1632)&amp;""&lt;&gt;"",INDEX(tx_Cust,1632)&amp;"",INDEX(tx_Vend,1632)&amp;""),"")</f>
        <v/>
      </c>
      <c r="H1638" s="101">
        <f>IFERROR(N(INDEX(tx_Posted,1632)),0)</f>
        <v/>
      </c>
      <c r="I1638" s="58">
        <f>IF(H1638=1,INDEX(tx_DrAcct,1632)&amp;"","")</f>
        <v/>
      </c>
      <c r="J1638" s="95">
        <f>IF(H1638=1,INDEX(tx_DrAmt,1632),0)</f>
        <v/>
      </c>
      <c r="K1638" s="58">
        <f>IF(H1638=1,INDEX(tx_CrAcct,1632)&amp;"","")</f>
        <v/>
      </c>
      <c r="L1638" s="95">
        <f>IF(H1638=1,INDEX(tx_CrAmt,1632),0)</f>
        <v/>
      </c>
      <c r="M1638" s="95">
        <f>IF(H1638=1,INDEX(tx_TaxDr,1632),0)</f>
        <v/>
      </c>
      <c r="N1638" s="95">
        <f>IF(H1638=1,INDEX(tx_TaxCr,1632),0)</f>
        <v/>
      </c>
      <c r="O1638" s="101">
        <f>IF(H1638=1,IF(E1638&lt;FYStart,0,IF(E1638&gt;FYEnd,13,YEAR(E1638)*12+MONTH(E1638)-FYYM+1)),"")</f>
        <v/>
      </c>
      <c r="P1638" s="101">
        <f>IF(H1638=1,IF(IFERROR(INDEX(coa_CF,MATCH(I1638,coa_Name,0)),"")="Cash",1,0),0)</f>
        <v/>
      </c>
      <c r="Q1638" s="101">
        <f>IF(H1638=1,IF(IFERROR(INDEX(coa_CF,MATCH(K1638,coa_Name,0)),"")="Cash",1,0),0)</f>
        <v/>
      </c>
      <c r="R1638" s="58">
        <f>IF((P1638-Q1638)=0,"",IFERROR(INDEX(coa_CF,MATCH(IF((P1638-Q1638)=1,K1638,I1638),coa_Name,0)),"Operating"))</f>
        <v/>
      </c>
      <c r="S1638" s="95">
        <f>IF((P1638-Q1638)=1,L1638,IF((P1638-Q1638)=-1,-J1638,0))</f>
        <v/>
      </c>
      <c r="T1638" s="95">
        <f>IF((P1638-Q1638)=1,N1638,IF((P1638-Q1638)=-1,-M1638,0))</f>
        <v/>
      </c>
      <c r="U1638" s="101">
        <f>IF(AND(H1638=1,LedAcct&lt;&gt;""),IF(AND(E1638&gt;=LedFrom,E1638&lt;=LedTo,OR(I1638=LedAcct,K1638=LedAcct,AND(LedAcct=acctTax,M1638+N1638&lt;&gt;0))),E1638*10000+B1638,""),"")</f>
        <v/>
      </c>
    </row>
    <row r="1639">
      <c r="B1639" s="101" t="n">
        <v>1633</v>
      </c>
      <c r="C1639" s="58" t="inlineStr">
        <is>
          <t>Transaction</t>
        </is>
      </c>
      <c r="D1639" s="58">
        <f>IF(H1639=1,INDEX(tx_ID,1633)&amp;"","")</f>
        <v/>
      </c>
      <c r="E1639" s="94">
        <f>IF(H1639=1,INDEX(tx_Date,1633),"")</f>
        <v/>
      </c>
      <c r="F1639" s="58">
        <f>IF(H1639=1,INDEX(tx_Desc,1633)&amp;"","")</f>
        <v/>
      </c>
      <c r="G1639" s="58">
        <f>IF(H1639=1,IF(INDEX(tx_Cust,1633)&amp;""&lt;&gt;"",INDEX(tx_Cust,1633)&amp;"",INDEX(tx_Vend,1633)&amp;""),"")</f>
        <v/>
      </c>
      <c r="H1639" s="101">
        <f>IFERROR(N(INDEX(tx_Posted,1633)),0)</f>
        <v/>
      </c>
      <c r="I1639" s="58">
        <f>IF(H1639=1,INDEX(tx_DrAcct,1633)&amp;"","")</f>
        <v/>
      </c>
      <c r="J1639" s="95">
        <f>IF(H1639=1,INDEX(tx_DrAmt,1633),0)</f>
        <v/>
      </c>
      <c r="K1639" s="58">
        <f>IF(H1639=1,INDEX(tx_CrAcct,1633)&amp;"","")</f>
        <v/>
      </c>
      <c r="L1639" s="95">
        <f>IF(H1639=1,INDEX(tx_CrAmt,1633),0)</f>
        <v/>
      </c>
      <c r="M1639" s="95">
        <f>IF(H1639=1,INDEX(tx_TaxDr,1633),0)</f>
        <v/>
      </c>
      <c r="N1639" s="95">
        <f>IF(H1639=1,INDEX(tx_TaxCr,1633),0)</f>
        <v/>
      </c>
      <c r="O1639" s="101">
        <f>IF(H1639=1,IF(E1639&lt;FYStart,0,IF(E1639&gt;FYEnd,13,YEAR(E1639)*12+MONTH(E1639)-FYYM+1)),"")</f>
        <v/>
      </c>
      <c r="P1639" s="101">
        <f>IF(H1639=1,IF(IFERROR(INDEX(coa_CF,MATCH(I1639,coa_Name,0)),"")="Cash",1,0),0)</f>
        <v/>
      </c>
      <c r="Q1639" s="101">
        <f>IF(H1639=1,IF(IFERROR(INDEX(coa_CF,MATCH(K1639,coa_Name,0)),"")="Cash",1,0),0)</f>
        <v/>
      </c>
      <c r="R1639" s="58">
        <f>IF((P1639-Q1639)=0,"",IFERROR(INDEX(coa_CF,MATCH(IF((P1639-Q1639)=1,K1639,I1639),coa_Name,0)),"Operating"))</f>
        <v/>
      </c>
      <c r="S1639" s="95">
        <f>IF((P1639-Q1639)=1,L1639,IF((P1639-Q1639)=-1,-J1639,0))</f>
        <v/>
      </c>
      <c r="T1639" s="95">
        <f>IF((P1639-Q1639)=1,N1639,IF((P1639-Q1639)=-1,-M1639,0))</f>
        <v/>
      </c>
      <c r="U1639" s="101">
        <f>IF(AND(H1639=1,LedAcct&lt;&gt;""),IF(AND(E1639&gt;=LedFrom,E1639&lt;=LedTo,OR(I1639=LedAcct,K1639=LedAcct,AND(LedAcct=acctTax,M1639+N1639&lt;&gt;0))),E1639*10000+B1639,""),"")</f>
        <v/>
      </c>
    </row>
    <row r="1640">
      <c r="B1640" s="101" t="n">
        <v>1634</v>
      </c>
      <c r="C1640" s="58" t="inlineStr">
        <is>
          <t>Transaction</t>
        </is>
      </c>
      <c r="D1640" s="58">
        <f>IF(H1640=1,INDEX(tx_ID,1634)&amp;"","")</f>
        <v/>
      </c>
      <c r="E1640" s="94">
        <f>IF(H1640=1,INDEX(tx_Date,1634),"")</f>
        <v/>
      </c>
      <c r="F1640" s="58">
        <f>IF(H1640=1,INDEX(tx_Desc,1634)&amp;"","")</f>
        <v/>
      </c>
      <c r="G1640" s="58">
        <f>IF(H1640=1,IF(INDEX(tx_Cust,1634)&amp;""&lt;&gt;"",INDEX(tx_Cust,1634)&amp;"",INDEX(tx_Vend,1634)&amp;""),"")</f>
        <v/>
      </c>
      <c r="H1640" s="101">
        <f>IFERROR(N(INDEX(tx_Posted,1634)),0)</f>
        <v/>
      </c>
      <c r="I1640" s="58">
        <f>IF(H1640=1,INDEX(tx_DrAcct,1634)&amp;"","")</f>
        <v/>
      </c>
      <c r="J1640" s="95">
        <f>IF(H1640=1,INDEX(tx_DrAmt,1634),0)</f>
        <v/>
      </c>
      <c r="K1640" s="58">
        <f>IF(H1640=1,INDEX(tx_CrAcct,1634)&amp;"","")</f>
        <v/>
      </c>
      <c r="L1640" s="95">
        <f>IF(H1640=1,INDEX(tx_CrAmt,1634),0)</f>
        <v/>
      </c>
      <c r="M1640" s="95">
        <f>IF(H1640=1,INDEX(tx_TaxDr,1634),0)</f>
        <v/>
      </c>
      <c r="N1640" s="95">
        <f>IF(H1640=1,INDEX(tx_TaxCr,1634),0)</f>
        <v/>
      </c>
      <c r="O1640" s="101">
        <f>IF(H1640=1,IF(E1640&lt;FYStart,0,IF(E1640&gt;FYEnd,13,YEAR(E1640)*12+MONTH(E1640)-FYYM+1)),"")</f>
        <v/>
      </c>
      <c r="P1640" s="101">
        <f>IF(H1640=1,IF(IFERROR(INDEX(coa_CF,MATCH(I1640,coa_Name,0)),"")="Cash",1,0),0)</f>
        <v/>
      </c>
      <c r="Q1640" s="101">
        <f>IF(H1640=1,IF(IFERROR(INDEX(coa_CF,MATCH(K1640,coa_Name,0)),"")="Cash",1,0),0)</f>
        <v/>
      </c>
      <c r="R1640" s="58">
        <f>IF((P1640-Q1640)=0,"",IFERROR(INDEX(coa_CF,MATCH(IF((P1640-Q1640)=1,K1640,I1640),coa_Name,0)),"Operating"))</f>
        <v/>
      </c>
      <c r="S1640" s="95">
        <f>IF((P1640-Q1640)=1,L1640,IF((P1640-Q1640)=-1,-J1640,0))</f>
        <v/>
      </c>
      <c r="T1640" s="95">
        <f>IF((P1640-Q1640)=1,N1640,IF((P1640-Q1640)=-1,-M1640,0))</f>
        <v/>
      </c>
      <c r="U1640" s="101">
        <f>IF(AND(H1640=1,LedAcct&lt;&gt;""),IF(AND(E1640&gt;=LedFrom,E1640&lt;=LedTo,OR(I1640=LedAcct,K1640=LedAcct,AND(LedAcct=acctTax,M1640+N1640&lt;&gt;0))),E1640*10000+B1640,""),"")</f>
        <v/>
      </c>
    </row>
    <row r="1641">
      <c r="B1641" s="101" t="n">
        <v>1635</v>
      </c>
      <c r="C1641" s="58" t="inlineStr">
        <is>
          <t>Transaction</t>
        </is>
      </c>
      <c r="D1641" s="58">
        <f>IF(H1641=1,INDEX(tx_ID,1635)&amp;"","")</f>
        <v/>
      </c>
      <c r="E1641" s="94">
        <f>IF(H1641=1,INDEX(tx_Date,1635),"")</f>
        <v/>
      </c>
      <c r="F1641" s="58">
        <f>IF(H1641=1,INDEX(tx_Desc,1635)&amp;"","")</f>
        <v/>
      </c>
      <c r="G1641" s="58">
        <f>IF(H1641=1,IF(INDEX(tx_Cust,1635)&amp;""&lt;&gt;"",INDEX(tx_Cust,1635)&amp;"",INDEX(tx_Vend,1635)&amp;""),"")</f>
        <v/>
      </c>
      <c r="H1641" s="101">
        <f>IFERROR(N(INDEX(tx_Posted,1635)),0)</f>
        <v/>
      </c>
      <c r="I1641" s="58">
        <f>IF(H1641=1,INDEX(tx_DrAcct,1635)&amp;"","")</f>
        <v/>
      </c>
      <c r="J1641" s="95">
        <f>IF(H1641=1,INDEX(tx_DrAmt,1635),0)</f>
        <v/>
      </c>
      <c r="K1641" s="58">
        <f>IF(H1641=1,INDEX(tx_CrAcct,1635)&amp;"","")</f>
        <v/>
      </c>
      <c r="L1641" s="95">
        <f>IF(H1641=1,INDEX(tx_CrAmt,1635),0)</f>
        <v/>
      </c>
      <c r="M1641" s="95">
        <f>IF(H1641=1,INDEX(tx_TaxDr,1635),0)</f>
        <v/>
      </c>
      <c r="N1641" s="95">
        <f>IF(H1641=1,INDEX(tx_TaxCr,1635),0)</f>
        <v/>
      </c>
      <c r="O1641" s="101">
        <f>IF(H1641=1,IF(E1641&lt;FYStart,0,IF(E1641&gt;FYEnd,13,YEAR(E1641)*12+MONTH(E1641)-FYYM+1)),"")</f>
        <v/>
      </c>
      <c r="P1641" s="101">
        <f>IF(H1641=1,IF(IFERROR(INDEX(coa_CF,MATCH(I1641,coa_Name,0)),"")="Cash",1,0),0)</f>
        <v/>
      </c>
      <c r="Q1641" s="101">
        <f>IF(H1641=1,IF(IFERROR(INDEX(coa_CF,MATCH(K1641,coa_Name,0)),"")="Cash",1,0),0)</f>
        <v/>
      </c>
      <c r="R1641" s="58">
        <f>IF((P1641-Q1641)=0,"",IFERROR(INDEX(coa_CF,MATCH(IF((P1641-Q1641)=1,K1641,I1641),coa_Name,0)),"Operating"))</f>
        <v/>
      </c>
      <c r="S1641" s="95">
        <f>IF((P1641-Q1641)=1,L1641,IF((P1641-Q1641)=-1,-J1641,0))</f>
        <v/>
      </c>
      <c r="T1641" s="95">
        <f>IF((P1641-Q1641)=1,N1641,IF((P1641-Q1641)=-1,-M1641,0))</f>
        <v/>
      </c>
      <c r="U1641" s="101">
        <f>IF(AND(H1641=1,LedAcct&lt;&gt;""),IF(AND(E1641&gt;=LedFrom,E1641&lt;=LedTo,OR(I1641=LedAcct,K1641=LedAcct,AND(LedAcct=acctTax,M1641+N1641&lt;&gt;0))),E1641*10000+B1641,""),"")</f>
        <v/>
      </c>
    </row>
    <row r="1642">
      <c r="B1642" s="101" t="n">
        <v>1636</v>
      </c>
      <c r="C1642" s="58" t="inlineStr">
        <is>
          <t>Transaction</t>
        </is>
      </c>
      <c r="D1642" s="58">
        <f>IF(H1642=1,INDEX(tx_ID,1636)&amp;"","")</f>
        <v/>
      </c>
      <c r="E1642" s="94">
        <f>IF(H1642=1,INDEX(tx_Date,1636),"")</f>
        <v/>
      </c>
      <c r="F1642" s="58">
        <f>IF(H1642=1,INDEX(tx_Desc,1636)&amp;"","")</f>
        <v/>
      </c>
      <c r="G1642" s="58">
        <f>IF(H1642=1,IF(INDEX(tx_Cust,1636)&amp;""&lt;&gt;"",INDEX(tx_Cust,1636)&amp;"",INDEX(tx_Vend,1636)&amp;""),"")</f>
        <v/>
      </c>
      <c r="H1642" s="101">
        <f>IFERROR(N(INDEX(tx_Posted,1636)),0)</f>
        <v/>
      </c>
      <c r="I1642" s="58">
        <f>IF(H1642=1,INDEX(tx_DrAcct,1636)&amp;"","")</f>
        <v/>
      </c>
      <c r="J1642" s="95">
        <f>IF(H1642=1,INDEX(tx_DrAmt,1636),0)</f>
        <v/>
      </c>
      <c r="K1642" s="58">
        <f>IF(H1642=1,INDEX(tx_CrAcct,1636)&amp;"","")</f>
        <v/>
      </c>
      <c r="L1642" s="95">
        <f>IF(H1642=1,INDEX(tx_CrAmt,1636),0)</f>
        <v/>
      </c>
      <c r="M1642" s="95">
        <f>IF(H1642=1,INDEX(tx_TaxDr,1636),0)</f>
        <v/>
      </c>
      <c r="N1642" s="95">
        <f>IF(H1642=1,INDEX(tx_TaxCr,1636),0)</f>
        <v/>
      </c>
      <c r="O1642" s="101">
        <f>IF(H1642=1,IF(E1642&lt;FYStart,0,IF(E1642&gt;FYEnd,13,YEAR(E1642)*12+MONTH(E1642)-FYYM+1)),"")</f>
        <v/>
      </c>
      <c r="P1642" s="101">
        <f>IF(H1642=1,IF(IFERROR(INDEX(coa_CF,MATCH(I1642,coa_Name,0)),"")="Cash",1,0),0)</f>
        <v/>
      </c>
      <c r="Q1642" s="101">
        <f>IF(H1642=1,IF(IFERROR(INDEX(coa_CF,MATCH(K1642,coa_Name,0)),"")="Cash",1,0),0)</f>
        <v/>
      </c>
      <c r="R1642" s="58">
        <f>IF((P1642-Q1642)=0,"",IFERROR(INDEX(coa_CF,MATCH(IF((P1642-Q1642)=1,K1642,I1642),coa_Name,0)),"Operating"))</f>
        <v/>
      </c>
      <c r="S1642" s="95">
        <f>IF((P1642-Q1642)=1,L1642,IF((P1642-Q1642)=-1,-J1642,0))</f>
        <v/>
      </c>
      <c r="T1642" s="95">
        <f>IF((P1642-Q1642)=1,N1642,IF((P1642-Q1642)=-1,-M1642,0))</f>
        <v/>
      </c>
      <c r="U1642" s="101">
        <f>IF(AND(H1642=1,LedAcct&lt;&gt;""),IF(AND(E1642&gt;=LedFrom,E1642&lt;=LedTo,OR(I1642=LedAcct,K1642=LedAcct,AND(LedAcct=acctTax,M1642+N1642&lt;&gt;0))),E1642*10000+B1642,""),"")</f>
        <v/>
      </c>
    </row>
    <row r="1643">
      <c r="B1643" s="101" t="n">
        <v>1637</v>
      </c>
      <c r="C1643" s="58" t="inlineStr">
        <is>
          <t>Transaction</t>
        </is>
      </c>
      <c r="D1643" s="58">
        <f>IF(H1643=1,INDEX(tx_ID,1637)&amp;"","")</f>
        <v/>
      </c>
      <c r="E1643" s="94">
        <f>IF(H1643=1,INDEX(tx_Date,1637),"")</f>
        <v/>
      </c>
      <c r="F1643" s="58">
        <f>IF(H1643=1,INDEX(tx_Desc,1637)&amp;"","")</f>
        <v/>
      </c>
      <c r="G1643" s="58">
        <f>IF(H1643=1,IF(INDEX(tx_Cust,1637)&amp;""&lt;&gt;"",INDEX(tx_Cust,1637)&amp;"",INDEX(tx_Vend,1637)&amp;""),"")</f>
        <v/>
      </c>
      <c r="H1643" s="101">
        <f>IFERROR(N(INDEX(tx_Posted,1637)),0)</f>
        <v/>
      </c>
      <c r="I1643" s="58">
        <f>IF(H1643=1,INDEX(tx_DrAcct,1637)&amp;"","")</f>
        <v/>
      </c>
      <c r="J1643" s="95">
        <f>IF(H1643=1,INDEX(tx_DrAmt,1637),0)</f>
        <v/>
      </c>
      <c r="K1643" s="58">
        <f>IF(H1643=1,INDEX(tx_CrAcct,1637)&amp;"","")</f>
        <v/>
      </c>
      <c r="L1643" s="95">
        <f>IF(H1643=1,INDEX(tx_CrAmt,1637),0)</f>
        <v/>
      </c>
      <c r="M1643" s="95">
        <f>IF(H1643=1,INDEX(tx_TaxDr,1637),0)</f>
        <v/>
      </c>
      <c r="N1643" s="95">
        <f>IF(H1643=1,INDEX(tx_TaxCr,1637),0)</f>
        <v/>
      </c>
      <c r="O1643" s="101">
        <f>IF(H1643=1,IF(E1643&lt;FYStart,0,IF(E1643&gt;FYEnd,13,YEAR(E1643)*12+MONTH(E1643)-FYYM+1)),"")</f>
        <v/>
      </c>
      <c r="P1643" s="101">
        <f>IF(H1643=1,IF(IFERROR(INDEX(coa_CF,MATCH(I1643,coa_Name,0)),"")="Cash",1,0),0)</f>
        <v/>
      </c>
      <c r="Q1643" s="101">
        <f>IF(H1643=1,IF(IFERROR(INDEX(coa_CF,MATCH(K1643,coa_Name,0)),"")="Cash",1,0),0)</f>
        <v/>
      </c>
      <c r="R1643" s="58">
        <f>IF((P1643-Q1643)=0,"",IFERROR(INDEX(coa_CF,MATCH(IF((P1643-Q1643)=1,K1643,I1643),coa_Name,0)),"Operating"))</f>
        <v/>
      </c>
      <c r="S1643" s="95">
        <f>IF((P1643-Q1643)=1,L1643,IF((P1643-Q1643)=-1,-J1643,0))</f>
        <v/>
      </c>
      <c r="T1643" s="95">
        <f>IF((P1643-Q1643)=1,N1643,IF((P1643-Q1643)=-1,-M1643,0))</f>
        <v/>
      </c>
      <c r="U1643" s="101">
        <f>IF(AND(H1643=1,LedAcct&lt;&gt;""),IF(AND(E1643&gt;=LedFrom,E1643&lt;=LedTo,OR(I1643=LedAcct,K1643=LedAcct,AND(LedAcct=acctTax,M1643+N1643&lt;&gt;0))),E1643*10000+B1643,""),"")</f>
        <v/>
      </c>
    </row>
    <row r="1644">
      <c r="B1644" s="101" t="n">
        <v>1638</v>
      </c>
      <c r="C1644" s="58" t="inlineStr">
        <is>
          <t>Transaction</t>
        </is>
      </c>
      <c r="D1644" s="58">
        <f>IF(H1644=1,INDEX(tx_ID,1638)&amp;"","")</f>
        <v/>
      </c>
      <c r="E1644" s="94">
        <f>IF(H1644=1,INDEX(tx_Date,1638),"")</f>
        <v/>
      </c>
      <c r="F1644" s="58">
        <f>IF(H1644=1,INDEX(tx_Desc,1638)&amp;"","")</f>
        <v/>
      </c>
      <c r="G1644" s="58">
        <f>IF(H1644=1,IF(INDEX(tx_Cust,1638)&amp;""&lt;&gt;"",INDEX(tx_Cust,1638)&amp;"",INDEX(tx_Vend,1638)&amp;""),"")</f>
        <v/>
      </c>
      <c r="H1644" s="101">
        <f>IFERROR(N(INDEX(tx_Posted,1638)),0)</f>
        <v/>
      </c>
      <c r="I1644" s="58">
        <f>IF(H1644=1,INDEX(tx_DrAcct,1638)&amp;"","")</f>
        <v/>
      </c>
      <c r="J1644" s="95">
        <f>IF(H1644=1,INDEX(tx_DrAmt,1638),0)</f>
        <v/>
      </c>
      <c r="K1644" s="58">
        <f>IF(H1644=1,INDEX(tx_CrAcct,1638)&amp;"","")</f>
        <v/>
      </c>
      <c r="L1644" s="95">
        <f>IF(H1644=1,INDEX(tx_CrAmt,1638),0)</f>
        <v/>
      </c>
      <c r="M1644" s="95">
        <f>IF(H1644=1,INDEX(tx_TaxDr,1638),0)</f>
        <v/>
      </c>
      <c r="N1644" s="95">
        <f>IF(H1644=1,INDEX(tx_TaxCr,1638),0)</f>
        <v/>
      </c>
      <c r="O1644" s="101">
        <f>IF(H1644=1,IF(E1644&lt;FYStart,0,IF(E1644&gt;FYEnd,13,YEAR(E1644)*12+MONTH(E1644)-FYYM+1)),"")</f>
        <v/>
      </c>
      <c r="P1644" s="101">
        <f>IF(H1644=1,IF(IFERROR(INDEX(coa_CF,MATCH(I1644,coa_Name,0)),"")="Cash",1,0),0)</f>
        <v/>
      </c>
      <c r="Q1644" s="101">
        <f>IF(H1644=1,IF(IFERROR(INDEX(coa_CF,MATCH(K1644,coa_Name,0)),"")="Cash",1,0),0)</f>
        <v/>
      </c>
      <c r="R1644" s="58">
        <f>IF((P1644-Q1644)=0,"",IFERROR(INDEX(coa_CF,MATCH(IF((P1644-Q1644)=1,K1644,I1644),coa_Name,0)),"Operating"))</f>
        <v/>
      </c>
      <c r="S1644" s="95">
        <f>IF((P1644-Q1644)=1,L1644,IF((P1644-Q1644)=-1,-J1644,0))</f>
        <v/>
      </c>
      <c r="T1644" s="95">
        <f>IF((P1644-Q1644)=1,N1644,IF((P1644-Q1644)=-1,-M1644,0))</f>
        <v/>
      </c>
      <c r="U1644" s="101">
        <f>IF(AND(H1644=1,LedAcct&lt;&gt;""),IF(AND(E1644&gt;=LedFrom,E1644&lt;=LedTo,OR(I1644=LedAcct,K1644=LedAcct,AND(LedAcct=acctTax,M1644+N1644&lt;&gt;0))),E1644*10000+B1644,""),"")</f>
        <v/>
      </c>
    </row>
    <row r="1645">
      <c r="B1645" s="101" t="n">
        <v>1639</v>
      </c>
      <c r="C1645" s="58" t="inlineStr">
        <is>
          <t>Transaction</t>
        </is>
      </c>
      <c r="D1645" s="58">
        <f>IF(H1645=1,INDEX(tx_ID,1639)&amp;"","")</f>
        <v/>
      </c>
      <c r="E1645" s="94">
        <f>IF(H1645=1,INDEX(tx_Date,1639),"")</f>
        <v/>
      </c>
      <c r="F1645" s="58">
        <f>IF(H1645=1,INDEX(tx_Desc,1639)&amp;"","")</f>
        <v/>
      </c>
      <c r="G1645" s="58">
        <f>IF(H1645=1,IF(INDEX(tx_Cust,1639)&amp;""&lt;&gt;"",INDEX(tx_Cust,1639)&amp;"",INDEX(tx_Vend,1639)&amp;""),"")</f>
        <v/>
      </c>
      <c r="H1645" s="101">
        <f>IFERROR(N(INDEX(tx_Posted,1639)),0)</f>
        <v/>
      </c>
      <c r="I1645" s="58">
        <f>IF(H1645=1,INDEX(tx_DrAcct,1639)&amp;"","")</f>
        <v/>
      </c>
      <c r="J1645" s="95">
        <f>IF(H1645=1,INDEX(tx_DrAmt,1639),0)</f>
        <v/>
      </c>
      <c r="K1645" s="58">
        <f>IF(H1645=1,INDEX(tx_CrAcct,1639)&amp;"","")</f>
        <v/>
      </c>
      <c r="L1645" s="95">
        <f>IF(H1645=1,INDEX(tx_CrAmt,1639),0)</f>
        <v/>
      </c>
      <c r="M1645" s="95">
        <f>IF(H1645=1,INDEX(tx_TaxDr,1639),0)</f>
        <v/>
      </c>
      <c r="N1645" s="95">
        <f>IF(H1645=1,INDEX(tx_TaxCr,1639),0)</f>
        <v/>
      </c>
      <c r="O1645" s="101">
        <f>IF(H1645=1,IF(E1645&lt;FYStart,0,IF(E1645&gt;FYEnd,13,YEAR(E1645)*12+MONTH(E1645)-FYYM+1)),"")</f>
        <v/>
      </c>
      <c r="P1645" s="101">
        <f>IF(H1645=1,IF(IFERROR(INDEX(coa_CF,MATCH(I1645,coa_Name,0)),"")="Cash",1,0),0)</f>
        <v/>
      </c>
      <c r="Q1645" s="101">
        <f>IF(H1645=1,IF(IFERROR(INDEX(coa_CF,MATCH(K1645,coa_Name,0)),"")="Cash",1,0),0)</f>
        <v/>
      </c>
      <c r="R1645" s="58">
        <f>IF((P1645-Q1645)=0,"",IFERROR(INDEX(coa_CF,MATCH(IF((P1645-Q1645)=1,K1645,I1645),coa_Name,0)),"Operating"))</f>
        <v/>
      </c>
      <c r="S1645" s="95">
        <f>IF((P1645-Q1645)=1,L1645,IF((P1645-Q1645)=-1,-J1645,0))</f>
        <v/>
      </c>
      <c r="T1645" s="95">
        <f>IF((P1645-Q1645)=1,N1645,IF((P1645-Q1645)=-1,-M1645,0))</f>
        <v/>
      </c>
      <c r="U1645" s="101">
        <f>IF(AND(H1645=1,LedAcct&lt;&gt;""),IF(AND(E1645&gt;=LedFrom,E1645&lt;=LedTo,OR(I1645=LedAcct,K1645=LedAcct,AND(LedAcct=acctTax,M1645+N1645&lt;&gt;0))),E1645*10000+B1645,""),"")</f>
        <v/>
      </c>
    </row>
    <row r="1646">
      <c r="B1646" s="101" t="n">
        <v>1640</v>
      </c>
      <c r="C1646" s="58" t="inlineStr">
        <is>
          <t>Transaction</t>
        </is>
      </c>
      <c r="D1646" s="58">
        <f>IF(H1646=1,INDEX(tx_ID,1640)&amp;"","")</f>
        <v/>
      </c>
      <c r="E1646" s="94">
        <f>IF(H1646=1,INDEX(tx_Date,1640),"")</f>
        <v/>
      </c>
      <c r="F1646" s="58">
        <f>IF(H1646=1,INDEX(tx_Desc,1640)&amp;"","")</f>
        <v/>
      </c>
      <c r="G1646" s="58">
        <f>IF(H1646=1,IF(INDEX(tx_Cust,1640)&amp;""&lt;&gt;"",INDEX(tx_Cust,1640)&amp;"",INDEX(tx_Vend,1640)&amp;""),"")</f>
        <v/>
      </c>
      <c r="H1646" s="101">
        <f>IFERROR(N(INDEX(tx_Posted,1640)),0)</f>
        <v/>
      </c>
      <c r="I1646" s="58">
        <f>IF(H1646=1,INDEX(tx_DrAcct,1640)&amp;"","")</f>
        <v/>
      </c>
      <c r="J1646" s="95">
        <f>IF(H1646=1,INDEX(tx_DrAmt,1640),0)</f>
        <v/>
      </c>
      <c r="K1646" s="58">
        <f>IF(H1646=1,INDEX(tx_CrAcct,1640)&amp;"","")</f>
        <v/>
      </c>
      <c r="L1646" s="95">
        <f>IF(H1646=1,INDEX(tx_CrAmt,1640),0)</f>
        <v/>
      </c>
      <c r="M1646" s="95">
        <f>IF(H1646=1,INDEX(tx_TaxDr,1640),0)</f>
        <v/>
      </c>
      <c r="N1646" s="95">
        <f>IF(H1646=1,INDEX(tx_TaxCr,1640),0)</f>
        <v/>
      </c>
      <c r="O1646" s="101">
        <f>IF(H1646=1,IF(E1646&lt;FYStart,0,IF(E1646&gt;FYEnd,13,YEAR(E1646)*12+MONTH(E1646)-FYYM+1)),"")</f>
        <v/>
      </c>
      <c r="P1646" s="101">
        <f>IF(H1646=1,IF(IFERROR(INDEX(coa_CF,MATCH(I1646,coa_Name,0)),"")="Cash",1,0),0)</f>
        <v/>
      </c>
      <c r="Q1646" s="101">
        <f>IF(H1646=1,IF(IFERROR(INDEX(coa_CF,MATCH(K1646,coa_Name,0)),"")="Cash",1,0),0)</f>
        <v/>
      </c>
      <c r="R1646" s="58">
        <f>IF((P1646-Q1646)=0,"",IFERROR(INDEX(coa_CF,MATCH(IF((P1646-Q1646)=1,K1646,I1646),coa_Name,0)),"Operating"))</f>
        <v/>
      </c>
      <c r="S1646" s="95">
        <f>IF((P1646-Q1646)=1,L1646,IF((P1646-Q1646)=-1,-J1646,0))</f>
        <v/>
      </c>
      <c r="T1646" s="95">
        <f>IF((P1646-Q1646)=1,N1646,IF((P1646-Q1646)=-1,-M1646,0))</f>
        <v/>
      </c>
      <c r="U1646" s="101">
        <f>IF(AND(H1646=1,LedAcct&lt;&gt;""),IF(AND(E1646&gt;=LedFrom,E1646&lt;=LedTo,OR(I1646=LedAcct,K1646=LedAcct,AND(LedAcct=acctTax,M1646+N1646&lt;&gt;0))),E1646*10000+B1646,""),"")</f>
        <v/>
      </c>
    </row>
    <row r="1647">
      <c r="B1647" s="101" t="n">
        <v>1641</v>
      </c>
      <c r="C1647" s="58" t="inlineStr">
        <is>
          <t>Transaction</t>
        </is>
      </c>
      <c r="D1647" s="58">
        <f>IF(H1647=1,INDEX(tx_ID,1641)&amp;"","")</f>
        <v/>
      </c>
      <c r="E1647" s="94">
        <f>IF(H1647=1,INDEX(tx_Date,1641),"")</f>
        <v/>
      </c>
      <c r="F1647" s="58">
        <f>IF(H1647=1,INDEX(tx_Desc,1641)&amp;"","")</f>
        <v/>
      </c>
      <c r="G1647" s="58">
        <f>IF(H1647=1,IF(INDEX(tx_Cust,1641)&amp;""&lt;&gt;"",INDEX(tx_Cust,1641)&amp;"",INDEX(tx_Vend,1641)&amp;""),"")</f>
        <v/>
      </c>
      <c r="H1647" s="101">
        <f>IFERROR(N(INDEX(tx_Posted,1641)),0)</f>
        <v/>
      </c>
      <c r="I1647" s="58">
        <f>IF(H1647=1,INDEX(tx_DrAcct,1641)&amp;"","")</f>
        <v/>
      </c>
      <c r="J1647" s="95">
        <f>IF(H1647=1,INDEX(tx_DrAmt,1641),0)</f>
        <v/>
      </c>
      <c r="K1647" s="58">
        <f>IF(H1647=1,INDEX(tx_CrAcct,1641)&amp;"","")</f>
        <v/>
      </c>
      <c r="L1647" s="95">
        <f>IF(H1647=1,INDEX(tx_CrAmt,1641),0)</f>
        <v/>
      </c>
      <c r="M1647" s="95">
        <f>IF(H1647=1,INDEX(tx_TaxDr,1641),0)</f>
        <v/>
      </c>
      <c r="N1647" s="95">
        <f>IF(H1647=1,INDEX(tx_TaxCr,1641),0)</f>
        <v/>
      </c>
      <c r="O1647" s="101">
        <f>IF(H1647=1,IF(E1647&lt;FYStart,0,IF(E1647&gt;FYEnd,13,YEAR(E1647)*12+MONTH(E1647)-FYYM+1)),"")</f>
        <v/>
      </c>
      <c r="P1647" s="101">
        <f>IF(H1647=1,IF(IFERROR(INDEX(coa_CF,MATCH(I1647,coa_Name,0)),"")="Cash",1,0),0)</f>
        <v/>
      </c>
      <c r="Q1647" s="101">
        <f>IF(H1647=1,IF(IFERROR(INDEX(coa_CF,MATCH(K1647,coa_Name,0)),"")="Cash",1,0),0)</f>
        <v/>
      </c>
      <c r="R1647" s="58">
        <f>IF((P1647-Q1647)=0,"",IFERROR(INDEX(coa_CF,MATCH(IF((P1647-Q1647)=1,K1647,I1647),coa_Name,0)),"Operating"))</f>
        <v/>
      </c>
      <c r="S1647" s="95">
        <f>IF((P1647-Q1647)=1,L1647,IF((P1647-Q1647)=-1,-J1647,0))</f>
        <v/>
      </c>
      <c r="T1647" s="95">
        <f>IF((P1647-Q1647)=1,N1647,IF((P1647-Q1647)=-1,-M1647,0))</f>
        <v/>
      </c>
      <c r="U1647" s="101">
        <f>IF(AND(H1647=1,LedAcct&lt;&gt;""),IF(AND(E1647&gt;=LedFrom,E1647&lt;=LedTo,OR(I1647=LedAcct,K1647=LedAcct,AND(LedAcct=acctTax,M1647+N1647&lt;&gt;0))),E1647*10000+B1647,""),"")</f>
        <v/>
      </c>
    </row>
    <row r="1648">
      <c r="B1648" s="101" t="n">
        <v>1642</v>
      </c>
      <c r="C1648" s="58" t="inlineStr">
        <is>
          <t>Transaction</t>
        </is>
      </c>
      <c r="D1648" s="58">
        <f>IF(H1648=1,INDEX(tx_ID,1642)&amp;"","")</f>
        <v/>
      </c>
      <c r="E1648" s="94">
        <f>IF(H1648=1,INDEX(tx_Date,1642),"")</f>
        <v/>
      </c>
      <c r="F1648" s="58">
        <f>IF(H1648=1,INDEX(tx_Desc,1642)&amp;"","")</f>
        <v/>
      </c>
      <c r="G1648" s="58">
        <f>IF(H1648=1,IF(INDEX(tx_Cust,1642)&amp;""&lt;&gt;"",INDEX(tx_Cust,1642)&amp;"",INDEX(tx_Vend,1642)&amp;""),"")</f>
        <v/>
      </c>
      <c r="H1648" s="101">
        <f>IFERROR(N(INDEX(tx_Posted,1642)),0)</f>
        <v/>
      </c>
      <c r="I1648" s="58">
        <f>IF(H1648=1,INDEX(tx_DrAcct,1642)&amp;"","")</f>
        <v/>
      </c>
      <c r="J1648" s="95">
        <f>IF(H1648=1,INDEX(tx_DrAmt,1642),0)</f>
        <v/>
      </c>
      <c r="K1648" s="58">
        <f>IF(H1648=1,INDEX(tx_CrAcct,1642)&amp;"","")</f>
        <v/>
      </c>
      <c r="L1648" s="95">
        <f>IF(H1648=1,INDEX(tx_CrAmt,1642),0)</f>
        <v/>
      </c>
      <c r="M1648" s="95">
        <f>IF(H1648=1,INDEX(tx_TaxDr,1642),0)</f>
        <v/>
      </c>
      <c r="N1648" s="95">
        <f>IF(H1648=1,INDEX(tx_TaxCr,1642),0)</f>
        <v/>
      </c>
      <c r="O1648" s="101">
        <f>IF(H1648=1,IF(E1648&lt;FYStart,0,IF(E1648&gt;FYEnd,13,YEAR(E1648)*12+MONTH(E1648)-FYYM+1)),"")</f>
        <v/>
      </c>
      <c r="P1648" s="101">
        <f>IF(H1648=1,IF(IFERROR(INDEX(coa_CF,MATCH(I1648,coa_Name,0)),"")="Cash",1,0),0)</f>
        <v/>
      </c>
      <c r="Q1648" s="101">
        <f>IF(H1648=1,IF(IFERROR(INDEX(coa_CF,MATCH(K1648,coa_Name,0)),"")="Cash",1,0),0)</f>
        <v/>
      </c>
      <c r="R1648" s="58">
        <f>IF((P1648-Q1648)=0,"",IFERROR(INDEX(coa_CF,MATCH(IF((P1648-Q1648)=1,K1648,I1648),coa_Name,0)),"Operating"))</f>
        <v/>
      </c>
      <c r="S1648" s="95">
        <f>IF((P1648-Q1648)=1,L1648,IF((P1648-Q1648)=-1,-J1648,0))</f>
        <v/>
      </c>
      <c r="T1648" s="95">
        <f>IF((P1648-Q1648)=1,N1648,IF((P1648-Q1648)=-1,-M1648,0))</f>
        <v/>
      </c>
      <c r="U1648" s="101">
        <f>IF(AND(H1648=1,LedAcct&lt;&gt;""),IF(AND(E1648&gt;=LedFrom,E1648&lt;=LedTo,OR(I1648=LedAcct,K1648=LedAcct,AND(LedAcct=acctTax,M1648+N1648&lt;&gt;0))),E1648*10000+B1648,""),"")</f>
        <v/>
      </c>
    </row>
    <row r="1649">
      <c r="B1649" s="101" t="n">
        <v>1643</v>
      </c>
      <c r="C1649" s="58" t="inlineStr">
        <is>
          <t>Transaction</t>
        </is>
      </c>
      <c r="D1649" s="58">
        <f>IF(H1649=1,INDEX(tx_ID,1643)&amp;"","")</f>
        <v/>
      </c>
      <c r="E1649" s="94">
        <f>IF(H1649=1,INDEX(tx_Date,1643),"")</f>
        <v/>
      </c>
      <c r="F1649" s="58">
        <f>IF(H1649=1,INDEX(tx_Desc,1643)&amp;"","")</f>
        <v/>
      </c>
      <c r="G1649" s="58">
        <f>IF(H1649=1,IF(INDEX(tx_Cust,1643)&amp;""&lt;&gt;"",INDEX(tx_Cust,1643)&amp;"",INDEX(tx_Vend,1643)&amp;""),"")</f>
        <v/>
      </c>
      <c r="H1649" s="101">
        <f>IFERROR(N(INDEX(tx_Posted,1643)),0)</f>
        <v/>
      </c>
      <c r="I1649" s="58">
        <f>IF(H1649=1,INDEX(tx_DrAcct,1643)&amp;"","")</f>
        <v/>
      </c>
      <c r="J1649" s="95">
        <f>IF(H1649=1,INDEX(tx_DrAmt,1643),0)</f>
        <v/>
      </c>
      <c r="K1649" s="58">
        <f>IF(H1649=1,INDEX(tx_CrAcct,1643)&amp;"","")</f>
        <v/>
      </c>
      <c r="L1649" s="95">
        <f>IF(H1649=1,INDEX(tx_CrAmt,1643),0)</f>
        <v/>
      </c>
      <c r="M1649" s="95">
        <f>IF(H1649=1,INDEX(tx_TaxDr,1643),0)</f>
        <v/>
      </c>
      <c r="N1649" s="95">
        <f>IF(H1649=1,INDEX(tx_TaxCr,1643),0)</f>
        <v/>
      </c>
      <c r="O1649" s="101">
        <f>IF(H1649=1,IF(E1649&lt;FYStart,0,IF(E1649&gt;FYEnd,13,YEAR(E1649)*12+MONTH(E1649)-FYYM+1)),"")</f>
        <v/>
      </c>
      <c r="P1649" s="101">
        <f>IF(H1649=1,IF(IFERROR(INDEX(coa_CF,MATCH(I1649,coa_Name,0)),"")="Cash",1,0),0)</f>
        <v/>
      </c>
      <c r="Q1649" s="101">
        <f>IF(H1649=1,IF(IFERROR(INDEX(coa_CF,MATCH(K1649,coa_Name,0)),"")="Cash",1,0),0)</f>
        <v/>
      </c>
      <c r="R1649" s="58">
        <f>IF((P1649-Q1649)=0,"",IFERROR(INDEX(coa_CF,MATCH(IF((P1649-Q1649)=1,K1649,I1649),coa_Name,0)),"Operating"))</f>
        <v/>
      </c>
      <c r="S1649" s="95">
        <f>IF((P1649-Q1649)=1,L1649,IF((P1649-Q1649)=-1,-J1649,0))</f>
        <v/>
      </c>
      <c r="T1649" s="95">
        <f>IF((P1649-Q1649)=1,N1649,IF((P1649-Q1649)=-1,-M1649,0))</f>
        <v/>
      </c>
      <c r="U1649" s="101">
        <f>IF(AND(H1649=1,LedAcct&lt;&gt;""),IF(AND(E1649&gt;=LedFrom,E1649&lt;=LedTo,OR(I1649=LedAcct,K1649=LedAcct,AND(LedAcct=acctTax,M1649+N1649&lt;&gt;0))),E1649*10000+B1649,""),"")</f>
        <v/>
      </c>
    </row>
    <row r="1650">
      <c r="B1650" s="101" t="n">
        <v>1644</v>
      </c>
      <c r="C1650" s="58" t="inlineStr">
        <is>
          <t>Transaction</t>
        </is>
      </c>
      <c r="D1650" s="58">
        <f>IF(H1650=1,INDEX(tx_ID,1644)&amp;"","")</f>
        <v/>
      </c>
      <c r="E1650" s="94">
        <f>IF(H1650=1,INDEX(tx_Date,1644),"")</f>
        <v/>
      </c>
      <c r="F1650" s="58">
        <f>IF(H1650=1,INDEX(tx_Desc,1644)&amp;"","")</f>
        <v/>
      </c>
      <c r="G1650" s="58">
        <f>IF(H1650=1,IF(INDEX(tx_Cust,1644)&amp;""&lt;&gt;"",INDEX(tx_Cust,1644)&amp;"",INDEX(tx_Vend,1644)&amp;""),"")</f>
        <v/>
      </c>
      <c r="H1650" s="101">
        <f>IFERROR(N(INDEX(tx_Posted,1644)),0)</f>
        <v/>
      </c>
      <c r="I1650" s="58">
        <f>IF(H1650=1,INDEX(tx_DrAcct,1644)&amp;"","")</f>
        <v/>
      </c>
      <c r="J1650" s="95">
        <f>IF(H1650=1,INDEX(tx_DrAmt,1644),0)</f>
        <v/>
      </c>
      <c r="K1650" s="58">
        <f>IF(H1650=1,INDEX(tx_CrAcct,1644)&amp;"","")</f>
        <v/>
      </c>
      <c r="L1650" s="95">
        <f>IF(H1650=1,INDEX(tx_CrAmt,1644),0)</f>
        <v/>
      </c>
      <c r="M1650" s="95">
        <f>IF(H1650=1,INDEX(tx_TaxDr,1644),0)</f>
        <v/>
      </c>
      <c r="N1650" s="95">
        <f>IF(H1650=1,INDEX(tx_TaxCr,1644),0)</f>
        <v/>
      </c>
      <c r="O1650" s="101">
        <f>IF(H1650=1,IF(E1650&lt;FYStart,0,IF(E1650&gt;FYEnd,13,YEAR(E1650)*12+MONTH(E1650)-FYYM+1)),"")</f>
        <v/>
      </c>
      <c r="P1650" s="101">
        <f>IF(H1650=1,IF(IFERROR(INDEX(coa_CF,MATCH(I1650,coa_Name,0)),"")="Cash",1,0),0)</f>
        <v/>
      </c>
      <c r="Q1650" s="101">
        <f>IF(H1650=1,IF(IFERROR(INDEX(coa_CF,MATCH(K1650,coa_Name,0)),"")="Cash",1,0),0)</f>
        <v/>
      </c>
      <c r="R1650" s="58">
        <f>IF((P1650-Q1650)=0,"",IFERROR(INDEX(coa_CF,MATCH(IF((P1650-Q1650)=1,K1650,I1650),coa_Name,0)),"Operating"))</f>
        <v/>
      </c>
      <c r="S1650" s="95">
        <f>IF((P1650-Q1650)=1,L1650,IF((P1650-Q1650)=-1,-J1650,0))</f>
        <v/>
      </c>
      <c r="T1650" s="95">
        <f>IF((P1650-Q1650)=1,N1650,IF((P1650-Q1650)=-1,-M1650,0))</f>
        <v/>
      </c>
      <c r="U1650" s="101">
        <f>IF(AND(H1650=1,LedAcct&lt;&gt;""),IF(AND(E1650&gt;=LedFrom,E1650&lt;=LedTo,OR(I1650=LedAcct,K1650=LedAcct,AND(LedAcct=acctTax,M1650+N1650&lt;&gt;0))),E1650*10000+B1650,""),"")</f>
        <v/>
      </c>
    </row>
    <row r="1651">
      <c r="B1651" s="101" t="n">
        <v>1645</v>
      </c>
      <c r="C1651" s="58" t="inlineStr">
        <is>
          <t>Transaction</t>
        </is>
      </c>
      <c r="D1651" s="58">
        <f>IF(H1651=1,INDEX(tx_ID,1645)&amp;"","")</f>
        <v/>
      </c>
      <c r="E1651" s="94">
        <f>IF(H1651=1,INDEX(tx_Date,1645),"")</f>
        <v/>
      </c>
      <c r="F1651" s="58">
        <f>IF(H1651=1,INDEX(tx_Desc,1645)&amp;"","")</f>
        <v/>
      </c>
      <c r="G1651" s="58">
        <f>IF(H1651=1,IF(INDEX(tx_Cust,1645)&amp;""&lt;&gt;"",INDEX(tx_Cust,1645)&amp;"",INDEX(tx_Vend,1645)&amp;""),"")</f>
        <v/>
      </c>
      <c r="H1651" s="101">
        <f>IFERROR(N(INDEX(tx_Posted,1645)),0)</f>
        <v/>
      </c>
      <c r="I1651" s="58">
        <f>IF(H1651=1,INDEX(tx_DrAcct,1645)&amp;"","")</f>
        <v/>
      </c>
      <c r="J1651" s="95">
        <f>IF(H1651=1,INDEX(tx_DrAmt,1645),0)</f>
        <v/>
      </c>
      <c r="K1651" s="58">
        <f>IF(H1651=1,INDEX(tx_CrAcct,1645)&amp;"","")</f>
        <v/>
      </c>
      <c r="L1651" s="95">
        <f>IF(H1651=1,INDEX(tx_CrAmt,1645),0)</f>
        <v/>
      </c>
      <c r="M1651" s="95">
        <f>IF(H1651=1,INDEX(tx_TaxDr,1645),0)</f>
        <v/>
      </c>
      <c r="N1651" s="95">
        <f>IF(H1651=1,INDEX(tx_TaxCr,1645),0)</f>
        <v/>
      </c>
      <c r="O1651" s="101">
        <f>IF(H1651=1,IF(E1651&lt;FYStart,0,IF(E1651&gt;FYEnd,13,YEAR(E1651)*12+MONTH(E1651)-FYYM+1)),"")</f>
        <v/>
      </c>
      <c r="P1651" s="101">
        <f>IF(H1651=1,IF(IFERROR(INDEX(coa_CF,MATCH(I1651,coa_Name,0)),"")="Cash",1,0),0)</f>
        <v/>
      </c>
      <c r="Q1651" s="101">
        <f>IF(H1651=1,IF(IFERROR(INDEX(coa_CF,MATCH(K1651,coa_Name,0)),"")="Cash",1,0),0)</f>
        <v/>
      </c>
      <c r="R1651" s="58">
        <f>IF((P1651-Q1651)=0,"",IFERROR(INDEX(coa_CF,MATCH(IF((P1651-Q1651)=1,K1651,I1651),coa_Name,0)),"Operating"))</f>
        <v/>
      </c>
      <c r="S1651" s="95">
        <f>IF((P1651-Q1651)=1,L1651,IF((P1651-Q1651)=-1,-J1651,0))</f>
        <v/>
      </c>
      <c r="T1651" s="95">
        <f>IF((P1651-Q1651)=1,N1651,IF((P1651-Q1651)=-1,-M1651,0))</f>
        <v/>
      </c>
      <c r="U1651" s="101">
        <f>IF(AND(H1651=1,LedAcct&lt;&gt;""),IF(AND(E1651&gt;=LedFrom,E1651&lt;=LedTo,OR(I1651=LedAcct,K1651=LedAcct,AND(LedAcct=acctTax,M1651+N1651&lt;&gt;0))),E1651*10000+B1651,""),"")</f>
        <v/>
      </c>
    </row>
    <row r="1652">
      <c r="B1652" s="101" t="n">
        <v>1646</v>
      </c>
      <c r="C1652" s="58" t="inlineStr">
        <is>
          <t>Transaction</t>
        </is>
      </c>
      <c r="D1652" s="58">
        <f>IF(H1652=1,INDEX(tx_ID,1646)&amp;"","")</f>
        <v/>
      </c>
      <c r="E1652" s="94">
        <f>IF(H1652=1,INDEX(tx_Date,1646),"")</f>
        <v/>
      </c>
      <c r="F1652" s="58">
        <f>IF(H1652=1,INDEX(tx_Desc,1646)&amp;"","")</f>
        <v/>
      </c>
      <c r="G1652" s="58">
        <f>IF(H1652=1,IF(INDEX(tx_Cust,1646)&amp;""&lt;&gt;"",INDEX(tx_Cust,1646)&amp;"",INDEX(tx_Vend,1646)&amp;""),"")</f>
        <v/>
      </c>
      <c r="H1652" s="101">
        <f>IFERROR(N(INDEX(tx_Posted,1646)),0)</f>
        <v/>
      </c>
      <c r="I1652" s="58">
        <f>IF(H1652=1,INDEX(tx_DrAcct,1646)&amp;"","")</f>
        <v/>
      </c>
      <c r="J1652" s="95">
        <f>IF(H1652=1,INDEX(tx_DrAmt,1646),0)</f>
        <v/>
      </c>
      <c r="K1652" s="58">
        <f>IF(H1652=1,INDEX(tx_CrAcct,1646)&amp;"","")</f>
        <v/>
      </c>
      <c r="L1652" s="95">
        <f>IF(H1652=1,INDEX(tx_CrAmt,1646),0)</f>
        <v/>
      </c>
      <c r="M1652" s="95">
        <f>IF(H1652=1,INDEX(tx_TaxDr,1646),0)</f>
        <v/>
      </c>
      <c r="N1652" s="95">
        <f>IF(H1652=1,INDEX(tx_TaxCr,1646),0)</f>
        <v/>
      </c>
      <c r="O1652" s="101">
        <f>IF(H1652=1,IF(E1652&lt;FYStart,0,IF(E1652&gt;FYEnd,13,YEAR(E1652)*12+MONTH(E1652)-FYYM+1)),"")</f>
        <v/>
      </c>
      <c r="P1652" s="101">
        <f>IF(H1652=1,IF(IFERROR(INDEX(coa_CF,MATCH(I1652,coa_Name,0)),"")="Cash",1,0),0)</f>
        <v/>
      </c>
      <c r="Q1652" s="101">
        <f>IF(H1652=1,IF(IFERROR(INDEX(coa_CF,MATCH(K1652,coa_Name,0)),"")="Cash",1,0),0)</f>
        <v/>
      </c>
      <c r="R1652" s="58">
        <f>IF((P1652-Q1652)=0,"",IFERROR(INDEX(coa_CF,MATCH(IF((P1652-Q1652)=1,K1652,I1652),coa_Name,0)),"Operating"))</f>
        <v/>
      </c>
      <c r="S1652" s="95">
        <f>IF((P1652-Q1652)=1,L1652,IF((P1652-Q1652)=-1,-J1652,0))</f>
        <v/>
      </c>
      <c r="T1652" s="95">
        <f>IF((P1652-Q1652)=1,N1652,IF((P1652-Q1652)=-1,-M1652,0))</f>
        <v/>
      </c>
      <c r="U1652" s="101">
        <f>IF(AND(H1652=1,LedAcct&lt;&gt;""),IF(AND(E1652&gt;=LedFrom,E1652&lt;=LedTo,OR(I1652=LedAcct,K1652=LedAcct,AND(LedAcct=acctTax,M1652+N1652&lt;&gt;0))),E1652*10000+B1652,""),"")</f>
        <v/>
      </c>
    </row>
    <row r="1653">
      <c r="B1653" s="101" t="n">
        <v>1647</v>
      </c>
      <c r="C1653" s="58" t="inlineStr">
        <is>
          <t>Transaction</t>
        </is>
      </c>
      <c r="D1653" s="58">
        <f>IF(H1653=1,INDEX(tx_ID,1647)&amp;"","")</f>
        <v/>
      </c>
      <c r="E1653" s="94">
        <f>IF(H1653=1,INDEX(tx_Date,1647),"")</f>
        <v/>
      </c>
      <c r="F1653" s="58">
        <f>IF(H1653=1,INDEX(tx_Desc,1647)&amp;"","")</f>
        <v/>
      </c>
      <c r="G1653" s="58">
        <f>IF(H1653=1,IF(INDEX(tx_Cust,1647)&amp;""&lt;&gt;"",INDEX(tx_Cust,1647)&amp;"",INDEX(tx_Vend,1647)&amp;""),"")</f>
        <v/>
      </c>
      <c r="H1653" s="101">
        <f>IFERROR(N(INDEX(tx_Posted,1647)),0)</f>
        <v/>
      </c>
      <c r="I1653" s="58">
        <f>IF(H1653=1,INDEX(tx_DrAcct,1647)&amp;"","")</f>
        <v/>
      </c>
      <c r="J1653" s="95">
        <f>IF(H1653=1,INDEX(tx_DrAmt,1647),0)</f>
        <v/>
      </c>
      <c r="K1653" s="58">
        <f>IF(H1653=1,INDEX(tx_CrAcct,1647)&amp;"","")</f>
        <v/>
      </c>
      <c r="L1653" s="95">
        <f>IF(H1653=1,INDEX(tx_CrAmt,1647),0)</f>
        <v/>
      </c>
      <c r="M1653" s="95">
        <f>IF(H1653=1,INDEX(tx_TaxDr,1647),0)</f>
        <v/>
      </c>
      <c r="N1653" s="95">
        <f>IF(H1653=1,INDEX(tx_TaxCr,1647),0)</f>
        <v/>
      </c>
      <c r="O1653" s="101">
        <f>IF(H1653=1,IF(E1653&lt;FYStart,0,IF(E1653&gt;FYEnd,13,YEAR(E1653)*12+MONTH(E1653)-FYYM+1)),"")</f>
        <v/>
      </c>
      <c r="P1653" s="101">
        <f>IF(H1653=1,IF(IFERROR(INDEX(coa_CF,MATCH(I1653,coa_Name,0)),"")="Cash",1,0),0)</f>
        <v/>
      </c>
      <c r="Q1653" s="101">
        <f>IF(H1653=1,IF(IFERROR(INDEX(coa_CF,MATCH(K1653,coa_Name,0)),"")="Cash",1,0),0)</f>
        <v/>
      </c>
      <c r="R1653" s="58">
        <f>IF((P1653-Q1653)=0,"",IFERROR(INDEX(coa_CF,MATCH(IF((P1653-Q1653)=1,K1653,I1653),coa_Name,0)),"Operating"))</f>
        <v/>
      </c>
      <c r="S1653" s="95">
        <f>IF((P1653-Q1653)=1,L1653,IF((P1653-Q1653)=-1,-J1653,0))</f>
        <v/>
      </c>
      <c r="T1653" s="95">
        <f>IF((P1653-Q1653)=1,N1653,IF((P1653-Q1653)=-1,-M1653,0))</f>
        <v/>
      </c>
      <c r="U1653" s="101">
        <f>IF(AND(H1653=1,LedAcct&lt;&gt;""),IF(AND(E1653&gt;=LedFrom,E1653&lt;=LedTo,OR(I1653=LedAcct,K1653=LedAcct,AND(LedAcct=acctTax,M1653+N1653&lt;&gt;0))),E1653*10000+B1653,""),"")</f>
        <v/>
      </c>
    </row>
    <row r="1654">
      <c r="B1654" s="101" t="n">
        <v>1648</v>
      </c>
      <c r="C1654" s="58" t="inlineStr">
        <is>
          <t>Transaction</t>
        </is>
      </c>
      <c r="D1654" s="58">
        <f>IF(H1654=1,INDEX(tx_ID,1648)&amp;"","")</f>
        <v/>
      </c>
      <c r="E1654" s="94">
        <f>IF(H1654=1,INDEX(tx_Date,1648),"")</f>
        <v/>
      </c>
      <c r="F1654" s="58">
        <f>IF(H1654=1,INDEX(tx_Desc,1648)&amp;"","")</f>
        <v/>
      </c>
      <c r="G1654" s="58">
        <f>IF(H1654=1,IF(INDEX(tx_Cust,1648)&amp;""&lt;&gt;"",INDEX(tx_Cust,1648)&amp;"",INDEX(tx_Vend,1648)&amp;""),"")</f>
        <v/>
      </c>
      <c r="H1654" s="101">
        <f>IFERROR(N(INDEX(tx_Posted,1648)),0)</f>
        <v/>
      </c>
      <c r="I1654" s="58">
        <f>IF(H1654=1,INDEX(tx_DrAcct,1648)&amp;"","")</f>
        <v/>
      </c>
      <c r="J1654" s="95">
        <f>IF(H1654=1,INDEX(tx_DrAmt,1648),0)</f>
        <v/>
      </c>
      <c r="K1654" s="58">
        <f>IF(H1654=1,INDEX(tx_CrAcct,1648)&amp;"","")</f>
        <v/>
      </c>
      <c r="L1654" s="95">
        <f>IF(H1654=1,INDEX(tx_CrAmt,1648),0)</f>
        <v/>
      </c>
      <c r="M1654" s="95">
        <f>IF(H1654=1,INDEX(tx_TaxDr,1648),0)</f>
        <v/>
      </c>
      <c r="N1654" s="95">
        <f>IF(H1654=1,INDEX(tx_TaxCr,1648),0)</f>
        <v/>
      </c>
      <c r="O1654" s="101">
        <f>IF(H1654=1,IF(E1654&lt;FYStart,0,IF(E1654&gt;FYEnd,13,YEAR(E1654)*12+MONTH(E1654)-FYYM+1)),"")</f>
        <v/>
      </c>
      <c r="P1654" s="101">
        <f>IF(H1654=1,IF(IFERROR(INDEX(coa_CF,MATCH(I1654,coa_Name,0)),"")="Cash",1,0),0)</f>
        <v/>
      </c>
      <c r="Q1654" s="101">
        <f>IF(H1654=1,IF(IFERROR(INDEX(coa_CF,MATCH(K1654,coa_Name,0)),"")="Cash",1,0),0)</f>
        <v/>
      </c>
      <c r="R1654" s="58">
        <f>IF((P1654-Q1654)=0,"",IFERROR(INDEX(coa_CF,MATCH(IF((P1654-Q1654)=1,K1654,I1654),coa_Name,0)),"Operating"))</f>
        <v/>
      </c>
      <c r="S1654" s="95">
        <f>IF((P1654-Q1654)=1,L1654,IF((P1654-Q1654)=-1,-J1654,0))</f>
        <v/>
      </c>
      <c r="T1654" s="95">
        <f>IF((P1654-Q1654)=1,N1654,IF((P1654-Q1654)=-1,-M1654,0))</f>
        <v/>
      </c>
      <c r="U1654" s="101">
        <f>IF(AND(H1654=1,LedAcct&lt;&gt;""),IF(AND(E1654&gt;=LedFrom,E1654&lt;=LedTo,OR(I1654=LedAcct,K1654=LedAcct,AND(LedAcct=acctTax,M1654+N1654&lt;&gt;0))),E1654*10000+B1654,""),"")</f>
        <v/>
      </c>
    </row>
    <row r="1655">
      <c r="B1655" s="101" t="n">
        <v>1649</v>
      </c>
      <c r="C1655" s="58" t="inlineStr">
        <is>
          <t>Transaction</t>
        </is>
      </c>
      <c r="D1655" s="58">
        <f>IF(H1655=1,INDEX(tx_ID,1649)&amp;"","")</f>
        <v/>
      </c>
      <c r="E1655" s="94">
        <f>IF(H1655=1,INDEX(tx_Date,1649),"")</f>
        <v/>
      </c>
      <c r="F1655" s="58">
        <f>IF(H1655=1,INDEX(tx_Desc,1649)&amp;"","")</f>
        <v/>
      </c>
      <c r="G1655" s="58">
        <f>IF(H1655=1,IF(INDEX(tx_Cust,1649)&amp;""&lt;&gt;"",INDEX(tx_Cust,1649)&amp;"",INDEX(tx_Vend,1649)&amp;""),"")</f>
        <v/>
      </c>
      <c r="H1655" s="101">
        <f>IFERROR(N(INDEX(tx_Posted,1649)),0)</f>
        <v/>
      </c>
      <c r="I1655" s="58">
        <f>IF(H1655=1,INDEX(tx_DrAcct,1649)&amp;"","")</f>
        <v/>
      </c>
      <c r="J1655" s="95">
        <f>IF(H1655=1,INDEX(tx_DrAmt,1649),0)</f>
        <v/>
      </c>
      <c r="K1655" s="58">
        <f>IF(H1655=1,INDEX(tx_CrAcct,1649)&amp;"","")</f>
        <v/>
      </c>
      <c r="L1655" s="95">
        <f>IF(H1655=1,INDEX(tx_CrAmt,1649),0)</f>
        <v/>
      </c>
      <c r="M1655" s="95">
        <f>IF(H1655=1,INDEX(tx_TaxDr,1649),0)</f>
        <v/>
      </c>
      <c r="N1655" s="95">
        <f>IF(H1655=1,INDEX(tx_TaxCr,1649),0)</f>
        <v/>
      </c>
      <c r="O1655" s="101">
        <f>IF(H1655=1,IF(E1655&lt;FYStart,0,IF(E1655&gt;FYEnd,13,YEAR(E1655)*12+MONTH(E1655)-FYYM+1)),"")</f>
        <v/>
      </c>
      <c r="P1655" s="101">
        <f>IF(H1655=1,IF(IFERROR(INDEX(coa_CF,MATCH(I1655,coa_Name,0)),"")="Cash",1,0),0)</f>
        <v/>
      </c>
      <c r="Q1655" s="101">
        <f>IF(H1655=1,IF(IFERROR(INDEX(coa_CF,MATCH(K1655,coa_Name,0)),"")="Cash",1,0),0)</f>
        <v/>
      </c>
      <c r="R1655" s="58">
        <f>IF((P1655-Q1655)=0,"",IFERROR(INDEX(coa_CF,MATCH(IF((P1655-Q1655)=1,K1655,I1655),coa_Name,0)),"Operating"))</f>
        <v/>
      </c>
      <c r="S1655" s="95">
        <f>IF((P1655-Q1655)=1,L1655,IF((P1655-Q1655)=-1,-J1655,0))</f>
        <v/>
      </c>
      <c r="T1655" s="95">
        <f>IF((P1655-Q1655)=1,N1655,IF((P1655-Q1655)=-1,-M1655,0))</f>
        <v/>
      </c>
      <c r="U1655" s="101">
        <f>IF(AND(H1655=1,LedAcct&lt;&gt;""),IF(AND(E1655&gt;=LedFrom,E1655&lt;=LedTo,OR(I1655=LedAcct,K1655=LedAcct,AND(LedAcct=acctTax,M1655+N1655&lt;&gt;0))),E1655*10000+B1655,""),"")</f>
        <v/>
      </c>
    </row>
    <row r="1656">
      <c r="B1656" s="101" t="n">
        <v>1650</v>
      </c>
      <c r="C1656" s="58" t="inlineStr">
        <is>
          <t>Transaction</t>
        </is>
      </c>
      <c r="D1656" s="58">
        <f>IF(H1656=1,INDEX(tx_ID,1650)&amp;"","")</f>
        <v/>
      </c>
      <c r="E1656" s="94">
        <f>IF(H1656=1,INDEX(tx_Date,1650),"")</f>
        <v/>
      </c>
      <c r="F1656" s="58">
        <f>IF(H1656=1,INDEX(tx_Desc,1650)&amp;"","")</f>
        <v/>
      </c>
      <c r="G1656" s="58">
        <f>IF(H1656=1,IF(INDEX(tx_Cust,1650)&amp;""&lt;&gt;"",INDEX(tx_Cust,1650)&amp;"",INDEX(tx_Vend,1650)&amp;""),"")</f>
        <v/>
      </c>
      <c r="H1656" s="101">
        <f>IFERROR(N(INDEX(tx_Posted,1650)),0)</f>
        <v/>
      </c>
      <c r="I1656" s="58">
        <f>IF(H1656=1,INDEX(tx_DrAcct,1650)&amp;"","")</f>
        <v/>
      </c>
      <c r="J1656" s="95">
        <f>IF(H1656=1,INDEX(tx_DrAmt,1650),0)</f>
        <v/>
      </c>
      <c r="K1656" s="58">
        <f>IF(H1656=1,INDEX(tx_CrAcct,1650)&amp;"","")</f>
        <v/>
      </c>
      <c r="L1656" s="95">
        <f>IF(H1656=1,INDEX(tx_CrAmt,1650),0)</f>
        <v/>
      </c>
      <c r="M1656" s="95">
        <f>IF(H1656=1,INDEX(tx_TaxDr,1650),0)</f>
        <v/>
      </c>
      <c r="N1656" s="95">
        <f>IF(H1656=1,INDEX(tx_TaxCr,1650),0)</f>
        <v/>
      </c>
      <c r="O1656" s="101">
        <f>IF(H1656=1,IF(E1656&lt;FYStart,0,IF(E1656&gt;FYEnd,13,YEAR(E1656)*12+MONTH(E1656)-FYYM+1)),"")</f>
        <v/>
      </c>
      <c r="P1656" s="101">
        <f>IF(H1656=1,IF(IFERROR(INDEX(coa_CF,MATCH(I1656,coa_Name,0)),"")="Cash",1,0),0)</f>
        <v/>
      </c>
      <c r="Q1656" s="101">
        <f>IF(H1656=1,IF(IFERROR(INDEX(coa_CF,MATCH(K1656,coa_Name,0)),"")="Cash",1,0),0)</f>
        <v/>
      </c>
      <c r="R1656" s="58">
        <f>IF((P1656-Q1656)=0,"",IFERROR(INDEX(coa_CF,MATCH(IF((P1656-Q1656)=1,K1656,I1656),coa_Name,0)),"Operating"))</f>
        <v/>
      </c>
      <c r="S1656" s="95">
        <f>IF((P1656-Q1656)=1,L1656,IF((P1656-Q1656)=-1,-J1656,0))</f>
        <v/>
      </c>
      <c r="T1656" s="95">
        <f>IF((P1656-Q1656)=1,N1656,IF((P1656-Q1656)=-1,-M1656,0))</f>
        <v/>
      </c>
      <c r="U1656" s="101">
        <f>IF(AND(H1656=1,LedAcct&lt;&gt;""),IF(AND(E1656&gt;=LedFrom,E1656&lt;=LedTo,OR(I1656=LedAcct,K1656=LedAcct,AND(LedAcct=acctTax,M1656+N1656&lt;&gt;0))),E1656*10000+B1656,""),"")</f>
        <v/>
      </c>
    </row>
    <row r="1657">
      <c r="B1657" s="101" t="n">
        <v>1651</v>
      </c>
      <c r="C1657" s="58" t="inlineStr">
        <is>
          <t>Transaction</t>
        </is>
      </c>
      <c r="D1657" s="58">
        <f>IF(H1657=1,INDEX(tx_ID,1651)&amp;"","")</f>
        <v/>
      </c>
      <c r="E1657" s="94">
        <f>IF(H1657=1,INDEX(tx_Date,1651),"")</f>
        <v/>
      </c>
      <c r="F1657" s="58">
        <f>IF(H1657=1,INDEX(tx_Desc,1651)&amp;"","")</f>
        <v/>
      </c>
      <c r="G1657" s="58">
        <f>IF(H1657=1,IF(INDEX(tx_Cust,1651)&amp;""&lt;&gt;"",INDEX(tx_Cust,1651)&amp;"",INDEX(tx_Vend,1651)&amp;""),"")</f>
        <v/>
      </c>
      <c r="H1657" s="101">
        <f>IFERROR(N(INDEX(tx_Posted,1651)),0)</f>
        <v/>
      </c>
      <c r="I1657" s="58">
        <f>IF(H1657=1,INDEX(tx_DrAcct,1651)&amp;"","")</f>
        <v/>
      </c>
      <c r="J1657" s="95">
        <f>IF(H1657=1,INDEX(tx_DrAmt,1651),0)</f>
        <v/>
      </c>
      <c r="K1657" s="58">
        <f>IF(H1657=1,INDEX(tx_CrAcct,1651)&amp;"","")</f>
        <v/>
      </c>
      <c r="L1657" s="95">
        <f>IF(H1657=1,INDEX(tx_CrAmt,1651),0)</f>
        <v/>
      </c>
      <c r="M1657" s="95">
        <f>IF(H1657=1,INDEX(tx_TaxDr,1651),0)</f>
        <v/>
      </c>
      <c r="N1657" s="95">
        <f>IF(H1657=1,INDEX(tx_TaxCr,1651),0)</f>
        <v/>
      </c>
      <c r="O1657" s="101">
        <f>IF(H1657=1,IF(E1657&lt;FYStart,0,IF(E1657&gt;FYEnd,13,YEAR(E1657)*12+MONTH(E1657)-FYYM+1)),"")</f>
        <v/>
      </c>
      <c r="P1657" s="101">
        <f>IF(H1657=1,IF(IFERROR(INDEX(coa_CF,MATCH(I1657,coa_Name,0)),"")="Cash",1,0),0)</f>
        <v/>
      </c>
      <c r="Q1657" s="101">
        <f>IF(H1657=1,IF(IFERROR(INDEX(coa_CF,MATCH(K1657,coa_Name,0)),"")="Cash",1,0),0)</f>
        <v/>
      </c>
      <c r="R1657" s="58">
        <f>IF((P1657-Q1657)=0,"",IFERROR(INDEX(coa_CF,MATCH(IF((P1657-Q1657)=1,K1657,I1657),coa_Name,0)),"Operating"))</f>
        <v/>
      </c>
      <c r="S1657" s="95">
        <f>IF((P1657-Q1657)=1,L1657,IF((P1657-Q1657)=-1,-J1657,0))</f>
        <v/>
      </c>
      <c r="T1657" s="95">
        <f>IF((P1657-Q1657)=1,N1657,IF((P1657-Q1657)=-1,-M1657,0))</f>
        <v/>
      </c>
      <c r="U1657" s="101">
        <f>IF(AND(H1657=1,LedAcct&lt;&gt;""),IF(AND(E1657&gt;=LedFrom,E1657&lt;=LedTo,OR(I1657=LedAcct,K1657=LedAcct,AND(LedAcct=acctTax,M1657+N1657&lt;&gt;0))),E1657*10000+B1657,""),"")</f>
        <v/>
      </c>
    </row>
    <row r="1658">
      <c r="B1658" s="101" t="n">
        <v>1652</v>
      </c>
      <c r="C1658" s="58" t="inlineStr">
        <is>
          <t>Transaction</t>
        </is>
      </c>
      <c r="D1658" s="58">
        <f>IF(H1658=1,INDEX(tx_ID,1652)&amp;"","")</f>
        <v/>
      </c>
      <c r="E1658" s="94">
        <f>IF(H1658=1,INDEX(tx_Date,1652),"")</f>
        <v/>
      </c>
      <c r="F1658" s="58">
        <f>IF(H1658=1,INDEX(tx_Desc,1652)&amp;"","")</f>
        <v/>
      </c>
      <c r="G1658" s="58">
        <f>IF(H1658=1,IF(INDEX(tx_Cust,1652)&amp;""&lt;&gt;"",INDEX(tx_Cust,1652)&amp;"",INDEX(tx_Vend,1652)&amp;""),"")</f>
        <v/>
      </c>
      <c r="H1658" s="101">
        <f>IFERROR(N(INDEX(tx_Posted,1652)),0)</f>
        <v/>
      </c>
      <c r="I1658" s="58">
        <f>IF(H1658=1,INDEX(tx_DrAcct,1652)&amp;"","")</f>
        <v/>
      </c>
      <c r="J1658" s="95">
        <f>IF(H1658=1,INDEX(tx_DrAmt,1652),0)</f>
        <v/>
      </c>
      <c r="K1658" s="58">
        <f>IF(H1658=1,INDEX(tx_CrAcct,1652)&amp;"","")</f>
        <v/>
      </c>
      <c r="L1658" s="95">
        <f>IF(H1658=1,INDEX(tx_CrAmt,1652),0)</f>
        <v/>
      </c>
      <c r="M1658" s="95">
        <f>IF(H1658=1,INDEX(tx_TaxDr,1652),0)</f>
        <v/>
      </c>
      <c r="N1658" s="95">
        <f>IF(H1658=1,INDEX(tx_TaxCr,1652),0)</f>
        <v/>
      </c>
      <c r="O1658" s="101">
        <f>IF(H1658=1,IF(E1658&lt;FYStart,0,IF(E1658&gt;FYEnd,13,YEAR(E1658)*12+MONTH(E1658)-FYYM+1)),"")</f>
        <v/>
      </c>
      <c r="P1658" s="101">
        <f>IF(H1658=1,IF(IFERROR(INDEX(coa_CF,MATCH(I1658,coa_Name,0)),"")="Cash",1,0),0)</f>
        <v/>
      </c>
      <c r="Q1658" s="101">
        <f>IF(H1658=1,IF(IFERROR(INDEX(coa_CF,MATCH(K1658,coa_Name,0)),"")="Cash",1,0),0)</f>
        <v/>
      </c>
      <c r="R1658" s="58">
        <f>IF((P1658-Q1658)=0,"",IFERROR(INDEX(coa_CF,MATCH(IF((P1658-Q1658)=1,K1658,I1658),coa_Name,0)),"Operating"))</f>
        <v/>
      </c>
      <c r="S1658" s="95">
        <f>IF((P1658-Q1658)=1,L1658,IF((P1658-Q1658)=-1,-J1658,0))</f>
        <v/>
      </c>
      <c r="T1658" s="95">
        <f>IF((P1658-Q1658)=1,N1658,IF((P1658-Q1658)=-1,-M1658,0))</f>
        <v/>
      </c>
      <c r="U1658" s="101">
        <f>IF(AND(H1658=1,LedAcct&lt;&gt;""),IF(AND(E1658&gt;=LedFrom,E1658&lt;=LedTo,OR(I1658=LedAcct,K1658=LedAcct,AND(LedAcct=acctTax,M1658+N1658&lt;&gt;0))),E1658*10000+B1658,""),"")</f>
        <v/>
      </c>
    </row>
    <row r="1659">
      <c r="B1659" s="101" t="n">
        <v>1653</v>
      </c>
      <c r="C1659" s="58" t="inlineStr">
        <is>
          <t>Transaction</t>
        </is>
      </c>
      <c r="D1659" s="58">
        <f>IF(H1659=1,INDEX(tx_ID,1653)&amp;"","")</f>
        <v/>
      </c>
      <c r="E1659" s="94">
        <f>IF(H1659=1,INDEX(tx_Date,1653),"")</f>
        <v/>
      </c>
      <c r="F1659" s="58">
        <f>IF(H1659=1,INDEX(tx_Desc,1653)&amp;"","")</f>
        <v/>
      </c>
      <c r="G1659" s="58">
        <f>IF(H1659=1,IF(INDEX(tx_Cust,1653)&amp;""&lt;&gt;"",INDEX(tx_Cust,1653)&amp;"",INDEX(tx_Vend,1653)&amp;""),"")</f>
        <v/>
      </c>
      <c r="H1659" s="101">
        <f>IFERROR(N(INDEX(tx_Posted,1653)),0)</f>
        <v/>
      </c>
      <c r="I1659" s="58">
        <f>IF(H1659=1,INDEX(tx_DrAcct,1653)&amp;"","")</f>
        <v/>
      </c>
      <c r="J1659" s="95">
        <f>IF(H1659=1,INDEX(tx_DrAmt,1653),0)</f>
        <v/>
      </c>
      <c r="K1659" s="58">
        <f>IF(H1659=1,INDEX(tx_CrAcct,1653)&amp;"","")</f>
        <v/>
      </c>
      <c r="L1659" s="95">
        <f>IF(H1659=1,INDEX(tx_CrAmt,1653),0)</f>
        <v/>
      </c>
      <c r="M1659" s="95">
        <f>IF(H1659=1,INDEX(tx_TaxDr,1653),0)</f>
        <v/>
      </c>
      <c r="N1659" s="95">
        <f>IF(H1659=1,INDEX(tx_TaxCr,1653),0)</f>
        <v/>
      </c>
      <c r="O1659" s="101">
        <f>IF(H1659=1,IF(E1659&lt;FYStart,0,IF(E1659&gt;FYEnd,13,YEAR(E1659)*12+MONTH(E1659)-FYYM+1)),"")</f>
        <v/>
      </c>
      <c r="P1659" s="101">
        <f>IF(H1659=1,IF(IFERROR(INDEX(coa_CF,MATCH(I1659,coa_Name,0)),"")="Cash",1,0),0)</f>
        <v/>
      </c>
      <c r="Q1659" s="101">
        <f>IF(H1659=1,IF(IFERROR(INDEX(coa_CF,MATCH(K1659,coa_Name,0)),"")="Cash",1,0),0)</f>
        <v/>
      </c>
      <c r="R1659" s="58">
        <f>IF((P1659-Q1659)=0,"",IFERROR(INDEX(coa_CF,MATCH(IF((P1659-Q1659)=1,K1659,I1659),coa_Name,0)),"Operating"))</f>
        <v/>
      </c>
      <c r="S1659" s="95">
        <f>IF((P1659-Q1659)=1,L1659,IF((P1659-Q1659)=-1,-J1659,0))</f>
        <v/>
      </c>
      <c r="T1659" s="95">
        <f>IF((P1659-Q1659)=1,N1659,IF((P1659-Q1659)=-1,-M1659,0))</f>
        <v/>
      </c>
      <c r="U1659" s="101">
        <f>IF(AND(H1659=1,LedAcct&lt;&gt;""),IF(AND(E1659&gt;=LedFrom,E1659&lt;=LedTo,OR(I1659=LedAcct,K1659=LedAcct,AND(LedAcct=acctTax,M1659+N1659&lt;&gt;0))),E1659*10000+B1659,""),"")</f>
        <v/>
      </c>
    </row>
    <row r="1660">
      <c r="B1660" s="101" t="n">
        <v>1654</v>
      </c>
      <c r="C1660" s="58" t="inlineStr">
        <is>
          <t>Transaction</t>
        </is>
      </c>
      <c r="D1660" s="58">
        <f>IF(H1660=1,INDEX(tx_ID,1654)&amp;"","")</f>
        <v/>
      </c>
      <c r="E1660" s="94">
        <f>IF(H1660=1,INDEX(tx_Date,1654),"")</f>
        <v/>
      </c>
      <c r="F1660" s="58">
        <f>IF(H1660=1,INDEX(tx_Desc,1654)&amp;"","")</f>
        <v/>
      </c>
      <c r="G1660" s="58">
        <f>IF(H1660=1,IF(INDEX(tx_Cust,1654)&amp;""&lt;&gt;"",INDEX(tx_Cust,1654)&amp;"",INDEX(tx_Vend,1654)&amp;""),"")</f>
        <v/>
      </c>
      <c r="H1660" s="101">
        <f>IFERROR(N(INDEX(tx_Posted,1654)),0)</f>
        <v/>
      </c>
      <c r="I1660" s="58">
        <f>IF(H1660=1,INDEX(tx_DrAcct,1654)&amp;"","")</f>
        <v/>
      </c>
      <c r="J1660" s="95">
        <f>IF(H1660=1,INDEX(tx_DrAmt,1654),0)</f>
        <v/>
      </c>
      <c r="K1660" s="58">
        <f>IF(H1660=1,INDEX(tx_CrAcct,1654)&amp;"","")</f>
        <v/>
      </c>
      <c r="L1660" s="95">
        <f>IF(H1660=1,INDEX(tx_CrAmt,1654),0)</f>
        <v/>
      </c>
      <c r="M1660" s="95">
        <f>IF(H1660=1,INDEX(tx_TaxDr,1654),0)</f>
        <v/>
      </c>
      <c r="N1660" s="95">
        <f>IF(H1660=1,INDEX(tx_TaxCr,1654),0)</f>
        <v/>
      </c>
      <c r="O1660" s="101">
        <f>IF(H1660=1,IF(E1660&lt;FYStart,0,IF(E1660&gt;FYEnd,13,YEAR(E1660)*12+MONTH(E1660)-FYYM+1)),"")</f>
        <v/>
      </c>
      <c r="P1660" s="101">
        <f>IF(H1660=1,IF(IFERROR(INDEX(coa_CF,MATCH(I1660,coa_Name,0)),"")="Cash",1,0),0)</f>
        <v/>
      </c>
      <c r="Q1660" s="101">
        <f>IF(H1660=1,IF(IFERROR(INDEX(coa_CF,MATCH(K1660,coa_Name,0)),"")="Cash",1,0),0)</f>
        <v/>
      </c>
      <c r="R1660" s="58">
        <f>IF((P1660-Q1660)=0,"",IFERROR(INDEX(coa_CF,MATCH(IF((P1660-Q1660)=1,K1660,I1660),coa_Name,0)),"Operating"))</f>
        <v/>
      </c>
      <c r="S1660" s="95">
        <f>IF((P1660-Q1660)=1,L1660,IF((P1660-Q1660)=-1,-J1660,0))</f>
        <v/>
      </c>
      <c r="T1660" s="95">
        <f>IF((P1660-Q1660)=1,N1660,IF((P1660-Q1660)=-1,-M1660,0))</f>
        <v/>
      </c>
      <c r="U1660" s="101">
        <f>IF(AND(H1660=1,LedAcct&lt;&gt;""),IF(AND(E1660&gt;=LedFrom,E1660&lt;=LedTo,OR(I1660=LedAcct,K1660=LedAcct,AND(LedAcct=acctTax,M1660+N1660&lt;&gt;0))),E1660*10000+B1660,""),"")</f>
        <v/>
      </c>
    </row>
    <row r="1661">
      <c r="B1661" s="101" t="n">
        <v>1655</v>
      </c>
      <c r="C1661" s="58" t="inlineStr">
        <is>
          <t>Transaction</t>
        </is>
      </c>
      <c r="D1661" s="58">
        <f>IF(H1661=1,INDEX(tx_ID,1655)&amp;"","")</f>
        <v/>
      </c>
      <c r="E1661" s="94">
        <f>IF(H1661=1,INDEX(tx_Date,1655),"")</f>
        <v/>
      </c>
      <c r="F1661" s="58">
        <f>IF(H1661=1,INDEX(tx_Desc,1655)&amp;"","")</f>
        <v/>
      </c>
      <c r="G1661" s="58">
        <f>IF(H1661=1,IF(INDEX(tx_Cust,1655)&amp;""&lt;&gt;"",INDEX(tx_Cust,1655)&amp;"",INDEX(tx_Vend,1655)&amp;""),"")</f>
        <v/>
      </c>
      <c r="H1661" s="101">
        <f>IFERROR(N(INDEX(tx_Posted,1655)),0)</f>
        <v/>
      </c>
      <c r="I1661" s="58">
        <f>IF(H1661=1,INDEX(tx_DrAcct,1655)&amp;"","")</f>
        <v/>
      </c>
      <c r="J1661" s="95">
        <f>IF(H1661=1,INDEX(tx_DrAmt,1655),0)</f>
        <v/>
      </c>
      <c r="K1661" s="58">
        <f>IF(H1661=1,INDEX(tx_CrAcct,1655)&amp;"","")</f>
        <v/>
      </c>
      <c r="L1661" s="95">
        <f>IF(H1661=1,INDEX(tx_CrAmt,1655),0)</f>
        <v/>
      </c>
      <c r="M1661" s="95">
        <f>IF(H1661=1,INDEX(tx_TaxDr,1655),0)</f>
        <v/>
      </c>
      <c r="N1661" s="95">
        <f>IF(H1661=1,INDEX(tx_TaxCr,1655),0)</f>
        <v/>
      </c>
      <c r="O1661" s="101">
        <f>IF(H1661=1,IF(E1661&lt;FYStart,0,IF(E1661&gt;FYEnd,13,YEAR(E1661)*12+MONTH(E1661)-FYYM+1)),"")</f>
        <v/>
      </c>
      <c r="P1661" s="101">
        <f>IF(H1661=1,IF(IFERROR(INDEX(coa_CF,MATCH(I1661,coa_Name,0)),"")="Cash",1,0),0)</f>
        <v/>
      </c>
      <c r="Q1661" s="101">
        <f>IF(H1661=1,IF(IFERROR(INDEX(coa_CF,MATCH(K1661,coa_Name,0)),"")="Cash",1,0),0)</f>
        <v/>
      </c>
      <c r="R1661" s="58">
        <f>IF((P1661-Q1661)=0,"",IFERROR(INDEX(coa_CF,MATCH(IF((P1661-Q1661)=1,K1661,I1661),coa_Name,0)),"Operating"))</f>
        <v/>
      </c>
      <c r="S1661" s="95">
        <f>IF((P1661-Q1661)=1,L1661,IF((P1661-Q1661)=-1,-J1661,0))</f>
        <v/>
      </c>
      <c r="T1661" s="95">
        <f>IF((P1661-Q1661)=1,N1661,IF((P1661-Q1661)=-1,-M1661,0))</f>
        <v/>
      </c>
      <c r="U1661" s="101">
        <f>IF(AND(H1661=1,LedAcct&lt;&gt;""),IF(AND(E1661&gt;=LedFrom,E1661&lt;=LedTo,OR(I1661=LedAcct,K1661=LedAcct,AND(LedAcct=acctTax,M1661+N1661&lt;&gt;0))),E1661*10000+B1661,""),"")</f>
        <v/>
      </c>
    </row>
    <row r="1662">
      <c r="B1662" s="101" t="n">
        <v>1656</v>
      </c>
      <c r="C1662" s="58" t="inlineStr">
        <is>
          <t>Transaction</t>
        </is>
      </c>
      <c r="D1662" s="58">
        <f>IF(H1662=1,INDEX(tx_ID,1656)&amp;"","")</f>
        <v/>
      </c>
      <c r="E1662" s="94">
        <f>IF(H1662=1,INDEX(tx_Date,1656),"")</f>
        <v/>
      </c>
      <c r="F1662" s="58">
        <f>IF(H1662=1,INDEX(tx_Desc,1656)&amp;"","")</f>
        <v/>
      </c>
      <c r="G1662" s="58">
        <f>IF(H1662=1,IF(INDEX(tx_Cust,1656)&amp;""&lt;&gt;"",INDEX(tx_Cust,1656)&amp;"",INDEX(tx_Vend,1656)&amp;""),"")</f>
        <v/>
      </c>
      <c r="H1662" s="101">
        <f>IFERROR(N(INDEX(tx_Posted,1656)),0)</f>
        <v/>
      </c>
      <c r="I1662" s="58">
        <f>IF(H1662=1,INDEX(tx_DrAcct,1656)&amp;"","")</f>
        <v/>
      </c>
      <c r="J1662" s="95">
        <f>IF(H1662=1,INDEX(tx_DrAmt,1656),0)</f>
        <v/>
      </c>
      <c r="K1662" s="58">
        <f>IF(H1662=1,INDEX(tx_CrAcct,1656)&amp;"","")</f>
        <v/>
      </c>
      <c r="L1662" s="95">
        <f>IF(H1662=1,INDEX(tx_CrAmt,1656),0)</f>
        <v/>
      </c>
      <c r="M1662" s="95">
        <f>IF(H1662=1,INDEX(tx_TaxDr,1656),0)</f>
        <v/>
      </c>
      <c r="N1662" s="95">
        <f>IF(H1662=1,INDEX(tx_TaxCr,1656),0)</f>
        <v/>
      </c>
      <c r="O1662" s="101">
        <f>IF(H1662=1,IF(E1662&lt;FYStart,0,IF(E1662&gt;FYEnd,13,YEAR(E1662)*12+MONTH(E1662)-FYYM+1)),"")</f>
        <v/>
      </c>
      <c r="P1662" s="101">
        <f>IF(H1662=1,IF(IFERROR(INDEX(coa_CF,MATCH(I1662,coa_Name,0)),"")="Cash",1,0),0)</f>
        <v/>
      </c>
      <c r="Q1662" s="101">
        <f>IF(H1662=1,IF(IFERROR(INDEX(coa_CF,MATCH(K1662,coa_Name,0)),"")="Cash",1,0),0)</f>
        <v/>
      </c>
      <c r="R1662" s="58">
        <f>IF((P1662-Q1662)=0,"",IFERROR(INDEX(coa_CF,MATCH(IF((P1662-Q1662)=1,K1662,I1662),coa_Name,0)),"Operating"))</f>
        <v/>
      </c>
      <c r="S1662" s="95">
        <f>IF((P1662-Q1662)=1,L1662,IF((P1662-Q1662)=-1,-J1662,0))</f>
        <v/>
      </c>
      <c r="T1662" s="95">
        <f>IF((P1662-Q1662)=1,N1662,IF((P1662-Q1662)=-1,-M1662,0))</f>
        <v/>
      </c>
      <c r="U1662" s="101">
        <f>IF(AND(H1662=1,LedAcct&lt;&gt;""),IF(AND(E1662&gt;=LedFrom,E1662&lt;=LedTo,OR(I1662=LedAcct,K1662=LedAcct,AND(LedAcct=acctTax,M1662+N1662&lt;&gt;0))),E1662*10000+B1662,""),"")</f>
        <v/>
      </c>
    </row>
    <row r="1663">
      <c r="B1663" s="101" t="n">
        <v>1657</v>
      </c>
      <c r="C1663" s="58" t="inlineStr">
        <is>
          <t>Transaction</t>
        </is>
      </c>
      <c r="D1663" s="58">
        <f>IF(H1663=1,INDEX(tx_ID,1657)&amp;"","")</f>
        <v/>
      </c>
      <c r="E1663" s="94">
        <f>IF(H1663=1,INDEX(tx_Date,1657),"")</f>
        <v/>
      </c>
      <c r="F1663" s="58">
        <f>IF(H1663=1,INDEX(tx_Desc,1657)&amp;"","")</f>
        <v/>
      </c>
      <c r="G1663" s="58">
        <f>IF(H1663=1,IF(INDEX(tx_Cust,1657)&amp;""&lt;&gt;"",INDEX(tx_Cust,1657)&amp;"",INDEX(tx_Vend,1657)&amp;""),"")</f>
        <v/>
      </c>
      <c r="H1663" s="101">
        <f>IFERROR(N(INDEX(tx_Posted,1657)),0)</f>
        <v/>
      </c>
      <c r="I1663" s="58">
        <f>IF(H1663=1,INDEX(tx_DrAcct,1657)&amp;"","")</f>
        <v/>
      </c>
      <c r="J1663" s="95">
        <f>IF(H1663=1,INDEX(tx_DrAmt,1657),0)</f>
        <v/>
      </c>
      <c r="K1663" s="58">
        <f>IF(H1663=1,INDEX(tx_CrAcct,1657)&amp;"","")</f>
        <v/>
      </c>
      <c r="L1663" s="95">
        <f>IF(H1663=1,INDEX(tx_CrAmt,1657),0)</f>
        <v/>
      </c>
      <c r="M1663" s="95">
        <f>IF(H1663=1,INDEX(tx_TaxDr,1657),0)</f>
        <v/>
      </c>
      <c r="N1663" s="95">
        <f>IF(H1663=1,INDEX(tx_TaxCr,1657),0)</f>
        <v/>
      </c>
      <c r="O1663" s="101">
        <f>IF(H1663=1,IF(E1663&lt;FYStart,0,IF(E1663&gt;FYEnd,13,YEAR(E1663)*12+MONTH(E1663)-FYYM+1)),"")</f>
        <v/>
      </c>
      <c r="P1663" s="101">
        <f>IF(H1663=1,IF(IFERROR(INDEX(coa_CF,MATCH(I1663,coa_Name,0)),"")="Cash",1,0),0)</f>
        <v/>
      </c>
      <c r="Q1663" s="101">
        <f>IF(H1663=1,IF(IFERROR(INDEX(coa_CF,MATCH(K1663,coa_Name,0)),"")="Cash",1,0),0)</f>
        <v/>
      </c>
      <c r="R1663" s="58">
        <f>IF((P1663-Q1663)=0,"",IFERROR(INDEX(coa_CF,MATCH(IF((P1663-Q1663)=1,K1663,I1663),coa_Name,0)),"Operating"))</f>
        <v/>
      </c>
      <c r="S1663" s="95">
        <f>IF((P1663-Q1663)=1,L1663,IF((P1663-Q1663)=-1,-J1663,0))</f>
        <v/>
      </c>
      <c r="T1663" s="95">
        <f>IF((P1663-Q1663)=1,N1663,IF((P1663-Q1663)=-1,-M1663,0))</f>
        <v/>
      </c>
      <c r="U1663" s="101">
        <f>IF(AND(H1663=1,LedAcct&lt;&gt;""),IF(AND(E1663&gt;=LedFrom,E1663&lt;=LedTo,OR(I1663=LedAcct,K1663=LedAcct,AND(LedAcct=acctTax,M1663+N1663&lt;&gt;0))),E1663*10000+B1663,""),"")</f>
        <v/>
      </c>
    </row>
    <row r="1664">
      <c r="B1664" s="101" t="n">
        <v>1658</v>
      </c>
      <c r="C1664" s="58" t="inlineStr">
        <is>
          <t>Transaction</t>
        </is>
      </c>
      <c r="D1664" s="58">
        <f>IF(H1664=1,INDEX(tx_ID,1658)&amp;"","")</f>
        <v/>
      </c>
      <c r="E1664" s="94">
        <f>IF(H1664=1,INDEX(tx_Date,1658),"")</f>
        <v/>
      </c>
      <c r="F1664" s="58">
        <f>IF(H1664=1,INDEX(tx_Desc,1658)&amp;"","")</f>
        <v/>
      </c>
      <c r="G1664" s="58">
        <f>IF(H1664=1,IF(INDEX(tx_Cust,1658)&amp;""&lt;&gt;"",INDEX(tx_Cust,1658)&amp;"",INDEX(tx_Vend,1658)&amp;""),"")</f>
        <v/>
      </c>
      <c r="H1664" s="101">
        <f>IFERROR(N(INDEX(tx_Posted,1658)),0)</f>
        <v/>
      </c>
      <c r="I1664" s="58">
        <f>IF(H1664=1,INDEX(tx_DrAcct,1658)&amp;"","")</f>
        <v/>
      </c>
      <c r="J1664" s="95">
        <f>IF(H1664=1,INDEX(tx_DrAmt,1658),0)</f>
        <v/>
      </c>
      <c r="K1664" s="58">
        <f>IF(H1664=1,INDEX(tx_CrAcct,1658)&amp;"","")</f>
        <v/>
      </c>
      <c r="L1664" s="95">
        <f>IF(H1664=1,INDEX(tx_CrAmt,1658),0)</f>
        <v/>
      </c>
      <c r="M1664" s="95">
        <f>IF(H1664=1,INDEX(tx_TaxDr,1658),0)</f>
        <v/>
      </c>
      <c r="N1664" s="95">
        <f>IF(H1664=1,INDEX(tx_TaxCr,1658),0)</f>
        <v/>
      </c>
      <c r="O1664" s="101">
        <f>IF(H1664=1,IF(E1664&lt;FYStart,0,IF(E1664&gt;FYEnd,13,YEAR(E1664)*12+MONTH(E1664)-FYYM+1)),"")</f>
        <v/>
      </c>
      <c r="P1664" s="101">
        <f>IF(H1664=1,IF(IFERROR(INDEX(coa_CF,MATCH(I1664,coa_Name,0)),"")="Cash",1,0),0)</f>
        <v/>
      </c>
      <c r="Q1664" s="101">
        <f>IF(H1664=1,IF(IFERROR(INDEX(coa_CF,MATCH(K1664,coa_Name,0)),"")="Cash",1,0),0)</f>
        <v/>
      </c>
      <c r="R1664" s="58">
        <f>IF((P1664-Q1664)=0,"",IFERROR(INDEX(coa_CF,MATCH(IF((P1664-Q1664)=1,K1664,I1664),coa_Name,0)),"Operating"))</f>
        <v/>
      </c>
      <c r="S1664" s="95">
        <f>IF((P1664-Q1664)=1,L1664,IF((P1664-Q1664)=-1,-J1664,0))</f>
        <v/>
      </c>
      <c r="T1664" s="95">
        <f>IF((P1664-Q1664)=1,N1664,IF((P1664-Q1664)=-1,-M1664,0))</f>
        <v/>
      </c>
      <c r="U1664" s="101">
        <f>IF(AND(H1664=1,LedAcct&lt;&gt;""),IF(AND(E1664&gt;=LedFrom,E1664&lt;=LedTo,OR(I1664=LedAcct,K1664=LedAcct,AND(LedAcct=acctTax,M1664+N1664&lt;&gt;0))),E1664*10000+B1664,""),"")</f>
        <v/>
      </c>
    </row>
    <row r="1665">
      <c r="B1665" s="101" t="n">
        <v>1659</v>
      </c>
      <c r="C1665" s="58" t="inlineStr">
        <is>
          <t>Transaction</t>
        </is>
      </c>
      <c r="D1665" s="58">
        <f>IF(H1665=1,INDEX(tx_ID,1659)&amp;"","")</f>
        <v/>
      </c>
      <c r="E1665" s="94">
        <f>IF(H1665=1,INDEX(tx_Date,1659),"")</f>
        <v/>
      </c>
      <c r="F1665" s="58">
        <f>IF(H1665=1,INDEX(tx_Desc,1659)&amp;"","")</f>
        <v/>
      </c>
      <c r="G1665" s="58">
        <f>IF(H1665=1,IF(INDEX(tx_Cust,1659)&amp;""&lt;&gt;"",INDEX(tx_Cust,1659)&amp;"",INDEX(tx_Vend,1659)&amp;""),"")</f>
        <v/>
      </c>
      <c r="H1665" s="101">
        <f>IFERROR(N(INDEX(tx_Posted,1659)),0)</f>
        <v/>
      </c>
      <c r="I1665" s="58">
        <f>IF(H1665=1,INDEX(tx_DrAcct,1659)&amp;"","")</f>
        <v/>
      </c>
      <c r="J1665" s="95">
        <f>IF(H1665=1,INDEX(tx_DrAmt,1659),0)</f>
        <v/>
      </c>
      <c r="K1665" s="58">
        <f>IF(H1665=1,INDEX(tx_CrAcct,1659)&amp;"","")</f>
        <v/>
      </c>
      <c r="L1665" s="95">
        <f>IF(H1665=1,INDEX(tx_CrAmt,1659),0)</f>
        <v/>
      </c>
      <c r="M1665" s="95">
        <f>IF(H1665=1,INDEX(tx_TaxDr,1659),0)</f>
        <v/>
      </c>
      <c r="N1665" s="95">
        <f>IF(H1665=1,INDEX(tx_TaxCr,1659),0)</f>
        <v/>
      </c>
      <c r="O1665" s="101">
        <f>IF(H1665=1,IF(E1665&lt;FYStart,0,IF(E1665&gt;FYEnd,13,YEAR(E1665)*12+MONTH(E1665)-FYYM+1)),"")</f>
        <v/>
      </c>
      <c r="P1665" s="101">
        <f>IF(H1665=1,IF(IFERROR(INDEX(coa_CF,MATCH(I1665,coa_Name,0)),"")="Cash",1,0),0)</f>
        <v/>
      </c>
      <c r="Q1665" s="101">
        <f>IF(H1665=1,IF(IFERROR(INDEX(coa_CF,MATCH(K1665,coa_Name,0)),"")="Cash",1,0),0)</f>
        <v/>
      </c>
      <c r="R1665" s="58">
        <f>IF((P1665-Q1665)=0,"",IFERROR(INDEX(coa_CF,MATCH(IF((P1665-Q1665)=1,K1665,I1665),coa_Name,0)),"Operating"))</f>
        <v/>
      </c>
      <c r="S1665" s="95">
        <f>IF((P1665-Q1665)=1,L1665,IF((P1665-Q1665)=-1,-J1665,0))</f>
        <v/>
      </c>
      <c r="T1665" s="95">
        <f>IF((P1665-Q1665)=1,N1665,IF((P1665-Q1665)=-1,-M1665,0))</f>
        <v/>
      </c>
      <c r="U1665" s="101">
        <f>IF(AND(H1665=1,LedAcct&lt;&gt;""),IF(AND(E1665&gt;=LedFrom,E1665&lt;=LedTo,OR(I1665=LedAcct,K1665=LedAcct,AND(LedAcct=acctTax,M1665+N1665&lt;&gt;0))),E1665*10000+B1665,""),"")</f>
        <v/>
      </c>
    </row>
    <row r="1666">
      <c r="B1666" s="101" t="n">
        <v>1660</v>
      </c>
      <c r="C1666" s="58" t="inlineStr">
        <is>
          <t>Transaction</t>
        </is>
      </c>
      <c r="D1666" s="58">
        <f>IF(H1666=1,INDEX(tx_ID,1660)&amp;"","")</f>
        <v/>
      </c>
      <c r="E1666" s="94">
        <f>IF(H1666=1,INDEX(tx_Date,1660),"")</f>
        <v/>
      </c>
      <c r="F1666" s="58">
        <f>IF(H1666=1,INDEX(tx_Desc,1660)&amp;"","")</f>
        <v/>
      </c>
      <c r="G1666" s="58">
        <f>IF(H1666=1,IF(INDEX(tx_Cust,1660)&amp;""&lt;&gt;"",INDEX(tx_Cust,1660)&amp;"",INDEX(tx_Vend,1660)&amp;""),"")</f>
        <v/>
      </c>
      <c r="H1666" s="101">
        <f>IFERROR(N(INDEX(tx_Posted,1660)),0)</f>
        <v/>
      </c>
      <c r="I1666" s="58">
        <f>IF(H1666=1,INDEX(tx_DrAcct,1660)&amp;"","")</f>
        <v/>
      </c>
      <c r="J1666" s="95">
        <f>IF(H1666=1,INDEX(tx_DrAmt,1660),0)</f>
        <v/>
      </c>
      <c r="K1666" s="58">
        <f>IF(H1666=1,INDEX(tx_CrAcct,1660)&amp;"","")</f>
        <v/>
      </c>
      <c r="L1666" s="95">
        <f>IF(H1666=1,INDEX(tx_CrAmt,1660),0)</f>
        <v/>
      </c>
      <c r="M1666" s="95">
        <f>IF(H1666=1,INDEX(tx_TaxDr,1660),0)</f>
        <v/>
      </c>
      <c r="N1666" s="95">
        <f>IF(H1666=1,INDEX(tx_TaxCr,1660),0)</f>
        <v/>
      </c>
      <c r="O1666" s="101">
        <f>IF(H1666=1,IF(E1666&lt;FYStart,0,IF(E1666&gt;FYEnd,13,YEAR(E1666)*12+MONTH(E1666)-FYYM+1)),"")</f>
        <v/>
      </c>
      <c r="P1666" s="101">
        <f>IF(H1666=1,IF(IFERROR(INDEX(coa_CF,MATCH(I1666,coa_Name,0)),"")="Cash",1,0),0)</f>
        <v/>
      </c>
      <c r="Q1666" s="101">
        <f>IF(H1666=1,IF(IFERROR(INDEX(coa_CF,MATCH(K1666,coa_Name,0)),"")="Cash",1,0),0)</f>
        <v/>
      </c>
      <c r="R1666" s="58">
        <f>IF((P1666-Q1666)=0,"",IFERROR(INDEX(coa_CF,MATCH(IF((P1666-Q1666)=1,K1666,I1666),coa_Name,0)),"Operating"))</f>
        <v/>
      </c>
      <c r="S1666" s="95">
        <f>IF((P1666-Q1666)=1,L1666,IF((P1666-Q1666)=-1,-J1666,0))</f>
        <v/>
      </c>
      <c r="T1666" s="95">
        <f>IF((P1666-Q1666)=1,N1666,IF((P1666-Q1666)=-1,-M1666,0))</f>
        <v/>
      </c>
      <c r="U1666" s="101">
        <f>IF(AND(H1666=1,LedAcct&lt;&gt;""),IF(AND(E1666&gt;=LedFrom,E1666&lt;=LedTo,OR(I1666=LedAcct,K1666=LedAcct,AND(LedAcct=acctTax,M1666+N1666&lt;&gt;0))),E1666*10000+B1666,""),"")</f>
        <v/>
      </c>
    </row>
    <row r="1667">
      <c r="B1667" s="101" t="n">
        <v>1661</v>
      </c>
      <c r="C1667" s="58" t="inlineStr">
        <is>
          <t>Transaction</t>
        </is>
      </c>
      <c r="D1667" s="58">
        <f>IF(H1667=1,INDEX(tx_ID,1661)&amp;"","")</f>
        <v/>
      </c>
      <c r="E1667" s="94">
        <f>IF(H1667=1,INDEX(tx_Date,1661),"")</f>
        <v/>
      </c>
      <c r="F1667" s="58">
        <f>IF(H1667=1,INDEX(tx_Desc,1661)&amp;"","")</f>
        <v/>
      </c>
      <c r="G1667" s="58">
        <f>IF(H1667=1,IF(INDEX(tx_Cust,1661)&amp;""&lt;&gt;"",INDEX(tx_Cust,1661)&amp;"",INDEX(tx_Vend,1661)&amp;""),"")</f>
        <v/>
      </c>
      <c r="H1667" s="101">
        <f>IFERROR(N(INDEX(tx_Posted,1661)),0)</f>
        <v/>
      </c>
      <c r="I1667" s="58">
        <f>IF(H1667=1,INDEX(tx_DrAcct,1661)&amp;"","")</f>
        <v/>
      </c>
      <c r="J1667" s="95">
        <f>IF(H1667=1,INDEX(tx_DrAmt,1661),0)</f>
        <v/>
      </c>
      <c r="K1667" s="58">
        <f>IF(H1667=1,INDEX(tx_CrAcct,1661)&amp;"","")</f>
        <v/>
      </c>
      <c r="L1667" s="95">
        <f>IF(H1667=1,INDEX(tx_CrAmt,1661),0)</f>
        <v/>
      </c>
      <c r="M1667" s="95">
        <f>IF(H1667=1,INDEX(tx_TaxDr,1661),0)</f>
        <v/>
      </c>
      <c r="N1667" s="95">
        <f>IF(H1667=1,INDEX(tx_TaxCr,1661),0)</f>
        <v/>
      </c>
      <c r="O1667" s="101">
        <f>IF(H1667=1,IF(E1667&lt;FYStart,0,IF(E1667&gt;FYEnd,13,YEAR(E1667)*12+MONTH(E1667)-FYYM+1)),"")</f>
        <v/>
      </c>
      <c r="P1667" s="101">
        <f>IF(H1667=1,IF(IFERROR(INDEX(coa_CF,MATCH(I1667,coa_Name,0)),"")="Cash",1,0),0)</f>
        <v/>
      </c>
      <c r="Q1667" s="101">
        <f>IF(H1667=1,IF(IFERROR(INDEX(coa_CF,MATCH(K1667,coa_Name,0)),"")="Cash",1,0),0)</f>
        <v/>
      </c>
      <c r="R1667" s="58">
        <f>IF((P1667-Q1667)=0,"",IFERROR(INDEX(coa_CF,MATCH(IF((P1667-Q1667)=1,K1667,I1667),coa_Name,0)),"Operating"))</f>
        <v/>
      </c>
      <c r="S1667" s="95">
        <f>IF((P1667-Q1667)=1,L1667,IF((P1667-Q1667)=-1,-J1667,0))</f>
        <v/>
      </c>
      <c r="T1667" s="95">
        <f>IF((P1667-Q1667)=1,N1667,IF((P1667-Q1667)=-1,-M1667,0))</f>
        <v/>
      </c>
      <c r="U1667" s="101">
        <f>IF(AND(H1667=1,LedAcct&lt;&gt;""),IF(AND(E1667&gt;=LedFrom,E1667&lt;=LedTo,OR(I1667=LedAcct,K1667=LedAcct,AND(LedAcct=acctTax,M1667+N1667&lt;&gt;0))),E1667*10000+B1667,""),"")</f>
        <v/>
      </c>
    </row>
    <row r="1668">
      <c r="B1668" s="101" t="n">
        <v>1662</v>
      </c>
      <c r="C1668" s="58" t="inlineStr">
        <is>
          <t>Transaction</t>
        </is>
      </c>
      <c r="D1668" s="58">
        <f>IF(H1668=1,INDEX(tx_ID,1662)&amp;"","")</f>
        <v/>
      </c>
      <c r="E1668" s="94">
        <f>IF(H1668=1,INDEX(tx_Date,1662),"")</f>
        <v/>
      </c>
      <c r="F1668" s="58">
        <f>IF(H1668=1,INDEX(tx_Desc,1662)&amp;"","")</f>
        <v/>
      </c>
      <c r="G1668" s="58">
        <f>IF(H1668=1,IF(INDEX(tx_Cust,1662)&amp;""&lt;&gt;"",INDEX(tx_Cust,1662)&amp;"",INDEX(tx_Vend,1662)&amp;""),"")</f>
        <v/>
      </c>
      <c r="H1668" s="101">
        <f>IFERROR(N(INDEX(tx_Posted,1662)),0)</f>
        <v/>
      </c>
      <c r="I1668" s="58">
        <f>IF(H1668=1,INDEX(tx_DrAcct,1662)&amp;"","")</f>
        <v/>
      </c>
      <c r="J1668" s="95">
        <f>IF(H1668=1,INDEX(tx_DrAmt,1662),0)</f>
        <v/>
      </c>
      <c r="K1668" s="58">
        <f>IF(H1668=1,INDEX(tx_CrAcct,1662)&amp;"","")</f>
        <v/>
      </c>
      <c r="L1668" s="95">
        <f>IF(H1668=1,INDEX(tx_CrAmt,1662),0)</f>
        <v/>
      </c>
      <c r="M1668" s="95">
        <f>IF(H1668=1,INDEX(tx_TaxDr,1662),0)</f>
        <v/>
      </c>
      <c r="N1668" s="95">
        <f>IF(H1668=1,INDEX(tx_TaxCr,1662),0)</f>
        <v/>
      </c>
      <c r="O1668" s="101">
        <f>IF(H1668=1,IF(E1668&lt;FYStart,0,IF(E1668&gt;FYEnd,13,YEAR(E1668)*12+MONTH(E1668)-FYYM+1)),"")</f>
        <v/>
      </c>
      <c r="P1668" s="101">
        <f>IF(H1668=1,IF(IFERROR(INDEX(coa_CF,MATCH(I1668,coa_Name,0)),"")="Cash",1,0),0)</f>
        <v/>
      </c>
      <c r="Q1668" s="101">
        <f>IF(H1668=1,IF(IFERROR(INDEX(coa_CF,MATCH(K1668,coa_Name,0)),"")="Cash",1,0),0)</f>
        <v/>
      </c>
      <c r="R1668" s="58">
        <f>IF((P1668-Q1668)=0,"",IFERROR(INDEX(coa_CF,MATCH(IF((P1668-Q1668)=1,K1668,I1668),coa_Name,0)),"Operating"))</f>
        <v/>
      </c>
      <c r="S1668" s="95">
        <f>IF((P1668-Q1668)=1,L1668,IF((P1668-Q1668)=-1,-J1668,0))</f>
        <v/>
      </c>
      <c r="T1668" s="95">
        <f>IF((P1668-Q1668)=1,N1668,IF((P1668-Q1668)=-1,-M1668,0))</f>
        <v/>
      </c>
      <c r="U1668" s="101">
        <f>IF(AND(H1668=1,LedAcct&lt;&gt;""),IF(AND(E1668&gt;=LedFrom,E1668&lt;=LedTo,OR(I1668=LedAcct,K1668=LedAcct,AND(LedAcct=acctTax,M1668+N1668&lt;&gt;0))),E1668*10000+B1668,""),"")</f>
        <v/>
      </c>
    </row>
    <row r="1669">
      <c r="B1669" s="101" t="n">
        <v>1663</v>
      </c>
      <c r="C1669" s="58" t="inlineStr">
        <is>
          <t>Transaction</t>
        </is>
      </c>
      <c r="D1669" s="58">
        <f>IF(H1669=1,INDEX(tx_ID,1663)&amp;"","")</f>
        <v/>
      </c>
      <c r="E1669" s="94">
        <f>IF(H1669=1,INDEX(tx_Date,1663),"")</f>
        <v/>
      </c>
      <c r="F1669" s="58">
        <f>IF(H1669=1,INDEX(tx_Desc,1663)&amp;"","")</f>
        <v/>
      </c>
      <c r="G1669" s="58">
        <f>IF(H1669=1,IF(INDEX(tx_Cust,1663)&amp;""&lt;&gt;"",INDEX(tx_Cust,1663)&amp;"",INDEX(tx_Vend,1663)&amp;""),"")</f>
        <v/>
      </c>
      <c r="H1669" s="101">
        <f>IFERROR(N(INDEX(tx_Posted,1663)),0)</f>
        <v/>
      </c>
      <c r="I1669" s="58">
        <f>IF(H1669=1,INDEX(tx_DrAcct,1663)&amp;"","")</f>
        <v/>
      </c>
      <c r="J1669" s="95">
        <f>IF(H1669=1,INDEX(tx_DrAmt,1663),0)</f>
        <v/>
      </c>
      <c r="K1669" s="58">
        <f>IF(H1669=1,INDEX(tx_CrAcct,1663)&amp;"","")</f>
        <v/>
      </c>
      <c r="L1669" s="95">
        <f>IF(H1669=1,INDEX(tx_CrAmt,1663),0)</f>
        <v/>
      </c>
      <c r="M1669" s="95">
        <f>IF(H1669=1,INDEX(tx_TaxDr,1663),0)</f>
        <v/>
      </c>
      <c r="N1669" s="95">
        <f>IF(H1669=1,INDEX(tx_TaxCr,1663),0)</f>
        <v/>
      </c>
      <c r="O1669" s="101">
        <f>IF(H1669=1,IF(E1669&lt;FYStart,0,IF(E1669&gt;FYEnd,13,YEAR(E1669)*12+MONTH(E1669)-FYYM+1)),"")</f>
        <v/>
      </c>
      <c r="P1669" s="101">
        <f>IF(H1669=1,IF(IFERROR(INDEX(coa_CF,MATCH(I1669,coa_Name,0)),"")="Cash",1,0),0)</f>
        <v/>
      </c>
      <c r="Q1669" s="101">
        <f>IF(H1669=1,IF(IFERROR(INDEX(coa_CF,MATCH(K1669,coa_Name,0)),"")="Cash",1,0),0)</f>
        <v/>
      </c>
      <c r="R1669" s="58">
        <f>IF((P1669-Q1669)=0,"",IFERROR(INDEX(coa_CF,MATCH(IF((P1669-Q1669)=1,K1669,I1669),coa_Name,0)),"Operating"))</f>
        <v/>
      </c>
      <c r="S1669" s="95">
        <f>IF((P1669-Q1669)=1,L1669,IF((P1669-Q1669)=-1,-J1669,0))</f>
        <v/>
      </c>
      <c r="T1669" s="95">
        <f>IF((P1669-Q1669)=1,N1669,IF((P1669-Q1669)=-1,-M1669,0))</f>
        <v/>
      </c>
      <c r="U1669" s="101">
        <f>IF(AND(H1669=1,LedAcct&lt;&gt;""),IF(AND(E1669&gt;=LedFrom,E1669&lt;=LedTo,OR(I1669=LedAcct,K1669=LedAcct,AND(LedAcct=acctTax,M1669+N1669&lt;&gt;0))),E1669*10000+B1669,""),"")</f>
        <v/>
      </c>
    </row>
    <row r="1670">
      <c r="B1670" s="101" t="n">
        <v>1664</v>
      </c>
      <c r="C1670" s="58" t="inlineStr">
        <is>
          <t>Transaction</t>
        </is>
      </c>
      <c r="D1670" s="58">
        <f>IF(H1670=1,INDEX(tx_ID,1664)&amp;"","")</f>
        <v/>
      </c>
      <c r="E1670" s="94">
        <f>IF(H1670=1,INDEX(tx_Date,1664),"")</f>
        <v/>
      </c>
      <c r="F1670" s="58">
        <f>IF(H1670=1,INDEX(tx_Desc,1664)&amp;"","")</f>
        <v/>
      </c>
      <c r="G1670" s="58">
        <f>IF(H1670=1,IF(INDEX(tx_Cust,1664)&amp;""&lt;&gt;"",INDEX(tx_Cust,1664)&amp;"",INDEX(tx_Vend,1664)&amp;""),"")</f>
        <v/>
      </c>
      <c r="H1670" s="101">
        <f>IFERROR(N(INDEX(tx_Posted,1664)),0)</f>
        <v/>
      </c>
      <c r="I1670" s="58">
        <f>IF(H1670=1,INDEX(tx_DrAcct,1664)&amp;"","")</f>
        <v/>
      </c>
      <c r="J1670" s="95">
        <f>IF(H1670=1,INDEX(tx_DrAmt,1664),0)</f>
        <v/>
      </c>
      <c r="K1670" s="58">
        <f>IF(H1670=1,INDEX(tx_CrAcct,1664)&amp;"","")</f>
        <v/>
      </c>
      <c r="L1670" s="95">
        <f>IF(H1670=1,INDEX(tx_CrAmt,1664),0)</f>
        <v/>
      </c>
      <c r="M1670" s="95">
        <f>IF(H1670=1,INDEX(tx_TaxDr,1664),0)</f>
        <v/>
      </c>
      <c r="N1670" s="95">
        <f>IF(H1670=1,INDEX(tx_TaxCr,1664),0)</f>
        <v/>
      </c>
      <c r="O1670" s="101">
        <f>IF(H1670=1,IF(E1670&lt;FYStart,0,IF(E1670&gt;FYEnd,13,YEAR(E1670)*12+MONTH(E1670)-FYYM+1)),"")</f>
        <v/>
      </c>
      <c r="P1670" s="101">
        <f>IF(H1670=1,IF(IFERROR(INDEX(coa_CF,MATCH(I1670,coa_Name,0)),"")="Cash",1,0),0)</f>
        <v/>
      </c>
      <c r="Q1670" s="101">
        <f>IF(H1670=1,IF(IFERROR(INDEX(coa_CF,MATCH(K1670,coa_Name,0)),"")="Cash",1,0),0)</f>
        <v/>
      </c>
      <c r="R1670" s="58">
        <f>IF((P1670-Q1670)=0,"",IFERROR(INDEX(coa_CF,MATCH(IF((P1670-Q1670)=1,K1670,I1670),coa_Name,0)),"Operating"))</f>
        <v/>
      </c>
      <c r="S1670" s="95">
        <f>IF((P1670-Q1670)=1,L1670,IF((P1670-Q1670)=-1,-J1670,0))</f>
        <v/>
      </c>
      <c r="T1670" s="95">
        <f>IF((P1670-Q1670)=1,N1670,IF((P1670-Q1670)=-1,-M1670,0))</f>
        <v/>
      </c>
      <c r="U1670" s="101">
        <f>IF(AND(H1670=1,LedAcct&lt;&gt;""),IF(AND(E1670&gt;=LedFrom,E1670&lt;=LedTo,OR(I1670=LedAcct,K1670=LedAcct,AND(LedAcct=acctTax,M1670+N1670&lt;&gt;0))),E1670*10000+B1670,""),"")</f>
        <v/>
      </c>
    </row>
    <row r="1671">
      <c r="B1671" s="101" t="n">
        <v>1665</v>
      </c>
      <c r="C1671" s="58" t="inlineStr">
        <is>
          <t>Transaction</t>
        </is>
      </c>
      <c r="D1671" s="58">
        <f>IF(H1671=1,INDEX(tx_ID,1665)&amp;"","")</f>
        <v/>
      </c>
      <c r="E1671" s="94">
        <f>IF(H1671=1,INDEX(tx_Date,1665),"")</f>
        <v/>
      </c>
      <c r="F1671" s="58">
        <f>IF(H1671=1,INDEX(tx_Desc,1665)&amp;"","")</f>
        <v/>
      </c>
      <c r="G1671" s="58">
        <f>IF(H1671=1,IF(INDEX(tx_Cust,1665)&amp;""&lt;&gt;"",INDEX(tx_Cust,1665)&amp;"",INDEX(tx_Vend,1665)&amp;""),"")</f>
        <v/>
      </c>
      <c r="H1671" s="101">
        <f>IFERROR(N(INDEX(tx_Posted,1665)),0)</f>
        <v/>
      </c>
      <c r="I1671" s="58">
        <f>IF(H1671=1,INDEX(tx_DrAcct,1665)&amp;"","")</f>
        <v/>
      </c>
      <c r="J1671" s="95">
        <f>IF(H1671=1,INDEX(tx_DrAmt,1665),0)</f>
        <v/>
      </c>
      <c r="K1671" s="58">
        <f>IF(H1671=1,INDEX(tx_CrAcct,1665)&amp;"","")</f>
        <v/>
      </c>
      <c r="L1671" s="95">
        <f>IF(H1671=1,INDEX(tx_CrAmt,1665),0)</f>
        <v/>
      </c>
      <c r="M1671" s="95">
        <f>IF(H1671=1,INDEX(tx_TaxDr,1665),0)</f>
        <v/>
      </c>
      <c r="N1671" s="95">
        <f>IF(H1671=1,INDEX(tx_TaxCr,1665),0)</f>
        <v/>
      </c>
      <c r="O1671" s="101">
        <f>IF(H1671=1,IF(E1671&lt;FYStart,0,IF(E1671&gt;FYEnd,13,YEAR(E1671)*12+MONTH(E1671)-FYYM+1)),"")</f>
        <v/>
      </c>
      <c r="P1671" s="101">
        <f>IF(H1671=1,IF(IFERROR(INDEX(coa_CF,MATCH(I1671,coa_Name,0)),"")="Cash",1,0),0)</f>
        <v/>
      </c>
      <c r="Q1671" s="101">
        <f>IF(H1671=1,IF(IFERROR(INDEX(coa_CF,MATCH(K1671,coa_Name,0)),"")="Cash",1,0),0)</f>
        <v/>
      </c>
      <c r="R1671" s="58">
        <f>IF((P1671-Q1671)=0,"",IFERROR(INDEX(coa_CF,MATCH(IF((P1671-Q1671)=1,K1671,I1671),coa_Name,0)),"Operating"))</f>
        <v/>
      </c>
      <c r="S1671" s="95">
        <f>IF((P1671-Q1671)=1,L1671,IF((P1671-Q1671)=-1,-J1671,0))</f>
        <v/>
      </c>
      <c r="T1671" s="95">
        <f>IF((P1671-Q1671)=1,N1671,IF((P1671-Q1671)=-1,-M1671,0))</f>
        <v/>
      </c>
      <c r="U1671" s="101">
        <f>IF(AND(H1671=1,LedAcct&lt;&gt;""),IF(AND(E1671&gt;=LedFrom,E1671&lt;=LedTo,OR(I1671=LedAcct,K1671=LedAcct,AND(LedAcct=acctTax,M1671+N1671&lt;&gt;0))),E1671*10000+B1671,""),"")</f>
        <v/>
      </c>
    </row>
    <row r="1672">
      <c r="B1672" s="101" t="n">
        <v>1666</v>
      </c>
      <c r="C1672" s="58" t="inlineStr">
        <is>
          <t>Transaction</t>
        </is>
      </c>
      <c r="D1672" s="58">
        <f>IF(H1672=1,INDEX(tx_ID,1666)&amp;"","")</f>
        <v/>
      </c>
      <c r="E1672" s="94">
        <f>IF(H1672=1,INDEX(tx_Date,1666),"")</f>
        <v/>
      </c>
      <c r="F1672" s="58">
        <f>IF(H1672=1,INDEX(tx_Desc,1666)&amp;"","")</f>
        <v/>
      </c>
      <c r="G1672" s="58">
        <f>IF(H1672=1,IF(INDEX(tx_Cust,1666)&amp;""&lt;&gt;"",INDEX(tx_Cust,1666)&amp;"",INDEX(tx_Vend,1666)&amp;""),"")</f>
        <v/>
      </c>
      <c r="H1672" s="101">
        <f>IFERROR(N(INDEX(tx_Posted,1666)),0)</f>
        <v/>
      </c>
      <c r="I1672" s="58">
        <f>IF(H1672=1,INDEX(tx_DrAcct,1666)&amp;"","")</f>
        <v/>
      </c>
      <c r="J1672" s="95">
        <f>IF(H1672=1,INDEX(tx_DrAmt,1666),0)</f>
        <v/>
      </c>
      <c r="K1672" s="58">
        <f>IF(H1672=1,INDEX(tx_CrAcct,1666)&amp;"","")</f>
        <v/>
      </c>
      <c r="L1672" s="95">
        <f>IF(H1672=1,INDEX(tx_CrAmt,1666),0)</f>
        <v/>
      </c>
      <c r="M1672" s="95">
        <f>IF(H1672=1,INDEX(tx_TaxDr,1666),0)</f>
        <v/>
      </c>
      <c r="N1672" s="95">
        <f>IF(H1672=1,INDEX(tx_TaxCr,1666),0)</f>
        <v/>
      </c>
      <c r="O1672" s="101">
        <f>IF(H1672=1,IF(E1672&lt;FYStart,0,IF(E1672&gt;FYEnd,13,YEAR(E1672)*12+MONTH(E1672)-FYYM+1)),"")</f>
        <v/>
      </c>
      <c r="P1672" s="101">
        <f>IF(H1672=1,IF(IFERROR(INDEX(coa_CF,MATCH(I1672,coa_Name,0)),"")="Cash",1,0),0)</f>
        <v/>
      </c>
      <c r="Q1672" s="101">
        <f>IF(H1672=1,IF(IFERROR(INDEX(coa_CF,MATCH(K1672,coa_Name,0)),"")="Cash",1,0),0)</f>
        <v/>
      </c>
      <c r="R1672" s="58">
        <f>IF((P1672-Q1672)=0,"",IFERROR(INDEX(coa_CF,MATCH(IF((P1672-Q1672)=1,K1672,I1672),coa_Name,0)),"Operating"))</f>
        <v/>
      </c>
      <c r="S1672" s="95">
        <f>IF((P1672-Q1672)=1,L1672,IF((P1672-Q1672)=-1,-J1672,0))</f>
        <v/>
      </c>
      <c r="T1672" s="95">
        <f>IF((P1672-Q1672)=1,N1672,IF((P1672-Q1672)=-1,-M1672,0))</f>
        <v/>
      </c>
      <c r="U1672" s="101">
        <f>IF(AND(H1672=1,LedAcct&lt;&gt;""),IF(AND(E1672&gt;=LedFrom,E1672&lt;=LedTo,OR(I1672=LedAcct,K1672=LedAcct,AND(LedAcct=acctTax,M1672+N1672&lt;&gt;0))),E1672*10000+B1672,""),"")</f>
        <v/>
      </c>
    </row>
    <row r="1673">
      <c r="B1673" s="101" t="n">
        <v>1667</v>
      </c>
      <c r="C1673" s="58" t="inlineStr">
        <is>
          <t>Transaction</t>
        </is>
      </c>
      <c r="D1673" s="58">
        <f>IF(H1673=1,INDEX(tx_ID,1667)&amp;"","")</f>
        <v/>
      </c>
      <c r="E1673" s="94">
        <f>IF(H1673=1,INDEX(tx_Date,1667),"")</f>
        <v/>
      </c>
      <c r="F1673" s="58">
        <f>IF(H1673=1,INDEX(tx_Desc,1667)&amp;"","")</f>
        <v/>
      </c>
      <c r="G1673" s="58">
        <f>IF(H1673=1,IF(INDEX(tx_Cust,1667)&amp;""&lt;&gt;"",INDEX(tx_Cust,1667)&amp;"",INDEX(tx_Vend,1667)&amp;""),"")</f>
        <v/>
      </c>
      <c r="H1673" s="101">
        <f>IFERROR(N(INDEX(tx_Posted,1667)),0)</f>
        <v/>
      </c>
      <c r="I1673" s="58">
        <f>IF(H1673=1,INDEX(tx_DrAcct,1667)&amp;"","")</f>
        <v/>
      </c>
      <c r="J1673" s="95">
        <f>IF(H1673=1,INDEX(tx_DrAmt,1667),0)</f>
        <v/>
      </c>
      <c r="K1673" s="58">
        <f>IF(H1673=1,INDEX(tx_CrAcct,1667)&amp;"","")</f>
        <v/>
      </c>
      <c r="L1673" s="95">
        <f>IF(H1673=1,INDEX(tx_CrAmt,1667),0)</f>
        <v/>
      </c>
      <c r="M1673" s="95">
        <f>IF(H1673=1,INDEX(tx_TaxDr,1667),0)</f>
        <v/>
      </c>
      <c r="N1673" s="95">
        <f>IF(H1673=1,INDEX(tx_TaxCr,1667),0)</f>
        <v/>
      </c>
      <c r="O1673" s="101">
        <f>IF(H1673=1,IF(E1673&lt;FYStart,0,IF(E1673&gt;FYEnd,13,YEAR(E1673)*12+MONTH(E1673)-FYYM+1)),"")</f>
        <v/>
      </c>
      <c r="P1673" s="101">
        <f>IF(H1673=1,IF(IFERROR(INDEX(coa_CF,MATCH(I1673,coa_Name,0)),"")="Cash",1,0),0)</f>
        <v/>
      </c>
      <c r="Q1673" s="101">
        <f>IF(H1673=1,IF(IFERROR(INDEX(coa_CF,MATCH(K1673,coa_Name,0)),"")="Cash",1,0),0)</f>
        <v/>
      </c>
      <c r="R1673" s="58">
        <f>IF((P1673-Q1673)=0,"",IFERROR(INDEX(coa_CF,MATCH(IF((P1673-Q1673)=1,K1673,I1673),coa_Name,0)),"Operating"))</f>
        <v/>
      </c>
      <c r="S1673" s="95">
        <f>IF((P1673-Q1673)=1,L1673,IF((P1673-Q1673)=-1,-J1673,0))</f>
        <v/>
      </c>
      <c r="T1673" s="95">
        <f>IF((P1673-Q1673)=1,N1673,IF((P1673-Q1673)=-1,-M1673,0))</f>
        <v/>
      </c>
      <c r="U1673" s="101">
        <f>IF(AND(H1673=1,LedAcct&lt;&gt;""),IF(AND(E1673&gt;=LedFrom,E1673&lt;=LedTo,OR(I1673=LedAcct,K1673=LedAcct,AND(LedAcct=acctTax,M1673+N1673&lt;&gt;0))),E1673*10000+B1673,""),"")</f>
        <v/>
      </c>
    </row>
    <row r="1674">
      <c r="B1674" s="101" t="n">
        <v>1668</v>
      </c>
      <c r="C1674" s="58" t="inlineStr">
        <is>
          <t>Transaction</t>
        </is>
      </c>
      <c r="D1674" s="58">
        <f>IF(H1674=1,INDEX(tx_ID,1668)&amp;"","")</f>
        <v/>
      </c>
      <c r="E1674" s="94">
        <f>IF(H1674=1,INDEX(tx_Date,1668),"")</f>
        <v/>
      </c>
      <c r="F1674" s="58">
        <f>IF(H1674=1,INDEX(tx_Desc,1668)&amp;"","")</f>
        <v/>
      </c>
      <c r="G1674" s="58">
        <f>IF(H1674=1,IF(INDEX(tx_Cust,1668)&amp;""&lt;&gt;"",INDEX(tx_Cust,1668)&amp;"",INDEX(tx_Vend,1668)&amp;""),"")</f>
        <v/>
      </c>
      <c r="H1674" s="101">
        <f>IFERROR(N(INDEX(tx_Posted,1668)),0)</f>
        <v/>
      </c>
      <c r="I1674" s="58">
        <f>IF(H1674=1,INDEX(tx_DrAcct,1668)&amp;"","")</f>
        <v/>
      </c>
      <c r="J1674" s="95">
        <f>IF(H1674=1,INDEX(tx_DrAmt,1668),0)</f>
        <v/>
      </c>
      <c r="K1674" s="58">
        <f>IF(H1674=1,INDEX(tx_CrAcct,1668)&amp;"","")</f>
        <v/>
      </c>
      <c r="L1674" s="95">
        <f>IF(H1674=1,INDEX(tx_CrAmt,1668),0)</f>
        <v/>
      </c>
      <c r="M1674" s="95">
        <f>IF(H1674=1,INDEX(tx_TaxDr,1668),0)</f>
        <v/>
      </c>
      <c r="N1674" s="95">
        <f>IF(H1674=1,INDEX(tx_TaxCr,1668),0)</f>
        <v/>
      </c>
      <c r="O1674" s="101">
        <f>IF(H1674=1,IF(E1674&lt;FYStart,0,IF(E1674&gt;FYEnd,13,YEAR(E1674)*12+MONTH(E1674)-FYYM+1)),"")</f>
        <v/>
      </c>
      <c r="P1674" s="101">
        <f>IF(H1674=1,IF(IFERROR(INDEX(coa_CF,MATCH(I1674,coa_Name,0)),"")="Cash",1,0),0)</f>
        <v/>
      </c>
      <c r="Q1674" s="101">
        <f>IF(H1674=1,IF(IFERROR(INDEX(coa_CF,MATCH(K1674,coa_Name,0)),"")="Cash",1,0),0)</f>
        <v/>
      </c>
      <c r="R1674" s="58">
        <f>IF((P1674-Q1674)=0,"",IFERROR(INDEX(coa_CF,MATCH(IF((P1674-Q1674)=1,K1674,I1674),coa_Name,0)),"Operating"))</f>
        <v/>
      </c>
      <c r="S1674" s="95">
        <f>IF((P1674-Q1674)=1,L1674,IF((P1674-Q1674)=-1,-J1674,0))</f>
        <v/>
      </c>
      <c r="T1674" s="95">
        <f>IF((P1674-Q1674)=1,N1674,IF((P1674-Q1674)=-1,-M1674,0))</f>
        <v/>
      </c>
      <c r="U1674" s="101">
        <f>IF(AND(H1674=1,LedAcct&lt;&gt;""),IF(AND(E1674&gt;=LedFrom,E1674&lt;=LedTo,OR(I1674=LedAcct,K1674=LedAcct,AND(LedAcct=acctTax,M1674+N1674&lt;&gt;0))),E1674*10000+B1674,""),"")</f>
        <v/>
      </c>
    </row>
    <row r="1675">
      <c r="B1675" s="101" t="n">
        <v>1669</v>
      </c>
      <c r="C1675" s="58" t="inlineStr">
        <is>
          <t>Transaction</t>
        </is>
      </c>
      <c r="D1675" s="58">
        <f>IF(H1675=1,INDEX(tx_ID,1669)&amp;"","")</f>
        <v/>
      </c>
      <c r="E1675" s="94">
        <f>IF(H1675=1,INDEX(tx_Date,1669),"")</f>
        <v/>
      </c>
      <c r="F1675" s="58">
        <f>IF(H1675=1,INDEX(tx_Desc,1669)&amp;"","")</f>
        <v/>
      </c>
      <c r="G1675" s="58">
        <f>IF(H1675=1,IF(INDEX(tx_Cust,1669)&amp;""&lt;&gt;"",INDEX(tx_Cust,1669)&amp;"",INDEX(tx_Vend,1669)&amp;""),"")</f>
        <v/>
      </c>
      <c r="H1675" s="101">
        <f>IFERROR(N(INDEX(tx_Posted,1669)),0)</f>
        <v/>
      </c>
      <c r="I1675" s="58">
        <f>IF(H1675=1,INDEX(tx_DrAcct,1669)&amp;"","")</f>
        <v/>
      </c>
      <c r="J1675" s="95">
        <f>IF(H1675=1,INDEX(tx_DrAmt,1669),0)</f>
        <v/>
      </c>
      <c r="K1675" s="58">
        <f>IF(H1675=1,INDEX(tx_CrAcct,1669)&amp;"","")</f>
        <v/>
      </c>
      <c r="L1675" s="95">
        <f>IF(H1675=1,INDEX(tx_CrAmt,1669),0)</f>
        <v/>
      </c>
      <c r="M1675" s="95">
        <f>IF(H1675=1,INDEX(tx_TaxDr,1669),0)</f>
        <v/>
      </c>
      <c r="N1675" s="95">
        <f>IF(H1675=1,INDEX(tx_TaxCr,1669),0)</f>
        <v/>
      </c>
      <c r="O1675" s="101">
        <f>IF(H1675=1,IF(E1675&lt;FYStart,0,IF(E1675&gt;FYEnd,13,YEAR(E1675)*12+MONTH(E1675)-FYYM+1)),"")</f>
        <v/>
      </c>
      <c r="P1675" s="101">
        <f>IF(H1675=1,IF(IFERROR(INDEX(coa_CF,MATCH(I1675,coa_Name,0)),"")="Cash",1,0),0)</f>
        <v/>
      </c>
      <c r="Q1675" s="101">
        <f>IF(H1675=1,IF(IFERROR(INDEX(coa_CF,MATCH(K1675,coa_Name,0)),"")="Cash",1,0),0)</f>
        <v/>
      </c>
      <c r="R1675" s="58">
        <f>IF((P1675-Q1675)=0,"",IFERROR(INDEX(coa_CF,MATCH(IF((P1675-Q1675)=1,K1675,I1675),coa_Name,0)),"Operating"))</f>
        <v/>
      </c>
      <c r="S1675" s="95">
        <f>IF((P1675-Q1675)=1,L1675,IF((P1675-Q1675)=-1,-J1675,0))</f>
        <v/>
      </c>
      <c r="T1675" s="95">
        <f>IF((P1675-Q1675)=1,N1675,IF((P1675-Q1675)=-1,-M1675,0))</f>
        <v/>
      </c>
      <c r="U1675" s="101">
        <f>IF(AND(H1675=1,LedAcct&lt;&gt;""),IF(AND(E1675&gt;=LedFrom,E1675&lt;=LedTo,OR(I1675=LedAcct,K1675=LedAcct,AND(LedAcct=acctTax,M1675+N1675&lt;&gt;0))),E1675*10000+B1675,""),"")</f>
        <v/>
      </c>
    </row>
    <row r="1676">
      <c r="B1676" s="101" t="n">
        <v>1670</v>
      </c>
      <c r="C1676" s="58" t="inlineStr">
        <is>
          <t>Transaction</t>
        </is>
      </c>
      <c r="D1676" s="58">
        <f>IF(H1676=1,INDEX(tx_ID,1670)&amp;"","")</f>
        <v/>
      </c>
      <c r="E1676" s="94">
        <f>IF(H1676=1,INDEX(tx_Date,1670),"")</f>
        <v/>
      </c>
      <c r="F1676" s="58">
        <f>IF(H1676=1,INDEX(tx_Desc,1670)&amp;"","")</f>
        <v/>
      </c>
      <c r="G1676" s="58">
        <f>IF(H1676=1,IF(INDEX(tx_Cust,1670)&amp;""&lt;&gt;"",INDEX(tx_Cust,1670)&amp;"",INDEX(tx_Vend,1670)&amp;""),"")</f>
        <v/>
      </c>
      <c r="H1676" s="101">
        <f>IFERROR(N(INDEX(tx_Posted,1670)),0)</f>
        <v/>
      </c>
      <c r="I1676" s="58">
        <f>IF(H1676=1,INDEX(tx_DrAcct,1670)&amp;"","")</f>
        <v/>
      </c>
      <c r="J1676" s="95">
        <f>IF(H1676=1,INDEX(tx_DrAmt,1670),0)</f>
        <v/>
      </c>
      <c r="K1676" s="58">
        <f>IF(H1676=1,INDEX(tx_CrAcct,1670)&amp;"","")</f>
        <v/>
      </c>
      <c r="L1676" s="95">
        <f>IF(H1676=1,INDEX(tx_CrAmt,1670),0)</f>
        <v/>
      </c>
      <c r="M1676" s="95">
        <f>IF(H1676=1,INDEX(tx_TaxDr,1670),0)</f>
        <v/>
      </c>
      <c r="N1676" s="95">
        <f>IF(H1676=1,INDEX(tx_TaxCr,1670),0)</f>
        <v/>
      </c>
      <c r="O1676" s="101">
        <f>IF(H1676=1,IF(E1676&lt;FYStart,0,IF(E1676&gt;FYEnd,13,YEAR(E1676)*12+MONTH(E1676)-FYYM+1)),"")</f>
        <v/>
      </c>
      <c r="P1676" s="101">
        <f>IF(H1676=1,IF(IFERROR(INDEX(coa_CF,MATCH(I1676,coa_Name,0)),"")="Cash",1,0),0)</f>
        <v/>
      </c>
      <c r="Q1676" s="101">
        <f>IF(H1676=1,IF(IFERROR(INDEX(coa_CF,MATCH(K1676,coa_Name,0)),"")="Cash",1,0),0)</f>
        <v/>
      </c>
      <c r="R1676" s="58">
        <f>IF((P1676-Q1676)=0,"",IFERROR(INDEX(coa_CF,MATCH(IF((P1676-Q1676)=1,K1676,I1676),coa_Name,0)),"Operating"))</f>
        <v/>
      </c>
      <c r="S1676" s="95">
        <f>IF((P1676-Q1676)=1,L1676,IF((P1676-Q1676)=-1,-J1676,0))</f>
        <v/>
      </c>
      <c r="T1676" s="95">
        <f>IF((P1676-Q1676)=1,N1676,IF((P1676-Q1676)=-1,-M1676,0))</f>
        <v/>
      </c>
      <c r="U1676" s="101">
        <f>IF(AND(H1676=1,LedAcct&lt;&gt;""),IF(AND(E1676&gt;=LedFrom,E1676&lt;=LedTo,OR(I1676=LedAcct,K1676=LedAcct,AND(LedAcct=acctTax,M1676+N1676&lt;&gt;0))),E1676*10000+B1676,""),"")</f>
        <v/>
      </c>
    </row>
    <row r="1677">
      <c r="B1677" s="101" t="n">
        <v>1671</v>
      </c>
      <c r="C1677" s="58" t="inlineStr">
        <is>
          <t>Transaction</t>
        </is>
      </c>
      <c r="D1677" s="58">
        <f>IF(H1677=1,INDEX(tx_ID,1671)&amp;"","")</f>
        <v/>
      </c>
      <c r="E1677" s="94">
        <f>IF(H1677=1,INDEX(tx_Date,1671),"")</f>
        <v/>
      </c>
      <c r="F1677" s="58">
        <f>IF(H1677=1,INDEX(tx_Desc,1671)&amp;"","")</f>
        <v/>
      </c>
      <c r="G1677" s="58">
        <f>IF(H1677=1,IF(INDEX(tx_Cust,1671)&amp;""&lt;&gt;"",INDEX(tx_Cust,1671)&amp;"",INDEX(tx_Vend,1671)&amp;""),"")</f>
        <v/>
      </c>
      <c r="H1677" s="101">
        <f>IFERROR(N(INDEX(tx_Posted,1671)),0)</f>
        <v/>
      </c>
      <c r="I1677" s="58">
        <f>IF(H1677=1,INDEX(tx_DrAcct,1671)&amp;"","")</f>
        <v/>
      </c>
      <c r="J1677" s="95">
        <f>IF(H1677=1,INDEX(tx_DrAmt,1671),0)</f>
        <v/>
      </c>
      <c r="K1677" s="58">
        <f>IF(H1677=1,INDEX(tx_CrAcct,1671)&amp;"","")</f>
        <v/>
      </c>
      <c r="L1677" s="95">
        <f>IF(H1677=1,INDEX(tx_CrAmt,1671),0)</f>
        <v/>
      </c>
      <c r="M1677" s="95">
        <f>IF(H1677=1,INDEX(tx_TaxDr,1671),0)</f>
        <v/>
      </c>
      <c r="N1677" s="95">
        <f>IF(H1677=1,INDEX(tx_TaxCr,1671),0)</f>
        <v/>
      </c>
      <c r="O1677" s="101">
        <f>IF(H1677=1,IF(E1677&lt;FYStart,0,IF(E1677&gt;FYEnd,13,YEAR(E1677)*12+MONTH(E1677)-FYYM+1)),"")</f>
        <v/>
      </c>
      <c r="P1677" s="101">
        <f>IF(H1677=1,IF(IFERROR(INDEX(coa_CF,MATCH(I1677,coa_Name,0)),"")="Cash",1,0),0)</f>
        <v/>
      </c>
      <c r="Q1677" s="101">
        <f>IF(H1677=1,IF(IFERROR(INDEX(coa_CF,MATCH(K1677,coa_Name,0)),"")="Cash",1,0),0)</f>
        <v/>
      </c>
      <c r="R1677" s="58">
        <f>IF((P1677-Q1677)=0,"",IFERROR(INDEX(coa_CF,MATCH(IF((P1677-Q1677)=1,K1677,I1677),coa_Name,0)),"Operating"))</f>
        <v/>
      </c>
      <c r="S1677" s="95">
        <f>IF((P1677-Q1677)=1,L1677,IF((P1677-Q1677)=-1,-J1677,0))</f>
        <v/>
      </c>
      <c r="T1677" s="95">
        <f>IF((P1677-Q1677)=1,N1677,IF((P1677-Q1677)=-1,-M1677,0))</f>
        <v/>
      </c>
      <c r="U1677" s="101">
        <f>IF(AND(H1677=1,LedAcct&lt;&gt;""),IF(AND(E1677&gt;=LedFrom,E1677&lt;=LedTo,OR(I1677=LedAcct,K1677=LedAcct,AND(LedAcct=acctTax,M1677+N1677&lt;&gt;0))),E1677*10000+B1677,""),"")</f>
        <v/>
      </c>
    </row>
    <row r="1678">
      <c r="B1678" s="101" t="n">
        <v>1672</v>
      </c>
      <c r="C1678" s="58" t="inlineStr">
        <is>
          <t>Transaction</t>
        </is>
      </c>
      <c r="D1678" s="58">
        <f>IF(H1678=1,INDEX(tx_ID,1672)&amp;"","")</f>
        <v/>
      </c>
      <c r="E1678" s="94">
        <f>IF(H1678=1,INDEX(tx_Date,1672),"")</f>
        <v/>
      </c>
      <c r="F1678" s="58">
        <f>IF(H1678=1,INDEX(tx_Desc,1672)&amp;"","")</f>
        <v/>
      </c>
      <c r="G1678" s="58">
        <f>IF(H1678=1,IF(INDEX(tx_Cust,1672)&amp;""&lt;&gt;"",INDEX(tx_Cust,1672)&amp;"",INDEX(tx_Vend,1672)&amp;""),"")</f>
        <v/>
      </c>
      <c r="H1678" s="101">
        <f>IFERROR(N(INDEX(tx_Posted,1672)),0)</f>
        <v/>
      </c>
      <c r="I1678" s="58">
        <f>IF(H1678=1,INDEX(tx_DrAcct,1672)&amp;"","")</f>
        <v/>
      </c>
      <c r="J1678" s="95">
        <f>IF(H1678=1,INDEX(tx_DrAmt,1672),0)</f>
        <v/>
      </c>
      <c r="K1678" s="58">
        <f>IF(H1678=1,INDEX(tx_CrAcct,1672)&amp;"","")</f>
        <v/>
      </c>
      <c r="L1678" s="95">
        <f>IF(H1678=1,INDEX(tx_CrAmt,1672),0)</f>
        <v/>
      </c>
      <c r="M1678" s="95">
        <f>IF(H1678=1,INDEX(tx_TaxDr,1672),0)</f>
        <v/>
      </c>
      <c r="N1678" s="95">
        <f>IF(H1678=1,INDEX(tx_TaxCr,1672),0)</f>
        <v/>
      </c>
      <c r="O1678" s="101">
        <f>IF(H1678=1,IF(E1678&lt;FYStart,0,IF(E1678&gt;FYEnd,13,YEAR(E1678)*12+MONTH(E1678)-FYYM+1)),"")</f>
        <v/>
      </c>
      <c r="P1678" s="101">
        <f>IF(H1678=1,IF(IFERROR(INDEX(coa_CF,MATCH(I1678,coa_Name,0)),"")="Cash",1,0),0)</f>
        <v/>
      </c>
      <c r="Q1678" s="101">
        <f>IF(H1678=1,IF(IFERROR(INDEX(coa_CF,MATCH(K1678,coa_Name,0)),"")="Cash",1,0),0)</f>
        <v/>
      </c>
      <c r="R1678" s="58">
        <f>IF((P1678-Q1678)=0,"",IFERROR(INDEX(coa_CF,MATCH(IF((P1678-Q1678)=1,K1678,I1678),coa_Name,0)),"Operating"))</f>
        <v/>
      </c>
      <c r="S1678" s="95">
        <f>IF((P1678-Q1678)=1,L1678,IF((P1678-Q1678)=-1,-J1678,0))</f>
        <v/>
      </c>
      <c r="T1678" s="95">
        <f>IF((P1678-Q1678)=1,N1678,IF((P1678-Q1678)=-1,-M1678,0))</f>
        <v/>
      </c>
      <c r="U1678" s="101">
        <f>IF(AND(H1678=1,LedAcct&lt;&gt;""),IF(AND(E1678&gt;=LedFrom,E1678&lt;=LedTo,OR(I1678=LedAcct,K1678=LedAcct,AND(LedAcct=acctTax,M1678+N1678&lt;&gt;0))),E1678*10000+B1678,""),"")</f>
        <v/>
      </c>
    </row>
    <row r="1679">
      <c r="B1679" s="101" t="n">
        <v>1673</v>
      </c>
      <c r="C1679" s="58" t="inlineStr">
        <is>
          <t>Transaction</t>
        </is>
      </c>
      <c r="D1679" s="58">
        <f>IF(H1679=1,INDEX(tx_ID,1673)&amp;"","")</f>
        <v/>
      </c>
      <c r="E1679" s="94">
        <f>IF(H1679=1,INDEX(tx_Date,1673),"")</f>
        <v/>
      </c>
      <c r="F1679" s="58">
        <f>IF(H1679=1,INDEX(tx_Desc,1673)&amp;"","")</f>
        <v/>
      </c>
      <c r="G1679" s="58">
        <f>IF(H1679=1,IF(INDEX(tx_Cust,1673)&amp;""&lt;&gt;"",INDEX(tx_Cust,1673)&amp;"",INDEX(tx_Vend,1673)&amp;""),"")</f>
        <v/>
      </c>
      <c r="H1679" s="101">
        <f>IFERROR(N(INDEX(tx_Posted,1673)),0)</f>
        <v/>
      </c>
      <c r="I1679" s="58">
        <f>IF(H1679=1,INDEX(tx_DrAcct,1673)&amp;"","")</f>
        <v/>
      </c>
      <c r="J1679" s="95">
        <f>IF(H1679=1,INDEX(tx_DrAmt,1673),0)</f>
        <v/>
      </c>
      <c r="K1679" s="58">
        <f>IF(H1679=1,INDEX(tx_CrAcct,1673)&amp;"","")</f>
        <v/>
      </c>
      <c r="L1679" s="95">
        <f>IF(H1679=1,INDEX(tx_CrAmt,1673),0)</f>
        <v/>
      </c>
      <c r="M1679" s="95">
        <f>IF(H1679=1,INDEX(tx_TaxDr,1673),0)</f>
        <v/>
      </c>
      <c r="N1679" s="95">
        <f>IF(H1679=1,INDEX(tx_TaxCr,1673),0)</f>
        <v/>
      </c>
      <c r="O1679" s="101">
        <f>IF(H1679=1,IF(E1679&lt;FYStart,0,IF(E1679&gt;FYEnd,13,YEAR(E1679)*12+MONTH(E1679)-FYYM+1)),"")</f>
        <v/>
      </c>
      <c r="P1679" s="101">
        <f>IF(H1679=1,IF(IFERROR(INDEX(coa_CF,MATCH(I1679,coa_Name,0)),"")="Cash",1,0),0)</f>
        <v/>
      </c>
      <c r="Q1679" s="101">
        <f>IF(H1679=1,IF(IFERROR(INDEX(coa_CF,MATCH(K1679,coa_Name,0)),"")="Cash",1,0),0)</f>
        <v/>
      </c>
      <c r="R1679" s="58">
        <f>IF((P1679-Q1679)=0,"",IFERROR(INDEX(coa_CF,MATCH(IF((P1679-Q1679)=1,K1679,I1679),coa_Name,0)),"Operating"))</f>
        <v/>
      </c>
      <c r="S1679" s="95">
        <f>IF((P1679-Q1679)=1,L1679,IF((P1679-Q1679)=-1,-J1679,0))</f>
        <v/>
      </c>
      <c r="T1679" s="95">
        <f>IF((P1679-Q1679)=1,N1679,IF((P1679-Q1679)=-1,-M1679,0))</f>
        <v/>
      </c>
      <c r="U1679" s="101">
        <f>IF(AND(H1679=1,LedAcct&lt;&gt;""),IF(AND(E1679&gt;=LedFrom,E1679&lt;=LedTo,OR(I1679=LedAcct,K1679=LedAcct,AND(LedAcct=acctTax,M1679+N1679&lt;&gt;0))),E1679*10000+B1679,""),"")</f>
        <v/>
      </c>
    </row>
    <row r="1680">
      <c r="B1680" s="101" t="n">
        <v>1674</v>
      </c>
      <c r="C1680" s="58" t="inlineStr">
        <is>
          <t>Transaction</t>
        </is>
      </c>
      <c r="D1680" s="58">
        <f>IF(H1680=1,INDEX(tx_ID,1674)&amp;"","")</f>
        <v/>
      </c>
      <c r="E1680" s="94">
        <f>IF(H1680=1,INDEX(tx_Date,1674),"")</f>
        <v/>
      </c>
      <c r="F1680" s="58">
        <f>IF(H1680=1,INDEX(tx_Desc,1674)&amp;"","")</f>
        <v/>
      </c>
      <c r="G1680" s="58">
        <f>IF(H1680=1,IF(INDEX(tx_Cust,1674)&amp;""&lt;&gt;"",INDEX(tx_Cust,1674)&amp;"",INDEX(tx_Vend,1674)&amp;""),"")</f>
        <v/>
      </c>
      <c r="H1680" s="101">
        <f>IFERROR(N(INDEX(tx_Posted,1674)),0)</f>
        <v/>
      </c>
      <c r="I1680" s="58">
        <f>IF(H1680=1,INDEX(tx_DrAcct,1674)&amp;"","")</f>
        <v/>
      </c>
      <c r="J1680" s="95">
        <f>IF(H1680=1,INDEX(tx_DrAmt,1674),0)</f>
        <v/>
      </c>
      <c r="K1680" s="58">
        <f>IF(H1680=1,INDEX(tx_CrAcct,1674)&amp;"","")</f>
        <v/>
      </c>
      <c r="L1680" s="95">
        <f>IF(H1680=1,INDEX(tx_CrAmt,1674),0)</f>
        <v/>
      </c>
      <c r="M1680" s="95">
        <f>IF(H1680=1,INDEX(tx_TaxDr,1674),0)</f>
        <v/>
      </c>
      <c r="N1680" s="95">
        <f>IF(H1680=1,INDEX(tx_TaxCr,1674),0)</f>
        <v/>
      </c>
      <c r="O1680" s="101">
        <f>IF(H1680=1,IF(E1680&lt;FYStart,0,IF(E1680&gt;FYEnd,13,YEAR(E1680)*12+MONTH(E1680)-FYYM+1)),"")</f>
        <v/>
      </c>
      <c r="P1680" s="101">
        <f>IF(H1680=1,IF(IFERROR(INDEX(coa_CF,MATCH(I1680,coa_Name,0)),"")="Cash",1,0),0)</f>
        <v/>
      </c>
      <c r="Q1680" s="101">
        <f>IF(H1680=1,IF(IFERROR(INDEX(coa_CF,MATCH(K1680,coa_Name,0)),"")="Cash",1,0),0)</f>
        <v/>
      </c>
      <c r="R1680" s="58">
        <f>IF((P1680-Q1680)=0,"",IFERROR(INDEX(coa_CF,MATCH(IF((P1680-Q1680)=1,K1680,I1680),coa_Name,0)),"Operating"))</f>
        <v/>
      </c>
      <c r="S1680" s="95">
        <f>IF((P1680-Q1680)=1,L1680,IF((P1680-Q1680)=-1,-J1680,0))</f>
        <v/>
      </c>
      <c r="T1680" s="95">
        <f>IF((P1680-Q1680)=1,N1680,IF((P1680-Q1680)=-1,-M1680,0))</f>
        <v/>
      </c>
      <c r="U1680" s="101">
        <f>IF(AND(H1680=1,LedAcct&lt;&gt;""),IF(AND(E1680&gt;=LedFrom,E1680&lt;=LedTo,OR(I1680=LedAcct,K1680=LedAcct,AND(LedAcct=acctTax,M1680+N1680&lt;&gt;0))),E1680*10000+B1680,""),"")</f>
        <v/>
      </c>
    </row>
    <row r="1681">
      <c r="B1681" s="101" t="n">
        <v>1675</v>
      </c>
      <c r="C1681" s="58" t="inlineStr">
        <is>
          <t>Transaction</t>
        </is>
      </c>
      <c r="D1681" s="58">
        <f>IF(H1681=1,INDEX(tx_ID,1675)&amp;"","")</f>
        <v/>
      </c>
      <c r="E1681" s="94">
        <f>IF(H1681=1,INDEX(tx_Date,1675),"")</f>
        <v/>
      </c>
      <c r="F1681" s="58">
        <f>IF(H1681=1,INDEX(tx_Desc,1675)&amp;"","")</f>
        <v/>
      </c>
      <c r="G1681" s="58">
        <f>IF(H1681=1,IF(INDEX(tx_Cust,1675)&amp;""&lt;&gt;"",INDEX(tx_Cust,1675)&amp;"",INDEX(tx_Vend,1675)&amp;""),"")</f>
        <v/>
      </c>
      <c r="H1681" s="101">
        <f>IFERROR(N(INDEX(tx_Posted,1675)),0)</f>
        <v/>
      </c>
      <c r="I1681" s="58">
        <f>IF(H1681=1,INDEX(tx_DrAcct,1675)&amp;"","")</f>
        <v/>
      </c>
      <c r="J1681" s="95">
        <f>IF(H1681=1,INDEX(tx_DrAmt,1675),0)</f>
        <v/>
      </c>
      <c r="K1681" s="58">
        <f>IF(H1681=1,INDEX(tx_CrAcct,1675)&amp;"","")</f>
        <v/>
      </c>
      <c r="L1681" s="95">
        <f>IF(H1681=1,INDEX(tx_CrAmt,1675),0)</f>
        <v/>
      </c>
      <c r="M1681" s="95">
        <f>IF(H1681=1,INDEX(tx_TaxDr,1675),0)</f>
        <v/>
      </c>
      <c r="N1681" s="95">
        <f>IF(H1681=1,INDEX(tx_TaxCr,1675),0)</f>
        <v/>
      </c>
      <c r="O1681" s="101">
        <f>IF(H1681=1,IF(E1681&lt;FYStart,0,IF(E1681&gt;FYEnd,13,YEAR(E1681)*12+MONTH(E1681)-FYYM+1)),"")</f>
        <v/>
      </c>
      <c r="P1681" s="101">
        <f>IF(H1681=1,IF(IFERROR(INDEX(coa_CF,MATCH(I1681,coa_Name,0)),"")="Cash",1,0),0)</f>
        <v/>
      </c>
      <c r="Q1681" s="101">
        <f>IF(H1681=1,IF(IFERROR(INDEX(coa_CF,MATCH(K1681,coa_Name,0)),"")="Cash",1,0),0)</f>
        <v/>
      </c>
      <c r="R1681" s="58">
        <f>IF((P1681-Q1681)=0,"",IFERROR(INDEX(coa_CF,MATCH(IF((P1681-Q1681)=1,K1681,I1681),coa_Name,0)),"Operating"))</f>
        <v/>
      </c>
      <c r="S1681" s="95">
        <f>IF((P1681-Q1681)=1,L1681,IF((P1681-Q1681)=-1,-J1681,0))</f>
        <v/>
      </c>
      <c r="T1681" s="95">
        <f>IF((P1681-Q1681)=1,N1681,IF((P1681-Q1681)=-1,-M1681,0))</f>
        <v/>
      </c>
      <c r="U1681" s="101">
        <f>IF(AND(H1681=1,LedAcct&lt;&gt;""),IF(AND(E1681&gt;=LedFrom,E1681&lt;=LedTo,OR(I1681=LedAcct,K1681=LedAcct,AND(LedAcct=acctTax,M1681+N1681&lt;&gt;0))),E1681*10000+B1681,""),"")</f>
        <v/>
      </c>
    </row>
    <row r="1682">
      <c r="B1682" s="101" t="n">
        <v>1676</v>
      </c>
      <c r="C1682" s="58" t="inlineStr">
        <is>
          <t>Transaction</t>
        </is>
      </c>
      <c r="D1682" s="58">
        <f>IF(H1682=1,INDEX(tx_ID,1676)&amp;"","")</f>
        <v/>
      </c>
      <c r="E1682" s="94">
        <f>IF(H1682=1,INDEX(tx_Date,1676),"")</f>
        <v/>
      </c>
      <c r="F1682" s="58">
        <f>IF(H1682=1,INDEX(tx_Desc,1676)&amp;"","")</f>
        <v/>
      </c>
      <c r="G1682" s="58">
        <f>IF(H1682=1,IF(INDEX(tx_Cust,1676)&amp;""&lt;&gt;"",INDEX(tx_Cust,1676)&amp;"",INDEX(tx_Vend,1676)&amp;""),"")</f>
        <v/>
      </c>
      <c r="H1682" s="101">
        <f>IFERROR(N(INDEX(tx_Posted,1676)),0)</f>
        <v/>
      </c>
      <c r="I1682" s="58">
        <f>IF(H1682=1,INDEX(tx_DrAcct,1676)&amp;"","")</f>
        <v/>
      </c>
      <c r="J1682" s="95">
        <f>IF(H1682=1,INDEX(tx_DrAmt,1676),0)</f>
        <v/>
      </c>
      <c r="K1682" s="58">
        <f>IF(H1682=1,INDEX(tx_CrAcct,1676)&amp;"","")</f>
        <v/>
      </c>
      <c r="L1682" s="95">
        <f>IF(H1682=1,INDEX(tx_CrAmt,1676),0)</f>
        <v/>
      </c>
      <c r="M1682" s="95">
        <f>IF(H1682=1,INDEX(tx_TaxDr,1676),0)</f>
        <v/>
      </c>
      <c r="N1682" s="95">
        <f>IF(H1682=1,INDEX(tx_TaxCr,1676),0)</f>
        <v/>
      </c>
      <c r="O1682" s="101">
        <f>IF(H1682=1,IF(E1682&lt;FYStart,0,IF(E1682&gt;FYEnd,13,YEAR(E1682)*12+MONTH(E1682)-FYYM+1)),"")</f>
        <v/>
      </c>
      <c r="P1682" s="101">
        <f>IF(H1682=1,IF(IFERROR(INDEX(coa_CF,MATCH(I1682,coa_Name,0)),"")="Cash",1,0),0)</f>
        <v/>
      </c>
      <c r="Q1682" s="101">
        <f>IF(H1682=1,IF(IFERROR(INDEX(coa_CF,MATCH(K1682,coa_Name,0)),"")="Cash",1,0),0)</f>
        <v/>
      </c>
      <c r="R1682" s="58">
        <f>IF((P1682-Q1682)=0,"",IFERROR(INDEX(coa_CF,MATCH(IF((P1682-Q1682)=1,K1682,I1682),coa_Name,0)),"Operating"))</f>
        <v/>
      </c>
      <c r="S1682" s="95">
        <f>IF((P1682-Q1682)=1,L1682,IF((P1682-Q1682)=-1,-J1682,0))</f>
        <v/>
      </c>
      <c r="T1682" s="95">
        <f>IF((P1682-Q1682)=1,N1682,IF((P1682-Q1682)=-1,-M1682,0))</f>
        <v/>
      </c>
      <c r="U1682" s="101">
        <f>IF(AND(H1682=1,LedAcct&lt;&gt;""),IF(AND(E1682&gt;=LedFrom,E1682&lt;=LedTo,OR(I1682=LedAcct,K1682=LedAcct,AND(LedAcct=acctTax,M1682+N1682&lt;&gt;0))),E1682*10000+B1682,""),"")</f>
        <v/>
      </c>
    </row>
    <row r="1683">
      <c r="B1683" s="101" t="n">
        <v>1677</v>
      </c>
      <c r="C1683" s="58" t="inlineStr">
        <is>
          <t>Transaction</t>
        </is>
      </c>
      <c r="D1683" s="58">
        <f>IF(H1683=1,INDEX(tx_ID,1677)&amp;"","")</f>
        <v/>
      </c>
      <c r="E1683" s="94">
        <f>IF(H1683=1,INDEX(tx_Date,1677),"")</f>
        <v/>
      </c>
      <c r="F1683" s="58">
        <f>IF(H1683=1,INDEX(tx_Desc,1677)&amp;"","")</f>
        <v/>
      </c>
      <c r="G1683" s="58">
        <f>IF(H1683=1,IF(INDEX(tx_Cust,1677)&amp;""&lt;&gt;"",INDEX(tx_Cust,1677)&amp;"",INDEX(tx_Vend,1677)&amp;""),"")</f>
        <v/>
      </c>
      <c r="H1683" s="101">
        <f>IFERROR(N(INDEX(tx_Posted,1677)),0)</f>
        <v/>
      </c>
      <c r="I1683" s="58">
        <f>IF(H1683=1,INDEX(tx_DrAcct,1677)&amp;"","")</f>
        <v/>
      </c>
      <c r="J1683" s="95">
        <f>IF(H1683=1,INDEX(tx_DrAmt,1677),0)</f>
        <v/>
      </c>
      <c r="K1683" s="58">
        <f>IF(H1683=1,INDEX(tx_CrAcct,1677)&amp;"","")</f>
        <v/>
      </c>
      <c r="L1683" s="95">
        <f>IF(H1683=1,INDEX(tx_CrAmt,1677),0)</f>
        <v/>
      </c>
      <c r="M1683" s="95">
        <f>IF(H1683=1,INDEX(tx_TaxDr,1677),0)</f>
        <v/>
      </c>
      <c r="N1683" s="95">
        <f>IF(H1683=1,INDEX(tx_TaxCr,1677),0)</f>
        <v/>
      </c>
      <c r="O1683" s="101">
        <f>IF(H1683=1,IF(E1683&lt;FYStart,0,IF(E1683&gt;FYEnd,13,YEAR(E1683)*12+MONTH(E1683)-FYYM+1)),"")</f>
        <v/>
      </c>
      <c r="P1683" s="101">
        <f>IF(H1683=1,IF(IFERROR(INDEX(coa_CF,MATCH(I1683,coa_Name,0)),"")="Cash",1,0),0)</f>
        <v/>
      </c>
      <c r="Q1683" s="101">
        <f>IF(H1683=1,IF(IFERROR(INDEX(coa_CF,MATCH(K1683,coa_Name,0)),"")="Cash",1,0),0)</f>
        <v/>
      </c>
      <c r="R1683" s="58">
        <f>IF((P1683-Q1683)=0,"",IFERROR(INDEX(coa_CF,MATCH(IF((P1683-Q1683)=1,K1683,I1683),coa_Name,0)),"Operating"))</f>
        <v/>
      </c>
      <c r="S1683" s="95">
        <f>IF((P1683-Q1683)=1,L1683,IF((P1683-Q1683)=-1,-J1683,0))</f>
        <v/>
      </c>
      <c r="T1683" s="95">
        <f>IF((P1683-Q1683)=1,N1683,IF((P1683-Q1683)=-1,-M1683,0))</f>
        <v/>
      </c>
      <c r="U1683" s="101">
        <f>IF(AND(H1683=1,LedAcct&lt;&gt;""),IF(AND(E1683&gt;=LedFrom,E1683&lt;=LedTo,OR(I1683=LedAcct,K1683=LedAcct,AND(LedAcct=acctTax,M1683+N1683&lt;&gt;0))),E1683*10000+B1683,""),"")</f>
        <v/>
      </c>
    </row>
    <row r="1684">
      <c r="B1684" s="101" t="n">
        <v>1678</v>
      </c>
      <c r="C1684" s="58" t="inlineStr">
        <is>
          <t>Transaction</t>
        </is>
      </c>
      <c r="D1684" s="58">
        <f>IF(H1684=1,INDEX(tx_ID,1678)&amp;"","")</f>
        <v/>
      </c>
      <c r="E1684" s="94">
        <f>IF(H1684=1,INDEX(tx_Date,1678),"")</f>
        <v/>
      </c>
      <c r="F1684" s="58">
        <f>IF(H1684=1,INDEX(tx_Desc,1678)&amp;"","")</f>
        <v/>
      </c>
      <c r="G1684" s="58">
        <f>IF(H1684=1,IF(INDEX(tx_Cust,1678)&amp;""&lt;&gt;"",INDEX(tx_Cust,1678)&amp;"",INDEX(tx_Vend,1678)&amp;""),"")</f>
        <v/>
      </c>
      <c r="H1684" s="101">
        <f>IFERROR(N(INDEX(tx_Posted,1678)),0)</f>
        <v/>
      </c>
      <c r="I1684" s="58">
        <f>IF(H1684=1,INDEX(tx_DrAcct,1678)&amp;"","")</f>
        <v/>
      </c>
      <c r="J1684" s="95">
        <f>IF(H1684=1,INDEX(tx_DrAmt,1678),0)</f>
        <v/>
      </c>
      <c r="K1684" s="58">
        <f>IF(H1684=1,INDEX(tx_CrAcct,1678)&amp;"","")</f>
        <v/>
      </c>
      <c r="L1684" s="95">
        <f>IF(H1684=1,INDEX(tx_CrAmt,1678),0)</f>
        <v/>
      </c>
      <c r="M1684" s="95">
        <f>IF(H1684=1,INDEX(tx_TaxDr,1678),0)</f>
        <v/>
      </c>
      <c r="N1684" s="95">
        <f>IF(H1684=1,INDEX(tx_TaxCr,1678),0)</f>
        <v/>
      </c>
      <c r="O1684" s="101">
        <f>IF(H1684=1,IF(E1684&lt;FYStart,0,IF(E1684&gt;FYEnd,13,YEAR(E1684)*12+MONTH(E1684)-FYYM+1)),"")</f>
        <v/>
      </c>
      <c r="P1684" s="101">
        <f>IF(H1684=1,IF(IFERROR(INDEX(coa_CF,MATCH(I1684,coa_Name,0)),"")="Cash",1,0),0)</f>
        <v/>
      </c>
      <c r="Q1684" s="101">
        <f>IF(H1684=1,IF(IFERROR(INDEX(coa_CF,MATCH(K1684,coa_Name,0)),"")="Cash",1,0),0)</f>
        <v/>
      </c>
      <c r="R1684" s="58">
        <f>IF((P1684-Q1684)=0,"",IFERROR(INDEX(coa_CF,MATCH(IF((P1684-Q1684)=1,K1684,I1684),coa_Name,0)),"Operating"))</f>
        <v/>
      </c>
      <c r="S1684" s="95">
        <f>IF((P1684-Q1684)=1,L1684,IF((P1684-Q1684)=-1,-J1684,0))</f>
        <v/>
      </c>
      <c r="T1684" s="95">
        <f>IF((P1684-Q1684)=1,N1684,IF((P1684-Q1684)=-1,-M1684,0))</f>
        <v/>
      </c>
      <c r="U1684" s="101">
        <f>IF(AND(H1684=1,LedAcct&lt;&gt;""),IF(AND(E1684&gt;=LedFrom,E1684&lt;=LedTo,OR(I1684=LedAcct,K1684=LedAcct,AND(LedAcct=acctTax,M1684+N1684&lt;&gt;0))),E1684*10000+B1684,""),"")</f>
        <v/>
      </c>
    </row>
    <row r="1685">
      <c r="B1685" s="101" t="n">
        <v>1679</v>
      </c>
      <c r="C1685" s="58" t="inlineStr">
        <is>
          <t>Transaction</t>
        </is>
      </c>
      <c r="D1685" s="58">
        <f>IF(H1685=1,INDEX(tx_ID,1679)&amp;"","")</f>
        <v/>
      </c>
      <c r="E1685" s="94">
        <f>IF(H1685=1,INDEX(tx_Date,1679),"")</f>
        <v/>
      </c>
      <c r="F1685" s="58">
        <f>IF(H1685=1,INDEX(tx_Desc,1679)&amp;"","")</f>
        <v/>
      </c>
      <c r="G1685" s="58">
        <f>IF(H1685=1,IF(INDEX(tx_Cust,1679)&amp;""&lt;&gt;"",INDEX(tx_Cust,1679)&amp;"",INDEX(tx_Vend,1679)&amp;""),"")</f>
        <v/>
      </c>
      <c r="H1685" s="101">
        <f>IFERROR(N(INDEX(tx_Posted,1679)),0)</f>
        <v/>
      </c>
      <c r="I1685" s="58">
        <f>IF(H1685=1,INDEX(tx_DrAcct,1679)&amp;"","")</f>
        <v/>
      </c>
      <c r="J1685" s="95">
        <f>IF(H1685=1,INDEX(tx_DrAmt,1679),0)</f>
        <v/>
      </c>
      <c r="K1685" s="58">
        <f>IF(H1685=1,INDEX(tx_CrAcct,1679)&amp;"","")</f>
        <v/>
      </c>
      <c r="L1685" s="95">
        <f>IF(H1685=1,INDEX(tx_CrAmt,1679),0)</f>
        <v/>
      </c>
      <c r="M1685" s="95">
        <f>IF(H1685=1,INDEX(tx_TaxDr,1679),0)</f>
        <v/>
      </c>
      <c r="N1685" s="95">
        <f>IF(H1685=1,INDEX(tx_TaxCr,1679),0)</f>
        <v/>
      </c>
      <c r="O1685" s="101">
        <f>IF(H1685=1,IF(E1685&lt;FYStart,0,IF(E1685&gt;FYEnd,13,YEAR(E1685)*12+MONTH(E1685)-FYYM+1)),"")</f>
        <v/>
      </c>
      <c r="P1685" s="101">
        <f>IF(H1685=1,IF(IFERROR(INDEX(coa_CF,MATCH(I1685,coa_Name,0)),"")="Cash",1,0),0)</f>
        <v/>
      </c>
      <c r="Q1685" s="101">
        <f>IF(H1685=1,IF(IFERROR(INDEX(coa_CF,MATCH(K1685,coa_Name,0)),"")="Cash",1,0),0)</f>
        <v/>
      </c>
      <c r="R1685" s="58">
        <f>IF((P1685-Q1685)=0,"",IFERROR(INDEX(coa_CF,MATCH(IF((P1685-Q1685)=1,K1685,I1685),coa_Name,0)),"Operating"))</f>
        <v/>
      </c>
      <c r="S1685" s="95">
        <f>IF((P1685-Q1685)=1,L1685,IF((P1685-Q1685)=-1,-J1685,0))</f>
        <v/>
      </c>
      <c r="T1685" s="95">
        <f>IF((P1685-Q1685)=1,N1685,IF((P1685-Q1685)=-1,-M1685,0))</f>
        <v/>
      </c>
      <c r="U1685" s="101">
        <f>IF(AND(H1685=1,LedAcct&lt;&gt;""),IF(AND(E1685&gt;=LedFrom,E1685&lt;=LedTo,OR(I1685=LedAcct,K1685=LedAcct,AND(LedAcct=acctTax,M1685+N1685&lt;&gt;0))),E1685*10000+B1685,""),"")</f>
        <v/>
      </c>
    </row>
    <row r="1686">
      <c r="B1686" s="101" t="n">
        <v>1680</v>
      </c>
      <c r="C1686" s="58" t="inlineStr">
        <is>
          <t>Transaction</t>
        </is>
      </c>
      <c r="D1686" s="58">
        <f>IF(H1686=1,INDEX(tx_ID,1680)&amp;"","")</f>
        <v/>
      </c>
      <c r="E1686" s="94">
        <f>IF(H1686=1,INDEX(tx_Date,1680),"")</f>
        <v/>
      </c>
      <c r="F1686" s="58">
        <f>IF(H1686=1,INDEX(tx_Desc,1680)&amp;"","")</f>
        <v/>
      </c>
      <c r="G1686" s="58">
        <f>IF(H1686=1,IF(INDEX(tx_Cust,1680)&amp;""&lt;&gt;"",INDEX(tx_Cust,1680)&amp;"",INDEX(tx_Vend,1680)&amp;""),"")</f>
        <v/>
      </c>
      <c r="H1686" s="101">
        <f>IFERROR(N(INDEX(tx_Posted,1680)),0)</f>
        <v/>
      </c>
      <c r="I1686" s="58">
        <f>IF(H1686=1,INDEX(tx_DrAcct,1680)&amp;"","")</f>
        <v/>
      </c>
      <c r="J1686" s="95">
        <f>IF(H1686=1,INDEX(tx_DrAmt,1680),0)</f>
        <v/>
      </c>
      <c r="K1686" s="58">
        <f>IF(H1686=1,INDEX(tx_CrAcct,1680)&amp;"","")</f>
        <v/>
      </c>
      <c r="L1686" s="95">
        <f>IF(H1686=1,INDEX(tx_CrAmt,1680),0)</f>
        <v/>
      </c>
      <c r="M1686" s="95">
        <f>IF(H1686=1,INDEX(tx_TaxDr,1680),0)</f>
        <v/>
      </c>
      <c r="N1686" s="95">
        <f>IF(H1686=1,INDEX(tx_TaxCr,1680),0)</f>
        <v/>
      </c>
      <c r="O1686" s="101">
        <f>IF(H1686=1,IF(E1686&lt;FYStart,0,IF(E1686&gt;FYEnd,13,YEAR(E1686)*12+MONTH(E1686)-FYYM+1)),"")</f>
        <v/>
      </c>
      <c r="P1686" s="101">
        <f>IF(H1686=1,IF(IFERROR(INDEX(coa_CF,MATCH(I1686,coa_Name,0)),"")="Cash",1,0),0)</f>
        <v/>
      </c>
      <c r="Q1686" s="101">
        <f>IF(H1686=1,IF(IFERROR(INDEX(coa_CF,MATCH(K1686,coa_Name,0)),"")="Cash",1,0),0)</f>
        <v/>
      </c>
      <c r="R1686" s="58">
        <f>IF((P1686-Q1686)=0,"",IFERROR(INDEX(coa_CF,MATCH(IF((P1686-Q1686)=1,K1686,I1686),coa_Name,0)),"Operating"))</f>
        <v/>
      </c>
      <c r="S1686" s="95">
        <f>IF((P1686-Q1686)=1,L1686,IF((P1686-Q1686)=-1,-J1686,0))</f>
        <v/>
      </c>
      <c r="T1686" s="95">
        <f>IF((P1686-Q1686)=1,N1686,IF((P1686-Q1686)=-1,-M1686,0))</f>
        <v/>
      </c>
      <c r="U1686" s="101">
        <f>IF(AND(H1686=1,LedAcct&lt;&gt;""),IF(AND(E1686&gt;=LedFrom,E1686&lt;=LedTo,OR(I1686=LedAcct,K1686=LedAcct,AND(LedAcct=acctTax,M1686+N1686&lt;&gt;0))),E1686*10000+B1686,""),"")</f>
        <v/>
      </c>
    </row>
    <row r="1687">
      <c r="B1687" s="101" t="n">
        <v>1681</v>
      </c>
      <c r="C1687" s="58" t="inlineStr">
        <is>
          <t>Transaction</t>
        </is>
      </c>
      <c r="D1687" s="58">
        <f>IF(H1687=1,INDEX(tx_ID,1681)&amp;"","")</f>
        <v/>
      </c>
      <c r="E1687" s="94">
        <f>IF(H1687=1,INDEX(tx_Date,1681),"")</f>
        <v/>
      </c>
      <c r="F1687" s="58">
        <f>IF(H1687=1,INDEX(tx_Desc,1681)&amp;"","")</f>
        <v/>
      </c>
      <c r="G1687" s="58">
        <f>IF(H1687=1,IF(INDEX(tx_Cust,1681)&amp;""&lt;&gt;"",INDEX(tx_Cust,1681)&amp;"",INDEX(tx_Vend,1681)&amp;""),"")</f>
        <v/>
      </c>
      <c r="H1687" s="101">
        <f>IFERROR(N(INDEX(tx_Posted,1681)),0)</f>
        <v/>
      </c>
      <c r="I1687" s="58">
        <f>IF(H1687=1,INDEX(tx_DrAcct,1681)&amp;"","")</f>
        <v/>
      </c>
      <c r="J1687" s="95">
        <f>IF(H1687=1,INDEX(tx_DrAmt,1681),0)</f>
        <v/>
      </c>
      <c r="K1687" s="58">
        <f>IF(H1687=1,INDEX(tx_CrAcct,1681)&amp;"","")</f>
        <v/>
      </c>
      <c r="L1687" s="95">
        <f>IF(H1687=1,INDEX(tx_CrAmt,1681),0)</f>
        <v/>
      </c>
      <c r="M1687" s="95">
        <f>IF(H1687=1,INDEX(tx_TaxDr,1681),0)</f>
        <v/>
      </c>
      <c r="N1687" s="95">
        <f>IF(H1687=1,INDEX(tx_TaxCr,1681),0)</f>
        <v/>
      </c>
      <c r="O1687" s="101">
        <f>IF(H1687=1,IF(E1687&lt;FYStart,0,IF(E1687&gt;FYEnd,13,YEAR(E1687)*12+MONTH(E1687)-FYYM+1)),"")</f>
        <v/>
      </c>
      <c r="P1687" s="101">
        <f>IF(H1687=1,IF(IFERROR(INDEX(coa_CF,MATCH(I1687,coa_Name,0)),"")="Cash",1,0),0)</f>
        <v/>
      </c>
      <c r="Q1687" s="101">
        <f>IF(H1687=1,IF(IFERROR(INDEX(coa_CF,MATCH(K1687,coa_Name,0)),"")="Cash",1,0),0)</f>
        <v/>
      </c>
      <c r="R1687" s="58">
        <f>IF((P1687-Q1687)=0,"",IFERROR(INDEX(coa_CF,MATCH(IF((P1687-Q1687)=1,K1687,I1687),coa_Name,0)),"Operating"))</f>
        <v/>
      </c>
      <c r="S1687" s="95">
        <f>IF((P1687-Q1687)=1,L1687,IF((P1687-Q1687)=-1,-J1687,0))</f>
        <v/>
      </c>
      <c r="T1687" s="95">
        <f>IF((P1687-Q1687)=1,N1687,IF((P1687-Q1687)=-1,-M1687,0))</f>
        <v/>
      </c>
      <c r="U1687" s="101">
        <f>IF(AND(H1687=1,LedAcct&lt;&gt;""),IF(AND(E1687&gt;=LedFrom,E1687&lt;=LedTo,OR(I1687=LedAcct,K1687=LedAcct,AND(LedAcct=acctTax,M1687+N1687&lt;&gt;0))),E1687*10000+B1687,""),"")</f>
        <v/>
      </c>
    </row>
    <row r="1688">
      <c r="B1688" s="101" t="n">
        <v>1682</v>
      </c>
      <c r="C1688" s="58" t="inlineStr">
        <is>
          <t>Transaction</t>
        </is>
      </c>
      <c r="D1688" s="58">
        <f>IF(H1688=1,INDEX(tx_ID,1682)&amp;"","")</f>
        <v/>
      </c>
      <c r="E1688" s="94">
        <f>IF(H1688=1,INDEX(tx_Date,1682),"")</f>
        <v/>
      </c>
      <c r="F1688" s="58">
        <f>IF(H1688=1,INDEX(tx_Desc,1682)&amp;"","")</f>
        <v/>
      </c>
      <c r="G1688" s="58">
        <f>IF(H1688=1,IF(INDEX(tx_Cust,1682)&amp;""&lt;&gt;"",INDEX(tx_Cust,1682)&amp;"",INDEX(tx_Vend,1682)&amp;""),"")</f>
        <v/>
      </c>
      <c r="H1688" s="101">
        <f>IFERROR(N(INDEX(tx_Posted,1682)),0)</f>
        <v/>
      </c>
      <c r="I1688" s="58">
        <f>IF(H1688=1,INDEX(tx_DrAcct,1682)&amp;"","")</f>
        <v/>
      </c>
      <c r="J1688" s="95">
        <f>IF(H1688=1,INDEX(tx_DrAmt,1682),0)</f>
        <v/>
      </c>
      <c r="K1688" s="58">
        <f>IF(H1688=1,INDEX(tx_CrAcct,1682)&amp;"","")</f>
        <v/>
      </c>
      <c r="L1688" s="95">
        <f>IF(H1688=1,INDEX(tx_CrAmt,1682),0)</f>
        <v/>
      </c>
      <c r="M1688" s="95">
        <f>IF(H1688=1,INDEX(tx_TaxDr,1682),0)</f>
        <v/>
      </c>
      <c r="N1688" s="95">
        <f>IF(H1688=1,INDEX(tx_TaxCr,1682),0)</f>
        <v/>
      </c>
      <c r="O1688" s="101">
        <f>IF(H1688=1,IF(E1688&lt;FYStart,0,IF(E1688&gt;FYEnd,13,YEAR(E1688)*12+MONTH(E1688)-FYYM+1)),"")</f>
        <v/>
      </c>
      <c r="P1688" s="101">
        <f>IF(H1688=1,IF(IFERROR(INDEX(coa_CF,MATCH(I1688,coa_Name,0)),"")="Cash",1,0),0)</f>
        <v/>
      </c>
      <c r="Q1688" s="101">
        <f>IF(H1688=1,IF(IFERROR(INDEX(coa_CF,MATCH(K1688,coa_Name,0)),"")="Cash",1,0),0)</f>
        <v/>
      </c>
      <c r="R1688" s="58">
        <f>IF((P1688-Q1688)=0,"",IFERROR(INDEX(coa_CF,MATCH(IF((P1688-Q1688)=1,K1688,I1688),coa_Name,0)),"Operating"))</f>
        <v/>
      </c>
      <c r="S1688" s="95">
        <f>IF((P1688-Q1688)=1,L1688,IF((P1688-Q1688)=-1,-J1688,0))</f>
        <v/>
      </c>
      <c r="T1688" s="95">
        <f>IF((P1688-Q1688)=1,N1688,IF((P1688-Q1688)=-1,-M1688,0))</f>
        <v/>
      </c>
      <c r="U1688" s="101">
        <f>IF(AND(H1688=1,LedAcct&lt;&gt;""),IF(AND(E1688&gt;=LedFrom,E1688&lt;=LedTo,OR(I1688=LedAcct,K1688=LedAcct,AND(LedAcct=acctTax,M1688+N1688&lt;&gt;0))),E1688*10000+B1688,""),"")</f>
        <v/>
      </c>
    </row>
    <row r="1689">
      <c r="B1689" s="101" t="n">
        <v>1683</v>
      </c>
      <c r="C1689" s="58" t="inlineStr">
        <is>
          <t>Transaction</t>
        </is>
      </c>
      <c r="D1689" s="58">
        <f>IF(H1689=1,INDEX(tx_ID,1683)&amp;"","")</f>
        <v/>
      </c>
      <c r="E1689" s="94">
        <f>IF(H1689=1,INDEX(tx_Date,1683),"")</f>
        <v/>
      </c>
      <c r="F1689" s="58">
        <f>IF(H1689=1,INDEX(tx_Desc,1683)&amp;"","")</f>
        <v/>
      </c>
      <c r="G1689" s="58">
        <f>IF(H1689=1,IF(INDEX(tx_Cust,1683)&amp;""&lt;&gt;"",INDEX(tx_Cust,1683)&amp;"",INDEX(tx_Vend,1683)&amp;""),"")</f>
        <v/>
      </c>
      <c r="H1689" s="101">
        <f>IFERROR(N(INDEX(tx_Posted,1683)),0)</f>
        <v/>
      </c>
      <c r="I1689" s="58">
        <f>IF(H1689=1,INDEX(tx_DrAcct,1683)&amp;"","")</f>
        <v/>
      </c>
      <c r="J1689" s="95">
        <f>IF(H1689=1,INDEX(tx_DrAmt,1683),0)</f>
        <v/>
      </c>
      <c r="K1689" s="58">
        <f>IF(H1689=1,INDEX(tx_CrAcct,1683)&amp;"","")</f>
        <v/>
      </c>
      <c r="L1689" s="95">
        <f>IF(H1689=1,INDEX(tx_CrAmt,1683),0)</f>
        <v/>
      </c>
      <c r="M1689" s="95">
        <f>IF(H1689=1,INDEX(tx_TaxDr,1683),0)</f>
        <v/>
      </c>
      <c r="N1689" s="95">
        <f>IF(H1689=1,INDEX(tx_TaxCr,1683),0)</f>
        <v/>
      </c>
      <c r="O1689" s="101">
        <f>IF(H1689=1,IF(E1689&lt;FYStart,0,IF(E1689&gt;FYEnd,13,YEAR(E1689)*12+MONTH(E1689)-FYYM+1)),"")</f>
        <v/>
      </c>
      <c r="P1689" s="101">
        <f>IF(H1689=1,IF(IFERROR(INDEX(coa_CF,MATCH(I1689,coa_Name,0)),"")="Cash",1,0),0)</f>
        <v/>
      </c>
      <c r="Q1689" s="101">
        <f>IF(H1689=1,IF(IFERROR(INDEX(coa_CF,MATCH(K1689,coa_Name,0)),"")="Cash",1,0),0)</f>
        <v/>
      </c>
      <c r="R1689" s="58">
        <f>IF((P1689-Q1689)=0,"",IFERROR(INDEX(coa_CF,MATCH(IF((P1689-Q1689)=1,K1689,I1689),coa_Name,0)),"Operating"))</f>
        <v/>
      </c>
      <c r="S1689" s="95">
        <f>IF((P1689-Q1689)=1,L1689,IF((P1689-Q1689)=-1,-J1689,0))</f>
        <v/>
      </c>
      <c r="T1689" s="95">
        <f>IF((P1689-Q1689)=1,N1689,IF((P1689-Q1689)=-1,-M1689,0))</f>
        <v/>
      </c>
      <c r="U1689" s="101">
        <f>IF(AND(H1689=1,LedAcct&lt;&gt;""),IF(AND(E1689&gt;=LedFrom,E1689&lt;=LedTo,OR(I1689=LedAcct,K1689=LedAcct,AND(LedAcct=acctTax,M1689+N1689&lt;&gt;0))),E1689*10000+B1689,""),"")</f>
        <v/>
      </c>
    </row>
    <row r="1690">
      <c r="B1690" s="101" t="n">
        <v>1684</v>
      </c>
      <c r="C1690" s="58" t="inlineStr">
        <is>
          <t>Transaction</t>
        </is>
      </c>
      <c r="D1690" s="58">
        <f>IF(H1690=1,INDEX(tx_ID,1684)&amp;"","")</f>
        <v/>
      </c>
      <c r="E1690" s="94">
        <f>IF(H1690=1,INDEX(tx_Date,1684),"")</f>
        <v/>
      </c>
      <c r="F1690" s="58">
        <f>IF(H1690=1,INDEX(tx_Desc,1684)&amp;"","")</f>
        <v/>
      </c>
      <c r="G1690" s="58">
        <f>IF(H1690=1,IF(INDEX(tx_Cust,1684)&amp;""&lt;&gt;"",INDEX(tx_Cust,1684)&amp;"",INDEX(tx_Vend,1684)&amp;""),"")</f>
        <v/>
      </c>
      <c r="H1690" s="101">
        <f>IFERROR(N(INDEX(tx_Posted,1684)),0)</f>
        <v/>
      </c>
      <c r="I1690" s="58">
        <f>IF(H1690=1,INDEX(tx_DrAcct,1684)&amp;"","")</f>
        <v/>
      </c>
      <c r="J1690" s="95">
        <f>IF(H1690=1,INDEX(tx_DrAmt,1684),0)</f>
        <v/>
      </c>
      <c r="K1690" s="58">
        <f>IF(H1690=1,INDEX(tx_CrAcct,1684)&amp;"","")</f>
        <v/>
      </c>
      <c r="L1690" s="95">
        <f>IF(H1690=1,INDEX(tx_CrAmt,1684),0)</f>
        <v/>
      </c>
      <c r="M1690" s="95">
        <f>IF(H1690=1,INDEX(tx_TaxDr,1684),0)</f>
        <v/>
      </c>
      <c r="N1690" s="95">
        <f>IF(H1690=1,INDEX(tx_TaxCr,1684),0)</f>
        <v/>
      </c>
      <c r="O1690" s="101">
        <f>IF(H1690=1,IF(E1690&lt;FYStart,0,IF(E1690&gt;FYEnd,13,YEAR(E1690)*12+MONTH(E1690)-FYYM+1)),"")</f>
        <v/>
      </c>
      <c r="P1690" s="101">
        <f>IF(H1690=1,IF(IFERROR(INDEX(coa_CF,MATCH(I1690,coa_Name,0)),"")="Cash",1,0),0)</f>
        <v/>
      </c>
      <c r="Q1690" s="101">
        <f>IF(H1690=1,IF(IFERROR(INDEX(coa_CF,MATCH(K1690,coa_Name,0)),"")="Cash",1,0),0)</f>
        <v/>
      </c>
      <c r="R1690" s="58">
        <f>IF((P1690-Q1690)=0,"",IFERROR(INDEX(coa_CF,MATCH(IF((P1690-Q1690)=1,K1690,I1690),coa_Name,0)),"Operating"))</f>
        <v/>
      </c>
      <c r="S1690" s="95">
        <f>IF((P1690-Q1690)=1,L1690,IF((P1690-Q1690)=-1,-J1690,0))</f>
        <v/>
      </c>
      <c r="T1690" s="95">
        <f>IF((P1690-Q1690)=1,N1690,IF((P1690-Q1690)=-1,-M1690,0))</f>
        <v/>
      </c>
      <c r="U1690" s="101">
        <f>IF(AND(H1690=1,LedAcct&lt;&gt;""),IF(AND(E1690&gt;=LedFrom,E1690&lt;=LedTo,OR(I1690=LedAcct,K1690=LedAcct,AND(LedAcct=acctTax,M1690+N1690&lt;&gt;0))),E1690*10000+B1690,""),"")</f>
        <v/>
      </c>
    </row>
    <row r="1691">
      <c r="B1691" s="101" t="n">
        <v>1685</v>
      </c>
      <c r="C1691" s="58" t="inlineStr">
        <is>
          <t>Transaction</t>
        </is>
      </c>
      <c r="D1691" s="58">
        <f>IF(H1691=1,INDEX(tx_ID,1685)&amp;"","")</f>
        <v/>
      </c>
      <c r="E1691" s="94">
        <f>IF(H1691=1,INDEX(tx_Date,1685),"")</f>
        <v/>
      </c>
      <c r="F1691" s="58">
        <f>IF(H1691=1,INDEX(tx_Desc,1685)&amp;"","")</f>
        <v/>
      </c>
      <c r="G1691" s="58">
        <f>IF(H1691=1,IF(INDEX(tx_Cust,1685)&amp;""&lt;&gt;"",INDEX(tx_Cust,1685)&amp;"",INDEX(tx_Vend,1685)&amp;""),"")</f>
        <v/>
      </c>
      <c r="H1691" s="101">
        <f>IFERROR(N(INDEX(tx_Posted,1685)),0)</f>
        <v/>
      </c>
      <c r="I1691" s="58">
        <f>IF(H1691=1,INDEX(tx_DrAcct,1685)&amp;"","")</f>
        <v/>
      </c>
      <c r="J1691" s="95">
        <f>IF(H1691=1,INDEX(tx_DrAmt,1685),0)</f>
        <v/>
      </c>
      <c r="K1691" s="58">
        <f>IF(H1691=1,INDEX(tx_CrAcct,1685)&amp;"","")</f>
        <v/>
      </c>
      <c r="L1691" s="95">
        <f>IF(H1691=1,INDEX(tx_CrAmt,1685),0)</f>
        <v/>
      </c>
      <c r="M1691" s="95">
        <f>IF(H1691=1,INDEX(tx_TaxDr,1685),0)</f>
        <v/>
      </c>
      <c r="N1691" s="95">
        <f>IF(H1691=1,INDEX(tx_TaxCr,1685),0)</f>
        <v/>
      </c>
      <c r="O1691" s="101">
        <f>IF(H1691=1,IF(E1691&lt;FYStart,0,IF(E1691&gt;FYEnd,13,YEAR(E1691)*12+MONTH(E1691)-FYYM+1)),"")</f>
        <v/>
      </c>
      <c r="P1691" s="101">
        <f>IF(H1691=1,IF(IFERROR(INDEX(coa_CF,MATCH(I1691,coa_Name,0)),"")="Cash",1,0),0)</f>
        <v/>
      </c>
      <c r="Q1691" s="101">
        <f>IF(H1691=1,IF(IFERROR(INDEX(coa_CF,MATCH(K1691,coa_Name,0)),"")="Cash",1,0),0)</f>
        <v/>
      </c>
      <c r="R1691" s="58">
        <f>IF((P1691-Q1691)=0,"",IFERROR(INDEX(coa_CF,MATCH(IF((P1691-Q1691)=1,K1691,I1691),coa_Name,0)),"Operating"))</f>
        <v/>
      </c>
      <c r="S1691" s="95">
        <f>IF((P1691-Q1691)=1,L1691,IF((P1691-Q1691)=-1,-J1691,0))</f>
        <v/>
      </c>
      <c r="T1691" s="95">
        <f>IF((P1691-Q1691)=1,N1691,IF((P1691-Q1691)=-1,-M1691,0))</f>
        <v/>
      </c>
      <c r="U1691" s="101">
        <f>IF(AND(H1691=1,LedAcct&lt;&gt;""),IF(AND(E1691&gt;=LedFrom,E1691&lt;=LedTo,OR(I1691=LedAcct,K1691=LedAcct,AND(LedAcct=acctTax,M1691+N1691&lt;&gt;0))),E1691*10000+B1691,""),"")</f>
        <v/>
      </c>
    </row>
    <row r="1692">
      <c r="B1692" s="101" t="n">
        <v>1686</v>
      </c>
      <c r="C1692" s="58" t="inlineStr">
        <is>
          <t>Transaction</t>
        </is>
      </c>
      <c r="D1692" s="58">
        <f>IF(H1692=1,INDEX(tx_ID,1686)&amp;"","")</f>
        <v/>
      </c>
      <c r="E1692" s="94">
        <f>IF(H1692=1,INDEX(tx_Date,1686),"")</f>
        <v/>
      </c>
      <c r="F1692" s="58">
        <f>IF(H1692=1,INDEX(tx_Desc,1686)&amp;"","")</f>
        <v/>
      </c>
      <c r="G1692" s="58">
        <f>IF(H1692=1,IF(INDEX(tx_Cust,1686)&amp;""&lt;&gt;"",INDEX(tx_Cust,1686)&amp;"",INDEX(tx_Vend,1686)&amp;""),"")</f>
        <v/>
      </c>
      <c r="H1692" s="101">
        <f>IFERROR(N(INDEX(tx_Posted,1686)),0)</f>
        <v/>
      </c>
      <c r="I1692" s="58">
        <f>IF(H1692=1,INDEX(tx_DrAcct,1686)&amp;"","")</f>
        <v/>
      </c>
      <c r="J1692" s="95">
        <f>IF(H1692=1,INDEX(tx_DrAmt,1686),0)</f>
        <v/>
      </c>
      <c r="K1692" s="58">
        <f>IF(H1692=1,INDEX(tx_CrAcct,1686)&amp;"","")</f>
        <v/>
      </c>
      <c r="L1692" s="95">
        <f>IF(H1692=1,INDEX(tx_CrAmt,1686),0)</f>
        <v/>
      </c>
      <c r="M1692" s="95">
        <f>IF(H1692=1,INDEX(tx_TaxDr,1686),0)</f>
        <v/>
      </c>
      <c r="N1692" s="95">
        <f>IF(H1692=1,INDEX(tx_TaxCr,1686),0)</f>
        <v/>
      </c>
      <c r="O1692" s="101">
        <f>IF(H1692=1,IF(E1692&lt;FYStart,0,IF(E1692&gt;FYEnd,13,YEAR(E1692)*12+MONTH(E1692)-FYYM+1)),"")</f>
        <v/>
      </c>
      <c r="P1692" s="101">
        <f>IF(H1692=1,IF(IFERROR(INDEX(coa_CF,MATCH(I1692,coa_Name,0)),"")="Cash",1,0),0)</f>
        <v/>
      </c>
      <c r="Q1692" s="101">
        <f>IF(H1692=1,IF(IFERROR(INDEX(coa_CF,MATCH(K1692,coa_Name,0)),"")="Cash",1,0),0)</f>
        <v/>
      </c>
      <c r="R1692" s="58">
        <f>IF((P1692-Q1692)=0,"",IFERROR(INDEX(coa_CF,MATCH(IF((P1692-Q1692)=1,K1692,I1692),coa_Name,0)),"Operating"))</f>
        <v/>
      </c>
      <c r="S1692" s="95">
        <f>IF((P1692-Q1692)=1,L1692,IF((P1692-Q1692)=-1,-J1692,0))</f>
        <v/>
      </c>
      <c r="T1692" s="95">
        <f>IF((P1692-Q1692)=1,N1692,IF((P1692-Q1692)=-1,-M1692,0))</f>
        <v/>
      </c>
      <c r="U1692" s="101">
        <f>IF(AND(H1692=1,LedAcct&lt;&gt;""),IF(AND(E1692&gt;=LedFrom,E1692&lt;=LedTo,OR(I1692=LedAcct,K1692=LedAcct,AND(LedAcct=acctTax,M1692+N1692&lt;&gt;0))),E1692*10000+B1692,""),"")</f>
        <v/>
      </c>
    </row>
    <row r="1693">
      <c r="B1693" s="101" t="n">
        <v>1687</v>
      </c>
      <c r="C1693" s="58" t="inlineStr">
        <is>
          <t>Transaction</t>
        </is>
      </c>
      <c r="D1693" s="58">
        <f>IF(H1693=1,INDEX(tx_ID,1687)&amp;"","")</f>
        <v/>
      </c>
      <c r="E1693" s="94">
        <f>IF(H1693=1,INDEX(tx_Date,1687),"")</f>
        <v/>
      </c>
      <c r="F1693" s="58">
        <f>IF(H1693=1,INDEX(tx_Desc,1687)&amp;"","")</f>
        <v/>
      </c>
      <c r="G1693" s="58">
        <f>IF(H1693=1,IF(INDEX(tx_Cust,1687)&amp;""&lt;&gt;"",INDEX(tx_Cust,1687)&amp;"",INDEX(tx_Vend,1687)&amp;""),"")</f>
        <v/>
      </c>
      <c r="H1693" s="101">
        <f>IFERROR(N(INDEX(tx_Posted,1687)),0)</f>
        <v/>
      </c>
      <c r="I1693" s="58">
        <f>IF(H1693=1,INDEX(tx_DrAcct,1687)&amp;"","")</f>
        <v/>
      </c>
      <c r="J1693" s="95">
        <f>IF(H1693=1,INDEX(tx_DrAmt,1687),0)</f>
        <v/>
      </c>
      <c r="K1693" s="58">
        <f>IF(H1693=1,INDEX(tx_CrAcct,1687)&amp;"","")</f>
        <v/>
      </c>
      <c r="L1693" s="95">
        <f>IF(H1693=1,INDEX(tx_CrAmt,1687),0)</f>
        <v/>
      </c>
      <c r="M1693" s="95">
        <f>IF(H1693=1,INDEX(tx_TaxDr,1687),0)</f>
        <v/>
      </c>
      <c r="N1693" s="95">
        <f>IF(H1693=1,INDEX(tx_TaxCr,1687),0)</f>
        <v/>
      </c>
      <c r="O1693" s="101">
        <f>IF(H1693=1,IF(E1693&lt;FYStart,0,IF(E1693&gt;FYEnd,13,YEAR(E1693)*12+MONTH(E1693)-FYYM+1)),"")</f>
        <v/>
      </c>
      <c r="P1693" s="101">
        <f>IF(H1693=1,IF(IFERROR(INDEX(coa_CF,MATCH(I1693,coa_Name,0)),"")="Cash",1,0),0)</f>
        <v/>
      </c>
      <c r="Q1693" s="101">
        <f>IF(H1693=1,IF(IFERROR(INDEX(coa_CF,MATCH(K1693,coa_Name,0)),"")="Cash",1,0),0)</f>
        <v/>
      </c>
      <c r="R1693" s="58">
        <f>IF((P1693-Q1693)=0,"",IFERROR(INDEX(coa_CF,MATCH(IF((P1693-Q1693)=1,K1693,I1693),coa_Name,0)),"Operating"))</f>
        <v/>
      </c>
      <c r="S1693" s="95">
        <f>IF((P1693-Q1693)=1,L1693,IF((P1693-Q1693)=-1,-J1693,0))</f>
        <v/>
      </c>
      <c r="T1693" s="95">
        <f>IF((P1693-Q1693)=1,N1693,IF((P1693-Q1693)=-1,-M1693,0))</f>
        <v/>
      </c>
      <c r="U1693" s="101">
        <f>IF(AND(H1693=1,LedAcct&lt;&gt;""),IF(AND(E1693&gt;=LedFrom,E1693&lt;=LedTo,OR(I1693=LedAcct,K1693=LedAcct,AND(LedAcct=acctTax,M1693+N1693&lt;&gt;0))),E1693*10000+B1693,""),"")</f>
        <v/>
      </c>
    </row>
    <row r="1694">
      <c r="B1694" s="101" t="n">
        <v>1688</v>
      </c>
      <c r="C1694" s="58" t="inlineStr">
        <is>
          <t>Transaction</t>
        </is>
      </c>
      <c r="D1694" s="58">
        <f>IF(H1694=1,INDEX(tx_ID,1688)&amp;"","")</f>
        <v/>
      </c>
      <c r="E1694" s="94">
        <f>IF(H1694=1,INDEX(tx_Date,1688),"")</f>
        <v/>
      </c>
      <c r="F1694" s="58">
        <f>IF(H1694=1,INDEX(tx_Desc,1688)&amp;"","")</f>
        <v/>
      </c>
      <c r="G1694" s="58">
        <f>IF(H1694=1,IF(INDEX(tx_Cust,1688)&amp;""&lt;&gt;"",INDEX(tx_Cust,1688)&amp;"",INDEX(tx_Vend,1688)&amp;""),"")</f>
        <v/>
      </c>
      <c r="H1694" s="101">
        <f>IFERROR(N(INDEX(tx_Posted,1688)),0)</f>
        <v/>
      </c>
      <c r="I1694" s="58">
        <f>IF(H1694=1,INDEX(tx_DrAcct,1688)&amp;"","")</f>
        <v/>
      </c>
      <c r="J1694" s="95">
        <f>IF(H1694=1,INDEX(tx_DrAmt,1688),0)</f>
        <v/>
      </c>
      <c r="K1694" s="58">
        <f>IF(H1694=1,INDEX(tx_CrAcct,1688)&amp;"","")</f>
        <v/>
      </c>
      <c r="L1694" s="95">
        <f>IF(H1694=1,INDEX(tx_CrAmt,1688),0)</f>
        <v/>
      </c>
      <c r="M1694" s="95">
        <f>IF(H1694=1,INDEX(tx_TaxDr,1688),0)</f>
        <v/>
      </c>
      <c r="N1694" s="95">
        <f>IF(H1694=1,INDEX(tx_TaxCr,1688),0)</f>
        <v/>
      </c>
      <c r="O1694" s="101">
        <f>IF(H1694=1,IF(E1694&lt;FYStart,0,IF(E1694&gt;FYEnd,13,YEAR(E1694)*12+MONTH(E1694)-FYYM+1)),"")</f>
        <v/>
      </c>
      <c r="P1694" s="101">
        <f>IF(H1694=1,IF(IFERROR(INDEX(coa_CF,MATCH(I1694,coa_Name,0)),"")="Cash",1,0),0)</f>
        <v/>
      </c>
      <c r="Q1694" s="101">
        <f>IF(H1694=1,IF(IFERROR(INDEX(coa_CF,MATCH(K1694,coa_Name,0)),"")="Cash",1,0),0)</f>
        <v/>
      </c>
      <c r="R1694" s="58">
        <f>IF((P1694-Q1694)=0,"",IFERROR(INDEX(coa_CF,MATCH(IF((P1694-Q1694)=1,K1694,I1694),coa_Name,0)),"Operating"))</f>
        <v/>
      </c>
      <c r="S1694" s="95">
        <f>IF((P1694-Q1694)=1,L1694,IF((P1694-Q1694)=-1,-J1694,0))</f>
        <v/>
      </c>
      <c r="T1694" s="95">
        <f>IF((P1694-Q1694)=1,N1694,IF((P1694-Q1694)=-1,-M1694,0))</f>
        <v/>
      </c>
      <c r="U1694" s="101">
        <f>IF(AND(H1694=1,LedAcct&lt;&gt;""),IF(AND(E1694&gt;=LedFrom,E1694&lt;=LedTo,OR(I1694=LedAcct,K1694=LedAcct,AND(LedAcct=acctTax,M1694+N1694&lt;&gt;0))),E1694*10000+B1694,""),"")</f>
        <v/>
      </c>
    </row>
    <row r="1695">
      <c r="B1695" s="101" t="n">
        <v>1689</v>
      </c>
      <c r="C1695" s="58" t="inlineStr">
        <is>
          <t>Transaction</t>
        </is>
      </c>
      <c r="D1695" s="58">
        <f>IF(H1695=1,INDEX(tx_ID,1689)&amp;"","")</f>
        <v/>
      </c>
      <c r="E1695" s="94">
        <f>IF(H1695=1,INDEX(tx_Date,1689),"")</f>
        <v/>
      </c>
      <c r="F1695" s="58">
        <f>IF(H1695=1,INDEX(tx_Desc,1689)&amp;"","")</f>
        <v/>
      </c>
      <c r="G1695" s="58">
        <f>IF(H1695=1,IF(INDEX(tx_Cust,1689)&amp;""&lt;&gt;"",INDEX(tx_Cust,1689)&amp;"",INDEX(tx_Vend,1689)&amp;""),"")</f>
        <v/>
      </c>
      <c r="H1695" s="101">
        <f>IFERROR(N(INDEX(tx_Posted,1689)),0)</f>
        <v/>
      </c>
      <c r="I1695" s="58">
        <f>IF(H1695=1,INDEX(tx_DrAcct,1689)&amp;"","")</f>
        <v/>
      </c>
      <c r="J1695" s="95">
        <f>IF(H1695=1,INDEX(tx_DrAmt,1689),0)</f>
        <v/>
      </c>
      <c r="K1695" s="58">
        <f>IF(H1695=1,INDEX(tx_CrAcct,1689)&amp;"","")</f>
        <v/>
      </c>
      <c r="L1695" s="95">
        <f>IF(H1695=1,INDEX(tx_CrAmt,1689),0)</f>
        <v/>
      </c>
      <c r="M1695" s="95">
        <f>IF(H1695=1,INDEX(tx_TaxDr,1689),0)</f>
        <v/>
      </c>
      <c r="N1695" s="95">
        <f>IF(H1695=1,INDEX(tx_TaxCr,1689),0)</f>
        <v/>
      </c>
      <c r="O1695" s="101">
        <f>IF(H1695=1,IF(E1695&lt;FYStart,0,IF(E1695&gt;FYEnd,13,YEAR(E1695)*12+MONTH(E1695)-FYYM+1)),"")</f>
        <v/>
      </c>
      <c r="P1695" s="101">
        <f>IF(H1695=1,IF(IFERROR(INDEX(coa_CF,MATCH(I1695,coa_Name,0)),"")="Cash",1,0),0)</f>
        <v/>
      </c>
      <c r="Q1695" s="101">
        <f>IF(H1695=1,IF(IFERROR(INDEX(coa_CF,MATCH(K1695,coa_Name,0)),"")="Cash",1,0),0)</f>
        <v/>
      </c>
      <c r="R1695" s="58">
        <f>IF((P1695-Q1695)=0,"",IFERROR(INDEX(coa_CF,MATCH(IF((P1695-Q1695)=1,K1695,I1695),coa_Name,0)),"Operating"))</f>
        <v/>
      </c>
      <c r="S1695" s="95">
        <f>IF((P1695-Q1695)=1,L1695,IF((P1695-Q1695)=-1,-J1695,0))</f>
        <v/>
      </c>
      <c r="T1695" s="95">
        <f>IF((P1695-Q1695)=1,N1695,IF((P1695-Q1695)=-1,-M1695,0))</f>
        <v/>
      </c>
      <c r="U1695" s="101">
        <f>IF(AND(H1695=1,LedAcct&lt;&gt;""),IF(AND(E1695&gt;=LedFrom,E1695&lt;=LedTo,OR(I1695=LedAcct,K1695=LedAcct,AND(LedAcct=acctTax,M1695+N1695&lt;&gt;0))),E1695*10000+B1695,""),"")</f>
        <v/>
      </c>
    </row>
    <row r="1696">
      <c r="B1696" s="101" t="n">
        <v>1690</v>
      </c>
      <c r="C1696" s="58" t="inlineStr">
        <is>
          <t>Transaction</t>
        </is>
      </c>
      <c r="D1696" s="58">
        <f>IF(H1696=1,INDEX(tx_ID,1690)&amp;"","")</f>
        <v/>
      </c>
      <c r="E1696" s="94">
        <f>IF(H1696=1,INDEX(tx_Date,1690),"")</f>
        <v/>
      </c>
      <c r="F1696" s="58">
        <f>IF(H1696=1,INDEX(tx_Desc,1690)&amp;"","")</f>
        <v/>
      </c>
      <c r="G1696" s="58">
        <f>IF(H1696=1,IF(INDEX(tx_Cust,1690)&amp;""&lt;&gt;"",INDEX(tx_Cust,1690)&amp;"",INDEX(tx_Vend,1690)&amp;""),"")</f>
        <v/>
      </c>
      <c r="H1696" s="101">
        <f>IFERROR(N(INDEX(tx_Posted,1690)),0)</f>
        <v/>
      </c>
      <c r="I1696" s="58">
        <f>IF(H1696=1,INDEX(tx_DrAcct,1690)&amp;"","")</f>
        <v/>
      </c>
      <c r="J1696" s="95">
        <f>IF(H1696=1,INDEX(tx_DrAmt,1690),0)</f>
        <v/>
      </c>
      <c r="K1696" s="58">
        <f>IF(H1696=1,INDEX(tx_CrAcct,1690)&amp;"","")</f>
        <v/>
      </c>
      <c r="L1696" s="95">
        <f>IF(H1696=1,INDEX(tx_CrAmt,1690),0)</f>
        <v/>
      </c>
      <c r="M1696" s="95">
        <f>IF(H1696=1,INDEX(tx_TaxDr,1690),0)</f>
        <v/>
      </c>
      <c r="N1696" s="95">
        <f>IF(H1696=1,INDEX(tx_TaxCr,1690),0)</f>
        <v/>
      </c>
      <c r="O1696" s="101">
        <f>IF(H1696=1,IF(E1696&lt;FYStart,0,IF(E1696&gt;FYEnd,13,YEAR(E1696)*12+MONTH(E1696)-FYYM+1)),"")</f>
        <v/>
      </c>
      <c r="P1696" s="101">
        <f>IF(H1696=1,IF(IFERROR(INDEX(coa_CF,MATCH(I1696,coa_Name,0)),"")="Cash",1,0),0)</f>
        <v/>
      </c>
      <c r="Q1696" s="101">
        <f>IF(H1696=1,IF(IFERROR(INDEX(coa_CF,MATCH(K1696,coa_Name,0)),"")="Cash",1,0),0)</f>
        <v/>
      </c>
      <c r="R1696" s="58">
        <f>IF((P1696-Q1696)=0,"",IFERROR(INDEX(coa_CF,MATCH(IF((P1696-Q1696)=1,K1696,I1696),coa_Name,0)),"Operating"))</f>
        <v/>
      </c>
      <c r="S1696" s="95">
        <f>IF((P1696-Q1696)=1,L1696,IF((P1696-Q1696)=-1,-J1696,0))</f>
        <v/>
      </c>
      <c r="T1696" s="95">
        <f>IF((P1696-Q1696)=1,N1696,IF((P1696-Q1696)=-1,-M1696,0))</f>
        <v/>
      </c>
      <c r="U1696" s="101">
        <f>IF(AND(H1696=1,LedAcct&lt;&gt;""),IF(AND(E1696&gt;=LedFrom,E1696&lt;=LedTo,OR(I1696=LedAcct,K1696=LedAcct,AND(LedAcct=acctTax,M1696+N1696&lt;&gt;0))),E1696*10000+B1696,""),"")</f>
        <v/>
      </c>
    </row>
    <row r="1697">
      <c r="B1697" s="101" t="n">
        <v>1691</v>
      </c>
      <c r="C1697" s="58" t="inlineStr">
        <is>
          <t>Transaction</t>
        </is>
      </c>
      <c r="D1697" s="58">
        <f>IF(H1697=1,INDEX(tx_ID,1691)&amp;"","")</f>
        <v/>
      </c>
      <c r="E1697" s="94">
        <f>IF(H1697=1,INDEX(tx_Date,1691),"")</f>
        <v/>
      </c>
      <c r="F1697" s="58">
        <f>IF(H1697=1,INDEX(tx_Desc,1691)&amp;"","")</f>
        <v/>
      </c>
      <c r="G1697" s="58">
        <f>IF(H1697=1,IF(INDEX(tx_Cust,1691)&amp;""&lt;&gt;"",INDEX(tx_Cust,1691)&amp;"",INDEX(tx_Vend,1691)&amp;""),"")</f>
        <v/>
      </c>
      <c r="H1697" s="101">
        <f>IFERROR(N(INDEX(tx_Posted,1691)),0)</f>
        <v/>
      </c>
      <c r="I1697" s="58">
        <f>IF(H1697=1,INDEX(tx_DrAcct,1691)&amp;"","")</f>
        <v/>
      </c>
      <c r="J1697" s="95">
        <f>IF(H1697=1,INDEX(tx_DrAmt,1691),0)</f>
        <v/>
      </c>
      <c r="K1697" s="58">
        <f>IF(H1697=1,INDEX(tx_CrAcct,1691)&amp;"","")</f>
        <v/>
      </c>
      <c r="L1697" s="95">
        <f>IF(H1697=1,INDEX(tx_CrAmt,1691),0)</f>
        <v/>
      </c>
      <c r="M1697" s="95">
        <f>IF(H1697=1,INDEX(tx_TaxDr,1691),0)</f>
        <v/>
      </c>
      <c r="N1697" s="95">
        <f>IF(H1697=1,INDEX(tx_TaxCr,1691),0)</f>
        <v/>
      </c>
      <c r="O1697" s="101">
        <f>IF(H1697=1,IF(E1697&lt;FYStart,0,IF(E1697&gt;FYEnd,13,YEAR(E1697)*12+MONTH(E1697)-FYYM+1)),"")</f>
        <v/>
      </c>
      <c r="P1697" s="101">
        <f>IF(H1697=1,IF(IFERROR(INDEX(coa_CF,MATCH(I1697,coa_Name,0)),"")="Cash",1,0),0)</f>
        <v/>
      </c>
      <c r="Q1697" s="101">
        <f>IF(H1697=1,IF(IFERROR(INDEX(coa_CF,MATCH(K1697,coa_Name,0)),"")="Cash",1,0),0)</f>
        <v/>
      </c>
      <c r="R1697" s="58">
        <f>IF((P1697-Q1697)=0,"",IFERROR(INDEX(coa_CF,MATCH(IF((P1697-Q1697)=1,K1697,I1697),coa_Name,0)),"Operating"))</f>
        <v/>
      </c>
      <c r="S1697" s="95">
        <f>IF((P1697-Q1697)=1,L1697,IF((P1697-Q1697)=-1,-J1697,0))</f>
        <v/>
      </c>
      <c r="T1697" s="95">
        <f>IF((P1697-Q1697)=1,N1697,IF((P1697-Q1697)=-1,-M1697,0))</f>
        <v/>
      </c>
      <c r="U1697" s="101">
        <f>IF(AND(H1697=1,LedAcct&lt;&gt;""),IF(AND(E1697&gt;=LedFrom,E1697&lt;=LedTo,OR(I1697=LedAcct,K1697=LedAcct,AND(LedAcct=acctTax,M1697+N1697&lt;&gt;0))),E1697*10000+B1697,""),"")</f>
        <v/>
      </c>
    </row>
    <row r="1698">
      <c r="B1698" s="101" t="n">
        <v>1692</v>
      </c>
      <c r="C1698" s="58" t="inlineStr">
        <is>
          <t>Transaction</t>
        </is>
      </c>
      <c r="D1698" s="58">
        <f>IF(H1698=1,INDEX(tx_ID,1692)&amp;"","")</f>
        <v/>
      </c>
      <c r="E1698" s="94">
        <f>IF(H1698=1,INDEX(tx_Date,1692),"")</f>
        <v/>
      </c>
      <c r="F1698" s="58">
        <f>IF(H1698=1,INDEX(tx_Desc,1692)&amp;"","")</f>
        <v/>
      </c>
      <c r="G1698" s="58">
        <f>IF(H1698=1,IF(INDEX(tx_Cust,1692)&amp;""&lt;&gt;"",INDEX(tx_Cust,1692)&amp;"",INDEX(tx_Vend,1692)&amp;""),"")</f>
        <v/>
      </c>
      <c r="H1698" s="101">
        <f>IFERROR(N(INDEX(tx_Posted,1692)),0)</f>
        <v/>
      </c>
      <c r="I1698" s="58">
        <f>IF(H1698=1,INDEX(tx_DrAcct,1692)&amp;"","")</f>
        <v/>
      </c>
      <c r="J1698" s="95">
        <f>IF(H1698=1,INDEX(tx_DrAmt,1692),0)</f>
        <v/>
      </c>
      <c r="K1698" s="58">
        <f>IF(H1698=1,INDEX(tx_CrAcct,1692)&amp;"","")</f>
        <v/>
      </c>
      <c r="L1698" s="95">
        <f>IF(H1698=1,INDEX(tx_CrAmt,1692),0)</f>
        <v/>
      </c>
      <c r="M1698" s="95">
        <f>IF(H1698=1,INDEX(tx_TaxDr,1692),0)</f>
        <v/>
      </c>
      <c r="N1698" s="95">
        <f>IF(H1698=1,INDEX(tx_TaxCr,1692),0)</f>
        <v/>
      </c>
      <c r="O1698" s="101">
        <f>IF(H1698=1,IF(E1698&lt;FYStart,0,IF(E1698&gt;FYEnd,13,YEAR(E1698)*12+MONTH(E1698)-FYYM+1)),"")</f>
        <v/>
      </c>
      <c r="P1698" s="101">
        <f>IF(H1698=1,IF(IFERROR(INDEX(coa_CF,MATCH(I1698,coa_Name,0)),"")="Cash",1,0),0)</f>
        <v/>
      </c>
      <c r="Q1698" s="101">
        <f>IF(H1698=1,IF(IFERROR(INDEX(coa_CF,MATCH(K1698,coa_Name,0)),"")="Cash",1,0),0)</f>
        <v/>
      </c>
      <c r="R1698" s="58">
        <f>IF((P1698-Q1698)=0,"",IFERROR(INDEX(coa_CF,MATCH(IF((P1698-Q1698)=1,K1698,I1698),coa_Name,0)),"Operating"))</f>
        <v/>
      </c>
      <c r="S1698" s="95">
        <f>IF((P1698-Q1698)=1,L1698,IF((P1698-Q1698)=-1,-J1698,0))</f>
        <v/>
      </c>
      <c r="T1698" s="95">
        <f>IF((P1698-Q1698)=1,N1698,IF((P1698-Q1698)=-1,-M1698,0))</f>
        <v/>
      </c>
      <c r="U1698" s="101">
        <f>IF(AND(H1698=1,LedAcct&lt;&gt;""),IF(AND(E1698&gt;=LedFrom,E1698&lt;=LedTo,OR(I1698=LedAcct,K1698=LedAcct,AND(LedAcct=acctTax,M1698+N1698&lt;&gt;0))),E1698*10000+B1698,""),"")</f>
        <v/>
      </c>
    </row>
    <row r="1699">
      <c r="B1699" s="101" t="n">
        <v>1693</v>
      </c>
      <c r="C1699" s="58" t="inlineStr">
        <is>
          <t>Transaction</t>
        </is>
      </c>
      <c r="D1699" s="58">
        <f>IF(H1699=1,INDEX(tx_ID,1693)&amp;"","")</f>
        <v/>
      </c>
      <c r="E1699" s="94">
        <f>IF(H1699=1,INDEX(tx_Date,1693),"")</f>
        <v/>
      </c>
      <c r="F1699" s="58">
        <f>IF(H1699=1,INDEX(tx_Desc,1693)&amp;"","")</f>
        <v/>
      </c>
      <c r="G1699" s="58">
        <f>IF(H1699=1,IF(INDEX(tx_Cust,1693)&amp;""&lt;&gt;"",INDEX(tx_Cust,1693)&amp;"",INDEX(tx_Vend,1693)&amp;""),"")</f>
        <v/>
      </c>
      <c r="H1699" s="101">
        <f>IFERROR(N(INDEX(tx_Posted,1693)),0)</f>
        <v/>
      </c>
      <c r="I1699" s="58">
        <f>IF(H1699=1,INDEX(tx_DrAcct,1693)&amp;"","")</f>
        <v/>
      </c>
      <c r="J1699" s="95">
        <f>IF(H1699=1,INDEX(tx_DrAmt,1693),0)</f>
        <v/>
      </c>
      <c r="K1699" s="58">
        <f>IF(H1699=1,INDEX(tx_CrAcct,1693)&amp;"","")</f>
        <v/>
      </c>
      <c r="L1699" s="95">
        <f>IF(H1699=1,INDEX(tx_CrAmt,1693),0)</f>
        <v/>
      </c>
      <c r="M1699" s="95">
        <f>IF(H1699=1,INDEX(tx_TaxDr,1693),0)</f>
        <v/>
      </c>
      <c r="N1699" s="95">
        <f>IF(H1699=1,INDEX(tx_TaxCr,1693),0)</f>
        <v/>
      </c>
      <c r="O1699" s="101">
        <f>IF(H1699=1,IF(E1699&lt;FYStart,0,IF(E1699&gt;FYEnd,13,YEAR(E1699)*12+MONTH(E1699)-FYYM+1)),"")</f>
        <v/>
      </c>
      <c r="P1699" s="101">
        <f>IF(H1699=1,IF(IFERROR(INDEX(coa_CF,MATCH(I1699,coa_Name,0)),"")="Cash",1,0),0)</f>
        <v/>
      </c>
      <c r="Q1699" s="101">
        <f>IF(H1699=1,IF(IFERROR(INDEX(coa_CF,MATCH(K1699,coa_Name,0)),"")="Cash",1,0),0)</f>
        <v/>
      </c>
      <c r="R1699" s="58">
        <f>IF((P1699-Q1699)=0,"",IFERROR(INDEX(coa_CF,MATCH(IF((P1699-Q1699)=1,K1699,I1699),coa_Name,0)),"Operating"))</f>
        <v/>
      </c>
      <c r="S1699" s="95">
        <f>IF((P1699-Q1699)=1,L1699,IF((P1699-Q1699)=-1,-J1699,0))</f>
        <v/>
      </c>
      <c r="T1699" s="95">
        <f>IF((P1699-Q1699)=1,N1699,IF((P1699-Q1699)=-1,-M1699,0))</f>
        <v/>
      </c>
      <c r="U1699" s="101">
        <f>IF(AND(H1699=1,LedAcct&lt;&gt;""),IF(AND(E1699&gt;=LedFrom,E1699&lt;=LedTo,OR(I1699=LedAcct,K1699=LedAcct,AND(LedAcct=acctTax,M1699+N1699&lt;&gt;0))),E1699*10000+B1699,""),"")</f>
        <v/>
      </c>
    </row>
    <row r="1700">
      <c r="B1700" s="101" t="n">
        <v>1694</v>
      </c>
      <c r="C1700" s="58" t="inlineStr">
        <is>
          <t>Transaction</t>
        </is>
      </c>
      <c r="D1700" s="58">
        <f>IF(H1700=1,INDEX(tx_ID,1694)&amp;"","")</f>
        <v/>
      </c>
      <c r="E1700" s="94">
        <f>IF(H1700=1,INDEX(tx_Date,1694),"")</f>
        <v/>
      </c>
      <c r="F1700" s="58">
        <f>IF(H1700=1,INDEX(tx_Desc,1694)&amp;"","")</f>
        <v/>
      </c>
      <c r="G1700" s="58">
        <f>IF(H1700=1,IF(INDEX(tx_Cust,1694)&amp;""&lt;&gt;"",INDEX(tx_Cust,1694)&amp;"",INDEX(tx_Vend,1694)&amp;""),"")</f>
        <v/>
      </c>
      <c r="H1700" s="101">
        <f>IFERROR(N(INDEX(tx_Posted,1694)),0)</f>
        <v/>
      </c>
      <c r="I1700" s="58">
        <f>IF(H1700=1,INDEX(tx_DrAcct,1694)&amp;"","")</f>
        <v/>
      </c>
      <c r="J1700" s="95">
        <f>IF(H1700=1,INDEX(tx_DrAmt,1694),0)</f>
        <v/>
      </c>
      <c r="K1700" s="58">
        <f>IF(H1700=1,INDEX(tx_CrAcct,1694)&amp;"","")</f>
        <v/>
      </c>
      <c r="L1700" s="95">
        <f>IF(H1700=1,INDEX(tx_CrAmt,1694),0)</f>
        <v/>
      </c>
      <c r="M1700" s="95">
        <f>IF(H1700=1,INDEX(tx_TaxDr,1694),0)</f>
        <v/>
      </c>
      <c r="N1700" s="95">
        <f>IF(H1700=1,INDEX(tx_TaxCr,1694),0)</f>
        <v/>
      </c>
      <c r="O1700" s="101">
        <f>IF(H1700=1,IF(E1700&lt;FYStart,0,IF(E1700&gt;FYEnd,13,YEAR(E1700)*12+MONTH(E1700)-FYYM+1)),"")</f>
        <v/>
      </c>
      <c r="P1700" s="101">
        <f>IF(H1700=1,IF(IFERROR(INDEX(coa_CF,MATCH(I1700,coa_Name,0)),"")="Cash",1,0),0)</f>
        <v/>
      </c>
      <c r="Q1700" s="101">
        <f>IF(H1700=1,IF(IFERROR(INDEX(coa_CF,MATCH(K1700,coa_Name,0)),"")="Cash",1,0),0)</f>
        <v/>
      </c>
      <c r="R1700" s="58">
        <f>IF((P1700-Q1700)=0,"",IFERROR(INDEX(coa_CF,MATCH(IF((P1700-Q1700)=1,K1700,I1700),coa_Name,0)),"Operating"))</f>
        <v/>
      </c>
      <c r="S1700" s="95">
        <f>IF((P1700-Q1700)=1,L1700,IF((P1700-Q1700)=-1,-J1700,0))</f>
        <v/>
      </c>
      <c r="T1700" s="95">
        <f>IF((P1700-Q1700)=1,N1700,IF((P1700-Q1700)=-1,-M1700,0))</f>
        <v/>
      </c>
      <c r="U1700" s="101">
        <f>IF(AND(H1700=1,LedAcct&lt;&gt;""),IF(AND(E1700&gt;=LedFrom,E1700&lt;=LedTo,OR(I1700=LedAcct,K1700=LedAcct,AND(LedAcct=acctTax,M1700+N1700&lt;&gt;0))),E1700*10000+B1700,""),"")</f>
        <v/>
      </c>
    </row>
    <row r="1701">
      <c r="B1701" s="101" t="n">
        <v>1695</v>
      </c>
      <c r="C1701" s="58" t="inlineStr">
        <is>
          <t>Transaction</t>
        </is>
      </c>
      <c r="D1701" s="58">
        <f>IF(H1701=1,INDEX(tx_ID,1695)&amp;"","")</f>
        <v/>
      </c>
      <c r="E1701" s="94">
        <f>IF(H1701=1,INDEX(tx_Date,1695),"")</f>
        <v/>
      </c>
      <c r="F1701" s="58">
        <f>IF(H1701=1,INDEX(tx_Desc,1695)&amp;"","")</f>
        <v/>
      </c>
      <c r="G1701" s="58">
        <f>IF(H1701=1,IF(INDEX(tx_Cust,1695)&amp;""&lt;&gt;"",INDEX(tx_Cust,1695)&amp;"",INDEX(tx_Vend,1695)&amp;""),"")</f>
        <v/>
      </c>
      <c r="H1701" s="101">
        <f>IFERROR(N(INDEX(tx_Posted,1695)),0)</f>
        <v/>
      </c>
      <c r="I1701" s="58">
        <f>IF(H1701=1,INDEX(tx_DrAcct,1695)&amp;"","")</f>
        <v/>
      </c>
      <c r="J1701" s="95">
        <f>IF(H1701=1,INDEX(tx_DrAmt,1695),0)</f>
        <v/>
      </c>
      <c r="K1701" s="58">
        <f>IF(H1701=1,INDEX(tx_CrAcct,1695)&amp;"","")</f>
        <v/>
      </c>
      <c r="L1701" s="95">
        <f>IF(H1701=1,INDEX(tx_CrAmt,1695),0)</f>
        <v/>
      </c>
      <c r="M1701" s="95">
        <f>IF(H1701=1,INDEX(tx_TaxDr,1695),0)</f>
        <v/>
      </c>
      <c r="N1701" s="95">
        <f>IF(H1701=1,INDEX(tx_TaxCr,1695),0)</f>
        <v/>
      </c>
      <c r="O1701" s="101">
        <f>IF(H1701=1,IF(E1701&lt;FYStart,0,IF(E1701&gt;FYEnd,13,YEAR(E1701)*12+MONTH(E1701)-FYYM+1)),"")</f>
        <v/>
      </c>
      <c r="P1701" s="101">
        <f>IF(H1701=1,IF(IFERROR(INDEX(coa_CF,MATCH(I1701,coa_Name,0)),"")="Cash",1,0),0)</f>
        <v/>
      </c>
      <c r="Q1701" s="101">
        <f>IF(H1701=1,IF(IFERROR(INDEX(coa_CF,MATCH(K1701,coa_Name,0)),"")="Cash",1,0),0)</f>
        <v/>
      </c>
      <c r="R1701" s="58">
        <f>IF((P1701-Q1701)=0,"",IFERROR(INDEX(coa_CF,MATCH(IF((P1701-Q1701)=1,K1701,I1701),coa_Name,0)),"Operating"))</f>
        <v/>
      </c>
      <c r="S1701" s="95">
        <f>IF((P1701-Q1701)=1,L1701,IF((P1701-Q1701)=-1,-J1701,0))</f>
        <v/>
      </c>
      <c r="T1701" s="95">
        <f>IF((P1701-Q1701)=1,N1701,IF((P1701-Q1701)=-1,-M1701,0))</f>
        <v/>
      </c>
      <c r="U1701" s="101">
        <f>IF(AND(H1701=1,LedAcct&lt;&gt;""),IF(AND(E1701&gt;=LedFrom,E1701&lt;=LedTo,OR(I1701=LedAcct,K1701=LedAcct,AND(LedAcct=acctTax,M1701+N1701&lt;&gt;0))),E1701*10000+B1701,""),"")</f>
        <v/>
      </c>
    </row>
    <row r="1702">
      <c r="B1702" s="101" t="n">
        <v>1696</v>
      </c>
      <c r="C1702" s="58" t="inlineStr">
        <is>
          <t>Transaction</t>
        </is>
      </c>
      <c r="D1702" s="58">
        <f>IF(H1702=1,INDEX(tx_ID,1696)&amp;"","")</f>
        <v/>
      </c>
      <c r="E1702" s="94">
        <f>IF(H1702=1,INDEX(tx_Date,1696),"")</f>
        <v/>
      </c>
      <c r="F1702" s="58">
        <f>IF(H1702=1,INDEX(tx_Desc,1696)&amp;"","")</f>
        <v/>
      </c>
      <c r="G1702" s="58">
        <f>IF(H1702=1,IF(INDEX(tx_Cust,1696)&amp;""&lt;&gt;"",INDEX(tx_Cust,1696)&amp;"",INDEX(tx_Vend,1696)&amp;""),"")</f>
        <v/>
      </c>
      <c r="H1702" s="101">
        <f>IFERROR(N(INDEX(tx_Posted,1696)),0)</f>
        <v/>
      </c>
      <c r="I1702" s="58">
        <f>IF(H1702=1,INDEX(tx_DrAcct,1696)&amp;"","")</f>
        <v/>
      </c>
      <c r="J1702" s="95">
        <f>IF(H1702=1,INDEX(tx_DrAmt,1696),0)</f>
        <v/>
      </c>
      <c r="K1702" s="58">
        <f>IF(H1702=1,INDEX(tx_CrAcct,1696)&amp;"","")</f>
        <v/>
      </c>
      <c r="L1702" s="95">
        <f>IF(H1702=1,INDEX(tx_CrAmt,1696),0)</f>
        <v/>
      </c>
      <c r="M1702" s="95">
        <f>IF(H1702=1,INDEX(tx_TaxDr,1696),0)</f>
        <v/>
      </c>
      <c r="N1702" s="95">
        <f>IF(H1702=1,INDEX(tx_TaxCr,1696),0)</f>
        <v/>
      </c>
      <c r="O1702" s="101">
        <f>IF(H1702=1,IF(E1702&lt;FYStart,0,IF(E1702&gt;FYEnd,13,YEAR(E1702)*12+MONTH(E1702)-FYYM+1)),"")</f>
        <v/>
      </c>
      <c r="P1702" s="101">
        <f>IF(H1702=1,IF(IFERROR(INDEX(coa_CF,MATCH(I1702,coa_Name,0)),"")="Cash",1,0),0)</f>
        <v/>
      </c>
      <c r="Q1702" s="101">
        <f>IF(H1702=1,IF(IFERROR(INDEX(coa_CF,MATCH(K1702,coa_Name,0)),"")="Cash",1,0),0)</f>
        <v/>
      </c>
      <c r="R1702" s="58">
        <f>IF((P1702-Q1702)=0,"",IFERROR(INDEX(coa_CF,MATCH(IF((P1702-Q1702)=1,K1702,I1702),coa_Name,0)),"Operating"))</f>
        <v/>
      </c>
      <c r="S1702" s="95">
        <f>IF((P1702-Q1702)=1,L1702,IF((P1702-Q1702)=-1,-J1702,0))</f>
        <v/>
      </c>
      <c r="T1702" s="95">
        <f>IF((P1702-Q1702)=1,N1702,IF((P1702-Q1702)=-1,-M1702,0))</f>
        <v/>
      </c>
      <c r="U1702" s="101">
        <f>IF(AND(H1702=1,LedAcct&lt;&gt;""),IF(AND(E1702&gt;=LedFrom,E1702&lt;=LedTo,OR(I1702=LedAcct,K1702=LedAcct,AND(LedAcct=acctTax,M1702+N1702&lt;&gt;0))),E1702*10000+B1702,""),"")</f>
        <v/>
      </c>
    </row>
    <row r="1703">
      <c r="B1703" s="101" t="n">
        <v>1697</v>
      </c>
      <c r="C1703" s="58" t="inlineStr">
        <is>
          <t>Transaction</t>
        </is>
      </c>
      <c r="D1703" s="58">
        <f>IF(H1703=1,INDEX(tx_ID,1697)&amp;"","")</f>
        <v/>
      </c>
      <c r="E1703" s="94">
        <f>IF(H1703=1,INDEX(tx_Date,1697),"")</f>
        <v/>
      </c>
      <c r="F1703" s="58">
        <f>IF(H1703=1,INDEX(tx_Desc,1697)&amp;"","")</f>
        <v/>
      </c>
      <c r="G1703" s="58">
        <f>IF(H1703=1,IF(INDEX(tx_Cust,1697)&amp;""&lt;&gt;"",INDEX(tx_Cust,1697)&amp;"",INDEX(tx_Vend,1697)&amp;""),"")</f>
        <v/>
      </c>
      <c r="H1703" s="101">
        <f>IFERROR(N(INDEX(tx_Posted,1697)),0)</f>
        <v/>
      </c>
      <c r="I1703" s="58">
        <f>IF(H1703=1,INDEX(tx_DrAcct,1697)&amp;"","")</f>
        <v/>
      </c>
      <c r="J1703" s="95">
        <f>IF(H1703=1,INDEX(tx_DrAmt,1697),0)</f>
        <v/>
      </c>
      <c r="K1703" s="58">
        <f>IF(H1703=1,INDEX(tx_CrAcct,1697)&amp;"","")</f>
        <v/>
      </c>
      <c r="L1703" s="95">
        <f>IF(H1703=1,INDEX(tx_CrAmt,1697),0)</f>
        <v/>
      </c>
      <c r="M1703" s="95">
        <f>IF(H1703=1,INDEX(tx_TaxDr,1697),0)</f>
        <v/>
      </c>
      <c r="N1703" s="95">
        <f>IF(H1703=1,INDEX(tx_TaxCr,1697),0)</f>
        <v/>
      </c>
      <c r="O1703" s="101">
        <f>IF(H1703=1,IF(E1703&lt;FYStart,0,IF(E1703&gt;FYEnd,13,YEAR(E1703)*12+MONTH(E1703)-FYYM+1)),"")</f>
        <v/>
      </c>
      <c r="P1703" s="101">
        <f>IF(H1703=1,IF(IFERROR(INDEX(coa_CF,MATCH(I1703,coa_Name,0)),"")="Cash",1,0),0)</f>
        <v/>
      </c>
      <c r="Q1703" s="101">
        <f>IF(H1703=1,IF(IFERROR(INDEX(coa_CF,MATCH(K1703,coa_Name,0)),"")="Cash",1,0),0)</f>
        <v/>
      </c>
      <c r="R1703" s="58">
        <f>IF((P1703-Q1703)=0,"",IFERROR(INDEX(coa_CF,MATCH(IF((P1703-Q1703)=1,K1703,I1703),coa_Name,0)),"Operating"))</f>
        <v/>
      </c>
      <c r="S1703" s="95">
        <f>IF((P1703-Q1703)=1,L1703,IF((P1703-Q1703)=-1,-J1703,0))</f>
        <v/>
      </c>
      <c r="T1703" s="95">
        <f>IF((P1703-Q1703)=1,N1703,IF((P1703-Q1703)=-1,-M1703,0))</f>
        <v/>
      </c>
      <c r="U1703" s="101">
        <f>IF(AND(H1703=1,LedAcct&lt;&gt;""),IF(AND(E1703&gt;=LedFrom,E1703&lt;=LedTo,OR(I1703=LedAcct,K1703=LedAcct,AND(LedAcct=acctTax,M1703+N1703&lt;&gt;0))),E1703*10000+B1703,""),"")</f>
        <v/>
      </c>
    </row>
    <row r="1704">
      <c r="B1704" s="101" t="n">
        <v>1698</v>
      </c>
      <c r="C1704" s="58" t="inlineStr">
        <is>
          <t>Transaction</t>
        </is>
      </c>
      <c r="D1704" s="58">
        <f>IF(H1704=1,INDEX(tx_ID,1698)&amp;"","")</f>
        <v/>
      </c>
      <c r="E1704" s="94">
        <f>IF(H1704=1,INDEX(tx_Date,1698),"")</f>
        <v/>
      </c>
      <c r="F1704" s="58">
        <f>IF(H1704=1,INDEX(tx_Desc,1698)&amp;"","")</f>
        <v/>
      </c>
      <c r="G1704" s="58">
        <f>IF(H1704=1,IF(INDEX(tx_Cust,1698)&amp;""&lt;&gt;"",INDEX(tx_Cust,1698)&amp;"",INDEX(tx_Vend,1698)&amp;""),"")</f>
        <v/>
      </c>
      <c r="H1704" s="101">
        <f>IFERROR(N(INDEX(tx_Posted,1698)),0)</f>
        <v/>
      </c>
      <c r="I1704" s="58">
        <f>IF(H1704=1,INDEX(tx_DrAcct,1698)&amp;"","")</f>
        <v/>
      </c>
      <c r="J1704" s="95">
        <f>IF(H1704=1,INDEX(tx_DrAmt,1698),0)</f>
        <v/>
      </c>
      <c r="K1704" s="58">
        <f>IF(H1704=1,INDEX(tx_CrAcct,1698)&amp;"","")</f>
        <v/>
      </c>
      <c r="L1704" s="95">
        <f>IF(H1704=1,INDEX(tx_CrAmt,1698),0)</f>
        <v/>
      </c>
      <c r="M1704" s="95">
        <f>IF(H1704=1,INDEX(tx_TaxDr,1698),0)</f>
        <v/>
      </c>
      <c r="N1704" s="95">
        <f>IF(H1704=1,INDEX(tx_TaxCr,1698),0)</f>
        <v/>
      </c>
      <c r="O1704" s="101">
        <f>IF(H1704=1,IF(E1704&lt;FYStart,0,IF(E1704&gt;FYEnd,13,YEAR(E1704)*12+MONTH(E1704)-FYYM+1)),"")</f>
        <v/>
      </c>
      <c r="P1704" s="101">
        <f>IF(H1704=1,IF(IFERROR(INDEX(coa_CF,MATCH(I1704,coa_Name,0)),"")="Cash",1,0),0)</f>
        <v/>
      </c>
      <c r="Q1704" s="101">
        <f>IF(H1704=1,IF(IFERROR(INDEX(coa_CF,MATCH(K1704,coa_Name,0)),"")="Cash",1,0),0)</f>
        <v/>
      </c>
      <c r="R1704" s="58">
        <f>IF((P1704-Q1704)=0,"",IFERROR(INDEX(coa_CF,MATCH(IF((P1704-Q1704)=1,K1704,I1704),coa_Name,0)),"Operating"))</f>
        <v/>
      </c>
      <c r="S1704" s="95">
        <f>IF((P1704-Q1704)=1,L1704,IF((P1704-Q1704)=-1,-J1704,0))</f>
        <v/>
      </c>
      <c r="T1704" s="95">
        <f>IF((P1704-Q1704)=1,N1704,IF((P1704-Q1704)=-1,-M1704,0))</f>
        <v/>
      </c>
      <c r="U1704" s="101">
        <f>IF(AND(H1704=1,LedAcct&lt;&gt;""),IF(AND(E1704&gt;=LedFrom,E1704&lt;=LedTo,OR(I1704=LedAcct,K1704=LedAcct,AND(LedAcct=acctTax,M1704+N1704&lt;&gt;0))),E1704*10000+B1704,""),"")</f>
        <v/>
      </c>
    </row>
    <row r="1705">
      <c r="B1705" s="101" t="n">
        <v>1699</v>
      </c>
      <c r="C1705" s="58" t="inlineStr">
        <is>
          <t>Transaction</t>
        </is>
      </c>
      <c r="D1705" s="58">
        <f>IF(H1705=1,INDEX(tx_ID,1699)&amp;"","")</f>
        <v/>
      </c>
      <c r="E1705" s="94">
        <f>IF(H1705=1,INDEX(tx_Date,1699),"")</f>
        <v/>
      </c>
      <c r="F1705" s="58">
        <f>IF(H1705=1,INDEX(tx_Desc,1699)&amp;"","")</f>
        <v/>
      </c>
      <c r="G1705" s="58">
        <f>IF(H1705=1,IF(INDEX(tx_Cust,1699)&amp;""&lt;&gt;"",INDEX(tx_Cust,1699)&amp;"",INDEX(tx_Vend,1699)&amp;""),"")</f>
        <v/>
      </c>
      <c r="H1705" s="101">
        <f>IFERROR(N(INDEX(tx_Posted,1699)),0)</f>
        <v/>
      </c>
      <c r="I1705" s="58">
        <f>IF(H1705=1,INDEX(tx_DrAcct,1699)&amp;"","")</f>
        <v/>
      </c>
      <c r="J1705" s="95">
        <f>IF(H1705=1,INDEX(tx_DrAmt,1699),0)</f>
        <v/>
      </c>
      <c r="K1705" s="58">
        <f>IF(H1705=1,INDEX(tx_CrAcct,1699)&amp;"","")</f>
        <v/>
      </c>
      <c r="L1705" s="95">
        <f>IF(H1705=1,INDEX(tx_CrAmt,1699),0)</f>
        <v/>
      </c>
      <c r="M1705" s="95">
        <f>IF(H1705=1,INDEX(tx_TaxDr,1699),0)</f>
        <v/>
      </c>
      <c r="N1705" s="95">
        <f>IF(H1705=1,INDEX(tx_TaxCr,1699),0)</f>
        <v/>
      </c>
      <c r="O1705" s="101">
        <f>IF(H1705=1,IF(E1705&lt;FYStart,0,IF(E1705&gt;FYEnd,13,YEAR(E1705)*12+MONTH(E1705)-FYYM+1)),"")</f>
        <v/>
      </c>
      <c r="P1705" s="101">
        <f>IF(H1705=1,IF(IFERROR(INDEX(coa_CF,MATCH(I1705,coa_Name,0)),"")="Cash",1,0),0)</f>
        <v/>
      </c>
      <c r="Q1705" s="101">
        <f>IF(H1705=1,IF(IFERROR(INDEX(coa_CF,MATCH(K1705,coa_Name,0)),"")="Cash",1,0),0)</f>
        <v/>
      </c>
      <c r="R1705" s="58">
        <f>IF((P1705-Q1705)=0,"",IFERROR(INDEX(coa_CF,MATCH(IF((P1705-Q1705)=1,K1705,I1705),coa_Name,0)),"Operating"))</f>
        <v/>
      </c>
      <c r="S1705" s="95">
        <f>IF((P1705-Q1705)=1,L1705,IF((P1705-Q1705)=-1,-J1705,0))</f>
        <v/>
      </c>
      <c r="T1705" s="95">
        <f>IF((P1705-Q1705)=1,N1705,IF((P1705-Q1705)=-1,-M1705,0))</f>
        <v/>
      </c>
      <c r="U1705" s="101">
        <f>IF(AND(H1705=1,LedAcct&lt;&gt;""),IF(AND(E1705&gt;=LedFrom,E1705&lt;=LedTo,OR(I1705=LedAcct,K1705=LedAcct,AND(LedAcct=acctTax,M1705+N1705&lt;&gt;0))),E1705*10000+B1705,""),"")</f>
        <v/>
      </c>
    </row>
    <row r="1706">
      <c r="B1706" s="101" t="n">
        <v>1700</v>
      </c>
      <c r="C1706" s="58" t="inlineStr">
        <is>
          <t>Transaction</t>
        </is>
      </c>
      <c r="D1706" s="58">
        <f>IF(H1706=1,INDEX(tx_ID,1700)&amp;"","")</f>
        <v/>
      </c>
      <c r="E1706" s="94">
        <f>IF(H1706=1,INDEX(tx_Date,1700),"")</f>
        <v/>
      </c>
      <c r="F1706" s="58">
        <f>IF(H1706=1,INDEX(tx_Desc,1700)&amp;"","")</f>
        <v/>
      </c>
      <c r="G1706" s="58">
        <f>IF(H1706=1,IF(INDEX(tx_Cust,1700)&amp;""&lt;&gt;"",INDEX(tx_Cust,1700)&amp;"",INDEX(tx_Vend,1700)&amp;""),"")</f>
        <v/>
      </c>
      <c r="H1706" s="101">
        <f>IFERROR(N(INDEX(tx_Posted,1700)),0)</f>
        <v/>
      </c>
      <c r="I1706" s="58">
        <f>IF(H1706=1,INDEX(tx_DrAcct,1700)&amp;"","")</f>
        <v/>
      </c>
      <c r="J1706" s="95">
        <f>IF(H1706=1,INDEX(tx_DrAmt,1700),0)</f>
        <v/>
      </c>
      <c r="K1706" s="58">
        <f>IF(H1706=1,INDEX(tx_CrAcct,1700)&amp;"","")</f>
        <v/>
      </c>
      <c r="L1706" s="95">
        <f>IF(H1706=1,INDEX(tx_CrAmt,1700),0)</f>
        <v/>
      </c>
      <c r="M1706" s="95">
        <f>IF(H1706=1,INDEX(tx_TaxDr,1700),0)</f>
        <v/>
      </c>
      <c r="N1706" s="95">
        <f>IF(H1706=1,INDEX(tx_TaxCr,1700),0)</f>
        <v/>
      </c>
      <c r="O1706" s="101">
        <f>IF(H1706=1,IF(E1706&lt;FYStart,0,IF(E1706&gt;FYEnd,13,YEAR(E1706)*12+MONTH(E1706)-FYYM+1)),"")</f>
        <v/>
      </c>
      <c r="P1706" s="101">
        <f>IF(H1706=1,IF(IFERROR(INDEX(coa_CF,MATCH(I1706,coa_Name,0)),"")="Cash",1,0),0)</f>
        <v/>
      </c>
      <c r="Q1706" s="101">
        <f>IF(H1706=1,IF(IFERROR(INDEX(coa_CF,MATCH(K1706,coa_Name,0)),"")="Cash",1,0),0)</f>
        <v/>
      </c>
      <c r="R1706" s="58">
        <f>IF((P1706-Q1706)=0,"",IFERROR(INDEX(coa_CF,MATCH(IF((P1706-Q1706)=1,K1706,I1706),coa_Name,0)),"Operating"))</f>
        <v/>
      </c>
      <c r="S1706" s="95">
        <f>IF((P1706-Q1706)=1,L1706,IF((P1706-Q1706)=-1,-J1706,0))</f>
        <v/>
      </c>
      <c r="T1706" s="95">
        <f>IF((P1706-Q1706)=1,N1706,IF((P1706-Q1706)=-1,-M1706,0))</f>
        <v/>
      </c>
      <c r="U1706" s="101">
        <f>IF(AND(H1706=1,LedAcct&lt;&gt;""),IF(AND(E1706&gt;=LedFrom,E1706&lt;=LedTo,OR(I1706=LedAcct,K1706=LedAcct,AND(LedAcct=acctTax,M1706+N1706&lt;&gt;0))),E1706*10000+B1706,""),"")</f>
        <v/>
      </c>
    </row>
    <row r="1707">
      <c r="B1707" s="101" t="n">
        <v>1701</v>
      </c>
      <c r="C1707" s="58" t="inlineStr">
        <is>
          <t>Transaction</t>
        </is>
      </c>
      <c r="D1707" s="58">
        <f>IF(H1707=1,INDEX(tx_ID,1701)&amp;"","")</f>
        <v/>
      </c>
      <c r="E1707" s="94">
        <f>IF(H1707=1,INDEX(tx_Date,1701),"")</f>
        <v/>
      </c>
      <c r="F1707" s="58">
        <f>IF(H1707=1,INDEX(tx_Desc,1701)&amp;"","")</f>
        <v/>
      </c>
      <c r="G1707" s="58">
        <f>IF(H1707=1,IF(INDEX(tx_Cust,1701)&amp;""&lt;&gt;"",INDEX(tx_Cust,1701)&amp;"",INDEX(tx_Vend,1701)&amp;""),"")</f>
        <v/>
      </c>
      <c r="H1707" s="101">
        <f>IFERROR(N(INDEX(tx_Posted,1701)),0)</f>
        <v/>
      </c>
      <c r="I1707" s="58">
        <f>IF(H1707=1,INDEX(tx_DrAcct,1701)&amp;"","")</f>
        <v/>
      </c>
      <c r="J1707" s="95">
        <f>IF(H1707=1,INDEX(tx_DrAmt,1701),0)</f>
        <v/>
      </c>
      <c r="K1707" s="58">
        <f>IF(H1707=1,INDEX(tx_CrAcct,1701)&amp;"","")</f>
        <v/>
      </c>
      <c r="L1707" s="95">
        <f>IF(H1707=1,INDEX(tx_CrAmt,1701),0)</f>
        <v/>
      </c>
      <c r="M1707" s="95">
        <f>IF(H1707=1,INDEX(tx_TaxDr,1701),0)</f>
        <v/>
      </c>
      <c r="N1707" s="95">
        <f>IF(H1707=1,INDEX(tx_TaxCr,1701),0)</f>
        <v/>
      </c>
      <c r="O1707" s="101">
        <f>IF(H1707=1,IF(E1707&lt;FYStart,0,IF(E1707&gt;FYEnd,13,YEAR(E1707)*12+MONTH(E1707)-FYYM+1)),"")</f>
        <v/>
      </c>
      <c r="P1707" s="101">
        <f>IF(H1707=1,IF(IFERROR(INDEX(coa_CF,MATCH(I1707,coa_Name,0)),"")="Cash",1,0),0)</f>
        <v/>
      </c>
      <c r="Q1707" s="101">
        <f>IF(H1707=1,IF(IFERROR(INDEX(coa_CF,MATCH(K1707,coa_Name,0)),"")="Cash",1,0),0)</f>
        <v/>
      </c>
      <c r="R1707" s="58">
        <f>IF((P1707-Q1707)=0,"",IFERROR(INDEX(coa_CF,MATCH(IF((P1707-Q1707)=1,K1707,I1707),coa_Name,0)),"Operating"))</f>
        <v/>
      </c>
      <c r="S1707" s="95">
        <f>IF((P1707-Q1707)=1,L1707,IF((P1707-Q1707)=-1,-J1707,0))</f>
        <v/>
      </c>
      <c r="T1707" s="95">
        <f>IF((P1707-Q1707)=1,N1707,IF((P1707-Q1707)=-1,-M1707,0))</f>
        <v/>
      </c>
      <c r="U1707" s="101">
        <f>IF(AND(H1707=1,LedAcct&lt;&gt;""),IF(AND(E1707&gt;=LedFrom,E1707&lt;=LedTo,OR(I1707=LedAcct,K1707=LedAcct,AND(LedAcct=acctTax,M1707+N1707&lt;&gt;0))),E1707*10000+B1707,""),"")</f>
        <v/>
      </c>
    </row>
    <row r="1708">
      <c r="B1708" s="101" t="n">
        <v>1702</v>
      </c>
      <c r="C1708" s="58" t="inlineStr">
        <is>
          <t>Transaction</t>
        </is>
      </c>
      <c r="D1708" s="58">
        <f>IF(H1708=1,INDEX(tx_ID,1702)&amp;"","")</f>
        <v/>
      </c>
      <c r="E1708" s="94">
        <f>IF(H1708=1,INDEX(tx_Date,1702),"")</f>
        <v/>
      </c>
      <c r="F1708" s="58">
        <f>IF(H1708=1,INDEX(tx_Desc,1702)&amp;"","")</f>
        <v/>
      </c>
      <c r="G1708" s="58">
        <f>IF(H1708=1,IF(INDEX(tx_Cust,1702)&amp;""&lt;&gt;"",INDEX(tx_Cust,1702)&amp;"",INDEX(tx_Vend,1702)&amp;""),"")</f>
        <v/>
      </c>
      <c r="H1708" s="101">
        <f>IFERROR(N(INDEX(tx_Posted,1702)),0)</f>
        <v/>
      </c>
      <c r="I1708" s="58">
        <f>IF(H1708=1,INDEX(tx_DrAcct,1702)&amp;"","")</f>
        <v/>
      </c>
      <c r="J1708" s="95">
        <f>IF(H1708=1,INDEX(tx_DrAmt,1702),0)</f>
        <v/>
      </c>
      <c r="K1708" s="58">
        <f>IF(H1708=1,INDEX(tx_CrAcct,1702)&amp;"","")</f>
        <v/>
      </c>
      <c r="L1708" s="95">
        <f>IF(H1708=1,INDEX(tx_CrAmt,1702),0)</f>
        <v/>
      </c>
      <c r="M1708" s="95">
        <f>IF(H1708=1,INDEX(tx_TaxDr,1702),0)</f>
        <v/>
      </c>
      <c r="N1708" s="95">
        <f>IF(H1708=1,INDEX(tx_TaxCr,1702),0)</f>
        <v/>
      </c>
      <c r="O1708" s="101">
        <f>IF(H1708=1,IF(E1708&lt;FYStart,0,IF(E1708&gt;FYEnd,13,YEAR(E1708)*12+MONTH(E1708)-FYYM+1)),"")</f>
        <v/>
      </c>
      <c r="P1708" s="101">
        <f>IF(H1708=1,IF(IFERROR(INDEX(coa_CF,MATCH(I1708,coa_Name,0)),"")="Cash",1,0),0)</f>
        <v/>
      </c>
      <c r="Q1708" s="101">
        <f>IF(H1708=1,IF(IFERROR(INDEX(coa_CF,MATCH(K1708,coa_Name,0)),"")="Cash",1,0),0)</f>
        <v/>
      </c>
      <c r="R1708" s="58">
        <f>IF((P1708-Q1708)=0,"",IFERROR(INDEX(coa_CF,MATCH(IF((P1708-Q1708)=1,K1708,I1708),coa_Name,0)),"Operating"))</f>
        <v/>
      </c>
      <c r="S1708" s="95">
        <f>IF((P1708-Q1708)=1,L1708,IF((P1708-Q1708)=-1,-J1708,0))</f>
        <v/>
      </c>
      <c r="T1708" s="95">
        <f>IF((P1708-Q1708)=1,N1708,IF((P1708-Q1708)=-1,-M1708,0))</f>
        <v/>
      </c>
      <c r="U1708" s="101">
        <f>IF(AND(H1708=1,LedAcct&lt;&gt;""),IF(AND(E1708&gt;=LedFrom,E1708&lt;=LedTo,OR(I1708=LedAcct,K1708=LedAcct,AND(LedAcct=acctTax,M1708+N1708&lt;&gt;0))),E1708*10000+B1708,""),"")</f>
        <v/>
      </c>
    </row>
    <row r="1709">
      <c r="B1709" s="101" t="n">
        <v>1703</v>
      </c>
      <c r="C1709" s="58" t="inlineStr">
        <is>
          <t>Transaction</t>
        </is>
      </c>
      <c r="D1709" s="58">
        <f>IF(H1709=1,INDEX(tx_ID,1703)&amp;"","")</f>
        <v/>
      </c>
      <c r="E1709" s="94">
        <f>IF(H1709=1,INDEX(tx_Date,1703),"")</f>
        <v/>
      </c>
      <c r="F1709" s="58">
        <f>IF(H1709=1,INDEX(tx_Desc,1703)&amp;"","")</f>
        <v/>
      </c>
      <c r="G1709" s="58">
        <f>IF(H1709=1,IF(INDEX(tx_Cust,1703)&amp;""&lt;&gt;"",INDEX(tx_Cust,1703)&amp;"",INDEX(tx_Vend,1703)&amp;""),"")</f>
        <v/>
      </c>
      <c r="H1709" s="101">
        <f>IFERROR(N(INDEX(tx_Posted,1703)),0)</f>
        <v/>
      </c>
      <c r="I1709" s="58">
        <f>IF(H1709=1,INDEX(tx_DrAcct,1703)&amp;"","")</f>
        <v/>
      </c>
      <c r="J1709" s="95">
        <f>IF(H1709=1,INDEX(tx_DrAmt,1703),0)</f>
        <v/>
      </c>
      <c r="K1709" s="58">
        <f>IF(H1709=1,INDEX(tx_CrAcct,1703)&amp;"","")</f>
        <v/>
      </c>
      <c r="L1709" s="95">
        <f>IF(H1709=1,INDEX(tx_CrAmt,1703),0)</f>
        <v/>
      </c>
      <c r="M1709" s="95">
        <f>IF(H1709=1,INDEX(tx_TaxDr,1703),0)</f>
        <v/>
      </c>
      <c r="N1709" s="95">
        <f>IF(H1709=1,INDEX(tx_TaxCr,1703),0)</f>
        <v/>
      </c>
      <c r="O1709" s="101">
        <f>IF(H1709=1,IF(E1709&lt;FYStart,0,IF(E1709&gt;FYEnd,13,YEAR(E1709)*12+MONTH(E1709)-FYYM+1)),"")</f>
        <v/>
      </c>
      <c r="P1709" s="101">
        <f>IF(H1709=1,IF(IFERROR(INDEX(coa_CF,MATCH(I1709,coa_Name,0)),"")="Cash",1,0),0)</f>
        <v/>
      </c>
      <c r="Q1709" s="101">
        <f>IF(H1709=1,IF(IFERROR(INDEX(coa_CF,MATCH(K1709,coa_Name,0)),"")="Cash",1,0),0)</f>
        <v/>
      </c>
      <c r="R1709" s="58">
        <f>IF((P1709-Q1709)=0,"",IFERROR(INDEX(coa_CF,MATCH(IF((P1709-Q1709)=1,K1709,I1709),coa_Name,0)),"Operating"))</f>
        <v/>
      </c>
      <c r="S1709" s="95">
        <f>IF((P1709-Q1709)=1,L1709,IF((P1709-Q1709)=-1,-J1709,0))</f>
        <v/>
      </c>
      <c r="T1709" s="95">
        <f>IF((P1709-Q1709)=1,N1709,IF((P1709-Q1709)=-1,-M1709,0))</f>
        <v/>
      </c>
      <c r="U1709" s="101">
        <f>IF(AND(H1709=1,LedAcct&lt;&gt;""),IF(AND(E1709&gt;=LedFrom,E1709&lt;=LedTo,OR(I1709=LedAcct,K1709=LedAcct,AND(LedAcct=acctTax,M1709+N1709&lt;&gt;0))),E1709*10000+B1709,""),"")</f>
        <v/>
      </c>
    </row>
    <row r="1710">
      <c r="B1710" s="101" t="n">
        <v>1704</v>
      </c>
      <c r="C1710" s="58" t="inlineStr">
        <is>
          <t>Transaction</t>
        </is>
      </c>
      <c r="D1710" s="58">
        <f>IF(H1710=1,INDEX(tx_ID,1704)&amp;"","")</f>
        <v/>
      </c>
      <c r="E1710" s="94">
        <f>IF(H1710=1,INDEX(tx_Date,1704),"")</f>
        <v/>
      </c>
      <c r="F1710" s="58">
        <f>IF(H1710=1,INDEX(tx_Desc,1704)&amp;"","")</f>
        <v/>
      </c>
      <c r="G1710" s="58">
        <f>IF(H1710=1,IF(INDEX(tx_Cust,1704)&amp;""&lt;&gt;"",INDEX(tx_Cust,1704)&amp;"",INDEX(tx_Vend,1704)&amp;""),"")</f>
        <v/>
      </c>
      <c r="H1710" s="101">
        <f>IFERROR(N(INDEX(tx_Posted,1704)),0)</f>
        <v/>
      </c>
      <c r="I1710" s="58">
        <f>IF(H1710=1,INDEX(tx_DrAcct,1704)&amp;"","")</f>
        <v/>
      </c>
      <c r="J1710" s="95">
        <f>IF(H1710=1,INDEX(tx_DrAmt,1704),0)</f>
        <v/>
      </c>
      <c r="K1710" s="58">
        <f>IF(H1710=1,INDEX(tx_CrAcct,1704)&amp;"","")</f>
        <v/>
      </c>
      <c r="L1710" s="95">
        <f>IF(H1710=1,INDEX(tx_CrAmt,1704),0)</f>
        <v/>
      </c>
      <c r="M1710" s="95">
        <f>IF(H1710=1,INDEX(tx_TaxDr,1704),0)</f>
        <v/>
      </c>
      <c r="N1710" s="95">
        <f>IF(H1710=1,INDEX(tx_TaxCr,1704),0)</f>
        <v/>
      </c>
      <c r="O1710" s="101">
        <f>IF(H1710=1,IF(E1710&lt;FYStart,0,IF(E1710&gt;FYEnd,13,YEAR(E1710)*12+MONTH(E1710)-FYYM+1)),"")</f>
        <v/>
      </c>
      <c r="P1710" s="101">
        <f>IF(H1710=1,IF(IFERROR(INDEX(coa_CF,MATCH(I1710,coa_Name,0)),"")="Cash",1,0),0)</f>
        <v/>
      </c>
      <c r="Q1710" s="101">
        <f>IF(H1710=1,IF(IFERROR(INDEX(coa_CF,MATCH(K1710,coa_Name,0)),"")="Cash",1,0),0)</f>
        <v/>
      </c>
      <c r="R1710" s="58">
        <f>IF((P1710-Q1710)=0,"",IFERROR(INDEX(coa_CF,MATCH(IF((P1710-Q1710)=1,K1710,I1710),coa_Name,0)),"Operating"))</f>
        <v/>
      </c>
      <c r="S1710" s="95">
        <f>IF((P1710-Q1710)=1,L1710,IF((P1710-Q1710)=-1,-J1710,0))</f>
        <v/>
      </c>
      <c r="T1710" s="95">
        <f>IF((P1710-Q1710)=1,N1710,IF((P1710-Q1710)=-1,-M1710,0))</f>
        <v/>
      </c>
      <c r="U1710" s="101">
        <f>IF(AND(H1710=1,LedAcct&lt;&gt;""),IF(AND(E1710&gt;=LedFrom,E1710&lt;=LedTo,OR(I1710=LedAcct,K1710=LedAcct,AND(LedAcct=acctTax,M1710+N1710&lt;&gt;0))),E1710*10000+B1710,""),"")</f>
        <v/>
      </c>
    </row>
    <row r="1711">
      <c r="B1711" s="101" t="n">
        <v>1705</v>
      </c>
      <c r="C1711" s="58" t="inlineStr">
        <is>
          <t>Transaction</t>
        </is>
      </c>
      <c r="D1711" s="58">
        <f>IF(H1711=1,INDEX(tx_ID,1705)&amp;"","")</f>
        <v/>
      </c>
      <c r="E1711" s="94">
        <f>IF(H1711=1,INDEX(tx_Date,1705),"")</f>
        <v/>
      </c>
      <c r="F1711" s="58">
        <f>IF(H1711=1,INDEX(tx_Desc,1705)&amp;"","")</f>
        <v/>
      </c>
      <c r="G1711" s="58">
        <f>IF(H1711=1,IF(INDEX(tx_Cust,1705)&amp;""&lt;&gt;"",INDEX(tx_Cust,1705)&amp;"",INDEX(tx_Vend,1705)&amp;""),"")</f>
        <v/>
      </c>
      <c r="H1711" s="101">
        <f>IFERROR(N(INDEX(tx_Posted,1705)),0)</f>
        <v/>
      </c>
      <c r="I1711" s="58">
        <f>IF(H1711=1,INDEX(tx_DrAcct,1705)&amp;"","")</f>
        <v/>
      </c>
      <c r="J1711" s="95">
        <f>IF(H1711=1,INDEX(tx_DrAmt,1705),0)</f>
        <v/>
      </c>
      <c r="K1711" s="58">
        <f>IF(H1711=1,INDEX(tx_CrAcct,1705)&amp;"","")</f>
        <v/>
      </c>
      <c r="L1711" s="95">
        <f>IF(H1711=1,INDEX(tx_CrAmt,1705),0)</f>
        <v/>
      </c>
      <c r="M1711" s="95">
        <f>IF(H1711=1,INDEX(tx_TaxDr,1705),0)</f>
        <v/>
      </c>
      <c r="N1711" s="95">
        <f>IF(H1711=1,INDEX(tx_TaxCr,1705),0)</f>
        <v/>
      </c>
      <c r="O1711" s="101">
        <f>IF(H1711=1,IF(E1711&lt;FYStart,0,IF(E1711&gt;FYEnd,13,YEAR(E1711)*12+MONTH(E1711)-FYYM+1)),"")</f>
        <v/>
      </c>
      <c r="P1711" s="101">
        <f>IF(H1711=1,IF(IFERROR(INDEX(coa_CF,MATCH(I1711,coa_Name,0)),"")="Cash",1,0),0)</f>
        <v/>
      </c>
      <c r="Q1711" s="101">
        <f>IF(H1711=1,IF(IFERROR(INDEX(coa_CF,MATCH(K1711,coa_Name,0)),"")="Cash",1,0),0)</f>
        <v/>
      </c>
      <c r="R1711" s="58">
        <f>IF((P1711-Q1711)=0,"",IFERROR(INDEX(coa_CF,MATCH(IF((P1711-Q1711)=1,K1711,I1711),coa_Name,0)),"Operating"))</f>
        <v/>
      </c>
      <c r="S1711" s="95">
        <f>IF((P1711-Q1711)=1,L1711,IF((P1711-Q1711)=-1,-J1711,0))</f>
        <v/>
      </c>
      <c r="T1711" s="95">
        <f>IF((P1711-Q1711)=1,N1711,IF((P1711-Q1711)=-1,-M1711,0))</f>
        <v/>
      </c>
      <c r="U1711" s="101">
        <f>IF(AND(H1711=1,LedAcct&lt;&gt;""),IF(AND(E1711&gt;=LedFrom,E1711&lt;=LedTo,OR(I1711=LedAcct,K1711=LedAcct,AND(LedAcct=acctTax,M1711+N1711&lt;&gt;0))),E1711*10000+B1711,""),"")</f>
        <v/>
      </c>
    </row>
    <row r="1712">
      <c r="B1712" s="101" t="n">
        <v>1706</v>
      </c>
      <c r="C1712" s="58" t="inlineStr">
        <is>
          <t>Transaction</t>
        </is>
      </c>
      <c r="D1712" s="58">
        <f>IF(H1712=1,INDEX(tx_ID,1706)&amp;"","")</f>
        <v/>
      </c>
      <c r="E1712" s="94">
        <f>IF(H1712=1,INDEX(tx_Date,1706),"")</f>
        <v/>
      </c>
      <c r="F1712" s="58">
        <f>IF(H1712=1,INDEX(tx_Desc,1706)&amp;"","")</f>
        <v/>
      </c>
      <c r="G1712" s="58">
        <f>IF(H1712=1,IF(INDEX(tx_Cust,1706)&amp;""&lt;&gt;"",INDEX(tx_Cust,1706)&amp;"",INDEX(tx_Vend,1706)&amp;""),"")</f>
        <v/>
      </c>
      <c r="H1712" s="101">
        <f>IFERROR(N(INDEX(tx_Posted,1706)),0)</f>
        <v/>
      </c>
      <c r="I1712" s="58">
        <f>IF(H1712=1,INDEX(tx_DrAcct,1706)&amp;"","")</f>
        <v/>
      </c>
      <c r="J1712" s="95">
        <f>IF(H1712=1,INDEX(tx_DrAmt,1706),0)</f>
        <v/>
      </c>
      <c r="K1712" s="58">
        <f>IF(H1712=1,INDEX(tx_CrAcct,1706)&amp;"","")</f>
        <v/>
      </c>
      <c r="L1712" s="95">
        <f>IF(H1712=1,INDEX(tx_CrAmt,1706),0)</f>
        <v/>
      </c>
      <c r="M1712" s="95">
        <f>IF(H1712=1,INDEX(tx_TaxDr,1706),0)</f>
        <v/>
      </c>
      <c r="N1712" s="95">
        <f>IF(H1712=1,INDEX(tx_TaxCr,1706),0)</f>
        <v/>
      </c>
      <c r="O1712" s="101">
        <f>IF(H1712=1,IF(E1712&lt;FYStart,0,IF(E1712&gt;FYEnd,13,YEAR(E1712)*12+MONTH(E1712)-FYYM+1)),"")</f>
        <v/>
      </c>
      <c r="P1712" s="101">
        <f>IF(H1712=1,IF(IFERROR(INDEX(coa_CF,MATCH(I1712,coa_Name,0)),"")="Cash",1,0),0)</f>
        <v/>
      </c>
      <c r="Q1712" s="101">
        <f>IF(H1712=1,IF(IFERROR(INDEX(coa_CF,MATCH(K1712,coa_Name,0)),"")="Cash",1,0),0)</f>
        <v/>
      </c>
      <c r="R1712" s="58">
        <f>IF((P1712-Q1712)=0,"",IFERROR(INDEX(coa_CF,MATCH(IF((P1712-Q1712)=1,K1712,I1712),coa_Name,0)),"Operating"))</f>
        <v/>
      </c>
      <c r="S1712" s="95">
        <f>IF((P1712-Q1712)=1,L1712,IF((P1712-Q1712)=-1,-J1712,0))</f>
        <v/>
      </c>
      <c r="T1712" s="95">
        <f>IF((P1712-Q1712)=1,N1712,IF((P1712-Q1712)=-1,-M1712,0))</f>
        <v/>
      </c>
      <c r="U1712" s="101">
        <f>IF(AND(H1712=1,LedAcct&lt;&gt;""),IF(AND(E1712&gt;=LedFrom,E1712&lt;=LedTo,OR(I1712=LedAcct,K1712=LedAcct,AND(LedAcct=acctTax,M1712+N1712&lt;&gt;0))),E1712*10000+B1712,""),"")</f>
        <v/>
      </c>
    </row>
    <row r="1713">
      <c r="B1713" s="101" t="n">
        <v>1707</v>
      </c>
      <c r="C1713" s="58" t="inlineStr">
        <is>
          <t>Transaction</t>
        </is>
      </c>
      <c r="D1713" s="58">
        <f>IF(H1713=1,INDEX(tx_ID,1707)&amp;"","")</f>
        <v/>
      </c>
      <c r="E1713" s="94">
        <f>IF(H1713=1,INDEX(tx_Date,1707),"")</f>
        <v/>
      </c>
      <c r="F1713" s="58">
        <f>IF(H1713=1,INDEX(tx_Desc,1707)&amp;"","")</f>
        <v/>
      </c>
      <c r="G1713" s="58">
        <f>IF(H1713=1,IF(INDEX(tx_Cust,1707)&amp;""&lt;&gt;"",INDEX(tx_Cust,1707)&amp;"",INDEX(tx_Vend,1707)&amp;""),"")</f>
        <v/>
      </c>
      <c r="H1713" s="101">
        <f>IFERROR(N(INDEX(tx_Posted,1707)),0)</f>
        <v/>
      </c>
      <c r="I1713" s="58">
        <f>IF(H1713=1,INDEX(tx_DrAcct,1707)&amp;"","")</f>
        <v/>
      </c>
      <c r="J1713" s="95">
        <f>IF(H1713=1,INDEX(tx_DrAmt,1707),0)</f>
        <v/>
      </c>
      <c r="K1713" s="58">
        <f>IF(H1713=1,INDEX(tx_CrAcct,1707)&amp;"","")</f>
        <v/>
      </c>
      <c r="L1713" s="95">
        <f>IF(H1713=1,INDEX(tx_CrAmt,1707),0)</f>
        <v/>
      </c>
      <c r="M1713" s="95">
        <f>IF(H1713=1,INDEX(tx_TaxDr,1707),0)</f>
        <v/>
      </c>
      <c r="N1713" s="95">
        <f>IF(H1713=1,INDEX(tx_TaxCr,1707),0)</f>
        <v/>
      </c>
      <c r="O1713" s="101">
        <f>IF(H1713=1,IF(E1713&lt;FYStart,0,IF(E1713&gt;FYEnd,13,YEAR(E1713)*12+MONTH(E1713)-FYYM+1)),"")</f>
        <v/>
      </c>
      <c r="P1713" s="101">
        <f>IF(H1713=1,IF(IFERROR(INDEX(coa_CF,MATCH(I1713,coa_Name,0)),"")="Cash",1,0),0)</f>
        <v/>
      </c>
      <c r="Q1713" s="101">
        <f>IF(H1713=1,IF(IFERROR(INDEX(coa_CF,MATCH(K1713,coa_Name,0)),"")="Cash",1,0),0)</f>
        <v/>
      </c>
      <c r="R1713" s="58">
        <f>IF((P1713-Q1713)=0,"",IFERROR(INDEX(coa_CF,MATCH(IF((P1713-Q1713)=1,K1713,I1713),coa_Name,0)),"Operating"))</f>
        <v/>
      </c>
      <c r="S1713" s="95">
        <f>IF((P1713-Q1713)=1,L1713,IF((P1713-Q1713)=-1,-J1713,0))</f>
        <v/>
      </c>
      <c r="T1713" s="95">
        <f>IF((P1713-Q1713)=1,N1713,IF((P1713-Q1713)=-1,-M1713,0))</f>
        <v/>
      </c>
      <c r="U1713" s="101">
        <f>IF(AND(H1713=1,LedAcct&lt;&gt;""),IF(AND(E1713&gt;=LedFrom,E1713&lt;=LedTo,OR(I1713=LedAcct,K1713=LedAcct,AND(LedAcct=acctTax,M1713+N1713&lt;&gt;0))),E1713*10000+B1713,""),"")</f>
        <v/>
      </c>
    </row>
    <row r="1714">
      <c r="B1714" s="101" t="n">
        <v>1708</v>
      </c>
      <c r="C1714" s="58" t="inlineStr">
        <is>
          <t>Transaction</t>
        </is>
      </c>
      <c r="D1714" s="58">
        <f>IF(H1714=1,INDEX(tx_ID,1708)&amp;"","")</f>
        <v/>
      </c>
      <c r="E1714" s="94">
        <f>IF(H1714=1,INDEX(tx_Date,1708),"")</f>
        <v/>
      </c>
      <c r="F1714" s="58">
        <f>IF(H1714=1,INDEX(tx_Desc,1708)&amp;"","")</f>
        <v/>
      </c>
      <c r="G1714" s="58">
        <f>IF(H1714=1,IF(INDEX(tx_Cust,1708)&amp;""&lt;&gt;"",INDEX(tx_Cust,1708)&amp;"",INDEX(tx_Vend,1708)&amp;""),"")</f>
        <v/>
      </c>
      <c r="H1714" s="101">
        <f>IFERROR(N(INDEX(tx_Posted,1708)),0)</f>
        <v/>
      </c>
      <c r="I1714" s="58">
        <f>IF(H1714=1,INDEX(tx_DrAcct,1708)&amp;"","")</f>
        <v/>
      </c>
      <c r="J1714" s="95">
        <f>IF(H1714=1,INDEX(tx_DrAmt,1708),0)</f>
        <v/>
      </c>
      <c r="K1714" s="58">
        <f>IF(H1714=1,INDEX(tx_CrAcct,1708)&amp;"","")</f>
        <v/>
      </c>
      <c r="L1714" s="95">
        <f>IF(H1714=1,INDEX(tx_CrAmt,1708),0)</f>
        <v/>
      </c>
      <c r="M1714" s="95">
        <f>IF(H1714=1,INDEX(tx_TaxDr,1708),0)</f>
        <v/>
      </c>
      <c r="N1714" s="95">
        <f>IF(H1714=1,INDEX(tx_TaxCr,1708),0)</f>
        <v/>
      </c>
      <c r="O1714" s="101">
        <f>IF(H1714=1,IF(E1714&lt;FYStart,0,IF(E1714&gt;FYEnd,13,YEAR(E1714)*12+MONTH(E1714)-FYYM+1)),"")</f>
        <v/>
      </c>
      <c r="P1714" s="101">
        <f>IF(H1714=1,IF(IFERROR(INDEX(coa_CF,MATCH(I1714,coa_Name,0)),"")="Cash",1,0),0)</f>
        <v/>
      </c>
      <c r="Q1714" s="101">
        <f>IF(H1714=1,IF(IFERROR(INDEX(coa_CF,MATCH(K1714,coa_Name,0)),"")="Cash",1,0),0)</f>
        <v/>
      </c>
      <c r="R1714" s="58">
        <f>IF((P1714-Q1714)=0,"",IFERROR(INDEX(coa_CF,MATCH(IF((P1714-Q1714)=1,K1714,I1714),coa_Name,0)),"Operating"))</f>
        <v/>
      </c>
      <c r="S1714" s="95">
        <f>IF((P1714-Q1714)=1,L1714,IF((P1714-Q1714)=-1,-J1714,0))</f>
        <v/>
      </c>
      <c r="T1714" s="95">
        <f>IF((P1714-Q1714)=1,N1714,IF((P1714-Q1714)=-1,-M1714,0))</f>
        <v/>
      </c>
      <c r="U1714" s="101">
        <f>IF(AND(H1714=1,LedAcct&lt;&gt;""),IF(AND(E1714&gt;=LedFrom,E1714&lt;=LedTo,OR(I1714=LedAcct,K1714=LedAcct,AND(LedAcct=acctTax,M1714+N1714&lt;&gt;0))),E1714*10000+B1714,""),"")</f>
        <v/>
      </c>
    </row>
    <row r="1715">
      <c r="B1715" s="101" t="n">
        <v>1709</v>
      </c>
      <c r="C1715" s="58" t="inlineStr">
        <is>
          <t>Transaction</t>
        </is>
      </c>
      <c r="D1715" s="58">
        <f>IF(H1715=1,INDEX(tx_ID,1709)&amp;"","")</f>
        <v/>
      </c>
      <c r="E1715" s="94">
        <f>IF(H1715=1,INDEX(tx_Date,1709),"")</f>
        <v/>
      </c>
      <c r="F1715" s="58">
        <f>IF(H1715=1,INDEX(tx_Desc,1709)&amp;"","")</f>
        <v/>
      </c>
      <c r="G1715" s="58">
        <f>IF(H1715=1,IF(INDEX(tx_Cust,1709)&amp;""&lt;&gt;"",INDEX(tx_Cust,1709)&amp;"",INDEX(tx_Vend,1709)&amp;""),"")</f>
        <v/>
      </c>
      <c r="H1715" s="101">
        <f>IFERROR(N(INDEX(tx_Posted,1709)),0)</f>
        <v/>
      </c>
      <c r="I1715" s="58">
        <f>IF(H1715=1,INDEX(tx_DrAcct,1709)&amp;"","")</f>
        <v/>
      </c>
      <c r="J1715" s="95">
        <f>IF(H1715=1,INDEX(tx_DrAmt,1709),0)</f>
        <v/>
      </c>
      <c r="K1715" s="58">
        <f>IF(H1715=1,INDEX(tx_CrAcct,1709)&amp;"","")</f>
        <v/>
      </c>
      <c r="L1715" s="95">
        <f>IF(H1715=1,INDEX(tx_CrAmt,1709),0)</f>
        <v/>
      </c>
      <c r="M1715" s="95">
        <f>IF(H1715=1,INDEX(tx_TaxDr,1709),0)</f>
        <v/>
      </c>
      <c r="N1715" s="95">
        <f>IF(H1715=1,INDEX(tx_TaxCr,1709),0)</f>
        <v/>
      </c>
      <c r="O1715" s="101">
        <f>IF(H1715=1,IF(E1715&lt;FYStart,0,IF(E1715&gt;FYEnd,13,YEAR(E1715)*12+MONTH(E1715)-FYYM+1)),"")</f>
        <v/>
      </c>
      <c r="P1715" s="101">
        <f>IF(H1715=1,IF(IFERROR(INDEX(coa_CF,MATCH(I1715,coa_Name,0)),"")="Cash",1,0),0)</f>
        <v/>
      </c>
      <c r="Q1715" s="101">
        <f>IF(H1715=1,IF(IFERROR(INDEX(coa_CF,MATCH(K1715,coa_Name,0)),"")="Cash",1,0),0)</f>
        <v/>
      </c>
      <c r="R1715" s="58">
        <f>IF((P1715-Q1715)=0,"",IFERROR(INDEX(coa_CF,MATCH(IF((P1715-Q1715)=1,K1715,I1715),coa_Name,0)),"Operating"))</f>
        <v/>
      </c>
      <c r="S1715" s="95">
        <f>IF((P1715-Q1715)=1,L1715,IF((P1715-Q1715)=-1,-J1715,0))</f>
        <v/>
      </c>
      <c r="T1715" s="95">
        <f>IF((P1715-Q1715)=1,N1715,IF((P1715-Q1715)=-1,-M1715,0))</f>
        <v/>
      </c>
      <c r="U1715" s="101">
        <f>IF(AND(H1715=1,LedAcct&lt;&gt;""),IF(AND(E1715&gt;=LedFrom,E1715&lt;=LedTo,OR(I1715=LedAcct,K1715=LedAcct,AND(LedAcct=acctTax,M1715+N1715&lt;&gt;0))),E1715*10000+B1715,""),"")</f>
        <v/>
      </c>
    </row>
    <row r="1716">
      <c r="B1716" s="101" t="n">
        <v>1710</v>
      </c>
      <c r="C1716" s="58" t="inlineStr">
        <is>
          <t>Transaction</t>
        </is>
      </c>
      <c r="D1716" s="58">
        <f>IF(H1716=1,INDEX(tx_ID,1710)&amp;"","")</f>
        <v/>
      </c>
      <c r="E1716" s="94">
        <f>IF(H1716=1,INDEX(tx_Date,1710),"")</f>
        <v/>
      </c>
      <c r="F1716" s="58">
        <f>IF(H1716=1,INDEX(tx_Desc,1710)&amp;"","")</f>
        <v/>
      </c>
      <c r="G1716" s="58">
        <f>IF(H1716=1,IF(INDEX(tx_Cust,1710)&amp;""&lt;&gt;"",INDEX(tx_Cust,1710)&amp;"",INDEX(tx_Vend,1710)&amp;""),"")</f>
        <v/>
      </c>
      <c r="H1716" s="101">
        <f>IFERROR(N(INDEX(tx_Posted,1710)),0)</f>
        <v/>
      </c>
      <c r="I1716" s="58">
        <f>IF(H1716=1,INDEX(tx_DrAcct,1710)&amp;"","")</f>
        <v/>
      </c>
      <c r="J1716" s="95">
        <f>IF(H1716=1,INDEX(tx_DrAmt,1710),0)</f>
        <v/>
      </c>
      <c r="K1716" s="58">
        <f>IF(H1716=1,INDEX(tx_CrAcct,1710)&amp;"","")</f>
        <v/>
      </c>
      <c r="L1716" s="95">
        <f>IF(H1716=1,INDEX(tx_CrAmt,1710),0)</f>
        <v/>
      </c>
      <c r="M1716" s="95">
        <f>IF(H1716=1,INDEX(tx_TaxDr,1710),0)</f>
        <v/>
      </c>
      <c r="N1716" s="95">
        <f>IF(H1716=1,INDEX(tx_TaxCr,1710),0)</f>
        <v/>
      </c>
      <c r="O1716" s="101">
        <f>IF(H1716=1,IF(E1716&lt;FYStart,0,IF(E1716&gt;FYEnd,13,YEAR(E1716)*12+MONTH(E1716)-FYYM+1)),"")</f>
        <v/>
      </c>
      <c r="P1716" s="101">
        <f>IF(H1716=1,IF(IFERROR(INDEX(coa_CF,MATCH(I1716,coa_Name,0)),"")="Cash",1,0),0)</f>
        <v/>
      </c>
      <c r="Q1716" s="101">
        <f>IF(H1716=1,IF(IFERROR(INDEX(coa_CF,MATCH(K1716,coa_Name,0)),"")="Cash",1,0),0)</f>
        <v/>
      </c>
      <c r="R1716" s="58">
        <f>IF((P1716-Q1716)=0,"",IFERROR(INDEX(coa_CF,MATCH(IF((P1716-Q1716)=1,K1716,I1716),coa_Name,0)),"Operating"))</f>
        <v/>
      </c>
      <c r="S1716" s="95">
        <f>IF((P1716-Q1716)=1,L1716,IF((P1716-Q1716)=-1,-J1716,0))</f>
        <v/>
      </c>
      <c r="T1716" s="95">
        <f>IF((P1716-Q1716)=1,N1716,IF((P1716-Q1716)=-1,-M1716,0))</f>
        <v/>
      </c>
      <c r="U1716" s="101">
        <f>IF(AND(H1716=1,LedAcct&lt;&gt;""),IF(AND(E1716&gt;=LedFrom,E1716&lt;=LedTo,OR(I1716=LedAcct,K1716=LedAcct,AND(LedAcct=acctTax,M1716+N1716&lt;&gt;0))),E1716*10000+B1716,""),"")</f>
        <v/>
      </c>
    </row>
    <row r="1717">
      <c r="B1717" s="101" t="n">
        <v>1711</v>
      </c>
      <c r="C1717" s="58" t="inlineStr">
        <is>
          <t>Transaction</t>
        </is>
      </c>
      <c r="D1717" s="58">
        <f>IF(H1717=1,INDEX(tx_ID,1711)&amp;"","")</f>
        <v/>
      </c>
      <c r="E1717" s="94">
        <f>IF(H1717=1,INDEX(tx_Date,1711),"")</f>
        <v/>
      </c>
      <c r="F1717" s="58">
        <f>IF(H1717=1,INDEX(tx_Desc,1711)&amp;"","")</f>
        <v/>
      </c>
      <c r="G1717" s="58">
        <f>IF(H1717=1,IF(INDEX(tx_Cust,1711)&amp;""&lt;&gt;"",INDEX(tx_Cust,1711)&amp;"",INDEX(tx_Vend,1711)&amp;""),"")</f>
        <v/>
      </c>
      <c r="H1717" s="101">
        <f>IFERROR(N(INDEX(tx_Posted,1711)),0)</f>
        <v/>
      </c>
      <c r="I1717" s="58">
        <f>IF(H1717=1,INDEX(tx_DrAcct,1711)&amp;"","")</f>
        <v/>
      </c>
      <c r="J1717" s="95">
        <f>IF(H1717=1,INDEX(tx_DrAmt,1711),0)</f>
        <v/>
      </c>
      <c r="K1717" s="58">
        <f>IF(H1717=1,INDEX(tx_CrAcct,1711)&amp;"","")</f>
        <v/>
      </c>
      <c r="L1717" s="95">
        <f>IF(H1717=1,INDEX(tx_CrAmt,1711),0)</f>
        <v/>
      </c>
      <c r="M1717" s="95">
        <f>IF(H1717=1,INDEX(tx_TaxDr,1711),0)</f>
        <v/>
      </c>
      <c r="N1717" s="95">
        <f>IF(H1717=1,INDEX(tx_TaxCr,1711),0)</f>
        <v/>
      </c>
      <c r="O1717" s="101">
        <f>IF(H1717=1,IF(E1717&lt;FYStart,0,IF(E1717&gt;FYEnd,13,YEAR(E1717)*12+MONTH(E1717)-FYYM+1)),"")</f>
        <v/>
      </c>
      <c r="P1717" s="101">
        <f>IF(H1717=1,IF(IFERROR(INDEX(coa_CF,MATCH(I1717,coa_Name,0)),"")="Cash",1,0),0)</f>
        <v/>
      </c>
      <c r="Q1717" s="101">
        <f>IF(H1717=1,IF(IFERROR(INDEX(coa_CF,MATCH(K1717,coa_Name,0)),"")="Cash",1,0),0)</f>
        <v/>
      </c>
      <c r="R1717" s="58">
        <f>IF((P1717-Q1717)=0,"",IFERROR(INDEX(coa_CF,MATCH(IF((P1717-Q1717)=1,K1717,I1717),coa_Name,0)),"Operating"))</f>
        <v/>
      </c>
      <c r="S1717" s="95">
        <f>IF((P1717-Q1717)=1,L1717,IF((P1717-Q1717)=-1,-J1717,0))</f>
        <v/>
      </c>
      <c r="T1717" s="95">
        <f>IF((P1717-Q1717)=1,N1717,IF((P1717-Q1717)=-1,-M1717,0))</f>
        <v/>
      </c>
      <c r="U1717" s="101">
        <f>IF(AND(H1717=1,LedAcct&lt;&gt;""),IF(AND(E1717&gt;=LedFrom,E1717&lt;=LedTo,OR(I1717=LedAcct,K1717=LedAcct,AND(LedAcct=acctTax,M1717+N1717&lt;&gt;0))),E1717*10000+B1717,""),"")</f>
        <v/>
      </c>
    </row>
    <row r="1718">
      <c r="B1718" s="101" t="n">
        <v>1712</v>
      </c>
      <c r="C1718" s="58" t="inlineStr">
        <is>
          <t>Transaction</t>
        </is>
      </c>
      <c r="D1718" s="58">
        <f>IF(H1718=1,INDEX(tx_ID,1712)&amp;"","")</f>
        <v/>
      </c>
      <c r="E1718" s="94">
        <f>IF(H1718=1,INDEX(tx_Date,1712),"")</f>
        <v/>
      </c>
      <c r="F1718" s="58">
        <f>IF(H1718=1,INDEX(tx_Desc,1712)&amp;"","")</f>
        <v/>
      </c>
      <c r="G1718" s="58">
        <f>IF(H1718=1,IF(INDEX(tx_Cust,1712)&amp;""&lt;&gt;"",INDEX(tx_Cust,1712)&amp;"",INDEX(tx_Vend,1712)&amp;""),"")</f>
        <v/>
      </c>
      <c r="H1718" s="101">
        <f>IFERROR(N(INDEX(tx_Posted,1712)),0)</f>
        <v/>
      </c>
      <c r="I1718" s="58">
        <f>IF(H1718=1,INDEX(tx_DrAcct,1712)&amp;"","")</f>
        <v/>
      </c>
      <c r="J1718" s="95">
        <f>IF(H1718=1,INDEX(tx_DrAmt,1712),0)</f>
        <v/>
      </c>
      <c r="K1718" s="58">
        <f>IF(H1718=1,INDEX(tx_CrAcct,1712)&amp;"","")</f>
        <v/>
      </c>
      <c r="L1718" s="95">
        <f>IF(H1718=1,INDEX(tx_CrAmt,1712),0)</f>
        <v/>
      </c>
      <c r="M1718" s="95">
        <f>IF(H1718=1,INDEX(tx_TaxDr,1712),0)</f>
        <v/>
      </c>
      <c r="N1718" s="95">
        <f>IF(H1718=1,INDEX(tx_TaxCr,1712),0)</f>
        <v/>
      </c>
      <c r="O1718" s="101">
        <f>IF(H1718=1,IF(E1718&lt;FYStart,0,IF(E1718&gt;FYEnd,13,YEAR(E1718)*12+MONTH(E1718)-FYYM+1)),"")</f>
        <v/>
      </c>
      <c r="P1718" s="101">
        <f>IF(H1718=1,IF(IFERROR(INDEX(coa_CF,MATCH(I1718,coa_Name,0)),"")="Cash",1,0),0)</f>
        <v/>
      </c>
      <c r="Q1718" s="101">
        <f>IF(H1718=1,IF(IFERROR(INDEX(coa_CF,MATCH(K1718,coa_Name,0)),"")="Cash",1,0),0)</f>
        <v/>
      </c>
      <c r="R1718" s="58">
        <f>IF((P1718-Q1718)=0,"",IFERROR(INDEX(coa_CF,MATCH(IF((P1718-Q1718)=1,K1718,I1718),coa_Name,0)),"Operating"))</f>
        <v/>
      </c>
      <c r="S1718" s="95">
        <f>IF((P1718-Q1718)=1,L1718,IF((P1718-Q1718)=-1,-J1718,0))</f>
        <v/>
      </c>
      <c r="T1718" s="95">
        <f>IF((P1718-Q1718)=1,N1718,IF((P1718-Q1718)=-1,-M1718,0))</f>
        <v/>
      </c>
      <c r="U1718" s="101">
        <f>IF(AND(H1718=1,LedAcct&lt;&gt;""),IF(AND(E1718&gt;=LedFrom,E1718&lt;=LedTo,OR(I1718=LedAcct,K1718=LedAcct,AND(LedAcct=acctTax,M1718+N1718&lt;&gt;0))),E1718*10000+B1718,""),"")</f>
        <v/>
      </c>
    </row>
    <row r="1719">
      <c r="B1719" s="101" t="n">
        <v>1713</v>
      </c>
      <c r="C1719" s="58" t="inlineStr">
        <is>
          <t>Transaction</t>
        </is>
      </c>
      <c r="D1719" s="58">
        <f>IF(H1719=1,INDEX(tx_ID,1713)&amp;"","")</f>
        <v/>
      </c>
      <c r="E1719" s="94">
        <f>IF(H1719=1,INDEX(tx_Date,1713),"")</f>
        <v/>
      </c>
      <c r="F1719" s="58">
        <f>IF(H1719=1,INDEX(tx_Desc,1713)&amp;"","")</f>
        <v/>
      </c>
      <c r="G1719" s="58">
        <f>IF(H1719=1,IF(INDEX(tx_Cust,1713)&amp;""&lt;&gt;"",INDEX(tx_Cust,1713)&amp;"",INDEX(tx_Vend,1713)&amp;""),"")</f>
        <v/>
      </c>
      <c r="H1719" s="101">
        <f>IFERROR(N(INDEX(tx_Posted,1713)),0)</f>
        <v/>
      </c>
      <c r="I1719" s="58">
        <f>IF(H1719=1,INDEX(tx_DrAcct,1713)&amp;"","")</f>
        <v/>
      </c>
      <c r="J1719" s="95">
        <f>IF(H1719=1,INDEX(tx_DrAmt,1713),0)</f>
        <v/>
      </c>
      <c r="K1719" s="58">
        <f>IF(H1719=1,INDEX(tx_CrAcct,1713)&amp;"","")</f>
        <v/>
      </c>
      <c r="L1719" s="95">
        <f>IF(H1719=1,INDEX(tx_CrAmt,1713),0)</f>
        <v/>
      </c>
      <c r="M1719" s="95">
        <f>IF(H1719=1,INDEX(tx_TaxDr,1713),0)</f>
        <v/>
      </c>
      <c r="N1719" s="95">
        <f>IF(H1719=1,INDEX(tx_TaxCr,1713),0)</f>
        <v/>
      </c>
      <c r="O1719" s="101">
        <f>IF(H1719=1,IF(E1719&lt;FYStart,0,IF(E1719&gt;FYEnd,13,YEAR(E1719)*12+MONTH(E1719)-FYYM+1)),"")</f>
        <v/>
      </c>
      <c r="P1719" s="101">
        <f>IF(H1719=1,IF(IFERROR(INDEX(coa_CF,MATCH(I1719,coa_Name,0)),"")="Cash",1,0),0)</f>
        <v/>
      </c>
      <c r="Q1719" s="101">
        <f>IF(H1719=1,IF(IFERROR(INDEX(coa_CF,MATCH(K1719,coa_Name,0)),"")="Cash",1,0),0)</f>
        <v/>
      </c>
      <c r="R1719" s="58">
        <f>IF((P1719-Q1719)=0,"",IFERROR(INDEX(coa_CF,MATCH(IF((P1719-Q1719)=1,K1719,I1719),coa_Name,0)),"Operating"))</f>
        <v/>
      </c>
      <c r="S1719" s="95">
        <f>IF((P1719-Q1719)=1,L1719,IF((P1719-Q1719)=-1,-J1719,0))</f>
        <v/>
      </c>
      <c r="T1719" s="95">
        <f>IF((P1719-Q1719)=1,N1719,IF((P1719-Q1719)=-1,-M1719,0))</f>
        <v/>
      </c>
      <c r="U1719" s="101">
        <f>IF(AND(H1719=1,LedAcct&lt;&gt;""),IF(AND(E1719&gt;=LedFrom,E1719&lt;=LedTo,OR(I1719=LedAcct,K1719=LedAcct,AND(LedAcct=acctTax,M1719+N1719&lt;&gt;0))),E1719*10000+B1719,""),"")</f>
        <v/>
      </c>
    </row>
    <row r="1720">
      <c r="B1720" s="101" t="n">
        <v>1714</v>
      </c>
      <c r="C1720" s="58" t="inlineStr">
        <is>
          <t>Transaction</t>
        </is>
      </c>
      <c r="D1720" s="58">
        <f>IF(H1720=1,INDEX(tx_ID,1714)&amp;"","")</f>
        <v/>
      </c>
      <c r="E1720" s="94">
        <f>IF(H1720=1,INDEX(tx_Date,1714),"")</f>
        <v/>
      </c>
      <c r="F1720" s="58">
        <f>IF(H1720=1,INDEX(tx_Desc,1714)&amp;"","")</f>
        <v/>
      </c>
      <c r="G1720" s="58">
        <f>IF(H1720=1,IF(INDEX(tx_Cust,1714)&amp;""&lt;&gt;"",INDEX(tx_Cust,1714)&amp;"",INDEX(tx_Vend,1714)&amp;""),"")</f>
        <v/>
      </c>
      <c r="H1720" s="101">
        <f>IFERROR(N(INDEX(tx_Posted,1714)),0)</f>
        <v/>
      </c>
      <c r="I1720" s="58">
        <f>IF(H1720=1,INDEX(tx_DrAcct,1714)&amp;"","")</f>
        <v/>
      </c>
      <c r="J1720" s="95">
        <f>IF(H1720=1,INDEX(tx_DrAmt,1714),0)</f>
        <v/>
      </c>
      <c r="K1720" s="58">
        <f>IF(H1720=1,INDEX(tx_CrAcct,1714)&amp;"","")</f>
        <v/>
      </c>
      <c r="L1720" s="95">
        <f>IF(H1720=1,INDEX(tx_CrAmt,1714),0)</f>
        <v/>
      </c>
      <c r="M1720" s="95">
        <f>IF(H1720=1,INDEX(tx_TaxDr,1714),0)</f>
        <v/>
      </c>
      <c r="N1720" s="95">
        <f>IF(H1720=1,INDEX(tx_TaxCr,1714),0)</f>
        <v/>
      </c>
      <c r="O1720" s="101">
        <f>IF(H1720=1,IF(E1720&lt;FYStart,0,IF(E1720&gt;FYEnd,13,YEAR(E1720)*12+MONTH(E1720)-FYYM+1)),"")</f>
        <v/>
      </c>
      <c r="P1720" s="101">
        <f>IF(H1720=1,IF(IFERROR(INDEX(coa_CF,MATCH(I1720,coa_Name,0)),"")="Cash",1,0),0)</f>
        <v/>
      </c>
      <c r="Q1720" s="101">
        <f>IF(H1720=1,IF(IFERROR(INDEX(coa_CF,MATCH(K1720,coa_Name,0)),"")="Cash",1,0),0)</f>
        <v/>
      </c>
      <c r="R1720" s="58">
        <f>IF((P1720-Q1720)=0,"",IFERROR(INDEX(coa_CF,MATCH(IF((P1720-Q1720)=1,K1720,I1720),coa_Name,0)),"Operating"))</f>
        <v/>
      </c>
      <c r="S1720" s="95">
        <f>IF((P1720-Q1720)=1,L1720,IF((P1720-Q1720)=-1,-J1720,0))</f>
        <v/>
      </c>
      <c r="T1720" s="95">
        <f>IF((P1720-Q1720)=1,N1720,IF((P1720-Q1720)=-1,-M1720,0))</f>
        <v/>
      </c>
      <c r="U1720" s="101">
        <f>IF(AND(H1720=1,LedAcct&lt;&gt;""),IF(AND(E1720&gt;=LedFrom,E1720&lt;=LedTo,OR(I1720=LedAcct,K1720=LedAcct,AND(LedAcct=acctTax,M1720+N1720&lt;&gt;0))),E1720*10000+B1720,""),"")</f>
        <v/>
      </c>
    </row>
    <row r="1721">
      <c r="B1721" s="101" t="n">
        <v>1715</v>
      </c>
      <c r="C1721" s="58" t="inlineStr">
        <is>
          <t>Transaction</t>
        </is>
      </c>
      <c r="D1721" s="58">
        <f>IF(H1721=1,INDEX(tx_ID,1715)&amp;"","")</f>
        <v/>
      </c>
      <c r="E1721" s="94">
        <f>IF(H1721=1,INDEX(tx_Date,1715),"")</f>
        <v/>
      </c>
      <c r="F1721" s="58">
        <f>IF(H1721=1,INDEX(tx_Desc,1715)&amp;"","")</f>
        <v/>
      </c>
      <c r="G1721" s="58">
        <f>IF(H1721=1,IF(INDEX(tx_Cust,1715)&amp;""&lt;&gt;"",INDEX(tx_Cust,1715)&amp;"",INDEX(tx_Vend,1715)&amp;""),"")</f>
        <v/>
      </c>
      <c r="H1721" s="101">
        <f>IFERROR(N(INDEX(tx_Posted,1715)),0)</f>
        <v/>
      </c>
      <c r="I1721" s="58">
        <f>IF(H1721=1,INDEX(tx_DrAcct,1715)&amp;"","")</f>
        <v/>
      </c>
      <c r="J1721" s="95">
        <f>IF(H1721=1,INDEX(tx_DrAmt,1715),0)</f>
        <v/>
      </c>
      <c r="K1721" s="58">
        <f>IF(H1721=1,INDEX(tx_CrAcct,1715)&amp;"","")</f>
        <v/>
      </c>
      <c r="L1721" s="95">
        <f>IF(H1721=1,INDEX(tx_CrAmt,1715),0)</f>
        <v/>
      </c>
      <c r="M1721" s="95">
        <f>IF(H1721=1,INDEX(tx_TaxDr,1715),0)</f>
        <v/>
      </c>
      <c r="N1721" s="95">
        <f>IF(H1721=1,INDEX(tx_TaxCr,1715),0)</f>
        <v/>
      </c>
      <c r="O1721" s="101">
        <f>IF(H1721=1,IF(E1721&lt;FYStart,0,IF(E1721&gt;FYEnd,13,YEAR(E1721)*12+MONTH(E1721)-FYYM+1)),"")</f>
        <v/>
      </c>
      <c r="P1721" s="101">
        <f>IF(H1721=1,IF(IFERROR(INDEX(coa_CF,MATCH(I1721,coa_Name,0)),"")="Cash",1,0),0)</f>
        <v/>
      </c>
      <c r="Q1721" s="101">
        <f>IF(H1721=1,IF(IFERROR(INDEX(coa_CF,MATCH(K1721,coa_Name,0)),"")="Cash",1,0),0)</f>
        <v/>
      </c>
      <c r="R1721" s="58">
        <f>IF((P1721-Q1721)=0,"",IFERROR(INDEX(coa_CF,MATCH(IF((P1721-Q1721)=1,K1721,I1721),coa_Name,0)),"Operating"))</f>
        <v/>
      </c>
      <c r="S1721" s="95">
        <f>IF((P1721-Q1721)=1,L1721,IF((P1721-Q1721)=-1,-J1721,0))</f>
        <v/>
      </c>
      <c r="T1721" s="95">
        <f>IF((P1721-Q1721)=1,N1721,IF((P1721-Q1721)=-1,-M1721,0))</f>
        <v/>
      </c>
      <c r="U1721" s="101">
        <f>IF(AND(H1721=1,LedAcct&lt;&gt;""),IF(AND(E1721&gt;=LedFrom,E1721&lt;=LedTo,OR(I1721=LedAcct,K1721=LedAcct,AND(LedAcct=acctTax,M1721+N1721&lt;&gt;0))),E1721*10000+B1721,""),"")</f>
        <v/>
      </c>
    </row>
    <row r="1722">
      <c r="B1722" s="101" t="n">
        <v>1716</v>
      </c>
      <c r="C1722" s="58" t="inlineStr">
        <is>
          <t>Transaction</t>
        </is>
      </c>
      <c r="D1722" s="58">
        <f>IF(H1722=1,INDEX(tx_ID,1716)&amp;"","")</f>
        <v/>
      </c>
      <c r="E1722" s="94">
        <f>IF(H1722=1,INDEX(tx_Date,1716),"")</f>
        <v/>
      </c>
      <c r="F1722" s="58">
        <f>IF(H1722=1,INDEX(tx_Desc,1716)&amp;"","")</f>
        <v/>
      </c>
      <c r="G1722" s="58">
        <f>IF(H1722=1,IF(INDEX(tx_Cust,1716)&amp;""&lt;&gt;"",INDEX(tx_Cust,1716)&amp;"",INDEX(tx_Vend,1716)&amp;""),"")</f>
        <v/>
      </c>
      <c r="H1722" s="101">
        <f>IFERROR(N(INDEX(tx_Posted,1716)),0)</f>
        <v/>
      </c>
      <c r="I1722" s="58">
        <f>IF(H1722=1,INDEX(tx_DrAcct,1716)&amp;"","")</f>
        <v/>
      </c>
      <c r="J1722" s="95">
        <f>IF(H1722=1,INDEX(tx_DrAmt,1716),0)</f>
        <v/>
      </c>
      <c r="K1722" s="58">
        <f>IF(H1722=1,INDEX(tx_CrAcct,1716)&amp;"","")</f>
        <v/>
      </c>
      <c r="L1722" s="95">
        <f>IF(H1722=1,INDEX(tx_CrAmt,1716),0)</f>
        <v/>
      </c>
      <c r="M1722" s="95">
        <f>IF(H1722=1,INDEX(tx_TaxDr,1716),0)</f>
        <v/>
      </c>
      <c r="N1722" s="95">
        <f>IF(H1722=1,INDEX(tx_TaxCr,1716),0)</f>
        <v/>
      </c>
      <c r="O1722" s="101">
        <f>IF(H1722=1,IF(E1722&lt;FYStart,0,IF(E1722&gt;FYEnd,13,YEAR(E1722)*12+MONTH(E1722)-FYYM+1)),"")</f>
        <v/>
      </c>
      <c r="P1722" s="101">
        <f>IF(H1722=1,IF(IFERROR(INDEX(coa_CF,MATCH(I1722,coa_Name,0)),"")="Cash",1,0),0)</f>
        <v/>
      </c>
      <c r="Q1722" s="101">
        <f>IF(H1722=1,IF(IFERROR(INDEX(coa_CF,MATCH(K1722,coa_Name,0)),"")="Cash",1,0),0)</f>
        <v/>
      </c>
      <c r="R1722" s="58">
        <f>IF((P1722-Q1722)=0,"",IFERROR(INDEX(coa_CF,MATCH(IF((P1722-Q1722)=1,K1722,I1722),coa_Name,0)),"Operating"))</f>
        <v/>
      </c>
      <c r="S1722" s="95">
        <f>IF((P1722-Q1722)=1,L1722,IF((P1722-Q1722)=-1,-J1722,0))</f>
        <v/>
      </c>
      <c r="T1722" s="95">
        <f>IF((P1722-Q1722)=1,N1722,IF((P1722-Q1722)=-1,-M1722,0))</f>
        <v/>
      </c>
      <c r="U1722" s="101">
        <f>IF(AND(H1722=1,LedAcct&lt;&gt;""),IF(AND(E1722&gt;=LedFrom,E1722&lt;=LedTo,OR(I1722=LedAcct,K1722=LedAcct,AND(LedAcct=acctTax,M1722+N1722&lt;&gt;0))),E1722*10000+B1722,""),"")</f>
        <v/>
      </c>
    </row>
    <row r="1723">
      <c r="B1723" s="101" t="n">
        <v>1717</v>
      </c>
      <c r="C1723" s="58" t="inlineStr">
        <is>
          <t>Transaction</t>
        </is>
      </c>
      <c r="D1723" s="58">
        <f>IF(H1723=1,INDEX(tx_ID,1717)&amp;"","")</f>
        <v/>
      </c>
      <c r="E1723" s="94">
        <f>IF(H1723=1,INDEX(tx_Date,1717),"")</f>
        <v/>
      </c>
      <c r="F1723" s="58">
        <f>IF(H1723=1,INDEX(tx_Desc,1717)&amp;"","")</f>
        <v/>
      </c>
      <c r="G1723" s="58">
        <f>IF(H1723=1,IF(INDEX(tx_Cust,1717)&amp;""&lt;&gt;"",INDEX(tx_Cust,1717)&amp;"",INDEX(tx_Vend,1717)&amp;""),"")</f>
        <v/>
      </c>
      <c r="H1723" s="101">
        <f>IFERROR(N(INDEX(tx_Posted,1717)),0)</f>
        <v/>
      </c>
      <c r="I1723" s="58">
        <f>IF(H1723=1,INDEX(tx_DrAcct,1717)&amp;"","")</f>
        <v/>
      </c>
      <c r="J1723" s="95">
        <f>IF(H1723=1,INDEX(tx_DrAmt,1717),0)</f>
        <v/>
      </c>
      <c r="K1723" s="58">
        <f>IF(H1723=1,INDEX(tx_CrAcct,1717)&amp;"","")</f>
        <v/>
      </c>
      <c r="L1723" s="95">
        <f>IF(H1723=1,INDEX(tx_CrAmt,1717),0)</f>
        <v/>
      </c>
      <c r="M1723" s="95">
        <f>IF(H1723=1,INDEX(tx_TaxDr,1717),0)</f>
        <v/>
      </c>
      <c r="N1723" s="95">
        <f>IF(H1723=1,INDEX(tx_TaxCr,1717),0)</f>
        <v/>
      </c>
      <c r="O1723" s="101">
        <f>IF(H1723=1,IF(E1723&lt;FYStart,0,IF(E1723&gt;FYEnd,13,YEAR(E1723)*12+MONTH(E1723)-FYYM+1)),"")</f>
        <v/>
      </c>
      <c r="P1723" s="101">
        <f>IF(H1723=1,IF(IFERROR(INDEX(coa_CF,MATCH(I1723,coa_Name,0)),"")="Cash",1,0),0)</f>
        <v/>
      </c>
      <c r="Q1723" s="101">
        <f>IF(H1723=1,IF(IFERROR(INDEX(coa_CF,MATCH(K1723,coa_Name,0)),"")="Cash",1,0),0)</f>
        <v/>
      </c>
      <c r="R1723" s="58">
        <f>IF((P1723-Q1723)=0,"",IFERROR(INDEX(coa_CF,MATCH(IF((P1723-Q1723)=1,K1723,I1723),coa_Name,0)),"Operating"))</f>
        <v/>
      </c>
      <c r="S1723" s="95">
        <f>IF((P1723-Q1723)=1,L1723,IF((P1723-Q1723)=-1,-J1723,0))</f>
        <v/>
      </c>
      <c r="T1723" s="95">
        <f>IF((P1723-Q1723)=1,N1723,IF((P1723-Q1723)=-1,-M1723,0))</f>
        <v/>
      </c>
      <c r="U1723" s="101">
        <f>IF(AND(H1723=1,LedAcct&lt;&gt;""),IF(AND(E1723&gt;=LedFrom,E1723&lt;=LedTo,OR(I1723=LedAcct,K1723=LedAcct,AND(LedAcct=acctTax,M1723+N1723&lt;&gt;0))),E1723*10000+B1723,""),"")</f>
        <v/>
      </c>
    </row>
    <row r="1724">
      <c r="B1724" s="101" t="n">
        <v>1718</v>
      </c>
      <c r="C1724" s="58" t="inlineStr">
        <is>
          <t>Transaction</t>
        </is>
      </c>
      <c r="D1724" s="58">
        <f>IF(H1724=1,INDEX(tx_ID,1718)&amp;"","")</f>
        <v/>
      </c>
      <c r="E1724" s="94">
        <f>IF(H1724=1,INDEX(tx_Date,1718),"")</f>
        <v/>
      </c>
      <c r="F1724" s="58">
        <f>IF(H1724=1,INDEX(tx_Desc,1718)&amp;"","")</f>
        <v/>
      </c>
      <c r="G1724" s="58">
        <f>IF(H1724=1,IF(INDEX(tx_Cust,1718)&amp;""&lt;&gt;"",INDEX(tx_Cust,1718)&amp;"",INDEX(tx_Vend,1718)&amp;""),"")</f>
        <v/>
      </c>
      <c r="H1724" s="101">
        <f>IFERROR(N(INDEX(tx_Posted,1718)),0)</f>
        <v/>
      </c>
      <c r="I1724" s="58">
        <f>IF(H1724=1,INDEX(tx_DrAcct,1718)&amp;"","")</f>
        <v/>
      </c>
      <c r="J1724" s="95">
        <f>IF(H1724=1,INDEX(tx_DrAmt,1718),0)</f>
        <v/>
      </c>
      <c r="K1724" s="58">
        <f>IF(H1724=1,INDEX(tx_CrAcct,1718)&amp;"","")</f>
        <v/>
      </c>
      <c r="L1724" s="95">
        <f>IF(H1724=1,INDEX(tx_CrAmt,1718),0)</f>
        <v/>
      </c>
      <c r="M1724" s="95">
        <f>IF(H1724=1,INDEX(tx_TaxDr,1718),0)</f>
        <v/>
      </c>
      <c r="N1724" s="95">
        <f>IF(H1724=1,INDEX(tx_TaxCr,1718),0)</f>
        <v/>
      </c>
      <c r="O1724" s="101">
        <f>IF(H1724=1,IF(E1724&lt;FYStart,0,IF(E1724&gt;FYEnd,13,YEAR(E1724)*12+MONTH(E1724)-FYYM+1)),"")</f>
        <v/>
      </c>
      <c r="P1724" s="101">
        <f>IF(H1724=1,IF(IFERROR(INDEX(coa_CF,MATCH(I1724,coa_Name,0)),"")="Cash",1,0),0)</f>
        <v/>
      </c>
      <c r="Q1724" s="101">
        <f>IF(H1724=1,IF(IFERROR(INDEX(coa_CF,MATCH(K1724,coa_Name,0)),"")="Cash",1,0),0)</f>
        <v/>
      </c>
      <c r="R1724" s="58">
        <f>IF((P1724-Q1724)=0,"",IFERROR(INDEX(coa_CF,MATCH(IF((P1724-Q1724)=1,K1724,I1724),coa_Name,0)),"Operating"))</f>
        <v/>
      </c>
      <c r="S1724" s="95">
        <f>IF((P1724-Q1724)=1,L1724,IF((P1724-Q1724)=-1,-J1724,0))</f>
        <v/>
      </c>
      <c r="T1724" s="95">
        <f>IF((P1724-Q1724)=1,N1724,IF((P1724-Q1724)=-1,-M1724,0))</f>
        <v/>
      </c>
      <c r="U1724" s="101">
        <f>IF(AND(H1724=1,LedAcct&lt;&gt;""),IF(AND(E1724&gt;=LedFrom,E1724&lt;=LedTo,OR(I1724=LedAcct,K1724=LedAcct,AND(LedAcct=acctTax,M1724+N1724&lt;&gt;0))),E1724*10000+B1724,""),"")</f>
        <v/>
      </c>
    </row>
    <row r="1725">
      <c r="B1725" s="101" t="n">
        <v>1719</v>
      </c>
      <c r="C1725" s="58" t="inlineStr">
        <is>
          <t>Transaction</t>
        </is>
      </c>
      <c r="D1725" s="58">
        <f>IF(H1725=1,INDEX(tx_ID,1719)&amp;"","")</f>
        <v/>
      </c>
      <c r="E1725" s="94">
        <f>IF(H1725=1,INDEX(tx_Date,1719),"")</f>
        <v/>
      </c>
      <c r="F1725" s="58">
        <f>IF(H1725=1,INDEX(tx_Desc,1719)&amp;"","")</f>
        <v/>
      </c>
      <c r="G1725" s="58">
        <f>IF(H1725=1,IF(INDEX(tx_Cust,1719)&amp;""&lt;&gt;"",INDEX(tx_Cust,1719)&amp;"",INDEX(tx_Vend,1719)&amp;""),"")</f>
        <v/>
      </c>
      <c r="H1725" s="101">
        <f>IFERROR(N(INDEX(tx_Posted,1719)),0)</f>
        <v/>
      </c>
      <c r="I1725" s="58">
        <f>IF(H1725=1,INDEX(tx_DrAcct,1719)&amp;"","")</f>
        <v/>
      </c>
      <c r="J1725" s="95">
        <f>IF(H1725=1,INDEX(tx_DrAmt,1719),0)</f>
        <v/>
      </c>
      <c r="K1725" s="58">
        <f>IF(H1725=1,INDEX(tx_CrAcct,1719)&amp;"","")</f>
        <v/>
      </c>
      <c r="L1725" s="95">
        <f>IF(H1725=1,INDEX(tx_CrAmt,1719),0)</f>
        <v/>
      </c>
      <c r="M1725" s="95">
        <f>IF(H1725=1,INDEX(tx_TaxDr,1719),0)</f>
        <v/>
      </c>
      <c r="N1725" s="95">
        <f>IF(H1725=1,INDEX(tx_TaxCr,1719),0)</f>
        <v/>
      </c>
      <c r="O1725" s="101">
        <f>IF(H1725=1,IF(E1725&lt;FYStart,0,IF(E1725&gt;FYEnd,13,YEAR(E1725)*12+MONTH(E1725)-FYYM+1)),"")</f>
        <v/>
      </c>
      <c r="P1725" s="101">
        <f>IF(H1725=1,IF(IFERROR(INDEX(coa_CF,MATCH(I1725,coa_Name,0)),"")="Cash",1,0),0)</f>
        <v/>
      </c>
      <c r="Q1725" s="101">
        <f>IF(H1725=1,IF(IFERROR(INDEX(coa_CF,MATCH(K1725,coa_Name,0)),"")="Cash",1,0),0)</f>
        <v/>
      </c>
      <c r="R1725" s="58">
        <f>IF((P1725-Q1725)=0,"",IFERROR(INDEX(coa_CF,MATCH(IF((P1725-Q1725)=1,K1725,I1725),coa_Name,0)),"Operating"))</f>
        <v/>
      </c>
      <c r="S1725" s="95">
        <f>IF((P1725-Q1725)=1,L1725,IF((P1725-Q1725)=-1,-J1725,0))</f>
        <v/>
      </c>
      <c r="T1725" s="95">
        <f>IF((P1725-Q1725)=1,N1725,IF((P1725-Q1725)=-1,-M1725,0))</f>
        <v/>
      </c>
      <c r="U1725" s="101">
        <f>IF(AND(H1725=1,LedAcct&lt;&gt;""),IF(AND(E1725&gt;=LedFrom,E1725&lt;=LedTo,OR(I1725=LedAcct,K1725=LedAcct,AND(LedAcct=acctTax,M1725+N1725&lt;&gt;0))),E1725*10000+B1725,""),"")</f>
        <v/>
      </c>
    </row>
    <row r="1726">
      <c r="B1726" s="101" t="n">
        <v>1720</v>
      </c>
      <c r="C1726" s="58" t="inlineStr">
        <is>
          <t>Transaction</t>
        </is>
      </c>
      <c r="D1726" s="58">
        <f>IF(H1726=1,INDEX(tx_ID,1720)&amp;"","")</f>
        <v/>
      </c>
      <c r="E1726" s="94">
        <f>IF(H1726=1,INDEX(tx_Date,1720),"")</f>
        <v/>
      </c>
      <c r="F1726" s="58">
        <f>IF(H1726=1,INDEX(tx_Desc,1720)&amp;"","")</f>
        <v/>
      </c>
      <c r="G1726" s="58">
        <f>IF(H1726=1,IF(INDEX(tx_Cust,1720)&amp;""&lt;&gt;"",INDEX(tx_Cust,1720)&amp;"",INDEX(tx_Vend,1720)&amp;""),"")</f>
        <v/>
      </c>
      <c r="H1726" s="101">
        <f>IFERROR(N(INDEX(tx_Posted,1720)),0)</f>
        <v/>
      </c>
      <c r="I1726" s="58">
        <f>IF(H1726=1,INDEX(tx_DrAcct,1720)&amp;"","")</f>
        <v/>
      </c>
      <c r="J1726" s="95">
        <f>IF(H1726=1,INDEX(tx_DrAmt,1720),0)</f>
        <v/>
      </c>
      <c r="K1726" s="58">
        <f>IF(H1726=1,INDEX(tx_CrAcct,1720)&amp;"","")</f>
        <v/>
      </c>
      <c r="L1726" s="95">
        <f>IF(H1726=1,INDEX(tx_CrAmt,1720),0)</f>
        <v/>
      </c>
      <c r="M1726" s="95">
        <f>IF(H1726=1,INDEX(tx_TaxDr,1720),0)</f>
        <v/>
      </c>
      <c r="N1726" s="95">
        <f>IF(H1726=1,INDEX(tx_TaxCr,1720),0)</f>
        <v/>
      </c>
      <c r="O1726" s="101">
        <f>IF(H1726=1,IF(E1726&lt;FYStart,0,IF(E1726&gt;FYEnd,13,YEAR(E1726)*12+MONTH(E1726)-FYYM+1)),"")</f>
        <v/>
      </c>
      <c r="P1726" s="101">
        <f>IF(H1726=1,IF(IFERROR(INDEX(coa_CF,MATCH(I1726,coa_Name,0)),"")="Cash",1,0),0)</f>
        <v/>
      </c>
      <c r="Q1726" s="101">
        <f>IF(H1726=1,IF(IFERROR(INDEX(coa_CF,MATCH(K1726,coa_Name,0)),"")="Cash",1,0),0)</f>
        <v/>
      </c>
      <c r="R1726" s="58">
        <f>IF((P1726-Q1726)=0,"",IFERROR(INDEX(coa_CF,MATCH(IF((P1726-Q1726)=1,K1726,I1726),coa_Name,0)),"Operating"))</f>
        <v/>
      </c>
      <c r="S1726" s="95">
        <f>IF((P1726-Q1726)=1,L1726,IF((P1726-Q1726)=-1,-J1726,0))</f>
        <v/>
      </c>
      <c r="T1726" s="95">
        <f>IF((P1726-Q1726)=1,N1726,IF((P1726-Q1726)=-1,-M1726,0))</f>
        <v/>
      </c>
      <c r="U1726" s="101">
        <f>IF(AND(H1726=1,LedAcct&lt;&gt;""),IF(AND(E1726&gt;=LedFrom,E1726&lt;=LedTo,OR(I1726=LedAcct,K1726=LedAcct,AND(LedAcct=acctTax,M1726+N1726&lt;&gt;0))),E1726*10000+B1726,""),"")</f>
        <v/>
      </c>
    </row>
    <row r="1727">
      <c r="B1727" s="101" t="n">
        <v>1721</v>
      </c>
      <c r="C1727" s="58" t="inlineStr">
        <is>
          <t>Transaction</t>
        </is>
      </c>
      <c r="D1727" s="58">
        <f>IF(H1727=1,INDEX(tx_ID,1721)&amp;"","")</f>
        <v/>
      </c>
      <c r="E1727" s="94">
        <f>IF(H1727=1,INDEX(tx_Date,1721),"")</f>
        <v/>
      </c>
      <c r="F1727" s="58">
        <f>IF(H1727=1,INDEX(tx_Desc,1721)&amp;"","")</f>
        <v/>
      </c>
      <c r="G1727" s="58">
        <f>IF(H1727=1,IF(INDEX(tx_Cust,1721)&amp;""&lt;&gt;"",INDEX(tx_Cust,1721)&amp;"",INDEX(tx_Vend,1721)&amp;""),"")</f>
        <v/>
      </c>
      <c r="H1727" s="101">
        <f>IFERROR(N(INDEX(tx_Posted,1721)),0)</f>
        <v/>
      </c>
      <c r="I1727" s="58">
        <f>IF(H1727=1,INDEX(tx_DrAcct,1721)&amp;"","")</f>
        <v/>
      </c>
      <c r="J1727" s="95">
        <f>IF(H1727=1,INDEX(tx_DrAmt,1721),0)</f>
        <v/>
      </c>
      <c r="K1727" s="58">
        <f>IF(H1727=1,INDEX(tx_CrAcct,1721)&amp;"","")</f>
        <v/>
      </c>
      <c r="L1727" s="95">
        <f>IF(H1727=1,INDEX(tx_CrAmt,1721),0)</f>
        <v/>
      </c>
      <c r="M1727" s="95">
        <f>IF(H1727=1,INDEX(tx_TaxDr,1721),0)</f>
        <v/>
      </c>
      <c r="N1727" s="95">
        <f>IF(H1727=1,INDEX(tx_TaxCr,1721),0)</f>
        <v/>
      </c>
      <c r="O1727" s="101">
        <f>IF(H1727=1,IF(E1727&lt;FYStart,0,IF(E1727&gt;FYEnd,13,YEAR(E1727)*12+MONTH(E1727)-FYYM+1)),"")</f>
        <v/>
      </c>
      <c r="P1727" s="101">
        <f>IF(H1727=1,IF(IFERROR(INDEX(coa_CF,MATCH(I1727,coa_Name,0)),"")="Cash",1,0),0)</f>
        <v/>
      </c>
      <c r="Q1727" s="101">
        <f>IF(H1727=1,IF(IFERROR(INDEX(coa_CF,MATCH(K1727,coa_Name,0)),"")="Cash",1,0),0)</f>
        <v/>
      </c>
      <c r="R1727" s="58">
        <f>IF((P1727-Q1727)=0,"",IFERROR(INDEX(coa_CF,MATCH(IF((P1727-Q1727)=1,K1727,I1727),coa_Name,0)),"Operating"))</f>
        <v/>
      </c>
      <c r="S1727" s="95">
        <f>IF((P1727-Q1727)=1,L1727,IF((P1727-Q1727)=-1,-J1727,0))</f>
        <v/>
      </c>
      <c r="T1727" s="95">
        <f>IF((P1727-Q1727)=1,N1727,IF((P1727-Q1727)=-1,-M1727,0))</f>
        <v/>
      </c>
      <c r="U1727" s="101">
        <f>IF(AND(H1727=1,LedAcct&lt;&gt;""),IF(AND(E1727&gt;=LedFrom,E1727&lt;=LedTo,OR(I1727=LedAcct,K1727=LedAcct,AND(LedAcct=acctTax,M1727+N1727&lt;&gt;0))),E1727*10000+B1727,""),"")</f>
        <v/>
      </c>
    </row>
    <row r="1728">
      <c r="B1728" s="101" t="n">
        <v>1722</v>
      </c>
      <c r="C1728" s="58" t="inlineStr">
        <is>
          <t>Transaction</t>
        </is>
      </c>
      <c r="D1728" s="58">
        <f>IF(H1728=1,INDEX(tx_ID,1722)&amp;"","")</f>
        <v/>
      </c>
      <c r="E1728" s="94">
        <f>IF(H1728=1,INDEX(tx_Date,1722),"")</f>
        <v/>
      </c>
      <c r="F1728" s="58">
        <f>IF(H1728=1,INDEX(tx_Desc,1722)&amp;"","")</f>
        <v/>
      </c>
      <c r="G1728" s="58">
        <f>IF(H1728=1,IF(INDEX(tx_Cust,1722)&amp;""&lt;&gt;"",INDEX(tx_Cust,1722)&amp;"",INDEX(tx_Vend,1722)&amp;""),"")</f>
        <v/>
      </c>
      <c r="H1728" s="101">
        <f>IFERROR(N(INDEX(tx_Posted,1722)),0)</f>
        <v/>
      </c>
      <c r="I1728" s="58">
        <f>IF(H1728=1,INDEX(tx_DrAcct,1722)&amp;"","")</f>
        <v/>
      </c>
      <c r="J1728" s="95">
        <f>IF(H1728=1,INDEX(tx_DrAmt,1722),0)</f>
        <v/>
      </c>
      <c r="K1728" s="58">
        <f>IF(H1728=1,INDEX(tx_CrAcct,1722)&amp;"","")</f>
        <v/>
      </c>
      <c r="L1728" s="95">
        <f>IF(H1728=1,INDEX(tx_CrAmt,1722),0)</f>
        <v/>
      </c>
      <c r="M1728" s="95">
        <f>IF(H1728=1,INDEX(tx_TaxDr,1722),0)</f>
        <v/>
      </c>
      <c r="N1728" s="95">
        <f>IF(H1728=1,INDEX(tx_TaxCr,1722),0)</f>
        <v/>
      </c>
      <c r="O1728" s="101">
        <f>IF(H1728=1,IF(E1728&lt;FYStart,0,IF(E1728&gt;FYEnd,13,YEAR(E1728)*12+MONTH(E1728)-FYYM+1)),"")</f>
        <v/>
      </c>
      <c r="P1728" s="101">
        <f>IF(H1728=1,IF(IFERROR(INDEX(coa_CF,MATCH(I1728,coa_Name,0)),"")="Cash",1,0),0)</f>
        <v/>
      </c>
      <c r="Q1728" s="101">
        <f>IF(H1728=1,IF(IFERROR(INDEX(coa_CF,MATCH(K1728,coa_Name,0)),"")="Cash",1,0),0)</f>
        <v/>
      </c>
      <c r="R1728" s="58">
        <f>IF((P1728-Q1728)=0,"",IFERROR(INDEX(coa_CF,MATCH(IF((P1728-Q1728)=1,K1728,I1728),coa_Name,0)),"Operating"))</f>
        <v/>
      </c>
      <c r="S1728" s="95">
        <f>IF((P1728-Q1728)=1,L1728,IF((P1728-Q1728)=-1,-J1728,0))</f>
        <v/>
      </c>
      <c r="T1728" s="95">
        <f>IF((P1728-Q1728)=1,N1728,IF((P1728-Q1728)=-1,-M1728,0))</f>
        <v/>
      </c>
      <c r="U1728" s="101">
        <f>IF(AND(H1728=1,LedAcct&lt;&gt;""),IF(AND(E1728&gt;=LedFrom,E1728&lt;=LedTo,OR(I1728=LedAcct,K1728=LedAcct,AND(LedAcct=acctTax,M1728+N1728&lt;&gt;0))),E1728*10000+B1728,""),"")</f>
        <v/>
      </c>
    </row>
    <row r="1729">
      <c r="B1729" s="101" t="n">
        <v>1723</v>
      </c>
      <c r="C1729" s="58" t="inlineStr">
        <is>
          <t>Transaction</t>
        </is>
      </c>
      <c r="D1729" s="58">
        <f>IF(H1729=1,INDEX(tx_ID,1723)&amp;"","")</f>
        <v/>
      </c>
      <c r="E1729" s="94">
        <f>IF(H1729=1,INDEX(tx_Date,1723),"")</f>
        <v/>
      </c>
      <c r="F1729" s="58">
        <f>IF(H1729=1,INDEX(tx_Desc,1723)&amp;"","")</f>
        <v/>
      </c>
      <c r="G1729" s="58">
        <f>IF(H1729=1,IF(INDEX(tx_Cust,1723)&amp;""&lt;&gt;"",INDEX(tx_Cust,1723)&amp;"",INDEX(tx_Vend,1723)&amp;""),"")</f>
        <v/>
      </c>
      <c r="H1729" s="101">
        <f>IFERROR(N(INDEX(tx_Posted,1723)),0)</f>
        <v/>
      </c>
      <c r="I1729" s="58">
        <f>IF(H1729=1,INDEX(tx_DrAcct,1723)&amp;"","")</f>
        <v/>
      </c>
      <c r="J1729" s="95">
        <f>IF(H1729=1,INDEX(tx_DrAmt,1723),0)</f>
        <v/>
      </c>
      <c r="K1729" s="58">
        <f>IF(H1729=1,INDEX(tx_CrAcct,1723)&amp;"","")</f>
        <v/>
      </c>
      <c r="L1729" s="95">
        <f>IF(H1729=1,INDEX(tx_CrAmt,1723),0)</f>
        <v/>
      </c>
      <c r="M1729" s="95">
        <f>IF(H1729=1,INDEX(tx_TaxDr,1723),0)</f>
        <v/>
      </c>
      <c r="N1729" s="95">
        <f>IF(H1729=1,INDEX(tx_TaxCr,1723),0)</f>
        <v/>
      </c>
      <c r="O1729" s="101">
        <f>IF(H1729=1,IF(E1729&lt;FYStart,0,IF(E1729&gt;FYEnd,13,YEAR(E1729)*12+MONTH(E1729)-FYYM+1)),"")</f>
        <v/>
      </c>
      <c r="P1729" s="101">
        <f>IF(H1729=1,IF(IFERROR(INDEX(coa_CF,MATCH(I1729,coa_Name,0)),"")="Cash",1,0),0)</f>
        <v/>
      </c>
      <c r="Q1729" s="101">
        <f>IF(H1729=1,IF(IFERROR(INDEX(coa_CF,MATCH(K1729,coa_Name,0)),"")="Cash",1,0),0)</f>
        <v/>
      </c>
      <c r="R1729" s="58">
        <f>IF((P1729-Q1729)=0,"",IFERROR(INDEX(coa_CF,MATCH(IF((P1729-Q1729)=1,K1729,I1729),coa_Name,0)),"Operating"))</f>
        <v/>
      </c>
      <c r="S1729" s="95">
        <f>IF((P1729-Q1729)=1,L1729,IF((P1729-Q1729)=-1,-J1729,0))</f>
        <v/>
      </c>
      <c r="T1729" s="95">
        <f>IF((P1729-Q1729)=1,N1729,IF((P1729-Q1729)=-1,-M1729,0))</f>
        <v/>
      </c>
      <c r="U1729" s="101">
        <f>IF(AND(H1729=1,LedAcct&lt;&gt;""),IF(AND(E1729&gt;=LedFrom,E1729&lt;=LedTo,OR(I1729=LedAcct,K1729=LedAcct,AND(LedAcct=acctTax,M1729+N1729&lt;&gt;0))),E1729*10000+B1729,""),"")</f>
        <v/>
      </c>
    </row>
    <row r="1730">
      <c r="B1730" s="101" t="n">
        <v>1724</v>
      </c>
      <c r="C1730" s="58" t="inlineStr">
        <is>
          <t>Transaction</t>
        </is>
      </c>
      <c r="D1730" s="58">
        <f>IF(H1730=1,INDEX(tx_ID,1724)&amp;"","")</f>
        <v/>
      </c>
      <c r="E1730" s="94">
        <f>IF(H1730=1,INDEX(tx_Date,1724),"")</f>
        <v/>
      </c>
      <c r="F1730" s="58">
        <f>IF(H1730=1,INDEX(tx_Desc,1724)&amp;"","")</f>
        <v/>
      </c>
      <c r="G1730" s="58">
        <f>IF(H1730=1,IF(INDEX(tx_Cust,1724)&amp;""&lt;&gt;"",INDEX(tx_Cust,1724)&amp;"",INDEX(tx_Vend,1724)&amp;""),"")</f>
        <v/>
      </c>
      <c r="H1730" s="101">
        <f>IFERROR(N(INDEX(tx_Posted,1724)),0)</f>
        <v/>
      </c>
      <c r="I1730" s="58">
        <f>IF(H1730=1,INDEX(tx_DrAcct,1724)&amp;"","")</f>
        <v/>
      </c>
      <c r="J1730" s="95">
        <f>IF(H1730=1,INDEX(tx_DrAmt,1724),0)</f>
        <v/>
      </c>
      <c r="K1730" s="58">
        <f>IF(H1730=1,INDEX(tx_CrAcct,1724)&amp;"","")</f>
        <v/>
      </c>
      <c r="L1730" s="95">
        <f>IF(H1730=1,INDEX(tx_CrAmt,1724),0)</f>
        <v/>
      </c>
      <c r="M1730" s="95">
        <f>IF(H1730=1,INDEX(tx_TaxDr,1724),0)</f>
        <v/>
      </c>
      <c r="N1730" s="95">
        <f>IF(H1730=1,INDEX(tx_TaxCr,1724),0)</f>
        <v/>
      </c>
      <c r="O1730" s="101">
        <f>IF(H1730=1,IF(E1730&lt;FYStart,0,IF(E1730&gt;FYEnd,13,YEAR(E1730)*12+MONTH(E1730)-FYYM+1)),"")</f>
        <v/>
      </c>
      <c r="P1730" s="101">
        <f>IF(H1730=1,IF(IFERROR(INDEX(coa_CF,MATCH(I1730,coa_Name,0)),"")="Cash",1,0),0)</f>
        <v/>
      </c>
      <c r="Q1730" s="101">
        <f>IF(H1730=1,IF(IFERROR(INDEX(coa_CF,MATCH(K1730,coa_Name,0)),"")="Cash",1,0),0)</f>
        <v/>
      </c>
      <c r="R1730" s="58">
        <f>IF((P1730-Q1730)=0,"",IFERROR(INDEX(coa_CF,MATCH(IF((P1730-Q1730)=1,K1730,I1730),coa_Name,0)),"Operating"))</f>
        <v/>
      </c>
      <c r="S1730" s="95">
        <f>IF((P1730-Q1730)=1,L1730,IF((P1730-Q1730)=-1,-J1730,0))</f>
        <v/>
      </c>
      <c r="T1730" s="95">
        <f>IF((P1730-Q1730)=1,N1730,IF((P1730-Q1730)=-1,-M1730,0))</f>
        <v/>
      </c>
      <c r="U1730" s="101">
        <f>IF(AND(H1730=1,LedAcct&lt;&gt;""),IF(AND(E1730&gt;=LedFrom,E1730&lt;=LedTo,OR(I1730=LedAcct,K1730=LedAcct,AND(LedAcct=acctTax,M1730+N1730&lt;&gt;0))),E1730*10000+B1730,""),"")</f>
        <v/>
      </c>
    </row>
    <row r="1731">
      <c r="B1731" s="101" t="n">
        <v>1725</v>
      </c>
      <c r="C1731" s="58" t="inlineStr">
        <is>
          <t>Transaction</t>
        </is>
      </c>
      <c r="D1731" s="58">
        <f>IF(H1731=1,INDEX(tx_ID,1725)&amp;"","")</f>
        <v/>
      </c>
      <c r="E1731" s="94">
        <f>IF(H1731=1,INDEX(tx_Date,1725),"")</f>
        <v/>
      </c>
      <c r="F1731" s="58">
        <f>IF(H1731=1,INDEX(tx_Desc,1725)&amp;"","")</f>
        <v/>
      </c>
      <c r="G1731" s="58">
        <f>IF(H1731=1,IF(INDEX(tx_Cust,1725)&amp;""&lt;&gt;"",INDEX(tx_Cust,1725)&amp;"",INDEX(tx_Vend,1725)&amp;""),"")</f>
        <v/>
      </c>
      <c r="H1731" s="101">
        <f>IFERROR(N(INDEX(tx_Posted,1725)),0)</f>
        <v/>
      </c>
      <c r="I1731" s="58">
        <f>IF(H1731=1,INDEX(tx_DrAcct,1725)&amp;"","")</f>
        <v/>
      </c>
      <c r="J1731" s="95">
        <f>IF(H1731=1,INDEX(tx_DrAmt,1725),0)</f>
        <v/>
      </c>
      <c r="K1731" s="58">
        <f>IF(H1731=1,INDEX(tx_CrAcct,1725)&amp;"","")</f>
        <v/>
      </c>
      <c r="L1731" s="95">
        <f>IF(H1731=1,INDEX(tx_CrAmt,1725),0)</f>
        <v/>
      </c>
      <c r="M1731" s="95">
        <f>IF(H1731=1,INDEX(tx_TaxDr,1725),0)</f>
        <v/>
      </c>
      <c r="N1731" s="95">
        <f>IF(H1731=1,INDEX(tx_TaxCr,1725),0)</f>
        <v/>
      </c>
      <c r="O1731" s="101">
        <f>IF(H1731=1,IF(E1731&lt;FYStart,0,IF(E1731&gt;FYEnd,13,YEAR(E1731)*12+MONTH(E1731)-FYYM+1)),"")</f>
        <v/>
      </c>
      <c r="P1731" s="101">
        <f>IF(H1731=1,IF(IFERROR(INDEX(coa_CF,MATCH(I1731,coa_Name,0)),"")="Cash",1,0),0)</f>
        <v/>
      </c>
      <c r="Q1731" s="101">
        <f>IF(H1731=1,IF(IFERROR(INDEX(coa_CF,MATCH(K1731,coa_Name,0)),"")="Cash",1,0),0)</f>
        <v/>
      </c>
      <c r="R1731" s="58">
        <f>IF((P1731-Q1731)=0,"",IFERROR(INDEX(coa_CF,MATCH(IF((P1731-Q1731)=1,K1731,I1731),coa_Name,0)),"Operating"))</f>
        <v/>
      </c>
      <c r="S1731" s="95">
        <f>IF((P1731-Q1731)=1,L1731,IF((P1731-Q1731)=-1,-J1731,0))</f>
        <v/>
      </c>
      <c r="T1731" s="95">
        <f>IF((P1731-Q1731)=1,N1731,IF((P1731-Q1731)=-1,-M1731,0))</f>
        <v/>
      </c>
      <c r="U1731" s="101">
        <f>IF(AND(H1731=1,LedAcct&lt;&gt;""),IF(AND(E1731&gt;=LedFrom,E1731&lt;=LedTo,OR(I1731=LedAcct,K1731=LedAcct,AND(LedAcct=acctTax,M1731+N1731&lt;&gt;0))),E1731*10000+B1731,""),"")</f>
        <v/>
      </c>
    </row>
    <row r="1732">
      <c r="B1732" s="101" t="n">
        <v>1726</v>
      </c>
      <c r="C1732" s="58" t="inlineStr">
        <is>
          <t>Transaction</t>
        </is>
      </c>
      <c r="D1732" s="58">
        <f>IF(H1732=1,INDEX(tx_ID,1726)&amp;"","")</f>
        <v/>
      </c>
      <c r="E1732" s="94">
        <f>IF(H1732=1,INDEX(tx_Date,1726),"")</f>
        <v/>
      </c>
      <c r="F1732" s="58">
        <f>IF(H1732=1,INDEX(tx_Desc,1726)&amp;"","")</f>
        <v/>
      </c>
      <c r="G1732" s="58">
        <f>IF(H1732=1,IF(INDEX(tx_Cust,1726)&amp;""&lt;&gt;"",INDEX(tx_Cust,1726)&amp;"",INDEX(tx_Vend,1726)&amp;""),"")</f>
        <v/>
      </c>
      <c r="H1732" s="101">
        <f>IFERROR(N(INDEX(tx_Posted,1726)),0)</f>
        <v/>
      </c>
      <c r="I1732" s="58">
        <f>IF(H1732=1,INDEX(tx_DrAcct,1726)&amp;"","")</f>
        <v/>
      </c>
      <c r="J1732" s="95">
        <f>IF(H1732=1,INDEX(tx_DrAmt,1726),0)</f>
        <v/>
      </c>
      <c r="K1732" s="58">
        <f>IF(H1732=1,INDEX(tx_CrAcct,1726)&amp;"","")</f>
        <v/>
      </c>
      <c r="L1732" s="95">
        <f>IF(H1732=1,INDEX(tx_CrAmt,1726),0)</f>
        <v/>
      </c>
      <c r="M1732" s="95">
        <f>IF(H1732=1,INDEX(tx_TaxDr,1726),0)</f>
        <v/>
      </c>
      <c r="N1732" s="95">
        <f>IF(H1732=1,INDEX(tx_TaxCr,1726),0)</f>
        <v/>
      </c>
      <c r="O1732" s="101">
        <f>IF(H1732=1,IF(E1732&lt;FYStart,0,IF(E1732&gt;FYEnd,13,YEAR(E1732)*12+MONTH(E1732)-FYYM+1)),"")</f>
        <v/>
      </c>
      <c r="P1732" s="101">
        <f>IF(H1732=1,IF(IFERROR(INDEX(coa_CF,MATCH(I1732,coa_Name,0)),"")="Cash",1,0),0)</f>
        <v/>
      </c>
      <c r="Q1732" s="101">
        <f>IF(H1732=1,IF(IFERROR(INDEX(coa_CF,MATCH(K1732,coa_Name,0)),"")="Cash",1,0),0)</f>
        <v/>
      </c>
      <c r="R1732" s="58">
        <f>IF((P1732-Q1732)=0,"",IFERROR(INDEX(coa_CF,MATCH(IF((P1732-Q1732)=1,K1732,I1732),coa_Name,0)),"Operating"))</f>
        <v/>
      </c>
      <c r="S1732" s="95">
        <f>IF((P1732-Q1732)=1,L1732,IF((P1732-Q1732)=-1,-J1732,0))</f>
        <v/>
      </c>
      <c r="T1732" s="95">
        <f>IF((P1732-Q1732)=1,N1732,IF((P1732-Q1732)=-1,-M1732,0))</f>
        <v/>
      </c>
      <c r="U1732" s="101">
        <f>IF(AND(H1732=1,LedAcct&lt;&gt;""),IF(AND(E1732&gt;=LedFrom,E1732&lt;=LedTo,OR(I1732=LedAcct,K1732=LedAcct,AND(LedAcct=acctTax,M1732+N1732&lt;&gt;0))),E1732*10000+B1732,""),"")</f>
        <v/>
      </c>
    </row>
    <row r="1733">
      <c r="B1733" s="101" t="n">
        <v>1727</v>
      </c>
      <c r="C1733" s="58" t="inlineStr">
        <is>
          <t>Transaction</t>
        </is>
      </c>
      <c r="D1733" s="58">
        <f>IF(H1733=1,INDEX(tx_ID,1727)&amp;"","")</f>
        <v/>
      </c>
      <c r="E1733" s="94">
        <f>IF(H1733=1,INDEX(tx_Date,1727),"")</f>
        <v/>
      </c>
      <c r="F1733" s="58">
        <f>IF(H1733=1,INDEX(tx_Desc,1727)&amp;"","")</f>
        <v/>
      </c>
      <c r="G1733" s="58">
        <f>IF(H1733=1,IF(INDEX(tx_Cust,1727)&amp;""&lt;&gt;"",INDEX(tx_Cust,1727)&amp;"",INDEX(tx_Vend,1727)&amp;""),"")</f>
        <v/>
      </c>
      <c r="H1733" s="101">
        <f>IFERROR(N(INDEX(tx_Posted,1727)),0)</f>
        <v/>
      </c>
      <c r="I1733" s="58">
        <f>IF(H1733=1,INDEX(tx_DrAcct,1727)&amp;"","")</f>
        <v/>
      </c>
      <c r="J1733" s="95">
        <f>IF(H1733=1,INDEX(tx_DrAmt,1727),0)</f>
        <v/>
      </c>
      <c r="K1733" s="58">
        <f>IF(H1733=1,INDEX(tx_CrAcct,1727)&amp;"","")</f>
        <v/>
      </c>
      <c r="L1733" s="95">
        <f>IF(H1733=1,INDEX(tx_CrAmt,1727),0)</f>
        <v/>
      </c>
      <c r="M1733" s="95">
        <f>IF(H1733=1,INDEX(tx_TaxDr,1727),0)</f>
        <v/>
      </c>
      <c r="N1733" s="95">
        <f>IF(H1733=1,INDEX(tx_TaxCr,1727),0)</f>
        <v/>
      </c>
      <c r="O1733" s="101">
        <f>IF(H1733=1,IF(E1733&lt;FYStart,0,IF(E1733&gt;FYEnd,13,YEAR(E1733)*12+MONTH(E1733)-FYYM+1)),"")</f>
        <v/>
      </c>
      <c r="P1733" s="101">
        <f>IF(H1733=1,IF(IFERROR(INDEX(coa_CF,MATCH(I1733,coa_Name,0)),"")="Cash",1,0),0)</f>
        <v/>
      </c>
      <c r="Q1733" s="101">
        <f>IF(H1733=1,IF(IFERROR(INDEX(coa_CF,MATCH(K1733,coa_Name,0)),"")="Cash",1,0),0)</f>
        <v/>
      </c>
      <c r="R1733" s="58">
        <f>IF((P1733-Q1733)=0,"",IFERROR(INDEX(coa_CF,MATCH(IF((P1733-Q1733)=1,K1733,I1733),coa_Name,0)),"Operating"))</f>
        <v/>
      </c>
      <c r="S1733" s="95">
        <f>IF((P1733-Q1733)=1,L1733,IF((P1733-Q1733)=-1,-J1733,0))</f>
        <v/>
      </c>
      <c r="T1733" s="95">
        <f>IF((P1733-Q1733)=1,N1733,IF((P1733-Q1733)=-1,-M1733,0))</f>
        <v/>
      </c>
      <c r="U1733" s="101">
        <f>IF(AND(H1733=1,LedAcct&lt;&gt;""),IF(AND(E1733&gt;=LedFrom,E1733&lt;=LedTo,OR(I1733=LedAcct,K1733=LedAcct,AND(LedAcct=acctTax,M1733+N1733&lt;&gt;0))),E1733*10000+B1733,""),"")</f>
        <v/>
      </c>
    </row>
    <row r="1734">
      <c r="B1734" s="101" t="n">
        <v>1728</v>
      </c>
      <c r="C1734" s="58" t="inlineStr">
        <is>
          <t>Transaction</t>
        </is>
      </c>
      <c r="D1734" s="58">
        <f>IF(H1734=1,INDEX(tx_ID,1728)&amp;"","")</f>
        <v/>
      </c>
      <c r="E1734" s="94">
        <f>IF(H1734=1,INDEX(tx_Date,1728),"")</f>
        <v/>
      </c>
      <c r="F1734" s="58">
        <f>IF(H1734=1,INDEX(tx_Desc,1728)&amp;"","")</f>
        <v/>
      </c>
      <c r="G1734" s="58">
        <f>IF(H1734=1,IF(INDEX(tx_Cust,1728)&amp;""&lt;&gt;"",INDEX(tx_Cust,1728)&amp;"",INDEX(tx_Vend,1728)&amp;""),"")</f>
        <v/>
      </c>
      <c r="H1734" s="101">
        <f>IFERROR(N(INDEX(tx_Posted,1728)),0)</f>
        <v/>
      </c>
      <c r="I1734" s="58">
        <f>IF(H1734=1,INDEX(tx_DrAcct,1728)&amp;"","")</f>
        <v/>
      </c>
      <c r="J1734" s="95">
        <f>IF(H1734=1,INDEX(tx_DrAmt,1728),0)</f>
        <v/>
      </c>
      <c r="K1734" s="58">
        <f>IF(H1734=1,INDEX(tx_CrAcct,1728)&amp;"","")</f>
        <v/>
      </c>
      <c r="L1734" s="95">
        <f>IF(H1734=1,INDEX(tx_CrAmt,1728),0)</f>
        <v/>
      </c>
      <c r="M1734" s="95">
        <f>IF(H1734=1,INDEX(tx_TaxDr,1728),0)</f>
        <v/>
      </c>
      <c r="N1734" s="95">
        <f>IF(H1734=1,INDEX(tx_TaxCr,1728),0)</f>
        <v/>
      </c>
      <c r="O1734" s="101">
        <f>IF(H1734=1,IF(E1734&lt;FYStart,0,IF(E1734&gt;FYEnd,13,YEAR(E1734)*12+MONTH(E1734)-FYYM+1)),"")</f>
        <v/>
      </c>
      <c r="P1734" s="101">
        <f>IF(H1734=1,IF(IFERROR(INDEX(coa_CF,MATCH(I1734,coa_Name,0)),"")="Cash",1,0),0)</f>
        <v/>
      </c>
      <c r="Q1734" s="101">
        <f>IF(H1734=1,IF(IFERROR(INDEX(coa_CF,MATCH(K1734,coa_Name,0)),"")="Cash",1,0),0)</f>
        <v/>
      </c>
      <c r="R1734" s="58">
        <f>IF((P1734-Q1734)=0,"",IFERROR(INDEX(coa_CF,MATCH(IF((P1734-Q1734)=1,K1734,I1734),coa_Name,0)),"Operating"))</f>
        <v/>
      </c>
      <c r="S1734" s="95">
        <f>IF((P1734-Q1734)=1,L1734,IF((P1734-Q1734)=-1,-J1734,0))</f>
        <v/>
      </c>
      <c r="T1734" s="95">
        <f>IF((P1734-Q1734)=1,N1734,IF((P1734-Q1734)=-1,-M1734,0))</f>
        <v/>
      </c>
      <c r="U1734" s="101">
        <f>IF(AND(H1734=1,LedAcct&lt;&gt;""),IF(AND(E1734&gt;=LedFrom,E1734&lt;=LedTo,OR(I1734=LedAcct,K1734=LedAcct,AND(LedAcct=acctTax,M1734+N1734&lt;&gt;0))),E1734*10000+B1734,""),"")</f>
        <v/>
      </c>
    </row>
    <row r="1735">
      <c r="B1735" s="101" t="n">
        <v>1729</v>
      </c>
      <c r="C1735" s="58" t="inlineStr">
        <is>
          <t>Transaction</t>
        </is>
      </c>
      <c r="D1735" s="58">
        <f>IF(H1735=1,INDEX(tx_ID,1729)&amp;"","")</f>
        <v/>
      </c>
      <c r="E1735" s="94">
        <f>IF(H1735=1,INDEX(tx_Date,1729),"")</f>
        <v/>
      </c>
      <c r="F1735" s="58">
        <f>IF(H1735=1,INDEX(tx_Desc,1729)&amp;"","")</f>
        <v/>
      </c>
      <c r="G1735" s="58">
        <f>IF(H1735=1,IF(INDEX(tx_Cust,1729)&amp;""&lt;&gt;"",INDEX(tx_Cust,1729)&amp;"",INDEX(tx_Vend,1729)&amp;""),"")</f>
        <v/>
      </c>
      <c r="H1735" s="101">
        <f>IFERROR(N(INDEX(tx_Posted,1729)),0)</f>
        <v/>
      </c>
      <c r="I1735" s="58">
        <f>IF(H1735=1,INDEX(tx_DrAcct,1729)&amp;"","")</f>
        <v/>
      </c>
      <c r="J1735" s="95">
        <f>IF(H1735=1,INDEX(tx_DrAmt,1729),0)</f>
        <v/>
      </c>
      <c r="K1735" s="58">
        <f>IF(H1735=1,INDEX(tx_CrAcct,1729)&amp;"","")</f>
        <v/>
      </c>
      <c r="L1735" s="95">
        <f>IF(H1735=1,INDEX(tx_CrAmt,1729),0)</f>
        <v/>
      </c>
      <c r="M1735" s="95">
        <f>IF(H1735=1,INDEX(tx_TaxDr,1729),0)</f>
        <v/>
      </c>
      <c r="N1735" s="95">
        <f>IF(H1735=1,INDEX(tx_TaxCr,1729),0)</f>
        <v/>
      </c>
      <c r="O1735" s="101">
        <f>IF(H1735=1,IF(E1735&lt;FYStart,0,IF(E1735&gt;FYEnd,13,YEAR(E1735)*12+MONTH(E1735)-FYYM+1)),"")</f>
        <v/>
      </c>
      <c r="P1735" s="101">
        <f>IF(H1735=1,IF(IFERROR(INDEX(coa_CF,MATCH(I1735,coa_Name,0)),"")="Cash",1,0),0)</f>
        <v/>
      </c>
      <c r="Q1735" s="101">
        <f>IF(H1735=1,IF(IFERROR(INDEX(coa_CF,MATCH(K1735,coa_Name,0)),"")="Cash",1,0),0)</f>
        <v/>
      </c>
      <c r="R1735" s="58">
        <f>IF((P1735-Q1735)=0,"",IFERROR(INDEX(coa_CF,MATCH(IF((P1735-Q1735)=1,K1735,I1735),coa_Name,0)),"Operating"))</f>
        <v/>
      </c>
      <c r="S1735" s="95">
        <f>IF((P1735-Q1735)=1,L1735,IF((P1735-Q1735)=-1,-J1735,0))</f>
        <v/>
      </c>
      <c r="T1735" s="95">
        <f>IF((P1735-Q1735)=1,N1735,IF((P1735-Q1735)=-1,-M1735,0))</f>
        <v/>
      </c>
      <c r="U1735" s="101">
        <f>IF(AND(H1735=1,LedAcct&lt;&gt;""),IF(AND(E1735&gt;=LedFrom,E1735&lt;=LedTo,OR(I1735=LedAcct,K1735=LedAcct,AND(LedAcct=acctTax,M1735+N1735&lt;&gt;0))),E1735*10000+B1735,""),"")</f>
        <v/>
      </c>
    </row>
    <row r="1736">
      <c r="B1736" s="101" t="n">
        <v>1730</v>
      </c>
      <c r="C1736" s="58" t="inlineStr">
        <is>
          <t>Transaction</t>
        </is>
      </c>
      <c r="D1736" s="58">
        <f>IF(H1736=1,INDEX(tx_ID,1730)&amp;"","")</f>
        <v/>
      </c>
      <c r="E1736" s="94">
        <f>IF(H1736=1,INDEX(tx_Date,1730),"")</f>
        <v/>
      </c>
      <c r="F1736" s="58">
        <f>IF(H1736=1,INDEX(tx_Desc,1730)&amp;"","")</f>
        <v/>
      </c>
      <c r="G1736" s="58">
        <f>IF(H1736=1,IF(INDEX(tx_Cust,1730)&amp;""&lt;&gt;"",INDEX(tx_Cust,1730)&amp;"",INDEX(tx_Vend,1730)&amp;""),"")</f>
        <v/>
      </c>
      <c r="H1736" s="101">
        <f>IFERROR(N(INDEX(tx_Posted,1730)),0)</f>
        <v/>
      </c>
      <c r="I1736" s="58">
        <f>IF(H1736=1,INDEX(tx_DrAcct,1730)&amp;"","")</f>
        <v/>
      </c>
      <c r="J1736" s="95">
        <f>IF(H1736=1,INDEX(tx_DrAmt,1730),0)</f>
        <v/>
      </c>
      <c r="K1736" s="58">
        <f>IF(H1736=1,INDEX(tx_CrAcct,1730)&amp;"","")</f>
        <v/>
      </c>
      <c r="L1736" s="95">
        <f>IF(H1736=1,INDEX(tx_CrAmt,1730),0)</f>
        <v/>
      </c>
      <c r="M1736" s="95">
        <f>IF(H1736=1,INDEX(tx_TaxDr,1730),0)</f>
        <v/>
      </c>
      <c r="N1736" s="95">
        <f>IF(H1736=1,INDEX(tx_TaxCr,1730),0)</f>
        <v/>
      </c>
      <c r="O1736" s="101">
        <f>IF(H1736=1,IF(E1736&lt;FYStart,0,IF(E1736&gt;FYEnd,13,YEAR(E1736)*12+MONTH(E1736)-FYYM+1)),"")</f>
        <v/>
      </c>
      <c r="P1736" s="101">
        <f>IF(H1736=1,IF(IFERROR(INDEX(coa_CF,MATCH(I1736,coa_Name,0)),"")="Cash",1,0),0)</f>
        <v/>
      </c>
      <c r="Q1736" s="101">
        <f>IF(H1736=1,IF(IFERROR(INDEX(coa_CF,MATCH(K1736,coa_Name,0)),"")="Cash",1,0),0)</f>
        <v/>
      </c>
      <c r="R1736" s="58">
        <f>IF((P1736-Q1736)=0,"",IFERROR(INDEX(coa_CF,MATCH(IF((P1736-Q1736)=1,K1736,I1736),coa_Name,0)),"Operating"))</f>
        <v/>
      </c>
      <c r="S1736" s="95">
        <f>IF((P1736-Q1736)=1,L1736,IF((P1736-Q1736)=-1,-J1736,0))</f>
        <v/>
      </c>
      <c r="T1736" s="95">
        <f>IF((P1736-Q1736)=1,N1736,IF((P1736-Q1736)=-1,-M1736,0))</f>
        <v/>
      </c>
      <c r="U1736" s="101">
        <f>IF(AND(H1736=1,LedAcct&lt;&gt;""),IF(AND(E1736&gt;=LedFrom,E1736&lt;=LedTo,OR(I1736=LedAcct,K1736=LedAcct,AND(LedAcct=acctTax,M1736+N1736&lt;&gt;0))),E1736*10000+B1736,""),"")</f>
        <v/>
      </c>
    </row>
    <row r="1737">
      <c r="B1737" s="101" t="n">
        <v>1731</v>
      </c>
      <c r="C1737" s="58" t="inlineStr">
        <is>
          <t>Transaction</t>
        </is>
      </c>
      <c r="D1737" s="58">
        <f>IF(H1737=1,INDEX(tx_ID,1731)&amp;"","")</f>
        <v/>
      </c>
      <c r="E1737" s="94">
        <f>IF(H1737=1,INDEX(tx_Date,1731),"")</f>
        <v/>
      </c>
      <c r="F1737" s="58">
        <f>IF(H1737=1,INDEX(tx_Desc,1731)&amp;"","")</f>
        <v/>
      </c>
      <c r="G1737" s="58">
        <f>IF(H1737=1,IF(INDEX(tx_Cust,1731)&amp;""&lt;&gt;"",INDEX(tx_Cust,1731)&amp;"",INDEX(tx_Vend,1731)&amp;""),"")</f>
        <v/>
      </c>
      <c r="H1737" s="101">
        <f>IFERROR(N(INDEX(tx_Posted,1731)),0)</f>
        <v/>
      </c>
      <c r="I1737" s="58">
        <f>IF(H1737=1,INDEX(tx_DrAcct,1731)&amp;"","")</f>
        <v/>
      </c>
      <c r="J1737" s="95">
        <f>IF(H1737=1,INDEX(tx_DrAmt,1731),0)</f>
        <v/>
      </c>
      <c r="K1737" s="58">
        <f>IF(H1737=1,INDEX(tx_CrAcct,1731)&amp;"","")</f>
        <v/>
      </c>
      <c r="L1737" s="95">
        <f>IF(H1737=1,INDEX(tx_CrAmt,1731),0)</f>
        <v/>
      </c>
      <c r="M1737" s="95">
        <f>IF(H1737=1,INDEX(tx_TaxDr,1731),0)</f>
        <v/>
      </c>
      <c r="N1737" s="95">
        <f>IF(H1737=1,INDEX(tx_TaxCr,1731),0)</f>
        <v/>
      </c>
      <c r="O1737" s="101">
        <f>IF(H1737=1,IF(E1737&lt;FYStart,0,IF(E1737&gt;FYEnd,13,YEAR(E1737)*12+MONTH(E1737)-FYYM+1)),"")</f>
        <v/>
      </c>
      <c r="P1737" s="101">
        <f>IF(H1737=1,IF(IFERROR(INDEX(coa_CF,MATCH(I1737,coa_Name,0)),"")="Cash",1,0),0)</f>
        <v/>
      </c>
      <c r="Q1737" s="101">
        <f>IF(H1737=1,IF(IFERROR(INDEX(coa_CF,MATCH(K1737,coa_Name,0)),"")="Cash",1,0),0)</f>
        <v/>
      </c>
      <c r="R1737" s="58">
        <f>IF((P1737-Q1737)=0,"",IFERROR(INDEX(coa_CF,MATCH(IF((P1737-Q1737)=1,K1737,I1737),coa_Name,0)),"Operating"))</f>
        <v/>
      </c>
      <c r="S1737" s="95">
        <f>IF((P1737-Q1737)=1,L1737,IF((P1737-Q1737)=-1,-J1737,0))</f>
        <v/>
      </c>
      <c r="T1737" s="95">
        <f>IF((P1737-Q1737)=1,N1737,IF((P1737-Q1737)=-1,-M1737,0))</f>
        <v/>
      </c>
      <c r="U1737" s="101">
        <f>IF(AND(H1737=1,LedAcct&lt;&gt;""),IF(AND(E1737&gt;=LedFrom,E1737&lt;=LedTo,OR(I1737=LedAcct,K1737=LedAcct,AND(LedAcct=acctTax,M1737+N1737&lt;&gt;0))),E1737*10000+B1737,""),"")</f>
        <v/>
      </c>
    </row>
    <row r="1738">
      <c r="B1738" s="101" t="n">
        <v>1732</v>
      </c>
      <c r="C1738" s="58" t="inlineStr">
        <is>
          <t>Transaction</t>
        </is>
      </c>
      <c r="D1738" s="58">
        <f>IF(H1738=1,INDEX(tx_ID,1732)&amp;"","")</f>
        <v/>
      </c>
      <c r="E1738" s="94">
        <f>IF(H1738=1,INDEX(tx_Date,1732),"")</f>
        <v/>
      </c>
      <c r="F1738" s="58">
        <f>IF(H1738=1,INDEX(tx_Desc,1732)&amp;"","")</f>
        <v/>
      </c>
      <c r="G1738" s="58">
        <f>IF(H1738=1,IF(INDEX(tx_Cust,1732)&amp;""&lt;&gt;"",INDEX(tx_Cust,1732)&amp;"",INDEX(tx_Vend,1732)&amp;""),"")</f>
        <v/>
      </c>
      <c r="H1738" s="101">
        <f>IFERROR(N(INDEX(tx_Posted,1732)),0)</f>
        <v/>
      </c>
      <c r="I1738" s="58">
        <f>IF(H1738=1,INDEX(tx_DrAcct,1732)&amp;"","")</f>
        <v/>
      </c>
      <c r="J1738" s="95">
        <f>IF(H1738=1,INDEX(tx_DrAmt,1732),0)</f>
        <v/>
      </c>
      <c r="K1738" s="58">
        <f>IF(H1738=1,INDEX(tx_CrAcct,1732)&amp;"","")</f>
        <v/>
      </c>
      <c r="L1738" s="95">
        <f>IF(H1738=1,INDEX(tx_CrAmt,1732),0)</f>
        <v/>
      </c>
      <c r="M1738" s="95">
        <f>IF(H1738=1,INDEX(tx_TaxDr,1732),0)</f>
        <v/>
      </c>
      <c r="N1738" s="95">
        <f>IF(H1738=1,INDEX(tx_TaxCr,1732),0)</f>
        <v/>
      </c>
      <c r="O1738" s="101">
        <f>IF(H1738=1,IF(E1738&lt;FYStart,0,IF(E1738&gt;FYEnd,13,YEAR(E1738)*12+MONTH(E1738)-FYYM+1)),"")</f>
        <v/>
      </c>
      <c r="P1738" s="101">
        <f>IF(H1738=1,IF(IFERROR(INDEX(coa_CF,MATCH(I1738,coa_Name,0)),"")="Cash",1,0),0)</f>
        <v/>
      </c>
      <c r="Q1738" s="101">
        <f>IF(H1738=1,IF(IFERROR(INDEX(coa_CF,MATCH(K1738,coa_Name,0)),"")="Cash",1,0),0)</f>
        <v/>
      </c>
      <c r="R1738" s="58">
        <f>IF((P1738-Q1738)=0,"",IFERROR(INDEX(coa_CF,MATCH(IF((P1738-Q1738)=1,K1738,I1738),coa_Name,0)),"Operating"))</f>
        <v/>
      </c>
      <c r="S1738" s="95">
        <f>IF((P1738-Q1738)=1,L1738,IF((P1738-Q1738)=-1,-J1738,0))</f>
        <v/>
      </c>
      <c r="T1738" s="95">
        <f>IF((P1738-Q1738)=1,N1738,IF((P1738-Q1738)=-1,-M1738,0))</f>
        <v/>
      </c>
      <c r="U1738" s="101">
        <f>IF(AND(H1738=1,LedAcct&lt;&gt;""),IF(AND(E1738&gt;=LedFrom,E1738&lt;=LedTo,OR(I1738=LedAcct,K1738=LedAcct,AND(LedAcct=acctTax,M1738+N1738&lt;&gt;0))),E1738*10000+B1738,""),"")</f>
        <v/>
      </c>
    </row>
    <row r="1739">
      <c r="B1739" s="101" t="n">
        <v>1733</v>
      </c>
      <c r="C1739" s="58" t="inlineStr">
        <is>
          <t>Transaction</t>
        </is>
      </c>
      <c r="D1739" s="58">
        <f>IF(H1739=1,INDEX(tx_ID,1733)&amp;"","")</f>
        <v/>
      </c>
      <c r="E1739" s="94">
        <f>IF(H1739=1,INDEX(tx_Date,1733),"")</f>
        <v/>
      </c>
      <c r="F1739" s="58">
        <f>IF(H1739=1,INDEX(tx_Desc,1733)&amp;"","")</f>
        <v/>
      </c>
      <c r="G1739" s="58">
        <f>IF(H1739=1,IF(INDEX(tx_Cust,1733)&amp;""&lt;&gt;"",INDEX(tx_Cust,1733)&amp;"",INDEX(tx_Vend,1733)&amp;""),"")</f>
        <v/>
      </c>
      <c r="H1739" s="101">
        <f>IFERROR(N(INDEX(tx_Posted,1733)),0)</f>
        <v/>
      </c>
      <c r="I1739" s="58">
        <f>IF(H1739=1,INDEX(tx_DrAcct,1733)&amp;"","")</f>
        <v/>
      </c>
      <c r="J1739" s="95">
        <f>IF(H1739=1,INDEX(tx_DrAmt,1733),0)</f>
        <v/>
      </c>
      <c r="K1739" s="58">
        <f>IF(H1739=1,INDEX(tx_CrAcct,1733)&amp;"","")</f>
        <v/>
      </c>
      <c r="L1739" s="95">
        <f>IF(H1739=1,INDEX(tx_CrAmt,1733),0)</f>
        <v/>
      </c>
      <c r="M1739" s="95">
        <f>IF(H1739=1,INDEX(tx_TaxDr,1733),0)</f>
        <v/>
      </c>
      <c r="N1739" s="95">
        <f>IF(H1739=1,INDEX(tx_TaxCr,1733),0)</f>
        <v/>
      </c>
      <c r="O1739" s="101">
        <f>IF(H1739=1,IF(E1739&lt;FYStart,0,IF(E1739&gt;FYEnd,13,YEAR(E1739)*12+MONTH(E1739)-FYYM+1)),"")</f>
        <v/>
      </c>
      <c r="P1739" s="101">
        <f>IF(H1739=1,IF(IFERROR(INDEX(coa_CF,MATCH(I1739,coa_Name,0)),"")="Cash",1,0),0)</f>
        <v/>
      </c>
      <c r="Q1739" s="101">
        <f>IF(H1739=1,IF(IFERROR(INDEX(coa_CF,MATCH(K1739,coa_Name,0)),"")="Cash",1,0),0)</f>
        <v/>
      </c>
      <c r="R1739" s="58">
        <f>IF((P1739-Q1739)=0,"",IFERROR(INDEX(coa_CF,MATCH(IF((P1739-Q1739)=1,K1739,I1739),coa_Name,0)),"Operating"))</f>
        <v/>
      </c>
      <c r="S1739" s="95">
        <f>IF((P1739-Q1739)=1,L1739,IF((P1739-Q1739)=-1,-J1739,0))</f>
        <v/>
      </c>
      <c r="T1739" s="95">
        <f>IF((P1739-Q1739)=1,N1739,IF((P1739-Q1739)=-1,-M1739,0))</f>
        <v/>
      </c>
      <c r="U1739" s="101">
        <f>IF(AND(H1739=1,LedAcct&lt;&gt;""),IF(AND(E1739&gt;=LedFrom,E1739&lt;=LedTo,OR(I1739=LedAcct,K1739=LedAcct,AND(LedAcct=acctTax,M1739+N1739&lt;&gt;0))),E1739*10000+B1739,""),"")</f>
        <v/>
      </c>
    </row>
    <row r="1740">
      <c r="B1740" s="101" t="n">
        <v>1734</v>
      </c>
      <c r="C1740" s="58" t="inlineStr">
        <is>
          <t>Transaction</t>
        </is>
      </c>
      <c r="D1740" s="58">
        <f>IF(H1740=1,INDEX(tx_ID,1734)&amp;"","")</f>
        <v/>
      </c>
      <c r="E1740" s="94">
        <f>IF(H1740=1,INDEX(tx_Date,1734),"")</f>
        <v/>
      </c>
      <c r="F1740" s="58">
        <f>IF(H1740=1,INDEX(tx_Desc,1734)&amp;"","")</f>
        <v/>
      </c>
      <c r="G1740" s="58">
        <f>IF(H1740=1,IF(INDEX(tx_Cust,1734)&amp;""&lt;&gt;"",INDEX(tx_Cust,1734)&amp;"",INDEX(tx_Vend,1734)&amp;""),"")</f>
        <v/>
      </c>
      <c r="H1740" s="101">
        <f>IFERROR(N(INDEX(tx_Posted,1734)),0)</f>
        <v/>
      </c>
      <c r="I1740" s="58">
        <f>IF(H1740=1,INDEX(tx_DrAcct,1734)&amp;"","")</f>
        <v/>
      </c>
      <c r="J1740" s="95">
        <f>IF(H1740=1,INDEX(tx_DrAmt,1734),0)</f>
        <v/>
      </c>
      <c r="K1740" s="58">
        <f>IF(H1740=1,INDEX(tx_CrAcct,1734)&amp;"","")</f>
        <v/>
      </c>
      <c r="L1740" s="95">
        <f>IF(H1740=1,INDEX(tx_CrAmt,1734),0)</f>
        <v/>
      </c>
      <c r="M1740" s="95">
        <f>IF(H1740=1,INDEX(tx_TaxDr,1734),0)</f>
        <v/>
      </c>
      <c r="N1740" s="95">
        <f>IF(H1740=1,INDEX(tx_TaxCr,1734),0)</f>
        <v/>
      </c>
      <c r="O1740" s="101">
        <f>IF(H1740=1,IF(E1740&lt;FYStart,0,IF(E1740&gt;FYEnd,13,YEAR(E1740)*12+MONTH(E1740)-FYYM+1)),"")</f>
        <v/>
      </c>
      <c r="P1740" s="101">
        <f>IF(H1740=1,IF(IFERROR(INDEX(coa_CF,MATCH(I1740,coa_Name,0)),"")="Cash",1,0),0)</f>
        <v/>
      </c>
      <c r="Q1740" s="101">
        <f>IF(H1740=1,IF(IFERROR(INDEX(coa_CF,MATCH(K1740,coa_Name,0)),"")="Cash",1,0),0)</f>
        <v/>
      </c>
      <c r="R1740" s="58">
        <f>IF((P1740-Q1740)=0,"",IFERROR(INDEX(coa_CF,MATCH(IF((P1740-Q1740)=1,K1740,I1740),coa_Name,0)),"Operating"))</f>
        <v/>
      </c>
      <c r="S1740" s="95">
        <f>IF((P1740-Q1740)=1,L1740,IF((P1740-Q1740)=-1,-J1740,0))</f>
        <v/>
      </c>
      <c r="T1740" s="95">
        <f>IF((P1740-Q1740)=1,N1740,IF((P1740-Q1740)=-1,-M1740,0))</f>
        <v/>
      </c>
      <c r="U1740" s="101">
        <f>IF(AND(H1740=1,LedAcct&lt;&gt;""),IF(AND(E1740&gt;=LedFrom,E1740&lt;=LedTo,OR(I1740=LedAcct,K1740=LedAcct,AND(LedAcct=acctTax,M1740+N1740&lt;&gt;0))),E1740*10000+B1740,""),"")</f>
        <v/>
      </c>
    </row>
    <row r="1741">
      <c r="B1741" s="101" t="n">
        <v>1735</v>
      </c>
      <c r="C1741" s="58" t="inlineStr">
        <is>
          <t>Transaction</t>
        </is>
      </c>
      <c r="D1741" s="58">
        <f>IF(H1741=1,INDEX(tx_ID,1735)&amp;"","")</f>
        <v/>
      </c>
      <c r="E1741" s="94">
        <f>IF(H1741=1,INDEX(tx_Date,1735),"")</f>
        <v/>
      </c>
      <c r="F1741" s="58">
        <f>IF(H1741=1,INDEX(tx_Desc,1735)&amp;"","")</f>
        <v/>
      </c>
      <c r="G1741" s="58">
        <f>IF(H1741=1,IF(INDEX(tx_Cust,1735)&amp;""&lt;&gt;"",INDEX(tx_Cust,1735)&amp;"",INDEX(tx_Vend,1735)&amp;""),"")</f>
        <v/>
      </c>
      <c r="H1741" s="101">
        <f>IFERROR(N(INDEX(tx_Posted,1735)),0)</f>
        <v/>
      </c>
      <c r="I1741" s="58">
        <f>IF(H1741=1,INDEX(tx_DrAcct,1735)&amp;"","")</f>
        <v/>
      </c>
      <c r="J1741" s="95">
        <f>IF(H1741=1,INDEX(tx_DrAmt,1735),0)</f>
        <v/>
      </c>
      <c r="K1741" s="58">
        <f>IF(H1741=1,INDEX(tx_CrAcct,1735)&amp;"","")</f>
        <v/>
      </c>
      <c r="L1741" s="95">
        <f>IF(H1741=1,INDEX(tx_CrAmt,1735),0)</f>
        <v/>
      </c>
      <c r="M1741" s="95">
        <f>IF(H1741=1,INDEX(tx_TaxDr,1735),0)</f>
        <v/>
      </c>
      <c r="N1741" s="95">
        <f>IF(H1741=1,INDEX(tx_TaxCr,1735),0)</f>
        <v/>
      </c>
      <c r="O1741" s="101">
        <f>IF(H1741=1,IF(E1741&lt;FYStart,0,IF(E1741&gt;FYEnd,13,YEAR(E1741)*12+MONTH(E1741)-FYYM+1)),"")</f>
        <v/>
      </c>
      <c r="P1741" s="101">
        <f>IF(H1741=1,IF(IFERROR(INDEX(coa_CF,MATCH(I1741,coa_Name,0)),"")="Cash",1,0),0)</f>
        <v/>
      </c>
      <c r="Q1741" s="101">
        <f>IF(H1741=1,IF(IFERROR(INDEX(coa_CF,MATCH(K1741,coa_Name,0)),"")="Cash",1,0),0)</f>
        <v/>
      </c>
      <c r="R1741" s="58">
        <f>IF((P1741-Q1741)=0,"",IFERROR(INDEX(coa_CF,MATCH(IF((P1741-Q1741)=1,K1741,I1741),coa_Name,0)),"Operating"))</f>
        <v/>
      </c>
      <c r="S1741" s="95">
        <f>IF((P1741-Q1741)=1,L1741,IF((P1741-Q1741)=-1,-J1741,0))</f>
        <v/>
      </c>
      <c r="T1741" s="95">
        <f>IF((P1741-Q1741)=1,N1741,IF((P1741-Q1741)=-1,-M1741,0))</f>
        <v/>
      </c>
      <c r="U1741" s="101">
        <f>IF(AND(H1741=1,LedAcct&lt;&gt;""),IF(AND(E1741&gt;=LedFrom,E1741&lt;=LedTo,OR(I1741=LedAcct,K1741=LedAcct,AND(LedAcct=acctTax,M1741+N1741&lt;&gt;0))),E1741*10000+B1741,""),"")</f>
        <v/>
      </c>
    </row>
    <row r="1742">
      <c r="B1742" s="101" t="n">
        <v>1736</v>
      </c>
      <c r="C1742" s="58" t="inlineStr">
        <is>
          <t>Transaction</t>
        </is>
      </c>
      <c r="D1742" s="58">
        <f>IF(H1742=1,INDEX(tx_ID,1736)&amp;"","")</f>
        <v/>
      </c>
      <c r="E1742" s="94">
        <f>IF(H1742=1,INDEX(tx_Date,1736),"")</f>
        <v/>
      </c>
      <c r="F1742" s="58">
        <f>IF(H1742=1,INDEX(tx_Desc,1736)&amp;"","")</f>
        <v/>
      </c>
      <c r="G1742" s="58">
        <f>IF(H1742=1,IF(INDEX(tx_Cust,1736)&amp;""&lt;&gt;"",INDEX(tx_Cust,1736)&amp;"",INDEX(tx_Vend,1736)&amp;""),"")</f>
        <v/>
      </c>
      <c r="H1742" s="101">
        <f>IFERROR(N(INDEX(tx_Posted,1736)),0)</f>
        <v/>
      </c>
      <c r="I1742" s="58">
        <f>IF(H1742=1,INDEX(tx_DrAcct,1736)&amp;"","")</f>
        <v/>
      </c>
      <c r="J1742" s="95">
        <f>IF(H1742=1,INDEX(tx_DrAmt,1736),0)</f>
        <v/>
      </c>
      <c r="K1742" s="58">
        <f>IF(H1742=1,INDEX(tx_CrAcct,1736)&amp;"","")</f>
        <v/>
      </c>
      <c r="L1742" s="95">
        <f>IF(H1742=1,INDEX(tx_CrAmt,1736),0)</f>
        <v/>
      </c>
      <c r="M1742" s="95">
        <f>IF(H1742=1,INDEX(tx_TaxDr,1736),0)</f>
        <v/>
      </c>
      <c r="N1742" s="95">
        <f>IF(H1742=1,INDEX(tx_TaxCr,1736),0)</f>
        <v/>
      </c>
      <c r="O1742" s="101">
        <f>IF(H1742=1,IF(E1742&lt;FYStart,0,IF(E1742&gt;FYEnd,13,YEAR(E1742)*12+MONTH(E1742)-FYYM+1)),"")</f>
        <v/>
      </c>
      <c r="P1742" s="101">
        <f>IF(H1742=1,IF(IFERROR(INDEX(coa_CF,MATCH(I1742,coa_Name,0)),"")="Cash",1,0),0)</f>
        <v/>
      </c>
      <c r="Q1742" s="101">
        <f>IF(H1742=1,IF(IFERROR(INDEX(coa_CF,MATCH(K1742,coa_Name,0)),"")="Cash",1,0),0)</f>
        <v/>
      </c>
      <c r="R1742" s="58">
        <f>IF((P1742-Q1742)=0,"",IFERROR(INDEX(coa_CF,MATCH(IF((P1742-Q1742)=1,K1742,I1742),coa_Name,0)),"Operating"))</f>
        <v/>
      </c>
      <c r="S1742" s="95">
        <f>IF((P1742-Q1742)=1,L1742,IF((P1742-Q1742)=-1,-J1742,0))</f>
        <v/>
      </c>
      <c r="T1742" s="95">
        <f>IF((P1742-Q1742)=1,N1742,IF((P1742-Q1742)=-1,-M1742,0))</f>
        <v/>
      </c>
      <c r="U1742" s="101">
        <f>IF(AND(H1742=1,LedAcct&lt;&gt;""),IF(AND(E1742&gt;=LedFrom,E1742&lt;=LedTo,OR(I1742=LedAcct,K1742=LedAcct,AND(LedAcct=acctTax,M1742+N1742&lt;&gt;0))),E1742*10000+B1742,""),"")</f>
        <v/>
      </c>
    </row>
    <row r="1743">
      <c r="B1743" s="101" t="n">
        <v>1737</v>
      </c>
      <c r="C1743" s="58" t="inlineStr">
        <is>
          <t>Transaction</t>
        </is>
      </c>
      <c r="D1743" s="58">
        <f>IF(H1743=1,INDEX(tx_ID,1737)&amp;"","")</f>
        <v/>
      </c>
      <c r="E1743" s="94">
        <f>IF(H1743=1,INDEX(tx_Date,1737),"")</f>
        <v/>
      </c>
      <c r="F1743" s="58">
        <f>IF(H1743=1,INDEX(tx_Desc,1737)&amp;"","")</f>
        <v/>
      </c>
      <c r="G1743" s="58">
        <f>IF(H1743=1,IF(INDEX(tx_Cust,1737)&amp;""&lt;&gt;"",INDEX(tx_Cust,1737)&amp;"",INDEX(tx_Vend,1737)&amp;""),"")</f>
        <v/>
      </c>
      <c r="H1743" s="101">
        <f>IFERROR(N(INDEX(tx_Posted,1737)),0)</f>
        <v/>
      </c>
      <c r="I1743" s="58">
        <f>IF(H1743=1,INDEX(tx_DrAcct,1737)&amp;"","")</f>
        <v/>
      </c>
      <c r="J1743" s="95">
        <f>IF(H1743=1,INDEX(tx_DrAmt,1737),0)</f>
        <v/>
      </c>
      <c r="K1743" s="58">
        <f>IF(H1743=1,INDEX(tx_CrAcct,1737)&amp;"","")</f>
        <v/>
      </c>
      <c r="L1743" s="95">
        <f>IF(H1743=1,INDEX(tx_CrAmt,1737),0)</f>
        <v/>
      </c>
      <c r="M1743" s="95">
        <f>IF(H1743=1,INDEX(tx_TaxDr,1737),0)</f>
        <v/>
      </c>
      <c r="N1743" s="95">
        <f>IF(H1743=1,INDEX(tx_TaxCr,1737),0)</f>
        <v/>
      </c>
      <c r="O1743" s="101">
        <f>IF(H1743=1,IF(E1743&lt;FYStart,0,IF(E1743&gt;FYEnd,13,YEAR(E1743)*12+MONTH(E1743)-FYYM+1)),"")</f>
        <v/>
      </c>
      <c r="P1743" s="101">
        <f>IF(H1743=1,IF(IFERROR(INDEX(coa_CF,MATCH(I1743,coa_Name,0)),"")="Cash",1,0),0)</f>
        <v/>
      </c>
      <c r="Q1743" s="101">
        <f>IF(H1743=1,IF(IFERROR(INDEX(coa_CF,MATCH(K1743,coa_Name,0)),"")="Cash",1,0),0)</f>
        <v/>
      </c>
      <c r="R1743" s="58">
        <f>IF((P1743-Q1743)=0,"",IFERROR(INDEX(coa_CF,MATCH(IF((P1743-Q1743)=1,K1743,I1743),coa_Name,0)),"Operating"))</f>
        <v/>
      </c>
      <c r="S1743" s="95">
        <f>IF((P1743-Q1743)=1,L1743,IF((P1743-Q1743)=-1,-J1743,0))</f>
        <v/>
      </c>
      <c r="T1743" s="95">
        <f>IF((P1743-Q1743)=1,N1743,IF((P1743-Q1743)=-1,-M1743,0))</f>
        <v/>
      </c>
      <c r="U1743" s="101">
        <f>IF(AND(H1743=1,LedAcct&lt;&gt;""),IF(AND(E1743&gt;=LedFrom,E1743&lt;=LedTo,OR(I1743=LedAcct,K1743=LedAcct,AND(LedAcct=acctTax,M1743+N1743&lt;&gt;0))),E1743*10000+B1743,""),"")</f>
        <v/>
      </c>
    </row>
    <row r="1744">
      <c r="B1744" s="101" t="n">
        <v>1738</v>
      </c>
      <c r="C1744" s="58" t="inlineStr">
        <is>
          <t>Transaction</t>
        </is>
      </c>
      <c r="D1744" s="58">
        <f>IF(H1744=1,INDEX(tx_ID,1738)&amp;"","")</f>
        <v/>
      </c>
      <c r="E1744" s="94">
        <f>IF(H1744=1,INDEX(tx_Date,1738),"")</f>
        <v/>
      </c>
      <c r="F1744" s="58">
        <f>IF(H1744=1,INDEX(tx_Desc,1738)&amp;"","")</f>
        <v/>
      </c>
      <c r="G1744" s="58">
        <f>IF(H1744=1,IF(INDEX(tx_Cust,1738)&amp;""&lt;&gt;"",INDEX(tx_Cust,1738)&amp;"",INDEX(tx_Vend,1738)&amp;""),"")</f>
        <v/>
      </c>
      <c r="H1744" s="101">
        <f>IFERROR(N(INDEX(tx_Posted,1738)),0)</f>
        <v/>
      </c>
      <c r="I1744" s="58">
        <f>IF(H1744=1,INDEX(tx_DrAcct,1738)&amp;"","")</f>
        <v/>
      </c>
      <c r="J1744" s="95">
        <f>IF(H1744=1,INDEX(tx_DrAmt,1738),0)</f>
        <v/>
      </c>
      <c r="K1744" s="58">
        <f>IF(H1744=1,INDEX(tx_CrAcct,1738)&amp;"","")</f>
        <v/>
      </c>
      <c r="L1744" s="95">
        <f>IF(H1744=1,INDEX(tx_CrAmt,1738),0)</f>
        <v/>
      </c>
      <c r="M1744" s="95">
        <f>IF(H1744=1,INDEX(tx_TaxDr,1738),0)</f>
        <v/>
      </c>
      <c r="N1744" s="95">
        <f>IF(H1744=1,INDEX(tx_TaxCr,1738),0)</f>
        <v/>
      </c>
      <c r="O1744" s="101">
        <f>IF(H1744=1,IF(E1744&lt;FYStart,0,IF(E1744&gt;FYEnd,13,YEAR(E1744)*12+MONTH(E1744)-FYYM+1)),"")</f>
        <v/>
      </c>
      <c r="P1744" s="101">
        <f>IF(H1744=1,IF(IFERROR(INDEX(coa_CF,MATCH(I1744,coa_Name,0)),"")="Cash",1,0),0)</f>
        <v/>
      </c>
      <c r="Q1744" s="101">
        <f>IF(H1744=1,IF(IFERROR(INDEX(coa_CF,MATCH(K1744,coa_Name,0)),"")="Cash",1,0),0)</f>
        <v/>
      </c>
      <c r="R1744" s="58">
        <f>IF((P1744-Q1744)=0,"",IFERROR(INDEX(coa_CF,MATCH(IF((P1744-Q1744)=1,K1744,I1744),coa_Name,0)),"Operating"))</f>
        <v/>
      </c>
      <c r="S1744" s="95">
        <f>IF((P1744-Q1744)=1,L1744,IF((P1744-Q1744)=-1,-J1744,0))</f>
        <v/>
      </c>
      <c r="T1744" s="95">
        <f>IF((P1744-Q1744)=1,N1744,IF((P1744-Q1744)=-1,-M1744,0))</f>
        <v/>
      </c>
      <c r="U1744" s="101">
        <f>IF(AND(H1744=1,LedAcct&lt;&gt;""),IF(AND(E1744&gt;=LedFrom,E1744&lt;=LedTo,OR(I1744=LedAcct,K1744=LedAcct,AND(LedAcct=acctTax,M1744+N1744&lt;&gt;0))),E1744*10000+B1744,""),"")</f>
        <v/>
      </c>
    </row>
    <row r="1745">
      <c r="B1745" s="101" t="n">
        <v>1739</v>
      </c>
      <c r="C1745" s="58" t="inlineStr">
        <is>
          <t>Transaction</t>
        </is>
      </c>
      <c r="D1745" s="58">
        <f>IF(H1745=1,INDEX(tx_ID,1739)&amp;"","")</f>
        <v/>
      </c>
      <c r="E1745" s="94">
        <f>IF(H1745=1,INDEX(tx_Date,1739),"")</f>
        <v/>
      </c>
      <c r="F1745" s="58">
        <f>IF(H1745=1,INDEX(tx_Desc,1739)&amp;"","")</f>
        <v/>
      </c>
      <c r="G1745" s="58">
        <f>IF(H1745=1,IF(INDEX(tx_Cust,1739)&amp;""&lt;&gt;"",INDEX(tx_Cust,1739)&amp;"",INDEX(tx_Vend,1739)&amp;""),"")</f>
        <v/>
      </c>
      <c r="H1745" s="101">
        <f>IFERROR(N(INDEX(tx_Posted,1739)),0)</f>
        <v/>
      </c>
      <c r="I1745" s="58">
        <f>IF(H1745=1,INDEX(tx_DrAcct,1739)&amp;"","")</f>
        <v/>
      </c>
      <c r="J1745" s="95">
        <f>IF(H1745=1,INDEX(tx_DrAmt,1739),0)</f>
        <v/>
      </c>
      <c r="K1745" s="58">
        <f>IF(H1745=1,INDEX(tx_CrAcct,1739)&amp;"","")</f>
        <v/>
      </c>
      <c r="L1745" s="95">
        <f>IF(H1745=1,INDEX(tx_CrAmt,1739),0)</f>
        <v/>
      </c>
      <c r="M1745" s="95">
        <f>IF(H1745=1,INDEX(tx_TaxDr,1739),0)</f>
        <v/>
      </c>
      <c r="N1745" s="95">
        <f>IF(H1745=1,INDEX(tx_TaxCr,1739),0)</f>
        <v/>
      </c>
      <c r="O1745" s="101">
        <f>IF(H1745=1,IF(E1745&lt;FYStart,0,IF(E1745&gt;FYEnd,13,YEAR(E1745)*12+MONTH(E1745)-FYYM+1)),"")</f>
        <v/>
      </c>
      <c r="P1745" s="101">
        <f>IF(H1745=1,IF(IFERROR(INDEX(coa_CF,MATCH(I1745,coa_Name,0)),"")="Cash",1,0),0)</f>
        <v/>
      </c>
      <c r="Q1745" s="101">
        <f>IF(H1745=1,IF(IFERROR(INDEX(coa_CF,MATCH(K1745,coa_Name,0)),"")="Cash",1,0),0)</f>
        <v/>
      </c>
      <c r="R1745" s="58">
        <f>IF((P1745-Q1745)=0,"",IFERROR(INDEX(coa_CF,MATCH(IF((P1745-Q1745)=1,K1745,I1745),coa_Name,0)),"Operating"))</f>
        <v/>
      </c>
      <c r="S1745" s="95">
        <f>IF((P1745-Q1745)=1,L1745,IF((P1745-Q1745)=-1,-J1745,0))</f>
        <v/>
      </c>
      <c r="T1745" s="95">
        <f>IF((P1745-Q1745)=1,N1745,IF((P1745-Q1745)=-1,-M1745,0))</f>
        <v/>
      </c>
      <c r="U1745" s="101">
        <f>IF(AND(H1745=1,LedAcct&lt;&gt;""),IF(AND(E1745&gt;=LedFrom,E1745&lt;=LedTo,OR(I1745=LedAcct,K1745=LedAcct,AND(LedAcct=acctTax,M1745+N1745&lt;&gt;0))),E1745*10000+B1745,""),"")</f>
        <v/>
      </c>
    </row>
    <row r="1746">
      <c r="B1746" s="101" t="n">
        <v>1740</v>
      </c>
      <c r="C1746" s="58" t="inlineStr">
        <is>
          <t>Transaction</t>
        </is>
      </c>
      <c r="D1746" s="58">
        <f>IF(H1746=1,INDEX(tx_ID,1740)&amp;"","")</f>
        <v/>
      </c>
      <c r="E1746" s="94">
        <f>IF(H1746=1,INDEX(tx_Date,1740),"")</f>
        <v/>
      </c>
      <c r="F1746" s="58">
        <f>IF(H1746=1,INDEX(tx_Desc,1740)&amp;"","")</f>
        <v/>
      </c>
      <c r="G1746" s="58">
        <f>IF(H1746=1,IF(INDEX(tx_Cust,1740)&amp;""&lt;&gt;"",INDEX(tx_Cust,1740)&amp;"",INDEX(tx_Vend,1740)&amp;""),"")</f>
        <v/>
      </c>
      <c r="H1746" s="101">
        <f>IFERROR(N(INDEX(tx_Posted,1740)),0)</f>
        <v/>
      </c>
      <c r="I1746" s="58">
        <f>IF(H1746=1,INDEX(tx_DrAcct,1740)&amp;"","")</f>
        <v/>
      </c>
      <c r="J1746" s="95">
        <f>IF(H1746=1,INDEX(tx_DrAmt,1740),0)</f>
        <v/>
      </c>
      <c r="K1746" s="58">
        <f>IF(H1746=1,INDEX(tx_CrAcct,1740)&amp;"","")</f>
        <v/>
      </c>
      <c r="L1746" s="95">
        <f>IF(H1746=1,INDEX(tx_CrAmt,1740),0)</f>
        <v/>
      </c>
      <c r="M1746" s="95">
        <f>IF(H1746=1,INDEX(tx_TaxDr,1740),0)</f>
        <v/>
      </c>
      <c r="N1746" s="95">
        <f>IF(H1746=1,INDEX(tx_TaxCr,1740),0)</f>
        <v/>
      </c>
      <c r="O1746" s="101">
        <f>IF(H1746=1,IF(E1746&lt;FYStart,0,IF(E1746&gt;FYEnd,13,YEAR(E1746)*12+MONTH(E1746)-FYYM+1)),"")</f>
        <v/>
      </c>
      <c r="P1746" s="101">
        <f>IF(H1746=1,IF(IFERROR(INDEX(coa_CF,MATCH(I1746,coa_Name,0)),"")="Cash",1,0),0)</f>
        <v/>
      </c>
      <c r="Q1746" s="101">
        <f>IF(H1746=1,IF(IFERROR(INDEX(coa_CF,MATCH(K1746,coa_Name,0)),"")="Cash",1,0),0)</f>
        <v/>
      </c>
      <c r="R1746" s="58">
        <f>IF((P1746-Q1746)=0,"",IFERROR(INDEX(coa_CF,MATCH(IF((P1746-Q1746)=1,K1746,I1746),coa_Name,0)),"Operating"))</f>
        <v/>
      </c>
      <c r="S1746" s="95">
        <f>IF((P1746-Q1746)=1,L1746,IF((P1746-Q1746)=-1,-J1746,0))</f>
        <v/>
      </c>
      <c r="T1746" s="95">
        <f>IF((P1746-Q1746)=1,N1746,IF((P1746-Q1746)=-1,-M1746,0))</f>
        <v/>
      </c>
      <c r="U1746" s="101">
        <f>IF(AND(H1746=1,LedAcct&lt;&gt;""),IF(AND(E1746&gt;=LedFrom,E1746&lt;=LedTo,OR(I1746=LedAcct,K1746=LedAcct,AND(LedAcct=acctTax,M1746+N1746&lt;&gt;0))),E1746*10000+B1746,""),"")</f>
        <v/>
      </c>
    </row>
    <row r="1747">
      <c r="B1747" s="101" t="n">
        <v>1741</v>
      </c>
      <c r="C1747" s="58" t="inlineStr">
        <is>
          <t>Transaction</t>
        </is>
      </c>
      <c r="D1747" s="58">
        <f>IF(H1747=1,INDEX(tx_ID,1741)&amp;"","")</f>
        <v/>
      </c>
      <c r="E1747" s="94">
        <f>IF(H1747=1,INDEX(tx_Date,1741),"")</f>
        <v/>
      </c>
      <c r="F1747" s="58">
        <f>IF(H1747=1,INDEX(tx_Desc,1741)&amp;"","")</f>
        <v/>
      </c>
      <c r="G1747" s="58">
        <f>IF(H1747=1,IF(INDEX(tx_Cust,1741)&amp;""&lt;&gt;"",INDEX(tx_Cust,1741)&amp;"",INDEX(tx_Vend,1741)&amp;""),"")</f>
        <v/>
      </c>
      <c r="H1747" s="101">
        <f>IFERROR(N(INDEX(tx_Posted,1741)),0)</f>
        <v/>
      </c>
      <c r="I1747" s="58">
        <f>IF(H1747=1,INDEX(tx_DrAcct,1741)&amp;"","")</f>
        <v/>
      </c>
      <c r="J1747" s="95">
        <f>IF(H1747=1,INDEX(tx_DrAmt,1741),0)</f>
        <v/>
      </c>
      <c r="K1747" s="58">
        <f>IF(H1747=1,INDEX(tx_CrAcct,1741)&amp;"","")</f>
        <v/>
      </c>
      <c r="L1747" s="95">
        <f>IF(H1747=1,INDEX(tx_CrAmt,1741),0)</f>
        <v/>
      </c>
      <c r="M1747" s="95">
        <f>IF(H1747=1,INDEX(tx_TaxDr,1741),0)</f>
        <v/>
      </c>
      <c r="N1747" s="95">
        <f>IF(H1747=1,INDEX(tx_TaxCr,1741),0)</f>
        <v/>
      </c>
      <c r="O1747" s="101">
        <f>IF(H1747=1,IF(E1747&lt;FYStart,0,IF(E1747&gt;FYEnd,13,YEAR(E1747)*12+MONTH(E1747)-FYYM+1)),"")</f>
        <v/>
      </c>
      <c r="P1747" s="101">
        <f>IF(H1747=1,IF(IFERROR(INDEX(coa_CF,MATCH(I1747,coa_Name,0)),"")="Cash",1,0),0)</f>
        <v/>
      </c>
      <c r="Q1747" s="101">
        <f>IF(H1747=1,IF(IFERROR(INDEX(coa_CF,MATCH(K1747,coa_Name,0)),"")="Cash",1,0),0)</f>
        <v/>
      </c>
      <c r="R1747" s="58">
        <f>IF((P1747-Q1747)=0,"",IFERROR(INDEX(coa_CF,MATCH(IF((P1747-Q1747)=1,K1747,I1747),coa_Name,0)),"Operating"))</f>
        <v/>
      </c>
      <c r="S1747" s="95">
        <f>IF((P1747-Q1747)=1,L1747,IF((P1747-Q1747)=-1,-J1747,0))</f>
        <v/>
      </c>
      <c r="T1747" s="95">
        <f>IF((P1747-Q1747)=1,N1747,IF((P1747-Q1747)=-1,-M1747,0))</f>
        <v/>
      </c>
      <c r="U1747" s="101">
        <f>IF(AND(H1747=1,LedAcct&lt;&gt;""),IF(AND(E1747&gt;=LedFrom,E1747&lt;=LedTo,OR(I1747=LedAcct,K1747=LedAcct,AND(LedAcct=acctTax,M1747+N1747&lt;&gt;0))),E1747*10000+B1747,""),"")</f>
        <v/>
      </c>
    </row>
    <row r="1748">
      <c r="B1748" s="101" t="n">
        <v>1742</v>
      </c>
      <c r="C1748" s="58" t="inlineStr">
        <is>
          <t>Transaction</t>
        </is>
      </c>
      <c r="D1748" s="58">
        <f>IF(H1748=1,INDEX(tx_ID,1742)&amp;"","")</f>
        <v/>
      </c>
      <c r="E1748" s="94">
        <f>IF(H1748=1,INDEX(tx_Date,1742),"")</f>
        <v/>
      </c>
      <c r="F1748" s="58">
        <f>IF(H1748=1,INDEX(tx_Desc,1742)&amp;"","")</f>
        <v/>
      </c>
      <c r="G1748" s="58">
        <f>IF(H1748=1,IF(INDEX(tx_Cust,1742)&amp;""&lt;&gt;"",INDEX(tx_Cust,1742)&amp;"",INDEX(tx_Vend,1742)&amp;""),"")</f>
        <v/>
      </c>
      <c r="H1748" s="101">
        <f>IFERROR(N(INDEX(tx_Posted,1742)),0)</f>
        <v/>
      </c>
      <c r="I1748" s="58">
        <f>IF(H1748=1,INDEX(tx_DrAcct,1742)&amp;"","")</f>
        <v/>
      </c>
      <c r="J1748" s="95">
        <f>IF(H1748=1,INDEX(tx_DrAmt,1742),0)</f>
        <v/>
      </c>
      <c r="K1748" s="58">
        <f>IF(H1748=1,INDEX(tx_CrAcct,1742)&amp;"","")</f>
        <v/>
      </c>
      <c r="L1748" s="95">
        <f>IF(H1748=1,INDEX(tx_CrAmt,1742),0)</f>
        <v/>
      </c>
      <c r="M1748" s="95">
        <f>IF(H1748=1,INDEX(tx_TaxDr,1742),0)</f>
        <v/>
      </c>
      <c r="N1748" s="95">
        <f>IF(H1748=1,INDEX(tx_TaxCr,1742),0)</f>
        <v/>
      </c>
      <c r="O1748" s="101">
        <f>IF(H1748=1,IF(E1748&lt;FYStart,0,IF(E1748&gt;FYEnd,13,YEAR(E1748)*12+MONTH(E1748)-FYYM+1)),"")</f>
        <v/>
      </c>
      <c r="P1748" s="101">
        <f>IF(H1748=1,IF(IFERROR(INDEX(coa_CF,MATCH(I1748,coa_Name,0)),"")="Cash",1,0),0)</f>
        <v/>
      </c>
      <c r="Q1748" s="101">
        <f>IF(H1748=1,IF(IFERROR(INDEX(coa_CF,MATCH(K1748,coa_Name,0)),"")="Cash",1,0),0)</f>
        <v/>
      </c>
      <c r="R1748" s="58">
        <f>IF((P1748-Q1748)=0,"",IFERROR(INDEX(coa_CF,MATCH(IF((P1748-Q1748)=1,K1748,I1748),coa_Name,0)),"Operating"))</f>
        <v/>
      </c>
      <c r="S1748" s="95">
        <f>IF((P1748-Q1748)=1,L1748,IF((P1748-Q1748)=-1,-J1748,0))</f>
        <v/>
      </c>
      <c r="T1748" s="95">
        <f>IF((P1748-Q1748)=1,N1748,IF((P1748-Q1748)=-1,-M1748,0))</f>
        <v/>
      </c>
      <c r="U1748" s="101">
        <f>IF(AND(H1748=1,LedAcct&lt;&gt;""),IF(AND(E1748&gt;=LedFrom,E1748&lt;=LedTo,OR(I1748=LedAcct,K1748=LedAcct,AND(LedAcct=acctTax,M1748+N1748&lt;&gt;0))),E1748*10000+B1748,""),"")</f>
        <v/>
      </c>
    </row>
    <row r="1749">
      <c r="B1749" s="101" t="n">
        <v>1743</v>
      </c>
      <c r="C1749" s="58" t="inlineStr">
        <is>
          <t>Transaction</t>
        </is>
      </c>
      <c r="D1749" s="58">
        <f>IF(H1749=1,INDEX(tx_ID,1743)&amp;"","")</f>
        <v/>
      </c>
      <c r="E1749" s="94">
        <f>IF(H1749=1,INDEX(tx_Date,1743),"")</f>
        <v/>
      </c>
      <c r="F1749" s="58">
        <f>IF(H1749=1,INDEX(tx_Desc,1743)&amp;"","")</f>
        <v/>
      </c>
      <c r="G1749" s="58">
        <f>IF(H1749=1,IF(INDEX(tx_Cust,1743)&amp;""&lt;&gt;"",INDEX(tx_Cust,1743)&amp;"",INDEX(tx_Vend,1743)&amp;""),"")</f>
        <v/>
      </c>
      <c r="H1749" s="101">
        <f>IFERROR(N(INDEX(tx_Posted,1743)),0)</f>
        <v/>
      </c>
      <c r="I1749" s="58">
        <f>IF(H1749=1,INDEX(tx_DrAcct,1743)&amp;"","")</f>
        <v/>
      </c>
      <c r="J1749" s="95">
        <f>IF(H1749=1,INDEX(tx_DrAmt,1743),0)</f>
        <v/>
      </c>
      <c r="K1749" s="58">
        <f>IF(H1749=1,INDEX(tx_CrAcct,1743)&amp;"","")</f>
        <v/>
      </c>
      <c r="L1749" s="95">
        <f>IF(H1749=1,INDEX(tx_CrAmt,1743),0)</f>
        <v/>
      </c>
      <c r="M1749" s="95">
        <f>IF(H1749=1,INDEX(tx_TaxDr,1743),0)</f>
        <v/>
      </c>
      <c r="N1749" s="95">
        <f>IF(H1749=1,INDEX(tx_TaxCr,1743),0)</f>
        <v/>
      </c>
      <c r="O1749" s="101">
        <f>IF(H1749=1,IF(E1749&lt;FYStart,0,IF(E1749&gt;FYEnd,13,YEAR(E1749)*12+MONTH(E1749)-FYYM+1)),"")</f>
        <v/>
      </c>
      <c r="P1749" s="101">
        <f>IF(H1749=1,IF(IFERROR(INDEX(coa_CF,MATCH(I1749,coa_Name,0)),"")="Cash",1,0),0)</f>
        <v/>
      </c>
      <c r="Q1749" s="101">
        <f>IF(H1749=1,IF(IFERROR(INDEX(coa_CF,MATCH(K1749,coa_Name,0)),"")="Cash",1,0),0)</f>
        <v/>
      </c>
      <c r="R1749" s="58">
        <f>IF((P1749-Q1749)=0,"",IFERROR(INDEX(coa_CF,MATCH(IF((P1749-Q1749)=1,K1749,I1749),coa_Name,0)),"Operating"))</f>
        <v/>
      </c>
      <c r="S1749" s="95">
        <f>IF((P1749-Q1749)=1,L1749,IF((P1749-Q1749)=-1,-J1749,0))</f>
        <v/>
      </c>
      <c r="T1749" s="95">
        <f>IF((P1749-Q1749)=1,N1749,IF((P1749-Q1749)=-1,-M1749,0))</f>
        <v/>
      </c>
      <c r="U1749" s="101">
        <f>IF(AND(H1749=1,LedAcct&lt;&gt;""),IF(AND(E1749&gt;=LedFrom,E1749&lt;=LedTo,OR(I1749=LedAcct,K1749=LedAcct,AND(LedAcct=acctTax,M1749+N1749&lt;&gt;0))),E1749*10000+B1749,""),"")</f>
        <v/>
      </c>
    </row>
    <row r="1750">
      <c r="B1750" s="101" t="n">
        <v>1744</v>
      </c>
      <c r="C1750" s="58" t="inlineStr">
        <is>
          <t>Transaction</t>
        </is>
      </c>
      <c r="D1750" s="58">
        <f>IF(H1750=1,INDEX(tx_ID,1744)&amp;"","")</f>
        <v/>
      </c>
      <c r="E1750" s="94">
        <f>IF(H1750=1,INDEX(tx_Date,1744),"")</f>
        <v/>
      </c>
      <c r="F1750" s="58">
        <f>IF(H1750=1,INDEX(tx_Desc,1744)&amp;"","")</f>
        <v/>
      </c>
      <c r="G1750" s="58">
        <f>IF(H1750=1,IF(INDEX(tx_Cust,1744)&amp;""&lt;&gt;"",INDEX(tx_Cust,1744)&amp;"",INDEX(tx_Vend,1744)&amp;""),"")</f>
        <v/>
      </c>
      <c r="H1750" s="101">
        <f>IFERROR(N(INDEX(tx_Posted,1744)),0)</f>
        <v/>
      </c>
      <c r="I1750" s="58">
        <f>IF(H1750=1,INDEX(tx_DrAcct,1744)&amp;"","")</f>
        <v/>
      </c>
      <c r="J1750" s="95">
        <f>IF(H1750=1,INDEX(tx_DrAmt,1744),0)</f>
        <v/>
      </c>
      <c r="K1750" s="58">
        <f>IF(H1750=1,INDEX(tx_CrAcct,1744)&amp;"","")</f>
        <v/>
      </c>
      <c r="L1750" s="95">
        <f>IF(H1750=1,INDEX(tx_CrAmt,1744),0)</f>
        <v/>
      </c>
      <c r="M1750" s="95">
        <f>IF(H1750=1,INDEX(tx_TaxDr,1744),0)</f>
        <v/>
      </c>
      <c r="N1750" s="95">
        <f>IF(H1750=1,INDEX(tx_TaxCr,1744),0)</f>
        <v/>
      </c>
      <c r="O1750" s="101">
        <f>IF(H1750=1,IF(E1750&lt;FYStart,0,IF(E1750&gt;FYEnd,13,YEAR(E1750)*12+MONTH(E1750)-FYYM+1)),"")</f>
        <v/>
      </c>
      <c r="P1750" s="101">
        <f>IF(H1750=1,IF(IFERROR(INDEX(coa_CF,MATCH(I1750,coa_Name,0)),"")="Cash",1,0),0)</f>
        <v/>
      </c>
      <c r="Q1750" s="101">
        <f>IF(H1750=1,IF(IFERROR(INDEX(coa_CF,MATCH(K1750,coa_Name,0)),"")="Cash",1,0),0)</f>
        <v/>
      </c>
      <c r="R1750" s="58">
        <f>IF((P1750-Q1750)=0,"",IFERROR(INDEX(coa_CF,MATCH(IF((P1750-Q1750)=1,K1750,I1750),coa_Name,0)),"Operating"))</f>
        <v/>
      </c>
      <c r="S1750" s="95">
        <f>IF((P1750-Q1750)=1,L1750,IF((P1750-Q1750)=-1,-J1750,0))</f>
        <v/>
      </c>
      <c r="T1750" s="95">
        <f>IF((P1750-Q1750)=1,N1750,IF((P1750-Q1750)=-1,-M1750,0))</f>
        <v/>
      </c>
      <c r="U1750" s="101">
        <f>IF(AND(H1750=1,LedAcct&lt;&gt;""),IF(AND(E1750&gt;=LedFrom,E1750&lt;=LedTo,OR(I1750=LedAcct,K1750=LedAcct,AND(LedAcct=acctTax,M1750+N1750&lt;&gt;0))),E1750*10000+B1750,""),"")</f>
        <v/>
      </c>
    </row>
    <row r="1751">
      <c r="B1751" s="101" t="n">
        <v>1745</v>
      </c>
      <c r="C1751" s="58" t="inlineStr">
        <is>
          <t>Transaction</t>
        </is>
      </c>
      <c r="D1751" s="58">
        <f>IF(H1751=1,INDEX(tx_ID,1745)&amp;"","")</f>
        <v/>
      </c>
      <c r="E1751" s="94">
        <f>IF(H1751=1,INDEX(tx_Date,1745),"")</f>
        <v/>
      </c>
      <c r="F1751" s="58">
        <f>IF(H1751=1,INDEX(tx_Desc,1745)&amp;"","")</f>
        <v/>
      </c>
      <c r="G1751" s="58">
        <f>IF(H1751=1,IF(INDEX(tx_Cust,1745)&amp;""&lt;&gt;"",INDEX(tx_Cust,1745)&amp;"",INDEX(tx_Vend,1745)&amp;""),"")</f>
        <v/>
      </c>
      <c r="H1751" s="101">
        <f>IFERROR(N(INDEX(tx_Posted,1745)),0)</f>
        <v/>
      </c>
      <c r="I1751" s="58">
        <f>IF(H1751=1,INDEX(tx_DrAcct,1745)&amp;"","")</f>
        <v/>
      </c>
      <c r="J1751" s="95">
        <f>IF(H1751=1,INDEX(tx_DrAmt,1745),0)</f>
        <v/>
      </c>
      <c r="K1751" s="58">
        <f>IF(H1751=1,INDEX(tx_CrAcct,1745)&amp;"","")</f>
        <v/>
      </c>
      <c r="L1751" s="95">
        <f>IF(H1751=1,INDEX(tx_CrAmt,1745),0)</f>
        <v/>
      </c>
      <c r="M1751" s="95">
        <f>IF(H1751=1,INDEX(tx_TaxDr,1745),0)</f>
        <v/>
      </c>
      <c r="N1751" s="95">
        <f>IF(H1751=1,INDEX(tx_TaxCr,1745),0)</f>
        <v/>
      </c>
      <c r="O1751" s="101">
        <f>IF(H1751=1,IF(E1751&lt;FYStart,0,IF(E1751&gt;FYEnd,13,YEAR(E1751)*12+MONTH(E1751)-FYYM+1)),"")</f>
        <v/>
      </c>
      <c r="P1751" s="101">
        <f>IF(H1751=1,IF(IFERROR(INDEX(coa_CF,MATCH(I1751,coa_Name,0)),"")="Cash",1,0),0)</f>
        <v/>
      </c>
      <c r="Q1751" s="101">
        <f>IF(H1751=1,IF(IFERROR(INDEX(coa_CF,MATCH(K1751,coa_Name,0)),"")="Cash",1,0),0)</f>
        <v/>
      </c>
      <c r="R1751" s="58">
        <f>IF((P1751-Q1751)=0,"",IFERROR(INDEX(coa_CF,MATCH(IF((P1751-Q1751)=1,K1751,I1751),coa_Name,0)),"Operating"))</f>
        <v/>
      </c>
      <c r="S1751" s="95">
        <f>IF((P1751-Q1751)=1,L1751,IF((P1751-Q1751)=-1,-J1751,0))</f>
        <v/>
      </c>
      <c r="T1751" s="95">
        <f>IF((P1751-Q1751)=1,N1751,IF((P1751-Q1751)=-1,-M1751,0))</f>
        <v/>
      </c>
      <c r="U1751" s="101">
        <f>IF(AND(H1751=1,LedAcct&lt;&gt;""),IF(AND(E1751&gt;=LedFrom,E1751&lt;=LedTo,OR(I1751=LedAcct,K1751=LedAcct,AND(LedAcct=acctTax,M1751+N1751&lt;&gt;0))),E1751*10000+B1751,""),"")</f>
        <v/>
      </c>
    </row>
    <row r="1752">
      <c r="B1752" s="101" t="n">
        <v>1746</v>
      </c>
      <c r="C1752" s="58" t="inlineStr">
        <is>
          <t>Transaction</t>
        </is>
      </c>
      <c r="D1752" s="58">
        <f>IF(H1752=1,INDEX(tx_ID,1746)&amp;"","")</f>
        <v/>
      </c>
      <c r="E1752" s="94">
        <f>IF(H1752=1,INDEX(tx_Date,1746),"")</f>
        <v/>
      </c>
      <c r="F1752" s="58">
        <f>IF(H1752=1,INDEX(tx_Desc,1746)&amp;"","")</f>
        <v/>
      </c>
      <c r="G1752" s="58">
        <f>IF(H1752=1,IF(INDEX(tx_Cust,1746)&amp;""&lt;&gt;"",INDEX(tx_Cust,1746)&amp;"",INDEX(tx_Vend,1746)&amp;""),"")</f>
        <v/>
      </c>
      <c r="H1752" s="101">
        <f>IFERROR(N(INDEX(tx_Posted,1746)),0)</f>
        <v/>
      </c>
      <c r="I1752" s="58">
        <f>IF(H1752=1,INDEX(tx_DrAcct,1746)&amp;"","")</f>
        <v/>
      </c>
      <c r="J1752" s="95">
        <f>IF(H1752=1,INDEX(tx_DrAmt,1746),0)</f>
        <v/>
      </c>
      <c r="K1752" s="58">
        <f>IF(H1752=1,INDEX(tx_CrAcct,1746)&amp;"","")</f>
        <v/>
      </c>
      <c r="L1752" s="95">
        <f>IF(H1752=1,INDEX(tx_CrAmt,1746),0)</f>
        <v/>
      </c>
      <c r="M1752" s="95">
        <f>IF(H1752=1,INDEX(tx_TaxDr,1746),0)</f>
        <v/>
      </c>
      <c r="N1752" s="95">
        <f>IF(H1752=1,INDEX(tx_TaxCr,1746),0)</f>
        <v/>
      </c>
      <c r="O1752" s="101">
        <f>IF(H1752=1,IF(E1752&lt;FYStart,0,IF(E1752&gt;FYEnd,13,YEAR(E1752)*12+MONTH(E1752)-FYYM+1)),"")</f>
        <v/>
      </c>
      <c r="P1752" s="101">
        <f>IF(H1752=1,IF(IFERROR(INDEX(coa_CF,MATCH(I1752,coa_Name,0)),"")="Cash",1,0),0)</f>
        <v/>
      </c>
      <c r="Q1752" s="101">
        <f>IF(H1752=1,IF(IFERROR(INDEX(coa_CF,MATCH(K1752,coa_Name,0)),"")="Cash",1,0),0)</f>
        <v/>
      </c>
      <c r="R1752" s="58">
        <f>IF((P1752-Q1752)=0,"",IFERROR(INDEX(coa_CF,MATCH(IF((P1752-Q1752)=1,K1752,I1752),coa_Name,0)),"Operating"))</f>
        <v/>
      </c>
      <c r="S1752" s="95">
        <f>IF((P1752-Q1752)=1,L1752,IF((P1752-Q1752)=-1,-J1752,0))</f>
        <v/>
      </c>
      <c r="T1752" s="95">
        <f>IF((P1752-Q1752)=1,N1752,IF((P1752-Q1752)=-1,-M1752,0))</f>
        <v/>
      </c>
      <c r="U1752" s="101">
        <f>IF(AND(H1752=1,LedAcct&lt;&gt;""),IF(AND(E1752&gt;=LedFrom,E1752&lt;=LedTo,OR(I1752=LedAcct,K1752=LedAcct,AND(LedAcct=acctTax,M1752+N1752&lt;&gt;0))),E1752*10000+B1752,""),"")</f>
        <v/>
      </c>
    </row>
    <row r="1753">
      <c r="B1753" s="101" t="n">
        <v>1747</v>
      </c>
      <c r="C1753" s="58" t="inlineStr">
        <is>
          <t>Transaction</t>
        </is>
      </c>
      <c r="D1753" s="58">
        <f>IF(H1753=1,INDEX(tx_ID,1747)&amp;"","")</f>
        <v/>
      </c>
      <c r="E1753" s="94">
        <f>IF(H1753=1,INDEX(tx_Date,1747),"")</f>
        <v/>
      </c>
      <c r="F1753" s="58">
        <f>IF(H1753=1,INDEX(tx_Desc,1747)&amp;"","")</f>
        <v/>
      </c>
      <c r="G1753" s="58">
        <f>IF(H1753=1,IF(INDEX(tx_Cust,1747)&amp;""&lt;&gt;"",INDEX(tx_Cust,1747)&amp;"",INDEX(tx_Vend,1747)&amp;""),"")</f>
        <v/>
      </c>
      <c r="H1753" s="101">
        <f>IFERROR(N(INDEX(tx_Posted,1747)),0)</f>
        <v/>
      </c>
      <c r="I1753" s="58">
        <f>IF(H1753=1,INDEX(tx_DrAcct,1747)&amp;"","")</f>
        <v/>
      </c>
      <c r="J1753" s="95">
        <f>IF(H1753=1,INDEX(tx_DrAmt,1747),0)</f>
        <v/>
      </c>
      <c r="K1753" s="58">
        <f>IF(H1753=1,INDEX(tx_CrAcct,1747)&amp;"","")</f>
        <v/>
      </c>
      <c r="L1753" s="95">
        <f>IF(H1753=1,INDEX(tx_CrAmt,1747),0)</f>
        <v/>
      </c>
      <c r="M1753" s="95">
        <f>IF(H1753=1,INDEX(tx_TaxDr,1747),0)</f>
        <v/>
      </c>
      <c r="N1753" s="95">
        <f>IF(H1753=1,INDEX(tx_TaxCr,1747),0)</f>
        <v/>
      </c>
      <c r="O1753" s="101">
        <f>IF(H1753=1,IF(E1753&lt;FYStart,0,IF(E1753&gt;FYEnd,13,YEAR(E1753)*12+MONTH(E1753)-FYYM+1)),"")</f>
        <v/>
      </c>
      <c r="P1753" s="101">
        <f>IF(H1753=1,IF(IFERROR(INDEX(coa_CF,MATCH(I1753,coa_Name,0)),"")="Cash",1,0),0)</f>
        <v/>
      </c>
      <c r="Q1753" s="101">
        <f>IF(H1753=1,IF(IFERROR(INDEX(coa_CF,MATCH(K1753,coa_Name,0)),"")="Cash",1,0),0)</f>
        <v/>
      </c>
      <c r="R1753" s="58">
        <f>IF((P1753-Q1753)=0,"",IFERROR(INDEX(coa_CF,MATCH(IF((P1753-Q1753)=1,K1753,I1753),coa_Name,0)),"Operating"))</f>
        <v/>
      </c>
      <c r="S1753" s="95">
        <f>IF((P1753-Q1753)=1,L1753,IF((P1753-Q1753)=-1,-J1753,0))</f>
        <v/>
      </c>
      <c r="T1753" s="95">
        <f>IF((P1753-Q1753)=1,N1753,IF((P1753-Q1753)=-1,-M1753,0))</f>
        <v/>
      </c>
      <c r="U1753" s="101">
        <f>IF(AND(H1753=1,LedAcct&lt;&gt;""),IF(AND(E1753&gt;=LedFrom,E1753&lt;=LedTo,OR(I1753=LedAcct,K1753=LedAcct,AND(LedAcct=acctTax,M1753+N1753&lt;&gt;0))),E1753*10000+B1753,""),"")</f>
        <v/>
      </c>
    </row>
    <row r="1754">
      <c r="B1754" s="101" t="n">
        <v>1748</v>
      </c>
      <c r="C1754" s="58" t="inlineStr">
        <is>
          <t>Transaction</t>
        </is>
      </c>
      <c r="D1754" s="58">
        <f>IF(H1754=1,INDEX(tx_ID,1748)&amp;"","")</f>
        <v/>
      </c>
      <c r="E1754" s="94">
        <f>IF(H1754=1,INDEX(tx_Date,1748),"")</f>
        <v/>
      </c>
      <c r="F1754" s="58">
        <f>IF(H1754=1,INDEX(tx_Desc,1748)&amp;"","")</f>
        <v/>
      </c>
      <c r="G1754" s="58">
        <f>IF(H1754=1,IF(INDEX(tx_Cust,1748)&amp;""&lt;&gt;"",INDEX(tx_Cust,1748)&amp;"",INDEX(tx_Vend,1748)&amp;""),"")</f>
        <v/>
      </c>
      <c r="H1754" s="101">
        <f>IFERROR(N(INDEX(tx_Posted,1748)),0)</f>
        <v/>
      </c>
      <c r="I1754" s="58">
        <f>IF(H1754=1,INDEX(tx_DrAcct,1748)&amp;"","")</f>
        <v/>
      </c>
      <c r="J1754" s="95">
        <f>IF(H1754=1,INDEX(tx_DrAmt,1748),0)</f>
        <v/>
      </c>
      <c r="K1754" s="58">
        <f>IF(H1754=1,INDEX(tx_CrAcct,1748)&amp;"","")</f>
        <v/>
      </c>
      <c r="L1754" s="95">
        <f>IF(H1754=1,INDEX(tx_CrAmt,1748),0)</f>
        <v/>
      </c>
      <c r="M1754" s="95">
        <f>IF(H1754=1,INDEX(tx_TaxDr,1748),0)</f>
        <v/>
      </c>
      <c r="N1754" s="95">
        <f>IF(H1754=1,INDEX(tx_TaxCr,1748),0)</f>
        <v/>
      </c>
      <c r="O1754" s="101">
        <f>IF(H1754=1,IF(E1754&lt;FYStart,0,IF(E1754&gt;FYEnd,13,YEAR(E1754)*12+MONTH(E1754)-FYYM+1)),"")</f>
        <v/>
      </c>
      <c r="P1754" s="101">
        <f>IF(H1754=1,IF(IFERROR(INDEX(coa_CF,MATCH(I1754,coa_Name,0)),"")="Cash",1,0),0)</f>
        <v/>
      </c>
      <c r="Q1754" s="101">
        <f>IF(H1754=1,IF(IFERROR(INDEX(coa_CF,MATCH(K1754,coa_Name,0)),"")="Cash",1,0),0)</f>
        <v/>
      </c>
      <c r="R1754" s="58">
        <f>IF((P1754-Q1754)=0,"",IFERROR(INDEX(coa_CF,MATCH(IF((P1754-Q1754)=1,K1754,I1754),coa_Name,0)),"Operating"))</f>
        <v/>
      </c>
      <c r="S1754" s="95">
        <f>IF((P1754-Q1754)=1,L1754,IF((P1754-Q1754)=-1,-J1754,0))</f>
        <v/>
      </c>
      <c r="T1754" s="95">
        <f>IF((P1754-Q1754)=1,N1754,IF((P1754-Q1754)=-1,-M1754,0))</f>
        <v/>
      </c>
      <c r="U1754" s="101">
        <f>IF(AND(H1754=1,LedAcct&lt;&gt;""),IF(AND(E1754&gt;=LedFrom,E1754&lt;=LedTo,OR(I1754=LedAcct,K1754=LedAcct,AND(LedAcct=acctTax,M1754+N1754&lt;&gt;0))),E1754*10000+B1754,""),"")</f>
        <v/>
      </c>
    </row>
    <row r="1755">
      <c r="B1755" s="101" t="n">
        <v>1749</v>
      </c>
      <c r="C1755" s="58" t="inlineStr">
        <is>
          <t>Transaction</t>
        </is>
      </c>
      <c r="D1755" s="58">
        <f>IF(H1755=1,INDEX(tx_ID,1749)&amp;"","")</f>
        <v/>
      </c>
      <c r="E1755" s="94">
        <f>IF(H1755=1,INDEX(tx_Date,1749),"")</f>
        <v/>
      </c>
      <c r="F1755" s="58">
        <f>IF(H1755=1,INDEX(tx_Desc,1749)&amp;"","")</f>
        <v/>
      </c>
      <c r="G1755" s="58">
        <f>IF(H1755=1,IF(INDEX(tx_Cust,1749)&amp;""&lt;&gt;"",INDEX(tx_Cust,1749)&amp;"",INDEX(tx_Vend,1749)&amp;""),"")</f>
        <v/>
      </c>
      <c r="H1755" s="101">
        <f>IFERROR(N(INDEX(tx_Posted,1749)),0)</f>
        <v/>
      </c>
      <c r="I1755" s="58">
        <f>IF(H1755=1,INDEX(tx_DrAcct,1749)&amp;"","")</f>
        <v/>
      </c>
      <c r="J1755" s="95">
        <f>IF(H1755=1,INDEX(tx_DrAmt,1749),0)</f>
        <v/>
      </c>
      <c r="K1755" s="58">
        <f>IF(H1755=1,INDEX(tx_CrAcct,1749)&amp;"","")</f>
        <v/>
      </c>
      <c r="L1755" s="95">
        <f>IF(H1755=1,INDEX(tx_CrAmt,1749),0)</f>
        <v/>
      </c>
      <c r="M1755" s="95">
        <f>IF(H1755=1,INDEX(tx_TaxDr,1749),0)</f>
        <v/>
      </c>
      <c r="N1755" s="95">
        <f>IF(H1755=1,INDEX(tx_TaxCr,1749),0)</f>
        <v/>
      </c>
      <c r="O1755" s="101">
        <f>IF(H1755=1,IF(E1755&lt;FYStart,0,IF(E1755&gt;FYEnd,13,YEAR(E1755)*12+MONTH(E1755)-FYYM+1)),"")</f>
        <v/>
      </c>
      <c r="P1755" s="101">
        <f>IF(H1755=1,IF(IFERROR(INDEX(coa_CF,MATCH(I1755,coa_Name,0)),"")="Cash",1,0),0)</f>
        <v/>
      </c>
      <c r="Q1755" s="101">
        <f>IF(H1755=1,IF(IFERROR(INDEX(coa_CF,MATCH(K1755,coa_Name,0)),"")="Cash",1,0),0)</f>
        <v/>
      </c>
      <c r="R1755" s="58">
        <f>IF((P1755-Q1755)=0,"",IFERROR(INDEX(coa_CF,MATCH(IF((P1755-Q1755)=1,K1755,I1755),coa_Name,0)),"Operating"))</f>
        <v/>
      </c>
      <c r="S1755" s="95">
        <f>IF((P1755-Q1755)=1,L1755,IF((P1755-Q1755)=-1,-J1755,0))</f>
        <v/>
      </c>
      <c r="T1755" s="95">
        <f>IF((P1755-Q1755)=1,N1755,IF((P1755-Q1755)=-1,-M1755,0))</f>
        <v/>
      </c>
      <c r="U1755" s="101">
        <f>IF(AND(H1755=1,LedAcct&lt;&gt;""),IF(AND(E1755&gt;=LedFrom,E1755&lt;=LedTo,OR(I1755=LedAcct,K1755=LedAcct,AND(LedAcct=acctTax,M1755+N1755&lt;&gt;0))),E1755*10000+B1755,""),"")</f>
        <v/>
      </c>
    </row>
    <row r="1756">
      <c r="B1756" s="101" t="n">
        <v>1750</v>
      </c>
      <c r="C1756" s="58" t="inlineStr">
        <is>
          <t>Transaction</t>
        </is>
      </c>
      <c r="D1756" s="58">
        <f>IF(H1756=1,INDEX(tx_ID,1750)&amp;"","")</f>
        <v/>
      </c>
      <c r="E1756" s="94">
        <f>IF(H1756=1,INDEX(tx_Date,1750),"")</f>
        <v/>
      </c>
      <c r="F1756" s="58">
        <f>IF(H1756=1,INDEX(tx_Desc,1750)&amp;"","")</f>
        <v/>
      </c>
      <c r="G1756" s="58">
        <f>IF(H1756=1,IF(INDEX(tx_Cust,1750)&amp;""&lt;&gt;"",INDEX(tx_Cust,1750)&amp;"",INDEX(tx_Vend,1750)&amp;""),"")</f>
        <v/>
      </c>
      <c r="H1756" s="101">
        <f>IFERROR(N(INDEX(tx_Posted,1750)),0)</f>
        <v/>
      </c>
      <c r="I1756" s="58">
        <f>IF(H1756=1,INDEX(tx_DrAcct,1750)&amp;"","")</f>
        <v/>
      </c>
      <c r="J1756" s="95">
        <f>IF(H1756=1,INDEX(tx_DrAmt,1750),0)</f>
        <v/>
      </c>
      <c r="K1756" s="58">
        <f>IF(H1756=1,INDEX(tx_CrAcct,1750)&amp;"","")</f>
        <v/>
      </c>
      <c r="L1756" s="95">
        <f>IF(H1756=1,INDEX(tx_CrAmt,1750),0)</f>
        <v/>
      </c>
      <c r="M1756" s="95">
        <f>IF(H1756=1,INDEX(tx_TaxDr,1750),0)</f>
        <v/>
      </c>
      <c r="N1756" s="95">
        <f>IF(H1756=1,INDEX(tx_TaxCr,1750),0)</f>
        <v/>
      </c>
      <c r="O1756" s="101">
        <f>IF(H1756=1,IF(E1756&lt;FYStart,0,IF(E1756&gt;FYEnd,13,YEAR(E1756)*12+MONTH(E1756)-FYYM+1)),"")</f>
        <v/>
      </c>
      <c r="P1756" s="101">
        <f>IF(H1756=1,IF(IFERROR(INDEX(coa_CF,MATCH(I1756,coa_Name,0)),"")="Cash",1,0),0)</f>
        <v/>
      </c>
      <c r="Q1756" s="101">
        <f>IF(H1756=1,IF(IFERROR(INDEX(coa_CF,MATCH(K1756,coa_Name,0)),"")="Cash",1,0),0)</f>
        <v/>
      </c>
      <c r="R1756" s="58">
        <f>IF((P1756-Q1756)=0,"",IFERROR(INDEX(coa_CF,MATCH(IF((P1756-Q1756)=1,K1756,I1756),coa_Name,0)),"Operating"))</f>
        <v/>
      </c>
      <c r="S1756" s="95">
        <f>IF((P1756-Q1756)=1,L1756,IF((P1756-Q1756)=-1,-J1756,0))</f>
        <v/>
      </c>
      <c r="T1756" s="95">
        <f>IF((P1756-Q1756)=1,N1756,IF((P1756-Q1756)=-1,-M1756,0))</f>
        <v/>
      </c>
      <c r="U1756" s="101">
        <f>IF(AND(H1756=1,LedAcct&lt;&gt;""),IF(AND(E1756&gt;=LedFrom,E1756&lt;=LedTo,OR(I1756=LedAcct,K1756=LedAcct,AND(LedAcct=acctTax,M1756+N1756&lt;&gt;0))),E1756*10000+B1756,""),"")</f>
        <v/>
      </c>
    </row>
    <row r="1757">
      <c r="B1757" s="101" t="n">
        <v>1751</v>
      </c>
      <c r="C1757" s="58" t="inlineStr">
        <is>
          <t>Transaction</t>
        </is>
      </c>
      <c r="D1757" s="58">
        <f>IF(H1757=1,INDEX(tx_ID,1751)&amp;"","")</f>
        <v/>
      </c>
      <c r="E1757" s="94">
        <f>IF(H1757=1,INDEX(tx_Date,1751),"")</f>
        <v/>
      </c>
      <c r="F1757" s="58">
        <f>IF(H1757=1,INDEX(tx_Desc,1751)&amp;"","")</f>
        <v/>
      </c>
      <c r="G1757" s="58">
        <f>IF(H1757=1,IF(INDEX(tx_Cust,1751)&amp;""&lt;&gt;"",INDEX(tx_Cust,1751)&amp;"",INDEX(tx_Vend,1751)&amp;""),"")</f>
        <v/>
      </c>
      <c r="H1757" s="101">
        <f>IFERROR(N(INDEX(tx_Posted,1751)),0)</f>
        <v/>
      </c>
      <c r="I1757" s="58">
        <f>IF(H1757=1,INDEX(tx_DrAcct,1751)&amp;"","")</f>
        <v/>
      </c>
      <c r="J1757" s="95">
        <f>IF(H1757=1,INDEX(tx_DrAmt,1751),0)</f>
        <v/>
      </c>
      <c r="K1757" s="58">
        <f>IF(H1757=1,INDEX(tx_CrAcct,1751)&amp;"","")</f>
        <v/>
      </c>
      <c r="L1757" s="95">
        <f>IF(H1757=1,INDEX(tx_CrAmt,1751),0)</f>
        <v/>
      </c>
      <c r="M1757" s="95">
        <f>IF(H1757=1,INDEX(tx_TaxDr,1751),0)</f>
        <v/>
      </c>
      <c r="N1757" s="95">
        <f>IF(H1757=1,INDEX(tx_TaxCr,1751),0)</f>
        <v/>
      </c>
      <c r="O1757" s="101">
        <f>IF(H1757=1,IF(E1757&lt;FYStart,0,IF(E1757&gt;FYEnd,13,YEAR(E1757)*12+MONTH(E1757)-FYYM+1)),"")</f>
        <v/>
      </c>
      <c r="P1757" s="101">
        <f>IF(H1757=1,IF(IFERROR(INDEX(coa_CF,MATCH(I1757,coa_Name,0)),"")="Cash",1,0),0)</f>
        <v/>
      </c>
      <c r="Q1757" s="101">
        <f>IF(H1757=1,IF(IFERROR(INDEX(coa_CF,MATCH(K1757,coa_Name,0)),"")="Cash",1,0),0)</f>
        <v/>
      </c>
      <c r="R1757" s="58">
        <f>IF((P1757-Q1757)=0,"",IFERROR(INDEX(coa_CF,MATCH(IF((P1757-Q1757)=1,K1757,I1757),coa_Name,0)),"Operating"))</f>
        <v/>
      </c>
      <c r="S1757" s="95">
        <f>IF((P1757-Q1757)=1,L1757,IF((P1757-Q1757)=-1,-J1757,0))</f>
        <v/>
      </c>
      <c r="T1757" s="95">
        <f>IF((P1757-Q1757)=1,N1757,IF((P1757-Q1757)=-1,-M1757,0))</f>
        <v/>
      </c>
      <c r="U1757" s="101">
        <f>IF(AND(H1757=1,LedAcct&lt;&gt;""),IF(AND(E1757&gt;=LedFrom,E1757&lt;=LedTo,OR(I1757=LedAcct,K1757=LedAcct,AND(LedAcct=acctTax,M1757+N1757&lt;&gt;0))),E1757*10000+B1757,""),"")</f>
        <v/>
      </c>
    </row>
    <row r="1758">
      <c r="B1758" s="101" t="n">
        <v>1752</v>
      </c>
      <c r="C1758" s="58" t="inlineStr">
        <is>
          <t>Transaction</t>
        </is>
      </c>
      <c r="D1758" s="58">
        <f>IF(H1758=1,INDEX(tx_ID,1752)&amp;"","")</f>
        <v/>
      </c>
      <c r="E1758" s="94">
        <f>IF(H1758=1,INDEX(tx_Date,1752),"")</f>
        <v/>
      </c>
      <c r="F1758" s="58">
        <f>IF(H1758=1,INDEX(tx_Desc,1752)&amp;"","")</f>
        <v/>
      </c>
      <c r="G1758" s="58">
        <f>IF(H1758=1,IF(INDEX(tx_Cust,1752)&amp;""&lt;&gt;"",INDEX(tx_Cust,1752)&amp;"",INDEX(tx_Vend,1752)&amp;""),"")</f>
        <v/>
      </c>
      <c r="H1758" s="101">
        <f>IFERROR(N(INDEX(tx_Posted,1752)),0)</f>
        <v/>
      </c>
      <c r="I1758" s="58">
        <f>IF(H1758=1,INDEX(tx_DrAcct,1752)&amp;"","")</f>
        <v/>
      </c>
      <c r="J1758" s="95">
        <f>IF(H1758=1,INDEX(tx_DrAmt,1752),0)</f>
        <v/>
      </c>
      <c r="K1758" s="58">
        <f>IF(H1758=1,INDEX(tx_CrAcct,1752)&amp;"","")</f>
        <v/>
      </c>
      <c r="L1758" s="95">
        <f>IF(H1758=1,INDEX(tx_CrAmt,1752),0)</f>
        <v/>
      </c>
      <c r="M1758" s="95">
        <f>IF(H1758=1,INDEX(tx_TaxDr,1752),0)</f>
        <v/>
      </c>
      <c r="N1758" s="95">
        <f>IF(H1758=1,INDEX(tx_TaxCr,1752),0)</f>
        <v/>
      </c>
      <c r="O1758" s="101">
        <f>IF(H1758=1,IF(E1758&lt;FYStart,0,IF(E1758&gt;FYEnd,13,YEAR(E1758)*12+MONTH(E1758)-FYYM+1)),"")</f>
        <v/>
      </c>
      <c r="P1758" s="101">
        <f>IF(H1758=1,IF(IFERROR(INDEX(coa_CF,MATCH(I1758,coa_Name,0)),"")="Cash",1,0),0)</f>
        <v/>
      </c>
      <c r="Q1758" s="101">
        <f>IF(H1758=1,IF(IFERROR(INDEX(coa_CF,MATCH(K1758,coa_Name,0)),"")="Cash",1,0),0)</f>
        <v/>
      </c>
      <c r="R1758" s="58">
        <f>IF((P1758-Q1758)=0,"",IFERROR(INDEX(coa_CF,MATCH(IF((P1758-Q1758)=1,K1758,I1758),coa_Name,0)),"Operating"))</f>
        <v/>
      </c>
      <c r="S1758" s="95">
        <f>IF((P1758-Q1758)=1,L1758,IF((P1758-Q1758)=-1,-J1758,0))</f>
        <v/>
      </c>
      <c r="T1758" s="95">
        <f>IF((P1758-Q1758)=1,N1758,IF((P1758-Q1758)=-1,-M1758,0))</f>
        <v/>
      </c>
      <c r="U1758" s="101">
        <f>IF(AND(H1758=1,LedAcct&lt;&gt;""),IF(AND(E1758&gt;=LedFrom,E1758&lt;=LedTo,OR(I1758=LedAcct,K1758=LedAcct,AND(LedAcct=acctTax,M1758+N1758&lt;&gt;0))),E1758*10000+B1758,""),"")</f>
        <v/>
      </c>
    </row>
    <row r="1759">
      <c r="B1759" s="101" t="n">
        <v>1753</v>
      </c>
      <c r="C1759" s="58" t="inlineStr">
        <is>
          <t>Transaction</t>
        </is>
      </c>
      <c r="D1759" s="58">
        <f>IF(H1759=1,INDEX(tx_ID,1753)&amp;"","")</f>
        <v/>
      </c>
      <c r="E1759" s="94">
        <f>IF(H1759=1,INDEX(tx_Date,1753),"")</f>
        <v/>
      </c>
      <c r="F1759" s="58">
        <f>IF(H1759=1,INDEX(tx_Desc,1753)&amp;"","")</f>
        <v/>
      </c>
      <c r="G1759" s="58">
        <f>IF(H1759=1,IF(INDEX(tx_Cust,1753)&amp;""&lt;&gt;"",INDEX(tx_Cust,1753)&amp;"",INDEX(tx_Vend,1753)&amp;""),"")</f>
        <v/>
      </c>
      <c r="H1759" s="101">
        <f>IFERROR(N(INDEX(tx_Posted,1753)),0)</f>
        <v/>
      </c>
      <c r="I1759" s="58">
        <f>IF(H1759=1,INDEX(tx_DrAcct,1753)&amp;"","")</f>
        <v/>
      </c>
      <c r="J1759" s="95">
        <f>IF(H1759=1,INDEX(tx_DrAmt,1753),0)</f>
        <v/>
      </c>
      <c r="K1759" s="58">
        <f>IF(H1759=1,INDEX(tx_CrAcct,1753)&amp;"","")</f>
        <v/>
      </c>
      <c r="L1759" s="95">
        <f>IF(H1759=1,INDEX(tx_CrAmt,1753),0)</f>
        <v/>
      </c>
      <c r="M1759" s="95">
        <f>IF(H1759=1,INDEX(tx_TaxDr,1753),0)</f>
        <v/>
      </c>
      <c r="N1759" s="95">
        <f>IF(H1759=1,INDEX(tx_TaxCr,1753),0)</f>
        <v/>
      </c>
      <c r="O1759" s="101">
        <f>IF(H1759=1,IF(E1759&lt;FYStart,0,IF(E1759&gt;FYEnd,13,YEAR(E1759)*12+MONTH(E1759)-FYYM+1)),"")</f>
        <v/>
      </c>
      <c r="P1759" s="101">
        <f>IF(H1759=1,IF(IFERROR(INDEX(coa_CF,MATCH(I1759,coa_Name,0)),"")="Cash",1,0),0)</f>
        <v/>
      </c>
      <c r="Q1759" s="101">
        <f>IF(H1759=1,IF(IFERROR(INDEX(coa_CF,MATCH(K1759,coa_Name,0)),"")="Cash",1,0),0)</f>
        <v/>
      </c>
      <c r="R1759" s="58">
        <f>IF((P1759-Q1759)=0,"",IFERROR(INDEX(coa_CF,MATCH(IF((P1759-Q1759)=1,K1759,I1759),coa_Name,0)),"Operating"))</f>
        <v/>
      </c>
      <c r="S1759" s="95">
        <f>IF((P1759-Q1759)=1,L1759,IF((P1759-Q1759)=-1,-J1759,0))</f>
        <v/>
      </c>
      <c r="T1759" s="95">
        <f>IF((P1759-Q1759)=1,N1759,IF((P1759-Q1759)=-1,-M1759,0))</f>
        <v/>
      </c>
      <c r="U1759" s="101">
        <f>IF(AND(H1759=1,LedAcct&lt;&gt;""),IF(AND(E1759&gt;=LedFrom,E1759&lt;=LedTo,OR(I1759=LedAcct,K1759=LedAcct,AND(LedAcct=acctTax,M1759+N1759&lt;&gt;0))),E1759*10000+B1759,""),"")</f>
        <v/>
      </c>
    </row>
    <row r="1760">
      <c r="B1760" s="101" t="n">
        <v>1754</v>
      </c>
      <c r="C1760" s="58" t="inlineStr">
        <is>
          <t>Transaction</t>
        </is>
      </c>
      <c r="D1760" s="58">
        <f>IF(H1760=1,INDEX(tx_ID,1754)&amp;"","")</f>
        <v/>
      </c>
      <c r="E1760" s="94">
        <f>IF(H1760=1,INDEX(tx_Date,1754),"")</f>
        <v/>
      </c>
      <c r="F1760" s="58">
        <f>IF(H1760=1,INDEX(tx_Desc,1754)&amp;"","")</f>
        <v/>
      </c>
      <c r="G1760" s="58">
        <f>IF(H1760=1,IF(INDEX(tx_Cust,1754)&amp;""&lt;&gt;"",INDEX(tx_Cust,1754)&amp;"",INDEX(tx_Vend,1754)&amp;""),"")</f>
        <v/>
      </c>
      <c r="H1760" s="101">
        <f>IFERROR(N(INDEX(tx_Posted,1754)),0)</f>
        <v/>
      </c>
      <c r="I1760" s="58">
        <f>IF(H1760=1,INDEX(tx_DrAcct,1754)&amp;"","")</f>
        <v/>
      </c>
      <c r="J1760" s="95">
        <f>IF(H1760=1,INDEX(tx_DrAmt,1754),0)</f>
        <v/>
      </c>
      <c r="K1760" s="58">
        <f>IF(H1760=1,INDEX(tx_CrAcct,1754)&amp;"","")</f>
        <v/>
      </c>
      <c r="L1760" s="95">
        <f>IF(H1760=1,INDEX(tx_CrAmt,1754),0)</f>
        <v/>
      </c>
      <c r="M1760" s="95">
        <f>IF(H1760=1,INDEX(tx_TaxDr,1754),0)</f>
        <v/>
      </c>
      <c r="N1760" s="95">
        <f>IF(H1760=1,INDEX(tx_TaxCr,1754),0)</f>
        <v/>
      </c>
      <c r="O1760" s="101">
        <f>IF(H1760=1,IF(E1760&lt;FYStart,0,IF(E1760&gt;FYEnd,13,YEAR(E1760)*12+MONTH(E1760)-FYYM+1)),"")</f>
        <v/>
      </c>
      <c r="P1760" s="101">
        <f>IF(H1760=1,IF(IFERROR(INDEX(coa_CF,MATCH(I1760,coa_Name,0)),"")="Cash",1,0),0)</f>
        <v/>
      </c>
      <c r="Q1760" s="101">
        <f>IF(H1760=1,IF(IFERROR(INDEX(coa_CF,MATCH(K1760,coa_Name,0)),"")="Cash",1,0),0)</f>
        <v/>
      </c>
      <c r="R1760" s="58">
        <f>IF((P1760-Q1760)=0,"",IFERROR(INDEX(coa_CF,MATCH(IF((P1760-Q1760)=1,K1760,I1760),coa_Name,0)),"Operating"))</f>
        <v/>
      </c>
      <c r="S1760" s="95">
        <f>IF((P1760-Q1760)=1,L1760,IF((P1760-Q1760)=-1,-J1760,0))</f>
        <v/>
      </c>
      <c r="T1760" s="95">
        <f>IF((P1760-Q1760)=1,N1760,IF((P1760-Q1760)=-1,-M1760,0))</f>
        <v/>
      </c>
      <c r="U1760" s="101">
        <f>IF(AND(H1760=1,LedAcct&lt;&gt;""),IF(AND(E1760&gt;=LedFrom,E1760&lt;=LedTo,OR(I1760=LedAcct,K1760=LedAcct,AND(LedAcct=acctTax,M1760+N1760&lt;&gt;0))),E1760*10000+B1760,""),"")</f>
        <v/>
      </c>
    </row>
    <row r="1761">
      <c r="B1761" s="101" t="n">
        <v>1755</v>
      </c>
      <c r="C1761" s="58" t="inlineStr">
        <is>
          <t>Transaction</t>
        </is>
      </c>
      <c r="D1761" s="58">
        <f>IF(H1761=1,INDEX(tx_ID,1755)&amp;"","")</f>
        <v/>
      </c>
      <c r="E1761" s="94">
        <f>IF(H1761=1,INDEX(tx_Date,1755),"")</f>
        <v/>
      </c>
      <c r="F1761" s="58">
        <f>IF(H1761=1,INDEX(tx_Desc,1755)&amp;"","")</f>
        <v/>
      </c>
      <c r="G1761" s="58">
        <f>IF(H1761=1,IF(INDEX(tx_Cust,1755)&amp;""&lt;&gt;"",INDEX(tx_Cust,1755)&amp;"",INDEX(tx_Vend,1755)&amp;""),"")</f>
        <v/>
      </c>
      <c r="H1761" s="101">
        <f>IFERROR(N(INDEX(tx_Posted,1755)),0)</f>
        <v/>
      </c>
      <c r="I1761" s="58">
        <f>IF(H1761=1,INDEX(tx_DrAcct,1755)&amp;"","")</f>
        <v/>
      </c>
      <c r="J1761" s="95">
        <f>IF(H1761=1,INDEX(tx_DrAmt,1755),0)</f>
        <v/>
      </c>
      <c r="K1761" s="58">
        <f>IF(H1761=1,INDEX(tx_CrAcct,1755)&amp;"","")</f>
        <v/>
      </c>
      <c r="L1761" s="95">
        <f>IF(H1761=1,INDEX(tx_CrAmt,1755),0)</f>
        <v/>
      </c>
      <c r="M1761" s="95">
        <f>IF(H1761=1,INDEX(tx_TaxDr,1755),0)</f>
        <v/>
      </c>
      <c r="N1761" s="95">
        <f>IF(H1761=1,INDEX(tx_TaxCr,1755),0)</f>
        <v/>
      </c>
      <c r="O1761" s="101">
        <f>IF(H1761=1,IF(E1761&lt;FYStart,0,IF(E1761&gt;FYEnd,13,YEAR(E1761)*12+MONTH(E1761)-FYYM+1)),"")</f>
        <v/>
      </c>
      <c r="P1761" s="101">
        <f>IF(H1761=1,IF(IFERROR(INDEX(coa_CF,MATCH(I1761,coa_Name,0)),"")="Cash",1,0),0)</f>
        <v/>
      </c>
      <c r="Q1761" s="101">
        <f>IF(H1761=1,IF(IFERROR(INDEX(coa_CF,MATCH(K1761,coa_Name,0)),"")="Cash",1,0),0)</f>
        <v/>
      </c>
      <c r="R1761" s="58">
        <f>IF((P1761-Q1761)=0,"",IFERROR(INDEX(coa_CF,MATCH(IF((P1761-Q1761)=1,K1761,I1761),coa_Name,0)),"Operating"))</f>
        <v/>
      </c>
      <c r="S1761" s="95">
        <f>IF((P1761-Q1761)=1,L1761,IF((P1761-Q1761)=-1,-J1761,0))</f>
        <v/>
      </c>
      <c r="T1761" s="95">
        <f>IF((P1761-Q1761)=1,N1761,IF((P1761-Q1761)=-1,-M1761,0))</f>
        <v/>
      </c>
      <c r="U1761" s="101">
        <f>IF(AND(H1761=1,LedAcct&lt;&gt;""),IF(AND(E1761&gt;=LedFrom,E1761&lt;=LedTo,OR(I1761=LedAcct,K1761=LedAcct,AND(LedAcct=acctTax,M1761+N1761&lt;&gt;0))),E1761*10000+B1761,""),"")</f>
        <v/>
      </c>
    </row>
    <row r="1762">
      <c r="B1762" s="101" t="n">
        <v>1756</v>
      </c>
      <c r="C1762" s="58" t="inlineStr">
        <is>
          <t>Transaction</t>
        </is>
      </c>
      <c r="D1762" s="58">
        <f>IF(H1762=1,INDEX(tx_ID,1756)&amp;"","")</f>
        <v/>
      </c>
      <c r="E1762" s="94">
        <f>IF(H1762=1,INDEX(tx_Date,1756),"")</f>
        <v/>
      </c>
      <c r="F1762" s="58">
        <f>IF(H1762=1,INDEX(tx_Desc,1756)&amp;"","")</f>
        <v/>
      </c>
      <c r="G1762" s="58">
        <f>IF(H1762=1,IF(INDEX(tx_Cust,1756)&amp;""&lt;&gt;"",INDEX(tx_Cust,1756)&amp;"",INDEX(tx_Vend,1756)&amp;""),"")</f>
        <v/>
      </c>
      <c r="H1762" s="101">
        <f>IFERROR(N(INDEX(tx_Posted,1756)),0)</f>
        <v/>
      </c>
      <c r="I1762" s="58">
        <f>IF(H1762=1,INDEX(tx_DrAcct,1756)&amp;"","")</f>
        <v/>
      </c>
      <c r="J1762" s="95">
        <f>IF(H1762=1,INDEX(tx_DrAmt,1756),0)</f>
        <v/>
      </c>
      <c r="K1762" s="58">
        <f>IF(H1762=1,INDEX(tx_CrAcct,1756)&amp;"","")</f>
        <v/>
      </c>
      <c r="L1762" s="95">
        <f>IF(H1762=1,INDEX(tx_CrAmt,1756),0)</f>
        <v/>
      </c>
      <c r="M1762" s="95">
        <f>IF(H1762=1,INDEX(tx_TaxDr,1756),0)</f>
        <v/>
      </c>
      <c r="N1762" s="95">
        <f>IF(H1762=1,INDEX(tx_TaxCr,1756),0)</f>
        <v/>
      </c>
      <c r="O1762" s="101">
        <f>IF(H1762=1,IF(E1762&lt;FYStart,0,IF(E1762&gt;FYEnd,13,YEAR(E1762)*12+MONTH(E1762)-FYYM+1)),"")</f>
        <v/>
      </c>
      <c r="P1762" s="101">
        <f>IF(H1762=1,IF(IFERROR(INDEX(coa_CF,MATCH(I1762,coa_Name,0)),"")="Cash",1,0),0)</f>
        <v/>
      </c>
      <c r="Q1762" s="101">
        <f>IF(H1762=1,IF(IFERROR(INDEX(coa_CF,MATCH(K1762,coa_Name,0)),"")="Cash",1,0),0)</f>
        <v/>
      </c>
      <c r="R1762" s="58">
        <f>IF((P1762-Q1762)=0,"",IFERROR(INDEX(coa_CF,MATCH(IF((P1762-Q1762)=1,K1762,I1762),coa_Name,0)),"Operating"))</f>
        <v/>
      </c>
      <c r="S1762" s="95">
        <f>IF((P1762-Q1762)=1,L1762,IF((P1762-Q1762)=-1,-J1762,0))</f>
        <v/>
      </c>
      <c r="T1762" s="95">
        <f>IF((P1762-Q1762)=1,N1762,IF((P1762-Q1762)=-1,-M1762,0))</f>
        <v/>
      </c>
      <c r="U1762" s="101">
        <f>IF(AND(H1762=1,LedAcct&lt;&gt;""),IF(AND(E1762&gt;=LedFrom,E1762&lt;=LedTo,OR(I1762=LedAcct,K1762=LedAcct,AND(LedAcct=acctTax,M1762+N1762&lt;&gt;0))),E1762*10000+B1762,""),"")</f>
        <v/>
      </c>
    </row>
    <row r="1763">
      <c r="B1763" s="101" t="n">
        <v>1757</v>
      </c>
      <c r="C1763" s="58" t="inlineStr">
        <is>
          <t>Transaction</t>
        </is>
      </c>
      <c r="D1763" s="58">
        <f>IF(H1763=1,INDEX(tx_ID,1757)&amp;"","")</f>
        <v/>
      </c>
      <c r="E1763" s="94">
        <f>IF(H1763=1,INDEX(tx_Date,1757),"")</f>
        <v/>
      </c>
      <c r="F1763" s="58">
        <f>IF(H1763=1,INDEX(tx_Desc,1757)&amp;"","")</f>
        <v/>
      </c>
      <c r="G1763" s="58">
        <f>IF(H1763=1,IF(INDEX(tx_Cust,1757)&amp;""&lt;&gt;"",INDEX(tx_Cust,1757)&amp;"",INDEX(tx_Vend,1757)&amp;""),"")</f>
        <v/>
      </c>
      <c r="H1763" s="101">
        <f>IFERROR(N(INDEX(tx_Posted,1757)),0)</f>
        <v/>
      </c>
      <c r="I1763" s="58">
        <f>IF(H1763=1,INDEX(tx_DrAcct,1757)&amp;"","")</f>
        <v/>
      </c>
      <c r="J1763" s="95">
        <f>IF(H1763=1,INDEX(tx_DrAmt,1757),0)</f>
        <v/>
      </c>
      <c r="K1763" s="58">
        <f>IF(H1763=1,INDEX(tx_CrAcct,1757)&amp;"","")</f>
        <v/>
      </c>
      <c r="L1763" s="95">
        <f>IF(H1763=1,INDEX(tx_CrAmt,1757),0)</f>
        <v/>
      </c>
      <c r="M1763" s="95">
        <f>IF(H1763=1,INDEX(tx_TaxDr,1757),0)</f>
        <v/>
      </c>
      <c r="N1763" s="95">
        <f>IF(H1763=1,INDEX(tx_TaxCr,1757),0)</f>
        <v/>
      </c>
      <c r="O1763" s="101">
        <f>IF(H1763=1,IF(E1763&lt;FYStart,0,IF(E1763&gt;FYEnd,13,YEAR(E1763)*12+MONTH(E1763)-FYYM+1)),"")</f>
        <v/>
      </c>
      <c r="P1763" s="101">
        <f>IF(H1763=1,IF(IFERROR(INDEX(coa_CF,MATCH(I1763,coa_Name,0)),"")="Cash",1,0),0)</f>
        <v/>
      </c>
      <c r="Q1763" s="101">
        <f>IF(H1763=1,IF(IFERROR(INDEX(coa_CF,MATCH(K1763,coa_Name,0)),"")="Cash",1,0),0)</f>
        <v/>
      </c>
      <c r="R1763" s="58">
        <f>IF((P1763-Q1763)=0,"",IFERROR(INDEX(coa_CF,MATCH(IF((P1763-Q1763)=1,K1763,I1763),coa_Name,0)),"Operating"))</f>
        <v/>
      </c>
      <c r="S1763" s="95">
        <f>IF((P1763-Q1763)=1,L1763,IF((P1763-Q1763)=-1,-J1763,0))</f>
        <v/>
      </c>
      <c r="T1763" s="95">
        <f>IF((P1763-Q1763)=1,N1763,IF((P1763-Q1763)=-1,-M1763,0))</f>
        <v/>
      </c>
      <c r="U1763" s="101">
        <f>IF(AND(H1763=1,LedAcct&lt;&gt;""),IF(AND(E1763&gt;=LedFrom,E1763&lt;=LedTo,OR(I1763=LedAcct,K1763=LedAcct,AND(LedAcct=acctTax,M1763+N1763&lt;&gt;0))),E1763*10000+B1763,""),"")</f>
        <v/>
      </c>
    </row>
    <row r="1764">
      <c r="B1764" s="101" t="n">
        <v>1758</v>
      </c>
      <c r="C1764" s="58" t="inlineStr">
        <is>
          <t>Transaction</t>
        </is>
      </c>
      <c r="D1764" s="58">
        <f>IF(H1764=1,INDEX(tx_ID,1758)&amp;"","")</f>
        <v/>
      </c>
      <c r="E1764" s="94">
        <f>IF(H1764=1,INDEX(tx_Date,1758),"")</f>
        <v/>
      </c>
      <c r="F1764" s="58">
        <f>IF(H1764=1,INDEX(tx_Desc,1758)&amp;"","")</f>
        <v/>
      </c>
      <c r="G1764" s="58">
        <f>IF(H1764=1,IF(INDEX(tx_Cust,1758)&amp;""&lt;&gt;"",INDEX(tx_Cust,1758)&amp;"",INDEX(tx_Vend,1758)&amp;""),"")</f>
        <v/>
      </c>
      <c r="H1764" s="101">
        <f>IFERROR(N(INDEX(tx_Posted,1758)),0)</f>
        <v/>
      </c>
      <c r="I1764" s="58">
        <f>IF(H1764=1,INDEX(tx_DrAcct,1758)&amp;"","")</f>
        <v/>
      </c>
      <c r="J1764" s="95">
        <f>IF(H1764=1,INDEX(tx_DrAmt,1758),0)</f>
        <v/>
      </c>
      <c r="K1764" s="58">
        <f>IF(H1764=1,INDEX(tx_CrAcct,1758)&amp;"","")</f>
        <v/>
      </c>
      <c r="L1764" s="95">
        <f>IF(H1764=1,INDEX(tx_CrAmt,1758),0)</f>
        <v/>
      </c>
      <c r="M1764" s="95">
        <f>IF(H1764=1,INDEX(tx_TaxDr,1758),0)</f>
        <v/>
      </c>
      <c r="N1764" s="95">
        <f>IF(H1764=1,INDEX(tx_TaxCr,1758),0)</f>
        <v/>
      </c>
      <c r="O1764" s="101">
        <f>IF(H1764=1,IF(E1764&lt;FYStart,0,IF(E1764&gt;FYEnd,13,YEAR(E1764)*12+MONTH(E1764)-FYYM+1)),"")</f>
        <v/>
      </c>
      <c r="P1764" s="101">
        <f>IF(H1764=1,IF(IFERROR(INDEX(coa_CF,MATCH(I1764,coa_Name,0)),"")="Cash",1,0),0)</f>
        <v/>
      </c>
      <c r="Q1764" s="101">
        <f>IF(H1764=1,IF(IFERROR(INDEX(coa_CF,MATCH(K1764,coa_Name,0)),"")="Cash",1,0),0)</f>
        <v/>
      </c>
      <c r="R1764" s="58">
        <f>IF((P1764-Q1764)=0,"",IFERROR(INDEX(coa_CF,MATCH(IF((P1764-Q1764)=1,K1764,I1764),coa_Name,0)),"Operating"))</f>
        <v/>
      </c>
      <c r="S1764" s="95">
        <f>IF((P1764-Q1764)=1,L1764,IF((P1764-Q1764)=-1,-J1764,0))</f>
        <v/>
      </c>
      <c r="T1764" s="95">
        <f>IF((P1764-Q1764)=1,N1764,IF((P1764-Q1764)=-1,-M1764,0))</f>
        <v/>
      </c>
      <c r="U1764" s="101">
        <f>IF(AND(H1764=1,LedAcct&lt;&gt;""),IF(AND(E1764&gt;=LedFrom,E1764&lt;=LedTo,OR(I1764=LedAcct,K1764=LedAcct,AND(LedAcct=acctTax,M1764+N1764&lt;&gt;0))),E1764*10000+B1764,""),"")</f>
        <v/>
      </c>
    </row>
    <row r="1765">
      <c r="B1765" s="101" t="n">
        <v>1759</v>
      </c>
      <c r="C1765" s="58" t="inlineStr">
        <is>
          <t>Transaction</t>
        </is>
      </c>
      <c r="D1765" s="58">
        <f>IF(H1765=1,INDEX(tx_ID,1759)&amp;"","")</f>
        <v/>
      </c>
      <c r="E1765" s="94">
        <f>IF(H1765=1,INDEX(tx_Date,1759),"")</f>
        <v/>
      </c>
      <c r="F1765" s="58">
        <f>IF(H1765=1,INDEX(tx_Desc,1759)&amp;"","")</f>
        <v/>
      </c>
      <c r="G1765" s="58">
        <f>IF(H1765=1,IF(INDEX(tx_Cust,1759)&amp;""&lt;&gt;"",INDEX(tx_Cust,1759)&amp;"",INDEX(tx_Vend,1759)&amp;""),"")</f>
        <v/>
      </c>
      <c r="H1765" s="101">
        <f>IFERROR(N(INDEX(tx_Posted,1759)),0)</f>
        <v/>
      </c>
      <c r="I1765" s="58">
        <f>IF(H1765=1,INDEX(tx_DrAcct,1759)&amp;"","")</f>
        <v/>
      </c>
      <c r="J1765" s="95">
        <f>IF(H1765=1,INDEX(tx_DrAmt,1759),0)</f>
        <v/>
      </c>
      <c r="K1765" s="58">
        <f>IF(H1765=1,INDEX(tx_CrAcct,1759)&amp;"","")</f>
        <v/>
      </c>
      <c r="L1765" s="95">
        <f>IF(H1765=1,INDEX(tx_CrAmt,1759),0)</f>
        <v/>
      </c>
      <c r="M1765" s="95">
        <f>IF(H1765=1,INDEX(tx_TaxDr,1759),0)</f>
        <v/>
      </c>
      <c r="N1765" s="95">
        <f>IF(H1765=1,INDEX(tx_TaxCr,1759),0)</f>
        <v/>
      </c>
      <c r="O1765" s="101">
        <f>IF(H1765=1,IF(E1765&lt;FYStart,0,IF(E1765&gt;FYEnd,13,YEAR(E1765)*12+MONTH(E1765)-FYYM+1)),"")</f>
        <v/>
      </c>
      <c r="P1765" s="101">
        <f>IF(H1765=1,IF(IFERROR(INDEX(coa_CF,MATCH(I1765,coa_Name,0)),"")="Cash",1,0),0)</f>
        <v/>
      </c>
      <c r="Q1765" s="101">
        <f>IF(H1765=1,IF(IFERROR(INDEX(coa_CF,MATCH(K1765,coa_Name,0)),"")="Cash",1,0),0)</f>
        <v/>
      </c>
      <c r="R1765" s="58">
        <f>IF((P1765-Q1765)=0,"",IFERROR(INDEX(coa_CF,MATCH(IF((P1765-Q1765)=1,K1765,I1765),coa_Name,0)),"Operating"))</f>
        <v/>
      </c>
      <c r="S1765" s="95">
        <f>IF((P1765-Q1765)=1,L1765,IF((P1765-Q1765)=-1,-J1765,0))</f>
        <v/>
      </c>
      <c r="T1765" s="95">
        <f>IF((P1765-Q1765)=1,N1765,IF((P1765-Q1765)=-1,-M1765,0))</f>
        <v/>
      </c>
      <c r="U1765" s="101">
        <f>IF(AND(H1765=1,LedAcct&lt;&gt;""),IF(AND(E1765&gt;=LedFrom,E1765&lt;=LedTo,OR(I1765=LedAcct,K1765=LedAcct,AND(LedAcct=acctTax,M1765+N1765&lt;&gt;0))),E1765*10000+B1765,""),"")</f>
        <v/>
      </c>
    </row>
    <row r="1766">
      <c r="B1766" s="101" t="n">
        <v>1760</v>
      </c>
      <c r="C1766" s="58" t="inlineStr">
        <is>
          <t>Transaction</t>
        </is>
      </c>
      <c r="D1766" s="58">
        <f>IF(H1766=1,INDEX(tx_ID,1760)&amp;"","")</f>
        <v/>
      </c>
      <c r="E1766" s="94">
        <f>IF(H1766=1,INDEX(tx_Date,1760),"")</f>
        <v/>
      </c>
      <c r="F1766" s="58">
        <f>IF(H1766=1,INDEX(tx_Desc,1760)&amp;"","")</f>
        <v/>
      </c>
      <c r="G1766" s="58">
        <f>IF(H1766=1,IF(INDEX(tx_Cust,1760)&amp;""&lt;&gt;"",INDEX(tx_Cust,1760)&amp;"",INDEX(tx_Vend,1760)&amp;""),"")</f>
        <v/>
      </c>
      <c r="H1766" s="101">
        <f>IFERROR(N(INDEX(tx_Posted,1760)),0)</f>
        <v/>
      </c>
      <c r="I1766" s="58">
        <f>IF(H1766=1,INDEX(tx_DrAcct,1760)&amp;"","")</f>
        <v/>
      </c>
      <c r="J1766" s="95">
        <f>IF(H1766=1,INDEX(tx_DrAmt,1760),0)</f>
        <v/>
      </c>
      <c r="K1766" s="58">
        <f>IF(H1766=1,INDEX(tx_CrAcct,1760)&amp;"","")</f>
        <v/>
      </c>
      <c r="L1766" s="95">
        <f>IF(H1766=1,INDEX(tx_CrAmt,1760),0)</f>
        <v/>
      </c>
      <c r="M1766" s="95">
        <f>IF(H1766=1,INDEX(tx_TaxDr,1760),0)</f>
        <v/>
      </c>
      <c r="N1766" s="95">
        <f>IF(H1766=1,INDEX(tx_TaxCr,1760),0)</f>
        <v/>
      </c>
      <c r="O1766" s="101">
        <f>IF(H1766=1,IF(E1766&lt;FYStart,0,IF(E1766&gt;FYEnd,13,YEAR(E1766)*12+MONTH(E1766)-FYYM+1)),"")</f>
        <v/>
      </c>
      <c r="P1766" s="101">
        <f>IF(H1766=1,IF(IFERROR(INDEX(coa_CF,MATCH(I1766,coa_Name,0)),"")="Cash",1,0),0)</f>
        <v/>
      </c>
      <c r="Q1766" s="101">
        <f>IF(H1766=1,IF(IFERROR(INDEX(coa_CF,MATCH(K1766,coa_Name,0)),"")="Cash",1,0),0)</f>
        <v/>
      </c>
      <c r="R1766" s="58">
        <f>IF((P1766-Q1766)=0,"",IFERROR(INDEX(coa_CF,MATCH(IF((P1766-Q1766)=1,K1766,I1766),coa_Name,0)),"Operating"))</f>
        <v/>
      </c>
      <c r="S1766" s="95">
        <f>IF((P1766-Q1766)=1,L1766,IF((P1766-Q1766)=-1,-J1766,0))</f>
        <v/>
      </c>
      <c r="T1766" s="95">
        <f>IF((P1766-Q1766)=1,N1766,IF((P1766-Q1766)=-1,-M1766,0))</f>
        <v/>
      </c>
      <c r="U1766" s="101">
        <f>IF(AND(H1766=1,LedAcct&lt;&gt;""),IF(AND(E1766&gt;=LedFrom,E1766&lt;=LedTo,OR(I1766=LedAcct,K1766=LedAcct,AND(LedAcct=acctTax,M1766+N1766&lt;&gt;0))),E1766*10000+B1766,""),"")</f>
        <v/>
      </c>
    </row>
    <row r="1767">
      <c r="B1767" s="101" t="n">
        <v>1761</v>
      </c>
      <c r="C1767" s="58" t="inlineStr">
        <is>
          <t>Transaction</t>
        </is>
      </c>
      <c r="D1767" s="58">
        <f>IF(H1767=1,INDEX(tx_ID,1761)&amp;"","")</f>
        <v/>
      </c>
      <c r="E1767" s="94">
        <f>IF(H1767=1,INDEX(tx_Date,1761),"")</f>
        <v/>
      </c>
      <c r="F1767" s="58">
        <f>IF(H1767=1,INDEX(tx_Desc,1761)&amp;"","")</f>
        <v/>
      </c>
      <c r="G1767" s="58">
        <f>IF(H1767=1,IF(INDEX(tx_Cust,1761)&amp;""&lt;&gt;"",INDEX(tx_Cust,1761)&amp;"",INDEX(tx_Vend,1761)&amp;""),"")</f>
        <v/>
      </c>
      <c r="H1767" s="101">
        <f>IFERROR(N(INDEX(tx_Posted,1761)),0)</f>
        <v/>
      </c>
      <c r="I1767" s="58">
        <f>IF(H1767=1,INDEX(tx_DrAcct,1761)&amp;"","")</f>
        <v/>
      </c>
      <c r="J1767" s="95">
        <f>IF(H1767=1,INDEX(tx_DrAmt,1761),0)</f>
        <v/>
      </c>
      <c r="K1767" s="58">
        <f>IF(H1767=1,INDEX(tx_CrAcct,1761)&amp;"","")</f>
        <v/>
      </c>
      <c r="L1767" s="95">
        <f>IF(H1767=1,INDEX(tx_CrAmt,1761),0)</f>
        <v/>
      </c>
      <c r="M1767" s="95">
        <f>IF(H1767=1,INDEX(tx_TaxDr,1761),0)</f>
        <v/>
      </c>
      <c r="N1767" s="95">
        <f>IF(H1767=1,INDEX(tx_TaxCr,1761),0)</f>
        <v/>
      </c>
      <c r="O1767" s="101">
        <f>IF(H1767=1,IF(E1767&lt;FYStart,0,IF(E1767&gt;FYEnd,13,YEAR(E1767)*12+MONTH(E1767)-FYYM+1)),"")</f>
        <v/>
      </c>
      <c r="P1767" s="101">
        <f>IF(H1767=1,IF(IFERROR(INDEX(coa_CF,MATCH(I1767,coa_Name,0)),"")="Cash",1,0),0)</f>
        <v/>
      </c>
      <c r="Q1767" s="101">
        <f>IF(H1767=1,IF(IFERROR(INDEX(coa_CF,MATCH(K1767,coa_Name,0)),"")="Cash",1,0),0)</f>
        <v/>
      </c>
      <c r="R1767" s="58">
        <f>IF((P1767-Q1767)=0,"",IFERROR(INDEX(coa_CF,MATCH(IF((P1767-Q1767)=1,K1767,I1767),coa_Name,0)),"Operating"))</f>
        <v/>
      </c>
      <c r="S1767" s="95">
        <f>IF((P1767-Q1767)=1,L1767,IF((P1767-Q1767)=-1,-J1767,0))</f>
        <v/>
      </c>
      <c r="T1767" s="95">
        <f>IF((P1767-Q1767)=1,N1767,IF((P1767-Q1767)=-1,-M1767,0))</f>
        <v/>
      </c>
      <c r="U1767" s="101">
        <f>IF(AND(H1767=1,LedAcct&lt;&gt;""),IF(AND(E1767&gt;=LedFrom,E1767&lt;=LedTo,OR(I1767=LedAcct,K1767=LedAcct,AND(LedAcct=acctTax,M1767+N1767&lt;&gt;0))),E1767*10000+B1767,""),"")</f>
        <v/>
      </c>
    </row>
    <row r="1768">
      <c r="B1768" s="101" t="n">
        <v>1762</v>
      </c>
      <c r="C1768" s="58" t="inlineStr">
        <is>
          <t>Transaction</t>
        </is>
      </c>
      <c r="D1768" s="58">
        <f>IF(H1768=1,INDEX(tx_ID,1762)&amp;"","")</f>
        <v/>
      </c>
      <c r="E1768" s="94">
        <f>IF(H1768=1,INDEX(tx_Date,1762),"")</f>
        <v/>
      </c>
      <c r="F1768" s="58">
        <f>IF(H1768=1,INDEX(tx_Desc,1762)&amp;"","")</f>
        <v/>
      </c>
      <c r="G1768" s="58">
        <f>IF(H1768=1,IF(INDEX(tx_Cust,1762)&amp;""&lt;&gt;"",INDEX(tx_Cust,1762)&amp;"",INDEX(tx_Vend,1762)&amp;""),"")</f>
        <v/>
      </c>
      <c r="H1768" s="101">
        <f>IFERROR(N(INDEX(tx_Posted,1762)),0)</f>
        <v/>
      </c>
      <c r="I1768" s="58">
        <f>IF(H1768=1,INDEX(tx_DrAcct,1762)&amp;"","")</f>
        <v/>
      </c>
      <c r="J1768" s="95">
        <f>IF(H1768=1,INDEX(tx_DrAmt,1762),0)</f>
        <v/>
      </c>
      <c r="K1768" s="58">
        <f>IF(H1768=1,INDEX(tx_CrAcct,1762)&amp;"","")</f>
        <v/>
      </c>
      <c r="L1768" s="95">
        <f>IF(H1768=1,INDEX(tx_CrAmt,1762),0)</f>
        <v/>
      </c>
      <c r="M1768" s="95">
        <f>IF(H1768=1,INDEX(tx_TaxDr,1762),0)</f>
        <v/>
      </c>
      <c r="N1768" s="95">
        <f>IF(H1768=1,INDEX(tx_TaxCr,1762),0)</f>
        <v/>
      </c>
      <c r="O1768" s="101">
        <f>IF(H1768=1,IF(E1768&lt;FYStart,0,IF(E1768&gt;FYEnd,13,YEAR(E1768)*12+MONTH(E1768)-FYYM+1)),"")</f>
        <v/>
      </c>
      <c r="P1768" s="101">
        <f>IF(H1768=1,IF(IFERROR(INDEX(coa_CF,MATCH(I1768,coa_Name,0)),"")="Cash",1,0),0)</f>
        <v/>
      </c>
      <c r="Q1768" s="101">
        <f>IF(H1768=1,IF(IFERROR(INDEX(coa_CF,MATCH(K1768,coa_Name,0)),"")="Cash",1,0),0)</f>
        <v/>
      </c>
      <c r="R1768" s="58">
        <f>IF((P1768-Q1768)=0,"",IFERROR(INDEX(coa_CF,MATCH(IF((P1768-Q1768)=1,K1768,I1768),coa_Name,0)),"Operating"))</f>
        <v/>
      </c>
      <c r="S1768" s="95">
        <f>IF((P1768-Q1768)=1,L1768,IF((P1768-Q1768)=-1,-J1768,0))</f>
        <v/>
      </c>
      <c r="T1768" s="95">
        <f>IF((P1768-Q1768)=1,N1768,IF((P1768-Q1768)=-1,-M1768,0))</f>
        <v/>
      </c>
      <c r="U1768" s="101">
        <f>IF(AND(H1768=1,LedAcct&lt;&gt;""),IF(AND(E1768&gt;=LedFrom,E1768&lt;=LedTo,OR(I1768=LedAcct,K1768=LedAcct,AND(LedAcct=acctTax,M1768+N1768&lt;&gt;0))),E1768*10000+B1768,""),"")</f>
        <v/>
      </c>
    </row>
    <row r="1769">
      <c r="B1769" s="101" t="n">
        <v>1763</v>
      </c>
      <c r="C1769" s="58" t="inlineStr">
        <is>
          <t>Transaction</t>
        </is>
      </c>
      <c r="D1769" s="58">
        <f>IF(H1769=1,INDEX(tx_ID,1763)&amp;"","")</f>
        <v/>
      </c>
      <c r="E1769" s="94">
        <f>IF(H1769=1,INDEX(tx_Date,1763),"")</f>
        <v/>
      </c>
      <c r="F1769" s="58">
        <f>IF(H1769=1,INDEX(tx_Desc,1763)&amp;"","")</f>
        <v/>
      </c>
      <c r="G1769" s="58">
        <f>IF(H1769=1,IF(INDEX(tx_Cust,1763)&amp;""&lt;&gt;"",INDEX(tx_Cust,1763)&amp;"",INDEX(tx_Vend,1763)&amp;""),"")</f>
        <v/>
      </c>
      <c r="H1769" s="101">
        <f>IFERROR(N(INDEX(tx_Posted,1763)),0)</f>
        <v/>
      </c>
      <c r="I1769" s="58">
        <f>IF(H1769=1,INDEX(tx_DrAcct,1763)&amp;"","")</f>
        <v/>
      </c>
      <c r="J1769" s="95">
        <f>IF(H1769=1,INDEX(tx_DrAmt,1763),0)</f>
        <v/>
      </c>
      <c r="K1769" s="58">
        <f>IF(H1769=1,INDEX(tx_CrAcct,1763)&amp;"","")</f>
        <v/>
      </c>
      <c r="L1769" s="95">
        <f>IF(H1769=1,INDEX(tx_CrAmt,1763),0)</f>
        <v/>
      </c>
      <c r="M1769" s="95">
        <f>IF(H1769=1,INDEX(tx_TaxDr,1763),0)</f>
        <v/>
      </c>
      <c r="N1769" s="95">
        <f>IF(H1769=1,INDEX(tx_TaxCr,1763),0)</f>
        <v/>
      </c>
      <c r="O1769" s="101">
        <f>IF(H1769=1,IF(E1769&lt;FYStart,0,IF(E1769&gt;FYEnd,13,YEAR(E1769)*12+MONTH(E1769)-FYYM+1)),"")</f>
        <v/>
      </c>
      <c r="P1769" s="101">
        <f>IF(H1769=1,IF(IFERROR(INDEX(coa_CF,MATCH(I1769,coa_Name,0)),"")="Cash",1,0),0)</f>
        <v/>
      </c>
      <c r="Q1769" s="101">
        <f>IF(H1769=1,IF(IFERROR(INDEX(coa_CF,MATCH(K1769,coa_Name,0)),"")="Cash",1,0),0)</f>
        <v/>
      </c>
      <c r="R1769" s="58">
        <f>IF((P1769-Q1769)=0,"",IFERROR(INDEX(coa_CF,MATCH(IF((P1769-Q1769)=1,K1769,I1769),coa_Name,0)),"Operating"))</f>
        <v/>
      </c>
      <c r="S1769" s="95">
        <f>IF((P1769-Q1769)=1,L1769,IF((P1769-Q1769)=-1,-J1769,0))</f>
        <v/>
      </c>
      <c r="T1769" s="95">
        <f>IF((P1769-Q1769)=1,N1769,IF((P1769-Q1769)=-1,-M1769,0))</f>
        <v/>
      </c>
      <c r="U1769" s="101">
        <f>IF(AND(H1769=1,LedAcct&lt;&gt;""),IF(AND(E1769&gt;=LedFrom,E1769&lt;=LedTo,OR(I1769=LedAcct,K1769=LedAcct,AND(LedAcct=acctTax,M1769+N1769&lt;&gt;0))),E1769*10000+B1769,""),"")</f>
        <v/>
      </c>
    </row>
    <row r="1770">
      <c r="B1770" s="101" t="n">
        <v>1764</v>
      </c>
      <c r="C1770" s="58" t="inlineStr">
        <is>
          <t>Transaction</t>
        </is>
      </c>
      <c r="D1770" s="58">
        <f>IF(H1770=1,INDEX(tx_ID,1764)&amp;"","")</f>
        <v/>
      </c>
      <c r="E1770" s="94">
        <f>IF(H1770=1,INDEX(tx_Date,1764),"")</f>
        <v/>
      </c>
      <c r="F1770" s="58">
        <f>IF(H1770=1,INDEX(tx_Desc,1764)&amp;"","")</f>
        <v/>
      </c>
      <c r="G1770" s="58">
        <f>IF(H1770=1,IF(INDEX(tx_Cust,1764)&amp;""&lt;&gt;"",INDEX(tx_Cust,1764)&amp;"",INDEX(tx_Vend,1764)&amp;""),"")</f>
        <v/>
      </c>
      <c r="H1770" s="101">
        <f>IFERROR(N(INDEX(tx_Posted,1764)),0)</f>
        <v/>
      </c>
      <c r="I1770" s="58">
        <f>IF(H1770=1,INDEX(tx_DrAcct,1764)&amp;"","")</f>
        <v/>
      </c>
      <c r="J1770" s="95">
        <f>IF(H1770=1,INDEX(tx_DrAmt,1764),0)</f>
        <v/>
      </c>
      <c r="K1770" s="58">
        <f>IF(H1770=1,INDEX(tx_CrAcct,1764)&amp;"","")</f>
        <v/>
      </c>
      <c r="L1770" s="95">
        <f>IF(H1770=1,INDEX(tx_CrAmt,1764),0)</f>
        <v/>
      </c>
      <c r="M1770" s="95">
        <f>IF(H1770=1,INDEX(tx_TaxDr,1764),0)</f>
        <v/>
      </c>
      <c r="N1770" s="95">
        <f>IF(H1770=1,INDEX(tx_TaxCr,1764),0)</f>
        <v/>
      </c>
      <c r="O1770" s="101">
        <f>IF(H1770=1,IF(E1770&lt;FYStart,0,IF(E1770&gt;FYEnd,13,YEAR(E1770)*12+MONTH(E1770)-FYYM+1)),"")</f>
        <v/>
      </c>
      <c r="P1770" s="101">
        <f>IF(H1770=1,IF(IFERROR(INDEX(coa_CF,MATCH(I1770,coa_Name,0)),"")="Cash",1,0),0)</f>
        <v/>
      </c>
      <c r="Q1770" s="101">
        <f>IF(H1770=1,IF(IFERROR(INDEX(coa_CF,MATCH(K1770,coa_Name,0)),"")="Cash",1,0),0)</f>
        <v/>
      </c>
      <c r="R1770" s="58">
        <f>IF((P1770-Q1770)=0,"",IFERROR(INDEX(coa_CF,MATCH(IF((P1770-Q1770)=1,K1770,I1770),coa_Name,0)),"Operating"))</f>
        <v/>
      </c>
      <c r="S1770" s="95">
        <f>IF((P1770-Q1770)=1,L1770,IF((P1770-Q1770)=-1,-J1770,0))</f>
        <v/>
      </c>
      <c r="T1770" s="95">
        <f>IF((P1770-Q1770)=1,N1770,IF((P1770-Q1770)=-1,-M1770,0))</f>
        <v/>
      </c>
      <c r="U1770" s="101">
        <f>IF(AND(H1770=1,LedAcct&lt;&gt;""),IF(AND(E1770&gt;=LedFrom,E1770&lt;=LedTo,OR(I1770=LedAcct,K1770=LedAcct,AND(LedAcct=acctTax,M1770+N1770&lt;&gt;0))),E1770*10000+B1770,""),"")</f>
        <v/>
      </c>
    </row>
    <row r="1771">
      <c r="B1771" s="101" t="n">
        <v>1765</v>
      </c>
      <c r="C1771" s="58" t="inlineStr">
        <is>
          <t>Transaction</t>
        </is>
      </c>
      <c r="D1771" s="58">
        <f>IF(H1771=1,INDEX(tx_ID,1765)&amp;"","")</f>
        <v/>
      </c>
      <c r="E1771" s="94">
        <f>IF(H1771=1,INDEX(tx_Date,1765),"")</f>
        <v/>
      </c>
      <c r="F1771" s="58">
        <f>IF(H1771=1,INDEX(tx_Desc,1765)&amp;"","")</f>
        <v/>
      </c>
      <c r="G1771" s="58">
        <f>IF(H1771=1,IF(INDEX(tx_Cust,1765)&amp;""&lt;&gt;"",INDEX(tx_Cust,1765)&amp;"",INDEX(tx_Vend,1765)&amp;""),"")</f>
        <v/>
      </c>
      <c r="H1771" s="101">
        <f>IFERROR(N(INDEX(tx_Posted,1765)),0)</f>
        <v/>
      </c>
      <c r="I1771" s="58">
        <f>IF(H1771=1,INDEX(tx_DrAcct,1765)&amp;"","")</f>
        <v/>
      </c>
      <c r="J1771" s="95">
        <f>IF(H1771=1,INDEX(tx_DrAmt,1765),0)</f>
        <v/>
      </c>
      <c r="K1771" s="58">
        <f>IF(H1771=1,INDEX(tx_CrAcct,1765)&amp;"","")</f>
        <v/>
      </c>
      <c r="L1771" s="95">
        <f>IF(H1771=1,INDEX(tx_CrAmt,1765),0)</f>
        <v/>
      </c>
      <c r="M1771" s="95">
        <f>IF(H1771=1,INDEX(tx_TaxDr,1765),0)</f>
        <v/>
      </c>
      <c r="N1771" s="95">
        <f>IF(H1771=1,INDEX(tx_TaxCr,1765),0)</f>
        <v/>
      </c>
      <c r="O1771" s="101">
        <f>IF(H1771=1,IF(E1771&lt;FYStart,0,IF(E1771&gt;FYEnd,13,YEAR(E1771)*12+MONTH(E1771)-FYYM+1)),"")</f>
        <v/>
      </c>
      <c r="P1771" s="101">
        <f>IF(H1771=1,IF(IFERROR(INDEX(coa_CF,MATCH(I1771,coa_Name,0)),"")="Cash",1,0),0)</f>
        <v/>
      </c>
      <c r="Q1771" s="101">
        <f>IF(H1771=1,IF(IFERROR(INDEX(coa_CF,MATCH(K1771,coa_Name,0)),"")="Cash",1,0),0)</f>
        <v/>
      </c>
      <c r="R1771" s="58">
        <f>IF((P1771-Q1771)=0,"",IFERROR(INDEX(coa_CF,MATCH(IF((P1771-Q1771)=1,K1771,I1771),coa_Name,0)),"Operating"))</f>
        <v/>
      </c>
      <c r="S1771" s="95">
        <f>IF((P1771-Q1771)=1,L1771,IF((P1771-Q1771)=-1,-J1771,0))</f>
        <v/>
      </c>
      <c r="T1771" s="95">
        <f>IF((P1771-Q1771)=1,N1771,IF((P1771-Q1771)=-1,-M1771,0))</f>
        <v/>
      </c>
      <c r="U1771" s="101">
        <f>IF(AND(H1771=1,LedAcct&lt;&gt;""),IF(AND(E1771&gt;=LedFrom,E1771&lt;=LedTo,OR(I1771=LedAcct,K1771=LedAcct,AND(LedAcct=acctTax,M1771+N1771&lt;&gt;0))),E1771*10000+B1771,""),"")</f>
        <v/>
      </c>
    </row>
    <row r="1772">
      <c r="B1772" s="101" t="n">
        <v>1766</v>
      </c>
      <c r="C1772" s="58" t="inlineStr">
        <is>
          <t>Transaction</t>
        </is>
      </c>
      <c r="D1772" s="58">
        <f>IF(H1772=1,INDEX(tx_ID,1766)&amp;"","")</f>
        <v/>
      </c>
      <c r="E1772" s="94">
        <f>IF(H1772=1,INDEX(tx_Date,1766),"")</f>
        <v/>
      </c>
      <c r="F1772" s="58">
        <f>IF(H1772=1,INDEX(tx_Desc,1766)&amp;"","")</f>
        <v/>
      </c>
      <c r="G1772" s="58">
        <f>IF(H1772=1,IF(INDEX(tx_Cust,1766)&amp;""&lt;&gt;"",INDEX(tx_Cust,1766)&amp;"",INDEX(tx_Vend,1766)&amp;""),"")</f>
        <v/>
      </c>
      <c r="H1772" s="101">
        <f>IFERROR(N(INDEX(tx_Posted,1766)),0)</f>
        <v/>
      </c>
      <c r="I1772" s="58">
        <f>IF(H1772=1,INDEX(tx_DrAcct,1766)&amp;"","")</f>
        <v/>
      </c>
      <c r="J1772" s="95">
        <f>IF(H1772=1,INDEX(tx_DrAmt,1766),0)</f>
        <v/>
      </c>
      <c r="K1772" s="58">
        <f>IF(H1772=1,INDEX(tx_CrAcct,1766)&amp;"","")</f>
        <v/>
      </c>
      <c r="L1772" s="95">
        <f>IF(H1772=1,INDEX(tx_CrAmt,1766),0)</f>
        <v/>
      </c>
      <c r="M1772" s="95">
        <f>IF(H1772=1,INDEX(tx_TaxDr,1766),0)</f>
        <v/>
      </c>
      <c r="N1772" s="95">
        <f>IF(H1772=1,INDEX(tx_TaxCr,1766),0)</f>
        <v/>
      </c>
      <c r="O1772" s="101">
        <f>IF(H1772=1,IF(E1772&lt;FYStart,0,IF(E1772&gt;FYEnd,13,YEAR(E1772)*12+MONTH(E1772)-FYYM+1)),"")</f>
        <v/>
      </c>
      <c r="P1772" s="101">
        <f>IF(H1772=1,IF(IFERROR(INDEX(coa_CF,MATCH(I1772,coa_Name,0)),"")="Cash",1,0),0)</f>
        <v/>
      </c>
      <c r="Q1772" s="101">
        <f>IF(H1772=1,IF(IFERROR(INDEX(coa_CF,MATCH(K1772,coa_Name,0)),"")="Cash",1,0),0)</f>
        <v/>
      </c>
      <c r="R1772" s="58">
        <f>IF((P1772-Q1772)=0,"",IFERROR(INDEX(coa_CF,MATCH(IF((P1772-Q1772)=1,K1772,I1772),coa_Name,0)),"Operating"))</f>
        <v/>
      </c>
      <c r="S1772" s="95">
        <f>IF((P1772-Q1772)=1,L1772,IF((P1772-Q1772)=-1,-J1772,0))</f>
        <v/>
      </c>
      <c r="T1772" s="95">
        <f>IF((P1772-Q1772)=1,N1772,IF((P1772-Q1772)=-1,-M1772,0))</f>
        <v/>
      </c>
      <c r="U1772" s="101">
        <f>IF(AND(H1772=1,LedAcct&lt;&gt;""),IF(AND(E1772&gt;=LedFrom,E1772&lt;=LedTo,OR(I1772=LedAcct,K1772=LedAcct,AND(LedAcct=acctTax,M1772+N1772&lt;&gt;0))),E1772*10000+B1772,""),"")</f>
        <v/>
      </c>
    </row>
    <row r="1773">
      <c r="B1773" s="101" t="n">
        <v>1767</v>
      </c>
      <c r="C1773" s="58" t="inlineStr">
        <is>
          <t>Transaction</t>
        </is>
      </c>
      <c r="D1773" s="58">
        <f>IF(H1773=1,INDEX(tx_ID,1767)&amp;"","")</f>
        <v/>
      </c>
      <c r="E1773" s="94">
        <f>IF(H1773=1,INDEX(tx_Date,1767),"")</f>
        <v/>
      </c>
      <c r="F1773" s="58">
        <f>IF(H1773=1,INDEX(tx_Desc,1767)&amp;"","")</f>
        <v/>
      </c>
      <c r="G1773" s="58">
        <f>IF(H1773=1,IF(INDEX(tx_Cust,1767)&amp;""&lt;&gt;"",INDEX(tx_Cust,1767)&amp;"",INDEX(tx_Vend,1767)&amp;""),"")</f>
        <v/>
      </c>
      <c r="H1773" s="101">
        <f>IFERROR(N(INDEX(tx_Posted,1767)),0)</f>
        <v/>
      </c>
      <c r="I1773" s="58">
        <f>IF(H1773=1,INDEX(tx_DrAcct,1767)&amp;"","")</f>
        <v/>
      </c>
      <c r="J1773" s="95">
        <f>IF(H1773=1,INDEX(tx_DrAmt,1767),0)</f>
        <v/>
      </c>
      <c r="K1773" s="58">
        <f>IF(H1773=1,INDEX(tx_CrAcct,1767)&amp;"","")</f>
        <v/>
      </c>
      <c r="L1773" s="95">
        <f>IF(H1773=1,INDEX(tx_CrAmt,1767),0)</f>
        <v/>
      </c>
      <c r="M1773" s="95">
        <f>IF(H1773=1,INDEX(tx_TaxDr,1767),0)</f>
        <v/>
      </c>
      <c r="N1773" s="95">
        <f>IF(H1773=1,INDEX(tx_TaxCr,1767),0)</f>
        <v/>
      </c>
      <c r="O1773" s="101">
        <f>IF(H1773=1,IF(E1773&lt;FYStart,0,IF(E1773&gt;FYEnd,13,YEAR(E1773)*12+MONTH(E1773)-FYYM+1)),"")</f>
        <v/>
      </c>
      <c r="P1773" s="101">
        <f>IF(H1773=1,IF(IFERROR(INDEX(coa_CF,MATCH(I1773,coa_Name,0)),"")="Cash",1,0),0)</f>
        <v/>
      </c>
      <c r="Q1773" s="101">
        <f>IF(H1773=1,IF(IFERROR(INDEX(coa_CF,MATCH(K1773,coa_Name,0)),"")="Cash",1,0),0)</f>
        <v/>
      </c>
      <c r="R1773" s="58">
        <f>IF((P1773-Q1773)=0,"",IFERROR(INDEX(coa_CF,MATCH(IF((P1773-Q1773)=1,K1773,I1773),coa_Name,0)),"Operating"))</f>
        <v/>
      </c>
      <c r="S1773" s="95">
        <f>IF((P1773-Q1773)=1,L1773,IF((P1773-Q1773)=-1,-J1773,0))</f>
        <v/>
      </c>
      <c r="T1773" s="95">
        <f>IF((P1773-Q1773)=1,N1773,IF((P1773-Q1773)=-1,-M1773,0))</f>
        <v/>
      </c>
      <c r="U1773" s="101">
        <f>IF(AND(H1773=1,LedAcct&lt;&gt;""),IF(AND(E1773&gt;=LedFrom,E1773&lt;=LedTo,OR(I1773=LedAcct,K1773=LedAcct,AND(LedAcct=acctTax,M1773+N1773&lt;&gt;0))),E1773*10000+B1773,""),"")</f>
        <v/>
      </c>
    </row>
    <row r="1774">
      <c r="B1774" s="101" t="n">
        <v>1768</v>
      </c>
      <c r="C1774" s="58" t="inlineStr">
        <is>
          <t>Transaction</t>
        </is>
      </c>
      <c r="D1774" s="58">
        <f>IF(H1774=1,INDEX(tx_ID,1768)&amp;"","")</f>
        <v/>
      </c>
      <c r="E1774" s="94">
        <f>IF(H1774=1,INDEX(tx_Date,1768),"")</f>
        <v/>
      </c>
      <c r="F1774" s="58">
        <f>IF(H1774=1,INDEX(tx_Desc,1768)&amp;"","")</f>
        <v/>
      </c>
      <c r="G1774" s="58">
        <f>IF(H1774=1,IF(INDEX(tx_Cust,1768)&amp;""&lt;&gt;"",INDEX(tx_Cust,1768)&amp;"",INDEX(tx_Vend,1768)&amp;""),"")</f>
        <v/>
      </c>
      <c r="H1774" s="101">
        <f>IFERROR(N(INDEX(tx_Posted,1768)),0)</f>
        <v/>
      </c>
      <c r="I1774" s="58">
        <f>IF(H1774=1,INDEX(tx_DrAcct,1768)&amp;"","")</f>
        <v/>
      </c>
      <c r="J1774" s="95">
        <f>IF(H1774=1,INDEX(tx_DrAmt,1768),0)</f>
        <v/>
      </c>
      <c r="K1774" s="58">
        <f>IF(H1774=1,INDEX(tx_CrAcct,1768)&amp;"","")</f>
        <v/>
      </c>
      <c r="L1774" s="95">
        <f>IF(H1774=1,INDEX(tx_CrAmt,1768),0)</f>
        <v/>
      </c>
      <c r="M1774" s="95">
        <f>IF(H1774=1,INDEX(tx_TaxDr,1768),0)</f>
        <v/>
      </c>
      <c r="N1774" s="95">
        <f>IF(H1774=1,INDEX(tx_TaxCr,1768),0)</f>
        <v/>
      </c>
      <c r="O1774" s="101">
        <f>IF(H1774=1,IF(E1774&lt;FYStart,0,IF(E1774&gt;FYEnd,13,YEAR(E1774)*12+MONTH(E1774)-FYYM+1)),"")</f>
        <v/>
      </c>
      <c r="P1774" s="101">
        <f>IF(H1774=1,IF(IFERROR(INDEX(coa_CF,MATCH(I1774,coa_Name,0)),"")="Cash",1,0),0)</f>
        <v/>
      </c>
      <c r="Q1774" s="101">
        <f>IF(H1774=1,IF(IFERROR(INDEX(coa_CF,MATCH(K1774,coa_Name,0)),"")="Cash",1,0),0)</f>
        <v/>
      </c>
      <c r="R1774" s="58">
        <f>IF((P1774-Q1774)=0,"",IFERROR(INDEX(coa_CF,MATCH(IF((P1774-Q1774)=1,K1774,I1774),coa_Name,0)),"Operating"))</f>
        <v/>
      </c>
      <c r="S1774" s="95">
        <f>IF((P1774-Q1774)=1,L1774,IF((P1774-Q1774)=-1,-J1774,0))</f>
        <v/>
      </c>
      <c r="T1774" s="95">
        <f>IF((P1774-Q1774)=1,N1774,IF((P1774-Q1774)=-1,-M1774,0))</f>
        <v/>
      </c>
      <c r="U1774" s="101">
        <f>IF(AND(H1774=1,LedAcct&lt;&gt;""),IF(AND(E1774&gt;=LedFrom,E1774&lt;=LedTo,OR(I1774=LedAcct,K1774=LedAcct,AND(LedAcct=acctTax,M1774+N1774&lt;&gt;0))),E1774*10000+B1774,""),"")</f>
        <v/>
      </c>
    </row>
    <row r="1775">
      <c r="B1775" s="101" t="n">
        <v>1769</v>
      </c>
      <c r="C1775" s="58" t="inlineStr">
        <is>
          <t>Transaction</t>
        </is>
      </c>
      <c r="D1775" s="58">
        <f>IF(H1775=1,INDEX(tx_ID,1769)&amp;"","")</f>
        <v/>
      </c>
      <c r="E1775" s="94">
        <f>IF(H1775=1,INDEX(tx_Date,1769),"")</f>
        <v/>
      </c>
      <c r="F1775" s="58">
        <f>IF(H1775=1,INDEX(tx_Desc,1769)&amp;"","")</f>
        <v/>
      </c>
      <c r="G1775" s="58">
        <f>IF(H1775=1,IF(INDEX(tx_Cust,1769)&amp;""&lt;&gt;"",INDEX(tx_Cust,1769)&amp;"",INDEX(tx_Vend,1769)&amp;""),"")</f>
        <v/>
      </c>
      <c r="H1775" s="101">
        <f>IFERROR(N(INDEX(tx_Posted,1769)),0)</f>
        <v/>
      </c>
      <c r="I1775" s="58">
        <f>IF(H1775=1,INDEX(tx_DrAcct,1769)&amp;"","")</f>
        <v/>
      </c>
      <c r="J1775" s="95">
        <f>IF(H1775=1,INDEX(tx_DrAmt,1769),0)</f>
        <v/>
      </c>
      <c r="K1775" s="58">
        <f>IF(H1775=1,INDEX(tx_CrAcct,1769)&amp;"","")</f>
        <v/>
      </c>
      <c r="L1775" s="95">
        <f>IF(H1775=1,INDEX(tx_CrAmt,1769),0)</f>
        <v/>
      </c>
      <c r="M1775" s="95">
        <f>IF(H1775=1,INDEX(tx_TaxDr,1769),0)</f>
        <v/>
      </c>
      <c r="N1775" s="95">
        <f>IF(H1775=1,INDEX(tx_TaxCr,1769),0)</f>
        <v/>
      </c>
      <c r="O1775" s="101">
        <f>IF(H1775=1,IF(E1775&lt;FYStart,0,IF(E1775&gt;FYEnd,13,YEAR(E1775)*12+MONTH(E1775)-FYYM+1)),"")</f>
        <v/>
      </c>
      <c r="P1775" s="101">
        <f>IF(H1775=1,IF(IFERROR(INDEX(coa_CF,MATCH(I1775,coa_Name,0)),"")="Cash",1,0),0)</f>
        <v/>
      </c>
      <c r="Q1775" s="101">
        <f>IF(H1775=1,IF(IFERROR(INDEX(coa_CF,MATCH(K1775,coa_Name,0)),"")="Cash",1,0),0)</f>
        <v/>
      </c>
      <c r="R1775" s="58">
        <f>IF((P1775-Q1775)=0,"",IFERROR(INDEX(coa_CF,MATCH(IF((P1775-Q1775)=1,K1775,I1775),coa_Name,0)),"Operating"))</f>
        <v/>
      </c>
      <c r="S1775" s="95">
        <f>IF((P1775-Q1775)=1,L1775,IF((P1775-Q1775)=-1,-J1775,0))</f>
        <v/>
      </c>
      <c r="T1775" s="95">
        <f>IF((P1775-Q1775)=1,N1775,IF((P1775-Q1775)=-1,-M1775,0))</f>
        <v/>
      </c>
      <c r="U1775" s="101">
        <f>IF(AND(H1775=1,LedAcct&lt;&gt;""),IF(AND(E1775&gt;=LedFrom,E1775&lt;=LedTo,OR(I1775=LedAcct,K1775=LedAcct,AND(LedAcct=acctTax,M1775+N1775&lt;&gt;0))),E1775*10000+B1775,""),"")</f>
        <v/>
      </c>
    </row>
    <row r="1776">
      <c r="B1776" s="101" t="n">
        <v>1770</v>
      </c>
      <c r="C1776" s="58" t="inlineStr">
        <is>
          <t>Transaction</t>
        </is>
      </c>
      <c r="D1776" s="58">
        <f>IF(H1776=1,INDEX(tx_ID,1770)&amp;"","")</f>
        <v/>
      </c>
      <c r="E1776" s="94">
        <f>IF(H1776=1,INDEX(tx_Date,1770),"")</f>
        <v/>
      </c>
      <c r="F1776" s="58">
        <f>IF(H1776=1,INDEX(tx_Desc,1770)&amp;"","")</f>
        <v/>
      </c>
      <c r="G1776" s="58">
        <f>IF(H1776=1,IF(INDEX(tx_Cust,1770)&amp;""&lt;&gt;"",INDEX(tx_Cust,1770)&amp;"",INDEX(tx_Vend,1770)&amp;""),"")</f>
        <v/>
      </c>
      <c r="H1776" s="101">
        <f>IFERROR(N(INDEX(tx_Posted,1770)),0)</f>
        <v/>
      </c>
      <c r="I1776" s="58">
        <f>IF(H1776=1,INDEX(tx_DrAcct,1770)&amp;"","")</f>
        <v/>
      </c>
      <c r="J1776" s="95">
        <f>IF(H1776=1,INDEX(tx_DrAmt,1770),0)</f>
        <v/>
      </c>
      <c r="K1776" s="58">
        <f>IF(H1776=1,INDEX(tx_CrAcct,1770)&amp;"","")</f>
        <v/>
      </c>
      <c r="L1776" s="95">
        <f>IF(H1776=1,INDEX(tx_CrAmt,1770),0)</f>
        <v/>
      </c>
      <c r="M1776" s="95">
        <f>IF(H1776=1,INDEX(tx_TaxDr,1770),0)</f>
        <v/>
      </c>
      <c r="N1776" s="95">
        <f>IF(H1776=1,INDEX(tx_TaxCr,1770),0)</f>
        <v/>
      </c>
      <c r="O1776" s="101">
        <f>IF(H1776=1,IF(E1776&lt;FYStart,0,IF(E1776&gt;FYEnd,13,YEAR(E1776)*12+MONTH(E1776)-FYYM+1)),"")</f>
        <v/>
      </c>
      <c r="P1776" s="101">
        <f>IF(H1776=1,IF(IFERROR(INDEX(coa_CF,MATCH(I1776,coa_Name,0)),"")="Cash",1,0),0)</f>
        <v/>
      </c>
      <c r="Q1776" s="101">
        <f>IF(H1776=1,IF(IFERROR(INDEX(coa_CF,MATCH(K1776,coa_Name,0)),"")="Cash",1,0),0)</f>
        <v/>
      </c>
      <c r="R1776" s="58">
        <f>IF((P1776-Q1776)=0,"",IFERROR(INDEX(coa_CF,MATCH(IF((P1776-Q1776)=1,K1776,I1776),coa_Name,0)),"Operating"))</f>
        <v/>
      </c>
      <c r="S1776" s="95">
        <f>IF((P1776-Q1776)=1,L1776,IF((P1776-Q1776)=-1,-J1776,0))</f>
        <v/>
      </c>
      <c r="T1776" s="95">
        <f>IF((P1776-Q1776)=1,N1776,IF((P1776-Q1776)=-1,-M1776,0))</f>
        <v/>
      </c>
      <c r="U1776" s="101">
        <f>IF(AND(H1776=1,LedAcct&lt;&gt;""),IF(AND(E1776&gt;=LedFrom,E1776&lt;=LedTo,OR(I1776=LedAcct,K1776=LedAcct,AND(LedAcct=acctTax,M1776+N1776&lt;&gt;0))),E1776*10000+B1776,""),"")</f>
        <v/>
      </c>
    </row>
    <row r="1777">
      <c r="B1777" s="101" t="n">
        <v>1771</v>
      </c>
      <c r="C1777" s="58" t="inlineStr">
        <is>
          <t>Transaction</t>
        </is>
      </c>
      <c r="D1777" s="58">
        <f>IF(H1777=1,INDEX(tx_ID,1771)&amp;"","")</f>
        <v/>
      </c>
      <c r="E1777" s="94">
        <f>IF(H1777=1,INDEX(tx_Date,1771),"")</f>
        <v/>
      </c>
      <c r="F1777" s="58">
        <f>IF(H1777=1,INDEX(tx_Desc,1771)&amp;"","")</f>
        <v/>
      </c>
      <c r="G1777" s="58">
        <f>IF(H1777=1,IF(INDEX(tx_Cust,1771)&amp;""&lt;&gt;"",INDEX(tx_Cust,1771)&amp;"",INDEX(tx_Vend,1771)&amp;""),"")</f>
        <v/>
      </c>
      <c r="H1777" s="101">
        <f>IFERROR(N(INDEX(tx_Posted,1771)),0)</f>
        <v/>
      </c>
      <c r="I1777" s="58">
        <f>IF(H1777=1,INDEX(tx_DrAcct,1771)&amp;"","")</f>
        <v/>
      </c>
      <c r="J1777" s="95">
        <f>IF(H1777=1,INDEX(tx_DrAmt,1771),0)</f>
        <v/>
      </c>
      <c r="K1777" s="58">
        <f>IF(H1777=1,INDEX(tx_CrAcct,1771)&amp;"","")</f>
        <v/>
      </c>
      <c r="L1777" s="95">
        <f>IF(H1777=1,INDEX(tx_CrAmt,1771),0)</f>
        <v/>
      </c>
      <c r="M1777" s="95">
        <f>IF(H1777=1,INDEX(tx_TaxDr,1771),0)</f>
        <v/>
      </c>
      <c r="N1777" s="95">
        <f>IF(H1777=1,INDEX(tx_TaxCr,1771),0)</f>
        <v/>
      </c>
      <c r="O1777" s="101">
        <f>IF(H1777=1,IF(E1777&lt;FYStart,0,IF(E1777&gt;FYEnd,13,YEAR(E1777)*12+MONTH(E1777)-FYYM+1)),"")</f>
        <v/>
      </c>
      <c r="P1777" s="101">
        <f>IF(H1777=1,IF(IFERROR(INDEX(coa_CF,MATCH(I1777,coa_Name,0)),"")="Cash",1,0),0)</f>
        <v/>
      </c>
      <c r="Q1777" s="101">
        <f>IF(H1777=1,IF(IFERROR(INDEX(coa_CF,MATCH(K1777,coa_Name,0)),"")="Cash",1,0),0)</f>
        <v/>
      </c>
      <c r="R1777" s="58">
        <f>IF((P1777-Q1777)=0,"",IFERROR(INDEX(coa_CF,MATCH(IF((P1777-Q1777)=1,K1777,I1777),coa_Name,0)),"Operating"))</f>
        <v/>
      </c>
      <c r="S1777" s="95">
        <f>IF((P1777-Q1777)=1,L1777,IF((P1777-Q1777)=-1,-J1777,0))</f>
        <v/>
      </c>
      <c r="T1777" s="95">
        <f>IF((P1777-Q1777)=1,N1777,IF((P1777-Q1777)=-1,-M1777,0))</f>
        <v/>
      </c>
      <c r="U1777" s="101">
        <f>IF(AND(H1777=1,LedAcct&lt;&gt;""),IF(AND(E1777&gt;=LedFrom,E1777&lt;=LedTo,OR(I1777=LedAcct,K1777=LedAcct,AND(LedAcct=acctTax,M1777+N1777&lt;&gt;0))),E1777*10000+B1777,""),"")</f>
        <v/>
      </c>
    </row>
    <row r="1778">
      <c r="B1778" s="101" t="n">
        <v>1772</v>
      </c>
      <c r="C1778" s="58" t="inlineStr">
        <is>
          <t>Transaction</t>
        </is>
      </c>
      <c r="D1778" s="58">
        <f>IF(H1778=1,INDEX(tx_ID,1772)&amp;"","")</f>
        <v/>
      </c>
      <c r="E1778" s="94">
        <f>IF(H1778=1,INDEX(tx_Date,1772),"")</f>
        <v/>
      </c>
      <c r="F1778" s="58">
        <f>IF(H1778=1,INDEX(tx_Desc,1772)&amp;"","")</f>
        <v/>
      </c>
      <c r="G1778" s="58">
        <f>IF(H1778=1,IF(INDEX(tx_Cust,1772)&amp;""&lt;&gt;"",INDEX(tx_Cust,1772)&amp;"",INDEX(tx_Vend,1772)&amp;""),"")</f>
        <v/>
      </c>
      <c r="H1778" s="101">
        <f>IFERROR(N(INDEX(tx_Posted,1772)),0)</f>
        <v/>
      </c>
      <c r="I1778" s="58">
        <f>IF(H1778=1,INDEX(tx_DrAcct,1772)&amp;"","")</f>
        <v/>
      </c>
      <c r="J1778" s="95">
        <f>IF(H1778=1,INDEX(tx_DrAmt,1772),0)</f>
        <v/>
      </c>
      <c r="K1778" s="58">
        <f>IF(H1778=1,INDEX(tx_CrAcct,1772)&amp;"","")</f>
        <v/>
      </c>
      <c r="L1778" s="95">
        <f>IF(H1778=1,INDEX(tx_CrAmt,1772),0)</f>
        <v/>
      </c>
      <c r="M1778" s="95">
        <f>IF(H1778=1,INDEX(tx_TaxDr,1772),0)</f>
        <v/>
      </c>
      <c r="N1778" s="95">
        <f>IF(H1778=1,INDEX(tx_TaxCr,1772),0)</f>
        <v/>
      </c>
      <c r="O1778" s="101">
        <f>IF(H1778=1,IF(E1778&lt;FYStart,0,IF(E1778&gt;FYEnd,13,YEAR(E1778)*12+MONTH(E1778)-FYYM+1)),"")</f>
        <v/>
      </c>
      <c r="P1778" s="101">
        <f>IF(H1778=1,IF(IFERROR(INDEX(coa_CF,MATCH(I1778,coa_Name,0)),"")="Cash",1,0),0)</f>
        <v/>
      </c>
      <c r="Q1778" s="101">
        <f>IF(H1778=1,IF(IFERROR(INDEX(coa_CF,MATCH(K1778,coa_Name,0)),"")="Cash",1,0),0)</f>
        <v/>
      </c>
      <c r="R1778" s="58">
        <f>IF((P1778-Q1778)=0,"",IFERROR(INDEX(coa_CF,MATCH(IF((P1778-Q1778)=1,K1778,I1778),coa_Name,0)),"Operating"))</f>
        <v/>
      </c>
      <c r="S1778" s="95">
        <f>IF((P1778-Q1778)=1,L1778,IF((P1778-Q1778)=-1,-J1778,0))</f>
        <v/>
      </c>
      <c r="T1778" s="95">
        <f>IF((P1778-Q1778)=1,N1778,IF((P1778-Q1778)=-1,-M1778,0))</f>
        <v/>
      </c>
      <c r="U1778" s="101">
        <f>IF(AND(H1778=1,LedAcct&lt;&gt;""),IF(AND(E1778&gt;=LedFrom,E1778&lt;=LedTo,OR(I1778=LedAcct,K1778=LedAcct,AND(LedAcct=acctTax,M1778+N1778&lt;&gt;0))),E1778*10000+B1778,""),"")</f>
        <v/>
      </c>
    </row>
    <row r="1779">
      <c r="B1779" s="101" t="n">
        <v>1773</v>
      </c>
      <c r="C1779" s="58" t="inlineStr">
        <is>
          <t>Transaction</t>
        </is>
      </c>
      <c r="D1779" s="58">
        <f>IF(H1779=1,INDEX(tx_ID,1773)&amp;"","")</f>
        <v/>
      </c>
      <c r="E1779" s="94">
        <f>IF(H1779=1,INDEX(tx_Date,1773),"")</f>
        <v/>
      </c>
      <c r="F1779" s="58">
        <f>IF(H1779=1,INDEX(tx_Desc,1773)&amp;"","")</f>
        <v/>
      </c>
      <c r="G1779" s="58">
        <f>IF(H1779=1,IF(INDEX(tx_Cust,1773)&amp;""&lt;&gt;"",INDEX(tx_Cust,1773)&amp;"",INDEX(tx_Vend,1773)&amp;""),"")</f>
        <v/>
      </c>
      <c r="H1779" s="101">
        <f>IFERROR(N(INDEX(tx_Posted,1773)),0)</f>
        <v/>
      </c>
      <c r="I1779" s="58">
        <f>IF(H1779=1,INDEX(tx_DrAcct,1773)&amp;"","")</f>
        <v/>
      </c>
      <c r="J1779" s="95">
        <f>IF(H1779=1,INDEX(tx_DrAmt,1773),0)</f>
        <v/>
      </c>
      <c r="K1779" s="58">
        <f>IF(H1779=1,INDEX(tx_CrAcct,1773)&amp;"","")</f>
        <v/>
      </c>
      <c r="L1779" s="95">
        <f>IF(H1779=1,INDEX(tx_CrAmt,1773),0)</f>
        <v/>
      </c>
      <c r="M1779" s="95">
        <f>IF(H1779=1,INDEX(tx_TaxDr,1773),0)</f>
        <v/>
      </c>
      <c r="N1779" s="95">
        <f>IF(H1779=1,INDEX(tx_TaxCr,1773),0)</f>
        <v/>
      </c>
      <c r="O1779" s="101">
        <f>IF(H1779=1,IF(E1779&lt;FYStart,0,IF(E1779&gt;FYEnd,13,YEAR(E1779)*12+MONTH(E1779)-FYYM+1)),"")</f>
        <v/>
      </c>
      <c r="P1779" s="101">
        <f>IF(H1779=1,IF(IFERROR(INDEX(coa_CF,MATCH(I1779,coa_Name,0)),"")="Cash",1,0),0)</f>
        <v/>
      </c>
      <c r="Q1779" s="101">
        <f>IF(H1779=1,IF(IFERROR(INDEX(coa_CF,MATCH(K1779,coa_Name,0)),"")="Cash",1,0),0)</f>
        <v/>
      </c>
      <c r="R1779" s="58">
        <f>IF((P1779-Q1779)=0,"",IFERROR(INDEX(coa_CF,MATCH(IF((P1779-Q1779)=1,K1779,I1779),coa_Name,0)),"Operating"))</f>
        <v/>
      </c>
      <c r="S1779" s="95">
        <f>IF((P1779-Q1779)=1,L1779,IF((P1779-Q1779)=-1,-J1779,0))</f>
        <v/>
      </c>
      <c r="T1779" s="95">
        <f>IF((P1779-Q1779)=1,N1779,IF((P1779-Q1779)=-1,-M1779,0))</f>
        <v/>
      </c>
      <c r="U1779" s="101">
        <f>IF(AND(H1779=1,LedAcct&lt;&gt;""),IF(AND(E1779&gt;=LedFrom,E1779&lt;=LedTo,OR(I1779=LedAcct,K1779=LedAcct,AND(LedAcct=acctTax,M1779+N1779&lt;&gt;0))),E1779*10000+B1779,""),"")</f>
        <v/>
      </c>
    </row>
    <row r="1780">
      <c r="B1780" s="101" t="n">
        <v>1774</v>
      </c>
      <c r="C1780" s="58" t="inlineStr">
        <is>
          <t>Transaction</t>
        </is>
      </c>
      <c r="D1780" s="58">
        <f>IF(H1780=1,INDEX(tx_ID,1774)&amp;"","")</f>
        <v/>
      </c>
      <c r="E1780" s="94">
        <f>IF(H1780=1,INDEX(tx_Date,1774),"")</f>
        <v/>
      </c>
      <c r="F1780" s="58">
        <f>IF(H1780=1,INDEX(tx_Desc,1774)&amp;"","")</f>
        <v/>
      </c>
      <c r="G1780" s="58">
        <f>IF(H1780=1,IF(INDEX(tx_Cust,1774)&amp;""&lt;&gt;"",INDEX(tx_Cust,1774)&amp;"",INDEX(tx_Vend,1774)&amp;""),"")</f>
        <v/>
      </c>
      <c r="H1780" s="101">
        <f>IFERROR(N(INDEX(tx_Posted,1774)),0)</f>
        <v/>
      </c>
      <c r="I1780" s="58">
        <f>IF(H1780=1,INDEX(tx_DrAcct,1774)&amp;"","")</f>
        <v/>
      </c>
      <c r="J1780" s="95">
        <f>IF(H1780=1,INDEX(tx_DrAmt,1774),0)</f>
        <v/>
      </c>
      <c r="K1780" s="58">
        <f>IF(H1780=1,INDEX(tx_CrAcct,1774)&amp;"","")</f>
        <v/>
      </c>
      <c r="L1780" s="95">
        <f>IF(H1780=1,INDEX(tx_CrAmt,1774),0)</f>
        <v/>
      </c>
      <c r="M1780" s="95">
        <f>IF(H1780=1,INDEX(tx_TaxDr,1774),0)</f>
        <v/>
      </c>
      <c r="N1780" s="95">
        <f>IF(H1780=1,INDEX(tx_TaxCr,1774),0)</f>
        <v/>
      </c>
      <c r="O1780" s="101">
        <f>IF(H1780=1,IF(E1780&lt;FYStart,0,IF(E1780&gt;FYEnd,13,YEAR(E1780)*12+MONTH(E1780)-FYYM+1)),"")</f>
        <v/>
      </c>
      <c r="P1780" s="101">
        <f>IF(H1780=1,IF(IFERROR(INDEX(coa_CF,MATCH(I1780,coa_Name,0)),"")="Cash",1,0),0)</f>
        <v/>
      </c>
      <c r="Q1780" s="101">
        <f>IF(H1780=1,IF(IFERROR(INDEX(coa_CF,MATCH(K1780,coa_Name,0)),"")="Cash",1,0),0)</f>
        <v/>
      </c>
      <c r="R1780" s="58">
        <f>IF((P1780-Q1780)=0,"",IFERROR(INDEX(coa_CF,MATCH(IF((P1780-Q1780)=1,K1780,I1780),coa_Name,0)),"Operating"))</f>
        <v/>
      </c>
      <c r="S1780" s="95">
        <f>IF((P1780-Q1780)=1,L1780,IF((P1780-Q1780)=-1,-J1780,0))</f>
        <v/>
      </c>
      <c r="T1780" s="95">
        <f>IF((P1780-Q1780)=1,N1780,IF((P1780-Q1780)=-1,-M1780,0))</f>
        <v/>
      </c>
      <c r="U1780" s="101">
        <f>IF(AND(H1780=1,LedAcct&lt;&gt;""),IF(AND(E1780&gt;=LedFrom,E1780&lt;=LedTo,OR(I1780=LedAcct,K1780=LedAcct,AND(LedAcct=acctTax,M1780+N1780&lt;&gt;0))),E1780*10000+B1780,""),"")</f>
        <v/>
      </c>
    </row>
    <row r="1781">
      <c r="B1781" s="101" t="n">
        <v>1775</v>
      </c>
      <c r="C1781" s="58" t="inlineStr">
        <is>
          <t>Transaction</t>
        </is>
      </c>
      <c r="D1781" s="58">
        <f>IF(H1781=1,INDEX(tx_ID,1775)&amp;"","")</f>
        <v/>
      </c>
      <c r="E1781" s="94">
        <f>IF(H1781=1,INDEX(tx_Date,1775),"")</f>
        <v/>
      </c>
      <c r="F1781" s="58">
        <f>IF(H1781=1,INDEX(tx_Desc,1775)&amp;"","")</f>
        <v/>
      </c>
      <c r="G1781" s="58">
        <f>IF(H1781=1,IF(INDEX(tx_Cust,1775)&amp;""&lt;&gt;"",INDEX(tx_Cust,1775)&amp;"",INDEX(tx_Vend,1775)&amp;""),"")</f>
        <v/>
      </c>
      <c r="H1781" s="101">
        <f>IFERROR(N(INDEX(tx_Posted,1775)),0)</f>
        <v/>
      </c>
      <c r="I1781" s="58">
        <f>IF(H1781=1,INDEX(tx_DrAcct,1775)&amp;"","")</f>
        <v/>
      </c>
      <c r="J1781" s="95">
        <f>IF(H1781=1,INDEX(tx_DrAmt,1775),0)</f>
        <v/>
      </c>
      <c r="K1781" s="58">
        <f>IF(H1781=1,INDEX(tx_CrAcct,1775)&amp;"","")</f>
        <v/>
      </c>
      <c r="L1781" s="95">
        <f>IF(H1781=1,INDEX(tx_CrAmt,1775),0)</f>
        <v/>
      </c>
      <c r="M1781" s="95">
        <f>IF(H1781=1,INDEX(tx_TaxDr,1775),0)</f>
        <v/>
      </c>
      <c r="N1781" s="95">
        <f>IF(H1781=1,INDEX(tx_TaxCr,1775),0)</f>
        <v/>
      </c>
      <c r="O1781" s="101">
        <f>IF(H1781=1,IF(E1781&lt;FYStart,0,IF(E1781&gt;FYEnd,13,YEAR(E1781)*12+MONTH(E1781)-FYYM+1)),"")</f>
        <v/>
      </c>
      <c r="P1781" s="101">
        <f>IF(H1781=1,IF(IFERROR(INDEX(coa_CF,MATCH(I1781,coa_Name,0)),"")="Cash",1,0),0)</f>
        <v/>
      </c>
      <c r="Q1781" s="101">
        <f>IF(H1781=1,IF(IFERROR(INDEX(coa_CF,MATCH(K1781,coa_Name,0)),"")="Cash",1,0),0)</f>
        <v/>
      </c>
      <c r="R1781" s="58">
        <f>IF((P1781-Q1781)=0,"",IFERROR(INDEX(coa_CF,MATCH(IF((P1781-Q1781)=1,K1781,I1781),coa_Name,0)),"Operating"))</f>
        <v/>
      </c>
      <c r="S1781" s="95">
        <f>IF((P1781-Q1781)=1,L1781,IF((P1781-Q1781)=-1,-J1781,0))</f>
        <v/>
      </c>
      <c r="T1781" s="95">
        <f>IF((P1781-Q1781)=1,N1781,IF((P1781-Q1781)=-1,-M1781,0))</f>
        <v/>
      </c>
      <c r="U1781" s="101">
        <f>IF(AND(H1781=1,LedAcct&lt;&gt;""),IF(AND(E1781&gt;=LedFrom,E1781&lt;=LedTo,OR(I1781=LedAcct,K1781=LedAcct,AND(LedAcct=acctTax,M1781+N1781&lt;&gt;0))),E1781*10000+B1781,""),"")</f>
        <v/>
      </c>
    </row>
    <row r="1782">
      <c r="B1782" s="101" t="n">
        <v>1776</v>
      </c>
      <c r="C1782" s="58" t="inlineStr">
        <is>
          <t>Transaction</t>
        </is>
      </c>
      <c r="D1782" s="58">
        <f>IF(H1782=1,INDEX(tx_ID,1776)&amp;"","")</f>
        <v/>
      </c>
      <c r="E1782" s="94">
        <f>IF(H1782=1,INDEX(tx_Date,1776),"")</f>
        <v/>
      </c>
      <c r="F1782" s="58">
        <f>IF(H1782=1,INDEX(tx_Desc,1776)&amp;"","")</f>
        <v/>
      </c>
      <c r="G1782" s="58">
        <f>IF(H1782=1,IF(INDEX(tx_Cust,1776)&amp;""&lt;&gt;"",INDEX(tx_Cust,1776)&amp;"",INDEX(tx_Vend,1776)&amp;""),"")</f>
        <v/>
      </c>
      <c r="H1782" s="101">
        <f>IFERROR(N(INDEX(tx_Posted,1776)),0)</f>
        <v/>
      </c>
      <c r="I1782" s="58">
        <f>IF(H1782=1,INDEX(tx_DrAcct,1776)&amp;"","")</f>
        <v/>
      </c>
      <c r="J1782" s="95">
        <f>IF(H1782=1,INDEX(tx_DrAmt,1776),0)</f>
        <v/>
      </c>
      <c r="K1782" s="58">
        <f>IF(H1782=1,INDEX(tx_CrAcct,1776)&amp;"","")</f>
        <v/>
      </c>
      <c r="L1782" s="95">
        <f>IF(H1782=1,INDEX(tx_CrAmt,1776),0)</f>
        <v/>
      </c>
      <c r="M1782" s="95">
        <f>IF(H1782=1,INDEX(tx_TaxDr,1776),0)</f>
        <v/>
      </c>
      <c r="N1782" s="95">
        <f>IF(H1782=1,INDEX(tx_TaxCr,1776),0)</f>
        <v/>
      </c>
      <c r="O1782" s="101">
        <f>IF(H1782=1,IF(E1782&lt;FYStart,0,IF(E1782&gt;FYEnd,13,YEAR(E1782)*12+MONTH(E1782)-FYYM+1)),"")</f>
        <v/>
      </c>
      <c r="P1782" s="101">
        <f>IF(H1782=1,IF(IFERROR(INDEX(coa_CF,MATCH(I1782,coa_Name,0)),"")="Cash",1,0),0)</f>
        <v/>
      </c>
      <c r="Q1782" s="101">
        <f>IF(H1782=1,IF(IFERROR(INDEX(coa_CF,MATCH(K1782,coa_Name,0)),"")="Cash",1,0),0)</f>
        <v/>
      </c>
      <c r="R1782" s="58">
        <f>IF((P1782-Q1782)=0,"",IFERROR(INDEX(coa_CF,MATCH(IF((P1782-Q1782)=1,K1782,I1782),coa_Name,0)),"Operating"))</f>
        <v/>
      </c>
      <c r="S1782" s="95">
        <f>IF((P1782-Q1782)=1,L1782,IF((P1782-Q1782)=-1,-J1782,0))</f>
        <v/>
      </c>
      <c r="T1782" s="95">
        <f>IF((P1782-Q1782)=1,N1782,IF((P1782-Q1782)=-1,-M1782,0))</f>
        <v/>
      </c>
      <c r="U1782" s="101">
        <f>IF(AND(H1782=1,LedAcct&lt;&gt;""),IF(AND(E1782&gt;=LedFrom,E1782&lt;=LedTo,OR(I1782=LedAcct,K1782=LedAcct,AND(LedAcct=acctTax,M1782+N1782&lt;&gt;0))),E1782*10000+B1782,""),"")</f>
        <v/>
      </c>
    </row>
    <row r="1783">
      <c r="B1783" s="101" t="n">
        <v>1777</v>
      </c>
      <c r="C1783" s="58" t="inlineStr">
        <is>
          <t>Transaction</t>
        </is>
      </c>
      <c r="D1783" s="58">
        <f>IF(H1783=1,INDEX(tx_ID,1777)&amp;"","")</f>
        <v/>
      </c>
      <c r="E1783" s="94">
        <f>IF(H1783=1,INDEX(tx_Date,1777),"")</f>
        <v/>
      </c>
      <c r="F1783" s="58">
        <f>IF(H1783=1,INDEX(tx_Desc,1777)&amp;"","")</f>
        <v/>
      </c>
      <c r="G1783" s="58">
        <f>IF(H1783=1,IF(INDEX(tx_Cust,1777)&amp;""&lt;&gt;"",INDEX(tx_Cust,1777)&amp;"",INDEX(tx_Vend,1777)&amp;""),"")</f>
        <v/>
      </c>
      <c r="H1783" s="101">
        <f>IFERROR(N(INDEX(tx_Posted,1777)),0)</f>
        <v/>
      </c>
      <c r="I1783" s="58">
        <f>IF(H1783=1,INDEX(tx_DrAcct,1777)&amp;"","")</f>
        <v/>
      </c>
      <c r="J1783" s="95">
        <f>IF(H1783=1,INDEX(tx_DrAmt,1777),0)</f>
        <v/>
      </c>
      <c r="K1783" s="58">
        <f>IF(H1783=1,INDEX(tx_CrAcct,1777)&amp;"","")</f>
        <v/>
      </c>
      <c r="L1783" s="95">
        <f>IF(H1783=1,INDEX(tx_CrAmt,1777),0)</f>
        <v/>
      </c>
      <c r="M1783" s="95">
        <f>IF(H1783=1,INDEX(tx_TaxDr,1777),0)</f>
        <v/>
      </c>
      <c r="N1783" s="95">
        <f>IF(H1783=1,INDEX(tx_TaxCr,1777),0)</f>
        <v/>
      </c>
      <c r="O1783" s="101">
        <f>IF(H1783=1,IF(E1783&lt;FYStart,0,IF(E1783&gt;FYEnd,13,YEAR(E1783)*12+MONTH(E1783)-FYYM+1)),"")</f>
        <v/>
      </c>
      <c r="P1783" s="101">
        <f>IF(H1783=1,IF(IFERROR(INDEX(coa_CF,MATCH(I1783,coa_Name,0)),"")="Cash",1,0),0)</f>
        <v/>
      </c>
      <c r="Q1783" s="101">
        <f>IF(H1783=1,IF(IFERROR(INDEX(coa_CF,MATCH(K1783,coa_Name,0)),"")="Cash",1,0),0)</f>
        <v/>
      </c>
      <c r="R1783" s="58">
        <f>IF((P1783-Q1783)=0,"",IFERROR(INDEX(coa_CF,MATCH(IF((P1783-Q1783)=1,K1783,I1783),coa_Name,0)),"Operating"))</f>
        <v/>
      </c>
      <c r="S1783" s="95">
        <f>IF((P1783-Q1783)=1,L1783,IF((P1783-Q1783)=-1,-J1783,0))</f>
        <v/>
      </c>
      <c r="T1783" s="95">
        <f>IF((P1783-Q1783)=1,N1783,IF((P1783-Q1783)=-1,-M1783,0))</f>
        <v/>
      </c>
      <c r="U1783" s="101">
        <f>IF(AND(H1783=1,LedAcct&lt;&gt;""),IF(AND(E1783&gt;=LedFrom,E1783&lt;=LedTo,OR(I1783=LedAcct,K1783=LedAcct,AND(LedAcct=acctTax,M1783+N1783&lt;&gt;0))),E1783*10000+B1783,""),"")</f>
        <v/>
      </c>
    </row>
    <row r="1784">
      <c r="B1784" s="101" t="n">
        <v>1778</v>
      </c>
      <c r="C1784" s="58" t="inlineStr">
        <is>
          <t>Transaction</t>
        </is>
      </c>
      <c r="D1784" s="58">
        <f>IF(H1784=1,INDEX(tx_ID,1778)&amp;"","")</f>
        <v/>
      </c>
      <c r="E1784" s="94">
        <f>IF(H1784=1,INDEX(tx_Date,1778),"")</f>
        <v/>
      </c>
      <c r="F1784" s="58">
        <f>IF(H1784=1,INDEX(tx_Desc,1778)&amp;"","")</f>
        <v/>
      </c>
      <c r="G1784" s="58">
        <f>IF(H1784=1,IF(INDEX(tx_Cust,1778)&amp;""&lt;&gt;"",INDEX(tx_Cust,1778)&amp;"",INDEX(tx_Vend,1778)&amp;""),"")</f>
        <v/>
      </c>
      <c r="H1784" s="101">
        <f>IFERROR(N(INDEX(tx_Posted,1778)),0)</f>
        <v/>
      </c>
      <c r="I1784" s="58">
        <f>IF(H1784=1,INDEX(tx_DrAcct,1778)&amp;"","")</f>
        <v/>
      </c>
      <c r="J1784" s="95">
        <f>IF(H1784=1,INDEX(tx_DrAmt,1778),0)</f>
        <v/>
      </c>
      <c r="K1784" s="58">
        <f>IF(H1784=1,INDEX(tx_CrAcct,1778)&amp;"","")</f>
        <v/>
      </c>
      <c r="L1784" s="95">
        <f>IF(H1784=1,INDEX(tx_CrAmt,1778),0)</f>
        <v/>
      </c>
      <c r="M1784" s="95">
        <f>IF(H1784=1,INDEX(tx_TaxDr,1778),0)</f>
        <v/>
      </c>
      <c r="N1784" s="95">
        <f>IF(H1784=1,INDEX(tx_TaxCr,1778),0)</f>
        <v/>
      </c>
      <c r="O1784" s="101">
        <f>IF(H1784=1,IF(E1784&lt;FYStart,0,IF(E1784&gt;FYEnd,13,YEAR(E1784)*12+MONTH(E1784)-FYYM+1)),"")</f>
        <v/>
      </c>
      <c r="P1784" s="101">
        <f>IF(H1784=1,IF(IFERROR(INDEX(coa_CF,MATCH(I1784,coa_Name,0)),"")="Cash",1,0),0)</f>
        <v/>
      </c>
      <c r="Q1784" s="101">
        <f>IF(H1784=1,IF(IFERROR(INDEX(coa_CF,MATCH(K1784,coa_Name,0)),"")="Cash",1,0),0)</f>
        <v/>
      </c>
      <c r="R1784" s="58">
        <f>IF((P1784-Q1784)=0,"",IFERROR(INDEX(coa_CF,MATCH(IF((P1784-Q1784)=1,K1784,I1784),coa_Name,0)),"Operating"))</f>
        <v/>
      </c>
      <c r="S1784" s="95">
        <f>IF((P1784-Q1784)=1,L1784,IF((P1784-Q1784)=-1,-J1784,0))</f>
        <v/>
      </c>
      <c r="T1784" s="95">
        <f>IF((P1784-Q1784)=1,N1784,IF((P1784-Q1784)=-1,-M1784,0))</f>
        <v/>
      </c>
      <c r="U1784" s="101">
        <f>IF(AND(H1784=1,LedAcct&lt;&gt;""),IF(AND(E1784&gt;=LedFrom,E1784&lt;=LedTo,OR(I1784=LedAcct,K1784=LedAcct,AND(LedAcct=acctTax,M1784+N1784&lt;&gt;0))),E1784*10000+B1784,""),"")</f>
        <v/>
      </c>
    </row>
    <row r="1785">
      <c r="B1785" s="101" t="n">
        <v>1779</v>
      </c>
      <c r="C1785" s="58" t="inlineStr">
        <is>
          <t>Transaction</t>
        </is>
      </c>
      <c r="D1785" s="58">
        <f>IF(H1785=1,INDEX(tx_ID,1779)&amp;"","")</f>
        <v/>
      </c>
      <c r="E1785" s="94">
        <f>IF(H1785=1,INDEX(tx_Date,1779),"")</f>
        <v/>
      </c>
      <c r="F1785" s="58">
        <f>IF(H1785=1,INDEX(tx_Desc,1779)&amp;"","")</f>
        <v/>
      </c>
      <c r="G1785" s="58">
        <f>IF(H1785=1,IF(INDEX(tx_Cust,1779)&amp;""&lt;&gt;"",INDEX(tx_Cust,1779)&amp;"",INDEX(tx_Vend,1779)&amp;""),"")</f>
        <v/>
      </c>
      <c r="H1785" s="101">
        <f>IFERROR(N(INDEX(tx_Posted,1779)),0)</f>
        <v/>
      </c>
      <c r="I1785" s="58">
        <f>IF(H1785=1,INDEX(tx_DrAcct,1779)&amp;"","")</f>
        <v/>
      </c>
      <c r="J1785" s="95">
        <f>IF(H1785=1,INDEX(tx_DrAmt,1779),0)</f>
        <v/>
      </c>
      <c r="K1785" s="58">
        <f>IF(H1785=1,INDEX(tx_CrAcct,1779)&amp;"","")</f>
        <v/>
      </c>
      <c r="L1785" s="95">
        <f>IF(H1785=1,INDEX(tx_CrAmt,1779),0)</f>
        <v/>
      </c>
      <c r="M1785" s="95">
        <f>IF(H1785=1,INDEX(tx_TaxDr,1779),0)</f>
        <v/>
      </c>
      <c r="N1785" s="95">
        <f>IF(H1785=1,INDEX(tx_TaxCr,1779),0)</f>
        <v/>
      </c>
      <c r="O1785" s="101">
        <f>IF(H1785=1,IF(E1785&lt;FYStart,0,IF(E1785&gt;FYEnd,13,YEAR(E1785)*12+MONTH(E1785)-FYYM+1)),"")</f>
        <v/>
      </c>
      <c r="P1785" s="101">
        <f>IF(H1785=1,IF(IFERROR(INDEX(coa_CF,MATCH(I1785,coa_Name,0)),"")="Cash",1,0),0)</f>
        <v/>
      </c>
      <c r="Q1785" s="101">
        <f>IF(H1785=1,IF(IFERROR(INDEX(coa_CF,MATCH(K1785,coa_Name,0)),"")="Cash",1,0),0)</f>
        <v/>
      </c>
      <c r="R1785" s="58">
        <f>IF((P1785-Q1785)=0,"",IFERROR(INDEX(coa_CF,MATCH(IF((P1785-Q1785)=1,K1785,I1785),coa_Name,0)),"Operating"))</f>
        <v/>
      </c>
      <c r="S1785" s="95">
        <f>IF((P1785-Q1785)=1,L1785,IF((P1785-Q1785)=-1,-J1785,0))</f>
        <v/>
      </c>
      <c r="T1785" s="95">
        <f>IF((P1785-Q1785)=1,N1785,IF((P1785-Q1785)=-1,-M1785,0))</f>
        <v/>
      </c>
      <c r="U1785" s="101">
        <f>IF(AND(H1785=1,LedAcct&lt;&gt;""),IF(AND(E1785&gt;=LedFrom,E1785&lt;=LedTo,OR(I1785=LedAcct,K1785=LedAcct,AND(LedAcct=acctTax,M1785+N1785&lt;&gt;0))),E1785*10000+B1785,""),"")</f>
        <v/>
      </c>
    </row>
    <row r="1786">
      <c r="B1786" s="101" t="n">
        <v>1780</v>
      </c>
      <c r="C1786" s="58" t="inlineStr">
        <is>
          <t>Transaction</t>
        </is>
      </c>
      <c r="D1786" s="58">
        <f>IF(H1786=1,INDEX(tx_ID,1780)&amp;"","")</f>
        <v/>
      </c>
      <c r="E1786" s="94">
        <f>IF(H1786=1,INDEX(tx_Date,1780),"")</f>
        <v/>
      </c>
      <c r="F1786" s="58">
        <f>IF(H1786=1,INDEX(tx_Desc,1780)&amp;"","")</f>
        <v/>
      </c>
      <c r="G1786" s="58">
        <f>IF(H1786=1,IF(INDEX(tx_Cust,1780)&amp;""&lt;&gt;"",INDEX(tx_Cust,1780)&amp;"",INDEX(tx_Vend,1780)&amp;""),"")</f>
        <v/>
      </c>
      <c r="H1786" s="101">
        <f>IFERROR(N(INDEX(tx_Posted,1780)),0)</f>
        <v/>
      </c>
      <c r="I1786" s="58">
        <f>IF(H1786=1,INDEX(tx_DrAcct,1780)&amp;"","")</f>
        <v/>
      </c>
      <c r="J1786" s="95">
        <f>IF(H1786=1,INDEX(tx_DrAmt,1780),0)</f>
        <v/>
      </c>
      <c r="K1786" s="58">
        <f>IF(H1786=1,INDEX(tx_CrAcct,1780)&amp;"","")</f>
        <v/>
      </c>
      <c r="L1786" s="95">
        <f>IF(H1786=1,INDEX(tx_CrAmt,1780),0)</f>
        <v/>
      </c>
      <c r="M1786" s="95">
        <f>IF(H1786=1,INDEX(tx_TaxDr,1780),0)</f>
        <v/>
      </c>
      <c r="N1786" s="95">
        <f>IF(H1786=1,INDEX(tx_TaxCr,1780),0)</f>
        <v/>
      </c>
      <c r="O1786" s="101">
        <f>IF(H1786=1,IF(E1786&lt;FYStart,0,IF(E1786&gt;FYEnd,13,YEAR(E1786)*12+MONTH(E1786)-FYYM+1)),"")</f>
        <v/>
      </c>
      <c r="P1786" s="101">
        <f>IF(H1786=1,IF(IFERROR(INDEX(coa_CF,MATCH(I1786,coa_Name,0)),"")="Cash",1,0),0)</f>
        <v/>
      </c>
      <c r="Q1786" s="101">
        <f>IF(H1786=1,IF(IFERROR(INDEX(coa_CF,MATCH(K1786,coa_Name,0)),"")="Cash",1,0),0)</f>
        <v/>
      </c>
      <c r="R1786" s="58">
        <f>IF((P1786-Q1786)=0,"",IFERROR(INDEX(coa_CF,MATCH(IF((P1786-Q1786)=1,K1786,I1786),coa_Name,0)),"Operating"))</f>
        <v/>
      </c>
      <c r="S1786" s="95">
        <f>IF((P1786-Q1786)=1,L1786,IF((P1786-Q1786)=-1,-J1786,0))</f>
        <v/>
      </c>
      <c r="T1786" s="95">
        <f>IF((P1786-Q1786)=1,N1786,IF((P1786-Q1786)=-1,-M1786,0))</f>
        <v/>
      </c>
      <c r="U1786" s="101">
        <f>IF(AND(H1786=1,LedAcct&lt;&gt;""),IF(AND(E1786&gt;=LedFrom,E1786&lt;=LedTo,OR(I1786=LedAcct,K1786=LedAcct,AND(LedAcct=acctTax,M1786+N1786&lt;&gt;0))),E1786*10000+B1786,""),"")</f>
        <v/>
      </c>
    </row>
    <row r="1787">
      <c r="B1787" s="101" t="n">
        <v>1781</v>
      </c>
      <c r="C1787" s="58" t="inlineStr">
        <is>
          <t>Transaction</t>
        </is>
      </c>
      <c r="D1787" s="58">
        <f>IF(H1787=1,INDEX(tx_ID,1781)&amp;"","")</f>
        <v/>
      </c>
      <c r="E1787" s="94">
        <f>IF(H1787=1,INDEX(tx_Date,1781),"")</f>
        <v/>
      </c>
      <c r="F1787" s="58">
        <f>IF(H1787=1,INDEX(tx_Desc,1781)&amp;"","")</f>
        <v/>
      </c>
      <c r="G1787" s="58">
        <f>IF(H1787=1,IF(INDEX(tx_Cust,1781)&amp;""&lt;&gt;"",INDEX(tx_Cust,1781)&amp;"",INDEX(tx_Vend,1781)&amp;""),"")</f>
        <v/>
      </c>
      <c r="H1787" s="101">
        <f>IFERROR(N(INDEX(tx_Posted,1781)),0)</f>
        <v/>
      </c>
      <c r="I1787" s="58">
        <f>IF(H1787=1,INDEX(tx_DrAcct,1781)&amp;"","")</f>
        <v/>
      </c>
      <c r="J1787" s="95">
        <f>IF(H1787=1,INDEX(tx_DrAmt,1781),0)</f>
        <v/>
      </c>
      <c r="K1787" s="58">
        <f>IF(H1787=1,INDEX(tx_CrAcct,1781)&amp;"","")</f>
        <v/>
      </c>
      <c r="L1787" s="95">
        <f>IF(H1787=1,INDEX(tx_CrAmt,1781),0)</f>
        <v/>
      </c>
      <c r="M1787" s="95">
        <f>IF(H1787=1,INDEX(tx_TaxDr,1781),0)</f>
        <v/>
      </c>
      <c r="N1787" s="95">
        <f>IF(H1787=1,INDEX(tx_TaxCr,1781),0)</f>
        <v/>
      </c>
      <c r="O1787" s="101">
        <f>IF(H1787=1,IF(E1787&lt;FYStart,0,IF(E1787&gt;FYEnd,13,YEAR(E1787)*12+MONTH(E1787)-FYYM+1)),"")</f>
        <v/>
      </c>
      <c r="P1787" s="101">
        <f>IF(H1787=1,IF(IFERROR(INDEX(coa_CF,MATCH(I1787,coa_Name,0)),"")="Cash",1,0),0)</f>
        <v/>
      </c>
      <c r="Q1787" s="101">
        <f>IF(H1787=1,IF(IFERROR(INDEX(coa_CF,MATCH(K1787,coa_Name,0)),"")="Cash",1,0),0)</f>
        <v/>
      </c>
      <c r="R1787" s="58">
        <f>IF((P1787-Q1787)=0,"",IFERROR(INDEX(coa_CF,MATCH(IF((P1787-Q1787)=1,K1787,I1787),coa_Name,0)),"Operating"))</f>
        <v/>
      </c>
      <c r="S1787" s="95">
        <f>IF((P1787-Q1787)=1,L1787,IF((P1787-Q1787)=-1,-J1787,0))</f>
        <v/>
      </c>
      <c r="T1787" s="95">
        <f>IF((P1787-Q1787)=1,N1787,IF((P1787-Q1787)=-1,-M1787,0))</f>
        <v/>
      </c>
      <c r="U1787" s="101">
        <f>IF(AND(H1787=1,LedAcct&lt;&gt;""),IF(AND(E1787&gt;=LedFrom,E1787&lt;=LedTo,OR(I1787=LedAcct,K1787=LedAcct,AND(LedAcct=acctTax,M1787+N1787&lt;&gt;0))),E1787*10000+B1787,""),"")</f>
        <v/>
      </c>
    </row>
    <row r="1788">
      <c r="B1788" s="101" t="n">
        <v>1782</v>
      </c>
      <c r="C1788" s="58" t="inlineStr">
        <is>
          <t>Transaction</t>
        </is>
      </c>
      <c r="D1788" s="58">
        <f>IF(H1788=1,INDEX(tx_ID,1782)&amp;"","")</f>
        <v/>
      </c>
      <c r="E1788" s="94">
        <f>IF(H1788=1,INDEX(tx_Date,1782),"")</f>
        <v/>
      </c>
      <c r="F1788" s="58">
        <f>IF(H1788=1,INDEX(tx_Desc,1782)&amp;"","")</f>
        <v/>
      </c>
      <c r="G1788" s="58">
        <f>IF(H1788=1,IF(INDEX(tx_Cust,1782)&amp;""&lt;&gt;"",INDEX(tx_Cust,1782)&amp;"",INDEX(tx_Vend,1782)&amp;""),"")</f>
        <v/>
      </c>
      <c r="H1788" s="101">
        <f>IFERROR(N(INDEX(tx_Posted,1782)),0)</f>
        <v/>
      </c>
      <c r="I1788" s="58">
        <f>IF(H1788=1,INDEX(tx_DrAcct,1782)&amp;"","")</f>
        <v/>
      </c>
      <c r="J1788" s="95">
        <f>IF(H1788=1,INDEX(tx_DrAmt,1782),0)</f>
        <v/>
      </c>
      <c r="K1788" s="58">
        <f>IF(H1788=1,INDEX(tx_CrAcct,1782)&amp;"","")</f>
        <v/>
      </c>
      <c r="L1788" s="95">
        <f>IF(H1788=1,INDEX(tx_CrAmt,1782),0)</f>
        <v/>
      </c>
      <c r="M1788" s="95">
        <f>IF(H1788=1,INDEX(tx_TaxDr,1782),0)</f>
        <v/>
      </c>
      <c r="N1788" s="95">
        <f>IF(H1788=1,INDEX(tx_TaxCr,1782),0)</f>
        <v/>
      </c>
      <c r="O1788" s="101">
        <f>IF(H1788=1,IF(E1788&lt;FYStart,0,IF(E1788&gt;FYEnd,13,YEAR(E1788)*12+MONTH(E1788)-FYYM+1)),"")</f>
        <v/>
      </c>
      <c r="P1788" s="101">
        <f>IF(H1788=1,IF(IFERROR(INDEX(coa_CF,MATCH(I1788,coa_Name,0)),"")="Cash",1,0),0)</f>
        <v/>
      </c>
      <c r="Q1788" s="101">
        <f>IF(H1788=1,IF(IFERROR(INDEX(coa_CF,MATCH(K1788,coa_Name,0)),"")="Cash",1,0),0)</f>
        <v/>
      </c>
      <c r="R1788" s="58">
        <f>IF((P1788-Q1788)=0,"",IFERROR(INDEX(coa_CF,MATCH(IF((P1788-Q1788)=1,K1788,I1788),coa_Name,0)),"Operating"))</f>
        <v/>
      </c>
      <c r="S1788" s="95">
        <f>IF((P1788-Q1788)=1,L1788,IF((P1788-Q1788)=-1,-J1788,0))</f>
        <v/>
      </c>
      <c r="T1788" s="95">
        <f>IF((P1788-Q1788)=1,N1788,IF((P1788-Q1788)=-1,-M1788,0))</f>
        <v/>
      </c>
      <c r="U1788" s="101">
        <f>IF(AND(H1788=1,LedAcct&lt;&gt;""),IF(AND(E1788&gt;=LedFrom,E1788&lt;=LedTo,OR(I1788=LedAcct,K1788=LedAcct,AND(LedAcct=acctTax,M1788+N1788&lt;&gt;0))),E1788*10000+B1788,""),"")</f>
        <v/>
      </c>
    </row>
    <row r="1789">
      <c r="B1789" s="101" t="n">
        <v>1783</v>
      </c>
      <c r="C1789" s="58" t="inlineStr">
        <is>
          <t>Transaction</t>
        </is>
      </c>
      <c r="D1789" s="58">
        <f>IF(H1789=1,INDEX(tx_ID,1783)&amp;"","")</f>
        <v/>
      </c>
      <c r="E1789" s="94">
        <f>IF(H1789=1,INDEX(tx_Date,1783),"")</f>
        <v/>
      </c>
      <c r="F1789" s="58">
        <f>IF(H1789=1,INDEX(tx_Desc,1783)&amp;"","")</f>
        <v/>
      </c>
      <c r="G1789" s="58">
        <f>IF(H1789=1,IF(INDEX(tx_Cust,1783)&amp;""&lt;&gt;"",INDEX(tx_Cust,1783)&amp;"",INDEX(tx_Vend,1783)&amp;""),"")</f>
        <v/>
      </c>
      <c r="H1789" s="101">
        <f>IFERROR(N(INDEX(tx_Posted,1783)),0)</f>
        <v/>
      </c>
      <c r="I1789" s="58">
        <f>IF(H1789=1,INDEX(tx_DrAcct,1783)&amp;"","")</f>
        <v/>
      </c>
      <c r="J1789" s="95">
        <f>IF(H1789=1,INDEX(tx_DrAmt,1783),0)</f>
        <v/>
      </c>
      <c r="K1789" s="58">
        <f>IF(H1789=1,INDEX(tx_CrAcct,1783)&amp;"","")</f>
        <v/>
      </c>
      <c r="L1789" s="95">
        <f>IF(H1789=1,INDEX(tx_CrAmt,1783),0)</f>
        <v/>
      </c>
      <c r="M1789" s="95">
        <f>IF(H1789=1,INDEX(tx_TaxDr,1783),0)</f>
        <v/>
      </c>
      <c r="N1789" s="95">
        <f>IF(H1789=1,INDEX(tx_TaxCr,1783),0)</f>
        <v/>
      </c>
      <c r="O1789" s="101">
        <f>IF(H1789=1,IF(E1789&lt;FYStart,0,IF(E1789&gt;FYEnd,13,YEAR(E1789)*12+MONTH(E1789)-FYYM+1)),"")</f>
        <v/>
      </c>
      <c r="P1789" s="101">
        <f>IF(H1789=1,IF(IFERROR(INDEX(coa_CF,MATCH(I1789,coa_Name,0)),"")="Cash",1,0),0)</f>
        <v/>
      </c>
      <c r="Q1789" s="101">
        <f>IF(H1789=1,IF(IFERROR(INDEX(coa_CF,MATCH(K1789,coa_Name,0)),"")="Cash",1,0),0)</f>
        <v/>
      </c>
      <c r="R1789" s="58">
        <f>IF((P1789-Q1789)=0,"",IFERROR(INDEX(coa_CF,MATCH(IF((P1789-Q1789)=1,K1789,I1789),coa_Name,0)),"Operating"))</f>
        <v/>
      </c>
      <c r="S1789" s="95">
        <f>IF((P1789-Q1789)=1,L1789,IF((P1789-Q1789)=-1,-J1789,0))</f>
        <v/>
      </c>
      <c r="T1789" s="95">
        <f>IF((P1789-Q1789)=1,N1789,IF((P1789-Q1789)=-1,-M1789,0))</f>
        <v/>
      </c>
      <c r="U1789" s="101">
        <f>IF(AND(H1789=1,LedAcct&lt;&gt;""),IF(AND(E1789&gt;=LedFrom,E1789&lt;=LedTo,OR(I1789=LedAcct,K1789=LedAcct,AND(LedAcct=acctTax,M1789+N1789&lt;&gt;0))),E1789*10000+B1789,""),"")</f>
        <v/>
      </c>
    </row>
    <row r="1790">
      <c r="B1790" s="101" t="n">
        <v>1784</v>
      </c>
      <c r="C1790" s="58" t="inlineStr">
        <is>
          <t>Transaction</t>
        </is>
      </c>
      <c r="D1790" s="58">
        <f>IF(H1790=1,INDEX(tx_ID,1784)&amp;"","")</f>
        <v/>
      </c>
      <c r="E1790" s="94">
        <f>IF(H1790=1,INDEX(tx_Date,1784),"")</f>
        <v/>
      </c>
      <c r="F1790" s="58">
        <f>IF(H1790=1,INDEX(tx_Desc,1784)&amp;"","")</f>
        <v/>
      </c>
      <c r="G1790" s="58">
        <f>IF(H1790=1,IF(INDEX(tx_Cust,1784)&amp;""&lt;&gt;"",INDEX(tx_Cust,1784)&amp;"",INDEX(tx_Vend,1784)&amp;""),"")</f>
        <v/>
      </c>
      <c r="H1790" s="101">
        <f>IFERROR(N(INDEX(tx_Posted,1784)),0)</f>
        <v/>
      </c>
      <c r="I1790" s="58">
        <f>IF(H1790=1,INDEX(tx_DrAcct,1784)&amp;"","")</f>
        <v/>
      </c>
      <c r="J1790" s="95">
        <f>IF(H1790=1,INDEX(tx_DrAmt,1784),0)</f>
        <v/>
      </c>
      <c r="K1790" s="58">
        <f>IF(H1790=1,INDEX(tx_CrAcct,1784)&amp;"","")</f>
        <v/>
      </c>
      <c r="L1790" s="95">
        <f>IF(H1790=1,INDEX(tx_CrAmt,1784),0)</f>
        <v/>
      </c>
      <c r="M1790" s="95">
        <f>IF(H1790=1,INDEX(tx_TaxDr,1784),0)</f>
        <v/>
      </c>
      <c r="N1790" s="95">
        <f>IF(H1790=1,INDEX(tx_TaxCr,1784),0)</f>
        <v/>
      </c>
      <c r="O1790" s="101">
        <f>IF(H1790=1,IF(E1790&lt;FYStart,0,IF(E1790&gt;FYEnd,13,YEAR(E1790)*12+MONTH(E1790)-FYYM+1)),"")</f>
        <v/>
      </c>
      <c r="P1790" s="101">
        <f>IF(H1790=1,IF(IFERROR(INDEX(coa_CF,MATCH(I1790,coa_Name,0)),"")="Cash",1,0),0)</f>
        <v/>
      </c>
      <c r="Q1790" s="101">
        <f>IF(H1790=1,IF(IFERROR(INDEX(coa_CF,MATCH(K1790,coa_Name,0)),"")="Cash",1,0),0)</f>
        <v/>
      </c>
      <c r="R1790" s="58">
        <f>IF((P1790-Q1790)=0,"",IFERROR(INDEX(coa_CF,MATCH(IF((P1790-Q1790)=1,K1790,I1790),coa_Name,0)),"Operating"))</f>
        <v/>
      </c>
      <c r="S1790" s="95">
        <f>IF((P1790-Q1790)=1,L1790,IF((P1790-Q1790)=-1,-J1790,0))</f>
        <v/>
      </c>
      <c r="T1790" s="95">
        <f>IF((P1790-Q1790)=1,N1790,IF((P1790-Q1790)=-1,-M1790,0))</f>
        <v/>
      </c>
      <c r="U1790" s="101">
        <f>IF(AND(H1790=1,LedAcct&lt;&gt;""),IF(AND(E1790&gt;=LedFrom,E1790&lt;=LedTo,OR(I1790=LedAcct,K1790=LedAcct,AND(LedAcct=acctTax,M1790+N1790&lt;&gt;0))),E1790*10000+B1790,""),"")</f>
        <v/>
      </c>
    </row>
    <row r="1791">
      <c r="B1791" s="101" t="n">
        <v>1785</v>
      </c>
      <c r="C1791" s="58" t="inlineStr">
        <is>
          <t>Transaction</t>
        </is>
      </c>
      <c r="D1791" s="58">
        <f>IF(H1791=1,INDEX(tx_ID,1785)&amp;"","")</f>
        <v/>
      </c>
      <c r="E1791" s="94">
        <f>IF(H1791=1,INDEX(tx_Date,1785),"")</f>
        <v/>
      </c>
      <c r="F1791" s="58">
        <f>IF(H1791=1,INDEX(tx_Desc,1785)&amp;"","")</f>
        <v/>
      </c>
      <c r="G1791" s="58">
        <f>IF(H1791=1,IF(INDEX(tx_Cust,1785)&amp;""&lt;&gt;"",INDEX(tx_Cust,1785)&amp;"",INDEX(tx_Vend,1785)&amp;""),"")</f>
        <v/>
      </c>
      <c r="H1791" s="101">
        <f>IFERROR(N(INDEX(tx_Posted,1785)),0)</f>
        <v/>
      </c>
      <c r="I1791" s="58">
        <f>IF(H1791=1,INDEX(tx_DrAcct,1785)&amp;"","")</f>
        <v/>
      </c>
      <c r="J1791" s="95">
        <f>IF(H1791=1,INDEX(tx_DrAmt,1785),0)</f>
        <v/>
      </c>
      <c r="K1791" s="58">
        <f>IF(H1791=1,INDEX(tx_CrAcct,1785)&amp;"","")</f>
        <v/>
      </c>
      <c r="L1791" s="95">
        <f>IF(H1791=1,INDEX(tx_CrAmt,1785),0)</f>
        <v/>
      </c>
      <c r="M1791" s="95">
        <f>IF(H1791=1,INDEX(tx_TaxDr,1785),0)</f>
        <v/>
      </c>
      <c r="N1791" s="95">
        <f>IF(H1791=1,INDEX(tx_TaxCr,1785),0)</f>
        <v/>
      </c>
      <c r="O1791" s="101">
        <f>IF(H1791=1,IF(E1791&lt;FYStart,0,IF(E1791&gt;FYEnd,13,YEAR(E1791)*12+MONTH(E1791)-FYYM+1)),"")</f>
        <v/>
      </c>
      <c r="P1791" s="101">
        <f>IF(H1791=1,IF(IFERROR(INDEX(coa_CF,MATCH(I1791,coa_Name,0)),"")="Cash",1,0),0)</f>
        <v/>
      </c>
      <c r="Q1791" s="101">
        <f>IF(H1791=1,IF(IFERROR(INDEX(coa_CF,MATCH(K1791,coa_Name,0)),"")="Cash",1,0),0)</f>
        <v/>
      </c>
      <c r="R1791" s="58">
        <f>IF((P1791-Q1791)=0,"",IFERROR(INDEX(coa_CF,MATCH(IF((P1791-Q1791)=1,K1791,I1791),coa_Name,0)),"Operating"))</f>
        <v/>
      </c>
      <c r="S1791" s="95">
        <f>IF((P1791-Q1791)=1,L1791,IF((P1791-Q1791)=-1,-J1791,0))</f>
        <v/>
      </c>
      <c r="T1791" s="95">
        <f>IF((P1791-Q1791)=1,N1791,IF((P1791-Q1791)=-1,-M1791,0))</f>
        <v/>
      </c>
      <c r="U1791" s="101">
        <f>IF(AND(H1791=1,LedAcct&lt;&gt;""),IF(AND(E1791&gt;=LedFrom,E1791&lt;=LedTo,OR(I1791=LedAcct,K1791=LedAcct,AND(LedAcct=acctTax,M1791+N1791&lt;&gt;0))),E1791*10000+B1791,""),"")</f>
        <v/>
      </c>
    </row>
    <row r="1792">
      <c r="B1792" s="101" t="n">
        <v>1786</v>
      </c>
      <c r="C1792" s="58" t="inlineStr">
        <is>
          <t>Transaction</t>
        </is>
      </c>
      <c r="D1792" s="58">
        <f>IF(H1792=1,INDEX(tx_ID,1786)&amp;"","")</f>
        <v/>
      </c>
      <c r="E1792" s="94">
        <f>IF(H1792=1,INDEX(tx_Date,1786),"")</f>
        <v/>
      </c>
      <c r="F1792" s="58">
        <f>IF(H1792=1,INDEX(tx_Desc,1786)&amp;"","")</f>
        <v/>
      </c>
      <c r="G1792" s="58">
        <f>IF(H1792=1,IF(INDEX(tx_Cust,1786)&amp;""&lt;&gt;"",INDEX(tx_Cust,1786)&amp;"",INDEX(tx_Vend,1786)&amp;""),"")</f>
        <v/>
      </c>
      <c r="H1792" s="101">
        <f>IFERROR(N(INDEX(tx_Posted,1786)),0)</f>
        <v/>
      </c>
      <c r="I1792" s="58">
        <f>IF(H1792=1,INDEX(tx_DrAcct,1786)&amp;"","")</f>
        <v/>
      </c>
      <c r="J1792" s="95">
        <f>IF(H1792=1,INDEX(tx_DrAmt,1786),0)</f>
        <v/>
      </c>
      <c r="K1792" s="58">
        <f>IF(H1792=1,INDEX(tx_CrAcct,1786)&amp;"","")</f>
        <v/>
      </c>
      <c r="L1792" s="95">
        <f>IF(H1792=1,INDEX(tx_CrAmt,1786),0)</f>
        <v/>
      </c>
      <c r="M1792" s="95">
        <f>IF(H1792=1,INDEX(tx_TaxDr,1786),0)</f>
        <v/>
      </c>
      <c r="N1792" s="95">
        <f>IF(H1792=1,INDEX(tx_TaxCr,1786),0)</f>
        <v/>
      </c>
      <c r="O1792" s="101">
        <f>IF(H1792=1,IF(E1792&lt;FYStart,0,IF(E1792&gt;FYEnd,13,YEAR(E1792)*12+MONTH(E1792)-FYYM+1)),"")</f>
        <v/>
      </c>
      <c r="P1792" s="101">
        <f>IF(H1792=1,IF(IFERROR(INDEX(coa_CF,MATCH(I1792,coa_Name,0)),"")="Cash",1,0),0)</f>
        <v/>
      </c>
      <c r="Q1792" s="101">
        <f>IF(H1792=1,IF(IFERROR(INDEX(coa_CF,MATCH(K1792,coa_Name,0)),"")="Cash",1,0),0)</f>
        <v/>
      </c>
      <c r="R1792" s="58">
        <f>IF((P1792-Q1792)=0,"",IFERROR(INDEX(coa_CF,MATCH(IF((P1792-Q1792)=1,K1792,I1792),coa_Name,0)),"Operating"))</f>
        <v/>
      </c>
      <c r="S1792" s="95">
        <f>IF((P1792-Q1792)=1,L1792,IF((P1792-Q1792)=-1,-J1792,0))</f>
        <v/>
      </c>
      <c r="T1792" s="95">
        <f>IF((P1792-Q1792)=1,N1792,IF((P1792-Q1792)=-1,-M1792,0))</f>
        <v/>
      </c>
      <c r="U1792" s="101">
        <f>IF(AND(H1792=1,LedAcct&lt;&gt;""),IF(AND(E1792&gt;=LedFrom,E1792&lt;=LedTo,OR(I1792=LedAcct,K1792=LedAcct,AND(LedAcct=acctTax,M1792+N1792&lt;&gt;0))),E1792*10000+B1792,""),"")</f>
        <v/>
      </c>
    </row>
    <row r="1793">
      <c r="B1793" s="101" t="n">
        <v>1787</v>
      </c>
      <c r="C1793" s="58" t="inlineStr">
        <is>
          <t>Transaction</t>
        </is>
      </c>
      <c r="D1793" s="58">
        <f>IF(H1793=1,INDEX(tx_ID,1787)&amp;"","")</f>
        <v/>
      </c>
      <c r="E1793" s="94">
        <f>IF(H1793=1,INDEX(tx_Date,1787),"")</f>
        <v/>
      </c>
      <c r="F1793" s="58">
        <f>IF(H1793=1,INDEX(tx_Desc,1787)&amp;"","")</f>
        <v/>
      </c>
      <c r="G1793" s="58">
        <f>IF(H1793=1,IF(INDEX(tx_Cust,1787)&amp;""&lt;&gt;"",INDEX(tx_Cust,1787)&amp;"",INDEX(tx_Vend,1787)&amp;""),"")</f>
        <v/>
      </c>
      <c r="H1793" s="101">
        <f>IFERROR(N(INDEX(tx_Posted,1787)),0)</f>
        <v/>
      </c>
      <c r="I1793" s="58">
        <f>IF(H1793=1,INDEX(tx_DrAcct,1787)&amp;"","")</f>
        <v/>
      </c>
      <c r="J1793" s="95">
        <f>IF(H1793=1,INDEX(tx_DrAmt,1787),0)</f>
        <v/>
      </c>
      <c r="K1793" s="58">
        <f>IF(H1793=1,INDEX(tx_CrAcct,1787)&amp;"","")</f>
        <v/>
      </c>
      <c r="L1793" s="95">
        <f>IF(H1793=1,INDEX(tx_CrAmt,1787),0)</f>
        <v/>
      </c>
      <c r="M1793" s="95">
        <f>IF(H1793=1,INDEX(tx_TaxDr,1787),0)</f>
        <v/>
      </c>
      <c r="N1793" s="95">
        <f>IF(H1793=1,INDEX(tx_TaxCr,1787),0)</f>
        <v/>
      </c>
      <c r="O1793" s="101">
        <f>IF(H1793=1,IF(E1793&lt;FYStart,0,IF(E1793&gt;FYEnd,13,YEAR(E1793)*12+MONTH(E1793)-FYYM+1)),"")</f>
        <v/>
      </c>
      <c r="P1793" s="101">
        <f>IF(H1793=1,IF(IFERROR(INDEX(coa_CF,MATCH(I1793,coa_Name,0)),"")="Cash",1,0),0)</f>
        <v/>
      </c>
      <c r="Q1793" s="101">
        <f>IF(H1793=1,IF(IFERROR(INDEX(coa_CF,MATCH(K1793,coa_Name,0)),"")="Cash",1,0),0)</f>
        <v/>
      </c>
      <c r="R1793" s="58">
        <f>IF((P1793-Q1793)=0,"",IFERROR(INDEX(coa_CF,MATCH(IF((P1793-Q1793)=1,K1793,I1793),coa_Name,0)),"Operating"))</f>
        <v/>
      </c>
      <c r="S1793" s="95">
        <f>IF((P1793-Q1793)=1,L1793,IF((P1793-Q1793)=-1,-J1793,0))</f>
        <v/>
      </c>
      <c r="T1793" s="95">
        <f>IF((P1793-Q1793)=1,N1793,IF((P1793-Q1793)=-1,-M1793,0))</f>
        <v/>
      </c>
      <c r="U1793" s="101">
        <f>IF(AND(H1793=1,LedAcct&lt;&gt;""),IF(AND(E1793&gt;=LedFrom,E1793&lt;=LedTo,OR(I1793=LedAcct,K1793=LedAcct,AND(LedAcct=acctTax,M1793+N1793&lt;&gt;0))),E1793*10000+B1793,""),"")</f>
        <v/>
      </c>
    </row>
    <row r="1794">
      <c r="B1794" s="101" t="n">
        <v>1788</v>
      </c>
      <c r="C1794" s="58" t="inlineStr">
        <is>
          <t>Transaction</t>
        </is>
      </c>
      <c r="D1794" s="58">
        <f>IF(H1794=1,INDEX(tx_ID,1788)&amp;"","")</f>
        <v/>
      </c>
      <c r="E1794" s="94">
        <f>IF(H1794=1,INDEX(tx_Date,1788),"")</f>
        <v/>
      </c>
      <c r="F1794" s="58">
        <f>IF(H1794=1,INDEX(tx_Desc,1788)&amp;"","")</f>
        <v/>
      </c>
      <c r="G1794" s="58">
        <f>IF(H1794=1,IF(INDEX(tx_Cust,1788)&amp;""&lt;&gt;"",INDEX(tx_Cust,1788)&amp;"",INDEX(tx_Vend,1788)&amp;""),"")</f>
        <v/>
      </c>
      <c r="H1794" s="101">
        <f>IFERROR(N(INDEX(tx_Posted,1788)),0)</f>
        <v/>
      </c>
      <c r="I1794" s="58">
        <f>IF(H1794=1,INDEX(tx_DrAcct,1788)&amp;"","")</f>
        <v/>
      </c>
      <c r="J1794" s="95">
        <f>IF(H1794=1,INDEX(tx_DrAmt,1788),0)</f>
        <v/>
      </c>
      <c r="K1794" s="58">
        <f>IF(H1794=1,INDEX(tx_CrAcct,1788)&amp;"","")</f>
        <v/>
      </c>
      <c r="L1794" s="95">
        <f>IF(H1794=1,INDEX(tx_CrAmt,1788),0)</f>
        <v/>
      </c>
      <c r="M1794" s="95">
        <f>IF(H1794=1,INDEX(tx_TaxDr,1788),0)</f>
        <v/>
      </c>
      <c r="N1794" s="95">
        <f>IF(H1794=1,INDEX(tx_TaxCr,1788),0)</f>
        <v/>
      </c>
      <c r="O1794" s="101">
        <f>IF(H1794=1,IF(E1794&lt;FYStart,0,IF(E1794&gt;FYEnd,13,YEAR(E1794)*12+MONTH(E1794)-FYYM+1)),"")</f>
        <v/>
      </c>
      <c r="P1794" s="101">
        <f>IF(H1794=1,IF(IFERROR(INDEX(coa_CF,MATCH(I1794,coa_Name,0)),"")="Cash",1,0),0)</f>
        <v/>
      </c>
      <c r="Q1794" s="101">
        <f>IF(H1794=1,IF(IFERROR(INDEX(coa_CF,MATCH(K1794,coa_Name,0)),"")="Cash",1,0),0)</f>
        <v/>
      </c>
      <c r="R1794" s="58">
        <f>IF((P1794-Q1794)=0,"",IFERROR(INDEX(coa_CF,MATCH(IF((P1794-Q1794)=1,K1794,I1794),coa_Name,0)),"Operating"))</f>
        <v/>
      </c>
      <c r="S1794" s="95">
        <f>IF((P1794-Q1794)=1,L1794,IF((P1794-Q1794)=-1,-J1794,0))</f>
        <v/>
      </c>
      <c r="T1794" s="95">
        <f>IF((P1794-Q1794)=1,N1794,IF((P1794-Q1794)=-1,-M1794,0))</f>
        <v/>
      </c>
      <c r="U1794" s="101">
        <f>IF(AND(H1794=1,LedAcct&lt;&gt;""),IF(AND(E1794&gt;=LedFrom,E1794&lt;=LedTo,OR(I1794=LedAcct,K1794=LedAcct,AND(LedAcct=acctTax,M1794+N1794&lt;&gt;0))),E1794*10000+B1794,""),"")</f>
        <v/>
      </c>
    </row>
    <row r="1795">
      <c r="B1795" s="101" t="n">
        <v>1789</v>
      </c>
      <c r="C1795" s="58" t="inlineStr">
        <is>
          <t>Transaction</t>
        </is>
      </c>
      <c r="D1795" s="58">
        <f>IF(H1795=1,INDEX(tx_ID,1789)&amp;"","")</f>
        <v/>
      </c>
      <c r="E1795" s="94">
        <f>IF(H1795=1,INDEX(tx_Date,1789),"")</f>
        <v/>
      </c>
      <c r="F1795" s="58">
        <f>IF(H1795=1,INDEX(tx_Desc,1789)&amp;"","")</f>
        <v/>
      </c>
      <c r="G1795" s="58">
        <f>IF(H1795=1,IF(INDEX(tx_Cust,1789)&amp;""&lt;&gt;"",INDEX(tx_Cust,1789)&amp;"",INDEX(tx_Vend,1789)&amp;""),"")</f>
        <v/>
      </c>
      <c r="H1795" s="101">
        <f>IFERROR(N(INDEX(tx_Posted,1789)),0)</f>
        <v/>
      </c>
      <c r="I1795" s="58">
        <f>IF(H1795=1,INDEX(tx_DrAcct,1789)&amp;"","")</f>
        <v/>
      </c>
      <c r="J1795" s="95">
        <f>IF(H1795=1,INDEX(tx_DrAmt,1789),0)</f>
        <v/>
      </c>
      <c r="K1795" s="58">
        <f>IF(H1795=1,INDEX(tx_CrAcct,1789)&amp;"","")</f>
        <v/>
      </c>
      <c r="L1795" s="95">
        <f>IF(H1795=1,INDEX(tx_CrAmt,1789),0)</f>
        <v/>
      </c>
      <c r="M1795" s="95">
        <f>IF(H1795=1,INDEX(tx_TaxDr,1789),0)</f>
        <v/>
      </c>
      <c r="N1795" s="95">
        <f>IF(H1795=1,INDEX(tx_TaxCr,1789),0)</f>
        <v/>
      </c>
      <c r="O1795" s="101">
        <f>IF(H1795=1,IF(E1795&lt;FYStart,0,IF(E1795&gt;FYEnd,13,YEAR(E1795)*12+MONTH(E1795)-FYYM+1)),"")</f>
        <v/>
      </c>
      <c r="P1795" s="101">
        <f>IF(H1795=1,IF(IFERROR(INDEX(coa_CF,MATCH(I1795,coa_Name,0)),"")="Cash",1,0),0)</f>
        <v/>
      </c>
      <c r="Q1795" s="101">
        <f>IF(H1795=1,IF(IFERROR(INDEX(coa_CF,MATCH(K1795,coa_Name,0)),"")="Cash",1,0),0)</f>
        <v/>
      </c>
      <c r="R1795" s="58">
        <f>IF((P1795-Q1795)=0,"",IFERROR(INDEX(coa_CF,MATCH(IF((P1795-Q1795)=1,K1795,I1795),coa_Name,0)),"Operating"))</f>
        <v/>
      </c>
      <c r="S1795" s="95">
        <f>IF((P1795-Q1795)=1,L1795,IF((P1795-Q1795)=-1,-J1795,0))</f>
        <v/>
      </c>
      <c r="T1795" s="95">
        <f>IF((P1795-Q1795)=1,N1795,IF((P1795-Q1795)=-1,-M1795,0))</f>
        <v/>
      </c>
      <c r="U1795" s="101">
        <f>IF(AND(H1795=1,LedAcct&lt;&gt;""),IF(AND(E1795&gt;=LedFrom,E1795&lt;=LedTo,OR(I1795=LedAcct,K1795=LedAcct,AND(LedAcct=acctTax,M1795+N1795&lt;&gt;0))),E1795*10000+B1795,""),"")</f>
        <v/>
      </c>
    </row>
    <row r="1796">
      <c r="B1796" s="101" t="n">
        <v>1790</v>
      </c>
      <c r="C1796" s="58" t="inlineStr">
        <is>
          <t>Transaction</t>
        </is>
      </c>
      <c r="D1796" s="58">
        <f>IF(H1796=1,INDEX(tx_ID,1790)&amp;"","")</f>
        <v/>
      </c>
      <c r="E1796" s="94">
        <f>IF(H1796=1,INDEX(tx_Date,1790),"")</f>
        <v/>
      </c>
      <c r="F1796" s="58">
        <f>IF(H1796=1,INDEX(tx_Desc,1790)&amp;"","")</f>
        <v/>
      </c>
      <c r="G1796" s="58">
        <f>IF(H1796=1,IF(INDEX(tx_Cust,1790)&amp;""&lt;&gt;"",INDEX(tx_Cust,1790)&amp;"",INDEX(tx_Vend,1790)&amp;""),"")</f>
        <v/>
      </c>
      <c r="H1796" s="101">
        <f>IFERROR(N(INDEX(tx_Posted,1790)),0)</f>
        <v/>
      </c>
      <c r="I1796" s="58">
        <f>IF(H1796=1,INDEX(tx_DrAcct,1790)&amp;"","")</f>
        <v/>
      </c>
      <c r="J1796" s="95">
        <f>IF(H1796=1,INDEX(tx_DrAmt,1790),0)</f>
        <v/>
      </c>
      <c r="K1796" s="58">
        <f>IF(H1796=1,INDEX(tx_CrAcct,1790)&amp;"","")</f>
        <v/>
      </c>
      <c r="L1796" s="95">
        <f>IF(H1796=1,INDEX(tx_CrAmt,1790),0)</f>
        <v/>
      </c>
      <c r="M1796" s="95">
        <f>IF(H1796=1,INDEX(tx_TaxDr,1790),0)</f>
        <v/>
      </c>
      <c r="N1796" s="95">
        <f>IF(H1796=1,INDEX(tx_TaxCr,1790),0)</f>
        <v/>
      </c>
      <c r="O1796" s="101">
        <f>IF(H1796=1,IF(E1796&lt;FYStart,0,IF(E1796&gt;FYEnd,13,YEAR(E1796)*12+MONTH(E1796)-FYYM+1)),"")</f>
        <v/>
      </c>
      <c r="P1796" s="101">
        <f>IF(H1796=1,IF(IFERROR(INDEX(coa_CF,MATCH(I1796,coa_Name,0)),"")="Cash",1,0),0)</f>
        <v/>
      </c>
      <c r="Q1796" s="101">
        <f>IF(H1796=1,IF(IFERROR(INDEX(coa_CF,MATCH(K1796,coa_Name,0)),"")="Cash",1,0),0)</f>
        <v/>
      </c>
      <c r="R1796" s="58">
        <f>IF((P1796-Q1796)=0,"",IFERROR(INDEX(coa_CF,MATCH(IF((P1796-Q1796)=1,K1796,I1796),coa_Name,0)),"Operating"))</f>
        <v/>
      </c>
      <c r="S1796" s="95">
        <f>IF((P1796-Q1796)=1,L1796,IF((P1796-Q1796)=-1,-J1796,0))</f>
        <v/>
      </c>
      <c r="T1796" s="95">
        <f>IF((P1796-Q1796)=1,N1796,IF((P1796-Q1796)=-1,-M1796,0))</f>
        <v/>
      </c>
      <c r="U1796" s="101">
        <f>IF(AND(H1796=1,LedAcct&lt;&gt;""),IF(AND(E1796&gt;=LedFrom,E1796&lt;=LedTo,OR(I1796=LedAcct,K1796=LedAcct,AND(LedAcct=acctTax,M1796+N1796&lt;&gt;0))),E1796*10000+B1796,""),"")</f>
        <v/>
      </c>
    </row>
    <row r="1797">
      <c r="B1797" s="101" t="n">
        <v>1791</v>
      </c>
      <c r="C1797" s="58" t="inlineStr">
        <is>
          <t>Transaction</t>
        </is>
      </c>
      <c r="D1797" s="58">
        <f>IF(H1797=1,INDEX(tx_ID,1791)&amp;"","")</f>
        <v/>
      </c>
      <c r="E1797" s="94">
        <f>IF(H1797=1,INDEX(tx_Date,1791),"")</f>
        <v/>
      </c>
      <c r="F1797" s="58">
        <f>IF(H1797=1,INDEX(tx_Desc,1791)&amp;"","")</f>
        <v/>
      </c>
      <c r="G1797" s="58">
        <f>IF(H1797=1,IF(INDEX(tx_Cust,1791)&amp;""&lt;&gt;"",INDEX(tx_Cust,1791)&amp;"",INDEX(tx_Vend,1791)&amp;""),"")</f>
        <v/>
      </c>
      <c r="H1797" s="101">
        <f>IFERROR(N(INDEX(tx_Posted,1791)),0)</f>
        <v/>
      </c>
      <c r="I1797" s="58">
        <f>IF(H1797=1,INDEX(tx_DrAcct,1791)&amp;"","")</f>
        <v/>
      </c>
      <c r="J1797" s="95">
        <f>IF(H1797=1,INDEX(tx_DrAmt,1791),0)</f>
        <v/>
      </c>
      <c r="K1797" s="58">
        <f>IF(H1797=1,INDEX(tx_CrAcct,1791)&amp;"","")</f>
        <v/>
      </c>
      <c r="L1797" s="95">
        <f>IF(H1797=1,INDEX(tx_CrAmt,1791),0)</f>
        <v/>
      </c>
      <c r="M1797" s="95">
        <f>IF(H1797=1,INDEX(tx_TaxDr,1791),0)</f>
        <v/>
      </c>
      <c r="N1797" s="95">
        <f>IF(H1797=1,INDEX(tx_TaxCr,1791),0)</f>
        <v/>
      </c>
      <c r="O1797" s="101">
        <f>IF(H1797=1,IF(E1797&lt;FYStart,0,IF(E1797&gt;FYEnd,13,YEAR(E1797)*12+MONTH(E1797)-FYYM+1)),"")</f>
        <v/>
      </c>
      <c r="P1797" s="101">
        <f>IF(H1797=1,IF(IFERROR(INDEX(coa_CF,MATCH(I1797,coa_Name,0)),"")="Cash",1,0),0)</f>
        <v/>
      </c>
      <c r="Q1797" s="101">
        <f>IF(H1797=1,IF(IFERROR(INDEX(coa_CF,MATCH(K1797,coa_Name,0)),"")="Cash",1,0),0)</f>
        <v/>
      </c>
      <c r="R1797" s="58">
        <f>IF((P1797-Q1797)=0,"",IFERROR(INDEX(coa_CF,MATCH(IF((P1797-Q1797)=1,K1797,I1797),coa_Name,0)),"Operating"))</f>
        <v/>
      </c>
      <c r="S1797" s="95">
        <f>IF((P1797-Q1797)=1,L1797,IF((P1797-Q1797)=-1,-J1797,0))</f>
        <v/>
      </c>
      <c r="T1797" s="95">
        <f>IF((P1797-Q1797)=1,N1797,IF((P1797-Q1797)=-1,-M1797,0))</f>
        <v/>
      </c>
      <c r="U1797" s="101">
        <f>IF(AND(H1797=1,LedAcct&lt;&gt;""),IF(AND(E1797&gt;=LedFrom,E1797&lt;=LedTo,OR(I1797=LedAcct,K1797=LedAcct,AND(LedAcct=acctTax,M1797+N1797&lt;&gt;0))),E1797*10000+B1797,""),"")</f>
        <v/>
      </c>
    </row>
    <row r="1798">
      <c r="B1798" s="101" t="n">
        <v>1792</v>
      </c>
      <c r="C1798" s="58" t="inlineStr">
        <is>
          <t>Transaction</t>
        </is>
      </c>
      <c r="D1798" s="58">
        <f>IF(H1798=1,INDEX(tx_ID,1792)&amp;"","")</f>
        <v/>
      </c>
      <c r="E1798" s="94">
        <f>IF(H1798=1,INDEX(tx_Date,1792),"")</f>
        <v/>
      </c>
      <c r="F1798" s="58">
        <f>IF(H1798=1,INDEX(tx_Desc,1792)&amp;"","")</f>
        <v/>
      </c>
      <c r="G1798" s="58">
        <f>IF(H1798=1,IF(INDEX(tx_Cust,1792)&amp;""&lt;&gt;"",INDEX(tx_Cust,1792)&amp;"",INDEX(tx_Vend,1792)&amp;""),"")</f>
        <v/>
      </c>
      <c r="H1798" s="101">
        <f>IFERROR(N(INDEX(tx_Posted,1792)),0)</f>
        <v/>
      </c>
      <c r="I1798" s="58">
        <f>IF(H1798=1,INDEX(tx_DrAcct,1792)&amp;"","")</f>
        <v/>
      </c>
      <c r="J1798" s="95">
        <f>IF(H1798=1,INDEX(tx_DrAmt,1792),0)</f>
        <v/>
      </c>
      <c r="K1798" s="58">
        <f>IF(H1798=1,INDEX(tx_CrAcct,1792)&amp;"","")</f>
        <v/>
      </c>
      <c r="L1798" s="95">
        <f>IF(H1798=1,INDEX(tx_CrAmt,1792),0)</f>
        <v/>
      </c>
      <c r="M1798" s="95">
        <f>IF(H1798=1,INDEX(tx_TaxDr,1792),0)</f>
        <v/>
      </c>
      <c r="N1798" s="95">
        <f>IF(H1798=1,INDEX(tx_TaxCr,1792),0)</f>
        <v/>
      </c>
      <c r="O1798" s="101">
        <f>IF(H1798=1,IF(E1798&lt;FYStart,0,IF(E1798&gt;FYEnd,13,YEAR(E1798)*12+MONTH(E1798)-FYYM+1)),"")</f>
        <v/>
      </c>
      <c r="P1798" s="101">
        <f>IF(H1798=1,IF(IFERROR(INDEX(coa_CF,MATCH(I1798,coa_Name,0)),"")="Cash",1,0),0)</f>
        <v/>
      </c>
      <c r="Q1798" s="101">
        <f>IF(H1798=1,IF(IFERROR(INDEX(coa_CF,MATCH(K1798,coa_Name,0)),"")="Cash",1,0),0)</f>
        <v/>
      </c>
      <c r="R1798" s="58">
        <f>IF((P1798-Q1798)=0,"",IFERROR(INDEX(coa_CF,MATCH(IF((P1798-Q1798)=1,K1798,I1798),coa_Name,0)),"Operating"))</f>
        <v/>
      </c>
      <c r="S1798" s="95">
        <f>IF((P1798-Q1798)=1,L1798,IF((P1798-Q1798)=-1,-J1798,0))</f>
        <v/>
      </c>
      <c r="T1798" s="95">
        <f>IF((P1798-Q1798)=1,N1798,IF((P1798-Q1798)=-1,-M1798,0))</f>
        <v/>
      </c>
      <c r="U1798" s="101">
        <f>IF(AND(H1798=1,LedAcct&lt;&gt;""),IF(AND(E1798&gt;=LedFrom,E1798&lt;=LedTo,OR(I1798=LedAcct,K1798=LedAcct,AND(LedAcct=acctTax,M1798+N1798&lt;&gt;0))),E1798*10000+B1798,""),"")</f>
        <v/>
      </c>
    </row>
    <row r="1799">
      <c r="B1799" s="101" t="n">
        <v>1793</v>
      </c>
      <c r="C1799" s="58" t="inlineStr">
        <is>
          <t>Transaction</t>
        </is>
      </c>
      <c r="D1799" s="58">
        <f>IF(H1799=1,INDEX(tx_ID,1793)&amp;"","")</f>
        <v/>
      </c>
      <c r="E1799" s="94">
        <f>IF(H1799=1,INDEX(tx_Date,1793),"")</f>
        <v/>
      </c>
      <c r="F1799" s="58">
        <f>IF(H1799=1,INDEX(tx_Desc,1793)&amp;"","")</f>
        <v/>
      </c>
      <c r="G1799" s="58">
        <f>IF(H1799=1,IF(INDEX(tx_Cust,1793)&amp;""&lt;&gt;"",INDEX(tx_Cust,1793)&amp;"",INDEX(tx_Vend,1793)&amp;""),"")</f>
        <v/>
      </c>
      <c r="H1799" s="101">
        <f>IFERROR(N(INDEX(tx_Posted,1793)),0)</f>
        <v/>
      </c>
      <c r="I1799" s="58">
        <f>IF(H1799=1,INDEX(tx_DrAcct,1793)&amp;"","")</f>
        <v/>
      </c>
      <c r="J1799" s="95">
        <f>IF(H1799=1,INDEX(tx_DrAmt,1793),0)</f>
        <v/>
      </c>
      <c r="K1799" s="58">
        <f>IF(H1799=1,INDEX(tx_CrAcct,1793)&amp;"","")</f>
        <v/>
      </c>
      <c r="L1799" s="95">
        <f>IF(H1799=1,INDEX(tx_CrAmt,1793),0)</f>
        <v/>
      </c>
      <c r="M1799" s="95">
        <f>IF(H1799=1,INDEX(tx_TaxDr,1793),0)</f>
        <v/>
      </c>
      <c r="N1799" s="95">
        <f>IF(H1799=1,INDEX(tx_TaxCr,1793),0)</f>
        <v/>
      </c>
      <c r="O1799" s="101">
        <f>IF(H1799=1,IF(E1799&lt;FYStart,0,IF(E1799&gt;FYEnd,13,YEAR(E1799)*12+MONTH(E1799)-FYYM+1)),"")</f>
        <v/>
      </c>
      <c r="P1799" s="101">
        <f>IF(H1799=1,IF(IFERROR(INDEX(coa_CF,MATCH(I1799,coa_Name,0)),"")="Cash",1,0),0)</f>
        <v/>
      </c>
      <c r="Q1799" s="101">
        <f>IF(H1799=1,IF(IFERROR(INDEX(coa_CF,MATCH(K1799,coa_Name,0)),"")="Cash",1,0),0)</f>
        <v/>
      </c>
      <c r="R1799" s="58">
        <f>IF((P1799-Q1799)=0,"",IFERROR(INDEX(coa_CF,MATCH(IF((P1799-Q1799)=1,K1799,I1799),coa_Name,0)),"Operating"))</f>
        <v/>
      </c>
      <c r="S1799" s="95">
        <f>IF((P1799-Q1799)=1,L1799,IF((P1799-Q1799)=-1,-J1799,0))</f>
        <v/>
      </c>
      <c r="T1799" s="95">
        <f>IF((P1799-Q1799)=1,N1799,IF((P1799-Q1799)=-1,-M1799,0))</f>
        <v/>
      </c>
      <c r="U1799" s="101">
        <f>IF(AND(H1799=1,LedAcct&lt;&gt;""),IF(AND(E1799&gt;=LedFrom,E1799&lt;=LedTo,OR(I1799=LedAcct,K1799=LedAcct,AND(LedAcct=acctTax,M1799+N1799&lt;&gt;0))),E1799*10000+B1799,""),"")</f>
        <v/>
      </c>
    </row>
    <row r="1800">
      <c r="B1800" s="101" t="n">
        <v>1794</v>
      </c>
      <c r="C1800" s="58" t="inlineStr">
        <is>
          <t>Transaction</t>
        </is>
      </c>
      <c r="D1800" s="58">
        <f>IF(H1800=1,INDEX(tx_ID,1794)&amp;"","")</f>
        <v/>
      </c>
      <c r="E1800" s="94">
        <f>IF(H1800=1,INDEX(tx_Date,1794),"")</f>
        <v/>
      </c>
      <c r="F1800" s="58">
        <f>IF(H1800=1,INDEX(tx_Desc,1794)&amp;"","")</f>
        <v/>
      </c>
      <c r="G1800" s="58">
        <f>IF(H1800=1,IF(INDEX(tx_Cust,1794)&amp;""&lt;&gt;"",INDEX(tx_Cust,1794)&amp;"",INDEX(tx_Vend,1794)&amp;""),"")</f>
        <v/>
      </c>
      <c r="H1800" s="101">
        <f>IFERROR(N(INDEX(tx_Posted,1794)),0)</f>
        <v/>
      </c>
      <c r="I1800" s="58">
        <f>IF(H1800=1,INDEX(tx_DrAcct,1794)&amp;"","")</f>
        <v/>
      </c>
      <c r="J1800" s="95">
        <f>IF(H1800=1,INDEX(tx_DrAmt,1794),0)</f>
        <v/>
      </c>
      <c r="K1800" s="58">
        <f>IF(H1800=1,INDEX(tx_CrAcct,1794)&amp;"","")</f>
        <v/>
      </c>
      <c r="L1800" s="95">
        <f>IF(H1800=1,INDEX(tx_CrAmt,1794),0)</f>
        <v/>
      </c>
      <c r="M1800" s="95">
        <f>IF(H1800=1,INDEX(tx_TaxDr,1794),0)</f>
        <v/>
      </c>
      <c r="N1800" s="95">
        <f>IF(H1800=1,INDEX(tx_TaxCr,1794),0)</f>
        <v/>
      </c>
      <c r="O1800" s="101">
        <f>IF(H1800=1,IF(E1800&lt;FYStart,0,IF(E1800&gt;FYEnd,13,YEAR(E1800)*12+MONTH(E1800)-FYYM+1)),"")</f>
        <v/>
      </c>
      <c r="P1800" s="101">
        <f>IF(H1800=1,IF(IFERROR(INDEX(coa_CF,MATCH(I1800,coa_Name,0)),"")="Cash",1,0),0)</f>
        <v/>
      </c>
      <c r="Q1800" s="101">
        <f>IF(H1800=1,IF(IFERROR(INDEX(coa_CF,MATCH(K1800,coa_Name,0)),"")="Cash",1,0),0)</f>
        <v/>
      </c>
      <c r="R1800" s="58">
        <f>IF((P1800-Q1800)=0,"",IFERROR(INDEX(coa_CF,MATCH(IF((P1800-Q1800)=1,K1800,I1800),coa_Name,0)),"Operating"))</f>
        <v/>
      </c>
      <c r="S1800" s="95">
        <f>IF((P1800-Q1800)=1,L1800,IF((P1800-Q1800)=-1,-J1800,0))</f>
        <v/>
      </c>
      <c r="T1800" s="95">
        <f>IF((P1800-Q1800)=1,N1800,IF((P1800-Q1800)=-1,-M1800,0))</f>
        <v/>
      </c>
      <c r="U1800" s="101">
        <f>IF(AND(H1800=1,LedAcct&lt;&gt;""),IF(AND(E1800&gt;=LedFrom,E1800&lt;=LedTo,OR(I1800=LedAcct,K1800=LedAcct,AND(LedAcct=acctTax,M1800+N1800&lt;&gt;0))),E1800*10000+B1800,""),"")</f>
        <v/>
      </c>
    </row>
    <row r="1801">
      <c r="B1801" s="101" t="n">
        <v>1795</v>
      </c>
      <c r="C1801" s="58" t="inlineStr">
        <is>
          <t>Transaction</t>
        </is>
      </c>
      <c r="D1801" s="58">
        <f>IF(H1801=1,INDEX(tx_ID,1795)&amp;"","")</f>
        <v/>
      </c>
      <c r="E1801" s="94">
        <f>IF(H1801=1,INDEX(tx_Date,1795),"")</f>
        <v/>
      </c>
      <c r="F1801" s="58">
        <f>IF(H1801=1,INDEX(tx_Desc,1795)&amp;"","")</f>
        <v/>
      </c>
      <c r="G1801" s="58">
        <f>IF(H1801=1,IF(INDEX(tx_Cust,1795)&amp;""&lt;&gt;"",INDEX(tx_Cust,1795)&amp;"",INDEX(tx_Vend,1795)&amp;""),"")</f>
        <v/>
      </c>
      <c r="H1801" s="101">
        <f>IFERROR(N(INDEX(tx_Posted,1795)),0)</f>
        <v/>
      </c>
      <c r="I1801" s="58">
        <f>IF(H1801=1,INDEX(tx_DrAcct,1795)&amp;"","")</f>
        <v/>
      </c>
      <c r="J1801" s="95">
        <f>IF(H1801=1,INDEX(tx_DrAmt,1795),0)</f>
        <v/>
      </c>
      <c r="K1801" s="58">
        <f>IF(H1801=1,INDEX(tx_CrAcct,1795)&amp;"","")</f>
        <v/>
      </c>
      <c r="L1801" s="95">
        <f>IF(H1801=1,INDEX(tx_CrAmt,1795),0)</f>
        <v/>
      </c>
      <c r="M1801" s="95">
        <f>IF(H1801=1,INDEX(tx_TaxDr,1795),0)</f>
        <v/>
      </c>
      <c r="N1801" s="95">
        <f>IF(H1801=1,INDEX(tx_TaxCr,1795),0)</f>
        <v/>
      </c>
      <c r="O1801" s="101">
        <f>IF(H1801=1,IF(E1801&lt;FYStart,0,IF(E1801&gt;FYEnd,13,YEAR(E1801)*12+MONTH(E1801)-FYYM+1)),"")</f>
        <v/>
      </c>
      <c r="P1801" s="101">
        <f>IF(H1801=1,IF(IFERROR(INDEX(coa_CF,MATCH(I1801,coa_Name,0)),"")="Cash",1,0),0)</f>
        <v/>
      </c>
      <c r="Q1801" s="101">
        <f>IF(H1801=1,IF(IFERROR(INDEX(coa_CF,MATCH(K1801,coa_Name,0)),"")="Cash",1,0),0)</f>
        <v/>
      </c>
      <c r="R1801" s="58">
        <f>IF((P1801-Q1801)=0,"",IFERROR(INDEX(coa_CF,MATCH(IF((P1801-Q1801)=1,K1801,I1801),coa_Name,0)),"Operating"))</f>
        <v/>
      </c>
      <c r="S1801" s="95">
        <f>IF((P1801-Q1801)=1,L1801,IF((P1801-Q1801)=-1,-J1801,0))</f>
        <v/>
      </c>
      <c r="T1801" s="95">
        <f>IF((P1801-Q1801)=1,N1801,IF((P1801-Q1801)=-1,-M1801,0))</f>
        <v/>
      </c>
      <c r="U1801" s="101">
        <f>IF(AND(H1801=1,LedAcct&lt;&gt;""),IF(AND(E1801&gt;=LedFrom,E1801&lt;=LedTo,OR(I1801=LedAcct,K1801=LedAcct,AND(LedAcct=acctTax,M1801+N1801&lt;&gt;0))),E1801*10000+B1801,""),"")</f>
        <v/>
      </c>
    </row>
    <row r="1802">
      <c r="B1802" s="101" t="n">
        <v>1796</v>
      </c>
      <c r="C1802" s="58" t="inlineStr">
        <is>
          <t>Transaction</t>
        </is>
      </c>
      <c r="D1802" s="58">
        <f>IF(H1802=1,INDEX(tx_ID,1796)&amp;"","")</f>
        <v/>
      </c>
      <c r="E1802" s="94">
        <f>IF(H1802=1,INDEX(tx_Date,1796),"")</f>
        <v/>
      </c>
      <c r="F1802" s="58">
        <f>IF(H1802=1,INDEX(tx_Desc,1796)&amp;"","")</f>
        <v/>
      </c>
      <c r="G1802" s="58">
        <f>IF(H1802=1,IF(INDEX(tx_Cust,1796)&amp;""&lt;&gt;"",INDEX(tx_Cust,1796)&amp;"",INDEX(tx_Vend,1796)&amp;""),"")</f>
        <v/>
      </c>
      <c r="H1802" s="101">
        <f>IFERROR(N(INDEX(tx_Posted,1796)),0)</f>
        <v/>
      </c>
      <c r="I1802" s="58">
        <f>IF(H1802=1,INDEX(tx_DrAcct,1796)&amp;"","")</f>
        <v/>
      </c>
      <c r="J1802" s="95">
        <f>IF(H1802=1,INDEX(tx_DrAmt,1796),0)</f>
        <v/>
      </c>
      <c r="K1802" s="58">
        <f>IF(H1802=1,INDEX(tx_CrAcct,1796)&amp;"","")</f>
        <v/>
      </c>
      <c r="L1802" s="95">
        <f>IF(H1802=1,INDEX(tx_CrAmt,1796),0)</f>
        <v/>
      </c>
      <c r="M1802" s="95">
        <f>IF(H1802=1,INDEX(tx_TaxDr,1796),0)</f>
        <v/>
      </c>
      <c r="N1802" s="95">
        <f>IF(H1802=1,INDEX(tx_TaxCr,1796),0)</f>
        <v/>
      </c>
      <c r="O1802" s="101">
        <f>IF(H1802=1,IF(E1802&lt;FYStart,0,IF(E1802&gt;FYEnd,13,YEAR(E1802)*12+MONTH(E1802)-FYYM+1)),"")</f>
        <v/>
      </c>
      <c r="P1802" s="101">
        <f>IF(H1802=1,IF(IFERROR(INDEX(coa_CF,MATCH(I1802,coa_Name,0)),"")="Cash",1,0),0)</f>
        <v/>
      </c>
      <c r="Q1802" s="101">
        <f>IF(H1802=1,IF(IFERROR(INDEX(coa_CF,MATCH(K1802,coa_Name,0)),"")="Cash",1,0),0)</f>
        <v/>
      </c>
      <c r="R1802" s="58">
        <f>IF((P1802-Q1802)=0,"",IFERROR(INDEX(coa_CF,MATCH(IF((P1802-Q1802)=1,K1802,I1802),coa_Name,0)),"Operating"))</f>
        <v/>
      </c>
      <c r="S1802" s="95">
        <f>IF((P1802-Q1802)=1,L1802,IF((P1802-Q1802)=-1,-J1802,0))</f>
        <v/>
      </c>
      <c r="T1802" s="95">
        <f>IF((P1802-Q1802)=1,N1802,IF((P1802-Q1802)=-1,-M1802,0))</f>
        <v/>
      </c>
      <c r="U1802" s="101">
        <f>IF(AND(H1802=1,LedAcct&lt;&gt;""),IF(AND(E1802&gt;=LedFrom,E1802&lt;=LedTo,OR(I1802=LedAcct,K1802=LedAcct,AND(LedAcct=acctTax,M1802+N1802&lt;&gt;0))),E1802*10000+B1802,""),"")</f>
        <v/>
      </c>
    </row>
    <row r="1803">
      <c r="B1803" s="101" t="n">
        <v>1797</v>
      </c>
      <c r="C1803" s="58" t="inlineStr">
        <is>
          <t>Transaction</t>
        </is>
      </c>
      <c r="D1803" s="58">
        <f>IF(H1803=1,INDEX(tx_ID,1797)&amp;"","")</f>
        <v/>
      </c>
      <c r="E1803" s="94">
        <f>IF(H1803=1,INDEX(tx_Date,1797),"")</f>
        <v/>
      </c>
      <c r="F1803" s="58">
        <f>IF(H1803=1,INDEX(tx_Desc,1797)&amp;"","")</f>
        <v/>
      </c>
      <c r="G1803" s="58">
        <f>IF(H1803=1,IF(INDEX(tx_Cust,1797)&amp;""&lt;&gt;"",INDEX(tx_Cust,1797)&amp;"",INDEX(tx_Vend,1797)&amp;""),"")</f>
        <v/>
      </c>
      <c r="H1803" s="101">
        <f>IFERROR(N(INDEX(tx_Posted,1797)),0)</f>
        <v/>
      </c>
      <c r="I1803" s="58">
        <f>IF(H1803=1,INDEX(tx_DrAcct,1797)&amp;"","")</f>
        <v/>
      </c>
      <c r="J1803" s="95">
        <f>IF(H1803=1,INDEX(tx_DrAmt,1797),0)</f>
        <v/>
      </c>
      <c r="K1803" s="58">
        <f>IF(H1803=1,INDEX(tx_CrAcct,1797)&amp;"","")</f>
        <v/>
      </c>
      <c r="L1803" s="95">
        <f>IF(H1803=1,INDEX(tx_CrAmt,1797),0)</f>
        <v/>
      </c>
      <c r="M1803" s="95">
        <f>IF(H1803=1,INDEX(tx_TaxDr,1797),0)</f>
        <v/>
      </c>
      <c r="N1803" s="95">
        <f>IF(H1803=1,INDEX(tx_TaxCr,1797),0)</f>
        <v/>
      </c>
      <c r="O1803" s="101">
        <f>IF(H1803=1,IF(E1803&lt;FYStart,0,IF(E1803&gt;FYEnd,13,YEAR(E1803)*12+MONTH(E1803)-FYYM+1)),"")</f>
        <v/>
      </c>
      <c r="P1803" s="101">
        <f>IF(H1803=1,IF(IFERROR(INDEX(coa_CF,MATCH(I1803,coa_Name,0)),"")="Cash",1,0),0)</f>
        <v/>
      </c>
      <c r="Q1803" s="101">
        <f>IF(H1803=1,IF(IFERROR(INDEX(coa_CF,MATCH(K1803,coa_Name,0)),"")="Cash",1,0),0)</f>
        <v/>
      </c>
      <c r="R1803" s="58">
        <f>IF((P1803-Q1803)=0,"",IFERROR(INDEX(coa_CF,MATCH(IF((P1803-Q1803)=1,K1803,I1803),coa_Name,0)),"Operating"))</f>
        <v/>
      </c>
      <c r="S1803" s="95">
        <f>IF((P1803-Q1803)=1,L1803,IF((P1803-Q1803)=-1,-J1803,0))</f>
        <v/>
      </c>
      <c r="T1803" s="95">
        <f>IF((P1803-Q1803)=1,N1803,IF((P1803-Q1803)=-1,-M1803,0))</f>
        <v/>
      </c>
      <c r="U1803" s="101">
        <f>IF(AND(H1803=1,LedAcct&lt;&gt;""),IF(AND(E1803&gt;=LedFrom,E1803&lt;=LedTo,OR(I1803=LedAcct,K1803=LedAcct,AND(LedAcct=acctTax,M1803+N1803&lt;&gt;0))),E1803*10000+B1803,""),"")</f>
        <v/>
      </c>
    </row>
    <row r="1804">
      <c r="B1804" s="101" t="n">
        <v>1798</v>
      </c>
      <c r="C1804" s="58" t="inlineStr">
        <is>
          <t>Transaction</t>
        </is>
      </c>
      <c r="D1804" s="58">
        <f>IF(H1804=1,INDEX(tx_ID,1798)&amp;"","")</f>
        <v/>
      </c>
      <c r="E1804" s="94">
        <f>IF(H1804=1,INDEX(tx_Date,1798),"")</f>
        <v/>
      </c>
      <c r="F1804" s="58">
        <f>IF(H1804=1,INDEX(tx_Desc,1798)&amp;"","")</f>
        <v/>
      </c>
      <c r="G1804" s="58">
        <f>IF(H1804=1,IF(INDEX(tx_Cust,1798)&amp;""&lt;&gt;"",INDEX(tx_Cust,1798)&amp;"",INDEX(tx_Vend,1798)&amp;""),"")</f>
        <v/>
      </c>
      <c r="H1804" s="101">
        <f>IFERROR(N(INDEX(tx_Posted,1798)),0)</f>
        <v/>
      </c>
      <c r="I1804" s="58">
        <f>IF(H1804=1,INDEX(tx_DrAcct,1798)&amp;"","")</f>
        <v/>
      </c>
      <c r="J1804" s="95">
        <f>IF(H1804=1,INDEX(tx_DrAmt,1798),0)</f>
        <v/>
      </c>
      <c r="K1804" s="58">
        <f>IF(H1804=1,INDEX(tx_CrAcct,1798)&amp;"","")</f>
        <v/>
      </c>
      <c r="L1804" s="95">
        <f>IF(H1804=1,INDEX(tx_CrAmt,1798),0)</f>
        <v/>
      </c>
      <c r="M1804" s="95">
        <f>IF(H1804=1,INDEX(tx_TaxDr,1798),0)</f>
        <v/>
      </c>
      <c r="N1804" s="95">
        <f>IF(H1804=1,INDEX(tx_TaxCr,1798),0)</f>
        <v/>
      </c>
      <c r="O1804" s="101">
        <f>IF(H1804=1,IF(E1804&lt;FYStart,0,IF(E1804&gt;FYEnd,13,YEAR(E1804)*12+MONTH(E1804)-FYYM+1)),"")</f>
        <v/>
      </c>
      <c r="P1804" s="101">
        <f>IF(H1804=1,IF(IFERROR(INDEX(coa_CF,MATCH(I1804,coa_Name,0)),"")="Cash",1,0),0)</f>
        <v/>
      </c>
      <c r="Q1804" s="101">
        <f>IF(H1804=1,IF(IFERROR(INDEX(coa_CF,MATCH(K1804,coa_Name,0)),"")="Cash",1,0),0)</f>
        <v/>
      </c>
      <c r="R1804" s="58">
        <f>IF((P1804-Q1804)=0,"",IFERROR(INDEX(coa_CF,MATCH(IF((P1804-Q1804)=1,K1804,I1804),coa_Name,0)),"Operating"))</f>
        <v/>
      </c>
      <c r="S1804" s="95">
        <f>IF((P1804-Q1804)=1,L1804,IF((P1804-Q1804)=-1,-J1804,0))</f>
        <v/>
      </c>
      <c r="T1804" s="95">
        <f>IF((P1804-Q1804)=1,N1804,IF((P1804-Q1804)=-1,-M1804,0))</f>
        <v/>
      </c>
      <c r="U1804" s="101">
        <f>IF(AND(H1804=1,LedAcct&lt;&gt;""),IF(AND(E1804&gt;=LedFrom,E1804&lt;=LedTo,OR(I1804=LedAcct,K1804=LedAcct,AND(LedAcct=acctTax,M1804+N1804&lt;&gt;0))),E1804*10000+B1804,""),"")</f>
        <v/>
      </c>
    </row>
    <row r="1805">
      <c r="B1805" s="101" t="n">
        <v>1799</v>
      </c>
      <c r="C1805" s="58" t="inlineStr">
        <is>
          <t>Transaction</t>
        </is>
      </c>
      <c r="D1805" s="58">
        <f>IF(H1805=1,INDEX(tx_ID,1799)&amp;"","")</f>
        <v/>
      </c>
      <c r="E1805" s="94">
        <f>IF(H1805=1,INDEX(tx_Date,1799),"")</f>
        <v/>
      </c>
      <c r="F1805" s="58">
        <f>IF(H1805=1,INDEX(tx_Desc,1799)&amp;"","")</f>
        <v/>
      </c>
      <c r="G1805" s="58">
        <f>IF(H1805=1,IF(INDEX(tx_Cust,1799)&amp;""&lt;&gt;"",INDEX(tx_Cust,1799)&amp;"",INDEX(tx_Vend,1799)&amp;""),"")</f>
        <v/>
      </c>
      <c r="H1805" s="101">
        <f>IFERROR(N(INDEX(tx_Posted,1799)),0)</f>
        <v/>
      </c>
      <c r="I1805" s="58">
        <f>IF(H1805=1,INDEX(tx_DrAcct,1799)&amp;"","")</f>
        <v/>
      </c>
      <c r="J1805" s="95">
        <f>IF(H1805=1,INDEX(tx_DrAmt,1799),0)</f>
        <v/>
      </c>
      <c r="K1805" s="58">
        <f>IF(H1805=1,INDEX(tx_CrAcct,1799)&amp;"","")</f>
        <v/>
      </c>
      <c r="L1805" s="95">
        <f>IF(H1805=1,INDEX(tx_CrAmt,1799),0)</f>
        <v/>
      </c>
      <c r="M1805" s="95">
        <f>IF(H1805=1,INDEX(tx_TaxDr,1799),0)</f>
        <v/>
      </c>
      <c r="N1805" s="95">
        <f>IF(H1805=1,INDEX(tx_TaxCr,1799),0)</f>
        <v/>
      </c>
      <c r="O1805" s="101">
        <f>IF(H1805=1,IF(E1805&lt;FYStart,0,IF(E1805&gt;FYEnd,13,YEAR(E1805)*12+MONTH(E1805)-FYYM+1)),"")</f>
        <v/>
      </c>
      <c r="P1805" s="101">
        <f>IF(H1805=1,IF(IFERROR(INDEX(coa_CF,MATCH(I1805,coa_Name,0)),"")="Cash",1,0),0)</f>
        <v/>
      </c>
      <c r="Q1805" s="101">
        <f>IF(H1805=1,IF(IFERROR(INDEX(coa_CF,MATCH(K1805,coa_Name,0)),"")="Cash",1,0),0)</f>
        <v/>
      </c>
      <c r="R1805" s="58">
        <f>IF((P1805-Q1805)=0,"",IFERROR(INDEX(coa_CF,MATCH(IF((P1805-Q1805)=1,K1805,I1805),coa_Name,0)),"Operating"))</f>
        <v/>
      </c>
      <c r="S1805" s="95">
        <f>IF((P1805-Q1805)=1,L1805,IF((P1805-Q1805)=-1,-J1805,0))</f>
        <v/>
      </c>
      <c r="T1805" s="95">
        <f>IF((P1805-Q1805)=1,N1805,IF((P1805-Q1805)=-1,-M1805,0))</f>
        <v/>
      </c>
      <c r="U1805" s="101">
        <f>IF(AND(H1805=1,LedAcct&lt;&gt;""),IF(AND(E1805&gt;=LedFrom,E1805&lt;=LedTo,OR(I1805=LedAcct,K1805=LedAcct,AND(LedAcct=acctTax,M1805+N1805&lt;&gt;0))),E1805*10000+B1805,""),"")</f>
        <v/>
      </c>
    </row>
    <row r="1806">
      <c r="B1806" s="101" t="n">
        <v>1800</v>
      </c>
      <c r="C1806" s="58" t="inlineStr">
        <is>
          <t>Transaction</t>
        </is>
      </c>
      <c r="D1806" s="58">
        <f>IF(H1806=1,INDEX(tx_ID,1800)&amp;"","")</f>
        <v/>
      </c>
      <c r="E1806" s="94">
        <f>IF(H1806=1,INDEX(tx_Date,1800),"")</f>
        <v/>
      </c>
      <c r="F1806" s="58">
        <f>IF(H1806=1,INDEX(tx_Desc,1800)&amp;"","")</f>
        <v/>
      </c>
      <c r="G1806" s="58">
        <f>IF(H1806=1,IF(INDEX(tx_Cust,1800)&amp;""&lt;&gt;"",INDEX(tx_Cust,1800)&amp;"",INDEX(tx_Vend,1800)&amp;""),"")</f>
        <v/>
      </c>
      <c r="H1806" s="101">
        <f>IFERROR(N(INDEX(tx_Posted,1800)),0)</f>
        <v/>
      </c>
      <c r="I1806" s="58">
        <f>IF(H1806=1,INDEX(tx_DrAcct,1800)&amp;"","")</f>
        <v/>
      </c>
      <c r="J1806" s="95">
        <f>IF(H1806=1,INDEX(tx_DrAmt,1800),0)</f>
        <v/>
      </c>
      <c r="K1806" s="58">
        <f>IF(H1806=1,INDEX(tx_CrAcct,1800)&amp;"","")</f>
        <v/>
      </c>
      <c r="L1806" s="95">
        <f>IF(H1806=1,INDEX(tx_CrAmt,1800),0)</f>
        <v/>
      </c>
      <c r="M1806" s="95">
        <f>IF(H1806=1,INDEX(tx_TaxDr,1800),0)</f>
        <v/>
      </c>
      <c r="N1806" s="95">
        <f>IF(H1806=1,INDEX(tx_TaxCr,1800),0)</f>
        <v/>
      </c>
      <c r="O1806" s="101">
        <f>IF(H1806=1,IF(E1806&lt;FYStart,0,IF(E1806&gt;FYEnd,13,YEAR(E1806)*12+MONTH(E1806)-FYYM+1)),"")</f>
        <v/>
      </c>
      <c r="P1806" s="101">
        <f>IF(H1806=1,IF(IFERROR(INDEX(coa_CF,MATCH(I1806,coa_Name,0)),"")="Cash",1,0),0)</f>
        <v/>
      </c>
      <c r="Q1806" s="101">
        <f>IF(H1806=1,IF(IFERROR(INDEX(coa_CF,MATCH(K1806,coa_Name,0)),"")="Cash",1,0),0)</f>
        <v/>
      </c>
      <c r="R1806" s="58">
        <f>IF((P1806-Q1806)=0,"",IFERROR(INDEX(coa_CF,MATCH(IF((P1806-Q1806)=1,K1806,I1806),coa_Name,0)),"Operating"))</f>
        <v/>
      </c>
      <c r="S1806" s="95">
        <f>IF((P1806-Q1806)=1,L1806,IF((P1806-Q1806)=-1,-J1806,0))</f>
        <v/>
      </c>
      <c r="T1806" s="95">
        <f>IF((P1806-Q1806)=1,N1806,IF((P1806-Q1806)=-1,-M1806,0))</f>
        <v/>
      </c>
      <c r="U1806" s="101">
        <f>IF(AND(H1806=1,LedAcct&lt;&gt;""),IF(AND(E1806&gt;=LedFrom,E1806&lt;=LedTo,OR(I1806=LedAcct,K1806=LedAcct,AND(LedAcct=acctTax,M1806+N1806&lt;&gt;0))),E1806*10000+B1806,""),"")</f>
        <v/>
      </c>
    </row>
    <row r="1807">
      <c r="B1807" s="101" t="n">
        <v>1801</v>
      </c>
      <c r="C1807" s="58" t="inlineStr">
        <is>
          <t>Transaction</t>
        </is>
      </c>
      <c r="D1807" s="58">
        <f>IF(H1807=1,INDEX(tx_ID,1801)&amp;"","")</f>
        <v/>
      </c>
      <c r="E1807" s="94">
        <f>IF(H1807=1,INDEX(tx_Date,1801),"")</f>
        <v/>
      </c>
      <c r="F1807" s="58">
        <f>IF(H1807=1,INDEX(tx_Desc,1801)&amp;"","")</f>
        <v/>
      </c>
      <c r="G1807" s="58">
        <f>IF(H1807=1,IF(INDEX(tx_Cust,1801)&amp;""&lt;&gt;"",INDEX(tx_Cust,1801)&amp;"",INDEX(tx_Vend,1801)&amp;""),"")</f>
        <v/>
      </c>
      <c r="H1807" s="101">
        <f>IFERROR(N(INDEX(tx_Posted,1801)),0)</f>
        <v/>
      </c>
      <c r="I1807" s="58">
        <f>IF(H1807=1,INDEX(tx_DrAcct,1801)&amp;"","")</f>
        <v/>
      </c>
      <c r="J1807" s="95">
        <f>IF(H1807=1,INDEX(tx_DrAmt,1801),0)</f>
        <v/>
      </c>
      <c r="K1807" s="58">
        <f>IF(H1807=1,INDEX(tx_CrAcct,1801)&amp;"","")</f>
        <v/>
      </c>
      <c r="L1807" s="95">
        <f>IF(H1807=1,INDEX(tx_CrAmt,1801),0)</f>
        <v/>
      </c>
      <c r="M1807" s="95">
        <f>IF(H1807=1,INDEX(tx_TaxDr,1801),0)</f>
        <v/>
      </c>
      <c r="N1807" s="95">
        <f>IF(H1807=1,INDEX(tx_TaxCr,1801),0)</f>
        <v/>
      </c>
      <c r="O1807" s="101">
        <f>IF(H1807=1,IF(E1807&lt;FYStart,0,IF(E1807&gt;FYEnd,13,YEAR(E1807)*12+MONTH(E1807)-FYYM+1)),"")</f>
        <v/>
      </c>
      <c r="P1807" s="101">
        <f>IF(H1807=1,IF(IFERROR(INDEX(coa_CF,MATCH(I1807,coa_Name,0)),"")="Cash",1,0),0)</f>
        <v/>
      </c>
      <c r="Q1807" s="101">
        <f>IF(H1807=1,IF(IFERROR(INDEX(coa_CF,MATCH(K1807,coa_Name,0)),"")="Cash",1,0),0)</f>
        <v/>
      </c>
      <c r="R1807" s="58">
        <f>IF((P1807-Q1807)=0,"",IFERROR(INDEX(coa_CF,MATCH(IF((P1807-Q1807)=1,K1807,I1807),coa_Name,0)),"Operating"))</f>
        <v/>
      </c>
      <c r="S1807" s="95">
        <f>IF((P1807-Q1807)=1,L1807,IF((P1807-Q1807)=-1,-J1807,0))</f>
        <v/>
      </c>
      <c r="T1807" s="95">
        <f>IF((P1807-Q1807)=1,N1807,IF((P1807-Q1807)=-1,-M1807,0))</f>
        <v/>
      </c>
      <c r="U1807" s="101">
        <f>IF(AND(H1807=1,LedAcct&lt;&gt;""),IF(AND(E1807&gt;=LedFrom,E1807&lt;=LedTo,OR(I1807=LedAcct,K1807=LedAcct,AND(LedAcct=acctTax,M1807+N1807&lt;&gt;0))),E1807*10000+B1807,""),"")</f>
        <v/>
      </c>
    </row>
    <row r="1808">
      <c r="B1808" s="101" t="n">
        <v>1802</v>
      </c>
      <c r="C1808" s="58" t="inlineStr">
        <is>
          <t>Transaction</t>
        </is>
      </c>
      <c r="D1808" s="58">
        <f>IF(H1808=1,INDEX(tx_ID,1802)&amp;"","")</f>
        <v/>
      </c>
      <c r="E1808" s="94">
        <f>IF(H1808=1,INDEX(tx_Date,1802),"")</f>
        <v/>
      </c>
      <c r="F1808" s="58">
        <f>IF(H1808=1,INDEX(tx_Desc,1802)&amp;"","")</f>
        <v/>
      </c>
      <c r="G1808" s="58">
        <f>IF(H1808=1,IF(INDEX(tx_Cust,1802)&amp;""&lt;&gt;"",INDEX(tx_Cust,1802)&amp;"",INDEX(tx_Vend,1802)&amp;""),"")</f>
        <v/>
      </c>
      <c r="H1808" s="101">
        <f>IFERROR(N(INDEX(tx_Posted,1802)),0)</f>
        <v/>
      </c>
      <c r="I1808" s="58">
        <f>IF(H1808=1,INDEX(tx_DrAcct,1802)&amp;"","")</f>
        <v/>
      </c>
      <c r="J1808" s="95">
        <f>IF(H1808=1,INDEX(tx_DrAmt,1802),0)</f>
        <v/>
      </c>
      <c r="K1808" s="58">
        <f>IF(H1808=1,INDEX(tx_CrAcct,1802)&amp;"","")</f>
        <v/>
      </c>
      <c r="L1808" s="95">
        <f>IF(H1808=1,INDEX(tx_CrAmt,1802),0)</f>
        <v/>
      </c>
      <c r="M1808" s="95">
        <f>IF(H1808=1,INDEX(tx_TaxDr,1802),0)</f>
        <v/>
      </c>
      <c r="N1808" s="95">
        <f>IF(H1808=1,INDEX(tx_TaxCr,1802),0)</f>
        <v/>
      </c>
      <c r="O1808" s="101">
        <f>IF(H1808=1,IF(E1808&lt;FYStart,0,IF(E1808&gt;FYEnd,13,YEAR(E1808)*12+MONTH(E1808)-FYYM+1)),"")</f>
        <v/>
      </c>
      <c r="P1808" s="101">
        <f>IF(H1808=1,IF(IFERROR(INDEX(coa_CF,MATCH(I1808,coa_Name,0)),"")="Cash",1,0),0)</f>
        <v/>
      </c>
      <c r="Q1808" s="101">
        <f>IF(H1808=1,IF(IFERROR(INDEX(coa_CF,MATCH(K1808,coa_Name,0)),"")="Cash",1,0),0)</f>
        <v/>
      </c>
      <c r="R1808" s="58">
        <f>IF((P1808-Q1808)=0,"",IFERROR(INDEX(coa_CF,MATCH(IF((P1808-Q1808)=1,K1808,I1808),coa_Name,0)),"Operating"))</f>
        <v/>
      </c>
      <c r="S1808" s="95">
        <f>IF((P1808-Q1808)=1,L1808,IF((P1808-Q1808)=-1,-J1808,0))</f>
        <v/>
      </c>
      <c r="T1808" s="95">
        <f>IF((P1808-Q1808)=1,N1808,IF((P1808-Q1808)=-1,-M1808,0))</f>
        <v/>
      </c>
      <c r="U1808" s="101">
        <f>IF(AND(H1808=1,LedAcct&lt;&gt;""),IF(AND(E1808&gt;=LedFrom,E1808&lt;=LedTo,OR(I1808=LedAcct,K1808=LedAcct,AND(LedAcct=acctTax,M1808+N1808&lt;&gt;0))),E1808*10000+B1808,""),"")</f>
        <v/>
      </c>
    </row>
    <row r="1809">
      <c r="B1809" s="101" t="n">
        <v>1803</v>
      </c>
      <c r="C1809" s="58" t="inlineStr">
        <is>
          <t>Transaction</t>
        </is>
      </c>
      <c r="D1809" s="58">
        <f>IF(H1809=1,INDEX(tx_ID,1803)&amp;"","")</f>
        <v/>
      </c>
      <c r="E1809" s="94">
        <f>IF(H1809=1,INDEX(tx_Date,1803),"")</f>
        <v/>
      </c>
      <c r="F1809" s="58">
        <f>IF(H1809=1,INDEX(tx_Desc,1803)&amp;"","")</f>
        <v/>
      </c>
      <c r="G1809" s="58">
        <f>IF(H1809=1,IF(INDEX(tx_Cust,1803)&amp;""&lt;&gt;"",INDEX(tx_Cust,1803)&amp;"",INDEX(tx_Vend,1803)&amp;""),"")</f>
        <v/>
      </c>
      <c r="H1809" s="101">
        <f>IFERROR(N(INDEX(tx_Posted,1803)),0)</f>
        <v/>
      </c>
      <c r="I1809" s="58">
        <f>IF(H1809=1,INDEX(tx_DrAcct,1803)&amp;"","")</f>
        <v/>
      </c>
      <c r="J1809" s="95">
        <f>IF(H1809=1,INDEX(tx_DrAmt,1803),0)</f>
        <v/>
      </c>
      <c r="K1809" s="58">
        <f>IF(H1809=1,INDEX(tx_CrAcct,1803)&amp;"","")</f>
        <v/>
      </c>
      <c r="L1809" s="95">
        <f>IF(H1809=1,INDEX(tx_CrAmt,1803),0)</f>
        <v/>
      </c>
      <c r="M1809" s="95">
        <f>IF(H1809=1,INDEX(tx_TaxDr,1803),0)</f>
        <v/>
      </c>
      <c r="N1809" s="95">
        <f>IF(H1809=1,INDEX(tx_TaxCr,1803),0)</f>
        <v/>
      </c>
      <c r="O1809" s="101">
        <f>IF(H1809=1,IF(E1809&lt;FYStart,0,IF(E1809&gt;FYEnd,13,YEAR(E1809)*12+MONTH(E1809)-FYYM+1)),"")</f>
        <v/>
      </c>
      <c r="P1809" s="101">
        <f>IF(H1809=1,IF(IFERROR(INDEX(coa_CF,MATCH(I1809,coa_Name,0)),"")="Cash",1,0),0)</f>
        <v/>
      </c>
      <c r="Q1809" s="101">
        <f>IF(H1809=1,IF(IFERROR(INDEX(coa_CF,MATCH(K1809,coa_Name,0)),"")="Cash",1,0),0)</f>
        <v/>
      </c>
      <c r="R1809" s="58">
        <f>IF((P1809-Q1809)=0,"",IFERROR(INDEX(coa_CF,MATCH(IF((P1809-Q1809)=1,K1809,I1809),coa_Name,0)),"Operating"))</f>
        <v/>
      </c>
      <c r="S1809" s="95">
        <f>IF((P1809-Q1809)=1,L1809,IF((P1809-Q1809)=-1,-J1809,0))</f>
        <v/>
      </c>
      <c r="T1809" s="95">
        <f>IF((P1809-Q1809)=1,N1809,IF((P1809-Q1809)=-1,-M1809,0))</f>
        <v/>
      </c>
      <c r="U1809" s="101">
        <f>IF(AND(H1809=1,LedAcct&lt;&gt;""),IF(AND(E1809&gt;=LedFrom,E1809&lt;=LedTo,OR(I1809=LedAcct,K1809=LedAcct,AND(LedAcct=acctTax,M1809+N1809&lt;&gt;0))),E1809*10000+B1809,""),"")</f>
        <v/>
      </c>
    </row>
    <row r="1810">
      <c r="B1810" s="101" t="n">
        <v>1804</v>
      </c>
      <c r="C1810" s="58" t="inlineStr">
        <is>
          <t>Transaction</t>
        </is>
      </c>
      <c r="D1810" s="58">
        <f>IF(H1810=1,INDEX(tx_ID,1804)&amp;"","")</f>
        <v/>
      </c>
      <c r="E1810" s="94">
        <f>IF(H1810=1,INDEX(tx_Date,1804),"")</f>
        <v/>
      </c>
      <c r="F1810" s="58">
        <f>IF(H1810=1,INDEX(tx_Desc,1804)&amp;"","")</f>
        <v/>
      </c>
      <c r="G1810" s="58">
        <f>IF(H1810=1,IF(INDEX(tx_Cust,1804)&amp;""&lt;&gt;"",INDEX(tx_Cust,1804)&amp;"",INDEX(tx_Vend,1804)&amp;""),"")</f>
        <v/>
      </c>
      <c r="H1810" s="101">
        <f>IFERROR(N(INDEX(tx_Posted,1804)),0)</f>
        <v/>
      </c>
      <c r="I1810" s="58">
        <f>IF(H1810=1,INDEX(tx_DrAcct,1804)&amp;"","")</f>
        <v/>
      </c>
      <c r="J1810" s="95">
        <f>IF(H1810=1,INDEX(tx_DrAmt,1804),0)</f>
        <v/>
      </c>
      <c r="K1810" s="58">
        <f>IF(H1810=1,INDEX(tx_CrAcct,1804)&amp;"","")</f>
        <v/>
      </c>
      <c r="L1810" s="95">
        <f>IF(H1810=1,INDEX(tx_CrAmt,1804),0)</f>
        <v/>
      </c>
      <c r="M1810" s="95">
        <f>IF(H1810=1,INDEX(tx_TaxDr,1804),0)</f>
        <v/>
      </c>
      <c r="N1810" s="95">
        <f>IF(H1810=1,INDEX(tx_TaxCr,1804),0)</f>
        <v/>
      </c>
      <c r="O1810" s="101">
        <f>IF(H1810=1,IF(E1810&lt;FYStart,0,IF(E1810&gt;FYEnd,13,YEAR(E1810)*12+MONTH(E1810)-FYYM+1)),"")</f>
        <v/>
      </c>
      <c r="P1810" s="101">
        <f>IF(H1810=1,IF(IFERROR(INDEX(coa_CF,MATCH(I1810,coa_Name,0)),"")="Cash",1,0),0)</f>
        <v/>
      </c>
      <c r="Q1810" s="101">
        <f>IF(H1810=1,IF(IFERROR(INDEX(coa_CF,MATCH(K1810,coa_Name,0)),"")="Cash",1,0),0)</f>
        <v/>
      </c>
      <c r="R1810" s="58">
        <f>IF((P1810-Q1810)=0,"",IFERROR(INDEX(coa_CF,MATCH(IF((P1810-Q1810)=1,K1810,I1810),coa_Name,0)),"Operating"))</f>
        <v/>
      </c>
      <c r="S1810" s="95">
        <f>IF((P1810-Q1810)=1,L1810,IF((P1810-Q1810)=-1,-J1810,0))</f>
        <v/>
      </c>
      <c r="T1810" s="95">
        <f>IF((P1810-Q1810)=1,N1810,IF((P1810-Q1810)=-1,-M1810,0))</f>
        <v/>
      </c>
      <c r="U1810" s="101">
        <f>IF(AND(H1810=1,LedAcct&lt;&gt;""),IF(AND(E1810&gt;=LedFrom,E1810&lt;=LedTo,OR(I1810=LedAcct,K1810=LedAcct,AND(LedAcct=acctTax,M1810+N1810&lt;&gt;0))),E1810*10000+B1810,""),"")</f>
        <v/>
      </c>
    </row>
    <row r="1811">
      <c r="B1811" s="101" t="n">
        <v>1805</v>
      </c>
      <c r="C1811" s="58" t="inlineStr">
        <is>
          <t>Transaction</t>
        </is>
      </c>
      <c r="D1811" s="58">
        <f>IF(H1811=1,INDEX(tx_ID,1805)&amp;"","")</f>
        <v/>
      </c>
      <c r="E1811" s="94">
        <f>IF(H1811=1,INDEX(tx_Date,1805),"")</f>
        <v/>
      </c>
      <c r="F1811" s="58">
        <f>IF(H1811=1,INDEX(tx_Desc,1805)&amp;"","")</f>
        <v/>
      </c>
      <c r="G1811" s="58">
        <f>IF(H1811=1,IF(INDEX(tx_Cust,1805)&amp;""&lt;&gt;"",INDEX(tx_Cust,1805)&amp;"",INDEX(tx_Vend,1805)&amp;""),"")</f>
        <v/>
      </c>
      <c r="H1811" s="101">
        <f>IFERROR(N(INDEX(tx_Posted,1805)),0)</f>
        <v/>
      </c>
      <c r="I1811" s="58">
        <f>IF(H1811=1,INDEX(tx_DrAcct,1805)&amp;"","")</f>
        <v/>
      </c>
      <c r="J1811" s="95">
        <f>IF(H1811=1,INDEX(tx_DrAmt,1805),0)</f>
        <v/>
      </c>
      <c r="K1811" s="58">
        <f>IF(H1811=1,INDEX(tx_CrAcct,1805)&amp;"","")</f>
        <v/>
      </c>
      <c r="L1811" s="95">
        <f>IF(H1811=1,INDEX(tx_CrAmt,1805),0)</f>
        <v/>
      </c>
      <c r="M1811" s="95">
        <f>IF(H1811=1,INDEX(tx_TaxDr,1805),0)</f>
        <v/>
      </c>
      <c r="N1811" s="95">
        <f>IF(H1811=1,INDEX(tx_TaxCr,1805),0)</f>
        <v/>
      </c>
      <c r="O1811" s="101">
        <f>IF(H1811=1,IF(E1811&lt;FYStart,0,IF(E1811&gt;FYEnd,13,YEAR(E1811)*12+MONTH(E1811)-FYYM+1)),"")</f>
        <v/>
      </c>
      <c r="P1811" s="101">
        <f>IF(H1811=1,IF(IFERROR(INDEX(coa_CF,MATCH(I1811,coa_Name,0)),"")="Cash",1,0),0)</f>
        <v/>
      </c>
      <c r="Q1811" s="101">
        <f>IF(H1811=1,IF(IFERROR(INDEX(coa_CF,MATCH(K1811,coa_Name,0)),"")="Cash",1,0),0)</f>
        <v/>
      </c>
      <c r="R1811" s="58">
        <f>IF((P1811-Q1811)=0,"",IFERROR(INDEX(coa_CF,MATCH(IF((P1811-Q1811)=1,K1811,I1811),coa_Name,0)),"Operating"))</f>
        <v/>
      </c>
      <c r="S1811" s="95">
        <f>IF((P1811-Q1811)=1,L1811,IF((P1811-Q1811)=-1,-J1811,0))</f>
        <v/>
      </c>
      <c r="T1811" s="95">
        <f>IF((P1811-Q1811)=1,N1811,IF((P1811-Q1811)=-1,-M1811,0))</f>
        <v/>
      </c>
      <c r="U1811" s="101">
        <f>IF(AND(H1811=1,LedAcct&lt;&gt;""),IF(AND(E1811&gt;=LedFrom,E1811&lt;=LedTo,OR(I1811=LedAcct,K1811=LedAcct,AND(LedAcct=acctTax,M1811+N1811&lt;&gt;0))),E1811*10000+B1811,""),"")</f>
        <v/>
      </c>
    </row>
    <row r="1812">
      <c r="B1812" s="101" t="n">
        <v>1806</v>
      </c>
      <c r="C1812" s="58" t="inlineStr">
        <is>
          <t>Transaction</t>
        </is>
      </c>
      <c r="D1812" s="58">
        <f>IF(H1812=1,INDEX(tx_ID,1806)&amp;"","")</f>
        <v/>
      </c>
      <c r="E1812" s="94">
        <f>IF(H1812=1,INDEX(tx_Date,1806),"")</f>
        <v/>
      </c>
      <c r="F1812" s="58">
        <f>IF(H1812=1,INDEX(tx_Desc,1806)&amp;"","")</f>
        <v/>
      </c>
      <c r="G1812" s="58">
        <f>IF(H1812=1,IF(INDEX(tx_Cust,1806)&amp;""&lt;&gt;"",INDEX(tx_Cust,1806)&amp;"",INDEX(tx_Vend,1806)&amp;""),"")</f>
        <v/>
      </c>
      <c r="H1812" s="101">
        <f>IFERROR(N(INDEX(tx_Posted,1806)),0)</f>
        <v/>
      </c>
      <c r="I1812" s="58">
        <f>IF(H1812=1,INDEX(tx_DrAcct,1806)&amp;"","")</f>
        <v/>
      </c>
      <c r="J1812" s="95">
        <f>IF(H1812=1,INDEX(tx_DrAmt,1806),0)</f>
        <v/>
      </c>
      <c r="K1812" s="58">
        <f>IF(H1812=1,INDEX(tx_CrAcct,1806)&amp;"","")</f>
        <v/>
      </c>
      <c r="L1812" s="95">
        <f>IF(H1812=1,INDEX(tx_CrAmt,1806),0)</f>
        <v/>
      </c>
      <c r="M1812" s="95">
        <f>IF(H1812=1,INDEX(tx_TaxDr,1806),0)</f>
        <v/>
      </c>
      <c r="N1812" s="95">
        <f>IF(H1812=1,INDEX(tx_TaxCr,1806),0)</f>
        <v/>
      </c>
      <c r="O1812" s="101">
        <f>IF(H1812=1,IF(E1812&lt;FYStart,0,IF(E1812&gt;FYEnd,13,YEAR(E1812)*12+MONTH(E1812)-FYYM+1)),"")</f>
        <v/>
      </c>
      <c r="P1812" s="101">
        <f>IF(H1812=1,IF(IFERROR(INDEX(coa_CF,MATCH(I1812,coa_Name,0)),"")="Cash",1,0),0)</f>
        <v/>
      </c>
      <c r="Q1812" s="101">
        <f>IF(H1812=1,IF(IFERROR(INDEX(coa_CF,MATCH(K1812,coa_Name,0)),"")="Cash",1,0),0)</f>
        <v/>
      </c>
      <c r="R1812" s="58">
        <f>IF((P1812-Q1812)=0,"",IFERROR(INDEX(coa_CF,MATCH(IF((P1812-Q1812)=1,K1812,I1812),coa_Name,0)),"Operating"))</f>
        <v/>
      </c>
      <c r="S1812" s="95">
        <f>IF((P1812-Q1812)=1,L1812,IF((P1812-Q1812)=-1,-J1812,0))</f>
        <v/>
      </c>
      <c r="T1812" s="95">
        <f>IF((P1812-Q1812)=1,N1812,IF((P1812-Q1812)=-1,-M1812,0))</f>
        <v/>
      </c>
      <c r="U1812" s="101">
        <f>IF(AND(H1812=1,LedAcct&lt;&gt;""),IF(AND(E1812&gt;=LedFrom,E1812&lt;=LedTo,OR(I1812=LedAcct,K1812=LedAcct,AND(LedAcct=acctTax,M1812+N1812&lt;&gt;0))),E1812*10000+B1812,""),"")</f>
        <v/>
      </c>
    </row>
    <row r="1813">
      <c r="B1813" s="101" t="n">
        <v>1807</v>
      </c>
      <c r="C1813" s="58" t="inlineStr">
        <is>
          <t>Transaction</t>
        </is>
      </c>
      <c r="D1813" s="58">
        <f>IF(H1813=1,INDEX(tx_ID,1807)&amp;"","")</f>
        <v/>
      </c>
      <c r="E1813" s="94">
        <f>IF(H1813=1,INDEX(tx_Date,1807),"")</f>
        <v/>
      </c>
      <c r="F1813" s="58">
        <f>IF(H1813=1,INDEX(tx_Desc,1807)&amp;"","")</f>
        <v/>
      </c>
      <c r="G1813" s="58">
        <f>IF(H1813=1,IF(INDEX(tx_Cust,1807)&amp;""&lt;&gt;"",INDEX(tx_Cust,1807)&amp;"",INDEX(tx_Vend,1807)&amp;""),"")</f>
        <v/>
      </c>
      <c r="H1813" s="101">
        <f>IFERROR(N(INDEX(tx_Posted,1807)),0)</f>
        <v/>
      </c>
      <c r="I1813" s="58">
        <f>IF(H1813=1,INDEX(tx_DrAcct,1807)&amp;"","")</f>
        <v/>
      </c>
      <c r="J1813" s="95">
        <f>IF(H1813=1,INDEX(tx_DrAmt,1807),0)</f>
        <v/>
      </c>
      <c r="K1813" s="58">
        <f>IF(H1813=1,INDEX(tx_CrAcct,1807)&amp;"","")</f>
        <v/>
      </c>
      <c r="L1813" s="95">
        <f>IF(H1813=1,INDEX(tx_CrAmt,1807),0)</f>
        <v/>
      </c>
      <c r="M1813" s="95">
        <f>IF(H1813=1,INDEX(tx_TaxDr,1807),0)</f>
        <v/>
      </c>
      <c r="N1813" s="95">
        <f>IF(H1813=1,INDEX(tx_TaxCr,1807),0)</f>
        <v/>
      </c>
      <c r="O1813" s="101">
        <f>IF(H1813=1,IF(E1813&lt;FYStart,0,IF(E1813&gt;FYEnd,13,YEAR(E1813)*12+MONTH(E1813)-FYYM+1)),"")</f>
        <v/>
      </c>
      <c r="P1813" s="101">
        <f>IF(H1813=1,IF(IFERROR(INDEX(coa_CF,MATCH(I1813,coa_Name,0)),"")="Cash",1,0),0)</f>
        <v/>
      </c>
      <c r="Q1813" s="101">
        <f>IF(H1813=1,IF(IFERROR(INDEX(coa_CF,MATCH(K1813,coa_Name,0)),"")="Cash",1,0),0)</f>
        <v/>
      </c>
      <c r="R1813" s="58">
        <f>IF((P1813-Q1813)=0,"",IFERROR(INDEX(coa_CF,MATCH(IF((P1813-Q1813)=1,K1813,I1813),coa_Name,0)),"Operating"))</f>
        <v/>
      </c>
      <c r="S1813" s="95">
        <f>IF((P1813-Q1813)=1,L1813,IF((P1813-Q1813)=-1,-J1813,0))</f>
        <v/>
      </c>
      <c r="T1813" s="95">
        <f>IF((P1813-Q1813)=1,N1813,IF((P1813-Q1813)=-1,-M1813,0))</f>
        <v/>
      </c>
      <c r="U1813" s="101">
        <f>IF(AND(H1813=1,LedAcct&lt;&gt;""),IF(AND(E1813&gt;=LedFrom,E1813&lt;=LedTo,OR(I1813=LedAcct,K1813=LedAcct,AND(LedAcct=acctTax,M1813+N1813&lt;&gt;0))),E1813*10000+B1813,""),"")</f>
        <v/>
      </c>
    </row>
    <row r="1814">
      <c r="B1814" s="101" t="n">
        <v>1808</v>
      </c>
      <c r="C1814" s="58" t="inlineStr">
        <is>
          <t>Transaction</t>
        </is>
      </c>
      <c r="D1814" s="58">
        <f>IF(H1814=1,INDEX(tx_ID,1808)&amp;"","")</f>
        <v/>
      </c>
      <c r="E1814" s="94">
        <f>IF(H1814=1,INDEX(tx_Date,1808),"")</f>
        <v/>
      </c>
      <c r="F1814" s="58">
        <f>IF(H1814=1,INDEX(tx_Desc,1808)&amp;"","")</f>
        <v/>
      </c>
      <c r="G1814" s="58">
        <f>IF(H1814=1,IF(INDEX(tx_Cust,1808)&amp;""&lt;&gt;"",INDEX(tx_Cust,1808)&amp;"",INDEX(tx_Vend,1808)&amp;""),"")</f>
        <v/>
      </c>
      <c r="H1814" s="101">
        <f>IFERROR(N(INDEX(tx_Posted,1808)),0)</f>
        <v/>
      </c>
      <c r="I1814" s="58">
        <f>IF(H1814=1,INDEX(tx_DrAcct,1808)&amp;"","")</f>
        <v/>
      </c>
      <c r="J1814" s="95">
        <f>IF(H1814=1,INDEX(tx_DrAmt,1808),0)</f>
        <v/>
      </c>
      <c r="K1814" s="58">
        <f>IF(H1814=1,INDEX(tx_CrAcct,1808)&amp;"","")</f>
        <v/>
      </c>
      <c r="L1814" s="95">
        <f>IF(H1814=1,INDEX(tx_CrAmt,1808),0)</f>
        <v/>
      </c>
      <c r="M1814" s="95">
        <f>IF(H1814=1,INDEX(tx_TaxDr,1808),0)</f>
        <v/>
      </c>
      <c r="N1814" s="95">
        <f>IF(H1814=1,INDEX(tx_TaxCr,1808),0)</f>
        <v/>
      </c>
      <c r="O1814" s="101">
        <f>IF(H1814=1,IF(E1814&lt;FYStart,0,IF(E1814&gt;FYEnd,13,YEAR(E1814)*12+MONTH(E1814)-FYYM+1)),"")</f>
        <v/>
      </c>
      <c r="P1814" s="101">
        <f>IF(H1814=1,IF(IFERROR(INDEX(coa_CF,MATCH(I1814,coa_Name,0)),"")="Cash",1,0),0)</f>
        <v/>
      </c>
      <c r="Q1814" s="101">
        <f>IF(H1814=1,IF(IFERROR(INDEX(coa_CF,MATCH(K1814,coa_Name,0)),"")="Cash",1,0),0)</f>
        <v/>
      </c>
      <c r="R1814" s="58">
        <f>IF((P1814-Q1814)=0,"",IFERROR(INDEX(coa_CF,MATCH(IF((P1814-Q1814)=1,K1814,I1814),coa_Name,0)),"Operating"))</f>
        <v/>
      </c>
      <c r="S1814" s="95">
        <f>IF((P1814-Q1814)=1,L1814,IF((P1814-Q1814)=-1,-J1814,0))</f>
        <v/>
      </c>
      <c r="T1814" s="95">
        <f>IF((P1814-Q1814)=1,N1814,IF((P1814-Q1814)=-1,-M1814,0))</f>
        <v/>
      </c>
      <c r="U1814" s="101">
        <f>IF(AND(H1814=1,LedAcct&lt;&gt;""),IF(AND(E1814&gt;=LedFrom,E1814&lt;=LedTo,OR(I1814=LedAcct,K1814=LedAcct,AND(LedAcct=acctTax,M1814+N1814&lt;&gt;0))),E1814*10000+B1814,""),"")</f>
        <v/>
      </c>
    </row>
    <row r="1815">
      <c r="B1815" s="101" t="n">
        <v>1809</v>
      </c>
      <c r="C1815" s="58" t="inlineStr">
        <is>
          <t>Transaction</t>
        </is>
      </c>
      <c r="D1815" s="58">
        <f>IF(H1815=1,INDEX(tx_ID,1809)&amp;"","")</f>
        <v/>
      </c>
      <c r="E1815" s="94">
        <f>IF(H1815=1,INDEX(tx_Date,1809),"")</f>
        <v/>
      </c>
      <c r="F1815" s="58">
        <f>IF(H1815=1,INDEX(tx_Desc,1809)&amp;"","")</f>
        <v/>
      </c>
      <c r="G1815" s="58">
        <f>IF(H1815=1,IF(INDEX(tx_Cust,1809)&amp;""&lt;&gt;"",INDEX(tx_Cust,1809)&amp;"",INDEX(tx_Vend,1809)&amp;""),"")</f>
        <v/>
      </c>
      <c r="H1815" s="101">
        <f>IFERROR(N(INDEX(tx_Posted,1809)),0)</f>
        <v/>
      </c>
      <c r="I1815" s="58">
        <f>IF(H1815=1,INDEX(tx_DrAcct,1809)&amp;"","")</f>
        <v/>
      </c>
      <c r="J1815" s="95">
        <f>IF(H1815=1,INDEX(tx_DrAmt,1809),0)</f>
        <v/>
      </c>
      <c r="K1815" s="58">
        <f>IF(H1815=1,INDEX(tx_CrAcct,1809)&amp;"","")</f>
        <v/>
      </c>
      <c r="L1815" s="95">
        <f>IF(H1815=1,INDEX(tx_CrAmt,1809),0)</f>
        <v/>
      </c>
      <c r="M1815" s="95">
        <f>IF(H1815=1,INDEX(tx_TaxDr,1809),0)</f>
        <v/>
      </c>
      <c r="N1815" s="95">
        <f>IF(H1815=1,INDEX(tx_TaxCr,1809),0)</f>
        <v/>
      </c>
      <c r="O1815" s="101">
        <f>IF(H1815=1,IF(E1815&lt;FYStart,0,IF(E1815&gt;FYEnd,13,YEAR(E1815)*12+MONTH(E1815)-FYYM+1)),"")</f>
        <v/>
      </c>
      <c r="P1815" s="101">
        <f>IF(H1815=1,IF(IFERROR(INDEX(coa_CF,MATCH(I1815,coa_Name,0)),"")="Cash",1,0),0)</f>
        <v/>
      </c>
      <c r="Q1815" s="101">
        <f>IF(H1815=1,IF(IFERROR(INDEX(coa_CF,MATCH(K1815,coa_Name,0)),"")="Cash",1,0),0)</f>
        <v/>
      </c>
      <c r="R1815" s="58">
        <f>IF((P1815-Q1815)=0,"",IFERROR(INDEX(coa_CF,MATCH(IF((P1815-Q1815)=1,K1815,I1815),coa_Name,0)),"Operating"))</f>
        <v/>
      </c>
      <c r="S1815" s="95">
        <f>IF((P1815-Q1815)=1,L1815,IF((P1815-Q1815)=-1,-J1815,0))</f>
        <v/>
      </c>
      <c r="T1815" s="95">
        <f>IF((P1815-Q1815)=1,N1815,IF((P1815-Q1815)=-1,-M1815,0))</f>
        <v/>
      </c>
      <c r="U1815" s="101">
        <f>IF(AND(H1815=1,LedAcct&lt;&gt;""),IF(AND(E1815&gt;=LedFrom,E1815&lt;=LedTo,OR(I1815=LedAcct,K1815=LedAcct,AND(LedAcct=acctTax,M1815+N1815&lt;&gt;0))),E1815*10000+B1815,""),"")</f>
        <v/>
      </c>
    </row>
    <row r="1816">
      <c r="B1816" s="101" t="n">
        <v>1810</v>
      </c>
      <c r="C1816" s="58" t="inlineStr">
        <is>
          <t>Transaction</t>
        </is>
      </c>
      <c r="D1816" s="58">
        <f>IF(H1816=1,INDEX(tx_ID,1810)&amp;"","")</f>
        <v/>
      </c>
      <c r="E1816" s="94">
        <f>IF(H1816=1,INDEX(tx_Date,1810),"")</f>
        <v/>
      </c>
      <c r="F1816" s="58">
        <f>IF(H1816=1,INDEX(tx_Desc,1810)&amp;"","")</f>
        <v/>
      </c>
      <c r="G1816" s="58">
        <f>IF(H1816=1,IF(INDEX(tx_Cust,1810)&amp;""&lt;&gt;"",INDEX(tx_Cust,1810)&amp;"",INDEX(tx_Vend,1810)&amp;""),"")</f>
        <v/>
      </c>
      <c r="H1816" s="101">
        <f>IFERROR(N(INDEX(tx_Posted,1810)),0)</f>
        <v/>
      </c>
      <c r="I1816" s="58">
        <f>IF(H1816=1,INDEX(tx_DrAcct,1810)&amp;"","")</f>
        <v/>
      </c>
      <c r="J1816" s="95">
        <f>IF(H1816=1,INDEX(tx_DrAmt,1810),0)</f>
        <v/>
      </c>
      <c r="K1816" s="58">
        <f>IF(H1816=1,INDEX(tx_CrAcct,1810)&amp;"","")</f>
        <v/>
      </c>
      <c r="L1816" s="95">
        <f>IF(H1816=1,INDEX(tx_CrAmt,1810),0)</f>
        <v/>
      </c>
      <c r="M1816" s="95">
        <f>IF(H1816=1,INDEX(tx_TaxDr,1810),0)</f>
        <v/>
      </c>
      <c r="N1816" s="95">
        <f>IF(H1816=1,INDEX(tx_TaxCr,1810),0)</f>
        <v/>
      </c>
      <c r="O1816" s="101">
        <f>IF(H1816=1,IF(E1816&lt;FYStart,0,IF(E1816&gt;FYEnd,13,YEAR(E1816)*12+MONTH(E1816)-FYYM+1)),"")</f>
        <v/>
      </c>
      <c r="P1816" s="101">
        <f>IF(H1816=1,IF(IFERROR(INDEX(coa_CF,MATCH(I1816,coa_Name,0)),"")="Cash",1,0),0)</f>
        <v/>
      </c>
      <c r="Q1816" s="101">
        <f>IF(H1816=1,IF(IFERROR(INDEX(coa_CF,MATCH(K1816,coa_Name,0)),"")="Cash",1,0),0)</f>
        <v/>
      </c>
      <c r="R1816" s="58">
        <f>IF((P1816-Q1816)=0,"",IFERROR(INDEX(coa_CF,MATCH(IF((P1816-Q1816)=1,K1816,I1816),coa_Name,0)),"Operating"))</f>
        <v/>
      </c>
      <c r="S1816" s="95">
        <f>IF((P1816-Q1816)=1,L1816,IF((P1816-Q1816)=-1,-J1816,0))</f>
        <v/>
      </c>
      <c r="T1816" s="95">
        <f>IF((P1816-Q1816)=1,N1816,IF((P1816-Q1816)=-1,-M1816,0))</f>
        <v/>
      </c>
      <c r="U1816" s="101">
        <f>IF(AND(H1816=1,LedAcct&lt;&gt;""),IF(AND(E1816&gt;=LedFrom,E1816&lt;=LedTo,OR(I1816=LedAcct,K1816=LedAcct,AND(LedAcct=acctTax,M1816+N1816&lt;&gt;0))),E1816*10000+B1816,""),"")</f>
        <v/>
      </c>
    </row>
    <row r="1817">
      <c r="B1817" s="101" t="n">
        <v>1811</v>
      </c>
      <c r="C1817" s="58" t="inlineStr">
        <is>
          <t>Transaction</t>
        </is>
      </c>
      <c r="D1817" s="58">
        <f>IF(H1817=1,INDEX(tx_ID,1811)&amp;"","")</f>
        <v/>
      </c>
      <c r="E1817" s="94">
        <f>IF(H1817=1,INDEX(tx_Date,1811),"")</f>
        <v/>
      </c>
      <c r="F1817" s="58">
        <f>IF(H1817=1,INDEX(tx_Desc,1811)&amp;"","")</f>
        <v/>
      </c>
      <c r="G1817" s="58">
        <f>IF(H1817=1,IF(INDEX(tx_Cust,1811)&amp;""&lt;&gt;"",INDEX(tx_Cust,1811)&amp;"",INDEX(tx_Vend,1811)&amp;""),"")</f>
        <v/>
      </c>
      <c r="H1817" s="101">
        <f>IFERROR(N(INDEX(tx_Posted,1811)),0)</f>
        <v/>
      </c>
      <c r="I1817" s="58">
        <f>IF(H1817=1,INDEX(tx_DrAcct,1811)&amp;"","")</f>
        <v/>
      </c>
      <c r="J1817" s="95">
        <f>IF(H1817=1,INDEX(tx_DrAmt,1811),0)</f>
        <v/>
      </c>
      <c r="K1817" s="58">
        <f>IF(H1817=1,INDEX(tx_CrAcct,1811)&amp;"","")</f>
        <v/>
      </c>
      <c r="L1817" s="95">
        <f>IF(H1817=1,INDEX(tx_CrAmt,1811),0)</f>
        <v/>
      </c>
      <c r="M1817" s="95">
        <f>IF(H1817=1,INDEX(tx_TaxDr,1811),0)</f>
        <v/>
      </c>
      <c r="N1817" s="95">
        <f>IF(H1817=1,INDEX(tx_TaxCr,1811),0)</f>
        <v/>
      </c>
      <c r="O1817" s="101">
        <f>IF(H1817=1,IF(E1817&lt;FYStart,0,IF(E1817&gt;FYEnd,13,YEAR(E1817)*12+MONTH(E1817)-FYYM+1)),"")</f>
        <v/>
      </c>
      <c r="P1817" s="101">
        <f>IF(H1817=1,IF(IFERROR(INDEX(coa_CF,MATCH(I1817,coa_Name,0)),"")="Cash",1,0),0)</f>
        <v/>
      </c>
      <c r="Q1817" s="101">
        <f>IF(H1817=1,IF(IFERROR(INDEX(coa_CF,MATCH(K1817,coa_Name,0)),"")="Cash",1,0),0)</f>
        <v/>
      </c>
      <c r="R1817" s="58">
        <f>IF((P1817-Q1817)=0,"",IFERROR(INDEX(coa_CF,MATCH(IF((P1817-Q1817)=1,K1817,I1817),coa_Name,0)),"Operating"))</f>
        <v/>
      </c>
      <c r="S1817" s="95">
        <f>IF((P1817-Q1817)=1,L1817,IF((P1817-Q1817)=-1,-J1817,0))</f>
        <v/>
      </c>
      <c r="T1817" s="95">
        <f>IF((P1817-Q1817)=1,N1817,IF((P1817-Q1817)=-1,-M1817,0))</f>
        <v/>
      </c>
      <c r="U1817" s="101">
        <f>IF(AND(H1817=1,LedAcct&lt;&gt;""),IF(AND(E1817&gt;=LedFrom,E1817&lt;=LedTo,OR(I1817=LedAcct,K1817=LedAcct,AND(LedAcct=acctTax,M1817+N1817&lt;&gt;0))),E1817*10000+B1817,""),"")</f>
        <v/>
      </c>
    </row>
    <row r="1818">
      <c r="B1818" s="101" t="n">
        <v>1812</v>
      </c>
      <c r="C1818" s="58" t="inlineStr">
        <is>
          <t>Transaction</t>
        </is>
      </c>
      <c r="D1818" s="58">
        <f>IF(H1818=1,INDEX(tx_ID,1812)&amp;"","")</f>
        <v/>
      </c>
      <c r="E1818" s="94">
        <f>IF(H1818=1,INDEX(tx_Date,1812),"")</f>
        <v/>
      </c>
      <c r="F1818" s="58">
        <f>IF(H1818=1,INDEX(tx_Desc,1812)&amp;"","")</f>
        <v/>
      </c>
      <c r="G1818" s="58">
        <f>IF(H1818=1,IF(INDEX(tx_Cust,1812)&amp;""&lt;&gt;"",INDEX(tx_Cust,1812)&amp;"",INDEX(tx_Vend,1812)&amp;""),"")</f>
        <v/>
      </c>
      <c r="H1818" s="101">
        <f>IFERROR(N(INDEX(tx_Posted,1812)),0)</f>
        <v/>
      </c>
      <c r="I1818" s="58">
        <f>IF(H1818=1,INDEX(tx_DrAcct,1812)&amp;"","")</f>
        <v/>
      </c>
      <c r="J1818" s="95">
        <f>IF(H1818=1,INDEX(tx_DrAmt,1812),0)</f>
        <v/>
      </c>
      <c r="K1818" s="58">
        <f>IF(H1818=1,INDEX(tx_CrAcct,1812)&amp;"","")</f>
        <v/>
      </c>
      <c r="L1818" s="95">
        <f>IF(H1818=1,INDEX(tx_CrAmt,1812),0)</f>
        <v/>
      </c>
      <c r="M1818" s="95">
        <f>IF(H1818=1,INDEX(tx_TaxDr,1812),0)</f>
        <v/>
      </c>
      <c r="N1818" s="95">
        <f>IF(H1818=1,INDEX(tx_TaxCr,1812),0)</f>
        <v/>
      </c>
      <c r="O1818" s="101">
        <f>IF(H1818=1,IF(E1818&lt;FYStart,0,IF(E1818&gt;FYEnd,13,YEAR(E1818)*12+MONTH(E1818)-FYYM+1)),"")</f>
        <v/>
      </c>
      <c r="P1818" s="101">
        <f>IF(H1818=1,IF(IFERROR(INDEX(coa_CF,MATCH(I1818,coa_Name,0)),"")="Cash",1,0),0)</f>
        <v/>
      </c>
      <c r="Q1818" s="101">
        <f>IF(H1818=1,IF(IFERROR(INDEX(coa_CF,MATCH(K1818,coa_Name,0)),"")="Cash",1,0),0)</f>
        <v/>
      </c>
      <c r="R1818" s="58">
        <f>IF((P1818-Q1818)=0,"",IFERROR(INDEX(coa_CF,MATCH(IF((P1818-Q1818)=1,K1818,I1818),coa_Name,0)),"Operating"))</f>
        <v/>
      </c>
      <c r="S1818" s="95">
        <f>IF((P1818-Q1818)=1,L1818,IF((P1818-Q1818)=-1,-J1818,0))</f>
        <v/>
      </c>
      <c r="T1818" s="95">
        <f>IF((P1818-Q1818)=1,N1818,IF((P1818-Q1818)=-1,-M1818,0))</f>
        <v/>
      </c>
      <c r="U1818" s="101">
        <f>IF(AND(H1818=1,LedAcct&lt;&gt;""),IF(AND(E1818&gt;=LedFrom,E1818&lt;=LedTo,OR(I1818=LedAcct,K1818=LedAcct,AND(LedAcct=acctTax,M1818+N1818&lt;&gt;0))),E1818*10000+B1818,""),"")</f>
        <v/>
      </c>
    </row>
    <row r="1819">
      <c r="B1819" s="101" t="n">
        <v>1813</v>
      </c>
      <c r="C1819" s="58" t="inlineStr">
        <is>
          <t>Transaction</t>
        </is>
      </c>
      <c r="D1819" s="58">
        <f>IF(H1819=1,INDEX(tx_ID,1813)&amp;"","")</f>
        <v/>
      </c>
      <c r="E1819" s="94">
        <f>IF(H1819=1,INDEX(tx_Date,1813),"")</f>
        <v/>
      </c>
      <c r="F1819" s="58">
        <f>IF(H1819=1,INDEX(tx_Desc,1813)&amp;"","")</f>
        <v/>
      </c>
      <c r="G1819" s="58">
        <f>IF(H1819=1,IF(INDEX(tx_Cust,1813)&amp;""&lt;&gt;"",INDEX(tx_Cust,1813)&amp;"",INDEX(tx_Vend,1813)&amp;""),"")</f>
        <v/>
      </c>
      <c r="H1819" s="101">
        <f>IFERROR(N(INDEX(tx_Posted,1813)),0)</f>
        <v/>
      </c>
      <c r="I1819" s="58">
        <f>IF(H1819=1,INDEX(tx_DrAcct,1813)&amp;"","")</f>
        <v/>
      </c>
      <c r="J1819" s="95">
        <f>IF(H1819=1,INDEX(tx_DrAmt,1813),0)</f>
        <v/>
      </c>
      <c r="K1819" s="58">
        <f>IF(H1819=1,INDEX(tx_CrAcct,1813)&amp;"","")</f>
        <v/>
      </c>
      <c r="L1819" s="95">
        <f>IF(H1819=1,INDEX(tx_CrAmt,1813),0)</f>
        <v/>
      </c>
      <c r="M1819" s="95">
        <f>IF(H1819=1,INDEX(tx_TaxDr,1813),0)</f>
        <v/>
      </c>
      <c r="N1819" s="95">
        <f>IF(H1819=1,INDEX(tx_TaxCr,1813),0)</f>
        <v/>
      </c>
      <c r="O1819" s="101">
        <f>IF(H1819=1,IF(E1819&lt;FYStart,0,IF(E1819&gt;FYEnd,13,YEAR(E1819)*12+MONTH(E1819)-FYYM+1)),"")</f>
        <v/>
      </c>
      <c r="P1819" s="101">
        <f>IF(H1819=1,IF(IFERROR(INDEX(coa_CF,MATCH(I1819,coa_Name,0)),"")="Cash",1,0),0)</f>
        <v/>
      </c>
      <c r="Q1819" s="101">
        <f>IF(H1819=1,IF(IFERROR(INDEX(coa_CF,MATCH(K1819,coa_Name,0)),"")="Cash",1,0),0)</f>
        <v/>
      </c>
      <c r="R1819" s="58">
        <f>IF((P1819-Q1819)=0,"",IFERROR(INDEX(coa_CF,MATCH(IF((P1819-Q1819)=1,K1819,I1819),coa_Name,0)),"Operating"))</f>
        <v/>
      </c>
      <c r="S1819" s="95">
        <f>IF((P1819-Q1819)=1,L1819,IF((P1819-Q1819)=-1,-J1819,0))</f>
        <v/>
      </c>
      <c r="T1819" s="95">
        <f>IF((P1819-Q1819)=1,N1819,IF((P1819-Q1819)=-1,-M1819,0))</f>
        <v/>
      </c>
      <c r="U1819" s="101">
        <f>IF(AND(H1819=1,LedAcct&lt;&gt;""),IF(AND(E1819&gt;=LedFrom,E1819&lt;=LedTo,OR(I1819=LedAcct,K1819=LedAcct,AND(LedAcct=acctTax,M1819+N1819&lt;&gt;0))),E1819*10000+B1819,""),"")</f>
        <v/>
      </c>
    </row>
    <row r="1820">
      <c r="B1820" s="101" t="n">
        <v>1814</v>
      </c>
      <c r="C1820" s="58" t="inlineStr">
        <is>
          <t>Transaction</t>
        </is>
      </c>
      <c r="D1820" s="58">
        <f>IF(H1820=1,INDEX(tx_ID,1814)&amp;"","")</f>
        <v/>
      </c>
      <c r="E1820" s="94">
        <f>IF(H1820=1,INDEX(tx_Date,1814),"")</f>
        <v/>
      </c>
      <c r="F1820" s="58">
        <f>IF(H1820=1,INDEX(tx_Desc,1814)&amp;"","")</f>
        <v/>
      </c>
      <c r="G1820" s="58">
        <f>IF(H1820=1,IF(INDEX(tx_Cust,1814)&amp;""&lt;&gt;"",INDEX(tx_Cust,1814)&amp;"",INDEX(tx_Vend,1814)&amp;""),"")</f>
        <v/>
      </c>
      <c r="H1820" s="101">
        <f>IFERROR(N(INDEX(tx_Posted,1814)),0)</f>
        <v/>
      </c>
      <c r="I1820" s="58">
        <f>IF(H1820=1,INDEX(tx_DrAcct,1814)&amp;"","")</f>
        <v/>
      </c>
      <c r="J1820" s="95">
        <f>IF(H1820=1,INDEX(tx_DrAmt,1814),0)</f>
        <v/>
      </c>
      <c r="K1820" s="58">
        <f>IF(H1820=1,INDEX(tx_CrAcct,1814)&amp;"","")</f>
        <v/>
      </c>
      <c r="L1820" s="95">
        <f>IF(H1820=1,INDEX(tx_CrAmt,1814),0)</f>
        <v/>
      </c>
      <c r="M1820" s="95">
        <f>IF(H1820=1,INDEX(tx_TaxDr,1814),0)</f>
        <v/>
      </c>
      <c r="N1820" s="95">
        <f>IF(H1820=1,INDEX(tx_TaxCr,1814),0)</f>
        <v/>
      </c>
      <c r="O1820" s="101">
        <f>IF(H1820=1,IF(E1820&lt;FYStart,0,IF(E1820&gt;FYEnd,13,YEAR(E1820)*12+MONTH(E1820)-FYYM+1)),"")</f>
        <v/>
      </c>
      <c r="P1820" s="101">
        <f>IF(H1820=1,IF(IFERROR(INDEX(coa_CF,MATCH(I1820,coa_Name,0)),"")="Cash",1,0),0)</f>
        <v/>
      </c>
      <c r="Q1820" s="101">
        <f>IF(H1820=1,IF(IFERROR(INDEX(coa_CF,MATCH(K1820,coa_Name,0)),"")="Cash",1,0),0)</f>
        <v/>
      </c>
      <c r="R1820" s="58">
        <f>IF((P1820-Q1820)=0,"",IFERROR(INDEX(coa_CF,MATCH(IF((P1820-Q1820)=1,K1820,I1820),coa_Name,0)),"Operating"))</f>
        <v/>
      </c>
      <c r="S1820" s="95">
        <f>IF((P1820-Q1820)=1,L1820,IF((P1820-Q1820)=-1,-J1820,0))</f>
        <v/>
      </c>
      <c r="T1820" s="95">
        <f>IF((P1820-Q1820)=1,N1820,IF((P1820-Q1820)=-1,-M1820,0))</f>
        <v/>
      </c>
      <c r="U1820" s="101">
        <f>IF(AND(H1820=1,LedAcct&lt;&gt;""),IF(AND(E1820&gt;=LedFrom,E1820&lt;=LedTo,OR(I1820=LedAcct,K1820=LedAcct,AND(LedAcct=acctTax,M1820+N1820&lt;&gt;0))),E1820*10000+B1820,""),"")</f>
        <v/>
      </c>
    </row>
    <row r="1821">
      <c r="B1821" s="101" t="n">
        <v>1815</v>
      </c>
      <c r="C1821" s="58" t="inlineStr">
        <is>
          <t>Transaction</t>
        </is>
      </c>
      <c r="D1821" s="58">
        <f>IF(H1821=1,INDEX(tx_ID,1815)&amp;"","")</f>
        <v/>
      </c>
      <c r="E1821" s="94">
        <f>IF(H1821=1,INDEX(tx_Date,1815),"")</f>
        <v/>
      </c>
      <c r="F1821" s="58">
        <f>IF(H1821=1,INDEX(tx_Desc,1815)&amp;"","")</f>
        <v/>
      </c>
      <c r="G1821" s="58">
        <f>IF(H1821=1,IF(INDEX(tx_Cust,1815)&amp;""&lt;&gt;"",INDEX(tx_Cust,1815)&amp;"",INDEX(tx_Vend,1815)&amp;""),"")</f>
        <v/>
      </c>
      <c r="H1821" s="101">
        <f>IFERROR(N(INDEX(tx_Posted,1815)),0)</f>
        <v/>
      </c>
      <c r="I1821" s="58">
        <f>IF(H1821=1,INDEX(tx_DrAcct,1815)&amp;"","")</f>
        <v/>
      </c>
      <c r="J1821" s="95">
        <f>IF(H1821=1,INDEX(tx_DrAmt,1815),0)</f>
        <v/>
      </c>
      <c r="K1821" s="58">
        <f>IF(H1821=1,INDEX(tx_CrAcct,1815)&amp;"","")</f>
        <v/>
      </c>
      <c r="L1821" s="95">
        <f>IF(H1821=1,INDEX(tx_CrAmt,1815),0)</f>
        <v/>
      </c>
      <c r="M1821" s="95">
        <f>IF(H1821=1,INDEX(tx_TaxDr,1815),0)</f>
        <v/>
      </c>
      <c r="N1821" s="95">
        <f>IF(H1821=1,INDEX(tx_TaxCr,1815),0)</f>
        <v/>
      </c>
      <c r="O1821" s="101">
        <f>IF(H1821=1,IF(E1821&lt;FYStart,0,IF(E1821&gt;FYEnd,13,YEAR(E1821)*12+MONTH(E1821)-FYYM+1)),"")</f>
        <v/>
      </c>
      <c r="P1821" s="101">
        <f>IF(H1821=1,IF(IFERROR(INDEX(coa_CF,MATCH(I1821,coa_Name,0)),"")="Cash",1,0),0)</f>
        <v/>
      </c>
      <c r="Q1821" s="101">
        <f>IF(H1821=1,IF(IFERROR(INDEX(coa_CF,MATCH(K1821,coa_Name,0)),"")="Cash",1,0),0)</f>
        <v/>
      </c>
      <c r="R1821" s="58">
        <f>IF((P1821-Q1821)=0,"",IFERROR(INDEX(coa_CF,MATCH(IF((P1821-Q1821)=1,K1821,I1821),coa_Name,0)),"Operating"))</f>
        <v/>
      </c>
      <c r="S1821" s="95">
        <f>IF((P1821-Q1821)=1,L1821,IF((P1821-Q1821)=-1,-J1821,0))</f>
        <v/>
      </c>
      <c r="T1821" s="95">
        <f>IF((P1821-Q1821)=1,N1821,IF((P1821-Q1821)=-1,-M1821,0))</f>
        <v/>
      </c>
      <c r="U1821" s="101">
        <f>IF(AND(H1821=1,LedAcct&lt;&gt;""),IF(AND(E1821&gt;=LedFrom,E1821&lt;=LedTo,OR(I1821=LedAcct,K1821=LedAcct,AND(LedAcct=acctTax,M1821+N1821&lt;&gt;0))),E1821*10000+B1821,""),"")</f>
        <v/>
      </c>
    </row>
    <row r="1822">
      <c r="B1822" s="101" t="n">
        <v>1816</v>
      </c>
      <c r="C1822" s="58" t="inlineStr">
        <is>
          <t>Transaction</t>
        </is>
      </c>
      <c r="D1822" s="58">
        <f>IF(H1822=1,INDEX(tx_ID,1816)&amp;"","")</f>
        <v/>
      </c>
      <c r="E1822" s="94">
        <f>IF(H1822=1,INDEX(tx_Date,1816),"")</f>
        <v/>
      </c>
      <c r="F1822" s="58">
        <f>IF(H1822=1,INDEX(tx_Desc,1816)&amp;"","")</f>
        <v/>
      </c>
      <c r="G1822" s="58">
        <f>IF(H1822=1,IF(INDEX(tx_Cust,1816)&amp;""&lt;&gt;"",INDEX(tx_Cust,1816)&amp;"",INDEX(tx_Vend,1816)&amp;""),"")</f>
        <v/>
      </c>
      <c r="H1822" s="101">
        <f>IFERROR(N(INDEX(tx_Posted,1816)),0)</f>
        <v/>
      </c>
      <c r="I1822" s="58">
        <f>IF(H1822=1,INDEX(tx_DrAcct,1816)&amp;"","")</f>
        <v/>
      </c>
      <c r="J1822" s="95">
        <f>IF(H1822=1,INDEX(tx_DrAmt,1816),0)</f>
        <v/>
      </c>
      <c r="K1822" s="58">
        <f>IF(H1822=1,INDEX(tx_CrAcct,1816)&amp;"","")</f>
        <v/>
      </c>
      <c r="L1822" s="95">
        <f>IF(H1822=1,INDEX(tx_CrAmt,1816),0)</f>
        <v/>
      </c>
      <c r="M1822" s="95">
        <f>IF(H1822=1,INDEX(tx_TaxDr,1816),0)</f>
        <v/>
      </c>
      <c r="N1822" s="95">
        <f>IF(H1822=1,INDEX(tx_TaxCr,1816),0)</f>
        <v/>
      </c>
      <c r="O1822" s="101">
        <f>IF(H1822=1,IF(E1822&lt;FYStart,0,IF(E1822&gt;FYEnd,13,YEAR(E1822)*12+MONTH(E1822)-FYYM+1)),"")</f>
        <v/>
      </c>
      <c r="P1822" s="101">
        <f>IF(H1822=1,IF(IFERROR(INDEX(coa_CF,MATCH(I1822,coa_Name,0)),"")="Cash",1,0),0)</f>
        <v/>
      </c>
      <c r="Q1822" s="101">
        <f>IF(H1822=1,IF(IFERROR(INDEX(coa_CF,MATCH(K1822,coa_Name,0)),"")="Cash",1,0),0)</f>
        <v/>
      </c>
      <c r="R1822" s="58">
        <f>IF((P1822-Q1822)=0,"",IFERROR(INDEX(coa_CF,MATCH(IF((P1822-Q1822)=1,K1822,I1822),coa_Name,0)),"Operating"))</f>
        <v/>
      </c>
      <c r="S1822" s="95">
        <f>IF((P1822-Q1822)=1,L1822,IF((P1822-Q1822)=-1,-J1822,0))</f>
        <v/>
      </c>
      <c r="T1822" s="95">
        <f>IF((P1822-Q1822)=1,N1822,IF((P1822-Q1822)=-1,-M1822,0))</f>
        <v/>
      </c>
      <c r="U1822" s="101">
        <f>IF(AND(H1822=1,LedAcct&lt;&gt;""),IF(AND(E1822&gt;=LedFrom,E1822&lt;=LedTo,OR(I1822=LedAcct,K1822=LedAcct,AND(LedAcct=acctTax,M1822+N1822&lt;&gt;0))),E1822*10000+B1822,""),"")</f>
        <v/>
      </c>
    </row>
    <row r="1823">
      <c r="B1823" s="101" t="n">
        <v>1817</v>
      </c>
      <c r="C1823" s="58" t="inlineStr">
        <is>
          <t>Transaction</t>
        </is>
      </c>
      <c r="D1823" s="58">
        <f>IF(H1823=1,INDEX(tx_ID,1817)&amp;"","")</f>
        <v/>
      </c>
      <c r="E1823" s="94">
        <f>IF(H1823=1,INDEX(tx_Date,1817),"")</f>
        <v/>
      </c>
      <c r="F1823" s="58">
        <f>IF(H1823=1,INDEX(tx_Desc,1817)&amp;"","")</f>
        <v/>
      </c>
      <c r="G1823" s="58">
        <f>IF(H1823=1,IF(INDEX(tx_Cust,1817)&amp;""&lt;&gt;"",INDEX(tx_Cust,1817)&amp;"",INDEX(tx_Vend,1817)&amp;""),"")</f>
        <v/>
      </c>
      <c r="H1823" s="101">
        <f>IFERROR(N(INDEX(tx_Posted,1817)),0)</f>
        <v/>
      </c>
      <c r="I1823" s="58">
        <f>IF(H1823=1,INDEX(tx_DrAcct,1817)&amp;"","")</f>
        <v/>
      </c>
      <c r="J1823" s="95">
        <f>IF(H1823=1,INDEX(tx_DrAmt,1817),0)</f>
        <v/>
      </c>
      <c r="K1823" s="58">
        <f>IF(H1823=1,INDEX(tx_CrAcct,1817)&amp;"","")</f>
        <v/>
      </c>
      <c r="L1823" s="95">
        <f>IF(H1823=1,INDEX(tx_CrAmt,1817),0)</f>
        <v/>
      </c>
      <c r="M1823" s="95">
        <f>IF(H1823=1,INDEX(tx_TaxDr,1817),0)</f>
        <v/>
      </c>
      <c r="N1823" s="95">
        <f>IF(H1823=1,INDEX(tx_TaxCr,1817),0)</f>
        <v/>
      </c>
      <c r="O1823" s="101">
        <f>IF(H1823=1,IF(E1823&lt;FYStart,0,IF(E1823&gt;FYEnd,13,YEAR(E1823)*12+MONTH(E1823)-FYYM+1)),"")</f>
        <v/>
      </c>
      <c r="P1823" s="101">
        <f>IF(H1823=1,IF(IFERROR(INDEX(coa_CF,MATCH(I1823,coa_Name,0)),"")="Cash",1,0),0)</f>
        <v/>
      </c>
      <c r="Q1823" s="101">
        <f>IF(H1823=1,IF(IFERROR(INDEX(coa_CF,MATCH(K1823,coa_Name,0)),"")="Cash",1,0),0)</f>
        <v/>
      </c>
      <c r="R1823" s="58">
        <f>IF((P1823-Q1823)=0,"",IFERROR(INDEX(coa_CF,MATCH(IF((P1823-Q1823)=1,K1823,I1823),coa_Name,0)),"Operating"))</f>
        <v/>
      </c>
      <c r="S1823" s="95">
        <f>IF((P1823-Q1823)=1,L1823,IF((P1823-Q1823)=-1,-J1823,0))</f>
        <v/>
      </c>
      <c r="T1823" s="95">
        <f>IF((P1823-Q1823)=1,N1823,IF((P1823-Q1823)=-1,-M1823,0))</f>
        <v/>
      </c>
      <c r="U1823" s="101">
        <f>IF(AND(H1823=1,LedAcct&lt;&gt;""),IF(AND(E1823&gt;=LedFrom,E1823&lt;=LedTo,OR(I1823=LedAcct,K1823=LedAcct,AND(LedAcct=acctTax,M1823+N1823&lt;&gt;0))),E1823*10000+B1823,""),"")</f>
        <v/>
      </c>
    </row>
    <row r="1824">
      <c r="B1824" s="101" t="n">
        <v>1818</v>
      </c>
      <c r="C1824" s="58" t="inlineStr">
        <is>
          <t>Transaction</t>
        </is>
      </c>
      <c r="D1824" s="58">
        <f>IF(H1824=1,INDEX(tx_ID,1818)&amp;"","")</f>
        <v/>
      </c>
      <c r="E1824" s="94">
        <f>IF(H1824=1,INDEX(tx_Date,1818),"")</f>
        <v/>
      </c>
      <c r="F1824" s="58">
        <f>IF(H1824=1,INDEX(tx_Desc,1818)&amp;"","")</f>
        <v/>
      </c>
      <c r="G1824" s="58">
        <f>IF(H1824=1,IF(INDEX(tx_Cust,1818)&amp;""&lt;&gt;"",INDEX(tx_Cust,1818)&amp;"",INDEX(tx_Vend,1818)&amp;""),"")</f>
        <v/>
      </c>
      <c r="H1824" s="101">
        <f>IFERROR(N(INDEX(tx_Posted,1818)),0)</f>
        <v/>
      </c>
      <c r="I1824" s="58">
        <f>IF(H1824=1,INDEX(tx_DrAcct,1818)&amp;"","")</f>
        <v/>
      </c>
      <c r="J1824" s="95">
        <f>IF(H1824=1,INDEX(tx_DrAmt,1818),0)</f>
        <v/>
      </c>
      <c r="K1824" s="58">
        <f>IF(H1824=1,INDEX(tx_CrAcct,1818)&amp;"","")</f>
        <v/>
      </c>
      <c r="L1824" s="95">
        <f>IF(H1824=1,INDEX(tx_CrAmt,1818),0)</f>
        <v/>
      </c>
      <c r="M1824" s="95">
        <f>IF(H1824=1,INDEX(tx_TaxDr,1818),0)</f>
        <v/>
      </c>
      <c r="N1824" s="95">
        <f>IF(H1824=1,INDEX(tx_TaxCr,1818),0)</f>
        <v/>
      </c>
      <c r="O1824" s="101">
        <f>IF(H1824=1,IF(E1824&lt;FYStart,0,IF(E1824&gt;FYEnd,13,YEAR(E1824)*12+MONTH(E1824)-FYYM+1)),"")</f>
        <v/>
      </c>
      <c r="P1824" s="101">
        <f>IF(H1824=1,IF(IFERROR(INDEX(coa_CF,MATCH(I1824,coa_Name,0)),"")="Cash",1,0),0)</f>
        <v/>
      </c>
      <c r="Q1824" s="101">
        <f>IF(H1824=1,IF(IFERROR(INDEX(coa_CF,MATCH(K1824,coa_Name,0)),"")="Cash",1,0),0)</f>
        <v/>
      </c>
      <c r="R1824" s="58">
        <f>IF((P1824-Q1824)=0,"",IFERROR(INDEX(coa_CF,MATCH(IF((P1824-Q1824)=1,K1824,I1824),coa_Name,0)),"Operating"))</f>
        <v/>
      </c>
      <c r="S1824" s="95">
        <f>IF((P1824-Q1824)=1,L1824,IF((P1824-Q1824)=-1,-J1824,0))</f>
        <v/>
      </c>
      <c r="T1824" s="95">
        <f>IF((P1824-Q1824)=1,N1824,IF((P1824-Q1824)=-1,-M1824,0))</f>
        <v/>
      </c>
      <c r="U1824" s="101">
        <f>IF(AND(H1824=1,LedAcct&lt;&gt;""),IF(AND(E1824&gt;=LedFrom,E1824&lt;=LedTo,OR(I1824=LedAcct,K1824=LedAcct,AND(LedAcct=acctTax,M1824+N1824&lt;&gt;0))),E1824*10000+B1824,""),"")</f>
        <v/>
      </c>
    </row>
    <row r="1825">
      <c r="B1825" s="101" t="n">
        <v>1819</v>
      </c>
      <c r="C1825" s="58" t="inlineStr">
        <is>
          <t>Transaction</t>
        </is>
      </c>
      <c r="D1825" s="58">
        <f>IF(H1825=1,INDEX(tx_ID,1819)&amp;"","")</f>
        <v/>
      </c>
      <c r="E1825" s="94">
        <f>IF(H1825=1,INDEX(tx_Date,1819),"")</f>
        <v/>
      </c>
      <c r="F1825" s="58">
        <f>IF(H1825=1,INDEX(tx_Desc,1819)&amp;"","")</f>
        <v/>
      </c>
      <c r="G1825" s="58">
        <f>IF(H1825=1,IF(INDEX(tx_Cust,1819)&amp;""&lt;&gt;"",INDEX(tx_Cust,1819)&amp;"",INDEX(tx_Vend,1819)&amp;""),"")</f>
        <v/>
      </c>
      <c r="H1825" s="101">
        <f>IFERROR(N(INDEX(tx_Posted,1819)),0)</f>
        <v/>
      </c>
      <c r="I1825" s="58">
        <f>IF(H1825=1,INDEX(tx_DrAcct,1819)&amp;"","")</f>
        <v/>
      </c>
      <c r="J1825" s="95">
        <f>IF(H1825=1,INDEX(tx_DrAmt,1819),0)</f>
        <v/>
      </c>
      <c r="K1825" s="58">
        <f>IF(H1825=1,INDEX(tx_CrAcct,1819)&amp;"","")</f>
        <v/>
      </c>
      <c r="L1825" s="95">
        <f>IF(H1825=1,INDEX(tx_CrAmt,1819),0)</f>
        <v/>
      </c>
      <c r="M1825" s="95">
        <f>IF(H1825=1,INDEX(tx_TaxDr,1819),0)</f>
        <v/>
      </c>
      <c r="N1825" s="95">
        <f>IF(H1825=1,INDEX(tx_TaxCr,1819),0)</f>
        <v/>
      </c>
      <c r="O1825" s="101">
        <f>IF(H1825=1,IF(E1825&lt;FYStart,0,IF(E1825&gt;FYEnd,13,YEAR(E1825)*12+MONTH(E1825)-FYYM+1)),"")</f>
        <v/>
      </c>
      <c r="P1825" s="101">
        <f>IF(H1825=1,IF(IFERROR(INDEX(coa_CF,MATCH(I1825,coa_Name,0)),"")="Cash",1,0),0)</f>
        <v/>
      </c>
      <c r="Q1825" s="101">
        <f>IF(H1825=1,IF(IFERROR(INDEX(coa_CF,MATCH(K1825,coa_Name,0)),"")="Cash",1,0),0)</f>
        <v/>
      </c>
      <c r="R1825" s="58">
        <f>IF((P1825-Q1825)=0,"",IFERROR(INDEX(coa_CF,MATCH(IF((P1825-Q1825)=1,K1825,I1825),coa_Name,0)),"Operating"))</f>
        <v/>
      </c>
      <c r="S1825" s="95">
        <f>IF((P1825-Q1825)=1,L1825,IF((P1825-Q1825)=-1,-J1825,0))</f>
        <v/>
      </c>
      <c r="T1825" s="95">
        <f>IF((P1825-Q1825)=1,N1825,IF((P1825-Q1825)=-1,-M1825,0))</f>
        <v/>
      </c>
      <c r="U1825" s="101">
        <f>IF(AND(H1825=1,LedAcct&lt;&gt;""),IF(AND(E1825&gt;=LedFrom,E1825&lt;=LedTo,OR(I1825=LedAcct,K1825=LedAcct,AND(LedAcct=acctTax,M1825+N1825&lt;&gt;0))),E1825*10000+B1825,""),"")</f>
        <v/>
      </c>
    </row>
    <row r="1826">
      <c r="B1826" s="101" t="n">
        <v>1820</v>
      </c>
      <c r="C1826" s="58" t="inlineStr">
        <is>
          <t>Transaction</t>
        </is>
      </c>
      <c r="D1826" s="58">
        <f>IF(H1826=1,INDEX(tx_ID,1820)&amp;"","")</f>
        <v/>
      </c>
      <c r="E1826" s="94">
        <f>IF(H1826=1,INDEX(tx_Date,1820),"")</f>
        <v/>
      </c>
      <c r="F1826" s="58">
        <f>IF(H1826=1,INDEX(tx_Desc,1820)&amp;"","")</f>
        <v/>
      </c>
      <c r="G1826" s="58">
        <f>IF(H1826=1,IF(INDEX(tx_Cust,1820)&amp;""&lt;&gt;"",INDEX(tx_Cust,1820)&amp;"",INDEX(tx_Vend,1820)&amp;""),"")</f>
        <v/>
      </c>
      <c r="H1826" s="101">
        <f>IFERROR(N(INDEX(tx_Posted,1820)),0)</f>
        <v/>
      </c>
      <c r="I1826" s="58">
        <f>IF(H1826=1,INDEX(tx_DrAcct,1820)&amp;"","")</f>
        <v/>
      </c>
      <c r="J1826" s="95">
        <f>IF(H1826=1,INDEX(tx_DrAmt,1820),0)</f>
        <v/>
      </c>
      <c r="K1826" s="58">
        <f>IF(H1826=1,INDEX(tx_CrAcct,1820)&amp;"","")</f>
        <v/>
      </c>
      <c r="L1826" s="95">
        <f>IF(H1826=1,INDEX(tx_CrAmt,1820),0)</f>
        <v/>
      </c>
      <c r="M1826" s="95">
        <f>IF(H1826=1,INDEX(tx_TaxDr,1820),0)</f>
        <v/>
      </c>
      <c r="N1826" s="95">
        <f>IF(H1826=1,INDEX(tx_TaxCr,1820),0)</f>
        <v/>
      </c>
      <c r="O1826" s="101">
        <f>IF(H1826=1,IF(E1826&lt;FYStart,0,IF(E1826&gt;FYEnd,13,YEAR(E1826)*12+MONTH(E1826)-FYYM+1)),"")</f>
        <v/>
      </c>
      <c r="P1826" s="101">
        <f>IF(H1826=1,IF(IFERROR(INDEX(coa_CF,MATCH(I1826,coa_Name,0)),"")="Cash",1,0),0)</f>
        <v/>
      </c>
      <c r="Q1826" s="101">
        <f>IF(H1826=1,IF(IFERROR(INDEX(coa_CF,MATCH(K1826,coa_Name,0)),"")="Cash",1,0),0)</f>
        <v/>
      </c>
      <c r="R1826" s="58">
        <f>IF((P1826-Q1826)=0,"",IFERROR(INDEX(coa_CF,MATCH(IF((P1826-Q1826)=1,K1826,I1826),coa_Name,0)),"Operating"))</f>
        <v/>
      </c>
      <c r="S1826" s="95">
        <f>IF((P1826-Q1826)=1,L1826,IF((P1826-Q1826)=-1,-J1826,0))</f>
        <v/>
      </c>
      <c r="T1826" s="95">
        <f>IF((P1826-Q1826)=1,N1826,IF((P1826-Q1826)=-1,-M1826,0))</f>
        <v/>
      </c>
      <c r="U1826" s="101">
        <f>IF(AND(H1826=1,LedAcct&lt;&gt;""),IF(AND(E1826&gt;=LedFrom,E1826&lt;=LedTo,OR(I1826=LedAcct,K1826=LedAcct,AND(LedAcct=acctTax,M1826+N1826&lt;&gt;0))),E1826*10000+B1826,""),"")</f>
        <v/>
      </c>
    </row>
    <row r="1827">
      <c r="B1827" s="101" t="n">
        <v>1821</v>
      </c>
      <c r="C1827" s="58" t="inlineStr">
        <is>
          <t>Transaction</t>
        </is>
      </c>
      <c r="D1827" s="58">
        <f>IF(H1827=1,INDEX(tx_ID,1821)&amp;"","")</f>
        <v/>
      </c>
      <c r="E1827" s="94">
        <f>IF(H1827=1,INDEX(tx_Date,1821),"")</f>
        <v/>
      </c>
      <c r="F1827" s="58">
        <f>IF(H1827=1,INDEX(tx_Desc,1821)&amp;"","")</f>
        <v/>
      </c>
      <c r="G1827" s="58">
        <f>IF(H1827=1,IF(INDEX(tx_Cust,1821)&amp;""&lt;&gt;"",INDEX(tx_Cust,1821)&amp;"",INDEX(tx_Vend,1821)&amp;""),"")</f>
        <v/>
      </c>
      <c r="H1827" s="101">
        <f>IFERROR(N(INDEX(tx_Posted,1821)),0)</f>
        <v/>
      </c>
      <c r="I1827" s="58">
        <f>IF(H1827=1,INDEX(tx_DrAcct,1821)&amp;"","")</f>
        <v/>
      </c>
      <c r="J1827" s="95">
        <f>IF(H1827=1,INDEX(tx_DrAmt,1821),0)</f>
        <v/>
      </c>
      <c r="K1827" s="58">
        <f>IF(H1827=1,INDEX(tx_CrAcct,1821)&amp;"","")</f>
        <v/>
      </c>
      <c r="L1827" s="95">
        <f>IF(H1827=1,INDEX(tx_CrAmt,1821),0)</f>
        <v/>
      </c>
      <c r="M1827" s="95">
        <f>IF(H1827=1,INDEX(tx_TaxDr,1821),0)</f>
        <v/>
      </c>
      <c r="N1827" s="95">
        <f>IF(H1827=1,INDEX(tx_TaxCr,1821),0)</f>
        <v/>
      </c>
      <c r="O1827" s="101">
        <f>IF(H1827=1,IF(E1827&lt;FYStart,0,IF(E1827&gt;FYEnd,13,YEAR(E1827)*12+MONTH(E1827)-FYYM+1)),"")</f>
        <v/>
      </c>
      <c r="P1827" s="101">
        <f>IF(H1827=1,IF(IFERROR(INDEX(coa_CF,MATCH(I1827,coa_Name,0)),"")="Cash",1,0),0)</f>
        <v/>
      </c>
      <c r="Q1827" s="101">
        <f>IF(H1827=1,IF(IFERROR(INDEX(coa_CF,MATCH(K1827,coa_Name,0)),"")="Cash",1,0),0)</f>
        <v/>
      </c>
      <c r="R1827" s="58">
        <f>IF((P1827-Q1827)=0,"",IFERROR(INDEX(coa_CF,MATCH(IF((P1827-Q1827)=1,K1827,I1827),coa_Name,0)),"Operating"))</f>
        <v/>
      </c>
      <c r="S1827" s="95">
        <f>IF((P1827-Q1827)=1,L1827,IF((P1827-Q1827)=-1,-J1827,0))</f>
        <v/>
      </c>
      <c r="T1827" s="95">
        <f>IF((P1827-Q1827)=1,N1827,IF((P1827-Q1827)=-1,-M1827,0))</f>
        <v/>
      </c>
      <c r="U1827" s="101">
        <f>IF(AND(H1827=1,LedAcct&lt;&gt;""),IF(AND(E1827&gt;=LedFrom,E1827&lt;=LedTo,OR(I1827=LedAcct,K1827=LedAcct,AND(LedAcct=acctTax,M1827+N1827&lt;&gt;0))),E1827*10000+B1827,""),"")</f>
        <v/>
      </c>
    </row>
    <row r="1828">
      <c r="B1828" s="101" t="n">
        <v>1822</v>
      </c>
      <c r="C1828" s="58" t="inlineStr">
        <is>
          <t>Transaction</t>
        </is>
      </c>
      <c r="D1828" s="58">
        <f>IF(H1828=1,INDEX(tx_ID,1822)&amp;"","")</f>
        <v/>
      </c>
      <c r="E1828" s="94">
        <f>IF(H1828=1,INDEX(tx_Date,1822),"")</f>
        <v/>
      </c>
      <c r="F1828" s="58">
        <f>IF(H1828=1,INDEX(tx_Desc,1822)&amp;"","")</f>
        <v/>
      </c>
      <c r="G1828" s="58">
        <f>IF(H1828=1,IF(INDEX(tx_Cust,1822)&amp;""&lt;&gt;"",INDEX(tx_Cust,1822)&amp;"",INDEX(tx_Vend,1822)&amp;""),"")</f>
        <v/>
      </c>
      <c r="H1828" s="101">
        <f>IFERROR(N(INDEX(tx_Posted,1822)),0)</f>
        <v/>
      </c>
      <c r="I1828" s="58">
        <f>IF(H1828=1,INDEX(tx_DrAcct,1822)&amp;"","")</f>
        <v/>
      </c>
      <c r="J1828" s="95">
        <f>IF(H1828=1,INDEX(tx_DrAmt,1822),0)</f>
        <v/>
      </c>
      <c r="K1828" s="58">
        <f>IF(H1828=1,INDEX(tx_CrAcct,1822)&amp;"","")</f>
        <v/>
      </c>
      <c r="L1828" s="95">
        <f>IF(H1828=1,INDEX(tx_CrAmt,1822),0)</f>
        <v/>
      </c>
      <c r="M1828" s="95">
        <f>IF(H1828=1,INDEX(tx_TaxDr,1822),0)</f>
        <v/>
      </c>
      <c r="N1828" s="95">
        <f>IF(H1828=1,INDEX(tx_TaxCr,1822),0)</f>
        <v/>
      </c>
      <c r="O1828" s="101">
        <f>IF(H1828=1,IF(E1828&lt;FYStart,0,IF(E1828&gt;FYEnd,13,YEAR(E1828)*12+MONTH(E1828)-FYYM+1)),"")</f>
        <v/>
      </c>
      <c r="P1828" s="101">
        <f>IF(H1828=1,IF(IFERROR(INDEX(coa_CF,MATCH(I1828,coa_Name,0)),"")="Cash",1,0),0)</f>
        <v/>
      </c>
      <c r="Q1828" s="101">
        <f>IF(H1828=1,IF(IFERROR(INDEX(coa_CF,MATCH(K1828,coa_Name,0)),"")="Cash",1,0),0)</f>
        <v/>
      </c>
      <c r="R1828" s="58">
        <f>IF((P1828-Q1828)=0,"",IFERROR(INDEX(coa_CF,MATCH(IF((P1828-Q1828)=1,K1828,I1828),coa_Name,0)),"Operating"))</f>
        <v/>
      </c>
      <c r="S1828" s="95">
        <f>IF((P1828-Q1828)=1,L1828,IF((P1828-Q1828)=-1,-J1828,0))</f>
        <v/>
      </c>
      <c r="T1828" s="95">
        <f>IF((P1828-Q1828)=1,N1828,IF((P1828-Q1828)=-1,-M1828,0))</f>
        <v/>
      </c>
      <c r="U1828" s="101">
        <f>IF(AND(H1828=1,LedAcct&lt;&gt;""),IF(AND(E1828&gt;=LedFrom,E1828&lt;=LedTo,OR(I1828=LedAcct,K1828=LedAcct,AND(LedAcct=acctTax,M1828+N1828&lt;&gt;0))),E1828*10000+B1828,""),"")</f>
        <v/>
      </c>
    </row>
    <row r="1829">
      <c r="B1829" s="101" t="n">
        <v>1823</v>
      </c>
      <c r="C1829" s="58" t="inlineStr">
        <is>
          <t>Transaction</t>
        </is>
      </c>
      <c r="D1829" s="58">
        <f>IF(H1829=1,INDEX(tx_ID,1823)&amp;"","")</f>
        <v/>
      </c>
      <c r="E1829" s="94">
        <f>IF(H1829=1,INDEX(tx_Date,1823),"")</f>
        <v/>
      </c>
      <c r="F1829" s="58">
        <f>IF(H1829=1,INDEX(tx_Desc,1823)&amp;"","")</f>
        <v/>
      </c>
      <c r="G1829" s="58">
        <f>IF(H1829=1,IF(INDEX(tx_Cust,1823)&amp;""&lt;&gt;"",INDEX(tx_Cust,1823)&amp;"",INDEX(tx_Vend,1823)&amp;""),"")</f>
        <v/>
      </c>
      <c r="H1829" s="101">
        <f>IFERROR(N(INDEX(tx_Posted,1823)),0)</f>
        <v/>
      </c>
      <c r="I1829" s="58">
        <f>IF(H1829=1,INDEX(tx_DrAcct,1823)&amp;"","")</f>
        <v/>
      </c>
      <c r="J1829" s="95">
        <f>IF(H1829=1,INDEX(tx_DrAmt,1823),0)</f>
        <v/>
      </c>
      <c r="K1829" s="58">
        <f>IF(H1829=1,INDEX(tx_CrAcct,1823)&amp;"","")</f>
        <v/>
      </c>
      <c r="L1829" s="95">
        <f>IF(H1829=1,INDEX(tx_CrAmt,1823),0)</f>
        <v/>
      </c>
      <c r="M1829" s="95">
        <f>IF(H1829=1,INDEX(tx_TaxDr,1823),0)</f>
        <v/>
      </c>
      <c r="N1829" s="95">
        <f>IF(H1829=1,INDEX(tx_TaxCr,1823),0)</f>
        <v/>
      </c>
      <c r="O1829" s="101">
        <f>IF(H1829=1,IF(E1829&lt;FYStart,0,IF(E1829&gt;FYEnd,13,YEAR(E1829)*12+MONTH(E1829)-FYYM+1)),"")</f>
        <v/>
      </c>
      <c r="P1829" s="101">
        <f>IF(H1829=1,IF(IFERROR(INDEX(coa_CF,MATCH(I1829,coa_Name,0)),"")="Cash",1,0),0)</f>
        <v/>
      </c>
      <c r="Q1829" s="101">
        <f>IF(H1829=1,IF(IFERROR(INDEX(coa_CF,MATCH(K1829,coa_Name,0)),"")="Cash",1,0),0)</f>
        <v/>
      </c>
      <c r="R1829" s="58">
        <f>IF((P1829-Q1829)=0,"",IFERROR(INDEX(coa_CF,MATCH(IF((P1829-Q1829)=1,K1829,I1829),coa_Name,0)),"Operating"))</f>
        <v/>
      </c>
      <c r="S1829" s="95">
        <f>IF((P1829-Q1829)=1,L1829,IF((P1829-Q1829)=-1,-J1829,0))</f>
        <v/>
      </c>
      <c r="T1829" s="95">
        <f>IF((P1829-Q1829)=1,N1829,IF((P1829-Q1829)=-1,-M1829,0))</f>
        <v/>
      </c>
      <c r="U1829" s="101">
        <f>IF(AND(H1829=1,LedAcct&lt;&gt;""),IF(AND(E1829&gt;=LedFrom,E1829&lt;=LedTo,OR(I1829=LedAcct,K1829=LedAcct,AND(LedAcct=acctTax,M1829+N1829&lt;&gt;0))),E1829*10000+B1829,""),"")</f>
        <v/>
      </c>
    </row>
    <row r="1830">
      <c r="B1830" s="101" t="n">
        <v>1824</v>
      </c>
      <c r="C1830" s="58" t="inlineStr">
        <is>
          <t>Transaction</t>
        </is>
      </c>
      <c r="D1830" s="58">
        <f>IF(H1830=1,INDEX(tx_ID,1824)&amp;"","")</f>
        <v/>
      </c>
      <c r="E1830" s="94">
        <f>IF(H1830=1,INDEX(tx_Date,1824),"")</f>
        <v/>
      </c>
      <c r="F1830" s="58">
        <f>IF(H1830=1,INDEX(tx_Desc,1824)&amp;"","")</f>
        <v/>
      </c>
      <c r="G1830" s="58">
        <f>IF(H1830=1,IF(INDEX(tx_Cust,1824)&amp;""&lt;&gt;"",INDEX(tx_Cust,1824)&amp;"",INDEX(tx_Vend,1824)&amp;""),"")</f>
        <v/>
      </c>
      <c r="H1830" s="101">
        <f>IFERROR(N(INDEX(tx_Posted,1824)),0)</f>
        <v/>
      </c>
      <c r="I1830" s="58">
        <f>IF(H1830=1,INDEX(tx_DrAcct,1824)&amp;"","")</f>
        <v/>
      </c>
      <c r="J1830" s="95">
        <f>IF(H1830=1,INDEX(tx_DrAmt,1824),0)</f>
        <v/>
      </c>
      <c r="K1830" s="58">
        <f>IF(H1830=1,INDEX(tx_CrAcct,1824)&amp;"","")</f>
        <v/>
      </c>
      <c r="L1830" s="95">
        <f>IF(H1830=1,INDEX(tx_CrAmt,1824),0)</f>
        <v/>
      </c>
      <c r="M1830" s="95">
        <f>IF(H1830=1,INDEX(tx_TaxDr,1824),0)</f>
        <v/>
      </c>
      <c r="N1830" s="95">
        <f>IF(H1830=1,INDEX(tx_TaxCr,1824),0)</f>
        <v/>
      </c>
      <c r="O1830" s="101">
        <f>IF(H1830=1,IF(E1830&lt;FYStart,0,IF(E1830&gt;FYEnd,13,YEAR(E1830)*12+MONTH(E1830)-FYYM+1)),"")</f>
        <v/>
      </c>
      <c r="P1830" s="101">
        <f>IF(H1830=1,IF(IFERROR(INDEX(coa_CF,MATCH(I1830,coa_Name,0)),"")="Cash",1,0),0)</f>
        <v/>
      </c>
      <c r="Q1830" s="101">
        <f>IF(H1830=1,IF(IFERROR(INDEX(coa_CF,MATCH(K1830,coa_Name,0)),"")="Cash",1,0),0)</f>
        <v/>
      </c>
      <c r="R1830" s="58">
        <f>IF((P1830-Q1830)=0,"",IFERROR(INDEX(coa_CF,MATCH(IF((P1830-Q1830)=1,K1830,I1830),coa_Name,0)),"Operating"))</f>
        <v/>
      </c>
      <c r="S1830" s="95">
        <f>IF((P1830-Q1830)=1,L1830,IF((P1830-Q1830)=-1,-J1830,0))</f>
        <v/>
      </c>
      <c r="T1830" s="95">
        <f>IF((P1830-Q1830)=1,N1830,IF((P1830-Q1830)=-1,-M1830,0))</f>
        <v/>
      </c>
      <c r="U1830" s="101">
        <f>IF(AND(H1830=1,LedAcct&lt;&gt;""),IF(AND(E1830&gt;=LedFrom,E1830&lt;=LedTo,OR(I1830=LedAcct,K1830=LedAcct,AND(LedAcct=acctTax,M1830+N1830&lt;&gt;0))),E1830*10000+B1830,""),"")</f>
        <v/>
      </c>
    </row>
    <row r="1831">
      <c r="B1831" s="101" t="n">
        <v>1825</v>
      </c>
      <c r="C1831" s="58" t="inlineStr">
        <is>
          <t>Transaction</t>
        </is>
      </c>
      <c r="D1831" s="58">
        <f>IF(H1831=1,INDEX(tx_ID,1825)&amp;"","")</f>
        <v/>
      </c>
      <c r="E1831" s="94">
        <f>IF(H1831=1,INDEX(tx_Date,1825),"")</f>
        <v/>
      </c>
      <c r="F1831" s="58">
        <f>IF(H1831=1,INDEX(tx_Desc,1825)&amp;"","")</f>
        <v/>
      </c>
      <c r="G1831" s="58">
        <f>IF(H1831=1,IF(INDEX(tx_Cust,1825)&amp;""&lt;&gt;"",INDEX(tx_Cust,1825)&amp;"",INDEX(tx_Vend,1825)&amp;""),"")</f>
        <v/>
      </c>
      <c r="H1831" s="101">
        <f>IFERROR(N(INDEX(tx_Posted,1825)),0)</f>
        <v/>
      </c>
      <c r="I1831" s="58">
        <f>IF(H1831=1,INDEX(tx_DrAcct,1825)&amp;"","")</f>
        <v/>
      </c>
      <c r="J1831" s="95">
        <f>IF(H1831=1,INDEX(tx_DrAmt,1825),0)</f>
        <v/>
      </c>
      <c r="K1831" s="58">
        <f>IF(H1831=1,INDEX(tx_CrAcct,1825)&amp;"","")</f>
        <v/>
      </c>
      <c r="L1831" s="95">
        <f>IF(H1831=1,INDEX(tx_CrAmt,1825),0)</f>
        <v/>
      </c>
      <c r="M1831" s="95">
        <f>IF(H1831=1,INDEX(tx_TaxDr,1825),0)</f>
        <v/>
      </c>
      <c r="N1831" s="95">
        <f>IF(H1831=1,INDEX(tx_TaxCr,1825),0)</f>
        <v/>
      </c>
      <c r="O1831" s="101">
        <f>IF(H1831=1,IF(E1831&lt;FYStart,0,IF(E1831&gt;FYEnd,13,YEAR(E1831)*12+MONTH(E1831)-FYYM+1)),"")</f>
        <v/>
      </c>
      <c r="P1831" s="101">
        <f>IF(H1831=1,IF(IFERROR(INDEX(coa_CF,MATCH(I1831,coa_Name,0)),"")="Cash",1,0),0)</f>
        <v/>
      </c>
      <c r="Q1831" s="101">
        <f>IF(H1831=1,IF(IFERROR(INDEX(coa_CF,MATCH(K1831,coa_Name,0)),"")="Cash",1,0),0)</f>
        <v/>
      </c>
      <c r="R1831" s="58">
        <f>IF((P1831-Q1831)=0,"",IFERROR(INDEX(coa_CF,MATCH(IF((P1831-Q1831)=1,K1831,I1831),coa_Name,0)),"Operating"))</f>
        <v/>
      </c>
      <c r="S1831" s="95">
        <f>IF((P1831-Q1831)=1,L1831,IF((P1831-Q1831)=-1,-J1831,0))</f>
        <v/>
      </c>
      <c r="T1831" s="95">
        <f>IF((P1831-Q1831)=1,N1831,IF((P1831-Q1831)=-1,-M1831,0))</f>
        <v/>
      </c>
      <c r="U1831" s="101">
        <f>IF(AND(H1831=1,LedAcct&lt;&gt;""),IF(AND(E1831&gt;=LedFrom,E1831&lt;=LedTo,OR(I1831=LedAcct,K1831=LedAcct,AND(LedAcct=acctTax,M1831+N1831&lt;&gt;0))),E1831*10000+B1831,""),"")</f>
        <v/>
      </c>
    </row>
    <row r="1832">
      <c r="B1832" s="101" t="n">
        <v>1826</v>
      </c>
      <c r="C1832" s="58" t="inlineStr">
        <is>
          <t>Transaction</t>
        </is>
      </c>
      <c r="D1832" s="58">
        <f>IF(H1832=1,INDEX(tx_ID,1826)&amp;"","")</f>
        <v/>
      </c>
      <c r="E1832" s="94">
        <f>IF(H1832=1,INDEX(tx_Date,1826),"")</f>
        <v/>
      </c>
      <c r="F1832" s="58">
        <f>IF(H1832=1,INDEX(tx_Desc,1826)&amp;"","")</f>
        <v/>
      </c>
      <c r="G1832" s="58">
        <f>IF(H1832=1,IF(INDEX(tx_Cust,1826)&amp;""&lt;&gt;"",INDEX(tx_Cust,1826)&amp;"",INDEX(tx_Vend,1826)&amp;""),"")</f>
        <v/>
      </c>
      <c r="H1832" s="101">
        <f>IFERROR(N(INDEX(tx_Posted,1826)),0)</f>
        <v/>
      </c>
      <c r="I1832" s="58">
        <f>IF(H1832=1,INDEX(tx_DrAcct,1826)&amp;"","")</f>
        <v/>
      </c>
      <c r="J1832" s="95">
        <f>IF(H1832=1,INDEX(tx_DrAmt,1826),0)</f>
        <v/>
      </c>
      <c r="K1832" s="58">
        <f>IF(H1832=1,INDEX(tx_CrAcct,1826)&amp;"","")</f>
        <v/>
      </c>
      <c r="L1832" s="95">
        <f>IF(H1832=1,INDEX(tx_CrAmt,1826),0)</f>
        <v/>
      </c>
      <c r="M1832" s="95">
        <f>IF(H1832=1,INDEX(tx_TaxDr,1826),0)</f>
        <v/>
      </c>
      <c r="N1832" s="95">
        <f>IF(H1832=1,INDEX(tx_TaxCr,1826),0)</f>
        <v/>
      </c>
      <c r="O1832" s="101">
        <f>IF(H1832=1,IF(E1832&lt;FYStart,0,IF(E1832&gt;FYEnd,13,YEAR(E1832)*12+MONTH(E1832)-FYYM+1)),"")</f>
        <v/>
      </c>
      <c r="P1832" s="101">
        <f>IF(H1832=1,IF(IFERROR(INDEX(coa_CF,MATCH(I1832,coa_Name,0)),"")="Cash",1,0),0)</f>
        <v/>
      </c>
      <c r="Q1832" s="101">
        <f>IF(H1832=1,IF(IFERROR(INDEX(coa_CF,MATCH(K1832,coa_Name,0)),"")="Cash",1,0),0)</f>
        <v/>
      </c>
      <c r="R1832" s="58">
        <f>IF((P1832-Q1832)=0,"",IFERROR(INDEX(coa_CF,MATCH(IF((P1832-Q1832)=1,K1832,I1832),coa_Name,0)),"Operating"))</f>
        <v/>
      </c>
      <c r="S1832" s="95">
        <f>IF((P1832-Q1832)=1,L1832,IF((P1832-Q1832)=-1,-J1832,0))</f>
        <v/>
      </c>
      <c r="T1832" s="95">
        <f>IF((P1832-Q1832)=1,N1832,IF((P1832-Q1832)=-1,-M1832,0))</f>
        <v/>
      </c>
      <c r="U1832" s="101">
        <f>IF(AND(H1832=1,LedAcct&lt;&gt;""),IF(AND(E1832&gt;=LedFrom,E1832&lt;=LedTo,OR(I1832=LedAcct,K1832=LedAcct,AND(LedAcct=acctTax,M1832+N1832&lt;&gt;0))),E1832*10000+B1832,""),"")</f>
        <v/>
      </c>
    </row>
    <row r="1833">
      <c r="B1833" s="101" t="n">
        <v>1827</v>
      </c>
      <c r="C1833" s="58" t="inlineStr">
        <is>
          <t>Transaction</t>
        </is>
      </c>
      <c r="D1833" s="58">
        <f>IF(H1833=1,INDEX(tx_ID,1827)&amp;"","")</f>
        <v/>
      </c>
      <c r="E1833" s="94">
        <f>IF(H1833=1,INDEX(tx_Date,1827),"")</f>
        <v/>
      </c>
      <c r="F1833" s="58">
        <f>IF(H1833=1,INDEX(tx_Desc,1827)&amp;"","")</f>
        <v/>
      </c>
      <c r="G1833" s="58">
        <f>IF(H1833=1,IF(INDEX(tx_Cust,1827)&amp;""&lt;&gt;"",INDEX(tx_Cust,1827)&amp;"",INDEX(tx_Vend,1827)&amp;""),"")</f>
        <v/>
      </c>
      <c r="H1833" s="101">
        <f>IFERROR(N(INDEX(tx_Posted,1827)),0)</f>
        <v/>
      </c>
      <c r="I1833" s="58">
        <f>IF(H1833=1,INDEX(tx_DrAcct,1827)&amp;"","")</f>
        <v/>
      </c>
      <c r="J1833" s="95">
        <f>IF(H1833=1,INDEX(tx_DrAmt,1827),0)</f>
        <v/>
      </c>
      <c r="K1833" s="58">
        <f>IF(H1833=1,INDEX(tx_CrAcct,1827)&amp;"","")</f>
        <v/>
      </c>
      <c r="L1833" s="95">
        <f>IF(H1833=1,INDEX(tx_CrAmt,1827),0)</f>
        <v/>
      </c>
      <c r="M1833" s="95">
        <f>IF(H1833=1,INDEX(tx_TaxDr,1827),0)</f>
        <v/>
      </c>
      <c r="N1833" s="95">
        <f>IF(H1833=1,INDEX(tx_TaxCr,1827),0)</f>
        <v/>
      </c>
      <c r="O1833" s="101">
        <f>IF(H1833=1,IF(E1833&lt;FYStart,0,IF(E1833&gt;FYEnd,13,YEAR(E1833)*12+MONTH(E1833)-FYYM+1)),"")</f>
        <v/>
      </c>
      <c r="P1833" s="101">
        <f>IF(H1833=1,IF(IFERROR(INDEX(coa_CF,MATCH(I1833,coa_Name,0)),"")="Cash",1,0),0)</f>
        <v/>
      </c>
      <c r="Q1833" s="101">
        <f>IF(H1833=1,IF(IFERROR(INDEX(coa_CF,MATCH(K1833,coa_Name,0)),"")="Cash",1,0),0)</f>
        <v/>
      </c>
      <c r="R1833" s="58">
        <f>IF((P1833-Q1833)=0,"",IFERROR(INDEX(coa_CF,MATCH(IF((P1833-Q1833)=1,K1833,I1833),coa_Name,0)),"Operating"))</f>
        <v/>
      </c>
      <c r="S1833" s="95">
        <f>IF((P1833-Q1833)=1,L1833,IF((P1833-Q1833)=-1,-J1833,0))</f>
        <v/>
      </c>
      <c r="T1833" s="95">
        <f>IF((P1833-Q1833)=1,N1833,IF((P1833-Q1833)=-1,-M1833,0))</f>
        <v/>
      </c>
      <c r="U1833" s="101">
        <f>IF(AND(H1833=1,LedAcct&lt;&gt;""),IF(AND(E1833&gt;=LedFrom,E1833&lt;=LedTo,OR(I1833=LedAcct,K1833=LedAcct,AND(LedAcct=acctTax,M1833+N1833&lt;&gt;0))),E1833*10000+B1833,""),"")</f>
        <v/>
      </c>
    </row>
    <row r="1834">
      <c r="B1834" s="101" t="n">
        <v>1828</v>
      </c>
      <c r="C1834" s="58" t="inlineStr">
        <is>
          <t>Transaction</t>
        </is>
      </c>
      <c r="D1834" s="58">
        <f>IF(H1834=1,INDEX(tx_ID,1828)&amp;"","")</f>
        <v/>
      </c>
      <c r="E1834" s="94">
        <f>IF(H1834=1,INDEX(tx_Date,1828),"")</f>
        <v/>
      </c>
      <c r="F1834" s="58">
        <f>IF(H1834=1,INDEX(tx_Desc,1828)&amp;"","")</f>
        <v/>
      </c>
      <c r="G1834" s="58">
        <f>IF(H1834=1,IF(INDEX(tx_Cust,1828)&amp;""&lt;&gt;"",INDEX(tx_Cust,1828)&amp;"",INDEX(tx_Vend,1828)&amp;""),"")</f>
        <v/>
      </c>
      <c r="H1834" s="101">
        <f>IFERROR(N(INDEX(tx_Posted,1828)),0)</f>
        <v/>
      </c>
      <c r="I1834" s="58">
        <f>IF(H1834=1,INDEX(tx_DrAcct,1828)&amp;"","")</f>
        <v/>
      </c>
      <c r="J1834" s="95">
        <f>IF(H1834=1,INDEX(tx_DrAmt,1828),0)</f>
        <v/>
      </c>
      <c r="K1834" s="58">
        <f>IF(H1834=1,INDEX(tx_CrAcct,1828)&amp;"","")</f>
        <v/>
      </c>
      <c r="L1834" s="95">
        <f>IF(H1834=1,INDEX(tx_CrAmt,1828),0)</f>
        <v/>
      </c>
      <c r="M1834" s="95">
        <f>IF(H1834=1,INDEX(tx_TaxDr,1828),0)</f>
        <v/>
      </c>
      <c r="N1834" s="95">
        <f>IF(H1834=1,INDEX(tx_TaxCr,1828),0)</f>
        <v/>
      </c>
      <c r="O1834" s="101">
        <f>IF(H1834=1,IF(E1834&lt;FYStart,0,IF(E1834&gt;FYEnd,13,YEAR(E1834)*12+MONTH(E1834)-FYYM+1)),"")</f>
        <v/>
      </c>
      <c r="P1834" s="101">
        <f>IF(H1834=1,IF(IFERROR(INDEX(coa_CF,MATCH(I1834,coa_Name,0)),"")="Cash",1,0),0)</f>
        <v/>
      </c>
      <c r="Q1834" s="101">
        <f>IF(H1834=1,IF(IFERROR(INDEX(coa_CF,MATCH(K1834,coa_Name,0)),"")="Cash",1,0),0)</f>
        <v/>
      </c>
      <c r="R1834" s="58">
        <f>IF((P1834-Q1834)=0,"",IFERROR(INDEX(coa_CF,MATCH(IF((P1834-Q1834)=1,K1834,I1834),coa_Name,0)),"Operating"))</f>
        <v/>
      </c>
      <c r="S1834" s="95">
        <f>IF((P1834-Q1834)=1,L1834,IF((P1834-Q1834)=-1,-J1834,0))</f>
        <v/>
      </c>
      <c r="T1834" s="95">
        <f>IF((P1834-Q1834)=1,N1834,IF((P1834-Q1834)=-1,-M1834,0))</f>
        <v/>
      </c>
      <c r="U1834" s="101">
        <f>IF(AND(H1834=1,LedAcct&lt;&gt;""),IF(AND(E1834&gt;=LedFrom,E1834&lt;=LedTo,OR(I1834=LedAcct,K1834=LedAcct,AND(LedAcct=acctTax,M1834+N1834&lt;&gt;0))),E1834*10000+B1834,""),"")</f>
        <v/>
      </c>
    </row>
    <row r="1835">
      <c r="B1835" s="101" t="n">
        <v>1829</v>
      </c>
      <c r="C1835" s="58" t="inlineStr">
        <is>
          <t>Transaction</t>
        </is>
      </c>
      <c r="D1835" s="58">
        <f>IF(H1835=1,INDEX(tx_ID,1829)&amp;"","")</f>
        <v/>
      </c>
      <c r="E1835" s="94">
        <f>IF(H1835=1,INDEX(tx_Date,1829),"")</f>
        <v/>
      </c>
      <c r="F1835" s="58">
        <f>IF(H1835=1,INDEX(tx_Desc,1829)&amp;"","")</f>
        <v/>
      </c>
      <c r="G1835" s="58">
        <f>IF(H1835=1,IF(INDEX(tx_Cust,1829)&amp;""&lt;&gt;"",INDEX(tx_Cust,1829)&amp;"",INDEX(tx_Vend,1829)&amp;""),"")</f>
        <v/>
      </c>
      <c r="H1835" s="101">
        <f>IFERROR(N(INDEX(tx_Posted,1829)),0)</f>
        <v/>
      </c>
      <c r="I1835" s="58">
        <f>IF(H1835=1,INDEX(tx_DrAcct,1829)&amp;"","")</f>
        <v/>
      </c>
      <c r="J1835" s="95">
        <f>IF(H1835=1,INDEX(tx_DrAmt,1829),0)</f>
        <v/>
      </c>
      <c r="K1835" s="58">
        <f>IF(H1835=1,INDEX(tx_CrAcct,1829)&amp;"","")</f>
        <v/>
      </c>
      <c r="L1835" s="95">
        <f>IF(H1835=1,INDEX(tx_CrAmt,1829),0)</f>
        <v/>
      </c>
      <c r="M1835" s="95">
        <f>IF(H1835=1,INDEX(tx_TaxDr,1829),0)</f>
        <v/>
      </c>
      <c r="N1835" s="95">
        <f>IF(H1835=1,INDEX(tx_TaxCr,1829),0)</f>
        <v/>
      </c>
      <c r="O1835" s="101">
        <f>IF(H1835=1,IF(E1835&lt;FYStart,0,IF(E1835&gt;FYEnd,13,YEAR(E1835)*12+MONTH(E1835)-FYYM+1)),"")</f>
        <v/>
      </c>
      <c r="P1835" s="101">
        <f>IF(H1835=1,IF(IFERROR(INDEX(coa_CF,MATCH(I1835,coa_Name,0)),"")="Cash",1,0),0)</f>
        <v/>
      </c>
      <c r="Q1835" s="101">
        <f>IF(H1835=1,IF(IFERROR(INDEX(coa_CF,MATCH(K1835,coa_Name,0)),"")="Cash",1,0),0)</f>
        <v/>
      </c>
      <c r="R1835" s="58">
        <f>IF((P1835-Q1835)=0,"",IFERROR(INDEX(coa_CF,MATCH(IF((P1835-Q1835)=1,K1835,I1835),coa_Name,0)),"Operating"))</f>
        <v/>
      </c>
      <c r="S1835" s="95">
        <f>IF((P1835-Q1835)=1,L1835,IF((P1835-Q1835)=-1,-J1835,0))</f>
        <v/>
      </c>
      <c r="T1835" s="95">
        <f>IF((P1835-Q1835)=1,N1835,IF((P1835-Q1835)=-1,-M1835,0))</f>
        <v/>
      </c>
      <c r="U1835" s="101">
        <f>IF(AND(H1835=1,LedAcct&lt;&gt;""),IF(AND(E1835&gt;=LedFrom,E1835&lt;=LedTo,OR(I1835=LedAcct,K1835=LedAcct,AND(LedAcct=acctTax,M1835+N1835&lt;&gt;0))),E1835*10000+B1835,""),"")</f>
        <v/>
      </c>
    </row>
    <row r="1836">
      <c r="B1836" s="101" t="n">
        <v>1830</v>
      </c>
      <c r="C1836" s="58" t="inlineStr">
        <is>
          <t>Transaction</t>
        </is>
      </c>
      <c r="D1836" s="58">
        <f>IF(H1836=1,INDEX(tx_ID,1830)&amp;"","")</f>
        <v/>
      </c>
      <c r="E1836" s="94">
        <f>IF(H1836=1,INDEX(tx_Date,1830),"")</f>
        <v/>
      </c>
      <c r="F1836" s="58">
        <f>IF(H1836=1,INDEX(tx_Desc,1830)&amp;"","")</f>
        <v/>
      </c>
      <c r="G1836" s="58">
        <f>IF(H1836=1,IF(INDEX(tx_Cust,1830)&amp;""&lt;&gt;"",INDEX(tx_Cust,1830)&amp;"",INDEX(tx_Vend,1830)&amp;""),"")</f>
        <v/>
      </c>
      <c r="H1836" s="101">
        <f>IFERROR(N(INDEX(tx_Posted,1830)),0)</f>
        <v/>
      </c>
      <c r="I1836" s="58">
        <f>IF(H1836=1,INDEX(tx_DrAcct,1830)&amp;"","")</f>
        <v/>
      </c>
      <c r="J1836" s="95">
        <f>IF(H1836=1,INDEX(tx_DrAmt,1830),0)</f>
        <v/>
      </c>
      <c r="K1836" s="58">
        <f>IF(H1836=1,INDEX(tx_CrAcct,1830)&amp;"","")</f>
        <v/>
      </c>
      <c r="L1836" s="95">
        <f>IF(H1836=1,INDEX(tx_CrAmt,1830),0)</f>
        <v/>
      </c>
      <c r="M1836" s="95">
        <f>IF(H1836=1,INDEX(tx_TaxDr,1830),0)</f>
        <v/>
      </c>
      <c r="N1836" s="95">
        <f>IF(H1836=1,INDEX(tx_TaxCr,1830),0)</f>
        <v/>
      </c>
      <c r="O1836" s="101">
        <f>IF(H1836=1,IF(E1836&lt;FYStart,0,IF(E1836&gt;FYEnd,13,YEAR(E1836)*12+MONTH(E1836)-FYYM+1)),"")</f>
        <v/>
      </c>
      <c r="P1836" s="101">
        <f>IF(H1836=1,IF(IFERROR(INDEX(coa_CF,MATCH(I1836,coa_Name,0)),"")="Cash",1,0),0)</f>
        <v/>
      </c>
      <c r="Q1836" s="101">
        <f>IF(H1836=1,IF(IFERROR(INDEX(coa_CF,MATCH(K1836,coa_Name,0)),"")="Cash",1,0),0)</f>
        <v/>
      </c>
      <c r="R1836" s="58">
        <f>IF((P1836-Q1836)=0,"",IFERROR(INDEX(coa_CF,MATCH(IF((P1836-Q1836)=1,K1836,I1836),coa_Name,0)),"Operating"))</f>
        <v/>
      </c>
      <c r="S1836" s="95">
        <f>IF((P1836-Q1836)=1,L1836,IF((P1836-Q1836)=-1,-J1836,0))</f>
        <v/>
      </c>
      <c r="T1836" s="95">
        <f>IF((P1836-Q1836)=1,N1836,IF((P1836-Q1836)=-1,-M1836,0))</f>
        <v/>
      </c>
      <c r="U1836" s="101">
        <f>IF(AND(H1836=1,LedAcct&lt;&gt;""),IF(AND(E1836&gt;=LedFrom,E1836&lt;=LedTo,OR(I1836=LedAcct,K1836=LedAcct,AND(LedAcct=acctTax,M1836+N1836&lt;&gt;0))),E1836*10000+B1836,""),"")</f>
        <v/>
      </c>
    </row>
    <row r="1837">
      <c r="B1837" s="101" t="n">
        <v>1831</v>
      </c>
      <c r="C1837" s="58" t="inlineStr">
        <is>
          <t>Transaction</t>
        </is>
      </c>
      <c r="D1837" s="58">
        <f>IF(H1837=1,INDEX(tx_ID,1831)&amp;"","")</f>
        <v/>
      </c>
      <c r="E1837" s="94">
        <f>IF(H1837=1,INDEX(tx_Date,1831),"")</f>
        <v/>
      </c>
      <c r="F1837" s="58">
        <f>IF(H1837=1,INDEX(tx_Desc,1831)&amp;"","")</f>
        <v/>
      </c>
      <c r="G1837" s="58">
        <f>IF(H1837=1,IF(INDEX(tx_Cust,1831)&amp;""&lt;&gt;"",INDEX(tx_Cust,1831)&amp;"",INDEX(tx_Vend,1831)&amp;""),"")</f>
        <v/>
      </c>
      <c r="H1837" s="101">
        <f>IFERROR(N(INDEX(tx_Posted,1831)),0)</f>
        <v/>
      </c>
      <c r="I1837" s="58">
        <f>IF(H1837=1,INDEX(tx_DrAcct,1831)&amp;"","")</f>
        <v/>
      </c>
      <c r="J1837" s="95">
        <f>IF(H1837=1,INDEX(tx_DrAmt,1831),0)</f>
        <v/>
      </c>
      <c r="K1837" s="58">
        <f>IF(H1837=1,INDEX(tx_CrAcct,1831)&amp;"","")</f>
        <v/>
      </c>
      <c r="L1837" s="95">
        <f>IF(H1837=1,INDEX(tx_CrAmt,1831),0)</f>
        <v/>
      </c>
      <c r="M1837" s="95">
        <f>IF(H1837=1,INDEX(tx_TaxDr,1831),0)</f>
        <v/>
      </c>
      <c r="N1837" s="95">
        <f>IF(H1837=1,INDEX(tx_TaxCr,1831),0)</f>
        <v/>
      </c>
      <c r="O1837" s="101">
        <f>IF(H1837=1,IF(E1837&lt;FYStart,0,IF(E1837&gt;FYEnd,13,YEAR(E1837)*12+MONTH(E1837)-FYYM+1)),"")</f>
        <v/>
      </c>
      <c r="P1837" s="101">
        <f>IF(H1837=1,IF(IFERROR(INDEX(coa_CF,MATCH(I1837,coa_Name,0)),"")="Cash",1,0),0)</f>
        <v/>
      </c>
      <c r="Q1837" s="101">
        <f>IF(H1837=1,IF(IFERROR(INDEX(coa_CF,MATCH(K1837,coa_Name,0)),"")="Cash",1,0),0)</f>
        <v/>
      </c>
      <c r="R1837" s="58">
        <f>IF((P1837-Q1837)=0,"",IFERROR(INDEX(coa_CF,MATCH(IF((P1837-Q1837)=1,K1837,I1837),coa_Name,0)),"Operating"))</f>
        <v/>
      </c>
      <c r="S1837" s="95">
        <f>IF((P1837-Q1837)=1,L1837,IF((P1837-Q1837)=-1,-J1837,0))</f>
        <v/>
      </c>
      <c r="T1837" s="95">
        <f>IF((P1837-Q1837)=1,N1837,IF((P1837-Q1837)=-1,-M1837,0))</f>
        <v/>
      </c>
      <c r="U1837" s="101">
        <f>IF(AND(H1837=1,LedAcct&lt;&gt;""),IF(AND(E1837&gt;=LedFrom,E1837&lt;=LedTo,OR(I1837=LedAcct,K1837=LedAcct,AND(LedAcct=acctTax,M1837+N1837&lt;&gt;0))),E1837*10000+B1837,""),"")</f>
        <v/>
      </c>
    </row>
    <row r="1838">
      <c r="B1838" s="101" t="n">
        <v>1832</v>
      </c>
      <c r="C1838" s="58" t="inlineStr">
        <is>
          <t>Transaction</t>
        </is>
      </c>
      <c r="D1838" s="58">
        <f>IF(H1838=1,INDEX(tx_ID,1832)&amp;"","")</f>
        <v/>
      </c>
      <c r="E1838" s="94">
        <f>IF(H1838=1,INDEX(tx_Date,1832),"")</f>
        <v/>
      </c>
      <c r="F1838" s="58">
        <f>IF(H1838=1,INDEX(tx_Desc,1832)&amp;"","")</f>
        <v/>
      </c>
      <c r="G1838" s="58">
        <f>IF(H1838=1,IF(INDEX(tx_Cust,1832)&amp;""&lt;&gt;"",INDEX(tx_Cust,1832)&amp;"",INDEX(tx_Vend,1832)&amp;""),"")</f>
        <v/>
      </c>
      <c r="H1838" s="101">
        <f>IFERROR(N(INDEX(tx_Posted,1832)),0)</f>
        <v/>
      </c>
      <c r="I1838" s="58">
        <f>IF(H1838=1,INDEX(tx_DrAcct,1832)&amp;"","")</f>
        <v/>
      </c>
      <c r="J1838" s="95">
        <f>IF(H1838=1,INDEX(tx_DrAmt,1832),0)</f>
        <v/>
      </c>
      <c r="K1838" s="58">
        <f>IF(H1838=1,INDEX(tx_CrAcct,1832)&amp;"","")</f>
        <v/>
      </c>
      <c r="L1838" s="95">
        <f>IF(H1838=1,INDEX(tx_CrAmt,1832),0)</f>
        <v/>
      </c>
      <c r="M1838" s="95">
        <f>IF(H1838=1,INDEX(tx_TaxDr,1832),0)</f>
        <v/>
      </c>
      <c r="N1838" s="95">
        <f>IF(H1838=1,INDEX(tx_TaxCr,1832),0)</f>
        <v/>
      </c>
      <c r="O1838" s="101">
        <f>IF(H1838=1,IF(E1838&lt;FYStart,0,IF(E1838&gt;FYEnd,13,YEAR(E1838)*12+MONTH(E1838)-FYYM+1)),"")</f>
        <v/>
      </c>
      <c r="P1838" s="101">
        <f>IF(H1838=1,IF(IFERROR(INDEX(coa_CF,MATCH(I1838,coa_Name,0)),"")="Cash",1,0),0)</f>
        <v/>
      </c>
      <c r="Q1838" s="101">
        <f>IF(H1838=1,IF(IFERROR(INDEX(coa_CF,MATCH(K1838,coa_Name,0)),"")="Cash",1,0),0)</f>
        <v/>
      </c>
      <c r="R1838" s="58">
        <f>IF((P1838-Q1838)=0,"",IFERROR(INDEX(coa_CF,MATCH(IF((P1838-Q1838)=1,K1838,I1838),coa_Name,0)),"Operating"))</f>
        <v/>
      </c>
      <c r="S1838" s="95">
        <f>IF((P1838-Q1838)=1,L1838,IF((P1838-Q1838)=-1,-J1838,0))</f>
        <v/>
      </c>
      <c r="T1838" s="95">
        <f>IF((P1838-Q1838)=1,N1838,IF((P1838-Q1838)=-1,-M1838,0))</f>
        <v/>
      </c>
      <c r="U1838" s="101">
        <f>IF(AND(H1838=1,LedAcct&lt;&gt;""),IF(AND(E1838&gt;=LedFrom,E1838&lt;=LedTo,OR(I1838=LedAcct,K1838=LedAcct,AND(LedAcct=acctTax,M1838+N1838&lt;&gt;0))),E1838*10000+B1838,""),"")</f>
        <v/>
      </c>
    </row>
    <row r="1839">
      <c r="B1839" s="101" t="n">
        <v>1833</v>
      </c>
      <c r="C1839" s="58" t="inlineStr">
        <is>
          <t>Transaction</t>
        </is>
      </c>
      <c r="D1839" s="58">
        <f>IF(H1839=1,INDEX(tx_ID,1833)&amp;"","")</f>
        <v/>
      </c>
      <c r="E1839" s="94">
        <f>IF(H1839=1,INDEX(tx_Date,1833),"")</f>
        <v/>
      </c>
      <c r="F1839" s="58">
        <f>IF(H1839=1,INDEX(tx_Desc,1833)&amp;"","")</f>
        <v/>
      </c>
      <c r="G1839" s="58">
        <f>IF(H1839=1,IF(INDEX(tx_Cust,1833)&amp;""&lt;&gt;"",INDEX(tx_Cust,1833)&amp;"",INDEX(tx_Vend,1833)&amp;""),"")</f>
        <v/>
      </c>
      <c r="H1839" s="101">
        <f>IFERROR(N(INDEX(tx_Posted,1833)),0)</f>
        <v/>
      </c>
      <c r="I1839" s="58">
        <f>IF(H1839=1,INDEX(tx_DrAcct,1833)&amp;"","")</f>
        <v/>
      </c>
      <c r="J1839" s="95">
        <f>IF(H1839=1,INDEX(tx_DrAmt,1833),0)</f>
        <v/>
      </c>
      <c r="K1839" s="58">
        <f>IF(H1839=1,INDEX(tx_CrAcct,1833)&amp;"","")</f>
        <v/>
      </c>
      <c r="L1839" s="95">
        <f>IF(H1839=1,INDEX(tx_CrAmt,1833),0)</f>
        <v/>
      </c>
      <c r="M1839" s="95">
        <f>IF(H1839=1,INDEX(tx_TaxDr,1833),0)</f>
        <v/>
      </c>
      <c r="N1839" s="95">
        <f>IF(H1839=1,INDEX(tx_TaxCr,1833),0)</f>
        <v/>
      </c>
      <c r="O1839" s="101">
        <f>IF(H1839=1,IF(E1839&lt;FYStart,0,IF(E1839&gt;FYEnd,13,YEAR(E1839)*12+MONTH(E1839)-FYYM+1)),"")</f>
        <v/>
      </c>
      <c r="P1839" s="101">
        <f>IF(H1839=1,IF(IFERROR(INDEX(coa_CF,MATCH(I1839,coa_Name,0)),"")="Cash",1,0),0)</f>
        <v/>
      </c>
      <c r="Q1839" s="101">
        <f>IF(H1839=1,IF(IFERROR(INDEX(coa_CF,MATCH(K1839,coa_Name,0)),"")="Cash",1,0),0)</f>
        <v/>
      </c>
      <c r="R1839" s="58">
        <f>IF((P1839-Q1839)=0,"",IFERROR(INDEX(coa_CF,MATCH(IF((P1839-Q1839)=1,K1839,I1839),coa_Name,0)),"Operating"))</f>
        <v/>
      </c>
      <c r="S1839" s="95">
        <f>IF((P1839-Q1839)=1,L1839,IF((P1839-Q1839)=-1,-J1839,0))</f>
        <v/>
      </c>
      <c r="T1839" s="95">
        <f>IF((P1839-Q1839)=1,N1839,IF((P1839-Q1839)=-1,-M1839,0))</f>
        <v/>
      </c>
      <c r="U1839" s="101">
        <f>IF(AND(H1839=1,LedAcct&lt;&gt;""),IF(AND(E1839&gt;=LedFrom,E1839&lt;=LedTo,OR(I1839=LedAcct,K1839=LedAcct,AND(LedAcct=acctTax,M1839+N1839&lt;&gt;0))),E1839*10000+B1839,""),"")</f>
        <v/>
      </c>
    </row>
    <row r="1840">
      <c r="B1840" s="101" t="n">
        <v>1834</v>
      </c>
      <c r="C1840" s="58" t="inlineStr">
        <is>
          <t>Transaction</t>
        </is>
      </c>
      <c r="D1840" s="58">
        <f>IF(H1840=1,INDEX(tx_ID,1834)&amp;"","")</f>
        <v/>
      </c>
      <c r="E1840" s="94">
        <f>IF(H1840=1,INDEX(tx_Date,1834),"")</f>
        <v/>
      </c>
      <c r="F1840" s="58">
        <f>IF(H1840=1,INDEX(tx_Desc,1834)&amp;"","")</f>
        <v/>
      </c>
      <c r="G1840" s="58">
        <f>IF(H1840=1,IF(INDEX(tx_Cust,1834)&amp;""&lt;&gt;"",INDEX(tx_Cust,1834)&amp;"",INDEX(tx_Vend,1834)&amp;""),"")</f>
        <v/>
      </c>
      <c r="H1840" s="101">
        <f>IFERROR(N(INDEX(tx_Posted,1834)),0)</f>
        <v/>
      </c>
      <c r="I1840" s="58">
        <f>IF(H1840=1,INDEX(tx_DrAcct,1834)&amp;"","")</f>
        <v/>
      </c>
      <c r="J1840" s="95">
        <f>IF(H1840=1,INDEX(tx_DrAmt,1834),0)</f>
        <v/>
      </c>
      <c r="K1840" s="58">
        <f>IF(H1840=1,INDEX(tx_CrAcct,1834)&amp;"","")</f>
        <v/>
      </c>
      <c r="L1840" s="95">
        <f>IF(H1840=1,INDEX(tx_CrAmt,1834),0)</f>
        <v/>
      </c>
      <c r="M1840" s="95">
        <f>IF(H1840=1,INDEX(tx_TaxDr,1834),0)</f>
        <v/>
      </c>
      <c r="N1840" s="95">
        <f>IF(H1840=1,INDEX(tx_TaxCr,1834),0)</f>
        <v/>
      </c>
      <c r="O1840" s="101">
        <f>IF(H1840=1,IF(E1840&lt;FYStart,0,IF(E1840&gt;FYEnd,13,YEAR(E1840)*12+MONTH(E1840)-FYYM+1)),"")</f>
        <v/>
      </c>
      <c r="P1840" s="101">
        <f>IF(H1840=1,IF(IFERROR(INDEX(coa_CF,MATCH(I1840,coa_Name,0)),"")="Cash",1,0),0)</f>
        <v/>
      </c>
      <c r="Q1840" s="101">
        <f>IF(H1840=1,IF(IFERROR(INDEX(coa_CF,MATCH(K1840,coa_Name,0)),"")="Cash",1,0),0)</f>
        <v/>
      </c>
      <c r="R1840" s="58">
        <f>IF((P1840-Q1840)=0,"",IFERROR(INDEX(coa_CF,MATCH(IF((P1840-Q1840)=1,K1840,I1840),coa_Name,0)),"Operating"))</f>
        <v/>
      </c>
      <c r="S1840" s="95">
        <f>IF((P1840-Q1840)=1,L1840,IF((P1840-Q1840)=-1,-J1840,0))</f>
        <v/>
      </c>
      <c r="T1840" s="95">
        <f>IF((P1840-Q1840)=1,N1840,IF((P1840-Q1840)=-1,-M1840,0))</f>
        <v/>
      </c>
      <c r="U1840" s="101">
        <f>IF(AND(H1840=1,LedAcct&lt;&gt;""),IF(AND(E1840&gt;=LedFrom,E1840&lt;=LedTo,OR(I1840=LedAcct,K1840=LedAcct,AND(LedAcct=acctTax,M1840+N1840&lt;&gt;0))),E1840*10000+B1840,""),"")</f>
        <v/>
      </c>
    </row>
    <row r="1841">
      <c r="B1841" s="101" t="n">
        <v>1835</v>
      </c>
      <c r="C1841" s="58" t="inlineStr">
        <is>
          <t>Transaction</t>
        </is>
      </c>
      <c r="D1841" s="58">
        <f>IF(H1841=1,INDEX(tx_ID,1835)&amp;"","")</f>
        <v/>
      </c>
      <c r="E1841" s="94">
        <f>IF(H1841=1,INDEX(tx_Date,1835),"")</f>
        <v/>
      </c>
      <c r="F1841" s="58">
        <f>IF(H1841=1,INDEX(tx_Desc,1835)&amp;"","")</f>
        <v/>
      </c>
      <c r="G1841" s="58">
        <f>IF(H1841=1,IF(INDEX(tx_Cust,1835)&amp;""&lt;&gt;"",INDEX(tx_Cust,1835)&amp;"",INDEX(tx_Vend,1835)&amp;""),"")</f>
        <v/>
      </c>
      <c r="H1841" s="101">
        <f>IFERROR(N(INDEX(tx_Posted,1835)),0)</f>
        <v/>
      </c>
      <c r="I1841" s="58">
        <f>IF(H1841=1,INDEX(tx_DrAcct,1835)&amp;"","")</f>
        <v/>
      </c>
      <c r="J1841" s="95">
        <f>IF(H1841=1,INDEX(tx_DrAmt,1835),0)</f>
        <v/>
      </c>
      <c r="K1841" s="58">
        <f>IF(H1841=1,INDEX(tx_CrAcct,1835)&amp;"","")</f>
        <v/>
      </c>
      <c r="L1841" s="95">
        <f>IF(H1841=1,INDEX(tx_CrAmt,1835),0)</f>
        <v/>
      </c>
      <c r="M1841" s="95">
        <f>IF(H1841=1,INDEX(tx_TaxDr,1835),0)</f>
        <v/>
      </c>
      <c r="N1841" s="95">
        <f>IF(H1841=1,INDEX(tx_TaxCr,1835),0)</f>
        <v/>
      </c>
      <c r="O1841" s="101">
        <f>IF(H1841=1,IF(E1841&lt;FYStart,0,IF(E1841&gt;FYEnd,13,YEAR(E1841)*12+MONTH(E1841)-FYYM+1)),"")</f>
        <v/>
      </c>
      <c r="P1841" s="101">
        <f>IF(H1841=1,IF(IFERROR(INDEX(coa_CF,MATCH(I1841,coa_Name,0)),"")="Cash",1,0),0)</f>
        <v/>
      </c>
      <c r="Q1841" s="101">
        <f>IF(H1841=1,IF(IFERROR(INDEX(coa_CF,MATCH(K1841,coa_Name,0)),"")="Cash",1,0),0)</f>
        <v/>
      </c>
      <c r="R1841" s="58">
        <f>IF((P1841-Q1841)=0,"",IFERROR(INDEX(coa_CF,MATCH(IF((P1841-Q1841)=1,K1841,I1841),coa_Name,0)),"Operating"))</f>
        <v/>
      </c>
      <c r="S1841" s="95">
        <f>IF((P1841-Q1841)=1,L1841,IF((P1841-Q1841)=-1,-J1841,0))</f>
        <v/>
      </c>
      <c r="T1841" s="95">
        <f>IF((P1841-Q1841)=1,N1841,IF((P1841-Q1841)=-1,-M1841,0))</f>
        <v/>
      </c>
      <c r="U1841" s="101">
        <f>IF(AND(H1841=1,LedAcct&lt;&gt;""),IF(AND(E1841&gt;=LedFrom,E1841&lt;=LedTo,OR(I1841=LedAcct,K1841=LedAcct,AND(LedAcct=acctTax,M1841+N1841&lt;&gt;0))),E1841*10000+B1841,""),"")</f>
        <v/>
      </c>
    </row>
    <row r="1842">
      <c r="B1842" s="101" t="n">
        <v>1836</v>
      </c>
      <c r="C1842" s="58" t="inlineStr">
        <is>
          <t>Transaction</t>
        </is>
      </c>
      <c r="D1842" s="58">
        <f>IF(H1842=1,INDEX(tx_ID,1836)&amp;"","")</f>
        <v/>
      </c>
      <c r="E1842" s="94">
        <f>IF(H1842=1,INDEX(tx_Date,1836),"")</f>
        <v/>
      </c>
      <c r="F1842" s="58">
        <f>IF(H1842=1,INDEX(tx_Desc,1836)&amp;"","")</f>
        <v/>
      </c>
      <c r="G1842" s="58">
        <f>IF(H1842=1,IF(INDEX(tx_Cust,1836)&amp;""&lt;&gt;"",INDEX(tx_Cust,1836)&amp;"",INDEX(tx_Vend,1836)&amp;""),"")</f>
        <v/>
      </c>
      <c r="H1842" s="101">
        <f>IFERROR(N(INDEX(tx_Posted,1836)),0)</f>
        <v/>
      </c>
      <c r="I1842" s="58">
        <f>IF(H1842=1,INDEX(tx_DrAcct,1836)&amp;"","")</f>
        <v/>
      </c>
      <c r="J1842" s="95">
        <f>IF(H1842=1,INDEX(tx_DrAmt,1836),0)</f>
        <v/>
      </c>
      <c r="K1842" s="58">
        <f>IF(H1842=1,INDEX(tx_CrAcct,1836)&amp;"","")</f>
        <v/>
      </c>
      <c r="L1842" s="95">
        <f>IF(H1842=1,INDEX(tx_CrAmt,1836),0)</f>
        <v/>
      </c>
      <c r="M1842" s="95">
        <f>IF(H1842=1,INDEX(tx_TaxDr,1836),0)</f>
        <v/>
      </c>
      <c r="N1842" s="95">
        <f>IF(H1842=1,INDEX(tx_TaxCr,1836),0)</f>
        <v/>
      </c>
      <c r="O1842" s="101">
        <f>IF(H1842=1,IF(E1842&lt;FYStart,0,IF(E1842&gt;FYEnd,13,YEAR(E1842)*12+MONTH(E1842)-FYYM+1)),"")</f>
        <v/>
      </c>
      <c r="P1842" s="101">
        <f>IF(H1842=1,IF(IFERROR(INDEX(coa_CF,MATCH(I1842,coa_Name,0)),"")="Cash",1,0),0)</f>
        <v/>
      </c>
      <c r="Q1842" s="101">
        <f>IF(H1842=1,IF(IFERROR(INDEX(coa_CF,MATCH(K1842,coa_Name,0)),"")="Cash",1,0),0)</f>
        <v/>
      </c>
      <c r="R1842" s="58">
        <f>IF((P1842-Q1842)=0,"",IFERROR(INDEX(coa_CF,MATCH(IF((P1842-Q1842)=1,K1842,I1842),coa_Name,0)),"Operating"))</f>
        <v/>
      </c>
      <c r="S1842" s="95">
        <f>IF((P1842-Q1842)=1,L1842,IF((P1842-Q1842)=-1,-J1842,0))</f>
        <v/>
      </c>
      <c r="T1842" s="95">
        <f>IF((P1842-Q1842)=1,N1842,IF((P1842-Q1842)=-1,-M1842,0))</f>
        <v/>
      </c>
      <c r="U1842" s="101">
        <f>IF(AND(H1842=1,LedAcct&lt;&gt;""),IF(AND(E1842&gt;=LedFrom,E1842&lt;=LedTo,OR(I1842=LedAcct,K1842=LedAcct,AND(LedAcct=acctTax,M1842+N1842&lt;&gt;0))),E1842*10000+B1842,""),"")</f>
        <v/>
      </c>
    </row>
    <row r="1843">
      <c r="B1843" s="101" t="n">
        <v>1837</v>
      </c>
      <c r="C1843" s="58" t="inlineStr">
        <is>
          <t>Transaction</t>
        </is>
      </c>
      <c r="D1843" s="58">
        <f>IF(H1843=1,INDEX(tx_ID,1837)&amp;"","")</f>
        <v/>
      </c>
      <c r="E1843" s="94">
        <f>IF(H1843=1,INDEX(tx_Date,1837),"")</f>
        <v/>
      </c>
      <c r="F1843" s="58">
        <f>IF(H1843=1,INDEX(tx_Desc,1837)&amp;"","")</f>
        <v/>
      </c>
      <c r="G1843" s="58">
        <f>IF(H1843=1,IF(INDEX(tx_Cust,1837)&amp;""&lt;&gt;"",INDEX(tx_Cust,1837)&amp;"",INDEX(tx_Vend,1837)&amp;""),"")</f>
        <v/>
      </c>
      <c r="H1843" s="101">
        <f>IFERROR(N(INDEX(tx_Posted,1837)),0)</f>
        <v/>
      </c>
      <c r="I1843" s="58">
        <f>IF(H1843=1,INDEX(tx_DrAcct,1837)&amp;"","")</f>
        <v/>
      </c>
      <c r="J1843" s="95">
        <f>IF(H1843=1,INDEX(tx_DrAmt,1837),0)</f>
        <v/>
      </c>
      <c r="K1843" s="58">
        <f>IF(H1843=1,INDEX(tx_CrAcct,1837)&amp;"","")</f>
        <v/>
      </c>
      <c r="L1843" s="95">
        <f>IF(H1843=1,INDEX(tx_CrAmt,1837),0)</f>
        <v/>
      </c>
      <c r="M1843" s="95">
        <f>IF(H1843=1,INDEX(tx_TaxDr,1837),0)</f>
        <v/>
      </c>
      <c r="N1843" s="95">
        <f>IF(H1843=1,INDEX(tx_TaxCr,1837),0)</f>
        <v/>
      </c>
      <c r="O1843" s="101">
        <f>IF(H1843=1,IF(E1843&lt;FYStart,0,IF(E1843&gt;FYEnd,13,YEAR(E1843)*12+MONTH(E1843)-FYYM+1)),"")</f>
        <v/>
      </c>
      <c r="P1843" s="101">
        <f>IF(H1843=1,IF(IFERROR(INDEX(coa_CF,MATCH(I1843,coa_Name,0)),"")="Cash",1,0),0)</f>
        <v/>
      </c>
      <c r="Q1843" s="101">
        <f>IF(H1843=1,IF(IFERROR(INDEX(coa_CF,MATCH(K1843,coa_Name,0)),"")="Cash",1,0),0)</f>
        <v/>
      </c>
      <c r="R1843" s="58">
        <f>IF((P1843-Q1843)=0,"",IFERROR(INDEX(coa_CF,MATCH(IF((P1843-Q1843)=1,K1843,I1843),coa_Name,0)),"Operating"))</f>
        <v/>
      </c>
      <c r="S1843" s="95">
        <f>IF((P1843-Q1843)=1,L1843,IF((P1843-Q1843)=-1,-J1843,0))</f>
        <v/>
      </c>
      <c r="T1843" s="95">
        <f>IF((P1843-Q1843)=1,N1843,IF((P1843-Q1843)=-1,-M1843,0))</f>
        <v/>
      </c>
      <c r="U1843" s="101">
        <f>IF(AND(H1843=1,LedAcct&lt;&gt;""),IF(AND(E1843&gt;=LedFrom,E1843&lt;=LedTo,OR(I1843=LedAcct,K1843=LedAcct,AND(LedAcct=acctTax,M1843+N1843&lt;&gt;0))),E1843*10000+B1843,""),"")</f>
        <v/>
      </c>
    </row>
    <row r="1844">
      <c r="B1844" s="101" t="n">
        <v>1838</v>
      </c>
      <c r="C1844" s="58" t="inlineStr">
        <is>
          <t>Transaction</t>
        </is>
      </c>
      <c r="D1844" s="58">
        <f>IF(H1844=1,INDEX(tx_ID,1838)&amp;"","")</f>
        <v/>
      </c>
      <c r="E1844" s="94">
        <f>IF(H1844=1,INDEX(tx_Date,1838),"")</f>
        <v/>
      </c>
      <c r="F1844" s="58">
        <f>IF(H1844=1,INDEX(tx_Desc,1838)&amp;"","")</f>
        <v/>
      </c>
      <c r="G1844" s="58">
        <f>IF(H1844=1,IF(INDEX(tx_Cust,1838)&amp;""&lt;&gt;"",INDEX(tx_Cust,1838)&amp;"",INDEX(tx_Vend,1838)&amp;""),"")</f>
        <v/>
      </c>
      <c r="H1844" s="101">
        <f>IFERROR(N(INDEX(tx_Posted,1838)),0)</f>
        <v/>
      </c>
      <c r="I1844" s="58">
        <f>IF(H1844=1,INDEX(tx_DrAcct,1838)&amp;"","")</f>
        <v/>
      </c>
      <c r="J1844" s="95">
        <f>IF(H1844=1,INDEX(tx_DrAmt,1838),0)</f>
        <v/>
      </c>
      <c r="K1844" s="58">
        <f>IF(H1844=1,INDEX(tx_CrAcct,1838)&amp;"","")</f>
        <v/>
      </c>
      <c r="L1844" s="95">
        <f>IF(H1844=1,INDEX(tx_CrAmt,1838),0)</f>
        <v/>
      </c>
      <c r="M1844" s="95">
        <f>IF(H1844=1,INDEX(tx_TaxDr,1838),0)</f>
        <v/>
      </c>
      <c r="N1844" s="95">
        <f>IF(H1844=1,INDEX(tx_TaxCr,1838),0)</f>
        <v/>
      </c>
      <c r="O1844" s="101">
        <f>IF(H1844=1,IF(E1844&lt;FYStart,0,IF(E1844&gt;FYEnd,13,YEAR(E1844)*12+MONTH(E1844)-FYYM+1)),"")</f>
        <v/>
      </c>
      <c r="P1844" s="101">
        <f>IF(H1844=1,IF(IFERROR(INDEX(coa_CF,MATCH(I1844,coa_Name,0)),"")="Cash",1,0),0)</f>
        <v/>
      </c>
      <c r="Q1844" s="101">
        <f>IF(H1844=1,IF(IFERROR(INDEX(coa_CF,MATCH(K1844,coa_Name,0)),"")="Cash",1,0),0)</f>
        <v/>
      </c>
      <c r="R1844" s="58">
        <f>IF((P1844-Q1844)=0,"",IFERROR(INDEX(coa_CF,MATCH(IF((P1844-Q1844)=1,K1844,I1844),coa_Name,0)),"Operating"))</f>
        <v/>
      </c>
      <c r="S1844" s="95">
        <f>IF((P1844-Q1844)=1,L1844,IF((P1844-Q1844)=-1,-J1844,0))</f>
        <v/>
      </c>
      <c r="T1844" s="95">
        <f>IF((P1844-Q1844)=1,N1844,IF((P1844-Q1844)=-1,-M1844,0))</f>
        <v/>
      </c>
      <c r="U1844" s="101">
        <f>IF(AND(H1844=1,LedAcct&lt;&gt;""),IF(AND(E1844&gt;=LedFrom,E1844&lt;=LedTo,OR(I1844=LedAcct,K1844=LedAcct,AND(LedAcct=acctTax,M1844+N1844&lt;&gt;0))),E1844*10000+B1844,""),"")</f>
        <v/>
      </c>
    </row>
    <row r="1845">
      <c r="B1845" s="101" t="n">
        <v>1839</v>
      </c>
      <c r="C1845" s="58" t="inlineStr">
        <is>
          <t>Transaction</t>
        </is>
      </c>
      <c r="D1845" s="58">
        <f>IF(H1845=1,INDEX(tx_ID,1839)&amp;"","")</f>
        <v/>
      </c>
      <c r="E1845" s="94">
        <f>IF(H1845=1,INDEX(tx_Date,1839),"")</f>
        <v/>
      </c>
      <c r="F1845" s="58">
        <f>IF(H1845=1,INDEX(tx_Desc,1839)&amp;"","")</f>
        <v/>
      </c>
      <c r="G1845" s="58">
        <f>IF(H1845=1,IF(INDEX(tx_Cust,1839)&amp;""&lt;&gt;"",INDEX(tx_Cust,1839)&amp;"",INDEX(tx_Vend,1839)&amp;""),"")</f>
        <v/>
      </c>
      <c r="H1845" s="101">
        <f>IFERROR(N(INDEX(tx_Posted,1839)),0)</f>
        <v/>
      </c>
      <c r="I1845" s="58">
        <f>IF(H1845=1,INDEX(tx_DrAcct,1839)&amp;"","")</f>
        <v/>
      </c>
      <c r="J1845" s="95">
        <f>IF(H1845=1,INDEX(tx_DrAmt,1839),0)</f>
        <v/>
      </c>
      <c r="K1845" s="58">
        <f>IF(H1845=1,INDEX(tx_CrAcct,1839)&amp;"","")</f>
        <v/>
      </c>
      <c r="L1845" s="95">
        <f>IF(H1845=1,INDEX(tx_CrAmt,1839),0)</f>
        <v/>
      </c>
      <c r="M1845" s="95">
        <f>IF(H1845=1,INDEX(tx_TaxDr,1839),0)</f>
        <v/>
      </c>
      <c r="N1845" s="95">
        <f>IF(H1845=1,INDEX(tx_TaxCr,1839),0)</f>
        <v/>
      </c>
      <c r="O1845" s="101">
        <f>IF(H1845=1,IF(E1845&lt;FYStart,0,IF(E1845&gt;FYEnd,13,YEAR(E1845)*12+MONTH(E1845)-FYYM+1)),"")</f>
        <v/>
      </c>
      <c r="P1845" s="101">
        <f>IF(H1845=1,IF(IFERROR(INDEX(coa_CF,MATCH(I1845,coa_Name,0)),"")="Cash",1,0),0)</f>
        <v/>
      </c>
      <c r="Q1845" s="101">
        <f>IF(H1845=1,IF(IFERROR(INDEX(coa_CF,MATCH(K1845,coa_Name,0)),"")="Cash",1,0),0)</f>
        <v/>
      </c>
      <c r="R1845" s="58">
        <f>IF((P1845-Q1845)=0,"",IFERROR(INDEX(coa_CF,MATCH(IF((P1845-Q1845)=1,K1845,I1845),coa_Name,0)),"Operating"))</f>
        <v/>
      </c>
      <c r="S1845" s="95">
        <f>IF((P1845-Q1845)=1,L1845,IF((P1845-Q1845)=-1,-J1845,0))</f>
        <v/>
      </c>
      <c r="T1845" s="95">
        <f>IF((P1845-Q1845)=1,N1845,IF((P1845-Q1845)=-1,-M1845,0))</f>
        <v/>
      </c>
      <c r="U1845" s="101">
        <f>IF(AND(H1845=1,LedAcct&lt;&gt;""),IF(AND(E1845&gt;=LedFrom,E1845&lt;=LedTo,OR(I1845=LedAcct,K1845=LedAcct,AND(LedAcct=acctTax,M1845+N1845&lt;&gt;0))),E1845*10000+B1845,""),"")</f>
        <v/>
      </c>
    </row>
    <row r="1846">
      <c r="B1846" s="101" t="n">
        <v>1840</v>
      </c>
      <c r="C1846" s="58" t="inlineStr">
        <is>
          <t>Transaction</t>
        </is>
      </c>
      <c r="D1846" s="58">
        <f>IF(H1846=1,INDEX(tx_ID,1840)&amp;"","")</f>
        <v/>
      </c>
      <c r="E1846" s="94">
        <f>IF(H1846=1,INDEX(tx_Date,1840),"")</f>
        <v/>
      </c>
      <c r="F1846" s="58">
        <f>IF(H1846=1,INDEX(tx_Desc,1840)&amp;"","")</f>
        <v/>
      </c>
      <c r="G1846" s="58">
        <f>IF(H1846=1,IF(INDEX(tx_Cust,1840)&amp;""&lt;&gt;"",INDEX(tx_Cust,1840)&amp;"",INDEX(tx_Vend,1840)&amp;""),"")</f>
        <v/>
      </c>
      <c r="H1846" s="101">
        <f>IFERROR(N(INDEX(tx_Posted,1840)),0)</f>
        <v/>
      </c>
      <c r="I1846" s="58">
        <f>IF(H1846=1,INDEX(tx_DrAcct,1840)&amp;"","")</f>
        <v/>
      </c>
      <c r="J1846" s="95">
        <f>IF(H1846=1,INDEX(tx_DrAmt,1840),0)</f>
        <v/>
      </c>
      <c r="K1846" s="58">
        <f>IF(H1846=1,INDEX(tx_CrAcct,1840)&amp;"","")</f>
        <v/>
      </c>
      <c r="L1846" s="95">
        <f>IF(H1846=1,INDEX(tx_CrAmt,1840),0)</f>
        <v/>
      </c>
      <c r="M1846" s="95">
        <f>IF(H1846=1,INDEX(tx_TaxDr,1840),0)</f>
        <v/>
      </c>
      <c r="N1846" s="95">
        <f>IF(H1846=1,INDEX(tx_TaxCr,1840),0)</f>
        <v/>
      </c>
      <c r="O1846" s="101">
        <f>IF(H1846=1,IF(E1846&lt;FYStart,0,IF(E1846&gt;FYEnd,13,YEAR(E1846)*12+MONTH(E1846)-FYYM+1)),"")</f>
        <v/>
      </c>
      <c r="P1846" s="101">
        <f>IF(H1846=1,IF(IFERROR(INDEX(coa_CF,MATCH(I1846,coa_Name,0)),"")="Cash",1,0),0)</f>
        <v/>
      </c>
      <c r="Q1846" s="101">
        <f>IF(H1846=1,IF(IFERROR(INDEX(coa_CF,MATCH(K1846,coa_Name,0)),"")="Cash",1,0),0)</f>
        <v/>
      </c>
      <c r="R1846" s="58">
        <f>IF((P1846-Q1846)=0,"",IFERROR(INDEX(coa_CF,MATCH(IF((P1846-Q1846)=1,K1846,I1846),coa_Name,0)),"Operating"))</f>
        <v/>
      </c>
      <c r="S1846" s="95">
        <f>IF((P1846-Q1846)=1,L1846,IF((P1846-Q1846)=-1,-J1846,0))</f>
        <v/>
      </c>
      <c r="T1846" s="95">
        <f>IF((P1846-Q1846)=1,N1846,IF((P1846-Q1846)=-1,-M1846,0))</f>
        <v/>
      </c>
      <c r="U1846" s="101">
        <f>IF(AND(H1846=1,LedAcct&lt;&gt;""),IF(AND(E1846&gt;=LedFrom,E1846&lt;=LedTo,OR(I1846=LedAcct,K1846=LedAcct,AND(LedAcct=acctTax,M1846+N1846&lt;&gt;0))),E1846*10000+B1846,""),"")</f>
        <v/>
      </c>
    </row>
    <row r="1847">
      <c r="B1847" s="101" t="n">
        <v>1841</v>
      </c>
      <c r="C1847" s="58" t="inlineStr">
        <is>
          <t>Transaction</t>
        </is>
      </c>
      <c r="D1847" s="58">
        <f>IF(H1847=1,INDEX(tx_ID,1841)&amp;"","")</f>
        <v/>
      </c>
      <c r="E1847" s="94">
        <f>IF(H1847=1,INDEX(tx_Date,1841),"")</f>
        <v/>
      </c>
      <c r="F1847" s="58">
        <f>IF(H1847=1,INDEX(tx_Desc,1841)&amp;"","")</f>
        <v/>
      </c>
      <c r="G1847" s="58">
        <f>IF(H1847=1,IF(INDEX(tx_Cust,1841)&amp;""&lt;&gt;"",INDEX(tx_Cust,1841)&amp;"",INDEX(tx_Vend,1841)&amp;""),"")</f>
        <v/>
      </c>
      <c r="H1847" s="101">
        <f>IFERROR(N(INDEX(tx_Posted,1841)),0)</f>
        <v/>
      </c>
      <c r="I1847" s="58">
        <f>IF(H1847=1,INDEX(tx_DrAcct,1841)&amp;"","")</f>
        <v/>
      </c>
      <c r="J1847" s="95">
        <f>IF(H1847=1,INDEX(tx_DrAmt,1841),0)</f>
        <v/>
      </c>
      <c r="K1847" s="58">
        <f>IF(H1847=1,INDEX(tx_CrAcct,1841)&amp;"","")</f>
        <v/>
      </c>
      <c r="L1847" s="95">
        <f>IF(H1847=1,INDEX(tx_CrAmt,1841),0)</f>
        <v/>
      </c>
      <c r="M1847" s="95">
        <f>IF(H1847=1,INDEX(tx_TaxDr,1841),0)</f>
        <v/>
      </c>
      <c r="N1847" s="95">
        <f>IF(H1847=1,INDEX(tx_TaxCr,1841),0)</f>
        <v/>
      </c>
      <c r="O1847" s="101">
        <f>IF(H1847=1,IF(E1847&lt;FYStart,0,IF(E1847&gt;FYEnd,13,YEAR(E1847)*12+MONTH(E1847)-FYYM+1)),"")</f>
        <v/>
      </c>
      <c r="P1847" s="101">
        <f>IF(H1847=1,IF(IFERROR(INDEX(coa_CF,MATCH(I1847,coa_Name,0)),"")="Cash",1,0),0)</f>
        <v/>
      </c>
      <c r="Q1847" s="101">
        <f>IF(H1847=1,IF(IFERROR(INDEX(coa_CF,MATCH(K1847,coa_Name,0)),"")="Cash",1,0),0)</f>
        <v/>
      </c>
      <c r="R1847" s="58">
        <f>IF((P1847-Q1847)=0,"",IFERROR(INDEX(coa_CF,MATCH(IF((P1847-Q1847)=1,K1847,I1847),coa_Name,0)),"Operating"))</f>
        <v/>
      </c>
      <c r="S1847" s="95">
        <f>IF((P1847-Q1847)=1,L1847,IF((P1847-Q1847)=-1,-J1847,0))</f>
        <v/>
      </c>
      <c r="T1847" s="95">
        <f>IF((P1847-Q1847)=1,N1847,IF((P1847-Q1847)=-1,-M1847,0))</f>
        <v/>
      </c>
      <c r="U1847" s="101">
        <f>IF(AND(H1847=1,LedAcct&lt;&gt;""),IF(AND(E1847&gt;=LedFrom,E1847&lt;=LedTo,OR(I1847=LedAcct,K1847=LedAcct,AND(LedAcct=acctTax,M1847+N1847&lt;&gt;0))),E1847*10000+B1847,""),"")</f>
        <v/>
      </c>
    </row>
    <row r="1848">
      <c r="B1848" s="101" t="n">
        <v>1842</v>
      </c>
      <c r="C1848" s="58" t="inlineStr">
        <is>
          <t>Transaction</t>
        </is>
      </c>
      <c r="D1848" s="58">
        <f>IF(H1848=1,INDEX(tx_ID,1842)&amp;"","")</f>
        <v/>
      </c>
      <c r="E1848" s="94">
        <f>IF(H1848=1,INDEX(tx_Date,1842),"")</f>
        <v/>
      </c>
      <c r="F1848" s="58">
        <f>IF(H1848=1,INDEX(tx_Desc,1842)&amp;"","")</f>
        <v/>
      </c>
      <c r="G1848" s="58">
        <f>IF(H1848=1,IF(INDEX(tx_Cust,1842)&amp;""&lt;&gt;"",INDEX(tx_Cust,1842)&amp;"",INDEX(tx_Vend,1842)&amp;""),"")</f>
        <v/>
      </c>
      <c r="H1848" s="101">
        <f>IFERROR(N(INDEX(tx_Posted,1842)),0)</f>
        <v/>
      </c>
      <c r="I1848" s="58">
        <f>IF(H1848=1,INDEX(tx_DrAcct,1842)&amp;"","")</f>
        <v/>
      </c>
      <c r="J1848" s="95">
        <f>IF(H1848=1,INDEX(tx_DrAmt,1842),0)</f>
        <v/>
      </c>
      <c r="K1848" s="58">
        <f>IF(H1848=1,INDEX(tx_CrAcct,1842)&amp;"","")</f>
        <v/>
      </c>
      <c r="L1848" s="95">
        <f>IF(H1848=1,INDEX(tx_CrAmt,1842),0)</f>
        <v/>
      </c>
      <c r="M1848" s="95">
        <f>IF(H1848=1,INDEX(tx_TaxDr,1842),0)</f>
        <v/>
      </c>
      <c r="N1848" s="95">
        <f>IF(H1848=1,INDEX(tx_TaxCr,1842),0)</f>
        <v/>
      </c>
      <c r="O1848" s="101">
        <f>IF(H1848=1,IF(E1848&lt;FYStart,0,IF(E1848&gt;FYEnd,13,YEAR(E1848)*12+MONTH(E1848)-FYYM+1)),"")</f>
        <v/>
      </c>
      <c r="P1848" s="101">
        <f>IF(H1848=1,IF(IFERROR(INDEX(coa_CF,MATCH(I1848,coa_Name,0)),"")="Cash",1,0),0)</f>
        <v/>
      </c>
      <c r="Q1848" s="101">
        <f>IF(H1848=1,IF(IFERROR(INDEX(coa_CF,MATCH(K1848,coa_Name,0)),"")="Cash",1,0),0)</f>
        <v/>
      </c>
      <c r="R1848" s="58">
        <f>IF((P1848-Q1848)=0,"",IFERROR(INDEX(coa_CF,MATCH(IF((P1848-Q1848)=1,K1848,I1848),coa_Name,0)),"Operating"))</f>
        <v/>
      </c>
      <c r="S1848" s="95">
        <f>IF((P1848-Q1848)=1,L1848,IF((P1848-Q1848)=-1,-J1848,0))</f>
        <v/>
      </c>
      <c r="T1848" s="95">
        <f>IF((P1848-Q1848)=1,N1848,IF((P1848-Q1848)=-1,-M1848,0))</f>
        <v/>
      </c>
      <c r="U1848" s="101">
        <f>IF(AND(H1848=1,LedAcct&lt;&gt;""),IF(AND(E1848&gt;=LedFrom,E1848&lt;=LedTo,OR(I1848=LedAcct,K1848=LedAcct,AND(LedAcct=acctTax,M1848+N1848&lt;&gt;0))),E1848*10000+B1848,""),"")</f>
        <v/>
      </c>
    </row>
    <row r="1849">
      <c r="B1849" s="101" t="n">
        <v>1843</v>
      </c>
      <c r="C1849" s="58" t="inlineStr">
        <is>
          <t>Transaction</t>
        </is>
      </c>
      <c r="D1849" s="58">
        <f>IF(H1849=1,INDEX(tx_ID,1843)&amp;"","")</f>
        <v/>
      </c>
      <c r="E1849" s="94">
        <f>IF(H1849=1,INDEX(tx_Date,1843),"")</f>
        <v/>
      </c>
      <c r="F1849" s="58">
        <f>IF(H1849=1,INDEX(tx_Desc,1843)&amp;"","")</f>
        <v/>
      </c>
      <c r="G1849" s="58">
        <f>IF(H1849=1,IF(INDEX(tx_Cust,1843)&amp;""&lt;&gt;"",INDEX(tx_Cust,1843)&amp;"",INDEX(tx_Vend,1843)&amp;""),"")</f>
        <v/>
      </c>
      <c r="H1849" s="101">
        <f>IFERROR(N(INDEX(tx_Posted,1843)),0)</f>
        <v/>
      </c>
      <c r="I1849" s="58">
        <f>IF(H1849=1,INDEX(tx_DrAcct,1843)&amp;"","")</f>
        <v/>
      </c>
      <c r="J1849" s="95">
        <f>IF(H1849=1,INDEX(tx_DrAmt,1843),0)</f>
        <v/>
      </c>
      <c r="K1849" s="58">
        <f>IF(H1849=1,INDEX(tx_CrAcct,1843)&amp;"","")</f>
        <v/>
      </c>
      <c r="L1849" s="95">
        <f>IF(H1849=1,INDEX(tx_CrAmt,1843),0)</f>
        <v/>
      </c>
      <c r="M1849" s="95">
        <f>IF(H1849=1,INDEX(tx_TaxDr,1843),0)</f>
        <v/>
      </c>
      <c r="N1849" s="95">
        <f>IF(H1849=1,INDEX(tx_TaxCr,1843),0)</f>
        <v/>
      </c>
      <c r="O1849" s="101">
        <f>IF(H1849=1,IF(E1849&lt;FYStart,0,IF(E1849&gt;FYEnd,13,YEAR(E1849)*12+MONTH(E1849)-FYYM+1)),"")</f>
        <v/>
      </c>
      <c r="P1849" s="101">
        <f>IF(H1849=1,IF(IFERROR(INDEX(coa_CF,MATCH(I1849,coa_Name,0)),"")="Cash",1,0),0)</f>
        <v/>
      </c>
      <c r="Q1849" s="101">
        <f>IF(H1849=1,IF(IFERROR(INDEX(coa_CF,MATCH(K1849,coa_Name,0)),"")="Cash",1,0),0)</f>
        <v/>
      </c>
      <c r="R1849" s="58">
        <f>IF((P1849-Q1849)=0,"",IFERROR(INDEX(coa_CF,MATCH(IF((P1849-Q1849)=1,K1849,I1849),coa_Name,0)),"Operating"))</f>
        <v/>
      </c>
      <c r="S1849" s="95">
        <f>IF((P1849-Q1849)=1,L1849,IF((P1849-Q1849)=-1,-J1849,0))</f>
        <v/>
      </c>
      <c r="T1849" s="95">
        <f>IF((P1849-Q1849)=1,N1849,IF((P1849-Q1849)=-1,-M1849,0))</f>
        <v/>
      </c>
      <c r="U1849" s="101">
        <f>IF(AND(H1849=1,LedAcct&lt;&gt;""),IF(AND(E1849&gt;=LedFrom,E1849&lt;=LedTo,OR(I1849=LedAcct,K1849=LedAcct,AND(LedAcct=acctTax,M1849+N1849&lt;&gt;0))),E1849*10000+B1849,""),"")</f>
        <v/>
      </c>
    </row>
    <row r="1850">
      <c r="B1850" s="101" t="n">
        <v>1844</v>
      </c>
      <c r="C1850" s="58" t="inlineStr">
        <is>
          <t>Transaction</t>
        </is>
      </c>
      <c r="D1850" s="58">
        <f>IF(H1850=1,INDEX(tx_ID,1844)&amp;"","")</f>
        <v/>
      </c>
      <c r="E1850" s="94">
        <f>IF(H1850=1,INDEX(tx_Date,1844),"")</f>
        <v/>
      </c>
      <c r="F1850" s="58">
        <f>IF(H1850=1,INDEX(tx_Desc,1844)&amp;"","")</f>
        <v/>
      </c>
      <c r="G1850" s="58">
        <f>IF(H1850=1,IF(INDEX(tx_Cust,1844)&amp;""&lt;&gt;"",INDEX(tx_Cust,1844)&amp;"",INDEX(tx_Vend,1844)&amp;""),"")</f>
        <v/>
      </c>
      <c r="H1850" s="101">
        <f>IFERROR(N(INDEX(tx_Posted,1844)),0)</f>
        <v/>
      </c>
      <c r="I1850" s="58">
        <f>IF(H1850=1,INDEX(tx_DrAcct,1844)&amp;"","")</f>
        <v/>
      </c>
      <c r="J1850" s="95">
        <f>IF(H1850=1,INDEX(tx_DrAmt,1844),0)</f>
        <v/>
      </c>
      <c r="K1850" s="58">
        <f>IF(H1850=1,INDEX(tx_CrAcct,1844)&amp;"","")</f>
        <v/>
      </c>
      <c r="L1850" s="95">
        <f>IF(H1850=1,INDEX(tx_CrAmt,1844),0)</f>
        <v/>
      </c>
      <c r="M1850" s="95">
        <f>IF(H1850=1,INDEX(tx_TaxDr,1844),0)</f>
        <v/>
      </c>
      <c r="N1850" s="95">
        <f>IF(H1850=1,INDEX(tx_TaxCr,1844),0)</f>
        <v/>
      </c>
      <c r="O1850" s="101">
        <f>IF(H1850=1,IF(E1850&lt;FYStart,0,IF(E1850&gt;FYEnd,13,YEAR(E1850)*12+MONTH(E1850)-FYYM+1)),"")</f>
        <v/>
      </c>
      <c r="P1850" s="101">
        <f>IF(H1850=1,IF(IFERROR(INDEX(coa_CF,MATCH(I1850,coa_Name,0)),"")="Cash",1,0),0)</f>
        <v/>
      </c>
      <c r="Q1850" s="101">
        <f>IF(H1850=1,IF(IFERROR(INDEX(coa_CF,MATCH(K1850,coa_Name,0)),"")="Cash",1,0),0)</f>
        <v/>
      </c>
      <c r="R1850" s="58">
        <f>IF((P1850-Q1850)=0,"",IFERROR(INDEX(coa_CF,MATCH(IF((P1850-Q1850)=1,K1850,I1850),coa_Name,0)),"Operating"))</f>
        <v/>
      </c>
      <c r="S1850" s="95">
        <f>IF((P1850-Q1850)=1,L1850,IF((P1850-Q1850)=-1,-J1850,0))</f>
        <v/>
      </c>
      <c r="T1850" s="95">
        <f>IF((P1850-Q1850)=1,N1850,IF((P1850-Q1850)=-1,-M1850,0))</f>
        <v/>
      </c>
      <c r="U1850" s="101">
        <f>IF(AND(H1850=1,LedAcct&lt;&gt;""),IF(AND(E1850&gt;=LedFrom,E1850&lt;=LedTo,OR(I1850=LedAcct,K1850=LedAcct,AND(LedAcct=acctTax,M1850+N1850&lt;&gt;0))),E1850*10000+B1850,""),"")</f>
        <v/>
      </c>
    </row>
    <row r="1851">
      <c r="B1851" s="101" t="n">
        <v>1845</v>
      </c>
      <c r="C1851" s="58" t="inlineStr">
        <is>
          <t>Transaction</t>
        </is>
      </c>
      <c r="D1851" s="58">
        <f>IF(H1851=1,INDEX(tx_ID,1845)&amp;"","")</f>
        <v/>
      </c>
      <c r="E1851" s="94">
        <f>IF(H1851=1,INDEX(tx_Date,1845),"")</f>
        <v/>
      </c>
      <c r="F1851" s="58">
        <f>IF(H1851=1,INDEX(tx_Desc,1845)&amp;"","")</f>
        <v/>
      </c>
      <c r="G1851" s="58">
        <f>IF(H1851=1,IF(INDEX(tx_Cust,1845)&amp;""&lt;&gt;"",INDEX(tx_Cust,1845)&amp;"",INDEX(tx_Vend,1845)&amp;""),"")</f>
        <v/>
      </c>
      <c r="H1851" s="101">
        <f>IFERROR(N(INDEX(tx_Posted,1845)),0)</f>
        <v/>
      </c>
      <c r="I1851" s="58">
        <f>IF(H1851=1,INDEX(tx_DrAcct,1845)&amp;"","")</f>
        <v/>
      </c>
      <c r="J1851" s="95">
        <f>IF(H1851=1,INDEX(tx_DrAmt,1845),0)</f>
        <v/>
      </c>
      <c r="K1851" s="58">
        <f>IF(H1851=1,INDEX(tx_CrAcct,1845)&amp;"","")</f>
        <v/>
      </c>
      <c r="L1851" s="95">
        <f>IF(H1851=1,INDEX(tx_CrAmt,1845),0)</f>
        <v/>
      </c>
      <c r="M1851" s="95">
        <f>IF(H1851=1,INDEX(tx_TaxDr,1845),0)</f>
        <v/>
      </c>
      <c r="N1851" s="95">
        <f>IF(H1851=1,INDEX(tx_TaxCr,1845),0)</f>
        <v/>
      </c>
      <c r="O1851" s="101">
        <f>IF(H1851=1,IF(E1851&lt;FYStart,0,IF(E1851&gt;FYEnd,13,YEAR(E1851)*12+MONTH(E1851)-FYYM+1)),"")</f>
        <v/>
      </c>
      <c r="P1851" s="101">
        <f>IF(H1851=1,IF(IFERROR(INDEX(coa_CF,MATCH(I1851,coa_Name,0)),"")="Cash",1,0),0)</f>
        <v/>
      </c>
      <c r="Q1851" s="101">
        <f>IF(H1851=1,IF(IFERROR(INDEX(coa_CF,MATCH(K1851,coa_Name,0)),"")="Cash",1,0),0)</f>
        <v/>
      </c>
      <c r="R1851" s="58">
        <f>IF((P1851-Q1851)=0,"",IFERROR(INDEX(coa_CF,MATCH(IF((P1851-Q1851)=1,K1851,I1851),coa_Name,0)),"Operating"))</f>
        <v/>
      </c>
      <c r="S1851" s="95">
        <f>IF((P1851-Q1851)=1,L1851,IF((P1851-Q1851)=-1,-J1851,0))</f>
        <v/>
      </c>
      <c r="T1851" s="95">
        <f>IF((P1851-Q1851)=1,N1851,IF((P1851-Q1851)=-1,-M1851,0))</f>
        <v/>
      </c>
      <c r="U1851" s="101">
        <f>IF(AND(H1851=1,LedAcct&lt;&gt;""),IF(AND(E1851&gt;=LedFrom,E1851&lt;=LedTo,OR(I1851=LedAcct,K1851=LedAcct,AND(LedAcct=acctTax,M1851+N1851&lt;&gt;0))),E1851*10000+B1851,""),"")</f>
        <v/>
      </c>
    </row>
    <row r="1852">
      <c r="B1852" s="101" t="n">
        <v>1846</v>
      </c>
      <c r="C1852" s="58" t="inlineStr">
        <is>
          <t>Transaction</t>
        </is>
      </c>
      <c r="D1852" s="58">
        <f>IF(H1852=1,INDEX(tx_ID,1846)&amp;"","")</f>
        <v/>
      </c>
      <c r="E1852" s="94">
        <f>IF(H1852=1,INDEX(tx_Date,1846),"")</f>
        <v/>
      </c>
      <c r="F1852" s="58">
        <f>IF(H1852=1,INDEX(tx_Desc,1846)&amp;"","")</f>
        <v/>
      </c>
      <c r="G1852" s="58">
        <f>IF(H1852=1,IF(INDEX(tx_Cust,1846)&amp;""&lt;&gt;"",INDEX(tx_Cust,1846)&amp;"",INDEX(tx_Vend,1846)&amp;""),"")</f>
        <v/>
      </c>
      <c r="H1852" s="101">
        <f>IFERROR(N(INDEX(tx_Posted,1846)),0)</f>
        <v/>
      </c>
      <c r="I1852" s="58">
        <f>IF(H1852=1,INDEX(tx_DrAcct,1846)&amp;"","")</f>
        <v/>
      </c>
      <c r="J1852" s="95">
        <f>IF(H1852=1,INDEX(tx_DrAmt,1846),0)</f>
        <v/>
      </c>
      <c r="K1852" s="58">
        <f>IF(H1852=1,INDEX(tx_CrAcct,1846)&amp;"","")</f>
        <v/>
      </c>
      <c r="L1852" s="95">
        <f>IF(H1852=1,INDEX(tx_CrAmt,1846),0)</f>
        <v/>
      </c>
      <c r="M1852" s="95">
        <f>IF(H1852=1,INDEX(tx_TaxDr,1846),0)</f>
        <v/>
      </c>
      <c r="N1852" s="95">
        <f>IF(H1852=1,INDEX(tx_TaxCr,1846),0)</f>
        <v/>
      </c>
      <c r="O1852" s="101">
        <f>IF(H1852=1,IF(E1852&lt;FYStart,0,IF(E1852&gt;FYEnd,13,YEAR(E1852)*12+MONTH(E1852)-FYYM+1)),"")</f>
        <v/>
      </c>
      <c r="P1852" s="101">
        <f>IF(H1852=1,IF(IFERROR(INDEX(coa_CF,MATCH(I1852,coa_Name,0)),"")="Cash",1,0),0)</f>
        <v/>
      </c>
      <c r="Q1852" s="101">
        <f>IF(H1852=1,IF(IFERROR(INDEX(coa_CF,MATCH(K1852,coa_Name,0)),"")="Cash",1,0),0)</f>
        <v/>
      </c>
      <c r="R1852" s="58">
        <f>IF((P1852-Q1852)=0,"",IFERROR(INDEX(coa_CF,MATCH(IF((P1852-Q1852)=1,K1852,I1852),coa_Name,0)),"Operating"))</f>
        <v/>
      </c>
      <c r="S1852" s="95">
        <f>IF((P1852-Q1852)=1,L1852,IF((P1852-Q1852)=-1,-J1852,0))</f>
        <v/>
      </c>
      <c r="T1852" s="95">
        <f>IF((P1852-Q1852)=1,N1852,IF((P1852-Q1852)=-1,-M1852,0))</f>
        <v/>
      </c>
      <c r="U1852" s="101">
        <f>IF(AND(H1852=1,LedAcct&lt;&gt;""),IF(AND(E1852&gt;=LedFrom,E1852&lt;=LedTo,OR(I1852=LedAcct,K1852=LedAcct,AND(LedAcct=acctTax,M1852+N1852&lt;&gt;0))),E1852*10000+B1852,""),"")</f>
        <v/>
      </c>
    </row>
    <row r="1853">
      <c r="B1853" s="101" t="n">
        <v>1847</v>
      </c>
      <c r="C1853" s="58" t="inlineStr">
        <is>
          <t>Transaction</t>
        </is>
      </c>
      <c r="D1853" s="58">
        <f>IF(H1853=1,INDEX(tx_ID,1847)&amp;"","")</f>
        <v/>
      </c>
      <c r="E1853" s="94">
        <f>IF(H1853=1,INDEX(tx_Date,1847),"")</f>
        <v/>
      </c>
      <c r="F1853" s="58">
        <f>IF(H1853=1,INDEX(tx_Desc,1847)&amp;"","")</f>
        <v/>
      </c>
      <c r="G1853" s="58">
        <f>IF(H1853=1,IF(INDEX(tx_Cust,1847)&amp;""&lt;&gt;"",INDEX(tx_Cust,1847)&amp;"",INDEX(tx_Vend,1847)&amp;""),"")</f>
        <v/>
      </c>
      <c r="H1853" s="101">
        <f>IFERROR(N(INDEX(tx_Posted,1847)),0)</f>
        <v/>
      </c>
      <c r="I1853" s="58">
        <f>IF(H1853=1,INDEX(tx_DrAcct,1847)&amp;"","")</f>
        <v/>
      </c>
      <c r="J1853" s="95">
        <f>IF(H1853=1,INDEX(tx_DrAmt,1847),0)</f>
        <v/>
      </c>
      <c r="K1853" s="58">
        <f>IF(H1853=1,INDEX(tx_CrAcct,1847)&amp;"","")</f>
        <v/>
      </c>
      <c r="L1853" s="95">
        <f>IF(H1853=1,INDEX(tx_CrAmt,1847),0)</f>
        <v/>
      </c>
      <c r="M1853" s="95">
        <f>IF(H1853=1,INDEX(tx_TaxDr,1847),0)</f>
        <v/>
      </c>
      <c r="N1853" s="95">
        <f>IF(H1853=1,INDEX(tx_TaxCr,1847),0)</f>
        <v/>
      </c>
      <c r="O1853" s="101">
        <f>IF(H1853=1,IF(E1853&lt;FYStart,0,IF(E1853&gt;FYEnd,13,YEAR(E1853)*12+MONTH(E1853)-FYYM+1)),"")</f>
        <v/>
      </c>
      <c r="P1853" s="101">
        <f>IF(H1853=1,IF(IFERROR(INDEX(coa_CF,MATCH(I1853,coa_Name,0)),"")="Cash",1,0),0)</f>
        <v/>
      </c>
      <c r="Q1853" s="101">
        <f>IF(H1853=1,IF(IFERROR(INDEX(coa_CF,MATCH(K1853,coa_Name,0)),"")="Cash",1,0),0)</f>
        <v/>
      </c>
      <c r="R1853" s="58">
        <f>IF((P1853-Q1853)=0,"",IFERROR(INDEX(coa_CF,MATCH(IF((P1853-Q1853)=1,K1853,I1853),coa_Name,0)),"Operating"))</f>
        <v/>
      </c>
      <c r="S1853" s="95">
        <f>IF((P1853-Q1853)=1,L1853,IF((P1853-Q1853)=-1,-J1853,0))</f>
        <v/>
      </c>
      <c r="T1853" s="95">
        <f>IF((P1853-Q1853)=1,N1853,IF((P1853-Q1853)=-1,-M1853,0))</f>
        <v/>
      </c>
      <c r="U1853" s="101">
        <f>IF(AND(H1853=1,LedAcct&lt;&gt;""),IF(AND(E1853&gt;=LedFrom,E1853&lt;=LedTo,OR(I1853=LedAcct,K1853=LedAcct,AND(LedAcct=acctTax,M1853+N1853&lt;&gt;0))),E1853*10000+B1853,""),"")</f>
        <v/>
      </c>
    </row>
    <row r="1854">
      <c r="B1854" s="101" t="n">
        <v>1848</v>
      </c>
      <c r="C1854" s="58" t="inlineStr">
        <is>
          <t>Transaction</t>
        </is>
      </c>
      <c r="D1854" s="58">
        <f>IF(H1854=1,INDEX(tx_ID,1848)&amp;"","")</f>
        <v/>
      </c>
      <c r="E1854" s="94">
        <f>IF(H1854=1,INDEX(tx_Date,1848),"")</f>
        <v/>
      </c>
      <c r="F1854" s="58">
        <f>IF(H1854=1,INDEX(tx_Desc,1848)&amp;"","")</f>
        <v/>
      </c>
      <c r="G1854" s="58">
        <f>IF(H1854=1,IF(INDEX(tx_Cust,1848)&amp;""&lt;&gt;"",INDEX(tx_Cust,1848)&amp;"",INDEX(tx_Vend,1848)&amp;""),"")</f>
        <v/>
      </c>
      <c r="H1854" s="101">
        <f>IFERROR(N(INDEX(tx_Posted,1848)),0)</f>
        <v/>
      </c>
      <c r="I1854" s="58">
        <f>IF(H1854=1,INDEX(tx_DrAcct,1848)&amp;"","")</f>
        <v/>
      </c>
      <c r="J1854" s="95">
        <f>IF(H1854=1,INDEX(tx_DrAmt,1848),0)</f>
        <v/>
      </c>
      <c r="K1854" s="58">
        <f>IF(H1854=1,INDEX(tx_CrAcct,1848)&amp;"","")</f>
        <v/>
      </c>
      <c r="L1854" s="95">
        <f>IF(H1854=1,INDEX(tx_CrAmt,1848),0)</f>
        <v/>
      </c>
      <c r="M1854" s="95">
        <f>IF(H1854=1,INDEX(tx_TaxDr,1848),0)</f>
        <v/>
      </c>
      <c r="N1854" s="95">
        <f>IF(H1854=1,INDEX(tx_TaxCr,1848),0)</f>
        <v/>
      </c>
      <c r="O1854" s="101">
        <f>IF(H1854=1,IF(E1854&lt;FYStart,0,IF(E1854&gt;FYEnd,13,YEAR(E1854)*12+MONTH(E1854)-FYYM+1)),"")</f>
        <v/>
      </c>
      <c r="P1854" s="101">
        <f>IF(H1854=1,IF(IFERROR(INDEX(coa_CF,MATCH(I1854,coa_Name,0)),"")="Cash",1,0),0)</f>
        <v/>
      </c>
      <c r="Q1854" s="101">
        <f>IF(H1854=1,IF(IFERROR(INDEX(coa_CF,MATCH(K1854,coa_Name,0)),"")="Cash",1,0),0)</f>
        <v/>
      </c>
      <c r="R1854" s="58">
        <f>IF((P1854-Q1854)=0,"",IFERROR(INDEX(coa_CF,MATCH(IF((P1854-Q1854)=1,K1854,I1854),coa_Name,0)),"Operating"))</f>
        <v/>
      </c>
      <c r="S1854" s="95">
        <f>IF((P1854-Q1854)=1,L1854,IF((P1854-Q1854)=-1,-J1854,0))</f>
        <v/>
      </c>
      <c r="T1854" s="95">
        <f>IF((P1854-Q1854)=1,N1854,IF((P1854-Q1854)=-1,-M1854,0))</f>
        <v/>
      </c>
      <c r="U1854" s="101">
        <f>IF(AND(H1854=1,LedAcct&lt;&gt;""),IF(AND(E1854&gt;=LedFrom,E1854&lt;=LedTo,OR(I1854=LedAcct,K1854=LedAcct,AND(LedAcct=acctTax,M1854+N1854&lt;&gt;0))),E1854*10000+B1854,""),"")</f>
        <v/>
      </c>
    </row>
    <row r="1855">
      <c r="B1855" s="101" t="n">
        <v>1849</v>
      </c>
      <c r="C1855" s="58" t="inlineStr">
        <is>
          <t>Transaction</t>
        </is>
      </c>
      <c r="D1855" s="58">
        <f>IF(H1855=1,INDEX(tx_ID,1849)&amp;"","")</f>
        <v/>
      </c>
      <c r="E1855" s="94">
        <f>IF(H1855=1,INDEX(tx_Date,1849),"")</f>
        <v/>
      </c>
      <c r="F1855" s="58">
        <f>IF(H1855=1,INDEX(tx_Desc,1849)&amp;"","")</f>
        <v/>
      </c>
      <c r="G1855" s="58">
        <f>IF(H1855=1,IF(INDEX(tx_Cust,1849)&amp;""&lt;&gt;"",INDEX(tx_Cust,1849)&amp;"",INDEX(tx_Vend,1849)&amp;""),"")</f>
        <v/>
      </c>
      <c r="H1855" s="101">
        <f>IFERROR(N(INDEX(tx_Posted,1849)),0)</f>
        <v/>
      </c>
      <c r="I1855" s="58">
        <f>IF(H1855=1,INDEX(tx_DrAcct,1849)&amp;"","")</f>
        <v/>
      </c>
      <c r="J1855" s="95">
        <f>IF(H1855=1,INDEX(tx_DrAmt,1849),0)</f>
        <v/>
      </c>
      <c r="K1855" s="58">
        <f>IF(H1855=1,INDEX(tx_CrAcct,1849)&amp;"","")</f>
        <v/>
      </c>
      <c r="L1855" s="95">
        <f>IF(H1855=1,INDEX(tx_CrAmt,1849),0)</f>
        <v/>
      </c>
      <c r="M1855" s="95">
        <f>IF(H1855=1,INDEX(tx_TaxDr,1849),0)</f>
        <v/>
      </c>
      <c r="N1855" s="95">
        <f>IF(H1855=1,INDEX(tx_TaxCr,1849),0)</f>
        <v/>
      </c>
      <c r="O1855" s="101">
        <f>IF(H1855=1,IF(E1855&lt;FYStart,0,IF(E1855&gt;FYEnd,13,YEAR(E1855)*12+MONTH(E1855)-FYYM+1)),"")</f>
        <v/>
      </c>
      <c r="P1855" s="101">
        <f>IF(H1855=1,IF(IFERROR(INDEX(coa_CF,MATCH(I1855,coa_Name,0)),"")="Cash",1,0),0)</f>
        <v/>
      </c>
      <c r="Q1855" s="101">
        <f>IF(H1855=1,IF(IFERROR(INDEX(coa_CF,MATCH(K1855,coa_Name,0)),"")="Cash",1,0),0)</f>
        <v/>
      </c>
      <c r="R1855" s="58">
        <f>IF((P1855-Q1855)=0,"",IFERROR(INDEX(coa_CF,MATCH(IF((P1855-Q1855)=1,K1855,I1855),coa_Name,0)),"Operating"))</f>
        <v/>
      </c>
      <c r="S1855" s="95">
        <f>IF((P1855-Q1855)=1,L1855,IF((P1855-Q1855)=-1,-J1855,0))</f>
        <v/>
      </c>
      <c r="T1855" s="95">
        <f>IF((P1855-Q1855)=1,N1855,IF((P1855-Q1855)=-1,-M1855,0))</f>
        <v/>
      </c>
      <c r="U1855" s="101">
        <f>IF(AND(H1855=1,LedAcct&lt;&gt;""),IF(AND(E1855&gt;=LedFrom,E1855&lt;=LedTo,OR(I1855=LedAcct,K1855=LedAcct,AND(LedAcct=acctTax,M1855+N1855&lt;&gt;0))),E1855*10000+B1855,""),"")</f>
        <v/>
      </c>
    </row>
    <row r="1856">
      <c r="B1856" s="101" t="n">
        <v>1850</v>
      </c>
      <c r="C1856" s="58" t="inlineStr">
        <is>
          <t>Transaction</t>
        </is>
      </c>
      <c r="D1856" s="58">
        <f>IF(H1856=1,INDEX(tx_ID,1850)&amp;"","")</f>
        <v/>
      </c>
      <c r="E1856" s="94">
        <f>IF(H1856=1,INDEX(tx_Date,1850),"")</f>
        <v/>
      </c>
      <c r="F1856" s="58">
        <f>IF(H1856=1,INDEX(tx_Desc,1850)&amp;"","")</f>
        <v/>
      </c>
      <c r="G1856" s="58">
        <f>IF(H1856=1,IF(INDEX(tx_Cust,1850)&amp;""&lt;&gt;"",INDEX(tx_Cust,1850)&amp;"",INDEX(tx_Vend,1850)&amp;""),"")</f>
        <v/>
      </c>
      <c r="H1856" s="101">
        <f>IFERROR(N(INDEX(tx_Posted,1850)),0)</f>
        <v/>
      </c>
      <c r="I1856" s="58">
        <f>IF(H1856=1,INDEX(tx_DrAcct,1850)&amp;"","")</f>
        <v/>
      </c>
      <c r="J1856" s="95">
        <f>IF(H1856=1,INDEX(tx_DrAmt,1850),0)</f>
        <v/>
      </c>
      <c r="K1856" s="58">
        <f>IF(H1856=1,INDEX(tx_CrAcct,1850)&amp;"","")</f>
        <v/>
      </c>
      <c r="L1856" s="95">
        <f>IF(H1856=1,INDEX(tx_CrAmt,1850),0)</f>
        <v/>
      </c>
      <c r="M1856" s="95">
        <f>IF(H1856=1,INDEX(tx_TaxDr,1850),0)</f>
        <v/>
      </c>
      <c r="N1856" s="95">
        <f>IF(H1856=1,INDEX(tx_TaxCr,1850),0)</f>
        <v/>
      </c>
      <c r="O1856" s="101">
        <f>IF(H1856=1,IF(E1856&lt;FYStart,0,IF(E1856&gt;FYEnd,13,YEAR(E1856)*12+MONTH(E1856)-FYYM+1)),"")</f>
        <v/>
      </c>
      <c r="P1856" s="101">
        <f>IF(H1856=1,IF(IFERROR(INDEX(coa_CF,MATCH(I1856,coa_Name,0)),"")="Cash",1,0),0)</f>
        <v/>
      </c>
      <c r="Q1856" s="101">
        <f>IF(H1856=1,IF(IFERROR(INDEX(coa_CF,MATCH(K1856,coa_Name,0)),"")="Cash",1,0),0)</f>
        <v/>
      </c>
      <c r="R1856" s="58">
        <f>IF((P1856-Q1856)=0,"",IFERROR(INDEX(coa_CF,MATCH(IF((P1856-Q1856)=1,K1856,I1856),coa_Name,0)),"Operating"))</f>
        <v/>
      </c>
      <c r="S1856" s="95">
        <f>IF((P1856-Q1856)=1,L1856,IF((P1856-Q1856)=-1,-J1856,0))</f>
        <v/>
      </c>
      <c r="T1856" s="95">
        <f>IF((P1856-Q1856)=1,N1856,IF((P1856-Q1856)=-1,-M1856,0))</f>
        <v/>
      </c>
      <c r="U1856" s="101">
        <f>IF(AND(H1856=1,LedAcct&lt;&gt;""),IF(AND(E1856&gt;=LedFrom,E1856&lt;=LedTo,OR(I1856=LedAcct,K1856=LedAcct,AND(LedAcct=acctTax,M1856+N1856&lt;&gt;0))),E1856*10000+B1856,""),"")</f>
        <v/>
      </c>
    </row>
    <row r="1857">
      <c r="B1857" s="101" t="n">
        <v>1851</v>
      </c>
      <c r="C1857" s="58" t="inlineStr">
        <is>
          <t>Transaction</t>
        </is>
      </c>
      <c r="D1857" s="58">
        <f>IF(H1857=1,INDEX(tx_ID,1851)&amp;"","")</f>
        <v/>
      </c>
      <c r="E1857" s="94">
        <f>IF(H1857=1,INDEX(tx_Date,1851),"")</f>
        <v/>
      </c>
      <c r="F1857" s="58">
        <f>IF(H1857=1,INDEX(tx_Desc,1851)&amp;"","")</f>
        <v/>
      </c>
      <c r="G1857" s="58">
        <f>IF(H1857=1,IF(INDEX(tx_Cust,1851)&amp;""&lt;&gt;"",INDEX(tx_Cust,1851)&amp;"",INDEX(tx_Vend,1851)&amp;""),"")</f>
        <v/>
      </c>
      <c r="H1857" s="101">
        <f>IFERROR(N(INDEX(tx_Posted,1851)),0)</f>
        <v/>
      </c>
      <c r="I1857" s="58">
        <f>IF(H1857=1,INDEX(tx_DrAcct,1851)&amp;"","")</f>
        <v/>
      </c>
      <c r="J1857" s="95">
        <f>IF(H1857=1,INDEX(tx_DrAmt,1851),0)</f>
        <v/>
      </c>
      <c r="K1857" s="58">
        <f>IF(H1857=1,INDEX(tx_CrAcct,1851)&amp;"","")</f>
        <v/>
      </c>
      <c r="L1857" s="95">
        <f>IF(H1857=1,INDEX(tx_CrAmt,1851),0)</f>
        <v/>
      </c>
      <c r="M1857" s="95">
        <f>IF(H1857=1,INDEX(tx_TaxDr,1851),0)</f>
        <v/>
      </c>
      <c r="N1857" s="95">
        <f>IF(H1857=1,INDEX(tx_TaxCr,1851),0)</f>
        <v/>
      </c>
      <c r="O1857" s="101">
        <f>IF(H1857=1,IF(E1857&lt;FYStart,0,IF(E1857&gt;FYEnd,13,YEAR(E1857)*12+MONTH(E1857)-FYYM+1)),"")</f>
        <v/>
      </c>
      <c r="P1857" s="101">
        <f>IF(H1857=1,IF(IFERROR(INDEX(coa_CF,MATCH(I1857,coa_Name,0)),"")="Cash",1,0),0)</f>
        <v/>
      </c>
      <c r="Q1857" s="101">
        <f>IF(H1857=1,IF(IFERROR(INDEX(coa_CF,MATCH(K1857,coa_Name,0)),"")="Cash",1,0),0)</f>
        <v/>
      </c>
      <c r="R1857" s="58">
        <f>IF((P1857-Q1857)=0,"",IFERROR(INDEX(coa_CF,MATCH(IF((P1857-Q1857)=1,K1857,I1857),coa_Name,0)),"Operating"))</f>
        <v/>
      </c>
      <c r="S1857" s="95">
        <f>IF((P1857-Q1857)=1,L1857,IF((P1857-Q1857)=-1,-J1857,0))</f>
        <v/>
      </c>
      <c r="T1857" s="95">
        <f>IF((P1857-Q1857)=1,N1857,IF((P1857-Q1857)=-1,-M1857,0))</f>
        <v/>
      </c>
      <c r="U1857" s="101">
        <f>IF(AND(H1857=1,LedAcct&lt;&gt;""),IF(AND(E1857&gt;=LedFrom,E1857&lt;=LedTo,OR(I1857=LedAcct,K1857=LedAcct,AND(LedAcct=acctTax,M1857+N1857&lt;&gt;0))),E1857*10000+B1857,""),"")</f>
        <v/>
      </c>
    </row>
    <row r="1858">
      <c r="B1858" s="101" t="n">
        <v>1852</v>
      </c>
      <c r="C1858" s="58" t="inlineStr">
        <is>
          <t>Transaction</t>
        </is>
      </c>
      <c r="D1858" s="58">
        <f>IF(H1858=1,INDEX(tx_ID,1852)&amp;"","")</f>
        <v/>
      </c>
      <c r="E1858" s="94">
        <f>IF(H1858=1,INDEX(tx_Date,1852),"")</f>
        <v/>
      </c>
      <c r="F1858" s="58">
        <f>IF(H1858=1,INDEX(tx_Desc,1852)&amp;"","")</f>
        <v/>
      </c>
      <c r="G1858" s="58">
        <f>IF(H1858=1,IF(INDEX(tx_Cust,1852)&amp;""&lt;&gt;"",INDEX(tx_Cust,1852)&amp;"",INDEX(tx_Vend,1852)&amp;""),"")</f>
        <v/>
      </c>
      <c r="H1858" s="101">
        <f>IFERROR(N(INDEX(tx_Posted,1852)),0)</f>
        <v/>
      </c>
      <c r="I1858" s="58">
        <f>IF(H1858=1,INDEX(tx_DrAcct,1852)&amp;"","")</f>
        <v/>
      </c>
      <c r="J1858" s="95">
        <f>IF(H1858=1,INDEX(tx_DrAmt,1852),0)</f>
        <v/>
      </c>
      <c r="K1858" s="58">
        <f>IF(H1858=1,INDEX(tx_CrAcct,1852)&amp;"","")</f>
        <v/>
      </c>
      <c r="L1858" s="95">
        <f>IF(H1858=1,INDEX(tx_CrAmt,1852),0)</f>
        <v/>
      </c>
      <c r="M1858" s="95">
        <f>IF(H1858=1,INDEX(tx_TaxDr,1852),0)</f>
        <v/>
      </c>
      <c r="N1858" s="95">
        <f>IF(H1858=1,INDEX(tx_TaxCr,1852),0)</f>
        <v/>
      </c>
      <c r="O1858" s="101">
        <f>IF(H1858=1,IF(E1858&lt;FYStart,0,IF(E1858&gt;FYEnd,13,YEAR(E1858)*12+MONTH(E1858)-FYYM+1)),"")</f>
        <v/>
      </c>
      <c r="P1858" s="101">
        <f>IF(H1858=1,IF(IFERROR(INDEX(coa_CF,MATCH(I1858,coa_Name,0)),"")="Cash",1,0),0)</f>
        <v/>
      </c>
      <c r="Q1858" s="101">
        <f>IF(H1858=1,IF(IFERROR(INDEX(coa_CF,MATCH(K1858,coa_Name,0)),"")="Cash",1,0),0)</f>
        <v/>
      </c>
      <c r="R1858" s="58">
        <f>IF((P1858-Q1858)=0,"",IFERROR(INDEX(coa_CF,MATCH(IF((P1858-Q1858)=1,K1858,I1858),coa_Name,0)),"Operating"))</f>
        <v/>
      </c>
      <c r="S1858" s="95">
        <f>IF((P1858-Q1858)=1,L1858,IF((P1858-Q1858)=-1,-J1858,0))</f>
        <v/>
      </c>
      <c r="T1858" s="95">
        <f>IF((P1858-Q1858)=1,N1858,IF((P1858-Q1858)=-1,-M1858,0))</f>
        <v/>
      </c>
      <c r="U1858" s="101">
        <f>IF(AND(H1858=1,LedAcct&lt;&gt;""),IF(AND(E1858&gt;=LedFrom,E1858&lt;=LedTo,OR(I1858=LedAcct,K1858=LedAcct,AND(LedAcct=acctTax,M1858+N1858&lt;&gt;0))),E1858*10000+B1858,""),"")</f>
        <v/>
      </c>
    </row>
    <row r="1859">
      <c r="B1859" s="101" t="n">
        <v>1853</v>
      </c>
      <c r="C1859" s="58" t="inlineStr">
        <is>
          <t>Transaction</t>
        </is>
      </c>
      <c r="D1859" s="58">
        <f>IF(H1859=1,INDEX(tx_ID,1853)&amp;"","")</f>
        <v/>
      </c>
      <c r="E1859" s="94">
        <f>IF(H1859=1,INDEX(tx_Date,1853),"")</f>
        <v/>
      </c>
      <c r="F1859" s="58">
        <f>IF(H1859=1,INDEX(tx_Desc,1853)&amp;"","")</f>
        <v/>
      </c>
      <c r="G1859" s="58">
        <f>IF(H1859=1,IF(INDEX(tx_Cust,1853)&amp;""&lt;&gt;"",INDEX(tx_Cust,1853)&amp;"",INDEX(tx_Vend,1853)&amp;""),"")</f>
        <v/>
      </c>
      <c r="H1859" s="101">
        <f>IFERROR(N(INDEX(tx_Posted,1853)),0)</f>
        <v/>
      </c>
      <c r="I1859" s="58">
        <f>IF(H1859=1,INDEX(tx_DrAcct,1853)&amp;"","")</f>
        <v/>
      </c>
      <c r="J1859" s="95">
        <f>IF(H1859=1,INDEX(tx_DrAmt,1853),0)</f>
        <v/>
      </c>
      <c r="K1859" s="58">
        <f>IF(H1859=1,INDEX(tx_CrAcct,1853)&amp;"","")</f>
        <v/>
      </c>
      <c r="L1859" s="95">
        <f>IF(H1859=1,INDEX(tx_CrAmt,1853),0)</f>
        <v/>
      </c>
      <c r="M1859" s="95">
        <f>IF(H1859=1,INDEX(tx_TaxDr,1853),0)</f>
        <v/>
      </c>
      <c r="N1859" s="95">
        <f>IF(H1859=1,INDEX(tx_TaxCr,1853),0)</f>
        <v/>
      </c>
      <c r="O1859" s="101">
        <f>IF(H1859=1,IF(E1859&lt;FYStart,0,IF(E1859&gt;FYEnd,13,YEAR(E1859)*12+MONTH(E1859)-FYYM+1)),"")</f>
        <v/>
      </c>
      <c r="P1859" s="101">
        <f>IF(H1859=1,IF(IFERROR(INDEX(coa_CF,MATCH(I1859,coa_Name,0)),"")="Cash",1,0),0)</f>
        <v/>
      </c>
      <c r="Q1859" s="101">
        <f>IF(H1859=1,IF(IFERROR(INDEX(coa_CF,MATCH(K1859,coa_Name,0)),"")="Cash",1,0),0)</f>
        <v/>
      </c>
      <c r="R1859" s="58">
        <f>IF((P1859-Q1859)=0,"",IFERROR(INDEX(coa_CF,MATCH(IF((P1859-Q1859)=1,K1859,I1859),coa_Name,0)),"Operating"))</f>
        <v/>
      </c>
      <c r="S1859" s="95">
        <f>IF((P1859-Q1859)=1,L1859,IF((P1859-Q1859)=-1,-J1859,0))</f>
        <v/>
      </c>
      <c r="T1859" s="95">
        <f>IF((P1859-Q1859)=1,N1859,IF((P1859-Q1859)=-1,-M1859,0))</f>
        <v/>
      </c>
      <c r="U1859" s="101">
        <f>IF(AND(H1859=1,LedAcct&lt;&gt;""),IF(AND(E1859&gt;=LedFrom,E1859&lt;=LedTo,OR(I1859=LedAcct,K1859=LedAcct,AND(LedAcct=acctTax,M1859+N1859&lt;&gt;0))),E1859*10000+B1859,""),"")</f>
        <v/>
      </c>
    </row>
    <row r="1860">
      <c r="B1860" s="101" t="n">
        <v>1854</v>
      </c>
      <c r="C1860" s="58" t="inlineStr">
        <is>
          <t>Transaction</t>
        </is>
      </c>
      <c r="D1860" s="58">
        <f>IF(H1860=1,INDEX(tx_ID,1854)&amp;"","")</f>
        <v/>
      </c>
      <c r="E1860" s="94">
        <f>IF(H1860=1,INDEX(tx_Date,1854),"")</f>
        <v/>
      </c>
      <c r="F1860" s="58">
        <f>IF(H1860=1,INDEX(tx_Desc,1854)&amp;"","")</f>
        <v/>
      </c>
      <c r="G1860" s="58">
        <f>IF(H1860=1,IF(INDEX(tx_Cust,1854)&amp;""&lt;&gt;"",INDEX(tx_Cust,1854)&amp;"",INDEX(tx_Vend,1854)&amp;""),"")</f>
        <v/>
      </c>
      <c r="H1860" s="101">
        <f>IFERROR(N(INDEX(tx_Posted,1854)),0)</f>
        <v/>
      </c>
      <c r="I1860" s="58">
        <f>IF(H1860=1,INDEX(tx_DrAcct,1854)&amp;"","")</f>
        <v/>
      </c>
      <c r="J1860" s="95">
        <f>IF(H1860=1,INDEX(tx_DrAmt,1854),0)</f>
        <v/>
      </c>
      <c r="K1860" s="58">
        <f>IF(H1860=1,INDEX(tx_CrAcct,1854)&amp;"","")</f>
        <v/>
      </c>
      <c r="L1860" s="95">
        <f>IF(H1860=1,INDEX(tx_CrAmt,1854),0)</f>
        <v/>
      </c>
      <c r="M1860" s="95">
        <f>IF(H1860=1,INDEX(tx_TaxDr,1854),0)</f>
        <v/>
      </c>
      <c r="N1860" s="95">
        <f>IF(H1860=1,INDEX(tx_TaxCr,1854),0)</f>
        <v/>
      </c>
      <c r="O1860" s="101">
        <f>IF(H1860=1,IF(E1860&lt;FYStart,0,IF(E1860&gt;FYEnd,13,YEAR(E1860)*12+MONTH(E1860)-FYYM+1)),"")</f>
        <v/>
      </c>
      <c r="P1860" s="101">
        <f>IF(H1860=1,IF(IFERROR(INDEX(coa_CF,MATCH(I1860,coa_Name,0)),"")="Cash",1,0),0)</f>
        <v/>
      </c>
      <c r="Q1860" s="101">
        <f>IF(H1860=1,IF(IFERROR(INDEX(coa_CF,MATCH(K1860,coa_Name,0)),"")="Cash",1,0),0)</f>
        <v/>
      </c>
      <c r="R1860" s="58">
        <f>IF((P1860-Q1860)=0,"",IFERROR(INDEX(coa_CF,MATCH(IF((P1860-Q1860)=1,K1860,I1860),coa_Name,0)),"Operating"))</f>
        <v/>
      </c>
      <c r="S1860" s="95">
        <f>IF((P1860-Q1860)=1,L1860,IF((P1860-Q1860)=-1,-J1860,0))</f>
        <v/>
      </c>
      <c r="T1860" s="95">
        <f>IF((P1860-Q1860)=1,N1860,IF((P1860-Q1860)=-1,-M1860,0))</f>
        <v/>
      </c>
      <c r="U1860" s="101">
        <f>IF(AND(H1860=1,LedAcct&lt;&gt;""),IF(AND(E1860&gt;=LedFrom,E1860&lt;=LedTo,OR(I1860=LedAcct,K1860=LedAcct,AND(LedAcct=acctTax,M1860+N1860&lt;&gt;0))),E1860*10000+B1860,""),"")</f>
        <v/>
      </c>
    </row>
    <row r="1861">
      <c r="B1861" s="101" t="n">
        <v>1855</v>
      </c>
      <c r="C1861" s="58" t="inlineStr">
        <is>
          <t>Transaction</t>
        </is>
      </c>
      <c r="D1861" s="58">
        <f>IF(H1861=1,INDEX(tx_ID,1855)&amp;"","")</f>
        <v/>
      </c>
      <c r="E1861" s="94">
        <f>IF(H1861=1,INDEX(tx_Date,1855),"")</f>
        <v/>
      </c>
      <c r="F1861" s="58">
        <f>IF(H1861=1,INDEX(tx_Desc,1855)&amp;"","")</f>
        <v/>
      </c>
      <c r="G1861" s="58">
        <f>IF(H1861=1,IF(INDEX(tx_Cust,1855)&amp;""&lt;&gt;"",INDEX(tx_Cust,1855)&amp;"",INDEX(tx_Vend,1855)&amp;""),"")</f>
        <v/>
      </c>
      <c r="H1861" s="101">
        <f>IFERROR(N(INDEX(tx_Posted,1855)),0)</f>
        <v/>
      </c>
      <c r="I1861" s="58">
        <f>IF(H1861=1,INDEX(tx_DrAcct,1855)&amp;"","")</f>
        <v/>
      </c>
      <c r="J1861" s="95">
        <f>IF(H1861=1,INDEX(tx_DrAmt,1855),0)</f>
        <v/>
      </c>
      <c r="K1861" s="58">
        <f>IF(H1861=1,INDEX(tx_CrAcct,1855)&amp;"","")</f>
        <v/>
      </c>
      <c r="L1861" s="95">
        <f>IF(H1861=1,INDEX(tx_CrAmt,1855),0)</f>
        <v/>
      </c>
      <c r="M1861" s="95">
        <f>IF(H1861=1,INDEX(tx_TaxDr,1855),0)</f>
        <v/>
      </c>
      <c r="N1861" s="95">
        <f>IF(H1861=1,INDEX(tx_TaxCr,1855),0)</f>
        <v/>
      </c>
      <c r="O1861" s="101">
        <f>IF(H1861=1,IF(E1861&lt;FYStart,0,IF(E1861&gt;FYEnd,13,YEAR(E1861)*12+MONTH(E1861)-FYYM+1)),"")</f>
        <v/>
      </c>
      <c r="P1861" s="101">
        <f>IF(H1861=1,IF(IFERROR(INDEX(coa_CF,MATCH(I1861,coa_Name,0)),"")="Cash",1,0),0)</f>
        <v/>
      </c>
      <c r="Q1861" s="101">
        <f>IF(H1861=1,IF(IFERROR(INDEX(coa_CF,MATCH(K1861,coa_Name,0)),"")="Cash",1,0),0)</f>
        <v/>
      </c>
      <c r="R1861" s="58">
        <f>IF((P1861-Q1861)=0,"",IFERROR(INDEX(coa_CF,MATCH(IF((P1861-Q1861)=1,K1861,I1861),coa_Name,0)),"Operating"))</f>
        <v/>
      </c>
      <c r="S1861" s="95">
        <f>IF((P1861-Q1861)=1,L1861,IF((P1861-Q1861)=-1,-J1861,0))</f>
        <v/>
      </c>
      <c r="T1861" s="95">
        <f>IF((P1861-Q1861)=1,N1861,IF((P1861-Q1861)=-1,-M1861,0))</f>
        <v/>
      </c>
      <c r="U1861" s="101">
        <f>IF(AND(H1861=1,LedAcct&lt;&gt;""),IF(AND(E1861&gt;=LedFrom,E1861&lt;=LedTo,OR(I1861=LedAcct,K1861=LedAcct,AND(LedAcct=acctTax,M1861+N1861&lt;&gt;0))),E1861*10000+B1861,""),"")</f>
        <v/>
      </c>
    </row>
    <row r="1862">
      <c r="B1862" s="101" t="n">
        <v>1856</v>
      </c>
      <c r="C1862" s="58" t="inlineStr">
        <is>
          <t>Transaction</t>
        </is>
      </c>
      <c r="D1862" s="58">
        <f>IF(H1862=1,INDEX(tx_ID,1856)&amp;"","")</f>
        <v/>
      </c>
      <c r="E1862" s="94">
        <f>IF(H1862=1,INDEX(tx_Date,1856),"")</f>
        <v/>
      </c>
      <c r="F1862" s="58">
        <f>IF(H1862=1,INDEX(tx_Desc,1856)&amp;"","")</f>
        <v/>
      </c>
      <c r="G1862" s="58">
        <f>IF(H1862=1,IF(INDEX(tx_Cust,1856)&amp;""&lt;&gt;"",INDEX(tx_Cust,1856)&amp;"",INDEX(tx_Vend,1856)&amp;""),"")</f>
        <v/>
      </c>
      <c r="H1862" s="101">
        <f>IFERROR(N(INDEX(tx_Posted,1856)),0)</f>
        <v/>
      </c>
      <c r="I1862" s="58">
        <f>IF(H1862=1,INDEX(tx_DrAcct,1856)&amp;"","")</f>
        <v/>
      </c>
      <c r="J1862" s="95">
        <f>IF(H1862=1,INDEX(tx_DrAmt,1856),0)</f>
        <v/>
      </c>
      <c r="K1862" s="58">
        <f>IF(H1862=1,INDEX(tx_CrAcct,1856)&amp;"","")</f>
        <v/>
      </c>
      <c r="L1862" s="95">
        <f>IF(H1862=1,INDEX(tx_CrAmt,1856),0)</f>
        <v/>
      </c>
      <c r="M1862" s="95">
        <f>IF(H1862=1,INDEX(tx_TaxDr,1856),0)</f>
        <v/>
      </c>
      <c r="N1862" s="95">
        <f>IF(H1862=1,INDEX(tx_TaxCr,1856),0)</f>
        <v/>
      </c>
      <c r="O1862" s="101">
        <f>IF(H1862=1,IF(E1862&lt;FYStart,0,IF(E1862&gt;FYEnd,13,YEAR(E1862)*12+MONTH(E1862)-FYYM+1)),"")</f>
        <v/>
      </c>
      <c r="P1862" s="101">
        <f>IF(H1862=1,IF(IFERROR(INDEX(coa_CF,MATCH(I1862,coa_Name,0)),"")="Cash",1,0),0)</f>
        <v/>
      </c>
      <c r="Q1862" s="101">
        <f>IF(H1862=1,IF(IFERROR(INDEX(coa_CF,MATCH(K1862,coa_Name,0)),"")="Cash",1,0),0)</f>
        <v/>
      </c>
      <c r="R1862" s="58">
        <f>IF((P1862-Q1862)=0,"",IFERROR(INDEX(coa_CF,MATCH(IF((P1862-Q1862)=1,K1862,I1862),coa_Name,0)),"Operating"))</f>
        <v/>
      </c>
      <c r="S1862" s="95">
        <f>IF((P1862-Q1862)=1,L1862,IF((P1862-Q1862)=-1,-J1862,0))</f>
        <v/>
      </c>
      <c r="T1862" s="95">
        <f>IF((P1862-Q1862)=1,N1862,IF((P1862-Q1862)=-1,-M1862,0))</f>
        <v/>
      </c>
      <c r="U1862" s="101">
        <f>IF(AND(H1862=1,LedAcct&lt;&gt;""),IF(AND(E1862&gt;=LedFrom,E1862&lt;=LedTo,OR(I1862=LedAcct,K1862=LedAcct,AND(LedAcct=acctTax,M1862+N1862&lt;&gt;0))),E1862*10000+B1862,""),"")</f>
        <v/>
      </c>
    </row>
    <row r="1863">
      <c r="B1863" s="101" t="n">
        <v>1857</v>
      </c>
      <c r="C1863" s="58" t="inlineStr">
        <is>
          <t>Transaction</t>
        </is>
      </c>
      <c r="D1863" s="58">
        <f>IF(H1863=1,INDEX(tx_ID,1857)&amp;"","")</f>
        <v/>
      </c>
      <c r="E1863" s="94">
        <f>IF(H1863=1,INDEX(tx_Date,1857),"")</f>
        <v/>
      </c>
      <c r="F1863" s="58">
        <f>IF(H1863=1,INDEX(tx_Desc,1857)&amp;"","")</f>
        <v/>
      </c>
      <c r="G1863" s="58">
        <f>IF(H1863=1,IF(INDEX(tx_Cust,1857)&amp;""&lt;&gt;"",INDEX(tx_Cust,1857)&amp;"",INDEX(tx_Vend,1857)&amp;""),"")</f>
        <v/>
      </c>
      <c r="H1863" s="101">
        <f>IFERROR(N(INDEX(tx_Posted,1857)),0)</f>
        <v/>
      </c>
      <c r="I1863" s="58">
        <f>IF(H1863=1,INDEX(tx_DrAcct,1857)&amp;"","")</f>
        <v/>
      </c>
      <c r="J1863" s="95">
        <f>IF(H1863=1,INDEX(tx_DrAmt,1857),0)</f>
        <v/>
      </c>
      <c r="K1863" s="58">
        <f>IF(H1863=1,INDEX(tx_CrAcct,1857)&amp;"","")</f>
        <v/>
      </c>
      <c r="L1863" s="95">
        <f>IF(H1863=1,INDEX(tx_CrAmt,1857),0)</f>
        <v/>
      </c>
      <c r="M1863" s="95">
        <f>IF(H1863=1,INDEX(tx_TaxDr,1857),0)</f>
        <v/>
      </c>
      <c r="N1863" s="95">
        <f>IF(H1863=1,INDEX(tx_TaxCr,1857),0)</f>
        <v/>
      </c>
      <c r="O1863" s="101">
        <f>IF(H1863=1,IF(E1863&lt;FYStart,0,IF(E1863&gt;FYEnd,13,YEAR(E1863)*12+MONTH(E1863)-FYYM+1)),"")</f>
        <v/>
      </c>
      <c r="P1863" s="101">
        <f>IF(H1863=1,IF(IFERROR(INDEX(coa_CF,MATCH(I1863,coa_Name,0)),"")="Cash",1,0),0)</f>
        <v/>
      </c>
      <c r="Q1863" s="101">
        <f>IF(H1863=1,IF(IFERROR(INDEX(coa_CF,MATCH(K1863,coa_Name,0)),"")="Cash",1,0),0)</f>
        <v/>
      </c>
      <c r="R1863" s="58">
        <f>IF((P1863-Q1863)=0,"",IFERROR(INDEX(coa_CF,MATCH(IF((P1863-Q1863)=1,K1863,I1863),coa_Name,0)),"Operating"))</f>
        <v/>
      </c>
      <c r="S1863" s="95">
        <f>IF((P1863-Q1863)=1,L1863,IF((P1863-Q1863)=-1,-J1863,0))</f>
        <v/>
      </c>
      <c r="T1863" s="95">
        <f>IF((P1863-Q1863)=1,N1863,IF((P1863-Q1863)=-1,-M1863,0))</f>
        <v/>
      </c>
      <c r="U1863" s="101">
        <f>IF(AND(H1863=1,LedAcct&lt;&gt;""),IF(AND(E1863&gt;=LedFrom,E1863&lt;=LedTo,OR(I1863=LedAcct,K1863=LedAcct,AND(LedAcct=acctTax,M1863+N1863&lt;&gt;0))),E1863*10000+B1863,""),"")</f>
        <v/>
      </c>
    </row>
    <row r="1864">
      <c r="B1864" s="101" t="n">
        <v>1858</v>
      </c>
      <c r="C1864" s="58" t="inlineStr">
        <is>
          <t>Transaction</t>
        </is>
      </c>
      <c r="D1864" s="58">
        <f>IF(H1864=1,INDEX(tx_ID,1858)&amp;"","")</f>
        <v/>
      </c>
      <c r="E1864" s="94">
        <f>IF(H1864=1,INDEX(tx_Date,1858),"")</f>
        <v/>
      </c>
      <c r="F1864" s="58">
        <f>IF(H1864=1,INDEX(tx_Desc,1858)&amp;"","")</f>
        <v/>
      </c>
      <c r="G1864" s="58">
        <f>IF(H1864=1,IF(INDEX(tx_Cust,1858)&amp;""&lt;&gt;"",INDEX(tx_Cust,1858)&amp;"",INDEX(tx_Vend,1858)&amp;""),"")</f>
        <v/>
      </c>
      <c r="H1864" s="101">
        <f>IFERROR(N(INDEX(tx_Posted,1858)),0)</f>
        <v/>
      </c>
      <c r="I1864" s="58">
        <f>IF(H1864=1,INDEX(tx_DrAcct,1858)&amp;"","")</f>
        <v/>
      </c>
      <c r="J1864" s="95">
        <f>IF(H1864=1,INDEX(tx_DrAmt,1858),0)</f>
        <v/>
      </c>
      <c r="K1864" s="58">
        <f>IF(H1864=1,INDEX(tx_CrAcct,1858)&amp;"","")</f>
        <v/>
      </c>
      <c r="L1864" s="95">
        <f>IF(H1864=1,INDEX(tx_CrAmt,1858),0)</f>
        <v/>
      </c>
      <c r="M1864" s="95">
        <f>IF(H1864=1,INDEX(tx_TaxDr,1858),0)</f>
        <v/>
      </c>
      <c r="N1864" s="95">
        <f>IF(H1864=1,INDEX(tx_TaxCr,1858),0)</f>
        <v/>
      </c>
      <c r="O1864" s="101">
        <f>IF(H1864=1,IF(E1864&lt;FYStart,0,IF(E1864&gt;FYEnd,13,YEAR(E1864)*12+MONTH(E1864)-FYYM+1)),"")</f>
        <v/>
      </c>
      <c r="P1864" s="101">
        <f>IF(H1864=1,IF(IFERROR(INDEX(coa_CF,MATCH(I1864,coa_Name,0)),"")="Cash",1,0),0)</f>
        <v/>
      </c>
      <c r="Q1864" s="101">
        <f>IF(H1864=1,IF(IFERROR(INDEX(coa_CF,MATCH(K1864,coa_Name,0)),"")="Cash",1,0),0)</f>
        <v/>
      </c>
      <c r="R1864" s="58">
        <f>IF((P1864-Q1864)=0,"",IFERROR(INDEX(coa_CF,MATCH(IF((P1864-Q1864)=1,K1864,I1864),coa_Name,0)),"Operating"))</f>
        <v/>
      </c>
      <c r="S1864" s="95">
        <f>IF((P1864-Q1864)=1,L1864,IF((P1864-Q1864)=-1,-J1864,0))</f>
        <v/>
      </c>
      <c r="T1864" s="95">
        <f>IF((P1864-Q1864)=1,N1864,IF((P1864-Q1864)=-1,-M1864,0))</f>
        <v/>
      </c>
      <c r="U1864" s="101">
        <f>IF(AND(H1864=1,LedAcct&lt;&gt;""),IF(AND(E1864&gt;=LedFrom,E1864&lt;=LedTo,OR(I1864=LedAcct,K1864=LedAcct,AND(LedAcct=acctTax,M1864+N1864&lt;&gt;0))),E1864*10000+B1864,""),"")</f>
        <v/>
      </c>
    </row>
    <row r="1865">
      <c r="B1865" s="101" t="n">
        <v>1859</v>
      </c>
      <c r="C1865" s="58" t="inlineStr">
        <is>
          <t>Transaction</t>
        </is>
      </c>
      <c r="D1865" s="58">
        <f>IF(H1865=1,INDEX(tx_ID,1859)&amp;"","")</f>
        <v/>
      </c>
      <c r="E1865" s="94">
        <f>IF(H1865=1,INDEX(tx_Date,1859),"")</f>
        <v/>
      </c>
      <c r="F1865" s="58">
        <f>IF(H1865=1,INDEX(tx_Desc,1859)&amp;"","")</f>
        <v/>
      </c>
      <c r="G1865" s="58">
        <f>IF(H1865=1,IF(INDEX(tx_Cust,1859)&amp;""&lt;&gt;"",INDEX(tx_Cust,1859)&amp;"",INDEX(tx_Vend,1859)&amp;""),"")</f>
        <v/>
      </c>
      <c r="H1865" s="101">
        <f>IFERROR(N(INDEX(tx_Posted,1859)),0)</f>
        <v/>
      </c>
      <c r="I1865" s="58">
        <f>IF(H1865=1,INDEX(tx_DrAcct,1859)&amp;"","")</f>
        <v/>
      </c>
      <c r="J1865" s="95">
        <f>IF(H1865=1,INDEX(tx_DrAmt,1859),0)</f>
        <v/>
      </c>
      <c r="K1865" s="58">
        <f>IF(H1865=1,INDEX(tx_CrAcct,1859)&amp;"","")</f>
        <v/>
      </c>
      <c r="L1865" s="95">
        <f>IF(H1865=1,INDEX(tx_CrAmt,1859),0)</f>
        <v/>
      </c>
      <c r="M1865" s="95">
        <f>IF(H1865=1,INDEX(tx_TaxDr,1859),0)</f>
        <v/>
      </c>
      <c r="N1865" s="95">
        <f>IF(H1865=1,INDEX(tx_TaxCr,1859),0)</f>
        <v/>
      </c>
      <c r="O1865" s="101">
        <f>IF(H1865=1,IF(E1865&lt;FYStart,0,IF(E1865&gt;FYEnd,13,YEAR(E1865)*12+MONTH(E1865)-FYYM+1)),"")</f>
        <v/>
      </c>
      <c r="P1865" s="101">
        <f>IF(H1865=1,IF(IFERROR(INDEX(coa_CF,MATCH(I1865,coa_Name,0)),"")="Cash",1,0),0)</f>
        <v/>
      </c>
      <c r="Q1865" s="101">
        <f>IF(H1865=1,IF(IFERROR(INDEX(coa_CF,MATCH(K1865,coa_Name,0)),"")="Cash",1,0),0)</f>
        <v/>
      </c>
      <c r="R1865" s="58">
        <f>IF((P1865-Q1865)=0,"",IFERROR(INDEX(coa_CF,MATCH(IF((P1865-Q1865)=1,K1865,I1865),coa_Name,0)),"Operating"))</f>
        <v/>
      </c>
      <c r="S1865" s="95">
        <f>IF((P1865-Q1865)=1,L1865,IF((P1865-Q1865)=-1,-J1865,0))</f>
        <v/>
      </c>
      <c r="T1865" s="95">
        <f>IF((P1865-Q1865)=1,N1865,IF((P1865-Q1865)=-1,-M1865,0))</f>
        <v/>
      </c>
      <c r="U1865" s="101">
        <f>IF(AND(H1865=1,LedAcct&lt;&gt;""),IF(AND(E1865&gt;=LedFrom,E1865&lt;=LedTo,OR(I1865=LedAcct,K1865=LedAcct,AND(LedAcct=acctTax,M1865+N1865&lt;&gt;0))),E1865*10000+B1865,""),"")</f>
        <v/>
      </c>
    </row>
    <row r="1866">
      <c r="B1866" s="101" t="n">
        <v>1860</v>
      </c>
      <c r="C1866" s="58" t="inlineStr">
        <is>
          <t>Transaction</t>
        </is>
      </c>
      <c r="D1866" s="58">
        <f>IF(H1866=1,INDEX(tx_ID,1860)&amp;"","")</f>
        <v/>
      </c>
      <c r="E1866" s="94">
        <f>IF(H1866=1,INDEX(tx_Date,1860),"")</f>
        <v/>
      </c>
      <c r="F1866" s="58">
        <f>IF(H1866=1,INDEX(tx_Desc,1860)&amp;"","")</f>
        <v/>
      </c>
      <c r="G1866" s="58">
        <f>IF(H1866=1,IF(INDEX(tx_Cust,1860)&amp;""&lt;&gt;"",INDEX(tx_Cust,1860)&amp;"",INDEX(tx_Vend,1860)&amp;""),"")</f>
        <v/>
      </c>
      <c r="H1866" s="101">
        <f>IFERROR(N(INDEX(tx_Posted,1860)),0)</f>
        <v/>
      </c>
      <c r="I1866" s="58">
        <f>IF(H1866=1,INDEX(tx_DrAcct,1860)&amp;"","")</f>
        <v/>
      </c>
      <c r="J1866" s="95">
        <f>IF(H1866=1,INDEX(tx_DrAmt,1860),0)</f>
        <v/>
      </c>
      <c r="K1866" s="58">
        <f>IF(H1866=1,INDEX(tx_CrAcct,1860)&amp;"","")</f>
        <v/>
      </c>
      <c r="L1866" s="95">
        <f>IF(H1866=1,INDEX(tx_CrAmt,1860),0)</f>
        <v/>
      </c>
      <c r="M1866" s="95">
        <f>IF(H1866=1,INDEX(tx_TaxDr,1860),0)</f>
        <v/>
      </c>
      <c r="N1866" s="95">
        <f>IF(H1866=1,INDEX(tx_TaxCr,1860),0)</f>
        <v/>
      </c>
      <c r="O1866" s="101">
        <f>IF(H1866=1,IF(E1866&lt;FYStart,0,IF(E1866&gt;FYEnd,13,YEAR(E1866)*12+MONTH(E1866)-FYYM+1)),"")</f>
        <v/>
      </c>
      <c r="P1866" s="101">
        <f>IF(H1866=1,IF(IFERROR(INDEX(coa_CF,MATCH(I1866,coa_Name,0)),"")="Cash",1,0),0)</f>
        <v/>
      </c>
      <c r="Q1866" s="101">
        <f>IF(H1866=1,IF(IFERROR(INDEX(coa_CF,MATCH(K1866,coa_Name,0)),"")="Cash",1,0),0)</f>
        <v/>
      </c>
      <c r="R1866" s="58">
        <f>IF((P1866-Q1866)=0,"",IFERROR(INDEX(coa_CF,MATCH(IF((P1866-Q1866)=1,K1866,I1866),coa_Name,0)),"Operating"))</f>
        <v/>
      </c>
      <c r="S1866" s="95">
        <f>IF((P1866-Q1866)=1,L1866,IF((P1866-Q1866)=-1,-J1866,0))</f>
        <v/>
      </c>
      <c r="T1866" s="95">
        <f>IF((P1866-Q1866)=1,N1866,IF((P1866-Q1866)=-1,-M1866,0))</f>
        <v/>
      </c>
      <c r="U1866" s="101">
        <f>IF(AND(H1866=1,LedAcct&lt;&gt;""),IF(AND(E1866&gt;=LedFrom,E1866&lt;=LedTo,OR(I1866=LedAcct,K1866=LedAcct,AND(LedAcct=acctTax,M1866+N1866&lt;&gt;0))),E1866*10000+B1866,""),"")</f>
        <v/>
      </c>
    </row>
    <row r="1867">
      <c r="B1867" s="101" t="n">
        <v>1861</v>
      </c>
      <c r="C1867" s="58" t="inlineStr">
        <is>
          <t>Transaction</t>
        </is>
      </c>
      <c r="D1867" s="58">
        <f>IF(H1867=1,INDEX(tx_ID,1861)&amp;"","")</f>
        <v/>
      </c>
      <c r="E1867" s="94">
        <f>IF(H1867=1,INDEX(tx_Date,1861),"")</f>
        <v/>
      </c>
      <c r="F1867" s="58">
        <f>IF(H1867=1,INDEX(tx_Desc,1861)&amp;"","")</f>
        <v/>
      </c>
      <c r="G1867" s="58">
        <f>IF(H1867=1,IF(INDEX(tx_Cust,1861)&amp;""&lt;&gt;"",INDEX(tx_Cust,1861)&amp;"",INDEX(tx_Vend,1861)&amp;""),"")</f>
        <v/>
      </c>
      <c r="H1867" s="101">
        <f>IFERROR(N(INDEX(tx_Posted,1861)),0)</f>
        <v/>
      </c>
      <c r="I1867" s="58">
        <f>IF(H1867=1,INDEX(tx_DrAcct,1861)&amp;"","")</f>
        <v/>
      </c>
      <c r="J1867" s="95">
        <f>IF(H1867=1,INDEX(tx_DrAmt,1861),0)</f>
        <v/>
      </c>
      <c r="K1867" s="58">
        <f>IF(H1867=1,INDEX(tx_CrAcct,1861)&amp;"","")</f>
        <v/>
      </c>
      <c r="L1867" s="95">
        <f>IF(H1867=1,INDEX(tx_CrAmt,1861),0)</f>
        <v/>
      </c>
      <c r="M1867" s="95">
        <f>IF(H1867=1,INDEX(tx_TaxDr,1861),0)</f>
        <v/>
      </c>
      <c r="N1867" s="95">
        <f>IF(H1867=1,INDEX(tx_TaxCr,1861),0)</f>
        <v/>
      </c>
      <c r="O1867" s="101">
        <f>IF(H1867=1,IF(E1867&lt;FYStart,0,IF(E1867&gt;FYEnd,13,YEAR(E1867)*12+MONTH(E1867)-FYYM+1)),"")</f>
        <v/>
      </c>
      <c r="P1867" s="101">
        <f>IF(H1867=1,IF(IFERROR(INDEX(coa_CF,MATCH(I1867,coa_Name,0)),"")="Cash",1,0),0)</f>
        <v/>
      </c>
      <c r="Q1867" s="101">
        <f>IF(H1867=1,IF(IFERROR(INDEX(coa_CF,MATCH(K1867,coa_Name,0)),"")="Cash",1,0),0)</f>
        <v/>
      </c>
      <c r="R1867" s="58">
        <f>IF((P1867-Q1867)=0,"",IFERROR(INDEX(coa_CF,MATCH(IF((P1867-Q1867)=1,K1867,I1867),coa_Name,0)),"Operating"))</f>
        <v/>
      </c>
      <c r="S1867" s="95">
        <f>IF((P1867-Q1867)=1,L1867,IF((P1867-Q1867)=-1,-J1867,0))</f>
        <v/>
      </c>
      <c r="T1867" s="95">
        <f>IF((P1867-Q1867)=1,N1867,IF((P1867-Q1867)=-1,-M1867,0))</f>
        <v/>
      </c>
      <c r="U1867" s="101">
        <f>IF(AND(H1867=1,LedAcct&lt;&gt;""),IF(AND(E1867&gt;=LedFrom,E1867&lt;=LedTo,OR(I1867=LedAcct,K1867=LedAcct,AND(LedAcct=acctTax,M1867+N1867&lt;&gt;0))),E1867*10000+B1867,""),"")</f>
        <v/>
      </c>
    </row>
    <row r="1868">
      <c r="B1868" s="101" t="n">
        <v>1862</v>
      </c>
      <c r="C1868" s="58" t="inlineStr">
        <is>
          <t>Transaction</t>
        </is>
      </c>
      <c r="D1868" s="58">
        <f>IF(H1868=1,INDEX(tx_ID,1862)&amp;"","")</f>
        <v/>
      </c>
      <c r="E1868" s="94">
        <f>IF(H1868=1,INDEX(tx_Date,1862),"")</f>
        <v/>
      </c>
      <c r="F1868" s="58">
        <f>IF(H1868=1,INDEX(tx_Desc,1862)&amp;"","")</f>
        <v/>
      </c>
      <c r="G1868" s="58">
        <f>IF(H1868=1,IF(INDEX(tx_Cust,1862)&amp;""&lt;&gt;"",INDEX(tx_Cust,1862)&amp;"",INDEX(tx_Vend,1862)&amp;""),"")</f>
        <v/>
      </c>
      <c r="H1868" s="101">
        <f>IFERROR(N(INDEX(tx_Posted,1862)),0)</f>
        <v/>
      </c>
      <c r="I1868" s="58">
        <f>IF(H1868=1,INDEX(tx_DrAcct,1862)&amp;"","")</f>
        <v/>
      </c>
      <c r="J1868" s="95">
        <f>IF(H1868=1,INDEX(tx_DrAmt,1862),0)</f>
        <v/>
      </c>
      <c r="K1868" s="58">
        <f>IF(H1868=1,INDEX(tx_CrAcct,1862)&amp;"","")</f>
        <v/>
      </c>
      <c r="L1868" s="95">
        <f>IF(H1868=1,INDEX(tx_CrAmt,1862),0)</f>
        <v/>
      </c>
      <c r="M1868" s="95">
        <f>IF(H1868=1,INDEX(tx_TaxDr,1862),0)</f>
        <v/>
      </c>
      <c r="N1868" s="95">
        <f>IF(H1868=1,INDEX(tx_TaxCr,1862),0)</f>
        <v/>
      </c>
      <c r="O1868" s="101">
        <f>IF(H1868=1,IF(E1868&lt;FYStart,0,IF(E1868&gt;FYEnd,13,YEAR(E1868)*12+MONTH(E1868)-FYYM+1)),"")</f>
        <v/>
      </c>
      <c r="P1868" s="101">
        <f>IF(H1868=1,IF(IFERROR(INDEX(coa_CF,MATCH(I1868,coa_Name,0)),"")="Cash",1,0),0)</f>
        <v/>
      </c>
      <c r="Q1868" s="101">
        <f>IF(H1868=1,IF(IFERROR(INDEX(coa_CF,MATCH(K1868,coa_Name,0)),"")="Cash",1,0),0)</f>
        <v/>
      </c>
      <c r="R1868" s="58">
        <f>IF((P1868-Q1868)=0,"",IFERROR(INDEX(coa_CF,MATCH(IF((P1868-Q1868)=1,K1868,I1868),coa_Name,0)),"Operating"))</f>
        <v/>
      </c>
      <c r="S1868" s="95">
        <f>IF((P1868-Q1868)=1,L1868,IF((P1868-Q1868)=-1,-J1868,0))</f>
        <v/>
      </c>
      <c r="T1868" s="95">
        <f>IF((P1868-Q1868)=1,N1868,IF((P1868-Q1868)=-1,-M1868,0))</f>
        <v/>
      </c>
      <c r="U1868" s="101">
        <f>IF(AND(H1868=1,LedAcct&lt;&gt;""),IF(AND(E1868&gt;=LedFrom,E1868&lt;=LedTo,OR(I1868=LedAcct,K1868=LedAcct,AND(LedAcct=acctTax,M1868+N1868&lt;&gt;0))),E1868*10000+B1868,""),"")</f>
        <v/>
      </c>
    </row>
    <row r="1869">
      <c r="B1869" s="101" t="n">
        <v>1863</v>
      </c>
      <c r="C1869" s="58" t="inlineStr">
        <is>
          <t>Transaction</t>
        </is>
      </c>
      <c r="D1869" s="58">
        <f>IF(H1869=1,INDEX(tx_ID,1863)&amp;"","")</f>
        <v/>
      </c>
      <c r="E1869" s="94">
        <f>IF(H1869=1,INDEX(tx_Date,1863),"")</f>
        <v/>
      </c>
      <c r="F1869" s="58">
        <f>IF(H1869=1,INDEX(tx_Desc,1863)&amp;"","")</f>
        <v/>
      </c>
      <c r="G1869" s="58">
        <f>IF(H1869=1,IF(INDEX(tx_Cust,1863)&amp;""&lt;&gt;"",INDEX(tx_Cust,1863)&amp;"",INDEX(tx_Vend,1863)&amp;""),"")</f>
        <v/>
      </c>
      <c r="H1869" s="101">
        <f>IFERROR(N(INDEX(tx_Posted,1863)),0)</f>
        <v/>
      </c>
      <c r="I1869" s="58">
        <f>IF(H1869=1,INDEX(tx_DrAcct,1863)&amp;"","")</f>
        <v/>
      </c>
      <c r="J1869" s="95">
        <f>IF(H1869=1,INDEX(tx_DrAmt,1863),0)</f>
        <v/>
      </c>
      <c r="K1869" s="58">
        <f>IF(H1869=1,INDEX(tx_CrAcct,1863)&amp;"","")</f>
        <v/>
      </c>
      <c r="L1869" s="95">
        <f>IF(H1869=1,INDEX(tx_CrAmt,1863),0)</f>
        <v/>
      </c>
      <c r="M1869" s="95">
        <f>IF(H1869=1,INDEX(tx_TaxDr,1863),0)</f>
        <v/>
      </c>
      <c r="N1869" s="95">
        <f>IF(H1869=1,INDEX(tx_TaxCr,1863),0)</f>
        <v/>
      </c>
      <c r="O1869" s="101">
        <f>IF(H1869=1,IF(E1869&lt;FYStart,0,IF(E1869&gt;FYEnd,13,YEAR(E1869)*12+MONTH(E1869)-FYYM+1)),"")</f>
        <v/>
      </c>
      <c r="P1869" s="101">
        <f>IF(H1869=1,IF(IFERROR(INDEX(coa_CF,MATCH(I1869,coa_Name,0)),"")="Cash",1,0),0)</f>
        <v/>
      </c>
      <c r="Q1869" s="101">
        <f>IF(H1869=1,IF(IFERROR(INDEX(coa_CF,MATCH(K1869,coa_Name,0)),"")="Cash",1,0),0)</f>
        <v/>
      </c>
      <c r="R1869" s="58">
        <f>IF((P1869-Q1869)=0,"",IFERROR(INDEX(coa_CF,MATCH(IF((P1869-Q1869)=1,K1869,I1869),coa_Name,0)),"Operating"))</f>
        <v/>
      </c>
      <c r="S1869" s="95">
        <f>IF((P1869-Q1869)=1,L1869,IF((P1869-Q1869)=-1,-J1869,0))</f>
        <v/>
      </c>
      <c r="T1869" s="95">
        <f>IF((P1869-Q1869)=1,N1869,IF((P1869-Q1869)=-1,-M1869,0))</f>
        <v/>
      </c>
      <c r="U1869" s="101">
        <f>IF(AND(H1869=1,LedAcct&lt;&gt;""),IF(AND(E1869&gt;=LedFrom,E1869&lt;=LedTo,OR(I1869=LedAcct,K1869=LedAcct,AND(LedAcct=acctTax,M1869+N1869&lt;&gt;0))),E1869*10000+B1869,""),"")</f>
        <v/>
      </c>
    </row>
    <row r="1870">
      <c r="B1870" s="101" t="n">
        <v>1864</v>
      </c>
      <c r="C1870" s="58" t="inlineStr">
        <is>
          <t>Transaction</t>
        </is>
      </c>
      <c r="D1870" s="58">
        <f>IF(H1870=1,INDEX(tx_ID,1864)&amp;"","")</f>
        <v/>
      </c>
      <c r="E1870" s="94">
        <f>IF(H1870=1,INDEX(tx_Date,1864),"")</f>
        <v/>
      </c>
      <c r="F1870" s="58">
        <f>IF(H1870=1,INDEX(tx_Desc,1864)&amp;"","")</f>
        <v/>
      </c>
      <c r="G1870" s="58">
        <f>IF(H1870=1,IF(INDEX(tx_Cust,1864)&amp;""&lt;&gt;"",INDEX(tx_Cust,1864)&amp;"",INDEX(tx_Vend,1864)&amp;""),"")</f>
        <v/>
      </c>
      <c r="H1870" s="101">
        <f>IFERROR(N(INDEX(tx_Posted,1864)),0)</f>
        <v/>
      </c>
      <c r="I1870" s="58">
        <f>IF(H1870=1,INDEX(tx_DrAcct,1864)&amp;"","")</f>
        <v/>
      </c>
      <c r="J1870" s="95">
        <f>IF(H1870=1,INDEX(tx_DrAmt,1864),0)</f>
        <v/>
      </c>
      <c r="K1870" s="58">
        <f>IF(H1870=1,INDEX(tx_CrAcct,1864)&amp;"","")</f>
        <v/>
      </c>
      <c r="L1870" s="95">
        <f>IF(H1870=1,INDEX(tx_CrAmt,1864),0)</f>
        <v/>
      </c>
      <c r="M1870" s="95">
        <f>IF(H1870=1,INDEX(tx_TaxDr,1864),0)</f>
        <v/>
      </c>
      <c r="N1870" s="95">
        <f>IF(H1870=1,INDEX(tx_TaxCr,1864),0)</f>
        <v/>
      </c>
      <c r="O1870" s="101">
        <f>IF(H1870=1,IF(E1870&lt;FYStart,0,IF(E1870&gt;FYEnd,13,YEAR(E1870)*12+MONTH(E1870)-FYYM+1)),"")</f>
        <v/>
      </c>
      <c r="P1870" s="101">
        <f>IF(H1870=1,IF(IFERROR(INDEX(coa_CF,MATCH(I1870,coa_Name,0)),"")="Cash",1,0),0)</f>
        <v/>
      </c>
      <c r="Q1870" s="101">
        <f>IF(H1870=1,IF(IFERROR(INDEX(coa_CF,MATCH(K1870,coa_Name,0)),"")="Cash",1,0),0)</f>
        <v/>
      </c>
      <c r="R1870" s="58">
        <f>IF((P1870-Q1870)=0,"",IFERROR(INDEX(coa_CF,MATCH(IF((P1870-Q1870)=1,K1870,I1870),coa_Name,0)),"Operating"))</f>
        <v/>
      </c>
      <c r="S1870" s="95">
        <f>IF((P1870-Q1870)=1,L1870,IF((P1870-Q1870)=-1,-J1870,0))</f>
        <v/>
      </c>
      <c r="T1870" s="95">
        <f>IF((P1870-Q1870)=1,N1870,IF((P1870-Q1870)=-1,-M1870,0))</f>
        <v/>
      </c>
      <c r="U1870" s="101">
        <f>IF(AND(H1870=1,LedAcct&lt;&gt;""),IF(AND(E1870&gt;=LedFrom,E1870&lt;=LedTo,OR(I1870=LedAcct,K1870=LedAcct,AND(LedAcct=acctTax,M1870+N1870&lt;&gt;0))),E1870*10000+B1870,""),"")</f>
        <v/>
      </c>
    </row>
    <row r="1871">
      <c r="B1871" s="101" t="n">
        <v>1865</v>
      </c>
      <c r="C1871" s="58" t="inlineStr">
        <is>
          <t>Transaction</t>
        </is>
      </c>
      <c r="D1871" s="58">
        <f>IF(H1871=1,INDEX(tx_ID,1865)&amp;"","")</f>
        <v/>
      </c>
      <c r="E1871" s="94">
        <f>IF(H1871=1,INDEX(tx_Date,1865),"")</f>
        <v/>
      </c>
      <c r="F1871" s="58">
        <f>IF(H1871=1,INDEX(tx_Desc,1865)&amp;"","")</f>
        <v/>
      </c>
      <c r="G1871" s="58">
        <f>IF(H1871=1,IF(INDEX(tx_Cust,1865)&amp;""&lt;&gt;"",INDEX(tx_Cust,1865)&amp;"",INDEX(tx_Vend,1865)&amp;""),"")</f>
        <v/>
      </c>
      <c r="H1871" s="101">
        <f>IFERROR(N(INDEX(tx_Posted,1865)),0)</f>
        <v/>
      </c>
      <c r="I1871" s="58">
        <f>IF(H1871=1,INDEX(tx_DrAcct,1865)&amp;"","")</f>
        <v/>
      </c>
      <c r="J1871" s="95">
        <f>IF(H1871=1,INDEX(tx_DrAmt,1865),0)</f>
        <v/>
      </c>
      <c r="K1871" s="58">
        <f>IF(H1871=1,INDEX(tx_CrAcct,1865)&amp;"","")</f>
        <v/>
      </c>
      <c r="L1871" s="95">
        <f>IF(H1871=1,INDEX(tx_CrAmt,1865),0)</f>
        <v/>
      </c>
      <c r="M1871" s="95">
        <f>IF(H1871=1,INDEX(tx_TaxDr,1865),0)</f>
        <v/>
      </c>
      <c r="N1871" s="95">
        <f>IF(H1871=1,INDEX(tx_TaxCr,1865),0)</f>
        <v/>
      </c>
      <c r="O1871" s="101">
        <f>IF(H1871=1,IF(E1871&lt;FYStart,0,IF(E1871&gt;FYEnd,13,YEAR(E1871)*12+MONTH(E1871)-FYYM+1)),"")</f>
        <v/>
      </c>
      <c r="P1871" s="101">
        <f>IF(H1871=1,IF(IFERROR(INDEX(coa_CF,MATCH(I1871,coa_Name,0)),"")="Cash",1,0),0)</f>
        <v/>
      </c>
      <c r="Q1871" s="101">
        <f>IF(H1871=1,IF(IFERROR(INDEX(coa_CF,MATCH(K1871,coa_Name,0)),"")="Cash",1,0),0)</f>
        <v/>
      </c>
      <c r="R1871" s="58">
        <f>IF((P1871-Q1871)=0,"",IFERROR(INDEX(coa_CF,MATCH(IF((P1871-Q1871)=1,K1871,I1871),coa_Name,0)),"Operating"))</f>
        <v/>
      </c>
      <c r="S1871" s="95">
        <f>IF((P1871-Q1871)=1,L1871,IF((P1871-Q1871)=-1,-J1871,0))</f>
        <v/>
      </c>
      <c r="T1871" s="95">
        <f>IF((P1871-Q1871)=1,N1871,IF((P1871-Q1871)=-1,-M1871,0))</f>
        <v/>
      </c>
      <c r="U1871" s="101">
        <f>IF(AND(H1871=1,LedAcct&lt;&gt;""),IF(AND(E1871&gt;=LedFrom,E1871&lt;=LedTo,OR(I1871=LedAcct,K1871=LedAcct,AND(LedAcct=acctTax,M1871+N1871&lt;&gt;0))),E1871*10000+B1871,""),"")</f>
        <v/>
      </c>
    </row>
    <row r="1872">
      <c r="B1872" s="101" t="n">
        <v>1866</v>
      </c>
      <c r="C1872" s="58" t="inlineStr">
        <is>
          <t>Transaction</t>
        </is>
      </c>
      <c r="D1872" s="58">
        <f>IF(H1872=1,INDEX(tx_ID,1866)&amp;"","")</f>
        <v/>
      </c>
      <c r="E1872" s="94">
        <f>IF(H1872=1,INDEX(tx_Date,1866),"")</f>
        <v/>
      </c>
      <c r="F1872" s="58">
        <f>IF(H1872=1,INDEX(tx_Desc,1866)&amp;"","")</f>
        <v/>
      </c>
      <c r="G1872" s="58">
        <f>IF(H1872=1,IF(INDEX(tx_Cust,1866)&amp;""&lt;&gt;"",INDEX(tx_Cust,1866)&amp;"",INDEX(tx_Vend,1866)&amp;""),"")</f>
        <v/>
      </c>
      <c r="H1872" s="101">
        <f>IFERROR(N(INDEX(tx_Posted,1866)),0)</f>
        <v/>
      </c>
      <c r="I1872" s="58">
        <f>IF(H1872=1,INDEX(tx_DrAcct,1866)&amp;"","")</f>
        <v/>
      </c>
      <c r="J1872" s="95">
        <f>IF(H1872=1,INDEX(tx_DrAmt,1866),0)</f>
        <v/>
      </c>
      <c r="K1872" s="58">
        <f>IF(H1872=1,INDEX(tx_CrAcct,1866)&amp;"","")</f>
        <v/>
      </c>
      <c r="L1872" s="95">
        <f>IF(H1872=1,INDEX(tx_CrAmt,1866),0)</f>
        <v/>
      </c>
      <c r="M1872" s="95">
        <f>IF(H1872=1,INDEX(tx_TaxDr,1866),0)</f>
        <v/>
      </c>
      <c r="N1872" s="95">
        <f>IF(H1872=1,INDEX(tx_TaxCr,1866),0)</f>
        <v/>
      </c>
      <c r="O1872" s="101">
        <f>IF(H1872=1,IF(E1872&lt;FYStart,0,IF(E1872&gt;FYEnd,13,YEAR(E1872)*12+MONTH(E1872)-FYYM+1)),"")</f>
        <v/>
      </c>
      <c r="P1872" s="101">
        <f>IF(H1872=1,IF(IFERROR(INDEX(coa_CF,MATCH(I1872,coa_Name,0)),"")="Cash",1,0),0)</f>
        <v/>
      </c>
      <c r="Q1872" s="101">
        <f>IF(H1872=1,IF(IFERROR(INDEX(coa_CF,MATCH(K1872,coa_Name,0)),"")="Cash",1,0),0)</f>
        <v/>
      </c>
      <c r="R1872" s="58">
        <f>IF((P1872-Q1872)=0,"",IFERROR(INDEX(coa_CF,MATCH(IF((P1872-Q1872)=1,K1872,I1872),coa_Name,0)),"Operating"))</f>
        <v/>
      </c>
      <c r="S1872" s="95">
        <f>IF((P1872-Q1872)=1,L1872,IF((P1872-Q1872)=-1,-J1872,0))</f>
        <v/>
      </c>
      <c r="T1872" s="95">
        <f>IF((P1872-Q1872)=1,N1872,IF((P1872-Q1872)=-1,-M1872,0))</f>
        <v/>
      </c>
      <c r="U1872" s="101">
        <f>IF(AND(H1872=1,LedAcct&lt;&gt;""),IF(AND(E1872&gt;=LedFrom,E1872&lt;=LedTo,OR(I1872=LedAcct,K1872=LedAcct,AND(LedAcct=acctTax,M1872+N1872&lt;&gt;0))),E1872*10000+B1872,""),"")</f>
        <v/>
      </c>
    </row>
    <row r="1873">
      <c r="B1873" s="101" t="n">
        <v>1867</v>
      </c>
      <c r="C1873" s="58" t="inlineStr">
        <is>
          <t>Transaction</t>
        </is>
      </c>
      <c r="D1873" s="58">
        <f>IF(H1873=1,INDEX(tx_ID,1867)&amp;"","")</f>
        <v/>
      </c>
      <c r="E1873" s="94">
        <f>IF(H1873=1,INDEX(tx_Date,1867),"")</f>
        <v/>
      </c>
      <c r="F1873" s="58">
        <f>IF(H1873=1,INDEX(tx_Desc,1867)&amp;"","")</f>
        <v/>
      </c>
      <c r="G1873" s="58">
        <f>IF(H1873=1,IF(INDEX(tx_Cust,1867)&amp;""&lt;&gt;"",INDEX(tx_Cust,1867)&amp;"",INDEX(tx_Vend,1867)&amp;""),"")</f>
        <v/>
      </c>
      <c r="H1873" s="101">
        <f>IFERROR(N(INDEX(tx_Posted,1867)),0)</f>
        <v/>
      </c>
      <c r="I1873" s="58">
        <f>IF(H1873=1,INDEX(tx_DrAcct,1867)&amp;"","")</f>
        <v/>
      </c>
      <c r="J1873" s="95">
        <f>IF(H1873=1,INDEX(tx_DrAmt,1867),0)</f>
        <v/>
      </c>
      <c r="K1873" s="58">
        <f>IF(H1873=1,INDEX(tx_CrAcct,1867)&amp;"","")</f>
        <v/>
      </c>
      <c r="L1873" s="95">
        <f>IF(H1873=1,INDEX(tx_CrAmt,1867),0)</f>
        <v/>
      </c>
      <c r="M1873" s="95">
        <f>IF(H1873=1,INDEX(tx_TaxDr,1867),0)</f>
        <v/>
      </c>
      <c r="N1873" s="95">
        <f>IF(H1873=1,INDEX(tx_TaxCr,1867),0)</f>
        <v/>
      </c>
      <c r="O1873" s="101">
        <f>IF(H1873=1,IF(E1873&lt;FYStart,0,IF(E1873&gt;FYEnd,13,YEAR(E1873)*12+MONTH(E1873)-FYYM+1)),"")</f>
        <v/>
      </c>
      <c r="P1873" s="101">
        <f>IF(H1873=1,IF(IFERROR(INDEX(coa_CF,MATCH(I1873,coa_Name,0)),"")="Cash",1,0),0)</f>
        <v/>
      </c>
      <c r="Q1873" s="101">
        <f>IF(H1873=1,IF(IFERROR(INDEX(coa_CF,MATCH(K1873,coa_Name,0)),"")="Cash",1,0),0)</f>
        <v/>
      </c>
      <c r="R1873" s="58">
        <f>IF((P1873-Q1873)=0,"",IFERROR(INDEX(coa_CF,MATCH(IF((P1873-Q1873)=1,K1873,I1873),coa_Name,0)),"Operating"))</f>
        <v/>
      </c>
      <c r="S1873" s="95">
        <f>IF((P1873-Q1873)=1,L1873,IF((P1873-Q1873)=-1,-J1873,0))</f>
        <v/>
      </c>
      <c r="T1873" s="95">
        <f>IF((P1873-Q1873)=1,N1873,IF((P1873-Q1873)=-1,-M1873,0))</f>
        <v/>
      </c>
      <c r="U1873" s="101">
        <f>IF(AND(H1873=1,LedAcct&lt;&gt;""),IF(AND(E1873&gt;=LedFrom,E1873&lt;=LedTo,OR(I1873=LedAcct,K1873=LedAcct,AND(LedAcct=acctTax,M1873+N1873&lt;&gt;0))),E1873*10000+B1873,""),"")</f>
        <v/>
      </c>
    </row>
    <row r="1874">
      <c r="B1874" s="101" t="n">
        <v>1868</v>
      </c>
      <c r="C1874" s="58" t="inlineStr">
        <is>
          <t>Transaction</t>
        </is>
      </c>
      <c r="D1874" s="58">
        <f>IF(H1874=1,INDEX(tx_ID,1868)&amp;"","")</f>
        <v/>
      </c>
      <c r="E1874" s="94">
        <f>IF(H1874=1,INDEX(tx_Date,1868),"")</f>
        <v/>
      </c>
      <c r="F1874" s="58">
        <f>IF(H1874=1,INDEX(tx_Desc,1868)&amp;"","")</f>
        <v/>
      </c>
      <c r="G1874" s="58">
        <f>IF(H1874=1,IF(INDEX(tx_Cust,1868)&amp;""&lt;&gt;"",INDEX(tx_Cust,1868)&amp;"",INDEX(tx_Vend,1868)&amp;""),"")</f>
        <v/>
      </c>
      <c r="H1874" s="101">
        <f>IFERROR(N(INDEX(tx_Posted,1868)),0)</f>
        <v/>
      </c>
      <c r="I1874" s="58">
        <f>IF(H1874=1,INDEX(tx_DrAcct,1868)&amp;"","")</f>
        <v/>
      </c>
      <c r="J1874" s="95">
        <f>IF(H1874=1,INDEX(tx_DrAmt,1868),0)</f>
        <v/>
      </c>
      <c r="K1874" s="58">
        <f>IF(H1874=1,INDEX(tx_CrAcct,1868)&amp;"","")</f>
        <v/>
      </c>
      <c r="L1874" s="95">
        <f>IF(H1874=1,INDEX(tx_CrAmt,1868),0)</f>
        <v/>
      </c>
      <c r="M1874" s="95">
        <f>IF(H1874=1,INDEX(tx_TaxDr,1868),0)</f>
        <v/>
      </c>
      <c r="N1874" s="95">
        <f>IF(H1874=1,INDEX(tx_TaxCr,1868),0)</f>
        <v/>
      </c>
      <c r="O1874" s="101">
        <f>IF(H1874=1,IF(E1874&lt;FYStart,0,IF(E1874&gt;FYEnd,13,YEAR(E1874)*12+MONTH(E1874)-FYYM+1)),"")</f>
        <v/>
      </c>
      <c r="P1874" s="101">
        <f>IF(H1874=1,IF(IFERROR(INDEX(coa_CF,MATCH(I1874,coa_Name,0)),"")="Cash",1,0),0)</f>
        <v/>
      </c>
      <c r="Q1874" s="101">
        <f>IF(H1874=1,IF(IFERROR(INDEX(coa_CF,MATCH(K1874,coa_Name,0)),"")="Cash",1,0),0)</f>
        <v/>
      </c>
      <c r="R1874" s="58">
        <f>IF((P1874-Q1874)=0,"",IFERROR(INDEX(coa_CF,MATCH(IF((P1874-Q1874)=1,K1874,I1874),coa_Name,0)),"Operating"))</f>
        <v/>
      </c>
      <c r="S1874" s="95">
        <f>IF((P1874-Q1874)=1,L1874,IF((P1874-Q1874)=-1,-J1874,0))</f>
        <v/>
      </c>
      <c r="T1874" s="95">
        <f>IF((P1874-Q1874)=1,N1874,IF((P1874-Q1874)=-1,-M1874,0))</f>
        <v/>
      </c>
      <c r="U1874" s="101">
        <f>IF(AND(H1874=1,LedAcct&lt;&gt;""),IF(AND(E1874&gt;=LedFrom,E1874&lt;=LedTo,OR(I1874=LedAcct,K1874=LedAcct,AND(LedAcct=acctTax,M1874+N1874&lt;&gt;0))),E1874*10000+B1874,""),"")</f>
        <v/>
      </c>
    </row>
    <row r="1875">
      <c r="B1875" s="101" t="n">
        <v>1869</v>
      </c>
      <c r="C1875" s="58" t="inlineStr">
        <is>
          <t>Transaction</t>
        </is>
      </c>
      <c r="D1875" s="58">
        <f>IF(H1875=1,INDEX(tx_ID,1869)&amp;"","")</f>
        <v/>
      </c>
      <c r="E1875" s="94">
        <f>IF(H1875=1,INDEX(tx_Date,1869),"")</f>
        <v/>
      </c>
      <c r="F1875" s="58">
        <f>IF(H1875=1,INDEX(tx_Desc,1869)&amp;"","")</f>
        <v/>
      </c>
      <c r="G1875" s="58">
        <f>IF(H1875=1,IF(INDEX(tx_Cust,1869)&amp;""&lt;&gt;"",INDEX(tx_Cust,1869)&amp;"",INDEX(tx_Vend,1869)&amp;""),"")</f>
        <v/>
      </c>
      <c r="H1875" s="101">
        <f>IFERROR(N(INDEX(tx_Posted,1869)),0)</f>
        <v/>
      </c>
      <c r="I1875" s="58">
        <f>IF(H1875=1,INDEX(tx_DrAcct,1869)&amp;"","")</f>
        <v/>
      </c>
      <c r="J1875" s="95">
        <f>IF(H1875=1,INDEX(tx_DrAmt,1869),0)</f>
        <v/>
      </c>
      <c r="K1875" s="58">
        <f>IF(H1875=1,INDEX(tx_CrAcct,1869)&amp;"","")</f>
        <v/>
      </c>
      <c r="L1875" s="95">
        <f>IF(H1875=1,INDEX(tx_CrAmt,1869),0)</f>
        <v/>
      </c>
      <c r="M1875" s="95">
        <f>IF(H1875=1,INDEX(tx_TaxDr,1869),0)</f>
        <v/>
      </c>
      <c r="N1875" s="95">
        <f>IF(H1875=1,INDEX(tx_TaxCr,1869),0)</f>
        <v/>
      </c>
      <c r="O1875" s="101">
        <f>IF(H1875=1,IF(E1875&lt;FYStart,0,IF(E1875&gt;FYEnd,13,YEAR(E1875)*12+MONTH(E1875)-FYYM+1)),"")</f>
        <v/>
      </c>
      <c r="P1875" s="101">
        <f>IF(H1875=1,IF(IFERROR(INDEX(coa_CF,MATCH(I1875,coa_Name,0)),"")="Cash",1,0),0)</f>
        <v/>
      </c>
      <c r="Q1875" s="101">
        <f>IF(H1875=1,IF(IFERROR(INDEX(coa_CF,MATCH(K1875,coa_Name,0)),"")="Cash",1,0),0)</f>
        <v/>
      </c>
      <c r="R1875" s="58">
        <f>IF((P1875-Q1875)=0,"",IFERROR(INDEX(coa_CF,MATCH(IF((P1875-Q1875)=1,K1875,I1875),coa_Name,0)),"Operating"))</f>
        <v/>
      </c>
      <c r="S1875" s="95">
        <f>IF((P1875-Q1875)=1,L1875,IF((P1875-Q1875)=-1,-J1875,0))</f>
        <v/>
      </c>
      <c r="T1875" s="95">
        <f>IF((P1875-Q1875)=1,N1875,IF((P1875-Q1875)=-1,-M1875,0))</f>
        <v/>
      </c>
      <c r="U1875" s="101">
        <f>IF(AND(H1875=1,LedAcct&lt;&gt;""),IF(AND(E1875&gt;=LedFrom,E1875&lt;=LedTo,OR(I1875=LedAcct,K1875=LedAcct,AND(LedAcct=acctTax,M1875+N1875&lt;&gt;0))),E1875*10000+B1875,""),"")</f>
        <v/>
      </c>
    </row>
    <row r="1876">
      <c r="B1876" s="101" t="n">
        <v>1870</v>
      </c>
      <c r="C1876" s="58" t="inlineStr">
        <is>
          <t>Transaction</t>
        </is>
      </c>
      <c r="D1876" s="58">
        <f>IF(H1876=1,INDEX(tx_ID,1870)&amp;"","")</f>
        <v/>
      </c>
      <c r="E1876" s="94">
        <f>IF(H1876=1,INDEX(tx_Date,1870),"")</f>
        <v/>
      </c>
      <c r="F1876" s="58">
        <f>IF(H1876=1,INDEX(tx_Desc,1870)&amp;"","")</f>
        <v/>
      </c>
      <c r="G1876" s="58">
        <f>IF(H1876=1,IF(INDEX(tx_Cust,1870)&amp;""&lt;&gt;"",INDEX(tx_Cust,1870)&amp;"",INDEX(tx_Vend,1870)&amp;""),"")</f>
        <v/>
      </c>
      <c r="H1876" s="101">
        <f>IFERROR(N(INDEX(tx_Posted,1870)),0)</f>
        <v/>
      </c>
      <c r="I1876" s="58">
        <f>IF(H1876=1,INDEX(tx_DrAcct,1870)&amp;"","")</f>
        <v/>
      </c>
      <c r="J1876" s="95">
        <f>IF(H1876=1,INDEX(tx_DrAmt,1870),0)</f>
        <v/>
      </c>
      <c r="K1876" s="58">
        <f>IF(H1876=1,INDEX(tx_CrAcct,1870)&amp;"","")</f>
        <v/>
      </c>
      <c r="L1876" s="95">
        <f>IF(H1876=1,INDEX(tx_CrAmt,1870),0)</f>
        <v/>
      </c>
      <c r="M1876" s="95">
        <f>IF(H1876=1,INDEX(tx_TaxDr,1870),0)</f>
        <v/>
      </c>
      <c r="N1876" s="95">
        <f>IF(H1876=1,INDEX(tx_TaxCr,1870),0)</f>
        <v/>
      </c>
      <c r="O1876" s="101">
        <f>IF(H1876=1,IF(E1876&lt;FYStart,0,IF(E1876&gt;FYEnd,13,YEAR(E1876)*12+MONTH(E1876)-FYYM+1)),"")</f>
        <v/>
      </c>
      <c r="P1876" s="101">
        <f>IF(H1876=1,IF(IFERROR(INDEX(coa_CF,MATCH(I1876,coa_Name,0)),"")="Cash",1,0),0)</f>
        <v/>
      </c>
      <c r="Q1876" s="101">
        <f>IF(H1876=1,IF(IFERROR(INDEX(coa_CF,MATCH(K1876,coa_Name,0)),"")="Cash",1,0),0)</f>
        <v/>
      </c>
      <c r="R1876" s="58">
        <f>IF((P1876-Q1876)=0,"",IFERROR(INDEX(coa_CF,MATCH(IF((P1876-Q1876)=1,K1876,I1876),coa_Name,0)),"Operating"))</f>
        <v/>
      </c>
      <c r="S1876" s="95">
        <f>IF((P1876-Q1876)=1,L1876,IF((P1876-Q1876)=-1,-J1876,0))</f>
        <v/>
      </c>
      <c r="T1876" s="95">
        <f>IF((P1876-Q1876)=1,N1876,IF((P1876-Q1876)=-1,-M1876,0))</f>
        <v/>
      </c>
      <c r="U1876" s="101">
        <f>IF(AND(H1876=1,LedAcct&lt;&gt;""),IF(AND(E1876&gt;=LedFrom,E1876&lt;=LedTo,OR(I1876=LedAcct,K1876=LedAcct,AND(LedAcct=acctTax,M1876+N1876&lt;&gt;0))),E1876*10000+B1876,""),"")</f>
        <v/>
      </c>
    </row>
    <row r="1877">
      <c r="B1877" s="101" t="n">
        <v>1871</v>
      </c>
      <c r="C1877" s="58" t="inlineStr">
        <is>
          <t>Transaction</t>
        </is>
      </c>
      <c r="D1877" s="58">
        <f>IF(H1877=1,INDEX(tx_ID,1871)&amp;"","")</f>
        <v/>
      </c>
      <c r="E1877" s="94">
        <f>IF(H1877=1,INDEX(tx_Date,1871),"")</f>
        <v/>
      </c>
      <c r="F1877" s="58">
        <f>IF(H1877=1,INDEX(tx_Desc,1871)&amp;"","")</f>
        <v/>
      </c>
      <c r="G1877" s="58">
        <f>IF(H1877=1,IF(INDEX(tx_Cust,1871)&amp;""&lt;&gt;"",INDEX(tx_Cust,1871)&amp;"",INDEX(tx_Vend,1871)&amp;""),"")</f>
        <v/>
      </c>
      <c r="H1877" s="101">
        <f>IFERROR(N(INDEX(tx_Posted,1871)),0)</f>
        <v/>
      </c>
      <c r="I1877" s="58">
        <f>IF(H1877=1,INDEX(tx_DrAcct,1871)&amp;"","")</f>
        <v/>
      </c>
      <c r="J1877" s="95">
        <f>IF(H1877=1,INDEX(tx_DrAmt,1871),0)</f>
        <v/>
      </c>
      <c r="K1877" s="58">
        <f>IF(H1877=1,INDEX(tx_CrAcct,1871)&amp;"","")</f>
        <v/>
      </c>
      <c r="L1877" s="95">
        <f>IF(H1877=1,INDEX(tx_CrAmt,1871),0)</f>
        <v/>
      </c>
      <c r="M1877" s="95">
        <f>IF(H1877=1,INDEX(tx_TaxDr,1871),0)</f>
        <v/>
      </c>
      <c r="N1877" s="95">
        <f>IF(H1877=1,INDEX(tx_TaxCr,1871),0)</f>
        <v/>
      </c>
      <c r="O1877" s="101">
        <f>IF(H1877=1,IF(E1877&lt;FYStart,0,IF(E1877&gt;FYEnd,13,YEAR(E1877)*12+MONTH(E1877)-FYYM+1)),"")</f>
        <v/>
      </c>
      <c r="P1877" s="101">
        <f>IF(H1877=1,IF(IFERROR(INDEX(coa_CF,MATCH(I1877,coa_Name,0)),"")="Cash",1,0),0)</f>
        <v/>
      </c>
      <c r="Q1877" s="101">
        <f>IF(H1877=1,IF(IFERROR(INDEX(coa_CF,MATCH(K1877,coa_Name,0)),"")="Cash",1,0),0)</f>
        <v/>
      </c>
      <c r="R1877" s="58">
        <f>IF((P1877-Q1877)=0,"",IFERROR(INDEX(coa_CF,MATCH(IF((P1877-Q1877)=1,K1877,I1877),coa_Name,0)),"Operating"))</f>
        <v/>
      </c>
      <c r="S1877" s="95">
        <f>IF((P1877-Q1877)=1,L1877,IF((P1877-Q1877)=-1,-J1877,0))</f>
        <v/>
      </c>
      <c r="T1877" s="95">
        <f>IF((P1877-Q1877)=1,N1877,IF((P1877-Q1877)=-1,-M1877,0))</f>
        <v/>
      </c>
      <c r="U1877" s="101">
        <f>IF(AND(H1877=1,LedAcct&lt;&gt;""),IF(AND(E1877&gt;=LedFrom,E1877&lt;=LedTo,OR(I1877=LedAcct,K1877=LedAcct,AND(LedAcct=acctTax,M1877+N1877&lt;&gt;0))),E1877*10000+B1877,""),"")</f>
        <v/>
      </c>
    </row>
    <row r="1878">
      <c r="B1878" s="101" t="n">
        <v>1872</v>
      </c>
      <c r="C1878" s="58" t="inlineStr">
        <is>
          <t>Transaction</t>
        </is>
      </c>
      <c r="D1878" s="58">
        <f>IF(H1878=1,INDEX(tx_ID,1872)&amp;"","")</f>
        <v/>
      </c>
      <c r="E1878" s="94">
        <f>IF(H1878=1,INDEX(tx_Date,1872),"")</f>
        <v/>
      </c>
      <c r="F1878" s="58">
        <f>IF(H1878=1,INDEX(tx_Desc,1872)&amp;"","")</f>
        <v/>
      </c>
      <c r="G1878" s="58">
        <f>IF(H1878=1,IF(INDEX(tx_Cust,1872)&amp;""&lt;&gt;"",INDEX(tx_Cust,1872)&amp;"",INDEX(tx_Vend,1872)&amp;""),"")</f>
        <v/>
      </c>
      <c r="H1878" s="101">
        <f>IFERROR(N(INDEX(tx_Posted,1872)),0)</f>
        <v/>
      </c>
      <c r="I1878" s="58">
        <f>IF(H1878=1,INDEX(tx_DrAcct,1872)&amp;"","")</f>
        <v/>
      </c>
      <c r="J1878" s="95">
        <f>IF(H1878=1,INDEX(tx_DrAmt,1872),0)</f>
        <v/>
      </c>
      <c r="K1878" s="58">
        <f>IF(H1878=1,INDEX(tx_CrAcct,1872)&amp;"","")</f>
        <v/>
      </c>
      <c r="L1878" s="95">
        <f>IF(H1878=1,INDEX(tx_CrAmt,1872),0)</f>
        <v/>
      </c>
      <c r="M1878" s="95">
        <f>IF(H1878=1,INDEX(tx_TaxDr,1872),0)</f>
        <v/>
      </c>
      <c r="N1878" s="95">
        <f>IF(H1878=1,INDEX(tx_TaxCr,1872),0)</f>
        <v/>
      </c>
      <c r="O1878" s="101">
        <f>IF(H1878=1,IF(E1878&lt;FYStart,0,IF(E1878&gt;FYEnd,13,YEAR(E1878)*12+MONTH(E1878)-FYYM+1)),"")</f>
        <v/>
      </c>
      <c r="P1878" s="101">
        <f>IF(H1878=1,IF(IFERROR(INDEX(coa_CF,MATCH(I1878,coa_Name,0)),"")="Cash",1,0),0)</f>
        <v/>
      </c>
      <c r="Q1878" s="101">
        <f>IF(H1878=1,IF(IFERROR(INDEX(coa_CF,MATCH(K1878,coa_Name,0)),"")="Cash",1,0),0)</f>
        <v/>
      </c>
      <c r="R1878" s="58">
        <f>IF((P1878-Q1878)=0,"",IFERROR(INDEX(coa_CF,MATCH(IF((P1878-Q1878)=1,K1878,I1878),coa_Name,0)),"Operating"))</f>
        <v/>
      </c>
      <c r="S1878" s="95">
        <f>IF((P1878-Q1878)=1,L1878,IF((P1878-Q1878)=-1,-J1878,0))</f>
        <v/>
      </c>
      <c r="T1878" s="95">
        <f>IF((P1878-Q1878)=1,N1878,IF((P1878-Q1878)=-1,-M1878,0))</f>
        <v/>
      </c>
      <c r="U1878" s="101">
        <f>IF(AND(H1878=1,LedAcct&lt;&gt;""),IF(AND(E1878&gt;=LedFrom,E1878&lt;=LedTo,OR(I1878=LedAcct,K1878=LedAcct,AND(LedAcct=acctTax,M1878+N1878&lt;&gt;0))),E1878*10000+B1878,""),"")</f>
        <v/>
      </c>
    </row>
    <row r="1879">
      <c r="B1879" s="101" t="n">
        <v>1873</v>
      </c>
      <c r="C1879" s="58" t="inlineStr">
        <is>
          <t>Transaction</t>
        </is>
      </c>
      <c r="D1879" s="58">
        <f>IF(H1879=1,INDEX(tx_ID,1873)&amp;"","")</f>
        <v/>
      </c>
      <c r="E1879" s="94">
        <f>IF(H1879=1,INDEX(tx_Date,1873),"")</f>
        <v/>
      </c>
      <c r="F1879" s="58">
        <f>IF(H1879=1,INDEX(tx_Desc,1873)&amp;"","")</f>
        <v/>
      </c>
      <c r="G1879" s="58">
        <f>IF(H1879=1,IF(INDEX(tx_Cust,1873)&amp;""&lt;&gt;"",INDEX(tx_Cust,1873)&amp;"",INDEX(tx_Vend,1873)&amp;""),"")</f>
        <v/>
      </c>
      <c r="H1879" s="101">
        <f>IFERROR(N(INDEX(tx_Posted,1873)),0)</f>
        <v/>
      </c>
      <c r="I1879" s="58">
        <f>IF(H1879=1,INDEX(tx_DrAcct,1873)&amp;"","")</f>
        <v/>
      </c>
      <c r="J1879" s="95">
        <f>IF(H1879=1,INDEX(tx_DrAmt,1873),0)</f>
        <v/>
      </c>
      <c r="K1879" s="58">
        <f>IF(H1879=1,INDEX(tx_CrAcct,1873)&amp;"","")</f>
        <v/>
      </c>
      <c r="L1879" s="95">
        <f>IF(H1879=1,INDEX(tx_CrAmt,1873),0)</f>
        <v/>
      </c>
      <c r="M1879" s="95">
        <f>IF(H1879=1,INDEX(tx_TaxDr,1873),0)</f>
        <v/>
      </c>
      <c r="N1879" s="95">
        <f>IF(H1879=1,INDEX(tx_TaxCr,1873),0)</f>
        <v/>
      </c>
      <c r="O1879" s="101">
        <f>IF(H1879=1,IF(E1879&lt;FYStart,0,IF(E1879&gt;FYEnd,13,YEAR(E1879)*12+MONTH(E1879)-FYYM+1)),"")</f>
        <v/>
      </c>
      <c r="P1879" s="101">
        <f>IF(H1879=1,IF(IFERROR(INDEX(coa_CF,MATCH(I1879,coa_Name,0)),"")="Cash",1,0),0)</f>
        <v/>
      </c>
      <c r="Q1879" s="101">
        <f>IF(H1879=1,IF(IFERROR(INDEX(coa_CF,MATCH(K1879,coa_Name,0)),"")="Cash",1,0),0)</f>
        <v/>
      </c>
      <c r="R1879" s="58">
        <f>IF((P1879-Q1879)=0,"",IFERROR(INDEX(coa_CF,MATCH(IF((P1879-Q1879)=1,K1879,I1879),coa_Name,0)),"Operating"))</f>
        <v/>
      </c>
      <c r="S1879" s="95">
        <f>IF((P1879-Q1879)=1,L1879,IF((P1879-Q1879)=-1,-J1879,0))</f>
        <v/>
      </c>
      <c r="T1879" s="95">
        <f>IF((P1879-Q1879)=1,N1879,IF((P1879-Q1879)=-1,-M1879,0))</f>
        <v/>
      </c>
      <c r="U1879" s="101">
        <f>IF(AND(H1879=1,LedAcct&lt;&gt;""),IF(AND(E1879&gt;=LedFrom,E1879&lt;=LedTo,OR(I1879=LedAcct,K1879=LedAcct,AND(LedAcct=acctTax,M1879+N1879&lt;&gt;0))),E1879*10000+B1879,""),"")</f>
        <v/>
      </c>
    </row>
    <row r="1880">
      <c r="B1880" s="101" t="n">
        <v>1874</v>
      </c>
      <c r="C1880" s="58" t="inlineStr">
        <is>
          <t>Transaction</t>
        </is>
      </c>
      <c r="D1880" s="58">
        <f>IF(H1880=1,INDEX(tx_ID,1874)&amp;"","")</f>
        <v/>
      </c>
      <c r="E1880" s="94">
        <f>IF(H1880=1,INDEX(tx_Date,1874),"")</f>
        <v/>
      </c>
      <c r="F1880" s="58">
        <f>IF(H1880=1,INDEX(tx_Desc,1874)&amp;"","")</f>
        <v/>
      </c>
      <c r="G1880" s="58">
        <f>IF(H1880=1,IF(INDEX(tx_Cust,1874)&amp;""&lt;&gt;"",INDEX(tx_Cust,1874)&amp;"",INDEX(tx_Vend,1874)&amp;""),"")</f>
        <v/>
      </c>
      <c r="H1880" s="101">
        <f>IFERROR(N(INDEX(tx_Posted,1874)),0)</f>
        <v/>
      </c>
      <c r="I1880" s="58">
        <f>IF(H1880=1,INDEX(tx_DrAcct,1874)&amp;"","")</f>
        <v/>
      </c>
      <c r="J1880" s="95">
        <f>IF(H1880=1,INDEX(tx_DrAmt,1874),0)</f>
        <v/>
      </c>
      <c r="K1880" s="58">
        <f>IF(H1880=1,INDEX(tx_CrAcct,1874)&amp;"","")</f>
        <v/>
      </c>
      <c r="L1880" s="95">
        <f>IF(H1880=1,INDEX(tx_CrAmt,1874),0)</f>
        <v/>
      </c>
      <c r="M1880" s="95">
        <f>IF(H1880=1,INDEX(tx_TaxDr,1874),0)</f>
        <v/>
      </c>
      <c r="N1880" s="95">
        <f>IF(H1880=1,INDEX(tx_TaxCr,1874),0)</f>
        <v/>
      </c>
      <c r="O1880" s="101">
        <f>IF(H1880=1,IF(E1880&lt;FYStart,0,IF(E1880&gt;FYEnd,13,YEAR(E1880)*12+MONTH(E1880)-FYYM+1)),"")</f>
        <v/>
      </c>
      <c r="P1880" s="101">
        <f>IF(H1880=1,IF(IFERROR(INDEX(coa_CF,MATCH(I1880,coa_Name,0)),"")="Cash",1,0),0)</f>
        <v/>
      </c>
      <c r="Q1880" s="101">
        <f>IF(H1880=1,IF(IFERROR(INDEX(coa_CF,MATCH(K1880,coa_Name,0)),"")="Cash",1,0),0)</f>
        <v/>
      </c>
      <c r="R1880" s="58">
        <f>IF((P1880-Q1880)=0,"",IFERROR(INDEX(coa_CF,MATCH(IF((P1880-Q1880)=1,K1880,I1880),coa_Name,0)),"Operating"))</f>
        <v/>
      </c>
      <c r="S1880" s="95">
        <f>IF((P1880-Q1880)=1,L1880,IF((P1880-Q1880)=-1,-J1880,0))</f>
        <v/>
      </c>
      <c r="T1880" s="95">
        <f>IF((P1880-Q1880)=1,N1880,IF((P1880-Q1880)=-1,-M1880,0))</f>
        <v/>
      </c>
      <c r="U1880" s="101">
        <f>IF(AND(H1880=1,LedAcct&lt;&gt;""),IF(AND(E1880&gt;=LedFrom,E1880&lt;=LedTo,OR(I1880=LedAcct,K1880=LedAcct,AND(LedAcct=acctTax,M1880+N1880&lt;&gt;0))),E1880*10000+B1880,""),"")</f>
        <v/>
      </c>
    </row>
    <row r="1881">
      <c r="B1881" s="101" t="n">
        <v>1875</v>
      </c>
      <c r="C1881" s="58" t="inlineStr">
        <is>
          <t>Transaction</t>
        </is>
      </c>
      <c r="D1881" s="58">
        <f>IF(H1881=1,INDEX(tx_ID,1875)&amp;"","")</f>
        <v/>
      </c>
      <c r="E1881" s="94">
        <f>IF(H1881=1,INDEX(tx_Date,1875),"")</f>
        <v/>
      </c>
      <c r="F1881" s="58">
        <f>IF(H1881=1,INDEX(tx_Desc,1875)&amp;"","")</f>
        <v/>
      </c>
      <c r="G1881" s="58">
        <f>IF(H1881=1,IF(INDEX(tx_Cust,1875)&amp;""&lt;&gt;"",INDEX(tx_Cust,1875)&amp;"",INDEX(tx_Vend,1875)&amp;""),"")</f>
        <v/>
      </c>
      <c r="H1881" s="101">
        <f>IFERROR(N(INDEX(tx_Posted,1875)),0)</f>
        <v/>
      </c>
      <c r="I1881" s="58">
        <f>IF(H1881=1,INDEX(tx_DrAcct,1875)&amp;"","")</f>
        <v/>
      </c>
      <c r="J1881" s="95">
        <f>IF(H1881=1,INDEX(tx_DrAmt,1875),0)</f>
        <v/>
      </c>
      <c r="K1881" s="58">
        <f>IF(H1881=1,INDEX(tx_CrAcct,1875)&amp;"","")</f>
        <v/>
      </c>
      <c r="L1881" s="95">
        <f>IF(H1881=1,INDEX(tx_CrAmt,1875),0)</f>
        <v/>
      </c>
      <c r="M1881" s="95">
        <f>IF(H1881=1,INDEX(tx_TaxDr,1875),0)</f>
        <v/>
      </c>
      <c r="N1881" s="95">
        <f>IF(H1881=1,INDEX(tx_TaxCr,1875),0)</f>
        <v/>
      </c>
      <c r="O1881" s="101">
        <f>IF(H1881=1,IF(E1881&lt;FYStart,0,IF(E1881&gt;FYEnd,13,YEAR(E1881)*12+MONTH(E1881)-FYYM+1)),"")</f>
        <v/>
      </c>
      <c r="P1881" s="101">
        <f>IF(H1881=1,IF(IFERROR(INDEX(coa_CF,MATCH(I1881,coa_Name,0)),"")="Cash",1,0),0)</f>
        <v/>
      </c>
      <c r="Q1881" s="101">
        <f>IF(H1881=1,IF(IFERROR(INDEX(coa_CF,MATCH(K1881,coa_Name,0)),"")="Cash",1,0),0)</f>
        <v/>
      </c>
      <c r="R1881" s="58">
        <f>IF((P1881-Q1881)=0,"",IFERROR(INDEX(coa_CF,MATCH(IF((P1881-Q1881)=1,K1881,I1881),coa_Name,0)),"Operating"))</f>
        <v/>
      </c>
      <c r="S1881" s="95">
        <f>IF((P1881-Q1881)=1,L1881,IF((P1881-Q1881)=-1,-J1881,0))</f>
        <v/>
      </c>
      <c r="T1881" s="95">
        <f>IF((P1881-Q1881)=1,N1881,IF((P1881-Q1881)=-1,-M1881,0))</f>
        <v/>
      </c>
      <c r="U1881" s="101">
        <f>IF(AND(H1881=1,LedAcct&lt;&gt;""),IF(AND(E1881&gt;=LedFrom,E1881&lt;=LedTo,OR(I1881=LedAcct,K1881=LedAcct,AND(LedAcct=acctTax,M1881+N1881&lt;&gt;0))),E1881*10000+B1881,""),"")</f>
        <v/>
      </c>
    </row>
    <row r="1882">
      <c r="B1882" s="101" t="n">
        <v>1876</v>
      </c>
      <c r="C1882" s="58" t="inlineStr">
        <is>
          <t>Transaction</t>
        </is>
      </c>
      <c r="D1882" s="58">
        <f>IF(H1882=1,INDEX(tx_ID,1876)&amp;"","")</f>
        <v/>
      </c>
      <c r="E1882" s="94">
        <f>IF(H1882=1,INDEX(tx_Date,1876),"")</f>
        <v/>
      </c>
      <c r="F1882" s="58">
        <f>IF(H1882=1,INDEX(tx_Desc,1876)&amp;"","")</f>
        <v/>
      </c>
      <c r="G1882" s="58">
        <f>IF(H1882=1,IF(INDEX(tx_Cust,1876)&amp;""&lt;&gt;"",INDEX(tx_Cust,1876)&amp;"",INDEX(tx_Vend,1876)&amp;""),"")</f>
        <v/>
      </c>
      <c r="H1882" s="101">
        <f>IFERROR(N(INDEX(tx_Posted,1876)),0)</f>
        <v/>
      </c>
      <c r="I1882" s="58">
        <f>IF(H1882=1,INDEX(tx_DrAcct,1876)&amp;"","")</f>
        <v/>
      </c>
      <c r="J1882" s="95">
        <f>IF(H1882=1,INDEX(tx_DrAmt,1876),0)</f>
        <v/>
      </c>
      <c r="K1882" s="58">
        <f>IF(H1882=1,INDEX(tx_CrAcct,1876)&amp;"","")</f>
        <v/>
      </c>
      <c r="L1882" s="95">
        <f>IF(H1882=1,INDEX(tx_CrAmt,1876),0)</f>
        <v/>
      </c>
      <c r="M1882" s="95">
        <f>IF(H1882=1,INDEX(tx_TaxDr,1876),0)</f>
        <v/>
      </c>
      <c r="N1882" s="95">
        <f>IF(H1882=1,INDEX(tx_TaxCr,1876),0)</f>
        <v/>
      </c>
      <c r="O1882" s="101">
        <f>IF(H1882=1,IF(E1882&lt;FYStart,0,IF(E1882&gt;FYEnd,13,YEAR(E1882)*12+MONTH(E1882)-FYYM+1)),"")</f>
        <v/>
      </c>
      <c r="P1882" s="101">
        <f>IF(H1882=1,IF(IFERROR(INDEX(coa_CF,MATCH(I1882,coa_Name,0)),"")="Cash",1,0),0)</f>
        <v/>
      </c>
      <c r="Q1882" s="101">
        <f>IF(H1882=1,IF(IFERROR(INDEX(coa_CF,MATCH(K1882,coa_Name,0)),"")="Cash",1,0),0)</f>
        <v/>
      </c>
      <c r="R1882" s="58">
        <f>IF((P1882-Q1882)=0,"",IFERROR(INDEX(coa_CF,MATCH(IF((P1882-Q1882)=1,K1882,I1882),coa_Name,0)),"Operating"))</f>
        <v/>
      </c>
      <c r="S1882" s="95">
        <f>IF((P1882-Q1882)=1,L1882,IF((P1882-Q1882)=-1,-J1882,0))</f>
        <v/>
      </c>
      <c r="T1882" s="95">
        <f>IF((P1882-Q1882)=1,N1882,IF((P1882-Q1882)=-1,-M1882,0))</f>
        <v/>
      </c>
      <c r="U1882" s="101">
        <f>IF(AND(H1882=1,LedAcct&lt;&gt;""),IF(AND(E1882&gt;=LedFrom,E1882&lt;=LedTo,OR(I1882=LedAcct,K1882=LedAcct,AND(LedAcct=acctTax,M1882+N1882&lt;&gt;0))),E1882*10000+B1882,""),"")</f>
        <v/>
      </c>
    </row>
    <row r="1883">
      <c r="B1883" s="101" t="n">
        <v>1877</v>
      </c>
      <c r="C1883" s="58" t="inlineStr">
        <is>
          <t>Transaction</t>
        </is>
      </c>
      <c r="D1883" s="58">
        <f>IF(H1883=1,INDEX(tx_ID,1877)&amp;"","")</f>
        <v/>
      </c>
      <c r="E1883" s="94">
        <f>IF(H1883=1,INDEX(tx_Date,1877),"")</f>
        <v/>
      </c>
      <c r="F1883" s="58">
        <f>IF(H1883=1,INDEX(tx_Desc,1877)&amp;"","")</f>
        <v/>
      </c>
      <c r="G1883" s="58">
        <f>IF(H1883=1,IF(INDEX(tx_Cust,1877)&amp;""&lt;&gt;"",INDEX(tx_Cust,1877)&amp;"",INDEX(tx_Vend,1877)&amp;""),"")</f>
        <v/>
      </c>
      <c r="H1883" s="101">
        <f>IFERROR(N(INDEX(tx_Posted,1877)),0)</f>
        <v/>
      </c>
      <c r="I1883" s="58">
        <f>IF(H1883=1,INDEX(tx_DrAcct,1877)&amp;"","")</f>
        <v/>
      </c>
      <c r="J1883" s="95">
        <f>IF(H1883=1,INDEX(tx_DrAmt,1877),0)</f>
        <v/>
      </c>
      <c r="K1883" s="58">
        <f>IF(H1883=1,INDEX(tx_CrAcct,1877)&amp;"","")</f>
        <v/>
      </c>
      <c r="L1883" s="95">
        <f>IF(H1883=1,INDEX(tx_CrAmt,1877),0)</f>
        <v/>
      </c>
      <c r="M1883" s="95">
        <f>IF(H1883=1,INDEX(tx_TaxDr,1877),0)</f>
        <v/>
      </c>
      <c r="N1883" s="95">
        <f>IF(H1883=1,INDEX(tx_TaxCr,1877),0)</f>
        <v/>
      </c>
      <c r="O1883" s="101">
        <f>IF(H1883=1,IF(E1883&lt;FYStart,0,IF(E1883&gt;FYEnd,13,YEAR(E1883)*12+MONTH(E1883)-FYYM+1)),"")</f>
        <v/>
      </c>
      <c r="P1883" s="101">
        <f>IF(H1883=1,IF(IFERROR(INDEX(coa_CF,MATCH(I1883,coa_Name,0)),"")="Cash",1,0),0)</f>
        <v/>
      </c>
      <c r="Q1883" s="101">
        <f>IF(H1883=1,IF(IFERROR(INDEX(coa_CF,MATCH(K1883,coa_Name,0)),"")="Cash",1,0),0)</f>
        <v/>
      </c>
      <c r="R1883" s="58">
        <f>IF((P1883-Q1883)=0,"",IFERROR(INDEX(coa_CF,MATCH(IF((P1883-Q1883)=1,K1883,I1883),coa_Name,0)),"Operating"))</f>
        <v/>
      </c>
      <c r="S1883" s="95">
        <f>IF((P1883-Q1883)=1,L1883,IF((P1883-Q1883)=-1,-J1883,0))</f>
        <v/>
      </c>
      <c r="T1883" s="95">
        <f>IF((P1883-Q1883)=1,N1883,IF((P1883-Q1883)=-1,-M1883,0))</f>
        <v/>
      </c>
      <c r="U1883" s="101">
        <f>IF(AND(H1883=1,LedAcct&lt;&gt;""),IF(AND(E1883&gt;=LedFrom,E1883&lt;=LedTo,OR(I1883=LedAcct,K1883=LedAcct,AND(LedAcct=acctTax,M1883+N1883&lt;&gt;0))),E1883*10000+B1883,""),"")</f>
        <v/>
      </c>
    </row>
    <row r="1884">
      <c r="B1884" s="101" t="n">
        <v>1878</v>
      </c>
      <c r="C1884" s="58" t="inlineStr">
        <is>
          <t>Transaction</t>
        </is>
      </c>
      <c r="D1884" s="58">
        <f>IF(H1884=1,INDEX(tx_ID,1878)&amp;"","")</f>
        <v/>
      </c>
      <c r="E1884" s="94">
        <f>IF(H1884=1,INDEX(tx_Date,1878),"")</f>
        <v/>
      </c>
      <c r="F1884" s="58">
        <f>IF(H1884=1,INDEX(tx_Desc,1878)&amp;"","")</f>
        <v/>
      </c>
      <c r="G1884" s="58">
        <f>IF(H1884=1,IF(INDEX(tx_Cust,1878)&amp;""&lt;&gt;"",INDEX(tx_Cust,1878)&amp;"",INDEX(tx_Vend,1878)&amp;""),"")</f>
        <v/>
      </c>
      <c r="H1884" s="101">
        <f>IFERROR(N(INDEX(tx_Posted,1878)),0)</f>
        <v/>
      </c>
      <c r="I1884" s="58">
        <f>IF(H1884=1,INDEX(tx_DrAcct,1878)&amp;"","")</f>
        <v/>
      </c>
      <c r="J1884" s="95">
        <f>IF(H1884=1,INDEX(tx_DrAmt,1878),0)</f>
        <v/>
      </c>
      <c r="K1884" s="58">
        <f>IF(H1884=1,INDEX(tx_CrAcct,1878)&amp;"","")</f>
        <v/>
      </c>
      <c r="L1884" s="95">
        <f>IF(H1884=1,INDEX(tx_CrAmt,1878),0)</f>
        <v/>
      </c>
      <c r="M1884" s="95">
        <f>IF(H1884=1,INDEX(tx_TaxDr,1878),0)</f>
        <v/>
      </c>
      <c r="N1884" s="95">
        <f>IF(H1884=1,INDEX(tx_TaxCr,1878),0)</f>
        <v/>
      </c>
      <c r="O1884" s="101">
        <f>IF(H1884=1,IF(E1884&lt;FYStart,0,IF(E1884&gt;FYEnd,13,YEAR(E1884)*12+MONTH(E1884)-FYYM+1)),"")</f>
        <v/>
      </c>
      <c r="P1884" s="101">
        <f>IF(H1884=1,IF(IFERROR(INDEX(coa_CF,MATCH(I1884,coa_Name,0)),"")="Cash",1,0),0)</f>
        <v/>
      </c>
      <c r="Q1884" s="101">
        <f>IF(H1884=1,IF(IFERROR(INDEX(coa_CF,MATCH(K1884,coa_Name,0)),"")="Cash",1,0),0)</f>
        <v/>
      </c>
      <c r="R1884" s="58">
        <f>IF((P1884-Q1884)=0,"",IFERROR(INDEX(coa_CF,MATCH(IF((P1884-Q1884)=1,K1884,I1884),coa_Name,0)),"Operating"))</f>
        <v/>
      </c>
      <c r="S1884" s="95">
        <f>IF((P1884-Q1884)=1,L1884,IF((P1884-Q1884)=-1,-J1884,0))</f>
        <v/>
      </c>
      <c r="T1884" s="95">
        <f>IF((P1884-Q1884)=1,N1884,IF((P1884-Q1884)=-1,-M1884,0))</f>
        <v/>
      </c>
      <c r="U1884" s="101">
        <f>IF(AND(H1884=1,LedAcct&lt;&gt;""),IF(AND(E1884&gt;=LedFrom,E1884&lt;=LedTo,OR(I1884=LedAcct,K1884=LedAcct,AND(LedAcct=acctTax,M1884+N1884&lt;&gt;0))),E1884*10000+B1884,""),"")</f>
        <v/>
      </c>
    </row>
    <row r="1885">
      <c r="B1885" s="101" t="n">
        <v>1879</v>
      </c>
      <c r="C1885" s="58" t="inlineStr">
        <is>
          <t>Transaction</t>
        </is>
      </c>
      <c r="D1885" s="58">
        <f>IF(H1885=1,INDEX(tx_ID,1879)&amp;"","")</f>
        <v/>
      </c>
      <c r="E1885" s="94">
        <f>IF(H1885=1,INDEX(tx_Date,1879),"")</f>
        <v/>
      </c>
      <c r="F1885" s="58">
        <f>IF(H1885=1,INDEX(tx_Desc,1879)&amp;"","")</f>
        <v/>
      </c>
      <c r="G1885" s="58">
        <f>IF(H1885=1,IF(INDEX(tx_Cust,1879)&amp;""&lt;&gt;"",INDEX(tx_Cust,1879)&amp;"",INDEX(tx_Vend,1879)&amp;""),"")</f>
        <v/>
      </c>
      <c r="H1885" s="101">
        <f>IFERROR(N(INDEX(tx_Posted,1879)),0)</f>
        <v/>
      </c>
      <c r="I1885" s="58">
        <f>IF(H1885=1,INDEX(tx_DrAcct,1879)&amp;"","")</f>
        <v/>
      </c>
      <c r="J1885" s="95">
        <f>IF(H1885=1,INDEX(tx_DrAmt,1879),0)</f>
        <v/>
      </c>
      <c r="K1885" s="58">
        <f>IF(H1885=1,INDEX(tx_CrAcct,1879)&amp;"","")</f>
        <v/>
      </c>
      <c r="L1885" s="95">
        <f>IF(H1885=1,INDEX(tx_CrAmt,1879),0)</f>
        <v/>
      </c>
      <c r="M1885" s="95">
        <f>IF(H1885=1,INDEX(tx_TaxDr,1879),0)</f>
        <v/>
      </c>
      <c r="N1885" s="95">
        <f>IF(H1885=1,INDEX(tx_TaxCr,1879),0)</f>
        <v/>
      </c>
      <c r="O1885" s="101">
        <f>IF(H1885=1,IF(E1885&lt;FYStart,0,IF(E1885&gt;FYEnd,13,YEAR(E1885)*12+MONTH(E1885)-FYYM+1)),"")</f>
        <v/>
      </c>
      <c r="P1885" s="101">
        <f>IF(H1885=1,IF(IFERROR(INDEX(coa_CF,MATCH(I1885,coa_Name,0)),"")="Cash",1,0),0)</f>
        <v/>
      </c>
      <c r="Q1885" s="101">
        <f>IF(H1885=1,IF(IFERROR(INDEX(coa_CF,MATCH(K1885,coa_Name,0)),"")="Cash",1,0),0)</f>
        <v/>
      </c>
      <c r="R1885" s="58">
        <f>IF((P1885-Q1885)=0,"",IFERROR(INDEX(coa_CF,MATCH(IF((P1885-Q1885)=1,K1885,I1885),coa_Name,0)),"Operating"))</f>
        <v/>
      </c>
      <c r="S1885" s="95">
        <f>IF((P1885-Q1885)=1,L1885,IF((P1885-Q1885)=-1,-J1885,0))</f>
        <v/>
      </c>
      <c r="T1885" s="95">
        <f>IF((P1885-Q1885)=1,N1885,IF((P1885-Q1885)=-1,-M1885,0))</f>
        <v/>
      </c>
      <c r="U1885" s="101">
        <f>IF(AND(H1885=1,LedAcct&lt;&gt;""),IF(AND(E1885&gt;=LedFrom,E1885&lt;=LedTo,OR(I1885=LedAcct,K1885=LedAcct,AND(LedAcct=acctTax,M1885+N1885&lt;&gt;0))),E1885*10000+B1885,""),"")</f>
        <v/>
      </c>
    </row>
    <row r="1886">
      <c r="B1886" s="101" t="n">
        <v>1880</v>
      </c>
      <c r="C1886" s="58" t="inlineStr">
        <is>
          <t>Transaction</t>
        </is>
      </c>
      <c r="D1886" s="58">
        <f>IF(H1886=1,INDEX(tx_ID,1880)&amp;"","")</f>
        <v/>
      </c>
      <c r="E1886" s="94">
        <f>IF(H1886=1,INDEX(tx_Date,1880),"")</f>
        <v/>
      </c>
      <c r="F1886" s="58">
        <f>IF(H1886=1,INDEX(tx_Desc,1880)&amp;"","")</f>
        <v/>
      </c>
      <c r="G1886" s="58">
        <f>IF(H1886=1,IF(INDEX(tx_Cust,1880)&amp;""&lt;&gt;"",INDEX(tx_Cust,1880)&amp;"",INDEX(tx_Vend,1880)&amp;""),"")</f>
        <v/>
      </c>
      <c r="H1886" s="101">
        <f>IFERROR(N(INDEX(tx_Posted,1880)),0)</f>
        <v/>
      </c>
      <c r="I1886" s="58">
        <f>IF(H1886=1,INDEX(tx_DrAcct,1880)&amp;"","")</f>
        <v/>
      </c>
      <c r="J1886" s="95">
        <f>IF(H1886=1,INDEX(tx_DrAmt,1880),0)</f>
        <v/>
      </c>
      <c r="K1886" s="58">
        <f>IF(H1886=1,INDEX(tx_CrAcct,1880)&amp;"","")</f>
        <v/>
      </c>
      <c r="L1886" s="95">
        <f>IF(H1886=1,INDEX(tx_CrAmt,1880),0)</f>
        <v/>
      </c>
      <c r="M1886" s="95">
        <f>IF(H1886=1,INDEX(tx_TaxDr,1880),0)</f>
        <v/>
      </c>
      <c r="N1886" s="95">
        <f>IF(H1886=1,INDEX(tx_TaxCr,1880),0)</f>
        <v/>
      </c>
      <c r="O1886" s="101">
        <f>IF(H1886=1,IF(E1886&lt;FYStart,0,IF(E1886&gt;FYEnd,13,YEAR(E1886)*12+MONTH(E1886)-FYYM+1)),"")</f>
        <v/>
      </c>
      <c r="P1886" s="101">
        <f>IF(H1886=1,IF(IFERROR(INDEX(coa_CF,MATCH(I1886,coa_Name,0)),"")="Cash",1,0),0)</f>
        <v/>
      </c>
      <c r="Q1886" s="101">
        <f>IF(H1886=1,IF(IFERROR(INDEX(coa_CF,MATCH(K1886,coa_Name,0)),"")="Cash",1,0),0)</f>
        <v/>
      </c>
      <c r="R1886" s="58">
        <f>IF((P1886-Q1886)=0,"",IFERROR(INDEX(coa_CF,MATCH(IF((P1886-Q1886)=1,K1886,I1886),coa_Name,0)),"Operating"))</f>
        <v/>
      </c>
      <c r="S1886" s="95">
        <f>IF((P1886-Q1886)=1,L1886,IF((P1886-Q1886)=-1,-J1886,0))</f>
        <v/>
      </c>
      <c r="T1886" s="95">
        <f>IF((P1886-Q1886)=1,N1886,IF((P1886-Q1886)=-1,-M1886,0))</f>
        <v/>
      </c>
      <c r="U1886" s="101">
        <f>IF(AND(H1886=1,LedAcct&lt;&gt;""),IF(AND(E1886&gt;=LedFrom,E1886&lt;=LedTo,OR(I1886=LedAcct,K1886=LedAcct,AND(LedAcct=acctTax,M1886+N1886&lt;&gt;0))),E1886*10000+B1886,""),"")</f>
        <v/>
      </c>
    </row>
    <row r="1887">
      <c r="B1887" s="101" t="n">
        <v>1881</v>
      </c>
      <c r="C1887" s="58" t="inlineStr">
        <is>
          <t>Transaction</t>
        </is>
      </c>
      <c r="D1887" s="58">
        <f>IF(H1887=1,INDEX(tx_ID,1881)&amp;"","")</f>
        <v/>
      </c>
      <c r="E1887" s="94">
        <f>IF(H1887=1,INDEX(tx_Date,1881),"")</f>
        <v/>
      </c>
      <c r="F1887" s="58">
        <f>IF(H1887=1,INDEX(tx_Desc,1881)&amp;"","")</f>
        <v/>
      </c>
      <c r="G1887" s="58">
        <f>IF(H1887=1,IF(INDEX(tx_Cust,1881)&amp;""&lt;&gt;"",INDEX(tx_Cust,1881)&amp;"",INDEX(tx_Vend,1881)&amp;""),"")</f>
        <v/>
      </c>
      <c r="H1887" s="101">
        <f>IFERROR(N(INDEX(tx_Posted,1881)),0)</f>
        <v/>
      </c>
      <c r="I1887" s="58">
        <f>IF(H1887=1,INDEX(tx_DrAcct,1881)&amp;"","")</f>
        <v/>
      </c>
      <c r="J1887" s="95">
        <f>IF(H1887=1,INDEX(tx_DrAmt,1881),0)</f>
        <v/>
      </c>
      <c r="K1887" s="58">
        <f>IF(H1887=1,INDEX(tx_CrAcct,1881)&amp;"","")</f>
        <v/>
      </c>
      <c r="L1887" s="95">
        <f>IF(H1887=1,INDEX(tx_CrAmt,1881),0)</f>
        <v/>
      </c>
      <c r="M1887" s="95">
        <f>IF(H1887=1,INDEX(tx_TaxDr,1881),0)</f>
        <v/>
      </c>
      <c r="N1887" s="95">
        <f>IF(H1887=1,INDEX(tx_TaxCr,1881),0)</f>
        <v/>
      </c>
      <c r="O1887" s="101">
        <f>IF(H1887=1,IF(E1887&lt;FYStart,0,IF(E1887&gt;FYEnd,13,YEAR(E1887)*12+MONTH(E1887)-FYYM+1)),"")</f>
        <v/>
      </c>
      <c r="P1887" s="101">
        <f>IF(H1887=1,IF(IFERROR(INDEX(coa_CF,MATCH(I1887,coa_Name,0)),"")="Cash",1,0),0)</f>
        <v/>
      </c>
      <c r="Q1887" s="101">
        <f>IF(H1887=1,IF(IFERROR(INDEX(coa_CF,MATCH(K1887,coa_Name,0)),"")="Cash",1,0),0)</f>
        <v/>
      </c>
      <c r="R1887" s="58">
        <f>IF((P1887-Q1887)=0,"",IFERROR(INDEX(coa_CF,MATCH(IF((P1887-Q1887)=1,K1887,I1887),coa_Name,0)),"Operating"))</f>
        <v/>
      </c>
      <c r="S1887" s="95">
        <f>IF((P1887-Q1887)=1,L1887,IF((P1887-Q1887)=-1,-J1887,0))</f>
        <v/>
      </c>
      <c r="T1887" s="95">
        <f>IF((P1887-Q1887)=1,N1887,IF((P1887-Q1887)=-1,-M1887,0))</f>
        <v/>
      </c>
      <c r="U1887" s="101">
        <f>IF(AND(H1887=1,LedAcct&lt;&gt;""),IF(AND(E1887&gt;=LedFrom,E1887&lt;=LedTo,OR(I1887=LedAcct,K1887=LedAcct,AND(LedAcct=acctTax,M1887+N1887&lt;&gt;0))),E1887*10000+B1887,""),"")</f>
        <v/>
      </c>
    </row>
    <row r="1888">
      <c r="B1888" s="101" t="n">
        <v>1882</v>
      </c>
      <c r="C1888" s="58" t="inlineStr">
        <is>
          <t>Transaction</t>
        </is>
      </c>
      <c r="D1888" s="58">
        <f>IF(H1888=1,INDEX(tx_ID,1882)&amp;"","")</f>
        <v/>
      </c>
      <c r="E1888" s="94">
        <f>IF(H1888=1,INDEX(tx_Date,1882),"")</f>
        <v/>
      </c>
      <c r="F1888" s="58">
        <f>IF(H1888=1,INDEX(tx_Desc,1882)&amp;"","")</f>
        <v/>
      </c>
      <c r="G1888" s="58">
        <f>IF(H1888=1,IF(INDEX(tx_Cust,1882)&amp;""&lt;&gt;"",INDEX(tx_Cust,1882)&amp;"",INDEX(tx_Vend,1882)&amp;""),"")</f>
        <v/>
      </c>
      <c r="H1888" s="101">
        <f>IFERROR(N(INDEX(tx_Posted,1882)),0)</f>
        <v/>
      </c>
      <c r="I1888" s="58">
        <f>IF(H1888=1,INDEX(tx_DrAcct,1882)&amp;"","")</f>
        <v/>
      </c>
      <c r="J1888" s="95">
        <f>IF(H1888=1,INDEX(tx_DrAmt,1882),0)</f>
        <v/>
      </c>
      <c r="K1888" s="58">
        <f>IF(H1888=1,INDEX(tx_CrAcct,1882)&amp;"","")</f>
        <v/>
      </c>
      <c r="L1888" s="95">
        <f>IF(H1888=1,INDEX(tx_CrAmt,1882),0)</f>
        <v/>
      </c>
      <c r="M1888" s="95">
        <f>IF(H1888=1,INDEX(tx_TaxDr,1882),0)</f>
        <v/>
      </c>
      <c r="N1888" s="95">
        <f>IF(H1888=1,INDEX(tx_TaxCr,1882),0)</f>
        <v/>
      </c>
      <c r="O1888" s="101">
        <f>IF(H1888=1,IF(E1888&lt;FYStart,0,IF(E1888&gt;FYEnd,13,YEAR(E1888)*12+MONTH(E1888)-FYYM+1)),"")</f>
        <v/>
      </c>
      <c r="P1888" s="101">
        <f>IF(H1888=1,IF(IFERROR(INDEX(coa_CF,MATCH(I1888,coa_Name,0)),"")="Cash",1,0),0)</f>
        <v/>
      </c>
      <c r="Q1888" s="101">
        <f>IF(H1888=1,IF(IFERROR(INDEX(coa_CF,MATCH(K1888,coa_Name,0)),"")="Cash",1,0),0)</f>
        <v/>
      </c>
      <c r="R1888" s="58">
        <f>IF((P1888-Q1888)=0,"",IFERROR(INDEX(coa_CF,MATCH(IF((P1888-Q1888)=1,K1888,I1888),coa_Name,0)),"Operating"))</f>
        <v/>
      </c>
      <c r="S1888" s="95">
        <f>IF((P1888-Q1888)=1,L1888,IF((P1888-Q1888)=-1,-J1888,0))</f>
        <v/>
      </c>
      <c r="T1888" s="95">
        <f>IF((P1888-Q1888)=1,N1888,IF((P1888-Q1888)=-1,-M1888,0))</f>
        <v/>
      </c>
      <c r="U1888" s="101">
        <f>IF(AND(H1888=1,LedAcct&lt;&gt;""),IF(AND(E1888&gt;=LedFrom,E1888&lt;=LedTo,OR(I1888=LedAcct,K1888=LedAcct,AND(LedAcct=acctTax,M1888+N1888&lt;&gt;0))),E1888*10000+B1888,""),"")</f>
        <v/>
      </c>
    </row>
    <row r="1889">
      <c r="B1889" s="101" t="n">
        <v>1883</v>
      </c>
      <c r="C1889" s="58" t="inlineStr">
        <is>
          <t>Transaction</t>
        </is>
      </c>
      <c r="D1889" s="58">
        <f>IF(H1889=1,INDEX(tx_ID,1883)&amp;"","")</f>
        <v/>
      </c>
      <c r="E1889" s="94">
        <f>IF(H1889=1,INDEX(tx_Date,1883),"")</f>
        <v/>
      </c>
      <c r="F1889" s="58">
        <f>IF(H1889=1,INDEX(tx_Desc,1883)&amp;"","")</f>
        <v/>
      </c>
      <c r="G1889" s="58">
        <f>IF(H1889=1,IF(INDEX(tx_Cust,1883)&amp;""&lt;&gt;"",INDEX(tx_Cust,1883)&amp;"",INDEX(tx_Vend,1883)&amp;""),"")</f>
        <v/>
      </c>
      <c r="H1889" s="101">
        <f>IFERROR(N(INDEX(tx_Posted,1883)),0)</f>
        <v/>
      </c>
      <c r="I1889" s="58">
        <f>IF(H1889=1,INDEX(tx_DrAcct,1883)&amp;"","")</f>
        <v/>
      </c>
      <c r="J1889" s="95">
        <f>IF(H1889=1,INDEX(tx_DrAmt,1883),0)</f>
        <v/>
      </c>
      <c r="K1889" s="58">
        <f>IF(H1889=1,INDEX(tx_CrAcct,1883)&amp;"","")</f>
        <v/>
      </c>
      <c r="L1889" s="95">
        <f>IF(H1889=1,INDEX(tx_CrAmt,1883),0)</f>
        <v/>
      </c>
      <c r="M1889" s="95">
        <f>IF(H1889=1,INDEX(tx_TaxDr,1883),0)</f>
        <v/>
      </c>
      <c r="N1889" s="95">
        <f>IF(H1889=1,INDEX(tx_TaxCr,1883),0)</f>
        <v/>
      </c>
      <c r="O1889" s="101">
        <f>IF(H1889=1,IF(E1889&lt;FYStart,0,IF(E1889&gt;FYEnd,13,YEAR(E1889)*12+MONTH(E1889)-FYYM+1)),"")</f>
        <v/>
      </c>
      <c r="P1889" s="101">
        <f>IF(H1889=1,IF(IFERROR(INDEX(coa_CF,MATCH(I1889,coa_Name,0)),"")="Cash",1,0),0)</f>
        <v/>
      </c>
      <c r="Q1889" s="101">
        <f>IF(H1889=1,IF(IFERROR(INDEX(coa_CF,MATCH(K1889,coa_Name,0)),"")="Cash",1,0),0)</f>
        <v/>
      </c>
      <c r="R1889" s="58">
        <f>IF((P1889-Q1889)=0,"",IFERROR(INDEX(coa_CF,MATCH(IF((P1889-Q1889)=1,K1889,I1889),coa_Name,0)),"Operating"))</f>
        <v/>
      </c>
      <c r="S1889" s="95">
        <f>IF((P1889-Q1889)=1,L1889,IF((P1889-Q1889)=-1,-J1889,0))</f>
        <v/>
      </c>
      <c r="T1889" s="95">
        <f>IF((P1889-Q1889)=1,N1889,IF((P1889-Q1889)=-1,-M1889,0))</f>
        <v/>
      </c>
      <c r="U1889" s="101">
        <f>IF(AND(H1889=1,LedAcct&lt;&gt;""),IF(AND(E1889&gt;=LedFrom,E1889&lt;=LedTo,OR(I1889=LedAcct,K1889=LedAcct,AND(LedAcct=acctTax,M1889+N1889&lt;&gt;0))),E1889*10000+B1889,""),"")</f>
        <v/>
      </c>
    </row>
    <row r="1890">
      <c r="B1890" s="101" t="n">
        <v>1884</v>
      </c>
      <c r="C1890" s="58" t="inlineStr">
        <is>
          <t>Transaction</t>
        </is>
      </c>
      <c r="D1890" s="58">
        <f>IF(H1890=1,INDEX(tx_ID,1884)&amp;"","")</f>
        <v/>
      </c>
      <c r="E1890" s="94">
        <f>IF(H1890=1,INDEX(tx_Date,1884),"")</f>
        <v/>
      </c>
      <c r="F1890" s="58">
        <f>IF(H1890=1,INDEX(tx_Desc,1884)&amp;"","")</f>
        <v/>
      </c>
      <c r="G1890" s="58">
        <f>IF(H1890=1,IF(INDEX(tx_Cust,1884)&amp;""&lt;&gt;"",INDEX(tx_Cust,1884)&amp;"",INDEX(tx_Vend,1884)&amp;""),"")</f>
        <v/>
      </c>
      <c r="H1890" s="101">
        <f>IFERROR(N(INDEX(tx_Posted,1884)),0)</f>
        <v/>
      </c>
      <c r="I1890" s="58">
        <f>IF(H1890=1,INDEX(tx_DrAcct,1884)&amp;"","")</f>
        <v/>
      </c>
      <c r="J1890" s="95">
        <f>IF(H1890=1,INDEX(tx_DrAmt,1884),0)</f>
        <v/>
      </c>
      <c r="K1890" s="58">
        <f>IF(H1890=1,INDEX(tx_CrAcct,1884)&amp;"","")</f>
        <v/>
      </c>
      <c r="L1890" s="95">
        <f>IF(H1890=1,INDEX(tx_CrAmt,1884),0)</f>
        <v/>
      </c>
      <c r="M1890" s="95">
        <f>IF(H1890=1,INDEX(tx_TaxDr,1884),0)</f>
        <v/>
      </c>
      <c r="N1890" s="95">
        <f>IF(H1890=1,INDEX(tx_TaxCr,1884),0)</f>
        <v/>
      </c>
      <c r="O1890" s="101">
        <f>IF(H1890=1,IF(E1890&lt;FYStart,0,IF(E1890&gt;FYEnd,13,YEAR(E1890)*12+MONTH(E1890)-FYYM+1)),"")</f>
        <v/>
      </c>
      <c r="P1890" s="101">
        <f>IF(H1890=1,IF(IFERROR(INDEX(coa_CF,MATCH(I1890,coa_Name,0)),"")="Cash",1,0),0)</f>
        <v/>
      </c>
      <c r="Q1890" s="101">
        <f>IF(H1890=1,IF(IFERROR(INDEX(coa_CF,MATCH(K1890,coa_Name,0)),"")="Cash",1,0),0)</f>
        <v/>
      </c>
      <c r="R1890" s="58">
        <f>IF((P1890-Q1890)=0,"",IFERROR(INDEX(coa_CF,MATCH(IF((P1890-Q1890)=1,K1890,I1890),coa_Name,0)),"Operating"))</f>
        <v/>
      </c>
      <c r="S1890" s="95">
        <f>IF((P1890-Q1890)=1,L1890,IF((P1890-Q1890)=-1,-J1890,0))</f>
        <v/>
      </c>
      <c r="T1890" s="95">
        <f>IF((P1890-Q1890)=1,N1890,IF((P1890-Q1890)=-1,-M1890,0))</f>
        <v/>
      </c>
      <c r="U1890" s="101">
        <f>IF(AND(H1890=1,LedAcct&lt;&gt;""),IF(AND(E1890&gt;=LedFrom,E1890&lt;=LedTo,OR(I1890=LedAcct,K1890=LedAcct,AND(LedAcct=acctTax,M1890+N1890&lt;&gt;0))),E1890*10000+B1890,""),"")</f>
        <v/>
      </c>
    </row>
    <row r="1891">
      <c r="B1891" s="101" t="n">
        <v>1885</v>
      </c>
      <c r="C1891" s="58" t="inlineStr">
        <is>
          <t>Transaction</t>
        </is>
      </c>
      <c r="D1891" s="58">
        <f>IF(H1891=1,INDEX(tx_ID,1885)&amp;"","")</f>
        <v/>
      </c>
      <c r="E1891" s="94">
        <f>IF(H1891=1,INDEX(tx_Date,1885),"")</f>
        <v/>
      </c>
      <c r="F1891" s="58">
        <f>IF(H1891=1,INDEX(tx_Desc,1885)&amp;"","")</f>
        <v/>
      </c>
      <c r="G1891" s="58">
        <f>IF(H1891=1,IF(INDEX(tx_Cust,1885)&amp;""&lt;&gt;"",INDEX(tx_Cust,1885)&amp;"",INDEX(tx_Vend,1885)&amp;""),"")</f>
        <v/>
      </c>
      <c r="H1891" s="101">
        <f>IFERROR(N(INDEX(tx_Posted,1885)),0)</f>
        <v/>
      </c>
      <c r="I1891" s="58">
        <f>IF(H1891=1,INDEX(tx_DrAcct,1885)&amp;"","")</f>
        <v/>
      </c>
      <c r="J1891" s="95">
        <f>IF(H1891=1,INDEX(tx_DrAmt,1885),0)</f>
        <v/>
      </c>
      <c r="K1891" s="58">
        <f>IF(H1891=1,INDEX(tx_CrAcct,1885)&amp;"","")</f>
        <v/>
      </c>
      <c r="L1891" s="95">
        <f>IF(H1891=1,INDEX(tx_CrAmt,1885),0)</f>
        <v/>
      </c>
      <c r="M1891" s="95">
        <f>IF(H1891=1,INDEX(tx_TaxDr,1885),0)</f>
        <v/>
      </c>
      <c r="N1891" s="95">
        <f>IF(H1891=1,INDEX(tx_TaxCr,1885),0)</f>
        <v/>
      </c>
      <c r="O1891" s="101">
        <f>IF(H1891=1,IF(E1891&lt;FYStart,0,IF(E1891&gt;FYEnd,13,YEAR(E1891)*12+MONTH(E1891)-FYYM+1)),"")</f>
        <v/>
      </c>
      <c r="P1891" s="101">
        <f>IF(H1891=1,IF(IFERROR(INDEX(coa_CF,MATCH(I1891,coa_Name,0)),"")="Cash",1,0),0)</f>
        <v/>
      </c>
      <c r="Q1891" s="101">
        <f>IF(H1891=1,IF(IFERROR(INDEX(coa_CF,MATCH(K1891,coa_Name,0)),"")="Cash",1,0),0)</f>
        <v/>
      </c>
      <c r="R1891" s="58">
        <f>IF((P1891-Q1891)=0,"",IFERROR(INDEX(coa_CF,MATCH(IF((P1891-Q1891)=1,K1891,I1891),coa_Name,0)),"Operating"))</f>
        <v/>
      </c>
      <c r="S1891" s="95">
        <f>IF((P1891-Q1891)=1,L1891,IF((P1891-Q1891)=-1,-J1891,0))</f>
        <v/>
      </c>
      <c r="T1891" s="95">
        <f>IF((P1891-Q1891)=1,N1891,IF((P1891-Q1891)=-1,-M1891,0))</f>
        <v/>
      </c>
      <c r="U1891" s="101">
        <f>IF(AND(H1891=1,LedAcct&lt;&gt;""),IF(AND(E1891&gt;=LedFrom,E1891&lt;=LedTo,OR(I1891=LedAcct,K1891=LedAcct,AND(LedAcct=acctTax,M1891+N1891&lt;&gt;0))),E1891*10000+B1891,""),"")</f>
        <v/>
      </c>
    </row>
    <row r="1892">
      <c r="B1892" s="101" t="n">
        <v>1886</v>
      </c>
      <c r="C1892" s="58" t="inlineStr">
        <is>
          <t>Transaction</t>
        </is>
      </c>
      <c r="D1892" s="58">
        <f>IF(H1892=1,INDEX(tx_ID,1886)&amp;"","")</f>
        <v/>
      </c>
      <c r="E1892" s="94">
        <f>IF(H1892=1,INDEX(tx_Date,1886),"")</f>
        <v/>
      </c>
      <c r="F1892" s="58">
        <f>IF(H1892=1,INDEX(tx_Desc,1886)&amp;"","")</f>
        <v/>
      </c>
      <c r="G1892" s="58">
        <f>IF(H1892=1,IF(INDEX(tx_Cust,1886)&amp;""&lt;&gt;"",INDEX(tx_Cust,1886)&amp;"",INDEX(tx_Vend,1886)&amp;""),"")</f>
        <v/>
      </c>
      <c r="H1892" s="101">
        <f>IFERROR(N(INDEX(tx_Posted,1886)),0)</f>
        <v/>
      </c>
      <c r="I1892" s="58">
        <f>IF(H1892=1,INDEX(tx_DrAcct,1886)&amp;"","")</f>
        <v/>
      </c>
      <c r="J1892" s="95">
        <f>IF(H1892=1,INDEX(tx_DrAmt,1886),0)</f>
        <v/>
      </c>
      <c r="K1892" s="58">
        <f>IF(H1892=1,INDEX(tx_CrAcct,1886)&amp;"","")</f>
        <v/>
      </c>
      <c r="L1892" s="95">
        <f>IF(H1892=1,INDEX(tx_CrAmt,1886),0)</f>
        <v/>
      </c>
      <c r="M1892" s="95">
        <f>IF(H1892=1,INDEX(tx_TaxDr,1886),0)</f>
        <v/>
      </c>
      <c r="N1892" s="95">
        <f>IF(H1892=1,INDEX(tx_TaxCr,1886),0)</f>
        <v/>
      </c>
      <c r="O1892" s="101">
        <f>IF(H1892=1,IF(E1892&lt;FYStart,0,IF(E1892&gt;FYEnd,13,YEAR(E1892)*12+MONTH(E1892)-FYYM+1)),"")</f>
        <v/>
      </c>
      <c r="P1892" s="101">
        <f>IF(H1892=1,IF(IFERROR(INDEX(coa_CF,MATCH(I1892,coa_Name,0)),"")="Cash",1,0),0)</f>
        <v/>
      </c>
      <c r="Q1892" s="101">
        <f>IF(H1892=1,IF(IFERROR(INDEX(coa_CF,MATCH(K1892,coa_Name,0)),"")="Cash",1,0),0)</f>
        <v/>
      </c>
      <c r="R1892" s="58">
        <f>IF((P1892-Q1892)=0,"",IFERROR(INDEX(coa_CF,MATCH(IF((P1892-Q1892)=1,K1892,I1892),coa_Name,0)),"Operating"))</f>
        <v/>
      </c>
      <c r="S1892" s="95">
        <f>IF((P1892-Q1892)=1,L1892,IF((P1892-Q1892)=-1,-J1892,0))</f>
        <v/>
      </c>
      <c r="T1892" s="95">
        <f>IF((P1892-Q1892)=1,N1892,IF((P1892-Q1892)=-1,-M1892,0))</f>
        <v/>
      </c>
      <c r="U1892" s="101">
        <f>IF(AND(H1892=1,LedAcct&lt;&gt;""),IF(AND(E1892&gt;=LedFrom,E1892&lt;=LedTo,OR(I1892=LedAcct,K1892=LedAcct,AND(LedAcct=acctTax,M1892+N1892&lt;&gt;0))),E1892*10000+B1892,""),"")</f>
        <v/>
      </c>
    </row>
    <row r="1893">
      <c r="B1893" s="101" t="n">
        <v>1887</v>
      </c>
      <c r="C1893" s="58" t="inlineStr">
        <is>
          <t>Transaction</t>
        </is>
      </c>
      <c r="D1893" s="58">
        <f>IF(H1893=1,INDEX(tx_ID,1887)&amp;"","")</f>
        <v/>
      </c>
      <c r="E1893" s="94">
        <f>IF(H1893=1,INDEX(tx_Date,1887),"")</f>
        <v/>
      </c>
      <c r="F1893" s="58">
        <f>IF(H1893=1,INDEX(tx_Desc,1887)&amp;"","")</f>
        <v/>
      </c>
      <c r="G1893" s="58">
        <f>IF(H1893=1,IF(INDEX(tx_Cust,1887)&amp;""&lt;&gt;"",INDEX(tx_Cust,1887)&amp;"",INDEX(tx_Vend,1887)&amp;""),"")</f>
        <v/>
      </c>
      <c r="H1893" s="101">
        <f>IFERROR(N(INDEX(tx_Posted,1887)),0)</f>
        <v/>
      </c>
      <c r="I1893" s="58">
        <f>IF(H1893=1,INDEX(tx_DrAcct,1887)&amp;"","")</f>
        <v/>
      </c>
      <c r="J1893" s="95">
        <f>IF(H1893=1,INDEX(tx_DrAmt,1887),0)</f>
        <v/>
      </c>
      <c r="K1893" s="58">
        <f>IF(H1893=1,INDEX(tx_CrAcct,1887)&amp;"","")</f>
        <v/>
      </c>
      <c r="L1893" s="95">
        <f>IF(H1893=1,INDEX(tx_CrAmt,1887),0)</f>
        <v/>
      </c>
      <c r="M1893" s="95">
        <f>IF(H1893=1,INDEX(tx_TaxDr,1887),0)</f>
        <v/>
      </c>
      <c r="N1893" s="95">
        <f>IF(H1893=1,INDEX(tx_TaxCr,1887),0)</f>
        <v/>
      </c>
      <c r="O1893" s="101">
        <f>IF(H1893=1,IF(E1893&lt;FYStart,0,IF(E1893&gt;FYEnd,13,YEAR(E1893)*12+MONTH(E1893)-FYYM+1)),"")</f>
        <v/>
      </c>
      <c r="P1893" s="101">
        <f>IF(H1893=1,IF(IFERROR(INDEX(coa_CF,MATCH(I1893,coa_Name,0)),"")="Cash",1,0),0)</f>
        <v/>
      </c>
      <c r="Q1893" s="101">
        <f>IF(H1893=1,IF(IFERROR(INDEX(coa_CF,MATCH(K1893,coa_Name,0)),"")="Cash",1,0),0)</f>
        <v/>
      </c>
      <c r="R1893" s="58">
        <f>IF((P1893-Q1893)=0,"",IFERROR(INDEX(coa_CF,MATCH(IF((P1893-Q1893)=1,K1893,I1893),coa_Name,0)),"Operating"))</f>
        <v/>
      </c>
      <c r="S1893" s="95">
        <f>IF((P1893-Q1893)=1,L1893,IF((P1893-Q1893)=-1,-J1893,0))</f>
        <v/>
      </c>
      <c r="T1893" s="95">
        <f>IF((P1893-Q1893)=1,N1893,IF((P1893-Q1893)=-1,-M1893,0))</f>
        <v/>
      </c>
      <c r="U1893" s="101">
        <f>IF(AND(H1893=1,LedAcct&lt;&gt;""),IF(AND(E1893&gt;=LedFrom,E1893&lt;=LedTo,OR(I1893=LedAcct,K1893=LedAcct,AND(LedAcct=acctTax,M1893+N1893&lt;&gt;0))),E1893*10000+B1893,""),"")</f>
        <v/>
      </c>
    </row>
    <row r="1894">
      <c r="B1894" s="101" t="n">
        <v>1888</v>
      </c>
      <c r="C1894" s="58" t="inlineStr">
        <is>
          <t>Transaction</t>
        </is>
      </c>
      <c r="D1894" s="58">
        <f>IF(H1894=1,INDEX(tx_ID,1888)&amp;"","")</f>
        <v/>
      </c>
      <c r="E1894" s="94">
        <f>IF(H1894=1,INDEX(tx_Date,1888),"")</f>
        <v/>
      </c>
      <c r="F1894" s="58">
        <f>IF(H1894=1,INDEX(tx_Desc,1888)&amp;"","")</f>
        <v/>
      </c>
      <c r="G1894" s="58">
        <f>IF(H1894=1,IF(INDEX(tx_Cust,1888)&amp;""&lt;&gt;"",INDEX(tx_Cust,1888)&amp;"",INDEX(tx_Vend,1888)&amp;""),"")</f>
        <v/>
      </c>
      <c r="H1894" s="101">
        <f>IFERROR(N(INDEX(tx_Posted,1888)),0)</f>
        <v/>
      </c>
      <c r="I1894" s="58">
        <f>IF(H1894=1,INDEX(tx_DrAcct,1888)&amp;"","")</f>
        <v/>
      </c>
      <c r="J1894" s="95">
        <f>IF(H1894=1,INDEX(tx_DrAmt,1888),0)</f>
        <v/>
      </c>
      <c r="K1894" s="58">
        <f>IF(H1894=1,INDEX(tx_CrAcct,1888)&amp;"","")</f>
        <v/>
      </c>
      <c r="L1894" s="95">
        <f>IF(H1894=1,INDEX(tx_CrAmt,1888),0)</f>
        <v/>
      </c>
      <c r="M1894" s="95">
        <f>IF(H1894=1,INDEX(tx_TaxDr,1888),0)</f>
        <v/>
      </c>
      <c r="N1894" s="95">
        <f>IF(H1894=1,INDEX(tx_TaxCr,1888),0)</f>
        <v/>
      </c>
      <c r="O1894" s="101">
        <f>IF(H1894=1,IF(E1894&lt;FYStart,0,IF(E1894&gt;FYEnd,13,YEAR(E1894)*12+MONTH(E1894)-FYYM+1)),"")</f>
        <v/>
      </c>
      <c r="P1894" s="101">
        <f>IF(H1894=1,IF(IFERROR(INDEX(coa_CF,MATCH(I1894,coa_Name,0)),"")="Cash",1,0),0)</f>
        <v/>
      </c>
      <c r="Q1894" s="101">
        <f>IF(H1894=1,IF(IFERROR(INDEX(coa_CF,MATCH(K1894,coa_Name,0)),"")="Cash",1,0),0)</f>
        <v/>
      </c>
      <c r="R1894" s="58">
        <f>IF((P1894-Q1894)=0,"",IFERROR(INDEX(coa_CF,MATCH(IF((P1894-Q1894)=1,K1894,I1894),coa_Name,0)),"Operating"))</f>
        <v/>
      </c>
      <c r="S1894" s="95">
        <f>IF((P1894-Q1894)=1,L1894,IF((P1894-Q1894)=-1,-J1894,0))</f>
        <v/>
      </c>
      <c r="T1894" s="95">
        <f>IF((P1894-Q1894)=1,N1894,IF((P1894-Q1894)=-1,-M1894,0))</f>
        <v/>
      </c>
      <c r="U1894" s="101">
        <f>IF(AND(H1894=1,LedAcct&lt;&gt;""),IF(AND(E1894&gt;=LedFrom,E1894&lt;=LedTo,OR(I1894=LedAcct,K1894=LedAcct,AND(LedAcct=acctTax,M1894+N1894&lt;&gt;0))),E1894*10000+B1894,""),"")</f>
        <v/>
      </c>
    </row>
    <row r="1895">
      <c r="B1895" s="101" t="n">
        <v>1889</v>
      </c>
      <c r="C1895" s="58" t="inlineStr">
        <is>
          <t>Transaction</t>
        </is>
      </c>
      <c r="D1895" s="58">
        <f>IF(H1895=1,INDEX(tx_ID,1889)&amp;"","")</f>
        <v/>
      </c>
      <c r="E1895" s="94">
        <f>IF(H1895=1,INDEX(tx_Date,1889),"")</f>
        <v/>
      </c>
      <c r="F1895" s="58">
        <f>IF(H1895=1,INDEX(tx_Desc,1889)&amp;"","")</f>
        <v/>
      </c>
      <c r="G1895" s="58">
        <f>IF(H1895=1,IF(INDEX(tx_Cust,1889)&amp;""&lt;&gt;"",INDEX(tx_Cust,1889)&amp;"",INDEX(tx_Vend,1889)&amp;""),"")</f>
        <v/>
      </c>
      <c r="H1895" s="101">
        <f>IFERROR(N(INDEX(tx_Posted,1889)),0)</f>
        <v/>
      </c>
      <c r="I1895" s="58">
        <f>IF(H1895=1,INDEX(tx_DrAcct,1889)&amp;"","")</f>
        <v/>
      </c>
      <c r="J1895" s="95">
        <f>IF(H1895=1,INDEX(tx_DrAmt,1889),0)</f>
        <v/>
      </c>
      <c r="K1895" s="58">
        <f>IF(H1895=1,INDEX(tx_CrAcct,1889)&amp;"","")</f>
        <v/>
      </c>
      <c r="L1895" s="95">
        <f>IF(H1895=1,INDEX(tx_CrAmt,1889),0)</f>
        <v/>
      </c>
      <c r="M1895" s="95">
        <f>IF(H1895=1,INDEX(tx_TaxDr,1889),0)</f>
        <v/>
      </c>
      <c r="N1895" s="95">
        <f>IF(H1895=1,INDEX(tx_TaxCr,1889),0)</f>
        <v/>
      </c>
      <c r="O1895" s="101">
        <f>IF(H1895=1,IF(E1895&lt;FYStart,0,IF(E1895&gt;FYEnd,13,YEAR(E1895)*12+MONTH(E1895)-FYYM+1)),"")</f>
        <v/>
      </c>
      <c r="P1895" s="101">
        <f>IF(H1895=1,IF(IFERROR(INDEX(coa_CF,MATCH(I1895,coa_Name,0)),"")="Cash",1,0),0)</f>
        <v/>
      </c>
      <c r="Q1895" s="101">
        <f>IF(H1895=1,IF(IFERROR(INDEX(coa_CF,MATCH(K1895,coa_Name,0)),"")="Cash",1,0),0)</f>
        <v/>
      </c>
      <c r="R1895" s="58">
        <f>IF((P1895-Q1895)=0,"",IFERROR(INDEX(coa_CF,MATCH(IF((P1895-Q1895)=1,K1895,I1895),coa_Name,0)),"Operating"))</f>
        <v/>
      </c>
      <c r="S1895" s="95">
        <f>IF((P1895-Q1895)=1,L1895,IF((P1895-Q1895)=-1,-J1895,0))</f>
        <v/>
      </c>
      <c r="T1895" s="95">
        <f>IF((P1895-Q1895)=1,N1895,IF((P1895-Q1895)=-1,-M1895,0))</f>
        <v/>
      </c>
      <c r="U1895" s="101">
        <f>IF(AND(H1895=1,LedAcct&lt;&gt;""),IF(AND(E1895&gt;=LedFrom,E1895&lt;=LedTo,OR(I1895=LedAcct,K1895=LedAcct,AND(LedAcct=acctTax,M1895+N1895&lt;&gt;0))),E1895*10000+B1895,""),"")</f>
        <v/>
      </c>
    </row>
    <row r="1896">
      <c r="B1896" s="101" t="n">
        <v>1890</v>
      </c>
      <c r="C1896" s="58" t="inlineStr">
        <is>
          <t>Transaction</t>
        </is>
      </c>
      <c r="D1896" s="58">
        <f>IF(H1896=1,INDEX(tx_ID,1890)&amp;"","")</f>
        <v/>
      </c>
      <c r="E1896" s="94">
        <f>IF(H1896=1,INDEX(tx_Date,1890),"")</f>
        <v/>
      </c>
      <c r="F1896" s="58">
        <f>IF(H1896=1,INDEX(tx_Desc,1890)&amp;"","")</f>
        <v/>
      </c>
      <c r="G1896" s="58">
        <f>IF(H1896=1,IF(INDEX(tx_Cust,1890)&amp;""&lt;&gt;"",INDEX(tx_Cust,1890)&amp;"",INDEX(tx_Vend,1890)&amp;""),"")</f>
        <v/>
      </c>
      <c r="H1896" s="101">
        <f>IFERROR(N(INDEX(tx_Posted,1890)),0)</f>
        <v/>
      </c>
      <c r="I1896" s="58">
        <f>IF(H1896=1,INDEX(tx_DrAcct,1890)&amp;"","")</f>
        <v/>
      </c>
      <c r="J1896" s="95">
        <f>IF(H1896=1,INDEX(tx_DrAmt,1890),0)</f>
        <v/>
      </c>
      <c r="K1896" s="58">
        <f>IF(H1896=1,INDEX(tx_CrAcct,1890)&amp;"","")</f>
        <v/>
      </c>
      <c r="L1896" s="95">
        <f>IF(H1896=1,INDEX(tx_CrAmt,1890),0)</f>
        <v/>
      </c>
      <c r="M1896" s="95">
        <f>IF(H1896=1,INDEX(tx_TaxDr,1890),0)</f>
        <v/>
      </c>
      <c r="N1896" s="95">
        <f>IF(H1896=1,INDEX(tx_TaxCr,1890),0)</f>
        <v/>
      </c>
      <c r="O1896" s="101">
        <f>IF(H1896=1,IF(E1896&lt;FYStart,0,IF(E1896&gt;FYEnd,13,YEAR(E1896)*12+MONTH(E1896)-FYYM+1)),"")</f>
        <v/>
      </c>
      <c r="P1896" s="101">
        <f>IF(H1896=1,IF(IFERROR(INDEX(coa_CF,MATCH(I1896,coa_Name,0)),"")="Cash",1,0),0)</f>
        <v/>
      </c>
      <c r="Q1896" s="101">
        <f>IF(H1896=1,IF(IFERROR(INDEX(coa_CF,MATCH(K1896,coa_Name,0)),"")="Cash",1,0),0)</f>
        <v/>
      </c>
      <c r="R1896" s="58">
        <f>IF((P1896-Q1896)=0,"",IFERROR(INDEX(coa_CF,MATCH(IF((P1896-Q1896)=1,K1896,I1896),coa_Name,0)),"Operating"))</f>
        <v/>
      </c>
      <c r="S1896" s="95">
        <f>IF((P1896-Q1896)=1,L1896,IF((P1896-Q1896)=-1,-J1896,0))</f>
        <v/>
      </c>
      <c r="T1896" s="95">
        <f>IF((P1896-Q1896)=1,N1896,IF((P1896-Q1896)=-1,-M1896,0))</f>
        <v/>
      </c>
      <c r="U1896" s="101">
        <f>IF(AND(H1896=1,LedAcct&lt;&gt;""),IF(AND(E1896&gt;=LedFrom,E1896&lt;=LedTo,OR(I1896=LedAcct,K1896=LedAcct,AND(LedAcct=acctTax,M1896+N1896&lt;&gt;0))),E1896*10000+B1896,""),"")</f>
        <v/>
      </c>
    </row>
    <row r="1897">
      <c r="B1897" s="101" t="n">
        <v>1891</v>
      </c>
      <c r="C1897" s="58" t="inlineStr">
        <is>
          <t>Transaction</t>
        </is>
      </c>
      <c r="D1897" s="58">
        <f>IF(H1897=1,INDEX(tx_ID,1891)&amp;"","")</f>
        <v/>
      </c>
      <c r="E1897" s="94">
        <f>IF(H1897=1,INDEX(tx_Date,1891),"")</f>
        <v/>
      </c>
      <c r="F1897" s="58">
        <f>IF(H1897=1,INDEX(tx_Desc,1891)&amp;"","")</f>
        <v/>
      </c>
      <c r="G1897" s="58">
        <f>IF(H1897=1,IF(INDEX(tx_Cust,1891)&amp;""&lt;&gt;"",INDEX(tx_Cust,1891)&amp;"",INDEX(tx_Vend,1891)&amp;""),"")</f>
        <v/>
      </c>
      <c r="H1897" s="101">
        <f>IFERROR(N(INDEX(tx_Posted,1891)),0)</f>
        <v/>
      </c>
      <c r="I1897" s="58">
        <f>IF(H1897=1,INDEX(tx_DrAcct,1891)&amp;"","")</f>
        <v/>
      </c>
      <c r="J1897" s="95">
        <f>IF(H1897=1,INDEX(tx_DrAmt,1891),0)</f>
        <v/>
      </c>
      <c r="K1897" s="58">
        <f>IF(H1897=1,INDEX(tx_CrAcct,1891)&amp;"","")</f>
        <v/>
      </c>
      <c r="L1897" s="95">
        <f>IF(H1897=1,INDEX(tx_CrAmt,1891),0)</f>
        <v/>
      </c>
      <c r="M1897" s="95">
        <f>IF(H1897=1,INDEX(tx_TaxDr,1891),0)</f>
        <v/>
      </c>
      <c r="N1897" s="95">
        <f>IF(H1897=1,INDEX(tx_TaxCr,1891),0)</f>
        <v/>
      </c>
      <c r="O1897" s="101">
        <f>IF(H1897=1,IF(E1897&lt;FYStart,0,IF(E1897&gt;FYEnd,13,YEAR(E1897)*12+MONTH(E1897)-FYYM+1)),"")</f>
        <v/>
      </c>
      <c r="P1897" s="101">
        <f>IF(H1897=1,IF(IFERROR(INDEX(coa_CF,MATCH(I1897,coa_Name,0)),"")="Cash",1,0),0)</f>
        <v/>
      </c>
      <c r="Q1897" s="101">
        <f>IF(H1897=1,IF(IFERROR(INDEX(coa_CF,MATCH(K1897,coa_Name,0)),"")="Cash",1,0),0)</f>
        <v/>
      </c>
      <c r="R1897" s="58">
        <f>IF((P1897-Q1897)=0,"",IFERROR(INDEX(coa_CF,MATCH(IF((P1897-Q1897)=1,K1897,I1897),coa_Name,0)),"Operating"))</f>
        <v/>
      </c>
      <c r="S1897" s="95">
        <f>IF((P1897-Q1897)=1,L1897,IF((P1897-Q1897)=-1,-J1897,0))</f>
        <v/>
      </c>
      <c r="T1897" s="95">
        <f>IF((P1897-Q1897)=1,N1897,IF((P1897-Q1897)=-1,-M1897,0))</f>
        <v/>
      </c>
      <c r="U1897" s="101">
        <f>IF(AND(H1897=1,LedAcct&lt;&gt;""),IF(AND(E1897&gt;=LedFrom,E1897&lt;=LedTo,OR(I1897=LedAcct,K1897=LedAcct,AND(LedAcct=acctTax,M1897+N1897&lt;&gt;0))),E1897*10000+B1897,""),"")</f>
        <v/>
      </c>
    </row>
    <row r="1898">
      <c r="B1898" s="101" t="n">
        <v>1892</v>
      </c>
      <c r="C1898" s="58" t="inlineStr">
        <is>
          <t>Transaction</t>
        </is>
      </c>
      <c r="D1898" s="58">
        <f>IF(H1898=1,INDEX(tx_ID,1892)&amp;"","")</f>
        <v/>
      </c>
      <c r="E1898" s="94">
        <f>IF(H1898=1,INDEX(tx_Date,1892),"")</f>
        <v/>
      </c>
      <c r="F1898" s="58">
        <f>IF(H1898=1,INDEX(tx_Desc,1892)&amp;"","")</f>
        <v/>
      </c>
      <c r="G1898" s="58">
        <f>IF(H1898=1,IF(INDEX(tx_Cust,1892)&amp;""&lt;&gt;"",INDEX(tx_Cust,1892)&amp;"",INDEX(tx_Vend,1892)&amp;""),"")</f>
        <v/>
      </c>
      <c r="H1898" s="101">
        <f>IFERROR(N(INDEX(tx_Posted,1892)),0)</f>
        <v/>
      </c>
      <c r="I1898" s="58">
        <f>IF(H1898=1,INDEX(tx_DrAcct,1892)&amp;"","")</f>
        <v/>
      </c>
      <c r="J1898" s="95">
        <f>IF(H1898=1,INDEX(tx_DrAmt,1892),0)</f>
        <v/>
      </c>
      <c r="K1898" s="58">
        <f>IF(H1898=1,INDEX(tx_CrAcct,1892)&amp;"","")</f>
        <v/>
      </c>
      <c r="L1898" s="95">
        <f>IF(H1898=1,INDEX(tx_CrAmt,1892),0)</f>
        <v/>
      </c>
      <c r="M1898" s="95">
        <f>IF(H1898=1,INDEX(tx_TaxDr,1892),0)</f>
        <v/>
      </c>
      <c r="N1898" s="95">
        <f>IF(H1898=1,INDEX(tx_TaxCr,1892),0)</f>
        <v/>
      </c>
      <c r="O1898" s="101">
        <f>IF(H1898=1,IF(E1898&lt;FYStart,0,IF(E1898&gt;FYEnd,13,YEAR(E1898)*12+MONTH(E1898)-FYYM+1)),"")</f>
        <v/>
      </c>
      <c r="P1898" s="101">
        <f>IF(H1898=1,IF(IFERROR(INDEX(coa_CF,MATCH(I1898,coa_Name,0)),"")="Cash",1,0),0)</f>
        <v/>
      </c>
      <c r="Q1898" s="101">
        <f>IF(H1898=1,IF(IFERROR(INDEX(coa_CF,MATCH(K1898,coa_Name,0)),"")="Cash",1,0),0)</f>
        <v/>
      </c>
      <c r="R1898" s="58">
        <f>IF((P1898-Q1898)=0,"",IFERROR(INDEX(coa_CF,MATCH(IF((P1898-Q1898)=1,K1898,I1898),coa_Name,0)),"Operating"))</f>
        <v/>
      </c>
      <c r="S1898" s="95">
        <f>IF((P1898-Q1898)=1,L1898,IF((P1898-Q1898)=-1,-J1898,0))</f>
        <v/>
      </c>
      <c r="T1898" s="95">
        <f>IF((P1898-Q1898)=1,N1898,IF((P1898-Q1898)=-1,-M1898,0))</f>
        <v/>
      </c>
      <c r="U1898" s="101">
        <f>IF(AND(H1898=1,LedAcct&lt;&gt;""),IF(AND(E1898&gt;=LedFrom,E1898&lt;=LedTo,OR(I1898=LedAcct,K1898=LedAcct,AND(LedAcct=acctTax,M1898+N1898&lt;&gt;0))),E1898*10000+B1898,""),"")</f>
        <v/>
      </c>
    </row>
    <row r="1899">
      <c r="B1899" s="101" t="n">
        <v>1893</v>
      </c>
      <c r="C1899" s="58" t="inlineStr">
        <is>
          <t>Transaction</t>
        </is>
      </c>
      <c r="D1899" s="58">
        <f>IF(H1899=1,INDEX(tx_ID,1893)&amp;"","")</f>
        <v/>
      </c>
      <c r="E1899" s="94">
        <f>IF(H1899=1,INDEX(tx_Date,1893),"")</f>
        <v/>
      </c>
      <c r="F1899" s="58">
        <f>IF(H1899=1,INDEX(tx_Desc,1893)&amp;"","")</f>
        <v/>
      </c>
      <c r="G1899" s="58">
        <f>IF(H1899=1,IF(INDEX(tx_Cust,1893)&amp;""&lt;&gt;"",INDEX(tx_Cust,1893)&amp;"",INDEX(tx_Vend,1893)&amp;""),"")</f>
        <v/>
      </c>
      <c r="H1899" s="101">
        <f>IFERROR(N(INDEX(tx_Posted,1893)),0)</f>
        <v/>
      </c>
      <c r="I1899" s="58">
        <f>IF(H1899=1,INDEX(tx_DrAcct,1893)&amp;"","")</f>
        <v/>
      </c>
      <c r="J1899" s="95">
        <f>IF(H1899=1,INDEX(tx_DrAmt,1893),0)</f>
        <v/>
      </c>
      <c r="K1899" s="58">
        <f>IF(H1899=1,INDEX(tx_CrAcct,1893)&amp;"","")</f>
        <v/>
      </c>
      <c r="L1899" s="95">
        <f>IF(H1899=1,INDEX(tx_CrAmt,1893),0)</f>
        <v/>
      </c>
      <c r="M1899" s="95">
        <f>IF(H1899=1,INDEX(tx_TaxDr,1893),0)</f>
        <v/>
      </c>
      <c r="N1899" s="95">
        <f>IF(H1899=1,INDEX(tx_TaxCr,1893),0)</f>
        <v/>
      </c>
      <c r="O1899" s="101">
        <f>IF(H1899=1,IF(E1899&lt;FYStart,0,IF(E1899&gt;FYEnd,13,YEAR(E1899)*12+MONTH(E1899)-FYYM+1)),"")</f>
        <v/>
      </c>
      <c r="P1899" s="101">
        <f>IF(H1899=1,IF(IFERROR(INDEX(coa_CF,MATCH(I1899,coa_Name,0)),"")="Cash",1,0),0)</f>
        <v/>
      </c>
      <c r="Q1899" s="101">
        <f>IF(H1899=1,IF(IFERROR(INDEX(coa_CF,MATCH(K1899,coa_Name,0)),"")="Cash",1,0),0)</f>
        <v/>
      </c>
      <c r="R1899" s="58">
        <f>IF((P1899-Q1899)=0,"",IFERROR(INDEX(coa_CF,MATCH(IF((P1899-Q1899)=1,K1899,I1899),coa_Name,0)),"Operating"))</f>
        <v/>
      </c>
      <c r="S1899" s="95">
        <f>IF((P1899-Q1899)=1,L1899,IF((P1899-Q1899)=-1,-J1899,0))</f>
        <v/>
      </c>
      <c r="T1899" s="95">
        <f>IF((P1899-Q1899)=1,N1899,IF((P1899-Q1899)=-1,-M1899,0))</f>
        <v/>
      </c>
      <c r="U1899" s="101">
        <f>IF(AND(H1899=1,LedAcct&lt;&gt;""),IF(AND(E1899&gt;=LedFrom,E1899&lt;=LedTo,OR(I1899=LedAcct,K1899=LedAcct,AND(LedAcct=acctTax,M1899+N1899&lt;&gt;0))),E1899*10000+B1899,""),"")</f>
        <v/>
      </c>
    </row>
    <row r="1900">
      <c r="B1900" s="101" t="n">
        <v>1894</v>
      </c>
      <c r="C1900" s="58" t="inlineStr">
        <is>
          <t>Transaction</t>
        </is>
      </c>
      <c r="D1900" s="58">
        <f>IF(H1900=1,INDEX(tx_ID,1894)&amp;"","")</f>
        <v/>
      </c>
      <c r="E1900" s="94">
        <f>IF(H1900=1,INDEX(tx_Date,1894),"")</f>
        <v/>
      </c>
      <c r="F1900" s="58">
        <f>IF(H1900=1,INDEX(tx_Desc,1894)&amp;"","")</f>
        <v/>
      </c>
      <c r="G1900" s="58">
        <f>IF(H1900=1,IF(INDEX(tx_Cust,1894)&amp;""&lt;&gt;"",INDEX(tx_Cust,1894)&amp;"",INDEX(tx_Vend,1894)&amp;""),"")</f>
        <v/>
      </c>
      <c r="H1900" s="101">
        <f>IFERROR(N(INDEX(tx_Posted,1894)),0)</f>
        <v/>
      </c>
      <c r="I1900" s="58">
        <f>IF(H1900=1,INDEX(tx_DrAcct,1894)&amp;"","")</f>
        <v/>
      </c>
      <c r="J1900" s="95">
        <f>IF(H1900=1,INDEX(tx_DrAmt,1894),0)</f>
        <v/>
      </c>
      <c r="K1900" s="58">
        <f>IF(H1900=1,INDEX(tx_CrAcct,1894)&amp;"","")</f>
        <v/>
      </c>
      <c r="L1900" s="95">
        <f>IF(H1900=1,INDEX(tx_CrAmt,1894),0)</f>
        <v/>
      </c>
      <c r="M1900" s="95">
        <f>IF(H1900=1,INDEX(tx_TaxDr,1894),0)</f>
        <v/>
      </c>
      <c r="N1900" s="95">
        <f>IF(H1900=1,INDEX(tx_TaxCr,1894),0)</f>
        <v/>
      </c>
      <c r="O1900" s="101">
        <f>IF(H1900=1,IF(E1900&lt;FYStart,0,IF(E1900&gt;FYEnd,13,YEAR(E1900)*12+MONTH(E1900)-FYYM+1)),"")</f>
        <v/>
      </c>
      <c r="P1900" s="101">
        <f>IF(H1900=1,IF(IFERROR(INDEX(coa_CF,MATCH(I1900,coa_Name,0)),"")="Cash",1,0),0)</f>
        <v/>
      </c>
      <c r="Q1900" s="101">
        <f>IF(H1900=1,IF(IFERROR(INDEX(coa_CF,MATCH(K1900,coa_Name,0)),"")="Cash",1,0),0)</f>
        <v/>
      </c>
      <c r="R1900" s="58">
        <f>IF((P1900-Q1900)=0,"",IFERROR(INDEX(coa_CF,MATCH(IF((P1900-Q1900)=1,K1900,I1900),coa_Name,0)),"Operating"))</f>
        <v/>
      </c>
      <c r="S1900" s="95">
        <f>IF((P1900-Q1900)=1,L1900,IF((P1900-Q1900)=-1,-J1900,0))</f>
        <v/>
      </c>
      <c r="T1900" s="95">
        <f>IF((P1900-Q1900)=1,N1900,IF((P1900-Q1900)=-1,-M1900,0))</f>
        <v/>
      </c>
      <c r="U1900" s="101">
        <f>IF(AND(H1900=1,LedAcct&lt;&gt;""),IF(AND(E1900&gt;=LedFrom,E1900&lt;=LedTo,OR(I1900=LedAcct,K1900=LedAcct,AND(LedAcct=acctTax,M1900+N1900&lt;&gt;0))),E1900*10000+B1900,""),"")</f>
        <v/>
      </c>
    </row>
    <row r="1901">
      <c r="B1901" s="101" t="n">
        <v>1895</v>
      </c>
      <c r="C1901" s="58" t="inlineStr">
        <is>
          <t>Transaction</t>
        </is>
      </c>
      <c r="D1901" s="58">
        <f>IF(H1901=1,INDEX(tx_ID,1895)&amp;"","")</f>
        <v/>
      </c>
      <c r="E1901" s="94">
        <f>IF(H1901=1,INDEX(tx_Date,1895),"")</f>
        <v/>
      </c>
      <c r="F1901" s="58">
        <f>IF(H1901=1,INDEX(tx_Desc,1895)&amp;"","")</f>
        <v/>
      </c>
      <c r="G1901" s="58">
        <f>IF(H1901=1,IF(INDEX(tx_Cust,1895)&amp;""&lt;&gt;"",INDEX(tx_Cust,1895)&amp;"",INDEX(tx_Vend,1895)&amp;""),"")</f>
        <v/>
      </c>
      <c r="H1901" s="101">
        <f>IFERROR(N(INDEX(tx_Posted,1895)),0)</f>
        <v/>
      </c>
      <c r="I1901" s="58">
        <f>IF(H1901=1,INDEX(tx_DrAcct,1895)&amp;"","")</f>
        <v/>
      </c>
      <c r="J1901" s="95">
        <f>IF(H1901=1,INDEX(tx_DrAmt,1895),0)</f>
        <v/>
      </c>
      <c r="K1901" s="58">
        <f>IF(H1901=1,INDEX(tx_CrAcct,1895)&amp;"","")</f>
        <v/>
      </c>
      <c r="L1901" s="95">
        <f>IF(H1901=1,INDEX(tx_CrAmt,1895),0)</f>
        <v/>
      </c>
      <c r="M1901" s="95">
        <f>IF(H1901=1,INDEX(tx_TaxDr,1895),0)</f>
        <v/>
      </c>
      <c r="N1901" s="95">
        <f>IF(H1901=1,INDEX(tx_TaxCr,1895),0)</f>
        <v/>
      </c>
      <c r="O1901" s="101">
        <f>IF(H1901=1,IF(E1901&lt;FYStart,0,IF(E1901&gt;FYEnd,13,YEAR(E1901)*12+MONTH(E1901)-FYYM+1)),"")</f>
        <v/>
      </c>
      <c r="P1901" s="101">
        <f>IF(H1901=1,IF(IFERROR(INDEX(coa_CF,MATCH(I1901,coa_Name,0)),"")="Cash",1,0),0)</f>
        <v/>
      </c>
      <c r="Q1901" s="101">
        <f>IF(H1901=1,IF(IFERROR(INDEX(coa_CF,MATCH(K1901,coa_Name,0)),"")="Cash",1,0),0)</f>
        <v/>
      </c>
      <c r="R1901" s="58">
        <f>IF((P1901-Q1901)=0,"",IFERROR(INDEX(coa_CF,MATCH(IF((P1901-Q1901)=1,K1901,I1901),coa_Name,0)),"Operating"))</f>
        <v/>
      </c>
      <c r="S1901" s="95">
        <f>IF((P1901-Q1901)=1,L1901,IF((P1901-Q1901)=-1,-J1901,0))</f>
        <v/>
      </c>
      <c r="T1901" s="95">
        <f>IF((P1901-Q1901)=1,N1901,IF((P1901-Q1901)=-1,-M1901,0))</f>
        <v/>
      </c>
      <c r="U1901" s="101">
        <f>IF(AND(H1901=1,LedAcct&lt;&gt;""),IF(AND(E1901&gt;=LedFrom,E1901&lt;=LedTo,OR(I1901=LedAcct,K1901=LedAcct,AND(LedAcct=acctTax,M1901+N1901&lt;&gt;0))),E1901*10000+B1901,""),"")</f>
        <v/>
      </c>
    </row>
    <row r="1902">
      <c r="B1902" s="101" t="n">
        <v>1896</v>
      </c>
      <c r="C1902" s="58" t="inlineStr">
        <is>
          <t>Transaction</t>
        </is>
      </c>
      <c r="D1902" s="58">
        <f>IF(H1902=1,INDEX(tx_ID,1896)&amp;"","")</f>
        <v/>
      </c>
      <c r="E1902" s="94">
        <f>IF(H1902=1,INDEX(tx_Date,1896),"")</f>
        <v/>
      </c>
      <c r="F1902" s="58">
        <f>IF(H1902=1,INDEX(tx_Desc,1896)&amp;"","")</f>
        <v/>
      </c>
      <c r="G1902" s="58">
        <f>IF(H1902=1,IF(INDEX(tx_Cust,1896)&amp;""&lt;&gt;"",INDEX(tx_Cust,1896)&amp;"",INDEX(tx_Vend,1896)&amp;""),"")</f>
        <v/>
      </c>
      <c r="H1902" s="101">
        <f>IFERROR(N(INDEX(tx_Posted,1896)),0)</f>
        <v/>
      </c>
      <c r="I1902" s="58">
        <f>IF(H1902=1,INDEX(tx_DrAcct,1896)&amp;"","")</f>
        <v/>
      </c>
      <c r="J1902" s="95">
        <f>IF(H1902=1,INDEX(tx_DrAmt,1896),0)</f>
        <v/>
      </c>
      <c r="K1902" s="58">
        <f>IF(H1902=1,INDEX(tx_CrAcct,1896)&amp;"","")</f>
        <v/>
      </c>
      <c r="L1902" s="95">
        <f>IF(H1902=1,INDEX(tx_CrAmt,1896),0)</f>
        <v/>
      </c>
      <c r="M1902" s="95">
        <f>IF(H1902=1,INDEX(tx_TaxDr,1896),0)</f>
        <v/>
      </c>
      <c r="N1902" s="95">
        <f>IF(H1902=1,INDEX(tx_TaxCr,1896),0)</f>
        <v/>
      </c>
      <c r="O1902" s="101">
        <f>IF(H1902=1,IF(E1902&lt;FYStart,0,IF(E1902&gt;FYEnd,13,YEAR(E1902)*12+MONTH(E1902)-FYYM+1)),"")</f>
        <v/>
      </c>
      <c r="P1902" s="101">
        <f>IF(H1902=1,IF(IFERROR(INDEX(coa_CF,MATCH(I1902,coa_Name,0)),"")="Cash",1,0),0)</f>
        <v/>
      </c>
      <c r="Q1902" s="101">
        <f>IF(H1902=1,IF(IFERROR(INDEX(coa_CF,MATCH(K1902,coa_Name,0)),"")="Cash",1,0),0)</f>
        <v/>
      </c>
      <c r="R1902" s="58">
        <f>IF((P1902-Q1902)=0,"",IFERROR(INDEX(coa_CF,MATCH(IF((P1902-Q1902)=1,K1902,I1902),coa_Name,0)),"Operating"))</f>
        <v/>
      </c>
      <c r="S1902" s="95">
        <f>IF((P1902-Q1902)=1,L1902,IF((P1902-Q1902)=-1,-J1902,0))</f>
        <v/>
      </c>
      <c r="T1902" s="95">
        <f>IF((P1902-Q1902)=1,N1902,IF((P1902-Q1902)=-1,-M1902,0))</f>
        <v/>
      </c>
      <c r="U1902" s="101">
        <f>IF(AND(H1902=1,LedAcct&lt;&gt;""),IF(AND(E1902&gt;=LedFrom,E1902&lt;=LedTo,OR(I1902=LedAcct,K1902=LedAcct,AND(LedAcct=acctTax,M1902+N1902&lt;&gt;0))),E1902*10000+B1902,""),"")</f>
        <v/>
      </c>
    </row>
    <row r="1903">
      <c r="B1903" s="101" t="n">
        <v>1897</v>
      </c>
      <c r="C1903" s="58" t="inlineStr">
        <is>
          <t>Transaction</t>
        </is>
      </c>
      <c r="D1903" s="58">
        <f>IF(H1903=1,INDEX(tx_ID,1897)&amp;"","")</f>
        <v/>
      </c>
      <c r="E1903" s="94">
        <f>IF(H1903=1,INDEX(tx_Date,1897),"")</f>
        <v/>
      </c>
      <c r="F1903" s="58">
        <f>IF(H1903=1,INDEX(tx_Desc,1897)&amp;"","")</f>
        <v/>
      </c>
      <c r="G1903" s="58">
        <f>IF(H1903=1,IF(INDEX(tx_Cust,1897)&amp;""&lt;&gt;"",INDEX(tx_Cust,1897)&amp;"",INDEX(tx_Vend,1897)&amp;""),"")</f>
        <v/>
      </c>
      <c r="H1903" s="101">
        <f>IFERROR(N(INDEX(tx_Posted,1897)),0)</f>
        <v/>
      </c>
      <c r="I1903" s="58">
        <f>IF(H1903=1,INDEX(tx_DrAcct,1897)&amp;"","")</f>
        <v/>
      </c>
      <c r="J1903" s="95">
        <f>IF(H1903=1,INDEX(tx_DrAmt,1897),0)</f>
        <v/>
      </c>
      <c r="K1903" s="58">
        <f>IF(H1903=1,INDEX(tx_CrAcct,1897)&amp;"","")</f>
        <v/>
      </c>
      <c r="L1903" s="95">
        <f>IF(H1903=1,INDEX(tx_CrAmt,1897),0)</f>
        <v/>
      </c>
      <c r="M1903" s="95">
        <f>IF(H1903=1,INDEX(tx_TaxDr,1897),0)</f>
        <v/>
      </c>
      <c r="N1903" s="95">
        <f>IF(H1903=1,INDEX(tx_TaxCr,1897),0)</f>
        <v/>
      </c>
      <c r="O1903" s="101">
        <f>IF(H1903=1,IF(E1903&lt;FYStart,0,IF(E1903&gt;FYEnd,13,YEAR(E1903)*12+MONTH(E1903)-FYYM+1)),"")</f>
        <v/>
      </c>
      <c r="P1903" s="101">
        <f>IF(H1903=1,IF(IFERROR(INDEX(coa_CF,MATCH(I1903,coa_Name,0)),"")="Cash",1,0),0)</f>
        <v/>
      </c>
      <c r="Q1903" s="101">
        <f>IF(H1903=1,IF(IFERROR(INDEX(coa_CF,MATCH(K1903,coa_Name,0)),"")="Cash",1,0),0)</f>
        <v/>
      </c>
      <c r="R1903" s="58">
        <f>IF((P1903-Q1903)=0,"",IFERROR(INDEX(coa_CF,MATCH(IF((P1903-Q1903)=1,K1903,I1903),coa_Name,0)),"Operating"))</f>
        <v/>
      </c>
      <c r="S1903" s="95">
        <f>IF((P1903-Q1903)=1,L1903,IF((P1903-Q1903)=-1,-J1903,0))</f>
        <v/>
      </c>
      <c r="T1903" s="95">
        <f>IF((P1903-Q1903)=1,N1903,IF((P1903-Q1903)=-1,-M1903,0))</f>
        <v/>
      </c>
      <c r="U1903" s="101">
        <f>IF(AND(H1903=1,LedAcct&lt;&gt;""),IF(AND(E1903&gt;=LedFrom,E1903&lt;=LedTo,OR(I1903=LedAcct,K1903=LedAcct,AND(LedAcct=acctTax,M1903+N1903&lt;&gt;0))),E1903*10000+B1903,""),"")</f>
        <v/>
      </c>
    </row>
    <row r="1904">
      <c r="B1904" s="101" t="n">
        <v>1898</v>
      </c>
      <c r="C1904" s="58" t="inlineStr">
        <is>
          <t>Transaction</t>
        </is>
      </c>
      <c r="D1904" s="58">
        <f>IF(H1904=1,INDEX(tx_ID,1898)&amp;"","")</f>
        <v/>
      </c>
      <c r="E1904" s="94">
        <f>IF(H1904=1,INDEX(tx_Date,1898),"")</f>
        <v/>
      </c>
      <c r="F1904" s="58">
        <f>IF(H1904=1,INDEX(tx_Desc,1898)&amp;"","")</f>
        <v/>
      </c>
      <c r="G1904" s="58">
        <f>IF(H1904=1,IF(INDEX(tx_Cust,1898)&amp;""&lt;&gt;"",INDEX(tx_Cust,1898)&amp;"",INDEX(tx_Vend,1898)&amp;""),"")</f>
        <v/>
      </c>
      <c r="H1904" s="101">
        <f>IFERROR(N(INDEX(tx_Posted,1898)),0)</f>
        <v/>
      </c>
      <c r="I1904" s="58">
        <f>IF(H1904=1,INDEX(tx_DrAcct,1898)&amp;"","")</f>
        <v/>
      </c>
      <c r="J1904" s="95">
        <f>IF(H1904=1,INDEX(tx_DrAmt,1898),0)</f>
        <v/>
      </c>
      <c r="K1904" s="58">
        <f>IF(H1904=1,INDEX(tx_CrAcct,1898)&amp;"","")</f>
        <v/>
      </c>
      <c r="L1904" s="95">
        <f>IF(H1904=1,INDEX(tx_CrAmt,1898),0)</f>
        <v/>
      </c>
      <c r="M1904" s="95">
        <f>IF(H1904=1,INDEX(tx_TaxDr,1898),0)</f>
        <v/>
      </c>
      <c r="N1904" s="95">
        <f>IF(H1904=1,INDEX(tx_TaxCr,1898),0)</f>
        <v/>
      </c>
      <c r="O1904" s="101">
        <f>IF(H1904=1,IF(E1904&lt;FYStart,0,IF(E1904&gt;FYEnd,13,YEAR(E1904)*12+MONTH(E1904)-FYYM+1)),"")</f>
        <v/>
      </c>
      <c r="P1904" s="101">
        <f>IF(H1904=1,IF(IFERROR(INDEX(coa_CF,MATCH(I1904,coa_Name,0)),"")="Cash",1,0),0)</f>
        <v/>
      </c>
      <c r="Q1904" s="101">
        <f>IF(H1904=1,IF(IFERROR(INDEX(coa_CF,MATCH(K1904,coa_Name,0)),"")="Cash",1,0),0)</f>
        <v/>
      </c>
      <c r="R1904" s="58">
        <f>IF((P1904-Q1904)=0,"",IFERROR(INDEX(coa_CF,MATCH(IF((P1904-Q1904)=1,K1904,I1904),coa_Name,0)),"Operating"))</f>
        <v/>
      </c>
      <c r="S1904" s="95">
        <f>IF((P1904-Q1904)=1,L1904,IF((P1904-Q1904)=-1,-J1904,0))</f>
        <v/>
      </c>
      <c r="T1904" s="95">
        <f>IF((P1904-Q1904)=1,N1904,IF((P1904-Q1904)=-1,-M1904,0))</f>
        <v/>
      </c>
      <c r="U1904" s="101">
        <f>IF(AND(H1904=1,LedAcct&lt;&gt;""),IF(AND(E1904&gt;=LedFrom,E1904&lt;=LedTo,OR(I1904=LedAcct,K1904=LedAcct,AND(LedAcct=acctTax,M1904+N1904&lt;&gt;0))),E1904*10000+B1904,""),"")</f>
        <v/>
      </c>
    </row>
    <row r="1905">
      <c r="B1905" s="101" t="n">
        <v>1899</v>
      </c>
      <c r="C1905" s="58" t="inlineStr">
        <is>
          <t>Transaction</t>
        </is>
      </c>
      <c r="D1905" s="58">
        <f>IF(H1905=1,INDEX(tx_ID,1899)&amp;"","")</f>
        <v/>
      </c>
      <c r="E1905" s="94">
        <f>IF(H1905=1,INDEX(tx_Date,1899),"")</f>
        <v/>
      </c>
      <c r="F1905" s="58">
        <f>IF(H1905=1,INDEX(tx_Desc,1899)&amp;"","")</f>
        <v/>
      </c>
      <c r="G1905" s="58">
        <f>IF(H1905=1,IF(INDEX(tx_Cust,1899)&amp;""&lt;&gt;"",INDEX(tx_Cust,1899)&amp;"",INDEX(tx_Vend,1899)&amp;""),"")</f>
        <v/>
      </c>
      <c r="H1905" s="101">
        <f>IFERROR(N(INDEX(tx_Posted,1899)),0)</f>
        <v/>
      </c>
      <c r="I1905" s="58">
        <f>IF(H1905=1,INDEX(tx_DrAcct,1899)&amp;"","")</f>
        <v/>
      </c>
      <c r="J1905" s="95">
        <f>IF(H1905=1,INDEX(tx_DrAmt,1899),0)</f>
        <v/>
      </c>
      <c r="K1905" s="58">
        <f>IF(H1905=1,INDEX(tx_CrAcct,1899)&amp;"","")</f>
        <v/>
      </c>
      <c r="L1905" s="95">
        <f>IF(H1905=1,INDEX(tx_CrAmt,1899),0)</f>
        <v/>
      </c>
      <c r="M1905" s="95">
        <f>IF(H1905=1,INDEX(tx_TaxDr,1899),0)</f>
        <v/>
      </c>
      <c r="N1905" s="95">
        <f>IF(H1905=1,INDEX(tx_TaxCr,1899),0)</f>
        <v/>
      </c>
      <c r="O1905" s="101">
        <f>IF(H1905=1,IF(E1905&lt;FYStart,0,IF(E1905&gt;FYEnd,13,YEAR(E1905)*12+MONTH(E1905)-FYYM+1)),"")</f>
        <v/>
      </c>
      <c r="P1905" s="101">
        <f>IF(H1905=1,IF(IFERROR(INDEX(coa_CF,MATCH(I1905,coa_Name,0)),"")="Cash",1,0),0)</f>
        <v/>
      </c>
      <c r="Q1905" s="101">
        <f>IF(H1905=1,IF(IFERROR(INDEX(coa_CF,MATCH(K1905,coa_Name,0)),"")="Cash",1,0),0)</f>
        <v/>
      </c>
      <c r="R1905" s="58">
        <f>IF((P1905-Q1905)=0,"",IFERROR(INDEX(coa_CF,MATCH(IF((P1905-Q1905)=1,K1905,I1905),coa_Name,0)),"Operating"))</f>
        <v/>
      </c>
      <c r="S1905" s="95">
        <f>IF((P1905-Q1905)=1,L1905,IF((P1905-Q1905)=-1,-J1905,0))</f>
        <v/>
      </c>
      <c r="T1905" s="95">
        <f>IF((P1905-Q1905)=1,N1905,IF((P1905-Q1905)=-1,-M1905,0))</f>
        <v/>
      </c>
      <c r="U1905" s="101">
        <f>IF(AND(H1905=1,LedAcct&lt;&gt;""),IF(AND(E1905&gt;=LedFrom,E1905&lt;=LedTo,OR(I1905=LedAcct,K1905=LedAcct,AND(LedAcct=acctTax,M1905+N1905&lt;&gt;0))),E1905*10000+B1905,""),"")</f>
        <v/>
      </c>
    </row>
    <row r="1906">
      <c r="B1906" s="101" t="n">
        <v>1900</v>
      </c>
      <c r="C1906" s="58" t="inlineStr">
        <is>
          <t>Transaction</t>
        </is>
      </c>
      <c r="D1906" s="58">
        <f>IF(H1906=1,INDEX(tx_ID,1900)&amp;"","")</f>
        <v/>
      </c>
      <c r="E1906" s="94">
        <f>IF(H1906=1,INDEX(tx_Date,1900),"")</f>
        <v/>
      </c>
      <c r="F1906" s="58">
        <f>IF(H1906=1,INDEX(tx_Desc,1900)&amp;"","")</f>
        <v/>
      </c>
      <c r="G1906" s="58">
        <f>IF(H1906=1,IF(INDEX(tx_Cust,1900)&amp;""&lt;&gt;"",INDEX(tx_Cust,1900)&amp;"",INDEX(tx_Vend,1900)&amp;""),"")</f>
        <v/>
      </c>
      <c r="H1906" s="101">
        <f>IFERROR(N(INDEX(tx_Posted,1900)),0)</f>
        <v/>
      </c>
      <c r="I1906" s="58">
        <f>IF(H1906=1,INDEX(tx_DrAcct,1900)&amp;"","")</f>
        <v/>
      </c>
      <c r="J1906" s="95">
        <f>IF(H1906=1,INDEX(tx_DrAmt,1900),0)</f>
        <v/>
      </c>
      <c r="K1906" s="58">
        <f>IF(H1906=1,INDEX(tx_CrAcct,1900)&amp;"","")</f>
        <v/>
      </c>
      <c r="L1906" s="95">
        <f>IF(H1906=1,INDEX(tx_CrAmt,1900),0)</f>
        <v/>
      </c>
      <c r="M1906" s="95">
        <f>IF(H1906=1,INDEX(tx_TaxDr,1900),0)</f>
        <v/>
      </c>
      <c r="N1906" s="95">
        <f>IF(H1906=1,INDEX(tx_TaxCr,1900),0)</f>
        <v/>
      </c>
      <c r="O1906" s="101">
        <f>IF(H1906=1,IF(E1906&lt;FYStart,0,IF(E1906&gt;FYEnd,13,YEAR(E1906)*12+MONTH(E1906)-FYYM+1)),"")</f>
        <v/>
      </c>
      <c r="P1906" s="101">
        <f>IF(H1906=1,IF(IFERROR(INDEX(coa_CF,MATCH(I1906,coa_Name,0)),"")="Cash",1,0),0)</f>
        <v/>
      </c>
      <c r="Q1906" s="101">
        <f>IF(H1906=1,IF(IFERROR(INDEX(coa_CF,MATCH(K1906,coa_Name,0)),"")="Cash",1,0),0)</f>
        <v/>
      </c>
      <c r="R1906" s="58">
        <f>IF((P1906-Q1906)=0,"",IFERROR(INDEX(coa_CF,MATCH(IF((P1906-Q1906)=1,K1906,I1906),coa_Name,0)),"Operating"))</f>
        <v/>
      </c>
      <c r="S1906" s="95">
        <f>IF((P1906-Q1906)=1,L1906,IF((P1906-Q1906)=-1,-J1906,0))</f>
        <v/>
      </c>
      <c r="T1906" s="95">
        <f>IF((P1906-Q1906)=1,N1906,IF((P1906-Q1906)=-1,-M1906,0))</f>
        <v/>
      </c>
      <c r="U1906" s="101">
        <f>IF(AND(H1906=1,LedAcct&lt;&gt;""),IF(AND(E1906&gt;=LedFrom,E1906&lt;=LedTo,OR(I1906=LedAcct,K1906=LedAcct,AND(LedAcct=acctTax,M1906+N1906&lt;&gt;0))),E1906*10000+B1906,""),"")</f>
        <v/>
      </c>
    </row>
    <row r="1907">
      <c r="B1907" s="101" t="n">
        <v>1901</v>
      </c>
      <c r="C1907" s="58" t="inlineStr">
        <is>
          <t>Transaction</t>
        </is>
      </c>
      <c r="D1907" s="58">
        <f>IF(H1907=1,INDEX(tx_ID,1901)&amp;"","")</f>
        <v/>
      </c>
      <c r="E1907" s="94">
        <f>IF(H1907=1,INDEX(tx_Date,1901),"")</f>
        <v/>
      </c>
      <c r="F1907" s="58">
        <f>IF(H1907=1,INDEX(tx_Desc,1901)&amp;"","")</f>
        <v/>
      </c>
      <c r="G1907" s="58">
        <f>IF(H1907=1,IF(INDEX(tx_Cust,1901)&amp;""&lt;&gt;"",INDEX(tx_Cust,1901)&amp;"",INDEX(tx_Vend,1901)&amp;""),"")</f>
        <v/>
      </c>
      <c r="H1907" s="101">
        <f>IFERROR(N(INDEX(tx_Posted,1901)),0)</f>
        <v/>
      </c>
      <c r="I1907" s="58">
        <f>IF(H1907=1,INDEX(tx_DrAcct,1901)&amp;"","")</f>
        <v/>
      </c>
      <c r="J1907" s="95">
        <f>IF(H1907=1,INDEX(tx_DrAmt,1901),0)</f>
        <v/>
      </c>
      <c r="K1907" s="58">
        <f>IF(H1907=1,INDEX(tx_CrAcct,1901)&amp;"","")</f>
        <v/>
      </c>
      <c r="L1907" s="95">
        <f>IF(H1907=1,INDEX(tx_CrAmt,1901),0)</f>
        <v/>
      </c>
      <c r="M1907" s="95">
        <f>IF(H1907=1,INDEX(tx_TaxDr,1901),0)</f>
        <v/>
      </c>
      <c r="N1907" s="95">
        <f>IF(H1907=1,INDEX(tx_TaxCr,1901),0)</f>
        <v/>
      </c>
      <c r="O1907" s="101">
        <f>IF(H1907=1,IF(E1907&lt;FYStart,0,IF(E1907&gt;FYEnd,13,YEAR(E1907)*12+MONTH(E1907)-FYYM+1)),"")</f>
        <v/>
      </c>
      <c r="P1907" s="101">
        <f>IF(H1907=1,IF(IFERROR(INDEX(coa_CF,MATCH(I1907,coa_Name,0)),"")="Cash",1,0),0)</f>
        <v/>
      </c>
      <c r="Q1907" s="101">
        <f>IF(H1907=1,IF(IFERROR(INDEX(coa_CF,MATCH(K1907,coa_Name,0)),"")="Cash",1,0),0)</f>
        <v/>
      </c>
      <c r="R1907" s="58">
        <f>IF((P1907-Q1907)=0,"",IFERROR(INDEX(coa_CF,MATCH(IF((P1907-Q1907)=1,K1907,I1907),coa_Name,0)),"Operating"))</f>
        <v/>
      </c>
      <c r="S1907" s="95">
        <f>IF((P1907-Q1907)=1,L1907,IF((P1907-Q1907)=-1,-J1907,0))</f>
        <v/>
      </c>
      <c r="T1907" s="95">
        <f>IF((P1907-Q1907)=1,N1907,IF((P1907-Q1907)=-1,-M1907,0))</f>
        <v/>
      </c>
      <c r="U1907" s="101">
        <f>IF(AND(H1907=1,LedAcct&lt;&gt;""),IF(AND(E1907&gt;=LedFrom,E1907&lt;=LedTo,OR(I1907=LedAcct,K1907=LedAcct,AND(LedAcct=acctTax,M1907+N1907&lt;&gt;0))),E1907*10000+B1907,""),"")</f>
        <v/>
      </c>
    </row>
    <row r="1908">
      <c r="B1908" s="101" t="n">
        <v>1902</v>
      </c>
      <c r="C1908" s="58" t="inlineStr">
        <is>
          <t>Transaction</t>
        </is>
      </c>
      <c r="D1908" s="58">
        <f>IF(H1908=1,INDEX(tx_ID,1902)&amp;"","")</f>
        <v/>
      </c>
      <c r="E1908" s="94">
        <f>IF(H1908=1,INDEX(tx_Date,1902),"")</f>
        <v/>
      </c>
      <c r="F1908" s="58">
        <f>IF(H1908=1,INDEX(tx_Desc,1902)&amp;"","")</f>
        <v/>
      </c>
      <c r="G1908" s="58">
        <f>IF(H1908=1,IF(INDEX(tx_Cust,1902)&amp;""&lt;&gt;"",INDEX(tx_Cust,1902)&amp;"",INDEX(tx_Vend,1902)&amp;""),"")</f>
        <v/>
      </c>
      <c r="H1908" s="101">
        <f>IFERROR(N(INDEX(tx_Posted,1902)),0)</f>
        <v/>
      </c>
      <c r="I1908" s="58">
        <f>IF(H1908=1,INDEX(tx_DrAcct,1902)&amp;"","")</f>
        <v/>
      </c>
      <c r="J1908" s="95">
        <f>IF(H1908=1,INDEX(tx_DrAmt,1902),0)</f>
        <v/>
      </c>
      <c r="K1908" s="58">
        <f>IF(H1908=1,INDEX(tx_CrAcct,1902)&amp;"","")</f>
        <v/>
      </c>
      <c r="L1908" s="95">
        <f>IF(H1908=1,INDEX(tx_CrAmt,1902),0)</f>
        <v/>
      </c>
      <c r="M1908" s="95">
        <f>IF(H1908=1,INDEX(tx_TaxDr,1902),0)</f>
        <v/>
      </c>
      <c r="N1908" s="95">
        <f>IF(H1908=1,INDEX(tx_TaxCr,1902),0)</f>
        <v/>
      </c>
      <c r="O1908" s="101">
        <f>IF(H1908=1,IF(E1908&lt;FYStart,0,IF(E1908&gt;FYEnd,13,YEAR(E1908)*12+MONTH(E1908)-FYYM+1)),"")</f>
        <v/>
      </c>
      <c r="P1908" s="101">
        <f>IF(H1908=1,IF(IFERROR(INDEX(coa_CF,MATCH(I1908,coa_Name,0)),"")="Cash",1,0),0)</f>
        <v/>
      </c>
      <c r="Q1908" s="101">
        <f>IF(H1908=1,IF(IFERROR(INDEX(coa_CF,MATCH(K1908,coa_Name,0)),"")="Cash",1,0),0)</f>
        <v/>
      </c>
      <c r="R1908" s="58">
        <f>IF((P1908-Q1908)=0,"",IFERROR(INDEX(coa_CF,MATCH(IF((P1908-Q1908)=1,K1908,I1908),coa_Name,0)),"Operating"))</f>
        <v/>
      </c>
      <c r="S1908" s="95">
        <f>IF((P1908-Q1908)=1,L1908,IF((P1908-Q1908)=-1,-J1908,0))</f>
        <v/>
      </c>
      <c r="T1908" s="95">
        <f>IF((P1908-Q1908)=1,N1908,IF((P1908-Q1908)=-1,-M1908,0))</f>
        <v/>
      </c>
      <c r="U1908" s="101">
        <f>IF(AND(H1908=1,LedAcct&lt;&gt;""),IF(AND(E1908&gt;=LedFrom,E1908&lt;=LedTo,OR(I1908=LedAcct,K1908=LedAcct,AND(LedAcct=acctTax,M1908+N1908&lt;&gt;0))),E1908*10000+B1908,""),"")</f>
        <v/>
      </c>
    </row>
    <row r="1909">
      <c r="B1909" s="101" t="n">
        <v>1903</v>
      </c>
      <c r="C1909" s="58" t="inlineStr">
        <is>
          <t>Transaction</t>
        </is>
      </c>
      <c r="D1909" s="58">
        <f>IF(H1909=1,INDEX(tx_ID,1903)&amp;"","")</f>
        <v/>
      </c>
      <c r="E1909" s="94">
        <f>IF(H1909=1,INDEX(tx_Date,1903),"")</f>
        <v/>
      </c>
      <c r="F1909" s="58">
        <f>IF(H1909=1,INDEX(tx_Desc,1903)&amp;"","")</f>
        <v/>
      </c>
      <c r="G1909" s="58">
        <f>IF(H1909=1,IF(INDEX(tx_Cust,1903)&amp;""&lt;&gt;"",INDEX(tx_Cust,1903)&amp;"",INDEX(tx_Vend,1903)&amp;""),"")</f>
        <v/>
      </c>
      <c r="H1909" s="101">
        <f>IFERROR(N(INDEX(tx_Posted,1903)),0)</f>
        <v/>
      </c>
      <c r="I1909" s="58">
        <f>IF(H1909=1,INDEX(tx_DrAcct,1903)&amp;"","")</f>
        <v/>
      </c>
      <c r="J1909" s="95">
        <f>IF(H1909=1,INDEX(tx_DrAmt,1903),0)</f>
        <v/>
      </c>
      <c r="K1909" s="58">
        <f>IF(H1909=1,INDEX(tx_CrAcct,1903)&amp;"","")</f>
        <v/>
      </c>
      <c r="L1909" s="95">
        <f>IF(H1909=1,INDEX(tx_CrAmt,1903),0)</f>
        <v/>
      </c>
      <c r="M1909" s="95">
        <f>IF(H1909=1,INDEX(tx_TaxDr,1903),0)</f>
        <v/>
      </c>
      <c r="N1909" s="95">
        <f>IF(H1909=1,INDEX(tx_TaxCr,1903),0)</f>
        <v/>
      </c>
      <c r="O1909" s="101">
        <f>IF(H1909=1,IF(E1909&lt;FYStart,0,IF(E1909&gt;FYEnd,13,YEAR(E1909)*12+MONTH(E1909)-FYYM+1)),"")</f>
        <v/>
      </c>
      <c r="P1909" s="101">
        <f>IF(H1909=1,IF(IFERROR(INDEX(coa_CF,MATCH(I1909,coa_Name,0)),"")="Cash",1,0),0)</f>
        <v/>
      </c>
      <c r="Q1909" s="101">
        <f>IF(H1909=1,IF(IFERROR(INDEX(coa_CF,MATCH(K1909,coa_Name,0)),"")="Cash",1,0),0)</f>
        <v/>
      </c>
      <c r="R1909" s="58">
        <f>IF((P1909-Q1909)=0,"",IFERROR(INDEX(coa_CF,MATCH(IF((P1909-Q1909)=1,K1909,I1909),coa_Name,0)),"Operating"))</f>
        <v/>
      </c>
      <c r="S1909" s="95">
        <f>IF((P1909-Q1909)=1,L1909,IF((P1909-Q1909)=-1,-J1909,0))</f>
        <v/>
      </c>
      <c r="T1909" s="95">
        <f>IF((P1909-Q1909)=1,N1909,IF((P1909-Q1909)=-1,-M1909,0))</f>
        <v/>
      </c>
      <c r="U1909" s="101">
        <f>IF(AND(H1909=1,LedAcct&lt;&gt;""),IF(AND(E1909&gt;=LedFrom,E1909&lt;=LedTo,OR(I1909=LedAcct,K1909=LedAcct,AND(LedAcct=acctTax,M1909+N1909&lt;&gt;0))),E1909*10000+B1909,""),"")</f>
        <v/>
      </c>
    </row>
    <row r="1910">
      <c r="B1910" s="101" t="n">
        <v>1904</v>
      </c>
      <c r="C1910" s="58" t="inlineStr">
        <is>
          <t>Transaction</t>
        </is>
      </c>
      <c r="D1910" s="58">
        <f>IF(H1910=1,INDEX(tx_ID,1904)&amp;"","")</f>
        <v/>
      </c>
      <c r="E1910" s="94">
        <f>IF(H1910=1,INDEX(tx_Date,1904),"")</f>
        <v/>
      </c>
      <c r="F1910" s="58">
        <f>IF(H1910=1,INDEX(tx_Desc,1904)&amp;"","")</f>
        <v/>
      </c>
      <c r="G1910" s="58">
        <f>IF(H1910=1,IF(INDEX(tx_Cust,1904)&amp;""&lt;&gt;"",INDEX(tx_Cust,1904)&amp;"",INDEX(tx_Vend,1904)&amp;""),"")</f>
        <v/>
      </c>
      <c r="H1910" s="101">
        <f>IFERROR(N(INDEX(tx_Posted,1904)),0)</f>
        <v/>
      </c>
      <c r="I1910" s="58">
        <f>IF(H1910=1,INDEX(tx_DrAcct,1904)&amp;"","")</f>
        <v/>
      </c>
      <c r="J1910" s="95">
        <f>IF(H1910=1,INDEX(tx_DrAmt,1904),0)</f>
        <v/>
      </c>
      <c r="K1910" s="58">
        <f>IF(H1910=1,INDEX(tx_CrAcct,1904)&amp;"","")</f>
        <v/>
      </c>
      <c r="L1910" s="95">
        <f>IF(H1910=1,INDEX(tx_CrAmt,1904),0)</f>
        <v/>
      </c>
      <c r="M1910" s="95">
        <f>IF(H1910=1,INDEX(tx_TaxDr,1904),0)</f>
        <v/>
      </c>
      <c r="N1910" s="95">
        <f>IF(H1910=1,INDEX(tx_TaxCr,1904),0)</f>
        <v/>
      </c>
      <c r="O1910" s="101">
        <f>IF(H1910=1,IF(E1910&lt;FYStart,0,IF(E1910&gt;FYEnd,13,YEAR(E1910)*12+MONTH(E1910)-FYYM+1)),"")</f>
        <v/>
      </c>
      <c r="P1910" s="101">
        <f>IF(H1910=1,IF(IFERROR(INDEX(coa_CF,MATCH(I1910,coa_Name,0)),"")="Cash",1,0),0)</f>
        <v/>
      </c>
      <c r="Q1910" s="101">
        <f>IF(H1910=1,IF(IFERROR(INDEX(coa_CF,MATCH(K1910,coa_Name,0)),"")="Cash",1,0),0)</f>
        <v/>
      </c>
      <c r="R1910" s="58">
        <f>IF((P1910-Q1910)=0,"",IFERROR(INDEX(coa_CF,MATCH(IF((P1910-Q1910)=1,K1910,I1910),coa_Name,0)),"Operating"))</f>
        <v/>
      </c>
      <c r="S1910" s="95">
        <f>IF((P1910-Q1910)=1,L1910,IF((P1910-Q1910)=-1,-J1910,0))</f>
        <v/>
      </c>
      <c r="T1910" s="95">
        <f>IF((P1910-Q1910)=1,N1910,IF((P1910-Q1910)=-1,-M1910,0))</f>
        <v/>
      </c>
      <c r="U1910" s="101">
        <f>IF(AND(H1910=1,LedAcct&lt;&gt;""),IF(AND(E1910&gt;=LedFrom,E1910&lt;=LedTo,OR(I1910=LedAcct,K1910=LedAcct,AND(LedAcct=acctTax,M1910+N1910&lt;&gt;0))),E1910*10000+B1910,""),"")</f>
        <v/>
      </c>
    </row>
    <row r="1911">
      <c r="B1911" s="101" t="n">
        <v>1905</v>
      </c>
      <c r="C1911" s="58" t="inlineStr">
        <is>
          <t>Transaction</t>
        </is>
      </c>
      <c r="D1911" s="58">
        <f>IF(H1911=1,INDEX(tx_ID,1905)&amp;"","")</f>
        <v/>
      </c>
      <c r="E1911" s="94">
        <f>IF(H1911=1,INDEX(tx_Date,1905),"")</f>
        <v/>
      </c>
      <c r="F1911" s="58">
        <f>IF(H1911=1,INDEX(tx_Desc,1905)&amp;"","")</f>
        <v/>
      </c>
      <c r="G1911" s="58">
        <f>IF(H1911=1,IF(INDEX(tx_Cust,1905)&amp;""&lt;&gt;"",INDEX(tx_Cust,1905)&amp;"",INDEX(tx_Vend,1905)&amp;""),"")</f>
        <v/>
      </c>
      <c r="H1911" s="101">
        <f>IFERROR(N(INDEX(tx_Posted,1905)),0)</f>
        <v/>
      </c>
      <c r="I1911" s="58">
        <f>IF(H1911=1,INDEX(tx_DrAcct,1905)&amp;"","")</f>
        <v/>
      </c>
      <c r="J1911" s="95">
        <f>IF(H1911=1,INDEX(tx_DrAmt,1905),0)</f>
        <v/>
      </c>
      <c r="K1911" s="58">
        <f>IF(H1911=1,INDEX(tx_CrAcct,1905)&amp;"","")</f>
        <v/>
      </c>
      <c r="L1911" s="95">
        <f>IF(H1911=1,INDEX(tx_CrAmt,1905),0)</f>
        <v/>
      </c>
      <c r="M1911" s="95">
        <f>IF(H1911=1,INDEX(tx_TaxDr,1905),0)</f>
        <v/>
      </c>
      <c r="N1911" s="95">
        <f>IF(H1911=1,INDEX(tx_TaxCr,1905),0)</f>
        <v/>
      </c>
      <c r="O1911" s="101">
        <f>IF(H1911=1,IF(E1911&lt;FYStart,0,IF(E1911&gt;FYEnd,13,YEAR(E1911)*12+MONTH(E1911)-FYYM+1)),"")</f>
        <v/>
      </c>
      <c r="P1911" s="101">
        <f>IF(H1911=1,IF(IFERROR(INDEX(coa_CF,MATCH(I1911,coa_Name,0)),"")="Cash",1,0),0)</f>
        <v/>
      </c>
      <c r="Q1911" s="101">
        <f>IF(H1911=1,IF(IFERROR(INDEX(coa_CF,MATCH(K1911,coa_Name,0)),"")="Cash",1,0),0)</f>
        <v/>
      </c>
      <c r="R1911" s="58">
        <f>IF((P1911-Q1911)=0,"",IFERROR(INDEX(coa_CF,MATCH(IF((P1911-Q1911)=1,K1911,I1911),coa_Name,0)),"Operating"))</f>
        <v/>
      </c>
      <c r="S1911" s="95">
        <f>IF((P1911-Q1911)=1,L1911,IF((P1911-Q1911)=-1,-J1911,0))</f>
        <v/>
      </c>
      <c r="T1911" s="95">
        <f>IF((P1911-Q1911)=1,N1911,IF((P1911-Q1911)=-1,-M1911,0))</f>
        <v/>
      </c>
      <c r="U1911" s="101">
        <f>IF(AND(H1911=1,LedAcct&lt;&gt;""),IF(AND(E1911&gt;=LedFrom,E1911&lt;=LedTo,OR(I1911=LedAcct,K1911=LedAcct,AND(LedAcct=acctTax,M1911+N1911&lt;&gt;0))),E1911*10000+B1911,""),"")</f>
        <v/>
      </c>
    </row>
    <row r="1912">
      <c r="B1912" s="101" t="n">
        <v>1906</v>
      </c>
      <c r="C1912" s="58" t="inlineStr">
        <is>
          <t>Transaction</t>
        </is>
      </c>
      <c r="D1912" s="58">
        <f>IF(H1912=1,INDEX(tx_ID,1906)&amp;"","")</f>
        <v/>
      </c>
      <c r="E1912" s="94">
        <f>IF(H1912=1,INDEX(tx_Date,1906),"")</f>
        <v/>
      </c>
      <c r="F1912" s="58">
        <f>IF(H1912=1,INDEX(tx_Desc,1906)&amp;"","")</f>
        <v/>
      </c>
      <c r="G1912" s="58">
        <f>IF(H1912=1,IF(INDEX(tx_Cust,1906)&amp;""&lt;&gt;"",INDEX(tx_Cust,1906)&amp;"",INDEX(tx_Vend,1906)&amp;""),"")</f>
        <v/>
      </c>
      <c r="H1912" s="101">
        <f>IFERROR(N(INDEX(tx_Posted,1906)),0)</f>
        <v/>
      </c>
      <c r="I1912" s="58">
        <f>IF(H1912=1,INDEX(tx_DrAcct,1906)&amp;"","")</f>
        <v/>
      </c>
      <c r="J1912" s="95">
        <f>IF(H1912=1,INDEX(tx_DrAmt,1906),0)</f>
        <v/>
      </c>
      <c r="K1912" s="58">
        <f>IF(H1912=1,INDEX(tx_CrAcct,1906)&amp;"","")</f>
        <v/>
      </c>
      <c r="L1912" s="95">
        <f>IF(H1912=1,INDEX(tx_CrAmt,1906),0)</f>
        <v/>
      </c>
      <c r="M1912" s="95">
        <f>IF(H1912=1,INDEX(tx_TaxDr,1906),0)</f>
        <v/>
      </c>
      <c r="N1912" s="95">
        <f>IF(H1912=1,INDEX(tx_TaxCr,1906),0)</f>
        <v/>
      </c>
      <c r="O1912" s="101">
        <f>IF(H1912=1,IF(E1912&lt;FYStart,0,IF(E1912&gt;FYEnd,13,YEAR(E1912)*12+MONTH(E1912)-FYYM+1)),"")</f>
        <v/>
      </c>
      <c r="P1912" s="101">
        <f>IF(H1912=1,IF(IFERROR(INDEX(coa_CF,MATCH(I1912,coa_Name,0)),"")="Cash",1,0),0)</f>
        <v/>
      </c>
      <c r="Q1912" s="101">
        <f>IF(H1912=1,IF(IFERROR(INDEX(coa_CF,MATCH(K1912,coa_Name,0)),"")="Cash",1,0),0)</f>
        <v/>
      </c>
      <c r="R1912" s="58">
        <f>IF((P1912-Q1912)=0,"",IFERROR(INDEX(coa_CF,MATCH(IF((P1912-Q1912)=1,K1912,I1912),coa_Name,0)),"Operating"))</f>
        <v/>
      </c>
      <c r="S1912" s="95">
        <f>IF((P1912-Q1912)=1,L1912,IF((P1912-Q1912)=-1,-J1912,0))</f>
        <v/>
      </c>
      <c r="T1912" s="95">
        <f>IF((P1912-Q1912)=1,N1912,IF((P1912-Q1912)=-1,-M1912,0))</f>
        <v/>
      </c>
      <c r="U1912" s="101">
        <f>IF(AND(H1912=1,LedAcct&lt;&gt;""),IF(AND(E1912&gt;=LedFrom,E1912&lt;=LedTo,OR(I1912=LedAcct,K1912=LedAcct,AND(LedAcct=acctTax,M1912+N1912&lt;&gt;0))),E1912*10000+B1912,""),"")</f>
        <v/>
      </c>
    </row>
    <row r="1913">
      <c r="B1913" s="101" t="n">
        <v>1907</v>
      </c>
      <c r="C1913" s="58" t="inlineStr">
        <is>
          <t>Transaction</t>
        </is>
      </c>
      <c r="D1913" s="58">
        <f>IF(H1913=1,INDEX(tx_ID,1907)&amp;"","")</f>
        <v/>
      </c>
      <c r="E1913" s="94">
        <f>IF(H1913=1,INDEX(tx_Date,1907),"")</f>
        <v/>
      </c>
      <c r="F1913" s="58">
        <f>IF(H1913=1,INDEX(tx_Desc,1907)&amp;"","")</f>
        <v/>
      </c>
      <c r="G1913" s="58">
        <f>IF(H1913=1,IF(INDEX(tx_Cust,1907)&amp;""&lt;&gt;"",INDEX(tx_Cust,1907)&amp;"",INDEX(tx_Vend,1907)&amp;""),"")</f>
        <v/>
      </c>
      <c r="H1913" s="101">
        <f>IFERROR(N(INDEX(tx_Posted,1907)),0)</f>
        <v/>
      </c>
      <c r="I1913" s="58">
        <f>IF(H1913=1,INDEX(tx_DrAcct,1907)&amp;"","")</f>
        <v/>
      </c>
      <c r="J1913" s="95">
        <f>IF(H1913=1,INDEX(tx_DrAmt,1907),0)</f>
        <v/>
      </c>
      <c r="K1913" s="58">
        <f>IF(H1913=1,INDEX(tx_CrAcct,1907)&amp;"","")</f>
        <v/>
      </c>
      <c r="L1913" s="95">
        <f>IF(H1913=1,INDEX(tx_CrAmt,1907),0)</f>
        <v/>
      </c>
      <c r="M1913" s="95">
        <f>IF(H1913=1,INDEX(tx_TaxDr,1907),0)</f>
        <v/>
      </c>
      <c r="N1913" s="95">
        <f>IF(H1913=1,INDEX(tx_TaxCr,1907),0)</f>
        <v/>
      </c>
      <c r="O1913" s="101">
        <f>IF(H1913=1,IF(E1913&lt;FYStart,0,IF(E1913&gt;FYEnd,13,YEAR(E1913)*12+MONTH(E1913)-FYYM+1)),"")</f>
        <v/>
      </c>
      <c r="P1913" s="101">
        <f>IF(H1913=1,IF(IFERROR(INDEX(coa_CF,MATCH(I1913,coa_Name,0)),"")="Cash",1,0),0)</f>
        <v/>
      </c>
      <c r="Q1913" s="101">
        <f>IF(H1913=1,IF(IFERROR(INDEX(coa_CF,MATCH(K1913,coa_Name,0)),"")="Cash",1,0),0)</f>
        <v/>
      </c>
      <c r="R1913" s="58">
        <f>IF((P1913-Q1913)=0,"",IFERROR(INDEX(coa_CF,MATCH(IF((P1913-Q1913)=1,K1913,I1913),coa_Name,0)),"Operating"))</f>
        <v/>
      </c>
      <c r="S1913" s="95">
        <f>IF((P1913-Q1913)=1,L1913,IF((P1913-Q1913)=-1,-J1913,0))</f>
        <v/>
      </c>
      <c r="T1913" s="95">
        <f>IF((P1913-Q1913)=1,N1913,IF((P1913-Q1913)=-1,-M1913,0))</f>
        <v/>
      </c>
      <c r="U1913" s="101">
        <f>IF(AND(H1913=1,LedAcct&lt;&gt;""),IF(AND(E1913&gt;=LedFrom,E1913&lt;=LedTo,OR(I1913=LedAcct,K1913=LedAcct,AND(LedAcct=acctTax,M1913+N1913&lt;&gt;0))),E1913*10000+B1913,""),"")</f>
        <v/>
      </c>
    </row>
    <row r="1914">
      <c r="B1914" s="101" t="n">
        <v>1908</v>
      </c>
      <c r="C1914" s="58" t="inlineStr">
        <is>
          <t>Transaction</t>
        </is>
      </c>
      <c r="D1914" s="58">
        <f>IF(H1914=1,INDEX(tx_ID,1908)&amp;"","")</f>
        <v/>
      </c>
      <c r="E1914" s="94">
        <f>IF(H1914=1,INDEX(tx_Date,1908),"")</f>
        <v/>
      </c>
      <c r="F1914" s="58">
        <f>IF(H1914=1,INDEX(tx_Desc,1908)&amp;"","")</f>
        <v/>
      </c>
      <c r="G1914" s="58">
        <f>IF(H1914=1,IF(INDEX(tx_Cust,1908)&amp;""&lt;&gt;"",INDEX(tx_Cust,1908)&amp;"",INDEX(tx_Vend,1908)&amp;""),"")</f>
        <v/>
      </c>
      <c r="H1914" s="101">
        <f>IFERROR(N(INDEX(tx_Posted,1908)),0)</f>
        <v/>
      </c>
      <c r="I1914" s="58">
        <f>IF(H1914=1,INDEX(tx_DrAcct,1908)&amp;"","")</f>
        <v/>
      </c>
      <c r="J1914" s="95">
        <f>IF(H1914=1,INDEX(tx_DrAmt,1908),0)</f>
        <v/>
      </c>
      <c r="K1914" s="58">
        <f>IF(H1914=1,INDEX(tx_CrAcct,1908)&amp;"","")</f>
        <v/>
      </c>
      <c r="L1914" s="95">
        <f>IF(H1914=1,INDEX(tx_CrAmt,1908),0)</f>
        <v/>
      </c>
      <c r="M1914" s="95">
        <f>IF(H1914=1,INDEX(tx_TaxDr,1908),0)</f>
        <v/>
      </c>
      <c r="N1914" s="95">
        <f>IF(H1914=1,INDEX(tx_TaxCr,1908),0)</f>
        <v/>
      </c>
      <c r="O1914" s="101">
        <f>IF(H1914=1,IF(E1914&lt;FYStart,0,IF(E1914&gt;FYEnd,13,YEAR(E1914)*12+MONTH(E1914)-FYYM+1)),"")</f>
        <v/>
      </c>
      <c r="P1914" s="101">
        <f>IF(H1914=1,IF(IFERROR(INDEX(coa_CF,MATCH(I1914,coa_Name,0)),"")="Cash",1,0),0)</f>
        <v/>
      </c>
      <c r="Q1914" s="101">
        <f>IF(H1914=1,IF(IFERROR(INDEX(coa_CF,MATCH(K1914,coa_Name,0)),"")="Cash",1,0),0)</f>
        <v/>
      </c>
      <c r="R1914" s="58">
        <f>IF((P1914-Q1914)=0,"",IFERROR(INDEX(coa_CF,MATCH(IF((P1914-Q1914)=1,K1914,I1914),coa_Name,0)),"Operating"))</f>
        <v/>
      </c>
      <c r="S1914" s="95">
        <f>IF((P1914-Q1914)=1,L1914,IF((P1914-Q1914)=-1,-J1914,0))</f>
        <v/>
      </c>
      <c r="T1914" s="95">
        <f>IF((P1914-Q1914)=1,N1914,IF((P1914-Q1914)=-1,-M1914,0))</f>
        <v/>
      </c>
      <c r="U1914" s="101">
        <f>IF(AND(H1914=1,LedAcct&lt;&gt;""),IF(AND(E1914&gt;=LedFrom,E1914&lt;=LedTo,OR(I1914=LedAcct,K1914=LedAcct,AND(LedAcct=acctTax,M1914+N1914&lt;&gt;0))),E1914*10000+B1914,""),"")</f>
        <v/>
      </c>
    </row>
    <row r="1915">
      <c r="B1915" s="101" t="n">
        <v>1909</v>
      </c>
      <c r="C1915" s="58" t="inlineStr">
        <is>
          <t>Transaction</t>
        </is>
      </c>
      <c r="D1915" s="58">
        <f>IF(H1915=1,INDEX(tx_ID,1909)&amp;"","")</f>
        <v/>
      </c>
      <c r="E1915" s="94">
        <f>IF(H1915=1,INDEX(tx_Date,1909),"")</f>
        <v/>
      </c>
      <c r="F1915" s="58">
        <f>IF(H1915=1,INDEX(tx_Desc,1909)&amp;"","")</f>
        <v/>
      </c>
      <c r="G1915" s="58">
        <f>IF(H1915=1,IF(INDEX(tx_Cust,1909)&amp;""&lt;&gt;"",INDEX(tx_Cust,1909)&amp;"",INDEX(tx_Vend,1909)&amp;""),"")</f>
        <v/>
      </c>
      <c r="H1915" s="101">
        <f>IFERROR(N(INDEX(tx_Posted,1909)),0)</f>
        <v/>
      </c>
      <c r="I1915" s="58">
        <f>IF(H1915=1,INDEX(tx_DrAcct,1909)&amp;"","")</f>
        <v/>
      </c>
      <c r="J1915" s="95">
        <f>IF(H1915=1,INDEX(tx_DrAmt,1909),0)</f>
        <v/>
      </c>
      <c r="K1915" s="58">
        <f>IF(H1915=1,INDEX(tx_CrAcct,1909)&amp;"","")</f>
        <v/>
      </c>
      <c r="L1915" s="95">
        <f>IF(H1915=1,INDEX(tx_CrAmt,1909),0)</f>
        <v/>
      </c>
      <c r="M1915" s="95">
        <f>IF(H1915=1,INDEX(tx_TaxDr,1909),0)</f>
        <v/>
      </c>
      <c r="N1915" s="95">
        <f>IF(H1915=1,INDEX(tx_TaxCr,1909),0)</f>
        <v/>
      </c>
      <c r="O1915" s="101">
        <f>IF(H1915=1,IF(E1915&lt;FYStart,0,IF(E1915&gt;FYEnd,13,YEAR(E1915)*12+MONTH(E1915)-FYYM+1)),"")</f>
        <v/>
      </c>
      <c r="P1915" s="101">
        <f>IF(H1915=1,IF(IFERROR(INDEX(coa_CF,MATCH(I1915,coa_Name,0)),"")="Cash",1,0),0)</f>
        <v/>
      </c>
      <c r="Q1915" s="101">
        <f>IF(H1915=1,IF(IFERROR(INDEX(coa_CF,MATCH(K1915,coa_Name,0)),"")="Cash",1,0),0)</f>
        <v/>
      </c>
      <c r="R1915" s="58">
        <f>IF((P1915-Q1915)=0,"",IFERROR(INDEX(coa_CF,MATCH(IF((P1915-Q1915)=1,K1915,I1915),coa_Name,0)),"Operating"))</f>
        <v/>
      </c>
      <c r="S1915" s="95">
        <f>IF((P1915-Q1915)=1,L1915,IF((P1915-Q1915)=-1,-J1915,0))</f>
        <v/>
      </c>
      <c r="T1915" s="95">
        <f>IF((P1915-Q1915)=1,N1915,IF((P1915-Q1915)=-1,-M1915,0))</f>
        <v/>
      </c>
      <c r="U1915" s="101">
        <f>IF(AND(H1915=1,LedAcct&lt;&gt;""),IF(AND(E1915&gt;=LedFrom,E1915&lt;=LedTo,OR(I1915=LedAcct,K1915=LedAcct,AND(LedAcct=acctTax,M1915+N1915&lt;&gt;0))),E1915*10000+B1915,""),"")</f>
        <v/>
      </c>
    </row>
    <row r="1916">
      <c r="B1916" s="101" t="n">
        <v>1910</v>
      </c>
      <c r="C1916" s="58" t="inlineStr">
        <is>
          <t>Transaction</t>
        </is>
      </c>
      <c r="D1916" s="58">
        <f>IF(H1916=1,INDEX(tx_ID,1910)&amp;"","")</f>
        <v/>
      </c>
      <c r="E1916" s="94">
        <f>IF(H1916=1,INDEX(tx_Date,1910),"")</f>
        <v/>
      </c>
      <c r="F1916" s="58">
        <f>IF(H1916=1,INDEX(tx_Desc,1910)&amp;"","")</f>
        <v/>
      </c>
      <c r="G1916" s="58">
        <f>IF(H1916=1,IF(INDEX(tx_Cust,1910)&amp;""&lt;&gt;"",INDEX(tx_Cust,1910)&amp;"",INDEX(tx_Vend,1910)&amp;""),"")</f>
        <v/>
      </c>
      <c r="H1916" s="101">
        <f>IFERROR(N(INDEX(tx_Posted,1910)),0)</f>
        <v/>
      </c>
      <c r="I1916" s="58">
        <f>IF(H1916=1,INDEX(tx_DrAcct,1910)&amp;"","")</f>
        <v/>
      </c>
      <c r="J1916" s="95">
        <f>IF(H1916=1,INDEX(tx_DrAmt,1910),0)</f>
        <v/>
      </c>
      <c r="K1916" s="58">
        <f>IF(H1916=1,INDEX(tx_CrAcct,1910)&amp;"","")</f>
        <v/>
      </c>
      <c r="L1916" s="95">
        <f>IF(H1916=1,INDEX(tx_CrAmt,1910),0)</f>
        <v/>
      </c>
      <c r="M1916" s="95">
        <f>IF(H1916=1,INDEX(tx_TaxDr,1910),0)</f>
        <v/>
      </c>
      <c r="N1916" s="95">
        <f>IF(H1916=1,INDEX(tx_TaxCr,1910),0)</f>
        <v/>
      </c>
      <c r="O1916" s="101">
        <f>IF(H1916=1,IF(E1916&lt;FYStart,0,IF(E1916&gt;FYEnd,13,YEAR(E1916)*12+MONTH(E1916)-FYYM+1)),"")</f>
        <v/>
      </c>
      <c r="P1916" s="101">
        <f>IF(H1916=1,IF(IFERROR(INDEX(coa_CF,MATCH(I1916,coa_Name,0)),"")="Cash",1,0),0)</f>
        <v/>
      </c>
      <c r="Q1916" s="101">
        <f>IF(H1916=1,IF(IFERROR(INDEX(coa_CF,MATCH(K1916,coa_Name,0)),"")="Cash",1,0),0)</f>
        <v/>
      </c>
      <c r="R1916" s="58">
        <f>IF((P1916-Q1916)=0,"",IFERROR(INDEX(coa_CF,MATCH(IF((P1916-Q1916)=1,K1916,I1916),coa_Name,0)),"Operating"))</f>
        <v/>
      </c>
      <c r="S1916" s="95">
        <f>IF((P1916-Q1916)=1,L1916,IF((P1916-Q1916)=-1,-J1916,0))</f>
        <v/>
      </c>
      <c r="T1916" s="95">
        <f>IF((P1916-Q1916)=1,N1916,IF((P1916-Q1916)=-1,-M1916,0))</f>
        <v/>
      </c>
      <c r="U1916" s="101">
        <f>IF(AND(H1916=1,LedAcct&lt;&gt;""),IF(AND(E1916&gt;=LedFrom,E1916&lt;=LedTo,OR(I1916=LedAcct,K1916=LedAcct,AND(LedAcct=acctTax,M1916+N1916&lt;&gt;0))),E1916*10000+B1916,""),"")</f>
        <v/>
      </c>
    </row>
    <row r="1917">
      <c r="B1917" s="101" t="n">
        <v>1911</v>
      </c>
      <c r="C1917" s="58" t="inlineStr">
        <is>
          <t>Transaction</t>
        </is>
      </c>
      <c r="D1917" s="58">
        <f>IF(H1917=1,INDEX(tx_ID,1911)&amp;"","")</f>
        <v/>
      </c>
      <c r="E1917" s="94">
        <f>IF(H1917=1,INDEX(tx_Date,1911),"")</f>
        <v/>
      </c>
      <c r="F1917" s="58">
        <f>IF(H1917=1,INDEX(tx_Desc,1911)&amp;"","")</f>
        <v/>
      </c>
      <c r="G1917" s="58">
        <f>IF(H1917=1,IF(INDEX(tx_Cust,1911)&amp;""&lt;&gt;"",INDEX(tx_Cust,1911)&amp;"",INDEX(tx_Vend,1911)&amp;""),"")</f>
        <v/>
      </c>
      <c r="H1917" s="101">
        <f>IFERROR(N(INDEX(tx_Posted,1911)),0)</f>
        <v/>
      </c>
      <c r="I1917" s="58">
        <f>IF(H1917=1,INDEX(tx_DrAcct,1911)&amp;"","")</f>
        <v/>
      </c>
      <c r="J1917" s="95">
        <f>IF(H1917=1,INDEX(tx_DrAmt,1911),0)</f>
        <v/>
      </c>
      <c r="K1917" s="58">
        <f>IF(H1917=1,INDEX(tx_CrAcct,1911)&amp;"","")</f>
        <v/>
      </c>
      <c r="L1917" s="95">
        <f>IF(H1917=1,INDEX(tx_CrAmt,1911),0)</f>
        <v/>
      </c>
      <c r="M1917" s="95">
        <f>IF(H1917=1,INDEX(tx_TaxDr,1911),0)</f>
        <v/>
      </c>
      <c r="N1917" s="95">
        <f>IF(H1917=1,INDEX(tx_TaxCr,1911),0)</f>
        <v/>
      </c>
      <c r="O1917" s="101">
        <f>IF(H1917=1,IF(E1917&lt;FYStart,0,IF(E1917&gt;FYEnd,13,YEAR(E1917)*12+MONTH(E1917)-FYYM+1)),"")</f>
        <v/>
      </c>
      <c r="P1917" s="101">
        <f>IF(H1917=1,IF(IFERROR(INDEX(coa_CF,MATCH(I1917,coa_Name,0)),"")="Cash",1,0),0)</f>
        <v/>
      </c>
      <c r="Q1917" s="101">
        <f>IF(H1917=1,IF(IFERROR(INDEX(coa_CF,MATCH(K1917,coa_Name,0)),"")="Cash",1,0),0)</f>
        <v/>
      </c>
      <c r="R1917" s="58">
        <f>IF((P1917-Q1917)=0,"",IFERROR(INDEX(coa_CF,MATCH(IF((P1917-Q1917)=1,K1917,I1917),coa_Name,0)),"Operating"))</f>
        <v/>
      </c>
      <c r="S1917" s="95">
        <f>IF((P1917-Q1917)=1,L1917,IF((P1917-Q1917)=-1,-J1917,0))</f>
        <v/>
      </c>
      <c r="T1917" s="95">
        <f>IF((P1917-Q1917)=1,N1917,IF((P1917-Q1917)=-1,-M1917,0))</f>
        <v/>
      </c>
      <c r="U1917" s="101">
        <f>IF(AND(H1917=1,LedAcct&lt;&gt;""),IF(AND(E1917&gt;=LedFrom,E1917&lt;=LedTo,OR(I1917=LedAcct,K1917=LedAcct,AND(LedAcct=acctTax,M1917+N1917&lt;&gt;0))),E1917*10000+B1917,""),"")</f>
        <v/>
      </c>
    </row>
    <row r="1918">
      <c r="B1918" s="101" t="n">
        <v>1912</v>
      </c>
      <c r="C1918" s="58" t="inlineStr">
        <is>
          <t>Transaction</t>
        </is>
      </c>
      <c r="D1918" s="58">
        <f>IF(H1918=1,INDEX(tx_ID,1912)&amp;"","")</f>
        <v/>
      </c>
      <c r="E1918" s="94">
        <f>IF(H1918=1,INDEX(tx_Date,1912),"")</f>
        <v/>
      </c>
      <c r="F1918" s="58">
        <f>IF(H1918=1,INDEX(tx_Desc,1912)&amp;"","")</f>
        <v/>
      </c>
      <c r="G1918" s="58">
        <f>IF(H1918=1,IF(INDEX(tx_Cust,1912)&amp;""&lt;&gt;"",INDEX(tx_Cust,1912)&amp;"",INDEX(tx_Vend,1912)&amp;""),"")</f>
        <v/>
      </c>
      <c r="H1918" s="101">
        <f>IFERROR(N(INDEX(tx_Posted,1912)),0)</f>
        <v/>
      </c>
      <c r="I1918" s="58">
        <f>IF(H1918=1,INDEX(tx_DrAcct,1912)&amp;"","")</f>
        <v/>
      </c>
      <c r="J1918" s="95">
        <f>IF(H1918=1,INDEX(tx_DrAmt,1912),0)</f>
        <v/>
      </c>
      <c r="K1918" s="58">
        <f>IF(H1918=1,INDEX(tx_CrAcct,1912)&amp;"","")</f>
        <v/>
      </c>
      <c r="L1918" s="95">
        <f>IF(H1918=1,INDEX(tx_CrAmt,1912),0)</f>
        <v/>
      </c>
      <c r="M1918" s="95">
        <f>IF(H1918=1,INDEX(tx_TaxDr,1912),0)</f>
        <v/>
      </c>
      <c r="N1918" s="95">
        <f>IF(H1918=1,INDEX(tx_TaxCr,1912),0)</f>
        <v/>
      </c>
      <c r="O1918" s="101">
        <f>IF(H1918=1,IF(E1918&lt;FYStart,0,IF(E1918&gt;FYEnd,13,YEAR(E1918)*12+MONTH(E1918)-FYYM+1)),"")</f>
        <v/>
      </c>
      <c r="P1918" s="101">
        <f>IF(H1918=1,IF(IFERROR(INDEX(coa_CF,MATCH(I1918,coa_Name,0)),"")="Cash",1,0),0)</f>
        <v/>
      </c>
      <c r="Q1918" s="101">
        <f>IF(H1918=1,IF(IFERROR(INDEX(coa_CF,MATCH(K1918,coa_Name,0)),"")="Cash",1,0),0)</f>
        <v/>
      </c>
      <c r="R1918" s="58">
        <f>IF((P1918-Q1918)=0,"",IFERROR(INDEX(coa_CF,MATCH(IF((P1918-Q1918)=1,K1918,I1918),coa_Name,0)),"Operating"))</f>
        <v/>
      </c>
      <c r="S1918" s="95">
        <f>IF((P1918-Q1918)=1,L1918,IF((P1918-Q1918)=-1,-J1918,0))</f>
        <v/>
      </c>
      <c r="T1918" s="95">
        <f>IF((P1918-Q1918)=1,N1918,IF((P1918-Q1918)=-1,-M1918,0))</f>
        <v/>
      </c>
      <c r="U1918" s="101">
        <f>IF(AND(H1918=1,LedAcct&lt;&gt;""),IF(AND(E1918&gt;=LedFrom,E1918&lt;=LedTo,OR(I1918=LedAcct,K1918=LedAcct,AND(LedAcct=acctTax,M1918+N1918&lt;&gt;0))),E1918*10000+B1918,""),"")</f>
        <v/>
      </c>
    </row>
    <row r="1919">
      <c r="B1919" s="101" t="n">
        <v>1913</v>
      </c>
      <c r="C1919" s="58" t="inlineStr">
        <is>
          <t>Transaction</t>
        </is>
      </c>
      <c r="D1919" s="58">
        <f>IF(H1919=1,INDEX(tx_ID,1913)&amp;"","")</f>
        <v/>
      </c>
      <c r="E1919" s="94">
        <f>IF(H1919=1,INDEX(tx_Date,1913),"")</f>
        <v/>
      </c>
      <c r="F1919" s="58">
        <f>IF(H1919=1,INDEX(tx_Desc,1913)&amp;"","")</f>
        <v/>
      </c>
      <c r="G1919" s="58">
        <f>IF(H1919=1,IF(INDEX(tx_Cust,1913)&amp;""&lt;&gt;"",INDEX(tx_Cust,1913)&amp;"",INDEX(tx_Vend,1913)&amp;""),"")</f>
        <v/>
      </c>
      <c r="H1919" s="101">
        <f>IFERROR(N(INDEX(tx_Posted,1913)),0)</f>
        <v/>
      </c>
      <c r="I1919" s="58">
        <f>IF(H1919=1,INDEX(tx_DrAcct,1913)&amp;"","")</f>
        <v/>
      </c>
      <c r="J1919" s="95">
        <f>IF(H1919=1,INDEX(tx_DrAmt,1913),0)</f>
        <v/>
      </c>
      <c r="K1919" s="58">
        <f>IF(H1919=1,INDEX(tx_CrAcct,1913)&amp;"","")</f>
        <v/>
      </c>
      <c r="L1919" s="95">
        <f>IF(H1919=1,INDEX(tx_CrAmt,1913),0)</f>
        <v/>
      </c>
      <c r="M1919" s="95">
        <f>IF(H1919=1,INDEX(tx_TaxDr,1913),0)</f>
        <v/>
      </c>
      <c r="N1919" s="95">
        <f>IF(H1919=1,INDEX(tx_TaxCr,1913),0)</f>
        <v/>
      </c>
      <c r="O1919" s="101">
        <f>IF(H1919=1,IF(E1919&lt;FYStart,0,IF(E1919&gt;FYEnd,13,YEAR(E1919)*12+MONTH(E1919)-FYYM+1)),"")</f>
        <v/>
      </c>
      <c r="P1919" s="101">
        <f>IF(H1919=1,IF(IFERROR(INDEX(coa_CF,MATCH(I1919,coa_Name,0)),"")="Cash",1,0),0)</f>
        <v/>
      </c>
      <c r="Q1919" s="101">
        <f>IF(H1919=1,IF(IFERROR(INDEX(coa_CF,MATCH(K1919,coa_Name,0)),"")="Cash",1,0),0)</f>
        <v/>
      </c>
      <c r="R1919" s="58">
        <f>IF((P1919-Q1919)=0,"",IFERROR(INDEX(coa_CF,MATCH(IF((P1919-Q1919)=1,K1919,I1919),coa_Name,0)),"Operating"))</f>
        <v/>
      </c>
      <c r="S1919" s="95">
        <f>IF((P1919-Q1919)=1,L1919,IF((P1919-Q1919)=-1,-J1919,0))</f>
        <v/>
      </c>
      <c r="T1919" s="95">
        <f>IF((P1919-Q1919)=1,N1919,IF((P1919-Q1919)=-1,-M1919,0))</f>
        <v/>
      </c>
      <c r="U1919" s="101">
        <f>IF(AND(H1919=1,LedAcct&lt;&gt;""),IF(AND(E1919&gt;=LedFrom,E1919&lt;=LedTo,OR(I1919=LedAcct,K1919=LedAcct,AND(LedAcct=acctTax,M1919+N1919&lt;&gt;0))),E1919*10000+B1919,""),"")</f>
        <v/>
      </c>
    </row>
    <row r="1920">
      <c r="B1920" s="101" t="n">
        <v>1914</v>
      </c>
      <c r="C1920" s="58" t="inlineStr">
        <is>
          <t>Transaction</t>
        </is>
      </c>
      <c r="D1920" s="58">
        <f>IF(H1920=1,INDEX(tx_ID,1914)&amp;"","")</f>
        <v/>
      </c>
      <c r="E1920" s="94">
        <f>IF(H1920=1,INDEX(tx_Date,1914),"")</f>
        <v/>
      </c>
      <c r="F1920" s="58">
        <f>IF(H1920=1,INDEX(tx_Desc,1914)&amp;"","")</f>
        <v/>
      </c>
      <c r="G1920" s="58">
        <f>IF(H1920=1,IF(INDEX(tx_Cust,1914)&amp;""&lt;&gt;"",INDEX(tx_Cust,1914)&amp;"",INDEX(tx_Vend,1914)&amp;""),"")</f>
        <v/>
      </c>
      <c r="H1920" s="101">
        <f>IFERROR(N(INDEX(tx_Posted,1914)),0)</f>
        <v/>
      </c>
      <c r="I1920" s="58">
        <f>IF(H1920=1,INDEX(tx_DrAcct,1914)&amp;"","")</f>
        <v/>
      </c>
      <c r="J1920" s="95">
        <f>IF(H1920=1,INDEX(tx_DrAmt,1914),0)</f>
        <v/>
      </c>
      <c r="K1920" s="58">
        <f>IF(H1920=1,INDEX(tx_CrAcct,1914)&amp;"","")</f>
        <v/>
      </c>
      <c r="L1920" s="95">
        <f>IF(H1920=1,INDEX(tx_CrAmt,1914),0)</f>
        <v/>
      </c>
      <c r="M1920" s="95">
        <f>IF(H1920=1,INDEX(tx_TaxDr,1914),0)</f>
        <v/>
      </c>
      <c r="N1920" s="95">
        <f>IF(H1920=1,INDEX(tx_TaxCr,1914),0)</f>
        <v/>
      </c>
      <c r="O1920" s="101">
        <f>IF(H1920=1,IF(E1920&lt;FYStart,0,IF(E1920&gt;FYEnd,13,YEAR(E1920)*12+MONTH(E1920)-FYYM+1)),"")</f>
        <v/>
      </c>
      <c r="P1920" s="101">
        <f>IF(H1920=1,IF(IFERROR(INDEX(coa_CF,MATCH(I1920,coa_Name,0)),"")="Cash",1,0),0)</f>
        <v/>
      </c>
      <c r="Q1920" s="101">
        <f>IF(H1920=1,IF(IFERROR(INDEX(coa_CF,MATCH(K1920,coa_Name,0)),"")="Cash",1,0),0)</f>
        <v/>
      </c>
      <c r="R1920" s="58">
        <f>IF((P1920-Q1920)=0,"",IFERROR(INDEX(coa_CF,MATCH(IF((P1920-Q1920)=1,K1920,I1920),coa_Name,0)),"Operating"))</f>
        <v/>
      </c>
      <c r="S1920" s="95">
        <f>IF((P1920-Q1920)=1,L1920,IF((P1920-Q1920)=-1,-J1920,0))</f>
        <v/>
      </c>
      <c r="T1920" s="95">
        <f>IF((P1920-Q1920)=1,N1920,IF((P1920-Q1920)=-1,-M1920,0))</f>
        <v/>
      </c>
      <c r="U1920" s="101">
        <f>IF(AND(H1920=1,LedAcct&lt;&gt;""),IF(AND(E1920&gt;=LedFrom,E1920&lt;=LedTo,OR(I1920=LedAcct,K1920=LedAcct,AND(LedAcct=acctTax,M1920+N1920&lt;&gt;0))),E1920*10000+B1920,""),"")</f>
        <v/>
      </c>
    </row>
    <row r="1921">
      <c r="B1921" s="101" t="n">
        <v>1915</v>
      </c>
      <c r="C1921" s="58" t="inlineStr">
        <is>
          <t>Transaction</t>
        </is>
      </c>
      <c r="D1921" s="58">
        <f>IF(H1921=1,INDEX(tx_ID,1915)&amp;"","")</f>
        <v/>
      </c>
      <c r="E1921" s="94">
        <f>IF(H1921=1,INDEX(tx_Date,1915),"")</f>
        <v/>
      </c>
      <c r="F1921" s="58">
        <f>IF(H1921=1,INDEX(tx_Desc,1915)&amp;"","")</f>
        <v/>
      </c>
      <c r="G1921" s="58">
        <f>IF(H1921=1,IF(INDEX(tx_Cust,1915)&amp;""&lt;&gt;"",INDEX(tx_Cust,1915)&amp;"",INDEX(tx_Vend,1915)&amp;""),"")</f>
        <v/>
      </c>
      <c r="H1921" s="101">
        <f>IFERROR(N(INDEX(tx_Posted,1915)),0)</f>
        <v/>
      </c>
      <c r="I1921" s="58">
        <f>IF(H1921=1,INDEX(tx_DrAcct,1915)&amp;"","")</f>
        <v/>
      </c>
      <c r="J1921" s="95">
        <f>IF(H1921=1,INDEX(tx_DrAmt,1915),0)</f>
        <v/>
      </c>
      <c r="K1921" s="58">
        <f>IF(H1921=1,INDEX(tx_CrAcct,1915)&amp;"","")</f>
        <v/>
      </c>
      <c r="L1921" s="95">
        <f>IF(H1921=1,INDEX(tx_CrAmt,1915),0)</f>
        <v/>
      </c>
      <c r="M1921" s="95">
        <f>IF(H1921=1,INDEX(tx_TaxDr,1915),0)</f>
        <v/>
      </c>
      <c r="N1921" s="95">
        <f>IF(H1921=1,INDEX(tx_TaxCr,1915),0)</f>
        <v/>
      </c>
      <c r="O1921" s="101">
        <f>IF(H1921=1,IF(E1921&lt;FYStart,0,IF(E1921&gt;FYEnd,13,YEAR(E1921)*12+MONTH(E1921)-FYYM+1)),"")</f>
        <v/>
      </c>
      <c r="P1921" s="101">
        <f>IF(H1921=1,IF(IFERROR(INDEX(coa_CF,MATCH(I1921,coa_Name,0)),"")="Cash",1,0),0)</f>
        <v/>
      </c>
      <c r="Q1921" s="101">
        <f>IF(H1921=1,IF(IFERROR(INDEX(coa_CF,MATCH(K1921,coa_Name,0)),"")="Cash",1,0),0)</f>
        <v/>
      </c>
      <c r="R1921" s="58">
        <f>IF((P1921-Q1921)=0,"",IFERROR(INDEX(coa_CF,MATCH(IF((P1921-Q1921)=1,K1921,I1921),coa_Name,0)),"Operating"))</f>
        <v/>
      </c>
      <c r="S1921" s="95">
        <f>IF((P1921-Q1921)=1,L1921,IF((P1921-Q1921)=-1,-J1921,0))</f>
        <v/>
      </c>
      <c r="T1921" s="95">
        <f>IF((P1921-Q1921)=1,N1921,IF((P1921-Q1921)=-1,-M1921,0))</f>
        <v/>
      </c>
      <c r="U1921" s="101">
        <f>IF(AND(H1921=1,LedAcct&lt;&gt;""),IF(AND(E1921&gt;=LedFrom,E1921&lt;=LedTo,OR(I1921=LedAcct,K1921=LedAcct,AND(LedAcct=acctTax,M1921+N1921&lt;&gt;0))),E1921*10000+B1921,""),"")</f>
        <v/>
      </c>
    </row>
    <row r="1922">
      <c r="B1922" s="101" t="n">
        <v>1916</v>
      </c>
      <c r="C1922" s="58" t="inlineStr">
        <is>
          <t>Transaction</t>
        </is>
      </c>
      <c r="D1922" s="58">
        <f>IF(H1922=1,INDEX(tx_ID,1916)&amp;"","")</f>
        <v/>
      </c>
      <c r="E1922" s="94">
        <f>IF(H1922=1,INDEX(tx_Date,1916),"")</f>
        <v/>
      </c>
      <c r="F1922" s="58">
        <f>IF(H1922=1,INDEX(tx_Desc,1916)&amp;"","")</f>
        <v/>
      </c>
      <c r="G1922" s="58">
        <f>IF(H1922=1,IF(INDEX(tx_Cust,1916)&amp;""&lt;&gt;"",INDEX(tx_Cust,1916)&amp;"",INDEX(tx_Vend,1916)&amp;""),"")</f>
        <v/>
      </c>
      <c r="H1922" s="101">
        <f>IFERROR(N(INDEX(tx_Posted,1916)),0)</f>
        <v/>
      </c>
      <c r="I1922" s="58">
        <f>IF(H1922=1,INDEX(tx_DrAcct,1916)&amp;"","")</f>
        <v/>
      </c>
      <c r="J1922" s="95">
        <f>IF(H1922=1,INDEX(tx_DrAmt,1916),0)</f>
        <v/>
      </c>
      <c r="K1922" s="58">
        <f>IF(H1922=1,INDEX(tx_CrAcct,1916)&amp;"","")</f>
        <v/>
      </c>
      <c r="L1922" s="95">
        <f>IF(H1922=1,INDEX(tx_CrAmt,1916),0)</f>
        <v/>
      </c>
      <c r="M1922" s="95">
        <f>IF(H1922=1,INDEX(tx_TaxDr,1916),0)</f>
        <v/>
      </c>
      <c r="N1922" s="95">
        <f>IF(H1922=1,INDEX(tx_TaxCr,1916),0)</f>
        <v/>
      </c>
      <c r="O1922" s="101">
        <f>IF(H1922=1,IF(E1922&lt;FYStart,0,IF(E1922&gt;FYEnd,13,YEAR(E1922)*12+MONTH(E1922)-FYYM+1)),"")</f>
        <v/>
      </c>
      <c r="P1922" s="101">
        <f>IF(H1922=1,IF(IFERROR(INDEX(coa_CF,MATCH(I1922,coa_Name,0)),"")="Cash",1,0),0)</f>
        <v/>
      </c>
      <c r="Q1922" s="101">
        <f>IF(H1922=1,IF(IFERROR(INDEX(coa_CF,MATCH(K1922,coa_Name,0)),"")="Cash",1,0),0)</f>
        <v/>
      </c>
      <c r="R1922" s="58">
        <f>IF((P1922-Q1922)=0,"",IFERROR(INDEX(coa_CF,MATCH(IF((P1922-Q1922)=1,K1922,I1922),coa_Name,0)),"Operating"))</f>
        <v/>
      </c>
      <c r="S1922" s="95">
        <f>IF((P1922-Q1922)=1,L1922,IF((P1922-Q1922)=-1,-J1922,0))</f>
        <v/>
      </c>
      <c r="T1922" s="95">
        <f>IF((P1922-Q1922)=1,N1922,IF((P1922-Q1922)=-1,-M1922,0))</f>
        <v/>
      </c>
      <c r="U1922" s="101">
        <f>IF(AND(H1922=1,LedAcct&lt;&gt;""),IF(AND(E1922&gt;=LedFrom,E1922&lt;=LedTo,OR(I1922=LedAcct,K1922=LedAcct,AND(LedAcct=acctTax,M1922+N1922&lt;&gt;0))),E1922*10000+B1922,""),"")</f>
        <v/>
      </c>
    </row>
    <row r="1923">
      <c r="B1923" s="101" t="n">
        <v>1917</v>
      </c>
      <c r="C1923" s="58" t="inlineStr">
        <is>
          <t>Transaction</t>
        </is>
      </c>
      <c r="D1923" s="58">
        <f>IF(H1923=1,INDEX(tx_ID,1917)&amp;"","")</f>
        <v/>
      </c>
      <c r="E1923" s="94">
        <f>IF(H1923=1,INDEX(tx_Date,1917),"")</f>
        <v/>
      </c>
      <c r="F1923" s="58">
        <f>IF(H1923=1,INDEX(tx_Desc,1917)&amp;"","")</f>
        <v/>
      </c>
      <c r="G1923" s="58">
        <f>IF(H1923=1,IF(INDEX(tx_Cust,1917)&amp;""&lt;&gt;"",INDEX(tx_Cust,1917)&amp;"",INDEX(tx_Vend,1917)&amp;""),"")</f>
        <v/>
      </c>
      <c r="H1923" s="101">
        <f>IFERROR(N(INDEX(tx_Posted,1917)),0)</f>
        <v/>
      </c>
      <c r="I1923" s="58">
        <f>IF(H1923=1,INDEX(tx_DrAcct,1917)&amp;"","")</f>
        <v/>
      </c>
      <c r="J1923" s="95">
        <f>IF(H1923=1,INDEX(tx_DrAmt,1917),0)</f>
        <v/>
      </c>
      <c r="K1923" s="58">
        <f>IF(H1923=1,INDEX(tx_CrAcct,1917)&amp;"","")</f>
        <v/>
      </c>
      <c r="L1923" s="95">
        <f>IF(H1923=1,INDEX(tx_CrAmt,1917),0)</f>
        <v/>
      </c>
      <c r="M1923" s="95">
        <f>IF(H1923=1,INDEX(tx_TaxDr,1917),0)</f>
        <v/>
      </c>
      <c r="N1923" s="95">
        <f>IF(H1923=1,INDEX(tx_TaxCr,1917),0)</f>
        <v/>
      </c>
      <c r="O1923" s="101">
        <f>IF(H1923=1,IF(E1923&lt;FYStart,0,IF(E1923&gt;FYEnd,13,YEAR(E1923)*12+MONTH(E1923)-FYYM+1)),"")</f>
        <v/>
      </c>
      <c r="P1923" s="101">
        <f>IF(H1923=1,IF(IFERROR(INDEX(coa_CF,MATCH(I1923,coa_Name,0)),"")="Cash",1,0),0)</f>
        <v/>
      </c>
      <c r="Q1923" s="101">
        <f>IF(H1923=1,IF(IFERROR(INDEX(coa_CF,MATCH(K1923,coa_Name,0)),"")="Cash",1,0),0)</f>
        <v/>
      </c>
      <c r="R1923" s="58">
        <f>IF((P1923-Q1923)=0,"",IFERROR(INDEX(coa_CF,MATCH(IF((P1923-Q1923)=1,K1923,I1923),coa_Name,0)),"Operating"))</f>
        <v/>
      </c>
      <c r="S1923" s="95">
        <f>IF((P1923-Q1923)=1,L1923,IF((P1923-Q1923)=-1,-J1923,0))</f>
        <v/>
      </c>
      <c r="T1923" s="95">
        <f>IF((P1923-Q1923)=1,N1923,IF((P1923-Q1923)=-1,-M1923,0))</f>
        <v/>
      </c>
      <c r="U1923" s="101">
        <f>IF(AND(H1923=1,LedAcct&lt;&gt;""),IF(AND(E1923&gt;=LedFrom,E1923&lt;=LedTo,OR(I1923=LedAcct,K1923=LedAcct,AND(LedAcct=acctTax,M1923+N1923&lt;&gt;0))),E1923*10000+B1923,""),"")</f>
        <v/>
      </c>
    </row>
    <row r="1924">
      <c r="B1924" s="101" t="n">
        <v>1918</v>
      </c>
      <c r="C1924" s="58" t="inlineStr">
        <is>
          <t>Transaction</t>
        </is>
      </c>
      <c r="D1924" s="58">
        <f>IF(H1924=1,INDEX(tx_ID,1918)&amp;"","")</f>
        <v/>
      </c>
      <c r="E1924" s="94">
        <f>IF(H1924=1,INDEX(tx_Date,1918),"")</f>
        <v/>
      </c>
      <c r="F1924" s="58">
        <f>IF(H1924=1,INDEX(tx_Desc,1918)&amp;"","")</f>
        <v/>
      </c>
      <c r="G1924" s="58">
        <f>IF(H1924=1,IF(INDEX(tx_Cust,1918)&amp;""&lt;&gt;"",INDEX(tx_Cust,1918)&amp;"",INDEX(tx_Vend,1918)&amp;""),"")</f>
        <v/>
      </c>
      <c r="H1924" s="101">
        <f>IFERROR(N(INDEX(tx_Posted,1918)),0)</f>
        <v/>
      </c>
      <c r="I1924" s="58">
        <f>IF(H1924=1,INDEX(tx_DrAcct,1918)&amp;"","")</f>
        <v/>
      </c>
      <c r="J1924" s="95">
        <f>IF(H1924=1,INDEX(tx_DrAmt,1918),0)</f>
        <v/>
      </c>
      <c r="K1924" s="58">
        <f>IF(H1924=1,INDEX(tx_CrAcct,1918)&amp;"","")</f>
        <v/>
      </c>
      <c r="L1924" s="95">
        <f>IF(H1924=1,INDEX(tx_CrAmt,1918),0)</f>
        <v/>
      </c>
      <c r="M1924" s="95">
        <f>IF(H1924=1,INDEX(tx_TaxDr,1918),0)</f>
        <v/>
      </c>
      <c r="N1924" s="95">
        <f>IF(H1924=1,INDEX(tx_TaxCr,1918),0)</f>
        <v/>
      </c>
      <c r="O1924" s="101">
        <f>IF(H1924=1,IF(E1924&lt;FYStart,0,IF(E1924&gt;FYEnd,13,YEAR(E1924)*12+MONTH(E1924)-FYYM+1)),"")</f>
        <v/>
      </c>
      <c r="P1924" s="101">
        <f>IF(H1924=1,IF(IFERROR(INDEX(coa_CF,MATCH(I1924,coa_Name,0)),"")="Cash",1,0),0)</f>
        <v/>
      </c>
      <c r="Q1924" s="101">
        <f>IF(H1924=1,IF(IFERROR(INDEX(coa_CF,MATCH(K1924,coa_Name,0)),"")="Cash",1,0),0)</f>
        <v/>
      </c>
      <c r="R1924" s="58">
        <f>IF((P1924-Q1924)=0,"",IFERROR(INDEX(coa_CF,MATCH(IF((P1924-Q1924)=1,K1924,I1924),coa_Name,0)),"Operating"))</f>
        <v/>
      </c>
      <c r="S1924" s="95">
        <f>IF((P1924-Q1924)=1,L1924,IF((P1924-Q1924)=-1,-J1924,0))</f>
        <v/>
      </c>
      <c r="T1924" s="95">
        <f>IF((P1924-Q1924)=1,N1924,IF((P1924-Q1924)=-1,-M1924,0))</f>
        <v/>
      </c>
      <c r="U1924" s="101">
        <f>IF(AND(H1924=1,LedAcct&lt;&gt;""),IF(AND(E1924&gt;=LedFrom,E1924&lt;=LedTo,OR(I1924=LedAcct,K1924=LedAcct,AND(LedAcct=acctTax,M1924+N1924&lt;&gt;0))),E1924*10000+B1924,""),"")</f>
        <v/>
      </c>
    </row>
    <row r="1925">
      <c r="B1925" s="101" t="n">
        <v>1919</v>
      </c>
      <c r="C1925" s="58" t="inlineStr">
        <is>
          <t>Transaction</t>
        </is>
      </c>
      <c r="D1925" s="58">
        <f>IF(H1925=1,INDEX(tx_ID,1919)&amp;"","")</f>
        <v/>
      </c>
      <c r="E1925" s="94">
        <f>IF(H1925=1,INDEX(tx_Date,1919),"")</f>
        <v/>
      </c>
      <c r="F1925" s="58">
        <f>IF(H1925=1,INDEX(tx_Desc,1919)&amp;"","")</f>
        <v/>
      </c>
      <c r="G1925" s="58">
        <f>IF(H1925=1,IF(INDEX(tx_Cust,1919)&amp;""&lt;&gt;"",INDEX(tx_Cust,1919)&amp;"",INDEX(tx_Vend,1919)&amp;""),"")</f>
        <v/>
      </c>
      <c r="H1925" s="101">
        <f>IFERROR(N(INDEX(tx_Posted,1919)),0)</f>
        <v/>
      </c>
      <c r="I1925" s="58">
        <f>IF(H1925=1,INDEX(tx_DrAcct,1919)&amp;"","")</f>
        <v/>
      </c>
      <c r="J1925" s="95">
        <f>IF(H1925=1,INDEX(tx_DrAmt,1919),0)</f>
        <v/>
      </c>
      <c r="K1925" s="58">
        <f>IF(H1925=1,INDEX(tx_CrAcct,1919)&amp;"","")</f>
        <v/>
      </c>
      <c r="L1925" s="95">
        <f>IF(H1925=1,INDEX(tx_CrAmt,1919),0)</f>
        <v/>
      </c>
      <c r="M1925" s="95">
        <f>IF(H1925=1,INDEX(tx_TaxDr,1919),0)</f>
        <v/>
      </c>
      <c r="N1925" s="95">
        <f>IF(H1925=1,INDEX(tx_TaxCr,1919),0)</f>
        <v/>
      </c>
      <c r="O1925" s="101">
        <f>IF(H1925=1,IF(E1925&lt;FYStart,0,IF(E1925&gt;FYEnd,13,YEAR(E1925)*12+MONTH(E1925)-FYYM+1)),"")</f>
        <v/>
      </c>
      <c r="P1925" s="101">
        <f>IF(H1925=1,IF(IFERROR(INDEX(coa_CF,MATCH(I1925,coa_Name,0)),"")="Cash",1,0),0)</f>
        <v/>
      </c>
      <c r="Q1925" s="101">
        <f>IF(H1925=1,IF(IFERROR(INDEX(coa_CF,MATCH(K1925,coa_Name,0)),"")="Cash",1,0),0)</f>
        <v/>
      </c>
      <c r="R1925" s="58">
        <f>IF((P1925-Q1925)=0,"",IFERROR(INDEX(coa_CF,MATCH(IF((P1925-Q1925)=1,K1925,I1925),coa_Name,0)),"Operating"))</f>
        <v/>
      </c>
      <c r="S1925" s="95">
        <f>IF((P1925-Q1925)=1,L1925,IF((P1925-Q1925)=-1,-J1925,0))</f>
        <v/>
      </c>
      <c r="T1925" s="95">
        <f>IF((P1925-Q1925)=1,N1925,IF((P1925-Q1925)=-1,-M1925,0))</f>
        <v/>
      </c>
      <c r="U1925" s="101">
        <f>IF(AND(H1925=1,LedAcct&lt;&gt;""),IF(AND(E1925&gt;=LedFrom,E1925&lt;=LedTo,OR(I1925=LedAcct,K1925=LedAcct,AND(LedAcct=acctTax,M1925+N1925&lt;&gt;0))),E1925*10000+B1925,""),"")</f>
        <v/>
      </c>
    </row>
    <row r="1926">
      <c r="B1926" s="101" t="n">
        <v>1920</v>
      </c>
      <c r="C1926" s="58" t="inlineStr">
        <is>
          <t>Transaction</t>
        </is>
      </c>
      <c r="D1926" s="58">
        <f>IF(H1926=1,INDEX(tx_ID,1920)&amp;"","")</f>
        <v/>
      </c>
      <c r="E1926" s="94">
        <f>IF(H1926=1,INDEX(tx_Date,1920),"")</f>
        <v/>
      </c>
      <c r="F1926" s="58">
        <f>IF(H1926=1,INDEX(tx_Desc,1920)&amp;"","")</f>
        <v/>
      </c>
      <c r="G1926" s="58">
        <f>IF(H1926=1,IF(INDEX(tx_Cust,1920)&amp;""&lt;&gt;"",INDEX(tx_Cust,1920)&amp;"",INDEX(tx_Vend,1920)&amp;""),"")</f>
        <v/>
      </c>
      <c r="H1926" s="101">
        <f>IFERROR(N(INDEX(tx_Posted,1920)),0)</f>
        <v/>
      </c>
      <c r="I1926" s="58">
        <f>IF(H1926=1,INDEX(tx_DrAcct,1920)&amp;"","")</f>
        <v/>
      </c>
      <c r="J1926" s="95">
        <f>IF(H1926=1,INDEX(tx_DrAmt,1920),0)</f>
        <v/>
      </c>
      <c r="K1926" s="58">
        <f>IF(H1926=1,INDEX(tx_CrAcct,1920)&amp;"","")</f>
        <v/>
      </c>
      <c r="L1926" s="95">
        <f>IF(H1926=1,INDEX(tx_CrAmt,1920),0)</f>
        <v/>
      </c>
      <c r="M1926" s="95">
        <f>IF(H1926=1,INDEX(tx_TaxDr,1920),0)</f>
        <v/>
      </c>
      <c r="N1926" s="95">
        <f>IF(H1926=1,INDEX(tx_TaxCr,1920),0)</f>
        <v/>
      </c>
      <c r="O1926" s="101">
        <f>IF(H1926=1,IF(E1926&lt;FYStart,0,IF(E1926&gt;FYEnd,13,YEAR(E1926)*12+MONTH(E1926)-FYYM+1)),"")</f>
        <v/>
      </c>
      <c r="P1926" s="101">
        <f>IF(H1926=1,IF(IFERROR(INDEX(coa_CF,MATCH(I1926,coa_Name,0)),"")="Cash",1,0),0)</f>
        <v/>
      </c>
      <c r="Q1926" s="101">
        <f>IF(H1926=1,IF(IFERROR(INDEX(coa_CF,MATCH(K1926,coa_Name,0)),"")="Cash",1,0),0)</f>
        <v/>
      </c>
      <c r="R1926" s="58">
        <f>IF((P1926-Q1926)=0,"",IFERROR(INDEX(coa_CF,MATCH(IF((P1926-Q1926)=1,K1926,I1926),coa_Name,0)),"Operating"))</f>
        <v/>
      </c>
      <c r="S1926" s="95">
        <f>IF((P1926-Q1926)=1,L1926,IF((P1926-Q1926)=-1,-J1926,0))</f>
        <v/>
      </c>
      <c r="T1926" s="95">
        <f>IF((P1926-Q1926)=1,N1926,IF((P1926-Q1926)=-1,-M1926,0))</f>
        <v/>
      </c>
      <c r="U1926" s="101">
        <f>IF(AND(H1926=1,LedAcct&lt;&gt;""),IF(AND(E1926&gt;=LedFrom,E1926&lt;=LedTo,OR(I1926=LedAcct,K1926=LedAcct,AND(LedAcct=acctTax,M1926+N1926&lt;&gt;0))),E1926*10000+B1926,""),"")</f>
        <v/>
      </c>
    </row>
    <row r="1927">
      <c r="B1927" s="101" t="n">
        <v>1921</v>
      </c>
      <c r="C1927" s="58" t="inlineStr">
        <is>
          <t>Transaction</t>
        </is>
      </c>
      <c r="D1927" s="58">
        <f>IF(H1927=1,INDEX(tx_ID,1921)&amp;"","")</f>
        <v/>
      </c>
      <c r="E1927" s="94">
        <f>IF(H1927=1,INDEX(tx_Date,1921),"")</f>
        <v/>
      </c>
      <c r="F1927" s="58">
        <f>IF(H1927=1,INDEX(tx_Desc,1921)&amp;"","")</f>
        <v/>
      </c>
      <c r="G1927" s="58">
        <f>IF(H1927=1,IF(INDEX(tx_Cust,1921)&amp;""&lt;&gt;"",INDEX(tx_Cust,1921)&amp;"",INDEX(tx_Vend,1921)&amp;""),"")</f>
        <v/>
      </c>
      <c r="H1927" s="101">
        <f>IFERROR(N(INDEX(tx_Posted,1921)),0)</f>
        <v/>
      </c>
      <c r="I1927" s="58">
        <f>IF(H1927=1,INDEX(tx_DrAcct,1921)&amp;"","")</f>
        <v/>
      </c>
      <c r="J1927" s="95">
        <f>IF(H1927=1,INDEX(tx_DrAmt,1921),0)</f>
        <v/>
      </c>
      <c r="K1927" s="58">
        <f>IF(H1927=1,INDEX(tx_CrAcct,1921)&amp;"","")</f>
        <v/>
      </c>
      <c r="L1927" s="95">
        <f>IF(H1927=1,INDEX(tx_CrAmt,1921),0)</f>
        <v/>
      </c>
      <c r="M1927" s="95">
        <f>IF(H1927=1,INDEX(tx_TaxDr,1921),0)</f>
        <v/>
      </c>
      <c r="N1927" s="95">
        <f>IF(H1927=1,INDEX(tx_TaxCr,1921),0)</f>
        <v/>
      </c>
      <c r="O1927" s="101">
        <f>IF(H1927=1,IF(E1927&lt;FYStart,0,IF(E1927&gt;FYEnd,13,YEAR(E1927)*12+MONTH(E1927)-FYYM+1)),"")</f>
        <v/>
      </c>
      <c r="P1927" s="101">
        <f>IF(H1927=1,IF(IFERROR(INDEX(coa_CF,MATCH(I1927,coa_Name,0)),"")="Cash",1,0),0)</f>
        <v/>
      </c>
      <c r="Q1927" s="101">
        <f>IF(H1927=1,IF(IFERROR(INDEX(coa_CF,MATCH(K1927,coa_Name,0)),"")="Cash",1,0),0)</f>
        <v/>
      </c>
      <c r="R1927" s="58">
        <f>IF((P1927-Q1927)=0,"",IFERROR(INDEX(coa_CF,MATCH(IF((P1927-Q1927)=1,K1927,I1927),coa_Name,0)),"Operating"))</f>
        <v/>
      </c>
      <c r="S1927" s="95">
        <f>IF((P1927-Q1927)=1,L1927,IF((P1927-Q1927)=-1,-J1927,0))</f>
        <v/>
      </c>
      <c r="T1927" s="95">
        <f>IF((P1927-Q1927)=1,N1927,IF((P1927-Q1927)=-1,-M1927,0))</f>
        <v/>
      </c>
      <c r="U1927" s="101">
        <f>IF(AND(H1927=1,LedAcct&lt;&gt;""),IF(AND(E1927&gt;=LedFrom,E1927&lt;=LedTo,OR(I1927=LedAcct,K1927=LedAcct,AND(LedAcct=acctTax,M1927+N1927&lt;&gt;0))),E1927*10000+B1927,""),"")</f>
        <v/>
      </c>
    </row>
    <row r="1928">
      <c r="B1928" s="101" t="n">
        <v>1922</v>
      </c>
      <c r="C1928" s="58" t="inlineStr">
        <is>
          <t>Transaction</t>
        </is>
      </c>
      <c r="D1928" s="58">
        <f>IF(H1928=1,INDEX(tx_ID,1922)&amp;"","")</f>
        <v/>
      </c>
      <c r="E1928" s="94">
        <f>IF(H1928=1,INDEX(tx_Date,1922),"")</f>
        <v/>
      </c>
      <c r="F1928" s="58">
        <f>IF(H1928=1,INDEX(tx_Desc,1922)&amp;"","")</f>
        <v/>
      </c>
      <c r="G1928" s="58">
        <f>IF(H1928=1,IF(INDEX(tx_Cust,1922)&amp;""&lt;&gt;"",INDEX(tx_Cust,1922)&amp;"",INDEX(tx_Vend,1922)&amp;""),"")</f>
        <v/>
      </c>
      <c r="H1928" s="101">
        <f>IFERROR(N(INDEX(tx_Posted,1922)),0)</f>
        <v/>
      </c>
      <c r="I1928" s="58">
        <f>IF(H1928=1,INDEX(tx_DrAcct,1922)&amp;"","")</f>
        <v/>
      </c>
      <c r="J1928" s="95">
        <f>IF(H1928=1,INDEX(tx_DrAmt,1922),0)</f>
        <v/>
      </c>
      <c r="K1928" s="58">
        <f>IF(H1928=1,INDEX(tx_CrAcct,1922)&amp;"","")</f>
        <v/>
      </c>
      <c r="L1928" s="95">
        <f>IF(H1928=1,INDEX(tx_CrAmt,1922),0)</f>
        <v/>
      </c>
      <c r="M1928" s="95">
        <f>IF(H1928=1,INDEX(tx_TaxDr,1922),0)</f>
        <v/>
      </c>
      <c r="N1928" s="95">
        <f>IF(H1928=1,INDEX(tx_TaxCr,1922),0)</f>
        <v/>
      </c>
      <c r="O1928" s="101">
        <f>IF(H1928=1,IF(E1928&lt;FYStart,0,IF(E1928&gt;FYEnd,13,YEAR(E1928)*12+MONTH(E1928)-FYYM+1)),"")</f>
        <v/>
      </c>
      <c r="P1928" s="101">
        <f>IF(H1928=1,IF(IFERROR(INDEX(coa_CF,MATCH(I1928,coa_Name,0)),"")="Cash",1,0),0)</f>
        <v/>
      </c>
      <c r="Q1928" s="101">
        <f>IF(H1928=1,IF(IFERROR(INDEX(coa_CF,MATCH(K1928,coa_Name,0)),"")="Cash",1,0),0)</f>
        <v/>
      </c>
      <c r="R1928" s="58">
        <f>IF((P1928-Q1928)=0,"",IFERROR(INDEX(coa_CF,MATCH(IF((P1928-Q1928)=1,K1928,I1928),coa_Name,0)),"Operating"))</f>
        <v/>
      </c>
      <c r="S1928" s="95">
        <f>IF((P1928-Q1928)=1,L1928,IF((P1928-Q1928)=-1,-J1928,0))</f>
        <v/>
      </c>
      <c r="T1928" s="95">
        <f>IF((P1928-Q1928)=1,N1928,IF((P1928-Q1928)=-1,-M1928,0))</f>
        <v/>
      </c>
      <c r="U1928" s="101">
        <f>IF(AND(H1928=1,LedAcct&lt;&gt;""),IF(AND(E1928&gt;=LedFrom,E1928&lt;=LedTo,OR(I1928=LedAcct,K1928=LedAcct,AND(LedAcct=acctTax,M1928+N1928&lt;&gt;0))),E1928*10000+B1928,""),"")</f>
        <v/>
      </c>
    </row>
    <row r="1929">
      <c r="B1929" s="101" t="n">
        <v>1923</v>
      </c>
      <c r="C1929" s="58" t="inlineStr">
        <is>
          <t>Transaction</t>
        </is>
      </c>
      <c r="D1929" s="58">
        <f>IF(H1929=1,INDEX(tx_ID,1923)&amp;"","")</f>
        <v/>
      </c>
      <c r="E1929" s="94">
        <f>IF(H1929=1,INDEX(tx_Date,1923),"")</f>
        <v/>
      </c>
      <c r="F1929" s="58">
        <f>IF(H1929=1,INDEX(tx_Desc,1923)&amp;"","")</f>
        <v/>
      </c>
      <c r="G1929" s="58">
        <f>IF(H1929=1,IF(INDEX(tx_Cust,1923)&amp;""&lt;&gt;"",INDEX(tx_Cust,1923)&amp;"",INDEX(tx_Vend,1923)&amp;""),"")</f>
        <v/>
      </c>
      <c r="H1929" s="101">
        <f>IFERROR(N(INDEX(tx_Posted,1923)),0)</f>
        <v/>
      </c>
      <c r="I1929" s="58">
        <f>IF(H1929=1,INDEX(tx_DrAcct,1923)&amp;"","")</f>
        <v/>
      </c>
      <c r="J1929" s="95">
        <f>IF(H1929=1,INDEX(tx_DrAmt,1923),0)</f>
        <v/>
      </c>
      <c r="K1929" s="58">
        <f>IF(H1929=1,INDEX(tx_CrAcct,1923)&amp;"","")</f>
        <v/>
      </c>
      <c r="L1929" s="95">
        <f>IF(H1929=1,INDEX(tx_CrAmt,1923),0)</f>
        <v/>
      </c>
      <c r="M1929" s="95">
        <f>IF(H1929=1,INDEX(tx_TaxDr,1923),0)</f>
        <v/>
      </c>
      <c r="N1929" s="95">
        <f>IF(H1929=1,INDEX(tx_TaxCr,1923),0)</f>
        <v/>
      </c>
      <c r="O1929" s="101">
        <f>IF(H1929=1,IF(E1929&lt;FYStart,0,IF(E1929&gt;FYEnd,13,YEAR(E1929)*12+MONTH(E1929)-FYYM+1)),"")</f>
        <v/>
      </c>
      <c r="P1929" s="101">
        <f>IF(H1929=1,IF(IFERROR(INDEX(coa_CF,MATCH(I1929,coa_Name,0)),"")="Cash",1,0),0)</f>
        <v/>
      </c>
      <c r="Q1929" s="101">
        <f>IF(H1929=1,IF(IFERROR(INDEX(coa_CF,MATCH(K1929,coa_Name,0)),"")="Cash",1,0),0)</f>
        <v/>
      </c>
      <c r="R1929" s="58">
        <f>IF((P1929-Q1929)=0,"",IFERROR(INDEX(coa_CF,MATCH(IF((P1929-Q1929)=1,K1929,I1929),coa_Name,0)),"Operating"))</f>
        <v/>
      </c>
      <c r="S1929" s="95">
        <f>IF((P1929-Q1929)=1,L1929,IF((P1929-Q1929)=-1,-J1929,0))</f>
        <v/>
      </c>
      <c r="T1929" s="95">
        <f>IF((P1929-Q1929)=1,N1929,IF((P1929-Q1929)=-1,-M1929,0))</f>
        <v/>
      </c>
      <c r="U1929" s="101">
        <f>IF(AND(H1929=1,LedAcct&lt;&gt;""),IF(AND(E1929&gt;=LedFrom,E1929&lt;=LedTo,OR(I1929=LedAcct,K1929=LedAcct,AND(LedAcct=acctTax,M1929+N1929&lt;&gt;0))),E1929*10000+B1929,""),"")</f>
        <v/>
      </c>
    </row>
    <row r="1930">
      <c r="B1930" s="101" t="n">
        <v>1924</v>
      </c>
      <c r="C1930" s="58" t="inlineStr">
        <is>
          <t>Transaction</t>
        </is>
      </c>
      <c r="D1930" s="58">
        <f>IF(H1930=1,INDEX(tx_ID,1924)&amp;"","")</f>
        <v/>
      </c>
      <c r="E1930" s="94">
        <f>IF(H1930=1,INDEX(tx_Date,1924),"")</f>
        <v/>
      </c>
      <c r="F1930" s="58">
        <f>IF(H1930=1,INDEX(tx_Desc,1924)&amp;"","")</f>
        <v/>
      </c>
      <c r="G1930" s="58">
        <f>IF(H1930=1,IF(INDEX(tx_Cust,1924)&amp;""&lt;&gt;"",INDEX(tx_Cust,1924)&amp;"",INDEX(tx_Vend,1924)&amp;""),"")</f>
        <v/>
      </c>
      <c r="H1930" s="101">
        <f>IFERROR(N(INDEX(tx_Posted,1924)),0)</f>
        <v/>
      </c>
      <c r="I1930" s="58">
        <f>IF(H1930=1,INDEX(tx_DrAcct,1924)&amp;"","")</f>
        <v/>
      </c>
      <c r="J1930" s="95">
        <f>IF(H1930=1,INDEX(tx_DrAmt,1924),0)</f>
        <v/>
      </c>
      <c r="K1930" s="58">
        <f>IF(H1930=1,INDEX(tx_CrAcct,1924)&amp;"","")</f>
        <v/>
      </c>
      <c r="L1930" s="95">
        <f>IF(H1930=1,INDEX(tx_CrAmt,1924),0)</f>
        <v/>
      </c>
      <c r="M1930" s="95">
        <f>IF(H1930=1,INDEX(tx_TaxDr,1924),0)</f>
        <v/>
      </c>
      <c r="N1930" s="95">
        <f>IF(H1930=1,INDEX(tx_TaxCr,1924),0)</f>
        <v/>
      </c>
      <c r="O1930" s="101">
        <f>IF(H1930=1,IF(E1930&lt;FYStart,0,IF(E1930&gt;FYEnd,13,YEAR(E1930)*12+MONTH(E1930)-FYYM+1)),"")</f>
        <v/>
      </c>
      <c r="P1930" s="101">
        <f>IF(H1930=1,IF(IFERROR(INDEX(coa_CF,MATCH(I1930,coa_Name,0)),"")="Cash",1,0),0)</f>
        <v/>
      </c>
      <c r="Q1930" s="101">
        <f>IF(H1930=1,IF(IFERROR(INDEX(coa_CF,MATCH(K1930,coa_Name,0)),"")="Cash",1,0),0)</f>
        <v/>
      </c>
      <c r="R1930" s="58">
        <f>IF((P1930-Q1930)=0,"",IFERROR(INDEX(coa_CF,MATCH(IF((P1930-Q1930)=1,K1930,I1930),coa_Name,0)),"Operating"))</f>
        <v/>
      </c>
      <c r="S1930" s="95">
        <f>IF((P1930-Q1930)=1,L1930,IF((P1930-Q1930)=-1,-J1930,0))</f>
        <v/>
      </c>
      <c r="T1930" s="95">
        <f>IF((P1930-Q1930)=1,N1930,IF((P1930-Q1930)=-1,-M1930,0))</f>
        <v/>
      </c>
      <c r="U1930" s="101">
        <f>IF(AND(H1930=1,LedAcct&lt;&gt;""),IF(AND(E1930&gt;=LedFrom,E1930&lt;=LedTo,OR(I1930=LedAcct,K1930=LedAcct,AND(LedAcct=acctTax,M1930+N1930&lt;&gt;0))),E1930*10000+B1930,""),"")</f>
        <v/>
      </c>
    </row>
    <row r="1931">
      <c r="B1931" s="101" t="n">
        <v>1925</v>
      </c>
      <c r="C1931" s="58" t="inlineStr">
        <is>
          <t>Transaction</t>
        </is>
      </c>
      <c r="D1931" s="58">
        <f>IF(H1931=1,INDEX(tx_ID,1925)&amp;"","")</f>
        <v/>
      </c>
      <c r="E1931" s="94">
        <f>IF(H1931=1,INDEX(tx_Date,1925),"")</f>
        <v/>
      </c>
      <c r="F1931" s="58">
        <f>IF(H1931=1,INDEX(tx_Desc,1925)&amp;"","")</f>
        <v/>
      </c>
      <c r="G1931" s="58">
        <f>IF(H1931=1,IF(INDEX(tx_Cust,1925)&amp;""&lt;&gt;"",INDEX(tx_Cust,1925)&amp;"",INDEX(tx_Vend,1925)&amp;""),"")</f>
        <v/>
      </c>
      <c r="H1931" s="101">
        <f>IFERROR(N(INDEX(tx_Posted,1925)),0)</f>
        <v/>
      </c>
      <c r="I1931" s="58">
        <f>IF(H1931=1,INDEX(tx_DrAcct,1925)&amp;"","")</f>
        <v/>
      </c>
      <c r="J1931" s="95">
        <f>IF(H1931=1,INDEX(tx_DrAmt,1925),0)</f>
        <v/>
      </c>
      <c r="K1931" s="58">
        <f>IF(H1931=1,INDEX(tx_CrAcct,1925)&amp;"","")</f>
        <v/>
      </c>
      <c r="L1931" s="95">
        <f>IF(H1931=1,INDEX(tx_CrAmt,1925),0)</f>
        <v/>
      </c>
      <c r="M1931" s="95">
        <f>IF(H1931=1,INDEX(tx_TaxDr,1925),0)</f>
        <v/>
      </c>
      <c r="N1931" s="95">
        <f>IF(H1931=1,INDEX(tx_TaxCr,1925),0)</f>
        <v/>
      </c>
      <c r="O1931" s="101">
        <f>IF(H1931=1,IF(E1931&lt;FYStart,0,IF(E1931&gt;FYEnd,13,YEAR(E1931)*12+MONTH(E1931)-FYYM+1)),"")</f>
        <v/>
      </c>
      <c r="P1931" s="101">
        <f>IF(H1931=1,IF(IFERROR(INDEX(coa_CF,MATCH(I1931,coa_Name,0)),"")="Cash",1,0),0)</f>
        <v/>
      </c>
      <c r="Q1931" s="101">
        <f>IF(H1931=1,IF(IFERROR(INDEX(coa_CF,MATCH(K1931,coa_Name,0)),"")="Cash",1,0),0)</f>
        <v/>
      </c>
      <c r="R1931" s="58">
        <f>IF((P1931-Q1931)=0,"",IFERROR(INDEX(coa_CF,MATCH(IF((P1931-Q1931)=1,K1931,I1931),coa_Name,0)),"Operating"))</f>
        <v/>
      </c>
      <c r="S1931" s="95">
        <f>IF((P1931-Q1931)=1,L1931,IF((P1931-Q1931)=-1,-J1931,0))</f>
        <v/>
      </c>
      <c r="T1931" s="95">
        <f>IF((P1931-Q1931)=1,N1931,IF((P1931-Q1931)=-1,-M1931,0))</f>
        <v/>
      </c>
      <c r="U1931" s="101">
        <f>IF(AND(H1931=1,LedAcct&lt;&gt;""),IF(AND(E1931&gt;=LedFrom,E1931&lt;=LedTo,OR(I1931=LedAcct,K1931=LedAcct,AND(LedAcct=acctTax,M1931+N1931&lt;&gt;0))),E1931*10000+B1931,""),"")</f>
        <v/>
      </c>
    </row>
    <row r="1932">
      <c r="B1932" s="101" t="n">
        <v>1926</v>
      </c>
      <c r="C1932" s="58" t="inlineStr">
        <is>
          <t>Transaction</t>
        </is>
      </c>
      <c r="D1932" s="58">
        <f>IF(H1932=1,INDEX(tx_ID,1926)&amp;"","")</f>
        <v/>
      </c>
      <c r="E1932" s="94">
        <f>IF(H1932=1,INDEX(tx_Date,1926),"")</f>
        <v/>
      </c>
      <c r="F1932" s="58">
        <f>IF(H1932=1,INDEX(tx_Desc,1926)&amp;"","")</f>
        <v/>
      </c>
      <c r="G1932" s="58">
        <f>IF(H1932=1,IF(INDEX(tx_Cust,1926)&amp;""&lt;&gt;"",INDEX(tx_Cust,1926)&amp;"",INDEX(tx_Vend,1926)&amp;""),"")</f>
        <v/>
      </c>
      <c r="H1932" s="101">
        <f>IFERROR(N(INDEX(tx_Posted,1926)),0)</f>
        <v/>
      </c>
      <c r="I1932" s="58">
        <f>IF(H1932=1,INDEX(tx_DrAcct,1926)&amp;"","")</f>
        <v/>
      </c>
      <c r="J1932" s="95">
        <f>IF(H1932=1,INDEX(tx_DrAmt,1926),0)</f>
        <v/>
      </c>
      <c r="K1932" s="58">
        <f>IF(H1932=1,INDEX(tx_CrAcct,1926)&amp;"","")</f>
        <v/>
      </c>
      <c r="L1932" s="95">
        <f>IF(H1932=1,INDEX(tx_CrAmt,1926),0)</f>
        <v/>
      </c>
      <c r="M1932" s="95">
        <f>IF(H1932=1,INDEX(tx_TaxDr,1926),0)</f>
        <v/>
      </c>
      <c r="N1932" s="95">
        <f>IF(H1932=1,INDEX(tx_TaxCr,1926),0)</f>
        <v/>
      </c>
      <c r="O1932" s="101">
        <f>IF(H1932=1,IF(E1932&lt;FYStart,0,IF(E1932&gt;FYEnd,13,YEAR(E1932)*12+MONTH(E1932)-FYYM+1)),"")</f>
        <v/>
      </c>
      <c r="P1932" s="101">
        <f>IF(H1932=1,IF(IFERROR(INDEX(coa_CF,MATCH(I1932,coa_Name,0)),"")="Cash",1,0),0)</f>
        <v/>
      </c>
      <c r="Q1932" s="101">
        <f>IF(H1932=1,IF(IFERROR(INDEX(coa_CF,MATCH(K1932,coa_Name,0)),"")="Cash",1,0),0)</f>
        <v/>
      </c>
      <c r="R1932" s="58">
        <f>IF((P1932-Q1932)=0,"",IFERROR(INDEX(coa_CF,MATCH(IF((P1932-Q1932)=1,K1932,I1932),coa_Name,0)),"Operating"))</f>
        <v/>
      </c>
      <c r="S1932" s="95">
        <f>IF((P1932-Q1932)=1,L1932,IF((P1932-Q1932)=-1,-J1932,0))</f>
        <v/>
      </c>
      <c r="T1932" s="95">
        <f>IF((P1932-Q1932)=1,N1932,IF((P1932-Q1932)=-1,-M1932,0))</f>
        <v/>
      </c>
      <c r="U1932" s="101">
        <f>IF(AND(H1932=1,LedAcct&lt;&gt;""),IF(AND(E1932&gt;=LedFrom,E1932&lt;=LedTo,OR(I1932=LedAcct,K1932=LedAcct,AND(LedAcct=acctTax,M1932+N1932&lt;&gt;0))),E1932*10000+B1932,""),"")</f>
        <v/>
      </c>
    </row>
    <row r="1933">
      <c r="B1933" s="101" t="n">
        <v>1927</v>
      </c>
      <c r="C1933" s="58" t="inlineStr">
        <is>
          <t>Transaction</t>
        </is>
      </c>
      <c r="D1933" s="58">
        <f>IF(H1933=1,INDEX(tx_ID,1927)&amp;"","")</f>
        <v/>
      </c>
      <c r="E1933" s="94">
        <f>IF(H1933=1,INDEX(tx_Date,1927),"")</f>
        <v/>
      </c>
      <c r="F1933" s="58">
        <f>IF(H1933=1,INDEX(tx_Desc,1927)&amp;"","")</f>
        <v/>
      </c>
      <c r="G1933" s="58">
        <f>IF(H1933=1,IF(INDEX(tx_Cust,1927)&amp;""&lt;&gt;"",INDEX(tx_Cust,1927)&amp;"",INDEX(tx_Vend,1927)&amp;""),"")</f>
        <v/>
      </c>
      <c r="H1933" s="101">
        <f>IFERROR(N(INDEX(tx_Posted,1927)),0)</f>
        <v/>
      </c>
      <c r="I1933" s="58">
        <f>IF(H1933=1,INDEX(tx_DrAcct,1927)&amp;"","")</f>
        <v/>
      </c>
      <c r="J1933" s="95">
        <f>IF(H1933=1,INDEX(tx_DrAmt,1927),0)</f>
        <v/>
      </c>
      <c r="K1933" s="58">
        <f>IF(H1933=1,INDEX(tx_CrAcct,1927)&amp;"","")</f>
        <v/>
      </c>
      <c r="L1933" s="95">
        <f>IF(H1933=1,INDEX(tx_CrAmt,1927),0)</f>
        <v/>
      </c>
      <c r="M1933" s="95">
        <f>IF(H1933=1,INDEX(tx_TaxDr,1927),0)</f>
        <v/>
      </c>
      <c r="N1933" s="95">
        <f>IF(H1933=1,INDEX(tx_TaxCr,1927),0)</f>
        <v/>
      </c>
      <c r="O1933" s="101">
        <f>IF(H1933=1,IF(E1933&lt;FYStart,0,IF(E1933&gt;FYEnd,13,YEAR(E1933)*12+MONTH(E1933)-FYYM+1)),"")</f>
        <v/>
      </c>
      <c r="P1933" s="101">
        <f>IF(H1933=1,IF(IFERROR(INDEX(coa_CF,MATCH(I1933,coa_Name,0)),"")="Cash",1,0),0)</f>
        <v/>
      </c>
      <c r="Q1933" s="101">
        <f>IF(H1933=1,IF(IFERROR(INDEX(coa_CF,MATCH(K1933,coa_Name,0)),"")="Cash",1,0),0)</f>
        <v/>
      </c>
      <c r="R1933" s="58">
        <f>IF((P1933-Q1933)=0,"",IFERROR(INDEX(coa_CF,MATCH(IF((P1933-Q1933)=1,K1933,I1933),coa_Name,0)),"Operating"))</f>
        <v/>
      </c>
      <c r="S1933" s="95">
        <f>IF((P1933-Q1933)=1,L1933,IF((P1933-Q1933)=-1,-J1933,0))</f>
        <v/>
      </c>
      <c r="T1933" s="95">
        <f>IF((P1933-Q1933)=1,N1933,IF((P1933-Q1933)=-1,-M1933,0))</f>
        <v/>
      </c>
      <c r="U1933" s="101">
        <f>IF(AND(H1933=1,LedAcct&lt;&gt;""),IF(AND(E1933&gt;=LedFrom,E1933&lt;=LedTo,OR(I1933=LedAcct,K1933=LedAcct,AND(LedAcct=acctTax,M1933+N1933&lt;&gt;0))),E1933*10000+B1933,""),"")</f>
        <v/>
      </c>
    </row>
    <row r="1934">
      <c r="B1934" s="101" t="n">
        <v>1928</v>
      </c>
      <c r="C1934" s="58" t="inlineStr">
        <is>
          <t>Transaction</t>
        </is>
      </c>
      <c r="D1934" s="58">
        <f>IF(H1934=1,INDEX(tx_ID,1928)&amp;"","")</f>
        <v/>
      </c>
      <c r="E1934" s="94">
        <f>IF(H1934=1,INDEX(tx_Date,1928),"")</f>
        <v/>
      </c>
      <c r="F1934" s="58">
        <f>IF(H1934=1,INDEX(tx_Desc,1928)&amp;"","")</f>
        <v/>
      </c>
      <c r="G1934" s="58">
        <f>IF(H1934=1,IF(INDEX(tx_Cust,1928)&amp;""&lt;&gt;"",INDEX(tx_Cust,1928)&amp;"",INDEX(tx_Vend,1928)&amp;""),"")</f>
        <v/>
      </c>
      <c r="H1934" s="101">
        <f>IFERROR(N(INDEX(tx_Posted,1928)),0)</f>
        <v/>
      </c>
      <c r="I1934" s="58">
        <f>IF(H1934=1,INDEX(tx_DrAcct,1928)&amp;"","")</f>
        <v/>
      </c>
      <c r="J1934" s="95">
        <f>IF(H1934=1,INDEX(tx_DrAmt,1928),0)</f>
        <v/>
      </c>
      <c r="K1934" s="58">
        <f>IF(H1934=1,INDEX(tx_CrAcct,1928)&amp;"","")</f>
        <v/>
      </c>
      <c r="L1934" s="95">
        <f>IF(H1934=1,INDEX(tx_CrAmt,1928),0)</f>
        <v/>
      </c>
      <c r="M1934" s="95">
        <f>IF(H1934=1,INDEX(tx_TaxDr,1928),0)</f>
        <v/>
      </c>
      <c r="N1934" s="95">
        <f>IF(H1934=1,INDEX(tx_TaxCr,1928),0)</f>
        <v/>
      </c>
      <c r="O1934" s="101">
        <f>IF(H1934=1,IF(E1934&lt;FYStart,0,IF(E1934&gt;FYEnd,13,YEAR(E1934)*12+MONTH(E1934)-FYYM+1)),"")</f>
        <v/>
      </c>
      <c r="P1934" s="101">
        <f>IF(H1934=1,IF(IFERROR(INDEX(coa_CF,MATCH(I1934,coa_Name,0)),"")="Cash",1,0),0)</f>
        <v/>
      </c>
      <c r="Q1934" s="101">
        <f>IF(H1934=1,IF(IFERROR(INDEX(coa_CF,MATCH(K1934,coa_Name,0)),"")="Cash",1,0),0)</f>
        <v/>
      </c>
      <c r="R1934" s="58">
        <f>IF((P1934-Q1934)=0,"",IFERROR(INDEX(coa_CF,MATCH(IF((P1934-Q1934)=1,K1934,I1934),coa_Name,0)),"Operating"))</f>
        <v/>
      </c>
      <c r="S1934" s="95">
        <f>IF((P1934-Q1934)=1,L1934,IF((P1934-Q1934)=-1,-J1934,0))</f>
        <v/>
      </c>
      <c r="T1934" s="95">
        <f>IF((P1934-Q1934)=1,N1934,IF((P1934-Q1934)=-1,-M1934,0))</f>
        <v/>
      </c>
      <c r="U1934" s="101">
        <f>IF(AND(H1934=1,LedAcct&lt;&gt;""),IF(AND(E1934&gt;=LedFrom,E1934&lt;=LedTo,OR(I1934=LedAcct,K1934=LedAcct,AND(LedAcct=acctTax,M1934+N1934&lt;&gt;0))),E1934*10000+B1934,""),"")</f>
        <v/>
      </c>
    </row>
    <row r="1935">
      <c r="B1935" s="101" t="n">
        <v>1929</v>
      </c>
      <c r="C1935" s="58" t="inlineStr">
        <is>
          <t>Transaction</t>
        </is>
      </c>
      <c r="D1935" s="58">
        <f>IF(H1935=1,INDEX(tx_ID,1929)&amp;"","")</f>
        <v/>
      </c>
      <c r="E1935" s="94">
        <f>IF(H1935=1,INDEX(tx_Date,1929),"")</f>
        <v/>
      </c>
      <c r="F1935" s="58">
        <f>IF(H1935=1,INDEX(tx_Desc,1929)&amp;"","")</f>
        <v/>
      </c>
      <c r="G1935" s="58">
        <f>IF(H1935=1,IF(INDEX(tx_Cust,1929)&amp;""&lt;&gt;"",INDEX(tx_Cust,1929)&amp;"",INDEX(tx_Vend,1929)&amp;""),"")</f>
        <v/>
      </c>
      <c r="H1935" s="101">
        <f>IFERROR(N(INDEX(tx_Posted,1929)),0)</f>
        <v/>
      </c>
      <c r="I1935" s="58">
        <f>IF(H1935=1,INDEX(tx_DrAcct,1929)&amp;"","")</f>
        <v/>
      </c>
      <c r="J1935" s="95">
        <f>IF(H1935=1,INDEX(tx_DrAmt,1929),0)</f>
        <v/>
      </c>
      <c r="K1935" s="58">
        <f>IF(H1935=1,INDEX(tx_CrAcct,1929)&amp;"","")</f>
        <v/>
      </c>
      <c r="L1935" s="95">
        <f>IF(H1935=1,INDEX(tx_CrAmt,1929),0)</f>
        <v/>
      </c>
      <c r="M1935" s="95">
        <f>IF(H1935=1,INDEX(tx_TaxDr,1929),0)</f>
        <v/>
      </c>
      <c r="N1935" s="95">
        <f>IF(H1935=1,INDEX(tx_TaxCr,1929),0)</f>
        <v/>
      </c>
      <c r="O1935" s="101">
        <f>IF(H1935=1,IF(E1935&lt;FYStart,0,IF(E1935&gt;FYEnd,13,YEAR(E1935)*12+MONTH(E1935)-FYYM+1)),"")</f>
        <v/>
      </c>
      <c r="P1935" s="101">
        <f>IF(H1935=1,IF(IFERROR(INDEX(coa_CF,MATCH(I1935,coa_Name,0)),"")="Cash",1,0),0)</f>
        <v/>
      </c>
      <c r="Q1935" s="101">
        <f>IF(H1935=1,IF(IFERROR(INDEX(coa_CF,MATCH(K1935,coa_Name,0)),"")="Cash",1,0),0)</f>
        <v/>
      </c>
      <c r="R1935" s="58">
        <f>IF((P1935-Q1935)=0,"",IFERROR(INDEX(coa_CF,MATCH(IF((P1935-Q1935)=1,K1935,I1935),coa_Name,0)),"Operating"))</f>
        <v/>
      </c>
      <c r="S1935" s="95">
        <f>IF((P1935-Q1935)=1,L1935,IF((P1935-Q1935)=-1,-J1935,0))</f>
        <v/>
      </c>
      <c r="T1935" s="95">
        <f>IF((P1935-Q1935)=1,N1935,IF((P1935-Q1935)=-1,-M1935,0))</f>
        <v/>
      </c>
      <c r="U1935" s="101">
        <f>IF(AND(H1935=1,LedAcct&lt;&gt;""),IF(AND(E1935&gt;=LedFrom,E1935&lt;=LedTo,OR(I1935=LedAcct,K1935=LedAcct,AND(LedAcct=acctTax,M1935+N1935&lt;&gt;0))),E1935*10000+B1935,""),"")</f>
        <v/>
      </c>
    </row>
    <row r="1936">
      <c r="B1936" s="101" t="n">
        <v>1930</v>
      </c>
      <c r="C1936" s="58" t="inlineStr">
        <is>
          <t>Transaction</t>
        </is>
      </c>
      <c r="D1936" s="58">
        <f>IF(H1936=1,INDEX(tx_ID,1930)&amp;"","")</f>
        <v/>
      </c>
      <c r="E1936" s="94">
        <f>IF(H1936=1,INDEX(tx_Date,1930),"")</f>
        <v/>
      </c>
      <c r="F1936" s="58">
        <f>IF(H1936=1,INDEX(tx_Desc,1930)&amp;"","")</f>
        <v/>
      </c>
      <c r="G1936" s="58">
        <f>IF(H1936=1,IF(INDEX(tx_Cust,1930)&amp;""&lt;&gt;"",INDEX(tx_Cust,1930)&amp;"",INDEX(tx_Vend,1930)&amp;""),"")</f>
        <v/>
      </c>
      <c r="H1936" s="101">
        <f>IFERROR(N(INDEX(tx_Posted,1930)),0)</f>
        <v/>
      </c>
      <c r="I1936" s="58">
        <f>IF(H1936=1,INDEX(tx_DrAcct,1930)&amp;"","")</f>
        <v/>
      </c>
      <c r="J1936" s="95">
        <f>IF(H1936=1,INDEX(tx_DrAmt,1930),0)</f>
        <v/>
      </c>
      <c r="K1936" s="58">
        <f>IF(H1936=1,INDEX(tx_CrAcct,1930)&amp;"","")</f>
        <v/>
      </c>
      <c r="L1936" s="95">
        <f>IF(H1936=1,INDEX(tx_CrAmt,1930),0)</f>
        <v/>
      </c>
      <c r="M1936" s="95">
        <f>IF(H1936=1,INDEX(tx_TaxDr,1930),0)</f>
        <v/>
      </c>
      <c r="N1936" s="95">
        <f>IF(H1936=1,INDEX(tx_TaxCr,1930),0)</f>
        <v/>
      </c>
      <c r="O1936" s="101">
        <f>IF(H1936=1,IF(E1936&lt;FYStart,0,IF(E1936&gt;FYEnd,13,YEAR(E1936)*12+MONTH(E1936)-FYYM+1)),"")</f>
        <v/>
      </c>
      <c r="P1936" s="101">
        <f>IF(H1936=1,IF(IFERROR(INDEX(coa_CF,MATCH(I1936,coa_Name,0)),"")="Cash",1,0),0)</f>
        <v/>
      </c>
      <c r="Q1936" s="101">
        <f>IF(H1936=1,IF(IFERROR(INDEX(coa_CF,MATCH(K1936,coa_Name,0)),"")="Cash",1,0),0)</f>
        <v/>
      </c>
      <c r="R1936" s="58">
        <f>IF((P1936-Q1936)=0,"",IFERROR(INDEX(coa_CF,MATCH(IF((P1936-Q1936)=1,K1936,I1936),coa_Name,0)),"Operating"))</f>
        <v/>
      </c>
      <c r="S1936" s="95">
        <f>IF((P1936-Q1936)=1,L1936,IF((P1936-Q1936)=-1,-J1936,0))</f>
        <v/>
      </c>
      <c r="T1936" s="95">
        <f>IF((P1936-Q1936)=1,N1936,IF((P1936-Q1936)=-1,-M1936,0))</f>
        <v/>
      </c>
      <c r="U1936" s="101">
        <f>IF(AND(H1936=1,LedAcct&lt;&gt;""),IF(AND(E1936&gt;=LedFrom,E1936&lt;=LedTo,OR(I1936=LedAcct,K1936=LedAcct,AND(LedAcct=acctTax,M1936+N1936&lt;&gt;0))),E1936*10000+B1936,""),"")</f>
        <v/>
      </c>
    </row>
    <row r="1937">
      <c r="B1937" s="101" t="n">
        <v>1931</v>
      </c>
      <c r="C1937" s="58" t="inlineStr">
        <is>
          <t>Transaction</t>
        </is>
      </c>
      <c r="D1937" s="58">
        <f>IF(H1937=1,INDEX(tx_ID,1931)&amp;"","")</f>
        <v/>
      </c>
      <c r="E1937" s="94">
        <f>IF(H1937=1,INDEX(tx_Date,1931),"")</f>
        <v/>
      </c>
      <c r="F1937" s="58">
        <f>IF(H1937=1,INDEX(tx_Desc,1931)&amp;"","")</f>
        <v/>
      </c>
      <c r="G1937" s="58">
        <f>IF(H1937=1,IF(INDEX(tx_Cust,1931)&amp;""&lt;&gt;"",INDEX(tx_Cust,1931)&amp;"",INDEX(tx_Vend,1931)&amp;""),"")</f>
        <v/>
      </c>
      <c r="H1937" s="101">
        <f>IFERROR(N(INDEX(tx_Posted,1931)),0)</f>
        <v/>
      </c>
      <c r="I1937" s="58">
        <f>IF(H1937=1,INDEX(tx_DrAcct,1931)&amp;"","")</f>
        <v/>
      </c>
      <c r="J1937" s="95">
        <f>IF(H1937=1,INDEX(tx_DrAmt,1931),0)</f>
        <v/>
      </c>
      <c r="K1937" s="58">
        <f>IF(H1937=1,INDEX(tx_CrAcct,1931)&amp;"","")</f>
        <v/>
      </c>
      <c r="L1937" s="95">
        <f>IF(H1937=1,INDEX(tx_CrAmt,1931),0)</f>
        <v/>
      </c>
      <c r="M1937" s="95">
        <f>IF(H1937=1,INDEX(tx_TaxDr,1931),0)</f>
        <v/>
      </c>
      <c r="N1937" s="95">
        <f>IF(H1937=1,INDEX(tx_TaxCr,1931),0)</f>
        <v/>
      </c>
      <c r="O1937" s="101">
        <f>IF(H1937=1,IF(E1937&lt;FYStart,0,IF(E1937&gt;FYEnd,13,YEAR(E1937)*12+MONTH(E1937)-FYYM+1)),"")</f>
        <v/>
      </c>
      <c r="P1937" s="101">
        <f>IF(H1937=1,IF(IFERROR(INDEX(coa_CF,MATCH(I1937,coa_Name,0)),"")="Cash",1,0),0)</f>
        <v/>
      </c>
      <c r="Q1937" s="101">
        <f>IF(H1937=1,IF(IFERROR(INDEX(coa_CF,MATCH(K1937,coa_Name,0)),"")="Cash",1,0),0)</f>
        <v/>
      </c>
      <c r="R1937" s="58">
        <f>IF((P1937-Q1937)=0,"",IFERROR(INDEX(coa_CF,MATCH(IF((P1937-Q1937)=1,K1937,I1937),coa_Name,0)),"Operating"))</f>
        <v/>
      </c>
      <c r="S1937" s="95">
        <f>IF((P1937-Q1937)=1,L1937,IF((P1937-Q1937)=-1,-J1937,0))</f>
        <v/>
      </c>
      <c r="T1937" s="95">
        <f>IF((P1937-Q1937)=1,N1937,IF((P1937-Q1937)=-1,-M1937,0))</f>
        <v/>
      </c>
      <c r="U1937" s="101">
        <f>IF(AND(H1937=1,LedAcct&lt;&gt;""),IF(AND(E1937&gt;=LedFrom,E1937&lt;=LedTo,OR(I1937=LedAcct,K1937=LedAcct,AND(LedAcct=acctTax,M1937+N1937&lt;&gt;0))),E1937*10000+B1937,""),"")</f>
        <v/>
      </c>
    </row>
    <row r="1938">
      <c r="B1938" s="101" t="n">
        <v>1932</v>
      </c>
      <c r="C1938" s="58" t="inlineStr">
        <is>
          <t>Transaction</t>
        </is>
      </c>
      <c r="D1938" s="58">
        <f>IF(H1938=1,INDEX(tx_ID,1932)&amp;"","")</f>
        <v/>
      </c>
      <c r="E1938" s="94">
        <f>IF(H1938=1,INDEX(tx_Date,1932),"")</f>
        <v/>
      </c>
      <c r="F1938" s="58">
        <f>IF(H1938=1,INDEX(tx_Desc,1932)&amp;"","")</f>
        <v/>
      </c>
      <c r="G1938" s="58">
        <f>IF(H1938=1,IF(INDEX(tx_Cust,1932)&amp;""&lt;&gt;"",INDEX(tx_Cust,1932)&amp;"",INDEX(tx_Vend,1932)&amp;""),"")</f>
        <v/>
      </c>
      <c r="H1938" s="101">
        <f>IFERROR(N(INDEX(tx_Posted,1932)),0)</f>
        <v/>
      </c>
      <c r="I1938" s="58">
        <f>IF(H1938=1,INDEX(tx_DrAcct,1932)&amp;"","")</f>
        <v/>
      </c>
      <c r="J1938" s="95">
        <f>IF(H1938=1,INDEX(tx_DrAmt,1932),0)</f>
        <v/>
      </c>
      <c r="K1938" s="58">
        <f>IF(H1938=1,INDEX(tx_CrAcct,1932)&amp;"","")</f>
        <v/>
      </c>
      <c r="L1938" s="95">
        <f>IF(H1938=1,INDEX(tx_CrAmt,1932),0)</f>
        <v/>
      </c>
      <c r="M1938" s="95">
        <f>IF(H1938=1,INDEX(tx_TaxDr,1932),0)</f>
        <v/>
      </c>
      <c r="N1938" s="95">
        <f>IF(H1938=1,INDEX(tx_TaxCr,1932),0)</f>
        <v/>
      </c>
      <c r="O1938" s="101">
        <f>IF(H1938=1,IF(E1938&lt;FYStart,0,IF(E1938&gt;FYEnd,13,YEAR(E1938)*12+MONTH(E1938)-FYYM+1)),"")</f>
        <v/>
      </c>
      <c r="P1938" s="101">
        <f>IF(H1938=1,IF(IFERROR(INDEX(coa_CF,MATCH(I1938,coa_Name,0)),"")="Cash",1,0),0)</f>
        <v/>
      </c>
      <c r="Q1938" s="101">
        <f>IF(H1938=1,IF(IFERROR(INDEX(coa_CF,MATCH(K1938,coa_Name,0)),"")="Cash",1,0),0)</f>
        <v/>
      </c>
      <c r="R1938" s="58">
        <f>IF((P1938-Q1938)=0,"",IFERROR(INDEX(coa_CF,MATCH(IF((P1938-Q1938)=1,K1938,I1938),coa_Name,0)),"Operating"))</f>
        <v/>
      </c>
      <c r="S1938" s="95">
        <f>IF((P1938-Q1938)=1,L1938,IF((P1938-Q1938)=-1,-J1938,0))</f>
        <v/>
      </c>
      <c r="T1938" s="95">
        <f>IF((P1938-Q1938)=1,N1938,IF((P1938-Q1938)=-1,-M1938,0))</f>
        <v/>
      </c>
      <c r="U1938" s="101">
        <f>IF(AND(H1938=1,LedAcct&lt;&gt;""),IF(AND(E1938&gt;=LedFrom,E1938&lt;=LedTo,OR(I1938=LedAcct,K1938=LedAcct,AND(LedAcct=acctTax,M1938+N1938&lt;&gt;0))),E1938*10000+B1938,""),"")</f>
        <v/>
      </c>
    </row>
    <row r="1939">
      <c r="B1939" s="101" t="n">
        <v>1933</v>
      </c>
      <c r="C1939" s="58" t="inlineStr">
        <is>
          <t>Transaction</t>
        </is>
      </c>
      <c r="D1939" s="58">
        <f>IF(H1939=1,INDEX(tx_ID,1933)&amp;"","")</f>
        <v/>
      </c>
      <c r="E1939" s="94">
        <f>IF(H1939=1,INDEX(tx_Date,1933),"")</f>
        <v/>
      </c>
      <c r="F1939" s="58">
        <f>IF(H1939=1,INDEX(tx_Desc,1933)&amp;"","")</f>
        <v/>
      </c>
      <c r="G1939" s="58">
        <f>IF(H1939=1,IF(INDEX(tx_Cust,1933)&amp;""&lt;&gt;"",INDEX(tx_Cust,1933)&amp;"",INDEX(tx_Vend,1933)&amp;""),"")</f>
        <v/>
      </c>
      <c r="H1939" s="101">
        <f>IFERROR(N(INDEX(tx_Posted,1933)),0)</f>
        <v/>
      </c>
      <c r="I1939" s="58">
        <f>IF(H1939=1,INDEX(tx_DrAcct,1933)&amp;"","")</f>
        <v/>
      </c>
      <c r="J1939" s="95">
        <f>IF(H1939=1,INDEX(tx_DrAmt,1933),0)</f>
        <v/>
      </c>
      <c r="K1939" s="58">
        <f>IF(H1939=1,INDEX(tx_CrAcct,1933)&amp;"","")</f>
        <v/>
      </c>
      <c r="L1939" s="95">
        <f>IF(H1939=1,INDEX(tx_CrAmt,1933),0)</f>
        <v/>
      </c>
      <c r="M1939" s="95">
        <f>IF(H1939=1,INDEX(tx_TaxDr,1933),0)</f>
        <v/>
      </c>
      <c r="N1939" s="95">
        <f>IF(H1939=1,INDEX(tx_TaxCr,1933),0)</f>
        <v/>
      </c>
      <c r="O1939" s="101">
        <f>IF(H1939=1,IF(E1939&lt;FYStart,0,IF(E1939&gt;FYEnd,13,YEAR(E1939)*12+MONTH(E1939)-FYYM+1)),"")</f>
        <v/>
      </c>
      <c r="P1939" s="101">
        <f>IF(H1939=1,IF(IFERROR(INDEX(coa_CF,MATCH(I1939,coa_Name,0)),"")="Cash",1,0),0)</f>
        <v/>
      </c>
      <c r="Q1939" s="101">
        <f>IF(H1939=1,IF(IFERROR(INDEX(coa_CF,MATCH(K1939,coa_Name,0)),"")="Cash",1,0),0)</f>
        <v/>
      </c>
      <c r="R1939" s="58">
        <f>IF((P1939-Q1939)=0,"",IFERROR(INDEX(coa_CF,MATCH(IF((P1939-Q1939)=1,K1939,I1939),coa_Name,0)),"Operating"))</f>
        <v/>
      </c>
      <c r="S1939" s="95">
        <f>IF((P1939-Q1939)=1,L1939,IF((P1939-Q1939)=-1,-J1939,0))</f>
        <v/>
      </c>
      <c r="T1939" s="95">
        <f>IF((P1939-Q1939)=1,N1939,IF((P1939-Q1939)=-1,-M1939,0))</f>
        <v/>
      </c>
      <c r="U1939" s="101">
        <f>IF(AND(H1939=1,LedAcct&lt;&gt;""),IF(AND(E1939&gt;=LedFrom,E1939&lt;=LedTo,OR(I1939=LedAcct,K1939=LedAcct,AND(LedAcct=acctTax,M1939+N1939&lt;&gt;0))),E1939*10000+B1939,""),"")</f>
        <v/>
      </c>
    </row>
    <row r="1940">
      <c r="B1940" s="101" t="n">
        <v>1934</v>
      </c>
      <c r="C1940" s="58" t="inlineStr">
        <is>
          <t>Transaction</t>
        </is>
      </c>
      <c r="D1940" s="58">
        <f>IF(H1940=1,INDEX(tx_ID,1934)&amp;"","")</f>
        <v/>
      </c>
      <c r="E1940" s="94">
        <f>IF(H1940=1,INDEX(tx_Date,1934),"")</f>
        <v/>
      </c>
      <c r="F1940" s="58">
        <f>IF(H1940=1,INDEX(tx_Desc,1934)&amp;"","")</f>
        <v/>
      </c>
      <c r="G1940" s="58">
        <f>IF(H1940=1,IF(INDEX(tx_Cust,1934)&amp;""&lt;&gt;"",INDEX(tx_Cust,1934)&amp;"",INDEX(tx_Vend,1934)&amp;""),"")</f>
        <v/>
      </c>
      <c r="H1940" s="101">
        <f>IFERROR(N(INDEX(tx_Posted,1934)),0)</f>
        <v/>
      </c>
      <c r="I1940" s="58">
        <f>IF(H1940=1,INDEX(tx_DrAcct,1934)&amp;"","")</f>
        <v/>
      </c>
      <c r="J1940" s="95">
        <f>IF(H1940=1,INDEX(tx_DrAmt,1934),0)</f>
        <v/>
      </c>
      <c r="K1940" s="58">
        <f>IF(H1940=1,INDEX(tx_CrAcct,1934)&amp;"","")</f>
        <v/>
      </c>
      <c r="L1940" s="95">
        <f>IF(H1940=1,INDEX(tx_CrAmt,1934),0)</f>
        <v/>
      </c>
      <c r="M1940" s="95">
        <f>IF(H1940=1,INDEX(tx_TaxDr,1934),0)</f>
        <v/>
      </c>
      <c r="N1940" s="95">
        <f>IF(H1940=1,INDEX(tx_TaxCr,1934),0)</f>
        <v/>
      </c>
      <c r="O1940" s="101">
        <f>IF(H1940=1,IF(E1940&lt;FYStart,0,IF(E1940&gt;FYEnd,13,YEAR(E1940)*12+MONTH(E1940)-FYYM+1)),"")</f>
        <v/>
      </c>
      <c r="P1940" s="101">
        <f>IF(H1940=1,IF(IFERROR(INDEX(coa_CF,MATCH(I1940,coa_Name,0)),"")="Cash",1,0),0)</f>
        <v/>
      </c>
      <c r="Q1940" s="101">
        <f>IF(H1940=1,IF(IFERROR(INDEX(coa_CF,MATCH(K1940,coa_Name,0)),"")="Cash",1,0),0)</f>
        <v/>
      </c>
      <c r="R1940" s="58">
        <f>IF((P1940-Q1940)=0,"",IFERROR(INDEX(coa_CF,MATCH(IF((P1940-Q1940)=1,K1940,I1940),coa_Name,0)),"Operating"))</f>
        <v/>
      </c>
      <c r="S1940" s="95">
        <f>IF((P1940-Q1940)=1,L1940,IF((P1940-Q1940)=-1,-J1940,0))</f>
        <v/>
      </c>
      <c r="T1940" s="95">
        <f>IF((P1940-Q1940)=1,N1940,IF((P1940-Q1940)=-1,-M1940,0))</f>
        <v/>
      </c>
      <c r="U1940" s="101">
        <f>IF(AND(H1940=1,LedAcct&lt;&gt;""),IF(AND(E1940&gt;=LedFrom,E1940&lt;=LedTo,OR(I1940=LedAcct,K1940=LedAcct,AND(LedAcct=acctTax,M1940+N1940&lt;&gt;0))),E1940*10000+B1940,""),"")</f>
        <v/>
      </c>
    </row>
    <row r="1941">
      <c r="B1941" s="101" t="n">
        <v>1935</v>
      </c>
      <c r="C1941" s="58" t="inlineStr">
        <is>
          <t>Transaction</t>
        </is>
      </c>
      <c r="D1941" s="58">
        <f>IF(H1941=1,INDEX(tx_ID,1935)&amp;"","")</f>
        <v/>
      </c>
      <c r="E1941" s="94">
        <f>IF(H1941=1,INDEX(tx_Date,1935),"")</f>
        <v/>
      </c>
      <c r="F1941" s="58">
        <f>IF(H1941=1,INDEX(tx_Desc,1935)&amp;"","")</f>
        <v/>
      </c>
      <c r="G1941" s="58">
        <f>IF(H1941=1,IF(INDEX(tx_Cust,1935)&amp;""&lt;&gt;"",INDEX(tx_Cust,1935)&amp;"",INDEX(tx_Vend,1935)&amp;""),"")</f>
        <v/>
      </c>
      <c r="H1941" s="101">
        <f>IFERROR(N(INDEX(tx_Posted,1935)),0)</f>
        <v/>
      </c>
      <c r="I1941" s="58">
        <f>IF(H1941=1,INDEX(tx_DrAcct,1935)&amp;"","")</f>
        <v/>
      </c>
      <c r="J1941" s="95">
        <f>IF(H1941=1,INDEX(tx_DrAmt,1935),0)</f>
        <v/>
      </c>
      <c r="K1941" s="58">
        <f>IF(H1941=1,INDEX(tx_CrAcct,1935)&amp;"","")</f>
        <v/>
      </c>
      <c r="L1941" s="95">
        <f>IF(H1941=1,INDEX(tx_CrAmt,1935),0)</f>
        <v/>
      </c>
      <c r="M1941" s="95">
        <f>IF(H1941=1,INDEX(tx_TaxDr,1935),0)</f>
        <v/>
      </c>
      <c r="N1941" s="95">
        <f>IF(H1941=1,INDEX(tx_TaxCr,1935),0)</f>
        <v/>
      </c>
      <c r="O1941" s="101">
        <f>IF(H1941=1,IF(E1941&lt;FYStart,0,IF(E1941&gt;FYEnd,13,YEAR(E1941)*12+MONTH(E1941)-FYYM+1)),"")</f>
        <v/>
      </c>
      <c r="P1941" s="101">
        <f>IF(H1941=1,IF(IFERROR(INDEX(coa_CF,MATCH(I1941,coa_Name,0)),"")="Cash",1,0),0)</f>
        <v/>
      </c>
      <c r="Q1941" s="101">
        <f>IF(H1941=1,IF(IFERROR(INDEX(coa_CF,MATCH(K1941,coa_Name,0)),"")="Cash",1,0),0)</f>
        <v/>
      </c>
      <c r="R1941" s="58">
        <f>IF((P1941-Q1941)=0,"",IFERROR(INDEX(coa_CF,MATCH(IF((P1941-Q1941)=1,K1941,I1941),coa_Name,0)),"Operating"))</f>
        <v/>
      </c>
      <c r="S1941" s="95">
        <f>IF((P1941-Q1941)=1,L1941,IF((P1941-Q1941)=-1,-J1941,0))</f>
        <v/>
      </c>
      <c r="T1941" s="95">
        <f>IF((P1941-Q1941)=1,N1941,IF((P1941-Q1941)=-1,-M1941,0))</f>
        <v/>
      </c>
      <c r="U1941" s="101">
        <f>IF(AND(H1941=1,LedAcct&lt;&gt;""),IF(AND(E1941&gt;=LedFrom,E1941&lt;=LedTo,OR(I1941=LedAcct,K1941=LedAcct,AND(LedAcct=acctTax,M1941+N1941&lt;&gt;0))),E1941*10000+B1941,""),"")</f>
        <v/>
      </c>
    </row>
    <row r="1942">
      <c r="B1942" s="101" t="n">
        <v>1936</v>
      </c>
      <c r="C1942" s="58" t="inlineStr">
        <is>
          <t>Transaction</t>
        </is>
      </c>
      <c r="D1942" s="58">
        <f>IF(H1942=1,INDEX(tx_ID,1936)&amp;"","")</f>
        <v/>
      </c>
      <c r="E1942" s="94">
        <f>IF(H1942=1,INDEX(tx_Date,1936),"")</f>
        <v/>
      </c>
      <c r="F1942" s="58">
        <f>IF(H1942=1,INDEX(tx_Desc,1936)&amp;"","")</f>
        <v/>
      </c>
      <c r="G1942" s="58">
        <f>IF(H1942=1,IF(INDEX(tx_Cust,1936)&amp;""&lt;&gt;"",INDEX(tx_Cust,1936)&amp;"",INDEX(tx_Vend,1936)&amp;""),"")</f>
        <v/>
      </c>
      <c r="H1942" s="101">
        <f>IFERROR(N(INDEX(tx_Posted,1936)),0)</f>
        <v/>
      </c>
      <c r="I1942" s="58">
        <f>IF(H1942=1,INDEX(tx_DrAcct,1936)&amp;"","")</f>
        <v/>
      </c>
      <c r="J1942" s="95">
        <f>IF(H1942=1,INDEX(tx_DrAmt,1936),0)</f>
        <v/>
      </c>
      <c r="K1942" s="58">
        <f>IF(H1942=1,INDEX(tx_CrAcct,1936)&amp;"","")</f>
        <v/>
      </c>
      <c r="L1942" s="95">
        <f>IF(H1942=1,INDEX(tx_CrAmt,1936),0)</f>
        <v/>
      </c>
      <c r="M1942" s="95">
        <f>IF(H1942=1,INDEX(tx_TaxDr,1936),0)</f>
        <v/>
      </c>
      <c r="N1942" s="95">
        <f>IF(H1942=1,INDEX(tx_TaxCr,1936),0)</f>
        <v/>
      </c>
      <c r="O1942" s="101">
        <f>IF(H1942=1,IF(E1942&lt;FYStart,0,IF(E1942&gt;FYEnd,13,YEAR(E1942)*12+MONTH(E1942)-FYYM+1)),"")</f>
        <v/>
      </c>
      <c r="P1942" s="101">
        <f>IF(H1942=1,IF(IFERROR(INDEX(coa_CF,MATCH(I1942,coa_Name,0)),"")="Cash",1,0),0)</f>
        <v/>
      </c>
      <c r="Q1942" s="101">
        <f>IF(H1942=1,IF(IFERROR(INDEX(coa_CF,MATCH(K1942,coa_Name,0)),"")="Cash",1,0),0)</f>
        <v/>
      </c>
      <c r="R1942" s="58">
        <f>IF((P1942-Q1942)=0,"",IFERROR(INDEX(coa_CF,MATCH(IF((P1942-Q1942)=1,K1942,I1942),coa_Name,0)),"Operating"))</f>
        <v/>
      </c>
      <c r="S1942" s="95">
        <f>IF((P1942-Q1942)=1,L1942,IF((P1942-Q1942)=-1,-J1942,0))</f>
        <v/>
      </c>
      <c r="T1942" s="95">
        <f>IF((P1942-Q1942)=1,N1942,IF((P1942-Q1942)=-1,-M1942,0))</f>
        <v/>
      </c>
      <c r="U1942" s="101">
        <f>IF(AND(H1942=1,LedAcct&lt;&gt;""),IF(AND(E1942&gt;=LedFrom,E1942&lt;=LedTo,OR(I1942=LedAcct,K1942=LedAcct,AND(LedAcct=acctTax,M1942+N1942&lt;&gt;0))),E1942*10000+B1942,""),"")</f>
        <v/>
      </c>
    </row>
    <row r="1943">
      <c r="B1943" s="101" t="n">
        <v>1937</v>
      </c>
      <c r="C1943" s="58" t="inlineStr">
        <is>
          <t>Transaction</t>
        </is>
      </c>
      <c r="D1943" s="58">
        <f>IF(H1943=1,INDEX(tx_ID,1937)&amp;"","")</f>
        <v/>
      </c>
      <c r="E1943" s="94">
        <f>IF(H1943=1,INDEX(tx_Date,1937),"")</f>
        <v/>
      </c>
      <c r="F1943" s="58">
        <f>IF(H1943=1,INDEX(tx_Desc,1937)&amp;"","")</f>
        <v/>
      </c>
      <c r="G1943" s="58">
        <f>IF(H1943=1,IF(INDEX(tx_Cust,1937)&amp;""&lt;&gt;"",INDEX(tx_Cust,1937)&amp;"",INDEX(tx_Vend,1937)&amp;""),"")</f>
        <v/>
      </c>
      <c r="H1943" s="101">
        <f>IFERROR(N(INDEX(tx_Posted,1937)),0)</f>
        <v/>
      </c>
      <c r="I1943" s="58">
        <f>IF(H1943=1,INDEX(tx_DrAcct,1937)&amp;"","")</f>
        <v/>
      </c>
      <c r="J1943" s="95">
        <f>IF(H1943=1,INDEX(tx_DrAmt,1937),0)</f>
        <v/>
      </c>
      <c r="K1943" s="58">
        <f>IF(H1943=1,INDEX(tx_CrAcct,1937)&amp;"","")</f>
        <v/>
      </c>
      <c r="L1943" s="95">
        <f>IF(H1943=1,INDEX(tx_CrAmt,1937),0)</f>
        <v/>
      </c>
      <c r="M1943" s="95">
        <f>IF(H1943=1,INDEX(tx_TaxDr,1937),0)</f>
        <v/>
      </c>
      <c r="N1943" s="95">
        <f>IF(H1943=1,INDEX(tx_TaxCr,1937),0)</f>
        <v/>
      </c>
      <c r="O1943" s="101">
        <f>IF(H1943=1,IF(E1943&lt;FYStart,0,IF(E1943&gt;FYEnd,13,YEAR(E1943)*12+MONTH(E1943)-FYYM+1)),"")</f>
        <v/>
      </c>
      <c r="P1943" s="101">
        <f>IF(H1943=1,IF(IFERROR(INDEX(coa_CF,MATCH(I1943,coa_Name,0)),"")="Cash",1,0),0)</f>
        <v/>
      </c>
      <c r="Q1943" s="101">
        <f>IF(H1943=1,IF(IFERROR(INDEX(coa_CF,MATCH(K1943,coa_Name,0)),"")="Cash",1,0),0)</f>
        <v/>
      </c>
      <c r="R1943" s="58">
        <f>IF((P1943-Q1943)=0,"",IFERROR(INDEX(coa_CF,MATCH(IF((P1943-Q1943)=1,K1943,I1943),coa_Name,0)),"Operating"))</f>
        <v/>
      </c>
      <c r="S1943" s="95">
        <f>IF((P1943-Q1943)=1,L1943,IF((P1943-Q1943)=-1,-J1943,0))</f>
        <v/>
      </c>
      <c r="T1943" s="95">
        <f>IF((P1943-Q1943)=1,N1943,IF((P1943-Q1943)=-1,-M1943,0))</f>
        <v/>
      </c>
      <c r="U1943" s="101">
        <f>IF(AND(H1943=1,LedAcct&lt;&gt;""),IF(AND(E1943&gt;=LedFrom,E1943&lt;=LedTo,OR(I1943=LedAcct,K1943=LedAcct,AND(LedAcct=acctTax,M1943+N1943&lt;&gt;0))),E1943*10000+B1943,""),"")</f>
        <v/>
      </c>
    </row>
    <row r="1944">
      <c r="B1944" s="101" t="n">
        <v>1938</v>
      </c>
      <c r="C1944" s="58" t="inlineStr">
        <is>
          <t>Transaction</t>
        </is>
      </c>
      <c r="D1944" s="58">
        <f>IF(H1944=1,INDEX(tx_ID,1938)&amp;"","")</f>
        <v/>
      </c>
      <c r="E1944" s="94">
        <f>IF(H1944=1,INDEX(tx_Date,1938),"")</f>
        <v/>
      </c>
      <c r="F1944" s="58">
        <f>IF(H1944=1,INDEX(tx_Desc,1938)&amp;"","")</f>
        <v/>
      </c>
      <c r="G1944" s="58">
        <f>IF(H1944=1,IF(INDEX(tx_Cust,1938)&amp;""&lt;&gt;"",INDEX(tx_Cust,1938)&amp;"",INDEX(tx_Vend,1938)&amp;""),"")</f>
        <v/>
      </c>
      <c r="H1944" s="101">
        <f>IFERROR(N(INDEX(tx_Posted,1938)),0)</f>
        <v/>
      </c>
      <c r="I1944" s="58">
        <f>IF(H1944=1,INDEX(tx_DrAcct,1938)&amp;"","")</f>
        <v/>
      </c>
      <c r="J1944" s="95">
        <f>IF(H1944=1,INDEX(tx_DrAmt,1938),0)</f>
        <v/>
      </c>
      <c r="K1944" s="58">
        <f>IF(H1944=1,INDEX(tx_CrAcct,1938)&amp;"","")</f>
        <v/>
      </c>
      <c r="L1944" s="95">
        <f>IF(H1944=1,INDEX(tx_CrAmt,1938),0)</f>
        <v/>
      </c>
      <c r="M1944" s="95">
        <f>IF(H1944=1,INDEX(tx_TaxDr,1938),0)</f>
        <v/>
      </c>
      <c r="N1944" s="95">
        <f>IF(H1944=1,INDEX(tx_TaxCr,1938),0)</f>
        <v/>
      </c>
      <c r="O1944" s="101">
        <f>IF(H1944=1,IF(E1944&lt;FYStart,0,IF(E1944&gt;FYEnd,13,YEAR(E1944)*12+MONTH(E1944)-FYYM+1)),"")</f>
        <v/>
      </c>
      <c r="P1944" s="101">
        <f>IF(H1944=1,IF(IFERROR(INDEX(coa_CF,MATCH(I1944,coa_Name,0)),"")="Cash",1,0),0)</f>
        <v/>
      </c>
      <c r="Q1944" s="101">
        <f>IF(H1944=1,IF(IFERROR(INDEX(coa_CF,MATCH(K1944,coa_Name,0)),"")="Cash",1,0),0)</f>
        <v/>
      </c>
      <c r="R1944" s="58">
        <f>IF((P1944-Q1944)=0,"",IFERROR(INDEX(coa_CF,MATCH(IF((P1944-Q1944)=1,K1944,I1944),coa_Name,0)),"Operating"))</f>
        <v/>
      </c>
      <c r="S1944" s="95">
        <f>IF((P1944-Q1944)=1,L1944,IF((P1944-Q1944)=-1,-J1944,0))</f>
        <v/>
      </c>
      <c r="T1944" s="95">
        <f>IF((P1944-Q1944)=1,N1944,IF((P1944-Q1944)=-1,-M1944,0))</f>
        <v/>
      </c>
      <c r="U1944" s="101">
        <f>IF(AND(H1944=1,LedAcct&lt;&gt;""),IF(AND(E1944&gt;=LedFrom,E1944&lt;=LedTo,OR(I1944=LedAcct,K1944=LedAcct,AND(LedAcct=acctTax,M1944+N1944&lt;&gt;0))),E1944*10000+B1944,""),"")</f>
        <v/>
      </c>
    </row>
    <row r="1945">
      <c r="B1945" s="101" t="n">
        <v>1939</v>
      </c>
      <c r="C1945" s="58" t="inlineStr">
        <is>
          <t>Transaction</t>
        </is>
      </c>
      <c r="D1945" s="58">
        <f>IF(H1945=1,INDEX(tx_ID,1939)&amp;"","")</f>
        <v/>
      </c>
      <c r="E1945" s="94">
        <f>IF(H1945=1,INDEX(tx_Date,1939),"")</f>
        <v/>
      </c>
      <c r="F1945" s="58">
        <f>IF(H1945=1,INDEX(tx_Desc,1939)&amp;"","")</f>
        <v/>
      </c>
      <c r="G1945" s="58">
        <f>IF(H1945=1,IF(INDEX(tx_Cust,1939)&amp;""&lt;&gt;"",INDEX(tx_Cust,1939)&amp;"",INDEX(tx_Vend,1939)&amp;""),"")</f>
        <v/>
      </c>
      <c r="H1945" s="101">
        <f>IFERROR(N(INDEX(tx_Posted,1939)),0)</f>
        <v/>
      </c>
      <c r="I1945" s="58">
        <f>IF(H1945=1,INDEX(tx_DrAcct,1939)&amp;"","")</f>
        <v/>
      </c>
      <c r="J1945" s="95">
        <f>IF(H1945=1,INDEX(tx_DrAmt,1939),0)</f>
        <v/>
      </c>
      <c r="K1945" s="58">
        <f>IF(H1945=1,INDEX(tx_CrAcct,1939)&amp;"","")</f>
        <v/>
      </c>
      <c r="L1945" s="95">
        <f>IF(H1945=1,INDEX(tx_CrAmt,1939),0)</f>
        <v/>
      </c>
      <c r="M1945" s="95">
        <f>IF(H1945=1,INDEX(tx_TaxDr,1939),0)</f>
        <v/>
      </c>
      <c r="N1945" s="95">
        <f>IF(H1945=1,INDEX(tx_TaxCr,1939),0)</f>
        <v/>
      </c>
      <c r="O1945" s="101">
        <f>IF(H1945=1,IF(E1945&lt;FYStart,0,IF(E1945&gt;FYEnd,13,YEAR(E1945)*12+MONTH(E1945)-FYYM+1)),"")</f>
        <v/>
      </c>
      <c r="P1945" s="101">
        <f>IF(H1945=1,IF(IFERROR(INDEX(coa_CF,MATCH(I1945,coa_Name,0)),"")="Cash",1,0),0)</f>
        <v/>
      </c>
      <c r="Q1945" s="101">
        <f>IF(H1945=1,IF(IFERROR(INDEX(coa_CF,MATCH(K1945,coa_Name,0)),"")="Cash",1,0),0)</f>
        <v/>
      </c>
      <c r="R1945" s="58">
        <f>IF((P1945-Q1945)=0,"",IFERROR(INDEX(coa_CF,MATCH(IF((P1945-Q1945)=1,K1945,I1945),coa_Name,0)),"Operating"))</f>
        <v/>
      </c>
      <c r="S1945" s="95">
        <f>IF((P1945-Q1945)=1,L1945,IF((P1945-Q1945)=-1,-J1945,0))</f>
        <v/>
      </c>
      <c r="T1945" s="95">
        <f>IF((P1945-Q1945)=1,N1945,IF((P1945-Q1945)=-1,-M1945,0))</f>
        <v/>
      </c>
      <c r="U1945" s="101">
        <f>IF(AND(H1945=1,LedAcct&lt;&gt;""),IF(AND(E1945&gt;=LedFrom,E1945&lt;=LedTo,OR(I1945=LedAcct,K1945=LedAcct,AND(LedAcct=acctTax,M1945+N1945&lt;&gt;0))),E1945*10000+B1945,""),"")</f>
        <v/>
      </c>
    </row>
    <row r="1946">
      <c r="B1946" s="101" t="n">
        <v>1940</v>
      </c>
      <c r="C1946" s="58" t="inlineStr">
        <is>
          <t>Transaction</t>
        </is>
      </c>
      <c r="D1946" s="58">
        <f>IF(H1946=1,INDEX(tx_ID,1940)&amp;"","")</f>
        <v/>
      </c>
      <c r="E1946" s="94">
        <f>IF(H1946=1,INDEX(tx_Date,1940),"")</f>
        <v/>
      </c>
      <c r="F1946" s="58">
        <f>IF(H1946=1,INDEX(tx_Desc,1940)&amp;"","")</f>
        <v/>
      </c>
      <c r="G1946" s="58">
        <f>IF(H1946=1,IF(INDEX(tx_Cust,1940)&amp;""&lt;&gt;"",INDEX(tx_Cust,1940)&amp;"",INDEX(tx_Vend,1940)&amp;""),"")</f>
        <v/>
      </c>
      <c r="H1946" s="101">
        <f>IFERROR(N(INDEX(tx_Posted,1940)),0)</f>
        <v/>
      </c>
      <c r="I1946" s="58">
        <f>IF(H1946=1,INDEX(tx_DrAcct,1940)&amp;"","")</f>
        <v/>
      </c>
      <c r="J1946" s="95">
        <f>IF(H1946=1,INDEX(tx_DrAmt,1940),0)</f>
        <v/>
      </c>
      <c r="K1946" s="58">
        <f>IF(H1946=1,INDEX(tx_CrAcct,1940)&amp;"","")</f>
        <v/>
      </c>
      <c r="L1946" s="95">
        <f>IF(H1946=1,INDEX(tx_CrAmt,1940),0)</f>
        <v/>
      </c>
      <c r="M1946" s="95">
        <f>IF(H1946=1,INDEX(tx_TaxDr,1940),0)</f>
        <v/>
      </c>
      <c r="N1946" s="95">
        <f>IF(H1946=1,INDEX(tx_TaxCr,1940),0)</f>
        <v/>
      </c>
      <c r="O1946" s="101">
        <f>IF(H1946=1,IF(E1946&lt;FYStart,0,IF(E1946&gt;FYEnd,13,YEAR(E1946)*12+MONTH(E1946)-FYYM+1)),"")</f>
        <v/>
      </c>
      <c r="P1946" s="101">
        <f>IF(H1946=1,IF(IFERROR(INDEX(coa_CF,MATCH(I1946,coa_Name,0)),"")="Cash",1,0),0)</f>
        <v/>
      </c>
      <c r="Q1946" s="101">
        <f>IF(H1946=1,IF(IFERROR(INDEX(coa_CF,MATCH(K1946,coa_Name,0)),"")="Cash",1,0),0)</f>
        <v/>
      </c>
      <c r="R1946" s="58">
        <f>IF((P1946-Q1946)=0,"",IFERROR(INDEX(coa_CF,MATCH(IF((P1946-Q1946)=1,K1946,I1946),coa_Name,0)),"Operating"))</f>
        <v/>
      </c>
      <c r="S1946" s="95">
        <f>IF((P1946-Q1946)=1,L1946,IF((P1946-Q1946)=-1,-J1946,0))</f>
        <v/>
      </c>
      <c r="T1946" s="95">
        <f>IF((P1946-Q1946)=1,N1946,IF((P1946-Q1946)=-1,-M1946,0))</f>
        <v/>
      </c>
      <c r="U1946" s="101">
        <f>IF(AND(H1946=1,LedAcct&lt;&gt;""),IF(AND(E1946&gt;=LedFrom,E1946&lt;=LedTo,OR(I1946=LedAcct,K1946=LedAcct,AND(LedAcct=acctTax,M1946+N1946&lt;&gt;0))),E1946*10000+B1946,""),"")</f>
        <v/>
      </c>
    </row>
    <row r="1947">
      <c r="B1947" s="101" t="n">
        <v>1941</v>
      </c>
      <c r="C1947" s="58" t="inlineStr">
        <is>
          <t>Transaction</t>
        </is>
      </c>
      <c r="D1947" s="58">
        <f>IF(H1947=1,INDEX(tx_ID,1941)&amp;"","")</f>
        <v/>
      </c>
      <c r="E1947" s="94">
        <f>IF(H1947=1,INDEX(tx_Date,1941),"")</f>
        <v/>
      </c>
      <c r="F1947" s="58">
        <f>IF(H1947=1,INDEX(tx_Desc,1941)&amp;"","")</f>
        <v/>
      </c>
      <c r="G1947" s="58">
        <f>IF(H1947=1,IF(INDEX(tx_Cust,1941)&amp;""&lt;&gt;"",INDEX(tx_Cust,1941)&amp;"",INDEX(tx_Vend,1941)&amp;""),"")</f>
        <v/>
      </c>
      <c r="H1947" s="101">
        <f>IFERROR(N(INDEX(tx_Posted,1941)),0)</f>
        <v/>
      </c>
      <c r="I1947" s="58">
        <f>IF(H1947=1,INDEX(tx_DrAcct,1941)&amp;"","")</f>
        <v/>
      </c>
      <c r="J1947" s="95">
        <f>IF(H1947=1,INDEX(tx_DrAmt,1941),0)</f>
        <v/>
      </c>
      <c r="K1947" s="58">
        <f>IF(H1947=1,INDEX(tx_CrAcct,1941)&amp;"","")</f>
        <v/>
      </c>
      <c r="L1947" s="95">
        <f>IF(H1947=1,INDEX(tx_CrAmt,1941),0)</f>
        <v/>
      </c>
      <c r="M1947" s="95">
        <f>IF(H1947=1,INDEX(tx_TaxDr,1941),0)</f>
        <v/>
      </c>
      <c r="N1947" s="95">
        <f>IF(H1947=1,INDEX(tx_TaxCr,1941),0)</f>
        <v/>
      </c>
      <c r="O1947" s="101">
        <f>IF(H1947=1,IF(E1947&lt;FYStart,0,IF(E1947&gt;FYEnd,13,YEAR(E1947)*12+MONTH(E1947)-FYYM+1)),"")</f>
        <v/>
      </c>
      <c r="P1947" s="101">
        <f>IF(H1947=1,IF(IFERROR(INDEX(coa_CF,MATCH(I1947,coa_Name,0)),"")="Cash",1,0),0)</f>
        <v/>
      </c>
      <c r="Q1947" s="101">
        <f>IF(H1947=1,IF(IFERROR(INDEX(coa_CF,MATCH(K1947,coa_Name,0)),"")="Cash",1,0),0)</f>
        <v/>
      </c>
      <c r="R1947" s="58">
        <f>IF((P1947-Q1947)=0,"",IFERROR(INDEX(coa_CF,MATCH(IF((P1947-Q1947)=1,K1947,I1947),coa_Name,0)),"Operating"))</f>
        <v/>
      </c>
      <c r="S1947" s="95">
        <f>IF((P1947-Q1947)=1,L1947,IF((P1947-Q1947)=-1,-J1947,0))</f>
        <v/>
      </c>
      <c r="T1947" s="95">
        <f>IF((P1947-Q1947)=1,N1947,IF((P1947-Q1947)=-1,-M1947,0))</f>
        <v/>
      </c>
      <c r="U1947" s="101">
        <f>IF(AND(H1947=1,LedAcct&lt;&gt;""),IF(AND(E1947&gt;=LedFrom,E1947&lt;=LedTo,OR(I1947=LedAcct,K1947=LedAcct,AND(LedAcct=acctTax,M1947+N1947&lt;&gt;0))),E1947*10000+B1947,""),"")</f>
        <v/>
      </c>
    </row>
    <row r="1948">
      <c r="B1948" s="101" t="n">
        <v>1942</v>
      </c>
      <c r="C1948" s="58" t="inlineStr">
        <is>
          <t>Transaction</t>
        </is>
      </c>
      <c r="D1948" s="58">
        <f>IF(H1948=1,INDEX(tx_ID,1942)&amp;"","")</f>
        <v/>
      </c>
      <c r="E1948" s="94">
        <f>IF(H1948=1,INDEX(tx_Date,1942),"")</f>
        <v/>
      </c>
      <c r="F1948" s="58">
        <f>IF(H1948=1,INDEX(tx_Desc,1942)&amp;"","")</f>
        <v/>
      </c>
      <c r="G1948" s="58">
        <f>IF(H1948=1,IF(INDEX(tx_Cust,1942)&amp;""&lt;&gt;"",INDEX(tx_Cust,1942)&amp;"",INDEX(tx_Vend,1942)&amp;""),"")</f>
        <v/>
      </c>
      <c r="H1948" s="101">
        <f>IFERROR(N(INDEX(tx_Posted,1942)),0)</f>
        <v/>
      </c>
      <c r="I1948" s="58">
        <f>IF(H1948=1,INDEX(tx_DrAcct,1942)&amp;"","")</f>
        <v/>
      </c>
      <c r="J1948" s="95">
        <f>IF(H1948=1,INDEX(tx_DrAmt,1942),0)</f>
        <v/>
      </c>
      <c r="K1948" s="58">
        <f>IF(H1948=1,INDEX(tx_CrAcct,1942)&amp;"","")</f>
        <v/>
      </c>
      <c r="L1948" s="95">
        <f>IF(H1948=1,INDEX(tx_CrAmt,1942),0)</f>
        <v/>
      </c>
      <c r="M1948" s="95">
        <f>IF(H1948=1,INDEX(tx_TaxDr,1942),0)</f>
        <v/>
      </c>
      <c r="N1948" s="95">
        <f>IF(H1948=1,INDEX(tx_TaxCr,1942),0)</f>
        <v/>
      </c>
      <c r="O1948" s="101">
        <f>IF(H1948=1,IF(E1948&lt;FYStart,0,IF(E1948&gt;FYEnd,13,YEAR(E1948)*12+MONTH(E1948)-FYYM+1)),"")</f>
        <v/>
      </c>
      <c r="P1948" s="101">
        <f>IF(H1948=1,IF(IFERROR(INDEX(coa_CF,MATCH(I1948,coa_Name,0)),"")="Cash",1,0),0)</f>
        <v/>
      </c>
      <c r="Q1948" s="101">
        <f>IF(H1948=1,IF(IFERROR(INDEX(coa_CF,MATCH(K1948,coa_Name,0)),"")="Cash",1,0),0)</f>
        <v/>
      </c>
      <c r="R1948" s="58">
        <f>IF((P1948-Q1948)=0,"",IFERROR(INDEX(coa_CF,MATCH(IF((P1948-Q1948)=1,K1948,I1948),coa_Name,0)),"Operating"))</f>
        <v/>
      </c>
      <c r="S1948" s="95">
        <f>IF((P1948-Q1948)=1,L1948,IF((P1948-Q1948)=-1,-J1948,0))</f>
        <v/>
      </c>
      <c r="T1948" s="95">
        <f>IF((P1948-Q1948)=1,N1948,IF((P1948-Q1948)=-1,-M1948,0))</f>
        <v/>
      </c>
      <c r="U1948" s="101">
        <f>IF(AND(H1948=1,LedAcct&lt;&gt;""),IF(AND(E1948&gt;=LedFrom,E1948&lt;=LedTo,OR(I1948=LedAcct,K1948=LedAcct,AND(LedAcct=acctTax,M1948+N1948&lt;&gt;0))),E1948*10000+B1948,""),"")</f>
        <v/>
      </c>
    </row>
    <row r="1949">
      <c r="B1949" s="101" t="n">
        <v>1943</v>
      </c>
      <c r="C1949" s="58" t="inlineStr">
        <is>
          <t>Transaction</t>
        </is>
      </c>
      <c r="D1949" s="58">
        <f>IF(H1949=1,INDEX(tx_ID,1943)&amp;"","")</f>
        <v/>
      </c>
      <c r="E1949" s="94">
        <f>IF(H1949=1,INDEX(tx_Date,1943),"")</f>
        <v/>
      </c>
      <c r="F1949" s="58">
        <f>IF(H1949=1,INDEX(tx_Desc,1943)&amp;"","")</f>
        <v/>
      </c>
      <c r="G1949" s="58">
        <f>IF(H1949=1,IF(INDEX(tx_Cust,1943)&amp;""&lt;&gt;"",INDEX(tx_Cust,1943)&amp;"",INDEX(tx_Vend,1943)&amp;""),"")</f>
        <v/>
      </c>
      <c r="H1949" s="101">
        <f>IFERROR(N(INDEX(tx_Posted,1943)),0)</f>
        <v/>
      </c>
      <c r="I1949" s="58">
        <f>IF(H1949=1,INDEX(tx_DrAcct,1943)&amp;"","")</f>
        <v/>
      </c>
      <c r="J1949" s="95">
        <f>IF(H1949=1,INDEX(tx_DrAmt,1943),0)</f>
        <v/>
      </c>
      <c r="K1949" s="58">
        <f>IF(H1949=1,INDEX(tx_CrAcct,1943)&amp;"","")</f>
        <v/>
      </c>
      <c r="L1949" s="95">
        <f>IF(H1949=1,INDEX(tx_CrAmt,1943),0)</f>
        <v/>
      </c>
      <c r="M1949" s="95">
        <f>IF(H1949=1,INDEX(tx_TaxDr,1943),0)</f>
        <v/>
      </c>
      <c r="N1949" s="95">
        <f>IF(H1949=1,INDEX(tx_TaxCr,1943),0)</f>
        <v/>
      </c>
      <c r="O1949" s="101">
        <f>IF(H1949=1,IF(E1949&lt;FYStart,0,IF(E1949&gt;FYEnd,13,YEAR(E1949)*12+MONTH(E1949)-FYYM+1)),"")</f>
        <v/>
      </c>
      <c r="P1949" s="101">
        <f>IF(H1949=1,IF(IFERROR(INDEX(coa_CF,MATCH(I1949,coa_Name,0)),"")="Cash",1,0),0)</f>
        <v/>
      </c>
      <c r="Q1949" s="101">
        <f>IF(H1949=1,IF(IFERROR(INDEX(coa_CF,MATCH(K1949,coa_Name,0)),"")="Cash",1,0),0)</f>
        <v/>
      </c>
      <c r="R1949" s="58">
        <f>IF((P1949-Q1949)=0,"",IFERROR(INDEX(coa_CF,MATCH(IF((P1949-Q1949)=1,K1949,I1949),coa_Name,0)),"Operating"))</f>
        <v/>
      </c>
      <c r="S1949" s="95">
        <f>IF((P1949-Q1949)=1,L1949,IF((P1949-Q1949)=-1,-J1949,0))</f>
        <v/>
      </c>
      <c r="T1949" s="95">
        <f>IF((P1949-Q1949)=1,N1949,IF((P1949-Q1949)=-1,-M1949,0))</f>
        <v/>
      </c>
      <c r="U1949" s="101">
        <f>IF(AND(H1949=1,LedAcct&lt;&gt;""),IF(AND(E1949&gt;=LedFrom,E1949&lt;=LedTo,OR(I1949=LedAcct,K1949=LedAcct,AND(LedAcct=acctTax,M1949+N1949&lt;&gt;0))),E1949*10000+B1949,""),"")</f>
        <v/>
      </c>
    </row>
    <row r="1950">
      <c r="B1950" s="101" t="n">
        <v>1944</v>
      </c>
      <c r="C1950" s="58" t="inlineStr">
        <is>
          <t>Transaction</t>
        </is>
      </c>
      <c r="D1950" s="58">
        <f>IF(H1950=1,INDEX(tx_ID,1944)&amp;"","")</f>
        <v/>
      </c>
      <c r="E1950" s="94">
        <f>IF(H1950=1,INDEX(tx_Date,1944),"")</f>
        <v/>
      </c>
      <c r="F1950" s="58">
        <f>IF(H1950=1,INDEX(tx_Desc,1944)&amp;"","")</f>
        <v/>
      </c>
      <c r="G1950" s="58">
        <f>IF(H1950=1,IF(INDEX(tx_Cust,1944)&amp;""&lt;&gt;"",INDEX(tx_Cust,1944)&amp;"",INDEX(tx_Vend,1944)&amp;""),"")</f>
        <v/>
      </c>
      <c r="H1950" s="101">
        <f>IFERROR(N(INDEX(tx_Posted,1944)),0)</f>
        <v/>
      </c>
      <c r="I1950" s="58">
        <f>IF(H1950=1,INDEX(tx_DrAcct,1944)&amp;"","")</f>
        <v/>
      </c>
      <c r="J1950" s="95">
        <f>IF(H1950=1,INDEX(tx_DrAmt,1944),0)</f>
        <v/>
      </c>
      <c r="K1950" s="58">
        <f>IF(H1950=1,INDEX(tx_CrAcct,1944)&amp;"","")</f>
        <v/>
      </c>
      <c r="L1950" s="95">
        <f>IF(H1950=1,INDEX(tx_CrAmt,1944),0)</f>
        <v/>
      </c>
      <c r="M1950" s="95">
        <f>IF(H1950=1,INDEX(tx_TaxDr,1944),0)</f>
        <v/>
      </c>
      <c r="N1950" s="95">
        <f>IF(H1950=1,INDEX(tx_TaxCr,1944),0)</f>
        <v/>
      </c>
      <c r="O1950" s="101">
        <f>IF(H1950=1,IF(E1950&lt;FYStart,0,IF(E1950&gt;FYEnd,13,YEAR(E1950)*12+MONTH(E1950)-FYYM+1)),"")</f>
        <v/>
      </c>
      <c r="P1950" s="101">
        <f>IF(H1950=1,IF(IFERROR(INDEX(coa_CF,MATCH(I1950,coa_Name,0)),"")="Cash",1,0),0)</f>
        <v/>
      </c>
      <c r="Q1950" s="101">
        <f>IF(H1950=1,IF(IFERROR(INDEX(coa_CF,MATCH(K1950,coa_Name,0)),"")="Cash",1,0),0)</f>
        <v/>
      </c>
      <c r="R1950" s="58">
        <f>IF((P1950-Q1950)=0,"",IFERROR(INDEX(coa_CF,MATCH(IF((P1950-Q1950)=1,K1950,I1950),coa_Name,0)),"Operating"))</f>
        <v/>
      </c>
      <c r="S1950" s="95">
        <f>IF((P1950-Q1950)=1,L1950,IF((P1950-Q1950)=-1,-J1950,0))</f>
        <v/>
      </c>
      <c r="T1950" s="95">
        <f>IF((P1950-Q1950)=1,N1950,IF((P1950-Q1950)=-1,-M1950,0))</f>
        <v/>
      </c>
      <c r="U1950" s="101">
        <f>IF(AND(H1950=1,LedAcct&lt;&gt;""),IF(AND(E1950&gt;=LedFrom,E1950&lt;=LedTo,OR(I1950=LedAcct,K1950=LedAcct,AND(LedAcct=acctTax,M1950+N1950&lt;&gt;0))),E1950*10000+B1950,""),"")</f>
        <v/>
      </c>
    </row>
    <row r="1951">
      <c r="B1951" s="101" t="n">
        <v>1945</v>
      </c>
      <c r="C1951" s="58" t="inlineStr">
        <is>
          <t>Transaction</t>
        </is>
      </c>
      <c r="D1951" s="58">
        <f>IF(H1951=1,INDEX(tx_ID,1945)&amp;"","")</f>
        <v/>
      </c>
      <c r="E1951" s="94">
        <f>IF(H1951=1,INDEX(tx_Date,1945),"")</f>
        <v/>
      </c>
      <c r="F1951" s="58">
        <f>IF(H1951=1,INDEX(tx_Desc,1945)&amp;"","")</f>
        <v/>
      </c>
      <c r="G1951" s="58">
        <f>IF(H1951=1,IF(INDEX(tx_Cust,1945)&amp;""&lt;&gt;"",INDEX(tx_Cust,1945)&amp;"",INDEX(tx_Vend,1945)&amp;""),"")</f>
        <v/>
      </c>
      <c r="H1951" s="101">
        <f>IFERROR(N(INDEX(tx_Posted,1945)),0)</f>
        <v/>
      </c>
      <c r="I1951" s="58">
        <f>IF(H1951=1,INDEX(tx_DrAcct,1945)&amp;"","")</f>
        <v/>
      </c>
      <c r="J1951" s="95">
        <f>IF(H1951=1,INDEX(tx_DrAmt,1945),0)</f>
        <v/>
      </c>
      <c r="K1951" s="58">
        <f>IF(H1951=1,INDEX(tx_CrAcct,1945)&amp;"","")</f>
        <v/>
      </c>
      <c r="L1951" s="95">
        <f>IF(H1951=1,INDEX(tx_CrAmt,1945),0)</f>
        <v/>
      </c>
      <c r="M1951" s="95">
        <f>IF(H1951=1,INDEX(tx_TaxDr,1945),0)</f>
        <v/>
      </c>
      <c r="N1951" s="95">
        <f>IF(H1951=1,INDEX(tx_TaxCr,1945),0)</f>
        <v/>
      </c>
      <c r="O1951" s="101">
        <f>IF(H1951=1,IF(E1951&lt;FYStart,0,IF(E1951&gt;FYEnd,13,YEAR(E1951)*12+MONTH(E1951)-FYYM+1)),"")</f>
        <v/>
      </c>
      <c r="P1951" s="101">
        <f>IF(H1951=1,IF(IFERROR(INDEX(coa_CF,MATCH(I1951,coa_Name,0)),"")="Cash",1,0),0)</f>
        <v/>
      </c>
      <c r="Q1951" s="101">
        <f>IF(H1951=1,IF(IFERROR(INDEX(coa_CF,MATCH(K1951,coa_Name,0)),"")="Cash",1,0),0)</f>
        <v/>
      </c>
      <c r="R1951" s="58">
        <f>IF((P1951-Q1951)=0,"",IFERROR(INDEX(coa_CF,MATCH(IF((P1951-Q1951)=1,K1951,I1951),coa_Name,0)),"Operating"))</f>
        <v/>
      </c>
      <c r="S1951" s="95">
        <f>IF((P1951-Q1951)=1,L1951,IF((P1951-Q1951)=-1,-J1951,0))</f>
        <v/>
      </c>
      <c r="T1951" s="95">
        <f>IF((P1951-Q1951)=1,N1951,IF((P1951-Q1951)=-1,-M1951,0))</f>
        <v/>
      </c>
      <c r="U1951" s="101">
        <f>IF(AND(H1951=1,LedAcct&lt;&gt;""),IF(AND(E1951&gt;=LedFrom,E1951&lt;=LedTo,OR(I1951=LedAcct,K1951=LedAcct,AND(LedAcct=acctTax,M1951+N1951&lt;&gt;0))),E1951*10000+B1951,""),"")</f>
        <v/>
      </c>
    </row>
    <row r="1952">
      <c r="B1952" s="101" t="n">
        <v>1946</v>
      </c>
      <c r="C1952" s="58" t="inlineStr">
        <is>
          <t>Transaction</t>
        </is>
      </c>
      <c r="D1952" s="58">
        <f>IF(H1952=1,INDEX(tx_ID,1946)&amp;"","")</f>
        <v/>
      </c>
      <c r="E1952" s="94">
        <f>IF(H1952=1,INDEX(tx_Date,1946),"")</f>
        <v/>
      </c>
      <c r="F1952" s="58">
        <f>IF(H1952=1,INDEX(tx_Desc,1946)&amp;"","")</f>
        <v/>
      </c>
      <c r="G1952" s="58">
        <f>IF(H1952=1,IF(INDEX(tx_Cust,1946)&amp;""&lt;&gt;"",INDEX(tx_Cust,1946)&amp;"",INDEX(tx_Vend,1946)&amp;""),"")</f>
        <v/>
      </c>
      <c r="H1952" s="101">
        <f>IFERROR(N(INDEX(tx_Posted,1946)),0)</f>
        <v/>
      </c>
      <c r="I1952" s="58">
        <f>IF(H1952=1,INDEX(tx_DrAcct,1946)&amp;"","")</f>
        <v/>
      </c>
      <c r="J1952" s="95">
        <f>IF(H1952=1,INDEX(tx_DrAmt,1946),0)</f>
        <v/>
      </c>
      <c r="K1952" s="58">
        <f>IF(H1952=1,INDEX(tx_CrAcct,1946)&amp;"","")</f>
        <v/>
      </c>
      <c r="L1952" s="95">
        <f>IF(H1952=1,INDEX(tx_CrAmt,1946),0)</f>
        <v/>
      </c>
      <c r="M1952" s="95">
        <f>IF(H1952=1,INDEX(tx_TaxDr,1946),0)</f>
        <v/>
      </c>
      <c r="N1952" s="95">
        <f>IF(H1952=1,INDEX(tx_TaxCr,1946),0)</f>
        <v/>
      </c>
      <c r="O1952" s="101">
        <f>IF(H1952=1,IF(E1952&lt;FYStart,0,IF(E1952&gt;FYEnd,13,YEAR(E1952)*12+MONTH(E1952)-FYYM+1)),"")</f>
        <v/>
      </c>
      <c r="P1952" s="101">
        <f>IF(H1952=1,IF(IFERROR(INDEX(coa_CF,MATCH(I1952,coa_Name,0)),"")="Cash",1,0),0)</f>
        <v/>
      </c>
      <c r="Q1952" s="101">
        <f>IF(H1952=1,IF(IFERROR(INDEX(coa_CF,MATCH(K1952,coa_Name,0)),"")="Cash",1,0),0)</f>
        <v/>
      </c>
      <c r="R1952" s="58">
        <f>IF((P1952-Q1952)=0,"",IFERROR(INDEX(coa_CF,MATCH(IF((P1952-Q1952)=1,K1952,I1952),coa_Name,0)),"Operating"))</f>
        <v/>
      </c>
      <c r="S1952" s="95">
        <f>IF((P1952-Q1952)=1,L1952,IF((P1952-Q1952)=-1,-J1952,0))</f>
        <v/>
      </c>
      <c r="T1952" s="95">
        <f>IF((P1952-Q1952)=1,N1952,IF((P1952-Q1952)=-1,-M1952,0))</f>
        <v/>
      </c>
      <c r="U1952" s="101">
        <f>IF(AND(H1952=1,LedAcct&lt;&gt;""),IF(AND(E1952&gt;=LedFrom,E1952&lt;=LedTo,OR(I1952=LedAcct,K1952=LedAcct,AND(LedAcct=acctTax,M1952+N1952&lt;&gt;0))),E1952*10000+B1952,""),"")</f>
        <v/>
      </c>
    </row>
    <row r="1953">
      <c r="B1953" s="101" t="n">
        <v>1947</v>
      </c>
      <c r="C1953" s="58" t="inlineStr">
        <is>
          <t>Transaction</t>
        </is>
      </c>
      <c r="D1953" s="58">
        <f>IF(H1953=1,INDEX(tx_ID,1947)&amp;"","")</f>
        <v/>
      </c>
      <c r="E1953" s="94">
        <f>IF(H1953=1,INDEX(tx_Date,1947),"")</f>
        <v/>
      </c>
      <c r="F1953" s="58">
        <f>IF(H1953=1,INDEX(tx_Desc,1947)&amp;"","")</f>
        <v/>
      </c>
      <c r="G1953" s="58">
        <f>IF(H1953=1,IF(INDEX(tx_Cust,1947)&amp;""&lt;&gt;"",INDEX(tx_Cust,1947)&amp;"",INDEX(tx_Vend,1947)&amp;""),"")</f>
        <v/>
      </c>
      <c r="H1953" s="101">
        <f>IFERROR(N(INDEX(tx_Posted,1947)),0)</f>
        <v/>
      </c>
      <c r="I1953" s="58">
        <f>IF(H1953=1,INDEX(tx_DrAcct,1947)&amp;"","")</f>
        <v/>
      </c>
      <c r="J1953" s="95">
        <f>IF(H1953=1,INDEX(tx_DrAmt,1947),0)</f>
        <v/>
      </c>
      <c r="K1953" s="58">
        <f>IF(H1953=1,INDEX(tx_CrAcct,1947)&amp;"","")</f>
        <v/>
      </c>
      <c r="L1953" s="95">
        <f>IF(H1953=1,INDEX(tx_CrAmt,1947),0)</f>
        <v/>
      </c>
      <c r="M1953" s="95">
        <f>IF(H1953=1,INDEX(tx_TaxDr,1947),0)</f>
        <v/>
      </c>
      <c r="N1953" s="95">
        <f>IF(H1953=1,INDEX(tx_TaxCr,1947),0)</f>
        <v/>
      </c>
      <c r="O1953" s="101">
        <f>IF(H1953=1,IF(E1953&lt;FYStart,0,IF(E1953&gt;FYEnd,13,YEAR(E1953)*12+MONTH(E1953)-FYYM+1)),"")</f>
        <v/>
      </c>
      <c r="P1953" s="101">
        <f>IF(H1953=1,IF(IFERROR(INDEX(coa_CF,MATCH(I1953,coa_Name,0)),"")="Cash",1,0),0)</f>
        <v/>
      </c>
      <c r="Q1953" s="101">
        <f>IF(H1953=1,IF(IFERROR(INDEX(coa_CF,MATCH(K1953,coa_Name,0)),"")="Cash",1,0),0)</f>
        <v/>
      </c>
      <c r="R1953" s="58">
        <f>IF((P1953-Q1953)=0,"",IFERROR(INDEX(coa_CF,MATCH(IF((P1953-Q1953)=1,K1953,I1953),coa_Name,0)),"Operating"))</f>
        <v/>
      </c>
      <c r="S1953" s="95">
        <f>IF((P1953-Q1953)=1,L1953,IF((P1953-Q1953)=-1,-J1953,0))</f>
        <v/>
      </c>
      <c r="T1953" s="95">
        <f>IF((P1953-Q1953)=1,N1953,IF((P1953-Q1953)=-1,-M1953,0))</f>
        <v/>
      </c>
      <c r="U1953" s="101">
        <f>IF(AND(H1953=1,LedAcct&lt;&gt;""),IF(AND(E1953&gt;=LedFrom,E1953&lt;=LedTo,OR(I1953=LedAcct,K1953=LedAcct,AND(LedAcct=acctTax,M1953+N1953&lt;&gt;0))),E1953*10000+B1953,""),"")</f>
        <v/>
      </c>
    </row>
    <row r="1954">
      <c r="B1954" s="101" t="n">
        <v>1948</v>
      </c>
      <c r="C1954" s="58" t="inlineStr">
        <is>
          <t>Transaction</t>
        </is>
      </c>
      <c r="D1954" s="58">
        <f>IF(H1954=1,INDEX(tx_ID,1948)&amp;"","")</f>
        <v/>
      </c>
      <c r="E1954" s="94">
        <f>IF(H1954=1,INDEX(tx_Date,1948),"")</f>
        <v/>
      </c>
      <c r="F1954" s="58">
        <f>IF(H1954=1,INDEX(tx_Desc,1948)&amp;"","")</f>
        <v/>
      </c>
      <c r="G1954" s="58">
        <f>IF(H1954=1,IF(INDEX(tx_Cust,1948)&amp;""&lt;&gt;"",INDEX(tx_Cust,1948)&amp;"",INDEX(tx_Vend,1948)&amp;""),"")</f>
        <v/>
      </c>
      <c r="H1954" s="101">
        <f>IFERROR(N(INDEX(tx_Posted,1948)),0)</f>
        <v/>
      </c>
      <c r="I1954" s="58">
        <f>IF(H1954=1,INDEX(tx_DrAcct,1948)&amp;"","")</f>
        <v/>
      </c>
      <c r="J1954" s="95">
        <f>IF(H1954=1,INDEX(tx_DrAmt,1948),0)</f>
        <v/>
      </c>
      <c r="K1954" s="58">
        <f>IF(H1954=1,INDEX(tx_CrAcct,1948)&amp;"","")</f>
        <v/>
      </c>
      <c r="L1954" s="95">
        <f>IF(H1954=1,INDEX(tx_CrAmt,1948),0)</f>
        <v/>
      </c>
      <c r="M1954" s="95">
        <f>IF(H1954=1,INDEX(tx_TaxDr,1948),0)</f>
        <v/>
      </c>
      <c r="N1954" s="95">
        <f>IF(H1954=1,INDEX(tx_TaxCr,1948),0)</f>
        <v/>
      </c>
      <c r="O1954" s="101">
        <f>IF(H1954=1,IF(E1954&lt;FYStart,0,IF(E1954&gt;FYEnd,13,YEAR(E1954)*12+MONTH(E1954)-FYYM+1)),"")</f>
        <v/>
      </c>
      <c r="P1954" s="101">
        <f>IF(H1954=1,IF(IFERROR(INDEX(coa_CF,MATCH(I1954,coa_Name,0)),"")="Cash",1,0),0)</f>
        <v/>
      </c>
      <c r="Q1954" s="101">
        <f>IF(H1954=1,IF(IFERROR(INDEX(coa_CF,MATCH(K1954,coa_Name,0)),"")="Cash",1,0),0)</f>
        <v/>
      </c>
      <c r="R1954" s="58">
        <f>IF((P1954-Q1954)=0,"",IFERROR(INDEX(coa_CF,MATCH(IF((P1954-Q1954)=1,K1954,I1954),coa_Name,0)),"Operating"))</f>
        <v/>
      </c>
      <c r="S1954" s="95">
        <f>IF((P1954-Q1954)=1,L1954,IF((P1954-Q1954)=-1,-J1954,0))</f>
        <v/>
      </c>
      <c r="T1954" s="95">
        <f>IF((P1954-Q1954)=1,N1954,IF((P1954-Q1954)=-1,-M1954,0))</f>
        <v/>
      </c>
      <c r="U1954" s="101">
        <f>IF(AND(H1954=1,LedAcct&lt;&gt;""),IF(AND(E1954&gt;=LedFrom,E1954&lt;=LedTo,OR(I1954=LedAcct,K1954=LedAcct,AND(LedAcct=acctTax,M1954+N1954&lt;&gt;0))),E1954*10000+B1954,""),"")</f>
        <v/>
      </c>
    </row>
    <row r="1955">
      <c r="B1955" s="101" t="n">
        <v>1949</v>
      </c>
      <c r="C1955" s="58" t="inlineStr">
        <is>
          <t>Transaction</t>
        </is>
      </c>
      <c r="D1955" s="58">
        <f>IF(H1955=1,INDEX(tx_ID,1949)&amp;"","")</f>
        <v/>
      </c>
      <c r="E1955" s="94">
        <f>IF(H1955=1,INDEX(tx_Date,1949),"")</f>
        <v/>
      </c>
      <c r="F1955" s="58">
        <f>IF(H1955=1,INDEX(tx_Desc,1949)&amp;"","")</f>
        <v/>
      </c>
      <c r="G1955" s="58">
        <f>IF(H1955=1,IF(INDEX(tx_Cust,1949)&amp;""&lt;&gt;"",INDEX(tx_Cust,1949)&amp;"",INDEX(tx_Vend,1949)&amp;""),"")</f>
        <v/>
      </c>
      <c r="H1955" s="101">
        <f>IFERROR(N(INDEX(tx_Posted,1949)),0)</f>
        <v/>
      </c>
      <c r="I1955" s="58">
        <f>IF(H1955=1,INDEX(tx_DrAcct,1949)&amp;"","")</f>
        <v/>
      </c>
      <c r="J1955" s="95">
        <f>IF(H1955=1,INDEX(tx_DrAmt,1949),0)</f>
        <v/>
      </c>
      <c r="K1955" s="58">
        <f>IF(H1955=1,INDEX(tx_CrAcct,1949)&amp;"","")</f>
        <v/>
      </c>
      <c r="L1955" s="95">
        <f>IF(H1955=1,INDEX(tx_CrAmt,1949),0)</f>
        <v/>
      </c>
      <c r="M1955" s="95">
        <f>IF(H1955=1,INDEX(tx_TaxDr,1949),0)</f>
        <v/>
      </c>
      <c r="N1955" s="95">
        <f>IF(H1955=1,INDEX(tx_TaxCr,1949),0)</f>
        <v/>
      </c>
      <c r="O1955" s="101">
        <f>IF(H1955=1,IF(E1955&lt;FYStart,0,IF(E1955&gt;FYEnd,13,YEAR(E1955)*12+MONTH(E1955)-FYYM+1)),"")</f>
        <v/>
      </c>
      <c r="P1955" s="101">
        <f>IF(H1955=1,IF(IFERROR(INDEX(coa_CF,MATCH(I1955,coa_Name,0)),"")="Cash",1,0),0)</f>
        <v/>
      </c>
      <c r="Q1955" s="101">
        <f>IF(H1955=1,IF(IFERROR(INDEX(coa_CF,MATCH(K1955,coa_Name,0)),"")="Cash",1,0),0)</f>
        <v/>
      </c>
      <c r="R1955" s="58">
        <f>IF((P1955-Q1955)=0,"",IFERROR(INDEX(coa_CF,MATCH(IF((P1955-Q1955)=1,K1955,I1955),coa_Name,0)),"Operating"))</f>
        <v/>
      </c>
      <c r="S1955" s="95">
        <f>IF((P1955-Q1955)=1,L1955,IF((P1955-Q1955)=-1,-J1955,0))</f>
        <v/>
      </c>
      <c r="T1955" s="95">
        <f>IF((P1955-Q1955)=1,N1955,IF((P1955-Q1955)=-1,-M1955,0))</f>
        <v/>
      </c>
      <c r="U1955" s="101">
        <f>IF(AND(H1955=1,LedAcct&lt;&gt;""),IF(AND(E1955&gt;=LedFrom,E1955&lt;=LedTo,OR(I1955=LedAcct,K1955=LedAcct,AND(LedAcct=acctTax,M1955+N1955&lt;&gt;0))),E1955*10000+B1955,""),"")</f>
        <v/>
      </c>
    </row>
    <row r="1956">
      <c r="B1956" s="101" t="n">
        <v>1950</v>
      </c>
      <c r="C1956" s="58" t="inlineStr">
        <is>
          <t>Transaction</t>
        </is>
      </c>
      <c r="D1956" s="58">
        <f>IF(H1956=1,INDEX(tx_ID,1950)&amp;"","")</f>
        <v/>
      </c>
      <c r="E1956" s="94">
        <f>IF(H1956=1,INDEX(tx_Date,1950),"")</f>
        <v/>
      </c>
      <c r="F1956" s="58">
        <f>IF(H1956=1,INDEX(tx_Desc,1950)&amp;"","")</f>
        <v/>
      </c>
      <c r="G1956" s="58">
        <f>IF(H1956=1,IF(INDEX(tx_Cust,1950)&amp;""&lt;&gt;"",INDEX(tx_Cust,1950)&amp;"",INDEX(tx_Vend,1950)&amp;""),"")</f>
        <v/>
      </c>
      <c r="H1956" s="101">
        <f>IFERROR(N(INDEX(tx_Posted,1950)),0)</f>
        <v/>
      </c>
      <c r="I1956" s="58">
        <f>IF(H1956=1,INDEX(tx_DrAcct,1950)&amp;"","")</f>
        <v/>
      </c>
      <c r="J1956" s="95">
        <f>IF(H1956=1,INDEX(tx_DrAmt,1950),0)</f>
        <v/>
      </c>
      <c r="K1956" s="58">
        <f>IF(H1956=1,INDEX(tx_CrAcct,1950)&amp;"","")</f>
        <v/>
      </c>
      <c r="L1956" s="95">
        <f>IF(H1956=1,INDEX(tx_CrAmt,1950),0)</f>
        <v/>
      </c>
      <c r="M1956" s="95">
        <f>IF(H1956=1,INDEX(tx_TaxDr,1950),0)</f>
        <v/>
      </c>
      <c r="N1956" s="95">
        <f>IF(H1956=1,INDEX(tx_TaxCr,1950),0)</f>
        <v/>
      </c>
      <c r="O1956" s="101">
        <f>IF(H1956=1,IF(E1956&lt;FYStart,0,IF(E1956&gt;FYEnd,13,YEAR(E1956)*12+MONTH(E1956)-FYYM+1)),"")</f>
        <v/>
      </c>
      <c r="P1956" s="101">
        <f>IF(H1956=1,IF(IFERROR(INDEX(coa_CF,MATCH(I1956,coa_Name,0)),"")="Cash",1,0),0)</f>
        <v/>
      </c>
      <c r="Q1956" s="101">
        <f>IF(H1956=1,IF(IFERROR(INDEX(coa_CF,MATCH(K1956,coa_Name,0)),"")="Cash",1,0),0)</f>
        <v/>
      </c>
      <c r="R1956" s="58">
        <f>IF((P1956-Q1956)=0,"",IFERROR(INDEX(coa_CF,MATCH(IF((P1956-Q1956)=1,K1956,I1956),coa_Name,0)),"Operating"))</f>
        <v/>
      </c>
      <c r="S1956" s="95">
        <f>IF((P1956-Q1956)=1,L1956,IF((P1956-Q1956)=-1,-J1956,0))</f>
        <v/>
      </c>
      <c r="T1956" s="95">
        <f>IF((P1956-Q1956)=1,N1956,IF((P1956-Q1956)=-1,-M1956,0))</f>
        <v/>
      </c>
      <c r="U1956" s="101">
        <f>IF(AND(H1956=1,LedAcct&lt;&gt;""),IF(AND(E1956&gt;=LedFrom,E1956&lt;=LedTo,OR(I1956=LedAcct,K1956=LedAcct,AND(LedAcct=acctTax,M1956+N1956&lt;&gt;0))),E1956*10000+B1956,""),"")</f>
        <v/>
      </c>
    </row>
    <row r="1957">
      <c r="B1957" s="101" t="n">
        <v>1951</v>
      </c>
      <c r="C1957" s="58" t="inlineStr">
        <is>
          <t>Transaction</t>
        </is>
      </c>
      <c r="D1957" s="58">
        <f>IF(H1957=1,INDEX(tx_ID,1951)&amp;"","")</f>
        <v/>
      </c>
      <c r="E1957" s="94">
        <f>IF(H1957=1,INDEX(tx_Date,1951),"")</f>
        <v/>
      </c>
      <c r="F1957" s="58">
        <f>IF(H1957=1,INDEX(tx_Desc,1951)&amp;"","")</f>
        <v/>
      </c>
      <c r="G1957" s="58">
        <f>IF(H1957=1,IF(INDEX(tx_Cust,1951)&amp;""&lt;&gt;"",INDEX(tx_Cust,1951)&amp;"",INDEX(tx_Vend,1951)&amp;""),"")</f>
        <v/>
      </c>
      <c r="H1957" s="101">
        <f>IFERROR(N(INDEX(tx_Posted,1951)),0)</f>
        <v/>
      </c>
      <c r="I1957" s="58">
        <f>IF(H1957=1,INDEX(tx_DrAcct,1951)&amp;"","")</f>
        <v/>
      </c>
      <c r="J1957" s="95">
        <f>IF(H1957=1,INDEX(tx_DrAmt,1951),0)</f>
        <v/>
      </c>
      <c r="K1957" s="58">
        <f>IF(H1957=1,INDEX(tx_CrAcct,1951)&amp;"","")</f>
        <v/>
      </c>
      <c r="L1957" s="95">
        <f>IF(H1957=1,INDEX(tx_CrAmt,1951),0)</f>
        <v/>
      </c>
      <c r="M1957" s="95">
        <f>IF(H1957=1,INDEX(tx_TaxDr,1951),0)</f>
        <v/>
      </c>
      <c r="N1957" s="95">
        <f>IF(H1957=1,INDEX(tx_TaxCr,1951),0)</f>
        <v/>
      </c>
      <c r="O1957" s="101">
        <f>IF(H1957=1,IF(E1957&lt;FYStart,0,IF(E1957&gt;FYEnd,13,YEAR(E1957)*12+MONTH(E1957)-FYYM+1)),"")</f>
        <v/>
      </c>
      <c r="P1957" s="101">
        <f>IF(H1957=1,IF(IFERROR(INDEX(coa_CF,MATCH(I1957,coa_Name,0)),"")="Cash",1,0),0)</f>
        <v/>
      </c>
      <c r="Q1957" s="101">
        <f>IF(H1957=1,IF(IFERROR(INDEX(coa_CF,MATCH(K1957,coa_Name,0)),"")="Cash",1,0),0)</f>
        <v/>
      </c>
      <c r="R1957" s="58">
        <f>IF((P1957-Q1957)=0,"",IFERROR(INDEX(coa_CF,MATCH(IF((P1957-Q1957)=1,K1957,I1957),coa_Name,0)),"Operating"))</f>
        <v/>
      </c>
      <c r="S1957" s="95">
        <f>IF((P1957-Q1957)=1,L1957,IF((P1957-Q1957)=-1,-J1957,0))</f>
        <v/>
      </c>
      <c r="T1957" s="95">
        <f>IF((P1957-Q1957)=1,N1957,IF((P1957-Q1957)=-1,-M1957,0))</f>
        <v/>
      </c>
      <c r="U1957" s="101">
        <f>IF(AND(H1957=1,LedAcct&lt;&gt;""),IF(AND(E1957&gt;=LedFrom,E1957&lt;=LedTo,OR(I1957=LedAcct,K1957=LedAcct,AND(LedAcct=acctTax,M1957+N1957&lt;&gt;0))),E1957*10000+B1957,""),"")</f>
        <v/>
      </c>
    </row>
    <row r="1958">
      <c r="B1958" s="101" t="n">
        <v>1952</v>
      </c>
      <c r="C1958" s="58" t="inlineStr">
        <is>
          <t>Transaction</t>
        </is>
      </c>
      <c r="D1958" s="58">
        <f>IF(H1958=1,INDEX(tx_ID,1952)&amp;"","")</f>
        <v/>
      </c>
      <c r="E1958" s="94">
        <f>IF(H1958=1,INDEX(tx_Date,1952),"")</f>
        <v/>
      </c>
      <c r="F1958" s="58">
        <f>IF(H1958=1,INDEX(tx_Desc,1952)&amp;"","")</f>
        <v/>
      </c>
      <c r="G1958" s="58">
        <f>IF(H1958=1,IF(INDEX(tx_Cust,1952)&amp;""&lt;&gt;"",INDEX(tx_Cust,1952)&amp;"",INDEX(tx_Vend,1952)&amp;""),"")</f>
        <v/>
      </c>
      <c r="H1958" s="101">
        <f>IFERROR(N(INDEX(tx_Posted,1952)),0)</f>
        <v/>
      </c>
      <c r="I1958" s="58">
        <f>IF(H1958=1,INDEX(tx_DrAcct,1952)&amp;"","")</f>
        <v/>
      </c>
      <c r="J1958" s="95">
        <f>IF(H1958=1,INDEX(tx_DrAmt,1952),0)</f>
        <v/>
      </c>
      <c r="K1958" s="58">
        <f>IF(H1958=1,INDEX(tx_CrAcct,1952)&amp;"","")</f>
        <v/>
      </c>
      <c r="L1958" s="95">
        <f>IF(H1958=1,INDEX(tx_CrAmt,1952),0)</f>
        <v/>
      </c>
      <c r="M1958" s="95">
        <f>IF(H1958=1,INDEX(tx_TaxDr,1952),0)</f>
        <v/>
      </c>
      <c r="N1958" s="95">
        <f>IF(H1958=1,INDEX(tx_TaxCr,1952),0)</f>
        <v/>
      </c>
      <c r="O1958" s="101">
        <f>IF(H1958=1,IF(E1958&lt;FYStart,0,IF(E1958&gt;FYEnd,13,YEAR(E1958)*12+MONTH(E1958)-FYYM+1)),"")</f>
        <v/>
      </c>
      <c r="P1958" s="101">
        <f>IF(H1958=1,IF(IFERROR(INDEX(coa_CF,MATCH(I1958,coa_Name,0)),"")="Cash",1,0),0)</f>
        <v/>
      </c>
      <c r="Q1958" s="101">
        <f>IF(H1958=1,IF(IFERROR(INDEX(coa_CF,MATCH(K1958,coa_Name,0)),"")="Cash",1,0),0)</f>
        <v/>
      </c>
      <c r="R1958" s="58">
        <f>IF((P1958-Q1958)=0,"",IFERROR(INDEX(coa_CF,MATCH(IF((P1958-Q1958)=1,K1958,I1958),coa_Name,0)),"Operating"))</f>
        <v/>
      </c>
      <c r="S1958" s="95">
        <f>IF((P1958-Q1958)=1,L1958,IF((P1958-Q1958)=-1,-J1958,0))</f>
        <v/>
      </c>
      <c r="T1958" s="95">
        <f>IF((P1958-Q1958)=1,N1958,IF((P1958-Q1958)=-1,-M1958,0))</f>
        <v/>
      </c>
      <c r="U1958" s="101">
        <f>IF(AND(H1958=1,LedAcct&lt;&gt;""),IF(AND(E1958&gt;=LedFrom,E1958&lt;=LedTo,OR(I1958=LedAcct,K1958=LedAcct,AND(LedAcct=acctTax,M1958+N1958&lt;&gt;0))),E1958*10000+B1958,""),"")</f>
        <v/>
      </c>
    </row>
    <row r="1959">
      <c r="B1959" s="101" t="n">
        <v>1953</v>
      </c>
      <c r="C1959" s="58" t="inlineStr">
        <is>
          <t>Transaction</t>
        </is>
      </c>
      <c r="D1959" s="58">
        <f>IF(H1959=1,INDEX(tx_ID,1953)&amp;"","")</f>
        <v/>
      </c>
      <c r="E1959" s="94">
        <f>IF(H1959=1,INDEX(tx_Date,1953),"")</f>
        <v/>
      </c>
      <c r="F1959" s="58">
        <f>IF(H1959=1,INDEX(tx_Desc,1953)&amp;"","")</f>
        <v/>
      </c>
      <c r="G1959" s="58">
        <f>IF(H1959=1,IF(INDEX(tx_Cust,1953)&amp;""&lt;&gt;"",INDEX(tx_Cust,1953)&amp;"",INDEX(tx_Vend,1953)&amp;""),"")</f>
        <v/>
      </c>
      <c r="H1959" s="101">
        <f>IFERROR(N(INDEX(tx_Posted,1953)),0)</f>
        <v/>
      </c>
      <c r="I1959" s="58">
        <f>IF(H1959=1,INDEX(tx_DrAcct,1953)&amp;"","")</f>
        <v/>
      </c>
      <c r="J1959" s="95">
        <f>IF(H1959=1,INDEX(tx_DrAmt,1953),0)</f>
        <v/>
      </c>
      <c r="K1959" s="58">
        <f>IF(H1959=1,INDEX(tx_CrAcct,1953)&amp;"","")</f>
        <v/>
      </c>
      <c r="L1959" s="95">
        <f>IF(H1959=1,INDEX(tx_CrAmt,1953),0)</f>
        <v/>
      </c>
      <c r="M1959" s="95">
        <f>IF(H1959=1,INDEX(tx_TaxDr,1953),0)</f>
        <v/>
      </c>
      <c r="N1959" s="95">
        <f>IF(H1959=1,INDEX(tx_TaxCr,1953),0)</f>
        <v/>
      </c>
      <c r="O1959" s="101">
        <f>IF(H1959=1,IF(E1959&lt;FYStart,0,IF(E1959&gt;FYEnd,13,YEAR(E1959)*12+MONTH(E1959)-FYYM+1)),"")</f>
        <v/>
      </c>
      <c r="P1959" s="101">
        <f>IF(H1959=1,IF(IFERROR(INDEX(coa_CF,MATCH(I1959,coa_Name,0)),"")="Cash",1,0),0)</f>
        <v/>
      </c>
      <c r="Q1959" s="101">
        <f>IF(H1959=1,IF(IFERROR(INDEX(coa_CF,MATCH(K1959,coa_Name,0)),"")="Cash",1,0),0)</f>
        <v/>
      </c>
      <c r="R1959" s="58">
        <f>IF((P1959-Q1959)=0,"",IFERROR(INDEX(coa_CF,MATCH(IF((P1959-Q1959)=1,K1959,I1959),coa_Name,0)),"Operating"))</f>
        <v/>
      </c>
      <c r="S1959" s="95">
        <f>IF((P1959-Q1959)=1,L1959,IF((P1959-Q1959)=-1,-J1959,0))</f>
        <v/>
      </c>
      <c r="T1959" s="95">
        <f>IF((P1959-Q1959)=1,N1959,IF((P1959-Q1959)=-1,-M1959,0))</f>
        <v/>
      </c>
      <c r="U1959" s="101">
        <f>IF(AND(H1959=1,LedAcct&lt;&gt;""),IF(AND(E1959&gt;=LedFrom,E1959&lt;=LedTo,OR(I1959=LedAcct,K1959=LedAcct,AND(LedAcct=acctTax,M1959+N1959&lt;&gt;0))),E1959*10000+B1959,""),"")</f>
        <v/>
      </c>
    </row>
    <row r="1960">
      <c r="B1960" s="101" t="n">
        <v>1954</v>
      </c>
      <c r="C1960" s="58" t="inlineStr">
        <is>
          <t>Transaction</t>
        </is>
      </c>
      <c r="D1960" s="58">
        <f>IF(H1960=1,INDEX(tx_ID,1954)&amp;"","")</f>
        <v/>
      </c>
      <c r="E1960" s="94">
        <f>IF(H1960=1,INDEX(tx_Date,1954),"")</f>
        <v/>
      </c>
      <c r="F1960" s="58">
        <f>IF(H1960=1,INDEX(tx_Desc,1954)&amp;"","")</f>
        <v/>
      </c>
      <c r="G1960" s="58">
        <f>IF(H1960=1,IF(INDEX(tx_Cust,1954)&amp;""&lt;&gt;"",INDEX(tx_Cust,1954)&amp;"",INDEX(tx_Vend,1954)&amp;""),"")</f>
        <v/>
      </c>
      <c r="H1960" s="101">
        <f>IFERROR(N(INDEX(tx_Posted,1954)),0)</f>
        <v/>
      </c>
      <c r="I1960" s="58">
        <f>IF(H1960=1,INDEX(tx_DrAcct,1954)&amp;"","")</f>
        <v/>
      </c>
      <c r="J1960" s="95">
        <f>IF(H1960=1,INDEX(tx_DrAmt,1954),0)</f>
        <v/>
      </c>
      <c r="K1960" s="58">
        <f>IF(H1960=1,INDEX(tx_CrAcct,1954)&amp;"","")</f>
        <v/>
      </c>
      <c r="L1960" s="95">
        <f>IF(H1960=1,INDEX(tx_CrAmt,1954),0)</f>
        <v/>
      </c>
      <c r="M1960" s="95">
        <f>IF(H1960=1,INDEX(tx_TaxDr,1954),0)</f>
        <v/>
      </c>
      <c r="N1960" s="95">
        <f>IF(H1960=1,INDEX(tx_TaxCr,1954),0)</f>
        <v/>
      </c>
      <c r="O1960" s="101">
        <f>IF(H1960=1,IF(E1960&lt;FYStart,0,IF(E1960&gt;FYEnd,13,YEAR(E1960)*12+MONTH(E1960)-FYYM+1)),"")</f>
        <v/>
      </c>
      <c r="P1960" s="101">
        <f>IF(H1960=1,IF(IFERROR(INDEX(coa_CF,MATCH(I1960,coa_Name,0)),"")="Cash",1,0),0)</f>
        <v/>
      </c>
      <c r="Q1960" s="101">
        <f>IF(H1960=1,IF(IFERROR(INDEX(coa_CF,MATCH(K1960,coa_Name,0)),"")="Cash",1,0),0)</f>
        <v/>
      </c>
      <c r="R1960" s="58">
        <f>IF((P1960-Q1960)=0,"",IFERROR(INDEX(coa_CF,MATCH(IF((P1960-Q1960)=1,K1960,I1960),coa_Name,0)),"Operating"))</f>
        <v/>
      </c>
      <c r="S1960" s="95">
        <f>IF((P1960-Q1960)=1,L1960,IF((P1960-Q1960)=-1,-J1960,0))</f>
        <v/>
      </c>
      <c r="T1960" s="95">
        <f>IF((P1960-Q1960)=1,N1960,IF((P1960-Q1960)=-1,-M1960,0))</f>
        <v/>
      </c>
      <c r="U1960" s="101">
        <f>IF(AND(H1960=1,LedAcct&lt;&gt;""),IF(AND(E1960&gt;=LedFrom,E1960&lt;=LedTo,OR(I1960=LedAcct,K1960=LedAcct,AND(LedAcct=acctTax,M1960+N1960&lt;&gt;0))),E1960*10000+B1960,""),"")</f>
        <v/>
      </c>
    </row>
    <row r="1961">
      <c r="B1961" s="101" t="n">
        <v>1955</v>
      </c>
      <c r="C1961" s="58" t="inlineStr">
        <is>
          <t>Transaction</t>
        </is>
      </c>
      <c r="D1961" s="58">
        <f>IF(H1961=1,INDEX(tx_ID,1955)&amp;"","")</f>
        <v/>
      </c>
      <c r="E1961" s="94">
        <f>IF(H1961=1,INDEX(tx_Date,1955),"")</f>
        <v/>
      </c>
      <c r="F1961" s="58">
        <f>IF(H1961=1,INDEX(tx_Desc,1955)&amp;"","")</f>
        <v/>
      </c>
      <c r="G1961" s="58">
        <f>IF(H1961=1,IF(INDEX(tx_Cust,1955)&amp;""&lt;&gt;"",INDEX(tx_Cust,1955)&amp;"",INDEX(tx_Vend,1955)&amp;""),"")</f>
        <v/>
      </c>
      <c r="H1961" s="101">
        <f>IFERROR(N(INDEX(tx_Posted,1955)),0)</f>
        <v/>
      </c>
      <c r="I1961" s="58">
        <f>IF(H1961=1,INDEX(tx_DrAcct,1955)&amp;"","")</f>
        <v/>
      </c>
      <c r="J1961" s="95">
        <f>IF(H1961=1,INDEX(tx_DrAmt,1955),0)</f>
        <v/>
      </c>
      <c r="K1961" s="58">
        <f>IF(H1961=1,INDEX(tx_CrAcct,1955)&amp;"","")</f>
        <v/>
      </c>
      <c r="L1961" s="95">
        <f>IF(H1961=1,INDEX(tx_CrAmt,1955),0)</f>
        <v/>
      </c>
      <c r="M1961" s="95">
        <f>IF(H1961=1,INDEX(tx_TaxDr,1955),0)</f>
        <v/>
      </c>
      <c r="N1961" s="95">
        <f>IF(H1961=1,INDEX(tx_TaxCr,1955),0)</f>
        <v/>
      </c>
      <c r="O1961" s="101">
        <f>IF(H1961=1,IF(E1961&lt;FYStart,0,IF(E1961&gt;FYEnd,13,YEAR(E1961)*12+MONTH(E1961)-FYYM+1)),"")</f>
        <v/>
      </c>
      <c r="P1961" s="101">
        <f>IF(H1961=1,IF(IFERROR(INDEX(coa_CF,MATCH(I1961,coa_Name,0)),"")="Cash",1,0),0)</f>
        <v/>
      </c>
      <c r="Q1961" s="101">
        <f>IF(H1961=1,IF(IFERROR(INDEX(coa_CF,MATCH(K1961,coa_Name,0)),"")="Cash",1,0),0)</f>
        <v/>
      </c>
      <c r="R1961" s="58">
        <f>IF((P1961-Q1961)=0,"",IFERROR(INDEX(coa_CF,MATCH(IF((P1961-Q1961)=1,K1961,I1961),coa_Name,0)),"Operating"))</f>
        <v/>
      </c>
      <c r="S1961" s="95">
        <f>IF((P1961-Q1961)=1,L1961,IF((P1961-Q1961)=-1,-J1961,0))</f>
        <v/>
      </c>
      <c r="T1961" s="95">
        <f>IF((P1961-Q1961)=1,N1961,IF((P1961-Q1961)=-1,-M1961,0))</f>
        <v/>
      </c>
      <c r="U1961" s="101">
        <f>IF(AND(H1961=1,LedAcct&lt;&gt;""),IF(AND(E1961&gt;=LedFrom,E1961&lt;=LedTo,OR(I1961=LedAcct,K1961=LedAcct,AND(LedAcct=acctTax,M1961+N1961&lt;&gt;0))),E1961*10000+B1961,""),"")</f>
        <v/>
      </c>
    </row>
    <row r="1962">
      <c r="B1962" s="101" t="n">
        <v>1956</v>
      </c>
      <c r="C1962" s="58" t="inlineStr">
        <is>
          <t>Transaction</t>
        </is>
      </c>
      <c r="D1962" s="58">
        <f>IF(H1962=1,INDEX(tx_ID,1956)&amp;"","")</f>
        <v/>
      </c>
      <c r="E1962" s="94">
        <f>IF(H1962=1,INDEX(tx_Date,1956),"")</f>
        <v/>
      </c>
      <c r="F1962" s="58">
        <f>IF(H1962=1,INDEX(tx_Desc,1956)&amp;"","")</f>
        <v/>
      </c>
      <c r="G1962" s="58">
        <f>IF(H1962=1,IF(INDEX(tx_Cust,1956)&amp;""&lt;&gt;"",INDEX(tx_Cust,1956)&amp;"",INDEX(tx_Vend,1956)&amp;""),"")</f>
        <v/>
      </c>
      <c r="H1962" s="101">
        <f>IFERROR(N(INDEX(tx_Posted,1956)),0)</f>
        <v/>
      </c>
      <c r="I1962" s="58">
        <f>IF(H1962=1,INDEX(tx_DrAcct,1956)&amp;"","")</f>
        <v/>
      </c>
      <c r="J1962" s="95">
        <f>IF(H1962=1,INDEX(tx_DrAmt,1956),0)</f>
        <v/>
      </c>
      <c r="K1962" s="58">
        <f>IF(H1962=1,INDEX(tx_CrAcct,1956)&amp;"","")</f>
        <v/>
      </c>
      <c r="L1962" s="95">
        <f>IF(H1962=1,INDEX(tx_CrAmt,1956),0)</f>
        <v/>
      </c>
      <c r="M1962" s="95">
        <f>IF(H1962=1,INDEX(tx_TaxDr,1956),0)</f>
        <v/>
      </c>
      <c r="N1962" s="95">
        <f>IF(H1962=1,INDEX(tx_TaxCr,1956),0)</f>
        <v/>
      </c>
      <c r="O1962" s="101">
        <f>IF(H1962=1,IF(E1962&lt;FYStart,0,IF(E1962&gt;FYEnd,13,YEAR(E1962)*12+MONTH(E1962)-FYYM+1)),"")</f>
        <v/>
      </c>
      <c r="P1962" s="101">
        <f>IF(H1962=1,IF(IFERROR(INDEX(coa_CF,MATCH(I1962,coa_Name,0)),"")="Cash",1,0),0)</f>
        <v/>
      </c>
      <c r="Q1962" s="101">
        <f>IF(H1962=1,IF(IFERROR(INDEX(coa_CF,MATCH(K1962,coa_Name,0)),"")="Cash",1,0),0)</f>
        <v/>
      </c>
      <c r="R1962" s="58">
        <f>IF((P1962-Q1962)=0,"",IFERROR(INDEX(coa_CF,MATCH(IF((P1962-Q1962)=1,K1962,I1962),coa_Name,0)),"Operating"))</f>
        <v/>
      </c>
      <c r="S1962" s="95">
        <f>IF((P1962-Q1962)=1,L1962,IF((P1962-Q1962)=-1,-J1962,0))</f>
        <v/>
      </c>
      <c r="T1962" s="95">
        <f>IF((P1962-Q1962)=1,N1962,IF((P1962-Q1962)=-1,-M1962,0))</f>
        <v/>
      </c>
      <c r="U1962" s="101">
        <f>IF(AND(H1962=1,LedAcct&lt;&gt;""),IF(AND(E1962&gt;=LedFrom,E1962&lt;=LedTo,OR(I1962=LedAcct,K1962=LedAcct,AND(LedAcct=acctTax,M1962+N1962&lt;&gt;0))),E1962*10000+B1962,""),"")</f>
        <v/>
      </c>
    </row>
    <row r="1963">
      <c r="B1963" s="101" t="n">
        <v>1957</v>
      </c>
      <c r="C1963" s="58" t="inlineStr">
        <is>
          <t>Transaction</t>
        </is>
      </c>
      <c r="D1963" s="58">
        <f>IF(H1963=1,INDEX(tx_ID,1957)&amp;"","")</f>
        <v/>
      </c>
      <c r="E1963" s="94">
        <f>IF(H1963=1,INDEX(tx_Date,1957),"")</f>
        <v/>
      </c>
      <c r="F1963" s="58">
        <f>IF(H1963=1,INDEX(tx_Desc,1957)&amp;"","")</f>
        <v/>
      </c>
      <c r="G1963" s="58">
        <f>IF(H1963=1,IF(INDEX(tx_Cust,1957)&amp;""&lt;&gt;"",INDEX(tx_Cust,1957)&amp;"",INDEX(tx_Vend,1957)&amp;""),"")</f>
        <v/>
      </c>
      <c r="H1963" s="101">
        <f>IFERROR(N(INDEX(tx_Posted,1957)),0)</f>
        <v/>
      </c>
      <c r="I1963" s="58">
        <f>IF(H1963=1,INDEX(tx_DrAcct,1957)&amp;"","")</f>
        <v/>
      </c>
      <c r="J1963" s="95">
        <f>IF(H1963=1,INDEX(tx_DrAmt,1957),0)</f>
        <v/>
      </c>
      <c r="K1963" s="58">
        <f>IF(H1963=1,INDEX(tx_CrAcct,1957)&amp;"","")</f>
        <v/>
      </c>
      <c r="L1963" s="95">
        <f>IF(H1963=1,INDEX(tx_CrAmt,1957),0)</f>
        <v/>
      </c>
      <c r="M1963" s="95">
        <f>IF(H1963=1,INDEX(tx_TaxDr,1957),0)</f>
        <v/>
      </c>
      <c r="N1963" s="95">
        <f>IF(H1963=1,INDEX(tx_TaxCr,1957),0)</f>
        <v/>
      </c>
      <c r="O1963" s="101">
        <f>IF(H1963=1,IF(E1963&lt;FYStart,0,IF(E1963&gt;FYEnd,13,YEAR(E1963)*12+MONTH(E1963)-FYYM+1)),"")</f>
        <v/>
      </c>
      <c r="P1963" s="101">
        <f>IF(H1963=1,IF(IFERROR(INDEX(coa_CF,MATCH(I1963,coa_Name,0)),"")="Cash",1,0),0)</f>
        <v/>
      </c>
      <c r="Q1963" s="101">
        <f>IF(H1963=1,IF(IFERROR(INDEX(coa_CF,MATCH(K1963,coa_Name,0)),"")="Cash",1,0),0)</f>
        <v/>
      </c>
      <c r="R1963" s="58">
        <f>IF((P1963-Q1963)=0,"",IFERROR(INDEX(coa_CF,MATCH(IF((P1963-Q1963)=1,K1963,I1963),coa_Name,0)),"Operating"))</f>
        <v/>
      </c>
      <c r="S1963" s="95">
        <f>IF((P1963-Q1963)=1,L1963,IF((P1963-Q1963)=-1,-J1963,0))</f>
        <v/>
      </c>
      <c r="T1963" s="95">
        <f>IF((P1963-Q1963)=1,N1963,IF((P1963-Q1963)=-1,-M1963,0))</f>
        <v/>
      </c>
      <c r="U1963" s="101">
        <f>IF(AND(H1963=1,LedAcct&lt;&gt;""),IF(AND(E1963&gt;=LedFrom,E1963&lt;=LedTo,OR(I1963=LedAcct,K1963=LedAcct,AND(LedAcct=acctTax,M1963+N1963&lt;&gt;0))),E1963*10000+B1963,""),"")</f>
        <v/>
      </c>
    </row>
    <row r="1964">
      <c r="B1964" s="101" t="n">
        <v>1958</v>
      </c>
      <c r="C1964" s="58" t="inlineStr">
        <is>
          <t>Transaction</t>
        </is>
      </c>
      <c r="D1964" s="58">
        <f>IF(H1964=1,INDEX(tx_ID,1958)&amp;"","")</f>
        <v/>
      </c>
      <c r="E1964" s="94">
        <f>IF(H1964=1,INDEX(tx_Date,1958),"")</f>
        <v/>
      </c>
      <c r="F1964" s="58">
        <f>IF(H1964=1,INDEX(tx_Desc,1958)&amp;"","")</f>
        <v/>
      </c>
      <c r="G1964" s="58">
        <f>IF(H1964=1,IF(INDEX(tx_Cust,1958)&amp;""&lt;&gt;"",INDEX(tx_Cust,1958)&amp;"",INDEX(tx_Vend,1958)&amp;""),"")</f>
        <v/>
      </c>
      <c r="H1964" s="101">
        <f>IFERROR(N(INDEX(tx_Posted,1958)),0)</f>
        <v/>
      </c>
      <c r="I1964" s="58">
        <f>IF(H1964=1,INDEX(tx_DrAcct,1958)&amp;"","")</f>
        <v/>
      </c>
      <c r="J1964" s="95">
        <f>IF(H1964=1,INDEX(tx_DrAmt,1958),0)</f>
        <v/>
      </c>
      <c r="K1964" s="58">
        <f>IF(H1964=1,INDEX(tx_CrAcct,1958)&amp;"","")</f>
        <v/>
      </c>
      <c r="L1964" s="95">
        <f>IF(H1964=1,INDEX(tx_CrAmt,1958),0)</f>
        <v/>
      </c>
      <c r="M1964" s="95">
        <f>IF(H1964=1,INDEX(tx_TaxDr,1958),0)</f>
        <v/>
      </c>
      <c r="N1964" s="95">
        <f>IF(H1964=1,INDEX(tx_TaxCr,1958),0)</f>
        <v/>
      </c>
      <c r="O1964" s="101">
        <f>IF(H1964=1,IF(E1964&lt;FYStart,0,IF(E1964&gt;FYEnd,13,YEAR(E1964)*12+MONTH(E1964)-FYYM+1)),"")</f>
        <v/>
      </c>
      <c r="P1964" s="101">
        <f>IF(H1964=1,IF(IFERROR(INDEX(coa_CF,MATCH(I1964,coa_Name,0)),"")="Cash",1,0),0)</f>
        <v/>
      </c>
      <c r="Q1964" s="101">
        <f>IF(H1964=1,IF(IFERROR(INDEX(coa_CF,MATCH(K1964,coa_Name,0)),"")="Cash",1,0),0)</f>
        <v/>
      </c>
      <c r="R1964" s="58">
        <f>IF((P1964-Q1964)=0,"",IFERROR(INDEX(coa_CF,MATCH(IF((P1964-Q1964)=1,K1964,I1964),coa_Name,0)),"Operating"))</f>
        <v/>
      </c>
      <c r="S1964" s="95">
        <f>IF((P1964-Q1964)=1,L1964,IF((P1964-Q1964)=-1,-J1964,0))</f>
        <v/>
      </c>
      <c r="T1964" s="95">
        <f>IF((P1964-Q1964)=1,N1964,IF((P1964-Q1964)=-1,-M1964,0))</f>
        <v/>
      </c>
      <c r="U1964" s="101">
        <f>IF(AND(H1964=1,LedAcct&lt;&gt;""),IF(AND(E1964&gt;=LedFrom,E1964&lt;=LedTo,OR(I1964=LedAcct,K1964=LedAcct,AND(LedAcct=acctTax,M1964+N1964&lt;&gt;0))),E1964*10000+B1964,""),"")</f>
        <v/>
      </c>
    </row>
    <row r="1965">
      <c r="B1965" s="101" t="n">
        <v>1959</v>
      </c>
      <c r="C1965" s="58" t="inlineStr">
        <is>
          <t>Transaction</t>
        </is>
      </c>
      <c r="D1965" s="58">
        <f>IF(H1965=1,INDEX(tx_ID,1959)&amp;"","")</f>
        <v/>
      </c>
      <c r="E1965" s="94">
        <f>IF(H1965=1,INDEX(tx_Date,1959),"")</f>
        <v/>
      </c>
      <c r="F1965" s="58">
        <f>IF(H1965=1,INDEX(tx_Desc,1959)&amp;"","")</f>
        <v/>
      </c>
      <c r="G1965" s="58">
        <f>IF(H1965=1,IF(INDEX(tx_Cust,1959)&amp;""&lt;&gt;"",INDEX(tx_Cust,1959)&amp;"",INDEX(tx_Vend,1959)&amp;""),"")</f>
        <v/>
      </c>
      <c r="H1965" s="101">
        <f>IFERROR(N(INDEX(tx_Posted,1959)),0)</f>
        <v/>
      </c>
      <c r="I1965" s="58">
        <f>IF(H1965=1,INDEX(tx_DrAcct,1959)&amp;"","")</f>
        <v/>
      </c>
      <c r="J1965" s="95">
        <f>IF(H1965=1,INDEX(tx_DrAmt,1959),0)</f>
        <v/>
      </c>
      <c r="K1965" s="58">
        <f>IF(H1965=1,INDEX(tx_CrAcct,1959)&amp;"","")</f>
        <v/>
      </c>
      <c r="L1965" s="95">
        <f>IF(H1965=1,INDEX(tx_CrAmt,1959),0)</f>
        <v/>
      </c>
      <c r="M1965" s="95">
        <f>IF(H1965=1,INDEX(tx_TaxDr,1959),0)</f>
        <v/>
      </c>
      <c r="N1965" s="95">
        <f>IF(H1965=1,INDEX(tx_TaxCr,1959),0)</f>
        <v/>
      </c>
      <c r="O1965" s="101">
        <f>IF(H1965=1,IF(E1965&lt;FYStart,0,IF(E1965&gt;FYEnd,13,YEAR(E1965)*12+MONTH(E1965)-FYYM+1)),"")</f>
        <v/>
      </c>
      <c r="P1965" s="101">
        <f>IF(H1965=1,IF(IFERROR(INDEX(coa_CF,MATCH(I1965,coa_Name,0)),"")="Cash",1,0),0)</f>
        <v/>
      </c>
      <c r="Q1965" s="101">
        <f>IF(H1965=1,IF(IFERROR(INDEX(coa_CF,MATCH(K1965,coa_Name,0)),"")="Cash",1,0),0)</f>
        <v/>
      </c>
      <c r="R1965" s="58">
        <f>IF((P1965-Q1965)=0,"",IFERROR(INDEX(coa_CF,MATCH(IF((P1965-Q1965)=1,K1965,I1965),coa_Name,0)),"Operating"))</f>
        <v/>
      </c>
      <c r="S1965" s="95">
        <f>IF((P1965-Q1965)=1,L1965,IF((P1965-Q1965)=-1,-J1965,0))</f>
        <v/>
      </c>
      <c r="T1965" s="95">
        <f>IF((P1965-Q1965)=1,N1965,IF((P1965-Q1965)=-1,-M1965,0))</f>
        <v/>
      </c>
      <c r="U1965" s="101">
        <f>IF(AND(H1965=1,LedAcct&lt;&gt;""),IF(AND(E1965&gt;=LedFrom,E1965&lt;=LedTo,OR(I1965=LedAcct,K1965=LedAcct,AND(LedAcct=acctTax,M1965+N1965&lt;&gt;0))),E1965*10000+B1965,""),"")</f>
        <v/>
      </c>
    </row>
    <row r="1966">
      <c r="B1966" s="101" t="n">
        <v>1960</v>
      </c>
      <c r="C1966" s="58" t="inlineStr">
        <is>
          <t>Transaction</t>
        </is>
      </c>
      <c r="D1966" s="58">
        <f>IF(H1966=1,INDEX(tx_ID,1960)&amp;"","")</f>
        <v/>
      </c>
      <c r="E1966" s="94">
        <f>IF(H1966=1,INDEX(tx_Date,1960),"")</f>
        <v/>
      </c>
      <c r="F1966" s="58">
        <f>IF(H1966=1,INDEX(tx_Desc,1960)&amp;"","")</f>
        <v/>
      </c>
      <c r="G1966" s="58">
        <f>IF(H1966=1,IF(INDEX(tx_Cust,1960)&amp;""&lt;&gt;"",INDEX(tx_Cust,1960)&amp;"",INDEX(tx_Vend,1960)&amp;""),"")</f>
        <v/>
      </c>
      <c r="H1966" s="101">
        <f>IFERROR(N(INDEX(tx_Posted,1960)),0)</f>
        <v/>
      </c>
      <c r="I1966" s="58">
        <f>IF(H1966=1,INDEX(tx_DrAcct,1960)&amp;"","")</f>
        <v/>
      </c>
      <c r="J1966" s="95">
        <f>IF(H1966=1,INDEX(tx_DrAmt,1960),0)</f>
        <v/>
      </c>
      <c r="K1966" s="58">
        <f>IF(H1966=1,INDEX(tx_CrAcct,1960)&amp;"","")</f>
        <v/>
      </c>
      <c r="L1966" s="95">
        <f>IF(H1966=1,INDEX(tx_CrAmt,1960),0)</f>
        <v/>
      </c>
      <c r="M1966" s="95">
        <f>IF(H1966=1,INDEX(tx_TaxDr,1960),0)</f>
        <v/>
      </c>
      <c r="N1966" s="95">
        <f>IF(H1966=1,INDEX(tx_TaxCr,1960),0)</f>
        <v/>
      </c>
      <c r="O1966" s="101">
        <f>IF(H1966=1,IF(E1966&lt;FYStart,0,IF(E1966&gt;FYEnd,13,YEAR(E1966)*12+MONTH(E1966)-FYYM+1)),"")</f>
        <v/>
      </c>
      <c r="P1966" s="101">
        <f>IF(H1966=1,IF(IFERROR(INDEX(coa_CF,MATCH(I1966,coa_Name,0)),"")="Cash",1,0),0)</f>
        <v/>
      </c>
      <c r="Q1966" s="101">
        <f>IF(H1966=1,IF(IFERROR(INDEX(coa_CF,MATCH(K1966,coa_Name,0)),"")="Cash",1,0),0)</f>
        <v/>
      </c>
      <c r="R1966" s="58">
        <f>IF((P1966-Q1966)=0,"",IFERROR(INDEX(coa_CF,MATCH(IF((P1966-Q1966)=1,K1966,I1966),coa_Name,0)),"Operating"))</f>
        <v/>
      </c>
      <c r="S1966" s="95">
        <f>IF((P1966-Q1966)=1,L1966,IF((P1966-Q1966)=-1,-J1966,0))</f>
        <v/>
      </c>
      <c r="T1966" s="95">
        <f>IF((P1966-Q1966)=1,N1966,IF((P1966-Q1966)=-1,-M1966,0))</f>
        <v/>
      </c>
      <c r="U1966" s="101">
        <f>IF(AND(H1966=1,LedAcct&lt;&gt;""),IF(AND(E1966&gt;=LedFrom,E1966&lt;=LedTo,OR(I1966=LedAcct,K1966=LedAcct,AND(LedAcct=acctTax,M1966+N1966&lt;&gt;0))),E1966*10000+B1966,""),"")</f>
        <v/>
      </c>
    </row>
    <row r="1967">
      <c r="B1967" s="101" t="n">
        <v>1961</v>
      </c>
      <c r="C1967" s="58" t="inlineStr">
        <is>
          <t>Transaction</t>
        </is>
      </c>
      <c r="D1967" s="58">
        <f>IF(H1967=1,INDEX(tx_ID,1961)&amp;"","")</f>
        <v/>
      </c>
      <c r="E1967" s="94">
        <f>IF(H1967=1,INDEX(tx_Date,1961),"")</f>
        <v/>
      </c>
      <c r="F1967" s="58">
        <f>IF(H1967=1,INDEX(tx_Desc,1961)&amp;"","")</f>
        <v/>
      </c>
      <c r="G1967" s="58">
        <f>IF(H1967=1,IF(INDEX(tx_Cust,1961)&amp;""&lt;&gt;"",INDEX(tx_Cust,1961)&amp;"",INDEX(tx_Vend,1961)&amp;""),"")</f>
        <v/>
      </c>
      <c r="H1967" s="101">
        <f>IFERROR(N(INDEX(tx_Posted,1961)),0)</f>
        <v/>
      </c>
      <c r="I1967" s="58">
        <f>IF(H1967=1,INDEX(tx_DrAcct,1961)&amp;"","")</f>
        <v/>
      </c>
      <c r="J1967" s="95">
        <f>IF(H1967=1,INDEX(tx_DrAmt,1961),0)</f>
        <v/>
      </c>
      <c r="K1967" s="58">
        <f>IF(H1967=1,INDEX(tx_CrAcct,1961)&amp;"","")</f>
        <v/>
      </c>
      <c r="L1967" s="95">
        <f>IF(H1967=1,INDEX(tx_CrAmt,1961),0)</f>
        <v/>
      </c>
      <c r="M1967" s="95">
        <f>IF(H1967=1,INDEX(tx_TaxDr,1961),0)</f>
        <v/>
      </c>
      <c r="N1967" s="95">
        <f>IF(H1967=1,INDEX(tx_TaxCr,1961),0)</f>
        <v/>
      </c>
      <c r="O1967" s="101">
        <f>IF(H1967=1,IF(E1967&lt;FYStart,0,IF(E1967&gt;FYEnd,13,YEAR(E1967)*12+MONTH(E1967)-FYYM+1)),"")</f>
        <v/>
      </c>
      <c r="P1967" s="101">
        <f>IF(H1967=1,IF(IFERROR(INDEX(coa_CF,MATCH(I1967,coa_Name,0)),"")="Cash",1,0),0)</f>
        <v/>
      </c>
      <c r="Q1967" s="101">
        <f>IF(H1967=1,IF(IFERROR(INDEX(coa_CF,MATCH(K1967,coa_Name,0)),"")="Cash",1,0),0)</f>
        <v/>
      </c>
      <c r="R1967" s="58">
        <f>IF((P1967-Q1967)=0,"",IFERROR(INDEX(coa_CF,MATCH(IF((P1967-Q1967)=1,K1967,I1967),coa_Name,0)),"Operating"))</f>
        <v/>
      </c>
      <c r="S1967" s="95">
        <f>IF((P1967-Q1967)=1,L1967,IF((P1967-Q1967)=-1,-J1967,0))</f>
        <v/>
      </c>
      <c r="T1967" s="95">
        <f>IF((P1967-Q1967)=1,N1967,IF((P1967-Q1967)=-1,-M1967,0))</f>
        <v/>
      </c>
      <c r="U1967" s="101">
        <f>IF(AND(H1967=1,LedAcct&lt;&gt;""),IF(AND(E1967&gt;=LedFrom,E1967&lt;=LedTo,OR(I1967=LedAcct,K1967=LedAcct,AND(LedAcct=acctTax,M1967+N1967&lt;&gt;0))),E1967*10000+B1967,""),"")</f>
        <v/>
      </c>
    </row>
    <row r="1968">
      <c r="B1968" s="101" t="n">
        <v>1962</v>
      </c>
      <c r="C1968" s="58" t="inlineStr">
        <is>
          <t>Transaction</t>
        </is>
      </c>
      <c r="D1968" s="58">
        <f>IF(H1968=1,INDEX(tx_ID,1962)&amp;"","")</f>
        <v/>
      </c>
      <c r="E1968" s="94">
        <f>IF(H1968=1,INDEX(tx_Date,1962),"")</f>
        <v/>
      </c>
      <c r="F1968" s="58">
        <f>IF(H1968=1,INDEX(tx_Desc,1962)&amp;"","")</f>
        <v/>
      </c>
      <c r="G1968" s="58">
        <f>IF(H1968=1,IF(INDEX(tx_Cust,1962)&amp;""&lt;&gt;"",INDEX(tx_Cust,1962)&amp;"",INDEX(tx_Vend,1962)&amp;""),"")</f>
        <v/>
      </c>
      <c r="H1968" s="101">
        <f>IFERROR(N(INDEX(tx_Posted,1962)),0)</f>
        <v/>
      </c>
      <c r="I1968" s="58">
        <f>IF(H1968=1,INDEX(tx_DrAcct,1962)&amp;"","")</f>
        <v/>
      </c>
      <c r="J1968" s="95">
        <f>IF(H1968=1,INDEX(tx_DrAmt,1962),0)</f>
        <v/>
      </c>
      <c r="K1968" s="58">
        <f>IF(H1968=1,INDEX(tx_CrAcct,1962)&amp;"","")</f>
        <v/>
      </c>
      <c r="L1968" s="95">
        <f>IF(H1968=1,INDEX(tx_CrAmt,1962),0)</f>
        <v/>
      </c>
      <c r="M1968" s="95">
        <f>IF(H1968=1,INDEX(tx_TaxDr,1962),0)</f>
        <v/>
      </c>
      <c r="N1968" s="95">
        <f>IF(H1968=1,INDEX(tx_TaxCr,1962),0)</f>
        <v/>
      </c>
      <c r="O1968" s="101">
        <f>IF(H1968=1,IF(E1968&lt;FYStart,0,IF(E1968&gt;FYEnd,13,YEAR(E1968)*12+MONTH(E1968)-FYYM+1)),"")</f>
        <v/>
      </c>
      <c r="P1968" s="101">
        <f>IF(H1968=1,IF(IFERROR(INDEX(coa_CF,MATCH(I1968,coa_Name,0)),"")="Cash",1,0),0)</f>
        <v/>
      </c>
      <c r="Q1968" s="101">
        <f>IF(H1968=1,IF(IFERROR(INDEX(coa_CF,MATCH(K1968,coa_Name,0)),"")="Cash",1,0),0)</f>
        <v/>
      </c>
      <c r="R1968" s="58">
        <f>IF((P1968-Q1968)=0,"",IFERROR(INDEX(coa_CF,MATCH(IF((P1968-Q1968)=1,K1968,I1968),coa_Name,0)),"Operating"))</f>
        <v/>
      </c>
      <c r="S1968" s="95">
        <f>IF((P1968-Q1968)=1,L1968,IF((P1968-Q1968)=-1,-J1968,0))</f>
        <v/>
      </c>
      <c r="T1968" s="95">
        <f>IF((P1968-Q1968)=1,N1968,IF((P1968-Q1968)=-1,-M1968,0))</f>
        <v/>
      </c>
      <c r="U1968" s="101">
        <f>IF(AND(H1968=1,LedAcct&lt;&gt;""),IF(AND(E1968&gt;=LedFrom,E1968&lt;=LedTo,OR(I1968=LedAcct,K1968=LedAcct,AND(LedAcct=acctTax,M1968+N1968&lt;&gt;0))),E1968*10000+B1968,""),"")</f>
        <v/>
      </c>
    </row>
    <row r="1969">
      <c r="B1969" s="101" t="n">
        <v>1963</v>
      </c>
      <c r="C1969" s="58" t="inlineStr">
        <is>
          <t>Transaction</t>
        </is>
      </c>
      <c r="D1969" s="58">
        <f>IF(H1969=1,INDEX(tx_ID,1963)&amp;"","")</f>
        <v/>
      </c>
      <c r="E1969" s="94">
        <f>IF(H1969=1,INDEX(tx_Date,1963),"")</f>
        <v/>
      </c>
      <c r="F1969" s="58">
        <f>IF(H1969=1,INDEX(tx_Desc,1963)&amp;"","")</f>
        <v/>
      </c>
      <c r="G1969" s="58">
        <f>IF(H1969=1,IF(INDEX(tx_Cust,1963)&amp;""&lt;&gt;"",INDEX(tx_Cust,1963)&amp;"",INDEX(tx_Vend,1963)&amp;""),"")</f>
        <v/>
      </c>
      <c r="H1969" s="101">
        <f>IFERROR(N(INDEX(tx_Posted,1963)),0)</f>
        <v/>
      </c>
      <c r="I1969" s="58">
        <f>IF(H1969=1,INDEX(tx_DrAcct,1963)&amp;"","")</f>
        <v/>
      </c>
      <c r="J1969" s="95">
        <f>IF(H1969=1,INDEX(tx_DrAmt,1963),0)</f>
        <v/>
      </c>
      <c r="K1969" s="58">
        <f>IF(H1969=1,INDEX(tx_CrAcct,1963)&amp;"","")</f>
        <v/>
      </c>
      <c r="L1969" s="95">
        <f>IF(H1969=1,INDEX(tx_CrAmt,1963),0)</f>
        <v/>
      </c>
      <c r="M1969" s="95">
        <f>IF(H1969=1,INDEX(tx_TaxDr,1963),0)</f>
        <v/>
      </c>
      <c r="N1969" s="95">
        <f>IF(H1969=1,INDEX(tx_TaxCr,1963),0)</f>
        <v/>
      </c>
      <c r="O1969" s="101">
        <f>IF(H1969=1,IF(E1969&lt;FYStart,0,IF(E1969&gt;FYEnd,13,YEAR(E1969)*12+MONTH(E1969)-FYYM+1)),"")</f>
        <v/>
      </c>
      <c r="P1969" s="101">
        <f>IF(H1969=1,IF(IFERROR(INDEX(coa_CF,MATCH(I1969,coa_Name,0)),"")="Cash",1,0),0)</f>
        <v/>
      </c>
      <c r="Q1969" s="101">
        <f>IF(H1969=1,IF(IFERROR(INDEX(coa_CF,MATCH(K1969,coa_Name,0)),"")="Cash",1,0),0)</f>
        <v/>
      </c>
      <c r="R1969" s="58">
        <f>IF((P1969-Q1969)=0,"",IFERROR(INDEX(coa_CF,MATCH(IF((P1969-Q1969)=1,K1969,I1969),coa_Name,0)),"Operating"))</f>
        <v/>
      </c>
      <c r="S1969" s="95">
        <f>IF((P1969-Q1969)=1,L1969,IF((P1969-Q1969)=-1,-J1969,0))</f>
        <v/>
      </c>
      <c r="T1969" s="95">
        <f>IF((P1969-Q1969)=1,N1969,IF((P1969-Q1969)=-1,-M1969,0))</f>
        <v/>
      </c>
      <c r="U1969" s="101">
        <f>IF(AND(H1969=1,LedAcct&lt;&gt;""),IF(AND(E1969&gt;=LedFrom,E1969&lt;=LedTo,OR(I1969=LedAcct,K1969=LedAcct,AND(LedAcct=acctTax,M1969+N1969&lt;&gt;0))),E1969*10000+B1969,""),"")</f>
        <v/>
      </c>
    </row>
    <row r="1970">
      <c r="B1970" s="101" t="n">
        <v>1964</v>
      </c>
      <c r="C1970" s="58" t="inlineStr">
        <is>
          <t>Transaction</t>
        </is>
      </c>
      <c r="D1970" s="58">
        <f>IF(H1970=1,INDEX(tx_ID,1964)&amp;"","")</f>
        <v/>
      </c>
      <c r="E1970" s="94">
        <f>IF(H1970=1,INDEX(tx_Date,1964),"")</f>
        <v/>
      </c>
      <c r="F1970" s="58">
        <f>IF(H1970=1,INDEX(tx_Desc,1964)&amp;"","")</f>
        <v/>
      </c>
      <c r="G1970" s="58">
        <f>IF(H1970=1,IF(INDEX(tx_Cust,1964)&amp;""&lt;&gt;"",INDEX(tx_Cust,1964)&amp;"",INDEX(tx_Vend,1964)&amp;""),"")</f>
        <v/>
      </c>
      <c r="H1970" s="101">
        <f>IFERROR(N(INDEX(tx_Posted,1964)),0)</f>
        <v/>
      </c>
      <c r="I1970" s="58">
        <f>IF(H1970=1,INDEX(tx_DrAcct,1964)&amp;"","")</f>
        <v/>
      </c>
      <c r="J1970" s="95">
        <f>IF(H1970=1,INDEX(tx_DrAmt,1964),0)</f>
        <v/>
      </c>
      <c r="K1970" s="58">
        <f>IF(H1970=1,INDEX(tx_CrAcct,1964)&amp;"","")</f>
        <v/>
      </c>
      <c r="L1970" s="95">
        <f>IF(H1970=1,INDEX(tx_CrAmt,1964),0)</f>
        <v/>
      </c>
      <c r="M1970" s="95">
        <f>IF(H1970=1,INDEX(tx_TaxDr,1964),0)</f>
        <v/>
      </c>
      <c r="N1970" s="95">
        <f>IF(H1970=1,INDEX(tx_TaxCr,1964),0)</f>
        <v/>
      </c>
      <c r="O1970" s="101">
        <f>IF(H1970=1,IF(E1970&lt;FYStart,0,IF(E1970&gt;FYEnd,13,YEAR(E1970)*12+MONTH(E1970)-FYYM+1)),"")</f>
        <v/>
      </c>
      <c r="P1970" s="101">
        <f>IF(H1970=1,IF(IFERROR(INDEX(coa_CF,MATCH(I1970,coa_Name,0)),"")="Cash",1,0),0)</f>
        <v/>
      </c>
      <c r="Q1970" s="101">
        <f>IF(H1970=1,IF(IFERROR(INDEX(coa_CF,MATCH(K1970,coa_Name,0)),"")="Cash",1,0),0)</f>
        <v/>
      </c>
      <c r="R1970" s="58">
        <f>IF((P1970-Q1970)=0,"",IFERROR(INDEX(coa_CF,MATCH(IF((P1970-Q1970)=1,K1970,I1970),coa_Name,0)),"Operating"))</f>
        <v/>
      </c>
      <c r="S1970" s="95">
        <f>IF((P1970-Q1970)=1,L1970,IF((P1970-Q1970)=-1,-J1970,0))</f>
        <v/>
      </c>
      <c r="T1970" s="95">
        <f>IF((P1970-Q1970)=1,N1970,IF((P1970-Q1970)=-1,-M1970,0))</f>
        <v/>
      </c>
      <c r="U1970" s="101">
        <f>IF(AND(H1970=1,LedAcct&lt;&gt;""),IF(AND(E1970&gt;=LedFrom,E1970&lt;=LedTo,OR(I1970=LedAcct,K1970=LedAcct,AND(LedAcct=acctTax,M1970+N1970&lt;&gt;0))),E1970*10000+B1970,""),"")</f>
        <v/>
      </c>
    </row>
    <row r="1971">
      <c r="B1971" s="101" t="n">
        <v>1965</v>
      </c>
      <c r="C1971" s="58" t="inlineStr">
        <is>
          <t>Transaction</t>
        </is>
      </c>
      <c r="D1971" s="58">
        <f>IF(H1971=1,INDEX(tx_ID,1965)&amp;"","")</f>
        <v/>
      </c>
      <c r="E1971" s="94">
        <f>IF(H1971=1,INDEX(tx_Date,1965),"")</f>
        <v/>
      </c>
      <c r="F1971" s="58">
        <f>IF(H1971=1,INDEX(tx_Desc,1965)&amp;"","")</f>
        <v/>
      </c>
      <c r="G1971" s="58">
        <f>IF(H1971=1,IF(INDEX(tx_Cust,1965)&amp;""&lt;&gt;"",INDEX(tx_Cust,1965)&amp;"",INDEX(tx_Vend,1965)&amp;""),"")</f>
        <v/>
      </c>
      <c r="H1971" s="101">
        <f>IFERROR(N(INDEX(tx_Posted,1965)),0)</f>
        <v/>
      </c>
      <c r="I1971" s="58">
        <f>IF(H1971=1,INDEX(tx_DrAcct,1965)&amp;"","")</f>
        <v/>
      </c>
      <c r="J1971" s="95">
        <f>IF(H1971=1,INDEX(tx_DrAmt,1965),0)</f>
        <v/>
      </c>
      <c r="K1971" s="58">
        <f>IF(H1971=1,INDEX(tx_CrAcct,1965)&amp;"","")</f>
        <v/>
      </c>
      <c r="L1971" s="95">
        <f>IF(H1971=1,INDEX(tx_CrAmt,1965),0)</f>
        <v/>
      </c>
      <c r="M1971" s="95">
        <f>IF(H1971=1,INDEX(tx_TaxDr,1965),0)</f>
        <v/>
      </c>
      <c r="N1971" s="95">
        <f>IF(H1971=1,INDEX(tx_TaxCr,1965),0)</f>
        <v/>
      </c>
      <c r="O1971" s="101">
        <f>IF(H1971=1,IF(E1971&lt;FYStart,0,IF(E1971&gt;FYEnd,13,YEAR(E1971)*12+MONTH(E1971)-FYYM+1)),"")</f>
        <v/>
      </c>
      <c r="P1971" s="101">
        <f>IF(H1971=1,IF(IFERROR(INDEX(coa_CF,MATCH(I1971,coa_Name,0)),"")="Cash",1,0),0)</f>
        <v/>
      </c>
      <c r="Q1971" s="101">
        <f>IF(H1971=1,IF(IFERROR(INDEX(coa_CF,MATCH(K1971,coa_Name,0)),"")="Cash",1,0),0)</f>
        <v/>
      </c>
      <c r="R1971" s="58">
        <f>IF((P1971-Q1971)=0,"",IFERROR(INDEX(coa_CF,MATCH(IF((P1971-Q1971)=1,K1971,I1971),coa_Name,0)),"Operating"))</f>
        <v/>
      </c>
      <c r="S1971" s="95">
        <f>IF((P1971-Q1971)=1,L1971,IF((P1971-Q1971)=-1,-J1971,0))</f>
        <v/>
      </c>
      <c r="T1971" s="95">
        <f>IF((P1971-Q1971)=1,N1971,IF((P1971-Q1971)=-1,-M1971,0))</f>
        <v/>
      </c>
      <c r="U1971" s="101">
        <f>IF(AND(H1971=1,LedAcct&lt;&gt;""),IF(AND(E1971&gt;=LedFrom,E1971&lt;=LedTo,OR(I1971=LedAcct,K1971=LedAcct,AND(LedAcct=acctTax,M1971+N1971&lt;&gt;0))),E1971*10000+B1971,""),"")</f>
        <v/>
      </c>
    </row>
    <row r="1972">
      <c r="B1972" s="101" t="n">
        <v>1966</v>
      </c>
      <c r="C1972" s="58" t="inlineStr">
        <is>
          <t>Transaction</t>
        </is>
      </c>
      <c r="D1972" s="58">
        <f>IF(H1972=1,INDEX(tx_ID,1966)&amp;"","")</f>
        <v/>
      </c>
      <c r="E1972" s="94">
        <f>IF(H1972=1,INDEX(tx_Date,1966),"")</f>
        <v/>
      </c>
      <c r="F1972" s="58">
        <f>IF(H1972=1,INDEX(tx_Desc,1966)&amp;"","")</f>
        <v/>
      </c>
      <c r="G1972" s="58">
        <f>IF(H1972=1,IF(INDEX(tx_Cust,1966)&amp;""&lt;&gt;"",INDEX(tx_Cust,1966)&amp;"",INDEX(tx_Vend,1966)&amp;""),"")</f>
        <v/>
      </c>
      <c r="H1972" s="101">
        <f>IFERROR(N(INDEX(tx_Posted,1966)),0)</f>
        <v/>
      </c>
      <c r="I1972" s="58">
        <f>IF(H1972=1,INDEX(tx_DrAcct,1966)&amp;"","")</f>
        <v/>
      </c>
      <c r="J1972" s="95">
        <f>IF(H1972=1,INDEX(tx_DrAmt,1966),0)</f>
        <v/>
      </c>
      <c r="K1972" s="58">
        <f>IF(H1972=1,INDEX(tx_CrAcct,1966)&amp;"","")</f>
        <v/>
      </c>
      <c r="L1972" s="95">
        <f>IF(H1972=1,INDEX(tx_CrAmt,1966),0)</f>
        <v/>
      </c>
      <c r="M1972" s="95">
        <f>IF(H1972=1,INDEX(tx_TaxDr,1966),0)</f>
        <v/>
      </c>
      <c r="N1972" s="95">
        <f>IF(H1972=1,INDEX(tx_TaxCr,1966),0)</f>
        <v/>
      </c>
      <c r="O1972" s="101">
        <f>IF(H1972=1,IF(E1972&lt;FYStart,0,IF(E1972&gt;FYEnd,13,YEAR(E1972)*12+MONTH(E1972)-FYYM+1)),"")</f>
        <v/>
      </c>
      <c r="P1972" s="101">
        <f>IF(H1972=1,IF(IFERROR(INDEX(coa_CF,MATCH(I1972,coa_Name,0)),"")="Cash",1,0),0)</f>
        <v/>
      </c>
      <c r="Q1972" s="101">
        <f>IF(H1972=1,IF(IFERROR(INDEX(coa_CF,MATCH(K1972,coa_Name,0)),"")="Cash",1,0),0)</f>
        <v/>
      </c>
      <c r="R1972" s="58">
        <f>IF((P1972-Q1972)=0,"",IFERROR(INDEX(coa_CF,MATCH(IF((P1972-Q1972)=1,K1972,I1972),coa_Name,0)),"Operating"))</f>
        <v/>
      </c>
      <c r="S1972" s="95">
        <f>IF((P1972-Q1972)=1,L1972,IF((P1972-Q1972)=-1,-J1972,0))</f>
        <v/>
      </c>
      <c r="T1972" s="95">
        <f>IF((P1972-Q1972)=1,N1972,IF((P1972-Q1972)=-1,-M1972,0))</f>
        <v/>
      </c>
      <c r="U1972" s="101">
        <f>IF(AND(H1972=1,LedAcct&lt;&gt;""),IF(AND(E1972&gt;=LedFrom,E1972&lt;=LedTo,OR(I1972=LedAcct,K1972=LedAcct,AND(LedAcct=acctTax,M1972+N1972&lt;&gt;0))),E1972*10000+B1972,""),"")</f>
        <v/>
      </c>
    </row>
    <row r="1973">
      <c r="B1973" s="101" t="n">
        <v>1967</v>
      </c>
      <c r="C1973" s="58" t="inlineStr">
        <is>
          <t>Transaction</t>
        </is>
      </c>
      <c r="D1973" s="58">
        <f>IF(H1973=1,INDEX(tx_ID,1967)&amp;"","")</f>
        <v/>
      </c>
      <c r="E1973" s="94">
        <f>IF(H1973=1,INDEX(tx_Date,1967),"")</f>
        <v/>
      </c>
      <c r="F1973" s="58">
        <f>IF(H1973=1,INDEX(tx_Desc,1967)&amp;"","")</f>
        <v/>
      </c>
      <c r="G1973" s="58">
        <f>IF(H1973=1,IF(INDEX(tx_Cust,1967)&amp;""&lt;&gt;"",INDEX(tx_Cust,1967)&amp;"",INDEX(tx_Vend,1967)&amp;""),"")</f>
        <v/>
      </c>
      <c r="H1973" s="101">
        <f>IFERROR(N(INDEX(tx_Posted,1967)),0)</f>
        <v/>
      </c>
      <c r="I1973" s="58">
        <f>IF(H1973=1,INDEX(tx_DrAcct,1967)&amp;"","")</f>
        <v/>
      </c>
      <c r="J1973" s="95">
        <f>IF(H1973=1,INDEX(tx_DrAmt,1967),0)</f>
        <v/>
      </c>
      <c r="K1973" s="58">
        <f>IF(H1973=1,INDEX(tx_CrAcct,1967)&amp;"","")</f>
        <v/>
      </c>
      <c r="L1973" s="95">
        <f>IF(H1973=1,INDEX(tx_CrAmt,1967),0)</f>
        <v/>
      </c>
      <c r="M1973" s="95">
        <f>IF(H1973=1,INDEX(tx_TaxDr,1967),0)</f>
        <v/>
      </c>
      <c r="N1973" s="95">
        <f>IF(H1973=1,INDEX(tx_TaxCr,1967),0)</f>
        <v/>
      </c>
      <c r="O1973" s="101">
        <f>IF(H1973=1,IF(E1973&lt;FYStart,0,IF(E1973&gt;FYEnd,13,YEAR(E1973)*12+MONTH(E1973)-FYYM+1)),"")</f>
        <v/>
      </c>
      <c r="P1973" s="101">
        <f>IF(H1973=1,IF(IFERROR(INDEX(coa_CF,MATCH(I1973,coa_Name,0)),"")="Cash",1,0),0)</f>
        <v/>
      </c>
      <c r="Q1973" s="101">
        <f>IF(H1973=1,IF(IFERROR(INDEX(coa_CF,MATCH(K1973,coa_Name,0)),"")="Cash",1,0),0)</f>
        <v/>
      </c>
      <c r="R1973" s="58">
        <f>IF((P1973-Q1973)=0,"",IFERROR(INDEX(coa_CF,MATCH(IF((P1973-Q1973)=1,K1973,I1973),coa_Name,0)),"Operating"))</f>
        <v/>
      </c>
      <c r="S1973" s="95">
        <f>IF((P1973-Q1973)=1,L1973,IF((P1973-Q1973)=-1,-J1973,0))</f>
        <v/>
      </c>
      <c r="T1973" s="95">
        <f>IF((P1973-Q1973)=1,N1973,IF((P1973-Q1973)=-1,-M1973,0))</f>
        <v/>
      </c>
      <c r="U1973" s="101">
        <f>IF(AND(H1973=1,LedAcct&lt;&gt;""),IF(AND(E1973&gt;=LedFrom,E1973&lt;=LedTo,OR(I1973=LedAcct,K1973=LedAcct,AND(LedAcct=acctTax,M1973+N1973&lt;&gt;0))),E1973*10000+B1973,""),"")</f>
        <v/>
      </c>
    </row>
    <row r="1974">
      <c r="B1974" s="101" t="n">
        <v>1968</v>
      </c>
      <c r="C1974" s="58" t="inlineStr">
        <is>
          <t>Transaction</t>
        </is>
      </c>
      <c r="D1974" s="58">
        <f>IF(H1974=1,INDEX(tx_ID,1968)&amp;"","")</f>
        <v/>
      </c>
      <c r="E1974" s="94">
        <f>IF(H1974=1,INDEX(tx_Date,1968),"")</f>
        <v/>
      </c>
      <c r="F1974" s="58">
        <f>IF(H1974=1,INDEX(tx_Desc,1968)&amp;"","")</f>
        <v/>
      </c>
      <c r="G1974" s="58">
        <f>IF(H1974=1,IF(INDEX(tx_Cust,1968)&amp;""&lt;&gt;"",INDEX(tx_Cust,1968)&amp;"",INDEX(tx_Vend,1968)&amp;""),"")</f>
        <v/>
      </c>
      <c r="H1974" s="101">
        <f>IFERROR(N(INDEX(tx_Posted,1968)),0)</f>
        <v/>
      </c>
      <c r="I1974" s="58">
        <f>IF(H1974=1,INDEX(tx_DrAcct,1968)&amp;"","")</f>
        <v/>
      </c>
      <c r="J1974" s="95">
        <f>IF(H1974=1,INDEX(tx_DrAmt,1968),0)</f>
        <v/>
      </c>
      <c r="K1974" s="58">
        <f>IF(H1974=1,INDEX(tx_CrAcct,1968)&amp;"","")</f>
        <v/>
      </c>
      <c r="L1974" s="95">
        <f>IF(H1974=1,INDEX(tx_CrAmt,1968),0)</f>
        <v/>
      </c>
      <c r="M1974" s="95">
        <f>IF(H1974=1,INDEX(tx_TaxDr,1968),0)</f>
        <v/>
      </c>
      <c r="N1974" s="95">
        <f>IF(H1974=1,INDEX(tx_TaxCr,1968),0)</f>
        <v/>
      </c>
      <c r="O1974" s="101">
        <f>IF(H1974=1,IF(E1974&lt;FYStart,0,IF(E1974&gt;FYEnd,13,YEAR(E1974)*12+MONTH(E1974)-FYYM+1)),"")</f>
        <v/>
      </c>
      <c r="P1974" s="101">
        <f>IF(H1974=1,IF(IFERROR(INDEX(coa_CF,MATCH(I1974,coa_Name,0)),"")="Cash",1,0),0)</f>
        <v/>
      </c>
      <c r="Q1974" s="101">
        <f>IF(H1974=1,IF(IFERROR(INDEX(coa_CF,MATCH(K1974,coa_Name,0)),"")="Cash",1,0),0)</f>
        <v/>
      </c>
      <c r="R1974" s="58">
        <f>IF((P1974-Q1974)=0,"",IFERROR(INDEX(coa_CF,MATCH(IF((P1974-Q1974)=1,K1974,I1974),coa_Name,0)),"Operating"))</f>
        <v/>
      </c>
      <c r="S1974" s="95">
        <f>IF((P1974-Q1974)=1,L1974,IF((P1974-Q1974)=-1,-J1974,0))</f>
        <v/>
      </c>
      <c r="T1974" s="95">
        <f>IF((P1974-Q1974)=1,N1974,IF((P1974-Q1974)=-1,-M1974,0))</f>
        <v/>
      </c>
      <c r="U1974" s="101">
        <f>IF(AND(H1974=1,LedAcct&lt;&gt;""),IF(AND(E1974&gt;=LedFrom,E1974&lt;=LedTo,OR(I1974=LedAcct,K1974=LedAcct,AND(LedAcct=acctTax,M1974+N1974&lt;&gt;0))),E1974*10000+B1974,""),"")</f>
        <v/>
      </c>
    </row>
    <row r="1975">
      <c r="B1975" s="101" t="n">
        <v>1969</v>
      </c>
      <c r="C1975" s="58" t="inlineStr">
        <is>
          <t>Transaction</t>
        </is>
      </c>
      <c r="D1975" s="58">
        <f>IF(H1975=1,INDEX(tx_ID,1969)&amp;"","")</f>
        <v/>
      </c>
      <c r="E1975" s="94">
        <f>IF(H1975=1,INDEX(tx_Date,1969),"")</f>
        <v/>
      </c>
      <c r="F1975" s="58">
        <f>IF(H1975=1,INDEX(tx_Desc,1969)&amp;"","")</f>
        <v/>
      </c>
      <c r="G1975" s="58">
        <f>IF(H1975=1,IF(INDEX(tx_Cust,1969)&amp;""&lt;&gt;"",INDEX(tx_Cust,1969)&amp;"",INDEX(tx_Vend,1969)&amp;""),"")</f>
        <v/>
      </c>
      <c r="H1975" s="101">
        <f>IFERROR(N(INDEX(tx_Posted,1969)),0)</f>
        <v/>
      </c>
      <c r="I1975" s="58">
        <f>IF(H1975=1,INDEX(tx_DrAcct,1969)&amp;"","")</f>
        <v/>
      </c>
      <c r="J1975" s="95">
        <f>IF(H1975=1,INDEX(tx_DrAmt,1969),0)</f>
        <v/>
      </c>
      <c r="K1975" s="58">
        <f>IF(H1975=1,INDEX(tx_CrAcct,1969)&amp;"","")</f>
        <v/>
      </c>
      <c r="L1975" s="95">
        <f>IF(H1975=1,INDEX(tx_CrAmt,1969),0)</f>
        <v/>
      </c>
      <c r="M1975" s="95">
        <f>IF(H1975=1,INDEX(tx_TaxDr,1969),0)</f>
        <v/>
      </c>
      <c r="N1975" s="95">
        <f>IF(H1975=1,INDEX(tx_TaxCr,1969),0)</f>
        <v/>
      </c>
      <c r="O1975" s="101">
        <f>IF(H1975=1,IF(E1975&lt;FYStart,0,IF(E1975&gt;FYEnd,13,YEAR(E1975)*12+MONTH(E1975)-FYYM+1)),"")</f>
        <v/>
      </c>
      <c r="P1975" s="101">
        <f>IF(H1975=1,IF(IFERROR(INDEX(coa_CF,MATCH(I1975,coa_Name,0)),"")="Cash",1,0),0)</f>
        <v/>
      </c>
      <c r="Q1975" s="101">
        <f>IF(H1975=1,IF(IFERROR(INDEX(coa_CF,MATCH(K1975,coa_Name,0)),"")="Cash",1,0),0)</f>
        <v/>
      </c>
      <c r="R1975" s="58">
        <f>IF((P1975-Q1975)=0,"",IFERROR(INDEX(coa_CF,MATCH(IF((P1975-Q1975)=1,K1975,I1975),coa_Name,0)),"Operating"))</f>
        <v/>
      </c>
      <c r="S1975" s="95">
        <f>IF((P1975-Q1975)=1,L1975,IF((P1975-Q1975)=-1,-J1975,0))</f>
        <v/>
      </c>
      <c r="T1975" s="95">
        <f>IF((P1975-Q1975)=1,N1975,IF((P1975-Q1975)=-1,-M1975,0))</f>
        <v/>
      </c>
      <c r="U1975" s="101">
        <f>IF(AND(H1975=1,LedAcct&lt;&gt;""),IF(AND(E1975&gt;=LedFrom,E1975&lt;=LedTo,OR(I1975=LedAcct,K1975=LedAcct,AND(LedAcct=acctTax,M1975+N1975&lt;&gt;0))),E1975*10000+B1975,""),"")</f>
        <v/>
      </c>
    </row>
    <row r="1976">
      <c r="B1976" s="101" t="n">
        <v>1970</v>
      </c>
      <c r="C1976" s="58" t="inlineStr">
        <is>
          <t>Transaction</t>
        </is>
      </c>
      <c r="D1976" s="58">
        <f>IF(H1976=1,INDEX(tx_ID,1970)&amp;"","")</f>
        <v/>
      </c>
      <c r="E1976" s="94">
        <f>IF(H1976=1,INDEX(tx_Date,1970),"")</f>
        <v/>
      </c>
      <c r="F1976" s="58">
        <f>IF(H1976=1,INDEX(tx_Desc,1970)&amp;"","")</f>
        <v/>
      </c>
      <c r="G1976" s="58">
        <f>IF(H1976=1,IF(INDEX(tx_Cust,1970)&amp;""&lt;&gt;"",INDEX(tx_Cust,1970)&amp;"",INDEX(tx_Vend,1970)&amp;""),"")</f>
        <v/>
      </c>
      <c r="H1976" s="101">
        <f>IFERROR(N(INDEX(tx_Posted,1970)),0)</f>
        <v/>
      </c>
      <c r="I1976" s="58">
        <f>IF(H1976=1,INDEX(tx_DrAcct,1970)&amp;"","")</f>
        <v/>
      </c>
      <c r="J1976" s="95">
        <f>IF(H1976=1,INDEX(tx_DrAmt,1970),0)</f>
        <v/>
      </c>
      <c r="K1976" s="58">
        <f>IF(H1976=1,INDEX(tx_CrAcct,1970)&amp;"","")</f>
        <v/>
      </c>
      <c r="L1976" s="95">
        <f>IF(H1976=1,INDEX(tx_CrAmt,1970),0)</f>
        <v/>
      </c>
      <c r="M1976" s="95">
        <f>IF(H1976=1,INDEX(tx_TaxDr,1970),0)</f>
        <v/>
      </c>
      <c r="N1976" s="95">
        <f>IF(H1976=1,INDEX(tx_TaxCr,1970),0)</f>
        <v/>
      </c>
      <c r="O1976" s="101">
        <f>IF(H1976=1,IF(E1976&lt;FYStart,0,IF(E1976&gt;FYEnd,13,YEAR(E1976)*12+MONTH(E1976)-FYYM+1)),"")</f>
        <v/>
      </c>
      <c r="P1976" s="101">
        <f>IF(H1976=1,IF(IFERROR(INDEX(coa_CF,MATCH(I1976,coa_Name,0)),"")="Cash",1,0),0)</f>
        <v/>
      </c>
      <c r="Q1976" s="101">
        <f>IF(H1976=1,IF(IFERROR(INDEX(coa_CF,MATCH(K1976,coa_Name,0)),"")="Cash",1,0),0)</f>
        <v/>
      </c>
      <c r="R1976" s="58">
        <f>IF((P1976-Q1976)=0,"",IFERROR(INDEX(coa_CF,MATCH(IF((P1976-Q1976)=1,K1976,I1976),coa_Name,0)),"Operating"))</f>
        <v/>
      </c>
      <c r="S1976" s="95">
        <f>IF((P1976-Q1976)=1,L1976,IF((P1976-Q1976)=-1,-J1976,0))</f>
        <v/>
      </c>
      <c r="T1976" s="95">
        <f>IF((P1976-Q1976)=1,N1976,IF((P1976-Q1976)=-1,-M1976,0))</f>
        <v/>
      </c>
      <c r="U1976" s="101">
        <f>IF(AND(H1976=1,LedAcct&lt;&gt;""),IF(AND(E1976&gt;=LedFrom,E1976&lt;=LedTo,OR(I1976=LedAcct,K1976=LedAcct,AND(LedAcct=acctTax,M1976+N1976&lt;&gt;0))),E1976*10000+B1976,""),"")</f>
        <v/>
      </c>
    </row>
    <row r="1977">
      <c r="B1977" s="101" t="n">
        <v>1971</v>
      </c>
      <c r="C1977" s="58" t="inlineStr">
        <is>
          <t>Transaction</t>
        </is>
      </c>
      <c r="D1977" s="58">
        <f>IF(H1977=1,INDEX(tx_ID,1971)&amp;"","")</f>
        <v/>
      </c>
      <c r="E1977" s="94">
        <f>IF(H1977=1,INDEX(tx_Date,1971),"")</f>
        <v/>
      </c>
      <c r="F1977" s="58">
        <f>IF(H1977=1,INDEX(tx_Desc,1971)&amp;"","")</f>
        <v/>
      </c>
      <c r="G1977" s="58">
        <f>IF(H1977=1,IF(INDEX(tx_Cust,1971)&amp;""&lt;&gt;"",INDEX(tx_Cust,1971)&amp;"",INDEX(tx_Vend,1971)&amp;""),"")</f>
        <v/>
      </c>
      <c r="H1977" s="101">
        <f>IFERROR(N(INDEX(tx_Posted,1971)),0)</f>
        <v/>
      </c>
      <c r="I1977" s="58">
        <f>IF(H1977=1,INDEX(tx_DrAcct,1971)&amp;"","")</f>
        <v/>
      </c>
      <c r="J1977" s="95">
        <f>IF(H1977=1,INDEX(tx_DrAmt,1971),0)</f>
        <v/>
      </c>
      <c r="K1977" s="58">
        <f>IF(H1977=1,INDEX(tx_CrAcct,1971)&amp;"","")</f>
        <v/>
      </c>
      <c r="L1977" s="95">
        <f>IF(H1977=1,INDEX(tx_CrAmt,1971),0)</f>
        <v/>
      </c>
      <c r="M1977" s="95">
        <f>IF(H1977=1,INDEX(tx_TaxDr,1971),0)</f>
        <v/>
      </c>
      <c r="N1977" s="95">
        <f>IF(H1977=1,INDEX(tx_TaxCr,1971),0)</f>
        <v/>
      </c>
      <c r="O1977" s="101">
        <f>IF(H1977=1,IF(E1977&lt;FYStart,0,IF(E1977&gt;FYEnd,13,YEAR(E1977)*12+MONTH(E1977)-FYYM+1)),"")</f>
        <v/>
      </c>
      <c r="P1977" s="101">
        <f>IF(H1977=1,IF(IFERROR(INDEX(coa_CF,MATCH(I1977,coa_Name,0)),"")="Cash",1,0),0)</f>
        <v/>
      </c>
      <c r="Q1977" s="101">
        <f>IF(H1977=1,IF(IFERROR(INDEX(coa_CF,MATCH(K1977,coa_Name,0)),"")="Cash",1,0),0)</f>
        <v/>
      </c>
      <c r="R1977" s="58">
        <f>IF((P1977-Q1977)=0,"",IFERROR(INDEX(coa_CF,MATCH(IF((P1977-Q1977)=1,K1977,I1977),coa_Name,0)),"Operating"))</f>
        <v/>
      </c>
      <c r="S1977" s="95">
        <f>IF((P1977-Q1977)=1,L1977,IF((P1977-Q1977)=-1,-J1977,0))</f>
        <v/>
      </c>
      <c r="T1977" s="95">
        <f>IF((P1977-Q1977)=1,N1977,IF((P1977-Q1977)=-1,-M1977,0))</f>
        <v/>
      </c>
      <c r="U1977" s="101">
        <f>IF(AND(H1977=1,LedAcct&lt;&gt;""),IF(AND(E1977&gt;=LedFrom,E1977&lt;=LedTo,OR(I1977=LedAcct,K1977=LedAcct,AND(LedAcct=acctTax,M1977+N1977&lt;&gt;0))),E1977*10000+B1977,""),"")</f>
        <v/>
      </c>
    </row>
    <row r="1978">
      <c r="B1978" s="101" t="n">
        <v>1972</v>
      </c>
      <c r="C1978" s="58" t="inlineStr">
        <is>
          <t>Transaction</t>
        </is>
      </c>
      <c r="D1978" s="58">
        <f>IF(H1978=1,INDEX(tx_ID,1972)&amp;"","")</f>
        <v/>
      </c>
      <c r="E1978" s="94">
        <f>IF(H1978=1,INDEX(tx_Date,1972),"")</f>
        <v/>
      </c>
      <c r="F1978" s="58">
        <f>IF(H1978=1,INDEX(tx_Desc,1972)&amp;"","")</f>
        <v/>
      </c>
      <c r="G1978" s="58">
        <f>IF(H1978=1,IF(INDEX(tx_Cust,1972)&amp;""&lt;&gt;"",INDEX(tx_Cust,1972)&amp;"",INDEX(tx_Vend,1972)&amp;""),"")</f>
        <v/>
      </c>
      <c r="H1978" s="101">
        <f>IFERROR(N(INDEX(tx_Posted,1972)),0)</f>
        <v/>
      </c>
      <c r="I1978" s="58">
        <f>IF(H1978=1,INDEX(tx_DrAcct,1972)&amp;"","")</f>
        <v/>
      </c>
      <c r="J1978" s="95">
        <f>IF(H1978=1,INDEX(tx_DrAmt,1972),0)</f>
        <v/>
      </c>
      <c r="K1978" s="58">
        <f>IF(H1978=1,INDEX(tx_CrAcct,1972)&amp;"","")</f>
        <v/>
      </c>
      <c r="L1978" s="95">
        <f>IF(H1978=1,INDEX(tx_CrAmt,1972),0)</f>
        <v/>
      </c>
      <c r="M1978" s="95">
        <f>IF(H1978=1,INDEX(tx_TaxDr,1972),0)</f>
        <v/>
      </c>
      <c r="N1978" s="95">
        <f>IF(H1978=1,INDEX(tx_TaxCr,1972),0)</f>
        <v/>
      </c>
      <c r="O1978" s="101">
        <f>IF(H1978=1,IF(E1978&lt;FYStart,0,IF(E1978&gt;FYEnd,13,YEAR(E1978)*12+MONTH(E1978)-FYYM+1)),"")</f>
        <v/>
      </c>
      <c r="P1978" s="101">
        <f>IF(H1978=1,IF(IFERROR(INDEX(coa_CF,MATCH(I1978,coa_Name,0)),"")="Cash",1,0),0)</f>
        <v/>
      </c>
      <c r="Q1978" s="101">
        <f>IF(H1978=1,IF(IFERROR(INDEX(coa_CF,MATCH(K1978,coa_Name,0)),"")="Cash",1,0),0)</f>
        <v/>
      </c>
      <c r="R1978" s="58">
        <f>IF((P1978-Q1978)=0,"",IFERROR(INDEX(coa_CF,MATCH(IF((P1978-Q1978)=1,K1978,I1978),coa_Name,0)),"Operating"))</f>
        <v/>
      </c>
      <c r="S1978" s="95">
        <f>IF((P1978-Q1978)=1,L1978,IF((P1978-Q1978)=-1,-J1978,0))</f>
        <v/>
      </c>
      <c r="T1978" s="95">
        <f>IF((P1978-Q1978)=1,N1978,IF((P1978-Q1978)=-1,-M1978,0))</f>
        <v/>
      </c>
      <c r="U1978" s="101">
        <f>IF(AND(H1978=1,LedAcct&lt;&gt;""),IF(AND(E1978&gt;=LedFrom,E1978&lt;=LedTo,OR(I1978=LedAcct,K1978=LedAcct,AND(LedAcct=acctTax,M1978+N1978&lt;&gt;0))),E1978*10000+B1978,""),"")</f>
        <v/>
      </c>
    </row>
    <row r="1979">
      <c r="B1979" s="101" t="n">
        <v>1973</v>
      </c>
      <c r="C1979" s="58" t="inlineStr">
        <is>
          <t>Transaction</t>
        </is>
      </c>
      <c r="D1979" s="58">
        <f>IF(H1979=1,INDEX(tx_ID,1973)&amp;"","")</f>
        <v/>
      </c>
      <c r="E1979" s="94">
        <f>IF(H1979=1,INDEX(tx_Date,1973),"")</f>
        <v/>
      </c>
      <c r="F1979" s="58">
        <f>IF(H1979=1,INDEX(tx_Desc,1973)&amp;"","")</f>
        <v/>
      </c>
      <c r="G1979" s="58">
        <f>IF(H1979=1,IF(INDEX(tx_Cust,1973)&amp;""&lt;&gt;"",INDEX(tx_Cust,1973)&amp;"",INDEX(tx_Vend,1973)&amp;""),"")</f>
        <v/>
      </c>
      <c r="H1979" s="101">
        <f>IFERROR(N(INDEX(tx_Posted,1973)),0)</f>
        <v/>
      </c>
      <c r="I1979" s="58">
        <f>IF(H1979=1,INDEX(tx_DrAcct,1973)&amp;"","")</f>
        <v/>
      </c>
      <c r="J1979" s="95">
        <f>IF(H1979=1,INDEX(tx_DrAmt,1973),0)</f>
        <v/>
      </c>
      <c r="K1979" s="58">
        <f>IF(H1979=1,INDEX(tx_CrAcct,1973)&amp;"","")</f>
        <v/>
      </c>
      <c r="L1979" s="95">
        <f>IF(H1979=1,INDEX(tx_CrAmt,1973),0)</f>
        <v/>
      </c>
      <c r="M1979" s="95">
        <f>IF(H1979=1,INDEX(tx_TaxDr,1973),0)</f>
        <v/>
      </c>
      <c r="N1979" s="95">
        <f>IF(H1979=1,INDEX(tx_TaxCr,1973),0)</f>
        <v/>
      </c>
      <c r="O1979" s="101">
        <f>IF(H1979=1,IF(E1979&lt;FYStart,0,IF(E1979&gt;FYEnd,13,YEAR(E1979)*12+MONTH(E1979)-FYYM+1)),"")</f>
        <v/>
      </c>
      <c r="P1979" s="101">
        <f>IF(H1979=1,IF(IFERROR(INDEX(coa_CF,MATCH(I1979,coa_Name,0)),"")="Cash",1,0),0)</f>
        <v/>
      </c>
      <c r="Q1979" s="101">
        <f>IF(H1979=1,IF(IFERROR(INDEX(coa_CF,MATCH(K1979,coa_Name,0)),"")="Cash",1,0),0)</f>
        <v/>
      </c>
      <c r="R1979" s="58">
        <f>IF((P1979-Q1979)=0,"",IFERROR(INDEX(coa_CF,MATCH(IF((P1979-Q1979)=1,K1979,I1979),coa_Name,0)),"Operating"))</f>
        <v/>
      </c>
      <c r="S1979" s="95">
        <f>IF((P1979-Q1979)=1,L1979,IF((P1979-Q1979)=-1,-J1979,0))</f>
        <v/>
      </c>
      <c r="T1979" s="95">
        <f>IF((P1979-Q1979)=1,N1979,IF((P1979-Q1979)=-1,-M1979,0))</f>
        <v/>
      </c>
      <c r="U1979" s="101">
        <f>IF(AND(H1979=1,LedAcct&lt;&gt;""),IF(AND(E1979&gt;=LedFrom,E1979&lt;=LedTo,OR(I1979=LedAcct,K1979=LedAcct,AND(LedAcct=acctTax,M1979+N1979&lt;&gt;0))),E1979*10000+B1979,""),"")</f>
        <v/>
      </c>
    </row>
    <row r="1980">
      <c r="B1980" s="101" t="n">
        <v>1974</v>
      </c>
      <c r="C1980" s="58" t="inlineStr">
        <is>
          <t>Transaction</t>
        </is>
      </c>
      <c r="D1980" s="58">
        <f>IF(H1980=1,INDEX(tx_ID,1974)&amp;"","")</f>
        <v/>
      </c>
      <c r="E1980" s="94">
        <f>IF(H1980=1,INDEX(tx_Date,1974),"")</f>
        <v/>
      </c>
      <c r="F1980" s="58">
        <f>IF(H1980=1,INDEX(tx_Desc,1974)&amp;"","")</f>
        <v/>
      </c>
      <c r="G1980" s="58">
        <f>IF(H1980=1,IF(INDEX(tx_Cust,1974)&amp;""&lt;&gt;"",INDEX(tx_Cust,1974)&amp;"",INDEX(tx_Vend,1974)&amp;""),"")</f>
        <v/>
      </c>
      <c r="H1980" s="101">
        <f>IFERROR(N(INDEX(tx_Posted,1974)),0)</f>
        <v/>
      </c>
      <c r="I1980" s="58">
        <f>IF(H1980=1,INDEX(tx_DrAcct,1974)&amp;"","")</f>
        <v/>
      </c>
      <c r="J1980" s="95">
        <f>IF(H1980=1,INDEX(tx_DrAmt,1974),0)</f>
        <v/>
      </c>
      <c r="K1980" s="58">
        <f>IF(H1980=1,INDEX(tx_CrAcct,1974)&amp;"","")</f>
        <v/>
      </c>
      <c r="L1980" s="95">
        <f>IF(H1980=1,INDEX(tx_CrAmt,1974),0)</f>
        <v/>
      </c>
      <c r="M1980" s="95">
        <f>IF(H1980=1,INDEX(tx_TaxDr,1974),0)</f>
        <v/>
      </c>
      <c r="N1980" s="95">
        <f>IF(H1980=1,INDEX(tx_TaxCr,1974),0)</f>
        <v/>
      </c>
      <c r="O1980" s="101">
        <f>IF(H1980=1,IF(E1980&lt;FYStart,0,IF(E1980&gt;FYEnd,13,YEAR(E1980)*12+MONTH(E1980)-FYYM+1)),"")</f>
        <v/>
      </c>
      <c r="P1980" s="101">
        <f>IF(H1980=1,IF(IFERROR(INDEX(coa_CF,MATCH(I1980,coa_Name,0)),"")="Cash",1,0),0)</f>
        <v/>
      </c>
      <c r="Q1980" s="101">
        <f>IF(H1980=1,IF(IFERROR(INDEX(coa_CF,MATCH(K1980,coa_Name,0)),"")="Cash",1,0),0)</f>
        <v/>
      </c>
      <c r="R1980" s="58">
        <f>IF((P1980-Q1980)=0,"",IFERROR(INDEX(coa_CF,MATCH(IF((P1980-Q1980)=1,K1980,I1980),coa_Name,0)),"Operating"))</f>
        <v/>
      </c>
      <c r="S1980" s="95">
        <f>IF((P1980-Q1980)=1,L1980,IF((P1980-Q1980)=-1,-J1980,0))</f>
        <v/>
      </c>
      <c r="T1980" s="95">
        <f>IF((P1980-Q1980)=1,N1980,IF((P1980-Q1980)=-1,-M1980,0))</f>
        <v/>
      </c>
      <c r="U1980" s="101">
        <f>IF(AND(H1980=1,LedAcct&lt;&gt;""),IF(AND(E1980&gt;=LedFrom,E1980&lt;=LedTo,OR(I1980=LedAcct,K1980=LedAcct,AND(LedAcct=acctTax,M1980+N1980&lt;&gt;0))),E1980*10000+B1980,""),"")</f>
        <v/>
      </c>
    </row>
    <row r="1981">
      <c r="B1981" s="101" t="n">
        <v>1975</v>
      </c>
      <c r="C1981" s="58" t="inlineStr">
        <is>
          <t>Transaction</t>
        </is>
      </c>
      <c r="D1981" s="58">
        <f>IF(H1981=1,INDEX(tx_ID,1975)&amp;"","")</f>
        <v/>
      </c>
      <c r="E1981" s="94">
        <f>IF(H1981=1,INDEX(tx_Date,1975),"")</f>
        <v/>
      </c>
      <c r="F1981" s="58">
        <f>IF(H1981=1,INDEX(tx_Desc,1975)&amp;"","")</f>
        <v/>
      </c>
      <c r="G1981" s="58">
        <f>IF(H1981=1,IF(INDEX(tx_Cust,1975)&amp;""&lt;&gt;"",INDEX(tx_Cust,1975)&amp;"",INDEX(tx_Vend,1975)&amp;""),"")</f>
        <v/>
      </c>
      <c r="H1981" s="101">
        <f>IFERROR(N(INDEX(tx_Posted,1975)),0)</f>
        <v/>
      </c>
      <c r="I1981" s="58">
        <f>IF(H1981=1,INDEX(tx_DrAcct,1975)&amp;"","")</f>
        <v/>
      </c>
      <c r="J1981" s="95">
        <f>IF(H1981=1,INDEX(tx_DrAmt,1975),0)</f>
        <v/>
      </c>
      <c r="K1981" s="58">
        <f>IF(H1981=1,INDEX(tx_CrAcct,1975)&amp;"","")</f>
        <v/>
      </c>
      <c r="L1981" s="95">
        <f>IF(H1981=1,INDEX(tx_CrAmt,1975),0)</f>
        <v/>
      </c>
      <c r="M1981" s="95">
        <f>IF(H1981=1,INDEX(tx_TaxDr,1975),0)</f>
        <v/>
      </c>
      <c r="N1981" s="95">
        <f>IF(H1981=1,INDEX(tx_TaxCr,1975),0)</f>
        <v/>
      </c>
      <c r="O1981" s="101">
        <f>IF(H1981=1,IF(E1981&lt;FYStart,0,IF(E1981&gt;FYEnd,13,YEAR(E1981)*12+MONTH(E1981)-FYYM+1)),"")</f>
        <v/>
      </c>
      <c r="P1981" s="101">
        <f>IF(H1981=1,IF(IFERROR(INDEX(coa_CF,MATCH(I1981,coa_Name,0)),"")="Cash",1,0),0)</f>
        <v/>
      </c>
      <c r="Q1981" s="101">
        <f>IF(H1981=1,IF(IFERROR(INDEX(coa_CF,MATCH(K1981,coa_Name,0)),"")="Cash",1,0),0)</f>
        <v/>
      </c>
      <c r="R1981" s="58">
        <f>IF((P1981-Q1981)=0,"",IFERROR(INDEX(coa_CF,MATCH(IF((P1981-Q1981)=1,K1981,I1981),coa_Name,0)),"Operating"))</f>
        <v/>
      </c>
      <c r="S1981" s="95">
        <f>IF((P1981-Q1981)=1,L1981,IF((P1981-Q1981)=-1,-J1981,0))</f>
        <v/>
      </c>
      <c r="T1981" s="95">
        <f>IF((P1981-Q1981)=1,N1981,IF((P1981-Q1981)=-1,-M1981,0))</f>
        <v/>
      </c>
      <c r="U1981" s="101">
        <f>IF(AND(H1981=1,LedAcct&lt;&gt;""),IF(AND(E1981&gt;=LedFrom,E1981&lt;=LedTo,OR(I1981=LedAcct,K1981=LedAcct,AND(LedAcct=acctTax,M1981+N1981&lt;&gt;0))),E1981*10000+B1981,""),"")</f>
        <v/>
      </c>
    </row>
    <row r="1982">
      <c r="B1982" s="101" t="n">
        <v>1976</v>
      </c>
      <c r="C1982" s="58" t="inlineStr">
        <is>
          <t>Transaction</t>
        </is>
      </c>
      <c r="D1982" s="58">
        <f>IF(H1982=1,INDEX(tx_ID,1976)&amp;"","")</f>
        <v/>
      </c>
      <c r="E1982" s="94">
        <f>IF(H1982=1,INDEX(tx_Date,1976),"")</f>
        <v/>
      </c>
      <c r="F1982" s="58">
        <f>IF(H1982=1,INDEX(tx_Desc,1976)&amp;"","")</f>
        <v/>
      </c>
      <c r="G1982" s="58">
        <f>IF(H1982=1,IF(INDEX(tx_Cust,1976)&amp;""&lt;&gt;"",INDEX(tx_Cust,1976)&amp;"",INDEX(tx_Vend,1976)&amp;""),"")</f>
        <v/>
      </c>
      <c r="H1982" s="101">
        <f>IFERROR(N(INDEX(tx_Posted,1976)),0)</f>
        <v/>
      </c>
      <c r="I1982" s="58">
        <f>IF(H1982=1,INDEX(tx_DrAcct,1976)&amp;"","")</f>
        <v/>
      </c>
      <c r="J1982" s="95">
        <f>IF(H1982=1,INDEX(tx_DrAmt,1976),0)</f>
        <v/>
      </c>
      <c r="K1982" s="58">
        <f>IF(H1982=1,INDEX(tx_CrAcct,1976)&amp;"","")</f>
        <v/>
      </c>
      <c r="L1982" s="95">
        <f>IF(H1982=1,INDEX(tx_CrAmt,1976),0)</f>
        <v/>
      </c>
      <c r="M1982" s="95">
        <f>IF(H1982=1,INDEX(tx_TaxDr,1976),0)</f>
        <v/>
      </c>
      <c r="N1982" s="95">
        <f>IF(H1982=1,INDEX(tx_TaxCr,1976),0)</f>
        <v/>
      </c>
      <c r="O1982" s="101">
        <f>IF(H1982=1,IF(E1982&lt;FYStart,0,IF(E1982&gt;FYEnd,13,YEAR(E1982)*12+MONTH(E1982)-FYYM+1)),"")</f>
        <v/>
      </c>
      <c r="P1982" s="101">
        <f>IF(H1982=1,IF(IFERROR(INDEX(coa_CF,MATCH(I1982,coa_Name,0)),"")="Cash",1,0),0)</f>
        <v/>
      </c>
      <c r="Q1982" s="101">
        <f>IF(H1982=1,IF(IFERROR(INDEX(coa_CF,MATCH(K1982,coa_Name,0)),"")="Cash",1,0),0)</f>
        <v/>
      </c>
      <c r="R1982" s="58">
        <f>IF((P1982-Q1982)=0,"",IFERROR(INDEX(coa_CF,MATCH(IF((P1982-Q1982)=1,K1982,I1982),coa_Name,0)),"Operating"))</f>
        <v/>
      </c>
      <c r="S1982" s="95">
        <f>IF((P1982-Q1982)=1,L1982,IF((P1982-Q1982)=-1,-J1982,0))</f>
        <v/>
      </c>
      <c r="T1982" s="95">
        <f>IF((P1982-Q1982)=1,N1982,IF((P1982-Q1982)=-1,-M1982,0))</f>
        <v/>
      </c>
      <c r="U1982" s="101">
        <f>IF(AND(H1982=1,LedAcct&lt;&gt;""),IF(AND(E1982&gt;=LedFrom,E1982&lt;=LedTo,OR(I1982=LedAcct,K1982=LedAcct,AND(LedAcct=acctTax,M1982+N1982&lt;&gt;0))),E1982*10000+B1982,""),"")</f>
        <v/>
      </c>
    </row>
    <row r="1983">
      <c r="B1983" s="101" t="n">
        <v>1977</v>
      </c>
      <c r="C1983" s="58" t="inlineStr">
        <is>
          <t>Transaction</t>
        </is>
      </c>
      <c r="D1983" s="58">
        <f>IF(H1983=1,INDEX(tx_ID,1977)&amp;"","")</f>
        <v/>
      </c>
      <c r="E1983" s="94">
        <f>IF(H1983=1,INDEX(tx_Date,1977),"")</f>
        <v/>
      </c>
      <c r="F1983" s="58">
        <f>IF(H1983=1,INDEX(tx_Desc,1977)&amp;"","")</f>
        <v/>
      </c>
      <c r="G1983" s="58">
        <f>IF(H1983=1,IF(INDEX(tx_Cust,1977)&amp;""&lt;&gt;"",INDEX(tx_Cust,1977)&amp;"",INDEX(tx_Vend,1977)&amp;""),"")</f>
        <v/>
      </c>
      <c r="H1983" s="101">
        <f>IFERROR(N(INDEX(tx_Posted,1977)),0)</f>
        <v/>
      </c>
      <c r="I1983" s="58">
        <f>IF(H1983=1,INDEX(tx_DrAcct,1977)&amp;"","")</f>
        <v/>
      </c>
      <c r="J1983" s="95">
        <f>IF(H1983=1,INDEX(tx_DrAmt,1977),0)</f>
        <v/>
      </c>
      <c r="K1983" s="58">
        <f>IF(H1983=1,INDEX(tx_CrAcct,1977)&amp;"","")</f>
        <v/>
      </c>
      <c r="L1983" s="95">
        <f>IF(H1983=1,INDEX(tx_CrAmt,1977),0)</f>
        <v/>
      </c>
      <c r="M1983" s="95">
        <f>IF(H1983=1,INDEX(tx_TaxDr,1977),0)</f>
        <v/>
      </c>
      <c r="N1983" s="95">
        <f>IF(H1983=1,INDEX(tx_TaxCr,1977),0)</f>
        <v/>
      </c>
      <c r="O1983" s="101">
        <f>IF(H1983=1,IF(E1983&lt;FYStart,0,IF(E1983&gt;FYEnd,13,YEAR(E1983)*12+MONTH(E1983)-FYYM+1)),"")</f>
        <v/>
      </c>
      <c r="P1983" s="101">
        <f>IF(H1983=1,IF(IFERROR(INDEX(coa_CF,MATCH(I1983,coa_Name,0)),"")="Cash",1,0),0)</f>
        <v/>
      </c>
      <c r="Q1983" s="101">
        <f>IF(H1983=1,IF(IFERROR(INDEX(coa_CF,MATCH(K1983,coa_Name,0)),"")="Cash",1,0),0)</f>
        <v/>
      </c>
      <c r="R1983" s="58">
        <f>IF((P1983-Q1983)=0,"",IFERROR(INDEX(coa_CF,MATCH(IF((P1983-Q1983)=1,K1983,I1983),coa_Name,0)),"Operating"))</f>
        <v/>
      </c>
      <c r="S1983" s="95">
        <f>IF((P1983-Q1983)=1,L1983,IF((P1983-Q1983)=-1,-J1983,0))</f>
        <v/>
      </c>
      <c r="T1983" s="95">
        <f>IF((P1983-Q1983)=1,N1983,IF((P1983-Q1983)=-1,-M1983,0))</f>
        <v/>
      </c>
      <c r="U1983" s="101">
        <f>IF(AND(H1983=1,LedAcct&lt;&gt;""),IF(AND(E1983&gt;=LedFrom,E1983&lt;=LedTo,OR(I1983=LedAcct,K1983=LedAcct,AND(LedAcct=acctTax,M1983+N1983&lt;&gt;0))),E1983*10000+B1983,""),"")</f>
        <v/>
      </c>
    </row>
    <row r="1984">
      <c r="B1984" s="101" t="n">
        <v>1978</v>
      </c>
      <c r="C1984" s="58" t="inlineStr">
        <is>
          <t>Transaction</t>
        </is>
      </c>
      <c r="D1984" s="58">
        <f>IF(H1984=1,INDEX(tx_ID,1978)&amp;"","")</f>
        <v/>
      </c>
      <c r="E1984" s="94">
        <f>IF(H1984=1,INDEX(tx_Date,1978),"")</f>
        <v/>
      </c>
      <c r="F1984" s="58">
        <f>IF(H1984=1,INDEX(tx_Desc,1978)&amp;"","")</f>
        <v/>
      </c>
      <c r="G1984" s="58">
        <f>IF(H1984=1,IF(INDEX(tx_Cust,1978)&amp;""&lt;&gt;"",INDEX(tx_Cust,1978)&amp;"",INDEX(tx_Vend,1978)&amp;""),"")</f>
        <v/>
      </c>
      <c r="H1984" s="101">
        <f>IFERROR(N(INDEX(tx_Posted,1978)),0)</f>
        <v/>
      </c>
      <c r="I1984" s="58">
        <f>IF(H1984=1,INDEX(tx_DrAcct,1978)&amp;"","")</f>
        <v/>
      </c>
      <c r="J1984" s="95">
        <f>IF(H1984=1,INDEX(tx_DrAmt,1978),0)</f>
        <v/>
      </c>
      <c r="K1984" s="58">
        <f>IF(H1984=1,INDEX(tx_CrAcct,1978)&amp;"","")</f>
        <v/>
      </c>
      <c r="L1984" s="95">
        <f>IF(H1984=1,INDEX(tx_CrAmt,1978),0)</f>
        <v/>
      </c>
      <c r="M1984" s="95">
        <f>IF(H1984=1,INDEX(tx_TaxDr,1978),0)</f>
        <v/>
      </c>
      <c r="N1984" s="95">
        <f>IF(H1984=1,INDEX(tx_TaxCr,1978),0)</f>
        <v/>
      </c>
      <c r="O1984" s="101">
        <f>IF(H1984=1,IF(E1984&lt;FYStart,0,IF(E1984&gt;FYEnd,13,YEAR(E1984)*12+MONTH(E1984)-FYYM+1)),"")</f>
        <v/>
      </c>
      <c r="P1984" s="101">
        <f>IF(H1984=1,IF(IFERROR(INDEX(coa_CF,MATCH(I1984,coa_Name,0)),"")="Cash",1,0),0)</f>
        <v/>
      </c>
      <c r="Q1984" s="101">
        <f>IF(H1984=1,IF(IFERROR(INDEX(coa_CF,MATCH(K1984,coa_Name,0)),"")="Cash",1,0),0)</f>
        <v/>
      </c>
      <c r="R1984" s="58">
        <f>IF((P1984-Q1984)=0,"",IFERROR(INDEX(coa_CF,MATCH(IF((P1984-Q1984)=1,K1984,I1984),coa_Name,0)),"Operating"))</f>
        <v/>
      </c>
      <c r="S1984" s="95">
        <f>IF((P1984-Q1984)=1,L1984,IF((P1984-Q1984)=-1,-J1984,0))</f>
        <v/>
      </c>
      <c r="T1984" s="95">
        <f>IF((P1984-Q1984)=1,N1984,IF((P1984-Q1984)=-1,-M1984,0))</f>
        <v/>
      </c>
      <c r="U1984" s="101">
        <f>IF(AND(H1984=1,LedAcct&lt;&gt;""),IF(AND(E1984&gt;=LedFrom,E1984&lt;=LedTo,OR(I1984=LedAcct,K1984=LedAcct,AND(LedAcct=acctTax,M1984+N1984&lt;&gt;0))),E1984*10000+B1984,""),"")</f>
        <v/>
      </c>
    </row>
    <row r="1985">
      <c r="B1985" s="101" t="n">
        <v>1979</v>
      </c>
      <c r="C1985" s="58" t="inlineStr">
        <is>
          <t>Transaction</t>
        </is>
      </c>
      <c r="D1985" s="58">
        <f>IF(H1985=1,INDEX(tx_ID,1979)&amp;"","")</f>
        <v/>
      </c>
      <c r="E1985" s="94">
        <f>IF(H1985=1,INDEX(tx_Date,1979),"")</f>
        <v/>
      </c>
      <c r="F1985" s="58">
        <f>IF(H1985=1,INDEX(tx_Desc,1979)&amp;"","")</f>
        <v/>
      </c>
      <c r="G1985" s="58">
        <f>IF(H1985=1,IF(INDEX(tx_Cust,1979)&amp;""&lt;&gt;"",INDEX(tx_Cust,1979)&amp;"",INDEX(tx_Vend,1979)&amp;""),"")</f>
        <v/>
      </c>
      <c r="H1985" s="101">
        <f>IFERROR(N(INDEX(tx_Posted,1979)),0)</f>
        <v/>
      </c>
      <c r="I1985" s="58">
        <f>IF(H1985=1,INDEX(tx_DrAcct,1979)&amp;"","")</f>
        <v/>
      </c>
      <c r="J1985" s="95">
        <f>IF(H1985=1,INDEX(tx_DrAmt,1979),0)</f>
        <v/>
      </c>
      <c r="K1985" s="58">
        <f>IF(H1985=1,INDEX(tx_CrAcct,1979)&amp;"","")</f>
        <v/>
      </c>
      <c r="L1985" s="95">
        <f>IF(H1985=1,INDEX(tx_CrAmt,1979),0)</f>
        <v/>
      </c>
      <c r="M1985" s="95">
        <f>IF(H1985=1,INDEX(tx_TaxDr,1979),0)</f>
        <v/>
      </c>
      <c r="N1985" s="95">
        <f>IF(H1985=1,INDEX(tx_TaxCr,1979),0)</f>
        <v/>
      </c>
      <c r="O1985" s="101">
        <f>IF(H1985=1,IF(E1985&lt;FYStart,0,IF(E1985&gt;FYEnd,13,YEAR(E1985)*12+MONTH(E1985)-FYYM+1)),"")</f>
        <v/>
      </c>
      <c r="P1985" s="101">
        <f>IF(H1985=1,IF(IFERROR(INDEX(coa_CF,MATCH(I1985,coa_Name,0)),"")="Cash",1,0),0)</f>
        <v/>
      </c>
      <c r="Q1985" s="101">
        <f>IF(H1985=1,IF(IFERROR(INDEX(coa_CF,MATCH(K1985,coa_Name,0)),"")="Cash",1,0),0)</f>
        <v/>
      </c>
      <c r="R1985" s="58">
        <f>IF((P1985-Q1985)=0,"",IFERROR(INDEX(coa_CF,MATCH(IF((P1985-Q1985)=1,K1985,I1985),coa_Name,0)),"Operating"))</f>
        <v/>
      </c>
      <c r="S1985" s="95">
        <f>IF((P1985-Q1985)=1,L1985,IF((P1985-Q1985)=-1,-J1985,0))</f>
        <v/>
      </c>
      <c r="T1985" s="95">
        <f>IF((P1985-Q1985)=1,N1985,IF((P1985-Q1985)=-1,-M1985,0))</f>
        <v/>
      </c>
      <c r="U1985" s="101">
        <f>IF(AND(H1985=1,LedAcct&lt;&gt;""),IF(AND(E1985&gt;=LedFrom,E1985&lt;=LedTo,OR(I1985=LedAcct,K1985=LedAcct,AND(LedAcct=acctTax,M1985+N1985&lt;&gt;0))),E1985*10000+B1985,""),"")</f>
        <v/>
      </c>
    </row>
    <row r="1986">
      <c r="B1986" s="101" t="n">
        <v>1980</v>
      </c>
      <c r="C1986" s="58" t="inlineStr">
        <is>
          <t>Transaction</t>
        </is>
      </c>
      <c r="D1986" s="58">
        <f>IF(H1986=1,INDEX(tx_ID,1980)&amp;"","")</f>
        <v/>
      </c>
      <c r="E1986" s="94">
        <f>IF(H1986=1,INDEX(tx_Date,1980),"")</f>
        <v/>
      </c>
      <c r="F1986" s="58">
        <f>IF(H1986=1,INDEX(tx_Desc,1980)&amp;"","")</f>
        <v/>
      </c>
      <c r="G1986" s="58">
        <f>IF(H1986=1,IF(INDEX(tx_Cust,1980)&amp;""&lt;&gt;"",INDEX(tx_Cust,1980)&amp;"",INDEX(tx_Vend,1980)&amp;""),"")</f>
        <v/>
      </c>
      <c r="H1986" s="101">
        <f>IFERROR(N(INDEX(tx_Posted,1980)),0)</f>
        <v/>
      </c>
      <c r="I1986" s="58">
        <f>IF(H1986=1,INDEX(tx_DrAcct,1980)&amp;"","")</f>
        <v/>
      </c>
      <c r="J1986" s="95">
        <f>IF(H1986=1,INDEX(tx_DrAmt,1980),0)</f>
        <v/>
      </c>
      <c r="K1986" s="58">
        <f>IF(H1986=1,INDEX(tx_CrAcct,1980)&amp;"","")</f>
        <v/>
      </c>
      <c r="L1986" s="95">
        <f>IF(H1986=1,INDEX(tx_CrAmt,1980),0)</f>
        <v/>
      </c>
      <c r="M1986" s="95">
        <f>IF(H1986=1,INDEX(tx_TaxDr,1980),0)</f>
        <v/>
      </c>
      <c r="N1986" s="95">
        <f>IF(H1986=1,INDEX(tx_TaxCr,1980),0)</f>
        <v/>
      </c>
      <c r="O1986" s="101">
        <f>IF(H1986=1,IF(E1986&lt;FYStart,0,IF(E1986&gt;FYEnd,13,YEAR(E1986)*12+MONTH(E1986)-FYYM+1)),"")</f>
        <v/>
      </c>
      <c r="P1986" s="101">
        <f>IF(H1986=1,IF(IFERROR(INDEX(coa_CF,MATCH(I1986,coa_Name,0)),"")="Cash",1,0),0)</f>
        <v/>
      </c>
      <c r="Q1986" s="101">
        <f>IF(H1986=1,IF(IFERROR(INDEX(coa_CF,MATCH(K1986,coa_Name,0)),"")="Cash",1,0),0)</f>
        <v/>
      </c>
      <c r="R1986" s="58">
        <f>IF((P1986-Q1986)=0,"",IFERROR(INDEX(coa_CF,MATCH(IF((P1986-Q1986)=1,K1986,I1986),coa_Name,0)),"Operating"))</f>
        <v/>
      </c>
      <c r="S1986" s="95">
        <f>IF((P1986-Q1986)=1,L1986,IF((P1986-Q1986)=-1,-J1986,0))</f>
        <v/>
      </c>
      <c r="T1986" s="95">
        <f>IF((P1986-Q1986)=1,N1986,IF((P1986-Q1986)=-1,-M1986,0))</f>
        <v/>
      </c>
      <c r="U1986" s="101">
        <f>IF(AND(H1986=1,LedAcct&lt;&gt;""),IF(AND(E1986&gt;=LedFrom,E1986&lt;=LedTo,OR(I1986=LedAcct,K1986=LedAcct,AND(LedAcct=acctTax,M1986+N1986&lt;&gt;0))),E1986*10000+B1986,""),"")</f>
        <v/>
      </c>
    </row>
    <row r="1987">
      <c r="B1987" s="101" t="n">
        <v>1981</v>
      </c>
      <c r="C1987" s="58" t="inlineStr">
        <is>
          <t>Transaction</t>
        </is>
      </c>
      <c r="D1987" s="58">
        <f>IF(H1987=1,INDEX(tx_ID,1981)&amp;"","")</f>
        <v/>
      </c>
      <c r="E1987" s="94">
        <f>IF(H1987=1,INDEX(tx_Date,1981),"")</f>
        <v/>
      </c>
      <c r="F1987" s="58">
        <f>IF(H1987=1,INDEX(tx_Desc,1981)&amp;"","")</f>
        <v/>
      </c>
      <c r="G1987" s="58">
        <f>IF(H1987=1,IF(INDEX(tx_Cust,1981)&amp;""&lt;&gt;"",INDEX(tx_Cust,1981)&amp;"",INDEX(tx_Vend,1981)&amp;""),"")</f>
        <v/>
      </c>
      <c r="H1987" s="101">
        <f>IFERROR(N(INDEX(tx_Posted,1981)),0)</f>
        <v/>
      </c>
      <c r="I1987" s="58">
        <f>IF(H1987=1,INDEX(tx_DrAcct,1981)&amp;"","")</f>
        <v/>
      </c>
      <c r="J1987" s="95">
        <f>IF(H1987=1,INDEX(tx_DrAmt,1981),0)</f>
        <v/>
      </c>
      <c r="K1987" s="58">
        <f>IF(H1987=1,INDEX(tx_CrAcct,1981)&amp;"","")</f>
        <v/>
      </c>
      <c r="L1987" s="95">
        <f>IF(H1987=1,INDEX(tx_CrAmt,1981),0)</f>
        <v/>
      </c>
      <c r="M1987" s="95">
        <f>IF(H1987=1,INDEX(tx_TaxDr,1981),0)</f>
        <v/>
      </c>
      <c r="N1987" s="95">
        <f>IF(H1987=1,INDEX(tx_TaxCr,1981),0)</f>
        <v/>
      </c>
      <c r="O1987" s="101">
        <f>IF(H1987=1,IF(E1987&lt;FYStart,0,IF(E1987&gt;FYEnd,13,YEAR(E1987)*12+MONTH(E1987)-FYYM+1)),"")</f>
        <v/>
      </c>
      <c r="P1987" s="101">
        <f>IF(H1987=1,IF(IFERROR(INDEX(coa_CF,MATCH(I1987,coa_Name,0)),"")="Cash",1,0),0)</f>
        <v/>
      </c>
      <c r="Q1987" s="101">
        <f>IF(H1987=1,IF(IFERROR(INDEX(coa_CF,MATCH(K1987,coa_Name,0)),"")="Cash",1,0),0)</f>
        <v/>
      </c>
      <c r="R1987" s="58">
        <f>IF((P1987-Q1987)=0,"",IFERROR(INDEX(coa_CF,MATCH(IF((P1987-Q1987)=1,K1987,I1987),coa_Name,0)),"Operating"))</f>
        <v/>
      </c>
      <c r="S1987" s="95">
        <f>IF((P1987-Q1987)=1,L1987,IF((P1987-Q1987)=-1,-J1987,0))</f>
        <v/>
      </c>
      <c r="T1987" s="95">
        <f>IF((P1987-Q1987)=1,N1987,IF((P1987-Q1987)=-1,-M1987,0))</f>
        <v/>
      </c>
      <c r="U1987" s="101">
        <f>IF(AND(H1987=1,LedAcct&lt;&gt;""),IF(AND(E1987&gt;=LedFrom,E1987&lt;=LedTo,OR(I1987=LedAcct,K1987=LedAcct,AND(LedAcct=acctTax,M1987+N1987&lt;&gt;0))),E1987*10000+B1987,""),"")</f>
        <v/>
      </c>
    </row>
    <row r="1988">
      <c r="B1988" s="101" t="n">
        <v>1982</v>
      </c>
      <c r="C1988" s="58" t="inlineStr">
        <is>
          <t>Transaction</t>
        </is>
      </c>
      <c r="D1988" s="58">
        <f>IF(H1988=1,INDEX(tx_ID,1982)&amp;"","")</f>
        <v/>
      </c>
      <c r="E1988" s="94">
        <f>IF(H1988=1,INDEX(tx_Date,1982),"")</f>
        <v/>
      </c>
      <c r="F1988" s="58">
        <f>IF(H1988=1,INDEX(tx_Desc,1982)&amp;"","")</f>
        <v/>
      </c>
      <c r="G1988" s="58">
        <f>IF(H1988=1,IF(INDEX(tx_Cust,1982)&amp;""&lt;&gt;"",INDEX(tx_Cust,1982)&amp;"",INDEX(tx_Vend,1982)&amp;""),"")</f>
        <v/>
      </c>
      <c r="H1988" s="101">
        <f>IFERROR(N(INDEX(tx_Posted,1982)),0)</f>
        <v/>
      </c>
      <c r="I1988" s="58">
        <f>IF(H1988=1,INDEX(tx_DrAcct,1982)&amp;"","")</f>
        <v/>
      </c>
      <c r="J1988" s="95">
        <f>IF(H1988=1,INDEX(tx_DrAmt,1982),0)</f>
        <v/>
      </c>
      <c r="K1988" s="58">
        <f>IF(H1988=1,INDEX(tx_CrAcct,1982)&amp;"","")</f>
        <v/>
      </c>
      <c r="L1988" s="95">
        <f>IF(H1988=1,INDEX(tx_CrAmt,1982),0)</f>
        <v/>
      </c>
      <c r="M1988" s="95">
        <f>IF(H1988=1,INDEX(tx_TaxDr,1982),0)</f>
        <v/>
      </c>
      <c r="N1988" s="95">
        <f>IF(H1988=1,INDEX(tx_TaxCr,1982),0)</f>
        <v/>
      </c>
      <c r="O1988" s="101">
        <f>IF(H1988=1,IF(E1988&lt;FYStart,0,IF(E1988&gt;FYEnd,13,YEAR(E1988)*12+MONTH(E1988)-FYYM+1)),"")</f>
        <v/>
      </c>
      <c r="P1988" s="101">
        <f>IF(H1988=1,IF(IFERROR(INDEX(coa_CF,MATCH(I1988,coa_Name,0)),"")="Cash",1,0),0)</f>
        <v/>
      </c>
      <c r="Q1988" s="101">
        <f>IF(H1988=1,IF(IFERROR(INDEX(coa_CF,MATCH(K1988,coa_Name,0)),"")="Cash",1,0),0)</f>
        <v/>
      </c>
      <c r="R1988" s="58">
        <f>IF((P1988-Q1988)=0,"",IFERROR(INDEX(coa_CF,MATCH(IF((P1988-Q1988)=1,K1988,I1988),coa_Name,0)),"Operating"))</f>
        <v/>
      </c>
      <c r="S1988" s="95">
        <f>IF((P1988-Q1988)=1,L1988,IF((P1988-Q1988)=-1,-J1988,0))</f>
        <v/>
      </c>
      <c r="T1988" s="95">
        <f>IF((P1988-Q1988)=1,N1988,IF((P1988-Q1988)=-1,-M1988,0))</f>
        <v/>
      </c>
      <c r="U1988" s="101">
        <f>IF(AND(H1988=1,LedAcct&lt;&gt;""),IF(AND(E1988&gt;=LedFrom,E1988&lt;=LedTo,OR(I1988=LedAcct,K1988=LedAcct,AND(LedAcct=acctTax,M1988+N1988&lt;&gt;0))),E1988*10000+B1988,""),"")</f>
        <v/>
      </c>
    </row>
    <row r="1989">
      <c r="B1989" s="101" t="n">
        <v>1983</v>
      </c>
      <c r="C1989" s="58" t="inlineStr">
        <is>
          <t>Transaction</t>
        </is>
      </c>
      <c r="D1989" s="58">
        <f>IF(H1989=1,INDEX(tx_ID,1983)&amp;"","")</f>
        <v/>
      </c>
      <c r="E1989" s="94">
        <f>IF(H1989=1,INDEX(tx_Date,1983),"")</f>
        <v/>
      </c>
      <c r="F1989" s="58">
        <f>IF(H1989=1,INDEX(tx_Desc,1983)&amp;"","")</f>
        <v/>
      </c>
      <c r="G1989" s="58">
        <f>IF(H1989=1,IF(INDEX(tx_Cust,1983)&amp;""&lt;&gt;"",INDEX(tx_Cust,1983)&amp;"",INDEX(tx_Vend,1983)&amp;""),"")</f>
        <v/>
      </c>
      <c r="H1989" s="101">
        <f>IFERROR(N(INDEX(tx_Posted,1983)),0)</f>
        <v/>
      </c>
      <c r="I1989" s="58">
        <f>IF(H1989=1,INDEX(tx_DrAcct,1983)&amp;"","")</f>
        <v/>
      </c>
      <c r="J1989" s="95">
        <f>IF(H1989=1,INDEX(tx_DrAmt,1983),0)</f>
        <v/>
      </c>
      <c r="K1989" s="58">
        <f>IF(H1989=1,INDEX(tx_CrAcct,1983)&amp;"","")</f>
        <v/>
      </c>
      <c r="L1989" s="95">
        <f>IF(H1989=1,INDEX(tx_CrAmt,1983),0)</f>
        <v/>
      </c>
      <c r="M1989" s="95">
        <f>IF(H1989=1,INDEX(tx_TaxDr,1983),0)</f>
        <v/>
      </c>
      <c r="N1989" s="95">
        <f>IF(H1989=1,INDEX(tx_TaxCr,1983),0)</f>
        <v/>
      </c>
      <c r="O1989" s="101">
        <f>IF(H1989=1,IF(E1989&lt;FYStart,0,IF(E1989&gt;FYEnd,13,YEAR(E1989)*12+MONTH(E1989)-FYYM+1)),"")</f>
        <v/>
      </c>
      <c r="P1989" s="101">
        <f>IF(H1989=1,IF(IFERROR(INDEX(coa_CF,MATCH(I1989,coa_Name,0)),"")="Cash",1,0),0)</f>
        <v/>
      </c>
      <c r="Q1989" s="101">
        <f>IF(H1989=1,IF(IFERROR(INDEX(coa_CF,MATCH(K1989,coa_Name,0)),"")="Cash",1,0),0)</f>
        <v/>
      </c>
      <c r="R1989" s="58">
        <f>IF((P1989-Q1989)=0,"",IFERROR(INDEX(coa_CF,MATCH(IF((P1989-Q1989)=1,K1989,I1989),coa_Name,0)),"Operating"))</f>
        <v/>
      </c>
      <c r="S1989" s="95">
        <f>IF((P1989-Q1989)=1,L1989,IF((P1989-Q1989)=-1,-J1989,0))</f>
        <v/>
      </c>
      <c r="T1989" s="95">
        <f>IF((P1989-Q1989)=1,N1989,IF((P1989-Q1989)=-1,-M1989,0))</f>
        <v/>
      </c>
      <c r="U1989" s="101">
        <f>IF(AND(H1989=1,LedAcct&lt;&gt;""),IF(AND(E1989&gt;=LedFrom,E1989&lt;=LedTo,OR(I1989=LedAcct,K1989=LedAcct,AND(LedAcct=acctTax,M1989+N1989&lt;&gt;0))),E1989*10000+B1989,""),"")</f>
        <v/>
      </c>
    </row>
    <row r="1990">
      <c r="B1990" s="101" t="n">
        <v>1984</v>
      </c>
      <c r="C1990" s="58" t="inlineStr">
        <is>
          <t>Transaction</t>
        </is>
      </c>
      <c r="D1990" s="58">
        <f>IF(H1990=1,INDEX(tx_ID,1984)&amp;"","")</f>
        <v/>
      </c>
      <c r="E1990" s="94">
        <f>IF(H1990=1,INDEX(tx_Date,1984),"")</f>
        <v/>
      </c>
      <c r="F1990" s="58">
        <f>IF(H1990=1,INDEX(tx_Desc,1984)&amp;"","")</f>
        <v/>
      </c>
      <c r="G1990" s="58">
        <f>IF(H1990=1,IF(INDEX(tx_Cust,1984)&amp;""&lt;&gt;"",INDEX(tx_Cust,1984)&amp;"",INDEX(tx_Vend,1984)&amp;""),"")</f>
        <v/>
      </c>
      <c r="H1990" s="101">
        <f>IFERROR(N(INDEX(tx_Posted,1984)),0)</f>
        <v/>
      </c>
      <c r="I1990" s="58">
        <f>IF(H1990=1,INDEX(tx_DrAcct,1984)&amp;"","")</f>
        <v/>
      </c>
      <c r="J1990" s="95">
        <f>IF(H1990=1,INDEX(tx_DrAmt,1984),0)</f>
        <v/>
      </c>
      <c r="K1990" s="58">
        <f>IF(H1990=1,INDEX(tx_CrAcct,1984)&amp;"","")</f>
        <v/>
      </c>
      <c r="L1990" s="95">
        <f>IF(H1990=1,INDEX(tx_CrAmt,1984),0)</f>
        <v/>
      </c>
      <c r="M1990" s="95">
        <f>IF(H1990=1,INDEX(tx_TaxDr,1984),0)</f>
        <v/>
      </c>
      <c r="N1990" s="95">
        <f>IF(H1990=1,INDEX(tx_TaxCr,1984),0)</f>
        <v/>
      </c>
      <c r="O1990" s="101">
        <f>IF(H1990=1,IF(E1990&lt;FYStart,0,IF(E1990&gt;FYEnd,13,YEAR(E1990)*12+MONTH(E1990)-FYYM+1)),"")</f>
        <v/>
      </c>
      <c r="P1990" s="101">
        <f>IF(H1990=1,IF(IFERROR(INDEX(coa_CF,MATCH(I1990,coa_Name,0)),"")="Cash",1,0),0)</f>
        <v/>
      </c>
      <c r="Q1990" s="101">
        <f>IF(H1990=1,IF(IFERROR(INDEX(coa_CF,MATCH(K1990,coa_Name,0)),"")="Cash",1,0),0)</f>
        <v/>
      </c>
      <c r="R1990" s="58">
        <f>IF((P1990-Q1990)=0,"",IFERROR(INDEX(coa_CF,MATCH(IF((P1990-Q1990)=1,K1990,I1990),coa_Name,0)),"Operating"))</f>
        <v/>
      </c>
      <c r="S1990" s="95">
        <f>IF((P1990-Q1990)=1,L1990,IF((P1990-Q1990)=-1,-J1990,0))</f>
        <v/>
      </c>
      <c r="T1990" s="95">
        <f>IF((P1990-Q1990)=1,N1990,IF((P1990-Q1990)=-1,-M1990,0))</f>
        <v/>
      </c>
      <c r="U1990" s="101">
        <f>IF(AND(H1990=1,LedAcct&lt;&gt;""),IF(AND(E1990&gt;=LedFrom,E1990&lt;=LedTo,OR(I1990=LedAcct,K1990=LedAcct,AND(LedAcct=acctTax,M1990+N1990&lt;&gt;0))),E1990*10000+B1990,""),"")</f>
        <v/>
      </c>
    </row>
    <row r="1991">
      <c r="B1991" s="101" t="n">
        <v>1985</v>
      </c>
      <c r="C1991" s="58" t="inlineStr">
        <is>
          <t>Transaction</t>
        </is>
      </c>
      <c r="D1991" s="58">
        <f>IF(H1991=1,INDEX(tx_ID,1985)&amp;"","")</f>
        <v/>
      </c>
      <c r="E1991" s="94">
        <f>IF(H1991=1,INDEX(tx_Date,1985),"")</f>
        <v/>
      </c>
      <c r="F1991" s="58">
        <f>IF(H1991=1,INDEX(tx_Desc,1985)&amp;"","")</f>
        <v/>
      </c>
      <c r="G1991" s="58">
        <f>IF(H1991=1,IF(INDEX(tx_Cust,1985)&amp;""&lt;&gt;"",INDEX(tx_Cust,1985)&amp;"",INDEX(tx_Vend,1985)&amp;""),"")</f>
        <v/>
      </c>
      <c r="H1991" s="101">
        <f>IFERROR(N(INDEX(tx_Posted,1985)),0)</f>
        <v/>
      </c>
      <c r="I1991" s="58">
        <f>IF(H1991=1,INDEX(tx_DrAcct,1985)&amp;"","")</f>
        <v/>
      </c>
      <c r="J1991" s="95">
        <f>IF(H1991=1,INDEX(tx_DrAmt,1985),0)</f>
        <v/>
      </c>
      <c r="K1991" s="58">
        <f>IF(H1991=1,INDEX(tx_CrAcct,1985)&amp;"","")</f>
        <v/>
      </c>
      <c r="L1991" s="95">
        <f>IF(H1991=1,INDEX(tx_CrAmt,1985),0)</f>
        <v/>
      </c>
      <c r="M1991" s="95">
        <f>IF(H1991=1,INDEX(tx_TaxDr,1985),0)</f>
        <v/>
      </c>
      <c r="N1991" s="95">
        <f>IF(H1991=1,INDEX(tx_TaxCr,1985),0)</f>
        <v/>
      </c>
      <c r="O1991" s="101">
        <f>IF(H1991=1,IF(E1991&lt;FYStart,0,IF(E1991&gt;FYEnd,13,YEAR(E1991)*12+MONTH(E1991)-FYYM+1)),"")</f>
        <v/>
      </c>
      <c r="P1991" s="101">
        <f>IF(H1991=1,IF(IFERROR(INDEX(coa_CF,MATCH(I1991,coa_Name,0)),"")="Cash",1,0),0)</f>
        <v/>
      </c>
      <c r="Q1991" s="101">
        <f>IF(H1991=1,IF(IFERROR(INDEX(coa_CF,MATCH(K1991,coa_Name,0)),"")="Cash",1,0),0)</f>
        <v/>
      </c>
      <c r="R1991" s="58">
        <f>IF((P1991-Q1991)=0,"",IFERROR(INDEX(coa_CF,MATCH(IF((P1991-Q1991)=1,K1991,I1991),coa_Name,0)),"Operating"))</f>
        <v/>
      </c>
      <c r="S1991" s="95">
        <f>IF((P1991-Q1991)=1,L1991,IF((P1991-Q1991)=-1,-J1991,0))</f>
        <v/>
      </c>
      <c r="T1991" s="95">
        <f>IF((P1991-Q1991)=1,N1991,IF((P1991-Q1991)=-1,-M1991,0))</f>
        <v/>
      </c>
      <c r="U1991" s="101">
        <f>IF(AND(H1991=1,LedAcct&lt;&gt;""),IF(AND(E1991&gt;=LedFrom,E1991&lt;=LedTo,OR(I1991=LedAcct,K1991=LedAcct,AND(LedAcct=acctTax,M1991+N1991&lt;&gt;0))),E1991*10000+B1991,""),"")</f>
        <v/>
      </c>
    </row>
    <row r="1992">
      <c r="B1992" s="101" t="n">
        <v>1986</v>
      </c>
      <c r="C1992" s="58" t="inlineStr">
        <is>
          <t>Transaction</t>
        </is>
      </c>
      <c r="D1992" s="58">
        <f>IF(H1992=1,INDEX(tx_ID,1986)&amp;"","")</f>
        <v/>
      </c>
      <c r="E1992" s="94">
        <f>IF(H1992=1,INDEX(tx_Date,1986),"")</f>
        <v/>
      </c>
      <c r="F1992" s="58">
        <f>IF(H1992=1,INDEX(tx_Desc,1986)&amp;"","")</f>
        <v/>
      </c>
      <c r="G1992" s="58">
        <f>IF(H1992=1,IF(INDEX(tx_Cust,1986)&amp;""&lt;&gt;"",INDEX(tx_Cust,1986)&amp;"",INDEX(tx_Vend,1986)&amp;""),"")</f>
        <v/>
      </c>
      <c r="H1992" s="101">
        <f>IFERROR(N(INDEX(tx_Posted,1986)),0)</f>
        <v/>
      </c>
      <c r="I1992" s="58">
        <f>IF(H1992=1,INDEX(tx_DrAcct,1986)&amp;"","")</f>
        <v/>
      </c>
      <c r="J1992" s="95">
        <f>IF(H1992=1,INDEX(tx_DrAmt,1986),0)</f>
        <v/>
      </c>
      <c r="K1992" s="58">
        <f>IF(H1992=1,INDEX(tx_CrAcct,1986)&amp;"","")</f>
        <v/>
      </c>
      <c r="L1992" s="95">
        <f>IF(H1992=1,INDEX(tx_CrAmt,1986),0)</f>
        <v/>
      </c>
      <c r="M1992" s="95">
        <f>IF(H1992=1,INDEX(tx_TaxDr,1986),0)</f>
        <v/>
      </c>
      <c r="N1992" s="95">
        <f>IF(H1992=1,INDEX(tx_TaxCr,1986),0)</f>
        <v/>
      </c>
      <c r="O1992" s="101">
        <f>IF(H1992=1,IF(E1992&lt;FYStart,0,IF(E1992&gt;FYEnd,13,YEAR(E1992)*12+MONTH(E1992)-FYYM+1)),"")</f>
        <v/>
      </c>
      <c r="P1992" s="101">
        <f>IF(H1992=1,IF(IFERROR(INDEX(coa_CF,MATCH(I1992,coa_Name,0)),"")="Cash",1,0),0)</f>
        <v/>
      </c>
      <c r="Q1992" s="101">
        <f>IF(H1992=1,IF(IFERROR(INDEX(coa_CF,MATCH(K1992,coa_Name,0)),"")="Cash",1,0),0)</f>
        <v/>
      </c>
      <c r="R1992" s="58">
        <f>IF((P1992-Q1992)=0,"",IFERROR(INDEX(coa_CF,MATCH(IF((P1992-Q1992)=1,K1992,I1992),coa_Name,0)),"Operating"))</f>
        <v/>
      </c>
      <c r="S1992" s="95">
        <f>IF((P1992-Q1992)=1,L1992,IF((P1992-Q1992)=-1,-J1992,0))</f>
        <v/>
      </c>
      <c r="T1992" s="95">
        <f>IF((P1992-Q1992)=1,N1992,IF((P1992-Q1992)=-1,-M1992,0))</f>
        <v/>
      </c>
      <c r="U1992" s="101">
        <f>IF(AND(H1992=1,LedAcct&lt;&gt;""),IF(AND(E1992&gt;=LedFrom,E1992&lt;=LedTo,OR(I1992=LedAcct,K1992=LedAcct,AND(LedAcct=acctTax,M1992+N1992&lt;&gt;0))),E1992*10000+B1992,""),"")</f>
        <v/>
      </c>
    </row>
    <row r="1993">
      <c r="B1993" s="101" t="n">
        <v>1987</v>
      </c>
      <c r="C1993" s="58" t="inlineStr">
        <is>
          <t>Transaction</t>
        </is>
      </c>
      <c r="D1993" s="58">
        <f>IF(H1993=1,INDEX(tx_ID,1987)&amp;"","")</f>
        <v/>
      </c>
      <c r="E1993" s="94">
        <f>IF(H1993=1,INDEX(tx_Date,1987),"")</f>
        <v/>
      </c>
      <c r="F1993" s="58">
        <f>IF(H1993=1,INDEX(tx_Desc,1987)&amp;"","")</f>
        <v/>
      </c>
      <c r="G1993" s="58">
        <f>IF(H1993=1,IF(INDEX(tx_Cust,1987)&amp;""&lt;&gt;"",INDEX(tx_Cust,1987)&amp;"",INDEX(tx_Vend,1987)&amp;""),"")</f>
        <v/>
      </c>
      <c r="H1993" s="101">
        <f>IFERROR(N(INDEX(tx_Posted,1987)),0)</f>
        <v/>
      </c>
      <c r="I1993" s="58">
        <f>IF(H1993=1,INDEX(tx_DrAcct,1987)&amp;"","")</f>
        <v/>
      </c>
      <c r="J1993" s="95">
        <f>IF(H1993=1,INDEX(tx_DrAmt,1987),0)</f>
        <v/>
      </c>
      <c r="K1993" s="58">
        <f>IF(H1993=1,INDEX(tx_CrAcct,1987)&amp;"","")</f>
        <v/>
      </c>
      <c r="L1993" s="95">
        <f>IF(H1993=1,INDEX(tx_CrAmt,1987),0)</f>
        <v/>
      </c>
      <c r="M1993" s="95">
        <f>IF(H1993=1,INDEX(tx_TaxDr,1987),0)</f>
        <v/>
      </c>
      <c r="N1993" s="95">
        <f>IF(H1993=1,INDEX(tx_TaxCr,1987),0)</f>
        <v/>
      </c>
      <c r="O1993" s="101">
        <f>IF(H1993=1,IF(E1993&lt;FYStart,0,IF(E1993&gt;FYEnd,13,YEAR(E1993)*12+MONTH(E1993)-FYYM+1)),"")</f>
        <v/>
      </c>
      <c r="P1993" s="101">
        <f>IF(H1993=1,IF(IFERROR(INDEX(coa_CF,MATCH(I1993,coa_Name,0)),"")="Cash",1,0),0)</f>
        <v/>
      </c>
      <c r="Q1993" s="101">
        <f>IF(H1993=1,IF(IFERROR(INDEX(coa_CF,MATCH(K1993,coa_Name,0)),"")="Cash",1,0),0)</f>
        <v/>
      </c>
      <c r="R1993" s="58">
        <f>IF((P1993-Q1993)=0,"",IFERROR(INDEX(coa_CF,MATCH(IF((P1993-Q1993)=1,K1993,I1993),coa_Name,0)),"Operating"))</f>
        <v/>
      </c>
      <c r="S1993" s="95">
        <f>IF((P1993-Q1993)=1,L1993,IF((P1993-Q1993)=-1,-J1993,0))</f>
        <v/>
      </c>
      <c r="T1993" s="95">
        <f>IF((P1993-Q1993)=1,N1993,IF((P1993-Q1993)=-1,-M1993,0))</f>
        <v/>
      </c>
      <c r="U1993" s="101">
        <f>IF(AND(H1993=1,LedAcct&lt;&gt;""),IF(AND(E1993&gt;=LedFrom,E1993&lt;=LedTo,OR(I1993=LedAcct,K1993=LedAcct,AND(LedAcct=acctTax,M1993+N1993&lt;&gt;0))),E1993*10000+B1993,""),"")</f>
        <v/>
      </c>
    </row>
    <row r="1994">
      <c r="B1994" s="101" t="n">
        <v>1988</v>
      </c>
      <c r="C1994" s="58" t="inlineStr">
        <is>
          <t>Transaction</t>
        </is>
      </c>
      <c r="D1994" s="58">
        <f>IF(H1994=1,INDEX(tx_ID,1988)&amp;"","")</f>
        <v/>
      </c>
      <c r="E1994" s="94">
        <f>IF(H1994=1,INDEX(tx_Date,1988),"")</f>
        <v/>
      </c>
      <c r="F1994" s="58">
        <f>IF(H1994=1,INDEX(tx_Desc,1988)&amp;"","")</f>
        <v/>
      </c>
      <c r="G1994" s="58">
        <f>IF(H1994=1,IF(INDEX(tx_Cust,1988)&amp;""&lt;&gt;"",INDEX(tx_Cust,1988)&amp;"",INDEX(tx_Vend,1988)&amp;""),"")</f>
        <v/>
      </c>
      <c r="H1994" s="101">
        <f>IFERROR(N(INDEX(tx_Posted,1988)),0)</f>
        <v/>
      </c>
      <c r="I1994" s="58">
        <f>IF(H1994=1,INDEX(tx_DrAcct,1988)&amp;"","")</f>
        <v/>
      </c>
      <c r="J1994" s="95">
        <f>IF(H1994=1,INDEX(tx_DrAmt,1988),0)</f>
        <v/>
      </c>
      <c r="K1994" s="58">
        <f>IF(H1994=1,INDEX(tx_CrAcct,1988)&amp;"","")</f>
        <v/>
      </c>
      <c r="L1994" s="95">
        <f>IF(H1994=1,INDEX(tx_CrAmt,1988),0)</f>
        <v/>
      </c>
      <c r="M1994" s="95">
        <f>IF(H1994=1,INDEX(tx_TaxDr,1988),0)</f>
        <v/>
      </c>
      <c r="N1994" s="95">
        <f>IF(H1994=1,INDEX(tx_TaxCr,1988),0)</f>
        <v/>
      </c>
      <c r="O1994" s="101">
        <f>IF(H1994=1,IF(E1994&lt;FYStart,0,IF(E1994&gt;FYEnd,13,YEAR(E1994)*12+MONTH(E1994)-FYYM+1)),"")</f>
        <v/>
      </c>
      <c r="P1994" s="101">
        <f>IF(H1994=1,IF(IFERROR(INDEX(coa_CF,MATCH(I1994,coa_Name,0)),"")="Cash",1,0),0)</f>
        <v/>
      </c>
      <c r="Q1994" s="101">
        <f>IF(H1994=1,IF(IFERROR(INDEX(coa_CF,MATCH(K1994,coa_Name,0)),"")="Cash",1,0),0)</f>
        <v/>
      </c>
      <c r="R1994" s="58">
        <f>IF((P1994-Q1994)=0,"",IFERROR(INDEX(coa_CF,MATCH(IF((P1994-Q1994)=1,K1994,I1994),coa_Name,0)),"Operating"))</f>
        <v/>
      </c>
      <c r="S1994" s="95">
        <f>IF((P1994-Q1994)=1,L1994,IF((P1994-Q1994)=-1,-J1994,0))</f>
        <v/>
      </c>
      <c r="T1994" s="95">
        <f>IF((P1994-Q1994)=1,N1994,IF((P1994-Q1994)=-1,-M1994,0))</f>
        <v/>
      </c>
      <c r="U1994" s="101">
        <f>IF(AND(H1994=1,LedAcct&lt;&gt;""),IF(AND(E1994&gt;=LedFrom,E1994&lt;=LedTo,OR(I1994=LedAcct,K1994=LedAcct,AND(LedAcct=acctTax,M1994+N1994&lt;&gt;0))),E1994*10000+B1994,""),"")</f>
        <v/>
      </c>
    </row>
    <row r="1995">
      <c r="B1995" s="101" t="n">
        <v>1989</v>
      </c>
      <c r="C1995" s="58" t="inlineStr">
        <is>
          <t>Transaction</t>
        </is>
      </c>
      <c r="D1995" s="58">
        <f>IF(H1995=1,INDEX(tx_ID,1989)&amp;"","")</f>
        <v/>
      </c>
      <c r="E1995" s="94">
        <f>IF(H1995=1,INDEX(tx_Date,1989),"")</f>
        <v/>
      </c>
      <c r="F1995" s="58">
        <f>IF(H1995=1,INDEX(tx_Desc,1989)&amp;"","")</f>
        <v/>
      </c>
      <c r="G1995" s="58">
        <f>IF(H1995=1,IF(INDEX(tx_Cust,1989)&amp;""&lt;&gt;"",INDEX(tx_Cust,1989)&amp;"",INDEX(tx_Vend,1989)&amp;""),"")</f>
        <v/>
      </c>
      <c r="H1995" s="101">
        <f>IFERROR(N(INDEX(tx_Posted,1989)),0)</f>
        <v/>
      </c>
      <c r="I1995" s="58">
        <f>IF(H1995=1,INDEX(tx_DrAcct,1989)&amp;"","")</f>
        <v/>
      </c>
      <c r="J1995" s="95">
        <f>IF(H1995=1,INDEX(tx_DrAmt,1989),0)</f>
        <v/>
      </c>
      <c r="K1995" s="58">
        <f>IF(H1995=1,INDEX(tx_CrAcct,1989)&amp;"","")</f>
        <v/>
      </c>
      <c r="L1995" s="95">
        <f>IF(H1995=1,INDEX(tx_CrAmt,1989),0)</f>
        <v/>
      </c>
      <c r="M1995" s="95">
        <f>IF(H1995=1,INDEX(tx_TaxDr,1989),0)</f>
        <v/>
      </c>
      <c r="N1995" s="95">
        <f>IF(H1995=1,INDEX(tx_TaxCr,1989),0)</f>
        <v/>
      </c>
      <c r="O1995" s="101">
        <f>IF(H1995=1,IF(E1995&lt;FYStart,0,IF(E1995&gt;FYEnd,13,YEAR(E1995)*12+MONTH(E1995)-FYYM+1)),"")</f>
        <v/>
      </c>
      <c r="P1995" s="101">
        <f>IF(H1995=1,IF(IFERROR(INDEX(coa_CF,MATCH(I1995,coa_Name,0)),"")="Cash",1,0),0)</f>
        <v/>
      </c>
      <c r="Q1995" s="101">
        <f>IF(H1995=1,IF(IFERROR(INDEX(coa_CF,MATCH(K1995,coa_Name,0)),"")="Cash",1,0),0)</f>
        <v/>
      </c>
      <c r="R1995" s="58">
        <f>IF((P1995-Q1995)=0,"",IFERROR(INDEX(coa_CF,MATCH(IF((P1995-Q1995)=1,K1995,I1995),coa_Name,0)),"Operating"))</f>
        <v/>
      </c>
      <c r="S1995" s="95">
        <f>IF((P1995-Q1995)=1,L1995,IF((P1995-Q1995)=-1,-J1995,0))</f>
        <v/>
      </c>
      <c r="T1995" s="95">
        <f>IF((P1995-Q1995)=1,N1995,IF((P1995-Q1995)=-1,-M1995,0))</f>
        <v/>
      </c>
      <c r="U1995" s="101">
        <f>IF(AND(H1995=1,LedAcct&lt;&gt;""),IF(AND(E1995&gt;=LedFrom,E1995&lt;=LedTo,OR(I1995=LedAcct,K1995=LedAcct,AND(LedAcct=acctTax,M1995+N1995&lt;&gt;0))),E1995*10000+B1995,""),"")</f>
        <v/>
      </c>
    </row>
    <row r="1996">
      <c r="B1996" s="101" t="n">
        <v>1990</v>
      </c>
      <c r="C1996" s="58" t="inlineStr">
        <is>
          <t>Transaction</t>
        </is>
      </c>
      <c r="D1996" s="58">
        <f>IF(H1996=1,INDEX(tx_ID,1990)&amp;"","")</f>
        <v/>
      </c>
      <c r="E1996" s="94">
        <f>IF(H1996=1,INDEX(tx_Date,1990),"")</f>
        <v/>
      </c>
      <c r="F1996" s="58">
        <f>IF(H1996=1,INDEX(tx_Desc,1990)&amp;"","")</f>
        <v/>
      </c>
      <c r="G1996" s="58">
        <f>IF(H1996=1,IF(INDEX(tx_Cust,1990)&amp;""&lt;&gt;"",INDEX(tx_Cust,1990)&amp;"",INDEX(tx_Vend,1990)&amp;""),"")</f>
        <v/>
      </c>
      <c r="H1996" s="101">
        <f>IFERROR(N(INDEX(tx_Posted,1990)),0)</f>
        <v/>
      </c>
      <c r="I1996" s="58">
        <f>IF(H1996=1,INDEX(tx_DrAcct,1990)&amp;"","")</f>
        <v/>
      </c>
      <c r="J1996" s="95">
        <f>IF(H1996=1,INDEX(tx_DrAmt,1990),0)</f>
        <v/>
      </c>
      <c r="K1996" s="58">
        <f>IF(H1996=1,INDEX(tx_CrAcct,1990)&amp;"","")</f>
        <v/>
      </c>
      <c r="L1996" s="95">
        <f>IF(H1996=1,INDEX(tx_CrAmt,1990),0)</f>
        <v/>
      </c>
      <c r="M1996" s="95">
        <f>IF(H1996=1,INDEX(tx_TaxDr,1990),0)</f>
        <v/>
      </c>
      <c r="N1996" s="95">
        <f>IF(H1996=1,INDEX(tx_TaxCr,1990),0)</f>
        <v/>
      </c>
      <c r="O1996" s="101">
        <f>IF(H1996=1,IF(E1996&lt;FYStart,0,IF(E1996&gt;FYEnd,13,YEAR(E1996)*12+MONTH(E1996)-FYYM+1)),"")</f>
        <v/>
      </c>
      <c r="P1996" s="101">
        <f>IF(H1996=1,IF(IFERROR(INDEX(coa_CF,MATCH(I1996,coa_Name,0)),"")="Cash",1,0),0)</f>
        <v/>
      </c>
      <c r="Q1996" s="101">
        <f>IF(H1996=1,IF(IFERROR(INDEX(coa_CF,MATCH(K1996,coa_Name,0)),"")="Cash",1,0),0)</f>
        <v/>
      </c>
      <c r="R1996" s="58">
        <f>IF((P1996-Q1996)=0,"",IFERROR(INDEX(coa_CF,MATCH(IF((P1996-Q1996)=1,K1996,I1996),coa_Name,0)),"Operating"))</f>
        <v/>
      </c>
      <c r="S1996" s="95">
        <f>IF((P1996-Q1996)=1,L1996,IF((P1996-Q1996)=-1,-J1996,0))</f>
        <v/>
      </c>
      <c r="T1996" s="95">
        <f>IF((P1996-Q1996)=1,N1996,IF((P1996-Q1996)=-1,-M1996,0))</f>
        <v/>
      </c>
      <c r="U1996" s="101">
        <f>IF(AND(H1996=1,LedAcct&lt;&gt;""),IF(AND(E1996&gt;=LedFrom,E1996&lt;=LedTo,OR(I1996=LedAcct,K1996=LedAcct,AND(LedAcct=acctTax,M1996+N1996&lt;&gt;0))),E1996*10000+B1996,""),"")</f>
        <v/>
      </c>
    </row>
    <row r="1997">
      <c r="B1997" s="101" t="n">
        <v>1991</v>
      </c>
      <c r="C1997" s="58" t="inlineStr">
        <is>
          <t>Transaction</t>
        </is>
      </c>
      <c r="D1997" s="58">
        <f>IF(H1997=1,INDEX(tx_ID,1991)&amp;"","")</f>
        <v/>
      </c>
      <c r="E1997" s="94">
        <f>IF(H1997=1,INDEX(tx_Date,1991),"")</f>
        <v/>
      </c>
      <c r="F1997" s="58">
        <f>IF(H1997=1,INDEX(tx_Desc,1991)&amp;"","")</f>
        <v/>
      </c>
      <c r="G1997" s="58">
        <f>IF(H1997=1,IF(INDEX(tx_Cust,1991)&amp;""&lt;&gt;"",INDEX(tx_Cust,1991)&amp;"",INDEX(tx_Vend,1991)&amp;""),"")</f>
        <v/>
      </c>
      <c r="H1997" s="101">
        <f>IFERROR(N(INDEX(tx_Posted,1991)),0)</f>
        <v/>
      </c>
      <c r="I1997" s="58">
        <f>IF(H1997=1,INDEX(tx_DrAcct,1991)&amp;"","")</f>
        <v/>
      </c>
      <c r="J1997" s="95">
        <f>IF(H1997=1,INDEX(tx_DrAmt,1991),0)</f>
        <v/>
      </c>
      <c r="K1997" s="58">
        <f>IF(H1997=1,INDEX(tx_CrAcct,1991)&amp;"","")</f>
        <v/>
      </c>
      <c r="L1997" s="95">
        <f>IF(H1997=1,INDEX(tx_CrAmt,1991),0)</f>
        <v/>
      </c>
      <c r="M1997" s="95">
        <f>IF(H1997=1,INDEX(tx_TaxDr,1991),0)</f>
        <v/>
      </c>
      <c r="N1997" s="95">
        <f>IF(H1997=1,INDEX(tx_TaxCr,1991),0)</f>
        <v/>
      </c>
      <c r="O1997" s="101">
        <f>IF(H1997=1,IF(E1997&lt;FYStart,0,IF(E1997&gt;FYEnd,13,YEAR(E1997)*12+MONTH(E1997)-FYYM+1)),"")</f>
        <v/>
      </c>
      <c r="P1997" s="101">
        <f>IF(H1997=1,IF(IFERROR(INDEX(coa_CF,MATCH(I1997,coa_Name,0)),"")="Cash",1,0),0)</f>
        <v/>
      </c>
      <c r="Q1997" s="101">
        <f>IF(H1997=1,IF(IFERROR(INDEX(coa_CF,MATCH(K1997,coa_Name,0)),"")="Cash",1,0),0)</f>
        <v/>
      </c>
      <c r="R1997" s="58">
        <f>IF((P1997-Q1997)=0,"",IFERROR(INDEX(coa_CF,MATCH(IF((P1997-Q1997)=1,K1997,I1997),coa_Name,0)),"Operating"))</f>
        <v/>
      </c>
      <c r="S1997" s="95">
        <f>IF((P1997-Q1997)=1,L1997,IF((P1997-Q1997)=-1,-J1997,0))</f>
        <v/>
      </c>
      <c r="T1997" s="95">
        <f>IF((P1997-Q1997)=1,N1997,IF((P1997-Q1997)=-1,-M1997,0))</f>
        <v/>
      </c>
      <c r="U1997" s="101">
        <f>IF(AND(H1997=1,LedAcct&lt;&gt;""),IF(AND(E1997&gt;=LedFrom,E1997&lt;=LedTo,OR(I1997=LedAcct,K1997=LedAcct,AND(LedAcct=acctTax,M1997+N1997&lt;&gt;0))),E1997*10000+B1997,""),"")</f>
        <v/>
      </c>
    </row>
    <row r="1998">
      <c r="B1998" s="101" t="n">
        <v>1992</v>
      </c>
      <c r="C1998" s="58" t="inlineStr">
        <is>
          <t>Transaction</t>
        </is>
      </c>
      <c r="D1998" s="58">
        <f>IF(H1998=1,INDEX(tx_ID,1992)&amp;"","")</f>
        <v/>
      </c>
      <c r="E1998" s="94">
        <f>IF(H1998=1,INDEX(tx_Date,1992),"")</f>
        <v/>
      </c>
      <c r="F1998" s="58">
        <f>IF(H1998=1,INDEX(tx_Desc,1992)&amp;"","")</f>
        <v/>
      </c>
      <c r="G1998" s="58">
        <f>IF(H1998=1,IF(INDEX(tx_Cust,1992)&amp;""&lt;&gt;"",INDEX(tx_Cust,1992)&amp;"",INDEX(tx_Vend,1992)&amp;""),"")</f>
        <v/>
      </c>
      <c r="H1998" s="101">
        <f>IFERROR(N(INDEX(tx_Posted,1992)),0)</f>
        <v/>
      </c>
      <c r="I1998" s="58">
        <f>IF(H1998=1,INDEX(tx_DrAcct,1992)&amp;"","")</f>
        <v/>
      </c>
      <c r="J1998" s="95">
        <f>IF(H1998=1,INDEX(tx_DrAmt,1992),0)</f>
        <v/>
      </c>
      <c r="K1998" s="58">
        <f>IF(H1998=1,INDEX(tx_CrAcct,1992)&amp;"","")</f>
        <v/>
      </c>
      <c r="L1998" s="95">
        <f>IF(H1998=1,INDEX(tx_CrAmt,1992),0)</f>
        <v/>
      </c>
      <c r="M1998" s="95">
        <f>IF(H1998=1,INDEX(tx_TaxDr,1992),0)</f>
        <v/>
      </c>
      <c r="N1998" s="95">
        <f>IF(H1998=1,INDEX(tx_TaxCr,1992),0)</f>
        <v/>
      </c>
      <c r="O1998" s="101">
        <f>IF(H1998=1,IF(E1998&lt;FYStart,0,IF(E1998&gt;FYEnd,13,YEAR(E1998)*12+MONTH(E1998)-FYYM+1)),"")</f>
        <v/>
      </c>
      <c r="P1998" s="101">
        <f>IF(H1998=1,IF(IFERROR(INDEX(coa_CF,MATCH(I1998,coa_Name,0)),"")="Cash",1,0),0)</f>
        <v/>
      </c>
      <c r="Q1998" s="101">
        <f>IF(H1998=1,IF(IFERROR(INDEX(coa_CF,MATCH(K1998,coa_Name,0)),"")="Cash",1,0),0)</f>
        <v/>
      </c>
      <c r="R1998" s="58">
        <f>IF((P1998-Q1998)=0,"",IFERROR(INDEX(coa_CF,MATCH(IF((P1998-Q1998)=1,K1998,I1998),coa_Name,0)),"Operating"))</f>
        <v/>
      </c>
      <c r="S1998" s="95">
        <f>IF((P1998-Q1998)=1,L1998,IF((P1998-Q1998)=-1,-J1998,0))</f>
        <v/>
      </c>
      <c r="T1998" s="95">
        <f>IF((P1998-Q1998)=1,N1998,IF((P1998-Q1998)=-1,-M1998,0))</f>
        <v/>
      </c>
      <c r="U1998" s="101">
        <f>IF(AND(H1998=1,LedAcct&lt;&gt;""),IF(AND(E1998&gt;=LedFrom,E1998&lt;=LedTo,OR(I1998=LedAcct,K1998=LedAcct,AND(LedAcct=acctTax,M1998+N1998&lt;&gt;0))),E1998*10000+B1998,""),"")</f>
        <v/>
      </c>
    </row>
    <row r="1999">
      <c r="B1999" s="101" t="n">
        <v>1993</v>
      </c>
      <c r="C1999" s="58" t="inlineStr">
        <is>
          <t>Transaction</t>
        </is>
      </c>
      <c r="D1999" s="58">
        <f>IF(H1999=1,INDEX(tx_ID,1993)&amp;"","")</f>
        <v/>
      </c>
      <c r="E1999" s="94">
        <f>IF(H1999=1,INDEX(tx_Date,1993),"")</f>
        <v/>
      </c>
      <c r="F1999" s="58">
        <f>IF(H1999=1,INDEX(tx_Desc,1993)&amp;"","")</f>
        <v/>
      </c>
      <c r="G1999" s="58">
        <f>IF(H1999=1,IF(INDEX(tx_Cust,1993)&amp;""&lt;&gt;"",INDEX(tx_Cust,1993)&amp;"",INDEX(tx_Vend,1993)&amp;""),"")</f>
        <v/>
      </c>
      <c r="H1999" s="101">
        <f>IFERROR(N(INDEX(tx_Posted,1993)),0)</f>
        <v/>
      </c>
      <c r="I1999" s="58">
        <f>IF(H1999=1,INDEX(tx_DrAcct,1993)&amp;"","")</f>
        <v/>
      </c>
      <c r="J1999" s="95">
        <f>IF(H1999=1,INDEX(tx_DrAmt,1993),0)</f>
        <v/>
      </c>
      <c r="K1999" s="58">
        <f>IF(H1999=1,INDEX(tx_CrAcct,1993)&amp;"","")</f>
        <v/>
      </c>
      <c r="L1999" s="95">
        <f>IF(H1999=1,INDEX(tx_CrAmt,1993),0)</f>
        <v/>
      </c>
      <c r="M1999" s="95">
        <f>IF(H1999=1,INDEX(tx_TaxDr,1993),0)</f>
        <v/>
      </c>
      <c r="N1999" s="95">
        <f>IF(H1999=1,INDEX(tx_TaxCr,1993),0)</f>
        <v/>
      </c>
      <c r="O1999" s="101">
        <f>IF(H1999=1,IF(E1999&lt;FYStart,0,IF(E1999&gt;FYEnd,13,YEAR(E1999)*12+MONTH(E1999)-FYYM+1)),"")</f>
        <v/>
      </c>
      <c r="P1999" s="101">
        <f>IF(H1999=1,IF(IFERROR(INDEX(coa_CF,MATCH(I1999,coa_Name,0)),"")="Cash",1,0),0)</f>
        <v/>
      </c>
      <c r="Q1999" s="101">
        <f>IF(H1999=1,IF(IFERROR(INDEX(coa_CF,MATCH(K1999,coa_Name,0)),"")="Cash",1,0),0)</f>
        <v/>
      </c>
      <c r="R1999" s="58">
        <f>IF((P1999-Q1999)=0,"",IFERROR(INDEX(coa_CF,MATCH(IF((P1999-Q1999)=1,K1999,I1999),coa_Name,0)),"Operating"))</f>
        <v/>
      </c>
      <c r="S1999" s="95">
        <f>IF((P1999-Q1999)=1,L1999,IF((P1999-Q1999)=-1,-J1999,0))</f>
        <v/>
      </c>
      <c r="T1999" s="95">
        <f>IF((P1999-Q1999)=1,N1999,IF((P1999-Q1999)=-1,-M1999,0))</f>
        <v/>
      </c>
      <c r="U1999" s="101">
        <f>IF(AND(H1999=1,LedAcct&lt;&gt;""),IF(AND(E1999&gt;=LedFrom,E1999&lt;=LedTo,OR(I1999=LedAcct,K1999=LedAcct,AND(LedAcct=acctTax,M1999+N1999&lt;&gt;0))),E1999*10000+B1999,""),"")</f>
        <v/>
      </c>
    </row>
    <row r="2000">
      <c r="B2000" s="101" t="n">
        <v>1994</v>
      </c>
      <c r="C2000" s="58" t="inlineStr">
        <is>
          <t>Transaction</t>
        </is>
      </c>
      <c r="D2000" s="58">
        <f>IF(H2000=1,INDEX(tx_ID,1994)&amp;"","")</f>
        <v/>
      </c>
      <c r="E2000" s="94">
        <f>IF(H2000=1,INDEX(tx_Date,1994),"")</f>
        <v/>
      </c>
      <c r="F2000" s="58">
        <f>IF(H2000=1,INDEX(tx_Desc,1994)&amp;"","")</f>
        <v/>
      </c>
      <c r="G2000" s="58">
        <f>IF(H2000=1,IF(INDEX(tx_Cust,1994)&amp;""&lt;&gt;"",INDEX(tx_Cust,1994)&amp;"",INDEX(tx_Vend,1994)&amp;""),"")</f>
        <v/>
      </c>
      <c r="H2000" s="101">
        <f>IFERROR(N(INDEX(tx_Posted,1994)),0)</f>
        <v/>
      </c>
      <c r="I2000" s="58">
        <f>IF(H2000=1,INDEX(tx_DrAcct,1994)&amp;"","")</f>
        <v/>
      </c>
      <c r="J2000" s="95">
        <f>IF(H2000=1,INDEX(tx_DrAmt,1994),0)</f>
        <v/>
      </c>
      <c r="K2000" s="58">
        <f>IF(H2000=1,INDEX(tx_CrAcct,1994)&amp;"","")</f>
        <v/>
      </c>
      <c r="L2000" s="95">
        <f>IF(H2000=1,INDEX(tx_CrAmt,1994),0)</f>
        <v/>
      </c>
      <c r="M2000" s="95">
        <f>IF(H2000=1,INDEX(tx_TaxDr,1994),0)</f>
        <v/>
      </c>
      <c r="N2000" s="95">
        <f>IF(H2000=1,INDEX(tx_TaxCr,1994),0)</f>
        <v/>
      </c>
      <c r="O2000" s="101">
        <f>IF(H2000=1,IF(E2000&lt;FYStart,0,IF(E2000&gt;FYEnd,13,YEAR(E2000)*12+MONTH(E2000)-FYYM+1)),"")</f>
        <v/>
      </c>
      <c r="P2000" s="101">
        <f>IF(H2000=1,IF(IFERROR(INDEX(coa_CF,MATCH(I2000,coa_Name,0)),"")="Cash",1,0),0)</f>
        <v/>
      </c>
      <c r="Q2000" s="101">
        <f>IF(H2000=1,IF(IFERROR(INDEX(coa_CF,MATCH(K2000,coa_Name,0)),"")="Cash",1,0),0)</f>
        <v/>
      </c>
      <c r="R2000" s="58">
        <f>IF((P2000-Q2000)=0,"",IFERROR(INDEX(coa_CF,MATCH(IF((P2000-Q2000)=1,K2000,I2000),coa_Name,0)),"Operating"))</f>
        <v/>
      </c>
      <c r="S2000" s="95">
        <f>IF((P2000-Q2000)=1,L2000,IF((P2000-Q2000)=-1,-J2000,0))</f>
        <v/>
      </c>
      <c r="T2000" s="95">
        <f>IF((P2000-Q2000)=1,N2000,IF((P2000-Q2000)=-1,-M2000,0))</f>
        <v/>
      </c>
      <c r="U2000" s="101">
        <f>IF(AND(H2000=1,LedAcct&lt;&gt;""),IF(AND(E2000&gt;=LedFrom,E2000&lt;=LedTo,OR(I2000=LedAcct,K2000=LedAcct,AND(LedAcct=acctTax,M2000+N2000&lt;&gt;0))),E2000*10000+B2000,""),"")</f>
        <v/>
      </c>
    </row>
    <row r="2001">
      <c r="B2001" s="101" t="n">
        <v>1995</v>
      </c>
      <c r="C2001" s="58" t="inlineStr">
        <is>
          <t>Transaction</t>
        </is>
      </c>
      <c r="D2001" s="58">
        <f>IF(H2001=1,INDEX(tx_ID,1995)&amp;"","")</f>
        <v/>
      </c>
      <c r="E2001" s="94">
        <f>IF(H2001=1,INDEX(tx_Date,1995),"")</f>
        <v/>
      </c>
      <c r="F2001" s="58">
        <f>IF(H2001=1,INDEX(tx_Desc,1995)&amp;"","")</f>
        <v/>
      </c>
      <c r="G2001" s="58">
        <f>IF(H2001=1,IF(INDEX(tx_Cust,1995)&amp;""&lt;&gt;"",INDEX(tx_Cust,1995)&amp;"",INDEX(tx_Vend,1995)&amp;""),"")</f>
        <v/>
      </c>
      <c r="H2001" s="101">
        <f>IFERROR(N(INDEX(tx_Posted,1995)),0)</f>
        <v/>
      </c>
      <c r="I2001" s="58">
        <f>IF(H2001=1,INDEX(tx_DrAcct,1995)&amp;"","")</f>
        <v/>
      </c>
      <c r="J2001" s="95">
        <f>IF(H2001=1,INDEX(tx_DrAmt,1995),0)</f>
        <v/>
      </c>
      <c r="K2001" s="58">
        <f>IF(H2001=1,INDEX(tx_CrAcct,1995)&amp;"","")</f>
        <v/>
      </c>
      <c r="L2001" s="95">
        <f>IF(H2001=1,INDEX(tx_CrAmt,1995),0)</f>
        <v/>
      </c>
      <c r="M2001" s="95">
        <f>IF(H2001=1,INDEX(tx_TaxDr,1995),0)</f>
        <v/>
      </c>
      <c r="N2001" s="95">
        <f>IF(H2001=1,INDEX(tx_TaxCr,1995),0)</f>
        <v/>
      </c>
      <c r="O2001" s="101">
        <f>IF(H2001=1,IF(E2001&lt;FYStart,0,IF(E2001&gt;FYEnd,13,YEAR(E2001)*12+MONTH(E2001)-FYYM+1)),"")</f>
        <v/>
      </c>
      <c r="P2001" s="101">
        <f>IF(H2001=1,IF(IFERROR(INDEX(coa_CF,MATCH(I2001,coa_Name,0)),"")="Cash",1,0),0)</f>
        <v/>
      </c>
      <c r="Q2001" s="101">
        <f>IF(H2001=1,IF(IFERROR(INDEX(coa_CF,MATCH(K2001,coa_Name,0)),"")="Cash",1,0),0)</f>
        <v/>
      </c>
      <c r="R2001" s="58">
        <f>IF((P2001-Q2001)=0,"",IFERROR(INDEX(coa_CF,MATCH(IF((P2001-Q2001)=1,K2001,I2001),coa_Name,0)),"Operating"))</f>
        <v/>
      </c>
      <c r="S2001" s="95">
        <f>IF((P2001-Q2001)=1,L2001,IF((P2001-Q2001)=-1,-J2001,0))</f>
        <v/>
      </c>
      <c r="T2001" s="95">
        <f>IF((P2001-Q2001)=1,N2001,IF((P2001-Q2001)=-1,-M2001,0))</f>
        <v/>
      </c>
      <c r="U2001" s="101">
        <f>IF(AND(H2001=1,LedAcct&lt;&gt;""),IF(AND(E2001&gt;=LedFrom,E2001&lt;=LedTo,OR(I2001=LedAcct,K2001=LedAcct,AND(LedAcct=acctTax,M2001+N2001&lt;&gt;0))),E2001*10000+B2001,""),"")</f>
        <v/>
      </c>
    </row>
    <row r="2002">
      <c r="B2002" s="101" t="n">
        <v>1996</v>
      </c>
      <c r="C2002" s="58" t="inlineStr">
        <is>
          <t>Transaction</t>
        </is>
      </c>
      <c r="D2002" s="58">
        <f>IF(H2002=1,INDEX(tx_ID,1996)&amp;"","")</f>
        <v/>
      </c>
      <c r="E2002" s="94">
        <f>IF(H2002=1,INDEX(tx_Date,1996),"")</f>
        <v/>
      </c>
      <c r="F2002" s="58">
        <f>IF(H2002=1,INDEX(tx_Desc,1996)&amp;"","")</f>
        <v/>
      </c>
      <c r="G2002" s="58">
        <f>IF(H2002=1,IF(INDEX(tx_Cust,1996)&amp;""&lt;&gt;"",INDEX(tx_Cust,1996)&amp;"",INDEX(tx_Vend,1996)&amp;""),"")</f>
        <v/>
      </c>
      <c r="H2002" s="101">
        <f>IFERROR(N(INDEX(tx_Posted,1996)),0)</f>
        <v/>
      </c>
      <c r="I2002" s="58">
        <f>IF(H2002=1,INDEX(tx_DrAcct,1996)&amp;"","")</f>
        <v/>
      </c>
      <c r="J2002" s="95">
        <f>IF(H2002=1,INDEX(tx_DrAmt,1996),0)</f>
        <v/>
      </c>
      <c r="K2002" s="58">
        <f>IF(H2002=1,INDEX(tx_CrAcct,1996)&amp;"","")</f>
        <v/>
      </c>
      <c r="L2002" s="95">
        <f>IF(H2002=1,INDEX(tx_CrAmt,1996),0)</f>
        <v/>
      </c>
      <c r="M2002" s="95">
        <f>IF(H2002=1,INDEX(tx_TaxDr,1996),0)</f>
        <v/>
      </c>
      <c r="N2002" s="95">
        <f>IF(H2002=1,INDEX(tx_TaxCr,1996),0)</f>
        <v/>
      </c>
      <c r="O2002" s="101">
        <f>IF(H2002=1,IF(E2002&lt;FYStart,0,IF(E2002&gt;FYEnd,13,YEAR(E2002)*12+MONTH(E2002)-FYYM+1)),"")</f>
        <v/>
      </c>
      <c r="P2002" s="101">
        <f>IF(H2002=1,IF(IFERROR(INDEX(coa_CF,MATCH(I2002,coa_Name,0)),"")="Cash",1,0),0)</f>
        <v/>
      </c>
      <c r="Q2002" s="101">
        <f>IF(H2002=1,IF(IFERROR(INDEX(coa_CF,MATCH(K2002,coa_Name,0)),"")="Cash",1,0),0)</f>
        <v/>
      </c>
      <c r="R2002" s="58">
        <f>IF((P2002-Q2002)=0,"",IFERROR(INDEX(coa_CF,MATCH(IF((P2002-Q2002)=1,K2002,I2002),coa_Name,0)),"Operating"))</f>
        <v/>
      </c>
      <c r="S2002" s="95">
        <f>IF((P2002-Q2002)=1,L2002,IF((P2002-Q2002)=-1,-J2002,0))</f>
        <v/>
      </c>
      <c r="T2002" s="95">
        <f>IF((P2002-Q2002)=1,N2002,IF((P2002-Q2002)=-1,-M2002,0))</f>
        <v/>
      </c>
      <c r="U2002" s="101">
        <f>IF(AND(H2002=1,LedAcct&lt;&gt;""),IF(AND(E2002&gt;=LedFrom,E2002&lt;=LedTo,OR(I2002=LedAcct,K2002=LedAcct,AND(LedAcct=acctTax,M2002+N2002&lt;&gt;0))),E2002*10000+B2002,""),"")</f>
        <v/>
      </c>
    </row>
    <row r="2003">
      <c r="B2003" s="101" t="n">
        <v>1997</v>
      </c>
      <c r="C2003" s="58" t="inlineStr">
        <is>
          <t>Transaction</t>
        </is>
      </c>
      <c r="D2003" s="58">
        <f>IF(H2003=1,INDEX(tx_ID,1997)&amp;"","")</f>
        <v/>
      </c>
      <c r="E2003" s="94">
        <f>IF(H2003=1,INDEX(tx_Date,1997),"")</f>
        <v/>
      </c>
      <c r="F2003" s="58">
        <f>IF(H2003=1,INDEX(tx_Desc,1997)&amp;"","")</f>
        <v/>
      </c>
      <c r="G2003" s="58">
        <f>IF(H2003=1,IF(INDEX(tx_Cust,1997)&amp;""&lt;&gt;"",INDEX(tx_Cust,1997)&amp;"",INDEX(tx_Vend,1997)&amp;""),"")</f>
        <v/>
      </c>
      <c r="H2003" s="101">
        <f>IFERROR(N(INDEX(tx_Posted,1997)),0)</f>
        <v/>
      </c>
      <c r="I2003" s="58">
        <f>IF(H2003=1,INDEX(tx_DrAcct,1997)&amp;"","")</f>
        <v/>
      </c>
      <c r="J2003" s="95">
        <f>IF(H2003=1,INDEX(tx_DrAmt,1997),0)</f>
        <v/>
      </c>
      <c r="K2003" s="58">
        <f>IF(H2003=1,INDEX(tx_CrAcct,1997)&amp;"","")</f>
        <v/>
      </c>
      <c r="L2003" s="95">
        <f>IF(H2003=1,INDEX(tx_CrAmt,1997),0)</f>
        <v/>
      </c>
      <c r="M2003" s="95">
        <f>IF(H2003=1,INDEX(tx_TaxDr,1997),0)</f>
        <v/>
      </c>
      <c r="N2003" s="95">
        <f>IF(H2003=1,INDEX(tx_TaxCr,1997),0)</f>
        <v/>
      </c>
      <c r="O2003" s="101">
        <f>IF(H2003=1,IF(E2003&lt;FYStart,0,IF(E2003&gt;FYEnd,13,YEAR(E2003)*12+MONTH(E2003)-FYYM+1)),"")</f>
        <v/>
      </c>
      <c r="P2003" s="101">
        <f>IF(H2003=1,IF(IFERROR(INDEX(coa_CF,MATCH(I2003,coa_Name,0)),"")="Cash",1,0),0)</f>
        <v/>
      </c>
      <c r="Q2003" s="101">
        <f>IF(H2003=1,IF(IFERROR(INDEX(coa_CF,MATCH(K2003,coa_Name,0)),"")="Cash",1,0),0)</f>
        <v/>
      </c>
      <c r="R2003" s="58">
        <f>IF((P2003-Q2003)=0,"",IFERROR(INDEX(coa_CF,MATCH(IF((P2003-Q2003)=1,K2003,I2003),coa_Name,0)),"Operating"))</f>
        <v/>
      </c>
      <c r="S2003" s="95">
        <f>IF((P2003-Q2003)=1,L2003,IF((P2003-Q2003)=-1,-J2003,0))</f>
        <v/>
      </c>
      <c r="T2003" s="95">
        <f>IF((P2003-Q2003)=1,N2003,IF((P2003-Q2003)=-1,-M2003,0))</f>
        <v/>
      </c>
      <c r="U2003" s="101">
        <f>IF(AND(H2003=1,LedAcct&lt;&gt;""),IF(AND(E2003&gt;=LedFrom,E2003&lt;=LedTo,OR(I2003=LedAcct,K2003=LedAcct,AND(LedAcct=acctTax,M2003+N2003&lt;&gt;0))),E2003*10000+B2003,""),"")</f>
        <v/>
      </c>
    </row>
    <row r="2004">
      <c r="B2004" s="101" t="n">
        <v>1998</v>
      </c>
      <c r="C2004" s="58" t="inlineStr">
        <is>
          <t>Transaction</t>
        </is>
      </c>
      <c r="D2004" s="58">
        <f>IF(H2004=1,INDEX(tx_ID,1998)&amp;"","")</f>
        <v/>
      </c>
      <c r="E2004" s="94">
        <f>IF(H2004=1,INDEX(tx_Date,1998),"")</f>
        <v/>
      </c>
      <c r="F2004" s="58">
        <f>IF(H2004=1,INDEX(tx_Desc,1998)&amp;"","")</f>
        <v/>
      </c>
      <c r="G2004" s="58">
        <f>IF(H2004=1,IF(INDEX(tx_Cust,1998)&amp;""&lt;&gt;"",INDEX(tx_Cust,1998)&amp;"",INDEX(tx_Vend,1998)&amp;""),"")</f>
        <v/>
      </c>
      <c r="H2004" s="101">
        <f>IFERROR(N(INDEX(tx_Posted,1998)),0)</f>
        <v/>
      </c>
      <c r="I2004" s="58">
        <f>IF(H2004=1,INDEX(tx_DrAcct,1998)&amp;"","")</f>
        <v/>
      </c>
      <c r="J2004" s="95">
        <f>IF(H2004=1,INDEX(tx_DrAmt,1998),0)</f>
        <v/>
      </c>
      <c r="K2004" s="58">
        <f>IF(H2004=1,INDEX(tx_CrAcct,1998)&amp;"","")</f>
        <v/>
      </c>
      <c r="L2004" s="95">
        <f>IF(H2004=1,INDEX(tx_CrAmt,1998),0)</f>
        <v/>
      </c>
      <c r="M2004" s="95">
        <f>IF(H2004=1,INDEX(tx_TaxDr,1998),0)</f>
        <v/>
      </c>
      <c r="N2004" s="95">
        <f>IF(H2004=1,INDEX(tx_TaxCr,1998),0)</f>
        <v/>
      </c>
      <c r="O2004" s="101">
        <f>IF(H2004=1,IF(E2004&lt;FYStart,0,IF(E2004&gt;FYEnd,13,YEAR(E2004)*12+MONTH(E2004)-FYYM+1)),"")</f>
        <v/>
      </c>
      <c r="P2004" s="101">
        <f>IF(H2004=1,IF(IFERROR(INDEX(coa_CF,MATCH(I2004,coa_Name,0)),"")="Cash",1,0),0)</f>
        <v/>
      </c>
      <c r="Q2004" s="101">
        <f>IF(H2004=1,IF(IFERROR(INDEX(coa_CF,MATCH(K2004,coa_Name,0)),"")="Cash",1,0),0)</f>
        <v/>
      </c>
      <c r="R2004" s="58">
        <f>IF((P2004-Q2004)=0,"",IFERROR(INDEX(coa_CF,MATCH(IF((P2004-Q2004)=1,K2004,I2004),coa_Name,0)),"Operating"))</f>
        <v/>
      </c>
      <c r="S2004" s="95">
        <f>IF((P2004-Q2004)=1,L2004,IF((P2004-Q2004)=-1,-J2004,0))</f>
        <v/>
      </c>
      <c r="T2004" s="95">
        <f>IF((P2004-Q2004)=1,N2004,IF((P2004-Q2004)=-1,-M2004,0))</f>
        <v/>
      </c>
      <c r="U2004" s="101">
        <f>IF(AND(H2004=1,LedAcct&lt;&gt;""),IF(AND(E2004&gt;=LedFrom,E2004&lt;=LedTo,OR(I2004=LedAcct,K2004=LedAcct,AND(LedAcct=acctTax,M2004+N2004&lt;&gt;0))),E2004*10000+B2004,""),"")</f>
        <v/>
      </c>
    </row>
    <row r="2005">
      <c r="B2005" s="101" t="n">
        <v>1999</v>
      </c>
      <c r="C2005" s="58" t="inlineStr">
        <is>
          <t>Transaction</t>
        </is>
      </c>
      <c r="D2005" s="58">
        <f>IF(H2005=1,INDEX(tx_ID,1999)&amp;"","")</f>
        <v/>
      </c>
      <c r="E2005" s="94">
        <f>IF(H2005=1,INDEX(tx_Date,1999),"")</f>
        <v/>
      </c>
      <c r="F2005" s="58">
        <f>IF(H2005=1,INDEX(tx_Desc,1999)&amp;"","")</f>
        <v/>
      </c>
      <c r="G2005" s="58">
        <f>IF(H2005=1,IF(INDEX(tx_Cust,1999)&amp;""&lt;&gt;"",INDEX(tx_Cust,1999)&amp;"",INDEX(tx_Vend,1999)&amp;""),"")</f>
        <v/>
      </c>
      <c r="H2005" s="101">
        <f>IFERROR(N(INDEX(tx_Posted,1999)),0)</f>
        <v/>
      </c>
      <c r="I2005" s="58">
        <f>IF(H2005=1,INDEX(tx_DrAcct,1999)&amp;"","")</f>
        <v/>
      </c>
      <c r="J2005" s="95">
        <f>IF(H2005=1,INDEX(tx_DrAmt,1999),0)</f>
        <v/>
      </c>
      <c r="K2005" s="58">
        <f>IF(H2005=1,INDEX(tx_CrAcct,1999)&amp;"","")</f>
        <v/>
      </c>
      <c r="L2005" s="95">
        <f>IF(H2005=1,INDEX(tx_CrAmt,1999),0)</f>
        <v/>
      </c>
      <c r="M2005" s="95">
        <f>IF(H2005=1,INDEX(tx_TaxDr,1999),0)</f>
        <v/>
      </c>
      <c r="N2005" s="95">
        <f>IF(H2005=1,INDEX(tx_TaxCr,1999),0)</f>
        <v/>
      </c>
      <c r="O2005" s="101">
        <f>IF(H2005=1,IF(E2005&lt;FYStart,0,IF(E2005&gt;FYEnd,13,YEAR(E2005)*12+MONTH(E2005)-FYYM+1)),"")</f>
        <v/>
      </c>
      <c r="P2005" s="101">
        <f>IF(H2005=1,IF(IFERROR(INDEX(coa_CF,MATCH(I2005,coa_Name,0)),"")="Cash",1,0),0)</f>
        <v/>
      </c>
      <c r="Q2005" s="101">
        <f>IF(H2005=1,IF(IFERROR(INDEX(coa_CF,MATCH(K2005,coa_Name,0)),"")="Cash",1,0),0)</f>
        <v/>
      </c>
      <c r="R2005" s="58">
        <f>IF((P2005-Q2005)=0,"",IFERROR(INDEX(coa_CF,MATCH(IF((P2005-Q2005)=1,K2005,I2005),coa_Name,0)),"Operating"))</f>
        <v/>
      </c>
      <c r="S2005" s="95">
        <f>IF((P2005-Q2005)=1,L2005,IF((P2005-Q2005)=-1,-J2005,0))</f>
        <v/>
      </c>
      <c r="T2005" s="95">
        <f>IF((P2005-Q2005)=1,N2005,IF((P2005-Q2005)=-1,-M2005,0))</f>
        <v/>
      </c>
      <c r="U2005" s="101">
        <f>IF(AND(H2005=1,LedAcct&lt;&gt;""),IF(AND(E2005&gt;=LedFrom,E2005&lt;=LedTo,OR(I2005=LedAcct,K2005=LedAcct,AND(LedAcct=acctTax,M2005+N2005&lt;&gt;0))),E2005*10000+B2005,""),"")</f>
        <v/>
      </c>
    </row>
    <row r="2006">
      <c r="B2006" s="101" t="n">
        <v>2000</v>
      </c>
      <c r="C2006" s="58" t="inlineStr">
        <is>
          <t>Transaction</t>
        </is>
      </c>
      <c r="D2006" s="58">
        <f>IF(H2006=1,INDEX(tx_ID,2000)&amp;"","")</f>
        <v/>
      </c>
      <c r="E2006" s="94">
        <f>IF(H2006=1,INDEX(tx_Date,2000),"")</f>
        <v/>
      </c>
      <c r="F2006" s="58">
        <f>IF(H2006=1,INDEX(tx_Desc,2000)&amp;"","")</f>
        <v/>
      </c>
      <c r="G2006" s="58">
        <f>IF(H2006=1,IF(INDEX(tx_Cust,2000)&amp;""&lt;&gt;"",INDEX(tx_Cust,2000)&amp;"",INDEX(tx_Vend,2000)&amp;""),"")</f>
        <v/>
      </c>
      <c r="H2006" s="101">
        <f>IFERROR(N(INDEX(tx_Posted,2000)),0)</f>
        <v/>
      </c>
      <c r="I2006" s="58">
        <f>IF(H2006=1,INDEX(tx_DrAcct,2000)&amp;"","")</f>
        <v/>
      </c>
      <c r="J2006" s="95">
        <f>IF(H2006=1,INDEX(tx_DrAmt,2000),0)</f>
        <v/>
      </c>
      <c r="K2006" s="58">
        <f>IF(H2006=1,INDEX(tx_CrAcct,2000)&amp;"","")</f>
        <v/>
      </c>
      <c r="L2006" s="95">
        <f>IF(H2006=1,INDEX(tx_CrAmt,2000),0)</f>
        <v/>
      </c>
      <c r="M2006" s="95">
        <f>IF(H2006=1,INDEX(tx_TaxDr,2000),0)</f>
        <v/>
      </c>
      <c r="N2006" s="95">
        <f>IF(H2006=1,INDEX(tx_TaxCr,2000),0)</f>
        <v/>
      </c>
      <c r="O2006" s="101">
        <f>IF(H2006=1,IF(E2006&lt;FYStart,0,IF(E2006&gt;FYEnd,13,YEAR(E2006)*12+MONTH(E2006)-FYYM+1)),"")</f>
        <v/>
      </c>
      <c r="P2006" s="101">
        <f>IF(H2006=1,IF(IFERROR(INDEX(coa_CF,MATCH(I2006,coa_Name,0)),"")="Cash",1,0),0)</f>
        <v/>
      </c>
      <c r="Q2006" s="101">
        <f>IF(H2006=1,IF(IFERROR(INDEX(coa_CF,MATCH(K2006,coa_Name,0)),"")="Cash",1,0),0)</f>
        <v/>
      </c>
      <c r="R2006" s="58">
        <f>IF((P2006-Q2006)=0,"",IFERROR(INDEX(coa_CF,MATCH(IF((P2006-Q2006)=1,K2006,I2006),coa_Name,0)),"Operating"))</f>
        <v/>
      </c>
      <c r="S2006" s="95">
        <f>IF((P2006-Q2006)=1,L2006,IF((P2006-Q2006)=-1,-J2006,0))</f>
        <v/>
      </c>
      <c r="T2006" s="95">
        <f>IF((P2006-Q2006)=1,N2006,IF((P2006-Q2006)=-1,-M2006,0))</f>
        <v/>
      </c>
      <c r="U2006" s="101">
        <f>IF(AND(H2006=1,LedAcct&lt;&gt;""),IF(AND(E2006&gt;=LedFrom,E2006&lt;=LedTo,OR(I2006=LedAcct,K2006=LedAcct,AND(LedAcct=acctTax,M2006+N2006&lt;&gt;0))),E2006*10000+B2006,""),"")</f>
        <v/>
      </c>
    </row>
    <row r="2007">
      <c r="B2007" s="101" t="n">
        <v>2001</v>
      </c>
      <c r="C2007" s="58" t="inlineStr">
        <is>
          <t>Invoice</t>
        </is>
      </c>
      <c r="D2007" s="58">
        <f>IF(H2007=1,INDEX(ar_No,1)&amp;"","")</f>
        <v/>
      </c>
      <c r="E2007" s="94">
        <f>IF(H2007=1,INDEX(ar_Date,1),"")</f>
        <v/>
      </c>
      <c r="F2007" s="58">
        <f>IF(H2007=1,INDEX(ar_Desc,1)&amp;"","")</f>
        <v/>
      </c>
      <c r="G2007" s="58">
        <f>IF(H2007=1,INDEX(ar_Party,1)&amp;"","")</f>
        <v/>
      </c>
      <c r="H2007" s="101">
        <f>IFERROR(N(INDEX(ar_Posted,1)),0)</f>
        <v/>
      </c>
      <c r="I2007" s="58">
        <f>IF(H2007=1,INDEX(ar_DrAcct,1)&amp;"","")</f>
        <v/>
      </c>
      <c r="J2007" s="95">
        <f>IF(H2007=1,INDEX(ar_DrAmt,1),0)</f>
        <v/>
      </c>
      <c r="K2007" s="58">
        <f>IF(H2007=1,INDEX(ar_CrAcct,1)&amp;"","")</f>
        <v/>
      </c>
      <c r="L2007" s="95">
        <f>IF(H2007=1,INDEX(ar_CrAmt,1),0)</f>
        <v/>
      </c>
      <c r="M2007" s="95" t="n">
        <v>0</v>
      </c>
      <c r="N2007" s="95">
        <f>IF(H2007=1,INDEX(ar_TaxAmt,1),0)</f>
        <v/>
      </c>
      <c r="O2007" s="101">
        <f>IF(H2007=1,IF(E2007&lt;FYStart,0,IF(E2007&gt;FYEnd,13,YEAR(E2007)*12+MONTH(E2007)-FYYM+1)),"")</f>
        <v/>
      </c>
      <c r="P2007" s="101">
        <f>IF(H2007=1,IF(IFERROR(INDEX(coa_CF,MATCH(I2007,coa_Name,0)),"")="Cash",1,0),0)</f>
        <v/>
      </c>
      <c r="Q2007" s="101">
        <f>IF(H2007=1,IF(IFERROR(INDEX(coa_CF,MATCH(K2007,coa_Name,0)),"")="Cash",1,0),0)</f>
        <v/>
      </c>
      <c r="R2007" s="58">
        <f>IF((P2007-Q2007)=0,"",IFERROR(INDEX(coa_CF,MATCH(IF((P2007-Q2007)=1,K2007,I2007),coa_Name,0)),"Operating"))</f>
        <v/>
      </c>
      <c r="S2007" s="95">
        <f>IF((P2007-Q2007)=1,L2007,IF((P2007-Q2007)=-1,-J2007,0))</f>
        <v/>
      </c>
      <c r="T2007" s="95">
        <f>IF((P2007-Q2007)=1,N2007,IF((P2007-Q2007)=-1,-M2007,0))</f>
        <v/>
      </c>
      <c r="U2007" s="101">
        <f>IF(AND(H2007=1,LedAcct&lt;&gt;""),IF(AND(E2007&gt;=LedFrom,E2007&lt;=LedTo,OR(I2007=LedAcct,K2007=LedAcct,AND(LedAcct=acctTax,M2007+N2007&lt;&gt;0))),E2007*10000+B2007,""),"")</f>
        <v/>
      </c>
    </row>
    <row r="2008">
      <c r="B2008" s="101" t="n">
        <v>2002</v>
      </c>
      <c r="C2008" s="58" t="inlineStr">
        <is>
          <t>Invoice</t>
        </is>
      </c>
      <c r="D2008" s="58">
        <f>IF(H2008=1,INDEX(ar_No,2)&amp;"","")</f>
        <v/>
      </c>
      <c r="E2008" s="94">
        <f>IF(H2008=1,INDEX(ar_Date,2),"")</f>
        <v/>
      </c>
      <c r="F2008" s="58">
        <f>IF(H2008=1,INDEX(ar_Desc,2)&amp;"","")</f>
        <v/>
      </c>
      <c r="G2008" s="58">
        <f>IF(H2008=1,INDEX(ar_Party,2)&amp;"","")</f>
        <v/>
      </c>
      <c r="H2008" s="101">
        <f>IFERROR(N(INDEX(ar_Posted,2)),0)</f>
        <v/>
      </c>
      <c r="I2008" s="58">
        <f>IF(H2008=1,INDEX(ar_DrAcct,2)&amp;"","")</f>
        <v/>
      </c>
      <c r="J2008" s="95">
        <f>IF(H2008=1,INDEX(ar_DrAmt,2),0)</f>
        <v/>
      </c>
      <c r="K2008" s="58">
        <f>IF(H2008=1,INDEX(ar_CrAcct,2)&amp;"","")</f>
        <v/>
      </c>
      <c r="L2008" s="95">
        <f>IF(H2008=1,INDEX(ar_CrAmt,2),0)</f>
        <v/>
      </c>
      <c r="M2008" s="95" t="n">
        <v>0</v>
      </c>
      <c r="N2008" s="95">
        <f>IF(H2008=1,INDEX(ar_TaxAmt,2),0)</f>
        <v/>
      </c>
      <c r="O2008" s="101">
        <f>IF(H2008=1,IF(E2008&lt;FYStart,0,IF(E2008&gt;FYEnd,13,YEAR(E2008)*12+MONTH(E2008)-FYYM+1)),"")</f>
        <v/>
      </c>
      <c r="P2008" s="101">
        <f>IF(H2008=1,IF(IFERROR(INDEX(coa_CF,MATCH(I2008,coa_Name,0)),"")="Cash",1,0),0)</f>
        <v/>
      </c>
      <c r="Q2008" s="101">
        <f>IF(H2008=1,IF(IFERROR(INDEX(coa_CF,MATCH(K2008,coa_Name,0)),"")="Cash",1,0),0)</f>
        <v/>
      </c>
      <c r="R2008" s="58">
        <f>IF((P2008-Q2008)=0,"",IFERROR(INDEX(coa_CF,MATCH(IF((P2008-Q2008)=1,K2008,I2008),coa_Name,0)),"Operating"))</f>
        <v/>
      </c>
      <c r="S2008" s="95">
        <f>IF((P2008-Q2008)=1,L2008,IF((P2008-Q2008)=-1,-J2008,0))</f>
        <v/>
      </c>
      <c r="T2008" s="95">
        <f>IF((P2008-Q2008)=1,N2008,IF((P2008-Q2008)=-1,-M2008,0))</f>
        <v/>
      </c>
      <c r="U2008" s="101">
        <f>IF(AND(H2008=1,LedAcct&lt;&gt;""),IF(AND(E2008&gt;=LedFrom,E2008&lt;=LedTo,OR(I2008=LedAcct,K2008=LedAcct,AND(LedAcct=acctTax,M2008+N2008&lt;&gt;0))),E2008*10000+B2008,""),"")</f>
        <v/>
      </c>
    </row>
    <row r="2009">
      <c r="B2009" s="101" t="n">
        <v>2003</v>
      </c>
      <c r="C2009" s="58" t="inlineStr">
        <is>
          <t>Invoice</t>
        </is>
      </c>
      <c r="D2009" s="58">
        <f>IF(H2009=1,INDEX(ar_No,3)&amp;"","")</f>
        <v/>
      </c>
      <c r="E2009" s="94">
        <f>IF(H2009=1,INDEX(ar_Date,3),"")</f>
        <v/>
      </c>
      <c r="F2009" s="58">
        <f>IF(H2009=1,INDEX(ar_Desc,3)&amp;"","")</f>
        <v/>
      </c>
      <c r="G2009" s="58">
        <f>IF(H2009=1,INDEX(ar_Party,3)&amp;"","")</f>
        <v/>
      </c>
      <c r="H2009" s="101">
        <f>IFERROR(N(INDEX(ar_Posted,3)),0)</f>
        <v/>
      </c>
      <c r="I2009" s="58">
        <f>IF(H2009=1,INDEX(ar_DrAcct,3)&amp;"","")</f>
        <v/>
      </c>
      <c r="J2009" s="95">
        <f>IF(H2009=1,INDEX(ar_DrAmt,3),0)</f>
        <v/>
      </c>
      <c r="K2009" s="58">
        <f>IF(H2009=1,INDEX(ar_CrAcct,3)&amp;"","")</f>
        <v/>
      </c>
      <c r="L2009" s="95">
        <f>IF(H2009=1,INDEX(ar_CrAmt,3),0)</f>
        <v/>
      </c>
      <c r="M2009" s="95" t="n">
        <v>0</v>
      </c>
      <c r="N2009" s="95">
        <f>IF(H2009=1,INDEX(ar_TaxAmt,3),0)</f>
        <v/>
      </c>
      <c r="O2009" s="101">
        <f>IF(H2009=1,IF(E2009&lt;FYStart,0,IF(E2009&gt;FYEnd,13,YEAR(E2009)*12+MONTH(E2009)-FYYM+1)),"")</f>
        <v/>
      </c>
      <c r="P2009" s="101">
        <f>IF(H2009=1,IF(IFERROR(INDEX(coa_CF,MATCH(I2009,coa_Name,0)),"")="Cash",1,0),0)</f>
        <v/>
      </c>
      <c r="Q2009" s="101">
        <f>IF(H2009=1,IF(IFERROR(INDEX(coa_CF,MATCH(K2009,coa_Name,0)),"")="Cash",1,0),0)</f>
        <v/>
      </c>
      <c r="R2009" s="58">
        <f>IF((P2009-Q2009)=0,"",IFERROR(INDEX(coa_CF,MATCH(IF((P2009-Q2009)=1,K2009,I2009),coa_Name,0)),"Operating"))</f>
        <v/>
      </c>
      <c r="S2009" s="95">
        <f>IF((P2009-Q2009)=1,L2009,IF((P2009-Q2009)=-1,-J2009,0))</f>
        <v/>
      </c>
      <c r="T2009" s="95">
        <f>IF((P2009-Q2009)=1,N2009,IF((P2009-Q2009)=-1,-M2009,0))</f>
        <v/>
      </c>
      <c r="U2009" s="101">
        <f>IF(AND(H2009=1,LedAcct&lt;&gt;""),IF(AND(E2009&gt;=LedFrom,E2009&lt;=LedTo,OR(I2009=LedAcct,K2009=LedAcct,AND(LedAcct=acctTax,M2009+N2009&lt;&gt;0))),E2009*10000+B2009,""),"")</f>
        <v/>
      </c>
    </row>
    <row r="2010">
      <c r="B2010" s="101" t="n">
        <v>2004</v>
      </c>
      <c r="C2010" s="58" t="inlineStr">
        <is>
          <t>Invoice</t>
        </is>
      </c>
      <c r="D2010" s="58">
        <f>IF(H2010=1,INDEX(ar_No,4)&amp;"","")</f>
        <v/>
      </c>
      <c r="E2010" s="94">
        <f>IF(H2010=1,INDEX(ar_Date,4),"")</f>
        <v/>
      </c>
      <c r="F2010" s="58">
        <f>IF(H2010=1,INDEX(ar_Desc,4)&amp;"","")</f>
        <v/>
      </c>
      <c r="G2010" s="58">
        <f>IF(H2010=1,INDEX(ar_Party,4)&amp;"","")</f>
        <v/>
      </c>
      <c r="H2010" s="101">
        <f>IFERROR(N(INDEX(ar_Posted,4)),0)</f>
        <v/>
      </c>
      <c r="I2010" s="58">
        <f>IF(H2010=1,INDEX(ar_DrAcct,4)&amp;"","")</f>
        <v/>
      </c>
      <c r="J2010" s="95">
        <f>IF(H2010=1,INDEX(ar_DrAmt,4),0)</f>
        <v/>
      </c>
      <c r="K2010" s="58">
        <f>IF(H2010=1,INDEX(ar_CrAcct,4)&amp;"","")</f>
        <v/>
      </c>
      <c r="L2010" s="95">
        <f>IF(H2010=1,INDEX(ar_CrAmt,4),0)</f>
        <v/>
      </c>
      <c r="M2010" s="95" t="n">
        <v>0</v>
      </c>
      <c r="N2010" s="95">
        <f>IF(H2010=1,INDEX(ar_TaxAmt,4),0)</f>
        <v/>
      </c>
      <c r="O2010" s="101">
        <f>IF(H2010=1,IF(E2010&lt;FYStart,0,IF(E2010&gt;FYEnd,13,YEAR(E2010)*12+MONTH(E2010)-FYYM+1)),"")</f>
        <v/>
      </c>
      <c r="P2010" s="101">
        <f>IF(H2010=1,IF(IFERROR(INDEX(coa_CF,MATCH(I2010,coa_Name,0)),"")="Cash",1,0),0)</f>
        <v/>
      </c>
      <c r="Q2010" s="101">
        <f>IF(H2010=1,IF(IFERROR(INDEX(coa_CF,MATCH(K2010,coa_Name,0)),"")="Cash",1,0),0)</f>
        <v/>
      </c>
      <c r="R2010" s="58">
        <f>IF((P2010-Q2010)=0,"",IFERROR(INDEX(coa_CF,MATCH(IF((P2010-Q2010)=1,K2010,I2010),coa_Name,0)),"Operating"))</f>
        <v/>
      </c>
      <c r="S2010" s="95">
        <f>IF((P2010-Q2010)=1,L2010,IF((P2010-Q2010)=-1,-J2010,0))</f>
        <v/>
      </c>
      <c r="T2010" s="95">
        <f>IF((P2010-Q2010)=1,N2010,IF((P2010-Q2010)=-1,-M2010,0))</f>
        <v/>
      </c>
      <c r="U2010" s="101">
        <f>IF(AND(H2010=1,LedAcct&lt;&gt;""),IF(AND(E2010&gt;=LedFrom,E2010&lt;=LedTo,OR(I2010=LedAcct,K2010=LedAcct,AND(LedAcct=acctTax,M2010+N2010&lt;&gt;0))),E2010*10000+B2010,""),"")</f>
        <v/>
      </c>
    </row>
    <row r="2011">
      <c r="B2011" s="101" t="n">
        <v>2005</v>
      </c>
      <c r="C2011" s="58" t="inlineStr">
        <is>
          <t>Invoice</t>
        </is>
      </c>
      <c r="D2011" s="58">
        <f>IF(H2011=1,INDEX(ar_No,5)&amp;"","")</f>
        <v/>
      </c>
      <c r="E2011" s="94">
        <f>IF(H2011=1,INDEX(ar_Date,5),"")</f>
        <v/>
      </c>
      <c r="F2011" s="58">
        <f>IF(H2011=1,INDEX(ar_Desc,5)&amp;"","")</f>
        <v/>
      </c>
      <c r="G2011" s="58">
        <f>IF(H2011=1,INDEX(ar_Party,5)&amp;"","")</f>
        <v/>
      </c>
      <c r="H2011" s="101">
        <f>IFERROR(N(INDEX(ar_Posted,5)),0)</f>
        <v/>
      </c>
      <c r="I2011" s="58">
        <f>IF(H2011=1,INDEX(ar_DrAcct,5)&amp;"","")</f>
        <v/>
      </c>
      <c r="J2011" s="95">
        <f>IF(H2011=1,INDEX(ar_DrAmt,5),0)</f>
        <v/>
      </c>
      <c r="K2011" s="58">
        <f>IF(H2011=1,INDEX(ar_CrAcct,5)&amp;"","")</f>
        <v/>
      </c>
      <c r="L2011" s="95">
        <f>IF(H2011=1,INDEX(ar_CrAmt,5),0)</f>
        <v/>
      </c>
      <c r="M2011" s="95" t="n">
        <v>0</v>
      </c>
      <c r="N2011" s="95">
        <f>IF(H2011=1,INDEX(ar_TaxAmt,5),0)</f>
        <v/>
      </c>
      <c r="O2011" s="101">
        <f>IF(H2011=1,IF(E2011&lt;FYStart,0,IF(E2011&gt;FYEnd,13,YEAR(E2011)*12+MONTH(E2011)-FYYM+1)),"")</f>
        <v/>
      </c>
      <c r="P2011" s="101">
        <f>IF(H2011=1,IF(IFERROR(INDEX(coa_CF,MATCH(I2011,coa_Name,0)),"")="Cash",1,0),0)</f>
        <v/>
      </c>
      <c r="Q2011" s="101">
        <f>IF(H2011=1,IF(IFERROR(INDEX(coa_CF,MATCH(K2011,coa_Name,0)),"")="Cash",1,0),0)</f>
        <v/>
      </c>
      <c r="R2011" s="58">
        <f>IF((P2011-Q2011)=0,"",IFERROR(INDEX(coa_CF,MATCH(IF((P2011-Q2011)=1,K2011,I2011),coa_Name,0)),"Operating"))</f>
        <v/>
      </c>
      <c r="S2011" s="95">
        <f>IF((P2011-Q2011)=1,L2011,IF((P2011-Q2011)=-1,-J2011,0))</f>
        <v/>
      </c>
      <c r="T2011" s="95">
        <f>IF((P2011-Q2011)=1,N2011,IF((P2011-Q2011)=-1,-M2011,0))</f>
        <v/>
      </c>
      <c r="U2011" s="101">
        <f>IF(AND(H2011=1,LedAcct&lt;&gt;""),IF(AND(E2011&gt;=LedFrom,E2011&lt;=LedTo,OR(I2011=LedAcct,K2011=LedAcct,AND(LedAcct=acctTax,M2011+N2011&lt;&gt;0))),E2011*10000+B2011,""),"")</f>
        <v/>
      </c>
    </row>
    <row r="2012">
      <c r="B2012" s="101" t="n">
        <v>2006</v>
      </c>
      <c r="C2012" s="58" t="inlineStr">
        <is>
          <t>Invoice</t>
        </is>
      </c>
      <c r="D2012" s="58">
        <f>IF(H2012=1,INDEX(ar_No,6)&amp;"","")</f>
        <v/>
      </c>
      <c r="E2012" s="94">
        <f>IF(H2012=1,INDEX(ar_Date,6),"")</f>
        <v/>
      </c>
      <c r="F2012" s="58">
        <f>IF(H2012=1,INDEX(ar_Desc,6)&amp;"","")</f>
        <v/>
      </c>
      <c r="G2012" s="58">
        <f>IF(H2012=1,INDEX(ar_Party,6)&amp;"","")</f>
        <v/>
      </c>
      <c r="H2012" s="101">
        <f>IFERROR(N(INDEX(ar_Posted,6)),0)</f>
        <v/>
      </c>
      <c r="I2012" s="58">
        <f>IF(H2012=1,INDEX(ar_DrAcct,6)&amp;"","")</f>
        <v/>
      </c>
      <c r="J2012" s="95">
        <f>IF(H2012=1,INDEX(ar_DrAmt,6),0)</f>
        <v/>
      </c>
      <c r="K2012" s="58">
        <f>IF(H2012=1,INDEX(ar_CrAcct,6)&amp;"","")</f>
        <v/>
      </c>
      <c r="L2012" s="95">
        <f>IF(H2012=1,INDEX(ar_CrAmt,6),0)</f>
        <v/>
      </c>
      <c r="M2012" s="95" t="n">
        <v>0</v>
      </c>
      <c r="N2012" s="95">
        <f>IF(H2012=1,INDEX(ar_TaxAmt,6),0)</f>
        <v/>
      </c>
      <c r="O2012" s="101">
        <f>IF(H2012=1,IF(E2012&lt;FYStart,0,IF(E2012&gt;FYEnd,13,YEAR(E2012)*12+MONTH(E2012)-FYYM+1)),"")</f>
        <v/>
      </c>
      <c r="P2012" s="101">
        <f>IF(H2012=1,IF(IFERROR(INDEX(coa_CF,MATCH(I2012,coa_Name,0)),"")="Cash",1,0),0)</f>
        <v/>
      </c>
      <c r="Q2012" s="101">
        <f>IF(H2012=1,IF(IFERROR(INDEX(coa_CF,MATCH(K2012,coa_Name,0)),"")="Cash",1,0),0)</f>
        <v/>
      </c>
      <c r="R2012" s="58">
        <f>IF((P2012-Q2012)=0,"",IFERROR(INDEX(coa_CF,MATCH(IF((P2012-Q2012)=1,K2012,I2012),coa_Name,0)),"Operating"))</f>
        <v/>
      </c>
      <c r="S2012" s="95">
        <f>IF((P2012-Q2012)=1,L2012,IF((P2012-Q2012)=-1,-J2012,0))</f>
        <v/>
      </c>
      <c r="T2012" s="95">
        <f>IF((P2012-Q2012)=1,N2012,IF((P2012-Q2012)=-1,-M2012,0))</f>
        <v/>
      </c>
      <c r="U2012" s="101">
        <f>IF(AND(H2012=1,LedAcct&lt;&gt;""),IF(AND(E2012&gt;=LedFrom,E2012&lt;=LedTo,OR(I2012=LedAcct,K2012=LedAcct,AND(LedAcct=acctTax,M2012+N2012&lt;&gt;0))),E2012*10000+B2012,""),"")</f>
        <v/>
      </c>
    </row>
    <row r="2013">
      <c r="B2013" s="101" t="n">
        <v>2007</v>
      </c>
      <c r="C2013" s="58" t="inlineStr">
        <is>
          <t>Invoice</t>
        </is>
      </c>
      <c r="D2013" s="58">
        <f>IF(H2013=1,INDEX(ar_No,7)&amp;"","")</f>
        <v/>
      </c>
      <c r="E2013" s="94">
        <f>IF(H2013=1,INDEX(ar_Date,7),"")</f>
        <v/>
      </c>
      <c r="F2013" s="58">
        <f>IF(H2013=1,INDEX(ar_Desc,7)&amp;"","")</f>
        <v/>
      </c>
      <c r="G2013" s="58">
        <f>IF(H2013=1,INDEX(ar_Party,7)&amp;"","")</f>
        <v/>
      </c>
      <c r="H2013" s="101">
        <f>IFERROR(N(INDEX(ar_Posted,7)),0)</f>
        <v/>
      </c>
      <c r="I2013" s="58">
        <f>IF(H2013=1,INDEX(ar_DrAcct,7)&amp;"","")</f>
        <v/>
      </c>
      <c r="J2013" s="95">
        <f>IF(H2013=1,INDEX(ar_DrAmt,7),0)</f>
        <v/>
      </c>
      <c r="K2013" s="58">
        <f>IF(H2013=1,INDEX(ar_CrAcct,7)&amp;"","")</f>
        <v/>
      </c>
      <c r="L2013" s="95">
        <f>IF(H2013=1,INDEX(ar_CrAmt,7),0)</f>
        <v/>
      </c>
      <c r="M2013" s="95" t="n">
        <v>0</v>
      </c>
      <c r="N2013" s="95">
        <f>IF(H2013=1,INDEX(ar_TaxAmt,7),0)</f>
        <v/>
      </c>
      <c r="O2013" s="101">
        <f>IF(H2013=1,IF(E2013&lt;FYStart,0,IF(E2013&gt;FYEnd,13,YEAR(E2013)*12+MONTH(E2013)-FYYM+1)),"")</f>
        <v/>
      </c>
      <c r="P2013" s="101">
        <f>IF(H2013=1,IF(IFERROR(INDEX(coa_CF,MATCH(I2013,coa_Name,0)),"")="Cash",1,0),0)</f>
        <v/>
      </c>
      <c r="Q2013" s="101">
        <f>IF(H2013=1,IF(IFERROR(INDEX(coa_CF,MATCH(K2013,coa_Name,0)),"")="Cash",1,0),0)</f>
        <v/>
      </c>
      <c r="R2013" s="58">
        <f>IF((P2013-Q2013)=0,"",IFERROR(INDEX(coa_CF,MATCH(IF((P2013-Q2013)=1,K2013,I2013),coa_Name,0)),"Operating"))</f>
        <v/>
      </c>
      <c r="S2013" s="95">
        <f>IF((P2013-Q2013)=1,L2013,IF((P2013-Q2013)=-1,-J2013,0))</f>
        <v/>
      </c>
      <c r="T2013" s="95">
        <f>IF((P2013-Q2013)=1,N2013,IF((P2013-Q2013)=-1,-M2013,0))</f>
        <v/>
      </c>
      <c r="U2013" s="101">
        <f>IF(AND(H2013=1,LedAcct&lt;&gt;""),IF(AND(E2013&gt;=LedFrom,E2013&lt;=LedTo,OR(I2013=LedAcct,K2013=LedAcct,AND(LedAcct=acctTax,M2013+N2013&lt;&gt;0))),E2013*10000+B2013,""),"")</f>
        <v/>
      </c>
    </row>
    <row r="2014">
      <c r="B2014" s="101" t="n">
        <v>2008</v>
      </c>
      <c r="C2014" s="58" t="inlineStr">
        <is>
          <t>Invoice</t>
        </is>
      </c>
      <c r="D2014" s="58">
        <f>IF(H2014=1,INDEX(ar_No,8)&amp;"","")</f>
        <v/>
      </c>
      <c r="E2014" s="94">
        <f>IF(H2014=1,INDEX(ar_Date,8),"")</f>
        <v/>
      </c>
      <c r="F2014" s="58">
        <f>IF(H2014=1,INDEX(ar_Desc,8)&amp;"","")</f>
        <v/>
      </c>
      <c r="G2014" s="58">
        <f>IF(H2014=1,INDEX(ar_Party,8)&amp;"","")</f>
        <v/>
      </c>
      <c r="H2014" s="101">
        <f>IFERROR(N(INDEX(ar_Posted,8)),0)</f>
        <v/>
      </c>
      <c r="I2014" s="58">
        <f>IF(H2014=1,INDEX(ar_DrAcct,8)&amp;"","")</f>
        <v/>
      </c>
      <c r="J2014" s="95">
        <f>IF(H2014=1,INDEX(ar_DrAmt,8),0)</f>
        <v/>
      </c>
      <c r="K2014" s="58">
        <f>IF(H2014=1,INDEX(ar_CrAcct,8)&amp;"","")</f>
        <v/>
      </c>
      <c r="L2014" s="95">
        <f>IF(H2014=1,INDEX(ar_CrAmt,8),0)</f>
        <v/>
      </c>
      <c r="M2014" s="95" t="n">
        <v>0</v>
      </c>
      <c r="N2014" s="95">
        <f>IF(H2014=1,INDEX(ar_TaxAmt,8),0)</f>
        <v/>
      </c>
      <c r="O2014" s="101">
        <f>IF(H2014=1,IF(E2014&lt;FYStart,0,IF(E2014&gt;FYEnd,13,YEAR(E2014)*12+MONTH(E2014)-FYYM+1)),"")</f>
        <v/>
      </c>
      <c r="P2014" s="101">
        <f>IF(H2014=1,IF(IFERROR(INDEX(coa_CF,MATCH(I2014,coa_Name,0)),"")="Cash",1,0),0)</f>
        <v/>
      </c>
      <c r="Q2014" s="101">
        <f>IF(H2014=1,IF(IFERROR(INDEX(coa_CF,MATCH(K2014,coa_Name,0)),"")="Cash",1,0),0)</f>
        <v/>
      </c>
      <c r="R2014" s="58">
        <f>IF((P2014-Q2014)=0,"",IFERROR(INDEX(coa_CF,MATCH(IF((P2014-Q2014)=1,K2014,I2014),coa_Name,0)),"Operating"))</f>
        <v/>
      </c>
      <c r="S2014" s="95">
        <f>IF((P2014-Q2014)=1,L2014,IF((P2014-Q2014)=-1,-J2014,0))</f>
        <v/>
      </c>
      <c r="T2014" s="95">
        <f>IF((P2014-Q2014)=1,N2014,IF((P2014-Q2014)=-1,-M2014,0))</f>
        <v/>
      </c>
      <c r="U2014" s="101">
        <f>IF(AND(H2014=1,LedAcct&lt;&gt;""),IF(AND(E2014&gt;=LedFrom,E2014&lt;=LedTo,OR(I2014=LedAcct,K2014=LedAcct,AND(LedAcct=acctTax,M2014+N2014&lt;&gt;0))),E2014*10000+B2014,""),"")</f>
        <v/>
      </c>
    </row>
    <row r="2015">
      <c r="B2015" s="101" t="n">
        <v>2009</v>
      </c>
      <c r="C2015" s="58" t="inlineStr">
        <is>
          <t>Invoice</t>
        </is>
      </c>
      <c r="D2015" s="58">
        <f>IF(H2015=1,INDEX(ar_No,9)&amp;"","")</f>
        <v/>
      </c>
      <c r="E2015" s="94">
        <f>IF(H2015=1,INDEX(ar_Date,9),"")</f>
        <v/>
      </c>
      <c r="F2015" s="58">
        <f>IF(H2015=1,INDEX(ar_Desc,9)&amp;"","")</f>
        <v/>
      </c>
      <c r="G2015" s="58">
        <f>IF(H2015=1,INDEX(ar_Party,9)&amp;"","")</f>
        <v/>
      </c>
      <c r="H2015" s="101">
        <f>IFERROR(N(INDEX(ar_Posted,9)),0)</f>
        <v/>
      </c>
      <c r="I2015" s="58">
        <f>IF(H2015=1,INDEX(ar_DrAcct,9)&amp;"","")</f>
        <v/>
      </c>
      <c r="J2015" s="95">
        <f>IF(H2015=1,INDEX(ar_DrAmt,9),0)</f>
        <v/>
      </c>
      <c r="K2015" s="58">
        <f>IF(H2015=1,INDEX(ar_CrAcct,9)&amp;"","")</f>
        <v/>
      </c>
      <c r="L2015" s="95">
        <f>IF(H2015=1,INDEX(ar_CrAmt,9),0)</f>
        <v/>
      </c>
      <c r="M2015" s="95" t="n">
        <v>0</v>
      </c>
      <c r="N2015" s="95">
        <f>IF(H2015=1,INDEX(ar_TaxAmt,9),0)</f>
        <v/>
      </c>
      <c r="O2015" s="101">
        <f>IF(H2015=1,IF(E2015&lt;FYStart,0,IF(E2015&gt;FYEnd,13,YEAR(E2015)*12+MONTH(E2015)-FYYM+1)),"")</f>
        <v/>
      </c>
      <c r="P2015" s="101">
        <f>IF(H2015=1,IF(IFERROR(INDEX(coa_CF,MATCH(I2015,coa_Name,0)),"")="Cash",1,0),0)</f>
        <v/>
      </c>
      <c r="Q2015" s="101">
        <f>IF(H2015=1,IF(IFERROR(INDEX(coa_CF,MATCH(K2015,coa_Name,0)),"")="Cash",1,0),0)</f>
        <v/>
      </c>
      <c r="R2015" s="58">
        <f>IF((P2015-Q2015)=0,"",IFERROR(INDEX(coa_CF,MATCH(IF((P2015-Q2015)=1,K2015,I2015),coa_Name,0)),"Operating"))</f>
        <v/>
      </c>
      <c r="S2015" s="95">
        <f>IF((P2015-Q2015)=1,L2015,IF((P2015-Q2015)=-1,-J2015,0))</f>
        <v/>
      </c>
      <c r="T2015" s="95">
        <f>IF((P2015-Q2015)=1,N2015,IF((P2015-Q2015)=-1,-M2015,0))</f>
        <v/>
      </c>
      <c r="U2015" s="101">
        <f>IF(AND(H2015=1,LedAcct&lt;&gt;""),IF(AND(E2015&gt;=LedFrom,E2015&lt;=LedTo,OR(I2015=LedAcct,K2015=LedAcct,AND(LedAcct=acctTax,M2015+N2015&lt;&gt;0))),E2015*10000+B2015,""),"")</f>
        <v/>
      </c>
    </row>
    <row r="2016">
      <c r="B2016" s="101" t="n">
        <v>2010</v>
      </c>
      <c r="C2016" s="58" t="inlineStr">
        <is>
          <t>Invoice</t>
        </is>
      </c>
      <c r="D2016" s="58">
        <f>IF(H2016=1,INDEX(ar_No,10)&amp;"","")</f>
        <v/>
      </c>
      <c r="E2016" s="94">
        <f>IF(H2016=1,INDEX(ar_Date,10),"")</f>
        <v/>
      </c>
      <c r="F2016" s="58">
        <f>IF(H2016=1,INDEX(ar_Desc,10)&amp;"","")</f>
        <v/>
      </c>
      <c r="G2016" s="58">
        <f>IF(H2016=1,INDEX(ar_Party,10)&amp;"","")</f>
        <v/>
      </c>
      <c r="H2016" s="101">
        <f>IFERROR(N(INDEX(ar_Posted,10)),0)</f>
        <v/>
      </c>
      <c r="I2016" s="58">
        <f>IF(H2016=1,INDEX(ar_DrAcct,10)&amp;"","")</f>
        <v/>
      </c>
      <c r="J2016" s="95">
        <f>IF(H2016=1,INDEX(ar_DrAmt,10),0)</f>
        <v/>
      </c>
      <c r="K2016" s="58">
        <f>IF(H2016=1,INDEX(ar_CrAcct,10)&amp;"","")</f>
        <v/>
      </c>
      <c r="L2016" s="95">
        <f>IF(H2016=1,INDEX(ar_CrAmt,10),0)</f>
        <v/>
      </c>
      <c r="M2016" s="95" t="n">
        <v>0</v>
      </c>
      <c r="N2016" s="95">
        <f>IF(H2016=1,INDEX(ar_TaxAmt,10),0)</f>
        <v/>
      </c>
      <c r="O2016" s="101">
        <f>IF(H2016=1,IF(E2016&lt;FYStart,0,IF(E2016&gt;FYEnd,13,YEAR(E2016)*12+MONTH(E2016)-FYYM+1)),"")</f>
        <v/>
      </c>
      <c r="P2016" s="101">
        <f>IF(H2016=1,IF(IFERROR(INDEX(coa_CF,MATCH(I2016,coa_Name,0)),"")="Cash",1,0),0)</f>
        <v/>
      </c>
      <c r="Q2016" s="101">
        <f>IF(H2016=1,IF(IFERROR(INDEX(coa_CF,MATCH(K2016,coa_Name,0)),"")="Cash",1,0),0)</f>
        <v/>
      </c>
      <c r="R2016" s="58">
        <f>IF((P2016-Q2016)=0,"",IFERROR(INDEX(coa_CF,MATCH(IF((P2016-Q2016)=1,K2016,I2016),coa_Name,0)),"Operating"))</f>
        <v/>
      </c>
      <c r="S2016" s="95">
        <f>IF((P2016-Q2016)=1,L2016,IF((P2016-Q2016)=-1,-J2016,0))</f>
        <v/>
      </c>
      <c r="T2016" s="95">
        <f>IF((P2016-Q2016)=1,N2016,IF((P2016-Q2016)=-1,-M2016,0))</f>
        <v/>
      </c>
      <c r="U2016" s="101">
        <f>IF(AND(H2016=1,LedAcct&lt;&gt;""),IF(AND(E2016&gt;=LedFrom,E2016&lt;=LedTo,OR(I2016=LedAcct,K2016=LedAcct,AND(LedAcct=acctTax,M2016+N2016&lt;&gt;0))),E2016*10000+B2016,""),"")</f>
        <v/>
      </c>
    </row>
    <row r="2017">
      <c r="B2017" s="101" t="n">
        <v>2011</v>
      </c>
      <c r="C2017" s="58" t="inlineStr">
        <is>
          <t>Invoice</t>
        </is>
      </c>
      <c r="D2017" s="58">
        <f>IF(H2017=1,INDEX(ar_No,11)&amp;"","")</f>
        <v/>
      </c>
      <c r="E2017" s="94">
        <f>IF(H2017=1,INDEX(ar_Date,11),"")</f>
        <v/>
      </c>
      <c r="F2017" s="58">
        <f>IF(H2017=1,INDEX(ar_Desc,11)&amp;"","")</f>
        <v/>
      </c>
      <c r="G2017" s="58">
        <f>IF(H2017=1,INDEX(ar_Party,11)&amp;"","")</f>
        <v/>
      </c>
      <c r="H2017" s="101">
        <f>IFERROR(N(INDEX(ar_Posted,11)),0)</f>
        <v/>
      </c>
      <c r="I2017" s="58">
        <f>IF(H2017=1,INDEX(ar_DrAcct,11)&amp;"","")</f>
        <v/>
      </c>
      <c r="J2017" s="95">
        <f>IF(H2017=1,INDEX(ar_DrAmt,11),0)</f>
        <v/>
      </c>
      <c r="K2017" s="58">
        <f>IF(H2017=1,INDEX(ar_CrAcct,11)&amp;"","")</f>
        <v/>
      </c>
      <c r="L2017" s="95">
        <f>IF(H2017=1,INDEX(ar_CrAmt,11),0)</f>
        <v/>
      </c>
      <c r="M2017" s="95" t="n">
        <v>0</v>
      </c>
      <c r="N2017" s="95">
        <f>IF(H2017=1,INDEX(ar_TaxAmt,11),0)</f>
        <v/>
      </c>
      <c r="O2017" s="101">
        <f>IF(H2017=1,IF(E2017&lt;FYStart,0,IF(E2017&gt;FYEnd,13,YEAR(E2017)*12+MONTH(E2017)-FYYM+1)),"")</f>
        <v/>
      </c>
      <c r="P2017" s="101">
        <f>IF(H2017=1,IF(IFERROR(INDEX(coa_CF,MATCH(I2017,coa_Name,0)),"")="Cash",1,0),0)</f>
        <v/>
      </c>
      <c r="Q2017" s="101">
        <f>IF(H2017=1,IF(IFERROR(INDEX(coa_CF,MATCH(K2017,coa_Name,0)),"")="Cash",1,0),0)</f>
        <v/>
      </c>
      <c r="R2017" s="58">
        <f>IF((P2017-Q2017)=0,"",IFERROR(INDEX(coa_CF,MATCH(IF((P2017-Q2017)=1,K2017,I2017),coa_Name,0)),"Operating"))</f>
        <v/>
      </c>
      <c r="S2017" s="95">
        <f>IF((P2017-Q2017)=1,L2017,IF((P2017-Q2017)=-1,-J2017,0))</f>
        <v/>
      </c>
      <c r="T2017" s="95">
        <f>IF((P2017-Q2017)=1,N2017,IF((P2017-Q2017)=-1,-M2017,0))</f>
        <v/>
      </c>
      <c r="U2017" s="101">
        <f>IF(AND(H2017=1,LedAcct&lt;&gt;""),IF(AND(E2017&gt;=LedFrom,E2017&lt;=LedTo,OR(I2017=LedAcct,K2017=LedAcct,AND(LedAcct=acctTax,M2017+N2017&lt;&gt;0))),E2017*10000+B2017,""),"")</f>
        <v/>
      </c>
    </row>
    <row r="2018">
      <c r="B2018" s="101" t="n">
        <v>2012</v>
      </c>
      <c r="C2018" s="58" t="inlineStr">
        <is>
          <t>Invoice</t>
        </is>
      </c>
      <c r="D2018" s="58">
        <f>IF(H2018=1,INDEX(ar_No,12)&amp;"","")</f>
        <v/>
      </c>
      <c r="E2018" s="94">
        <f>IF(H2018=1,INDEX(ar_Date,12),"")</f>
        <v/>
      </c>
      <c r="F2018" s="58">
        <f>IF(H2018=1,INDEX(ar_Desc,12)&amp;"","")</f>
        <v/>
      </c>
      <c r="G2018" s="58">
        <f>IF(H2018=1,INDEX(ar_Party,12)&amp;"","")</f>
        <v/>
      </c>
      <c r="H2018" s="101">
        <f>IFERROR(N(INDEX(ar_Posted,12)),0)</f>
        <v/>
      </c>
      <c r="I2018" s="58">
        <f>IF(H2018=1,INDEX(ar_DrAcct,12)&amp;"","")</f>
        <v/>
      </c>
      <c r="J2018" s="95">
        <f>IF(H2018=1,INDEX(ar_DrAmt,12),0)</f>
        <v/>
      </c>
      <c r="K2018" s="58">
        <f>IF(H2018=1,INDEX(ar_CrAcct,12)&amp;"","")</f>
        <v/>
      </c>
      <c r="L2018" s="95">
        <f>IF(H2018=1,INDEX(ar_CrAmt,12),0)</f>
        <v/>
      </c>
      <c r="M2018" s="95" t="n">
        <v>0</v>
      </c>
      <c r="N2018" s="95">
        <f>IF(H2018=1,INDEX(ar_TaxAmt,12),0)</f>
        <v/>
      </c>
      <c r="O2018" s="101">
        <f>IF(H2018=1,IF(E2018&lt;FYStart,0,IF(E2018&gt;FYEnd,13,YEAR(E2018)*12+MONTH(E2018)-FYYM+1)),"")</f>
        <v/>
      </c>
      <c r="P2018" s="101">
        <f>IF(H2018=1,IF(IFERROR(INDEX(coa_CF,MATCH(I2018,coa_Name,0)),"")="Cash",1,0),0)</f>
        <v/>
      </c>
      <c r="Q2018" s="101">
        <f>IF(H2018=1,IF(IFERROR(INDEX(coa_CF,MATCH(K2018,coa_Name,0)),"")="Cash",1,0),0)</f>
        <v/>
      </c>
      <c r="R2018" s="58">
        <f>IF((P2018-Q2018)=0,"",IFERROR(INDEX(coa_CF,MATCH(IF((P2018-Q2018)=1,K2018,I2018),coa_Name,0)),"Operating"))</f>
        <v/>
      </c>
      <c r="S2018" s="95">
        <f>IF((P2018-Q2018)=1,L2018,IF((P2018-Q2018)=-1,-J2018,0))</f>
        <v/>
      </c>
      <c r="T2018" s="95">
        <f>IF((P2018-Q2018)=1,N2018,IF((P2018-Q2018)=-1,-M2018,0))</f>
        <v/>
      </c>
      <c r="U2018" s="101">
        <f>IF(AND(H2018=1,LedAcct&lt;&gt;""),IF(AND(E2018&gt;=LedFrom,E2018&lt;=LedTo,OR(I2018=LedAcct,K2018=LedAcct,AND(LedAcct=acctTax,M2018+N2018&lt;&gt;0))),E2018*10000+B2018,""),"")</f>
        <v/>
      </c>
    </row>
    <row r="2019">
      <c r="B2019" s="101" t="n">
        <v>2013</v>
      </c>
      <c r="C2019" s="58" t="inlineStr">
        <is>
          <t>Invoice</t>
        </is>
      </c>
      <c r="D2019" s="58">
        <f>IF(H2019=1,INDEX(ar_No,13)&amp;"","")</f>
        <v/>
      </c>
      <c r="E2019" s="94">
        <f>IF(H2019=1,INDEX(ar_Date,13),"")</f>
        <v/>
      </c>
      <c r="F2019" s="58">
        <f>IF(H2019=1,INDEX(ar_Desc,13)&amp;"","")</f>
        <v/>
      </c>
      <c r="G2019" s="58">
        <f>IF(H2019=1,INDEX(ar_Party,13)&amp;"","")</f>
        <v/>
      </c>
      <c r="H2019" s="101">
        <f>IFERROR(N(INDEX(ar_Posted,13)),0)</f>
        <v/>
      </c>
      <c r="I2019" s="58">
        <f>IF(H2019=1,INDEX(ar_DrAcct,13)&amp;"","")</f>
        <v/>
      </c>
      <c r="J2019" s="95">
        <f>IF(H2019=1,INDEX(ar_DrAmt,13),0)</f>
        <v/>
      </c>
      <c r="K2019" s="58">
        <f>IF(H2019=1,INDEX(ar_CrAcct,13)&amp;"","")</f>
        <v/>
      </c>
      <c r="L2019" s="95">
        <f>IF(H2019=1,INDEX(ar_CrAmt,13),0)</f>
        <v/>
      </c>
      <c r="M2019" s="95" t="n">
        <v>0</v>
      </c>
      <c r="N2019" s="95">
        <f>IF(H2019=1,INDEX(ar_TaxAmt,13),0)</f>
        <v/>
      </c>
      <c r="O2019" s="101">
        <f>IF(H2019=1,IF(E2019&lt;FYStart,0,IF(E2019&gt;FYEnd,13,YEAR(E2019)*12+MONTH(E2019)-FYYM+1)),"")</f>
        <v/>
      </c>
      <c r="P2019" s="101">
        <f>IF(H2019=1,IF(IFERROR(INDEX(coa_CF,MATCH(I2019,coa_Name,0)),"")="Cash",1,0),0)</f>
        <v/>
      </c>
      <c r="Q2019" s="101">
        <f>IF(H2019=1,IF(IFERROR(INDEX(coa_CF,MATCH(K2019,coa_Name,0)),"")="Cash",1,0),0)</f>
        <v/>
      </c>
      <c r="R2019" s="58">
        <f>IF((P2019-Q2019)=0,"",IFERROR(INDEX(coa_CF,MATCH(IF((P2019-Q2019)=1,K2019,I2019),coa_Name,0)),"Operating"))</f>
        <v/>
      </c>
      <c r="S2019" s="95">
        <f>IF((P2019-Q2019)=1,L2019,IF((P2019-Q2019)=-1,-J2019,0))</f>
        <v/>
      </c>
      <c r="T2019" s="95">
        <f>IF((P2019-Q2019)=1,N2019,IF((P2019-Q2019)=-1,-M2019,0))</f>
        <v/>
      </c>
      <c r="U2019" s="101">
        <f>IF(AND(H2019=1,LedAcct&lt;&gt;""),IF(AND(E2019&gt;=LedFrom,E2019&lt;=LedTo,OR(I2019=LedAcct,K2019=LedAcct,AND(LedAcct=acctTax,M2019+N2019&lt;&gt;0))),E2019*10000+B2019,""),"")</f>
        <v/>
      </c>
    </row>
    <row r="2020">
      <c r="B2020" s="101" t="n">
        <v>2014</v>
      </c>
      <c r="C2020" s="58" t="inlineStr">
        <is>
          <t>Invoice</t>
        </is>
      </c>
      <c r="D2020" s="58">
        <f>IF(H2020=1,INDEX(ar_No,14)&amp;"","")</f>
        <v/>
      </c>
      <c r="E2020" s="94">
        <f>IF(H2020=1,INDEX(ar_Date,14),"")</f>
        <v/>
      </c>
      <c r="F2020" s="58">
        <f>IF(H2020=1,INDEX(ar_Desc,14)&amp;"","")</f>
        <v/>
      </c>
      <c r="G2020" s="58">
        <f>IF(H2020=1,INDEX(ar_Party,14)&amp;"","")</f>
        <v/>
      </c>
      <c r="H2020" s="101">
        <f>IFERROR(N(INDEX(ar_Posted,14)),0)</f>
        <v/>
      </c>
      <c r="I2020" s="58">
        <f>IF(H2020=1,INDEX(ar_DrAcct,14)&amp;"","")</f>
        <v/>
      </c>
      <c r="J2020" s="95">
        <f>IF(H2020=1,INDEX(ar_DrAmt,14),0)</f>
        <v/>
      </c>
      <c r="K2020" s="58">
        <f>IF(H2020=1,INDEX(ar_CrAcct,14)&amp;"","")</f>
        <v/>
      </c>
      <c r="L2020" s="95">
        <f>IF(H2020=1,INDEX(ar_CrAmt,14),0)</f>
        <v/>
      </c>
      <c r="M2020" s="95" t="n">
        <v>0</v>
      </c>
      <c r="N2020" s="95">
        <f>IF(H2020=1,INDEX(ar_TaxAmt,14),0)</f>
        <v/>
      </c>
      <c r="O2020" s="101">
        <f>IF(H2020=1,IF(E2020&lt;FYStart,0,IF(E2020&gt;FYEnd,13,YEAR(E2020)*12+MONTH(E2020)-FYYM+1)),"")</f>
        <v/>
      </c>
      <c r="P2020" s="101">
        <f>IF(H2020=1,IF(IFERROR(INDEX(coa_CF,MATCH(I2020,coa_Name,0)),"")="Cash",1,0),0)</f>
        <v/>
      </c>
      <c r="Q2020" s="101">
        <f>IF(H2020=1,IF(IFERROR(INDEX(coa_CF,MATCH(K2020,coa_Name,0)),"")="Cash",1,0),0)</f>
        <v/>
      </c>
      <c r="R2020" s="58">
        <f>IF((P2020-Q2020)=0,"",IFERROR(INDEX(coa_CF,MATCH(IF((P2020-Q2020)=1,K2020,I2020),coa_Name,0)),"Operating"))</f>
        <v/>
      </c>
      <c r="S2020" s="95">
        <f>IF((P2020-Q2020)=1,L2020,IF((P2020-Q2020)=-1,-J2020,0))</f>
        <v/>
      </c>
      <c r="T2020" s="95">
        <f>IF((P2020-Q2020)=1,N2020,IF((P2020-Q2020)=-1,-M2020,0))</f>
        <v/>
      </c>
      <c r="U2020" s="101">
        <f>IF(AND(H2020=1,LedAcct&lt;&gt;""),IF(AND(E2020&gt;=LedFrom,E2020&lt;=LedTo,OR(I2020=LedAcct,K2020=LedAcct,AND(LedAcct=acctTax,M2020+N2020&lt;&gt;0))),E2020*10000+B2020,""),"")</f>
        <v/>
      </c>
    </row>
    <row r="2021">
      <c r="B2021" s="101" t="n">
        <v>2015</v>
      </c>
      <c r="C2021" s="58" t="inlineStr">
        <is>
          <t>Invoice</t>
        </is>
      </c>
      <c r="D2021" s="58">
        <f>IF(H2021=1,INDEX(ar_No,15)&amp;"","")</f>
        <v/>
      </c>
      <c r="E2021" s="94">
        <f>IF(H2021=1,INDEX(ar_Date,15),"")</f>
        <v/>
      </c>
      <c r="F2021" s="58">
        <f>IF(H2021=1,INDEX(ar_Desc,15)&amp;"","")</f>
        <v/>
      </c>
      <c r="G2021" s="58">
        <f>IF(H2021=1,INDEX(ar_Party,15)&amp;"","")</f>
        <v/>
      </c>
      <c r="H2021" s="101">
        <f>IFERROR(N(INDEX(ar_Posted,15)),0)</f>
        <v/>
      </c>
      <c r="I2021" s="58">
        <f>IF(H2021=1,INDEX(ar_DrAcct,15)&amp;"","")</f>
        <v/>
      </c>
      <c r="J2021" s="95">
        <f>IF(H2021=1,INDEX(ar_DrAmt,15),0)</f>
        <v/>
      </c>
      <c r="K2021" s="58">
        <f>IF(H2021=1,INDEX(ar_CrAcct,15)&amp;"","")</f>
        <v/>
      </c>
      <c r="L2021" s="95">
        <f>IF(H2021=1,INDEX(ar_CrAmt,15),0)</f>
        <v/>
      </c>
      <c r="M2021" s="95" t="n">
        <v>0</v>
      </c>
      <c r="N2021" s="95">
        <f>IF(H2021=1,INDEX(ar_TaxAmt,15),0)</f>
        <v/>
      </c>
      <c r="O2021" s="101">
        <f>IF(H2021=1,IF(E2021&lt;FYStart,0,IF(E2021&gt;FYEnd,13,YEAR(E2021)*12+MONTH(E2021)-FYYM+1)),"")</f>
        <v/>
      </c>
      <c r="P2021" s="101">
        <f>IF(H2021=1,IF(IFERROR(INDEX(coa_CF,MATCH(I2021,coa_Name,0)),"")="Cash",1,0),0)</f>
        <v/>
      </c>
      <c r="Q2021" s="101">
        <f>IF(H2021=1,IF(IFERROR(INDEX(coa_CF,MATCH(K2021,coa_Name,0)),"")="Cash",1,0),0)</f>
        <v/>
      </c>
      <c r="R2021" s="58">
        <f>IF((P2021-Q2021)=0,"",IFERROR(INDEX(coa_CF,MATCH(IF((P2021-Q2021)=1,K2021,I2021),coa_Name,0)),"Operating"))</f>
        <v/>
      </c>
      <c r="S2021" s="95">
        <f>IF((P2021-Q2021)=1,L2021,IF((P2021-Q2021)=-1,-J2021,0))</f>
        <v/>
      </c>
      <c r="T2021" s="95">
        <f>IF((P2021-Q2021)=1,N2021,IF((P2021-Q2021)=-1,-M2021,0))</f>
        <v/>
      </c>
      <c r="U2021" s="101">
        <f>IF(AND(H2021=1,LedAcct&lt;&gt;""),IF(AND(E2021&gt;=LedFrom,E2021&lt;=LedTo,OR(I2021=LedAcct,K2021=LedAcct,AND(LedAcct=acctTax,M2021+N2021&lt;&gt;0))),E2021*10000+B2021,""),"")</f>
        <v/>
      </c>
    </row>
    <row r="2022">
      <c r="B2022" s="101" t="n">
        <v>2016</v>
      </c>
      <c r="C2022" s="58" t="inlineStr">
        <is>
          <t>Invoice</t>
        </is>
      </c>
      <c r="D2022" s="58">
        <f>IF(H2022=1,INDEX(ar_No,16)&amp;"","")</f>
        <v/>
      </c>
      <c r="E2022" s="94">
        <f>IF(H2022=1,INDEX(ar_Date,16),"")</f>
        <v/>
      </c>
      <c r="F2022" s="58">
        <f>IF(H2022=1,INDEX(ar_Desc,16)&amp;"","")</f>
        <v/>
      </c>
      <c r="G2022" s="58">
        <f>IF(H2022=1,INDEX(ar_Party,16)&amp;"","")</f>
        <v/>
      </c>
      <c r="H2022" s="101">
        <f>IFERROR(N(INDEX(ar_Posted,16)),0)</f>
        <v/>
      </c>
      <c r="I2022" s="58">
        <f>IF(H2022=1,INDEX(ar_DrAcct,16)&amp;"","")</f>
        <v/>
      </c>
      <c r="J2022" s="95">
        <f>IF(H2022=1,INDEX(ar_DrAmt,16),0)</f>
        <v/>
      </c>
      <c r="K2022" s="58">
        <f>IF(H2022=1,INDEX(ar_CrAcct,16)&amp;"","")</f>
        <v/>
      </c>
      <c r="L2022" s="95">
        <f>IF(H2022=1,INDEX(ar_CrAmt,16),0)</f>
        <v/>
      </c>
      <c r="M2022" s="95" t="n">
        <v>0</v>
      </c>
      <c r="N2022" s="95">
        <f>IF(H2022=1,INDEX(ar_TaxAmt,16),0)</f>
        <v/>
      </c>
      <c r="O2022" s="101">
        <f>IF(H2022=1,IF(E2022&lt;FYStart,0,IF(E2022&gt;FYEnd,13,YEAR(E2022)*12+MONTH(E2022)-FYYM+1)),"")</f>
        <v/>
      </c>
      <c r="P2022" s="101">
        <f>IF(H2022=1,IF(IFERROR(INDEX(coa_CF,MATCH(I2022,coa_Name,0)),"")="Cash",1,0),0)</f>
        <v/>
      </c>
      <c r="Q2022" s="101">
        <f>IF(H2022=1,IF(IFERROR(INDEX(coa_CF,MATCH(K2022,coa_Name,0)),"")="Cash",1,0),0)</f>
        <v/>
      </c>
      <c r="R2022" s="58">
        <f>IF((P2022-Q2022)=0,"",IFERROR(INDEX(coa_CF,MATCH(IF((P2022-Q2022)=1,K2022,I2022),coa_Name,0)),"Operating"))</f>
        <v/>
      </c>
      <c r="S2022" s="95">
        <f>IF((P2022-Q2022)=1,L2022,IF((P2022-Q2022)=-1,-J2022,0))</f>
        <v/>
      </c>
      <c r="T2022" s="95">
        <f>IF((P2022-Q2022)=1,N2022,IF((P2022-Q2022)=-1,-M2022,0))</f>
        <v/>
      </c>
      <c r="U2022" s="101">
        <f>IF(AND(H2022=1,LedAcct&lt;&gt;""),IF(AND(E2022&gt;=LedFrom,E2022&lt;=LedTo,OR(I2022=LedAcct,K2022=LedAcct,AND(LedAcct=acctTax,M2022+N2022&lt;&gt;0))),E2022*10000+B2022,""),"")</f>
        <v/>
      </c>
    </row>
    <row r="2023">
      <c r="B2023" s="101" t="n">
        <v>2017</v>
      </c>
      <c r="C2023" s="58" t="inlineStr">
        <is>
          <t>Invoice</t>
        </is>
      </c>
      <c r="D2023" s="58">
        <f>IF(H2023=1,INDEX(ar_No,17)&amp;"","")</f>
        <v/>
      </c>
      <c r="E2023" s="94">
        <f>IF(H2023=1,INDEX(ar_Date,17),"")</f>
        <v/>
      </c>
      <c r="F2023" s="58">
        <f>IF(H2023=1,INDEX(ar_Desc,17)&amp;"","")</f>
        <v/>
      </c>
      <c r="G2023" s="58">
        <f>IF(H2023=1,INDEX(ar_Party,17)&amp;"","")</f>
        <v/>
      </c>
      <c r="H2023" s="101">
        <f>IFERROR(N(INDEX(ar_Posted,17)),0)</f>
        <v/>
      </c>
      <c r="I2023" s="58">
        <f>IF(H2023=1,INDEX(ar_DrAcct,17)&amp;"","")</f>
        <v/>
      </c>
      <c r="J2023" s="95">
        <f>IF(H2023=1,INDEX(ar_DrAmt,17),0)</f>
        <v/>
      </c>
      <c r="K2023" s="58">
        <f>IF(H2023=1,INDEX(ar_CrAcct,17)&amp;"","")</f>
        <v/>
      </c>
      <c r="L2023" s="95">
        <f>IF(H2023=1,INDEX(ar_CrAmt,17),0)</f>
        <v/>
      </c>
      <c r="M2023" s="95" t="n">
        <v>0</v>
      </c>
      <c r="N2023" s="95">
        <f>IF(H2023=1,INDEX(ar_TaxAmt,17),0)</f>
        <v/>
      </c>
      <c r="O2023" s="101">
        <f>IF(H2023=1,IF(E2023&lt;FYStart,0,IF(E2023&gt;FYEnd,13,YEAR(E2023)*12+MONTH(E2023)-FYYM+1)),"")</f>
        <v/>
      </c>
      <c r="P2023" s="101">
        <f>IF(H2023=1,IF(IFERROR(INDEX(coa_CF,MATCH(I2023,coa_Name,0)),"")="Cash",1,0),0)</f>
        <v/>
      </c>
      <c r="Q2023" s="101">
        <f>IF(H2023=1,IF(IFERROR(INDEX(coa_CF,MATCH(K2023,coa_Name,0)),"")="Cash",1,0),0)</f>
        <v/>
      </c>
      <c r="R2023" s="58">
        <f>IF((P2023-Q2023)=0,"",IFERROR(INDEX(coa_CF,MATCH(IF((P2023-Q2023)=1,K2023,I2023),coa_Name,0)),"Operating"))</f>
        <v/>
      </c>
      <c r="S2023" s="95">
        <f>IF((P2023-Q2023)=1,L2023,IF((P2023-Q2023)=-1,-J2023,0))</f>
        <v/>
      </c>
      <c r="T2023" s="95">
        <f>IF((P2023-Q2023)=1,N2023,IF((P2023-Q2023)=-1,-M2023,0))</f>
        <v/>
      </c>
      <c r="U2023" s="101">
        <f>IF(AND(H2023=1,LedAcct&lt;&gt;""),IF(AND(E2023&gt;=LedFrom,E2023&lt;=LedTo,OR(I2023=LedAcct,K2023=LedAcct,AND(LedAcct=acctTax,M2023+N2023&lt;&gt;0))),E2023*10000+B2023,""),"")</f>
        <v/>
      </c>
    </row>
    <row r="2024">
      <c r="B2024" s="101" t="n">
        <v>2018</v>
      </c>
      <c r="C2024" s="58" t="inlineStr">
        <is>
          <t>Invoice</t>
        </is>
      </c>
      <c r="D2024" s="58">
        <f>IF(H2024=1,INDEX(ar_No,18)&amp;"","")</f>
        <v/>
      </c>
      <c r="E2024" s="94">
        <f>IF(H2024=1,INDEX(ar_Date,18),"")</f>
        <v/>
      </c>
      <c r="F2024" s="58">
        <f>IF(H2024=1,INDEX(ar_Desc,18)&amp;"","")</f>
        <v/>
      </c>
      <c r="G2024" s="58">
        <f>IF(H2024=1,INDEX(ar_Party,18)&amp;"","")</f>
        <v/>
      </c>
      <c r="H2024" s="101">
        <f>IFERROR(N(INDEX(ar_Posted,18)),0)</f>
        <v/>
      </c>
      <c r="I2024" s="58">
        <f>IF(H2024=1,INDEX(ar_DrAcct,18)&amp;"","")</f>
        <v/>
      </c>
      <c r="J2024" s="95">
        <f>IF(H2024=1,INDEX(ar_DrAmt,18),0)</f>
        <v/>
      </c>
      <c r="K2024" s="58">
        <f>IF(H2024=1,INDEX(ar_CrAcct,18)&amp;"","")</f>
        <v/>
      </c>
      <c r="L2024" s="95">
        <f>IF(H2024=1,INDEX(ar_CrAmt,18),0)</f>
        <v/>
      </c>
      <c r="M2024" s="95" t="n">
        <v>0</v>
      </c>
      <c r="N2024" s="95">
        <f>IF(H2024=1,INDEX(ar_TaxAmt,18),0)</f>
        <v/>
      </c>
      <c r="O2024" s="101">
        <f>IF(H2024=1,IF(E2024&lt;FYStart,0,IF(E2024&gt;FYEnd,13,YEAR(E2024)*12+MONTH(E2024)-FYYM+1)),"")</f>
        <v/>
      </c>
      <c r="P2024" s="101">
        <f>IF(H2024=1,IF(IFERROR(INDEX(coa_CF,MATCH(I2024,coa_Name,0)),"")="Cash",1,0),0)</f>
        <v/>
      </c>
      <c r="Q2024" s="101">
        <f>IF(H2024=1,IF(IFERROR(INDEX(coa_CF,MATCH(K2024,coa_Name,0)),"")="Cash",1,0),0)</f>
        <v/>
      </c>
      <c r="R2024" s="58">
        <f>IF((P2024-Q2024)=0,"",IFERROR(INDEX(coa_CF,MATCH(IF((P2024-Q2024)=1,K2024,I2024),coa_Name,0)),"Operating"))</f>
        <v/>
      </c>
      <c r="S2024" s="95">
        <f>IF((P2024-Q2024)=1,L2024,IF((P2024-Q2024)=-1,-J2024,0))</f>
        <v/>
      </c>
      <c r="T2024" s="95">
        <f>IF((P2024-Q2024)=1,N2024,IF((P2024-Q2024)=-1,-M2024,0))</f>
        <v/>
      </c>
      <c r="U2024" s="101">
        <f>IF(AND(H2024=1,LedAcct&lt;&gt;""),IF(AND(E2024&gt;=LedFrom,E2024&lt;=LedTo,OR(I2024=LedAcct,K2024=LedAcct,AND(LedAcct=acctTax,M2024+N2024&lt;&gt;0))),E2024*10000+B2024,""),"")</f>
        <v/>
      </c>
    </row>
    <row r="2025">
      <c r="B2025" s="101" t="n">
        <v>2019</v>
      </c>
      <c r="C2025" s="58" t="inlineStr">
        <is>
          <t>Invoice</t>
        </is>
      </c>
      <c r="D2025" s="58">
        <f>IF(H2025=1,INDEX(ar_No,19)&amp;"","")</f>
        <v/>
      </c>
      <c r="E2025" s="94">
        <f>IF(H2025=1,INDEX(ar_Date,19),"")</f>
        <v/>
      </c>
      <c r="F2025" s="58">
        <f>IF(H2025=1,INDEX(ar_Desc,19)&amp;"","")</f>
        <v/>
      </c>
      <c r="G2025" s="58">
        <f>IF(H2025=1,INDEX(ar_Party,19)&amp;"","")</f>
        <v/>
      </c>
      <c r="H2025" s="101">
        <f>IFERROR(N(INDEX(ar_Posted,19)),0)</f>
        <v/>
      </c>
      <c r="I2025" s="58">
        <f>IF(H2025=1,INDEX(ar_DrAcct,19)&amp;"","")</f>
        <v/>
      </c>
      <c r="J2025" s="95">
        <f>IF(H2025=1,INDEX(ar_DrAmt,19),0)</f>
        <v/>
      </c>
      <c r="K2025" s="58">
        <f>IF(H2025=1,INDEX(ar_CrAcct,19)&amp;"","")</f>
        <v/>
      </c>
      <c r="L2025" s="95">
        <f>IF(H2025=1,INDEX(ar_CrAmt,19),0)</f>
        <v/>
      </c>
      <c r="M2025" s="95" t="n">
        <v>0</v>
      </c>
      <c r="N2025" s="95">
        <f>IF(H2025=1,INDEX(ar_TaxAmt,19),0)</f>
        <v/>
      </c>
      <c r="O2025" s="101">
        <f>IF(H2025=1,IF(E2025&lt;FYStart,0,IF(E2025&gt;FYEnd,13,YEAR(E2025)*12+MONTH(E2025)-FYYM+1)),"")</f>
        <v/>
      </c>
      <c r="P2025" s="101">
        <f>IF(H2025=1,IF(IFERROR(INDEX(coa_CF,MATCH(I2025,coa_Name,0)),"")="Cash",1,0),0)</f>
        <v/>
      </c>
      <c r="Q2025" s="101">
        <f>IF(H2025=1,IF(IFERROR(INDEX(coa_CF,MATCH(K2025,coa_Name,0)),"")="Cash",1,0),0)</f>
        <v/>
      </c>
      <c r="R2025" s="58">
        <f>IF((P2025-Q2025)=0,"",IFERROR(INDEX(coa_CF,MATCH(IF((P2025-Q2025)=1,K2025,I2025),coa_Name,0)),"Operating"))</f>
        <v/>
      </c>
      <c r="S2025" s="95">
        <f>IF((P2025-Q2025)=1,L2025,IF((P2025-Q2025)=-1,-J2025,0))</f>
        <v/>
      </c>
      <c r="T2025" s="95">
        <f>IF((P2025-Q2025)=1,N2025,IF((P2025-Q2025)=-1,-M2025,0))</f>
        <v/>
      </c>
      <c r="U2025" s="101">
        <f>IF(AND(H2025=1,LedAcct&lt;&gt;""),IF(AND(E2025&gt;=LedFrom,E2025&lt;=LedTo,OR(I2025=LedAcct,K2025=LedAcct,AND(LedAcct=acctTax,M2025+N2025&lt;&gt;0))),E2025*10000+B2025,""),"")</f>
        <v/>
      </c>
    </row>
    <row r="2026">
      <c r="B2026" s="101" t="n">
        <v>2020</v>
      </c>
      <c r="C2026" s="58" t="inlineStr">
        <is>
          <t>Invoice</t>
        </is>
      </c>
      <c r="D2026" s="58">
        <f>IF(H2026=1,INDEX(ar_No,20)&amp;"","")</f>
        <v/>
      </c>
      <c r="E2026" s="94">
        <f>IF(H2026=1,INDEX(ar_Date,20),"")</f>
        <v/>
      </c>
      <c r="F2026" s="58">
        <f>IF(H2026=1,INDEX(ar_Desc,20)&amp;"","")</f>
        <v/>
      </c>
      <c r="G2026" s="58">
        <f>IF(H2026=1,INDEX(ar_Party,20)&amp;"","")</f>
        <v/>
      </c>
      <c r="H2026" s="101">
        <f>IFERROR(N(INDEX(ar_Posted,20)),0)</f>
        <v/>
      </c>
      <c r="I2026" s="58">
        <f>IF(H2026=1,INDEX(ar_DrAcct,20)&amp;"","")</f>
        <v/>
      </c>
      <c r="J2026" s="95">
        <f>IF(H2026=1,INDEX(ar_DrAmt,20),0)</f>
        <v/>
      </c>
      <c r="K2026" s="58">
        <f>IF(H2026=1,INDEX(ar_CrAcct,20)&amp;"","")</f>
        <v/>
      </c>
      <c r="L2026" s="95">
        <f>IF(H2026=1,INDEX(ar_CrAmt,20),0)</f>
        <v/>
      </c>
      <c r="M2026" s="95" t="n">
        <v>0</v>
      </c>
      <c r="N2026" s="95">
        <f>IF(H2026=1,INDEX(ar_TaxAmt,20),0)</f>
        <v/>
      </c>
      <c r="O2026" s="101">
        <f>IF(H2026=1,IF(E2026&lt;FYStart,0,IF(E2026&gt;FYEnd,13,YEAR(E2026)*12+MONTH(E2026)-FYYM+1)),"")</f>
        <v/>
      </c>
      <c r="P2026" s="101">
        <f>IF(H2026=1,IF(IFERROR(INDEX(coa_CF,MATCH(I2026,coa_Name,0)),"")="Cash",1,0),0)</f>
        <v/>
      </c>
      <c r="Q2026" s="101">
        <f>IF(H2026=1,IF(IFERROR(INDEX(coa_CF,MATCH(K2026,coa_Name,0)),"")="Cash",1,0),0)</f>
        <v/>
      </c>
      <c r="R2026" s="58">
        <f>IF((P2026-Q2026)=0,"",IFERROR(INDEX(coa_CF,MATCH(IF((P2026-Q2026)=1,K2026,I2026),coa_Name,0)),"Operating"))</f>
        <v/>
      </c>
      <c r="S2026" s="95">
        <f>IF((P2026-Q2026)=1,L2026,IF((P2026-Q2026)=-1,-J2026,0))</f>
        <v/>
      </c>
      <c r="T2026" s="95">
        <f>IF((P2026-Q2026)=1,N2026,IF((P2026-Q2026)=-1,-M2026,0))</f>
        <v/>
      </c>
      <c r="U2026" s="101">
        <f>IF(AND(H2026=1,LedAcct&lt;&gt;""),IF(AND(E2026&gt;=LedFrom,E2026&lt;=LedTo,OR(I2026=LedAcct,K2026=LedAcct,AND(LedAcct=acctTax,M2026+N2026&lt;&gt;0))),E2026*10000+B2026,""),"")</f>
        <v/>
      </c>
    </row>
    <row r="2027">
      <c r="B2027" s="101" t="n">
        <v>2021</v>
      </c>
      <c r="C2027" s="58" t="inlineStr">
        <is>
          <t>Invoice</t>
        </is>
      </c>
      <c r="D2027" s="58">
        <f>IF(H2027=1,INDEX(ar_No,21)&amp;"","")</f>
        <v/>
      </c>
      <c r="E2027" s="94">
        <f>IF(H2027=1,INDEX(ar_Date,21),"")</f>
        <v/>
      </c>
      <c r="F2027" s="58">
        <f>IF(H2027=1,INDEX(ar_Desc,21)&amp;"","")</f>
        <v/>
      </c>
      <c r="G2027" s="58">
        <f>IF(H2027=1,INDEX(ar_Party,21)&amp;"","")</f>
        <v/>
      </c>
      <c r="H2027" s="101">
        <f>IFERROR(N(INDEX(ar_Posted,21)),0)</f>
        <v/>
      </c>
      <c r="I2027" s="58">
        <f>IF(H2027=1,INDEX(ar_DrAcct,21)&amp;"","")</f>
        <v/>
      </c>
      <c r="J2027" s="95">
        <f>IF(H2027=1,INDEX(ar_DrAmt,21),0)</f>
        <v/>
      </c>
      <c r="K2027" s="58">
        <f>IF(H2027=1,INDEX(ar_CrAcct,21)&amp;"","")</f>
        <v/>
      </c>
      <c r="L2027" s="95">
        <f>IF(H2027=1,INDEX(ar_CrAmt,21),0)</f>
        <v/>
      </c>
      <c r="M2027" s="95" t="n">
        <v>0</v>
      </c>
      <c r="N2027" s="95">
        <f>IF(H2027=1,INDEX(ar_TaxAmt,21),0)</f>
        <v/>
      </c>
      <c r="O2027" s="101">
        <f>IF(H2027=1,IF(E2027&lt;FYStart,0,IF(E2027&gt;FYEnd,13,YEAR(E2027)*12+MONTH(E2027)-FYYM+1)),"")</f>
        <v/>
      </c>
      <c r="P2027" s="101">
        <f>IF(H2027=1,IF(IFERROR(INDEX(coa_CF,MATCH(I2027,coa_Name,0)),"")="Cash",1,0),0)</f>
        <v/>
      </c>
      <c r="Q2027" s="101">
        <f>IF(H2027=1,IF(IFERROR(INDEX(coa_CF,MATCH(K2027,coa_Name,0)),"")="Cash",1,0),0)</f>
        <v/>
      </c>
      <c r="R2027" s="58">
        <f>IF((P2027-Q2027)=0,"",IFERROR(INDEX(coa_CF,MATCH(IF((P2027-Q2027)=1,K2027,I2027),coa_Name,0)),"Operating"))</f>
        <v/>
      </c>
      <c r="S2027" s="95">
        <f>IF((P2027-Q2027)=1,L2027,IF((P2027-Q2027)=-1,-J2027,0))</f>
        <v/>
      </c>
      <c r="T2027" s="95">
        <f>IF((P2027-Q2027)=1,N2027,IF((P2027-Q2027)=-1,-M2027,0))</f>
        <v/>
      </c>
      <c r="U2027" s="101">
        <f>IF(AND(H2027=1,LedAcct&lt;&gt;""),IF(AND(E2027&gt;=LedFrom,E2027&lt;=LedTo,OR(I2027=LedAcct,K2027=LedAcct,AND(LedAcct=acctTax,M2027+N2027&lt;&gt;0))),E2027*10000+B2027,""),"")</f>
        <v/>
      </c>
    </row>
    <row r="2028">
      <c r="B2028" s="101" t="n">
        <v>2022</v>
      </c>
      <c r="C2028" s="58" t="inlineStr">
        <is>
          <t>Invoice</t>
        </is>
      </c>
      <c r="D2028" s="58">
        <f>IF(H2028=1,INDEX(ar_No,22)&amp;"","")</f>
        <v/>
      </c>
      <c r="E2028" s="94">
        <f>IF(H2028=1,INDEX(ar_Date,22),"")</f>
        <v/>
      </c>
      <c r="F2028" s="58">
        <f>IF(H2028=1,INDEX(ar_Desc,22)&amp;"","")</f>
        <v/>
      </c>
      <c r="G2028" s="58">
        <f>IF(H2028=1,INDEX(ar_Party,22)&amp;"","")</f>
        <v/>
      </c>
      <c r="H2028" s="101">
        <f>IFERROR(N(INDEX(ar_Posted,22)),0)</f>
        <v/>
      </c>
      <c r="I2028" s="58">
        <f>IF(H2028=1,INDEX(ar_DrAcct,22)&amp;"","")</f>
        <v/>
      </c>
      <c r="J2028" s="95">
        <f>IF(H2028=1,INDEX(ar_DrAmt,22),0)</f>
        <v/>
      </c>
      <c r="K2028" s="58">
        <f>IF(H2028=1,INDEX(ar_CrAcct,22)&amp;"","")</f>
        <v/>
      </c>
      <c r="L2028" s="95">
        <f>IF(H2028=1,INDEX(ar_CrAmt,22),0)</f>
        <v/>
      </c>
      <c r="M2028" s="95" t="n">
        <v>0</v>
      </c>
      <c r="N2028" s="95">
        <f>IF(H2028=1,INDEX(ar_TaxAmt,22),0)</f>
        <v/>
      </c>
      <c r="O2028" s="101">
        <f>IF(H2028=1,IF(E2028&lt;FYStart,0,IF(E2028&gt;FYEnd,13,YEAR(E2028)*12+MONTH(E2028)-FYYM+1)),"")</f>
        <v/>
      </c>
      <c r="P2028" s="101">
        <f>IF(H2028=1,IF(IFERROR(INDEX(coa_CF,MATCH(I2028,coa_Name,0)),"")="Cash",1,0),0)</f>
        <v/>
      </c>
      <c r="Q2028" s="101">
        <f>IF(H2028=1,IF(IFERROR(INDEX(coa_CF,MATCH(K2028,coa_Name,0)),"")="Cash",1,0),0)</f>
        <v/>
      </c>
      <c r="R2028" s="58">
        <f>IF((P2028-Q2028)=0,"",IFERROR(INDEX(coa_CF,MATCH(IF((P2028-Q2028)=1,K2028,I2028),coa_Name,0)),"Operating"))</f>
        <v/>
      </c>
      <c r="S2028" s="95">
        <f>IF((P2028-Q2028)=1,L2028,IF((P2028-Q2028)=-1,-J2028,0))</f>
        <v/>
      </c>
      <c r="T2028" s="95">
        <f>IF((P2028-Q2028)=1,N2028,IF((P2028-Q2028)=-1,-M2028,0))</f>
        <v/>
      </c>
      <c r="U2028" s="101">
        <f>IF(AND(H2028=1,LedAcct&lt;&gt;""),IF(AND(E2028&gt;=LedFrom,E2028&lt;=LedTo,OR(I2028=LedAcct,K2028=LedAcct,AND(LedAcct=acctTax,M2028+N2028&lt;&gt;0))),E2028*10000+B2028,""),"")</f>
        <v/>
      </c>
    </row>
    <row r="2029">
      <c r="B2029" s="101" t="n">
        <v>2023</v>
      </c>
      <c r="C2029" s="58" t="inlineStr">
        <is>
          <t>Invoice</t>
        </is>
      </c>
      <c r="D2029" s="58">
        <f>IF(H2029=1,INDEX(ar_No,23)&amp;"","")</f>
        <v/>
      </c>
      <c r="E2029" s="94">
        <f>IF(H2029=1,INDEX(ar_Date,23),"")</f>
        <v/>
      </c>
      <c r="F2029" s="58">
        <f>IF(H2029=1,INDEX(ar_Desc,23)&amp;"","")</f>
        <v/>
      </c>
      <c r="G2029" s="58">
        <f>IF(H2029=1,INDEX(ar_Party,23)&amp;"","")</f>
        <v/>
      </c>
      <c r="H2029" s="101">
        <f>IFERROR(N(INDEX(ar_Posted,23)),0)</f>
        <v/>
      </c>
      <c r="I2029" s="58">
        <f>IF(H2029=1,INDEX(ar_DrAcct,23)&amp;"","")</f>
        <v/>
      </c>
      <c r="J2029" s="95">
        <f>IF(H2029=1,INDEX(ar_DrAmt,23),0)</f>
        <v/>
      </c>
      <c r="K2029" s="58">
        <f>IF(H2029=1,INDEX(ar_CrAcct,23)&amp;"","")</f>
        <v/>
      </c>
      <c r="L2029" s="95">
        <f>IF(H2029=1,INDEX(ar_CrAmt,23),0)</f>
        <v/>
      </c>
      <c r="M2029" s="95" t="n">
        <v>0</v>
      </c>
      <c r="N2029" s="95">
        <f>IF(H2029=1,INDEX(ar_TaxAmt,23),0)</f>
        <v/>
      </c>
      <c r="O2029" s="101">
        <f>IF(H2029=1,IF(E2029&lt;FYStart,0,IF(E2029&gt;FYEnd,13,YEAR(E2029)*12+MONTH(E2029)-FYYM+1)),"")</f>
        <v/>
      </c>
      <c r="P2029" s="101">
        <f>IF(H2029=1,IF(IFERROR(INDEX(coa_CF,MATCH(I2029,coa_Name,0)),"")="Cash",1,0),0)</f>
        <v/>
      </c>
      <c r="Q2029" s="101">
        <f>IF(H2029=1,IF(IFERROR(INDEX(coa_CF,MATCH(K2029,coa_Name,0)),"")="Cash",1,0),0)</f>
        <v/>
      </c>
      <c r="R2029" s="58">
        <f>IF((P2029-Q2029)=0,"",IFERROR(INDEX(coa_CF,MATCH(IF((P2029-Q2029)=1,K2029,I2029),coa_Name,0)),"Operating"))</f>
        <v/>
      </c>
      <c r="S2029" s="95">
        <f>IF((P2029-Q2029)=1,L2029,IF((P2029-Q2029)=-1,-J2029,0))</f>
        <v/>
      </c>
      <c r="T2029" s="95">
        <f>IF((P2029-Q2029)=1,N2029,IF((P2029-Q2029)=-1,-M2029,0))</f>
        <v/>
      </c>
      <c r="U2029" s="101">
        <f>IF(AND(H2029=1,LedAcct&lt;&gt;""),IF(AND(E2029&gt;=LedFrom,E2029&lt;=LedTo,OR(I2029=LedAcct,K2029=LedAcct,AND(LedAcct=acctTax,M2029+N2029&lt;&gt;0))),E2029*10000+B2029,""),"")</f>
        <v/>
      </c>
    </row>
    <row r="2030">
      <c r="B2030" s="101" t="n">
        <v>2024</v>
      </c>
      <c r="C2030" s="58" t="inlineStr">
        <is>
          <t>Invoice</t>
        </is>
      </c>
      <c r="D2030" s="58">
        <f>IF(H2030=1,INDEX(ar_No,24)&amp;"","")</f>
        <v/>
      </c>
      <c r="E2030" s="94">
        <f>IF(H2030=1,INDEX(ar_Date,24),"")</f>
        <v/>
      </c>
      <c r="F2030" s="58">
        <f>IF(H2030=1,INDEX(ar_Desc,24)&amp;"","")</f>
        <v/>
      </c>
      <c r="G2030" s="58">
        <f>IF(H2030=1,INDEX(ar_Party,24)&amp;"","")</f>
        <v/>
      </c>
      <c r="H2030" s="101">
        <f>IFERROR(N(INDEX(ar_Posted,24)),0)</f>
        <v/>
      </c>
      <c r="I2030" s="58">
        <f>IF(H2030=1,INDEX(ar_DrAcct,24)&amp;"","")</f>
        <v/>
      </c>
      <c r="J2030" s="95">
        <f>IF(H2030=1,INDEX(ar_DrAmt,24),0)</f>
        <v/>
      </c>
      <c r="K2030" s="58">
        <f>IF(H2030=1,INDEX(ar_CrAcct,24)&amp;"","")</f>
        <v/>
      </c>
      <c r="L2030" s="95">
        <f>IF(H2030=1,INDEX(ar_CrAmt,24),0)</f>
        <v/>
      </c>
      <c r="M2030" s="95" t="n">
        <v>0</v>
      </c>
      <c r="N2030" s="95">
        <f>IF(H2030=1,INDEX(ar_TaxAmt,24),0)</f>
        <v/>
      </c>
      <c r="O2030" s="101">
        <f>IF(H2030=1,IF(E2030&lt;FYStart,0,IF(E2030&gt;FYEnd,13,YEAR(E2030)*12+MONTH(E2030)-FYYM+1)),"")</f>
        <v/>
      </c>
      <c r="P2030" s="101">
        <f>IF(H2030=1,IF(IFERROR(INDEX(coa_CF,MATCH(I2030,coa_Name,0)),"")="Cash",1,0),0)</f>
        <v/>
      </c>
      <c r="Q2030" s="101">
        <f>IF(H2030=1,IF(IFERROR(INDEX(coa_CF,MATCH(K2030,coa_Name,0)),"")="Cash",1,0),0)</f>
        <v/>
      </c>
      <c r="R2030" s="58">
        <f>IF((P2030-Q2030)=0,"",IFERROR(INDEX(coa_CF,MATCH(IF((P2030-Q2030)=1,K2030,I2030),coa_Name,0)),"Operating"))</f>
        <v/>
      </c>
      <c r="S2030" s="95">
        <f>IF((P2030-Q2030)=1,L2030,IF((P2030-Q2030)=-1,-J2030,0))</f>
        <v/>
      </c>
      <c r="T2030" s="95">
        <f>IF((P2030-Q2030)=1,N2030,IF((P2030-Q2030)=-1,-M2030,0))</f>
        <v/>
      </c>
      <c r="U2030" s="101">
        <f>IF(AND(H2030=1,LedAcct&lt;&gt;""),IF(AND(E2030&gt;=LedFrom,E2030&lt;=LedTo,OR(I2030=LedAcct,K2030=LedAcct,AND(LedAcct=acctTax,M2030+N2030&lt;&gt;0))),E2030*10000+B2030,""),"")</f>
        <v/>
      </c>
    </row>
    <row r="2031">
      <c r="B2031" s="101" t="n">
        <v>2025</v>
      </c>
      <c r="C2031" s="58" t="inlineStr">
        <is>
          <t>Invoice</t>
        </is>
      </c>
      <c r="D2031" s="58">
        <f>IF(H2031=1,INDEX(ar_No,25)&amp;"","")</f>
        <v/>
      </c>
      <c r="E2031" s="94">
        <f>IF(H2031=1,INDEX(ar_Date,25),"")</f>
        <v/>
      </c>
      <c r="F2031" s="58">
        <f>IF(H2031=1,INDEX(ar_Desc,25)&amp;"","")</f>
        <v/>
      </c>
      <c r="G2031" s="58">
        <f>IF(H2031=1,INDEX(ar_Party,25)&amp;"","")</f>
        <v/>
      </c>
      <c r="H2031" s="101">
        <f>IFERROR(N(INDEX(ar_Posted,25)),0)</f>
        <v/>
      </c>
      <c r="I2031" s="58">
        <f>IF(H2031=1,INDEX(ar_DrAcct,25)&amp;"","")</f>
        <v/>
      </c>
      <c r="J2031" s="95">
        <f>IF(H2031=1,INDEX(ar_DrAmt,25),0)</f>
        <v/>
      </c>
      <c r="K2031" s="58">
        <f>IF(H2031=1,INDEX(ar_CrAcct,25)&amp;"","")</f>
        <v/>
      </c>
      <c r="L2031" s="95">
        <f>IF(H2031=1,INDEX(ar_CrAmt,25),0)</f>
        <v/>
      </c>
      <c r="M2031" s="95" t="n">
        <v>0</v>
      </c>
      <c r="N2031" s="95">
        <f>IF(H2031=1,INDEX(ar_TaxAmt,25),0)</f>
        <v/>
      </c>
      <c r="O2031" s="101">
        <f>IF(H2031=1,IF(E2031&lt;FYStart,0,IF(E2031&gt;FYEnd,13,YEAR(E2031)*12+MONTH(E2031)-FYYM+1)),"")</f>
        <v/>
      </c>
      <c r="P2031" s="101">
        <f>IF(H2031=1,IF(IFERROR(INDEX(coa_CF,MATCH(I2031,coa_Name,0)),"")="Cash",1,0),0)</f>
        <v/>
      </c>
      <c r="Q2031" s="101">
        <f>IF(H2031=1,IF(IFERROR(INDEX(coa_CF,MATCH(K2031,coa_Name,0)),"")="Cash",1,0),0)</f>
        <v/>
      </c>
      <c r="R2031" s="58">
        <f>IF((P2031-Q2031)=0,"",IFERROR(INDEX(coa_CF,MATCH(IF((P2031-Q2031)=1,K2031,I2031),coa_Name,0)),"Operating"))</f>
        <v/>
      </c>
      <c r="S2031" s="95">
        <f>IF((P2031-Q2031)=1,L2031,IF((P2031-Q2031)=-1,-J2031,0))</f>
        <v/>
      </c>
      <c r="T2031" s="95">
        <f>IF((P2031-Q2031)=1,N2031,IF((P2031-Q2031)=-1,-M2031,0))</f>
        <v/>
      </c>
      <c r="U2031" s="101">
        <f>IF(AND(H2031=1,LedAcct&lt;&gt;""),IF(AND(E2031&gt;=LedFrom,E2031&lt;=LedTo,OR(I2031=LedAcct,K2031=LedAcct,AND(LedAcct=acctTax,M2031+N2031&lt;&gt;0))),E2031*10000+B2031,""),"")</f>
        <v/>
      </c>
    </row>
    <row r="2032">
      <c r="B2032" s="101" t="n">
        <v>2026</v>
      </c>
      <c r="C2032" s="58" t="inlineStr">
        <is>
          <t>Invoice</t>
        </is>
      </c>
      <c r="D2032" s="58">
        <f>IF(H2032=1,INDEX(ar_No,26)&amp;"","")</f>
        <v/>
      </c>
      <c r="E2032" s="94">
        <f>IF(H2032=1,INDEX(ar_Date,26),"")</f>
        <v/>
      </c>
      <c r="F2032" s="58">
        <f>IF(H2032=1,INDEX(ar_Desc,26)&amp;"","")</f>
        <v/>
      </c>
      <c r="G2032" s="58">
        <f>IF(H2032=1,INDEX(ar_Party,26)&amp;"","")</f>
        <v/>
      </c>
      <c r="H2032" s="101">
        <f>IFERROR(N(INDEX(ar_Posted,26)),0)</f>
        <v/>
      </c>
      <c r="I2032" s="58">
        <f>IF(H2032=1,INDEX(ar_DrAcct,26)&amp;"","")</f>
        <v/>
      </c>
      <c r="J2032" s="95">
        <f>IF(H2032=1,INDEX(ar_DrAmt,26),0)</f>
        <v/>
      </c>
      <c r="K2032" s="58">
        <f>IF(H2032=1,INDEX(ar_CrAcct,26)&amp;"","")</f>
        <v/>
      </c>
      <c r="L2032" s="95">
        <f>IF(H2032=1,INDEX(ar_CrAmt,26),0)</f>
        <v/>
      </c>
      <c r="M2032" s="95" t="n">
        <v>0</v>
      </c>
      <c r="N2032" s="95">
        <f>IF(H2032=1,INDEX(ar_TaxAmt,26),0)</f>
        <v/>
      </c>
      <c r="O2032" s="101">
        <f>IF(H2032=1,IF(E2032&lt;FYStart,0,IF(E2032&gt;FYEnd,13,YEAR(E2032)*12+MONTH(E2032)-FYYM+1)),"")</f>
        <v/>
      </c>
      <c r="P2032" s="101">
        <f>IF(H2032=1,IF(IFERROR(INDEX(coa_CF,MATCH(I2032,coa_Name,0)),"")="Cash",1,0),0)</f>
        <v/>
      </c>
      <c r="Q2032" s="101">
        <f>IF(H2032=1,IF(IFERROR(INDEX(coa_CF,MATCH(K2032,coa_Name,0)),"")="Cash",1,0),0)</f>
        <v/>
      </c>
      <c r="R2032" s="58">
        <f>IF((P2032-Q2032)=0,"",IFERROR(INDEX(coa_CF,MATCH(IF((P2032-Q2032)=1,K2032,I2032),coa_Name,0)),"Operating"))</f>
        <v/>
      </c>
      <c r="S2032" s="95">
        <f>IF((P2032-Q2032)=1,L2032,IF((P2032-Q2032)=-1,-J2032,0))</f>
        <v/>
      </c>
      <c r="T2032" s="95">
        <f>IF((P2032-Q2032)=1,N2032,IF((P2032-Q2032)=-1,-M2032,0))</f>
        <v/>
      </c>
      <c r="U2032" s="101">
        <f>IF(AND(H2032=1,LedAcct&lt;&gt;""),IF(AND(E2032&gt;=LedFrom,E2032&lt;=LedTo,OR(I2032=LedAcct,K2032=LedAcct,AND(LedAcct=acctTax,M2032+N2032&lt;&gt;0))),E2032*10000+B2032,""),"")</f>
        <v/>
      </c>
    </row>
    <row r="2033">
      <c r="B2033" s="101" t="n">
        <v>2027</v>
      </c>
      <c r="C2033" s="58" t="inlineStr">
        <is>
          <t>Invoice</t>
        </is>
      </c>
      <c r="D2033" s="58">
        <f>IF(H2033=1,INDEX(ar_No,27)&amp;"","")</f>
        <v/>
      </c>
      <c r="E2033" s="94">
        <f>IF(H2033=1,INDEX(ar_Date,27),"")</f>
        <v/>
      </c>
      <c r="F2033" s="58">
        <f>IF(H2033=1,INDEX(ar_Desc,27)&amp;"","")</f>
        <v/>
      </c>
      <c r="G2033" s="58">
        <f>IF(H2033=1,INDEX(ar_Party,27)&amp;"","")</f>
        <v/>
      </c>
      <c r="H2033" s="101">
        <f>IFERROR(N(INDEX(ar_Posted,27)),0)</f>
        <v/>
      </c>
      <c r="I2033" s="58">
        <f>IF(H2033=1,INDEX(ar_DrAcct,27)&amp;"","")</f>
        <v/>
      </c>
      <c r="J2033" s="95">
        <f>IF(H2033=1,INDEX(ar_DrAmt,27),0)</f>
        <v/>
      </c>
      <c r="K2033" s="58">
        <f>IF(H2033=1,INDEX(ar_CrAcct,27)&amp;"","")</f>
        <v/>
      </c>
      <c r="L2033" s="95">
        <f>IF(H2033=1,INDEX(ar_CrAmt,27),0)</f>
        <v/>
      </c>
      <c r="M2033" s="95" t="n">
        <v>0</v>
      </c>
      <c r="N2033" s="95">
        <f>IF(H2033=1,INDEX(ar_TaxAmt,27),0)</f>
        <v/>
      </c>
      <c r="O2033" s="101">
        <f>IF(H2033=1,IF(E2033&lt;FYStart,0,IF(E2033&gt;FYEnd,13,YEAR(E2033)*12+MONTH(E2033)-FYYM+1)),"")</f>
        <v/>
      </c>
      <c r="P2033" s="101">
        <f>IF(H2033=1,IF(IFERROR(INDEX(coa_CF,MATCH(I2033,coa_Name,0)),"")="Cash",1,0),0)</f>
        <v/>
      </c>
      <c r="Q2033" s="101">
        <f>IF(H2033=1,IF(IFERROR(INDEX(coa_CF,MATCH(K2033,coa_Name,0)),"")="Cash",1,0),0)</f>
        <v/>
      </c>
      <c r="R2033" s="58">
        <f>IF((P2033-Q2033)=0,"",IFERROR(INDEX(coa_CF,MATCH(IF((P2033-Q2033)=1,K2033,I2033),coa_Name,0)),"Operating"))</f>
        <v/>
      </c>
      <c r="S2033" s="95">
        <f>IF((P2033-Q2033)=1,L2033,IF((P2033-Q2033)=-1,-J2033,0))</f>
        <v/>
      </c>
      <c r="T2033" s="95">
        <f>IF((P2033-Q2033)=1,N2033,IF((P2033-Q2033)=-1,-M2033,0))</f>
        <v/>
      </c>
      <c r="U2033" s="101">
        <f>IF(AND(H2033=1,LedAcct&lt;&gt;""),IF(AND(E2033&gt;=LedFrom,E2033&lt;=LedTo,OR(I2033=LedAcct,K2033=LedAcct,AND(LedAcct=acctTax,M2033+N2033&lt;&gt;0))),E2033*10000+B2033,""),"")</f>
        <v/>
      </c>
    </row>
    <row r="2034">
      <c r="B2034" s="101" t="n">
        <v>2028</v>
      </c>
      <c r="C2034" s="58" t="inlineStr">
        <is>
          <t>Invoice</t>
        </is>
      </c>
      <c r="D2034" s="58">
        <f>IF(H2034=1,INDEX(ar_No,28)&amp;"","")</f>
        <v/>
      </c>
      <c r="E2034" s="94">
        <f>IF(H2034=1,INDEX(ar_Date,28),"")</f>
        <v/>
      </c>
      <c r="F2034" s="58">
        <f>IF(H2034=1,INDEX(ar_Desc,28)&amp;"","")</f>
        <v/>
      </c>
      <c r="G2034" s="58">
        <f>IF(H2034=1,INDEX(ar_Party,28)&amp;"","")</f>
        <v/>
      </c>
      <c r="H2034" s="101">
        <f>IFERROR(N(INDEX(ar_Posted,28)),0)</f>
        <v/>
      </c>
      <c r="I2034" s="58">
        <f>IF(H2034=1,INDEX(ar_DrAcct,28)&amp;"","")</f>
        <v/>
      </c>
      <c r="J2034" s="95">
        <f>IF(H2034=1,INDEX(ar_DrAmt,28),0)</f>
        <v/>
      </c>
      <c r="K2034" s="58">
        <f>IF(H2034=1,INDEX(ar_CrAcct,28)&amp;"","")</f>
        <v/>
      </c>
      <c r="L2034" s="95">
        <f>IF(H2034=1,INDEX(ar_CrAmt,28),0)</f>
        <v/>
      </c>
      <c r="M2034" s="95" t="n">
        <v>0</v>
      </c>
      <c r="N2034" s="95">
        <f>IF(H2034=1,INDEX(ar_TaxAmt,28),0)</f>
        <v/>
      </c>
      <c r="O2034" s="101">
        <f>IF(H2034=1,IF(E2034&lt;FYStart,0,IF(E2034&gt;FYEnd,13,YEAR(E2034)*12+MONTH(E2034)-FYYM+1)),"")</f>
        <v/>
      </c>
      <c r="P2034" s="101">
        <f>IF(H2034=1,IF(IFERROR(INDEX(coa_CF,MATCH(I2034,coa_Name,0)),"")="Cash",1,0),0)</f>
        <v/>
      </c>
      <c r="Q2034" s="101">
        <f>IF(H2034=1,IF(IFERROR(INDEX(coa_CF,MATCH(K2034,coa_Name,0)),"")="Cash",1,0),0)</f>
        <v/>
      </c>
      <c r="R2034" s="58">
        <f>IF((P2034-Q2034)=0,"",IFERROR(INDEX(coa_CF,MATCH(IF((P2034-Q2034)=1,K2034,I2034),coa_Name,0)),"Operating"))</f>
        <v/>
      </c>
      <c r="S2034" s="95">
        <f>IF((P2034-Q2034)=1,L2034,IF((P2034-Q2034)=-1,-J2034,0))</f>
        <v/>
      </c>
      <c r="T2034" s="95">
        <f>IF((P2034-Q2034)=1,N2034,IF((P2034-Q2034)=-1,-M2034,0))</f>
        <v/>
      </c>
      <c r="U2034" s="101">
        <f>IF(AND(H2034=1,LedAcct&lt;&gt;""),IF(AND(E2034&gt;=LedFrom,E2034&lt;=LedTo,OR(I2034=LedAcct,K2034=LedAcct,AND(LedAcct=acctTax,M2034+N2034&lt;&gt;0))),E2034*10000+B2034,""),"")</f>
        <v/>
      </c>
    </row>
    <row r="2035">
      <c r="B2035" s="101" t="n">
        <v>2029</v>
      </c>
      <c r="C2035" s="58" t="inlineStr">
        <is>
          <t>Invoice</t>
        </is>
      </c>
      <c r="D2035" s="58">
        <f>IF(H2035=1,INDEX(ar_No,29)&amp;"","")</f>
        <v/>
      </c>
      <c r="E2035" s="94">
        <f>IF(H2035=1,INDEX(ar_Date,29),"")</f>
        <v/>
      </c>
      <c r="F2035" s="58">
        <f>IF(H2035=1,INDEX(ar_Desc,29)&amp;"","")</f>
        <v/>
      </c>
      <c r="G2035" s="58">
        <f>IF(H2035=1,INDEX(ar_Party,29)&amp;"","")</f>
        <v/>
      </c>
      <c r="H2035" s="101">
        <f>IFERROR(N(INDEX(ar_Posted,29)),0)</f>
        <v/>
      </c>
      <c r="I2035" s="58">
        <f>IF(H2035=1,INDEX(ar_DrAcct,29)&amp;"","")</f>
        <v/>
      </c>
      <c r="J2035" s="95">
        <f>IF(H2035=1,INDEX(ar_DrAmt,29),0)</f>
        <v/>
      </c>
      <c r="K2035" s="58">
        <f>IF(H2035=1,INDEX(ar_CrAcct,29)&amp;"","")</f>
        <v/>
      </c>
      <c r="L2035" s="95">
        <f>IF(H2035=1,INDEX(ar_CrAmt,29),0)</f>
        <v/>
      </c>
      <c r="M2035" s="95" t="n">
        <v>0</v>
      </c>
      <c r="N2035" s="95">
        <f>IF(H2035=1,INDEX(ar_TaxAmt,29),0)</f>
        <v/>
      </c>
      <c r="O2035" s="101">
        <f>IF(H2035=1,IF(E2035&lt;FYStart,0,IF(E2035&gt;FYEnd,13,YEAR(E2035)*12+MONTH(E2035)-FYYM+1)),"")</f>
        <v/>
      </c>
      <c r="P2035" s="101">
        <f>IF(H2035=1,IF(IFERROR(INDEX(coa_CF,MATCH(I2035,coa_Name,0)),"")="Cash",1,0),0)</f>
        <v/>
      </c>
      <c r="Q2035" s="101">
        <f>IF(H2035=1,IF(IFERROR(INDEX(coa_CF,MATCH(K2035,coa_Name,0)),"")="Cash",1,0),0)</f>
        <v/>
      </c>
      <c r="R2035" s="58">
        <f>IF((P2035-Q2035)=0,"",IFERROR(INDEX(coa_CF,MATCH(IF((P2035-Q2035)=1,K2035,I2035),coa_Name,0)),"Operating"))</f>
        <v/>
      </c>
      <c r="S2035" s="95">
        <f>IF((P2035-Q2035)=1,L2035,IF((P2035-Q2035)=-1,-J2035,0))</f>
        <v/>
      </c>
      <c r="T2035" s="95">
        <f>IF((P2035-Q2035)=1,N2035,IF((P2035-Q2035)=-1,-M2035,0))</f>
        <v/>
      </c>
      <c r="U2035" s="101">
        <f>IF(AND(H2035=1,LedAcct&lt;&gt;""),IF(AND(E2035&gt;=LedFrom,E2035&lt;=LedTo,OR(I2035=LedAcct,K2035=LedAcct,AND(LedAcct=acctTax,M2035+N2035&lt;&gt;0))),E2035*10000+B2035,""),"")</f>
        <v/>
      </c>
    </row>
    <row r="2036">
      <c r="B2036" s="101" t="n">
        <v>2030</v>
      </c>
      <c r="C2036" s="58" t="inlineStr">
        <is>
          <t>Invoice</t>
        </is>
      </c>
      <c r="D2036" s="58">
        <f>IF(H2036=1,INDEX(ar_No,30)&amp;"","")</f>
        <v/>
      </c>
      <c r="E2036" s="94">
        <f>IF(H2036=1,INDEX(ar_Date,30),"")</f>
        <v/>
      </c>
      <c r="F2036" s="58">
        <f>IF(H2036=1,INDEX(ar_Desc,30)&amp;"","")</f>
        <v/>
      </c>
      <c r="G2036" s="58">
        <f>IF(H2036=1,INDEX(ar_Party,30)&amp;"","")</f>
        <v/>
      </c>
      <c r="H2036" s="101">
        <f>IFERROR(N(INDEX(ar_Posted,30)),0)</f>
        <v/>
      </c>
      <c r="I2036" s="58">
        <f>IF(H2036=1,INDEX(ar_DrAcct,30)&amp;"","")</f>
        <v/>
      </c>
      <c r="J2036" s="95">
        <f>IF(H2036=1,INDEX(ar_DrAmt,30),0)</f>
        <v/>
      </c>
      <c r="K2036" s="58">
        <f>IF(H2036=1,INDEX(ar_CrAcct,30)&amp;"","")</f>
        <v/>
      </c>
      <c r="L2036" s="95">
        <f>IF(H2036=1,INDEX(ar_CrAmt,30),0)</f>
        <v/>
      </c>
      <c r="M2036" s="95" t="n">
        <v>0</v>
      </c>
      <c r="N2036" s="95">
        <f>IF(H2036=1,INDEX(ar_TaxAmt,30),0)</f>
        <v/>
      </c>
      <c r="O2036" s="101">
        <f>IF(H2036=1,IF(E2036&lt;FYStart,0,IF(E2036&gt;FYEnd,13,YEAR(E2036)*12+MONTH(E2036)-FYYM+1)),"")</f>
        <v/>
      </c>
      <c r="P2036" s="101">
        <f>IF(H2036=1,IF(IFERROR(INDEX(coa_CF,MATCH(I2036,coa_Name,0)),"")="Cash",1,0),0)</f>
        <v/>
      </c>
      <c r="Q2036" s="101">
        <f>IF(H2036=1,IF(IFERROR(INDEX(coa_CF,MATCH(K2036,coa_Name,0)),"")="Cash",1,0),0)</f>
        <v/>
      </c>
      <c r="R2036" s="58">
        <f>IF((P2036-Q2036)=0,"",IFERROR(INDEX(coa_CF,MATCH(IF((P2036-Q2036)=1,K2036,I2036),coa_Name,0)),"Operating"))</f>
        <v/>
      </c>
      <c r="S2036" s="95">
        <f>IF((P2036-Q2036)=1,L2036,IF((P2036-Q2036)=-1,-J2036,0))</f>
        <v/>
      </c>
      <c r="T2036" s="95">
        <f>IF((P2036-Q2036)=1,N2036,IF((P2036-Q2036)=-1,-M2036,0))</f>
        <v/>
      </c>
      <c r="U2036" s="101">
        <f>IF(AND(H2036=1,LedAcct&lt;&gt;""),IF(AND(E2036&gt;=LedFrom,E2036&lt;=LedTo,OR(I2036=LedAcct,K2036=LedAcct,AND(LedAcct=acctTax,M2036+N2036&lt;&gt;0))),E2036*10000+B2036,""),"")</f>
        <v/>
      </c>
    </row>
    <row r="2037">
      <c r="B2037" s="101" t="n">
        <v>2031</v>
      </c>
      <c r="C2037" s="58" t="inlineStr">
        <is>
          <t>Invoice</t>
        </is>
      </c>
      <c r="D2037" s="58">
        <f>IF(H2037=1,INDEX(ar_No,31)&amp;"","")</f>
        <v/>
      </c>
      <c r="E2037" s="94">
        <f>IF(H2037=1,INDEX(ar_Date,31),"")</f>
        <v/>
      </c>
      <c r="F2037" s="58">
        <f>IF(H2037=1,INDEX(ar_Desc,31)&amp;"","")</f>
        <v/>
      </c>
      <c r="G2037" s="58">
        <f>IF(H2037=1,INDEX(ar_Party,31)&amp;"","")</f>
        <v/>
      </c>
      <c r="H2037" s="101">
        <f>IFERROR(N(INDEX(ar_Posted,31)),0)</f>
        <v/>
      </c>
      <c r="I2037" s="58">
        <f>IF(H2037=1,INDEX(ar_DrAcct,31)&amp;"","")</f>
        <v/>
      </c>
      <c r="J2037" s="95">
        <f>IF(H2037=1,INDEX(ar_DrAmt,31),0)</f>
        <v/>
      </c>
      <c r="K2037" s="58">
        <f>IF(H2037=1,INDEX(ar_CrAcct,31)&amp;"","")</f>
        <v/>
      </c>
      <c r="L2037" s="95">
        <f>IF(H2037=1,INDEX(ar_CrAmt,31),0)</f>
        <v/>
      </c>
      <c r="M2037" s="95" t="n">
        <v>0</v>
      </c>
      <c r="N2037" s="95">
        <f>IF(H2037=1,INDEX(ar_TaxAmt,31),0)</f>
        <v/>
      </c>
      <c r="O2037" s="101">
        <f>IF(H2037=1,IF(E2037&lt;FYStart,0,IF(E2037&gt;FYEnd,13,YEAR(E2037)*12+MONTH(E2037)-FYYM+1)),"")</f>
        <v/>
      </c>
      <c r="P2037" s="101">
        <f>IF(H2037=1,IF(IFERROR(INDEX(coa_CF,MATCH(I2037,coa_Name,0)),"")="Cash",1,0),0)</f>
        <v/>
      </c>
      <c r="Q2037" s="101">
        <f>IF(H2037=1,IF(IFERROR(INDEX(coa_CF,MATCH(K2037,coa_Name,0)),"")="Cash",1,0),0)</f>
        <v/>
      </c>
      <c r="R2037" s="58">
        <f>IF((P2037-Q2037)=0,"",IFERROR(INDEX(coa_CF,MATCH(IF((P2037-Q2037)=1,K2037,I2037),coa_Name,0)),"Operating"))</f>
        <v/>
      </c>
      <c r="S2037" s="95">
        <f>IF((P2037-Q2037)=1,L2037,IF((P2037-Q2037)=-1,-J2037,0))</f>
        <v/>
      </c>
      <c r="T2037" s="95">
        <f>IF((P2037-Q2037)=1,N2037,IF((P2037-Q2037)=-1,-M2037,0))</f>
        <v/>
      </c>
      <c r="U2037" s="101">
        <f>IF(AND(H2037=1,LedAcct&lt;&gt;""),IF(AND(E2037&gt;=LedFrom,E2037&lt;=LedTo,OR(I2037=LedAcct,K2037=LedAcct,AND(LedAcct=acctTax,M2037+N2037&lt;&gt;0))),E2037*10000+B2037,""),"")</f>
        <v/>
      </c>
    </row>
    <row r="2038">
      <c r="B2038" s="101" t="n">
        <v>2032</v>
      </c>
      <c r="C2038" s="58" t="inlineStr">
        <is>
          <t>Invoice</t>
        </is>
      </c>
      <c r="D2038" s="58">
        <f>IF(H2038=1,INDEX(ar_No,32)&amp;"","")</f>
        <v/>
      </c>
      <c r="E2038" s="94">
        <f>IF(H2038=1,INDEX(ar_Date,32),"")</f>
        <v/>
      </c>
      <c r="F2038" s="58">
        <f>IF(H2038=1,INDEX(ar_Desc,32)&amp;"","")</f>
        <v/>
      </c>
      <c r="G2038" s="58">
        <f>IF(H2038=1,INDEX(ar_Party,32)&amp;"","")</f>
        <v/>
      </c>
      <c r="H2038" s="101">
        <f>IFERROR(N(INDEX(ar_Posted,32)),0)</f>
        <v/>
      </c>
      <c r="I2038" s="58">
        <f>IF(H2038=1,INDEX(ar_DrAcct,32)&amp;"","")</f>
        <v/>
      </c>
      <c r="J2038" s="95">
        <f>IF(H2038=1,INDEX(ar_DrAmt,32),0)</f>
        <v/>
      </c>
      <c r="K2038" s="58">
        <f>IF(H2038=1,INDEX(ar_CrAcct,32)&amp;"","")</f>
        <v/>
      </c>
      <c r="L2038" s="95">
        <f>IF(H2038=1,INDEX(ar_CrAmt,32),0)</f>
        <v/>
      </c>
      <c r="M2038" s="95" t="n">
        <v>0</v>
      </c>
      <c r="N2038" s="95">
        <f>IF(H2038=1,INDEX(ar_TaxAmt,32),0)</f>
        <v/>
      </c>
      <c r="O2038" s="101">
        <f>IF(H2038=1,IF(E2038&lt;FYStart,0,IF(E2038&gt;FYEnd,13,YEAR(E2038)*12+MONTH(E2038)-FYYM+1)),"")</f>
        <v/>
      </c>
      <c r="P2038" s="101">
        <f>IF(H2038=1,IF(IFERROR(INDEX(coa_CF,MATCH(I2038,coa_Name,0)),"")="Cash",1,0),0)</f>
        <v/>
      </c>
      <c r="Q2038" s="101">
        <f>IF(H2038=1,IF(IFERROR(INDEX(coa_CF,MATCH(K2038,coa_Name,0)),"")="Cash",1,0),0)</f>
        <v/>
      </c>
      <c r="R2038" s="58">
        <f>IF((P2038-Q2038)=0,"",IFERROR(INDEX(coa_CF,MATCH(IF((P2038-Q2038)=1,K2038,I2038),coa_Name,0)),"Operating"))</f>
        <v/>
      </c>
      <c r="S2038" s="95">
        <f>IF((P2038-Q2038)=1,L2038,IF((P2038-Q2038)=-1,-J2038,0))</f>
        <v/>
      </c>
      <c r="T2038" s="95">
        <f>IF((P2038-Q2038)=1,N2038,IF((P2038-Q2038)=-1,-M2038,0))</f>
        <v/>
      </c>
      <c r="U2038" s="101">
        <f>IF(AND(H2038=1,LedAcct&lt;&gt;""),IF(AND(E2038&gt;=LedFrom,E2038&lt;=LedTo,OR(I2038=LedAcct,K2038=LedAcct,AND(LedAcct=acctTax,M2038+N2038&lt;&gt;0))),E2038*10000+B2038,""),"")</f>
        <v/>
      </c>
    </row>
    <row r="2039">
      <c r="B2039" s="101" t="n">
        <v>2033</v>
      </c>
      <c r="C2039" s="58" t="inlineStr">
        <is>
          <t>Invoice</t>
        </is>
      </c>
      <c r="D2039" s="58">
        <f>IF(H2039=1,INDEX(ar_No,33)&amp;"","")</f>
        <v/>
      </c>
      <c r="E2039" s="94">
        <f>IF(H2039=1,INDEX(ar_Date,33),"")</f>
        <v/>
      </c>
      <c r="F2039" s="58">
        <f>IF(H2039=1,INDEX(ar_Desc,33)&amp;"","")</f>
        <v/>
      </c>
      <c r="G2039" s="58">
        <f>IF(H2039=1,INDEX(ar_Party,33)&amp;"","")</f>
        <v/>
      </c>
      <c r="H2039" s="101">
        <f>IFERROR(N(INDEX(ar_Posted,33)),0)</f>
        <v/>
      </c>
      <c r="I2039" s="58">
        <f>IF(H2039=1,INDEX(ar_DrAcct,33)&amp;"","")</f>
        <v/>
      </c>
      <c r="J2039" s="95">
        <f>IF(H2039=1,INDEX(ar_DrAmt,33),0)</f>
        <v/>
      </c>
      <c r="K2039" s="58">
        <f>IF(H2039=1,INDEX(ar_CrAcct,33)&amp;"","")</f>
        <v/>
      </c>
      <c r="L2039" s="95">
        <f>IF(H2039=1,INDEX(ar_CrAmt,33),0)</f>
        <v/>
      </c>
      <c r="M2039" s="95" t="n">
        <v>0</v>
      </c>
      <c r="N2039" s="95">
        <f>IF(H2039=1,INDEX(ar_TaxAmt,33),0)</f>
        <v/>
      </c>
      <c r="O2039" s="101">
        <f>IF(H2039=1,IF(E2039&lt;FYStart,0,IF(E2039&gt;FYEnd,13,YEAR(E2039)*12+MONTH(E2039)-FYYM+1)),"")</f>
        <v/>
      </c>
      <c r="P2039" s="101">
        <f>IF(H2039=1,IF(IFERROR(INDEX(coa_CF,MATCH(I2039,coa_Name,0)),"")="Cash",1,0),0)</f>
        <v/>
      </c>
      <c r="Q2039" s="101">
        <f>IF(H2039=1,IF(IFERROR(INDEX(coa_CF,MATCH(K2039,coa_Name,0)),"")="Cash",1,0),0)</f>
        <v/>
      </c>
      <c r="R2039" s="58">
        <f>IF((P2039-Q2039)=0,"",IFERROR(INDEX(coa_CF,MATCH(IF((P2039-Q2039)=1,K2039,I2039),coa_Name,0)),"Operating"))</f>
        <v/>
      </c>
      <c r="S2039" s="95">
        <f>IF((P2039-Q2039)=1,L2039,IF((P2039-Q2039)=-1,-J2039,0))</f>
        <v/>
      </c>
      <c r="T2039" s="95">
        <f>IF((P2039-Q2039)=1,N2039,IF((P2039-Q2039)=-1,-M2039,0))</f>
        <v/>
      </c>
      <c r="U2039" s="101">
        <f>IF(AND(H2039=1,LedAcct&lt;&gt;""),IF(AND(E2039&gt;=LedFrom,E2039&lt;=LedTo,OR(I2039=LedAcct,K2039=LedAcct,AND(LedAcct=acctTax,M2039+N2039&lt;&gt;0))),E2039*10000+B2039,""),"")</f>
        <v/>
      </c>
    </row>
    <row r="2040">
      <c r="B2040" s="101" t="n">
        <v>2034</v>
      </c>
      <c r="C2040" s="58" t="inlineStr">
        <is>
          <t>Invoice</t>
        </is>
      </c>
      <c r="D2040" s="58">
        <f>IF(H2040=1,INDEX(ar_No,34)&amp;"","")</f>
        <v/>
      </c>
      <c r="E2040" s="94">
        <f>IF(H2040=1,INDEX(ar_Date,34),"")</f>
        <v/>
      </c>
      <c r="F2040" s="58">
        <f>IF(H2040=1,INDEX(ar_Desc,34)&amp;"","")</f>
        <v/>
      </c>
      <c r="G2040" s="58">
        <f>IF(H2040=1,INDEX(ar_Party,34)&amp;"","")</f>
        <v/>
      </c>
      <c r="H2040" s="101">
        <f>IFERROR(N(INDEX(ar_Posted,34)),0)</f>
        <v/>
      </c>
      <c r="I2040" s="58">
        <f>IF(H2040=1,INDEX(ar_DrAcct,34)&amp;"","")</f>
        <v/>
      </c>
      <c r="J2040" s="95">
        <f>IF(H2040=1,INDEX(ar_DrAmt,34),0)</f>
        <v/>
      </c>
      <c r="K2040" s="58">
        <f>IF(H2040=1,INDEX(ar_CrAcct,34)&amp;"","")</f>
        <v/>
      </c>
      <c r="L2040" s="95">
        <f>IF(H2040=1,INDEX(ar_CrAmt,34),0)</f>
        <v/>
      </c>
      <c r="M2040" s="95" t="n">
        <v>0</v>
      </c>
      <c r="N2040" s="95">
        <f>IF(H2040=1,INDEX(ar_TaxAmt,34),0)</f>
        <v/>
      </c>
      <c r="O2040" s="101">
        <f>IF(H2040=1,IF(E2040&lt;FYStart,0,IF(E2040&gt;FYEnd,13,YEAR(E2040)*12+MONTH(E2040)-FYYM+1)),"")</f>
        <v/>
      </c>
      <c r="P2040" s="101">
        <f>IF(H2040=1,IF(IFERROR(INDEX(coa_CF,MATCH(I2040,coa_Name,0)),"")="Cash",1,0),0)</f>
        <v/>
      </c>
      <c r="Q2040" s="101">
        <f>IF(H2040=1,IF(IFERROR(INDEX(coa_CF,MATCH(K2040,coa_Name,0)),"")="Cash",1,0),0)</f>
        <v/>
      </c>
      <c r="R2040" s="58">
        <f>IF((P2040-Q2040)=0,"",IFERROR(INDEX(coa_CF,MATCH(IF((P2040-Q2040)=1,K2040,I2040),coa_Name,0)),"Operating"))</f>
        <v/>
      </c>
      <c r="S2040" s="95">
        <f>IF((P2040-Q2040)=1,L2040,IF((P2040-Q2040)=-1,-J2040,0))</f>
        <v/>
      </c>
      <c r="T2040" s="95">
        <f>IF((P2040-Q2040)=1,N2040,IF((P2040-Q2040)=-1,-M2040,0))</f>
        <v/>
      </c>
      <c r="U2040" s="101">
        <f>IF(AND(H2040=1,LedAcct&lt;&gt;""),IF(AND(E2040&gt;=LedFrom,E2040&lt;=LedTo,OR(I2040=LedAcct,K2040=LedAcct,AND(LedAcct=acctTax,M2040+N2040&lt;&gt;0))),E2040*10000+B2040,""),"")</f>
        <v/>
      </c>
    </row>
    <row r="2041">
      <c r="B2041" s="101" t="n">
        <v>2035</v>
      </c>
      <c r="C2041" s="58" t="inlineStr">
        <is>
          <t>Invoice</t>
        </is>
      </c>
      <c r="D2041" s="58">
        <f>IF(H2041=1,INDEX(ar_No,35)&amp;"","")</f>
        <v/>
      </c>
      <c r="E2041" s="94">
        <f>IF(H2041=1,INDEX(ar_Date,35),"")</f>
        <v/>
      </c>
      <c r="F2041" s="58">
        <f>IF(H2041=1,INDEX(ar_Desc,35)&amp;"","")</f>
        <v/>
      </c>
      <c r="G2041" s="58">
        <f>IF(H2041=1,INDEX(ar_Party,35)&amp;"","")</f>
        <v/>
      </c>
      <c r="H2041" s="101">
        <f>IFERROR(N(INDEX(ar_Posted,35)),0)</f>
        <v/>
      </c>
      <c r="I2041" s="58">
        <f>IF(H2041=1,INDEX(ar_DrAcct,35)&amp;"","")</f>
        <v/>
      </c>
      <c r="J2041" s="95">
        <f>IF(H2041=1,INDEX(ar_DrAmt,35),0)</f>
        <v/>
      </c>
      <c r="K2041" s="58">
        <f>IF(H2041=1,INDEX(ar_CrAcct,35)&amp;"","")</f>
        <v/>
      </c>
      <c r="L2041" s="95">
        <f>IF(H2041=1,INDEX(ar_CrAmt,35),0)</f>
        <v/>
      </c>
      <c r="M2041" s="95" t="n">
        <v>0</v>
      </c>
      <c r="N2041" s="95">
        <f>IF(H2041=1,INDEX(ar_TaxAmt,35),0)</f>
        <v/>
      </c>
      <c r="O2041" s="101">
        <f>IF(H2041=1,IF(E2041&lt;FYStart,0,IF(E2041&gt;FYEnd,13,YEAR(E2041)*12+MONTH(E2041)-FYYM+1)),"")</f>
        <v/>
      </c>
      <c r="P2041" s="101">
        <f>IF(H2041=1,IF(IFERROR(INDEX(coa_CF,MATCH(I2041,coa_Name,0)),"")="Cash",1,0),0)</f>
        <v/>
      </c>
      <c r="Q2041" s="101">
        <f>IF(H2041=1,IF(IFERROR(INDEX(coa_CF,MATCH(K2041,coa_Name,0)),"")="Cash",1,0),0)</f>
        <v/>
      </c>
      <c r="R2041" s="58">
        <f>IF((P2041-Q2041)=0,"",IFERROR(INDEX(coa_CF,MATCH(IF((P2041-Q2041)=1,K2041,I2041),coa_Name,0)),"Operating"))</f>
        <v/>
      </c>
      <c r="S2041" s="95">
        <f>IF((P2041-Q2041)=1,L2041,IF((P2041-Q2041)=-1,-J2041,0))</f>
        <v/>
      </c>
      <c r="T2041" s="95">
        <f>IF((P2041-Q2041)=1,N2041,IF((P2041-Q2041)=-1,-M2041,0))</f>
        <v/>
      </c>
      <c r="U2041" s="101">
        <f>IF(AND(H2041=1,LedAcct&lt;&gt;""),IF(AND(E2041&gt;=LedFrom,E2041&lt;=LedTo,OR(I2041=LedAcct,K2041=LedAcct,AND(LedAcct=acctTax,M2041+N2041&lt;&gt;0))),E2041*10000+B2041,""),"")</f>
        <v/>
      </c>
    </row>
    <row r="2042">
      <c r="B2042" s="101" t="n">
        <v>2036</v>
      </c>
      <c r="C2042" s="58" t="inlineStr">
        <is>
          <t>Invoice</t>
        </is>
      </c>
      <c r="D2042" s="58">
        <f>IF(H2042=1,INDEX(ar_No,36)&amp;"","")</f>
        <v/>
      </c>
      <c r="E2042" s="94">
        <f>IF(H2042=1,INDEX(ar_Date,36),"")</f>
        <v/>
      </c>
      <c r="F2042" s="58">
        <f>IF(H2042=1,INDEX(ar_Desc,36)&amp;"","")</f>
        <v/>
      </c>
      <c r="G2042" s="58">
        <f>IF(H2042=1,INDEX(ar_Party,36)&amp;"","")</f>
        <v/>
      </c>
      <c r="H2042" s="101">
        <f>IFERROR(N(INDEX(ar_Posted,36)),0)</f>
        <v/>
      </c>
      <c r="I2042" s="58">
        <f>IF(H2042=1,INDEX(ar_DrAcct,36)&amp;"","")</f>
        <v/>
      </c>
      <c r="J2042" s="95">
        <f>IF(H2042=1,INDEX(ar_DrAmt,36),0)</f>
        <v/>
      </c>
      <c r="K2042" s="58">
        <f>IF(H2042=1,INDEX(ar_CrAcct,36)&amp;"","")</f>
        <v/>
      </c>
      <c r="L2042" s="95">
        <f>IF(H2042=1,INDEX(ar_CrAmt,36),0)</f>
        <v/>
      </c>
      <c r="M2042" s="95" t="n">
        <v>0</v>
      </c>
      <c r="N2042" s="95">
        <f>IF(H2042=1,INDEX(ar_TaxAmt,36),0)</f>
        <v/>
      </c>
      <c r="O2042" s="101">
        <f>IF(H2042=1,IF(E2042&lt;FYStart,0,IF(E2042&gt;FYEnd,13,YEAR(E2042)*12+MONTH(E2042)-FYYM+1)),"")</f>
        <v/>
      </c>
      <c r="P2042" s="101">
        <f>IF(H2042=1,IF(IFERROR(INDEX(coa_CF,MATCH(I2042,coa_Name,0)),"")="Cash",1,0),0)</f>
        <v/>
      </c>
      <c r="Q2042" s="101">
        <f>IF(H2042=1,IF(IFERROR(INDEX(coa_CF,MATCH(K2042,coa_Name,0)),"")="Cash",1,0),0)</f>
        <v/>
      </c>
      <c r="R2042" s="58">
        <f>IF((P2042-Q2042)=0,"",IFERROR(INDEX(coa_CF,MATCH(IF((P2042-Q2042)=1,K2042,I2042),coa_Name,0)),"Operating"))</f>
        <v/>
      </c>
      <c r="S2042" s="95">
        <f>IF((P2042-Q2042)=1,L2042,IF((P2042-Q2042)=-1,-J2042,0))</f>
        <v/>
      </c>
      <c r="T2042" s="95">
        <f>IF((P2042-Q2042)=1,N2042,IF((P2042-Q2042)=-1,-M2042,0))</f>
        <v/>
      </c>
      <c r="U2042" s="101">
        <f>IF(AND(H2042=1,LedAcct&lt;&gt;""),IF(AND(E2042&gt;=LedFrom,E2042&lt;=LedTo,OR(I2042=LedAcct,K2042=LedAcct,AND(LedAcct=acctTax,M2042+N2042&lt;&gt;0))),E2042*10000+B2042,""),"")</f>
        <v/>
      </c>
    </row>
    <row r="2043">
      <c r="B2043" s="101" t="n">
        <v>2037</v>
      </c>
      <c r="C2043" s="58" t="inlineStr">
        <is>
          <t>Invoice</t>
        </is>
      </c>
      <c r="D2043" s="58">
        <f>IF(H2043=1,INDEX(ar_No,37)&amp;"","")</f>
        <v/>
      </c>
      <c r="E2043" s="94">
        <f>IF(H2043=1,INDEX(ar_Date,37),"")</f>
        <v/>
      </c>
      <c r="F2043" s="58">
        <f>IF(H2043=1,INDEX(ar_Desc,37)&amp;"","")</f>
        <v/>
      </c>
      <c r="G2043" s="58">
        <f>IF(H2043=1,INDEX(ar_Party,37)&amp;"","")</f>
        <v/>
      </c>
      <c r="H2043" s="101">
        <f>IFERROR(N(INDEX(ar_Posted,37)),0)</f>
        <v/>
      </c>
      <c r="I2043" s="58">
        <f>IF(H2043=1,INDEX(ar_DrAcct,37)&amp;"","")</f>
        <v/>
      </c>
      <c r="J2043" s="95">
        <f>IF(H2043=1,INDEX(ar_DrAmt,37),0)</f>
        <v/>
      </c>
      <c r="K2043" s="58">
        <f>IF(H2043=1,INDEX(ar_CrAcct,37)&amp;"","")</f>
        <v/>
      </c>
      <c r="L2043" s="95">
        <f>IF(H2043=1,INDEX(ar_CrAmt,37),0)</f>
        <v/>
      </c>
      <c r="M2043" s="95" t="n">
        <v>0</v>
      </c>
      <c r="N2043" s="95">
        <f>IF(H2043=1,INDEX(ar_TaxAmt,37),0)</f>
        <v/>
      </c>
      <c r="O2043" s="101">
        <f>IF(H2043=1,IF(E2043&lt;FYStart,0,IF(E2043&gt;FYEnd,13,YEAR(E2043)*12+MONTH(E2043)-FYYM+1)),"")</f>
        <v/>
      </c>
      <c r="P2043" s="101">
        <f>IF(H2043=1,IF(IFERROR(INDEX(coa_CF,MATCH(I2043,coa_Name,0)),"")="Cash",1,0),0)</f>
        <v/>
      </c>
      <c r="Q2043" s="101">
        <f>IF(H2043=1,IF(IFERROR(INDEX(coa_CF,MATCH(K2043,coa_Name,0)),"")="Cash",1,0),0)</f>
        <v/>
      </c>
      <c r="R2043" s="58">
        <f>IF((P2043-Q2043)=0,"",IFERROR(INDEX(coa_CF,MATCH(IF((P2043-Q2043)=1,K2043,I2043),coa_Name,0)),"Operating"))</f>
        <v/>
      </c>
      <c r="S2043" s="95">
        <f>IF((P2043-Q2043)=1,L2043,IF((P2043-Q2043)=-1,-J2043,0))</f>
        <v/>
      </c>
      <c r="T2043" s="95">
        <f>IF((P2043-Q2043)=1,N2043,IF((P2043-Q2043)=-1,-M2043,0))</f>
        <v/>
      </c>
      <c r="U2043" s="101">
        <f>IF(AND(H2043=1,LedAcct&lt;&gt;""),IF(AND(E2043&gt;=LedFrom,E2043&lt;=LedTo,OR(I2043=LedAcct,K2043=LedAcct,AND(LedAcct=acctTax,M2043+N2043&lt;&gt;0))),E2043*10000+B2043,""),"")</f>
        <v/>
      </c>
    </row>
    <row r="2044">
      <c r="B2044" s="101" t="n">
        <v>2038</v>
      </c>
      <c r="C2044" s="58" t="inlineStr">
        <is>
          <t>Invoice</t>
        </is>
      </c>
      <c r="D2044" s="58">
        <f>IF(H2044=1,INDEX(ar_No,38)&amp;"","")</f>
        <v/>
      </c>
      <c r="E2044" s="94">
        <f>IF(H2044=1,INDEX(ar_Date,38),"")</f>
        <v/>
      </c>
      <c r="F2044" s="58">
        <f>IF(H2044=1,INDEX(ar_Desc,38)&amp;"","")</f>
        <v/>
      </c>
      <c r="G2044" s="58">
        <f>IF(H2044=1,INDEX(ar_Party,38)&amp;"","")</f>
        <v/>
      </c>
      <c r="H2044" s="101">
        <f>IFERROR(N(INDEX(ar_Posted,38)),0)</f>
        <v/>
      </c>
      <c r="I2044" s="58">
        <f>IF(H2044=1,INDEX(ar_DrAcct,38)&amp;"","")</f>
        <v/>
      </c>
      <c r="J2044" s="95">
        <f>IF(H2044=1,INDEX(ar_DrAmt,38),0)</f>
        <v/>
      </c>
      <c r="K2044" s="58">
        <f>IF(H2044=1,INDEX(ar_CrAcct,38)&amp;"","")</f>
        <v/>
      </c>
      <c r="L2044" s="95">
        <f>IF(H2044=1,INDEX(ar_CrAmt,38),0)</f>
        <v/>
      </c>
      <c r="M2044" s="95" t="n">
        <v>0</v>
      </c>
      <c r="N2044" s="95">
        <f>IF(H2044=1,INDEX(ar_TaxAmt,38),0)</f>
        <v/>
      </c>
      <c r="O2044" s="101">
        <f>IF(H2044=1,IF(E2044&lt;FYStart,0,IF(E2044&gt;FYEnd,13,YEAR(E2044)*12+MONTH(E2044)-FYYM+1)),"")</f>
        <v/>
      </c>
      <c r="P2044" s="101">
        <f>IF(H2044=1,IF(IFERROR(INDEX(coa_CF,MATCH(I2044,coa_Name,0)),"")="Cash",1,0),0)</f>
        <v/>
      </c>
      <c r="Q2044" s="101">
        <f>IF(H2044=1,IF(IFERROR(INDEX(coa_CF,MATCH(K2044,coa_Name,0)),"")="Cash",1,0),0)</f>
        <v/>
      </c>
      <c r="R2044" s="58">
        <f>IF((P2044-Q2044)=0,"",IFERROR(INDEX(coa_CF,MATCH(IF((P2044-Q2044)=1,K2044,I2044),coa_Name,0)),"Operating"))</f>
        <v/>
      </c>
      <c r="S2044" s="95">
        <f>IF((P2044-Q2044)=1,L2044,IF((P2044-Q2044)=-1,-J2044,0))</f>
        <v/>
      </c>
      <c r="T2044" s="95">
        <f>IF((P2044-Q2044)=1,N2044,IF((P2044-Q2044)=-1,-M2044,0))</f>
        <v/>
      </c>
      <c r="U2044" s="101">
        <f>IF(AND(H2044=1,LedAcct&lt;&gt;""),IF(AND(E2044&gt;=LedFrom,E2044&lt;=LedTo,OR(I2044=LedAcct,K2044=LedAcct,AND(LedAcct=acctTax,M2044+N2044&lt;&gt;0))),E2044*10000+B2044,""),"")</f>
        <v/>
      </c>
    </row>
    <row r="2045">
      <c r="B2045" s="101" t="n">
        <v>2039</v>
      </c>
      <c r="C2045" s="58" t="inlineStr">
        <is>
          <t>Invoice</t>
        </is>
      </c>
      <c r="D2045" s="58">
        <f>IF(H2045=1,INDEX(ar_No,39)&amp;"","")</f>
        <v/>
      </c>
      <c r="E2045" s="94">
        <f>IF(H2045=1,INDEX(ar_Date,39),"")</f>
        <v/>
      </c>
      <c r="F2045" s="58">
        <f>IF(H2045=1,INDEX(ar_Desc,39)&amp;"","")</f>
        <v/>
      </c>
      <c r="G2045" s="58">
        <f>IF(H2045=1,INDEX(ar_Party,39)&amp;"","")</f>
        <v/>
      </c>
      <c r="H2045" s="101">
        <f>IFERROR(N(INDEX(ar_Posted,39)),0)</f>
        <v/>
      </c>
      <c r="I2045" s="58">
        <f>IF(H2045=1,INDEX(ar_DrAcct,39)&amp;"","")</f>
        <v/>
      </c>
      <c r="J2045" s="95">
        <f>IF(H2045=1,INDEX(ar_DrAmt,39),0)</f>
        <v/>
      </c>
      <c r="K2045" s="58">
        <f>IF(H2045=1,INDEX(ar_CrAcct,39)&amp;"","")</f>
        <v/>
      </c>
      <c r="L2045" s="95">
        <f>IF(H2045=1,INDEX(ar_CrAmt,39),0)</f>
        <v/>
      </c>
      <c r="M2045" s="95" t="n">
        <v>0</v>
      </c>
      <c r="N2045" s="95">
        <f>IF(H2045=1,INDEX(ar_TaxAmt,39),0)</f>
        <v/>
      </c>
      <c r="O2045" s="101">
        <f>IF(H2045=1,IF(E2045&lt;FYStart,0,IF(E2045&gt;FYEnd,13,YEAR(E2045)*12+MONTH(E2045)-FYYM+1)),"")</f>
        <v/>
      </c>
      <c r="P2045" s="101">
        <f>IF(H2045=1,IF(IFERROR(INDEX(coa_CF,MATCH(I2045,coa_Name,0)),"")="Cash",1,0),0)</f>
        <v/>
      </c>
      <c r="Q2045" s="101">
        <f>IF(H2045=1,IF(IFERROR(INDEX(coa_CF,MATCH(K2045,coa_Name,0)),"")="Cash",1,0),0)</f>
        <v/>
      </c>
      <c r="R2045" s="58">
        <f>IF((P2045-Q2045)=0,"",IFERROR(INDEX(coa_CF,MATCH(IF((P2045-Q2045)=1,K2045,I2045),coa_Name,0)),"Operating"))</f>
        <v/>
      </c>
      <c r="S2045" s="95">
        <f>IF((P2045-Q2045)=1,L2045,IF((P2045-Q2045)=-1,-J2045,0))</f>
        <v/>
      </c>
      <c r="T2045" s="95">
        <f>IF((P2045-Q2045)=1,N2045,IF((P2045-Q2045)=-1,-M2045,0))</f>
        <v/>
      </c>
      <c r="U2045" s="101">
        <f>IF(AND(H2045=1,LedAcct&lt;&gt;""),IF(AND(E2045&gt;=LedFrom,E2045&lt;=LedTo,OR(I2045=LedAcct,K2045=LedAcct,AND(LedAcct=acctTax,M2045+N2045&lt;&gt;0))),E2045*10000+B2045,""),"")</f>
        <v/>
      </c>
    </row>
    <row r="2046">
      <c r="B2046" s="101" t="n">
        <v>2040</v>
      </c>
      <c r="C2046" s="58" t="inlineStr">
        <is>
          <t>Invoice</t>
        </is>
      </c>
      <c r="D2046" s="58">
        <f>IF(H2046=1,INDEX(ar_No,40)&amp;"","")</f>
        <v/>
      </c>
      <c r="E2046" s="94">
        <f>IF(H2046=1,INDEX(ar_Date,40),"")</f>
        <v/>
      </c>
      <c r="F2046" s="58">
        <f>IF(H2046=1,INDEX(ar_Desc,40)&amp;"","")</f>
        <v/>
      </c>
      <c r="G2046" s="58">
        <f>IF(H2046=1,INDEX(ar_Party,40)&amp;"","")</f>
        <v/>
      </c>
      <c r="H2046" s="101">
        <f>IFERROR(N(INDEX(ar_Posted,40)),0)</f>
        <v/>
      </c>
      <c r="I2046" s="58">
        <f>IF(H2046=1,INDEX(ar_DrAcct,40)&amp;"","")</f>
        <v/>
      </c>
      <c r="J2046" s="95">
        <f>IF(H2046=1,INDEX(ar_DrAmt,40),0)</f>
        <v/>
      </c>
      <c r="K2046" s="58">
        <f>IF(H2046=1,INDEX(ar_CrAcct,40)&amp;"","")</f>
        <v/>
      </c>
      <c r="L2046" s="95">
        <f>IF(H2046=1,INDEX(ar_CrAmt,40),0)</f>
        <v/>
      </c>
      <c r="M2046" s="95" t="n">
        <v>0</v>
      </c>
      <c r="N2046" s="95">
        <f>IF(H2046=1,INDEX(ar_TaxAmt,40),0)</f>
        <v/>
      </c>
      <c r="O2046" s="101">
        <f>IF(H2046=1,IF(E2046&lt;FYStart,0,IF(E2046&gt;FYEnd,13,YEAR(E2046)*12+MONTH(E2046)-FYYM+1)),"")</f>
        <v/>
      </c>
      <c r="P2046" s="101">
        <f>IF(H2046=1,IF(IFERROR(INDEX(coa_CF,MATCH(I2046,coa_Name,0)),"")="Cash",1,0),0)</f>
        <v/>
      </c>
      <c r="Q2046" s="101">
        <f>IF(H2046=1,IF(IFERROR(INDEX(coa_CF,MATCH(K2046,coa_Name,0)),"")="Cash",1,0),0)</f>
        <v/>
      </c>
      <c r="R2046" s="58">
        <f>IF((P2046-Q2046)=0,"",IFERROR(INDEX(coa_CF,MATCH(IF((P2046-Q2046)=1,K2046,I2046),coa_Name,0)),"Operating"))</f>
        <v/>
      </c>
      <c r="S2046" s="95">
        <f>IF((P2046-Q2046)=1,L2046,IF((P2046-Q2046)=-1,-J2046,0))</f>
        <v/>
      </c>
      <c r="T2046" s="95">
        <f>IF((P2046-Q2046)=1,N2046,IF((P2046-Q2046)=-1,-M2046,0))</f>
        <v/>
      </c>
      <c r="U2046" s="101">
        <f>IF(AND(H2046=1,LedAcct&lt;&gt;""),IF(AND(E2046&gt;=LedFrom,E2046&lt;=LedTo,OR(I2046=LedAcct,K2046=LedAcct,AND(LedAcct=acctTax,M2046+N2046&lt;&gt;0))),E2046*10000+B2046,""),"")</f>
        <v/>
      </c>
    </row>
    <row r="2047">
      <c r="B2047" s="101" t="n">
        <v>2041</v>
      </c>
      <c r="C2047" s="58" t="inlineStr">
        <is>
          <t>Invoice</t>
        </is>
      </c>
      <c r="D2047" s="58">
        <f>IF(H2047=1,INDEX(ar_No,41)&amp;"","")</f>
        <v/>
      </c>
      <c r="E2047" s="94">
        <f>IF(H2047=1,INDEX(ar_Date,41),"")</f>
        <v/>
      </c>
      <c r="F2047" s="58">
        <f>IF(H2047=1,INDEX(ar_Desc,41)&amp;"","")</f>
        <v/>
      </c>
      <c r="G2047" s="58">
        <f>IF(H2047=1,INDEX(ar_Party,41)&amp;"","")</f>
        <v/>
      </c>
      <c r="H2047" s="101">
        <f>IFERROR(N(INDEX(ar_Posted,41)),0)</f>
        <v/>
      </c>
      <c r="I2047" s="58">
        <f>IF(H2047=1,INDEX(ar_DrAcct,41)&amp;"","")</f>
        <v/>
      </c>
      <c r="J2047" s="95">
        <f>IF(H2047=1,INDEX(ar_DrAmt,41),0)</f>
        <v/>
      </c>
      <c r="K2047" s="58">
        <f>IF(H2047=1,INDEX(ar_CrAcct,41)&amp;"","")</f>
        <v/>
      </c>
      <c r="L2047" s="95">
        <f>IF(H2047=1,INDEX(ar_CrAmt,41),0)</f>
        <v/>
      </c>
      <c r="M2047" s="95" t="n">
        <v>0</v>
      </c>
      <c r="N2047" s="95">
        <f>IF(H2047=1,INDEX(ar_TaxAmt,41),0)</f>
        <v/>
      </c>
      <c r="O2047" s="101">
        <f>IF(H2047=1,IF(E2047&lt;FYStart,0,IF(E2047&gt;FYEnd,13,YEAR(E2047)*12+MONTH(E2047)-FYYM+1)),"")</f>
        <v/>
      </c>
      <c r="P2047" s="101">
        <f>IF(H2047=1,IF(IFERROR(INDEX(coa_CF,MATCH(I2047,coa_Name,0)),"")="Cash",1,0),0)</f>
        <v/>
      </c>
      <c r="Q2047" s="101">
        <f>IF(H2047=1,IF(IFERROR(INDEX(coa_CF,MATCH(K2047,coa_Name,0)),"")="Cash",1,0),0)</f>
        <v/>
      </c>
      <c r="R2047" s="58">
        <f>IF((P2047-Q2047)=0,"",IFERROR(INDEX(coa_CF,MATCH(IF((P2047-Q2047)=1,K2047,I2047),coa_Name,0)),"Operating"))</f>
        <v/>
      </c>
      <c r="S2047" s="95">
        <f>IF((P2047-Q2047)=1,L2047,IF((P2047-Q2047)=-1,-J2047,0))</f>
        <v/>
      </c>
      <c r="T2047" s="95">
        <f>IF((P2047-Q2047)=1,N2047,IF((P2047-Q2047)=-1,-M2047,0))</f>
        <v/>
      </c>
      <c r="U2047" s="101">
        <f>IF(AND(H2047=1,LedAcct&lt;&gt;""),IF(AND(E2047&gt;=LedFrom,E2047&lt;=LedTo,OR(I2047=LedAcct,K2047=LedAcct,AND(LedAcct=acctTax,M2047+N2047&lt;&gt;0))),E2047*10000+B2047,""),"")</f>
        <v/>
      </c>
    </row>
    <row r="2048">
      <c r="B2048" s="101" t="n">
        <v>2042</v>
      </c>
      <c r="C2048" s="58" t="inlineStr">
        <is>
          <t>Invoice</t>
        </is>
      </c>
      <c r="D2048" s="58">
        <f>IF(H2048=1,INDEX(ar_No,42)&amp;"","")</f>
        <v/>
      </c>
      <c r="E2048" s="94">
        <f>IF(H2048=1,INDEX(ar_Date,42),"")</f>
        <v/>
      </c>
      <c r="F2048" s="58">
        <f>IF(H2048=1,INDEX(ar_Desc,42)&amp;"","")</f>
        <v/>
      </c>
      <c r="G2048" s="58">
        <f>IF(H2048=1,INDEX(ar_Party,42)&amp;"","")</f>
        <v/>
      </c>
      <c r="H2048" s="101">
        <f>IFERROR(N(INDEX(ar_Posted,42)),0)</f>
        <v/>
      </c>
      <c r="I2048" s="58">
        <f>IF(H2048=1,INDEX(ar_DrAcct,42)&amp;"","")</f>
        <v/>
      </c>
      <c r="J2048" s="95">
        <f>IF(H2048=1,INDEX(ar_DrAmt,42),0)</f>
        <v/>
      </c>
      <c r="K2048" s="58">
        <f>IF(H2048=1,INDEX(ar_CrAcct,42)&amp;"","")</f>
        <v/>
      </c>
      <c r="L2048" s="95">
        <f>IF(H2048=1,INDEX(ar_CrAmt,42),0)</f>
        <v/>
      </c>
      <c r="M2048" s="95" t="n">
        <v>0</v>
      </c>
      <c r="N2048" s="95">
        <f>IF(H2048=1,INDEX(ar_TaxAmt,42),0)</f>
        <v/>
      </c>
      <c r="O2048" s="101">
        <f>IF(H2048=1,IF(E2048&lt;FYStart,0,IF(E2048&gt;FYEnd,13,YEAR(E2048)*12+MONTH(E2048)-FYYM+1)),"")</f>
        <v/>
      </c>
      <c r="P2048" s="101">
        <f>IF(H2048=1,IF(IFERROR(INDEX(coa_CF,MATCH(I2048,coa_Name,0)),"")="Cash",1,0),0)</f>
        <v/>
      </c>
      <c r="Q2048" s="101">
        <f>IF(H2048=1,IF(IFERROR(INDEX(coa_CF,MATCH(K2048,coa_Name,0)),"")="Cash",1,0),0)</f>
        <v/>
      </c>
      <c r="R2048" s="58">
        <f>IF((P2048-Q2048)=0,"",IFERROR(INDEX(coa_CF,MATCH(IF((P2048-Q2048)=1,K2048,I2048),coa_Name,0)),"Operating"))</f>
        <v/>
      </c>
      <c r="S2048" s="95">
        <f>IF((P2048-Q2048)=1,L2048,IF((P2048-Q2048)=-1,-J2048,0))</f>
        <v/>
      </c>
      <c r="T2048" s="95">
        <f>IF((P2048-Q2048)=1,N2048,IF((P2048-Q2048)=-1,-M2048,0))</f>
        <v/>
      </c>
      <c r="U2048" s="101">
        <f>IF(AND(H2048=1,LedAcct&lt;&gt;""),IF(AND(E2048&gt;=LedFrom,E2048&lt;=LedTo,OR(I2048=LedAcct,K2048=LedAcct,AND(LedAcct=acctTax,M2048+N2048&lt;&gt;0))),E2048*10000+B2048,""),"")</f>
        <v/>
      </c>
    </row>
    <row r="2049">
      <c r="B2049" s="101" t="n">
        <v>2043</v>
      </c>
      <c r="C2049" s="58" t="inlineStr">
        <is>
          <t>Invoice</t>
        </is>
      </c>
      <c r="D2049" s="58">
        <f>IF(H2049=1,INDEX(ar_No,43)&amp;"","")</f>
        <v/>
      </c>
      <c r="E2049" s="94">
        <f>IF(H2049=1,INDEX(ar_Date,43),"")</f>
        <v/>
      </c>
      <c r="F2049" s="58">
        <f>IF(H2049=1,INDEX(ar_Desc,43)&amp;"","")</f>
        <v/>
      </c>
      <c r="G2049" s="58">
        <f>IF(H2049=1,INDEX(ar_Party,43)&amp;"","")</f>
        <v/>
      </c>
      <c r="H2049" s="101">
        <f>IFERROR(N(INDEX(ar_Posted,43)),0)</f>
        <v/>
      </c>
      <c r="I2049" s="58">
        <f>IF(H2049=1,INDEX(ar_DrAcct,43)&amp;"","")</f>
        <v/>
      </c>
      <c r="J2049" s="95">
        <f>IF(H2049=1,INDEX(ar_DrAmt,43),0)</f>
        <v/>
      </c>
      <c r="K2049" s="58">
        <f>IF(H2049=1,INDEX(ar_CrAcct,43)&amp;"","")</f>
        <v/>
      </c>
      <c r="L2049" s="95">
        <f>IF(H2049=1,INDEX(ar_CrAmt,43),0)</f>
        <v/>
      </c>
      <c r="M2049" s="95" t="n">
        <v>0</v>
      </c>
      <c r="N2049" s="95">
        <f>IF(H2049=1,INDEX(ar_TaxAmt,43),0)</f>
        <v/>
      </c>
      <c r="O2049" s="101">
        <f>IF(H2049=1,IF(E2049&lt;FYStart,0,IF(E2049&gt;FYEnd,13,YEAR(E2049)*12+MONTH(E2049)-FYYM+1)),"")</f>
        <v/>
      </c>
      <c r="P2049" s="101">
        <f>IF(H2049=1,IF(IFERROR(INDEX(coa_CF,MATCH(I2049,coa_Name,0)),"")="Cash",1,0),0)</f>
        <v/>
      </c>
      <c r="Q2049" s="101">
        <f>IF(H2049=1,IF(IFERROR(INDEX(coa_CF,MATCH(K2049,coa_Name,0)),"")="Cash",1,0),0)</f>
        <v/>
      </c>
      <c r="R2049" s="58">
        <f>IF((P2049-Q2049)=0,"",IFERROR(INDEX(coa_CF,MATCH(IF((P2049-Q2049)=1,K2049,I2049),coa_Name,0)),"Operating"))</f>
        <v/>
      </c>
      <c r="S2049" s="95">
        <f>IF((P2049-Q2049)=1,L2049,IF((P2049-Q2049)=-1,-J2049,0))</f>
        <v/>
      </c>
      <c r="T2049" s="95">
        <f>IF((P2049-Q2049)=1,N2049,IF((P2049-Q2049)=-1,-M2049,0))</f>
        <v/>
      </c>
      <c r="U2049" s="101">
        <f>IF(AND(H2049=1,LedAcct&lt;&gt;""),IF(AND(E2049&gt;=LedFrom,E2049&lt;=LedTo,OR(I2049=LedAcct,K2049=LedAcct,AND(LedAcct=acctTax,M2049+N2049&lt;&gt;0))),E2049*10000+B2049,""),"")</f>
        <v/>
      </c>
    </row>
    <row r="2050">
      <c r="B2050" s="101" t="n">
        <v>2044</v>
      </c>
      <c r="C2050" s="58" t="inlineStr">
        <is>
          <t>Invoice</t>
        </is>
      </c>
      <c r="D2050" s="58">
        <f>IF(H2050=1,INDEX(ar_No,44)&amp;"","")</f>
        <v/>
      </c>
      <c r="E2050" s="94">
        <f>IF(H2050=1,INDEX(ar_Date,44),"")</f>
        <v/>
      </c>
      <c r="F2050" s="58">
        <f>IF(H2050=1,INDEX(ar_Desc,44)&amp;"","")</f>
        <v/>
      </c>
      <c r="G2050" s="58">
        <f>IF(H2050=1,INDEX(ar_Party,44)&amp;"","")</f>
        <v/>
      </c>
      <c r="H2050" s="101">
        <f>IFERROR(N(INDEX(ar_Posted,44)),0)</f>
        <v/>
      </c>
      <c r="I2050" s="58">
        <f>IF(H2050=1,INDEX(ar_DrAcct,44)&amp;"","")</f>
        <v/>
      </c>
      <c r="J2050" s="95">
        <f>IF(H2050=1,INDEX(ar_DrAmt,44),0)</f>
        <v/>
      </c>
      <c r="K2050" s="58">
        <f>IF(H2050=1,INDEX(ar_CrAcct,44)&amp;"","")</f>
        <v/>
      </c>
      <c r="L2050" s="95">
        <f>IF(H2050=1,INDEX(ar_CrAmt,44),0)</f>
        <v/>
      </c>
      <c r="M2050" s="95" t="n">
        <v>0</v>
      </c>
      <c r="N2050" s="95">
        <f>IF(H2050=1,INDEX(ar_TaxAmt,44),0)</f>
        <v/>
      </c>
      <c r="O2050" s="101">
        <f>IF(H2050=1,IF(E2050&lt;FYStart,0,IF(E2050&gt;FYEnd,13,YEAR(E2050)*12+MONTH(E2050)-FYYM+1)),"")</f>
        <v/>
      </c>
      <c r="P2050" s="101">
        <f>IF(H2050=1,IF(IFERROR(INDEX(coa_CF,MATCH(I2050,coa_Name,0)),"")="Cash",1,0),0)</f>
        <v/>
      </c>
      <c r="Q2050" s="101">
        <f>IF(H2050=1,IF(IFERROR(INDEX(coa_CF,MATCH(K2050,coa_Name,0)),"")="Cash",1,0),0)</f>
        <v/>
      </c>
      <c r="R2050" s="58">
        <f>IF((P2050-Q2050)=0,"",IFERROR(INDEX(coa_CF,MATCH(IF((P2050-Q2050)=1,K2050,I2050),coa_Name,0)),"Operating"))</f>
        <v/>
      </c>
      <c r="S2050" s="95">
        <f>IF((P2050-Q2050)=1,L2050,IF((P2050-Q2050)=-1,-J2050,0))</f>
        <v/>
      </c>
      <c r="T2050" s="95">
        <f>IF((P2050-Q2050)=1,N2050,IF((P2050-Q2050)=-1,-M2050,0))</f>
        <v/>
      </c>
      <c r="U2050" s="101">
        <f>IF(AND(H2050=1,LedAcct&lt;&gt;""),IF(AND(E2050&gt;=LedFrom,E2050&lt;=LedTo,OR(I2050=LedAcct,K2050=LedAcct,AND(LedAcct=acctTax,M2050+N2050&lt;&gt;0))),E2050*10000+B2050,""),"")</f>
        <v/>
      </c>
    </row>
    <row r="2051">
      <c r="B2051" s="101" t="n">
        <v>2045</v>
      </c>
      <c r="C2051" s="58" t="inlineStr">
        <is>
          <t>Invoice</t>
        </is>
      </c>
      <c r="D2051" s="58">
        <f>IF(H2051=1,INDEX(ar_No,45)&amp;"","")</f>
        <v/>
      </c>
      <c r="E2051" s="94">
        <f>IF(H2051=1,INDEX(ar_Date,45),"")</f>
        <v/>
      </c>
      <c r="F2051" s="58">
        <f>IF(H2051=1,INDEX(ar_Desc,45)&amp;"","")</f>
        <v/>
      </c>
      <c r="G2051" s="58">
        <f>IF(H2051=1,INDEX(ar_Party,45)&amp;"","")</f>
        <v/>
      </c>
      <c r="H2051" s="101">
        <f>IFERROR(N(INDEX(ar_Posted,45)),0)</f>
        <v/>
      </c>
      <c r="I2051" s="58">
        <f>IF(H2051=1,INDEX(ar_DrAcct,45)&amp;"","")</f>
        <v/>
      </c>
      <c r="J2051" s="95">
        <f>IF(H2051=1,INDEX(ar_DrAmt,45),0)</f>
        <v/>
      </c>
      <c r="K2051" s="58">
        <f>IF(H2051=1,INDEX(ar_CrAcct,45)&amp;"","")</f>
        <v/>
      </c>
      <c r="L2051" s="95">
        <f>IF(H2051=1,INDEX(ar_CrAmt,45),0)</f>
        <v/>
      </c>
      <c r="M2051" s="95" t="n">
        <v>0</v>
      </c>
      <c r="N2051" s="95">
        <f>IF(H2051=1,INDEX(ar_TaxAmt,45),0)</f>
        <v/>
      </c>
      <c r="O2051" s="101">
        <f>IF(H2051=1,IF(E2051&lt;FYStart,0,IF(E2051&gt;FYEnd,13,YEAR(E2051)*12+MONTH(E2051)-FYYM+1)),"")</f>
        <v/>
      </c>
      <c r="P2051" s="101">
        <f>IF(H2051=1,IF(IFERROR(INDEX(coa_CF,MATCH(I2051,coa_Name,0)),"")="Cash",1,0),0)</f>
        <v/>
      </c>
      <c r="Q2051" s="101">
        <f>IF(H2051=1,IF(IFERROR(INDEX(coa_CF,MATCH(K2051,coa_Name,0)),"")="Cash",1,0),0)</f>
        <v/>
      </c>
      <c r="R2051" s="58">
        <f>IF((P2051-Q2051)=0,"",IFERROR(INDEX(coa_CF,MATCH(IF((P2051-Q2051)=1,K2051,I2051),coa_Name,0)),"Operating"))</f>
        <v/>
      </c>
      <c r="S2051" s="95">
        <f>IF((P2051-Q2051)=1,L2051,IF((P2051-Q2051)=-1,-J2051,0))</f>
        <v/>
      </c>
      <c r="T2051" s="95">
        <f>IF((P2051-Q2051)=1,N2051,IF((P2051-Q2051)=-1,-M2051,0))</f>
        <v/>
      </c>
      <c r="U2051" s="101">
        <f>IF(AND(H2051=1,LedAcct&lt;&gt;""),IF(AND(E2051&gt;=LedFrom,E2051&lt;=LedTo,OR(I2051=LedAcct,K2051=LedAcct,AND(LedAcct=acctTax,M2051+N2051&lt;&gt;0))),E2051*10000+B2051,""),"")</f>
        <v/>
      </c>
    </row>
    <row r="2052">
      <c r="B2052" s="101" t="n">
        <v>2046</v>
      </c>
      <c r="C2052" s="58" t="inlineStr">
        <is>
          <t>Invoice</t>
        </is>
      </c>
      <c r="D2052" s="58">
        <f>IF(H2052=1,INDEX(ar_No,46)&amp;"","")</f>
        <v/>
      </c>
      <c r="E2052" s="94">
        <f>IF(H2052=1,INDEX(ar_Date,46),"")</f>
        <v/>
      </c>
      <c r="F2052" s="58">
        <f>IF(H2052=1,INDEX(ar_Desc,46)&amp;"","")</f>
        <v/>
      </c>
      <c r="G2052" s="58">
        <f>IF(H2052=1,INDEX(ar_Party,46)&amp;"","")</f>
        <v/>
      </c>
      <c r="H2052" s="101">
        <f>IFERROR(N(INDEX(ar_Posted,46)),0)</f>
        <v/>
      </c>
      <c r="I2052" s="58">
        <f>IF(H2052=1,INDEX(ar_DrAcct,46)&amp;"","")</f>
        <v/>
      </c>
      <c r="J2052" s="95">
        <f>IF(H2052=1,INDEX(ar_DrAmt,46),0)</f>
        <v/>
      </c>
      <c r="K2052" s="58">
        <f>IF(H2052=1,INDEX(ar_CrAcct,46)&amp;"","")</f>
        <v/>
      </c>
      <c r="L2052" s="95">
        <f>IF(H2052=1,INDEX(ar_CrAmt,46),0)</f>
        <v/>
      </c>
      <c r="M2052" s="95" t="n">
        <v>0</v>
      </c>
      <c r="N2052" s="95">
        <f>IF(H2052=1,INDEX(ar_TaxAmt,46),0)</f>
        <v/>
      </c>
      <c r="O2052" s="101">
        <f>IF(H2052=1,IF(E2052&lt;FYStart,0,IF(E2052&gt;FYEnd,13,YEAR(E2052)*12+MONTH(E2052)-FYYM+1)),"")</f>
        <v/>
      </c>
      <c r="P2052" s="101">
        <f>IF(H2052=1,IF(IFERROR(INDEX(coa_CF,MATCH(I2052,coa_Name,0)),"")="Cash",1,0),0)</f>
        <v/>
      </c>
      <c r="Q2052" s="101">
        <f>IF(H2052=1,IF(IFERROR(INDEX(coa_CF,MATCH(K2052,coa_Name,0)),"")="Cash",1,0),0)</f>
        <v/>
      </c>
      <c r="R2052" s="58">
        <f>IF((P2052-Q2052)=0,"",IFERROR(INDEX(coa_CF,MATCH(IF((P2052-Q2052)=1,K2052,I2052),coa_Name,0)),"Operating"))</f>
        <v/>
      </c>
      <c r="S2052" s="95">
        <f>IF((P2052-Q2052)=1,L2052,IF((P2052-Q2052)=-1,-J2052,0))</f>
        <v/>
      </c>
      <c r="T2052" s="95">
        <f>IF((P2052-Q2052)=1,N2052,IF((P2052-Q2052)=-1,-M2052,0))</f>
        <v/>
      </c>
      <c r="U2052" s="101">
        <f>IF(AND(H2052=1,LedAcct&lt;&gt;""),IF(AND(E2052&gt;=LedFrom,E2052&lt;=LedTo,OR(I2052=LedAcct,K2052=LedAcct,AND(LedAcct=acctTax,M2052+N2052&lt;&gt;0))),E2052*10000+B2052,""),"")</f>
        <v/>
      </c>
    </row>
    <row r="2053">
      <c r="B2053" s="101" t="n">
        <v>2047</v>
      </c>
      <c r="C2053" s="58" t="inlineStr">
        <is>
          <t>Invoice</t>
        </is>
      </c>
      <c r="D2053" s="58">
        <f>IF(H2053=1,INDEX(ar_No,47)&amp;"","")</f>
        <v/>
      </c>
      <c r="E2053" s="94">
        <f>IF(H2053=1,INDEX(ar_Date,47),"")</f>
        <v/>
      </c>
      <c r="F2053" s="58">
        <f>IF(H2053=1,INDEX(ar_Desc,47)&amp;"","")</f>
        <v/>
      </c>
      <c r="G2053" s="58">
        <f>IF(H2053=1,INDEX(ar_Party,47)&amp;"","")</f>
        <v/>
      </c>
      <c r="H2053" s="101">
        <f>IFERROR(N(INDEX(ar_Posted,47)),0)</f>
        <v/>
      </c>
      <c r="I2053" s="58">
        <f>IF(H2053=1,INDEX(ar_DrAcct,47)&amp;"","")</f>
        <v/>
      </c>
      <c r="J2053" s="95">
        <f>IF(H2053=1,INDEX(ar_DrAmt,47),0)</f>
        <v/>
      </c>
      <c r="K2053" s="58">
        <f>IF(H2053=1,INDEX(ar_CrAcct,47)&amp;"","")</f>
        <v/>
      </c>
      <c r="L2053" s="95">
        <f>IF(H2053=1,INDEX(ar_CrAmt,47),0)</f>
        <v/>
      </c>
      <c r="M2053" s="95" t="n">
        <v>0</v>
      </c>
      <c r="N2053" s="95">
        <f>IF(H2053=1,INDEX(ar_TaxAmt,47),0)</f>
        <v/>
      </c>
      <c r="O2053" s="101">
        <f>IF(H2053=1,IF(E2053&lt;FYStart,0,IF(E2053&gt;FYEnd,13,YEAR(E2053)*12+MONTH(E2053)-FYYM+1)),"")</f>
        <v/>
      </c>
      <c r="P2053" s="101">
        <f>IF(H2053=1,IF(IFERROR(INDEX(coa_CF,MATCH(I2053,coa_Name,0)),"")="Cash",1,0),0)</f>
        <v/>
      </c>
      <c r="Q2053" s="101">
        <f>IF(H2053=1,IF(IFERROR(INDEX(coa_CF,MATCH(K2053,coa_Name,0)),"")="Cash",1,0),0)</f>
        <v/>
      </c>
      <c r="R2053" s="58">
        <f>IF((P2053-Q2053)=0,"",IFERROR(INDEX(coa_CF,MATCH(IF((P2053-Q2053)=1,K2053,I2053),coa_Name,0)),"Operating"))</f>
        <v/>
      </c>
      <c r="S2053" s="95">
        <f>IF((P2053-Q2053)=1,L2053,IF((P2053-Q2053)=-1,-J2053,0))</f>
        <v/>
      </c>
      <c r="T2053" s="95">
        <f>IF((P2053-Q2053)=1,N2053,IF((P2053-Q2053)=-1,-M2053,0))</f>
        <v/>
      </c>
      <c r="U2053" s="101">
        <f>IF(AND(H2053=1,LedAcct&lt;&gt;""),IF(AND(E2053&gt;=LedFrom,E2053&lt;=LedTo,OR(I2053=LedAcct,K2053=LedAcct,AND(LedAcct=acctTax,M2053+N2053&lt;&gt;0))),E2053*10000+B2053,""),"")</f>
        <v/>
      </c>
    </row>
    <row r="2054">
      <c r="B2054" s="101" t="n">
        <v>2048</v>
      </c>
      <c r="C2054" s="58" t="inlineStr">
        <is>
          <t>Invoice</t>
        </is>
      </c>
      <c r="D2054" s="58">
        <f>IF(H2054=1,INDEX(ar_No,48)&amp;"","")</f>
        <v/>
      </c>
      <c r="E2054" s="94">
        <f>IF(H2054=1,INDEX(ar_Date,48),"")</f>
        <v/>
      </c>
      <c r="F2054" s="58">
        <f>IF(H2054=1,INDEX(ar_Desc,48)&amp;"","")</f>
        <v/>
      </c>
      <c r="G2054" s="58">
        <f>IF(H2054=1,INDEX(ar_Party,48)&amp;"","")</f>
        <v/>
      </c>
      <c r="H2054" s="101">
        <f>IFERROR(N(INDEX(ar_Posted,48)),0)</f>
        <v/>
      </c>
      <c r="I2054" s="58">
        <f>IF(H2054=1,INDEX(ar_DrAcct,48)&amp;"","")</f>
        <v/>
      </c>
      <c r="J2054" s="95">
        <f>IF(H2054=1,INDEX(ar_DrAmt,48),0)</f>
        <v/>
      </c>
      <c r="K2054" s="58">
        <f>IF(H2054=1,INDEX(ar_CrAcct,48)&amp;"","")</f>
        <v/>
      </c>
      <c r="L2054" s="95">
        <f>IF(H2054=1,INDEX(ar_CrAmt,48),0)</f>
        <v/>
      </c>
      <c r="M2054" s="95" t="n">
        <v>0</v>
      </c>
      <c r="N2054" s="95">
        <f>IF(H2054=1,INDEX(ar_TaxAmt,48),0)</f>
        <v/>
      </c>
      <c r="O2054" s="101">
        <f>IF(H2054=1,IF(E2054&lt;FYStart,0,IF(E2054&gt;FYEnd,13,YEAR(E2054)*12+MONTH(E2054)-FYYM+1)),"")</f>
        <v/>
      </c>
      <c r="P2054" s="101">
        <f>IF(H2054=1,IF(IFERROR(INDEX(coa_CF,MATCH(I2054,coa_Name,0)),"")="Cash",1,0),0)</f>
        <v/>
      </c>
      <c r="Q2054" s="101">
        <f>IF(H2054=1,IF(IFERROR(INDEX(coa_CF,MATCH(K2054,coa_Name,0)),"")="Cash",1,0),0)</f>
        <v/>
      </c>
      <c r="R2054" s="58">
        <f>IF((P2054-Q2054)=0,"",IFERROR(INDEX(coa_CF,MATCH(IF((P2054-Q2054)=1,K2054,I2054),coa_Name,0)),"Operating"))</f>
        <v/>
      </c>
      <c r="S2054" s="95">
        <f>IF((P2054-Q2054)=1,L2054,IF((P2054-Q2054)=-1,-J2054,0))</f>
        <v/>
      </c>
      <c r="T2054" s="95">
        <f>IF((P2054-Q2054)=1,N2054,IF((P2054-Q2054)=-1,-M2054,0))</f>
        <v/>
      </c>
      <c r="U2054" s="101">
        <f>IF(AND(H2054=1,LedAcct&lt;&gt;""),IF(AND(E2054&gt;=LedFrom,E2054&lt;=LedTo,OR(I2054=LedAcct,K2054=LedAcct,AND(LedAcct=acctTax,M2054+N2054&lt;&gt;0))),E2054*10000+B2054,""),"")</f>
        <v/>
      </c>
    </row>
    <row r="2055">
      <c r="B2055" s="101" t="n">
        <v>2049</v>
      </c>
      <c r="C2055" s="58" t="inlineStr">
        <is>
          <t>Invoice</t>
        </is>
      </c>
      <c r="D2055" s="58">
        <f>IF(H2055=1,INDEX(ar_No,49)&amp;"","")</f>
        <v/>
      </c>
      <c r="E2055" s="94">
        <f>IF(H2055=1,INDEX(ar_Date,49),"")</f>
        <v/>
      </c>
      <c r="F2055" s="58">
        <f>IF(H2055=1,INDEX(ar_Desc,49)&amp;"","")</f>
        <v/>
      </c>
      <c r="G2055" s="58">
        <f>IF(H2055=1,INDEX(ar_Party,49)&amp;"","")</f>
        <v/>
      </c>
      <c r="H2055" s="101">
        <f>IFERROR(N(INDEX(ar_Posted,49)),0)</f>
        <v/>
      </c>
      <c r="I2055" s="58">
        <f>IF(H2055=1,INDEX(ar_DrAcct,49)&amp;"","")</f>
        <v/>
      </c>
      <c r="J2055" s="95">
        <f>IF(H2055=1,INDEX(ar_DrAmt,49),0)</f>
        <v/>
      </c>
      <c r="K2055" s="58">
        <f>IF(H2055=1,INDEX(ar_CrAcct,49)&amp;"","")</f>
        <v/>
      </c>
      <c r="L2055" s="95">
        <f>IF(H2055=1,INDEX(ar_CrAmt,49),0)</f>
        <v/>
      </c>
      <c r="M2055" s="95" t="n">
        <v>0</v>
      </c>
      <c r="N2055" s="95">
        <f>IF(H2055=1,INDEX(ar_TaxAmt,49),0)</f>
        <v/>
      </c>
      <c r="O2055" s="101">
        <f>IF(H2055=1,IF(E2055&lt;FYStart,0,IF(E2055&gt;FYEnd,13,YEAR(E2055)*12+MONTH(E2055)-FYYM+1)),"")</f>
        <v/>
      </c>
      <c r="P2055" s="101">
        <f>IF(H2055=1,IF(IFERROR(INDEX(coa_CF,MATCH(I2055,coa_Name,0)),"")="Cash",1,0),0)</f>
        <v/>
      </c>
      <c r="Q2055" s="101">
        <f>IF(H2055=1,IF(IFERROR(INDEX(coa_CF,MATCH(K2055,coa_Name,0)),"")="Cash",1,0),0)</f>
        <v/>
      </c>
      <c r="R2055" s="58">
        <f>IF((P2055-Q2055)=0,"",IFERROR(INDEX(coa_CF,MATCH(IF((P2055-Q2055)=1,K2055,I2055),coa_Name,0)),"Operating"))</f>
        <v/>
      </c>
      <c r="S2055" s="95">
        <f>IF((P2055-Q2055)=1,L2055,IF((P2055-Q2055)=-1,-J2055,0))</f>
        <v/>
      </c>
      <c r="T2055" s="95">
        <f>IF((P2055-Q2055)=1,N2055,IF((P2055-Q2055)=-1,-M2055,0))</f>
        <v/>
      </c>
      <c r="U2055" s="101">
        <f>IF(AND(H2055=1,LedAcct&lt;&gt;""),IF(AND(E2055&gt;=LedFrom,E2055&lt;=LedTo,OR(I2055=LedAcct,K2055=LedAcct,AND(LedAcct=acctTax,M2055+N2055&lt;&gt;0))),E2055*10000+B2055,""),"")</f>
        <v/>
      </c>
    </row>
    <row r="2056">
      <c r="B2056" s="101" t="n">
        <v>2050</v>
      </c>
      <c r="C2056" s="58" t="inlineStr">
        <is>
          <t>Invoice</t>
        </is>
      </c>
      <c r="D2056" s="58">
        <f>IF(H2056=1,INDEX(ar_No,50)&amp;"","")</f>
        <v/>
      </c>
      <c r="E2056" s="94">
        <f>IF(H2056=1,INDEX(ar_Date,50),"")</f>
        <v/>
      </c>
      <c r="F2056" s="58">
        <f>IF(H2056=1,INDEX(ar_Desc,50)&amp;"","")</f>
        <v/>
      </c>
      <c r="G2056" s="58">
        <f>IF(H2056=1,INDEX(ar_Party,50)&amp;"","")</f>
        <v/>
      </c>
      <c r="H2056" s="101">
        <f>IFERROR(N(INDEX(ar_Posted,50)),0)</f>
        <v/>
      </c>
      <c r="I2056" s="58">
        <f>IF(H2056=1,INDEX(ar_DrAcct,50)&amp;"","")</f>
        <v/>
      </c>
      <c r="J2056" s="95">
        <f>IF(H2056=1,INDEX(ar_DrAmt,50),0)</f>
        <v/>
      </c>
      <c r="K2056" s="58">
        <f>IF(H2056=1,INDEX(ar_CrAcct,50)&amp;"","")</f>
        <v/>
      </c>
      <c r="L2056" s="95">
        <f>IF(H2056=1,INDEX(ar_CrAmt,50),0)</f>
        <v/>
      </c>
      <c r="M2056" s="95" t="n">
        <v>0</v>
      </c>
      <c r="N2056" s="95">
        <f>IF(H2056=1,INDEX(ar_TaxAmt,50),0)</f>
        <v/>
      </c>
      <c r="O2056" s="101">
        <f>IF(H2056=1,IF(E2056&lt;FYStart,0,IF(E2056&gt;FYEnd,13,YEAR(E2056)*12+MONTH(E2056)-FYYM+1)),"")</f>
        <v/>
      </c>
      <c r="P2056" s="101">
        <f>IF(H2056=1,IF(IFERROR(INDEX(coa_CF,MATCH(I2056,coa_Name,0)),"")="Cash",1,0),0)</f>
        <v/>
      </c>
      <c r="Q2056" s="101">
        <f>IF(H2056=1,IF(IFERROR(INDEX(coa_CF,MATCH(K2056,coa_Name,0)),"")="Cash",1,0),0)</f>
        <v/>
      </c>
      <c r="R2056" s="58">
        <f>IF((P2056-Q2056)=0,"",IFERROR(INDEX(coa_CF,MATCH(IF((P2056-Q2056)=1,K2056,I2056),coa_Name,0)),"Operating"))</f>
        <v/>
      </c>
      <c r="S2056" s="95">
        <f>IF((P2056-Q2056)=1,L2056,IF((P2056-Q2056)=-1,-J2056,0))</f>
        <v/>
      </c>
      <c r="T2056" s="95">
        <f>IF((P2056-Q2056)=1,N2056,IF((P2056-Q2056)=-1,-M2056,0))</f>
        <v/>
      </c>
      <c r="U2056" s="101">
        <f>IF(AND(H2056=1,LedAcct&lt;&gt;""),IF(AND(E2056&gt;=LedFrom,E2056&lt;=LedTo,OR(I2056=LedAcct,K2056=LedAcct,AND(LedAcct=acctTax,M2056+N2056&lt;&gt;0))),E2056*10000+B2056,""),"")</f>
        <v/>
      </c>
    </row>
    <row r="2057">
      <c r="B2057" s="101" t="n">
        <v>2051</v>
      </c>
      <c r="C2057" s="58" t="inlineStr">
        <is>
          <t>Invoice</t>
        </is>
      </c>
      <c r="D2057" s="58">
        <f>IF(H2057=1,INDEX(ar_No,51)&amp;"","")</f>
        <v/>
      </c>
      <c r="E2057" s="94">
        <f>IF(H2057=1,INDEX(ar_Date,51),"")</f>
        <v/>
      </c>
      <c r="F2057" s="58">
        <f>IF(H2057=1,INDEX(ar_Desc,51)&amp;"","")</f>
        <v/>
      </c>
      <c r="G2057" s="58">
        <f>IF(H2057=1,INDEX(ar_Party,51)&amp;"","")</f>
        <v/>
      </c>
      <c r="H2057" s="101">
        <f>IFERROR(N(INDEX(ar_Posted,51)),0)</f>
        <v/>
      </c>
      <c r="I2057" s="58">
        <f>IF(H2057=1,INDEX(ar_DrAcct,51)&amp;"","")</f>
        <v/>
      </c>
      <c r="J2057" s="95">
        <f>IF(H2057=1,INDEX(ar_DrAmt,51),0)</f>
        <v/>
      </c>
      <c r="K2057" s="58">
        <f>IF(H2057=1,INDEX(ar_CrAcct,51)&amp;"","")</f>
        <v/>
      </c>
      <c r="L2057" s="95">
        <f>IF(H2057=1,INDEX(ar_CrAmt,51),0)</f>
        <v/>
      </c>
      <c r="M2057" s="95" t="n">
        <v>0</v>
      </c>
      <c r="N2057" s="95">
        <f>IF(H2057=1,INDEX(ar_TaxAmt,51),0)</f>
        <v/>
      </c>
      <c r="O2057" s="101">
        <f>IF(H2057=1,IF(E2057&lt;FYStart,0,IF(E2057&gt;FYEnd,13,YEAR(E2057)*12+MONTH(E2057)-FYYM+1)),"")</f>
        <v/>
      </c>
      <c r="P2057" s="101">
        <f>IF(H2057=1,IF(IFERROR(INDEX(coa_CF,MATCH(I2057,coa_Name,0)),"")="Cash",1,0),0)</f>
        <v/>
      </c>
      <c r="Q2057" s="101">
        <f>IF(H2057=1,IF(IFERROR(INDEX(coa_CF,MATCH(K2057,coa_Name,0)),"")="Cash",1,0),0)</f>
        <v/>
      </c>
      <c r="R2057" s="58">
        <f>IF((P2057-Q2057)=0,"",IFERROR(INDEX(coa_CF,MATCH(IF((P2057-Q2057)=1,K2057,I2057),coa_Name,0)),"Operating"))</f>
        <v/>
      </c>
      <c r="S2057" s="95">
        <f>IF((P2057-Q2057)=1,L2057,IF((P2057-Q2057)=-1,-J2057,0))</f>
        <v/>
      </c>
      <c r="T2057" s="95">
        <f>IF((P2057-Q2057)=1,N2057,IF((P2057-Q2057)=-1,-M2057,0))</f>
        <v/>
      </c>
      <c r="U2057" s="101">
        <f>IF(AND(H2057=1,LedAcct&lt;&gt;""),IF(AND(E2057&gt;=LedFrom,E2057&lt;=LedTo,OR(I2057=LedAcct,K2057=LedAcct,AND(LedAcct=acctTax,M2057+N2057&lt;&gt;0))),E2057*10000+B2057,""),"")</f>
        <v/>
      </c>
    </row>
    <row r="2058">
      <c r="B2058" s="101" t="n">
        <v>2052</v>
      </c>
      <c r="C2058" s="58" t="inlineStr">
        <is>
          <t>Invoice</t>
        </is>
      </c>
      <c r="D2058" s="58">
        <f>IF(H2058=1,INDEX(ar_No,52)&amp;"","")</f>
        <v/>
      </c>
      <c r="E2058" s="94">
        <f>IF(H2058=1,INDEX(ar_Date,52),"")</f>
        <v/>
      </c>
      <c r="F2058" s="58">
        <f>IF(H2058=1,INDEX(ar_Desc,52)&amp;"","")</f>
        <v/>
      </c>
      <c r="G2058" s="58">
        <f>IF(H2058=1,INDEX(ar_Party,52)&amp;"","")</f>
        <v/>
      </c>
      <c r="H2058" s="101">
        <f>IFERROR(N(INDEX(ar_Posted,52)),0)</f>
        <v/>
      </c>
      <c r="I2058" s="58">
        <f>IF(H2058=1,INDEX(ar_DrAcct,52)&amp;"","")</f>
        <v/>
      </c>
      <c r="J2058" s="95">
        <f>IF(H2058=1,INDEX(ar_DrAmt,52),0)</f>
        <v/>
      </c>
      <c r="K2058" s="58">
        <f>IF(H2058=1,INDEX(ar_CrAcct,52)&amp;"","")</f>
        <v/>
      </c>
      <c r="L2058" s="95">
        <f>IF(H2058=1,INDEX(ar_CrAmt,52),0)</f>
        <v/>
      </c>
      <c r="M2058" s="95" t="n">
        <v>0</v>
      </c>
      <c r="N2058" s="95">
        <f>IF(H2058=1,INDEX(ar_TaxAmt,52),0)</f>
        <v/>
      </c>
      <c r="O2058" s="101">
        <f>IF(H2058=1,IF(E2058&lt;FYStart,0,IF(E2058&gt;FYEnd,13,YEAR(E2058)*12+MONTH(E2058)-FYYM+1)),"")</f>
        <v/>
      </c>
      <c r="P2058" s="101">
        <f>IF(H2058=1,IF(IFERROR(INDEX(coa_CF,MATCH(I2058,coa_Name,0)),"")="Cash",1,0),0)</f>
        <v/>
      </c>
      <c r="Q2058" s="101">
        <f>IF(H2058=1,IF(IFERROR(INDEX(coa_CF,MATCH(K2058,coa_Name,0)),"")="Cash",1,0),0)</f>
        <v/>
      </c>
      <c r="R2058" s="58">
        <f>IF((P2058-Q2058)=0,"",IFERROR(INDEX(coa_CF,MATCH(IF((P2058-Q2058)=1,K2058,I2058),coa_Name,0)),"Operating"))</f>
        <v/>
      </c>
      <c r="S2058" s="95">
        <f>IF((P2058-Q2058)=1,L2058,IF((P2058-Q2058)=-1,-J2058,0))</f>
        <v/>
      </c>
      <c r="T2058" s="95">
        <f>IF((P2058-Q2058)=1,N2058,IF((P2058-Q2058)=-1,-M2058,0))</f>
        <v/>
      </c>
      <c r="U2058" s="101">
        <f>IF(AND(H2058=1,LedAcct&lt;&gt;""),IF(AND(E2058&gt;=LedFrom,E2058&lt;=LedTo,OR(I2058=LedAcct,K2058=LedAcct,AND(LedAcct=acctTax,M2058+N2058&lt;&gt;0))),E2058*10000+B2058,""),"")</f>
        <v/>
      </c>
    </row>
    <row r="2059">
      <c r="B2059" s="101" t="n">
        <v>2053</v>
      </c>
      <c r="C2059" s="58" t="inlineStr">
        <is>
          <t>Invoice</t>
        </is>
      </c>
      <c r="D2059" s="58">
        <f>IF(H2059=1,INDEX(ar_No,53)&amp;"","")</f>
        <v/>
      </c>
      <c r="E2059" s="94">
        <f>IF(H2059=1,INDEX(ar_Date,53),"")</f>
        <v/>
      </c>
      <c r="F2059" s="58">
        <f>IF(H2059=1,INDEX(ar_Desc,53)&amp;"","")</f>
        <v/>
      </c>
      <c r="G2059" s="58">
        <f>IF(H2059=1,INDEX(ar_Party,53)&amp;"","")</f>
        <v/>
      </c>
      <c r="H2059" s="101">
        <f>IFERROR(N(INDEX(ar_Posted,53)),0)</f>
        <v/>
      </c>
      <c r="I2059" s="58">
        <f>IF(H2059=1,INDEX(ar_DrAcct,53)&amp;"","")</f>
        <v/>
      </c>
      <c r="J2059" s="95">
        <f>IF(H2059=1,INDEX(ar_DrAmt,53),0)</f>
        <v/>
      </c>
      <c r="K2059" s="58">
        <f>IF(H2059=1,INDEX(ar_CrAcct,53)&amp;"","")</f>
        <v/>
      </c>
      <c r="L2059" s="95">
        <f>IF(H2059=1,INDEX(ar_CrAmt,53),0)</f>
        <v/>
      </c>
      <c r="M2059" s="95" t="n">
        <v>0</v>
      </c>
      <c r="N2059" s="95">
        <f>IF(H2059=1,INDEX(ar_TaxAmt,53),0)</f>
        <v/>
      </c>
      <c r="O2059" s="101">
        <f>IF(H2059=1,IF(E2059&lt;FYStart,0,IF(E2059&gt;FYEnd,13,YEAR(E2059)*12+MONTH(E2059)-FYYM+1)),"")</f>
        <v/>
      </c>
      <c r="P2059" s="101">
        <f>IF(H2059=1,IF(IFERROR(INDEX(coa_CF,MATCH(I2059,coa_Name,0)),"")="Cash",1,0),0)</f>
        <v/>
      </c>
      <c r="Q2059" s="101">
        <f>IF(H2059=1,IF(IFERROR(INDEX(coa_CF,MATCH(K2059,coa_Name,0)),"")="Cash",1,0),0)</f>
        <v/>
      </c>
      <c r="R2059" s="58">
        <f>IF((P2059-Q2059)=0,"",IFERROR(INDEX(coa_CF,MATCH(IF((P2059-Q2059)=1,K2059,I2059),coa_Name,0)),"Operating"))</f>
        <v/>
      </c>
      <c r="S2059" s="95">
        <f>IF((P2059-Q2059)=1,L2059,IF((P2059-Q2059)=-1,-J2059,0))</f>
        <v/>
      </c>
      <c r="T2059" s="95">
        <f>IF((P2059-Q2059)=1,N2059,IF((P2059-Q2059)=-1,-M2059,0))</f>
        <v/>
      </c>
      <c r="U2059" s="101">
        <f>IF(AND(H2059=1,LedAcct&lt;&gt;""),IF(AND(E2059&gt;=LedFrom,E2059&lt;=LedTo,OR(I2059=LedAcct,K2059=LedAcct,AND(LedAcct=acctTax,M2059+N2059&lt;&gt;0))),E2059*10000+B2059,""),"")</f>
        <v/>
      </c>
    </row>
    <row r="2060">
      <c r="B2060" s="101" t="n">
        <v>2054</v>
      </c>
      <c r="C2060" s="58" t="inlineStr">
        <is>
          <t>Invoice</t>
        </is>
      </c>
      <c r="D2060" s="58">
        <f>IF(H2060=1,INDEX(ar_No,54)&amp;"","")</f>
        <v/>
      </c>
      <c r="E2060" s="94">
        <f>IF(H2060=1,INDEX(ar_Date,54),"")</f>
        <v/>
      </c>
      <c r="F2060" s="58">
        <f>IF(H2060=1,INDEX(ar_Desc,54)&amp;"","")</f>
        <v/>
      </c>
      <c r="G2060" s="58">
        <f>IF(H2060=1,INDEX(ar_Party,54)&amp;"","")</f>
        <v/>
      </c>
      <c r="H2060" s="101">
        <f>IFERROR(N(INDEX(ar_Posted,54)),0)</f>
        <v/>
      </c>
      <c r="I2060" s="58">
        <f>IF(H2060=1,INDEX(ar_DrAcct,54)&amp;"","")</f>
        <v/>
      </c>
      <c r="J2060" s="95">
        <f>IF(H2060=1,INDEX(ar_DrAmt,54),0)</f>
        <v/>
      </c>
      <c r="K2060" s="58">
        <f>IF(H2060=1,INDEX(ar_CrAcct,54)&amp;"","")</f>
        <v/>
      </c>
      <c r="L2060" s="95">
        <f>IF(H2060=1,INDEX(ar_CrAmt,54),0)</f>
        <v/>
      </c>
      <c r="M2060" s="95" t="n">
        <v>0</v>
      </c>
      <c r="N2060" s="95">
        <f>IF(H2060=1,INDEX(ar_TaxAmt,54),0)</f>
        <v/>
      </c>
      <c r="O2060" s="101">
        <f>IF(H2060=1,IF(E2060&lt;FYStart,0,IF(E2060&gt;FYEnd,13,YEAR(E2060)*12+MONTH(E2060)-FYYM+1)),"")</f>
        <v/>
      </c>
      <c r="P2060" s="101">
        <f>IF(H2060=1,IF(IFERROR(INDEX(coa_CF,MATCH(I2060,coa_Name,0)),"")="Cash",1,0),0)</f>
        <v/>
      </c>
      <c r="Q2060" s="101">
        <f>IF(H2060=1,IF(IFERROR(INDEX(coa_CF,MATCH(K2060,coa_Name,0)),"")="Cash",1,0),0)</f>
        <v/>
      </c>
      <c r="R2060" s="58">
        <f>IF((P2060-Q2060)=0,"",IFERROR(INDEX(coa_CF,MATCH(IF((P2060-Q2060)=1,K2060,I2060),coa_Name,0)),"Operating"))</f>
        <v/>
      </c>
      <c r="S2060" s="95">
        <f>IF((P2060-Q2060)=1,L2060,IF((P2060-Q2060)=-1,-J2060,0))</f>
        <v/>
      </c>
      <c r="T2060" s="95">
        <f>IF((P2060-Q2060)=1,N2060,IF((P2060-Q2060)=-1,-M2060,0))</f>
        <v/>
      </c>
      <c r="U2060" s="101">
        <f>IF(AND(H2060=1,LedAcct&lt;&gt;""),IF(AND(E2060&gt;=LedFrom,E2060&lt;=LedTo,OR(I2060=LedAcct,K2060=LedAcct,AND(LedAcct=acctTax,M2060+N2060&lt;&gt;0))),E2060*10000+B2060,""),"")</f>
        <v/>
      </c>
    </row>
    <row r="2061">
      <c r="B2061" s="101" t="n">
        <v>2055</v>
      </c>
      <c r="C2061" s="58" t="inlineStr">
        <is>
          <t>Invoice</t>
        </is>
      </c>
      <c r="D2061" s="58">
        <f>IF(H2061=1,INDEX(ar_No,55)&amp;"","")</f>
        <v/>
      </c>
      <c r="E2061" s="94">
        <f>IF(H2061=1,INDEX(ar_Date,55),"")</f>
        <v/>
      </c>
      <c r="F2061" s="58">
        <f>IF(H2061=1,INDEX(ar_Desc,55)&amp;"","")</f>
        <v/>
      </c>
      <c r="G2061" s="58">
        <f>IF(H2061=1,INDEX(ar_Party,55)&amp;"","")</f>
        <v/>
      </c>
      <c r="H2061" s="101">
        <f>IFERROR(N(INDEX(ar_Posted,55)),0)</f>
        <v/>
      </c>
      <c r="I2061" s="58">
        <f>IF(H2061=1,INDEX(ar_DrAcct,55)&amp;"","")</f>
        <v/>
      </c>
      <c r="J2061" s="95">
        <f>IF(H2061=1,INDEX(ar_DrAmt,55),0)</f>
        <v/>
      </c>
      <c r="K2061" s="58">
        <f>IF(H2061=1,INDEX(ar_CrAcct,55)&amp;"","")</f>
        <v/>
      </c>
      <c r="L2061" s="95">
        <f>IF(H2061=1,INDEX(ar_CrAmt,55),0)</f>
        <v/>
      </c>
      <c r="M2061" s="95" t="n">
        <v>0</v>
      </c>
      <c r="N2061" s="95">
        <f>IF(H2061=1,INDEX(ar_TaxAmt,55),0)</f>
        <v/>
      </c>
      <c r="O2061" s="101">
        <f>IF(H2061=1,IF(E2061&lt;FYStart,0,IF(E2061&gt;FYEnd,13,YEAR(E2061)*12+MONTH(E2061)-FYYM+1)),"")</f>
        <v/>
      </c>
      <c r="P2061" s="101">
        <f>IF(H2061=1,IF(IFERROR(INDEX(coa_CF,MATCH(I2061,coa_Name,0)),"")="Cash",1,0),0)</f>
        <v/>
      </c>
      <c r="Q2061" s="101">
        <f>IF(H2061=1,IF(IFERROR(INDEX(coa_CF,MATCH(K2061,coa_Name,0)),"")="Cash",1,0),0)</f>
        <v/>
      </c>
      <c r="R2061" s="58">
        <f>IF((P2061-Q2061)=0,"",IFERROR(INDEX(coa_CF,MATCH(IF((P2061-Q2061)=1,K2061,I2061),coa_Name,0)),"Operating"))</f>
        <v/>
      </c>
      <c r="S2061" s="95">
        <f>IF((P2061-Q2061)=1,L2061,IF((P2061-Q2061)=-1,-J2061,0))</f>
        <v/>
      </c>
      <c r="T2061" s="95">
        <f>IF((P2061-Q2061)=1,N2061,IF((P2061-Q2061)=-1,-M2061,0))</f>
        <v/>
      </c>
      <c r="U2061" s="101">
        <f>IF(AND(H2061=1,LedAcct&lt;&gt;""),IF(AND(E2061&gt;=LedFrom,E2061&lt;=LedTo,OR(I2061=LedAcct,K2061=LedAcct,AND(LedAcct=acctTax,M2061+N2061&lt;&gt;0))),E2061*10000+B2061,""),"")</f>
        <v/>
      </c>
    </row>
    <row r="2062">
      <c r="B2062" s="101" t="n">
        <v>2056</v>
      </c>
      <c r="C2062" s="58" t="inlineStr">
        <is>
          <t>Invoice</t>
        </is>
      </c>
      <c r="D2062" s="58">
        <f>IF(H2062=1,INDEX(ar_No,56)&amp;"","")</f>
        <v/>
      </c>
      <c r="E2062" s="94">
        <f>IF(H2062=1,INDEX(ar_Date,56),"")</f>
        <v/>
      </c>
      <c r="F2062" s="58">
        <f>IF(H2062=1,INDEX(ar_Desc,56)&amp;"","")</f>
        <v/>
      </c>
      <c r="G2062" s="58">
        <f>IF(H2062=1,INDEX(ar_Party,56)&amp;"","")</f>
        <v/>
      </c>
      <c r="H2062" s="101">
        <f>IFERROR(N(INDEX(ar_Posted,56)),0)</f>
        <v/>
      </c>
      <c r="I2062" s="58">
        <f>IF(H2062=1,INDEX(ar_DrAcct,56)&amp;"","")</f>
        <v/>
      </c>
      <c r="J2062" s="95">
        <f>IF(H2062=1,INDEX(ar_DrAmt,56),0)</f>
        <v/>
      </c>
      <c r="K2062" s="58">
        <f>IF(H2062=1,INDEX(ar_CrAcct,56)&amp;"","")</f>
        <v/>
      </c>
      <c r="L2062" s="95">
        <f>IF(H2062=1,INDEX(ar_CrAmt,56),0)</f>
        <v/>
      </c>
      <c r="M2062" s="95" t="n">
        <v>0</v>
      </c>
      <c r="N2062" s="95">
        <f>IF(H2062=1,INDEX(ar_TaxAmt,56),0)</f>
        <v/>
      </c>
      <c r="O2062" s="101">
        <f>IF(H2062=1,IF(E2062&lt;FYStart,0,IF(E2062&gt;FYEnd,13,YEAR(E2062)*12+MONTH(E2062)-FYYM+1)),"")</f>
        <v/>
      </c>
      <c r="P2062" s="101">
        <f>IF(H2062=1,IF(IFERROR(INDEX(coa_CF,MATCH(I2062,coa_Name,0)),"")="Cash",1,0),0)</f>
        <v/>
      </c>
      <c r="Q2062" s="101">
        <f>IF(H2062=1,IF(IFERROR(INDEX(coa_CF,MATCH(K2062,coa_Name,0)),"")="Cash",1,0),0)</f>
        <v/>
      </c>
      <c r="R2062" s="58">
        <f>IF((P2062-Q2062)=0,"",IFERROR(INDEX(coa_CF,MATCH(IF((P2062-Q2062)=1,K2062,I2062),coa_Name,0)),"Operating"))</f>
        <v/>
      </c>
      <c r="S2062" s="95">
        <f>IF((P2062-Q2062)=1,L2062,IF((P2062-Q2062)=-1,-J2062,0))</f>
        <v/>
      </c>
      <c r="T2062" s="95">
        <f>IF((P2062-Q2062)=1,N2062,IF((P2062-Q2062)=-1,-M2062,0))</f>
        <v/>
      </c>
      <c r="U2062" s="101">
        <f>IF(AND(H2062=1,LedAcct&lt;&gt;""),IF(AND(E2062&gt;=LedFrom,E2062&lt;=LedTo,OR(I2062=LedAcct,K2062=LedAcct,AND(LedAcct=acctTax,M2062+N2062&lt;&gt;0))),E2062*10000+B2062,""),"")</f>
        <v/>
      </c>
    </row>
    <row r="2063">
      <c r="B2063" s="101" t="n">
        <v>2057</v>
      </c>
      <c r="C2063" s="58" t="inlineStr">
        <is>
          <t>Invoice</t>
        </is>
      </c>
      <c r="D2063" s="58">
        <f>IF(H2063=1,INDEX(ar_No,57)&amp;"","")</f>
        <v/>
      </c>
      <c r="E2063" s="94">
        <f>IF(H2063=1,INDEX(ar_Date,57),"")</f>
        <v/>
      </c>
      <c r="F2063" s="58">
        <f>IF(H2063=1,INDEX(ar_Desc,57)&amp;"","")</f>
        <v/>
      </c>
      <c r="G2063" s="58">
        <f>IF(H2063=1,INDEX(ar_Party,57)&amp;"","")</f>
        <v/>
      </c>
      <c r="H2063" s="101">
        <f>IFERROR(N(INDEX(ar_Posted,57)),0)</f>
        <v/>
      </c>
      <c r="I2063" s="58">
        <f>IF(H2063=1,INDEX(ar_DrAcct,57)&amp;"","")</f>
        <v/>
      </c>
      <c r="J2063" s="95">
        <f>IF(H2063=1,INDEX(ar_DrAmt,57),0)</f>
        <v/>
      </c>
      <c r="K2063" s="58">
        <f>IF(H2063=1,INDEX(ar_CrAcct,57)&amp;"","")</f>
        <v/>
      </c>
      <c r="L2063" s="95">
        <f>IF(H2063=1,INDEX(ar_CrAmt,57),0)</f>
        <v/>
      </c>
      <c r="M2063" s="95" t="n">
        <v>0</v>
      </c>
      <c r="N2063" s="95">
        <f>IF(H2063=1,INDEX(ar_TaxAmt,57),0)</f>
        <v/>
      </c>
      <c r="O2063" s="101">
        <f>IF(H2063=1,IF(E2063&lt;FYStart,0,IF(E2063&gt;FYEnd,13,YEAR(E2063)*12+MONTH(E2063)-FYYM+1)),"")</f>
        <v/>
      </c>
      <c r="P2063" s="101">
        <f>IF(H2063=1,IF(IFERROR(INDEX(coa_CF,MATCH(I2063,coa_Name,0)),"")="Cash",1,0),0)</f>
        <v/>
      </c>
      <c r="Q2063" s="101">
        <f>IF(H2063=1,IF(IFERROR(INDEX(coa_CF,MATCH(K2063,coa_Name,0)),"")="Cash",1,0),0)</f>
        <v/>
      </c>
      <c r="R2063" s="58">
        <f>IF((P2063-Q2063)=0,"",IFERROR(INDEX(coa_CF,MATCH(IF((P2063-Q2063)=1,K2063,I2063),coa_Name,0)),"Operating"))</f>
        <v/>
      </c>
      <c r="S2063" s="95">
        <f>IF((P2063-Q2063)=1,L2063,IF((P2063-Q2063)=-1,-J2063,0))</f>
        <v/>
      </c>
      <c r="T2063" s="95">
        <f>IF((P2063-Q2063)=1,N2063,IF((P2063-Q2063)=-1,-M2063,0))</f>
        <v/>
      </c>
      <c r="U2063" s="101">
        <f>IF(AND(H2063=1,LedAcct&lt;&gt;""),IF(AND(E2063&gt;=LedFrom,E2063&lt;=LedTo,OR(I2063=LedAcct,K2063=LedAcct,AND(LedAcct=acctTax,M2063+N2063&lt;&gt;0))),E2063*10000+B2063,""),"")</f>
        <v/>
      </c>
    </row>
    <row r="2064">
      <c r="B2064" s="101" t="n">
        <v>2058</v>
      </c>
      <c r="C2064" s="58" t="inlineStr">
        <is>
          <t>Invoice</t>
        </is>
      </c>
      <c r="D2064" s="58">
        <f>IF(H2064=1,INDEX(ar_No,58)&amp;"","")</f>
        <v/>
      </c>
      <c r="E2064" s="94">
        <f>IF(H2064=1,INDEX(ar_Date,58),"")</f>
        <v/>
      </c>
      <c r="F2064" s="58">
        <f>IF(H2064=1,INDEX(ar_Desc,58)&amp;"","")</f>
        <v/>
      </c>
      <c r="G2064" s="58">
        <f>IF(H2064=1,INDEX(ar_Party,58)&amp;"","")</f>
        <v/>
      </c>
      <c r="H2064" s="101">
        <f>IFERROR(N(INDEX(ar_Posted,58)),0)</f>
        <v/>
      </c>
      <c r="I2064" s="58">
        <f>IF(H2064=1,INDEX(ar_DrAcct,58)&amp;"","")</f>
        <v/>
      </c>
      <c r="J2064" s="95">
        <f>IF(H2064=1,INDEX(ar_DrAmt,58),0)</f>
        <v/>
      </c>
      <c r="K2064" s="58">
        <f>IF(H2064=1,INDEX(ar_CrAcct,58)&amp;"","")</f>
        <v/>
      </c>
      <c r="L2064" s="95">
        <f>IF(H2064=1,INDEX(ar_CrAmt,58),0)</f>
        <v/>
      </c>
      <c r="M2064" s="95" t="n">
        <v>0</v>
      </c>
      <c r="N2064" s="95">
        <f>IF(H2064=1,INDEX(ar_TaxAmt,58),0)</f>
        <v/>
      </c>
      <c r="O2064" s="101">
        <f>IF(H2064=1,IF(E2064&lt;FYStart,0,IF(E2064&gt;FYEnd,13,YEAR(E2064)*12+MONTH(E2064)-FYYM+1)),"")</f>
        <v/>
      </c>
      <c r="P2064" s="101">
        <f>IF(H2064=1,IF(IFERROR(INDEX(coa_CF,MATCH(I2064,coa_Name,0)),"")="Cash",1,0),0)</f>
        <v/>
      </c>
      <c r="Q2064" s="101">
        <f>IF(H2064=1,IF(IFERROR(INDEX(coa_CF,MATCH(K2064,coa_Name,0)),"")="Cash",1,0),0)</f>
        <v/>
      </c>
      <c r="R2064" s="58">
        <f>IF((P2064-Q2064)=0,"",IFERROR(INDEX(coa_CF,MATCH(IF((P2064-Q2064)=1,K2064,I2064),coa_Name,0)),"Operating"))</f>
        <v/>
      </c>
      <c r="S2064" s="95">
        <f>IF((P2064-Q2064)=1,L2064,IF((P2064-Q2064)=-1,-J2064,0))</f>
        <v/>
      </c>
      <c r="T2064" s="95">
        <f>IF((P2064-Q2064)=1,N2064,IF((P2064-Q2064)=-1,-M2064,0))</f>
        <v/>
      </c>
      <c r="U2064" s="101">
        <f>IF(AND(H2064=1,LedAcct&lt;&gt;""),IF(AND(E2064&gt;=LedFrom,E2064&lt;=LedTo,OR(I2064=LedAcct,K2064=LedAcct,AND(LedAcct=acctTax,M2064+N2064&lt;&gt;0))),E2064*10000+B2064,""),"")</f>
        <v/>
      </c>
    </row>
    <row r="2065">
      <c r="B2065" s="101" t="n">
        <v>2059</v>
      </c>
      <c r="C2065" s="58" t="inlineStr">
        <is>
          <t>Invoice</t>
        </is>
      </c>
      <c r="D2065" s="58">
        <f>IF(H2065=1,INDEX(ar_No,59)&amp;"","")</f>
        <v/>
      </c>
      <c r="E2065" s="94">
        <f>IF(H2065=1,INDEX(ar_Date,59),"")</f>
        <v/>
      </c>
      <c r="F2065" s="58">
        <f>IF(H2065=1,INDEX(ar_Desc,59)&amp;"","")</f>
        <v/>
      </c>
      <c r="G2065" s="58">
        <f>IF(H2065=1,INDEX(ar_Party,59)&amp;"","")</f>
        <v/>
      </c>
      <c r="H2065" s="101">
        <f>IFERROR(N(INDEX(ar_Posted,59)),0)</f>
        <v/>
      </c>
      <c r="I2065" s="58">
        <f>IF(H2065=1,INDEX(ar_DrAcct,59)&amp;"","")</f>
        <v/>
      </c>
      <c r="J2065" s="95">
        <f>IF(H2065=1,INDEX(ar_DrAmt,59),0)</f>
        <v/>
      </c>
      <c r="K2065" s="58">
        <f>IF(H2065=1,INDEX(ar_CrAcct,59)&amp;"","")</f>
        <v/>
      </c>
      <c r="L2065" s="95">
        <f>IF(H2065=1,INDEX(ar_CrAmt,59),0)</f>
        <v/>
      </c>
      <c r="M2065" s="95" t="n">
        <v>0</v>
      </c>
      <c r="N2065" s="95">
        <f>IF(H2065=1,INDEX(ar_TaxAmt,59),0)</f>
        <v/>
      </c>
      <c r="O2065" s="101">
        <f>IF(H2065=1,IF(E2065&lt;FYStart,0,IF(E2065&gt;FYEnd,13,YEAR(E2065)*12+MONTH(E2065)-FYYM+1)),"")</f>
        <v/>
      </c>
      <c r="P2065" s="101">
        <f>IF(H2065=1,IF(IFERROR(INDEX(coa_CF,MATCH(I2065,coa_Name,0)),"")="Cash",1,0),0)</f>
        <v/>
      </c>
      <c r="Q2065" s="101">
        <f>IF(H2065=1,IF(IFERROR(INDEX(coa_CF,MATCH(K2065,coa_Name,0)),"")="Cash",1,0),0)</f>
        <v/>
      </c>
      <c r="R2065" s="58">
        <f>IF((P2065-Q2065)=0,"",IFERROR(INDEX(coa_CF,MATCH(IF((P2065-Q2065)=1,K2065,I2065),coa_Name,0)),"Operating"))</f>
        <v/>
      </c>
      <c r="S2065" s="95">
        <f>IF((P2065-Q2065)=1,L2065,IF((P2065-Q2065)=-1,-J2065,0))</f>
        <v/>
      </c>
      <c r="T2065" s="95">
        <f>IF((P2065-Q2065)=1,N2065,IF((P2065-Q2065)=-1,-M2065,0))</f>
        <v/>
      </c>
      <c r="U2065" s="101">
        <f>IF(AND(H2065=1,LedAcct&lt;&gt;""),IF(AND(E2065&gt;=LedFrom,E2065&lt;=LedTo,OR(I2065=LedAcct,K2065=LedAcct,AND(LedAcct=acctTax,M2065+N2065&lt;&gt;0))),E2065*10000+B2065,""),"")</f>
        <v/>
      </c>
    </row>
    <row r="2066">
      <c r="B2066" s="101" t="n">
        <v>2060</v>
      </c>
      <c r="C2066" s="58" t="inlineStr">
        <is>
          <t>Invoice</t>
        </is>
      </c>
      <c r="D2066" s="58">
        <f>IF(H2066=1,INDEX(ar_No,60)&amp;"","")</f>
        <v/>
      </c>
      <c r="E2066" s="94">
        <f>IF(H2066=1,INDEX(ar_Date,60),"")</f>
        <v/>
      </c>
      <c r="F2066" s="58">
        <f>IF(H2066=1,INDEX(ar_Desc,60)&amp;"","")</f>
        <v/>
      </c>
      <c r="G2066" s="58">
        <f>IF(H2066=1,INDEX(ar_Party,60)&amp;"","")</f>
        <v/>
      </c>
      <c r="H2066" s="101">
        <f>IFERROR(N(INDEX(ar_Posted,60)),0)</f>
        <v/>
      </c>
      <c r="I2066" s="58">
        <f>IF(H2066=1,INDEX(ar_DrAcct,60)&amp;"","")</f>
        <v/>
      </c>
      <c r="J2066" s="95">
        <f>IF(H2066=1,INDEX(ar_DrAmt,60),0)</f>
        <v/>
      </c>
      <c r="K2066" s="58">
        <f>IF(H2066=1,INDEX(ar_CrAcct,60)&amp;"","")</f>
        <v/>
      </c>
      <c r="L2066" s="95">
        <f>IF(H2066=1,INDEX(ar_CrAmt,60),0)</f>
        <v/>
      </c>
      <c r="M2066" s="95" t="n">
        <v>0</v>
      </c>
      <c r="N2066" s="95">
        <f>IF(H2066=1,INDEX(ar_TaxAmt,60),0)</f>
        <v/>
      </c>
      <c r="O2066" s="101">
        <f>IF(H2066=1,IF(E2066&lt;FYStart,0,IF(E2066&gt;FYEnd,13,YEAR(E2066)*12+MONTH(E2066)-FYYM+1)),"")</f>
        <v/>
      </c>
      <c r="P2066" s="101">
        <f>IF(H2066=1,IF(IFERROR(INDEX(coa_CF,MATCH(I2066,coa_Name,0)),"")="Cash",1,0),0)</f>
        <v/>
      </c>
      <c r="Q2066" s="101">
        <f>IF(H2066=1,IF(IFERROR(INDEX(coa_CF,MATCH(K2066,coa_Name,0)),"")="Cash",1,0),0)</f>
        <v/>
      </c>
      <c r="R2066" s="58">
        <f>IF((P2066-Q2066)=0,"",IFERROR(INDEX(coa_CF,MATCH(IF((P2066-Q2066)=1,K2066,I2066),coa_Name,0)),"Operating"))</f>
        <v/>
      </c>
      <c r="S2066" s="95">
        <f>IF((P2066-Q2066)=1,L2066,IF((P2066-Q2066)=-1,-J2066,0))</f>
        <v/>
      </c>
      <c r="T2066" s="95">
        <f>IF((P2066-Q2066)=1,N2066,IF((P2066-Q2066)=-1,-M2066,0))</f>
        <v/>
      </c>
      <c r="U2066" s="101">
        <f>IF(AND(H2066=1,LedAcct&lt;&gt;""),IF(AND(E2066&gt;=LedFrom,E2066&lt;=LedTo,OR(I2066=LedAcct,K2066=LedAcct,AND(LedAcct=acctTax,M2066+N2066&lt;&gt;0))),E2066*10000+B2066,""),"")</f>
        <v/>
      </c>
    </row>
    <row r="2067">
      <c r="B2067" s="101" t="n">
        <v>2061</v>
      </c>
      <c r="C2067" s="58" t="inlineStr">
        <is>
          <t>Invoice</t>
        </is>
      </c>
      <c r="D2067" s="58">
        <f>IF(H2067=1,INDEX(ar_No,61)&amp;"","")</f>
        <v/>
      </c>
      <c r="E2067" s="94">
        <f>IF(H2067=1,INDEX(ar_Date,61),"")</f>
        <v/>
      </c>
      <c r="F2067" s="58">
        <f>IF(H2067=1,INDEX(ar_Desc,61)&amp;"","")</f>
        <v/>
      </c>
      <c r="G2067" s="58">
        <f>IF(H2067=1,INDEX(ar_Party,61)&amp;"","")</f>
        <v/>
      </c>
      <c r="H2067" s="101">
        <f>IFERROR(N(INDEX(ar_Posted,61)),0)</f>
        <v/>
      </c>
      <c r="I2067" s="58">
        <f>IF(H2067=1,INDEX(ar_DrAcct,61)&amp;"","")</f>
        <v/>
      </c>
      <c r="J2067" s="95">
        <f>IF(H2067=1,INDEX(ar_DrAmt,61),0)</f>
        <v/>
      </c>
      <c r="K2067" s="58">
        <f>IF(H2067=1,INDEX(ar_CrAcct,61)&amp;"","")</f>
        <v/>
      </c>
      <c r="L2067" s="95">
        <f>IF(H2067=1,INDEX(ar_CrAmt,61),0)</f>
        <v/>
      </c>
      <c r="M2067" s="95" t="n">
        <v>0</v>
      </c>
      <c r="N2067" s="95">
        <f>IF(H2067=1,INDEX(ar_TaxAmt,61),0)</f>
        <v/>
      </c>
      <c r="O2067" s="101">
        <f>IF(H2067=1,IF(E2067&lt;FYStart,0,IF(E2067&gt;FYEnd,13,YEAR(E2067)*12+MONTH(E2067)-FYYM+1)),"")</f>
        <v/>
      </c>
      <c r="P2067" s="101">
        <f>IF(H2067=1,IF(IFERROR(INDEX(coa_CF,MATCH(I2067,coa_Name,0)),"")="Cash",1,0),0)</f>
        <v/>
      </c>
      <c r="Q2067" s="101">
        <f>IF(H2067=1,IF(IFERROR(INDEX(coa_CF,MATCH(K2067,coa_Name,0)),"")="Cash",1,0),0)</f>
        <v/>
      </c>
      <c r="R2067" s="58">
        <f>IF((P2067-Q2067)=0,"",IFERROR(INDEX(coa_CF,MATCH(IF((P2067-Q2067)=1,K2067,I2067),coa_Name,0)),"Operating"))</f>
        <v/>
      </c>
      <c r="S2067" s="95">
        <f>IF((P2067-Q2067)=1,L2067,IF((P2067-Q2067)=-1,-J2067,0))</f>
        <v/>
      </c>
      <c r="T2067" s="95">
        <f>IF((P2067-Q2067)=1,N2067,IF((P2067-Q2067)=-1,-M2067,0))</f>
        <v/>
      </c>
      <c r="U2067" s="101">
        <f>IF(AND(H2067=1,LedAcct&lt;&gt;""),IF(AND(E2067&gt;=LedFrom,E2067&lt;=LedTo,OR(I2067=LedAcct,K2067=LedAcct,AND(LedAcct=acctTax,M2067+N2067&lt;&gt;0))),E2067*10000+B2067,""),"")</f>
        <v/>
      </c>
    </row>
    <row r="2068">
      <c r="B2068" s="101" t="n">
        <v>2062</v>
      </c>
      <c r="C2068" s="58" t="inlineStr">
        <is>
          <t>Invoice</t>
        </is>
      </c>
      <c r="D2068" s="58">
        <f>IF(H2068=1,INDEX(ar_No,62)&amp;"","")</f>
        <v/>
      </c>
      <c r="E2068" s="94">
        <f>IF(H2068=1,INDEX(ar_Date,62),"")</f>
        <v/>
      </c>
      <c r="F2068" s="58">
        <f>IF(H2068=1,INDEX(ar_Desc,62)&amp;"","")</f>
        <v/>
      </c>
      <c r="G2068" s="58">
        <f>IF(H2068=1,INDEX(ar_Party,62)&amp;"","")</f>
        <v/>
      </c>
      <c r="H2068" s="101">
        <f>IFERROR(N(INDEX(ar_Posted,62)),0)</f>
        <v/>
      </c>
      <c r="I2068" s="58">
        <f>IF(H2068=1,INDEX(ar_DrAcct,62)&amp;"","")</f>
        <v/>
      </c>
      <c r="J2068" s="95">
        <f>IF(H2068=1,INDEX(ar_DrAmt,62),0)</f>
        <v/>
      </c>
      <c r="K2068" s="58">
        <f>IF(H2068=1,INDEX(ar_CrAcct,62)&amp;"","")</f>
        <v/>
      </c>
      <c r="L2068" s="95">
        <f>IF(H2068=1,INDEX(ar_CrAmt,62),0)</f>
        <v/>
      </c>
      <c r="M2068" s="95" t="n">
        <v>0</v>
      </c>
      <c r="N2068" s="95">
        <f>IF(H2068=1,INDEX(ar_TaxAmt,62),0)</f>
        <v/>
      </c>
      <c r="O2068" s="101">
        <f>IF(H2068=1,IF(E2068&lt;FYStart,0,IF(E2068&gt;FYEnd,13,YEAR(E2068)*12+MONTH(E2068)-FYYM+1)),"")</f>
        <v/>
      </c>
      <c r="P2068" s="101">
        <f>IF(H2068=1,IF(IFERROR(INDEX(coa_CF,MATCH(I2068,coa_Name,0)),"")="Cash",1,0),0)</f>
        <v/>
      </c>
      <c r="Q2068" s="101">
        <f>IF(H2068=1,IF(IFERROR(INDEX(coa_CF,MATCH(K2068,coa_Name,0)),"")="Cash",1,0),0)</f>
        <v/>
      </c>
      <c r="R2068" s="58">
        <f>IF((P2068-Q2068)=0,"",IFERROR(INDEX(coa_CF,MATCH(IF((P2068-Q2068)=1,K2068,I2068),coa_Name,0)),"Operating"))</f>
        <v/>
      </c>
      <c r="S2068" s="95">
        <f>IF((P2068-Q2068)=1,L2068,IF((P2068-Q2068)=-1,-J2068,0))</f>
        <v/>
      </c>
      <c r="T2068" s="95">
        <f>IF((P2068-Q2068)=1,N2068,IF((P2068-Q2068)=-1,-M2068,0))</f>
        <v/>
      </c>
      <c r="U2068" s="101">
        <f>IF(AND(H2068=1,LedAcct&lt;&gt;""),IF(AND(E2068&gt;=LedFrom,E2068&lt;=LedTo,OR(I2068=LedAcct,K2068=LedAcct,AND(LedAcct=acctTax,M2068+N2068&lt;&gt;0))),E2068*10000+B2068,""),"")</f>
        <v/>
      </c>
    </row>
    <row r="2069">
      <c r="B2069" s="101" t="n">
        <v>2063</v>
      </c>
      <c r="C2069" s="58" t="inlineStr">
        <is>
          <t>Invoice</t>
        </is>
      </c>
      <c r="D2069" s="58">
        <f>IF(H2069=1,INDEX(ar_No,63)&amp;"","")</f>
        <v/>
      </c>
      <c r="E2069" s="94">
        <f>IF(H2069=1,INDEX(ar_Date,63),"")</f>
        <v/>
      </c>
      <c r="F2069" s="58">
        <f>IF(H2069=1,INDEX(ar_Desc,63)&amp;"","")</f>
        <v/>
      </c>
      <c r="G2069" s="58">
        <f>IF(H2069=1,INDEX(ar_Party,63)&amp;"","")</f>
        <v/>
      </c>
      <c r="H2069" s="101">
        <f>IFERROR(N(INDEX(ar_Posted,63)),0)</f>
        <v/>
      </c>
      <c r="I2069" s="58">
        <f>IF(H2069=1,INDEX(ar_DrAcct,63)&amp;"","")</f>
        <v/>
      </c>
      <c r="J2069" s="95">
        <f>IF(H2069=1,INDEX(ar_DrAmt,63),0)</f>
        <v/>
      </c>
      <c r="K2069" s="58">
        <f>IF(H2069=1,INDEX(ar_CrAcct,63)&amp;"","")</f>
        <v/>
      </c>
      <c r="L2069" s="95">
        <f>IF(H2069=1,INDEX(ar_CrAmt,63),0)</f>
        <v/>
      </c>
      <c r="M2069" s="95" t="n">
        <v>0</v>
      </c>
      <c r="N2069" s="95">
        <f>IF(H2069=1,INDEX(ar_TaxAmt,63),0)</f>
        <v/>
      </c>
      <c r="O2069" s="101">
        <f>IF(H2069=1,IF(E2069&lt;FYStart,0,IF(E2069&gt;FYEnd,13,YEAR(E2069)*12+MONTH(E2069)-FYYM+1)),"")</f>
        <v/>
      </c>
      <c r="P2069" s="101">
        <f>IF(H2069=1,IF(IFERROR(INDEX(coa_CF,MATCH(I2069,coa_Name,0)),"")="Cash",1,0),0)</f>
        <v/>
      </c>
      <c r="Q2069" s="101">
        <f>IF(H2069=1,IF(IFERROR(INDEX(coa_CF,MATCH(K2069,coa_Name,0)),"")="Cash",1,0),0)</f>
        <v/>
      </c>
      <c r="R2069" s="58">
        <f>IF((P2069-Q2069)=0,"",IFERROR(INDEX(coa_CF,MATCH(IF((P2069-Q2069)=1,K2069,I2069),coa_Name,0)),"Operating"))</f>
        <v/>
      </c>
      <c r="S2069" s="95">
        <f>IF((P2069-Q2069)=1,L2069,IF((P2069-Q2069)=-1,-J2069,0))</f>
        <v/>
      </c>
      <c r="T2069" s="95">
        <f>IF((P2069-Q2069)=1,N2069,IF((P2069-Q2069)=-1,-M2069,0))</f>
        <v/>
      </c>
      <c r="U2069" s="101">
        <f>IF(AND(H2069=1,LedAcct&lt;&gt;""),IF(AND(E2069&gt;=LedFrom,E2069&lt;=LedTo,OR(I2069=LedAcct,K2069=LedAcct,AND(LedAcct=acctTax,M2069+N2069&lt;&gt;0))),E2069*10000+B2069,""),"")</f>
        <v/>
      </c>
    </row>
    <row r="2070">
      <c r="B2070" s="101" t="n">
        <v>2064</v>
      </c>
      <c r="C2070" s="58" t="inlineStr">
        <is>
          <t>Invoice</t>
        </is>
      </c>
      <c r="D2070" s="58">
        <f>IF(H2070=1,INDEX(ar_No,64)&amp;"","")</f>
        <v/>
      </c>
      <c r="E2070" s="94">
        <f>IF(H2070=1,INDEX(ar_Date,64),"")</f>
        <v/>
      </c>
      <c r="F2070" s="58">
        <f>IF(H2070=1,INDEX(ar_Desc,64)&amp;"","")</f>
        <v/>
      </c>
      <c r="G2070" s="58">
        <f>IF(H2070=1,INDEX(ar_Party,64)&amp;"","")</f>
        <v/>
      </c>
      <c r="H2070" s="101">
        <f>IFERROR(N(INDEX(ar_Posted,64)),0)</f>
        <v/>
      </c>
      <c r="I2070" s="58">
        <f>IF(H2070=1,INDEX(ar_DrAcct,64)&amp;"","")</f>
        <v/>
      </c>
      <c r="J2070" s="95">
        <f>IF(H2070=1,INDEX(ar_DrAmt,64),0)</f>
        <v/>
      </c>
      <c r="K2070" s="58">
        <f>IF(H2070=1,INDEX(ar_CrAcct,64)&amp;"","")</f>
        <v/>
      </c>
      <c r="L2070" s="95">
        <f>IF(H2070=1,INDEX(ar_CrAmt,64),0)</f>
        <v/>
      </c>
      <c r="M2070" s="95" t="n">
        <v>0</v>
      </c>
      <c r="N2070" s="95">
        <f>IF(H2070=1,INDEX(ar_TaxAmt,64),0)</f>
        <v/>
      </c>
      <c r="O2070" s="101">
        <f>IF(H2070=1,IF(E2070&lt;FYStart,0,IF(E2070&gt;FYEnd,13,YEAR(E2070)*12+MONTH(E2070)-FYYM+1)),"")</f>
        <v/>
      </c>
      <c r="P2070" s="101">
        <f>IF(H2070=1,IF(IFERROR(INDEX(coa_CF,MATCH(I2070,coa_Name,0)),"")="Cash",1,0),0)</f>
        <v/>
      </c>
      <c r="Q2070" s="101">
        <f>IF(H2070=1,IF(IFERROR(INDEX(coa_CF,MATCH(K2070,coa_Name,0)),"")="Cash",1,0),0)</f>
        <v/>
      </c>
      <c r="R2070" s="58">
        <f>IF((P2070-Q2070)=0,"",IFERROR(INDEX(coa_CF,MATCH(IF((P2070-Q2070)=1,K2070,I2070),coa_Name,0)),"Operating"))</f>
        <v/>
      </c>
      <c r="S2070" s="95">
        <f>IF((P2070-Q2070)=1,L2070,IF((P2070-Q2070)=-1,-J2070,0))</f>
        <v/>
      </c>
      <c r="T2070" s="95">
        <f>IF((P2070-Q2070)=1,N2070,IF((P2070-Q2070)=-1,-M2070,0))</f>
        <v/>
      </c>
      <c r="U2070" s="101">
        <f>IF(AND(H2070=1,LedAcct&lt;&gt;""),IF(AND(E2070&gt;=LedFrom,E2070&lt;=LedTo,OR(I2070=LedAcct,K2070=LedAcct,AND(LedAcct=acctTax,M2070+N2070&lt;&gt;0))),E2070*10000+B2070,""),"")</f>
        <v/>
      </c>
    </row>
    <row r="2071">
      <c r="B2071" s="101" t="n">
        <v>2065</v>
      </c>
      <c r="C2071" s="58" t="inlineStr">
        <is>
          <t>Invoice</t>
        </is>
      </c>
      <c r="D2071" s="58">
        <f>IF(H2071=1,INDEX(ar_No,65)&amp;"","")</f>
        <v/>
      </c>
      <c r="E2071" s="94">
        <f>IF(H2071=1,INDEX(ar_Date,65),"")</f>
        <v/>
      </c>
      <c r="F2071" s="58">
        <f>IF(H2071=1,INDEX(ar_Desc,65)&amp;"","")</f>
        <v/>
      </c>
      <c r="G2071" s="58">
        <f>IF(H2071=1,INDEX(ar_Party,65)&amp;"","")</f>
        <v/>
      </c>
      <c r="H2071" s="101">
        <f>IFERROR(N(INDEX(ar_Posted,65)),0)</f>
        <v/>
      </c>
      <c r="I2071" s="58">
        <f>IF(H2071=1,INDEX(ar_DrAcct,65)&amp;"","")</f>
        <v/>
      </c>
      <c r="J2071" s="95">
        <f>IF(H2071=1,INDEX(ar_DrAmt,65),0)</f>
        <v/>
      </c>
      <c r="K2071" s="58">
        <f>IF(H2071=1,INDEX(ar_CrAcct,65)&amp;"","")</f>
        <v/>
      </c>
      <c r="L2071" s="95">
        <f>IF(H2071=1,INDEX(ar_CrAmt,65),0)</f>
        <v/>
      </c>
      <c r="M2071" s="95" t="n">
        <v>0</v>
      </c>
      <c r="N2071" s="95">
        <f>IF(H2071=1,INDEX(ar_TaxAmt,65),0)</f>
        <v/>
      </c>
      <c r="O2071" s="101">
        <f>IF(H2071=1,IF(E2071&lt;FYStart,0,IF(E2071&gt;FYEnd,13,YEAR(E2071)*12+MONTH(E2071)-FYYM+1)),"")</f>
        <v/>
      </c>
      <c r="P2071" s="101">
        <f>IF(H2071=1,IF(IFERROR(INDEX(coa_CF,MATCH(I2071,coa_Name,0)),"")="Cash",1,0),0)</f>
        <v/>
      </c>
      <c r="Q2071" s="101">
        <f>IF(H2071=1,IF(IFERROR(INDEX(coa_CF,MATCH(K2071,coa_Name,0)),"")="Cash",1,0),0)</f>
        <v/>
      </c>
      <c r="R2071" s="58">
        <f>IF((P2071-Q2071)=0,"",IFERROR(INDEX(coa_CF,MATCH(IF((P2071-Q2071)=1,K2071,I2071),coa_Name,0)),"Operating"))</f>
        <v/>
      </c>
      <c r="S2071" s="95">
        <f>IF((P2071-Q2071)=1,L2071,IF((P2071-Q2071)=-1,-J2071,0))</f>
        <v/>
      </c>
      <c r="T2071" s="95">
        <f>IF((P2071-Q2071)=1,N2071,IF((P2071-Q2071)=-1,-M2071,0))</f>
        <v/>
      </c>
      <c r="U2071" s="101">
        <f>IF(AND(H2071=1,LedAcct&lt;&gt;""),IF(AND(E2071&gt;=LedFrom,E2071&lt;=LedTo,OR(I2071=LedAcct,K2071=LedAcct,AND(LedAcct=acctTax,M2071+N2071&lt;&gt;0))),E2071*10000+B2071,""),"")</f>
        <v/>
      </c>
    </row>
    <row r="2072">
      <c r="B2072" s="101" t="n">
        <v>2066</v>
      </c>
      <c r="C2072" s="58" t="inlineStr">
        <is>
          <t>Invoice</t>
        </is>
      </c>
      <c r="D2072" s="58">
        <f>IF(H2072=1,INDEX(ar_No,66)&amp;"","")</f>
        <v/>
      </c>
      <c r="E2072" s="94">
        <f>IF(H2072=1,INDEX(ar_Date,66),"")</f>
        <v/>
      </c>
      <c r="F2072" s="58">
        <f>IF(H2072=1,INDEX(ar_Desc,66)&amp;"","")</f>
        <v/>
      </c>
      <c r="G2072" s="58">
        <f>IF(H2072=1,INDEX(ar_Party,66)&amp;"","")</f>
        <v/>
      </c>
      <c r="H2072" s="101">
        <f>IFERROR(N(INDEX(ar_Posted,66)),0)</f>
        <v/>
      </c>
      <c r="I2072" s="58">
        <f>IF(H2072=1,INDEX(ar_DrAcct,66)&amp;"","")</f>
        <v/>
      </c>
      <c r="J2072" s="95">
        <f>IF(H2072=1,INDEX(ar_DrAmt,66),0)</f>
        <v/>
      </c>
      <c r="K2072" s="58">
        <f>IF(H2072=1,INDEX(ar_CrAcct,66)&amp;"","")</f>
        <v/>
      </c>
      <c r="L2072" s="95">
        <f>IF(H2072=1,INDEX(ar_CrAmt,66),0)</f>
        <v/>
      </c>
      <c r="M2072" s="95" t="n">
        <v>0</v>
      </c>
      <c r="N2072" s="95">
        <f>IF(H2072=1,INDEX(ar_TaxAmt,66),0)</f>
        <v/>
      </c>
      <c r="O2072" s="101">
        <f>IF(H2072=1,IF(E2072&lt;FYStart,0,IF(E2072&gt;FYEnd,13,YEAR(E2072)*12+MONTH(E2072)-FYYM+1)),"")</f>
        <v/>
      </c>
      <c r="P2072" s="101">
        <f>IF(H2072=1,IF(IFERROR(INDEX(coa_CF,MATCH(I2072,coa_Name,0)),"")="Cash",1,0),0)</f>
        <v/>
      </c>
      <c r="Q2072" s="101">
        <f>IF(H2072=1,IF(IFERROR(INDEX(coa_CF,MATCH(K2072,coa_Name,0)),"")="Cash",1,0),0)</f>
        <v/>
      </c>
      <c r="R2072" s="58">
        <f>IF((P2072-Q2072)=0,"",IFERROR(INDEX(coa_CF,MATCH(IF((P2072-Q2072)=1,K2072,I2072),coa_Name,0)),"Operating"))</f>
        <v/>
      </c>
      <c r="S2072" s="95">
        <f>IF((P2072-Q2072)=1,L2072,IF((P2072-Q2072)=-1,-J2072,0))</f>
        <v/>
      </c>
      <c r="T2072" s="95">
        <f>IF((P2072-Q2072)=1,N2072,IF((P2072-Q2072)=-1,-M2072,0))</f>
        <v/>
      </c>
      <c r="U2072" s="101">
        <f>IF(AND(H2072=1,LedAcct&lt;&gt;""),IF(AND(E2072&gt;=LedFrom,E2072&lt;=LedTo,OR(I2072=LedAcct,K2072=LedAcct,AND(LedAcct=acctTax,M2072+N2072&lt;&gt;0))),E2072*10000+B2072,""),"")</f>
        <v/>
      </c>
    </row>
    <row r="2073">
      <c r="B2073" s="101" t="n">
        <v>2067</v>
      </c>
      <c r="C2073" s="58" t="inlineStr">
        <is>
          <t>Invoice</t>
        </is>
      </c>
      <c r="D2073" s="58">
        <f>IF(H2073=1,INDEX(ar_No,67)&amp;"","")</f>
        <v/>
      </c>
      <c r="E2073" s="94">
        <f>IF(H2073=1,INDEX(ar_Date,67),"")</f>
        <v/>
      </c>
      <c r="F2073" s="58">
        <f>IF(H2073=1,INDEX(ar_Desc,67)&amp;"","")</f>
        <v/>
      </c>
      <c r="G2073" s="58">
        <f>IF(H2073=1,INDEX(ar_Party,67)&amp;"","")</f>
        <v/>
      </c>
      <c r="H2073" s="101">
        <f>IFERROR(N(INDEX(ar_Posted,67)),0)</f>
        <v/>
      </c>
      <c r="I2073" s="58">
        <f>IF(H2073=1,INDEX(ar_DrAcct,67)&amp;"","")</f>
        <v/>
      </c>
      <c r="J2073" s="95">
        <f>IF(H2073=1,INDEX(ar_DrAmt,67),0)</f>
        <v/>
      </c>
      <c r="K2073" s="58">
        <f>IF(H2073=1,INDEX(ar_CrAcct,67)&amp;"","")</f>
        <v/>
      </c>
      <c r="L2073" s="95">
        <f>IF(H2073=1,INDEX(ar_CrAmt,67),0)</f>
        <v/>
      </c>
      <c r="M2073" s="95" t="n">
        <v>0</v>
      </c>
      <c r="N2073" s="95">
        <f>IF(H2073=1,INDEX(ar_TaxAmt,67),0)</f>
        <v/>
      </c>
      <c r="O2073" s="101">
        <f>IF(H2073=1,IF(E2073&lt;FYStart,0,IF(E2073&gt;FYEnd,13,YEAR(E2073)*12+MONTH(E2073)-FYYM+1)),"")</f>
        <v/>
      </c>
      <c r="P2073" s="101">
        <f>IF(H2073=1,IF(IFERROR(INDEX(coa_CF,MATCH(I2073,coa_Name,0)),"")="Cash",1,0),0)</f>
        <v/>
      </c>
      <c r="Q2073" s="101">
        <f>IF(H2073=1,IF(IFERROR(INDEX(coa_CF,MATCH(K2073,coa_Name,0)),"")="Cash",1,0),0)</f>
        <v/>
      </c>
      <c r="R2073" s="58">
        <f>IF((P2073-Q2073)=0,"",IFERROR(INDEX(coa_CF,MATCH(IF((P2073-Q2073)=1,K2073,I2073),coa_Name,0)),"Operating"))</f>
        <v/>
      </c>
      <c r="S2073" s="95">
        <f>IF((P2073-Q2073)=1,L2073,IF((P2073-Q2073)=-1,-J2073,0))</f>
        <v/>
      </c>
      <c r="T2073" s="95">
        <f>IF((P2073-Q2073)=1,N2073,IF((P2073-Q2073)=-1,-M2073,0))</f>
        <v/>
      </c>
      <c r="U2073" s="101">
        <f>IF(AND(H2073=1,LedAcct&lt;&gt;""),IF(AND(E2073&gt;=LedFrom,E2073&lt;=LedTo,OR(I2073=LedAcct,K2073=LedAcct,AND(LedAcct=acctTax,M2073+N2073&lt;&gt;0))),E2073*10000+B2073,""),"")</f>
        <v/>
      </c>
    </row>
    <row r="2074">
      <c r="B2074" s="101" t="n">
        <v>2068</v>
      </c>
      <c r="C2074" s="58" t="inlineStr">
        <is>
          <t>Invoice</t>
        </is>
      </c>
      <c r="D2074" s="58">
        <f>IF(H2074=1,INDEX(ar_No,68)&amp;"","")</f>
        <v/>
      </c>
      <c r="E2074" s="94">
        <f>IF(H2074=1,INDEX(ar_Date,68),"")</f>
        <v/>
      </c>
      <c r="F2074" s="58">
        <f>IF(H2074=1,INDEX(ar_Desc,68)&amp;"","")</f>
        <v/>
      </c>
      <c r="G2074" s="58">
        <f>IF(H2074=1,INDEX(ar_Party,68)&amp;"","")</f>
        <v/>
      </c>
      <c r="H2074" s="101">
        <f>IFERROR(N(INDEX(ar_Posted,68)),0)</f>
        <v/>
      </c>
      <c r="I2074" s="58">
        <f>IF(H2074=1,INDEX(ar_DrAcct,68)&amp;"","")</f>
        <v/>
      </c>
      <c r="J2074" s="95">
        <f>IF(H2074=1,INDEX(ar_DrAmt,68),0)</f>
        <v/>
      </c>
      <c r="K2074" s="58">
        <f>IF(H2074=1,INDEX(ar_CrAcct,68)&amp;"","")</f>
        <v/>
      </c>
      <c r="L2074" s="95">
        <f>IF(H2074=1,INDEX(ar_CrAmt,68),0)</f>
        <v/>
      </c>
      <c r="M2074" s="95" t="n">
        <v>0</v>
      </c>
      <c r="N2074" s="95">
        <f>IF(H2074=1,INDEX(ar_TaxAmt,68),0)</f>
        <v/>
      </c>
      <c r="O2074" s="101">
        <f>IF(H2074=1,IF(E2074&lt;FYStart,0,IF(E2074&gt;FYEnd,13,YEAR(E2074)*12+MONTH(E2074)-FYYM+1)),"")</f>
        <v/>
      </c>
      <c r="P2074" s="101">
        <f>IF(H2074=1,IF(IFERROR(INDEX(coa_CF,MATCH(I2074,coa_Name,0)),"")="Cash",1,0),0)</f>
        <v/>
      </c>
      <c r="Q2074" s="101">
        <f>IF(H2074=1,IF(IFERROR(INDEX(coa_CF,MATCH(K2074,coa_Name,0)),"")="Cash",1,0),0)</f>
        <v/>
      </c>
      <c r="R2074" s="58">
        <f>IF((P2074-Q2074)=0,"",IFERROR(INDEX(coa_CF,MATCH(IF((P2074-Q2074)=1,K2074,I2074),coa_Name,0)),"Operating"))</f>
        <v/>
      </c>
      <c r="S2074" s="95">
        <f>IF((P2074-Q2074)=1,L2074,IF((P2074-Q2074)=-1,-J2074,0))</f>
        <v/>
      </c>
      <c r="T2074" s="95">
        <f>IF((P2074-Q2074)=1,N2074,IF((P2074-Q2074)=-1,-M2074,0))</f>
        <v/>
      </c>
      <c r="U2074" s="101">
        <f>IF(AND(H2074=1,LedAcct&lt;&gt;""),IF(AND(E2074&gt;=LedFrom,E2074&lt;=LedTo,OR(I2074=LedAcct,K2074=LedAcct,AND(LedAcct=acctTax,M2074+N2074&lt;&gt;0))),E2074*10000+B2074,""),"")</f>
        <v/>
      </c>
    </row>
    <row r="2075">
      <c r="B2075" s="101" t="n">
        <v>2069</v>
      </c>
      <c r="C2075" s="58" t="inlineStr">
        <is>
          <t>Invoice</t>
        </is>
      </c>
      <c r="D2075" s="58">
        <f>IF(H2075=1,INDEX(ar_No,69)&amp;"","")</f>
        <v/>
      </c>
      <c r="E2075" s="94">
        <f>IF(H2075=1,INDEX(ar_Date,69),"")</f>
        <v/>
      </c>
      <c r="F2075" s="58">
        <f>IF(H2075=1,INDEX(ar_Desc,69)&amp;"","")</f>
        <v/>
      </c>
      <c r="G2075" s="58">
        <f>IF(H2075=1,INDEX(ar_Party,69)&amp;"","")</f>
        <v/>
      </c>
      <c r="H2075" s="101">
        <f>IFERROR(N(INDEX(ar_Posted,69)),0)</f>
        <v/>
      </c>
      <c r="I2075" s="58">
        <f>IF(H2075=1,INDEX(ar_DrAcct,69)&amp;"","")</f>
        <v/>
      </c>
      <c r="J2075" s="95">
        <f>IF(H2075=1,INDEX(ar_DrAmt,69),0)</f>
        <v/>
      </c>
      <c r="K2075" s="58">
        <f>IF(H2075=1,INDEX(ar_CrAcct,69)&amp;"","")</f>
        <v/>
      </c>
      <c r="L2075" s="95">
        <f>IF(H2075=1,INDEX(ar_CrAmt,69),0)</f>
        <v/>
      </c>
      <c r="M2075" s="95" t="n">
        <v>0</v>
      </c>
      <c r="N2075" s="95">
        <f>IF(H2075=1,INDEX(ar_TaxAmt,69),0)</f>
        <v/>
      </c>
      <c r="O2075" s="101">
        <f>IF(H2075=1,IF(E2075&lt;FYStart,0,IF(E2075&gt;FYEnd,13,YEAR(E2075)*12+MONTH(E2075)-FYYM+1)),"")</f>
        <v/>
      </c>
      <c r="P2075" s="101">
        <f>IF(H2075=1,IF(IFERROR(INDEX(coa_CF,MATCH(I2075,coa_Name,0)),"")="Cash",1,0),0)</f>
        <v/>
      </c>
      <c r="Q2075" s="101">
        <f>IF(H2075=1,IF(IFERROR(INDEX(coa_CF,MATCH(K2075,coa_Name,0)),"")="Cash",1,0),0)</f>
        <v/>
      </c>
      <c r="R2075" s="58">
        <f>IF((P2075-Q2075)=0,"",IFERROR(INDEX(coa_CF,MATCH(IF((P2075-Q2075)=1,K2075,I2075),coa_Name,0)),"Operating"))</f>
        <v/>
      </c>
      <c r="S2075" s="95">
        <f>IF((P2075-Q2075)=1,L2075,IF((P2075-Q2075)=-1,-J2075,0))</f>
        <v/>
      </c>
      <c r="T2075" s="95">
        <f>IF((P2075-Q2075)=1,N2075,IF((P2075-Q2075)=-1,-M2075,0))</f>
        <v/>
      </c>
      <c r="U2075" s="101">
        <f>IF(AND(H2075=1,LedAcct&lt;&gt;""),IF(AND(E2075&gt;=LedFrom,E2075&lt;=LedTo,OR(I2075=LedAcct,K2075=LedAcct,AND(LedAcct=acctTax,M2075+N2075&lt;&gt;0))),E2075*10000+B2075,""),"")</f>
        <v/>
      </c>
    </row>
    <row r="2076">
      <c r="B2076" s="101" t="n">
        <v>2070</v>
      </c>
      <c r="C2076" s="58" t="inlineStr">
        <is>
          <t>Invoice</t>
        </is>
      </c>
      <c r="D2076" s="58">
        <f>IF(H2076=1,INDEX(ar_No,70)&amp;"","")</f>
        <v/>
      </c>
      <c r="E2076" s="94">
        <f>IF(H2076=1,INDEX(ar_Date,70),"")</f>
        <v/>
      </c>
      <c r="F2076" s="58">
        <f>IF(H2076=1,INDEX(ar_Desc,70)&amp;"","")</f>
        <v/>
      </c>
      <c r="G2076" s="58">
        <f>IF(H2076=1,INDEX(ar_Party,70)&amp;"","")</f>
        <v/>
      </c>
      <c r="H2076" s="101">
        <f>IFERROR(N(INDEX(ar_Posted,70)),0)</f>
        <v/>
      </c>
      <c r="I2076" s="58">
        <f>IF(H2076=1,INDEX(ar_DrAcct,70)&amp;"","")</f>
        <v/>
      </c>
      <c r="J2076" s="95">
        <f>IF(H2076=1,INDEX(ar_DrAmt,70),0)</f>
        <v/>
      </c>
      <c r="K2076" s="58">
        <f>IF(H2076=1,INDEX(ar_CrAcct,70)&amp;"","")</f>
        <v/>
      </c>
      <c r="L2076" s="95">
        <f>IF(H2076=1,INDEX(ar_CrAmt,70),0)</f>
        <v/>
      </c>
      <c r="M2076" s="95" t="n">
        <v>0</v>
      </c>
      <c r="N2076" s="95">
        <f>IF(H2076=1,INDEX(ar_TaxAmt,70),0)</f>
        <v/>
      </c>
      <c r="O2076" s="101">
        <f>IF(H2076=1,IF(E2076&lt;FYStart,0,IF(E2076&gt;FYEnd,13,YEAR(E2076)*12+MONTH(E2076)-FYYM+1)),"")</f>
        <v/>
      </c>
      <c r="P2076" s="101">
        <f>IF(H2076=1,IF(IFERROR(INDEX(coa_CF,MATCH(I2076,coa_Name,0)),"")="Cash",1,0),0)</f>
        <v/>
      </c>
      <c r="Q2076" s="101">
        <f>IF(H2076=1,IF(IFERROR(INDEX(coa_CF,MATCH(K2076,coa_Name,0)),"")="Cash",1,0),0)</f>
        <v/>
      </c>
      <c r="R2076" s="58">
        <f>IF((P2076-Q2076)=0,"",IFERROR(INDEX(coa_CF,MATCH(IF((P2076-Q2076)=1,K2076,I2076),coa_Name,0)),"Operating"))</f>
        <v/>
      </c>
      <c r="S2076" s="95">
        <f>IF((P2076-Q2076)=1,L2076,IF((P2076-Q2076)=-1,-J2076,0))</f>
        <v/>
      </c>
      <c r="T2076" s="95">
        <f>IF((P2076-Q2076)=1,N2076,IF((P2076-Q2076)=-1,-M2076,0))</f>
        <v/>
      </c>
      <c r="U2076" s="101">
        <f>IF(AND(H2076=1,LedAcct&lt;&gt;""),IF(AND(E2076&gt;=LedFrom,E2076&lt;=LedTo,OR(I2076=LedAcct,K2076=LedAcct,AND(LedAcct=acctTax,M2076+N2076&lt;&gt;0))),E2076*10000+B2076,""),"")</f>
        <v/>
      </c>
    </row>
    <row r="2077">
      <c r="B2077" s="101" t="n">
        <v>2071</v>
      </c>
      <c r="C2077" s="58" t="inlineStr">
        <is>
          <t>Invoice</t>
        </is>
      </c>
      <c r="D2077" s="58">
        <f>IF(H2077=1,INDEX(ar_No,71)&amp;"","")</f>
        <v/>
      </c>
      <c r="E2077" s="94">
        <f>IF(H2077=1,INDEX(ar_Date,71),"")</f>
        <v/>
      </c>
      <c r="F2077" s="58">
        <f>IF(H2077=1,INDEX(ar_Desc,71)&amp;"","")</f>
        <v/>
      </c>
      <c r="G2077" s="58">
        <f>IF(H2077=1,INDEX(ar_Party,71)&amp;"","")</f>
        <v/>
      </c>
      <c r="H2077" s="101">
        <f>IFERROR(N(INDEX(ar_Posted,71)),0)</f>
        <v/>
      </c>
      <c r="I2077" s="58">
        <f>IF(H2077=1,INDEX(ar_DrAcct,71)&amp;"","")</f>
        <v/>
      </c>
      <c r="J2077" s="95">
        <f>IF(H2077=1,INDEX(ar_DrAmt,71),0)</f>
        <v/>
      </c>
      <c r="K2077" s="58">
        <f>IF(H2077=1,INDEX(ar_CrAcct,71)&amp;"","")</f>
        <v/>
      </c>
      <c r="L2077" s="95">
        <f>IF(H2077=1,INDEX(ar_CrAmt,71),0)</f>
        <v/>
      </c>
      <c r="M2077" s="95" t="n">
        <v>0</v>
      </c>
      <c r="N2077" s="95">
        <f>IF(H2077=1,INDEX(ar_TaxAmt,71),0)</f>
        <v/>
      </c>
      <c r="O2077" s="101">
        <f>IF(H2077=1,IF(E2077&lt;FYStart,0,IF(E2077&gt;FYEnd,13,YEAR(E2077)*12+MONTH(E2077)-FYYM+1)),"")</f>
        <v/>
      </c>
      <c r="P2077" s="101">
        <f>IF(H2077=1,IF(IFERROR(INDEX(coa_CF,MATCH(I2077,coa_Name,0)),"")="Cash",1,0),0)</f>
        <v/>
      </c>
      <c r="Q2077" s="101">
        <f>IF(H2077=1,IF(IFERROR(INDEX(coa_CF,MATCH(K2077,coa_Name,0)),"")="Cash",1,0),0)</f>
        <v/>
      </c>
      <c r="R2077" s="58">
        <f>IF((P2077-Q2077)=0,"",IFERROR(INDEX(coa_CF,MATCH(IF((P2077-Q2077)=1,K2077,I2077),coa_Name,0)),"Operating"))</f>
        <v/>
      </c>
      <c r="S2077" s="95">
        <f>IF((P2077-Q2077)=1,L2077,IF((P2077-Q2077)=-1,-J2077,0))</f>
        <v/>
      </c>
      <c r="T2077" s="95">
        <f>IF((P2077-Q2077)=1,N2077,IF((P2077-Q2077)=-1,-M2077,0))</f>
        <v/>
      </c>
      <c r="U2077" s="101">
        <f>IF(AND(H2077=1,LedAcct&lt;&gt;""),IF(AND(E2077&gt;=LedFrom,E2077&lt;=LedTo,OR(I2077=LedAcct,K2077=LedAcct,AND(LedAcct=acctTax,M2077+N2077&lt;&gt;0))),E2077*10000+B2077,""),"")</f>
        <v/>
      </c>
    </row>
    <row r="2078">
      <c r="B2078" s="101" t="n">
        <v>2072</v>
      </c>
      <c r="C2078" s="58" t="inlineStr">
        <is>
          <t>Invoice</t>
        </is>
      </c>
      <c r="D2078" s="58">
        <f>IF(H2078=1,INDEX(ar_No,72)&amp;"","")</f>
        <v/>
      </c>
      <c r="E2078" s="94">
        <f>IF(H2078=1,INDEX(ar_Date,72),"")</f>
        <v/>
      </c>
      <c r="F2078" s="58">
        <f>IF(H2078=1,INDEX(ar_Desc,72)&amp;"","")</f>
        <v/>
      </c>
      <c r="G2078" s="58">
        <f>IF(H2078=1,INDEX(ar_Party,72)&amp;"","")</f>
        <v/>
      </c>
      <c r="H2078" s="101">
        <f>IFERROR(N(INDEX(ar_Posted,72)),0)</f>
        <v/>
      </c>
      <c r="I2078" s="58">
        <f>IF(H2078=1,INDEX(ar_DrAcct,72)&amp;"","")</f>
        <v/>
      </c>
      <c r="J2078" s="95">
        <f>IF(H2078=1,INDEX(ar_DrAmt,72),0)</f>
        <v/>
      </c>
      <c r="K2078" s="58">
        <f>IF(H2078=1,INDEX(ar_CrAcct,72)&amp;"","")</f>
        <v/>
      </c>
      <c r="L2078" s="95">
        <f>IF(H2078=1,INDEX(ar_CrAmt,72),0)</f>
        <v/>
      </c>
      <c r="M2078" s="95" t="n">
        <v>0</v>
      </c>
      <c r="N2078" s="95">
        <f>IF(H2078=1,INDEX(ar_TaxAmt,72),0)</f>
        <v/>
      </c>
      <c r="O2078" s="101">
        <f>IF(H2078=1,IF(E2078&lt;FYStart,0,IF(E2078&gt;FYEnd,13,YEAR(E2078)*12+MONTH(E2078)-FYYM+1)),"")</f>
        <v/>
      </c>
      <c r="P2078" s="101">
        <f>IF(H2078=1,IF(IFERROR(INDEX(coa_CF,MATCH(I2078,coa_Name,0)),"")="Cash",1,0),0)</f>
        <v/>
      </c>
      <c r="Q2078" s="101">
        <f>IF(H2078=1,IF(IFERROR(INDEX(coa_CF,MATCH(K2078,coa_Name,0)),"")="Cash",1,0),0)</f>
        <v/>
      </c>
      <c r="R2078" s="58">
        <f>IF((P2078-Q2078)=0,"",IFERROR(INDEX(coa_CF,MATCH(IF((P2078-Q2078)=1,K2078,I2078),coa_Name,0)),"Operating"))</f>
        <v/>
      </c>
      <c r="S2078" s="95">
        <f>IF((P2078-Q2078)=1,L2078,IF((P2078-Q2078)=-1,-J2078,0))</f>
        <v/>
      </c>
      <c r="T2078" s="95">
        <f>IF((P2078-Q2078)=1,N2078,IF((P2078-Q2078)=-1,-M2078,0))</f>
        <v/>
      </c>
      <c r="U2078" s="101">
        <f>IF(AND(H2078=1,LedAcct&lt;&gt;""),IF(AND(E2078&gt;=LedFrom,E2078&lt;=LedTo,OR(I2078=LedAcct,K2078=LedAcct,AND(LedAcct=acctTax,M2078+N2078&lt;&gt;0))),E2078*10000+B2078,""),"")</f>
        <v/>
      </c>
    </row>
    <row r="2079">
      <c r="B2079" s="101" t="n">
        <v>2073</v>
      </c>
      <c r="C2079" s="58" t="inlineStr">
        <is>
          <t>Invoice</t>
        </is>
      </c>
      <c r="D2079" s="58">
        <f>IF(H2079=1,INDEX(ar_No,73)&amp;"","")</f>
        <v/>
      </c>
      <c r="E2079" s="94">
        <f>IF(H2079=1,INDEX(ar_Date,73),"")</f>
        <v/>
      </c>
      <c r="F2079" s="58">
        <f>IF(H2079=1,INDEX(ar_Desc,73)&amp;"","")</f>
        <v/>
      </c>
      <c r="G2079" s="58">
        <f>IF(H2079=1,INDEX(ar_Party,73)&amp;"","")</f>
        <v/>
      </c>
      <c r="H2079" s="101">
        <f>IFERROR(N(INDEX(ar_Posted,73)),0)</f>
        <v/>
      </c>
      <c r="I2079" s="58">
        <f>IF(H2079=1,INDEX(ar_DrAcct,73)&amp;"","")</f>
        <v/>
      </c>
      <c r="J2079" s="95">
        <f>IF(H2079=1,INDEX(ar_DrAmt,73),0)</f>
        <v/>
      </c>
      <c r="K2079" s="58">
        <f>IF(H2079=1,INDEX(ar_CrAcct,73)&amp;"","")</f>
        <v/>
      </c>
      <c r="L2079" s="95">
        <f>IF(H2079=1,INDEX(ar_CrAmt,73),0)</f>
        <v/>
      </c>
      <c r="M2079" s="95" t="n">
        <v>0</v>
      </c>
      <c r="N2079" s="95">
        <f>IF(H2079=1,INDEX(ar_TaxAmt,73),0)</f>
        <v/>
      </c>
      <c r="O2079" s="101">
        <f>IF(H2079=1,IF(E2079&lt;FYStart,0,IF(E2079&gt;FYEnd,13,YEAR(E2079)*12+MONTH(E2079)-FYYM+1)),"")</f>
        <v/>
      </c>
      <c r="P2079" s="101">
        <f>IF(H2079=1,IF(IFERROR(INDEX(coa_CF,MATCH(I2079,coa_Name,0)),"")="Cash",1,0),0)</f>
        <v/>
      </c>
      <c r="Q2079" s="101">
        <f>IF(H2079=1,IF(IFERROR(INDEX(coa_CF,MATCH(K2079,coa_Name,0)),"")="Cash",1,0),0)</f>
        <v/>
      </c>
      <c r="R2079" s="58">
        <f>IF((P2079-Q2079)=0,"",IFERROR(INDEX(coa_CF,MATCH(IF((P2079-Q2079)=1,K2079,I2079),coa_Name,0)),"Operating"))</f>
        <v/>
      </c>
      <c r="S2079" s="95">
        <f>IF((P2079-Q2079)=1,L2079,IF((P2079-Q2079)=-1,-J2079,0))</f>
        <v/>
      </c>
      <c r="T2079" s="95">
        <f>IF((P2079-Q2079)=1,N2079,IF((P2079-Q2079)=-1,-M2079,0))</f>
        <v/>
      </c>
      <c r="U2079" s="101">
        <f>IF(AND(H2079=1,LedAcct&lt;&gt;""),IF(AND(E2079&gt;=LedFrom,E2079&lt;=LedTo,OR(I2079=LedAcct,K2079=LedAcct,AND(LedAcct=acctTax,M2079+N2079&lt;&gt;0))),E2079*10000+B2079,""),"")</f>
        <v/>
      </c>
    </row>
    <row r="2080">
      <c r="B2080" s="101" t="n">
        <v>2074</v>
      </c>
      <c r="C2080" s="58" t="inlineStr">
        <is>
          <t>Invoice</t>
        </is>
      </c>
      <c r="D2080" s="58">
        <f>IF(H2080=1,INDEX(ar_No,74)&amp;"","")</f>
        <v/>
      </c>
      <c r="E2080" s="94">
        <f>IF(H2080=1,INDEX(ar_Date,74),"")</f>
        <v/>
      </c>
      <c r="F2080" s="58">
        <f>IF(H2080=1,INDEX(ar_Desc,74)&amp;"","")</f>
        <v/>
      </c>
      <c r="G2080" s="58">
        <f>IF(H2080=1,INDEX(ar_Party,74)&amp;"","")</f>
        <v/>
      </c>
      <c r="H2080" s="101">
        <f>IFERROR(N(INDEX(ar_Posted,74)),0)</f>
        <v/>
      </c>
      <c r="I2080" s="58">
        <f>IF(H2080=1,INDEX(ar_DrAcct,74)&amp;"","")</f>
        <v/>
      </c>
      <c r="J2080" s="95">
        <f>IF(H2080=1,INDEX(ar_DrAmt,74),0)</f>
        <v/>
      </c>
      <c r="K2080" s="58">
        <f>IF(H2080=1,INDEX(ar_CrAcct,74)&amp;"","")</f>
        <v/>
      </c>
      <c r="L2080" s="95">
        <f>IF(H2080=1,INDEX(ar_CrAmt,74),0)</f>
        <v/>
      </c>
      <c r="M2080" s="95" t="n">
        <v>0</v>
      </c>
      <c r="N2080" s="95">
        <f>IF(H2080=1,INDEX(ar_TaxAmt,74),0)</f>
        <v/>
      </c>
      <c r="O2080" s="101">
        <f>IF(H2080=1,IF(E2080&lt;FYStart,0,IF(E2080&gt;FYEnd,13,YEAR(E2080)*12+MONTH(E2080)-FYYM+1)),"")</f>
        <v/>
      </c>
      <c r="P2080" s="101">
        <f>IF(H2080=1,IF(IFERROR(INDEX(coa_CF,MATCH(I2080,coa_Name,0)),"")="Cash",1,0),0)</f>
        <v/>
      </c>
      <c r="Q2080" s="101">
        <f>IF(H2080=1,IF(IFERROR(INDEX(coa_CF,MATCH(K2080,coa_Name,0)),"")="Cash",1,0),0)</f>
        <v/>
      </c>
      <c r="R2080" s="58">
        <f>IF((P2080-Q2080)=0,"",IFERROR(INDEX(coa_CF,MATCH(IF((P2080-Q2080)=1,K2080,I2080),coa_Name,0)),"Operating"))</f>
        <v/>
      </c>
      <c r="S2080" s="95">
        <f>IF((P2080-Q2080)=1,L2080,IF((P2080-Q2080)=-1,-J2080,0))</f>
        <v/>
      </c>
      <c r="T2080" s="95">
        <f>IF((P2080-Q2080)=1,N2080,IF((P2080-Q2080)=-1,-M2080,0))</f>
        <v/>
      </c>
      <c r="U2080" s="101">
        <f>IF(AND(H2080=1,LedAcct&lt;&gt;""),IF(AND(E2080&gt;=LedFrom,E2080&lt;=LedTo,OR(I2080=LedAcct,K2080=LedAcct,AND(LedAcct=acctTax,M2080+N2080&lt;&gt;0))),E2080*10000+B2080,""),"")</f>
        <v/>
      </c>
    </row>
    <row r="2081">
      <c r="B2081" s="101" t="n">
        <v>2075</v>
      </c>
      <c r="C2081" s="58" t="inlineStr">
        <is>
          <t>Invoice</t>
        </is>
      </c>
      <c r="D2081" s="58">
        <f>IF(H2081=1,INDEX(ar_No,75)&amp;"","")</f>
        <v/>
      </c>
      <c r="E2081" s="94">
        <f>IF(H2081=1,INDEX(ar_Date,75),"")</f>
        <v/>
      </c>
      <c r="F2081" s="58">
        <f>IF(H2081=1,INDEX(ar_Desc,75)&amp;"","")</f>
        <v/>
      </c>
      <c r="G2081" s="58">
        <f>IF(H2081=1,INDEX(ar_Party,75)&amp;"","")</f>
        <v/>
      </c>
      <c r="H2081" s="101">
        <f>IFERROR(N(INDEX(ar_Posted,75)),0)</f>
        <v/>
      </c>
      <c r="I2081" s="58">
        <f>IF(H2081=1,INDEX(ar_DrAcct,75)&amp;"","")</f>
        <v/>
      </c>
      <c r="J2081" s="95">
        <f>IF(H2081=1,INDEX(ar_DrAmt,75),0)</f>
        <v/>
      </c>
      <c r="K2081" s="58">
        <f>IF(H2081=1,INDEX(ar_CrAcct,75)&amp;"","")</f>
        <v/>
      </c>
      <c r="L2081" s="95">
        <f>IF(H2081=1,INDEX(ar_CrAmt,75),0)</f>
        <v/>
      </c>
      <c r="M2081" s="95" t="n">
        <v>0</v>
      </c>
      <c r="N2081" s="95">
        <f>IF(H2081=1,INDEX(ar_TaxAmt,75),0)</f>
        <v/>
      </c>
      <c r="O2081" s="101">
        <f>IF(H2081=1,IF(E2081&lt;FYStart,0,IF(E2081&gt;FYEnd,13,YEAR(E2081)*12+MONTH(E2081)-FYYM+1)),"")</f>
        <v/>
      </c>
      <c r="P2081" s="101">
        <f>IF(H2081=1,IF(IFERROR(INDEX(coa_CF,MATCH(I2081,coa_Name,0)),"")="Cash",1,0),0)</f>
        <v/>
      </c>
      <c r="Q2081" s="101">
        <f>IF(H2081=1,IF(IFERROR(INDEX(coa_CF,MATCH(K2081,coa_Name,0)),"")="Cash",1,0),0)</f>
        <v/>
      </c>
      <c r="R2081" s="58">
        <f>IF((P2081-Q2081)=0,"",IFERROR(INDEX(coa_CF,MATCH(IF((P2081-Q2081)=1,K2081,I2081),coa_Name,0)),"Operating"))</f>
        <v/>
      </c>
      <c r="S2081" s="95">
        <f>IF((P2081-Q2081)=1,L2081,IF((P2081-Q2081)=-1,-J2081,0))</f>
        <v/>
      </c>
      <c r="T2081" s="95">
        <f>IF((P2081-Q2081)=1,N2081,IF((P2081-Q2081)=-1,-M2081,0))</f>
        <v/>
      </c>
      <c r="U2081" s="101">
        <f>IF(AND(H2081=1,LedAcct&lt;&gt;""),IF(AND(E2081&gt;=LedFrom,E2081&lt;=LedTo,OR(I2081=LedAcct,K2081=LedAcct,AND(LedAcct=acctTax,M2081+N2081&lt;&gt;0))),E2081*10000+B2081,""),"")</f>
        <v/>
      </c>
    </row>
    <row r="2082">
      <c r="B2082" s="101" t="n">
        <v>2076</v>
      </c>
      <c r="C2082" s="58" t="inlineStr">
        <is>
          <t>Invoice</t>
        </is>
      </c>
      <c r="D2082" s="58">
        <f>IF(H2082=1,INDEX(ar_No,76)&amp;"","")</f>
        <v/>
      </c>
      <c r="E2082" s="94">
        <f>IF(H2082=1,INDEX(ar_Date,76),"")</f>
        <v/>
      </c>
      <c r="F2082" s="58">
        <f>IF(H2082=1,INDEX(ar_Desc,76)&amp;"","")</f>
        <v/>
      </c>
      <c r="G2082" s="58">
        <f>IF(H2082=1,INDEX(ar_Party,76)&amp;"","")</f>
        <v/>
      </c>
      <c r="H2082" s="101">
        <f>IFERROR(N(INDEX(ar_Posted,76)),0)</f>
        <v/>
      </c>
      <c r="I2082" s="58">
        <f>IF(H2082=1,INDEX(ar_DrAcct,76)&amp;"","")</f>
        <v/>
      </c>
      <c r="J2082" s="95">
        <f>IF(H2082=1,INDEX(ar_DrAmt,76),0)</f>
        <v/>
      </c>
      <c r="K2082" s="58">
        <f>IF(H2082=1,INDEX(ar_CrAcct,76)&amp;"","")</f>
        <v/>
      </c>
      <c r="L2082" s="95">
        <f>IF(H2082=1,INDEX(ar_CrAmt,76),0)</f>
        <v/>
      </c>
      <c r="M2082" s="95" t="n">
        <v>0</v>
      </c>
      <c r="N2082" s="95">
        <f>IF(H2082=1,INDEX(ar_TaxAmt,76),0)</f>
        <v/>
      </c>
      <c r="O2082" s="101">
        <f>IF(H2082=1,IF(E2082&lt;FYStart,0,IF(E2082&gt;FYEnd,13,YEAR(E2082)*12+MONTH(E2082)-FYYM+1)),"")</f>
        <v/>
      </c>
      <c r="P2082" s="101">
        <f>IF(H2082=1,IF(IFERROR(INDEX(coa_CF,MATCH(I2082,coa_Name,0)),"")="Cash",1,0),0)</f>
        <v/>
      </c>
      <c r="Q2082" s="101">
        <f>IF(H2082=1,IF(IFERROR(INDEX(coa_CF,MATCH(K2082,coa_Name,0)),"")="Cash",1,0),0)</f>
        <v/>
      </c>
      <c r="R2082" s="58">
        <f>IF((P2082-Q2082)=0,"",IFERROR(INDEX(coa_CF,MATCH(IF((P2082-Q2082)=1,K2082,I2082),coa_Name,0)),"Operating"))</f>
        <v/>
      </c>
      <c r="S2082" s="95">
        <f>IF((P2082-Q2082)=1,L2082,IF((P2082-Q2082)=-1,-J2082,0))</f>
        <v/>
      </c>
      <c r="T2082" s="95">
        <f>IF((P2082-Q2082)=1,N2082,IF((P2082-Q2082)=-1,-M2082,0))</f>
        <v/>
      </c>
      <c r="U2082" s="101">
        <f>IF(AND(H2082=1,LedAcct&lt;&gt;""),IF(AND(E2082&gt;=LedFrom,E2082&lt;=LedTo,OR(I2082=LedAcct,K2082=LedAcct,AND(LedAcct=acctTax,M2082+N2082&lt;&gt;0))),E2082*10000+B2082,""),"")</f>
        <v/>
      </c>
    </row>
    <row r="2083">
      <c r="B2083" s="101" t="n">
        <v>2077</v>
      </c>
      <c r="C2083" s="58" t="inlineStr">
        <is>
          <t>Invoice</t>
        </is>
      </c>
      <c r="D2083" s="58">
        <f>IF(H2083=1,INDEX(ar_No,77)&amp;"","")</f>
        <v/>
      </c>
      <c r="E2083" s="94">
        <f>IF(H2083=1,INDEX(ar_Date,77),"")</f>
        <v/>
      </c>
      <c r="F2083" s="58">
        <f>IF(H2083=1,INDEX(ar_Desc,77)&amp;"","")</f>
        <v/>
      </c>
      <c r="G2083" s="58">
        <f>IF(H2083=1,INDEX(ar_Party,77)&amp;"","")</f>
        <v/>
      </c>
      <c r="H2083" s="101">
        <f>IFERROR(N(INDEX(ar_Posted,77)),0)</f>
        <v/>
      </c>
      <c r="I2083" s="58">
        <f>IF(H2083=1,INDEX(ar_DrAcct,77)&amp;"","")</f>
        <v/>
      </c>
      <c r="J2083" s="95">
        <f>IF(H2083=1,INDEX(ar_DrAmt,77),0)</f>
        <v/>
      </c>
      <c r="K2083" s="58">
        <f>IF(H2083=1,INDEX(ar_CrAcct,77)&amp;"","")</f>
        <v/>
      </c>
      <c r="L2083" s="95">
        <f>IF(H2083=1,INDEX(ar_CrAmt,77),0)</f>
        <v/>
      </c>
      <c r="M2083" s="95" t="n">
        <v>0</v>
      </c>
      <c r="N2083" s="95">
        <f>IF(H2083=1,INDEX(ar_TaxAmt,77),0)</f>
        <v/>
      </c>
      <c r="O2083" s="101">
        <f>IF(H2083=1,IF(E2083&lt;FYStart,0,IF(E2083&gt;FYEnd,13,YEAR(E2083)*12+MONTH(E2083)-FYYM+1)),"")</f>
        <v/>
      </c>
      <c r="P2083" s="101">
        <f>IF(H2083=1,IF(IFERROR(INDEX(coa_CF,MATCH(I2083,coa_Name,0)),"")="Cash",1,0),0)</f>
        <v/>
      </c>
      <c r="Q2083" s="101">
        <f>IF(H2083=1,IF(IFERROR(INDEX(coa_CF,MATCH(K2083,coa_Name,0)),"")="Cash",1,0),0)</f>
        <v/>
      </c>
      <c r="R2083" s="58">
        <f>IF((P2083-Q2083)=0,"",IFERROR(INDEX(coa_CF,MATCH(IF((P2083-Q2083)=1,K2083,I2083),coa_Name,0)),"Operating"))</f>
        <v/>
      </c>
      <c r="S2083" s="95">
        <f>IF((P2083-Q2083)=1,L2083,IF((P2083-Q2083)=-1,-J2083,0))</f>
        <v/>
      </c>
      <c r="T2083" s="95">
        <f>IF((P2083-Q2083)=1,N2083,IF((P2083-Q2083)=-1,-M2083,0))</f>
        <v/>
      </c>
      <c r="U2083" s="101">
        <f>IF(AND(H2083=1,LedAcct&lt;&gt;""),IF(AND(E2083&gt;=LedFrom,E2083&lt;=LedTo,OR(I2083=LedAcct,K2083=LedAcct,AND(LedAcct=acctTax,M2083+N2083&lt;&gt;0))),E2083*10000+B2083,""),"")</f>
        <v/>
      </c>
    </row>
    <row r="2084">
      <c r="B2084" s="101" t="n">
        <v>2078</v>
      </c>
      <c r="C2084" s="58" t="inlineStr">
        <is>
          <t>Invoice</t>
        </is>
      </c>
      <c r="D2084" s="58">
        <f>IF(H2084=1,INDEX(ar_No,78)&amp;"","")</f>
        <v/>
      </c>
      <c r="E2084" s="94">
        <f>IF(H2084=1,INDEX(ar_Date,78),"")</f>
        <v/>
      </c>
      <c r="F2084" s="58">
        <f>IF(H2084=1,INDEX(ar_Desc,78)&amp;"","")</f>
        <v/>
      </c>
      <c r="G2084" s="58">
        <f>IF(H2084=1,INDEX(ar_Party,78)&amp;"","")</f>
        <v/>
      </c>
      <c r="H2084" s="101">
        <f>IFERROR(N(INDEX(ar_Posted,78)),0)</f>
        <v/>
      </c>
      <c r="I2084" s="58">
        <f>IF(H2084=1,INDEX(ar_DrAcct,78)&amp;"","")</f>
        <v/>
      </c>
      <c r="J2084" s="95">
        <f>IF(H2084=1,INDEX(ar_DrAmt,78),0)</f>
        <v/>
      </c>
      <c r="K2084" s="58">
        <f>IF(H2084=1,INDEX(ar_CrAcct,78)&amp;"","")</f>
        <v/>
      </c>
      <c r="L2084" s="95">
        <f>IF(H2084=1,INDEX(ar_CrAmt,78),0)</f>
        <v/>
      </c>
      <c r="M2084" s="95" t="n">
        <v>0</v>
      </c>
      <c r="N2084" s="95">
        <f>IF(H2084=1,INDEX(ar_TaxAmt,78),0)</f>
        <v/>
      </c>
      <c r="O2084" s="101">
        <f>IF(H2084=1,IF(E2084&lt;FYStart,0,IF(E2084&gt;FYEnd,13,YEAR(E2084)*12+MONTH(E2084)-FYYM+1)),"")</f>
        <v/>
      </c>
      <c r="P2084" s="101">
        <f>IF(H2084=1,IF(IFERROR(INDEX(coa_CF,MATCH(I2084,coa_Name,0)),"")="Cash",1,0),0)</f>
        <v/>
      </c>
      <c r="Q2084" s="101">
        <f>IF(H2084=1,IF(IFERROR(INDEX(coa_CF,MATCH(K2084,coa_Name,0)),"")="Cash",1,0),0)</f>
        <v/>
      </c>
      <c r="R2084" s="58">
        <f>IF((P2084-Q2084)=0,"",IFERROR(INDEX(coa_CF,MATCH(IF((P2084-Q2084)=1,K2084,I2084),coa_Name,0)),"Operating"))</f>
        <v/>
      </c>
      <c r="S2084" s="95">
        <f>IF((P2084-Q2084)=1,L2084,IF((P2084-Q2084)=-1,-J2084,0))</f>
        <v/>
      </c>
      <c r="T2084" s="95">
        <f>IF((P2084-Q2084)=1,N2084,IF((P2084-Q2084)=-1,-M2084,0))</f>
        <v/>
      </c>
      <c r="U2084" s="101">
        <f>IF(AND(H2084=1,LedAcct&lt;&gt;""),IF(AND(E2084&gt;=LedFrom,E2084&lt;=LedTo,OR(I2084=LedAcct,K2084=LedAcct,AND(LedAcct=acctTax,M2084+N2084&lt;&gt;0))),E2084*10000+B2084,""),"")</f>
        <v/>
      </c>
    </row>
    <row r="2085">
      <c r="B2085" s="101" t="n">
        <v>2079</v>
      </c>
      <c r="C2085" s="58" t="inlineStr">
        <is>
          <t>Invoice</t>
        </is>
      </c>
      <c r="D2085" s="58">
        <f>IF(H2085=1,INDEX(ar_No,79)&amp;"","")</f>
        <v/>
      </c>
      <c r="E2085" s="94">
        <f>IF(H2085=1,INDEX(ar_Date,79),"")</f>
        <v/>
      </c>
      <c r="F2085" s="58">
        <f>IF(H2085=1,INDEX(ar_Desc,79)&amp;"","")</f>
        <v/>
      </c>
      <c r="G2085" s="58">
        <f>IF(H2085=1,INDEX(ar_Party,79)&amp;"","")</f>
        <v/>
      </c>
      <c r="H2085" s="101">
        <f>IFERROR(N(INDEX(ar_Posted,79)),0)</f>
        <v/>
      </c>
      <c r="I2085" s="58">
        <f>IF(H2085=1,INDEX(ar_DrAcct,79)&amp;"","")</f>
        <v/>
      </c>
      <c r="J2085" s="95">
        <f>IF(H2085=1,INDEX(ar_DrAmt,79),0)</f>
        <v/>
      </c>
      <c r="K2085" s="58">
        <f>IF(H2085=1,INDEX(ar_CrAcct,79)&amp;"","")</f>
        <v/>
      </c>
      <c r="L2085" s="95">
        <f>IF(H2085=1,INDEX(ar_CrAmt,79),0)</f>
        <v/>
      </c>
      <c r="M2085" s="95" t="n">
        <v>0</v>
      </c>
      <c r="N2085" s="95">
        <f>IF(H2085=1,INDEX(ar_TaxAmt,79),0)</f>
        <v/>
      </c>
      <c r="O2085" s="101">
        <f>IF(H2085=1,IF(E2085&lt;FYStart,0,IF(E2085&gt;FYEnd,13,YEAR(E2085)*12+MONTH(E2085)-FYYM+1)),"")</f>
        <v/>
      </c>
      <c r="P2085" s="101">
        <f>IF(H2085=1,IF(IFERROR(INDEX(coa_CF,MATCH(I2085,coa_Name,0)),"")="Cash",1,0),0)</f>
        <v/>
      </c>
      <c r="Q2085" s="101">
        <f>IF(H2085=1,IF(IFERROR(INDEX(coa_CF,MATCH(K2085,coa_Name,0)),"")="Cash",1,0),0)</f>
        <v/>
      </c>
      <c r="R2085" s="58">
        <f>IF((P2085-Q2085)=0,"",IFERROR(INDEX(coa_CF,MATCH(IF((P2085-Q2085)=1,K2085,I2085),coa_Name,0)),"Operating"))</f>
        <v/>
      </c>
      <c r="S2085" s="95">
        <f>IF((P2085-Q2085)=1,L2085,IF((P2085-Q2085)=-1,-J2085,0))</f>
        <v/>
      </c>
      <c r="T2085" s="95">
        <f>IF((P2085-Q2085)=1,N2085,IF((P2085-Q2085)=-1,-M2085,0))</f>
        <v/>
      </c>
      <c r="U2085" s="101">
        <f>IF(AND(H2085=1,LedAcct&lt;&gt;""),IF(AND(E2085&gt;=LedFrom,E2085&lt;=LedTo,OR(I2085=LedAcct,K2085=LedAcct,AND(LedAcct=acctTax,M2085+N2085&lt;&gt;0))),E2085*10000+B2085,""),"")</f>
        <v/>
      </c>
    </row>
    <row r="2086">
      <c r="B2086" s="101" t="n">
        <v>2080</v>
      </c>
      <c r="C2086" s="58" t="inlineStr">
        <is>
          <t>Invoice</t>
        </is>
      </c>
      <c r="D2086" s="58">
        <f>IF(H2086=1,INDEX(ar_No,80)&amp;"","")</f>
        <v/>
      </c>
      <c r="E2086" s="94">
        <f>IF(H2086=1,INDEX(ar_Date,80),"")</f>
        <v/>
      </c>
      <c r="F2086" s="58">
        <f>IF(H2086=1,INDEX(ar_Desc,80)&amp;"","")</f>
        <v/>
      </c>
      <c r="G2086" s="58">
        <f>IF(H2086=1,INDEX(ar_Party,80)&amp;"","")</f>
        <v/>
      </c>
      <c r="H2086" s="101">
        <f>IFERROR(N(INDEX(ar_Posted,80)),0)</f>
        <v/>
      </c>
      <c r="I2086" s="58">
        <f>IF(H2086=1,INDEX(ar_DrAcct,80)&amp;"","")</f>
        <v/>
      </c>
      <c r="J2086" s="95">
        <f>IF(H2086=1,INDEX(ar_DrAmt,80),0)</f>
        <v/>
      </c>
      <c r="K2086" s="58">
        <f>IF(H2086=1,INDEX(ar_CrAcct,80)&amp;"","")</f>
        <v/>
      </c>
      <c r="L2086" s="95">
        <f>IF(H2086=1,INDEX(ar_CrAmt,80),0)</f>
        <v/>
      </c>
      <c r="M2086" s="95" t="n">
        <v>0</v>
      </c>
      <c r="N2086" s="95">
        <f>IF(H2086=1,INDEX(ar_TaxAmt,80),0)</f>
        <v/>
      </c>
      <c r="O2086" s="101">
        <f>IF(H2086=1,IF(E2086&lt;FYStart,0,IF(E2086&gt;FYEnd,13,YEAR(E2086)*12+MONTH(E2086)-FYYM+1)),"")</f>
        <v/>
      </c>
      <c r="P2086" s="101">
        <f>IF(H2086=1,IF(IFERROR(INDEX(coa_CF,MATCH(I2086,coa_Name,0)),"")="Cash",1,0),0)</f>
        <v/>
      </c>
      <c r="Q2086" s="101">
        <f>IF(H2086=1,IF(IFERROR(INDEX(coa_CF,MATCH(K2086,coa_Name,0)),"")="Cash",1,0),0)</f>
        <v/>
      </c>
      <c r="R2086" s="58">
        <f>IF((P2086-Q2086)=0,"",IFERROR(INDEX(coa_CF,MATCH(IF((P2086-Q2086)=1,K2086,I2086),coa_Name,0)),"Operating"))</f>
        <v/>
      </c>
      <c r="S2086" s="95">
        <f>IF((P2086-Q2086)=1,L2086,IF((P2086-Q2086)=-1,-J2086,0))</f>
        <v/>
      </c>
      <c r="T2086" s="95">
        <f>IF((P2086-Q2086)=1,N2086,IF((P2086-Q2086)=-1,-M2086,0))</f>
        <v/>
      </c>
      <c r="U2086" s="101">
        <f>IF(AND(H2086=1,LedAcct&lt;&gt;""),IF(AND(E2086&gt;=LedFrom,E2086&lt;=LedTo,OR(I2086=LedAcct,K2086=LedAcct,AND(LedAcct=acctTax,M2086+N2086&lt;&gt;0))),E2086*10000+B2086,""),"")</f>
        <v/>
      </c>
    </row>
    <row r="2087">
      <c r="B2087" s="101" t="n">
        <v>2081</v>
      </c>
      <c r="C2087" s="58" t="inlineStr">
        <is>
          <t>Invoice</t>
        </is>
      </c>
      <c r="D2087" s="58">
        <f>IF(H2087=1,INDEX(ar_No,81)&amp;"","")</f>
        <v/>
      </c>
      <c r="E2087" s="94">
        <f>IF(H2087=1,INDEX(ar_Date,81),"")</f>
        <v/>
      </c>
      <c r="F2087" s="58">
        <f>IF(H2087=1,INDEX(ar_Desc,81)&amp;"","")</f>
        <v/>
      </c>
      <c r="G2087" s="58">
        <f>IF(H2087=1,INDEX(ar_Party,81)&amp;"","")</f>
        <v/>
      </c>
      <c r="H2087" s="101">
        <f>IFERROR(N(INDEX(ar_Posted,81)),0)</f>
        <v/>
      </c>
      <c r="I2087" s="58">
        <f>IF(H2087=1,INDEX(ar_DrAcct,81)&amp;"","")</f>
        <v/>
      </c>
      <c r="J2087" s="95">
        <f>IF(H2087=1,INDEX(ar_DrAmt,81),0)</f>
        <v/>
      </c>
      <c r="K2087" s="58">
        <f>IF(H2087=1,INDEX(ar_CrAcct,81)&amp;"","")</f>
        <v/>
      </c>
      <c r="L2087" s="95">
        <f>IF(H2087=1,INDEX(ar_CrAmt,81),0)</f>
        <v/>
      </c>
      <c r="M2087" s="95" t="n">
        <v>0</v>
      </c>
      <c r="N2087" s="95">
        <f>IF(H2087=1,INDEX(ar_TaxAmt,81),0)</f>
        <v/>
      </c>
      <c r="O2087" s="101">
        <f>IF(H2087=1,IF(E2087&lt;FYStart,0,IF(E2087&gt;FYEnd,13,YEAR(E2087)*12+MONTH(E2087)-FYYM+1)),"")</f>
        <v/>
      </c>
      <c r="P2087" s="101">
        <f>IF(H2087=1,IF(IFERROR(INDEX(coa_CF,MATCH(I2087,coa_Name,0)),"")="Cash",1,0),0)</f>
        <v/>
      </c>
      <c r="Q2087" s="101">
        <f>IF(H2087=1,IF(IFERROR(INDEX(coa_CF,MATCH(K2087,coa_Name,0)),"")="Cash",1,0),0)</f>
        <v/>
      </c>
      <c r="R2087" s="58">
        <f>IF((P2087-Q2087)=0,"",IFERROR(INDEX(coa_CF,MATCH(IF((P2087-Q2087)=1,K2087,I2087),coa_Name,0)),"Operating"))</f>
        <v/>
      </c>
      <c r="S2087" s="95">
        <f>IF((P2087-Q2087)=1,L2087,IF((P2087-Q2087)=-1,-J2087,0))</f>
        <v/>
      </c>
      <c r="T2087" s="95">
        <f>IF((P2087-Q2087)=1,N2087,IF((P2087-Q2087)=-1,-M2087,0))</f>
        <v/>
      </c>
      <c r="U2087" s="101">
        <f>IF(AND(H2087=1,LedAcct&lt;&gt;""),IF(AND(E2087&gt;=LedFrom,E2087&lt;=LedTo,OR(I2087=LedAcct,K2087=LedAcct,AND(LedAcct=acctTax,M2087+N2087&lt;&gt;0))),E2087*10000+B2087,""),"")</f>
        <v/>
      </c>
    </row>
    <row r="2088">
      <c r="B2088" s="101" t="n">
        <v>2082</v>
      </c>
      <c r="C2088" s="58" t="inlineStr">
        <is>
          <t>Invoice</t>
        </is>
      </c>
      <c r="D2088" s="58">
        <f>IF(H2088=1,INDEX(ar_No,82)&amp;"","")</f>
        <v/>
      </c>
      <c r="E2088" s="94">
        <f>IF(H2088=1,INDEX(ar_Date,82),"")</f>
        <v/>
      </c>
      <c r="F2088" s="58">
        <f>IF(H2088=1,INDEX(ar_Desc,82)&amp;"","")</f>
        <v/>
      </c>
      <c r="G2088" s="58">
        <f>IF(H2088=1,INDEX(ar_Party,82)&amp;"","")</f>
        <v/>
      </c>
      <c r="H2088" s="101">
        <f>IFERROR(N(INDEX(ar_Posted,82)),0)</f>
        <v/>
      </c>
      <c r="I2088" s="58">
        <f>IF(H2088=1,INDEX(ar_DrAcct,82)&amp;"","")</f>
        <v/>
      </c>
      <c r="J2088" s="95">
        <f>IF(H2088=1,INDEX(ar_DrAmt,82),0)</f>
        <v/>
      </c>
      <c r="K2088" s="58">
        <f>IF(H2088=1,INDEX(ar_CrAcct,82)&amp;"","")</f>
        <v/>
      </c>
      <c r="L2088" s="95">
        <f>IF(H2088=1,INDEX(ar_CrAmt,82),0)</f>
        <v/>
      </c>
      <c r="M2088" s="95" t="n">
        <v>0</v>
      </c>
      <c r="N2088" s="95">
        <f>IF(H2088=1,INDEX(ar_TaxAmt,82),0)</f>
        <v/>
      </c>
      <c r="O2088" s="101">
        <f>IF(H2088=1,IF(E2088&lt;FYStart,0,IF(E2088&gt;FYEnd,13,YEAR(E2088)*12+MONTH(E2088)-FYYM+1)),"")</f>
        <v/>
      </c>
      <c r="P2088" s="101">
        <f>IF(H2088=1,IF(IFERROR(INDEX(coa_CF,MATCH(I2088,coa_Name,0)),"")="Cash",1,0),0)</f>
        <v/>
      </c>
      <c r="Q2088" s="101">
        <f>IF(H2088=1,IF(IFERROR(INDEX(coa_CF,MATCH(K2088,coa_Name,0)),"")="Cash",1,0),0)</f>
        <v/>
      </c>
      <c r="R2088" s="58">
        <f>IF((P2088-Q2088)=0,"",IFERROR(INDEX(coa_CF,MATCH(IF((P2088-Q2088)=1,K2088,I2088),coa_Name,0)),"Operating"))</f>
        <v/>
      </c>
      <c r="S2088" s="95">
        <f>IF((P2088-Q2088)=1,L2088,IF((P2088-Q2088)=-1,-J2088,0))</f>
        <v/>
      </c>
      <c r="T2088" s="95">
        <f>IF((P2088-Q2088)=1,N2088,IF((P2088-Q2088)=-1,-M2088,0))</f>
        <v/>
      </c>
      <c r="U2088" s="101">
        <f>IF(AND(H2088=1,LedAcct&lt;&gt;""),IF(AND(E2088&gt;=LedFrom,E2088&lt;=LedTo,OR(I2088=LedAcct,K2088=LedAcct,AND(LedAcct=acctTax,M2088+N2088&lt;&gt;0))),E2088*10000+B2088,""),"")</f>
        <v/>
      </c>
    </row>
    <row r="2089">
      <c r="B2089" s="101" t="n">
        <v>2083</v>
      </c>
      <c r="C2089" s="58" t="inlineStr">
        <is>
          <t>Invoice</t>
        </is>
      </c>
      <c r="D2089" s="58">
        <f>IF(H2089=1,INDEX(ar_No,83)&amp;"","")</f>
        <v/>
      </c>
      <c r="E2089" s="94">
        <f>IF(H2089=1,INDEX(ar_Date,83),"")</f>
        <v/>
      </c>
      <c r="F2089" s="58">
        <f>IF(H2089=1,INDEX(ar_Desc,83)&amp;"","")</f>
        <v/>
      </c>
      <c r="G2089" s="58">
        <f>IF(H2089=1,INDEX(ar_Party,83)&amp;"","")</f>
        <v/>
      </c>
      <c r="H2089" s="101">
        <f>IFERROR(N(INDEX(ar_Posted,83)),0)</f>
        <v/>
      </c>
      <c r="I2089" s="58">
        <f>IF(H2089=1,INDEX(ar_DrAcct,83)&amp;"","")</f>
        <v/>
      </c>
      <c r="J2089" s="95">
        <f>IF(H2089=1,INDEX(ar_DrAmt,83),0)</f>
        <v/>
      </c>
      <c r="K2089" s="58">
        <f>IF(H2089=1,INDEX(ar_CrAcct,83)&amp;"","")</f>
        <v/>
      </c>
      <c r="L2089" s="95">
        <f>IF(H2089=1,INDEX(ar_CrAmt,83),0)</f>
        <v/>
      </c>
      <c r="M2089" s="95" t="n">
        <v>0</v>
      </c>
      <c r="N2089" s="95">
        <f>IF(H2089=1,INDEX(ar_TaxAmt,83),0)</f>
        <v/>
      </c>
      <c r="O2089" s="101">
        <f>IF(H2089=1,IF(E2089&lt;FYStart,0,IF(E2089&gt;FYEnd,13,YEAR(E2089)*12+MONTH(E2089)-FYYM+1)),"")</f>
        <v/>
      </c>
      <c r="P2089" s="101">
        <f>IF(H2089=1,IF(IFERROR(INDEX(coa_CF,MATCH(I2089,coa_Name,0)),"")="Cash",1,0),0)</f>
        <v/>
      </c>
      <c r="Q2089" s="101">
        <f>IF(H2089=1,IF(IFERROR(INDEX(coa_CF,MATCH(K2089,coa_Name,0)),"")="Cash",1,0),0)</f>
        <v/>
      </c>
      <c r="R2089" s="58">
        <f>IF((P2089-Q2089)=0,"",IFERROR(INDEX(coa_CF,MATCH(IF((P2089-Q2089)=1,K2089,I2089),coa_Name,0)),"Operating"))</f>
        <v/>
      </c>
      <c r="S2089" s="95">
        <f>IF((P2089-Q2089)=1,L2089,IF((P2089-Q2089)=-1,-J2089,0))</f>
        <v/>
      </c>
      <c r="T2089" s="95">
        <f>IF((P2089-Q2089)=1,N2089,IF((P2089-Q2089)=-1,-M2089,0))</f>
        <v/>
      </c>
      <c r="U2089" s="101">
        <f>IF(AND(H2089=1,LedAcct&lt;&gt;""),IF(AND(E2089&gt;=LedFrom,E2089&lt;=LedTo,OR(I2089=LedAcct,K2089=LedAcct,AND(LedAcct=acctTax,M2089+N2089&lt;&gt;0))),E2089*10000+B2089,""),"")</f>
        <v/>
      </c>
    </row>
    <row r="2090">
      <c r="B2090" s="101" t="n">
        <v>2084</v>
      </c>
      <c r="C2090" s="58" t="inlineStr">
        <is>
          <t>Invoice</t>
        </is>
      </c>
      <c r="D2090" s="58">
        <f>IF(H2090=1,INDEX(ar_No,84)&amp;"","")</f>
        <v/>
      </c>
      <c r="E2090" s="94">
        <f>IF(H2090=1,INDEX(ar_Date,84),"")</f>
        <v/>
      </c>
      <c r="F2090" s="58">
        <f>IF(H2090=1,INDEX(ar_Desc,84)&amp;"","")</f>
        <v/>
      </c>
      <c r="G2090" s="58">
        <f>IF(H2090=1,INDEX(ar_Party,84)&amp;"","")</f>
        <v/>
      </c>
      <c r="H2090" s="101">
        <f>IFERROR(N(INDEX(ar_Posted,84)),0)</f>
        <v/>
      </c>
      <c r="I2090" s="58">
        <f>IF(H2090=1,INDEX(ar_DrAcct,84)&amp;"","")</f>
        <v/>
      </c>
      <c r="J2090" s="95">
        <f>IF(H2090=1,INDEX(ar_DrAmt,84),0)</f>
        <v/>
      </c>
      <c r="K2090" s="58">
        <f>IF(H2090=1,INDEX(ar_CrAcct,84)&amp;"","")</f>
        <v/>
      </c>
      <c r="L2090" s="95">
        <f>IF(H2090=1,INDEX(ar_CrAmt,84),0)</f>
        <v/>
      </c>
      <c r="M2090" s="95" t="n">
        <v>0</v>
      </c>
      <c r="N2090" s="95">
        <f>IF(H2090=1,INDEX(ar_TaxAmt,84),0)</f>
        <v/>
      </c>
      <c r="O2090" s="101">
        <f>IF(H2090=1,IF(E2090&lt;FYStart,0,IF(E2090&gt;FYEnd,13,YEAR(E2090)*12+MONTH(E2090)-FYYM+1)),"")</f>
        <v/>
      </c>
      <c r="P2090" s="101">
        <f>IF(H2090=1,IF(IFERROR(INDEX(coa_CF,MATCH(I2090,coa_Name,0)),"")="Cash",1,0),0)</f>
        <v/>
      </c>
      <c r="Q2090" s="101">
        <f>IF(H2090=1,IF(IFERROR(INDEX(coa_CF,MATCH(K2090,coa_Name,0)),"")="Cash",1,0),0)</f>
        <v/>
      </c>
      <c r="R2090" s="58">
        <f>IF((P2090-Q2090)=0,"",IFERROR(INDEX(coa_CF,MATCH(IF((P2090-Q2090)=1,K2090,I2090),coa_Name,0)),"Operating"))</f>
        <v/>
      </c>
      <c r="S2090" s="95">
        <f>IF((P2090-Q2090)=1,L2090,IF((P2090-Q2090)=-1,-J2090,0))</f>
        <v/>
      </c>
      <c r="T2090" s="95">
        <f>IF((P2090-Q2090)=1,N2090,IF((P2090-Q2090)=-1,-M2090,0))</f>
        <v/>
      </c>
      <c r="U2090" s="101">
        <f>IF(AND(H2090=1,LedAcct&lt;&gt;""),IF(AND(E2090&gt;=LedFrom,E2090&lt;=LedTo,OR(I2090=LedAcct,K2090=LedAcct,AND(LedAcct=acctTax,M2090+N2090&lt;&gt;0))),E2090*10000+B2090,""),"")</f>
        <v/>
      </c>
    </row>
    <row r="2091">
      <c r="B2091" s="101" t="n">
        <v>2085</v>
      </c>
      <c r="C2091" s="58" t="inlineStr">
        <is>
          <t>Invoice</t>
        </is>
      </c>
      <c r="D2091" s="58">
        <f>IF(H2091=1,INDEX(ar_No,85)&amp;"","")</f>
        <v/>
      </c>
      <c r="E2091" s="94">
        <f>IF(H2091=1,INDEX(ar_Date,85),"")</f>
        <v/>
      </c>
      <c r="F2091" s="58">
        <f>IF(H2091=1,INDEX(ar_Desc,85)&amp;"","")</f>
        <v/>
      </c>
      <c r="G2091" s="58">
        <f>IF(H2091=1,INDEX(ar_Party,85)&amp;"","")</f>
        <v/>
      </c>
      <c r="H2091" s="101">
        <f>IFERROR(N(INDEX(ar_Posted,85)),0)</f>
        <v/>
      </c>
      <c r="I2091" s="58">
        <f>IF(H2091=1,INDEX(ar_DrAcct,85)&amp;"","")</f>
        <v/>
      </c>
      <c r="J2091" s="95">
        <f>IF(H2091=1,INDEX(ar_DrAmt,85),0)</f>
        <v/>
      </c>
      <c r="K2091" s="58">
        <f>IF(H2091=1,INDEX(ar_CrAcct,85)&amp;"","")</f>
        <v/>
      </c>
      <c r="L2091" s="95">
        <f>IF(H2091=1,INDEX(ar_CrAmt,85),0)</f>
        <v/>
      </c>
      <c r="M2091" s="95" t="n">
        <v>0</v>
      </c>
      <c r="N2091" s="95">
        <f>IF(H2091=1,INDEX(ar_TaxAmt,85),0)</f>
        <v/>
      </c>
      <c r="O2091" s="101">
        <f>IF(H2091=1,IF(E2091&lt;FYStart,0,IF(E2091&gt;FYEnd,13,YEAR(E2091)*12+MONTH(E2091)-FYYM+1)),"")</f>
        <v/>
      </c>
      <c r="P2091" s="101">
        <f>IF(H2091=1,IF(IFERROR(INDEX(coa_CF,MATCH(I2091,coa_Name,0)),"")="Cash",1,0),0)</f>
        <v/>
      </c>
      <c r="Q2091" s="101">
        <f>IF(H2091=1,IF(IFERROR(INDEX(coa_CF,MATCH(K2091,coa_Name,0)),"")="Cash",1,0),0)</f>
        <v/>
      </c>
      <c r="R2091" s="58">
        <f>IF((P2091-Q2091)=0,"",IFERROR(INDEX(coa_CF,MATCH(IF((P2091-Q2091)=1,K2091,I2091),coa_Name,0)),"Operating"))</f>
        <v/>
      </c>
      <c r="S2091" s="95">
        <f>IF((P2091-Q2091)=1,L2091,IF((P2091-Q2091)=-1,-J2091,0))</f>
        <v/>
      </c>
      <c r="T2091" s="95">
        <f>IF((P2091-Q2091)=1,N2091,IF((P2091-Q2091)=-1,-M2091,0))</f>
        <v/>
      </c>
      <c r="U2091" s="101">
        <f>IF(AND(H2091=1,LedAcct&lt;&gt;""),IF(AND(E2091&gt;=LedFrom,E2091&lt;=LedTo,OR(I2091=LedAcct,K2091=LedAcct,AND(LedAcct=acctTax,M2091+N2091&lt;&gt;0))),E2091*10000+B2091,""),"")</f>
        <v/>
      </c>
    </row>
    <row r="2092">
      <c r="B2092" s="101" t="n">
        <v>2086</v>
      </c>
      <c r="C2092" s="58" t="inlineStr">
        <is>
          <t>Invoice</t>
        </is>
      </c>
      <c r="D2092" s="58">
        <f>IF(H2092=1,INDEX(ar_No,86)&amp;"","")</f>
        <v/>
      </c>
      <c r="E2092" s="94">
        <f>IF(H2092=1,INDEX(ar_Date,86),"")</f>
        <v/>
      </c>
      <c r="F2092" s="58">
        <f>IF(H2092=1,INDEX(ar_Desc,86)&amp;"","")</f>
        <v/>
      </c>
      <c r="G2092" s="58">
        <f>IF(H2092=1,INDEX(ar_Party,86)&amp;"","")</f>
        <v/>
      </c>
      <c r="H2092" s="101">
        <f>IFERROR(N(INDEX(ar_Posted,86)),0)</f>
        <v/>
      </c>
      <c r="I2092" s="58">
        <f>IF(H2092=1,INDEX(ar_DrAcct,86)&amp;"","")</f>
        <v/>
      </c>
      <c r="J2092" s="95">
        <f>IF(H2092=1,INDEX(ar_DrAmt,86),0)</f>
        <v/>
      </c>
      <c r="K2092" s="58">
        <f>IF(H2092=1,INDEX(ar_CrAcct,86)&amp;"","")</f>
        <v/>
      </c>
      <c r="L2092" s="95">
        <f>IF(H2092=1,INDEX(ar_CrAmt,86),0)</f>
        <v/>
      </c>
      <c r="M2092" s="95" t="n">
        <v>0</v>
      </c>
      <c r="N2092" s="95">
        <f>IF(H2092=1,INDEX(ar_TaxAmt,86),0)</f>
        <v/>
      </c>
      <c r="O2092" s="101">
        <f>IF(H2092=1,IF(E2092&lt;FYStart,0,IF(E2092&gt;FYEnd,13,YEAR(E2092)*12+MONTH(E2092)-FYYM+1)),"")</f>
        <v/>
      </c>
      <c r="P2092" s="101">
        <f>IF(H2092=1,IF(IFERROR(INDEX(coa_CF,MATCH(I2092,coa_Name,0)),"")="Cash",1,0),0)</f>
        <v/>
      </c>
      <c r="Q2092" s="101">
        <f>IF(H2092=1,IF(IFERROR(INDEX(coa_CF,MATCH(K2092,coa_Name,0)),"")="Cash",1,0),0)</f>
        <v/>
      </c>
      <c r="R2092" s="58">
        <f>IF((P2092-Q2092)=0,"",IFERROR(INDEX(coa_CF,MATCH(IF((P2092-Q2092)=1,K2092,I2092),coa_Name,0)),"Operating"))</f>
        <v/>
      </c>
      <c r="S2092" s="95">
        <f>IF((P2092-Q2092)=1,L2092,IF((P2092-Q2092)=-1,-J2092,0))</f>
        <v/>
      </c>
      <c r="T2092" s="95">
        <f>IF((P2092-Q2092)=1,N2092,IF((P2092-Q2092)=-1,-M2092,0))</f>
        <v/>
      </c>
      <c r="U2092" s="101">
        <f>IF(AND(H2092=1,LedAcct&lt;&gt;""),IF(AND(E2092&gt;=LedFrom,E2092&lt;=LedTo,OR(I2092=LedAcct,K2092=LedAcct,AND(LedAcct=acctTax,M2092+N2092&lt;&gt;0))),E2092*10000+B2092,""),"")</f>
        <v/>
      </c>
    </row>
    <row r="2093">
      <c r="B2093" s="101" t="n">
        <v>2087</v>
      </c>
      <c r="C2093" s="58" t="inlineStr">
        <is>
          <t>Invoice</t>
        </is>
      </c>
      <c r="D2093" s="58">
        <f>IF(H2093=1,INDEX(ar_No,87)&amp;"","")</f>
        <v/>
      </c>
      <c r="E2093" s="94">
        <f>IF(H2093=1,INDEX(ar_Date,87),"")</f>
        <v/>
      </c>
      <c r="F2093" s="58">
        <f>IF(H2093=1,INDEX(ar_Desc,87)&amp;"","")</f>
        <v/>
      </c>
      <c r="G2093" s="58">
        <f>IF(H2093=1,INDEX(ar_Party,87)&amp;"","")</f>
        <v/>
      </c>
      <c r="H2093" s="101">
        <f>IFERROR(N(INDEX(ar_Posted,87)),0)</f>
        <v/>
      </c>
      <c r="I2093" s="58">
        <f>IF(H2093=1,INDEX(ar_DrAcct,87)&amp;"","")</f>
        <v/>
      </c>
      <c r="J2093" s="95">
        <f>IF(H2093=1,INDEX(ar_DrAmt,87),0)</f>
        <v/>
      </c>
      <c r="K2093" s="58">
        <f>IF(H2093=1,INDEX(ar_CrAcct,87)&amp;"","")</f>
        <v/>
      </c>
      <c r="L2093" s="95">
        <f>IF(H2093=1,INDEX(ar_CrAmt,87),0)</f>
        <v/>
      </c>
      <c r="M2093" s="95" t="n">
        <v>0</v>
      </c>
      <c r="N2093" s="95">
        <f>IF(H2093=1,INDEX(ar_TaxAmt,87),0)</f>
        <v/>
      </c>
      <c r="O2093" s="101">
        <f>IF(H2093=1,IF(E2093&lt;FYStart,0,IF(E2093&gt;FYEnd,13,YEAR(E2093)*12+MONTH(E2093)-FYYM+1)),"")</f>
        <v/>
      </c>
      <c r="P2093" s="101">
        <f>IF(H2093=1,IF(IFERROR(INDEX(coa_CF,MATCH(I2093,coa_Name,0)),"")="Cash",1,0),0)</f>
        <v/>
      </c>
      <c r="Q2093" s="101">
        <f>IF(H2093=1,IF(IFERROR(INDEX(coa_CF,MATCH(K2093,coa_Name,0)),"")="Cash",1,0),0)</f>
        <v/>
      </c>
      <c r="R2093" s="58">
        <f>IF((P2093-Q2093)=0,"",IFERROR(INDEX(coa_CF,MATCH(IF((P2093-Q2093)=1,K2093,I2093),coa_Name,0)),"Operating"))</f>
        <v/>
      </c>
      <c r="S2093" s="95">
        <f>IF((P2093-Q2093)=1,L2093,IF((P2093-Q2093)=-1,-J2093,0))</f>
        <v/>
      </c>
      <c r="T2093" s="95">
        <f>IF((P2093-Q2093)=1,N2093,IF((P2093-Q2093)=-1,-M2093,0))</f>
        <v/>
      </c>
      <c r="U2093" s="101">
        <f>IF(AND(H2093=1,LedAcct&lt;&gt;""),IF(AND(E2093&gt;=LedFrom,E2093&lt;=LedTo,OR(I2093=LedAcct,K2093=LedAcct,AND(LedAcct=acctTax,M2093+N2093&lt;&gt;0))),E2093*10000+B2093,""),"")</f>
        <v/>
      </c>
    </row>
    <row r="2094">
      <c r="B2094" s="101" t="n">
        <v>2088</v>
      </c>
      <c r="C2094" s="58" t="inlineStr">
        <is>
          <t>Invoice</t>
        </is>
      </c>
      <c r="D2094" s="58">
        <f>IF(H2094=1,INDEX(ar_No,88)&amp;"","")</f>
        <v/>
      </c>
      <c r="E2094" s="94">
        <f>IF(H2094=1,INDEX(ar_Date,88),"")</f>
        <v/>
      </c>
      <c r="F2094" s="58">
        <f>IF(H2094=1,INDEX(ar_Desc,88)&amp;"","")</f>
        <v/>
      </c>
      <c r="G2094" s="58">
        <f>IF(H2094=1,INDEX(ar_Party,88)&amp;"","")</f>
        <v/>
      </c>
      <c r="H2094" s="101">
        <f>IFERROR(N(INDEX(ar_Posted,88)),0)</f>
        <v/>
      </c>
      <c r="I2094" s="58">
        <f>IF(H2094=1,INDEX(ar_DrAcct,88)&amp;"","")</f>
        <v/>
      </c>
      <c r="J2094" s="95">
        <f>IF(H2094=1,INDEX(ar_DrAmt,88),0)</f>
        <v/>
      </c>
      <c r="K2094" s="58">
        <f>IF(H2094=1,INDEX(ar_CrAcct,88)&amp;"","")</f>
        <v/>
      </c>
      <c r="L2094" s="95">
        <f>IF(H2094=1,INDEX(ar_CrAmt,88),0)</f>
        <v/>
      </c>
      <c r="M2094" s="95" t="n">
        <v>0</v>
      </c>
      <c r="N2094" s="95">
        <f>IF(H2094=1,INDEX(ar_TaxAmt,88),0)</f>
        <v/>
      </c>
      <c r="O2094" s="101">
        <f>IF(H2094=1,IF(E2094&lt;FYStart,0,IF(E2094&gt;FYEnd,13,YEAR(E2094)*12+MONTH(E2094)-FYYM+1)),"")</f>
        <v/>
      </c>
      <c r="P2094" s="101">
        <f>IF(H2094=1,IF(IFERROR(INDEX(coa_CF,MATCH(I2094,coa_Name,0)),"")="Cash",1,0),0)</f>
        <v/>
      </c>
      <c r="Q2094" s="101">
        <f>IF(H2094=1,IF(IFERROR(INDEX(coa_CF,MATCH(K2094,coa_Name,0)),"")="Cash",1,0),0)</f>
        <v/>
      </c>
      <c r="R2094" s="58">
        <f>IF((P2094-Q2094)=0,"",IFERROR(INDEX(coa_CF,MATCH(IF((P2094-Q2094)=1,K2094,I2094),coa_Name,0)),"Operating"))</f>
        <v/>
      </c>
      <c r="S2094" s="95">
        <f>IF((P2094-Q2094)=1,L2094,IF((P2094-Q2094)=-1,-J2094,0))</f>
        <v/>
      </c>
      <c r="T2094" s="95">
        <f>IF((P2094-Q2094)=1,N2094,IF((P2094-Q2094)=-1,-M2094,0))</f>
        <v/>
      </c>
      <c r="U2094" s="101">
        <f>IF(AND(H2094=1,LedAcct&lt;&gt;""),IF(AND(E2094&gt;=LedFrom,E2094&lt;=LedTo,OR(I2094=LedAcct,K2094=LedAcct,AND(LedAcct=acctTax,M2094+N2094&lt;&gt;0))),E2094*10000+B2094,""),"")</f>
        <v/>
      </c>
    </row>
    <row r="2095">
      <c r="B2095" s="101" t="n">
        <v>2089</v>
      </c>
      <c r="C2095" s="58" t="inlineStr">
        <is>
          <t>Invoice</t>
        </is>
      </c>
      <c r="D2095" s="58">
        <f>IF(H2095=1,INDEX(ar_No,89)&amp;"","")</f>
        <v/>
      </c>
      <c r="E2095" s="94">
        <f>IF(H2095=1,INDEX(ar_Date,89),"")</f>
        <v/>
      </c>
      <c r="F2095" s="58">
        <f>IF(H2095=1,INDEX(ar_Desc,89)&amp;"","")</f>
        <v/>
      </c>
      <c r="G2095" s="58">
        <f>IF(H2095=1,INDEX(ar_Party,89)&amp;"","")</f>
        <v/>
      </c>
      <c r="H2095" s="101">
        <f>IFERROR(N(INDEX(ar_Posted,89)),0)</f>
        <v/>
      </c>
      <c r="I2095" s="58">
        <f>IF(H2095=1,INDEX(ar_DrAcct,89)&amp;"","")</f>
        <v/>
      </c>
      <c r="J2095" s="95">
        <f>IF(H2095=1,INDEX(ar_DrAmt,89),0)</f>
        <v/>
      </c>
      <c r="K2095" s="58">
        <f>IF(H2095=1,INDEX(ar_CrAcct,89)&amp;"","")</f>
        <v/>
      </c>
      <c r="L2095" s="95">
        <f>IF(H2095=1,INDEX(ar_CrAmt,89),0)</f>
        <v/>
      </c>
      <c r="M2095" s="95" t="n">
        <v>0</v>
      </c>
      <c r="N2095" s="95">
        <f>IF(H2095=1,INDEX(ar_TaxAmt,89),0)</f>
        <v/>
      </c>
      <c r="O2095" s="101">
        <f>IF(H2095=1,IF(E2095&lt;FYStart,0,IF(E2095&gt;FYEnd,13,YEAR(E2095)*12+MONTH(E2095)-FYYM+1)),"")</f>
        <v/>
      </c>
      <c r="P2095" s="101">
        <f>IF(H2095=1,IF(IFERROR(INDEX(coa_CF,MATCH(I2095,coa_Name,0)),"")="Cash",1,0),0)</f>
        <v/>
      </c>
      <c r="Q2095" s="101">
        <f>IF(H2095=1,IF(IFERROR(INDEX(coa_CF,MATCH(K2095,coa_Name,0)),"")="Cash",1,0),0)</f>
        <v/>
      </c>
      <c r="R2095" s="58">
        <f>IF((P2095-Q2095)=0,"",IFERROR(INDEX(coa_CF,MATCH(IF((P2095-Q2095)=1,K2095,I2095),coa_Name,0)),"Operating"))</f>
        <v/>
      </c>
      <c r="S2095" s="95">
        <f>IF((P2095-Q2095)=1,L2095,IF((P2095-Q2095)=-1,-J2095,0))</f>
        <v/>
      </c>
      <c r="T2095" s="95">
        <f>IF((P2095-Q2095)=1,N2095,IF((P2095-Q2095)=-1,-M2095,0))</f>
        <v/>
      </c>
      <c r="U2095" s="101">
        <f>IF(AND(H2095=1,LedAcct&lt;&gt;""),IF(AND(E2095&gt;=LedFrom,E2095&lt;=LedTo,OR(I2095=LedAcct,K2095=LedAcct,AND(LedAcct=acctTax,M2095+N2095&lt;&gt;0))),E2095*10000+B2095,""),"")</f>
        <v/>
      </c>
    </row>
    <row r="2096">
      <c r="B2096" s="101" t="n">
        <v>2090</v>
      </c>
      <c r="C2096" s="58" t="inlineStr">
        <is>
          <t>Invoice</t>
        </is>
      </c>
      <c r="D2096" s="58">
        <f>IF(H2096=1,INDEX(ar_No,90)&amp;"","")</f>
        <v/>
      </c>
      <c r="E2096" s="94">
        <f>IF(H2096=1,INDEX(ar_Date,90),"")</f>
        <v/>
      </c>
      <c r="F2096" s="58">
        <f>IF(H2096=1,INDEX(ar_Desc,90)&amp;"","")</f>
        <v/>
      </c>
      <c r="G2096" s="58">
        <f>IF(H2096=1,INDEX(ar_Party,90)&amp;"","")</f>
        <v/>
      </c>
      <c r="H2096" s="101">
        <f>IFERROR(N(INDEX(ar_Posted,90)),0)</f>
        <v/>
      </c>
      <c r="I2096" s="58">
        <f>IF(H2096=1,INDEX(ar_DrAcct,90)&amp;"","")</f>
        <v/>
      </c>
      <c r="J2096" s="95">
        <f>IF(H2096=1,INDEX(ar_DrAmt,90),0)</f>
        <v/>
      </c>
      <c r="K2096" s="58">
        <f>IF(H2096=1,INDEX(ar_CrAcct,90)&amp;"","")</f>
        <v/>
      </c>
      <c r="L2096" s="95">
        <f>IF(H2096=1,INDEX(ar_CrAmt,90),0)</f>
        <v/>
      </c>
      <c r="M2096" s="95" t="n">
        <v>0</v>
      </c>
      <c r="N2096" s="95">
        <f>IF(H2096=1,INDEX(ar_TaxAmt,90),0)</f>
        <v/>
      </c>
      <c r="O2096" s="101">
        <f>IF(H2096=1,IF(E2096&lt;FYStart,0,IF(E2096&gt;FYEnd,13,YEAR(E2096)*12+MONTH(E2096)-FYYM+1)),"")</f>
        <v/>
      </c>
      <c r="P2096" s="101">
        <f>IF(H2096=1,IF(IFERROR(INDEX(coa_CF,MATCH(I2096,coa_Name,0)),"")="Cash",1,0),0)</f>
        <v/>
      </c>
      <c r="Q2096" s="101">
        <f>IF(H2096=1,IF(IFERROR(INDEX(coa_CF,MATCH(K2096,coa_Name,0)),"")="Cash",1,0),0)</f>
        <v/>
      </c>
      <c r="R2096" s="58">
        <f>IF((P2096-Q2096)=0,"",IFERROR(INDEX(coa_CF,MATCH(IF((P2096-Q2096)=1,K2096,I2096),coa_Name,0)),"Operating"))</f>
        <v/>
      </c>
      <c r="S2096" s="95">
        <f>IF((P2096-Q2096)=1,L2096,IF((P2096-Q2096)=-1,-J2096,0))</f>
        <v/>
      </c>
      <c r="T2096" s="95">
        <f>IF((P2096-Q2096)=1,N2096,IF((P2096-Q2096)=-1,-M2096,0))</f>
        <v/>
      </c>
      <c r="U2096" s="101">
        <f>IF(AND(H2096=1,LedAcct&lt;&gt;""),IF(AND(E2096&gt;=LedFrom,E2096&lt;=LedTo,OR(I2096=LedAcct,K2096=LedAcct,AND(LedAcct=acctTax,M2096+N2096&lt;&gt;0))),E2096*10000+B2096,""),"")</f>
        <v/>
      </c>
    </row>
    <row r="2097">
      <c r="B2097" s="101" t="n">
        <v>2091</v>
      </c>
      <c r="C2097" s="58" t="inlineStr">
        <is>
          <t>Invoice</t>
        </is>
      </c>
      <c r="D2097" s="58">
        <f>IF(H2097=1,INDEX(ar_No,91)&amp;"","")</f>
        <v/>
      </c>
      <c r="E2097" s="94">
        <f>IF(H2097=1,INDEX(ar_Date,91),"")</f>
        <v/>
      </c>
      <c r="F2097" s="58">
        <f>IF(H2097=1,INDEX(ar_Desc,91)&amp;"","")</f>
        <v/>
      </c>
      <c r="G2097" s="58">
        <f>IF(H2097=1,INDEX(ar_Party,91)&amp;"","")</f>
        <v/>
      </c>
      <c r="H2097" s="101">
        <f>IFERROR(N(INDEX(ar_Posted,91)),0)</f>
        <v/>
      </c>
      <c r="I2097" s="58">
        <f>IF(H2097=1,INDEX(ar_DrAcct,91)&amp;"","")</f>
        <v/>
      </c>
      <c r="J2097" s="95">
        <f>IF(H2097=1,INDEX(ar_DrAmt,91),0)</f>
        <v/>
      </c>
      <c r="K2097" s="58">
        <f>IF(H2097=1,INDEX(ar_CrAcct,91)&amp;"","")</f>
        <v/>
      </c>
      <c r="L2097" s="95">
        <f>IF(H2097=1,INDEX(ar_CrAmt,91),0)</f>
        <v/>
      </c>
      <c r="M2097" s="95" t="n">
        <v>0</v>
      </c>
      <c r="N2097" s="95">
        <f>IF(H2097=1,INDEX(ar_TaxAmt,91),0)</f>
        <v/>
      </c>
      <c r="O2097" s="101">
        <f>IF(H2097=1,IF(E2097&lt;FYStart,0,IF(E2097&gt;FYEnd,13,YEAR(E2097)*12+MONTH(E2097)-FYYM+1)),"")</f>
        <v/>
      </c>
      <c r="P2097" s="101">
        <f>IF(H2097=1,IF(IFERROR(INDEX(coa_CF,MATCH(I2097,coa_Name,0)),"")="Cash",1,0),0)</f>
        <v/>
      </c>
      <c r="Q2097" s="101">
        <f>IF(H2097=1,IF(IFERROR(INDEX(coa_CF,MATCH(K2097,coa_Name,0)),"")="Cash",1,0),0)</f>
        <v/>
      </c>
      <c r="R2097" s="58">
        <f>IF((P2097-Q2097)=0,"",IFERROR(INDEX(coa_CF,MATCH(IF((P2097-Q2097)=1,K2097,I2097),coa_Name,0)),"Operating"))</f>
        <v/>
      </c>
      <c r="S2097" s="95">
        <f>IF((P2097-Q2097)=1,L2097,IF((P2097-Q2097)=-1,-J2097,0))</f>
        <v/>
      </c>
      <c r="T2097" s="95">
        <f>IF((P2097-Q2097)=1,N2097,IF((P2097-Q2097)=-1,-M2097,0))</f>
        <v/>
      </c>
      <c r="U2097" s="101">
        <f>IF(AND(H2097=1,LedAcct&lt;&gt;""),IF(AND(E2097&gt;=LedFrom,E2097&lt;=LedTo,OR(I2097=LedAcct,K2097=LedAcct,AND(LedAcct=acctTax,M2097+N2097&lt;&gt;0))),E2097*10000+B2097,""),"")</f>
        <v/>
      </c>
    </row>
    <row r="2098">
      <c r="B2098" s="101" t="n">
        <v>2092</v>
      </c>
      <c r="C2098" s="58" t="inlineStr">
        <is>
          <t>Invoice</t>
        </is>
      </c>
      <c r="D2098" s="58">
        <f>IF(H2098=1,INDEX(ar_No,92)&amp;"","")</f>
        <v/>
      </c>
      <c r="E2098" s="94">
        <f>IF(H2098=1,INDEX(ar_Date,92),"")</f>
        <v/>
      </c>
      <c r="F2098" s="58">
        <f>IF(H2098=1,INDEX(ar_Desc,92)&amp;"","")</f>
        <v/>
      </c>
      <c r="G2098" s="58">
        <f>IF(H2098=1,INDEX(ar_Party,92)&amp;"","")</f>
        <v/>
      </c>
      <c r="H2098" s="101">
        <f>IFERROR(N(INDEX(ar_Posted,92)),0)</f>
        <v/>
      </c>
      <c r="I2098" s="58">
        <f>IF(H2098=1,INDEX(ar_DrAcct,92)&amp;"","")</f>
        <v/>
      </c>
      <c r="J2098" s="95">
        <f>IF(H2098=1,INDEX(ar_DrAmt,92),0)</f>
        <v/>
      </c>
      <c r="K2098" s="58">
        <f>IF(H2098=1,INDEX(ar_CrAcct,92)&amp;"","")</f>
        <v/>
      </c>
      <c r="L2098" s="95">
        <f>IF(H2098=1,INDEX(ar_CrAmt,92),0)</f>
        <v/>
      </c>
      <c r="M2098" s="95" t="n">
        <v>0</v>
      </c>
      <c r="N2098" s="95">
        <f>IF(H2098=1,INDEX(ar_TaxAmt,92),0)</f>
        <v/>
      </c>
      <c r="O2098" s="101">
        <f>IF(H2098=1,IF(E2098&lt;FYStart,0,IF(E2098&gt;FYEnd,13,YEAR(E2098)*12+MONTH(E2098)-FYYM+1)),"")</f>
        <v/>
      </c>
      <c r="P2098" s="101">
        <f>IF(H2098=1,IF(IFERROR(INDEX(coa_CF,MATCH(I2098,coa_Name,0)),"")="Cash",1,0),0)</f>
        <v/>
      </c>
      <c r="Q2098" s="101">
        <f>IF(H2098=1,IF(IFERROR(INDEX(coa_CF,MATCH(K2098,coa_Name,0)),"")="Cash",1,0),0)</f>
        <v/>
      </c>
      <c r="R2098" s="58">
        <f>IF((P2098-Q2098)=0,"",IFERROR(INDEX(coa_CF,MATCH(IF((P2098-Q2098)=1,K2098,I2098),coa_Name,0)),"Operating"))</f>
        <v/>
      </c>
      <c r="S2098" s="95">
        <f>IF((P2098-Q2098)=1,L2098,IF((P2098-Q2098)=-1,-J2098,0))</f>
        <v/>
      </c>
      <c r="T2098" s="95">
        <f>IF((P2098-Q2098)=1,N2098,IF((P2098-Q2098)=-1,-M2098,0))</f>
        <v/>
      </c>
      <c r="U2098" s="101">
        <f>IF(AND(H2098=1,LedAcct&lt;&gt;""),IF(AND(E2098&gt;=LedFrom,E2098&lt;=LedTo,OR(I2098=LedAcct,K2098=LedAcct,AND(LedAcct=acctTax,M2098+N2098&lt;&gt;0))),E2098*10000+B2098,""),"")</f>
        <v/>
      </c>
    </row>
    <row r="2099">
      <c r="B2099" s="101" t="n">
        <v>2093</v>
      </c>
      <c r="C2099" s="58" t="inlineStr">
        <is>
          <t>Invoice</t>
        </is>
      </c>
      <c r="D2099" s="58">
        <f>IF(H2099=1,INDEX(ar_No,93)&amp;"","")</f>
        <v/>
      </c>
      <c r="E2099" s="94">
        <f>IF(H2099=1,INDEX(ar_Date,93),"")</f>
        <v/>
      </c>
      <c r="F2099" s="58">
        <f>IF(H2099=1,INDEX(ar_Desc,93)&amp;"","")</f>
        <v/>
      </c>
      <c r="G2099" s="58">
        <f>IF(H2099=1,INDEX(ar_Party,93)&amp;"","")</f>
        <v/>
      </c>
      <c r="H2099" s="101">
        <f>IFERROR(N(INDEX(ar_Posted,93)),0)</f>
        <v/>
      </c>
      <c r="I2099" s="58">
        <f>IF(H2099=1,INDEX(ar_DrAcct,93)&amp;"","")</f>
        <v/>
      </c>
      <c r="J2099" s="95">
        <f>IF(H2099=1,INDEX(ar_DrAmt,93),0)</f>
        <v/>
      </c>
      <c r="K2099" s="58">
        <f>IF(H2099=1,INDEX(ar_CrAcct,93)&amp;"","")</f>
        <v/>
      </c>
      <c r="L2099" s="95">
        <f>IF(H2099=1,INDEX(ar_CrAmt,93),0)</f>
        <v/>
      </c>
      <c r="M2099" s="95" t="n">
        <v>0</v>
      </c>
      <c r="N2099" s="95">
        <f>IF(H2099=1,INDEX(ar_TaxAmt,93),0)</f>
        <v/>
      </c>
      <c r="O2099" s="101">
        <f>IF(H2099=1,IF(E2099&lt;FYStart,0,IF(E2099&gt;FYEnd,13,YEAR(E2099)*12+MONTH(E2099)-FYYM+1)),"")</f>
        <v/>
      </c>
      <c r="P2099" s="101">
        <f>IF(H2099=1,IF(IFERROR(INDEX(coa_CF,MATCH(I2099,coa_Name,0)),"")="Cash",1,0),0)</f>
        <v/>
      </c>
      <c r="Q2099" s="101">
        <f>IF(H2099=1,IF(IFERROR(INDEX(coa_CF,MATCH(K2099,coa_Name,0)),"")="Cash",1,0),0)</f>
        <v/>
      </c>
      <c r="R2099" s="58">
        <f>IF((P2099-Q2099)=0,"",IFERROR(INDEX(coa_CF,MATCH(IF((P2099-Q2099)=1,K2099,I2099),coa_Name,0)),"Operating"))</f>
        <v/>
      </c>
      <c r="S2099" s="95">
        <f>IF((P2099-Q2099)=1,L2099,IF((P2099-Q2099)=-1,-J2099,0))</f>
        <v/>
      </c>
      <c r="T2099" s="95">
        <f>IF((P2099-Q2099)=1,N2099,IF((P2099-Q2099)=-1,-M2099,0))</f>
        <v/>
      </c>
      <c r="U2099" s="101">
        <f>IF(AND(H2099=1,LedAcct&lt;&gt;""),IF(AND(E2099&gt;=LedFrom,E2099&lt;=LedTo,OR(I2099=LedAcct,K2099=LedAcct,AND(LedAcct=acctTax,M2099+N2099&lt;&gt;0))),E2099*10000+B2099,""),"")</f>
        <v/>
      </c>
    </row>
    <row r="2100">
      <c r="B2100" s="101" t="n">
        <v>2094</v>
      </c>
      <c r="C2100" s="58" t="inlineStr">
        <is>
          <t>Invoice</t>
        </is>
      </c>
      <c r="D2100" s="58">
        <f>IF(H2100=1,INDEX(ar_No,94)&amp;"","")</f>
        <v/>
      </c>
      <c r="E2100" s="94">
        <f>IF(H2100=1,INDEX(ar_Date,94),"")</f>
        <v/>
      </c>
      <c r="F2100" s="58">
        <f>IF(H2100=1,INDEX(ar_Desc,94)&amp;"","")</f>
        <v/>
      </c>
      <c r="G2100" s="58">
        <f>IF(H2100=1,INDEX(ar_Party,94)&amp;"","")</f>
        <v/>
      </c>
      <c r="H2100" s="101">
        <f>IFERROR(N(INDEX(ar_Posted,94)),0)</f>
        <v/>
      </c>
      <c r="I2100" s="58">
        <f>IF(H2100=1,INDEX(ar_DrAcct,94)&amp;"","")</f>
        <v/>
      </c>
      <c r="J2100" s="95">
        <f>IF(H2100=1,INDEX(ar_DrAmt,94),0)</f>
        <v/>
      </c>
      <c r="K2100" s="58">
        <f>IF(H2100=1,INDEX(ar_CrAcct,94)&amp;"","")</f>
        <v/>
      </c>
      <c r="L2100" s="95">
        <f>IF(H2100=1,INDEX(ar_CrAmt,94),0)</f>
        <v/>
      </c>
      <c r="M2100" s="95" t="n">
        <v>0</v>
      </c>
      <c r="N2100" s="95">
        <f>IF(H2100=1,INDEX(ar_TaxAmt,94),0)</f>
        <v/>
      </c>
      <c r="O2100" s="101">
        <f>IF(H2100=1,IF(E2100&lt;FYStart,0,IF(E2100&gt;FYEnd,13,YEAR(E2100)*12+MONTH(E2100)-FYYM+1)),"")</f>
        <v/>
      </c>
      <c r="P2100" s="101">
        <f>IF(H2100=1,IF(IFERROR(INDEX(coa_CF,MATCH(I2100,coa_Name,0)),"")="Cash",1,0),0)</f>
        <v/>
      </c>
      <c r="Q2100" s="101">
        <f>IF(H2100=1,IF(IFERROR(INDEX(coa_CF,MATCH(K2100,coa_Name,0)),"")="Cash",1,0),0)</f>
        <v/>
      </c>
      <c r="R2100" s="58">
        <f>IF((P2100-Q2100)=0,"",IFERROR(INDEX(coa_CF,MATCH(IF((P2100-Q2100)=1,K2100,I2100),coa_Name,0)),"Operating"))</f>
        <v/>
      </c>
      <c r="S2100" s="95">
        <f>IF((P2100-Q2100)=1,L2100,IF((P2100-Q2100)=-1,-J2100,0))</f>
        <v/>
      </c>
      <c r="T2100" s="95">
        <f>IF((P2100-Q2100)=1,N2100,IF((P2100-Q2100)=-1,-M2100,0))</f>
        <v/>
      </c>
      <c r="U2100" s="101">
        <f>IF(AND(H2100=1,LedAcct&lt;&gt;""),IF(AND(E2100&gt;=LedFrom,E2100&lt;=LedTo,OR(I2100=LedAcct,K2100=LedAcct,AND(LedAcct=acctTax,M2100+N2100&lt;&gt;0))),E2100*10000+B2100,""),"")</f>
        <v/>
      </c>
    </row>
    <row r="2101">
      <c r="B2101" s="101" t="n">
        <v>2095</v>
      </c>
      <c r="C2101" s="58" t="inlineStr">
        <is>
          <t>Invoice</t>
        </is>
      </c>
      <c r="D2101" s="58">
        <f>IF(H2101=1,INDEX(ar_No,95)&amp;"","")</f>
        <v/>
      </c>
      <c r="E2101" s="94">
        <f>IF(H2101=1,INDEX(ar_Date,95),"")</f>
        <v/>
      </c>
      <c r="F2101" s="58">
        <f>IF(H2101=1,INDEX(ar_Desc,95)&amp;"","")</f>
        <v/>
      </c>
      <c r="G2101" s="58">
        <f>IF(H2101=1,INDEX(ar_Party,95)&amp;"","")</f>
        <v/>
      </c>
      <c r="H2101" s="101">
        <f>IFERROR(N(INDEX(ar_Posted,95)),0)</f>
        <v/>
      </c>
      <c r="I2101" s="58">
        <f>IF(H2101=1,INDEX(ar_DrAcct,95)&amp;"","")</f>
        <v/>
      </c>
      <c r="J2101" s="95">
        <f>IF(H2101=1,INDEX(ar_DrAmt,95),0)</f>
        <v/>
      </c>
      <c r="K2101" s="58">
        <f>IF(H2101=1,INDEX(ar_CrAcct,95)&amp;"","")</f>
        <v/>
      </c>
      <c r="L2101" s="95">
        <f>IF(H2101=1,INDEX(ar_CrAmt,95),0)</f>
        <v/>
      </c>
      <c r="M2101" s="95" t="n">
        <v>0</v>
      </c>
      <c r="N2101" s="95">
        <f>IF(H2101=1,INDEX(ar_TaxAmt,95),0)</f>
        <v/>
      </c>
      <c r="O2101" s="101">
        <f>IF(H2101=1,IF(E2101&lt;FYStart,0,IF(E2101&gt;FYEnd,13,YEAR(E2101)*12+MONTH(E2101)-FYYM+1)),"")</f>
        <v/>
      </c>
      <c r="P2101" s="101">
        <f>IF(H2101=1,IF(IFERROR(INDEX(coa_CF,MATCH(I2101,coa_Name,0)),"")="Cash",1,0),0)</f>
        <v/>
      </c>
      <c r="Q2101" s="101">
        <f>IF(H2101=1,IF(IFERROR(INDEX(coa_CF,MATCH(K2101,coa_Name,0)),"")="Cash",1,0),0)</f>
        <v/>
      </c>
      <c r="R2101" s="58">
        <f>IF((P2101-Q2101)=0,"",IFERROR(INDEX(coa_CF,MATCH(IF((P2101-Q2101)=1,K2101,I2101),coa_Name,0)),"Operating"))</f>
        <v/>
      </c>
      <c r="S2101" s="95">
        <f>IF((P2101-Q2101)=1,L2101,IF((P2101-Q2101)=-1,-J2101,0))</f>
        <v/>
      </c>
      <c r="T2101" s="95">
        <f>IF((P2101-Q2101)=1,N2101,IF((P2101-Q2101)=-1,-M2101,0))</f>
        <v/>
      </c>
      <c r="U2101" s="101">
        <f>IF(AND(H2101=1,LedAcct&lt;&gt;""),IF(AND(E2101&gt;=LedFrom,E2101&lt;=LedTo,OR(I2101=LedAcct,K2101=LedAcct,AND(LedAcct=acctTax,M2101+N2101&lt;&gt;0))),E2101*10000+B2101,""),"")</f>
        <v/>
      </c>
    </row>
    <row r="2102">
      <c r="B2102" s="101" t="n">
        <v>2096</v>
      </c>
      <c r="C2102" s="58" t="inlineStr">
        <is>
          <t>Invoice</t>
        </is>
      </c>
      <c r="D2102" s="58">
        <f>IF(H2102=1,INDEX(ar_No,96)&amp;"","")</f>
        <v/>
      </c>
      <c r="E2102" s="94">
        <f>IF(H2102=1,INDEX(ar_Date,96),"")</f>
        <v/>
      </c>
      <c r="F2102" s="58">
        <f>IF(H2102=1,INDEX(ar_Desc,96)&amp;"","")</f>
        <v/>
      </c>
      <c r="G2102" s="58">
        <f>IF(H2102=1,INDEX(ar_Party,96)&amp;"","")</f>
        <v/>
      </c>
      <c r="H2102" s="101">
        <f>IFERROR(N(INDEX(ar_Posted,96)),0)</f>
        <v/>
      </c>
      <c r="I2102" s="58">
        <f>IF(H2102=1,INDEX(ar_DrAcct,96)&amp;"","")</f>
        <v/>
      </c>
      <c r="J2102" s="95">
        <f>IF(H2102=1,INDEX(ar_DrAmt,96),0)</f>
        <v/>
      </c>
      <c r="K2102" s="58">
        <f>IF(H2102=1,INDEX(ar_CrAcct,96)&amp;"","")</f>
        <v/>
      </c>
      <c r="L2102" s="95">
        <f>IF(H2102=1,INDEX(ar_CrAmt,96),0)</f>
        <v/>
      </c>
      <c r="M2102" s="95" t="n">
        <v>0</v>
      </c>
      <c r="N2102" s="95">
        <f>IF(H2102=1,INDEX(ar_TaxAmt,96),0)</f>
        <v/>
      </c>
      <c r="O2102" s="101">
        <f>IF(H2102=1,IF(E2102&lt;FYStart,0,IF(E2102&gt;FYEnd,13,YEAR(E2102)*12+MONTH(E2102)-FYYM+1)),"")</f>
        <v/>
      </c>
      <c r="P2102" s="101">
        <f>IF(H2102=1,IF(IFERROR(INDEX(coa_CF,MATCH(I2102,coa_Name,0)),"")="Cash",1,0),0)</f>
        <v/>
      </c>
      <c r="Q2102" s="101">
        <f>IF(H2102=1,IF(IFERROR(INDEX(coa_CF,MATCH(K2102,coa_Name,0)),"")="Cash",1,0),0)</f>
        <v/>
      </c>
      <c r="R2102" s="58">
        <f>IF((P2102-Q2102)=0,"",IFERROR(INDEX(coa_CF,MATCH(IF((P2102-Q2102)=1,K2102,I2102),coa_Name,0)),"Operating"))</f>
        <v/>
      </c>
      <c r="S2102" s="95">
        <f>IF((P2102-Q2102)=1,L2102,IF((P2102-Q2102)=-1,-J2102,0))</f>
        <v/>
      </c>
      <c r="T2102" s="95">
        <f>IF((P2102-Q2102)=1,N2102,IF((P2102-Q2102)=-1,-M2102,0))</f>
        <v/>
      </c>
      <c r="U2102" s="101">
        <f>IF(AND(H2102=1,LedAcct&lt;&gt;""),IF(AND(E2102&gt;=LedFrom,E2102&lt;=LedTo,OR(I2102=LedAcct,K2102=LedAcct,AND(LedAcct=acctTax,M2102+N2102&lt;&gt;0))),E2102*10000+B2102,""),"")</f>
        <v/>
      </c>
    </row>
    <row r="2103">
      <c r="B2103" s="101" t="n">
        <v>2097</v>
      </c>
      <c r="C2103" s="58" t="inlineStr">
        <is>
          <t>Invoice</t>
        </is>
      </c>
      <c r="D2103" s="58">
        <f>IF(H2103=1,INDEX(ar_No,97)&amp;"","")</f>
        <v/>
      </c>
      <c r="E2103" s="94">
        <f>IF(H2103=1,INDEX(ar_Date,97),"")</f>
        <v/>
      </c>
      <c r="F2103" s="58">
        <f>IF(H2103=1,INDEX(ar_Desc,97)&amp;"","")</f>
        <v/>
      </c>
      <c r="G2103" s="58">
        <f>IF(H2103=1,INDEX(ar_Party,97)&amp;"","")</f>
        <v/>
      </c>
      <c r="H2103" s="101">
        <f>IFERROR(N(INDEX(ar_Posted,97)),0)</f>
        <v/>
      </c>
      <c r="I2103" s="58">
        <f>IF(H2103=1,INDEX(ar_DrAcct,97)&amp;"","")</f>
        <v/>
      </c>
      <c r="J2103" s="95">
        <f>IF(H2103=1,INDEX(ar_DrAmt,97),0)</f>
        <v/>
      </c>
      <c r="K2103" s="58">
        <f>IF(H2103=1,INDEX(ar_CrAcct,97)&amp;"","")</f>
        <v/>
      </c>
      <c r="L2103" s="95">
        <f>IF(H2103=1,INDEX(ar_CrAmt,97),0)</f>
        <v/>
      </c>
      <c r="M2103" s="95" t="n">
        <v>0</v>
      </c>
      <c r="N2103" s="95">
        <f>IF(H2103=1,INDEX(ar_TaxAmt,97),0)</f>
        <v/>
      </c>
      <c r="O2103" s="101">
        <f>IF(H2103=1,IF(E2103&lt;FYStart,0,IF(E2103&gt;FYEnd,13,YEAR(E2103)*12+MONTH(E2103)-FYYM+1)),"")</f>
        <v/>
      </c>
      <c r="P2103" s="101">
        <f>IF(H2103=1,IF(IFERROR(INDEX(coa_CF,MATCH(I2103,coa_Name,0)),"")="Cash",1,0),0)</f>
        <v/>
      </c>
      <c r="Q2103" s="101">
        <f>IF(H2103=1,IF(IFERROR(INDEX(coa_CF,MATCH(K2103,coa_Name,0)),"")="Cash",1,0),0)</f>
        <v/>
      </c>
      <c r="R2103" s="58">
        <f>IF((P2103-Q2103)=0,"",IFERROR(INDEX(coa_CF,MATCH(IF((P2103-Q2103)=1,K2103,I2103),coa_Name,0)),"Operating"))</f>
        <v/>
      </c>
      <c r="S2103" s="95">
        <f>IF((P2103-Q2103)=1,L2103,IF((P2103-Q2103)=-1,-J2103,0))</f>
        <v/>
      </c>
      <c r="T2103" s="95">
        <f>IF((P2103-Q2103)=1,N2103,IF((P2103-Q2103)=-1,-M2103,0))</f>
        <v/>
      </c>
      <c r="U2103" s="101">
        <f>IF(AND(H2103=1,LedAcct&lt;&gt;""),IF(AND(E2103&gt;=LedFrom,E2103&lt;=LedTo,OR(I2103=LedAcct,K2103=LedAcct,AND(LedAcct=acctTax,M2103+N2103&lt;&gt;0))),E2103*10000+B2103,""),"")</f>
        <v/>
      </c>
    </row>
    <row r="2104">
      <c r="B2104" s="101" t="n">
        <v>2098</v>
      </c>
      <c r="C2104" s="58" t="inlineStr">
        <is>
          <t>Invoice</t>
        </is>
      </c>
      <c r="D2104" s="58">
        <f>IF(H2104=1,INDEX(ar_No,98)&amp;"","")</f>
        <v/>
      </c>
      <c r="E2104" s="94">
        <f>IF(H2104=1,INDEX(ar_Date,98),"")</f>
        <v/>
      </c>
      <c r="F2104" s="58">
        <f>IF(H2104=1,INDEX(ar_Desc,98)&amp;"","")</f>
        <v/>
      </c>
      <c r="G2104" s="58">
        <f>IF(H2104=1,INDEX(ar_Party,98)&amp;"","")</f>
        <v/>
      </c>
      <c r="H2104" s="101">
        <f>IFERROR(N(INDEX(ar_Posted,98)),0)</f>
        <v/>
      </c>
      <c r="I2104" s="58">
        <f>IF(H2104=1,INDEX(ar_DrAcct,98)&amp;"","")</f>
        <v/>
      </c>
      <c r="J2104" s="95">
        <f>IF(H2104=1,INDEX(ar_DrAmt,98),0)</f>
        <v/>
      </c>
      <c r="K2104" s="58">
        <f>IF(H2104=1,INDEX(ar_CrAcct,98)&amp;"","")</f>
        <v/>
      </c>
      <c r="L2104" s="95">
        <f>IF(H2104=1,INDEX(ar_CrAmt,98),0)</f>
        <v/>
      </c>
      <c r="M2104" s="95" t="n">
        <v>0</v>
      </c>
      <c r="N2104" s="95">
        <f>IF(H2104=1,INDEX(ar_TaxAmt,98),0)</f>
        <v/>
      </c>
      <c r="O2104" s="101">
        <f>IF(H2104=1,IF(E2104&lt;FYStart,0,IF(E2104&gt;FYEnd,13,YEAR(E2104)*12+MONTH(E2104)-FYYM+1)),"")</f>
        <v/>
      </c>
      <c r="P2104" s="101">
        <f>IF(H2104=1,IF(IFERROR(INDEX(coa_CF,MATCH(I2104,coa_Name,0)),"")="Cash",1,0),0)</f>
        <v/>
      </c>
      <c r="Q2104" s="101">
        <f>IF(H2104=1,IF(IFERROR(INDEX(coa_CF,MATCH(K2104,coa_Name,0)),"")="Cash",1,0),0)</f>
        <v/>
      </c>
      <c r="R2104" s="58">
        <f>IF((P2104-Q2104)=0,"",IFERROR(INDEX(coa_CF,MATCH(IF((P2104-Q2104)=1,K2104,I2104),coa_Name,0)),"Operating"))</f>
        <v/>
      </c>
      <c r="S2104" s="95">
        <f>IF((P2104-Q2104)=1,L2104,IF((P2104-Q2104)=-1,-J2104,0))</f>
        <v/>
      </c>
      <c r="T2104" s="95">
        <f>IF((P2104-Q2104)=1,N2104,IF((P2104-Q2104)=-1,-M2104,0))</f>
        <v/>
      </c>
      <c r="U2104" s="101">
        <f>IF(AND(H2104=1,LedAcct&lt;&gt;""),IF(AND(E2104&gt;=LedFrom,E2104&lt;=LedTo,OR(I2104=LedAcct,K2104=LedAcct,AND(LedAcct=acctTax,M2104+N2104&lt;&gt;0))),E2104*10000+B2104,""),"")</f>
        <v/>
      </c>
    </row>
    <row r="2105">
      <c r="B2105" s="101" t="n">
        <v>2099</v>
      </c>
      <c r="C2105" s="58" t="inlineStr">
        <is>
          <t>Invoice</t>
        </is>
      </c>
      <c r="D2105" s="58">
        <f>IF(H2105=1,INDEX(ar_No,99)&amp;"","")</f>
        <v/>
      </c>
      <c r="E2105" s="94">
        <f>IF(H2105=1,INDEX(ar_Date,99),"")</f>
        <v/>
      </c>
      <c r="F2105" s="58">
        <f>IF(H2105=1,INDEX(ar_Desc,99)&amp;"","")</f>
        <v/>
      </c>
      <c r="G2105" s="58">
        <f>IF(H2105=1,INDEX(ar_Party,99)&amp;"","")</f>
        <v/>
      </c>
      <c r="H2105" s="101">
        <f>IFERROR(N(INDEX(ar_Posted,99)),0)</f>
        <v/>
      </c>
      <c r="I2105" s="58">
        <f>IF(H2105=1,INDEX(ar_DrAcct,99)&amp;"","")</f>
        <v/>
      </c>
      <c r="J2105" s="95">
        <f>IF(H2105=1,INDEX(ar_DrAmt,99),0)</f>
        <v/>
      </c>
      <c r="K2105" s="58">
        <f>IF(H2105=1,INDEX(ar_CrAcct,99)&amp;"","")</f>
        <v/>
      </c>
      <c r="L2105" s="95">
        <f>IF(H2105=1,INDEX(ar_CrAmt,99),0)</f>
        <v/>
      </c>
      <c r="M2105" s="95" t="n">
        <v>0</v>
      </c>
      <c r="N2105" s="95">
        <f>IF(H2105=1,INDEX(ar_TaxAmt,99),0)</f>
        <v/>
      </c>
      <c r="O2105" s="101">
        <f>IF(H2105=1,IF(E2105&lt;FYStart,0,IF(E2105&gt;FYEnd,13,YEAR(E2105)*12+MONTH(E2105)-FYYM+1)),"")</f>
        <v/>
      </c>
      <c r="P2105" s="101">
        <f>IF(H2105=1,IF(IFERROR(INDEX(coa_CF,MATCH(I2105,coa_Name,0)),"")="Cash",1,0),0)</f>
        <v/>
      </c>
      <c r="Q2105" s="101">
        <f>IF(H2105=1,IF(IFERROR(INDEX(coa_CF,MATCH(K2105,coa_Name,0)),"")="Cash",1,0),0)</f>
        <v/>
      </c>
      <c r="R2105" s="58">
        <f>IF((P2105-Q2105)=0,"",IFERROR(INDEX(coa_CF,MATCH(IF((P2105-Q2105)=1,K2105,I2105),coa_Name,0)),"Operating"))</f>
        <v/>
      </c>
      <c r="S2105" s="95">
        <f>IF((P2105-Q2105)=1,L2105,IF((P2105-Q2105)=-1,-J2105,0))</f>
        <v/>
      </c>
      <c r="T2105" s="95">
        <f>IF((P2105-Q2105)=1,N2105,IF((P2105-Q2105)=-1,-M2105,0))</f>
        <v/>
      </c>
      <c r="U2105" s="101">
        <f>IF(AND(H2105=1,LedAcct&lt;&gt;""),IF(AND(E2105&gt;=LedFrom,E2105&lt;=LedTo,OR(I2105=LedAcct,K2105=LedAcct,AND(LedAcct=acctTax,M2105+N2105&lt;&gt;0))),E2105*10000+B2105,""),"")</f>
        <v/>
      </c>
    </row>
    <row r="2106">
      <c r="B2106" s="101" t="n">
        <v>2100</v>
      </c>
      <c r="C2106" s="58" t="inlineStr">
        <is>
          <t>Invoice</t>
        </is>
      </c>
      <c r="D2106" s="58">
        <f>IF(H2106=1,INDEX(ar_No,100)&amp;"","")</f>
        <v/>
      </c>
      <c r="E2106" s="94">
        <f>IF(H2106=1,INDEX(ar_Date,100),"")</f>
        <v/>
      </c>
      <c r="F2106" s="58">
        <f>IF(H2106=1,INDEX(ar_Desc,100)&amp;"","")</f>
        <v/>
      </c>
      <c r="G2106" s="58">
        <f>IF(H2106=1,INDEX(ar_Party,100)&amp;"","")</f>
        <v/>
      </c>
      <c r="H2106" s="101">
        <f>IFERROR(N(INDEX(ar_Posted,100)),0)</f>
        <v/>
      </c>
      <c r="I2106" s="58">
        <f>IF(H2106=1,INDEX(ar_DrAcct,100)&amp;"","")</f>
        <v/>
      </c>
      <c r="J2106" s="95">
        <f>IF(H2106=1,INDEX(ar_DrAmt,100),0)</f>
        <v/>
      </c>
      <c r="K2106" s="58">
        <f>IF(H2106=1,INDEX(ar_CrAcct,100)&amp;"","")</f>
        <v/>
      </c>
      <c r="L2106" s="95">
        <f>IF(H2106=1,INDEX(ar_CrAmt,100),0)</f>
        <v/>
      </c>
      <c r="M2106" s="95" t="n">
        <v>0</v>
      </c>
      <c r="N2106" s="95">
        <f>IF(H2106=1,INDEX(ar_TaxAmt,100),0)</f>
        <v/>
      </c>
      <c r="O2106" s="101">
        <f>IF(H2106=1,IF(E2106&lt;FYStart,0,IF(E2106&gt;FYEnd,13,YEAR(E2106)*12+MONTH(E2106)-FYYM+1)),"")</f>
        <v/>
      </c>
      <c r="P2106" s="101">
        <f>IF(H2106=1,IF(IFERROR(INDEX(coa_CF,MATCH(I2106,coa_Name,0)),"")="Cash",1,0),0)</f>
        <v/>
      </c>
      <c r="Q2106" s="101">
        <f>IF(H2106=1,IF(IFERROR(INDEX(coa_CF,MATCH(K2106,coa_Name,0)),"")="Cash",1,0),0)</f>
        <v/>
      </c>
      <c r="R2106" s="58">
        <f>IF((P2106-Q2106)=0,"",IFERROR(INDEX(coa_CF,MATCH(IF((P2106-Q2106)=1,K2106,I2106),coa_Name,0)),"Operating"))</f>
        <v/>
      </c>
      <c r="S2106" s="95">
        <f>IF((P2106-Q2106)=1,L2106,IF((P2106-Q2106)=-1,-J2106,0))</f>
        <v/>
      </c>
      <c r="T2106" s="95">
        <f>IF((P2106-Q2106)=1,N2106,IF((P2106-Q2106)=-1,-M2106,0))</f>
        <v/>
      </c>
      <c r="U2106" s="101">
        <f>IF(AND(H2106=1,LedAcct&lt;&gt;""),IF(AND(E2106&gt;=LedFrom,E2106&lt;=LedTo,OR(I2106=LedAcct,K2106=LedAcct,AND(LedAcct=acctTax,M2106+N2106&lt;&gt;0))),E2106*10000+B2106,""),"")</f>
        <v/>
      </c>
    </row>
    <row r="2107">
      <c r="B2107" s="101" t="n">
        <v>2101</v>
      </c>
      <c r="C2107" s="58" t="inlineStr">
        <is>
          <t>Invoice</t>
        </is>
      </c>
      <c r="D2107" s="58">
        <f>IF(H2107=1,INDEX(ar_No,101)&amp;"","")</f>
        <v/>
      </c>
      <c r="E2107" s="94">
        <f>IF(H2107=1,INDEX(ar_Date,101),"")</f>
        <v/>
      </c>
      <c r="F2107" s="58">
        <f>IF(H2107=1,INDEX(ar_Desc,101)&amp;"","")</f>
        <v/>
      </c>
      <c r="G2107" s="58">
        <f>IF(H2107=1,INDEX(ar_Party,101)&amp;"","")</f>
        <v/>
      </c>
      <c r="H2107" s="101">
        <f>IFERROR(N(INDEX(ar_Posted,101)),0)</f>
        <v/>
      </c>
      <c r="I2107" s="58">
        <f>IF(H2107=1,INDEX(ar_DrAcct,101)&amp;"","")</f>
        <v/>
      </c>
      <c r="J2107" s="95">
        <f>IF(H2107=1,INDEX(ar_DrAmt,101),0)</f>
        <v/>
      </c>
      <c r="K2107" s="58">
        <f>IF(H2107=1,INDEX(ar_CrAcct,101)&amp;"","")</f>
        <v/>
      </c>
      <c r="L2107" s="95">
        <f>IF(H2107=1,INDEX(ar_CrAmt,101),0)</f>
        <v/>
      </c>
      <c r="M2107" s="95" t="n">
        <v>0</v>
      </c>
      <c r="N2107" s="95">
        <f>IF(H2107=1,INDEX(ar_TaxAmt,101),0)</f>
        <v/>
      </c>
      <c r="O2107" s="101">
        <f>IF(H2107=1,IF(E2107&lt;FYStart,0,IF(E2107&gt;FYEnd,13,YEAR(E2107)*12+MONTH(E2107)-FYYM+1)),"")</f>
        <v/>
      </c>
      <c r="P2107" s="101">
        <f>IF(H2107=1,IF(IFERROR(INDEX(coa_CF,MATCH(I2107,coa_Name,0)),"")="Cash",1,0),0)</f>
        <v/>
      </c>
      <c r="Q2107" s="101">
        <f>IF(H2107=1,IF(IFERROR(INDEX(coa_CF,MATCH(K2107,coa_Name,0)),"")="Cash",1,0),0)</f>
        <v/>
      </c>
      <c r="R2107" s="58">
        <f>IF((P2107-Q2107)=0,"",IFERROR(INDEX(coa_CF,MATCH(IF((P2107-Q2107)=1,K2107,I2107),coa_Name,0)),"Operating"))</f>
        <v/>
      </c>
      <c r="S2107" s="95">
        <f>IF((P2107-Q2107)=1,L2107,IF((P2107-Q2107)=-1,-J2107,0))</f>
        <v/>
      </c>
      <c r="T2107" s="95">
        <f>IF((P2107-Q2107)=1,N2107,IF((P2107-Q2107)=-1,-M2107,0))</f>
        <v/>
      </c>
      <c r="U2107" s="101">
        <f>IF(AND(H2107=1,LedAcct&lt;&gt;""),IF(AND(E2107&gt;=LedFrom,E2107&lt;=LedTo,OR(I2107=LedAcct,K2107=LedAcct,AND(LedAcct=acctTax,M2107+N2107&lt;&gt;0))),E2107*10000+B2107,""),"")</f>
        <v/>
      </c>
    </row>
    <row r="2108">
      <c r="B2108" s="101" t="n">
        <v>2102</v>
      </c>
      <c r="C2108" s="58" t="inlineStr">
        <is>
          <t>Invoice</t>
        </is>
      </c>
      <c r="D2108" s="58">
        <f>IF(H2108=1,INDEX(ar_No,102)&amp;"","")</f>
        <v/>
      </c>
      <c r="E2108" s="94">
        <f>IF(H2108=1,INDEX(ar_Date,102),"")</f>
        <v/>
      </c>
      <c r="F2108" s="58">
        <f>IF(H2108=1,INDEX(ar_Desc,102)&amp;"","")</f>
        <v/>
      </c>
      <c r="G2108" s="58">
        <f>IF(H2108=1,INDEX(ar_Party,102)&amp;"","")</f>
        <v/>
      </c>
      <c r="H2108" s="101">
        <f>IFERROR(N(INDEX(ar_Posted,102)),0)</f>
        <v/>
      </c>
      <c r="I2108" s="58">
        <f>IF(H2108=1,INDEX(ar_DrAcct,102)&amp;"","")</f>
        <v/>
      </c>
      <c r="J2108" s="95">
        <f>IF(H2108=1,INDEX(ar_DrAmt,102),0)</f>
        <v/>
      </c>
      <c r="K2108" s="58">
        <f>IF(H2108=1,INDEX(ar_CrAcct,102)&amp;"","")</f>
        <v/>
      </c>
      <c r="L2108" s="95">
        <f>IF(H2108=1,INDEX(ar_CrAmt,102),0)</f>
        <v/>
      </c>
      <c r="M2108" s="95" t="n">
        <v>0</v>
      </c>
      <c r="N2108" s="95">
        <f>IF(H2108=1,INDEX(ar_TaxAmt,102),0)</f>
        <v/>
      </c>
      <c r="O2108" s="101">
        <f>IF(H2108=1,IF(E2108&lt;FYStart,0,IF(E2108&gt;FYEnd,13,YEAR(E2108)*12+MONTH(E2108)-FYYM+1)),"")</f>
        <v/>
      </c>
      <c r="P2108" s="101">
        <f>IF(H2108=1,IF(IFERROR(INDEX(coa_CF,MATCH(I2108,coa_Name,0)),"")="Cash",1,0),0)</f>
        <v/>
      </c>
      <c r="Q2108" s="101">
        <f>IF(H2108=1,IF(IFERROR(INDEX(coa_CF,MATCH(K2108,coa_Name,0)),"")="Cash",1,0),0)</f>
        <v/>
      </c>
      <c r="R2108" s="58">
        <f>IF((P2108-Q2108)=0,"",IFERROR(INDEX(coa_CF,MATCH(IF((P2108-Q2108)=1,K2108,I2108),coa_Name,0)),"Operating"))</f>
        <v/>
      </c>
      <c r="S2108" s="95">
        <f>IF((P2108-Q2108)=1,L2108,IF((P2108-Q2108)=-1,-J2108,0))</f>
        <v/>
      </c>
      <c r="T2108" s="95">
        <f>IF((P2108-Q2108)=1,N2108,IF((P2108-Q2108)=-1,-M2108,0))</f>
        <v/>
      </c>
      <c r="U2108" s="101">
        <f>IF(AND(H2108=1,LedAcct&lt;&gt;""),IF(AND(E2108&gt;=LedFrom,E2108&lt;=LedTo,OR(I2108=LedAcct,K2108=LedAcct,AND(LedAcct=acctTax,M2108+N2108&lt;&gt;0))),E2108*10000+B2108,""),"")</f>
        <v/>
      </c>
    </row>
    <row r="2109">
      <c r="B2109" s="101" t="n">
        <v>2103</v>
      </c>
      <c r="C2109" s="58" t="inlineStr">
        <is>
          <t>Invoice</t>
        </is>
      </c>
      <c r="D2109" s="58">
        <f>IF(H2109=1,INDEX(ar_No,103)&amp;"","")</f>
        <v/>
      </c>
      <c r="E2109" s="94">
        <f>IF(H2109=1,INDEX(ar_Date,103),"")</f>
        <v/>
      </c>
      <c r="F2109" s="58">
        <f>IF(H2109=1,INDEX(ar_Desc,103)&amp;"","")</f>
        <v/>
      </c>
      <c r="G2109" s="58">
        <f>IF(H2109=1,INDEX(ar_Party,103)&amp;"","")</f>
        <v/>
      </c>
      <c r="H2109" s="101">
        <f>IFERROR(N(INDEX(ar_Posted,103)),0)</f>
        <v/>
      </c>
      <c r="I2109" s="58">
        <f>IF(H2109=1,INDEX(ar_DrAcct,103)&amp;"","")</f>
        <v/>
      </c>
      <c r="J2109" s="95">
        <f>IF(H2109=1,INDEX(ar_DrAmt,103),0)</f>
        <v/>
      </c>
      <c r="K2109" s="58">
        <f>IF(H2109=1,INDEX(ar_CrAcct,103)&amp;"","")</f>
        <v/>
      </c>
      <c r="L2109" s="95">
        <f>IF(H2109=1,INDEX(ar_CrAmt,103),0)</f>
        <v/>
      </c>
      <c r="M2109" s="95" t="n">
        <v>0</v>
      </c>
      <c r="N2109" s="95">
        <f>IF(H2109=1,INDEX(ar_TaxAmt,103),0)</f>
        <v/>
      </c>
      <c r="O2109" s="101">
        <f>IF(H2109=1,IF(E2109&lt;FYStart,0,IF(E2109&gt;FYEnd,13,YEAR(E2109)*12+MONTH(E2109)-FYYM+1)),"")</f>
        <v/>
      </c>
      <c r="P2109" s="101">
        <f>IF(H2109=1,IF(IFERROR(INDEX(coa_CF,MATCH(I2109,coa_Name,0)),"")="Cash",1,0),0)</f>
        <v/>
      </c>
      <c r="Q2109" s="101">
        <f>IF(H2109=1,IF(IFERROR(INDEX(coa_CF,MATCH(K2109,coa_Name,0)),"")="Cash",1,0),0)</f>
        <v/>
      </c>
      <c r="R2109" s="58">
        <f>IF((P2109-Q2109)=0,"",IFERROR(INDEX(coa_CF,MATCH(IF((P2109-Q2109)=1,K2109,I2109),coa_Name,0)),"Operating"))</f>
        <v/>
      </c>
      <c r="S2109" s="95">
        <f>IF((P2109-Q2109)=1,L2109,IF((P2109-Q2109)=-1,-J2109,0))</f>
        <v/>
      </c>
      <c r="T2109" s="95">
        <f>IF((P2109-Q2109)=1,N2109,IF((P2109-Q2109)=-1,-M2109,0))</f>
        <v/>
      </c>
      <c r="U2109" s="101">
        <f>IF(AND(H2109=1,LedAcct&lt;&gt;""),IF(AND(E2109&gt;=LedFrom,E2109&lt;=LedTo,OR(I2109=LedAcct,K2109=LedAcct,AND(LedAcct=acctTax,M2109+N2109&lt;&gt;0))),E2109*10000+B2109,""),"")</f>
        <v/>
      </c>
    </row>
    <row r="2110">
      <c r="B2110" s="101" t="n">
        <v>2104</v>
      </c>
      <c r="C2110" s="58" t="inlineStr">
        <is>
          <t>Invoice</t>
        </is>
      </c>
      <c r="D2110" s="58">
        <f>IF(H2110=1,INDEX(ar_No,104)&amp;"","")</f>
        <v/>
      </c>
      <c r="E2110" s="94">
        <f>IF(H2110=1,INDEX(ar_Date,104),"")</f>
        <v/>
      </c>
      <c r="F2110" s="58">
        <f>IF(H2110=1,INDEX(ar_Desc,104)&amp;"","")</f>
        <v/>
      </c>
      <c r="G2110" s="58">
        <f>IF(H2110=1,INDEX(ar_Party,104)&amp;"","")</f>
        <v/>
      </c>
      <c r="H2110" s="101">
        <f>IFERROR(N(INDEX(ar_Posted,104)),0)</f>
        <v/>
      </c>
      <c r="I2110" s="58">
        <f>IF(H2110=1,INDEX(ar_DrAcct,104)&amp;"","")</f>
        <v/>
      </c>
      <c r="J2110" s="95">
        <f>IF(H2110=1,INDEX(ar_DrAmt,104),0)</f>
        <v/>
      </c>
      <c r="K2110" s="58">
        <f>IF(H2110=1,INDEX(ar_CrAcct,104)&amp;"","")</f>
        <v/>
      </c>
      <c r="L2110" s="95">
        <f>IF(H2110=1,INDEX(ar_CrAmt,104),0)</f>
        <v/>
      </c>
      <c r="M2110" s="95" t="n">
        <v>0</v>
      </c>
      <c r="N2110" s="95">
        <f>IF(H2110=1,INDEX(ar_TaxAmt,104),0)</f>
        <v/>
      </c>
      <c r="O2110" s="101">
        <f>IF(H2110=1,IF(E2110&lt;FYStart,0,IF(E2110&gt;FYEnd,13,YEAR(E2110)*12+MONTH(E2110)-FYYM+1)),"")</f>
        <v/>
      </c>
      <c r="P2110" s="101">
        <f>IF(H2110=1,IF(IFERROR(INDEX(coa_CF,MATCH(I2110,coa_Name,0)),"")="Cash",1,0),0)</f>
        <v/>
      </c>
      <c r="Q2110" s="101">
        <f>IF(H2110=1,IF(IFERROR(INDEX(coa_CF,MATCH(K2110,coa_Name,0)),"")="Cash",1,0),0)</f>
        <v/>
      </c>
      <c r="R2110" s="58">
        <f>IF((P2110-Q2110)=0,"",IFERROR(INDEX(coa_CF,MATCH(IF((P2110-Q2110)=1,K2110,I2110),coa_Name,0)),"Operating"))</f>
        <v/>
      </c>
      <c r="S2110" s="95">
        <f>IF((P2110-Q2110)=1,L2110,IF((P2110-Q2110)=-1,-J2110,0))</f>
        <v/>
      </c>
      <c r="T2110" s="95">
        <f>IF((P2110-Q2110)=1,N2110,IF((P2110-Q2110)=-1,-M2110,0))</f>
        <v/>
      </c>
      <c r="U2110" s="101">
        <f>IF(AND(H2110=1,LedAcct&lt;&gt;""),IF(AND(E2110&gt;=LedFrom,E2110&lt;=LedTo,OR(I2110=LedAcct,K2110=LedAcct,AND(LedAcct=acctTax,M2110+N2110&lt;&gt;0))),E2110*10000+B2110,""),"")</f>
        <v/>
      </c>
    </row>
    <row r="2111">
      <c r="B2111" s="101" t="n">
        <v>2105</v>
      </c>
      <c r="C2111" s="58" t="inlineStr">
        <is>
          <t>Invoice</t>
        </is>
      </c>
      <c r="D2111" s="58">
        <f>IF(H2111=1,INDEX(ar_No,105)&amp;"","")</f>
        <v/>
      </c>
      <c r="E2111" s="94">
        <f>IF(H2111=1,INDEX(ar_Date,105),"")</f>
        <v/>
      </c>
      <c r="F2111" s="58">
        <f>IF(H2111=1,INDEX(ar_Desc,105)&amp;"","")</f>
        <v/>
      </c>
      <c r="G2111" s="58">
        <f>IF(H2111=1,INDEX(ar_Party,105)&amp;"","")</f>
        <v/>
      </c>
      <c r="H2111" s="101">
        <f>IFERROR(N(INDEX(ar_Posted,105)),0)</f>
        <v/>
      </c>
      <c r="I2111" s="58">
        <f>IF(H2111=1,INDEX(ar_DrAcct,105)&amp;"","")</f>
        <v/>
      </c>
      <c r="J2111" s="95">
        <f>IF(H2111=1,INDEX(ar_DrAmt,105),0)</f>
        <v/>
      </c>
      <c r="K2111" s="58">
        <f>IF(H2111=1,INDEX(ar_CrAcct,105)&amp;"","")</f>
        <v/>
      </c>
      <c r="L2111" s="95">
        <f>IF(H2111=1,INDEX(ar_CrAmt,105),0)</f>
        <v/>
      </c>
      <c r="M2111" s="95" t="n">
        <v>0</v>
      </c>
      <c r="N2111" s="95">
        <f>IF(H2111=1,INDEX(ar_TaxAmt,105),0)</f>
        <v/>
      </c>
      <c r="O2111" s="101">
        <f>IF(H2111=1,IF(E2111&lt;FYStart,0,IF(E2111&gt;FYEnd,13,YEAR(E2111)*12+MONTH(E2111)-FYYM+1)),"")</f>
        <v/>
      </c>
      <c r="P2111" s="101">
        <f>IF(H2111=1,IF(IFERROR(INDEX(coa_CF,MATCH(I2111,coa_Name,0)),"")="Cash",1,0),0)</f>
        <v/>
      </c>
      <c r="Q2111" s="101">
        <f>IF(H2111=1,IF(IFERROR(INDEX(coa_CF,MATCH(K2111,coa_Name,0)),"")="Cash",1,0),0)</f>
        <v/>
      </c>
      <c r="R2111" s="58">
        <f>IF((P2111-Q2111)=0,"",IFERROR(INDEX(coa_CF,MATCH(IF((P2111-Q2111)=1,K2111,I2111),coa_Name,0)),"Operating"))</f>
        <v/>
      </c>
      <c r="S2111" s="95">
        <f>IF((P2111-Q2111)=1,L2111,IF((P2111-Q2111)=-1,-J2111,0))</f>
        <v/>
      </c>
      <c r="T2111" s="95">
        <f>IF((P2111-Q2111)=1,N2111,IF((P2111-Q2111)=-1,-M2111,0))</f>
        <v/>
      </c>
      <c r="U2111" s="101">
        <f>IF(AND(H2111=1,LedAcct&lt;&gt;""),IF(AND(E2111&gt;=LedFrom,E2111&lt;=LedTo,OR(I2111=LedAcct,K2111=LedAcct,AND(LedAcct=acctTax,M2111+N2111&lt;&gt;0))),E2111*10000+B2111,""),"")</f>
        <v/>
      </c>
    </row>
    <row r="2112">
      <c r="B2112" s="101" t="n">
        <v>2106</v>
      </c>
      <c r="C2112" s="58" t="inlineStr">
        <is>
          <t>Invoice</t>
        </is>
      </c>
      <c r="D2112" s="58">
        <f>IF(H2112=1,INDEX(ar_No,106)&amp;"","")</f>
        <v/>
      </c>
      <c r="E2112" s="94">
        <f>IF(H2112=1,INDEX(ar_Date,106),"")</f>
        <v/>
      </c>
      <c r="F2112" s="58">
        <f>IF(H2112=1,INDEX(ar_Desc,106)&amp;"","")</f>
        <v/>
      </c>
      <c r="G2112" s="58">
        <f>IF(H2112=1,INDEX(ar_Party,106)&amp;"","")</f>
        <v/>
      </c>
      <c r="H2112" s="101">
        <f>IFERROR(N(INDEX(ar_Posted,106)),0)</f>
        <v/>
      </c>
      <c r="I2112" s="58">
        <f>IF(H2112=1,INDEX(ar_DrAcct,106)&amp;"","")</f>
        <v/>
      </c>
      <c r="J2112" s="95">
        <f>IF(H2112=1,INDEX(ar_DrAmt,106),0)</f>
        <v/>
      </c>
      <c r="K2112" s="58">
        <f>IF(H2112=1,INDEX(ar_CrAcct,106)&amp;"","")</f>
        <v/>
      </c>
      <c r="L2112" s="95">
        <f>IF(H2112=1,INDEX(ar_CrAmt,106),0)</f>
        <v/>
      </c>
      <c r="M2112" s="95" t="n">
        <v>0</v>
      </c>
      <c r="N2112" s="95">
        <f>IF(H2112=1,INDEX(ar_TaxAmt,106),0)</f>
        <v/>
      </c>
      <c r="O2112" s="101">
        <f>IF(H2112=1,IF(E2112&lt;FYStart,0,IF(E2112&gt;FYEnd,13,YEAR(E2112)*12+MONTH(E2112)-FYYM+1)),"")</f>
        <v/>
      </c>
      <c r="P2112" s="101">
        <f>IF(H2112=1,IF(IFERROR(INDEX(coa_CF,MATCH(I2112,coa_Name,0)),"")="Cash",1,0),0)</f>
        <v/>
      </c>
      <c r="Q2112" s="101">
        <f>IF(H2112=1,IF(IFERROR(INDEX(coa_CF,MATCH(K2112,coa_Name,0)),"")="Cash",1,0),0)</f>
        <v/>
      </c>
      <c r="R2112" s="58">
        <f>IF((P2112-Q2112)=0,"",IFERROR(INDEX(coa_CF,MATCH(IF((P2112-Q2112)=1,K2112,I2112),coa_Name,0)),"Operating"))</f>
        <v/>
      </c>
      <c r="S2112" s="95">
        <f>IF((P2112-Q2112)=1,L2112,IF((P2112-Q2112)=-1,-J2112,0))</f>
        <v/>
      </c>
      <c r="T2112" s="95">
        <f>IF((P2112-Q2112)=1,N2112,IF((P2112-Q2112)=-1,-M2112,0))</f>
        <v/>
      </c>
      <c r="U2112" s="101">
        <f>IF(AND(H2112=1,LedAcct&lt;&gt;""),IF(AND(E2112&gt;=LedFrom,E2112&lt;=LedTo,OR(I2112=LedAcct,K2112=LedAcct,AND(LedAcct=acctTax,M2112+N2112&lt;&gt;0))),E2112*10000+B2112,""),"")</f>
        <v/>
      </c>
    </row>
    <row r="2113">
      <c r="B2113" s="101" t="n">
        <v>2107</v>
      </c>
      <c r="C2113" s="58" t="inlineStr">
        <is>
          <t>Invoice</t>
        </is>
      </c>
      <c r="D2113" s="58">
        <f>IF(H2113=1,INDEX(ar_No,107)&amp;"","")</f>
        <v/>
      </c>
      <c r="E2113" s="94">
        <f>IF(H2113=1,INDEX(ar_Date,107),"")</f>
        <v/>
      </c>
      <c r="F2113" s="58">
        <f>IF(H2113=1,INDEX(ar_Desc,107)&amp;"","")</f>
        <v/>
      </c>
      <c r="G2113" s="58">
        <f>IF(H2113=1,INDEX(ar_Party,107)&amp;"","")</f>
        <v/>
      </c>
      <c r="H2113" s="101">
        <f>IFERROR(N(INDEX(ar_Posted,107)),0)</f>
        <v/>
      </c>
      <c r="I2113" s="58">
        <f>IF(H2113=1,INDEX(ar_DrAcct,107)&amp;"","")</f>
        <v/>
      </c>
      <c r="J2113" s="95">
        <f>IF(H2113=1,INDEX(ar_DrAmt,107),0)</f>
        <v/>
      </c>
      <c r="K2113" s="58">
        <f>IF(H2113=1,INDEX(ar_CrAcct,107)&amp;"","")</f>
        <v/>
      </c>
      <c r="L2113" s="95">
        <f>IF(H2113=1,INDEX(ar_CrAmt,107),0)</f>
        <v/>
      </c>
      <c r="M2113" s="95" t="n">
        <v>0</v>
      </c>
      <c r="N2113" s="95">
        <f>IF(H2113=1,INDEX(ar_TaxAmt,107),0)</f>
        <v/>
      </c>
      <c r="O2113" s="101">
        <f>IF(H2113=1,IF(E2113&lt;FYStart,0,IF(E2113&gt;FYEnd,13,YEAR(E2113)*12+MONTH(E2113)-FYYM+1)),"")</f>
        <v/>
      </c>
      <c r="P2113" s="101">
        <f>IF(H2113=1,IF(IFERROR(INDEX(coa_CF,MATCH(I2113,coa_Name,0)),"")="Cash",1,0),0)</f>
        <v/>
      </c>
      <c r="Q2113" s="101">
        <f>IF(H2113=1,IF(IFERROR(INDEX(coa_CF,MATCH(K2113,coa_Name,0)),"")="Cash",1,0),0)</f>
        <v/>
      </c>
      <c r="R2113" s="58">
        <f>IF((P2113-Q2113)=0,"",IFERROR(INDEX(coa_CF,MATCH(IF((P2113-Q2113)=1,K2113,I2113),coa_Name,0)),"Operating"))</f>
        <v/>
      </c>
      <c r="S2113" s="95">
        <f>IF((P2113-Q2113)=1,L2113,IF((P2113-Q2113)=-1,-J2113,0))</f>
        <v/>
      </c>
      <c r="T2113" s="95">
        <f>IF((P2113-Q2113)=1,N2113,IF((P2113-Q2113)=-1,-M2113,0))</f>
        <v/>
      </c>
      <c r="U2113" s="101">
        <f>IF(AND(H2113=1,LedAcct&lt;&gt;""),IF(AND(E2113&gt;=LedFrom,E2113&lt;=LedTo,OR(I2113=LedAcct,K2113=LedAcct,AND(LedAcct=acctTax,M2113+N2113&lt;&gt;0))),E2113*10000+B2113,""),"")</f>
        <v/>
      </c>
    </row>
    <row r="2114">
      <c r="B2114" s="101" t="n">
        <v>2108</v>
      </c>
      <c r="C2114" s="58" t="inlineStr">
        <is>
          <t>Invoice</t>
        </is>
      </c>
      <c r="D2114" s="58">
        <f>IF(H2114=1,INDEX(ar_No,108)&amp;"","")</f>
        <v/>
      </c>
      <c r="E2114" s="94">
        <f>IF(H2114=1,INDEX(ar_Date,108),"")</f>
        <v/>
      </c>
      <c r="F2114" s="58">
        <f>IF(H2114=1,INDEX(ar_Desc,108)&amp;"","")</f>
        <v/>
      </c>
      <c r="G2114" s="58">
        <f>IF(H2114=1,INDEX(ar_Party,108)&amp;"","")</f>
        <v/>
      </c>
      <c r="H2114" s="101">
        <f>IFERROR(N(INDEX(ar_Posted,108)),0)</f>
        <v/>
      </c>
      <c r="I2114" s="58">
        <f>IF(H2114=1,INDEX(ar_DrAcct,108)&amp;"","")</f>
        <v/>
      </c>
      <c r="J2114" s="95">
        <f>IF(H2114=1,INDEX(ar_DrAmt,108),0)</f>
        <v/>
      </c>
      <c r="K2114" s="58">
        <f>IF(H2114=1,INDEX(ar_CrAcct,108)&amp;"","")</f>
        <v/>
      </c>
      <c r="L2114" s="95">
        <f>IF(H2114=1,INDEX(ar_CrAmt,108),0)</f>
        <v/>
      </c>
      <c r="M2114" s="95" t="n">
        <v>0</v>
      </c>
      <c r="N2114" s="95">
        <f>IF(H2114=1,INDEX(ar_TaxAmt,108),0)</f>
        <v/>
      </c>
      <c r="O2114" s="101">
        <f>IF(H2114=1,IF(E2114&lt;FYStart,0,IF(E2114&gt;FYEnd,13,YEAR(E2114)*12+MONTH(E2114)-FYYM+1)),"")</f>
        <v/>
      </c>
      <c r="P2114" s="101">
        <f>IF(H2114=1,IF(IFERROR(INDEX(coa_CF,MATCH(I2114,coa_Name,0)),"")="Cash",1,0),0)</f>
        <v/>
      </c>
      <c r="Q2114" s="101">
        <f>IF(H2114=1,IF(IFERROR(INDEX(coa_CF,MATCH(K2114,coa_Name,0)),"")="Cash",1,0),0)</f>
        <v/>
      </c>
      <c r="R2114" s="58">
        <f>IF((P2114-Q2114)=0,"",IFERROR(INDEX(coa_CF,MATCH(IF((P2114-Q2114)=1,K2114,I2114),coa_Name,0)),"Operating"))</f>
        <v/>
      </c>
      <c r="S2114" s="95">
        <f>IF((P2114-Q2114)=1,L2114,IF((P2114-Q2114)=-1,-J2114,0))</f>
        <v/>
      </c>
      <c r="T2114" s="95">
        <f>IF((P2114-Q2114)=1,N2114,IF((P2114-Q2114)=-1,-M2114,0))</f>
        <v/>
      </c>
      <c r="U2114" s="101">
        <f>IF(AND(H2114=1,LedAcct&lt;&gt;""),IF(AND(E2114&gt;=LedFrom,E2114&lt;=LedTo,OR(I2114=LedAcct,K2114=LedAcct,AND(LedAcct=acctTax,M2114+N2114&lt;&gt;0))),E2114*10000+B2114,""),"")</f>
        <v/>
      </c>
    </row>
    <row r="2115">
      <c r="B2115" s="101" t="n">
        <v>2109</v>
      </c>
      <c r="C2115" s="58" t="inlineStr">
        <is>
          <t>Invoice</t>
        </is>
      </c>
      <c r="D2115" s="58">
        <f>IF(H2115=1,INDEX(ar_No,109)&amp;"","")</f>
        <v/>
      </c>
      <c r="E2115" s="94">
        <f>IF(H2115=1,INDEX(ar_Date,109),"")</f>
        <v/>
      </c>
      <c r="F2115" s="58">
        <f>IF(H2115=1,INDEX(ar_Desc,109)&amp;"","")</f>
        <v/>
      </c>
      <c r="G2115" s="58">
        <f>IF(H2115=1,INDEX(ar_Party,109)&amp;"","")</f>
        <v/>
      </c>
      <c r="H2115" s="101">
        <f>IFERROR(N(INDEX(ar_Posted,109)),0)</f>
        <v/>
      </c>
      <c r="I2115" s="58">
        <f>IF(H2115=1,INDEX(ar_DrAcct,109)&amp;"","")</f>
        <v/>
      </c>
      <c r="J2115" s="95">
        <f>IF(H2115=1,INDEX(ar_DrAmt,109),0)</f>
        <v/>
      </c>
      <c r="K2115" s="58">
        <f>IF(H2115=1,INDEX(ar_CrAcct,109)&amp;"","")</f>
        <v/>
      </c>
      <c r="L2115" s="95">
        <f>IF(H2115=1,INDEX(ar_CrAmt,109),0)</f>
        <v/>
      </c>
      <c r="M2115" s="95" t="n">
        <v>0</v>
      </c>
      <c r="N2115" s="95">
        <f>IF(H2115=1,INDEX(ar_TaxAmt,109),0)</f>
        <v/>
      </c>
      <c r="O2115" s="101">
        <f>IF(H2115=1,IF(E2115&lt;FYStart,0,IF(E2115&gt;FYEnd,13,YEAR(E2115)*12+MONTH(E2115)-FYYM+1)),"")</f>
        <v/>
      </c>
      <c r="P2115" s="101">
        <f>IF(H2115=1,IF(IFERROR(INDEX(coa_CF,MATCH(I2115,coa_Name,0)),"")="Cash",1,0),0)</f>
        <v/>
      </c>
      <c r="Q2115" s="101">
        <f>IF(H2115=1,IF(IFERROR(INDEX(coa_CF,MATCH(K2115,coa_Name,0)),"")="Cash",1,0),0)</f>
        <v/>
      </c>
      <c r="R2115" s="58">
        <f>IF((P2115-Q2115)=0,"",IFERROR(INDEX(coa_CF,MATCH(IF((P2115-Q2115)=1,K2115,I2115),coa_Name,0)),"Operating"))</f>
        <v/>
      </c>
      <c r="S2115" s="95">
        <f>IF((P2115-Q2115)=1,L2115,IF((P2115-Q2115)=-1,-J2115,0))</f>
        <v/>
      </c>
      <c r="T2115" s="95">
        <f>IF((P2115-Q2115)=1,N2115,IF((P2115-Q2115)=-1,-M2115,0))</f>
        <v/>
      </c>
      <c r="U2115" s="101">
        <f>IF(AND(H2115=1,LedAcct&lt;&gt;""),IF(AND(E2115&gt;=LedFrom,E2115&lt;=LedTo,OR(I2115=LedAcct,K2115=LedAcct,AND(LedAcct=acctTax,M2115+N2115&lt;&gt;0))),E2115*10000+B2115,""),"")</f>
        <v/>
      </c>
    </row>
    <row r="2116">
      <c r="B2116" s="101" t="n">
        <v>2110</v>
      </c>
      <c r="C2116" s="58" t="inlineStr">
        <is>
          <t>Invoice</t>
        </is>
      </c>
      <c r="D2116" s="58">
        <f>IF(H2116=1,INDEX(ar_No,110)&amp;"","")</f>
        <v/>
      </c>
      <c r="E2116" s="94">
        <f>IF(H2116=1,INDEX(ar_Date,110),"")</f>
        <v/>
      </c>
      <c r="F2116" s="58">
        <f>IF(H2116=1,INDEX(ar_Desc,110)&amp;"","")</f>
        <v/>
      </c>
      <c r="G2116" s="58">
        <f>IF(H2116=1,INDEX(ar_Party,110)&amp;"","")</f>
        <v/>
      </c>
      <c r="H2116" s="101">
        <f>IFERROR(N(INDEX(ar_Posted,110)),0)</f>
        <v/>
      </c>
      <c r="I2116" s="58">
        <f>IF(H2116=1,INDEX(ar_DrAcct,110)&amp;"","")</f>
        <v/>
      </c>
      <c r="J2116" s="95">
        <f>IF(H2116=1,INDEX(ar_DrAmt,110),0)</f>
        <v/>
      </c>
      <c r="K2116" s="58">
        <f>IF(H2116=1,INDEX(ar_CrAcct,110)&amp;"","")</f>
        <v/>
      </c>
      <c r="L2116" s="95">
        <f>IF(H2116=1,INDEX(ar_CrAmt,110),0)</f>
        <v/>
      </c>
      <c r="M2116" s="95" t="n">
        <v>0</v>
      </c>
      <c r="N2116" s="95">
        <f>IF(H2116=1,INDEX(ar_TaxAmt,110),0)</f>
        <v/>
      </c>
      <c r="O2116" s="101">
        <f>IF(H2116=1,IF(E2116&lt;FYStart,0,IF(E2116&gt;FYEnd,13,YEAR(E2116)*12+MONTH(E2116)-FYYM+1)),"")</f>
        <v/>
      </c>
      <c r="P2116" s="101">
        <f>IF(H2116=1,IF(IFERROR(INDEX(coa_CF,MATCH(I2116,coa_Name,0)),"")="Cash",1,0),0)</f>
        <v/>
      </c>
      <c r="Q2116" s="101">
        <f>IF(H2116=1,IF(IFERROR(INDEX(coa_CF,MATCH(K2116,coa_Name,0)),"")="Cash",1,0),0)</f>
        <v/>
      </c>
      <c r="R2116" s="58">
        <f>IF((P2116-Q2116)=0,"",IFERROR(INDEX(coa_CF,MATCH(IF((P2116-Q2116)=1,K2116,I2116),coa_Name,0)),"Operating"))</f>
        <v/>
      </c>
      <c r="S2116" s="95">
        <f>IF((P2116-Q2116)=1,L2116,IF((P2116-Q2116)=-1,-J2116,0))</f>
        <v/>
      </c>
      <c r="T2116" s="95">
        <f>IF((P2116-Q2116)=1,N2116,IF((P2116-Q2116)=-1,-M2116,0))</f>
        <v/>
      </c>
      <c r="U2116" s="101">
        <f>IF(AND(H2116=1,LedAcct&lt;&gt;""),IF(AND(E2116&gt;=LedFrom,E2116&lt;=LedTo,OR(I2116=LedAcct,K2116=LedAcct,AND(LedAcct=acctTax,M2116+N2116&lt;&gt;0))),E2116*10000+B2116,""),"")</f>
        <v/>
      </c>
    </row>
    <row r="2117">
      <c r="B2117" s="101" t="n">
        <v>2111</v>
      </c>
      <c r="C2117" s="58" t="inlineStr">
        <is>
          <t>Invoice</t>
        </is>
      </c>
      <c r="D2117" s="58">
        <f>IF(H2117=1,INDEX(ar_No,111)&amp;"","")</f>
        <v/>
      </c>
      <c r="E2117" s="94">
        <f>IF(H2117=1,INDEX(ar_Date,111),"")</f>
        <v/>
      </c>
      <c r="F2117" s="58">
        <f>IF(H2117=1,INDEX(ar_Desc,111)&amp;"","")</f>
        <v/>
      </c>
      <c r="G2117" s="58">
        <f>IF(H2117=1,INDEX(ar_Party,111)&amp;"","")</f>
        <v/>
      </c>
      <c r="H2117" s="101">
        <f>IFERROR(N(INDEX(ar_Posted,111)),0)</f>
        <v/>
      </c>
      <c r="I2117" s="58">
        <f>IF(H2117=1,INDEX(ar_DrAcct,111)&amp;"","")</f>
        <v/>
      </c>
      <c r="J2117" s="95">
        <f>IF(H2117=1,INDEX(ar_DrAmt,111),0)</f>
        <v/>
      </c>
      <c r="K2117" s="58">
        <f>IF(H2117=1,INDEX(ar_CrAcct,111)&amp;"","")</f>
        <v/>
      </c>
      <c r="L2117" s="95">
        <f>IF(H2117=1,INDEX(ar_CrAmt,111),0)</f>
        <v/>
      </c>
      <c r="M2117" s="95" t="n">
        <v>0</v>
      </c>
      <c r="N2117" s="95">
        <f>IF(H2117=1,INDEX(ar_TaxAmt,111),0)</f>
        <v/>
      </c>
      <c r="O2117" s="101">
        <f>IF(H2117=1,IF(E2117&lt;FYStart,0,IF(E2117&gt;FYEnd,13,YEAR(E2117)*12+MONTH(E2117)-FYYM+1)),"")</f>
        <v/>
      </c>
      <c r="P2117" s="101">
        <f>IF(H2117=1,IF(IFERROR(INDEX(coa_CF,MATCH(I2117,coa_Name,0)),"")="Cash",1,0),0)</f>
        <v/>
      </c>
      <c r="Q2117" s="101">
        <f>IF(H2117=1,IF(IFERROR(INDEX(coa_CF,MATCH(K2117,coa_Name,0)),"")="Cash",1,0),0)</f>
        <v/>
      </c>
      <c r="R2117" s="58">
        <f>IF((P2117-Q2117)=0,"",IFERROR(INDEX(coa_CF,MATCH(IF((P2117-Q2117)=1,K2117,I2117),coa_Name,0)),"Operating"))</f>
        <v/>
      </c>
      <c r="S2117" s="95">
        <f>IF((P2117-Q2117)=1,L2117,IF((P2117-Q2117)=-1,-J2117,0))</f>
        <v/>
      </c>
      <c r="T2117" s="95">
        <f>IF((P2117-Q2117)=1,N2117,IF((P2117-Q2117)=-1,-M2117,0))</f>
        <v/>
      </c>
      <c r="U2117" s="101">
        <f>IF(AND(H2117=1,LedAcct&lt;&gt;""),IF(AND(E2117&gt;=LedFrom,E2117&lt;=LedTo,OR(I2117=LedAcct,K2117=LedAcct,AND(LedAcct=acctTax,M2117+N2117&lt;&gt;0))),E2117*10000+B2117,""),"")</f>
        <v/>
      </c>
    </row>
    <row r="2118">
      <c r="B2118" s="101" t="n">
        <v>2112</v>
      </c>
      <c r="C2118" s="58" t="inlineStr">
        <is>
          <t>Invoice</t>
        </is>
      </c>
      <c r="D2118" s="58">
        <f>IF(H2118=1,INDEX(ar_No,112)&amp;"","")</f>
        <v/>
      </c>
      <c r="E2118" s="94">
        <f>IF(H2118=1,INDEX(ar_Date,112),"")</f>
        <v/>
      </c>
      <c r="F2118" s="58">
        <f>IF(H2118=1,INDEX(ar_Desc,112)&amp;"","")</f>
        <v/>
      </c>
      <c r="G2118" s="58">
        <f>IF(H2118=1,INDEX(ar_Party,112)&amp;"","")</f>
        <v/>
      </c>
      <c r="H2118" s="101">
        <f>IFERROR(N(INDEX(ar_Posted,112)),0)</f>
        <v/>
      </c>
      <c r="I2118" s="58">
        <f>IF(H2118=1,INDEX(ar_DrAcct,112)&amp;"","")</f>
        <v/>
      </c>
      <c r="J2118" s="95">
        <f>IF(H2118=1,INDEX(ar_DrAmt,112),0)</f>
        <v/>
      </c>
      <c r="K2118" s="58">
        <f>IF(H2118=1,INDEX(ar_CrAcct,112)&amp;"","")</f>
        <v/>
      </c>
      <c r="L2118" s="95">
        <f>IF(H2118=1,INDEX(ar_CrAmt,112),0)</f>
        <v/>
      </c>
      <c r="M2118" s="95" t="n">
        <v>0</v>
      </c>
      <c r="N2118" s="95">
        <f>IF(H2118=1,INDEX(ar_TaxAmt,112),0)</f>
        <v/>
      </c>
      <c r="O2118" s="101">
        <f>IF(H2118=1,IF(E2118&lt;FYStart,0,IF(E2118&gt;FYEnd,13,YEAR(E2118)*12+MONTH(E2118)-FYYM+1)),"")</f>
        <v/>
      </c>
      <c r="P2118" s="101">
        <f>IF(H2118=1,IF(IFERROR(INDEX(coa_CF,MATCH(I2118,coa_Name,0)),"")="Cash",1,0),0)</f>
        <v/>
      </c>
      <c r="Q2118" s="101">
        <f>IF(H2118=1,IF(IFERROR(INDEX(coa_CF,MATCH(K2118,coa_Name,0)),"")="Cash",1,0),0)</f>
        <v/>
      </c>
      <c r="R2118" s="58">
        <f>IF((P2118-Q2118)=0,"",IFERROR(INDEX(coa_CF,MATCH(IF((P2118-Q2118)=1,K2118,I2118),coa_Name,0)),"Operating"))</f>
        <v/>
      </c>
      <c r="S2118" s="95">
        <f>IF((P2118-Q2118)=1,L2118,IF((P2118-Q2118)=-1,-J2118,0))</f>
        <v/>
      </c>
      <c r="T2118" s="95">
        <f>IF((P2118-Q2118)=1,N2118,IF((P2118-Q2118)=-1,-M2118,0))</f>
        <v/>
      </c>
      <c r="U2118" s="101">
        <f>IF(AND(H2118=1,LedAcct&lt;&gt;""),IF(AND(E2118&gt;=LedFrom,E2118&lt;=LedTo,OR(I2118=LedAcct,K2118=LedAcct,AND(LedAcct=acctTax,M2118+N2118&lt;&gt;0))),E2118*10000+B2118,""),"")</f>
        <v/>
      </c>
    </row>
    <row r="2119">
      <c r="B2119" s="101" t="n">
        <v>2113</v>
      </c>
      <c r="C2119" s="58" t="inlineStr">
        <is>
          <t>Invoice</t>
        </is>
      </c>
      <c r="D2119" s="58">
        <f>IF(H2119=1,INDEX(ar_No,113)&amp;"","")</f>
        <v/>
      </c>
      <c r="E2119" s="94">
        <f>IF(H2119=1,INDEX(ar_Date,113),"")</f>
        <v/>
      </c>
      <c r="F2119" s="58">
        <f>IF(H2119=1,INDEX(ar_Desc,113)&amp;"","")</f>
        <v/>
      </c>
      <c r="G2119" s="58">
        <f>IF(H2119=1,INDEX(ar_Party,113)&amp;"","")</f>
        <v/>
      </c>
      <c r="H2119" s="101">
        <f>IFERROR(N(INDEX(ar_Posted,113)),0)</f>
        <v/>
      </c>
      <c r="I2119" s="58">
        <f>IF(H2119=1,INDEX(ar_DrAcct,113)&amp;"","")</f>
        <v/>
      </c>
      <c r="J2119" s="95">
        <f>IF(H2119=1,INDEX(ar_DrAmt,113),0)</f>
        <v/>
      </c>
      <c r="K2119" s="58">
        <f>IF(H2119=1,INDEX(ar_CrAcct,113)&amp;"","")</f>
        <v/>
      </c>
      <c r="L2119" s="95">
        <f>IF(H2119=1,INDEX(ar_CrAmt,113),0)</f>
        <v/>
      </c>
      <c r="M2119" s="95" t="n">
        <v>0</v>
      </c>
      <c r="N2119" s="95">
        <f>IF(H2119=1,INDEX(ar_TaxAmt,113),0)</f>
        <v/>
      </c>
      <c r="O2119" s="101">
        <f>IF(H2119=1,IF(E2119&lt;FYStart,0,IF(E2119&gt;FYEnd,13,YEAR(E2119)*12+MONTH(E2119)-FYYM+1)),"")</f>
        <v/>
      </c>
      <c r="P2119" s="101">
        <f>IF(H2119=1,IF(IFERROR(INDEX(coa_CF,MATCH(I2119,coa_Name,0)),"")="Cash",1,0),0)</f>
        <v/>
      </c>
      <c r="Q2119" s="101">
        <f>IF(H2119=1,IF(IFERROR(INDEX(coa_CF,MATCH(K2119,coa_Name,0)),"")="Cash",1,0),0)</f>
        <v/>
      </c>
      <c r="R2119" s="58">
        <f>IF((P2119-Q2119)=0,"",IFERROR(INDEX(coa_CF,MATCH(IF((P2119-Q2119)=1,K2119,I2119),coa_Name,0)),"Operating"))</f>
        <v/>
      </c>
      <c r="S2119" s="95">
        <f>IF((P2119-Q2119)=1,L2119,IF((P2119-Q2119)=-1,-J2119,0))</f>
        <v/>
      </c>
      <c r="T2119" s="95">
        <f>IF((P2119-Q2119)=1,N2119,IF((P2119-Q2119)=-1,-M2119,0))</f>
        <v/>
      </c>
      <c r="U2119" s="101">
        <f>IF(AND(H2119=1,LedAcct&lt;&gt;""),IF(AND(E2119&gt;=LedFrom,E2119&lt;=LedTo,OR(I2119=LedAcct,K2119=LedAcct,AND(LedAcct=acctTax,M2119+N2119&lt;&gt;0))),E2119*10000+B2119,""),"")</f>
        <v/>
      </c>
    </row>
    <row r="2120">
      <c r="B2120" s="101" t="n">
        <v>2114</v>
      </c>
      <c r="C2120" s="58" t="inlineStr">
        <is>
          <t>Invoice</t>
        </is>
      </c>
      <c r="D2120" s="58">
        <f>IF(H2120=1,INDEX(ar_No,114)&amp;"","")</f>
        <v/>
      </c>
      <c r="E2120" s="94">
        <f>IF(H2120=1,INDEX(ar_Date,114),"")</f>
        <v/>
      </c>
      <c r="F2120" s="58">
        <f>IF(H2120=1,INDEX(ar_Desc,114)&amp;"","")</f>
        <v/>
      </c>
      <c r="G2120" s="58">
        <f>IF(H2120=1,INDEX(ar_Party,114)&amp;"","")</f>
        <v/>
      </c>
      <c r="H2120" s="101">
        <f>IFERROR(N(INDEX(ar_Posted,114)),0)</f>
        <v/>
      </c>
      <c r="I2120" s="58">
        <f>IF(H2120=1,INDEX(ar_DrAcct,114)&amp;"","")</f>
        <v/>
      </c>
      <c r="J2120" s="95">
        <f>IF(H2120=1,INDEX(ar_DrAmt,114),0)</f>
        <v/>
      </c>
      <c r="K2120" s="58">
        <f>IF(H2120=1,INDEX(ar_CrAcct,114)&amp;"","")</f>
        <v/>
      </c>
      <c r="L2120" s="95">
        <f>IF(H2120=1,INDEX(ar_CrAmt,114),0)</f>
        <v/>
      </c>
      <c r="M2120" s="95" t="n">
        <v>0</v>
      </c>
      <c r="N2120" s="95">
        <f>IF(H2120=1,INDEX(ar_TaxAmt,114),0)</f>
        <v/>
      </c>
      <c r="O2120" s="101">
        <f>IF(H2120=1,IF(E2120&lt;FYStart,0,IF(E2120&gt;FYEnd,13,YEAR(E2120)*12+MONTH(E2120)-FYYM+1)),"")</f>
        <v/>
      </c>
      <c r="P2120" s="101">
        <f>IF(H2120=1,IF(IFERROR(INDEX(coa_CF,MATCH(I2120,coa_Name,0)),"")="Cash",1,0),0)</f>
        <v/>
      </c>
      <c r="Q2120" s="101">
        <f>IF(H2120=1,IF(IFERROR(INDEX(coa_CF,MATCH(K2120,coa_Name,0)),"")="Cash",1,0),0)</f>
        <v/>
      </c>
      <c r="R2120" s="58">
        <f>IF((P2120-Q2120)=0,"",IFERROR(INDEX(coa_CF,MATCH(IF((P2120-Q2120)=1,K2120,I2120),coa_Name,0)),"Operating"))</f>
        <v/>
      </c>
      <c r="S2120" s="95">
        <f>IF((P2120-Q2120)=1,L2120,IF((P2120-Q2120)=-1,-J2120,0))</f>
        <v/>
      </c>
      <c r="T2120" s="95">
        <f>IF((P2120-Q2120)=1,N2120,IF((P2120-Q2120)=-1,-M2120,0))</f>
        <v/>
      </c>
      <c r="U2120" s="101">
        <f>IF(AND(H2120=1,LedAcct&lt;&gt;""),IF(AND(E2120&gt;=LedFrom,E2120&lt;=LedTo,OR(I2120=LedAcct,K2120=LedAcct,AND(LedAcct=acctTax,M2120+N2120&lt;&gt;0))),E2120*10000+B2120,""),"")</f>
        <v/>
      </c>
    </row>
    <row r="2121">
      <c r="B2121" s="101" t="n">
        <v>2115</v>
      </c>
      <c r="C2121" s="58" t="inlineStr">
        <is>
          <t>Invoice</t>
        </is>
      </c>
      <c r="D2121" s="58">
        <f>IF(H2121=1,INDEX(ar_No,115)&amp;"","")</f>
        <v/>
      </c>
      <c r="E2121" s="94">
        <f>IF(H2121=1,INDEX(ar_Date,115),"")</f>
        <v/>
      </c>
      <c r="F2121" s="58">
        <f>IF(H2121=1,INDEX(ar_Desc,115)&amp;"","")</f>
        <v/>
      </c>
      <c r="G2121" s="58">
        <f>IF(H2121=1,INDEX(ar_Party,115)&amp;"","")</f>
        <v/>
      </c>
      <c r="H2121" s="101">
        <f>IFERROR(N(INDEX(ar_Posted,115)),0)</f>
        <v/>
      </c>
      <c r="I2121" s="58">
        <f>IF(H2121=1,INDEX(ar_DrAcct,115)&amp;"","")</f>
        <v/>
      </c>
      <c r="J2121" s="95">
        <f>IF(H2121=1,INDEX(ar_DrAmt,115),0)</f>
        <v/>
      </c>
      <c r="K2121" s="58">
        <f>IF(H2121=1,INDEX(ar_CrAcct,115)&amp;"","")</f>
        <v/>
      </c>
      <c r="L2121" s="95">
        <f>IF(H2121=1,INDEX(ar_CrAmt,115),0)</f>
        <v/>
      </c>
      <c r="M2121" s="95" t="n">
        <v>0</v>
      </c>
      <c r="N2121" s="95">
        <f>IF(H2121=1,INDEX(ar_TaxAmt,115),0)</f>
        <v/>
      </c>
      <c r="O2121" s="101">
        <f>IF(H2121=1,IF(E2121&lt;FYStart,0,IF(E2121&gt;FYEnd,13,YEAR(E2121)*12+MONTH(E2121)-FYYM+1)),"")</f>
        <v/>
      </c>
      <c r="P2121" s="101">
        <f>IF(H2121=1,IF(IFERROR(INDEX(coa_CF,MATCH(I2121,coa_Name,0)),"")="Cash",1,0),0)</f>
        <v/>
      </c>
      <c r="Q2121" s="101">
        <f>IF(H2121=1,IF(IFERROR(INDEX(coa_CF,MATCH(K2121,coa_Name,0)),"")="Cash",1,0),0)</f>
        <v/>
      </c>
      <c r="R2121" s="58">
        <f>IF((P2121-Q2121)=0,"",IFERROR(INDEX(coa_CF,MATCH(IF((P2121-Q2121)=1,K2121,I2121),coa_Name,0)),"Operating"))</f>
        <v/>
      </c>
      <c r="S2121" s="95">
        <f>IF((P2121-Q2121)=1,L2121,IF((P2121-Q2121)=-1,-J2121,0))</f>
        <v/>
      </c>
      <c r="T2121" s="95">
        <f>IF((P2121-Q2121)=1,N2121,IF((P2121-Q2121)=-1,-M2121,0))</f>
        <v/>
      </c>
      <c r="U2121" s="101">
        <f>IF(AND(H2121=1,LedAcct&lt;&gt;""),IF(AND(E2121&gt;=LedFrom,E2121&lt;=LedTo,OR(I2121=LedAcct,K2121=LedAcct,AND(LedAcct=acctTax,M2121+N2121&lt;&gt;0))),E2121*10000+B2121,""),"")</f>
        <v/>
      </c>
    </row>
    <row r="2122">
      <c r="B2122" s="101" t="n">
        <v>2116</v>
      </c>
      <c r="C2122" s="58" t="inlineStr">
        <is>
          <t>Invoice</t>
        </is>
      </c>
      <c r="D2122" s="58">
        <f>IF(H2122=1,INDEX(ar_No,116)&amp;"","")</f>
        <v/>
      </c>
      <c r="E2122" s="94">
        <f>IF(H2122=1,INDEX(ar_Date,116),"")</f>
        <v/>
      </c>
      <c r="F2122" s="58">
        <f>IF(H2122=1,INDEX(ar_Desc,116)&amp;"","")</f>
        <v/>
      </c>
      <c r="G2122" s="58">
        <f>IF(H2122=1,INDEX(ar_Party,116)&amp;"","")</f>
        <v/>
      </c>
      <c r="H2122" s="101">
        <f>IFERROR(N(INDEX(ar_Posted,116)),0)</f>
        <v/>
      </c>
      <c r="I2122" s="58">
        <f>IF(H2122=1,INDEX(ar_DrAcct,116)&amp;"","")</f>
        <v/>
      </c>
      <c r="J2122" s="95">
        <f>IF(H2122=1,INDEX(ar_DrAmt,116),0)</f>
        <v/>
      </c>
      <c r="K2122" s="58">
        <f>IF(H2122=1,INDEX(ar_CrAcct,116)&amp;"","")</f>
        <v/>
      </c>
      <c r="L2122" s="95">
        <f>IF(H2122=1,INDEX(ar_CrAmt,116),0)</f>
        <v/>
      </c>
      <c r="M2122" s="95" t="n">
        <v>0</v>
      </c>
      <c r="N2122" s="95">
        <f>IF(H2122=1,INDEX(ar_TaxAmt,116),0)</f>
        <v/>
      </c>
      <c r="O2122" s="101">
        <f>IF(H2122=1,IF(E2122&lt;FYStart,0,IF(E2122&gt;FYEnd,13,YEAR(E2122)*12+MONTH(E2122)-FYYM+1)),"")</f>
        <v/>
      </c>
      <c r="P2122" s="101">
        <f>IF(H2122=1,IF(IFERROR(INDEX(coa_CF,MATCH(I2122,coa_Name,0)),"")="Cash",1,0),0)</f>
        <v/>
      </c>
      <c r="Q2122" s="101">
        <f>IF(H2122=1,IF(IFERROR(INDEX(coa_CF,MATCH(K2122,coa_Name,0)),"")="Cash",1,0),0)</f>
        <v/>
      </c>
      <c r="R2122" s="58">
        <f>IF((P2122-Q2122)=0,"",IFERROR(INDEX(coa_CF,MATCH(IF((P2122-Q2122)=1,K2122,I2122),coa_Name,0)),"Operating"))</f>
        <v/>
      </c>
      <c r="S2122" s="95">
        <f>IF((P2122-Q2122)=1,L2122,IF((P2122-Q2122)=-1,-J2122,0))</f>
        <v/>
      </c>
      <c r="T2122" s="95">
        <f>IF((P2122-Q2122)=1,N2122,IF((P2122-Q2122)=-1,-M2122,0))</f>
        <v/>
      </c>
      <c r="U2122" s="101">
        <f>IF(AND(H2122=1,LedAcct&lt;&gt;""),IF(AND(E2122&gt;=LedFrom,E2122&lt;=LedTo,OR(I2122=LedAcct,K2122=LedAcct,AND(LedAcct=acctTax,M2122+N2122&lt;&gt;0))),E2122*10000+B2122,""),"")</f>
        <v/>
      </c>
    </row>
    <row r="2123">
      <c r="B2123" s="101" t="n">
        <v>2117</v>
      </c>
      <c r="C2123" s="58" t="inlineStr">
        <is>
          <t>Invoice</t>
        </is>
      </c>
      <c r="D2123" s="58">
        <f>IF(H2123=1,INDEX(ar_No,117)&amp;"","")</f>
        <v/>
      </c>
      <c r="E2123" s="94">
        <f>IF(H2123=1,INDEX(ar_Date,117),"")</f>
        <v/>
      </c>
      <c r="F2123" s="58">
        <f>IF(H2123=1,INDEX(ar_Desc,117)&amp;"","")</f>
        <v/>
      </c>
      <c r="G2123" s="58">
        <f>IF(H2123=1,INDEX(ar_Party,117)&amp;"","")</f>
        <v/>
      </c>
      <c r="H2123" s="101">
        <f>IFERROR(N(INDEX(ar_Posted,117)),0)</f>
        <v/>
      </c>
      <c r="I2123" s="58">
        <f>IF(H2123=1,INDEX(ar_DrAcct,117)&amp;"","")</f>
        <v/>
      </c>
      <c r="J2123" s="95">
        <f>IF(H2123=1,INDEX(ar_DrAmt,117),0)</f>
        <v/>
      </c>
      <c r="K2123" s="58">
        <f>IF(H2123=1,INDEX(ar_CrAcct,117)&amp;"","")</f>
        <v/>
      </c>
      <c r="L2123" s="95">
        <f>IF(H2123=1,INDEX(ar_CrAmt,117),0)</f>
        <v/>
      </c>
      <c r="M2123" s="95" t="n">
        <v>0</v>
      </c>
      <c r="N2123" s="95">
        <f>IF(H2123=1,INDEX(ar_TaxAmt,117),0)</f>
        <v/>
      </c>
      <c r="O2123" s="101">
        <f>IF(H2123=1,IF(E2123&lt;FYStart,0,IF(E2123&gt;FYEnd,13,YEAR(E2123)*12+MONTH(E2123)-FYYM+1)),"")</f>
        <v/>
      </c>
      <c r="P2123" s="101">
        <f>IF(H2123=1,IF(IFERROR(INDEX(coa_CF,MATCH(I2123,coa_Name,0)),"")="Cash",1,0),0)</f>
        <v/>
      </c>
      <c r="Q2123" s="101">
        <f>IF(H2123=1,IF(IFERROR(INDEX(coa_CF,MATCH(K2123,coa_Name,0)),"")="Cash",1,0),0)</f>
        <v/>
      </c>
      <c r="R2123" s="58">
        <f>IF((P2123-Q2123)=0,"",IFERROR(INDEX(coa_CF,MATCH(IF((P2123-Q2123)=1,K2123,I2123),coa_Name,0)),"Operating"))</f>
        <v/>
      </c>
      <c r="S2123" s="95">
        <f>IF((P2123-Q2123)=1,L2123,IF((P2123-Q2123)=-1,-J2123,0))</f>
        <v/>
      </c>
      <c r="T2123" s="95">
        <f>IF((P2123-Q2123)=1,N2123,IF((P2123-Q2123)=-1,-M2123,0))</f>
        <v/>
      </c>
      <c r="U2123" s="101">
        <f>IF(AND(H2123=1,LedAcct&lt;&gt;""),IF(AND(E2123&gt;=LedFrom,E2123&lt;=LedTo,OR(I2123=LedAcct,K2123=LedAcct,AND(LedAcct=acctTax,M2123+N2123&lt;&gt;0))),E2123*10000+B2123,""),"")</f>
        <v/>
      </c>
    </row>
    <row r="2124">
      <c r="B2124" s="101" t="n">
        <v>2118</v>
      </c>
      <c r="C2124" s="58" t="inlineStr">
        <is>
          <t>Invoice</t>
        </is>
      </c>
      <c r="D2124" s="58">
        <f>IF(H2124=1,INDEX(ar_No,118)&amp;"","")</f>
        <v/>
      </c>
      <c r="E2124" s="94">
        <f>IF(H2124=1,INDEX(ar_Date,118),"")</f>
        <v/>
      </c>
      <c r="F2124" s="58">
        <f>IF(H2124=1,INDEX(ar_Desc,118)&amp;"","")</f>
        <v/>
      </c>
      <c r="G2124" s="58">
        <f>IF(H2124=1,INDEX(ar_Party,118)&amp;"","")</f>
        <v/>
      </c>
      <c r="H2124" s="101">
        <f>IFERROR(N(INDEX(ar_Posted,118)),0)</f>
        <v/>
      </c>
      <c r="I2124" s="58">
        <f>IF(H2124=1,INDEX(ar_DrAcct,118)&amp;"","")</f>
        <v/>
      </c>
      <c r="J2124" s="95">
        <f>IF(H2124=1,INDEX(ar_DrAmt,118),0)</f>
        <v/>
      </c>
      <c r="K2124" s="58">
        <f>IF(H2124=1,INDEX(ar_CrAcct,118)&amp;"","")</f>
        <v/>
      </c>
      <c r="L2124" s="95">
        <f>IF(H2124=1,INDEX(ar_CrAmt,118),0)</f>
        <v/>
      </c>
      <c r="M2124" s="95" t="n">
        <v>0</v>
      </c>
      <c r="N2124" s="95">
        <f>IF(H2124=1,INDEX(ar_TaxAmt,118),0)</f>
        <v/>
      </c>
      <c r="O2124" s="101">
        <f>IF(H2124=1,IF(E2124&lt;FYStart,0,IF(E2124&gt;FYEnd,13,YEAR(E2124)*12+MONTH(E2124)-FYYM+1)),"")</f>
        <v/>
      </c>
      <c r="P2124" s="101">
        <f>IF(H2124=1,IF(IFERROR(INDEX(coa_CF,MATCH(I2124,coa_Name,0)),"")="Cash",1,0),0)</f>
        <v/>
      </c>
      <c r="Q2124" s="101">
        <f>IF(H2124=1,IF(IFERROR(INDEX(coa_CF,MATCH(K2124,coa_Name,0)),"")="Cash",1,0),0)</f>
        <v/>
      </c>
      <c r="R2124" s="58">
        <f>IF((P2124-Q2124)=0,"",IFERROR(INDEX(coa_CF,MATCH(IF((P2124-Q2124)=1,K2124,I2124),coa_Name,0)),"Operating"))</f>
        <v/>
      </c>
      <c r="S2124" s="95">
        <f>IF((P2124-Q2124)=1,L2124,IF((P2124-Q2124)=-1,-J2124,0))</f>
        <v/>
      </c>
      <c r="T2124" s="95">
        <f>IF((P2124-Q2124)=1,N2124,IF((P2124-Q2124)=-1,-M2124,0))</f>
        <v/>
      </c>
      <c r="U2124" s="101">
        <f>IF(AND(H2124=1,LedAcct&lt;&gt;""),IF(AND(E2124&gt;=LedFrom,E2124&lt;=LedTo,OR(I2124=LedAcct,K2124=LedAcct,AND(LedAcct=acctTax,M2124+N2124&lt;&gt;0))),E2124*10000+B2124,""),"")</f>
        <v/>
      </c>
    </row>
    <row r="2125">
      <c r="B2125" s="101" t="n">
        <v>2119</v>
      </c>
      <c r="C2125" s="58" t="inlineStr">
        <is>
          <t>Invoice</t>
        </is>
      </c>
      <c r="D2125" s="58">
        <f>IF(H2125=1,INDEX(ar_No,119)&amp;"","")</f>
        <v/>
      </c>
      <c r="E2125" s="94">
        <f>IF(H2125=1,INDEX(ar_Date,119),"")</f>
        <v/>
      </c>
      <c r="F2125" s="58">
        <f>IF(H2125=1,INDEX(ar_Desc,119)&amp;"","")</f>
        <v/>
      </c>
      <c r="G2125" s="58">
        <f>IF(H2125=1,INDEX(ar_Party,119)&amp;"","")</f>
        <v/>
      </c>
      <c r="H2125" s="101">
        <f>IFERROR(N(INDEX(ar_Posted,119)),0)</f>
        <v/>
      </c>
      <c r="I2125" s="58">
        <f>IF(H2125=1,INDEX(ar_DrAcct,119)&amp;"","")</f>
        <v/>
      </c>
      <c r="J2125" s="95">
        <f>IF(H2125=1,INDEX(ar_DrAmt,119),0)</f>
        <v/>
      </c>
      <c r="K2125" s="58">
        <f>IF(H2125=1,INDEX(ar_CrAcct,119)&amp;"","")</f>
        <v/>
      </c>
      <c r="L2125" s="95">
        <f>IF(H2125=1,INDEX(ar_CrAmt,119),0)</f>
        <v/>
      </c>
      <c r="M2125" s="95" t="n">
        <v>0</v>
      </c>
      <c r="N2125" s="95">
        <f>IF(H2125=1,INDEX(ar_TaxAmt,119),0)</f>
        <v/>
      </c>
      <c r="O2125" s="101">
        <f>IF(H2125=1,IF(E2125&lt;FYStart,0,IF(E2125&gt;FYEnd,13,YEAR(E2125)*12+MONTH(E2125)-FYYM+1)),"")</f>
        <v/>
      </c>
      <c r="P2125" s="101">
        <f>IF(H2125=1,IF(IFERROR(INDEX(coa_CF,MATCH(I2125,coa_Name,0)),"")="Cash",1,0),0)</f>
        <v/>
      </c>
      <c r="Q2125" s="101">
        <f>IF(H2125=1,IF(IFERROR(INDEX(coa_CF,MATCH(K2125,coa_Name,0)),"")="Cash",1,0),0)</f>
        <v/>
      </c>
      <c r="R2125" s="58">
        <f>IF((P2125-Q2125)=0,"",IFERROR(INDEX(coa_CF,MATCH(IF((P2125-Q2125)=1,K2125,I2125),coa_Name,0)),"Operating"))</f>
        <v/>
      </c>
      <c r="S2125" s="95">
        <f>IF((P2125-Q2125)=1,L2125,IF((P2125-Q2125)=-1,-J2125,0))</f>
        <v/>
      </c>
      <c r="T2125" s="95">
        <f>IF((P2125-Q2125)=1,N2125,IF((P2125-Q2125)=-1,-M2125,0))</f>
        <v/>
      </c>
      <c r="U2125" s="101">
        <f>IF(AND(H2125=1,LedAcct&lt;&gt;""),IF(AND(E2125&gt;=LedFrom,E2125&lt;=LedTo,OR(I2125=LedAcct,K2125=LedAcct,AND(LedAcct=acctTax,M2125+N2125&lt;&gt;0))),E2125*10000+B2125,""),"")</f>
        <v/>
      </c>
    </row>
    <row r="2126">
      <c r="B2126" s="101" t="n">
        <v>2120</v>
      </c>
      <c r="C2126" s="58" t="inlineStr">
        <is>
          <t>Invoice</t>
        </is>
      </c>
      <c r="D2126" s="58">
        <f>IF(H2126=1,INDEX(ar_No,120)&amp;"","")</f>
        <v/>
      </c>
      <c r="E2126" s="94">
        <f>IF(H2126=1,INDEX(ar_Date,120),"")</f>
        <v/>
      </c>
      <c r="F2126" s="58">
        <f>IF(H2126=1,INDEX(ar_Desc,120)&amp;"","")</f>
        <v/>
      </c>
      <c r="G2126" s="58">
        <f>IF(H2126=1,INDEX(ar_Party,120)&amp;"","")</f>
        <v/>
      </c>
      <c r="H2126" s="101">
        <f>IFERROR(N(INDEX(ar_Posted,120)),0)</f>
        <v/>
      </c>
      <c r="I2126" s="58">
        <f>IF(H2126=1,INDEX(ar_DrAcct,120)&amp;"","")</f>
        <v/>
      </c>
      <c r="J2126" s="95">
        <f>IF(H2126=1,INDEX(ar_DrAmt,120),0)</f>
        <v/>
      </c>
      <c r="K2126" s="58">
        <f>IF(H2126=1,INDEX(ar_CrAcct,120)&amp;"","")</f>
        <v/>
      </c>
      <c r="L2126" s="95">
        <f>IF(H2126=1,INDEX(ar_CrAmt,120),0)</f>
        <v/>
      </c>
      <c r="M2126" s="95" t="n">
        <v>0</v>
      </c>
      <c r="N2126" s="95">
        <f>IF(H2126=1,INDEX(ar_TaxAmt,120),0)</f>
        <v/>
      </c>
      <c r="O2126" s="101">
        <f>IF(H2126=1,IF(E2126&lt;FYStart,0,IF(E2126&gt;FYEnd,13,YEAR(E2126)*12+MONTH(E2126)-FYYM+1)),"")</f>
        <v/>
      </c>
      <c r="P2126" s="101">
        <f>IF(H2126=1,IF(IFERROR(INDEX(coa_CF,MATCH(I2126,coa_Name,0)),"")="Cash",1,0),0)</f>
        <v/>
      </c>
      <c r="Q2126" s="101">
        <f>IF(H2126=1,IF(IFERROR(INDEX(coa_CF,MATCH(K2126,coa_Name,0)),"")="Cash",1,0),0)</f>
        <v/>
      </c>
      <c r="R2126" s="58">
        <f>IF((P2126-Q2126)=0,"",IFERROR(INDEX(coa_CF,MATCH(IF((P2126-Q2126)=1,K2126,I2126),coa_Name,0)),"Operating"))</f>
        <v/>
      </c>
      <c r="S2126" s="95">
        <f>IF((P2126-Q2126)=1,L2126,IF((P2126-Q2126)=-1,-J2126,0))</f>
        <v/>
      </c>
      <c r="T2126" s="95">
        <f>IF((P2126-Q2126)=1,N2126,IF((P2126-Q2126)=-1,-M2126,0))</f>
        <v/>
      </c>
      <c r="U2126" s="101">
        <f>IF(AND(H2126=1,LedAcct&lt;&gt;""),IF(AND(E2126&gt;=LedFrom,E2126&lt;=LedTo,OR(I2126=LedAcct,K2126=LedAcct,AND(LedAcct=acctTax,M2126+N2126&lt;&gt;0))),E2126*10000+B2126,""),"")</f>
        <v/>
      </c>
    </row>
    <row r="2127">
      <c r="B2127" s="101" t="n">
        <v>2121</v>
      </c>
      <c r="C2127" s="58" t="inlineStr">
        <is>
          <t>Invoice</t>
        </is>
      </c>
      <c r="D2127" s="58">
        <f>IF(H2127=1,INDEX(ar_No,121)&amp;"","")</f>
        <v/>
      </c>
      <c r="E2127" s="94">
        <f>IF(H2127=1,INDEX(ar_Date,121),"")</f>
        <v/>
      </c>
      <c r="F2127" s="58">
        <f>IF(H2127=1,INDEX(ar_Desc,121)&amp;"","")</f>
        <v/>
      </c>
      <c r="G2127" s="58">
        <f>IF(H2127=1,INDEX(ar_Party,121)&amp;"","")</f>
        <v/>
      </c>
      <c r="H2127" s="101">
        <f>IFERROR(N(INDEX(ar_Posted,121)),0)</f>
        <v/>
      </c>
      <c r="I2127" s="58">
        <f>IF(H2127=1,INDEX(ar_DrAcct,121)&amp;"","")</f>
        <v/>
      </c>
      <c r="J2127" s="95">
        <f>IF(H2127=1,INDEX(ar_DrAmt,121),0)</f>
        <v/>
      </c>
      <c r="K2127" s="58">
        <f>IF(H2127=1,INDEX(ar_CrAcct,121)&amp;"","")</f>
        <v/>
      </c>
      <c r="L2127" s="95">
        <f>IF(H2127=1,INDEX(ar_CrAmt,121),0)</f>
        <v/>
      </c>
      <c r="M2127" s="95" t="n">
        <v>0</v>
      </c>
      <c r="N2127" s="95">
        <f>IF(H2127=1,INDEX(ar_TaxAmt,121),0)</f>
        <v/>
      </c>
      <c r="O2127" s="101">
        <f>IF(H2127=1,IF(E2127&lt;FYStart,0,IF(E2127&gt;FYEnd,13,YEAR(E2127)*12+MONTH(E2127)-FYYM+1)),"")</f>
        <v/>
      </c>
      <c r="P2127" s="101">
        <f>IF(H2127=1,IF(IFERROR(INDEX(coa_CF,MATCH(I2127,coa_Name,0)),"")="Cash",1,0),0)</f>
        <v/>
      </c>
      <c r="Q2127" s="101">
        <f>IF(H2127=1,IF(IFERROR(INDEX(coa_CF,MATCH(K2127,coa_Name,0)),"")="Cash",1,0),0)</f>
        <v/>
      </c>
      <c r="R2127" s="58">
        <f>IF((P2127-Q2127)=0,"",IFERROR(INDEX(coa_CF,MATCH(IF((P2127-Q2127)=1,K2127,I2127),coa_Name,0)),"Operating"))</f>
        <v/>
      </c>
      <c r="S2127" s="95">
        <f>IF((P2127-Q2127)=1,L2127,IF((P2127-Q2127)=-1,-J2127,0))</f>
        <v/>
      </c>
      <c r="T2127" s="95">
        <f>IF((P2127-Q2127)=1,N2127,IF((P2127-Q2127)=-1,-M2127,0))</f>
        <v/>
      </c>
      <c r="U2127" s="101">
        <f>IF(AND(H2127=1,LedAcct&lt;&gt;""),IF(AND(E2127&gt;=LedFrom,E2127&lt;=LedTo,OR(I2127=LedAcct,K2127=LedAcct,AND(LedAcct=acctTax,M2127+N2127&lt;&gt;0))),E2127*10000+B2127,""),"")</f>
        <v/>
      </c>
    </row>
    <row r="2128">
      <c r="B2128" s="101" t="n">
        <v>2122</v>
      </c>
      <c r="C2128" s="58" t="inlineStr">
        <is>
          <t>Invoice</t>
        </is>
      </c>
      <c r="D2128" s="58">
        <f>IF(H2128=1,INDEX(ar_No,122)&amp;"","")</f>
        <v/>
      </c>
      <c r="E2128" s="94">
        <f>IF(H2128=1,INDEX(ar_Date,122),"")</f>
        <v/>
      </c>
      <c r="F2128" s="58">
        <f>IF(H2128=1,INDEX(ar_Desc,122)&amp;"","")</f>
        <v/>
      </c>
      <c r="G2128" s="58">
        <f>IF(H2128=1,INDEX(ar_Party,122)&amp;"","")</f>
        <v/>
      </c>
      <c r="H2128" s="101">
        <f>IFERROR(N(INDEX(ar_Posted,122)),0)</f>
        <v/>
      </c>
      <c r="I2128" s="58">
        <f>IF(H2128=1,INDEX(ar_DrAcct,122)&amp;"","")</f>
        <v/>
      </c>
      <c r="J2128" s="95">
        <f>IF(H2128=1,INDEX(ar_DrAmt,122),0)</f>
        <v/>
      </c>
      <c r="K2128" s="58">
        <f>IF(H2128=1,INDEX(ar_CrAcct,122)&amp;"","")</f>
        <v/>
      </c>
      <c r="L2128" s="95">
        <f>IF(H2128=1,INDEX(ar_CrAmt,122),0)</f>
        <v/>
      </c>
      <c r="M2128" s="95" t="n">
        <v>0</v>
      </c>
      <c r="N2128" s="95">
        <f>IF(H2128=1,INDEX(ar_TaxAmt,122),0)</f>
        <v/>
      </c>
      <c r="O2128" s="101">
        <f>IF(H2128=1,IF(E2128&lt;FYStart,0,IF(E2128&gt;FYEnd,13,YEAR(E2128)*12+MONTH(E2128)-FYYM+1)),"")</f>
        <v/>
      </c>
      <c r="P2128" s="101">
        <f>IF(H2128=1,IF(IFERROR(INDEX(coa_CF,MATCH(I2128,coa_Name,0)),"")="Cash",1,0),0)</f>
        <v/>
      </c>
      <c r="Q2128" s="101">
        <f>IF(H2128=1,IF(IFERROR(INDEX(coa_CF,MATCH(K2128,coa_Name,0)),"")="Cash",1,0),0)</f>
        <v/>
      </c>
      <c r="R2128" s="58">
        <f>IF((P2128-Q2128)=0,"",IFERROR(INDEX(coa_CF,MATCH(IF((P2128-Q2128)=1,K2128,I2128),coa_Name,0)),"Operating"))</f>
        <v/>
      </c>
      <c r="S2128" s="95">
        <f>IF((P2128-Q2128)=1,L2128,IF((P2128-Q2128)=-1,-J2128,0))</f>
        <v/>
      </c>
      <c r="T2128" s="95">
        <f>IF((P2128-Q2128)=1,N2128,IF((P2128-Q2128)=-1,-M2128,0))</f>
        <v/>
      </c>
      <c r="U2128" s="101">
        <f>IF(AND(H2128=1,LedAcct&lt;&gt;""),IF(AND(E2128&gt;=LedFrom,E2128&lt;=LedTo,OR(I2128=LedAcct,K2128=LedAcct,AND(LedAcct=acctTax,M2128+N2128&lt;&gt;0))),E2128*10000+B2128,""),"")</f>
        <v/>
      </c>
    </row>
    <row r="2129">
      <c r="B2129" s="101" t="n">
        <v>2123</v>
      </c>
      <c r="C2129" s="58" t="inlineStr">
        <is>
          <t>Invoice</t>
        </is>
      </c>
      <c r="D2129" s="58">
        <f>IF(H2129=1,INDEX(ar_No,123)&amp;"","")</f>
        <v/>
      </c>
      <c r="E2129" s="94">
        <f>IF(H2129=1,INDEX(ar_Date,123),"")</f>
        <v/>
      </c>
      <c r="F2129" s="58">
        <f>IF(H2129=1,INDEX(ar_Desc,123)&amp;"","")</f>
        <v/>
      </c>
      <c r="G2129" s="58">
        <f>IF(H2129=1,INDEX(ar_Party,123)&amp;"","")</f>
        <v/>
      </c>
      <c r="H2129" s="101">
        <f>IFERROR(N(INDEX(ar_Posted,123)),0)</f>
        <v/>
      </c>
      <c r="I2129" s="58">
        <f>IF(H2129=1,INDEX(ar_DrAcct,123)&amp;"","")</f>
        <v/>
      </c>
      <c r="J2129" s="95">
        <f>IF(H2129=1,INDEX(ar_DrAmt,123),0)</f>
        <v/>
      </c>
      <c r="K2129" s="58">
        <f>IF(H2129=1,INDEX(ar_CrAcct,123)&amp;"","")</f>
        <v/>
      </c>
      <c r="L2129" s="95">
        <f>IF(H2129=1,INDEX(ar_CrAmt,123),0)</f>
        <v/>
      </c>
      <c r="M2129" s="95" t="n">
        <v>0</v>
      </c>
      <c r="N2129" s="95">
        <f>IF(H2129=1,INDEX(ar_TaxAmt,123),0)</f>
        <v/>
      </c>
      <c r="O2129" s="101">
        <f>IF(H2129=1,IF(E2129&lt;FYStart,0,IF(E2129&gt;FYEnd,13,YEAR(E2129)*12+MONTH(E2129)-FYYM+1)),"")</f>
        <v/>
      </c>
      <c r="P2129" s="101">
        <f>IF(H2129=1,IF(IFERROR(INDEX(coa_CF,MATCH(I2129,coa_Name,0)),"")="Cash",1,0),0)</f>
        <v/>
      </c>
      <c r="Q2129" s="101">
        <f>IF(H2129=1,IF(IFERROR(INDEX(coa_CF,MATCH(K2129,coa_Name,0)),"")="Cash",1,0),0)</f>
        <v/>
      </c>
      <c r="R2129" s="58">
        <f>IF((P2129-Q2129)=0,"",IFERROR(INDEX(coa_CF,MATCH(IF((P2129-Q2129)=1,K2129,I2129),coa_Name,0)),"Operating"))</f>
        <v/>
      </c>
      <c r="S2129" s="95">
        <f>IF((P2129-Q2129)=1,L2129,IF((P2129-Q2129)=-1,-J2129,0))</f>
        <v/>
      </c>
      <c r="T2129" s="95">
        <f>IF((P2129-Q2129)=1,N2129,IF((P2129-Q2129)=-1,-M2129,0))</f>
        <v/>
      </c>
      <c r="U2129" s="101">
        <f>IF(AND(H2129=1,LedAcct&lt;&gt;""),IF(AND(E2129&gt;=LedFrom,E2129&lt;=LedTo,OR(I2129=LedAcct,K2129=LedAcct,AND(LedAcct=acctTax,M2129+N2129&lt;&gt;0))),E2129*10000+B2129,""),"")</f>
        <v/>
      </c>
    </row>
    <row r="2130">
      <c r="B2130" s="101" t="n">
        <v>2124</v>
      </c>
      <c r="C2130" s="58" t="inlineStr">
        <is>
          <t>Invoice</t>
        </is>
      </c>
      <c r="D2130" s="58">
        <f>IF(H2130=1,INDEX(ar_No,124)&amp;"","")</f>
        <v/>
      </c>
      <c r="E2130" s="94">
        <f>IF(H2130=1,INDEX(ar_Date,124),"")</f>
        <v/>
      </c>
      <c r="F2130" s="58">
        <f>IF(H2130=1,INDEX(ar_Desc,124)&amp;"","")</f>
        <v/>
      </c>
      <c r="G2130" s="58">
        <f>IF(H2130=1,INDEX(ar_Party,124)&amp;"","")</f>
        <v/>
      </c>
      <c r="H2130" s="101">
        <f>IFERROR(N(INDEX(ar_Posted,124)),0)</f>
        <v/>
      </c>
      <c r="I2130" s="58">
        <f>IF(H2130=1,INDEX(ar_DrAcct,124)&amp;"","")</f>
        <v/>
      </c>
      <c r="J2130" s="95">
        <f>IF(H2130=1,INDEX(ar_DrAmt,124),0)</f>
        <v/>
      </c>
      <c r="K2130" s="58">
        <f>IF(H2130=1,INDEX(ar_CrAcct,124)&amp;"","")</f>
        <v/>
      </c>
      <c r="L2130" s="95">
        <f>IF(H2130=1,INDEX(ar_CrAmt,124),0)</f>
        <v/>
      </c>
      <c r="M2130" s="95" t="n">
        <v>0</v>
      </c>
      <c r="N2130" s="95">
        <f>IF(H2130=1,INDEX(ar_TaxAmt,124),0)</f>
        <v/>
      </c>
      <c r="O2130" s="101">
        <f>IF(H2130=1,IF(E2130&lt;FYStart,0,IF(E2130&gt;FYEnd,13,YEAR(E2130)*12+MONTH(E2130)-FYYM+1)),"")</f>
        <v/>
      </c>
      <c r="P2130" s="101">
        <f>IF(H2130=1,IF(IFERROR(INDEX(coa_CF,MATCH(I2130,coa_Name,0)),"")="Cash",1,0),0)</f>
        <v/>
      </c>
      <c r="Q2130" s="101">
        <f>IF(H2130=1,IF(IFERROR(INDEX(coa_CF,MATCH(K2130,coa_Name,0)),"")="Cash",1,0),0)</f>
        <v/>
      </c>
      <c r="R2130" s="58">
        <f>IF((P2130-Q2130)=0,"",IFERROR(INDEX(coa_CF,MATCH(IF((P2130-Q2130)=1,K2130,I2130),coa_Name,0)),"Operating"))</f>
        <v/>
      </c>
      <c r="S2130" s="95">
        <f>IF((P2130-Q2130)=1,L2130,IF((P2130-Q2130)=-1,-J2130,0))</f>
        <v/>
      </c>
      <c r="T2130" s="95">
        <f>IF((P2130-Q2130)=1,N2130,IF((P2130-Q2130)=-1,-M2130,0))</f>
        <v/>
      </c>
      <c r="U2130" s="101">
        <f>IF(AND(H2130=1,LedAcct&lt;&gt;""),IF(AND(E2130&gt;=LedFrom,E2130&lt;=LedTo,OR(I2130=LedAcct,K2130=LedAcct,AND(LedAcct=acctTax,M2130+N2130&lt;&gt;0))),E2130*10000+B2130,""),"")</f>
        <v/>
      </c>
    </row>
    <row r="2131">
      <c r="B2131" s="101" t="n">
        <v>2125</v>
      </c>
      <c r="C2131" s="58" t="inlineStr">
        <is>
          <t>Invoice</t>
        </is>
      </c>
      <c r="D2131" s="58">
        <f>IF(H2131=1,INDEX(ar_No,125)&amp;"","")</f>
        <v/>
      </c>
      <c r="E2131" s="94">
        <f>IF(H2131=1,INDEX(ar_Date,125),"")</f>
        <v/>
      </c>
      <c r="F2131" s="58">
        <f>IF(H2131=1,INDEX(ar_Desc,125)&amp;"","")</f>
        <v/>
      </c>
      <c r="G2131" s="58">
        <f>IF(H2131=1,INDEX(ar_Party,125)&amp;"","")</f>
        <v/>
      </c>
      <c r="H2131" s="101">
        <f>IFERROR(N(INDEX(ar_Posted,125)),0)</f>
        <v/>
      </c>
      <c r="I2131" s="58">
        <f>IF(H2131=1,INDEX(ar_DrAcct,125)&amp;"","")</f>
        <v/>
      </c>
      <c r="J2131" s="95">
        <f>IF(H2131=1,INDEX(ar_DrAmt,125),0)</f>
        <v/>
      </c>
      <c r="K2131" s="58">
        <f>IF(H2131=1,INDEX(ar_CrAcct,125)&amp;"","")</f>
        <v/>
      </c>
      <c r="L2131" s="95">
        <f>IF(H2131=1,INDEX(ar_CrAmt,125),0)</f>
        <v/>
      </c>
      <c r="M2131" s="95" t="n">
        <v>0</v>
      </c>
      <c r="N2131" s="95">
        <f>IF(H2131=1,INDEX(ar_TaxAmt,125),0)</f>
        <v/>
      </c>
      <c r="O2131" s="101">
        <f>IF(H2131=1,IF(E2131&lt;FYStart,0,IF(E2131&gt;FYEnd,13,YEAR(E2131)*12+MONTH(E2131)-FYYM+1)),"")</f>
        <v/>
      </c>
      <c r="P2131" s="101">
        <f>IF(H2131=1,IF(IFERROR(INDEX(coa_CF,MATCH(I2131,coa_Name,0)),"")="Cash",1,0),0)</f>
        <v/>
      </c>
      <c r="Q2131" s="101">
        <f>IF(H2131=1,IF(IFERROR(INDEX(coa_CF,MATCH(K2131,coa_Name,0)),"")="Cash",1,0),0)</f>
        <v/>
      </c>
      <c r="R2131" s="58">
        <f>IF((P2131-Q2131)=0,"",IFERROR(INDEX(coa_CF,MATCH(IF((P2131-Q2131)=1,K2131,I2131),coa_Name,0)),"Operating"))</f>
        <v/>
      </c>
      <c r="S2131" s="95">
        <f>IF((P2131-Q2131)=1,L2131,IF((P2131-Q2131)=-1,-J2131,0))</f>
        <v/>
      </c>
      <c r="T2131" s="95">
        <f>IF((P2131-Q2131)=1,N2131,IF((P2131-Q2131)=-1,-M2131,0))</f>
        <v/>
      </c>
      <c r="U2131" s="101">
        <f>IF(AND(H2131=1,LedAcct&lt;&gt;""),IF(AND(E2131&gt;=LedFrom,E2131&lt;=LedTo,OR(I2131=LedAcct,K2131=LedAcct,AND(LedAcct=acctTax,M2131+N2131&lt;&gt;0))),E2131*10000+B2131,""),"")</f>
        <v/>
      </c>
    </row>
    <row r="2132">
      <c r="B2132" s="101" t="n">
        <v>2126</v>
      </c>
      <c r="C2132" s="58" t="inlineStr">
        <is>
          <t>Invoice</t>
        </is>
      </c>
      <c r="D2132" s="58">
        <f>IF(H2132=1,INDEX(ar_No,126)&amp;"","")</f>
        <v/>
      </c>
      <c r="E2132" s="94">
        <f>IF(H2132=1,INDEX(ar_Date,126),"")</f>
        <v/>
      </c>
      <c r="F2132" s="58">
        <f>IF(H2132=1,INDEX(ar_Desc,126)&amp;"","")</f>
        <v/>
      </c>
      <c r="G2132" s="58">
        <f>IF(H2132=1,INDEX(ar_Party,126)&amp;"","")</f>
        <v/>
      </c>
      <c r="H2132" s="101">
        <f>IFERROR(N(INDEX(ar_Posted,126)),0)</f>
        <v/>
      </c>
      <c r="I2132" s="58">
        <f>IF(H2132=1,INDEX(ar_DrAcct,126)&amp;"","")</f>
        <v/>
      </c>
      <c r="J2132" s="95">
        <f>IF(H2132=1,INDEX(ar_DrAmt,126),0)</f>
        <v/>
      </c>
      <c r="K2132" s="58">
        <f>IF(H2132=1,INDEX(ar_CrAcct,126)&amp;"","")</f>
        <v/>
      </c>
      <c r="L2132" s="95">
        <f>IF(H2132=1,INDEX(ar_CrAmt,126),0)</f>
        <v/>
      </c>
      <c r="M2132" s="95" t="n">
        <v>0</v>
      </c>
      <c r="N2132" s="95">
        <f>IF(H2132=1,INDEX(ar_TaxAmt,126),0)</f>
        <v/>
      </c>
      <c r="O2132" s="101">
        <f>IF(H2132=1,IF(E2132&lt;FYStart,0,IF(E2132&gt;FYEnd,13,YEAR(E2132)*12+MONTH(E2132)-FYYM+1)),"")</f>
        <v/>
      </c>
      <c r="P2132" s="101">
        <f>IF(H2132=1,IF(IFERROR(INDEX(coa_CF,MATCH(I2132,coa_Name,0)),"")="Cash",1,0),0)</f>
        <v/>
      </c>
      <c r="Q2132" s="101">
        <f>IF(H2132=1,IF(IFERROR(INDEX(coa_CF,MATCH(K2132,coa_Name,0)),"")="Cash",1,0),0)</f>
        <v/>
      </c>
      <c r="R2132" s="58">
        <f>IF((P2132-Q2132)=0,"",IFERROR(INDEX(coa_CF,MATCH(IF((P2132-Q2132)=1,K2132,I2132),coa_Name,0)),"Operating"))</f>
        <v/>
      </c>
      <c r="S2132" s="95">
        <f>IF((P2132-Q2132)=1,L2132,IF((P2132-Q2132)=-1,-J2132,0))</f>
        <v/>
      </c>
      <c r="T2132" s="95">
        <f>IF((P2132-Q2132)=1,N2132,IF((P2132-Q2132)=-1,-M2132,0))</f>
        <v/>
      </c>
      <c r="U2132" s="101">
        <f>IF(AND(H2132=1,LedAcct&lt;&gt;""),IF(AND(E2132&gt;=LedFrom,E2132&lt;=LedTo,OR(I2132=LedAcct,K2132=LedAcct,AND(LedAcct=acctTax,M2132+N2132&lt;&gt;0))),E2132*10000+B2132,""),"")</f>
        <v/>
      </c>
    </row>
    <row r="2133">
      <c r="B2133" s="101" t="n">
        <v>2127</v>
      </c>
      <c r="C2133" s="58" t="inlineStr">
        <is>
          <t>Invoice</t>
        </is>
      </c>
      <c r="D2133" s="58">
        <f>IF(H2133=1,INDEX(ar_No,127)&amp;"","")</f>
        <v/>
      </c>
      <c r="E2133" s="94">
        <f>IF(H2133=1,INDEX(ar_Date,127),"")</f>
        <v/>
      </c>
      <c r="F2133" s="58">
        <f>IF(H2133=1,INDEX(ar_Desc,127)&amp;"","")</f>
        <v/>
      </c>
      <c r="G2133" s="58">
        <f>IF(H2133=1,INDEX(ar_Party,127)&amp;"","")</f>
        <v/>
      </c>
      <c r="H2133" s="101">
        <f>IFERROR(N(INDEX(ar_Posted,127)),0)</f>
        <v/>
      </c>
      <c r="I2133" s="58">
        <f>IF(H2133=1,INDEX(ar_DrAcct,127)&amp;"","")</f>
        <v/>
      </c>
      <c r="J2133" s="95">
        <f>IF(H2133=1,INDEX(ar_DrAmt,127),0)</f>
        <v/>
      </c>
      <c r="K2133" s="58">
        <f>IF(H2133=1,INDEX(ar_CrAcct,127)&amp;"","")</f>
        <v/>
      </c>
      <c r="L2133" s="95">
        <f>IF(H2133=1,INDEX(ar_CrAmt,127),0)</f>
        <v/>
      </c>
      <c r="M2133" s="95" t="n">
        <v>0</v>
      </c>
      <c r="N2133" s="95">
        <f>IF(H2133=1,INDEX(ar_TaxAmt,127),0)</f>
        <v/>
      </c>
      <c r="O2133" s="101">
        <f>IF(H2133=1,IF(E2133&lt;FYStart,0,IF(E2133&gt;FYEnd,13,YEAR(E2133)*12+MONTH(E2133)-FYYM+1)),"")</f>
        <v/>
      </c>
      <c r="P2133" s="101">
        <f>IF(H2133=1,IF(IFERROR(INDEX(coa_CF,MATCH(I2133,coa_Name,0)),"")="Cash",1,0),0)</f>
        <v/>
      </c>
      <c r="Q2133" s="101">
        <f>IF(H2133=1,IF(IFERROR(INDEX(coa_CF,MATCH(K2133,coa_Name,0)),"")="Cash",1,0),0)</f>
        <v/>
      </c>
      <c r="R2133" s="58">
        <f>IF((P2133-Q2133)=0,"",IFERROR(INDEX(coa_CF,MATCH(IF((P2133-Q2133)=1,K2133,I2133),coa_Name,0)),"Operating"))</f>
        <v/>
      </c>
      <c r="S2133" s="95">
        <f>IF((P2133-Q2133)=1,L2133,IF((P2133-Q2133)=-1,-J2133,0))</f>
        <v/>
      </c>
      <c r="T2133" s="95">
        <f>IF((P2133-Q2133)=1,N2133,IF((P2133-Q2133)=-1,-M2133,0))</f>
        <v/>
      </c>
      <c r="U2133" s="101">
        <f>IF(AND(H2133=1,LedAcct&lt;&gt;""),IF(AND(E2133&gt;=LedFrom,E2133&lt;=LedTo,OR(I2133=LedAcct,K2133=LedAcct,AND(LedAcct=acctTax,M2133+N2133&lt;&gt;0))),E2133*10000+B2133,""),"")</f>
        <v/>
      </c>
    </row>
    <row r="2134">
      <c r="B2134" s="101" t="n">
        <v>2128</v>
      </c>
      <c r="C2134" s="58" t="inlineStr">
        <is>
          <t>Invoice</t>
        </is>
      </c>
      <c r="D2134" s="58">
        <f>IF(H2134=1,INDEX(ar_No,128)&amp;"","")</f>
        <v/>
      </c>
      <c r="E2134" s="94">
        <f>IF(H2134=1,INDEX(ar_Date,128),"")</f>
        <v/>
      </c>
      <c r="F2134" s="58">
        <f>IF(H2134=1,INDEX(ar_Desc,128)&amp;"","")</f>
        <v/>
      </c>
      <c r="G2134" s="58">
        <f>IF(H2134=1,INDEX(ar_Party,128)&amp;"","")</f>
        <v/>
      </c>
      <c r="H2134" s="101">
        <f>IFERROR(N(INDEX(ar_Posted,128)),0)</f>
        <v/>
      </c>
      <c r="I2134" s="58">
        <f>IF(H2134=1,INDEX(ar_DrAcct,128)&amp;"","")</f>
        <v/>
      </c>
      <c r="J2134" s="95">
        <f>IF(H2134=1,INDEX(ar_DrAmt,128),0)</f>
        <v/>
      </c>
      <c r="K2134" s="58">
        <f>IF(H2134=1,INDEX(ar_CrAcct,128)&amp;"","")</f>
        <v/>
      </c>
      <c r="L2134" s="95">
        <f>IF(H2134=1,INDEX(ar_CrAmt,128),0)</f>
        <v/>
      </c>
      <c r="M2134" s="95" t="n">
        <v>0</v>
      </c>
      <c r="N2134" s="95">
        <f>IF(H2134=1,INDEX(ar_TaxAmt,128),0)</f>
        <v/>
      </c>
      <c r="O2134" s="101">
        <f>IF(H2134=1,IF(E2134&lt;FYStart,0,IF(E2134&gt;FYEnd,13,YEAR(E2134)*12+MONTH(E2134)-FYYM+1)),"")</f>
        <v/>
      </c>
      <c r="P2134" s="101">
        <f>IF(H2134=1,IF(IFERROR(INDEX(coa_CF,MATCH(I2134,coa_Name,0)),"")="Cash",1,0),0)</f>
        <v/>
      </c>
      <c r="Q2134" s="101">
        <f>IF(H2134=1,IF(IFERROR(INDEX(coa_CF,MATCH(K2134,coa_Name,0)),"")="Cash",1,0),0)</f>
        <v/>
      </c>
      <c r="R2134" s="58">
        <f>IF((P2134-Q2134)=0,"",IFERROR(INDEX(coa_CF,MATCH(IF((P2134-Q2134)=1,K2134,I2134),coa_Name,0)),"Operating"))</f>
        <v/>
      </c>
      <c r="S2134" s="95">
        <f>IF((P2134-Q2134)=1,L2134,IF((P2134-Q2134)=-1,-J2134,0))</f>
        <v/>
      </c>
      <c r="T2134" s="95">
        <f>IF((P2134-Q2134)=1,N2134,IF((P2134-Q2134)=-1,-M2134,0))</f>
        <v/>
      </c>
      <c r="U2134" s="101">
        <f>IF(AND(H2134=1,LedAcct&lt;&gt;""),IF(AND(E2134&gt;=LedFrom,E2134&lt;=LedTo,OR(I2134=LedAcct,K2134=LedAcct,AND(LedAcct=acctTax,M2134+N2134&lt;&gt;0))),E2134*10000+B2134,""),"")</f>
        <v/>
      </c>
    </row>
    <row r="2135">
      <c r="B2135" s="101" t="n">
        <v>2129</v>
      </c>
      <c r="C2135" s="58" t="inlineStr">
        <is>
          <t>Invoice</t>
        </is>
      </c>
      <c r="D2135" s="58">
        <f>IF(H2135=1,INDEX(ar_No,129)&amp;"","")</f>
        <v/>
      </c>
      <c r="E2135" s="94">
        <f>IF(H2135=1,INDEX(ar_Date,129),"")</f>
        <v/>
      </c>
      <c r="F2135" s="58">
        <f>IF(H2135=1,INDEX(ar_Desc,129)&amp;"","")</f>
        <v/>
      </c>
      <c r="G2135" s="58">
        <f>IF(H2135=1,INDEX(ar_Party,129)&amp;"","")</f>
        <v/>
      </c>
      <c r="H2135" s="101">
        <f>IFERROR(N(INDEX(ar_Posted,129)),0)</f>
        <v/>
      </c>
      <c r="I2135" s="58">
        <f>IF(H2135=1,INDEX(ar_DrAcct,129)&amp;"","")</f>
        <v/>
      </c>
      <c r="J2135" s="95">
        <f>IF(H2135=1,INDEX(ar_DrAmt,129),0)</f>
        <v/>
      </c>
      <c r="K2135" s="58">
        <f>IF(H2135=1,INDEX(ar_CrAcct,129)&amp;"","")</f>
        <v/>
      </c>
      <c r="L2135" s="95">
        <f>IF(H2135=1,INDEX(ar_CrAmt,129),0)</f>
        <v/>
      </c>
      <c r="M2135" s="95" t="n">
        <v>0</v>
      </c>
      <c r="N2135" s="95">
        <f>IF(H2135=1,INDEX(ar_TaxAmt,129),0)</f>
        <v/>
      </c>
      <c r="O2135" s="101">
        <f>IF(H2135=1,IF(E2135&lt;FYStart,0,IF(E2135&gt;FYEnd,13,YEAR(E2135)*12+MONTH(E2135)-FYYM+1)),"")</f>
        <v/>
      </c>
      <c r="P2135" s="101">
        <f>IF(H2135=1,IF(IFERROR(INDEX(coa_CF,MATCH(I2135,coa_Name,0)),"")="Cash",1,0),0)</f>
        <v/>
      </c>
      <c r="Q2135" s="101">
        <f>IF(H2135=1,IF(IFERROR(INDEX(coa_CF,MATCH(K2135,coa_Name,0)),"")="Cash",1,0),0)</f>
        <v/>
      </c>
      <c r="R2135" s="58">
        <f>IF((P2135-Q2135)=0,"",IFERROR(INDEX(coa_CF,MATCH(IF((P2135-Q2135)=1,K2135,I2135),coa_Name,0)),"Operating"))</f>
        <v/>
      </c>
      <c r="S2135" s="95">
        <f>IF((P2135-Q2135)=1,L2135,IF((P2135-Q2135)=-1,-J2135,0))</f>
        <v/>
      </c>
      <c r="T2135" s="95">
        <f>IF((P2135-Q2135)=1,N2135,IF((P2135-Q2135)=-1,-M2135,0))</f>
        <v/>
      </c>
      <c r="U2135" s="101">
        <f>IF(AND(H2135=1,LedAcct&lt;&gt;""),IF(AND(E2135&gt;=LedFrom,E2135&lt;=LedTo,OR(I2135=LedAcct,K2135=LedAcct,AND(LedAcct=acctTax,M2135+N2135&lt;&gt;0))),E2135*10000+B2135,""),"")</f>
        <v/>
      </c>
    </row>
    <row r="2136">
      <c r="B2136" s="101" t="n">
        <v>2130</v>
      </c>
      <c r="C2136" s="58" t="inlineStr">
        <is>
          <t>Invoice</t>
        </is>
      </c>
      <c r="D2136" s="58">
        <f>IF(H2136=1,INDEX(ar_No,130)&amp;"","")</f>
        <v/>
      </c>
      <c r="E2136" s="94">
        <f>IF(H2136=1,INDEX(ar_Date,130),"")</f>
        <v/>
      </c>
      <c r="F2136" s="58">
        <f>IF(H2136=1,INDEX(ar_Desc,130)&amp;"","")</f>
        <v/>
      </c>
      <c r="G2136" s="58">
        <f>IF(H2136=1,INDEX(ar_Party,130)&amp;"","")</f>
        <v/>
      </c>
      <c r="H2136" s="101">
        <f>IFERROR(N(INDEX(ar_Posted,130)),0)</f>
        <v/>
      </c>
      <c r="I2136" s="58">
        <f>IF(H2136=1,INDEX(ar_DrAcct,130)&amp;"","")</f>
        <v/>
      </c>
      <c r="J2136" s="95">
        <f>IF(H2136=1,INDEX(ar_DrAmt,130),0)</f>
        <v/>
      </c>
      <c r="K2136" s="58">
        <f>IF(H2136=1,INDEX(ar_CrAcct,130)&amp;"","")</f>
        <v/>
      </c>
      <c r="L2136" s="95">
        <f>IF(H2136=1,INDEX(ar_CrAmt,130),0)</f>
        <v/>
      </c>
      <c r="M2136" s="95" t="n">
        <v>0</v>
      </c>
      <c r="N2136" s="95">
        <f>IF(H2136=1,INDEX(ar_TaxAmt,130),0)</f>
        <v/>
      </c>
      <c r="O2136" s="101">
        <f>IF(H2136=1,IF(E2136&lt;FYStart,0,IF(E2136&gt;FYEnd,13,YEAR(E2136)*12+MONTH(E2136)-FYYM+1)),"")</f>
        <v/>
      </c>
      <c r="P2136" s="101">
        <f>IF(H2136=1,IF(IFERROR(INDEX(coa_CF,MATCH(I2136,coa_Name,0)),"")="Cash",1,0),0)</f>
        <v/>
      </c>
      <c r="Q2136" s="101">
        <f>IF(H2136=1,IF(IFERROR(INDEX(coa_CF,MATCH(K2136,coa_Name,0)),"")="Cash",1,0),0)</f>
        <v/>
      </c>
      <c r="R2136" s="58">
        <f>IF((P2136-Q2136)=0,"",IFERROR(INDEX(coa_CF,MATCH(IF((P2136-Q2136)=1,K2136,I2136),coa_Name,0)),"Operating"))</f>
        <v/>
      </c>
      <c r="S2136" s="95">
        <f>IF((P2136-Q2136)=1,L2136,IF((P2136-Q2136)=-1,-J2136,0))</f>
        <v/>
      </c>
      <c r="T2136" s="95">
        <f>IF((P2136-Q2136)=1,N2136,IF((P2136-Q2136)=-1,-M2136,0))</f>
        <v/>
      </c>
      <c r="U2136" s="101">
        <f>IF(AND(H2136=1,LedAcct&lt;&gt;""),IF(AND(E2136&gt;=LedFrom,E2136&lt;=LedTo,OR(I2136=LedAcct,K2136=LedAcct,AND(LedAcct=acctTax,M2136+N2136&lt;&gt;0))),E2136*10000+B2136,""),"")</f>
        <v/>
      </c>
    </row>
    <row r="2137">
      <c r="B2137" s="101" t="n">
        <v>2131</v>
      </c>
      <c r="C2137" s="58" t="inlineStr">
        <is>
          <t>Invoice</t>
        </is>
      </c>
      <c r="D2137" s="58">
        <f>IF(H2137=1,INDEX(ar_No,131)&amp;"","")</f>
        <v/>
      </c>
      <c r="E2137" s="94">
        <f>IF(H2137=1,INDEX(ar_Date,131),"")</f>
        <v/>
      </c>
      <c r="F2137" s="58">
        <f>IF(H2137=1,INDEX(ar_Desc,131)&amp;"","")</f>
        <v/>
      </c>
      <c r="G2137" s="58">
        <f>IF(H2137=1,INDEX(ar_Party,131)&amp;"","")</f>
        <v/>
      </c>
      <c r="H2137" s="101">
        <f>IFERROR(N(INDEX(ar_Posted,131)),0)</f>
        <v/>
      </c>
      <c r="I2137" s="58">
        <f>IF(H2137=1,INDEX(ar_DrAcct,131)&amp;"","")</f>
        <v/>
      </c>
      <c r="J2137" s="95">
        <f>IF(H2137=1,INDEX(ar_DrAmt,131),0)</f>
        <v/>
      </c>
      <c r="K2137" s="58">
        <f>IF(H2137=1,INDEX(ar_CrAcct,131)&amp;"","")</f>
        <v/>
      </c>
      <c r="L2137" s="95">
        <f>IF(H2137=1,INDEX(ar_CrAmt,131),0)</f>
        <v/>
      </c>
      <c r="M2137" s="95" t="n">
        <v>0</v>
      </c>
      <c r="N2137" s="95">
        <f>IF(H2137=1,INDEX(ar_TaxAmt,131),0)</f>
        <v/>
      </c>
      <c r="O2137" s="101">
        <f>IF(H2137=1,IF(E2137&lt;FYStart,0,IF(E2137&gt;FYEnd,13,YEAR(E2137)*12+MONTH(E2137)-FYYM+1)),"")</f>
        <v/>
      </c>
      <c r="P2137" s="101">
        <f>IF(H2137=1,IF(IFERROR(INDEX(coa_CF,MATCH(I2137,coa_Name,0)),"")="Cash",1,0),0)</f>
        <v/>
      </c>
      <c r="Q2137" s="101">
        <f>IF(H2137=1,IF(IFERROR(INDEX(coa_CF,MATCH(K2137,coa_Name,0)),"")="Cash",1,0),0)</f>
        <v/>
      </c>
      <c r="R2137" s="58">
        <f>IF((P2137-Q2137)=0,"",IFERROR(INDEX(coa_CF,MATCH(IF((P2137-Q2137)=1,K2137,I2137),coa_Name,0)),"Operating"))</f>
        <v/>
      </c>
      <c r="S2137" s="95">
        <f>IF((P2137-Q2137)=1,L2137,IF((P2137-Q2137)=-1,-J2137,0))</f>
        <v/>
      </c>
      <c r="T2137" s="95">
        <f>IF((P2137-Q2137)=1,N2137,IF((P2137-Q2137)=-1,-M2137,0))</f>
        <v/>
      </c>
      <c r="U2137" s="101">
        <f>IF(AND(H2137=1,LedAcct&lt;&gt;""),IF(AND(E2137&gt;=LedFrom,E2137&lt;=LedTo,OR(I2137=LedAcct,K2137=LedAcct,AND(LedAcct=acctTax,M2137+N2137&lt;&gt;0))),E2137*10000+B2137,""),"")</f>
        <v/>
      </c>
    </row>
    <row r="2138">
      <c r="B2138" s="101" t="n">
        <v>2132</v>
      </c>
      <c r="C2138" s="58" t="inlineStr">
        <is>
          <t>Invoice</t>
        </is>
      </c>
      <c r="D2138" s="58">
        <f>IF(H2138=1,INDEX(ar_No,132)&amp;"","")</f>
        <v/>
      </c>
      <c r="E2138" s="94">
        <f>IF(H2138=1,INDEX(ar_Date,132),"")</f>
        <v/>
      </c>
      <c r="F2138" s="58">
        <f>IF(H2138=1,INDEX(ar_Desc,132)&amp;"","")</f>
        <v/>
      </c>
      <c r="G2138" s="58">
        <f>IF(H2138=1,INDEX(ar_Party,132)&amp;"","")</f>
        <v/>
      </c>
      <c r="H2138" s="101">
        <f>IFERROR(N(INDEX(ar_Posted,132)),0)</f>
        <v/>
      </c>
      <c r="I2138" s="58">
        <f>IF(H2138=1,INDEX(ar_DrAcct,132)&amp;"","")</f>
        <v/>
      </c>
      <c r="J2138" s="95">
        <f>IF(H2138=1,INDEX(ar_DrAmt,132),0)</f>
        <v/>
      </c>
      <c r="K2138" s="58">
        <f>IF(H2138=1,INDEX(ar_CrAcct,132)&amp;"","")</f>
        <v/>
      </c>
      <c r="L2138" s="95">
        <f>IF(H2138=1,INDEX(ar_CrAmt,132),0)</f>
        <v/>
      </c>
      <c r="M2138" s="95" t="n">
        <v>0</v>
      </c>
      <c r="N2138" s="95">
        <f>IF(H2138=1,INDEX(ar_TaxAmt,132),0)</f>
        <v/>
      </c>
      <c r="O2138" s="101">
        <f>IF(H2138=1,IF(E2138&lt;FYStart,0,IF(E2138&gt;FYEnd,13,YEAR(E2138)*12+MONTH(E2138)-FYYM+1)),"")</f>
        <v/>
      </c>
      <c r="P2138" s="101">
        <f>IF(H2138=1,IF(IFERROR(INDEX(coa_CF,MATCH(I2138,coa_Name,0)),"")="Cash",1,0),0)</f>
        <v/>
      </c>
      <c r="Q2138" s="101">
        <f>IF(H2138=1,IF(IFERROR(INDEX(coa_CF,MATCH(K2138,coa_Name,0)),"")="Cash",1,0),0)</f>
        <v/>
      </c>
      <c r="R2138" s="58">
        <f>IF((P2138-Q2138)=0,"",IFERROR(INDEX(coa_CF,MATCH(IF((P2138-Q2138)=1,K2138,I2138),coa_Name,0)),"Operating"))</f>
        <v/>
      </c>
      <c r="S2138" s="95">
        <f>IF((P2138-Q2138)=1,L2138,IF((P2138-Q2138)=-1,-J2138,0))</f>
        <v/>
      </c>
      <c r="T2138" s="95">
        <f>IF((P2138-Q2138)=1,N2138,IF((P2138-Q2138)=-1,-M2138,0))</f>
        <v/>
      </c>
      <c r="U2138" s="101">
        <f>IF(AND(H2138=1,LedAcct&lt;&gt;""),IF(AND(E2138&gt;=LedFrom,E2138&lt;=LedTo,OR(I2138=LedAcct,K2138=LedAcct,AND(LedAcct=acctTax,M2138+N2138&lt;&gt;0))),E2138*10000+B2138,""),"")</f>
        <v/>
      </c>
    </row>
    <row r="2139">
      <c r="B2139" s="101" t="n">
        <v>2133</v>
      </c>
      <c r="C2139" s="58" t="inlineStr">
        <is>
          <t>Invoice</t>
        </is>
      </c>
      <c r="D2139" s="58">
        <f>IF(H2139=1,INDEX(ar_No,133)&amp;"","")</f>
        <v/>
      </c>
      <c r="E2139" s="94">
        <f>IF(H2139=1,INDEX(ar_Date,133),"")</f>
        <v/>
      </c>
      <c r="F2139" s="58">
        <f>IF(H2139=1,INDEX(ar_Desc,133)&amp;"","")</f>
        <v/>
      </c>
      <c r="G2139" s="58">
        <f>IF(H2139=1,INDEX(ar_Party,133)&amp;"","")</f>
        <v/>
      </c>
      <c r="H2139" s="101">
        <f>IFERROR(N(INDEX(ar_Posted,133)),0)</f>
        <v/>
      </c>
      <c r="I2139" s="58">
        <f>IF(H2139=1,INDEX(ar_DrAcct,133)&amp;"","")</f>
        <v/>
      </c>
      <c r="J2139" s="95">
        <f>IF(H2139=1,INDEX(ar_DrAmt,133),0)</f>
        <v/>
      </c>
      <c r="K2139" s="58">
        <f>IF(H2139=1,INDEX(ar_CrAcct,133)&amp;"","")</f>
        <v/>
      </c>
      <c r="L2139" s="95">
        <f>IF(H2139=1,INDEX(ar_CrAmt,133),0)</f>
        <v/>
      </c>
      <c r="M2139" s="95" t="n">
        <v>0</v>
      </c>
      <c r="N2139" s="95">
        <f>IF(H2139=1,INDEX(ar_TaxAmt,133),0)</f>
        <v/>
      </c>
      <c r="O2139" s="101">
        <f>IF(H2139=1,IF(E2139&lt;FYStart,0,IF(E2139&gt;FYEnd,13,YEAR(E2139)*12+MONTH(E2139)-FYYM+1)),"")</f>
        <v/>
      </c>
      <c r="P2139" s="101">
        <f>IF(H2139=1,IF(IFERROR(INDEX(coa_CF,MATCH(I2139,coa_Name,0)),"")="Cash",1,0),0)</f>
        <v/>
      </c>
      <c r="Q2139" s="101">
        <f>IF(H2139=1,IF(IFERROR(INDEX(coa_CF,MATCH(K2139,coa_Name,0)),"")="Cash",1,0),0)</f>
        <v/>
      </c>
      <c r="R2139" s="58">
        <f>IF((P2139-Q2139)=0,"",IFERROR(INDEX(coa_CF,MATCH(IF((P2139-Q2139)=1,K2139,I2139),coa_Name,0)),"Operating"))</f>
        <v/>
      </c>
      <c r="S2139" s="95">
        <f>IF((P2139-Q2139)=1,L2139,IF((P2139-Q2139)=-1,-J2139,0))</f>
        <v/>
      </c>
      <c r="T2139" s="95">
        <f>IF((P2139-Q2139)=1,N2139,IF((P2139-Q2139)=-1,-M2139,0))</f>
        <v/>
      </c>
      <c r="U2139" s="101">
        <f>IF(AND(H2139=1,LedAcct&lt;&gt;""),IF(AND(E2139&gt;=LedFrom,E2139&lt;=LedTo,OR(I2139=LedAcct,K2139=LedAcct,AND(LedAcct=acctTax,M2139+N2139&lt;&gt;0))),E2139*10000+B2139,""),"")</f>
        <v/>
      </c>
    </row>
    <row r="2140">
      <c r="B2140" s="101" t="n">
        <v>2134</v>
      </c>
      <c r="C2140" s="58" t="inlineStr">
        <is>
          <t>Invoice</t>
        </is>
      </c>
      <c r="D2140" s="58">
        <f>IF(H2140=1,INDEX(ar_No,134)&amp;"","")</f>
        <v/>
      </c>
      <c r="E2140" s="94">
        <f>IF(H2140=1,INDEX(ar_Date,134),"")</f>
        <v/>
      </c>
      <c r="F2140" s="58">
        <f>IF(H2140=1,INDEX(ar_Desc,134)&amp;"","")</f>
        <v/>
      </c>
      <c r="G2140" s="58">
        <f>IF(H2140=1,INDEX(ar_Party,134)&amp;"","")</f>
        <v/>
      </c>
      <c r="H2140" s="101">
        <f>IFERROR(N(INDEX(ar_Posted,134)),0)</f>
        <v/>
      </c>
      <c r="I2140" s="58">
        <f>IF(H2140=1,INDEX(ar_DrAcct,134)&amp;"","")</f>
        <v/>
      </c>
      <c r="J2140" s="95">
        <f>IF(H2140=1,INDEX(ar_DrAmt,134),0)</f>
        <v/>
      </c>
      <c r="K2140" s="58">
        <f>IF(H2140=1,INDEX(ar_CrAcct,134)&amp;"","")</f>
        <v/>
      </c>
      <c r="L2140" s="95">
        <f>IF(H2140=1,INDEX(ar_CrAmt,134),0)</f>
        <v/>
      </c>
      <c r="M2140" s="95" t="n">
        <v>0</v>
      </c>
      <c r="N2140" s="95">
        <f>IF(H2140=1,INDEX(ar_TaxAmt,134),0)</f>
        <v/>
      </c>
      <c r="O2140" s="101">
        <f>IF(H2140=1,IF(E2140&lt;FYStart,0,IF(E2140&gt;FYEnd,13,YEAR(E2140)*12+MONTH(E2140)-FYYM+1)),"")</f>
        <v/>
      </c>
      <c r="P2140" s="101">
        <f>IF(H2140=1,IF(IFERROR(INDEX(coa_CF,MATCH(I2140,coa_Name,0)),"")="Cash",1,0),0)</f>
        <v/>
      </c>
      <c r="Q2140" s="101">
        <f>IF(H2140=1,IF(IFERROR(INDEX(coa_CF,MATCH(K2140,coa_Name,0)),"")="Cash",1,0),0)</f>
        <v/>
      </c>
      <c r="R2140" s="58">
        <f>IF((P2140-Q2140)=0,"",IFERROR(INDEX(coa_CF,MATCH(IF((P2140-Q2140)=1,K2140,I2140),coa_Name,0)),"Operating"))</f>
        <v/>
      </c>
      <c r="S2140" s="95">
        <f>IF((P2140-Q2140)=1,L2140,IF((P2140-Q2140)=-1,-J2140,0))</f>
        <v/>
      </c>
      <c r="T2140" s="95">
        <f>IF((P2140-Q2140)=1,N2140,IF((P2140-Q2140)=-1,-M2140,0))</f>
        <v/>
      </c>
      <c r="U2140" s="101">
        <f>IF(AND(H2140=1,LedAcct&lt;&gt;""),IF(AND(E2140&gt;=LedFrom,E2140&lt;=LedTo,OR(I2140=LedAcct,K2140=LedAcct,AND(LedAcct=acctTax,M2140+N2140&lt;&gt;0))),E2140*10000+B2140,""),"")</f>
        <v/>
      </c>
    </row>
    <row r="2141">
      <c r="B2141" s="101" t="n">
        <v>2135</v>
      </c>
      <c r="C2141" s="58" t="inlineStr">
        <is>
          <t>Invoice</t>
        </is>
      </c>
      <c r="D2141" s="58">
        <f>IF(H2141=1,INDEX(ar_No,135)&amp;"","")</f>
        <v/>
      </c>
      <c r="E2141" s="94">
        <f>IF(H2141=1,INDEX(ar_Date,135),"")</f>
        <v/>
      </c>
      <c r="F2141" s="58">
        <f>IF(H2141=1,INDEX(ar_Desc,135)&amp;"","")</f>
        <v/>
      </c>
      <c r="G2141" s="58">
        <f>IF(H2141=1,INDEX(ar_Party,135)&amp;"","")</f>
        <v/>
      </c>
      <c r="H2141" s="101">
        <f>IFERROR(N(INDEX(ar_Posted,135)),0)</f>
        <v/>
      </c>
      <c r="I2141" s="58">
        <f>IF(H2141=1,INDEX(ar_DrAcct,135)&amp;"","")</f>
        <v/>
      </c>
      <c r="J2141" s="95">
        <f>IF(H2141=1,INDEX(ar_DrAmt,135),0)</f>
        <v/>
      </c>
      <c r="K2141" s="58">
        <f>IF(H2141=1,INDEX(ar_CrAcct,135)&amp;"","")</f>
        <v/>
      </c>
      <c r="L2141" s="95">
        <f>IF(H2141=1,INDEX(ar_CrAmt,135),0)</f>
        <v/>
      </c>
      <c r="M2141" s="95" t="n">
        <v>0</v>
      </c>
      <c r="N2141" s="95">
        <f>IF(H2141=1,INDEX(ar_TaxAmt,135),0)</f>
        <v/>
      </c>
      <c r="O2141" s="101">
        <f>IF(H2141=1,IF(E2141&lt;FYStart,0,IF(E2141&gt;FYEnd,13,YEAR(E2141)*12+MONTH(E2141)-FYYM+1)),"")</f>
        <v/>
      </c>
      <c r="P2141" s="101">
        <f>IF(H2141=1,IF(IFERROR(INDEX(coa_CF,MATCH(I2141,coa_Name,0)),"")="Cash",1,0),0)</f>
        <v/>
      </c>
      <c r="Q2141" s="101">
        <f>IF(H2141=1,IF(IFERROR(INDEX(coa_CF,MATCH(K2141,coa_Name,0)),"")="Cash",1,0),0)</f>
        <v/>
      </c>
      <c r="R2141" s="58">
        <f>IF((P2141-Q2141)=0,"",IFERROR(INDEX(coa_CF,MATCH(IF((P2141-Q2141)=1,K2141,I2141),coa_Name,0)),"Operating"))</f>
        <v/>
      </c>
      <c r="S2141" s="95">
        <f>IF((P2141-Q2141)=1,L2141,IF((P2141-Q2141)=-1,-J2141,0))</f>
        <v/>
      </c>
      <c r="T2141" s="95">
        <f>IF((P2141-Q2141)=1,N2141,IF((P2141-Q2141)=-1,-M2141,0))</f>
        <v/>
      </c>
      <c r="U2141" s="101">
        <f>IF(AND(H2141=1,LedAcct&lt;&gt;""),IF(AND(E2141&gt;=LedFrom,E2141&lt;=LedTo,OR(I2141=LedAcct,K2141=LedAcct,AND(LedAcct=acctTax,M2141+N2141&lt;&gt;0))),E2141*10000+B2141,""),"")</f>
        <v/>
      </c>
    </row>
    <row r="2142">
      <c r="B2142" s="101" t="n">
        <v>2136</v>
      </c>
      <c r="C2142" s="58" t="inlineStr">
        <is>
          <t>Invoice</t>
        </is>
      </c>
      <c r="D2142" s="58">
        <f>IF(H2142=1,INDEX(ar_No,136)&amp;"","")</f>
        <v/>
      </c>
      <c r="E2142" s="94">
        <f>IF(H2142=1,INDEX(ar_Date,136),"")</f>
        <v/>
      </c>
      <c r="F2142" s="58">
        <f>IF(H2142=1,INDEX(ar_Desc,136)&amp;"","")</f>
        <v/>
      </c>
      <c r="G2142" s="58">
        <f>IF(H2142=1,INDEX(ar_Party,136)&amp;"","")</f>
        <v/>
      </c>
      <c r="H2142" s="101">
        <f>IFERROR(N(INDEX(ar_Posted,136)),0)</f>
        <v/>
      </c>
      <c r="I2142" s="58">
        <f>IF(H2142=1,INDEX(ar_DrAcct,136)&amp;"","")</f>
        <v/>
      </c>
      <c r="J2142" s="95">
        <f>IF(H2142=1,INDEX(ar_DrAmt,136),0)</f>
        <v/>
      </c>
      <c r="K2142" s="58">
        <f>IF(H2142=1,INDEX(ar_CrAcct,136)&amp;"","")</f>
        <v/>
      </c>
      <c r="L2142" s="95">
        <f>IF(H2142=1,INDEX(ar_CrAmt,136),0)</f>
        <v/>
      </c>
      <c r="M2142" s="95" t="n">
        <v>0</v>
      </c>
      <c r="N2142" s="95">
        <f>IF(H2142=1,INDEX(ar_TaxAmt,136),0)</f>
        <v/>
      </c>
      <c r="O2142" s="101">
        <f>IF(H2142=1,IF(E2142&lt;FYStart,0,IF(E2142&gt;FYEnd,13,YEAR(E2142)*12+MONTH(E2142)-FYYM+1)),"")</f>
        <v/>
      </c>
      <c r="P2142" s="101">
        <f>IF(H2142=1,IF(IFERROR(INDEX(coa_CF,MATCH(I2142,coa_Name,0)),"")="Cash",1,0),0)</f>
        <v/>
      </c>
      <c r="Q2142" s="101">
        <f>IF(H2142=1,IF(IFERROR(INDEX(coa_CF,MATCH(K2142,coa_Name,0)),"")="Cash",1,0),0)</f>
        <v/>
      </c>
      <c r="R2142" s="58">
        <f>IF((P2142-Q2142)=0,"",IFERROR(INDEX(coa_CF,MATCH(IF((P2142-Q2142)=1,K2142,I2142),coa_Name,0)),"Operating"))</f>
        <v/>
      </c>
      <c r="S2142" s="95">
        <f>IF((P2142-Q2142)=1,L2142,IF((P2142-Q2142)=-1,-J2142,0))</f>
        <v/>
      </c>
      <c r="T2142" s="95">
        <f>IF((P2142-Q2142)=1,N2142,IF((P2142-Q2142)=-1,-M2142,0))</f>
        <v/>
      </c>
      <c r="U2142" s="101">
        <f>IF(AND(H2142=1,LedAcct&lt;&gt;""),IF(AND(E2142&gt;=LedFrom,E2142&lt;=LedTo,OR(I2142=LedAcct,K2142=LedAcct,AND(LedAcct=acctTax,M2142+N2142&lt;&gt;0))),E2142*10000+B2142,""),"")</f>
        <v/>
      </c>
    </row>
    <row r="2143">
      <c r="B2143" s="101" t="n">
        <v>2137</v>
      </c>
      <c r="C2143" s="58" t="inlineStr">
        <is>
          <t>Invoice</t>
        </is>
      </c>
      <c r="D2143" s="58">
        <f>IF(H2143=1,INDEX(ar_No,137)&amp;"","")</f>
        <v/>
      </c>
      <c r="E2143" s="94">
        <f>IF(H2143=1,INDEX(ar_Date,137),"")</f>
        <v/>
      </c>
      <c r="F2143" s="58">
        <f>IF(H2143=1,INDEX(ar_Desc,137)&amp;"","")</f>
        <v/>
      </c>
      <c r="G2143" s="58">
        <f>IF(H2143=1,INDEX(ar_Party,137)&amp;"","")</f>
        <v/>
      </c>
      <c r="H2143" s="101">
        <f>IFERROR(N(INDEX(ar_Posted,137)),0)</f>
        <v/>
      </c>
      <c r="I2143" s="58">
        <f>IF(H2143=1,INDEX(ar_DrAcct,137)&amp;"","")</f>
        <v/>
      </c>
      <c r="J2143" s="95">
        <f>IF(H2143=1,INDEX(ar_DrAmt,137),0)</f>
        <v/>
      </c>
      <c r="K2143" s="58">
        <f>IF(H2143=1,INDEX(ar_CrAcct,137)&amp;"","")</f>
        <v/>
      </c>
      <c r="L2143" s="95">
        <f>IF(H2143=1,INDEX(ar_CrAmt,137),0)</f>
        <v/>
      </c>
      <c r="M2143" s="95" t="n">
        <v>0</v>
      </c>
      <c r="N2143" s="95">
        <f>IF(H2143=1,INDEX(ar_TaxAmt,137),0)</f>
        <v/>
      </c>
      <c r="O2143" s="101">
        <f>IF(H2143=1,IF(E2143&lt;FYStart,0,IF(E2143&gt;FYEnd,13,YEAR(E2143)*12+MONTH(E2143)-FYYM+1)),"")</f>
        <v/>
      </c>
      <c r="P2143" s="101">
        <f>IF(H2143=1,IF(IFERROR(INDEX(coa_CF,MATCH(I2143,coa_Name,0)),"")="Cash",1,0),0)</f>
        <v/>
      </c>
      <c r="Q2143" s="101">
        <f>IF(H2143=1,IF(IFERROR(INDEX(coa_CF,MATCH(K2143,coa_Name,0)),"")="Cash",1,0),0)</f>
        <v/>
      </c>
      <c r="R2143" s="58">
        <f>IF((P2143-Q2143)=0,"",IFERROR(INDEX(coa_CF,MATCH(IF((P2143-Q2143)=1,K2143,I2143),coa_Name,0)),"Operating"))</f>
        <v/>
      </c>
      <c r="S2143" s="95">
        <f>IF((P2143-Q2143)=1,L2143,IF((P2143-Q2143)=-1,-J2143,0))</f>
        <v/>
      </c>
      <c r="T2143" s="95">
        <f>IF((P2143-Q2143)=1,N2143,IF((P2143-Q2143)=-1,-M2143,0))</f>
        <v/>
      </c>
      <c r="U2143" s="101">
        <f>IF(AND(H2143=1,LedAcct&lt;&gt;""),IF(AND(E2143&gt;=LedFrom,E2143&lt;=LedTo,OR(I2143=LedAcct,K2143=LedAcct,AND(LedAcct=acctTax,M2143+N2143&lt;&gt;0))),E2143*10000+B2143,""),"")</f>
        <v/>
      </c>
    </row>
    <row r="2144">
      <c r="B2144" s="101" t="n">
        <v>2138</v>
      </c>
      <c r="C2144" s="58" t="inlineStr">
        <is>
          <t>Invoice</t>
        </is>
      </c>
      <c r="D2144" s="58">
        <f>IF(H2144=1,INDEX(ar_No,138)&amp;"","")</f>
        <v/>
      </c>
      <c r="E2144" s="94">
        <f>IF(H2144=1,INDEX(ar_Date,138),"")</f>
        <v/>
      </c>
      <c r="F2144" s="58">
        <f>IF(H2144=1,INDEX(ar_Desc,138)&amp;"","")</f>
        <v/>
      </c>
      <c r="G2144" s="58">
        <f>IF(H2144=1,INDEX(ar_Party,138)&amp;"","")</f>
        <v/>
      </c>
      <c r="H2144" s="101">
        <f>IFERROR(N(INDEX(ar_Posted,138)),0)</f>
        <v/>
      </c>
      <c r="I2144" s="58">
        <f>IF(H2144=1,INDEX(ar_DrAcct,138)&amp;"","")</f>
        <v/>
      </c>
      <c r="J2144" s="95">
        <f>IF(H2144=1,INDEX(ar_DrAmt,138),0)</f>
        <v/>
      </c>
      <c r="K2144" s="58">
        <f>IF(H2144=1,INDEX(ar_CrAcct,138)&amp;"","")</f>
        <v/>
      </c>
      <c r="L2144" s="95">
        <f>IF(H2144=1,INDEX(ar_CrAmt,138),0)</f>
        <v/>
      </c>
      <c r="M2144" s="95" t="n">
        <v>0</v>
      </c>
      <c r="N2144" s="95">
        <f>IF(H2144=1,INDEX(ar_TaxAmt,138),0)</f>
        <v/>
      </c>
      <c r="O2144" s="101">
        <f>IF(H2144=1,IF(E2144&lt;FYStart,0,IF(E2144&gt;FYEnd,13,YEAR(E2144)*12+MONTH(E2144)-FYYM+1)),"")</f>
        <v/>
      </c>
      <c r="P2144" s="101">
        <f>IF(H2144=1,IF(IFERROR(INDEX(coa_CF,MATCH(I2144,coa_Name,0)),"")="Cash",1,0),0)</f>
        <v/>
      </c>
      <c r="Q2144" s="101">
        <f>IF(H2144=1,IF(IFERROR(INDEX(coa_CF,MATCH(K2144,coa_Name,0)),"")="Cash",1,0),0)</f>
        <v/>
      </c>
      <c r="R2144" s="58">
        <f>IF((P2144-Q2144)=0,"",IFERROR(INDEX(coa_CF,MATCH(IF((P2144-Q2144)=1,K2144,I2144),coa_Name,0)),"Operating"))</f>
        <v/>
      </c>
      <c r="S2144" s="95">
        <f>IF((P2144-Q2144)=1,L2144,IF((P2144-Q2144)=-1,-J2144,0))</f>
        <v/>
      </c>
      <c r="T2144" s="95">
        <f>IF((P2144-Q2144)=1,N2144,IF((P2144-Q2144)=-1,-M2144,0))</f>
        <v/>
      </c>
      <c r="U2144" s="101">
        <f>IF(AND(H2144=1,LedAcct&lt;&gt;""),IF(AND(E2144&gt;=LedFrom,E2144&lt;=LedTo,OR(I2144=LedAcct,K2144=LedAcct,AND(LedAcct=acctTax,M2144+N2144&lt;&gt;0))),E2144*10000+B2144,""),"")</f>
        <v/>
      </c>
    </row>
    <row r="2145">
      <c r="B2145" s="101" t="n">
        <v>2139</v>
      </c>
      <c r="C2145" s="58" t="inlineStr">
        <is>
          <t>Invoice</t>
        </is>
      </c>
      <c r="D2145" s="58">
        <f>IF(H2145=1,INDEX(ar_No,139)&amp;"","")</f>
        <v/>
      </c>
      <c r="E2145" s="94">
        <f>IF(H2145=1,INDEX(ar_Date,139),"")</f>
        <v/>
      </c>
      <c r="F2145" s="58">
        <f>IF(H2145=1,INDEX(ar_Desc,139)&amp;"","")</f>
        <v/>
      </c>
      <c r="G2145" s="58">
        <f>IF(H2145=1,INDEX(ar_Party,139)&amp;"","")</f>
        <v/>
      </c>
      <c r="H2145" s="101">
        <f>IFERROR(N(INDEX(ar_Posted,139)),0)</f>
        <v/>
      </c>
      <c r="I2145" s="58">
        <f>IF(H2145=1,INDEX(ar_DrAcct,139)&amp;"","")</f>
        <v/>
      </c>
      <c r="J2145" s="95">
        <f>IF(H2145=1,INDEX(ar_DrAmt,139),0)</f>
        <v/>
      </c>
      <c r="K2145" s="58">
        <f>IF(H2145=1,INDEX(ar_CrAcct,139)&amp;"","")</f>
        <v/>
      </c>
      <c r="L2145" s="95">
        <f>IF(H2145=1,INDEX(ar_CrAmt,139),0)</f>
        <v/>
      </c>
      <c r="M2145" s="95" t="n">
        <v>0</v>
      </c>
      <c r="N2145" s="95">
        <f>IF(H2145=1,INDEX(ar_TaxAmt,139),0)</f>
        <v/>
      </c>
      <c r="O2145" s="101">
        <f>IF(H2145=1,IF(E2145&lt;FYStart,0,IF(E2145&gt;FYEnd,13,YEAR(E2145)*12+MONTH(E2145)-FYYM+1)),"")</f>
        <v/>
      </c>
      <c r="P2145" s="101">
        <f>IF(H2145=1,IF(IFERROR(INDEX(coa_CF,MATCH(I2145,coa_Name,0)),"")="Cash",1,0),0)</f>
        <v/>
      </c>
      <c r="Q2145" s="101">
        <f>IF(H2145=1,IF(IFERROR(INDEX(coa_CF,MATCH(K2145,coa_Name,0)),"")="Cash",1,0),0)</f>
        <v/>
      </c>
      <c r="R2145" s="58">
        <f>IF((P2145-Q2145)=0,"",IFERROR(INDEX(coa_CF,MATCH(IF((P2145-Q2145)=1,K2145,I2145),coa_Name,0)),"Operating"))</f>
        <v/>
      </c>
      <c r="S2145" s="95">
        <f>IF((P2145-Q2145)=1,L2145,IF((P2145-Q2145)=-1,-J2145,0))</f>
        <v/>
      </c>
      <c r="T2145" s="95">
        <f>IF((P2145-Q2145)=1,N2145,IF((P2145-Q2145)=-1,-M2145,0))</f>
        <v/>
      </c>
      <c r="U2145" s="101">
        <f>IF(AND(H2145=1,LedAcct&lt;&gt;""),IF(AND(E2145&gt;=LedFrom,E2145&lt;=LedTo,OR(I2145=LedAcct,K2145=LedAcct,AND(LedAcct=acctTax,M2145+N2145&lt;&gt;0))),E2145*10000+B2145,""),"")</f>
        <v/>
      </c>
    </row>
    <row r="2146">
      <c r="B2146" s="101" t="n">
        <v>2140</v>
      </c>
      <c r="C2146" s="58" t="inlineStr">
        <is>
          <t>Invoice</t>
        </is>
      </c>
      <c r="D2146" s="58">
        <f>IF(H2146=1,INDEX(ar_No,140)&amp;"","")</f>
        <v/>
      </c>
      <c r="E2146" s="94">
        <f>IF(H2146=1,INDEX(ar_Date,140),"")</f>
        <v/>
      </c>
      <c r="F2146" s="58">
        <f>IF(H2146=1,INDEX(ar_Desc,140)&amp;"","")</f>
        <v/>
      </c>
      <c r="G2146" s="58">
        <f>IF(H2146=1,INDEX(ar_Party,140)&amp;"","")</f>
        <v/>
      </c>
      <c r="H2146" s="101">
        <f>IFERROR(N(INDEX(ar_Posted,140)),0)</f>
        <v/>
      </c>
      <c r="I2146" s="58">
        <f>IF(H2146=1,INDEX(ar_DrAcct,140)&amp;"","")</f>
        <v/>
      </c>
      <c r="J2146" s="95">
        <f>IF(H2146=1,INDEX(ar_DrAmt,140),0)</f>
        <v/>
      </c>
      <c r="K2146" s="58">
        <f>IF(H2146=1,INDEX(ar_CrAcct,140)&amp;"","")</f>
        <v/>
      </c>
      <c r="L2146" s="95">
        <f>IF(H2146=1,INDEX(ar_CrAmt,140),0)</f>
        <v/>
      </c>
      <c r="M2146" s="95" t="n">
        <v>0</v>
      </c>
      <c r="N2146" s="95">
        <f>IF(H2146=1,INDEX(ar_TaxAmt,140),0)</f>
        <v/>
      </c>
      <c r="O2146" s="101">
        <f>IF(H2146=1,IF(E2146&lt;FYStart,0,IF(E2146&gt;FYEnd,13,YEAR(E2146)*12+MONTH(E2146)-FYYM+1)),"")</f>
        <v/>
      </c>
      <c r="P2146" s="101">
        <f>IF(H2146=1,IF(IFERROR(INDEX(coa_CF,MATCH(I2146,coa_Name,0)),"")="Cash",1,0),0)</f>
        <v/>
      </c>
      <c r="Q2146" s="101">
        <f>IF(H2146=1,IF(IFERROR(INDEX(coa_CF,MATCH(K2146,coa_Name,0)),"")="Cash",1,0),0)</f>
        <v/>
      </c>
      <c r="R2146" s="58">
        <f>IF((P2146-Q2146)=0,"",IFERROR(INDEX(coa_CF,MATCH(IF((P2146-Q2146)=1,K2146,I2146),coa_Name,0)),"Operating"))</f>
        <v/>
      </c>
      <c r="S2146" s="95">
        <f>IF((P2146-Q2146)=1,L2146,IF((P2146-Q2146)=-1,-J2146,0))</f>
        <v/>
      </c>
      <c r="T2146" s="95">
        <f>IF((P2146-Q2146)=1,N2146,IF((P2146-Q2146)=-1,-M2146,0))</f>
        <v/>
      </c>
      <c r="U2146" s="101">
        <f>IF(AND(H2146=1,LedAcct&lt;&gt;""),IF(AND(E2146&gt;=LedFrom,E2146&lt;=LedTo,OR(I2146=LedAcct,K2146=LedAcct,AND(LedAcct=acctTax,M2146+N2146&lt;&gt;0))),E2146*10000+B2146,""),"")</f>
        <v/>
      </c>
    </row>
    <row r="2147">
      <c r="B2147" s="101" t="n">
        <v>2141</v>
      </c>
      <c r="C2147" s="58" t="inlineStr">
        <is>
          <t>Invoice</t>
        </is>
      </c>
      <c r="D2147" s="58">
        <f>IF(H2147=1,INDEX(ar_No,141)&amp;"","")</f>
        <v/>
      </c>
      <c r="E2147" s="94">
        <f>IF(H2147=1,INDEX(ar_Date,141),"")</f>
        <v/>
      </c>
      <c r="F2147" s="58">
        <f>IF(H2147=1,INDEX(ar_Desc,141)&amp;"","")</f>
        <v/>
      </c>
      <c r="G2147" s="58">
        <f>IF(H2147=1,INDEX(ar_Party,141)&amp;"","")</f>
        <v/>
      </c>
      <c r="H2147" s="101">
        <f>IFERROR(N(INDEX(ar_Posted,141)),0)</f>
        <v/>
      </c>
      <c r="I2147" s="58">
        <f>IF(H2147=1,INDEX(ar_DrAcct,141)&amp;"","")</f>
        <v/>
      </c>
      <c r="J2147" s="95">
        <f>IF(H2147=1,INDEX(ar_DrAmt,141),0)</f>
        <v/>
      </c>
      <c r="K2147" s="58">
        <f>IF(H2147=1,INDEX(ar_CrAcct,141)&amp;"","")</f>
        <v/>
      </c>
      <c r="L2147" s="95">
        <f>IF(H2147=1,INDEX(ar_CrAmt,141),0)</f>
        <v/>
      </c>
      <c r="M2147" s="95" t="n">
        <v>0</v>
      </c>
      <c r="N2147" s="95">
        <f>IF(H2147=1,INDEX(ar_TaxAmt,141),0)</f>
        <v/>
      </c>
      <c r="O2147" s="101">
        <f>IF(H2147=1,IF(E2147&lt;FYStart,0,IF(E2147&gt;FYEnd,13,YEAR(E2147)*12+MONTH(E2147)-FYYM+1)),"")</f>
        <v/>
      </c>
      <c r="P2147" s="101">
        <f>IF(H2147=1,IF(IFERROR(INDEX(coa_CF,MATCH(I2147,coa_Name,0)),"")="Cash",1,0),0)</f>
        <v/>
      </c>
      <c r="Q2147" s="101">
        <f>IF(H2147=1,IF(IFERROR(INDEX(coa_CF,MATCH(K2147,coa_Name,0)),"")="Cash",1,0),0)</f>
        <v/>
      </c>
      <c r="R2147" s="58">
        <f>IF((P2147-Q2147)=0,"",IFERROR(INDEX(coa_CF,MATCH(IF((P2147-Q2147)=1,K2147,I2147),coa_Name,0)),"Operating"))</f>
        <v/>
      </c>
      <c r="S2147" s="95">
        <f>IF((P2147-Q2147)=1,L2147,IF((P2147-Q2147)=-1,-J2147,0))</f>
        <v/>
      </c>
      <c r="T2147" s="95">
        <f>IF((P2147-Q2147)=1,N2147,IF((P2147-Q2147)=-1,-M2147,0))</f>
        <v/>
      </c>
      <c r="U2147" s="101">
        <f>IF(AND(H2147=1,LedAcct&lt;&gt;""),IF(AND(E2147&gt;=LedFrom,E2147&lt;=LedTo,OR(I2147=LedAcct,K2147=LedAcct,AND(LedAcct=acctTax,M2147+N2147&lt;&gt;0))),E2147*10000+B2147,""),"")</f>
        <v/>
      </c>
    </row>
    <row r="2148">
      <c r="B2148" s="101" t="n">
        <v>2142</v>
      </c>
      <c r="C2148" s="58" t="inlineStr">
        <is>
          <t>Invoice</t>
        </is>
      </c>
      <c r="D2148" s="58">
        <f>IF(H2148=1,INDEX(ar_No,142)&amp;"","")</f>
        <v/>
      </c>
      <c r="E2148" s="94">
        <f>IF(H2148=1,INDEX(ar_Date,142),"")</f>
        <v/>
      </c>
      <c r="F2148" s="58">
        <f>IF(H2148=1,INDEX(ar_Desc,142)&amp;"","")</f>
        <v/>
      </c>
      <c r="G2148" s="58">
        <f>IF(H2148=1,INDEX(ar_Party,142)&amp;"","")</f>
        <v/>
      </c>
      <c r="H2148" s="101">
        <f>IFERROR(N(INDEX(ar_Posted,142)),0)</f>
        <v/>
      </c>
      <c r="I2148" s="58">
        <f>IF(H2148=1,INDEX(ar_DrAcct,142)&amp;"","")</f>
        <v/>
      </c>
      <c r="J2148" s="95">
        <f>IF(H2148=1,INDEX(ar_DrAmt,142),0)</f>
        <v/>
      </c>
      <c r="K2148" s="58">
        <f>IF(H2148=1,INDEX(ar_CrAcct,142)&amp;"","")</f>
        <v/>
      </c>
      <c r="L2148" s="95">
        <f>IF(H2148=1,INDEX(ar_CrAmt,142),0)</f>
        <v/>
      </c>
      <c r="M2148" s="95" t="n">
        <v>0</v>
      </c>
      <c r="N2148" s="95">
        <f>IF(H2148=1,INDEX(ar_TaxAmt,142),0)</f>
        <v/>
      </c>
      <c r="O2148" s="101">
        <f>IF(H2148=1,IF(E2148&lt;FYStart,0,IF(E2148&gt;FYEnd,13,YEAR(E2148)*12+MONTH(E2148)-FYYM+1)),"")</f>
        <v/>
      </c>
      <c r="P2148" s="101">
        <f>IF(H2148=1,IF(IFERROR(INDEX(coa_CF,MATCH(I2148,coa_Name,0)),"")="Cash",1,0),0)</f>
        <v/>
      </c>
      <c r="Q2148" s="101">
        <f>IF(H2148=1,IF(IFERROR(INDEX(coa_CF,MATCH(K2148,coa_Name,0)),"")="Cash",1,0),0)</f>
        <v/>
      </c>
      <c r="R2148" s="58">
        <f>IF((P2148-Q2148)=0,"",IFERROR(INDEX(coa_CF,MATCH(IF((P2148-Q2148)=1,K2148,I2148),coa_Name,0)),"Operating"))</f>
        <v/>
      </c>
      <c r="S2148" s="95">
        <f>IF((P2148-Q2148)=1,L2148,IF((P2148-Q2148)=-1,-J2148,0))</f>
        <v/>
      </c>
      <c r="T2148" s="95">
        <f>IF((P2148-Q2148)=1,N2148,IF((P2148-Q2148)=-1,-M2148,0))</f>
        <v/>
      </c>
      <c r="U2148" s="101">
        <f>IF(AND(H2148=1,LedAcct&lt;&gt;""),IF(AND(E2148&gt;=LedFrom,E2148&lt;=LedTo,OR(I2148=LedAcct,K2148=LedAcct,AND(LedAcct=acctTax,M2148+N2148&lt;&gt;0))),E2148*10000+B2148,""),"")</f>
        <v/>
      </c>
    </row>
    <row r="2149">
      <c r="B2149" s="101" t="n">
        <v>2143</v>
      </c>
      <c r="C2149" s="58" t="inlineStr">
        <is>
          <t>Invoice</t>
        </is>
      </c>
      <c r="D2149" s="58">
        <f>IF(H2149=1,INDEX(ar_No,143)&amp;"","")</f>
        <v/>
      </c>
      <c r="E2149" s="94">
        <f>IF(H2149=1,INDEX(ar_Date,143),"")</f>
        <v/>
      </c>
      <c r="F2149" s="58">
        <f>IF(H2149=1,INDEX(ar_Desc,143)&amp;"","")</f>
        <v/>
      </c>
      <c r="G2149" s="58">
        <f>IF(H2149=1,INDEX(ar_Party,143)&amp;"","")</f>
        <v/>
      </c>
      <c r="H2149" s="101">
        <f>IFERROR(N(INDEX(ar_Posted,143)),0)</f>
        <v/>
      </c>
      <c r="I2149" s="58">
        <f>IF(H2149=1,INDEX(ar_DrAcct,143)&amp;"","")</f>
        <v/>
      </c>
      <c r="J2149" s="95">
        <f>IF(H2149=1,INDEX(ar_DrAmt,143),0)</f>
        <v/>
      </c>
      <c r="K2149" s="58">
        <f>IF(H2149=1,INDEX(ar_CrAcct,143)&amp;"","")</f>
        <v/>
      </c>
      <c r="L2149" s="95">
        <f>IF(H2149=1,INDEX(ar_CrAmt,143),0)</f>
        <v/>
      </c>
      <c r="M2149" s="95" t="n">
        <v>0</v>
      </c>
      <c r="N2149" s="95">
        <f>IF(H2149=1,INDEX(ar_TaxAmt,143),0)</f>
        <v/>
      </c>
      <c r="O2149" s="101">
        <f>IF(H2149=1,IF(E2149&lt;FYStart,0,IF(E2149&gt;FYEnd,13,YEAR(E2149)*12+MONTH(E2149)-FYYM+1)),"")</f>
        <v/>
      </c>
      <c r="P2149" s="101">
        <f>IF(H2149=1,IF(IFERROR(INDEX(coa_CF,MATCH(I2149,coa_Name,0)),"")="Cash",1,0),0)</f>
        <v/>
      </c>
      <c r="Q2149" s="101">
        <f>IF(H2149=1,IF(IFERROR(INDEX(coa_CF,MATCH(K2149,coa_Name,0)),"")="Cash",1,0),0)</f>
        <v/>
      </c>
      <c r="R2149" s="58">
        <f>IF((P2149-Q2149)=0,"",IFERROR(INDEX(coa_CF,MATCH(IF((P2149-Q2149)=1,K2149,I2149),coa_Name,0)),"Operating"))</f>
        <v/>
      </c>
      <c r="S2149" s="95">
        <f>IF((P2149-Q2149)=1,L2149,IF((P2149-Q2149)=-1,-J2149,0))</f>
        <v/>
      </c>
      <c r="T2149" s="95">
        <f>IF((P2149-Q2149)=1,N2149,IF((P2149-Q2149)=-1,-M2149,0))</f>
        <v/>
      </c>
      <c r="U2149" s="101">
        <f>IF(AND(H2149=1,LedAcct&lt;&gt;""),IF(AND(E2149&gt;=LedFrom,E2149&lt;=LedTo,OR(I2149=LedAcct,K2149=LedAcct,AND(LedAcct=acctTax,M2149+N2149&lt;&gt;0))),E2149*10000+B2149,""),"")</f>
        <v/>
      </c>
    </row>
    <row r="2150">
      <c r="B2150" s="101" t="n">
        <v>2144</v>
      </c>
      <c r="C2150" s="58" t="inlineStr">
        <is>
          <t>Invoice</t>
        </is>
      </c>
      <c r="D2150" s="58">
        <f>IF(H2150=1,INDEX(ar_No,144)&amp;"","")</f>
        <v/>
      </c>
      <c r="E2150" s="94">
        <f>IF(H2150=1,INDEX(ar_Date,144),"")</f>
        <v/>
      </c>
      <c r="F2150" s="58">
        <f>IF(H2150=1,INDEX(ar_Desc,144)&amp;"","")</f>
        <v/>
      </c>
      <c r="G2150" s="58">
        <f>IF(H2150=1,INDEX(ar_Party,144)&amp;"","")</f>
        <v/>
      </c>
      <c r="H2150" s="101">
        <f>IFERROR(N(INDEX(ar_Posted,144)),0)</f>
        <v/>
      </c>
      <c r="I2150" s="58">
        <f>IF(H2150=1,INDEX(ar_DrAcct,144)&amp;"","")</f>
        <v/>
      </c>
      <c r="J2150" s="95">
        <f>IF(H2150=1,INDEX(ar_DrAmt,144),0)</f>
        <v/>
      </c>
      <c r="K2150" s="58">
        <f>IF(H2150=1,INDEX(ar_CrAcct,144)&amp;"","")</f>
        <v/>
      </c>
      <c r="L2150" s="95">
        <f>IF(H2150=1,INDEX(ar_CrAmt,144),0)</f>
        <v/>
      </c>
      <c r="M2150" s="95" t="n">
        <v>0</v>
      </c>
      <c r="N2150" s="95">
        <f>IF(H2150=1,INDEX(ar_TaxAmt,144),0)</f>
        <v/>
      </c>
      <c r="O2150" s="101">
        <f>IF(H2150=1,IF(E2150&lt;FYStart,0,IF(E2150&gt;FYEnd,13,YEAR(E2150)*12+MONTH(E2150)-FYYM+1)),"")</f>
        <v/>
      </c>
      <c r="P2150" s="101">
        <f>IF(H2150=1,IF(IFERROR(INDEX(coa_CF,MATCH(I2150,coa_Name,0)),"")="Cash",1,0),0)</f>
        <v/>
      </c>
      <c r="Q2150" s="101">
        <f>IF(H2150=1,IF(IFERROR(INDEX(coa_CF,MATCH(K2150,coa_Name,0)),"")="Cash",1,0),0)</f>
        <v/>
      </c>
      <c r="R2150" s="58">
        <f>IF((P2150-Q2150)=0,"",IFERROR(INDEX(coa_CF,MATCH(IF((P2150-Q2150)=1,K2150,I2150),coa_Name,0)),"Operating"))</f>
        <v/>
      </c>
      <c r="S2150" s="95">
        <f>IF((P2150-Q2150)=1,L2150,IF((P2150-Q2150)=-1,-J2150,0))</f>
        <v/>
      </c>
      <c r="T2150" s="95">
        <f>IF((P2150-Q2150)=1,N2150,IF((P2150-Q2150)=-1,-M2150,0))</f>
        <v/>
      </c>
      <c r="U2150" s="101">
        <f>IF(AND(H2150=1,LedAcct&lt;&gt;""),IF(AND(E2150&gt;=LedFrom,E2150&lt;=LedTo,OR(I2150=LedAcct,K2150=LedAcct,AND(LedAcct=acctTax,M2150+N2150&lt;&gt;0))),E2150*10000+B2150,""),"")</f>
        <v/>
      </c>
    </row>
    <row r="2151">
      <c r="B2151" s="101" t="n">
        <v>2145</v>
      </c>
      <c r="C2151" s="58" t="inlineStr">
        <is>
          <t>Invoice</t>
        </is>
      </c>
      <c r="D2151" s="58">
        <f>IF(H2151=1,INDEX(ar_No,145)&amp;"","")</f>
        <v/>
      </c>
      <c r="E2151" s="94">
        <f>IF(H2151=1,INDEX(ar_Date,145),"")</f>
        <v/>
      </c>
      <c r="F2151" s="58">
        <f>IF(H2151=1,INDEX(ar_Desc,145)&amp;"","")</f>
        <v/>
      </c>
      <c r="G2151" s="58">
        <f>IF(H2151=1,INDEX(ar_Party,145)&amp;"","")</f>
        <v/>
      </c>
      <c r="H2151" s="101">
        <f>IFERROR(N(INDEX(ar_Posted,145)),0)</f>
        <v/>
      </c>
      <c r="I2151" s="58">
        <f>IF(H2151=1,INDEX(ar_DrAcct,145)&amp;"","")</f>
        <v/>
      </c>
      <c r="J2151" s="95">
        <f>IF(H2151=1,INDEX(ar_DrAmt,145),0)</f>
        <v/>
      </c>
      <c r="K2151" s="58">
        <f>IF(H2151=1,INDEX(ar_CrAcct,145)&amp;"","")</f>
        <v/>
      </c>
      <c r="L2151" s="95">
        <f>IF(H2151=1,INDEX(ar_CrAmt,145),0)</f>
        <v/>
      </c>
      <c r="M2151" s="95" t="n">
        <v>0</v>
      </c>
      <c r="N2151" s="95">
        <f>IF(H2151=1,INDEX(ar_TaxAmt,145),0)</f>
        <v/>
      </c>
      <c r="O2151" s="101">
        <f>IF(H2151=1,IF(E2151&lt;FYStart,0,IF(E2151&gt;FYEnd,13,YEAR(E2151)*12+MONTH(E2151)-FYYM+1)),"")</f>
        <v/>
      </c>
      <c r="P2151" s="101">
        <f>IF(H2151=1,IF(IFERROR(INDEX(coa_CF,MATCH(I2151,coa_Name,0)),"")="Cash",1,0),0)</f>
        <v/>
      </c>
      <c r="Q2151" s="101">
        <f>IF(H2151=1,IF(IFERROR(INDEX(coa_CF,MATCH(K2151,coa_Name,0)),"")="Cash",1,0),0)</f>
        <v/>
      </c>
      <c r="R2151" s="58">
        <f>IF((P2151-Q2151)=0,"",IFERROR(INDEX(coa_CF,MATCH(IF((P2151-Q2151)=1,K2151,I2151),coa_Name,0)),"Operating"))</f>
        <v/>
      </c>
      <c r="S2151" s="95">
        <f>IF((P2151-Q2151)=1,L2151,IF((P2151-Q2151)=-1,-J2151,0))</f>
        <v/>
      </c>
      <c r="T2151" s="95">
        <f>IF((P2151-Q2151)=1,N2151,IF((P2151-Q2151)=-1,-M2151,0))</f>
        <v/>
      </c>
      <c r="U2151" s="101">
        <f>IF(AND(H2151=1,LedAcct&lt;&gt;""),IF(AND(E2151&gt;=LedFrom,E2151&lt;=LedTo,OR(I2151=LedAcct,K2151=LedAcct,AND(LedAcct=acctTax,M2151+N2151&lt;&gt;0))),E2151*10000+B2151,""),"")</f>
        <v/>
      </c>
    </row>
    <row r="2152">
      <c r="B2152" s="101" t="n">
        <v>2146</v>
      </c>
      <c r="C2152" s="58" t="inlineStr">
        <is>
          <t>Invoice</t>
        </is>
      </c>
      <c r="D2152" s="58">
        <f>IF(H2152=1,INDEX(ar_No,146)&amp;"","")</f>
        <v/>
      </c>
      <c r="E2152" s="94">
        <f>IF(H2152=1,INDEX(ar_Date,146),"")</f>
        <v/>
      </c>
      <c r="F2152" s="58">
        <f>IF(H2152=1,INDEX(ar_Desc,146)&amp;"","")</f>
        <v/>
      </c>
      <c r="G2152" s="58">
        <f>IF(H2152=1,INDEX(ar_Party,146)&amp;"","")</f>
        <v/>
      </c>
      <c r="H2152" s="101">
        <f>IFERROR(N(INDEX(ar_Posted,146)),0)</f>
        <v/>
      </c>
      <c r="I2152" s="58">
        <f>IF(H2152=1,INDEX(ar_DrAcct,146)&amp;"","")</f>
        <v/>
      </c>
      <c r="J2152" s="95">
        <f>IF(H2152=1,INDEX(ar_DrAmt,146),0)</f>
        <v/>
      </c>
      <c r="K2152" s="58">
        <f>IF(H2152=1,INDEX(ar_CrAcct,146)&amp;"","")</f>
        <v/>
      </c>
      <c r="L2152" s="95">
        <f>IF(H2152=1,INDEX(ar_CrAmt,146),0)</f>
        <v/>
      </c>
      <c r="M2152" s="95" t="n">
        <v>0</v>
      </c>
      <c r="N2152" s="95">
        <f>IF(H2152=1,INDEX(ar_TaxAmt,146),0)</f>
        <v/>
      </c>
      <c r="O2152" s="101">
        <f>IF(H2152=1,IF(E2152&lt;FYStart,0,IF(E2152&gt;FYEnd,13,YEAR(E2152)*12+MONTH(E2152)-FYYM+1)),"")</f>
        <v/>
      </c>
      <c r="P2152" s="101">
        <f>IF(H2152=1,IF(IFERROR(INDEX(coa_CF,MATCH(I2152,coa_Name,0)),"")="Cash",1,0),0)</f>
        <v/>
      </c>
      <c r="Q2152" s="101">
        <f>IF(H2152=1,IF(IFERROR(INDEX(coa_CF,MATCH(K2152,coa_Name,0)),"")="Cash",1,0),0)</f>
        <v/>
      </c>
      <c r="R2152" s="58">
        <f>IF((P2152-Q2152)=0,"",IFERROR(INDEX(coa_CF,MATCH(IF((P2152-Q2152)=1,K2152,I2152),coa_Name,0)),"Operating"))</f>
        <v/>
      </c>
      <c r="S2152" s="95">
        <f>IF((P2152-Q2152)=1,L2152,IF((P2152-Q2152)=-1,-J2152,0))</f>
        <v/>
      </c>
      <c r="T2152" s="95">
        <f>IF((P2152-Q2152)=1,N2152,IF((P2152-Q2152)=-1,-M2152,0))</f>
        <v/>
      </c>
      <c r="U2152" s="101">
        <f>IF(AND(H2152=1,LedAcct&lt;&gt;""),IF(AND(E2152&gt;=LedFrom,E2152&lt;=LedTo,OR(I2152=LedAcct,K2152=LedAcct,AND(LedAcct=acctTax,M2152+N2152&lt;&gt;0))),E2152*10000+B2152,""),"")</f>
        <v/>
      </c>
    </row>
    <row r="2153">
      <c r="B2153" s="101" t="n">
        <v>2147</v>
      </c>
      <c r="C2153" s="58" t="inlineStr">
        <is>
          <t>Invoice</t>
        </is>
      </c>
      <c r="D2153" s="58">
        <f>IF(H2153=1,INDEX(ar_No,147)&amp;"","")</f>
        <v/>
      </c>
      <c r="E2153" s="94">
        <f>IF(H2153=1,INDEX(ar_Date,147),"")</f>
        <v/>
      </c>
      <c r="F2153" s="58">
        <f>IF(H2153=1,INDEX(ar_Desc,147)&amp;"","")</f>
        <v/>
      </c>
      <c r="G2153" s="58">
        <f>IF(H2153=1,INDEX(ar_Party,147)&amp;"","")</f>
        <v/>
      </c>
      <c r="H2153" s="101">
        <f>IFERROR(N(INDEX(ar_Posted,147)),0)</f>
        <v/>
      </c>
      <c r="I2153" s="58">
        <f>IF(H2153=1,INDEX(ar_DrAcct,147)&amp;"","")</f>
        <v/>
      </c>
      <c r="J2153" s="95">
        <f>IF(H2153=1,INDEX(ar_DrAmt,147),0)</f>
        <v/>
      </c>
      <c r="K2153" s="58">
        <f>IF(H2153=1,INDEX(ar_CrAcct,147)&amp;"","")</f>
        <v/>
      </c>
      <c r="L2153" s="95">
        <f>IF(H2153=1,INDEX(ar_CrAmt,147),0)</f>
        <v/>
      </c>
      <c r="M2153" s="95" t="n">
        <v>0</v>
      </c>
      <c r="N2153" s="95">
        <f>IF(H2153=1,INDEX(ar_TaxAmt,147),0)</f>
        <v/>
      </c>
      <c r="O2153" s="101">
        <f>IF(H2153=1,IF(E2153&lt;FYStart,0,IF(E2153&gt;FYEnd,13,YEAR(E2153)*12+MONTH(E2153)-FYYM+1)),"")</f>
        <v/>
      </c>
      <c r="P2153" s="101">
        <f>IF(H2153=1,IF(IFERROR(INDEX(coa_CF,MATCH(I2153,coa_Name,0)),"")="Cash",1,0),0)</f>
        <v/>
      </c>
      <c r="Q2153" s="101">
        <f>IF(H2153=1,IF(IFERROR(INDEX(coa_CF,MATCH(K2153,coa_Name,0)),"")="Cash",1,0),0)</f>
        <v/>
      </c>
      <c r="R2153" s="58">
        <f>IF((P2153-Q2153)=0,"",IFERROR(INDEX(coa_CF,MATCH(IF((P2153-Q2153)=1,K2153,I2153),coa_Name,0)),"Operating"))</f>
        <v/>
      </c>
      <c r="S2153" s="95">
        <f>IF((P2153-Q2153)=1,L2153,IF((P2153-Q2153)=-1,-J2153,0))</f>
        <v/>
      </c>
      <c r="T2153" s="95">
        <f>IF((P2153-Q2153)=1,N2153,IF((P2153-Q2153)=-1,-M2153,0))</f>
        <v/>
      </c>
      <c r="U2153" s="101">
        <f>IF(AND(H2153=1,LedAcct&lt;&gt;""),IF(AND(E2153&gt;=LedFrom,E2153&lt;=LedTo,OR(I2153=LedAcct,K2153=LedAcct,AND(LedAcct=acctTax,M2153+N2153&lt;&gt;0))),E2153*10000+B2153,""),"")</f>
        <v/>
      </c>
    </row>
    <row r="2154">
      <c r="B2154" s="101" t="n">
        <v>2148</v>
      </c>
      <c r="C2154" s="58" t="inlineStr">
        <is>
          <t>Invoice</t>
        </is>
      </c>
      <c r="D2154" s="58">
        <f>IF(H2154=1,INDEX(ar_No,148)&amp;"","")</f>
        <v/>
      </c>
      <c r="E2154" s="94">
        <f>IF(H2154=1,INDEX(ar_Date,148),"")</f>
        <v/>
      </c>
      <c r="F2154" s="58">
        <f>IF(H2154=1,INDEX(ar_Desc,148)&amp;"","")</f>
        <v/>
      </c>
      <c r="G2154" s="58">
        <f>IF(H2154=1,INDEX(ar_Party,148)&amp;"","")</f>
        <v/>
      </c>
      <c r="H2154" s="101">
        <f>IFERROR(N(INDEX(ar_Posted,148)),0)</f>
        <v/>
      </c>
      <c r="I2154" s="58">
        <f>IF(H2154=1,INDEX(ar_DrAcct,148)&amp;"","")</f>
        <v/>
      </c>
      <c r="J2154" s="95">
        <f>IF(H2154=1,INDEX(ar_DrAmt,148),0)</f>
        <v/>
      </c>
      <c r="K2154" s="58">
        <f>IF(H2154=1,INDEX(ar_CrAcct,148)&amp;"","")</f>
        <v/>
      </c>
      <c r="L2154" s="95">
        <f>IF(H2154=1,INDEX(ar_CrAmt,148),0)</f>
        <v/>
      </c>
      <c r="M2154" s="95" t="n">
        <v>0</v>
      </c>
      <c r="N2154" s="95">
        <f>IF(H2154=1,INDEX(ar_TaxAmt,148),0)</f>
        <v/>
      </c>
      <c r="O2154" s="101">
        <f>IF(H2154=1,IF(E2154&lt;FYStart,0,IF(E2154&gt;FYEnd,13,YEAR(E2154)*12+MONTH(E2154)-FYYM+1)),"")</f>
        <v/>
      </c>
      <c r="P2154" s="101">
        <f>IF(H2154=1,IF(IFERROR(INDEX(coa_CF,MATCH(I2154,coa_Name,0)),"")="Cash",1,0),0)</f>
        <v/>
      </c>
      <c r="Q2154" s="101">
        <f>IF(H2154=1,IF(IFERROR(INDEX(coa_CF,MATCH(K2154,coa_Name,0)),"")="Cash",1,0),0)</f>
        <v/>
      </c>
      <c r="R2154" s="58">
        <f>IF((P2154-Q2154)=0,"",IFERROR(INDEX(coa_CF,MATCH(IF((P2154-Q2154)=1,K2154,I2154),coa_Name,0)),"Operating"))</f>
        <v/>
      </c>
      <c r="S2154" s="95">
        <f>IF((P2154-Q2154)=1,L2154,IF((P2154-Q2154)=-1,-J2154,0))</f>
        <v/>
      </c>
      <c r="T2154" s="95">
        <f>IF((P2154-Q2154)=1,N2154,IF((P2154-Q2154)=-1,-M2154,0))</f>
        <v/>
      </c>
      <c r="U2154" s="101">
        <f>IF(AND(H2154=1,LedAcct&lt;&gt;""),IF(AND(E2154&gt;=LedFrom,E2154&lt;=LedTo,OR(I2154=LedAcct,K2154=LedAcct,AND(LedAcct=acctTax,M2154+N2154&lt;&gt;0))),E2154*10000+B2154,""),"")</f>
        <v/>
      </c>
    </row>
    <row r="2155">
      <c r="B2155" s="101" t="n">
        <v>2149</v>
      </c>
      <c r="C2155" s="58" t="inlineStr">
        <is>
          <t>Invoice</t>
        </is>
      </c>
      <c r="D2155" s="58">
        <f>IF(H2155=1,INDEX(ar_No,149)&amp;"","")</f>
        <v/>
      </c>
      <c r="E2155" s="94">
        <f>IF(H2155=1,INDEX(ar_Date,149),"")</f>
        <v/>
      </c>
      <c r="F2155" s="58">
        <f>IF(H2155=1,INDEX(ar_Desc,149)&amp;"","")</f>
        <v/>
      </c>
      <c r="G2155" s="58">
        <f>IF(H2155=1,INDEX(ar_Party,149)&amp;"","")</f>
        <v/>
      </c>
      <c r="H2155" s="101">
        <f>IFERROR(N(INDEX(ar_Posted,149)),0)</f>
        <v/>
      </c>
      <c r="I2155" s="58">
        <f>IF(H2155=1,INDEX(ar_DrAcct,149)&amp;"","")</f>
        <v/>
      </c>
      <c r="J2155" s="95">
        <f>IF(H2155=1,INDEX(ar_DrAmt,149),0)</f>
        <v/>
      </c>
      <c r="K2155" s="58">
        <f>IF(H2155=1,INDEX(ar_CrAcct,149)&amp;"","")</f>
        <v/>
      </c>
      <c r="L2155" s="95">
        <f>IF(H2155=1,INDEX(ar_CrAmt,149),0)</f>
        <v/>
      </c>
      <c r="M2155" s="95" t="n">
        <v>0</v>
      </c>
      <c r="N2155" s="95">
        <f>IF(H2155=1,INDEX(ar_TaxAmt,149),0)</f>
        <v/>
      </c>
      <c r="O2155" s="101">
        <f>IF(H2155=1,IF(E2155&lt;FYStart,0,IF(E2155&gt;FYEnd,13,YEAR(E2155)*12+MONTH(E2155)-FYYM+1)),"")</f>
        <v/>
      </c>
      <c r="P2155" s="101">
        <f>IF(H2155=1,IF(IFERROR(INDEX(coa_CF,MATCH(I2155,coa_Name,0)),"")="Cash",1,0),0)</f>
        <v/>
      </c>
      <c r="Q2155" s="101">
        <f>IF(H2155=1,IF(IFERROR(INDEX(coa_CF,MATCH(K2155,coa_Name,0)),"")="Cash",1,0),0)</f>
        <v/>
      </c>
      <c r="R2155" s="58">
        <f>IF((P2155-Q2155)=0,"",IFERROR(INDEX(coa_CF,MATCH(IF((P2155-Q2155)=1,K2155,I2155),coa_Name,0)),"Operating"))</f>
        <v/>
      </c>
      <c r="S2155" s="95">
        <f>IF((P2155-Q2155)=1,L2155,IF((P2155-Q2155)=-1,-J2155,0))</f>
        <v/>
      </c>
      <c r="T2155" s="95">
        <f>IF((P2155-Q2155)=1,N2155,IF((P2155-Q2155)=-1,-M2155,0))</f>
        <v/>
      </c>
      <c r="U2155" s="101">
        <f>IF(AND(H2155=1,LedAcct&lt;&gt;""),IF(AND(E2155&gt;=LedFrom,E2155&lt;=LedTo,OR(I2155=LedAcct,K2155=LedAcct,AND(LedAcct=acctTax,M2155+N2155&lt;&gt;0))),E2155*10000+B2155,""),"")</f>
        <v/>
      </c>
    </row>
    <row r="2156">
      <c r="B2156" s="101" t="n">
        <v>2150</v>
      </c>
      <c r="C2156" s="58" t="inlineStr">
        <is>
          <t>Invoice</t>
        </is>
      </c>
      <c r="D2156" s="58">
        <f>IF(H2156=1,INDEX(ar_No,150)&amp;"","")</f>
        <v/>
      </c>
      <c r="E2156" s="94">
        <f>IF(H2156=1,INDEX(ar_Date,150),"")</f>
        <v/>
      </c>
      <c r="F2156" s="58">
        <f>IF(H2156=1,INDEX(ar_Desc,150)&amp;"","")</f>
        <v/>
      </c>
      <c r="G2156" s="58">
        <f>IF(H2156=1,INDEX(ar_Party,150)&amp;"","")</f>
        <v/>
      </c>
      <c r="H2156" s="101">
        <f>IFERROR(N(INDEX(ar_Posted,150)),0)</f>
        <v/>
      </c>
      <c r="I2156" s="58">
        <f>IF(H2156=1,INDEX(ar_DrAcct,150)&amp;"","")</f>
        <v/>
      </c>
      <c r="J2156" s="95">
        <f>IF(H2156=1,INDEX(ar_DrAmt,150),0)</f>
        <v/>
      </c>
      <c r="K2156" s="58">
        <f>IF(H2156=1,INDEX(ar_CrAcct,150)&amp;"","")</f>
        <v/>
      </c>
      <c r="L2156" s="95">
        <f>IF(H2156=1,INDEX(ar_CrAmt,150),0)</f>
        <v/>
      </c>
      <c r="M2156" s="95" t="n">
        <v>0</v>
      </c>
      <c r="N2156" s="95">
        <f>IF(H2156=1,INDEX(ar_TaxAmt,150),0)</f>
        <v/>
      </c>
      <c r="O2156" s="101">
        <f>IF(H2156=1,IF(E2156&lt;FYStart,0,IF(E2156&gt;FYEnd,13,YEAR(E2156)*12+MONTH(E2156)-FYYM+1)),"")</f>
        <v/>
      </c>
      <c r="P2156" s="101">
        <f>IF(H2156=1,IF(IFERROR(INDEX(coa_CF,MATCH(I2156,coa_Name,0)),"")="Cash",1,0),0)</f>
        <v/>
      </c>
      <c r="Q2156" s="101">
        <f>IF(H2156=1,IF(IFERROR(INDEX(coa_CF,MATCH(K2156,coa_Name,0)),"")="Cash",1,0),0)</f>
        <v/>
      </c>
      <c r="R2156" s="58">
        <f>IF((P2156-Q2156)=0,"",IFERROR(INDEX(coa_CF,MATCH(IF((P2156-Q2156)=1,K2156,I2156),coa_Name,0)),"Operating"))</f>
        <v/>
      </c>
      <c r="S2156" s="95">
        <f>IF((P2156-Q2156)=1,L2156,IF((P2156-Q2156)=-1,-J2156,0))</f>
        <v/>
      </c>
      <c r="T2156" s="95">
        <f>IF((P2156-Q2156)=1,N2156,IF((P2156-Q2156)=-1,-M2156,0))</f>
        <v/>
      </c>
      <c r="U2156" s="101">
        <f>IF(AND(H2156=1,LedAcct&lt;&gt;""),IF(AND(E2156&gt;=LedFrom,E2156&lt;=LedTo,OR(I2156=LedAcct,K2156=LedAcct,AND(LedAcct=acctTax,M2156+N2156&lt;&gt;0))),E2156*10000+B2156,""),"")</f>
        <v/>
      </c>
    </row>
    <row r="2157">
      <c r="B2157" s="101" t="n">
        <v>2151</v>
      </c>
      <c r="C2157" s="58" t="inlineStr">
        <is>
          <t>Invoice</t>
        </is>
      </c>
      <c r="D2157" s="58">
        <f>IF(H2157=1,INDEX(ar_No,151)&amp;"","")</f>
        <v/>
      </c>
      <c r="E2157" s="94">
        <f>IF(H2157=1,INDEX(ar_Date,151),"")</f>
        <v/>
      </c>
      <c r="F2157" s="58">
        <f>IF(H2157=1,INDEX(ar_Desc,151)&amp;"","")</f>
        <v/>
      </c>
      <c r="G2157" s="58">
        <f>IF(H2157=1,INDEX(ar_Party,151)&amp;"","")</f>
        <v/>
      </c>
      <c r="H2157" s="101">
        <f>IFERROR(N(INDEX(ar_Posted,151)),0)</f>
        <v/>
      </c>
      <c r="I2157" s="58">
        <f>IF(H2157=1,INDEX(ar_DrAcct,151)&amp;"","")</f>
        <v/>
      </c>
      <c r="J2157" s="95">
        <f>IF(H2157=1,INDEX(ar_DrAmt,151),0)</f>
        <v/>
      </c>
      <c r="K2157" s="58">
        <f>IF(H2157=1,INDEX(ar_CrAcct,151)&amp;"","")</f>
        <v/>
      </c>
      <c r="L2157" s="95">
        <f>IF(H2157=1,INDEX(ar_CrAmt,151),0)</f>
        <v/>
      </c>
      <c r="M2157" s="95" t="n">
        <v>0</v>
      </c>
      <c r="N2157" s="95">
        <f>IF(H2157=1,INDEX(ar_TaxAmt,151),0)</f>
        <v/>
      </c>
      <c r="O2157" s="101">
        <f>IF(H2157=1,IF(E2157&lt;FYStart,0,IF(E2157&gt;FYEnd,13,YEAR(E2157)*12+MONTH(E2157)-FYYM+1)),"")</f>
        <v/>
      </c>
      <c r="P2157" s="101">
        <f>IF(H2157=1,IF(IFERROR(INDEX(coa_CF,MATCH(I2157,coa_Name,0)),"")="Cash",1,0),0)</f>
        <v/>
      </c>
      <c r="Q2157" s="101">
        <f>IF(H2157=1,IF(IFERROR(INDEX(coa_CF,MATCH(K2157,coa_Name,0)),"")="Cash",1,0),0)</f>
        <v/>
      </c>
      <c r="R2157" s="58">
        <f>IF((P2157-Q2157)=0,"",IFERROR(INDEX(coa_CF,MATCH(IF((P2157-Q2157)=1,K2157,I2157),coa_Name,0)),"Operating"))</f>
        <v/>
      </c>
      <c r="S2157" s="95">
        <f>IF((P2157-Q2157)=1,L2157,IF((P2157-Q2157)=-1,-J2157,0))</f>
        <v/>
      </c>
      <c r="T2157" s="95">
        <f>IF((P2157-Q2157)=1,N2157,IF((P2157-Q2157)=-1,-M2157,0))</f>
        <v/>
      </c>
      <c r="U2157" s="101">
        <f>IF(AND(H2157=1,LedAcct&lt;&gt;""),IF(AND(E2157&gt;=LedFrom,E2157&lt;=LedTo,OR(I2157=LedAcct,K2157=LedAcct,AND(LedAcct=acctTax,M2157+N2157&lt;&gt;0))),E2157*10000+B2157,""),"")</f>
        <v/>
      </c>
    </row>
    <row r="2158">
      <c r="B2158" s="101" t="n">
        <v>2152</v>
      </c>
      <c r="C2158" s="58" t="inlineStr">
        <is>
          <t>Invoice</t>
        </is>
      </c>
      <c r="D2158" s="58">
        <f>IF(H2158=1,INDEX(ar_No,152)&amp;"","")</f>
        <v/>
      </c>
      <c r="E2158" s="94">
        <f>IF(H2158=1,INDEX(ar_Date,152),"")</f>
        <v/>
      </c>
      <c r="F2158" s="58">
        <f>IF(H2158=1,INDEX(ar_Desc,152)&amp;"","")</f>
        <v/>
      </c>
      <c r="G2158" s="58">
        <f>IF(H2158=1,INDEX(ar_Party,152)&amp;"","")</f>
        <v/>
      </c>
      <c r="H2158" s="101">
        <f>IFERROR(N(INDEX(ar_Posted,152)),0)</f>
        <v/>
      </c>
      <c r="I2158" s="58">
        <f>IF(H2158=1,INDEX(ar_DrAcct,152)&amp;"","")</f>
        <v/>
      </c>
      <c r="J2158" s="95">
        <f>IF(H2158=1,INDEX(ar_DrAmt,152),0)</f>
        <v/>
      </c>
      <c r="K2158" s="58">
        <f>IF(H2158=1,INDEX(ar_CrAcct,152)&amp;"","")</f>
        <v/>
      </c>
      <c r="L2158" s="95">
        <f>IF(H2158=1,INDEX(ar_CrAmt,152),0)</f>
        <v/>
      </c>
      <c r="M2158" s="95" t="n">
        <v>0</v>
      </c>
      <c r="N2158" s="95">
        <f>IF(H2158=1,INDEX(ar_TaxAmt,152),0)</f>
        <v/>
      </c>
      <c r="O2158" s="101">
        <f>IF(H2158=1,IF(E2158&lt;FYStart,0,IF(E2158&gt;FYEnd,13,YEAR(E2158)*12+MONTH(E2158)-FYYM+1)),"")</f>
        <v/>
      </c>
      <c r="P2158" s="101">
        <f>IF(H2158=1,IF(IFERROR(INDEX(coa_CF,MATCH(I2158,coa_Name,0)),"")="Cash",1,0),0)</f>
        <v/>
      </c>
      <c r="Q2158" s="101">
        <f>IF(H2158=1,IF(IFERROR(INDEX(coa_CF,MATCH(K2158,coa_Name,0)),"")="Cash",1,0),0)</f>
        <v/>
      </c>
      <c r="R2158" s="58">
        <f>IF((P2158-Q2158)=0,"",IFERROR(INDEX(coa_CF,MATCH(IF((P2158-Q2158)=1,K2158,I2158),coa_Name,0)),"Operating"))</f>
        <v/>
      </c>
      <c r="S2158" s="95">
        <f>IF((P2158-Q2158)=1,L2158,IF((P2158-Q2158)=-1,-J2158,0))</f>
        <v/>
      </c>
      <c r="T2158" s="95">
        <f>IF((P2158-Q2158)=1,N2158,IF((P2158-Q2158)=-1,-M2158,0))</f>
        <v/>
      </c>
      <c r="U2158" s="101">
        <f>IF(AND(H2158=1,LedAcct&lt;&gt;""),IF(AND(E2158&gt;=LedFrom,E2158&lt;=LedTo,OR(I2158=LedAcct,K2158=LedAcct,AND(LedAcct=acctTax,M2158+N2158&lt;&gt;0))),E2158*10000+B2158,""),"")</f>
        <v/>
      </c>
    </row>
    <row r="2159">
      <c r="B2159" s="101" t="n">
        <v>2153</v>
      </c>
      <c r="C2159" s="58" t="inlineStr">
        <is>
          <t>Invoice</t>
        </is>
      </c>
      <c r="D2159" s="58">
        <f>IF(H2159=1,INDEX(ar_No,153)&amp;"","")</f>
        <v/>
      </c>
      <c r="E2159" s="94">
        <f>IF(H2159=1,INDEX(ar_Date,153),"")</f>
        <v/>
      </c>
      <c r="F2159" s="58">
        <f>IF(H2159=1,INDEX(ar_Desc,153)&amp;"","")</f>
        <v/>
      </c>
      <c r="G2159" s="58">
        <f>IF(H2159=1,INDEX(ar_Party,153)&amp;"","")</f>
        <v/>
      </c>
      <c r="H2159" s="101">
        <f>IFERROR(N(INDEX(ar_Posted,153)),0)</f>
        <v/>
      </c>
      <c r="I2159" s="58">
        <f>IF(H2159=1,INDEX(ar_DrAcct,153)&amp;"","")</f>
        <v/>
      </c>
      <c r="J2159" s="95">
        <f>IF(H2159=1,INDEX(ar_DrAmt,153),0)</f>
        <v/>
      </c>
      <c r="K2159" s="58">
        <f>IF(H2159=1,INDEX(ar_CrAcct,153)&amp;"","")</f>
        <v/>
      </c>
      <c r="L2159" s="95">
        <f>IF(H2159=1,INDEX(ar_CrAmt,153),0)</f>
        <v/>
      </c>
      <c r="M2159" s="95" t="n">
        <v>0</v>
      </c>
      <c r="N2159" s="95">
        <f>IF(H2159=1,INDEX(ar_TaxAmt,153),0)</f>
        <v/>
      </c>
      <c r="O2159" s="101">
        <f>IF(H2159=1,IF(E2159&lt;FYStart,0,IF(E2159&gt;FYEnd,13,YEAR(E2159)*12+MONTH(E2159)-FYYM+1)),"")</f>
        <v/>
      </c>
      <c r="P2159" s="101">
        <f>IF(H2159=1,IF(IFERROR(INDEX(coa_CF,MATCH(I2159,coa_Name,0)),"")="Cash",1,0),0)</f>
        <v/>
      </c>
      <c r="Q2159" s="101">
        <f>IF(H2159=1,IF(IFERROR(INDEX(coa_CF,MATCH(K2159,coa_Name,0)),"")="Cash",1,0),0)</f>
        <v/>
      </c>
      <c r="R2159" s="58">
        <f>IF((P2159-Q2159)=0,"",IFERROR(INDEX(coa_CF,MATCH(IF((P2159-Q2159)=1,K2159,I2159),coa_Name,0)),"Operating"))</f>
        <v/>
      </c>
      <c r="S2159" s="95">
        <f>IF((P2159-Q2159)=1,L2159,IF((P2159-Q2159)=-1,-J2159,0))</f>
        <v/>
      </c>
      <c r="T2159" s="95">
        <f>IF((P2159-Q2159)=1,N2159,IF((P2159-Q2159)=-1,-M2159,0))</f>
        <v/>
      </c>
      <c r="U2159" s="101">
        <f>IF(AND(H2159=1,LedAcct&lt;&gt;""),IF(AND(E2159&gt;=LedFrom,E2159&lt;=LedTo,OR(I2159=LedAcct,K2159=LedAcct,AND(LedAcct=acctTax,M2159+N2159&lt;&gt;0))),E2159*10000+B2159,""),"")</f>
        <v/>
      </c>
    </row>
    <row r="2160">
      <c r="B2160" s="101" t="n">
        <v>2154</v>
      </c>
      <c r="C2160" s="58" t="inlineStr">
        <is>
          <t>Invoice</t>
        </is>
      </c>
      <c r="D2160" s="58">
        <f>IF(H2160=1,INDEX(ar_No,154)&amp;"","")</f>
        <v/>
      </c>
      <c r="E2160" s="94">
        <f>IF(H2160=1,INDEX(ar_Date,154),"")</f>
        <v/>
      </c>
      <c r="F2160" s="58">
        <f>IF(H2160=1,INDEX(ar_Desc,154)&amp;"","")</f>
        <v/>
      </c>
      <c r="G2160" s="58">
        <f>IF(H2160=1,INDEX(ar_Party,154)&amp;"","")</f>
        <v/>
      </c>
      <c r="H2160" s="101">
        <f>IFERROR(N(INDEX(ar_Posted,154)),0)</f>
        <v/>
      </c>
      <c r="I2160" s="58">
        <f>IF(H2160=1,INDEX(ar_DrAcct,154)&amp;"","")</f>
        <v/>
      </c>
      <c r="J2160" s="95">
        <f>IF(H2160=1,INDEX(ar_DrAmt,154),0)</f>
        <v/>
      </c>
      <c r="K2160" s="58">
        <f>IF(H2160=1,INDEX(ar_CrAcct,154)&amp;"","")</f>
        <v/>
      </c>
      <c r="L2160" s="95">
        <f>IF(H2160=1,INDEX(ar_CrAmt,154),0)</f>
        <v/>
      </c>
      <c r="M2160" s="95" t="n">
        <v>0</v>
      </c>
      <c r="N2160" s="95">
        <f>IF(H2160=1,INDEX(ar_TaxAmt,154),0)</f>
        <v/>
      </c>
      <c r="O2160" s="101">
        <f>IF(H2160=1,IF(E2160&lt;FYStart,0,IF(E2160&gt;FYEnd,13,YEAR(E2160)*12+MONTH(E2160)-FYYM+1)),"")</f>
        <v/>
      </c>
      <c r="P2160" s="101">
        <f>IF(H2160=1,IF(IFERROR(INDEX(coa_CF,MATCH(I2160,coa_Name,0)),"")="Cash",1,0),0)</f>
        <v/>
      </c>
      <c r="Q2160" s="101">
        <f>IF(H2160=1,IF(IFERROR(INDEX(coa_CF,MATCH(K2160,coa_Name,0)),"")="Cash",1,0),0)</f>
        <v/>
      </c>
      <c r="R2160" s="58">
        <f>IF((P2160-Q2160)=0,"",IFERROR(INDEX(coa_CF,MATCH(IF((P2160-Q2160)=1,K2160,I2160),coa_Name,0)),"Operating"))</f>
        <v/>
      </c>
      <c r="S2160" s="95">
        <f>IF((P2160-Q2160)=1,L2160,IF((P2160-Q2160)=-1,-J2160,0))</f>
        <v/>
      </c>
      <c r="T2160" s="95">
        <f>IF((P2160-Q2160)=1,N2160,IF((P2160-Q2160)=-1,-M2160,0))</f>
        <v/>
      </c>
      <c r="U2160" s="101">
        <f>IF(AND(H2160=1,LedAcct&lt;&gt;""),IF(AND(E2160&gt;=LedFrom,E2160&lt;=LedTo,OR(I2160=LedAcct,K2160=LedAcct,AND(LedAcct=acctTax,M2160+N2160&lt;&gt;0))),E2160*10000+B2160,""),"")</f>
        <v/>
      </c>
    </row>
    <row r="2161">
      <c r="B2161" s="101" t="n">
        <v>2155</v>
      </c>
      <c r="C2161" s="58" t="inlineStr">
        <is>
          <t>Invoice</t>
        </is>
      </c>
      <c r="D2161" s="58">
        <f>IF(H2161=1,INDEX(ar_No,155)&amp;"","")</f>
        <v/>
      </c>
      <c r="E2161" s="94">
        <f>IF(H2161=1,INDEX(ar_Date,155),"")</f>
        <v/>
      </c>
      <c r="F2161" s="58">
        <f>IF(H2161=1,INDEX(ar_Desc,155)&amp;"","")</f>
        <v/>
      </c>
      <c r="G2161" s="58">
        <f>IF(H2161=1,INDEX(ar_Party,155)&amp;"","")</f>
        <v/>
      </c>
      <c r="H2161" s="101">
        <f>IFERROR(N(INDEX(ar_Posted,155)),0)</f>
        <v/>
      </c>
      <c r="I2161" s="58">
        <f>IF(H2161=1,INDEX(ar_DrAcct,155)&amp;"","")</f>
        <v/>
      </c>
      <c r="J2161" s="95">
        <f>IF(H2161=1,INDEX(ar_DrAmt,155),0)</f>
        <v/>
      </c>
      <c r="K2161" s="58">
        <f>IF(H2161=1,INDEX(ar_CrAcct,155)&amp;"","")</f>
        <v/>
      </c>
      <c r="L2161" s="95">
        <f>IF(H2161=1,INDEX(ar_CrAmt,155),0)</f>
        <v/>
      </c>
      <c r="M2161" s="95" t="n">
        <v>0</v>
      </c>
      <c r="N2161" s="95">
        <f>IF(H2161=1,INDEX(ar_TaxAmt,155),0)</f>
        <v/>
      </c>
      <c r="O2161" s="101">
        <f>IF(H2161=1,IF(E2161&lt;FYStart,0,IF(E2161&gt;FYEnd,13,YEAR(E2161)*12+MONTH(E2161)-FYYM+1)),"")</f>
        <v/>
      </c>
      <c r="P2161" s="101">
        <f>IF(H2161=1,IF(IFERROR(INDEX(coa_CF,MATCH(I2161,coa_Name,0)),"")="Cash",1,0),0)</f>
        <v/>
      </c>
      <c r="Q2161" s="101">
        <f>IF(H2161=1,IF(IFERROR(INDEX(coa_CF,MATCH(K2161,coa_Name,0)),"")="Cash",1,0),0)</f>
        <v/>
      </c>
      <c r="R2161" s="58">
        <f>IF((P2161-Q2161)=0,"",IFERROR(INDEX(coa_CF,MATCH(IF((P2161-Q2161)=1,K2161,I2161),coa_Name,0)),"Operating"))</f>
        <v/>
      </c>
      <c r="S2161" s="95">
        <f>IF((P2161-Q2161)=1,L2161,IF((P2161-Q2161)=-1,-J2161,0))</f>
        <v/>
      </c>
      <c r="T2161" s="95">
        <f>IF((P2161-Q2161)=1,N2161,IF((P2161-Q2161)=-1,-M2161,0))</f>
        <v/>
      </c>
      <c r="U2161" s="101">
        <f>IF(AND(H2161=1,LedAcct&lt;&gt;""),IF(AND(E2161&gt;=LedFrom,E2161&lt;=LedTo,OR(I2161=LedAcct,K2161=LedAcct,AND(LedAcct=acctTax,M2161+N2161&lt;&gt;0))),E2161*10000+B2161,""),"")</f>
        <v/>
      </c>
    </row>
    <row r="2162">
      <c r="B2162" s="101" t="n">
        <v>2156</v>
      </c>
      <c r="C2162" s="58" t="inlineStr">
        <is>
          <t>Invoice</t>
        </is>
      </c>
      <c r="D2162" s="58">
        <f>IF(H2162=1,INDEX(ar_No,156)&amp;"","")</f>
        <v/>
      </c>
      <c r="E2162" s="94">
        <f>IF(H2162=1,INDEX(ar_Date,156),"")</f>
        <v/>
      </c>
      <c r="F2162" s="58">
        <f>IF(H2162=1,INDEX(ar_Desc,156)&amp;"","")</f>
        <v/>
      </c>
      <c r="G2162" s="58">
        <f>IF(H2162=1,INDEX(ar_Party,156)&amp;"","")</f>
        <v/>
      </c>
      <c r="H2162" s="101">
        <f>IFERROR(N(INDEX(ar_Posted,156)),0)</f>
        <v/>
      </c>
      <c r="I2162" s="58">
        <f>IF(H2162=1,INDEX(ar_DrAcct,156)&amp;"","")</f>
        <v/>
      </c>
      <c r="J2162" s="95">
        <f>IF(H2162=1,INDEX(ar_DrAmt,156),0)</f>
        <v/>
      </c>
      <c r="K2162" s="58">
        <f>IF(H2162=1,INDEX(ar_CrAcct,156)&amp;"","")</f>
        <v/>
      </c>
      <c r="L2162" s="95">
        <f>IF(H2162=1,INDEX(ar_CrAmt,156),0)</f>
        <v/>
      </c>
      <c r="M2162" s="95" t="n">
        <v>0</v>
      </c>
      <c r="N2162" s="95">
        <f>IF(H2162=1,INDEX(ar_TaxAmt,156),0)</f>
        <v/>
      </c>
      <c r="O2162" s="101">
        <f>IF(H2162=1,IF(E2162&lt;FYStart,0,IF(E2162&gt;FYEnd,13,YEAR(E2162)*12+MONTH(E2162)-FYYM+1)),"")</f>
        <v/>
      </c>
      <c r="P2162" s="101">
        <f>IF(H2162=1,IF(IFERROR(INDEX(coa_CF,MATCH(I2162,coa_Name,0)),"")="Cash",1,0),0)</f>
        <v/>
      </c>
      <c r="Q2162" s="101">
        <f>IF(H2162=1,IF(IFERROR(INDEX(coa_CF,MATCH(K2162,coa_Name,0)),"")="Cash",1,0),0)</f>
        <v/>
      </c>
      <c r="R2162" s="58">
        <f>IF((P2162-Q2162)=0,"",IFERROR(INDEX(coa_CF,MATCH(IF((P2162-Q2162)=1,K2162,I2162),coa_Name,0)),"Operating"))</f>
        <v/>
      </c>
      <c r="S2162" s="95">
        <f>IF((P2162-Q2162)=1,L2162,IF((P2162-Q2162)=-1,-J2162,0))</f>
        <v/>
      </c>
      <c r="T2162" s="95">
        <f>IF((P2162-Q2162)=1,N2162,IF((P2162-Q2162)=-1,-M2162,0))</f>
        <v/>
      </c>
      <c r="U2162" s="101">
        <f>IF(AND(H2162=1,LedAcct&lt;&gt;""),IF(AND(E2162&gt;=LedFrom,E2162&lt;=LedTo,OR(I2162=LedAcct,K2162=LedAcct,AND(LedAcct=acctTax,M2162+N2162&lt;&gt;0))),E2162*10000+B2162,""),"")</f>
        <v/>
      </c>
    </row>
    <row r="2163">
      <c r="B2163" s="101" t="n">
        <v>2157</v>
      </c>
      <c r="C2163" s="58" t="inlineStr">
        <is>
          <t>Invoice</t>
        </is>
      </c>
      <c r="D2163" s="58">
        <f>IF(H2163=1,INDEX(ar_No,157)&amp;"","")</f>
        <v/>
      </c>
      <c r="E2163" s="94">
        <f>IF(H2163=1,INDEX(ar_Date,157),"")</f>
        <v/>
      </c>
      <c r="F2163" s="58">
        <f>IF(H2163=1,INDEX(ar_Desc,157)&amp;"","")</f>
        <v/>
      </c>
      <c r="G2163" s="58">
        <f>IF(H2163=1,INDEX(ar_Party,157)&amp;"","")</f>
        <v/>
      </c>
      <c r="H2163" s="101">
        <f>IFERROR(N(INDEX(ar_Posted,157)),0)</f>
        <v/>
      </c>
      <c r="I2163" s="58">
        <f>IF(H2163=1,INDEX(ar_DrAcct,157)&amp;"","")</f>
        <v/>
      </c>
      <c r="J2163" s="95">
        <f>IF(H2163=1,INDEX(ar_DrAmt,157),0)</f>
        <v/>
      </c>
      <c r="K2163" s="58">
        <f>IF(H2163=1,INDEX(ar_CrAcct,157)&amp;"","")</f>
        <v/>
      </c>
      <c r="L2163" s="95">
        <f>IF(H2163=1,INDEX(ar_CrAmt,157),0)</f>
        <v/>
      </c>
      <c r="M2163" s="95" t="n">
        <v>0</v>
      </c>
      <c r="N2163" s="95">
        <f>IF(H2163=1,INDEX(ar_TaxAmt,157),0)</f>
        <v/>
      </c>
      <c r="O2163" s="101">
        <f>IF(H2163=1,IF(E2163&lt;FYStart,0,IF(E2163&gt;FYEnd,13,YEAR(E2163)*12+MONTH(E2163)-FYYM+1)),"")</f>
        <v/>
      </c>
      <c r="P2163" s="101">
        <f>IF(H2163=1,IF(IFERROR(INDEX(coa_CF,MATCH(I2163,coa_Name,0)),"")="Cash",1,0),0)</f>
        <v/>
      </c>
      <c r="Q2163" s="101">
        <f>IF(H2163=1,IF(IFERROR(INDEX(coa_CF,MATCH(K2163,coa_Name,0)),"")="Cash",1,0),0)</f>
        <v/>
      </c>
      <c r="R2163" s="58">
        <f>IF((P2163-Q2163)=0,"",IFERROR(INDEX(coa_CF,MATCH(IF((P2163-Q2163)=1,K2163,I2163),coa_Name,0)),"Operating"))</f>
        <v/>
      </c>
      <c r="S2163" s="95">
        <f>IF((P2163-Q2163)=1,L2163,IF((P2163-Q2163)=-1,-J2163,0))</f>
        <v/>
      </c>
      <c r="T2163" s="95">
        <f>IF((P2163-Q2163)=1,N2163,IF((P2163-Q2163)=-1,-M2163,0))</f>
        <v/>
      </c>
      <c r="U2163" s="101">
        <f>IF(AND(H2163=1,LedAcct&lt;&gt;""),IF(AND(E2163&gt;=LedFrom,E2163&lt;=LedTo,OR(I2163=LedAcct,K2163=LedAcct,AND(LedAcct=acctTax,M2163+N2163&lt;&gt;0))),E2163*10000+B2163,""),"")</f>
        <v/>
      </c>
    </row>
    <row r="2164">
      <c r="B2164" s="101" t="n">
        <v>2158</v>
      </c>
      <c r="C2164" s="58" t="inlineStr">
        <is>
          <t>Invoice</t>
        </is>
      </c>
      <c r="D2164" s="58">
        <f>IF(H2164=1,INDEX(ar_No,158)&amp;"","")</f>
        <v/>
      </c>
      <c r="E2164" s="94">
        <f>IF(H2164=1,INDEX(ar_Date,158),"")</f>
        <v/>
      </c>
      <c r="F2164" s="58">
        <f>IF(H2164=1,INDEX(ar_Desc,158)&amp;"","")</f>
        <v/>
      </c>
      <c r="G2164" s="58">
        <f>IF(H2164=1,INDEX(ar_Party,158)&amp;"","")</f>
        <v/>
      </c>
      <c r="H2164" s="101">
        <f>IFERROR(N(INDEX(ar_Posted,158)),0)</f>
        <v/>
      </c>
      <c r="I2164" s="58">
        <f>IF(H2164=1,INDEX(ar_DrAcct,158)&amp;"","")</f>
        <v/>
      </c>
      <c r="J2164" s="95">
        <f>IF(H2164=1,INDEX(ar_DrAmt,158),0)</f>
        <v/>
      </c>
      <c r="K2164" s="58">
        <f>IF(H2164=1,INDEX(ar_CrAcct,158)&amp;"","")</f>
        <v/>
      </c>
      <c r="L2164" s="95">
        <f>IF(H2164=1,INDEX(ar_CrAmt,158),0)</f>
        <v/>
      </c>
      <c r="M2164" s="95" t="n">
        <v>0</v>
      </c>
      <c r="N2164" s="95">
        <f>IF(H2164=1,INDEX(ar_TaxAmt,158),0)</f>
        <v/>
      </c>
      <c r="O2164" s="101">
        <f>IF(H2164=1,IF(E2164&lt;FYStart,0,IF(E2164&gt;FYEnd,13,YEAR(E2164)*12+MONTH(E2164)-FYYM+1)),"")</f>
        <v/>
      </c>
      <c r="P2164" s="101">
        <f>IF(H2164=1,IF(IFERROR(INDEX(coa_CF,MATCH(I2164,coa_Name,0)),"")="Cash",1,0),0)</f>
        <v/>
      </c>
      <c r="Q2164" s="101">
        <f>IF(H2164=1,IF(IFERROR(INDEX(coa_CF,MATCH(K2164,coa_Name,0)),"")="Cash",1,0),0)</f>
        <v/>
      </c>
      <c r="R2164" s="58">
        <f>IF((P2164-Q2164)=0,"",IFERROR(INDEX(coa_CF,MATCH(IF((P2164-Q2164)=1,K2164,I2164),coa_Name,0)),"Operating"))</f>
        <v/>
      </c>
      <c r="S2164" s="95">
        <f>IF((P2164-Q2164)=1,L2164,IF((P2164-Q2164)=-1,-J2164,0))</f>
        <v/>
      </c>
      <c r="T2164" s="95">
        <f>IF((P2164-Q2164)=1,N2164,IF((P2164-Q2164)=-1,-M2164,0))</f>
        <v/>
      </c>
      <c r="U2164" s="101">
        <f>IF(AND(H2164=1,LedAcct&lt;&gt;""),IF(AND(E2164&gt;=LedFrom,E2164&lt;=LedTo,OR(I2164=LedAcct,K2164=LedAcct,AND(LedAcct=acctTax,M2164+N2164&lt;&gt;0))),E2164*10000+B2164,""),"")</f>
        <v/>
      </c>
    </row>
    <row r="2165">
      <c r="B2165" s="101" t="n">
        <v>2159</v>
      </c>
      <c r="C2165" s="58" t="inlineStr">
        <is>
          <t>Invoice</t>
        </is>
      </c>
      <c r="D2165" s="58">
        <f>IF(H2165=1,INDEX(ar_No,159)&amp;"","")</f>
        <v/>
      </c>
      <c r="E2165" s="94">
        <f>IF(H2165=1,INDEX(ar_Date,159),"")</f>
        <v/>
      </c>
      <c r="F2165" s="58">
        <f>IF(H2165=1,INDEX(ar_Desc,159)&amp;"","")</f>
        <v/>
      </c>
      <c r="G2165" s="58">
        <f>IF(H2165=1,INDEX(ar_Party,159)&amp;"","")</f>
        <v/>
      </c>
      <c r="H2165" s="101">
        <f>IFERROR(N(INDEX(ar_Posted,159)),0)</f>
        <v/>
      </c>
      <c r="I2165" s="58">
        <f>IF(H2165=1,INDEX(ar_DrAcct,159)&amp;"","")</f>
        <v/>
      </c>
      <c r="J2165" s="95">
        <f>IF(H2165=1,INDEX(ar_DrAmt,159),0)</f>
        <v/>
      </c>
      <c r="K2165" s="58">
        <f>IF(H2165=1,INDEX(ar_CrAcct,159)&amp;"","")</f>
        <v/>
      </c>
      <c r="L2165" s="95">
        <f>IF(H2165=1,INDEX(ar_CrAmt,159),0)</f>
        <v/>
      </c>
      <c r="M2165" s="95" t="n">
        <v>0</v>
      </c>
      <c r="N2165" s="95">
        <f>IF(H2165=1,INDEX(ar_TaxAmt,159),0)</f>
        <v/>
      </c>
      <c r="O2165" s="101">
        <f>IF(H2165=1,IF(E2165&lt;FYStart,0,IF(E2165&gt;FYEnd,13,YEAR(E2165)*12+MONTH(E2165)-FYYM+1)),"")</f>
        <v/>
      </c>
      <c r="P2165" s="101">
        <f>IF(H2165=1,IF(IFERROR(INDEX(coa_CF,MATCH(I2165,coa_Name,0)),"")="Cash",1,0),0)</f>
        <v/>
      </c>
      <c r="Q2165" s="101">
        <f>IF(H2165=1,IF(IFERROR(INDEX(coa_CF,MATCH(K2165,coa_Name,0)),"")="Cash",1,0),0)</f>
        <v/>
      </c>
      <c r="R2165" s="58">
        <f>IF((P2165-Q2165)=0,"",IFERROR(INDEX(coa_CF,MATCH(IF((P2165-Q2165)=1,K2165,I2165),coa_Name,0)),"Operating"))</f>
        <v/>
      </c>
      <c r="S2165" s="95">
        <f>IF((P2165-Q2165)=1,L2165,IF((P2165-Q2165)=-1,-J2165,0))</f>
        <v/>
      </c>
      <c r="T2165" s="95">
        <f>IF((P2165-Q2165)=1,N2165,IF((P2165-Q2165)=-1,-M2165,0))</f>
        <v/>
      </c>
      <c r="U2165" s="101">
        <f>IF(AND(H2165=1,LedAcct&lt;&gt;""),IF(AND(E2165&gt;=LedFrom,E2165&lt;=LedTo,OR(I2165=LedAcct,K2165=LedAcct,AND(LedAcct=acctTax,M2165+N2165&lt;&gt;0))),E2165*10000+B2165,""),"")</f>
        <v/>
      </c>
    </row>
    <row r="2166">
      <c r="B2166" s="101" t="n">
        <v>2160</v>
      </c>
      <c r="C2166" s="58" t="inlineStr">
        <is>
          <t>Invoice</t>
        </is>
      </c>
      <c r="D2166" s="58">
        <f>IF(H2166=1,INDEX(ar_No,160)&amp;"","")</f>
        <v/>
      </c>
      <c r="E2166" s="94">
        <f>IF(H2166=1,INDEX(ar_Date,160),"")</f>
        <v/>
      </c>
      <c r="F2166" s="58">
        <f>IF(H2166=1,INDEX(ar_Desc,160)&amp;"","")</f>
        <v/>
      </c>
      <c r="G2166" s="58">
        <f>IF(H2166=1,INDEX(ar_Party,160)&amp;"","")</f>
        <v/>
      </c>
      <c r="H2166" s="101">
        <f>IFERROR(N(INDEX(ar_Posted,160)),0)</f>
        <v/>
      </c>
      <c r="I2166" s="58">
        <f>IF(H2166=1,INDEX(ar_DrAcct,160)&amp;"","")</f>
        <v/>
      </c>
      <c r="J2166" s="95">
        <f>IF(H2166=1,INDEX(ar_DrAmt,160),0)</f>
        <v/>
      </c>
      <c r="K2166" s="58">
        <f>IF(H2166=1,INDEX(ar_CrAcct,160)&amp;"","")</f>
        <v/>
      </c>
      <c r="L2166" s="95">
        <f>IF(H2166=1,INDEX(ar_CrAmt,160),0)</f>
        <v/>
      </c>
      <c r="M2166" s="95" t="n">
        <v>0</v>
      </c>
      <c r="N2166" s="95">
        <f>IF(H2166=1,INDEX(ar_TaxAmt,160),0)</f>
        <v/>
      </c>
      <c r="O2166" s="101">
        <f>IF(H2166=1,IF(E2166&lt;FYStart,0,IF(E2166&gt;FYEnd,13,YEAR(E2166)*12+MONTH(E2166)-FYYM+1)),"")</f>
        <v/>
      </c>
      <c r="P2166" s="101">
        <f>IF(H2166=1,IF(IFERROR(INDEX(coa_CF,MATCH(I2166,coa_Name,0)),"")="Cash",1,0),0)</f>
        <v/>
      </c>
      <c r="Q2166" s="101">
        <f>IF(H2166=1,IF(IFERROR(INDEX(coa_CF,MATCH(K2166,coa_Name,0)),"")="Cash",1,0),0)</f>
        <v/>
      </c>
      <c r="R2166" s="58">
        <f>IF((P2166-Q2166)=0,"",IFERROR(INDEX(coa_CF,MATCH(IF((P2166-Q2166)=1,K2166,I2166),coa_Name,0)),"Operating"))</f>
        <v/>
      </c>
      <c r="S2166" s="95">
        <f>IF((P2166-Q2166)=1,L2166,IF((P2166-Q2166)=-1,-J2166,0))</f>
        <v/>
      </c>
      <c r="T2166" s="95">
        <f>IF((P2166-Q2166)=1,N2166,IF((P2166-Q2166)=-1,-M2166,0))</f>
        <v/>
      </c>
      <c r="U2166" s="101">
        <f>IF(AND(H2166=1,LedAcct&lt;&gt;""),IF(AND(E2166&gt;=LedFrom,E2166&lt;=LedTo,OR(I2166=LedAcct,K2166=LedAcct,AND(LedAcct=acctTax,M2166+N2166&lt;&gt;0))),E2166*10000+B2166,""),"")</f>
        <v/>
      </c>
    </row>
    <row r="2167">
      <c r="B2167" s="101" t="n">
        <v>2161</v>
      </c>
      <c r="C2167" s="58" t="inlineStr">
        <is>
          <t>Invoice</t>
        </is>
      </c>
      <c r="D2167" s="58">
        <f>IF(H2167=1,INDEX(ar_No,161)&amp;"","")</f>
        <v/>
      </c>
      <c r="E2167" s="94">
        <f>IF(H2167=1,INDEX(ar_Date,161),"")</f>
        <v/>
      </c>
      <c r="F2167" s="58">
        <f>IF(H2167=1,INDEX(ar_Desc,161)&amp;"","")</f>
        <v/>
      </c>
      <c r="G2167" s="58">
        <f>IF(H2167=1,INDEX(ar_Party,161)&amp;"","")</f>
        <v/>
      </c>
      <c r="H2167" s="101">
        <f>IFERROR(N(INDEX(ar_Posted,161)),0)</f>
        <v/>
      </c>
      <c r="I2167" s="58">
        <f>IF(H2167=1,INDEX(ar_DrAcct,161)&amp;"","")</f>
        <v/>
      </c>
      <c r="J2167" s="95">
        <f>IF(H2167=1,INDEX(ar_DrAmt,161),0)</f>
        <v/>
      </c>
      <c r="K2167" s="58">
        <f>IF(H2167=1,INDEX(ar_CrAcct,161)&amp;"","")</f>
        <v/>
      </c>
      <c r="L2167" s="95">
        <f>IF(H2167=1,INDEX(ar_CrAmt,161),0)</f>
        <v/>
      </c>
      <c r="M2167" s="95" t="n">
        <v>0</v>
      </c>
      <c r="N2167" s="95">
        <f>IF(H2167=1,INDEX(ar_TaxAmt,161),0)</f>
        <v/>
      </c>
      <c r="O2167" s="101">
        <f>IF(H2167=1,IF(E2167&lt;FYStart,0,IF(E2167&gt;FYEnd,13,YEAR(E2167)*12+MONTH(E2167)-FYYM+1)),"")</f>
        <v/>
      </c>
      <c r="P2167" s="101">
        <f>IF(H2167=1,IF(IFERROR(INDEX(coa_CF,MATCH(I2167,coa_Name,0)),"")="Cash",1,0),0)</f>
        <v/>
      </c>
      <c r="Q2167" s="101">
        <f>IF(H2167=1,IF(IFERROR(INDEX(coa_CF,MATCH(K2167,coa_Name,0)),"")="Cash",1,0),0)</f>
        <v/>
      </c>
      <c r="R2167" s="58">
        <f>IF((P2167-Q2167)=0,"",IFERROR(INDEX(coa_CF,MATCH(IF((P2167-Q2167)=1,K2167,I2167),coa_Name,0)),"Operating"))</f>
        <v/>
      </c>
      <c r="S2167" s="95">
        <f>IF((P2167-Q2167)=1,L2167,IF((P2167-Q2167)=-1,-J2167,0))</f>
        <v/>
      </c>
      <c r="T2167" s="95">
        <f>IF((P2167-Q2167)=1,N2167,IF((P2167-Q2167)=-1,-M2167,0))</f>
        <v/>
      </c>
      <c r="U2167" s="101">
        <f>IF(AND(H2167=1,LedAcct&lt;&gt;""),IF(AND(E2167&gt;=LedFrom,E2167&lt;=LedTo,OR(I2167=LedAcct,K2167=LedAcct,AND(LedAcct=acctTax,M2167+N2167&lt;&gt;0))),E2167*10000+B2167,""),"")</f>
        <v/>
      </c>
    </row>
    <row r="2168">
      <c r="B2168" s="101" t="n">
        <v>2162</v>
      </c>
      <c r="C2168" s="58" t="inlineStr">
        <is>
          <t>Invoice</t>
        </is>
      </c>
      <c r="D2168" s="58">
        <f>IF(H2168=1,INDEX(ar_No,162)&amp;"","")</f>
        <v/>
      </c>
      <c r="E2168" s="94">
        <f>IF(H2168=1,INDEX(ar_Date,162),"")</f>
        <v/>
      </c>
      <c r="F2168" s="58">
        <f>IF(H2168=1,INDEX(ar_Desc,162)&amp;"","")</f>
        <v/>
      </c>
      <c r="G2168" s="58">
        <f>IF(H2168=1,INDEX(ar_Party,162)&amp;"","")</f>
        <v/>
      </c>
      <c r="H2168" s="101">
        <f>IFERROR(N(INDEX(ar_Posted,162)),0)</f>
        <v/>
      </c>
      <c r="I2168" s="58">
        <f>IF(H2168=1,INDEX(ar_DrAcct,162)&amp;"","")</f>
        <v/>
      </c>
      <c r="J2168" s="95">
        <f>IF(H2168=1,INDEX(ar_DrAmt,162),0)</f>
        <v/>
      </c>
      <c r="K2168" s="58">
        <f>IF(H2168=1,INDEX(ar_CrAcct,162)&amp;"","")</f>
        <v/>
      </c>
      <c r="L2168" s="95">
        <f>IF(H2168=1,INDEX(ar_CrAmt,162),0)</f>
        <v/>
      </c>
      <c r="M2168" s="95" t="n">
        <v>0</v>
      </c>
      <c r="N2168" s="95">
        <f>IF(H2168=1,INDEX(ar_TaxAmt,162),0)</f>
        <v/>
      </c>
      <c r="O2168" s="101">
        <f>IF(H2168=1,IF(E2168&lt;FYStart,0,IF(E2168&gt;FYEnd,13,YEAR(E2168)*12+MONTH(E2168)-FYYM+1)),"")</f>
        <v/>
      </c>
      <c r="P2168" s="101">
        <f>IF(H2168=1,IF(IFERROR(INDEX(coa_CF,MATCH(I2168,coa_Name,0)),"")="Cash",1,0),0)</f>
        <v/>
      </c>
      <c r="Q2168" s="101">
        <f>IF(H2168=1,IF(IFERROR(INDEX(coa_CF,MATCH(K2168,coa_Name,0)),"")="Cash",1,0),0)</f>
        <v/>
      </c>
      <c r="R2168" s="58">
        <f>IF((P2168-Q2168)=0,"",IFERROR(INDEX(coa_CF,MATCH(IF((P2168-Q2168)=1,K2168,I2168),coa_Name,0)),"Operating"))</f>
        <v/>
      </c>
      <c r="S2168" s="95">
        <f>IF((P2168-Q2168)=1,L2168,IF((P2168-Q2168)=-1,-J2168,0))</f>
        <v/>
      </c>
      <c r="T2168" s="95">
        <f>IF((P2168-Q2168)=1,N2168,IF((P2168-Q2168)=-1,-M2168,0))</f>
        <v/>
      </c>
      <c r="U2168" s="101">
        <f>IF(AND(H2168=1,LedAcct&lt;&gt;""),IF(AND(E2168&gt;=LedFrom,E2168&lt;=LedTo,OR(I2168=LedAcct,K2168=LedAcct,AND(LedAcct=acctTax,M2168+N2168&lt;&gt;0))),E2168*10000+B2168,""),"")</f>
        <v/>
      </c>
    </row>
    <row r="2169">
      <c r="B2169" s="101" t="n">
        <v>2163</v>
      </c>
      <c r="C2169" s="58" t="inlineStr">
        <is>
          <t>Invoice</t>
        </is>
      </c>
      <c r="D2169" s="58">
        <f>IF(H2169=1,INDEX(ar_No,163)&amp;"","")</f>
        <v/>
      </c>
      <c r="E2169" s="94">
        <f>IF(H2169=1,INDEX(ar_Date,163),"")</f>
        <v/>
      </c>
      <c r="F2169" s="58">
        <f>IF(H2169=1,INDEX(ar_Desc,163)&amp;"","")</f>
        <v/>
      </c>
      <c r="G2169" s="58">
        <f>IF(H2169=1,INDEX(ar_Party,163)&amp;"","")</f>
        <v/>
      </c>
      <c r="H2169" s="101">
        <f>IFERROR(N(INDEX(ar_Posted,163)),0)</f>
        <v/>
      </c>
      <c r="I2169" s="58">
        <f>IF(H2169=1,INDEX(ar_DrAcct,163)&amp;"","")</f>
        <v/>
      </c>
      <c r="J2169" s="95">
        <f>IF(H2169=1,INDEX(ar_DrAmt,163),0)</f>
        <v/>
      </c>
      <c r="K2169" s="58">
        <f>IF(H2169=1,INDEX(ar_CrAcct,163)&amp;"","")</f>
        <v/>
      </c>
      <c r="L2169" s="95">
        <f>IF(H2169=1,INDEX(ar_CrAmt,163),0)</f>
        <v/>
      </c>
      <c r="M2169" s="95" t="n">
        <v>0</v>
      </c>
      <c r="N2169" s="95">
        <f>IF(H2169=1,INDEX(ar_TaxAmt,163),0)</f>
        <v/>
      </c>
      <c r="O2169" s="101">
        <f>IF(H2169=1,IF(E2169&lt;FYStart,0,IF(E2169&gt;FYEnd,13,YEAR(E2169)*12+MONTH(E2169)-FYYM+1)),"")</f>
        <v/>
      </c>
      <c r="P2169" s="101">
        <f>IF(H2169=1,IF(IFERROR(INDEX(coa_CF,MATCH(I2169,coa_Name,0)),"")="Cash",1,0),0)</f>
        <v/>
      </c>
      <c r="Q2169" s="101">
        <f>IF(H2169=1,IF(IFERROR(INDEX(coa_CF,MATCH(K2169,coa_Name,0)),"")="Cash",1,0),0)</f>
        <v/>
      </c>
      <c r="R2169" s="58">
        <f>IF((P2169-Q2169)=0,"",IFERROR(INDEX(coa_CF,MATCH(IF((P2169-Q2169)=1,K2169,I2169),coa_Name,0)),"Operating"))</f>
        <v/>
      </c>
      <c r="S2169" s="95">
        <f>IF((P2169-Q2169)=1,L2169,IF((P2169-Q2169)=-1,-J2169,0))</f>
        <v/>
      </c>
      <c r="T2169" s="95">
        <f>IF((P2169-Q2169)=1,N2169,IF((P2169-Q2169)=-1,-M2169,0))</f>
        <v/>
      </c>
      <c r="U2169" s="101">
        <f>IF(AND(H2169=1,LedAcct&lt;&gt;""),IF(AND(E2169&gt;=LedFrom,E2169&lt;=LedTo,OR(I2169=LedAcct,K2169=LedAcct,AND(LedAcct=acctTax,M2169+N2169&lt;&gt;0))),E2169*10000+B2169,""),"")</f>
        <v/>
      </c>
    </row>
    <row r="2170">
      <c r="B2170" s="101" t="n">
        <v>2164</v>
      </c>
      <c r="C2170" s="58" t="inlineStr">
        <is>
          <t>Invoice</t>
        </is>
      </c>
      <c r="D2170" s="58">
        <f>IF(H2170=1,INDEX(ar_No,164)&amp;"","")</f>
        <v/>
      </c>
      <c r="E2170" s="94">
        <f>IF(H2170=1,INDEX(ar_Date,164),"")</f>
        <v/>
      </c>
      <c r="F2170" s="58">
        <f>IF(H2170=1,INDEX(ar_Desc,164)&amp;"","")</f>
        <v/>
      </c>
      <c r="G2170" s="58">
        <f>IF(H2170=1,INDEX(ar_Party,164)&amp;"","")</f>
        <v/>
      </c>
      <c r="H2170" s="101">
        <f>IFERROR(N(INDEX(ar_Posted,164)),0)</f>
        <v/>
      </c>
      <c r="I2170" s="58">
        <f>IF(H2170=1,INDEX(ar_DrAcct,164)&amp;"","")</f>
        <v/>
      </c>
      <c r="J2170" s="95">
        <f>IF(H2170=1,INDEX(ar_DrAmt,164),0)</f>
        <v/>
      </c>
      <c r="K2170" s="58">
        <f>IF(H2170=1,INDEX(ar_CrAcct,164)&amp;"","")</f>
        <v/>
      </c>
      <c r="L2170" s="95">
        <f>IF(H2170=1,INDEX(ar_CrAmt,164),0)</f>
        <v/>
      </c>
      <c r="M2170" s="95" t="n">
        <v>0</v>
      </c>
      <c r="N2170" s="95">
        <f>IF(H2170=1,INDEX(ar_TaxAmt,164),0)</f>
        <v/>
      </c>
      <c r="O2170" s="101">
        <f>IF(H2170=1,IF(E2170&lt;FYStart,0,IF(E2170&gt;FYEnd,13,YEAR(E2170)*12+MONTH(E2170)-FYYM+1)),"")</f>
        <v/>
      </c>
      <c r="P2170" s="101">
        <f>IF(H2170=1,IF(IFERROR(INDEX(coa_CF,MATCH(I2170,coa_Name,0)),"")="Cash",1,0),0)</f>
        <v/>
      </c>
      <c r="Q2170" s="101">
        <f>IF(H2170=1,IF(IFERROR(INDEX(coa_CF,MATCH(K2170,coa_Name,0)),"")="Cash",1,0),0)</f>
        <v/>
      </c>
      <c r="R2170" s="58">
        <f>IF((P2170-Q2170)=0,"",IFERROR(INDEX(coa_CF,MATCH(IF((P2170-Q2170)=1,K2170,I2170),coa_Name,0)),"Operating"))</f>
        <v/>
      </c>
      <c r="S2170" s="95">
        <f>IF((P2170-Q2170)=1,L2170,IF((P2170-Q2170)=-1,-J2170,0))</f>
        <v/>
      </c>
      <c r="T2170" s="95">
        <f>IF((P2170-Q2170)=1,N2170,IF((P2170-Q2170)=-1,-M2170,0))</f>
        <v/>
      </c>
      <c r="U2170" s="101">
        <f>IF(AND(H2170=1,LedAcct&lt;&gt;""),IF(AND(E2170&gt;=LedFrom,E2170&lt;=LedTo,OR(I2170=LedAcct,K2170=LedAcct,AND(LedAcct=acctTax,M2170+N2170&lt;&gt;0))),E2170*10000+B2170,""),"")</f>
        <v/>
      </c>
    </row>
    <row r="2171">
      <c r="B2171" s="101" t="n">
        <v>2165</v>
      </c>
      <c r="C2171" s="58" t="inlineStr">
        <is>
          <t>Invoice</t>
        </is>
      </c>
      <c r="D2171" s="58">
        <f>IF(H2171=1,INDEX(ar_No,165)&amp;"","")</f>
        <v/>
      </c>
      <c r="E2171" s="94">
        <f>IF(H2171=1,INDEX(ar_Date,165),"")</f>
        <v/>
      </c>
      <c r="F2171" s="58">
        <f>IF(H2171=1,INDEX(ar_Desc,165)&amp;"","")</f>
        <v/>
      </c>
      <c r="G2171" s="58">
        <f>IF(H2171=1,INDEX(ar_Party,165)&amp;"","")</f>
        <v/>
      </c>
      <c r="H2171" s="101">
        <f>IFERROR(N(INDEX(ar_Posted,165)),0)</f>
        <v/>
      </c>
      <c r="I2171" s="58">
        <f>IF(H2171=1,INDEX(ar_DrAcct,165)&amp;"","")</f>
        <v/>
      </c>
      <c r="J2171" s="95">
        <f>IF(H2171=1,INDEX(ar_DrAmt,165),0)</f>
        <v/>
      </c>
      <c r="K2171" s="58">
        <f>IF(H2171=1,INDEX(ar_CrAcct,165)&amp;"","")</f>
        <v/>
      </c>
      <c r="L2171" s="95">
        <f>IF(H2171=1,INDEX(ar_CrAmt,165),0)</f>
        <v/>
      </c>
      <c r="M2171" s="95" t="n">
        <v>0</v>
      </c>
      <c r="N2171" s="95">
        <f>IF(H2171=1,INDEX(ar_TaxAmt,165),0)</f>
        <v/>
      </c>
      <c r="O2171" s="101">
        <f>IF(H2171=1,IF(E2171&lt;FYStart,0,IF(E2171&gt;FYEnd,13,YEAR(E2171)*12+MONTH(E2171)-FYYM+1)),"")</f>
        <v/>
      </c>
      <c r="P2171" s="101">
        <f>IF(H2171=1,IF(IFERROR(INDEX(coa_CF,MATCH(I2171,coa_Name,0)),"")="Cash",1,0),0)</f>
        <v/>
      </c>
      <c r="Q2171" s="101">
        <f>IF(H2171=1,IF(IFERROR(INDEX(coa_CF,MATCH(K2171,coa_Name,0)),"")="Cash",1,0),0)</f>
        <v/>
      </c>
      <c r="R2171" s="58">
        <f>IF((P2171-Q2171)=0,"",IFERROR(INDEX(coa_CF,MATCH(IF((P2171-Q2171)=1,K2171,I2171),coa_Name,0)),"Operating"))</f>
        <v/>
      </c>
      <c r="S2171" s="95">
        <f>IF((P2171-Q2171)=1,L2171,IF((P2171-Q2171)=-1,-J2171,0))</f>
        <v/>
      </c>
      <c r="T2171" s="95">
        <f>IF((P2171-Q2171)=1,N2171,IF((P2171-Q2171)=-1,-M2171,0))</f>
        <v/>
      </c>
      <c r="U2171" s="101">
        <f>IF(AND(H2171=1,LedAcct&lt;&gt;""),IF(AND(E2171&gt;=LedFrom,E2171&lt;=LedTo,OR(I2171=LedAcct,K2171=LedAcct,AND(LedAcct=acctTax,M2171+N2171&lt;&gt;0))),E2171*10000+B2171,""),"")</f>
        <v/>
      </c>
    </row>
    <row r="2172">
      <c r="B2172" s="101" t="n">
        <v>2166</v>
      </c>
      <c r="C2172" s="58" t="inlineStr">
        <is>
          <t>Invoice</t>
        </is>
      </c>
      <c r="D2172" s="58">
        <f>IF(H2172=1,INDEX(ar_No,166)&amp;"","")</f>
        <v/>
      </c>
      <c r="E2172" s="94">
        <f>IF(H2172=1,INDEX(ar_Date,166),"")</f>
        <v/>
      </c>
      <c r="F2172" s="58">
        <f>IF(H2172=1,INDEX(ar_Desc,166)&amp;"","")</f>
        <v/>
      </c>
      <c r="G2172" s="58">
        <f>IF(H2172=1,INDEX(ar_Party,166)&amp;"","")</f>
        <v/>
      </c>
      <c r="H2172" s="101">
        <f>IFERROR(N(INDEX(ar_Posted,166)),0)</f>
        <v/>
      </c>
      <c r="I2172" s="58">
        <f>IF(H2172=1,INDEX(ar_DrAcct,166)&amp;"","")</f>
        <v/>
      </c>
      <c r="J2172" s="95">
        <f>IF(H2172=1,INDEX(ar_DrAmt,166),0)</f>
        <v/>
      </c>
      <c r="K2172" s="58">
        <f>IF(H2172=1,INDEX(ar_CrAcct,166)&amp;"","")</f>
        <v/>
      </c>
      <c r="L2172" s="95">
        <f>IF(H2172=1,INDEX(ar_CrAmt,166),0)</f>
        <v/>
      </c>
      <c r="M2172" s="95" t="n">
        <v>0</v>
      </c>
      <c r="N2172" s="95">
        <f>IF(H2172=1,INDEX(ar_TaxAmt,166),0)</f>
        <v/>
      </c>
      <c r="O2172" s="101">
        <f>IF(H2172=1,IF(E2172&lt;FYStart,0,IF(E2172&gt;FYEnd,13,YEAR(E2172)*12+MONTH(E2172)-FYYM+1)),"")</f>
        <v/>
      </c>
      <c r="P2172" s="101">
        <f>IF(H2172=1,IF(IFERROR(INDEX(coa_CF,MATCH(I2172,coa_Name,0)),"")="Cash",1,0),0)</f>
        <v/>
      </c>
      <c r="Q2172" s="101">
        <f>IF(H2172=1,IF(IFERROR(INDEX(coa_CF,MATCH(K2172,coa_Name,0)),"")="Cash",1,0),0)</f>
        <v/>
      </c>
      <c r="R2172" s="58">
        <f>IF((P2172-Q2172)=0,"",IFERROR(INDEX(coa_CF,MATCH(IF((P2172-Q2172)=1,K2172,I2172),coa_Name,0)),"Operating"))</f>
        <v/>
      </c>
      <c r="S2172" s="95">
        <f>IF((P2172-Q2172)=1,L2172,IF((P2172-Q2172)=-1,-J2172,0))</f>
        <v/>
      </c>
      <c r="T2172" s="95">
        <f>IF((P2172-Q2172)=1,N2172,IF((P2172-Q2172)=-1,-M2172,0))</f>
        <v/>
      </c>
      <c r="U2172" s="101">
        <f>IF(AND(H2172=1,LedAcct&lt;&gt;""),IF(AND(E2172&gt;=LedFrom,E2172&lt;=LedTo,OR(I2172=LedAcct,K2172=LedAcct,AND(LedAcct=acctTax,M2172+N2172&lt;&gt;0))),E2172*10000+B2172,""),"")</f>
        <v/>
      </c>
    </row>
    <row r="2173">
      <c r="B2173" s="101" t="n">
        <v>2167</v>
      </c>
      <c r="C2173" s="58" t="inlineStr">
        <is>
          <t>Invoice</t>
        </is>
      </c>
      <c r="D2173" s="58">
        <f>IF(H2173=1,INDEX(ar_No,167)&amp;"","")</f>
        <v/>
      </c>
      <c r="E2173" s="94">
        <f>IF(H2173=1,INDEX(ar_Date,167),"")</f>
        <v/>
      </c>
      <c r="F2173" s="58">
        <f>IF(H2173=1,INDEX(ar_Desc,167)&amp;"","")</f>
        <v/>
      </c>
      <c r="G2173" s="58">
        <f>IF(H2173=1,INDEX(ar_Party,167)&amp;"","")</f>
        <v/>
      </c>
      <c r="H2173" s="101">
        <f>IFERROR(N(INDEX(ar_Posted,167)),0)</f>
        <v/>
      </c>
      <c r="I2173" s="58">
        <f>IF(H2173=1,INDEX(ar_DrAcct,167)&amp;"","")</f>
        <v/>
      </c>
      <c r="J2173" s="95">
        <f>IF(H2173=1,INDEX(ar_DrAmt,167),0)</f>
        <v/>
      </c>
      <c r="K2173" s="58">
        <f>IF(H2173=1,INDEX(ar_CrAcct,167)&amp;"","")</f>
        <v/>
      </c>
      <c r="L2173" s="95">
        <f>IF(H2173=1,INDEX(ar_CrAmt,167),0)</f>
        <v/>
      </c>
      <c r="M2173" s="95" t="n">
        <v>0</v>
      </c>
      <c r="N2173" s="95">
        <f>IF(H2173=1,INDEX(ar_TaxAmt,167),0)</f>
        <v/>
      </c>
      <c r="O2173" s="101">
        <f>IF(H2173=1,IF(E2173&lt;FYStart,0,IF(E2173&gt;FYEnd,13,YEAR(E2173)*12+MONTH(E2173)-FYYM+1)),"")</f>
        <v/>
      </c>
      <c r="P2173" s="101">
        <f>IF(H2173=1,IF(IFERROR(INDEX(coa_CF,MATCH(I2173,coa_Name,0)),"")="Cash",1,0),0)</f>
        <v/>
      </c>
      <c r="Q2173" s="101">
        <f>IF(H2173=1,IF(IFERROR(INDEX(coa_CF,MATCH(K2173,coa_Name,0)),"")="Cash",1,0),0)</f>
        <v/>
      </c>
      <c r="R2173" s="58">
        <f>IF((P2173-Q2173)=0,"",IFERROR(INDEX(coa_CF,MATCH(IF((P2173-Q2173)=1,K2173,I2173),coa_Name,0)),"Operating"))</f>
        <v/>
      </c>
      <c r="S2173" s="95">
        <f>IF((P2173-Q2173)=1,L2173,IF((P2173-Q2173)=-1,-J2173,0))</f>
        <v/>
      </c>
      <c r="T2173" s="95">
        <f>IF((P2173-Q2173)=1,N2173,IF((P2173-Q2173)=-1,-M2173,0))</f>
        <v/>
      </c>
      <c r="U2173" s="101">
        <f>IF(AND(H2173=1,LedAcct&lt;&gt;""),IF(AND(E2173&gt;=LedFrom,E2173&lt;=LedTo,OR(I2173=LedAcct,K2173=LedAcct,AND(LedAcct=acctTax,M2173+N2173&lt;&gt;0))),E2173*10000+B2173,""),"")</f>
        <v/>
      </c>
    </row>
    <row r="2174">
      <c r="B2174" s="101" t="n">
        <v>2168</v>
      </c>
      <c r="C2174" s="58" t="inlineStr">
        <is>
          <t>Invoice</t>
        </is>
      </c>
      <c r="D2174" s="58">
        <f>IF(H2174=1,INDEX(ar_No,168)&amp;"","")</f>
        <v/>
      </c>
      <c r="E2174" s="94">
        <f>IF(H2174=1,INDEX(ar_Date,168),"")</f>
        <v/>
      </c>
      <c r="F2174" s="58">
        <f>IF(H2174=1,INDEX(ar_Desc,168)&amp;"","")</f>
        <v/>
      </c>
      <c r="G2174" s="58">
        <f>IF(H2174=1,INDEX(ar_Party,168)&amp;"","")</f>
        <v/>
      </c>
      <c r="H2174" s="101">
        <f>IFERROR(N(INDEX(ar_Posted,168)),0)</f>
        <v/>
      </c>
      <c r="I2174" s="58">
        <f>IF(H2174=1,INDEX(ar_DrAcct,168)&amp;"","")</f>
        <v/>
      </c>
      <c r="J2174" s="95">
        <f>IF(H2174=1,INDEX(ar_DrAmt,168),0)</f>
        <v/>
      </c>
      <c r="K2174" s="58">
        <f>IF(H2174=1,INDEX(ar_CrAcct,168)&amp;"","")</f>
        <v/>
      </c>
      <c r="L2174" s="95">
        <f>IF(H2174=1,INDEX(ar_CrAmt,168),0)</f>
        <v/>
      </c>
      <c r="M2174" s="95" t="n">
        <v>0</v>
      </c>
      <c r="N2174" s="95">
        <f>IF(H2174=1,INDEX(ar_TaxAmt,168),0)</f>
        <v/>
      </c>
      <c r="O2174" s="101">
        <f>IF(H2174=1,IF(E2174&lt;FYStart,0,IF(E2174&gt;FYEnd,13,YEAR(E2174)*12+MONTH(E2174)-FYYM+1)),"")</f>
        <v/>
      </c>
      <c r="P2174" s="101">
        <f>IF(H2174=1,IF(IFERROR(INDEX(coa_CF,MATCH(I2174,coa_Name,0)),"")="Cash",1,0),0)</f>
        <v/>
      </c>
      <c r="Q2174" s="101">
        <f>IF(H2174=1,IF(IFERROR(INDEX(coa_CF,MATCH(K2174,coa_Name,0)),"")="Cash",1,0),0)</f>
        <v/>
      </c>
      <c r="R2174" s="58">
        <f>IF((P2174-Q2174)=0,"",IFERROR(INDEX(coa_CF,MATCH(IF((P2174-Q2174)=1,K2174,I2174),coa_Name,0)),"Operating"))</f>
        <v/>
      </c>
      <c r="S2174" s="95">
        <f>IF((P2174-Q2174)=1,L2174,IF((P2174-Q2174)=-1,-J2174,0))</f>
        <v/>
      </c>
      <c r="T2174" s="95">
        <f>IF((P2174-Q2174)=1,N2174,IF((P2174-Q2174)=-1,-M2174,0))</f>
        <v/>
      </c>
      <c r="U2174" s="101">
        <f>IF(AND(H2174=1,LedAcct&lt;&gt;""),IF(AND(E2174&gt;=LedFrom,E2174&lt;=LedTo,OR(I2174=LedAcct,K2174=LedAcct,AND(LedAcct=acctTax,M2174+N2174&lt;&gt;0))),E2174*10000+B2174,""),"")</f>
        <v/>
      </c>
    </row>
    <row r="2175">
      <c r="B2175" s="101" t="n">
        <v>2169</v>
      </c>
      <c r="C2175" s="58" t="inlineStr">
        <is>
          <t>Invoice</t>
        </is>
      </c>
      <c r="D2175" s="58">
        <f>IF(H2175=1,INDEX(ar_No,169)&amp;"","")</f>
        <v/>
      </c>
      <c r="E2175" s="94">
        <f>IF(H2175=1,INDEX(ar_Date,169),"")</f>
        <v/>
      </c>
      <c r="F2175" s="58">
        <f>IF(H2175=1,INDEX(ar_Desc,169)&amp;"","")</f>
        <v/>
      </c>
      <c r="G2175" s="58">
        <f>IF(H2175=1,INDEX(ar_Party,169)&amp;"","")</f>
        <v/>
      </c>
      <c r="H2175" s="101">
        <f>IFERROR(N(INDEX(ar_Posted,169)),0)</f>
        <v/>
      </c>
      <c r="I2175" s="58">
        <f>IF(H2175=1,INDEX(ar_DrAcct,169)&amp;"","")</f>
        <v/>
      </c>
      <c r="J2175" s="95">
        <f>IF(H2175=1,INDEX(ar_DrAmt,169),0)</f>
        <v/>
      </c>
      <c r="K2175" s="58">
        <f>IF(H2175=1,INDEX(ar_CrAcct,169)&amp;"","")</f>
        <v/>
      </c>
      <c r="L2175" s="95">
        <f>IF(H2175=1,INDEX(ar_CrAmt,169),0)</f>
        <v/>
      </c>
      <c r="M2175" s="95" t="n">
        <v>0</v>
      </c>
      <c r="N2175" s="95">
        <f>IF(H2175=1,INDEX(ar_TaxAmt,169),0)</f>
        <v/>
      </c>
      <c r="O2175" s="101">
        <f>IF(H2175=1,IF(E2175&lt;FYStart,0,IF(E2175&gt;FYEnd,13,YEAR(E2175)*12+MONTH(E2175)-FYYM+1)),"")</f>
        <v/>
      </c>
      <c r="P2175" s="101">
        <f>IF(H2175=1,IF(IFERROR(INDEX(coa_CF,MATCH(I2175,coa_Name,0)),"")="Cash",1,0),0)</f>
        <v/>
      </c>
      <c r="Q2175" s="101">
        <f>IF(H2175=1,IF(IFERROR(INDEX(coa_CF,MATCH(K2175,coa_Name,0)),"")="Cash",1,0),0)</f>
        <v/>
      </c>
      <c r="R2175" s="58">
        <f>IF((P2175-Q2175)=0,"",IFERROR(INDEX(coa_CF,MATCH(IF((P2175-Q2175)=1,K2175,I2175),coa_Name,0)),"Operating"))</f>
        <v/>
      </c>
      <c r="S2175" s="95">
        <f>IF((P2175-Q2175)=1,L2175,IF((P2175-Q2175)=-1,-J2175,0))</f>
        <v/>
      </c>
      <c r="T2175" s="95">
        <f>IF((P2175-Q2175)=1,N2175,IF((P2175-Q2175)=-1,-M2175,0))</f>
        <v/>
      </c>
      <c r="U2175" s="101">
        <f>IF(AND(H2175=1,LedAcct&lt;&gt;""),IF(AND(E2175&gt;=LedFrom,E2175&lt;=LedTo,OR(I2175=LedAcct,K2175=LedAcct,AND(LedAcct=acctTax,M2175+N2175&lt;&gt;0))),E2175*10000+B2175,""),"")</f>
        <v/>
      </c>
    </row>
    <row r="2176">
      <c r="B2176" s="101" t="n">
        <v>2170</v>
      </c>
      <c r="C2176" s="58" t="inlineStr">
        <is>
          <t>Invoice</t>
        </is>
      </c>
      <c r="D2176" s="58">
        <f>IF(H2176=1,INDEX(ar_No,170)&amp;"","")</f>
        <v/>
      </c>
      <c r="E2176" s="94">
        <f>IF(H2176=1,INDEX(ar_Date,170),"")</f>
        <v/>
      </c>
      <c r="F2176" s="58">
        <f>IF(H2176=1,INDEX(ar_Desc,170)&amp;"","")</f>
        <v/>
      </c>
      <c r="G2176" s="58">
        <f>IF(H2176=1,INDEX(ar_Party,170)&amp;"","")</f>
        <v/>
      </c>
      <c r="H2176" s="101">
        <f>IFERROR(N(INDEX(ar_Posted,170)),0)</f>
        <v/>
      </c>
      <c r="I2176" s="58">
        <f>IF(H2176=1,INDEX(ar_DrAcct,170)&amp;"","")</f>
        <v/>
      </c>
      <c r="J2176" s="95">
        <f>IF(H2176=1,INDEX(ar_DrAmt,170),0)</f>
        <v/>
      </c>
      <c r="K2176" s="58">
        <f>IF(H2176=1,INDEX(ar_CrAcct,170)&amp;"","")</f>
        <v/>
      </c>
      <c r="L2176" s="95">
        <f>IF(H2176=1,INDEX(ar_CrAmt,170),0)</f>
        <v/>
      </c>
      <c r="M2176" s="95" t="n">
        <v>0</v>
      </c>
      <c r="N2176" s="95">
        <f>IF(H2176=1,INDEX(ar_TaxAmt,170),0)</f>
        <v/>
      </c>
      <c r="O2176" s="101">
        <f>IF(H2176=1,IF(E2176&lt;FYStart,0,IF(E2176&gt;FYEnd,13,YEAR(E2176)*12+MONTH(E2176)-FYYM+1)),"")</f>
        <v/>
      </c>
      <c r="P2176" s="101">
        <f>IF(H2176=1,IF(IFERROR(INDEX(coa_CF,MATCH(I2176,coa_Name,0)),"")="Cash",1,0),0)</f>
        <v/>
      </c>
      <c r="Q2176" s="101">
        <f>IF(H2176=1,IF(IFERROR(INDEX(coa_CF,MATCH(K2176,coa_Name,0)),"")="Cash",1,0),0)</f>
        <v/>
      </c>
      <c r="R2176" s="58">
        <f>IF((P2176-Q2176)=0,"",IFERROR(INDEX(coa_CF,MATCH(IF((P2176-Q2176)=1,K2176,I2176),coa_Name,0)),"Operating"))</f>
        <v/>
      </c>
      <c r="S2176" s="95">
        <f>IF((P2176-Q2176)=1,L2176,IF((P2176-Q2176)=-1,-J2176,0))</f>
        <v/>
      </c>
      <c r="T2176" s="95">
        <f>IF((P2176-Q2176)=1,N2176,IF((P2176-Q2176)=-1,-M2176,0))</f>
        <v/>
      </c>
      <c r="U2176" s="101">
        <f>IF(AND(H2176=1,LedAcct&lt;&gt;""),IF(AND(E2176&gt;=LedFrom,E2176&lt;=LedTo,OR(I2176=LedAcct,K2176=LedAcct,AND(LedAcct=acctTax,M2176+N2176&lt;&gt;0))),E2176*10000+B2176,""),"")</f>
        <v/>
      </c>
    </row>
    <row r="2177">
      <c r="B2177" s="101" t="n">
        <v>2171</v>
      </c>
      <c r="C2177" s="58" t="inlineStr">
        <is>
          <t>Invoice</t>
        </is>
      </c>
      <c r="D2177" s="58">
        <f>IF(H2177=1,INDEX(ar_No,171)&amp;"","")</f>
        <v/>
      </c>
      <c r="E2177" s="94">
        <f>IF(H2177=1,INDEX(ar_Date,171),"")</f>
        <v/>
      </c>
      <c r="F2177" s="58">
        <f>IF(H2177=1,INDEX(ar_Desc,171)&amp;"","")</f>
        <v/>
      </c>
      <c r="G2177" s="58">
        <f>IF(H2177=1,INDEX(ar_Party,171)&amp;"","")</f>
        <v/>
      </c>
      <c r="H2177" s="101">
        <f>IFERROR(N(INDEX(ar_Posted,171)),0)</f>
        <v/>
      </c>
      <c r="I2177" s="58">
        <f>IF(H2177=1,INDEX(ar_DrAcct,171)&amp;"","")</f>
        <v/>
      </c>
      <c r="J2177" s="95">
        <f>IF(H2177=1,INDEX(ar_DrAmt,171),0)</f>
        <v/>
      </c>
      <c r="K2177" s="58">
        <f>IF(H2177=1,INDEX(ar_CrAcct,171)&amp;"","")</f>
        <v/>
      </c>
      <c r="L2177" s="95">
        <f>IF(H2177=1,INDEX(ar_CrAmt,171),0)</f>
        <v/>
      </c>
      <c r="M2177" s="95" t="n">
        <v>0</v>
      </c>
      <c r="N2177" s="95">
        <f>IF(H2177=1,INDEX(ar_TaxAmt,171),0)</f>
        <v/>
      </c>
      <c r="O2177" s="101">
        <f>IF(H2177=1,IF(E2177&lt;FYStart,0,IF(E2177&gt;FYEnd,13,YEAR(E2177)*12+MONTH(E2177)-FYYM+1)),"")</f>
        <v/>
      </c>
      <c r="P2177" s="101">
        <f>IF(H2177=1,IF(IFERROR(INDEX(coa_CF,MATCH(I2177,coa_Name,0)),"")="Cash",1,0),0)</f>
        <v/>
      </c>
      <c r="Q2177" s="101">
        <f>IF(H2177=1,IF(IFERROR(INDEX(coa_CF,MATCH(K2177,coa_Name,0)),"")="Cash",1,0),0)</f>
        <v/>
      </c>
      <c r="R2177" s="58">
        <f>IF((P2177-Q2177)=0,"",IFERROR(INDEX(coa_CF,MATCH(IF((P2177-Q2177)=1,K2177,I2177),coa_Name,0)),"Operating"))</f>
        <v/>
      </c>
      <c r="S2177" s="95">
        <f>IF((P2177-Q2177)=1,L2177,IF((P2177-Q2177)=-1,-J2177,0))</f>
        <v/>
      </c>
      <c r="T2177" s="95">
        <f>IF((P2177-Q2177)=1,N2177,IF((P2177-Q2177)=-1,-M2177,0))</f>
        <v/>
      </c>
      <c r="U2177" s="101">
        <f>IF(AND(H2177=1,LedAcct&lt;&gt;""),IF(AND(E2177&gt;=LedFrom,E2177&lt;=LedTo,OR(I2177=LedAcct,K2177=LedAcct,AND(LedAcct=acctTax,M2177+N2177&lt;&gt;0))),E2177*10000+B2177,""),"")</f>
        <v/>
      </c>
    </row>
    <row r="2178">
      <c r="B2178" s="101" t="n">
        <v>2172</v>
      </c>
      <c r="C2178" s="58" t="inlineStr">
        <is>
          <t>Invoice</t>
        </is>
      </c>
      <c r="D2178" s="58">
        <f>IF(H2178=1,INDEX(ar_No,172)&amp;"","")</f>
        <v/>
      </c>
      <c r="E2178" s="94">
        <f>IF(H2178=1,INDEX(ar_Date,172),"")</f>
        <v/>
      </c>
      <c r="F2178" s="58">
        <f>IF(H2178=1,INDEX(ar_Desc,172)&amp;"","")</f>
        <v/>
      </c>
      <c r="G2178" s="58">
        <f>IF(H2178=1,INDEX(ar_Party,172)&amp;"","")</f>
        <v/>
      </c>
      <c r="H2178" s="101">
        <f>IFERROR(N(INDEX(ar_Posted,172)),0)</f>
        <v/>
      </c>
      <c r="I2178" s="58">
        <f>IF(H2178=1,INDEX(ar_DrAcct,172)&amp;"","")</f>
        <v/>
      </c>
      <c r="J2178" s="95">
        <f>IF(H2178=1,INDEX(ar_DrAmt,172),0)</f>
        <v/>
      </c>
      <c r="K2178" s="58">
        <f>IF(H2178=1,INDEX(ar_CrAcct,172)&amp;"","")</f>
        <v/>
      </c>
      <c r="L2178" s="95">
        <f>IF(H2178=1,INDEX(ar_CrAmt,172),0)</f>
        <v/>
      </c>
      <c r="M2178" s="95" t="n">
        <v>0</v>
      </c>
      <c r="N2178" s="95">
        <f>IF(H2178=1,INDEX(ar_TaxAmt,172),0)</f>
        <v/>
      </c>
      <c r="O2178" s="101">
        <f>IF(H2178=1,IF(E2178&lt;FYStart,0,IF(E2178&gt;FYEnd,13,YEAR(E2178)*12+MONTH(E2178)-FYYM+1)),"")</f>
        <v/>
      </c>
      <c r="P2178" s="101">
        <f>IF(H2178=1,IF(IFERROR(INDEX(coa_CF,MATCH(I2178,coa_Name,0)),"")="Cash",1,0),0)</f>
        <v/>
      </c>
      <c r="Q2178" s="101">
        <f>IF(H2178=1,IF(IFERROR(INDEX(coa_CF,MATCH(K2178,coa_Name,0)),"")="Cash",1,0),0)</f>
        <v/>
      </c>
      <c r="R2178" s="58">
        <f>IF((P2178-Q2178)=0,"",IFERROR(INDEX(coa_CF,MATCH(IF((P2178-Q2178)=1,K2178,I2178),coa_Name,0)),"Operating"))</f>
        <v/>
      </c>
      <c r="S2178" s="95">
        <f>IF((P2178-Q2178)=1,L2178,IF((P2178-Q2178)=-1,-J2178,0))</f>
        <v/>
      </c>
      <c r="T2178" s="95">
        <f>IF((P2178-Q2178)=1,N2178,IF((P2178-Q2178)=-1,-M2178,0))</f>
        <v/>
      </c>
      <c r="U2178" s="101">
        <f>IF(AND(H2178=1,LedAcct&lt;&gt;""),IF(AND(E2178&gt;=LedFrom,E2178&lt;=LedTo,OR(I2178=LedAcct,K2178=LedAcct,AND(LedAcct=acctTax,M2178+N2178&lt;&gt;0))),E2178*10000+B2178,""),"")</f>
        <v/>
      </c>
    </row>
    <row r="2179">
      <c r="B2179" s="101" t="n">
        <v>2173</v>
      </c>
      <c r="C2179" s="58" t="inlineStr">
        <is>
          <t>Invoice</t>
        </is>
      </c>
      <c r="D2179" s="58">
        <f>IF(H2179=1,INDEX(ar_No,173)&amp;"","")</f>
        <v/>
      </c>
      <c r="E2179" s="94">
        <f>IF(H2179=1,INDEX(ar_Date,173),"")</f>
        <v/>
      </c>
      <c r="F2179" s="58">
        <f>IF(H2179=1,INDEX(ar_Desc,173)&amp;"","")</f>
        <v/>
      </c>
      <c r="G2179" s="58">
        <f>IF(H2179=1,INDEX(ar_Party,173)&amp;"","")</f>
        <v/>
      </c>
      <c r="H2179" s="101">
        <f>IFERROR(N(INDEX(ar_Posted,173)),0)</f>
        <v/>
      </c>
      <c r="I2179" s="58">
        <f>IF(H2179=1,INDEX(ar_DrAcct,173)&amp;"","")</f>
        <v/>
      </c>
      <c r="J2179" s="95">
        <f>IF(H2179=1,INDEX(ar_DrAmt,173),0)</f>
        <v/>
      </c>
      <c r="K2179" s="58">
        <f>IF(H2179=1,INDEX(ar_CrAcct,173)&amp;"","")</f>
        <v/>
      </c>
      <c r="L2179" s="95">
        <f>IF(H2179=1,INDEX(ar_CrAmt,173),0)</f>
        <v/>
      </c>
      <c r="M2179" s="95" t="n">
        <v>0</v>
      </c>
      <c r="N2179" s="95">
        <f>IF(H2179=1,INDEX(ar_TaxAmt,173),0)</f>
        <v/>
      </c>
      <c r="O2179" s="101">
        <f>IF(H2179=1,IF(E2179&lt;FYStart,0,IF(E2179&gt;FYEnd,13,YEAR(E2179)*12+MONTH(E2179)-FYYM+1)),"")</f>
        <v/>
      </c>
      <c r="P2179" s="101">
        <f>IF(H2179=1,IF(IFERROR(INDEX(coa_CF,MATCH(I2179,coa_Name,0)),"")="Cash",1,0),0)</f>
        <v/>
      </c>
      <c r="Q2179" s="101">
        <f>IF(H2179=1,IF(IFERROR(INDEX(coa_CF,MATCH(K2179,coa_Name,0)),"")="Cash",1,0),0)</f>
        <v/>
      </c>
      <c r="R2179" s="58">
        <f>IF((P2179-Q2179)=0,"",IFERROR(INDEX(coa_CF,MATCH(IF((P2179-Q2179)=1,K2179,I2179),coa_Name,0)),"Operating"))</f>
        <v/>
      </c>
      <c r="S2179" s="95">
        <f>IF((P2179-Q2179)=1,L2179,IF((P2179-Q2179)=-1,-J2179,0))</f>
        <v/>
      </c>
      <c r="T2179" s="95">
        <f>IF((P2179-Q2179)=1,N2179,IF((P2179-Q2179)=-1,-M2179,0))</f>
        <v/>
      </c>
      <c r="U2179" s="101">
        <f>IF(AND(H2179=1,LedAcct&lt;&gt;""),IF(AND(E2179&gt;=LedFrom,E2179&lt;=LedTo,OR(I2179=LedAcct,K2179=LedAcct,AND(LedAcct=acctTax,M2179+N2179&lt;&gt;0))),E2179*10000+B2179,""),"")</f>
        <v/>
      </c>
    </row>
    <row r="2180">
      <c r="B2180" s="101" t="n">
        <v>2174</v>
      </c>
      <c r="C2180" s="58" t="inlineStr">
        <is>
          <t>Invoice</t>
        </is>
      </c>
      <c r="D2180" s="58">
        <f>IF(H2180=1,INDEX(ar_No,174)&amp;"","")</f>
        <v/>
      </c>
      <c r="E2180" s="94">
        <f>IF(H2180=1,INDEX(ar_Date,174),"")</f>
        <v/>
      </c>
      <c r="F2180" s="58">
        <f>IF(H2180=1,INDEX(ar_Desc,174)&amp;"","")</f>
        <v/>
      </c>
      <c r="G2180" s="58">
        <f>IF(H2180=1,INDEX(ar_Party,174)&amp;"","")</f>
        <v/>
      </c>
      <c r="H2180" s="101">
        <f>IFERROR(N(INDEX(ar_Posted,174)),0)</f>
        <v/>
      </c>
      <c r="I2180" s="58">
        <f>IF(H2180=1,INDEX(ar_DrAcct,174)&amp;"","")</f>
        <v/>
      </c>
      <c r="J2180" s="95">
        <f>IF(H2180=1,INDEX(ar_DrAmt,174),0)</f>
        <v/>
      </c>
      <c r="K2180" s="58">
        <f>IF(H2180=1,INDEX(ar_CrAcct,174)&amp;"","")</f>
        <v/>
      </c>
      <c r="L2180" s="95">
        <f>IF(H2180=1,INDEX(ar_CrAmt,174),0)</f>
        <v/>
      </c>
      <c r="M2180" s="95" t="n">
        <v>0</v>
      </c>
      <c r="N2180" s="95">
        <f>IF(H2180=1,INDEX(ar_TaxAmt,174),0)</f>
        <v/>
      </c>
      <c r="O2180" s="101">
        <f>IF(H2180=1,IF(E2180&lt;FYStart,0,IF(E2180&gt;FYEnd,13,YEAR(E2180)*12+MONTH(E2180)-FYYM+1)),"")</f>
        <v/>
      </c>
      <c r="P2180" s="101">
        <f>IF(H2180=1,IF(IFERROR(INDEX(coa_CF,MATCH(I2180,coa_Name,0)),"")="Cash",1,0),0)</f>
        <v/>
      </c>
      <c r="Q2180" s="101">
        <f>IF(H2180=1,IF(IFERROR(INDEX(coa_CF,MATCH(K2180,coa_Name,0)),"")="Cash",1,0),0)</f>
        <v/>
      </c>
      <c r="R2180" s="58">
        <f>IF((P2180-Q2180)=0,"",IFERROR(INDEX(coa_CF,MATCH(IF((P2180-Q2180)=1,K2180,I2180),coa_Name,0)),"Operating"))</f>
        <v/>
      </c>
      <c r="S2180" s="95">
        <f>IF((P2180-Q2180)=1,L2180,IF((P2180-Q2180)=-1,-J2180,0))</f>
        <v/>
      </c>
      <c r="T2180" s="95">
        <f>IF((P2180-Q2180)=1,N2180,IF((P2180-Q2180)=-1,-M2180,0))</f>
        <v/>
      </c>
      <c r="U2180" s="101">
        <f>IF(AND(H2180=1,LedAcct&lt;&gt;""),IF(AND(E2180&gt;=LedFrom,E2180&lt;=LedTo,OR(I2180=LedAcct,K2180=LedAcct,AND(LedAcct=acctTax,M2180+N2180&lt;&gt;0))),E2180*10000+B2180,""),"")</f>
        <v/>
      </c>
    </row>
    <row r="2181">
      <c r="B2181" s="101" t="n">
        <v>2175</v>
      </c>
      <c r="C2181" s="58" t="inlineStr">
        <is>
          <t>Invoice</t>
        </is>
      </c>
      <c r="D2181" s="58">
        <f>IF(H2181=1,INDEX(ar_No,175)&amp;"","")</f>
        <v/>
      </c>
      <c r="E2181" s="94">
        <f>IF(H2181=1,INDEX(ar_Date,175),"")</f>
        <v/>
      </c>
      <c r="F2181" s="58">
        <f>IF(H2181=1,INDEX(ar_Desc,175)&amp;"","")</f>
        <v/>
      </c>
      <c r="G2181" s="58">
        <f>IF(H2181=1,INDEX(ar_Party,175)&amp;"","")</f>
        <v/>
      </c>
      <c r="H2181" s="101">
        <f>IFERROR(N(INDEX(ar_Posted,175)),0)</f>
        <v/>
      </c>
      <c r="I2181" s="58">
        <f>IF(H2181=1,INDEX(ar_DrAcct,175)&amp;"","")</f>
        <v/>
      </c>
      <c r="J2181" s="95">
        <f>IF(H2181=1,INDEX(ar_DrAmt,175),0)</f>
        <v/>
      </c>
      <c r="K2181" s="58">
        <f>IF(H2181=1,INDEX(ar_CrAcct,175)&amp;"","")</f>
        <v/>
      </c>
      <c r="L2181" s="95">
        <f>IF(H2181=1,INDEX(ar_CrAmt,175),0)</f>
        <v/>
      </c>
      <c r="M2181" s="95" t="n">
        <v>0</v>
      </c>
      <c r="N2181" s="95">
        <f>IF(H2181=1,INDEX(ar_TaxAmt,175),0)</f>
        <v/>
      </c>
      <c r="O2181" s="101">
        <f>IF(H2181=1,IF(E2181&lt;FYStart,0,IF(E2181&gt;FYEnd,13,YEAR(E2181)*12+MONTH(E2181)-FYYM+1)),"")</f>
        <v/>
      </c>
      <c r="P2181" s="101">
        <f>IF(H2181=1,IF(IFERROR(INDEX(coa_CF,MATCH(I2181,coa_Name,0)),"")="Cash",1,0),0)</f>
        <v/>
      </c>
      <c r="Q2181" s="101">
        <f>IF(H2181=1,IF(IFERROR(INDEX(coa_CF,MATCH(K2181,coa_Name,0)),"")="Cash",1,0),0)</f>
        <v/>
      </c>
      <c r="R2181" s="58">
        <f>IF((P2181-Q2181)=0,"",IFERROR(INDEX(coa_CF,MATCH(IF((P2181-Q2181)=1,K2181,I2181),coa_Name,0)),"Operating"))</f>
        <v/>
      </c>
      <c r="S2181" s="95">
        <f>IF((P2181-Q2181)=1,L2181,IF((P2181-Q2181)=-1,-J2181,0))</f>
        <v/>
      </c>
      <c r="T2181" s="95">
        <f>IF((P2181-Q2181)=1,N2181,IF((P2181-Q2181)=-1,-M2181,0))</f>
        <v/>
      </c>
      <c r="U2181" s="101">
        <f>IF(AND(H2181=1,LedAcct&lt;&gt;""),IF(AND(E2181&gt;=LedFrom,E2181&lt;=LedTo,OR(I2181=LedAcct,K2181=LedAcct,AND(LedAcct=acctTax,M2181+N2181&lt;&gt;0))),E2181*10000+B2181,""),"")</f>
        <v/>
      </c>
    </row>
    <row r="2182">
      <c r="B2182" s="101" t="n">
        <v>2176</v>
      </c>
      <c r="C2182" s="58" t="inlineStr">
        <is>
          <t>Invoice</t>
        </is>
      </c>
      <c r="D2182" s="58">
        <f>IF(H2182=1,INDEX(ar_No,176)&amp;"","")</f>
        <v/>
      </c>
      <c r="E2182" s="94">
        <f>IF(H2182=1,INDEX(ar_Date,176),"")</f>
        <v/>
      </c>
      <c r="F2182" s="58">
        <f>IF(H2182=1,INDEX(ar_Desc,176)&amp;"","")</f>
        <v/>
      </c>
      <c r="G2182" s="58">
        <f>IF(H2182=1,INDEX(ar_Party,176)&amp;"","")</f>
        <v/>
      </c>
      <c r="H2182" s="101">
        <f>IFERROR(N(INDEX(ar_Posted,176)),0)</f>
        <v/>
      </c>
      <c r="I2182" s="58">
        <f>IF(H2182=1,INDEX(ar_DrAcct,176)&amp;"","")</f>
        <v/>
      </c>
      <c r="J2182" s="95">
        <f>IF(H2182=1,INDEX(ar_DrAmt,176),0)</f>
        <v/>
      </c>
      <c r="K2182" s="58">
        <f>IF(H2182=1,INDEX(ar_CrAcct,176)&amp;"","")</f>
        <v/>
      </c>
      <c r="L2182" s="95">
        <f>IF(H2182=1,INDEX(ar_CrAmt,176),0)</f>
        <v/>
      </c>
      <c r="M2182" s="95" t="n">
        <v>0</v>
      </c>
      <c r="N2182" s="95">
        <f>IF(H2182=1,INDEX(ar_TaxAmt,176),0)</f>
        <v/>
      </c>
      <c r="O2182" s="101">
        <f>IF(H2182=1,IF(E2182&lt;FYStart,0,IF(E2182&gt;FYEnd,13,YEAR(E2182)*12+MONTH(E2182)-FYYM+1)),"")</f>
        <v/>
      </c>
      <c r="P2182" s="101">
        <f>IF(H2182=1,IF(IFERROR(INDEX(coa_CF,MATCH(I2182,coa_Name,0)),"")="Cash",1,0),0)</f>
        <v/>
      </c>
      <c r="Q2182" s="101">
        <f>IF(H2182=1,IF(IFERROR(INDEX(coa_CF,MATCH(K2182,coa_Name,0)),"")="Cash",1,0),0)</f>
        <v/>
      </c>
      <c r="R2182" s="58">
        <f>IF((P2182-Q2182)=0,"",IFERROR(INDEX(coa_CF,MATCH(IF((P2182-Q2182)=1,K2182,I2182),coa_Name,0)),"Operating"))</f>
        <v/>
      </c>
      <c r="S2182" s="95">
        <f>IF((P2182-Q2182)=1,L2182,IF((P2182-Q2182)=-1,-J2182,0))</f>
        <v/>
      </c>
      <c r="T2182" s="95">
        <f>IF((P2182-Q2182)=1,N2182,IF((P2182-Q2182)=-1,-M2182,0))</f>
        <v/>
      </c>
      <c r="U2182" s="101">
        <f>IF(AND(H2182=1,LedAcct&lt;&gt;""),IF(AND(E2182&gt;=LedFrom,E2182&lt;=LedTo,OR(I2182=LedAcct,K2182=LedAcct,AND(LedAcct=acctTax,M2182+N2182&lt;&gt;0))),E2182*10000+B2182,""),"")</f>
        <v/>
      </c>
    </row>
    <row r="2183">
      <c r="B2183" s="101" t="n">
        <v>2177</v>
      </c>
      <c r="C2183" s="58" t="inlineStr">
        <is>
          <t>Invoice</t>
        </is>
      </c>
      <c r="D2183" s="58">
        <f>IF(H2183=1,INDEX(ar_No,177)&amp;"","")</f>
        <v/>
      </c>
      <c r="E2183" s="94">
        <f>IF(H2183=1,INDEX(ar_Date,177),"")</f>
        <v/>
      </c>
      <c r="F2183" s="58">
        <f>IF(H2183=1,INDEX(ar_Desc,177)&amp;"","")</f>
        <v/>
      </c>
      <c r="G2183" s="58">
        <f>IF(H2183=1,INDEX(ar_Party,177)&amp;"","")</f>
        <v/>
      </c>
      <c r="H2183" s="101">
        <f>IFERROR(N(INDEX(ar_Posted,177)),0)</f>
        <v/>
      </c>
      <c r="I2183" s="58">
        <f>IF(H2183=1,INDEX(ar_DrAcct,177)&amp;"","")</f>
        <v/>
      </c>
      <c r="J2183" s="95">
        <f>IF(H2183=1,INDEX(ar_DrAmt,177),0)</f>
        <v/>
      </c>
      <c r="K2183" s="58">
        <f>IF(H2183=1,INDEX(ar_CrAcct,177)&amp;"","")</f>
        <v/>
      </c>
      <c r="L2183" s="95">
        <f>IF(H2183=1,INDEX(ar_CrAmt,177),0)</f>
        <v/>
      </c>
      <c r="M2183" s="95" t="n">
        <v>0</v>
      </c>
      <c r="N2183" s="95">
        <f>IF(H2183=1,INDEX(ar_TaxAmt,177),0)</f>
        <v/>
      </c>
      <c r="O2183" s="101">
        <f>IF(H2183=1,IF(E2183&lt;FYStart,0,IF(E2183&gt;FYEnd,13,YEAR(E2183)*12+MONTH(E2183)-FYYM+1)),"")</f>
        <v/>
      </c>
      <c r="P2183" s="101">
        <f>IF(H2183=1,IF(IFERROR(INDEX(coa_CF,MATCH(I2183,coa_Name,0)),"")="Cash",1,0),0)</f>
        <v/>
      </c>
      <c r="Q2183" s="101">
        <f>IF(H2183=1,IF(IFERROR(INDEX(coa_CF,MATCH(K2183,coa_Name,0)),"")="Cash",1,0),0)</f>
        <v/>
      </c>
      <c r="R2183" s="58">
        <f>IF((P2183-Q2183)=0,"",IFERROR(INDEX(coa_CF,MATCH(IF((P2183-Q2183)=1,K2183,I2183),coa_Name,0)),"Operating"))</f>
        <v/>
      </c>
      <c r="S2183" s="95">
        <f>IF((P2183-Q2183)=1,L2183,IF((P2183-Q2183)=-1,-J2183,0))</f>
        <v/>
      </c>
      <c r="T2183" s="95">
        <f>IF((P2183-Q2183)=1,N2183,IF((P2183-Q2183)=-1,-M2183,0))</f>
        <v/>
      </c>
      <c r="U2183" s="101">
        <f>IF(AND(H2183=1,LedAcct&lt;&gt;""),IF(AND(E2183&gt;=LedFrom,E2183&lt;=LedTo,OR(I2183=LedAcct,K2183=LedAcct,AND(LedAcct=acctTax,M2183+N2183&lt;&gt;0))),E2183*10000+B2183,""),"")</f>
        <v/>
      </c>
    </row>
    <row r="2184">
      <c r="B2184" s="101" t="n">
        <v>2178</v>
      </c>
      <c r="C2184" s="58" t="inlineStr">
        <is>
          <t>Invoice</t>
        </is>
      </c>
      <c r="D2184" s="58">
        <f>IF(H2184=1,INDEX(ar_No,178)&amp;"","")</f>
        <v/>
      </c>
      <c r="E2184" s="94">
        <f>IF(H2184=1,INDEX(ar_Date,178),"")</f>
        <v/>
      </c>
      <c r="F2184" s="58">
        <f>IF(H2184=1,INDEX(ar_Desc,178)&amp;"","")</f>
        <v/>
      </c>
      <c r="G2184" s="58">
        <f>IF(H2184=1,INDEX(ar_Party,178)&amp;"","")</f>
        <v/>
      </c>
      <c r="H2184" s="101">
        <f>IFERROR(N(INDEX(ar_Posted,178)),0)</f>
        <v/>
      </c>
      <c r="I2184" s="58">
        <f>IF(H2184=1,INDEX(ar_DrAcct,178)&amp;"","")</f>
        <v/>
      </c>
      <c r="J2184" s="95">
        <f>IF(H2184=1,INDEX(ar_DrAmt,178),0)</f>
        <v/>
      </c>
      <c r="K2184" s="58">
        <f>IF(H2184=1,INDEX(ar_CrAcct,178)&amp;"","")</f>
        <v/>
      </c>
      <c r="L2184" s="95">
        <f>IF(H2184=1,INDEX(ar_CrAmt,178),0)</f>
        <v/>
      </c>
      <c r="M2184" s="95" t="n">
        <v>0</v>
      </c>
      <c r="N2184" s="95">
        <f>IF(H2184=1,INDEX(ar_TaxAmt,178),0)</f>
        <v/>
      </c>
      <c r="O2184" s="101">
        <f>IF(H2184=1,IF(E2184&lt;FYStart,0,IF(E2184&gt;FYEnd,13,YEAR(E2184)*12+MONTH(E2184)-FYYM+1)),"")</f>
        <v/>
      </c>
      <c r="P2184" s="101">
        <f>IF(H2184=1,IF(IFERROR(INDEX(coa_CF,MATCH(I2184,coa_Name,0)),"")="Cash",1,0),0)</f>
        <v/>
      </c>
      <c r="Q2184" s="101">
        <f>IF(H2184=1,IF(IFERROR(INDEX(coa_CF,MATCH(K2184,coa_Name,0)),"")="Cash",1,0),0)</f>
        <v/>
      </c>
      <c r="R2184" s="58">
        <f>IF((P2184-Q2184)=0,"",IFERROR(INDEX(coa_CF,MATCH(IF((P2184-Q2184)=1,K2184,I2184),coa_Name,0)),"Operating"))</f>
        <v/>
      </c>
      <c r="S2184" s="95">
        <f>IF((P2184-Q2184)=1,L2184,IF((P2184-Q2184)=-1,-J2184,0))</f>
        <v/>
      </c>
      <c r="T2184" s="95">
        <f>IF((P2184-Q2184)=1,N2184,IF((P2184-Q2184)=-1,-M2184,0))</f>
        <v/>
      </c>
      <c r="U2184" s="101">
        <f>IF(AND(H2184=1,LedAcct&lt;&gt;""),IF(AND(E2184&gt;=LedFrom,E2184&lt;=LedTo,OR(I2184=LedAcct,K2184=LedAcct,AND(LedAcct=acctTax,M2184+N2184&lt;&gt;0))),E2184*10000+B2184,""),"")</f>
        <v/>
      </c>
    </row>
    <row r="2185">
      <c r="B2185" s="101" t="n">
        <v>2179</v>
      </c>
      <c r="C2185" s="58" t="inlineStr">
        <is>
          <t>Invoice</t>
        </is>
      </c>
      <c r="D2185" s="58">
        <f>IF(H2185=1,INDEX(ar_No,179)&amp;"","")</f>
        <v/>
      </c>
      <c r="E2185" s="94">
        <f>IF(H2185=1,INDEX(ar_Date,179),"")</f>
        <v/>
      </c>
      <c r="F2185" s="58">
        <f>IF(H2185=1,INDEX(ar_Desc,179)&amp;"","")</f>
        <v/>
      </c>
      <c r="G2185" s="58">
        <f>IF(H2185=1,INDEX(ar_Party,179)&amp;"","")</f>
        <v/>
      </c>
      <c r="H2185" s="101">
        <f>IFERROR(N(INDEX(ar_Posted,179)),0)</f>
        <v/>
      </c>
      <c r="I2185" s="58">
        <f>IF(H2185=1,INDEX(ar_DrAcct,179)&amp;"","")</f>
        <v/>
      </c>
      <c r="J2185" s="95">
        <f>IF(H2185=1,INDEX(ar_DrAmt,179),0)</f>
        <v/>
      </c>
      <c r="K2185" s="58">
        <f>IF(H2185=1,INDEX(ar_CrAcct,179)&amp;"","")</f>
        <v/>
      </c>
      <c r="L2185" s="95">
        <f>IF(H2185=1,INDEX(ar_CrAmt,179),0)</f>
        <v/>
      </c>
      <c r="M2185" s="95" t="n">
        <v>0</v>
      </c>
      <c r="N2185" s="95">
        <f>IF(H2185=1,INDEX(ar_TaxAmt,179),0)</f>
        <v/>
      </c>
      <c r="O2185" s="101">
        <f>IF(H2185=1,IF(E2185&lt;FYStart,0,IF(E2185&gt;FYEnd,13,YEAR(E2185)*12+MONTH(E2185)-FYYM+1)),"")</f>
        <v/>
      </c>
      <c r="P2185" s="101">
        <f>IF(H2185=1,IF(IFERROR(INDEX(coa_CF,MATCH(I2185,coa_Name,0)),"")="Cash",1,0),0)</f>
        <v/>
      </c>
      <c r="Q2185" s="101">
        <f>IF(H2185=1,IF(IFERROR(INDEX(coa_CF,MATCH(K2185,coa_Name,0)),"")="Cash",1,0),0)</f>
        <v/>
      </c>
      <c r="R2185" s="58">
        <f>IF((P2185-Q2185)=0,"",IFERROR(INDEX(coa_CF,MATCH(IF((P2185-Q2185)=1,K2185,I2185),coa_Name,0)),"Operating"))</f>
        <v/>
      </c>
      <c r="S2185" s="95">
        <f>IF((P2185-Q2185)=1,L2185,IF((P2185-Q2185)=-1,-J2185,0))</f>
        <v/>
      </c>
      <c r="T2185" s="95">
        <f>IF((P2185-Q2185)=1,N2185,IF((P2185-Q2185)=-1,-M2185,0))</f>
        <v/>
      </c>
      <c r="U2185" s="101">
        <f>IF(AND(H2185=1,LedAcct&lt;&gt;""),IF(AND(E2185&gt;=LedFrom,E2185&lt;=LedTo,OR(I2185=LedAcct,K2185=LedAcct,AND(LedAcct=acctTax,M2185+N2185&lt;&gt;0))),E2185*10000+B2185,""),"")</f>
        <v/>
      </c>
    </row>
    <row r="2186">
      <c r="B2186" s="101" t="n">
        <v>2180</v>
      </c>
      <c r="C2186" s="58" t="inlineStr">
        <is>
          <t>Invoice</t>
        </is>
      </c>
      <c r="D2186" s="58">
        <f>IF(H2186=1,INDEX(ar_No,180)&amp;"","")</f>
        <v/>
      </c>
      <c r="E2186" s="94">
        <f>IF(H2186=1,INDEX(ar_Date,180),"")</f>
        <v/>
      </c>
      <c r="F2186" s="58">
        <f>IF(H2186=1,INDEX(ar_Desc,180)&amp;"","")</f>
        <v/>
      </c>
      <c r="G2186" s="58">
        <f>IF(H2186=1,INDEX(ar_Party,180)&amp;"","")</f>
        <v/>
      </c>
      <c r="H2186" s="101">
        <f>IFERROR(N(INDEX(ar_Posted,180)),0)</f>
        <v/>
      </c>
      <c r="I2186" s="58">
        <f>IF(H2186=1,INDEX(ar_DrAcct,180)&amp;"","")</f>
        <v/>
      </c>
      <c r="J2186" s="95">
        <f>IF(H2186=1,INDEX(ar_DrAmt,180),0)</f>
        <v/>
      </c>
      <c r="K2186" s="58">
        <f>IF(H2186=1,INDEX(ar_CrAcct,180)&amp;"","")</f>
        <v/>
      </c>
      <c r="L2186" s="95">
        <f>IF(H2186=1,INDEX(ar_CrAmt,180),0)</f>
        <v/>
      </c>
      <c r="M2186" s="95" t="n">
        <v>0</v>
      </c>
      <c r="N2186" s="95">
        <f>IF(H2186=1,INDEX(ar_TaxAmt,180),0)</f>
        <v/>
      </c>
      <c r="O2186" s="101">
        <f>IF(H2186=1,IF(E2186&lt;FYStart,0,IF(E2186&gt;FYEnd,13,YEAR(E2186)*12+MONTH(E2186)-FYYM+1)),"")</f>
        <v/>
      </c>
      <c r="P2186" s="101">
        <f>IF(H2186=1,IF(IFERROR(INDEX(coa_CF,MATCH(I2186,coa_Name,0)),"")="Cash",1,0),0)</f>
        <v/>
      </c>
      <c r="Q2186" s="101">
        <f>IF(H2186=1,IF(IFERROR(INDEX(coa_CF,MATCH(K2186,coa_Name,0)),"")="Cash",1,0),0)</f>
        <v/>
      </c>
      <c r="R2186" s="58">
        <f>IF((P2186-Q2186)=0,"",IFERROR(INDEX(coa_CF,MATCH(IF((P2186-Q2186)=1,K2186,I2186),coa_Name,0)),"Operating"))</f>
        <v/>
      </c>
      <c r="S2186" s="95">
        <f>IF((P2186-Q2186)=1,L2186,IF((P2186-Q2186)=-1,-J2186,0))</f>
        <v/>
      </c>
      <c r="T2186" s="95">
        <f>IF((P2186-Q2186)=1,N2186,IF((P2186-Q2186)=-1,-M2186,0))</f>
        <v/>
      </c>
      <c r="U2186" s="101">
        <f>IF(AND(H2186=1,LedAcct&lt;&gt;""),IF(AND(E2186&gt;=LedFrom,E2186&lt;=LedTo,OR(I2186=LedAcct,K2186=LedAcct,AND(LedAcct=acctTax,M2186+N2186&lt;&gt;0))),E2186*10000+B2186,""),"")</f>
        <v/>
      </c>
    </row>
    <row r="2187">
      <c r="B2187" s="101" t="n">
        <v>2181</v>
      </c>
      <c r="C2187" s="58" t="inlineStr">
        <is>
          <t>Invoice</t>
        </is>
      </c>
      <c r="D2187" s="58">
        <f>IF(H2187=1,INDEX(ar_No,181)&amp;"","")</f>
        <v/>
      </c>
      <c r="E2187" s="94">
        <f>IF(H2187=1,INDEX(ar_Date,181),"")</f>
        <v/>
      </c>
      <c r="F2187" s="58">
        <f>IF(H2187=1,INDEX(ar_Desc,181)&amp;"","")</f>
        <v/>
      </c>
      <c r="G2187" s="58">
        <f>IF(H2187=1,INDEX(ar_Party,181)&amp;"","")</f>
        <v/>
      </c>
      <c r="H2187" s="101">
        <f>IFERROR(N(INDEX(ar_Posted,181)),0)</f>
        <v/>
      </c>
      <c r="I2187" s="58">
        <f>IF(H2187=1,INDEX(ar_DrAcct,181)&amp;"","")</f>
        <v/>
      </c>
      <c r="J2187" s="95">
        <f>IF(H2187=1,INDEX(ar_DrAmt,181),0)</f>
        <v/>
      </c>
      <c r="K2187" s="58">
        <f>IF(H2187=1,INDEX(ar_CrAcct,181)&amp;"","")</f>
        <v/>
      </c>
      <c r="L2187" s="95">
        <f>IF(H2187=1,INDEX(ar_CrAmt,181),0)</f>
        <v/>
      </c>
      <c r="M2187" s="95" t="n">
        <v>0</v>
      </c>
      <c r="N2187" s="95">
        <f>IF(H2187=1,INDEX(ar_TaxAmt,181),0)</f>
        <v/>
      </c>
      <c r="O2187" s="101">
        <f>IF(H2187=1,IF(E2187&lt;FYStart,0,IF(E2187&gt;FYEnd,13,YEAR(E2187)*12+MONTH(E2187)-FYYM+1)),"")</f>
        <v/>
      </c>
      <c r="P2187" s="101">
        <f>IF(H2187=1,IF(IFERROR(INDEX(coa_CF,MATCH(I2187,coa_Name,0)),"")="Cash",1,0),0)</f>
        <v/>
      </c>
      <c r="Q2187" s="101">
        <f>IF(H2187=1,IF(IFERROR(INDEX(coa_CF,MATCH(K2187,coa_Name,0)),"")="Cash",1,0),0)</f>
        <v/>
      </c>
      <c r="R2187" s="58">
        <f>IF((P2187-Q2187)=0,"",IFERROR(INDEX(coa_CF,MATCH(IF((P2187-Q2187)=1,K2187,I2187),coa_Name,0)),"Operating"))</f>
        <v/>
      </c>
      <c r="S2187" s="95">
        <f>IF((P2187-Q2187)=1,L2187,IF((P2187-Q2187)=-1,-J2187,0))</f>
        <v/>
      </c>
      <c r="T2187" s="95">
        <f>IF((P2187-Q2187)=1,N2187,IF((P2187-Q2187)=-1,-M2187,0))</f>
        <v/>
      </c>
      <c r="U2187" s="101">
        <f>IF(AND(H2187=1,LedAcct&lt;&gt;""),IF(AND(E2187&gt;=LedFrom,E2187&lt;=LedTo,OR(I2187=LedAcct,K2187=LedAcct,AND(LedAcct=acctTax,M2187+N2187&lt;&gt;0))),E2187*10000+B2187,""),"")</f>
        <v/>
      </c>
    </row>
    <row r="2188">
      <c r="B2188" s="101" t="n">
        <v>2182</v>
      </c>
      <c r="C2188" s="58" t="inlineStr">
        <is>
          <t>Invoice</t>
        </is>
      </c>
      <c r="D2188" s="58">
        <f>IF(H2188=1,INDEX(ar_No,182)&amp;"","")</f>
        <v/>
      </c>
      <c r="E2188" s="94">
        <f>IF(H2188=1,INDEX(ar_Date,182),"")</f>
        <v/>
      </c>
      <c r="F2188" s="58">
        <f>IF(H2188=1,INDEX(ar_Desc,182)&amp;"","")</f>
        <v/>
      </c>
      <c r="G2188" s="58">
        <f>IF(H2188=1,INDEX(ar_Party,182)&amp;"","")</f>
        <v/>
      </c>
      <c r="H2188" s="101">
        <f>IFERROR(N(INDEX(ar_Posted,182)),0)</f>
        <v/>
      </c>
      <c r="I2188" s="58">
        <f>IF(H2188=1,INDEX(ar_DrAcct,182)&amp;"","")</f>
        <v/>
      </c>
      <c r="J2188" s="95">
        <f>IF(H2188=1,INDEX(ar_DrAmt,182),0)</f>
        <v/>
      </c>
      <c r="K2188" s="58">
        <f>IF(H2188=1,INDEX(ar_CrAcct,182)&amp;"","")</f>
        <v/>
      </c>
      <c r="L2188" s="95">
        <f>IF(H2188=1,INDEX(ar_CrAmt,182),0)</f>
        <v/>
      </c>
      <c r="M2188" s="95" t="n">
        <v>0</v>
      </c>
      <c r="N2188" s="95">
        <f>IF(H2188=1,INDEX(ar_TaxAmt,182),0)</f>
        <v/>
      </c>
      <c r="O2188" s="101">
        <f>IF(H2188=1,IF(E2188&lt;FYStart,0,IF(E2188&gt;FYEnd,13,YEAR(E2188)*12+MONTH(E2188)-FYYM+1)),"")</f>
        <v/>
      </c>
      <c r="P2188" s="101">
        <f>IF(H2188=1,IF(IFERROR(INDEX(coa_CF,MATCH(I2188,coa_Name,0)),"")="Cash",1,0),0)</f>
        <v/>
      </c>
      <c r="Q2188" s="101">
        <f>IF(H2188=1,IF(IFERROR(INDEX(coa_CF,MATCH(K2188,coa_Name,0)),"")="Cash",1,0),0)</f>
        <v/>
      </c>
      <c r="R2188" s="58">
        <f>IF((P2188-Q2188)=0,"",IFERROR(INDEX(coa_CF,MATCH(IF((P2188-Q2188)=1,K2188,I2188),coa_Name,0)),"Operating"))</f>
        <v/>
      </c>
      <c r="S2188" s="95">
        <f>IF((P2188-Q2188)=1,L2188,IF((P2188-Q2188)=-1,-J2188,0))</f>
        <v/>
      </c>
      <c r="T2188" s="95">
        <f>IF((P2188-Q2188)=1,N2188,IF((P2188-Q2188)=-1,-M2188,0))</f>
        <v/>
      </c>
      <c r="U2188" s="101">
        <f>IF(AND(H2188=1,LedAcct&lt;&gt;""),IF(AND(E2188&gt;=LedFrom,E2188&lt;=LedTo,OR(I2188=LedAcct,K2188=LedAcct,AND(LedAcct=acctTax,M2188+N2188&lt;&gt;0))),E2188*10000+B2188,""),"")</f>
        <v/>
      </c>
    </row>
    <row r="2189">
      <c r="B2189" s="101" t="n">
        <v>2183</v>
      </c>
      <c r="C2189" s="58" t="inlineStr">
        <is>
          <t>Invoice</t>
        </is>
      </c>
      <c r="D2189" s="58">
        <f>IF(H2189=1,INDEX(ar_No,183)&amp;"","")</f>
        <v/>
      </c>
      <c r="E2189" s="94">
        <f>IF(H2189=1,INDEX(ar_Date,183),"")</f>
        <v/>
      </c>
      <c r="F2189" s="58">
        <f>IF(H2189=1,INDEX(ar_Desc,183)&amp;"","")</f>
        <v/>
      </c>
      <c r="G2189" s="58">
        <f>IF(H2189=1,INDEX(ar_Party,183)&amp;"","")</f>
        <v/>
      </c>
      <c r="H2189" s="101">
        <f>IFERROR(N(INDEX(ar_Posted,183)),0)</f>
        <v/>
      </c>
      <c r="I2189" s="58">
        <f>IF(H2189=1,INDEX(ar_DrAcct,183)&amp;"","")</f>
        <v/>
      </c>
      <c r="J2189" s="95">
        <f>IF(H2189=1,INDEX(ar_DrAmt,183),0)</f>
        <v/>
      </c>
      <c r="K2189" s="58">
        <f>IF(H2189=1,INDEX(ar_CrAcct,183)&amp;"","")</f>
        <v/>
      </c>
      <c r="L2189" s="95">
        <f>IF(H2189=1,INDEX(ar_CrAmt,183),0)</f>
        <v/>
      </c>
      <c r="M2189" s="95" t="n">
        <v>0</v>
      </c>
      <c r="N2189" s="95">
        <f>IF(H2189=1,INDEX(ar_TaxAmt,183),0)</f>
        <v/>
      </c>
      <c r="O2189" s="101">
        <f>IF(H2189=1,IF(E2189&lt;FYStart,0,IF(E2189&gt;FYEnd,13,YEAR(E2189)*12+MONTH(E2189)-FYYM+1)),"")</f>
        <v/>
      </c>
      <c r="P2189" s="101">
        <f>IF(H2189=1,IF(IFERROR(INDEX(coa_CF,MATCH(I2189,coa_Name,0)),"")="Cash",1,0),0)</f>
        <v/>
      </c>
      <c r="Q2189" s="101">
        <f>IF(H2189=1,IF(IFERROR(INDEX(coa_CF,MATCH(K2189,coa_Name,0)),"")="Cash",1,0),0)</f>
        <v/>
      </c>
      <c r="R2189" s="58">
        <f>IF((P2189-Q2189)=0,"",IFERROR(INDEX(coa_CF,MATCH(IF((P2189-Q2189)=1,K2189,I2189),coa_Name,0)),"Operating"))</f>
        <v/>
      </c>
      <c r="S2189" s="95">
        <f>IF((P2189-Q2189)=1,L2189,IF((P2189-Q2189)=-1,-J2189,0))</f>
        <v/>
      </c>
      <c r="T2189" s="95">
        <f>IF((P2189-Q2189)=1,N2189,IF((P2189-Q2189)=-1,-M2189,0))</f>
        <v/>
      </c>
      <c r="U2189" s="101">
        <f>IF(AND(H2189=1,LedAcct&lt;&gt;""),IF(AND(E2189&gt;=LedFrom,E2189&lt;=LedTo,OR(I2189=LedAcct,K2189=LedAcct,AND(LedAcct=acctTax,M2189+N2189&lt;&gt;0))),E2189*10000+B2189,""),"")</f>
        <v/>
      </c>
    </row>
    <row r="2190">
      <c r="B2190" s="101" t="n">
        <v>2184</v>
      </c>
      <c r="C2190" s="58" t="inlineStr">
        <is>
          <t>Invoice</t>
        </is>
      </c>
      <c r="D2190" s="58">
        <f>IF(H2190=1,INDEX(ar_No,184)&amp;"","")</f>
        <v/>
      </c>
      <c r="E2190" s="94">
        <f>IF(H2190=1,INDEX(ar_Date,184),"")</f>
        <v/>
      </c>
      <c r="F2190" s="58">
        <f>IF(H2190=1,INDEX(ar_Desc,184)&amp;"","")</f>
        <v/>
      </c>
      <c r="G2190" s="58">
        <f>IF(H2190=1,INDEX(ar_Party,184)&amp;"","")</f>
        <v/>
      </c>
      <c r="H2190" s="101">
        <f>IFERROR(N(INDEX(ar_Posted,184)),0)</f>
        <v/>
      </c>
      <c r="I2190" s="58">
        <f>IF(H2190=1,INDEX(ar_DrAcct,184)&amp;"","")</f>
        <v/>
      </c>
      <c r="J2190" s="95">
        <f>IF(H2190=1,INDEX(ar_DrAmt,184),0)</f>
        <v/>
      </c>
      <c r="K2190" s="58">
        <f>IF(H2190=1,INDEX(ar_CrAcct,184)&amp;"","")</f>
        <v/>
      </c>
      <c r="L2190" s="95">
        <f>IF(H2190=1,INDEX(ar_CrAmt,184),0)</f>
        <v/>
      </c>
      <c r="M2190" s="95" t="n">
        <v>0</v>
      </c>
      <c r="N2190" s="95">
        <f>IF(H2190=1,INDEX(ar_TaxAmt,184),0)</f>
        <v/>
      </c>
      <c r="O2190" s="101">
        <f>IF(H2190=1,IF(E2190&lt;FYStart,0,IF(E2190&gt;FYEnd,13,YEAR(E2190)*12+MONTH(E2190)-FYYM+1)),"")</f>
        <v/>
      </c>
      <c r="P2190" s="101">
        <f>IF(H2190=1,IF(IFERROR(INDEX(coa_CF,MATCH(I2190,coa_Name,0)),"")="Cash",1,0),0)</f>
        <v/>
      </c>
      <c r="Q2190" s="101">
        <f>IF(H2190=1,IF(IFERROR(INDEX(coa_CF,MATCH(K2190,coa_Name,0)),"")="Cash",1,0),0)</f>
        <v/>
      </c>
      <c r="R2190" s="58">
        <f>IF((P2190-Q2190)=0,"",IFERROR(INDEX(coa_CF,MATCH(IF((P2190-Q2190)=1,K2190,I2190),coa_Name,0)),"Operating"))</f>
        <v/>
      </c>
      <c r="S2190" s="95">
        <f>IF((P2190-Q2190)=1,L2190,IF((P2190-Q2190)=-1,-J2190,0))</f>
        <v/>
      </c>
      <c r="T2190" s="95">
        <f>IF((P2190-Q2190)=1,N2190,IF((P2190-Q2190)=-1,-M2190,0))</f>
        <v/>
      </c>
      <c r="U2190" s="101">
        <f>IF(AND(H2190=1,LedAcct&lt;&gt;""),IF(AND(E2190&gt;=LedFrom,E2190&lt;=LedTo,OR(I2190=LedAcct,K2190=LedAcct,AND(LedAcct=acctTax,M2190+N2190&lt;&gt;0))),E2190*10000+B2190,""),"")</f>
        <v/>
      </c>
    </row>
    <row r="2191">
      <c r="B2191" s="101" t="n">
        <v>2185</v>
      </c>
      <c r="C2191" s="58" t="inlineStr">
        <is>
          <t>Invoice</t>
        </is>
      </c>
      <c r="D2191" s="58">
        <f>IF(H2191=1,INDEX(ar_No,185)&amp;"","")</f>
        <v/>
      </c>
      <c r="E2191" s="94">
        <f>IF(H2191=1,INDEX(ar_Date,185),"")</f>
        <v/>
      </c>
      <c r="F2191" s="58">
        <f>IF(H2191=1,INDEX(ar_Desc,185)&amp;"","")</f>
        <v/>
      </c>
      <c r="G2191" s="58">
        <f>IF(H2191=1,INDEX(ar_Party,185)&amp;"","")</f>
        <v/>
      </c>
      <c r="H2191" s="101">
        <f>IFERROR(N(INDEX(ar_Posted,185)),0)</f>
        <v/>
      </c>
      <c r="I2191" s="58">
        <f>IF(H2191=1,INDEX(ar_DrAcct,185)&amp;"","")</f>
        <v/>
      </c>
      <c r="J2191" s="95">
        <f>IF(H2191=1,INDEX(ar_DrAmt,185),0)</f>
        <v/>
      </c>
      <c r="K2191" s="58">
        <f>IF(H2191=1,INDEX(ar_CrAcct,185)&amp;"","")</f>
        <v/>
      </c>
      <c r="L2191" s="95">
        <f>IF(H2191=1,INDEX(ar_CrAmt,185),0)</f>
        <v/>
      </c>
      <c r="M2191" s="95" t="n">
        <v>0</v>
      </c>
      <c r="N2191" s="95">
        <f>IF(H2191=1,INDEX(ar_TaxAmt,185),0)</f>
        <v/>
      </c>
      <c r="O2191" s="101">
        <f>IF(H2191=1,IF(E2191&lt;FYStart,0,IF(E2191&gt;FYEnd,13,YEAR(E2191)*12+MONTH(E2191)-FYYM+1)),"")</f>
        <v/>
      </c>
      <c r="P2191" s="101">
        <f>IF(H2191=1,IF(IFERROR(INDEX(coa_CF,MATCH(I2191,coa_Name,0)),"")="Cash",1,0),0)</f>
        <v/>
      </c>
      <c r="Q2191" s="101">
        <f>IF(H2191=1,IF(IFERROR(INDEX(coa_CF,MATCH(K2191,coa_Name,0)),"")="Cash",1,0),0)</f>
        <v/>
      </c>
      <c r="R2191" s="58">
        <f>IF((P2191-Q2191)=0,"",IFERROR(INDEX(coa_CF,MATCH(IF((P2191-Q2191)=1,K2191,I2191),coa_Name,0)),"Operating"))</f>
        <v/>
      </c>
      <c r="S2191" s="95">
        <f>IF((P2191-Q2191)=1,L2191,IF((P2191-Q2191)=-1,-J2191,0))</f>
        <v/>
      </c>
      <c r="T2191" s="95">
        <f>IF((P2191-Q2191)=1,N2191,IF((P2191-Q2191)=-1,-M2191,0))</f>
        <v/>
      </c>
      <c r="U2191" s="101">
        <f>IF(AND(H2191=1,LedAcct&lt;&gt;""),IF(AND(E2191&gt;=LedFrom,E2191&lt;=LedTo,OR(I2191=LedAcct,K2191=LedAcct,AND(LedAcct=acctTax,M2191+N2191&lt;&gt;0))),E2191*10000+B2191,""),"")</f>
        <v/>
      </c>
    </row>
    <row r="2192">
      <c r="B2192" s="101" t="n">
        <v>2186</v>
      </c>
      <c r="C2192" s="58" t="inlineStr">
        <is>
          <t>Invoice</t>
        </is>
      </c>
      <c r="D2192" s="58">
        <f>IF(H2192=1,INDEX(ar_No,186)&amp;"","")</f>
        <v/>
      </c>
      <c r="E2192" s="94">
        <f>IF(H2192=1,INDEX(ar_Date,186),"")</f>
        <v/>
      </c>
      <c r="F2192" s="58">
        <f>IF(H2192=1,INDEX(ar_Desc,186)&amp;"","")</f>
        <v/>
      </c>
      <c r="G2192" s="58">
        <f>IF(H2192=1,INDEX(ar_Party,186)&amp;"","")</f>
        <v/>
      </c>
      <c r="H2192" s="101">
        <f>IFERROR(N(INDEX(ar_Posted,186)),0)</f>
        <v/>
      </c>
      <c r="I2192" s="58">
        <f>IF(H2192=1,INDEX(ar_DrAcct,186)&amp;"","")</f>
        <v/>
      </c>
      <c r="J2192" s="95">
        <f>IF(H2192=1,INDEX(ar_DrAmt,186),0)</f>
        <v/>
      </c>
      <c r="K2192" s="58">
        <f>IF(H2192=1,INDEX(ar_CrAcct,186)&amp;"","")</f>
        <v/>
      </c>
      <c r="L2192" s="95">
        <f>IF(H2192=1,INDEX(ar_CrAmt,186),0)</f>
        <v/>
      </c>
      <c r="M2192" s="95" t="n">
        <v>0</v>
      </c>
      <c r="N2192" s="95">
        <f>IF(H2192=1,INDEX(ar_TaxAmt,186),0)</f>
        <v/>
      </c>
      <c r="O2192" s="101">
        <f>IF(H2192=1,IF(E2192&lt;FYStart,0,IF(E2192&gt;FYEnd,13,YEAR(E2192)*12+MONTH(E2192)-FYYM+1)),"")</f>
        <v/>
      </c>
      <c r="P2192" s="101">
        <f>IF(H2192=1,IF(IFERROR(INDEX(coa_CF,MATCH(I2192,coa_Name,0)),"")="Cash",1,0),0)</f>
        <v/>
      </c>
      <c r="Q2192" s="101">
        <f>IF(H2192=1,IF(IFERROR(INDEX(coa_CF,MATCH(K2192,coa_Name,0)),"")="Cash",1,0),0)</f>
        <v/>
      </c>
      <c r="R2192" s="58">
        <f>IF((P2192-Q2192)=0,"",IFERROR(INDEX(coa_CF,MATCH(IF((P2192-Q2192)=1,K2192,I2192),coa_Name,0)),"Operating"))</f>
        <v/>
      </c>
      <c r="S2192" s="95">
        <f>IF((P2192-Q2192)=1,L2192,IF((P2192-Q2192)=-1,-J2192,0))</f>
        <v/>
      </c>
      <c r="T2192" s="95">
        <f>IF((P2192-Q2192)=1,N2192,IF((P2192-Q2192)=-1,-M2192,0))</f>
        <v/>
      </c>
      <c r="U2192" s="101">
        <f>IF(AND(H2192=1,LedAcct&lt;&gt;""),IF(AND(E2192&gt;=LedFrom,E2192&lt;=LedTo,OR(I2192=LedAcct,K2192=LedAcct,AND(LedAcct=acctTax,M2192+N2192&lt;&gt;0))),E2192*10000+B2192,""),"")</f>
        <v/>
      </c>
    </row>
    <row r="2193">
      <c r="B2193" s="101" t="n">
        <v>2187</v>
      </c>
      <c r="C2193" s="58" t="inlineStr">
        <is>
          <t>Invoice</t>
        </is>
      </c>
      <c r="D2193" s="58">
        <f>IF(H2193=1,INDEX(ar_No,187)&amp;"","")</f>
        <v/>
      </c>
      <c r="E2193" s="94">
        <f>IF(H2193=1,INDEX(ar_Date,187),"")</f>
        <v/>
      </c>
      <c r="F2193" s="58">
        <f>IF(H2193=1,INDEX(ar_Desc,187)&amp;"","")</f>
        <v/>
      </c>
      <c r="G2193" s="58">
        <f>IF(H2193=1,INDEX(ar_Party,187)&amp;"","")</f>
        <v/>
      </c>
      <c r="H2193" s="101">
        <f>IFERROR(N(INDEX(ar_Posted,187)),0)</f>
        <v/>
      </c>
      <c r="I2193" s="58">
        <f>IF(H2193=1,INDEX(ar_DrAcct,187)&amp;"","")</f>
        <v/>
      </c>
      <c r="J2193" s="95">
        <f>IF(H2193=1,INDEX(ar_DrAmt,187),0)</f>
        <v/>
      </c>
      <c r="K2193" s="58">
        <f>IF(H2193=1,INDEX(ar_CrAcct,187)&amp;"","")</f>
        <v/>
      </c>
      <c r="L2193" s="95">
        <f>IF(H2193=1,INDEX(ar_CrAmt,187),0)</f>
        <v/>
      </c>
      <c r="M2193" s="95" t="n">
        <v>0</v>
      </c>
      <c r="N2193" s="95">
        <f>IF(H2193=1,INDEX(ar_TaxAmt,187),0)</f>
        <v/>
      </c>
      <c r="O2193" s="101">
        <f>IF(H2193=1,IF(E2193&lt;FYStart,0,IF(E2193&gt;FYEnd,13,YEAR(E2193)*12+MONTH(E2193)-FYYM+1)),"")</f>
        <v/>
      </c>
      <c r="P2193" s="101">
        <f>IF(H2193=1,IF(IFERROR(INDEX(coa_CF,MATCH(I2193,coa_Name,0)),"")="Cash",1,0),0)</f>
        <v/>
      </c>
      <c r="Q2193" s="101">
        <f>IF(H2193=1,IF(IFERROR(INDEX(coa_CF,MATCH(K2193,coa_Name,0)),"")="Cash",1,0),0)</f>
        <v/>
      </c>
      <c r="R2193" s="58">
        <f>IF((P2193-Q2193)=0,"",IFERROR(INDEX(coa_CF,MATCH(IF((P2193-Q2193)=1,K2193,I2193),coa_Name,0)),"Operating"))</f>
        <v/>
      </c>
      <c r="S2193" s="95">
        <f>IF((P2193-Q2193)=1,L2193,IF((P2193-Q2193)=-1,-J2193,0))</f>
        <v/>
      </c>
      <c r="T2193" s="95">
        <f>IF((P2193-Q2193)=1,N2193,IF((P2193-Q2193)=-1,-M2193,0))</f>
        <v/>
      </c>
      <c r="U2193" s="101">
        <f>IF(AND(H2193=1,LedAcct&lt;&gt;""),IF(AND(E2193&gt;=LedFrom,E2193&lt;=LedTo,OR(I2193=LedAcct,K2193=LedAcct,AND(LedAcct=acctTax,M2193+N2193&lt;&gt;0))),E2193*10000+B2193,""),"")</f>
        <v/>
      </c>
    </row>
    <row r="2194">
      <c r="B2194" s="101" t="n">
        <v>2188</v>
      </c>
      <c r="C2194" s="58" t="inlineStr">
        <is>
          <t>Invoice</t>
        </is>
      </c>
      <c r="D2194" s="58">
        <f>IF(H2194=1,INDEX(ar_No,188)&amp;"","")</f>
        <v/>
      </c>
      <c r="E2194" s="94">
        <f>IF(H2194=1,INDEX(ar_Date,188),"")</f>
        <v/>
      </c>
      <c r="F2194" s="58">
        <f>IF(H2194=1,INDEX(ar_Desc,188)&amp;"","")</f>
        <v/>
      </c>
      <c r="G2194" s="58">
        <f>IF(H2194=1,INDEX(ar_Party,188)&amp;"","")</f>
        <v/>
      </c>
      <c r="H2194" s="101">
        <f>IFERROR(N(INDEX(ar_Posted,188)),0)</f>
        <v/>
      </c>
      <c r="I2194" s="58">
        <f>IF(H2194=1,INDEX(ar_DrAcct,188)&amp;"","")</f>
        <v/>
      </c>
      <c r="J2194" s="95">
        <f>IF(H2194=1,INDEX(ar_DrAmt,188),0)</f>
        <v/>
      </c>
      <c r="K2194" s="58">
        <f>IF(H2194=1,INDEX(ar_CrAcct,188)&amp;"","")</f>
        <v/>
      </c>
      <c r="L2194" s="95">
        <f>IF(H2194=1,INDEX(ar_CrAmt,188),0)</f>
        <v/>
      </c>
      <c r="M2194" s="95" t="n">
        <v>0</v>
      </c>
      <c r="N2194" s="95">
        <f>IF(H2194=1,INDEX(ar_TaxAmt,188),0)</f>
        <v/>
      </c>
      <c r="O2194" s="101">
        <f>IF(H2194=1,IF(E2194&lt;FYStart,0,IF(E2194&gt;FYEnd,13,YEAR(E2194)*12+MONTH(E2194)-FYYM+1)),"")</f>
        <v/>
      </c>
      <c r="P2194" s="101">
        <f>IF(H2194=1,IF(IFERROR(INDEX(coa_CF,MATCH(I2194,coa_Name,0)),"")="Cash",1,0),0)</f>
        <v/>
      </c>
      <c r="Q2194" s="101">
        <f>IF(H2194=1,IF(IFERROR(INDEX(coa_CF,MATCH(K2194,coa_Name,0)),"")="Cash",1,0),0)</f>
        <v/>
      </c>
      <c r="R2194" s="58">
        <f>IF((P2194-Q2194)=0,"",IFERROR(INDEX(coa_CF,MATCH(IF((P2194-Q2194)=1,K2194,I2194),coa_Name,0)),"Operating"))</f>
        <v/>
      </c>
      <c r="S2194" s="95">
        <f>IF((P2194-Q2194)=1,L2194,IF((P2194-Q2194)=-1,-J2194,0))</f>
        <v/>
      </c>
      <c r="T2194" s="95">
        <f>IF((P2194-Q2194)=1,N2194,IF((P2194-Q2194)=-1,-M2194,0))</f>
        <v/>
      </c>
      <c r="U2194" s="101">
        <f>IF(AND(H2194=1,LedAcct&lt;&gt;""),IF(AND(E2194&gt;=LedFrom,E2194&lt;=LedTo,OR(I2194=LedAcct,K2194=LedAcct,AND(LedAcct=acctTax,M2194+N2194&lt;&gt;0))),E2194*10000+B2194,""),"")</f>
        <v/>
      </c>
    </row>
    <row r="2195">
      <c r="B2195" s="101" t="n">
        <v>2189</v>
      </c>
      <c r="C2195" s="58" t="inlineStr">
        <is>
          <t>Invoice</t>
        </is>
      </c>
      <c r="D2195" s="58">
        <f>IF(H2195=1,INDEX(ar_No,189)&amp;"","")</f>
        <v/>
      </c>
      <c r="E2195" s="94">
        <f>IF(H2195=1,INDEX(ar_Date,189),"")</f>
        <v/>
      </c>
      <c r="F2195" s="58">
        <f>IF(H2195=1,INDEX(ar_Desc,189)&amp;"","")</f>
        <v/>
      </c>
      <c r="G2195" s="58">
        <f>IF(H2195=1,INDEX(ar_Party,189)&amp;"","")</f>
        <v/>
      </c>
      <c r="H2195" s="101">
        <f>IFERROR(N(INDEX(ar_Posted,189)),0)</f>
        <v/>
      </c>
      <c r="I2195" s="58">
        <f>IF(H2195=1,INDEX(ar_DrAcct,189)&amp;"","")</f>
        <v/>
      </c>
      <c r="J2195" s="95">
        <f>IF(H2195=1,INDEX(ar_DrAmt,189),0)</f>
        <v/>
      </c>
      <c r="K2195" s="58">
        <f>IF(H2195=1,INDEX(ar_CrAcct,189)&amp;"","")</f>
        <v/>
      </c>
      <c r="L2195" s="95">
        <f>IF(H2195=1,INDEX(ar_CrAmt,189),0)</f>
        <v/>
      </c>
      <c r="M2195" s="95" t="n">
        <v>0</v>
      </c>
      <c r="N2195" s="95">
        <f>IF(H2195=1,INDEX(ar_TaxAmt,189),0)</f>
        <v/>
      </c>
      <c r="O2195" s="101">
        <f>IF(H2195=1,IF(E2195&lt;FYStart,0,IF(E2195&gt;FYEnd,13,YEAR(E2195)*12+MONTH(E2195)-FYYM+1)),"")</f>
        <v/>
      </c>
      <c r="P2195" s="101">
        <f>IF(H2195=1,IF(IFERROR(INDEX(coa_CF,MATCH(I2195,coa_Name,0)),"")="Cash",1,0),0)</f>
        <v/>
      </c>
      <c r="Q2195" s="101">
        <f>IF(H2195=1,IF(IFERROR(INDEX(coa_CF,MATCH(K2195,coa_Name,0)),"")="Cash",1,0),0)</f>
        <v/>
      </c>
      <c r="R2195" s="58">
        <f>IF((P2195-Q2195)=0,"",IFERROR(INDEX(coa_CF,MATCH(IF((P2195-Q2195)=1,K2195,I2195),coa_Name,0)),"Operating"))</f>
        <v/>
      </c>
      <c r="S2195" s="95">
        <f>IF((P2195-Q2195)=1,L2195,IF((P2195-Q2195)=-1,-J2195,0))</f>
        <v/>
      </c>
      <c r="T2195" s="95">
        <f>IF((P2195-Q2195)=1,N2195,IF((P2195-Q2195)=-1,-M2195,0))</f>
        <v/>
      </c>
      <c r="U2195" s="101">
        <f>IF(AND(H2195=1,LedAcct&lt;&gt;""),IF(AND(E2195&gt;=LedFrom,E2195&lt;=LedTo,OR(I2195=LedAcct,K2195=LedAcct,AND(LedAcct=acctTax,M2195+N2195&lt;&gt;0))),E2195*10000+B2195,""),"")</f>
        <v/>
      </c>
    </row>
    <row r="2196">
      <c r="B2196" s="101" t="n">
        <v>2190</v>
      </c>
      <c r="C2196" s="58" t="inlineStr">
        <is>
          <t>Invoice</t>
        </is>
      </c>
      <c r="D2196" s="58">
        <f>IF(H2196=1,INDEX(ar_No,190)&amp;"","")</f>
        <v/>
      </c>
      <c r="E2196" s="94">
        <f>IF(H2196=1,INDEX(ar_Date,190),"")</f>
        <v/>
      </c>
      <c r="F2196" s="58">
        <f>IF(H2196=1,INDEX(ar_Desc,190)&amp;"","")</f>
        <v/>
      </c>
      <c r="G2196" s="58">
        <f>IF(H2196=1,INDEX(ar_Party,190)&amp;"","")</f>
        <v/>
      </c>
      <c r="H2196" s="101">
        <f>IFERROR(N(INDEX(ar_Posted,190)),0)</f>
        <v/>
      </c>
      <c r="I2196" s="58">
        <f>IF(H2196=1,INDEX(ar_DrAcct,190)&amp;"","")</f>
        <v/>
      </c>
      <c r="J2196" s="95">
        <f>IF(H2196=1,INDEX(ar_DrAmt,190),0)</f>
        <v/>
      </c>
      <c r="K2196" s="58">
        <f>IF(H2196=1,INDEX(ar_CrAcct,190)&amp;"","")</f>
        <v/>
      </c>
      <c r="L2196" s="95">
        <f>IF(H2196=1,INDEX(ar_CrAmt,190),0)</f>
        <v/>
      </c>
      <c r="M2196" s="95" t="n">
        <v>0</v>
      </c>
      <c r="N2196" s="95">
        <f>IF(H2196=1,INDEX(ar_TaxAmt,190),0)</f>
        <v/>
      </c>
      <c r="O2196" s="101">
        <f>IF(H2196=1,IF(E2196&lt;FYStart,0,IF(E2196&gt;FYEnd,13,YEAR(E2196)*12+MONTH(E2196)-FYYM+1)),"")</f>
        <v/>
      </c>
      <c r="P2196" s="101">
        <f>IF(H2196=1,IF(IFERROR(INDEX(coa_CF,MATCH(I2196,coa_Name,0)),"")="Cash",1,0),0)</f>
        <v/>
      </c>
      <c r="Q2196" s="101">
        <f>IF(H2196=1,IF(IFERROR(INDEX(coa_CF,MATCH(K2196,coa_Name,0)),"")="Cash",1,0),0)</f>
        <v/>
      </c>
      <c r="R2196" s="58">
        <f>IF((P2196-Q2196)=0,"",IFERROR(INDEX(coa_CF,MATCH(IF((P2196-Q2196)=1,K2196,I2196),coa_Name,0)),"Operating"))</f>
        <v/>
      </c>
      <c r="S2196" s="95">
        <f>IF((P2196-Q2196)=1,L2196,IF((P2196-Q2196)=-1,-J2196,0))</f>
        <v/>
      </c>
      <c r="T2196" s="95">
        <f>IF((P2196-Q2196)=1,N2196,IF((P2196-Q2196)=-1,-M2196,0))</f>
        <v/>
      </c>
      <c r="U2196" s="101">
        <f>IF(AND(H2196=1,LedAcct&lt;&gt;""),IF(AND(E2196&gt;=LedFrom,E2196&lt;=LedTo,OR(I2196=LedAcct,K2196=LedAcct,AND(LedAcct=acctTax,M2196+N2196&lt;&gt;0))),E2196*10000+B2196,""),"")</f>
        <v/>
      </c>
    </row>
    <row r="2197">
      <c r="B2197" s="101" t="n">
        <v>2191</v>
      </c>
      <c r="C2197" s="58" t="inlineStr">
        <is>
          <t>Invoice</t>
        </is>
      </c>
      <c r="D2197" s="58">
        <f>IF(H2197=1,INDEX(ar_No,191)&amp;"","")</f>
        <v/>
      </c>
      <c r="E2197" s="94">
        <f>IF(H2197=1,INDEX(ar_Date,191),"")</f>
        <v/>
      </c>
      <c r="F2197" s="58">
        <f>IF(H2197=1,INDEX(ar_Desc,191)&amp;"","")</f>
        <v/>
      </c>
      <c r="G2197" s="58">
        <f>IF(H2197=1,INDEX(ar_Party,191)&amp;"","")</f>
        <v/>
      </c>
      <c r="H2197" s="101">
        <f>IFERROR(N(INDEX(ar_Posted,191)),0)</f>
        <v/>
      </c>
      <c r="I2197" s="58">
        <f>IF(H2197=1,INDEX(ar_DrAcct,191)&amp;"","")</f>
        <v/>
      </c>
      <c r="J2197" s="95">
        <f>IF(H2197=1,INDEX(ar_DrAmt,191),0)</f>
        <v/>
      </c>
      <c r="K2197" s="58">
        <f>IF(H2197=1,INDEX(ar_CrAcct,191)&amp;"","")</f>
        <v/>
      </c>
      <c r="L2197" s="95">
        <f>IF(H2197=1,INDEX(ar_CrAmt,191),0)</f>
        <v/>
      </c>
      <c r="M2197" s="95" t="n">
        <v>0</v>
      </c>
      <c r="N2197" s="95">
        <f>IF(H2197=1,INDEX(ar_TaxAmt,191),0)</f>
        <v/>
      </c>
      <c r="O2197" s="101">
        <f>IF(H2197=1,IF(E2197&lt;FYStart,0,IF(E2197&gt;FYEnd,13,YEAR(E2197)*12+MONTH(E2197)-FYYM+1)),"")</f>
        <v/>
      </c>
      <c r="P2197" s="101">
        <f>IF(H2197=1,IF(IFERROR(INDEX(coa_CF,MATCH(I2197,coa_Name,0)),"")="Cash",1,0),0)</f>
        <v/>
      </c>
      <c r="Q2197" s="101">
        <f>IF(H2197=1,IF(IFERROR(INDEX(coa_CF,MATCH(K2197,coa_Name,0)),"")="Cash",1,0),0)</f>
        <v/>
      </c>
      <c r="R2197" s="58">
        <f>IF((P2197-Q2197)=0,"",IFERROR(INDEX(coa_CF,MATCH(IF((P2197-Q2197)=1,K2197,I2197),coa_Name,0)),"Operating"))</f>
        <v/>
      </c>
      <c r="S2197" s="95">
        <f>IF((P2197-Q2197)=1,L2197,IF((P2197-Q2197)=-1,-J2197,0))</f>
        <v/>
      </c>
      <c r="T2197" s="95">
        <f>IF((P2197-Q2197)=1,N2197,IF((P2197-Q2197)=-1,-M2197,0))</f>
        <v/>
      </c>
      <c r="U2197" s="101">
        <f>IF(AND(H2197=1,LedAcct&lt;&gt;""),IF(AND(E2197&gt;=LedFrom,E2197&lt;=LedTo,OR(I2197=LedAcct,K2197=LedAcct,AND(LedAcct=acctTax,M2197+N2197&lt;&gt;0))),E2197*10000+B2197,""),"")</f>
        <v/>
      </c>
    </row>
    <row r="2198">
      <c r="B2198" s="101" t="n">
        <v>2192</v>
      </c>
      <c r="C2198" s="58" t="inlineStr">
        <is>
          <t>Invoice</t>
        </is>
      </c>
      <c r="D2198" s="58">
        <f>IF(H2198=1,INDEX(ar_No,192)&amp;"","")</f>
        <v/>
      </c>
      <c r="E2198" s="94">
        <f>IF(H2198=1,INDEX(ar_Date,192),"")</f>
        <v/>
      </c>
      <c r="F2198" s="58">
        <f>IF(H2198=1,INDEX(ar_Desc,192)&amp;"","")</f>
        <v/>
      </c>
      <c r="G2198" s="58">
        <f>IF(H2198=1,INDEX(ar_Party,192)&amp;"","")</f>
        <v/>
      </c>
      <c r="H2198" s="101">
        <f>IFERROR(N(INDEX(ar_Posted,192)),0)</f>
        <v/>
      </c>
      <c r="I2198" s="58">
        <f>IF(H2198=1,INDEX(ar_DrAcct,192)&amp;"","")</f>
        <v/>
      </c>
      <c r="J2198" s="95">
        <f>IF(H2198=1,INDEX(ar_DrAmt,192),0)</f>
        <v/>
      </c>
      <c r="K2198" s="58">
        <f>IF(H2198=1,INDEX(ar_CrAcct,192)&amp;"","")</f>
        <v/>
      </c>
      <c r="L2198" s="95">
        <f>IF(H2198=1,INDEX(ar_CrAmt,192),0)</f>
        <v/>
      </c>
      <c r="M2198" s="95" t="n">
        <v>0</v>
      </c>
      <c r="N2198" s="95">
        <f>IF(H2198=1,INDEX(ar_TaxAmt,192),0)</f>
        <v/>
      </c>
      <c r="O2198" s="101">
        <f>IF(H2198=1,IF(E2198&lt;FYStart,0,IF(E2198&gt;FYEnd,13,YEAR(E2198)*12+MONTH(E2198)-FYYM+1)),"")</f>
        <v/>
      </c>
      <c r="P2198" s="101">
        <f>IF(H2198=1,IF(IFERROR(INDEX(coa_CF,MATCH(I2198,coa_Name,0)),"")="Cash",1,0),0)</f>
        <v/>
      </c>
      <c r="Q2198" s="101">
        <f>IF(H2198=1,IF(IFERROR(INDEX(coa_CF,MATCH(K2198,coa_Name,0)),"")="Cash",1,0),0)</f>
        <v/>
      </c>
      <c r="R2198" s="58">
        <f>IF((P2198-Q2198)=0,"",IFERROR(INDEX(coa_CF,MATCH(IF((P2198-Q2198)=1,K2198,I2198),coa_Name,0)),"Operating"))</f>
        <v/>
      </c>
      <c r="S2198" s="95">
        <f>IF((P2198-Q2198)=1,L2198,IF((P2198-Q2198)=-1,-J2198,0))</f>
        <v/>
      </c>
      <c r="T2198" s="95">
        <f>IF((P2198-Q2198)=1,N2198,IF((P2198-Q2198)=-1,-M2198,0))</f>
        <v/>
      </c>
      <c r="U2198" s="101">
        <f>IF(AND(H2198=1,LedAcct&lt;&gt;""),IF(AND(E2198&gt;=LedFrom,E2198&lt;=LedTo,OR(I2198=LedAcct,K2198=LedAcct,AND(LedAcct=acctTax,M2198+N2198&lt;&gt;0))),E2198*10000+B2198,""),"")</f>
        <v/>
      </c>
    </row>
    <row r="2199">
      <c r="B2199" s="101" t="n">
        <v>2193</v>
      </c>
      <c r="C2199" s="58" t="inlineStr">
        <is>
          <t>Invoice</t>
        </is>
      </c>
      <c r="D2199" s="58">
        <f>IF(H2199=1,INDEX(ar_No,193)&amp;"","")</f>
        <v/>
      </c>
      <c r="E2199" s="94">
        <f>IF(H2199=1,INDEX(ar_Date,193),"")</f>
        <v/>
      </c>
      <c r="F2199" s="58">
        <f>IF(H2199=1,INDEX(ar_Desc,193)&amp;"","")</f>
        <v/>
      </c>
      <c r="G2199" s="58">
        <f>IF(H2199=1,INDEX(ar_Party,193)&amp;"","")</f>
        <v/>
      </c>
      <c r="H2199" s="101">
        <f>IFERROR(N(INDEX(ar_Posted,193)),0)</f>
        <v/>
      </c>
      <c r="I2199" s="58">
        <f>IF(H2199=1,INDEX(ar_DrAcct,193)&amp;"","")</f>
        <v/>
      </c>
      <c r="J2199" s="95">
        <f>IF(H2199=1,INDEX(ar_DrAmt,193),0)</f>
        <v/>
      </c>
      <c r="K2199" s="58">
        <f>IF(H2199=1,INDEX(ar_CrAcct,193)&amp;"","")</f>
        <v/>
      </c>
      <c r="L2199" s="95">
        <f>IF(H2199=1,INDEX(ar_CrAmt,193),0)</f>
        <v/>
      </c>
      <c r="M2199" s="95" t="n">
        <v>0</v>
      </c>
      <c r="N2199" s="95">
        <f>IF(H2199=1,INDEX(ar_TaxAmt,193),0)</f>
        <v/>
      </c>
      <c r="O2199" s="101">
        <f>IF(H2199=1,IF(E2199&lt;FYStart,0,IF(E2199&gt;FYEnd,13,YEAR(E2199)*12+MONTH(E2199)-FYYM+1)),"")</f>
        <v/>
      </c>
      <c r="P2199" s="101">
        <f>IF(H2199=1,IF(IFERROR(INDEX(coa_CF,MATCH(I2199,coa_Name,0)),"")="Cash",1,0),0)</f>
        <v/>
      </c>
      <c r="Q2199" s="101">
        <f>IF(H2199=1,IF(IFERROR(INDEX(coa_CF,MATCH(K2199,coa_Name,0)),"")="Cash",1,0),0)</f>
        <v/>
      </c>
      <c r="R2199" s="58">
        <f>IF((P2199-Q2199)=0,"",IFERROR(INDEX(coa_CF,MATCH(IF((P2199-Q2199)=1,K2199,I2199),coa_Name,0)),"Operating"))</f>
        <v/>
      </c>
      <c r="S2199" s="95">
        <f>IF((P2199-Q2199)=1,L2199,IF((P2199-Q2199)=-1,-J2199,0))</f>
        <v/>
      </c>
      <c r="T2199" s="95">
        <f>IF((P2199-Q2199)=1,N2199,IF((P2199-Q2199)=-1,-M2199,0))</f>
        <v/>
      </c>
      <c r="U2199" s="101">
        <f>IF(AND(H2199=1,LedAcct&lt;&gt;""),IF(AND(E2199&gt;=LedFrom,E2199&lt;=LedTo,OR(I2199=LedAcct,K2199=LedAcct,AND(LedAcct=acctTax,M2199+N2199&lt;&gt;0))),E2199*10000+B2199,""),"")</f>
        <v/>
      </c>
    </row>
    <row r="2200">
      <c r="B2200" s="101" t="n">
        <v>2194</v>
      </c>
      <c r="C2200" s="58" t="inlineStr">
        <is>
          <t>Invoice</t>
        </is>
      </c>
      <c r="D2200" s="58">
        <f>IF(H2200=1,INDEX(ar_No,194)&amp;"","")</f>
        <v/>
      </c>
      <c r="E2200" s="94">
        <f>IF(H2200=1,INDEX(ar_Date,194),"")</f>
        <v/>
      </c>
      <c r="F2200" s="58">
        <f>IF(H2200=1,INDEX(ar_Desc,194)&amp;"","")</f>
        <v/>
      </c>
      <c r="G2200" s="58">
        <f>IF(H2200=1,INDEX(ar_Party,194)&amp;"","")</f>
        <v/>
      </c>
      <c r="H2200" s="101">
        <f>IFERROR(N(INDEX(ar_Posted,194)),0)</f>
        <v/>
      </c>
      <c r="I2200" s="58">
        <f>IF(H2200=1,INDEX(ar_DrAcct,194)&amp;"","")</f>
        <v/>
      </c>
      <c r="J2200" s="95">
        <f>IF(H2200=1,INDEX(ar_DrAmt,194),0)</f>
        <v/>
      </c>
      <c r="K2200" s="58">
        <f>IF(H2200=1,INDEX(ar_CrAcct,194)&amp;"","")</f>
        <v/>
      </c>
      <c r="L2200" s="95">
        <f>IF(H2200=1,INDEX(ar_CrAmt,194),0)</f>
        <v/>
      </c>
      <c r="M2200" s="95" t="n">
        <v>0</v>
      </c>
      <c r="N2200" s="95">
        <f>IF(H2200=1,INDEX(ar_TaxAmt,194),0)</f>
        <v/>
      </c>
      <c r="O2200" s="101">
        <f>IF(H2200=1,IF(E2200&lt;FYStart,0,IF(E2200&gt;FYEnd,13,YEAR(E2200)*12+MONTH(E2200)-FYYM+1)),"")</f>
        <v/>
      </c>
      <c r="P2200" s="101">
        <f>IF(H2200=1,IF(IFERROR(INDEX(coa_CF,MATCH(I2200,coa_Name,0)),"")="Cash",1,0),0)</f>
        <v/>
      </c>
      <c r="Q2200" s="101">
        <f>IF(H2200=1,IF(IFERROR(INDEX(coa_CF,MATCH(K2200,coa_Name,0)),"")="Cash",1,0),0)</f>
        <v/>
      </c>
      <c r="R2200" s="58">
        <f>IF((P2200-Q2200)=0,"",IFERROR(INDEX(coa_CF,MATCH(IF((P2200-Q2200)=1,K2200,I2200),coa_Name,0)),"Operating"))</f>
        <v/>
      </c>
      <c r="S2200" s="95">
        <f>IF((P2200-Q2200)=1,L2200,IF((P2200-Q2200)=-1,-J2200,0))</f>
        <v/>
      </c>
      <c r="T2200" s="95">
        <f>IF((P2200-Q2200)=1,N2200,IF((P2200-Q2200)=-1,-M2200,0))</f>
        <v/>
      </c>
      <c r="U2200" s="101">
        <f>IF(AND(H2200=1,LedAcct&lt;&gt;""),IF(AND(E2200&gt;=LedFrom,E2200&lt;=LedTo,OR(I2200=LedAcct,K2200=LedAcct,AND(LedAcct=acctTax,M2200+N2200&lt;&gt;0))),E2200*10000+B2200,""),"")</f>
        <v/>
      </c>
    </row>
    <row r="2201">
      <c r="B2201" s="101" t="n">
        <v>2195</v>
      </c>
      <c r="C2201" s="58" t="inlineStr">
        <is>
          <t>Invoice</t>
        </is>
      </c>
      <c r="D2201" s="58">
        <f>IF(H2201=1,INDEX(ar_No,195)&amp;"","")</f>
        <v/>
      </c>
      <c r="E2201" s="94">
        <f>IF(H2201=1,INDEX(ar_Date,195),"")</f>
        <v/>
      </c>
      <c r="F2201" s="58">
        <f>IF(H2201=1,INDEX(ar_Desc,195)&amp;"","")</f>
        <v/>
      </c>
      <c r="G2201" s="58">
        <f>IF(H2201=1,INDEX(ar_Party,195)&amp;"","")</f>
        <v/>
      </c>
      <c r="H2201" s="101">
        <f>IFERROR(N(INDEX(ar_Posted,195)),0)</f>
        <v/>
      </c>
      <c r="I2201" s="58">
        <f>IF(H2201=1,INDEX(ar_DrAcct,195)&amp;"","")</f>
        <v/>
      </c>
      <c r="J2201" s="95">
        <f>IF(H2201=1,INDEX(ar_DrAmt,195),0)</f>
        <v/>
      </c>
      <c r="K2201" s="58">
        <f>IF(H2201=1,INDEX(ar_CrAcct,195)&amp;"","")</f>
        <v/>
      </c>
      <c r="L2201" s="95">
        <f>IF(H2201=1,INDEX(ar_CrAmt,195),0)</f>
        <v/>
      </c>
      <c r="M2201" s="95" t="n">
        <v>0</v>
      </c>
      <c r="N2201" s="95">
        <f>IF(H2201=1,INDEX(ar_TaxAmt,195),0)</f>
        <v/>
      </c>
      <c r="O2201" s="101">
        <f>IF(H2201=1,IF(E2201&lt;FYStart,0,IF(E2201&gt;FYEnd,13,YEAR(E2201)*12+MONTH(E2201)-FYYM+1)),"")</f>
        <v/>
      </c>
      <c r="P2201" s="101">
        <f>IF(H2201=1,IF(IFERROR(INDEX(coa_CF,MATCH(I2201,coa_Name,0)),"")="Cash",1,0),0)</f>
        <v/>
      </c>
      <c r="Q2201" s="101">
        <f>IF(H2201=1,IF(IFERROR(INDEX(coa_CF,MATCH(K2201,coa_Name,0)),"")="Cash",1,0),0)</f>
        <v/>
      </c>
      <c r="R2201" s="58">
        <f>IF((P2201-Q2201)=0,"",IFERROR(INDEX(coa_CF,MATCH(IF((P2201-Q2201)=1,K2201,I2201),coa_Name,0)),"Operating"))</f>
        <v/>
      </c>
      <c r="S2201" s="95">
        <f>IF((P2201-Q2201)=1,L2201,IF((P2201-Q2201)=-1,-J2201,0))</f>
        <v/>
      </c>
      <c r="T2201" s="95">
        <f>IF((P2201-Q2201)=1,N2201,IF((P2201-Q2201)=-1,-M2201,0))</f>
        <v/>
      </c>
      <c r="U2201" s="101">
        <f>IF(AND(H2201=1,LedAcct&lt;&gt;""),IF(AND(E2201&gt;=LedFrom,E2201&lt;=LedTo,OR(I2201=LedAcct,K2201=LedAcct,AND(LedAcct=acctTax,M2201+N2201&lt;&gt;0))),E2201*10000+B2201,""),"")</f>
        <v/>
      </c>
    </row>
    <row r="2202">
      <c r="B2202" s="101" t="n">
        <v>2196</v>
      </c>
      <c r="C2202" s="58" t="inlineStr">
        <is>
          <t>Invoice</t>
        </is>
      </c>
      <c r="D2202" s="58">
        <f>IF(H2202=1,INDEX(ar_No,196)&amp;"","")</f>
        <v/>
      </c>
      <c r="E2202" s="94">
        <f>IF(H2202=1,INDEX(ar_Date,196),"")</f>
        <v/>
      </c>
      <c r="F2202" s="58">
        <f>IF(H2202=1,INDEX(ar_Desc,196)&amp;"","")</f>
        <v/>
      </c>
      <c r="G2202" s="58">
        <f>IF(H2202=1,INDEX(ar_Party,196)&amp;"","")</f>
        <v/>
      </c>
      <c r="H2202" s="101">
        <f>IFERROR(N(INDEX(ar_Posted,196)),0)</f>
        <v/>
      </c>
      <c r="I2202" s="58">
        <f>IF(H2202=1,INDEX(ar_DrAcct,196)&amp;"","")</f>
        <v/>
      </c>
      <c r="J2202" s="95">
        <f>IF(H2202=1,INDEX(ar_DrAmt,196),0)</f>
        <v/>
      </c>
      <c r="K2202" s="58">
        <f>IF(H2202=1,INDEX(ar_CrAcct,196)&amp;"","")</f>
        <v/>
      </c>
      <c r="L2202" s="95">
        <f>IF(H2202=1,INDEX(ar_CrAmt,196),0)</f>
        <v/>
      </c>
      <c r="M2202" s="95" t="n">
        <v>0</v>
      </c>
      <c r="N2202" s="95">
        <f>IF(H2202=1,INDEX(ar_TaxAmt,196),0)</f>
        <v/>
      </c>
      <c r="O2202" s="101">
        <f>IF(H2202=1,IF(E2202&lt;FYStart,0,IF(E2202&gt;FYEnd,13,YEAR(E2202)*12+MONTH(E2202)-FYYM+1)),"")</f>
        <v/>
      </c>
      <c r="P2202" s="101">
        <f>IF(H2202=1,IF(IFERROR(INDEX(coa_CF,MATCH(I2202,coa_Name,0)),"")="Cash",1,0),0)</f>
        <v/>
      </c>
      <c r="Q2202" s="101">
        <f>IF(H2202=1,IF(IFERROR(INDEX(coa_CF,MATCH(K2202,coa_Name,0)),"")="Cash",1,0),0)</f>
        <v/>
      </c>
      <c r="R2202" s="58">
        <f>IF((P2202-Q2202)=0,"",IFERROR(INDEX(coa_CF,MATCH(IF((P2202-Q2202)=1,K2202,I2202),coa_Name,0)),"Operating"))</f>
        <v/>
      </c>
      <c r="S2202" s="95">
        <f>IF((P2202-Q2202)=1,L2202,IF((P2202-Q2202)=-1,-J2202,0))</f>
        <v/>
      </c>
      <c r="T2202" s="95">
        <f>IF((P2202-Q2202)=1,N2202,IF((P2202-Q2202)=-1,-M2202,0))</f>
        <v/>
      </c>
      <c r="U2202" s="101">
        <f>IF(AND(H2202=1,LedAcct&lt;&gt;""),IF(AND(E2202&gt;=LedFrom,E2202&lt;=LedTo,OR(I2202=LedAcct,K2202=LedAcct,AND(LedAcct=acctTax,M2202+N2202&lt;&gt;0))),E2202*10000+B2202,""),"")</f>
        <v/>
      </c>
    </row>
    <row r="2203">
      <c r="B2203" s="101" t="n">
        <v>2197</v>
      </c>
      <c r="C2203" s="58" t="inlineStr">
        <is>
          <t>Invoice</t>
        </is>
      </c>
      <c r="D2203" s="58">
        <f>IF(H2203=1,INDEX(ar_No,197)&amp;"","")</f>
        <v/>
      </c>
      <c r="E2203" s="94">
        <f>IF(H2203=1,INDEX(ar_Date,197),"")</f>
        <v/>
      </c>
      <c r="F2203" s="58">
        <f>IF(H2203=1,INDEX(ar_Desc,197)&amp;"","")</f>
        <v/>
      </c>
      <c r="G2203" s="58">
        <f>IF(H2203=1,INDEX(ar_Party,197)&amp;"","")</f>
        <v/>
      </c>
      <c r="H2203" s="101">
        <f>IFERROR(N(INDEX(ar_Posted,197)),0)</f>
        <v/>
      </c>
      <c r="I2203" s="58">
        <f>IF(H2203=1,INDEX(ar_DrAcct,197)&amp;"","")</f>
        <v/>
      </c>
      <c r="J2203" s="95">
        <f>IF(H2203=1,INDEX(ar_DrAmt,197),0)</f>
        <v/>
      </c>
      <c r="K2203" s="58">
        <f>IF(H2203=1,INDEX(ar_CrAcct,197)&amp;"","")</f>
        <v/>
      </c>
      <c r="L2203" s="95">
        <f>IF(H2203=1,INDEX(ar_CrAmt,197),0)</f>
        <v/>
      </c>
      <c r="M2203" s="95" t="n">
        <v>0</v>
      </c>
      <c r="N2203" s="95">
        <f>IF(H2203=1,INDEX(ar_TaxAmt,197),0)</f>
        <v/>
      </c>
      <c r="O2203" s="101">
        <f>IF(H2203=1,IF(E2203&lt;FYStart,0,IF(E2203&gt;FYEnd,13,YEAR(E2203)*12+MONTH(E2203)-FYYM+1)),"")</f>
        <v/>
      </c>
      <c r="P2203" s="101">
        <f>IF(H2203=1,IF(IFERROR(INDEX(coa_CF,MATCH(I2203,coa_Name,0)),"")="Cash",1,0),0)</f>
        <v/>
      </c>
      <c r="Q2203" s="101">
        <f>IF(H2203=1,IF(IFERROR(INDEX(coa_CF,MATCH(K2203,coa_Name,0)),"")="Cash",1,0),0)</f>
        <v/>
      </c>
      <c r="R2203" s="58">
        <f>IF((P2203-Q2203)=0,"",IFERROR(INDEX(coa_CF,MATCH(IF((P2203-Q2203)=1,K2203,I2203),coa_Name,0)),"Operating"))</f>
        <v/>
      </c>
      <c r="S2203" s="95">
        <f>IF((P2203-Q2203)=1,L2203,IF((P2203-Q2203)=-1,-J2203,0))</f>
        <v/>
      </c>
      <c r="T2203" s="95">
        <f>IF((P2203-Q2203)=1,N2203,IF((P2203-Q2203)=-1,-M2203,0))</f>
        <v/>
      </c>
      <c r="U2203" s="101">
        <f>IF(AND(H2203=1,LedAcct&lt;&gt;""),IF(AND(E2203&gt;=LedFrom,E2203&lt;=LedTo,OR(I2203=LedAcct,K2203=LedAcct,AND(LedAcct=acctTax,M2203+N2203&lt;&gt;0))),E2203*10000+B2203,""),"")</f>
        <v/>
      </c>
    </row>
    <row r="2204">
      <c r="B2204" s="101" t="n">
        <v>2198</v>
      </c>
      <c r="C2204" s="58" t="inlineStr">
        <is>
          <t>Invoice</t>
        </is>
      </c>
      <c r="D2204" s="58">
        <f>IF(H2204=1,INDEX(ar_No,198)&amp;"","")</f>
        <v/>
      </c>
      <c r="E2204" s="94">
        <f>IF(H2204=1,INDEX(ar_Date,198),"")</f>
        <v/>
      </c>
      <c r="F2204" s="58">
        <f>IF(H2204=1,INDEX(ar_Desc,198)&amp;"","")</f>
        <v/>
      </c>
      <c r="G2204" s="58">
        <f>IF(H2204=1,INDEX(ar_Party,198)&amp;"","")</f>
        <v/>
      </c>
      <c r="H2204" s="101">
        <f>IFERROR(N(INDEX(ar_Posted,198)),0)</f>
        <v/>
      </c>
      <c r="I2204" s="58">
        <f>IF(H2204=1,INDEX(ar_DrAcct,198)&amp;"","")</f>
        <v/>
      </c>
      <c r="J2204" s="95">
        <f>IF(H2204=1,INDEX(ar_DrAmt,198),0)</f>
        <v/>
      </c>
      <c r="K2204" s="58">
        <f>IF(H2204=1,INDEX(ar_CrAcct,198)&amp;"","")</f>
        <v/>
      </c>
      <c r="L2204" s="95">
        <f>IF(H2204=1,INDEX(ar_CrAmt,198),0)</f>
        <v/>
      </c>
      <c r="M2204" s="95" t="n">
        <v>0</v>
      </c>
      <c r="N2204" s="95">
        <f>IF(H2204=1,INDEX(ar_TaxAmt,198),0)</f>
        <v/>
      </c>
      <c r="O2204" s="101">
        <f>IF(H2204=1,IF(E2204&lt;FYStart,0,IF(E2204&gt;FYEnd,13,YEAR(E2204)*12+MONTH(E2204)-FYYM+1)),"")</f>
        <v/>
      </c>
      <c r="P2204" s="101">
        <f>IF(H2204=1,IF(IFERROR(INDEX(coa_CF,MATCH(I2204,coa_Name,0)),"")="Cash",1,0),0)</f>
        <v/>
      </c>
      <c r="Q2204" s="101">
        <f>IF(H2204=1,IF(IFERROR(INDEX(coa_CF,MATCH(K2204,coa_Name,0)),"")="Cash",1,0),0)</f>
        <v/>
      </c>
      <c r="R2204" s="58">
        <f>IF((P2204-Q2204)=0,"",IFERROR(INDEX(coa_CF,MATCH(IF((P2204-Q2204)=1,K2204,I2204),coa_Name,0)),"Operating"))</f>
        <v/>
      </c>
      <c r="S2204" s="95">
        <f>IF((P2204-Q2204)=1,L2204,IF((P2204-Q2204)=-1,-J2204,0))</f>
        <v/>
      </c>
      <c r="T2204" s="95">
        <f>IF((P2204-Q2204)=1,N2204,IF((P2204-Q2204)=-1,-M2204,0))</f>
        <v/>
      </c>
      <c r="U2204" s="101">
        <f>IF(AND(H2204=1,LedAcct&lt;&gt;""),IF(AND(E2204&gt;=LedFrom,E2204&lt;=LedTo,OR(I2204=LedAcct,K2204=LedAcct,AND(LedAcct=acctTax,M2204+N2204&lt;&gt;0))),E2204*10000+B2204,""),"")</f>
        <v/>
      </c>
    </row>
    <row r="2205">
      <c r="B2205" s="101" t="n">
        <v>2199</v>
      </c>
      <c r="C2205" s="58" t="inlineStr">
        <is>
          <t>Invoice</t>
        </is>
      </c>
      <c r="D2205" s="58">
        <f>IF(H2205=1,INDEX(ar_No,199)&amp;"","")</f>
        <v/>
      </c>
      <c r="E2205" s="94">
        <f>IF(H2205=1,INDEX(ar_Date,199),"")</f>
        <v/>
      </c>
      <c r="F2205" s="58">
        <f>IF(H2205=1,INDEX(ar_Desc,199)&amp;"","")</f>
        <v/>
      </c>
      <c r="G2205" s="58">
        <f>IF(H2205=1,INDEX(ar_Party,199)&amp;"","")</f>
        <v/>
      </c>
      <c r="H2205" s="101">
        <f>IFERROR(N(INDEX(ar_Posted,199)),0)</f>
        <v/>
      </c>
      <c r="I2205" s="58">
        <f>IF(H2205=1,INDEX(ar_DrAcct,199)&amp;"","")</f>
        <v/>
      </c>
      <c r="J2205" s="95">
        <f>IF(H2205=1,INDEX(ar_DrAmt,199),0)</f>
        <v/>
      </c>
      <c r="K2205" s="58">
        <f>IF(H2205=1,INDEX(ar_CrAcct,199)&amp;"","")</f>
        <v/>
      </c>
      <c r="L2205" s="95">
        <f>IF(H2205=1,INDEX(ar_CrAmt,199),0)</f>
        <v/>
      </c>
      <c r="M2205" s="95" t="n">
        <v>0</v>
      </c>
      <c r="N2205" s="95">
        <f>IF(H2205=1,INDEX(ar_TaxAmt,199),0)</f>
        <v/>
      </c>
      <c r="O2205" s="101">
        <f>IF(H2205=1,IF(E2205&lt;FYStart,0,IF(E2205&gt;FYEnd,13,YEAR(E2205)*12+MONTH(E2205)-FYYM+1)),"")</f>
        <v/>
      </c>
      <c r="P2205" s="101">
        <f>IF(H2205=1,IF(IFERROR(INDEX(coa_CF,MATCH(I2205,coa_Name,0)),"")="Cash",1,0),0)</f>
        <v/>
      </c>
      <c r="Q2205" s="101">
        <f>IF(H2205=1,IF(IFERROR(INDEX(coa_CF,MATCH(K2205,coa_Name,0)),"")="Cash",1,0),0)</f>
        <v/>
      </c>
      <c r="R2205" s="58">
        <f>IF((P2205-Q2205)=0,"",IFERROR(INDEX(coa_CF,MATCH(IF((P2205-Q2205)=1,K2205,I2205),coa_Name,0)),"Operating"))</f>
        <v/>
      </c>
      <c r="S2205" s="95">
        <f>IF((P2205-Q2205)=1,L2205,IF((P2205-Q2205)=-1,-J2205,0))</f>
        <v/>
      </c>
      <c r="T2205" s="95">
        <f>IF((P2205-Q2205)=1,N2205,IF((P2205-Q2205)=-1,-M2205,0))</f>
        <v/>
      </c>
      <c r="U2205" s="101">
        <f>IF(AND(H2205=1,LedAcct&lt;&gt;""),IF(AND(E2205&gt;=LedFrom,E2205&lt;=LedTo,OR(I2205=LedAcct,K2205=LedAcct,AND(LedAcct=acctTax,M2205+N2205&lt;&gt;0))),E2205*10000+B2205,""),"")</f>
        <v/>
      </c>
    </row>
    <row r="2206">
      <c r="B2206" s="101" t="n">
        <v>2200</v>
      </c>
      <c r="C2206" s="58" t="inlineStr">
        <is>
          <t>Invoice</t>
        </is>
      </c>
      <c r="D2206" s="58">
        <f>IF(H2206=1,INDEX(ar_No,200)&amp;"","")</f>
        <v/>
      </c>
      <c r="E2206" s="94">
        <f>IF(H2206=1,INDEX(ar_Date,200),"")</f>
        <v/>
      </c>
      <c r="F2206" s="58">
        <f>IF(H2206=1,INDEX(ar_Desc,200)&amp;"","")</f>
        <v/>
      </c>
      <c r="G2206" s="58">
        <f>IF(H2206=1,INDEX(ar_Party,200)&amp;"","")</f>
        <v/>
      </c>
      <c r="H2206" s="101">
        <f>IFERROR(N(INDEX(ar_Posted,200)),0)</f>
        <v/>
      </c>
      <c r="I2206" s="58">
        <f>IF(H2206=1,INDEX(ar_DrAcct,200)&amp;"","")</f>
        <v/>
      </c>
      <c r="J2206" s="95">
        <f>IF(H2206=1,INDEX(ar_DrAmt,200),0)</f>
        <v/>
      </c>
      <c r="K2206" s="58">
        <f>IF(H2206=1,INDEX(ar_CrAcct,200)&amp;"","")</f>
        <v/>
      </c>
      <c r="L2206" s="95">
        <f>IF(H2206=1,INDEX(ar_CrAmt,200),0)</f>
        <v/>
      </c>
      <c r="M2206" s="95" t="n">
        <v>0</v>
      </c>
      <c r="N2206" s="95">
        <f>IF(H2206=1,INDEX(ar_TaxAmt,200),0)</f>
        <v/>
      </c>
      <c r="O2206" s="101">
        <f>IF(H2206=1,IF(E2206&lt;FYStart,0,IF(E2206&gt;FYEnd,13,YEAR(E2206)*12+MONTH(E2206)-FYYM+1)),"")</f>
        <v/>
      </c>
      <c r="P2206" s="101">
        <f>IF(H2206=1,IF(IFERROR(INDEX(coa_CF,MATCH(I2206,coa_Name,0)),"")="Cash",1,0),0)</f>
        <v/>
      </c>
      <c r="Q2206" s="101">
        <f>IF(H2206=1,IF(IFERROR(INDEX(coa_CF,MATCH(K2206,coa_Name,0)),"")="Cash",1,0),0)</f>
        <v/>
      </c>
      <c r="R2206" s="58">
        <f>IF((P2206-Q2206)=0,"",IFERROR(INDEX(coa_CF,MATCH(IF((P2206-Q2206)=1,K2206,I2206),coa_Name,0)),"Operating"))</f>
        <v/>
      </c>
      <c r="S2206" s="95">
        <f>IF((P2206-Q2206)=1,L2206,IF((P2206-Q2206)=-1,-J2206,0))</f>
        <v/>
      </c>
      <c r="T2206" s="95">
        <f>IF((P2206-Q2206)=1,N2206,IF((P2206-Q2206)=-1,-M2206,0))</f>
        <v/>
      </c>
      <c r="U2206" s="101">
        <f>IF(AND(H2206=1,LedAcct&lt;&gt;""),IF(AND(E2206&gt;=LedFrom,E2206&lt;=LedTo,OR(I2206=LedAcct,K2206=LedAcct,AND(LedAcct=acctTax,M2206+N2206&lt;&gt;0))),E2206*10000+B2206,""),"")</f>
        <v/>
      </c>
    </row>
    <row r="2207">
      <c r="B2207" s="101" t="n">
        <v>2201</v>
      </c>
      <c r="C2207" s="58" t="inlineStr">
        <is>
          <t>Invoice</t>
        </is>
      </c>
      <c r="D2207" s="58">
        <f>IF(H2207=1,INDEX(ar_No,201)&amp;"","")</f>
        <v/>
      </c>
      <c r="E2207" s="94">
        <f>IF(H2207=1,INDEX(ar_Date,201),"")</f>
        <v/>
      </c>
      <c r="F2207" s="58">
        <f>IF(H2207=1,INDEX(ar_Desc,201)&amp;"","")</f>
        <v/>
      </c>
      <c r="G2207" s="58">
        <f>IF(H2207=1,INDEX(ar_Party,201)&amp;"","")</f>
        <v/>
      </c>
      <c r="H2207" s="101">
        <f>IFERROR(N(INDEX(ar_Posted,201)),0)</f>
        <v/>
      </c>
      <c r="I2207" s="58">
        <f>IF(H2207=1,INDEX(ar_DrAcct,201)&amp;"","")</f>
        <v/>
      </c>
      <c r="J2207" s="95">
        <f>IF(H2207=1,INDEX(ar_DrAmt,201),0)</f>
        <v/>
      </c>
      <c r="K2207" s="58">
        <f>IF(H2207=1,INDEX(ar_CrAcct,201)&amp;"","")</f>
        <v/>
      </c>
      <c r="L2207" s="95">
        <f>IF(H2207=1,INDEX(ar_CrAmt,201),0)</f>
        <v/>
      </c>
      <c r="M2207" s="95" t="n">
        <v>0</v>
      </c>
      <c r="N2207" s="95">
        <f>IF(H2207=1,INDEX(ar_TaxAmt,201),0)</f>
        <v/>
      </c>
      <c r="O2207" s="101">
        <f>IF(H2207=1,IF(E2207&lt;FYStart,0,IF(E2207&gt;FYEnd,13,YEAR(E2207)*12+MONTH(E2207)-FYYM+1)),"")</f>
        <v/>
      </c>
      <c r="P2207" s="101">
        <f>IF(H2207=1,IF(IFERROR(INDEX(coa_CF,MATCH(I2207,coa_Name,0)),"")="Cash",1,0),0)</f>
        <v/>
      </c>
      <c r="Q2207" s="101">
        <f>IF(H2207=1,IF(IFERROR(INDEX(coa_CF,MATCH(K2207,coa_Name,0)),"")="Cash",1,0),0)</f>
        <v/>
      </c>
      <c r="R2207" s="58">
        <f>IF((P2207-Q2207)=0,"",IFERROR(INDEX(coa_CF,MATCH(IF((P2207-Q2207)=1,K2207,I2207),coa_Name,0)),"Operating"))</f>
        <v/>
      </c>
      <c r="S2207" s="95">
        <f>IF((P2207-Q2207)=1,L2207,IF((P2207-Q2207)=-1,-J2207,0))</f>
        <v/>
      </c>
      <c r="T2207" s="95">
        <f>IF((P2207-Q2207)=1,N2207,IF((P2207-Q2207)=-1,-M2207,0))</f>
        <v/>
      </c>
      <c r="U2207" s="101">
        <f>IF(AND(H2207=1,LedAcct&lt;&gt;""),IF(AND(E2207&gt;=LedFrom,E2207&lt;=LedTo,OR(I2207=LedAcct,K2207=LedAcct,AND(LedAcct=acctTax,M2207+N2207&lt;&gt;0))),E2207*10000+B2207,""),"")</f>
        <v/>
      </c>
    </row>
    <row r="2208">
      <c r="B2208" s="101" t="n">
        <v>2202</v>
      </c>
      <c r="C2208" s="58" t="inlineStr">
        <is>
          <t>Invoice</t>
        </is>
      </c>
      <c r="D2208" s="58">
        <f>IF(H2208=1,INDEX(ar_No,202)&amp;"","")</f>
        <v/>
      </c>
      <c r="E2208" s="94">
        <f>IF(H2208=1,INDEX(ar_Date,202),"")</f>
        <v/>
      </c>
      <c r="F2208" s="58">
        <f>IF(H2208=1,INDEX(ar_Desc,202)&amp;"","")</f>
        <v/>
      </c>
      <c r="G2208" s="58">
        <f>IF(H2208=1,INDEX(ar_Party,202)&amp;"","")</f>
        <v/>
      </c>
      <c r="H2208" s="101">
        <f>IFERROR(N(INDEX(ar_Posted,202)),0)</f>
        <v/>
      </c>
      <c r="I2208" s="58">
        <f>IF(H2208=1,INDEX(ar_DrAcct,202)&amp;"","")</f>
        <v/>
      </c>
      <c r="J2208" s="95">
        <f>IF(H2208=1,INDEX(ar_DrAmt,202),0)</f>
        <v/>
      </c>
      <c r="K2208" s="58">
        <f>IF(H2208=1,INDEX(ar_CrAcct,202)&amp;"","")</f>
        <v/>
      </c>
      <c r="L2208" s="95">
        <f>IF(H2208=1,INDEX(ar_CrAmt,202),0)</f>
        <v/>
      </c>
      <c r="M2208" s="95" t="n">
        <v>0</v>
      </c>
      <c r="N2208" s="95">
        <f>IF(H2208=1,INDEX(ar_TaxAmt,202),0)</f>
        <v/>
      </c>
      <c r="O2208" s="101">
        <f>IF(H2208=1,IF(E2208&lt;FYStart,0,IF(E2208&gt;FYEnd,13,YEAR(E2208)*12+MONTH(E2208)-FYYM+1)),"")</f>
        <v/>
      </c>
      <c r="P2208" s="101">
        <f>IF(H2208=1,IF(IFERROR(INDEX(coa_CF,MATCH(I2208,coa_Name,0)),"")="Cash",1,0),0)</f>
        <v/>
      </c>
      <c r="Q2208" s="101">
        <f>IF(H2208=1,IF(IFERROR(INDEX(coa_CF,MATCH(K2208,coa_Name,0)),"")="Cash",1,0),0)</f>
        <v/>
      </c>
      <c r="R2208" s="58">
        <f>IF((P2208-Q2208)=0,"",IFERROR(INDEX(coa_CF,MATCH(IF((P2208-Q2208)=1,K2208,I2208),coa_Name,0)),"Operating"))</f>
        <v/>
      </c>
      <c r="S2208" s="95">
        <f>IF((P2208-Q2208)=1,L2208,IF((P2208-Q2208)=-1,-J2208,0))</f>
        <v/>
      </c>
      <c r="T2208" s="95">
        <f>IF((P2208-Q2208)=1,N2208,IF((P2208-Q2208)=-1,-M2208,0))</f>
        <v/>
      </c>
      <c r="U2208" s="101">
        <f>IF(AND(H2208=1,LedAcct&lt;&gt;""),IF(AND(E2208&gt;=LedFrom,E2208&lt;=LedTo,OR(I2208=LedAcct,K2208=LedAcct,AND(LedAcct=acctTax,M2208+N2208&lt;&gt;0))),E2208*10000+B2208,""),"")</f>
        <v/>
      </c>
    </row>
    <row r="2209">
      <c r="B2209" s="101" t="n">
        <v>2203</v>
      </c>
      <c r="C2209" s="58" t="inlineStr">
        <is>
          <t>Invoice</t>
        </is>
      </c>
      <c r="D2209" s="58">
        <f>IF(H2209=1,INDEX(ar_No,203)&amp;"","")</f>
        <v/>
      </c>
      <c r="E2209" s="94">
        <f>IF(H2209=1,INDEX(ar_Date,203),"")</f>
        <v/>
      </c>
      <c r="F2209" s="58">
        <f>IF(H2209=1,INDEX(ar_Desc,203)&amp;"","")</f>
        <v/>
      </c>
      <c r="G2209" s="58">
        <f>IF(H2209=1,INDEX(ar_Party,203)&amp;"","")</f>
        <v/>
      </c>
      <c r="H2209" s="101">
        <f>IFERROR(N(INDEX(ar_Posted,203)),0)</f>
        <v/>
      </c>
      <c r="I2209" s="58">
        <f>IF(H2209=1,INDEX(ar_DrAcct,203)&amp;"","")</f>
        <v/>
      </c>
      <c r="J2209" s="95">
        <f>IF(H2209=1,INDEX(ar_DrAmt,203),0)</f>
        <v/>
      </c>
      <c r="K2209" s="58">
        <f>IF(H2209=1,INDEX(ar_CrAcct,203)&amp;"","")</f>
        <v/>
      </c>
      <c r="L2209" s="95">
        <f>IF(H2209=1,INDEX(ar_CrAmt,203),0)</f>
        <v/>
      </c>
      <c r="M2209" s="95" t="n">
        <v>0</v>
      </c>
      <c r="N2209" s="95">
        <f>IF(H2209=1,INDEX(ar_TaxAmt,203),0)</f>
        <v/>
      </c>
      <c r="O2209" s="101">
        <f>IF(H2209=1,IF(E2209&lt;FYStart,0,IF(E2209&gt;FYEnd,13,YEAR(E2209)*12+MONTH(E2209)-FYYM+1)),"")</f>
        <v/>
      </c>
      <c r="P2209" s="101">
        <f>IF(H2209=1,IF(IFERROR(INDEX(coa_CF,MATCH(I2209,coa_Name,0)),"")="Cash",1,0),0)</f>
        <v/>
      </c>
      <c r="Q2209" s="101">
        <f>IF(H2209=1,IF(IFERROR(INDEX(coa_CF,MATCH(K2209,coa_Name,0)),"")="Cash",1,0),0)</f>
        <v/>
      </c>
      <c r="R2209" s="58">
        <f>IF((P2209-Q2209)=0,"",IFERROR(INDEX(coa_CF,MATCH(IF((P2209-Q2209)=1,K2209,I2209),coa_Name,0)),"Operating"))</f>
        <v/>
      </c>
      <c r="S2209" s="95">
        <f>IF((P2209-Q2209)=1,L2209,IF((P2209-Q2209)=-1,-J2209,0))</f>
        <v/>
      </c>
      <c r="T2209" s="95">
        <f>IF((P2209-Q2209)=1,N2209,IF((P2209-Q2209)=-1,-M2209,0))</f>
        <v/>
      </c>
      <c r="U2209" s="101">
        <f>IF(AND(H2209=1,LedAcct&lt;&gt;""),IF(AND(E2209&gt;=LedFrom,E2209&lt;=LedTo,OR(I2209=LedAcct,K2209=LedAcct,AND(LedAcct=acctTax,M2209+N2209&lt;&gt;0))),E2209*10000+B2209,""),"")</f>
        <v/>
      </c>
    </row>
    <row r="2210">
      <c r="B2210" s="101" t="n">
        <v>2204</v>
      </c>
      <c r="C2210" s="58" t="inlineStr">
        <is>
          <t>Invoice</t>
        </is>
      </c>
      <c r="D2210" s="58">
        <f>IF(H2210=1,INDEX(ar_No,204)&amp;"","")</f>
        <v/>
      </c>
      <c r="E2210" s="94">
        <f>IF(H2210=1,INDEX(ar_Date,204),"")</f>
        <v/>
      </c>
      <c r="F2210" s="58">
        <f>IF(H2210=1,INDEX(ar_Desc,204)&amp;"","")</f>
        <v/>
      </c>
      <c r="G2210" s="58">
        <f>IF(H2210=1,INDEX(ar_Party,204)&amp;"","")</f>
        <v/>
      </c>
      <c r="H2210" s="101">
        <f>IFERROR(N(INDEX(ar_Posted,204)),0)</f>
        <v/>
      </c>
      <c r="I2210" s="58">
        <f>IF(H2210=1,INDEX(ar_DrAcct,204)&amp;"","")</f>
        <v/>
      </c>
      <c r="J2210" s="95">
        <f>IF(H2210=1,INDEX(ar_DrAmt,204),0)</f>
        <v/>
      </c>
      <c r="K2210" s="58">
        <f>IF(H2210=1,INDEX(ar_CrAcct,204)&amp;"","")</f>
        <v/>
      </c>
      <c r="L2210" s="95">
        <f>IF(H2210=1,INDEX(ar_CrAmt,204),0)</f>
        <v/>
      </c>
      <c r="M2210" s="95" t="n">
        <v>0</v>
      </c>
      <c r="N2210" s="95">
        <f>IF(H2210=1,INDEX(ar_TaxAmt,204),0)</f>
        <v/>
      </c>
      <c r="O2210" s="101">
        <f>IF(H2210=1,IF(E2210&lt;FYStart,0,IF(E2210&gt;FYEnd,13,YEAR(E2210)*12+MONTH(E2210)-FYYM+1)),"")</f>
        <v/>
      </c>
      <c r="P2210" s="101">
        <f>IF(H2210=1,IF(IFERROR(INDEX(coa_CF,MATCH(I2210,coa_Name,0)),"")="Cash",1,0),0)</f>
        <v/>
      </c>
      <c r="Q2210" s="101">
        <f>IF(H2210=1,IF(IFERROR(INDEX(coa_CF,MATCH(K2210,coa_Name,0)),"")="Cash",1,0),0)</f>
        <v/>
      </c>
      <c r="R2210" s="58">
        <f>IF((P2210-Q2210)=0,"",IFERROR(INDEX(coa_CF,MATCH(IF((P2210-Q2210)=1,K2210,I2210),coa_Name,0)),"Operating"))</f>
        <v/>
      </c>
      <c r="S2210" s="95">
        <f>IF((P2210-Q2210)=1,L2210,IF((P2210-Q2210)=-1,-J2210,0))</f>
        <v/>
      </c>
      <c r="T2210" s="95">
        <f>IF((P2210-Q2210)=1,N2210,IF((P2210-Q2210)=-1,-M2210,0))</f>
        <v/>
      </c>
      <c r="U2210" s="101">
        <f>IF(AND(H2210=1,LedAcct&lt;&gt;""),IF(AND(E2210&gt;=LedFrom,E2210&lt;=LedTo,OR(I2210=LedAcct,K2210=LedAcct,AND(LedAcct=acctTax,M2210+N2210&lt;&gt;0))),E2210*10000+B2210,""),"")</f>
        <v/>
      </c>
    </row>
    <row r="2211">
      <c r="B2211" s="101" t="n">
        <v>2205</v>
      </c>
      <c r="C2211" s="58" t="inlineStr">
        <is>
          <t>Invoice</t>
        </is>
      </c>
      <c r="D2211" s="58">
        <f>IF(H2211=1,INDEX(ar_No,205)&amp;"","")</f>
        <v/>
      </c>
      <c r="E2211" s="94">
        <f>IF(H2211=1,INDEX(ar_Date,205),"")</f>
        <v/>
      </c>
      <c r="F2211" s="58">
        <f>IF(H2211=1,INDEX(ar_Desc,205)&amp;"","")</f>
        <v/>
      </c>
      <c r="G2211" s="58">
        <f>IF(H2211=1,INDEX(ar_Party,205)&amp;"","")</f>
        <v/>
      </c>
      <c r="H2211" s="101">
        <f>IFERROR(N(INDEX(ar_Posted,205)),0)</f>
        <v/>
      </c>
      <c r="I2211" s="58">
        <f>IF(H2211=1,INDEX(ar_DrAcct,205)&amp;"","")</f>
        <v/>
      </c>
      <c r="J2211" s="95">
        <f>IF(H2211=1,INDEX(ar_DrAmt,205),0)</f>
        <v/>
      </c>
      <c r="K2211" s="58">
        <f>IF(H2211=1,INDEX(ar_CrAcct,205)&amp;"","")</f>
        <v/>
      </c>
      <c r="L2211" s="95">
        <f>IF(H2211=1,INDEX(ar_CrAmt,205),0)</f>
        <v/>
      </c>
      <c r="M2211" s="95" t="n">
        <v>0</v>
      </c>
      <c r="N2211" s="95">
        <f>IF(H2211=1,INDEX(ar_TaxAmt,205),0)</f>
        <v/>
      </c>
      <c r="O2211" s="101">
        <f>IF(H2211=1,IF(E2211&lt;FYStart,0,IF(E2211&gt;FYEnd,13,YEAR(E2211)*12+MONTH(E2211)-FYYM+1)),"")</f>
        <v/>
      </c>
      <c r="P2211" s="101">
        <f>IF(H2211=1,IF(IFERROR(INDEX(coa_CF,MATCH(I2211,coa_Name,0)),"")="Cash",1,0),0)</f>
        <v/>
      </c>
      <c r="Q2211" s="101">
        <f>IF(H2211=1,IF(IFERROR(INDEX(coa_CF,MATCH(K2211,coa_Name,0)),"")="Cash",1,0),0)</f>
        <v/>
      </c>
      <c r="R2211" s="58">
        <f>IF((P2211-Q2211)=0,"",IFERROR(INDEX(coa_CF,MATCH(IF((P2211-Q2211)=1,K2211,I2211),coa_Name,0)),"Operating"))</f>
        <v/>
      </c>
      <c r="S2211" s="95">
        <f>IF((P2211-Q2211)=1,L2211,IF((P2211-Q2211)=-1,-J2211,0))</f>
        <v/>
      </c>
      <c r="T2211" s="95">
        <f>IF((P2211-Q2211)=1,N2211,IF((P2211-Q2211)=-1,-M2211,0))</f>
        <v/>
      </c>
      <c r="U2211" s="101">
        <f>IF(AND(H2211=1,LedAcct&lt;&gt;""),IF(AND(E2211&gt;=LedFrom,E2211&lt;=LedTo,OR(I2211=LedAcct,K2211=LedAcct,AND(LedAcct=acctTax,M2211+N2211&lt;&gt;0))),E2211*10000+B2211,""),"")</f>
        <v/>
      </c>
    </row>
    <row r="2212">
      <c r="B2212" s="101" t="n">
        <v>2206</v>
      </c>
      <c r="C2212" s="58" t="inlineStr">
        <is>
          <t>Invoice</t>
        </is>
      </c>
      <c r="D2212" s="58">
        <f>IF(H2212=1,INDEX(ar_No,206)&amp;"","")</f>
        <v/>
      </c>
      <c r="E2212" s="94">
        <f>IF(H2212=1,INDEX(ar_Date,206),"")</f>
        <v/>
      </c>
      <c r="F2212" s="58">
        <f>IF(H2212=1,INDEX(ar_Desc,206)&amp;"","")</f>
        <v/>
      </c>
      <c r="G2212" s="58">
        <f>IF(H2212=1,INDEX(ar_Party,206)&amp;"","")</f>
        <v/>
      </c>
      <c r="H2212" s="101">
        <f>IFERROR(N(INDEX(ar_Posted,206)),0)</f>
        <v/>
      </c>
      <c r="I2212" s="58">
        <f>IF(H2212=1,INDEX(ar_DrAcct,206)&amp;"","")</f>
        <v/>
      </c>
      <c r="J2212" s="95">
        <f>IF(H2212=1,INDEX(ar_DrAmt,206),0)</f>
        <v/>
      </c>
      <c r="K2212" s="58">
        <f>IF(H2212=1,INDEX(ar_CrAcct,206)&amp;"","")</f>
        <v/>
      </c>
      <c r="L2212" s="95">
        <f>IF(H2212=1,INDEX(ar_CrAmt,206),0)</f>
        <v/>
      </c>
      <c r="M2212" s="95" t="n">
        <v>0</v>
      </c>
      <c r="N2212" s="95">
        <f>IF(H2212=1,INDEX(ar_TaxAmt,206),0)</f>
        <v/>
      </c>
      <c r="O2212" s="101">
        <f>IF(H2212=1,IF(E2212&lt;FYStart,0,IF(E2212&gt;FYEnd,13,YEAR(E2212)*12+MONTH(E2212)-FYYM+1)),"")</f>
        <v/>
      </c>
      <c r="P2212" s="101">
        <f>IF(H2212=1,IF(IFERROR(INDEX(coa_CF,MATCH(I2212,coa_Name,0)),"")="Cash",1,0),0)</f>
        <v/>
      </c>
      <c r="Q2212" s="101">
        <f>IF(H2212=1,IF(IFERROR(INDEX(coa_CF,MATCH(K2212,coa_Name,0)),"")="Cash",1,0),0)</f>
        <v/>
      </c>
      <c r="R2212" s="58">
        <f>IF((P2212-Q2212)=0,"",IFERROR(INDEX(coa_CF,MATCH(IF((P2212-Q2212)=1,K2212,I2212),coa_Name,0)),"Operating"))</f>
        <v/>
      </c>
      <c r="S2212" s="95">
        <f>IF((P2212-Q2212)=1,L2212,IF((P2212-Q2212)=-1,-J2212,0))</f>
        <v/>
      </c>
      <c r="T2212" s="95">
        <f>IF((P2212-Q2212)=1,N2212,IF((P2212-Q2212)=-1,-M2212,0))</f>
        <v/>
      </c>
      <c r="U2212" s="101">
        <f>IF(AND(H2212=1,LedAcct&lt;&gt;""),IF(AND(E2212&gt;=LedFrom,E2212&lt;=LedTo,OR(I2212=LedAcct,K2212=LedAcct,AND(LedAcct=acctTax,M2212+N2212&lt;&gt;0))),E2212*10000+B2212,""),"")</f>
        <v/>
      </c>
    </row>
    <row r="2213">
      <c r="B2213" s="101" t="n">
        <v>2207</v>
      </c>
      <c r="C2213" s="58" t="inlineStr">
        <is>
          <t>Invoice</t>
        </is>
      </c>
      <c r="D2213" s="58">
        <f>IF(H2213=1,INDEX(ar_No,207)&amp;"","")</f>
        <v/>
      </c>
      <c r="E2213" s="94">
        <f>IF(H2213=1,INDEX(ar_Date,207),"")</f>
        <v/>
      </c>
      <c r="F2213" s="58">
        <f>IF(H2213=1,INDEX(ar_Desc,207)&amp;"","")</f>
        <v/>
      </c>
      <c r="G2213" s="58">
        <f>IF(H2213=1,INDEX(ar_Party,207)&amp;"","")</f>
        <v/>
      </c>
      <c r="H2213" s="101">
        <f>IFERROR(N(INDEX(ar_Posted,207)),0)</f>
        <v/>
      </c>
      <c r="I2213" s="58">
        <f>IF(H2213=1,INDEX(ar_DrAcct,207)&amp;"","")</f>
        <v/>
      </c>
      <c r="J2213" s="95">
        <f>IF(H2213=1,INDEX(ar_DrAmt,207),0)</f>
        <v/>
      </c>
      <c r="K2213" s="58">
        <f>IF(H2213=1,INDEX(ar_CrAcct,207)&amp;"","")</f>
        <v/>
      </c>
      <c r="L2213" s="95">
        <f>IF(H2213=1,INDEX(ar_CrAmt,207),0)</f>
        <v/>
      </c>
      <c r="M2213" s="95" t="n">
        <v>0</v>
      </c>
      <c r="N2213" s="95">
        <f>IF(H2213=1,INDEX(ar_TaxAmt,207),0)</f>
        <v/>
      </c>
      <c r="O2213" s="101">
        <f>IF(H2213=1,IF(E2213&lt;FYStart,0,IF(E2213&gt;FYEnd,13,YEAR(E2213)*12+MONTH(E2213)-FYYM+1)),"")</f>
        <v/>
      </c>
      <c r="P2213" s="101">
        <f>IF(H2213=1,IF(IFERROR(INDEX(coa_CF,MATCH(I2213,coa_Name,0)),"")="Cash",1,0),0)</f>
        <v/>
      </c>
      <c r="Q2213" s="101">
        <f>IF(H2213=1,IF(IFERROR(INDEX(coa_CF,MATCH(K2213,coa_Name,0)),"")="Cash",1,0),0)</f>
        <v/>
      </c>
      <c r="R2213" s="58">
        <f>IF((P2213-Q2213)=0,"",IFERROR(INDEX(coa_CF,MATCH(IF((P2213-Q2213)=1,K2213,I2213),coa_Name,0)),"Operating"))</f>
        <v/>
      </c>
      <c r="S2213" s="95">
        <f>IF((P2213-Q2213)=1,L2213,IF((P2213-Q2213)=-1,-J2213,0))</f>
        <v/>
      </c>
      <c r="T2213" s="95">
        <f>IF((P2213-Q2213)=1,N2213,IF((P2213-Q2213)=-1,-M2213,0))</f>
        <v/>
      </c>
      <c r="U2213" s="101">
        <f>IF(AND(H2213=1,LedAcct&lt;&gt;""),IF(AND(E2213&gt;=LedFrom,E2213&lt;=LedTo,OR(I2213=LedAcct,K2213=LedAcct,AND(LedAcct=acctTax,M2213+N2213&lt;&gt;0))),E2213*10000+B2213,""),"")</f>
        <v/>
      </c>
    </row>
    <row r="2214">
      <c r="B2214" s="101" t="n">
        <v>2208</v>
      </c>
      <c r="C2214" s="58" t="inlineStr">
        <is>
          <t>Invoice</t>
        </is>
      </c>
      <c r="D2214" s="58">
        <f>IF(H2214=1,INDEX(ar_No,208)&amp;"","")</f>
        <v/>
      </c>
      <c r="E2214" s="94">
        <f>IF(H2214=1,INDEX(ar_Date,208),"")</f>
        <v/>
      </c>
      <c r="F2214" s="58">
        <f>IF(H2214=1,INDEX(ar_Desc,208)&amp;"","")</f>
        <v/>
      </c>
      <c r="G2214" s="58">
        <f>IF(H2214=1,INDEX(ar_Party,208)&amp;"","")</f>
        <v/>
      </c>
      <c r="H2214" s="101">
        <f>IFERROR(N(INDEX(ar_Posted,208)),0)</f>
        <v/>
      </c>
      <c r="I2214" s="58">
        <f>IF(H2214=1,INDEX(ar_DrAcct,208)&amp;"","")</f>
        <v/>
      </c>
      <c r="J2214" s="95">
        <f>IF(H2214=1,INDEX(ar_DrAmt,208),0)</f>
        <v/>
      </c>
      <c r="K2214" s="58">
        <f>IF(H2214=1,INDEX(ar_CrAcct,208)&amp;"","")</f>
        <v/>
      </c>
      <c r="L2214" s="95">
        <f>IF(H2214=1,INDEX(ar_CrAmt,208),0)</f>
        <v/>
      </c>
      <c r="M2214" s="95" t="n">
        <v>0</v>
      </c>
      <c r="N2214" s="95">
        <f>IF(H2214=1,INDEX(ar_TaxAmt,208),0)</f>
        <v/>
      </c>
      <c r="O2214" s="101">
        <f>IF(H2214=1,IF(E2214&lt;FYStart,0,IF(E2214&gt;FYEnd,13,YEAR(E2214)*12+MONTH(E2214)-FYYM+1)),"")</f>
        <v/>
      </c>
      <c r="P2214" s="101">
        <f>IF(H2214=1,IF(IFERROR(INDEX(coa_CF,MATCH(I2214,coa_Name,0)),"")="Cash",1,0),0)</f>
        <v/>
      </c>
      <c r="Q2214" s="101">
        <f>IF(H2214=1,IF(IFERROR(INDEX(coa_CF,MATCH(K2214,coa_Name,0)),"")="Cash",1,0),0)</f>
        <v/>
      </c>
      <c r="R2214" s="58">
        <f>IF((P2214-Q2214)=0,"",IFERROR(INDEX(coa_CF,MATCH(IF((P2214-Q2214)=1,K2214,I2214),coa_Name,0)),"Operating"))</f>
        <v/>
      </c>
      <c r="S2214" s="95">
        <f>IF((P2214-Q2214)=1,L2214,IF((P2214-Q2214)=-1,-J2214,0))</f>
        <v/>
      </c>
      <c r="T2214" s="95">
        <f>IF((P2214-Q2214)=1,N2214,IF((P2214-Q2214)=-1,-M2214,0))</f>
        <v/>
      </c>
      <c r="U2214" s="101">
        <f>IF(AND(H2214=1,LedAcct&lt;&gt;""),IF(AND(E2214&gt;=LedFrom,E2214&lt;=LedTo,OR(I2214=LedAcct,K2214=LedAcct,AND(LedAcct=acctTax,M2214+N2214&lt;&gt;0))),E2214*10000+B2214,""),"")</f>
        <v/>
      </c>
    </row>
    <row r="2215">
      <c r="B2215" s="101" t="n">
        <v>2209</v>
      </c>
      <c r="C2215" s="58" t="inlineStr">
        <is>
          <t>Invoice</t>
        </is>
      </c>
      <c r="D2215" s="58">
        <f>IF(H2215=1,INDEX(ar_No,209)&amp;"","")</f>
        <v/>
      </c>
      <c r="E2215" s="94">
        <f>IF(H2215=1,INDEX(ar_Date,209),"")</f>
        <v/>
      </c>
      <c r="F2215" s="58">
        <f>IF(H2215=1,INDEX(ar_Desc,209)&amp;"","")</f>
        <v/>
      </c>
      <c r="G2215" s="58">
        <f>IF(H2215=1,INDEX(ar_Party,209)&amp;"","")</f>
        <v/>
      </c>
      <c r="H2215" s="101">
        <f>IFERROR(N(INDEX(ar_Posted,209)),0)</f>
        <v/>
      </c>
      <c r="I2215" s="58">
        <f>IF(H2215=1,INDEX(ar_DrAcct,209)&amp;"","")</f>
        <v/>
      </c>
      <c r="J2215" s="95">
        <f>IF(H2215=1,INDEX(ar_DrAmt,209),0)</f>
        <v/>
      </c>
      <c r="K2215" s="58">
        <f>IF(H2215=1,INDEX(ar_CrAcct,209)&amp;"","")</f>
        <v/>
      </c>
      <c r="L2215" s="95">
        <f>IF(H2215=1,INDEX(ar_CrAmt,209),0)</f>
        <v/>
      </c>
      <c r="M2215" s="95" t="n">
        <v>0</v>
      </c>
      <c r="N2215" s="95">
        <f>IF(H2215=1,INDEX(ar_TaxAmt,209),0)</f>
        <v/>
      </c>
      <c r="O2215" s="101">
        <f>IF(H2215=1,IF(E2215&lt;FYStart,0,IF(E2215&gt;FYEnd,13,YEAR(E2215)*12+MONTH(E2215)-FYYM+1)),"")</f>
        <v/>
      </c>
      <c r="P2215" s="101">
        <f>IF(H2215=1,IF(IFERROR(INDEX(coa_CF,MATCH(I2215,coa_Name,0)),"")="Cash",1,0),0)</f>
        <v/>
      </c>
      <c r="Q2215" s="101">
        <f>IF(H2215=1,IF(IFERROR(INDEX(coa_CF,MATCH(K2215,coa_Name,0)),"")="Cash",1,0),0)</f>
        <v/>
      </c>
      <c r="R2215" s="58">
        <f>IF((P2215-Q2215)=0,"",IFERROR(INDEX(coa_CF,MATCH(IF((P2215-Q2215)=1,K2215,I2215),coa_Name,0)),"Operating"))</f>
        <v/>
      </c>
      <c r="S2215" s="95">
        <f>IF((P2215-Q2215)=1,L2215,IF((P2215-Q2215)=-1,-J2215,0))</f>
        <v/>
      </c>
      <c r="T2215" s="95">
        <f>IF((P2215-Q2215)=1,N2215,IF((P2215-Q2215)=-1,-M2215,0))</f>
        <v/>
      </c>
      <c r="U2215" s="101">
        <f>IF(AND(H2215=1,LedAcct&lt;&gt;""),IF(AND(E2215&gt;=LedFrom,E2215&lt;=LedTo,OR(I2215=LedAcct,K2215=LedAcct,AND(LedAcct=acctTax,M2215+N2215&lt;&gt;0))),E2215*10000+B2215,""),"")</f>
        <v/>
      </c>
    </row>
    <row r="2216">
      <c r="B2216" s="101" t="n">
        <v>2210</v>
      </c>
      <c r="C2216" s="58" t="inlineStr">
        <is>
          <t>Invoice</t>
        </is>
      </c>
      <c r="D2216" s="58">
        <f>IF(H2216=1,INDEX(ar_No,210)&amp;"","")</f>
        <v/>
      </c>
      <c r="E2216" s="94">
        <f>IF(H2216=1,INDEX(ar_Date,210),"")</f>
        <v/>
      </c>
      <c r="F2216" s="58">
        <f>IF(H2216=1,INDEX(ar_Desc,210)&amp;"","")</f>
        <v/>
      </c>
      <c r="G2216" s="58">
        <f>IF(H2216=1,INDEX(ar_Party,210)&amp;"","")</f>
        <v/>
      </c>
      <c r="H2216" s="101">
        <f>IFERROR(N(INDEX(ar_Posted,210)),0)</f>
        <v/>
      </c>
      <c r="I2216" s="58">
        <f>IF(H2216=1,INDEX(ar_DrAcct,210)&amp;"","")</f>
        <v/>
      </c>
      <c r="J2216" s="95">
        <f>IF(H2216=1,INDEX(ar_DrAmt,210),0)</f>
        <v/>
      </c>
      <c r="K2216" s="58">
        <f>IF(H2216=1,INDEX(ar_CrAcct,210)&amp;"","")</f>
        <v/>
      </c>
      <c r="L2216" s="95">
        <f>IF(H2216=1,INDEX(ar_CrAmt,210),0)</f>
        <v/>
      </c>
      <c r="M2216" s="95" t="n">
        <v>0</v>
      </c>
      <c r="N2216" s="95">
        <f>IF(H2216=1,INDEX(ar_TaxAmt,210),0)</f>
        <v/>
      </c>
      <c r="O2216" s="101">
        <f>IF(H2216=1,IF(E2216&lt;FYStart,0,IF(E2216&gt;FYEnd,13,YEAR(E2216)*12+MONTH(E2216)-FYYM+1)),"")</f>
        <v/>
      </c>
      <c r="P2216" s="101">
        <f>IF(H2216=1,IF(IFERROR(INDEX(coa_CF,MATCH(I2216,coa_Name,0)),"")="Cash",1,0),0)</f>
        <v/>
      </c>
      <c r="Q2216" s="101">
        <f>IF(H2216=1,IF(IFERROR(INDEX(coa_CF,MATCH(K2216,coa_Name,0)),"")="Cash",1,0),0)</f>
        <v/>
      </c>
      <c r="R2216" s="58">
        <f>IF((P2216-Q2216)=0,"",IFERROR(INDEX(coa_CF,MATCH(IF((P2216-Q2216)=1,K2216,I2216),coa_Name,0)),"Operating"))</f>
        <v/>
      </c>
      <c r="S2216" s="95">
        <f>IF((P2216-Q2216)=1,L2216,IF((P2216-Q2216)=-1,-J2216,0))</f>
        <v/>
      </c>
      <c r="T2216" s="95">
        <f>IF((P2216-Q2216)=1,N2216,IF((P2216-Q2216)=-1,-M2216,0))</f>
        <v/>
      </c>
      <c r="U2216" s="101">
        <f>IF(AND(H2216=1,LedAcct&lt;&gt;""),IF(AND(E2216&gt;=LedFrom,E2216&lt;=LedTo,OR(I2216=LedAcct,K2216=LedAcct,AND(LedAcct=acctTax,M2216+N2216&lt;&gt;0))),E2216*10000+B2216,""),"")</f>
        <v/>
      </c>
    </row>
    <row r="2217">
      <c r="B2217" s="101" t="n">
        <v>2211</v>
      </c>
      <c r="C2217" s="58" t="inlineStr">
        <is>
          <t>Invoice</t>
        </is>
      </c>
      <c r="D2217" s="58">
        <f>IF(H2217=1,INDEX(ar_No,211)&amp;"","")</f>
        <v/>
      </c>
      <c r="E2217" s="94">
        <f>IF(H2217=1,INDEX(ar_Date,211),"")</f>
        <v/>
      </c>
      <c r="F2217" s="58">
        <f>IF(H2217=1,INDEX(ar_Desc,211)&amp;"","")</f>
        <v/>
      </c>
      <c r="G2217" s="58">
        <f>IF(H2217=1,INDEX(ar_Party,211)&amp;"","")</f>
        <v/>
      </c>
      <c r="H2217" s="101">
        <f>IFERROR(N(INDEX(ar_Posted,211)),0)</f>
        <v/>
      </c>
      <c r="I2217" s="58">
        <f>IF(H2217=1,INDEX(ar_DrAcct,211)&amp;"","")</f>
        <v/>
      </c>
      <c r="J2217" s="95">
        <f>IF(H2217=1,INDEX(ar_DrAmt,211),0)</f>
        <v/>
      </c>
      <c r="K2217" s="58">
        <f>IF(H2217=1,INDEX(ar_CrAcct,211)&amp;"","")</f>
        <v/>
      </c>
      <c r="L2217" s="95">
        <f>IF(H2217=1,INDEX(ar_CrAmt,211),0)</f>
        <v/>
      </c>
      <c r="M2217" s="95" t="n">
        <v>0</v>
      </c>
      <c r="N2217" s="95">
        <f>IF(H2217=1,INDEX(ar_TaxAmt,211),0)</f>
        <v/>
      </c>
      <c r="O2217" s="101">
        <f>IF(H2217=1,IF(E2217&lt;FYStart,0,IF(E2217&gt;FYEnd,13,YEAR(E2217)*12+MONTH(E2217)-FYYM+1)),"")</f>
        <v/>
      </c>
      <c r="P2217" s="101">
        <f>IF(H2217=1,IF(IFERROR(INDEX(coa_CF,MATCH(I2217,coa_Name,0)),"")="Cash",1,0),0)</f>
        <v/>
      </c>
      <c r="Q2217" s="101">
        <f>IF(H2217=1,IF(IFERROR(INDEX(coa_CF,MATCH(K2217,coa_Name,0)),"")="Cash",1,0),0)</f>
        <v/>
      </c>
      <c r="R2217" s="58">
        <f>IF((P2217-Q2217)=0,"",IFERROR(INDEX(coa_CF,MATCH(IF((P2217-Q2217)=1,K2217,I2217),coa_Name,0)),"Operating"))</f>
        <v/>
      </c>
      <c r="S2217" s="95">
        <f>IF((P2217-Q2217)=1,L2217,IF((P2217-Q2217)=-1,-J2217,0))</f>
        <v/>
      </c>
      <c r="T2217" s="95">
        <f>IF((P2217-Q2217)=1,N2217,IF((P2217-Q2217)=-1,-M2217,0))</f>
        <v/>
      </c>
      <c r="U2217" s="101">
        <f>IF(AND(H2217=1,LedAcct&lt;&gt;""),IF(AND(E2217&gt;=LedFrom,E2217&lt;=LedTo,OR(I2217=LedAcct,K2217=LedAcct,AND(LedAcct=acctTax,M2217+N2217&lt;&gt;0))),E2217*10000+B2217,""),"")</f>
        <v/>
      </c>
    </row>
    <row r="2218">
      <c r="B2218" s="101" t="n">
        <v>2212</v>
      </c>
      <c r="C2218" s="58" t="inlineStr">
        <is>
          <t>Invoice</t>
        </is>
      </c>
      <c r="D2218" s="58">
        <f>IF(H2218=1,INDEX(ar_No,212)&amp;"","")</f>
        <v/>
      </c>
      <c r="E2218" s="94">
        <f>IF(H2218=1,INDEX(ar_Date,212),"")</f>
        <v/>
      </c>
      <c r="F2218" s="58">
        <f>IF(H2218=1,INDEX(ar_Desc,212)&amp;"","")</f>
        <v/>
      </c>
      <c r="G2218" s="58">
        <f>IF(H2218=1,INDEX(ar_Party,212)&amp;"","")</f>
        <v/>
      </c>
      <c r="H2218" s="101">
        <f>IFERROR(N(INDEX(ar_Posted,212)),0)</f>
        <v/>
      </c>
      <c r="I2218" s="58">
        <f>IF(H2218=1,INDEX(ar_DrAcct,212)&amp;"","")</f>
        <v/>
      </c>
      <c r="J2218" s="95">
        <f>IF(H2218=1,INDEX(ar_DrAmt,212),0)</f>
        <v/>
      </c>
      <c r="K2218" s="58">
        <f>IF(H2218=1,INDEX(ar_CrAcct,212)&amp;"","")</f>
        <v/>
      </c>
      <c r="L2218" s="95">
        <f>IF(H2218=1,INDEX(ar_CrAmt,212),0)</f>
        <v/>
      </c>
      <c r="M2218" s="95" t="n">
        <v>0</v>
      </c>
      <c r="N2218" s="95">
        <f>IF(H2218=1,INDEX(ar_TaxAmt,212),0)</f>
        <v/>
      </c>
      <c r="O2218" s="101">
        <f>IF(H2218=1,IF(E2218&lt;FYStart,0,IF(E2218&gt;FYEnd,13,YEAR(E2218)*12+MONTH(E2218)-FYYM+1)),"")</f>
        <v/>
      </c>
      <c r="P2218" s="101">
        <f>IF(H2218=1,IF(IFERROR(INDEX(coa_CF,MATCH(I2218,coa_Name,0)),"")="Cash",1,0),0)</f>
        <v/>
      </c>
      <c r="Q2218" s="101">
        <f>IF(H2218=1,IF(IFERROR(INDEX(coa_CF,MATCH(K2218,coa_Name,0)),"")="Cash",1,0),0)</f>
        <v/>
      </c>
      <c r="R2218" s="58">
        <f>IF((P2218-Q2218)=0,"",IFERROR(INDEX(coa_CF,MATCH(IF((P2218-Q2218)=1,K2218,I2218),coa_Name,0)),"Operating"))</f>
        <v/>
      </c>
      <c r="S2218" s="95">
        <f>IF((P2218-Q2218)=1,L2218,IF((P2218-Q2218)=-1,-J2218,0))</f>
        <v/>
      </c>
      <c r="T2218" s="95">
        <f>IF((P2218-Q2218)=1,N2218,IF((P2218-Q2218)=-1,-M2218,0))</f>
        <v/>
      </c>
      <c r="U2218" s="101">
        <f>IF(AND(H2218=1,LedAcct&lt;&gt;""),IF(AND(E2218&gt;=LedFrom,E2218&lt;=LedTo,OR(I2218=LedAcct,K2218=LedAcct,AND(LedAcct=acctTax,M2218+N2218&lt;&gt;0))),E2218*10000+B2218,""),"")</f>
        <v/>
      </c>
    </row>
    <row r="2219">
      <c r="B2219" s="101" t="n">
        <v>2213</v>
      </c>
      <c r="C2219" s="58" t="inlineStr">
        <is>
          <t>Invoice</t>
        </is>
      </c>
      <c r="D2219" s="58">
        <f>IF(H2219=1,INDEX(ar_No,213)&amp;"","")</f>
        <v/>
      </c>
      <c r="E2219" s="94">
        <f>IF(H2219=1,INDEX(ar_Date,213),"")</f>
        <v/>
      </c>
      <c r="F2219" s="58">
        <f>IF(H2219=1,INDEX(ar_Desc,213)&amp;"","")</f>
        <v/>
      </c>
      <c r="G2219" s="58">
        <f>IF(H2219=1,INDEX(ar_Party,213)&amp;"","")</f>
        <v/>
      </c>
      <c r="H2219" s="101">
        <f>IFERROR(N(INDEX(ar_Posted,213)),0)</f>
        <v/>
      </c>
      <c r="I2219" s="58">
        <f>IF(H2219=1,INDEX(ar_DrAcct,213)&amp;"","")</f>
        <v/>
      </c>
      <c r="J2219" s="95">
        <f>IF(H2219=1,INDEX(ar_DrAmt,213),0)</f>
        <v/>
      </c>
      <c r="K2219" s="58">
        <f>IF(H2219=1,INDEX(ar_CrAcct,213)&amp;"","")</f>
        <v/>
      </c>
      <c r="L2219" s="95">
        <f>IF(H2219=1,INDEX(ar_CrAmt,213),0)</f>
        <v/>
      </c>
      <c r="M2219" s="95" t="n">
        <v>0</v>
      </c>
      <c r="N2219" s="95">
        <f>IF(H2219=1,INDEX(ar_TaxAmt,213),0)</f>
        <v/>
      </c>
      <c r="O2219" s="101">
        <f>IF(H2219=1,IF(E2219&lt;FYStart,0,IF(E2219&gt;FYEnd,13,YEAR(E2219)*12+MONTH(E2219)-FYYM+1)),"")</f>
        <v/>
      </c>
      <c r="P2219" s="101">
        <f>IF(H2219=1,IF(IFERROR(INDEX(coa_CF,MATCH(I2219,coa_Name,0)),"")="Cash",1,0),0)</f>
        <v/>
      </c>
      <c r="Q2219" s="101">
        <f>IF(H2219=1,IF(IFERROR(INDEX(coa_CF,MATCH(K2219,coa_Name,0)),"")="Cash",1,0),0)</f>
        <v/>
      </c>
      <c r="R2219" s="58">
        <f>IF((P2219-Q2219)=0,"",IFERROR(INDEX(coa_CF,MATCH(IF((P2219-Q2219)=1,K2219,I2219),coa_Name,0)),"Operating"))</f>
        <v/>
      </c>
      <c r="S2219" s="95">
        <f>IF((P2219-Q2219)=1,L2219,IF((P2219-Q2219)=-1,-J2219,0))</f>
        <v/>
      </c>
      <c r="T2219" s="95">
        <f>IF((P2219-Q2219)=1,N2219,IF((P2219-Q2219)=-1,-M2219,0))</f>
        <v/>
      </c>
      <c r="U2219" s="101">
        <f>IF(AND(H2219=1,LedAcct&lt;&gt;""),IF(AND(E2219&gt;=LedFrom,E2219&lt;=LedTo,OR(I2219=LedAcct,K2219=LedAcct,AND(LedAcct=acctTax,M2219+N2219&lt;&gt;0))),E2219*10000+B2219,""),"")</f>
        <v/>
      </c>
    </row>
    <row r="2220">
      <c r="B2220" s="101" t="n">
        <v>2214</v>
      </c>
      <c r="C2220" s="58" t="inlineStr">
        <is>
          <t>Invoice</t>
        </is>
      </c>
      <c r="D2220" s="58">
        <f>IF(H2220=1,INDEX(ar_No,214)&amp;"","")</f>
        <v/>
      </c>
      <c r="E2220" s="94">
        <f>IF(H2220=1,INDEX(ar_Date,214),"")</f>
        <v/>
      </c>
      <c r="F2220" s="58">
        <f>IF(H2220=1,INDEX(ar_Desc,214)&amp;"","")</f>
        <v/>
      </c>
      <c r="G2220" s="58">
        <f>IF(H2220=1,INDEX(ar_Party,214)&amp;"","")</f>
        <v/>
      </c>
      <c r="H2220" s="101">
        <f>IFERROR(N(INDEX(ar_Posted,214)),0)</f>
        <v/>
      </c>
      <c r="I2220" s="58">
        <f>IF(H2220=1,INDEX(ar_DrAcct,214)&amp;"","")</f>
        <v/>
      </c>
      <c r="J2220" s="95">
        <f>IF(H2220=1,INDEX(ar_DrAmt,214),0)</f>
        <v/>
      </c>
      <c r="K2220" s="58">
        <f>IF(H2220=1,INDEX(ar_CrAcct,214)&amp;"","")</f>
        <v/>
      </c>
      <c r="L2220" s="95">
        <f>IF(H2220=1,INDEX(ar_CrAmt,214),0)</f>
        <v/>
      </c>
      <c r="M2220" s="95" t="n">
        <v>0</v>
      </c>
      <c r="N2220" s="95">
        <f>IF(H2220=1,INDEX(ar_TaxAmt,214),0)</f>
        <v/>
      </c>
      <c r="O2220" s="101">
        <f>IF(H2220=1,IF(E2220&lt;FYStart,0,IF(E2220&gt;FYEnd,13,YEAR(E2220)*12+MONTH(E2220)-FYYM+1)),"")</f>
        <v/>
      </c>
      <c r="P2220" s="101">
        <f>IF(H2220=1,IF(IFERROR(INDEX(coa_CF,MATCH(I2220,coa_Name,0)),"")="Cash",1,0),0)</f>
        <v/>
      </c>
      <c r="Q2220" s="101">
        <f>IF(H2220=1,IF(IFERROR(INDEX(coa_CF,MATCH(K2220,coa_Name,0)),"")="Cash",1,0),0)</f>
        <v/>
      </c>
      <c r="R2220" s="58">
        <f>IF((P2220-Q2220)=0,"",IFERROR(INDEX(coa_CF,MATCH(IF((P2220-Q2220)=1,K2220,I2220),coa_Name,0)),"Operating"))</f>
        <v/>
      </c>
      <c r="S2220" s="95">
        <f>IF((P2220-Q2220)=1,L2220,IF((P2220-Q2220)=-1,-J2220,0))</f>
        <v/>
      </c>
      <c r="T2220" s="95">
        <f>IF((P2220-Q2220)=1,N2220,IF((P2220-Q2220)=-1,-M2220,0))</f>
        <v/>
      </c>
      <c r="U2220" s="101">
        <f>IF(AND(H2220=1,LedAcct&lt;&gt;""),IF(AND(E2220&gt;=LedFrom,E2220&lt;=LedTo,OR(I2220=LedAcct,K2220=LedAcct,AND(LedAcct=acctTax,M2220+N2220&lt;&gt;0))),E2220*10000+B2220,""),"")</f>
        <v/>
      </c>
    </row>
    <row r="2221">
      <c r="B2221" s="101" t="n">
        <v>2215</v>
      </c>
      <c r="C2221" s="58" t="inlineStr">
        <is>
          <t>Invoice</t>
        </is>
      </c>
      <c r="D2221" s="58">
        <f>IF(H2221=1,INDEX(ar_No,215)&amp;"","")</f>
        <v/>
      </c>
      <c r="E2221" s="94">
        <f>IF(H2221=1,INDEX(ar_Date,215),"")</f>
        <v/>
      </c>
      <c r="F2221" s="58">
        <f>IF(H2221=1,INDEX(ar_Desc,215)&amp;"","")</f>
        <v/>
      </c>
      <c r="G2221" s="58">
        <f>IF(H2221=1,INDEX(ar_Party,215)&amp;"","")</f>
        <v/>
      </c>
      <c r="H2221" s="101">
        <f>IFERROR(N(INDEX(ar_Posted,215)),0)</f>
        <v/>
      </c>
      <c r="I2221" s="58">
        <f>IF(H2221=1,INDEX(ar_DrAcct,215)&amp;"","")</f>
        <v/>
      </c>
      <c r="J2221" s="95">
        <f>IF(H2221=1,INDEX(ar_DrAmt,215),0)</f>
        <v/>
      </c>
      <c r="K2221" s="58">
        <f>IF(H2221=1,INDEX(ar_CrAcct,215)&amp;"","")</f>
        <v/>
      </c>
      <c r="L2221" s="95">
        <f>IF(H2221=1,INDEX(ar_CrAmt,215),0)</f>
        <v/>
      </c>
      <c r="M2221" s="95" t="n">
        <v>0</v>
      </c>
      <c r="N2221" s="95">
        <f>IF(H2221=1,INDEX(ar_TaxAmt,215),0)</f>
        <v/>
      </c>
      <c r="O2221" s="101">
        <f>IF(H2221=1,IF(E2221&lt;FYStart,0,IF(E2221&gt;FYEnd,13,YEAR(E2221)*12+MONTH(E2221)-FYYM+1)),"")</f>
        <v/>
      </c>
      <c r="P2221" s="101">
        <f>IF(H2221=1,IF(IFERROR(INDEX(coa_CF,MATCH(I2221,coa_Name,0)),"")="Cash",1,0),0)</f>
        <v/>
      </c>
      <c r="Q2221" s="101">
        <f>IF(H2221=1,IF(IFERROR(INDEX(coa_CF,MATCH(K2221,coa_Name,0)),"")="Cash",1,0),0)</f>
        <v/>
      </c>
      <c r="R2221" s="58">
        <f>IF((P2221-Q2221)=0,"",IFERROR(INDEX(coa_CF,MATCH(IF((P2221-Q2221)=1,K2221,I2221),coa_Name,0)),"Operating"))</f>
        <v/>
      </c>
      <c r="S2221" s="95">
        <f>IF((P2221-Q2221)=1,L2221,IF((P2221-Q2221)=-1,-J2221,0))</f>
        <v/>
      </c>
      <c r="T2221" s="95">
        <f>IF((P2221-Q2221)=1,N2221,IF((P2221-Q2221)=-1,-M2221,0))</f>
        <v/>
      </c>
      <c r="U2221" s="101">
        <f>IF(AND(H2221=1,LedAcct&lt;&gt;""),IF(AND(E2221&gt;=LedFrom,E2221&lt;=LedTo,OR(I2221=LedAcct,K2221=LedAcct,AND(LedAcct=acctTax,M2221+N2221&lt;&gt;0))),E2221*10000+B2221,""),"")</f>
        <v/>
      </c>
    </row>
    <row r="2222">
      <c r="B2222" s="101" t="n">
        <v>2216</v>
      </c>
      <c r="C2222" s="58" t="inlineStr">
        <is>
          <t>Invoice</t>
        </is>
      </c>
      <c r="D2222" s="58">
        <f>IF(H2222=1,INDEX(ar_No,216)&amp;"","")</f>
        <v/>
      </c>
      <c r="E2222" s="94">
        <f>IF(H2222=1,INDEX(ar_Date,216),"")</f>
        <v/>
      </c>
      <c r="F2222" s="58">
        <f>IF(H2222=1,INDEX(ar_Desc,216)&amp;"","")</f>
        <v/>
      </c>
      <c r="G2222" s="58">
        <f>IF(H2222=1,INDEX(ar_Party,216)&amp;"","")</f>
        <v/>
      </c>
      <c r="H2222" s="101">
        <f>IFERROR(N(INDEX(ar_Posted,216)),0)</f>
        <v/>
      </c>
      <c r="I2222" s="58">
        <f>IF(H2222=1,INDEX(ar_DrAcct,216)&amp;"","")</f>
        <v/>
      </c>
      <c r="J2222" s="95">
        <f>IF(H2222=1,INDEX(ar_DrAmt,216),0)</f>
        <v/>
      </c>
      <c r="K2222" s="58">
        <f>IF(H2222=1,INDEX(ar_CrAcct,216)&amp;"","")</f>
        <v/>
      </c>
      <c r="L2222" s="95">
        <f>IF(H2222=1,INDEX(ar_CrAmt,216),0)</f>
        <v/>
      </c>
      <c r="M2222" s="95" t="n">
        <v>0</v>
      </c>
      <c r="N2222" s="95">
        <f>IF(H2222=1,INDEX(ar_TaxAmt,216),0)</f>
        <v/>
      </c>
      <c r="O2222" s="101">
        <f>IF(H2222=1,IF(E2222&lt;FYStart,0,IF(E2222&gt;FYEnd,13,YEAR(E2222)*12+MONTH(E2222)-FYYM+1)),"")</f>
        <v/>
      </c>
      <c r="P2222" s="101">
        <f>IF(H2222=1,IF(IFERROR(INDEX(coa_CF,MATCH(I2222,coa_Name,0)),"")="Cash",1,0),0)</f>
        <v/>
      </c>
      <c r="Q2222" s="101">
        <f>IF(H2222=1,IF(IFERROR(INDEX(coa_CF,MATCH(K2222,coa_Name,0)),"")="Cash",1,0),0)</f>
        <v/>
      </c>
      <c r="R2222" s="58">
        <f>IF((P2222-Q2222)=0,"",IFERROR(INDEX(coa_CF,MATCH(IF((P2222-Q2222)=1,K2222,I2222),coa_Name,0)),"Operating"))</f>
        <v/>
      </c>
      <c r="S2222" s="95">
        <f>IF((P2222-Q2222)=1,L2222,IF((P2222-Q2222)=-1,-J2222,0))</f>
        <v/>
      </c>
      <c r="T2222" s="95">
        <f>IF((P2222-Q2222)=1,N2222,IF((P2222-Q2222)=-1,-M2222,0))</f>
        <v/>
      </c>
      <c r="U2222" s="101">
        <f>IF(AND(H2222=1,LedAcct&lt;&gt;""),IF(AND(E2222&gt;=LedFrom,E2222&lt;=LedTo,OR(I2222=LedAcct,K2222=LedAcct,AND(LedAcct=acctTax,M2222+N2222&lt;&gt;0))),E2222*10000+B2222,""),"")</f>
        <v/>
      </c>
    </row>
    <row r="2223">
      <c r="B2223" s="101" t="n">
        <v>2217</v>
      </c>
      <c r="C2223" s="58" t="inlineStr">
        <is>
          <t>Invoice</t>
        </is>
      </c>
      <c r="D2223" s="58">
        <f>IF(H2223=1,INDEX(ar_No,217)&amp;"","")</f>
        <v/>
      </c>
      <c r="E2223" s="94">
        <f>IF(H2223=1,INDEX(ar_Date,217),"")</f>
        <v/>
      </c>
      <c r="F2223" s="58">
        <f>IF(H2223=1,INDEX(ar_Desc,217)&amp;"","")</f>
        <v/>
      </c>
      <c r="G2223" s="58">
        <f>IF(H2223=1,INDEX(ar_Party,217)&amp;"","")</f>
        <v/>
      </c>
      <c r="H2223" s="101">
        <f>IFERROR(N(INDEX(ar_Posted,217)),0)</f>
        <v/>
      </c>
      <c r="I2223" s="58">
        <f>IF(H2223=1,INDEX(ar_DrAcct,217)&amp;"","")</f>
        <v/>
      </c>
      <c r="J2223" s="95">
        <f>IF(H2223=1,INDEX(ar_DrAmt,217),0)</f>
        <v/>
      </c>
      <c r="K2223" s="58">
        <f>IF(H2223=1,INDEX(ar_CrAcct,217)&amp;"","")</f>
        <v/>
      </c>
      <c r="L2223" s="95">
        <f>IF(H2223=1,INDEX(ar_CrAmt,217),0)</f>
        <v/>
      </c>
      <c r="M2223" s="95" t="n">
        <v>0</v>
      </c>
      <c r="N2223" s="95">
        <f>IF(H2223=1,INDEX(ar_TaxAmt,217),0)</f>
        <v/>
      </c>
      <c r="O2223" s="101">
        <f>IF(H2223=1,IF(E2223&lt;FYStart,0,IF(E2223&gt;FYEnd,13,YEAR(E2223)*12+MONTH(E2223)-FYYM+1)),"")</f>
        <v/>
      </c>
      <c r="P2223" s="101">
        <f>IF(H2223=1,IF(IFERROR(INDEX(coa_CF,MATCH(I2223,coa_Name,0)),"")="Cash",1,0),0)</f>
        <v/>
      </c>
      <c r="Q2223" s="101">
        <f>IF(H2223=1,IF(IFERROR(INDEX(coa_CF,MATCH(K2223,coa_Name,0)),"")="Cash",1,0),0)</f>
        <v/>
      </c>
      <c r="R2223" s="58">
        <f>IF((P2223-Q2223)=0,"",IFERROR(INDEX(coa_CF,MATCH(IF((P2223-Q2223)=1,K2223,I2223),coa_Name,0)),"Operating"))</f>
        <v/>
      </c>
      <c r="S2223" s="95">
        <f>IF((P2223-Q2223)=1,L2223,IF((P2223-Q2223)=-1,-J2223,0))</f>
        <v/>
      </c>
      <c r="T2223" s="95">
        <f>IF((P2223-Q2223)=1,N2223,IF((P2223-Q2223)=-1,-M2223,0))</f>
        <v/>
      </c>
      <c r="U2223" s="101">
        <f>IF(AND(H2223=1,LedAcct&lt;&gt;""),IF(AND(E2223&gt;=LedFrom,E2223&lt;=LedTo,OR(I2223=LedAcct,K2223=LedAcct,AND(LedAcct=acctTax,M2223+N2223&lt;&gt;0))),E2223*10000+B2223,""),"")</f>
        <v/>
      </c>
    </row>
    <row r="2224">
      <c r="B2224" s="101" t="n">
        <v>2218</v>
      </c>
      <c r="C2224" s="58" t="inlineStr">
        <is>
          <t>Invoice</t>
        </is>
      </c>
      <c r="D2224" s="58">
        <f>IF(H2224=1,INDEX(ar_No,218)&amp;"","")</f>
        <v/>
      </c>
      <c r="E2224" s="94">
        <f>IF(H2224=1,INDEX(ar_Date,218),"")</f>
        <v/>
      </c>
      <c r="F2224" s="58">
        <f>IF(H2224=1,INDEX(ar_Desc,218)&amp;"","")</f>
        <v/>
      </c>
      <c r="G2224" s="58">
        <f>IF(H2224=1,INDEX(ar_Party,218)&amp;"","")</f>
        <v/>
      </c>
      <c r="H2224" s="101">
        <f>IFERROR(N(INDEX(ar_Posted,218)),0)</f>
        <v/>
      </c>
      <c r="I2224" s="58">
        <f>IF(H2224=1,INDEX(ar_DrAcct,218)&amp;"","")</f>
        <v/>
      </c>
      <c r="J2224" s="95">
        <f>IF(H2224=1,INDEX(ar_DrAmt,218),0)</f>
        <v/>
      </c>
      <c r="K2224" s="58">
        <f>IF(H2224=1,INDEX(ar_CrAcct,218)&amp;"","")</f>
        <v/>
      </c>
      <c r="L2224" s="95">
        <f>IF(H2224=1,INDEX(ar_CrAmt,218),0)</f>
        <v/>
      </c>
      <c r="M2224" s="95" t="n">
        <v>0</v>
      </c>
      <c r="N2224" s="95">
        <f>IF(H2224=1,INDEX(ar_TaxAmt,218),0)</f>
        <v/>
      </c>
      <c r="O2224" s="101">
        <f>IF(H2224=1,IF(E2224&lt;FYStart,0,IF(E2224&gt;FYEnd,13,YEAR(E2224)*12+MONTH(E2224)-FYYM+1)),"")</f>
        <v/>
      </c>
      <c r="P2224" s="101">
        <f>IF(H2224=1,IF(IFERROR(INDEX(coa_CF,MATCH(I2224,coa_Name,0)),"")="Cash",1,0),0)</f>
        <v/>
      </c>
      <c r="Q2224" s="101">
        <f>IF(H2224=1,IF(IFERROR(INDEX(coa_CF,MATCH(K2224,coa_Name,0)),"")="Cash",1,0),0)</f>
        <v/>
      </c>
      <c r="R2224" s="58">
        <f>IF((P2224-Q2224)=0,"",IFERROR(INDEX(coa_CF,MATCH(IF((P2224-Q2224)=1,K2224,I2224),coa_Name,0)),"Operating"))</f>
        <v/>
      </c>
      <c r="S2224" s="95">
        <f>IF((P2224-Q2224)=1,L2224,IF((P2224-Q2224)=-1,-J2224,0))</f>
        <v/>
      </c>
      <c r="T2224" s="95">
        <f>IF((P2224-Q2224)=1,N2224,IF((P2224-Q2224)=-1,-M2224,0))</f>
        <v/>
      </c>
      <c r="U2224" s="101">
        <f>IF(AND(H2224=1,LedAcct&lt;&gt;""),IF(AND(E2224&gt;=LedFrom,E2224&lt;=LedTo,OR(I2224=LedAcct,K2224=LedAcct,AND(LedAcct=acctTax,M2224+N2224&lt;&gt;0))),E2224*10000+B2224,""),"")</f>
        <v/>
      </c>
    </row>
    <row r="2225">
      <c r="B2225" s="101" t="n">
        <v>2219</v>
      </c>
      <c r="C2225" s="58" t="inlineStr">
        <is>
          <t>Invoice</t>
        </is>
      </c>
      <c r="D2225" s="58">
        <f>IF(H2225=1,INDEX(ar_No,219)&amp;"","")</f>
        <v/>
      </c>
      <c r="E2225" s="94">
        <f>IF(H2225=1,INDEX(ar_Date,219),"")</f>
        <v/>
      </c>
      <c r="F2225" s="58">
        <f>IF(H2225=1,INDEX(ar_Desc,219)&amp;"","")</f>
        <v/>
      </c>
      <c r="G2225" s="58">
        <f>IF(H2225=1,INDEX(ar_Party,219)&amp;"","")</f>
        <v/>
      </c>
      <c r="H2225" s="101">
        <f>IFERROR(N(INDEX(ar_Posted,219)),0)</f>
        <v/>
      </c>
      <c r="I2225" s="58">
        <f>IF(H2225=1,INDEX(ar_DrAcct,219)&amp;"","")</f>
        <v/>
      </c>
      <c r="J2225" s="95">
        <f>IF(H2225=1,INDEX(ar_DrAmt,219),0)</f>
        <v/>
      </c>
      <c r="K2225" s="58">
        <f>IF(H2225=1,INDEX(ar_CrAcct,219)&amp;"","")</f>
        <v/>
      </c>
      <c r="L2225" s="95">
        <f>IF(H2225=1,INDEX(ar_CrAmt,219),0)</f>
        <v/>
      </c>
      <c r="M2225" s="95" t="n">
        <v>0</v>
      </c>
      <c r="N2225" s="95">
        <f>IF(H2225=1,INDEX(ar_TaxAmt,219),0)</f>
        <v/>
      </c>
      <c r="O2225" s="101">
        <f>IF(H2225=1,IF(E2225&lt;FYStart,0,IF(E2225&gt;FYEnd,13,YEAR(E2225)*12+MONTH(E2225)-FYYM+1)),"")</f>
        <v/>
      </c>
      <c r="P2225" s="101">
        <f>IF(H2225=1,IF(IFERROR(INDEX(coa_CF,MATCH(I2225,coa_Name,0)),"")="Cash",1,0),0)</f>
        <v/>
      </c>
      <c r="Q2225" s="101">
        <f>IF(H2225=1,IF(IFERROR(INDEX(coa_CF,MATCH(K2225,coa_Name,0)),"")="Cash",1,0),0)</f>
        <v/>
      </c>
      <c r="R2225" s="58">
        <f>IF((P2225-Q2225)=0,"",IFERROR(INDEX(coa_CF,MATCH(IF((P2225-Q2225)=1,K2225,I2225),coa_Name,0)),"Operating"))</f>
        <v/>
      </c>
      <c r="S2225" s="95">
        <f>IF((P2225-Q2225)=1,L2225,IF((P2225-Q2225)=-1,-J2225,0))</f>
        <v/>
      </c>
      <c r="T2225" s="95">
        <f>IF((P2225-Q2225)=1,N2225,IF((P2225-Q2225)=-1,-M2225,0))</f>
        <v/>
      </c>
      <c r="U2225" s="101">
        <f>IF(AND(H2225=1,LedAcct&lt;&gt;""),IF(AND(E2225&gt;=LedFrom,E2225&lt;=LedTo,OR(I2225=LedAcct,K2225=LedAcct,AND(LedAcct=acctTax,M2225+N2225&lt;&gt;0))),E2225*10000+B2225,""),"")</f>
        <v/>
      </c>
    </row>
    <row r="2226">
      <c r="B2226" s="101" t="n">
        <v>2220</v>
      </c>
      <c r="C2226" s="58" t="inlineStr">
        <is>
          <t>Invoice</t>
        </is>
      </c>
      <c r="D2226" s="58">
        <f>IF(H2226=1,INDEX(ar_No,220)&amp;"","")</f>
        <v/>
      </c>
      <c r="E2226" s="94">
        <f>IF(H2226=1,INDEX(ar_Date,220),"")</f>
        <v/>
      </c>
      <c r="F2226" s="58">
        <f>IF(H2226=1,INDEX(ar_Desc,220)&amp;"","")</f>
        <v/>
      </c>
      <c r="G2226" s="58">
        <f>IF(H2226=1,INDEX(ar_Party,220)&amp;"","")</f>
        <v/>
      </c>
      <c r="H2226" s="101">
        <f>IFERROR(N(INDEX(ar_Posted,220)),0)</f>
        <v/>
      </c>
      <c r="I2226" s="58">
        <f>IF(H2226=1,INDEX(ar_DrAcct,220)&amp;"","")</f>
        <v/>
      </c>
      <c r="J2226" s="95">
        <f>IF(H2226=1,INDEX(ar_DrAmt,220),0)</f>
        <v/>
      </c>
      <c r="K2226" s="58">
        <f>IF(H2226=1,INDEX(ar_CrAcct,220)&amp;"","")</f>
        <v/>
      </c>
      <c r="L2226" s="95">
        <f>IF(H2226=1,INDEX(ar_CrAmt,220),0)</f>
        <v/>
      </c>
      <c r="M2226" s="95" t="n">
        <v>0</v>
      </c>
      <c r="N2226" s="95">
        <f>IF(H2226=1,INDEX(ar_TaxAmt,220),0)</f>
        <v/>
      </c>
      <c r="O2226" s="101">
        <f>IF(H2226=1,IF(E2226&lt;FYStart,0,IF(E2226&gt;FYEnd,13,YEAR(E2226)*12+MONTH(E2226)-FYYM+1)),"")</f>
        <v/>
      </c>
      <c r="P2226" s="101">
        <f>IF(H2226=1,IF(IFERROR(INDEX(coa_CF,MATCH(I2226,coa_Name,0)),"")="Cash",1,0),0)</f>
        <v/>
      </c>
      <c r="Q2226" s="101">
        <f>IF(H2226=1,IF(IFERROR(INDEX(coa_CF,MATCH(K2226,coa_Name,0)),"")="Cash",1,0),0)</f>
        <v/>
      </c>
      <c r="R2226" s="58">
        <f>IF((P2226-Q2226)=0,"",IFERROR(INDEX(coa_CF,MATCH(IF((P2226-Q2226)=1,K2226,I2226),coa_Name,0)),"Operating"))</f>
        <v/>
      </c>
      <c r="S2226" s="95">
        <f>IF((P2226-Q2226)=1,L2226,IF((P2226-Q2226)=-1,-J2226,0))</f>
        <v/>
      </c>
      <c r="T2226" s="95">
        <f>IF((P2226-Q2226)=1,N2226,IF((P2226-Q2226)=-1,-M2226,0))</f>
        <v/>
      </c>
      <c r="U2226" s="101">
        <f>IF(AND(H2226=1,LedAcct&lt;&gt;""),IF(AND(E2226&gt;=LedFrom,E2226&lt;=LedTo,OR(I2226=LedAcct,K2226=LedAcct,AND(LedAcct=acctTax,M2226+N2226&lt;&gt;0))),E2226*10000+B2226,""),"")</f>
        <v/>
      </c>
    </row>
    <row r="2227">
      <c r="B2227" s="101" t="n">
        <v>2221</v>
      </c>
      <c r="C2227" s="58" t="inlineStr">
        <is>
          <t>Invoice</t>
        </is>
      </c>
      <c r="D2227" s="58">
        <f>IF(H2227=1,INDEX(ar_No,221)&amp;"","")</f>
        <v/>
      </c>
      <c r="E2227" s="94">
        <f>IF(H2227=1,INDEX(ar_Date,221),"")</f>
        <v/>
      </c>
      <c r="F2227" s="58">
        <f>IF(H2227=1,INDEX(ar_Desc,221)&amp;"","")</f>
        <v/>
      </c>
      <c r="G2227" s="58">
        <f>IF(H2227=1,INDEX(ar_Party,221)&amp;"","")</f>
        <v/>
      </c>
      <c r="H2227" s="101">
        <f>IFERROR(N(INDEX(ar_Posted,221)),0)</f>
        <v/>
      </c>
      <c r="I2227" s="58">
        <f>IF(H2227=1,INDEX(ar_DrAcct,221)&amp;"","")</f>
        <v/>
      </c>
      <c r="J2227" s="95">
        <f>IF(H2227=1,INDEX(ar_DrAmt,221),0)</f>
        <v/>
      </c>
      <c r="K2227" s="58">
        <f>IF(H2227=1,INDEX(ar_CrAcct,221)&amp;"","")</f>
        <v/>
      </c>
      <c r="L2227" s="95">
        <f>IF(H2227=1,INDEX(ar_CrAmt,221),0)</f>
        <v/>
      </c>
      <c r="M2227" s="95" t="n">
        <v>0</v>
      </c>
      <c r="N2227" s="95">
        <f>IF(H2227=1,INDEX(ar_TaxAmt,221),0)</f>
        <v/>
      </c>
      <c r="O2227" s="101">
        <f>IF(H2227=1,IF(E2227&lt;FYStart,0,IF(E2227&gt;FYEnd,13,YEAR(E2227)*12+MONTH(E2227)-FYYM+1)),"")</f>
        <v/>
      </c>
      <c r="P2227" s="101">
        <f>IF(H2227=1,IF(IFERROR(INDEX(coa_CF,MATCH(I2227,coa_Name,0)),"")="Cash",1,0),0)</f>
        <v/>
      </c>
      <c r="Q2227" s="101">
        <f>IF(H2227=1,IF(IFERROR(INDEX(coa_CF,MATCH(K2227,coa_Name,0)),"")="Cash",1,0),0)</f>
        <v/>
      </c>
      <c r="R2227" s="58">
        <f>IF((P2227-Q2227)=0,"",IFERROR(INDEX(coa_CF,MATCH(IF((P2227-Q2227)=1,K2227,I2227),coa_Name,0)),"Operating"))</f>
        <v/>
      </c>
      <c r="S2227" s="95">
        <f>IF((P2227-Q2227)=1,L2227,IF((P2227-Q2227)=-1,-J2227,0))</f>
        <v/>
      </c>
      <c r="T2227" s="95">
        <f>IF((P2227-Q2227)=1,N2227,IF((P2227-Q2227)=-1,-M2227,0))</f>
        <v/>
      </c>
      <c r="U2227" s="101">
        <f>IF(AND(H2227=1,LedAcct&lt;&gt;""),IF(AND(E2227&gt;=LedFrom,E2227&lt;=LedTo,OR(I2227=LedAcct,K2227=LedAcct,AND(LedAcct=acctTax,M2227+N2227&lt;&gt;0))),E2227*10000+B2227,""),"")</f>
        <v/>
      </c>
    </row>
    <row r="2228">
      <c r="B2228" s="101" t="n">
        <v>2222</v>
      </c>
      <c r="C2228" s="58" t="inlineStr">
        <is>
          <t>Invoice</t>
        </is>
      </c>
      <c r="D2228" s="58">
        <f>IF(H2228=1,INDEX(ar_No,222)&amp;"","")</f>
        <v/>
      </c>
      <c r="E2228" s="94">
        <f>IF(H2228=1,INDEX(ar_Date,222),"")</f>
        <v/>
      </c>
      <c r="F2228" s="58">
        <f>IF(H2228=1,INDEX(ar_Desc,222)&amp;"","")</f>
        <v/>
      </c>
      <c r="G2228" s="58">
        <f>IF(H2228=1,INDEX(ar_Party,222)&amp;"","")</f>
        <v/>
      </c>
      <c r="H2228" s="101">
        <f>IFERROR(N(INDEX(ar_Posted,222)),0)</f>
        <v/>
      </c>
      <c r="I2228" s="58">
        <f>IF(H2228=1,INDEX(ar_DrAcct,222)&amp;"","")</f>
        <v/>
      </c>
      <c r="J2228" s="95">
        <f>IF(H2228=1,INDEX(ar_DrAmt,222),0)</f>
        <v/>
      </c>
      <c r="K2228" s="58">
        <f>IF(H2228=1,INDEX(ar_CrAcct,222)&amp;"","")</f>
        <v/>
      </c>
      <c r="L2228" s="95">
        <f>IF(H2228=1,INDEX(ar_CrAmt,222),0)</f>
        <v/>
      </c>
      <c r="M2228" s="95" t="n">
        <v>0</v>
      </c>
      <c r="N2228" s="95">
        <f>IF(H2228=1,INDEX(ar_TaxAmt,222),0)</f>
        <v/>
      </c>
      <c r="O2228" s="101">
        <f>IF(H2228=1,IF(E2228&lt;FYStart,0,IF(E2228&gt;FYEnd,13,YEAR(E2228)*12+MONTH(E2228)-FYYM+1)),"")</f>
        <v/>
      </c>
      <c r="P2228" s="101">
        <f>IF(H2228=1,IF(IFERROR(INDEX(coa_CF,MATCH(I2228,coa_Name,0)),"")="Cash",1,0),0)</f>
        <v/>
      </c>
      <c r="Q2228" s="101">
        <f>IF(H2228=1,IF(IFERROR(INDEX(coa_CF,MATCH(K2228,coa_Name,0)),"")="Cash",1,0),0)</f>
        <v/>
      </c>
      <c r="R2228" s="58">
        <f>IF((P2228-Q2228)=0,"",IFERROR(INDEX(coa_CF,MATCH(IF((P2228-Q2228)=1,K2228,I2228),coa_Name,0)),"Operating"))</f>
        <v/>
      </c>
      <c r="S2228" s="95">
        <f>IF((P2228-Q2228)=1,L2228,IF((P2228-Q2228)=-1,-J2228,0))</f>
        <v/>
      </c>
      <c r="T2228" s="95">
        <f>IF((P2228-Q2228)=1,N2228,IF((P2228-Q2228)=-1,-M2228,0))</f>
        <v/>
      </c>
      <c r="U2228" s="101">
        <f>IF(AND(H2228=1,LedAcct&lt;&gt;""),IF(AND(E2228&gt;=LedFrom,E2228&lt;=LedTo,OR(I2228=LedAcct,K2228=LedAcct,AND(LedAcct=acctTax,M2228+N2228&lt;&gt;0))),E2228*10000+B2228,""),"")</f>
        <v/>
      </c>
    </row>
    <row r="2229">
      <c r="B2229" s="101" t="n">
        <v>2223</v>
      </c>
      <c r="C2229" s="58" t="inlineStr">
        <is>
          <t>Invoice</t>
        </is>
      </c>
      <c r="D2229" s="58">
        <f>IF(H2229=1,INDEX(ar_No,223)&amp;"","")</f>
        <v/>
      </c>
      <c r="E2229" s="94">
        <f>IF(H2229=1,INDEX(ar_Date,223),"")</f>
        <v/>
      </c>
      <c r="F2229" s="58">
        <f>IF(H2229=1,INDEX(ar_Desc,223)&amp;"","")</f>
        <v/>
      </c>
      <c r="G2229" s="58">
        <f>IF(H2229=1,INDEX(ar_Party,223)&amp;"","")</f>
        <v/>
      </c>
      <c r="H2229" s="101">
        <f>IFERROR(N(INDEX(ar_Posted,223)),0)</f>
        <v/>
      </c>
      <c r="I2229" s="58">
        <f>IF(H2229=1,INDEX(ar_DrAcct,223)&amp;"","")</f>
        <v/>
      </c>
      <c r="J2229" s="95">
        <f>IF(H2229=1,INDEX(ar_DrAmt,223),0)</f>
        <v/>
      </c>
      <c r="K2229" s="58">
        <f>IF(H2229=1,INDEX(ar_CrAcct,223)&amp;"","")</f>
        <v/>
      </c>
      <c r="L2229" s="95">
        <f>IF(H2229=1,INDEX(ar_CrAmt,223),0)</f>
        <v/>
      </c>
      <c r="M2229" s="95" t="n">
        <v>0</v>
      </c>
      <c r="N2229" s="95">
        <f>IF(H2229=1,INDEX(ar_TaxAmt,223),0)</f>
        <v/>
      </c>
      <c r="O2229" s="101">
        <f>IF(H2229=1,IF(E2229&lt;FYStart,0,IF(E2229&gt;FYEnd,13,YEAR(E2229)*12+MONTH(E2229)-FYYM+1)),"")</f>
        <v/>
      </c>
      <c r="P2229" s="101">
        <f>IF(H2229=1,IF(IFERROR(INDEX(coa_CF,MATCH(I2229,coa_Name,0)),"")="Cash",1,0),0)</f>
        <v/>
      </c>
      <c r="Q2229" s="101">
        <f>IF(H2229=1,IF(IFERROR(INDEX(coa_CF,MATCH(K2229,coa_Name,0)),"")="Cash",1,0),0)</f>
        <v/>
      </c>
      <c r="R2229" s="58">
        <f>IF((P2229-Q2229)=0,"",IFERROR(INDEX(coa_CF,MATCH(IF((P2229-Q2229)=1,K2229,I2229),coa_Name,0)),"Operating"))</f>
        <v/>
      </c>
      <c r="S2229" s="95">
        <f>IF((P2229-Q2229)=1,L2229,IF((P2229-Q2229)=-1,-J2229,0))</f>
        <v/>
      </c>
      <c r="T2229" s="95">
        <f>IF((P2229-Q2229)=1,N2229,IF((P2229-Q2229)=-1,-M2229,0))</f>
        <v/>
      </c>
      <c r="U2229" s="101">
        <f>IF(AND(H2229=1,LedAcct&lt;&gt;""),IF(AND(E2229&gt;=LedFrom,E2229&lt;=LedTo,OR(I2229=LedAcct,K2229=LedAcct,AND(LedAcct=acctTax,M2229+N2229&lt;&gt;0))),E2229*10000+B2229,""),"")</f>
        <v/>
      </c>
    </row>
    <row r="2230">
      <c r="B2230" s="101" t="n">
        <v>2224</v>
      </c>
      <c r="C2230" s="58" t="inlineStr">
        <is>
          <t>Invoice</t>
        </is>
      </c>
      <c r="D2230" s="58">
        <f>IF(H2230=1,INDEX(ar_No,224)&amp;"","")</f>
        <v/>
      </c>
      <c r="E2230" s="94">
        <f>IF(H2230=1,INDEX(ar_Date,224),"")</f>
        <v/>
      </c>
      <c r="F2230" s="58">
        <f>IF(H2230=1,INDEX(ar_Desc,224)&amp;"","")</f>
        <v/>
      </c>
      <c r="G2230" s="58">
        <f>IF(H2230=1,INDEX(ar_Party,224)&amp;"","")</f>
        <v/>
      </c>
      <c r="H2230" s="101">
        <f>IFERROR(N(INDEX(ar_Posted,224)),0)</f>
        <v/>
      </c>
      <c r="I2230" s="58">
        <f>IF(H2230=1,INDEX(ar_DrAcct,224)&amp;"","")</f>
        <v/>
      </c>
      <c r="J2230" s="95">
        <f>IF(H2230=1,INDEX(ar_DrAmt,224),0)</f>
        <v/>
      </c>
      <c r="K2230" s="58">
        <f>IF(H2230=1,INDEX(ar_CrAcct,224)&amp;"","")</f>
        <v/>
      </c>
      <c r="L2230" s="95">
        <f>IF(H2230=1,INDEX(ar_CrAmt,224),0)</f>
        <v/>
      </c>
      <c r="M2230" s="95" t="n">
        <v>0</v>
      </c>
      <c r="N2230" s="95">
        <f>IF(H2230=1,INDEX(ar_TaxAmt,224),0)</f>
        <v/>
      </c>
      <c r="O2230" s="101">
        <f>IF(H2230=1,IF(E2230&lt;FYStart,0,IF(E2230&gt;FYEnd,13,YEAR(E2230)*12+MONTH(E2230)-FYYM+1)),"")</f>
        <v/>
      </c>
      <c r="P2230" s="101">
        <f>IF(H2230=1,IF(IFERROR(INDEX(coa_CF,MATCH(I2230,coa_Name,0)),"")="Cash",1,0),0)</f>
        <v/>
      </c>
      <c r="Q2230" s="101">
        <f>IF(H2230=1,IF(IFERROR(INDEX(coa_CF,MATCH(K2230,coa_Name,0)),"")="Cash",1,0),0)</f>
        <v/>
      </c>
      <c r="R2230" s="58">
        <f>IF((P2230-Q2230)=0,"",IFERROR(INDEX(coa_CF,MATCH(IF((P2230-Q2230)=1,K2230,I2230),coa_Name,0)),"Operating"))</f>
        <v/>
      </c>
      <c r="S2230" s="95">
        <f>IF((P2230-Q2230)=1,L2230,IF((P2230-Q2230)=-1,-J2230,0))</f>
        <v/>
      </c>
      <c r="T2230" s="95">
        <f>IF((P2230-Q2230)=1,N2230,IF((P2230-Q2230)=-1,-M2230,0))</f>
        <v/>
      </c>
      <c r="U2230" s="101">
        <f>IF(AND(H2230=1,LedAcct&lt;&gt;""),IF(AND(E2230&gt;=LedFrom,E2230&lt;=LedTo,OR(I2230=LedAcct,K2230=LedAcct,AND(LedAcct=acctTax,M2230+N2230&lt;&gt;0))),E2230*10000+B2230,""),"")</f>
        <v/>
      </c>
    </row>
    <row r="2231">
      <c r="B2231" s="101" t="n">
        <v>2225</v>
      </c>
      <c r="C2231" s="58" t="inlineStr">
        <is>
          <t>Invoice</t>
        </is>
      </c>
      <c r="D2231" s="58">
        <f>IF(H2231=1,INDEX(ar_No,225)&amp;"","")</f>
        <v/>
      </c>
      <c r="E2231" s="94">
        <f>IF(H2231=1,INDEX(ar_Date,225),"")</f>
        <v/>
      </c>
      <c r="F2231" s="58">
        <f>IF(H2231=1,INDEX(ar_Desc,225)&amp;"","")</f>
        <v/>
      </c>
      <c r="G2231" s="58">
        <f>IF(H2231=1,INDEX(ar_Party,225)&amp;"","")</f>
        <v/>
      </c>
      <c r="H2231" s="101">
        <f>IFERROR(N(INDEX(ar_Posted,225)),0)</f>
        <v/>
      </c>
      <c r="I2231" s="58">
        <f>IF(H2231=1,INDEX(ar_DrAcct,225)&amp;"","")</f>
        <v/>
      </c>
      <c r="J2231" s="95">
        <f>IF(H2231=1,INDEX(ar_DrAmt,225),0)</f>
        <v/>
      </c>
      <c r="K2231" s="58">
        <f>IF(H2231=1,INDEX(ar_CrAcct,225)&amp;"","")</f>
        <v/>
      </c>
      <c r="L2231" s="95">
        <f>IF(H2231=1,INDEX(ar_CrAmt,225),0)</f>
        <v/>
      </c>
      <c r="M2231" s="95" t="n">
        <v>0</v>
      </c>
      <c r="N2231" s="95">
        <f>IF(H2231=1,INDEX(ar_TaxAmt,225),0)</f>
        <v/>
      </c>
      <c r="O2231" s="101">
        <f>IF(H2231=1,IF(E2231&lt;FYStart,0,IF(E2231&gt;FYEnd,13,YEAR(E2231)*12+MONTH(E2231)-FYYM+1)),"")</f>
        <v/>
      </c>
      <c r="P2231" s="101">
        <f>IF(H2231=1,IF(IFERROR(INDEX(coa_CF,MATCH(I2231,coa_Name,0)),"")="Cash",1,0),0)</f>
        <v/>
      </c>
      <c r="Q2231" s="101">
        <f>IF(H2231=1,IF(IFERROR(INDEX(coa_CF,MATCH(K2231,coa_Name,0)),"")="Cash",1,0),0)</f>
        <v/>
      </c>
      <c r="R2231" s="58">
        <f>IF((P2231-Q2231)=0,"",IFERROR(INDEX(coa_CF,MATCH(IF((P2231-Q2231)=1,K2231,I2231),coa_Name,0)),"Operating"))</f>
        <v/>
      </c>
      <c r="S2231" s="95">
        <f>IF((P2231-Q2231)=1,L2231,IF((P2231-Q2231)=-1,-J2231,0))</f>
        <v/>
      </c>
      <c r="T2231" s="95">
        <f>IF((P2231-Q2231)=1,N2231,IF((P2231-Q2231)=-1,-M2231,0))</f>
        <v/>
      </c>
      <c r="U2231" s="101">
        <f>IF(AND(H2231=1,LedAcct&lt;&gt;""),IF(AND(E2231&gt;=LedFrom,E2231&lt;=LedTo,OR(I2231=LedAcct,K2231=LedAcct,AND(LedAcct=acctTax,M2231+N2231&lt;&gt;0))),E2231*10000+B2231,""),"")</f>
        <v/>
      </c>
    </row>
    <row r="2232">
      <c r="B2232" s="101" t="n">
        <v>2226</v>
      </c>
      <c r="C2232" s="58" t="inlineStr">
        <is>
          <t>Invoice</t>
        </is>
      </c>
      <c r="D2232" s="58">
        <f>IF(H2232=1,INDEX(ar_No,226)&amp;"","")</f>
        <v/>
      </c>
      <c r="E2232" s="94">
        <f>IF(H2232=1,INDEX(ar_Date,226),"")</f>
        <v/>
      </c>
      <c r="F2232" s="58">
        <f>IF(H2232=1,INDEX(ar_Desc,226)&amp;"","")</f>
        <v/>
      </c>
      <c r="G2232" s="58">
        <f>IF(H2232=1,INDEX(ar_Party,226)&amp;"","")</f>
        <v/>
      </c>
      <c r="H2232" s="101">
        <f>IFERROR(N(INDEX(ar_Posted,226)),0)</f>
        <v/>
      </c>
      <c r="I2232" s="58">
        <f>IF(H2232=1,INDEX(ar_DrAcct,226)&amp;"","")</f>
        <v/>
      </c>
      <c r="J2232" s="95">
        <f>IF(H2232=1,INDEX(ar_DrAmt,226),0)</f>
        <v/>
      </c>
      <c r="K2232" s="58">
        <f>IF(H2232=1,INDEX(ar_CrAcct,226)&amp;"","")</f>
        <v/>
      </c>
      <c r="L2232" s="95">
        <f>IF(H2232=1,INDEX(ar_CrAmt,226),0)</f>
        <v/>
      </c>
      <c r="M2232" s="95" t="n">
        <v>0</v>
      </c>
      <c r="N2232" s="95">
        <f>IF(H2232=1,INDEX(ar_TaxAmt,226),0)</f>
        <v/>
      </c>
      <c r="O2232" s="101">
        <f>IF(H2232=1,IF(E2232&lt;FYStart,0,IF(E2232&gt;FYEnd,13,YEAR(E2232)*12+MONTH(E2232)-FYYM+1)),"")</f>
        <v/>
      </c>
      <c r="P2232" s="101">
        <f>IF(H2232=1,IF(IFERROR(INDEX(coa_CF,MATCH(I2232,coa_Name,0)),"")="Cash",1,0),0)</f>
        <v/>
      </c>
      <c r="Q2232" s="101">
        <f>IF(H2232=1,IF(IFERROR(INDEX(coa_CF,MATCH(K2232,coa_Name,0)),"")="Cash",1,0),0)</f>
        <v/>
      </c>
      <c r="R2232" s="58">
        <f>IF((P2232-Q2232)=0,"",IFERROR(INDEX(coa_CF,MATCH(IF((P2232-Q2232)=1,K2232,I2232),coa_Name,0)),"Operating"))</f>
        <v/>
      </c>
      <c r="S2232" s="95">
        <f>IF((P2232-Q2232)=1,L2232,IF((P2232-Q2232)=-1,-J2232,0))</f>
        <v/>
      </c>
      <c r="T2232" s="95">
        <f>IF((P2232-Q2232)=1,N2232,IF((P2232-Q2232)=-1,-M2232,0))</f>
        <v/>
      </c>
      <c r="U2232" s="101">
        <f>IF(AND(H2232=1,LedAcct&lt;&gt;""),IF(AND(E2232&gt;=LedFrom,E2232&lt;=LedTo,OR(I2232=LedAcct,K2232=LedAcct,AND(LedAcct=acctTax,M2232+N2232&lt;&gt;0))),E2232*10000+B2232,""),"")</f>
        <v/>
      </c>
    </row>
    <row r="2233">
      <c r="B2233" s="101" t="n">
        <v>2227</v>
      </c>
      <c r="C2233" s="58" t="inlineStr">
        <is>
          <t>Invoice</t>
        </is>
      </c>
      <c r="D2233" s="58">
        <f>IF(H2233=1,INDEX(ar_No,227)&amp;"","")</f>
        <v/>
      </c>
      <c r="E2233" s="94">
        <f>IF(H2233=1,INDEX(ar_Date,227),"")</f>
        <v/>
      </c>
      <c r="F2233" s="58">
        <f>IF(H2233=1,INDEX(ar_Desc,227)&amp;"","")</f>
        <v/>
      </c>
      <c r="G2233" s="58">
        <f>IF(H2233=1,INDEX(ar_Party,227)&amp;"","")</f>
        <v/>
      </c>
      <c r="H2233" s="101">
        <f>IFERROR(N(INDEX(ar_Posted,227)),0)</f>
        <v/>
      </c>
      <c r="I2233" s="58">
        <f>IF(H2233=1,INDEX(ar_DrAcct,227)&amp;"","")</f>
        <v/>
      </c>
      <c r="J2233" s="95">
        <f>IF(H2233=1,INDEX(ar_DrAmt,227),0)</f>
        <v/>
      </c>
      <c r="K2233" s="58">
        <f>IF(H2233=1,INDEX(ar_CrAcct,227)&amp;"","")</f>
        <v/>
      </c>
      <c r="L2233" s="95">
        <f>IF(H2233=1,INDEX(ar_CrAmt,227),0)</f>
        <v/>
      </c>
      <c r="M2233" s="95" t="n">
        <v>0</v>
      </c>
      <c r="N2233" s="95">
        <f>IF(H2233=1,INDEX(ar_TaxAmt,227),0)</f>
        <v/>
      </c>
      <c r="O2233" s="101">
        <f>IF(H2233=1,IF(E2233&lt;FYStart,0,IF(E2233&gt;FYEnd,13,YEAR(E2233)*12+MONTH(E2233)-FYYM+1)),"")</f>
        <v/>
      </c>
      <c r="P2233" s="101">
        <f>IF(H2233=1,IF(IFERROR(INDEX(coa_CF,MATCH(I2233,coa_Name,0)),"")="Cash",1,0),0)</f>
        <v/>
      </c>
      <c r="Q2233" s="101">
        <f>IF(H2233=1,IF(IFERROR(INDEX(coa_CF,MATCH(K2233,coa_Name,0)),"")="Cash",1,0),0)</f>
        <v/>
      </c>
      <c r="R2233" s="58">
        <f>IF((P2233-Q2233)=0,"",IFERROR(INDEX(coa_CF,MATCH(IF((P2233-Q2233)=1,K2233,I2233),coa_Name,0)),"Operating"))</f>
        <v/>
      </c>
      <c r="S2233" s="95">
        <f>IF((P2233-Q2233)=1,L2233,IF((P2233-Q2233)=-1,-J2233,0))</f>
        <v/>
      </c>
      <c r="T2233" s="95">
        <f>IF((P2233-Q2233)=1,N2233,IF((P2233-Q2233)=-1,-M2233,0))</f>
        <v/>
      </c>
      <c r="U2233" s="101">
        <f>IF(AND(H2233=1,LedAcct&lt;&gt;""),IF(AND(E2233&gt;=LedFrom,E2233&lt;=LedTo,OR(I2233=LedAcct,K2233=LedAcct,AND(LedAcct=acctTax,M2233+N2233&lt;&gt;0))),E2233*10000+B2233,""),"")</f>
        <v/>
      </c>
    </row>
    <row r="2234">
      <c r="B2234" s="101" t="n">
        <v>2228</v>
      </c>
      <c r="C2234" s="58" t="inlineStr">
        <is>
          <t>Invoice</t>
        </is>
      </c>
      <c r="D2234" s="58">
        <f>IF(H2234=1,INDEX(ar_No,228)&amp;"","")</f>
        <v/>
      </c>
      <c r="E2234" s="94">
        <f>IF(H2234=1,INDEX(ar_Date,228),"")</f>
        <v/>
      </c>
      <c r="F2234" s="58">
        <f>IF(H2234=1,INDEX(ar_Desc,228)&amp;"","")</f>
        <v/>
      </c>
      <c r="G2234" s="58">
        <f>IF(H2234=1,INDEX(ar_Party,228)&amp;"","")</f>
        <v/>
      </c>
      <c r="H2234" s="101">
        <f>IFERROR(N(INDEX(ar_Posted,228)),0)</f>
        <v/>
      </c>
      <c r="I2234" s="58">
        <f>IF(H2234=1,INDEX(ar_DrAcct,228)&amp;"","")</f>
        <v/>
      </c>
      <c r="J2234" s="95">
        <f>IF(H2234=1,INDEX(ar_DrAmt,228),0)</f>
        <v/>
      </c>
      <c r="K2234" s="58">
        <f>IF(H2234=1,INDEX(ar_CrAcct,228)&amp;"","")</f>
        <v/>
      </c>
      <c r="L2234" s="95">
        <f>IF(H2234=1,INDEX(ar_CrAmt,228),0)</f>
        <v/>
      </c>
      <c r="M2234" s="95" t="n">
        <v>0</v>
      </c>
      <c r="N2234" s="95">
        <f>IF(H2234=1,INDEX(ar_TaxAmt,228),0)</f>
        <v/>
      </c>
      <c r="O2234" s="101">
        <f>IF(H2234=1,IF(E2234&lt;FYStart,0,IF(E2234&gt;FYEnd,13,YEAR(E2234)*12+MONTH(E2234)-FYYM+1)),"")</f>
        <v/>
      </c>
      <c r="P2234" s="101">
        <f>IF(H2234=1,IF(IFERROR(INDEX(coa_CF,MATCH(I2234,coa_Name,0)),"")="Cash",1,0),0)</f>
        <v/>
      </c>
      <c r="Q2234" s="101">
        <f>IF(H2234=1,IF(IFERROR(INDEX(coa_CF,MATCH(K2234,coa_Name,0)),"")="Cash",1,0),0)</f>
        <v/>
      </c>
      <c r="R2234" s="58">
        <f>IF((P2234-Q2234)=0,"",IFERROR(INDEX(coa_CF,MATCH(IF((P2234-Q2234)=1,K2234,I2234),coa_Name,0)),"Operating"))</f>
        <v/>
      </c>
      <c r="S2234" s="95">
        <f>IF((P2234-Q2234)=1,L2234,IF((P2234-Q2234)=-1,-J2234,0))</f>
        <v/>
      </c>
      <c r="T2234" s="95">
        <f>IF((P2234-Q2234)=1,N2234,IF((P2234-Q2234)=-1,-M2234,0))</f>
        <v/>
      </c>
      <c r="U2234" s="101">
        <f>IF(AND(H2234=1,LedAcct&lt;&gt;""),IF(AND(E2234&gt;=LedFrom,E2234&lt;=LedTo,OR(I2234=LedAcct,K2234=LedAcct,AND(LedAcct=acctTax,M2234+N2234&lt;&gt;0))),E2234*10000+B2234,""),"")</f>
        <v/>
      </c>
    </row>
    <row r="2235">
      <c r="B2235" s="101" t="n">
        <v>2229</v>
      </c>
      <c r="C2235" s="58" t="inlineStr">
        <is>
          <t>Invoice</t>
        </is>
      </c>
      <c r="D2235" s="58">
        <f>IF(H2235=1,INDEX(ar_No,229)&amp;"","")</f>
        <v/>
      </c>
      <c r="E2235" s="94">
        <f>IF(H2235=1,INDEX(ar_Date,229),"")</f>
        <v/>
      </c>
      <c r="F2235" s="58">
        <f>IF(H2235=1,INDEX(ar_Desc,229)&amp;"","")</f>
        <v/>
      </c>
      <c r="G2235" s="58">
        <f>IF(H2235=1,INDEX(ar_Party,229)&amp;"","")</f>
        <v/>
      </c>
      <c r="H2235" s="101">
        <f>IFERROR(N(INDEX(ar_Posted,229)),0)</f>
        <v/>
      </c>
      <c r="I2235" s="58">
        <f>IF(H2235=1,INDEX(ar_DrAcct,229)&amp;"","")</f>
        <v/>
      </c>
      <c r="J2235" s="95">
        <f>IF(H2235=1,INDEX(ar_DrAmt,229),0)</f>
        <v/>
      </c>
      <c r="K2235" s="58">
        <f>IF(H2235=1,INDEX(ar_CrAcct,229)&amp;"","")</f>
        <v/>
      </c>
      <c r="L2235" s="95">
        <f>IF(H2235=1,INDEX(ar_CrAmt,229),0)</f>
        <v/>
      </c>
      <c r="M2235" s="95" t="n">
        <v>0</v>
      </c>
      <c r="N2235" s="95">
        <f>IF(H2235=1,INDEX(ar_TaxAmt,229),0)</f>
        <v/>
      </c>
      <c r="O2235" s="101">
        <f>IF(H2235=1,IF(E2235&lt;FYStart,0,IF(E2235&gt;FYEnd,13,YEAR(E2235)*12+MONTH(E2235)-FYYM+1)),"")</f>
        <v/>
      </c>
      <c r="P2235" s="101">
        <f>IF(H2235=1,IF(IFERROR(INDEX(coa_CF,MATCH(I2235,coa_Name,0)),"")="Cash",1,0),0)</f>
        <v/>
      </c>
      <c r="Q2235" s="101">
        <f>IF(H2235=1,IF(IFERROR(INDEX(coa_CF,MATCH(K2235,coa_Name,0)),"")="Cash",1,0),0)</f>
        <v/>
      </c>
      <c r="R2235" s="58">
        <f>IF((P2235-Q2235)=0,"",IFERROR(INDEX(coa_CF,MATCH(IF((P2235-Q2235)=1,K2235,I2235),coa_Name,0)),"Operating"))</f>
        <v/>
      </c>
      <c r="S2235" s="95">
        <f>IF((P2235-Q2235)=1,L2235,IF((P2235-Q2235)=-1,-J2235,0))</f>
        <v/>
      </c>
      <c r="T2235" s="95">
        <f>IF((P2235-Q2235)=1,N2235,IF((P2235-Q2235)=-1,-M2235,0))</f>
        <v/>
      </c>
      <c r="U2235" s="101">
        <f>IF(AND(H2235=1,LedAcct&lt;&gt;""),IF(AND(E2235&gt;=LedFrom,E2235&lt;=LedTo,OR(I2235=LedAcct,K2235=LedAcct,AND(LedAcct=acctTax,M2235+N2235&lt;&gt;0))),E2235*10000+B2235,""),"")</f>
        <v/>
      </c>
    </row>
    <row r="2236">
      <c r="B2236" s="101" t="n">
        <v>2230</v>
      </c>
      <c r="C2236" s="58" t="inlineStr">
        <is>
          <t>Invoice</t>
        </is>
      </c>
      <c r="D2236" s="58">
        <f>IF(H2236=1,INDEX(ar_No,230)&amp;"","")</f>
        <v/>
      </c>
      <c r="E2236" s="94">
        <f>IF(H2236=1,INDEX(ar_Date,230),"")</f>
        <v/>
      </c>
      <c r="F2236" s="58">
        <f>IF(H2236=1,INDEX(ar_Desc,230)&amp;"","")</f>
        <v/>
      </c>
      <c r="G2236" s="58">
        <f>IF(H2236=1,INDEX(ar_Party,230)&amp;"","")</f>
        <v/>
      </c>
      <c r="H2236" s="101">
        <f>IFERROR(N(INDEX(ar_Posted,230)),0)</f>
        <v/>
      </c>
      <c r="I2236" s="58">
        <f>IF(H2236=1,INDEX(ar_DrAcct,230)&amp;"","")</f>
        <v/>
      </c>
      <c r="J2236" s="95">
        <f>IF(H2236=1,INDEX(ar_DrAmt,230),0)</f>
        <v/>
      </c>
      <c r="K2236" s="58">
        <f>IF(H2236=1,INDEX(ar_CrAcct,230)&amp;"","")</f>
        <v/>
      </c>
      <c r="L2236" s="95">
        <f>IF(H2236=1,INDEX(ar_CrAmt,230),0)</f>
        <v/>
      </c>
      <c r="M2236" s="95" t="n">
        <v>0</v>
      </c>
      <c r="N2236" s="95">
        <f>IF(H2236=1,INDEX(ar_TaxAmt,230),0)</f>
        <v/>
      </c>
      <c r="O2236" s="101">
        <f>IF(H2236=1,IF(E2236&lt;FYStart,0,IF(E2236&gt;FYEnd,13,YEAR(E2236)*12+MONTH(E2236)-FYYM+1)),"")</f>
        <v/>
      </c>
      <c r="P2236" s="101">
        <f>IF(H2236=1,IF(IFERROR(INDEX(coa_CF,MATCH(I2236,coa_Name,0)),"")="Cash",1,0),0)</f>
        <v/>
      </c>
      <c r="Q2236" s="101">
        <f>IF(H2236=1,IF(IFERROR(INDEX(coa_CF,MATCH(K2236,coa_Name,0)),"")="Cash",1,0),0)</f>
        <v/>
      </c>
      <c r="R2236" s="58">
        <f>IF((P2236-Q2236)=0,"",IFERROR(INDEX(coa_CF,MATCH(IF((P2236-Q2236)=1,K2236,I2236),coa_Name,0)),"Operating"))</f>
        <v/>
      </c>
      <c r="S2236" s="95">
        <f>IF((P2236-Q2236)=1,L2236,IF((P2236-Q2236)=-1,-J2236,0))</f>
        <v/>
      </c>
      <c r="T2236" s="95">
        <f>IF((P2236-Q2236)=1,N2236,IF((P2236-Q2236)=-1,-M2236,0))</f>
        <v/>
      </c>
      <c r="U2236" s="101">
        <f>IF(AND(H2236=1,LedAcct&lt;&gt;""),IF(AND(E2236&gt;=LedFrom,E2236&lt;=LedTo,OR(I2236=LedAcct,K2236=LedAcct,AND(LedAcct=acctTax,M2236+N2236&lt;&gt;0))),E2236*10000+B2236,""),"")</f>
        <v/>
      </c>
    </row>
    <row r="2237">
      <c r="B2237" s="101" t="n">
        <v>2231</v>
      </c>
      <c r="C2237" s="58" t="inlineStr">
        <is>
          <t>Invoice</t>
        </is>
      </c>
      <c r="D2237" s="58">
        <f>IF(H2237=1,INDEX(ar_No,231)&amp;"","")</f>
        <v/>
      </c>
      <c r="E2237" s="94">
        <f>IF(H2237=1,INDEX(ar_Date,231),"")</f>
        <v/>
      </c>
      <c r="F2237" s="58">
        <f>IF(H2237=1,INDEX(ar_Desc,231)&amp;"","")</f>
        <v/>
      </c>
      <c r="G2237" s="58">
        <f>IF(H2237=1,INDEX(ar_Party,231)&amp;"","")</f>
        <v/>
      </c>
      <c r="H2237" s="101">
        <f>IFERROR(N(INDEX(ar_Posted,231)),0)</f>
        <v/>
      </c>
      <c r="I2237" s="58">
        <f>IF(H2237=1,INDEX(ar_DrAcct,231)&amp;"","")</f>
        <v/>
      </c>
      <c r="J2237" s="95">
        <f>IF(H2237=1,INDEX(ar_DrAmt,231),0)</f>
        <v/>
      </c>
      <c r="K2237" s="58">
        <f>IF(H2237=1,INDEX(ar_CrAcct,231)&amp;"","")</f>
        <v/>
      </c>
      <c r="L2237" s="95">
        <f>IF(H2237=1,INDEX(ar_CrAmt,231),0)</f>
        <v/>
      </c>
      <c r="M2237" s="95" t="n">
        <v>0</v>
      </c>
      <c r="N2237" s="95">
        <f>IF(H2237=1,INDEX(ar_TaxAmt,231),0)</f>
        <v/>
      </c>
      <c r="O2237" s="101">
        <f>IF(H2237=1,IF(E2237&lt;FYStart,0,IF(E2237&gt;FYEnd,13,YEAR(E2237)*12+MONTH(E2237)-FYYM+1)),"")</f>
        <v/>
      </c>
      <c r="P2237" s="101">
        <f>IF(H2237=1,IF(IFERROR(INDEX(coa_CF,MATCH(I2237,coa_Name,0)),"")="Cash",1,0),0)</f>
        <v/>
      </c>
      <c r="Q2237" s="101">
        <f>IF(H2237=1,IF(IFERROR(INDEX(coa_CF,MATCH(K2237,coa_Name,0)),"")="Cash",1,0),0)</f>
        <v/>
      </c>
      <c r="R2237" s="58">
        <f>IF((P2237-Q2237)=0,"",IFERROR(INDEX(coa_CF,MATCH(IF((P2237-Q2237)=1,K2237,I2237),coa_Name,0)),"Operating"))</f>
        <v/>
      </c>
      <c r="S2237" s="95">
        <f>IF((P2237-Q2237)=1,L2237,IF((P2237-Q2237)=-1,-J2237,0))</f>
        <v/>
      </c>
      <c r="T2237" s="95">
        <f>IF((P2237-Q2237)=1,N2237,IF((P2237-Q2237)=-1,-M2237,0))</f>
        <v/>
      </c>
      <c r="U2237" s="101">
        <f>IF(AND(H2237=1,LedAcct&lt;&gt;""),IF(AND(E2237&gt;=LedFrom,E2237&lt;=LedTo,OR(I2237=LedAcct,K2237=LedAcct,AND(LedAcct=acctTax,M2237+N2237&lt;&gt;0))),E2237*10000+B2237,""),"")</f>
        <v/>
      </c>
    </row>
    <row r="2238">
      <c r="B2238" s="101" t="n">
        <v>2232</v>
      </c>
      <c r="C2238" s="58" t="inlineStr">
        <is>
          <t>Invoice</t>
        </is>
      </c>
      <c r="D2238" s="58">
        <f>IF(H2238=1,INDEX(ar_No,232)&amp;"","")</f>
        <v/>
      </c>
      <c r="E2238" s="94">
        <f>IF(H2238=1,INDEX(ar_Date,232),"")</f>
        <v/>
      </c>
      <c r="F2238" s="58">
        <f>IF(H2238=1,INDEX(ar_Desc,232)&amp;"","")</f>
        <v/>
      </c>
      <c r="G2238" s="58">
        <f>IF(H2238=1,INDEX(ar_Party,232)&amp;"","")</f>
        <v/>
      </c>
      <c r="H2238" s="101">
        <f>IFERROR(N(INDEX(ar_Posted,232)),0)</f>
        <v/>
      </c>
      <c r="I2238" s="58">
        <f>IF(H2238=1,INDEX(ar_DrAcct,232)&amp;"","")</f>
        <v/>
      </c>
      <c r="J2238" s="95">
        <f>IF(H2238=1,INDEX(ar_DrAmt,232),0)</f>
        <v/>
      </c>
      <c r="K2238" s="58">
        <f>IF(H2238=1,INDEX(ar_CrAcct,232)&amp;"","")</f>
        <v/>
      </c>
      <c r="L2238" s="95">
        <f>IF(H2238=1,INDEX(ar_CrAmt,232),0)</f>
        <v/>
      </c>
      <c r="M2238" s="95" t="n">
        <v>0</v>
      </c>
      <c r="N2238" s="95">
        <f>IF(H2238=1,INDEX(ar_TaxAmt,232),0)</f>
        <v/>
      </c>
      <c r="O2238" s="101">
        <f>IF(H2238=1,IF(E2238&lt;FYStart,0,IF(E2238&gt;FYEnd,13,YEAR(E2238)*12+MONTH(E2238)-FYYM+1)),"")</f>
        <v/>
      </c>
      <c r="P2238" s="101">
        <f>IF(H2238=1,IF(IFERROR(INDEX(coa_CF,MATCH(I2238,coa_Name,0)),"")="Cash",1,0),0)</f>
        <v/>
      </c>
      <c r="Q2238" s="101">
        <f>IF(H2238=1,IF(IFERROR(INDEX(coa_CF,MATCH(K2238,coa_Name,0)),"")="Cash",1,0),0)</f>
        <v/>
      </c>
      <c r="R2238" s="58">
        <f>IF((P2238-Q2238)=0,"",IFERROR(INDEX(coa_CF,MATCH(IF((P2238-Q2238)=1,K2238,I2238),coa_Name,0)),"Operating"))</f>
        <v/>
      </c>
      <c r="S2238" s="95">
        <f>IF((P2238-Q2238)=1,L2238,IF((P2238-Q2238)=-1,-J2238,0))</f>
        <v/>
      </c>
      <c r="T2238" s="95">
        <f>IF((P2238-Q2238)=1,N2238,IF((P2238-Q2238)=-1,-M2238,0))</f>
        <v/>
      </c>
      <c r="U2238" s="101">
        <f>IF(AND(H2238=1,LedAcct&lt;&gt;""),IF(AND(E2238&gt;=LedFrom,E2238&lt;=LedTo,OR(I2238=LedAcct,K2238=LedAcct,AND(LedAcct=acctTax,M2238+N2238&lt;&gt;0))),E2238*10000+B2238,""),"")</f>
        <v/>
      </c>
    </row>
    <row r="2239">
      <c r="B2239" s="101" t="n">
        <v>2233</v>
      </c>
      <c r="C2239" s="58" t="inlineStr">
        <is>
          <t>Invoice</t>
        </is>
      </c>
      <c r="D2239" s="58">
        <f>IF(H2239=1,INDEX(ar_No,233)&amp;"","")</f>
        <v/>
      </c>
      <c r="E2239" s="94">
        <f>IF(H2239=1,INDEX(ar_Date,233),"")</f>
        <v/>
      </c>
      <c r="F2239" s="58">
        <f>IF(H2239=1,INDEX(ar_Desc,233)&amp;"","")</f>
        <v/>
      </c>
      <c r="G2239" s="58">
        <f>IF(H2239=1,INDEX(ar_Party,233)&amp;"","")</f>
        <v/>
      </c>
      <c r="H2239" s="101">
        <f>IFERROR(N(INDEX(ar_Posted,233)),0)</f>
        <v/>
      </c>
      <c r="I2239" s="58">
        <f>IF(H2239=1,INDEX(ar_DrAcct,233)&amp;"","")</f>
        <v/>
      </c>
      <c r="J2239" s="95">
        <f>IF(H2239=1,INDEX(ar_DrAmt,233),0)</f>
        <v/>
      </c>
      <c r="K2239" s="58">
        <f>IF(H2239=1,INDEX(ar_CrAcct,233)&amp;"","")</f>
        <v/>
      </c>
      <c r="L2239" s="95">
        <f>IF(H2239=1,INDEX(ar_CrAmt,233),0)</f>
        <v/>
      </c>
      <c r="M2239" s="95" t="n">
        <v>0</v>
      </c>
      <c r="N2239" s="95">
        <f>IF(H2239=1,INDEX(ar_TaxAmt,233),0)</f>
        <v/>
      </c>
      <c r="O2239" s="101">
        <f>IF(H2239=1,IF(E2239&lt;FYStart,0,IF(E2239&gt;FYEnd,13,YEAR(E2239)*12+MONTH(E2239)-FYYM+1)),"")</f>
        <v/>
      </c>
      <c r="P2239" s="101">
        <f>IF(H2239=1,IF(IFERROR(INDEX(coa_CF,MATCH(I2239,coa_Name,0)),"")="Cash",1,0),0)</f>
        <v/>
      </c>
      <c r="Q2239" s="101">
        <f>IF(H2239=1,IF(IFERROR(INDEX(coa_CF,MATCH(K2239,coa_Name,0)),"")="Cash",1,0),0)</f>
        <v/>
      </c>
      <c r="R2239" s="58">
        <f>IF((P2239-Q2239)=0,"",IFERROR(INDEX(coa_CF,MATCH(IF((P2239-Q2239)=1,K2239,I2239),coa_Name,0)),"Operating"))</f>
        <v/>
      </c>
      <c r="S2239" s="95">
        <f>IF((P2239-Q2239)=1,L2239,IF((P2239-Q2239)=-1,-J2239,0))</f>
        <v/>
      </c>
      <c r="T2239" s="95">
        <f>IF((P2239-Q2239)=1,N2239,IF((P2239-Q2239)=-1,-M2239,0))</f>
        <v/>
      </c>
      <c r="U2239" s="101">
        <f>IF(AND(H2239=1,LedAcct&lt;&gt;""),IF(AND(E2239&gt;=LedFrom,E2239&lt;=LedTo,OR(I2239=LedAcct,K2239=LedAcct,AND(LedAcct=acctTax,M2239+N2239&lt;&gt;0))),E2239*10000+B2239,""),"")</f>
        <v/>
      </c>
    </row>
    <row r="2240">
      <c r="B2240" s="101" t="n">
        <v>2234</v>
      </c>
      <c r="C2240" s="58" t="inlineStr">
        <is>
          <t>Invoice</t>
        </is>
      </c>
      <c r="D2240" s="58">
        <f>IF(H2240=1,INDEX(ar_No,234)&amp;"","")</f>
        <v/>
      </c>
      <c r="E2240" s="94">
        <f>IF(H2240=1,INDEX(ar_Date,234),"")</f>
        <v/>
      </c>
      <c r="F2240" s="58">
        <f>IF(H2240=1,INDEX(ar_Desc,234)&amp;"","")</f>
        <v/>
      </c>
      <c r="G2240" s="58">
        <f>IF(H2240=1,INDEX(ar_Party,234)&amp;"","")</f>
        <v/>
      </c>
      <c r="H2240" s="101">
        <f>IFERROR(N(INDEX(ar_Posted,234)),0)</f>
        <v/>
      </c>
      <c r="I2240" s="58">
        <f>IF(H2240=1,INDEX(ar_DrAcct,234)&amp;"","")</f>
        <v/>
      </c>
      <c r="J2240" s="95">
        <f>IF(H2240=1,INDEX(ar_DrAmt,234),0)</f>
        <v/>
      </c>
      <c r="K2240" s="58">
        <f>IF(H2240=1,INDEX(ar_CrAcct,234)&amp;"","")</f>
        <v/>
      </c>
      <c r="L2240" s="95">
        <f>IF(H2240=1,INDEX(ar_CrAmt,234),0)</f>
        <v/>
      </c>
      <c r="M2240" s="95" t="n">
        <v>0</v>
      </c>
      <c r="N2240" s="95">
        <f>IF(H2240=1,INDEX(ar_TaxAmt,234),0)</f>
        <v/>
      </c>
      <c r="O2240" s="101">
        <f>IF(H2240=1,IF(E2240&lt;FYStart,0,IF(E2240&gt;FYEnd,13,YEAR(E2240)*12+MONTH(E2240)-FYYM+1)),"")</f>
        <v/>
      </c>
      <c r="P2240" s="101">
        <f>IF(H2240=1,IF(IFERROR(INDEX(coa_CF,MATCH(I2240,coa_Name,0)),"")="Cash",1,0),0)</f>
        <v/>
      </c>
      <c r="Q2240" s="101">
        <f>IF(H2240=1,IF(IFERROR(INDEX(coa_CF,MATCH(K2240,coa_Name,0)),"")="Cash",1,0),0)</f>
        <v/>
      </c>
      <c r="R2240" s="58">
        <f>IF((P2240-Q2240)=0,"",IFERROR(INDEX(coa_CF,MATCH(IF((P2240-Q2240)=1,K2240,I2240),coa_Name,0)),"Operating"))</f>
        <v/>
      </c>
      <c r="S2240" s="95">
        <f>IF((P2240-Q2240)=1,L2240,IF((P2240-Q2240)=-1,-J2240,0))</f>
        <v/>
      </c>
      <c r="T2240" s="95">
        <f>IF((P2240-Q2240)=1,N2240,IF((P2240-Q2240)=-1,-M2240,0))</f>
        <v/>
      </c>
      <c r="U2240" s="101">
        <f>IF(AND(H2240=1,LedAcct&lt;&gt;""),IF(AND(E2240&gt;=LedFrom,E2240&lt;=LedTo,OR(I2240=LedAcct,K2240=LedAcct,AND(LedAcct=acctTax,M2240+N2240&lt;&gt;0))),E2240*10000+B2240,""),"")</f>
        <v/>
      </c>
    </row>
    <row r="2241">
      <c r="B2241" s="101" t="n">
        <v>2235</v>
      </c>
      <c r="C2241" s="58" t="inlineStr">
        <is>
          <t>Invoice</t>
        </is>
      </c>
      <c r="D2241" s="58">
        <f>IF(H2241=1,INDEX(ar_No,235)&amp;"","")</f>
        <v/>
      </c>
      <c r="E2241" s="94">
        <f>IF(H2241=1,INDEX(ar_Date,235),"")</f>
        <v/>
      </c>
      <c r="F2241" s="58">
        <f>IF(H2241=1,INDEX(ar_Desc,235)&amp;"","")</f>
        <v/>
      </c>
      <c r="G2241" s="58">
        <f>IF(H2241=1,INDEX(ar_Party,235)&amp;"","")</f>
        <v/>
      </c>
      <c r="H2241" s="101">
        <f>IFERROR(N(INDEX(ar_Posted,235)),0)</f>
        <v/>
      </c>
      <c r="I2241" s="58">
        <f>IF(H2241=1,INDEX(ar_DrAcct,235)&amp;"","")</f>
        <v/>
      </c>
      <c r="J2241" s="95">
        <f>IF(H2241=1,INDEX(ar_DrAmt,235),0)</f>
        <v/>
      </c>
      <c r="K2241" s="58">
        <f>IF(H2241=1,INDEX(ar_CrAcct,235)&amp;"","")</f>
        <v/>
      </c>
      <c r="L2241" s="95">
        <f>IF(H2241=1,INDEX(ar_CrAmt,235),0)</f>
        <v/>
      </c>
      <c r="M2241" s="95" t="n">
        <v>0</v>
      </c>
      <c r="N2241" s="95">
        <f>IF(H2241=1,INDEX(ar_TaxAmt,235),0)</f>
        <v/>
      </c>
      <c r="O2241" s="101">
        <f>IF(H2241=1,IF(E2241&lt;FYStart,0,IF(E2241&gt;FYEnd,13,YEAR(E2241)*12+MONTH(E2241)-FYYM+1)),"")</f>
        <v/>
      </c>
      <c r="P2241" s="101">
        <f>IF(H2241=1,IF(IFERROR(INDEX(coa_CF,MATCH(I2241,coa_Name,0)),"")="Cash",1,0),0)</f>
        <v/>
      </c>
      <c r="Q2241" s="101">
        <f>IF(H2241=1,IF(IFERROR(INDEX(coa_CF,MATCH(K2241,coa_Name,0)),"")="Cash",1,0),0)</f>
        <v/>
      </c>
      <c r="R2241" s="58">
        <f>IF((P2241-Q2241)=0,"",IFERROR(INDEX(coa_CF,MATCH(IF((P2241-Q2241)=1,K2241,I2241),coa_Name,0)),"Operating"))</f>
        <v/>
      </c>
      <c r="S2241" s="95">
        <f>IF((P2241-Q2241)=1,L2241,IF((P2241-Q2241)=-1,-J2241,0))</f>
        <v/>
      </c>
      <c r="T2241" s="95">
        <f>IF((P2241-Q2241)=1,N2241,IF((P2241-Q2241)=-1,-M2241,0))</f>
        <v/>
      </c>
      <c r="U2241" s="101">
        <f>IF(AND(H2241=1,LedAcct&lt;&gt;""),IF(AND(E2241&gt;=LedFrom,E2241&lt;=LedTo,OR(I2241=LedAcct,K2241=LedAcct,AND(LedAcct=acctTax,M2241+N2241&lt;&gt;0))),E2241*10000+B2241,""),"")</f>
        <v/>
      </c>
    </row>
    <row r="2242">
      <c r="B2242" s="101" t="n">
        <v>2236</v>
      </c>
      <c r="C2242" s="58" t="inlineStr">
        <is>
          <t>Invoice</t>
        </is>
      </c>
      <c r="D2242" s="58">
        <f>IF(H2242=1,INDEX(ar_No,236)&amp;"","")</f>
        <v/>
      </c>
      <c r="E2242" s="94">
        <f>IF(H2242=1,INDEX(ar_Date,236),"")</f>
        <v/>
      </c>
      <c r="F2242" s="58">
        <f>IF(H2242=1,INDEX(ar_Desc,236)&amp;"","")</f>
        <v/>
      </c>
      <c r="G2242" s="58">
        <f>IF(H2242=1,INDEX(ar_Party,236)&amp;"","")</f>
        <v/>
      </c>
      <c r="H2242" s="101">
        <f>IFERROR(N(INDEX(ar_Posted,236)),0)</f>
        <v/>
      </c>
      <c r="I2242" s="58">
        <f>IF(H2242=1,INDEX(ar_DrAcct,236)&amp;"","")</f>
        <v/>
      </c>
      <c r="J2242" s="95">
        <f>IF(H2242=1,INDEX(ar_DrAmt,236),0)</f>
        <v/>
      </c>
      <c r="K2242" s="58">
        <f>IF(H2242=1,INDEX(ar_CrAcct,236)&amp;"","")</f>
        <v/>
      </c>
      <c r="L2242" s="95">
        <f>IF(H2242=1,INDEX(ar_CrAmt,236),0)</f>
        <v/>
      </c>
      <c r="M2242" s="95" t="n">
        <v>0</v>
      </c>
      <c r="N2242" s="95">
        <f>IF(H2242=1,INDEX(ar_TaxAmt,236),0)</f>
        <v/>
      </c>
      <c r="O2242" s="101">
        <f>IF(H2242=1,IF(E2242&lt;FYStart,0,IF(E2242&gt;FYEnd,13,YEAR(E2242)*12+MONTH(E2242)-FYYM+1)),"")</f>
        <v/>
      </c>
      <c r="P2242" s="101">
        <f>IF(H2242=1,IF(IFERROR(INDEX(coa_CF,MATCH(I2242,coa_Name,0)),"")="Cash",1,0),0)</f>
        <v/>
      </c>
      <c r="Q2242" s="101">
        <f>IF(H2242=1,IF(IFERROR(INDEX(coa_CF,MATCH(K2242,coa_Name,0)),"")="Cash",1,0),0)</f>
        <v/>
      </c>
      <c r="R2242" s="58">
        <f>IF((P2242-Q2242)=0,"",IFERROR(INDEX(coa_CF,MATCH(IF((P2242-Q2242)=1,K2242,I2242),coa_Name,0)),"Operating"))</f>
        <v/>
      </c>
      <c r="S2242" s="95">
        <f>IF((P2242-Q2242)=1,L2242,IF((P2242-Q2242)=-1,-J2242,0))</f>
        <v/>
      </c>
      <c r="T2242" s="95">
        <f>IF((P2242-Q2242)=1,N2242,IF((P2242-Q2242)=-1,-M2242,0))</f>
        <v/>
      </c>
      <c r="U2242" s="101">
        <f>IF(AND(H2242=1,LedAcct&lt;&gt;""),IF(AND(E2242&gt;=LedFrom,E2242&lt;=LedTo,OR(I2242=LedAcct,K2242=LedAcct,AND(LedAcct=acctTax,M2242+N2242&lt;&gt;0))),E2242*10000+B2242,""),"")</f>
        <v/>
      </c>
    </row>
    <row r="2243">
      <c r="B2243" s="101" t="n">
        <v>2237</v>
      </c>
      <c r="C2243" s="58" t="inlineStr">
        <is>
          <t>Invoice</t>
        </is>
      </c>
      <c r="D2243" s="58">
        <f>IF(H2243=1,INDEX(ar_No,237)&amp;"","")</f>
        <v/>
      </c>
      <c r="E2243" s="94">
        <f>IF(H2243=1,INDEX(ar_Date,237),"")</f>
        <v/>
      </c>
      <c r="F2243" s="58">
        <f>IF(H2243=1,INDEX(ar_Desc,237)&amp;"","")</f>
        <v/>
      </c>
      <c r="G2243" s="58">
        <f>IF(H2243=1,INDEX(ar_Party,237)&amp;"","")</f>
        <v/>
      </c>
      <c r="H2243" s="101">
        <f>IFERROR(N(INDEX(ar_Posted,237)),0)</f>
        <v/>
      </c>
      <c r="I2243" s="58">
        <f>IF(H2243=1,INDEX(ar_DrAcct,237)&amp;"","")</f>
        <v/>
      </c>
      <c r="J2243" s="95">
        <f>IF(H2243=1,INDEX(ar_DrAmt,237),0)</f>
        <v/>
      </c>
      <c r="K2243" s="58">
        <f>IF(H2243=1,INDEX(ar_CrAcct,237)&amp;"","")</f>
        <v/>
      </c>
      <c r="L2243" s="95">
        <f>IF(H2243=1,INDEX(ar_CrAmt,237),0)</f>
        <v/>
      </c>
      <c r="M2243" s="95" t="n">
        <v>0</v>
      </c>
      <c r="N2243" s="95">
        <f>IF(H2243=1,INDEX(ar_TaxAmt,237),0)</f>
        <v/>
      </c>
      <c r="O2243" s="101">
        <f>IF(H2243=1,IF(E2243&lt;FYStart,0,IF(E2243&gt;FYEnd,13,YEAR(E2243)*12+MONTH(E2243)-FYYM+1)),"")</f>
        <v/>
      </c>
      <c r="P2243" s="101">
        <f>IF(H2243=1,IF(IFERROR(INDEX(coa_CF,MATCH(I2243,coa_Name,0)),"")="Cash",1,0),0)</f>
        <v/>
      </c>
      <c r="Q2243" s="101">
        <f>IF(H2243=1,IF(IFERROR(INDEX(coa_CF,MATCH(K2243,coa_Name,0)),"")="Cash",1,0),0)</f>
        <v/>
      </c>
      <c r="R2243" s="58">
        <f>IF((P2243-Q2243)=0,"",IFERROR(INDEX(coa_CF,MATCH(IF((P2243-Q2243)=1,K2243,I2243),coa_Name,0)),"Operating"))</f>
        <v/>
      </c>
      <c r="S2243" s="95">
        <f>IF((P2243-Q2243)=1,L2243,IF((P2243-Q2243)=-1,-J2243,0))</f>
        <v/>
      </c>
      <c r="T2243" s="95">
        <f>IF((P2243-Q2243)=1,N2243,IF((P2243-Q2243)=-1,-M2243,0))</f>
        <v/>
      </c>
      <c r="U2243" s="101">
        <f>IF(AND(H2243=1,LedAcct&lt;&gt;""),IF(AND(E2243&gt;=LedFrom,E2243&lt;=LedTo,OR(I2243=LedAcct,K2243=LedAcct,AND(LedAcct=acctTax,M2243+N2243&lt;&gt;0))),E2243*10000+B2243,""),"")</f>
        <v/>
      </c>
    </row>
    <row r="2244">
      <c r="B2244" s="101" t="n">
        <v>2238</v>
      </c>
      <c r="C2244" s="58" t="inlineStr">
        <is>
          <t>Invoice</t>
        </is>
      </c>
      <c r="D2244" s="58">
        <f>IF(H2244=1,INDEX(ar_No,238)&amp;"","")</f>
        <v/>
      </c>
      <c r="E2244" s="94">
        <f>IF(H2244=1,INDEX(ar_Date,238),"")</f>
        <v/>
      </c>
      <c r="F2244" s="58">
        <f>IF(H2244=1,INDEX(ar_Desc,238)&amp;"","")</f>
        <v/>
      </c>
      <c r="G2244" s="58">
        <f>IF(H2244=1,INDEX(ar_Party,238)&amp;"","")</f>
        <v/>
      </c>
      <c r="H2244" s="101">
        <f>IFERROR(N(INDEX(ar_Posted,238)),0)</f>
        <v/>
      </c>
      <c r="I2244" s="58">
        <f>IF(H2244=1,INDEX(ar_DrAcct,238)&amp;"","")</f>
        <v/>
      </c>
      <c r="J2244" s="95">
        <f>IF(H2244=1,INDEX(ar_DrAmt,238),0)</f>
        <v/>
      </c>
      <c r="K2244" s="58">
        <f>IF(H2244=1,INDEX(ar_CrAcct,238)&amp;"","")</f>
        <v/>
      </c>
      <c r="L2244" s="95">
        <f>IF(H2244=1,INDEX(ar_CrAmt,238),0)</f>
        <v/>
      </c>
      <c r="M2244" s="95" t="n">
        <v>0</v>
      </c>
      <c r="N2244" s="95">
        <f>IF(H2244=1,INDEX(ar_TaxAmt,238),0)</f>
        <v/>
      </c>
      <c r="O2244" s="101">
        <f>IF(H2244=1,IF(E2244&lt;FYStart,0,IF(E2244&gt;FYEnd,13,YEAR(E2244)*12+MONTH(E2244)-FYYM+1)),"")</f>
        <v/>
      </c>
      <c r="P2244" s="101">
        <f>IF(H2244=1,IF(IFERROR(INDEX(coa_CF,MATCH(I2244,coa_Name,0)),"")="Cash",1,0),0)</f>
        <v/>
      </c>
      <c r="Q2244" s="101">
        <f>IF(H2244=1,IF(IFERROR(INDEX(coa_CF,MATCH(K2244,coa_Name,0)),"")="Cash",1,0),0)</f>
        <v/>
      </c>
      <c r="R2244" s="58">
        <f>IF((P2244-Q2244)=0,"",IFERROR(INDEX(coa_CF,MATCH(IF((P2244-Q2244)=1,K2244,I2244),coa_Name,0)),"Operating"))</f>
        <v/>
      </c>
      <c r="S2244" s="95">
        <f>IF((P2244-Q2244)=1,L2244,IF((P2244-Q2244)=-1,-J2244,0))</f>
        <v/>
      </c>
      <c r="T2244" s="95">
        <f>IF((P2244-Q2244)=1,N2244,IF((P2244-Q2244)=-1,-M2244,0))</f>
        <v/>
      </c>
      <c r="U2244" s="101">
        <f>IF(AND(H2244=1,LedAcct&lt;&gt;""),IF(AND(E2244&gt;=LedFrom,E2244&lt;=LedTo,OR(I2244=LedAcct,K2244=LedAcct,AND(LedAcct=acctTax,M2244+N2244&lt;&gt;0))),E2244*10000+B2244,""),"")</f>
        <v/>
      </c>
    </row>
    <row r="2245">
      <c r="B2245" s="101" t="n">
        <v>2239</v>
      </c>
      <c r="C2245" s="58" t="inlineStr">
        <is>
          <t>Invoice</t>
        </is>
      </c>
      <c r="D2245" s="58">
        <f>IF(H2245=1,INDEX(ar_No,239)&amp;"","")</f>
        <v/>
      </c>
      <c r="E2245" s="94">
        <f>IF(H2245=1,INDEX(ar_Date,239),"")</f>
        <v/>
      </c>
      <c r="F2245" s="58">
        <f>IF(H2245=1,INDEX(ar_Desc,239)&amp;"","")</f>
        <v/>
      </c>
      <c r="G2245" s="58">
        <f>IF(H2245=1,INDEX(ar_Party,239)&amp;"","")</f>
        <v/>
      </c>
      <c r="H2245" s="101">
        <f>IFERROR(N(INDEX(ar_Posted,239)),0)</f>
        <v/>
      </c>
      <c r="I2245" s="58">
        <f>IF(H2245=1,INDEX(ar_DrAcct,239)&amp;"","")</f>
        <v/>
      </c>
      <c r="J2245" s="95">
        <f>IF(H2245=1,INDEX(ar_DrAmt,239),0)</f>
        <v/>
      </c>
      <c r="K2245" s="58">
        <f>IF(H2245=1,INDEX(ar_CrAcct,239)&amp;"","")</f>
        <v/>
      </c>
      <c r="L2245" s="95">
        <f>IF(H2245=1,INDEX(ar_CrAmt,239),0)</f>
        <v/>
      </c>
      <c r="M2245" s="95" t="n">
        <v>0</v>
      </c>
      <c r="N2245" s="95">
        <f>IF(H2245=1,INDEX(ar_TaxAmt,239),0)</f>
        <v/>
      </c>
      <c r="O2245" s="101">
        <f>IF(H2245=1,IF(E2245&lt;FYStart,0,IF(E2245&gt;FYEnd,13,YEAR(E2245)*12+MONTH(E2245)-FYYM+1)),"")</f>
        <v/>
      </c>
      <c r="P2245" s="101">
        <f>IF(H2245=1,IF(IFERROR(INDEX(coa_CF,MATCH(I2245,coa_Name,0)),"")="Cash",1,0),0)</f>
        <v/>
      </c>
      <c r="Q2245" s="101">
        <f>IF(H2245=1,IF(IFERROR(INDEX(coa_CF,MATCH(K2245,coa_Name,0)),"")="Cash",1,0),0)</f>
        <v/>
      </c>
      <c r="R2245" s="58">
        <f>IF((P2245-Q2245)=0,"",IFERROR(INDEX(coa_CF,MATCH(IF((P2245-Q2245)=1,K2245,I2245),coa_Name,0)),"Operating"))</f>
        <v/>
      </c>
      <c r="S2245" s="95">
        <f>IF((P2245-Q2245)=1,L2245,IF((P2245-Q2245)=-1,-J2245,0))</f>
        <v/>
      </c>
      <c r="T2245" s="95">
        <f>IF((P2245-Q2245)=1,N2245,IF((P2245-Q2245)=-1,-M2245,0))</f>
        <v/>
      </c>
      <c r="U2245" s="101">
        <f>IF(AND(H2245=1,LedAcct&lt;&gt;""),IF(AND(E2245&gt;=LedFrom,E2245&lt;=LedTo,OR(I2245=LedAcct,K2245=LedAcct,AND(LedAcct=acctTax,M2245+N2245&lt;&gt;0))),E2245*10000+B2245,""),"")</f>
        <v/>
      </c>
    </row>
    <row r="2246">
      <c r="B2246" s="101" t="n">
        <v>2240</v>
      </c>
      <c r="C2246" s="58" t="inlineStr">
        <is>
          <t>Invoice</t>
        </is>
      </c>
      <c r="D2246" s="58">
        <f>IF(H2246=1,INDEX(ar_No,240)&amp;"","")</f>
        <v/>
      </c>
      <c r="E2246" s="94">
        <f>IF(H2246=1,INDEX(ar_Date,240),"")</f>
        <v/>
      </c>
      <c r="F2246" s="58">
        <f>IF(H2246=1,INDEX(ar_Desc,240)&amp;"","")</f>
        <v/>
      </c>
      <c r="G2246" s="58">
        <f>IF(H2246=1,INDEX(ar_Party,240)&amp;"","")</f>
        <v/>
      </c>
      <c r="H2246" s="101">
        <f>IFERROR(N(INDEX(ar_Posted,240)),0)</f>
        <v/>
      </c>
      <c r="I2246" s="58">
        <f>IF(H2246=1,INDEX(ar_DrAcct,240)&amp;"","")</f>
        <v/>
      </c>
      <c r="J2246" s="95">
        <f>IF(H2246=1,INDEX(ar_DrAmt,240),0)</f>
        <v/>
      </c>
      <c r="K2246" s="58">
        <f>IF(H2246=1,INDEX(ar_CrAcct,240)&amp;"","")</f>
        <v/>
      </c>
      <c r="L2246" s="95">
        <f>IF(H2246=1,INDEX(ar_CrAmt,240),0)</f>
        <v/>
      </c>
      <c r="M2246" s="95" t="n">
        <v>0</v>
      </c>
      <c r="N2246" s="95">
        <f>IF(H2246=1,INDEX(ar_TaxAmt,240),0)</f>
        <v/>
      </c>
      <c r="O2246" s="101">
        <f>IF(H2246=1,IF(E2246&lt;FYStart,0,IF(E2246&gt;FYEnd,13,YEAR(E2246)*12+MONTH(E2246)-FYYM+1)),"")</f>
        <v/>
      </c>
      <c r="P2246" s="101">
        <f>IF(H2246=1,IF(IFERROR(INDEX(coa_CF,MATCH(I2246,coa_Name,0)),"")="Cash",1,0),0)</f>
        <v/>
      </c>
      <c r="Q2246" s="101">
        <f>IF(H2246=1,IF(IFERROR(INDEX(coa_CF,MATCH(K2246,coa_Name,0)),"")="Cash",1,0),0)</f>
        <v/>
      </c>
      <c r="R2246" s="58">
        <f>IF((P2246-Q2246)=0,"",IFERROR(INDEX(coa_CF,MATCH(IF((P2246-Q2246)=1,K2246,I2246),coa_Name,0)),"Operating"))</f>
        <v/>
      </c>
      <c r="S2246" s="95">
        <f>IF((P2246-Q2246)=1,L2246,IF((P2246-Q2246)=-1,-J2246,0))</f>
        <v/>
      </c>
      <c r="T2246" s="95">
        <f>IF((P2246-Q2246)=1,N2246,IF((P2246-Q2246)=-1,-M2246,0))</f>
        <v/>
      </c>
      <c r="U2246" s="101">
        <f>IF(AND(H2246=1,LedAcct&lt;&gt;""),IF(AND(E2246&gt;=LedFrom,E2246&lt;=LedTo,OR(I2246=LedAcct,K2246=LedAcct,AND(LedAcct=acctTax,M2246+N2246&lt;&gt;0))),E2246*10000+B2246,""),"")</f>
        <v/>
      </c>
    </row>
    <row r="2247">
      <c r="B2247" s="101" t="n">
        <v>2241</v>
      </c>
      <c r="C2247" s="58" t="inlineStr">
        <is>
          <t>Invoice</t>
        </is>
      </c>
      <c r="D2247" s="58">
        <f>IF(H2247=1,INDEX(ar_No,241)&amp;"","")</f>
        <v/>
      </c>
      <c r="E2247" s="94">
        <f>IF(H2247=1,INDEX(ar_Date,241),"")</f>
        <v/>
      </c>
      <c r="F2247" s="58">
        <f>IF(H2247=1,INDEX(ar_Desc,241)&amp;"","")</f>
        <v/>
      </c>
      <c r="G2247" s="58">
        <f>IF(H2247=1,INDEX(ar_Party,241)&amp;"","")</f>
        <v/>
      </c>
      <c r="H2247" s="101">
        <f>IFERROR(N(INDEX(ar_Posted,241)),0)</f>
        <v/>
      </c>
      <c r="I2247" s="58">
        <f>IF(H2247=1,INDEX(ar_DrAcct,241)&amp;"","")</f>
        <v/>
      </c>
      <c r="J2247" s="95">
        <f>IF(H2247=1,INDEX(ar_DrAmt,241),0)</f>
        <v/>
      </c>
      <c r="K2247" s="58">
        <f>IF(H2247=1,INDEX(ar_CrAcct,241)&amp;"","")</f>
        <v/>
      </c>
      <c r="L2247" s="95">
        <f>IF(H2247=1,INDEX(ar_CrAmt,241),0)</f>
        <v/>
      </c>
      <c r="M2247" s="95" t="n">
        <v>0</v>
      </c>
      <c r="N2247" s="95">
        <f>IF(H2247=1,INDEX(ar_TaxAmt,241),0)</f>
        <v/>
      </c>
      <c r="O2247" s="101">
        <f>IF(H2247=1,IF(E2247&lt;FYStart,0,IF(E2247&gt;FYEnd,13,YEAR(E2247)*12+MONTH(E2247)-FYYM+1)),"")</f>
        <v/>
      </c>
      <c r="P2247" s="101">
        <f>IF(H2247=1,IF(IFERROR(INDEX(coa_CF,MATCH(I2247,coa_Name,0)),"")="Cash",1,0),0)</f>
        <v/>
      </c>
      <c r="Q2247" s="101">
        <f>IF(H2247=1,IF(IFERROR(INDEX(coa_CF,MATCH(K2247,coa_Name,0)),"")="Cash",1,0),0)</f>
        <v/>
      </c>
      <c r="R2247" s="58">
        <f>IF((P2247-Q2247)=0,"",IFERROR(INDEX(coa_CF,MATCH(IF((P2247-Q2247)=1,K2247,I2247),coa_Name,0)),"Operating"))</f>
        <v/>
      </c>
      <c r="S2247" s="95">
        <f>IF((P2247-Q2247)=1,L2247,IF((P2247-Q2247)=-1,-J2247,0))</f>
        <v/>
      </c>
      <c r="T2247" s="95">
        <f>IF((P2247-Q2247)=1,N2247,IF((P2247-Q2247)=-1,-M2247,0))</f>
        <v/>
      </c>
      <c r="U2247" s="101">
        <f>IF(AND(H2247=1,LedAcct&lt;&gt;""),IF(AND(E2247&gt;=LedFrom,E2247&lt;=LedTo,OR(I2247=LedAcct,K2247=LedAcct,AND(LedAcct=acctTax,M2247+N2247&lt;&gt;0))),E2247*10000+B2247,""),"")</f>
        <v/>
      </c>
    </row>
    <row r="2248">
      <c r="B2248" s="101" t="n">
        <v>2242</v>
      </c>
      <c r="C2248" s="58" t="inlineStr">
        <is>
          <t>Invoice</t>
        </is>
      </c>
      <c r="D2248" s="58">
        <f>IF(H2248=1,INDEX(ar_No,242)&amp;"","")</f>
        <v/>
      </c>
      <c r="E2248" s="94">
        <f>IF(H2248=1,INDEX(ar_Date,242),"")</f>
        <v/>
      </c>
      <c r="F2248" s="58">
        <f>IF(H2248=1,INDEX(ar_Desc,242)&amp;"","")</f>
        <v/>
      </c>
      <c r="G2248" s="58">
        <f>IF(H2248=1,INDEX(ar_Party,242)&amp;"","")</f>
        <v/>
      </c>
      <c r="H2248" s="101">
        <f>IFERROR(N(INDEX(ar_Posted,242)),0)</f>
        <v/>
      </c>
      <c r="I2248" s="58">
        <f>IF(H2248=1,INDEX(ar_DrAcct,242)&amp;"","")</f>
        <v/>
      </c>
      <c r="J2248" s="95">
        <f>IF(H2248=1,INDEX(ar_DrAmt,242),0)</f>
        <v/>
      </c>
      <c r="K2248" s="58">
        <f>IF(H2248=1,INDEX(ar_CrAcct,242)&amp;"","")</f>
        <v/>
      </c>
      <c r="L2248" s="95">
        <f>IF(H2248=1,INDEX(ar_CrAmt,242),0)</f>
        <v/>
      </c>
      <c r="M2248" s="95" t="n">
        <v>0</v>
      </c>
      <c r="N2248" s="95">
        <f>IF(H2248=1,INDEX(ar_TaxAmt,242),0)</f>
        <v/>
      </c>
      <c r="O2248" s="101">
        <f>IF(H2248=1,IF(E2248&lt;FYStart,0,IF(E2248&gt;FYEnd,13,YEAR(E2248)*12+MONTH(E2248)-FYYM+1)),"")</f>
        <v/>
      </c>
      <c r="P2248" s="101">
        <f>IF(H2248=1,IF(IFERROR(INDEX(coa_CF,MATCH(I2248,coa_Name,0)),"")="Cash",1,0),0)</f>
        <v/>
      </c>
      <c r="Q2248" s="101">
        <f>IF(H2248=1,IF(IFERROR(INDEX(coa_CF,MATCH(K2248,coa_Name,0)),"")="Cash",1,0),0)</f>
        <v/>
      </c>
      <c r="R2248" s="58">
        <f>IF((P2248-Q2248)=0,"",IFERROR(INDEX(coa_CF,MATCH(IF((P2248-Q2248)=1,K2248,I2248),coa_Name,0)),"Operating"))</f>
        <v/>
      </c>
      <c r="S2248" s="95">
        <f>IF((P2248-Q2248)=1,L2248,IF((P2248-Q2248)=-1,-J2248,0))</f>
        <v/>
      </c>
      <c r="T2248" s="95">
        <f>IF((P2248-Q2248)=1,N2248,IF((P2248-Q2248)=-1,-M2248,0))</f>
        <v/>
      </c>
      <c r="U2248" s="101">
        <f>IF(AND(H2248=1,LedAcct&lt;&gt;""),IF(AND(E2248&gt;=LedFrom,E2248&lt;=LedTo,OR(I2248=LedAcct,K2248=LedAcct,AND(LedAcct=acctTax,M2248+N2248&lt;&gt;0))),E2248*10000+B2248,""),"")</f>
        <v/>
      </c>
    </row>
    <row r="2249">
      <c r="B2249" s="101" t="n">
        <v>2243</v>
      </c>
      <c r="C2249" s="58" t="inlineStr">
        <is>
          <t>Invoice</t>
        </is>
      </c>
      <c r="D2249" s="58">
        <f>IF(H2249=1,INDEX(ar_No,243)&amp;"","")</f>
        <v/>
      </c>
      <c r="E2249" s="94">
        <f>IF(H2249=1,INDEX(ar_Date,243),"")</f>
        <v/>
      </c>
      <c r="F2249" s="58">
        <f>IF(H2249=1,INDEX(ar_Desc,243)&amp;"","")</f>
        <v/>
      </c>
      <c r="G2249" s="58">
        <f>IF(H2249=1,INDEX(ar_Party,243)&amp;"","")</f>
        <v/>
      </c>
      <c r="H2249" s="101">
        <f>IFERROR(N(INDEX(ar_Posted,243)),0)</f>
        <v/>
      </c>
      <c r="I2249" s="58">
        <f>IF(H2249=1,INDEX(ar_DrAcct,243)&amp;"","")</f>
        <v/>
      </c>
      <c r="J2249" s="95">
        <f>IF(H2249=1,INDEX(ar_DrAmt,243),0)</f>
        <v/>
      </c>
      <c r="K2249" s="58">
        <f>IF(H2249=1,INDEX(ar_CrAcct,243)&amp;"","")</f>
        <v/>
      </c>
      <c r="L2249" s="95">
        <f>IF(H2249=1,INDEX(ar_CrAmt,243),0)</f>
        <v/>
      </c>
      <c r="M2249" s="95" t="n">
        <v>0</v>
      </c>
      <c r="N2249" s="95">
        <f>IF(H2249=1,INDEX(ar_TaxAmt,243),0)</f>
        <v/>
      </c>
      <c r="O2249" s="101">
        <f>IF(H2249=1,IF(E2249&lt;FYStart,0,IF(E2249&gt;FYEnd,13,YEAR(E2249)*12+MONTH(E2249)-FYYM+1)),"")</f>
        <v/>
      </c>
      <c r="P2249" s="101">
        <f>IF(H2249=1,IF(IFERROR(INDEX(coa_CF,MATCH(I2249,coa_Name,0)),"")="Cash",1,0),0)</f>
        <v/>
      </c>
      <c r="Q2249" s="101">
        <f>IF(H2249=1,IF(IFERROR(INDEX(coa_CF,MATCH(K2249,coa_Name,0)),"")="Cash",1,0),0)</f>
        <v/>
      </c>
      <c r="R2249" s="58">
        <f>IF((P2249-Q2249)=0,"",IFERROR(INDEX(coa_CF,MATCH(IF((P2249-Q2249)=1,K2249,I2249),coa_Name,0)),"Operating"))</f>
        <v/>
      </c>
      <c r="S2249" s="95">
        <f>IF((P2249-Q2249)=1,L2249,IF((P2249-Q2249)=-1,-J2249,0))</f>
        <v/>
      </c>
      <c r="T2249" s="95">
        <f>IF((P2249-Q2249)=1,N2249,IF((P2249-Q2249)=-1,-M2249,0))</f>
        <v/>
      </c>
      <c r="U2249" s="101">
        <f>IF(AND(H2249=1,LedAcct&lt;&gt;""),IF(AND(E2249&gt;=LedFrom,E2249&lt;=LedTo,OR(I2249=LedAcct,K2249=LedAcct,AND(LedAcct=acctTax,M2249+N2249&lt;&gt;0))),E2249*10000+B2249,""),"")</f>
        <v/>
      </c>
    </row>
    <row r="2250">
      <c r="B2250" s="101" t="n">
        <v>2244</v>
      </c>
      <c r="C2250" s="58" t="inlineStr">
        <is>
          <t>Invoice</t>
        </is>
      </c>
      <c r="D2250" s="58">
        <f>IF(H2250=1,INDEX(ar_No,244)&amp;"","")</f>
        <v/>
      </c>
      <c r="E2250" s="94">
        <f>IF(H2250=1,INDEX(ar_Date,244),"")</f>
        <v/>
      </c>
      <c r="F2250" s="58">
        <f>IF(H2250=1,INDEX(ar_Desc,244)&amp;"","")</f>
        <v/>
      </c>
      <c r="G2250" s="58">
        <f>IF(H2250=1,INDEX(ar_Party,244)&amp;"","")</f>
        <v/>
      </c>
      <c r="H2250" s="101">
        <f>IFERROR(N(INDEX(ar_Posted,244)),0)</f>
        <v/>
      </c>
      <c r="I2250" s="58">
        <f>IF(H2250=1,INDEX(ar_DrAcct,244)&amp;"","")</f>
        <v/>
      </c>
      <c r="J2250" s="95">
        <f>IF(H2250=1,INDEX(ar_DrAmt,244),0)</f>
        <v/>
      </c>
      <c r="K2250" s="58">
        <f>IF(H2250=1,INDEX(ar_CrAcct,244)&amp;"","")</f>
        <v/>
      </c>
      <c r="L2250" s="95">
        <f>IF(H2250=1,INDEX(ar_CrAmt,244),0)</f>
        <v/>
      </c>
      <c r="M2250" s="95" t="n">
        <v>0</v>
      </c>
      <c r="N2250" s="95">
        <f>IF(H2250=1,INDEX(ar_TaxAmt,244),0)</f>
        <v/>
      </c>
      <c r="O2250" s="101">
        <f>IF(H2250=1,IF(E2250&lt;FYStart,0,IF(E2250&gt;FYEnd,13,YEAR(E2250)*12+MONTH(E2250)-FYYM+1)),"")</f>
        <v/>
      </c>
      <c r="P2250" s="101">
        <f>IF(H2250=1,IF(IFERROR(INDEX(coa_CF,MATCH(I2250,coa_Name,0)),"")="Cash",1,0),0)</f>
        <v/>
      </c>
      <c r="Q2250" s="101">
        <f>IF(H2250=1,IF(IFERROR(INDEX(coa_CF,MATCH(K2250,coa_Name,0)),"")="Cash",1,0),0)</f>
        <v/>
      </c>
      <c r="R2250" s="58">
        <f>IF((P2250-Q2250)=0,"",IFERROR(INDEX(coa_CF,MATCH(IF((P2250-Q2250)=1,K2250,I2250),coa_Name,0)),"Operating"))</f>
        <v/>
      </c>
      <c r="S2250" s="95">
        <f>IF((P2250-Q2250)=1,L2250,IF((P2250-Q2250)=-1,-J2250,0))</f>
        <v/>
      </c>
      <c r="T2250" s="95">
        <f>IF((P2250-Q2250)=1,N2250,IF((P2250-Q2250)=-1,-M2250,0))</f>
        <v/>
      </c>
      <c r="U2250" s="101">
        <f>IF(AND(H2250=1,LedAcct&lt;&gt;""),IF(AND(E2250&gt;=LedFrom,E2250&lt;=LedTo,OR(I2250=LedAcct,K2250=LedAcct,AND(LedAcct=acctTax,M2250+N2250&lt;&gt;0))),E2250*10000+B2250,""),"")</f>
        <v/>
      </c>
    </row>
    <row r="2251">
      <c r="B2251" s="101" t="n">
        <v>2245</v>
      </c>
      <c r="C2251" s="58" t="inlineStr">
        <is>
          <t>Invoice</t>
        </is>
      </c>
      <c r="D2251" s="58">
        <f>IF(H2251=1,INDEX(ar_No,245)&amp;"","")</f>
        <v/>
      </c>
      <c r="E2251" s="94">
        <f>IF(H2251=1,INDEX(ar_Date,245),"")</f>
        <v/>
      </c>
      <c r="F2251" s="58">
        <f>IF(H2251=1,INDEX(ar_Desc,245)&amp;"","")</f>
        <v/>
      </c>
      <c r="G2251" s="58">
        <f>IF(H2251=1,INDEX(ar_Party,245)&amp;"","")</f>
        <v/>
      </c>
      <c r="H2251" s="101">
        <f>IFERROR(N(INDEX(ar_Posted,245)),0)</f>
        <v/>
      </c>
      <c r="I2251" s="58">
        <f>IF(H2251=1,INDEX(ar_DrAcct,245)&amp;"","")</f>
        <v/>
      </c>
      <c r="J2251" s="95">
        <f>IF(H2251=1,INDEX(ar_DrAmt,245),0)</f>
        <v/>
      </c>
      <c r="K2251" s="58">
        <f>IF(H2251=1,INDEX(ar_CrAcct,245)&amp;"","")</f>
        <v/>
      </c>
      <c r="L2251" s="95">
        <f>IF(H2251=1,INDEX(ar_CrAmt,245),0)</f>
        <v/>
      </c>
      <c r="M2251" s="95" t="n">
        <v>0</v>
      </c>
      <c r="N2251" s="95">
        <f>IF(H2251=1,INDEX(ar_TaxAmt,245),0)</f>
        <v/>
      </c>
      <c r="O2251" s="101">
        <f>IF(H2251=1,IF(E2251&lt;FYStart,0,IF(E2251&gt;FYEnd,13,YEAR(E2251)*12+MONTH(E2251)-FYYM+1)),"")</f>
        <v/>
      </c>
      <c r="P2251" s="101">
        <f>IF(H2251=1,IF(IFERROR(INDEX(coa_CF,MATCH(I2251,coa_Name,0)),"")="Cash",1,0),0)</f>
        <v/>
      </c>
      <c r="Q2251" s="101">
        <f>IF(H2251=1,IF(IFERROR(INDEX(coa_CF,MATCH(K2251,coa_Name,0)),"")="Cash",1,0),0)</f>
        <v/>
      </c>
      <c r="R2251" s="58">
        <f>IF((P2251-Q2251)=0,"",IFERROR(INDEX(coa_CF,MATCH(IF((P2251-Q2251)=1,K2251,I2251),coa_Name,0)),"Operating"))</f>
        <v/>
      </c>
      <c r="S2251" s="95">
        <f>IF((P2251-Q2251)=1,L2251,IF((P2251-Q2251)=-1,-J2251,0))</f>
        <v/>
      </c>
      <c r="T2251" s="95">
        <f>IF((P2251-Q2251)=1,N2251,IF((P2251-Q2251)=-1,-M2251,0))</f>
        <v/>
      </c>
      <c r="U2251" s="101">
        <f>IF(AND(H2251=1,LedAcct&lt;&gt;""),IF(AND(E2251&gt;=LedFrom,E2251&lt;=LedTo,OR(I2251=LedAcct,K2251=LedAcct,AND(LedAcct=acctTax,M2251+N2251&lt;&gt;0))),E2251*10000+B2251,""),"")</f>
        <v/>
      </c>
    </row>
    <row r="2252">
      <c r="B2252" s="101" t="n">
        <v>2246</v>
      </c>
      <c r="C2252" s="58" t="inlineStr">
        <is>
          <t>Invoice</t>
        </is>
      </c>
      <c r="D2252" s="58">
        <f>IF(H2252=1,INDEX(ar_No,246)&amp;"","")</f>
        <v/>
      </c>
      <c r="E2252" s="94">
        <f>IF(H2252=1,INDEX(ar_Date,246),"")</f>
        <v/>
      </c>
      <c r="F2252" s="58">
        <f>IF(H2252=1,INDEX(ar_Desc,246)&amp;"","")</f>
        <v/>
      </c>
      <c r="G2252" s="58">
        <f>IF(H2252=1,INDEX(ar_Party,246)&amp;"","")</f>
        <v/>
      </c>
      <c r="H2252" s="101">
        <f>IFERROR(N(INDEX(ar_Posted,246)),0)</f>
        <v/>
      </c>
      <c r="I2252" s="58">
        <f>IF(H2252=1,INDEX(ar_DrAcct,246)&amp;"","")</f>
        <v/>
      </c>
      <c r="J2252" s="95">
        <f>IF(H2252=1,INDEX(ar_DrAmt,246),0)</f>
        <v/>
      </c>
      <c r="K2252" s="58">
        <f>IF(H2252=1,INDEX(ar_CrAcct,246)&amp;"","")</f>
        <v/>
      </c>
      <c r="L2252" s="95">
        <f>IF(H2252=1,INDEX(ar_CrAmt,246),0)</f>
        <v/>
      </c>
      <c r="M2252" s="95" t="n">
        <v>0</v>
      </c>
      <c r="N2252" s="95">
        <f>IF(H2252=1,INDEX(ar_TaxAmt,246),0)</f>
        <v/>
      </c>
      <c r="O2252" s="101">
        <f>IF(H2252=1,IF(E2252&lt;FYStart,0,IF(E2252&gt;FYEnd,13,YEAR(E2252)*12+MONTH(E2252)-FYYM+1)),"")</f>
        <v/>
      </c>
      <c r="P2252" s="101">
        <f>IF(H2252=1,IF(IFERROR(INDEX(coa_CF,MATCH(I2252,coa_Name,0)),"")="Cash",1,0),0)</f>
        <v/>
      </c>
      <c r="Q2252" s="101">
        <f>IF(H2252=1,IF(IFERROR(INDEX(coa_CF,MATCH(K2252,coa_Name,0)),"")="Cash",1,0),0)</f>
        <v/>
      </c>
      <c r="R2252" s="58">
        <f>IF((P2252-Q2252)=0,"",IFERROR(INDEX(coa_CF,MATCH(IF((P2252-Q2252)=1,K2252,I2252),coa_Name,0)),"Operating"))</f>
        <v/>
      </c>
      <c r="S2252" s="95">
        <f>IF((P2252-Q2252)=1,L2252,IF((P2252-Q2252)=-1,-J2252,0))</f>
        <v/>
      </c>
      <c r="T2252" s="95">
        <f>IF((P2252-Q2252)=1,N2252,IF((P2252-Q2252)=-1,-M2252,0))</f>
        <v/>
      </c>
      <c r="U2252" s="101">
        <f>IF(AND(H2252=1,LedAcct&lt;&gt;""),IF(AND(E2252&gt;=LedFrom,E2252&lt;=LedTo,OR(I2252=LedAcct,K2252=LedAcct,AND(LedAcct=acctTax,M2252+N2252&lt;&gt;0))),E2252*10000+B2252,""),"")</f>
        <v/>
      </c>
    </row>
    <row r="2253">
      <c r="B2253" s="101" t="n">
        <v>2247</v>
      </c>
      <c r="C2253" s="58" t="inlineStr">
        <is>
          <t>Invoice</t>
        </is>
      </c>
      <c r="D2253" s="58">
        <f>IF(H2253=1,INDEX(ar_No,247)&amp;"","")</f>
        <v/>
      </c>
      <c r="E2253" s="94">
        <f>IF(H2253=1,INDEX(ar_Date,247),"")</f>
        <v/>
      </c>
      <c r="F2253" s="58">
        <f>IF(H2253=1,INDEX(ar_Desc,247)&amp;"","")</f>
        <v/>
      </c>
      <c r="G2253" s="58">
        <f>IF(H2253=1,INDEX(ar_Party,247)&amp;"","")</f>
        <v/>
      </c>
      <c r="H2253" s="101">
        <f>IFERROR(N(INDEX(ar_Posted,247)),0)</f>
        <v/>
      </c>
      <c r="I2253" s="58">
        <f>IF(H2253=1,INDEX(ar_DrAcct,247)&amp;"","")</f>
        <v/>
      </c>
      <c r="J2253" s="95">
        <f>IF(H2253=1,INDEX(ar_DrAmt,247),0)</f>
        <v/>
      </c>
      <c r="K2253" s="58">
        <f>IF(H2253=1,INDEX(ar_CrAcct,247)&amp;"","")</f>
        <v/>
      </c>
      <c r="L2253" s="95">
        <f>IF(H2253=1,INDEX(ar_CrAmt,247),0)</f>
        <v/>
      </c>
      <c r="M2253" s="95" t="n">
        <v>0</v>
      </c>
      <c r="N2253" s="95">
        <f>IF(H2253=1,INDEX(ar_TaxAmt,247),0)</f>
        <v/>
      </c>
      <c r="O2253" s="101">
        <f>IF(H2253=1,IF(E2253&lt;FYStart,0,IF(E2253&gt;FYEnd,13,YEAR(E2253)*12+MONTH(E2253)-FYYM+1)),"")</f>
        <v/>
      </c>
      <c r="P2253" s="101">
        <f>IF(H2253=1,IF(IFERROR(INDEX(coa_CF,MATCH(I2253,coa_Name,0)),"")="Cash",1,0),0)</f>
        <v/>
      </c>
      <c r="Q2253" s="101">
        <f>IF(H2253=1,IF(IFERROR(INDEX(coa_CF,MATCH(K2253,coa_Name,0)),"")="Cash",1,0),0)</f>
        <v/>
      </c>
      <c r="R2253" s="58">
        <f>IF((P2253-Q2253)=0,"",IFERROR(INDEX(coa_CF,MATCH(IF((P2253-Q2253)=1,K2253,I2253),coa_Name,0)),"Operating"))</f>
        <v/>
      </c>
      <c r="S2253" s="95">
        <f>IF((P2253-Q2253)=1,L2253,IF((P2253-Q2253)=-1,-J2253,0))</f>
        <v/>
      </c>
      <c r="T2253" s="95">
        <f>IF((P2253-Q2253)=1,N2253,IF((P2253-Q2253)=-1,-M2253,0))</f>
        <v/>
      </c>
      <c r="U2253" s="101">
        <f>IF(AND(H2253=1,LedAcct&lt;&gt;""),IF(AND(E2253&gt;=LedFrom,E2253&lt;=LedTo,OR(I2253=LedAcct,K2253=LedAcct,AND(LedAcct=acctTax,M2253+N2253&lt;&gt;0))),E2253*10000+B2253,""),"")</f>
        <v/>
      </c>
    </row>
    <row r="2254">
      <c r="B2254" s="101" t="n">
        <v>2248</v>
      </c>
      <c r="C2254" s="58" t="inlineStr">
        <is>
          <t>Invoice</t>
        </is>
      </c>
      <c r="D2254" s="58">
        <f>IF(H2254=1,INDEX(ar_No,248)&amp;"","")</f>
        <v/>
      </c>
      <c r="E2254" s="94">
        <f>IF(H2254=1,INDEX(ar_Date,248),"")</f>
        <v/>
      </c>
      <c r="F2254" s="58">
        <f>IF(H2254=1,INDEX(ar_Desc,248)&amp;"","")</f>
        <v/>
      </c>
      <c r="G2254" s="58">
        <f>IF(H2254=1,INDEX(ar_Party,248)&amp;"","")</f>
        <v/>
      </c>
      <c r="H2254" s="101">
        <f>IFERROR(N(INDEX(ar_Posted,248)),0)</f>
        <v/>
      </c>
      <c r="I2254" s="58">
        <f>IF(H2254=1,INDEX(ar_DrAcct,248)&amp;"","")</f>
        <v/>
      </c>
      <c r="J2254" s="95">
        <f>IF(H2254=1,INDEX(ar_DrAmt,248),0)</f>
        <v/>
      </c>
      <c r="K2254" s="58">
        <f>IF(H2254=1,INDEX(ar_CrAcct,248)&amp;"","")</f>
        <v/>
      </c>
      <c r="L2254" s="95">
        <f>IF(H2254=1,INDEX(ar_CrAmt,248),0)</f>
        <v/>
      </c>
      <c r="M2254" s="95" t="n">
        <v>0</v>
      </c>
      <c r="N2254" s="95">
        <f>IF(H2254=1,INDEX(ar_TaxAmt,248),0)</f>
        <v/>
      </c>
      <c r="O2254" s="101">
        <f>IF(H2254=1,IF(E2254&lt;FYStart,0,IF(E2254&gt;FYEnd,13,YEAR(E2254)*12+MONTH(E2254)-FYYM+1)),"")</f>
        <v/>
      </c>
      <c r="P2254" s="101">
        <f>IF(H2254=1,IF(IFERROR(INDEX(coa_CF,MATCH(I2254,coa_Name,0)),"")="Cash",1,0),0)</f>
        <v/>
      </c>
      <c r="Q2254" s="101">
        <f>IF(H2254=1,IF(IFERROR(INDEX(coa_CF,MATCH(K2254,coa_Name,0)),"")="Cash",1,0),0)</f>
        <v/>
      </c>
      <c r="R2254" s="58">
        <f>IF((P2254-Q2254)=0,"",IFERROR(INDEX(coa_CF,MATCH(IF((P2254-Q2254)=1,K2254,I2254),coa_Name,0)),"Operating"))</f>
        <v/>
      </c>
      <c r="S2254" s="95">
        <f>IF((P2254-Q2254)=1,L2254,IF((P2254-Q2254)=-1,-J2254,0))</f>
        <v/>
      </c>
      <c r="T2254" s="95">
        <f>IF((P2254-Q2254)=1,N2254,IF((P2254-Q2254)=-1,-M2254,0))</f>
        <v/>
      </c>
      <c r="U2254" s="101">
        <f>IF(AND(H2254=1,LedAcct&lt;&gt;""),IF(AND(E2254&gt;=LedFrom,E2254&lt;=LedTo,OR(I2254=LedAcct,K2254=LedAcct,AND(LedAcct=acctTax,M2254+N2254&lt;&gt;0))),E2254*10000+B2254,""),"")</f>
        <v/>
      </c>
    </row>
    <row r="2255">
      <c r="B2255" s="101" t="n">
        <v>2249</v>
      </c>
      <c r="C2255" s="58" t="inlineStr">
        <is>
          <t>Invoice</t>
        </is>
      </c>
      <c r="D2255" s="58">
        <f>IF(H2255=1,INDEX(ar_No,249)&amp;"","")</f>
        <v/>
      </c>
      <c r="E2255" s="94">
        <f>IF(H2255=1,INDEX(ar_Date,249),"")</f>
        <v/>
      </c>
      <c r="F2255" s="58">
        <f>IF(H2255=1,INDEX(ar_Desc,249)&amp;"","")</f>
        <v/>
      </c>
      <c r="G2255" s="58">
        <f>IF(H2255=1,INDEX(ar_Party,249)&amp;"","")</f>
        <v/>
      </c>
      <c r="H2255" s="101">
        <f>IFERROR(N(INDEX(ar_Posted,249)),0)</f>
        <v/>
      </c>
      <c r="I2255" s="58">
        <f>IF(H2255=1,INDEX(ar_DrAcct,249)&amp;"","")</f>
        <v/>
      </c>
      <c r="J2255" s="95">
        <f>IF(H2255=1,INDEX(ar_DrAmt,249),0)</f>
        <v/>
      </c>
      <c r="K2255" s="58">
        <f>IF(H2255=1,INDEX(ar_CrAcct,249)&amp;"","")</f>
        <v/>
      </c>
      <c r="L2255" s="95">
        <f>IF(H2255=1,INDEX(ar_CrAmt,249),0)</f>
        <v/>
      </c>
      <c r="M2255" s="95" t="n">
        <v>0</v>
      </c>
      <c r="N2255" s="95">
        <f>IF(H2255=1,INDEX(ar_TaxAmt,249),0)</f>
        <v/>
      </c>
      <c r="O2255" s="101">
        <f>IF(H2255=1,IF(E2255&lt;FYStart,0,IF(E2255&gt;FYEnd,13,YEAR(E2255)*12+MONTH(E2255)-FYYM+1)),"")</f>
        <v/>
      </c>
      <c r="P2255" s="101">
        <f>IF(H2255=1,IF(IFERROR(INDEX(coa_CF,MATCH(I2255,coa_Name,0)),"")="Cash",1,0),0)</f>
        <v/>
      </c>
      <c r="Q2255" s="101">
        <f>IF(H2255=1,IF(IFERROR(INDEX(coa_CF,MATCH(K2255,coa_Name,0)),"")="Cash",1,0),0)</f>
        <v/>
      </c>
      <c r="R2255" s="58">
        <f>IF((P2255-Q2255)=0,"",IFERROR(INDEX(coa_CF,MATCH(IF((P2255-Q2255)=1,K2255,I2255),coa_Name,0)),"Operating"))</f>
        <v/>
      </c>
      <c r="S2255" s="95">
        <f>IF((P2255-Q2255)=1,L2255,IF((P2255-Q2255)=-1,-J2255,0))</f>
        <v/>
      </c>
      <c r="T2255" s="95">
        <f>IF((P2255-Q2255)=1,N2255,IF((P2255-Q2255)=-1,-M2255,0))</f>
        <v/>
      </c>
      <c r="U2255" s="101">
        <f>IF(AND(H2255=1,LedAcct&lt;&gt;""),IF(AND(E2255&gt;=LedFrom,E2255&lt;=LedTo,OR(I2255=LedAcct,K2255=LedAcct,AND(LedAcct=acctTax,M2255+N2255&lt;&gt;0))),E2255*10000+B2255,""),"")</f>
        <v/>
      </c>
    </row>
    <row r="2256">
      <c r="B2256" s="101" t="n">
        <v>2250</v>
      </c>
      <c r="C2256" s="58" t="inlineStr">
        <is>
          <t>Invoice</t>
        </is>
      </c>
      <c r="D2256" s="58">
        <f>IF(H2256=1,INDEX(ar_No,250)&amp;"","")</f>
        <v/>
      </c>
      <c r="E2256" s="94">
        <f>IF(H2256=1,INDEX(ar_Date,250),"")</f>
        <v/>
      </c>
      <c r="F2256" s="58">
        <f>IF(H2256=1,INDEX(ar_Desc,250)&amp;"","")</f>
        <v/>
      </c>
      <c r="G2256" s="58">
        <f>IF(H2256=1,INDEX(ar_Party,250)&amp;"","")</f>
        <v/>
      </c>
      <c r="H2256" s="101">
        <f>IFERROR(N(INDEX(ar_Posted,250)),0)</f>
        <v/>
      </c>
      <c r="I2256" s="58">
        <f>IF(H2256=1,INDEX(ar_DrAcct,250)&amp;"","")</f>
        <v/>
      </c>
      <c r="J2256" s="95">
        <f>IF(H2256=1,INDEX(ar_DrAmt,250),0)</f>
        <v/>
      </c>
      <c r="K2256" s="58">
        <f>IF(H2256=1,INDEX(ar_CrAcct,250)&amp;"","")</f>
        <v/>
      </c>
      <c r="L2256" s="95">
        <f>IF(H2256=1,INDEX(ar_CrAmt,250),0)</f>
        <v/>
      </c>
      <c r="M2256" s="95" t="n">
        <v>0</v>
      </c>
      <c r="N2256" s="95">
        <f>IF(H2256=1,INDEX(ar_TaxAmt,250),0)</f>
        <v/>
      </c>
      <c r="O2256" s="101">
        <f>IF(H2256=1,IF(E2256&lt;FYStart,0,IF(E2256&gt;FYEnd,13,YEAR(E2256)*12+MONTH(E2256)-FYYM+1)),"")</f>
        <v/>
      </c>
      <c r="P2256" s="101">
        <f>IF(H2256=1,IF(IFERROR(INDEX(coa_CF,MATCH(I2256,coa_Name,0)),"")="Cash",1,0),0)</f>
        <v/>
      </c>
      <c r="Q2256" s="101">
        <f>IF(H2256=1,IF(IFERROR(INDEX(coa_CF,MATCH(K2256,coa_Name,0)),"")="Cash",1,0),0)</f>
        <v/>
      </c>
      <c r="R2256" s="58">
        <f>IF((P2256-Q2256)=0,"",IFERROR(INDEX(coa_CF,MATCH(IF((P2256-Q2256)=1,K2256,I2256),coa_Name,0)),"Operating"))</f>
        <v/>
      </c>
      <c r="S2256" s="95">
        <f>IF((P2256-Q2256)=1,L2256,IF((P2256-Q2256)=-1,-J2256,0))</f>
        <v/>
      </c>
      <c r="T2256" s="95">
        <f>IF((P2256-Q2256)=1,N2256,IF((P2256-Q2256)=-1,-M2256,0))</f>
        <v/>
      </c>
      <c r="U2256" s="101">
        <f>IF(AND(H2256=1,LedAcct&lt;&gt;""),IF(AND(E2256&gt;=LedFrom,E2256&lt;=LedTo,OR(I2256=LedAcct,K2256=LedAcct,AND(LedAcct=acctTax,M2256+N2256&lt;&gt;0))),E2256*10000+B2256,""),"")</f>
        <v/>
      </c>
    </row>
    <row r="2257">
      <c r="B2257" s="101" t="n">
        <v>2251</v>
      </c>
      <c r="C2257" s="58" t="inlineStr">
        <is>
          <t>Invoice</t>
        </is>
      </c>
      <c r="D2257" s="58">
        <f>IF(H2257=1,INDEX(ar_No,251)&amp;"","")</f>
        <v/>
      </c>
      <c r="E2257" s="94">
        <f>IF(H2257=1,INDEX(ar_Date,251),"")</f>
        <v/>
      </c>
      <c r="F2257" s="58">
        <f>IF(H2257=1,INDEX(ar_Desc,251)&amp;"","")</f>
        <v/>
      </c>
      <c r="G2257" s="58">
        <f>IF(H2257=1,INDEX(ar_Party,251)&amp;"","")</f>
        <v/>
      </c>
      <c r="H2257" s="101">
        <f>IFERROR(N(INDEX(ar_Posted,251)),0)</f>
        <v/>
      </c>
      <c r="I2257" s="58">
        <f>IF(H2257=1,INDEX(ar_DrAcct,251)&amp;"","")</f>
        <v/>
      </c>
      <c r="J2257" s="95">
        <f>IF(H2257=1,INDEX(ar_DrAmt,251),0)</f>
        <v/>
      </c>
      <c r="K2257" s="58">
        <f>IF(H2257=1,INDEX(ar_CrAcct,251)&amp;"","")</f>
        <v/>
      </c>
      <c r="L2257" s="95">
        <f>IF(H2257=1,INDEX(ar_CrAmt,251),0)</f>
        <v/>
      </c>
      <c r="M2257" s="95" t="n">
        <v>0</v>
      </c>
      <c r="N2257" s="95">
        <f>IF(H2257=1,INDEX(ar_TaxAmt,251),0)</f>
        <v/>
      </c>
      <c r="O2257" s="101">
        <f>IF(H2257=1,IF(E2257&lt;FYStart,0,IF(E2257&gt;FYEnd,13,YEAR(E2257)*12+MONTH(E2257)-FYYM+1)),"")</f>
        <v/>
      </c>
      <c r="P2257" s="101">
        <f>IF(H2257=1,IF(IFERROR(INDEX(coa_CF,MATCH(I2257,coa_Name,0)),"")="Cash",1,0),0)</f>
        <v/>
      </c>
      <c r="Q2257" s="101">
        <f>IF(H2257=1,IF(IFERROR(INDEX(coa_CF,MATCH(K2257,coa_Name,0)),"")="Cash",1,0),0)</f>
        <v/>
      </c>
      <c r="R2257" s="58">
        <f>IF((P2257-Q2257)=0,"",IFERROR(INDEX(coa_CF,MATCH(IF((P2257-Q2257)=1,K2257,I2257),coa_Name,0)),"Operating"))</f>
        <v/>
      </c>
      <c r="S2257" s="95">
        <f>IF((P2257-Q2257)=1,L2257,IF((P2257-Q2257)=-1,-J2257,0))</f>
        <v/>
      </c>
      <c r="T2257" s="95">
        <f>IF((P2257-Q2257)=1,N2257,IF((P2257-Q2257)=-1,-M2257,0))</f>
        <v/>
      </c>
      <c r="U2257" s="101">
        <f>IF(AND(H2257=1,LedAcct&lt;&gt;""),IF(AND(E2257&gt;=LedFrom,E2257&lt;=LedTo,OR(I2257=LedAcct,K2257=LedAcct,AND(LedAcct=acctTax,M2257+N2257&lt;&gt;0))),E2257*10000+B2257,""),"")</f>
        <v/>
      </c>
    </row>
    <row r="2258">
      <c r="B2258" s="101" t="n">
        <v>2252</v>
      </c>
      <c r="C2258" s="58" t="inlineStr">
        <is>
          <t>Invoice</t>
        </is>
      </c>
      <c r="D2258" s="58">
        <f>IF(H2258=1,INDEX(ar_No,252)&amp;"","")</f>
        <v/>
      </c>
      <c r="E2258" s="94">
        <f>IF(H2258=1,INDEX(ar_Date,252),"")</f>
        <v/>
      </c>
      <c r="F2258" s="58">
        <f>IF(H2258=1,INDEX(ar_Desc,252)&amp;"","")</f>
        <v/>
      </c>
      <c r="G2258" s="58">
        <f>IF(H2258=1,INDEX(ar_Party,252)&amp;"","")</f>
        <v/>
      </c>
      <c r="H2258" s="101">
        <f>IFERROR(N(INDEX(ar_Posted,252)),0)</f>
        <v/>
      </c>
      <c r="I2258" s="58">
        <f>IF(H2258=1,INDEX(ar_DrAcct,252)&amp;"","")</f>
        <v/>
      </c>
      <c r="J2258" s="95">
        <f>IF(H2258=1,INDEX(ar_DrAmt,252),0)</f>
        <v/>
      </c>
      <c r="K2258" s="58">
        <f>IF(H2258=1,INDEX(ar_CrAcct,252)&amp;"","")</f>
        <v/>
      </c>
      <c r="L2258" s="95">
        <f>IF(H2258=1,INDEX(ar_CrAmt,252),0)</f>
        <v/>
      </c>
      <c r="M2258" s="95" t="n">
        <v>0</v>
      </c>
      <c r="N2258" s="95">
        <f>IF(H2258=1,INDEX(ar_TaxAmt,252),0)</f>
        <v/>
      </c>
      <c r="O2258" s="101">
        <f>IF(H2258=1,IF(E2258&lt;FYStart,0,IF(E2258&gt;FYEnd,13,YEAR(E2258)*12+MONTH(E2258)-FYYM+1)),"")</f>
        <v/>
      </c>
      <c r="P2258" s="101">
        <f>IF(H2258=1,IF(IFERROR(INDEX(coa_CF,MATCH(I2258,coa_Name,0)),"")="Cash",1,0),0)</f>
        <v/>
      </c>
      <c r="Q2258" s="101">
        <f>IF(H2258=1,IF(IFERROR(INDEX(coa_CF,MATCH(K2258,coa_Name,0)),"")="Cash",1,0),0)</f>
        <v/>
      </c>
      <c r="R2258" s="58">
        <f>IF((P2258-Q2258)=0,"",IFERROR(INDEX(coa_CF,MATCH(IF((P2258-Q2258)=1,K2258,I2258),coa_Name,0)),"Operating"))</f>
        <v/>
      </c>
      <c r="S2258" s="95">
        <f>IF((P2258-Q2258)=1,L2258,IF((P2258-Q2258)=-1,-J2258,0))</f>
        <v/>
      </c>
      <c r="T2258" s="95">
        <f>IF((P2258-Q2258)=1,N2258,IF((P2258-Q2258)=-1,-M2258,0))</f>
        <v/>
      </c>
      <c r="U2258" s="101">
        <f>IF(AND(H2258=1,LedAcct&lt;&gt;""),IF(AND(E2258&gt;=LedFrom,E2258&lt;=LedTo,OR(I2258=LedAcct,K2258=LedAcct,AND(LedAcct=acctTax,M2258+N2258&lt;&gt;0))),E2258*10000+B2258,""),"")</f>
        <v/>
      </c>
    </row>
    <row r="2259">
      <c r="B2259" s="101" t="n">
        <v>2253</v>
      </c>
      <c r="C2259" s="58" t="inlineStr">
        <is>
          <t>Invoice</t>
        </is>
      </c>
      <c r="D2259" s="58">
        <f>IF(H2259=1,INDEX(ar_No,253)&amp;"","")</f>
        <v/>
      </c>
      <c r="E2259" s="94">
        <f>IF(H2259=1,INDEX(ar_Date,253),"")</f>
        <v/>
      </c>
      <c r="F2259" s="58">
        <f>IF(H2259=1,INDEX(ar_Desc,253)&amp;"","")</f>
        <v/>
      </c>
      <c r="G2259" s="58">
        <f>IF(H2259=1,INDEX(ar_Party,253)&amp;"","")</f>
        <v/>
      </c>
      <c r="H2259" s="101">
        <f>IFERROR(N(INDEX(ar_Posted,253)),0)</f>
        <v/>
      </c>
      <c r="I2259" s="58">
        <f>IF(H2259=1,INDEX(ar_DrAcct,253)&amp;"","")</f>
        <v/>
      </c>
      <c r="J2259" s="95">
        <f>IF(H2259=1,INDEX(ar_DrAmt,253),0)</f>
        <v/>
      </c>
      <c r="K2259" s="58">
        <f>IF(H2259=1,INDEX(ar_CrAcct,253)&amp;"","")</f>
        <v/>
      </c>
      <c r="L2259" s="95">
        <f>IF(H2259=1,INDEX(ar_CrAmt,253),0)</f>
        <v/>
      </c>
      <c r="M2259" s="95" t="n">
        <v>0</v>
      </c>
      <c r="N2259" s="95">
        <f>IF(H2259=1,INDEX(ar_TaxAmt,253),0)</f>
        <v/>
      </c>
      <c r="O2259" s="101">
        <f>IF(H2259=1,IF(E2259&lt;FYStart,0,IF(E2259&gt;FYEnd,13,YEAR(E2259)*12+MONTH(E2259)-FYYM+1)),"")</f>
        <v/>
      </c>
      <c r="P2259" s="101">
        <f>IF(H2259=1,IF(IFERROR(INDEX(coa_CF,MATCH(I2259,coa_Name,0)),"")="Cash",1,0),0)</f>
        <v/>
      </c>
      <c r="Q2259" s="101">
        <f>IF(H2259=1,IF(IFERROR(INDEX(coa_CF,MATCH(K2259,coa_Name,0)),"")="Cash",1,0),0)</f>
        <v/>
      </c>
      <c r="R2259" s="58">
        <f>IF((P2259-Q2259)=0,"",IFERROR(INDEX(coa_CF,MATCH(IF((P2259-Q2259)=1,K2259,I2259),coa_Name,0)),"Operating"))</f>
        <v/>
      </c>
      <c r="S2259" s="95">
        <f>IF((P2259-Q2259)=1,L2259,IF((P2259-Q2259)=-1,-J2259,0))</f>
        <v/>
      </c>
      <c r="T2259" s="95">
        <f>IF((P2259-Q2259)=1,N2259,IF((P2259-Q2259)=-1,-M2259,0))</f>
        <v/>
      </c>
      <c r="U2259" s="101">
        <f>IF(AND(H2259=1,LedAcct&lt;&gt;""),IF(AND(E2259&gt;=LedFrom,E2259&lt;=LedTo,OR(I2259=LedAcct,K2259=LedAcct,AND(LedAcct=acctTax,M2259+N2259&lt;&gt;0))),E2259*10000+B2259,""),"")</f>
        <v/>
      </c>
    </row>
    <row r="2260">
      <c r="B2260" s="101" t="n">
        <v>2254</v>
      </c>
      <c r="C2260" s="58" t="inlineStr">
        <is>
          <t>Invoice</t>
        </is>
      </c>
      <c r="D2260" s="58">
        <f>IF(H2260=1,INDEX(ar_No,254)&amp;"","")</f>
        <v/>
      </c>
      <c r="E2260" s="94">
        <f>IF(H2260=1,INDEX(ar_Date,254),"")</f>
        <v/>
      </c>
      <c r="F2260" s="58">
        <f>IF(H2260=1,INDEX(ar_Desc,254)&amp;"","")</f>
        <v/>
      </c>
      <c r="G2260" s="58">
        <f>IF(H2260=1,INDEX(ar_Party,254)&amp;"","")</f>
        <v/>
      </c>
      <c r="H2260" s="101">
        <f>IFERROR(N(INDEX(ar_Posted,254)),0)</f>
        <v/>
      </c>
      <c r="I2260" s="58">
        <f>IF(H2260=1,INDEX(ar_DrAcct,254)&amp;"","")</f>
        <v/>
      </c>
      <c r="J2260" s="95">
        <f>IF(H2260=1,INDEX(ar_DrAmt,254),0)</f>
        <v/>
      </c>
      <c r="K2260" s="58">
        <f>IF(H2260=1,INDEX(ar_CrAcct,254)&amp;"","")</f>
        <v/>
      </c>
      <c r="L2260" s="95">
        <f>IF(H2260=1,INDEX(ar_CrAmt,254),0)</f>
        <v/>
      </c>
      <c r="M2260" s="95" t="n">
        <v>0</v>
      </c>
      <c r="N2260" s="95">
        <f>IF(H2260=1,INDEX(ar_TaxAmt,254),0)</f>
        <v/>
      </c>
      <c r="O2260" s="101">
        <f>IF(H2260=1,IF(E2260&lt;FYStart,0,IF(E2260&gt;FYEnd,13,YEAR(E2260)*12+MONTH(E2260)-FYYM+1)),"")</f>
        <v/>
      </c>
      <c r="P2260" s="101">
        <f>IF(H2260=1,IF(IFERROR(INDEX(coa_CF,MATCH(I2260,coa_Name,0)),"")="Cash",1,0),0)</f>
        <v/>
      </c>
      <c r="Q2260" s="101">
        <f>IF(H2260=1,IF(IFERROR(INDEX(coa_CF,MATCH(K2260,coa_Name,0)),"")="Cash",1,0),0)</f>
        <v/>
      </c>
      <c r="R2260" s="58">
        <f>IF((P2260-Q2260)=0,"",IFERROR(INDEX(coa_CF,MATCH(IF((P2260-Q2260)=1,K2260,I2260),coa_Name,0)),"Operating"))</f>
        <v/>
      </c>
      <c r="S2260" s="95">
        <f>IF((P2260-Q2260)=1,L2260,IF((P2260-Q2260)=-1,-J2260,0))</f>
        <v/>
      </c>
      <c r="T2260" s="95">
        <f>IF((P2260-Q2260)=1,N2260,IF((P2260-Q2260)=-1,-M2260,0))</f>
        <v/>
      </c>
      <c r="U2260" s="101">
        <f>IF(AND(H2260=1,LedAcct&lt;&gt;""),IF(AND(E2260&gt;=LedFrom,E2260&lt;=LedTo,OR(I2260=LedAcct,K2260=LedAcct,AND(LedAcct=acctTax,M2260+N2260&lt;&gt;0))),E2260*10000+B2260,""),"")</f>
        <v/>
      </c>
    </row>
    <row r="2261">
      <c r="B2261" s="101" t="n">
        <v>2255</v>
      </c>
      <c r="C2261" s="58" t="inlineStr">
        <is>
          <t>Invoice</t>
        </is>
      </c>
      <c r="D2261" s="58">
        <f>IF(H2261=1,INDEX(ar_No,255)&amp;"","")</f>
        <v/>
      </c>
      <c r="E2261" s="94">
        <f>IF(H2261=1,INDEX(ar_Date,255),"")</f>
        <v/>
      </c>
      <c r="F2261" s="58">
        <f>IF(H2261=1,INDEX(ar_Desc,255)&amp;"","")</f>
        <v/>
      </c>
      <c r="G2261" s="58">
        <f>IF(H2261=1,INDEX(ar_Party,255)&amp;"","")</f>
        <v/>
      </c>
      <c r="H2261" s="101">
        <f>IFERROR(N(INDEX(ar_Posted,255)),0)</f>
        <v/>
      </c>
      <c r="I2261" s="58">
        <f>IF(H2261=1,INDEX(ar_DrAcct,255)&amp;"","")</f>
        <v/>
      </c>
      <c r="J2261" s="95">
        <f>IF(H2261=1,INDEX(ar_DrAmt,255),0)</f>
        <v/>
      </c>
      <c r="K2261" s="58">
        <f>IF(H2261=1,INDEX(ar_CrAcct,255)&amp;"","")</f>
        <v/>
      </c>
      <c r="L2261" s="95">
        <f>IF(H2261=1,INDEX(ar_CrAmt,255),0)</f>
        <v/>
      </c>
      <c r="M2261" s="95" t="n">
        <v>0</v>
      </c>
      <c r="N2261" s="95">
        <f>IF(H2261=1,INDEX(ar_TaxAmt,255),0)</f>
        <v/>
      </c>
      <c r="O2261" s="101">
        <f>IF(H2261=1,IF(E2261&lt;FYStart,0,IF(E2261&gt;FYEnd,13,YEAR(E2261)*12+MONTH(E2261)-FYYM+1)),"")</f>
        <v/>
      </c>
      <c r="P2261" s="101">
        <f>IF(H2261=1,IF(IFERROR(INDEX(coa_CF,MATCH(I2261,coa_Name,0)),"")="Cash",1,0),0)</f>
        <v/>
      </c>
      <c r="Q2261" s="101">
        <f>IF(H2261=1,IF(IFERROR(INDEX(coa_CF,MATCH(K2261,coa_Name,0)),"")="Cash",1,0),0)</f>
        <v/>
      </c>
      <c r="R2261" s="58">
        <f>IF((P2261-Q2261)=0,"",IFERROR(INDEX(coa_CF,MATCH(IF((P2261-Q2261)=1,K2261,I2261),coa_Name,0)),"Operating"))</f>
        <v/>
      </c>
      <c r="S2261" s="95">
        <f>IF((P2261-Q2261)=1,L2261,IF((P2261-Q2261)=-1,-J2261,0))</f>
        <v/>
      </c>
      <c r="T2261" s="95">
        <f>IF((P2261-Q2261)=1,N2261,IF((P2261-Q2261)=-1,-M2261,0))</f>
        <v/>
      </c>
      <c r="U2261" s="101">
        <f>IF(AND(H2261=1,LedAcct&lt;&gt;""),IF(AND(E2261&gt;=LedFrom,E2261&lt;=LedTo,OR(I2261=LedAcct,K2261=LedAcct,AND(LedAcct=acctTax,M2261+N2261&lt;&gt;0))),E2261*10000+B2261,""),"")</f>
        <v/>
      </c>
    </row>
    <row r="2262">
      <c r="B2262" s="101" t="n">
        <v>2256</v>
      </c>
      <c r="C2262" s="58" t="inlineStr">
        <is>
          <t>Invoice</t>
        </is>
      </c>
      <c r="D2262" s="58">
        <f>IF(H2262=1,INDEX(ar_No,256)&amp;"","")</f>
        <v/>
      </c>
      <c r="E2262" s="94">
        <f>IF(H2262=1,INDEX(ar_Date,256),"")</f>
        <v/>
      </c>
      <c r="F2262" s="58">
        <f>IF(H2262=1,INDEX(ar_Desc,256)&amp;"","")</f>
        <v/>
      </c>
      <c r="G2262" s="58">
        <f>IF(H2262=1,INDEX(ar_Party,256)&amp;"","")</f>
        <v/>
      </c>
      <c r="H2262" s="101">
        <f>IFERROR(N(INDEX(ar_Posted,256)),0)</f>
        <v/>
      </c>
      <c r="I2262" s="58">
        <f>IF(H2262=1,INDEX(ar_DrAcct,256)&amp;"","")</f>
        <v/>
      </c>
      <c r="J2262" s="95">
        <f>IF(H2262=1,INDEX(ar_DrAmt,256),0)</f>
        <v/>
      </c>
      <c r="K2262" s="58">
        <f>IF(H2262=1,INDEX(ar_CrAcct,256)&amp;"","")</f>
        <v/>
      </c>
      <c r="L2262" s="95">
        <f>IF(H2262=1,INDEX(ar_CrAmt,256),0)</f>
        <v/>
      </c>
      <c r="M2262" s="95" t="n">
        <v>0</v>
      </c>
      <c r="N2262" s="95">
        <f>IF(H2262=1,INDEX(ar_TaxAmt,256),0)</f>
        <v/>
      </c>
      <c r="O2262" s="101">
        <f>IF(H2262=1,IF(E2262&lt;FYStart,0,IF(E2262&gt;FYEnd,13,YEAR(E2262)*12+MONTH(E2262)-FYYM+1)),"")</f>
        <v/>
      </c>
      <c r="P2262" s="101">
        <f>IF(H2262=1,IF(IFERROR(INDEX(coa_CF,MATCH(I2262,coa_Name,0)),"")="Cash",1,0),0)</f>
        <v/>
      </c>
      <c r="Q2262" s="101">
        <f>IF(H2262=1,IF(IFERROR(INDEX(coa_CF,MATCH(K2262,coa_Name,0)),"")="Cash",1,0),0)</f>
        <v/>
      </c>
      <c r="R2262" s="58">
        <f>IF((P2262-Q2262)=0,"",IFERROR(INDEX(coa_CF,MATCH(IF((P2262-Q2262)=1,K2262,I2262),coa_Name,0)),"Operating"))</f>
        <v/>
      </c>
      <c r="S2262" s="95">
        <f>IF((P2262-Q2262)=1,L2262,IF((P2262-Q2262)=-1,-J2262,0))</f>
        <v/>
      </c>
      <c r="T2262" s="95">
        <f>IF((P2262-Q2262)=1,N2262,IF((P2262-Q2262)=-1,-M2262,0))</f>
        <v/>
      </c>
      <c r="U2262" s="101">
        <f>IF(AND(H2262=1,LedAcct&lt;&gt;""),IF(AND(E2262&gt;=LedFrom,E2262&lt;=LedTo,OR(I2262=LedAcct,K2262=LedAcct,AND(LedAcct=acctTax,M2262+N2262&lt;&gt;0))),E2262*10000+B2262,""),"")</f>
        <v/>
      </c>
    </row>
    <row r="2263">
      <c r="B2263" s="101" t="n">
        <v>2257</v>
      </c>
      <c r="C2263" s="58" t="inlineStr">
        <is>
          <t>Invoice</t>
        </is>
      </c>
      <c r="D2263" s="58">
        <f>IF(H2263=1,INDEX(ar_No,257)&amp;"","")</f>
        <v/>
      </c>
      <c r="E2263" s="94">
        <f>IF(H2263=1,INDEX(ar_Date,257),"")</f>
        <v/>
      </c>
      <c r="F2263" s="58">
        <f>IF(H2263=1,INDEX(ar_Desc,257)&amp;"","")</f>
        <v/>
      </c>
      <c r="G2263" s="58">
        <f>IF(H2263=1,INDEX(ar_Party,257)&amp;"","")</f>
        <v/>
      </c>
      <c r="H2263" s="101">
        <f>IFERROR(N(INDEX(ar_Posted,257)),0)</f>
        <v/>
      </c>
      <c r="I2263" s="58">
        <f>IF(H2263=1,INDEX(ar_DrAcct,257)&amp;"","")</f>
        <v/>
      </c>
      <c r="J2263" s="95">
        <f>IF(H2263=1,INDEX(ar_DrAmt,257),0)</f>
        <v/>
      </c>
      <c r="K2263" s="58">
        <f>IF(H2263=1,INDEX(ar_CrAcct,257)&amp;"","")</f>
        <v/>
      </c>
      <c r="L2263" s="95">
        <f>IF(H2263=1,INDEX(ar_CrAmt,257),0)</f>
        <v/>
      </c>
      <c r="M2263" s="95" t="n">
        <v>0</v>
      </c>
      <c r="N2263" s="95">
        <f>IF(H2263=1,INDEX(ar_TaxAmt,257),0)</f>
        <v/>
      </c>
      <c r="O2263" s="101">
        <f>IF(H2263=1,IF(E2263&lt;FYStart,0,IF(E2263&gt;FYEnd,13,YEAR(E2263)*12+MONTH(E2263)-FYYM+1)),"")</f>
        <v/>
      </c>
      <c r="P2263" s="101">
        <f>IF(H2263=1,IF(IFERROR(INDEX(coa_CF,MATCH(I2263,coa_Name,0)),"")="Cash",1,0),0)</f>
        <v/>
      </c>
      <c r="Q2263" s="101">
        <f>IF(H2263=1,IF(IFERROR(INDEX(coa_CF,MATCH(K2263,coa_Name,0)),"")="Cash",1,0),0)</f>
        <v/>
      </c>
      <c r="R2263" s="58">
        <f>IF((P2263-Q2263)=0,"",IFERROR(INDEX(coa_CF,MATCH(IF((P2263-Q2263)=1,K2263,I2263),coa_Name,0)),"Operating"))</f>
        <v/>
      </c>
      <c r="S2263" s="95">
        <f>IF((P2263-Q2263)=1,L2263,IF((P2263-Q2263)=-1,-J2263,0))</f>
        <v/>
      </c>
      <c r="T2263" s="95">
        <f>IF((P2263-Q2263)=1,N2263,IF((P2263-Q2263)=-1,-M2263,0))</f>
        <v/>
      </c>
      <c r="U2263" s="101">
        <f>IF(AND(H2263=1,LedAcct&lt;&gt;""),IF(AND(E2263&gt;=LedFrom,E2263&lt;=LedTo,OR(I2263=LedAcct,K2263=LedAcct,AND(LedAcct=acctTax,M2263+N2263&lt;&gt;0))),E2263*10000+B2263,""),"")</f>
        <v/>
      </c>
    </row>
    <row r="2264">
      <c r="B2264" s="101" t="n">
        <v>2258</v>
      </c>
      <c r="C2264" s="58" t="inlineStr">
        <is>
          <t>Invoice</t>
        </is>
      </c>
      <c r="D2264" s="58">
        <f>IF(H2264=1,INDEX(ar_No,258)&amp;"","")</f>
        <v/>
      </c>
      <c r="E2264" s="94">
        <f>IF(H2264=1,INDEX(ar_Date,258),"")</f>
        <v/>
      </c>
      <c r="F2264" s="58">
        <f>IF(H2264=1,INDEX(ar_Desc,258)&amp;"","")</f>
        <v/>
      </c>
      <c r="G2264" s="58">
        <f>IF(H2264=1,INDEX(ar_Party,258)&amp;"","")</f>
        <v/>
      </c>
      <c r="H2264" s="101">
        <f>IFERROR(N(INDEX(ar_Posted,258)),0)</f>
        <v/>
      </c>
      <c r="I2264" s="58">
        <f>IF(H2264=1,INDEX(ar_DrAcct,258)&amp;"","")</f>
        <v/>
      </c>
      <c r="J2264" s="95">
        <f>IF(H2264=1,INDEX(ar_DrAmt,258),0)</f>
        <v/>
      </c>
      <c r="K2264" s="58">
        <f>IF(H2264=1,INDEX(ar_CrAcct,258)&amp;"","")</f>
        <v/>
      </c>
      <c r="L2264" s="95">
        <f>IF(H2264=1,INDEX(ar_CrAmt,258),0)</f>
        <v/>
      </c>
      <c r="M2264" s="95" t="n">
        <v>0</v>
      </c>
      <c r="N2264" s="95">
        <f>IF(H2264=1,INDEX(ar_TaxAmt,258),0)</f>
        <v/>
      </c>
      <c r="O2264" s="101">
        <f>IF(H2264=1,IF(E2264&lt;FYStart,0,IF(E2264&gt;FYEnd,13,YEAR(E2264)*12+MONTH(E2264)-FYYM+1)),"")</f>
        <v/>
      </c>
      <c r="P2264" s="101">
        <f>IF(H2264=1,IF(IFERROR(INDEX(coa_CF,MATCH(I2264,coa_Name,0)),"")="Cash",1,0),0)</f>
        <v/>
      </c>
      <c r="Q2264" s="101">
        <f>IF(H2264=1,IF(IFERROR(INDEX(coa_CF,MATCH(K2264,coa_Name,0)),"")="Cash",1,0),0)</f>
        <v/>
      </c>
      <c r="R2264" s="58">
        <f>IF((P2264-Q2264)=0,"",IFERROR(INDEX(coa_CF,MATCH(IF((P2264-Q2264)=1,K2264,I2264),coa_Name,0)),"Operating"))</f>
        <v/>
      </c>
      <c r="S2264" s="95">
        <f>IF((P2264-Q2264)=1,L2264,IF((P2264-Q2264)=-1,-J2264,0))</f>
        <v/>
      </c>
      <c r="T2264" s="95">
        <f>IF((P2264-Q2264)=1,N2264,IF((P2264-Q2264)=-1,-M2264,0))</f>
        <v/>
      </c>
      <c r="U2264" s="101">
        <f>IF(AND(H2264=1,LedAcct&lt;&gt;""),IF(AND(E2264&gt;=LedFrom,E2264&lt;=LedTo,OR(I2264=LedAcct,K2264=LedAcct,AND(LedAcct=acctTax,M2264+N2264&lt;&gt;0))),E2264*10000+B2264,""),"")</f>
        <v/>
      </c>
    </row>
    <row r="2265">
      <c r="B2265" s="101" t="n">
        <v>2259</v>
      </c>
      <c r="C2265" s="58" t="inlineStr">
        <is>
          <t>Invoice</t>
        </is>
      </c>
      <c r="D2265" s="58">
        <f>IF(H2265=1,INDEX(ar_No,259)&amp;"","")</f>
        <v/>
      </c>
      <c r="E2265" s="94">
        <f>IF(H2265=1,INDEX(ar_Date,259),"")</f>
        <v/>
      </c>
      <c r="F2265" s="58">
        <f>IF(H2265=1,INDEX(ar_Desc,259)&amp;"","")</f>
        <v/>
      </c>
      <c r="G2265" s="58">
        <f>IF(H2265=1,INDEX(ar_Party,259)&amp;"","")</f>
        <v/>
      </c>
      <c r="H2265" s="101">
        <f>IFERROR(N(INDEX(ar_Posted,259)),0)</f>
        <v/>
      </c>
      <c r="I2265" s="58">
        <f>IF(H2265=1,INDEX(ar_DrAcct,259)&amp;"","")</f>
        <v/>
      </c>
      <c r="J2265" s="95">
        <f>IF(H2265=1,INDEX(ar_DrAmt,259),0)</f>
        <v/>
      </c>
      <c r="K2265" s="58">
        <f>IF(H2265=1,INDEX(ar_CrAcct,259)&amp;"","")</f>
        <v/>
      </c>
      <c r="L2265" s="95">
        <f>IF(H2265=1,INDEX(ar_CrAmt,259),0)</f>
        <v/>
      </c>
      <c r="M2265" s="95" t="n">
        <v>0</v>
      </c>
      <c r="N2265" s="95">
        <f>IF(H2265=1,INDEX(ar_TaxAmt,259),0)</f>
        <v/>
      </c>
      <c r="O2265" s="101">
        <f>IF(H2265=1,IF(E2265&lt;FYStart,0,IF(E2265&gt;FYEnd,13,YEAR(E2265)*12+MONTH(E2265)-FYYM+1)),"")</f>
        <v/>
      </c>
      <c r="P2265" s="101">
        <f>IF(H2265=1,IF(IFERROR(INDEX(coa_CF,MATCH(I2265,coa_Name,0)),"")="Cash",1,0),0)</f>
        <v/>
      </c>
      <c r="Q2265" s="101">
        <f>IF(H2265=1,IF(IFERROR(INDEX(coa_CF,MATCH(K2265,coa_Name,0)),"")="Cash",1,0),0)</f>
        <v/>
      </c>
      <c r="R2265" s="58">
        <f>IF((P2265-Q2265)=0,"",IFERROR(INDEX(coa_CF,MATCH(IF((P2265-Q2265)=1,K2265,I2265),coa_Name,0)),"Operating"))</f>
        <v/>
      </c>
      <c r="S2265" s="95">
        <f>IF((P2265-Q2265)=1,L2265,IF((P2265-Q2265)=-1,-J2265,0))</f>
        <v/>
      </c>
      <c r="T2265" s="95">
        <f>IF((P2265-Q2265)=1,N2265,IF((P2265-Q2265)=-1,-M2265,0))</f>
        <v/>
      </c>
      <c r="U2265" s="101">
        <f>IF(AND(H2265=1,LedAcct&lt;&gt;""),IF(AND(E2265&gt;=LedFrom,E2265&lt;=LedTo,OR(I2265=LedAcct,K2265=LedAcct,AND(LedAcct=acctTax,M2265+N2265&lt;&gt;0))),E2265*10000+B2265,""),"")</f>
        <v/>
      </c>
    </row>
    <row r="2266">
      <c r="B2266" s="101" t="n">
        <v>2260</v>
      </c>
      <c r="C2266" s="58" t="inlineStr">
        <is>
          <t>Invoice</t>
        </is>
      </c>
      <c r="D2266" s="58">
        <f>IF(H2266=1,INDEX(ar_No,260)&amp;"","")</f>
        <v/>
      </c>
      <c r="E2266" s="94">
        <f>IF(H2266=1,INDEX(ar_Date,260),"")</f>
        <v/>
      </c>
      <c r="F2266" s="58">
        <f>IF(H2266=1,INDEX(ar_Desc,260)&amp;"","")</f>
        <v/>
      </c>
      <c r="G2266" s="58">
        <f>IF(H2266=1,INDEX(ar_Party,260)&amp;"","")</f>
        <v/>
      </c>
      <c r="H2266" s="101">
        <f>IFERROR(N(INDEX(ar_Posted,260)),0)</f>
        <v/>
      </c>
      <c r="I2266" s="58">
        <f>IF(H2266=1,INDEX(ar_DrAcct,260)&amp;"","")</f>
        <v/>
      </c>
      <c r="J2266" s="95">
        <f>IF(H2266=1,INDEX(ar_DrAmt,260),0)</f>
        <v/>
      </c>
      <c r="K2266" s="58">
        <f>IF(H2266=1,INDEX(ar_CrAcct,260)&amp;"","")</f>
        <v/>
      </c>
      <c r="L2266" s="95">
        <f>IF(H2266=1,INDEX(ar_CrAmt,260),0)</f>
        <v/>
      </c>
      <c r="M2266" s="95" t="n">
        <v>0</v>
      </c>
      <c r="N2266" s="95">
        <f>IF(H2266=1,INDEX(ar_TaxAmt,260),0)</f>
        <v/>
      </c>
      <c r="O2266" s="101">
        <f>IF(H2266=1,IF(E2266&lt;FYStart,0,IF(E2266&gt;FYEnd,13,YEAR(E2266)*12+MONTH(E2266)-FYYM+1)),"")</f>
        <v/>
      </c>
      <c r="P2266" s="101">
        <f>IF(H2266=1,IF(IFERROR(INDEX(coa_CF,MATCH(I2266,coa_Name,0)),"")="Cash",1,0),0)</f>
        <v/>
      </c>
      <c r="Q2266" s="101">
        <f>IF(H2266=1,IF(IFERROR(INDEX(coa_CF,MATCH(K2266,coa_Name,0)),"")="Cash",1,0),0)</f>
        <v/>
      </c>
      <c r="R2266" s="58">
        <f>IF((P2266-Q2266)=0,"",IFERROR(INDEX(coa_CF,MATCH(IF((P2266-Q2266)=1,K2266,I2266),coa_Name,0)),"Operating"))</f>
        <v/>
      </c>
      <c r="S2266" s="95">
        <f>IF((P2266-Q2266)=1,L2266,IF((P2266-Q2266)=-1,-J2266,0))</f>
        <v/>
      </c>
      <c r="T2266" s="95">
        <f>IF((P2266-Q2266)=1,N2266,IF((P2266-Q2266)=-1,-M2266,0))</f>
        <v/>
      </c>
      <c r="U2266" s="101">
        <f>IF(AND(H2266=1,LedAcct&lt;&gt;""),IF(AND(E2266&gt;=LedFrom,E2266&lt;=LedTo,OR(I2266=LedAcct,K2266=LedAcct,AND(LedAcct=acctTax,M2266+N2266&lt;&gt;0))),E2266*10000+B2266,""),"")</f>
        <v/>
      </c>
    </row>
    <row r="2267">
      <c r="B2267" s="101" t="n">
        <v>2261</v>
      </c>
      <c r="C2267" s="58" t="inlineStr">
        <is>
          <t>Invoice</t>
        </is>
      </c>
      <c r="D2267" s="58">
        <f>IF(H2267=1,INDEX(ar_No,261)&amp;"","")</f>
        <v/>
      </c>
      <c r="E2267" s="94">
        <f>IF(H2267=1,INDEX(ar_Date,261),"")</f>
        <v/>
      </c>
      <c r="F2267" s="58">
        <f>IF(H2267=1,INDEX(ar_Desc,261)&amp;"","")</f>
        <v/>
      </c>
      <c r="G2267" s="58">
        <f>IF(H2267=1,INDEX(ar_Party,261)&amp;"","")</f>
        <v/>
      </c>
      <c r="H2267" s="101">
        <f>IFERROR(N(INDEX(ar_Posted,261)),0)</f>
        <v/>
      </c>
      <c r="I2267" s="58">
        <f>IF(H2267=1,INDEX(ar_DrAcct,261)&amp;"","")</f>
        <v/>
      </c>
      <c r="J2267" s="95">
        <f>IF(H2267=1,INDEX(ar_DrAmt,261),0)</f>
        <v/>
      </c>
      <c r="K2267" s="58">
        <f>IF(H2267=1,INDEX(ar_CrAcct,261)&amp;"","")</f>
        <v/>
      </c>
      <c r="L2267" s="95">
        <f>IF(H2267=1,INDEX(ar_CrAmt,261),0)</f>
        <v/>
      </c>
      <c r="M2267" s="95" t="n">
        <v>0</v>
      </c>
      <c r="N2267" s="95">
        <f>IF(H2267=1,INDEX(ar_TaxAmt,261),0)</f>
        <v/>
      </c>
      <c r="O2267" s="101">
        <f>IF(H2267=1,IF(E2267&lt;FYStart,0,IF(E2267&gt;FYEnd,13,YEAR(E2267)*12+MONTH(E2267)-FYYM+1)),"")</f>
        <v/>
      </c>
      <c r="P2267" s="101">
        <f>IF(H2267=1,IF(IFERROR(INDEX(coa_CF,MATCH(I2267,coa_Name,0)),"")="Cash",1,0),0)</f>
        <v/>
      </c>
      <c r="Q2267" s="101">
        <f>IF(H2267=1,IF(IFERROR(INDEX(coa_CF,MATCH(K2267,coa_Name,0)),"")="Cash",1,0),0)</f>
        <v/>
      </c>
      <c r="R2267" s="58">
        <f>IF((P2267-Q2267)=0,"",IFERROR(INDEX(coa_CF,MATCH(IF((P2267-Q2267)=1,K2267,I2267),coa_Name,0)),"Operating"))</f>
        <v/>
      </c>
      <c r="S2267" s="95">
        <f>IF((P2267-Q2267)=1,L2267,IF((P2267-Q2267)=-1,-J2267,0))</f>
        <v/>
      </c>
      <c r="T2267" s="95">
        <f>IF((P2267-Q2267)=1,N2267,IF((P2267-Q2267)=-1,-M2267,0))</f>
        <v/>
      </c>
      <c r="U2267" s="101">
        <f>IF(AND(H2267=1,LedAcct&lt;&gt;""),IF(AND(E2267&gt;=LedFrom,E2267&lt;=LedTo,OR(I2267=LedAcct,K2267=LedAcct,AND(LedAcct=acctTax,M2267+N2267&lt;&gt;0))),E2267*10000+B2267,""),"")</f>
        <v/>
      </c>
    </row>
    <row r="2268">
      <c r="B2268" s="101" t="n">
        <v>2262</v>
      </c>
      <c r="C2268" s="58" t="inlineStr">
        <is>
          <t>Invoice</t>
        </is>
      </c>
      <c r="D2268" s="58">
        <f>IF(H2268=1,INDEX(ar_No,262)&amp;"","")</f>
        <v/>
      </c>
      <c r="E2268" s="94">
        <f>IF(H2268=1,INDEX(ar_Date,262),"")</f>
        <v/>
      </c>
      <c r="F2268" s="58">
        <f>IF(H2268=1,INDEX(ar_Desc,262)&amp;"","")</f>
        <v/>
      </c>
      <c r="G2268" s="58">
        <f>IF(H2268=1,INDEX(ar_Party,262)&amp;"","")</f>
        <v/>
      </c>
      <c r="H2268" s="101">
        <f>IFERROR(N(INDEX(ar_Posted,262)),0)</f>
        <v/>
      </c>
      <c r="I2268" s="58">
        <f>IF(H2268=1,INDEX(ar_DrAcct,262)&amp;"","")</f>
        <v/>
      </c>
      <c r="J2268" s="95">
        <f>IF(H2268=1,INDEX(ar_DrAmt,262),0)</f>
        <v/>
      </c>
      <c r="K2268" s="58">
        <f>IF(H2268=1,INDEX(ar_CrAcct,262)&amp;"","")</f>
        <v/>
      </c>
      <c r="L2268" s="95">
        <f>IF(H2268=1,INDEX(ar_CrAmt,262),0)</f>
        <v/>
      </c>
      <c r="M2268" s="95" t="n">
        <v>0</v>
      </c>
      <c r="N2268" s="95">
        <f>IF(H2268=1,INDEX(ar_TaxAmt,262),0)</f>
        <v/>
      </c>
      <c r="O2268" s="101">
        <f>IF(H2268=1,IF(E2268&lt;FYStart,0,IF(E2268&gt;FYEnd,13,YEAR(E2268)*12+MONTH(E2268)-FYYM+1)),"")</f>
        <v/>
      </c>
      <c r="P2268" s="101">
        <f>IF(H2268=1,IF(IFERROR(INDEX(coa_CF,MATCH(I2268,coa_Name,0)),"")="Cash",1,0),0)</f>
        <v/>
      </c>
      <c r="Q2268" s="101">
        <f>IF(H2268=1,IF(IFERROR(INDEX(coa_CF,MATCH(K2268,coa_Name,0)),"")="Cash",1,0),0)</f>
        <v/>
      </c>
      <c r="R2268" s="58">
        <f>IF((P2268-Q2268)=0,"",IFERROR(INDEX(coa_CF,MATCH(IF((P2268-Q2268)=1,K2268,I2268),coa_Name,0)),"Operating"))</f>
        <v/>
      </c>
      <c r="S2268" s="95">
        <f>IF((P2268-Q2268)=1,L2268,IF((P2268-Q2268)=-1,-J2268,0))</f>
        <v/>
      </c>
      <c r="T2268" s="95">
        <f>IF((P2268-Q2268)=1,N2268,IF((P2268-Q2268)=-1,-M2268,0))</f>
        <v/>
      </c>
      <c r="U2268" s="101">
        <f>IF(AND(H2268=1,LedAcct&lt;&gt;""),IF(AND(E2268&gt;=LedFrom,E2268&lt;=LedTo,OR(I2268=LedAcct,K2268=LedAcct,AND(LedAcct=acctTax,M2268+N2268&lt;&gt;0))),E2268*10000+B2268,""),"")</f>
        <v/>
      </c>
    </row>
    <row r="2269">
      <c r="B2269" s="101" t="n">
        <v>2263</v>
      </c>
      <c r="C2269" s="58" t="inlineStr">
        <is>
          <t>Invoice</t>
        </is>
      </c>
      <c r="D2269" s="58">
        <f>IF(H2269=1,INDEX(ar_No,263)&amp;"","")</f>
        <v/>
      </c>
      <c r="E2269" s="94">
        <f>IF(H2269=1,INDEX(ar_Date,263),"")</f>
        <v/>
      </c>
      <c r="F2269" s="58">
        <f>IF(H2269=1,INDEX(ar_Desc,263)&amp;"","")</f>
        <v/>
      </c>
      <c r="G2269" s="58">
        <f>IF(H2269=1,INDEX(ar_Party,263)&amp;"","")</f>
        <v/>
      </c>
      <c r="H2269" s="101">
        <f>IFERROR(N(INDEX(ar_Posted,263)),0)</f>
        <v/>
      </c>
      <c r="I2269" s="58">
        <f>IF(H2269=1,INDEX(ar_DrAcct,263)&amp;"","")</f>
        <v/>
      </c>
      <c r="J2269" s="95">
        <f>IF(H2269=1,INDEX(ar_DrAmt,263),0)</f>
        <v/>
      </c>
      <c r="K2269" s="58">
        <f>IF(H2269=1,INDEX(ar_CrAcct,263)&amp;"","")</f>
        <v/>
      </c>
      <c r="L2269" s="95">
        <f>IF(H2269=1,INDEX(ar_CrAmt,263),0)</f>
        <v/>
      </c>
      <c r="M2269" s="95" t="n">
        <v>0</v>
      </c>
      <c r="N2269" s="95">
        <f>IF(H2269=1,INDEX(ar_TaxAmt,263),0)</f>
        <v/>
      </c>
      <c r="O2269" s="101">
        <f>IF(H2269=1,IF(E2269&lt;FYStart,0,IF(E2269&gt;FYEnd,13,YEAR(E2269)*12+MONTH(E2269)-FYYM+1)),"")</f>
        <v/>
      </c>
      <c r="P2269" s="101">
        <f>IF(H2269=1,IF(IFERROR(INDEX(coa_CF,MATCH(I2269,coa_Name,0)),"")="Cash",1,0),0)</f>
        <v/>
      </c>
      <c r="Q2269" s="101">
        <f>IF(H2269=1,IF(IFERROR(INDEX(coa_CF,MATCH(K2269,coa_Name,0)),"")="Cash",1,0),0)</f>
        <v/>
      </c>
      <c r="R2269" s="58">
        <f>IF((P2269-Q2269)=0,"",IFERROR(INDEX(coa_CF,MATCH(IF((P2269-Q2269)=1,K2269,I2269),coa_Name,0)),"Operating"))</f>
        <v/>
      </c>
      <c r="S2269" s="95">
        <f>IF((P2269-Q2269)=1,L2269,IF((P2269-Q2269)=-1,-J2269,0))</f>
        <v/>
      </c>
      <c r="T2269" s="95">
        <f>IF((P2269-Q2269)=1,N2269,IF((P2269-Q2269)=-1,-M2269,0))</f>
        <v/>
      </c>
      <c r="U2269" s="101">
        <f>IF(AND(H2269=1,LedAcct&lt;&gt;""),IF(AND(E2269&gt;=LedFrom,E2269&lt;=LedTo,OR(I2269=LedAcct,K2269=LedAcct,AND(LedAcct=acctTax,M2269+N2269&lt;&gt;0))),E2269*10000+B2269,""),"")</f>
        <v/>
      </c>
    </row>
    <row r="2270">
      <c r="B2270" s="101" t="n">
        <v>2264</v>
      </c>
      <c r="C2270" s="58" t="inlineStr">
        <is>
          <t>Invoice</t>
        </is>
      </c>
      <c r="D2270" s="58">
        <f>IF(H2270=1,INDEX(ar_No,264)&amp;"","")</f>
        <v/>
      </c>
      <c r="E2270" s="94">
        <f>IF(H2270=1,INDEX(ar_Date,264),"")</f>
        <v/>
      </c>
      <c r="F2270" s="58">
        <f>IF(H2270=1,INDEX(ar_Desc,264)&amp;"","")</f>
        <v/>
      </c>
      <c r="G2270" s="58">
        <f>IF(H2270=1,INDEX(ar_Party,264)&amp;"","")</f>
        <v/>
      </c>
      <c r="H2270" s="101">
        <f>IFERROR(N(INDEX(ar_Posted,264)),0)</f>
        <v/>
      </c>
      <c r="I2270" s="58">
        <f>IF(H2270=1,INDEX(ar_DrAcct,264)&amp;"","")</f>
        <v/>
      </c>
      <c r="J2270" s="95">
        <f>IF(H2270=1,INDEX(ar_DrAmt,264),0)</f>
        <v/>
      </c>
      <c r="K2270" s="58">
        <f>IF(H2270=1,INDEX(ar_CrAcct,264)&amp;"","")</f>
        <v/>
      </c>
      <c r="L2270" s="95">
        <f>IF(H2270=1,INDEX(ar_CrAmt,264),0)</f>
        <v/>
      </c>
      <c r="M2270" s="95" t="n">
        <v>0</v>
      </c>
      <c r="N2270" s="95">
        <f>IF(H2270=1,INDEX(ar_TaxAmt,264),0)</f>
        <v/>
      </c>
      <c r="O2270" s="101">
        <f>IF(H2270=1,IF(E2270&lt;FYStart,0,IF(E2270&gt;FYEnd,13,YEAR(E2270)*12+MONTH(E2270)-FYYM+1)),"")</f>
        <v/>
      </c>
      <c r="P2270" s="101">
        <f>IF(H2270=1,IF(IFERROR(INDEX(coa_CF,MATCH(I2270,coa_Name,0)),"")="Cash",1,0),0)</f>
        <v/>
      </c>
      <c r="Q2270" s="101">
        <f>IF(H2270=1,IF(IFERROR(INDEX(coa_CF,MATCH(K2270,coa_Name,0)),"")="Cash",1,0),0)</f>
        <v/>
      </c>
      <c r="R2270" s="58">
        <f>IF((P2270-Q2270)=0,"",IFERROR(INDEX(coa_CF,MATCH(IF((P2270-Q2270)=1,K2270,I2270),coa_Name,0)),"Operating"))</f>
        <v/>
      </c>
      <c r="S2270" s="95">
        <f>IF((P2270-Q2270)=1,L2270,IF((P2270-Q2270)=-1,-J2270,0))</f>
        <v/>
      </c>
      <c r="T2270" s="95">
        <f>IF((P2270-Q2270)=1,N2270,IF((P2270-Q2270)=-1,-M2270,0))</f>
        <v/>
      </c>
      <c r="U2270" s="101">
        <f>IF(AND(H2270=1,LedAcct&lt;&gt;""),IF(AND(E2270&gt;=LedFrom,E2270&lt;=LedTo,OR(I2270=LedAcct,K2270=LedAcct,AND(LedAcct=acctTax,M2270+N2270&lt;&gt;0))),E2270*10000+B2270,""),"")</f>
        <v/>
      </c>
    </row>
    <row r="2271">
      <c r="B2271" s="101" t="n">
        <v>2265</v>
      </c>
      <c r="C2271" s="58" t="inlineStr">
        <is>
          <t>Invoice</t>
        </is>
      </c>
      <c r="D2271" s="58">
        <f>IF(H2271=1,INDEX(ar_No,265)&amp;"","")</f>
        <v/>
      </c>
      <c r="E2271" s="94">
        <f>IF(H2271=1,INDEX(ar_Date,265),"")</f>
        <v/>
      </c>
      <c r="F2271" s="58">
        <f>IF(H2271=1,INDEX(ar_Desc,265)&amp;"","")</f>
        <v/>
      </c>
      <c r="G2271" s="58">
        <f>IF(H2271=1,INDEX(ar_Party,265)&amp;"","")</f>
        <v/>
      </c>
      <c r="H2271" s="101">
        <f>IFERROR(N(INDEX(ar_Posted,265)),0)</f>
        <v/>
      </c>
      <c r="I2271" s="58">
        <f>IF(H2271=1,INDEX(ar_DrAcct,265)&amp;"","")</f>
        <v/>
      </c>
      <c r="J2271" s="95">
        <f>IF(H2271=1,INDEX(ar_DrAmt,265),0)</f>
        <v/>
      </c>
      <c r="K2271" s="58">
        <f>IF(H2271=1,INDEX(ar_CrAcct,265)&amp;"","")</f>
        <v/>
      </c>
      <c r="L2271" s="95">
        <f>IF(H2271=1,INDEX(ar_CrAmt,265),0)</f>
        <v/>
      </c>
      <c r="M2271" s="95" t="n">
        <v>0</v>
      </c>
      <c r="N2271" s="95">
        <f>IF(H2271=1,INDEX(ar_TaxAmt,265),0)</f>
        <v/>
      </c>
      <c r="O2271" s="101">
        <f>IF(H2271=1,IF(E2271&lt;FYStart,0,IF(E2271&gt;FYEnd,13,YEAR(E2271)*12+MONTH(E2271)-FYYM+1)),"")</f>
        <v/>
      </c>
      <c r="P2271" s="101">
        <f>IF(H2271=1,IF(IFERROR(INDEX(coa_CF,MATCH(I2271,coa_Name,0)),"")="Cash",1,0),0)</f>
        <v/>
      </c>
      <c r="Q2271" s="101">
        <f>IF(H2271=1,IF(IFERROR(INDEX(coa_CF,MATCH(K2271,coa_Name,0)),"")="Cash",1,0),0)</f>
        <v/>
      </c>
      <c r="R2271" s="58">
        <f>IF((P2271-Q2271)=0,"",IFERROR(INDEX(coa_CF,MATCH(IF((P2271-Q2271)=1,K2271,I2271),coa_Name,0)),"Operating"))</f>
        <v/>
      </c>
      <c r="S2271" s="95">
        <f>IF((P2271-Q2271)=1,L2271,IF((P2271-Q2271)=-1,-J2271,0))</f>
        <v/>
      </c>
      <c r="T2271" s="95">
        <f>IF((P2271-Q2271)=1,N2271,IF((P2271-Q2271)=-1,-M2271,0))</f>
        <v/>
      </c>
      <c r="U2271" s="101">
        <f>IF(AND(H2271=1,LedAcct&lt;&gt;""),IF(AND(E2271&gt;=LedFrom,E2271&lt;=LedTo,OR(I2271=LedAcct,K2271=LedAcct,AND(LedAcct=acctTax,M2271+N2271&lt;&gt;0))),E2271*10000+B2271,""),"")</f>
        <v/>
      </c>
    </row>
    <row r="2272">
      <c r="B2272" s="101" t="n">
        <v>2266</v>
      </c>
      <c r="C2272" s="58" t="inlineStr">
        <is>
          <t>Invoice</t>
        </is>
      </c>
      <c r="D2272" s="58">
        <f>IF(H2272=1,INDEX(ar_No,266)&amp;"","")</f>
        <v/>
      </c>
      <c r="E2272" s="94">
        <f>IF(H2272=1,INDEX(ar_Date,266),"")</f>
        <v/>
      </c>
      <c r="F2272" s="58">
        <f>IF(H2272=1,INDEX(ar_Desc,266)&amp;"","")</f>
        <v/>
      </c>
      <c r="G2272" s="58">
        <f>IF(H2272=1,INDEX(ar_Party,266)&amp;"","")</f>
        <v/>
      </c>
      <c r="H2272" s="101">
        <f>IFERROR(N(INDEX(ar_Posted,266)),0)</f>
        <v/>
      </c>
      <c r="I2272" s="58">
        <f>IF(H2272=1,INDEX(ar_DrAcct,266)&amp;"","")</f>
        <v/>
      </c>
      <c r="J2272" s="95">
        <f>IF(H2272=1,INDEX(ar_DrAmt,266),0)</f>
        <v/>
      </c>
      <c r="K2272" s="58">
        <f>IF(H2272=1,INDEX(ar_CrAcct,266)&amp;"","")</f>
        <v/>
      </c>
      <c r="L2272" s="95">
        <f>IF(H2272=1,INDEX(ar_CrAmt,266),0)</f>
        <v/>
      </c>
      <c r="M2272" s="95" t="n">
        <v>0</v>
      </c>
      <c r="N2272" s="95">
        <f>IF(H2272=1,INDEX(ar_TaxAmt,266),0)</f>
        <v/>
      </c>
      <c r="O2272" s="101">
        <f>IF(H2272=1,IF(E2272&lt;FYStart,0,IF(E2272&gt;FYEnd,13,YEAR(E2272)*12+MONTH(E2272)-FYYM+1)),"")</f>
        <v/>
      </c>
      <c r="P2272" s="101">
        <f>IF(H2272=1,IF(IFERROR(INDEX(coa_CF,MATCH(I2272,coa_Name,0)),"")="Cash",1,0),0)</f>
        <v/>
      </c>
      <c r="Q2272" s="101">
        <f>IF(H2272=1,IF(IFERROR(INDEX(coa_CF,MATCH(K2272,coa_Name,0)),"")="Cash",1,0),0)</f>
        <v/>
      </c>
      <c r="R2272" s="58">
        <f>IF((P2272-Q2272)=0,"",IFERROR(INDEX(coa_CF,MATCH(IF((P2272-Q2272)=1,K2272,I2272),coa_Name,0)),"Operating"))</f>
        <v/>
      </c>
      <c r="S2272" s="95">
        <f>IF((P2272-Q2272)=1,L2272,IF((P2272-Q2272)=-1,-J2272,0))</f>
        <v/>
      </c>
      <c r="T2272" s="95">
        <f>IF((P2272-Q2272)=1,N2272,IF((P2272-Q2272)=-1,-M2272,0))</f>
        <v/>
      </c>
      <c r="U2272" s="101">
        <f>IF(AND(H2272=1,LedAcct&lt;&gt;""),IF(AND(E2272&gt;=LedFrom,E2272&lt;=LedTo,OR(I2272=LedAcct,K2272=LedAcct,AND(LedAcct=acctTax,M2272+N2272&lt;&gt;0))),E2272*10000+B2272,""),"")</f>
        <v/>
      </c>
    </row>
    <row r="2273">
      <c r="B2273" s="101" t="n">
        <v>2267</v>
      </c>
      <c r="C2273" s="58" t="inlineStr">
        <is>
          <t>Invoice</t>
        </is>
      </c>
      <c r="D2273" s="58">
        <f>IF(H2273=1,INDEX(ar_No,267)&amp;"","")</f>
        <v/>
      </c>
      <c r="E2273" s="94">
        <f>IF(H2273=1,INDEX(ar_Date,267),"")</f>
        <v/>
      </c>
      <c r="F2273" s="58">
        <f>IF(H2273=1,INDEX(ar_Desc,267)&amp;"","")</f>
        <v/>
      </c>
      <c r="G2273" s="58">
        <f>IF(H2273=1,INDEX(ar_Party,267)&amp;"","")</f>
        <v/>
      </c>
      <c r="H2273" s="101">
        <f>IFERROR(N(INDEX(ar_Posted,267)),0)</f>
        <v/>
      </c>
      <c r="I2273" s="58">
        <f>IF(H2273=1,INDEX(ar_DrAcct,267)&amp;"","")</f>
        <v/>
      </c>
      <c r="J2273" s="95">
        <f>IF(H2273=1,INDEX(ar_DrAmt,267),0)</f>
        <v/>
      </c>
      <c r="K2273" s="58">
        <f>IF(H2273=1,INDEX(ar_CrAcct,267)&amp;"","")</f>
        <v/>
      </c>
      <c r="L2273" s="95">
        <f>IF(H2273=1,INDEX(ar_CrAmt,267),0)</f>
        <v/>
      </c>
      <c r="M2273" s="95" t="n">
        <v>0</v>
      </c>
      <c r="N2273" s="95">
        <f>IF(H2273=1,INDEX(ar_TaxAmt,267),0)</f>
        <v/>
      </c>
      <c r="O2273" s="101">
        <f>IF(H2273=1,IF(E2273&lt;FYStart,0,IF(E2273&gt;FYEnd,13,YEAR(E2273)*12+MONTH(E2273)-FYYM+1)),"")</f>
        <v/>
      </c>
      <c r="P2273" s="101">
        <f>IF(H2273=1,IF(IFERROR(INDEX(coa_CF,MATCH(I2273,coa_Name,0)),"")="Cash",1,0),0)</f>
        <v/>
      </c>
      <c r="Q2273" s="101">
        <f>IF(H2273=1,IF(IFERROR(INDEX(coa_CF,MATCH(K2273,coa_Name,0)),"")="Cash",1,0),0)</f>
        <v/>
      </c>
      <c r="R2273" s="58">
        <f>IF((P2273-Q2273)=0,"",IFERROR(INDEX(coa_CF,MATCH(IF((P2273-Q2273)=1,K2273,I2273),coa_Name,0)),"Operating"))</f>
        <v/>
      </c>
      <c r="S2273" s="95">
        <f>IF((P2273-Q2273)=1,L2273,IF((P2273-Q2273)=-1,-J2273,0))</f>
        <v/>
      </c>
      <c r="T2273" s="95">
        <f>IF((P2273-Q2273)=1,N2273,IF((P2273-Q2273)=-1,-M2273,0))</f>
        <v/>
      </c>
      <c r="U2273" s="101">
        <f>IF(AND(H2273=1,LedAcct&lt;&gt;""),IF(AND(E2273&gt;=LedFrom,E2273&lt;=LedTo,OR(I2273=LedAcct,K2273=LedAcct,AND(LedAcct=acctTax,M2273+N2273&lt;&gt;0))),E2273*10000+B2273,""),"")</f>
        <v/>
      </c>
    </row>
    <row r="2274">
      <c r="B2274" s="101" t="n">
        <v>2268</v>
      </c>
      <c r="C2274" s="58" t="inlineStr">
        <is>
          <t>Invoice</t>
        </is>
      </c>
      <c r="D2274" s="58">
        <f>IF(H2274=1,INDEX(ar_No,268)&amp;"","")</f>
        <v/>
      </c>
      <c r="E2274" s="94">
        <f>IF(H2274=1,INDEX(ar_Date,268),"")</f>
        <v/>
      </c>
      <c r="F2274" s="58">
        <f>IF(H2274=1,INDEX(ar_Desc,268)&amp;"","")</f>
        <v/>
      </c>
      <c r="G2274" s="58">
        <f>IF(H2274=1,INDEX(ar_Party,268)&amp;"","")</f>
        <v/>
      </c>
      <c r="H2274" s="101">
        <f>IFERROR(N(INDEX(ar_Posted,268)),0)</f>
        <v/>
      </c>
      <c r="I2274" s="58">
        <f>IF(H2274=1,INDEX(ar_DrAcct,268)&amp;"","")</f>
        <v/>
      </c>
      <c r="J2274" s="95">
        <f>IF(H2274=1,INDEX(ar_DrAmt,268),0)</f>
        <v/>
      </c>
      <c r="K2274" s="58">
        <f>IF(H2274=1,INDEX(ar_CrAcct,268)&amp;"","")</f>
        <v/>
      </c>
      <c r="L2274" s="95">
        <f>IF(H2274=1,INDEX(ar_CrAmt,268),0)</f>
        <v/>
      </c>
      <c r="M2274" s="95" t="n">
        <v>0</v>
      </c>
      <c r="N2274" s="95">
        <f>IF(H2274=1,INDEX(ar_TaxAmt,268),0)</f>
        <v/>
      </c>
      <c r="O2274" s="101">
        <f>IF(H2274=1,IF(E2274&lt;FYStart,0,IF(E2274&gt;FYEnd,13,YEAR(E2274)*12+MONTH(E2274)-FYYM+1)),"")</f>
        <v/>
      </c>
      <c r="P2274" s="101">
        <f>IF(H2274=1,IF(IFERROR(INDEX(coa_CF,MATCH(I2274,coa_Name,0)),"")="Cash",1,0),0)</f>
        <v/>
      </c>
      <c r="Q2274" s="101">
        <f>IF(H2274=1,IF(IFERROR(INDEX(coa_CF,MATCH(K2274,coa_Name,0)),"")="Cash",1,0),0)</f>
        <v/>
      </c>
      <c r="R2274" s="58">
        <f>IF((P2274-Q2274)=0,"",IFERROR(INDEX(coa_CF,MATCH(IF((P2274-Q2274)=1,K2274,I2274),coa_Name,0)),"Operating"))</f>
        <v/>
      </c>
      <c r="S2274" s="95">
        <f>IF((P2274-Q2274)=1,L2274,IF((P2274-Q2274)=-1,-J2274,0))</f>
        <v/>
      </c>
      <c r="T2274" s="95">
        <f>IF((P2274-Q2274)=1,N2274,IF((P2274-Q2274)=-1,-M2274,0))</f>
        <v/>
      </c>
      <c r="U2274" s="101">
        <f>IF(AND(H2274=1,LedAcct&lt;&gt;""),IF(AND(E2274&gt;=LedFrom,E2274&lt;=LedTo,OR(I2274=LedAcct,K2274=LedAcct,AND(LedAcct=acctTax,M2274+N2274&lt;&gt;0))),E2274*10000+B2274,""),"")</f>
        <v/>
      </c>
    </row>
    <row r="2275">
      <c r="B2275" s="101" t="n">
        <v>2269</v>
      </c>
      <c r="C2275" s="58" t="inlineStr">
        <is>
          <t>Invoice</t>
        </is>
      </c>
      <c r="D2275" s="58">
        <f>IF(H2275=1,INDEX(ar_No,269)&amp;"","")</f>
        <v/>
      </c>
      <c r="E2275" s="94">
        <f>IF(H2275=1,INDEX(ar_Date,269),"")</f>
        <v/>
      </c>
      <c r="F2275" s="58">
        <f>IF(H2275=1,INDEX(ar_Desc,269)&amp;"","")</f>
        <v/>
      </c>
      <c r="G2275" s="58">
        <f>IF(H2275=1,INDEX(ar_Party,269)&amp;"","")</f>
        <v/>
      </c>
      <c r="H2275" s="101">
        <f>IFERROR(N(INDEX(ar_Posted,269)),0)</f>
        <v/>
      </c>
      <c r="I2275" s="58">
        <f>IF(H2275=1,INDEX(ar_DrAcct,269)&amp;"","")</f>
        <v/>
      </c>
      <c r="J2275" s="95">
        <f>IF(H2275=1,INDEX(ar_DrAmt,269),0)</f>
        <v/>
      </c>
      <c r="K2275" s="58">
        <f>IF(H2275=1,INDEX(ar_CrAcct,269)&amp;"","")</f>
        <v/>
      </c>
      <c r="L2275" s="95">
        <f>IF(H2275=1,INDEX(ar_CrAmt,269),0)</f>
        <v/>
      </c>
      <c r="M2275" s="95" t="n">
        <v>0</v>
      </c>
      <c r="N2275" s="95">
        <f>IF(H2275=1,INDEX(ar_TaxAmt,269),0)</f>
        <v/>
      </c>
      <c r="O2275" s="101">
        <f>IF(H2275=1,IF(E2275&lt;FYStart,0,IF(E2275&gt;FYEnd,13,YEAR(E2275)*12+MONTH(E2275)-FYYM+1)),"")</f>
        <v/>
      </c>
      <c r="P2275" s="101">
        <f>IF(H2275=1,IF(IFERROR(INDEX(coa_CF,MATCH(I2275,coa_Name,0)),"")="Cash",1,0),0)</f>
        <v/>
      </c>
      <c r="Q2275" s="101">
        <f>IF(H2275=1,IF(IFERROR(INDEX(coa_CF,MATCH(K2275,coa_Name,0)),"")="Cash",1,0),0)</f>
        <v/>
      </c>
      <c r="R2275" s="58">
        <f>IF((P2275-Q2275)=0,"",IFERROR(INDEX(coa_CF,MATCH(IF((P2275-Q2275)=1,K2275,I2275),coa_Name,0)),"Operating"))</f>
        <v/>
      </c>
      <c r="S2275" s="95">
        <f>IF((P2275-Q2275)=1,L2275,IF((P2275-Q2275)=-1,-J2275,0))</f>
        <v/>
      </c>
      <c r="T2275" s="95">
        <f>IF((P2275-Q2275)=1,N2275,IF((P2275-Q2275)=-1,-M2275,0))</f>
        <v/>
      </c>
      <c r="U2275" s="101">
        <f>IF(AND(H2275=1,LedAcct&lt;&gt;""),IF(AND(E2275&gt;=LedFrom,E2275&lt;=LedTo,OR(I2275=LedAcct,K2275=LedAcct,AND(LedAcct=acctTax,M2275+N2275&lt;&gt;0))),E2275*10000+B2275,""),"")</f>
        <v/>
      </c>
    </row>
    <row r="2276">
      <c r="B2276" s="101" t="n">
        <v>2270</v>
      </c>
      <c r="C2276" s="58" t="inlineStr">
        <is>
          <t>Invoice</t>
        </is>
      </c>
      <c r="D2276" s="58">
        <f>IF(H2276=1,INDEX(ar_No,270)&amp;"","")</f>
        <v/>
      </c>
      <c r="E2276" s="94">
        <f>IF(H2276=1,INDEX(ar_Date,270),"")</f>
        <v/>
      </c>
      <c r="F2276" s="58">
        <f>IF(H2276=1,INDEX(ar_Desc,270)&amp;"","")</f>
        <v/>
      </c>
      <c r="G2276" s="58">
        <f>IF(H2276=1,INDEX(ar_Party,270)&amp;"","")</f>
        <v/>
      </c>
      <c r="H2276" s="101">
        <f>IFERROR(N(INDEX(ar_Posted,270)),0)</f>
        <v/>
      </c>
      <c r="I2276" s="58">
        <f>IF(H2276=1,INDEX(ar_DrAcct,270)&amp;"","")</f>
        <v/>
      </c>
      <c r="J2276" s="95">
        <f>IF(H2276=1,INDEX(ar_DrAmt,270),0)</f>
        <v/>
      </c>
      <c r="K2276" s="58">
        <f>IF(H2276=1,INDEX(ar_CrAcct,270)&amp;"","")</f>
        <v/>
      </c>
      <c r="L2276" s="95">
        <f>IF(H2276=1,INDEX(ar_CrAmt,270),0)</f>
        <v/>
      </c>
      <c r="M2276" s="95" t="n">
        <v>0</v>
      </c>
      <c r="N2276" s="95">
        <f>IF(H2276=1,INDEX(ar_TaxAmt,270),0)</f>
        <v/>
      </c>
      <c r="O2276" s="101">
        <f>IF(H2276=1,IF(E2276&lt;FYStart,0,IF(E2276&gt;FYEnd,13,YEAR(E2276)*12+MONTH(E2276)-FYYM+1)),"")</f>
        <v/>
      </c>
      <c r="P2276" s="101">
        <f>IF(H2276=1,IF(IFERROR(INDEX(coa_CF,MATCH(I2276,coa_Name,0)),"")="Cash",1,0),0)</f>
        <v/>
      </c>
      <c r="Q2276" s="101">
        <f>IF(H2276=1,IF(IFERROR(INDEX(coa_CF,MATCH(K2276,coa_Name,0)),"")="Cash",1,0),0)</f>
        <v/>
      </c>
      <c r="R2276" s="58">
        <f>IF((P2276-Q2276)=0,"",IFERROR(INDEX(coa_CF,MATCH(IF((P2276-Q2276)=1,K2276,I2276),coa_Name,0)),"Operating"))</f>
        <v/>
      </c>
      <c r="S2276" s="95">
        <f>IF((P2276-Q2276)=1,L2276,IF((P2276-Q2276)=-1,-J2276,0))</f>
        <v/>
      </c>
      <c r="T2276" s="95">
        <f>IF((P2276-Q2276)=1,N2276,IF((P2276-Q2276)=-1,-M2276,0))</f>
        <v/>
      </c>
      <c r="U2276" s="101">
        <f>IF(AND(H2276=1,LedAcct&lt;&gt;""),IF(AND(E2276&gt;=LedFrom,E2276&lt;=LedTo,OR(I2276=LedAcct,K2276=LedAcct,AND(LedAcct=acctTax,M2276+N2276&lt;&gt;0))),E2276*10000+B2276,""),"")</f>
        <v/>
      </c>
    </row>
    <row r="2277">
      <c r="B2277" s="101" t="n">
        <v>2271</v>
      </c>
      <c r="C2277" s="58" t="inlineStr">
        <is>
          <t>Invoice</t>
        </is>
      </c>
      <c r="D2277" s="58">
        <f>IF(H2277=1,INDEX(ar_No,271)&amp;"","")</f>
        <v/>
      </c>
      <c r="E2277" s="94">
        <f>IF(H2277=1,INDEX(ar_Date,271),"")</f>
        <v/>
      </c>
      <c r="F2277" s="58">
        <f>IF(H2277=1,INDEX(ar_Desc,271)&amp;"","")</f>
        <v/>
      </c>
      <c r="G2277" s="58">
        <f>IF(H2277=1,INDEX(ar_Party,271)&amp;"","")</f>
        <v/>
      </c>
      <c r="H2277" s="101">
        <f>IFERROR(N(INDEX(ar_Posted,271)),0)</f>
        <v/>
      </c>
      <c r="I2277" s="58">
        <f>IF(H2277=1,INDEX(ar_DrAcct,271)&amp;"","")</f>
        <v/>
      </c>
      <c r="J2277" s="95">
        <f>IF(H2277=1,INDEX(ar_DrAmt,271),0)</f>
        <v/>
      </c>
      <c r="K2277" s="58">
        <f>IF(H2277=1,INDEX(ar_CrAcct,271)&amp;"","")</f>
        <v/>
      </c>
      <c r="L2277" s="95">
        <f>IF(H2277=1,INDEX(ar_CrAmt,271),0)</f>
        <v/>
      </c>
      <c r="M2277" s="95" t="n">
        <v>0</v>
      </c>
      <c r="N2277" s="95">
        <f>IF(H2277=1,INDEX(ar_TaxAmt,271),0)</f>
        <v/>
      </c>
      <c r="O2277" s="101">
        <f>IF(H2277=1,IF(E2277&lt;FYStart,0,IF(E2277&gt;FYEnd,13,YEAR(E2277)*12+MONTH(E2277)-FYYM+1)),"")</f>
        <v/>
      </c>
      <c r="P2277" s="101">
        <f>IF(H2277=1,IF(IFERROR(INDEX(coa_CF,MATCH(I2277,coa_Name,0)),"")="Cash",1,0),0)</f>
        <v/>
      </c>
      <c r="Q2277" s="101">
        <f>IF(H2277=1,IF(IFERROR(INDEX(coa_CF,MATCH(K2277,coa_Name,0)),"")="Cash",1,0),0)</f>
        <v/>
      </c>
      <c r="R2277" s="58">
        <f>IF((P2277-Q2277)=0,"",IFERROR(INDEX(coa_CF,MATCH(IF((P2277-Q2277)=1,K2277,I2277),coa_Name,0)),"Operating"))</f>
        <v/>
      </c>
      <c r="S2277" s="95">
        <f>IF((P2277-Q2277)=1,L2277,IF((P2277-Q2277)=-1,-J2277,0))</f>
        <v/>
      </c>
      <c r="T2277" s="95">
        <f>IF((P2277-Q2277)=1,N2277,IF((P2277-Q2277)=-1,-M2277,0))</f>
        <v/>
      </c>
      <c r="U2277" s="101">
        <f>IF(AND(H2277=1,LedAcct&lt;&gt;""),IF(AND(E2277&gt;=LedFrom,E2277&lt;=LedTo,OR(I2277=LedAcct,K2277=LedAcct,AND(LedAcct=acctTax,M2277+N2277&lt;&gt;0))),E2277*10000+B2277,""),"")</f>
        <v/>
      </c>
    </row>
    <row r="2278">
      <c r="B2278" s="101" t="n">
        <v>2272</v>
      </c>
      <c r="C2278" s="58" t="inlineStr">
        <is>
          <t>Invoice</t>
        </is>
      </c>
      <c r="D2278" s="58">
        <f>IF(H2278=1,INDEX(ar_No,272)&amp;"","")</f>
        <v/>
      </c>
      <c r="E2278" s="94">
        <f>IF(H2278=1,INDEX(ar_Date,272),"")</f>
        <v/>
      </c>
      <c r="F2278" s="58">
        <f>IF(H2278=1,INDEX(ar_Desc,272)&amp;"","")</f>
        <v/>
      </c>
      <c r="G2278" s="58">
        <f>IF(H2278=1,INDEX(ar_Party,272)&amp;"","")</f>
        <v/>
      </c>
      <c r="H2278" s="101">
        <f>IFERROR(N(INDEX(ar_Posted,272)),0)</f>
        <v/>
      </c>
      <c r="I2278" s="58">
        <f>IF(H2278=1,INDEX(ar_DrAcct,272)&amp;"","")</f>
        <v/>
      </c>
      <c r="J2278" s="95">
        <f>IF(H2278=1,INDEX(ar_DrAmt,272),0)</f>
        <v/>
      </c>
      <c r="K2278" s="58">
        <f>IF(H2278=1,INDEX(ar_CrAcct,272)&amp;"","")</f>
        <v/>
      </c>
      <c r="L2278" s="95">
        <f>IF(H2278=1,INDEX(ar_CrAmt,272),0)</f>
        <v/>
      </c>
      <c r="M2278" s="95" t="n">
        <v>0</v>
      </c>
      <c r="N2278" s="95">
        <f>IF(H2278=1,INDEX(ar_TaxAmt,272),0)</f>
        <v/>
      </c>
      <c r="O2278" s="101">
        <f>IF(H2278=1,IF(E2278&lt;FYStart,0,IF(E2278&gt;FYEnd,13,YEAR(E2278)*12+MONTH(E2278)-FYYM+1)),"")</f>
        <v/>
      </c>
      <c r="P2278" s="101">
        <f>IF(H2278=1,IF(IFERROR(INDEX(coa_CF,MATCH(I2278,coa_Name,0)),"")="Cash",1,0),0)</f>
        <v/>
      </c>
      <c r="Q2278" s="101">
        <f>IF(H2278=1,IF(IFERROR(INDEX(coa_CF,MATCH(K2278,coa_Name,0)),"")="Cash",1,0),0)</f>
        <v/>
      </c>
      <c r="R2278" s="58">
        <f>IF((P2278-Q2278)=0,"",IFERROR(INDEX(coa_CF,MATCH(IF((P2278-Q2278)=1,K2278,I2278),coa_Name,0)),"Operating"))</f>
        <v/>
      </c>
      <c r="S2278" s="95">
        <f>IF((P2278-Q2278)=1,L2278,IF((P2278-Q2278)=-1,-J2278,0))</f>
        <v/>
      </c>
      <c r="T2278" s="95">
        <f>IF((P2278-Q2278)=1,N2278,IF((P2278-Q2278)=-1,-M2278,0))</f>
        <v/>
      </c>
      <c r="U2278" s="101">
        <f>IF(AND(H2278=1,LedAcct&lt;&gt;""),IF(AND(E2278&gt;=LedFrom,E2278&lt;=LedTo,OR(I2278=LedAcct,K2278=LedAcct,AND(LedAcct=acctTax,M2278+N2278&lt;&gt;0))),E2278*10000+B2278,""),"")</f>
        <v/>
      </c>
    </row>
    <row r="2279">
      <c r="B2279" s="101" t="n">
        <v>2273</v>
      </c>
      <c r="C2279" s="58" t="inlineStr">
        <is>
          <t>Invoice</t>
        </is>
      </c>
      <c r="D2279" s="58">
        <f>IF(H2279=1,INDEX(ar_No,273)&amp;"","")</f>
        <v/>
      </c>
      <c r="E2279" s="94">
        <f>IF(H2279=1,INDEX(ar_Date,273),"")</f>
        <v/>
      </c>
      <c r="F2279" s="58">
        <f>IF(H2279=1,INDEX(ar_Desc,273)&amp;"","")</f>
        <v/>
      </c>
      <c r="G2279" s="58">
        <f>IF(H2279=1,INDEX(ar_Party,273)&amp;"","")</f>
        <v/>
      </c>
      <c r="H2279" s="101">
        <f>IFERROR(N(INDEX(ar_Posted,273)),0)</f>
        <v/>
      </c>
      <c r="I2279" s="58">
        <f>IF(H2279=1,INDEX(ar_DrAcct,273)&amp;"","")</f>
        <v/>
      </c>
      <c r="J2279" s="95">
        <f>IF(H2279=1,INDEX(ar_DrAmt,273),0)</f>
        <v/>
      </c>
      <c r="K2279" s="58">
        <f>IF(H2279=1,INDEX(ar_CrAcct,273)&amp;"","")</f>
        <v/>
      </c>
      <c r="L2279" s="95">
        <f>IF(H2279=1,INDEX(ar_CrAmt,273),0)</f>
        <v/>
      </c>
      <c r="M2279" s="95" t="n">
        <v>0</v>
      </c>
      <c r="N2279" s="95">
        <f>IF(H2279=1,INDEX(ar_TaxAmt,273),0)</f>
        <v/>
      </c>
      <c r="O2279" s="101">
        <f>IF(H2279=1,IF(E2279&lt;FYStart,0,IF(E2279&gt;FYEnd,13,YEAR(E2279)*12+MONTH(E2279)-FYYM+1)),"")</f>
        <v/>
      </c>
      <c r="P2279" s="101">
        <f>IF(H2279=1,IF(IFERROR(INDEX(coa_CF,MATCH(I2279,coa_Name,0)),"")="Cash",1,0),0)</f>
        <v/>
      </c>
      <c r="Q2279" s="101">
        <f>IF(H2279=1,IF(IFERROR(INDEX(coa_CF,MATCH(K2279,coa_Name,0)),"")="Cash",1,0),0)</f>
        <v/>
      </c>
      <c r="R2279" s="58">
        <f>IF((P2279-Q2279)=0,"",IFERROR(INDEX(coa_CF,MATCH(IF((P2279-Q2279)=1,K2279,I2279),coa_Name,0)),"Operating"))</f>
        <v/>
      </c>
      <c r="S2279" s="95">
        <f>IF((P2279-Q2279)=1,L2279,IF((P2279-Q2279)=-1,-J2279,0))</f>
        <v/>
      </c>
      <c r="T2279" s="95">
        <f>IF((P2279-Q2279)=1,N2279,IF((P2279-Q2279)=-1,-M2279,0))</f>
        <v/>
      </c>
      <c r="U2279" s="101">
        <f>IF(AND(H2279=1,LedAcct&lt;&gt;""),IF(AND(E2279&gt;=LedFrom,E2279&lt;=LedTo,OR(I2279=LedAcct,K2279=LedAcct,AND(LedAcct=acctTax,M2279+N2279&lt;&gt;0))),E2279*10000+B2279,""),"")</f>
        <v/>
      </c>
    </row>
    <row r="2280">
      <c r="B2280" s="101" t="n">
        <v>2274</v>
      </c>
      <c r="C2280" s="58" t="inlineStr">
        <is>
          <t>Invoice</t>
        </is>
      </c>
      <c r="D2280" s="58">
        <f>IF(H2280=1,INDEX(ar_No,274)&amp;"","")</f>
        <v/>
      </c>
      <c r="E2280" s="94">
        <f>IF(H2280=1,INDEX(ar_Date,274),"")</f>
        <v/>
      </c>
      <c r="F2280" s="58">
        <f>IF(H2280=1,INDEX(ar_Desc,274)&amp;"","")</f>
        <v/>
      </c>
      <c r="G2280" s="58">
        <f>IF(H2280=1,INDEX(ar_Party,274)&amp;"","")</f>
        <v/>
      </c>
      <c r="H2280" s="101">
        <f>IFERROR(N(INDEX(ar_Posted,274)),0)</f>
        <v/>
      </c>
      <c r="I2280" s="58">
        <f>IF(H2280=1,INDEX(ar_DrAcct,274)&amp;"","")</f>
        <v/>
      </c>
      <c r="J2280" s="95">
        <f>IF(H2280=1,INDEX(ar_DrAmt,274),0)</f>
        <v/>
      </c>
      <c r="K2280" s="58">
        <f>IF(H2280=1,INDEX(ar_CrAcct,274)&amp;"","")</f>
        <v/>
      </c>
      <c r="L2280" s="95">
        <f>IF(H2280=1,INDEX(ar_CrAmt,274),0)</f>
        <v/>
      </c>
      <c r="M2280" s="95" t="n">
        <v>0</v>
      </c>
      <c r="N2280" s="95">
        <f>IF(H2280=1,INDEX(ar_TaxAmt,274),0)</f>
        <v/>
      </c>
      <c r="O2280" s="101">
        <f>IF(H2280=1,IF(E2280&lt;FYStart,0,IF(E2280&gt;FYEnd,13,YEAR(E2280)*12+MONTH(E2280)-FYYM+1)),"")</f>
        <v/>
      </c>
      <c r="P2280" s="101">
        <f>IF(H2280=1,IF(IFERROR(INDEX(coa_CF,MATCH(I2280,coa_Name,0)),"")="Cash",1,0),0)</f>
        <v/>
      </c>
      <c r="Q2280" s="101">
        <f>IF(H2280=1,IF(IFERROR(INDEX(coa_CF,MATCH(K2280,coa_Name,0)),"")="Cash",1,0),0)</f>
        <v/>
      </c>
      <c r="R2280" s="58">
        <f>IF((P2280-Q2280)=0,"",IFERROR(INDEX(coa_CF,MATCH(IF((P2280-Q2280)=1,K2280,I2280),coa_Name,0)),"Operating"))</f>
        <v/>
      </c>
      <c r="S2280" s="95">
        <f>IF((P2280-Q2280)=1,L2280,IF((P2280-Q2280)=-1,-J2280,0))</f>
        <v/>
      </c>
      <c r="T2280" s="95">
        <f>IF((P2280-Q2280)=1,N2280,IF((P2280-Q2280)=-1,-M2280,0))</f>
        <v/>
      </c>
      <c r="U2280" s="101">
        <f>IF(AND(H2280=1,LedAcct&lt;&gt;""),IF(AND(E2280&gt;=LedFrom,E2280&lt;=LedTo,OR(I2280=LedAcct,K2280=LedAcct,AND(LedAcct=acctTax,M2280+N2280&lt;&gt;0))),E2280*10000+B2280,""),"")</f>
        <v/>
      </c>
    </row>
    <row r="2281">
      <c r="B2281" s="101" t="n">
        <v>2275</v>
      </c>
      <c r="C2281" s="58" t="inlineStr">
        <is>
          <t>Invoice</t>
        </is>
      </c>
      <c r="D2281" s="58">
        <f>IF(H2281=1,INDEX(ar_No,275)&amp;"","")</f>
        <v/>
      </c>
      <c r="E2281" s="94">
        <f>IF(H2281=1,INDEX(ar_Date,275),"")</f>
        <v/>
      </c>
      <c r="F2281" s="58">
        <f>IF(H2281=1,INDEX(ar_Desc,275)&amp;"","")</f>
        <v/>
      </c>
      <c r="G2281" s="58">
        <f>IF(H2281=1,INDEX(ar_Party,275)&amp;"","")</f>
        <v/>
      </c>
      <c r="H2281" s="101">
        <f>IFERROR(N(INDEX(ar_Posted,275)),0)</f>
        <v/>
      </c>
      <c r="I2281" s="58">
        <f>IF(H2281=1,INDEX(ar_DrAcct,275)&amp;"","")</f>
        <v/>
      </c>
      <c r="J2281" s="95">
        <f>IF(H2281=1,INDEX(ar_DrAmt,275),0)</f>
        <v/>
      </c>
      <c r="K2281" s="58">
        <f>IF(H2281=1,INDEX(ar_CrAcct,275)&amp;"","")</f>
        <v/>
      </c>
      <c r="L2281" s="95">
        <f>IF(H2281=1,INDEX(ar_CrAmt,275),0)</f>
        <v/>
      </c>
      <c r="M2281" s="95" t="n">
        <v>0</v>
      </c>
      <c r="N2281" s="95">
        <f>IF(H2281=1,INDEX(ar_TaxAmt,275),0)</f>
        <v/>
      </c>
      <c r="O2281" s="101">
        <f>IF(H2281=1,IF(E2281&lt;FYStart,0,IF(E2281&gt;FYEnd,13,YEAR(E2281)*12+MONTH(E2281)-FYYM+1)),"")</f>
        <v/>
      </c>
      <c r="P2281" s="101">
        <f>IF(H2281=1,IF(IFERROR(INDEX(coa_CF,MATCH(I2281,coa_Name,0)),"")="Cash",1,0),0)</f>
        <v/>
      </c>
      <c r="Q2281" s="101">
        <f>IF(H2281=1,IF(IFERROR(INDEX(coa_CF,MATCH(K2281,coa_Name,0)),"")="Cash",1,0),0)</f>
        <v/>
      </c>
      <c r="R2281" s="58">
        <f>IF((P2281-Q2281)=0,"",IFERROR(INDEX(coa_CF,MATCH(IF((P2281-Q2281)=1,K2281,I2281),coa_Name,0)),"Operating"))</f>
        <v/>
      </c>
      <c r="S2281" s="95">
        <f>IF((P2281-Q2281)=1,L2281,IF((P2281-Q2281)=-1,-J2281,0))</f>
        <v/>
      </c>
      <c r="T2281" s="95">
        <f>IF((P2281-Q2281)=1,N2281,IF((P2281-Q2281)=-1,-M2281,0))</f>
        <v/>
      </c>
      <c r="U2281" s="101">
        <f>IF(AND(H2281=1,LedAcct&lt;&gt;""),IF(AND(E2281&gt;=LedFrom,E2281&lt;=LedTo,OR(I2281=LedAcct,K2281=LedAcct,AND(LedAcct=acctTax,M2281+N2281&lt;&gt;0))),E2281*10000+B2281,""),"")</f>
        <v/>
      </c>
    </row>
    <row r="2282">
      <c r="B2282" s="101" t="n">
        <v>2276</v>
      </c>
      <c r="C2282" s="58" t="inlineStr">
        <is>
          <t>Invoice</t>
        </is>
      </c>
      <c r="D2282" s="58">
        <f>IF(H2282=1,INDEX(ar_No,276)&amp;"","")</f>
        <v/>
      </c>
      <c r="E2282" s="94">
        <f>IF(H2282=1,INDEX(ar_Date,276),"")</f>
        <v/>
      </c>
      <c r="F2282" s="58">
        <f>IF(H2282=1,INDEX(ar_Desc,276)&amp;"","")</f>
        <v/>
      </c>
      <c r="G2282" s="58">
        <f>IF(H2282=1,INDEX(ar_Party,276)&amp;"","")</f>
        <v/>
      </c>
      <c r="H2282" s="101">
        <f>IFERROR(N(INDEX(ar_Posted,276)),0)</f>
        <v/>
      </c>
      <c r="I2282" s="58">
        <f>IF(H2282=1,INDEX(ar_DrAcct,276)&amp;"","")</f>
        <v/>
      </c>
      <c r="J2282" s="95">
        <f>IF(H2282=1,INDEX(ar_DrAmt,276),0)</f>
        <v/>
      </c>
      <c r="K2282" s="58">
        <f>IF(H2282=1,INDEX(ar_CrAcct,276)&amp;"","")</f>
        <v/>
      </c>
      <c r="L2282" s="95">
        <f>IF(H2282=1,INDEX(ar_CrAmt,276),0)</f>
        <v/>
      </c>
      <c r="M2282" s="95" t="n">
        <v>0</v>
      </c>
      <c r="N2282" s="95">
        <f>IF(H2282=1,INDEX(ar_TaxAmt,276),0)</f>
        <v/>
      </c>
      <c r="O2282" s="101">
        <f>IF(H2282=1,IF(E2282&lt;FYStart,0,IF(E2282&gt;FYEnd,13,YEAR(E2282)*12+MONTH(E2282)-FYYM+1)),"")</f>
        <v/>
      </c>
      <c r="P2282" s="101">
        <f>IF(H2282=1,IF(IFERROR(INDEX(coa_CF,MATCH(I2282,coa_Name,0)),"")="Cash",1,0),0)</f>
        <v/>
      </c>
      <c r="Q2282" s="101">
        <f>IF(H2282=1,IF(IFERROR(INDEX(coa_CF,MATCH(K2282,coa_Name,0)),"")="Cash",1,0),0)</f>
        <v/>
      </c>
      <c r="R2282" s="58">
        <f>IF((P2282-Q2282)=0,"",IFERROR(INDEX(coa_CF,MATCH(IF((P2282-Q2282)=1,K2282,I2282),coa_Name,0)),"Operating"))</f>
        <v/>
      </c>
      <c r="S2282" s="95">
        <f>IF((P2282-Q2282)=1,L2282,IF((P2282-Q2282)=-1,-J2282,0))</f>
        <v/>
      </c>
      <c r="T2282" s="95">
        <f>IF((P2282-Q2282)=1,N2282,IF((P2282-Q2282)=-1,-M2282,0))</f>
        <v/>
      </c>
      <c r="U2282" s="101">
        <f>IF(AND(H2282=1,LedAcct&lt;&gt;""),IF(AND(E2282&gt;=LedFrom,E2282&lt;=LedTo,OR(I2282=LedAcct,K2282=LedAcct,AND(LedAcct=acctTax,M2282+N2282&lt;&gt;0))),E2282*10000+B2282,""),"")</f>
        <v/>
      </c>
    </row>
    <row r="2283">
      <c r="B2283" s="101" t="n">
        <v>2277</v>
      </c>
      <c r="C2283" s="58" t="inlineStr">
        <is>
          <t>Invoice</t>
        </is>
      </c>
      <c r="D2283" s="58">
        <f>IF(H2283=1,INDEX(ar_No,277)&amp;"","")</f>
        <v/>
      </c>
      <c r="E2283" s="94">
        <f>IF(H2283=1,INDEX(ar_Date,277),"")</f>
        <v/>
      </c>
      <c r="F2283" s="58">
        <f>IF(H2283=1,INDEX(ar_Desc,277)&amp;"","")</f>
        <v/>
      </c>
      <c r="G2283" s="58">
        <f>IF(H2283=1,INDEX(ar_Party,277)&amp;"","")</f>
        <v/>
      </c>
      <c r="H2283" s="101">
        <f>IFERROR(N(INDEX(ar_Posted,277)),0)</f>
        <v/>
      </c>
      <c r="I2283" s="58">
        <f>IF(H2283=1,INDEX(ar_DrAcct,277)&amp;"","")</f>
        <v/>
      </c>
      <c r="J2283" s="95">
        <f>IF(H2283=1,INDEX(ar_DrAmt,277),0)</f>
        <v/>
      </c>
      <c r="K2283" s="58">
        <f>IF(H2283=1,INDEX(ar_CrAcct,277)&amp;"","")</f>
        <v/>
      </c>
      <c r="L2283" s="95">
        <f>IF(H2283=1,INDEX(ar_CrAmt,277),0)</f>
        <v/>
      </c>
      <c r="M2283" s="95" t="n">
        <v>0</v>
      </c>
      <c r="N2283" s="95">
        <f>IF(H2283=1,INDEX(ar_TaxAmt,277),0)</f>
        <v/>
      </c>
      <c r="O2283" s="101">
        <f>IF(H2283=1,IF(E2283&lt;FYStart,0,IF(E2283&gt;FYEnd,13,YEAR(E2283)*12+MONTH(E2283)-FYYM+1)),"")</f>
        <v/>
      </c>
      <c r="P2283" s="101">
        <f>IF(H2283=1,IF(IFERROR(INDEX(coa_CF,MATCH(I2283,coa_Name,0)),"")="Cash",1,0),0)</f>
        <v/>
      </c>
      <c r="Q2283" s="101">
        <f>IF(H2283=1,IF(IFERROR(INDEX(coa_CF,MATCH(K2283,coa_Name,0)),"")="Cash",1,0),0)</f>
        <v/>
      </c>
      <c r="R2283" s="58">
        <f>IF((P2283-Q2283)=0,"",IFERROR(INDEX(coa_CF,MATCH(IF((P2283-Q2283)=1,K2283,I2283),coa_Name,0)),"Operating"))</f>
        <v/>
      </c>
      <c r="S2283" s="95">
        <f>IF((P2283-Q2283)=1,L2283,IF((P2283-Q2283)=-1,-J2283,0))</f>
        <v/>
      </c>
      <c r="T2283" s="95">
        <f>IF((P2283-Q2283)=1,N2283,IF((P2283-Q2283)=-1,-M2283,0))</f>
        <v/>
      </c>
      <c r="U2283" s="101">
        <f>IF(AND(H2283=1,LedAcct&lt;&gt;""),IF(AND(E2283&gt;=LedFrom,E2283&lt;=LedTo,OR(I2283=LedAcct,K2283=LedAcct,AND(LedAcct=acctTax,M2283+N2283&lt;&gt;0))),E2283*10000+B2283,""),"")</f>
        <v/>
      </c>
    </row>
    <row r="2284">
      <c r="B2284" s="101" t="n">
        <v>2278</v>
      </c>
      <c r="C2284" s="58" t="inlineStr">
        <is>
          <t>Invoice</t>
        </is>
      </c>
      <c r="D2284" s="58">
        <f>IF(H2284=1,INDEX(ar_No,278)&amp;"","")</f>
        <v/>
      </c>
      <c r="E2284" s="94">
        <f>IF(H2284=1,INDEX(ar_Date,278),"")</f>
        <v/>
      </c>
      <c r="F2284" s="58">
        <f>IF(H2284=1,INDEX(ar_Desc,278)&amp;"","")</f>
        <v/>
      </c>
      <c r="G2284" s="58">
        <f>IF(H2284=1,INDEX(ar_Party,278)&amp;"","")</f>
        <v/>
      </c>
      <c r="H2284" s="101">
        <f>IFERROR(N(INDEX(ar_Posted,278)),0)</f>
        <v/>
      </c>
      <c r="I2284" s="58">
        <f>IF(H2284=1,INDEX(ar_DrAcct,278)&amp;"","")</f>
        <v/>
      </c>
      <c r="J2284" s="95">
        <f>IF(H2284=1,INDEX(ar_DrAmt,278),0)</f>
        <v/>
      </c>
      <c r="K2284" s="58">
        <f>IF(H2284=1,INDEX(ar_CrAcct,278)&amp;"","")</f>
        <v/>
      </c>
      <c r="L2284" s="95">
        <f>IF(H2284=1,INDEX(ar_CrAmt,278),0)</f>
        <v/>
      </c>
      <c r="M2284" s="95" t="n">
        <v>0</v>
      </c>
      <c r="N2284" s="95">
        <f>IF(H2284=1,INDEX(ar_TaxAmt,278),0)</f>
        <v/>
      </c>
      <c r="O2284" s="101">
        <f>IF(H2284=1,IF(E2284&lt;FYStart,0,IF(E2284&gt;FYEnd,13,YEAR(E2284)*12+MONTH(E2284)-FYYM+1)),"")</f>
        <v/>
      </c>
      <c r="P2284" s="101">
        <f>IF(H2284=1,IF(IFERROR(INDEX(coa_CF,MATCH(I2284,coa_Name,0)),"")="Cash",1,0),0)</f>
        <v/>
      </c>
      <c r="Q2284" s="101">
        <f>IF(H2284=1,IF(IFERROR(INDEX(coa_CF,MATCH(K2284,coa_Name,0)),"")="Cash",1,0),0)</f>
        <v/>
      </c>
      <c r="R2284" s="58">
        <f>IF((P2284-Q2284)=0,"",IFERROR(INDEX(coa_CF,MATCH(IF((P2284-Q2284)=1,K2284,I2284),coa_Name,0)),"Operating"))</f>
        <v/>
      </c>
      <c r="S2284" s="95">
        <f>IF((P2284-Q2284)=1,L2284,IF((P2284-Q2284)=-1,-J2284,0))</f>
        <v/>
      </c>
      <c r="T2284" s="95">
        <f>IF((P2284-Q2284)=1,N2284,IF((P2284-Q2284)=-1,-M2284,0))</f>
        <v/>
      </c>
      <c r="U2284" s="101">
        <f>IF(AND(H2284=1,LedAcct&lt;&gt;""),IF(AND(E2284&gt;=LedFrom,E2284&lt;=LedTo,OR(I2284=LedAcct,K2284=LedAcct,AND(LedAcct=acctTax,M2284+N2284&lt;&gt;0))),E2284*10000+B2284,""),"")</f>
        <v/>
      </c>
    </row>
    <row r="2285">
      <c r="B2285" s="101" t="n">
        <v>2279</v>
      </c>
      <c r="C2285" s="58" t="inlineStr">
        <is>
          <t>Invoice</t>
        </is>
      </c>
      <c r="D2285" s="58">
        <f>IF(H2285=1,INDEX(ar_No,279)&amp;"","")</f>
        <v/>
      </c>
      <c r="E2285" s="94">
        <f>IF(H2285=1,INDEX(ar_Date,279),"")</f>
        <v/>
      </c>
      <c r="F2285" s="58">
        <f>IF(H2285=1,INDEX(ar_Desc,279)&amp;"","")</f>
        <v/>
      </c>
      <c r="G2285" s="58">
        <f>IF(H2285=1,INDEX(ar_Party,279)&amp;"","")</f>
        <v/>
      </c>
      <c r="H2285" s="101">
        <f>IFERROR(N(INDEX(ar_Posted,279)),0)</f>
        <v/>
      </c>
      <c r="I2285" s="58">
        <f>IF(H2285=1,INDEX(ar_DrAcct,279)&amp;"","")</f>
        <v/>
      </c>
      <c r="J2285" s="95">
        <f>IF(H2285=1,INDEX(ar_DrAmt,279),0)</f>
        <v/>
      </c>
      <c r="K2285" s="58">
        <f>IF(H2285=1,INDEX(ar_CrAcct,279)&amp;"","")</f>
        <v/>
      </c>
      <c r="L2285" s="95">
        <f>IF(H2285=1,INDEX(ar_CrAmt,279),0)</f>
        <v/>
      </c>
      <c r="M2285" s="95" t="n">
        <v>0</v>
      </c>
      <c r="N2285" s="95">
        <f>IF(H2285=1,INDEX(ar_TaxAmt,279),0)</f>
        <v/>
      </c>
      <c r="O2285" s="101">
        <f>IF(H2285=1,IF(E2285&lt;FYStart,0,IF(E2285&gt;FYEnd,13,YEAR(E2285)*12+MONTH(E2285)-FYYM+1)),"")</f>
        <v/>
      </c>
      <c r="P2285" s="101">
        <f>IF(H2285=1,IF(IFERROR(INDEX(coa_CF,MATCH(I2285,coa_Name,0)),"")="Cash",1,0),0)</f>
        <v/>
      </c>
      <c r="Q2285" s="101">
        <f>IF(H2285=1,IF(IFERROR(INDEX(coa_CF,MATCH(K2285,coa_Name,0)),"")="Cash",1,0),0)</f>
        <v/>
      </c>
      <c r="R2285" s="58">
        <f>IF((P2285-Q2285)=0,"",IFERROR(INDEX(coa_CF,MATCH(IF((P2285-Q2285)=1,K2285,I2285),coa_Name,0)),"Operating"))</f>
        <v/>
      </c>
      <c r="S2285" s="95">
        <f>IF((P2285-Q2285)=1,L2285,IF((P2285-Q2285)=-1,-J2285,0))</f>
        <v/>
      </c>
      <c r="T2285" s="95">
        <f>IF((P2285-Q2285)=1,N2285,IF((P2285-Q2285)=-1,-M2285,0))</f>
        <v/>
      </c>
      <c r="U2285" s="101">
        <f>IF(AND(H2285=1,LedAcct&lt;&gt;""),IF(AND(E2285&gt;=LedFrom,E2285&lt;=LedTo,OR(I2285=LedAcct,K2285=LedAcct,AND(LedAcct=acctTax,M2285+N2285&lt;&gt;0))),E2285*10000+B2285,""),"")</f>
        <v/>
      </c>
    </row>
    <row r="2286">
      <c r="B2286" s="101" t="n">
        <v>2280</v>
      </c>
      <c r="C2286" s="58" t="inlineStr">
        <is>
          <t>Invoice</t>
        </is>
      </c>
      <c r="D2286" s="58">
        <f>IF(H2286=1,INDEX(ar_No,280)&amp;"","")</f>
        <v/>
      </c>
      <c r="E2286" s="94">
        <f>IF(H2286=1,INDEX(ar_Date,280),"")</f>
        <v/>
      </c>
      <c r="F2286" s="58">
        <f>IF(H2286=1,INDEX(ar_Desc,280)&amp;"","")</f>
        <v/>
      </c>
      <c r="G2286" s="58">
        <f>IF(H2286=1,INDEX(ar_Party,280)&amp;"","")</f>
        <v/>
      </c>
      <c r="H2286" s="101">
        <f>IFERROR(N(INDEX(ar_Posted,280)),0)</f>
        <v/>
      </c>
      <c r="I2286" s="58">
        <f>IF(H2286=1,INDEX(ar_DrAcct,280)&amp;"","")</f>
        <v/>
      </c>
      <c r="J2286" s="95">
        <f>IF(H2286=1,INDEX(ar_DrAmt,280),0)</f>
        <v/>
      </c>
      <c r="K2286" s="58">
        <f>IF(H2286=1,INDEX(ar_CrAcct,280)&amp;"","")</f>
        <v/>
      </c>
      <c r="L2286" s="95">
        <f>IF(H2286=1,INDEX(ar_CrAmt,280),0)</f>
        <v/>
      </c>
      <c r="M2286" s="95" t="n">
        <v>0</v>
      </c>
      <c r="N2286" s="95">
        <f>IF(H2286=1,INDEX(ar_TaxAmt,280),0)</f>
        <v/>
      </c>
      <c r="O2286" s="101">
        <f>IF(H2286=1,IF(E2286&lt;FYStart,0,IF(E2286&gt;FYEnd,13,YEAR(E2286)*12+MONTH(E2286)-FYYM+1)),"")</f>
        <v/>
      </c>
      <c r="P2286" s="101">
        <f>IF(H2286=1,IF(IFERROR(INDEX(coa_CF,MATCH(I2286,coa_Name,0)),"")="Cash",1,0),0)</f>
        <v/>
      </c>
      <c r="Q2286" s="101">
        <f>IF(H2286=1,IF(IFERROR(INDEX(coa_CF,MATCH(K2286,coa_Name,0)),"")="Cash",1,0),0)</f>
        <v/>
      </c>
      <c r="R2286" s="58">
        <f>IF((P2286-Q2286)=0,"",IFERROR(INDEX(coa_CF,MATCH(IF((P2286-Q2286)=1,K2286,I2286),coa_Name,0)),"Operating"))</f>
        <v/>
      </c>
      <c r="S2286" s="95">
        <f>IF((P2286-Q2286)=1,L2286,IF((P2286-Q2286)=-1,-J2286,0))</f>
        <v/>
      </c>
      <c r="T2286" s="95">
        <f>IF((P2286-Q2286)=1,N2286,IF((P2286-Q2286)=-1,-M2286,0))</f>
        <v/>
      </c>
      <c r="U2286" s="101">
        <f>IF(AND(H2286=1,LedAcct&lt;&gt;""),IF(AND(E2286&gt;=LedFrom,E2286&lt;=LedTo,OR(I2286=LedAcct,K2286=LedAcct,AND(LedAcct=acctTax,M2286+N2286&lt;&gt;0))),E2286*10000+B2286,""),"")</f>
        <v/>
      </c>
    </row>
    <row r="2287">
      <c r="B2287" s="101" t="n">
        <v>2281</v>
      </c>
      <c r="C2287" s="58" t="inlineStr">
        <is>
          <t>Invoice</t>
        </is>
      </c>
      <c r="D2287" s="58">
        <f>IF(H2287=1,INDEX(ar_No,281)&amp;"","")</f>
        <v/>
      </c>
      <c r="E2287" s="94">
        <f>IF(H2287=1,INDEX(ar_Date,281),"")</f>
        <v/>
      </c>
      <c r="F2287" s="58">
        <f>IF(H2287=1,INDEX(ar_Desc,281)&amp;"","")</f>
        <v/>
      </c>
      <c r="G2287" s="58">
        <f>IF(H2287=1,INDEX(ar_Party,281)&amp;"","")</f>
        <v/>
      </c>
      <c r="H2287" s="101">
        <f>IFERROR(N(INDEX(ar_Posted,281)),0)</f>
        <v/>
      </c>
      <c r="I2287" s="58">
        <f>IF(H2287=1,INDEX(ar_DrAcct,281)&amp;"","")</f>
        <v/>
      </c>
      <c r="J2287" s="95">
        <f>IF(H2287=1,INDEX(ar_DrAmt,281),0)</f>
        <v/>
      </c>
      <c r="K2287" s="58">
        <f>IF(H2287=1,INDEX(ar_CrAcct,281)&amp;"","")</f>
        <v/>
      </c>
      <c r="L2287" s="95">
        <f>IF(H2287=1,INDEX(ar_CrAmt,281),0)</f>
        <v/>
      </c>
      <c r="M2287" s="95" t="n">
        <v>0</v>
      </c>
      <c r="N2287" s="95">
        <f>IF(H2287=1,INDEX(ar_TaxAmt,281),0)</f>
        <v/>
      </c>
      <c r="O2287" s="101">
        <f>IF(H2287=1,IF(E2287&lt;FYStart,0,IF(E2287&gt;FYEnd,13,YEAR(E2287)*12+MONTH(E2287)-FYYM+1)),"")</f>
        <v/>
      </c>
      <c r="P2287" s="101">
        <f>IF(H2287=1,IF(IFERROR(INDEX(coa_CF,MATCH(I2287,coa_Name,0)),"")="Cash",1,0),0)</f>
        <v/>
      </c>
      <c r="Q2287" s="101">
        <f>IF(H2287=1,IF(IFERROR(INDEX(coa_CF,MATCH(K2287,coa_Name,0)),"")="Cash",1,0),0)</f>
        <v/>
      </c>
      <c r="R2287" s="58">
        <f>IF((P2287-Q2287)=0,"",IFERROR(INDEX(coa_CF,MATCH(IF((P2287-Q2287)=1,K2287,I2287),coa_Name,0)),"Operating"))</f>
        <v/>
      </c>
      <c r="S2287" s="95">
        <f>IF((P2287-Q2287)=1,L2287,IF((P2287-Q2287)=-1,-J2287,0))</f>
        <v/>
      </c>
      <c r="T2287" s="95">
        <f>IF((P2287-Q2287)=1,N2287,IF((P2287-Q2287)=-1,-M2287,0))</f>
        <v/>
      </c>
      <c r="U2287" s="101">
        <f>IF(AND(H2287=1,LedAcct&lt;&gt;""),IF(AND(E2287&gt;=LedFrom,E2287&lt;=LedTo,OR(I2287=LedAcct,K2287=LedAcct,AND(LedAcct=acctTax,M2287+N2287&lt;&gt;0))),E2287*10000+B2287,""),"")</f>
        <v/>
      </c>
    </row>
    <row r="2288">
      <c r="B2288" s="101" t="n">
        <v>2282</v>
      </c>
      <c r="C2288" s="58" t="inlineStr">
        <is>
          <t>Invoice</t>
        </is>
      </c>
      <c r="D2288" s="58">
        <f>IF(H2288=1,INDEX(ar_No,282)&amp;"","")</f>
        <v/>
      </c>
      <c r="E2288" s="94">
        <f>IF(H2288=1,INDEX(ar_Date,282),"")</f>
        <v/>
      </c>
      <c r="F2288" s="58">
        <f>IF(H2288=1,INDEX(ar_Desc,282)&amp;"","")</f>
        <v/>
      </c>
      <c r="G2288" s="58">
        <f>IF(H2288=1,INDEX(ar_Party,282)&amp;"","")</f>
        <v/>
      </c>
      <c r="H2288" s="101">
        <f>IFERROR(N(INDEX(ar_Posted,282)),0)</f>
        <v/>
      </c>
      <c r="I2288" s="58">
        <f>IF(H2288=1,INDEX(ar_DrAcct,282)&amp;"","")</f>
        <v/>
      </c>
      <c r="J2288" s="95">
        <f>IF(H2288=1,INDEX(ar_DrAmt,282),0)</f>
        <v/>
      </c>
      <c r="K2288" s="58">
        <f>IF(H2288=1,INDEX(ar_CrAcct,282)&amp;"","")</f>
        <v/>
      </c>
      <c r="L2288" s="95">
        <f>IF(H2288=1,INDEX(ar_CrAmt,282),0)</f>
        <v/>
      </c>
      <c r="M2288" s="95" t="n">
        <v>0</v>
      </c>
      <c r="N2288" s="95">
        <f>IF(H2288=1,INDEX(ar_TaxAmt,282),0)</f>
        <v/>
      </c>
      <c r="O2288" s="101">
        <f>IF(H2288=1,IF(E2288&lt;FYStart,0,IF(E2288&gt;FYEnd,13,YEAR(E2288)*12+MONTH(E2288)-FYYM+1)),"")</f>
        <v/>
      </c>
      <c r="P2288" s="101">
        <f>IF(H2288=1,IF(IFERROR(INDEX(coa_CF,MATCH(I2288,coa_Name,0)),"")="Cash",1,0),0)</f>
        <v/>
      </c>
      <c r="Q2288" s="101">
        <f>IF(H2288=1,IF(IFERROR(INDEX(coa_CF,MATCH(K2288,coa_Name,0)),"")="Cash",1,0),0)</f>
        <v/>
      </c>
      <c r="R2288" s="58">
        <f>IF((P2288-Q2288)=0,"",IFERROR(INDEX(coa_CF,MATCH(IF((P2288-Q2288)=1,K2288,I2288),coa_Name,0)),"Operating"))</f>
        <v/>
      </c>
      <c r="S2288" s="95">
        <f>IF((P2288-Q2288)=1,L2288,IF((P2288-Q2288)=-1,-J2288,0))</f>
        <v/>
      </c>
      <c r="T2288" s="95">
        <f>IF((P2288-Q2288)=1,N2288,IF((P2288-Q2288)=-1,-M2288,0))</f>
        <v/>
      </c>
      <c r="U2288" s="101">
        <f>IF(AND(H2288=1,LedAcct&lt;&gt;""),IF(AND(E2288&gt;=LedFrom,E2288&lt;=LedTo,OR(I2288=LedAcct,K2288=LedAcct,AND(LedAcct=acctTax,M2288+N2288&lt;&gt;0))),E2288*10000+B2288,""),"")</f>
        <v/>
      </c>
    </row>
    <row r="2289">
      <c r="B2289" s="101" t="n">
        <v>2283</v>
      </c>
      <c r="C2289" s="58" t="inlineStr">
        <is>
          <t>Invoice</t>
        </is>
      </c>
      <c r="D2289" s="58">
        <f>IF(H2289=1,INDEX(ar_No,283)&amp;"","")</f>
        <v/>
      </c>
      <c r="E2289" s="94">
        <f>IF(H2289=1,INDEX(ar_Date,283),"")</f>
        <v/>
      </c>
      <c r="F2289" s="58">
        <f>IF(H2289=1,INDEX(ar_Desc,283)&amp;"","")</f>
        <v/>
      </c>
      <c r="G2289" s="58">
        <f>IF(H2289=1,INDEX(ar_Party,283)&amp;"","")</f>
        <v/>
      </c>
      <c r="H2289" s="101">
        <f>IFERROR(N(INDEX(ar_Posted,283)),0)</f>
        <v/>
      </c>
      <c r="I2289" s="58">
        <f>IF(H2289=1,INDEX(ar_DrAcct,283)&amp;"","")</f>
        <v/>
      </c>
      <c r="J2289" s="95">
        <f>IF(H2289=1,INDEX(ar_DrAmt,283),0)</f>
        <v/>
      </c>
      <c r="K2289" s="58">
        <f>IF(H2289=1,INDEX(ar_CrAcct,283)&amp;"","")</f>
        <v/>
      </c>
      <c r="L2289" s="95">
        <f>IF(H2289=1,INDEX(ar_CrAmt,283),0)</f>
        <v/>
      </c>
      <c r="M2289" s="95" t="n">
        <v>0</v>
      </c>
      <c r="N2289" s="95">
        <f>IF(H2289=1,INDEX(ar_TaxAmt,283),0)</f>
        <v/>
      </c>
      <c r="O2289" s="101">
        <f>IF(H2289=1,IF(E2289&lt;FYStart,0,IF(E2289&gt;FYEnd,13,YEAR(E2289)*12+MONTH(E2289)-FYYM+1)),"")</f>
        <v/>
      </c>
      <c r="P2289" s="101">
        <f>IF(H2289=1,IF(IFERROR(INDEX(coa_CF,MATCH(I2289,coa_Name,0)),"")="Cash",1,0),0)</f>
        <v/>
      </c>
      <c r="Q2289" s="101">
        <f>IF(H2289=1,IF(IFERROR(INDEX(coa_CF,MATCH(K2289,coa_Name,0)),"")="Cash",1,0),0)</f>
        <v/>
      </c>
      <c r="R2289" s="58">
        <f>IF((P2289-Q2289)=0,"",IFERROR(INDEX(coa_CF,MATCH(IF((P2289-Q2289)=1,K2289,I2289),coa_Name,0)),"Operating"))</f>
        <v/>
      </c>
      <c r="S2289" s="95">
        <f>IF((P2289-Q2289)=1,L2289,IF((P2289-Q2289)=-1,-J2289,0))</f>
        <v/>
      </c>
      <c r="T2289" s="95">
        <f>IF((P2289-Q2289)=1,N2289,IF((P2289-Q2289)=-1,-M2289,0))</f>
        <v/>
      </c>
      <c r="U2289" s="101">
        <f>IF(AND(H2289=1,LedAcct&lt;&gt;""),IF(AND(E2289&gt;=LedFrom,E2289&lt;=LedTo,OR(I2289=LedAcct,K2289=LedAcct,AND(LedAcct=acctTax,M2289+N2289&lt;&gt;0))),E2289*10000+B2289,""),"")</f>
        <v/>
      </c>
    </row>
    <row r="2290">
      <c r="B2290" s="101" t="n">
        <v>2284</v>
      </c>
      <c r="C2290" s="58" t="inlineStr">
        <is>
          <t>Invoice</t>
        </is>
      </c>
      <c r="D2290" s="58">
        <f>IF(H2290=1,INDEX(ar_No,284)&amp;"","")</f>
        <v/>
      </c>
      <c r="E2290" s="94">
        <f>IF(H2290=1,INDEX(ar_Date,284),"")</f>
        <v/>
      </c>
      <c r="F2290" s="58">
        <f>IF(H2290=1,INDEX(ar_Desc,284)&amp;"","")</f>
        <v/>
      </c>
      <c r="G2290" s="58">
        <f>IF(H2290=1,INDEX(ar_Party,284)&amp;"","")</f>
        <v/>
      </c>
      <c r="H2290" s="101">
        <f>IFERROR(N(INDEX(ar_Posted,284)),0)</f>
        <v/>
      </c>
      <c r="I2290" s="58">
        <f>IF(H2290=1,INDEX(ar_DrAcct,284)&amp;"","")</f>
        <v/>
      </c>
      <c r="J2290" s="95">
        <f>IF(H2290=1,INDEX(ar_DrAmt,284),0)</f>
        <v/>
      </c>
      <c r="K2290" s="58">
        <f>IF(H2290=1,INDEX(ar_CrAcct,284)&amp;"","")</f>
        <v/>
      </c>
      <c r="L2290" s="95">
        <f>IF(H2290=1,INDEX(ar_CrAmt,284),0)</f>
        <v/>
      </c>
      <c r="M2290" s="95" t="n">
        <v>0</v>
      </c>
      <c r="N2290" s="95">
        <f>IF(H2290=1,INDEX(ar_TaxAmt,284),0)</f>
        <v/>
      </c>
      <c r="O2290" s="101">
        <f>IF(H2290=1,IF(E2290&lt;FYStart,0,IF(E2290&gt;FYEnd,13,YEAR(E2290)*12+MONTH(E2290)-FYYM+1)),"")</f>
        <v/>
      </c>
      <c r="P2290" s="101">
        <f>IF(H2290=1,IF(IFERROR(INDEX(coa_CF,MATCH(I2290,coa_Name,0)),"")="Cash",1,0),0)</f>
        <v/>
      </c>
      <c r="Q2290" s="101">
        <f>IF(H2290=1,IF(IFERROR(INDEX(coa_CF,MATCH(K2290,coa_Name,0)),"")="Cash",1,0),0)</f>
        <v/>
      </c>
      <c r="R2290" s="58">
        <f>IF((P2290-Q2290)=0,"",IFERROR(INDEX(coa_CF,MATCH(IF((P2290-Q2290)=1,K2290,I2290),coa_Name,0)),"Operating"))</f>
        <v/>
      </c>
      <c r="S2290" s="95">
        <f>IF((P2290-Q2290)=1,L2290,IF((P2290-Q2290)=-1,-J2290,0))</f>
        <v/>
      </c>
      <c r="T2290" s="95">
        <f>IF((P2290-Q2290)=1,N2290,IF((P2290-Q2290)=-1,-M2290,0))</f>
        <v/>
      </c>
      <c r="U2290" s="101">
        <f>IF(AND(H2290=1,LedAcct&lt;&gt;""),IF(AND(E2290&gt;=LedFrom,E2290&lt;=LedTo,OR(I2290=LedAcct,K2290=LedAcct,AND(LedAcct=acctTax,M2290+N2290&lt;&gt;0))),E2290*10000+B2290,""),"")</f>
        <v/>
      </c>
    </row>
    <row r="2291">
      <c r="B2291" s="101" t="n">
        <v>2285</v>
      </c>
      <c r="C2291" s="58" t="inlineStr">
        <is>
          <t>Invoice</t>
        </is>
      </c>
      <c r="D2291" s="58">
        <f>IF(H2291=1,INDEX(ar_No,285)&amp;"","")</f>
        <v/>
      </c>
      <c r="E2291" s="94">
        <f>IF(H2291=1,INDEX(ar_Date,285),"")</f>
        <v/>
      </c>
      <c r="F2291" s="58">
        <f>IF(H2291=1,INDEX(ar_Desc,285)&amp;"","")</f>
        <v/>
      </c>
      <c r="G2291" s="58">
        <f>IF(H2291=1,INDEX(ar_Party,285)&amp;"","")</f>
        <v/>
      </c>
      <c r="H2291" s="101">
        <f>IFERROR(N(INDEX(ar_Posted,285)),0)</f>
        <v/>
      </c>
      <c r="I2291" s="58">
        <f>IF(H2291=1,INDEX(ar_DrAcct,285)&amp;"","")</f>
        <v/>
      </c>
      <c r="J2291" s="95">
        <f>IF(H2291=1,INDEX(ar_DrAmt,285),0)</f>
        <v/>
      </c>
      <c r="K2291" s="58">
        <f>IF(H2291=1,INDEX(ar_CrAcct,285)&amp;"","")</f>
        <v/>
      </c>
      <c r="L2291" s="95">
        <f>IF(H2291=1,INDEX(ar_CrAmt,285),0)</f>
        <v/>
      </c>
      <c r="M2291" s="95" t="n">
        <v>0</v>
      </c>
      <c r="N2291" s="95">
        <f>IF(H2291=1,INDEX(ar_TaxAmt,285),0)</f>
        <v/>
      </c>
      <c r="O2291" s="101">
        <f>IF(H2291=1,IF(E2291&lt;FYStart,0,IF(E2291&gt;FYEnd,13,YEAR(E2291)*12+MONTH(E2291)-FYYM+1)),"")</f>
        <v/>
      </c>
      <c r="P2291" s="101">
        <f>IF(H2291=1,IF(IFERROR(INDEX(coa_CF,MATCH(I2291,coa_Name,0)),"")="Cash",1,0),0)</f>
        <v/>
      </c>
      <c r="Q2291" s="101">
        <f>IF(H2291=1,IF(IFERROR(INDEX(coa_CF,MATCH(K2291,coa_Name,0)),"")="Cash",1,0),0)</f>
        <v/>
      </c>
      <c r="R2291" s="58">
        <f>IF((P2291-Q2291)=0,"",IFERROR(INDEX(coa_CF,MATCH(IF((P2291-Q2291)=1,K2291,I2291),coa_Name,0)),"Operating"))</f>
        <v/>
      </c>
      <c r="S2291" s="95">
        <f>IF((P2291-Q2291)=1,L2291,IF((P2291-Q2291)=-1,-J2291,0))</f>
        <v/>
      </c>
      <c r="T2291" s="95">
        <f>IF((P2291-Q2291)=1,N2291,IF((P2291-Q2291)=-1,-M2291,0))</f>
        <v/>
      </c>
      <c r="U2291" s="101">
        <f>IF(AND(H2291=1,LedAcct&lt;&gt;""),IF(AND(E2291&gt;=LedFrom,E2291&lt;=LedTo,OR(I2291=LedAcct,K2291=LedAcct,AND(LedAcct=acctTax,M2291+N2291&lt;&gt;0))),E2291*10000+B2291,""),"")</f>
        <v/>
      </c>
    </row>
    <row r="2292">
      <c r="B2292" s="101" t="n">
        <v>2286</v>
      </c>
      <c r="C2292" s="58" t="inlineStr">
        <is>
          <t>Invoice</t>
        </is>
      </c>
      <c r="D2292" s="58">
        <f>IF(H2292=1,INDEX(ar_No,286)&amp;"","")</f>
        <v/>
      </c>
      <c r="E2292" s="94">
        <f>IF(H2292=1,INDEX(ar_Date,286),"")</f>
        <v/>
      </c>
      <c r="F2292" s="58">
        <f>IF(H2292=1,INDEX(ar_Desc,286)&amp;"","")</f>
        <v/>
      </c>
      <c r="G2292" s="58">
        <f>IF(H2292=1,INDEX(ar_Party,286)&amp;"","")</f>
        <v/>
      </c>
      <c r="H2292" s="101">
        <f>IFERROR(N(INDEX(ar_Posted,286)),0)</f>
        <v/>
      </c>
      <c r="I2292" s="58">
        <f>IF(H2292=1,INDEX(ar_DrAcct,286)&amp;"","")</f>
        <v/>
      </c>
      <c r="J2292" s="95">
        <f>IF(H2292=1,INDEX(ar_DrAmt,286),0)</f>
        <v/>
      </c>
      <c r="K2292" s="58">
        <f>IF(H2292=1,INDEX(ar_CrAcct,286)&amp;"","")</f>
        <v/>
      </c>
      <c r="L2292" s="95">
        <f>IF(H2292=1,INDEX(ar_CrAmt,286),0)</f>
        <v/>
      </c>
      <c r="M2292" s="95" t="n">
        <v>0</v>
      </c>
      <c r="N2292" s="95">
        <f>IF(H2292=1,INDEX(ar_TaxAmt,286),0)</f>
        <v/>
      </c>
      <c r="O2292" s="101">
        <f>IF(H2292=1,IF(E2292&lt;FYStart,0,IF(E2292&gt;FYEnd,13,YEAR(E2292)*12+MONTH(E2292)-FYYM+1)),"")</f>
        <v/>
      </c>
      <c r="P2292" s="101">
        <f>IF(H2292=1,IF(IFERROR(INDEX(coa_CF,MATCH(I2292,coa_Name,0)),"")="Cash",1,0),0)</f>
        <v/>
      </c>
      <c r="Q2292" s="101">
        <f>IF(H2292=1,IF(IFERROR(INDEX(coa_CF,MATCH(K2292,coa_Name,0)),"")="Cash",1,0),0)</f>
        <v/>
      </c>
      <c r="R2292" s="58">
        <f>IF((P2292-Q2292)=0,"",IFERROR(INDEX(coa_CF,MATCH(IF((P2292-Q2292)=1,K2292,I2292),coa_Name,0)),"Operating"))</f>
        <v/>
      </c>
      <c r="S2292" s="95">
        <f>IF((P2292-Q2292)=1,L2292,IF((P2292-Q2292)=-1,-J2292,0))</f>
        <v/>
      </c>
      <c r="T2292" s="95">
        <f>IF((P2292-Q2292)=1,N2292,IF((P2292-Q2292)=-1,-M2292,0))</f>
        <v/>
      </c>
      <c r="U2292" s="101">
        <f>IF(AND(H2292=1,LedAcct&lt;&gt;""),IF(AND(E2292&gt;=LedFrom,E2292&lt;=LedTo,OR(I2292=LedAcct,K2292=LedAcct,AND(LedAcct=acctTax,M2292+N2292&lt;&gt;0))),E2292*10000+B2292,""),"")</f>
        <v/>
      </c>
    </row>
    <row r="2293">
      <c r="B2293" s="101" t="n">
        <v>2287</v>
      </c>
      <c r="C2293" s="58" t="inlineStr">
        <is>
          <t>Invoice</t>
        </is>
      </c>
      <c r="D2293" s="58">
        <f>IF(H2293=1,INDEX(ar_No,287)&amp;"","")</f>
        <v/>
      </c>
      <c r="E2293" s="94">
        <f>IF(H2293=1,INDEX(ar_Date,287),"")</f>
        <v/>
      </c>
      <c r="F2293" s="58">
        <f>IF(H2293=1,INDEX(ar_Desc,287)&amp;"","")</f>
        <v/>
      </c>
      <c r="G2293" s="58">
        <f>IF(H2293=1,INDEX(ar_Party,287)&amp;"","")</f>
        <v/>
      </c>
      <c r="H2293" s="101">
        <f>IFERROR(N(INDEX(ar_Posted,287)),0)</f>
        <v/>
      </c>
      <c r="I2293" s="58">
        <f>IF(H2293=1,INDEX(ar_DrAcct,287)&amp;"","")</f>
        <v/>
      </c>
      <c r="J2293" s="95">
        <f>IF(H2293=1,INDEX(ar_DrAmt,287),0)</f>
        <v/>
      </c>
      <c r="K2293" s="58">
        <f>IF(H2293=1,INDEX(ar_CrAcct,287)&amp;"","")</f>
        <v/>
      </c>
      <c r="L2293" s="95">
        <f>IF(H2293=1,INDEX(ar_CrAmt,287),0)</f>
        <v/>
      </c>
      <c r="M2293" s="95" t="n">
        <v>0</v>
      </c>
      <c r="N2293" s="95">
        <f>IF(H2293=1,INDEX(ar_TaxAmt,287),0)</f>
        <v/>
      </c>
      <c r="O2293" s="101">
        <f>IF(H2293=1,IF(E2293&lt;FYStart,0,IF(E2293&gt;FYEnd,13,YEAR(E2293)*12+MONTH(E2293)-FYYM+1)),"")</f>
        <v/>
      </c>
      <c r="P2293" s="101">
        <f>IF(H2293=1,IF(IFERROR(INDEX(coa_CF,MATCH(I2293,coa_Name,0)),"")="Cash",1,0),0)</f>
        <v/>
      </c>
      <c r="Q2293" s="101">
        <f>IF(H2293=1,IF(IFERROR(INDEX(coa_CF,MATCH(K2293,coa_Name,0)),"")="Cash",1,0),0)</f>
        <v/>
      </c>
      <c r="R2293" s="58">
        <f>IF((P2293-Q2293)=0,"",IFERROR(INDEX(coa_CF,MATCH(IF((P2293-Q2293)=1,K2293,I2293),coa_Name,0)),"Operating"))</f>
        <v/>
      </c>
      <c r="S2293" s="95">
        <f>IF((P2293-Q2293)=1,L2293,IF((P2293-Q2293)=-1,-J2293,0))</f>
        <v/>
      </c>
      <c r="T2293" s="95">
        <f>IF((P2293-Q2293)=1,N2293,IF((P2293-Q2293)=-1,-M2293,0))</f>
        <v/>
      </c>
      <c r="U2293" s="101">
        <f>IF(AND(H2293=1,LedAcct&lt;&gt;""),IF(AND(E2293&gt;=LedFrom,E2293&lt;=LedTo,OR(I2293=LedAcct,K2293=LedAcct,AND(LedAcct=acctTax,M2293+N2293&lt;&gt;0))),E2293*10000+B2293,""),"")</f>
        <v/>
      </c>
    </row>
    <row r="2294">
      <c r="B2294" s="101" t="n">
        <v>2288</v>
      </c>
      <c r="C2294" s="58" t="inlineStr">
        <is>
          <t>Invoice</t>
        </is>
      </c>
      <c r="D2294" s="58">
        <f>IF(H2294=1,INDEX(ar_No,288)&amp;"","")</f>
        <v/>
      </c>
      <c r="E2294" s="94">
        <f>IF(H2294=1,INDEX(ar_Date,288),"")</f>
        <v/>
      </c>
      <c r="F2294" s="58">
        <f>IF(H2294=1,INDEX(ar_Desc,288)&amp;"","")</f>
        <v/>
      </c>
      <c r="G2294" s="58">
        <f>IF(H2294=1,INDEX(ar_Party,288)&amp;"","")</f>
        <v/>
      </c>
      <c r="H2294" s="101">
        <f>IFERROR(N(INDEX(ar_Posted,288)),0)</f>
        <v/>
      </c>
      <c r="I2294" s="58">
        <f>IF(H2294=1,INDEX(ar_DrAcct,288)&amp;"","")</f>
        <v/>
      </c>
      <c r="J2294" s="95">
        <f>IF(H2294=1,INDEX(ar_DrAmt,288),0)</f>
        <v/>
      </c>
      <c r="K2294" s="58">
        <f>IF(H2294=1,INDEX(ar_CrAcct,288)&amp;"","")</f>
        <v/>
      </c>
      <c r="L2294" s="95">
        <f>IF(H2294=1,INDEX(ar_CrAmt,288),0)</f>
        <v/>
      </c>
      <c r="M2294" s="95" t="n">
        <v>0</v>
      </c>
      <c r="N2294" s="95">
        <f>IF(H2294=1,INDEX(ar_TaxAmt,288),0)</f>
        <v/>
      </c>
      <c r="O2294" s="101">
        <f>IF(H2294=1,IF(E2294&lt;FYStart,0,IF(E2294&gt;FYEnd,13,YEAR(E2294)*12+MONTH(E2294)-FYYM+1)),"")</f>
        <v/>
      </c>
      <c r="P2294" s="101">
        <f>IF(H2294=1,IF(IFERROR(INDEX(coa_CF,MATCH(I2294,coa_Name,0)),"")="Cash",1,0),0)</f>
        <v/>
      </c>
      <c r="Q2294" s="101">
        <f>IF(H2294=1,IF(IFERROR(INDEX(coa_CF,MATCH(K2294,coa_Name,0)),"")="Cash",1,0),0)</f>
        <v/>
      </c>
      <c r="R2294" s="58">
        <f>IF((P2294-Q2294)=0,"",IFERROR(INDEX(coa_CF,MATCH(IF((P2294-Q2294)=1,K2294,I2294),coa_Name,0)),"Operating"))</f>
        <v/>
      </c>
      <c r="S2294" s="95">
        <f>IF((P2294-Q2294)=1,L2294,IF((P2294-Q2294)=-1,-J2294,0))</f>
        <v/>
      </c>
      <c r="T2294" s="95">
        <f>IF((P2294-Q2294)=1,N2294,IF((P2294-Q2294)=-1,-M2294,0))</f>
        <v/>
      </c>
      <c r="U2294" s="101">
        <f>IF(AND(H2294=1,LedAcct&lt;&gt;""),IF(AND(E2294&gt;=LedFrom,E2294&lt;=LedTo,OR(I2294=LedAcct,K2294=LedAcct,AND(LedAcct=acctTax,M2294+N2294&lt;&gt;0))),E2294*10000+B2294,""),"")</f>
        <v/>
      </c>
    </row>
    <row r="2295">
      <c r="B2295" s="101" t="n">
        <v>2289</v>
      </c>
      <c r="C2295" s="58" t="inlineStr">
        <is>
          <t>Invoice</t>
        </is>
      </c>
      <c r="D2295" s="58">
        <f>IF(H2295=1,INDEX(ar_No,289)&amp;"","")</f>
        <v/>
      </c>
      <c r="E2295" s="94">
        <f>IF(H2295=1,INDEX(ar_Date,289),"")</f>
        <v/>
      </c>
      <c r="F2295" s="58">
        <f>IF(H2295=1,INDEX(ar_Desc,289)&amp;"","")</f>
        <v/>
      </c>
      <c r="G2295" s="58">
        <f>IF(H2295=1,INDEX(ar_Party,289)&amp;"","")</f>
        <v/>
      </c>
      <c r="H2295" s="101">
        <f>IFERROR(N(INDEX(ar_Posted,289)),0)</f>
        <v/>
      </c>
      <c r="I2295" s="58">
        <f>IF(H2295=1,INDEX(ar_DrAcct,289)&amp;"","")</f>
        <v/>
      </c>
      <c r="J2295" s="95">
        <f>IF(H2295=1,INDEX(ar_DrAmt,289),0)</f>
        <v/>
      </c>
      <c r="K2295" s="58">
        <f>IF(H2295=1,INDEX(ar_CrAcct,289)&amp;"","")</f>
        <v/>
      </c>
      <c r="L2295" s="95">
        <f>IF(H2295=1,INDEX(ar_CrAmt,289),0)</f>
        <v/>
      </c>
      <c r="M2295" s="95" t="n">
        <v>0</v>
      </c>
      <c r="N2295" s="95">
        <f>IF(H2295=1,INDEX(ar_TaxAmt,289),0)</f>
        <v/>
      </c>
      <c r="O2295" s="101">
        <f>IF(H2295=1,IF(E2295&lt;FYStart,0,IF(E2295&gt;FYEnd,13,YEAR(E2295)*12+MONTH(E2295)-FYYM+1)),"")</f>
        <v/>
      </c>
      <c r="P2295" s="101">
        <f>IF(H2295=1,IF(IFERROR(INDEX(coa_CF,MATCH(I2295,coa_Name,0)),"")="Cash",1,0),0)</f>
        <v/>
      </c>
      <c r="Q2295" s="101">
        <f>IF(H2295=1,IF(IFERROR(INDEX(coa_CF,MATCH(K2295,coa_Name,0)),"")="Cash",1,0),0)</f>
        <v/>
      </c>
      <c r="R2295" s="58">
        <f>IF((P2295-Q2295)=0,"",IFERROR(INDEX(coa_CF,MATCH(IF((P2295-Q2295)=1,K2295,I2295),coa_Name,0)),"Operating"))</f>
        <v/>
      </c>
      <c r="S2295" s="95">
        <f>IF((P2295-Q2295)=1,L2295,IF((P2295-Q2295)=-1,-J2295,0))</f>
        <v/>
      </c>
      <c r="T2295" s="95">
        <f>IF((P2295-Q2295)=1,N2295,IF((P2295-Q2295)=-1,-M2295,0))</f>
        <v/>
      </c>
      <c r="U2295" s="101">
        <f>IF(AND(H2295=1,LedAcct&lt;&gt;""),IF(AND(E2295&gt;=LedFrom,E2295&lt;=LedTo,OR(I2295=LedAcct,K2295=LedAcct,AND(LedAcct=acctTax,M2295+N2295&lt;&gt;0))),E2295*10000+B2295,""),"")</f>
        <v/>
      </c>
    </row>
    <row r="2296">
      <c r="B2296" s="101" t="n">
        <v>2290</v>
      </c>
      <c r="C2296" s="58" t="inlineStr">
        <is>
          <t>Invoice</t>
        </is>
      </c>
      <c r="D2296" s="58">
        <f>IF(H2296=1,INDEX(ar_No,290)&amp;"","")</f>
        <v/>
      </c>
      <c r="E2296" s="94">
        <f>IF(H2296=1,INDEX(ar_Date,290),"")</f>
        <v/>
      </c>
      <c r="F2296" s="58">
        <f>IF(H2296=1,INDEX(ar_Desc,290)&amp;"","")</f>
        <v/>
      </c>
      <c r="G2296" s="58">
        <f>IF(H2296=1,INDEX(ar_Party,290)&amp;"","")</f>
        <v/>
      </c>
      <c r="H2296" s="101">
        <f>IFERROR(N(INDEX(ar_Posted,290)),0)</f>
        <v/>
      </c>
      <c r="I2296" s="58">
        <f>IF(H2296=1,INDEX(ar_DrAcct,290)&amp;"","")</f>
        <v/>
      </c>
      <c r="J2296" s="95">
        <f>IF(H2296=1,INDEX(ar_DrAmt,290),0)</f>
        <v/>
      </c>
      <c r="K2296" s="58">
        <f>IF(H2296=1,INDEX(ar_CrAcct,290)&amp;"","")</f>
        <v/>
      </c>
      <c r="L2296" s="95">
        <f>IF(H2296=1,INDEX(ar_CrAmt,290),0)</f>
        <v/>
      </c>
      <c r="M2296" s="95" t="n">
        <v>0</v>
      </c>
      <c r="N2296" s="95">
        <f>IF(H2296=1,INDEX(ar_TaxAmt,290),0)</f>
        <v/>
      </c>
      <c r="O2296" s="101">
        <f>IF(H2296=1,IF(E2296&lt;FYStart,0,IF(E2296&gt;FYEnd,13,YEAR(E2296)*12+MONTH(E2296)-FYYM+1)),"")</f>
        <v/>
      </c>
      <c r="P2296" s="101">
        <f>IF(H2296=1,IF(IFERROR(INDEX(coa_CF,MATCH(I2296,coa_Name,0)),"")="Cash",1,0),0)</f>
        <v/>
      </c>
      <c r="Q2296" s="101">
        <f>IF(H2296=1,IF(IFERROR(INDEX(coa_CF,MATCH(K2296,coa_Name,0)),"")="Cash",1,0),0)</f>
        <v/>
      </c>
      <c r="R2296" s="58">
        <f>IF((P2296-Q2296)=0,"",IFERROR(INDEX(coa_CF,MATCH(IF((P2296-Q2296)=1,K2296,I2296),coa_Name,0)),"Operating"))</f>
        <v/>
      </c>
      <c r="S2296" s="95">
        <f>IF((P2296-Q2296)=1,L2296,IF((P2296-Q2296)=-1,-J2296,0))</f>
        <v/>
      </c>
      <c r="T2296" s="95">
        <f>IF((P2296-Q2296)=1,N2296,IF((P2296-Q2296)=-1,-M2296,0))</f>
        <v/>
      </c>
      <c r="U2296" s="101">
        <f>IF(AND(H2296=1,LedAcct&lt;&gt;""),IF(AND(E2296&gt;=LedFrom,E2296&lt;=LedTo,OR(I2296=LedAcct,K2296=LedAcct,AND(LedAcct=acctTax,M2296+N2296&lt;&gt;0))),E2296*10000+B2296,""),"")</f>
        <v/>
      </c>
    </row>
    <row r="2297">
      <c r="B2297" s="101" t="n">
        <v>2291</v>
      </c>
      <c r="C2297" s="58" t="inlineStr">
        <is>
          <t>Invoice</t>
        </is>
      </c>
      <c r="D2297" s="58">
        <f>IF(H2297=1,INDEX(ar_No,291)&amp;"","")</f>
        <v/>
      </c>
      <c r="E2297" s="94">
        <f>IF(H2297=1,INDEX(ar_Date,291),"")</f>
        <v/>
      </c>
      <c r="F2297" s="58">
        <f>IF(H2297=1,INDEX(ar_Desc,291)&amp;"","")</f>
        <v/>
      </c>
      <c r="G2297" s="58">
        <f>IF(H2297=1,INDEX(ar_Party,291)&amp;"","")</f>
        <v/>
      </c>
      <c r="H2297" s="101">
        <f>IFERROR(N(INDEX(ar_Posted,291)),0)</f>
        <v/>
      </c>
      <c r="I2297" s="58">
        <f>IF(H2297=1,INDEX(ar_DrAcct,291)&amp;"","")</f>
        <v/>
      </c>
      <c r="J2297" s="95">
        <f>IF(H2297=1,INDEX(ar_DrAmt,291),0)</f>
        <v/>
      </c>
      <c r="K2297" s="58">
        <f>IF(H2297=1,INDEX(ar_CrAcct,291)&amp;"","")</f>
        <v/>
      </c>
      <c r="L2297" s="95">
        <f>IF(H2297=1,INDEX(ar_CrAmt,291),0)</f>
        <v/>
      </c>
      <c r="M2297" s="95" t="n">
        <v>0</v>
      </c>
      <c r="N2297" s="95">
        <f>IF(H2297=1,INDEX(ar_TaxAmt,291),0)</f>
        <v/>
      </c>
      <c r="O2297" s="101">
        <f>IF(H2297=1,IF(E2297&lt;FYStart,0,IF(E2297&gt;FYEnd,13,YEAR(E2297)*12+MONTH(E2297)-FYYM+1)),"")</f>
        <v/>
      </c>
      <c r="P2297" s="101">
        <f>IF(H2297=1,IF(IFERROR(INDEX(coa_CF,MATCH(I2297,coa_Name,0)),"")="Cash",1,0),0)</f>
        <v/>
      </c>
      <c r="Q2297" s="101">
        <f>IF(H2297=1,IF(IFERROR(INDEX(coa_CF,MATCH(K2297,coa_Name,0)),"")="Cash",1,0),0)</f>
        <v/>
      </c>
      <c r="R2297" s="58">
        <f>IF((P2297-Q2297)=0,"",IFERROR(INDEX(coa_CF,MATCH(IF((P2297-Q2297)=1,K2297,I2297),coa_Name,0)),"Operating"))</f>
        <v/>
      </c>
      <c r="S2297" s="95">
        <f>IF((P2297-Q2297)=1,L2297,IF((P2297-Q2297)=-1,-J2297,0))</f>
        <v/>
      </c>
      <c r="T2297" s="95">
        <f>IF((P2297-Q2297)=1,N2297,IF((P2297-Q2297)=-1,-M2297,0))</f>
        <v/>
      </c>
      <c r="U2297" s="101">
        <f>IF(AND(H2297=1,LedAcct&lt;&gt;""),IF(AND(E2297&gt;=LedFrom,E2297&lt;=LedTo,OR(I2297=LedAcct,K2297=LedAcct,AND(LedAcct=acctTax,M2297+N2297&lt;&gt;0))),E2297*10000+B2297,""),"")</f>
        <v/>
      </c>
    </row>
    <row r="2298">
      <c r="B2298" s="101" t="n">
        <v>2292</v>
      </c>
      <c r="C2298" s="58" t="inlineStr">
        <is>
          <t>Invoice</t>
        </is>
      </c>
      <c r="D2298" s="58">
        <f>IF(H2298=1,INDEX(ar_No,292)&amp;"","")</f>
        <v/>
      </c>
      <c r="E2298" s="94">
        <f>IF(H2298=1,INDEX(ar_Date,292),"")</f>
        <v/>
      </c>
      <c r="F2298" s="58">
        <f>IF(H2298=1,INDEX(ar_Desc,292)&amp;"","")</f>
        <v/>
      </c>
      <c r="G2298" s="58">
        <f>IF(H2298=1,INDEX(ar_Party,292)&amp;"","")</f>
        <v/>
      </c>
      <c r="H2298" s="101">
        <f>IFERROR(N(INDEX(ar_Posted,292)),0)</f>
        <v/>
      </c>
      <c r="I2298" s="58">
        <f>IF(H2298=1,INDEX(ar_DrAcct,292)&amp;"","")</f>
        <v/>
      </c>
      <c r="J2298" s="95">
        <f>IF(H2298=1,INDEX(ar_DrAmt,292),0)</f>
        <v/>
      </c>
      <c r="K2298" s="58">
        <f>IF(H2298=1,INDEX(ar_CrAcct,292)&amp;"","")</f>
        <v/>
      </c>
      <c r="L2298" s="95">
        <f>IF(H2298=1,INDEX(ar_CrAmt,292),0)</f>
        <v/>
      </c>
      <c r="M2298" s="95" t="n">
        <v>0</v>
      </c>
      <c r="N2298" s="95">
        <f>IF(H2298=1,INDEX(ar_TaxAmt,292),0)</f>
        <v/>
      </c>
      <c r="O2298" s="101">
        <f>IF(H2298=1,IF(E2298&lt;FYStart,0,IF(E2298&gt;FYEnd,13,YEAR(E2298)*12+MONTH(E2298)-FYYM+1)),"")</f>
        <v/>
      </c>
      <c r="P2298" s="101">
        <f>IF(H2298=1,IF(IFERROR(INDEX(coa_CF,MATCH(I2298,coa_Name,0)),"")="Cash",1,0),0)</f>
        <v/>
      </c>
      <c r="Q2298" s="101">
        <f>IF(H2298=1,IF(IFERROR(INDEX(coa_CF,MATCH(K2298,coa_Name,0)),"")="Cash",1,0),0)</f>
        <v/>
      </c>
      <c r="R2298" s="58">
        <f>IF((P2298-Q2298)=0,"",IFERROR(INDEX(coa_CF,MATCH(IF((P2298-Q2298)=1,K2298,I2298),coa_Name,0)),"Operating"))</f>
        <v/>
      </c>
      <c r="S2298" s="95">
        <f>IF((P2298-Q2298)=1,L2298,IF((P2298-Q2298)=-1,-J2298,0))</f>
        <v/>
      </c>
      <c r="T2298" s="95">
        <f>IF((P2298-Q2298)=1,N2298,IF((P2298-Q2298)=-1,-M2298,0))</f>
        <v/>
      </c>
      <c r="U2298" s="101">
        <f>IF(AND(H2298=1,LedAcct&lt;&gt;""),IF(AND(E2298&gt;=LedFrom,E2298&lt;=LedTo,OR(I2298=LedAcct,K2298=LedAcct,AND(LedAcct=acctTax,M2298+N2298&lt;&gt;0))),E2298*10000+B2298,""),"")</f>
        <v/>
      </c>
    </row>
    <row r="2299">
      <c r="B2299" s="101" t="n">
        <v>2293</v>
      </c>
      <c r="C2299" s="58" t="inlineStr">
        <is>
          <t>Invoice</t>
        </is>
      </c>
      <c r="D2299" s="58">
        <f>IF(H2299=1,INDEX(ar_No,293)&amp;"","")</f>
        <v/>
      </c>
      <c r="E2299" s="94">
        <f>IF(H2299=1,INDEX(ar_Date,293),"")</f>
        <v/>
      </c>
      <c r="F2299" s="58">
        <f>IF(H2299=1,INDEX(ar_Desc,293)&amp;"","")</f>
        <v/>
      </c>
      <c r="G2299" s="58">
        <f>IF(H2299=1,INDEX(ar_Party,293)&amp;"","")</f>
        <v/>
      </c>
      <c r="H2299" s="101">
        <f>IFERROR(N(INDEX(ar_Posted,293)),0)</f>
        <v/>
      </c>
      <c r="I2299" s="58">
        <f>IF(H2299=1,INDEX(ar_DrAcct,293)&amp;"","")</f>
        <v/>
      </c>
      <c r="J2299" s="95">
        <f>IF(H2299=1,INDEX(ar_DrAmt,293),0)</f>
        <v/>
      </c>
      <c r="K2299" s="58">
        <f>IF(H2299=1,INDEX(ar_CrAcct,293)&amp;"","")</f>
        <v/>
      </c>
      <c r="L2299" s="95">
        <f>IF(H2299=1,INDEX(ar_CrAmt,293),0)</f>
        <v/>
      </c>
      <c r="M2299" s="95" t="n">
        <v>0</v>
      </c>
      <c r="N2299" s="95">
        <f>IF(H2299=1,INDEX(ar_TaxAmt,293),0)</f>
        <v/>
      </c>
      <c r="O2299" s="101">
        <f>IF(H2299=1,IF(E2299&lt;FYStart,0,IF(E2299&gt;FYEnd,13,YEAR(E2299)*12+MONTH(E2299)-FYYM+1)),"")</f>
        <v/>
      </c>
      <c r="P2299" s="101">
        <f>IF(H2299=1,IF(IFERROR(INDEX(coa_CF,MATCH(I2299,coa_Name,0)),"")="Cash",1,0),0)</f>
        <v/>
      </c>
      <c r="Q2299" s="101">
        <f>IF(H2299=1,IF(IFERROR(INDEX(coa_CF,MATCH(K2299,coa_Name,0)),"")="Cash",1,0),0)</f>
        <v/>
      </c>
      <c r="R2299" s="58">
        <f>IF((P2299-Q2299)=0,"",IFERROR(INDEX(coa_CF,MATCH(IF((P2299-Q2299)=1,K2299,I2299),coa_Name,0)),"Operating"))</f>
        <v/>
      </c>
      <c r="S2299" s="95">
        <f>IF((P2299-Q2299)=1,L2299,IF((P2299-Q2299)=-1,-J2299,0))</f>
        <v/>
      </c>
      <c r="T2299" s="95">
        <f>IF((P2299-Q2299)=1,N2299,IF((P2299-Q2299)=-1,-M2299,0))</f>
        <v/>
      </c>
      <c r="U2299" s="101">
        <f>IF(AND(H2299=1,LedAcct&lt;&gt;""),IF(AND(E2299&gt;=LedFrom,E2299&lt;=LedTo,OR(I2299=LedAcct,K2299=LedAcct,AND(LedAcct=acctTax,M2299+N2299&lt;&gt;0))),E2299*10000+B2299,""),"")</f>
        <v/>
      </c>
    </row>
    <row r="2300">
      <c r="B2300" s="101" t="n">
        <v>2294</v>
      </c>
      <c r="C2300" s="58" t="inlineStr">
        <is>
          <t>Invoice</t>
        </is>
      </c>
      <c r="D2300" s="58">
        <f>IF(H2300=1,INDEX(ar_No,294)&amp;"","")</f>
        <v/>
      </c>
      <c r="E2300" s="94">
        <f>IF(H2300=1,INDEX(ar_Date,294),"")</f>
        <v/>
      </c>
      <c r="F2300" s="58">
        <f>IF(H2300=1,INDEX(ar_Desc,294)&amp;"","")</f>
        <v/>
      </c>
      <c r="G2300" s="58">
        <f>IF(H2300=1,INDEX(ar_Party,294)&amp;"","")</f>
        <v/>
      </c>
      <c r="H2300" s="101">
        <f>IFERROR(N(INDEX(ar_Posted,294)),0)</f>
        <v/>
      </c>
      <c r="I2300" s="58">
        <f>IF(H2300=1,INDEX(ar_DrAcct,294)&amp;"","")</f>
        <v/>
      </c>
      <c r="J2300" s="95">
        <f>IF(H2300=1,INDEX(ar_DrAmt,294),0)</f>
        <v/>
      </c>
      <c r="K2300" s="58">
        <f>IF(H2300=1,INDEX(ar_CrAcct,294)&amp;"","")</f>
        <v/>
      </c>
      <c r="L2300" s="95">
        <f>IF(H2300=1,INDEX(ar_CrAmt,294),0)</f>
        <v/>
      </c>
      <c r="M2300" s="95" t="n">
        <v>0</v>
      </c>
      <c r="N2300" s="95">
        <f>IF(H2300=1,INDEX(ar_TaxAmt,294),0)</f>
        <v/>
      </c>
      <c r="O2300" s="101">
        <f>IF(H2300=1,IF(E2300&lt;FYStart,0,IF(E2300&gt;FYEnd,13,YEAR(E2300)*12+MONTH(E2300)-FYYM+1)),"")</f>
        <v/>
      </c>
      <c r="P2300" s="101">
        <f>IF(H2300=1,IF(IFERROR(INDEX(coa_CF,MATCH(I2300,coa_Name,0)),"")="Cash",1,0),0)</f>
        <v/>
      </c>
      <c r="Q2300" s="101">
        <f>IF(H2300=1,IF(IFERROR(INDEX(coa_CF,MATCH(K2300,coa_Name,0)),"")="Cash",1,0),0)</f>
        <v/>
      </c>
      <c r="R2300" s="58">
        <f>IF((P2300-Q2300)=0,"",IFERROR(INDEX(coa_CF,MATCH(IF((P2300-Q2300)=1,K2300,I2300),coa_Name,0)),"Operating"))</f>
        <v/>
      </c>
      <c r="S2300" s="95">
        <f>IF((P2300-Q2300)=1,L2300,IF((P2300-Q2300)=-1,-J2300,0))</f>
        <v/>
      </c>
      <c r="T2300" s="95">
        <f>IF((P2300-Q2300)=1,N2300,IF((P2300-Q2300)=-1,-M2300,0))</f>
        <v/>
      </c>
      <c r="U2300" s="101">
        <f>IF(AND(H2300=1,LedAcct&lt;&gt;""),IF(AND(E2300&gt;=LedFrom,E2300&lt;=LedTo,OR(I2300=LedAcct,K2300=LedAcct,AND(LedAcct=acctTax,M2300+N2300&lt;&gt;0))),E2300*10000+B2300,""),"")</f>
        <v/>
      </c>
    </row>
    <row r="2301">
      <c r="B2301" s="101" t="n">
        <v>2295</v>
      </c>
      <c r="C2301" s="58" t="inlineStr">
        <is>
          <t>Invoice</t>
        </is>
      </c>
      <c r="D2301" s="58">
        <f>IF(H2301=1,INDEX(ar_No,295)&amp;"","")</f>
        <v/>
      </c>
      <c r="E2301" s="94">
        <f>IF(H2301=1,INDEX(ar_Date,295),"")</f>
        <v/>
      </c>
      <c r="F2301" s="58">
        <f>IF(H2301=1,INDEX(ar_Desc,295)&amp;"","")</f>
        <v/>
      </c>
      <c r="G2301" s="58">
        <f>IF(H2301=1,INDEX(ar_Party,295)&amp;"","")</f>
        <v/>
      </c>
      <c r="H2301" s="101">
        <f>IFERROR(N(INDEX(ar_Posted,295)),0)</f>
        <v/>
      </c>
      <c r="I2301" s="58">
        <f>IF(H2301=1,INDEX(ar_DrAcct,295)&amp;"","")</f>
        <v/>
      </c>
      <c r="J2301" s="95">
        <f>IF(H2301=1,INDEX(ar_DrAmt,295),0)</f>
        <v/>
      </c>
      <c r="K2301" s="58">
        <f>IF(H2301=1,INDEX(ar_CrAcct,295)&amp;"","")</f>
        <v/>
      </c>
      <c r="L2301" s="95">
        <f>IF(H2301=1,INDEX(ar_CrAmt,295),0)</f>
        <v/>
      </c>
      <c r="M2301" s="95" t="n">
        <v>0</v>
      </c>
      <c r="N2301" s="95">
        <f>IF(H2301=1,INDEX(ar_TaxAmt,295),0)</f>
        <v/>
      </c>
      <c r="O2301" s="101">
        <f>IF(H2301=1,IF(E2301&lt;FYStart,0,IF(E2301&gt;FYEnd,13,YEAR(E2301)*12+MONTH(E2301)-FYYM+1)),"")</f>
        <v/>
      </c>
      <c r="P2301" s="101">
        <f>IF(H2301=1,IF(IFERROR(INDEX(coa_CF,MATCH(I2301,coa_Name,0)),"")="Cash",1,0),0)</f>
        <v/>
      </c>
      <c r="Q2301" s="101">
        <f>IF(H2301=1,IF(IFERROR(INDEX(coa_CF,MATCH(K2301,coa_Name,0)),"")="Cash",1,0),0)</f>
        <v/>
      </c>
      <c r="R2301" s="58">
        <f>IF((P2301-Q2301)=0,"",IFERROR(INDEX(coa_CF,MATCH(IF((P2301-Q2301)=1,K2301,I2301),coa_Name,0)),"Operating"))</f>
        <v/>
      </c>
      <c r="S2301" s="95">
        <f>IF((P2301-Q2301)=1,L2301,IF((P2301-Q2301)=-1,-J2301,0))</f>
        <v/>
      </c>
      <c r="T2301" s="95">
        <f>IF((P2301-Q2301)=1,N2301,IF((P2301-Q2301)=-1,-M2301,0))</f>
        <v/>
      </c>
      <c r="U2301" s="101">
        <f>IF(AND(H2301=1,LedAcct&lt;&gt;""),IF(AND(E2301&gt;=LedFrom,E2301&lt;=LedTo,OR(I2301=LedAcct,K2301=LedAcct,AND(LedAcct=acctTax,M2301+N2301&lt;&gt;0))),E2301*10000+B2301,""),"")</f>
        <v/>
      </c>
    </row>
    <row r="2302">
      <c r="B2302" s="101" t="n">
        <v>2296</v>
      </c>
      <c r="C2302" s="58" t="inlineStr">
        <is>
          <t>Invoice</t>
        </is>
      </c>
      <c r="D2302" s="58">
        <f>IF(H2302=1,INDEX(ar_No,296)&amp;"","")</f>
        <v/>
      </c>
      <c r="E2302" s="94">
        <f>IF(H2302=1,INDEX(ar_Date,296),"")</f>
        <v/>
      </c>
      <c r="F2302" s="58">
        <f>IF(H2302=1,INDEX(ar_Desc,296)&amp;"","")</f>
        <v/>
      </c>
      <c r="G2302" s="58">
        <f>IF(H2302=1,INDEX(ar_Party,296)&amp;"","")</f>
        <v/>
      </c>
      <c r="H2302" s="101">
        <f>IFERROR(N(INDEX(ar_Posted,296)),0)</f>
        <v/>
      </c>
      <c r="I2302" s="58">
        <f>IF(H2302=1,INDEX(ar_DrAcct,296)&amp;"","")</f>
        <v/>
      </c>
      <c r="J2302" s="95">
        <f>IF(H2302=1,INDEX(ar_DrAmt,296),0)</f>
        <v/>
      </c>
      <c r="K2302" s="58">
        <f>IF(H2302=1,INDEX(ar_CrAcct,296)&amp;"","")</f>
        <v/>
      </c>
      <c r="L2302" s="95">
        <f>IF(H2302=1,INDEX(ar_CrAmt,296),0)</f>
        <v/>
      </c>
      <c r="M2302" s="95" t="n">
        <v>0</v>
      </c>
      <c r="N2302" s="95">
        <f>IF(H2302=1,INDEX(ar_TaxAmt,296),0)</f>
        <v/>
      </c>
      <c r="O2302" s="101">
        <f>IF(H2302=1,IF(E2302&lt;FYStart,0,IF(E2302&gt;FYEnd,13,YEAR(E2302)*12+MONTH(E2302)-FYYM+1)),"")</f>
        <v/>
      </c>
      <c r="P2302" s="101">
        <f>IF(H2302=1,IF(IFERROR(INDEX(coa_CF,MATCH(I2302,coa_Name,0)),"")="Cash",1,0),0)</f>
        <v/>
      </c>
      <c r="Q2302" s="101">
        <f>IF(H2302=1,IF(IFERROR(INDEX(coa_CF,MATCH(K2302,coa_Name,0)),"")="Cash",1,0),0)</f>
        <v/>
      </c>
      <c r="R2302" s="58">
        <f>IF((P2302-Q2302)=0,"",IFERROR(INDEX(coa_CF,MATCH(IF((P2302-Q2302)=1,K2302,I2302),coa_Name,0)),"Operating"))</f>
        <v/>
      </c>
      <c r="S2302" s="95">
        <f>IF((P2302-Q2302)=1,L2302,IF((P2302-Q2302)=-1,-J2302,0))</f>
        <v/>
      </c>
      <c r="T2302" s="95">
        <f>IF((P2302-Q2302)=1,N2302,IF((P2302-Q2302)=-1,-M2302,0))</f>
        <v/>
      </c>
      <c r="U2302" s="101">
        <f>IF(AND(H2302=1,LedAcct&lt;&gt;""),IF(AND(E2302&gt;=LedFrom,E2302&lt;=LedTo,OR(I2302=LedAcct,K2302=LedAcct,AND(LedAcct=acctTax,M2302+N2302&lt;&gt;0))),E2302*10000+B2302,""),"")</f>
        <v/>
      </c>
    </row>
    <row r="2303">
      <c r="B2303" s="101" t="n">
        <v>2297</v>
      </c>
      <c r="C2303" s="58" t="inlineStr">
        <is>
          <t>Invoice</t>
        </is>
      </c>
      <c r="D2303" s="58">
        <f>IF(H2303=1,INDEX(ar_No,297)&amp;"","")</f>
        <v/>
      </c>
      <c r="E2303" s="94">
        <f>IF(H2303=1,INDEX(ar_Date,297),"")</f>
        <v/>
      </c>
      <c r="F2303" s="58">
        <f>IF(H2303=1,INDEX(ar_Desc,297)&amp;"","")</f>
        <v/>
      </c>
      <c r="G2303" s="58">
        <f>IF(H2303=1,INDEX(ar_Party,297)&amp;"","")</f>
        <v/>
      </c>
      <c r="H2303" s="101">
        <f>IFERROR(N(INDEX(ar_Posted,297)),0)</f>
        <v/>
      </c>
      <c r="I2303" s="58">
        <f>IF(H2303=1,INDEX(ar_DrAcct,297)&amp;"","")</f>
        <v/>
      </c>
      <c r="J2303" s="95">
        <f>IF(H2303=1,INDEX(ar_DrAmt,297),0)</f>
        <v/>
      </c>
      <c r="K2303" s="58">
        <f>IF(H2303=1,INDEX(ar_CrAcct,297)&amp;"","")</f>
        <v/>
      </c>
      <c r="L2303" s="95">
        <f>IF(H2303=1,INDEX(ar_CrAmt,297),0)</f>
        <v/>
      </c>
      <c r="M2303" s="95" t="n">
        <v>0</v>
      </c>
      <c r="N2303" s="95">
        <f>IF(H2303=1,INDEX(ar_TaxAmt,297),0)</f>
        <v/>
      </c>
      <c r="O2303" s="101">
        <f>IF(H2303=1,IF(E2303&lt;FYStart,0,IF(E2303&gt;FYEnd,13,YEAR(E2303)*12+MONTH(E2303)-FYYM+1)),"")</f>
        <v/>
      </c>
      <c r="P2303" s="101">
        <f>IF(H2303=1,IF(IFERROR(INDEX(coa_CF,MATCH(I2303,coa_Name,0)),"")="Cash",1,0),0)</f>
        <v/>
      </c>
      <c r="Q2303" s="101">
        <f>IF(H2303=1,IF(IFERROR(INDEX(coa_CF,MATCH(K2303,coa_Name,0)),"")="Cash",1,0),0)</f>
        <v/>
      </c>
      <c r="R2303" s="58">
        <f>IF((P2303-Q2303)=0,"",IFERROR(INDEX(coa_CF,MATCH(IF((P2303-Q2303)=1,K2303,I2303),coa_Name,0)),"Operating"))</f>
        <v/>
      </c>
      <c r="S2303" s="95">
        <f>IF((P2303-Q2303)=1,L2303,IF((P2303-Q2303)=-1,-J2303,0))</f>
        <v/>
      </c>
      <c r="T2303" s="95">
        <f>IF((P2303-Q2303)=1,N2303,IF((P2303-Q2303)=-1,-M2303,0))</f>
        <v/>
      </c>
      <c r="U2303" s="101">
        <f>IF(AND(H2303=1,LedAcct&lt;&gt;""),IF(AND(E2303&gt;=LedFrom,E2303&lt;=LedTo,OR(I2303=LedAcct,K2303=LedAcct,AND(LedAcct=acctTax,M2303+N2303&lt;&gt;0))),E2303*10000+B2303,""),"")</f>
        <v/>
      </c>
    </row>
    <row r="2304">
      <c r="B2304" s="101" t="n">
        <v>2298</v>
      </c>
      <c r="C2304" s="58" t="inlineStr">
        <is>
          <t>Invoice</t>
        </is>
      </c>
      <c r="D2304" s="58">
        <f>IF(H2304=1,INDEX(ar_No,298)&amp;"","")</f>
        <v/>
      </c>
      <c r="E2304" s="94">
        <f>IF(H2304=1,INDEX(ar_Date,298),"")</f>
        <v/>
      </c>
      <c r="F2304" s="58">
        <f>IF(H2304=1,INDEX(ar_Desc,298)&amp;"","")</f>
        <v/>
      </c>
      <c r="G2304" s="58">
        <f>IF(H2304=1,INDEX(ar_Party,298)&amp;"","")</f>
        <v/>
      </c>
      <c r="H2304" s="101">
        <f>IFERROR(N(INDEX(ar_Posted,298)),0)</f>
        <v/>
      </c>
      <c r="I2304" s="58">
        <f>IF(H2304=1,INDEX(ar_DrAcct,298)&amp;"","")</f>
        <v/>
      </c>
      <c r="J2304" s="95">
        <f>IF(H2304=1,INDEX(ar_DrAmt,298),0)</f>
        <v/>
      </c>
      <c r="K2304" s="58">
        <f>IF(H2304=1,INDEX(ar_CrAcct,298)&amp;"","")</f>
        <v/>
      </c>
      <c r="L2304" s="95">
        <f>IF(H2304=1,INDEX(ar_CrAmt,298),0)</f>
        <v/>
      </c>
      <c r="M2304" s="95" t="n">
        <v>0</v>
      </c>
      <c r="N2304" s="95">
        <f>IF(H2304=1,INDEX(ar_TaxAmt,298),0)</f>
        <v/>
      </c>
      <c r="O2304" s="101">
        <f>IF(H2304=1,IF(E2304&lt;FYStart,0,IF(E2304&gt;FYEnd,13,YEAR(E2304)*12+MONTH(E2304)-FYYM+1)),"")</f>
        <v/>
      </c>
      <c r="P2304" s="101">
        <f>IF(H2304=1,IF(IFERROR(INDEX(coa_CF,MATCH(I2304,coa_Name,0)),"")="Cash",1,0),0)</f>
        <v/>
      </c>
      <c r="Q2304" s="101">
        <f>IF(H2304=1,IF(IFERROR(INDEX(coa_CF,MATCH(K2304,coa_Name,0)),"")="Cash",1,0),0)</f>
        <v/>
      </c>
      <c r="R2304" s="58">
        <f>IF((P2304-Q2304)=0,"",IFERROR(INDEX(coa_CF,MATCH(IF((P2304-Q2304)=1,K2304,I2304),coa_Name,0)),"Operating"))</f>
        <v/>
      </c>
      <c r="S2304" s="95">
        <f>IF((P2304-Q2304)=1,L2304,IF((P2304-Q2304)=-1,-J2304,0))</f>
        <v/>
      </c>
      <c r="T2304" s="95">
        <f>IF((P2304-Q2304)=1,N2304,IF((P2304-Q2304)=-1,-M2304,0))</f>
        <v/>
      </c>
      <c r="U2304" s="101">
        <f>IF(AND(H2304=1,LedAcct&lt;&gt;""),IF(AND(E2304&gt;=LedFrom,E2304&lt;=LedTo,OR(I2304=LedAcct,K2304=LedAcct,AND(LedAcct=acctTax,M2304+N2304&lt;&gt;0))),E2304*10000+B2304,""),"")</f>
        <v/>
      </c>
    </row>
    <row r="2305">
      <c r="B2305" s="101" t="n">
        <v>2299</v>
      </c>
      <c r="C2305" s="58" t="inlineStr">
        <is>
          <t>Invoice</t>
        </is>
      </c>
      <c r="D2305" s="58">
        <f>IF(H2305=1,INDEX(ar_No,299)&amp;"","")</f>
        <v/>
      </c>
      <c r="E2305" s="94">
        <f>IF(H2305=1,INDEX(ar_Date,299),"")</f>
        <v/>
      </c>
      <c r="F2305" s="58">
        <f>IF(H2305=1,INDEX(ar_Desc,299)&amp;"","")</f>
        <v/>
      </c>
      <c r="G2305" s="58">
        <f>IF(H2305=1,INDEX(ar_Party,299)&amp;"","")</f>
        <v/>
      </c>
      <c r="H2305" s="101">
        <f>IFERROR(N(INDEX(ar_Posted,299)),0)</f>
        <v/>
      </c>
      <c r="I2305" s="58">
        <f>IF(H2305=1,INDEX(ar_DrAcct,299)&amp;"","")</f>
        <v/>
      </c>
      <c r="J2305" s="95">
        <f>IF(H2305=1,INDEX(ar_DrAmt,299),0)</f>
        <v/>
      </c>
      <c r="K2305" s="58">
        <f>IF(H2305=1,INDEX(ar_CrAcct,299)&amp;"","")</f>
        <v/>
      </c>
      <c r="L2305" s="95">
        <f>IF(H2305=1,INDEX(ar_CrAmt,299),0)</f>
        <v/>
      </c>
      <c r="M2305" s="95" t="n">
        <v>0</v>
      </c>
      <c r="N2305" s="95">
        <f>IF(H2305=1,INDEX(ar_TaxAmt,299),0)</f>
        <v/>
      </c>
      <c r="O2305" s="101">
        <f>IF(H2305=1,IF(E2305&lt;FYStart,0,IF(E2305&gt;FYEnd,13,YEAR(E2305)*12+MONTH(E2305)-FYYM+1)),"")</f>
        <v/>
      </c>
      <c r="P2305" s="101">
        <f>IF(H2305=1,IF(IFERROR(INDEX(coa_CF,MATCH(I2305,coa_Name,0)),"")="Cash",1,0),0)</f>
        <v/>
      </c>
      <c r="Q2305" s="101">
        <f>IF(H2305=1,IF(IFERROR(INDEX(coa_CF,MATCH(K2305,coa_Name,0)),"")="Cash",1,0),0)</f>
        <v/>
      </c>
      <c r="R2305" s="58">
        <f>IF((P2305-Q2305)=0,"",IFERROR(INDEX(coa_CF,MATCH(IF((P2305-Q2305)=1,K2305,I2305),coa_Name,0)),"Operating"))</f>
        <v/>
      </c>
      <c r="S2305" s="95">
        <f>IF((P2305-Q2305)=1,L2305,IF((P2305-Q2305)=-1,-J2305,0))</f>
        <v/>
      </c>
      <c r="T2305" s="95">
        <f>IF((P2305-Q2305)=1,N2305,IF((P2305-Q2305)=-1,-M2305,0))</f>
        <v/>
      </c>
      <c r="U2305" s="101">
        <f>IF(AND(H2305=1,LedAcct&lt;&gt;""),IF(AND(E2305&gt;=LedFrom,E2305&lt;=LedTo,OR(I2305=LedAcct,K2305=LedAcct,AND(LedAcct=acctTax,M2305+N2305&lt;&gt;0))),E2305*10000+B2305,""),"")</f>
        <v/>
      </c>
    </row>
    <row r="2306">
      <c r="B2306" s="101" t="n">
        <v>2300</v>
      </c>
      <c r="C2306" s="58" t="inlineStr">
        <is>
          <t>Invoice</t>
        </is>
      </c>
      <c r="D2306" s="58">
        <f>IF(H2306=1,INDEX(ar_No,300)&amp;"","")</f>
        <v/>
      </c>
      <c r="E2306" s="94">
        <f>IF(H2306=1,INDEX(ar_Date,300),"")</f>
        <v/>
      </c>
      <c r="F2306" s="58">
        <f>IF(H2306=1,INDEX(ar_Desc,300)&amp;"","")</f>
        <v/>
      </c>
      <c r="G2306" s="58">
        <f>IF(H2306=1,INDEX(ar_Party,300)&amp;"","")</f>
        <v/>
      </c>
      <c r="H2306" s="101">
        <f>IFERROR(N(INDEX(ar_Posted,300)),0)</f>
        <v/>
      </c>
      <c r="I2306" s="58">
        <f>IF(H2306=1,INDEX(ar_DrAcct,300)&amp;"","")</f>
        <v/>
      </c>
      <c r="J2306" s="95">
        <f>IF(H2306=1,INDEX(ar_DrAmt,300),0)</f>
        <v/>
      </c>
      <c r="K2306" s="58">
        <f>IF(H2306=1,INDEX(ar_CrAcct,300)&amp;"","")</f>
        <v/>
      </c>
      <c r="L2306" s="95">
        <f>IF(H2306=1,INDEX(ar_CrAmt,300),0)</f>
        <v/>
      </c>
      <c r="M2306" s="95" t="n">
        <v>0</v>
      </c>
      <c r="N2306" s="95">
        <f>IF(H2306=1,INDEX(ar_TaxAmt,300),0)</f>
        <v/>
      </c>
      <c r="O2306" s="101">
        <f>IF(H2306=1,IF(E2306&lt;FYStart,0,IF(E2306&gt;FYEnd,13,YEAR(E2306)*12+MONTH(E2306)-FYYM+1)),"")</f>
        <v/>
      </c>
      <c r="P2306" s="101">
        <f>IF(H2306=1,IF(IFERROR(INDEX(coa_CF,MATCH(I2306,coa_Name,0)),"")="Cash",1,0),0)</f>
        <v/>
      </c>
      <c r="Q2306" s="101">
        <f>IF(H2306=1,IF(IFERROR(INDEX(coa_CF,MATCH(K2306,coa_Name,0)),"")="Cash",1,0),0)</f>
        <v/>
      </c>
      <c r="R2306" s="58">
        <f>IF((P2306-Q2306)=0,"",IFERROR(INDEX(coa_CF,MATCH(IF((P2306-Q2306)=1,K2306,I2306),coa_Name,0)),"Operating"))</f>
        <v/>
      </c>
      <c r="S2306" s="95">
        <f>IF((P2306-Q2306)=1,L2306,IF((P2306-Q2306)=-1,-J2306,0))</f>
        <v/>
      </c>
      <c r="T2306" s="95">
        <f>IF((P2306-Q2306)=1,N2306,IF((P2306-Q2306)=-1,-M2306,0))</f>
        <v/>
      </c>
      <c r="U2306" s="101">
        <f>IF(AND(H2306=1,LedAcct&lt;&gt;""),IF(AND(E2306&gt;=LedFrom,E2306&lt;=LedTo,OR(I2306=LedAcct,K2306=LedAcct,AND(LedAcct=acctTax,M2306+N2306&lt;&gt;0))),E2306*10000+B2306,""),"")</f>
        <v/>
      </c>
    </row>
    <row r="2307">
      <c r="B2307" s="101" t="n">
        <v>2301</v>
      </c>
      <c r="C2307" s="58" t="inlineStr">
        <is>
          <t>Invoice</t>
        </is>
      </c>
      <c r="D2307" s="58">
        <f>IF(H2307=1,INDEX(ar_No,301)&amp;"","")</f>
        <v/>
      </c>
      <c r="E2307" s="94">
        <f>IF(H2307=1,INDEX(ar_Date,301),"")</f>
        <v/>
      </c>
      <c r="F2307" s="58">
        <f>IF(H2307=1,INDEX(ar_Desc,301)&amp;"","")</f>
        <v/>
      </c>
      <c r="G2307" s="58">
        <f>IF(H2307=1,INDEX(ar_Party,301)&amp;"","")</f>
        <v/>
      </c>
      <c r="H2307" s="101">
        <f>IFERROR(N(INDEX(ar_Posted,301)),0)</f>
        <v/>
      </c>
      <c r="I2307" s="58">
        <f>IF(H2307=1,INDEX(ar_DrAcct,301)&amp;"","")</f>
        <v/>
      </c>
      <c r="J2307" s="95">
        <f>IF(H2307=1,INDEX(ar_DrAmt,301),0)</f>
        <v/>
      </c>
      <c r="K2307" s="58">
        <f>IF(H2307=1,INDEX(ar_CrAcct,301)&amp;"","")</f>
        <v/>
      </c>
      <c r="L2307" s="95">
        <f>IF(H2307=1,INDEX(ar_CrAmt,301),0)</f>
        <v/>
      </c>
      <c r="M2307" s="95" t="n">
        <v>0</v>
      </c>
      <c r="N2307" s="95">
        <f>IF(H2307=1,INDEX(ar_TaxAmt,301),0)</f>
        <v/>
      </c>
      <c r="O2307" s="101">
        <f>IF(H2307=1,IF(E2307&lt;FYStart,0,IF(E2307&gt;FYEnd,13,YEAR(E2307)*12+MONTH(E2307)-FYYM+1)),"")</f>
        <v/>
      </c>
      <c r="P2307" s="101">
        <f>IF(H2307=1,IF(IFERROR(INDEX(coa_CF,MATCH(I2307,coa_Name,0)),"")="Cash",1,0),0)</f>
        <v/>
      </c>
      <c r="Q2307" s="101">
        <f>IF(H2307=1,IF(IFERROR(INDEX(coa_CF,MATCH(K2307,coa_Name,0)),"")="Cash",1,0),0)</f>
        <v/>
      </c>
      <c r="R2307" s="58">
        <f>IF((P2307-Q2307)=0,"",IFERROR(INDEX(coa_CF,MATCH(IF((P2307-Q2307)=1,K2307,I2307),coa_Name,0)),"Operating"))</f>
        <v/>
      </c>
      <c r="S2307" s="95">
        <f>IF((P2307-Q2307)=1,L2307,IF((P2307-Q2307)=-1,-J2307,0))</f>
        <v/>
      </c>
      <c r="T2307" s="95">
        <f>IF((P2307-Q2307)=1,N2307,IF((P2307-Q2307)=-1,-M2307,0))</f>
        <v/>
      </c>
      <c r="U2307" s="101">
        <f>IF(AND(H2307=1,LedAcct&lt;&gt;""),IF(AND(E2307&gt;=LedFrom,E2307&lt;=LedTo,OR(I2307=LedAcct,K2307=LedAcct,AND(LedAcct=acctTax,M2307+N2307&lt;&gt;0))),E2307*10000+B2307,""),"")</f>
        <v/>
      </c>
    </row>
    <row r="2308">
      <c r="B2308" s="101" t="n">
        <v>2302</v>
      </c>
      <c r="C2308" s="58" t="inlineStr">
        <is>
          <t>Invoice</t>
        </is>
      </c>
      <c r="D2308" s="58">
        <f>IF(H2308=1,INDEX(ar_No,302)&amp;"","")</f>
        <v/>
      </c>
      <c r="E2308" s="94">
        <f>IF(H2308=1,INDEX(ar_Date,302),"")</f>
        <v/>
      </c>
      <c r="F2308" s="58">
        <f>IF(H2308=1,INDEX(ar_Desc,302)&amp;"","")</f>
        <v/>
      </c>
      <c r="G2308" s="58">
        <f>IF(H2308=1,INDEX(ar_Party,302)&amp;"","")</f>
        <v/>
      </c>
      <c r="H2308" s="101">
        <f>IFERROR(N(INDEX(ar_Posted,302)),0)</f>
        <v/>
      </c>
      <c r="I2308" s="58">
        <f>IF(H2308=1,INDEX(ar_DrAcct,302)&amp;"","")</f>
        <v/>
      </c>
      <c r="J2308" s="95">
        <f>IF(H2308=1,INDEX(ar_DrAmt,302),0)</f>
        <v/>
      </c>
      <c r="K2308" s="58">
        <f>IF(H2308=1,INDEX(ar_CrAcct,302)&amp;"","")</f>
        <v/>
      </c>
      <c r="L2308" s="95">
        <f>IF(H2308=1,INDEX(ar_CrAmt,302),0)</f>
        <v/>
      </c>
      <c r="M2308" s="95" t="n">
        <v>0</v>
      </c>
      <c r="N2308" s="95">
        <f>IF(H2308=1,INDEX(ar_TaxAmt,302),0)</f>
        <v/>
      </c>
      <c r="O2308" s="101">
        <f>IF(H2308=1,IF(E2308&lt;FYStart,0,IF(E2308&gt;FYEnd,13,YEAR(E2308)*12+MONTH(E2308)-FYYM+1)),"")</f>
        <v/>
      </c>
      <c r="P2308" s="101">
        <f>IF(H2308=1,IF(IFERROR(INDEX(coa_CF,MATCH(I2308,coa_Name,0)),"")="Cash",1,0),0)</f>
        <v/>
      </c>
      <c r="Q2308" s="101">
        <f>IF(H2308=1,IF(IFERROR(INDEX(coa_CF,MATCH(K2308,coa_Name,0)),"")="Cash",1,0),0)</f>
        <v/>
      </c>
      <c r="R2308" s="58">
        <f>IF((P2308-Q2308)=0,"",IFERROR(INDEX(coa_CF,MATCH(IF((P2308-Q2308)=1,K2308,I2308),coa_Name,0)),"Operating"))</f>
        <v/>
      </c>
      <c r="S2308" s="95">
        <f>IF((P2308-Q2308)=1,L2308,IF((P2308-Q2308)=-1,-J2308,0))</f>
        <v/>
      </c>
      <c r="T2308" s="95">
        <f>IF((P2308-Q2308)=1,N2308,IF((P2308-Q2308)=-1,-M2308,0))</f>
        <v/>
      </c>
      <c r="U2308" s="101">
        <f>IF(AND(H2308=1,LedAcct&lt;&gt;""),IF(AND(E2308&gt;=LedFrom,E2308&lt;=LedTo,OR(I2308=LedAcct,K2308=LedAcct,AND(LedAcct=acctTax,M2308+N2308&lt;&gt;0))),E2308*10000+B2308,""),"")</f>
        <v/>
      </c>
    </row>
    <row r="2309">
      <c r="B2309" s="101" t="n">
        <v>2303</v>
      </c>
      <c r="C2309" s="58" t="inlineStr">
        <is>
          <t>Invoice</t>
        </is>
      </c>
      <c r="D2309" s="58">
        <f>IF(H2309=1,INDEX(ar_No,303)&amp;"","")</f>
        <v/>
      </c>
      <c r="E2309" s="94">
        <f>IF(H2309=1,INDEX(ar_Date,303),"")</f>
        <v/>
      </c>
      <c r="F2309" s="58">
        <f>IF(H2309=1,INDEX(ar_Desc,303)&amp;"","")</f>
        <v/>
      </c>
      <c r="G2309" s="58">
        <f>IF(H2309=1,INDEX(ar_Party,303)&amp;"","")</f>
        <v/>
      </c>
      <c r="H2309" s="101">
        <f>IFERROR(N(INDEX(ar_Posted,303)),0)</f>
        <v/>
      </c>
      <c r="I2309" s="58">
        <f>IF(H2309=1,INDEX(ar_DrAcct,303)&amp;"","")</f>
        <v/>
      </c>
      <c r="J2309" s="95">
        <f>IF(H2309=1,INDEX(ar_DrAmt,303),0)</f>
        <v/>
      </c>
      <c r="K2309" s="58">
        <f>IF(H2309=1,INDEX(ar_CrAcct,303)&amp;"","")</f>
        <v/>
      </c>
      <c r="L2309" s="95">
        <f>IF(H2309=1,INDEX(ar_CrAmt,303),0)</f>
        <v/>
      </c>
      <c r="M2309" s="95" t="n">
        <v>0</v>
      </c>
      <c r="N2309" s="95">
        <f>IF(H2309=1,INDEX(ar_TaxAmt,303),0)</f>
        <v/>
      </c>
      <c r="O2309" s="101">
        <f>IF(H2309=1,IF(E2309&lt;FYStart,0,IF(E2309&gt;FYEnd,13,YEAR(E2309)*12+MONTH(E2309)-FYYM+1)),"")</f>
        <v/>
      </c>
      <c r="P2309" s="101">
        <f>IF(H2309=1,IF(IFERROR(INDEX(coa_CF,MATCH(I2309,coa_Name,0)),"")="Cash",1,0),0)</f>
        <v/>
      </c>
      <c r="Q2309" s="101">
        <f>IF(H2309=1,IF(IFERROR(INDEX(coa_CF,MATCH(K2309,coa_Name,0)),"")="Cash",1,0),0)</f>
        <v/>
      </c>
      <c r="R2309" s="58">
        <f>IF((P2309-Q2309)=0,"",IFERROR(INDEX(coa_CF,MATCH(IF((P2309-Q2309)=1,K2309,I2309),coa_Name,0)),"Operating"))</f>
        <v/>
      </c>
      <c r="S2309" s="95">
        <f>IF((P2309-Q2309)=1,L2309,IF((P2309-Q2309)=-1,-J2309,0))</f>
        <v/>
      </c>
      <c r="T2309" s="95">
        <f>IF((P2309-Q2309)=1,N2309,IF((P2309-Q2309)=-1,-M2309,0))</f>
        <v/>
      </c>
      <c r="U2309" s="101">
        <f>IF(AND(H2309=1,LedAcct&lt;&gt;""),IF(AND(E2309&gt;=LedFrom,E2309&lt;=LedTo,OR(I2309=LedAcct,K2309=LedAcct,AND(LedAcct=acctTax,M2309+N2309&lt;&gt;0))),E2309*10000+B2309,""),"")</f>
        <v/>
      </c>
    </row>
    <row r="2310">
      <c r="B2310" s="101" t="n">
        <v>2304</v>
      </c>
      <c r="C2310" s="58" t="inlineStr">
        <is>
          <t>Invoice</t>
        </is>
      </c>
      <c r="D2310" s="58">
        <f>IF(H2310=1,INDEX(ar_No,304)&amp;"","")</f>
        <v/>
      </c>
      <c r="E2310" s="94">
        <f>IF(H2310=1,INDEX(ar_Date,304),"")</f>
        <v/>
      </c>
      <c r="F2310" s="58">
        <f>IF(H2310=1,INDEX(ar_Desc,304)&amp;"","")</f>
        <v/>
      </c>
      <c r="G2310" s="58">
        <f>IF(H2310=1,INDEX(ar_Party,304)&amp;"","")</f>
        <v/>
      </c>
      <c r="H2310" s="101">
        <f>IFERROR(N(INDEX(ar_Posted,304)),0)</f>
        <v/>
      </c>
      <c r="I2310" s="58">
        <f>IF(H2310=1,INDEX(ar_DrAcct,304)&amp;"","")</f>
        <v/>
      </c>
      <c r="J2310" s="95">
        <f>IF(H2310=1,INDEX(ar_DrAmt,304),0)</f>
        <v/>
      </c>
      <c r="K2310" s="58">
        <f>IF(H2310=1,INDEX(ar_CrAcct,304)&amp;"","")</f>
        <v/>
      </c>
      <c r="L2310" s="95">
        <f>IF(H2310=1,INDEX(ar_CrAmt,304),0)</f>
        <v/>
      </c>
      <c r="M2310" s="95" t="n">
        <v>0</v>
      </c>
      <c r="N2310" s="95">
        <f>IF(H2310=1,INDEX(ar_TaxAmt,304),0)</f>
        <v/>
      </c>
      <c r="O2310" s="101">
        <f>IF(H2310=1,IF(E2310&lt;FYStart,0,IF(E2310&gt;FYEnd,13,YEAR(E2310)*12+MONTH(E2310)-FYYM+1)),"")</f>
        <v/>
      </c>
      <c r="P2310" s="101">
        <f>IF(H2310=1,IF(IFERROR(INDEX(coa_CF,MATCH(I2310,coa_Name,0)),"")="Cash",1,0),0)</f>
        <v/>
      </c>
      <c r="Q2310" s="101">
        <f>IF(H2310=1,IF(IFERROR(INDEX(coa_CF,MATCH(K2310,coa_Name,0)),"")="Cash",1,0),0)</f>
        <v/>
      </c>
      <c r="R2310" s="58">
        <f>IF((P2310-Q2310)=0,"",IFERROR(INDEX(coa_CF,MATCH(IF((P2310-Q2310)=1,K2310,I2310),coa_Name,0)),"Operating"))</f>
        <v/>
      </c>
      <c r="S2310" s="95">
        <f>IF((P2310-Q2310)=1,L2310,IF((P2310-Q2310)=-1,-J2310,0))</f>
        <v/>
      </c>
      <c r="T2310" s="95">
        <f>IF((P2310-Q2310)=1,N2310,IF((P2310-Q2310)=-1,-M2310,0))</f>
        <v/>
      </c>
      <c r="U2310" s="101">
        <f>IF(AND(H2310=1,LedAcct&lt;&gt;""),IF(AND(E2310&gt;=LedFrom,E2310&lt;=LedTo,OR(I2310=LedAcct,K2310=LedAcct,AND(LedAcct=acctTax,M2310+N2310&lt;&gt;0))),E2310*10000+B2310,""),"")</f>
        <v/>
      </c>
    </row>
    <row r="2311">
      <c r="B2311" s="101" t="n">
        <v>2305</v>
      </c>
      <c r="C2311" s="58" t="inlineStr">
        <is>
          <t>Invoice</t>
        </is>
      </c>
      <c r="D2311" s="58">
        <f>IF(H2311=1,INDEX(ar_No,305)&amp;"","")</f>
        <v/>
      </c>
      <c r="E2311" s="94">
        <f>IF(H2311=1,INDEX(ar_Date,305),"")</f>
        <v/>
      </c>
      <c r="F2311" s="58">
        <f>IF(H2311=1,INDEX(ar_Desc,305)&amp;"","")</f>
        <v/>
      </c>
      <c r="G2311" s="58">
        <f>IF(H2311=1,INDEX(ar_Party,305)&amp;"","")</f>
        <v/>
      </c>
      <c r="H2311" s="101">
        <f>IFERROR(N(INDEX(ar_Posted,305)),0)</f>
        <v/>
      </c>
      <c r="I2311" s="58">
        <f>IF(H2311=1,INDEX(ar_DrAcct,305)&amp;"","")</f>
        <v/>
      </c>
      <c r="J2311" s="95">
        <f>IF(H2311=1,INDEX(ar_DrAmt,305),0)</f>
        <v/>
      </c>
      <c r="K2311" s="58">
        <f>IF(H2311=1,INDEX(ar_CrAcct,305)&amp;"","")</f>
        <v/>
      </c>
      <c r="L2311" s="95">
        <f>IF(H2311=1,INDEX(ar_CrAmt,305),0)</f>
        <v/>
      </c>
      <c r="M2311" s="95" t="n">
        <v>0</v>
      </c>
      <c r="N2311" s="95">
        <f>IF(H2311=1,INDEX(ar_TaxAmt,305),0)</f>
        <v/>
      </c>
      <c r="O2311" s="101">
        <f>IF(H2311=1,IF(E2311&lt;FYStart,0,IF(E2311&gt;FYEnd,13,YEAR(E2311)*12+MONTH(E2311)-FYYM+1)),"")</f>
        <v/>
      </c>
      <c r="P2311" s="101">
        <f>IF(H2311=1,IF(IFERROR(INDEX(coa_CF,MATCH(I2311,coa_Name,0)),"")="Cash",1,0),0)</f>
        <v/>
      </c>
      <c r="Q2311" s="101">
        <f>IF(H2311=1,IF(IFERROR(INDEX(coa_CF,MATCH(K2311,coa_Name,0)),"")="Cash",1,0),0)</f>
        <v/>
      </c>
      <c r="R2311" s="58">
        <f>IF((P2311-Q2311)=0,"",IFERROR(INDEX(coa_CF,MATCH(IF((P2311-Q2311)=1,K2311,I2311),coa_Name,0)),"Operating"))</f>
        <v/>
      </c>
      <c r="S2311" s="95">
        <f>IF((P2311-Q2311)=1,L2311,IF((P2311-Q2311)=-1,-J2311,0))</f>
        <v/>
      </c>
      <c r="T2311" s="95">
        <f>IF((P2311-Q2311)=1,N2311,IF((P2311-Q2311)=-1,-M2311,0))</f>
        <v/>
      </c>
      <c r="U2311" s="101">
        <f>IF(AND(H2311=1,LedAcct&lt;&gt;""),IF(AND(E2311&gt;=LedFrom,E2311&lt;=LedTo,OR(I2311=LedAcct,K2311=LedAcct,AND(LedAcct=acctTax,M2311+N2311&lt;&gt;0))),E2311*10000+B2311,""),"")</f>
        <v/>
      </c>
    </row>
    <row r="2312">
      <c r="B2312" s="101" t="n">
        <v>2306</v>
      </c>
      <c r="C2312" s="58" t="inlineStr">
        <is>
          <t>Invoice</t>
        </is>
      </c>
      <c r="D2312" s="58">
        <f>IF(H2312=1,INDEX(ar_No,306)&amp;"","")</f>
        <v/>
      </c>
      <c r="E2312" s="94">
        <f>IF(H2312=1,INDEX(ar_Date,306),"")</f>
        <v/>
      </c>
      <c r="F2312" s="58">
        <f>IF(H2312=1,INDEX(ar_Desc,306)&amp;"","")</f>
        <v/>
      </c>
      <c r="G2312" s="58">
        <f>IF(H2312=1,INDEX(ar_Party,306)&amp;"","")</f>
        <v/>
      </c>
      <c r="H2312" s="101">
        <f>IFERROR(N(INDEX(ar_Posted,306)),0)</f>
        <v/>
      </c>
      <c r="I2312" s="58">
        <f>IF(H2312=1,INDEX(ar_DrAcct,306)&amp;"","")</f>
        <v/>
      </c>
      <c r="J2312" s="95">
        <f>IF(H2312=1,INDEX(ar_DrAmt,306),0)</f>
        <v/>
      </c>
      <c r="K2312" s="58">
        <f>IF(H2312=1,INDEX(ar_CrAcct,306)&amp;"","")</f>
        <v/>
      </c>
      <c r="L2312" s="95">
        <f>IF(H2312=1,INDEX(ar_CrAmt,306),0)</f>
        <v/>
      </c>
      <c r="M2312" s="95" t="n">
        <v>0</v>
      </c>
      <c r="N2312" s="95">
        <f>IF(H2312=1,INDEX(ar_TaxAmt,306),0)</f>
        <v/>
      </c>
      <c r="O2312" s="101">
        <f>IF(H2312=1,IF(E2312&lt;FYStart,0,IF(E2312&gt;FYEnd,13,YEAR(E2312)*12+MONTH(E2312)-FYYM+1)),"")</f>
        <v/>
      </c>
      <c r="P2312" s="101">
        <f>IF(H2312=1,IF(IFERROR(INDEX(coa_CF,MATCH(I2312,coa_Name,0)),"")="Cash",1,0),0)</f>
        <v/>
      </c>
      <c r="Q2312" s="101">
        <f>IF(H2312=1,IF(IFERROR(INDEX(coa_CF,MATCH(K2312,coa_Name,0)),"")="Cash",1,0),0)</f>
        <v/>
      </c>
      <c r="R2312" s="58">
        <f>IF((P2312-Q2312)=0,"",IFERROR(INDEX(coa_CF,MATCH(IF((P2312-Q2312)=1,K2312,I2312),coa_Name,0)),"Operating"))</f>
        <v/>
      </c>
      <c r="S2312" s="95">
        <f>IF((P2312-Q2312)=1,L2312,IF((P2312-Q2312)=-1,-J2312,0))</f>
        <v/>
      </c>
      <c r="T2312" s="95">
        <f>IF((P2312-Q2312)=1,N2312,IF((P2312-Q2312)=-1,-M2312,0))</f>
        <v/>
      </c>
      <c r="U2312" s="101">
        <f>IF(AND(H2312=1,LedAcct&lt;&gt;""),IF(AND(E2312&gt;=LedFrom,E2312&lt;=LedTo,OR(I2312=LedAcct,K2312=LedAcct,AND(LedAcct=acctTax,M2312+N2312&lt;&gt;0))),E2312*10000+B2312,""),"")</f>
        <v/>
      </c>
    </row>
    <row r="2313">
      <c r="B2313" s="101" t="n">
        <v>2307</v>
      </c>
      <c r="C2313" s="58" t="inlineStr">
        <is>
          <t>Invoice</t>
        </is>
      </c>
      <c r="D2313" s="58">
        <f>IF(H2313=1,INDEX(ar_No,307)&amp;"","")</f>
        <v/>
      </c>
      <c r="E2313" s="94">
        <f>IF(H2313=1,INDEX(ar_Date,307),"")</f>
        <v/>
      </c>
      <c r="F2313" s="58">
        <f>IF(H2313=1,INDEX(ar_Desc,307)&amp;"","")</f>
        <v/>
      </c>
      <c r="G2313" s="58">
        <f>IF(H2313=1,INDEX(ar_Party,307)&amp;"","")</f>
        <v/>
      </c>
      <c r="H2313" s="101">
        <f>IFERROR(N(INDEX(ar_Posted,307)),0)</f>
        <v/>
      </c>
      <c r="I2313" s="58">
        <f>IF(H2313=1,INDEX(ar_DrAcct,307)&amp;"","")</f>
        <v/>
      </c>
      <c r="J2313" s="95">
        <f>IF(H2313=1,INDEX(ar_DrAmt,307),0)</f>
        <v/>
      </c>
      <c r="K2313" s="58">
        <f>IF(H2313=1,INDEX(ar_CrAcct,307)&amp;"","")</f>
        <v/>
      </c>
      <c r="L2313" s="95">
        <f>IF(H2313=1,INDEX(ar_CrAmt,307),0)</f>
        <v/>
      </c>
      <c r="M2313" s="95" t="n">
        <v>0</v>
      </c>
      <c r="N2313" s="95">
        <f>IF(H2313=1,INDEX(ar_TaxAmt,307),0)</f>
        <v/>
      </c>
      <c r="O2313" s="101">
        <f>IF(H2313=1,IF(E2313&lt;FYStart,0,IF(E2313&gt;FYEnd,13,YEAR(E2313)*12+MONTH(E2313)-FYYM+1)),"")</f>
        <v/>
      </c>
      <c r="P2313" s="101">
        <f>IF(H2313=1,IF(IFERROR(INDEX(coa_CF,MATCH(I2313,coa_Name,0)),"")="Cash",1,0),0)</f>
        <v/>
      </c>
      <c r="Q2313" s="101">
        <f>IF(H2313=1,IF(IFERROR(INDEX(coa_CF,MATCH(K2313,coa_Name,0)),"")="Cash",1,0),0)</f>
        <v/>
      </c>
      <c r="R2313" s="58">
        <f>IF((P2313-Q2313)=0,"",IFERROR(INDEX(coa_CF,MATCH(IF((P2313-Q2313)=1,K2313,I2313),coa_Name,0)),"Operating"))</f>
        <v/>
      </c>
      <c r="S2313" s="95">
        <f>IF((P2313-Q2313)=1,L2313,IF((P2313-Q2313)=-1,-J2313,0))</f>
        <v/>
      </c>
      <c r="T2313" s="95">
        <f>IF((P2313-Q2313)=1,N2313,IF((P2313-Q2313)=-1,-M2313,0))</f>
        <v/>
      </c>
      <c r="U2313" s="101">
        <f>IF(AND(H2313=1,LedAcct&lt;&gt;""),IF(AND(E2313&gt;=LedFrom,E2313&lt;=LedTo,OR(I2313=LedAcct,K2313=LedAcct,AND(LedAcct=acctTax,M2313+N2313&lt;&gt;0))),E2313*10000+B2313,""),"")</f>
        <v/>
      </c>
    </row>
    <row r="2314">
      <c r="B2314" s="101" t="n">
        <v>2308</v>
      </c>
      <c r="C2314" s="58" t="inlineStr">
        <is>
          <t>Invoice</t>
        </is>
      </c>
      <c r="D2314" s="58">
        <f>IF(H2314=1,INDEX(ar_No,308)&amp;"","")</f>
        <v/>
      </c>
      <c r="E2314" s="94">
        <f>IF(H2314=1,INDEX(ar_Date,308),"")</f>
        <v/>
      </c>
      <c r="F2314" s="58">
        <f>IF(H2314=1,INDEX(ar_Desc,308)&amp;"","")</f>
        <v/>
      </c>
      <c r="G2314" s="58">
        <f>IF(H2314=1,INDEX(ar_Party,308)&amp;"","")</f>
        <v/>
      </c>
      <c r="H2314" s="101">
        <f>IFERROR(N(INDEX(ar_Posted,308)),0)</f>
        <v/>
      </c>
      <c r="I2314" s="58">
        <f>IF(H2314=1,INDEX(ar_DrAcct,308)&amp;"","")</f>
        <v/>
      </c>
      <c r="J2314" s="95">
        <f>IF(H2314=1,INDEX(ar_DrAmt,308),0)</f>
        <v/>
      </c>
      <c r="K2314" s="58">
        <f>IF(H2314=1,INDEX(ar_CrAcct,308)&amp;"","")</f>
        <v/>
      </c>
      <c r="L2314" s="95">
        <f>IF(H2314=1,INDEX(ar_CrAmt,308),0)</f>
        <v/>
      </c>
      <c r="M2314" s="95" t="n">
        <v>0</v>
      </c>
      <c r="N2314" s="95">
        <f>IF(H2314=1,INDEX(ar_TaxAmt,308),0)</f>
        <v/>
      </c>
      <c r="O2314" s="101">
        <f>IF(H2314=1,IF(E2314&lt;FYStart,0,IF(E2314&gt;FYEnd,13,YEAR(E2314)*12+MONTH(E2314)-FYYM+1)),"")</f>
        <v/>
      </c>
      <c r="P2314" s="101">
        <f>IF(H2314=1,IF(IFERROR(INDEX(coa_CF,MATCH(I2314,coa_Name,0)),"")="Cash",1,0),0)</f>
        <v/>
      </c>
      <c r="Q2314" s="101">
        <f>IF(H2314=1,IF(IFERROR(INDEX(coa_CF,MATCH(K2314,coa_Name,0)),"")="Cash",1,0),0)</f>
        <v/>
      </c>
      <c r="R2314" s="58">
        <f>IF((P2314-Q2314)=0,"",IFERROR(INDEX(coa_CF,MATCH(IF((P2314-Q2314)=1,K2314,I2314),coa_Name,0)),"Operating"))</f>
        <v/>
      </c>
      <c r="S2314" s="95">
        <f>IF((P2314-Q2314)=1,L2314,IF((P2314-Q2314)=-1,-J2314,0))</f>
        <v/>
      </c>
      <c r="T2314" s="95">
        <f>IF((P2314-Q2314)=1,N2314,IF((P2314-Q2314)=-1,-M2314,0))</f>
        <v/>
      </c>
      <c r="U2314" s="101">
        <f>IF(AND(H2314=1,LedAcct&lt;&gt;""),IF(AND(E2314&gt;=LedFrom,E2314&lt;=LedTo,OR(I2314=LedAcct,K2314=LedAcct,AND(LedAcct=acctTax,M2314+N2314&lt;&gt;0))),E2314*10000+B2314,""),"")</f>
        <v/>
      </c>
    </row>
    <row r="2315">
      <c r="B2315" s="101" t="n">
        <v>2309</v>
      </c>
      <c r="C2315" s="58" t="inlineStr">
        <is>
          <t>Invoice</t>
        </is>
      </c>
      <c r="D2315" s="58">
        <f>IF(H2315=1,INDEX(ar_No,309)&amp;"","")</f>
        <v/>
      </c>
      <c r="E2315" s="94">
        <f>IF(H2315=1,INDEX(ar_Date,309),"")</f>
        <v/>
      </c>
      <c r="F2315" s="58">
        <f>IF(H2315=1,INDEX(ar_Desc,309)&amp;"","")</f>
        <v/>
      </c>
      <c r="G2315" s="58">
        <f>IF(H2315=1,INDEX(ar_Party,309)&amp;"","")</f>
        <v/>
      </c>
      <c r="H2315" s="101">
        <f>IFERROR(N(INDEX(ar_Posted,309)),0)</f>
        <v/>
      </c>
      <c r="I2315" s="58">
        <f>IF(H2315=1,INDEX(ar_DrAcct,309)&amp;"","")</f>
        <v/>
      </c>
      <c r="J2315" s="95">
        <f>IF(H2315=1,INDEX(ar_DrAmt,309),0)</f>
        <v/>
      </c>
      <c r="K2315" s="58">
        <f>IF(H2315=1,INDEX(ar_CrAcct,309)&amp;"","")</f>
        <v/>
      </c>
      <c r="L2315" s="95">
        <f>IF(H2315=1,INDEX(ar_CrAmt,309),0)</f>
        <v/>
      </c>
      <c r="M2315" s="95" t="n">
        <v>0</v>
      </c>
      <c r="N2315" s="95">
        <f>IF(H2315=1,INDEX(ar_TaxAmt,309),0)</f>
        <v/>
      </c>
      <c r="O2315" s="101">
        <f>IF(H2315=1,IF(E2315&lt;FYStart,0,IF(E2315&gt;FYEnd,13,YEAR(E2315)*12+MONTH(E2315)-FYYM+1)),"")</f>
        <v/>
      </c>
      <c r="P2315" s="101">
        <f>IF(H2315=1,IF(IFERROR(INDEX(coa_CF,MATCH(I2315,coa_Name,0)),"")="Cash",1,0),0)</f>
        <v/>
      </c>
      <c r="Q2315" s="101">
        <f>IF(H2315=1,IF(IFERROR(INDEX(coa_CF,MATCH(K2315,coa_Name,0)),"")="Cash",1,0),0)</f>
        <v/>
      </c>
      <c r="R2315" s="58">
        <f>IF((P2315-Q2315)=0,"",IFERROR(INDEX(coa_CF,MATCH(IF((P2315-Q2315)=1,K2315,I2315),coa_Name,0)),"Operating"))</f>
        <v/>
      </c>
      <c r="S2315" s="95">
        <f>IF((P2315-Q2315)=1,L2315,IF((P2315-Q2315)=-1,-J2315,0))</f>
        <v/>
      </c>
      <c r="T2315" s="95">
        <f>IF((P2315-Q2315)=1,N2315,IF((P2315-Q2315)=-1,-M2315,0))</f>
        <v/>
      </c>
      <c r="U2315" s="101">
        <f>IF(AND(H2315=1,LedAcct&lt;&gt;""),IF(AND(E2315&gt;=LedFrom,E2315&lt;=LedTo,OR(I2315=LedAcct,K2315=LedAcct,AND(LedAcct=acctTax,M2315+N2315&lt;&gt;0))),E2315*10000+B2315,""),"")</f>
        <v/>
      </c>
    </row>
    <row r="2316">
      <c r="B2316" s="101" t="n">
        <v>2310</v>
      </c>
      <c r="C2316" s="58" t="inlineStr">
        <is>
          <t>Invoice</t>
        </is>
      </c>
      <c r="D2316" s="58">
        <f>IF(H2316=1,INDEX(ar_No,310)&amp;"","")</f>
        <v/>
      </c>
      <c r="E2316" s="94">
        <f>IF(H2316=1,INDEX(ar_Date,310),"")</f>
        <v/>
      </c>
      <c r="F2316" s="58">
        <f>IF(H2316=1,INDEX(ar_Desc,310)&amp;"","")</f>
        <v/>
      </c>
      <c r="G2316" s="58">
        <f>IF(H2316=1,INDEX(ar_Party,310)&amp;"","")</f>
        <v/>
      </c>
      <c r="H2316" s="101">
        <f>IFERROR(N(INDEX(ar_Posted,310)),0)</f>
        <v/>
      </c>
      <c r="I2316" s="58">
        <f>IF(H2316=1,INDEX(ar_DrAcct,310)&amp;"","")</f>
        <v/>
      </c>
      <c r="J2316" s="95">
        <f>IF(H2316=1,INDEX(ar_DrAmt,310),0)</f>
        <v/>
      </c>
      <c r="K2316" s="58">
        <f>IF(H2316=1,INDEX(ar_CrAcct,310)&amp;"","")</f>
        <v/>
      </c>
      <c r="L2316" s="95">
        <f>IF(H2316=1,INDEX(ar_CrAmt,310),0)</f>
        <v/>
      </c>
      <c r="M2316" s="95" t="n">
        <v>0</v>
      </c>
      <c r="N2316" s="95">
        <f>IF(H2316=1,INDEX(ar_TaxAmt,310),0)</f>
        <v/>
      </c>
      <c r="O2316" s="101">
        <f>IF(H2316=1,IF(E2316&lt;FYStart,0,IF(E2316&gt;FYEnd,13,YEAR(E2316)*12+MONTH(E2316)-FYYM+1)),"")</f>
        <v/>
      </c>
      <c r="P2316" s="101">
        <f>IF(H2316=1,IF(IFERROR(INDEX(coa_CF,MATCH(I2316,coa_Name,0)),"")="Cash",1,0),0)</f>
        <v/>
      </c>
      <c r="Q2316" s="101">
        <f>IF(H2316=1,IF(IFERROR(INDEX(coa_CF,MATCH(K2316,coa_Name,0)),"")="Cash",1,0),0)</f>
        <v/>
      </c>
      <c r="R2316" s="58">
        <f>IF((P2316-Q2316)=0,"",IFERROR(INDEX(coa_CF,MATCH(IF((P2316-Q2316)=1,K2316,I2316),coa_Name,0)),"Operating"))</f>
        <v/>
      </c>
      <c r="S2316" s="95">
        <f>IF((P2316-Q2316)=1,L2316,IF((P2316-Q2316)=-1,-J2316,0))</f>
        <v/>
      </c>
      <c r="T2316" s="95">
        <f>IF((P2316-Q2316)=1,N2316,IF((P2316-Q2316)=-1,-M2316,0))</f>
        <v/>
      </c>
      <c r="U2316" s="101">
        <f>IF(AND(H2316=1,LedAcct&lt;&gt;""),IF(AND(E2316&gt;=LedFrom,E2316&lt;=LedTo,OR(I2316=LedAcct,K2316=LedAcct,AND(LedAcct=acctTax,M2316+N2316&lt;&gt;0))),E2316*10000+B2316,""),"")</f>
        <v/>
      </c>
    </row>
    <row r="2317">
      <c r="B2317" s="101" t="n">
        <v>2311</v>
      </c>
      <c r="C2317" s="58" t="inlineStr">
        <is>
          <t>Invoice</t>
        </is>
      </c>
      <c r="D2317" s="58">
        <f>IF(H2317=1,INDEX(ar_No,311)&amp;"","")</f>
        <v/>
      </c>
      <c r="E2317" s="94">
        <f>IF(H2317=1,INDEX(ar_Date,311),"")</f>
        <v/>
      </c>
      <c r="F2317" s="58">
        <f>IF(H2317=1,INDEX(ar_Desc,311)&amp;"","")</f>
        <v/>
      </c>
      <c r="G2317" s="58">
        <f>IF(H2317=1,INDEX(ar_Party,311)&amp;"","")</f>
        <v/>
      </c>
      <c r="H2317" s="101">
        <f>IFERROR(N(INDEX(ar_Posted,311)),0)</f>
        <v/>
      </c>
      <c r="I2317" s="58">
        <f>IF(H2317=1,INDEX(ar_DrAcct,311)&amp;"","")</f>
        <v/>
      </c>
      <c r="J2317" s="95">
        <f>IF(H2317=1,INDEX(ar_DrAmt,311),0)</f>
        <v/>
      </c>
      <c r="K2317" s="58">
        <f>IF(H2317=1,INDEX(ar_CrAcct,311)&amp;"","")</f>
        <v/>
      </c>
      <c r="L2317" s="95">
        <f>IF(H2317=1,INDEX(ar_CrAmt,311),0)</f>
        <v/>
      </c>
      <c r="M2317" s="95" t="n">
        <v>0</v>
      </c>
      <c r="N2317" s="95">
        <f>IF(H2317=1,INDEX(ar_TaxAmt,311),0)</f>
        <v/>
      </c>
      <c r="O2317" s="101">
        <f>IF(H2317=1,IF(E2317&lt;FYStart,0,IF(E2317&gt;FYEnd,13,YEAR(E2317)*12+MONTH(E2317)-FYYM+1)),"")</f>
        <v/>
      </c>
      <c r="P2317" s="101">
        <f>IF(H2317=1,IF(IFERROR(INDEX(coa_CF,MATCH(I2317,coa_Name,0)),"")="Cash",1,0),0)</f>
        <v/>
      </c>
      <c r="Q2317" s="101">
        <f>IF(H2317=1,IF(IFERROR(INDEX(coa_CF,MATCH(K2317,coa_Name,0)),"")="Cash",1,0),0)</f>
        <v/>
      </c>
      <c r="R2317" s="58">
        <f>IF((P2317-Q2317)=0,"",IFERROR(INDEX(coa_CF,MATCH(IF((P2317-Q2317)=1,K2317,I2317),coa_Name,0)),"Operating"))</f>
        <v/>
      </c>
      <c r="S2317" s="95">
        <f>IF((P2317-Q2317)=1,L2317,IF((P2317-Q2317)=-1,-J2317,0))</f>
        <v/>
      </c>
      <c r="T2317" s="95">
        <f>IF((P2317-Q2317)=1,N2317,IF((P2317-Q2317)=-1,-M2317,0))</f>
        <v/>
      </c>
      <c r="U2317" s="101">
        <f>IF(AND(H2317=1,LedAcct&lt;&gt;""),IF(AND(E2317&gt;=LedFrom,E2317&lt;=LedTo,OR(I2317=LedAcct,K2317=LedAcct,AND(LedAcct=acctTax,M2317+N2317&lt;&gt;0))),E2317*10000+B2317,""),"")</f>
        <v/>
      </c>
    </row>
    <row r="2318">
      <c r="B2318" s="101" t="n">
        <v>2312</v>
      </c>
      <c r="C2318" s="58" t="inlineStr">
        <is>
          <t>Invoice</t>
        </is>
      </c>
      <c r="D2318" s="58">
        <f>IF(H2318=1,INDEX(ar_No,312)&amp;"","")</f>
        <v/>
      </c>
      <c r="E2318" s="94">
        <f>IF(H2318=1,INDEX(ar_Date,312),"")</f>
        <v/>
      </c>
      <c r="F2318" s="58">
        <f>IF(H2318=1,INDEX(ar_Desc,312)&amp;"","")</f>
        <v/>
      </c>
      <c r="G2318" s="58">
        <f>IF(H2318=1,INDEX(ar_Party,312)&amp;"","")</f>
        <v/>
      </c>
      <c r="H2318" s="101">
        <f>IFERROR(N(INDEX(ar_Posted,312)),0)</f>
        <v/>
      </c>
      <c r="I2318" s="58">
        <f>IF(H2318=1,INDEX(ar_DrAcct,312)&amp;"","")</f>
        <v/>
      </c>
      <c r="J2318" s="95">
        <f>IF(H2318=1,INDEX(ar_DrAmt,312),0)</f>
        <v/>
      </c>
      <c r="K2318" s="58">
        <f>IF(H2318=1,INDEX(ar_CrAcct,312)&amp;"","")</f>
        <v/>
      </c>
      <c r="L2318" s="95">
        <f>IF(H2318=1,INDEX(ar_CrAmt,312),0)</f>
        <v/>
      </c>
      <c r="M2318" s="95" t="n">
        <v>0</v>
      </c>
      <c r="N2318" s="95">
        <f>IF(H2318=1,INDEX(ar_TaxAmt,312),0)</f>
        <v/>
      </c>
      <c r="O2318" s="101">
        <f>IF(H2318=1,IF(E2318&lt;FYStart,0,IF(E2318&gt;FYEnd,13,YEAR(E2318)*12+MONTH(E2318)-FYYM+1)),"")</f>
        <v/>
      </c>
      <c r="P2318" s="101">
        <f>IF(H2318=1,IF(IFERROR(INDEX(coa_CF,MATCH(I2318,coa_Name,0)),"")="Cash",1,0),0)</f>
        <v/>
      </c>
      <c r="Q2318" s="101">
        <f>IF(H2318=1,IF(IFERROR(INDEX(coa_CF,MATCH(K2318,coa_Name,0)),"")="Cash",1,0),0)</f>
        <v/>
      </c>
      <c r="R2318" s="58">
        <f>IF((P2318-Q2318)=0,"",IFERROR(INDEX(coa_CF,MATCH(IF((P2318-Q2318)=1,K2318,I2318),coa_Name,0)),"Operating"))</f>
        <v/>
      </c>
      <c r="S2318" s="95">
        <f>IF((P2318-Q2318)=1,L2318,IF((P2318-Q2318)=-1,-J2318,0))</f>
        <v/>
      </c>
      <c r="T2318" s="95">
        <f>IF((P2318-Q2318)=1,N2318,IF((P2318-Q2318)=-1,-M2318,0))</f>
        <v/>
      </c>
      <c r="U2318" s="101">
        <f>IF(AND(H2318=1,LedAcct&lt;&gt;""),IF(AND(E2318&gt;=LedFrom,E2318&lt;=LedTo,OR(I2318=LedAcct,K2318=LedAcct,AND(LedAcct=acctTax,M2318+N2318&lt;&gt;0))),E2318*10000+B2318,""),"")</f>
        <v/>
      </c>
    </row>
    <row r="2319">
      <c r="B2319" s="101" t="n">
        <v>2313</v>
      </c>
      <c r="C2319" s="58" t="inlineStr">
        <is>
          <t>Invoice</t>
        </is>
      </c>
      <c r="D2319" s="58">
        <f>IF(H2319=1,INDEX(ar_No,313)&amp;"","")</f>
        <v/>
      </c>
      <c r="E2319" s="94">
        <f>IF(H2319=1,INDEX(ar_Date,313),"")</f>
        <v/>
      </c>
      <c r="F2319" s="58">
        <f>IF(H2319=1,INDEX(ar_Desc,313)&amp;"","")</f>
        <v/>
      </c>
      <c r="G2319" s="58">
        <f>IF(H2319=1,INDEX(ar_Party,313)&amp;"","")</f>
        <v/>
      </c>
      <c r="H2319" s="101">
        <f>IFERROR(N(INDEX(ar_Posted,313)),0)</f>
        <v/>
      </c>
      <c r="I2319" s="58">
        <f>IF(H2319=1,INDEX(ar_DrAcct,313)&amp;"","")</f>
        <v/>
      </c>
      <c r="J2319" s="95">
        <f>IF(H2319=1,INDEX(ar_DrAmt,313),0)</f>
        <v/>
      </c>
      <c r="K2319" s="58">
        <f>IF(H2319=1,INDEX(ar_CrAcct,313)&amp;"","")</f>
        <v/>
      </c>
      <c r="L2319" s="95">
        <f>IF(H2319=1,INDEX(ar_CrAmt,313),0)</f>
        <v/>
      </c>
      <c r="M2319" s="95" t="n">
        <v>0</v>
      </c>
      <c r="N2319" s="95">
        <f>IF(H2319=1,INDEX(ar_TaxAmt,313),0)</f>
        <v/>
      </c>
      <c r="O2319" s="101">
        <f>IF(H2319=1,IF(E2319&lt;FYStart,0,IF(E2319&gt;FYEnd,13,YEAR(E2319)*12+MONTH(E2319)-FYYM+1)),"")</f>
        <v/>
      </c>
      <c r="P2319" s="101">
        <f>IF(H2319=1,IF(IFERROR(INDEX(coa_CF,MATCH(I2319,coa_Name,0)),"")="Cash",1,0),0)</f>
        <v/>
      </c>
      <c r="Q2319" s="101">
        <f>IF(H2319=1,IF(IFERROR(INDEX(coa_CF,MATCH(K2319,coa_Name,0)),"")="Cash",1,0),0)</f>
        <v/>
      </c>
      <c r="R2319" s="58">
        <f>IF((P2319-Q2319)=0,"",IFERROR(INDEX(coa_CF,MATCH(IF((P2319-Q2319)=1,K2319,I2319),coa_Name,0)),"Operating"))</f>
        <v/>
      </c>
      <c r="S2319" s="95">
        <f>IF((P2319-Q2319)=1,L2319,IF((P2319-Q2319)=-1,-J2319,0))</f>
        <v/>
      </c>
      <c r="T2319" s="95">
        <f>IF((P2319-Q2319)=1,N2319,IF((P2319-Q2319)=-1,-M2319,0))</f>
        <v/>
      </c>
      <c r="U2319" s="101">
        <f>IF(AND(H2319=1,LedAcct&lt;&gt;""),IF(AND(E2319&gt;=LedFrom,E2319&lt;=LedTo,OR(I2319=LedAcct,K2319=LedAcct,AND(LedAcct=acctTax,M2319+N2319&lt;&gt;0))),E2319*10000+B2319,""),"")</f>
        <v/>
      </c>
    </row>
    <row r="2320">
      <c r="B2320" s="101" t="n">
        <v>2314</v>
      </c>
      <c r="C2320" s="58" t="inlineStr">
        <is>
          <t>Invoice</t>
        </is>
      </c>
      <c r="D2320" s="58">
        <f>IF(H2320=1,INDEX(ar_No,314)&amp;"","")</f>
        <v/>
      </c>
      <c r="E2320" s="94">
        <f>IF(H2320=1,INDEX(ar_Date,314),"")</f>
        <v/>
      </c>
      <c r="F2320" s="58">
        <f>IF(H2320=1,INDEX(ar_Desc,314)&amp;"","")</f>
        <v/>
      </c>
      <c r="G2320" s="58">
        <f>IF(H2320=1,INDEX(ar_Party,314)&amp;"","")</f>
        <v/>
      </c>
      <c r="H2320" s="101">
        <f>IFERROR(N(INDEX(ar_Posted,314)),0)</f>
        <v/>
      </c>
      <c r="I2320" s="58">
        <f>IF(H2320=1,INDEX(ar_DrAcct,314)&amp;"","")</f>
        <v/>
      </c>
      <c r="J2320" s="95">
        <f>IF(H2320=1,INDEX(ar_DrAmt,314),0)</f>
        <v/>
      </c>
      <c r="K2320" s="58">
        <f>IF(H2320=1,INDEX(ar_CrAcct,314)&amp;"","")</f>
        <v/>
      </c>
      <c r="L2320" s="95">
        <f>IF(H2320=1,INDEX(ar_CrAmt,314),0)</f>
        <v/>
      </c>
      <c r="M2320" s="95" t="n">
        <v>0</v>
      </c>
      <c r="N2320" s="95">
        <f>IF(H2320=1,INDEX(ar_TaxAmt,314),0)</f>
        <v/>
      </c>
      <c r="O2320" s="101">
        <f>IF(H2320=1,IF(E2320&lt;FYStart,0,IF(E2320&gt;FYEnd,13,YEAR(E2320)*12+MONTH(E2320)-FYYM+1)),"")</f>
        <v/>
      </c>
      <c r="P2320" s="101">
        <f>IF(H2320=1,IF(IFERROR(INDEX(coa_CF,MATCH(I2320,coa_Name,0)),"")="Cash",1,0),0)</f>
        <v/>
      </c>
      <c r="Q2320" s="101">
        <f>IF(H2320=1,IF(IFERROR(INDEX(coa_CF,MATCH(K2320,coa_Name,0)),"")="Cash",1,0),0)</f>
        <v/>
      </c>
      <c r="R2320" s="58">
        <f>IF((P2320-Q2320)=0,"",IFERROR(INDEX(coa_CF,MATCH(IF((P2320-Q2320)=1,K2320,I2320),coa_Name,0)),"Operating"))</f>
        <v/>
      </c>
      <c r="S2320" s="95">
        <f>IF((P2320-Q2320)=1,L2320,IF((P2320-Q2320)=-1,-J2320,0))</f>
        <v/>
      </c>
      <c r="T2320" s="95">
        <f>IF((P2320-Q2320)=1,N2320,IF((P2320-Q2320)=-1,-M2320,0))</f>
        <v/>
      </c>
      <c r="U2320" s="101">
        <f>IF(AND(H2320=1,LedAcct&lt;&gt;""),IF(AND(E2320&gt;=LedFrom,E2320&lt;=LedTo,OR(I2320=LedAcct,K2320=LedAcct,AND(LedAcct=acctTax,M2320+N2320&lt;&gt;0))),E2320*10000+B2320,""),"")</f>
        <v/>
      </c>
    </row>
    <row r="2321">
      <c r="B2321" s="101" t="n">
        <v>2315</v>
      </c>
      <c r="C2321" s="58" t="inlineStr">
        <is>
          <t>Invoice</t>
        </is>
      </c>
      <c r="D2321" s="58">
        <f>IF(H2321=1,INDEX(ar_No,315)&amp;"","")</f>
        <v/>
      </c>
      <c r="E2321" s="94">
        <f>IF(H2321=1,INDEX(ar_Date,315),"")</f>
        <v/>
      </c>
      <c r="F2321" s="58">
        <f>IF(H2321=1,INDEX(ar_Desc,315)&amp;"","")</f>
        <v/>
      </c>
      <c r="G2321" s="58">
        <f>IF(H2321=1,INDEX(ar_Party,315)&amp;"","")</f>
        <v/>
      </c>
      <c r="H2321" s="101">
        <f>IFERROR(N(INDEX(ar_Posted,315)),0)</f>
        <v/>
      </c>
      <c r="I2321" s="58">
        <f>IF(H2321=1,INDEX(ar_DrAcct,315)&amp;"","")</f>
        <v/>
      </c>
      <c r="J2321" s="95">
        <f>IF(H2321=1,INDEX(ar_DrAmt,315),0)</f>
        <v/>
      </c>
      <c r="K2321" s="58">
        <f>IF(H2321=1,INDEX(ar_CrAcct,315)&amp;"","")</f>
        <v/>
      </c>
      <c r="L2321" s="95">
        <f>IF(H2321=1,INDEX(ar_CrAmt,315),0)</f>
        <v/>
      </c>
      <c r="M2321" s="95" t="n">
        <v>0</v>
      </c>
      <c r="N2321" s="95">
        <f>IF(H2321=1,INDEX(ar_TaxAmt,315),0)</f>
        <v/>
      </c>
      <c r="O2321" s="101">
        <f>IF(H2321=1,IF(E2321&lt;FYStart,0,IF(E2321&gt;FYEnd,13,YEAR(E2321)*12+MONTH(E2321)-FYYM+1)),"")</f>
        <v/>
      </c>
      <c r="P2321" s="101">
        <f>IF(H2321=1,IF(IFERROR(INDEX(coa_CF,MATCH(I2321,coa_Name,0)),"")="Cash",1,0),0)</f>
        <v/>
      </c>
      <c r="Q2321" s="101">
        <f>IF(H2321=1,IF(IFERROR(INDEX(coa_CF,MATCH(K2321,coa_Name,0)),"")="Cash",1,0),0)</f>
        <v/>
      </c>
      <c r="R2321" s="58">
        <f>IF((P2321-Q2321)=0,"",IFERROR(INDEX(coa_CF,MATCH(IF((P2321-Q2321)=1,K2321,I2321),coa_Name,0)),"Operating"))</f>
        <v/>
      </c>
      <c r="S2321" s="95">
        <f>IF((P2321-Q2321)=1,L2321,IF((P2321-Q2321)=-1,-J2321,0))</f>
        <v/>
      </c>
      <c r="T2321" s="95">
        <f>IF((P2321-Q2321)=1,N2321,IF((P2321-Q2321)=-1,-M2321,0))</f>
        <v/>
      </c>
      <c r="U2321" s="101">
        <f>IF(AND(H2321=1,LedAcct&lt;&gt;""),IF(AND(E2321&gt;=LedFrom,E2321&lt;=LedTo,OR(I2321=LedAcct,K2321=LedAcct,AND(LedAcct=acctTax,M2321+N2321&lt;&gt;0))),E2321*10000+B2321,""),"")</f>
        <v/>
      </c>
    </row>
    <row r="2322">
      <c r="B2322" s="101" t="n">
        <v>2316</v>
      </c>
      <c r="C2322" s="58" t="inlineStr">
        <is>
          <t>Invoice</t>
        </is>
      </c>
      <c r="D2322" s="58">
        <f>IF(H2322=1,INDEX(ar_No,316)&amp;"","")</f>
        <v/>
      </c>
      <c r="E2322" s="94">
        <f>IF(H2322=1,INDEX(ar_Date,316),"")</f>
        <v/>
      </c>
      <c r="F2322" s="58">
        <f>IF(H2322=1,INDEX(ar_Desc,316)&amp;"","")</f>
        <v/>
      </c>
      <c r="G2322" s="58">
        <f>IF(H2322=1,INDEX(ar_Party,316)&amp;"","")</f>
        <v/>
      </c>
      <c r="H2322" s="101">
        <f>IFERROR(N(INDEX(ar_Posted,316)),0)</f>
        <v/>
      </c>
      <c r="I2322" s="58">
        <f>IF(H2322=1,INDEX(ar_DrAcct,316)&amp;"","")</f>
        <v/>
      </c>
      <c r="J2322" s="95">
        <f>IF(H2322=1,INDEX(ar_DrAmt,316),0)</f>
        <v/>
      </c>
      <c r="K2322" s="58">
        <f>IF(H2322=1,INDEX(ar_CrAcct,316)&amp;"","")</f>
        <v/>
      </c>
      <c r="L2322" s="95">
        <f>IF(H2322=1,INDEX(ar_CrAmt,316),0)</f>
        <v/>
      </c>
      <c r="M2322" s="95" t="n">
        <v>0</v>
      </c>
      <c r="N2322" s="95">
        <f>IF(H2322=1,INDEX(ar_TaxAmt,316),0)</f>
        <v/>
      </c>
      <c r="O2322" s="101">
        <f>IF(H2322=1,IF(E2322&lt;FYStart,0,IF(E2322&gt;FYEnd,13,YEAR(E2322)*12+MONTH(E2322)-FYYM+1)),"")</f>
        <v/>
      </c>
      <c r="P2322" s="101">
        <f>IF(H2322=1,IF(IFERROR(INDEX(coa_CF,MATCH(I2322,coa_Name,0)),"")="Cash",1,0),0)</f>
        <v/>
      </c>
      <c r="Q2322" s="101">
        <f>IF(H2322=1,IF(IFERROR(INDEX(coa_CF,MATCH(K2322,coa_Name,0)),"")="Cash",1,0),0)</f>
        <v/>
      </c>
      <c r="R2322" s="58">
        <f>IF((P2322-Q2322)=0,"",IFERROR(INDEX(coa_CF,MATCH(IF((P2322-Q2322)=1,K2322,I2322),coa_Name,0)),"Operating"))</f>
        <v/>
      </c>
      <c r="S2322" s="95">
        <f>IF((P2322-Q2322)=1,L2322,IF((P2322-Q2322)=-1,-J2322,0))</f>
        <v/>
      </c>
      <c r="T2322" s="95">
        <f>IF((P2322-Q2322)=1,N2322,IF((P2322-Q2322)=-1,-M2322,0))</f>
        <v/>
      </c>
      <c r="U2322" s="101">
        <f>IF(AND(H2322=1,LedAcct&lt;&gt;""),IF(AND(E2322&gt;=LedFrom,E2322&lt;=LedTo,OR(I2322=LedAcct,K2322=LedAcct,AND(LedAcct=acctTax,M2322+N2322&lt;&gt;0))),E2322*10000+B2322,""),"")</f>
        <v/>
      </c>
    </row>
    <row r="2323">
      <c r="B2323" s="101" t="n">
        <v>2317</v>
      </c>
      <c r="C2323" s="58" t="inlineStr">
        <is>
          <t>Invoice</t>
        </is>
      </c>
      <c r="D2323" s="58">
        <f>IF(H2323=1,INDEX(ar_No,317)&amp;"","")</f>
        <v/>
      </c>
      <c r="E2323" s="94">
        <f>IF(H2323=1,INDEX(ar_Date,317),"")</f>
        <v/>
      </c>
      <c r="F2323" s="58">
        <f>IF(H2323=1,INDEX(ar_Desc,317)&amp;"","")</f>
        <v/>
      </c>
      <c r="G2323" s="58">
        <f>IF(H2323=1,INDEX(ar_Party,317)&amp;"","")</f>
        <v/>
      </c>
      <c r="H2323" s="101">
        <f>IFERROR(N(INDEX(ar_Posted,317)),0)</f>
        <v/>
      </c>
      <c r="I2323" s="58">
        <f>IF(H2323=1,INDEX(ar_DrAcct,317)&amp;"","")</f>
        <v/>
      </c>
      <c r="J2323" s="95">
        <f>IF(H2323=1,INDEX(ar_DrAmt,317),0)</f>
        <v/>
      </c>
      <c r="K2323" s="58">
        <f>IF(H2323=1,INDEX(ar_CrAcct,317)&amp;"","")</f>
        <v/>
      </c>
      <c r="L2323" s="95">
        <f>IF(H2323=1,INDEX(ar_CrAmt,317),0)</f>
        <v/>
      </c>
      <c r="M2323" s="95" t="n">
        <v>0</v>
      </c>
      <c r="N2323" s="95">
        <f>IF(H2323=1,INDEX(ar_TaxAmt,317),0)</f>
        <v/>
      </c>
      <c r="O2323" s="101">
        <f>IF(H2323=1,IF(E2323&lt;FYStart,0,IF(E2323&gt;FYEnd,13,YEAR(E2323)*12+MONTH(E2323)-FYYM+1)),"")</f>
        <v/>
      </c>
      <c r="P2323" s="101">
        <f>IF(H2323=1,IF(IFERROR(INDEX(coa_CF,MATCH(I2323,coa_Name,0)),"")="Cash",1,0),0)</f>
        <v/>
      </c>
      <c r="Q2323" s="101">
        <f>IF(H2323=1,IF(IFERROR(INDEX(coa_CF,MATCH(K2323,coa_Name,0)),"")="Cash",1,0),0)</f>
        <v/>
      </c>
      <c r="R2323" s="58">
        <f>IF((P2323-Q2323)=0,"",IFERROR(INDEX(coa_CF,MATCH(IF((P2323-Q2323)=1,K2323,I2323),coa_Name,0)),"Operating"))</f>
        <v/>
      </c>
      <c r="S2323" s="95">
        <f>IF((P2323-Q2323)=1,L2323,IF((P2323-Q2323)=-1,-J2323,0))</f>
        <v/>
      </c>
      <c r="T2323" s="95">
        <f>IF((P2323-Q2323)=1,N2323,IF((P2323-Q2323)=-1,-M2323,0))</f>
        <v/>
      </c>
      <c r="U2323" s="101">
        <f>IF(AND(H2323=1,LedAcct&lt;&gt;""),IF(AND(E2323&gt;=LedFrom,E2323&lt;=LedTo,OR(I2323=LedAcct,K2323=LedAcct,AND(LedAcct=acctTax,M2323+N2323&lt;&gt;0))),E2323*10000+B2323,""),"")</f>
        <v/>
      </c>
    </row>
    <row r="2324">
      <c r="B2324" s="101" t="n">
        <v>2318</v>
      </c>
      <c r="C2324" s="58" t="inlineStr">
        <is>
          <t>Invoice</t>
        </is>
      </c>
      <c r="D2324" s="58">
        <f>IF(H2324=1,INDEX(ar_No,318)&amp;"","")</f>
        <v/>
      </c>
      <c r="E2324" s="94">
        <f>IF(H2324=1,INDEX(ar_Date,318),"")</f>
        <v/>
      </c>
      <c r="F2324" s="58">
        <f>IF(H2324=1,INDEX(ar_Desc,318)&amp;"","")</f>
        <v/>
      </c>
      <c r="G2324" s="58">
        <f>IF(H2324=1,INDEX(ar_Party,318)&amp;"","")</f>
        <v/>
      </c>
      <c r="H2324" s="101">
        <f>IFERROR(N(INDEX(ar_Posted,318)),0)</f>
        <v/>
      </c>
      <c r="I2324" s="58">
        <f>IF(H2324=1,INDEX(ar_DrAcct,318)&amp;"","")</f>
        <v/>
      </c>
      <c r="J2324" s="95">
        <f>IF(H2324=1,INDEX(ar_DrAmt,318),0)</f>
        <v/>
      </c>
      <c r="K2324" s="58">
        <f>IF(H2324=1,INDEX(ar_CrAcct,318)&amp;"","")</f>
        <v/>
      </c>
      <c r="L2324" s="95">
        <f>IF(H2324=1,INDEX(ar_CrAmt,318),0)</f>
        <v/>
      </c>
      <c r="M2324" s="95" t="n">
        <v>0</v>
      </c>
      <c r="N2324" s="95">
        <f>IF(H2324=1,INDEX(ar_TaxAmt,318),0)</f>
        <v/>
      </c>
      <c r="O2324" s="101">
        <f>IF(H2324=1,IF(E2324&lt;FYStart,0,IF(E2324&gt;FYEnd,13,YEAR(E2324)*12+MONTH(E2324)-FYYM+1)),"")</f>
        <v/>
      </c>
      <c r="P2324" s="101">
        <f>IF(H2324=1,IF(IFERROR(INDEX(coa_CF,MATCH(I2324,coa_Name,0)),"")="Cash",1,0),0)</f>
        <v/>
      </c>
      <c r="Q2324" s="101">
        <f>IF(H2324=1,IF(IFERROR(INDEX(coa_CF,MATCH(K2324,coa_Name,0)),"")="Cash",1,0),0)</f>
        <v/>
      </c>
      <c r="R2324" s="58">
        <f>IF((P2324-Q2324)=0,"",IFERROR(INDEX(coa_CF,MATCH(IF((P2324-Q2324)=1,K2324,I2324),coa_Name,0)),"Operating"))</f>
        <v/>
      </c>
      <c r="S2324" s="95">
        <f>IF((P2324-Q2324)=1,L2324,IF((P2324-Q2324)=-1,-J2324,0))</f>
        <v/>
      </c>
      <c r="T2324" s="95">
        <f>IF((P2324-Q2324)=1,N2324,IF((P2324-Q2324)=-1,-M2324,0))</f>
        <v/>
      </c>
      <c r="U2324" s="101">
        <f>IF(AND(H2324=1,LedAcct&lt;&gt;""),IF(AND(E2324&gt;=LedFrom,E2324&lt;=LedTo,OR(I2324=LedAcct,K2324=LedAcct,AND(LedAcct=acctTax,M2324+N2324&lt;&gt;0))),E2324*10000+B2324,""),"")</f>
        <v/>
      </c>
    </row>
    <row r="2325">
      <c r="B2325" s="101" t="n">
        <v>2319</v>
      </c>
      <c r="C2325" s="58" t="inlineStr">
        <is>
          <t>Invoice</t>
        </is>
      </c>
      <c r="D2325" s="58">
        <f>IF(H2325=1,INDEX(ar_No,319)&amp;"","")</f>
        <v/>
      </c>
      <c r="E2325" s="94">
        <f>IF(H2325=1,INDEX(ar_Date,319),"")</f>
        <v/>
      </c>
      <c r="F2325" s="58">
        <f>IF(H2325=1,INDEX(ar_Desc,319)&amp;"","")</f>
        <v/>
      </c>
      <c r="G2325" s="58">
        <f>IF(H2325=1,INDEX(ar_Party,319)&amp;"","")</f>
        <v/>
      </c>
      <c r="H2325" s="101">
        <f>IFERROR(N(INDEX(ar_Posted,319)),0)</f>
        <v/>
      </c>
      <c r="I2325" s="58">
        <f>IF(H2325=1,INDEX(ar_DrAcct,319)&amp;"","")</f>
        <v/>
      </c>
      <c r="J2325" s="95">
        <f>IF(H2325=1,INDEX(ar_DrAmt,319),0)</f>
        <v/>
      </c>
      <c r="K2325" s="58">
        <f>IF(H2325=1,INDEX(ar_CrAcct,319)&amp;"","")</f>
        <v/>
      </c>
      <c r="L2325" s="95">
        <f>IF(H2325=1,INDEX(ar_CrAmt,319),0)</f>
        <v/>
      </c>
      <c r="M2325" s="95" t="n">
        <v>0</v>
      </c>
      <c r="N2325" s="95">
        <f>IF(H2325=1,INDEX(ar_TaxAmt,319),0)</f>
        <v/>
      </c>
      <c r="O2325" s="101">
        <f>IF(H2325=1,IF(E2325&lt;FYStart,0,IF(E2325&gt;FYEnd,13,YEAR(E2325)*12+MONTH(E2325)-FYYM+1)),"")</f>
        <v/>
      </c>
      <c r="P2325" s="101">
        <f>IF(H2325=1,IF(IFERROR(INDEX(coa_CF,MATCH(I2325,coa_Name,0)),"")="Cash",1,0),0)</f>
        <v/>
      </c>
      <c r="Q2325" s="101">
        <f>IF(H2325=1,IF(IFERROR(INDEX(coa_CF,MATCH(K2325,coa_Name,0)),"")="Cash",1,0),0)</f>
        <v/>
      </c>
      <c r="R2325" s="58">
        <f>IF((P2325-Q2325)=0,"",IFERROR(INDEX(coa_CF,MATCH(IF((P2325-Q2325)=1,K2325,I2325),coa_Name,0)),"Operating"))</f>
        <v/>
      </c>
      <c r="S2325" s="95">
        <f>IF((P2325-Q2325)=1,L2325,IF((P2325-Q2325)=-1,-J2325,0))</f>
        <v/>
      </c>
      <c r="T2325" s="95">
        <f>IF((P2325-Q2325)=1,N2325,IF((P2325-Q2325)=-1,-M2325,0))</f>
        <v/>
      </c>
      <c r="U2325" s="101">
        <f>IF(AND(H2325=1,LedAcct&lt;&gt;""),IF(AND(E2325&gt;=LedFrom,E2325&lt;=LedTo,OR(I2325=LedAcct,K2325=LedAcct,AND(LedAcct=acctTax,M2325+N2325&lt;&gt;0))),E2325*10000+B2325,""),"")</f>
        <v/>
      </c>
    </row>
    <row r="2326">
      <c r="B2326" s="101" t="n">
        <v>2320</v>
      </c>
      <c r="C2326" s="58" t="inlineStr">
        <is>
          <t>Invoice</t>
        </is>
      </c>
      <c r="D2326" s="58">
        <f>IF(H2326=1,INDEX(ar_No,320)&amp;"","")</f>
        <v/>
      </c>
      <c r="E2326" s="94">
        <f>IF(H2326=1,INDEX(ar_Date,320),"")</f>
        <v/>
      </c>
      <c r="F2326" s="58">
        <f>IF(H2326=1,INDEX(ar_Desc,320)&amp;"","")</f>
        <v/>
      </c>
      <c r="G2326" s="58">
        <f>IF(H2326=1,INDEX(ar_Party,320)&amp;"","")</f>
        <v/>
      </c>
      <c r="H2326" s="101">
        <f>IFERROR(N(INDEX(ar_Posted,320)),0)</f>
        <v/>
      </c>
      <c r="I2326" s="58">
        <f>IF(H2326=1,INDEX(ar_DrAcct,320)&amp;"","")</f>
        <v/>
      </c>
      <c r="J2326" s="95">
        <f>IF(H2326=1,INDEX(ar_DrAmt,320),0)</f>
        <v/>
      </c>
      <c r="K2326" s="58">
        <f>IF(H2326=1,INDEX(ar_CrAcct,320)&amp;"","")</f>
        <v/>
      </c>
      <c r="L2326" s="95">
        <f>IF(H2326=1,INDEX(ar_CrAmt,320),0)</f>
        <v/>
      </c>
      <c r="M2326" s="95" t="n">
        <v>0</v>
      </c>
      <c r="N2326" s="95">
        <f>IF(H2326=1,INDEX(ar_TaxAmt,320),0)</f>
        <v/>
      </c>
      <c r="O2326" s="101">
        <f>IF(H2326=1,IF(E2326&lt;FYStart,0,IF(E2326&gt;FYEnd,13,YEAR(E2326)*12+MONTH(E2326)-FYYM+1)),"")</f>
        <v/>
      </c>
      <c r="P2326" s="101">
        <f>IF(H2326=1,IF(IFERROR(INDEX(coa_CF,MATCH(I2326,coa_Name,0)),"")="Cash",1,0),0)</f>
        <v/>
      </c>
      <c r="Q2326" s="101">
        <f>IF(H2326=1,IF(IFERROR(INDEX(coa_CF,MATCH(K2326,coa_Name,0)),"")="Cash",1,0),0)</f>
        <v/>
      </c>
      <c r="R2326" s="58">
        <f>IF((P2326-Q2326)=0,"",IFERROR(INDEX(coa_CF,MATCH(IF((P2326-Q2326)=1,K2326,I2326),coa_Name,0)),"Operating"))</f>
        <v/>
      </c>
      <c r="S2326" s="95">
        <f>IF((P2326-Q2326)=1,L2326,IF((P2326-Q2326)=-1,-J2326,0))</f>
        <v/>
      </c>
      <c r="T2326" s="95">
        <f>IF((P2326-Q2326)=1,N2326,IF((P2326-Q2326)=-1,-M2326,0))</f>
        <v/>
      </c>
      <c r="U2326" s="101">
        <f>IF(AND(H2326=1,LedAcct&lt;&gt;""),IF(AND(E2326&gt;=LedFrom,E2326&lt;=LedTo,OR(I2326=LedAcct,K2326=LedAcct,AND(LedAcct=acctTax,M2326+N2326&lt;&gt;0))),E2326*10000+B2326,""),"")</f>
        <v/>
      </c>
    </row>
    <row r="2327">
      <c r="B2327" s="101" t="n">
        <v>2321</v>
      </c>
      <c r="C2327" s="58" t="inlineStr">
        <is>
          <t>Invoice</t>
        </is>
      </c>
      <c r="D2327" s="58">
        <f>IF(H2327=1,INDEX(ar_No,321)&amp;"","")</f>
        <v/>
      </c>
      <c r="E2327" s="94">
        <f>IF(H2327=1,INDEX(ar_Date,321),"")</f>
        <v/>
      </c>
      <c r="F2327" s="58">
        <f>IF(H2327=1,INDEX(ar_Desc,321)&amp;"","")</f>
        <v/>
      </c>
      <c r="G2327" s="58">
        <f>IF(H2327=1,INDEX(ar_Party,321)&amp;"","")</f>
        <v/>
      </c>
      <c r="H2327" s="101">
        <f>IFERROR(N(INDEX(ar_Posted,321)),0)</f>
        <v/>
      </c>
      <c r="I2327" s="58">
        <f>IF(H2327=1,INDEX(ar_DrAcct,321)&amp;"","")</f>
        <v/>
      </c>
      <c r="J2327" s="95">
        <f>IF(H2327=1,INDEX(ar_DrAmt,321),0)</f>
        <v/>
      </c>
      <c r="K2327" s="58">
        <f>IF(H2327=1,INDEX(ar_CrAcct,321)&amp;"","")</f>
        <v/>
      </c>
      <c r="L2327" s="95">
        <f>IF(H2327=1,INDEX(ar_CrAmt,321),0)</f>
        <v/>
      </c>
      <c r="M2327" s="95" t="n">
        <v>0</v>
      </c>
      <c r="N2327" s="95">
        <f>IF(H2327=1,INDEX(ar_TaxAmt,321),0)</f>
        <v/>
      </c>
      <c r="O2327" s="101">
        <f>IF(H2327=1,IF(E2327&lt;FYStart,0,IF(E2327&gt;FYEnd,13,YEAR(E2327)*12+MONTH(E2327)-FYYM+1)),"")</f>
        <v/>
      </c>
      <c r="P2327" s="101">
        <f>IF(H2327=1,IF(IFERROR(INDEX(coa_CF,MATCH(I2327,coa_Name,0)),"")="Cash",1,0),0)</f>
        <v/>
      </c>
      <c r="Q2327" s="101">
        <f>IF(H2327=1,IF(IFERROR(INDEX(coa_CF,MATCH(K2327,coa_Name,0)),"")="Cash",1,0),0)</f>
        <v/>
      </c>
      <c r="R2327" s="58">
        <f>IF((P2327-Q2327)=0,"",IFERROR(INDEX(coa_CF,MATCH(IF((P2327-Q2327)=1,K2327,I2327),coa_Name,0)),"Operating"))</f>
        <v/>
      </c>
      <c r="S2327" s="95">
        <f>IF((P2327-Q2327)=1,L2327,IF((P2327-Q2327)=-1,-J2327,0))</f>
        <v/>
      </c>
      <c r="T2327" s="95">
        <f>IF((P2327-Q2327)=1,N2327,IF((P2327-Q2327)=-1,-M2327,0))</f>
        <v/>
      </c>
      <c r="U2327" s="101">
        <f>IF(AND(H2327=1,LedAcct&lt;&gt;""),IF(AND(E2327&gt;=LedFrom,E2327&lt;=LedTo,OR(I2327=LedAcct,K2327=LedAcct,AND(LedAcct=acctTax,M2327+N2327&lt;&gt;0))),E2327*10000+B2327,""),"")</f>
        <v/>
      </c>
    </row>
    <row r="2328">
      <c r="B2328" s="101" t="n">
        <v>2322</v>
      </c>
      <c r="C2328" s="58" t="inlineStr">
        <is>
          <t>Invoice</t>
        </is>
      </c>
      <c r="D2328" s="58">
        <f>IF(H2328=1,INDEX(ar_No,322)&amp;"","")</f>
        <v/>
      </c>
      <c r="E2328" s="94">
        <f>IF(H2328=1,INDEX(ar_Date,322),"")</f>
        <v/>
      </c>
      <c r="F2328" s="58">
        <f>IF(H2328=1,INDEX(ar_Desc,322)&amp;"","")</f>
        <v/>
      </c>
      <c r="G2328" s="58">
        <f>IF(H2328=1,INDEX(ar_Party,322)&amp;"","")</f>
        <v/>
      </c>
      <c r="H2328" s="101">
        <f>IFERROR(N(INDEX(ar_Posted,322)),0)</f>
        <v/>
      </c>
      <c r="I2328" s="58">
        <f>IF(H2328=1,INDEX(ar_DrAcct,322)&amp;"","")</f>
        <v/>
      </c>
      <c r="J2328" s="95">
        <f>IF(H2328=1,INDEX(ar_DrAmt,322),0)</f>
        <v/>
      </c>
      <c r="K2328" s="58">
        <f>IF(H2328=1,INDEX(ar_CrAcct,322)&amp;"","")</f>
        <v/>
      </c>
      <c r="L2328" s="95">
        <f>IF(H2328=1,INDEX(ar_CrAmt,322),0)</f>
        <v/>
      </c>
      <c r="M2328" s="95" t="n">
        <v>0</v>
      </c>
      <c r="N2328" s="95">
        <f>IF(H2328=1,INDEX(ar_TaxAmt,322),0)</f>
        <v/>
      </c>
      <c r="O2328" s="101">
        <f>IF(H2328=1,IF(E2328&lt;FYStart,0,IF(E2328&gt;FYEnd,13,YEAR(E2328)*12+MONTH(E2328)-FYYM+1)),"")</f>
        <v/>
      </c>
      <c r="P2328" s="101">
        <f>IF(H2328=1,IF(IFERROR(INDEX(coa_CF,MATCH(I2328,coa_Name,0)),"")="Cash",1,0),0)</f>
        <v/>
      </c>
      <c r="Q2328" s="101">
        <f>IF(H2328=1,IF(IFERROR(INDEX(coa_CF,MATCH(K2328,coa_Name,0)),"")="Cash",1,0),0)</f>
        <v/>
      </c>
      <c r="R2328" s="58">
        <f>IF((P2328-Q2328)=0,"",IFERROR(INDEX(coa_CF,MATCH(IF((P2328-Q2328)=1,K2328,I2328),coa_Name,0)),"Operating"))</f>
        <v/>
      </c>
      <c r="S2328" s="95">
        <f>IF((P2328-Q2328)=1,L2328,IF((P2328-Q2328)=-1,-J2328,0))</f>
        <v/>
      </c>
      <c r="T2328" s="95">
        <f>IF((P2328-Q2328)=1,N2328,IF((P2328-Q2328)=-1,-M2328,0))</f>
        <v/>
      </c>
      <c r="U2328" s="101">
        <f>IF(AND(H2328=1,LedAcct&lt;&gt;""),IF(AND(E2328&gt;=LedFrom,E2328&lt;=LedTo,OR(I2328=LedAcct,K2328=LedAcct,AND(LedAcct=acctTax,M2328+N2328&lt;&gt;0))),E2328*10000+B2328,""),"")</f>
        <v/>
      </c>
    </row>
    <row r="2329">
      <c r="B2329" s="101" t="n">
        <v>2323</v>
      </c>
      <c r="C2329" s="58" t="inlineStr">
        <is>
          <t>Invoice</t>
        </is>
      </c>
      <c r="D2329" s="58">
        <f>IF(H2329=1,INDEX(ar_No,323)&amp;"","")</f>
        <v/>
      </c>
      <c r="E2329" s="94">
        <f>IF(H2329=1,INDEX(ar_Date,323),"")</f>
        <v/>
      </c>
      <c r="F2329" s="58">
        <f>IF(H2329=1,INDEX(ar_Desc,323)&amp;"","")</f>
        <v/>
      </c>
      <c r="G2329" s="58">
        <f>IF(H2329=1,INDEX(ar_Party,323)&amp;"","")</f>
        <v/>
      </c>
      <c r="H2329" s="101">
        <f>IFERROR(N(INDEX(ar_Posted,323)),0)</f>
        <v/>
      </c>
      <c r="I2329" s="58">
        <f>IF(H2329=1,INDEX(ar_DrAcct,323)&amp;"","")</f>
        <v/>
      </c>
      <c r="J2329" s="95">
        <f>IF(H2329=1,INDEX(ar_DrAmt,323),0)</f>
        <v/>
      </c>
      <c r="K2329" s="58">
        <f>IF(H2329=1,INDEX(ar_CrAcct,323)&amp;"","")</f>
        <v/>
      </c>
      <c r="L2329" s="95">
        <f>IF(H2329=1,INDEX(ar_CrAmt,323),0)</f>
        <v/>
      </c>
      <c r="M2329" s="95" t="n">
        <v>0</v>
      </c>
      <c r="N2329" s="95">
        <f>IF(H2329=1,INDEX(ar_TaxAmt,323),0)</f>
        <v/>
      </c>
      <c r="O2329" s="101">
        <f>IF(H2329=1,IF(E2329&lt;FYStart,0,IF(E2329&gt;FYEnd,13,YEAR(E2329)*12+MONTH(E2329)-FYYM+1)),"")</f>
        <v/>
      </c>
      <c r="P2329" s="101">
        <f>IF(H2329=1,IF(IFERROR(INDEX(coa_CF,MATCH(I2329,coa_Name,0)),"")="Cash",1,0),0)</f>
        <v/>
      </c>
      <c r="Q2329" s="101">
        <f>IF(H2329=1,IF(IFERROR(INDEX(coa_CF,MATCH(K2329,coa_Name,0)),"")="Cash",1,0),0)</f>
        <v/>
      </c>
      <c r="R2329" s="58">
        <f>IF((P2329-Q2329)=0,"",IFERROR(INDEX(coa_CF,MATCH(IF((P2329-Q2329)=1,K2329,I2329),coa_Name,0)),"Operating"))</f>
        <v/>
      </c>
      <c r="S2329" s="95">
        <f>IF((P2329-Q2329)=1,L2329,IF((P2329-Q2329)=-1,-J2329,0))</f>
        <v/>
      </c>
      <c r="T2329" s="95">
        <f>IF((P2329-Q2329)=1,N2329,IF((P2329-Q2329)=-1,-M2329,0))</f>
        <v/>
      </c>
      <c r="U2329" s="101">
        <f>IF(AND(H2329=1,LedAcct&lt;&gt;""),IF(AND(E2329&gt;=LedFrom,E2329&lt;=LedTo,OR(I2329=LedAcct,K2329=LedAcct,AND(LedAcct=acctTax,M2329+N2329&lt;&gt;0))),E2329*10000+B2329,""),"")</f>
        <v/>
      </c>
    </row>
    <row r="2330">
      <c r="B2330" s="101" t="n">
        <v>2324</v>
      </c>
      <c r="C2330" s="58" t="inlineStr">
        <is>
          <t>Invoice</t>
        </is>
      </c>
      <c r="D2330" s="58">
        <f>IF(H2330=1,INDEX(ar_No,324)&amp;"","")</f>
        <v/>
      </c>
      <c r="E2330" s="94">
        <f>IF(H2330=1,INDEX(ar_Date,324),"")</f>
        <v/>
      </c>
      <c r="F2330" s="58">
        <f>IF(H2330=1,INDEX(ar_Desc,324)&amp;"","")</f>
        <v/>
      </c>
      <c r="G2330" s="58">
        <f>IF(H2330=1,INDEX(ar_Party,324)&amp;"","")</f>
        <v/>
      </c>
      <c r="H2330" s="101">
        <f>IFERROR(N(INDEX(ar_Posted,324)),0)</f>
        <v/>
      </c>
      <c r="I2330" s="58">
        <f>IF(H2330=1,INDEX(ar_DrAcct,324)&amp;"","")</f>
        <v/>
      </c>
      <c r="J2330" s="95">
        <f>IF(H2330=1,INDEX(ar_DrAmt,324),0)</f>
        <v/>
      </c>
      <c r="K2330" s="58">
        <f>IF(H2330=1,INDEX(ar_CrAcct,324)&amp;"","")</f>
        <v/>
      </c>
      <c r="L2330" s="95">
        <f>IF(H2330=1,INDEX(ar_CrAmt,324),0)</f>
        <v/>
      </c>
      <c r="M2330" s="95" t="n">
        <v>0</v>
      </c>
      <c r="N2330" s="95">
        <f>IF(H2330=1,INDEX(ar_TaxAmt,324),0)</f>
        <v/>
      </c>
      <c r="O2330" s="101">
        <f>IF(H2330=1,IF(E2330&lt;FYStart,0,IF(E2330&gt;FYEnd,13,YEAR(E2330)*12+MONTH(E2330)-FYYM+1)),"")</f>
        <v/>
      </c>
      <c r="P2330" s="101">
        <f>IF(H2330=1,IF(IFERROR(INDEX(coa_CF,MATCH(I2330,coa_Name,0)),"")="Cash",1,0),0)</f>
        <v/>
      </c>
      <c r="Q2330" s="101">
        <f>IF(H2330=1,IF(IFERROR(INDEX(coa_CF,MATCH(K2330,coa_Name,0)),"")="Cash",1,0),0)</f>
        <v/>
      </c>
      <c r="R2330" s="58">
        <f>IF((P2330-Q2330)=0,"",IFERROR(INDEX(coa_CF,MATCH(IF((P2330-Q2330)=1,K2330,I2330),coa_Name,0)),"Operating"))</f>
        <v/>
      </c>
      <c r="S2330" s="95">
        <f>IF((P2330-Q2330)=1,L2330,IF((P2330-Q2330)=-1,-J2330,0))</f>
        <v/>
      </c>
      <c r="T2330" s="95">
        <f>IF((P2330-Q2330)=1,N2330,IF((P2330-Q2330)=-1,-M2330,0))</f>
        <v/>
      </c>
      <c r="U2330" s="101">
        <f>IF(AND(H2330=1,LedAcct&lt;&gt;""),IF(AND(E2330&gt;=LedFrom,E2330&lt;=LedTo,OR(I2330=LedAcct,K2330=LedAcct,AND(LedAcct=acctTax,M2330+N2330&lt;&gt;0))),E2330*10000+B2330,""),"")</f>
        <v/>
      </c>
    </row>
    <row r="2331">
      <c r="B2331" s="101" t="n">
        <v>2325</v>
      </c>
      <c r="C2331" s="58" t="inlineStr">
        <is>
          <t>Invoice</t>
        </is>
      </c>
      <c r="D2331" s="58">
        <f>IF(H2331=1,INDEX(ar_No,325)&amp;"","")</f>
        <v/>
      </c>
      <c r="E2331" s="94">
        <f>IF(H2331=1,INDEX(ar_Date,325),"")</f>
        <v/>
      </c>
      <c r="F2331" s="58">
        <f>IF(H2331=1,INDEX(ar_Desc,325)&amp;"","")</f>
        <v/>
      </c>
      <c r="G2331" s="58">
        <f>IF(H2331=1,INDEX(ar_Party,325)&amp;"","")</f>
        <v/>
      </c>
      <c r="H2331" s="101">
        <f>IFERROR(N(INDEX(ar_Posted,325)),0)</f>
        <v/>
      </c>
      <c r="I2331" s="58">
        <f>IF(H2331=1,INDEX(ar_DrAcct,325)&amp;"","")</f>
        <v/>
      </c>
      <c r="J2331" s="95">
        <f>IF(H2331=1,INDEX(ar_DrAmt,325),0)</f>
        <v/>
      </c>
      <c r="K2331" s="58">
        <f>IF(H2331=1,INDEX(ar_CrAcct,325)&amp;"","")</f>
        <v/>
      </c>
      <c r="L2331" s="95">
        <f>IF(H2331=1,INDEX(ar_CrAmt,325),0)</f>
        <v/>
      </c>
      <c r="M2331" s="95" t="n">
        <v>0</v>
      </c>
      <c r="N2331" s="95">
        <f>IF(H2331=1,INDEX(ar_TaxAmt,325),0)</f>
        <v/>
      </c>
      <c r="O2331" s="101">
        <f>IF(H2331=1,IF(E2331&lt;FYStart,0,IF(E2331&gt;FYEnd,13,YEAR(E2331)*12+MONTH(E2331)-FYYM+1)),"")</f>
        <v/>
      </c>
      <c r="P2331" s="101">
        <f>IF(H2331=1,IF(IFERROR(INDEX(coa_CF,MATCH(I2331,coa_Name,0)),"")="Cash",1,0),0)</f>
        <v/>
      </c>
      <c r="Q2331" s="101">
        <f>IF(H2331=1,IF(IFERROR(INDEX(coa_CF,MATCH(K2331,coa_Name,0)),"")="Cash",1,0),0)</f>
        <v/>
      </c>
      <c r="R2331" s="58">
        <f>IF((P2331-Q2331)=0,"",IFERROR(INDEX(coa_CF,MATCH(IF((P2331-Q2331)=1,K2331,I2331),coa_Name,0)),"Operating"))</f>
        <v/>
      </c>
      <c r="S2331" s="95">
        <f>IF((P2331-Q2331)=1,L2331,IF((P2331-Q2331)=-1,-J2331,0))</f>
        <v/>
      </c>
      <c r="T2331" s="95">
        <f>IF((P2331-Q2331)=1,N2331,IF((P2331-Q2331)=-1,-M2331,0))</f>
        <v/>
      </c>
      <c r="U2331" s="101">
        <f>IF(AND(H2331=1,LedAcct&lt;&gt;""),IF(AND(E2331&gt;=LedFrom,E2331&lt;=LedTo,OR(I2331=LedAcct,K2331=LedAcct,AND(LedAcct=acctTax,M2331+N2331&lt;&gt;0))),E2331*10000+B2331,""),"")</f>
        <v/>
      </c>
    </row>
    <row r="2332">
      <c r="B2332" s="101" t="n">
        <v>2326</v>
      </c>
      <c r="C2332" s="58" t="inlineStr">
        <is>
          <t>Invoice</t>
        </is>
      </c>
      <c r="D2332" s="58">
        <f>IF(H2332=1,INDEX(ar_No,326)&amp;"","")</f>
        <v/>
      </c>
      <c r="E2332" s="94">
        <f>IF(H2332=1,INDEX(ar_Date,326),"")</f>
        <v/>
      </c>
      <c r="F2332" s="58">
        <f>IF(H2332=1,INDEX(ar_Desc,326)&amp;"","")</f>
        <v/>
      </c>
      <c r="G2332" s="58">
        <f>IF(H2332=1,INDEX(ar_Party,326)&amp;"","")</f>
        <v/>
      </c>
      <c r="H2332" s="101">
        <f>IFERROR(N(INDEX(ar_Posted,326)),0)</f>
        <v/>
      </c>
      <c r="I2332" s="58">
        <f>IF(H2332=1,INDEX(ar_DrAcct,326)&amp;"","")</f>
        <v/>
      </c>
      <c r="J2332" s="95">
        <f>IF(H2332=1,INDEX(ar_DrAmt,326),0)</f>
        <v/>
      </c>
      <c r="K2332" s="58">
        <f>IF(H2332=1,INDEX(ar_CrAcct,326)&amp;"","")</f>
        <v/>
      </c>
      <c r="L2332" s="95">
        <f>IF(H2332=1,INDEX(ar_CrAmt,326),0)</f>
        <v/>
      </c>
      <c r="M2332" s="95" t="n">
        <v>0</v>
      </c>
      <c r="N2332" s="95">
        <f>IF(H2332=1,INDEX(ar_TaxAmt,326),0)</f>
        <v/>
      </c>
      <c r="O2332" s="101">
        <f>IF(H2332=1,IF(E2332&lt;FYStart,0,IF(E2332&gt;FYEnd,13,YEAR(E2332)*12+MONTH(E2332)-FYYM+1)),"")</f>
        <v/>
      </c>
      <c r="P2332" s="101">
        <f>IF(H2332=1,IF(IFERROR(INDEX(coa_CF,MATCH(I2332,coa_Name,0)),"")="Cash",1,0),0)</f>
        <v/>
      </c>
      <c r="Q2332" s="101">
        <f>IF(H2332=1,IF(IFERROR(INDEX(coa_CF,MATCH(K2332,coa_Name,0)),"")="Cash",1,0),0)</f>
        <v/>
      </c>
      <c r="R2332" s="58">
        <f>IF((P2332-Q2332)=0,"",IFERROR(INDEX(coa_CF,MATCH(IF((P2332-Q2332)=1,K2332,I2332),coa_Name,0)),"Operating"))</f>
        <v/>
      </c>
      <c r="S2332" s="95">
        <f>IF((P2332-Q2332)=1,L2332,IF((P2332-Q2332)=-1,-J2332,0))</f>
        <v/>
      </c>
      <c r="T2332" s="95">
        <f>IF((P2332-Q2332)=1,N2332,IF((P2332-Q2332)=-1,-M2332,0))</f>
        <v/>
      </c>
      <c r="U2332" s="101">
        <f>IF(AND(H2332=1,LedAcct&lt;&gt;""),IF(AND(E2332&gt;=LedFrom,E2332&lt;=LedTo,OR(I2332=LedAcct,K2332=LedAcct,AND(LedAcct=acctTax,M2332+N2332&lt;&gt;0))),E2332*10000+B2332,""),"")</f>
        <v/>
      </c>
    </row>
    <row r="2333">
      <c r="B2333" s="101" t="n">
        <v>2327</v>
      </c>
      <c r="C2333" s="58" t="inlineStr">
        <is>
          <t>Invoice</t>
        </is>
      </c>
      <c r="D2333" s="58">
        <f>IF(H2333=1,INDEX(ar_No,327)&amp;"","")</f>
        <v/>
      </c>
      <c r="E2333" s="94">
        <f>IF(H2333=1,INDEX(ar_Date,327),"")</f>
        <v/>
      </c>
      <c r="F2333" s="58">
        <f>IF(H2333=1,INDEX(ar_Desc,327)&amp;"","")</f>
        <v/>
      </c>
      <c r="G2333" s="58">
        <f>IF(H2333=1,INDEX(ar_Party,327)&amp;"","")</f>
        <v/>
      </c>
      <c r="H2333" s="101">
        <f>IFERROR(N(INDEX(ar_Posted,327)),0)</f>
        <v/>
      </c>
      <c r="I2333" s="58">
        <f>IF(H2333=1,INDEX(ar_DrAcct,327)&amp;"","")</f>
        <v/>
      </c>
      <c r="J2333" s="95">
        <f>IF(H2333=1,INDEX(ar_DrAmt,327),0)</f>
        <v/>
      </c>
      <c r="K2333" s="58">
        <f>IF(H2333=1,INDEX(ar_CrAcct,327)&amp;"","")</f>
        <v/>
      </c>
      <c r="L2333" s="95">
        <f>IF(H2333=1,INDEX(ar_CrAmt,327),0)</f>
        <v/>
      </c>
      <c r="M2333" s="95" t="n">
        <v>0</v>
      </c>
      <c r="N2333" s="95">
        <f>IF(H2333=1,INDEX(ar_TaxAmt,327),0)</f>
        <v/>
      </c>
      <c r="O2333" s="101">
        <f>IF(H2333=1,IF(E2333&lt;FYStart,0,IF(E2333&gt;FYEnd,13,YEAR(E2333)*12+MONTH(E2333)-FYYM+1)),"")</f>
        <v/>
      </c>
      <c r="P2333" s="101">
        <f>IF(H2333=1,IF(IFERROR(INDEX(coa_CF,MATCH(I2333,coa_Name,0)),"")="Cash",1,0),0)</f>
        <v/>
      </c>
      <c r="Q2333" s="101">
        <f>IF(H2333=1,IF(IFERROR(INDEX(coa_CF,MATCH(K2333,coa_Name,0)),"")="Cash",1,0),0)</f>
        <v/>
      </c>
      <c r="R2333" s="58">
        <f>IF((P2333-Q2333)=0,"",IFERROR(INDEX(coa_CF,MATCH(IF((P2333-Q2333)=1,K2333,I2333),coa_Name,0)),"Operating"))</f>
        <v/>
      </c>
      <c r="S2333" s="95">
        <f>IF((P2333-Q2333)=1,L2333,IF((P2333-Q2333)=-1,-J2333,0))</f>
        <v/>
      </c>
      <c r="T2333" s="95">
        <f>IF((P2333-Q2333)=1,N2333,IF((P2333-Q2333)=-1,-M2333,0))</f>
        <v/>
      </c>
      <c r="U2333" s="101">
        <f>IF(AND(H2333=1,LedAcct&lt;&gt;""),IF(AND(E2333&gt;=LedFrom,E2333&lt;=LedTo,OR(I2333=LedAcct,K2333=LedAcct,AND(LedAcct=acctTax,M2333+N2333&lt;&gt;0))),E2333*10000+B2333,""),"")</f>
        <v/>
      </c>
    </row>
    <row r="2334">
      <c r="B2334" s="101" t="n">
        <v>2328</v>
      </c>
      <c r="C2334" s="58" t="inlineStr">
        <is>
          <t>Invoice</t>
        </is>
      </c>
      <c r="D2334" s="58">
        <f>IF(H2334=1,INDEX(ar_No,328)&amp;"","")</f>
        <v/>
      </c>
      <c r="E2334" s="94">
        <f>IF(H2334=1,INDEX(ar_Date,328),"")</f>
        <v/>
      </c>
      <c r="F2334" s="58">
        <f>IF(H2334=1,INDEX(ar_Desc,328)&amp;"","")</f>
        <v/>
      </c>
      <c r="G2334" s="58">
        <f>IF(H2334=1,INDEX(ar_Party,328)&amp;"","")</f>
        <v/>
      </c>
      <c r="H2334" s="101">
        <f>IFERROR(N(INDEX(ar_Posted,328)),0)</f>
        <v/>
      </c>
      <c r="I2334" s="58">
        <f>IF(H2334=1,INDEX(ar_DrAcct,328)&amp;"","")</f>
        <v/>
      </c>
      <c r="J2334" s="95">
        <f>IF(H2334=1,INDEX(ar_DrAmt,328),0)</f>
        <v/>
      </c>
      <c r="K2334" s="58">
        <f>IF(H2334=1,INDEX(ar_CrAcct,328)&amp;"","")</f>
        <v/>
      </c>
      <c r="L2334" s="95">
        <f>IF(H2334=1,INDEX(ar_CrAmt,328),0)</f>
        <v/>
      </c>
      <c r="M2334" s="95" t="n">
        <v>0</v>
      </c>
      <c r="N2334" s="95">
        <f>IF(H2334=1,INDEX(ar_TaxAmt,328),0)</f>
        <v/>
      </c>
      <c r="O2334" s="101">
        <f>IF(H2334=1,IF(E2334&lt;FYStart,0,IF(E2334&gt;FYEnd,13,YEAR(E2334)*12+MONTH(E2334)-FYYM+1)),"")</f>
        <v/>
      </c>
      <c r="P2334" s="101">
        <f>IF(H2334=1,IF(IFERROR(INDEX(coa_CF,MATCH(I2334,coa_Name,0)),"")="Cash",1,0),0)</f>
        <v/>
      </c>
      <c r="Q2334" s="101">
        <f>IF(H2334=1,IF(IFERROR(INDEX(coa_CF,MATCH(K2334,coa_Name,0)),"")="Cash",1,0),0)</f>
        <v/>
      </c>
      <c r="R2334" s="58">
        <f>IF((P2334-Q2334)=0,"",IFERROR(INDEX(coa_CF,MATCH(IF((P2334-Q2334)=1,K2334,I2334),coa_Name,0)),"Operating"))</f>
        <v/>
      </c>
      <c r="S2334" s="95">
        <f>IF((P2334-Q2334)=1,L2334,IF((P2334-Q2334)=-1,-J2334,0))</f>
        <v/>
      </c>
      <c r="T2334" s="95">
        <f>IF((P2334-Q2334)=1,N2334,IF((P2334-Q2334)=-1,-M2334,0))</f>
        <v/>
      </c>
      <c r="U2334" s="101">
        <f>IF(AND(H2334=1,LedAcct&lt;&gt;""),IF(AND(E2334&gt;=LedFrom,E2334&lt;=LedTo,OR(I2334=LedAcct,K2334=LedAcct,AND(LedAcct=acctTax,M2334+N2334&lt;&gt;0))),E2334*10000+B2334,""),"")</f>
        <v/>
      </c>
    </row>
    <row r="2335">
      <c r="B2335" s="101" t="n">
        <v>2329</v>
      </c>
      <c r="C2335" s="58" t="inlineStr">
        <is>
          <t>Invoice</t>
        </is>
      </c>
      <c r="D2335" s="58">
        <f>IF(H2335=1,INDEX(ar_No,329)&amp;"","")</f>
        <v/>
      </c>
      <c r="E2335" s="94">
        <f>IF(H2335=1,INDEX(ar_Date,329),"")</f>
        <v/>
      </c>
      <c r="F2335" s="58">
        <f>IF(H2335=1,INDEX(ar_Desc,329)&amp;"","")</f>
        <v/>
      </c>
      <c r="G2335" s="58">
        <f>IF(H2335=1,INDEX(ar_Party,329)&amp;"","")</f>
        <v/>
      </c>
      <c r="H2335" s="101">
        <f>IFERROR(N(INDEX(ar_Posted,329)),0)</f>
        <v/>
      </c>
      <c r="I2335" s="58">
        <f>IF(H2335=1,INDEX(ar_DrAcct,329)&amp;"","")</f>
        <v/>
      </c>
      <c r="J2335" s="95">
        <f>IF(H2335=1,INDEX(ar_DrAmt,329),0)</f>
        <v/>
      </c>
      <c r="K2335" s="58">
        <f>IF(H2335=1,INDEX(ar_CrAcct,329)&amp;"","")</f>
        <v/>
      </c>
      <c r="L2335" s="95">
        <f>IF(H2335=1,INDEX(ar_CrAmt,329),0)</f>
        <v/>
      </c>
      <c r="M2335" s="95" t="n">
        <v>0</v>
      </c>
      <c r="N2335" s="95">
        <f>IF(H2335=1,INDEX(ar_TaxAmt,329),0)</f>
        <v/>
      </c>
      <c r="O2335" s="101">
        <f>IF(H2335=1,IF(E2335&lt;FYStart,0,IF(E2335&gt;FYEnd,13,YEAR(E2335)*12+MONTH(E2335)-FYYM+1)),"")</f>
        <v/>
      </c>
      <c r="P2335" s="101">
        <f>IF(H2335=1,IF(IFERROR(INDEX(coa_CF,MATCH(I2335,coa_Name,0)),"")="Cash",1,0),0)</f>
        <v/>
      </c>
      <c r="Q2335" s="101">
        <f>IF(H2335=1,IF(IFERROR(INDEX(coa_CF,MATCH(K2335,coa_Name,0)),"")="Cash",1,0),0)</f>
        <v/>
      </c>
      <c r="R2335" s="58">
        <f>IF((P2335-Q2335)=0,"",IFERROR(INDEX(coa_CF,MATCH(IF((P2335-Q2335)=1,K2335,I2335),coa_Name,0)),"Operating"))</f>
        <v/>
      </c>
      <c r="S2335" s="95">
        <f>IF((P2335-Q2335)=1,L2335,IF((P2335-Q2335)=-1,-J2335,0))</f>
        <v/>
      </c>
      <c r="T2335" s="95">
        <f>IF((P2335-Q2335)=1,N2335,IF((P2335-Q2335)=-1,-M2335,0))</f>
        <v/>
      </c>
      <c r="U2335" s="101">
        <f>IF(AND(H2335=1,LedAcct&lt;&gt;""),IF(AND(E2335&gt;=LedFrom,E2335&lt;=LedTo,OR(I2335=LedAcct,K2335=LedAcct,AND(LedAcct=acctTax,M2335+N2335&lt;&gt;0))),E2335*10000+B2335,""),"")</f>
        <v/>
      </c>
    </row>
    <row r="2336">
      <c r="B2336" s="101" t="n">
        <v>2330</v>
      </c>
      <c r="C2336" s="58" t="inlineStr">
        <is>
          <t>Invoice</t>
        </is>
      </c>
      <c r="D2336" s="58">
        <f>IF(H2336=1,INDEX(ar_No,330)&amp;"","")</f>
        <v/>
      </c>
      <c r="E2336" s="94">
        <f>IF(H2336=1,INDEX(ar_Date,330),"")</f>
        <v/>
      </c>
      <c r="F2336" s="58">
        <f>IF(H2336=1,INDEX(ar_Desc,330)&amp;"","")</f>
        <v/>
      </c>
      <c r="G2336" s="58">
        <f>IF(H2336=1,INDEX(ar_Party,330)&amp;"","")</f>
        <v/>
      </c>
      <c r="H2336" s="101">
        <f>IFERROR(N(INDEX(ar_Posted,330)),0)</f>
        <v/>
      </c>
      <c r="I2336" s="58">
        <f>IF(H2336=1,INDEX(ar_DrAcct,330)&amp;"","")</f>
        <v/>
      </c>
      <c r="J2336" s="95">
        <f>IF(H2336=1,INDEX(ar_DrAmt,330),0)</f>
        <v/>
      </c>
      <c r="K2336" s="58">
        <f>IF(H2336=1,INDEX(ar_CrAcct,330)&amp;"","")</f>
        <v/>
      </c>
      <c r="L2336" s="95">
        <f>IF(H2336=1,INDEX(ar_CrAmt,330),0)</f>
        <v/>
      </c>
      <c r="M2336" s="95" t="n">
        <v>0</v>
      </c>
      <c r="N2336" s="95">
        <f>IF(H2336=1,INDEX(ar_TaxAmt,330),0)</f>
        <v/>
      </c>
      <c r="O2336" s="101">
        <f>IF(H2336=1,IF(E2336&lt;FYStart,0,IF(E2336&gt;FYEnd,13,YEAR(E2336)*12+MONTH(E2336)-FYYM+1)),"")</f>
        <v/>
      </c>
      <c r="P2336" s="101">
        <f>IF(H2336=1,IF(IFERROR(INDEX(coa_CF,MATCH(I2336,coa_Name,0)),"")="Cash",1,0),0)</f>
        <v/>
      </c>
      <c r="Q2336" s="101">
        <f>IF(H2336=1,IF(IFERROR(INDEX(coa_CF,MATCH(K2336,coa_Name,0)),"")="Cash",1,0),0)</f>
        <v/>
      </c>
      <c r="R2336" s="58">
        <f>IF((P2336-Q2336)=0,"",IFERROR(INDEX(coa_CF,MATCH(IF((P2336-Q2336)=1,K2336,I2336),coa_Name,0)),"Operating"))</f>
        <v/>
      </c>
      <c r="S2336" s="95">
        <f>IF((P2336-Q2336)=1,L2336,IF((P2336-Q2336)=-1,-J2336,0))</f>
        <v/>
      </c>
      <c r="T2336" s="95">
        <f>IF((P2336-Q2336)=1,N2336,IF((P2336-Q2336)=-1,-M2336,0))</f>
        <v/>
      </c>
      <c r="U2336" s="101">
        <f>IF(AND(H2336=1,LedAcct&lt;&gt;""),IF(AND(E2336&gt;=LedFrom,E2336&lt;=LedTo,OR(I2336=LedAcct,K2336=LedAcct,AND(LedAcct=acctTax,M2336+N2336&lt;&gt;0))),E2336*10000+B2336,""),"")</f>
        <v/>
      </c>
    </row>
    <row r="2337">
      <c r="B2337" s="101" t="n">
        <v>2331</v>
      </c>
      <c r="C2337" s="58" t="inlineStr">
        <is>
          <t>Invoice</t>
        </is>
      </c>
      <c r="D2337" s="58">
        <f>IF(H2337=1,INDEX(ar_No,331)&amp;"","")</f>
        <v/>
      </c>
      <c r="E2337" s="94">
        <f>IF(H2337=1,INDEX(ar_Date,331),"")</f>
        <v/>
      </c>
      <c r="F2337" s="58">
        <f>IF(H2337=1,INDEX(ar_Desc,331)&amp;"","")</f>
        <v/>
      </c>
      <c r="G2337" s="58">
        <f>IF(H2337=1,INDEX(ar_Party,331)&amp;"","")</f>
        <v/>
      </c>
      <c r="H2337" s="101">
        <f>IFERROR(N(INDEX(ar_Posted,331)),0)</f>
        <v/>
      </c>
      <c r="I2337" s="58">
        <f>IF(H2337=1,INDEX(ar_DrAcct,331)&amp;"","")</f>
        <v/>
      </c>
      <c r="J2337" s="95">
        <f>IF(H2337=1,INDEX(ar_DrAmt,331),0)</f>
        <v/>
      </c>
      <c r="K2337" s="58">
        <f>IF(H2337=1,INDEX(ar_CrAcct,331)&amp;"","")</f>
        <v/>
      </c>
      <c r="L2337" s="95">
        <f>IF(H2337=1,INDEX(ar_CrAmt,331),0)</f>
        <v/>
      </c>
      <c r="M2337" s="95" t="n">
        <v>0</v>
      </c>
      <c r="N2337" s="95">
        <f>IF(H2337=1,INDEX(ar_TaxAmt,331),0)</f>
        <v/>
      </c>
      <c r="O2337" s="101">
        <f>IF(H2337=1,IF(E2337&lt;FYStart,0,IF(E2337&gt;FYEnd,13,YEAR(E2337)*12+MONTH(E2337)-FYYM+1)),"")</f>
        <v/>
      </c>
      <c r="P2337" s="101">
        <f>IF(H2337=1,IF(IFERROR(INDEX(coa_CF,MATCH(I2337,coa_Name,0)),"")="Cash",1,0),0)</f>
        <v/>
      </c>
      <c r="Q2337" s="101">
        <f>IF(H2337=1,IF(IFERROR(INDEX(coa_CF,MATCH(K2337,coa_Name,0)),"")="Cash",1,0),0)</f>
        <v/>
      </c>
      <c r="R2337" s="58">
        <f>IF((P2337-Q2337)=0,"",IFERROR(INDEX(coa_CF,MATCH(IF((P2337-Q2337)=1,K2337,I2337),coa_Name,0)),"Operating"))</f>
        <v/>
      </c>
      <c r="S2337" s="95">
        <f>IF((P2337-Q2337)=1,L2337,IF((P2337-Q2337)=-1,-J2337,0))</f>
        <v/>
      </c>
      <c r="T2337" s="95">
        <f>IF((P2337-Q2337)=1,N2337,IF((P2337-Q2337)=-1,-M2337,0))</f>
        <v/>
      </c>
      <c r="U2337" s="101">
        <f>IF(AND(H2337=1,LedAcct&lt;&gt;""),IF(AND(E2337&gt;=LedFrom,E2337&lt;=LedTo,OR(I2337=LedAcct,K2337=LedAcct,AND(LedAcct=acctTax,M2337+N2337&lt;&gt;0))),E2337*10000+B2337,""),"")</f>
        <v/>
      </c>
    </row>
    <row r="2338">
      <c r="B2338" s="101" t="n">
        <v>2332</v>
      </c>
      <c r="C2338" s="58" t="inlineStr">
        <is>
          <t>Invoice</t>
        </is>
      </c>
      <c r="D2338" s="58">
        <f>IF(H2338=1,INDEX(ar_No,332)&amp;"","")</f>
        <v/>
      </c>
      <c r="E2338" s="94">
        <f>IF(H2338=1,INDEX(ar_Date,332),"")</f>
        <v/>
      </c>
      <c r="F2338" s="58">
        <f>IF(H2338=1,INDEX(ar_Desc,332)&amp;"","")</f>
        <v/>
      </c>
      <c r="G2338" s="58">
        <f>IF(H2338=1,INDEX(ar_Party,332)&amp;"","")</f>
        <v/>
      </c>
      <c r="H2338" s="101">
        <f>IFERROR(N(INDEX(ar_Posted,332)),0)</f>
        <v/>
      </c>
      <c r="I2338" s="58">
        <f>IF(H2338=1,INDEX(ar_DrAcct,332)&amp;"","")</f>
        <v/>
      </c>
      <c r="J2338" s="95">
        <f>IF(H2338=1,INDEX(ar_DrAmt,332),0)</f>
        <v/>
      </c>
      <c r="K2338" s="58">
        <f>IF(H2338=1,INDEX(ar_CrAcct,332)&amp;"","")</f>
        <v/>
      </c>
      <c r="L2338" s="95">
        <f>IF(H2338=1,INDEX(ar_CrAmt,332),0)</f>
        <v/>
      </c>
      <c r="M2338" s="95" t="n">
        <v>0</v>
      </c>
      <c r="N2338" s="95">
        <f>IF(H2338=1,INDEX(ar_TaxAmt,332),0)</f>
        <v/>
      </c>
      <c r="O2338" s="101">
        <f>IF(H2338=1,IF(E2338&lt;FYStart,0,IF(E2338&gt;FYEnd,13,YEAR(E2338)*12+MONTH(E2338)-FYYM+1)),"")</f>
        <v/>
      </c>
      <c r="P2338" s="101">
        <f>IF(H2338=1,IF(IFERROR(INDEX(coa_CF,MATCH(I2338,coa_Name,0)),"")="Cash",1,0),0)</f>
        <v/>
      </c>
      <c r="Q2338" s="101">
        <f>IF(H2338=1,IF(IFERROR(INDEX(coa_CF,MATCH(K2338,coa_Name,0)),"")="Cash",1,0),0)</f>
        <v/>
      </c>
      <c r="R2338" s="58">
        <f>IF((P2338-Q2338)=0,"",IFERROR(INDEX(coa_CF,MATCH(IF((P2338-Q2338)=1,K2338,I2338),coa_Name,0)),"Operating"))</f>
        <v/>
      </c>
      <c r="S2338" s="95">
        <f>IF((P2338-Q2338)=1,L2338,IF((P2338-Q2338)=-1,-J2338,0))</f>
        <v/>
      </c>
      <c r="T2338" s="95">
        <f>IF((P2338-Q2338)=1,N2338,IF((P2338-Q2338)=-1,-M2338,0))</f>
        <v/>
      </c>
      <c r="U2338" s="101">
        <f>IF(AND(H2338=1,LedAcct&lt;&gt;""),IF(AND(E2338&gt;=LedFrom,E2338&lt;=LedTo,OR(I2338=LedAcct,K2338=LedAcct,AND(LedAcct=acctTax,M2338+N2338&lt;&gt;0))),E2338*10000+B2338,""),"")</f>
        <v/>
      </c>
    </row>
    <row r="2339">
      <c r="B2339" s="101" t="n">
        <v>2333</v>
      </c>
      <c r="C2339" s="58" t="inlineStr">
        <is>
          <t>Invoice</t>
        </is>
      </c>
      <c r="D2339" s="58">
        <f>IF(H2339=1,INDEX(ar_No,333)&amp;"","")</f>
        <v/>
      </c>
      <c r="E2339" s="94">
        <f>IF(H2339=1,INDEX(ar_Date,333),"")</f>
        <v/>
      </c>
      <c r="F2339" s="58">
        <f>IF(H2339=1,INDEX(ar_Desc,333)&amp;"","")</f>
        <v/>
      </c>
      <c r="G2339" s="58">
        <f>IF(H2339=1,INDEX(ar_Party,333)&amp;"","")</f>
        <v/>
      </c>
      <c r="H2339" s="101">
        <f>IFERROR(N(INDEX(ar_Posted,333)),0)</f>
        <v/>
      </c>
      <c r="I2339" s="58">
        <f>IF(H2339=1,INDEX(ar_DrAcct,333)&amp;"","")</f>
        <v/>
      </c>
      <c r="J2339" s="95">
        <f>IF(H2339=1,INDEX(ar_DrAmt,333),0)</f>
        <v/>
      </c>
      <c r="K2339" s="58">
        <f>IF(H2339=1,INDEX(ar_CrAcct,333)&amp;"","")</f>
        <v/>
      </c>
      <c r="L2339" s="95">
        <f>IF(H2339=1,INDEX(ar_CrAmt,333),0)</f>
        <v/>
      </c>
      <c r="M2339" s="95" t="n">
        <v>0</v>
      </c>
      <c r="N2339" s="95">
        <f>IF(H2339=1,INDEX(ar_TaxAmt,333),0)</f>
        <v/>
      </c>
      <c r="O2339" s="101">
        <f>IF(H2339=1,IF(E2339&lt;FYStart,0,IF(E2339&gt;FYEnd,13,YEAR(E2339)*12+MONTH(E2339)-FYYM+1)),"")</f>
        <v/>
      </c>
      <c r="P2339" s="101">
        <f>IF(H2339=1,IF(IFERROR(INDEX(coa_CF,MATCH(I2339,coa_Name,0)),"")="Cash",1,0),0)</f>
        <v/>
      </c>
      <c r="Q2339" s="101">
        <f>IF(H2339=1,IF(IFERROR(INDEX(coa_CF,MATCH(K2339,coa_Name,0)),"")="Cash",1,0),0)</f>
        <v/>
      </c>
      <c r="R2339" s="58">
        <f>IF((P2339-Q2339)=0,"",IFERROR(INDEX(coa_CF,MATCH(IF((P2339-Q2339)=1,K2339,I2339),coa_Name,0)),"Operating"))</f>
        <v/>
      </c>
      <c r="S2339" s="95">
        <f>IF((P2339-Q2339)=1,L2339,IF((P2339-Q2339)=-1,-J2339,0))</f>
        <v/>
      </c>
      <c r="T2339" s="95">
        <f>IF((P2339-Q2339)=1,N2339,IF((P2339-Q2339)=-1,-M2339,0))</f>
        <v/>
      </c>
      <c r="U2339" s="101">
        <f>IF(AND(H2339=1,LedAcct&lt;&gt;""),IF(AND(E2339&gt;=LedFrom,E2339&lt;=LedTo,OR(I2339=LedAcct,K2339=LedAcct,AND(LedAcct=acctTax,M2339+N2339&lt;&gt;0))),E2339*10000+B2339,""),"")</f>
        <v/>
      </c>
    </row>
    <row r="2340">
      <c r="B2340" s="101" t="n">
        <v>2334</v>
      </c>
      <c r="C2340" s="58" t="inlineStr">
        <is>
          <t>Invoice</t>
        </is>
      </c>
      <c r="D2340" s="58">
        <f>IF(H2340=1,INDEX(ar_No,334)&amp;"","")</f>
        <v/>
      </c>
      <c r="E2340" s="94">
        <f>IF(H2340=1,INDEX(ar_Date,334),"")</f>
        <v/>
      </c>
      <c r="F2340" s="58">
        <f>IF(H2340=1,INDEX(ar_Desc,334)&amp;"","")</f>
        <v/>
      </c>
      <c r="G2340" s="58">
        <f>IF(H2340=1,INDEX(ar_Party,334)&amp;"","")</f>
        <v/>
      </c>
      <c r="H2340" s="101">
        <f>IFERROR(N(INDEX(ar_Posted,334)),0)</f>
        <v/>
      </c>
      <c r="I2340" s="58">
        <f>IF(H2340=1,INDEX(ar_DrAcct,334)&amp;"","")</f>
        <v/>
      </c>
      <c r="J2340" s="95">
        <f>IF(H2340=1,INDEX(ar_DrAmt,334),0)</f>
        <v/>
      </c>
      <c r="K2340" s="58">
        <f>IF(H2340=1,INDEX(ar_CrAcct,334)&amp;"","")</f>
        <v/>
      </c>
      <c r="L2340" s="95">
        <f>IF(H2340=1,INDEX(ar_CrAmt,334),0)</f>
        <v/>
      </c>
      <c r="M2340" s="95" t="n">
        <v>0</v>
      </c>
      <c r="N2340" s="95">
        <f>IF(H2340=1,INDEX(ar_TaxAmt,334),0)</f>
        <v/>
      </c>
      <c r="O2340" s="101">
        <f>IF(H2340=1,IF(E2340&lt;FYStart,0,IF(E2340&gt;FYEnd,13,YEAR(E2340)*12+MONTH(E2340)-FYYM+1)),"")</f>
        <v/>
      </c>
      <c r="P2340" s="101">
        <f>IF(H2340=1,IF(IFERROR(INDEX(coa_CF,MATCH(I2340,coa_Name,0)),"")="Cash",1,0),0)</f>
        <v/>
      </c>
      <c r="Q2340" s="101">
        <f>IF(H2340=1,IF(IFERROR(INDEX(coa_CF,MATCH(K2340,coa_Name,0)),"")="Cash",1,0),0)</f>
        <v/>
      </c>
      <c r="R2340" s="58">
        <f>IF((P2340-Q2340)=0,"",IFERROR(INDEX(coa_CF,MATCH(IF((P2340-Q2340)=1,K2340,I2340),coa_Name,0)),"Operating"))</f>
        <v/>
      </c>
      <c r="S2340" s="95">
        <f>IF((P2340-Q2340)=1,L2340,IF((P2340-Q2340)=-1,-J2340,0))</f>
        <v/>
      </c>
      <c r="T2340" s="95">
        <f>IF((P2340-Q2340)=1,N2340,IF((P2340-Q2340)=-1,-M2340,0))</f>
        <v/>
      </c>
      <c r="U2340" s="101">
        <f>IF(AND(H2340=1,LedAcct&lt;&gt;""),IF(AND(E2340&gt;=LedFrom,E2340&lt;=LedTo,OR(I2340=LedAcct,K2340=LedAcct,AND(LedAcct=acctTax,M2340+N2340&lt;&gt;0))),E2340*10000+B2340,""),"")</f>
        <v/>
      </c>
    </row>
    <row r="2341">
      <c r="B2341" s="101" t="n">
        <v>2335</v>
      </c>
      <c r="C2341" s="58" t="inlineStr">
        <is>
          <t>Invoice</t>
        </is>
      </c>
      <c r="D2341" s="58">
        <f>IF(H2341=1,INDEX(ar_No,335)&amp;"","")</f>
        <v/>
      </c>
      <c r="E2341" s="94">
        <f>IF(H2341=1,INDEX(ar_Date,335),"")</f>
        <v/>
      </c>
      <c r="F2341" s="58">
        <f>IF(H2341=1,INDEX(ar_Desc,335)&amp;"","")</f>
        <v/>
      </c>
      <c r="G2341" s="58">
        <f>IF(H2341=1,INDEX(ar_Party,335)&amp;"","")</f>
        <v/>
      </c>
      <c r="H2341" s="101">
        <f>IFERROR(N(INDEX(ar_Posted,335)),0)</f>
        <v/>
      </c>
      <c r="I2341" s="58">
        <f>IF(H2341=1,INDEX(ar_DrAcct,335)&amp;"","")</f>
        <v/>
      </c>
      <c r="J2341" s="95">
        <f>IF(H2341=1,INDEX(ar_DrAmt,335),0)</f>
        <v/>
      </c>
      <c r="K2341" s="58">
        <f>IF(H2341=1,INDEX(ar_CrAcct,335)&amp;"","")</f>
        <v/>
      </c>
      <c r="L2341" s="95">
        <f>IF(H2341=1,INDEX(ar_CrAmt,335),0)</f>
        <v/>
      </c>
      <c r="M2341" s="95" t="n">
        <v>0</v>
      </c>
      <c r="N2341" s="95">
        <f>IF(H2341=1,INDEX(ar_TaxAmt,335),0)</f>
        <v/>
      </c>
      <c r="O2341" s="101">
        <f>IF(H2341=1,IF(E2341&lt;FYStart,0,IF(E2341&gt;FYEnd,13,YEAR(E2341)*12+MONTH(E2341)-FYYM+1)),"")</f>
        <v/>
      </c>
      <c r="P2341" s="101">
        <f>IF(H2341=1,IF(IFERROR(INDEX(coa_CF,MATCH(I2341,coa_Name,0)),"")="Cash",1,0),0)</f>
        <v/>
      </c>
      <c r="Q2341" s="101">
        <f>IF(H2341=1,IF(IFERROR(INDEX(coa_CF,MATCH(K2341,coa_Name,0)),"")="Cash",1,0),0)</f>
        <v/>
      </c>
      <c r="R2341" s="58">
        <f>IF((P2341-Q2341)=0,"",IFERROR(INDEX(coa_CF,MATCH(IF((P2341-Q2341)=1,K2341,I2341),coa_Name,0)),"Operating"))</f>
        <v/>
      </c>
      <c r="S2341" s="95">
        <f>IF((P2341-Q2341)=1,L2341,IF((P2341-Q2341)=-1,-J2341,0))</f>
        <v/>
      </c>
      <c r="T2341" s="95">
        <f>IF((P2341-Q2341)=1,N2341,IF((P2341-Q2341)=-1,-M2341,0))</f>
        <v/>
      </c>
      <c r="U2341" s="101">
        <f>IF(AND(H2341=1,LedAcct&lt;&gt;""),IF(AND(E2341&gt;=LedFrom,E2341&lt;=LedTo,OR(I2341=LedAcct,K2341=LedAcct,AND(LedAcct=acctTax,M2341+N2341&lt;&gt;0))),E2341*10000+B2341,""),"")</f>
        <v/>
      </c>
    </row>
    <row r="2342">
      <c r="B2342" s="101" t="n">
        <v>2336</v>
      </c>
      <c r="C2342" s="58" t="inlineStr">
        <is>
          <t>Invoice</t>
        </is>
      </c>
      <c r="D2342" s="58">
        <f>IF(H2342=1,INDEX(ar_No,336)&amp;"","")</f>
        <v/>
      </c>
      <c r="E2342" s="94">
        <f>IF(H2342=1,INDEX(ar_Date,336),"")</f>
        <v/>
      </c>
      <c r="F2342" s="58">
        <f>IF(H2342=1,INDEX(ar_Desc,336)&amp;"","")</f>
        <v/>
      </c>
      <c r="G2342" s="58">
        <f>IF(H2342=1,INDEX(ar_Party,336)&amp;"","")</f>
        <v/>
      </c>
      <c r="H2342" s="101">
        <f>IFERROR(N(INDEX(ar_Posted,336)),0)</f>
        <v/>
      </c>
      <c r="I2342" s="58">
        <f>IF(H2342=1,INDEX(ar_DrAcct,336)&amp;"","")</f>
        <v/>
      </c>
      <c r="J2342" s="95">
        <f>IF(H2342=1,INDEX(ar_DrAmt,336),0)</f>
        <v/>
      </c>
      <c r="K2342" s="58">
        <f>IF(H2342=1,INDEX(ar_CrAcct,336)&amp;"","")</f>
        <v/>
      </c>
      <c r="L2342" s="95">
        <f>IF(H2342=1,INDEX(ar_CrAmt,336),0)</f>
        <v/>
      </c>
      <c r="M2342" s="95" t="n">
        <v>0</v>
      </c>
      <c r="N2342" s="95">
        <f>IF(H2342=1,INDEX(ar_TaxAmt,336),0)</f>
        <v/>
      </c>
      <c r="O2342" s="101">
        <f>IF(H2342=1,IF(E2342&lt;FYStart,0,IF(E2342&gt;FYEnd,13,YEAR(E2342)*12+MONTH(E2342)-FYYM+1)),"")</f>
        <v/>
      </c>
      <c r="P2342" s="101">
        <f>IF(H2342=1,IF(IFERROR(INDEX(coa_CF,MATCH(I2342,coa_Name,0)),"")="Cash",1,0),0)</f>
        <v/>
      </c>
      <c r="Q2342" s="101">
        <f>IF(H2342=1,IF(IFERROR(INDEX(coa_CF,MATCH(K2342,coa_Name,0)),"")="Cash",1,0),0)</f>
        <v/>
      </c>
      <c r="R2342" s="58">
        <f>IF((P2342-Q2342)=0,"",IFERROR(INDEX(coa_CF,MATCH(IF((P2342-Q2342)=1,K2342,I2342),coa_Name,0)),"Operating"))</f>
        <v/>
      </c>
      <c r="S2342" s="95">
        <f>IF((P2342-Q2342)=1,L2342,IF((P2342-Q2342)=-1,-J2342,0))</f>
        <v/>
      </c>
      <c r="T2342" s="95">
        <f>IF((P2342-Q2342)=1,N2342,IF((P2342-Q2342)=-1,-M2342,0))</f>
        <v/>
      </c>
      <c r="U2342" s="101">
        <f>IF(AND(H2342=1,LedAcct&lt;&gt;""),IF(AND(E2342&gt;=LedFrom,E2342&lt;=LedTo,OR(I2342=LedAcct,K2342=LedAcct,AND(LedAcct=acctTax,M2342+N2342&lt;&gt;0))),E2342*10000+B2342,""),"")</f>
        <v/>
      </c>
    </row>
    <row r="2343">
      <c r="B2343" s="101" t="n">
        <v>2337</v>
      </c>
      <c r="C2343" s="58" t="inlineStr">
        <is>
          <t>Invoice</t>
        </is>
      </c>
      <c r="D2343" s="58">
        <f>IF(H2343=1,INDEX(ar_No,337)&amp;"","")</f>
        <v/>
      </c>
      <c r="E2343" s="94">
        <f>IF(H2343=1,INDEX(ar_Date,337),"")</f>
        <v/>
      </c>
      <c r="F2343" s="58">
        <f>IF(H2343=1,INDEX(ar_Desc,337)&amp;"","")</f>
        <v/>
      </c>
      <c r="G2343" s="58">
        <f>IF(H2343=1,INDEX(ar_Party,337)&amp;"","")</f>
        <v/>
      </c>
      <c r="H2343" s="101">
        <f>IFERROR(N(INDEX(ar_Posted,337)),0)</f>
        <v/>
      </c>
      <c r="I2343" s="58">
        <f>IF(H2343=1,INDEX(ar_DrAcct,337)&amp;"","")</f>
        <v/>
      </c>
      <c r="J2343" s="95">
        <f>IF(H2343=1,INDEX(ar_DrAmt,337),0)</f>
        <v/>
      </c>
      <c r="K2343" s="58">
        <f>IF(H2343=1,INDEX(ar_CrAcct,337)&amp;"","")</f>
        <v/>
      </c>
      <c r="L2343" s="95">
        <f>IF(H2343=1,INDEX(ar_CrAmt,337),0)</f>
        <v/>
      </c>
      <c r="M2343" s="95" t="n">
        <v>0</v>
      </c>
      <c r="N2343" s="95">
        <f>IF(H2343=1,INDEX(ar_TaxAmt,337),0)</f>
        <v/>
      </c>
      <c r="O2343" s="101">
        <f>IF(H2343=1,IF(E2343&lt;FYStart,0,IF(E2343&gt;FYEnd,13,YEAR(E2343)*12+MONTH(E2343)-FYYM+1)),"")</f>
        <v/>
      </c>
      <c r="P2343" s="101">
        <f>IF(H2343=1,IF(IFERROR(INDEX(coa_CF,MATCH(I2343,coa_Name,0)),"")="Cash",1,0),0)</f>
        <v/>
      </c>
      <c r="Q2343" s="101">
        <f>IF(H2343=1,IF(IFERROR(INDEX(coa_CF,MATCH(K2343,coa_Name,0)),"")="Cash",1,0),0)</f>
        <v/>
      </c>
      <c r="R2343" s="58">
        <f>IF((P2343-Q2343)=0,"",IFERROR(INDEX(coa_CF,MATCH(IF((P2343-Q2343)=1,K2343,I2343),coa_Name,0)),"Operating"))</f>
        <v/>
      </c>
      <c r="S2343" s="95">
        <f>IF((P2343-Q2343)=1,L2343,IF((P2343-Q2343)=-1,-J2343,0))</f>
        <v/>
      </c>
      <c r="T2343" s="95">
        <f>IF((P2343-Q2343)=1,N2343,IF((P2343-Q2343)=-1,-M2343,0))</f>
        <v/>
      </c>
      <c r="U2343" s="101">
        <f>IF(AND(H2343=1,LedAcct&lt;&gt;""),IF(AND(E2343&gt;=LedFrom,E2343&lt;=LedTo,OR(I2343=LedAcct,K2343=LedAcct,AND(LedAcct=acctTax,M2343+N2343&lt;&gt;0))),E2343*10000+B2343,""),"")</f>
        <v/>
      </c>
    </row>
    <row r="2344">
      <c r="B2344" s="101" t="n">
        <v>2338</v>
      </c>
      <c r="C2344" s="58" t="inlineStr">
        <is>
          <t>Invoice</t>
        </is>
      </c>
      <c r="D2344" s="58">
        <f>IF(H2344=1,INDEX(ar_No,338)&amp;"","")</f>
        <v/>
      </c>
      <c r="E2344" s="94">
        <f>IF(H2344=1,INDEX(ar_Date,338),"")</f>
        <v/>
      </c>
      <c r="F2344" s="58">
        <f>IF(H2344=1,INDEX(ar_Desc,338)&amp;"","")</f>
        <v/>
      </c>
      <c r="G2344" s="58">
        <f>IF(H2344=1,INDEX(ar_Party,338)&amp;"","")</f>
        <v/>
      </c>
      <c r="H2344" s="101">
        <f>IFERROR(N(INDEX(ar_Posted,338)),0)</f>
        <v/>
      </c>
      <c r="I2344" s="58">
        <f>IF(H2344=1,INDEX(ar_DrAcct,338)&amp;"","")</f>
        <v/>
      </c>
      <c r="J2344" s="95">
        <f>IF(H2344=1,INDEX(ar_DrAmt,338),0)</f>
        <v/>
      </c>
      <c r="K2344" s="58">
        <f>IF(H2344=1,INDEX(ar_CrAcct,338)&amp;"","")</f>
        <v/>
      </c>
      <c r="L2344" s="95">
        <f>IF(H2344=1,INDEX(ar_CrAmt,338),0)</f>
        <v/>
      </c>
      <c r="M2344" s="95" t="n">
        <v>0</v>
      </c>
      <c r="N2344" s="95">
        <f>IF(H2344=1,INDEX(ar_TaxAmt,338),0)</f>
        <v/>
      </c>
      <c r="O2344" s="101">
        <f>IF(H2344=1,IF(E2344&lt;FYStart,0,IF(E2344&gt;FYEnd,13,YEAR(E2344)*12+MONTH(E2344)-FYYM+1)),"")</f>
        <v/>
      </c>
      <c r="P2344" s="101">
        <f>IF(H2344=1,IF(IFERROR(INDEX(coa_CF,MATCH(I2344,coa_Name,0)),"")="Cash",1,0),0)</f>
        <v/>
      </c>
      <c r="Q2344" s="101">
        <f>IF(H2344=1,IF(IFERROR(INDEX(coa_CF,MATCH(K2344,coa_Name,0)),"")="Cash",1,0),0)</f>
        <v/>
      </c>
      <c r="R2344" s="58">
        <f>IF((P2344-Q2344)=0,"",IFERROR(INDEX(coa_CF,MATCH(IF((P2344-Q2344)=1,K2344,I2344),coa_Name,0)),"Operating"))</f>
        <v/>
      </c>
      <c r="S2344" s="95">
        <f>IF((P2344-Q2344)=1,L2344,IF((P2344-Q2344)=-1,-J2344,0))</f>
        <v/>
      </c>
      <c r="T2344" s="95">
        <f>IF((P2344-Q2344)=1,N2344,IF((P2344-Q2344)=-1,-M2344,0))</f>
        <v/>
      </c>
      <c r="U2344" s="101">
        <f>IF(AND(H2344=1,LedAcct&lt;&gt;""),IF(AND(E2344&gt;=LedFrom,E2344&lt;=LedTo,OR(I2344=LedAcct,K2344=LedAcct,AND(LedAcct=acctTax,M2344+N2344&lt;&gt;0))),E2344*10000+B2344,""),"")</f>
        <v/>
      </c>
    </row>
    <row r="2345">
      <c r="B2345" s="101" t="n">
        <v>2339</v>
      </c>
      <c r="C2345" s="58" t="inlineStr">
        <is>
          <t>Invoice</t>
        </is>
      </c>
      <c r="D2345" s="58">
        <f>IF(H2345=1,INDEX(ar_No,339)&amp;"","")</f>
        <v/>
      </c>
      <c r="E2345" s="94">
        <f>IF(H2345=1,INDEX(ar_Date,339),"")</f>
        <v/>
      </c>
      <c r="F2345" s="58">
        <f>IF(H2345=1,INDEX(ar_Desc,339)&amp;"","")</f>
        <v/>
      </c>
      <c r="G2345" s="58">
        <f>IF(H2345=1,INDEX(ar_Party,339)&amp;"","")</f>
        <v/>
      </c>
      <c r="H2345" s="101">
        <f>IFERROR(N(INDEX(ar_Posted,339)),0)</f>
        <v/>
      </c>
      <c r="I2345" s="58">
        <f>IF(H2345=1,INDEX(ar_DrAcct,339)&amp;"","")</f>
        <v/>
      </c>
      <c r="J2345" s="95">
        <f>IF(H2345=1,INDEX(ar_DrAmt,339),0)</f>
        <v/>
      </c>
      <c r="K2345" s="58">
        <f>IF(H2345=1,INDEX(ar_CrAcct,339)&amp;"","")</f>
        <v/>
      </c>
      <c r="L2345" s="95">
        <f>IF(H2345=1,INDEX(ar_CrAmt,339),0)</f>
        <v/>
      </c>
      <c r="M2345" s="95" t="n">
        <v>0</v>
      </c>
      <c r="N2345" s="95">
        <f>IF(H2345=1,INDEX(ar_TaxAmt,339),0)</f>
        <v/>
      </c>
      <c r="O2345" s="101">
        <f>IF(H2345=1,IF(E2345&lt;FYStart,0,IF(E2345&gt;FYEnd,13,YEAR(E2345)*12+MONTH(E2345)-FYYM+1)),"")</f>
        <v/>
      </c>
      <c r="P2345" s="101">
        <f>IF(H2345=1,IF(IFERROR(INDEX(coa_CF,MATCH(I2345,coa_Name,0)),"")="Cash",1,0),0)</f>
        <v/>
      </c>
      <c r="Q2345" s="101">
        <f>IF(H2345=1,IF(IFERROR(INDEX(coa_CF,MATCH(K2345,coa_Name,0)),"")="Cash",1,0),0)</f>
        <v/>
      </c>
      <c r="R2345" s="58">
        <f>IF((P2345-Q2345)=0,"",IFERROR(INDEX(coa_CF,MATCH(IF((P2345-Q2345)=1,K2345,I2345),coa_Name,0)),"Operating"))</f>
        <v/>
      </c>
      <c r="S2345" s="95">
        <f>IF((P2345-Q2345)=1,L2345,IF((P2345-Q2345)=-1,-J2345,0))</f>
        <v/>
      </c>
      <c r="T2345" s="95">
        <f>IF((P2345-Q2345)=1,N2345,IF((P2345-Q2345)=-1,-M2345,0))</f>
        <v/>
      </c>
      <c r="U2345" s="101">
        <f>IF(AND(H2345=1,LedAcct&lt;&gt;""),IF(AND(E2345&gt;=LedFrom,E2345&lt;=LedTo,OR(I2345=LedAcct,K2345=LedAcct,AND(LedAcct=acctTax,M2345+N2345&lt;&gt;0))),E2345*10000+B2345,""),"")</f>
        <v/>
      </c>
    </row>
    <row r="2346">
      <c r="B2346" s="101" t="n">
        <v>2340</v>
      </c>
      <c r="C2346" s="58" t="inlineStr">
        <is>
          <t>Invoice</t>
        </is>
      </c>
      <c r="D2346" s="58">
        <f>IF(H2346=1,INDEX(ar_No,340)&amp;"","")</f>
        <v/>
      </c>
      <c r="E2346" s="94">
        <f>IF(H2346=1,INDEX(ar_Date,340),"")</f>
        <v/>
      </c>
      <c r="F2346" s="58">
        <f>IF(H2346=1,INDEX(ar_Desc,340)&amp;"","")</f>
        <v/>
      </c>
      <c r="G2346" s="58">
        <f>IF(H2346=1,INDEX(ar_Party,340)&amp;"","")</f>
        <v/>
      </c>
      <c r="H2346" s="101">
        <f>IFERROR(N(INDEX(ar_Posted,340)),0)</f>
        <v/>
      </c>
      <c r="I2346" s="58">
        <f>IF(H2346=1,INDEX(ar_DrAcct,340)&amp;"","")</f>
        <v/>
      </c>
      <c r="J2346" s="95">
        <f>IF(H2346=1,INDEX(ar_DrAmt,340),0)</f>
        <v/>
      </c>
      <c r="K2346" s="58">
        <f>IF(H2346=1,INDEX(ar_CrAcct,340)&amp;"","")</f>
        <v/>
      </c>
      <c r="L2346" s="95">
        <f>IF(H2346=1,INDEX(ar_CrAmt,340),0)</f>
        <v/>
      </c>
      <c r="M2346" s="95" t="n">
        <v>0</v>
      </c>
      <c r="N2346" s="95">
        <f>IF(H2346=1,INDEX(ar_TaxAmt,340),0)</f>
        <v/>
      </c>
      <c r="O2346" s="101">
        <f>IF(H2346=1,IF(E2346&lt;FYStart,0,IF(E2346&gt;FYEnd,13,YEAR(E2346)*12+MONTH(E2346)-FYYM+1)),"")</f>
        <v/>
      </c>
      <c r="P2346" s="101">
        <f>IF(H2346=1,IF(IFERROR(INDEX(coa_CF,MATCH(I2346,coa_Name,0)),"")="Cash",1,0),0)</f>
        <v/>
      </c>
      <c r="Q2346" s="101">
        <f>IF(H2346=1,IF(IFERROR(INDEX(coa_CF,MATCH(K2346,coa_Name,0)),"")="Cash",1,0),0)</f>
        <v/>
      </c>
      <c r="R2346" s="58">
        <f>IF((P2346-Q2346)=0,"",IFERROR(INDEX(coa_CF,MATCH(IF((P2346-Q2346)=1,K2346,I2346),coa_Name,0)),"Operating"))</f>
        <v/>
      </c>
      <c r="S2346" s="95">
        <f>IF((P2346-Q2346)=1,L2346,IF((P2346-Q2346)=-1,-J2346,0))</f>
        <v/>
      </c>
      <c r="T2346" s="95">
        <f>IF((P2346-Q2346)=1,N2346,IF((P2346-Q2346)=-1,-M2346,0))</f>
        <v/>
      </c>
      <c r="U2346" s="101">
        <f>IF(AND(H2346=1,LedAcct&lt;&gt;""),IF(AND(E2346&gt;=LedFrom,E2346&lt;=LedTo,OR(I2346=LedAcct,K2346=LedAcct,AND(LedAcct=acctTax,M2346+N2346&lt;&gt;0))),E2346*10000+B2346,""),"")</f>
        <v/>
      </c>
    </row>
    <row r="2347">
      <c r="B2347" s="101" t="n">
        <v>2341</v>
      </c>
      <c r="C2347" s="58" t="inlineStr">
        <is>
          <t>Invoice</t>
        </is>
      </c>
      <c r="D2347" s="58">
        <f>IF(H2347=1,INDEX(ar_No,341)&amp;"","")</f>
        <v/>
      </c>
      <c r="E2347" s="94">
        <f>IF(H2347=1,INDEX(ar_Date,341),"")</f>
        <v/>
      </c>
      <c r="F2347" s="58">
        <f>IF(H2347=1,INDEX(ar_Desc,341)&amp;"","")</f>
        <v/>
      </c>
      <c r="G2347" s="58">
        <f>IF(H2347=1,INDEX(ar_Party,341)&amp;"","")</f>
        <v/>
      </c>
      <c r="H2347" s="101">
        <f>IFERROR(N(INDEX(ar_Posted,341)),0)</f>
        <v/>
      </c>
      <c r="I2347" s="58">
        <f>IF(H2347=1,INDEX(ar_DrAcct,341)&amp;"","")</f>
        <v/>
      </c>
      <c r="J2347" s="95">
        <f>IF(H2347=1,INDEX(ar_DrAmt,341),0)</f>
        <v/>
      </c>
      <c r="K2347" s="58">
        <f>IF(H2347=1,INDEX(ar_CrAcct,341)&amp;"","")</f>
        <v/>
      </c>
      <c r="L2347" s="95">
        <f>IF(H2347=1,INDEX(ar_CrAmt,341),0)</f>
        <v/>
      </c>
      <c r="M2347" s="95" t="n">
        <v>0</v>
      </c>
      <c r="N2347" s="95">
        <f>IF(H2347=1,INDEX(ar_TaxAmt,341),0)</f>
        <v/>
      </c>
      <c r="O2347" s="101">
        <f>IF(H2347=1,IF(E2347&lt;FYStart,0,IF(E2347&gt;FYEnd,13,YEAR(E2347)*12+MONTH(E2347)-FYYM+1)),"")</f>
        <v/>
      </c>
      <c r="P2347" s="101">
        <f>IF(H2347=1,IF(IFERROR(INDEX(coa_CF,MATCH(I2347,coa_Name,0)),"")="Cash",1,0),0)</f>
        <v/>
      </c>
      <c r="Q2347" s="101">
        <f>IF(H2347=1,IF(IFERROR(INDEX(coa_CF,MATCH(K2347,coa_Name,0)),"")="Cash",1,0),0)</f>
        <v/>
      </c>
      <c r="R2347" s="58">
        <f>IF((P2347-Q2347)=0,"",IFERROR(INDEX(coa_CF,MATCH(IF((P2347-Q2347)=1,K2347,I2347),coa_Name,0)),"Operating"))</f>
        <v/>
      </c>
      <c r="S2347" s="95">
        <f>IF((P2347-Q2347)=1,L2347,IF((P2347-Q2347)=-1,-J2347,0))</f>
        <v/>
      </c>
      <c r="T2347" s="95">
        <f>IF((P2347-Q2347)=1,N2347,IF((P2347-Q2347)=-1,-M2347,0))</f>
        <v/>
      </c>
      <c r="U2347" s="101">
        <f>IF(AND(H2347=1,LedAcct&lt;&gt;""),IF(AND(E2347&gt;=LedFrom,E2347&lt;=LedTo,OR(I2347=LedAcct,K2347=LedAcct,AND(LedAcct=acctTax,M2347+N2347&lt;&gt;0))),E2347*10000+B2347,""),"")</f>
        <v/>
      </c>
    </row>
    <row r="2348">
      <c r="B2348" s="101" t="n">
        <v>2342</v>
      </c>
      <c r="C2348" s="58" t="inlineStr">
        <is>
          <t>Invoice</t>
        </is>
      </c>
      <c r="D2348" s="58">
        <f>IF(H2348=1,INDEX(ar_No,342)&amp;"","")</f>
        <v/>
      </c>
      <c r="E2348" s="94">
        <f>IF(H2348=1,INDEX(ar_Date,342),"")</f>
        <v/>
      </c>
      <c r="F2348" s="58">
        <f>IF(H2348=1,INDEX(ar_Desc,342)&amp;"","")</f>
        <v/>
      </c>
      <c r="G2348" s="58">
        <f>IF(H2348=1,INDEX(ar_Party,342)&amp;"","")</f>
        <v/>
      </c>
      <c r="H2348" s="101">
        <f>IFERROR(N(INDEX(ar_Posted,342)),0)</f>
        <v/>
      </c>
      <c r="I2348" s="58">
        <f>IF(H2348=1,INDEX(ar_DrAcct,342)&amp;"","")</f>
        <v/>
      </c>
      <c r="J2348" s="95">
        <f>IF(H2348=1,INDEX(ar_DrAmt,342),0)</f>
        <v/>
      </c>
      <c r="K2348" s="58">
        <f>IF(H2348=1,INDEX(ar_CrAcct,342)&amp;"","")</f>
        <v/>
      </c>
      <c r="L2348" s="95">
        <f>IF(H2348=1,INDEX(ar_CrAmt,342),0)</f>
        <v/>
      </c>
      <c r="M2348" s="95" t="n">
        <v>0</v>
      </c>
      <c r="N2348" s="95">
        <f>IF(H2348=1,INDEX(ar_TaxAmt,342),0)</f>
        <v/>
      </c>
      <c r="O2348" s="101">
        <f>IF(H2348=1,IF(E2348&lt;FYStart,0,IF(E2348&gt;FYEnd,13,YEAR(E2348)*12+MONTH(E2348)-FYYM+1)),"")</f>
        <v/>
      </c>
      <c r="P2348" s="101">
        <f>IF(H2348=1,IF(IFERROR(INDEX(coa_CF,MATCH(I2348,coa_Name,0)),"")="Cash",1,0),0)</f>
        <v/>
      </c>
      <c r="Q2348" s="101">
        <f>IF(H2348=1,IF(IFERROR(INDEX(coa_CF,MATCH(K2348,coa_Name,0)),"")="Cash",1,0),0)</f>
        <v/>
      </c>
      <c r="R2348" s="58">
        <f>IF((P2348-Q2348)=0,"",IFERROR(INDEX(coa_CF,MATCH(IF((P2348-Q2348)=1,K2348,I2348),coa_Name,0)),"Operating"))</f>
        <v/>
      </c>
      <c r="S2348" s="95">
        <f>IF((P2348-Q2348)=1,L2348,IF((P2348-Q2348)=-1,-J2348,0))</f>
        <v/>
      </c>
      <c r="T2348" s="95">
        <f>IF((P2348-Q2348)=1,N2348,IF((P2348-Q2348)=-1,-M2348,0))</f>
        <v/>
      </c>
      <c r="U2348" s="101">
        <f>IF(AND(H2348=1,LedAcct&lt;&gt;""),IF(AND(E2348&gt;=LedFrom,E2348&lt;=LedTo,OR(I2348=LedAcct,K2348=LedAcct,AND(LedAcct=acctTax,M2348+N2348&lt;&gt;0))),E2348*10000+B2348,""),"")</f>
        <v/>
      </c>
    </row>
    <row r="2349">
      <c r="B2349" s="101" t="n">
        <v>2343</v>
      </c>
      <c r="C2349" s="58" t="inlineStr">
        <is>
          <t>Invoice</t>
        </is>
      </c>
      <c r="D2349" s="58">
        <f>IF(H2349=1,INDEX(ar_No,343)&amp;"","")</f>
        <v/>
      </c>
      <c r="E2349" s="94">
        <f>IF(H2349=1,INDEX(ar_Date,343),"")</f>
        <v/>
      </c>
      <c r="F2349" s="58">
        <f>IF(H2349=1,INDEX(ar_Desc,343)&amp;"","")</f>
        <v/>
      </c>
      <c r="G2349" s="58">
        <f>IF(H2349=1,INDEX(ar_Party,343)&amp;"","")</f>
        <v/>
      </c>
      <c r="H2349" s="101">
        <f>IFERROR(N(INDEX(ar_Posted,343)),0)</f>
        <v/>
      </c>
      <c r="I2349" s="58">
        <f>IF(H2349=1,INDEX(ar_DrAcct,343)&amp;"","")</f>
        <v/>
      </c>
      <c r="J2349" s="95">
        <f>IF(H2349=1,INDEX(ar_DrAmt,343),0)</f>
        <v/>
      </c>
      <c r="K2349" s="58">
        <f>IF(H2349=1,INDEX(ar_CrAcct,343)&amp;"","")</f>
        <v/>
      </c>
      <c r="L2349" s="95">
        <f>IF(H2349=1,INDEX(ar_CrAmt,343),0)</f>
        <v/>
      </c>
      <c r="M2349" s="95" t="n">
        <v>0</v>
      </c>
      <c r="N2349" s="95">
        <f>IF(H2349=1,INDEX(ar_TaxAmt,343),0)</f>
        <v/>
      </c>
      <c r="O2349" s="101">
        <f>IF(H2349=1,IF(E2349&lt;FYStart,0,IF(E2349&gt;FYEnd,13,YEAR(E2349)*12+MONTH(E2349)-FYYM+1)),"")</f>
        <v/>
      </c>
      <c r="P2349" s="101">
        <f>IF(H2349=1,IF(IFERROR(INDEX(coa_CF,MATCH(I2349,coa_Name,0)),"")="Cash",1,0),0)</f>
        <v/>
      </c>
      <c r="Q2349" s="101">
        <f>IF(H2349=1,IF(IFERROR(INDEX(coa_CF,MATCH(K2349,coa_Name,0)),"")="Cash",1,0),0)</f>
        <v/>
      </c>
      <c r="R2349" s="58">
        <f>IF((P2349-Q2349)=0,"",IFERROR(INDEX(coa_CF,MATCH(IF((P2349-Q2349)=1,K2349,I2349),coa_Name,0)),"Operating"))</f>
        <v/>
      </c>
      <c r="S2349" s="95">
        <f>IF((P2349-Q2349)=1,L2349,IF((P2349-Q2349)=-1,-J2349,0))</f>
        <v/>
      </c>
      <c r="T2349" s="95">
        <f>IF((P2349-Q2349)=1,N2349,IF((P2349-Q2349)=-1,-M2349,0))</f>
        <v/>
      </c>
      <c r="U2349" s="101">
        <f>IF(AND(H2349=1,LedAcct&lt;&gt;""),IF(AND(E2349&gt;=LedFrom,E2349&lt;=LedTo,OR(I2349=LedAcct,K2349=LedAcct,AND(LedAcct=acctTax,M2349+N2349&lt;&gt;0))),E2349*10000+B2349,""),"")</f>
        <v/>
      </c>
    </row>
    <row r="2350">
      <c r="B2350" s="101" t="n">
        <v>2344</v>
      </c>
      <c r="C2350" s="58" t="inlineStr">
        <is>
          <t>Invoice</t>
        </is>
      </c>
      <c r="D2350" s="58">
        <f>IF(H2350=1,INDEX(ar_No,344)&amp;"","")</f>
        <v/>
      </c>
      <c r="E2350" s="94">
        <f>IF(H2350=1,INDEX(ar_Date,344),"")</f>
        <v/>
      </c>
      <c r="F2350" s="58">
        <f>IF(H2350=1,INDEX(ar_Desc,344)&amp;"","")</f>
        <v/>
      </c>
      <c r="G2350" s="58">
        <f>IF(H2350=1,INDEX(ar_Party,344)&amp;"","")</f>
        <v/>
      </c>
      <c r="H2350" s="101">
        <f>IFERROR(N(INDEX(ar_Posted,344)),0)</f>
        <v/>
      </c>
      <c r="I2350" s="58">
        <f>IF(H2350=1,INDEX(ar_DrAcct,344)&amp;"","")</f>
        <v/>
      </c>
      <c r="J2350" s="95">
        <f>IF(H2350=1,INDEX(ar_DrAmt,344),0)</f>
        <v/>
      </c>
      <c r="K2350" s="58">
        <f>IF(H2350=1,INDEX(ar_CrAcct,344)&amp;"","")</f>
        <v/>
      </c>
      <c r="L2350" s="95">
        <f>IF(H2350=1,INDEX(ar_CrAmt,344),0)</f>
        <v/>
      </c>
      <c r="M2350" s="95" t="n">
        <v>0</v>
      </c>
      <c r="N2350" s="95">
        <f>IF(H2350=1,INDEX(ar_TaxAmt,344),0)</f>
        <v/>
      </c>
      <c r="O2350" s="101">
        <f>IF(H2350=1,IF(E2350&lt;FYStart,0,IF(E2350&gt;FYEnd,13,YEAR(E2350)*12+MONTH(E2350)-FYYM+1)),"")</f>
        <v/>
      </c>
      <c r="P2350" s="101">
        <f>IF(H2350=1,IF(IFERROR(INDEX(coa_CF,MATCH(I2350,coa_Name,0)),"")="Cash",1,0),0)</f>
        <v/>
      </c>
      <c r="Q2350" s="101">
        <f>IF(H2350=1,IF(IFERROR(INDEX(coa_CF,MATCH(K2350,coa_Name,0)),"")="Cash",1,0),0)</f>
        <v/>
      </c>
      <c r="R2350" s="58">
        <f>IF((P2350-Q2350)=0,"",IFERROR(INDEX(coa_CF,MATCH(IF((P2350-Q2350)=1,K2350,I2350),coa_Name,0)),"Operating"))</f>
        <v/>
      </c>
      <c r="S2350" s="95">
        <f>IF((P2350-Q2350)=1,L2350,IF((P2350-Q2350)=-1,-J2350,0))</f>
        <v/>
      </c>
      <c r="T2350" s="95">
        <f>IF((P2350-Q2350)=1,N2350,IF((P2350-Q2350)=-1,-M2350,0))</f>
        <v/>
      </c>
      <c r="U2350" s="101">
        <f>IF(AND(H2350=1,LedAcct&lt;&gt;""),IF(AND(E2350&gt;=LedFrom,E2350&lt;=LedTo,OR(I2350=LedAcct,K2350=LedAcct,AND(LedAcct=acctTax,M2350+N2350&lt;&gt;0))),E2350*10000+B2350,""),"")</f>
        <v/>
      </c>
    </row>
    <row r="2351">
      <c r="B2351" s="101" t="n">
        <v>2345</v>
      </c>
      <c r="C2351" s="58" t="inlineStr">
        <is>
          <t>Invoice</t>
        </is>
      </c>
      <c r="D2351" s="58">
        <f>IF(H2351=1,INDEX(ar_No,345)&amp;"","")</f>
        <v/>
      </c>
      <c r="E2351" s="94">
        <f>IF(H2351=1,INDEX(ar_Date,345),"")</f>
        <v/>
      </c>
      <c r="F2351" s="58">
        <f>IF(H2351=1,INDEX(ar_Desc,345)&amp;"","")</f>
        <v/>
      </c>
      <c r="G2351" s="58">
        <f>IF(H2351=1,INDEX(ar_Party,345)&amp;"","")</f>
        <v/>
      </c>
      <c r="H2351" s="101">
        <f>IFERROR(N(INDEX(ar_Posted,345)),0)</f>
        <v/>
      </c>
      <c r="I2351" s="58">
        <f>IF(H2351=1,INDEX(ar_DrAcct,345)&amp;"","")</f>
        <v/>
      </c>
      <c r="J2351" s="95">
        <f>IF(H2351=1,INDEX(ar_DrAmt,345),0)</f>
        <v/>
      </c>
      <c r="K2351" s="58">
        <f>IF(H2351=1,INDEX(ar_CrAcct,345)&amp;"","")</f>
        <v/>
      </c>
      <c r="L2351" s="95">
        <f>IF(H2351=1,INDEX(ar_CrAmt,345),0)</f>
        <v/>
      </c>
      <c r="M2351" s="95" t="n">
        <v>0</v>
      </c>
      <c r="N2351" s="95">
        <f>IF(H2351=1,INDEX(ar_TaxAmt,345),0)</f>
        <v/>
      </c>
      <c r="O2351" s="101">
        <f>IF(H2351=1,IF(E2351&lt;FYStart,0,IF(E2351&gt;FYEnd,13,YEAR(E2351)*12+MONTH(E2351)-FYYM+1)),"")</f>
        <v/>
      </c>
      <c r="P2351" s="101">
        <f>IF(H2351=1,IF(IFERROR(INDEX(coa_CF,MATCH(I2351,coa_Name,0)),"")="Cash",1,0),0)</f>
        <v/>
      </c>
      <c r="Q2351" s="101">
        <f>IF(H2351=1,IF(IFERROR(INDEX(coa_CF,MATCH(K2351,coa_Name,0)),"")="Cash",1,0),0)</f>
        <v/>
      </c>
      <c r="R2351" s="58">
        <f>IF((P2351-Q2351)=0,"",IFERROR(INDEX(coa_CF,MATCH(IF((P2351-Q2351)=1,K2351,I2351),coa_Name,0)),"Operating"))</f>
        <v/>
      </c>
      <c r="S2351" s="95">
        <f>IF((P2351-Q2351)=1,L2351,IF((P2351-Q2351)=-1,-J2351,0))</f>
        <v/>
      </c>
      <c r="T2351" s="95">
        <f>IF((P2351-Q2351)=1,N2351,IF((P2351-Q2351)=-1,-M2351,0))</f>
        <v/>
      </c>
      <c r="U2351" s="101">
        <f>IF(AND(H2351=1,LedAcct&lt;&gt;""),IF(AND(E2351&gt;=LedFrom,E2351&lt;=LedTo,OR(I2351=LedAcct,K2351=LedAcct,AND(LedAcct=acctTax,M2351+N2351&lt;&gt;0))),E2351*10000+B2351,""),"")</f>
        <v/>
      </c>
    </row>
    <row r="2352">
      <c r="B2352" s="101" t="n">
        <v>2346</v>
      </c>
      <c r="C2352" s="58" t="inlineStr">
        <is>
          <t>Invoice</t>
        </is>
      </c>
      <c r="D2352" s="58">
        <f>IF(H2352=1,INDEX(ar_No,346)&amp;"","")</f>
        <v/>
      </c>
      <c r="E2352" s="94">
        <f>IF(H2352=1,INDEX(ar_Date,346),"")</f>
        <v/>
      </c>
      <c r="F2352" s="58">
        <f>IF(H2352=1,INDEX(ar_Desc,346)&amp;"","")</f>
        <v/>
      </c>
      <c r="G2352" s="58">
        <f>IF(H2352=1,INDEX(ar_Party,346)&amp;"","")</f>
        <v/>
      </c>
      <c r="H2352" s="101">
        <f>IFERROR(N(INDEX(ar_Posted,346)),0)</f>
        <v/>
      </c>
      <c r="I2352" s="58">
        <f>IF(H2352=1,INDEX(ar_DrAcct,346)&amp;"","")</f>
        <v/>
      </c>
      <c r="J2352" s="95">
        <f>IF(H2352=1,INDEX(ar_DrAmt,346),0)</f>
        <v/>
      </c>
      <c r="K2352" s="58">
        <f>IF(H2352=1,INDEX(ar_CrAcct,346)&amp;"","")</f>
        <v/>
      </c>
      <c r="L2352" s="95">
        <f>IF(H2352=1,INDEX(ar_CrAmt,346),0)</f>
        <v/>
      </c>
      <c r="M2352" s="95" t="n">
        <v>0</v>
      </c>
      <c r="N2352" s="95">
        <f>IF(H2352=1,INDEX(ar_TaxAmt,346),0)</f>
        <v/>
      </c>
      <c r="O2352" s="101">
        <f>IF(H2352=1,IF(E2352&lt;FYStart,0,IF(E2352&gt;FYEnd,13,YEAR(E2352)*12+MONTH(E2352)-FYYM+1)),"")</f>
        <v/>
      </c>
      <c r="P2352" s="101">
        <f>IF(H2352=1,IF(IFERROR(INDEX(coa_CF,MATCH(I2352,coa_Name,0)),"")="Cash",1,0),0)</f>
        <v/>
      </c>
      <c r="Q2352" s="101">
        <f>IF(H2352=1,IF(IFERROR(INDEX(coa_CF,MATCH(K2352,coa_Name,0)),"")="Cash",1,0),0)</f>
        <v/>
      </c>
      <c r="R2352" s="58">
        <f>IF((P2352-Q2352)=0,"",IFERROR(INDEX(coa_CF,MATCH(IF((P2352-Q2352)=1,K2352,I2352),coa_Name,0)),"Operating"))</f>
        <v/>
      </c>
      <c r="S2352" s="95">
        <f>IF((P2352-Q2352)=1,L2352,IF((P2352-Q2352)=-1,-J2352,0))</f>
        <v/>
      </c>
      <c r="T2352" s="95">
        <f>IF((P2352-Q2352)=1,N2352,IF((P2352-Q2352)=-1,-M2352,0))</f>
        <v/>
      </c>
      <c r="U2352" s="101">
        <f>IF(AND(H2352=1,LedAcct&lt;&gt;""),IF(AND(E2352&gt;=LedFrom,E2352&lt;=LedTo,OR(I2352=LedAcct,K2352=LedAcct,AND(LedAcct=acctTax,M2352+N2352&lt;&gt;0))),E2352*10000+B2352,""),"")</f>
        <v/>
      </c>
    </row>
    <row r="2353">
      <c r="B2353" s="101" t="n">
        <v>2347</v>
      </c>
      <c r="C2353" s="58" t="inlineStr">
        <is>
          <t>Invoice</t>
        </is>
      </c>
      <c r="D2353" s="58">
        <f>IF(H2353=1,INDEX(ar_No,347)&amp;"","")</f>
        <v/>
      </c>
      <c r="E2353" s="94">
        <f>IF(H2353=1,INDEX(ar_Date,347),"")</f>
        <v/>
      </c>
      <c r="F2353" s="58">
        <f>IF(H2353=1,INDEX(ar_Desc,347)&amp;"","")</f>
        <v/>
      </c>
      <c r="G2353" s="58">
        <f>IF(H2353=1,INDEX(ar_Party,347)&amp;"","")</f>
        <v/>
      </c>
      <c r="H2353" s="101">
        <f>IFERROR(N(INDEX(ar_Posted,347)),0)</f>
        <v/>
      </c>
      <c r="I2353" s="58">
        <f>IF(H2353=1,INDEX(ar_DrAcct,347)&amp;"","")</f>
        <v/>
      </c>
      <c r="J2353" s="95">
        <f>IF(H2353=1,INDEX(ar_DrAmt,347),0)</f>
        <v/>
      </c>
      <c r="K2353" s="58">
        <f>IF(H2353=1,INDEX(ar_CrAcct,347)&amp;"","")</f>
        <v/>
      </c>
      <c r="L2353" s="95">
        <f>IF(H2353=1,INDEX(ar_CrAmt,347),0)</f>
        <v/>
      </c>
      <c r="M2353" s="95" t="n">
        <v>0</v>
      </c>
      <c r="N2353" s="95">
        <f>IF(H2353=1,INDEX(ar_TaxAmt,347),0)</f>
        <v/>
      </c>
      <c r="O2353" s="101">
        <f>IF(H2353=1,IF(E2353&lt;FYStart,0,IF(E2353&gt;FYEnd,13,YEAR(E2353)*12+MONTH(E2353)-FYYM+1)),"")</f>
        <v/>
      </c>
      <c r="P2353" s="101">
        <f>IF(H2353=1,IF(IFERROR(INDEX(coa_CF,MATCH(I2353,coa_Name,0)),"")="Cash",1,0),0)</f>
        <v/>
      </c>
      <c r="Q2353" s="101">
        <f>IF(H2353=1,IF(IFERROR(INDEX(coa_CF,MATCH(K2353,coa_Name,0)),"")="Cash",1,0),0)</f>
        <v/>
      </c>
      <c r="R2353" s="58">
        <f>IF((P2353-Q2353)=0,"",IFERROR(INDEX(coa_CF,MATCH(IF((P2353-Q2353)=1,K2353,I2353),coa_Name,0)),"Operating"))</f>
        <v/>
      </c>
      <c r="S2353" s="95">
        <f>IF((P2353-Q2353)=1,L2353,IF((P2353-Q2353)=-1,-J2353,0))</f>
        <v/>
      </c>
      <c r="T2353" s="95">
        <f>IF((P2353-Q2353)=1,N2353,IF((P2353-Q2353)=-1,-M2353,0))</f>
        <v/>
      </c>
      <c r="U2353" s="101">
        <f>IF(AND(H2353=1,LedAcct&lt;&gt;""),IF(AND(E2353&gt;=LedFrom,E2353&lt;=LedTo,OR(I2353=LedAcct,K2353=LedAcct,AND(LedAcct=acctTax,M2353+N2353&lt;&gt;0))),E2353*10000+B2353,""),"")</f>
        <v/>
      </c>
    </row>
    <row r="2354">
      <c r="B2354" s="101" t="n">
        <v>2348</v>
      </c>
      <c r="C2354" s="58" t="inlineStr">
        <is>
          <t>Invoice</t>
        </is>
      </c>
      <c r="D2354" s="58">
        <f>IF(H2354=1,INDEX(ar_No,348)&amp;"","")</f>
        <v/>
      </c>
      <c r="E2354" s="94">
        <f>IF(H2354=1,INDEX(ar_Date,348),"")</f>
        <v/>
      </c>
      <c r="F2354" s="58">
        <f>IF(H2354=1,INDEX(ar_Desc,348)&amp;"","")</f>
        <v/>
      </c>
      <c r="G2354" s="58">
        <f>IF(H2354=1,INDEX(ar_Party,348)&amp;"","")</f>
        <v/>
      </c>
      <c r="H2354" s="101">
        <f>IFERROR(N(INDEX(ar_Posted,348)),0)</f>
        <v/>
      </c>
      <c r="I2354" s="58">
        <f>IF(H2354=1,INDEX(ar_DrAcct,348)&amp;"","")</f>
        <v/>
      </c>
      <c r="J2354" s="95">
        <f>IF(H2354=1,INDEX(ar_DrAmt,348),0)</f>
        <v/>
      </c>
      <c r="K2354" s="58">
        <f>IF(H2354=1,INDEX(ar_CrAcct,348)&amp;"","")</f>
        <v/>
      </c>
      <c r="L2354" s="95">
        <f>IF(H2354=1,INDEX(ar_CrAmt,348),0)</f>
        <v/>
      </c>
      <c r="M2354" s="95" t="n">
        <v>0</v>
      </c>
      <c r="N2354" s="95">
        <f>IF(H2354=1,INDEX(ar_TaxAmt,348),0)</f>
        <v/>
      </c>
      <c r="O2354" s="101">
        <f>IF(H2354=1,IF(E2354&lt;FYStart,0,IF(E2354&gt;FYEnd,13,YEAR(E2354)*12+MONTH(E2354)-FYYM+1)),"")</f>
        <v/>
      </c>
      <c r="P2354" s="101">
        <f>IF(H2354=1,IF(IFERROR(INDEX(coa_CF,MATCH(I2354,coa_Name,0)),"")="Cash",1,0),0)</f>
        <v/>
      </c>
      <c r="Q2354" s="101">
        <f>IF(H2354=1,IF(IFERROR(INDEX(coa_CF,MATCH(K2354,coa_Name,0)),"")="Cash",1,0),0)</f>
        <v/>
      </c>
      <c r="R2354" s="58">
        <f>IF((P2354-Q2354)=0,"",IFERROR(INDEX(coa_CF,MATCH(IF((P2354-Q2354)=1,K2354,I2354),coa_Name,0)),"Operating"))</f>
        <v/>
      </c>
      <c r="S2354" s="95">
        <f>IF((P2354-Q2354)=1,L2354,IF((P2354-Q2354)=-1,-J2354,0))</f>
        <v/>
      </c>
      <c r="T2354" s="95">
        <f>IF((P2354-Q2354)=1,N2354,IF((P2354-Q2354)=-1,-M2354,0))</f>
        <v/>
      </c>
      <c r="U2354" s="101">
        <f>IF(AND(H2354=1,LedAcct&lt;&gt;""),IF(AND(E2354&gt;=LedFrom,E2354&lt;=LedTo,OR(I2354=LedAcct,K2354=LedAcct,AND(LedAcct=acctTax,M2354+N2354&lt;&gt;0))),E2354*10000+B2354,""),"")</f>
        <v/>
      </c>
    </row>
    <row r="2355">
      <c r="B2355" s="101" t="n">
        <v>2349</v>
      </c>
      <c r="C2355" s="58" t="inlineStr">
        <is>
          <t>Invoice</t>
        </is>
      </c>
      <c r="D2355" s="58">
        <f>IF(H2355=1,INDEX(ar_No,349)&amp;"","")</f>
        <v/>
      </c>
      <c r="E2355" s="94">
        <f>IF(H2355=1,INDEX(ar_Date,349),"")</f>
        <v/>
      </c>
      <c r="F2355" s="58">
        <f>IF(H2355=1,INDEX(ar_Desc,349)&amp;"","")</f>
        <v/>
      </c>
      <c r="G2355" s="58">
        <f>IF(H2355=1,INDEX(ar_Party,349)&amp;"","")</f>
        <v/>
      </c>
      <c r="H2355" s="101">
        <f>IFERROR(N(INDEX(ar_Posted,349)),0)</f>
        <v/>
      </c>
      <c r="I2355" s="58">
        <f>IF(H2355=1,INDEX(ar_DrAcct,349)&amp;"","")</f>
        <v/>
      </c>
      <c r="J2355" s="95">
        <f>IF(H2355=1,INDEX(ar_DrAmt,349),0)</f>
        <v/>
      </c>
      <c r="K2355" s="58">
        <f>IF(H2355=1,INDEX(ar_CrAcct,349)&amp;"","")</f>
        <v/>
      </c>
      <c r="L2355" s="95">
        <f>IF(H2355=1,INDEX(ar_CrAmt,349),0)</f>
        <v/>
      </c>
      <c r="M2355" s="95" t="n">
        <v>0</v>
      </c>
      <c r="N2355" s="95">
        <f>IF(H2355=1,INDEX(ar_TaxAmt,349),0)</f>
        <v/>
      </c>
      <c r="O2355" s="101">
        <f>IF(H2355=1,IF(E2355&lt;FYStart,0,IF(E2355&gt;FYEnd,13,YEAR(E2355)*12+MONTH(E2355)-FYYM+1)),"")</f>
        <v/>
      </c>
      <c r="P2355" s="101">
        <f>IF(H2355=1,IF(IFERROR(INDEX(coa_CF,MATCH(I2355,coa_Name,0)),"")="Cash",1,0),0)</f>
        <v/>
      </c>
      <c r="Q2355" s="101">
        <f>IF(H2355=1,IF(IFERROR(INDEX(coa_CF,MATCH(K2355,coa_Name,0)),"")="Cash",1,0),0)</f>
        <v/>
      </c>
      <c r="R2355" s="58">
        <f>IF((P2355-Q2355)=0,"",IFERROR(INDEX(coa_CF,MATCH(IF((P2355-Q2355)=1,K2355,I2355),coa_Name,0)),"Operating"))</f>
        <v/>
      </c>
      <c r="S2355" s="95">
        <f>IF((P2355-Q2355)=1,L2355,IF((P2355-Q2355)=-1,-J2355,0))</f>
        <v/>
      </c>
      <c r="T2355" s="95">
        <f>IF((P2355-Q2355)=1,N2355,IF((P2355-Q2355)=-1,-M2355,0))</f>
        <v/>
      </c>
      <c r="U2355" s="101">
        <f>IF(AND(H2355=1,LedAcct&lt;&gt;""),IF(AND(E2355&gt;=LedFrom,E2355&lt;=LedTo,OR(I2355=LedAcct,K2355=LedAcct,AND(LedAcct=acctTax,M2355+N2355&lt;&gt;0))),E2355*10000+B2355,""),"")</f>
        <v/>
      </c>
    </row>
    <row r="2356">
      <c r="B2356" s="101" t="n">
        <v>2350</v>
      </c>
      <c r="C2356" s="58" t="inlineStr">
        <is>
          <t>Invoice</t>
        </is>
      </c>
      <c r="D2356" s="58">
        <f>IF(H2356=1,INDEX(ar_No,350)&amp;"","")</f>
        <v/>
      </c>
      <c r="E2356" s="94">
        <f>IF(H2356=1,INDEX(ar_Date,350),"")</f>
        <v/>
      </c>
      <c r="F2356" s="58">
        <f>IF(H2356=1,INDEX(ar_Desc,350)&amp;"","")</f>
        <v/>
      </c>
      <c r="G2356" s="58">
        <f>IF(H2356=1,INDEX(ar_Party,350)&amp;"","")</f>
        <v/>
      </c>
      <c r="H2356" s="101">
        <f>IFERROR(N(INDEX(ar_Posted,350)),0)</f>
        <v/>
      </c>
      <c r="I2356" s="58">
        <f>IF(H2356=1,INDEX(ar_DrAcct,350)&amp;"","")</f>
        <v/>
      </c>
      <c r="J2356" s="95">
        <f>IF(H2356=1,INDEX(ar_DrAmt,350),0)</f>
        <v/>
      </c>
      <c r="K2356" s="58">
        <f>IF(H2356=1,INDEX(ar_CrAcct,350)&amp;"","")</f>
        <v/>
      </c>
      <c r="L2356" s="95">
        <f>IF(H2356=1,INDEX(ar_CrAmt,350),0)</f>
        <v/>
      </c>
      <c r="M2356" s="95" t="n">
        <v>0</v>
      </c>
      <c r="N2356" s="95">
        <f>IF(H2356=1,INDEX(ar_TaxAmt,350),0)</f>
        <v/>
      </c>
      <c r="O2356" s="101">
        <f>IF(H2356=1,IF(E2356&lt;FYStart,0,IF(E2356&gt;FYEnd,13,YEAR(E2356)*12+MONTH(E2356)-FYYM+1)),"")</f>
        <v/>
      </c>
      <c r="P2356" s="101">
        <f>IF(H2356=1,IF(IFERROR(INDEX(coa_CF,MATCH(I2356,coa_Name,0)),"")="Cash",1,0),0)</f>
        <v/>
      </c>
      <c r="Q2356" s="101">
        <f>IF(H2356=1,IF(IFERROR(INDEX(coa_CF,MATCH(K2356,coa_Name,0)),"")="Cash",1,0),0)</f>
        <v/>
      </c>
      <c r="R2356" s="58">
        <f>IF((P2356-Q2356)=0,"",IFERROR(INDEX(coa_CF,MATCH(IF((P2356-Q2356)=1,K2356,I2356),coa_Name,0)),"Operating"))</f>
        <v/>
      </c>
      <c r="S2356" s="95">
        <f>IF((P2356-Q2356)=1,L2356,IF((P2356-Q2356)=-1,-J2356,0))</f>
        <v/>
      </c>
      <c r="T2356" s="95">
        <f>IF((P2356-Q2356)=1,N2356,IF((P2356-Q2356)=-1,-M2356,0))</f>
        <v/>
      </c>
      <c r="U2356" s="101">
        <f>IF(AND(H2356=1,LedAcct&lt;&gt;""),IF(AND(E2356&gt;=LedFrom,E2356&lt;=LedTo,OR(I2356=LedAcct,K2356=LedAcct,AND(LedAcct=acctTax,M2356+N2356&lt;&gt;0))),E2356*10000+B2356,""),"")</f>
        <v/>
      </c>
    </row>
    <row r="2357">
      <c r="B2357" s="101" t="n">
        <v>2351</v>
      </c>
      <c r="C2357" s="58" t="inlineStr">
        <is>
          <t>Invoice</t>
        </is>
      </c>
      <c r="D2357" s="58">
        <f>IF(H2357=1,INDEX(ar_No,351)&amp;"","")</f>
        <v/>
      </c>
      <c r="E2357" s="94">
        <f>IF(H2357=1,INDEX(ar_Date,351),"")</f>
        <v/>
      </c>
      <c r="F2357" s="58">
        <f>IF(H2357=1,INDEX(ar_Desc,351)&amp;"","")</f>
        <v/>
      </c>
      <c r="G2357" s="58">
        <f>IF(H2357=1,INDEX(ar_Party,351)&amp;"","")</f>
        <v/>
      </c>
      <c r="H2357" s="101">
        <f>IFERROR(N(INDEX(ar_Posted,351)),0)</f>
        <v/>
      </c>
      <c r="I2357" s="58">
        <f>IF(H2357=1,INDEX(ar_DrAcct,351)&amp;"","")</f>
        <v/>
      </c>
      <c r="J2357" s="95">
        <f>IF(H2357=1,INDEX(ar_DrAmt,351),0)</f>
        <v/>
      </c>
      <c r="K2357" s="58">
        <f>IF(H2357=1,INDEX(ar_CrAcct,351)&amp;"","")</f>
        <v/>
      </c>
      <c r="L2357" s="95">
        <f>IF(H2357=1,INDEX(ar_CrAmt,351),0)</f>
        <v/>
      </c>
      <c r="M2357" s="95" t="n">
        <v>0</v>
      </c>
      <c r="N2357" s="95">
        <f>IF(H2357=1,INDEX(ar_TaxAmt,351),0)</f>
        <v/>
      </c>
      <c r="O2357" s="101">
        <f>IF(H2357=1,IF(E2357&lt;FYStart,0,IF(E2357&gt;FYEnd,13,YEAR(E2357)*12+MONTH(E2357)-FYYM+1)),"")</f>
        <v/>
      </c>
      <c r="P2357" s="101">
        <f>IF(H2357=1,IF(IFERROR(INDEX(coa_CF,MATCH(I2357,coa_Name,0)),"")="Cash",1,0),0)</f>
        <v/>
      </c>
      <c r="Q2357" s="101">
        <f>IF(H2357=1,IF(IFERROR(INDEX(coa_CF,MATCH(K2357,coa_Name,0)),"")="Cash",1,0),0)</f>
        <v/>
      </c>
      <c r="R2357" s="58">
        <f>IF((P2357-Q2357)=0,"",IFERROR(INDEX(coa_CF,MATCH(IF((P2357-Q2357)=1,K2357,I2357),coa_Name,0)),"Operating"))</f>
        <v/>
      </c>
      <c r="S2357" s="95">
        <f>IF((P2357-Q2357)=1,L2357,IF((P2357-Q2357)=-1,-J2357,0))</f>
        <v/>
      </c>
      <c r="T2357" s="95">
        <f>IF((P2357-Q2357)=1,N2357,IF((P2357-Q2357)=-1,-M2357,0))</f>
        <v/>
      </c>
      <c r="U2357" s="101">
        <f>IF(AND(H2357=1,LedAcct&lt;&gt;""),IF(AND(E2357&gt;=LedFrom,E2357&lt;=LedTo,OR(I2357=LedAcct,K2357=LedAcct,AND(LedAcct=acctTax,M2357+N2357&lt;&gt;0))),E2357*10000+B2357,""),"")</f>
        <v/>
      </c>
    </row>
    <row r="2358">
      <c r="B2358" s="101" t="n">
        <v>2352</v>
      </c>
      <c r="C2358" s="58" t="inlineStr">
        <is>
          <t>Invoice</t>
        </is>
      </c>
      <c r="D2358" s="58">
        <f>IF(H2358=1,INDEX(ar_No,352)&amp;"","")</f>
        <v/>
      </c>
      <c r="E2358" s="94">
        <f>IF(H2358=1,INDEX(ar_Date,352),"")</f>
        <v/>
      </c>
      <c r="F2358" s="58">
        <f>IF(H2358=1,INDEX(ar_Desc,352)&amp;"","")</f>
        <v/>
      </c>
      <c r="G2358" s="58">
        <f>IF(H2358=1,INDEX(ar_Party,352)&amp;"","")</f>
        <v/>
      </c>
      <c r="H2358" s="101">
        <f>IFERROR(N(INDEX(ar_Posted,352)),0)</f>
        <v/>
      </c>
      <c r="I2358" s="58">
        <f>IF(H2358=1,INDEX(ar_DrAcct,352)&amp;"","")</f>
        <v/>
      </c>
      <c r="J2358" s="95">
        <f>IF(H2358=1,INDEX(ar_DrAmt,352),0)</f>
        <v/>
      </c>
      <c r="K2358" s="58">
        <f>IF(H2358=1,INDEX(ar_CrAcct,352)&amp;"","")</f>
        <v/>
      </c>
      <c r="L2358" s="95">
        <f>IF(H2358=1,INDEX(ar_CrAmt,352),0)</f>
        <v/>
      </c>
      <c r="M2358" s="95" t="n">
        <v>0</v>
      </c>
      <c r="N2358" s="95">
        <f>IF(H2358=1,INDEX(ar_TaxAmt,352),0)</f>
        <v/>
      </c>
      <c r="O2358" s="101">
        <f>IF(H2358=1,IF(E2358&lt;FYStart,0,IF(E2358&gt;FYEnd,13,YEAR(E2358)*12+MONTH(E2358)-FYYM+1)),"")</f>
        <v/>
      </c>
      <c r="P2358" s="101">
        <f>IF(H2358=1,IF(IFERROR(INDEX(coa_CF,MATCH(I2358,coa_Name,0)),"")="Cash",1,0),0)</f>
        <v/>
      </c>
      <c r="Q2358" s="101">
        <f>IF(H2358=1,IF(IFERROR(INDEX(coa_CF,MATCH(K2358,coa_Name,0)),"")="Cash",1,0),0)</f>
        <v/>
      </c>
      <c r="R2358" s="58">
        <f>IF((P2358-Q2358)=0,"",IFERROR(INDEX(coa_CF,MATCH(IF((P2358-Q2358)=1,K2358,I2358),coa_Name,0)),"Operating"))</f>
        <v/>
      </c>
      <c r="S2358" s="95">
        <f>IF((P2358-Q2358)=1,L2358,IF((P2358-Q2358)=-1,-J2358,0))</f>
        <v/>
      </c>
      <c r="T2358" s="95">
        <f>IF((P2358-Q2358)=1,N2358,IF((P2358-Q2358)=-1,-M2358,0))</f>
        <v/>
      </c>
      <c r="U2358" s="101">
        <f>IF(AND(H2358=1,LedAcct&lt;&gt;""),IF(AND(E2358&gt;=LedFrom,E2358&lt;=LedTo,OR(I2358=LedAcct,K2358=LedAcct,AND(LedAcct=acctTax,M2358+N2358&lt;&gt;0))),E2358*10000+B2358,""),"")</f>
        <v/>
      </c>
    </row>
    <row r="2359">
      <c r="B2359" s="101" t="n">
        <v>2353</v>
      </c>
      <c r="C2359" s="58" t="inlineStr">
        <is>
          <t>Invoice</t>
        </is>
      </c>
      <c r="D2359" s="58">
        <f>IF(H2359=1,INDEX(ar_No,353)&amp;"","")</f>
        <v/>
      </c>
      <c r="E2359" s="94">
        <f>IF(H2359=1,INDEX(ar_Date,353),"")</f>
        <v/>
      </c>
      <c r="F2359" s="58">
        <f>IF(H2359=1,INDEX(ar_Desc,353)&amp;"","")</f>
        <v/>
      </c>
      <c r="G2359" s="58">
        <f>IF(H2359=1,INDEX(ar_Party,353)&amp;"","")</f>
        <v/>
      </c>
      <c r="H2359" s="101">
        <f>IFERROR(N(INDEX(ar_Posted,353)),0)</f>
        <v/>
      </c>
      <c r="I2359" s="58">
        <f>IF(H2359=1,INDEX(ar_DrAcct,353)&amp;"","")</f>
        <v/>
      </c>
      <c r="J2359" s="95">
        <f>IF(H2359=1,INDEX(ar_DrAmt,353),0)</f>
        <v/>
      </c>
      <c r="K2359" s="58">
        <f>IF(H2359=1,INDEX(ar_CrAcct,353)&amp;"","")</f>
        <v/>
      </c>
      <c r="L2359" s="95">
        <f>IF(H2359=1,INDEX(ar_CrAmt,353),0)</f>
        <v/>
      </c>
      <c r="M2359" s="95" t="n">
        <v>0</v>
      </c>
      <c r="N2359" s="95">
        <f>IF(H2359=1,INDEX(ar_TaxAmt,353),0)</f>
        <v/>
      </c>
      <c r="O2359" s="101">
        <f>IF(H2359=1,IF(E2359&lt;FYStart,0,IF(E2359&gt;FYEnd,13,YEAR(E2359)*12+MONTH(E2359)-FYYM+1)),"")</f>
        <v/>
      </c>
      <c r="P2359" s="101">
        <f>IF(H2359=1,IF(IFERROR(INDEX(coa_CF,MATCH(I2359,coa_Name,0)),"")="Cash",1,0),0)</f>
        <v/>
      </c>
      <c r="Q2359" s="101">
        <f>IF(H2359=1,IF(IFERROR(INDEX(coa_CF,MATCH(K2359,coa_Name,0)),"")="Cash",1,0),0)</f>
        <v/>
      </c>
      <c r="R2359" s="58">
        <f>IF((P2359-Q2359)=0,"",IFERROR(INDEX(coa_CF,MATCH(IF((P2359-Q2359)=1,K2359,I2359),coa_Name,0)),"Operating"))</f>
        <v/>
      </c>
      <c r="S2359" s="95">
        <f>IF((P2359-Q2359)=1,L2359,IF((P2359-Q2359)=-1,-J2359,0))</f>
        <v/>
      </c>
      <c r="T2359" s="95">
        <f>IF((P2359-Q2359)=1,N2359,IF((P2359-Q2359)=-1,-M2359,0))</f>
        <v/>
      </c>
      <c r="U2359" s="101">
        <f>IF(AND(H2359=1,LedAcct&lt;&gt;""),IF(AND(E2359&gt;=LedFrom,E2359&lt;=LedTo,OR(I2359=LedAcct,K2359=LedAcct,AND(LedAcct=acctTax,M2359+N2359&lt;&gt;0))),E2359*10000+B2359,""),"")</f>
        <v/>
      </c>
    </row>
    <row r="2360">
      <c r="B2360" s="101" t="n">
        <v>2354</v>
      </c>
      <c r="C2360" s="58" t="inlineStr">
        <is>
          <t>Invoice</t>
        </is>
      </c>
      <c r="D2360" s="58">
        <f>IF(H2360=1,INDEX(ar_No,354)&amp;"","")</f>
        <v/>
      </c>
      <c r="E2360" s="94">
        <f>IF(H2360=1,INDEX(ar_Date,354),"")</f>
        <v/>
      </c>
      <c r="F2360" s="58">
        <f>IF(H2360=1,INDEX(ar_Desc,354)&amp;"","")</f>
        <v/>
      </c>
      <c r="G2360" s="58">
        <f>IF(H2360=1,INDEX(ar_Party,354)&amp;"","")</f>
        <v/>
      </c>
      <c r="H2360" s="101">
        <f>IFERROR(N(INDEX(ar_Posted,354)),0)</f>
        <v/>
      </c>
      <c r="I2360" s="58">
        <f>IF(H2360=1,INDEX(ar_DrAcct,354)&amp;"","")</f>
        <v/>
      </c>
      <c r="J2360" s="95">
        <f>IF(H2360=1,INDEX(ar_DrAmt,354),0)</f>
        <v/>
      </c>
      <c r="K2360" s="58">
        <f>IF(H2360=1,INDEX(ar_CrAcct,354)&amp;"","")</f>
        <v/>
      </c>
      <c r="L2360" s="95">
        <f>IF(H2360=1,INDEX(ar_CrAmt,354),0)</f>
        <v/>
      </c>
      <c r="M2360" s="95" t="n">
        <v>0</v>
      </c>
      <c r="N2360" s="95">
        <f>IF(H2360=1,INDEX(ar_TaxAmt,354),0)</f>
        <v/>
      </c>
      <c r="O2360" s="101">
        <f>IF(H2360=1,IF(E2360&lt;FYStart,0,IF(E2360&gt;FYEnd,13,YEAR(E2360)*12+MONTH(E2360)-FYYM+1)),"")</f>
        <v/>
      </c>
      <c r="P2360" s="101">
        <f>IF(H2360=1,IF(IFERROR(INDEX(coa_CF,MATCH(I2360,coa_Name,0)),"")="Cash",1,0),0)</f>
        <v/>
      </c>
      <c r="Q2360" s="101">
        <f>IF(H2360=1,IF(IFERROR(INDEX(coa_CF,MATCH(K2360,coa_Name,0)),"")="Cash",1,0),0)</f>
        <v/>
      </c>
      <c r="R2360" s="58">
        <f>IF((P2360-Q2360)=0,"",IFERROR(INDEX(coa_CF,MATCH(IF((P2360-Q2360)=1,K2360,I2360),coa_Name,0)),"Operating"))</f>
        <v/>
      </c>
      <c r="S2360" s="95">
        <f>IF((P2360-Q2360)=1,L2360,IF((P2360-Q2360)=-1,-J2360,0))</f>
        <v/>
      </c>
      <c r="T2360" s="95">
        <f>IF((P2360-Q2360)=1,N2360,IF((P2360-Q2360)=-1,-M2360,0))</f>
        <v/>
      </c>
      <c r="U2360" s="101">
        <f>IF(AND(H2360=1,LedAcct&lt;&gt;""),IF(AND(E2360&gt;=LedFrom,E2360&lt;=LedTo,OR(I2360=LedAcct,K2360=LedAcct,AND(LedAcct=acctTax,M2360+N2360&lt;&gt;0))),E2360*10000+B2360,""),"")</f>
        <v/>
      </c>
    </row>
    <row r="2361">
      <c r="B2361" s="101" t="n">
        <v>2355</v>
      </c>
      <c r="C2361" s="58" t="inlineStr">
        <is>
          <t>Invoice</t>
        </is>
      </c>
      <c r="D2361" s="58">
        <f>IF(H2361=1,INDEX(ar_No,355)&amp;"","")</f>
        <v/>
      </c>
      <c r="E2361" s="94">
        <f>IF(H2361=1,INDEX(ar_Date,355),"")</f>
        <v/>
      </c>
      <c r="F2361" s="58">
        <f>IF(H2361=1,INDEX(ar_Desc,355)&amp;"","")</f>
        <v/>
      </c>
      <c r="G2361" s="58">
        <f>IF(H2361=1,INDEX(ar_Party,355)&amp;"","")</f>
        <v/>
      </c>
      <c r="H2361" s="101">
        <f>IFERROR(N(INDEX(ar_Posted,355)),0)</f>
        <v/>
      </c>
      <c r="I2361" s="58">
        <f>IF(H2361=1,INDEX(ar_DrAcct,355)&amp;"","")</f>
        <v/>
      </c>
      <c r="J2361" s="95">
        <f>IF(H2361=1,INDEX(ar_DrAmt,355),0)</f>
        <v/>
      </c>
      <c r="K2361" s="58">
        <f>IF(H2361=1,INDEX(ar_CrAcct,355)&amp;"","")</f>
        <v/>
      </c>
      <c r="L2361" s="95">
        <f>IF(H2361=1,INDEX(ar_CrAmt,355),0)</f>
        <v/>
      </c>
      <c r="M2361" s="95" t="n">
        <v>0</v>
      </c>
      <c r="N2361" s="95">
        <f>IF(H2361=1,INDEX(ar_TaxAmt,355),0)</f>
        <v/>
      </c>
      <c r="O2361" s="101">
        <f>IF(H2361=1,IF(E2361&lt;FYStart,0,IF(E2361&gt;FYEnd,13,YEAR(E2361)*12+MONTH(E2361)-FYYM+1)),"")</f>
        <v/>
      </c>
      <c r="P2361" s="101">
        <f>IF(H2361=1,IF(IFERROR(INDEX(coa_CF,MATCH(I2361,coa_Name,0)),"")="Cash",1,0),0)</f>
        <v/>
      </c>
      <c r="Q2361" s="101">
        <f>IF(H2361=1,IF(IFERROR(INDEX(coa_CF,MATCH(K2361,coa_Name,0)),"")="Cash",1,0),0)</f>
        <v/>
      </c>
      <c r="R2361" s="58">
        <f>IF((P2361-Q2361)=0,"",IFERROR(INDEX(coa_CF,MATCH(IF((P2361-Q2361)=1,K2361,I2361),coa_Name,0)),"Operating"))</f>
        <v/>
      </c>
      <c r="S2361" s="95">
        <f>IF((P2361-Q2361)=1,L2361,IF((P2361-Q2361)=-1,-J2361,0))</f>
        <v/>
      </c>
      <c r="T2361" s="95">
        <f>IF((P2361-Q2361)=1,N2361,IF((P2361-Q2361)=-1,-M2361,0))</f>
        <v/>
      </c>
      <c r="U2361" s="101">
        <f>IF(AND(H2361=1,LedAcct&lt;&gt;""),IF(AND(E2361&gt;=LedFrom,E2361&lt;=LedTo,OR(I2361=LedAcct,K2361=LedAcct,AND(LedAcct=acctTax,M2361+N2361&lt;&gt;0))),E2361*10000+B2361,""),"")</f>
        <v/>
      </c>
    </row>
    <row r="2362">
      <c r="B2362" s="101" t="n">
        <v>2356</v>
      </c>
      <c r="C2362" s="58" t="inlineStr">
        <is>
          <t>Invoice</t>
        </is>
      </c>
      <c r="D2362" s="58">
        <f>IF(H2362=1,INDEX(ar_No,356)&amp;"","")</f>
        <v/>
      </c>
      <c r="E2362" s="94">
        <f>IF(H2362=1,INDEX(ar_Date,356),"")</f>
        <v/>
      </c>
      <c r="F2362" s="58">
        <f>IF(H2362=1,INDEX(ar_Desc,356)&amp;"","")</f>
        <v/>
      </c>
      <c r="G2362" s="58">
        <f>IF(H2362=1,INDEX(ar_Party,356)&amp;"","")</f>
        <v/>
      </c>
      <c r="H2362" s="101">
        <f>IFERROR(N(INDEX(ar_Posted,356)),0)</f>
        <v/>
      </c>
      <c r="I2362" s="58">
        <f>IF(H2362=1,INDEX(ar_DrAcct,356)&amp;"","")</f>
        <v/>
      </c>
      <c r="J2362" s="95">
        <f>IF(H2362=1,INDEX(ar_DrAmt,356),0)</f>
        <v/>
      </c>
      <c r="K2362" s="58">
        <f>IF(H2362=1,INDEX(ar_CrAcct,356)&amp;"","")</f>
        <v/>
      </c>
      <c r="L2362" s="95">
        <f>IF(H2362=1,INDEX(ar_CrAmt,356),0)</f>
        <v/>
      </c>
      <c r="M2362" s="95" t="n">
        <v>0</v>
      </c>
      <c r="N2362" s="95">
        <f>IF(H2362=1,INDEX(ar_TaxAmt,356),0)</f>
        <v/>
      </c>
      <c r="O2362" s="101">
        <f>IF(H2362=1,IF(E2362&lt;FYStart,0,IF(E2362&gt;FYEnd,13,YEAR(E2362)*12+MONTH(E2362)-FYYM+1)),"")</f>
        <v/>
      </c>
      <c r="P2362" s="101">
        <f>IF(H2362=1,IF(IFERROR(INDEX(coa_CF,MATCH(I2362,coa_Name,0)),"")="Cash",1,0),0)</f>
        <v/>
      </c>
      <c r="Q2362" s="101">
        <f>IF(H2362=1,IF(IFERROR(INDEX(coa_CF,MATCH(K2362,coa_Name,0)),"")="Cash",1,0),0)</f>
        <v/>
      </c>
      <c r="R2362" s="58">
        <f>IF((P2362-Q2362)=0,"",IFERROR(INDEX(coa_CF,MATCH(IF((P2362-Q2362)=1,K2362,I2362),coa_Name,0)),"Operating"))</f>
        <v/>
      </c>
      <c r="S2362" s="95">
        <f>IF((P2362-Q2362)=1,L2362,IF((P2362-Q2362)=-1,-J2362,0))</f>
        <v/>
      </c>
      <c r="T2362" s="95">
        <f>IF((P2362-Q2362)=1,N2362,IF((P2362-Q2362)=-1,-M2362,0))</f>
        <v/>
      </c>
      <c r="U2362" s="101">
        <f>IF(AND(H2362=1,LedAcct&lt;&gt;""),IF(AND(E2362&gt;=LedFrom,E2362&lt;=LedTo,OR(I2362=LedAcct,K2362=LedAcct,AND(LedAcct=acctTax,M2362+N2362&lt;&gt;0))),E2362*10000+B2362,""),"")</f>
        <v/>
      </c>
    </row>
    <row r="2363">
      <c r="B2363" s="101" t="n">
        <v>2357</v>
      </c>
      <c r="C2363" s="58" t="inlineStr">
        <is>
          <t>Invoice</t>
        </is>
      </c>
      <c r="D2363" s="58">
        <f>IF(H2363=1,INDEX(ar_No,357)&amp;"","")</f>
        <v/>
      </c>
      <c r="E2363" s="94">
        <f>IF(H2363=1,INDEX(ar_Date,357),"")</f>
        <v/>
      </c>
      <c r="F2363" s="58">
        <f>IF(H2363=1,INDEX(ar_Desc,357)&amp;"","")</f>
        <v/>
      </c>
      <c r="G2363" s="58">
        <f>IF(H2363=1,INDEX(ar_Party,357)&amp;"","")</f>
        <v/>
      </c>
      <c r="H2363" s="101">
        <f>IFERROR(N(INDEX(ar_Posted,357)),0)</f>
        <v/>
      </c>
      <c r="I2363" s="58">
        <f>IF(H2363=1,INDEX(ar_DrAcct,357)&amp;"","")</f>
        <v/>
      </c>
      <c r="J2363" s="95">
        <f>IF(H2363=1,INDEX(ar_DrAmt,357),0)</f>
        <v/>
      </c>
      <c r="K2363" s="58">
        <f>IF(H2363=1,INDEX(ar_CrAcct,357)&amp;"","")</f>
        <v/>
      </c>
      <c r="L2363" s="95">
        <f>IF(H2363=1,INDEX(ar_CrAmt,357),0)</f>
        <v/>
      </c>
      <c r="M2363" s="95" t="n">
        <v>0</v>
      </c>
      <c r="N2363" s="95">
        <f>IF(H2363=1,INDEX(ar_TaxAmt,357),0)</f>
        <v/>
      </c>
      <c r="O2363" s="101">
        <f>IF(H2363=1,IF(E2363&lt;FYStart,0,IF(E2363&gt;FYEnd,13,YEAR(E2363)*12+MONTH(E2363)-FYYM+1)),"")</f>
        <v/>
      </c>
      <c r="P2363" s="101">
        <f>IF(H2363=1,IF(IFERROR(INDEX(coa_CF,MATCH(I2363,coa_Name,0)),"")="Cash",1,0),0)</f>
        <v/>
      </c>
      <c r="Q2363" s="101">
        <f>IF(H2363=1,IF(IFERROR(INDEX(coa_CF,MATCH(K2363,coa_Name,0)),"")="Cash",1,0),0)</f>
        <v/>
      </c>
      <c r="R2363" s="58">
        <f>IF((P2363-Q2363)=0,"",IFERROR(INDEX(coa_CF,MATCH(IF((P2363-Q2363)=1,K2363,I2363),coa_Name,0)),"Operating"))</f>
        <v/>
      </c>
      <c r="S2363" s="95">
        <f>IF((P2363-Q2363)=1,L2363,IF((P2363-Q2363)=-1,-J2363,0))</f>
        <v/>
      </c>
      <c r="T2363" s="95">
        <f>IF((P2363-Q2363)=1,N2363,IF((P2363-Q2363)=-1,-M2363,0))</f>
        <v/>
      </c>
      <c r="U2363" s="101">
        <f>IF(AND(H2363=1,LedAcct&lt;&gt;""),IF(AND(E2363&gt;=LedFrom,E2363&lt;=LedTo,OR(I2363=LedAcct,K2363=LedAcct,AND(LedAcct=acctTax,M2363+N2363&lt;&gt;0))),E2363*10000+B2363,""),"")</f>
        <v/>
      </c>
    </row>
    <row r="2364">
      <c r="B2364" s="101" t="n">
        <v>2358</v>
      </c>
      <c r="C2364" s="58" t="inlineStr">
        <is>
          <t>Invoice</t>
        </is>
      </c>
      <c r="D2364" s="58">
        <f>IF(H2364=1,INDEX(ar_No,358)&amp;"","")</f>
        <v/>
      </c>
      <c r="E2364" s="94">
        <f>IF(H2364=1,INDEX(ar_Date,358),"")</f>
        <v/>
      </c>
      <c r="F2364" s="58">
        <f>IF(H2364=1,INDEX(ar_Desc,358)&amp;"","")</f>
        <v/>
      </c>
      <c r="G2364" s="58">
        <f>IF(H2364=1,INDEX(ar_Party,358)&amp;"","")</f>
        <v/>
      </c>
      <c r="H2364" s="101">
        <f>IFERROR(N(INDEX(ar_Posted,358)),0)</f>
        <v/>
      </c>
      <c r="I2364" s="58">
        <f>IF(H2364=1,INDEX(ar_DrAcct,358)&amp;"","")</f>
        <v/>
      </c>
      <c r="J2364" s="95">
        <f>IF(H2364=1,INDEX(ar_DrAmt,358),0)</f>
        <v/>
      </c>
      <c r="K2364" s="58">
        <f>IF(H2364=1,INDEX(ar_CrAcct,358)&amp;"","")</f>
        <v/>
      </c>
      <c r="L2364" s="95">
        <f>IF(H2364=1,INDEX(ar_CrAmt,358),0)</f>
        <v/>
      </c>
      <c r="M2364" s="95" t="n">
        <v>0</v>
      </c>
      <c r="N2364" s="95">
        <f>IF(H2364=1,INDEX(ar_TaxAmt,358),0)</f>
        <v/>
      </c>
      <c r="O2364" s="101">
        <f>IF(H2364=1,IF(E2364&lt;FYStart,0,IF(E2364&gt;FYEnd,13,YEAR(E2364)*12+MONTH(E2364)-FYYM+1)),"")</f>
        <v/>
      </c>
      <c r="P2364" s="101">
        <f>IF(H2364=1,IF(IFERROR(INDEX(coa_CF,MATCH(I2364,coa_Name,0)),"")="Cash",1,0),0)</f>
        <v/>
      </c>
      <c r="Q2364" s="101">
        <f>IF(H2364=1,IF(IFERROR(INDEX(coa_CF,MATCH(K2364,coa_Name,0)),"")="Cash",1,0),0)</f>
        <v/>
      </c>
      <c r="R2364" s="58">
        <f>IF((P2364-Q2364)=0,"",IFERROR(INDEX(coa_CF,MATCH(IF((P2364-Q2364)=1,K2364,I2364),coa_Name,0)),"Operating"))</f>
        <v/>
      </c>
      <c r="S2364" s="95">
        <f>IF((P2364-Q2364)=1,L2364,IF((P2364-Q2364)=-1,-J2364,0))</f>
        <v/>
      </c>
      <c r="T2364" s="95">
        <f>IF((P2364-Q2364)=1,N2364,IF((P2364-Q2364)=-1,-M2364,0))</f>
        <v/>
      </c>
      <c r="U2364" s="101">
        <f>IF(AND(H2364=1,LedAcct&lt;&gt;""),IF(AND(E2364&gt;=LedFrom,E2364&lt;=LedTo,OR(I2364=LedAcct,K2364=LedAcct,AND(LedAcct=acctTax,M2364+N2364&lt;&gt;0))),E2364*10000+B2364,""),"")</f>
        <v/>
      </c>
    </row>
    <row r="2365">
      <c r="B2365" s="101" t="n">
        <v>2359</v>
      </c>
      <c r="C2365" s="58" t="inlineStr">
        <is>
          <t>Invoice</t>
        </is>
      </c>
      <c r="D2365" s="58">
        <f>IF(H2365=1,INDEX(ar_No,359)&amp;"","")</f>
        <v/>
      </c>
      <c r="E2365" s="94">
        <f>IF(H2365=1,INDEX(ar_Date,359),"")</f>
        <v/>
      </c>
      <c r="F2365" s="58">
        <f>IF(H2365=1,INDEX(ar_Desc,359)&amp;"","")</f>
        <v/>
      </c>
      <c r="G2365" s="58">
        <f>IF(H2365=1,INDEX(ar_Party,359)&amp;"","")</f>
        <v/>
      </c>
      <c r="H2365" s="101">
        <f>IFERROR(N(INDEX(ar_Posted,359)),0)</f>
        <v/>
      </c>
      <c r="I2365" s="58">
        <f>IF(H2365=1,INDEX(ar_DrAcct,359)&amp;"","")</f>
        <v/>
      </c>
      <c r="J2365" s="95">
        <f>IF(H2365=1,INDEX(ar_DrAmt,359),0)</f>
        <v/>
      </c>
      <c r="K2365" s="58">
        <f>IF(H2365=1,INDEX(ar_CrAcct,359)&amp;"","")</f>
        <v/>
      </c>
      <c r="L2365" s="95">
        <f>IF(H2365=1,INDEX(ar_CrAmt,359),0)</f>
        <v/>
      </c>
      <c r="M2365" s="95" t="n">
        <v>0</v>
      </c>
      <c r="N2365" s="95">
        <f>IF(H2365=1,INDEX(ar_TaxAmt,359),0)</f>
        <v/>
      </c>
      <c r="O2365" s="101">
        <f>IF(H2365=1,IF(E2365&lt;FYStart,0,IF(E2365&gt;FYEnd,13,YEAR(E2365)*12+MONTH(E2365)-FYYM+1)),"")</f>
        <v/>
      </c>
      <c r="P2365" s="101">
        <f>IF(H2365=1,IF(IFERROR(INDEX(coa_CF,MATCH(I2365,coa_Name,0)),"")="Cash",1,0),0)</f>
        <v/>
      </c>
      <c r="Q2365" s="101">
        <f>IF(H2365=1,IF(IFERROR(INDEX(coa_CF,MATCH(K2365,coa_Name,0)),"")="Cash",1,0),0)</f>
        <v/>
      </c>
      <c r="R2365" s="58">
        <f>IF((P2365-Q2365)=0,"",IFERROR(INDEX(coa_CF,MATCH(IF((P2365-Q2365)=1,K2365,I2365),coa_Name,0)),"Operating"))</f>
        <v/>
      </c>
      <c r="S2365" s="95">
        <f>IF((P2365-Q2365)=1,L2365,IF((P2365-Q2365)=-1,-J2365,0))</f>
        <v/>
      </c>
      <c r="T2365" s="95">
        <f>IF((P2365-Q2365)=1,N2365,IF((P2365-Q2365)=-1,-M2365,0))</f>
        <v/>
      </c>
      <c r="U2365" s="101">
        <f>IF(AND(H2365=1,LedAcct&lt;&gt;""),IF(AND(E2365&gt;=LedFrom,E2365&lt;=LedTo,OR(I2365=LedAcct,K2365=LedAcct,AND(LedAcct=acctTax,M2365+N2365&lt;&gt;0))),E2365*10000+B2365,""),"")</f>
        <v/>
      </c>
    </row>
    <row r="2366">
      <c r="B2366" s="101" t="n">
        <v>2360</v>
      </c>
      <c r="C2366" s="58" t="inlineStr">
        <is>
          <t>Invoice</t>
        </is>
      </c>
      <c r="D2366" s="58">
        <f>IF(H2366=1,INDEX(ar_No,360)&amp;"","")</f>
        <v/>
      </c>
      <c r="E2366" s="94">
        <f>IF(H2366=1,INDEX(ar_Date,360),"")</f>
        <v/>
      </c>
      <c r="F2366" s="58">
        <f>IF(H2366=1,INDEX(ar_Desc,360)&amp;"","")</f>
        <v/>
      </c>
      <c r="G2366" s="58">
        <f>IF(H2366=1,INDEX(ar_Party,360)&amp;"","")</f>
        <v/>
      </c>
      <c r="H2366" s="101">
        <f>IFERROR(N(INDEX(ar_Posted,360)),0)</f>
        <v/>
      </c>
      <c r="I2366" s="58">
        <f>IF(H2366=1,INDEX(ar_DrAcct,360)&amp;"","")</f>
        <v/>
      </c>
      <c r="J2366" s="95">
        <f>IF(H2366=1,INDEX(ar_DrAmt,360),0)</f>
        <v/>
      </c>
      <c r="K2366" s="58">
        <f>IF(H2366=1,INDEX(ar_CrAcct,360)&amp;"","")</f>
        <v/>
      </c>
      <c r="L2366" s="95">
        <f>IF(H2366=1,INDEX(ar_CrAmt,360),0)</f>
        <v/>
      </c>
      <c r="M2366" s="95" t="n">
        <v>0</v>
      </c>
      <c r="N2366" s="95">
        <f>IF(H2366=1,INDEX(ar_TaxAmt,360),0)</f>
        <v/>
      </c>
      <c r="O2366" s="101">
        <f>IF(H2366=1,IF(E2366&lt;FYStart,0,IF(E2366&gt;FYEnd,13,YEAR(E2366)*12+MONTH(E2366)-FYYM+1)),"")</f>
        <v/>
      </c>
      <c r="P2366" s="101">
        <f>IF(H2366=1,IF(IFERROR(INDEX(coa_CF,MATCH(I2366,coa_Name,0)),"")="Cash",1,0),0)</f>
        <v/>
      </c>
      <c r="Q2366" s="101">
        <f>IF(H2366=1,IF(IFERROR(INDEX(coa_CF,MATCH(K2366,coa_Name,0)),"")="Cash",1,0),0)</f>
        <v/>
      </c>
      <c r="R2366" s="58">
        <f>IF((P2366-Q2366)=0,"",IFERROR(INDEX(coa_CF,MATCH(IF((P2366-Q2366)=1,K2366,I2366),coa_Name,0)),"Operating"))</f>
        <v/>
      </c>
      <c r="S2366" s="95">
        <f>IF((P2366-Q2366)=1,L2366,IF((P2366-Q2366)=-1,-J2366,0))</f>
        <v/>
      </c>
      <c r="T2366" s="95">
        <f>IF((P2366-Q2366)=1,N2366,IF((P2366-Q2366)=-1,-M2366,0))</f>
        <v/>
      </c>
      <c r="U2366" s="101">
        <f>IF(AND(H2366=1,LedAcct&lt;&gt;""),IF(AND(E2366&gt;=LedFrom,E2366&lt;=LedTo,OR(I2366=LedAcct,K2366=LedAcct,AND(LedAcct=acctTax,M2366+N2366&lt;&gt;0))),E2366*10000+B2366,""),"")</f>
        <v/>
      </c>
    </row>
    <row r="2367">
      <c r="B2367" s="101" t="n">
        <v>2361</v>
      </c>
      <c r="C2367" s="58" t="inlineStr">
        <is>
          <t>Invoice</t>
        </is>
      </c>
      <c r="D2367" s="58">
        <f>IF(H2367=1,INDEX(ar_No,361)&amp;"","")</f>
        <v/>
      </c>
      <c r="E2367" s="94">
        <f>IF(H2367=1,INDEX(ar_Date,361),"")</f>
        <v/>
      </c>
      <c r="F2367" s="58">
        <f>IF(H2367=1,INDEX(ar_Desc,361)&amp;"","")</f>
        <v/>
      </c>
      <c r="G2367" s="58">
        <f>IF(H2367=1,INDEX(ar_Party,361)&amp;"","")</f>
        <v/>
      </c>
      <c r="H2367" s="101">
        <f>IFERROR(N(INDEX(ar_Posted,361)),0)</f>
        <v/>
      </c>
      <c r="I2367" s="58">
        <f>IF(H2367=1,INDEX(ar_DrAcct,361)&amp;"","")</f>
        <v/>
      </c>
      <c r="J2367" s="95">
        <f>IF(H2367=1,INDEX(ar_DrAmt,361),0)</f>
        <v/>
      </c>
      <c r="K2367" s="58">
        <f>IF(H2367=1,INDEX(ar_CrAcct,361)&amp;"","")</f>
        <v/>
      </c>
      <c r="L2367" s="95">
        <f>IF(H2367=1,INDEX(ar_CrAmt,361),0)</f>
        <v/>
      </c>
      <c r="M2367" s="95" t="n">
        <v>0</v>
      </c>
      <c r="N2367" s="95">
        <f>IF(H2367=1,INDEX(ar_TaxAmt,361),0)</f>
        <v/>
      </c>
      <c r="O2367" s="101">
        <f>IF(H2367=1,IF(E2367&lt;FYStart,0,IF(E2367&gt;FYEnd,13,YEAR(E2367)*12+MONTH(E2367)-FYYM+1)),"")</f>
        <v/>
      </c>
      <c r="P2367" s="101">
        <f>IF(H2367=1,IF(IFERROR(INDEX(coa_CF,MATCH(I2367,coa_Name,0)),"")="Cash",1,0),0)</f>
        <v/>
      </c>
      <c r="Q2367" s="101">
        <f>IF(H2367=1,IF(IFERROR(INDEX(coa_CF,MATCH(K2367,coa_Name,0)),"")="Cash",1,0),0)</f>
        <v/>
      </c>
      <c r="R2367" s="58">
        <f>IF((P2367-Q2367)=0,"",IFERROR(INDEX(coa_CF,MATCH(IF((P2367-Q2367)=1,K2367,I2367),coa_Name,0)),"Operating"))</f>
        <v/>
      </c>
      <c r="S2367" s="95">
        <f>IF((P2367-Q2367)=1,L2367,IF((P2367-Q2367)=-1,-J2367,0))</f>
        <v/>
      </c>
      <c r="T2367" s="95">
        <f>IF((P2367-Q2367)=1,N2367,IF((P2367-Q2367)=-1,-M2367,0))</f>
        <v/>
      </c>
      <c r="U2367" s="101">
        <f>IF(AND(H2367=1,LedAcct&lt;&gt;""),IF(AND(E2367&gt;=LedFrom,E2367&lt;=LedTo,OR(I2367=LedAcct,K2367=LedAcct,AND(LedAcct=acctTax,M2367+N2367&lt;&gt;0))),E2367*10000+B2367,""),"")</f>
        <v/>
      </c>
    </row>
    <row r="2368">
      <c r="B2368" s="101" t="n">
        <v>2362</v>
      </c>
      <c r="C2368" s="58" t="inlineStr">
        <is>
          <t>Invoice</t>
        </is>
      </c>
      <c r="D2368" s="58">
        <f>IF(H2368=1,INDEX(ar_No,362)&amp;"","")</f>
        <v/>
      </c>
      <c r="E2368" s="94">
        <f>IF(H2368=1,INDEX(ar_Date,362),"")</f>
        <v/>
      </c>
      <c r="F2368" s="58">
        <f>IF(H2368=1,INDEX(ar_Desc,362)&amp;"","")</f>
        <v/>
      </c>
      <c r="G2368" s="58">
        <f>IF(H2368=1,INDEX(ar_Party,362)&amp;"","")</f>
        <v/>
      </c>
      <c r="H2368" s="101">
        <f>IFERROR(N(INDEX(ar_Posted,362)),0)</f>
        <v/>
      </c>
      <c r="I2368" s="58">
        <f>IF(H2368=1,INDEX(ar_DrAcct,362)&amp;"","")</f>
        <v/>
      </c>
      <c r="J2368" s="95">
        <f>IF(H2368=1,INDEX(ar_DrAmt,362),0)</f>
        <v/>
      </c>
      <c r="K2368" s="58">
        <f>IF(H2368=1,INDEX(ar_CrAcct,362)&amp;"","")</f>
        <v/>
      </c>
      <c r="L2368" s="95">
        <f>IF(H2368=1,INDEX(ar_CrAmt,362),0)</f>
        <v/>
      </c>
      <c r="M2368" s="95" t="n">
        <v>0</v>
      </c>
      <c r="N2368" s="95">
        <f>IF(H2368=1,INDEX(ar_TaxAmt,362),0)</f>
        <v/>
      </c>
      <c r="O2368" s="101">
        <f>IF(H2368=1,IF(E2368&lt;FYStart,0,IF(E2368&gt;FYEnd,13,YEAR(E2368)*12+MONTH(E2368)-FYYM+1)),"")</f>
        <v/>
      </c>
      <c r="P2368" s="101">
        <f>IF(H2368=1,IF(IFERROR(INDEX(coa_CF,MATCH(I2368,coa_Name,0)),"")="Cash",1,0),0)</f>
        <v/>
      </c>
      <c r="Q2368" s="101">
        <f>IF(H2368=1,IF(IFERROR(INDEX(coa_CF,MATCH(K2368,coa_Name,0)),"")="Cash",1,0),0)</f>
        <v/>
      </c>
      <c r="R2368" s="58">
        <f>IF((P2368-Q2368)=0,"",IFERROR(INDEX(coa_CF,MATCH(IF((P2368-Q2368)=1,K2368,I2368),coa_Name,0)),"Operating"))</f>
        <v/>
      </c>
      <c r="S2368" s="95">
        <f>IF((P2368-Q2368)=1,L2368,IF((P2368-Q2368)=-1,-J2368,0))</f>
        <v/>
      </c>
      <c r="T2368" s="95">
        <f>IF((P2368-Q2368)=1,N2368,IF((P2368-Q2368)=-1,-M2368,0))</f>
        <v/>
      </c>
      <c r="U2368" s="101">
        <f>IF(AND(H2368=1,LedAcct&lt;&gt;""),IF(AND(E2368&gt;=LedFrom,E2368&lt;=LedTo,OR(I2368=LedAcct,K2368=LedAcct,AND(LedAcct=acctTax,M2368+N2368&lt;&gt;0))),E2368*10000+B2368,""),"")</f>
        <v/>
      </c>
    </row>
    <row r="2369">
      <c r="B2369" s="101" t="n">
        <v>2363</v>
      </c>
      <c r="C2369" s="58" t="inlineStr">
        <is>
          <t>Invoice</t>
        </is>
      </c>
      <c r="D2369" s="58">
        <f>IF(H2369=1,INDEX(ar_No,363)&amp;"","")</f>
        <v/>
      </c>
      <c r="E2369" s="94">
        <f>IF(H2369=1,INDEX(ar_Date,363),"")</f>
        <v/>
      </c>
      <c r="F2369" s="58">
        <f>IF(H2369=1,INDEX(ar_Desc,363)&amp;"","")</f>
        <v/>
      </c>
      <c r="G2369" s="58">
        <f>IF(H2369=1,INDEX(ar_Party,363)&amp;"","")</f>
        <v/>
      </c>
      <c r="H2369" s="101">
        <f>IFERROR(N(INDEX(ar_Posted,363)),0)</f>
        <v/>
      </c>
      <c r="I2369" s="58">
        <f>IF(H2369=1,INDEX(ar_DrAcct,363)&amp;"","")</f>
        <v/>
      </c>
      <c r="J2369" s="95">
        <f>IF(H2369=1,INDEX(ar_DrAmt,363),0)</f>
        <v/>
      </c>
      <c r="K2369" s="58">
        <f>IF(H2369=1,INDEX(ar_CrAcct,363)&amp;"","")</f>
        <v/>
      </c>
      <c r="L2369" s="95">
        <f>IF(H2369=1,INDEX(ar_CrAmt,363),0)</f>
        <v/>
      </c>
      <c r="M2369" s="95" t="n">
        <v>0</v>
      </c>
      <c r="N2369" s="95">
        <f>IF(H2369=1,INDEX(ar_TaxAmt,363),0)</f>
        <v/>
      </c>
      <c r="O2369" s="101">
        <f>IF(H2369=1,IF(E2369&lt;FYStart,0,IF(E2369&gt;FYEnd,13,YEAR(E2369)*12+MONTH(E2369)-FYYM+1)),"")</f>
        <v/>
      </c>
      <c r="P2369" s="101">
        <f>IF(H2369=1,IF(IFERROR(INDEX(coa_CF,MATCH(I2369,coa_Name,0)),"")="Cash",1,0),0)</f>
        <v/>
      </c>
      <c r="Q2369" s="101">
        <f>IF(H2369=1,IF(IFERROR(INDEX(coa_CF,MATCH(K2369,coa_Name,0)),"")="Cash",1,0),0)</f>
        <v/>
      </c>
      <c r="R2369" s="58">
        <f>IF((P2369-Q2369)=0,"",IFERROR(INDEX(coa_CF,MATCH(IF((P2369-Q2369)=1,K2369,I2369),coa_Name,0)),"Operating"))</f>
        <v/>
      </c>
      <c r="S2369" s="95">
        <f>IF((P2369-Q2369)=1,L2369,IF((P2369-Q2369)=-1,-J2369,0))</f>
        <v/>
      </c>
      <c r="T2369" s="95">
        <f>IF((P2369-Q2369)=1,N2369,IF((P2369-Q2369)=-1,-M2369,0))</f>
        <v/>
      </c>
      <c r="U2369" s="101">
        <f>IF(AND(H2369=1,LedAcct&lt;&gt;""),IF(AND(E2369&gt;=LedFrom,E2369&lt;=LedTo,OR(I2369=LedAcct,K2369=LedAcct,AND(LedAcct=acctTax,M2369+N2369&lt;&gt;0))),E2369*10000+B2369,""),"")</f>
        <v/>
      </c>
    </row>
    <row r="2370">
      <c r="B2370" s="101" t="n">
        <v>2364</v>
      </c>
      <c r="C2370" s="58" t="inlineStr">
        <is>
          <t>Invoice</t>
        </is>
      </c>
      <c r="D2370" s="58">
        <f>IF(H2370=1,INDEX(ar_No,364)&amp;"","")</f>
        <v/>
      </c>
      <c r="E2370" s="94">
        <f>IF(H2370=1,INDEX(ar_Date,364),"")</f>
        <v/>
      </c>
      <c r="F2370" s="58">
        <f>IF(H2370=1,INDEX(ar_Desc,364)&amp;"","")</f>
        <v/>
      </c>
      <c r="G2370" s="58">
        <f>IF(H2370=1,INDEX(ar_Party,364)&amp;"","")</f>
        <v/>
      </c>
      <c r="H2370" s="101">
        <f>IFERROR(N(INDEX(ar_Posted,364)),0)</f>
        <v/>
      </c>
      <c r="I2370" s="58">
        <f>IF(H2370=1,INDEX(ar_DrAcct,364)&amp;"","")</f>
        <v/>
      </c>
      <c r="J2370" s="95">
        <f>IF(H2370=1,INDEX(ar_DrAmt,364),0)</f>
        <v/>
      </c>
      <c r="K2370" s="58">
        <f>IF(H2370=1,INDEX(ar_CrAcct,364)&amp;"","")</f>
        <v/>
      </c>
      <c r="L2370" s="95">
        <f>IF(H2370=1,INDEX(ar_CrAmt,364),0)</f>
        <v/>
      </c>
      <c r="M2370" s="95" t="n">
        <v>0</v>
      </c>
      <c r="N2370" s="95">
        <f>IF(H2370=1,INDEX(ar_TaxAmt,364),0)</f>
        <v/>
      </c>
      <c r="O2370" s="101">
        <f>IF(H2370=1,IF(E2370&lt;FYStart,0,IF(E2370&gt;FYEnd,13,YEAR(E2370)*12+MONTH(E2370)-FYYM+1)),"")</f>
        <v/>
      </c>
      <c r="P2370" s="101">
        <f>IF(H2370=1,IF(IFERROR(INDEX(coa_CF,MATCH(I2370,coa_Name,0)),"")="Cash",1,0),0)</f>
        <v/>
      </c>
      <c r="Q2370" s="101">
        <f>IF(H2370=1,IF(IFERROR(INDEX(coa_CF,MATCH(K2370,coa_Name,0)),"")="Cash",1,0),0)</f>
        <v/>
      </c>
      <c r="R2370" s="58">
        <f>IF((P2370-Q2370)=0,"",IFERROR(INDEX(coa_CF,MATCH(IF((P2370-Q2370)=1,K2370,I2370),coa_Name,0)),"Operating"))</f>
        <v/>
      </c>
      <c r="S2370" s="95">
        <f>IF((P2370-Q2370)=1,L2370,IF((P2370-Q2370)=-1,-J2370,0))</f>
        <v/>
      </c>
      <c r="T2370" s="95">
        <f>IF((P2370-Q2370)=1,N2370,IF((P2370-Q2370)=-1,-M2370,0))</f>
        <v/>
      </c>
      <c r="U2370" s="101">
        <f>IF(AND(H2370=1,LedAcct&lt;&gt;""),IF(AND(E2370&gt;=LedFrom,E2370&lt;=LedTo,OR(I2370=LedAcct,K2370=LedAcct,AND(LedAcct=acctTax,M2370+N2370&lt;&gt;0))),E2370*10000+B2370,""),"")</f>
        <v/>
      </c>
    </row>
    <row r="2371">
      <c r="B2371" s="101" t="n">
        <v>2365</v>
      </c>
      <c r="C2371" s="58" t="inlineStr">
        <is>
          <t>Invoice</t>
        </is>
      </c>
      <c r="D2371" s="58">
        <f>IF(H2371=1,INDEX(ar_No,365)&amp;"","")</f>
        <v/>
      </c>
      <c r="E2371" s="94">
        <f>IF(H2371=1,INDEX(ar_Date,365),"")</f>
        <v/>
      </c>
      <c r="F2371" s="58">
        <f>IF(H2371=1,INDEX(ar_Desc,365)&amp;"","")</f>
        <v/>
      </c>
      <c r="G2371" s="58">
        <f>IF(H2371=1,INDEX(ar_Party,365)&amp;"","")</f>
        <v/>
      </c>
      <c r="H2371" s="101">
        <f>IFERROR(N(INDEX(ar_Posted,365)),0)</f>
        <v/>
      </c>
      <c r="I2371" s="58">
        <f>IF(H2371=1,INDEX(ar_DrAcct,365)&amp;"","")</f>
        <v/>
      </c>
      <c r="J2371" s="95">
        <f>IF(H2371=1,INDEX(ar_DrAmt,365),0)</f>
        <v/>
      </c>
      <c r="K2371" s="58">
        <f>IF(H2371=1,INDEX(ar_CrAcct,365)&amp;"","")</f>
        <v/>
      </c>
      <c r="L2371" s="95">
        <f>IF(H2371=1,INDEX(ar_CrAmt,365),0)</f>
        <v/>
      </c>
      <c r="M2371" s="95" t="n">
        <v>0</v>
      </c>
      <c r="N2371" s="95">
        <f>IF(H2371=1,INDEX(ar_TaxAmt,365),0)</f>
        <v/>
      </c>
      <c r="O2371" s="101">
        <f>IF(H2371=1,IF(E2371&lt;FYStart,0,IF(E2371&gt;FYEnd,13,YEAR(E2371)*12+MONTH(E2371)-FYYM+1)),"")</f>
        <v/>
      </c>
      <c r="P2371" s="101">
        <f>IF(H2371=1,IF(IFERROR(INDEX(coa_CF,MATCH(I2371,coa_Name,0)),"")="Cash",1,0),0)</f>
        <v/>
      </c>
      <c r="Q2371" s="101">
        <f>IF(H2371=1,IF(IFERROR(INDEX(coa_CF,MATCH(K2371,coa_Name,0)),"")="Cash",1,0),0)</f>
        <v/>
      </c>
      <c r="R2371" s="58">
        <f>IF((P2371-Q2371)=0,"",IFERROR(INDEX(coa_CF,MATCH(IF((P2371-Q2371)=1,K2371,I2371),coa_Name,0)),"Operating"))</f>
        <v/>
      </c>
      <c r="S2371" s="95">
        <f>IF((P2371-Q2371)=1,L2371,IF((P2371-Q2371)=-1,-J2371,0))</f>
        <v/>
      </c>
      <c r="T2371" s="95">
        <f>IF((P2371-Q2371)=1,N2371,IF((P2371-Q2371)=-1,-M2371,0))</f>
        <v/>
      </c>
      <c r="U2371" s="101">
        <f>IF(AND(H2371=1,LedAcct&lt;&gt;""),IF(AND(E2371&gt;=LedFrom,E2371&lt;=LedTo,OR(I2371=LedAcct,K2371=LedAcct,AND(LedAcct=acctTax,M2371+N2371&lt;&gt;0))),E2371*10000+B2371,""),"")</f>
        <v/>
      </c>
    </row>
    <row r="2372">
      <c r="B2372" s="101" t="n">
        <v>2366</v>
      </c>
      <c r="C2372" s="58" t="inlineStr">
        <is>
          <t>Invoice</t>
        </is>
      </c>
      <c r="D2372" s="58">
        <f>IF(H2372=1,INDEX(ar_No,366)&amp;"","")</f>
        <v/>
      </c>
      <c r="E2372" s="94">
        <f>IF(H2372=1,INDEX(ar_Date,366),"")</f>
        <v/>
      </c>
      <c r="F2372" s="58">
        <f>IF(H2372=1,INDEX(ar_Desc,366)&amp;"","")</f>
        <v/>
      </c>
      <c r="G2372" s="58">
        <f>IF(H2372=1,INDEX(ar_Party,366)&amp;"","")</f>
        <v/>
      </c>
      <c r="H2372" s="101">
        <f>IFERROR(N(INDEX(ar_Posted,366)),0)</f>
        <v/>
      </c>
      <c r="I2372" s="58">
        <f>IF(H2372=1,INDEX(ar_DrAcct,366)&amp;"","")</f>
        <v/>
      </c>
      <c r="J2372" s="95">
        <f>IF(H2372=1,INDEX(ar_DrAmt,366),0)</f>
        <v/>
      </c>
      <c r="K2372" s="58">
        <f>IF(H2372=1,INDEX(ar_CrAcct,366)&amp;"","")</f>
        <v/>
      </c>
      <c r="L2372" s="95">
        <f>IF(H2372=1,INDEX(ar_CrAmt,366),0)</f>
        <v/>
      </c>
      <c r="M2372" s="95" t="n">
        <v>0</v>
      </c>
      <c r="N2372" s="95">
        <f>IF(H2372=1,INDEX(ar_TaxAmt,366),0)</f>
        <v/>
      </c>
      <c r="O2372" s="101">
        <f>IF(H2372=1,IF(E2372&lt;FYStart,0,IF(E2372&gt;FYEnd,13,YEAR(E2372)*12+MONTH(E2372)-FYYM+1)),"")</f>
        <v/>
      </c>
      <c r="P2372" s="101">
        <f>IF(H2372=1,IF(IFERROR(INDEX(coa_CF,MATCH(I2372,coa_Name,0)),"")="Cash",1,0),0)</f>
        <v/>
      </c>
      <c r="Q2372" s="101">
        <f>IF(H2372=1,IF(IFERROR(INDEX(coa_CF,MATCH(K2372,coa_Name,0)),"")="Cash",1,0),0)</f>
        <v/>
      </c>
      <c r="R2372" s="58">
        <f>IF((P2372-Q2372)=0,"",IFERROR(INDEX(coa_CF,MATCH(IF((P2372-Q2372)=1,K2372,I2372),coa_Name,0)),"Operating"))</f>
        <v/>
      </c>
      <c r="S2372" s="95">
        <f>IF((P2372-Q2372)=1,L2372,IF((P2372-Q2372)=-1,-J2372,0))</f>
        <v/>
      </c>
      <c r="T2372" s="95">
        <f>IF((P2372-Q2372)=1,N2372,IF((P2372-Q2372)=-1,-M2372,0))</f>
        <v/>
      </c>
      <c r="U2372" s="101">
        <f>IF(AND(H2372=1,LedAcct&lt;&gt;""),IF(AND(E2372&gt;=LedFrom,E2372&lt;=LedTo,OR(I2372=LedAcct,K2372=LedAcct,AND(LedAcct=acctTax,M2372+N2372&lt;&gt;0))),E2372*10000+B2372,""),"")</f>
        <v/>
      </c>
    </row>
    <row r="2373">
      <c r="B2373" s="101" t="n">
        <v>2367</v>
      </c>
      <c r="C2373" s="58" t="inlineStr">
        <is>
          <t>Invoice</t>
        </is>
      </c>
      <c r="D2373" s="58">
        <f>IF(H2373=1,INDEX(ar_No,367)&amp;"","")</f>
        <v/>
      </c>
      <c r="E2373" s="94">
        <f>IF(H2373=1,INDEX(ar_Date,367),"")</f>
        <v/>
      </c>
      <c r="F2373" s="58">
        <f>IF(H2373=1,INDEX(ar_Desc,367)&amp;"","")</f>
        <v/>
      </c>
      <c r="G2373" s="58">
        <f>IF(H2373=1,INDEX(ar_Party,367)&amp;"","")</f>
        <v/>
      </c>
      <c r="H2373" s="101">
        <f>IFERROR(N(INDEX(ar_Posted,367)),0)</f>
        <v/>
      </c>
      <c r="I2373" s="58">
        <f>IF(H2373=1,INDEX(ar_DrAcct,367)&amp;"","")</f>
        <v/>
      </c>
      <c r="J2373" s="95">
        <f>IF(H2373=1,INDEX(ar_DrAmt,367),0)</f>
        <v/>
      </c>
      <c r="K2373" s="58">
        <f>IF(H2373=1,INDEX(ar_CrAcct,367)&amp;"","")</f>
        <v/>
      </c>
      <c r="L2373" s="95">
        <f>IF(H2373=1,INDEX(ar_CrAmt,367),0)</f>
        <v/>
      </c>
      <c r="M2373" s="95" t="n">
        <v>0</v>
      </c>
      <c r="N2373" s="95">
        <f>IF(H2373=1,INDEX(ar_TaxAmt,367),0)</f>
        <v/>
      </c>
      <c r="O2373" s="101">
        <f>IF(H2373=1,IF(E2373&lt;FYStart,0,IF(E2373&gt;FYEnd,13,YEAR(E2373)*12+MONTH(E2373)-FYYM+1)),"")</f>
        <v/>
      </c>
      <c r="P2373" s="101">
        <f>IF(H2373=1,IF(IFERROR(INDEX(coa_CF,MATCH(I2373,coa_Name,0)),"")="Cash",1,0),0)</f>
        <v/>
      </c>
      <c r="Q2373" s="101">
        <f>IF(H2373=1,IF(IFERROR(INDEX(coa_CF,MATCH(K2373,coa_Name,0)),"")="Cash",1,0),0)</f>
        <v/>
      </c>
      <c r="R2373" s="58">
        <f>IF((P2373-Q2373)=0,"",IFERROR(INDEX(coa_CF,MATCH(IF((P2373-Q2373)=1,K2373,I2373),coa_Name,0)),"Operating"))</f>
        <v/>
      </c>
      <c r="S2373" s="95">
        <f>IF((P2373-Q2373)=1,L2373,IF((P2373-Q2373)=-1,-J2373,0))</f>
        <v/>
      </c>
      <c r="T2373" s="95">
        <f>IF((P2373-Q2373)=1,N2373,IF((P2373-Q2373)=-1,-M2373,0))</f>
        <v/>
      </c>
      <c r="U2373" s="101">
        <f>IF(AND(H2373=1,LedAcct&lt;&gt;""),IF(AND(E2373&gt;=LedFrom,E2373&lt;=LedTo,OR(I2373=LedAcct,K2373=LedAcct,AND(LedAcct=acctTax,M2373+N2373&lt;&gt;0))),E2373*10000+B2373,""),"")</f>
        <v/>
      </c>
    </row>
    <row r="2374">
      <c r="B2374" s="101" t="n">
        <v>2368</v>
      </c>
      <c r="C2374" s="58" t="inlineStr">
        <is>
          <t>Invoice</t>
        </is>
      </c>
      <c r="D2374" s="58">
        <f>IF(H2374=1,INDEX(ar_No,368)&amp;"","")</f>
        <v/>
      </c>
      <c r="E2374" s="94">
        <f>IF(H2374=1,INDEX(ar_Date,368),"")</f>
        <v/>
      </c>
      <c r="F2374" s="58">
        <f>IF(H2374=1,INDEX(ar_Desc,368)&amp;"","")</f>
        <v/>
      </c>
      <c r="G2374" s="58">
        <f>IF(H2374=1,INDEX(ar_Party,368)&amp;"","")</f>
        <v/>
      </c>
      <c r="H2374" s="101">
        <f>IFERROR(N(INDEX(ar_Posted,368)),0)</f>
        <v/>
      </c>
      <c r="I2374" s="58">
        <f>IF(H2374=1,INDEX(ar_DrAcct,368)&amp;"","")</f>
        <v/>
      </c>
      <c r="J2374" s="95">
        <f>IF(H2374=1,INDEX(ar_DrAmt,368),0)</f>
        <v/>
      </c>
      <c r="K2374" s="58">
        <f>IF(H2374=1,INDEX(ar_CrAcct,368)&amp;"","")</f>
        <v/>
      </c>
      <c r="L2374" s="95">
        <f>IF(H2374=1,INDEX(ar_CrAmt,368),0)</f>
        <v/>
      </c>
      <c r="M2374" s="95" t="n">
        <v>0</v>
      </c>
      <c r="N2374" s="95">
        <f>IF(H2374=1,INDEX(ar_TaxAmt,368),0)</f>
        <v/>
      </c>
      <c r="O2374" s="101">
        <f>IF(H2374=1,IF(E2374&lt;FYStart,0,IF(E2374&gt;FYEnd,13,YEAR(E2374)*12+MONTH(E2374)-FYYM+1)),"")</f>
        <v/>
      </c>
      <c r="P2374" s="101">
        <f>IF(H2374=1,IF(IFERROR(INDEX(coa_CF,MATCH(I2374,coa_Name,0)),"")="Cash",1,0),0)</f>
        <v/>
      </c>
      <c r="Q2374" s="101">
        <f>IF(H2374=1,IF(IFERROR(INDEX(coa_CF,MATCH(K2374,coa_Name,0)),"")="Cash",1,0),0)</f>
        <v/>
      </c>
      <c r="R2374" s="58">
        <f>IF((P2374-Q2374)=0,"",IFERROR(INDEX(coa_CF,MATCH(IF((P2374-Q2374)=1,K2374,I2374),coa_Name,0)),"Operating"))</f>
        <v/>
      </c>
      <c r="S2374" s="95">
        <f>IF((P2374-Q2374)=1,L2374,IF((P2374-Q2374)=-1,-J2374,0))</f>
        <v/>
      </c>
      <c r="T2374" s="95">
        <f>IF((P2374-Q2374)=1,N2374,IF((P2374-Q2374)=-1,-M2374,0))</f>
        <v/>
      </c>
      <c r="U2374" s="101">
        <f>IF(AND(H2374=1,LedAcct&lt;&gt;""),IF(AND(E2374&gt;=LedFrom,E2374&lt;=LedTo,OR(I2374=LedAcct,K2374=LedAcct,AND(LedAcct=acctTax,M2374+N2374&lt;&gt;0))),E2374*10000+B2374,""),"")</f>
        <v/>
      </c>
    </row>
    <row r="2375">
      <c r="B2375" s="101" t="n">
        <v>2369</v>
      </c>
      <c r="C2375" s="58" t="inlineStr">
        <is>
          <t>Invoice</t>
        </is>
      </c>
      <c r="D2375" s="58">
        <f>IF(H2375=1,INDEX(ar_No,369)&amp;"","")</f>
        <v/>
      </c>
      <c r="E2375" s="94">
        <f>IF(H2375=1,INDEX(ar_Date,369),"")</f>
        <v/>
      </c>
      <c r="F2375" s="58">
        <f>IF(H2375=1,INDEX(ar_Desc,369)&amp;"","")</f>
        <v/>
      </c>
      <c r="G2375" s="58">
        <f>IF(H2375=1,INDEX(ar_Party,369)&amp;"","")</f>
        <v/>
      </c>
      <c r="H2375" s="101">
        <f>IFERROR(N(INDEX(ar_Posted,369)),0)</f>
        <v/>
      </c>
      <c r="I2375" s="58">
        <f>IF(H2375=1,INDEX(ar_DrAcct,369)&amp;"","")</f>
        <v/>
      </c>
      <c r="J2375" s="95">
        <f>IF(H2375=1,INDEX(ar_DrAmt,369),0)</f>
        <v/>
      </c>
      <c r="K2375" s="58">
        <f>IF(H2375=1,INDEX(ar_CrAcct,369)&amp;"","")</f>
        <v/>
      </c>
      <c r="L2375" s="95">
        <f>IF(H2375=1,INDEX(ar_CrAmt,369),0)</f>
        <v/>
      </c>
      <c r="M2375" s="95" t="n">
        <v>0</v>
      </c>
      <c r="N2375" s="95">
        <f>IF(H2375=1,INDEX(ar_TaxAmt,369),0)</f>
        <v/>
      </c>
      <c r="O2375" s="101">
        <f>IF(H2375=1,IF(E2375&lt;FYStart,0,IF(E2375&gt;FYEnd,13,YEAR(E2375)*12+MONTH(E2375)-FYYM+1)),"")</f>
        <v/>
      </c>
      <c r="P2375" s="101">
        <f>IF(H2375=1,IF(IFERROR(INDEX(coa_CF,MATCH(I2375,coa_Name,0)),"")="Cash",1,0),0)</f>
        <v/>
      </c>
      <c r="Q2375" s="101">
        <f>IF(H2375=1,IF(IFERROR(INDEX(coa_CF,MATCH(K2375,coa_Name,0)),"")="Cash",1,0),0)</f>
        <v/>
      </c>
      <c r="R2375" s="58">
        <f>IF((P2375-Q2375)=0,"",IFERROR(INDEX(coa_CF,MATCH(IF((P2375-Q2375)=1,K2375,I2375),coa_Name,0)),"Operating"))</f>
        <v/>
      </c>
      <c r="S2375" s="95">
        <f>IF((P2375-Q2375)=1,L2375,IF((P2375-Q2375)=-1,-J2375,0))</f>
        <v/>
      </c>
      <c r="T2375" s="95">
        <f>IF((P2375-Q2375)=1,N2375,IF((P2375-Q2375)=-1,-M2375,0))</f>
        <v/>
      </c>
      <c r="U2375" s="101">
        <f>IF(AND(H2375=1,LedAcct&lt;&gt;""),IF(AND(E2375&gt;=LedFrom,E2375&lt;=LedTo,OR(I2375=LedAcct,K2375=LedAcct,AND(LedAcct=acctTax,M2375+N2375&lt;&gt;0))),E2375*10000+B2375,""),"")</f>
        <v/>
      </c>
    </row>
    <row r="2376">
      <c r="B2376" s="101" t="n">
        <v>2370</v>
      </c>
      <c r="C2376" s="58" t="inlineStr">
        <is>
          <t>Invoice</t>
        </is>
      </c>
      <c r="D2376" s="58">
        <f>IF(H2376=1,INDEX(ar_No,370)&amp;"","")</f>
        <v/>
      </c>
      <c r="E2376" s="94">
        <f>IF(H2376=1,INDEX(ar_Date,370),"")</f>
        <v/>
      </c>
      <c r="F2376" s="58">
        <f>IF(H2376=1,INDEX(ar_Desc,370)&amp;"","")</f>
        <v/>
      </c>
      <c r="G2376" s="58">
        <f>IF(H2376=1,INDEX(ar_Party,370)&amp;"","")</f>
        <v/>
      </c>
      <c r="H2376" s="101">
        <f>IFERROR(N(INDEX(ar_Posted,370)),0)</f>
        <v/>
      </c>
      <c r="I2376" s="58">
        <f>IF(H2376=1,INDEX(ar_DrAcct,370)&amp;"","")</f>
        <v/>
      </c>
      <c r="J2376" s="95">
        <f>IF(H2376=1,INDEX(ar_DrAmt,370),0)</f>
        <v/>
      </c>
      <c r="K2376" s="58">
        <f>IF(H2376=1,INDEX(ar_CrAcct,370)&amp;"","")</f>
        <v/>
      </c>
      <c r="L2376" s="95">
        <f>IF(H2376=1,INDEX(ar_CrAmt,370),0)</f>
        <v/>
      </c>
      <c r="M2376" s="95" t="n">
        <v>0</v>
      </c>
      <c r="N2376" s="95">
        <f>IF(H2376=1,INDEX(ar_TaxAmt,370),0)</f>
        <v/>
      </c>
      <c r="O2376" s="101">
        <f>IF(H2376=1,IF(E2376&lt;FYStart,0,IF(E2376&gt;FYEnd,13,YEAR(E2376)*12+MONTH(E2376)-FYYM+1)),"")</f>
        <v/>
      </c>
      <c r="P2376" s="101">
        <f>IF(H2376=1,IF(IFERROR(INDEX(coa_CF,MATCH(I2376,coa_Name,0)),"")="Cash",1,0),0)</f>
        <v/>
      </c>
      <c r="Q2376" s="101">
        <f>IF(H2376=1,IF(IFERROR(INDEX(coa_CF,MATCH(K2376,coa_Name,0)),"")="Cash",1,0),0)</f>
        <v/>
      </c>
      <c r="R2376" s="58">
        <f>IF((P2376-Q2376)=0,"",IFERROR(INDEX(coa_CF,MATCH(IF((P2376-Q2376)=1,K2376,I2376),coa_Name,0)),"Operating"))</f>
        <v/>
      </c>
      <c r="S2376" s="95">
        <f>IF((P2376-Q2376)=1,L2376,IF((P2376-Q2376)=-1,-J2376,0))</f>
        <v/>
      </c>
      <c r="T2376" s="95">
        <f>IF((P2376-Q2376)=1,N2376,IF((P2376-Q2376)=-1,-M2376,0))</f>
        <v/>
      </c>
      <c r="U2376" s="101">
        <f>IF(AND(H2376=1,LedAcct&lt;&gt;""),IF(AND(E2376&gt;=LedFrom,E2376&lt;=LedTo,OR(I2376=LedAcct,K2376=LedAcct,AND(LedAcct=acctTax,M2376+N2376&lt;&gt;0))),E2376*10000+B2376,""),"")</f>
        <v/>
      </c>
    </row>
    <row r="2377">
      <c r="B2377" s="101" t="n">
        <v>2371</v>
      </c>
      <c r="C2377" s="58" t="inlineStr">
        <is>
          <t>Invoice</t>
        </is>
      </c>
      <c r="D2377" s="58">
        <f>IF(H2377=1,INDEX(ar_No,371)&amp;"","")</f>
        <v/>
      </c>
      <c r="E2377" s="94">
        <f>IF(H2377=1,INDEX(ar_Date,371),"")</f>
        <v/>
      </c>
      <c r="F2377" s="58">
        <f>IF(H2377=1,INDEX(ar_Desc,371)&amp;"","")</f>
        <v/>
      </c>
      <c r="G2377" s="58">
        <f>IF(H2377=1,INDEX(ar_Party,371)&amp;"","")</f>
        <v/>
      </c>
      <c r="H2377" s="101">
        <f>IFERROR(N(INDEX(ar_Posted,371)),0)</f>
        <v/>
      </c>
      <c r="I2377" s="58">
        <f>IF(H2377=1,INDEX(ar_DrAcct,371)&amp;"","")</f>
        <v/>
      </c>
      <c r="J2377" s="95">
        <f>IF(H2377=1,INDEX(ar_DrAmt,371),0)</f>
        <v/>
      </c>
      <c r="K2377" s="58">
        <f>IF(H2377=1,INDEX(ar_CrAcct,371)&amp;"","")</f>
        <v/>
      </c>
      <c r="L2377" s="95">
        <f>IF(H2377=1,INDEX(ar_CrAmt,371),0)</f>
        <v/>
      </c>
      <c r="M2377" s="95" t="n">
        <v>0</v>
      </c>
      <c r="N2377" s="95">
        <f>IF(H2377=1,INDEX(ar_TaxAmt,371),0)</f>
        <v/>
      </c>
      <c r="O2377" s="101">
        <f>IF(H2377=1,IF(E2377&lt;FYStart,0,IF(E2377&gt;FYEnd,13,YEAR(E2377)*12+MONTH(E2377)-FYYM+1)),"")</f>
        <v/>
      </c>
      <c r="P2377" s="101">
        <f>IF(H2377=1,IF(IFERROR(INDEX(coa_CF,MATCH(I2377,coa_Name,0)),"")="Cash",1,0),0)</f>
        <v/>
      </c>
      <c r="Q2377" s="101">
        <f>IF(H2377=1,IF(IFERROR(INDEX(coa_CF,MATCH(K2377,coa_Name,0)),"")="Cash",1,0),0)</f>
        <v/>
      </c>
      <c r="R2377" s="58">
        <f>IF((P2377-Q2377)=0,"",IFERROR(INDEX(coa_CF,MATCH(IF((P2377-Q2377)=1,K2377,I2377),coa_Name,0)),"Operating"))</f>
        <v/>
      </c>
      <c r="S2377" s="95">
        <f>IF((P2377-Q2377)=1,L2377,IF((P2377-Q2377)=-1,-J2377,0))</f>
        <v/>
      </c>
      <c r="T2377" s="95">
        <f>IF((P2377-Q2377)=1,N2377,IF((P2377-Q2377)=-1,-M2377,0))</f>
        <v/>
      </c>
      <c r="U2377" s="101">
        <f>IF(AND(H2377=1,LedAcct&lt;&gt;""),IF(AND(E2377&gt;=LedFrom,E2377&lt;=LedTo,OR(I2377=LedAcct,K2377=LedAcct,AND(LedAcct=acctTax,M2377+N2377&lt;&gt;0))),E2377*10000+B2377,""),"")</f>
        <v/>
      </c>
    </row>
    <row r="2378">
      <c r="B2378" s="101" t="n">
        <v>2372</v>
      </c>
      <c r="C2378" s="58" t="inlineStr">
        <is>
          <t>Invoice</t>
        </is>
      </c>
      <c r="D2378" s="58">
        <f>IF(H2378=1,INDEX(ar_No,372)&amp;"","")</f>
        <v/>
      </c>
      <c r="E2378" s="94">
        <f>IF(H2378=1,INDEX(ar_Date,372),"")</f>
        <v/>
      </c>
      <c r="F2378" s="58">
        <f>IF(H2378=1,INDEX(ar_Desc,372)&amp;"","")</f>
        <v/>
      </c>
      <c r="G2378" s="58">
        <f>IF(H2378=1,INDEX(ar_Party,372)&amp;"","")</f>
        <v/>
      </c>
      <c r="H2378" s="101">
        <f>IFERROR(N(INDEX(ar_Posted,372)),0)</f>
        <v/>
      </c>
      <c r="I2378" s="58">
        <f>IF(H2378=1,INDEX(ar_DrAcct,372)&amp;"","")</f>
        <v/>
      </c>
      <c r="J2378" s="95">
        <f>IF(H2378=1,INDEX(ar_DrAmt,372),0)</f>
        <v/>
      </c>
      <c r="K2378" s="58">
        <f>IF(H2378=1,INDEX(ar_CrAcct,372)&amp;"","")</f>
        <v/>
      </c>
      <c r="L2378" s="95">
        <f>IF(H2378=1,INDEX(ar_CrAmt,372),0)</f>
        <v/>
      </c>
      <c r="M2378" s="95" t="n">
        <v>0</v>
      </c>
      <c r="N2378" s="95">
        <f>IF(H2378=1,INDEX(ar_TaxAmt,372),0)</f>
        <v/>
      </c>
      <c r="O2378" s="101">
        <f>IF(H2378=1,IF(E2378&lt;FYStart,0,IF(E2378&gt;FYEnd,13,YEAR(E2378)*12+MONTH(E2378)-FYYM+1)),"")</f>
        <v/>
      </c>
      <c r="P2378" s="101">
        <f>IF(H2378=1,IF(IFERROR(INDEX(coa_CF,MATCH(I2378,coa_Name,0)),"")="Cash",1,0),0)</f>
        <v/>
      </c>
      <c r="Q2378" s="101">
        <f>IF(H2378=1,IF(IFERROR(INDEX(coa_CF,MATCH(K2378,coa_Name,0)),"")="Cash",1,0),0)</f>
        <v/>
      </c>
      <c r="R2378" s="58">
        <f>IF((P2378-Q2378)=0,"",IFERROR(INDEX(coa_CF,MATCH(IF((P2378-Q2378)=1,K2378,I2378),coa_Name,0)),"Operating"))</f>
        <v/>
      </c>
      <c r="S2378" s="95">
        <f>IF((P2378-Q2378)=1,L2378,IF((P2378-Q2378)=-1,-J2378,0))</f>
        <v/>
      </c>
      <c r="T2378" s="95">
        <f>IF((P2378-Q2378)=1,N2378,IF((P2378-Q2378)=-1,-M2378,0))</f>
        <v/>
      </c>
      <c r="U2378" s="101">
        <f>IF(AND(H2378=1,LedAcct&lt;&gt;""),IF(AND(E2378&gt;=LedFrom,E2378&lt;=LedTo,OR(I2378=LedAcct,K2378=LedAcct,AND(LedAcct=acctTax,M2378+N2378&lt;&gt;0))),E2378*10000+B2378,""),"")</f>
        <v/>
      </c>
    </row>
    <row r="2379">
      <c r="B2379" s="101" t="n">
        <v>2373</v>
      </c>
      <c r="C2379" s="58" t="inlineStr">
        <is>
          <t>Invoice</t>
        </is>
      </c>
      <c r="D2379" s="58">
        <f>IF(H2379=1,INDEX(ar_No,373)&amp;"","")</f>
        <v/>
      </c>
      <c r="E2379" s="94">
        <f>IF(H2379=1,INDEX(ar_Date,373),"")</f>
        <v/>
      </c>
      <c r="F2379" s="58">
        <f>IF(H2379=1,INDEX(ar_Desc,373)&amp;"","")</f>
        <v/>
      </c>
      <c r="G2379" s="58">
        <f>IF(H2379=1,INDEX(ar_Party,373)&amp;"","")</f>
        <v/>
      </c>
      <c r="H2379" s="101">
        <f>IFERROR(N(INDEX(ar_Posted,373)),0)</f>
        <v/>
      </c>
      <c r="I2379" s="58">
        <f>IF(H2379=1,INDEX(ar_DrAcct,373)&amp;"","")</f>
        <v/>
      </c>
      <c r="J2379" s="95">
        <f>IF(H2379=1,INDEX(ar_DrAmt,373),0)</f>
        <v/>
      </c>
      <c r="K2379" s="58">
        <f>IF(H2379=1,INDEX(ar_CrAcct,373)&amp;"","")</f>
        <v/>
      </c>
      <c r="L2379" s="95">
        <f>IF(H2379=1,INDEX(ar_CrAmt,373),0)</f>
        <v/>
      </c>
      <c r="M2379" s="95" t="n">
        <v>0</v>
      </c>
      <c r="N2379" s="95">
        <f>IF(H2379=1,INDEX(ar_TaxAmt,373),0)</f>
        <v/>
      </c>
      <c r="O2379" s="101">
        <f>IF(H2379=1,IF(E2379&lt;FYStart,0,IF(E2379&gt;FYEnd,13,YEAR(E2379)*12+MONTH(E2379)-FYYM+1)),"")</f>
        <v/>
      </c>
      <c r="P2379" s="101">
        <f>IF(H2379=1,IF(IFERROR(INDEX(coa_CF,MATCH(I2379,coa_Name,0)),"")="Cash",1,0),0)</f>
        <v/>
      </c>
      <c r="Q2379" s="101">
        <f>IF(H2379=1,IF(IFERROR(INDEX(coa_CF,MATCH(K2379,coa_Name,0)),"")="Cash",1,0),0)</f>
        <v/>
      </c>
      <c r="R2379" s="58">
        <f>IF((P2379-Q2379)=0,"",IFERROR(INDEX(coa_CF,MATCH(IF((P2379-Q2379)=1,K2379,I2379),coa_Name,0)),"Operating"))</f>
        <v/>
      </c>
      <c r="S2379" s="95">
        <f>IF((P2379-Q2379)=1,L2379,IF((P2379-Q2379)=-1,-J2379,0))</f>
        <v/>
      </c>
      <c r="T2379" s="95">
        <f>IF((P2379-Q2379)=1,N2379,IF((P2379-Q2379)=-1,-M2379,0))</f>
        <v/>
      </c>
      <c r="U2379" s="101">
        <f>IF(AND(H2379=1,LedAcct&lt;&gt;""),IF(AND(E2379&gt;=LedFrom,E2379&lt;=LedTo,OR(I2379=LedAcct,K2379=LedAcct,AND(LedAcct=acctTax,M2379+N2379&lt;&gt;0))),E2379*10000+B2379,""),"")</f>
        <v/>
      </c>
    </row>
    <row r="2380">
      <c r="B2380" s="101" t="n">
        <v>2374</v>
      </c>
      <c r="C2380" s="58" t="inlineStr">
        <is>
          <t>Invoice</t>
        </is>
      </c>
      <c r="D2380" s="58">
        <f>IF(H2380=1,INDEX(ar_No,374)&amp;"","")</f>
        <v/>
      </c>
      <c r="E2380" s="94">
        <f>IF(H2380=1,INDEX(ar_Date,374),"")</f>
        <v/>
      </c>
      <c r="F2380" s="58">
        <f>IF(H2380=1,INDEX(ar_Desc,374)&amp;"","")</f>
        <v/>
      </c>
      <c r="G2380" s="58">
        <f>IF(H2380=1,INDEX(ar_Party,374)&amp;"","")</f>
        <v/>
      </c>
      <c r="H2380" s="101">
        <f>IFERROR(N(INDEX(ar_Posted,374)),0)</f>
        <v/>
      </c>
      <c r="I2380" s="58">
        <f>IF(H2380=1,INDEX(ar_DrAcct,374)&amp;"","")</f>
        <v/>
      </c>
      <c r="J2380" s="95">
        <f>IF(H2380=1,INDEX(ar_DrAmt,374),0)</f>
        <v/>
      </c>
      <c r="K2380" s="58">
        <f>IF(H2380=1,INDEX(ar_CrAcct,374)&amp;"","")</f>
        <v/>
      </c>
      <c r="L2380" s="95">
        <f>IF(H2380=1,INDEX(ar_CrAmt,374),0)</f>
        <v/>
      </c>
      <c r="M2380" s="95" t="n">
        <v>0</v>
      </c>
      <c r="N2380" s="95">
        <f>IF(H2380=1,INDEX(ar_TaxAmt,374),0)</f>
        <v/>
      </c>
      <c r="O2380" s="101">
        <f>IF(H2380=1,IF(E2380&lt;FYStart,0,IF(E2380&gt;FYEnd,13,YEAR(E2380)*12+MONTH(E2380)-FYYM+1)),"")</f>
        <v/>
      </c>
      <c r="P2380" s="101">
        <f>IF(H2380=1,IF(IFERROR(INDEX(coa_CF,MATCH(I2380,coa_Name,0)),"")="Cash",1,0),0)</f>
        <v/>
      </c>
      <c r="Q2380" s="101">
        <f>IF(H2380=1,IF(IFERROR(INDEX(coa_CF,MATCH(K2380,coa_Name,0)),"")="Cash",1,0),0)</f>
        <v/>
      </c>
      <c r="R2380" s="58">
        <f>IF((P2380-Q2380)=0,"",IFERROR(INDEX(coa_CF,MATCH(IF((P2380-Q2380)=1,K2380,I2380),coa_Name,0)),"Operating"))</f>
        <v/>
      </c>
      <c r="S2380" s="95">
        <f>IF((P2380-Q2380)=1,L2380,IF((P2380-Q2380)=-1,-J2380,0))</f>
        <v/>
      </c>
      <c r="T2380" s="95">
        <f>IF((P2380-Q2380)=1,N2380,IF((P2380-Q2380)=-1,-M2380,0))</f>
        <v/>
      </c>
      <c r="U2380" s="101">
        <f>IF(AND(H2380=1,LedAcct&lt;&gt;""),IF(AND(E2380&gt;=LedFrom,E2380&lt;=LedTo,OR(I2380=LedAcct,K2380=LedAcct,AND(LedAcct=acctTax,M2380+N2380&lt;&gt;0))),E2380*10000+B2380,""),"")</f>
        <v/>
      </c>
    </row>
    <row r="2381">
      <c r="B2381" s="101" t="n">
        <v>2375</v>
      </c>
      <c r="C2381" s="58" t="inlineStr">
        <is>
          <t>Invoice</t>
        </is>
      </c>
      <c r="D2381" s="58">
        <f>IF(H2381=1,INDEX(ar_No,375)&amp;"","")</f>
        <v/>
      </c>
      <c r="E2381" s="94">
        <f>IF(H2381=1,INDEX(ar_Date,375),"")</f>
        <v/>
      </c>
      <c r="F2381" s="58">
        <f>IF(H2381=1,INDEX(ar_Desc,375)&amp;"","")</f>
        <v/>
      </c>
      <c r="G2381" s="58">
        <f>IF(H2381=1,INDEX(ar_Party,375)&amp;"","")</f>
        <v/>
      </c>
      <c r="H2381" s="101">
        <f>IFERROR(N(INDEX(ar_Posted,375)),0)</f>
        <v/>
      </c>
      <c r="I2381" s="58">
        <f>IF(H2381=1,INDEX(ar_DrAcct,375)&amp;"","")</f>
        <v/>
      </c>
      <c r="J2381" s="95">
        <f>IF(H2381=1,INDEX(ar_DrAmt,375),0)</f>
        <v/>
      </c>
      <c r="K2381" s="58">
        <f>IF(H2381=1,INDEX(ar_CrAcct,375)&amp;"","")</f>
        <v/>
      </c>
      <c r="L2381" s="95">
        <f>IF(H2381=1,INDEX(ar_CrAmt,375),0)</f>
        <v/>
      </c>
      <c r="M2381" s="95" t="n">
        <v>0</v>
      </c>
      <c r="N2381" s="95">
        <f>IF(H2381=1,INDEX(ar_TaxAmt,375),0)</f>
        <v/>
      </c>
      <c r="O2381" s="101">
        <f>IF(H2381=1,IF(E2381&lt;FYStart,0,IF(E2381&gt;FYEnd,13,YEAR(E2381)*12+MONTH(E2381)-FYYM+1)),"")</f>
        <v/>
      </c>
      <c r="P2381" s="101">
        <f>IF(H2381=1,IF(IFERROR(INDEX(coa_CF,MATCH(I2381,coa_Name,0)),"")="Cash",1,0),0)</f>
        <v/>
      </c>
      <c r="Q2381" s="101">
        <f>IF(H2381=1,IF(IFERROR(INDEX(coa_CF,MATCH(K2381,coa_Name,0)),"")="Cash",1,0),0)</f>
        <v/>
      </c>
      <c r="R2381" s="58">
        <f>IF((P2381-Q2381)=0,"",IFERROR(INDEX(coa_CF,MATCH(IF((P2381-Q2381)=1,K2381,I2381),coa_Name,0)),"Operating"))</f>
        <v/>
      </c>
      <c r="S2381" s="95">
        <f>IF((P2381-Q2381)=1,L2381,IF((P2381-Q2381)=-1,-J2381,0))</f>
        <v/>
      </c>
      <c r="T2381" s="95">
        <f>IF((P2381-Q2381)=1,N2381,IF((P2381-Q2381)=-1,-M2381,0))</f>
        <v/>
      </c>
      <c r="U2381" s="101">
        <f>IF(AND(H2381=1,LedAcct&lt;&gt;""),IF(AND(E2381&gt;=LedFrom,E2381&lt;=LedTo,OR(I2381=LedAcct,K2381=LedAcct,AND(LedAcct=acctTax,M2381+N2381&lt;&gt;0))),E2381*10000+B2381,""),"")</f>
        <v/>
      </c>
    </row>
    <row r="2382">
      <c r="B2382" s="101" t="n">
        <v>2376</v>
      </c>
      <c r="C2382" s="58" t="inlineStr">
        <is>
          <t>Invoice</t>
        </is>
      </c>
      <c r="D2382" s="58">
        <f>IF(H2382=1,INDEX(ar_No,376)&amp;"","")</f>
        <v/>
      </c>
      <c r="E2382" s="94">
        <f>IF(H2382=1,INDEX(ar_Date,376),"")</f>
        <v/>
      </c>
      <c r="F2382" s="58">
        <f>IF(H2382=1,INDEX(ar_Desc,376)&amp;"","")</f>
        <v/>
      </c>
      <c r="G2382" s="58">
        <f>IF(H2382=1,INDEX(ar_Party,376)&amp;"","")</f>
        <v/>
      </c>
      <c r="H2382" s="101">
        <f>IFERROR(N(INDEX(ar_Posted,376)),0)</f>
        <v/>
      </c>
      <c r="I2382" s="58">
        <f>IF(H2382=1,INDEX(ar_DrAcct,376)&amp;"","")</f>
        <v/>
      </c>
      <c r="J2382" s="95">
        <f>IF(H2382=1,INDEX(ar_DrAmt,376),0)</f>
        <v/>
      </c>
      <c r="K2382" s="58">
        <f>IF(H2382=1,INDEX(ar_CrAcct,376)&amp;"","")</f>
        <v/>
      </c>
      <c r="L2382" s="95">
        <f>IF(H2382=1,INDEX(ar_CrAmt,376),0)</f>
        <v/>
      </c>
      <c r="M2382" s="95" t="n">
        <v>0</v>
      </c>
      <c r="N2382" s="95">
        <f>IF(H2382=1,INDEX(ar_TaxAmt,376),0)</f>
        <v/>
      </c>
      <c r="O2382" s="101">
        <f>IF(H2382=1,IF(E2382&lt;FYStart,0,IF(E2382&gt;FYEnd,13,YEAR(E2382)*12+MONTH(E2382)-FYYM+1)),"")</f>
        <v/>
      </c>
      <c r="P2382" s="101">
        <f>IF(H2382=1,IF(IFERROR(INDEX(coa_CF,MATCH(I2382,coa_Name,0)),"")="Cash",1,0),0)</f>
        <v/>
      </c>
      <c r="Q2382" s="101">
        <f>IF(H2382=1,IF(IFERROR(INDEX(coa_CF,MATCH(K2382,coa_Name,0)),"")="Cash",1,0),0)</f>
        <v/>
      </c>
      <c r="R2382" s="58">
        <f>IF((P2382-Q2382)=0,"",IFERROR(INDEX(coa_CF,MATCH(IF((P2382-Q2382)=1,K2382,I2382),coa_Name,0)),"Operating"))</f>
        <v/>
      </c>
      <c r="S2382" s="95">
        <f>IF((P2382-Q2382)=1,L2382,IF((P2382-Q2382)=-1,-J2382,0))</f>
        <v/>
      </c>
      <c r="T2382" s="95">
        <f>IF((P2382-Q2382)=1,N2382,IF((P2382-Q2382)=-1,-M2382,0))</f>
        <v/>
      </c>
      <c r="U2382" s="101">
        <f>IF(AND(H2382=1,LedAcct&lt;&gt;""),IF(AND(E2382&gt;=LedFrom,E2382&lt;=LedTo,OR(I2382=LedAcct,K2382=LedAcct,AND(LedAcct=acctTax,M2382+N2382&lt;&gt;0))),E2382*10000+B2382,""),"")</f>
        <v/>
      </c>
    </row>
    <row r="2383">
      <c r="B2383" s="101" t="n">
        <v>2377</v>
      </c>
      <c r="C2383" s="58" t="inlineStr">
        <is>
          <t>Invoice</t>
        </is>
      </c>
      <c r="D2383" s="58">
        <f>IF(H2383=1,INDEX(ar_No,377)&amp;"","")</f>
        <v/>
      </c>
      <c r="E2383" s="94">
        <f>IF(H2383=1,INDEX(ar_Date,377),"")</f>
        <v/>
      </c>
      <c r="F2383" s="58">
        <f>IF(H2383=1,INDEX(ar_Desc,377)&amp;"","")</f>
        <v/>
      </c>
      <c r="G2383" s="58">
        <f>IF(H2383=1,INDEX(ar_Party,377)&amp;"","")</f>
        <v/>
      </c>
      <c r="H2383" s="101">
        <f>IFERROR(N(INDEX(ar_Posted,377)),0)</f>
        <v/>
      </c>
      <c r="I2383" s="58">
        <f>IF(H2383=1,INDEX(ar_DrAcct,377)&amp;"","")</f>
        <v/>
      </c>
      <c r="J2383" s="95">
        <f>IF(H2383=1,INDEX(ar_DrAmt,377),0)</f>
        <v/>
      </c>
      <c r="K2383" s="58">
        <f>IF(H2383=1,INDEX(ar_CrAcct,377)&amp;"","")</f>
        <v/>
      </c>
      <c r="L2383" s="95">
        <f>IF(H2383=1,INDEX(ar_CrAmt,377),0)</f>
        <v/>
      </c>
      <c r="M2383" s="95" t="n">
        <v>0</v>
      </c>
      <c r="N2383" s="95">
        <f>IF(H2383=1,INDEX(ar_TaxAmt,377),0)</f>
        <v/>
      </c>
      <c r="O2383" s="101">
        <f>IF(H2383=1,IF(E2383&lt;FYStart,0,IF(E2383&gt;FYEnd,13,YEAR(E2383)*12+MONTH(E2383)-FYYM+1)),"")</f>
        <v/>
      </c>
      <c r="P2383" s="101">
        <f>IF(H2383=1,IF(IFERROR(INDEX(coa_CF,MATCH(I2383,coa_Name,0)),"")="Cash",1,0),0)</f>
        <v/>
      </c>
      <c r="Q2383" s="101">
        <f>IF(H2383=1,IF(IFERROR(INDEX(coa_CF,MATCH(K2383,coa_Name,0)),"")="Cash",1,0),0)</f>
        <v/>
      </c>
      <c r="R2383" s="58">
        <f>IF((P2383-Q2383)=0,"",IFERROR(INDEX(coa_CF,MATCH(IF((P2383-Q2383)=1,K2383,I2383),coa_Name,0)),"Operating"))</f>
        <v/>
      </c>
      <c r="S2383" s="95">
        <f>IF((P2383-Q2383)=1,L2383,IF((P2383-Q2383)=-1,-J2383,0))</f>
        <v/>
      </c>
      <c r="T2383" s="95">
        <f>IF((P2383-Q2383)=1,N2383,IF((P2383-Q2383)=-1,-M2383,0))</f>
        <v/>
      </c>
      <c r="U2383" s="101">
        <f>IF(AND(H2383=1,LedAcct&lt;&gt;""),IF(AND(E2383&gt;=LedFrom,E2383&lt;=LedTo,OR(I2383=LedAcct,K2383=LedAcct,AND(LedAcct=acctTax,M2383+N2383&lt;&gt;0))),E2383*10000+B2383,""),"")</f>
        <v/>
      </c>
    </row>
    <row r="2384">
      <c r="B2384" s="101" t="n">
        <v>2378</v>
      </c>
      <c r="C2384" s="58" t="inlineStr">
        <is>
          <t>Invoice</t>
        </is>
      </c>
      <c r="D2384" s="58">
        <f>IF(H2384=1,INDEX(ar_No,378)&amp;"","")</f>
        <v/>
      </c>
      <c r="E2384" s="94">
        <f>IF(H2384=1,INDEX(ar_Date,378),"")</f>
        <v/>
      </c>
      <c r="F2384" s="58">
        <f>IF(H2384=1,INDEX(ar_Desc,378)&amp;"","")</f>
        <v/>
      </c>
      <c r="G2384" s="58">
        <f>IF(H2384=1,INDEX(ar_Party,378)&amp;"","")</f>
        <v/>
      </c>
      <c r="H2384" s="101">
        <f>IFERROR(N(INDEX(ar_Posted,378)),0)</f>
        <v/>
      </c>
      <c r="I2384" s="58">
        <f>IF(H2384=1,INDEX(ar_DrAcct,378)&amp;"","")</f>
        <v/>
      </c>
      <c r="J2384" s="95">
        <f>IF(H2384=1,INDEX(ar_DrAmt,378),0)</f>
        <v/>
      </c>
      <c r="K2384" s="58">
        <f>IF(H2384=1,INDEX(ar_CrAcct,378)&amp;"","")</f>
        <v/>
      </c>
      <c r="L2384" s="95">
        <f>IF(H2384=1,INDEX(ar_CrAmt,378),0)</f>
        <v/>
      </c>
      <c r="M2384" s="95" t="n">
        <v>0</v>
      </c>
      <c r="N2384" s="95">
        <f>IF(H2384=1,INDEX(ar_TaxAmt,378),0)</f>
        <v/>
      </c>
      <c r="O2384" s="101">
        <f>IF(H2384=1,IF(E2384&lt;FYStart,0,IF(E2384&gt;FYEnd,13,YEAR(E2384)*12+MONTH(E2384)-FYYM+1)),"")</f>
        <v/>
      </c>
      <c r="P2384" s="101">
        <f>IF(H2384=1,IF(IFERROR(INDEX(coa_CF,MATCH(I2384,coa_Name,0)),"")="Cash",1,0),0)</f>
        <v/>
      </c>
      <c r="Q2384" s="101">
        <f>IF(H2384=1,IF(IFERROR(INDEX(coa_CF,MATCH(K2384,coa_Name,0)),"")="Cash",1,0),0)</f>
        <v/>
      </c>
      <c r="R2384" s="58">
        <f>IF((P2384-Q2384)=0,"",IFERROR(INDEX(coa_CF,MATCH(IF((P2384-Q2384)=1,K2384,I2384),coa_Name,0)),"Operating"))</f>
        <v/>
      </c>
      <c r="S2384" s="95">
        <f>IF((P2384-Q2384)=1,L2384,IF((P2384-Q2384)=-1,-J2384,0))</f>
        <v/>
      </c>
      <c r="T2384" s="95">
        <f>IF((P2384-Q2384)=1,N2384,IF((P2384-Q2384)=-1,-M2384,0))</f>
        <v/>
      </c>
      <c r="U2384" s="101">
        <f>IF(AND(H2384=1,LedAcct&lt;&gt;""),IF(AND(E2384&gt;=LedFrom,E2384&lt;=LedTo,OR(I2384=LedAcct,K2384=LedAcct,AND(LedAcct=acctTax,M2384+N2384&lt;&gt;0))),E2384*10000+B2384,""),"")</f>
        <v/>
      </c>
    </row>
    <row r="2385">
      <c r="B2385" s="101" t="n">
        <v>2379</v>
      </c>
      <c r="C2385" s="58" t="inlineStr">
        <is>
          <t>Invoice</t>
        </is>
      </c>
      <c r="D2385" s="58">
        <f>IF(H2385=1,INDEX(ar_No,379)&amp;"","")</f>
        <v/>
      </c>
      <c r="E2385" s="94">
        <f>IF(H2385=1,INDEX(ar_Date,379),"")</f>
        <v/>
      </c>
      <c r="F2385" s="58">
        <f>IF(H2385=1,INDEX(ar_Desc,379)&amp;"","")</f>
        <v/>
      </c>
      <c r="G2385" s="58">
        <f>IF(H2385=1,INDEX(ar_Party,379)&amp;"","")</f>
        <v/>
      </c>
      <c r="H2385" s="101">
        <f>IFERROR(N(INDEX(ar_Posted,379)),0)</f>
        <v/>
      </c>
      <c r="I2385" s="58">
        <f>IF(H2385=1,INDEX(ar_DrAcct,379)&amp;"","")</f>
        <v/>
      </c>
      <c r="J2385" s="95">
        <f>IF(H2385=1,INDEX(ar_DrAmt,379),0)</f>
        <v/>
      </c>
      <c r="K2385" s="58">
        <f>IF(H2385=1,INDEX(ar_CrAcct,379)&amp;"","")</f>
        <v/>
      </c>
      <c r="L2385" s="95">
        <f>IF(H2385=1,INDEX(ar_CrAmt,379),0)</f>
        <v/>
      </c>
      <c r="M2385" s="95" t="n">
        <v>0</v>
      </c>
      <c r="N2385" s="95">
        <f>IF(H2385=1,INDEX(ar_TaxAmt,379),0)</f>
        <v/>
      </c>
      <c r="O2385" s="101">
        <f>IF(H2385=1,IF(E2385&lt;FYStart,0,IF(E2385&gt;FYEnd,13,YEAR(E2385)*12+MONTH(E2385)-FYYM+1)),"")</f>
        <v/>
      </c>
      <c r="P2385" s="101">
        <f>IF(H2385=1,IF(IFERROR(INDEX(coa_CF,MATCH(I2385,coa_Name,0)),"")="Cash",1,0),0)</f>
        <v/>
      </c>
      <c r="Q2385" s="101">
        <f>IF(H2385=1,IF(IFERROR(INDEX(coa_CF,MATCH(K2385,coa_Name,0)),"")="Cash",1,0),0)</f>
        <v/>
      </c>
      <c r="R2385" s="58">
        <f>IF((P2385-Q2385)=0,"",IFERROR(INDEX(coa_CF,MATCH(IF((P2385-Q2385)=1,K2385,I2385),coa_Name,0)),"Operating"))</f>
        <v/>
      </c>
      <c r="S2385" s="95">
        <f>IF((P2385-Q2385)=1,L2385,IF((P2385-Q2385)=-1,-J2385,0))</f>
        <v/>
      </c>
      <c r="T2385" s="95">
        <f>IF((P2385-Q2385)=1,N2385,IF((P2385-Q2385)=-1,-M2385,0))</f>
        <v/>
      </c>
      <c r="U2385" s="101">
        <f>IF(AND(H2385=1,LedAcct&lt;&gt;""),IF(AND(E2385&gt;=LedFrom,E2385&lt;=LedTo,OR(I2385=LedAcct,K2385=LedAcct,AND(LedAcct=acctTax,M2385+N2385&lt;&gt;0))),E2385*10000+B2385,""),"")</f>
        <v/>
      </c>
    </row>
    <row r="2386">
      <c r="B2386" s="101" t="n">
        <v>2380</v>
      </c>
      <c r="C2386" s="58" t="inlineStr">
        <is>
          <t>Invoice</t>
        </is>
      </c>
      <c r="D2386" s="58">
        <f>IF(H2386=1,INDEX(ar_No,380)&amp;"","")</f>
        <v/>
      </c>
      <c r="E2386" s="94">
        <f>IF(H2386=1,INDEX(ar_Date,380),"")</f>
        <v/>
      </c>
      <c r="F2386" s="58">
        <f>IF(H2386=1,INDEX(ar_Desc,380)&amp;"","")</f>
        <v/>
      </c>
      <c r="G2386" s="58">
        <f>IF(H2386=1,INDEX(ar_Party,380)&amp;"","")</f>
        <v/>
      </c>
      <c r="H2386" s="101">
        <f>IFERROR(N(INDEX(ar_Posted,380)),0)</f>
        <v/>
      </c>
      <c r="I2386" s="58">
        <f>IF(H2386=1,INDEX(ar_DrAcct,380)&amp;"","")</f>
        <v/>
      </c>
      <c r="J2386" s="95">
        <f>IF(H2386=1,INDEX(ar_DrAmt,380),0)</f>
        <v/>
      </c>
      <c r="K2386" s="58">
        <f>IF(H2386=1,INDEX(ar_CrAcct,380)&amp;"","")</f>
        <v/>
      </c>
      <c r="L2386" s="95">
        <f>IF(H2386=1,INDEX(ar_CrAmt,380),0)</f>
        <v/>
      </c>
      <c r="M2386" s="95" t="n">
        <v>0</v>
      </c>
      <c r="N2386" s="95">
        <f>IF(H2386=1,INDEX(ar_TaxAmt,380),0)</f>
        <v/>
      </c>
      <c r="O2386" s="101">
        <f>IF(H2386=1,IF(E2386&lt;FYStart,0,IF(E2386&gt;FYEnd,13,YEAR(E2386)*12+MONTH(E2386)-FYYM+1)),"")</f>
        <v/>
      </c>
      <c r="P2386" s="101">
        <f>IF(H2386=1,IF(IFERROR(INDEX(coa_CF,MATCH(I2386,coa_Name,0)),"")="Cash",1,0),0)</f>
        <v/>
      </c>
      <c r="Q2386" s="101">
        <f>IF(H2386=1,IF(IFERROR(INDEX(coa_CF,MATCH(K2386,coa_Name,0)),"")="Cash",1,0),0)</f>
        <v/>
      </c>
      <c r="R2386" s="58">
        <f>IF((P2386-Q2386)=0,"",IFERROR(INDEX(coa_CF,MATCH(IF((P2386-Q2386)=1,K2386,I2386),coa_Name,0)),"Operating"))</f>
        <v/>
      </c>
      <c r="S2386" s="95">
        <f>IF((P2386-Q2386)=1,L2386,IF((P2386-Q2386)=-1,-J2386,0))</f>
        <v/>
      </c>
      <c r="T2386" s="95">
        <f>IF((P2386-Q2386)=1,N2386,IF((P2386-Q2386)=-1,-M2386,0))</f>
        <v/>
      </c>
      <c r="U2386" s="101">
        <f>IF(AND(H2386=1,LedAcct&lt;&gt;""),IF(AND(E2386&gt;=LedFrom,E2386&lt;=LedTo,OR(I2386=LedAcct,K2386=LedAcct,AND(LedAcct=acctTax,M2386+N2386&lt;&gt;0))),E2386*10000+B2386,""),"")</f>
        <v/>
      </c>
    </row>
    <row r="2387">
      <c r="B2387" s="101" t="n">
        <v>2381</v>
      </c>
      <c r="C2387" s="58" t="inlineStr">
        <is>
          <t>Invoice</t>
        </is>
      </c>
      <c r="D2387" s="58">
        <f>IF(H2387=1,INDEX(ar_No,381)&amp;"","")</f>
        <v/>
      </c>
      <c r="E2387" s="94">
        <f>IF(H2387=1,INDEX(ar_Date,381),"")</f>
        <v/>
      </c>
      <c r="F2387" s="58">
        <f>IF(H2387=1,INDEX(ar_Desc,381)&amp;"","")</f>
        <v/>
      </c>
      <c r="G2387" s="58">
        <f>IF(H2387=1,INDEX(ar_Party,381)&amp;"","")</f>
        <v/>
      </c>
      <c r="H2387" s="101">
        <f>IFERROR(N(INDEX(ar_Posted,381)),0)</f>
        <v/>
      </c>
      <c r="I2387" s="58">
        <f>IF(H2387=1,INDEX(ar_DrAcct,381)&amp;"","")</f>
        <v/>
      </c>
      <c r="J2387" s="95">
        <f>IF(H2387=1,INDEX(ar_DrAmt,381),0)</f>
        <v/>
      </c>
      <c r="K2387" s="58">
        <f>IF(H2387=1,INDEX(ar_CrAcct,381)&amp;"","")</f>
        <v/>
      </c>
      <c r="L2387" s="95">
        <f>IF(H2387=1,INDEX(ar_CrAmt,381),0)</f>
        <v/>
      </c>
      <c r="M2387" s="95" t="n">
        <v>0</v>
      </c>
      <c r="N2387" s="95">
        <f>IF(H2387=1,INDEX(ar_TaxAmt,381),0)</f>
        <v/>
      </c>
      <c r="O2387" s="101">
        <f>IF(H2387=1,IF(E2387&lt;FYStart,0,IF(E2387&gt;FYEnd,13,YEAR(E2387)*12+MONTH(E2387)-FYYM+1)),"")</f>
        <v/>
      </c>
      <c r="P2387" s="101">
        <f>IF(H2387=1,IF(IFERROR(INDEX(coa_CF,MATCH(I2387,coa_Name,0)),"")="Cash",1,0),0)</f>
        <v/>
      </c>
      <c r="Q2387" s="101">
        <f>IF(H2387=1,IF(IFERROR(INDEX(coa_CF,MATCH(K2387,coa_Name,0)),"")="Cash",1,0),0)</f>
        <v/>
      </c>
      <c r="R2387" s="58">
        <f>IF((P2387-Q2387)=0,"",IFERROR(INDEX(coa_CF,MATCH(IF((P2387-Q2387)=1,K2387,I2387),coa_Name,0)),"Operating"))</f>
        <v/>
      </c>
      <c r="S2387" s="95">
        <f>IF((P2387-Q2387)=1,L2387,IF((P2387-Q2387)=-1,-J2387,0))</f>
        <v/>
      </c>
      <c r="T2387" s="95">
        <f>IF((P2387-Q2387)=1,N2387,IF((P2387-Q2387)=-1,-M2387,0))</f>
        <v/>
      </c>
      <c r="U2387" s="101">
        <f>IF(AND(H2387=1,LedAcct&lt;&gt;""),IF(AND(E2387&gt;=LedFrom,E2387&lt;=LedTo,OR(I2387=LedAcct,K2387=LedAcct,AND(LedAcct=acctTax,M2387+N2387&lt;&gt;0))),E2387*10000+B2387,""),"")</f>
        <v/>
      </c>
    </row>
    <row r="2388">
      <c r="B2388" s="101" t="n">
        <v>2382</v>
      </c>
      <c r="C2388" s="58" t="inlineStr">
        <is>
          <t>Invoice</t>
        </is>
      </c>
      <c r="D2388" s="58">
        <f>IF(H2388=1,INDEX(ar_No,382)&amp;"","")</f>
        <v/>
      </c>
      <c r="E2388" s="94">
        <f>IF(H2388=1,INDEX(ar_Date,382),"")</f>
        <v/>
      </c>
      <c r="F2388" s="58">
        <f>IF(H2388=1,INDEX(ar_Desc,382)&amp;"","")</f>
        <v/>
      </c>
      <c r="G2388" s="58">
        <f>IF(H2388=1,INDEX(ar_Party,382)&amp;"","")</f>
        <v/>
      </c>
      <c r="H2388" s="101">
        <f>IFERROR(N(INDEX(ar_Posted,382)),0)</f>
        <v/>
      </c>
      <c r="I2388" s="58">
        <f>IF(H2388=1,INDEX(ar_DrAcct,382)&amp;"","")</f>
        <v/>
      </c>
      <c r="J2388" s="95">
        <f>IF(H2388=1,INDEX(ar_DrAmt,382),0)</f>
        <v/>
      </c>
      <c r="K2388" s="58">
        <f>IF(H2388=1,INDEX(ar_CrAcct,382)&amp;"","")</f>
        <v/>
      </c>
      <c r="L2388" s="95">
        <f>IF(H2388=1,INDEX(ar_CrAmt,382),0)</f>
        <v/>
      </c>
      <c r="M2388" s="95" t="n">
        <v>0</v>
      </c>
      <c r="N2388" s="95">
        <f>IF(H2388=1,INDEX(ar_TaxAmt,382),0)</f>
        <v/>
      </c>
      <c r="O2388" s="101">
        <f>IF(H2388=1,IF(E2388&lt;FYStart,0,IF(E2388&gt;FYEnd,13,YEAR(E2388)*12+MONTH(E2388)-FYYM+1)),"")</f>
        <v/>
      </c>
      <c r="P2388" s="101">
        <f>IF(H2388=1,IF(IFERROR(INDEX(coa_CF,MATCH(I2388,coa_Name,0)),"")="Cash",1,0),0)</f>
        <v/>
      </c>
      <c r="Q2388" s="101">
        <f>IF(H2388=1,IF(IFERROR(INDEX(coa_CF,MATCH(K2388,coa_Name,0)),"")="Cash",1,0),0)</f>
        <v/>
      </c>
      <c r="R2388" s="58">
        <f>IF((P2388-Q2388)=0,"",IFERROR(INDEX(coa_CF,MATCH(IF((P2388-Q2388)=1,K2388,I2388),coa_Name,0)),"Operating"))</f>
        <v/>
      </c>
      <c r="S2388" s="95">
        <f>IF((P2388-Q2388)=1,L2388,IF((P2388-Q2388)=-1,-J2388,0))</f>
        <v/>
      </c>
      <c r="T2388" s="95">
        <f>IF((P2388-Q2388)=1,N2388,IF((P2388-Q2388)=-1,-M2388,0))</f>
        <v/>
      </c>
      <c r="U2388" s="101">
        <f>IF(AND(H2388=1,LedAcct&lt;&gt;""),IF(AND(E2388&gt;=LedFrom,E2388&lt;=LedTo,OR(I2388=LedAcct,K2388=LedAcct,AND(LedAcct=acctTax,M2388+N2388&lt;&gt;0))),E2388*10000+B2388,""),"")</f>
        <v/>
      </c>
    </row>
    <row r="2389">
      <c r="B2389" s="101" t="n">
        <v>2383</v>
      </c>
      <c r="C2389" s="58" t="inlineStr">
        <is>
          <t>Invoice</t>
        </is>
      </c>
      <c r="D2389" s="58">
        <f>IF(H2389=1,INDEX(ar_No,383)&amp;"","")</f>
        <v/>
      </c>
      <c r="E2389" s="94">
        <f>IF(H2389=1,INDEX(ar_Date,383),"")</f>
        <v/>
      </c>
      <c r="F2389" s="58">
        <f>IF(H2389=1,INDEX(ar_Desc,383)&amp;"","")</f>
        <v/>
      </c>
      <c r="G2389" s="58">
        <f>IF(H2389=1,INDEX(ar_Party,383)&amp;"","")</f>
        <v/>
      </c>
      <c r="H2389" s="101">
        <f>IFERROR(N(INDEX(ar_Posted,383)),0)</f>
        <v/>
      </c>
      <c r="I2389" s="58">
        <f>IF(H2389=1,INDEX(ar_DrAcct,383)&amp;"","")</f>
        <v/>
      </c>
      <c r="J2389" s="95">
        <f>IF(H2389=1,INDEX(ar_DrAmt,383),0)</f>
        <v/>
      </c>
      <c r="K2389" s="58">
        <f>IF(H2389=1,INDEX(ar_CrAcct,383)&amp;"","")</f>
        <v/>
      </c>
      <c r="L2389" s="95">
        <f>IF(H2389=1,INDEX(ar_CrAmt,383),0)</f>
        <v/>
      </c>
      <c r="M2389" s="95" t="n">
        <v>0</v>
      </c>
      <c r="N2389" s="95">
        <f>IF(H2389=1,INDEX(ar_TaxAmt,383),0)</f>
        <v/>
      </c>
      <c r="O2389" s="101">
        <f>IF(H2389=1,IF(E2389&lt;FYStart,0,IF(E2389&gt;FYEnd,13,YEAR(E2389)*12+MONTH(E2389)-FYYM+1)),"")</f>
        <v/>
      </c>
      <c r="P2389" s="101">
        <f>IF(H2389=1,IF(IFERROR(INDEX(coa_CF,MATCH(I2389,coa_Name,0)),"")="Cash",1,0),0)</f>
        <v/>
      </c>
      <c r="Q2389" s="101">
        <f>IF(H2389=1,IF(IFERROR(INDEX(coa_CF,MATCH(K2389,coa_Name,0)),"")="Cash",1,0),0)</f>
        <v/>
      </c>
      <c r="R2389" s="58">
        <f>IF((P2389-Q2389)=0,"",IFERROR(INDEX(coa_CF,MATCH(IF((P2389-Q2389)=1,K2389,I2389),coa_Name,0)),"Operating"))</f>
        <v/>
      </c>
      <c r="S2389" s="95">
        <f>IF((P2389-Q2389)=1,L2389,IF((P2389-Q2389)=-1,-J2389,0))</f>
        <v/>
      </c>
      <c r="T2389" s="95">
        <f>IF((P2389-Q2389)=1,N2389,IF((P2389-Q2389)=-1,-M2389,0))</f>
        <v/>
      </c>
      <c r="U2389" s="101">
        <f>IF(AND(H2389=1,LedAcct&lt;&gt;""),IF(AND(E2389&gt;=LedFrom,E2389&lt;=LedTo,OR(I2389=LedAcct,K2389=LedAcct,AND(LedAcct=acctTax,M2389+N2389&lt;&gt;0))),E2389*10000+B2389,""),"")</f>
        <v/>
      </c>
    </row>
    <row r="2390">
      <c r="B2390" s="101" t="n">
        <v>2384</v>
      </c>
      <c r="C2390" s="58" t="inlineStr">
        <is>
          <t>Invoice</t>
        </is>
      </c>
      <c r="D2390" s="58">
        <f>IF(H2390=1,INDEX(ar_No,384)&amp;"","")</f>
        <v/>
      </c>
      <c r="E2390" s="94">
        <f>IF(H2390=1,INDEX(ar_Date,384),"")</f>
        <v/>
      </c>
      <c r="F2390" s="58">
        <f>IF(H2390=1,INDEX(ar_Desc,384)&amp;"","")</f>
        <v/>
      </c>
      <c r="G2390" s="58">
        <f>IF(H2390=1,INDEX(ar_Party,384)&amp;"","")</f>
        <v/>
      </c>
      <c r="H2390" s="101">
        <f>IFERROR(N(INDEX(ar_Posted,384)),0)</f>
        <v/>
      </c>
      <c r="I2390" s="58">
        <f>IF(H2390=1,INDEX(ar_DrAcct,384)&amp;"","")</f>
        <v/>
      </c>
      <c r="J2390" s="95">
        <f>IF(H2390=1,INDEX(ar_DrAmt,384),0)</f>
        <v/>
      </c>
      <c r="K2390" s="58">
        <f>IF(H2390=1,INDEX(ar_CrAcct,384)&amp;"","")</f>
        <v/>
      </c>
      <c r="L2390" s="95">
        <f>IF(H2390=1,INDEX(ar_CrAmt,384),0)</f>
        <v/>
      </c>
      <c r="M2390" s="95" t="n">
        <v>0</v>
      </c>
      <c r="N2390" s="95">
        <f>IF(H2390=1,INDEX(ar_TaxAmt,384),0)</f>
        <v/>
      </c>
      <c r="O2390" s="101">
        <f>IF(H2390=1,IF(E2390&lt;FYStart,0,IF(E2390&gt;FYEnd,13,YEAR(E2390)*12+MONTH(E2390)-FYYM+1)),"")</f>
        <v/>
      </c>
      <c r="P2390" s="101">
        <f>IF(H2390=1,IF(IFERROR(INDEX(coa_CF,MATCH(I2390,coa_Name,0)),"")="Cash",1,0),0)</f>
        <v/>
      </c>
      <c r="Q2390" s="101">
        <f>IF(H2390=1,IF(IFERROR(INDEX(coa_CF,MATCH(K2390,coa_Name,0)),"")="Cash",1,0),0)</f>
        <v/>
      </c>
      <c r="R2390" s="58">
        <f>IF((P2390-Q2390)=0,"",IFERROR(INDEX(coa_CF,MATCH(IF((P2390-Q2390)=1,K2390,I2390),coa_Name,0)),"Operating"))</f>
        <v/>
      </c>
      <c r="S2390" s="95">
        <f>IF((P2390-Q2390)=1,L2390,IF((P2390-Q2390)=-1,-J2390,0))</f>
        <v/>
      </c>
      <c r="T2390" s="95">
        <f>IF((P2390-Q2390)=1,N2390,IF((P2390-Q2390)=-1,-M2390,0))</f>
        <v/>
      </c>
      <c r="U2390" s="101">
        <f>IF(AND(H2390=1,LedAcct&lt;&gt;""),IF(AND(E2390&gt;=LedFrom,E2390&lt;=LedTo,OR(I2390=LedAcct,K2390=LedAcct,AND(LedAcct=acctTax,M2390+N2390&lt;&gt;0))),E2390*10000+B2390,""),"")</f>
        <v/>
      </c>
    </row>
    <row r="2391">
      <c r="B2391" s="101" t="n">
        <v>2385</v>
      </c>
      <c r="C2391" s="58" t="inlineStr">
        <is>
          <t>Invoice</t>
        </is>
      </c>
      <c r="D2391" s="58">
        <f>IF(H2391=1,INDEX(ar_No,385)&amp;"","")</f>
        <v/>
      </c>
      <c r="E2391" s="94">
        <f>IF(H2391=1,INDEX(ar_Date,385),"")</f>
        <v/>
      </c>
      <c r="F2391" s="58">
        <f>IF(H2391=1,INDEX(ar_Desc,385)&amp;"","")</f>
        <v/>
      </c>
      <c r="G2391" s="58">
        <f>IF(H2391=1,INDEX(ar_Party,385)&amp;"","")</f>
        <v/>
      </c>
      <c r="H2391" s="101">
        <f>IFERROR(N(INDEX(ar_Posted,385)),0)</f>
        <v/>
      </c>
      <c r="I2391" s="58">
        <f>IF(H2391=1,INDEX(ar_DrAcct,385)&amp;"","")</f>
        <v/>
      </c>
      <c r="J2391" s="95">
        <f>IF(H2391=1,INDEX(ar_DrAmt,385),0)</f>
        <v/>
      </c>
      <c r="K2391" s="58">
        <f>IF(H2391=1,INDEX(ar_CrAcct,385)&amp;"","")</f>
        <v/>
      </c>
      <c r="L2391" s="95">
        <f>IF(H2391=1,INDEX(ar_CrAmt,385),0)</f>
        <v/>
      </c>
      <c r="M2391" s="95" t="n">
        <v>0</v>
      </c>
      <c r="N2391" s="95">
        <f>IF(H2391=1,INDEX(ar_TaxAmt,385),0)</f>
        <v/>
      </c>
      <c r="O2391" s="101">
        <f>IF(H2391=1,IF(E2391&lt;FYStart,0,IF(E2391&gt;FYEnd,13,YEAR(E2391)*12+MONTH(E2391)-FYYM+1)),"")</f>
        <v/>
      </c>
      <c r="P2391" s="101">
        <f>IF(H2391=1,IF(IFERROR(INDEX(coa_CF,MATCH(I2391,coa_Name,0)),"")="Cash",1,0),0)</f>
        <v/>
      </c>
      <c r="Q2391" s="101">
        <f>IF(H2391=1,IF(IFERROR(INDEX(coa_CF,MATCH(K2391,coa_Name,0)),"")="Cash",1,0),0)</f>
        <v/>
      </c>
      <c r="R2391" s="58">
        <f>IF((P2391-Q2391)=0,"",IFERROR(INDEX(coa_CF,MATCH(IF((P2391-Q2391)=1,K2391,I2391),coa_Name,0)),"Operating"))</f>
        <v/>
      </c>
      <c r="S2391" s="95">
        <f>IF((P2391-Q2391)=1,L2391,IF((P2391-Q2391)=-1,-J2391,0))</f>
        <v/>
      </c>
      <c r="T2391" s="95">
        <f>IF((P2391-Q2391)=1,N2391,IF((P2391-Q2391)=-1,-M2391,0))</f>
        <v/>
      </c>
      <c r="U2391" s="101">
        <f>IF(AND(H2391=1,LedAcct&lt;&gt;""),IF(AND(E2391&gt;=LedFrom,E2391&lt;=LedTo,OR(I2391=LedAcct,K2391=LedAcct,AND(LedAcct=acctTax,M2391+N2391&lt;&gt;0))),E2391*10000+B2391,""),"")</f>
        <v/>
      </c>
    </row>
    <row r="2392">
      <c r="B2392" s="101" t="n">
        <v>2386</v>
      </c>
      <c r="C2392" s="58" t="inlineStr">
        <is>
          <t>Invoice</t>
        </is>
      </c>
      <c r="D2392" s="58">
        <f>IF(H2392=1,INDEX(ar_No,386)&amp;"","")</f>
        <v/>
      </c>
      <c r="E2392" s="94">
        <f>IF(H2392=1,INDEX(ar_Date,386),"")</f>
        <v/>
      </c>
      <c r="F2392" s="58">
        <f>IF(H2392=1,INDEX(ar_Desc,386)&amp;"","")</f>
        <v/>
      </c>
      <c r="G2392" s="58">
        <f>IF(H2392=1,INDEX(ar_Party,386)&amp;"","")</f>
        <v/>
      </c>
      <c r="H2392" s="101">
        <f>IFERROR(N(INDEX(ar_Posted,386)),0)</f>
        <v/>
      </c>
      <c r="I2392" s="58">
        <f>IF(H2392=1,INDEX(ar_DrAcct,386)&amp;"","")</f>
        <v/>
      </c>
      <c r="J2392" s="95">
        <f>IF(H2392=1,INDEX(ar_DrAmt,386),0)</f>
        <v/>
      </c>
      <c r="K2392" s="58">
        <f>IF(H2392=1,INDEX(ar_CrAcct,386)&amp;"","")</f>
        <v/>
      </c>
      <c r="L2392" s="95">
        <f>IF(H2392=1,INDEX(ar_CrAmt,386),0)</f>
        <v/>
      </c>
      <c r="M2392" s="95" t="n">
        <v>0</v>
      </c>
      <c r="N2392" s="95">
        <f>IF(H2392=1,INDEX(ar_TaxAmt,386),0)</f>
        <v/>
      </c>
      <c r="O2392" s="101">
        <f>IF(H2392=1,IF(E2392&lt;FYStart,0,IF(E2392&gt;FYEnd,13,YEAR(E2392)*12+MONTH(E2392)-FYYM+1)),"")</f>
        <v/>
      </c>
      <c r="P2392" s="101">
        <f>IF(H2392=1,IF(IFERROR(INDEX(coa_CF,MATCH(I2392,coa_Name,0)),"")="Cash",1,0),0)</f>
        <v/>
      </c>
      <c r="Q2392" s="101">
        <f>IF(H2392=1,IF(IFERROR(INDEX(coa_CF,MATCH(K2392,coa_Name,0)),"")="Cash",1,0),0)</f>
        <v/>
      </c>
      <c r="R2392" s="58">
        <f>IF((P2392-Q2392)=0,"",IFERROR(INDEX(coa_CF,MATCH(IF((P2392-Q2392)=1,K2392,I2392),coa_Name,0)),"Operating"))</f>
        <v/>
      </c>
      <c r="S2392" s="95">
        <f>IF((P2392-Q2392)=1,L2392,IF((P2392-Q2392)=-1,-J2392,0))</f>
        <v/>
      </c>
      <c r="T2392" s="95">
        <f>IF((P2392-Q2392)=1,N2392,IF((P2392-Q2392)=-1,-M2392,0))</f>
        <v/>
      </c>
      <c r="U2392" s="101">
        <f>IF(AND(H2392=1,LedAcct&lt;&gt;""),IF(AND(E2392&gt;=LedFrom,E2392&lt;=LedTo,OR(I2392=LedAcct,K2392=LedAcct,AND(LedAcct=acctTax,M2392+N2392&lt;&gt;0))),E2392*10000+B2392,""),"")</f>
        <v/>
      </c>
    </row>
    <row r="2393">
      <c r="B2393" s="101" t="n">
        <v>2387</v>
      </c>
      <c r="C2393" s="58" t="inlineStr">
        <is>
          <t>Invoice</t>
        </is>
      </c>
      <c r="D2393" s="58">
        <f>IF(H2393=1,INDEX(ar_No,387)&amp;"","")</f>
        <v/>
      </c>
      <c r="E2393" s="94">
        <f>IF(H2393=1,INDEX(ar_Date,387),"")</f>
        <v/>
      </c>
      <c r="F2393" s="58">
        <f>IF(H2393=1,INDEX(ar_Desc,387)&amp;"","")</f>
        <v/>
      </c>
      <c r="G2393" s="58">
        <f>IF(H2393=1,INDEX(ar_Party,387)&amp;"","")</f>
        <v/>
      </c>
      <c r="H2393" s="101">
        <f>IFERROR(N(INDEX(ar_Posted,387)),0)</f>
        <v/>
      </c>
      <c r="I2393" s="58">
        <f>IF(H2393=1,INDEX(ar_DrAcct,387)&amp;"","")</f>
        <v/>
      </c>
      <c r="J2393" s="95">
        <f>IF(H2393=1,INDEX(ar_DrAmt,387),0)</f>
        <v/>
      </c>
      <c r="K2393" s="58">
        <f>IF(H2393=1,INDEX(ar_CrAcct,387)&amp;"","")</f>
        <v/>
      </c>
      <c r="L2393" s="95">
        <f>IF(H2393=1,INDEX(ar_CrAmt,387),0)</f>
        <v/>
      </c>
      <c r="M2393" s="95" t="n">
        <v>0</v>
      </c>
      <c r="N2393" s="95">
        <f>IF(H2393=1,INDEX(ar_TaxAmt,387),0)</f>
        <v/>
      </c>
      <c r="O2393" s="101">
        <f>IF(H2393=1,IF(E2393&lt;FYStart,0,IF(E2393&gt;FYEnd,13,YEAR(E2393)*12+MONTH(E2393)-FYYM+1)),"")</f>
        <v/>
      </c>
      <c r="P2393" s="101">
        <f>IF(H2393=1,IF(IFERROR(INDEX(coa_CF,MATCH(I2393,coa_Name,0)),"")="Cash",1,0),0)</f>
        <v/>
      </c>
      <c r="Q2393" s="101">
        <f>IF(H2393=1,IF(IFERROR(INDEX(coa_CF,MATCH(K2393,coa_Name,0)),"")="Cash",1,0),0)</f>
        <v/>
      </c>
      <c r="R2393" s="58">
        <f>IF((P2393-Q2393)=0,"",IFERROR(INDEX(coa_CF,MATCH(IF((P2393-Q2393)=1,K2393,I2393),coa_Name,0)),"Operating"))</f>
        <v/>
      </c>
      <c r="S2393" s="95">
        <f>IF((P2393-Q2393)=1,L2393,IF((P2393-Q2393)=-1,-J2393,0))</f>
        <v/>
      </c>
      <c r="T2393" s="95">
        <f>IF((P2393-Q2393)=1,N2393,IF((P2393-Q2393)=-1,-M2393,0))</f>
        <v/>
      </c>
      <c r="U2393" s="101">
        <f>IF(AND(H2393=1,LedAcct&lt;&gt;""),IF(AND(E2393&gt;=LedFrom,E2393&lt;=LedTo,OR(I2393=LedAcct,K2393=LedAcct,AND(LedAcct=acctTax,M2393+N2393&lt;&gt;0))),E2393*10000+B2393,""),"")</f>
        <v/>
      </c>
    </row>
    <row r="2394">
      <c r="B2394" s="101" t="n">
        <v>2388</v>
      </c>
      <c r="C2394" s="58" t="inlineStr">
        <is>
          <t>Invoice</t>
        </is>
      </c>
      <c r="D2394" s="58">
        <f>IF(H2394=1,INDEX(ar_No,388)&amp;"","")</f>
        <v/>
      </c>
      <c r="E2394" s="94">
        <f>IF(H2394=1,INDEX(ar_Date,388),"")</f>
        <v/>
      </c>
      <c r="F2394" s="58">
        <f>IF(H2394=1,INDEX(ar_Desc,388)&amp;"","")</f>
        <v/>
      </c>
      <c r="G2394" s="58">
        <f>IF(H2394=1,INDEX(ar_Party,388)&amp;"","")</f>
        <v/>
      </c>
      <c r="H2394" s="101">
        <f>IFERROR(N(INDEX(ar_Posted,388)),0)</f>
        <v/>
      </c>
      <c r="I2394" s="58">
        <f>IF(H2394=1,INDEX(ar_DrAcct,388)&amp;"","")</f>
        <v/>
      </c>
      <c r="J2394" s="95">
        <f>IF(H2394=1,INDEX(ar_DrAmt,388),0)</f>
        <v/>
      </c>
      <c r="K2394" s="58">
        <f>IF(H2394=1,INDEX(ar_CrAcct,388)&amp;"","")</f>
        <v/>
      </c>
      <c r="L2394" s="95">
        <f>IF(H2394=1,INDEX(ar_CrAmt,388),0)</f>
        <v/>
      </c>
      <c r="M2394" s="95" t="n">
        <v>0</v>
      </c>
      <c r="N2394" s="95">
        <f>IF(H2394=1,INDEX(ar_TaxAmt,388),0)</f>
        <v/>
      </c>
      <c r="O2394" s="101">
        <f>IF(H2394=1,IF(E2394&lt;FYStart,0,IF(E2394&gt;FYEnd,13,YEAR(E2394)*12+MONTH(E2394)-FYYM+1)),"")</f>
        <v/>
      </c>
      <c r="P2394" s="101">
        <f>IF(H2394=1,IF(IFERROR(INDEX(coa_CF,MATCH(I2394,coa_Name,0)),"")="Cash",1,0),0)</f>
        <v/>
      </c>
      <c r="Q2394" s="101">
        <f>IF(H2394=1,IF(IFERROR(INDEX(coa_CF,MATCH(K2394,coa_Name,0)),"")="Cash",1,0),0)</f>
        <v/>
      </c>
      <c r="R2394" s="58">
        <f>IF((P2394-Q2394)=0,"",IFERROR(INDEX(coa_CF,MATCH(IF((P2394-Q2394)=1,K2394,I2394),coa_Name,0)),"Operating"))</f>
        <v/>
      </c>
      <c r="S2394" s="95">
        <f>IF((P2394-Q2394)=1,L2394,IF((P2394-Q2394)=-1,-J2394,0))</f>
        <v/>
      </c>
      <c r="T2394" s="95">
        <f>IF((P2394-Q2394)=1,N2394,IF((P2394-Q2394)=-1,-M2394,0))</f>
        <v/>
      </c>
      <c r="U2394" s="101">
        <f>IF(AND(H2394=1,LedAcct&lt;&gt;""),IF(AND(E2394&gt;=LedFrom,E2394&lt;=LedTo,OR(I2394=LedAcct,K2394=LedAcct,AND(LedAcct=acctTax,M2394+N2394&lt;&gt;0))),E2394*10000+B2394,""),"")</f>
        <v/>
      </c>
    </row>
    <row r="2395">
      <c r="B2395" s="101" t="n">
        <v>2389</v>
      </c>
      <c r="C2395" s="58" t="inlineStr">
        <is>
          <t>Invoice</t>
        </is>
      </c>
      <c r="D2395" s="58">
        <f>IF(H2395=1,INDEX(ar_No,389)&amp;"","")</f>
        <v/>
      </c>
      <c r="E2395" s="94">
        <f>IF(H2395=1,INDEX(ar_Date,389),"")</f>
        <v/>
      </c>
      <c r="F2395" s="58">
        <f>IF(H2395=1,INDEX(ar_Desc,389)&amp;"","")</f>
        <v/>
      </c>
      <c r="G2395" s="58">
        <f>IF(H2395=1,INDEX(ar_Party,389)&amp;"","")</f>
        <v/>
      </c>
      <c r="H2395" s="101">
        <f>IFERROR(N(INDEX(ar_Posted,389)),0)</f>
        <v/>
      </c>
      <c r="I2395" s="58">
        <f>IF(H2395=1,INDEX(ar_DrAcct,389)&amp;"","")</f>
        <v/>
      </c>
      <c r="J2395" s="95">
        <f>IF(H2395=1,INDEX(ar_DrAmt,389),0)</f>
        <v/>
      </c>
      <c r="K2395" s="58">
        <f>IF(H2395=1,INDEX(ar_CrAcct,389)&amp;"","")</f>
        <v/>
      </c>
      <c r="L2395" s="95">
        <f>IF(H2395=1,INDEX(ar_CrAmt,389),0)</f>
        <v/>
      </c>
      <c r="M2395" s="95" t="n">
        <v>0</v>
      </c>
      <c r="N2395" s="95">
        <f>IF(H2395=1,INDEX(ar_TaxAmt,389),0)</f>
        <v/>
      </c>
      <c r="O2395" s="101">
        <f>IF(H2395=1,IF(E2395&lt;FYStart,0,IF(E2395&gt;FYEnd,13,YEAR(E2395)*12+MONTH(E2395)-FYYM+1)),"")</f>
        <v/>
      </c>
      <c r="P2395" s="101">
        <f>IF(H2395=1,IF(IFERROR(INDEX(coa_CF,MATCH(I2395,coa_Name,0)),"")="Cash",1,0),0)</f>
        <v/>
      </c>
      <c r="Q2395" s="101">
        <f>IF(H2395=1,IF(IFERROR(INDEX(coa_CF,MATCH(K2395,coa_Name,0)),"")="Cash",1,0),0)</f>
        <v/>
      </c>
      <c r="R2395" s="58">
        <f>IF((P2395-Q2395)=0,"",IFERROR(INDEX(coa_CF,MATCH(IF((P2395-Q2395)=1,K2395,I2395),coa_Name,0)),"Operating"))</f>
        <v/>
      </c>
      <c r="S2395" s="95">
        <f>IF((P2395-Q2395)=1,L2395,IF((P2395-Q2395)=-1,-J2395,0))</f>
        <v/>
      </c>
      <c r="T2395" s="95">
        <f>IF((P2395-Q2395)=1,N2395,IF((P2395-Q2395)=-1,-M2395,0))</f>
        <v/>
      </c>
      <c r="U2395" s="101">
        <f>IF(AND(H2395=1,LedAcct&lt;&gt;""),IF(AND(E2395&gt;=LedFrom,E2395&lt;=LedTo,OR(I2395=LedAcct,K2395=LedAcct,AND(LedAcct=acctTax,M2395+N2395&lt;&gt;0))),E2395*10000+B2395,""),"")</f>
        <v/>
      </c>
    </row>
    <row r="2396">
      <c r="B2396" s="101" t="n">
        <v>2390</v>
      </c>
      <c r="C2396" s="58" t="inlineStr">
        <is>
          <t>Invoice</t>
        </is>
      </c>
      <c r="D2396" s="58">
        <f>IF(H2396=1,INDEX(ar_No,390)&amp;"","")</f>
        <v/>
      </c>
      <c r="E2396" s="94">
        <f>IF(H2396=1,INDEX(ar_Date,390),"")</f>
        <v/>
      </c>
      <c r="F2396" s="58">
        <f>IF(H2396=1,INDEX(ar_Desc,390)&amp;"","")</f>
        <v/>
      </c>
      <c r="G2396" s="58">
        <f>IF(H2396=1,INDEX(ar_Party,390)&amp;"","")</f>
        <v/>
      </c>
      <c r="H2396" s="101">
        <f>IFERROR(N(INDEX(ar_Posted,390)),0)</f>
        <v/>
      </c>
      <c r="I2396" s="58">
        <f>IF(H2396=1,INDEX(ar_DrAcct,390)&amp;"","")</f>
        <v/>
      </c>
      <c r="J2396" s="95">
        <f>IF(H2396=1,INDEX(ar_DrAmt,390),0)</f>
        <v/>
      </c>
      <c r="K2396" s="58">
        <f>IF(H2396=1,INDEX(ar_CrAcct,390)&amp;"","")</f>
        <v/>
      </c>
      <c r="L2396" s="95">
        <f>IF(H2396=1,INDEX(ar_CrAmt,390),0)</f>
        <v/>
      </c>
      <c r="M2396" s="95" t="n">
        <v>0</v>
      </c>
      <c r="N2396" s="95">
        <f>IF(H2396=1,INDEX(ar_TaxAmt,390),0)</f>
        <v/>
      </c>
      <c r="O2396" s="101">
        <f>IF(H2396=1,IF(E2396&lt;FYStart,0,IF(E2396&gt;FYEnd,13,YEAR(E2396)*12+MONTH(E2396)-FYYM+1)),"")</f>
        <v/>
      </c>
      <c r="P2396" s="101">
        <f>IF(H2396=1,IF(IFERROR(INDEX(coa_CF,MATCH(I2396,coa_Name,0)),"")="Cash",1,0),0)</f>
        <v/>
      </c>
      <c r="Q2396" s="101">
        <f>IF(H2396=1,IF(IFERROR(INDEX(coa_CF,MATCH(K2396,coa_Name,0)),"")="Cash",1,0),0)</f>
        <v/>
      </c>
      <c r="R2396" s="58">
        <f>IF((P2396-Q2396)=0,"",IFERROR(INDEX(coa_CF,MATCH(IF((P2396-Q2396)=1,K2396,I2396),coa_Name,0)),"Operating"))</f>
        <v/>
      </c>
      <c r="S2396" s="95">
        <f>IF((P2396-Q2396)=1,L2396,IF((P2396-Q2396)=-1,-J2396,0))</f>
        <v/>
      </c>
      <c r="T2396" s="95">
        <f>IF((P2396-Q2396)=1,N2396,IF((P2396-Q2396)=-1,-M2396,0))</f>
        <v/>
      </c>
      <c r="U2396" s="101">
        <f>IF(AND(H2396=1,LedAcct&lt;&gt;""),IF(AND(E2396&gt;=LedFrom,E2396&lt;=LedTo,OR(I2396=LedAcct,K2396=LedAcct,AND(LedAcct=acctTax,M2396+N2396&lt;&gt;0))),E2396*10000+B2396,""),"")</f>
        <v/>
      </c>
    </row>
    <row r="2397">
      <c r="B2397" s="101" t="n">
        <v>2391</v>
      </c>
      <c r="C2397" s="58" t="inlineStr">
        <is>
          <t>Invoice</t>
        </is>
      </c>
      <c r="D2397" s="58">
        <f>IF(H2397=1,INDEX(ar_No,391)&amp;"","")</f>
        <v/>
      </c>
      <c r="E2397" s="94">
        <f>IF(H2397=1,INDEX(ar_Date,391),"")</f>
        <v/>
      </c>
      <c r="F2397" s="58">
        <f>IF(H2397=1,INDEX(ar_Desc,391)&amp;"","")</f>
        <v/>
      </c>
      <c r="G2397" s="58">
        <f>IF(H2397=1,INDEX(ar_Party,391)&amp;"","")</f>
        <v/>
      </c>
      <c r="H2397" s="101">
        <f>IFERROR(N(INDEX(ar_Posted,391)),0)</f>
        <v/>
      </c>
      <c r="I2397" s="58">
        <f>IF(H2397=1,INDEX(ar_DrAcct,391)&amp;"","")</f>
        <v/>
      </c>
      <c r="J2397" s="95">
        <f>IF(H2397=1,INDEX(ar_DrAmt,391),0)</f>
        <v/>
      </c>
      <c r="K2397" s="58">
        <f>IF(H2397=1,INDEX(ar_CrAcct,391)&amp;"","")</f>
        <v/>
      </c>
      <c r="L2397" s="95">
        <f>IF(H2397=1,INDEX(ar_CrAmt,391),0)</f>
        <v/>
      </c>
      <c r="M2397" s="95" t="n">
        <v>0</v>
      </c>
      <c r="N2397" s="95">
        <f>IF(H2397=1,INDEX(ar_TaxAmt,391),0)</f>
        <v/>
      </c>
      <c r="O2397" s="101">
        <f>IF(H2397=1,IF(E2397&lt;FYStart,0,IF(E2397&gt;FYEnd,13,YEAR(E2397)*12+MONTH(E2397)-FYYM+1)),"")</f>
        <v/>
      </c>
      <c r="P2397" s="101">
        <f>IF(H2397=1,IF(IFERROR(INDEX(coa_CF,MATCH(I2397,coa_Name,0)),"")="Cash",1,0),0)</f>
        <v/>
      </c>
      <c r="Q2397" s="101">
        <f>IF(H2397=1,IF(IFERROR(INDEX(coa_CF,MATCH(K2397,coa_Name,0)),"")="Cash",1,0),0)</f>
        <v/>
      </c>
      <c r="R2397" s="58">
        <f>IF((P2397-Q2397)=0,"",IFERROR(INDEX(coa_CF,MATCH(IF((P2397-Q2397)=1,K2397,I2397),coa_Name,0)),"Operating"))</f>
        <v/>
      </c>
      <c r="S2397" s="95">
        <f>IF((P2397-Q2397)=1,L2397,IF((P2397-Q2397)=-1,-J2397,0))</f>
        <v/>
      </c>
      <c r="T2397" s="95">
        <f>IF((P2397-Q2397)=1,N2397,IF((P2397-Q2397)=-1,-M2397,0))</f>
        <v/>
      </c>
      <c r="U2397" s="101">
        <f>IF(AND(H2397=1,LedAcct&lt;&gt;""),IF(AND(E2397&gt;=LedFrom,E2397&lt;=LedTo,OR(I2397=LedAcct,K2397=LedAcct,AND(LedAcct=acctTax,M2397+N2397&lt;&gt;0))),E2397*10000+B2397,""),"")</f>
        <v/>
      </c>
    </row>
    <row r="2398">
      <c r="B2398" s="101" t="n">
        <v>2392</v>
      </c>
      <c r="C2398" s="58" t="inlineStr">
        <is>
          <t>Invoice</t>
        </is>
      </c>
      <c r="D2398" s="58">
        <f>IF(H2398=1,INDEX(ar_No,392)&amp;"","")</f>
        <v/>
      </c>
      <c r="E2398" s="94">
        <f>IF(H2398=1,INDEX(ar_Date,392),"")</f>
        <v/>
      </c>
      <c r="F2398" s="58">
        <f>IF(H2398=1,INDEX(ar_Desc,392)&amp;"","")</f>
        <v/>
      </c>
      <c r="G2398" s="58">
        <f>IF(H2398=1,INDEX(ar_Party,392)&amp;"","")</f>
        <v/>
      </c>
      <c r="H2398" s="101">
        <f>IFERROR(N(INDEX(ar_Posted,392)),0)</f>
        <v/>
      </c>
      <c r="I2398" s="58">
        <f>IF(H2398=1,INDEX(ar_DrAcct,392)&amp;"","")</f>
        <v/>
      </c>
      <c r="J2398" s="95">
        <f>IF(H2398=1,INDEX(ar_DrAmt,392),0)</f>
        <v/>
      </c>
      <c r="K2398" s="58">
        <f>IF(H2398=1,INDEX(ar_CrAcct,392)&amp;"","")</f>
        <v/>
      </c>
      <c r="L2398" s="95">
        <f>IF(H2398=1,INDEX(ar_CrAmt,392),0)</f>
        <v/>
      </c>
      <c r="M2398" s="95" t="n">
        <v>0</v>
      </c>
      <c r="N2398" s="95">
        <f>IF(H2398=1,INDEX(ar_TaxAmt,392),0)</f>
        <v/>
      </c>
      <c r="O2398" s="101">
        <f>IF(H2398=1,IF(E2398&lt;FYStart,0,IF(E2398&gt;FYEnd,13,YEAR(E2398)*12+MONTH(E2398)-FYYM+1)),"")</f>
        <v/>
      </c>
      <c r="P2398" s="101">
        <f>IF(H2398=1,IF(IFERROR(INDEX(coa_CF,MATCH(I2398,coa_Name,0)),"")="Cash",1,0),0)</f>
        <v/>
      </c>
      <c r="Q2398" s="101">
        <f>IF(H2398=1,IF(IFERROR(INDEX(coa_CF,MATCH(K2398,coa_Name,0)),"")="Cash",1,0),0)</f>
        <v/>
      </c>
      <c r="R2398" s="58">
        <f>IF((P2398-Q2398)=0,"",IFERROR(INDEX(coa_CF,MATCH(IF((P2398-Q2398)=1,K2398,I2398),coa_Name,0)),"Operating"))</f>
        <v/>
      </c>
      <c r="S2398" s="95">
        <f>IF((P2398-Q2398)=1,L2398,IF((P2398-Q2398)=-1,-J2398,0))</f>
        <v/>
      </c>
      <c r="T2398" s="95">
        <f>IF((P2398-Q2398)=1,N2398,IF((P2398-Q2398)=-1,-M2398,0))</f>
        <v/>
      </c>
      <c r="U2398" s="101">
        <f>IF(AND(H2398=1,LedAcct&lt;&gt;""),IF(AND(E2398&gt;=LedFrom,E2398&lt;=LedTo,OR(I2398=LedAcct,K2398=LedAcct,AND(LedAcct=acctTax,M2398+N2398&lt;&gt;0))),E2398*10000+B2398,""),"")</f>
        <v/>
      </c>
    </row>
    <row r="2399">
      <c r="B2399" s="101" t="n">
        <v>2393</v>
      </c>
      <c r="C2399" s="58" t="inlineStr">
        <is>
          <t>Invoice</t>
        </is>
      </c>
      <c r="D2399" s="58">
        <f>IF(H2399=1,INDEX(ar_No,393)&amp;"","")</f>
        <v/>
      </c>
      <c r="E2399" s="94">
        <f>IF(H2399=1,INDEX(ar_Date,393),"")</f>
        <v/>
      </c>
      <c r="F2399" s="58">
        <f>IF(H2399=1,INDEX(ar_Desc,393)&amp;"","")</f>
        <v/>
      </c>
      <c r="G2399" s="58">
        <f>IF(H2399=1,INDEX(ar_Party,393)&amp;"","")</f>
        <v/>
      </c>
      <c r="H2399" s="101">
        <f>IFERROR(N(INDEX(ar_Posted,393)),0)</f>
        <v/>
      </c>
      <c r="I2399" s="58">
        <f>IF(H2399=1,INDEX(ar_DrAcct,393)&amp;"","")</f>
        <v/>
      </c>
      <c r="J2399" s="95">
        <f>IF(H2399=1,INDEX(ar_DrAmt,393),0)</f>
        <v/>
      </c>
      <c r="K2399" s="58">
        <f>IF(H2399=1,INDEX(ar_CrAcct,393)&amp;"","")</f>
        <v/>
      </c>
      <c r="L2399" s="95">
        <f>IF(H2399=1,INDEX(ar_CrAmt,393),0)</f>
        <v/>
      </c>
      <c r="M2399" s="95" t="n">
        <v>0</v>
      </c>
      <c r="N2399" s="95">
        <f>IF(H2399=1,INDEX(ar_TaxAmt,393),0)</f>
        <v/>
      </c>
      <c r="O2399" s="101">
        <f>IF(H2399=1,IF(E2399&lt;FYStart,0,IF(E2399&gt;FYEnd,13,YEAR(E2399)*12+MONTH(E2399)-FYYM+1)),"")</f>
        <v/>
      </c>
      <c r="P2399" s="101">
        <f>IF(H2399=1,IF(IFERROR(INDEX(coa_CF,MATCH(I2399,coa_Name,0)),"")="Cash",1,0),0)</f>
        <v/>
      </c>
      <c r="Q2399" s="101">
        <f>IF(H2399=1,IF(IFERROR(INDEX(coa_CF,MATCH(K2399,coa_Name,0)),"")="Cash",1,0),0)</f>
        <v/>
      </c>
      <c r="R2399" s="58">
        <f>IF((P2399-Q2399)=0,"",IFERROR(INDEX(coa_CF,MATCH(IF((P2399-Q2399)=1,K2399,I2399),coa_Name,0)),"Operating"))</f>
        <v/>
      </c>
      <c r="S2399" s="95">
        <f>IF((P2399-Q2399)=1,L2399,IF((P2399-Q2399)=-1,-J2399,0))</f>
        <v/>
      </c>
      <c r="T2399" s="95">
        <f>IF((P2399-Q2399)=1,N2399,IF((P2399-Q2399)=-1,-M2399,0))</f>
        <v/>
      </c>
      <c r="U2399" s="101">
        <f>IF(AND(H2399=1,LedAcct&lt;&gt;""),IF(AND(E2399&gt;=LedFrom,E2399&lt;=LedTo,OR(I2399=LedAcct,K2399=LedAcct,AND(LedAcct=acctTax,M2399+N2399&lt;&gt;0))),E2399*10000+B2399,""),"")</f>
        <v/>
      </c>
    </row>
    <row r="2400">
      <c r="B2400" s="101" t="n">
        <v>2394</v>
      </c>
      <c r="C2400" s="58" t="inlineStr">
        <is>
          <t>Invoice</t>
        </is>
      </c>
      <c r="D2400" s="58">
        <f>IF(H2400=1,INDEX(ar_No,394)&amp;"","")</f>
        <v/>
      </c>
      <c r="E2400" s="94">
        <f>IF(H2400=1,INDEX(ar_Date,394),"")</f>
        <v/>
      </c>
      <c r="F2400" s="58">
        <f>IF(H2400=1,INDEX(ar_Desc,394)&amp;"","")</f>
        <v/>
      </c>
      <c r="G2400" s="58">
        <f>IF(H2400=1,INDEX(ar_Party,394)&amp;"","")</f>
        <v/>
      </c>
      <c r="H2400" s="101">
        <f>IFERROR(N(INDEX(ar_Posted,394)),0)</f>
        <v/>
      </c>
      <c r="I2400" s="58">
        <f>IF(H2400=1,INDEX(ar_DrAcct,394)&amp;"","")</f>
        <v/>
      </c>
      <c r="J2400" s="95">
        <f>IF(H2400=1,INDEX(ar_DrAmt,394),0)</f>
        <v/>
      </c>
      <c r="K2400" s="58">
        <f>IF(H2400=1,INDEX(ar_CrAcct,394)&amp;"","")</f>
        <v/>
      </c>
      <c r="L2400" s="95">
        <f>IF(H2400=1,INDEX(ar_CrAmt,394),0)</f>
        <v/>
      </c>
      <c r="M2400" s="95" t="n">
        <v>0</v>
      </c>
      <c r="N2400" s="95">
        <f>IF(H2400=1,INDEX(ar_TaxAmt,394),0)</f>
        <v/>
      </c>
      <c r="O2400" s="101">
        <f>IF(H2400=1,IF(E2400&lt;FYStart,0,IF(E2400&gt;FYEnd,13,YEAR(E2400)*12+MONTH(E2400)-FYYM+1)),"")</f>
        <v/>
      </c>
      <c r="P2400" s="101">
        <f>IF(H2400=1,IF(IFERROR(INDEX(coa_CF,MATCH(I2400,coa_Name,0)),"")="Cash",1,0),0)</f>
        <v/>
      </c>
      <c r="Q2400" s="101">
        <f>IF(H2400=1,IF(IFERROR(INDEX(coa_CF,MATCH(K2400,coa_Name,0)),"")="Cash",1,0),0)</f>
        <v/>
      </c>
      <c r="R2400" s="58">
        <f>IF((P2400-Q2400)=0,"",IFERROR(INDEX(coa_CF,MATCH(IF((P2400-Q2400)=1,K2400,I2400),coa_Name,0)),"Operating"))</f>
        <v/>
      </c>
      <c r="S2400" s="95">
        <f>IF((P2400-Q2400)=1,L2400,IF((P2400-Q2400)=-1,-J2400,0))</f>
        <v/>
      </c>
      <c r="T2400" s="95">
        <f>IF((P2400-Q2400)=1,N2400,IF((P2400-Q2400)=-1,-M2400,0))</f>
        <v/>
      </c>
      <c r="U2400" s="101">
        <f>IF(AND(H2400=1,LedAcct&lt;&gt;""),IF(AND(E2400&gt;=LedFrom,E2400&lt;=LedTo,OR(I2400=LedAcct,K2400=LedAcct,AND(LedAcct=acctTax,M2400+N2400&lt;&gt;0))),E2400*10000+B2400,""),"")</f>
        <v/>
      </c>
    </row>
    <row r="2401">
      <c r="B2401" s="101" t="n">
        <v>2395</v>
      </c>
      <c r="C2401" s="58" t="inlineStr">
        <is>
          <t>Invoice</t>
        </is>
      </c>
      <c r="D2401" s="58">
        <f>IF(H2401=1,INDEX(ar_No,395)&amp;"","")</f>
        <v/>
      </c>
      <c r="E2401" s="94">
        <f>IF(H2401=1,INDEX(ar_Date,395),"")</f>
        <v/>
      </c>
      <c r="F2401" s="58">
        <f>IF(H2401=1,INDEX(ar_Desc,395)&amp;"","")</f>
        <v/>
      </c>
      <c r="G2401" s="58">
        <f>IF(H2401=1,INDEX(ar_Party,395)&amp;"","")</f>
        <v/>
      </c>
      <c r="H2401" s="101">
        <f>IFERROR(N(INDEX(ar_Posted,395)),0)</f>
        <v/>
      </c>
      <c r="I2401" s="58">
        <f>IF(H2401=1,INDEX(ar_DrAcct,395)&amp;"","")</f>
        <v/>
      </c>
      <c r="J2401" s="95">
        <f>IF(H2401=1,INDEX(ar_DrAmt,395),0)</f>
        <v/>
      </c>
      <c r="K2401" s="58">
        <f>IF(H2401=1,INDEX(ar_CrAcct,395)&amp;"","")</f>
        <v/>
      </c>
      <c r="L2401" s="95">
        <f>IF(H2401=1,INDEX(ar_CrAmt,395),0)</f>
        <v/>
      </c>
      <c r="M2401" s="95" t="n">
        <v>0</v>
      </c>
      <c r="N2401" s="95">
        <f>IF(H2401=1,INDEX(ar_TaxAmt,395),0)</f>
        <v/>
      </c>
      <c r="O2401" s="101">
        <f>IF(H2401=1,IF(E2401&lt;FYStart,0,IF(E2401&gt;FYEnd,13,YEAR(E2401)*12+MONTH(E2401)-FYYM+1)),"")</f>
        <v/>
      </c>
      <c r="P2401" s="101">
        <f>IF(H2401=1,IF(IFERROR(INDEX(coa_CF,MATCH(I2401,coa_Name,0)),"")="Cash",1,0),0)</f>
        <v/>
      </c>
      <c r="Q2401" s="101">
        <f>IF(H2401=1,IF(IFERROR(INDEX(coa_CF,MATCH(K2401,coa_Name,0)),"")="Cash",1,0),0)</f>
        <v/>
      </c>
      <c r="R2401" s="58">
        <f>IF((P2401-Q2401)=0,"",IFERROR(INDEX(coa_CF,MATCH(IF((P2401-Q2401)=1,K2401,I2401),coa_Name,0)),"Operating"))</f>
        <v/>
      </c>
      <c r="S2401" s="95">
        <f>IF((P2401-Q2401)=1,L2401,IF((P2401-Q2401)=-1,-J2401,0))</f>
        <v/>
      </c>
      <c r="T2401" s="95">
        <f>IF((P2401-Q2401)=1,N2401,IF((P2401-Q2401)=-1,-M2401,0))</f>
        <v/>
      </c>
      <c r="U2401" s="101">
        <f>IF(AND(H2401=1,LedAcct&lt;&gt;""),IF(AND(E2401&gt;=LedFrom,E2401&lt;=LedTo,OR(I2401=LedAcct,K2401=LedAcct,AND(LedAcct=acctTax,M2401+N2401&lt;&gt;0))),E2401*10000+B2401,""),"")</f>
        <v/>
      </c>
    </row>
    <row r="2402">
      <c r="B2402" s="101" t="n">
        <v>2396</v>
      </c>
      <c r="C2402" s="58" t="inlineStr">
        <is>
          <t>Invoice</t>
        </is>
      </c>
      <c r="D2402" s="58">
        <f>IF(H2402=1,INDEX(ar_No,396)&amp;"","")</f>
        <v/>
      </c>
      <c r="E2402" s="94">
        <f>IF(H2402=1,INDEX(ar_Date,396),"")</f>
        <v/>
      </c>
      <c r="F2402" s="58">
        <f>IF(H2402=1,INDEX(ar_Desc,396)&amp;"","")</f>
        <v/>
      </c>
      <c r="G2402" s="58">
        <f>IF(H2402=1,INDEX(ar_Party,396)&amp;"","")</f>
        <v/>
      </c>
      <c r="H2402" s="101">
        <f>IFERROR(N(INDEX(ar_Posted,396)),0)</f>
        <v/>
      </c>
      <c r="I2402" s="58">
        <f>IF(H2402=1,INDEX(ar_DrAcct,396)&amp;"","")</f>
        <v/>
      </c>
      <c r="J2402" s="95">
        <f>IF(H2402=1,INDEX(ar_DrAmt,396),0)</f>
        <v/>
      </c>
      <c r="K2402" s="58">
        <f>IF(H2402=1,INDEX(ar_CrAcct,396)&amp;"","")</f>
        <v/>
      </c>
      <c r="L2402" s="95">
        <f>IF(H2402=1,INDEX(ar_CrAmt,396),0)</f>
        <v/>
      </c>
      <c r="M2402" s="95" t="n">
        <v>0</v>
      </c>
      <c r="N2402" s="95">
        <f>IF(H2402=1,INDEX(ar_TaxAmt,396),0)</f>
        <v/>
      </c>
      <c r="O2402" s="101">
        <f>IF(H2402=1,IF(E2402&lt;FYStart,0,IF(E2402&gt;FYEnd,13,YEAR(E2402)*12+MONTH(E2402)-FYYM+1)),"")</f>
        <v/>
      </c>
      <c r="P2402" s="101">
        <f>IF(H2402=1,IF(IFERROR(INDEX(coa_CF,MATCH(I2402,coa_Name,0)),"")="Cash",1,0),0)</f>
        <v/>
      </c>
      <c r="Q2402" s="101">
        <f>IF(H2402=1,IF(IFERROR(INDEX(coa_CF,MATCH(K2402,coa_Name,0)),"")="Cash",1,0),0)</f>
        <v/>
      </c>
      <c r="R2402" s="58">
        <f>IF((P2402-Q2402)=0,"",IFERROR(INDEX(coa_CF,MATCH(IF((P2402-Q2402)=1,K2402,I2402),coa_Name,0)),"Operating"))</f>
        <v/>
      </c>
      <c r="S2402" s="95">
        <f>IF((P2402-Q2402)=1,L2402,IF((P2402-Q2402)=-1,-J2402,0))</f>
        <v/>
      </c>
      <c r="T2402" s="95">
        <f>IF((P2402-Q2402)=1,N2402,IF((P2402-Q2402)=-1,-M2402,0))</f>
        <v/>
      </c>
      <c r="U2402" s="101">
        <f>IF(AND(H2402=1,LedAcct&lt;&gt;""),IF(AND(E2402&gt;=LedFrom,E2402&lt;=LedTo,OR(I2402=LedAcct,K2402=LedAcct,AND(LedAcct=acctTax,M2402+N2402&lt;&gt;0))),E2402*10000+B2402,""),"")</f>
        <v/>
      </c>
    </row>
    <row r="2403">
      <c r="B2403" s="101" t="n">
        <v>2397</v>
      </c>
      <c r="C2403" s="58" t="inlineStr">
        <is>
          <t>Invoice</t>
        </is>
      </c>
      <c r="D2403" s="58">
        <f>IF(H2403=1,INDEX(ar_No,397)&amp;"","")</f>
        <v/>
      </c>
      <c r="E2403" s="94">
        <f>IF(H2403=1,INDEX(ar_Date,397),"")</f>
        <v/>
      </c>
      <c r="F2403" s="58">
        <f>IF(H2403=1,INDEX(ar_Desc,397)&amp;"","")</f>
        <v/>
      </c>
      <c r="G2403" s="58">
        <f>IF(H2403=1,INDEX(ar_Party,397)&amp;"","")</f>
        <v/>
      </c>
      <c r="H2403" s="101">
        <f>IFERROR(N(INDEX(ar_Posted,397)),0)</f>
        <v/>
      </c>
      <c r="I2403" s="58">
        <f>IF(H2403=1,INDEX(ar_DrAcct,397)&amp;"","")</f>
        <v/>
      </c>
      <c r="J2403" s="95">
        <f>IF(H2403=1,INDEX(ar_DrAmt,397),0)</f>
        <v/>
      </c>
      <c r="K2403" s="58">
        <f>IF(H2403=1,INDEX(ar_CrAcct,397)&amp;"","")</f>
        <v/>
      </c>
      <c r="L2403" s="95">
        <f>IF(H2403=1,INDEX(ar_CrAmt,397),0)</f>
        <v/>
      </c>
      <c r="M2403" s="95" t="n">
        <v>0</v>
      </c>
      <c r="N2403" s="95">
        <f>IF(H2403=1,INDEX(ar_TaxAmt,397),0)</f>
        <v/>
      </c>
      <c r="O2403" s="101">
        <f>IF(H2403=1,IF(E2403&lt;FYStart,0,IF(E2403&gt;FYEnd,13,YEAR(E2403)*12+MONTH(E2403)-FYYM+1)),"")</f>
        <v/>
      </c>
      <c r="P2403" s="101">
        <f>IF(H2403=1,IF(IFERROR(INDEX(coa_CF,MATCH(I2403,coa_Name,0)),"")="Cash",1,0),0)</f>
        <v/>
      </c>
      <c r="Q2403" s="101">
        <f>IF(H2403=1,IF(IFERROR(INDEX(coa_CF,MATCH(K2403,coa_Name,0)),"")="Cash",1,0),0)</f>
        <v/>
      </c>
      <c r="R2403" s="58">
        <f>IF((P2403-Q2403)=0,"",IFERROR(INDEX(coa_CF,MATCH(IF((P2403-Q2403)=1,K2403,I2403),coa_Name,0)),"Operating"))</f>
        <v/>
      </c>
      <c r="S2403" s="95">
        <f>IF((P2403-Q2403)=1,L2403,IF((P2403-Q2403)=-1,-J2403,0))</f>
        <v/>
      </c>
      <c r="T2403" s="95">
        <f>IF((P2403-Q2403)=1,N2403,IF((P2403-Q2403)=-1,-M2403,0))</f>
        <v/>
      </c>
      <c r="U2403" s="101">
        <f>IF(AND(H2403=1,LedAcct&lt;&gt;""),IF(AND(E2403&gt;=LedFrom,E2403&lt;=LedTo,OR(I2403=LedAcct,K2403=LedAcct,AND(LedAcct=acctTax,M2403+N2403&lt;&gt;0))),E2403*10000+B2403,""),"")</f>
        <v/>
      </c>
    </row>
    <row r="2404">
      <c r="B2404" s="101" t="n">
        <v>2398</v>
      </c>
      <c r="C2404" s="58" t="inlineStr">
        <is>
          <t>Invoice</t>
        </is>
      </c>
      <c r="D2404" s="58">
        <f>IF(H2404=1,INDEX(ar_No,398)&amp;"","")</f>
        <v/>
      </c>
      <c r="E2404" s="94">
        <f>IF(H2404=1,INDEX(ar_Date,398),"")</f>
        <v/>
      </c>
      <c r="F2404" s="58">
        <f>IF(H2404=1,INDEX(ar_Desc,398)&amp;"","")</f>
        <v/>
      </c>
      <c r="G2404" s="58">
        <f>IF(H2404=1,INDEX(ar_Party,398)&amp;"","")</f>
        <v/>
      </c>
      <c r="H2404" s="101">
        <f>IFERROR(N(INDEX(ar_Posted,398)),0)</f>
        <v/>
      </c>
      <c r="I2404" s="58">
        <f>IF(H2404=1,INDEX(ar_DrAcct,398)&amp;"","")</f>
        <v/>
      </c>
      <c r="J2404" s="95">
        <f>IF(H2404=1,INDEX(ar_DrAmt,398),0)</f>
        <v/>
      </c>
      <c r="K2404" s="58">
        <f>IF(H2404=1,INDEX(ar_CrAcct,398)&amp;"","")</f>
        <v/>
      </c>
      <c r="L2404" s="95">
        <f>IF(H2404=1,INDEX(ar_CrAmt,398),0)</f>
        <v/>
      </c>
      <c r="M2404" s="95" t="n">
        <v>0</v>
      </c>
      <c r="N2404" s="95">
        <f>IF(H2404=1,INDEX(ar_TaxAmt,398),0)</f>
        <v/>
      </c>
      <c r="O2404" s="101">
        <f>IF(H2404=1,IF(E2404&lt;FYStart,0,IF(E2404&gt;FYEnd,13,YEAR(E2404)*12+MONTH(E2404)-FYYM+1)),"")</f>
        <v/>
      </c>
      <c r="P2404" s="101">
        <f>IF(H2404=1,IF(IFERROR(INDEX(coa_CF,MATCH(I2404,coa_Name,0)),"")="Cash",1,0),0)</f>
        <v/>
      </c>
      <c r="Q2404" s="101">
        <f>IF(H2404=1,IF(IFERROR(INDEX(coa_CF,MATCH(K2404,coa_Name,0)),"")="Cash",1,0),0)</f>
        <v/>
      </c>
      <c r="R2404" s="58">
        <f>IF((P2404-Q2404)=0,"",IFERROR(INDEX(coa_CF,MATCH(IF((P2404-Q2404)=1,K2404,I2404),coa_Name,0)),"Operating"))</f>
        <v/>
      </c>
      <c r="S2404" s="95">
        <f>IF((P2404-Q2404)=1,L2404,IF((P2404-Q2404)=-1,-J2404,0))</f>
        <v/>
      </c>
      <c r="T2404" s="95">
        <f>IF((P2404-Q2404)=1,N2404,IF((P2404-Q2404)=-1,-M2404,0))</f>
        <v/>
      </c>
      <c r="U2404" s="101">
        <f>IF(AND(H2404=1,LedAcct&lt;&gt;""),IF(AND(E2404&gt;=LedFrom,E2404&lt;=LedTo,OR(I2404=LedAcct,K2404=LedAcct,AND(LedAcct=acctTax,M2404+N2404&lt;&gt;0))),E2404*10000+B2404,""),"")</f>
        <v/>
      </c>
    </row>
    <row r="2405">
      <c r="B2405" s="101" t="n">
        <v>2399</v>
      </c>
      <c r="C2405" s="58" t="inlineStr">
        <is>
          <t>Invoice</t>
        </is>
      </c>
      <c r="D2405" s="58">
        <f>IF(H2405=1,INDEX(ar_No,399)&amp;"","")</f>
        <v/>
      </c>
      <c r="E2405" s="94">
        <f>IF(H2405=1,INDEX(ar_Date,399),"")</f>
        <v/>
      </c>
      <c r="F2405" s="58">
        <f>IF(H2405=1,INDEX(ar_Desc,399)&amp;"","")</f>
        <v/>
      </c>
      <c r="G2405" s="58">
        <f>IF(H2405=1,INDEX(ar_Party,399)&amp;"","")</f>
        <v/>
      </c>
      <c r="H2405" s="101">
        <f>IFERROR(N(INDEX(ar_Posted,399)),0)</f>
        <v/>
      </c>
      <c r="I2405" s="58">
        <f>IF(H2405=1,INDEX(ar_DrAcct,399)&amp;"","")</f>
        <v/>
      </c>
      <c r="J2405" s="95">
        <f>IF(H2405=1,INDEX(ar_DrAmt,399),0)</f>
        <v/>
      </c>
      <c r="K2405" s="58">
        <f>IF(H2405=1,INDEX(ar_CrAcct,399)&amp;"","")</f>
        <v/>
      </c>
      <c r="L2405" s="95">
        <f>IF(H2405=1,INDEX(ar_CrAmt,399),0)</f>
        <v/>
      </c>
      <c r="M2405" s="95" t="n">
        <v>0</v>
      </c>
      <c r="N2405" s="95">
        <f>IF(H2405=1,INDEX(ar_TaxAmt,399),0)</f>
        <v/>
      </c>
      <c r="O2405" s="101">
        <f>IF(H2405=1,IF(E2405&lt;FYStart,0,IF(E2405&gt;FYEnd,13,YEAR(E2405)*12+MONTH(E2405)-FYYM+1)),"")</f>
        <v/>
      </c>
      <c r="P2405" s="101">
        <f>IF(H2405=1,IF(IFERROR(INDEX(coa_CF,MATCH(I2405,coa_Name,0)),"")="Cash",1,0),0)</f>
        <v/>
      </c>
      <c r="Q2405" s="101">
        <f>IF(H2405=1,IF(IFERROR(INDEX(coa_CF,MATCH(K2405,coa_Name,0)),"")="Cash",1,0),0)</f>
        <v/>
      </c>
      <c r="R2405" s="58">
        <f>IF((P2405-Q2405)=0,"",IFERROR(INDEX(coa_CF,MATCH(IF((P2405-Q2405)=1,K2405,I2405),coa_Name,0)),"Operating"))</f>
        <v/>
      </c>
      <c r="S2405" s="95">
        <f>IF((P2405-Q2405)=1,L2405,IF((P2405-Q2405)=-1,-J2405,0))</f>
        <v/>
      </c>
      <c r="T2405" s="95">
        <f>IF((P2405-Q2405)=1,N2405,IF((P2405-Q2405)=-1,-M2405,0))</f>
        <v/>
      </c>
      <c r="U2405" s="101">
        <f>IF(AND(H2405=1,LedAcct&lt;&gt;""),IF(AND(E2405&gt;=LedFrom,E2405&lt;=LedTo,OR(I2405=LedAcct,K2405=LedAcct,AND(LedAcct=acctTax,M2405+N2405&lt;&gt;0))),E2405*10000+B2405,""),"")</f>
        <v/>
      </c>
    </row>
    <row r="2406">
      <c r="B2406" s="101" t="n">
        <v>2400</v>
      </c>
      <c r="C2406" s="58" t="inlineStr">
        <is>
          <t>Invoice</t>
        </is>
      </c>
      <c r="D2406" s="58">
        <f>IF(H2406=1,INDEX(ar_No,400)&amp;"","")</f>
        <v/>
      </c>
      <c r="E2406" s="94">
        <f>IF(H2406=1,INDEX(ar_Date,400),"")</f>
        <v/>
      </c>
      <c r="F2406" s="58">
        <f>IF(H2406=1,INDEX(ar_Desc,400)&amp;"","")</f>
        <v/>
      </c>
      <c r="G2406" s="58">
        <f>IF(H2406=1,INDEX(ar_Party,400)&amp;"","")</f>
        <v/>
      </c>
      <c r="H2406" s="101">
        <f>IFERROR(N(INDEX(ar_Posted,400)),0)</f>
        <v/>
      </c>
      <c r="I2406" s="58">
        <f>IF(H2406=1,INDEX(ar_DrAcct,400)&amp;"","")</f>
        <v/>
      </c>
      <c r="J2406" s="95">
        <f>IF(H2406=1,INDEX(ar_DrAmt,400),0)</f>
        <v/>
      </c>
      <c r="K2406" s="58">
        <f>IF(H2406=1,INDEX(ar_CrAcct,400)&amp;"","")</f>
        <v/>
      </c>
      <c r="L2406" s="95">
        <f>IF(H2406=1,INDEX(ar_CrAmt,400),0)</f>
        <v/>
      </c>
      <c r="M2406" s="95" t="n">
        <v>0</v>
      </c>
      <c r="N2406" s="95">
        <f>IF(H2406=1,INDEX(ar_TaxAmt,400),0)</f>
        <v/>
      </c>
      <c r="O2406" s="101">
        <f>IF(H2406=1,IF(E2406&lt;FYStart,0,IF(E2406&gt;FYEnd,13,YEAR(E2406)*12+MONTH(E2406)-FYYM+1)),"")</f>
        <v/>
      </c>
      <c r="P2406" s="101">
        <f>IF(H2406=1,IF(IFERROR(INDEX(coa_CF,MATCH(I2406,coa_Name,0)),"")="Cash",1,0),0)</f>
        <v/>
      </c>
      <c r="Q2406" s="101">
        <f>IF(H2406=1,IF(IFERROR(INDEX(coa_CF,MATCH(K2406,coa_Name,0)),"")="Cash",1,0),0)</f>
        <v/>
      </c>
      <c r="R2406" s="58">
        <f>IF((P2406-Q2406)=0,"",IFERROR(INDEX(coa_CF,MATCH(IF((P2406-Q2406)=1,K2406,I2406),coa_Name,0)),"Operating"))</f>
        <v/>
      </c>
      <c r="S2406" s="95">
        <f>IF((P2406-Q2406)=1,L2406,IF((P2406-Q2406)=-1,-J2406,0))</f>
        <v/>
      </c>
      <c r="T2406" s="95">
        <f>IF((P2406-Q2406)=1,N2406,IF((P2406-Q2406)=-1,-M2406,0))</f>
        <v/>
      </c>
      <c r="U2406" s="101">
        <f>IF(AND(H2406=1,LedAcct&lt;&gt;""),IF(AND(E2406&gt;=LedFrom,E2406&lt;=LedTo,OR(I2406=LedAcct,K2406=LedAcct,AND(LedAcct=acctTax,M2406+N2406&lt;&gt;0))),E2406*10000+B2406,""),"")</f>
        <v/>
      </c>
    </row>
    <row r="2407">
      <c r="B2407" s="101" t="n">
        <v>2401</v>
      </c>
      <c r="C2407" s="58" t="inlineStr">
        <is>
          <t>Invoice</t>
        </is>
      </c>
      <c r="D2407" s="58">
        <f>IF(H2407=1,INDEX(ar_No,401)&amp;"","")</f>
        <v/>
      </c>
      <c r="E2407" s="94">
        <f>IF(H2407=1,INDEX(ar_Date,401),"")</f>
        <v/>
      </c>
      <c r="F2407" s="58">
        <f>IF(H2407=1,INDEX(ar_Desc,401)&amp;"","")</f>
        <v/>
      </c>
      <c r="G2407" s="58">
        <f>IF(H2407=1,INDEX(ar_Party,401)&amp;"","")</f>
        <v/>
      </c>
      <c r="H2407" s="101">
        <f>IFERROR(N(INDEX(ar_Posted,401)),0)</f>
        <v/>
      </c>
      <c r="I2407" s="58">
        <f>IF(H2407=1,INDEX(ar_DrAcct,401)&amp;"","")</f>
        <v/>
      </c>
      <c r="J2407" s="95">
        <f>IF(H2407=1,INDEX(ar_DrAmt,401),0)</f>
        <v/>
      </c>
      <c r="K2407" s="58">
        <f>IF(H2407=1,INDEX(ar_CrAcct,401)&amp;"","")</f>
        <v/>
      </c>
      <c r="L2407" s="95">
        <f>IF(H2407=1,INDEX(ar_CrAmt,401),0)</f>
        <v/>
      </c>
      <c r="M2407" s="95" t="n">
        <v>0</v>
      </c>
      <c r="N2407" s="95">
        <f>IF(H2407=1,INDEX(ar_TaxAmt,401),0)</f>
        <v/>
      </c>
      <c r="O2407" s="101">
        <f>IF(H2407=1,IF(E2407&lt;FYStart,0,IF(E2407&gt;FYEnd,13,YEAR(E2407)*12+MONTH(E2407)-FYYM+1)),"")</f>
        <v/>
      </c>
      <c r="P2407" s="101">
        <f>IF(H2407=1,IF(IFERROR(INDEX(coa_CF,MATCH(I2407,coa_Name,0)),"")="Cash",1,0),0)</f>
        <v/>
      </c>
      <c r="Q2407" s="101">
        <f>IF(H2407=1,IF(IFERROR(INDEX(coa_CF,MATCH(K2407,coa_Name,0)),"")="Cash",1,0),0)</f>
        <v/>
      </c>
      <c r="R2407" s="58">
        <f>IF((P2407-Q2407)=0,"",IFERROR(INDEX(coa_CF,MATCH(IF((P2407-Q2407)=1,K2407,I2407),coa_Name,0)),"Operating"))</f>
        <v/>
      </c>
      <c r="S2407" s="95">
        <f>IF((P2407-Q2407)=1,L2407,IF((P2407-Q2407)=-1,-J2407,0))</f>
        <v/>
      </c>
      <c r="T2407" s="95">
        <f>IF((P2407-Q2407)=1,N2407,IF((P2407-Q2407)=-1,-M2407,0))</f>
        <v/>
      </c>
      <c r="U2407" s="101">
        <f>IF(AND(H2407=1,LedAcct&lt;&gt;""),IF(AND(E2407&gt;=LedFrom,E2407&lt;=LedTo,OR(I2407=LedAcct,K2407=LedAcct,AND(LedAcct=acctTax,M2407+N2407&lt;&gt;0))),E2407*10000+B2407,""),"")</f>
        <v/>
      </c>
    </row>
    <row r="2408">
      <c r="B2408" s="101" t="n">
        <v>2402</v>
      </c>
      <c r="C2408" s="58" t="inlineStr">
        <is>
          <t>Invoice</t>
        </is>
      </c>
      <c r="D2408" s="58">
        <f>IF(H2408=1,INDEX(ar_No,402)&amp;"","")</f>
        <v/>
      </c>
      <c r="E2408" s="94">
        <f>IF(H2408=1,INDEX(ar_Date,402),"")</f>
        <v/>
      </c>
      <c r="F2408" s="58">
        <f>IF(H2408=1,INDEX(ar_Desc,402)&amp;"","")</f>
        <v/>
      </c>
      <c r="G2408" s="58">
        <f>IF(H2408=1,INDEX(ar_Party,402)&amp;"","")</f>
        <v/>
      </c>
      <c r="H2408" s="101">
        <f>IFERROR(N(INDEX(ar_Posted,402)),0)</f>
        <v/>
      </c>
      <c r="I2408" s="58">
        <f>IF(H2408=1,INDEX(ar_DrAcct,402)&amp;"","")</f>
        <v/>
      </c>
      <c r="J2408" s="95">
        <f>IF(H2408=1,INDEX(ar_DrAmt,402),0)</f>
        <v/>
      </c>
      <c r="K2408" s="58">
        <f>IF(H2408=1,INDEX(ar_CrAcct,402)&amp;"","")</f>
        <v/>
      </c>
      <c r="L2408" s="95">
        <f>IF(H2408=1,INDEX(ar_CrAmt,402),0)</f>
        <v/>
      </c>
      <c r="M2408" s="95" t="n">
        <v>0</v>
      </c>
      <c r="N2408" s="95">
        <f>IF(H2408=1,INDEX(ar_TaxAmt,402),0)</f>
        <v/>
      </c>
      <c r="O2408" s="101">
        <f>IF(H2408=1,IF(E2408&lt;FYStart,0,IF(E2408&gt;FYEnd,13,YEAR(E2408)*12+MONTH(E2408)-FYYM+1)),"")</f>
        <v/>
      </c>
      <c r="P2408" s="101">
        <f>IF(H2408=1,IF(IFERROR(INDEX(coa_CF,MATCH(I2408,coa_Name,0)),"")="Cash",1,0),0)</f>
        <v/>
      </c>
      <c r="Q2408" s="101">
        <f>IF(H2408=1,IF(IFERROR(INDEX(coa_CF,MATCH(K2408,coa_Name,0)),"")="Cash",1,0),0)</f>
        <v/>
      </c>
      <c r="R2408" s="58">
        <f>IF((P2408-Q2408)=0,"",IFERROR(INDEX(coa_CF,MATCH(IF((P2408-Q2408)=1,K2408,I2408),coa_Name,0)),"Operating"))</f>
        <v/>
      </c>
      <c r="S2408" s="95">
        <f>IF((P2408-Q2408)=1,L2408,IF((P2408-Q2408)=-1,-J2408,0))</f>
        <v/>
      </c>
      <c r="T2408" s="95">
        <f>IF((P2408-Q2408)=1,N2408,IF((P2408-Q2408)=-1,-M2408,0))</f>
        <v/>
      </c>
      <c r="U2408" s="101">
        <f>IF(AND(H2408=1,LedAcct&lt;&gt;""),IF(AND(E2408&gt;=LedFrom,E2408&lt;=LedTo,OR(I2408=LedAcct,K2408=LedAcct,AND(LedAcct=acctTax,M2408+N2408&lt;&gt;0))),E2408*10000+B2408,""),"")</f>
        <v/>
      </c>
    </row>
    <row r="2409">
      <c r="B2409" s="101" t="n">
        <v>2403</v>
      </c>
      <c r="C2409" s="58" t="inlineStr">
        <is>
          <t>Invoice</t>
        </is>
      </c>
      <c r="D2409" s="58">
        <f>IF(H2409=1,INDEX(ar_No,403)&amp;"","")</f>
        <v/>
      </c>
      <c r="E2409" s="94">
        <f>IF(H2409=1,INDEX(ar_Date,403),"")</f>
        <v/>
      </c>
      <c r="F2409" s="58">
        <f>IF(H2409=1,INDEX(ar_Desc,403)&amp;"","")</f>
        <v/>
      </c>
      <c r="G2409" s="58">
        <f>IF(H2409=1,INDEX(ar_Party,403)&amp;"","")</f>
        <v/>
      </c>
      <c r="H2409" s="101">
        <f>IFERROR(N(INDEX(ar_Posted,403)),0)</f>
        <v/>
      </c>
      <c r="I2409" s="58">
        <f>IF(H2409=1,INDEX(ar_DrAcct,403)&amp;"","")</f>
        <v/>
      </c>
      <c r="J2409" s="95">
        <f>IF(H2409=1,INDEX(ar_DrAmt,403),0)</f>
        <v/>
      </c>
      <c r="K2409" s="58">
        <f>IF(H2409=1,INDEX(ar_CrAcct,403)&amp;"","")</f>
        <v/>
      </c>
      <c r="L2409" s="95">
        <f>IF(H2409=1,INDEX(ar_CrAmt,403),0)</f>
        <v/>
      </c>
      <c r="M2409" s="95" t="n">
        <v>0</v>
      </c>
      <c r="N2409" s="95">
        <f>IF(H2409=1,INDEX(ar_TaxAmt,403),0)</f>
        <v/>
      </c>
      <c r="O2409" s="101">
        <f>IF(H2409=1,IF(E2409&lt;FYStart,0,IF(E2409&gt;FYEnd,13,YEAR(E2409)*12+MONTH(E2409)-FYYM+1)),"")</f>
        <v/>
      </c>
      <c r="P2409" s="101">
        <f>IF(H2409=1,IF(IFERROR(INDEX(coa_CF,MATCH(I2409,coa_Name,0)),"")="Cash",1,0),0)</f>
        <v/>
      </c>
      <c r="Q2409" s="101">
        <f>IF(H2409=1,IF(IFERROR(INDEX(coa_CF,MATCH(K2409,coa_Name,0)),"")="Cash",1,0),0)</f>
        <v/>
      </c>
      <c r="R2409" s="58">
        <f>IF((P2409-Q2409)=0,"",IFERROR(INDEX(coa_CF,MATCH(IF((P2409-Q2409)=1,K2409,I2409),coa_Name,0)),"Operating"))</f>
        <v/>
      </c>
      <c r="S2409" s="95">
        <f>IF((P2409-Q2409)=1,L2409,IF((P2409-Q2409)=-1,-J2409,0))</f>
        <v/>
      </c>
      <c r="T2409" s="95">
        <f>IF((P2409-Q2409)=1,N2409,IF((P2409-Q2409)=-1,-M2409,0))</f>
        <v/>
      </c>
      <c r="U2409" s="101">
        <f>IF(AND(H2409=1,LedAcct&lt;&gt;""),IF(AND(E2409&gt;=LedFrom,E2409&lt;=LedTo,OR(I2409=LedAcct,K2409=LedAcct,AND(LedAcct=acctTax,M2409+N2409&lt;&gt;0))),E2409*10000+B2409,""),"")</f>
        <v/>
      </c>
    </row>
    <row r="2410">
      <c r="B2410" s="101" t="n">
        <v>2404</v>
      </c>
      <c r="C2410" s="58" t="inlineStr">
        <is>
          <t>Invoice</t>
        </is>
      </c>
      <c r="D2410" s="58">
        <f>IF(H2410=1,INDEX(ar_No,404)&amp;"","")</f>
        <v/>
      </c>
      <c r="E2410" s="94">
        <f>IF(H2410=1,INDEX(ar_Date,404),"")</f>
        <v/>
      </c>
      <c r="F2410" s="58">
        <f>IF(H2410=1,INDEX(ar_Desc,404)&amp;"","")</f>
        <v/>
      </c>
      <c r="G2410" s="58">
        <f>IF(H2410=1,INDEX(ar_Party,404)&amp;"","")</f>
        <v/>
      </c>
      <c r="H2410" s="101">
        <f>IFERROR(N(INDEX(ar_Posted,404)),0)</f>
        <v/>
      </c>
      <c r="I2410" s="58">
        <f>IF(H2410=1,INDEX(ar_DrAcct,404)&amp;"","")</f>
        <v/>
      </c>
      <c r="J2410" s="95">
        <f>IF(H2410=1,INDEX(ar_DrAmt,404),0)</f>
        <v/>
      </c>
      <c r="K2410" s="58">
        <f>IF(H2410=1,INDEX(ar_CrAcct,404)&amp;"","")</f>
        <v/>
      </c>
      <c r="L2410" s="95">
        <f>IF(H2410=1,INDEX(ar_CrAmt,404),0)</f>
        <v/>
      </c>
      <c r="M2410" s="95" t="n">
        <v>0</v>
      </c>
      <c r="N2410" s="95">
        <f>IF(H2410=1,INDEX(ar_TaxAmt,404),0)</f>
        <v/>
      </c>
      <c r="O2410" s="101">
        <f>IF(H2410=1,IF(E2410&lt;FYStart,0,IF(E2410&gt;FYEnd,13,YEAR(E2410)*12+MONTH(E2410)-FYYM+1)),"")</f>
        <v/>
      </c>
      <c r="P2410" s="101">
        <f>IF(H2410=1,IF(IFERROR(INDEX(coa_CF,MATCH(I2410,coa_Name,0)),"")="Cash",1,0),0)</f>
        <v/>
      </c>
      <c r="Q2410" s="101">
        <f>IF(H2410=1,IF(IFERROR(INDEX(coa_CF,MATCH(K2410,coa_Name,0)),"")="Cash",1,0),0)</f>
        <v/>
      </c>
      <c r="R2410" s="58">
        <f>IF((P2410-Q2410)=0,"",IFERROR(INDEX(coa_CF,MATCH(IF((P2410-Q2410)=1,K2410,I2410),coa_Name,0)),"Operating"))</f>
        <v/>
      </c>
      <c r="S2410" s="95">
        <f>IF((P2410-Q2410)=1,L2410,IF((P2410-Q2410)=-1,-J2410,0))</f>
        <v/>
      </c>
      <c r="T2410" s="95">
        <f>IF((P2410-Q2410)=1,N2410,IF((P2410-Q2410)=-1,-M2410,0))</f>
        <v/>
      </c>
      <c r="U2410" s="101">
        <f>IF(AND(H2410=1,LedAcct&lt;&gt;""),IF(AND(E2410&gt;=LedFrom,E2410&lt;=LedTo,OR(I2410=LedAcct,K2410=LedAcct,AND(LedAcct=acctTax,M2410+N2410&lt;&gt;0))),E2410*10000+B2410,""),"")</f>
        <v/>
      </c>
    </row>
    <row r="2411">
      <c r="B2411" s="101" t="n">
        <v>2405</v>
      </c>
      <c r="C2411" s="58" t="inlineStr">
        <is>
          <t>Invoice</t>
        </is>
      </c>
      <c r="D2411" s="58">
        <f>IF(H2411=1,INDEX(ar_No,405)&amp;"","")</f>
        <v/>
      </c>
      <c r="E2411" s="94">
        <f>IF(H2411=1,INDEX(ar_Date,405),"")</f>
        <v/>
      </c>
      <c r="F2411" s="58">
        <f>IF(H2411=1,INDEX(ar_Desc,405)&amp;"","")</f>
        <v/>
      </c>
      <c r="G2411" s="58">
        <f>IF(H2411=1,INDEX(ar_Party,405)&amp;"","")</f>
        <v/>
      </c>
      <c r="H2411" s="101">
        <f>IFERROR(N(INDEX(ar_Posted,405)),0)</f>
        <v/>
      </c>
      <c r="I2411" s="58">
        <f>IF(H2411=1,INDEX(ar_DrAcct,405)&amp;"","")</f>
        <v/>
      </c>
      <c r="J2411" s="95">
        <f>IF(H2411=1,INDEX(ar_DrAmt,405),0)</f>
        <v/>
      </c>
      <c r="K2411" s="58">
        <f>IF(H2411=1,INDEX(ar_CrAcct,405)&amp;"","")</f>
        <v/>
      </c>
      <c r="L2411" s="95">
        <f>IF(H2411=1,INDEX(ar_CrAmt,405),0)</f>
        <v/>
      </c>
      <c r="M2411" s="95" t="n">
        <v>0</v>
      </c>
      <c r="N2411" s="95">
        <f>IF(H2411=1,INDEX(ar_TaxAmt,405),0)</f>
        <v/>
      </c>
      <c r="O2411" s="101">
        <f>IF(H2411=1,IF(E2411&lt;FYStart,0,IF(E2411&gt;FYEnd,13,YEAR(E2411)*12+MONTH(E2411)-FYYM+1)),"")</f>
        <v/>
      </c>
      <c r="P2411" s="101">
        <f>IF(H2411=1,IF(IFERROR(INDEX(coa_CF,MATCH(I2411,coa_Name,0)),"")="Cash",1,0),0)</f>
        <v/>
      </c>
      <c r="Q2411" s="101">
        <f>IF(H2411=1,IF(IFERROR(INDEX(coa_CF,MATCH(K2411,coa_Name,0)),"")="Cash",1,0),0)</f>
        <v/>
      </c>
      <c r="R2411" s="58">
        <f>IF((P2411-Q2411)=0,"",IFERROR(INDEX(coa_CF,MATCH(IF((P2411-Q2411)=1,K2411,I2411),coa_Name,0)),"Operating"))</f>
        <v/>
      </c>
      <c r="S2411" s="95">
        <f>IF((P2411-Q2411)=1,L2411,IF((P2411-Q2411)=-1,-J2411,0))</f>
        <v/>
      </c>
      <c r="T2411" s="95">
        <f>IF((P2411-Q2411)=1,N2411,IF((P2411-Q2411)=-1,-M2411,0))</f>
        <v/>
      </c>
      <c r="U2411" s="101">
        <f>IF(AND(H2411=1,LedAcct&lt;&gt;""),IF(AND(E2411&gt;=LedFrom,E2411&lt;=LedTo,OR(I2411=LedAcct,K2411=LedAcct,AND(LedAcct=acctTax,M2411+N2411&lt;&gt;0))),E2411*10000+B2411,""),"")</f>
        <v/>
      </c>
    </row>
    <row r="2412">
      <c r="B2412" s="101" t="n">
        <v>2406</v>
      </c>
      <c r="C2412" s="58" t="inlineStr">
        <is>
          <t>Invoice</t>
        </is>
      </c>
      <c r="D2412" s="58">
        <f>IF(H2412=1,INDEX(ar_No,406)&amp;"","")</f>
        <v/>
      </c>
      <c r="E2412" s="94">
        <f>IF(H2412=1,INDEX(ar_Date,406),"")</f>
        <v/>
      </c>
      <c r="F2412" s="58">
        <f>IF(H2412=1,INDEX(ar_Desc,406)&amp;"","")</f>
        <v/>
      </c>
      <c r="G2412" s="58">
        <f>IF(H2412=1,INDEX(ar_Party,406)&amp;"","")</f>
        <v/>
      </c>
      <c r="H2412" s="101">
        <f>IFERROR(N(INDEX(ar_Posted,406)),0)</f>
        <v/>
      </c>
      <c r="I2412" s="58">
        <f>IF(H2412=1,INDEX(ar_DrAcct,406)&amp;"","")</f>
        <v/>
      </c>
      <c r="J2412" s="95">
        <f>IF(H2412=1,INDEX(ar_DrAmt,406),0)</f>
        <v/>
      </c>
      <c r="K2412" s="58">
        <f>IF(H2412=1,INDEX(ar_CrAcct,406)&amp;"","")</f>
        <v/>
      </c>
      <c r="L2412" s="95">
        <f>IF(H2412=1,INDEX(ar_CrAmt,406),0)</f>
        <v/>
      </c>
      <c r="M2412" s="95" t="n">
        <v>0</v>
      </c>
      <c r="N2412" s="95">
        <f>IF(H2412=1,INDEX(ar_TaxAmt,406),0)</f>
        <v/>
      </c>
      <c r="O2412" s="101">
        <f>IF(H2412=1,IF(E2412&lt;FYStart,0,IF(E2412&gt;FYEnd,13,YEAR(E2412)*12+MONTH(E2412)-FYYM+1)),"")</f>
        <v/>
      </c>
      <c r="P2412" s="101">
        <f>IF(H2412=1,IF(IFERROR(INDEX(coa_CF,MATCH(I2412,coa_Name,0)),"")="Cash",1,0),0)</f>
        <v/>
      </c>
      <c r="Q2412" s="101">
        <f>IF(H2412=1,IF(IFERROR(INDEX(coa_CF,MATCH(K2412,coa_Name,0)),"")="Cash",1,0),0)</f>
        <v/>
      </c>
      <c r="R2412" s="58">
        <f>IF((P2412-Q2412)=0,"",IFERROR(INDEX(coa_CF,MATCH(IF((P2412-Q2412)=1,K2412,I2412),coa_Name,0)),"Operating"))</f>
        <v/>
      </c>
      <c r="S2412" s="95">
        <f>IF((P2412-Q2412)=1,L2412,IF((P2412-Q2412)=-1,-J2412,0))</f>
        <v/>
      </c>
      <c r="T2412" s="95">
        <f>IF((P2412-Q2412)=1,N2412,IF((P2412-Q2412)=-1,-M2412,0))</f>
        <v/>
      </c>
      <c r="U2412" s="101">
        <f>IF(AND(H2412=1,LedAcct&lt;&gt;""),IF(AND(E2412&gt;=LedFrom,E2412&lt;=LedTo,OR(I2412=LedAcct,K2412=LedAcct,AND(LedAcct=acctTax,M2412+N2412&lt;&gt;0))),E2412*10000+B2412,""),"")</f>
        <v/>
      </c>
    </row>
    <row r="2413">
      <c r="B2413" s="101" t="n">
        <v>2407</v>
      </c>
      <c r="C2413" s="58" t="inlineStr">
        <is>
          <t>Invoice</t>
        </is>
      </c>
      <c r="D2413" s="58">
        <f>IF(H2413=1,INDEX(ar_No,407)&amp;"","")</f>
        <v/>
      </c>
      <c r="E2413" s="94">
        <f>IF(H2413=1,INDEX(ar_Date,407),"")</f>
        <v/>
      </c>
      <c r="F2413" s="58">
        <f>IF(H2413=1,INDEX(ar_Desc,407)&amp;"","")</f>
        <v/>
      </c>
      <c r="G2413" s="58">
        <f>IF(H2413=1,INDEX(ar_Party,407)&amp;"","")</f>
        <v/>
      </c>
      <c r="H2413" s="101">
        <f>IFERROR(N(INDEX(ar_Posted,407)),0)</f>
        <v/>
      </c>
      <c r="I2413" s="58">
        <f>IF(H2413=1,INDEX(ar_DrAcct,407)&amp;"","")</f>
        <v/>
      </c>
      <c r="J2413" s="95">
        <f>IF(H2413=1,INDEX(ar_DrAmt,407),0)</f>
        <v/>
      </c>
      <c r="K2413" s="58">
        <f>IF(H2413=1,INDEX(ar_CrAcct,407)&amp;"","")</f>
        <v/>
      </c>
      <c r="L2413" s="95">
        <f>IF(H2413=1,INDEX(ar_CrAmt,407),0)</f>
        <v/>
      </c>
      <c r="M2413" s="95" t="n">
        <v>0</v>
      </c>
      <c r="N2413" s="95">
        <f>IF(H2413=1,INDEX(ar_TaxAmt,407),0)</f>
        <v/>
      </c>
      <c r="O2413" s="101">
        <f>IF(H2413=1,IF(E2413&lt;FYStart,0,IF(E2413&gt;FYEnd,13,YEAR(E2413)*12+MONTH(E2413)-FYYM+1)),"")</f>
        <v/>
      </c>
      <c r="P2413" s="101">
        <f>IF(H2413=1,IF(IFERROR(INDEX(coa_CF,MATCH(I2413,coa_Name,0)),"")="Cash",1,0),0)</f>
        <v/>
      </c>
      <c r="Q2413" s="101">
        <f>IF(H2413=1,IF(IFERROR(INDEX(coa_CF,MATCH(K2413,coa_Name,0)),"")="Cash",1,0),0)</f>
        <v/>
      </c>
      <c r="R2413" s="58">
        <f>IF((P2413-Q2413)=0,"",IFERROR(INDEX(coa_CF,MATCH(IF((P2413-Q2413)=1,K2413,I2413),coa_Name,0)),"Operating"))</f>
        <v/>
      </c>
      <c r="S2413" s="95">
        <f>IF((P2413-Q2413)=1,L2413,IF((P2413-Q2413)=-1,-J2413,0))</f>
        <v/>
      </c>
      <c r="T2413" s="95">
        <f>IF((P2413-Q2413)=1,N2413,IF((P2413-Q2413)=-1,-M2413,0))</f>
        <v/>
      </c>
      <c r="U2413" s="101">
        <f>IF(AND(H2413=1,LedAcct&lt;&gt;""),IF(AND(E2413&gt;=LedFrom,E2413&lt;=LedTo,OR(I2413=LedAcct,K2413=LedAcct,AND(LedAcct=acctTax,M2413+N2413&lt;&gt;0))),E2413*10000+B2413,""),"")</f>
        <v/>
      </c>
    </row>
    <row r="2414">
      <c r="B2414" s="101" t="n">
        <v>2408</v>
      </c>
      <c r="C2414" s="58" t="inlineStr">
        <is>
          <t>Invoice</t>
        </is>
      </c>
      <c r="D2414" s="58">
        <f>IF(H2414=1,INDEX(ar_No,408)&amp;"","")</f>
        <v/>
      </c>
      <c r="E2414" s="94">
        <f>IF(H2414=1,INDEX(ar_Date,408),"")</f>
        <v/>
      </c>
      <c r="F2414" s="58">
        <f>IF(H2414=1,INDEX(ar_Desc,408)&amp;"","")</f>
        <v/>
      </c>
      <c r="G2414" s="58">
        <f>IF(H2414=1,INDEX(ar_Party,408)&amp;"","")</f>
        <v/>
      </c>
      <c r="H2414" s="101">
        <f>IFERROR(N(INDEX(ar_Posted,408)),0)</f>
        <v/>
      </c>
      <c r="I2414" s="58">
        <f>IF(H2414=1,INDEX(ar_DrAcct,408)&amp;"","")</f>
        <v/>
      </c>
      <c r="J2414" s="95">
        <f>IF(H2414=1,INDEX(ar_DrAmt,408),0)</f>
        <v/>
      </c>
      <c r="K2414" s="58">
        <f>IF(H2414=1,INDEX(ar_CrAcct,408)&amp;"","")</f>
        <v/>
      </c>
      <c r="L2414" s="95">
        <f>IF(H2414=1,INDEX(ar_CrAmt,408),0)</f>
        <v/>
      </c>
      <c r="M2414" s="95" t="n">
        <v>0</v>
      </c>
      <c r="N2414" s="95">
        <f>IF(H2414=1,INDEX(ar_TaxAmt,408),0)</f>
        <v/>
      </c>
      <c r="O2414" s="101">
        <f>IF(H2414=1,IF(E2414&lt;FYStart,0,IF(E2414&gt;FYEnd,13,YEAR(E2414)*12+MONTH(E2414)-FYYM+1)),"")</f>
        <v/>
      </c>
      <c r="P2414" s="101">
        <f>IF(H2414=1,IF(IFERROR(INDEX(coa_CF,MATCH(I2414,coa_Name,0)),"")="Cash",1,0),0)</f>
        <v/>
      </c>
      <c r="Q2414" s="101">
        <f>IF(H2414=1,IF(IFERROR(INDEX(coa_CF,MATCH(K2414,coa_Name,0)),"")="Cash",1,0),0)</f>
        <v/>
      </c>
      <c r="R2414" s="58">
        <f>IF((P2414-Q2414)=0,"",IFERROR(INDEX(coa_CF,MATCH(IF((P2414-Q2414)=1,K2414,I2414),coa_Name,0)),"Operating"))</f>
        <v/>
      </c>
      <c r="S2414" s="95">
        <f>IF((P2414-Q2414)=1,L2414,IF((P2414-Q2414)=-1,-J2414,0))</f>
        <v/>
      </c>
      <c r="T2414" s="95">
        <f>IF((P2414-Q2414)=1,N2414,IF((P2414-Q2414)=-1,-M2414,0))</f>
        <v/>
      </c>
      <c r="U2414" s="101">
        <f>IF(AND(H2414=1,LedAcct&lt;&gt;""),IF(AND(E2414&gt;=LedFrom,E2414&lt;=LedTo,OR(I2414=LedAcct,K2414=LedAcct,AND(LedAcct=acctTax,M2414+N2414&lt;&gt;0))),E2414*10000+B2414,""),"")</f>
        <v/>
      </c>
    </row>
    <row r="2415">
      <c r="B2415" s="101" t="n">
        <v>2409</v>
      </c>
      <c r="C2415" s="58" t="inlineStr">
        <is>
          <t>Invoice</t>
        </is>
      </c>
      <c r="D2415" s="58">
        <f>IF(H2415=1,INDEX(ar_No,409)&amp;"","")</f>
        <v/>
      </c>
      <c r="E2415" s="94">
        <f>IF(H2415=1,INDEX(ar_Date,409),"")</f>
        <v/>
      </c>
      <c r="F2415" s="58">
        <f>IF(H2415=1,INDEX(ar_Desc,409)&amp;"","")</f>
        <v/>
      </c>
      <c r="G2415" s="58">
        <f>IF(H2415=1,INDEX(ar_Party,409)&amp;"","")</f>
        <v/>
      </c>
      <c r="H2415" s="101">
        <f>IFERROR(N(INDEX(ar_Posted,409)),0)</f>
        <v/>
      </c>
      <c r="I2415" s="58">
        <f>IF(H2415=1,INDEX(ar_DrAcct,409)&amp;"","")</f>
        <v/>
      </c>
      <c r="J2415" s="95">
        <f>IF(H2415=1,INDEX(ar_DrAmt,409),0)</f>
        <v/>
      </c>
      <c r="K2415" s="58">
        <f>IF(H2415=1,INDEX(ar_CrAcct,409)&amp;"","")</f>
        <v/>
      </c>
      <c r="L2415" s="95">
        <f>IF(H2415=1,INDEX(ar_CrAmt,409),0)</f>
        <v/>
      </c>
      <c r="M2415" s="95" t="n">
        <v>0</v>
      </c>
      <c r="N2415" s="95">
        <f>IF(H2415=1,INDEX(ar_TaxAmt,409),0)</f>
        <v/>
      </c>
      <c r="O2415" s="101">
        <f>IF(H2415=1,IF(E2415&lt;FYStart,0,IF(E2415&gt;FYEnd,13,YEAR(E2415)*12+MONTH(E2415)-FYYM+1)),"")</f>
        <v/>
      </c>
      <c r="P2415" s="101">
        <f>IF(H2415=1,IF(IFERROR(INDEX(coa_CF,MATCH(I2415,coa_Name,0)),"")="Cash",1,0),0)</f>
        <v/>
      </c>
      <c r="Q2415" s="101">
        <f>IF(H2415=1,IF(IFERROR(INDEX(coa_CF,MATCH(K2415,coa_Name,0)),"")="Cash",1,0),0)</f>
        <v/>
      </c>
      <c r="R2415" s="58">
        <f>IF((P2415-Q2415)=0,"",IFERROR(INDEX(coa_CF,MATCH(IF((P2415-Q2415)=1,K2415,I2415),coa_Name,0)),"Operating"))</f>
        <v/>
      </c>
      <c r="S2415" s="95">
        <f>IF((P2415-Q2415)=1,L2415,IF((P2415-Q2415)=-1,-J2415,0))</f>
        <v/>
      </c>
      <c r="T2415" s="95">
        <f>IF((P2415-Q2415)=1,N2415,IF((P2415-Q2415)=-1,-M2415,0))</f>
        <v/>
      </c>
      <c r="U2415" s="101">
        <f>IF(AND(H2415=1,LedAcct&lt;&gt;""),IF(AND(E2415&gt;=LedFrom,E2415&lt;=LedTo,OR(I2415=LedAcct,K2415=LedAcct,AND(LedAcct=acctTax,M2415+N2415&lt;&gt;0))),E2415*10000+B2415,""),"")</f>
        <v/>
      </c>
    </row>
    <row r="2416">
      <c r="B2416" s="101" t="n">
        <v>2410</v>
      </c>
      <c r="C2416" s="58" t="inlineStr">
        <is>
          <t>Invoice</t>
        </is>
      </c>
      <c r="D2416" s="58">
        <f>IF(H2416=1,INDEX(ar_No,410)&amp;"","")</f>
        <v/>
      </c>
      <c r="E2416" s="94">
        <f>IF(H2416=1,INDEX(ar_Date,410),"")</f>
        <v/>
      </c>
      <c r="F2416" s="58">
        <f>IF(H2416=1,INDEX(ar_Desc,410)&amp;"","")</f>
        <v/>
      </c>
      <c r="G2416" s="58">
        <f>IF(H2416=1,INDEX(ar_Party,410)&amp;"","")</f>
        <v/>
      </c>
      <c r="H2416" s="101">
        <f>IFERROR(N(INDEX(ar_Posted,410)),0)</f>
        <v/>
      </c>
      <c r="I2416" s="58">
        <f>IF(H2416=1,INDEX(ar_DrAcct,410)&amp;"","")</f>
        <v/>
      </c>
      <c r="J2416" s="95">
        <f>IF(H2416=1,INDEX(ar_DrAmt,410),0)</f>
        <v/>
      </c>
      <c r="K2416" s="58">
        <f>IF(H2416=1,INDEX(ar_CrAcct,410)&amp;"","")</f>
        <v/>
      </c>
      <c r="L2416" s="95">
        <f>IF(H2416=1,INDEX(ar_CrAmt,410),0)</f>
        <v/>
      </c>
      <c r="M2416" s="95" t="n">
        <v>0</v>
      </c>
      <c r="N2416" s="95">
        <f>IF(H2416=1,INDEX(ar_TaxAmt,410),0)</f>
        <v/>
      </c>
      <c r="O2416" s="101">
        <f>IF(H2416=1,IF(E2416&lt;FYStart,0,IF(E2416&gt;FYEnd,13,YEAR(E2416)*12+MONTH(E2416)-FYYM+1)),"")</f>
        <v/>
      </c>
      <c r="P2416" s="101">
        <f>IF(H2416=1,IF(IFERROR(INDEX(coa_CF,MATCH(I2416,coa_Name,0)),"")="Cash",1,0),0)</f>
        <v/>
      </c>
      <c r="Q2416" s="101">
        <f>IF(H2416=1,IF(IFERROR(INDEX(coa_CF,MATCH(K2416,coa_Name,0)),"")="Cash",1,0),0)</f>
        <v/>
      </c>
      <c r="R2416" s="58">
        <f>IF((P2416-Q2416)=0,"",IFERROR(INDEX(coa_CF,MATCH(IF((P2416-Q2416)=1,K2416,I2416),coa_Name,0)),"Operating"))</f>
        <v/>
      </c>
      <c r="S2416" s="95">
        <f>IF((P2416-Q2416)=1,L2416,IF((P2416-Q2416)=-1,-J2416,0))</f>
        <v/>
      </c>
      <c r="T2416" s="95">
        <f>IF((P2416-Q2416)=1,N2416,IF((P2416-Q2416)=-1,-M2416,0))</f>
        <v/>
      </c>
      <c r="U2416" s="101">
        <f>IF(AND(H2416=1,LedAcct&lt;&gt;""),IF(AND(E2416&gt;=LedFrom,E2416&lt;=LedTo,OR(I2416=LedAcct,K2416=LedAcct,AND(LedAcct=acctTax,M2416+N2416&lt;&gt;0))),E2416*10000+B2416,""),"")</f>
        <v/>
      </c>
    </row>
    <row r="2417">
      <c r="B2417" s="101" t="n">
        <v>2411</v>
      </c>
      <c r="C2417" s="58" t="inlineStr">
        <is>
          <t>Invoice</t>
        </is>
      </c>
      <c r="D2417" s="58">
        <f>IF(H2417=1,INDEX(ar_No,411)&amp;"","")</f>
        <v/>
      </c>
      <c r="E2417" s="94">
        <f>IF(H2417=1,INDEX(ar_Date,411),"")</f>
        <v/>
      </c>
      <c r="F2417" s="58">
        <f>IF(H2417=1,INDEX(ar_Desc,411)&amp;"","")</f>
        <v/>
      </c>
      <c r="G2417" s="58">
        <f>IF(H2417=1,INDEX(ar_Party,411)&amp;"","")</f>
        <v/>
      </c>
      <c r="H2417" s="101">
        <f>IFERROR(N(INDEX(ar_Posted,411)),0)</f>
        <v/>
      </c>
      <c r="I2417" s="58">
        <f>IF(H2417=1,INDEX(ar_DrAcct,411)&amp;"","")</f>
        <v/>
      </c>
      <c r="J2417" s="95">
        <f>IF(H2417=1,INDEX(ar_DrAmt,411),0)</f>
        <v/>
      </c>
      <c r="K2417" s="58">
        <f>IF(H2417=1,INDEX(ar_CrAcct,411)&amp;"","")</f>
        <v/>
      </c>
      <c r="L2417" s="95">
        <f>IF(H2417=1,INDEX(ar_CrAmt,411),0)</f>
        <v/>
      </c>
      <c r="M2417" s="95" t="n">
        <v>0</v>
      </c>
      <c r="N2417" s="95">
        <f>IF(H2417=1,INDEX(ar_TaxAmt,411),0)</f>
        <v/>
      </c>
      <c r="O2417" s="101">
        <f>IF(H2417=1,IF(E2417&lt;FYStart,0,IF(E2417&gt;FYEnd,13,YEAR(E2417)*12+MONTH(E2417)-FYYM+1)),"")</f>
        <v/>
      </c>
      <c r="P2417" s="101">
        <f>IF(H2417=1,IF(IFERROR(INDEX(coa_CF,MATCH(I2417,coa_Name,0)),"")="Cash",1,0),0)</f>
        <v/>
      </c>
      <c r="Q2417" s="101">
        <f>IF(H2417=1,IF(IFERROR(INDEX(coa_CF,MATCH(K2417,coa_Name,0)),"")="Cash",1,0),0)</f>
        <v/>
      </c>
      <c r="R2417" s="58">
        <f>IF((P2417-Q2417)=0,"",IFERROR(INDEX(coa_CF,MATCH(IF((P2417-Q2417)=1,K2417,I2417),coa_Name,0)),"Operating"))</f>
        <v/>
      </c>
      <c r="S2417" s="95">
        <f>IF((P2417-Q2417)=1,L2417,IF((P2417-Q2417)=-1,-J2417,0))</f>
        <v/>
      </c>
      <c r="T2417" s="95">
        <f>IF((P2417-Q2417)=1,N2417,IF((P2417-Q2417)=-1,-M2417,0))</f>
        <v/>
      </c>
      <c r="U2417" s="101">
        <f>IF(AND(H2417=1,LedAcct&lt;&gt;""),IF(AND(E2417&gt;=LedFrom,E2417&lt;=LedTo,OR(I2417=LedAcct,K2417=LedAcct,AND(LedAcct=acctTax,M2417+N2417&lt;&gt;0))),E2417*10000+B2417,""),"")</f>
        <v/>
      </c>
    </row>
    <row r="2418">
      <c r="B2418" s="101" t="n">
        <v>2412</v>
      </c>
      <c r="C2418" s="58" t="inlineStr">
        <is>
          <t>Invoice</t>
        </is>
      </c>
      <c r="D2418" s="58">
        <f>IF(H2418=1,INDEX(ar_No,412)&amp;"","")</f>
        <v/>
      </c>
      <c r="E2418" s="94">
        <f>IF(H2418=1,INDEX(ar_Date,412),"")</f>
        <v/>
      </c>
      <c r="F2418" s="58">
        <f>IF(H2418=1,INDEX(ar_Desc,412)&amp;"","")</f>
        <v/>
      </c>
      <c r="G2418" s="58">
        <f>IF(H2418=1,INDEX(ar_Party,412)&amp;"","")</f>
        <v/>
      </c>
      <c r="H2418" s="101">
        <f>IFERROR(N(INDEX(ar_Posted,412)),0)</f>
        <v/>
      </c>
      <c r="I2418" s="58">
        <f>IF(H2418=1,INDEX(ar_DrAcct,412)&amp;"","")</f>
        <v/>
      </c>
      <c r="J2418" s="95">
        <f>IF(H2418=1,INDEX(ar_DrAmt,412),0)</f>
        <v/>
      </c>
      <c r="K2418" s="58">
        <f>IF(H2418=1,INDEX(ar_CrAcct,412)&amp;"","")</f>
        <v/>
      </c>
      <c r="L2418" s="95">
        <f>IF(H2418=1,INDEX(ar_CrAmt,412),0)</f>
        <v/>
      </c>
      <c r="M2418" s="95" t="n">
        <v>0</v>
      </c>
      <c r="N2418" s="95">
        <f>IF(H2418=1,INDEX(ar_TaxAmt,412),0)</f>
        <v/>
      </c>
      <c r="O2418" s="101">
        <f>IF(H2418=1,IF(E2418&lt;FYStart,0,IF(E2418&gt;FYEnd,13,YEAR(E2418)*12+MONTH(E2418)-FYYM+1)),"")</f>
        <v/>
      </c>
      <c r="P2418" s="101">
        <f>IF(H2418=1,IF(IFERROR(INDEX(coa_CF,MATCH(I2418,coa_Name,0)),"")="Cash",1,0),0)</f>
        <v/>
      </c>
      <c r="Q2418" s="101">
        <f>IF(H2418=1,IF(IFERROR(INDEX(coa_CF,MATCH(K2418,coa_Name,0)),"")="Cash",1,0),0)</f>
        <v/>
      </c>
      <c r="R2418" s="58">
        <f>IF((P2418-Q2418)=0,"",IFERROR(INDEX(coa_CF,MATCH(IF((P2418-Q2418)=1,K2418,I2418),coa_Name,0)),"Operating"))</f>
        <v/>
      </c>
      <c r="S2418" s="95">
        <f>IF((P2418-Q2418)=1,L2418,IF((P2418-Q2418)=-1,-J2418,0))</f>
        <v/>
      </c>
      <c r="T2418" s="95">
        <f>IF((P2418-Q2418)=1,N2418,IF((P2418-Q2418)=-1,-M2418,0))</f>
        <v/>
      </c>
      <c r="U2418" s="101">
        <f>IF(AND(H2418=1,LedAcct&lt;&gt;""),IF(AND(E2418&gt;=LedFrom,E2418&lt;=LedTo,OR(I2418=LedAcct,K2418=LedAcct,AND(LedAcct=acctTax,M2418+N2418&lt;&gt;0))),E2418*10000+B2418,""),"")</f>
        <v/>
      </c>
    </row>
    <row r="2419">
      <c r="B2419" s="101" t="n">
        <v>2413</v>
      </c>
      <c r="C2419" s="58" t="inlineStr">
        <is>
          <t>Invoice</t>
        </is>
      </c>
      <c r="D2419" s="58">
        <f>IF(H2419=1,INDEX(ar_No,413)&amp;"","")</f>
        <v/>
      </c>
      <c r="E2419" s="94">
        <f>IF(H2419=1,INDEX(ar_Date,413),"")</f>
        <v/>
      </c>
      <c r="F2419" s="58">
        <f>IF(H2419=1,INDEX(ar_Desc,413)&amp;"","")</f>
        <v/>
      </c>
      <c r="G2419" s="58">
        <f>IF(H2419=1,INDEX(ar_Party,413)&amp;"","")</f>
        <v/>
      </c>
      <c r="H2419" s="101">
        <f>IFERROR(N(INDEX(ar_Posted,413)),0)</f>
        <v/>
      </c>
      <c r="I2419" s="58">
        <f>IF(H2419=1,INDEX(ar_DrAcct,413)&amp;"","")</f>
        <v/>
      </c>
      <c r="J2419" s="95">
        <f>IF(H2419=1,INDEX(ar_DrAmt,413),0)</f>
        <v/>
      </c>
      <c r="K2419" s="58">
        <f>IF(H2419=1,INDEX(ar_CrAcct,413)&amp;"","")</f>
        <v/>
      </c>
      <c r="L2419" s="95">
        <f>IF(H2419=1,INDEX(ar_CrAmt,413),0)</f>
        <v/>
      </c>
      <c r="M2419" s="95" t="n">
        <v>0</v>
      </c>
      <c r="N2419" s="95">
        <f>IF(H2419=1,INDEX(ar_TaxAmt,413),0)</f>
        <v/>
      </c>
      <c r="O2419" s="101">
        <f>IF(H2419=1,IF(E2419&lt;FYStart,0,IF(E2419&gt;FYEnd,13,YEAR(E2419)*12+MONTH(E2419)-FYYM+1)),"")</f>
        <v/>
      </c>
      <c r="P2419" s="101">
        <f>IF(H2419=1,IF(IFERROR(INDEX(coa_CF,MATCH(I2419,coa_Name,0)),"")="Cash",1,0),0)</f>
        <v/>
      </c>
      <c r="Q2419" s="101">
        <f>IF(H2419=1,IF(IFERROR(INDEX(coa_CF,MATCH(K2419,coa_Name,0)),"")="Cash",1,0),0)</f>
        <v/>
      </c>
      <c r="R2419" s="58">
        <f>IF((P2419-Q2419)=0,"",IFERROR(INDEX(coa_CF,MATCH(IF((P2419-Q2419)=1,K2419,I2419),coa_Name,0)),"Operating"))</f>
        <v/>
      </c>
      <c r="S2419" s="95">
        <f>IF((P2419-Q2419)=1,L2419,IF((P2419-Q2419)=-1,-J2419,0))</f>
        <v/>
      </c>
      <c r="T2419" s="95">
        <f>IF((P2419-Q2419)=1,N2419,IF((P2419-Q2419)=-1,-M2419,0))</f>
        <v/>
      </c>
      <c r="U2419" s="101">
        <f>IF(AND(H2419=1,LedAcct&lt;&gt;""),IF(AND(E2419&gt;=LedFrom,E2419&lt;=LedTo,OR(I2419=LedAcct,K2419=LedAcct,AND(LedAcct=acctTax,M2419+N2419&lt;&gt;0))),E2419*10000+B2419,""),"")</f>
        <v/>
      </c>
    </row>
    <row r="2420">
      <c r="B2420" s="101" t="n">
        <v>2414</v>
      </c>
      <c r="C2420" s="58" t="inlineStr">
        <is>
          <t>Invoice</t>
        </is>
      </c>
      <c r="D2420" s="58">
        <f>IF(H2420=1,INDEX(ar_No,414)&amp;"","")</f>
        <v/>
      </c>
      <c r="E2420" s="94">
        <f>IF(H2420=1,INDEX(ar_Date,414),"")</f>
        <v/>
      </c>
      <c r="F2420" s="58">
        <f>IF(H2420=1,INDEX(ar_Desc,414)&amp;"","")</f>
        <v/>
      </c>
      <c r="G2420" s="58">
        <f>IF(H2420=1,INDEX(ar_Party,414)&amp;"","")</f>
        <v/>
      </c>
      <c r="H2420" s="101">
        <f>IFERROR(N(INDEX(ar_Posted,414)),0)</f>
        <v/>
      </c>
      <c r="I2420" s="58">
        <f>IF(H2420=1,INDEX(ar_DrAcct,414)&amp;"","")</f>
        <v/>
      </c>
      <c r="J2420" s="95">
        <f>IF(H2420=1,INDEX(ar_DrAmt,414),0)</f>
        <v/>
      </c>
      <c r="K2420" s="58">
        <f>IF(H2420=1,INDEX(ar_CrAcct,414)&amp;"","")</f>
        <v/>
      </c>
      <c r="L2420" s="95">
        <f>IF(H2420=1,INDEX(ar_CrAmt,414),0)</f>
        <v/>
      </c>
      <c r="M2420" s="95" t="n">
        <v>0</v>
      </c>
      <c r="N2420" s="95">
        <f>IF(H2420=1,INDEX(ar_TaxAmt,414),0)</f>
        <v/>
      </c>
      <c r="O2420" s="101">
        <f>IF(H2420=1,IF(E2420&lt;FYStart,0,IF(E2420&gt;FYEnd,13,YEAR(E2420)*12+MONTH(E2420)-FYYM+1)),"")</f>
        <v/>
      </c>
      <c r="P2420" s="101">
        <f>IF(H2420=1,IF(IFERROR(INDEX(coa_CF,MATCH(I2420,coa_Name,0)),"")="Cash",1,0),0)</f>
        <v/>
      </c>
      <c r="Q2420" s="101">
        <f>IF(H2420=1,IF(IFERROR(INDEX(coa_CF,MATCH(K2420,coa_Name,0)),"")="Cash",1,0),0)</f>
        <v/>
      </c>
      <c r="R2420" s="58">
        <f>IF((P2420-Q2420)=0,"",IFERROR(INDEX(coa_CF,MATCH(IF((P2420-Q2420)=1,K2420,I2420),coa_Name,0)),"Operating"))</f>
        <v/>
      </c>
      <c r="S2420" s="95">
        <f>IF((P2420-Q2420)=1,L2420,IF((P2420-Q2420)=-1,-J2420,0))</f>
        <v/>
      </c>
      <c r="T2420" s="95">
        <f>IF((P2420-Q2420)=1,N2420,IF((P2420-Q2420)=-1,-M2420,0))</f>
        <v/>
      </c>
      <c r="U2420" s="101">
        <f>IF(AND(H2420=1,LedAcct&lt;&gt;""),IF(AND(E2420&gt;=LedFrom,E2420&lt;=LedTo,OR(I2420=LedAcct,K2420=LedAcct,AND(LedAcct=acctTax,M2420+N2420&lt;&gt;0))),E2420*10000+B2420,""),"")</f>
        <v/>
      </c>
    </row>
    <row r="2421">
      <c r="B2421" s="101" t="n">
        <v>2415</v>
      </c>
      <c r="C2421" s="58" t="inlineStr">
        <is>
          <t>Invoice</t>
        </is>
      </c>
      <c r="D2421" s="58">
        <f>IF(H2421=1,INDEX(ar_No,415)&amp;"","")</f>
        <v/>
      </c>
      <c r="E2421" s="94">
        <f>IF(H2421=1,INDEX(ar_Date,415),"")</f>
        <v/>
      </c>
      <c r="F2421" s="58">
        <f>IF(H2421=1,INDEX(ar_Desc,415)&amp;"","")</f>
        <v/>
      </c>
      <c r="G2421" s="58">
        <f>IF(H2421=1,INDEX(ar_Party,415)&amp;"","")</f>
        <v/>
      </c>
      <c r="H2421" s="101">
        <f>IFERROR(N(INDEX(ar_Posted,415)),0)</f>
        <v/>
      </c>
      <c r="I2421" s="58">
        <f>IF(H2421=1,INDEX(ar_DrAcct,415)&amp;"","")</f>
        <v/>
      </c>
      <c r="J2421" s="95">
        <f>IF(H2421=1,INDEX(ar_DrAmt,415),0)</f>
        <v/>
      </c>
      <c r="K2421" s="58">
        <f>IF(H2421=1,INDEX(ar_CrAcct,415)&amp;"","")</f>
        <v/>
      </c>
      <c r="L2421" s="95">
        <f>IF(H2421=1,INDEX(ar_CrAmt,415),0)</f>
        <v/>
      </c>
      <c r="M2421" s="95" t="n">
        <v>0</v>
      </c>
      <c r="N2421" s="95">
        <f>IF(H2421=1,INDEX(ar_TaxAmt,415),0)</f>
        <v/>
      </c>
      <c r="O2421" s="101">
        <f>IF(H2421=1,IF(E2421&lt;FYStart,0,IF(E2421&gt;FYEnd,13,YEAR(E2421)*12+MONTH(E2421)-FYYM+1)),"")</f>
        <v/>
      </c>
      <c r="P2421" s="101">
        <f>IF(H2421=1,IF(IFERROR(INDEX(coa_CF,MATCH(I2421,coa_Name,0)),"")="Cash",1,0),0)</f>
        <v/>
      </c>
      <c r="Q2421" s="101">
        <f>IF(H2421=1,IF(IFERROR(INDEX(coa_CF,MATCH(K2421,coa_Name,0)),"")="Cash",1,0),0)</f>
        <v/>
      </c>
      <c r="R2421" s="58">
        <f>IF((P2421-Q2421)=0,"",IFERROR(INDEX(coa_CF,MATCH(IF((P2421-Q2421)=1,K2421,I2421),coa_Name,0)),"Operating"))</f>
        <v/>
      </c>
      <c r="S2421" s="95">
        <f>IF((P2421-Q2421)=1,L2421,IF((P2421-Q2421)=-1,-J2421,0))</f>
        <v/>
      </c>
      <c r="T2421" s="95">
        <f>IF((P2421-Q2421)=1,N2421,IF((P2421-Q2421)=-1,-M2421,0))</f>
        <v/>
      </c>
      <c r="U2421" s="101">
        <f>IF(AND(H2421=1,LedAcct&lt;&gt;""),IF(AND(E2421&gt;=LedFrom,E2421&lt;=LedTo,OR(I2421=LedAcct,K2421=LedAcct,AND(LedAcct=acctTax,M2421+N2421&lt;&gt;0))),E2421*10000+B2421,""),"")</f>
        <v/>
      </c>
    </row>
    <row r="2422">
      <c r="B2422" s="101" t="n">
        <v>2416</v>
      </c>
      <c r="C2422" s="58" t="inlineStr">
        <is>
          <t>Invoice</t>
        </is>
      </c>
      <c r="D2422" s="58">
        <f>IF(H2422=1,INDEX(ar_No,416)&amp;"","")</f>
        <v/>
      </c>
      <c r="E2422" s="94">
        <f>IF(H2422=1,INDEX(ar_Date,416),"")</f>
        <v/>
      </c>
      <c r="F2422" s="58">
        <f>IF(H2422=1,INDEX(ar_Desc,416)&amp;"","")</f>
        <v/>
      </c>
      <c r="G2422" s="58">
        <f>IF(H2422=1,INDEX(ar_Party,416)&amp;"","")</f>
        <v/>
      </c>
      <c r="H2422" s="101">
        <f>IFERROR(N(INDEX(ar_Posted,416)),0)</f>
        <v/>
      </c>
      <c r="I2422" s="58">
        <f>IF(H2422=1,INDEX(ar_DrAcct,416)&amp;"","")</f>
        <v/>
      </c>
      <c r="J2422" s="95">
        <f>IF(H2422=1,INDEX(ar_DrAmt,416),0)</f>
        <v/>
      </c>
      <c r="K2422" s="58">
        <f>IF(H2422=1,INDEX(ar_CrAcct,416)&amp;"","")</f>
        <v/>
      </c>
      <c r="L2422" s="95">
        <f>IF(H2422=1,INDEX(ar_CrAmt,416),0)</f>
        <v/>
      </c>
      <c r="M2422" s="95" t="n">
        <v>0</v>
      </c>
      <c r="N2422" s="95">
        <f>IF(H2422=1,INDEX(ar_TaxAmt,416),0)</f>
        <v/>
      </c>
      <c r="O2422" s="101">
        <f>IF(H2422=1,IF(E2422&lt;FYStart,0,IF(E2422&gt;FYEnd,13,YEAR(E2422)*12+MONTH(E2422)-FYYM+1)),"")</f>
        <v/>
      </c>
      <c r="P2422" s="101">
        <f>IF(H2422=1,IF(IFERROR(INDEX(coa_CF,MATCH(I2422,coa_Name,0)),"")="Cash",1,0),0)</f>
        <v/>
      </c>
      <c r="Q2422" s="101">
        <f>IF(H2422=1,IF(IFERROR(INDEX(coa_CF,MATCH(K2422,coa_Name,0)),"")="Cash",1,0),0)</f>
        <v/>
      </c>
      <c r="R2422" s="58">
        <f>IF((P2422-Q2422)=0,"",IFERROR(INDEX(coa_CF,MATCH(IF((P2422-Q2422)=1,K2422,I2422),coa_Name,0)),"Operating"))</f>
        <v/>
      </c>
      <c r="S2422" s="95">
        <f>IF((P2422-Q2422)=1,L2422,IF((P2422-Q2422)=-1,-J2422,0))</f>
        <v/>
      </c>
      <c r="T2422" s="95">
        <f>IF((P2422-Q2422)=1,N2422,IF((P2422-Q2422)=-1,-M2422,0))</f>
        <v/>
      </c>
      <c r="U2422" s="101">
        <f>IF(AND(H2422=1,LedAcct&lt;&gt;""),IF(AND(E2422&gt;=LedFrom,E2422&lt;=LedTo,OR(I2422=LedAcct,K2422=LedAcct,AND(LedAcct=acctTax,M2422+N2422&lt;&gt;0))),E2422*10000+B2422,""),"")</f>
        <v/>
      </c>
    </row>
    <row r="2423">
      <c r="B2423" s="101" t="n">
        <v>2417</v>
      </c>
      <c r="C2423" s="58" t="inlineStr">
        <is>
          <t>Invoice</t>
        </is>
      </c>
      <c r="D2423" s="58">
        <f>IF(H2423=1,INDEX(ar_No,417)&amp;"","")</f>
        <v/>
      </c>
      <c r="E2423" s="94">
        <f>IF(H2423=1,INDEX(ar_Date,417),"")</f>
        <v/>
      </c>
      <c r="F2423" s="58">
        <f>IF(H2423=1,INDEX(ar_Desc,417)&amp;"","")</f>
        <v/>
      </c>
      <c r="G2423" s="58">
        <f>IF(H2423=1,INDEX(ar_Party,417)&amp;"","")</f>
        <v/>
      </c>
      <c r="H2423" s="101">
        <f>IFERROR(N(INDEX(ar_Posted,417)),0)</f>
        <v/>
      </c>
      <c r="I2423" s="58">
        <f>IF(H2423=1,INDEX(ar_DrAcct,417)&amp;"","")</f>
        <v/>
      </c>
      <c r="J2423" s="95">
        <f>IF(H2423=1,INDEX(ar_DrAmt,417),0)</f>
        <v/>
      </c>
      <c r="K2423" s="58">
        <f>IF(H2423=1,INDEX(ar_CrAcct,417)&amp;"","")</f>
        <v/>
      </c>
      <c r="L2423" s="95">
        <f>IF(H2423=1,INDEX(ar_CrAmt,417),0)</f>
        <v/>
      </c>
      <c r="M2423" s="95" t="n">
        <v>0</v>
      </c>
      <c r="N2423" s="95">
        <f>IF(H2423=1,INDEX(ar_TaxAmt,417),0)</f>
        <v/>
      </c>
      <c r="O2423" s="101">
        <f>IF(H2423=1,IF(E2423&lt;FYStart,0,IF(E2423&gt;FYEnd,13,YEAR(E2423)*12+MONTH(E2423)-FYYM+1)),"")</f>
        <v/>
      </c>
      <c r="P2423" s="101">
        <f>IF(H2423=1,IF(IFERROR(INDEX(coa_CF,MATCH(I2423,coa_Name,0)),"")="Cash",1,0),0)</f>
        <v/>
      </c>
      <c r="Q2423" s="101">
        <f>IF(H2423=1,IF(IFERROR(INDEX(coa_CF,MATCH(K2423,coa_Name,0)),"")="Cash",1,0),0)</f>
        <v/>
      </c>
      <c r="R2423" s="58">
        <f>IF((P2423-Q2423)=0,"",IFERROR(INDEX(coa_CF,MATCH(IF((P2423-Q2423)=1,K2423,I2423),coa_Name,0)),"Operating"))</f>
        <v/>
      </c>
      <c r="S2423" s="95">
        <f>IF((P2423-Q2423)=1,L2423,IF((P2423-Q2423)=-1,-J2423,0))</f>
        <v/>
      </c>
      <c r="T2423" s="95">
        <f>IF((P2423-Q2423)=1,N2423,IF((P2423-Q2423)=-1,-M2423,0))</f>
        <v/>
      </c>
      <c r="U2423" s="101">
        <f>IF(AND(H2423=1,LedAcct&lt;&gt;""),IF(AND(E2423&gt;=LedFrom,E2423&lt;=LedTo,OR(I2423=LedAcct,K2423=LedAcct,AND(LedAcct=acctTax,M2423+N2423&lt;&gt;0))),E2423*10000+B2423,""),"")</f>
        <v/>
      </c>
    </row>
    <row r="2424">
      <c r="B2424" s="101" t="n">
        <v>2418</v>
      </c>
      <c r="C2424" s="58" t="inlineStr">
        <is>
          <t>Invoice</t>
        </is>
      </c>
      <c r="D2424" s="58">
        <f>IF(H2424=1,INDEX(ar_No,418)&amp;"","")</f>
        <v/>
      </c>
      <c r="E2424" s="94">
        <f>IF(H2424=1,INDEX(ar_Date,418),"")</f>
        <v/>
      </c>
      <c r="F2424" s="58">
        <f>IF(H2424=1,INDEX(ar_Desc,418)&amp;"","")</f>
        <v/>
      </c>
      <c r="G2424" s="58">
        <f>IF(H2424=1,INDEX(ar_Party,418)&amp;"","")</f>
        <v/>
      </c>
      <c r="H2424" s="101">
        <f>IFERROR(N(INDEX(ar_Posted,418)),0)</f>
        <v/>
      </c>
      <c r="I2424" s="58">
        <f>IF(H2424=1,INDEX(ar_DrAcct,418)&amp;"","")</f>
        <v/>
      </c>
      <c r="J2424" s="95">
        <f>IF(H2424=1,INDEX(ar_DrAmt,418),0)</f>
        <v/>
      </c>
      <c r="K2424" s="58">
        <f>IF(H2424=1,INDEX(ar_CrAcct,418)&amp;"","")</f>
        <v/>
      </c>
      <c r="L2424" s="95">
        <f>IF(H2424=1,INDEX(ar_CrAmt,418),0)</f>
        <v/>
      </c>
      <c r="M2424" s="95" t="n">
        <v>0</v>
      </c>
      <c r="N2424" s="95">
        <f>IF(H2424=1,INDEX(ar_TaxAmt,418),0)</f>
        <v/>
      </c>
      <c r="O2424" s="101">
        <f>IF(H2424=1,IF(E2424&lt;FYStart,0,IF(E2424&gt;FYEnd,13,YEAR(E2424)*12+MONTH(E2424)-FYYM+1)),"")</f>
        <v/>
      </c>
      <c r="P2424" s="101">
        <f>IF(H2424=1,IF(IFERROR(INDEX(coa_CF,MATCH(I2424,coa_Name,0)),"")="Cash",1,0),0)</f>
        <v/>
      </c>
      <c r="Q2424" s="101">
        <f>IF(H2424=1,IF(IFERROR(INDEX(coa_CF,MATCH(K2424,coa_Name,0)),"")="Cash",1,0),0)</f>
        <v/>
      </c>
      <c r="R2424" s="58">
        <f>IF((P2424-Q2424)=0,"",IFERROR(INDEX(coa_CF,MATCH(IF((P2424-Q2424)=1,K2424,I2424),coa_Name,0)),"Operating"))</f>
        <v/>
      </c>
      <c r="S2424" s="95">
        <f>IF((P2424-Q2424)=1,L2424,IF((P2424-Q2424)=-1,-J2424,0))</f>
        <v/>
      </c>
      <c r="T2424" s="95">
        <f>IF((P2424-Q2424)=1,N2424,IF((P2424-Q2424)=-1,-M2424,0))</f>
        <v/>
      </c>
      <c r="U2424" s="101">
        <f>IF(AND(H2424=1,LedAcct&lt;&gt;""),IF(AND(E2424&gt;=LedFrom,E2424&lt;=LedTo,OR(I2424=LedAcct,K2424=LedAcct,AND(LedAcct=acctTax,M2424+N2424&lt;&gt;0))),E2424*10000+B2424,""),"")</f>
        <v/>
      </c>
    </row>
    <row r="2425">
      <c r="B2425" s="101" t="n">
        <v>2419</v>
      </c>
      <c r="C2425" s="58" t="inlineStr">
        <is>
          <t>Invoice</t>
        </is>
      </c>
      <c r="D2425" s="58">
        <f>IF(H2425=1,INDEX(ar_No,419)&amp;"","")</f>
        <v/>
      </c>
      <c r="E2425" s="94">
        <f>IF(H2425=1,INDEX(ar_Date,419),"")</f>
        <v/>
      </c>
      <c r="F2425" s="58">
        <f>IF(H2425=1,INDEX(ar_Desc,419)&amp;"","")</f>
        <v/>
      </c>
      <c r="G2425" s="58">
        <f>IF(H2425=1,INDEX(ar_Party,419)&amp;"","")</f>
        <v/>
      </c>
      <c r="H2425" s="101">
        <f>IFERROR(N(INDEX(ar_Posted,419)),0)</f>
        <v/>
      </c>
      <c r="I2425" s="58">
        <f>IF(H2425=1,INDEX(ar_DrAcct,419)&amp;"","")</f>
        <v/>
      </c>
      <c r="J2425" s="95">
        <f>IF(H2425=1,INDEX(ar_DrAmt,419),0)</f>
        <v/>
      </c>
      <c r="K2425" s="58">
        <f>IF(H2425=1,INDEX(ar_CrAcct,419)&amp;"","")</f>
        <v/>
      </c>
      <c r="L2425" s="95">
        <f>IF(H2425=1,INDEX(ar_CrAmt,419),0)</f>
        <v/>
      </c>
      <c r="M2425" s="95" t="n">
        <v>0</v>
      </c>
      <c r="N2425" s="95">
        <f>IF(H2425=1,INDEX(ar_TaxAmt,419),0)</f>
        <v/>
      </c>
      <c r="O2425" s="101">
        <f>IF(H2425=1,IF(E2425&lt;FYStart,0,IF(E2425&gt;FYEnd,13,YEAR(E2425)*12+MONTH(E2425)-FYYM+1)),"")</f>
        <v/>
      </c>
      <c r="P2425" s="101">
        <f>IF(H2425=1,IF(IFERROR(INDEX(coa_CF,MATCH(I2425,coa_Name,0)),"")="Cash",1,0),0)</f>
        <v/>
      </c>
      <c r="Q2425" s="101">
        <f>IF(H2425=1,IF(IFERROR(INDEX(coa_CF,MATCH(K2425,coa_Name,0)),"")="Cash",1,0),0)</f>
        <v/>
      </c>
      <c r="R2425" s="58">
        <f>IF((P2425-Q2425)=0,"",IFERROR(INDEX(coa_CF,MATCH(IF((P2425-Q2425)=1,K2425,I2425),coa_Name,0)),"Operating"))</f>
        <v/>
      </c>
      <c r="S2425" s="95">
        <f>IF((P2425-Q2425)=1,L2425,IF((P2425-Q2425)=-1,-J2425,0))</f>
        <v/>
      </c>
      <c r="T2425" s="95">
        <f>IF((P2425-Q2425)=1,N2425,IF((P2425-Q2425)=-1,-M2425,0))</f>
        <v/>
      </c>
      <c r="U2425" s="101">
        <f>IF(AND(H2425=1,LedAcct&lt;&gt;""),IF(AND(E2425&gt;=LedFrom,E2425&lt;=LedTo,OR(I2425=LedAcct,K2425=LedAcct,AND(LedAcct=acctTax,M2425+N2425&lt;&gt;0))),E2425*10000+B2425,""),"")</f>
        <v/>
      </c>
    </row>
    <row r="2426">
      <c r="B2426" s="101" t="n">
        <v>2420</v>
      </c>
      <c r="C2426" s="58" t="inlineStr">
        <is>
          <t>Invoice</t>
        </is>
      </c>
      <c r="D2426" s="58">
        <f>IF(H2426=1,INDEX(ar_No,420)&amp;"","")</f>
        <v/>
      </c>
      <c r="E2426" s="94">
        <f>IF(H2426=1,INDEX(ar_Date,420),"")</f>
        <v/>
      </c>
      <c r="F2426" s="58">
        <f>IF(H2426=1,INDEX(ar_Desc,420)&amp;"","")</f>
        <v/>
      </c>
      <c r="G2426" s="58">
        <f>IF(H2426=1,INDEX(ar_Party,420)&amp;"","")</f>
        <v/>
      </c>
      <c r="H2426" s="101">
        <f>IFERROR(N(INDEX(ar_Posted,420)),0)</f>
        <v/>
      </c>
      <c r="I2426" s="58">
        <f>IF(H2426=1,INDEX(ar_DrAcct,420)&amp;"","")</f>
        <v/>
      </c>
      <c r="J2426" s="95">
        <f>IF(H2426=1,INDEX(ar_DrAmt,420),0)</f>
        <v/>
      </c>
      <c r="K2426" s="58">
        <f>IF(H2426=1,INDEX(ar_CrAcct,420)&amp;"","")</f>
        <v/>
      </c>
      <c r="L2426" s="95">
        <f>IF(H2426=1,INDEX(ar_CrAmt,420),0)</f>
        <v/>
      </c>
      <c r="M2426" s="95" t="n">
        <v>0</v>
      </c>
      <c r="N2426" s="95">
        <f>IF(H2426=1,INDEX(ar_TaxAmt,420),0)</f>
        <v/>
      </c>
      <c r="O2426" s="101">
        <f>IF(H2426=1,IF(E2426&lt;FYStart,0,IF(E2426&gt;FYEnd,13,YEAR(E2426)*12+MONTH(E2426)-FYYM+1)),"")</f>
        <v/>
      </c>
      <c r="P2426" s="101">
        <f>IF(H2426=1,IF(IFERROR(INDEX(coa_CF,MATCH(I2426,coa_Name,0)),"")="Cash",1,0),0)</f>
        <v/>
      </c>
      <c r="Q2426" s="101">
        <f>IF(H2426=1,IF(IFERROR(INDEX(coa_CF,MATCH(K2426,coa_Name,0)),"")="Cash",1,0),0)</f>
        <v/>
      </c>
      <c r="R2426" s="58">
        <f>IF((P2426-Q2426)=0,"",IFERROR(INDEX(coa_CF,MATCH(IF((P2426-Q2426)=1,K2426,I2426),coa_Name,0)),"Operating"))</f>
        <v/>
      </c>
      <c r="S2426" s="95">
        <f>IF((P2426-Q2426)=1,L2426,IF((P2426-Q2426)=-1,-J2426,0))</f>
        <v/>
      </c>
      <c r="T2426" s="95">
        <f>IF((P2426-Q2426)=1,N2426,IF((P2426-Q2426)=-1,-M2426,0))</f>
        <v/>
      </c>
      <c r="U2426" s="101">
        <f>IF(AND(H2426=1,LedAcct&lt;&gt;""),IF(AND(E2426&gt;=LedFrom,E2426&lt;=LedTo,OR(I2426=LedAcct,K2426=LedAcct,AND(LedAcct=acctTax,M2426+N2426&lt;&gt;0))),E2426*10000+B2426,""),"")</f>
        <v/>
      </c>
    </row>
    <row r="2427">
      <c r="B2427" s="101" t="n">
        <v>2421</v>
      </c>
      <c r="C2427" s="58" t="inlineStr">
        <is>
          <t>Invoice</t>
        </is>
      </c>
      <c r="D2427" s="58">
        <f>IF(H2427=1,INDEX(ar_No,421)&amp;"","")</f>
        <v/>
      </c>
      <c r="E2427" s="94">
        <f>IF(H2427=1,INDEX(ar_Date,421),"")</f>
        <v/>
      </c>
      <c r="F2427" s="58">
        <f>IF(H2427=1,INDEX(ar_Desc,421)&amp;"","")</f>
        <v/>
      </c>
      <c r="G2427" s="58">
        <f>IF(H2427=1,INDEX(ar_Party,421)&amp;"","")</f>
        <v/>
      </c>
      <c r="H2427" s="101">
        <f>IFERROR(N(INDEX(ar_Posted,421)),0)</f>
        <v/>
      </c>
      <c r="I2427" s="58">
        <f>IF(H2427=1,INDEX(ar_DrAcct,421)&amp;"","")</f>
        <v/>
      </c>
      <c r="J2427" s="95">
        <f>IF(H2427=1,INDEX(ar_DrAmt,421),0)</f>
        <v/>
      </c>
      <c r="K2427" s="58">
        <f>IF(H2427=1,INDEX(ar_CrAcct,421)&amp;"","")</f>
        <v/>
      </c>
      <c r="L2427" s="95">
        <f>IF(H2427=1,INDEX(ar_CrAmt,421),0)</f>
        <v/>
      </c>
      <c r="M2427" s="95" t="n">
        <v>0</v>
      </c>
      <c r="N2427" s="95">
        <f>IF(H2427=1,INDEX(ar_TaxAmt,421),0)</f>
        <v/>
      </c>
      <c r="O2427" s="101">
        <f>IF(H2427=1,IF(E2427&lt;FYStart,0,IF(E2427&gt;FYEnd,13,YEAR(E2427)*12+MONTH(E2427)-FYYM+1)),"")</f>
        <v/>
      </c>
      <c r="P2427" s="101">
        <f>IF(H2427=1,IF(IFERROR(INDEX(coa_CF,MATCH(I2427,coa_Name,0)),"")="Cash",1,0),0)</f>
        <v/>
      </c>
      <c r="Q2427" s="101">
        <f>IF(H2427=1,IF(IFERROR(INDEX(coa_CF,MATCH(K2427,coa_Name,0)),"")="Cash",1,0),0)</f>
        <v/>
      </c>
      <c r="R2427" s="58">
        <f>IF((P2427-Q2427)=0,"",IFERROR(INDEX(coa_CF,MATCH(IF((P2427-Q2427)=1,K2427,I2427),coa_Name,0)),"Operating"))</f>
        <v/>
      </c>
      <c r="S2427" s="95">
        <f>IF((P2427-Q2427)=1,L2427,IF((P2427-Q2427)=-1,-J2427,0))</f>
        <v/>
      </c>
      <c r="T2427" s="95">
        <f>IF((P2427-Q2427)=1,N2427,IF((P2427-Q2427)=-1,-M2427,0))</f>
        <v/>
      </c>
      <c r="U2427" s="101">
        <f>IF(AND(H2427=1,LedAcct&lt;&gt;""),IF(AND(E2427&gt;=LedFrom,E2427&lt;=LedTo,OR(I2427=LedAcct,K2427=LedAcct,AND(LedAcct=acctTax,M2427+N2427&lt;&gt;0))),E2427*10000+B2427,""),"")</f>
        <v/>
      </c>
    </row>
    <row r="2428">
      <c r="B2428" s="101" t="n">
        <v>2422</v>
      </c>
      <c r="C2428" s="58" t="inlineStr">
        <is>
          <t>Invoice</t>
        </is>
      </c>
      <c r="D2428" s="58">
        <f>IF(H2428=1,INDEX(ar_No,422)&amp;"","")</f>
        <v/>
      </c>
      <c r="E2428" s="94">
        <f>IF(H2428=1,INDEX(ar_Date,422),"")</f>
        <v/>
      </c>
      <c r="F2428" s="58">
        <f>IF(H2428=1,INDEX(ar_Desc,422)&amp;"","")</f>
        <v/>
      </c>
      <c r="G2428" s="58">
        <f>IF(H2428=1,INDEX(ar_Party,422)&amp;"","")</f>
        <v/>
      </c>
      <c r="H2428" s="101">
        <f>IFERROR(N(INDEX(ar_Posted,422)),0)</f>
        <v/>
      </c>
      <c r="I2428" s="58">
        <f>IF(H2428=1,INDEX(ar_DrAcct,422)&amp;"","")</f>
        <v/>
      </c>
      <c r="J2428" s="95">
        <f>IF(H2428=1,INDEX(ar_DrAmt,422),0)</f>
        <v/>
      </c>
      <c r="K2428" s="58">
        <f>IF(H2428=1,INDEX(ar_CrAcct,422)&amp;"","")</f>
        <v/>
      </c>
      <c r="L2428" s="95">
        <f>IF(H2428=1,INDEX(ar_CrAmt,422),0)</f>
        <v/>
      </c>
      <c r="M2428" s="95" t="n">
        <v>0</v>
      </c>
      <c r="N2428" s="95">
        <f>IF(H2428=1,INDEX(ar_TaxAmt,422),0)</f>
        <v/>
      </c>
      <c r="O2428" s="101">
        <f>IF(H2428=1,IF(E2428&lt;FYStart,0,IF(E2428&gt;FYEnd,13,YEAR(E2428)*12+MONTH(E2428)-FYYM+1)),"")</f>
        <v/>
      </c>
      <c r="P2428" s="101">
        <f>IF(H2428=1,IF(IFERROR(INDEX(coa_CF,MATCH(I2428,coa_Name,0)),"")="Cash",1,0),0)</f>
        <v/>
      </c>
      <c r="Q2428" s="101">
        <f>IF(H2428=1,IF(IFERROR(INDEX(coa_CF,MATCH(K2428,coa_Name,0)),"")="Cash",1,0),0)</f>
        <v/>
      </c>
      <c r="R2428" s="58">
        <f>IF((P2428-Q2428)=0,"",IFERROR(INDEX(coa_CF,MATCH(IF((P2428-Q2428)=1,K2428,I2428),coa_Name,0)),"Operating"))</f>
        <v/>
      </c>
      <c r="S2428" s="95">
        <f>IF((P2428-Q2428)=1,L2428,IF((P2428-Q2428)=-1,-J2428,0))</f>
        <v/>
      </c>
      <c r="T2428" s="95">
        <f>IF((P2428-Q2428)=1,N2428,IF((P2428-Q2428)=-1,-M2428,0))</f>
        <v/>
      </c>
      <c r="U2428" s="101">
        <f>IF(AND(H2428=1,LedAcct&lt;&gt;""),IF(AND(E2428&gt;=LedFrom,E2428&lt;=LedTo,OR(I2428=LedAcct,K2428=LedAcct,AND(LedAcct=acctTax,M2428+N2428&lt;&gt;0))),E2428*10000+B2428,""),"")</f>
        <v/>
      </c>
    </row>
    <row r="2429">
      <c r="B2429" s="101" t="n">
        <v>2423</v>
      </c>
      <c r="C2429" s="58" t="inlineStr">
        <is>
          <t>Invoice</t>
        </is>
      </c>
      <c r="D2429" s="58">
        <f>IF(H2429=1,INDEX(ar_No,423)&amp;"","")</f>
        <v/>
      </c>
      <c r="E2429" s="94">
        <f>IF(H2429=1,INDEX(ar_Date,423),"")</f>
        <v/>
      </c>
      <c r="F2429" s="58">
        <f>IF(H2429=1,INDEX(ar_Desc,423)&amp;"","")</f>
        <v/>
      </c>
      <c r="G2429" s="58">
        <f>IF(H2429=1,INDEX(ar_Party,423)&amp;"","")</f>
        <v/>
      </c>
      <c r="H2429" s="101">
        <f>IFERROR(N(INDEX(ar_Posted,423)),0)</f>
        <v/>
      </c>
      <c r="I2429" s="58">
        <f>IF(H2429=1,INDEX(ar_DrAcct,423)&amp;"","")</f>
        <v/>
      </c>
      <c r="J2429" s="95">
        <f>IF(H2429=1,INDEX(ar_DrAmt,423),0)</f>
        <v/>
      </c>
      <c r="K2429" s="58">
        <f>IF(H2429=1,INDEX(ar_CrAcct,423)&amp;"","")</f>
        <v/>
      </c>
      <c r="L2429" s="95">
        <f>IF(H2429=1,INDEX(ar_CrAmt,423),0)</f>
        <v/>
      </c>
      <c r="M2429" s="95" t="n">
        <v>0</v>
      </c>
      <c r="N2429" s="95">
        <f>IF(H2429=1,INDEX(ar_TaxAmt,423),0)</f>
        <v/>
      </c>
      <c r="O2429" s="101">
        <f>IF(H2429=1,IF(E2429&lt;FYStart,0,IF(E2429&gt;FYEnd,13,YEAR(E2429)*12+MONTH(E2429)-FYYM+1)),"")</f>
        <v/>
      </c>
      <c r="P2429" s="101">
        <f>IF(H2429=1,IF(IFERROR(INDEX(coa_CF,MATCH(I2429,coa_Name,0)),"")="Cash",1,0),0)</f>
        <v/>
      </c>
      <c r="Q2429" s="101">
        <f>IF(H2429=1,IF(IFERROR(INDEX(coa_CF,MATCH(K2429,coa_Name,0)),"")="Cash",1,0),0)</f>
        <v/>
      </c>
      <c r="R2429" s="58">
        <f>IF((P2429-Q2429)=0,"",IFERROR(INDEX(coa_CF,MATCH(IF((P2429-Q2429)=1,K2429,I2429),coa_Name,0)),"Operating"))</f>
        <v/>
      </c>
      <c r="S2429" s="95">
        <f>IF((P2429-Q2429)=1,L2429,IF((P2429-Q2429)=-1,-J2429,0))</f>
        <v/>
      </c>
      <c r="T2429" s="95">
        <f>IF((P2429-Q2429)=1,N2429,IF((P2429-Q2429)=-1,-M2429,0))</f>
        <v/>
      </c>
      <c r="U2429" s="101">
        <f>IF(AND(H2429=1,LedAcct&lt;&gt;""),IF(AND(E2429&gt;=LedFrom,E2429&lt;=LedTo,OR(I2429=LedAcct,K2429=LedAcct,AND(LedAcct=acctTax,M2429+N2429&lt;&gt;0))),E2429*10000+B2429,""),"")</f>
        <v/>
      </c>
    </row>
    <row r="2430">
      <c r="B2430" s="101" t="n">
        <v>2424</v>
      </c>
      <c r="C2430" s="58" t="inlineStr">
        <is>
          <t>Invoice</t>
        </is>
      </c>
      <c r="D2430" s="58">
        <f>IF(H2430=1,INDEX(ar_No,424)&amp;"","")</f>
        <v/>
      </c>
      <c r="E2430" s="94">
        <f>IF(H2430=1,INDEX(ar_Date,424),"")</f>
        <v/>
      </c>
      <c r="F2430" s="58">
        <f>IF(H2430=1,INDEX(ar_Desc,424)&amp;"","")</f>
        <v/>
      </c>
      <c r="G2430" s="58">
        <f>IF(H2430=1,INDEX(ar_Party,424)&amp;"","")</f>
        <v/>
      </c>
      <c r="H2430" s="101">
        <f>IFERROR(N(INDEX(ar_Posted,424)),0)</f>
        <v/>
      </c>
      <c r="I2430" s="58">
        <f>IF(H2430=1,INDEX(ar_DrAcct,424)&amp;"","")</f>
        <v/>
      </c>
      <c r="J2430" s="95">
        <f>IF(H2430=1,INDEX(ar_DrAmt,424),0)</f>
        <v/>
      </c>
      <c r="K2430" s="58">
        <f>IF(H2430=1,INDEX(ar_CrAcct,424)&amp;"","")</f>
        <v/>
      </c>
      <c r="L2430" s="95">
        <f>IF(H2430=1,INDEX(ar_CrAmt,424),0)</f>
        <v/>
      </c>
      <c r="M2430" s="95" t="n">
        <v>0</v>
      </c>
      <c r="N2430" s="95">
        <f>IF(H2430=1,INDEX(ar_TaxAmt,424),0)</f>
        <v/>
      </c>
      <c r="O2430" s="101">
        <f>IF(H2430=1,IF(E2430&lt;FYStart,0,IF(E2430&gt;FYEnd,13,YEAR(E2430)*12+MONTH(E2430)-FYYM+1)),"")</f>
        <v/>
      </c>
      <c r="P2430" s="101">
        <f>IF(H2430=1,IF(IFERROR(INDEX(coa_CF,MATCH(I2430,coa_Name,0)),"")="Cash",1,0),0)</f>
        <v/>
      </c>
      <c r="Q2430" s="101">
        <f>IF(H2430=1,IF(IFERROR(INDEX(coa_CF,MATCH(K2430,coa_Name,0)),"")="Cash",1,0),0)</f>
        <v/>
      </c>
      <c r="R2430" s="58">
        <f>IF((P2430-Q2430)=0,"",IFERROR(INDEX(coa_CF,MATCH(IF((P2430-Q2430)=1,K2430,I2430),coa_Name,0)),"Operating"))</f>
        <v/>
      </c>
      <c r="S2430" s="95">
        <f>IF((P2430-Q2430)=1,L2430,IF((P2430-Q2430)=-1,-J2430,0))</f>
        <v/>
      </c>
      <c r="T2430" s="95">
        <f>IF((P2430-Q2430)=1,N2430,IF((P2430-Q2430)=-1,-M2430,0))</f>
        <v/>
      </c>
      <c r="U2430" s="101">
        <f>IF(AND(H2430=1,LedAcct&lt;&gt;""),IF(AND(E2430&gt;=LedFrom,E2430&lt;=LedTo,OR(I2430=LedAcct,K2430=LedAcct,AND(LedAcct=acctTax,M2430+N2430&lt;&gt;0))),E2430*10000+B2430,""),"")</f>
        <v/>
      </c>
    </row>
    <row r="2431">
      <c r="B2431" s="101" t="n">
        <v>2425</v>
      </c>
      <c r="C2431" s="58" t="inlineStr">
        <is>
          <t>Invoice</t>
        </is>
      </c>
      <c r="D2431" s="58">
        <f>IF(H2431=1,INDEX(ar_No,425)&amp;"","")</f>
        <v/>
      </c>
      <c r="E2431" s="94">
        <f>IF(H2431=1,INDEX(ar_Date,425),"")</f>
        <v/>
      </c>
      <c r="F2431" s="58">
        <f>IF(H2431=1,INDEX(ar_Desc,425)&amp;"","")</f>
        <v/>
      </c>
      <c r="G2431" s="58">
        <f>IF(H2431=1,INDEX(ar_Party,425)&amp;"","")</f>
        <v/>
      </c>
      <c r="H2431" s="101">
        <f>IFERROR(N(INDEX(ar_Posted,425)),0)</f>
        <v/>
      </c>
      <c r="I2431" s="58">
        <f>IF(H2431=1,INDEX(ar_DrAcct,425)&amp;"","")</f>
        <v/>
      </c>
      <c r="J2431" s="95">
        <f>IF(H2431=1,INDEX(ar_DrAmt,425),0)</f>
        <v/>
      </c>
      <c r="K2431" s="58">
        <f>IF(H2431=1,INDEX(ar_CrAcct,425)&amp;"","")</f>
        <v/>
      </c>
      <c r="L2431" s="95">
        <f>IF(H2431=1,INDEX(ar_CrAmt,425),0)</f>
        <v/>
      </c>
      <c r="M2431" s="95" t="n">
        <v>0</v>
      </c>
      <c r="N2431" s="95">
        <f>IF(H2431=1,INDEX(ar_TaxAmt,425),0)</f>
        <v/>
      </c>
      <c r="O2431" s="101">
        <f>IF(H2431=1,IF(E2431&lt;FYStart,0,IF(E2431&gt;FYEnd,13,YEAR(E2431)*12+MONTH(E2431)-FYYM+1)),"")</f>
        <v/>
      </c>
      <c r="P2431" s="101">
        <f>IF(H2431=1,IF(IFERROR(INDEX(coa_CF,MATCH(I2431,coa_Name,0)),"")="Cash",1,0),0)</f>
        <v/>
      </c>
      <c r="Q2431" s="101">
        <f>IF(H2431=1,IF(IFERROR(INDEX(coa_CF,MATCH(K2431,coa_Name,0)),"")="Cash",1,0),0)</f>
        <v/>
      </c>
      <c r="R2431" s="58">
        <f>IF((P2431-Q2431)=0,"",IFERROR(INDEX(coa_CF,MATCH(IF((P2431-Q2431)=1,K2431,I2431),coa_Name,0)),"Operating"))</f>
        <v/>
      </c>
      <c r="S2431" s="95">
        <f>IF((P2431-Q2431)=1,L2431,IF((P2431-Q2431)=-1,-J2431,0))</f>
        <v/>
      </c>
      <c r="T2431" s="95">
        <f>IF((P2431-Q2431)=1,N2431,IF((P2431-Q2431)=-1,-M2431,0))</f>
        <v/>
      </c>
      <c r="U2431" s="101">
        <f>IF(AND(H2431=1,LedAcct&lt;&gt;""),IF(AND(E2431&gt;=LedFrom,E2431&lt;=LedTo,OR(I2431=LedAcct,K2431=LedAcct,AND(LedAcct=acctTax,M2431+N2431&lt;&gt;0))),E2431*10000+B2431,""),"")</f>
        <v/>
      </c>
    </row>
    <row r="2432">
      <c r="B2432" s="101" t="n">
        <v>2426</v>
      </c>
      <c r="C2432" s="58" t="inlineStr">
        <is>
          <t>Invoice</t>
        </is>
      </c>
      <c r="D2432" s="58">
        <f>IF(H2432=1,INDEX(ar_No,426)&amp;"","")</f>
        <v/>
      </c>
      <c r="E2432" s="94">
        <f>IF(H2432=1,INDEX(ar_Date,426),"")</f>
        <v/>
      </c>
      <c r="F2432" s="58">
        <f>IF(H2432=1,INDEX(ar_Desc,426)&amp;"","")</f>
        <v/>
      </c>
      <c r="G2432" s="58">
        <f>IF(H2432=1,INDEX(ar_Party,426)&amp;"","")</f>
        <v/>
      </c>
      <c r="H2432" s="101">
        <f>IFERROR(N(INDEX(ar_Posted,426)),0)</f>
        <v/>
      </c>
      <c r="I2432" s="58">
        <f>IF(H2432=1,INDEX(ar_DrAcct,426)&amp;"","")</f>
        <v/>
      </c>
      <c r="J2432" s="95">
        <f>IF(H2432=1,INDEX(ar_DrAmt,426),0)</f>
        <v/>
      </c>
      <c r="K2432" s="58">
        <f>IF(H2432=1,INDEX(ar_CrAcct,426)&amp;"","")</f>
        <v/>
      </c>
      <c r="L2432" s="95">
        <f>IF(H2432=1,INDEX(ar_CrAmt,426),0)</f>
        <v/>
      </c>
      <c r="M2432" s="95" t="n">
        <v>0</v>
      </c>
      <c r="N2432" s="95">
        <f>IF(H2432=1,INDEX(ar_TaxAmt,426),0)</f>
        <v/>
      </c>
      <c r="O2432" s="101">
        <f>IF(H2432=1,IF(E2432&lt;FYStart,0,IF(E2432&gt;FYEnd,13,YEAR(E2432)*12+MONTH(E2432)-FYYM+1)),"")</f>
        <v/>
      </c>
      <c r="P2432" s="101">
        <f>IF(H2432=1,IF(IFERROR(INDEX(coa_CF,MATCH(I2432,coa_Name,0)),"")="Cash",1,0),0)</f>
        <v/>
      </c>
      <c r="Q2432" s="101">
        <f>IF(H2432=1,IF(IFERROR(INDEX(coa_CF,MATCH(K2432,coa_Name,0)),"")="Cash",1,0),0)</f>
        <v/>
      </c>
      <c r="R2432" s="58">
        <f>IF((P2432-Q2432)=0,"",IFERROR(INDEX(coa_CF,MATCH(IF((P2432-Q2432)=1,K2432,I2432),coa_Name,0)),"Operating"))</f>
        <v/>
      </c>
      <c r="S2432" s="95">
        <f>IF((P2432-Q2432)=1,L2432,IF((P2432-Q2432)=-1,-J2432,0))</f>
        <v/>
      </c>
      <c r="T2432" s="95">
        <f>IF((P2432-Q2432)=1,N2432,IF((P2432-Q2432)=-1,-M2432,0))</f>
        <v/>
      </c>
      <c r="U2432" s="101">
        <f>IF(AND(H2432=1,LedAcct&lt;&gt;""),IF(AND(E2432&gt;=LedFrom,E2432&lt;=LedTo,OR(I2432=LedAcct,K2432=LedAcct,AND(LedAcct=acctTax,M2432+N2432&lt;&gt;0))),E2432*10000+B2432,""),"")</f>
        <v/>
      </c>
    </row>
    <row r="2433">
      <c r="B2433" s="101" t="n">
        <v>2427</v>
      </c>
      <c r="C2433" s="58" t="inlineStr">
        <is>
          <t>Invoice</t>
        </is>
      </c>
      <c r="D2433" s="58">
        <f>IF(H2433=1,INDEX(ar_No,427)&amp;"","")</f>
        <v/>
      </c>
      <c r="E2433" s="94">
        <f>IF(H2433=1,INDEX(ar_Date,427),"")</f>
        <v/>
      </c>
      <c r="F2433" s="58">
        <f>IF(H2433=1,INDEX(ar_Desc,427)&amp;"","")</f>
        <v/>
      </c>
      <c r="G2433" s="58">
        <f>IF(H2433=1,INDEX(ar_Party,427)&amp;"","")</f>
        <v/>
      </c>
      <c r="H2433" s="101">
        <f>IFERROR(N(INDEX(ar_Posted,427)),0)</f>
        <v/>
      </c>
      <c r="I2433" s="58">
        <f>IF(H2433=1,INDEX(ar_DrAcct,427)&amp;"","")</f>
        <v/>
      </c>
      <c r="J2433" s="95">
        <f>IF(H2433=1,INDEX(ar_DrAmt,427),0)</f>
        <v/>
      </c>
      <c r="K2433" s="58">
        <f>IF(H2433=1,INDEX(ar_CrAcct,427)&amp;"","")</f>
        <v/>
      </c>
      <c r="L2433" s="95">
        <f>IF(H2433=1,INDEX(ar_CrAmt,427),0)</f>
        <v/>
      </c>
      <c r="M2433" s="95" t="n">
        <v>0</v>
      </c>
      <c r="N2433" s="95">
        <f>IF(H2433=1,INDEX(ar_TaxAmt,427),0)</f>
        <v/>
      </c>
      <c r="O2433" s="101">
        <f>IF(H2433=1,IF(E2433&lt;FYStart,0,IF(E2433&gt;FYEnd,13,YEAR(E2433)*12+MONTH(E2433)-FYYM+1)),"")</f>
        <v/>
      </c>
      <c r="P2433" s="101">
        <f>IF(H2433=1,IF(IFERROR(INDEX(coa_CF,MATCH(I2433,coa_Name,0)),"")="Cash",1,0),0)</f>
        <v/>
      </c>
      <c r="Q2433" s="101">
        <f>IF(H2433=1,IF(IFERROR(INDEX(coa_CF,MATCH(K2433,coa_Name,0)),"")="Cash",1,0),0)</f>
        <v/>
      </c>
      <c r="R2433" s="58">
        <f>IF((P2433-Q2433)=0,"",IFERROR(INDEX(coa_CF,MATCH(IF((P2433-Q2433)=1,K2433,I2433),coa_Name,0)),"Operating"))</f>
        <v/>
      </c>
      <c r="S2433" s="95">
        <f>IF((P2433-Q2433)=1,L2433,IF((P2433-Q2433)=-1,-J2433,0))</f>
        <v/>
      </c>
      <c r="T2433" s="95">
        <f>IF((P2433-Q2433)=1,N2433,IF((P2433-Q2433)=-1,-M2433,0))</f>
        <v/>
      </c>
      <c r="U2433" s="101">
        <f>IF(AND(H2433=1,LedAcct&lt;&gt;""),IF(AND(E2433&gt;=LedFrom,E2433&lt;=LedTo,OR(I2433=LedAcct,K2433=LedAcct,AND(LedAcct=acctTax,M2433+N2433&lt;&gt;0))),E2433*10000+B2433,""),"")</f>
        <v/>
      </c>
    </row>
    <row r="2434">
      <c r="B2434" s="101" t="n">
        <v>2428</v>
      </c>
      <c r="C2434" s="58" t="inlineStr">
        <is>
          <t>Invoice</t>
        </is>
      </c>
      <c r="D2434" s="58">
        <f>IF(H2434=1,INDEX(ar_No,428)&amp;"","")</f>
        <v/>
      </c>
      <c r="E2434" s="94">
        <f>IF(H2434=1,INDEX(ar_Date,428),"")</f>
        <v/>
      </c>
      <c r="F2434" s="58">
        <f>IF(H2434=1,INDEX(ar_Desc,428)&amp;"","")</f>
        <v/>
      </c>
      <c r="G2434" s="58">
        <f>IF(H2434=1,INDEX(ar_Party,428)&amp;"","")</f>
        <v/>
      </c>
      <c r="H2434" s="101">
        <f>IFERROR(N(INDEX(ar_Posted,428)),0)</f>
        <v/>
      </c>
      <c r="I2434" s="58">
        <f>IF(H2434=1,INDEX(ar_DrAcct,428)&amp;"","")</f>
        <v/>
      </c>
      <c r="J2434" s="95">
        <f>IF(H2434=1,INDEX(ar_DrAmt,428),0)</f>
        <v/>
      </c>
      <c r="K2434" s="58">
        <f>IF(H2434=1,INDEX(ar_CrAcct,428)&amp;"","")</f>
        <v/>
      </c>
      <c r="L2434" s="95">
        <f>IF(H2434=1,INDEX(ar_CrAmt,428),0)</f>
        <v/>
      </c>
      <c r="M2434" s="95" t="n">
        <v>0</v>
      </c>
      <c r="N2434" s="95">
        <f>IF(H2434=1,INDEX(ar_TaxAmt,428),0)</f>
        <v/>
      </c>
      <c r="O2434" s="101">
        <f>IF(H2434=1,IF(E2434&lt;FYStart,0,IF(E2434&gt;FYEnd,13,YEAR(E2434)*12+MONTH(E2434)-FYYM+1)),"")</f>
        <v/>
      </c>
      <c r="P2434" s="101">
        <f>IF(H2434=1,IF(IFERROR(INDEX(coa_CF,MATCH(I2434,coa_Name,0)),"")="Cash",1,0),0)</f>
        <v/>
      </c>
      <c r="Q2434" s="101">
        <f>IF(H2434=1,IF(IFERROR(INDEX(coa_CF,MATCH(K2434,coa_Name,0)),"")="Cash",1,0),0)</f>
        <v/>
      </c>
      <c r="R2434" s="58">
        <f>IF((P2434-Q2434)=0,"",IFERROR(INDEX(coa_CF,MATCH(IF((P2434-Q2434)=1,K2434,I2434),coa_Name,0)),"Operating"))</f>
        <v/>
      </c>
      <c r="S2434" s="95">
        <f>IF((P2434-Q2434)=1,L2434,IF((P2434-Q2434)=-1,-J2434,0))</f>
        <v/>
      </c>
      <c r="T2434" s="95">
        <f>IF((P2434-Q2434)=1,N2434,IF((P2434-Q2434)=-1,-M2434,0))</f>
        <v/>
      </c>
      <c r="U2434" s="101">
        <f>IF(AND(H2434=1,LedAcct&lt;&gt;""),IF(AND(E2434&gt;=LedFrom,E2434&lt;=LedTo,OR(I2434=LedAcct,K2434=LedAcct,AND(LedAcct=acctTax,M2434+N2434&lt;&gt;0))),E2434*10000+B2434,""),"")</f>
        <v/>
      </c>
    </row>
    <row r="2435">
      <c r="B2435" s="101" t="n">
        <v>2429</v>
      </c>
      <c r="C2435" s="58" t="inlineStr">
        <is>
          <t>Invoice</t>
        </is>
      </c>
      <c r="D2435" s="58">
        <f>IF(H2435=1,INDEX(ar_No,429)&amp;"","")</f>
        <v/>
      </c>
      <c r="E2435" s="94">
        <f>IF(H2435=1,INDEX(ar_Date,429),"")</f>
        <v/>
      </c>
      <c r="F2435" s="58">
        <f>IF(H2435=1,INDEX(ar_Desc,429)&amp;"","")</f>
        <v/>
      </c>
      <c r="G2435" s="58">
        <f>IF(H2435=1,INDEX(ar_Party,429)&amp;"","")</f>
        <v/>
      </c>
      <c r="H2435" s="101">
        <f>IFERROR(N(INDEX(ar_Posted,429)),0)</f>
        <v/>
      </c>
      <c r="I2435" s="58">
        <f>IF(H2435=1,INDEX(ar_DrAcct,429)&amp;"","")</f>
        <v/>
      </c>
      <c r="J2435" s="95">
        <f>IF(H2435=1,INDEX(ar_DrAmt,429),0)</f>
        <v/>
      </c>
      <c r="K2435" s="58">
        <f>IF(H2435=1,INDEX(ar_CrAcct,429)&amp;"","")</f>
        <v/>
      </c>
      <c r="L2435" s="95">
        <f>IF(H2435=1,INDEX(ar_CrAmt,429),0)</f>
        <v/>
      </c>
      <c r="M2435" s="95" t="n">
        <v>0</v>
      </c>
      <c r="N2435" s="95">
        <f>IF(H2435=1,INDEX(ar_TaxAmt,429),0)</f>
        <v/>
      </c>
      <c r="O2435" s="101">
        <f>IF(H2435=1,IF(E2435&lt;FYStart,0,IF(E2435&gt;FYEnd,13,YEAR(E2435)*12+MONTH(E2435)-FYYM+1)),"")</f>
        <v/>
      </c>
      <c r="P2435" s="101">
        <f>IF(H2435=1,IF(IFERROR(INDEX(coa_CF,MATCH(I2435,coa_Name,0)),"")="Cash",1,0),0)</f>
        <v/>
      </c>
      <c r="Q2435" s="101">
        <f>IF(H2435=1,IF(IFERROR(INDEX(coa_CF,MATCH(K2435,coa_Name,0)),"")="Cash",1,0),0)</f>
        <v/>
      </c>
      <c r="R2435" s="58">
        <f>IF((P2435-Q2435)=0,"",IFERROR(INDEX(coa_CF,MATCH(IF((P2435-Q2435)=1,K2435,I2435),coa_Name,0)),"Operating"))</f>
        <v/>
      </c>
      <c r="S2435" s="95">
        <f>IF((P2435-Q2435)=1,L2435,IF((P2435-Q2435)=-1,-J2435,0))</f>
        <v/>
      </c>
      <c r="T2435" s="95">
        <f>IF((P2435-Q2435)=1,N2435,IF((P2435-Q2435)=-1,-M2435,0))</f>
        <v/>
      </c>
      <c r="U2435" s="101">
        <f>IF(AND(H2435=1,LedAcct&lt;&gt;""),IF(AND(E2435&gt;=LedFrom,E2435&lt;=LedTo,OR(I2435=LedAcct,K2435=LedAcct,AND(LedAcct=acctTax,M2435+N2435&lt;&gt;0))),E2435*10000+B2435,""),"")</f>
        <v/>
      </c>
    </row>
    <row r="2436">
      <c r="B2436" s="101" t="n">
        <v>2430</v>
      </c>
      <c r="C2436" s="58" t="inlineStr">
        <is>
          <t>Invoice</t>
        </is>
      </c>
      <c r="D2436" s="58">
        <f>IF(H2436=1,INDEX(ar_No,430)&amp;"","")</f>
        <v/>
      </c>
      <c r="E2436" s="94">
        <f>IF(H2436=1,INDEX(ar_Date,430),"")</f>
        <v/>
      </c>
      <c r="F2436" s="58">
        <f>IF(H2436=1,INDEX(ar_Desc,430)&amp;"","")</f>
        <v/>
      </c>
      <c r="G2436" s="58">
        <f>IF(H2436=1,INDEX(ar_Party,430)&amp;"","")</f>
        <v/>
      </c>
      <c r="H2436" s="101">
        <f>IFERROR(N(INDEX(ar_Posted,430)),0)</f>
        <v/>
      </c>
      <c r="I2436" s="58">
        <f>IF(H2436=1,INDEX(ar_DrAcct,430)&amp;"","")</f>
        <v/>
      </c>
      <c r="J2436" s="95">
        <f>IF(H2436=1,INDEX(ar_DrAmt,430),0)</f>
        <v/>
      </c>
      <c r="K2436" s="58">
        <f>IF(H2436=1,INDEX(ar_CrAcct,430)&amp;"","")</f>
        <v/>
      </c>
      <c r="L2436" s="95">
        <f>IF(H2436=1,INDEX(ar_CrAmt,430),0)</f>
        <v/>
      </c>
      <c r="M2436" s="95" t="n">
        <v>0</v>
      </c>
      <c r="N2436" s="95">
        <f>IF(H2436=1,INDEX(ar_TaxAmt,430),0)</f>
        <v/>
      </c>
      <c r="O2436" s="101">
        <f>IF(H2436=1,IF(E2436&lt;FYStart,0,IF(E2436&gt;FYEnd,13,YEAR(E2436)*12+MONTH(E2436)-FYYM+1)),"")</f>
        <v/>
      </c>
      <c r="P2436" s="101">
        <f>IF(H2436=1,IF(IFERROR(INDEX(coa_CF,MATCH(I2436,coa_Name,0)),"")="Cash",1,0),0)</f>
        <v/>
      </c>
      <c r="Q2436" s="101">
        <f>IF(H2436=1,IF(IFERROR(INDEX(coa_CF,MATCH(K2436,coa_Name,0)),"")="Cash",1,0),0)</f>
        <v/>
      </c>
      <c r="R2436" s="58">
        <f>IF((P2436-Q2436)=0,"",IFERROR(INDEX(coa_CF,MATCH(IF((P2436-Q2436)=1,K2436,I2436),coa_Name,0)),"Operating"))</f>
        <v/>
      </c>
      <c r="S2436" s="95">
        <f>IF((P2436-Q2436)=1,L2436,IF((P2436-Q2436)=-1,-J2436,0))</f>
        <v/>
      </c>
      <c r="T2436" s="95">
        <f>IF((P2436-Q2436)=1,N2436,IF((P2436-Q2436)=-1,-M2436,0))</f>
        <v/>
      </c>
      <c r="U2436" s="101">
        <f>IF(AND(H2436=1,LedAcct&lt;&gt;""),IF(AND(E2436&gt;=LedFrom,E2436&lt;=LedTo,OR(I2436=LedAcct,K2436=LedAcct,AND(LedAcct=acctTax,M2436+N2436&lt;&gt;0))),E2436*10000+B2436,""),"")</f>
        <v/>
      </c>
    </row>
    <row r="2437">
      <c r="B2437" s="101" t="n">
        <v>2431</v>
      </c>
      <c r="C2437" s="58" t="inlineStr">
        <is>
          <t>Invoice</t>
        </is>
      </c>
      <c r="D2437" s="58">
        <f>IF(H2437=1,INDEX(ar_No,431)&amp;"","")</f>
        <v/>
      </c>
      <c r="E2437" s="94">
        <f>IF(H2437=1,INDEX(ar_Date,431),"")</f>
        <v/>
      </c>
      <c r="F2437" s="58">
        <f>IF(H2437=1,INDEX(ar_Desc,431)&amp;"","")</f>
        <v/>
      </c>
      <c r="G2437" s="58">
        <f>IF(H2437=1,INDEX(ar_Party,431)&amp;"","")</f>
        <v/>
      </c>
      <c r="H2437" s="101">
        <f>IFERROR(N(INDEX(ar_Posted,431)),0)</f>
        <v/>
      </c>
      <c r="I2437" s="58">
        <f>IF(H2437=1,INDEX(ar_DrAcct,431)&amp;"","")</f>
        <v/>
      </c>
      <c r="J2437" s="95">
        <f>IF(H2437=1,INDEX(ar_DrAmt,431),0)</f>
        <v/>
      </c>
      <c r="K2437" s="58">
        <f>IF(H2437=1,INDEX(ar_CrAcct,431)&amp;"","")</f>
        <v/>
      </c>
      <c r="L2437" s="95">
        <f>IF(H2437=1,INDEX(ar_CrAmt,431),0)</f>
        <v/>
      </c>
      <c r="M2437" s="95" t="n">
        <v>0</v>
      </c>
      <c r="N2437" s="95">
        <f>IF(H2437=1,INDEX(ar_TaxAmt,431),0)</f>
        <v/>
      </c>
      <c r="O2437" s="101">
        <f>IF(H2437=1,IF(E2437&lt;FYStart,0,IF(E2437&gt;FYEnd,13,YEAR(E2437)*12+MONTH(E2437)-FYYM+1)),"")</f>
        <v/>
      </c>
      <c r="P2437" s="101">
        <f>IF(H2437=1,IF(IFERROR(INDEX(coa_CF,MATCH(I2437,coa_Name,0)),"")="Cash",1,0),0)</f>
        <v/>
      </c>
      <c r="Q2437" s="101">
        <f>IF(H2437=1,IF(IFERROR(INDEX(coa_CF,MATCH(K2437,coa_Name,0)),"")="Cash",1,0),0)</f>
        <v/>
      </c>
      <c r="R2437" s="58">
        <f>IF((P2437-Q2437)=0,"",IFERROR(INDEX(coa_CF,MATCH(IF((P2437-Q2437)=1,K2437,I2437),coa_Name,0)),"Operating"))</f>
        <v/>
      </c>
      <c r="S2437" s="95">
        <f>IF((P2437-Q2437)=1,L2437,IF((P2437-Q2437)=-1,-J2437,0))</f>
        <v/>
      </c>
      <c r="T2437" s="95">
        <f>IF((P2437-Q2437)=1,N2437,IF((P2437-Q2437)=-1,-M2437,0))</f>
        <v/>
      </c>
      <c r="U2437" s="101">
        <f>IF(AND(H2437=1,LedAcct&lt;&gt;""),IF(AND(E2437&gt;=LedFrom,E2437&lt;=LedTo,OR(I2437=LedAcct,K2437=LedAcct,AND(LedAcct=acctTax,M2437+N2437&lt;&gt;0))),E2437*10000+B2437,""),"")</f>
        <v/>
      </c>
    </row>
    <row r="2438">
      <c r="B2438" s="101" t="n">
        <v>2432</v>
      </c>
      <c r="C2438" s="58" t="inlineStr">
        <is>
          <t>Invoice</t>
        </is>
      </c>
      <c r="D2438" s="58">
        <f>IF(H2438=1,INDEX(ar_No,432)&amp;"","")</f>
        <v/>
      </c>
      <c r="E2438" s="94">
        <f>IF(H2438=1,INDEX(ar_Date,432),"")</f>
        <v/>
      </c>
      <c r="F2438" s="58">
        <f>IF(H2438=1,INDEX(ar_Desc,432)&amp;"","")</f>
        <v/>
      </c>
      <c r="G2438" s="58">
        <f>IF(H2438=1,INDEX(ar_Party,432)&amp;"","")</f>
        <v/>
      </c>
      <c r="H2438" s="101">
        <f>IFERROR(N(INDEX(ar_Posted,432)),0)</f>
        <v/>
      </c>
      <c r="I2438" s="58">
        <f>IF(H2438=1,INDEX(ar_DrAcct,432)&amp;"","")</f>
        <v/>
      </c>
      <c r="J2438" s="95">
        <f>IF(H2438=1,INDEX(ar_DrAmt,432),0)</f>
        <v/>
      </c>
      <c r="K2438" s="58">
        <f>IF(H2438=1,INDEX(ar_CrAcct,432)&amp;"","")</f>
        <v/>
      </c>
      <c r="L2438" s="95">
        <f>IF(H2438=1,INDEX(ar_CrAmt,432),0)</f>
        <v/>
      </c>
      <c r="M2438" s="95" t="n">
        <v>0</v>
      </c>
      <c r="N2438" s="95">
        <f>IF(H2438=1,INDEX(ar_TaxAmt,432),0)</f>
        <v/>
      </c>
      <c r="O2438" s="101">
        <f>IF(H2438=1,IF(E2438&lt;FYStart,0,IF(E2438&gt;FYEnd,13,YEAR(E2438)*12+MONTH(E2438)-FYYM+1)),"")</f>
        <v/>
      </c>
      <c r="P2438" s="101">
        <f>IF(H2438=1,IF(IFERROR(INDEX(coa_CF,MATCH(I2438,coa_Name,0)),"")="Cash",1,0),0)</f>
        <v/>
      </c>
      <c r="Q2438" s="101">
        <f>IF(H2438=1,IF(IFERROR(INDEX(coa_CF,MATCH(K2438,coa_Name,0)),"")="Cash",1,0),0)</f>
        <v/>
      </c>
      <c r="R2438" s="58">
        <f>IF((P2438-Q2438)=0,"",IFERROR(INDEX(coa_CF,MATCH(IF((P2438-Q2438)=1,K2438,I2438),coa_Name,0)),"Operating"))</f>
        <v/>
      </c>
      <c r="S2438" s="95">
        <f>IF((P2438-Q2438)=1,L2438,IF((P2438-Q2438)=-1,-J2438,0))</f>
        <v/>
      </c>
      <c r="T2438" s="95">
        <f>IF((P2438-Q2438)=1,N2438,IF((P2438-Q2438)=-1,-M2438,0))</f>
        <v/>
      </c>
      <c r="U2438" s="101">
        <f>IF(AND(H2438=1,LedAcct&lt;&gt;""),IF(AND(E2438&gt;=LedFrom,E2438&lt;=LedTo,OR(I2438=LedAcct,K2438=LedAcct,AND(LedAcct=acctTax,M2438+N2438&lt;&gt;0))),E2438*10000+B2438,""),"")</f>
        <v/>
      </c>
    </row>
    <row r="2439">
      <c r="B2439" s="101" t="n">
        <v>2433</v>
      </c>
      <c r="C2439" s="58" t="inlineStr">
        <is>
          <t>Invoice</t>
        </is>
      </c>
      <c r="D2439" s="58">
        <f>IF(H2439=1,INDEX(ar_No,433)&amp;"","")</f>
        <v/>
      </c>
      <c r="E2439" s="94">
        <f>IF(H2439=1,INDEX(ar_Date,433),"")</f>
        <v/>
      </c>
      <c r="F2439" s="58">
        <f>IF(H2439=1,INDEX(ar_Desc,433)&amp;"","")</f>
        <v/>
      </c>
      <c r="G2439" s="58">
        <f>IF(H2439=1,INDEX(ar_Party,433)&amp;"","")</f>
        <v/>
      </c>
      <c r="H2439" s="101">
        <f>IFERROR(N(INDEX(ar_Posted,433)),0)</f>
        <v/>
      </c>
      <c r="I2439" s="58">
        <f>IF(H2439=1,INDEX(ar_DrAcct,433)&amp;"","")</f>
        <v/>
      </c>
      <c r="J2439" s="95">
        <f>IF(H2439=1,INDEX(ar_DrAmt,433),0)</f>
        <v/>
      </c>
      <c r="K2439" s="58">
        <f>IF(H2439=1,INDEX(ar_CrAcct,433)&amp;"","")</f>
        <v/>
      </c>
      <c r="L2439" s="95">
        <f>IF(H2439=1,INDEX(ar_CrAmt,433),0)</f>
        <v/>
      </c>
      <c r="M2439" s="95" t="n">
        <v>0</v>
      </c>
      <c r="N2439" s="95">
        <f>IF(H2439=1,INDEX(ar_TaxAmt,433),0)</f>
        <v/>
      </c>
      <c r="O2439" s="101">
        <f>IF(H2439=1,IF(E2439&lt;FYStart,0,IF(E2439&gt;FYEnd,13,YEAR(E2439)*12+MONTH(E2439)-FYYM+1)),"")</f>
        <v/>
      </c>
      <c r="P2439" s="101">
        <f>IF(H2439=1,IF(IFERROR(INDEX(coa_CF,MATCH(I2439,coa_Name,0)),"")="Cash",1,0),0)</f>
        <v/>
      </c>
      <c r="Q2439" s="101">
        <f>IF(H2439=1,IF(IFERROR(INDEX(coa_CF,MATCH(K2439,coa_Name,0)),"")="Cash",1,0),0)</f>
        <v/>
      </c>
      <c r="R2439" s="58">
        <f>IF((P2439-Q2439)=0,"",IFERROR(INDEX(coa_CF,MATCH(IF((P2439-Q2439)=1,K2439,I2439),coa_Name,0)),"Operating"))</f>
        <v/>
      </c>
      <c r="S2439" s="95">
        <f>IF((P2439-Q2439)=1,L2439,IF((P2439-Q2439)=-1,-J2439,0))</f>
        <v/>
      </c>
      <c r="T2439" s="95">
        <f>IF((P2439-Q2439)=1,N2439,IF((P2439-Q2439)=-1,-M2439,0))</f>
        <v/>
      </c>
      <c r="U2439" s="101">
        <f>IF(AND(H2439=1,LedAcct&lt;&gt;""),IF(AND(E2439&gt;=LedFrom,E2439&lt;=LedTo,OR(I2439=LedAcct,K2439=LedAcct,AND(LedAcct=acctTax,M2439+N2439&lt;&gt;0))),E2439*10000+B2439,""),"")</f>
        <v/>
      </c>
    </row>
    <row r="2440">
      <c r="B2440" s="101" t="n">
        <v>2434</v>
      </c>
      <c r="C2440" s="58" t="inlineStr">
        <is>
          <t>Invoice</t>
        </is>
      </c>
      <c r="D2440" s="58">
        <f>IF(H2440=1,INDEX(ar_No,434)&amp;"","")</f>
        <v/>
      </c>
      <c r="E2440" s="94">
        <f>IF(H2440=1,INDEX(ar_Date,434),"")</f>
        <v/>
      </c>
      <c r="F2440" s="58">
        <f>IF(H2440=1,INDEX(ar_Desc,434)&amp;"","")</f>
        <v/>
      </c>
      <c r="G2440" s="58">
        <f>IF(H2440=1,INDEX(ar_Party,434)&amp;"","")</f>
        <v/>
      </c>
      <c r="H2440" s="101">
        <f>IFERROR(N(INDEX(ar_Posted,434)),0)</f>
        <v/>
      </c>
      <c r="I2440" s="58">
        <f>IF(H2440=1,INDEX(ar_DrAcct,434)&amp;"","")</f>
        <v/>
      </c>
      <c r="J2440" s="95">
        <f>IF(H2440=1,INDEX(ar_DrAmt,434),0)</f>
        <v/>
      </c>
      <c r="K2440" s="58">
        <f>IF(H2440=1,INDEX(ar_CrAcct,434)&amp;"","")</f>
        <v/>
      </c>
      <c r="L2440" s="95">
        <f>IF(H2440=1,INDEX(ar_CrAmt,434),0)</f>
        <v/>
      </c>
      <c r="M2440" s="95" t="n">
        <v>0</v>
      </c>
      <c r="N2440" s="95">
        <f>IF(H2440=1,INDEX(ar_TaxAmt,434),0)</f>
        <v/>
      </c>
      <c r="O2440" s="101">
        <f>IF(H2440=1,IF(E2440&lt;FYStart,0,IF(E2440&gt;FYEnd,13,YEAR(E2440)*12+MONTH(E2440)-FYYM+1)),"")</f>
        <v/>
      </c>
      <c r="P2440" s="101">
        <f>IF(H2440=1,IF(IFERROR(INDEX(coa_CF,MATCH(I2440,coa_Name,0)),"")="Cash",1,0),0)</f>
        <v/>
      </c>
      <c r="Q2440" s="101">
        <f>IF(H2440=1,IF(IFERROR(INDEX(coa_CF,MATCH(K2440,coa_Name,0)),"")="Cash",1,0),0)</f>
        <v/>
      </c>
      <c r="R2440" s="58">
        <f>IF((P2440-Q2440)=0,"",IFERROR(INDEX(coa_CF,MATCH(IF((P2440-Q2440)=1,K2440,I2440),coa_Name,0)),"Operating"))</f>
        <v/>
      </c>
      <c r="S2440" s="95">
        <f>IF((P2440-Q2440)=1,L2440,IF((P2440-Q2440)=-1,-J2440,0))</f>
        <v/>
      </c>
      <c r="T2440" s="95">
        <f>IF((P2440-Q2440)=1,N2440,IF((P2440-Q2440)=-1,-M2440,0))</f>
        <v/>
      </c>
      <c r="U2440" s="101">
        <f>IF(AND(H2440=1,LedAcct&lt;&gt;""),IF(AND(E2440&gt;=LedFrom,E2440&lt;=LedTo,OR(I2440=LedAcct,K2440=LedAcct,AND(LedAcct=acctTax,M2440+N2440&lt;&gt;0))),E2440*10000+B2440,""),"")</f>
        <v/>
      </c>
    </row>
    <row r="2441">
      <c r="B2441" s="101" t="n">
        <v>2435</v>
      </c>
      <c r="C2441" s="58" t="inlineStr">
        <is>
          <t>Invoice</t>
        </is>
      </c>
      <c r="D2441" s="58">
        <f>IF(H2441=1,INDEX(ar_No,435)&amp;"","")</f>
        <v/>
      </c>
      <c r="E2441" s="94">
        <f>IF(H2441=1,INDEX(ar_Date,435),"")</f>
        <v/>
      </c>
      <c r="F2441" s="58">
        <f>IF(H2441=1,INDEX(ar_Desc,435)&amp;"","")</f>
        <v/>
      </c>
      <c r="G2441" s="58">
        <f>IF(H2441=1,INDEX(ar_Party,435)&amp;"","")</f>
        <v/>
      </c>
      <c r="H2441" s="101">
        <f>IFERROR(N(INDEX(ar_Posted,435)),0)</f>
        <v/>
      </c>
      <c r="I2441" s="58">
        <f>IF(H2441=1,INDEX(ar_DrAcct,435)&amp;"","")</f>
        <v/>
      </c>
      <c r="J2441" s="95">
        <f>IF(H2441=1,INDEX(ar_DrAmt,435),0)</f>
        <v/>
      </c>
      <c r="K2441" s="58">
        <f>IF(H2441=1,INDEX(ar_CrAcct,435)&amp;"","")</f>
        <v/>
      </c>
      <c r="L2441" s="95">
        <f>IF(H2441=1,INDEX(ar_CrAmt,435),0)</f>
        <v/>
      </c>
      <c r="M2441" s="95" t="n">
        <v>0</v>
      </c>
      <c r="N2441" s="95">
        <f>IF(H2441=1,INDEX(ar_TaxAmt,435),0)</f>
        <v/>
      </c>
      <c r="O2441" s="101">
        <f>IF(H2441=1,IF(E2441&lt;FYStart,0,IF(E2441&gt;FYEnd,13,YEAR(E2441)*12+MONTH(E2441)-FYYM+1)),"")</f>
        <v/>
      </c>
      <c r="P2441" s="101">
        <f>IF(H2441=1,IF(IFERROR(INDEX(coa_CF,MATCH(I2441,coa_Name,0)),"")="Cash",1,0),0)</f>
        <v/>
      </c>
      <c r="Q2441" s="101">
        <f>IF(H2441=1,IF(IFERROR(INDEX(coa_CF,MATCH(K2441,coa_Name,0)),"")="Cash",1,0),0)</f>
        <v/>
      </c>
      <c r="R2441" s="58">
        <f>IF((P2441-Q2441)=0,"",IFERROR(INDEX(coa_CF,MATCH(IF((P2441-Q2441)=1,K2441,I2441),coa_Name,0)),"Operating"))</f>
        <v/>
      </c>
      <c r="S2441" s="95">
        <f>IF((P2441-Q2441)=1,L2441,IF((P2441-Q2441)=-1,-J2441,0))</f>
        <v/>
      </c>
      <c r="T2441" s="95">
        <f>IF((P2441-Q2441)=1,N2441,IF((P2441-Q2441)=-1,-M2441,0))</f>
        <v/>
      </c>
      <c r="U2441" s="101">
        <f>IF(AND(H2441=1,LedAcct&lt;&gt;""),IF(AND(E2441&gt;=LedFrom,E2441&lt;=LedTo,OR(I2441=LedAcct,K2441=LedAcct,AND(LedAcct=acctTax,M2441+N2441&lt;&gt;0))),E2441*10000+B2441,""),"")</f>
        <v/>
      </c>
    </row>
    <row r="2442">
      <c r="B2442" s="101" t="n">
        <v>2436</v>
      </c>
      <c r="C2442" s="58" t="inlineStr">
        <is>
          <t>Invoice</t>
        </is>
      </c>
      <c r="D2442" s="58">
        <f>IF(H2442=1,INDEX(ar_No,436)&amp;"","")</f>
        <v/>
      </c>
      <c r="E2442" s="94">
        <f>IF(H2442=1,INDEX(ar_Date,436),"")</f>
        <v/>
      </c>
      <c r="F2442" s="58">
        <f>IF(H2442=1,INDEX(ar_Desc,436)&amp;"","")</f>
        <v/>
      </c>
      <c r="G2442" s="58">
        <f>IF(H2442=1,INDEX(ar_Party,436)&amp;"","")</f>
        <v/>
      </c>
      <c r="H2442" s="101">
        <f>IFERROR(N(INDEX(ar_Posted,436)),0)</f>
        <v/>
      </c>
      <c r="I2442" s="58">
        <f>IF(H2442=1,INDEX(ar_DrAcct,436)&amp;"","")</f>
        <v/>
      </c>
      <c r="J2442" s="95">
        <f>IF(H2442=1,INDEX(ar_DrAmt,436),0)</f>
        <v/>
      </c>
      <c r="K2442" s="58">
        <f>IF(H2442=1,INDEX(ar_CrAcct,436)&amp;"","")</f>
        <v/>
      </c>
      <c r="L2442" s="95">
        <f>IF(H2442=1,INDEX(ar_CrAmt,436),0)</f>
        <v/>
      </c>
      <c r="M2442" s="95" t="n">
        <v>0</v>
      </c>
      <c r="N2442" s="95">
        <f>IF(H2442=1,INDEX(ar_TaxAmt,436),0)</f>
        <v/>
      </c>
      <c r="O2442" s="101">
        <f>IF(H2442=1,IF(E2442&lt;FYStart,0,IF(E2442&gt;FYEnd,13,YEAR(E2442)*12+MONTH(E2442)-FYYM+1)),"")</f>
        <v/>
      </c>
      <c r="P2442" s="101">
        <f>IF(H2442=1,IF(IFERROR(INDEX(coa_CF,MATCH(I2442,coa_Name,0)),"")="Cash",1,0),0)</f>
        <v/>
      </c>
      <c r="Q2442" s="101">
        <f>IF(H2442=1,IF(IFERROR(INDEX(coa_CF,MATCH(K2442,coa_Name,0)),"")="Cash",1,0),0)</f>
        <v/>
      </c>
      <c r="R2442" s="58">
        <f>IF((P2442-Q2442)=0,"",IFERROR(INDEX(coa_CF,MATCH(IF((P2442-Q2442)=1,K2442,I2442),coa_Name,0)),"Operating"))</f>
        <v/>
      </c>
      <c r="S2442" s="95">
        <f>IF((P2442-Q2442)=1,L2442,IF((P2442-Q2442)=-1,-J2442,0))</f>
        <v/>
      </c>
      <c r="T2442" s="95">
        <f>IF((P2442-Q2442)=1,N2442,IF((P2442-Q2442)=-1,-M2442,0))</f>
        <v/>
      </c>
      <c r="U2442" s="101">
        <f>IF(AND(H2442=1,LedAcct&lt;&gt;""),IF(AND(E2442&gt;=LedFrom,E2442&lt;=LedTo,OR(I2442=LedAcct,K2442=LedAcct,AND(LedAcct=acctTax,M2442+N2442&lt;&gt;0))),E2442*10000+B2442,""),"")</f>
        <v/>
      </c>
    </row>
    <row r="2443">
      <c r="B2443" s="101" t="n">
        <v>2437</v>
      </c>
      <c r="C2443" s="58" t="inlineStr">
        <is>
          <t>Invoice</t>
        </is>
      </c>
      <c r="D2443" s="58">
        <f>IF(H2443=1,INDEX(ar_No,437)&amp;"","")</f>
        <v/>
      </c>
      <c r="E2443" s="94">
        <f>IF(H2443=1,INDEX(ar_Date,437),"")</f>
        <v/>
      </c>
      <c r="F2443" s="58">
        <f>IF(H2443=1,INDEX(ar_Desc,437)&amp;"","")</f>
        <v/>
      </c>
      <c r="G2443" s="58">
        <f>IF(H2443=1,INDEX(ar_Party,437)&amp;"","")</f>
        <v/>
      </c>
      <c r="H2443" s="101">
        <f>IFERROR(N(INDEX(ar_Posted,437)),0)</f>
        <v/>
      </c>
      <c r="I2443" s="58">
        <f>IF(H2443=1,INDEX(ar_DrAcct,437)&amp;"","")</f>
        <v/>
      </c>
      <c r="J2443" s="95">
        <f>IF(H2443=1,INDEX(ar_DrAmt,437),0)</f>
        <v/>
      </c>
      <c r="K2443" s="58">
        <f>IF(H2443=1,INDEX(ar_CrAcct,437)&amp;"","")</f>
        <v/>
      </c>
      <c r="L2443" s="95">
        <f>IF(H2443=1,INDEX(ar_CrAmt,437),0)</f>
        <v/>
      </c>
      <c r="M2443" s="95" t="n">
        <v>0</v>
      </c>
      <c r="N2443" s="95">
        <f>IF(H2443=1,INDEX(ar_TaxAmt,437),0)</f>
        <v/>
      </c>
      <c r="O2443" s="101">
        <f>IF(H2443=1,IF(E2443&lt;FYStart,0,IF(E2443&gt;FYEnd,13,YEAR(E2443)*12+MONTH(E2443)-FYYM+1)),"")</f>
        <v/>
      </c>
      <c r="P2443" s="101">
        <f>IF(H2443=1,IF(IFERROR(INDEX(coa_CF,MATCH(I2443,coa_Name,0)),"")="Cash",1,0),0)</f>
        <v/>
      </c>
      <c r="Q2443" s="101">
        <f>IF(H2443=1,IF(IFERROR(INDEX(coa_CF,MATCH(K2443,coa_Name,0)),"")="Cash",1,0),0)</f>
        <v/>
      </c>
      <c r="R2443" s="58">
        <f>IF((P2443-Q2443)=0,"",IFERROR(INDEX(coa_CF,MATCH(IF((P2443-Q2443)=1,K2443,I2443),coa_Name,0)),"Operating"))</f>
        <v/>
      </c>
      <c r="S2443" s="95">
        <f>IF((P2443-Q2443)=1,L2443,IF((P2443-Q2443)=-1,-J2443,0))</f>
        <v/>
      </c>
      <c r="T2443" s="95">
        <f>IF((P2443-Q2443)=1,N2443,IF((P2443-Q2443)=-1,-M2443,0))</f>
        <v/>
      </c>
      <c r="U2443" s="101">
        <f>IF(AND(H2443=1,LedAcct&lt;&gt;""),IF(AND(E2443&gt;=LedFrom,E2443&lt;=LedTo,OR(I2443=LedAcct,K2443=LedAcct,AND(LedAcct=acctTax,M2443+N2443&lt;&gt;0))),E2443*10000+B2443,""),"")</f>
        <v/>
      </c>
    </row>
    <row r="2444">
      <c r="B2444" s="101" t="n">
        <v>2438</v>
      </c>
      <c r="C2444" s="58" t="inlineStr">
        <is>
          <t>Invoice</t>
        </is>
      </c>
      <c r="D2444" s="58">
        <f>IF(H2444=1,INDEX(ar_No,438)&amp;"","")</f>
        <v/>
      </c>
      <c r="E2444" s="94">
        <f>IF(H2444=1,INDEX(ar_Date,438),"")</f>
        <v/>
      </c>
      <c r="F2444" s="58">
        <f>IF(H2444=1,INDEX(ar_Desc,438)&amp;"","")</f>
        <v/>
      </c>
      <c r="G2444" s="58">
        <f>IF(H2444=1,INDEX(ar_Party,438)&amp;"","")</f>
        <v/>
      </c>
      <c r="H2444" s="101">
        <f>IFERROR(N(INDEX(ar_Posted,438)),0)</f>
        <v/>
      </c>
      <c r="I2444" s="58">
        <f>IF(H2444=1,INDEX(ar_DrAcct,438)&amp;"","")</f>
        <v/>
      </c>
      <c r="J2444" s="95">
        <f>IF(H2444=1,INDEX(ar_DrAmt,438),0)</f>
        <v/>
      </c>
      <c r="K2444" s="58">
        <f>IF(H2444=1,INDEX(ar_CrAcct,438)&amp;"","")</f>
        <v/>
      </c>
      <c r="L2444" s="95">
        <f>IF(H2444=1,INDEX(ar_CrAmt,438),0)</f>
        <v/>
      </c>
      <c r="M2444" s="95" t="n">
        <v>0</v>
      </c>
      <c r="N2444" s="95">
        <f>IF(H2444=1,INDEX(ar_TaxAmt,438),0)</f>
        <v/>
      </c>
      <c r="O2444" s="101">
        <f>IF(H2444=1,IF(E2444&lt;FYStart,0,IF(E2444&gt;FYEnd,13,YEAR(E2444)*12+MONTH(E2444)-FYYM+1)),"")</f>
        <v/>
      </c>
      <c r="P2444" s="101">
        <f>IF(H2444=1,IF(IFERROR(INDEX(coa_CF,MATCH(I2444,coa_Name,0)),"")="Cash",1,0),0)</f>
        <v/>
      </c>
      <c r="Q2444" s="101">
        <f>IF(H2444=1,IF(IFERROR(INDEX(coa_CF,MATCH(K2444,coa_Name,0)),"")="Cash",1,0),0)</f>
        <v/>
      </c>
      <c r="R2444" s="58">
        <f>IF((P2444-Q2444)=0,"",IFERROR(INDEX(coa_CF,MATCH(IF((P2444-Q2444)=1,K2444,I2444),coa_Name,0)),"Operating"))</f>
        <v/>
      </c>
      <c r="S2444" s="95">
        <f>IF((P2444-Q2444)=1,L2444,IF((P2444-Q2444)=-1,-J2444,0))</f>
        <v/>
      </c>
      <c r="T2444" s="95">
        <f>IF((P2444-Q2444)=1,N2444,IF((P2444-Q2444)=-1,-M2444,0))</f>
        <v/>
      </c>
      <c r="U2444" s="101">
        <f>IF(AND(H2444=1,LedAcct&lt;&gt;""),IF(AND(E2444&gt;=LedFrom,E2444&lt;=LedTo,OR(I2444=LedAcct,K2444=LedAcct,AND(LedAcct=acctTax,M2444+N2444&lt;&gt;0))),E2444*10000+B2444,""),"")</f>
        <v/>
      </c>
    </row>
    <row r="2445">
      <c r="B2445" s="101" t="n">
        <v>2439</v>
      </c>
      <c r="C2445" s="58" t="inlineStr">
        <is>
          <t>Invoice</t>
        </is>
      </c>
      <c r="D2445" s="58">
        <f>IF(H2445=1,INDEX(ar_No,439)&amp;"","")</f>
        <v/>
      </c>
      <c r="E2445" s="94">
        <f>IF(H2445=1,INDEX(ar_Date,439),"")</f>
        <v/>
      </c>
      <c r="F2445" s="58">
        <f>IF(H2445=1,INDEX(ar_Desc,439)&amp;"","")</f>
        <v/>
      </c>
      <c r="G2445" s="58">
        <f>IF(H2445=1,INDEX(ar_Party,439)&amp;"","")</f>
        <v/>
      </c>
      <c r="H2445" s="101">
        <f>IFERROR(N(INDEX(ar_Posted,439)),0)</f>
        <v/>
      </c>
      <c r="I2445" s="58">
        <f>IF(H2445=1,INDEX(ar_DrAcct,439)&amp;"","")</f>
        <v/>
      </c>
      <c r="J2445" s="95">
        <f>IF(H2445=1,INDEX(ar_DrAmt,439),0)</f>
        <v/>
      </c>
      <c r="K2445" s="58">
        <f>IF(H2445=1,INDEX(ar_CrAcct,439)&amp;"","")</f>
        <v/>
      </c>
      <c r="L2445" s="95">
        <f>IF(H2445=1,INDEX(ar_CrAmt,439),0)</f>
        <v/>
      </c>
      <c r="M2445" s="95" t="n">
        <v>0</v>
      </c>
      <c r="N2445" s="95">
        <f>IF(H2445=1,INDEX(ar_TaxAmt,439),0)</f>
        <v/>
      </c>
      <c r="O2445" s="101">
        <f>IF(H2445=1,IF(E2445&lt;FYStart,0,IF(E2445&gt;FYEnd,13,YEAR(E2445)*12+MONTH(E2445)-FYYM+1)),"")</f>
        <v/>
      </c>
      <c r="P2445" s="101">
        <f>IF(H2445=1,IF(IFERROR(INDEX(coa_CF,MATCH(I2445,coa_Name,0)),"")="Cash",1,0),0)</f>
        <v/>
      </c>
      <c r="Q2445" s="101">
        <f>IF(H2445=1,IF(IFERROR(INDEX(coa_CF,MATCH(K2445,coa_Name,0)),"")="Cash",1,0),0)</f>
        <v/>
      </c>
      <c r="R2445" s="58">
        <f>IF((P2445-Q2445)=0,"",IFERROR(INDEX(coa_CF,MATCH(IF((P2445-Q2445)=1,K2445,I2445),coa_Name,0)),"Operating"))</f>
        <v/>
      </c>
      <c r="S2445" s="95">
        <f>IF((P2445-Q2445)=1,L2445,IF((P2445-Q2445)=-1,-J2445,0))</f>
        <v/>
      </c>
      <c r="T2445" s="95">
        <f>IF((P2445-Q2445)=1,N2445,IF((P2445-Q2445)=-1,-M2445,0))</f>
        <v/>
      </c>
      <c r="U2445" s="101">
        <f>IF(AND(H2445=1,LedAcct&lt;&gt;""),IF(AND(E2445&gt;=LedFrom,E2445&lt;=LedTo,OR(I2445=LedAcct,K2445=LedAcct,AND(LedAcct=acctTax,M2445+N2445&lt;&gt;0))),E2445*10000+B2445,""),"")</f>
        <v/>
      </c>
    </row>
    <row r="2446">
      <c r="B2446" s="101" t="n">
        <v>2440</v>
      </c>
      <c r="C2446" s="58" t="inlineStr">
        <is>
          <t>Invoice</t>
        </is>
      </c>
      <c r="D2446" s="58">
        <f>IF(H2446=1,INDEX(ar_No,440)&amp;"","")</f>
        <v/>
      </c>
      <c r="E2446" s="94">
        <f>IF(H2446=1,INDEX(ar_Date,440),"")</f>
        <v/>
      </c>
      <c r="F2446" s="58">
        <f>IF(H2446=1,INDEX(ar_Desc,440)&amp;"","")</f>
        <v/>
      </c>
      <c r="G2446" s="58">
        <f>IF(H2446=1,INDEX(ar_Party,440)&amp;"","")</f>
        <v/>
      </c>
      <c r="H2446" s="101">
        <f>IFERROR(N(INDEX(ar_Posted,440)),0)</f>
        <v/>
      </c>
      <c r="I2446" s="58">
        <f>IF(H2446=1,INDEX(ar_DrAcct,440)&amp;"","")</f>
        <v/>
      </c>
      <c r="J2446" s="95">
        <f>IF(H2446=1,INDEX(ar_DrAmt,440),0)</f>
        <v/>
      </c>
      <c r="K2446" s="58">
        <f>IF(H2446=1,INDEX(ar_CrAcct,440)&amp;"","")</f>
        <v/>
      </c>
      <c r="L2446" s="95">
        <f>IF(H2446=1,INDEX(ar_CrAmt,440),0)</f>
        <v/>
      </c>
      <c r="M2446" s="95" t="n">
        <v>0</v>
      </c>
      <c r="N2446" s="95">
        <f>IF(H2446=1,INDEX(ar_TaxAmt,440),0)</f>
        <v/>
      </c>
      <c r="O2446" s="101">
        <f>IF(H2446=1,IF(E2446&lt;FYStart,0,IF(E2446&gt;FYEnd,13,YEAR(E2446)*12+MONTH(E2446)-FYYM+1)),"")</f>
        <v/>
      </c>
      <c r="P2446" s="101">
        <f>IF(H2446=1,IF(IFERROR(INDEX(coa_CF,MATCH(I2446,coa_Name,0)),"")="Cash",1,0),0)</f>
        <v/>
      </c>
      <c r="Q2446" s="101">
        <f>IF(H2446=1,IF(IFERROR(INDEX(coa_CF,MATCH(K2446,coa_Name,0)),"")="Cash",1,0),0)</f>
        <v/>
      </c>
      <c r="R2446" s="58">
        <f>IF((P2446-Q2446)=0,"",IFERROR(INDEX(coa_CF,MATCH(IF((P2446-Q2446)=1,K2446,I2446),coa_Name,0)),"Operating"))</f>
        <v/>
      </c>
      <c r="S2446" s="95">
        <f>IF((P2446-Q2446)=1,L2446,IF((P2446-Q2446)=-1,-J2446,0))</f>
        <v/>
      </c>
      <c r="T2446" s="95">
        <f>IF((P2446-Q2446)=1,N2446,IF((P2446-Q2446)=-1,-M2446,0))</f>
        <v/>
      </c>
      <c r="U2446" s="101">
        <f>IF(AND(H2446=1,LedAcct&lt;&gt;""),IF(AND(E2446&gt;=LedFrom,E2446&lt;=LedTo,OR(I2446=LedAcct,K2446=LedAcct,AND(LedAcct=acctTax,M2446+N2446&lt;&gt;0))),E2446*10000+B2446,""),"")</f>
        <v/>
      </c>
    </row>
    <row r="2447">
      <c r="B2447" s="101" t="n">
        <v>2441</v>
      </c>
      <c r="C2447" s="58" t="inlineStr">
        <is>
          <t>Invoice</t>
        </is>
      </c>
      <c r="D2447" s="58">
        <f>IF(H2447=1,INDEX(ar_No,441)&amp;"","")</f>
        <v/>
      </c>
      <c r="E2447" s="94">
        <f>IF(H2447=1,INDEX(ar_Date,441),"")</f>
        <v/>
      </c>
      <c r="F2447" s="58">
        <f>IF(H2447=1,INDEX(ar_Desc,441)&amp;"","")</f>
        <v/>
      </c>
      <c r="G2447" s="58">
        <f>IF(H2447=1,INDEX(ar_Party,441)&amp;"","")</f>
        <v/>
      </c>
      <c r="H2447" s="101">
        <f>IFERROR(N(INDEX(ar_Posted,441)),0)</f>
        <v/>
      </c>
      <c r="I2447" s="58">
        <f>IF(H2447=1,INDEX(ar_DrAcct,441)&amp;"","")</f>
        <v/>
      </c>
      <c r="J2447" s="95">
        <f>IF(H2447=1,INDEX(ar_DrAmt,441),0)</f>
        <v/>
      </c>
      <c r="K2447" s="58">
        <f>IF(H2447=1,INDEX(ar_CrAcct,441)&amp;"","")</f>
        <v/>
      </c>
      <c r="L2447" s="95">
        <f>IF(H2447=1,INDEX(ar_CrAmt,441),0)</f>
        <v/>
      </c>
      <c r="M2447" s="95" t="n">
        <v>0</v>
      </c>
      <c r="N2447" s="95">
        <f>IF(H2447=1,INDEX(ar_TaxAmt,441),0)</f>
        <v/>
      </c>
      <c r="O2447" s="101">
        <f>IF(H2447=1,IF(E2447&lt;FYStart,0,IF(E2447&gt;FYEnd,13,YEAR(E2447)*12+MONTH(E2447)-FYYM+1)),"")</f>
        <v/>
      </c>
      <c r="P2447" s="101">
        <f>IF(H2447=1,IF(IFERROR(INDEX(coa_CF,MATCH(I2447,coa_Name,0)),"")="Cash",1,0),0)</f>
        <v/>
      </c>
      <c r="Q2447" s="101">
        <f>IF(H2447=1,IF(IFERROR(INDEX(coa_CF,MATCH(K2447,coa_Name,0)),"")="Cash",1,0),0)</f>
        <v/>
      </c>
      <c r="R2447" s="58">
        <f>IF((P2447-Q2447)=0,"",IFERROR(INDEX(coa_CF,MATCH(IF((P2447-Q2447)=1,K2447,I2447),coa_Name,0)),"Operating"))</f>
        <v/>
      </c>
      <c r="S2447" s="95">
        <f>IF((P2447-Q2447)=1,L2447,IF((P2447-Q2447)=-1,-J2447,0))</f>
        <v/>
      </c>
      <c r="T2447" s="95">
        <f>IF((P2447-Q2447)=1,N2447,IF((P2447-Q2447)=-1,-M2447,0))</f>
        <v/>
      </c>
      <c r="U2447" s="101">
        <f>IF(AND(H2447=1,LedAcct&lt;&gt;""),IF(AND(E2447&gt;=LedFrom,E2447&lt;=LedTo,OR(I2447=LedAcct,K2447=LedAcct,AND(LedAcct=acctTax,M2447+N2447&lt;&gt;0))),E2447*10000+B2447,""),"")</f>
        <v/>
      </c>
    </row>
    <row r="2448">
      <c r="B2448" s="101" t="n">
        <v>2442</v>
      </c>
      <c r="C2448" s="58" t="inlineStr">
        <is>
          <t>Invoice</t>
        </is>
      </c>
      <c r="D2448" s="58">
        <f>IF(H2448=1,INDEX(ar_No,442)&amp;"","")</f>
        <v/>
      </c>
      <c r="E2448" s="94">
        <f>IF(H2448=1,INDEX(ar_Date,442),"")</f>
        <v/>
      </c>
      <c r="F2448" s="58">
        <f>IF(H2448=1,INDEX(ar_Desc,442)&amp;"","")</f>
        <v/>
      </c>
      <c r="G2448" s="58">
        <f>IF(H2448=1,INDEX(ar_Party,442)&amp;"","")</f>
        <v/>
      </c>
      <c r="H2448" s="101">
        <f>IFERROR(N(INDEX(ar_Posted,442)),0)</f>
        <v/>
      </c>
      <c r="I2448" s="58">
        <f>IF(H2448=1,INDEX(ar_DrAcct,442)&amp;"","")</f>
        <v/>
      </c>
      <c r="J2448" s="95">
        <f>IF(H2448=1,INDEX(ar_DrAmt,442),0)</f>
        <v/>
      </c>
      <c r="K2448" s="58">
        <f>IF(H2448=1,INDEX(ar_CrAcct,442)&amp;"","")</f>
        <v/>
      </c>
      <c r="L2448" s="95">
        <f>IF(H2448=1,INDEX(ar_CrAmt,442),0)</f>
        <v/>
      </c>
      <c r="M2448" s="95" t="n">
        <v>0</v>
      </c>
      <c r="N2448" s="95">
        <f>IF(H2448=1,INDEX(ar_TaxAmt,442),0)</f>
        <v/>
      </c>
      <c r="O2448" s="101">
        <f>IF(H2448=1,IF(E2448&lt;FYStart,0,IF(E2448&gt;FYEnd,13,YEAR(E2448)*12+MONTH(E2448)-FYYM+1)),"")</f>
        <v/>
      </c>
      <c r="P2448" s="101">
        <f>IF(H2448=1,IF(IFERROR(INDEX(coa_CF,MATCH(I2448,coa_Name,0)),"")="Cash",1,0),0)</f>
        <v/>
      </c>
      <c r="Q2448" s="101">
        <f>IF(H2448=1,IF(IFERROR(INDEX(coa_CF,MATCH(K2448,coa_Name,0)),"")="Cash",1,0),0)</f>
        <v/>
      </c>
      <c r="R2448" s="58">
        <f>IF((P2448-Q2448)=0,"",IFERROR(INDEX(coa_CF,MATCH(IF((P2448-Q2448)=1,K2448,I2448),coa_Name,0)),"Operating"))</f>
        <v/>
      </c>
      <c r="S2448" s="95">
        <f>IF((P2448-Q2448)=1,L2448,IF((P2448-Q2448)=-1,-J2448,0))</f>
        <v/>
      </c>
      <c r="T2448" s="95">
        <f>IF((P2448-Q2448)=1,N2448,IF((P2448-Q2448)=-1,-M2448,0))</f>
        <v/>
      </c>
      <c r="U2448" s="101">
        <f>IF(AND(H2448=1,LedAcct&lt;&gt;""),IF(AND(E2448&gt;=LedFrom,E2448&lt;=LedTo,OR(I2448=LedAcct,K2448=LedAcct,AND(LedAcct=acctTax,M2448+N2448&lt;&gt;0))),E2448*10000+B2448,""),"")</f>
        <v/>
      </c>
    </row>
    <row r="2449">
      <c r="B2449" s="101" t="n">
        <v>2443</v>
      </c>
      <c r="C2449" s="58" t="inlineStr">
        <is>
          <t>Invoice</t>
        </is>
      </c>
      <c r="D2449" s="58">
        <f>IF(H2449=1,INDEX(ar_No,443)&amp;"","")</f>
        <v/>
      </c>
      <c r="E2449" s="94">
        <f>IF(H2449=1,INDEX(ar_Date,443),"")</f>
        <v/>
      </c>
      <c r="F2449" s="58">
        <f>IF(H2449=1,INDEX(ar_Desc,443)&amp;"","")</f>
        <v/>
      </c>
      <c r="G2449" s="58">
        <f>IF(H2449=1,INDEX(ar_Party,443)&amp;"","")</f>
        <v/>
      </c>
      <c r="H2449" s="101">
        <f>IFERROR(N(INDEX(ar_Posted,443)),0)</f>
        <v/>
      </c>
      <c r="I2449" s="58">
        <f>IF(H2449=1,INDEX(ar_DrAcct,443)&amp;"","")</f>
        <v/>
      </c>
      <c r="J2449" s="95">
        <f>IF(H2449=1,INDEX(ar_DrAmt,443),0)</f>
        <v/>
      </c>
      <c r="K2449" s="58">
        <f>IF(H2449=1,INDEX(ar_CrAcct,443)&amp;"","")</f>
        <v/>
      </c>
      <c r="L2449" s="95">
        <f>IF(H2449=1,INDEX(ar_CrAmt,443),0)</f>
        <v/>
      </c>
      <c r="M2449" s="95" t="n">
        <v>0</v>
      </c>
      <c r="N2449" s="95">
        <f>IF(H2449=1,INDEX(ar_TaxAmt,443),0)</f>
        <v/>
      </c>
      <c r="O2449" s="101">
        <f>IF(H2449=1,IF(E2449&lt;FYStart,0,IF(E2449&gt;FYEnd,13,YEAR(E2449)*12+MONTH(E2449)-FYYM+1)),"")</f>
        <v/>
      </c>
      <c r="P2449" s="101">
        <f>IF(H2449=1,IF(IFERROR(INDEX(coa_CF,MATCH(I2449,coa_Name,0)),"")="Cash",1,0),0)</f>
        <v/>
      </c>
      <c r="Q2449" s="101">
        <f>IF(H2449=1,IF(IFERROR(INDEX(coa_CF,MATCH(K2449,coa_Name,0)),"")="Cash",1,0),0)</f>
        <v/>
      </c>
      <c r="R2449" s="58">
        <f>IF((P2449-Q2449)=0,"",IFERROR(INDEX(coa_CF,MATCH(IF((P2449-Q2449)=1,K2449,I2449),coa_Name,0)),"Operating"))</f>
        <v/>
      </c>
      <c r="S2449" s="95">
        <f>IF((P2449-Q2449)=1,L2449,IF((P2449-Q2449)=-1,-J2449,0))</f>
        <v/>
      </c>
      <c r="T2449" s="95">
        <f>IF((P2449-Q2449)=1,N2449,IF((P2449-Q2449)=-1,-M2449,0))</f>
        <v/>
      </c>
      <c r="U2449" s="101">
        <f>IF(AND(H2449=1,LedAcct&lt;&gt;""),IF(AND(E2449&gt;=LedFrom,E2449&lt;=LedTo,OR(I2449=LedAcct,K2449=LedAcct,AND(LedAcct=acctTax,M2449+N2449&lt;&gt;0))),E2449*10000+B2449,""),"")</f>
        <v/>
      </c>
    </row>
    <row r="2450">
      <c r="B2450" s="101" t="n">
        <v>2444</v>
      </c>
      <c r="C2450" s="58" t="inlineStr">
        <is>
          <t>Invoice</t>
        </is>
      </c>
      <c r="D2450" s="58">
        <f>IF(H2450=1,INDEX(ar_No,444)&amp;"","")</f>
        <v/>
      </c>
      <c r="E2450" s="94">
        <f>IF(H2450=1,INDEX(ar_Date,444),"")</f>
        <v/>
      </c>
      <c r="F2450" s="58">
        <f>IF(H2450=1,INDEX(ar_Desc,444)&amp;"","")</f>
        <v/>
      </c>
      <c r="G2450" s="58">
        <f>IF(H2450=1,INDEX(ar_Party,444)&amp;"","")</f>
        <v/>
      </c>
      <c r="H2450" s="101">
        <f>IFERROR(N(INDEX(ar_Posted,444)),0)</f>
        <v/>
      </c>
      <c r="I2450" s="58">
        <f>IF(H2450=1,INDEX(ar_DrAcct,444)&amp;"","")</f>
        <v/>
      </c>
      <c r="J2450" s="95">
        <f>IF(H2450=1,INDEX(ar_DrAmt,444),0)</f>
        <v/>
      </c>
      <c r="K2450" s="58">
        <f>IF(H2450=1,INDEX(ar_CrAcct,444)&amp;"","")</f>
        <v/>
      </c>
      <c r="L2450" s="95">
        <f>IF(H2450=1,INDEX(ar_CrAmt,444),0)</f>
        <v/>
      </c>
      <c r="M2450" s="95" t="n">
        <v>0</v>
      </c>
      <c r="N2450" s="95">
        <f>IF(H2450=1,INDEX(ar_TaxAmt,444),0)</f>
        <v/>
      </c>
      <c r="O2450" s="101">
        <f>IF(H2450=1,IF(E2450&lt;FYStart,0,IF(E2450&gt;FYEnd,13,YEAR(E2450)*12+MONTH(E2450)-FYYM+1)),"")</f>
        <v/>
      </c>
      <c r="P2450" s="101">
        <f>IF(H2450=1,IF(IFERROR(INDEX(coa_CF,MATCH(I2450,coa_Name,0)),"")="Cash",1,0),0)</f>
        <v/>
      </c>
      <c r="Q2450" s="101">
        <f>IF(H2450=1,IF(IFERROR(INDEX(coa_CF,MATCH(K2450,coa_Name,0)),"")="Cash",1,0),0)</f>
        <v/>
      </c>
      <c r="R2450" s="58">
        <f>IF((P2450-Q2450)=0,"",IFERROR(INDEX(coa_CF,MATCH(IF((P2450-Q2450)=1,K2450,I2450),coa_Name,0)),"Operating"))</f>
        <v/>
      </c>
      <c r="S2450" s="95">
        <f>IF((P2450-Q2450)=1,L2450,IF((P2450-Q2450)=-1,-J2450,0))</f>
        <v/>
      </c>
      <c r="T2450" s="95">
        <f>IF((P2450-Q2450)=1,N2450,IF((P2450-Q2450)=-1,-M2450,0))</f>
        <v/>
      </c>
      <c r="U2450" s="101">
        <f>IF(AND(H2450=1,LedAcct&lt;&gt;""),IF(AND(E2450&gt;=LedFrom,E2450&lt;=LedTo,OR(I2450=LedAcct,K2450=LedAcct,AND(LedAcct=acctTax,M2450+N2450&lt;&gt;0))),E2450*10000+B2450,""),"")</f>
        <v/>
      </c>
    </row>
    <row r="2451">
      <c r="B2451" s="101" t="n">
        <v>2445</v>
      </c>
      <c r="C2451" s="58" t="inlineStr">
        <is>
          <t>Invoice</t>
        </is>
      </c>
      <c r="D2451" s="58">
        <f>IF(H2451=1,INDEX(ar_No,445)&amp;"","")</f>
        <v/>
      </c>
      <c r="E2451" s="94">
        <f>IF(H2451=1,INDEX(ar_Date,445),"")</f>
        <v/>
      </c>
      <c r="F2451" s="58">
        <f>IF(H2451=1,INDEX(ar_Desc,445)&amp;"","")</f>
        <v/>
      </c>
      <c r="G2451" s="58">
        <f>IF(H2451=1,INDEX(ar_Party,445)&amp;"","")</f>
        <v/>
      </c>
      <c r="H2451" s="101">
        <f>IFERROR(N(INDEX(ar_Posted,445)),0)</f>
        <v/>
      </c>
      <c r="I2451" s="58">
        <f>IF(H2451=1,INDEX(ar_DrAcct,445)&amp;"","")</f>
        <v/>
      </c>
      <c r="J2451" s="95">
        <f>IF(H2451=1,INDEX(ar_DrAmt,445),0)</f>
        <v/>
      </c>
      <c r="K2451" s="58">
        <f>IF(H2451=1,INDEX(ar_CrAcct,445)&amp;"","")</f>
        <v/>
      </c>
      <c r="L2451" s="95">
        <f>IF(H2451=1,INDEX(ar_CrAmt,445),0)</f>
        <v/>
      </c>
      <c r="M2451" s="95" t="n">
        <v>0</v>
      </c>
      <c r="N2451" s="95">
        <f>IF(H2451=1,INDEX(ar_TaxAmt,445),0)</f>
        <v/>
      </c>
      <c r="O2451" s="101">
        <f>IF(H2451=1,IF(E2451&lt;FYStart,0,IF(E2451&gt;FYEnd,13,YEAR(E2451)*12+MONTH(E2451)-FYYM+1)),"")</f>
        <v/>
      </c>
      <c r="P2451" s="101">
        <f>IF(H2451=1,IF(IFERROR(INDEX(coa_CF,MATCH(I2451,coa_Name,0)),"")="Cash",1,0),0)</f>
        <v/>
      </c>
      <c r="Q2451" s="101">
        <f>IF(H2451=1,IF(IFERROR(INDEX(coa_CF,MATCH(K2451,coa_Name,0)),"")="Cash",1,0),0)</f>
        <v/>
      </c>
      <c r="R2451" s="58">
        <f>IF((P2451-Q2451)=0,"",IFERROR(INDEX(coa_CF,MATCH(IF((P2451-Q2451)=1,K2451,I2451),coa_Name,0)),"Operating"))</f>
        <v/>
      </c>
      <c r="S2451" s="95">
        <f>IF((P2451-Q2451)=1,L2451,IF((P2451-Q2451)=-1,-J2451,0))</f>
        <v/>
      </c>
      <c r="T2451" s="95">
        <f>IF((P2451-Q2451)=1,N2451,IF((P2451-Q2451)=-1,-M2451,0))</f>
        <v/>
      </c>
      <c r="U2451" s="101">
        <f>IF(AND(H2451=1,LedAcct&lt;&gt;""),IF(AND(E2451&gt;=LedFrom,E2451&lt;=LedTo,OR(I2451=LedAcct,K2451=LedAcct,AND(LedAcct=acctTax,M2451+N2451&lt;&gt;0))),E2451*10000+B2451,""),"")</f>
        <v/>
      </c>
    </row>
    <row r="2452">
      <c r="B2452" s="101" t="n">
        <v>2446</v>
      </c>
      <c r="C2452" s="58" t="inlineStr">
        <is>
          <t>Invoice</t>
        </is>
      </c>
      <c r="D2452" s="58">
        <f>IF(H2452=1,INDEX(ar_No,446)&amp;"","")</f>
        <v/>
      </c>
      <c r="E2452" s="94">
        <f>IF(H2452=1,INDEX(ar_Date,446),"")</f>
        <v/>
      </c>
      <c r="F2452" s="58">
        <f>IF(H2452=1,INDEX(ar_Desc,446)&amp;"","")</f>
        <v/>
      </c>
      <c r="G2452" s="58">
        <f>IF(H2452=1,INDEX(ar_Party,446)&amp;"","")</f>
        <v/>
      </c>
      <c r="H2452" s="101">
        <f>IFERROR(N(INDEX(ar_Posted,446)),0)</f>
        <v/>
      </c>
      <c r="I2452" s="58">
        <f>IF(H2452=1,INDEX(ar_DrAcct,446)&amp;"","")</f>
        <v/>
      </c>
      <c r="J2452" s="95">
        <f>IF(H2452=1,INDEX(ar_DrAmt,446),0)</f>
        <v/>
      </c>
      <c r="K2452" s="58">
        <f>IF(H2452=1,INDEX(ar_CrAcct,446)&amp;"","")</f>
        <v/>
      </c>
      <c r="L2452" s="95">
        <f>IF(H2452=1,INDEX(ar_CrAmt,446),0)</f>
        <v/>
      </c>
      <c r="M2452" s="95" t="n">
        <v>0</v>
      </c>
      <c r="N2452" s="95">
        <f>IF(H2452=1,INDEX(ar_TaxAmt,446),0)</f>
        <v/>
      </c>
      <c r="O2452" s="101">
        <f>IF(H2452=1,IF(E2452&lt;FYStart,0,IF(E2452&gt;FYEnd,13,YEAR(E2452)*12+MONTH(E2452)-FYYM+1)),"")</f>
        <v/>
      </c>
      <c r="P2452" s="101">
        <f>IF(H2452=1,IF(IFERROR(INDEX(coa_CF,MATCH(I2452,coa_Name,0)),"")="Cash",1,0),0)</f>
        <v/>
      </c>
      <c r="Q2452" s="101">
        <f>IF(H2452=1,IF(IFERROR(INDEX(coa_CF,MATCH(K2452,coa_Name,0)),"")="Cash",1,0),0)</f>
        <v/>
      </c>
      <c r="R2452" s="58">
        <f>IF((P2452-Q2452)=0,"",IFERROR(INDEX(coa_CF,MATCH(IF((P2452-Q2452)=1,K2452,I2452),coa_Name,0)),"Operating"))</f>
        <v/>
      </c>
      <c r="S2452" s="95">
        <f>IF((P2452-Q2452)=1,L2452,IF((P2452-Q2452)=-1,-J2452,0))</f>
        <v/>
      </c>
      <c r="T2452" s="95">
        <f>IF((P2452-Q2452)=1,N2452,IF((P2452-Q2452)=-1,-M2452,0))</f>
        <v/>
      </c>
      <c r="U2452" s="101">
        <f>IF(AND(H2452=1,LedAcct&lt;&gt;""),IF(AND(E2452&gt;=LedFrom,E2452&lt;=LedTo,OR(I2452=LedAcct,K2452=LedAcct,AND(LedAcct=acctTax,M2452+N2452&lt;&gt;0))),E2452*10000+B2452,""),"")</f>
        <v/>
      </c>
    </row>
    <row r="2453">
      <c r="B2453" s="101" t="n">
        <v>2447</v>
      </c>
      <c r="C2453" s="58" t="inlineStr">
        <is>
          <t>Invoice</t>
        </is>
      </c>
      <c r="D2453" s="58">
        <f>IF(H2453=1,INDEX(ar_No,447)&amp;"","")</f>
        <v/>
      </c>
      <c r="E2453" s="94">
        <f>IF(H2453=1,INDEX(ar_Date,447),"")</f>
        <v/>
      </c>
      <c r="F2453" s="58">
        <f>IF(H2453=1,INDEX(ar_Desc,447)&amp;"","")</f>
        <v/>
      </c>
      <c r="G2453" s="58">
        <f>IF(H2453=1,INDEX(ar_Party,447)&amp;"","")</f>
        <v/>
      </c>
      <c r="H2453" s="101">
        <f>IFERROR(N(INDEX(ar_Posted,447)),0)</f>
        <v/>
      </c>
      <c r="I2453" s="58">
        <f>IF(H2453=1,INDEX(ar_DrAcct,447)&amp;"","")</f>
        <v/>
      </c>
      <c r="J2453" s="95">
        <f>IF(H2453=1,INDEX(ar_DrAmt,447),0)</f>
        <v/>
      </c>
      <c r="K2453" s="58">
        <f>IF(H2453=1,INDEX(ar_CrAcct,447)&amp;"","")</f>
        <v/>
      </c>
      <c r="L2453" s="95">
        <f>IF(H2453=1,INDEX(ar_CrAmt,447),0)</f>
        <v/>
      </c>
      <c r="M2453" s="95" t="n">
        <v>0</v>
      </c>
      <c r="N2453" s="95">
        <f>IF(H2453=1,INDEX(ar_TaxAmt,447),0)</f>
        <v/>
      </c>
      <c r="O2453" s="101">
        <f>IF(H2453=1,IF(E2453&lt;FYStart,0,IF(E2453&gt;FYEnd,13,YEAR(E2453)*12+MONTH(E2453)-FYYM+1)),"")</f>
        <v/>
      </c>
      <c r="P2453" s="101">
        <f>IF(H2453=1,IF(IFERROR(INDEX(coa_CF,MATCH(I2453,coa_Name,0)),"")="Cash",1,0),0)</f>
        <v/>
      </c>
      <c r="Q2453" s="101">
        <f>IF(H2453=1,IF(IFERROR(INDEX(coa_CF,MATCH(K2453,coa_Name,0)),"")="Cash",1,0),0)</f>
        <v/>
      </c>
      <c r="R2453" s="58">
        <f>IF((P2453-Q2453)=0,"",IFERROR(INDEX(coa_CF,MATCH(IF((P2453-Q2453)=1,K2453,I2453),coa_Name,0)),"Operating"))</f>
        <v/>
      </c>
      <c r="S2453" s="95">
        <f>IF((P2453-Q2453)=1,L2453,IF((P2453-Q2453)=-1,-J2453,0))</f>
        <v/>
      </c>
      <c r="T2453" s="95">
        <f>IF((P2453-Q2453)=1,N2453,IF((P2453-Q2453)=-1,-M2453,0))</f>
        <v/>
      </c>
      <c r="U2453" s="101">
        <f>IF(AND(H2453=1,LedAcct&lt;&gt;""),IF(AND(E2453&gt;=LedFrom,E2453&lt;=LedTo,OR(I2453=LedAcct,K2453=LedAcct,AND(LedAcct=acctTax,M2453+N2453&lt;&gt;0))),E2453*10000+B2453,""),"")</f>
        <v/>
      </c>
    </row>
    <row r="2454">
      <c r="B2454" s="101" t="n">
        <v>2448</v>
      </c>
      <c r="C2454" s="58" t="inlineStr">
        <is>
          <t>Invoice</t>
        </is>
      </c>
      <c r="D2454" s="58">
        <f>IF(H2454=1,INDEX(ar_No,448)&amp;"","")</f>
        <v/>
      </c>
      <c r="E2454" s="94">
        <f>IF(H2454=1,INDEX(ar_Date,448),"")</f>
        <v/>
      </c>
      <c r="F2454" s="58">
        <f>IF(H2454=1,INDEX(ar_Desc,448)&amp;"","")</f>
        <v/>
      </c>
      <c r="G2454" s="58">
        <f>IF(H2454=1,INDEX(ar_Party,448)&amp;"","")</f>
        <v/>
      </c>
      <c r="H2454" s="101">
        <f>IFERROR(N(INDEX(ar_Posted,448)),0)</f>
        <v/>
      </c>
      <c r="I2454" s="58">
        <f>IF(H2454=1,INDEX(ar_DrAcct,448)&amp;"","")</f>
        <v/>
      </c>
      <c r="J2454" s="95">
        <f>IF(H2454=1,INDEX(ar_DrAmt,448),0)</f>
        <v/>
      </c>
      <c r="K2454" s="58">
        <f>IF(H2454=1,INDEX(ar_CrAcct,448)&amp;"","")</f>
        <v/>
      </c>
      <c r="L2454" s="95">
        <f>IF(H2454=1,INDEX(ar_CrAmt,448),0)</f>
        <v/>
      </c>
      <c r="M2454" s="95" t="n">
        <v>0</v>
      </c>
      <c r="N2454" s="95">
        <f>IF(H2454=1,INDEX(ar_TaxAmt,448),0)</f>
        <v/>
      </c>
      <c r="O2454" s="101">
        <f>IF(H2454=1,IF(E2454&lt;FYStart,0,IF(E2454&gt;FYEnd,13,YEAR(E2454)*12+MONTH(E2454)-FYYM+1)),"")</f>
        <v/>
      </c>
      <c r="P2454" s="101">
        <f>IF(H2454=1,IF(IFERROR(INDEX(coa_CF,MATCH(I2454,coa_Name,0)),"")="Cash",1,0),0)</f>
        <v/>
      </c>
      <c r="Q2454" s="101">
        <f>IF(H2454=1,IF(IFERROR(INDEX(coa_CF,MATCH(K2454,coa_Name,0)),"")="Cash",1,0),0)</f>
        <v/>
      </c>
      <c r="R2454" s="58">
        <f>IF((P2454-Q2454)=0,"",IFERROR(INDEX(coa_CF,MATCH(IF((P2454-Q2454)=1,K2454,I2454),coa_Name,0)),"Operating"))</f>
        <v/>
      </c>
      <c r="S2454" s="95">
        <f>IF((P2454-Q2454)=1,L2454,IF((P2454-Q2454)=-1,-J2454,0))</f>
        <v/>
      </c>
      <c r="T2454" s="95">
        <f>IF((P2454-Q2454)=1,N2454,IF((P2454-Q2454)=-1,-M2454,0))</f>
        <v/>
      </c>
      <c r="U2454" s="101">
        <f>IF(AND(H2454=1,LedAcct&lt;&gt;""),IF(AND(E2454&gt;=LedFrom,E2454&lt;=LedTo,OR(I2454=LedAcct,K2454=LedAcct,AND(LedAcct=acctTax,M2454+N2454&lt;&gt;0))),E2454*10000+B2454,""),"")</f>
        <v/>
      </c>
    </row>
    <row r="2455">
      <c r="B2455" s="101" t="n">
        <v>2449</v>
      </c>
      <c r="C2455" s="58" t="inlineStr">
        <is>
          <t>Invoice</t>
        </is>
      </c>
      <c r="D2455" s="58">
        <f>IF(H2455=1,INDEX(ar_No,449)&amp;"","")</f>
        <v/>
      </c>
      <c r="E2455" s="94">
        <f>IF(H2455=1,INDEX(ar_Date,449),"")</f>
        <v/>
      </c>
      <c r="F2455" s="58">
        <f>IF(H2455=1,INDEX(ar_Desc,449)&amp;"","")</f>
        <v/>
      </c>
      <c r="G2455" s="58">
        <f>IF(H2455=1,INDEX(ar_Party,449)&amp;"","")</f>
        <v/>
      </c>
      <c r="H2455" s="101">
        <f>IFERROR(N(INDEX(ar_Posted,449)),0)</f>
        <v/>
      </c>
      <c r="I2455" s="58">
        <f>IF(H2455=1,INDEX(ar_DrAcct,449)&amp;"","")</f>
        <v/>
      </c>
      <c r="J2455" s="95">
        <f>IF(H2455=1,INDEX(ar_DrAmt,449),0)</f>
        <v/>
      </c>
      <c r="K2455" s="58">
        <f>IF(H2455=1,INDEX(ar_CrAcct,449)&amp;"","")</f>
        <v/>
      </c>
      <c r="L2455" s="95">
        <f>IF(H2455=1,INDEX(ar_CrAmt,449),0)</f>
        <v/>
      </c>
      <c r="M2455" s="95" t="n">
        <v>0</v>
      </c>
      <c r="N2455" s="95">
        <f>IF(H2455=1,INDEX(ar_TaxAmt,449),0)</f>
        <v/>
      </c>
      <c r="O2455" s="101">
        <f>IF(H2455=1,IF(E2455&lt;FYStart,0,IF(E2455&gt;FYEnd,13,YEAR(E2455)*12+MONTH(E2455)-FYYM+1)),"")</f>
        <v/>
      </c>
      <c r="P2455" s="101">
        <f>IF(H2455=1,IF(IFERROR(INDEX(coa_CF,MATCH(I2455,coa_Name,0)),"")="Cash",1,0),0)</f>
        <v/>
      </c>
      <c r="Q2455" s="101">
        <f>IF(H2455=1,IF(IFERROR(INDEX(coa_CF,MATCH(K2455,coa_Name,0)),"")="Cash",1,0),0)</f>
        <v/>
      </c>
      <c r="R2455" s="58">
        <f>IF((P2455-Q2455)=0,"",IFERROR(INDEX(coa_CF,MATCH(IF((P2455-Q2455)=1,K2455,I2455),coa_Name,0)),"Operating"))</f>
        <v/>
      </c>
      <c r="S2455" s="95">
        <f>IF((P2455-Q2455)=1,L2455,IF((P2455-Q2455)=-1,-J2455,0))</f>
        <v/>
      </c>
      <c r="T2455" s="95">
        <f>IF((P2455-Q2455)=1,N2455,IF((P2455-Q2455)=-1,-M2455,0))</f>
        <v/>
      </c>
      <c r="U2455" s="101">
        <f>IF(AND(H2455=1,LedAcct&lt;&gt;""),IF(AND(E2455&gt;=LedFrom,E2455&lt;=LedTo,OR(I2455=LedAcct,K2455=LedAcct,AND(LedAcct=acctTax,M2455+N2455&lt;&gt;0))),E2455*10000+B2455,""),"")</f>
        <v/>
      </c>
    </row>
    <row r="2456">
      <c r="B2456" s="101" t="n">
        <v>2450</v>
      </c>
      <c r="C2456" s="58" t="inlineStr">
        <is>
          <t>Invoice</t>
        </is>
      </c>
      <c r="D2456" s="58">
        <f>IF(H2456=1,INDEX(ar_No,450)&amp;"","")</f>
        <v/>
      </c>
      <c r="E2456" s="94">
        <f>IF(H2456=1,INDEX(ar_Date,450),"")</f>
        <v/>
      </c>
      <c r="F2456" s="58">
        <f>IF(H2456=1,INDEX(ar_Desc,450)&amp;"","")</f>
        <v/>
      </c>
      <c r="G2456" s="58">
        <f>IF(H2456=1,INDEX(ar_Party,450)&amp;"","")</f>
        <v/>
      </c>
      <c r="H2456" s="101">
        <f>IFERROR(N(INDEX(ar_Posted,450)),0)</f>
        <v/>
      </c>
      <c r="I2456" s="58">
        <f>IF(H2456=1,INDEX(ar_DrAcct,450)&amp;"","")</f>
        <v/>
      </c>
      <c r="J2456" s="95">
        <f>IF(H2456=1,INDEX(ar_DrAmt,450),0)</f>
        <v/>
      </c>
      <c r="K2456" s="58">
        <f>IF(H2456=1,INDEX(ar_CrAcct,450)&amp;"","")</f>
        <v/>
      </c>
      <c r="L2456" s="95">
        <f>IF(H2456=1,INDEX(ar_CrAmt,450),0)</f>
        <v/>
      </c>
      <c r="M2456" s="95" t="n">
        <v>0</v>
      </c>
      <c r="N2456" s="95">
        <f>IF(H2456=1,INDEX(ar_TaxAmt,450),0)</f>
        <v/>
      </c>
      <c r="O2456" s="101">
        <f>IF(H2456=1,IF(E2456&lt;FYStart,0,IF(E2456&gt;FYEnd,13,YEAR(E2456)*12+MONTH(E2456)-FYYM+1)),"")</f>
        <v/>
      </c>
      <c r="P2456" s="101">
        <f>IF(H2456=1,IF(IFERROR(INDEX(coa_CF,MATCH(I2456,coa_Name,0)),"")="Cash",1,0),0)</f>
        <v/>
      </c>
      <c r="Q2456" s="101">
        <f>IF(H2456=1,IF(IFERROR(INDEX(coa_CF,MATCH(K2456,coa_Name,0)),"")="Cash",1,0),0)</f>
        <v/>
      </c>
      <c r="R2456" s="58">
        <f>IF((P2456-Q2456)=0,"",IFERROR(INDEX(coa_CF,MATCH(IF((P2456-Q2456)=1,K2456,I2456),coa_Name,0)),"Operating"))</f>
        <v/>
      </c>
      <c r="S2456" s="95">
        <f>IF((P2456-Q2456)=1,L2456,IF((P2456-Q2456)=-1,-J2456,0))</f>
        <v/>
      </c>
      <c r="T2456" s="95">
        <f>IF((P2456-Q2456)=1,N2456,IF((P2456-Q2456)=-1,-M2456,0))</f>
        <v/>
      </c>
      <c r="U2456" s="101">
        <f>IF(AND(H2456=1,LedAcct&lt;&gt;""),IF(AND(E2456&gt;=LedFrom,E2456&lt;=LedTo,OR(I2456=LedAcct,K2456=LedAcct,AND(LedAcct=acctTax,M2456+N2456&lt;&gt;0))),E2456*10000+B2456,""),"")</f>
        <v/>
      </c>
    </row>
    <row r="2457">
      <c r="B2457" s="101" t="n">
        <v>2451</v>
      </c>
      <c r="C2457" s="58" t="inlineStr">
        <is>
          <t>Invoice</t>
        </is>
      </c>
      <c r="D2457" s="58">
        <f>IF(H2457=1,INDEX(ar_No,451)&amp;"","")</f>
        <v/>
      </c>
      <c r="E2457" s="94">
        <f>IF(H2457=1,INDEX(ar_Date,451),"")</f>
        <v/>
      </c>
      <c r="F2457" s="58">
        <f>IF(H2457=1,INDEX(ar_Desc,451)&amp;"","")</f>
        <v/>
      </c>
      <c r="G2457" s="58">
        <f>IF(H2457=1,INDEX(ar_Party,451)&amp;"","")</f>
        <v/>
      </c>
      <c r="H2457" s="101">
        <f>IFERROR(N(INDEX(ar_Posted,451)),0)</f>
        <v/>
      </c>
      <c r="I2457" s="58">
        <f>IF(H2457=1,INDEX(ar_DrAcct,451)&amp;"","")</f>
        <v/>
      </c>
      <c r="J2457" s="95">
        <f>IF(H2457=1,INDEX(ar_DrAmt,451),0)</f>
        <v/>
      </c>
      <c r="K2457" s="58">
        <f>IF(H2457=1,INDEX(ar_CrAcct,451)&amp;"","")</f>
        <v/>
      </c>
      <c r="L2457" s="95">
        <f>IF(H2457=1,INDEX(ar_CrAmt,451),0)</f>
        <v/>
      </c>
      <c r="M2457" s="95" t="n">
        <v>0</v>
      </c>
      <c r="N2457" s="95">
        <f>IF(H2457=1,INDEX(ar_TaxAmt,451),0)</f>
        <v/>
      </c>
      <c r="O2457" s="101">
        <f>IF(H2457=1,IF(E2457&lt;FYStart,0,IF(E2457&gt;FYEnd,13,YEAR(E2457)*12+MONTH(E2457)-FYYM+1)),"")</f>
        <v/>
      </c>
      <c r="P2457" s="101">
        <f>IF(H2457=1,IF(IFERROR(INDEX(coa_CF,MATCH(I2457,coa_Name,0)),"")="Cash",1,0),0)</f>
        <v/>
      </c>
      <c r="Q2457" s="101">
        <f>IF(H2457=1,IF(IFERROR(INDEX(coa_CF,MATCH(K2457,coa_Name,0)),"")="Cash",1,0),0)</f>
        <v/>
      </c>
      <c r="R2457" s="58">
        <f>IF((P2457-Q2457)=0,"",IFERROR(INDEX(coa_CF,MATCH(IF((P2457-Q2457)=1,K2457,I2457),coa_Name,0)),"Operating"))</f>
        <v/>
      </c>
      <c r="S2457" s="95">
        <f>IF((P2457-Q2457)=1,L2457,IF((P2457-Q2457)=-1,-J2457,0))</f>
        <v/>
      </c>
      <c r="T2457" s="95">
        <f>IF((P2457-Q2457)=1,N2457,IF((P2457-Q2457)=-1,-M2457,0))</f>
        <v/>
      </c>
      <c r="U2457" s="101">
        <f>IF(AND(H2457=1,LedAcct&lt;&gt;""),IF(AND(E2457&gt;=LedFrom,E2457&lt;=LedTo,OR(I2457=LedAcct,K2457=LedAcct,AND(LedAcct=acctTax,M2457+N2457&lt;&gt;0))),E2457*10000+B2457,""),"")</f>
        <v/>
      </c>
    </row>
    <row r="2458">
      <c r="B2458" s="101" t="n">
        <v>2452</v>
      </c>
      <c r="C2458" s="58" t="inlineStr">
        <is>
          <t>Invoice</t>
        </is>
      </c>
      <c r="D2458" s="58">
        <f>IF(H2458=1,INDEX(ar_No,452)&amp;"","")</f>
        <v/>
      </c>
      <c r="E2458" s="94">
        <f>IF(H2458=1,INDEX(ar_Date,452),"")</f>
        <v/>
      </c>
      <c r="F2458" s="58">
        <f>IF(H2458=1,INDEX(ar_Desc,452)&amp;"","")</f>
        <v/>
      </c>
      <c r="G2458" s="58">
        <f>IF(H2458=1,INDEX(ar_Party,452)&amp;"","")</f>
        <v/>
      </c>
      <c r="H2458" s="101">
        <f>IFERROR(N(INDEX(ar_Posted,452)),0)</f>
        <v/>
      </c>
      <c r="I2458" s="58">
        <f>IF(H2458=1,INDEX(ar_DrAcct,452)&amp;"","")</f>
        <v/>
      </c>
      <c r="J2458" s="95">
        <f>IF(H2458=1,INDEX(ar_DrAmt,452),0)</f>
        <v/>
      </c>
      <c r="K2458" s="58">
        <f>IF(H2458=1,INDEX(ar_CrAcct,452)&amp;"","")</f>
        <v/>
      </c>
      <c r="L2458" s="95">
        <f>IF(H2458=1,INDEX(ar_CrAmt,452),0)</f>
        <v/>
      </c>
      <c r="M2458" s="95" t="n">
        <v>0</v>
      </c>
      <c r="N2458" s="95">
        <f>IF(H2458=1,INDEX(ar_TaxAmt,452),0)</f>
        <v/>
      </c>
      <c r="O2458" s="101">
        <f>IF(H2458=1,IF(E2458&lt;FYStart,0,IF(E2458&gt;FYEnd,13,YEAR(E2458)*12+MONTH(E2458)-FYYM+1)),"")</f>
        <v/>
      </c>
      <c r="P2458" s="101">
        <f>IF(H2458=1,IF(IFERROR(INDEX(coa_CF,MATCH(I2458,coa_Name,0)),"")="Cash",1,0),0)</f>
        <v/>
      </c>
      <c r="Q2458" s="101">
        <f>IF(H2458=1,IF(IFERROR(INDEX(coa_CF,MATCH(K2458,coa_Name,0)),"")="Cash",1,0),0)</f>
        <v/>
      </c>
      <c r="R2458" s="58">
        <f>IF((P2458-Q2458)=0,"",IFERROR(INDEX(coa_CF,MATCH(IF((P2458-Q2458)=1,K2458,I2458),coa_Name,0)),"Operating"))</f>
        <v/>
      </c>
      <c r="S2458" s="95">
        <f>IF((P2458-Q2458)=1,L2458,IF((P2458-Q2458)=-1,-J2458,0))</f>
        <v/>
      </c>
      <c r="T2458" s="95">
        <f>IF((P2458-Q2458)=1,N2458,IF((P2458-Q2458)=-1,-M2458,0))</f>
        <v/>
      </c>
      <c r="U2458" s="101">
        <f>IF(AND(H2458=1,LedAcct&lt;&gt;""),IF(AND(E2458&gt;=LedFrom,E2458&lt;=LedTo,OR(I2458=LedAcct,K2458=LedAcct,AND(LedAcct=acctTax,M2458+N2458&lt;&gt;0))),E2458*10000+B2458,""),"")</f>
        <v/>
      </c>
    </row>
    <row r="2459">
      <c r="B2459" s="101" t="n">
        <v>2453</v>
      </c>
      <c r="C2459" s="58" t="inlineStr">
        <is>
          <t>Invoice</t>
        </is>
      </c>
      <c r="D2459" s="58">
        <f>IF(H2459=1,INDEX(ar_No,453)&amp;"","")</f>
        <v/>
      </c>
      <c r="E2459" s="94">
        <f>IF(H2459=1,INDEX(ar_Date,453),"")</f>
        <v/>
      </c>
      <c r="F2459" s="58">
        <f>IF(H2459=1,INDEX(ar_Desc,453)&amp;"","")</f>
        <v/>
      </c>
      <c r="G2459" s="58">
        <f>IF(H2459=1,INDEX(ar_Party,453)&amp;"","")</f>
        <v/>
      </c>
      <c r="H2459" s="101">
        <f>IFERROR(N(INDEX(ar_Posted,453)),0)</f>
        <v/>
      </c>
      <c r="I2459" s="58">
        <f>IF(H2459=1,INDEX(ar_DrAcct,453)&amp;"","")</f>
        <v/>
      </c>
      <c r="J2459" s="95">
        <f>IF(H2459=1,INDEX(ar_DrAmt,453),0)</f>
        <v/>
      </c>
      <c r="K2459" s="58">
        <f>IF(H2459=1,INDEX(ar_CrAcct,453)&amp;"","")</f>
        <v/>
      </c>
      <c r="L2459" s="95">
        <f>IF(H2459=1,INDEX(ar_CrAmt,453),0)</f>
        <v/>
      </c>
      <c r="M2459" s="95" t="n">
        <v>0</v>
      </c>
      <c r="N2459" s="95">
        <f>IF(H2459=1,INDEX(ar_TaxAmt,453),0)</f>
        <v/>
      </c>
      <c r="O2459" s="101">
        <f>IF(H2459=1,IF(E2459&lt;FYStart,0,IF(E2459&gt;FYEnd,13,YEAR(E2459)*12+MONTH(E2459)-FYYM+1)),"")</f>
        <v/>
      </c>
      <c r="P2459" s="101">
        <f>IF(H2459=1,IF(IFERROR(INDEX(coa_CF,MATCH(I2459,coa_Name,0)),"")="Cash",1,0),0)</f>
        <v/>
      </c>
      <c r="Q2459" s="101">
        <f>IF(H2459=1,IF(IFERROR(INDEX(coa_CF,MATCH(K2459,coa_Name,0)),"")="Cash",1,0),0)</f>
        <v/>
      </c>
      <c r="R2459" s="58">
        <f>IF((P2459-Q2459)=0,"",IFERROR(INDEX(coa_CF,MATCH(IF((P2459-Q2459)=1,K2459,I2459),coa_Name,0)),"Operating"))</f>
        <v/>
      </c>
      <c r="S2459" s="95">
        <f>IF((P2459-Q2459)=1,L2459,IF((P2459-Q2459)=-1,-J2459,0))</f>
        <v/>
      </c>
      <c r="T2459" s="95">
        <f>IF((P2459-Q2459)=1,N2459,IF((P2459-Q2459)=-1,-M2459,0))</f>
        <v/>
      </c>
      <c r="U2459" s="101">
        <f>IF(AND(H2459=1,LedAcct&lt;&gt;""),IF(AND(E2459&gt;=LedFrom,E2459&lt;=LedTo,OR(I2459=LedAcct,K2459=LedAcct,AND(LedAcct=acctTax,M2459+N2459&lt;&gt;0))),E2459*10000+B2459,""),"")</f>
        <v/>
      </c>
    </row>
    <row r="2460">
      <c r="B2460" s="101" t="n">
        <v>2454</v>
      </c>
      <c r="C2460" s="58" t="inlineStr">
        <is>
          <t>Invoice</t>
        </is>
      </c>
      <c r="D2460" s="58">
        <f>IF(H2460=1,INDEX(ar_No,454)&amp;"","")</f>
        <v/>
      </c>
      <c r="E2460" s="94">
        <f>IF(H2460=1,INDEX(ar_Date,454),"")</f>
        <v/>
      </c>
      <c r="F2460" s="58">
        <f>IF(H2460=1,INDEX(ar_Desc,454)&amp;"","")</f>
        <v/>
      </c>
      <c r="G2460" s="58">
        <f>IF(H2460=1,INDEX(ar_Party,454)&amp;"","")</f>
        <v/>
      </c>
      <c r="H2460" s="101">
        <f>IFERROR(N(INDEX(ar_Posted,454)),0)</f>
        <v/>
      </c>
      <c r="I2460" s="58">
        <f>IF(H2460=1,INDEX(ar_DrAcct,454)&amp;"","")</f>
        <v/>
      </c>
      <c r="J2460" s="95">
        <f>IF(H2460=1,INDEX(ar_DrAmt,454),0)</f>
        <v/>
      </c>
      <c r="K2460" s="58">
        <f>IF(H2460=1,INDEX(ar_CrAcct,454)&amp;"","")</f>
        <v/>
      </c>
      <c r="L2460" s="95">
        <f>IF(H2460=1,INDEX(ar_CrAmt,454),0)</f>
        <v/>
      </c>
      <c r="M2460" s="95" t="n">
        <v>0</v>
      </c>
      <c r="N2460" s="95">
        <f>IF(H2460=1,INDEX(ar_TaxAmt,454),0)</f>
        <v/>
      </c>
      <c r="O2460" s="101">
        <f>IF(H2460=1,IF(E2460&lt;FYStart,0,IF(E2460&gt;FYEnd,13,YEAR(E2460)*12+MONTH(E2460)-FYYM+1)),"")</f>
        <v/>
      </c>
      <c r="P2460" s="101">
        <f>IF(H2460=1,IF(IFERROR(INDEX(coa_CF,MATCH(I2460,coa_Name,0)),"")="Cash",1,0),0)</f>
        <v/>
      </c>
      <c r="Q2460" s="101">
        <f>IF(H2460=1,IF(IFERROR(INDEX(coa_CF,MATCH(K2460,coa_Name,0)),"")="Cash",1,0),0)</f>
        <v/>
      </c>
      <c r="R2460" s="58">
        <f>IF((P2460-Q2460)=0,"",IFERROR(INDEX(coa_CF,MATCH(IF((P2460-Q2460)=1,K2460,I2460),coa_Name,0)),"Operating"))</f>
        <v/>
      </c>
      <c r="S2460" s="95">
        <f>IF((P2460-Q2460)=1,L2460,IF((P2460-Q2460)=-1,-J2460,0))</f>
        <v/>
      </c>
      <c r="T2460" s="95">
        <f>IF((P2460-Q2460)=1,N2460,IF((P2460-Q2460)=-1,-M2460,0))</f>
        <v/>
      </c>
      <c r="U2460" s="101">
        <f>IF(AND(H2460=1,LedAcct&lt;&gt;""),IF(AND(E2460&gt;=LedFrom,E2460&lt;=LedTo,OR(I2460=LedAcct,K2460=LedAcct,AND(LedAcct=acctTax,M2460+N2460&lt;&gt;0))),E2460*10000+B2460,""),"")</f>
        <v/>
      </c>
    </row>
    <row r="2461">
      <c r="B2461" s="101" t="n">
        <v>2455</v>
      </c>
      <c r="C2461" s="58" t="inlineStr">
        <is>
          <t>Invoice</t>
        </is>
      </c>
      <c r="D2461" s="58">
        <f>IF(H2461=1,INDEX(ar_No,455)&amp;"","")</f>
        <v/>
      </c>
      <c r="E2461" s="94">
        <f>IF(H2461=1,INDEX(ar_Date,455),"")</f>
        <v/>
      </c>
      <c r="F2461" s="58">
        <f>IF(H2461=1,INDEX(ar_Desc,455)&amp;"","")</f>
        <v/>
      </c>
      <c r="G2461" s="58">
        <f>IF(H2461=1,INDEX(ar_Party,455)&amp;"","")</f>
        <v/>
      </c>
      <c r="H2461" s="101">
        <f>IFERROR(N(INDEX(ar_Posted,455)),0)</f>
        <v/>
      </c>
      <c r="I2461" s="58">
        <f>IF(H2461=1,INDEX(ar_DrAcct,455)&amp;"","")</f>
        <v/>
      </c>
      <c r="J2461" s="95">
        <f>IF(H2461=1,INDEX(ar_DrAmt,455),0)</f>
        <v/>
      </c>
      <c r="K2461" s="58">
        <f>IF(H2461=1,INDEX(ar_CrAcct,455)&amp;"","")</f>
        <v/>
      </c>
      <c r="L2461" s="95">
        <f>IF(H2461=1,INDEX(ar_CrAmt,455),0)</f>
        <v/>
      </c>
      <c r="M2461" s="95" t="n">
        <v>0</v>
      </c>
      <c r="N2461" s="95">
        <f>IF(H2461=1,INDEX(ar_TaxAmt,455),0)</f>
        <v/>
      </c>
      <c r="O2461" s="101">
        <f>IF(H2461=1,IF(E2461&lt;FYStart,0,IF(E2461&gt;FYEnd,13,YEAR(E2461)*12+MONTH(E2461)-FYYM+1)),"")</f>
        <v/>
      </c>
      <c r="P2461" s="101">
        <f>IF(H2461=1,IF(IFERROR(INDEX(coa_CF,MATCH(I2461,coa_Name,0)),"")="Cash",1,0),0)</f>
        <v/>
      </c>
      <c r="Q2461" s="101">
        <f>IF(H2461=1,IF(IFERROR(INDEX(coa_CF,MATCH(K2461,coa_Name,0)),"")="Cash",1,0),0)</f>
        <v/>
      </c>
      <c r="R2461" s="58">
        <f>IF((P2461-Q2461)=0,"",IFERROR(INDEX(coa_CF,MATCH(IF((P2461-Q2461)=1,K2461,I2461),coa_Name,0)),"Operating"))</f>
        <v/>
      </c>
      <c r="S2461" s="95">
        <f>IF((P2461-Q2461)=1,L2461,IF((P2461-Q2461)=-1,-J2461,0))</f>
        <v/>
      </c>
      <c r="T2461" s="95">
        <f>IF((P2461-Q2461)=1,N2461,IF((P2461-Q2461)=-1,-M2461,0))</f>
        <v/>
      </c>
      <c r="U2461" s="101">
        <f>IF(AND(H2461=1,LedAcct&lt;&gt;""),IF(AND(E2461&gt;=LedFrom,E2461&lt;=LedTo,OR(I2461=LedAcct,K2461=LedAcct,AND(LedAcct=acctTax,M2461+N2461&lt;&gt;0))),E2461*10000+B2461,""),"")</f>
        <v/>
      </c>
    </row>
    <row r="2462">
      <c r="B2462" s="101" t="n">
        <v>2456</v>
      </c>
      <c r="C2462" s="58" t="inlineStr">
        <is>
          <t>Invoice</t>
        </is>
      </c>
      <c r="D2462" s="58">
        <f>IF(H2462=1,INDEX(ar_No,456)&amp;"","")</f>
        <v/>
      </c>
      <c r="E2462" s="94">
        <f>IF(H2462=1,INDEX(ar_Date,456),"")</f>
        <v/>
      </c>
      <c r="F2462" s="58">
        <f>IF(H2462=1,INDEX(ar_Desc,456)&amp;"","")</f>
        <v/>
      </c>
      <c r="G2462" s="58">
        <f>IF(H2462=1,INDEX(ar_Party,456)&amp;"","")</f>
        <v/>
      </c>
      <c r="H2462" s="101">
        <f>IFERROR(N(INDEX(ar_Posted,456)),0)</f>
        <v/>
      </c>
      <c r="I2462" s="58">
        <f>IF(H2462=1,INDEX(ar_DrAcct,456)&amp;"","")</f>
        <v/>
      </c>
      <c r="J2462" s="95">
        <f>IF(H2462=1,INDEX(ar_DrAmt,456),0)</f>
        <v/>
      </c>
      <c r="K2462" s="58">
        <f>IF(H2462=1,INDEX(ar_CrAcct,456)&amp;"","")</f>
        <v/>
      </c>
      <c r="L2462" s="95">
        <f>IF(H2462=1,INDEX(ar_CrAmt,456),0)</f>
        <v/>
      </c>
      <c r="M2462" s="95" t="n">
        <v>0</v>
      </c>
      <c r="N2462" s="95">
        <f>IF(H2462=1,INDEX(ar_TaxAmt,456),0)</f>
        <v/>
      </c>
      <c r="O2462" s="101">
        <f>IF(H2462=1,IF(E2462&lt;FYStart,0,IF(E2462&gt;FYEnd,13,YEAR(E2462)*12+MONTH(E2462)-FYYM+1)),"")</f>
        <v/>
      </c>
      <c r="P2462" s="101">
        <f>IF(H2462=1,IF(IFERROR(INDEX(coa_CF,MATCH(I2462,coa_Name,0)),"")="Cash",1,0),0)</f>
        <v/>
      </c>
      <c r="Q2462" s="101">
        <f>IF(H2462=1,IF(IFERROR(INDEX(coa_CF,MATCH(K2462,coa_Name,0)),"")="Cash",1,0),0)</f>
        <v/>
      </c>
      <c r="R2462" s="58">
        <f>IF((P2462-Q2462)=0,"",IFERROR(INDEX(coa_CF,MATCH(IF((P2462-Q2462)=1,K2462,I2462),coa_Name,0)),"Operating"))</f>
        <v/>
      </c>
      <c r="S2462" s="95">
        <f>IF((P2462-Q2462)=1,L2462,IF((P2462-Q2462)=-1,-J2462,0))</f>
        <v/>
      </c>
      <c r="T2462" s="95">
        <f>IF((P2462-Q2462)=1,N2462,IF((P2462-Q2462)=-1,-M2462,0))</f>
        <v/>
      </c>
      <c r="U2462" s="101">
        <f>IF(AND(H2462=1,LedAcct&lt;&gt;""),IF(AND(E2462&gt;=LedFrom,E2462&lt;=LedTo,OR(I2462=LedAcct,K2462=LedAcct,AND(LedAcct=acctTax,M2462+N2462&lt;&gt;0))),E2462*10000+B2462,""),"")</f>
        <v/>
      </c>
    </row>
    <row r="2463">
      <c r="B2463" s="101" t="n">
        <v>2457</v>
      </c>
      <c r="C2463" s="58" t="inlineStr">
        <is>
          <t>Invoice</t>
        </is>
      </c>
      <c r="D2463" s="58">
        <f>IF(H2463=1,INDEX(ar_No,457)&amp;"","")</f>
        <v/>
      </c>
      <c r="E2463" s="94">
        <f>IF(H2463=1,INDEX(ar_Date,457),"")</f>
        <v/>
      </c>
      <c r="F2463" s="58">
        <f>IF(H2463=1,INDEX(ar_Desc,457)&amp;"","")</f>
        <v/>
      </c>
      <c r="G2463" s="58">
        <f>IF(H2463=1,INDEX(ar_Party,457)&amp;"","")</f>
        <v/>
      </c>
      <c r="H2463" s="101">
        <f>IFERROR(N(INDEX(ar_Posted,457)),0)</f>
        <v/>
      </c>
      <c r="I2463" s="58">
        <f>IF(H2463=1,INDEX(ar_DrAcct,457)&amp;"","")</f>
        <v/>
      </c>
      <c r="J2463" s="95">
        <f>IF(H2463=1,INDEX(ar_DrAmt,457),0)</f>
        <v/>
      </c>
      <c r="K2463" s="58">
        <f>IF(H2463=1,INDEX(ar_CrAcct,457)&amp;"","")</f>
        <v/>
      </c>
      <c r="L2463" s="95">
        <f>IF(H2463=1,INDEX(ar_CrAmt,457),0)</f>
        <v/>
      </c>
      <c r="M2463" s="95" t="n">
        <v>0</v>
      </c>
      <c r="N2463" s="95">
        <f>IF(H2463=1,INDEX(ar_TaxAmt,457),0)</f>
        <v/>
      </c>
      <c r="O2463" s="101">
        <f>IF(H2463=1,IF(E2463&lt;FYStart,0,IF(E2463&gt;FYEnd,13,YEAR(E2463)*12+MONTH(E2463)-FYYM+1)),"")</f>
        <v/>
      </c>
      <c r="P2463" s="101">
        <f>IF(H2463=1,IF(IFERROR(INDEX(coa_CF,MATCH(I2463,coa_Name,0)),"")="Cash",1,0),0)</f>
        <v/>
      </c>
      <c r="Q2463" s="101">
        <f>IF(H2463=1,IF(IFERROR(INDEX(coa_CF,MATCH(K2463,coa_Name,0)),"")="Cash",1,0),0)</f>
        <v/>
      </c>
      <c r="R2463" s="58">
        <f>IF((P2463-Q2463)=0,"",IFERROR(INDEX(coa_CF,MATCH(IF((P2463-Q2463)=1,K2463,I2463),coa_Name,0)),"Operating"))</f>
        <v/>
      </c>
      <c r="S2463" s="95">
        <f>IF((P2463-Q2463)=1,L2463,IF((P2463-Q2463)=-1,-J2463,0))</f>
        <v/>
      </c>
      <c r="T2463" s="95">
        <f>IF((P2463-Q2463)=1,N2463,IF((P2463-Q2463)=-1,-M2463,0))</f>
        <v/>
      </c>
      <c r="U2463" s="101">
        <f>IF(AND(H2463=1,LedAcct&lt;&gt;""),IF(AND(E2463&gt;=LedFrom,E2463&lt;=LedTo,OR(I2463=LedAcct,K2463=LedAcct,AND(LedAcct=acctTax,M2463+N2463&lt;&gt;0))),E2463*10000+B2463,""),"")</f>
        <v/>
      </c>
    </row>
    <row r="2464">
      <c r="B2464" s="101" t="n">
        <v>2458</v>
      </c>
      <c r="C2464" s="58" t="inlineStr">
        <is>
          <t>Invoice</t>
        </is>
      </c>
      <c r="D2464" s="58">
        <f>IF(H2464=1,INDEX(ar_No,458)&amp;"","")</f>
        <v/>
      </c>
      <c r="E2464" s="94">
        <f>IF(H2464=1,INDEX(ar_Date,458),"")</f>
        <v/>
      </c>
      <c r="F2464" s="58">
        <f>IF(H2464=1,INDEX(ar_Desc,458)&amp;"","")</f>
        <v/>
      </c>
      <c r="G2464" s="58">
        <f>IF(H2464=1,INDEX(ar_Party,458)&amp;"","")</f>
        <v/>
      </c>
      <c r="H2464" s="101">
        <f>IFERROR(N(INDEX(ar_Posted,458)),0)</f>
        <v/>
      </c>
      <c r="I2464" s="58">
        <f>IF(H2464=1,INDEX(ar_DrAcct,458)&amp;"","")</f>
        <v/>
      </c>
      <c r="J2464" s="95">
        <f>IF(H2464=1,INDEX(ar_DrAmt,458),0)</f>
        <v/>
      </c>
      <c r="K2464" s="58">
        <f>IF(H2464=1,INDEX(ar_CrAcct,458)&amp;"","")</f>
        <v/>
      </c>
      <c r="L2464" s="95">
        <f>IF(H2464=1,INDEX(ar_CrAmt,458),0)</f>
        <v/>
      </c>
      <c r="M2464" s="95" t="n">
        <v>0</v>
      </c>
      <c r="N2464" s="95">
        <f>IF(H2464=1,INDEX(ar_TaxAmt,458),0)</f>
        <v/>
      </c>
      <c r="O2464" s="101">
        <f>IF(H2464=1,IF(E2464&lt;FYStart,0,IF(E2464&gt;FYEnd,13,YEAR(E2464)*12+MONTH(E2464)-FYYM+1)),"")</f>
        <v/>
      </c>
      <c r="P2464" s="101">
        <f>IF(H2464=1,IF(IFERROR(INDEX(coa_CF,MATCH(I2464,coa_Name,0)),"")="Cash",1,0),0)</f>
        <v/>
      </c>
      <c r="Q2464" s="101">
        <f>IF(H2464=1,IF(IFERROR(INDEX(coa_CF,MATCH(K2464,coa_Name,0)),"")="Cash",1,0),0)</f>
        <v/>
      </c>
      <c r="R2464" s="58">
        <f>IF((P2464-Q2464)=0,"",IFERROR(INDEX(coa_CF,MATCH(IF((P2464-Q2464)=1,K2464,I2464),coa_Name,0)),"Operating"))</f>
        <v/>
      </c>
      <c r="S2464" s="95">
        <f>IF((P2464-Q2464)=1,L2464,IF((P2464-Q2464)=-1,-J2464,0))</f>
        <v/>
      </c>
      <c r="T2464" s="95">
        <f>IF((P2464-Q2464)=1,N2464,IF((P2464-Q2464)=-1,-M2464,0))</f>
        <v/>
      </c>
      <c r="U2464" s="101">
        <f>IF(AND(H2464=1,LedAcct&lt;&gt;""),IF(AND(E2464&gt;=LedFrom,E2464&lt;=LedTo,OR(I2464=LedAcct,K2464=LedAcct,AND(LedAcct=acctTax,M2464+N2464&lt;&gt;0))),E2464*10000+B2464,""),"")</f>
        <v/>
      </c>
    </row>
    <row r="2465">
      <c r="B2465" s="101" t="n">
        <v>2459</v>
      </c>
      <c r="C2465" s="58" t="inlineStr">
        <is>
          <t>Invoice</t>
        </is>
      </c>
      <c r="D2465" s="58">
        <f>IF(H2465=1,INDEX(ar_No,459)&amp;"","")</f>
        <v/>
      </c>
      <c r="E2465" s="94">
        <f>IF(H2465=1,INDEX(ar_Date,459),"")</f>
        <v/>
      </c>
      <c r="F2465" s="58">
        <f>IF(H2465=1,INDEX(ar_Desc,459)&amp;"","")</f>
        <v/>
      </c>
      <c r="G2465" s="58">
        <f>IF(H2465=1,INDEX(ar_Party,459)&amp;"","")</f>
        <v/>
      </c>
      <c r="H2465" s="101">
        <f>IFERROR(N(INDEX(ar_Posted,459)),0)</f>
        <v/>
      </c>
      <c r="I2465" s="58">
        <f>IF(H2465=1,INDEX(ar_DrAcct,459)&amp;"","")</f>
        <v/>
      </c>
      <c r="J2465" s="95">
        <f>IF(H2465=1,INDEX(ar_DrAmt,459),0)</f>
        <v/>
      </c>
      <c r="K2465" s="58">
        <f>IF(H2465=1,INDEX(ar_CrAcct,459)&amp;"","")</f>
        <v/>
      </c>
      <c r="L2465" s="95">
        <f>IF(H2465=1,INDEX(ar_CrAmt,459),0)</f>
        <v/>
      </c>
      <c r="M2465" s="95" t="n">
        <v>0</v>
      </c>
      <c r="N2465" s="95">
        <f>IF(H2465=1,INDEX(ar_TaxAmt,459),0)</f>
        <v/>
      </c>
      <c r="O2465" s="101">
        <f>IF(H2465=1,IF(E2465&lt;FYStart,0,IF(E2465&gt;FYEnd,13,YEAR(E2465)*12+MONTH(E2465)-FYYM+1)),"")</f>
        <v/>
      </c>
      <c r="P2465" s="101">
        <f>IF(H2465=1,IF(IFERROR(INDEX(coa_CF,MATCH(I2465,coa_Name,0)),"")="Cash",1,0),0)</f>
        <v/>
      </c>
      <c r="Q2465" s="101">
        <f>IF(H2465=1,IF(IFERROR(INDEX(coa_CF,MATCH(K2465,coa_Name,0)),"")="Cash",1,0),0)</f>
        <v/>
      </c>
      <c r="R2465" s="58">
        <f>IF((P2465-Q2465)=0,"",IFERROR(INDEX(coa_CF,MATCH(IF((P2465-Q2465)=1,K2465,I2465),coa_Name,0)),"Operating"))</f>
        <v/>
      </c>
      <c r="S2465" s="95">
        <f>IF((P2465-Q2465)=1,L2465,IF((P2465-Q2465)=-1,-J2465,0))</f>
        <v/>
      </c>
      <c r="T2465" s="95">
        <f>IF((P2465-Q2465)=1,N2465,IF((P2465-Q2465)=-1,-M2465,0))</f>
        <v/>
      </c>
      <c r="U2465" s="101">
        <f>IF(AND(H2465=1,LedAcct&lt;&gt;""),IF(AND(E2465&gt;=LedFrom,E2465&lt;=LedTo,OR(I2465=LedAcct,K2465=LedAcct,AND(LedAcct=acctTax,M2465+N2465&lt;&gt;0))),E2465*10000+B2465,""),"")</f>
        <v/>
      </c>
    </row>
    <row r="2466">
      <c r="B2466" s="101" t="n">
        <v>2460</v>
      </c>
      <c r="C2466" s="58" t="inlineStr">
        <is>
          <t>Invoice</t>
        </is>
      </c>
      <c r="D2466" s="58">
        <f>IF(H2466=1,INDEX(ar_No,460)&amp;"","")</f>
        <v/>
      </c>
      <c r="E2466" s="94">
        <f>IF(H2466=1,INDEX(ar_Date,460),"")</f>
        <v/>
      </c>
      <c r="F2466" s="58">
        <f>IF(H2466=1,INDEX(ar_Desc,460)&amp;"","")</f>
        <v/>
      </c>
      <c r="G2466" s="58">
        <f>IF(H2466=1,INDEX(ar_Party,460)&amp;"","")</f>
        <v/>
      </c>
      <c r="H2466" s="101">
        <f>IFERROR(N(INDEX(ar_Posted,460)),0)</f>
        <v/>
      </c>
      <c r="I2466" s="58">
        <f>IF(H2466=1,INDEX(ar_DrAcct,460)&amp;"","")</f>
        <v/>
      </c>
      <c r="J2466" s="95">
        <f>IF(H2466=1,INDEX(ar_DrAmt,460),0)</f>
        <v/>
      </c>
      <c r="K2466" s="58">
        <f>IF(H2466=1,INDEX(ar_CrAcct,460)&amp;"","")</f>
        <v/>
      </c>
      <c r="L2466" s="95">
        <f>IF(H2466=1,INDEX(ar_CrAmt,460),0)</f>
        <v/>
      </c>
      <c r="M2466" s="95" t="n">
        <v>0</v>
      </c>
      <c r="N2466" s="95">
        <f>IF(H2466=1,INDEX(ar_TaxAmt,460),0)</f>
        <v/>
      </c>
      <c r="O2466" s="101">
        <f>IF(H2466=1,IF(E2466&lt;FYStart,0,IF(E2466&gt;FYEnd,13,YEAR(E2466)*12+MONTH(E2466)-FYYM+1)),"")</f>
        <v/>
      </c>
      <c r="P2466" s="101">
        <f>IF(H2466=1,IF(IFERROR(INDEX(coa_CF,MATCH(I2466,coa_Name,0)),"")="Cash",1,0),0)</f>
        <v/>
      </c>
      <c r="Q2466" s="101">
        <f>IF(H2466=1,IF(IFERROR(INDEX(coa_CF,MATCH(K2466,coa_Name,0)),"")="Cash",1,0),0)</f>
        <v/>
      </c>
      <c r="R2466" s="58">
        <f>IF((P2466-Q2466)=0,"",IFERROR(INDEX(coa_CF,MATCH(IF((P2466-Q2466)=1,K2466,I2466),coa_Name,0)),"Operating"))</f>
        <v/>
      </c>
      <c r="S2466" s="95">
        <f>IF((P2466-Q2466)=1,L2466,IF((P2466-Q2466)=-1,-J2466,0))</f>
        <v/>
      </c>
      <c r="T2466" s="95">
        <f>IF((P2466-Q2466)=1,N2466,IF((P2466-Q2466)=-1,-M2466,0))</f>
        <v/>
      </c>
      <c r="U2466" s="101">
        <f>IF(AND(H2466=1,LedAcct&lt;&gt;""),IF(AND(E2466&gt;=LedFrom,E2466&lt;=LedTo,OR(I2466=LedAcct,K2466=LedAcct,AND(LedAcct=acctTax,M2466+N2466&lt;&gt;0))),E2466*10000+B2466,""),"")</f>
        <v/>
      </c>
    </row>
    <row r="2467">
      <c r="B2467" s="101" t="n">
        <v>2461</v>
      </c>
      <c r="C2467" s="58" t="inlineStr">
        <is>
          <t>Invoice</t>
        </is>
      </c>
      <c r="D2467" s="58">
        <f>IF(H2467=1,INDEX(ar_No,461)&amp;"","")</f>
        <v/>
      </c>
      <c r="E2467" s="94">
        <f>IF(H2467=1,INDEX(ar_Date,461),"")</f>
        <v/>
      </c>
      <c r="F2467" s="58">
        <f>IF(H2467=1,INDEX(ar_Desc,461)&amp;"","")</f>
        <v/>
      </c>
      <c r="G2467" s="58">
        <f>IF(H2467=1,INDEX(ar_Party,461)&amp;"","")</f>
        <v/>
      </c>
      <c r="H2467" s="101">
        <f>IFERROR(N(INDEX(ar_Posted,461)),0)</f>
        <v/>
      </c>
      <c r="I2467" s="58">
        <f>IF(H2467=1,INDEX(ar_DrAcct,461)&amp;"","")</f>
        <v/>
      </c>
      <c r="J2467" s="95">
        <f>IF(H2467=1,INDEX(ar_DrAmt,461),0)</f>
        <v/>
      </c>
      <c r="K2467" s="58">
        <f>IF(H2467=1,INDEX(ar_CrAcct,461)&amp;"","")</f>
        <v/>
      </c>
      <c r="L2467" s="95">
        <f>IF(H2467=1,INDEX(ar_CrAmt,461),0)</f>
        <v/>
      </c>
      <c r="M2467" s="95" t="n">
        <v>0</v>
      </c>
      <c r="N2467" s="95">
        <f>IF(H2467=1,INDEX(ar_TaxAmt,461),0)</f>
        <v/>
      </c>
      <c r="O2467" s="101">
        <f>IF(H2467=1,IF(E2467&lt;FYStart,0,IF(E2467&gt;FYEnd,13,YEAR(E2467)*12+MONTH(E2467)-FYYM+1)),"")</f>
        <v/>
      </c>
      <c r="P2467" s="101">
        <f>IF(H2467=1,IF(IFERROR(INDEX(coa_CF,MATCH(I2467,coa_Name,0)),"")="Cash",1,0),0)</f>
        <v/>
      </c>
      <c r="Q2467" s="101">
        <f>IF(H2467=1,IF(IFERROR(INDEX(coa_CF,MATCH(K2467,coa_Name,0)),"")="Cash",1,0),0)</f>
        <v/>
      </c>
      <c r="R2467" s="58">
        <f>IF((P2467-Q2467)=0,"",IFERROR(INDEX(coa_CF,MATCH(IF((P2467-Q2467)=1,K2467,I2467),coa_Name,0)),"Operating"))</f>
        <v/>
      </c>
      <c r="S2467" s="95">
        <f>IF((P2467-Q2467)=1,L2467,IF((P2467-Q2467)=-1,-J2467,0))</f>
        <v/>
      </c>
      <c r="T2467" s="95">
        <f>IF((P2467-Q2467)=1,N2467,IF((P2467-Q2467)=-1,-M2467,0))</f>
        <v/>
      </c>
      <c r="U2467" s="101">
        <f>IF(AND(H2467=1,LedAcct&lt;&gt;""),IF(AND(E2467&gt;=LedFrom,E2467&lt;=LedTo,OR(I2467=LedAcct,K2467=LedAcct,AND(LedAcct=acctTax,M2467+N2467&lt;&gt;0))),E2467*10000+B2467,""),"")</f>
        <v/>
      </c>
    </row>
    <row r="2468">
      <c r="B2468" s="101" t="n">
        <v>2462</v>
      </c>
      <c r="C2468" s="58" t="inlineStr">
        <is>
          <t>Invoice</t>
        </is>
      </c>
      <c r="D2468" s="58">
        <f>IF(H2468=1,INDEX(ar_No,462)&amp;"","")</f>
        <v/>
      </c>
      <c r="E2468" s="94">
        <f>IF(H2468=1,INDEX(ar_Date,462),"")</f>
        <v/>
      </c>
      <c r="F2468" s="58">
        <f>IF(H2468=1,INDEX(ar_Desc,462)&amp;"","")</f>
        <v/>
      </c>
      <c r="G2468" s="58">
        <f>IF(H2468=1,INDEX(ar_Party,462)&amp;"","")</f>
        <v/>
      </c>
      <c r="H2468" s="101">
        <f>IFERROR(N(INDEX(ar_Posted,462)),0)</f>
        <v/>
      </c>
      <c r="I2468" s="58">
        <f>IF(H2468=1,INDEX(ar_DrAcct,462)&amp;"","")</f>
        <v/>
      </c>
      <c r="J2468" s="95">
        <f>IF(H2468=1,INDEX(ar_DrAmt,462),0)</f>
        <v/>
      </c>
      <c r="K2468" s="58">
        <f>IF(H2468=1,INDEX(ar_CrAcct,462)&amp;"","")</f>
        <v/>
      </c>
      <c r="L2468" s="95">
        <f>IF(H2468=1,INDEX(ar_CrAmt,462),0)</f>
        <v/>
      </c>
      <c r="M2468" s="95" t="n">
        <v>0</v>
      </c>
      <c r="N2468" s="95">
        <f>IF(H2468=1,INDEX(ar_TaxAmt,462),0)</f>
        <v/>
      </c>
      <c r="O2468" s="101">
        <f>IF(H2468=1,IF(E2468&lt;FYStart,0,IF(E2468&gt;FYEnd,13,YEAR(E2468)*12+MONTH(E2468)-FYYM+1)),"")</f>
        <v/>
      </c>
      <c r="P2468" s="101">
        <f>IF(H2468=1,IF(IFERROR(INDEX(coa_CF,MATCH(I2468,coa_Name,0)),"")="Cash",1,0),0)</f>
        <v/>
      </c>
      <c r="Q2468" s="101">
        <f>IF(H2468=1,IF(IFERROR(INDEX(coa_CF,MATCH(K2468,coa_Name,0)),"")="Cash",1,0),0)</f>
        <v/>
      </c>
      <c r="R2468" s="58">
        <f>IF((P2468-Q2468)=0,"",IFERROR(INDEX(coa_CF,MATCH(IF((P2468-Q2468)=1,K2468,I2468),coa_Name,0)),"Operating"))</f>
        <v/>
      </c>
      <c r="S2468" s="95">
        <f>IF((P2468-Q2468)=1,L2468,IF((P2468-Q2468)=-1,-J2468,0))</f>
        <v/>
      </c>
      <c r="T2468" s="95">
        <f>IF((P2468-Q2468)=1,N2468,IF((P2468-Q2468)=-1,-M2468,0))</f>
        <v/>
      </c>
      <c r="U2468" s="101">
        <f>IF(AND(H2468=1,LedAcct&lt;&gt;""),IF(AND(E2468&gt;=LedFrom,E2468&lt;=LedTo,OR(I2468=LedAcct,K2468=LedAcct,AND(LedAcct=acctTax,M2468+N2468&lt;&gt;0))),E2468*10000+B2468,""),"")</f>
        <v/>
      </c>
    </row>
    <row r="2469">
      <c r="B2469" s="101" t="n">
        <v>2463</v>
      </c>
      <c r="C2469" s="58" t="inlineStr">
        <is>
          <t>Invoice</t>
        </is>
      </c>
      <c r="D2469" s="58">
        <f>IF(H2469=1,INDEX(ar_No,463)&amp;"","")</f>
        <v/>
      </c>
      <c r="E2469" s="94">
        <f>IF(H2469=1,INDEX(ar_Date,463),"")</f>
        <v/>
      </c>
      <c r="F2469" s="58">
        <f>IF(H2469=1,INDEX(ar_Desc,463)&amp;"","")</f>
        <v/>
      </c>
      <c r="G2469" s="58">
        <f>IF(H2469=1,INDEX(ar_Party,463)&amp;"","")</f>
        <v/>
      </c>
      <c r="H2469" s="101">
        <f>IFERROR(N(INDEX(ar_Posted,463)),0)</f>
        <v/>
      </c>
      <c r="I2469" s="58">
        <f>IF(H2469=1,INDEX(ar_DrAcct,463)&amp;"","")</f>
        <v/>
      </c>
      <c r="J2469" s="95">
        <f>IF(H2469=1,INDEX(ar_DrAmt,463),0)</f>
        <v/>
      </c>
      <c r="K2469" s="58">
        <f>IF(H2469=1,INDEX(ar_CrAcct,463)&amp;"","")</f>
        <v/>
      </c>
      <c r="L2469" s="95">
        <f>IF(H2469=1,INDEX(ar_CrAmt,463),0)</f>
        <v/>
      </c>
      <c r="M2469" s="95" t="n">
        <v>0</v>
      </c>
      <c r="N2469" s="95">
        <f>IF(H2469=1,INDEX(ar_TaxAmt,463),0)</f>
        <v/>
      </c>
      <c r="O2469" s="101">
        <f>IF(H2469=1,IF(E2469&lt;FYStart,0,IF(E2469&gt;FYEnd,13,YEAR(E2469)*12+MONTH(E2469)-FYYM+1)),"")</f>
        <v/>
      </c>
      <c r="P2469" s="101">
        <f>IF(H2469=1,IF(IFERROR(INDEX(coa_CF,MATCH(I2469,coa_Name,0)),"")="Cash",1,0),0)</f>
        <v/>
      </c>
      <c r="Q2469" s="101">
        <f>IF(H2469=1,IF(IFERROR(INDEX(coa_CF,MATCH(K2469,coa_Name,0)),"")="Cash",1,0),0)</f>
        <v/>
      </c>
      <c r="R2469" s="58">
        <f>IF((P2469-Q2469)=0,"",IFERROR(INDEX(coa_CF,MATCH(IF((P2469-Q2469)=1,K2469,I2469),coa_Name,0)),"Operating"))</f>
        <v/>
      </c>
      <c r="S2469" s="95">
        <f>IF((P2469-Q2469)=1,L2469,IF((P2469-Q2469)=-1,-J2469,0))</f>
        <v/>
      </c>
      <c r="T2469" s="95">
        <f>IF((P2469-Q2469)=1,N2469,IF((P2469-Q2469)=-1,-M2469,0))</f>
        <v/>
      </c>
      <c r="U2469" s="101">
        <f>IF(AND(H2469=1,LedAcct&lt;&gt;""),IF(AND(E2469&gt;=LedFrom,E2469&lt;=LedTo,OR(I2469=LedAcct,K2469=LedAcct,AND(LedAcct=acctTax,M2469+N2469&lt;&gt;0))),E2469*10000+B2469,""),"")</f>
        <v/>
      </c>
    </row>
    <row r="2470">
      <c r="B2470" s="101" t="n">
        <v>2464</v>
      </c>
      <c r="C2470" s="58" t="inlineStr">
        <is>
          <t>Invoice</t>
        </is>
      </c>
      <c r="D2470" s="58">
        <f>IF(H2470=1,INDEX(ar_No,464)&amp;"","")</f>
        <v/>
      </c>
      <c r="E2470" s="94">
        <f>IF(H2470=1,INDEX(ar_Date,464),"")</f>
        <v/>
      </c>
      <c r="F2470" s="58">
        <f>IF(H2470=1,INDEX(ar_Desc,464)&amp;"","")</f>
        <v/>
      </c>
      <c r="G2470" s="58">
        <f>IF(H2470=1,INDEX(ar_Party,464)&amp;"","")</f>
        <v/>
      </c>
      <c r="H2470" s="101">
        <f>IFERROR(N(INDEX(ar_Posted,464)),0)</f>
        <v/>
      </c>
      <c r="I2470" s="58">
        <f>IF(H2470=1,INDEX(ar_DrAcct,464)&amp;"","")</f>
        <v/>
      </c>
      <c r="J2470" s="95">
        <f>IF(H2470=1,INDEX(ar_DrAmt,464),0)</f>
        <v/>
      </c>
      <c r="K2470" s="58">
        <f>IF(H2470=1,INDEX(ar_CrAcct,464)&amp;"","")</f>
        <v/>
      </c>
      <c r="L2470" s="95">
        <f>IF(H2470=1,INDEX(ar_CrAmt,464),0)</f>
        <v/>
      </c>
      <c r="M2470" s="95" t="n">
        <v>0</v>
      </c>
      <c r="N2470" s="95">
        <f>IF(H2470=1,INDEX(ar_TaxAmt,464),0)</f>
        <v/>
      </c>
      <c r="O2470" s="101">
        <f>IF(H2470=1,IF(E2470&lt;FYStart,0,IF(E2470&gt;FYEnd,13,YEAR(E2470)*12+MONTH(E2470)-FYYM+1)),"")</f>
        <v/>
      </c>
      <c r="P2470" s="101">
        <f>IF(H2470=1,IF(IFERROR(INDEX(coa_CF,MATCH(I2470,coa_Name,0)),"")="Cash",1,0),0)</f>
        <v/>
      </c>
      <c r="Q2470" s="101">
        <f>IF(H2470=1,IF(IFERROR(INDEX(coa_CF,MATCH(K2470,coa_Name,0)),"")="Cash",1,0),0)</f>
        <v/>
      </c>
      <c r="R2470" s="58">
        <f>IF((P2470-Q2470)=0,"",IFERROR(INDEX(coa_CF,MATCH(IF((P2470-Q2470)=1,K2470,I2470),coa_Name,0)),"Operating"))</f>
        <v/>
      </c>
      <c r="S2470" s="95">
        <f>IF((P2470-Q2470)=1,L2470,IF((P2470-Q2470)=-1,-J2470,0))</f>
        <v/>
      </c>
      <c r="T2470" s="95">
        <f>IF((P2470-Q2470)=1,N2470,IF((P2470-Q2470)=-1,-M2470,0))</f>
        <v/>
      </c>
      <c r="U2470" s="101">
        <f>IF(AND(H2470=1,LedAcct&lt;&gt;""),IF(AND(E2470&gt;=LedFrom,E2470&lt;=LedTo,OR(I2470=LedAcct,K2470=LedAcct,AND(LedAcct=acctTax,M2470+N2470&lt;&gt;0))),E2470*10000+B2470,""),"")</f>
        <v/>
      </c>
    </row>
    <row r="2471">
      <c r="B2471" s="101" t="n">
        <v>2465</v>
      </c>
      <c r="C2471" s="58" t="inlineStr">
        <is>
          <t>Invoice</t>
        </is>
      </c>
      <c r="D2471" s="58">
        <f>IF(H2471=1,INDEX(ar_No,465)&amp;"","")</f>
        <v/>
      </c>
      <c r="E2471" s="94">
        <f>IF(H2471=1,INDEX(ar_Date,465),"")</f>
        <v/>
      </c>
      <c r="F2471" s="58">
        <f>IF(H2471=1,INDEX(ar_Desc,465)&amp;"","")</f>
        <v/>
      </c>
      <c r="G2471" s="58">
        <f>IF(H2471=1,INDEX(ar_Party,465)&amp;"","")</f>
        <v/>
      </c>
      <c r="H2471" s="101">
        <f>IFERROR(N(INDEX(ar_Posted,465)),0)</f>
        <v/>
      </c>
      <c r="I2471" s="58">
        <f>IF(H2471=1,INDEX(ar_DrAcct,465)&amp;"","")</f>
        <v/>
      </c>
      <c r="J2471" s="95">
        <f>IF(H2471=1,INDEX(ar_DrAmt,465),0)</f>
        <v/>
      </c>
      <c r="K2471" s="58">
        <f>IF(H2471=1,INDEX(ar_CrAcct,465)&amp;"","")</f>
        <v/>
      </c>
      <c r="L2471" s="95">
        <f>IF(H2471=1,INDEX(ar_CrAmt,465),0)</f>
        <v/>
      </c>
      <c r="M2471" s="95" t="n">
        <v>0</v>
      </c>
      <c r="N2471" s="95">
        <f>IF(H2471=1,INDEX(ar_TaxAmt,465),0)</f>
        <v/>
      </c>
      <c r="O2471" s="101">
        <f>IF(H2471=1,IF(E2471&lt;FYStart,0,IF(E2471&gt;FYEnd,13,YEAR(E2471)*12+MONTH(E2471)-FYYM+1)),"")</f>
        <v/>
      </c>
      <c r="P2471" s="101">
        <f>IF(H2471=1,IF(IFERROR(INDEX(coa_CF,MATCH(I2471,coa_Name,0)),"")="Cash",1,0),0)</f>
        <v/>
      </c>
      <c r="Q2471" s="101">
        <f>IF(H2471=1,IF(IFERROR(INDEX(coa_CF,MATCH(K2471,coa_Name,0)),"")="Cash",1,0),0)</f>
        <v/>
      </c>
      <c r="R2471" s="58">
        <f>IF((P2471-Q2471)=0,"",IFERROR(INDEX(coa_CF,MATCH(IF((P2471-Q2471)=1,K2471,I2471),coa_Name,0)),"Operating"))</f>
        <v/>
      </c>
      <c r="S2471" s="95">
        <f>IF((P2471-Q2471)=1,L2471,IF((P2471-Q2471)=-1,-J2471,0))</f>
        <v/>
      </c>
      <c r="T2471" s="95">
        <f>IF((P2471-Q2471)=1,N2471,IF((P2471-Q2471)=-1,-M2471,0))</f>
        <v/>
      </c>
      <c r="U2471" s="101">
        <f>IF(AND(H2471=1,LedAcct&lt;&gt;""),IF(AND(E2471&gt;=LedFrom,E2471&lt;=LedTo,OR(I2471=LedAcct,K2471=LedAcct,AND(LedAcct=acctTax,M2471+N2471&lt;&gt;0))),E2471*10000+B2471,""),"")</f>
        <v/>
      </c>
    </row>
    <row r="2472">
      <c r="B2472" s="101" t="n">
        <v>2466</v>
      </c>
      <c r="C2472" s="58" t="inlineStr">
        <is>
          <t>Invoice</t>
        </is>
      </c>
      <c r="D2472" s="58">
        <f>IF(H2472=1,INDEX(ar_No,466)&amp;"","")</f>
        <v/>
      </c>
      <c r="E2472" s="94">
        <f>IF(H2472=1,INDEX(ar_Date,466),"")</f>
        <v/>
      </c>
      <c r="F2472" s="58">
        <f>IF(H2472=1,INDEX(ar_Desc,466)&amp;"","")</f>
        <v/>
      </c>
      <c r="G2472" s="58">
        <f>IF(H2472=1,INDEX(ar_Party,466)&amp;"","")</f>
        <v/>
      </c>
      <c r="H2472" s="101">
        <f>IFERROR(N(INDEX(ar_Posted,466)),0)</f>
        <v/>
      </c>
      <c r="I2472" s="58">
        <f>IF(H2472=1,INDEX(ar_DrAcct,466)&amp;"","")</f>
        <v/>
      </c>
      <c r="J2472" s="95">
        <f>IF(H2472=1,INDEX(ar_DrAmt,466),0)</f>
        <v/>
      </c>
      <c r="K2472" s="58">
        <f>IF(H2472=1,INDEX(ar_CrAcct,466)&amp;"","")</f>
        <v/>
      </c>
      <c r="L2472" s="95">
        <f>IF(H2472=1,INDEX(ar_CrAmt,466),0)</f>
        <v/>
      </c>
      <c r="M2472" s="95" t="n">
        <v>0</v>
      </c>
      <c r="N2472" s="95">
        <f>IF(H2472=1,INDEX(ar_TaxAmt,466),0)</f>
        <v/>
      </c>
      <c r="O2472" s="101">
        <f>IF(H2472=1,IF(E2472&lt;FYStart,0,IF(E2472&gt;FYEnd,13,YEAR(E2472)*12+MONTH(E2472)-FYYM+1)),"")</f>
        <v/>
      </c>
      <c r="P2472" s="101">
        <f>IF(H2472=1,IF(IFERROR(INDEX(coa_CF,MATCH(I2472,coa_Name,0)),"")="Cash",1,0),0)</f>
        <v/>
      </c>
      <c r="Q2472" s="101">
        <f>IF(H2472=1,IF(IFERROR(INDEX(coa_CF,MATCH(K2472,coa_Name,0)),"")="Cash",1,0),0)</f>
        <v/>
      </c>
      <c r="R2472" s="58">
        <f>IF((P2472-Q2472)=0,"",IFERROR(INDEX(coa_CF,MATCH(IF((P2472-Q2472)=1,K2472,I2472),coa_Name,0)),"Operating"))</f>
        <v/>
      </c>
      <c r="S2472" s="95">
        <f>IF((P2472-Q2472)=1,L2472,IF((P2472-Q2472)=-1,-J2472,0))</f>
        <v/>
      </c>
      <c r="T2472" s="95">
        <f>IF((P2472-Q2472)=1,N2472,IF((P2472-Q2472)=-1,-M2472,0))</f>
        <v/>
      </c>
      <c r="U2472" s="101">
        <f>IF(AND(H2472=1,LedAcct&lt;&gt;""),IF(AND(E2472&gt;=LedFrom,E2472&lt;=LedTo,OR(I2472=LedAcct,K2472=LedAcct,AND(LedAcct=acctTax,M2472+N2472&lt;&gt;0))),E2472*10000+B2472,""),"")</f>
        <v/>
      </c>
    </row>
    <row r="2473">
      <c r="B2473" s="101" t="n">
        <v>2467</v>
      </c>
      <c r="C2473" s="58" t="inlineStr">
        <is>
          <t>Invoice</t>
        </is>
      </c>
      <c r="D2473" s="58">
        <f>IF(H2473=1,INDEX(ar_No,467)&amp;"","")</f>
        <v/>
      </c>
      <c r="E2473" s="94">
        <f>IF(H2473=1,INDEX(ar_Date,467),"")</f>
        <v/>
      </c>
      <c r="F2473" s="58">
        <f>IF(H2473=1,INDEX(ar_Desc,467)&amp;"","")</f>
        <v/>
      </c>
      <c r="G2473" s="58">
        <f>IF(H2473=1,INDEX(ar_Party,467)&amp;"","")</f>
        <v/>
      </c>
      <c r="H2473" s="101">
        <f>IFERROR(N(INDEX(ar_Posted,467)),0)</f>
        <v/>
      </c>
      <c r="I2473" s="58">
        <f>IF(H2473=1,INDEX(ar_DrAcct,467)&amp;"","")</f>
        <v/>
      </c>
      <c r="J2473" s="95">
        <f>IF(H2473=1,INDEX(ar_DrAmt,467),0)</f>
        <v/>
      </c>
      <c r="K2473" s="58">
        <f>IF(H2473=1,INDEX(ar_CrAcct,467)&amp;"","")</f>
        <v/>
      </c>
      <c r="L2473" s="95">
        <f>IF(H2473=1,INDEX(ar_CrAmt,467),0)</f>
        <v/>
      </c>
      <c r="M2473" s="95" t="n">
        <v>0</v>
      </c>
      <c r="N2473" s="95">
        <f>IF(H2473=1,INDEX(ar_TaxAmt,467),0)</f>
        <v/>
      </c>
      <c r="O2473" s="101">
        <f>IF(H2473=1,IF(E2473&lt;FYStart,0,IF(E2473&gt;FYEnd,13,YEAR(E2473)*12+MONTH(E2473)-FYYM+1)),"")</f>
        <v/>
      </c>
      <c r="P2473" s="101">
        <f>IF(H2473=1,IF(IFERROR(INDEX(coa_CF,MATCH(I2473,coa_Name,0)),"")="Cash",1,0),0)</f>
        <v/>
      </c>
      <c r="Q2473" s="101">
        <f>IF(H2473=1,IF(IFERROR(INDEX(coa_CF,MATCH(K2473,coa_Name,0)),"")="Cash",1,0),0)</f>
        <v/>
      </c>
      <c r="R2473" s="58">
        <f>IF((P2473-Q2473)=0,"",IFERROR(INDEX(coa_CF,MATCH(IF((P2473-Q2473)=1,K2473,I2473),coa_Name,0)),"Operating"))</f>
        <v/>
      </c>
      <c r="S2473" s="95">
        <f>IF((P2473-Q2473)=1,L2473,IF((P2473-Q2473)=-1,-J2473,0))</f>
        <v/>
      </c>
      <c r="T2473" s="95">
        <f>IF((P2473-Q2473)=1,N2473,IF((P2473-Q2473)=-1,-M2473,0))</f>
        <v/>
      </c>
      <c r="U2473" s="101">
        <f>IF(AND(H2473=1,LedAcct&lt;&gt;""),IF(AND(E2473&gt;=LedFrom,E2473&lt;=LedTo,OR(I2473=LedAcct,K2473=LedAcct,AND(LedAcct=acctTax,M2473+N2473&lt;&gt;0))),E2473*10000+B2473,""),"")</f>
        <v/>
      </c>
    </row>
    <row r="2474">
      <c r="B2474" s="101" t="n">
        <v>2468</v>
      </c>
      <c r="C2474" s="58" t="inlineStr">
        <is>
          <t>Invoice</t>
        </is>
      </c>
      <c r="D2474" s="58">
        <f>IF(H2474=1,INDEX(ar_No,468)&amp;"","")</f>
        <v/>
      </c>
      <c r="E2474" s="94">
        <f>IF(H2474=1,INDEX(ar_Date,468),"")</f>
        <v/>
      </c>
      <c r="F2474" s="58">
        <f>IF(H2474=1,INDEX(ar_Desc,468)&amp;"","")</f>
        <v/>
      </c>
      <c r="G2474" s="58">
        <f>IF(H2474=1,INDEX(ar_Party,468)&amp;"","")</f>
        <v/>
      </c>
      <c r="H2474" s="101">
        <f>IFERROR(N(INDEX(ar_Posted,468)),0)</f>
        <v/>
      </c>
      <c r="I2474" s="58">
        <f>IF(H2474=1,INDEX(ar_DrAcct,468)&amp;"","")</f>
        <v/>
      </c>
      <c r="J2474" s="95">
        <f>IF(H2474=1,INDEX(ar_DrAmt,468),0)</f>
        <v/>
      </c>
      <c r="K2474" s="58">
        <f>IF(H2474=1,INDEX(ar_CrAcct,468)&amp;"","")</f>
        <v/>
      </c>
      <c r="L2474" s="95">
        <f>IF(H2474=1,INDEX(ar_CrAmt,468),0)</f>
        <v/>
      </c>
      <c r="M2474" s="95" t="n">
        <v>0</v>
      </c>
      <c r="N2474" s="95">
        <f>IF(H2474=1,INDEX(ar_TaxAmt,468),0)</f>
        <v/>
      </c>
      <c r="O2474" s="101">
        <f>IF(H2474=1,IF(E2474&lt;FYStart,0,IF(E2474&gt;FYEnd,13,YEAR(E2474)*12+MONTH(E2474)-FYYM+1)),"")</f>
        <v/>
      </c>
      <c r="P2474" s="101">
        <f>IF(H2474=1,IF(IFERROR(INDEX(coa_CF,MATCH(I2474,coa_Name,0)),"")="Cash",1,0),0)</f>
        <v/>
      </c>
      <c r="Q2474" s="101">
        <f>IF(H2474=1,IF(IFERROR(INDEX(coa_CF,MATCH(K2474,coa_Name,0)),"")="Cash",1,0),0)</f>
        <v/>
      </c>
      <c r="R2474" s="58">
        <f>IF((P2474-Q2474)=0,"",IFERROR(INDEX(coa_CF,MATCH(IF((P2474-Q2474)=1,K2474,I2474),coa_Name,0)),"Operating"))</f>
        <v/>
      </c>
      <c r="S2474" s="95">
        <f>IF((P2474-Q2474)=1,L2474,IF((P2474-Q2474)=-1,-J2474,0))</f>
        <v/>
      </c>
      <c r="T2474" s="95">
        <f>IF((P2474-Q2474)=1,N2474,IF((P2474-Q2474)=-1,-M2474,0))</f>
        <v/>
      </c>
      <c r="U2474" s="101">
        <f>IF(AND(H2474=1,LedAcct&lt;&gt;""),IF(AND(E2474&gt;=LedFrom,E2474&lt;=LedTo,OR(I2474=LedAcct,K2474=LedAcct,AND(LedAcct=acctTax,M2474+N2474&lt;&gt;0))),E2474*10000+B2474,""),"")</f>
        <v/>
      </c>
    </row>
    <row r="2475">
      <c r="B2475" s="101" t="n">
        <v>2469</v>
      </c>
      <c r="C2475" s="58" t="inlineStr">
        <is>
          <t>Invoice</t>
        </is>
      </c>
      <c r="D2475" s="58">
        <f>IF(H2475=1,INDEX(ar_No,469)&amp;"","")</f>
        <v/>
      </c>
      <c r="E2475" s="94">
        <f>IF(H2475=1,INDEX(ar_Date,469),"")</f>
        <v/>
      </c>
      <c r="F2475" s="58">
        <f>IF(H2475=1,INDEX(ar_Desc,469)&amp;"","")</f>
        <v/>
      </c>
      <c r="G2475" s="58">
        <f>IF(H2475=1,INDEX(ar_Party,469)&amp;"","")</f>
        <v/>
      </c>
      <c r="H2475" s="101">
        <f>IFERROR(N(INDEX(ar_Posted,469)),0)</f>
        <v/>
      </c>
      <c r="I2475" s="58">
        <f>IF(H2475=1,INDEX(ar_DrAcct,469)&amp;"","")</f>
        <v/>
      </c>
      <c r="J2475" s="95">
        <f>IF(H2475=1,INDEX(ar_DrAmt,469),0)</f>
        <v/>
      </c>
      <c r="K2475" s="58">
        <f>IF(H2475=1,INDEX(ar_CrAcct,469)&amp;"","")</f>
        <v/>
      </c>
      <c r="L2475" s="95">
        <f>IF(H2475=1,INDEX(ar_CrAmt,469),0)</f>
        <v/>
      </c>
      <c r="M2475" s="95" t="n">
        <v>0</v>
      </c>
      <c r="N2475" s="95">
        <f>IF(H2475=1,INDEX(ar_TaxAmt,469),0)</f>
        <v/>
      </c>
      <c r="O2475" s="101">
        <f>IF(H2475=1,IF(E2475&lt;FYStart,0,IF(E2475&gt;FYEnd,13,YEAR(E2475)*12+MONTH(E2475)-FYYM+1)),"")</f>
        <v/>
      </c>
      <c r="P2475" s="101">
        <f>IF(H2475=1,IF(IFERROR(INDEX(coa_CF,MATCH(I2475,coa_Name,0)),"")="Cash",1,0),0)</f>
        <v/>
      </c>
      <c r="Q2475" s="101">
        <f>IF(H2475=1,IF(IFERROR(INDEX(coa_CF,MATCH(K2475,coa_Name,0)),"")="Cash",1,0),0)</f>
        <v/>
      </c>
      <c r="R2475" s="58">
        <f>IF((P2475-Q2475)=0,"",IFERROR(INDEX(coa_CF,MATCH(IF((P2475-Q2475)=1,K2475,I2475),coa_Name,0)),"Operating"))</f>
        <v/>
      </c>
      <c r="S2475" s="95">
        <f>IF((P2475-Q2475)=1,L2475,IF((P2475-Q2475)=-1,-J2475,0))</f>
        <v/>
      </c>
      <c r="T2475" s="95">
        <f>IF((P2475-Q2475)=1,N2475,IF((P2475-Q2475)=-1,-M2475,0))</f>
        <v/>
      </c>
      <c r="U2475" s="101">
        <f>IF(AND(H2475=1,LedAcct&lt;&gt;""),IF(AND(E2475&gt;=LedFrom,E2475&lt;=LedTo,OR(I2475=LedAcct,K2475=LedAcct,AND(LedAcct=acctTax,M2475+N2475&lt;&gt;0))),E2475*10000+B2475,""),"")</f>
        <v/>
      </c>
    </row>
    <row r="2476">
      <c r="B2476" s="101" t="n">
        <v>2470</v>
      </c>
      <c r="C2476" s="58" t="inlineStr">
        <is>
          <t>Invoice</t>
        </is>
      </c>
      <c r="D2476" s="58">
        <f>IF(H2476=1,INDEX(ar_No,470)&amp;"","")</f>
        <v/>
      </c>
      <c r="E2476" s="94">
        <f>IF(H2476=1,INDEX(ar_Date,470),"")</f>
        <v/>
      </c>
      <c r="F2476" s="58">
        <f>IF(H2476=1,INDEX(ar_Desc,470)&amp;"","")</f>
        <v/>
      </c>
      <c r="G2476" s="58">
        <f>IF(H2476=1,INDEX(ar_Party,470)&amp;"","")</f>
        <v/>
      </c>
      <c r="H2476" s="101">
        <f>IFERROR(N(INDEX(ar_Posted,470)),0)</f>
        <v/>
      </c>
      <c r="I2476" s="58">
        <f>IF(H2476=1,INDEX(ar_DrAcct,470)&amp;"","")</f>
        <v/>
      </c>
      <c r="J2476" s="95">
        <f>IF(H2476=1,INDEX(ar_DrAmt,470),0)</f>
        <v/>
      </c>
      <c r="K2476" s="58">
        <f>IF(H2476=1,INDEX(ar_CrAcct,470)&amp;"","")</f>
        <v/>
      </c>
      <c r="L2476" s="95">
        <f>IF(H2476=1,INDEX(ar_CrAmt,470),0)</f>
        <v/>
      </c>
      <c r="M2476" s="95" t="n">
        <v>0</v>
      </c>
      <c r="N2476" s="95">
        <f>IF(H2476=1,INDEX(ar_TaxAmt,470),0)</f>
        <v/>
      </c>
      <c r="O2476" s="101">
        <f>IF(H2476=1,IF(E2476&lt;FYStart,0,IF(E2476&gt;FYEnd,13,YEAR(E2476)*12+MONTH(E2476)-FYYM+1)),"")</f>
        <v/>
      </c>
      <c r="P2476" s="101">
        <f>IF(H2476=1,IF(IFERROR(INDEX(coa_CF,MATCH(I2476,coa_Name,0)),"")="Cash",1,0),0)</f>
        <v/>
      </c>
      <c r="Q2476" s="101">
        <f>IF(H2476=1,IF(IFERROR(INDEX(coa_CF,MATCH(K2476,coa_Name,0)),"")="Cash",1,0),0)</f>
        <v/>
      </c>
      <c r="R2476" s="58">
        <f>IF((P2476-Q2476)=0,"",IFERROR(INDEX(coa_CF,MATCH(IF((P2476-Q2476)=1,K2476,I2476),coa_Name,0)),"Operating"))</f>
        <v/>
      </c>
      <c r="S2476" s="95">
        <f>IF((P2476-Q2476)=1,L2476,IF((P2476-Q2476)=-1,-J2476,0))</f>
        <v/>
      </c>
      <c r="T2476" s="95">
        <f>IF((P2476-Q2476)=1,N2476,IF((P2476-Q2476)=-1,-M2476,0))</f>
        <v/>
      </c>
      <c r="U2476" s="101">
        <f>IF(AND(H2476=1,LedAcct&lt;&gt;""),IF(AND(E2476&gt;=LedFrom,E2476&lt;=LedTo,OR(I2476=LedAcct,K2476=LedAcct,AND(LedAcct=acctTax,M2476+N2476&lt;&gt;0))),E2476*10000+B2476,""),"")</f>
        <v/>
      </c>
    </row>
    <row r="2477">
      <c r="B2477" s="101" t="n">
        <v>2471</v>
      </c>
      <c r="C2477" s="58" t="inlineStr">
        <is>
          <t>Invoice</t>
        </is>
      </c>
      <c r="D2477" s="58">
        <f>IF(H2477=1,INDEX(ar_No,471)&amp;"","")</f>
        <v/>
      </c>
      <c r="E2477" s="94">
        <f>IF(H2477=1,INDEX(ar_Date,471),"")</f>
        <v/>
      </c>
      <c r="F2477" s="58">
        <f>IF(H2477=1,INDEX(ar_Desc,471)&amp;"","")</f>
        <v/>
      </c>
      <c r="G2477" s="58">
        <f>IF(H2477=1,INDEX(ar_Party,471)&amp;"","")</f>
        <v/>
      </c>
      <c r="H2477" s="101">
        <f>IFERROR(N(INDEX(ar_Posted,471)),0)</f>
        <v/>
      </c>
      <c r="I2477" s="58">
        <f>IF(H2477=1,INDEX(ar_DrAcct,471)&amp;"","")</f>
        <v/>
      </c>
      <c r="J2477" s="95">
        <f>IF(H2477=1,INDEX(ar_DrAmt,471),0)</f>
        <v/>
      </c>
      <c r="K2477" s="58">
        <f>IF(H2477=1,INDEX(ar_CrAcct,471)&amp;"","")</f>
        <v/>
      </c>
      <c r="L2477" s="95">
        <f>IF(H2477=1,INDEX(ar_CrAmt,471),0)</f>
        <v/>
      </c>
      <c r="M2477" s="95" t="n">
        <v>0</v>
      </c>
      <c r="N2477" s="95">
        <f>IF(H2477=1,INDEX(ar_TaxAmt,471),0)</f>
        <v/>
      </c>
      <c r="O2477" s="101">
        <f>IF(H2477=1,IF(E2477&lt;FYStart,0,IF(E2477&gt;FYEnd,13,YEAR(E2477)*12+MONTH(E2477)-FYYM+1)),"")</f>
        <v/>
      </c>
      <c r="P2477" s="101">
        <f>IF(H2477=1,IF(IFERROR(INDEX(coa_CF,MATCH(I2477,coa_Name,0)),"")="Cash",1,0),0)</f>
        <v/>
      </c>
      <c r="Q2477" s="101">
        <f>IF(H2477=1,IF(IFERROR(INDEX(coa_CF,MATCH(K2477,coa_Name,0)),"")="Cash",1,0),0)</f>
        <v/>
      </c>
      <c r="R2477" s="58">
        <f>IF((P2477-Q2477)=0,"",IFERROR(INDEX(coa_CF,MATCH(IF((P2477-Q2477)=1,K2477,I2477),coa_Name,0)),"Operating"))</f>
        <v/>
      </c>
      <c r="S2477" s="95">
        <f>IF((P2477-Q2477)=1,L2477,IF((P2477-Q2477)=-1,-J2477,0))</f>
        <v/>
      </c>
      <c r="T2477" s="95">
        <f>IF((P2477-Q2477)=1,N2477,IF((P2477-Q2477)=-1,-M2477,0))</f>
        <v/>
      </c>
      <c r="U2477" s="101">
        <f>IF(AND(H2477=1,LedAcct&lt;&gt;""),IF(AND(E2477&gt;=LedFrom,E2477&lt;=LedTo,OR(I2477=LedAcct,K2477=LedAcct,AND(LedAcct=acctTax,M2477+N2477&lt;&gt;0))),E2477*10000+B2477,""),"")</f>
        <v/>
      </c>
    </row>
    <row r="2478">
      <c r="B2478" s="101" t="n">
        <v>2472</v>
      </c>
      <c r="C2478" s="58" t="inlineStr">
        <is>
          <t>Invoice</t>
        </is>
      </c>
      <c r="D2478" s="58">
        <f>IF(H2478=1,INDEX(ar_No,472)&amp;"","")</f>
        <v/>
      </c>
      <c r="E2478" s="94">
        <f>IF(H2478=1,INDEX(ar_Date,472),"")</f>
        <v/>
      </c>
      <c r="F2478" s="58">
        <f>IF(H2478=1,INDEX(ar_Desc,472)&amp;"","")</f>
        <v/>
      </c>
      <c r="G2478" s="58">
        <f>IF(H2478=1,INDEX(ar_Party,472)&amp;"","")</f>
        <v/>
      </c>
      <c r="H2478" s="101">
        <f>IFERROR(N(INDEX(ar_Posted,472)),0)</f>
        <v/>
      </c>
      <c r="I2478" s="58">
        <f>IF(H2478=1,INDEX(ar_DrAcct,472)&amp;"","")</f>
        <v/>
      </c>
      <c r="J2478" s="95">
        <f>IF(H2478=1,INDEX(ar_DrAmt,472),0)</f>
        <v/>
      </c>
      <c r="K2478" s="58">
        <f>IF(H2478=1,INDEX(ar_CrAcct,472)&amp;"","")</f>
        <v/>
      </c>
      <c r="L2478" s="95">
        <f>IF(H2478=1,INDEX(ar_CrAmt,472),0)</f>
        <v/>
      </c>
      <c r="M2478" s="95" t="n">
        <v>0</v>
      </c>
      <c r="N2478" s="95">
        <f>IF(H2478=1,INDEX(ar_TaxAmt,472),0)</f>
        <v/>
      </c>
      <c r="O2478" s="101">
        <f>IF(H2478=1,IF(E2478&lt;FYStart,0,IF(E2478&gt;FYEnd,13,YEAR(E2478)*12+MONTH(E2478)-FYYM+1)),"")</f>
        <v/>
      </c>
      <c r="P2478" s="101">
        <f>IF(H2478=1,IF(IFERROR(INDEX(coa_CF,MATCH(I2478,coa_Name,0)),"")="Cash",1,0),0)</f>
        <v/>
      </c>
      <c r="Q2478" s="101">
        <f>IF(H2478=1,IF(IFERROR(INDEX(coa_CF,MATCH(K2478,coa_Name,0)),"")="Cash",1,0),0)</f>
        <v/>
      </c>
      <c r="R2478" s="58">
        <f>IF((P2478-Q2478)=0,"",IFERROR(INDEX(coa_CF,MATCH(IF((P2478-Q2478)=1,K2478,I2478),coa_Name,0)),"Operating"))</f>
        <v/>
      </c>
      <c r="S2478" s="95">
        <f>IF((P2478-Q2478)=1,L2478,IF((P2478-Q2478)=-1,-J2478,0))</f>
        <v/>
      </c>
      <c r="T2478" s="95">
        <f>IF((P2478-Q2478)=1,N2478,IF((P2478-Q2478)=-1,-M2478,0))</f>
        <v/>
      </c>
      <c r="U2478" s="101">
        <f>IF(AND(H2478=1,LedAcct&lt;&gt;""),IF(AND(E2478&gt;=LedFrom,E2478&lt;=LedTo,OR(I2478=LedAcct,K2478=LedAcct,AND(LedAcct=acctTax,M2478+N2478&lt;&gt;0))),E2478*10000+B2478,""),"")</f>
        <v/>
      </c>
    </row>
    <row r="2479">
      <c r="B2479" s="101" t="n">
        <v>2473</v>
      </c>
      <c r="C2479" s="58" t="inlineStr">
        <is>
          <t>Invoice</t>
        </is>
      </c>
      <c r="D2479" s="58">
        <f>IF(H2479=1,INDEX(ar_No,473)&amp;"","")</f>
        <v/>
      </c>
      <c r="E2479" s="94">
        <f>IF(H2479=1,INDEX(ar_Date,473),"")</f>
        <v/>
      </c>
      <c r="F2479" s="58">
        <f>IF(H2479=1,INDEX(ar_Desc,473)&amp;"","")</f>
        <v/>
      </c>
      <c r="G2479" s="58">
        <f>IF(H2479=1,INDEX(ar_Party,473)&amp;"","")</f>
        <v/>
      </c>
      <c r="H2479" s="101">
        <f>IFERROR(N(INDEX(ar_Posted,473)),0)</f>
        <v/>
      </c>
      <c r="I2479" s="58">
        <f>IF(H2479=1,INDEX(ar_DrAcct,473)&amp;"","")</f>
        <v/>
      </c>
      <c r="J2479" s="95">
        <f>IF(H2479=1,INDEX(ar_DrAmt,473),0)</f>
        <v/>
      </c>
      <c r="K2479" s="58">
        <f>IF(H2479=1,INDEX(ar_CrAcct,473)&amp;"","")</f>
        <v/>
      </c>
      <c r="L2479" s="95">
        <f>IF(H2479=1,INDEX(ar_CrAmt,473),0)</f>
        <v/>
      </c>
      <c r="M2479" s="95" t="n">
        <v>0</v>
      </c>
      <c r="N2479" s="95">
        <f>IF(H2479=1,INDEX(ar_TaxAmt,473),0)</f>
        <v/>
      </c>
      <c r="O2479" s="101">
        <f>IF(H2479=1,IF(E2479&lt;FYStart,0,IF(E2479&gt;FYEnd,13,YEAR(E2479)*12+MONTH(E2479)-FYYM+1)),"")</f>
        <v/>
      </c>
      <c r="P2479" s="101">
        <f>IF(H2479=1,IF(IFERROR(INDEX(coa_CF,MATCH(I2479,coa_Name,0)),"")="Cash",1,0),0)</f>
        <v/>
      </c>
      <c r="Q2479" s="101">
        <f>IF(H2479=1,IF(IFERROR(INDEX(coa_CF,MATCH(K2479,coa_Name,0)),"")="Cash",1,0),0)</f>
        <v/>
      </c>
      <c r="R2479" s="58">
        <f>IF((P2479-Q2479)=0,"",IFERROR(INDEX(coa_CF,MATCH(IF((P2479-Q2479)=1,K2479,I2479),coa_Name,0)),"Operating"))</f>
        <v/>
      </c>
      <c r="S2479" s="95">
        <f>IF((P2479-Q2479)=1,L2479,IF((P2479-Q2479)=-1,-J2479,0))</f>
        <v/>
      </c>
      <c r="T2479" s="95">
        <f>IF((P2479-Q2479)=1,N2479,IF((P2479-Q2479)=-1,-M2479,0))</f>
        <v/>
      </c>
      <c r="U2479" s="101">
        <f>IF(AND(H2479=1,LedAcct&lt;&gt;""),IF(AND(E2479&gt;=LedFrom,E2479&lt;=LedTo,OR(I2479=LedAcct,K2479=LedAcct,AND(LedAcct=acctTax,M2479+N2479&lt;&gt;0))),E2479*10000+B2479,""),"")</f>
        <v/>
      </c>
    </row>
    <row r="2480">
      <c r="B2480" s="101" t="n">
        <v>2474</v>
      </c>
      <c r="C2480" s="58" t="inlineStr">
        <is>
          <t>Invoice</t>
        </is>
      </c>
      <c r="D2480" s="58">
        <f>IF(H2480=1,INDEX(ar_No,474)&amp;"","")</f>
        <v/>
      </c>
      <c r="E2480" s="94">
        <f>IF(H2480=1,INDEX(ar_Date,474),"")</f>
        <v/>
      </c>
      <c r="F2480" s="58">
        <f>IF(H2480=1,INDEX(ar_Desc,474)&amp;"","")</f>
        <v/>
      </c>
      <c r="G2480" s="58">
        <f>IF(H2480=1,INDEX(ar_Party,474)&amp;"","")</f>
        <v/>
      </c>
      <c r="H2480" s="101">
        <f>IFERROR(N(INDEX(ar_Posted,474)),0)</f>
        <v/>
      </c>
      <c r="I2480" s="58">
        <f>IF(H2480=1,INDEX(ar_DrAcct,474)&amp;"","")</f>
        <v/>
      </c>
      <c r="J2480" s="95">
        <f>IF(H2480=1,INDEX(ar_DrAmt,474),0)</f>
        <v/>
      </c>
      <c r="K2480" s="58">
        <f>IF(H2480=1,INDEX(ar_CrAcct,474)&amp;"","")</f>
        <v/>
      </c>
      <c r="L2480" s="95">
        <f>IF(H2480=1,INDEX(ar_CrAmt,474),0)</f>
        <v/>
      </c>
      <c r="M2480" s="95" t="n">
        <v>0</v>
      </c>
      <c r="N2480" s="95">
        <f>IF(H2480=1,INDEX(ar_TaxAmt,474),0)</f>
        <v/>
      </c>
      <c r="O2480" s="101">
        <f>IF(H2480=1,IF(E2480&lt;FYStart,0,IF(E2480&gt;FYEnd,13,YEAR(E2480)*12+MONTH(E2480)-FYYM+1)),"")</f>
        <v/>
      </c>
      <c r="P2480" s="101">
        <f>IF(H2480=1,IF(IFERROR(INDEX(coa_CF,MATCH(I2480,coa_Name,0)),"")="Cash",1,0),0)</f>
        <v/>
      </c>
      <c r="Q2480" s="101">
        <f>IF(H2480=1,IF(IFERROR(INDEX(coa_CF,MATCH(K2480,coa_Name,0)),"")="Cash",1,0),0)</f>
        <v/>
      </c>
      <c r="R2480" s="58">
        <f>IF((P2480-Q2480)=0,"",IFERROR(INDEX(coa_CF,MATCH(IF((P2480-Q2480)=1,K2480,I2480),coa_Name,0)),"Operating"))</f>
        <v/>
      </c>
      <c r="S2480" s="95">
        <f>IF((P2480-Q2480)=1,L2480,IF((P2480-Q2480)=-1,-J2480,0))</f>
        <v/>
      </c>
      <c r="T2480" s="95">
        <f>IF((P2480-Q2480)=1,N2480,IF((P2480-Q2480)=-1,-M2480,0))</f>
        <v/>
      </c>
      <c r="U2480" s="101">
        <f>IF(AND(H2480=1,LedAcct&lt;&gt;""),IF(AND(E2480&gt;=LedFrom,E2480&lt;=LedTo,OR(I2480=LedAcct,K2480=LedAcct,AND(LedAcct=acctTax,M2480+N2480&lt;&gt;0))),E2480*10000+B2480,""),"")</f>
        <v/>
      </c>
    </row>
    <row r="2481">
      <c r="B2481" s="101" t="n">
        <v>2475</v>
      </c>
      <c r="C2481" s="58" t="inlineStr">
        <is>
          <t>Invoice</t>
        </is>
      </c>
      <c r="D2481" s="58">
        <f>IF(H2481=1,INDEX(ar_No,475)&amp;"","")</f>
        <v/>
      </c>
      <c r="E2481" s="94">
        <f>IF(H2481=1,INDEX(ar_Date,475),"")</f>
        <v/>
      </c>
      <c r="F2481" s="58">
        <f>IF(H2481=1,INDEX(ar_Desc,475)&amp;"","")</f>
        <v/>
      </c>
      <c r="G2481" s="58">
        <f>IF(H2481=1,INDEX(ar_Party,475)&amp;"","")</f>
        <v/>
      </c>
      <c r="H2481" s="101">
        <f>IFERROR(N(INDEX(ar_Posted,475)),0)</f>
        <v/>
      </c>
      <c r="I2481" s="58">
        <f>IF(H2481=1,INDEX(ar_DrAcct,475)&amp;"","")</f>
        <v/>
      </c>
      <c r="J2481" s="95">
        <f>IF(H2481=1,INDEX(ar_DrAmt,475),0)</f>
        <v/>
      </c>
      <c r="K2481" s="58">
        <f>IF(H2481=1,INDEX(ar_CrAcct,475)&amp;"","")</f>
        <v/>
      </c>
      <c r="L2481" s="95">
        <f>IF(H2481=1,INDEX(ar_CrAmt,475),0)</f>
        <v/>
      </c>
      <c r="M2481" s="95" t="n">
        <v>0</v>
      </c>
      <c r="N2481" s="95">
        <f>IF(H2481=1,INDEX(ar_TaxAmt,475),0)</f>
        <v/>
      </c>
      <c r="O2481" s="101">
        <f>IF(H2481=1,IF(E2481&lt;FYStart,0,IF(E2481&gt;FYEnd,13,YEAR(E2481)*12+MONTH(E2481)-FYYM+1)),"")</f>
        <v/>
      </c>
      <c r="P2481" s="101">
        <f>IF(H2481=1,IF(IFERROR(INDEX(coa_CF,MATCH(I2481,coa_Name,0)),"")="Cash",1,0),0)</f>
        <v/>
      </c>
      <c r="Q2481" s="101">
        <f>IF(H2481=1,IF(IFERROR(INDEX(coa_CF,MATCH(K2481,coa_Name,0)),"")="Cash",1,0),0)</f>
        <v/>
      </c>
      <c r="R2481" s="58">
        <f>IF((P2481-Q2481)=0,"",IFERROR(INDEX(coa_CF,MATCH(IF((P2481-Q2481)=1,K2481,I2481),coa_Name,0)),"Operating"))</f>
        <v/>
      </c>
      <c r="S2481" s="95">
        <f>IF((P2481-Q2481)=1,L2481,IF((P2481-Q2481)=-1,-J2481,0))</f>
        <v/>
      </c>
      <c r="T2481" s="95">
        <f>IF((P2481-Q2481)=1,N2481,IF((P2481-Q2481)=-1,-M2481,0))</f>
        <v/>
      </c>
      <c r="U2481" s="101">
        <f>IF(AND(H2481=1,LedAcct&lt;&gt;""),IF(AND(E2481&gt;=LedFrom,E2481&lt;=LedTo,OR(I2481=LedAcct,K2481=LedAcct,AND(LedAcct=acctTax,M2481+N2481&lt;&gt;0))),E2481*10000+B2481,""),"")</f>
        <v/>
      </c>
    </row>
    <row r="2482">
      <c r="B2482" s="101" t="n">
        <v>2476</v>
      </c>
      <c r="C2482" s="58" t="inlineStr">
        <is>
          <t>Invoice</t>
        </is>
      </c>
      <c r="D2482" s="58">
        <f>IF(H2482=1,INDEX(ar_No,476)&amp;"","")</f>
        <v/>
      </c>
      <c r="E2482" s="94">
        <f>IF(H2482=1,INDEX(ar_Date,476),"")</f>
        <v/>
      </c>
      <c r="F2482" s="58">
        <f>IF(H2482=1,INDEX(ar_Desc,476)&amp;"","")</f>
        <v/>
      </c>
      <c r="G2482" s="58">
        <f>IF(H2482=1,INDEX(ar_Party,476)&amp;"","")</f>
        <v/>
      </c>
      <c r="H2482" s="101">
        <f>IFERROR(N(INDEX(ar_Posted,476)),0)</f>
        <v/>
      </c>
      <c r="I2482" s="58">
        <f>IF(H2482=1,INDEX(ar_DrAcct,476)&amp;"","")</f>
        <v/>
      </c>
      <c r="J2482" s="95">
        <f>IF(H2482=1,INDEX(ar_DrAmt,476),0)</f>
        <v/>
      </c>
      <c r="K2482" s="58">
        <f>IF(H2482=1,INDEX(ar_CrAcct,476)&amp;"","")</f>
        <v/>
      </c>
      <c r="L2482" s="95">
        <f>IF(H2482=1,INDEX(ar_CrAmt,476),0)</f>
        <v/>
      </c>
      <c r="M2482" s="95" t="n">
        <v>0</v>
      </c>
      <c r="N2482" s="95">
        <f>IF(H2482=1,INDEX(ar_TaxAmt,476),0)</f>
        <v/>
      </c>
      <c r="O2482" s="101">
        <f>IF(H2482=1,IF(E2482&lt;FYStart,0,IF(E2482&gt;FYEnd,13,YEAR(E2482)*12+MONTH(E2482)-FYYM+1)),"")</f>
        <v/>
      </c>
      <c r="P2482" s="101">
        <f>IF(H2482=1,IF(IFERROR(INDEX(coa_CF,MATCH(I2482,coa_Name,0)),"")="Cash",1,0),0)</f>
        <v/>
      </c>
      <c r="Q2482" s="101">
        <f>IF(H2482=1,IF(IFERROR(INDEX(coa_CF,MATCH(K2482,coa_Name,0)),"")="Cash",1,0),0)</f>
        <v/>
      </c>
      <c r="R2482" s="58">
        <f>IF((P2482-Q2482)=0,"",IFERROR(INDEX(coa_CF,MATCH(IF((P2482-Q2482)=1,K2482,I2482),coa_Name,0)),"Operating"))</f>
        <v/>
      </c>
      <c r="S2482" s="95">
        <f>IF((P2482-Q2482)=1,L2482,IF((P2482-Q2482)=-1,-J2482,0))</f>
        <v/>
      </c>
      <c r="T2482" s="95">
        <f>IF((P2482-Q2482)=1,N2482,IF((P2482-Q2482)=-1,-M2482,0))</f>
        <v/>
      </c>
      <c r="U2482" s="101">
        <f>IF(AND(H2482=1,LedAcct&lt;&gt;""),IF(AND(E2482&gt;=LedFrom,E2482&lt;=LedTo,OR(I2482=LedAcct,K2482=LedAcct,AND(LedAcct=acctTax,M2482+N2482&lt;&gt;0))),E2482*10000+B2482,""),"")</f>
        <v/>
      </c>
    </row>
    <row r="2483">
      <c r="B2483" s="101" t="n">
        <v>2477</v>
      </c>
      <c r="C2483" s="58" t="inlineStr">
        <is>
          <t>Invoice</t>
        </is>
      </c>
      <c r="D2483" s="58">
        <f>IF(H2483=1,INDEX(ar_No,477)&amp;"","")</f>
        <v/>
      </c>
      <c r="E2483" s="94">
        <f>IF(H2483=1,INDEX(ar_Date,477),"")</f>
        <v/>
      </c>
      <c r="F2483" s="58">
        <f>IF(H2483=1,INDEX(ar_Desc,477)&amp;"","")</f>
        <v/>
      </c>
      <c r="G2483" s="58">
        <f>IF(H2483=1,INDEX(ar_Party,477)&amp;"","")</f>
        <v/>
      </c>
      <c r="H2483" s="101">
        <f>IFERROR(N(INDEX(ar_Posted,477)),0)</f>
        <v/>
      </c>
      <c r="I2483" s="58">
        <f>IF(H2483=1,INDEX(ar_DrAcct,477)&amp;"","")</f>
        <v/>
      </c>
      <c r="J2483" s="95">
        <f>IF(H2483=1,INDEX(ar_DrAmt,477),0)</f>
        <v/>
      </c>
      <c r="K2483" s="58">
        <f>IF(H2483=1,INDEX(ar_CrAcct,477)&amp;"","")</f>
        <v/>
      </c>
      <c r="L2483" s="95">
        <f>IF(H2483=1,INDEX(ar_CrAmt,477),0)</f>
        <v/>
      </c>
      <c r="M2483" s="95" t="n">
        <v>0</v>
      </c>
      <c r="N2483" s="95">
        <f>IF(H2483=1,INDEX(ar_TaxAmt,477),0)</f>
        <v/>
      </c>
      <c r="O2483" s="101">
        <f>IF(H2483=1,IF(E2483&lt;FYStart,0,IF(E2483&gt;FYEnd,13,YEAR(E2483)*12+MONTH(E2483)-FYYM+1)),"")</f>
        <v/>
      </c>
      <c r="P2483" s="101">
        <f>IF(H2483=1,IF(IFERROR(INDEX(coa_CF,MATCH(I2483,coa_Name,0)),"")="Cash",1,0),0)</f>
        <v/>
      </c>
      <c r="Q2483" s="101">
        <f>IF(H2483=1,IF(IFERROR(INDEX(coa_CF,MATCH(K2483,coa_Name,0)),"")="Cash",1,0),0)</f>
        <v/>
      </c>
      <c r="R2483" s="58">
        <f>IF((P2483-Q2483)=0,"",IFERROR(INDEX(coa_CF,MATCH(IF((P2483-Q2483)=1,K2483,I2483),coa_Name,0)),"Operating"))</f>
        <v/>
      </c>
      <c r="S2483" s="95">
        <f>IF((P2483-Q2483)=1,L2483,IF((P2483-Q2483)=-1,-J2483,0))</f>
        <v/>
      </c>
      <c r="T2483" s="95">
        <f>IF((P2483-Q2483)=1,N2483,IF((P2483-Q2483)=-1,-M2483,0))</f>
        <v/>
      </c>
      <c r="U2483" s="101">
        <f>IF(AND(H2483=1,LedAcct&lt;&gt;""),IF(AND(E2483&gt;=LedFrom,E2483&lt;=LedTo,OR(I2483=LedAcct,K2483=LedAcct,AND(LedAcct=acctTax,M2483+N2483&lt;&gt;0))),E2483*10000+B2483,""),"")</f>
        <v/>
      </c>
    </row>
    <row r="2484">
      <c r="B2484" s="101" t="n">
        <v>2478</v>
      </c>
      <c r="C2484" s="58" t="inlineStr">
        <is>
          <t>Invoice</t>
        </is>
      </c>
      <c r="D2484" s="58">
        <f>IF(H2484=1,INDEX(ar_No,478)&amp;"","")</f>
        <v/>
      </c>
      <c r="E2484" s="94">
        <f>IF(H2484=1,INDEX(ar_Date,478),"")</f>
        <v/>
      </c>
      <c r="F2484" s="58">
        <f>IF(H2484=1,INDEX(ar_Desc,478)&amp;"","")</f>
        <v/>
      </c>
      <c r="G2484" s="58">
        <f>IF(H2484=1,INDEX(ar_Party,478)&amp;"","")</f>
        <v/>
      </c>
      <c r="H2484" s="101">
        <f>IFERROR(N(INDEX(ar_Posted,478)),0)</f>
        <v/>
      </c>
      <c r="I2484" s="58">
        <f>IF(H2484=1,INDEX(ar_DrAcct,478)&amp;"","")</f>
        <v/>
      </c>
      <c r="J2484" s="95">
        <f>IF(H2484=1,INDEX(ar_DrAmt,478),0)</f>
        <v/>
      </c>
      <c r="K2484" s="58">
        <f>IF(H2484=1,INDEX(ar_CrAcct,478)&amp;"","")</f>
        <v/>
      </c>
      <c r="L2484" s="95">
        <f>IF(H2484=1,INDEX(ar_CrAmt,478),0)</f>
        <v/>
      </c>
      <c r="M2484" s="95" t="n">
        <v>0</v>
      </c>
      <c r="N2484" s="95">
        <f>IF(H2484=1,INDEX(ar_TaxAmt,478),0)</f>
        <v/>
      </c>
      <c r="O2484" s="101">
        <f>IF(H2484=1,IF(E2484&lt;FYStart,0,IF(E2484&gt;FYEnd,13,YEAR(E2484)*12+MONTH(E2484)-FYYM+1)),"")</f>
        <v/>
      </c>
      <c r="P2484" s="101">
        <f>IF(H2484=1,IF(IFERROR(INDEX(coa_CF,MATCH(I2484,coa_Name,0)),"")="Cash",1,0),0)</f>
        <v/>
      </c>
      <c r="Q2484" s="101">
        <f>IF(H2484=1,IF(IFERROR(INDEX(coa_CF,MATCH(K2484,coa_Name,0)),"")="Cash",1,0),0)</f>
        <v/>
      </c>
      <c r="R2484" s="58">
        <f>IF((P2484-Q2484)=0,"",IFERROR(INDEX(coa_CF,MATCH(IF((P2484-Q2484)=1,K2484,I2484),coa_Name,0)),"Operating"))</f>
        <v/>
      </c>
      <c r="S2484" s="95">
        <f>IF((P2484-Q2484)=1,L2484,IF((P2484-Q2484)=-1,-J2484,0))</f>
        <v/>
      </c>
      <c r="T2484" s="95">
        <f>IF((P2484-Q2484)=1,N2484,IF((P2484-Q2484)=-1,-M2484,0))</f>
        <v/>
      </c>
      <c r="U2484" s="101">
        <f>IF(AND(H2484=1,LedAcct&lt;&gt;""),IF(AND(E2484&gt;=LedFrom,E2484&lt;=LedTo,OR(I2484=LedAcct,K2484=LedAcct,AND(LedAcct=acctTax,M2484+N2484&lt;&gt;0))),E2484*10000+B2484,""),"")</f>
        <v/>
      </c>
    </row>
    <row r="2485">
      <c r="B2485" s="101" t="n">
        <v>2479</v>
      </c>
      <c r="C2485" s="58" t="inlineStr">
        <is>
          <t>Invoice</t>
        </is>
      </c>
      <c r="D2485" s="58">
        <f>IF(H2485=1,INDEX(ar_No,479)&amp;"","")</f>
        <v/>
      </c>
      <c r="E2485" s="94">
        <f>IF(H2485=1,INDEX(ar_Date,479),"")</f>
        <v/>
      </c>
      <c r="F2485" s="58">
        <f>IF(H2485=1,INDEX(ar_Desc,479)&amp;"","")</f>
        <v/>
      </c>
      <c r="G2485" s="58">
        <f>IF(H2485=1,INDEX(ar_Party,479)&amp;"","")</f>
        <v/>
      </c>
      <c r="H2485" s="101">
        <f>IFERROR(N(INDEX(ar_Posted,479)),0)</f>
        <v/>
      </c>
      <c r="I2485" s="58">
        <f>IF(H2485=1,INDEX(ar_DrAcct,479)&amp;"","")</f>
        <v/>
      </c>
      <c r="J2485" s="95">
        <f>IF(H2485=1,INDEX(ar_DrAmt,479),0)</f>
        <v/>
      </c>
      <c r="K2485" s="58">
        <f>IF(H2485=1,INDEX(ar_CrAcct,479)&amp;"","")</f>
        <v/>
      </c>
      <c r="L2485" s="95">
        <f>IF(H2485=1,INDEX(ar_CrAmt,479),0)</f>
        <v/>
      </c>
      <c r="M2485" s="95" t="n">
        <v>0</v>
      </c>
      <c r="N2485" s="95">
        <f>IF(H2485=1,INDEX(ar_TaxAmt,479),0)</f>
        <v/>
      </c>
      <c r="O2485" s="101">
        <f>IF(H2485=1,IF(E2485&lt;FYStart,0,IF(E2485&gt;FYEnd,13,YEAR(E2485)*12+MONTH(E2485)-FYYM+1)),"")</f>
        <v/>
      </c>
      <c r="P2485" s="101">
        <f>IF(H2485=1,IF(IFERROR(INDEX(coa_CF,MATCH(I2485,coa_Name,0)),"")="Cash",1,0),0)</f>
        <v/>
      </c>
      <c r="Q2485" s="101">
        <f>IF(H2485=1,IF(IFERROR(INDEX(coa_CF,MATCH(K2485,coa_Name,0)),"")="Cash",1,0),0)</f>
        <v/>
      </c>
      <c r="R2485" s="58">
        <f>IF((P2485-Q2485)=0,"",IFERROR(INDEX(coa_CF,MATCH(IF((P2485-Q2485)=1,K2485,I2485),coa_Name,0)),"Operating"))</f>
        <v/>
      </c>
      <c r="S2485" s="95">
        <f>IF((P2485-Q2485)=1,L2485,IF((P2485-Q2485)=-1,-J2485,0))</f>
        <v/>
      </c>
      <c r="T2485" s="95">
        <f>IF((P2485-Q2485)=1,N2485,IF((P2485-Q2485)=-1,-M2485,0))</f>
        <v/>
      </c>
      <c r="U2485" s="101">
        <f>IF(AND(H2485=1,LedAcct&lt;&gt;""),IF(AND(E2485&gt;=LedFrom,E2485&lt;=LedTo,OR(I2485=LedAcct,K2485=LedAcct,AND(LedAcct=acctTax,M2485+N2485&lt;&gt;0))),E2485*10000+B2485,""),"")</f>
        <v/>
      </c>
    </row>
    <row r="2486">
      <c r="B2486" s="101" t="n">
        <v>2480</v>
      </c>
      <c r="C2486" s="58" t="inlineStr">
        <is>
          <t>Invoice</t>
        </is>
      </c>
      <c r="D2486" s="58">
        <f>IF(H2486=1,INDEX(ar_No,480)&amp;"","")</f>
        <v/>
      </c>
      <c r="E2486" s="94">
        <f>IF(H2486=1,INDEX(ar_Date,480),"")</f>
        <v/>
      </c>
      <c r="F2486" s="58">
        <f>IF(H2486=1,INDEX(ar_Desc,480)&amp;"","")</f>
        <v/>
      </c>
      <c r="G2486" s="58">
        <f>IF(H2486=1,INDEX(ar_Party,480)&amp;"","")</f>
        <v/>
      </c>
      <c r="H2486" s="101">
        <f>IFERROR(N(INDEX(ar_Posted,480)),0)</f>
        <v/>
      </c>
      <c r="I2486" s="58">
        <f>IF(H2486=1,INDEX(ar_DrAcct,480)&amp;"","")</f>
        <v/>
      </c>
      <c r="J2486" s="95">
        <f>IF(H2486=1,INDEX(ar_DrAmt,480),0)</f>
        <v/>
      </c>
      <c r="K2486" s="58">
        <f>IF(H2486=1,INDEX(ar_CrAcct,480)&amp;"","")</f>
        <v/>
      </c>
      <c r="L2486" s="95">
        <f>IF(H2486=1,INDEX(ar_CrAmt,480),0)</f>
        <v/>
      </c>
      <c r="M2486" s="95" t="n">
        <v>0</v>
      </c>
      <c r="N2486" s="95">
        <f>IF(H2486=1,INDEX(ar_TaxAmt,480),0)</f>
        <v/>
      </c>
      <c r="O2486" s="101">
        <f>IF(H2486=1,IF(E2486&lt;FYStart,0,IF(E2486&gt;FYEnd,13,YEAR(E2486)*12+MONTH(E2486)-FYYM+1)),"")</f>
        <v/>
      </c>
      <c r="P2486" s="101">
        <f>IF(H2486=1,IF(IFERROR(INDEX(coa_CF,MATCH(I2486,coa_Name,0)),"")="Cash",1,0),0)</f>
        <v/>
      </c>
      <c r="Q2486" s="101">
        <f>IF(H2486=1,IF(IFERROR(INDEX(coa_CF,MATCH(K2486,coa_Name,0)),"")="Cash",1,0),0)</f>
        <v/>
      </c>
      <c r="R2486" s="58">
        <f>IF((P2486-Q2486)=0,"",IFERROR(INDEX(coa_CF,MATCH(IF((P2486-Q2486)=1,K2486,I2486),coa_Name,0)),"Operating"))</f>
        <v/>
      </c>
      <c r="S2486" s="95">
        <f>IF((P2486-Q2486)=1,L2486,IF((P2486-Q2486)=-1,-J2486,0))</f>
        <v/>
      </c>
      <c r="T2486" s="95">
        <f>IF((P2486-Q2486)=1,N2486,IF((P2486-Q2486)=-1,-M2486,0))</f>
        <v/>
      </c>
      <c r="U2486" s="101">
        <f>IF(AND(H2486=1,LedAcct&lt;&gt;""),IF(AND(E2486&gt;=LedFrom,E2486&lt;=LedTo,OR(I2486=LedAcct,K2486=LedAcct,AND(LedAcct=acctTax,M2486+N2486&lt;&gt;0))),E2486*10000+B2486,""),"")</f>
        <v/>
      </c>
    </row>
    <row r="2487">
      <c r="B2487" s="101" t="n">
        <v>2481</v>
      </c>
      <c r="C2487" s="58" t="inlineStr">
        <is>
          <t>Invoice</t>
        </is>
      </c>
      <c r="D2487" s="58">
        <f>IF(H2487=1,INDEX(ar_No,481)&amp;"","")</f>
        <v/>
      </c>
      <c r="E2487" s="94">
        <f>IF(H2487=1,INDEX(ar_Date,481),"")</f>
        <v/>
      </c>
      <c r="F2487" s="58">
        <f>IF(H2487=1,INDEX(ar_Desc,481)&amp;"","")</f>
        <v/>
      </c>
      <c r="G2487" s="58">
        <f>IF(H2487=1,INDEX(ar_Party,481)&amp;"","")</f>
        <v/>
      </c>
      <c r="H2487" s="101">
        <f>IFERROR(N(INDEX(ar_Posted,481)),0)</f>
        <v/>
      </c>
      <c r="I2487" s="58">
        <f>IF(H2487=1,INDEX(ar_DrAcct,481)&amp;"","")</f>
        <v/>
      </c>
      <c r="J2487" s="95">
        <f>IF(H2487=1,INDEX(ar_DrAmt,481),0)</f>
        <v/>
      </c>
      <c r="K2487" s="58">
        <f>IF(H2487=1,INDEX(ar_CrAcct,481)&amp;"","")</f>
        <v/>
      </c>
      <c r="L2487" s="95">
        <f>IF(H2487=1,INDEX(ar_CrAmt,481),0)</f>
        <v/>
      </c>
      <c r="M2487" s="95" t="n">
        <v>0</v>
      </c>
      <c r="N2487" s="95">
        <f>IF(H2487=1,INDEX(ar_TaxAmt,481),0)</f>
        <v/>
      </c>
      <c r="O2487" s="101">
        <f>IF(H2487=1,IF(E2487&lt;FYStart,0,IF(E2487&gt;FYEnd,13,YEAR(E2487)*12+MONTH(E2487)-FYYM+1)),"")</f>
        <v/>
      </c>
      <c r="P2487" s="101">
        <f>IF(H2487=1,IF(IFERROR(INDEX(coa_CF,MATCH(I2487,coa_Name,0)),"")="Cash",1,0),0)</f>
        <v/>
      </c>
      <c r="Q2487" s="101">
        <f>IF(H2487=1,IF(IFERROR(INDEX(coa_CF,MATCH(K2487,coa_Name,0)),"")="Cash",1,0),0)</f>
        <v/>
      </c>
      <c r="R2487" s="58">
        <f>IF((P2487-Q2487)=0,"",IFERROR(INDEX(coa_CF,MATCH(IF((P2487-Q2487)=1,K2487,I2487),coa_Name,0)),"Operating"))</f>
        <v/>
      </c>
      <c r="S2487" s="95">
        <f>IF((P2487-Q2487)=1,L2487,IF((P2487-Q2487)=-1,-J2487,0))</f>
        <v/>
      </c>
      <c r="T2487" s="95">
        <f>IF((P2487-Q2487)=1,N2487,IF((P2487-Q2487)=-1,-M2487,0))</f>
        <v/>
      </c>
      <c r="U2487" s="101">
        <f>IF(AND(H2487=1,LedAcct&lt;&gt;""),IF(AND(E2487&gt;=LedFrom,E2487&lt;=LedTo,OR(I2487=LedAcct,K2487=LedAcct,AND(LedAcct=acctTax,M2487+N2487&lt;&gt;0))),E2487*10000+B2487,""),"")</f>
        <v/>
      </c>
    </row>
    <row r="2488">
      <c r="B2488" s="101" t="n">
        <v>2482</v>
      </c>
      <c r="C2488" s="58" t="inlineStr">
        <is>
          <t>Invoice</t>
        </is>
      </c>
      <c r="D2488" s="58">
        <f>IF(H2488=1,INDEX(ar_No,482)&amp;"","")</f>
        <v/>
      </c>
      <c r="E2488" s="94">
        <f>IF(H2488=1,INDEX(ar_Date,482),"")</f>
        <v/>
      </c>
      <c r="F2488" s="58">
        <f>IF(H2488=1,INDEX(ar_Desc,482)&amp;"","")</f>
        <v/>
      </c>
      <c r="G2488" s="58">
        <f>IF(H2488=1,INDEX(ar_Party,482)&amp;"","")</f>
        <v/>
      </c>
      <c r="H2488" s="101">
        <f>IFERROR(N(INDEX(ar_Posted,482)),0)</f>
        <v/>
      </c>
      <c r="I2488" s="58">
        <f>IF(H2488=1,INDEX(ar_DrAcct,482)&amp;"","")</f>
        <v/>
      </c>
      <c r="J2488" s="95">
        <f>IF(H2488=1,INDEX(ar_DrAmt,482),0)</f>
        <v/>
      </c>
      <c r="K2488" s="58">
        <f>IF(H2488=1,INDEX(ar_CrAcct,482)&amp;"","")</f>
        <v/>
      </c>
      <c r="L2488" s="95">
        <f>IF(H2488=1,INDEX(ar_CrAmt,482),0)</f>
        <v/>
      </c>
      <c r="M2488" s="95" t="n">
        <v>0</v>
      </c>
      <c r="N2488" s="95">
        <f>IF(H2488=1,INDEX(ar_TaxAmt,482),0)</f>
        <v/>
      </c>
      <c r="O2488" s="101">
        <f>IF(H2488=1,IF(E2488&lt;FYStart,0,IF(E2488&gt;FYEnd,13,YEAR(E2488)*12+MONTH(E2488)-FYYM+1)),"")</f>
        <v/>
      </c>
      <c r="P2488" s="101">
        <f>IF(H2488=1,IF(IFERROR(INDEX(coa_CF,MATCH(I2488,coa_Name,0)),"")="Cash",1,0),0)</f>
        <v/>
      </c>
      <c r="Q2488" s="101">
        <f>IF(H2488=1,IF(IFERROR(INDEX(coa_CF,MATCH(K2488,coa_Name,0)),"")="Cash",1,0),0)</f>
        <v/>
      </c>
      <c r="R2488" s="58">
        <f>IF((P2488-Q2488)=0,"",IFERROR(INDEX(coa_CF,MATCH(IF((P2488-Q2488)=1,K2488,I2488),coa_Name,0)),"Operating"))</f>
        <v/>
      </c>
      <c r="S2488" s="95">
        <f>IF((P2488-Q2488)=1,L2488,IF((P2488-Q2488)=-1,-J2488,0))</f>
        <v/>
      </c>
      <c r="T2488" s="95">
        <f>IF((P2488-Q2488)=1,N2488,IF((P2488-Q2488)=-1,-M2488,0))</f>
        <v/>
      </c>
      <c r="U2488" s="101">
        <f>IF(AND(H2488=1,LedAcct&lt;&gt;""),IF(AND(E2488&gt;=LedFrom,E2488&lt;=LedTo,OR(I2488=LedAcct,K2488=LedAcct,AND(LedAcct=acctTax,M2488+N2488&lt;&gt;0))),E2488*10000+B2488,""),"")</f>
        <v/>
      </c>
    </row>
    <row r="2489">
      <c r="B2489" s="101" t="n">
        <v>2483</v>
      </c>
      <c r="C2489" s="58" t="inlineStr">
        <is>
          <t>Invoice</t>
        </is>
      </c>
      <c r="D2489" s="58">
        <f>IF(H2489=1,INDEX(ar_No,483)&amp;"","")</f>
        <v/>
      </c>
      <c r="E2489" s="94">
        <f>IF(H2489=1,INDEX(ar_Date,483),"")</f>
        <v/>
      </c>
      <c r="F2489" s="58">
        <f>IF(H2489=1,INDEX(ar_Desc,483)&amp;"","")</f>
        <v/>
      </c>
      <c r="G2489" s="58">
        <f>IF(H2489=1,INDEX(ar_Party,483)&amp;"","")</f>
        <v/>
      </c>
      <c r="H2489" s="101">
        <f>IFERROR(N(INDEX(ar_Posted,483)),0)</f>
        <v/>
      </c>
      <c r="I2489" s="58">
        <f>IF(H2489=1,INDEX(ar_DrAcct,483)&amp;"","")</f>
        <v/>
      </c>
      <c r="J2489" s="95">
        <f>IF(H2489=1,INDEX(ar_DrAmt,483),0)</f>
        <v/>
      </c>
      <c r="K2489" s="58">
        <f>IF(H2489=1,INDEX(ar_CrAcct,483)&amp;"","")</f>
        <v/>
      </c>
      <c r="L2489" s="95">
        <f>IF(H2489=1,INDEX(ar_CrAmt,483),0)</f>
        <v/>
      </c>
      <c r="M2489" s="95" t="n">
        <v>0</v>
      </c>
      <c r="N2489" s="95">
        <f>IF(H2489=1,INDEX(ar_TaxAmt,483),0)</f>
        <v/>
      </c>
      <c r="O2489" s="101">
        <f>IF(H2489=1,IF(E2489&lt;FYStart,0,IF(E2489&gt;FYEnd,13,YEAR(E2489)*12+MONTH(E2489)-FYYM+1)),"")</f>
        <v/>
      </c>
      <c r="P2489" s="101">
        <f>IF(H2489=1,IF(IFERROR(INDEX(coa_CF,MATCH(I2489,coa_Name,0)),"")="Cash",1,0),0)</f>
        <v/>
      </c>
      <c r="Q2489" s="101">
        <f>IF(H2489=1,IF(IFERROR(INDEX(coa_CF,MATCH(K2489,coa_Name,0)),"")="Cash",1,0),0)</f>
        <v/>
      </c>
      <c r="R2489" s="58">
        <f>IF((P2489-Q2489)=0,"",IFERROR(INDEX(coa_CF,MATCH(IF((P2489-Q2489)=1,K2489,I2489),coa_Name,0)),"Operating"))</f>
        <v/>
      </c>
      <c r="S2489" s="95">
        <f>IF((P2489-Q2489)=1,L2489,IF((P2489-Q2489)=-1,-J2489,0))</f>
        <v/>
      </c>
      <c r="T2489" s="95">
        <f>IF((P2489-Q2489)=1,N2489,IF((P2489-Q2489)=-1,-M2489,0))</f>
        <v/>
      </c>
      <c r="U2489" s="101">
        <f>IF(AND(H2489=1,LedAcct&lt;&gt;""),IF(AND(E2489&gt;=LedFrom,E2489&lt;=LedTo,OR(I2489=LedAcct,K2489=LedAcct,AND(LedAcct=acctTax,M2489+N2489&lt;&gt;0))),E2489*10000+B2489,""),"")</f>
        <v/>
      </c>
    </row>
    <row r="2490">
      <c r="B2490" s="101" t="n">
        <v>2484</v>
      </c>
      <c r="C2490" s="58" t="inlineStr">
        <is>
          <t>Invoice</t>
        </is>
      </c>
      <c r="D2490" s="58">
        <f>IF(H2490=1,INDEX(ar_No,484)&amp;"","")</f>
        <v/>
      </c>
      <c r="E2490" s="94">
        <f>IF(H2490=1,INDEX(ar_Date,484),"")</f>
        <v/>
      </c>
      <c r="F2490" s="58">
        <f>IF(H2490=1,INDEX(ar_Desc,484)&amp;"","")</f>
        <v/>
      </c>
      <c r="G2490" s="58">
        <f>IF(H2490=1,INDEX(ar_Party,484)&amp;"","")</f>
        <v/>
      </c>
      <c r="H2490" s="101">
        <f>IFERROR(N(INDEX(ar_Posted,484)),0)</f>
        <v/>
      </c>
      <c r="I2490" s="58">
        <f>IF(H2490=1,INDEX(ar_DrAcct,484)&amp;"","")</f>
        <v/>
      </c>
      <c r="J2490" s="95">
        <f>IF(H2490=1,INDEX(ar_DrAmt,484),0)</f>
        <v/>
      </c>
      <c r="K2490" s="58">
        <f>IF(H2490=1,INDEX(ar_CrAcct,484)&amp;"","")</f>
        <v/>
      </c>
      <c r="L2490" s="95">
        <f>IF(H2490=1,INDEX(ar_CrAmt,484),0)</f>
        <v/>
      </c>
      <c r="M2490" s="95" t="n">
        <v>0</v>
      </c>
      <c r="N2490" s="95">
        <f>IF(H2490=1,INDEX(ar_TaxAmt,484),0)</f>
        <v/>
      </c>
      <c r="O2490" s="101">
        <f>IF(H2490=1,IF(E2490&lt;FYStart,0,IF(E2490&gt;FYEnd,13,YEAR(E2490)*12+MONTH(E2490)-FYYM+1)),"")</f>
        <v/>
      </c>
      <c r="P2490" s="101">
        <f>IF(H2490=1,IF(IFERROR(INDEX(coa_CF,MATCH(I2490,coa_Name,0)),"")="Cash",1,0),0)</f>
        <v/>
      </c>
      <c r="Q2490" s="101">
        <f>IF(H2490=1,IF(IFERROR(INDEX(coa_CF,MATCH(K2490,coa_Name,0)),"")="Cash",1,0),0)</f>
        <v/>
      </c>
      <c r="R2490" s="58">
        <f>IF((P2490-Q2490)=0,"",IFERROR(INDEX(coa_CF,MATCH(IF((P2490-Q2490)=1,K2490,I2490),coa_Name,0)),"Operating"))</f>
        <v/>
      </c>
      <c r="S2490" s="95">
        <f>IF((P2490-Q2490)=1,L2490,IF((P2490-Q2490)=-1,-J2490,0))</f>
        <v/>
      </c>
      <c r="T2490" s="95">
        <f>IF((P2490-Q2490)=1,N2490,IF((P2490-Q2490)=-1,-M2490,0))</f>
        <v/>
      </c>
      <c r="U2490" s="101">
        <f>IF(AND(H2490=1,LedAcct&lt;&gt;""),IF(AND(E2490&gt;=LedFrom,E2490&lt;=LedTo,OR(I2490=LedAcct,K2490=LedAcct,AND(LedAcct=acctTax,M2490+N2490&lt;&gt;0))),E2490*10000+B2490,""),"")</f>
        <v/>
      </c>
    </row>
    <row r="2491">
      <c r="B2491" s="101" t="n">
        <v>2485</v>
      </c>
      <c r="C2491" s="58" t="inlineStr">
        <is>
          <t>Invoice</t>
        </is>
      </c>
      <c r="D2491" s="58">
        <f>IF(H2491=1,INDEX(ar_No,485)&amp;"","")</f>
        <v/>
      </c>
      <c r="E2491" s="94">
        <f>IF(H2491=1,INDEX(ar_Date,485),"")</f>
        <v/>
      </c>
      <c r="F2491" s="58">
        <f>IF(H2491=1,INDEX(ar_Desc,485)&amp;"","")</f>
        <v/>
      </c>
      <c r="G2491" s="58">
        <f>IF(H2491=1,INDEX(ar_Party,485)&amp;"","")</f>
        <v/>
      </c>
      <c r="H2491" s="101">
        <f>IFERROR(N(INDEX(ar_Posted,485)),0)</f>
        <v/>
      </c>
      <c r="I2491" s="58">
        <f>IF(H2491=1,INDEX(ar_DrAcct,485)&amp;"","")</f>
        <v/>
      </c>
      <c r="J2491" s="95">
        <f>IF(H2491=1,INDEX(ar_DrAmt,485),0)</f>
        <v/>
      </c>
      <c r="K2491" s="58">
        <f>IF(H2491=1,INDEX(ar_CrAcct,485)&amp;"","")</f>
        <v/>
      </c>
      <c r="L2491" s="95">
        <f>IF(H2491=1,INDEX(ar_CrAmt,485),0)</f>
        <v/>
      </c>
      <c r="M2491" s="95" t="n">
        <v>0</v>
      </c>
      <c r="N2491" s="95">
        <f>IF(H2491=1,INDEX(ar_TaxAmt,485),0)</f>
        <v/>
      </c>
      <c r="O2491" s="101">
        <f>IF(H2491=1,IF(E2491&lt;FYStart,0,IF(E2491&gt;FYEnd,13,YEAR(E2491)*12+MONTH(E2491)-FYYM+1)),"")</f>
        <v/>
      </c>
      <c r="P2491" s="101">
        <f>IF(H2491=1,IF(IFERROR(INDEX(coa_CF,MATCH(I2491,coa_Name,0)),"")="Cash",1,0),0)</f>
        <v/>
      </c>
      <c r="Q2491" s="101">
        <f>IF(H2491=1,IF(IFERROR(INDEX(coa_CF,MATCH(K2491,coa_Name,0)),"")="Cash",1,0),0)</f>
        <v/>
      </c>
      <c r="R2491" s="58">
        <f>IF((P2491-Q2491)=0,"",IFERROR(INDEX(coa_CF,MATCH(IF((P2491-Q2491)=1,K2491,I2491),coa_Name,0)),"Operating"))</f>
        <v/>
      </c>
      <c r="S2491" s="95">
        <f>IF((P2491-Q2491)=1,L2491,IF((P2491-Q2491)=-1,-J2491,0))</f>
        <v/>
      </c>
      <c r="T2491" s="95">
        <f>IF((P2491-Q2491)=1,N2491,IF((P2491-Q2491)=-1,-M2491,0))</f>
        <v/>
      </c>
      <c r="U2491" s="101">
        <f>IF(AND(H2491=1,LedAcct&lt;&gt;""),IF(AND(E2491&gt;=LedFrom,E2491&lt;=LedTo,OR(I2491=LedAcct,K2491=LedAcct,AND(LedAcct=acctTax,M2491+N2491&lt;&gt;0))),E2491*10000+B2491,""),"")</f>
        <v/>
      </c>
    </row>
    <row r="2492">
      <c r="B2492" s="101" t="n">
        <v>2486</v>
      </c>
      <c r="C2492" s="58" t="inlineStr">
        <is>
          <t>Invoice</t>
        </is>
      </c>
      <c r="D2492" s="58">
        <f>IF(H2492=1,INDEX(ar_No,486)&amp;"","")</f>
        <v/>
      </c>
      <c r="E2492" s="94">
        <f>IF(H2492=1,INDEX(ar_Date,486),"")</f>
        <v/>
      </c>
      <c r="F2492" s="58">
        <f>IF(H2492=1,INDEX(ar_Desc,486)&amp;"","")</f>
        <v/>
      </c>
      <c r="G2492" s="58">
        <f>IF(H2492=1,INDEX(ar_Party,486)&amp;"","")</f>
        <v/>
      </c>
      <c r="H2492" s="101">
        <f>IFERROR(N(INDEX(ar_Posted,486)),0)</f>
        <v/>
      </c>
      <c r="I2492" s="58">
        <f>IF(H2492=1,INDEX(ar_DrAcct,486)&amp;"","")</f>
        <v/>
      </c>
      <c r="J2492" s="95">
        <f>IF(H2492=1,INDEX(ar_DrAmt,486),0)</f>
        <v/>
      </c>
      <c r="K2492" s="58">
        <f>IF(H2492=1,INDEX(ar_CrAcct,486)&amp;"","")</f>
        <v/>
      </c>
      <c r="L2492" s="95">
        <f>IF(H2492=1,INDEX(ar_CrAmt,486),0)</f>
        <v/>
      </c>
      <c r="M2492" s="95" t="n">
        <v>0</v>
      </c>
      <c r="N2492" s="95">
        <f>IF(H2492=1,INDEX(ar_TaxAmt,486),0)</f>
        <v/>
      </c>
      <c r="O2492" s="101">
        <f>IF(H2492=1,IF(E2492&lt;FYStart,0,IF(E2492&gt;FYEnd,13,YEAR(E2492)*12+MONTH(E2492)-FYYM+1)),"")</f>
        <v/>
      </c>
      <c r="P2492" s="101">
        <f>IF(H2492=1,IF(IFERROR(INDEX(coa_CF,MATCH(I2492,coa_Name,0)),"")="Cash",1,0),0)</f>
        <v/>
      </c>
      <c r="Q2492" s="101">
        <f>IF(H2492=1,IF(IFERROR(INDEX(coa_CF,MATCH(K2492,coa_Name,0)),"")="Cash",1,0),0)</f>
        <v/>
      </c>
      <c r="R2492" s="58">
        <f>IF((P2492-Q2492)=0,"",IFERROR(INDEX(coa_CF,MATCH(IF((P2492-Q2492)=1,K2492,I2492),coa_Name,0)),"Operating"))</f>
        <v/>
      </c>
      <c r="S2492" s="95">
        <f>IF((P2492-Q2492)=1,L2492,IF((P2492-Q2492)=-1,-J2492,0))</f>
        <v/>
      </c>
      <c r="T2492" s="95">
        <f>IF((P2492-Q2492)=1,N2492,IF((P2492-Q2492)=-1,-M2492,0))</f>
        <v/>
      </c>
      <c r="U2492" s="101">
        <f>IF(AND(H2492=1,LedAcct&lt;&gt;""),IF(AND(E2492&gt;=LedFrom,E2492&lt;=LedTo,OR(I2492=LedAcct,K2492=LedAcct,AND(LedAcct=acctTax,M2492+N2492&lt;&gt;0))),E2492*10000+B2492,""),"")</f>
        <v/>
      </c>
    </row>
    <row r="2493">
      <c r="B2493" s="101" t="n">
        <v>2487</v>
      </c>
      <c r="C2493" s="58" t="inlineStr">
        <is>
          <t>Invoice</t>
        </is>
      </c>
      <c r="D2493" s="58">
        <f>IF(H2493=1,INDEX(ar_No,487)&amp;"","")</f>
        <v/>
      </c>
      <c r="E2493" s="94">
        <f>IF(H2493=1,INDEX(ar_Date,487),"")</f>
        <v/>
      </c>
      <c r="F2493" s="58">
        <f>IF(H2493=1,INDEX(ar_Desc,487)&amp;"","")</f>
        <v/>
      </c>
      <c r="G2493" s="58">
        <f>IF(H2493=1,INDEX(ar_Party,487)&amp;"","")</f>
        <v/>
      </c>
      <c r="H2493" s="101">
        <f>IFERROR(N(INDEX(ar_Posted,487)),0)</f>
        <v/>
      </c>
      <c r="I2493" s="58">
        <f>IF(H2493=1,INDEX(ar_DrAcct,487)&amp;"","")</f>
        <v/>
      </c>
      <c r="J2493" s="95">
        <f>IF(H2493=1,INDEX(ar_DrAmt,487),0)</f>
        <v/>
      </c>
      <c r="K2493" s="58">
        <f>IF(H2493=1,INDEX(ar_CrAcct,487)&amp;"","")</f>
        <v/>
      </c>
      <c r="L2493" s="95">
        <f>IF(H2493=1,INDEX(ar_CrAmt,487),0)</f>
        <v/>
      </c>
      <c r="M2493" s="95" t="n">
        <v>0</v>
      </c>
      <c r="N2493" s="95">
        <f>IF(H2493=1,INDEX(ar_TaxAmt,487),0)</f>
        <v/>
      </c>
      <c r="O2493" s="101">
        <f>IF(H2493=1,IF(E2493&lt;FYStart,0,IF(E2493&gt;FYEnd,13,YEAR(E2493)*12+MONTH(E2493)-FYYM+1)),"")</f>
        <v/>
      </c>
      <c r="P2493" s="101">
        <f>IF(H2493=1,IF(IFERROR(INDEX(coa_CF,MATCH(I2493,coa_Name,0)),"")="Cash",1,0),0)</f>
        <v/>
      </c>
      <c r="Q2493" s="101">
        <f>IF(H2493=1,IF(IFERROR(INDEX(coa_CF,MATCH(K2493,coa_Name,0)),"")="Cash",1,0),0)</f>
        <v/>
      </c>
      <c r="R2493" s="58">
        <f>IF((P2493-Q2493)=0,"",IFERROR(INDEX(coa_CF,MATCH(IF((P2493-Q2493)=1,K2493,I2493),coa_Name,0)),"Operating"))</f>
        <v/>
      </c>
      <c r="S2493" s="95">
        <f>IF((P2493-Q2493)=1,L2493,IF((P2493-Q2493)=-1,-J2493,0))</f>
        <v/>
      </c>
      <c r="T2493" s="95">
        <f>IF((P2493-Q2493)=1,N2493,IF((P2493-Q2493)=-1,-M2493,0))</f>
        <v/>
      </c>
      <c r="U2493" s="101">
        <f>IF(AND(H2493=1,LedAcct&lt;&gt;""),IF(AND(E2493&gt;=LedFrom,E2493&lt;=LedTo,OR(I2493=LedAcct,K2493=LedAcct,AND(LedAcct=acctTax,M2493+N2493&lt;&gt;0))),E2493*10000+B2493,""),"")</f>
        <v/>
      </c>
    </row>
    <row r="2494">
      <c r="B2494" s="101" t="n">
        <v>2488</v>
      </c>
      <c r="C2494" s="58" t="inlineStr">
        <is>
          <t>Invoice</t>
        </is>
      </c>
      <c r="D2494" s="58">
        <f>IF(H2494=1,INDEX(ar_No,488)&amp;"","")</f>
        <v/>
      </c>
      <c r="E2494" s="94">
        <f>IF(H2494=1,INDEX(ar_Date,488),"")</f>
        <v/>
      </c>
      <c r="F2494" s="58">
        <f>IF(H2494=1,INDEX(ar_Desc,488)&amp;"","")</f>
        <v/>
      </c>
      <c r="G2494" s="58">
        <f>IF(H2494=1,INDEX(ar_Party,488)&amp;"","")</f>
        <v/>
      </c>
      <c r="H2494" s="101">
        <f>IFERROR(N(INDEX(ar_Posted,488)),0)</f>
        <v/>
      </c>
      <c r="I2494" s="58">
        <f>IF(H2494=1,INDEX(ar_DrAcct,488)&amp;"","")</f>
        <v/>
      </c>
      <c r="J2494" s="95">
        <f>IF(H2494=1,INDEX(ar_DrAmt,488),0)</f>
        <v/>
      </c>
      <c r="K2494" s="58">
        <f>IF(H2494=1,INDEX(ar_CrAcct,488)&amp;"","")</f>
        <v/>
      </c>
      <c r="L2494" s="95">
        <f>IF(H2494=1,INDEX(ar_CrAmt,488),0)</f>
        <v/>
      </c>
      <c r="M2494" s="95" t="n">
        <v>0</v>
      </c>
      <c r="N2494" s="95">
        <f>IF(H2494=1,INDEX(ar_TaxAmt,488),0)</f>
        <v/>
      </c>
      <c r="O2494" s="101">
        <f>IF(H2494=1,IF(E2494&lt;FYStart,0,IF(E2494&gt;FYEnd,13,YEAR(E2494)*12+MONTH(E2494)-FYYM+1)),"")</f>
        <v/>
      </c>
      <c r="P2494" s="101">
        <f>IF(H2494=1,IF(IFERROR(INDEX(coa_CF,MATCH(I2494,coa_Name,0)),"")="Cash",1,0),0)</f>
        <v/>
      </c>
      <c r="Q2494" s="101">
        <f>IF(H2494=1,IF(IFERROR(INDEX(coa_CF,MATCH(K2494,coa_Name,0)),"")="Cash",1,0),0)</f>
        <v/>
      </c>
      <c r="R2494" s="58">
        <f>IF((P2494-Q2494)=0,"",IFERROR(INDEX(coa_CF,MATCH(IF((P2494-Q2494)=1,K2494,I2494),coa_Name,0)),"Operating"))</f>
        <v/>
      </c>
      <c r="S2494" s="95">
        <f>IF((P2494-Q2494)=1,L2494,IF((P2494-Q2494)=-1,-J2494,0))</f>
        <v/>
      </c>
      <c r="T2494" s="95">
        <f>IF((P2494-Q2494)=1,N2494,IF((P2494-Q2494)=-1,-M2494,0))</f>
        <v/>
      </c>
      <c r="U2494" s="101">
        <f>IF(AND(H2494=1,LedAcct&lt;&gt;""),IF(AND(E2494&gt;=LedFrom,E2494&lt;=LedTo,OR(I2494=LedAcct,K2494=LedAcct,AND(LedAcct=acctTax,M2494+N2494&lt;&gt;0))),E2494*10000+B2494,""),"")</f>
        <v/>
      </c>
    </row>
    <row r="2495">
      <c r="B2495" s="101" t="n">
        <v>2489</v>
      </c>
      <c r="C2495" s="58" t="inlineStr">
        <is>
          <t>Invoice</t>
        </is>
      </c>
      <c r="D2495" s="58">
        <f>IF(H2495=1,INDEX(ar_No,489)&amp;"","")</f>
        <v/>
      </c>
      <c r="E2495" s="94">
        <f>IF(H2495=1,INDEX(ar_Date,489),"")</f>
        <v/>
      </c>
      <c r="F2495" s="58">
        <f>IF(H2495=1,INDEX(ar_Desc,489)&amp;"","")</f>
        <v/>
      </c>
      <c r="G2495" s="58">
        <f>IF(H2495=1,INDEX(ar_Party,489)&amp;"","")</f>
        <v/>
      </c>
      <c r="H2495" s="101">
        <f>IFERROR(N(INDEX(ar_Posted,489)),0)</f>
        <v/>
      </c>
      <c r="I2495" s="58">
        <f>IF(H2495=1,INDEX(ar_DrAcct,489)&amp;"","")</f>
        <v/>
      </c>
      <c r="J2495" s="95">
        <f>IF(H2495=1,INDEX(ar_DrAmt,489),0)</f>
        <v/>
      </c>
      <c r="K2495" s="58">
        <f>IF(H2495=1,INDEX(ar_CrAcct,489)&amp;"","")</f>
        <v/>
      </c>
      <c r="L2495" s="95">
        <f>IF(H2495=1,INDEX(ar_CrAmt,489),0)</f>
        <v/>
      </c>
      <c r="M2495" s="95" t="n">
        <v>0</v>
      </c>
      <c r="N2495" s="95">
        <f>IF(H2495=1,INDEX(ar_TaxAmt,489),0)</f>
        <v/>
      </c>
      <c r="O2495" s="101">
        <f>IF(H2495=1,IF(E2495&lt;FYStart,0,IF(E2495&gt;FYEnd,13,YEAR(E2495)*12+MONTH(E2495)-FYYM+1)),"")</f>
        <v/>
      </c>
      <c r="P2495" s="101">
        <f>IF(H2495=1,IF(IFERROR(INDEX(coa_CF,MATCH(I2495,coa_Name,0)),"")="Cash",1,0),0)</f>
        <v/>
      </c>
      <c r="Q2495" s="101">
        <f>IF(H2495=1,IF(IFERROR(INDEX(coa_CF,MATCH(K2495,coa_Name,0)),"")="Cash",1,0),0)</f>
        <v/>
      </c>
      <c r="R2495" s="58">
        <f>IF((P2495-Q2495)=0,"",IFERROR(INDEX(coa_CF,MATCH(IF((P2495-Q2495)=1,K2495,I2495),coa_Name,0)),"Operating"))</f>
        <v/>
      </c>
      <c r="S2495" s="95">
        <f>IF((P2495-Q2495)=1,L2495,IF((P2495-Q2495)=-1,-J2495,0))</f>
        <v/>
      </c>
      <c r="T2495" s="95">
        <f>IF((P2495-Q2495)=1,N2495,IF((P2495-Q2495)=-1,-M2495,0))</f>
        <v/>
      </c>
      <c r="U2495" s="101">
        <f>IF(AND(H2495=1,LedAcct&lt;&gt;""),IF(AND(E2495&gt;=LedFrom,E2495&lt;=LedTo,OR(I2495=LedAcct,K2495=LedAcct,AND(LedAcct=acctTax,M2495+N2495&lt;&gt;0))),E2495*10000+B2495,""),"")</f>
        <v/>
      </c>
    </row>
    <row r="2496">
      <c r="B2496" s="101" t="n">
        <v>2490</v>
      </c>
      <c r="C2496" s="58" t="inlineStr">
        <is>
          <t>Invoice</t>
        </is>
      </c>
      <c r="D2496" s="58">
        <f>IF(H2496=1,INDEX(ar_No,490)&amp;"","")</f>
        <v/>
      </c>
      <c r="E2496" s="94">
        <f>IF(H2496=1,INDEX(ar_Date,490),"")</f>
        <v/>
      </c>
      <c r="F2496" s="58">
        <f>IF(H2496=1,INDEX(ar_Desc,490)&amp;"","")</f>
        <v/>
      </c>
      <c r="G2496" s="58">
        <f>IF(H2496=1,INDEX(ar_Party,490)&amp;"","")</f>
        <v/>
      </c>
      <c r="H2496" s="101">
        <f>IFERROR(N(INDEX(ar_Posted,490)),0)</f>
        <v/>
      </c>
      <c r="I2496" s="58">
        <f>IF(H2496=1,INDEX(ar_DrAcct,490)&amp;"","")</f>
        <v/>
      </c>
      <c r="J2496" s="95">
        <f>IF(H2496=1,INDEX(ar_DrAmt,490),0)</f>
        <v/>
      </c>
      <c r="K2496" s="58">
        <f>IF(H2496=1,INDEX(ar_CrAcct,490)&amp;"","")</f>
        <v/>
      </c>
      <c r="L2496" s="95">
        <f>IF(H2496=1,INDEX(ar_CrAmt,490),0)</f>
        <v/>
      </c>
      <c r="M2496" s="95" t="n">
        <v>0</v>
      </c>
      <c r="N2496" s="95">
        <f>IF(H2496=1,INDEX(ar_TaxAmt,490),0)</f>
        <v/>
      </c>
      <c r="O2496" s="101">
        <f>IF(H2496=1,IF(E2496&lt;FYStart,0,IF(E2496&gt;FYEnd,13,YEAR(E2496)*12+MONTH(E2496)-FYYM+1)),"")</f>
        <v/>
      </c>
      <c r="P2496" s="101">
        <f>IF(H2496=1,IF(IFERROR(INDEX(coa_CF,MATCH(I2496,coa_Name,0)),"")="Cash",1,0),0)</f>
        <v/>
      </c>
      <c r="Q2496" s="101">
        <f>IF(H2496=1,IF(IFERROR(INDEX(coa_CF,MATCH(K2496,coa_Name,0)),"")="Cash",1,0),0)</f>
        <v/>
      </c>
      <c r="R2496" s="58">
        <f>IF((P2496-Q2496)=0,"",IFERROR(INDEX(coa_CF,MATCH(IF((P2496-Q2496)=1,K2496,I2496),coa_Name,0)),"Operating"))</f>
        <v/>
      </c>
      <c r="S2496" s="95">
        <f>IF((P2496-Q2496)=1,L2496,IF((P2496-Q2496)=-1,-J2496,0))</f>
        <v/>
      </c>
      <c r="T2496" s="95">
        <f>IF((P2496-Q2496)=1,N2496,IF((P2496-Q2496)=-1,-M2496,0))</f>
        <v/>
      </c>
      <c r="U2496" s="101">
        <f>IF(AND(H2496=1,LedAcct&lt;&gt;""),IF(AND(E2496&gt;=LedFrom,E2496&lt;=LedTo,OR(I2496=LedAcct,K2496=LedAcct,AND(LedAcct=acctTax,M2496+N2496&lt;&gt;0))),E2496*10000+B2496,""),"")</f>
        <v/>
      </c>
    </row>
    <row r="2497">
      <c r="B2497" s="101" t="n">
        <v>2491</v>
      </c>
      <c r="C2497" s="58" t="inlineStr">
        <is>
          <t>Invoice</t>
        </is>
      </c>
      <c r="D2497" s="58">
        <f>IF(H2497=1,INDEX(ar_No,491)&amp;"","")</f>
        <v/>
      </c>
      <c r="E2497" s="94">
        <f>IF(H2497=1,INDEX(ar_Date,491),"")</f>
        <v/>
      </c>
      <c r="F2497" s="58">
        <f>IF(H2497=1,INDEX(ar_Desc,491)&amp;"","")</f>
        <v/>
      </c>
      <c r="G2497" s="58">
        <f>IF(H2497=1,INDEX(ar_Party,491)&amp;"","")</f>
        <v/>
      </c>
      <c r="H2497" s="101">
        <f>IFERROR(N(INDEX(ar_Posted,491)),0)</f>
        <v/>
      </c>
      <c r="I2497" s="58">
        <f>IF(H2497=1,INDEX(ar_DrAcct,491)&amp;"","")</f>
        <v/>
      </c>
      <c r="J2497" s="95">
        <f>IF(H2497=1,INDEX(ar_DrAmt,491),0)</f>
        <v/>
      </c>
      <c r="K2497" s="58">
        <f>IF(H2497=1,INDEX(ar_CrAcct,491)&amp;"","")</f>
        <v/>
      </c>
      <c r="L2497" s="95">
        <f>IF(H2497=1,INDEX(ar_CrAmt,491),0)</f>
        <v/>
      </c>
      <c r="M2497" s="95" t="n">
        <v>0</v>
      </c>
      <c r="N2497" s="95">
        <f>IF(H2497=1,INDEX(ar_TaxAmt,491),0)</f>
        <v/>
      </c>
      <c r="O2497" s="101">
        <f>IF(H2497=1,IF(E2497&lt;FYStart,0,IF(E2497&gt;FYEnd,13,YEAR(E2497)*12+MONTH(E2497)-FYYM+1)),"")</f>
        <v/>
      </c>
      <c r="P2497" s="101">
        <f>IF(H2497=1,IF(IFERROR(INDEX(coa_CF,MATCH(I2497,coa_Name,0)),"")="Cash",1,0),0)</f>
        <v/>
      </c>
      <c r="Q2497" s="101">
        <f>IF(H2497=1,IF(IFERROR(INDEX(coa_CF,MATCH(K2497,coa_Name,0)),"")="Cash",1,0),0)</f>
        <v/>
      </c>
      <c r="R2497" s="58">
        <f>IF((P2497-Q2497)=0,"",IFERROR(INDEX(coa_CF,MATCH(IF((P2497-Q2497)=1,K2497,I2497),coa_Name,0)),"Operating"))</f>
        <v/>
      </c>
      <c r="S2497" s="95">
        <f>IF((P2497-Q2497)=1,L2497,IF((P2497-Q2497)=-1,-J2497,0))</f>
        <v/>
      </c>
      <c r="T2497" s="95">
        <f>IF((P2497-Q2497)=1,N2497,IF((P2497-Q2497)=-1,-M2497,0))</f>
        <v/>
      </c>
      <c r="U2497" s="101">
        <f>IF(AND(H2497=1,LedAcct&lt;&gt;""),IF(AND(E2497&gt;=LedFrom,E2497&lt;=LedTo,OR(I2497=LedAcct,K2497=LedAcct,AND(LedAcct=acctTax,M2497+N2497&lt;&gt;0))),E2497*10000+B2497,""),"")</f>
        <v/>
      </c>
    </row>
    <row r="2498">
      <c r="B2498" s="101" t="n">
        <v>2492</v>
      </c>
      <c r="C2498" s="58" t="inlineStr">
        <is>
          <t>Invoice</t>
        </is>
      </c>
      <c r="D2498" s="58">
        <f>IF(H2498=1,INDEX(ar_No,492)&amp;"","")</f>
        <v/>
      </c>
      <c r="E2498" s="94">
        <f>IF(H2498=1,INDEX(ar_Date,492),"")</f>
        <v/>
      </c>
      <c r="F2498" s="58">
        <f>IF(H2498=1,INDEX(ar_Desc,492)&amp;"","")</f>
        <v/>
      </c>
      <c r="G2498" s="58">
        <f>IF(H2498=1,INDEX(ar_Party,492)&amp;"","")</f>
        <v/>
      </c>
      <c r="H2498" s="101">
        <f>IFERROR(N(INDEX(ar_Posted,492)),0)</f>
        <v/>
      </c>
      <c r="I2498" s="58">
        <f>IF(H2498=1,INDEX(ar_DrAcct,492)&amp;"","")</f>
        <v/>
      </c>
      <c r="J2498" s="95">
        <f>IF(H2498=1,INDEX(ar_DrAmt,492),0)</f>
        <v/>
      </c>
      <c r="K2498" s="58">
        <f>IF(H2498=1,INDEX(ar_CrAcct,492)&amp;"","")</f>
        <v/>
      </c>
      <c r="L2498" s="95">
        <f>IF(H2498=1,INDEX(ar_CrAmt,492),0)</f>
        <v/>
      </c>
      <c r="M2498" s="95" t="n">
        <v>0</v>
      </c>
      <c r="N2498" s="95">
        <f>IF(H2498=1,INDEX(ar_TaxAmt,492),0)</f>
        <v/>
      </c>
      <c r="O2498" s="101">
        <f>IF(H2498=1,IF(E2498&lt;FYStart,0,IF(E2498&gt;FYEnd,13,YEAR(E2498)*12+MONTH(E2498)-FYYM+1)),"")</f>
        <v/>
      </c>
      <c r="P2498" s="101">
        <f>IF(H2498=1,IF(IFERROR(INDEX(coa_CF,MATCH(I2498,coa_Name,0)),"")="Cash",1,0),0)</f>
        <v/>
      </c>
      <c r="Q2498" s="101">
        <f>IF(H2498=1,IF(IFERROR(INDEX(coa_CF,MATCH(K2498,coa_Name,0)),"")="Cash",1,0),0)</f>
        <v/>
      </c>
      <c r="R2498" s="58">
        <f>IF((P2498-Q2498)=0,"",IFERROR(INDEX(coa_CF,MATCH(IF((P2498-Q2498)=1,K2498,I2498),coa_Name,0)),"Operating"))</f>
        <v/>
      </c>
      <c r="S2498" s="95">
        <f>IF((P2498-Q2498)=1,L2498,IF((P2498-Q2498)=-1,-J2498,0))</f>
        <v/>
      </c>
      <c r="T2498" s="95">
        <f>IF((P2498-Q2498)=1,N2498,IF((P2498-Q2498)=-1,-M2498,0))</f>
        <v/>
      </c>
      <c r="U2498" s="101">
        <f>IF(AND(H2498=1,LedAcct&lt;&gt;""),IF(AND(E2498&gt;=LedFrom,E2498&lt;=LedTo,OR(I2498=LedAcct,K2498=LedAcct,AND(LedAcct=acctTax,M2498+N2498&lt;&gt;0))),E2498*10000+B2498,""),"")</f>
        <v/>
      </c>
    </row>
    <row r="2499">
      <c r="B2499" s="101" t="n">
        <v>2493</v>
      </c>
      <c r="C2499" s="58" t="inlineStr">
        <is>
          <t>Invoice</t>
        </is>
      </c>
      <c r="D2499" s="58">
        <f>IF(H2499=1,INDEX(ar_No,493)&amp;"","")</f>
        <v/>
      </c>
      <c r="E2499" s="94">
        <f>IF(H2499=1,INDEX(ar_Date,493),"")</f>
        <v/>
      </c>
      <c r="F2499" s="58">
        <f>IF(H2499=1,INDEX(ar_Desc,493)&amp;"","")</f>
        <v/>
      </c>
      <c r="G2499" s="58">
        <f>IF(H2499=1,INDEX(ar_Party,493)&amp;"","")</f>
        <v/>
      </c>
      <c r="H2499" s="101">
        <f>IFERROR(N(INDEX(ar_Posted,493)),0)</f>
        <v/>
      </c>
      <c r="I2499" s="58">
        <f>IF(H2499=1,INDEX(ar_DrAcct,493)&amp;"","")</f>
        <v/>
      </c>
      <c r="J2499" s="95">
        <f>IF(H2499=1,INDEX(ar_DrAmt,493),0)</f>
        <v/>
      </c>
      <c r="K2499" s="58">
        <f>IF(H2499=1,INDEX(ar_CrAcct,493)&amp;"","")</f>
        <v/>
      </c>
      <c r="L2499" s="95">
        <f>IF(H2499=1,INDEX(ar_CrAmt,493),0)</f>
        <v/>
      </c>
      <c r="M2499" s="95" t="n">
        <v>0</v>
      </c>
      <c r="N2499" s="95">
        <f>IF(H2499=1,INDEX(ar_TaxAmt,493),0)</f>
        <v/>
      </c>
      <c r="O2499" s="101">
        <f>IF(H2499=1,IF(E2499&lt;FYStart,0,IF(E2499&gt;FYEnd,13,YEAR(E2499)*12+MONTH(E2499)-FYYM+1)),"")</f>
        <v/>
      </c>
      <c r="P2499" s="101">
        <f>IF(H2499=1,IF(IFERROR(INDEX(coa_CF,MATCH(I2499,coa_Name,0)),"")="Cash",1,0),0)</f>
        <v/>
      </c>
      <c r="Q2499" s="101">
        <f>IF(H2499=1,IF(IFERROR(INDEX(coa_CF,MATCH(K2499,coa_Name,0)),"")="Cash",1,0),0)</f>
        <v/>
      </c>
      <c r="R2499" s="58">
        <f>IF((P2499-Q2499)=0,"",IFERROR(INDEX(coa_CF,MATCH(IF((P2499-Q2499)=1,K2499,I2499),coa_Name,0)),"Operating"))</f>
        <v/>
      </c>
      <c r="S2499" s="95">
        <f>IF((P2499-Q2499)=1,L2499,IF((P2499-Q2499)=-1,-J2499,0))</f>
        <v/>
      </c>
      <c r="T2499" s="95">
        <f>IF((P2499-Q2499)=1,N2499,IF((P2499-Q2499)=-1,-M2499,0))</f>
        <v/>
      </c>
      <c r="U2499" s="101">
        <f>IF(AND(H2499=1,LedAcct&lt;&gt;""),IF(AND(E2499&gt;=LedFrom,E2499&lt;=LedTo,OR(I2499=LedAcct,K2499=LedAcct,AND(LedAcct=acctTax,M2499+N2499&lt;&gt;0))),E2499*10000+B2499,""),"")</f>
        <v/>
      </c>
    </row>
    <row r="2500">
      <c r="B2500" s="101" t="n">
        <v>2494</v>
      </c>
      <c r="C2500" s="58" t="inlineStr">
        <is>
          <t>Invoice</t>
        </is>
      </c>
      <c r="D2500" s="58">
        <f>IF(H2500=1,INDEX(ar_No,494)&amp;"","")</f>
        <v/>
      </c>
      <c r="E2500" s="94">
        <f>IF(H2500=1,INDEX(ar_Date,494),"")</f>
        <v/>
      </c>
      <c r="F2500" s="58">
        <f>IF(H2500=1,INDEX(ar_Desc,494)&amp;"","")</f>
        <v/>
      </c>
      <c r="G2500" s="58">
        <f>IF(H2500=1,INDEX(ar_Party,494)&amp;"","")</f>
        <v/>
      </c>
      <c r="H2500" s="101">
        <f>IFERROR(N(INDEX(ar_Posted,494)),0)</f>
        <v/>
      </c>
      <c r="I2500" s="58">
        <f>IF(H2500=1,INDEX(ar_DrAcct,494)&amp;"","")</f>
        <v/>
      </c>
      <c r="J2500" s="95">
        <f>IF(H2500=1,INDEX(ar_DrAmt,494),0)</f>
        <v/>
      </c>
      <c r="K2500" s="58">
        <f>IF(H2500=1,INDEX(ar_CrAcct,494)&amp;"","")</f>
        <v/>
      </c>
      <c r="L2500" s="95">
        <f>IF(H2500=1,INDEX(ar_CrAmt,494),0)</f>
        <v/>
      </c>
      <c r="M2500" s="95" t="n">
        <v>0</v>
      </c>
      <c r="N2500" s="95">
        <f>IF(H2500=1,INDEX(ar_TaxAmt,494),0)</f>
        <v/>
      </c>
      <c r="O2500" s="101">
        <f>IF(H2500=1,IF(E2500&lt;FYStart,0,IF(E2500&gt;FYEnd,13,YEAR(E2500)*12+MONTH(E2500)-FYYM+1)),"")</f>
        <v/>
      </c>
      <c r="P2500" s="101">
        <f>IF(H2500=1,IF(IFERROR(INDEX(coa_CF,MATCH(I2500,coa_Name,0)),"")="Cash",1,0),0)</f>
        <v/>
      </c>
      <c r="Q2500" s="101">
        <f>IF(H2500=1,IF(IFERROR(INDEX(coa_CF,MATCH(K2500,coa_Name,0)),"")="Cash",1,0),0)</f>
        <v/>
      </c>
      <c r="R2500" s="58">
        <f>IF((P2500-Q2500)=0,"",IFERROR(INDEX(coa_CF,MATCH(IF((P2500-Q2500)=1,K2500,I2500),coa_Name,0)),"Operating"))</f>
        <v/>
      </c>
      <c r="S2500" s="95">
        <f>IF((P2500-Q2500)=1,L2500,IF((P2500-Q2500)=-1,-J2500,0))</f>
        <v/>
      </c>
      <c r="T2500" s="95">
        <f>IF((P2500-Q2500)=1,N2500,IF((P2500-Q2500)=-1,-M2500,0))</f>
        <v/>
      </c>
      <c r="U2500" s="101">
        <f>IF(AND(H2500=1,LedAcct&lt;&gt;""),IF(AND(E2500&gt;=LedFrom,E2500&lt;=LedTo,OR(I2500=LedAcct,K2500=LedAcct,AND(LedAcct=acctTax,M2500+N2500&lt;&gt;0))),E2500*10000+B2500,""),"")</f>
        <v/>
      </c>
    </row>
    <row r="2501">
      <c r="B2501" s="101" t="n">
        <v>2495</v>
      </c>
      <c r="C2501" s="58" t="inlineStr">
        <is>
          <t>Invoice</t>
        </is>
      </c>
      <c r="D2501" s="58">
        <f>IF(H2501=1,INDEX(ar_No,495)&amp;"","")</f>
        <v/>
      </c>
      <c r="E2501" s="94">
        <f>IF(H2501=1,INDEX(ar_Date,495),"")</f>
        <v/>
      </c>
      <c r="F2501" s="58">
        <f>IF(H2501=1,INDEX(ar_Desc,495)&amp;"","")</f>
        <v/>
      </c>
      <c r="G2501" s="58">
        <f>IF(H2501=1,INDEX(ar_Party,495)&amp;"","")</f>
        <v/>
      </c>
      <c r="H2501" s="101">
        <f>IFERROR(N(INDEX(ar_Posted,495)),0)</f>
        <v/>
      </c>
      <c r="I2501" s="58">
        <f>IF(H2501=1,INDEX(ar_DrAcct,495)&amp;"","")</f>
        <v/>
      </c>
      <c r="J2501" s="95">
        <f>IF(H2501=1,INDEX(ar_DrAmt,495),0)</f>
        <v/>
      </c>
      <c r="K2501" s="58">
        <f>IF(H2501=1,INDEX(ar_CrAcct,495)&amp;"","")</f>
        <v/>
      </c>
      <c r="L2501" s="95">
        <f>IF(H2501=1,INDEX(ar_CrAmt,495),0)</f>
        <v/>
      </c>
      <c r="M2501" s="95" t="n">
        <v>0</v>
      </c>
      <c r="N2501" s="95">
        <f>IF(H2501=1,INDEX(ar_TaxAmt,495),0)</f>
        <v/>
      </c>
      <c r="O2501" s="101">
        <f>IF(H2501=1,IF(E2501&lt;FYStart,0,IF(E2501&gt;FYEnd,13,YEAR(E2501)*12+MONTH(E2501)-FYYM+1)),"")</f>
        <v/>
      </c>
      <c r="P2501" s="101">
        <f>IF(H2501=1,IF(IFERROR(INDEX(coa_CF,MATCH(I2501,coa_Name,0)),"")="Cash",1,0),0)</f>
        <v/>
      </c>
      <c r="Q2501" s="101">
        <f>IF(H2501=1,IF(IFERROR(INDEX(coa_CF,MATCH(K2501,coa_Name,0)),"")="Cash",1,0),0)</f>
        <v/>
      </c>
      <c r="R2501" s="58">
        <f>IF((P2501-Q2501)=0,"",IFERROR(INDEX(coa_CF,MATCH(IF((P2501-Q2501)=1,K2501,I2501),coa_Name,0)),"Operating"))</f>
        <v/>
      </c>
      <c r="S2501" s="95">
        <f>IF((P2501-Q2501)=1,L2501,IF((P2501-Q2501)=-1,-J2501,0))</f>
        <v/>
      </c>
      <c r="T2501" s="95">
        <f>IF((P2501-Q2501)=1,N2501,IF((P2501-Q2501)=-1,-M2501,0))</f>
        <v/>
      </c>
      <c r="U2501" s="101">
        <f>IF(AND(H2501=1,LedAcct&lt;&gt;""),IF(AND(E2501&gt;=LedFrom,E2501&lt;=LedTo,OR(I2501=LedAcct,K2501=LedAcct,AND(LedAcct=acctTax,M2501+N2501&lt;&gt;0))),E2501*10000+B2501,""),"")</f>
        <v/>
      </c>
    </row>
    <row r="2502">
      <c r="B2502" s="101" t="n">
        <v>2496</v>
      </c>
      <c r="C2502" s="58" t="inlineStr">
        <is>
          <t>Invoice</t>
        </is>
      </c>
      <c r="D2502" s="58">
        <f>IF(H2502=1,INDEX(ar_No,496)&amp;"","")</f>
        <v/>
      </c>
      <c r="E2502" s="94">
        <f>IF(H2502=1,INDEX(ar_Date,496),"")</f>
        <v/>
      </c>
      <c r="F2502" s="58">
        <f>IF(H2502=1,INDEX(ar_Desc,496)&amp;"","")</f>
        <v/>
      </c>
      <c r="G2502" s="58">
        <f>IF(H2502=1,INDEX(ar_Party,496)&amp;"","")</f>
        <v/>
      </c>
      <c r="H2502" s="101">
        <f>IFERROR(N(INDEX(ar_Posted,496)),0)</f>
        <v/>
      </c>
      <c r="I2502" s="58">
        <f>IF(H2502=1,INDEX(ar_DrAcct,496)&amp;"","")</f>
        <v/>
      </c>
      <c r="J2502" s="95">
        <f>IF(H2502=1,INDEX(ar_DrAmt,496),0)</f>
        <v/>
      </c>
      <c r="K2502" s="58">
        <f>IF(H2502=1,INDEX(ar_CrAcct,496)&amp;"","")</f>
        <v/>
      </c>
      <c r="L2502" s="95">
        <f>IF(H2502=1,INDEX(ar_CrAmt,496),0)</f>
        <v/>
      </c>
      <c r="M2502" s="95" t="n">
        <v>0</v>
      </c>
      <c r="N2502" s="95">
        <f>IF(H2502=1,INDEX(ar_TaxAmt,496),0)</f>
        <v/>
      </c>
      <c r="O2502" s="101">
        <f>IF(H2502=1,IF(E2502&lt;FYStart,0,IF(E2502&gt;FYEnd,13,YEAR(E2502)*12+MONTH(E2502)-FYYM+1)),"")</f>
        <v/>
      </c>
      <c r="P2502" s="101">
        <f>IF(H2502=1,IF(IFERROR(INDEX(coa_CF,MATCH(I2502,coa_Name,0)),"")="Cash",1,0),0)</f>
        <v/>
      </c>
      <c r="Q2502" s="101">
        <f>IF(H2502=1,IF(IFERROR(INDEX(coa_CF,MATCH(K2502,coa_Name,0)),"")="Cash",1,0),0)</f>
        <v/>
      </c>
      <c r="R2502" s="58">
        <f>IF((P2502-Q2502)=0,"",IFERROR(INDEX(coa_CF,MATCH(IF((P2502-Q2502)=1,K2502,I2502),coa_Name,0)),"Operating"))</f>
        <v/>
      </c>
      <c r="S2502" s="95">
        <f>IF((P2502-Q2502)=1,L2502,IF((P2502-Q2502)=-1,-J2502,0))</f>
        <v/>
      </c>
      <c r="T2502" s="95">
        <f>IF((P2502-Q2502)=1,N2502,IF((P2502-Q2502)=-1,-M2502,0))</f>
        <v/>
      </c>
      <c r="U2502" s="101">
        <f>IF(AND(H2502=1,LedAcct&lt;&gt;""),IF(AND(E2502&gt;=LedFrom,E2502&lt;=LedTo,OR(I2502=LedAcct,K2502=LedAcct,AND(LedAcct=acctTax,M2502+N2502&lt;&gt;0))),E2502*10000+B2502,""),"")</f>
        <v/>
      </c>
    </row>
    <row r="2503">
      <c r="B2503" s="101" t="n">
        <v>2497</v>
      </c>
      <c r="C2503" s="58" t="inlineStr">
        <is>
          <t>Invoice</t>
        </is>
      </c>
      <c r="D2503" s="58">
        <f>IF(H2503=1,INDEX(ar_No,497)&amp;"","")</f>
        <v/>
      </c>
      <c r="E2503" s="94">
        <f>IF(H2503=1,INDEX(ar_Date,497),"")</f>
        <v/>
      </c>
      <c r="F2503" s="58">
        <f>IF(H2503=1,INDEX(ar_Desc,497)&amp;"","")</f>
        <v/>
      </c>
      <c r="G2503" s="58">
        <f>IF(H2503=1,INDEX(ar_Party,497)&amp;"","")</f>
        <v/>
      </c>
      <c r="H2503" s="101">
        <f>IFERROR(N(INDEX(ar_Posted,497)),0)</f>
        <v/>
      </c>
      <c r="I2503" s="58">
        <f>IF(H2503=1,INDEX(ar_DrAcct,497)&amp;"","")</f>
        <v/>
      </c>
      <c r="J2503" s="95">
        <f>IF(H2503=1,INDEX(ar_DrAmt,497),0)</f>
        <v/>
      </c>
      <c r="K2503" s="58">
        <f>IF(H2503=1,INDEX(ar_CrAcct,497)&amp;"","")</f>
        <v/>
      </c>
      <c r="L2503" s="95">
        <f>IF(H2503=1,INDEX(ar_CrAmt,497),0)</f>
        <v/>
      </c>
      <c r="M2503" s="95" t="n">
        <v>0</v>
      </c>
      <c r="N2503" s="95">
        <f>IF(H2503=1,INDEX(ar_TaxAmt,497),0)</f>
        <v/>
      </c>
      <c r="O2503" s="101">
        <f>IF(H2503=1,IF(E2503&lt;FYStart,0,IF(E2503&gt;FYEnd,13,YEAR(E2503)*12+MONTH(E2503)-FYYM+1)),"")</f>
        <v/>
      </c>
      <c r="P2503" s="101">
        <f>IF(H2503=1,IF(IFERROR(INDEX(coa_CF,MATCH(I2503,coa_Name,0)),"")="Cash",1,0),0)</f>
        <v/>
      </c>
      <c r="Q2503" s="101">
        <f>IF(H2503=1,IF(IFERROR(INDEX(coa_CF,MATCH(K2503,coa_Name,0)),"")="Cash",1,0),0)</f>
        <v/>
      </c>
      <c r="R2503" s="58">
        <f>IF((P2503-Q2503)=0,"",IFERROR(INDEX(coa_CF,MATCH(IF((P2503-Q2503)=1,K2503,I2503),coa_Name,0)),"Operating"))</f>
        <v/>
      </c>
      <c r="S2503" s="95">
        <f>IF((P2503-Q2503)=1,L2503,IF((P2503-Q2503)=-1,-J2503,0))</f>
        <v/>
      </c>
      <c r="T2503" s="95">
        <f>IF((P2503-Q2503)=1,N2503,IF((P2503-Q2503)=-1,-M2503,0))</f>
        <v/>
      </c>
      <c r="U2503" s="101">
        <f>IF(AND(H2503=1,LedAcct&lt;&gt;""),IF(AND(E2503&gt;=LedFrom,E2503&lt;=LedTo,OR(I2503=LedAcct,K2503=LedAcct,AND(LedAcct=acctTax,M2503+N2503&lt;&gt;0))),E2503*10000+B2503,""),"")</f>
        <v/>
      </c>
    </row>
    <row r="2504">
      <c r="B2504" s="101" t="n">
        <v>2498</v>
      </c>
      <c r="C2504" s="58" t="inlineStr">
        <is>
          <t>Invoice</t>
        </is>
      </c>
      <c r="D2504" s="58">
        <f>IF(H2504=1,INDEX(ar_No,498)&amp;"","")</f>
        <v/>
      </c>
      <c r="E2504" s="94">
        <f>IF(H2504=1,INDEX(ar_Date,498),"")</f>
        <v/>
      </c>
      <c r="F2504" s="58">
        <f>IF(H2504=1,INDEX(ar_Desc,498)&amp;"","")</f>
        <v/>
      </c>
      <c r="G2504" s="58">
        <f>IF(H2504=1,INDEX(ar_Party,498)&amp;"","")</f>
        <v/>
      </c>
      <c r="H2504" s="101">
        <f>IFERROR(N(INDEX(ar_Posted,498)),0)</f>
        <v/>
      </c>
      <c r="I2504" s="58">
        <f>IF(H2504=1,INDEX(ar_DrAcct,498)&amp;"","")</f>
        <v/>
      </c>
      <c r="J2504" s="95">
        <f>IF(H2504=1,INDEX(ar_DrAmt,498),0)</f>
        <v/>
      </c>
      <c r="K2504" s="58">
        <f>IF(H2504=1,INDEX(ar_CrAcct,498)&amp;"","")</f>
        <v/>
      </c>
      <c r="L2504" s="95">
        <f>IF(H2504=1,INDEX(ar_CrAmt,498),0)</f>
        <v/>
      </c>
      <c r="M2504" s="95" t="n">
        <v>0</v>
      </c>
      <c r="N2504" s="95">
        <f>IF(H2504=1,INDEX(ar_TaxAmt,498),0)</f>
        <v/>
      </c>
      <c r="O2504" s="101">
        <f>IF(H2504=1,IF(E2504&lt;FYStart,0,IF(E2504&gt;FYEnd,13,YEAR(E2504)*12+MONTH(E2504)-FYYM+1)),"")</f>
        <v/>
      </c>
      <c r="P2504" s="101">
        <f>IF(H2504=1,IF(IFERROR(INDEX(coa_CF,MATCH(I2504,coa_Name,0)),"")="Cash",1,0),0)</f>
        <v/>
      </c>
      <c r="Q2504" s="101">
        <f>IF(H2504=1,IF(IFERROR(INDEX(coa_CF,MATCH(K2504,coa_Name,0)),"")="Cash",1,0),0)</f>
        <v/>
      </c>
      <c r="R2504" s="58">
        <f>IF((P2504-Q2504)=0,"",IFERROR(INDEX(coa_CF,MATCH(IF((P2504-Q2504)=1,K2504,I2504),coa_Name,0)),"Operating"))</f>
        <v/>
      </c>
      <c r="S2504" s="95">
        <f>IF((P2504-Q2504)=1,L2504,IF((P2504-Q2504)=-1,-J2504,0))</f>
        <v/>
      </c>
      <c r="T2504" s="95">
        <f>IF((P2504-Q2504)=1,N2504,IF((P2504-Q2504)=-1,-M2504,0))</f>
        <v/>
      </c>
      <c r="U2504" s="101">
        <f>IF(AND(H2504=1,LedAcct&lt;&gt;""),IF(AND(E2504&gt;=LedFrom,E2504&lt;=LedTo,OR(I2504=LedAcct,K2504=LedAcct,AND(LedAcct=acctTax,M2504+N2504&lt;&gt;0))),E2504*10000+B2504,""),"")</f>
        <v/>
      </c>
    </row>
    <row r="2505">
      <c r="B2505" s="101" t="n">
        <v>2499</v>
      </c>
      <c r="C2505" s="58" t="inlineStr">
        <is>
          <t>Invoice</t>
        </is>
      </c>
      <c r="D2505" s="58">
        <f>IF(H2505=1,INDEX(ar_No,499)&amp;"","")</f>
        <v/>
      </c>
      <c r="E2505" s="94">
        <f>IF(H2505=1,INDEX(ar_Date,499),"")</f>
        <v/>
      </c>
      <c r="F2505" s="58">
        <f>IF(H2505=1,INDEX(ar_Desc,499)&amp;"","")</f>
        <v/>
      </c>
      <c r="G2505" s="58">
        <f>IF(H2505=1,INDEX(ar_Party,499)&amp;"","")</f>
        <v/>
      </c>
      <c r="H2505" s="101">
        <f>IFERROR(N(INDEX(ar_Posted,499)),0)</f>
        <v/>
      </c>
      <c r="I2505" s="58">
        <f>IF(H2505=1,INDEX(ar_DrAcct,499)&amp;"","")</f>
        <v/>
      </c>
      <c r="J2505" s="95">
        <f>IF(H2505=1,INDEX(ar_DrAmt,499),0)</f>
        <v/>
      </c>
      <c r="K2505" s="58">
        <f>IF(H2505=1,INDEX(ar_CrAcct,499)&amp;"","")</f>
        <v/>
      </c>
      <c r="L2505" s="95">
        <f>IF(H2505=1,INDEX(ar_CrAmt,499),0)</f>
        <v/>
      </c>
      <c r="M2505" s="95" t="n">
        <v>0</v>
      </c>
      <c r="N2505" s="95">
        <f>IF(H2505=1,INDEX(ar_TaxAmt,499),0)</f>
        <v/>
      </c>
      <c r="O2505" s="101">
        <f>IF(H2505=1,IF(E2505&lt;FYStart,0,IF(E2505&gt;FYEnd,13,YEAR(E2505)*12+MONTH(E2505)-FYYM+1)),"")</f>
        <v/>
      </c>
      <c r="P2505" s="101">
        <f>IF(H2505=1,IF(IFERROR(INDEX(coa_CF,MATCH(I2505,coa_Name,0)),"")="Cash",1,0),0)</f>
        <v/>
      </c>
      <c r="Q2505" s="101">
        <f>IF(H2505=1,IF(IFERROR(INDEX(coa_CF,MATCH(K2505,coa_Name,0)),"")="Cash",1,0),0)</f>
        <v/>
      </c>
      <c r="R2505" s="58">
        <f>IF((P2505-Q2505)=0,"",IFERROR(INDEX(coa_CF,MATCH(IF((P2505-Q2505)=1,K2505,I2505),coa_Name,0)),"Operating"))</f>
        <v/>
      </c>
      <c r="S2505" s="95">
        <f>IF((P2505-Q2505)=1,L2505,IF((P2505-Q2505)=-1,-J2505,0))</f>
        <v/>
      </c>
      <c r="T2505" s="95">
        <f>IF((P2505-Q2505)=1,N2505,IF((P2505-Q2505)=-1,-M2505,0))</f>
        <v/>
      </c>
      <c r="U2505" s="101">
        <f>IF(AND(H2505=1,LedAcct&lt;&gt;""),IF(AND(E2505&gt;=LedFrom,E2505&lt;=LedTo,OR(I2505=LedAcct,K2505=LedAcct,AND(LedAcct=acctTax,M2505+N2505&lt;&gt;0))),E2505*10000+B2505,""),"")</f>
        <v/>
      </c>
    </row>
    <row r="2506">
      <c r="B2506" s="101" t="n">
        <v>2500</v>
      </c>
      <c r="C2506" s="58" t="inlineStr">
        <is>
          <t>Invoice</t>
        </is>
      </c>
      <c r="D2506" s="58">
        <f>IF(H2506=1,INDEX(ar_No,500)&amp;"","")</f>
        <v/>
      </c>
      <c r="E2506" s="94">
        <f>IF(H2506=1,INDEX(ar_Date,500),"")</f>
        <v/>
      </c>
      <c r="F2506" s="58">
        <f>IF(H2506=1,INDEX(ar_Desc,500)&amp;"","")</f>
        <v/>
      </c>
      <c r="G2506" s="58">
        <f>IF(H2506=1,INDEX(ar_Party,500)&amp;"","")</f>
        <v/>
      </c>
      <c r="H2506" s="101">
        <f>IFERROR(N(INDEX(ar_Posted,500)),0)</f>
        <v/>
      </c>
      <c r="I2506" s="58">
        <f>IF(H2506=1,INDEX(ar_DrAcct,500)&amp;"","")</f>
        <v/>
      </c>
      <c r="J2506" s="95">
        <f>IF(H2506=1,INDEX(ar_DrAmt,500),0)</f>
        <v/>
      </c>
      <c r="K2506" s="58">
        <f>IF(H2506=1,INDEX(ar_CrAcct,500)&amp;"","")</f>
        <v/>
      </c>
      <c r="L2506" s="95">
        <f>IF(H2506=1,INDEX(ar_CrAmt,500),0)</f>
        <v/>
      </c>
      <c r="M2506" s="95" t="n">
        <v>0</v>
      </c>
      <c r="N2506" s="95">
        <f>IF(H2506=1,INDEX(ar_TaxAmt,500),0)</f>
        <v/>
      </c>
      <c r="O2506" s="101">
        <f>IF(H2506=1,IF(E2506&lt;FYStart,0,IF(E2506&gt;FYEnd,13,YEAR(E2506)*12+MONTH(E2506)-FYYM+1)),"")</f>
        <v/>
      </c>
      <c r="P2506" s="101">
        <f>IF(H2506=1,IF(IFERROR(INDEX(coa_CF,MATCH(I2506,coa_Name,0)),"")="Cash",1,0),0)</f>
        <v/>
      </c>
      <c r="Q2506" s="101">
        <f>IF(H2506=1,IF(IFERROR(INDEX(coa_CF,MATCH(K2506,coa_Name,0)),"")="Cash",1,0),0)</f>
        <v/>
      </c>
      <c r="R2506" s="58">
        <f>IF((P2506-Q2506)=0,"",IFERROR(INDEX(coa_CF,MATCH(IF((P2506-Q2506)=1,K2506,I2506),coa_Name,0)),"Operating"))</f>
        <v/>
      </c>
      <c r="S2506" s="95">
        <f>IF((P2506-Q2506)=1,L2506,IF((P2506-Q2506)=-1,-J2506,0))</f>
        <v/>
      </c>
      <c r="T2506" s="95">
        <f>IF((P2506-Q2506)=1,N2506,IF((P2506-Q2506)=-1,-M2506,0))</f>
        <v/>
      </c>
      <c r="U2506" s="101">
        <f>IF(AND(H2506=1,LedAcct&lt;&gt;""),IF(AND(E2506&gt;=LedFrom,E2506&lt;=LedTo,OR(I2506=LedAcct,K2506=LedAcct,AND(LedAcct=acctTax,M2506+N2506&lt;&gt;0))),E2506*10000+B2506,""),"")</f>
        <v/>
      </c>
    </row>
    <row r="2507">
      <c r="B2507" s="101" t="n">
        <v>2501</v>
      </c>
      <c r="C2507" s="58" t="inlineStr">
        <is>
          <t>Bill</t>
        </is>
      </c>
      <c r="D2507" s="58">
        <f>IF(H2507=1,INDEX(ap_No,1)&amp;"","")</f>
        <v/>
      </c>
      <c r="E2507" s="94">
        <f>IF(H2507=1,INDEX(ap_Date,1),"")</f>
        <v/>
      </c>
      <c r="F2507" s="58">
        <f>IF(H2507=1,INDEX(ap_Desc,1)&amp;"","")</f>
        <v/>
      </c>
      <c r="G2507" s="58">
        <f>IF(H2507=1,INDEX(ap_Party,1)&amp;"","")</f>
        <v/>
      </c>
      <c r="H2507" s="101">
        <f>IFERROR(N(INDEX(ap_Posted,1)),0)</f>
        <v/>
      </c>
      <c r="I2507" s="58">
        <f>IF(H2507=1,INDEX(ap_DrAcct,1)&amp;"","")</f>
        <v/>
      </c>
      <c r="J2507" s="95">
        <f>IF(H2507=1,INDEX(ap_DrAmt,1),0)</f>
        <v/>
      </c>
      <c r="K2507" s="58">
        <f>IF(H2507=1,INDEX(ap_CrAcct,1)&amp;"","")</f>
        <v/>
      </c>
      <c r="L2507" s="95">
        <f>IF(H2507=1,INDEX(ap_CrAmt,1),0)</f>
        <v/>
      </c>
      <c r="M2507" s="95">
        <f>IF(H2507=1,INDEX(ap_TaxAmt,1),0)</f>
        <v/>
      </c>
      <c r="N2507" s="95" t="n">
        <v>0</v>
      </c>
      <c r="O2507" s="101">
        <f>IF(H2507=1,IF(E2507&lt;FYStart,0,IF(E2507&gt;FYEnd,13,YEAR(E2507)*12+MONTH(E2507)-FYYM+1)),"")</f>
        <v/>
      </c>
      <c r="P2507" s="101">
        <f>IF(H2507=1,IF(IFERROR(INDEX(coa_CF,MATCH(I2507,coa_Name,0)),"")="Cash",1,0),0)</f>
        <v/>
      </c>
      <c r="Q2507" s="101">
        <f>IF(H2507=1,IF(IFERROR(INDEX(coa_CF,MATCH(K2507,coa_Name,0)),"")="Cash",1,0),0)</f>
        <v/>
      </c>
      <c r="R2507" s="58">
        <f>IF((P2507-Q2507)=0,"",IFERROR(INDEX(coa_CF,MATCH(IF((P2507-Q2507)=1,K2507,I2507),coa_Name,0)),"Operating"))</f>
        <v/>
      </c>
      <c r="S2507" s="95">
        <f>IF((P2507-Q2507)=1,L2507,IF((P2507-Q2507)=-1,-J2507,0))</f>
        <v/>
      </c>
      <c r="T2507" s="95">
        <f>IF((P2507-Q2507)=1,N2507,IF((P2507-Q2507)=-1,-M2507,0))</f>
        <v/>
      </c>
      <c r="U2507" s="101">
        <f>IF(AND(H2507=1,LedAcct&lt;&gt;""),IF(AND(E2507&gt;=LedFrom,E2507&lt;=LedTo,OR(I2507=LedAcct,K2507=LedAcct,AND(LedAcct=acctTax,M2507+N2507&lt;&gt;0))),E2507*10000+B2507,""),"")</f>
        <v/>
      </c>
    </row>
    <row r="2508">
      <c r="B2508" s="101" t="n">
        <v>2502</v>
      </c>
      <c r="C2508" s="58" t="inlineStr">
        <is>
          <t>Bill</t>
        </is>
      </c>
      <c r="D2508" s="58">
        <f>IF(H2508=1,INDEX(ap_No,2)&amp;"","")</f>
        <v/>
      </c>
      <c r="E2508" s="94">
        <f>IF(H2508=1,INDEX(ap_Date,2),"")</f>
        <v/>
      </c>
      <c r="F2508" s="58">
        <f>IF(H2508=1,INDEX(ap_Desc,2)&amp;"","")</f>
        <v/>
      </c>
      <c r="G2508" s="58">
        <f>IF(H2508=1,INDEX(ap_Party,2)&amp;"","")</f>
        <v/>
      </c>
      <c r="H2508" s="101">
        <f>IFERROR(N(INDEX(ap_Posted,2)),0)</f>
        <v/>
      </c>
      <c r="I2508" s="58">
        <f>IF(H2508=1,INDEX(ap_DrAcct,2)&amp;"","")</f>
        <v/>
      </c>
      <c r="J2508" s="95">
        <f>IF(H2508=1,INDEX(ap_DrAmt,2),0)</f>
        <v/>
      </c>
      <c r="K2508" s="58">
        <f>IF(H2508=1,INDEX(ap_CrAcct,2)&amp;"","")</f>
        <v/>
      </c>
      <c r="L2508" s="95">
        <f>IF(H2508=1,INDEX(ap_CrAmt,2),0)</f>
        <v/>
      </c>
      <c r="M2508" s="95">
        <f>IF(H2508=1,INDEX(ap_TaxAmt,2),0)</f>
        <v/>
      </c>
      <c r="N2508" s="95" t="n">
        <v>0</v>
      </c>
      <c r="O2508" s="101">
        <f>IF(H2508=1,IF(E2508&lt;FYStart,0,IF(E2508&gt;FYEnd,13,YEAR(E2508)*12+MONTH(E2508)-FYYM+1)),"")</f>
        <v/>
      </c>
      <c r="P2508" s="101">
        <f>IF(H2508=1,IF(IFERROR(INDEX(coa_CF,MATCH(I2508,coa_Name,0)),"")="Cash",1,0),0)</f>
        <v/>
      </c>
      <c r="Q2508" s="101">
        <f>IF(H2508=1,IF(IFERROR(INDEX(coa_CF,MATCH(K2508,coa_Name,0)),"")="Cash",1,0),0)</f>
        <v/>
      </c>
      <c r="R2508" s="58">
        <f>IF((P2508-Q2508)=0,"",IFERROR(INDEX(coa_CF,MATCH(IF((P2508-Q2508)=1,K2508,I2508),coa_Name,0)),"Operating"))</f>
        <v/>
      </c>
      <c r="S2508" s="95">
        <f>IF((P2508-Q2508)=1,L2508,IF((P2508-Q2508)=-1,-J2508,0))</f>
        <v/>
      </c>
      <c r="T2508" s="95">
        <f>IF((P2508-Q2508)=1,N2508,IF((P2508-Q2508)=-1,-M2508,0))</f>
        <v/>
      </c>
      <c r="U2508" s="101">
        <f>IF(AND(H2508=1,LedAcct&lt;&gt;""),IF(AND(E2508&gt;=LedFrom,E2508&lt;=LedTo,OR(I2508=LedAcct,K2508=LedAcct,AND(LedAcct=acctTax,M2508+N2508&lt;&gt;0))),E2508*10000+B2508,""),"")</f>
        <v/>
      </c>
    </row>
    <row r="2509">
      <c r="B2509" s="101" t="n">
        <v>2503</v>
      </c>
      <c r="C2509" s="58" t="inlineStr">
        <is>
          <t>Bill</t>
        </is>
      </c>
      <c r="D2509" s="58">
        <f>IF(H2509=1,INDEX(ap_No,3)&amp;"","")</f>
        <v/>
      </c>
      <c r="E2509" s="94">
        <f>IF(H2509=1,INDEX(ap_Date,3),"")</f>
        <v/>
      </c>
      <c r="F2509" s="58">
        <f>IF(H2509=1,INDEX(ap_Desc,3)&amp;"","")</f>
        <v/>
      </c>
      <c r="G2509" s="58">
        <f>IF(H2509=1,INDEX(ap_Party,3)&amp;"","")</f>
        <v/>
      </c>
      <c r="H2509" s="101">
        <f>IFERROR(N(INDEX(ap_Posted,3)),0)</f>
        <v/>
      </c>
      <c r="I2509" s="58">
        <f>IF(H2509=1,INDEX(ap_DrAcct,3)&amp;"","")</f>
        <v/>
      </c>
      <c r="J2509" s="95">
        <f>IF(H2509=1,INDEX(ap_DrAmt,3),0)</f>
        <v/>
      </c>
      <c r="K2509" s="58">
        <f>IF(H2509=1,INDEX(ap_CrAcct,3)&amp;"","")</f>
        <v/>
      </c>
      <c r="L2509" s="95">
        <f>IF(H2509=1,INDEX(ap_CrAmt,3),0)</f>
        <v/>
      </c>
      <c r="M2509" s="95">
        <f>IF(H2509=1,INDEX(ap_TaxAmt,3),0)</f>
        <v/>
      </c>
      <c r="N2509" s="95" t="n">
        <v>0</v>
      </c>
      <c r="O2509" s="101">
        <f>IF(H2509=1,IF(E2509&lt;FYStart,0,IF(E2509&gt;FYEnd,13,YEAR(E2509)*12+MONTH(E2509)-FYYM+1)),"")</f>
        <v/>
      </c>
      <c r="P2509" s="101">
        <f>IF(H2509=1,IF(IFERROR(INDEX(coa_CF,MATCH(I2509,coa_Name,0)),"")="Cash",1,0),0)</f>
        <v/>
      </c>
      <c r="Q2509" s="101">
        <f>IF(H2509=1,IF(IFERROR(INDEX(coa_CF,MATCH(K2509,coa_Name,0)),"")="Cash",1,0),0)</f>
        <v/>
      </c>
      <c r="R2509" s="58">
        <f>IF((P2509-Q2509)=0,"",IFERROR(INDEX(coa_CF,MATCH(IF((P2509-Q2509)=1,K2509,I2509),coa_Name,0)),"Operating"))</f>
        <v/>
      </c>
      <c r="S2509" s="95">
        <f>IF((P2509-Q2509)=1,L2509,IF((P2509-Q2509)=-1,-J2509,0))</f>
        <v/>
      </c>
      <c r="T2509" s="95">
        <f>IF((P2509-Q2509)=1,N2509,IF((P2509-Q2509)=-1,-M2509,0))</f>
        <v/>
      </c>
      <c r="U2509" s="101">
        <f>IF(AND(H2509=1,LedAcct&lt;&gt;""),IF(AND(E2509&gt;=LedFrom,E2509&lt;=LedTo,OR(I2509=LedAcct,K2509=LedAcct,AND(LedAcct=acctTax,M2509+N2509&lt;&gt;0))),E2509*10000+B2509,""),"")</f>
        <v/>
      </c>
    </row>
    <row r="2510">
      <c r="B2510" s="101" t="n">
        <v>2504</v>
      </c>
      <c r="C2510" s="58" t="inlineStr">
        <is>
          <t>Bill</t>
        </is>
      </c>
      <c r="D2510" s="58">
        <f>IF(H2510=1,INDEX(ap_No,4)&amp;"","")</f>
        <v/>
      </c>
      <c r="E2510" s="94">
        <f>IF(H2510=1,INDEX(ap_Date,4),"")</f>
        <v/>
      </c>
      <c r="F2510" s="58">
        <f>IF(H2510=1,INDEX(ap_Desc,4)&amp;"","")</f>
        <v/>
      </c>
      <c r="G2510" s="58">
        <f>IF(H2510=1,INDEX(ap_Party,4)&amp;"","")</f>
        <v/>
      </c>
      <c r="H2510" s="101">
        <f>IFERROR(N(INDEX(ap_Posted,4)),0)</f>
        <v/>
      </c>
      <c r="I2510" s="58">
        <f>IF(H2510=1,INDEX(ap_DrAcct,4)&amp;"","")</f>
        <v/>
      </c>
      <c r="J2510" s="95">
        <f>IF(H2510=1,INDEX(ap_DrAmt,4),0)</f>
        <v/>
      </c>
      <c r="K2510" s="58">
        <f>IF(H2510=1,INDEX(ap_CrAcct,4)&amp;"","")</f>
        <v/>
      </c>
      <c r="L2510" s="95">
        <f>IF(H2510=1,INDEX(ap_CrAmt,4),0)</f>
        <v/>
      </c>
      <c r="M2510" s="95">
        <f>IF(H2510=1,INDEX(ap_TaxAmt,4),0)</f>
        <v/>
      </c>
      <c r="N2510" s="95" t="n">
        <v>0</v>
      </c>
      <c r="O2510" s="101">
        <f>IF(H2510=1,IF(E2510&lt;FYStart,0,IF(E2510&gt;FYEnd,13,YEAR(E2510)*12+MONTH(E2510)-FYYM+1)),"")</f>
        <v/>
      </c>
      <c r="P2510" s="101">
        <f>IF(H2510=1,IF(IFERROR(INDEX(coa_CF,MATCH(I2510,coa_Name,0)),"")="Cash",1,0),0)</f>
        <v/>
      </c>
      <c r="Q2510" s="101">
        <f>IF(H2510=1,IF(IFERROR(INDEX(coa_CF,MATCH(K2510,coa_Name,0)),"")="Cash",1,0),0)</f>
        <v/>
      </c>
      <c r="R2510" s="58">
        <f>IF((P2510-Q2510)=0,"",IFERROR(INDEX(coa_CF,MATCH(IF((P2510-Q2510)=1,K2510,I2510),coa_Name,0)),"Operating"))</f>
        <v/>
      </c>
      <c r="S2510" s="95">
        <f>IF((P2510-Q2510)=1,L2510,IF((P2510-Q2510)=-1,-J2510,0))</f>
        <v/>
      </c>
      <c r="T2510" s="95">
        <f>IF((P2510-Q2510)=1,N2510,IF((P2510-Q2510)=-1,-M2510,0))</f>
        <v/>
      </c>
      <c r="U2510" s="101">
        <f>IF(AND(H2510=1,LedAcct&lt;&gt;""),IF(AND(E2510&gt;=LedFrom,E2510&lt;=LedTo,OR(I2510=LedAcct,K2510=LedAcct,AND(LedAcct=acctTax,M2510+N2510&lt;&gt;0))),E2510*10000+B2510,""),"")</f>
        <v/>
      </c>
    </row>
    <row r="2511">
      <c r="B2511" s="101" t="n">
        <v>2505</v>
      </c>
      <c r="C2511" s="58" t="inlineStr">
        <is>
          <t>Bill</t>
        </is>
      </c>
      <c r="D2511" s="58">
        <f>IF(H2511=1,INDEX(ap_No,5)&amp;"","")</f>
        <v/>
      </c>
      <c r="E2511" s="94">
        <f>IF(H2511=1,INDEX(ap_Date,5),"")</f>
        <v/>
      </c>
      <c r="F2511" s="58">
        <f>IF(H2511=1,INDEX(ap_Desc,5)&amp;"","")</f>
        <v/>
      </c>
      <c r="G2511" s="58">
        <f>IF(H2511=1,INDEX(ap_Party,5)&amp;"","")</f>
        <v/>
      </c>
      <c r="H2511" s="101">
        <f>IFERROR(N(INDEX(ap_Posted,5)),0)</f>
        <v/>
      </c>
      <c r="I2511" s="58">
        <f>IF(H2511=1,INDEX(ap_DrAcct,5)&amp;"","")</f>
        <v/>
      </c>
      <c r="J2511" s="95">
        <f>IF(H2511=1,INDEX(ap_DrAmt,5),0)</f>
        <v/>
      </c>
      <c r="K2511" s="58">
        <f>IF(H2511=1,INDEX(ap_CrAcct,5)&amp;"","")</f>
        <v/>
      </c>
      <c r="L2511" s="95">
        <f>IF(H2511=1,INDEX(ap_CrAmt,5),0)</f>
        <v/>
      </c>
      <c r="M2511" s="95">
        <f>IF(H2511=1,INDEX(ap_TaxAmt,5),0)</f>
        <v/>
      </c>
      <c r="N2511" s="95" t="n">
        <v>0</v>
      </c>
      <c r="O2511" s="101">
        <f>IF(H2511=1,IF(E2511&lt;FYStart,0,IF(E2511&gt;FYEnd,13,YEAR(E2511)*12+MONTH(E2511)-FYYM+1)),"")</f>
        <v/>
      </c>
      <c r="P2511" s="101">
        <f>IF(H2511=1,IF(IFERROR(INDEX(coa_CF,MATCH(I2511,coa_Name,0)),"")="Cash",1,0),0)</f>
        <v/>
      </c>
      <c r="Q2511" s="101">
        <f>IF(H2511=1,IF(IFERROR(INDEX(coa_CF,MATCH(K2511,coa_Name,0)),"")="Cash",1,0),0)</f>
        <v/>
      </c>
      <c r="R2511" s="58">
        <f>IF((P2511-Q2511)=0,"",IFERROR(INDEX(coa_CF,MATCH(IF((P2511-Q2511)=1,K2511,I2511),coa_Name,0)),"Operating"))</f>
        <v/>
      </c>
      <c r="S2511" s="95">
        <f>IF((P2511-Q2511)=1,L2511,IF((P2511-Q2511)=-1,-J2511,0))</f>
        <v/>
      </c>
      <c r="T2511" s="95">
        <f>IF((P2511-Q2511)=1,N2511,IF((P2511-Q2511)=-1,-M2511,0))</f>
        <v/>
      </c>
      <c r="U2511" s="101">
        <f>IF(AND(H2511=1,LedAcct&lt;&gt;""),IF(AND(E2511&gt;=LedFrom,E2511&lt;=LedTo,OR(I2511=LedAcct,K2511=LedAcct,AND(LedAcct=acctTax,M2511+N2511&lt;&gt;0))),E2511*10000+B2511,""),"")</f>
        <v/>
      </c>
    </row>
    <row r="2512">
      <c r="B2512" s="101" t="n">
        <v>2506</v>
      </c>
      <c r="C2512" s="58" t="inlineStr">
        <is>
          <t>Bill</t>
        </is>
      </c>
      <c r="D2512" s="58">
        <f>IF(H2512=1,INDEX(ap_No,6)&amp;"","")</f>
        <v/>
      </c>
      <c r="E2512" s="94">
        <f>IF(H2512=1,INDEX(ap_Date,6),"")</f>
        <v/>
      </c>
      <c r="F2512" s="58">
        <f>IF(H2512=1,INDEX(ap_Desc,6)&amp;"","")</f>
        <v/>
      </c>
      <c r="G2512" s="58">
        <f>IF(H2512=1,INDEX(ap_Party,6)&amp;"","")</f>
        <v/>
      </c>
      <c r="H2512" s="101">
        <f>IFERROR(N(INDEX(ap_Posted,6)),0)</f>
        <v/>
      </c>
      <c r="I2512" s="58">
        <f>IF(H2512=1,INDEX(ap_DrAcct,6)&amp;"","")</f>
        <v/>
      </c>
      <c r="J2512" s="95">
        <f>IF(H2512=1,INDEX(ap_DrAmt,6),0)</f>
        <v/>
      </c>
      <c r="K2512" s="58">
        <f>IF(H2512=1,INDEX(ap_CrAcct,6)&amp;"","")</f>
        <v/>
      </c>
      <c r="L2512" s="95">
        <f>IF(H2512=1,INDEX(ap_CrAmt,6),0)</f>
        <v/>
      </c>
      <c r="M2512" s="95">
        <f>IF(H2512=1,INDEX(ap_TaxAmt,6),0)</f>
        <v/>
      </c>
      <c r="N2512" s="95" t="n">
        <v>0</v>
      </c>
      <c r="O2512" s="101">
        <f>IF(H2512=1,IF(E2512&lt;FYStart,0,IF(E2512&gt;FYEnd,13,YEAR(E2512)*12+MONTH(E2512)-FYYM+1)),"")</f>
        <v/>
      </c>
      <c r="P2512" s="101">
        <f>IF(H2512=1,IF(IFERROR(INDEX(coa_CF,MATCH(I2512,coa_Name,0)),"")="Cash",1,0),0)</f>
        <v/>
      </c>
      <c r="Q2512" s="101">
        <f>IF(H2512=1,IF(IFERROR(INDEX(coa_CF,MATCH(K2512,coa_Name,0)),"")="Cash",1,0),0)</f>
        <v/>
      </c>
      <c r="R2512" s="58">
        <f>IF((P2512-Q2512)=0,"",IFERROR(INDEX(coa_CF,MATCH(IF((P2512-Q2512)=1,K2512,I2512),coa_Name,0)),"Operating"))</f>
        <v/>
      </c>
      <c r="S2512" s="95">
        <f>IF((P2512-Q2512)=1,L2512,IF((P2512-Q2512)=-1,-J2512,0))</f>
        <v/>
      </c>
      <c r="T2512" s="95">
        <f>IF((P2512-Q2512)=1,N2512,IF((P2512-Q2512)=-1,-M2512,0))</f>
        <v/>
      </c>
      <c r="U2512" s="101">
        <f>IF(AND(H2512=1,LedAcct&lt;&gt;""),IF(AND(E2512&gt;=LedFrom,E2512&lt;=LedTo,OR(I2512=LedAcct,K2512=LedAcct,AND(LedAcct=acctTax,M2512+N2512&lt;&gt;0))),E2512*10000+B2512,""),"")</f>
        <v/>
      </c>
    </row>
    <row r="2513">
      <c r="B2513" s="101" t="n">
        <v>2507</v>
      </c>
      <c r="C2513" s="58" t="inlineStr">
        <is>
          <t>Bill</t>
        </is>
      </c>
      <c r="D2513" s="58">
        <f>IF(H2513=1,INDEX(ap_No,7)&amp;"","")</f>
        <v/>
      </c>
      <c r="E2513" s="94">
        <f>IF(H2513=1,INDEX(ap_Date,7),"")</f>
        <v/>
      </c>
      <c r="F2513" s="58">
        <f>IF(H2513=1,INDEX(ap_Desc,7)&amp;"","")</f>
        <v/>
      </c>
      <c r="G2513" s="58">
        <f>IF(H2513=1,INDEX(ap_Party,7)&amp;"","")</f>
        <v/>
      </c>
      <c r="H2513" s="101">
        <f>IFERROR(N(INDEX(ap_Posted,7)),0)</f>
        <v/>
      </c>
      <c r="I2513" s="58">
        <f>IF(H2513=1,INDEX(ap_DrAcct,7)&amp;"","")</f>
        <v/>
      </c>
      <c r="J2513" s="95">
        <f>IF(H2513=1,INDEX(ap_DrAmt,7),0)</f>
        <v/>
      </c>
      <c r="K2513" s="58">
        <f>IF(H2513=1,INDEX(ap_CrAcct,7)&amp;"","")</f>
        <v/>
      </c>
      <c r="L2513" s="95">
        <f>IF(H2513=1,INDEX(ap_CrAmt,7),0)</f>
        <v/>
      </c>
      <c r="M2513" s="95">
        <f>IF(H2513=1,INDEX(ap_TaxAmt,7),0)</f>
        <v/>
      </c>
      <c r="N2513" s="95" t="n">
        <v>0</v>
      </c>
      <c r="O2513" s="101">
        <f>IF(H2513=1,IF(E2513&lt;FYStart,0,IF(E2513&gt;FYEnd,13,YEAR(E2513)*12+MONTH(E2513)-FYYM+1)),"")</f>
        <v/>
      </c>
      <c r="P2513" s="101">
        <f>IF(H2513=1,IF(IFERROR(INDEX(coa_CF,MATCH(I2513,coa_Name,0)),"")="Cash",1,0),0)</f>
        <v/>
      </c>
      <c r="Q2513" s="101">
        <f>IF(H2513=1,IF(IFERROR(INDEX(coa_CF,MATCH(K2513,coa_Name,0)),"")="Cash",1,0),0)</f>
        <v/>
      </c>
      <c r="R2513" s="58">
        <f>IF((P2513-Q2513)=0,"",IFERROR(INDEX(coa_CF,MATCH(IF((P2513-Q2513)=1,K2513,I2513),coa_Name,0)),"Operating"))</f>
        <v/>
      </c>
      <c r="S2513" s="95">
        <f>IF((P2513-Q2513)=1,L2513,IF((P2513-Q2513)=-1,-J2513,0))</f>
        <v/>
      </c>
      <c r="T2513" s="95">
        <f>IF((P2513-Q2513)=1,N2513,IF((P2513-Q2513)=-1,-M2513,0))</f>
        <v/>
      </c>
      <c r="U2513" s="101">
        <f>IF(AND(H2513=1,LedAcct&lt;&gt;""),IF(AND(E2513&gt;=LedFrom,E2513&lt;=LedTo,OR(I2513=LedAcct,K2513=LedAcct,AND(LedAcct=acctTax,M2513+N2513&lt;&gt;0))),E2513*10000+B2513,""),"")</f>
        <v/>
      </c>
    </row>
    <row r="2514">
      <c r="B2514" s="101" t="n">
        <v>2508</v>
      </c>
      <c r="C2514" s="58" t="inlineStr">
        <is>
          <t>Bill</t>
        </is>
      </c>
      <c r="D2514" s="58">
        <f>IF(H2514=1,INDEX(ap_No,8)&amp;"","")</f>
        <v/>
      </c>
      <c r="E2514" s="94">
        <f>IF(H2514=1,INDEX(ap_Date,8),"")</f>
        <v/>
      </c>
      <c r="F2514" s="58">
        <f>IF(H2514=1,INDEX(ap_Desc,8)&amp;"","")</f>
        <v/>
      </c>
      <c r="G2514" s="58">
        <f>IF(H2514=1,INDEX(ap_Party,8)&amp;"","")</f>
        <v/>
      </c>
      <c r="H2514" s="101">
        <f>IFERROR(N(INDEX(ap_Posted,8)),0)</f>
        <v/>
      </c>
      <c r="I2514" s="58">
        <f>IF(H2514=1,INDEX(ap_DrAcct,8)&amp;"","")</f>
        <v/>
      </c>
      <c r="J2514" s="95">
        <f>IF(H2514=1,INDEX(ap_DrAmt,8),0)</f>
        <v/>
      </c>
      <c r="K2514" s="58">
        <f>IF(H2514=1,INDEX(ap_CrAcct,8)&amp;"","")</f>
        <v/>
      </c>
      <c r="L2514" s="95">
        <f>IF(H2514=1,INDEX(ap_CrAmt,8),0)</f>
        <v/>
      </c>
      <c r="M2514" s="95">
        <f>IF(H2514=1,INDEX(ap_TaxAmt,8),0)</f>
        <v/>
      </c>
      <c r="N2514" s="95" t="n">
        <v>0</v>
      </c>
      <c r="O2514" s="101">
        <f>IF(H2514=1,IF(E2514&lt;FYStart,0,IF(E2514&gt;FYEnd,13,YEAR(E2514)*12+MONTH(E2514)-FYYM+1)),"")</f>
        <v/>
      </c>
      <c r="P2514" s="101">
        <f>IF(H2514=1,IF(IFERROR(INDEX(coa_CF,MATCH(I2514,coa_Name,0)),"")="Cash",1,0),0)</f>
        <v/>
      </c>
      <c r="Q2514" s="101">
        <f>IF(H2514=1,IF(IFERROR(INDEX(coa_CF,MATCH(K2514,coa_Name,0)),"")="Cash",1,0),0)</f>
        <v/>
      </c>
      <c r="R2514" s="58">
        <f>IF((P2514-Q2514)=0,"",IFERROR(INDEX(coa_CF,MATCH(IF((P2514-Q2514)=1,K2514,I2514),coa_Name,0)),"Operating"))</f>
        <v/>
      </c>
      <c r="S2514" s="95">
        <f>IF((P2514-Q2514)=1,L2514,IF((P2514-Q2514)=-1,-J2514,0))</f>
        <v/>
      </c>
      <c r="T2514" s="95">
        <f>IF((P2514-Q2514)=1,N2514,IF((P2514-Q2514)=-1,-M2514,0))</f>
        <v/>
      </c>
      <c r="U2514" s="101">
        <f>IF(AND(H2514=1,LedAcct&lt;&gt;""),IF(AND(E2514&gt;=LedFrom,E2514&lt;=LedTo,OR(I2514=LedAcct,K2514=LedAcct,AND(LedAcct=acctTax,M2514+N2514&lt;&gt;0))),E2514*10000+B2514,""),"")</f>
        <v/>
      </c>
    </row>
    <row r="2515">
      <c r="B2515" s="101" t="n">
        <v>2509</v>
      </c>
      <c r="C2515" s="58" t="inlineStr">
        <is>
          <t>Bill</t>
        </is>
      </c>
      <c r="D2515" s="58">
        <f>IF(H2515=1,INDEX(ap_No,9)&amp;"","")</f>
        <v/>
      </c>
      <c r="E2515" s="94">
        <f>IF(H2515=1,INDEX(ap_Date,9),"")</f>
        <v/>
      </c>
      <c r="F2515" s="58">
        <f>IF(H2515=1,INDEX(ap_Desc,9)&amp;"","")</f>
        <v/>
      </c>
      <c r="G2515" s="58">
        <f>IF(H2515=1,INDEX(ap_Party,9)&amp;"","")</f>
        <v/>
      </c>
      <c r="H2515" s="101">
        <f>IFERROR(N(INDEX(ap_Posted,9)),0)</f>
        <v/>
      </c>
      <c r="I2515" s="58">
        <f>IF(H2515=1,INDEX(ap_DrAcct,9)&amp;"","")</f>
        <v/>
      </c>
      <c r="J2515" s="95">
        <f>IF(H2515=1,INDEX(ap_DrAmt,9),0)</f>
        <v/>
      </c>
      <c r="K2515" s="58">
        <f>IF(H2515=1,INDEX(ap_CrAcct,9)&amp;"","")</f>
        <v/>
      </c>
      <c r="L2515" s="95">
        <f>IF(H2515=1,INDEX(ap_CrAmt,9),0)</f>
        <v/>
      </c>
      <c r="M2515" s="95">
        <f>IF(H2515=1,INDEX(ap_TaxAmt,9),0)</f>
        <v/>
      </c>
      <c r="N2515" s="95" t="n">
        <v>0</v>
      </c>
      <c r="O2515" s="101">
        <f>IF(H2515=1,IF(E2515&lt;FYStart,0,IF(E2515&gt;FYEnd,13,YEAR(E2515)*12+MONTH(E2515)-FYYM+1)),"")</f>
        <v/>
      </c>
      <c r="P2515" s="101">
        <f>IF(H2515=1,IF(IFERROR(INDEX(coa_CF,MATCH(I2515,coa_Name,0)),"")="Cash",1,0),0)</f>
        <v/>
      </c>
      <c r="Q2515" s="101">
        <f>IF(H2515=1,IF(IFERROR(INDEX(coa_CF,MATCH(K2515,coa_Name,0)),"")="Cash",1,0),0)</f>
        <v/>
      </c>
      <c r="R2515" s="58">
        <f>IF((P2515-Q2515)=0,"",IFERROR(INDEX(coa_CF,MATCH(IF((P2515-Q2515)=1,K2515,I2515),coa_Name,0)),"Operating"))</f>
        <v/>
      </c>
      <c r="S2515" s="95">
        <f>IF((P2515-Q2515)=1,L2515,IF((P2515-Q2515)=-1,-J2515,0))</f>
        <v/>
      </c>
      <c r="T2515" s="95">
        <f>IF((P2515-Q2515)=1,N2515,IF((P2515-Q2515)=-1,-M2515,0))</f>
        <v/>
      </c>
      <c r="U2515" s="101">
        <f>IF(AND(H2515=1,LedAcct&lt;&gt;""),IF(AND(E2515&gt;=LedFrom,E2515&lt;=LedTo,OR(I2515=LedAcct,K2515=LedAcct,AND(LedAcct=acctTax,M2515+N2515&lt;&gt;0))),E2515*10000+B2515,""),"")</f>
        <v/>
      </c>
    </row>
    <row r="2516">
      <c r="B2516" s="101" t="n">
        <v>2510</v>
      </c>
      <c r="C2516" s="58" t="inlineStr">
        <is>
          <t>Bill</t>
        </is>
      </c>
      <c r="D2516" s="58">
        <f>IF(H2516=1,INDEX(ap_No,10)&amp;"","")</f>
        <v/>
      </c>
      <c r="E2516" s="94">
        <f>IF(H2516=1,INDEX(ap_Date,10),"")</f>
        <v/>
      </c>
      <c r="F2516" s="58">
        <f>IF(H2516=1,INDEX(ap_Desc,10)&amp;"","")</f>
        <v/>
      </c>
      <c r="G2516" s="58">
        <f>IF(H2516=1,INDEX(ap_Party,10)&amp;"","")</f>
        <v/>
      </c>
      <c r="H2516" s="101">
        <f>IFERROR(N(INDEX(ap_Posted,10)),0)</f>
        <v/>
      </c>
      <c r="I2516" s="58">
        <f>IF(H2516=1,INDEX(ap_DrAcct,10)&amp;"","")</f>
        <v/>
      </c>
      <c r="J2516" s="95">
        <f>IF(H2516=1,INDEX(ap_DrAmt,10),0)</f>
        <v/>
      </c>
      <c r="K2516" s="58">
        <f>IF(H2516=1,INDEX(ap_CrAcct,10)&amp;"","")</f>
        <v/>
      </c>
      <c r="L2516" s="95">
        <f>IF(H2516=1,INDEX(ap_CrAmt,10),0)</f>
        <v/>
      </c>
      <c r="M2516" s="95">
        <f>IF(H2516=1,INDEX(ap_TaxAmt,10),0)</f>
        <v/>
      </c>
      <c r="N2516" s="95" t="n">
        <v>0</v>
      </c>
      <c r="O2516" s="101">
        <f>IF(H2516=1,IF(E2516&lt;FYStart,0,IF(E2516&gt;FYEnd,13,YEAR(E2516)*12+MONTH(E2516)-FYYM+1)),"")</f>
        <v/>
      </c>
      <c r="P2516" s="101">
        <f>IF(H2516=1,IF(IFERROR(INDEX(coa_CF,MATCH(I2516,coa_Name,0)),"")="Cash",1,0),0)</f>
        <v/>
      </c>
      <c r="Q2516" s="101">
        <f>IF(H2516=1,IF(IFERROR(INDEX(coa_CF,MATCH(K2516,coa_Name,0)),"")="Cash",1,0),0)</f>
        <v/>
      </c>
      <c r="R2516" s="58">
        <f>IF((P2516-Q2516)=0,"",IFERROR(INDEX(coa_CF,MATCH(IF((P2516-Q2516)=1,K2516,I2516),coa_Name,0)),"Operating"))</f>
        <v/>
      </c>
      <c r="S2516" s="95">
        <f>IF((P2516-Q2516)=1,L2516,IF((P2516-Q2516)=-1,-J2516,0))</f>
        <v/>
      </c>
      <c r="T2516" s="95">
        <f>IF((P2516-Q2516)=1,N2516,IF((P2516-Q2516)=-1,-M2516,0))</f>
        <v/>
      </c>
      <c r="U2516" s="101">
        <f>IF(AND(H2516=1,LedAcct&lt;&gt;""),IF(AND(E2516&gt;=LedFrom,E2516&lt;=LedTo,OR(I2516=LedAcct,K2516=LedAcct,AND(LedAcct=acctTax,M2516+N2516&lt;&gt;0))),E2516*10000+B2516,""),"")</f>
        <v/>
      </c>
    </row>
    <row r="2517">
      <c r="B2517" s="101" t="n">
        <v>2511</v>
      </c>
      <c r="C2517" s="58" t="inlineStr">
        <is>
          <t>Bill</t>
        </is>
      </c>
      <c r="D2517" s="58">
        <f>IF(H2517=1,INDEX(ap_No,11)&amp;"","")</f>
        <v/>
      </c>
      <c r="E2517" s="94">
        <f>IF(H2517=1,INDEX(ap_Date,11),"")</f>
        <v/>
      </c>
      <c r="F2517" s="58">
        <f>IF(H2517=1,INDEX(ap_Desc,11)&amp;"","")</f>
        <v/>
      </c>
      <c r="G2517" s="58">
        <f>IF(H2517=1,INDEX(ap_Party,11)&amp;"","")</f>
        <v/>
      </c>
      <c r="H2517" s="101">
        <f>IFERROR(N(INDEX(ap_Posted,11)),0)</f>
        <v/>
      </c>
      <c r="I2517" s="58">
        <f>IF(H2517=1,INDEX(ap_DrAcct,11)&amp;"","")</f>
        <v/>
      </c>
      <c r="J2517" s="95">
        <f>IF(H2517=1,INDEX(ap_DrAmt,11),0)</f>
        <v/>
      </c>
      <c r="K2517" s="58">
        <f>IF(H2517=1,INDEX(ap_CrAcct,11)&amp;"","")</f>
        <v/>
      </c>
      <c r="L2517" s="95">
        <f>IF(H2517=1,INDEX(ap_CrAmt,11),0)</f>
        <v/>
      </c>
      <c r="M2517" s="95">
        <f>IF(H2517=1,INDEX(ap_TaxAmt,11),0)</f>
        <v/>
      </c>
      <c r="N2517" s="95" t="n">
        <v>0</v>
      </c>
      <c r="O2517" s="101">
        <f>IF(H2517=1,IF(E2517&lt;FYStart,0,IF(E2517&gt;FYEnd,13,YEAR(E2517)*12+MONTH(E2517)-FYYM+1)),"")</f>
        <v/>
      </c>
      <c r="P2517" s="101">
        <f>IF(H2517=1,IF(IFERROR(INDEX(coa_CF,MATCH(I2517,coa_Name,0)),"")="Cash",1,0),0)</f>
        <v/>
      </c>
      <c r="Q2517" s="101">
        <f>IF(H2517=1,IF(IFERROR(INDEX(coa_CF,MATCH(K2517,coa_Name,0)),"")="Cash",1,0),0)</f>
        <v/>
      </c>
      <c r="R2517" s="58">
        <f>IF((P2517-Q2517)=0,"",IFERROR(INDEX(coa_CF,MATCH(IF((P2517-Q2517)=1,K2517,I2517),coa_Name,0)),"Operating"))</f>
        <v/>
      </c>
      <c r="S2517" s="95">
        <f>IF((P2517-Q2517)=1,L2517,IF((P2517-Q2517)=-1,-J2517,0))</f>
        <v/>
      </c>
      <c r="T2517" s="95">
        <f>IF((P2517-Q2517)=1,N2517,IF((P2517-Q2517)=-1,-M2517,0))</f>
        <v/>
      </c>
      <c r="U2517" s="101">
        <f>IF(AND(H2517=1,LedAcct&lt;&gt;""),IF(AND(E2517&gt;=LedFrom,E2517&lt;=LedTo,OR(I2517=LedAcct,K2517=LedAcct,AND(LedAcct=acctTax,M2517+N2517&lt;&gt;0))),E2517*10000+B2517,""),"")</f>
        <v/>
      </c>
    </row>
    <row r="2518">
      <c r="B2518" s="101" t="n">
        <v>2512</v>
      </c>
      <c r="C2518" s="58" t="inlineStr">
        <is>
          <t>Bill</t>
        </is>
      </c>
      <c r="D2518" s="58">
        <f>IF(H2518=1,INDEX(ap_No,12)&amp;"","")</f>
        <v/>
      </c>
      <c r="E2518" s="94">
        <f>IF(H2518=1,INDEX(ap_Date,12),"")</f>
        <v/>
      </c>
      <c r="F2518" s="58">
        <f>IF(H2518=1,INDEX(ap_Desc,12)&amp;"","")</f>
        <v/>
      </c>
      <c r="G2518" s="58">
        <f>IF(H2518=1,INDEX(ap_Party,12)&amp;"","")</f>
        <v/>
      </c>
      <c r="H2518" s="101">
        <f>IFERROR(N(INDEX(ap_Posted,12)),0)</f>
        <v/>
      </c>
      <c r="I2518" s="58">
        <f>IF(H2518=1,INDEX(ap_DrAcct,12)&amp;"","")</f>
        <v/>
      </c>
      <c r="J2518" s="95">
        <f>IF(H2518=1,INDEX(ap_DrAmt,12),0)</f>
        <v/>
      </c>
      <c r="K2518" s="58">
        <f>IF(H2518=1,INDEX(ap_CrAcct,12)&amp;"","")</f>
        <v/>
      </c>
      <c r="L2518" s="95">
        <f>IF(H2518=1,INDEX(ap_CrAmt,12),0)</f>
        <v/>
      </c>
      <c r="M2518" s="95">
        <f>IF(H2518=1,INDEX(ap_TaxAmt,12),0)</f>
        <v/>
      </c>
      <c r="N2518" s="95" t="n">
        <v>0</v>
      </c>
      <c r="O2518" s="101">
        <f>IF(H2518=1,IF(E2518&lt;FYStart,0,IF(E2518&gt;FYEnd,13,YEAR(E2518)*12+MONTH(E2518)-FYYM+1)),"")</f>
        <v/>
      </c>
      <c r="P2518" s="101">
        <f>IF(H2518=1,IF(IFERROR(INDEX(coa_CF,MATCH(I2518,coa_Name,0)),"")="Cash",1,0),0)</f>
        <v/>
      </c>
      <c r="Q2518" s="101">
        <f>IF(H2518=1,IF(IFERROR(INDEX(coa_CF,MATCH(K2518,coa_Name,0)),"")="Cash",1,0),0)</f>
        <v/>
      </c>
      <c r="R2518" s="58">
        <f>IF((P2518-Q2518)=0,"",IFERROR(INDEX(coa_CF,MATCH(IF((P2518-Q2518)=1,K2518,I2518),coa_Name,0)),"Operating"))</f>
        <v/>
      </c>
      <c r="S2518" s="95">
        <f>IF((P2518-Q2518)=1,L2518,IF((P2518-Q2518)=-1,-J2518,0))</f>
        <v/>
      </c>
      <c r="T2518" s="95">
        <f>IF((P2518-Q2518)=1,N2518,IF((P2518-Q2518)=-1,-M2518,0))</f>
        <v/>
      </c>
      <c r="U2518" s="101">
        <f>IF(AND(H2518=1,LedAcct&lt;&gt;""),IF(AND(E2518&gt;=LedFrom,E2518&lt;=LedTo,OR(I2518=LedAcct,K2518=LedAcct,AND(LedAcct=acctTax,M2518+N2518&lt;&gt;0))),E2518*10000+B2518,""),"")</f>
        <v/>
      </c>
    </row>
    <row r="2519">
      <c r="B2519" s="101" t="n">
        <v>2513</v>
      </c>
      <c r="C2519" s="58" t="inlineStr">
        <is>
          <t>Bill</t>
        </is>
      </c>
      <c r="D2519" s="58">
        <f>IF(H2519=1,INDEX(ap_No,13)&amp;"","")</f>
        <v/>
      </c>
      <c r="E2519" s="94">
        <f>IF(H2519=1,INDEX(ap_Date,13),"")</f>
        <v/>
      </c>
      <c r="F2519" s="58">
        <f>IF(H2519=1,INDEX(ap_Desc,13)&amp;"","")</f>
        <v/>
      </c>
      <c r="G2519" s="58">
        <f>IF(H2519=1,INDEX(ap_Party,13)&amp;"","")</f>
        <v/>
      </c>
      <c r="H2519" s="101">
        <f>IFERROR(N(INDEX(ap_Posted,13)),0)</f>
        <v/>
      </c>
      <c r="I2519" s="58">
        <f>IF(H2519=1,INDEX(ap_DrAcct,13)&amp;"","")</f>
        <v/>
      </c>
      <c r="J2519" s="95">
        <f>IF(H2519=1,INDEX(ap_DrAmt,13),0)</f>
        <v/>
      </c>
      <c r="K2519" s="58">
        <f>IF(H2519=1,INDEX(ap_CrAcct,13)&amp;"","")</f>
        <v/>
      </c>
      <c r="L2519" s="95">
        <f>IF(H2519=1,INDEX(ap_CrAmt,13),0)</f>
        <v/>
      </c>
      <c r="M2519" s="95">
        <f>IF(H2519=1,INDEX(ap_TaxAmt,13),0)</f>
        <v/>
      </c>
      <c r="N2519" s="95" t="n">
        <v>0</v>
      </c>
      <c r="O2519" s="101">
        <f>IF(H2519=1,IF(E2519&lt;FYStart,0,IF(E2519&gt;FYEnd,13,YEAR(E2519)*12+MONTH(E2519)-FYYM+1)),"")</f>
        <v/>
      </c>
      <c r="P2519" s="101">
        <f>IF(H2519=1,IF(IFERROR(INDEX(coa_CF,MATCH(I2519,coa_Name,0)),"")="Cash",1,0),0)</f>
        <v/>
      </c>
      <c r="Q2519" s="101">
        <f>IF(H2519=1,IF(IFERROR(INDEX(coa_CF,MATCH(K2519,coa_Name,0)),"")="Cash",1,0),0)</f>
        <v/>
      </c>
      <c r="R2519" s="58">
        <f>IF((P2519-Q2519)=0,"",IFERROR(INDEX(coa_CF,MATCH(IF((P2519-Q2519)=1,K2519,I2519),coa_Name,0)),"Operating"))</f>
        <v/>
      </c>
      <c r="S2519" s="95">
        <f>IF((P2519-Q2519)=1,L2519,IF((P2519-Q2519)=-1,-J2519,0))</f>
        <v/>
      </c>
      <c r="T2519" s="95">
        <f>IF((P2519-Q2519)=1,N2519,IF((P2519-Q2519)=-1,-M2519,0))</f>
        <v/>
      </c>
      <c r="U2519" s="101">
        <f>IF(AND(H2519=1,LedAcct&lt;&gt;""),IF(AND(E2519&gt;=LedFrom,E2519&lt;=LedTo,OR(I2519=LedAcct,K2519=LedAcct,AND(LedAcct=acctTax,M2519+N2519&lt;&gt;0))),E2519*10000+B2519,""),"")</f>
        <v/>
      </c>
    </row>
    <row r="2520">
      <c r="B2520" s="101" t="n">
        <v>2514</v>
      </c>
      <c r="C2520" s="58" t="inlineStr">
        <is>
          <t>Bill</t>
        </is>
      </c>
      <c r="D2520" s="58">
        <f>IF(H2520=1,INDEX(ap_No,14)&amp;"","")</f>
        <v/>
      </c>
      <c r="E2520" s="94">
        <f>IF(H2520=1,INDEX(ap_Date,14),"")</f>
        <v/>
      </c>
      <c r="F2520" s="58">
        <f>IF(H2520=1,INDEX(ap_Desc,14)&amp;"","")</f>
        <v/>
      </c>
      <c r="G2520" s="58">
        <f>IF(H2520=1,INDEX(ap_Party,14)&amp;"","")</f>
        <v/>
      </c>
      <c r="H2520" s="101">
        <f>IFERROR(N(INDEX(ap_Posted,14)),0)</f>
        <v/>
      </c>
      <c r="I2520" s="58">
        <f>IF(H2520=1,INDEX(ap_DrAcct,14)&amp;"","")</f>
        <v/>
      </c>
      <c r="J2520" s="95">
        <f>IF(H2520=1,INDEX(ap_DrAmt,14),0)</f>
        <v/>
      </c>
      <c r="K2520" s="58">
        <f>IF(H2520=1,INDEX(ap_CrAcct,14)&amp;"","")</f>
        <v/>
      </c>
      <c r="L2520" s="95">
        <f>IF(H2520=1,INDEX(ap_CrAmt,14),0)</f>
        <v/>
      </c>
      <c r="M2520" s="95">
        <f>IF(H2520=1,INDEX(ap_TaxAmt,14),0)</f>
        <v/>
      </c>
      <c r="N2520" s="95" t="n">
        <v>0</v>
      </c>
      <c r="O2520" s="101">
        <f>IF(H2520=1,IF(E2520&lt;FYStart,0,IF(E2520&gt;FYEnd,13,YEAR(E2520)*12+MONTH(E2520)-FYYM+1)),"")</f>
        <v/>
      </c>
      <c r="P2520" s="101">
        <f>IF(H2520=1,IF(IFERROR(INDEX(coa_CF,MATCH(I2520,coa_Name,0)),"")="Cash",1,0),0)</f>
        <v/>
      </c>
      <c r="Q2520" s="101">
        <f>IF(H2520=1,IF(IFERROR(INDEX(coa_CF,MATCH(K2520,coa_Name,0)),"")="Cash",1,0),0)</f>
        <v/>
      </c>
      <c r="R2520" s="58">
        <f>IF((P2520-Q2520)=0,"",IFERROR(INDEX(coa_CF,MATCH(IF((P2520-Q2520)=1,K2520,I2520),coa_Name,0)),"Operating"))</f>
        <v/>
      </c>
      <c r="S2520" s="95">
        <f>IF((P2520-Q2520)=1,L2520,IF((P2520-Q2520)=-1,-J2520,0))</f>
        <v/>
      </c>
      <c r="T2520" s="95">
        <f>IF((P2520-Q2520)=1,N2520,IF((P2520-Q2520)=-1,-M2520,0))</f>
        <v/>
      </c>
      <c r="U2520" s="101">
        <f>IF(AND(H2520=1,LedAcct&lt;&gt;""),IF(AND(E2520&gt;=LedFrom,E2520&lt;=LedTo,OR(I2520=LedAcct,K2520=LedAcct,AND(LedAcct=acctTax,M2520+N2520&lt;&gt;0))),E2520*10000+B2520,""),"")</f>
        <v/>
      </c>
    </row>
    <row r="2521">
      <c r="B2521" s="101" t="n">
        <v>2515</v>
      </c>
      <c r="C2521" s="58" t="inlineStr">
        <is>
          <t>Bill</t>
        </is>
      </c>
      <c r="D2521" s="58">
        <f>IF(H2521=1,INDEX(ap_No,15)&amp;"","")</f>
        <v/>
      </c>
      <c r="E2521" s="94">
        <f>IF(H2521=1,INDEX(ap_Date,15),"")</f>
        <v/>
      </c>
      <c r="F2521" s="58">
        <f>IF(H2521=1,INDEX(ap_Desc,15)&amp;"","")</f>
        <v/>
      </c>
      <c r="G2521" s="58">
        <f>IF(H2521=1,INDEX(ap_Party,15)&amp;"","")</f>
        <v/>
      </c>
      <c r="H2521" s="101">
        <f>IFERROR(N(INDEX(ap_Posted,15)),0)</f>
        <v/>
      </c>
      <c r="I2521" s="58">
        <f>IF(H2521=1,INDEX(ap_DrAcct,15)&amp;"","")</f>
        <v/>
      </c>
      <c r="J2521" s="95">
        <f>IF(H2521=1,INDEX(ap_DrAmt,15),0)</f>
        <v/>
      </c>
      <c r="K2521" s="58">
        <f>IF(H2521=1,INDEX(ap_CrAcct,15)&amp;"","")</f>
        <v/>
      </c>
      <c r="L2521" s="95">
        <f>IF(H2521=1,INDEX(ap_CrAmt,15),0)</f>
        <v/>
      </c>
      <c r="M2521" s="95">
        <f>IF(H2521=1,INDEX(ap_TaxAmt,15),0)</f>
        <v/>
      </c>
      <c r="N2521" s="95" t="n">
        <v>0</v>
      </c>
      <c r="O2521" s="101">
        <f>IF(H2521=1,IF(E2521&lt;FYStart,0,IF(E2521&gt;FYEnd,13,YEAR(E2521)*12+MONTH(E2521)-FYYM+1)),"")</f>
        <v/>
      </c>
      <c r="P2521" s="101">
        <f>IF(H2521=1,IF(IFERROR(INDEX(coa_CF,MATCH(I2521,coa_Name,0)),"")="Cash",1,0),0)</f>
        <v/>
      </c>
      <c r="Q2521" s="101">
        <f>IF(H2521=1,IF(IFERROR(INDEX(coa_CF,MATCH(K2521,coa_Name,0)),"")="Cash",1,0),0)</f>
        <v/>
      </c>
      <c r="R2521" s="58">
        <f>IF((P2521-Q2521)=0,"",IFERROR(INDEX(coa_CF,MATCH(IF((P2521-Q2521)=1,K2521,I2521),coa_Name,0)),"Operating"))</f>
        <v/>
      </c>
      <c r="S2521" s="95">
        <f>IF((P2521-Q2521)=1,L2521,IF((P2521-Q2521)=-1,-J2521,0))</f>
        <v/>
      </c>
      <c r="T2521" s="95">
        <f>IF((P2521-Q2521)=1,N2521,IF((P2521-Q2521)=-1,-M2521,0))</f>
        <v/>
      </c>
      <c r="U2521" s="101">
        <f>IF(AND(H2521=1,LedAcct&lt;&gt;""),IF(AND(E2521&gt;=LedFrom,E2521&lt;=LedTo,OR(I2521=LedAcct,K2521=LedAcct,AND(LedAcct=acctTax,M2521+N2521&lt;&gt;0))),E2521*10000+B2521,""),"")</f>
        <v/>
      </c>
    </row>
    <row r="2522">
      <c r="B2522" s="101" t="n">
        <v>2516</v>
      </c>
      <c r="C2522" s="58" t="inlineStr">
        <is>
          <t>Bill</t>
        </is>
      </c>
      <c r="D2522" s="58">
        <f>IF(H2522=1,INDEX(ap_No,16)&amp;"","")</f>
        <v/>
      </c>
      <c r="E2522" s="94">
        <f>IF(H2522=1,INDEX(ap_Date,16),"")</f>
        <v/>
      </c>
      <c r="F2522" s="58">
        <f>IF(H2522=1,INDEX(ap_Desc,16)&amp;"","")</f>
        <v/>
      </c>
      <c r="G2522" s="58">
        <f>IF(H2522=1,INDEX(ap_Party,16)&amp;"","")</f>
        <v/>
      </c>
      <c r="H2522" s="101">
        <f>IFERROR(N(INDEX(ap_Posted,16)),0)</f>
        <v/>
      </c>
      <c r="I2522" s="58">
        <f>IF(H2522=1,INDEX(ap_DrAcct,16)&amp;"","")</f>
        <v/>
      </c>
      <c r="J2522" s="95">
        <f>IF(H2522=1,INDEX(ap_DrAmt,16),0)</f>
        <v/>
      </c>
      <c r="K2522" s="58">
        <f>IF(H2522=1,INDEX(ap_CrAcct,16)&amp;"","")</f>
        <v/>
      </c>
      <c r="L2522" s="95">
        <f>IF(H2522=1,INDEX(ap_CrAmt,16),0)</f>
        <v/>
      </c>
      <c r="M2522" s="95">
        <f>IF(H2522=1,INDEX(ap_TaxAmt,16),0)</f>
        <v/>
      </c>
      <c r="N2522" s="95" t="n">
        <v>0</v>
      </c>
      <c r="O2522" s="101">
        <f>IF(H2522=1,IF(E2522&lt;FYStart,0,IF(E2522&gt;FYEnd,13,YEAR(E2522)*12+MONTH(E2522)-FYYM+1)),"")</f>
        <v/>
      </c>
      <c r="P2522" s="101">
        <f>IF(H2522=1,IF(IFERROR(INDEX(coa_CF,MATCH(I2522,coa_Name,0)),"")="Cash",1,0),0)</f>
        <v/>
      </c>
      <c r="Q2522" s="101">
        <f>IF(H2522=1,IF(IFERROR(INDEX(coa_CF,MATCH(K2522,coa_Name,0)),"")="Cash",1,0),0)</f>
        <v/>
      </c>
      <c r="R2522" s="58">
        <f>IF((P2522-Q2522)=0,"",IFERROR(INDEX(coa_CF,MATCH(IF((P2522-Q2522)=1,K2522,I2522),coa_Name,0)),"Operating"))</f>
        <v/>
      </c>
      <c r="S2522" s="95">
        <f>IF((P2522-Q2522)=1,L2522,IF((P2522-Q2522)=-1,-J2522,0))</f>
        <v/>
      </c>
      <c r="T2522" s="95">
        <f>IF((P2522-Q2522)=1,N2522,IF((P2522-Q2522)=-1,-M2522,0))</f>
        <v/>
      </c>
      <c r="U2522" s="101">
        <f>IF(AND(H2522=1,LedAcct&lt;&gt;""),IF(AND(E2522&gt;=LedFrom,E2522&lt;=LedTo,OR(I2522=LedAcct,K2522=LedAcct,AND(LedAcct=acctTax,M2522+N2522&lt;&gt;0))),E2522*10000+B2522,""),"")</f>
        <v/>
      </c>
    </row>
    <row r="2523">
      <c r="B2523" s="101" t="n">
        <v>2517</v>
      </c>
      <c r="C2523" s="58" t="inlineStr">
        <is>
          <t>Bill</t>
        </is>
      </c>
      <c r="D2523" s="58">
        <f>IF(H2523=1,INDEX(ap_No,17)&amp;"","")</f>
        <v/>
      </c>
      <c r="E2523" s="94">
        <f>IF(H2523=1,INDEX(ap_Date,17),"")</f>
        <v/>
      </c>
      <c r="F2523" s="58">
        <f>IF(H2523=1,INDEX(ap_Desc,17)&amp;"","")</f>
        <v/>
      </c>
      <c r="G2523" s="58">
        <f>IF(H2523=1,INDEX(ap_Party,17)&amp;"","")</f>
        <v/>
      </c>
      <c r="H2523" s="101">
        <f>IFERROR(N(INDEX(ap_Posted,17)),0)</f>
        <v/>
      </c>
      <c r="I2523" s="58">
        <f>IF(H2523=1,INDEX(ap_DrAcct,17)&amp;"","")</f>
        <v/>
      </c>
      <c r="J2523" s="95">
        <f>IF(H2523=1,INDEX(ap_DrAmt,17),0)</f>
        <v/>
      </c>
      <c r="K2523" s="58">
        <f>IF(H2523=1,INDEX(ap_CrAcct,17)&amp;"","")</f>
        <v/>
      </c>
      <c r="L2523" s="95">
        <f>IF(H2523=1,INDEX(ap_CrAmt,17),0)</f>
        <v/>
      </c>
      <c r="M2523" s="95">
        <f>IF(H2523=1,INDEX(ap_TaxAmt,17),0)</f>
        <v/>
      </c>
      <c r="N2523" s="95" t="n">
        <v>0</v>
      </c>
      <c r="O2523" s="101">
        <f>IF(H2523=1,IF(E2523&lt;FYStart,0,IF(E2523&gt;FYEnd,13,YEAR(E2523)*12+MONTH(E2523)-FYYM+1)),"")</f>
        <v/>
      </c>
      <c r="P2523" s="101">
        <f>IF(H2523=1,IF(IFERROR(INDEX(coa_CF,MATCH(I2523,coa_Name,0)),"")="Cash",1,0),0)</f>
        <v/>
      </c>
      <c r="Q2523" s="101">
        <f>IF(H2523=1,IF(IFERROR(INDEX(coa_CF,MATCH(K2523,coa_Name,0)),"")="Cash",1,0),0)</f>
        <v/>
      </c>
      <c r="R2523" s="58">
        <f>IF((P2523-Q2523)=0,"",IFERROR(INDEX(coa_CF,MATCH(IF((P2523-Q2523)=1,K2523,I2523),coa_Name,0)),"Operating"))</f>
        <v/>
      </c>
      <c r="S2523" s="95">
        <f>IF((P2523-Q2523)=1,L2523,IF((P2523-Q2523)=-1,-J2523,0))</f>
        <v/>
      </c>
      <c r="T2523" s="95">
        <f>IF((P2523-Q2523)=1,N2523,IF((P2523-Q2523)=-1,-M2523,0))</f>
        <v/>
      </c>
      <c r="U2523" s="101">
        <f>IF(AND(H2523=1,LedAcct&lt;&gt;""),IF(AND(E2523&gt;=LedFrom,E2523&lt;=LedTo,OR(I2523=LedAcct,K2523=LedAcct,AND(LedAcct=acctTax,M2523+N2523&lt;&gt;0))),E2523*10000+B2523,""),"")</f>
        <v/>
      </c>
    </row>
    <row r="2524">
      <c r="B2524" s="101" t="n">
        <v>2518</v>
      </c>
      <c r="C2524" s="58" t="inlineStr">
        <is>
          <t>Bill</t>
        </is>
      </c>
      <c r="D2524" s="58">
        <f>IF(H2524=1,INDEX(ap_No,18)&amp;"","")</f>
        <v/>
      </c>
      <c r="E2524" s="94">
        <f>IF(H2524=1,INDEX(ap_Date,18),"")</f>
        <v/>
      </c>
      <c r="F2524" s="58">
        <f>IF(H2524=1,INDEX(ap_Desc,18)&amp;"","")</f>
        <v/>
      </c>
      <c r="G2524" s="58">
        <f>IF(H2524=1,INDEX(ap_Party,18)&amp;"","")</f>
        <v/>
      </c>
      <c r="H2524" s="101">
        <f>IFERROR(N(INDEX(ap_Posted,18)),0)</f>
        <v/>
      </c>
      <c r="I2524" s="58">
        <f>IF(H2524=1,INDEX(ap_DrAcct,18)&amp;"","")</f>
        <v/>
      </c>
      <c r="J2524" s="95">
        <f>IF(H2524=1,INDEX(ap_DrAmt,18),0)</f>
        <v/>
      </c>
      <c r="K2524" s="58">
        <f>IF(H2524=1,INDEX(ap_CrAcct,18)&amp;"","")</f>
        <v/>
      </c>
      <c r="L2524" s="95">
        <f>IF(H2524=1,INDEX(ap_CrAmt,18),0)</f>
        <v/>
      </c>
      <c r="M2524" s="95">
        <f>IF(H2524=1,INDEX(ap_TaxAmt,18),0)</f>
        <v/>
      </c>
      <c r="N2524" s="95" t="n">
        <v>0</v>
      </c>
      <c r="O2524" s="101">
        <f>IF(H2524=1,IF(E2524&lt;FYStart,0,IF(E2524&gt;FYEnd,13,YEAR(E2524)*12+MONTH(E2524)-FYYM+1)),"")</f>
        <v/>
      </c>
      <c r="P2524" s="101">
        <f>IF(H2524=1,IF(IFERROR(INDEX(coa_CF,MATCH(I2524,coa_Name,0)),"")="Cash",1,0),0)</f>
        <v/>
      </c>
      <c r="Q2524" s="101">
        <f>IF(H2524=1,IF(IFERROR(INDEX(coa_CF,MATCH(K2524,coa_Name,0)),"")="Cash",1,0),0)</f>
        <v/>
      </c>
      <c r="R2524" s="58">
        <f>IF((P2524-Q2524)=0,"",IFERROR(INDEX(coa_CF,MATCH(IF((P2524-Q2524)=1,K2524,I2524),coa_Name,0)),"Operating"))</f>
        <v/>
      </c>
      <c r="S2524" s="95">
        <f>IF((P2524-Q2524)=1,L2524,IF((P2524-Q2524)=-1,-J2524,0))</f>
        <v/>
      </c>
      <c r="T2524" s="95">
        <f>IF((P2524-Q2524)=1,N2524,IF((P2524-Q2524)=-1,-M2524,0))</f>
        <v/>
      </c>
      <c r="U2524" s="101">
        <f>IF(AND(H2524=1,LedAcct&lt;&gt;""),IF(AND(E2524&gt;=LedFrom,E2524&lt;=LedTo,OR(I2524=LedAcct,K2524=LedAcct,AND(LedAcct=acctTax,M2524+N2524&lt;&gt;0))),E2524*10000+B2524,""),"")</f>
        <v/>
      </c>
    </row>
    <row r="2525">
      <c r="B2525" s="101" t="n">
        <v>2519</v>
      </c>
      <c r="C2525" s="58" t="inlineStr">
        <is>
          <t>Bill</t>
        </is>
      </c>
      <c r="D2525" s="58">
        <f>IF(H2525=1,INDEX(ap_No,19)&amp;"","")</f>
        <v/>
      </c>
      <c r="E2525" s="94">
        <f>IF(H2525=1,INDEX(ap_Date,19),"")</f>
        <v/>
      </c>
      <c r="F2525" s="58">
        <f>IF(H2525=1,INDEX(ap_Desc,19)&amp;"","")</f>
        <v/>
      </c>
      <c r="G2525" s="58">
        <f>IF(H2525=1,INDEX(ap_Party,19)&amp;"","")</f>
        <v/>
      </c>
      <c r="H2525" s="101">
        <f>IFERROR(N(INDEX(ap_Posted,19)),0)</f>
        <v/>
      </c>
      <c r="I2525" s="58">
        <f>IF(H2525=1,INDEX(ap_DrAcct,19)&amp;"","")</f>
        <v/>
      </c>
      <c r="J2525" s="95">
        <f>IF(H2525=1,INDEX(ap_DrAmt,19),0)</f>
        <v/>
      </c>
      <c r="K2525" s="58">
        <f>IF(H2525=1,INDEX(ap_CrAcct,19)&amp;"","")</f>
        <v/>
      </c>
      <c r="L2525" s="95">
        <f>IF(H2525=1,INDEX(ap_CrAmt,19),0)</f>
        <v/>
      </c>
      <c r="M2525" s="95">
        <f>IF(H2525=1,INDEX(ap_TaxAmt,19),0)</f>
        <v/>
      </c>
      <c r="N2525" s="95" t="n">
        <v>0</v>
      </c>
      <c r="O2525" s="101">
        <f>IF(H2525=1,IF(E2525&lt;FYStart,0,IF(E2525&gt;FYEnd,13,YEAR(E2525)*12+MONTH(E2525)-FYYM+1)),"")</f>
        <v/>
      </c>
      <c r="P2525" s="101">
        <f>IF(H2525=1,IF(IFERROR(INDEX(coa_CF,MATCH(I2525,coa_Name,0)),"")="Cash",1,0),0)</f>
        <v/>
      </c>
      <c r="Q2525" s="101">
        <f>IF(H2525=1,IF(IFERROR(INDEX(coa_CF,MATCH(K2525,coa_Name,0)),"")="Cash",1,0),0)</f>
        <v/>
      </c>
      <c r="R2525" s="58">
        <f>IF((P2525-Q2525)=0,"",IFERROR(INDEX(coa_CF,MATCH(IF((P2525-Q2525)=1,K2525,I2525),coa_Name,0)),"Operating"))</f>
        <v/>
      </c>
      <c r="S2525" s="95">
        <f>IF((P2525-Q2525)=1,L2525,IF((P2525-Q2525)=-1,-J2525,0))</f>
        <v/>
      </c>
      <c r="T2525" s="95">
        <f>IF((P2525-Q2525)=1,N2525,IF((P2525-Q2525)=-1,-M2525,0))</f>
        <v/>
      </c>
      <c r="U2525" s="101">
        <f>IF(AND(H2525=1,LedAcct&lt;&gt;""),IF(AND(E2525&gt;=LedFrom,E2525&lt;=LedTo,OR(I2525=LedAcct,K2525=LedAcct,AND(LedAcct=acctTax,M2525+N2525&lt;&gt;0))),E2525*10000+B2525,""),"")</f>
        <v/>
      </c>
    </row>
    <row r="2526">
      <c r="B2526" s="101" t="n">
        <v>2520</v>
      </c>
      <c r="C2526" s="58" t="inlineStr">
        <is>
          <t>Bill</t>
        </is>
      </c>
      <c r="D2526" s="58">
        <f>IF(H2526=1,INDEX(ap_No,20)&amp;"","")</f>
        <v/>
      </c>
      <c r="E2526" s="94">
        <f>IF(H2526=1,INDEX(ap_Date,20),"")</f>
        <v/>
      </c>
      <c r="F2526" s="58">
        <f>IF(H2526=1,INDEX(ap_Desc,20)&amp;"","")</f>
        <v/>
      </c>
      <c r="G2526" s="58">
        <f>IF(H2526=1,INDEX(ap_Party,20)&amp;"","")</f>
        <v/>
      </c>
      <c r="H2526" s="101">
        <f>IFERROR(N(INDEX(ap_Posted,20)),0)</f>
        <v/>
      </c>
      <c r="I2526" s="58">
        <f>IF(H2526=1,INDEX(ap_DrAcct,20)&amp;"","")</f>
        <v/>
      </c>
      <c r="J2526" s="95">
        <f>IF(H2526=1,INDEX(ap_DrAmt,20),0)</f>
        <v/>
      </c>
      <c r="K2526" s="58">
        <f>IF(H2526=1,INDEX(ap_CrAcct,20)&amp;"","")</f>
        <v/>
      </c>
      <c r="L2526" s="95">
        <f>IF(H2526=1,INDEX(ap_CrAmt,20),0)</f>
        <v/>
      </c>
      <c r="M2526" s="95">
        <f>IF(H2526=1,INDEX(ap_TaxAmt,20),0)</f>
        <v/>
      </c>
      <c r="N2526" s="95" t="n">
        <v>0</v>
      </c>
      <c r="O2526" s="101">
        <f>IF(H2526=1,IF(E2526&lt;FYStart,0,IF(E2526&gt;FYEnd,13,YEAR(E2526)*12+MONTH(E2526)-FYYM+1)),"")</f>
        <v/>
      </c>
      <c r="P2526" s="101">
        <f>IF(H2526=1,IF(IFERROR(INDEX(coa_CF,MATCH(I2526,coa_Name,0)),"")="Cash",1,0),0)</f>
        <v/>
      </c>
      <c r="Q2526" s="101">
        <f>IF(H2526=1,IF(IFERROR(INDEX(coa_CF,MATCH(K2526,coa_Name,0)),"")="Cash",1,0),0)</f>
        <v/>
      </c>
      <c r="R2526" s="58">
        <f>IF((P2526-Q2526)=0,"",IFERROR(INDEX(coa_CF,MATCH(IF((P2526-Q2526)=1,K2526,I2526),coa_Name,0)),"Operating"))</f>
        <v/>
      </c>
      <c r="S2526" s="95">
        <f>IF((P2526-Q2526)=1,L2526,IF((P2526-Q2526)=-1,-J2526,0))</f>
        <v/>
      </c>
      <c r="T2526" s="95">
        <f>IF((P2526-Q2526)=1,N2526,IF((P2526-Q2526)=-1,-M2526,0))</f>
        <v/>
      </c>
      <c r="U2526" s="101">
        <f>IF(AND(H2526=1,LedAcct&lt;&gt;""),IF(AND(E2526&gt;=LedFrom,E2526&lt;=LedTo,OR(I2526=LedAcct,K2526=LedAcct,AND(LedAcct=acctTax,M2526+N2526&lt;&gt;0))),E2526*10000+B2526,""),"")</f>
        <v/>
      </c>
    </row>
    <row r="2527">
      <c r="B2527" s="101" t="n">
        <v>2521</v>
      </c>
      <c r="C2527" s="58" t="inlineStr">
        <is>
          <t>Bill</t>
        </is>
      </c>
      <c r="D2527" s="58">
        <f>IF(H2527=1,INDEX(ap_No,21)&amp;"","")</f>
        <v/>
      </c>
      <c r="E2527" s="94">
        <f>IF(H2527=1,INDEX(ap_Date,21),"")</f>
        <v/>
      </c>
      <c r="F2527" s="58">
        <f>IF(H2527=1,INDEX(ap_Desc,21)&amp;"","")</f>
        <v/>
      </c>
      <c r="G2527" s="58">
        <f>IF(H2527=1,INDEX(ap_Party,21)&amp;"","")</f>
        <v/>
      </c>
      <c r="H2527" s="101">
        <f>IFERROR(N(INDEX(ap_Posted,21)),0)</f>
        <v/>
      </c>
      <c r="I2527" s="58">
        <f>IF(H2527=1,INDEX(ap_DrAcct,21)&amp;"","")</f>
        <v/>
      </c>
      <c r="J2527" s="95">
        <f>IF(H2527=1,INDEX(ap_DrAmt,21),0)</f>
        <v/>
      </c>
      <c r="K2527" s="58">
        <f>IF(H2527=1,INDEX(ap_CrAcct,21)&amp;"","")</f>
        <v/>
      </c>
      <c r="L2527" s="95">
        <f>IF(H2527=1,INDEX(ap_CrAmt,21),0)</f>
        <v/>
      </c>
      <c r="M2527" s="95">
        <f>IF(H2527=1,INDEX(ap_TaxAmt,21),0)</f>
        <v/>
      </c>
      <c r="N2527" s="95" t="n">
        <v>0</v>
      </c>
      <c r="O2527" s="101">
        <f>IF(H2527=1,IF(E2527&lt;FYStart,0,IF(E2527&gt;FYEnd,13,YEAR(E2527)*12+MONTH(E2527)-FYYM+1)),"")</f>
        <v/>
      </c>
      <c r="P2527" s="101">
        <f>IF(H2527=1,IF(IFERROR(INDEX(coa_CF,MATCH(I2527,coa_Name,0)),"")="Cash",1,0),0)</f>
        <v/>
      </c>
      <c r="Q2527" s="101">
        <f>IF(H2527=1,IF(IFERROR(INDEX(coa_CF,MATCH(K2527,coa_Name,0)),"")="Cash",1,0),0)</f>
        <v/>
      </c>
      <c r="R2527" s="58">
        <f>IF((P2527-Q2527)=0,"",IFERROR(INDEX(coa_CF,MATCH(IF((P2527-Q2527)=1,K2527,I2527),coa_Name,0)),"Operating"))</f>
        <v/>
      </c>
      <c r="S2527" s="95">
        <f>IF((P2527-Q2527)=1,L2527,IF((P2527-Q2527)=-1,-J2527,0))</f>
        <v/>
      </c>
      <c r="T2527" s="95">
        <f>IF((P2527-Q2527)=1,N2527,IF((P2527-Q2527)=-1,-M2527,0))</f>
        <v/>
      </c>
      <c r="U2527" s="101">
        <f>IF(AND(H2527=1,LedAcct&lt;&gt;""),IF(AND(E2527&gt;=LedFrom,E2527&lt;=LedTo,OR(I2527=LedAcct,K2527=LedAcct,AND(LedAcct=acctTax,M2527+N2527&lt;&gt;0))),E2527*10000+B2527,""),"")</f>
        <v/>
      </c>
    </row>
    <row r="2528">
      <c r="B2528" s="101" t="n">
        <v>2522</v>
      </c>
      <c r="C2528" s="58" t="inlineStr">
        <is>
          <t>Bill</t>
        </is>
      </c>
      <c r="D2528" s="58">
        <f>IF(H2528=1,INDEX(ap_No,22)&amp;"","")</f>
        <v/>
      </c>
      <c r="E2528" s="94">
        <f>IF(H2528=1,INDEX(ap_Date,22),"")</f>
        <v/>
      </c>
      <c r="F2528" s="58">
        <f>IF(H2528=1,INDEX(ap_Desc,22)&amp;"","")</f>
        <v/>
      </c>
      <c r="G2528" s="58">
        <f>IF(H2528=1,INDEX(ap_Party,22)&amp;"","")</f>
        <v/>
      </c>
      <c r="H2528" s="101">
        <f>IFERROR(N(INDEX(ap_Posted,22)),0)</f>
        <v/>
      </c>
      <c r="I2528" s="58">
        <f>IF(H2528=1,INDEX(ap_DrAcct,22)&amp;"","")</f>
        <v/>
      </c>
      <c r="J2528" s="95">
        <f>IF(H2528=1,INDEX(ap_DrAmt,22),0)</f>
        <v/>
      </c>
      <c r="K2528" s="58">
        <f>IF(H2528=1,INDEX(ap_CrAcct,22)&amp;"","")</f>
        <v/>
      </c>
      <c r="L2528" s="95">
        <f>IF(H2528=1,INDEX(ap_CrAmt,22),0)</f>
        <v/>
      </c>
      <c r="M2528" s="95">
        <f>IF(H2528=1,INDEX(ap_TaxAmt,22),0)</f>
        <v/>
      </c>
      <c r="N2528" s="95" t="n">
        <v>0</v>
      </c>
      <c r="O2528" s="101">
        <f>IF(H2528=1,IF(E2528&lt;FYStart,0,IF(E2528&gt;FYEnd,13,YEAR(E2528)*12+MONTH(E2528)-FYYM+1)),"")</f>
        <v/>
      </c>
      <c r="P2528" s="101">
        <f>IF(H2528=1,IF(IFERROR(INDEX(coa_CF,MATCH(I2528,coa_Name,0)),"")="Cash",1,0),0)</f>
        <v/>
      </c>
      <c r="Q2528" s="101">
        <f>IF(H2528=1,IF(IFERROR(INDEX(coa_CF,MATCH(K2528,coa_Name,0)),"")="Cash",1,0),0)</f>
        <v/>
      </c>
      <c r="R2528" s="58">
        <f>IF((P2528-Q2528)=0,"",IFERROR(INDEX(coa_CF,MATCH(IF((P2528-Q2528)=1,K2528,I2528),coa_Name,0)),"Operating"))</f>
        <v/>
      </c>
      <c r="S2528" s="95">
        <f>IF((P2528-Q2528)=1,L2528,IF((P2528-Q2528)=-1,-J2528,0))</f>
        <v/>
      </c>
      <c r="T2528" s="95">
        <f>IF((P2528-Q2528)=1,N2528,IF((P2528-Q2528)=-1,-M2528,0))</f>
        <v/>
      </c>
      <c r="U2528" s="101">
        <f>IF(AND(H2528=1,LedAcct&lt;&gt;""),IF(AND(E2528&gt;=LedFrom,E2528&lt;=LedTo,OR(I2528=LedAcct,K2528=LedAcct,AND(LedAcct=acctTax,M2528+N2528&lt;&gt;0))),E2528*10000+B2528,""),"")</f>
        <v/>
      </c>
    </row>
    <row r="2529">
      <c r="B2529" s="101" t="n">
        <v>2523</v>
      </c>
      <c r="C2529" s="58" t="inlineStr">
        <is>
          <t>Bill</t>
        </is>
      </c>
      <c r="D2529" s="58">
        <f>IF(H2529=1,INDEX(ap_No,23)&amp;"","")</f>
        <v/>
      </c>
      <c r="E2529" s="94">
        <f>IF(H2529=1,INDEX(ap_Date,23),"")</f>
        <v/>
      </c>
      <c r="F2529" s="58">
        <f>IF(H2529=1,INDEX(ap_Desc,23)&amp;"","")</f>
        <v/>
      </c>
      <c r="G2529" s="58">
        <f>IF(H2529=1,INDEX(ap_Party,23)&amp;"","")</f>
        <v/>
      </c>
      <c r="H2529" s="101">
        <f>IFERROR(N(INDEX(ap_Posted,23)),0)</f>
        <v/>
      </c>
      <c r="I2529" s="58">
        <f>IF(H2529=1,INDEX(ap_DrAcct,23)&amp;"","")</f>
        <v/>
      </c>
      <c r="J2529" s="95">
        <f>IF(H2529=1,INDEX(ap_DrAmt,23),0)</f>
        <v/>
      </c>
      <c r="K2529" s="58">
        <f>IF(H2529=1,INDEX(ap_CrAcct,23)&amp;"","")</f>
        <v/>
      </c>
      <c r="L2529" s="95">
        <f>IF(H2529=1,INDEX(ap_CrAmt,23),0)</f>
        <v/>
      </c>
      <c r="M2529" s="95">
        <f>IF(H2529=1,INDEX(ap_TaxAmt,23),0)</f>
        <v/>
      </c>
      <c r="N2529" s="95" t="n">
        <v>0</v>
      </c>
      <c r="O2529" s="101">
        <f>IF(H2529=1,IF(E2529&lt;FYStart,0,IF(E2529&gt;FYEnd,13,YEAR(E2529)*12+MONTH(E2529)-FYYM+1)),"")</f>
        <v/>
      </c>
      <c r="P2529" s="101">
        <f>IF(H2529=1,IF(IFERROR(INDEX(coa_CF,MATCH(I2529,coa_Name,0)),"")="Cash",1,0),0)</f>
        <v/>
      </c>
      <c r="Q2529" s="101">
        <f>IF(H2529=1,IF(IFERROR(INDEX(coa_CF,MATCH(K2529,coa_Name,0)),"")="Cash",1,0),0)</f>
        <v/>
      </c>
      <c r="R2529" s="58">
        <f>IF((P2529-Q2529)=0,"",IFERROR(INDEX(coa_CF,MATCH(IF((P2529-Q2529)=1,K2529,I2529),coa_Name,0)),"Operating"))</f>
        <v/>
      </c>
      <c r="S2529" s="95">
        <f>IF((P2529-Q2529)=1,L2529,IF((P2529-Q2529)=-1,-J2529,0))</f>
        <v/>
      </c>
      <c r="T2529" s="95">
        <f>IF((P2529-Q2529)=1,N2529,IF((P2529-Q2529)=-1,-M2529,0))</f>
        <v/>
      </c>
      <c r="U2529" s="101">
        <f>IF(AND(H2529=1,LedAcct&lt;&gt;""),IF(AND(E2529&gt;=LedFrom,E2529&lt;=LedTo,OR(I2529=LedAcct,K2529=LedAcct,AND(LedAcct=acctTax,M2529+N2529&lt;&gt;0))),E2529*10000+B2529,""),"")</f>
        <v/>
      </c>
    </row>
    <row r="2530">
      <c r="B2530" s="101" t="n">
        <v>2524</v>
      </c>
      <c r="C2530" s="58" t="inlineStr">
        <is>
          <t>Bill</t>
        </is>
      </c>
      <c r="D2530" s="58">
        <f>IF(H2530=1,INDEX(ap_No,24)&amp;"","")</f>
        <v/>
      </c>
      <c r="E2530" s="94">
        <f>IF(H2530=1,INDEX(ap_Date,24),"")</f>
        <v/>
      </c>
      <c r="F2530" s="58">
        <f>IF(H2530=1,INDEX(ap_Desc,24)&amp;"","")</f>
        <v/>
      </c>
      <c r="G2530" s="58">
        <f>IF(H2530=1,INDEX(ap_Party,24)&amp;"","")</f>
        <v/>
      </c>
      <c r="H2530" s="101">
        <f>IFERROR(N(INDEX(ap_Posted,24)),0)</f>
        <v/>
      </c>
      <c r="I2530" s="58">
        <f>IF(H2530=1,INDEX(ap_DrAcct,24)&amp;"","")</f>
        <v/>
      </c>
      <c r="J2530" s="95">
        <f>IF(H2530=1,INDEX(ap_DrAmt,24),0)</f>
        <v/>
      </c>
      <c r="K2530" s="58">
        <f>IF(H2530=1,INDEX(ap_CrAcct,24)&amp;"","")</f>
        <v/>
      </c>
      <c r="L2530" s="95">
        <f>IF(H2530=1,INDEX(ap_CrAmt,24),0)</f>
        <v/>
      </c>
      <c r="M2530" s="95">
        <f>IF(H2530=1,INDEX(ap_TaxAmt,24),0)</f>
        <v/>
      </c>
      <c r="N2530" s="95" t="n">
        <v>0</v>
      </c>
      <c r="O2530" s="101">
        <f>IF(H2530=1,IF(E2530&lt;FYStart,0,IF(E2530&gt;FYEnd,13,YEAR(E2530)*12+MONTH(E2530)-FYYM+1)),"")</f>
        <v/>
      </c>
      <c r="P2530" s="101">
        <f>IF(H2530=1,IF(IFERROR(INDEX(coa_CF,MATCH(I2530,coa_Name,0)),"")="Cash",1,0),0)</f>
        <v/>
      </c>
      <c r="Q2530" s="101">
        <f>IF(H2530=1,IF(IFERROR(INDEX(coa_CF,MATCH(K2530,coa_Name,0)),"")="Cash",1,0),0)</f>
        <v/>
      </c>
      <c r="R2530" s="58">
        <f>IF((P2530-Q2530)=0,"",IFERROR(INDEX(coa_CF,MATCH(IF((P2530-Q2530)=1,K2530,I2530),coa_Name,0)),"Operating"))</f>
        <v/>
      </c>
      <c r="S2530" s="95">
        <f>IF((P2530-Q2530)=1,L2530,IF((P2530-Q2530)=-1,-J2530,0))</f>
        <v/>
      </c>
      <c r="T2530" s="95">
        <f>IF((P2530-Q2530)=1,N2530,IF((P2530-Q2530)=-1,-M2530,0))</f>
        <v/>
      </c>
      <c r="U2530" s="101">
        <f>IF(AND(H2530=1,LedAcct&lt;&gt;""),IF(AND(E2530&gt;=LedFrom,E2530&lt;=LedTo,OR(I2530=LedAcct,K2530=LedAcct,AND(LedAcct=acctTax,M2530+N2530&lt;&gt;0))),E2530*10000+B2530,""),"")</f>
        <v/>
      </c>
    </row>
    <row r="2531">
      <c r="B2531" s="101" t="n">
        <v>2525</v>
      </c>
      <c r="C2531" s="58" t="inlineStr">
        <is>
          <t>Bill</t>
        </is>
      </c>
      <c r="D2531" s="58">
        <f>IF(H2531=1,INDEX(ap_No,25)&amp;"","")</f>
        <v/>
      </c>
      <c r="E2531" s="94">
        <f>IF(H2531=1,INDEX(ap_Date,25),"")</f>
        <v/>
      </c>
      <c r="F2531" s="58">
        <f>IF(H2531=1,INDEX(ap_Desc,25)&amp;"","")</f>
        <v/>
      </c>
      <c r="G2531" s="58">
        <f>IF(H2531=1,INDEX(ap_Party,25)&amp;"","")</f>
        <v/>
      </c>
      <c r="H2531" s="101">
        <f>IFERROR(N(INDEX(ap_Posted,25)),0)</f>
        <v/>
      </c>
      <c r="I2531" s="58">
        <f>IF(H2531=1,INDEX(ap_DrAcct,25)&amp;"","")</f>
        <v/>
      </c>
      <c r="J2531" s="95">
        <f>IF(H2531=1,INDEX(ap_DrAmt,25),0)</f>
        <v/>
      </c>
      <c r="K2531" s="58">
        <f>IF(H2531=1,INDEX(ap_CrAcct,25)&amp;"","")</f>
        <v/>
      </c>
      <c r="L2531" s="95">
        <f>IF(H2531=1,INDEX(ap_CrAmt,25),0)</f>
        <v/>
      </c>
      <c r="M2531" s="95">
        <f>IF(H2531=1,INDEX(ap_TaxAmt,25),0)</f>
        <v/>
      </c>
      <c r="N2531" s="95" t="n">
        <v>0</v>
      </c>
      <c r="O2531" s="101">
        <f>IF(H2531=1,IF(E2531&lt;FYStart,0,IF(E2531&gt;FYEnd,13,YEAR(E2531)*12+MONTH(E2531)-FYYM+1)),"")</f>
        <v/>
      </c>
      <c r="P2531" s="101">
        <f>IF(H2531=1,IF(IFERROR(INDEX(coa_CF,MATCH(I2531,coa_Name,0)),"")="Cash",1,0),0)</f>
        <v/>
      </c>
      <c r="Q2531" s="101">
        <f>IF(H2531=1,IF(IFERROR(INDEX(coa_CF,MATCH(K2531,coa_Name,0)),"")="Cash",1,0),0)</f>
        <v/>
      </c>
      <c r="R2531" s="58">
        <f>IF((P2531-Q2531)=0,"",IFERROR(INDEX(coa_CF,MATCH(IF((P2531-Q2531)=1,K2531,I2531),coa_Name,0)),"Operating"))</f>
        <v/>
      </c>
      <c r="S2531" s="95">
        <f>IF((P2531-Q2531)=1,L2531,IF((P2531-Q2531)=-1,-J2531,0))</f>
        <v/>
      </c>
      <c r="T2531" s="95">
        <f>IF((P2531-Q2531)=1,N2531,IF((P2531-Q2531)=-1,-M2531,0))</f>
        <v/>
      </c>
      <c r="U2531" s="101">
        <f>IF(AND(H2531=1,LedAcct&lt;&gt;""),IF(AND(E2531&gt;=LedFrom,E2531&lt;=LedTo,OR(I2531=LedAcct,K2531=LedAcct,AND(LedAcct=acctTax,M2531+N2531&lt;&gt;0))),E2531*10000+B2531,""),"")</f>
        <v/>
      </c>
    </row>
    <row r="2532">
      <c r="B2532" s="101" t="n">
        <v>2526</v>
      </c>
      <c r="C2532" s="58" t="inlineStr">
        <is>
          <t>Bill</t>
        </is>
      </c>
      <c r="D2532" s="58">
        <f>IF(H2532=1,INDEX(ap_No,26)&amp;"","")</f>
        <v/>
      </c>
      <c r="E2532" s="94">
        <f>IF(H2532=1,INDEX(ap_Date,26),"")</f>
        <v/>
      </c>
      <c r="F2532" s="58">
        <f>IF(H2532=1,INDEX(ap_Desc,26)&amp;"","")</f>
        <v/>
      </c>
      <c r="G2532" s="58">
        <f>IF(H2532=1,INDEX(ap_Party,26)&amp;"","")</f>
        <v/>
      </c>
      <c r="H2532" s="101">
        <f>IFERROR(N(INDEX(ap_Posted,26)),0)</f>
        <v/>
      </c>
      <c r="I2532" s="58">
        <f>IF(H2532=1,INDEX(ap_DrAcct,26)&amp;"","")</f>
        <v/>
      </c>
      <c r="J2532" s="95">
        <f>IF(H2532=1,INDEX(ap_DrAmt,26),0)</f>
        <v/>
      </c>
      <c r="K2532" s="58">
        <f>IF(H2532=1,INDEX(ap_CrAcct,26)&amp;"","")</f>
        <v/>
      </c>
      <c r="L2532" s="95">
        <f>IF(H2532=1,INDEX(ap_CrAmt,26),0)</f>
        <v/>
      </c>
      <c r="M2532" s="95">
        <f>IF(H2532=1,INDEX(ap_TaxAmt,26),0)</f>
        <v/>
      </c>
      <c r="N2532" s="95" t="n">
        <v>0</v>
      </c>
      <c r="O2532" s="101">
        <f>IF(H2532=1,IF(E2532&lt;FYStart,0,IF(E2532&gt;FYEnd,13,YEAR(E2532)*12+MONTH(E2532)-FYYM+1)),"")</f>
        <v/>
      </c>
      <c r="P2532" s="101">
        <f>IF(H2532=1,IF(IFERROR(INDEX(coa_CF,MATCH(I2532,coa_Name,0)),"")="Cash",1,0),0)</f>
        <v/>
      </c>
      <c r="Q2532" s="101">
        <f>IF(H2532=1,IF(IFERROR(INDEX(coa_CF,MATCH(K2532,coa_Name,0)),"")="Cash",1,0),0)</f>
        <v/>
      </c>
      <c r="R2532" s="58">
        <f>IF((P2532-Q2532)=0,"",IFERROR(INDEX(coa_CF,MATCH(IF((P2532-Q2532)=1,K2532,I2532),coa_Name,0)),"Operating"))</f>
        <v/>
      </c>
      <c r="S2532" s="95">
        <f>IF((P2532-Q2532)=1,L2532,IF((P2532-Q2532)=-1,-J2532,0))</f>
        <v/>
      </c>
      <c r="T2532" s="95">
        <f>IF((P2532-Q2532)=1,N2532,IF((P2532-Q2532)=-1,-M2532,0))</f>
        <v/>
      </c>
      <c r="U2532" s="101">
        <f>IF(AND(H2532=1,LedAcct&lt;&gt;""),IF(AND(E2532&gt;=LedFrom,E2532&lt;=LedTo,OR(I2532=LedAcct,K2532=LedAcct,AND(LedAcct=acctTax,M2532+N2532&lt;&gt;0))),E2532*10000+B2532,""),"")</f>
        <v/>
      </c>
    </row>
    <row r="2533">
      <c r="B2533" s="101" t="n">
        <v>2527</v>
      </c>
      <c r="C2533" s="58" t="inlineStr">
        <is>
          <t>Bill</t>
        </is>
      </c>
      <c r="D2533" s="58">
        <f>IF(H2533=1,INDEX(ap_No,27)&amp;"","")</f>
        <v/>
      </c>
      <c r="E2533" s="94">
        <f>IF(H2533=1,INDEX(ap_Date,27),"")</f>
        <v/>
      </c>
      <c r="F2533" s="58">
        <f>IF(H2533=1,INDEX(ap_Desc,27)&amp;"","")</f>
        <v/>
      </c>
      <c r="G2533" s="58">
        <f>IF(H2533=1,INDEX(ap_Party,27)&amp;"","")</f>
        <v/>
      </c>
      <c r="H2533" s="101">
        <f>IFERROR(N(INDEX(ap_Posted,27)),0)</f>
        <v/>
      </c>
      <c r="I2533" s="58">
        <f>IF(H2533=1,INDEX(ap_DrAcct,27)&amp;"","")</f>
        <v/>
      </c>
      <c r="J2533" s="95">
        <f>IF(H2533=1,INDEX(ap_DrAmt,27),0)</f>
        <v/>
      </c>
      <c r="K2533" s="58">
        <f>IF(H2533=1,INDEX(ap_CrAcct,27)&amp;"","")</f>
        <v/>
      </c>
      <c r="L2533" s="95">
        <f>IF(H2533=1,INDEX(ap_CrAmt,27),0)</f>
        <v/>
      </c>
      <c r="M2533" s="95">
        <f>IF(H2533=1,INDEX(ap_TaxAmt,27),0)</f>
        <v/>
      </c>
      <c r="N2533" s="95" t="n">
        <v>0</v>
      </c>
      <c r="O2533" s="101">
        <f>IF(H2533=1,IF(E2533&lt;FYStart,0,IF(E2533&gt;FYEnd,13,YEAR(E2533)*12+MONTH(E2533)-FYYM+1)),"")</f>
        <v/>
      </c>
      <c r="P2533" s="101">
        <f>IF(H2533=1,IF(IFERROR(INDEX(coa_CF,MATCH(I2533,coa_Name,0)),"")="Cash",1,0),0)</f>
        <v/>
      </c>
      <c r="Q2533" s="101">
        <f>IF(H2533=1,IF(IFERROR(INDEX(coa_CF,MATCH(K2533,coa_Name,0)),"")="Cash",1,0),0)</f>
        <v/>
      </c>
      <c r="R2533" s="58">
        <f>IF((P2533-Q2533)=0,"",IFERROR(INDEX(coa_CF,MATCH(IF((P2533-Q2533)=1,K2533,I2533),coa_Name,0)),"Operating"))</f>
        <v/>
      </c>
      <c r="S2533" s="95">
        <f>IF((P2533-Q2533)=1,L2533,IF((P2533-Q2533)=-1,-J2533,0))</f>
        <v/>
      </c>
      <c r="T2533" s="95">
        <f>IF((P2533-Q2533)=1,N2533,IF((P2533-Q2533)=-1,-M2533,0))</f>
        <v/>
      </c>
      <c r="U2533" s="101">
        <f>IF(AND(H2533=1,LedAcct&lt;&gt;""),IF(AND(E2533&gt;=LedFrom,E2533&lt;=LedTo,OR(I2533=LedAcct,K2533=LedAcct,AND(LedAcct=acctTax,M2533+N2533&lt;&gt;0))),E2533*10000+B2533,""),"")</f>
        <v/>
      </c>
    </row>
    <row r="2534">
      <c r="B2534" s="101" t="n">
        <v>2528</v>
      </c>
      <c r="C2534" s="58" t="inlineStr">
        <is>
          <t>Bill</t>
        </is>
      </c>
      <c r="D2534" s="58">
        <f>IF(H2534=1,INDEX(ap_No,28)&amp;"","")</f>
        <v/>
      </c>
      <c r="E2534" s="94">
        <f>IF(H2534=1,INDEX(ap_Date,28),"")</f>
        <v/>
      </c>
      <c r="F2534" s="58">
        <f>IF(H2534=1,INDEX(ap_Desc,28)&amp;"","")</f>
        <v/>
      </c>
      <c r="G2534" s="58">
        <f>IF(H2534=1,INDEX(ap_Party,28)&amp;"","")</f>
        <v/>
      </c>
      <c r="H2534" s="101">
        <f>IFERROR(N(INDEX(ap_Posted,28)),0)</f>
        <v/>
      </c>
      <c r="I2534" s="58">
        <f>IF(H2534=1,INDEX(ap_DrAcct,28)&amp;"","")</f>
        <v/>
      </c>
      <c r="J2534" s="95">
        <f>IF(H2534=1,INDEX(ap_DrAmt,28),0)</f>
        <v/>
      </c>
      <c r="K2534" s="58">
        <f>IF(H2534=1,INDEX(ap_CrAcct,28)&amp;"","")</f>
        <v/>
      </c>
      <c r="L2534" s="95">
        <f>IF(H2534=1,INDEX(ap_CrAmt,28),0)</f>
        <v/>
      </c>
      <c r="M2534" s="95">
        <f>IF(H2534=1,INDEX(ap_TaxAmt,28),0)</f>
        <v/>
      </c>
      <c r="N2534" s="95" t="n">
        <v>0</v>
      </c>
      <c r="O2534" s="101">
        <f>IF(H2534=1,IF(E2534&lt;FYStart,0,IF(E2534&gt;FYEnd,13,YEAR(E2534)*12+MONTH(E2534)-FYYM+1)),"")</f>
        <v/>
      </c>
      <c r="P2534" s="101">
        <f>IF(H2534=1,IF(IFERROR(INDEX(coa_CF,MATCH(I2534,coa_Name,0)),"")="Cash",1,0),0)</f>
        <v/>
      </c>
      <c r="Q2534" s="101">
        <f>IF(H2534=1,IF(IFERROR(INDEX(coa_CF,MATCH(K2534,coa_Name,0)),"")="Cash",1,0),0)</f>
        <v/>
      </c>
      <c r="R2534" s="58">
        <f>IF((P2534-Q2534)=0,"",IFERROR(INDEX(coa_CF,MATCH(IF((P2534-Q2534)=1,K2534,I2534),coa_Name,0)),"Operating"))</f>
        <v/>
      </c>
      <c r="S2534" s="95">
        <f>IF((P2534-Q2534)=1,L2534,IF((P2534-Q2534)=-1,-J2534,0))</f>
        <v/>
      </c>
      <c r="T2534" s="95">
        <f>IF((P2534-Q2534)=1,N2534,IF((P2534-Q2534)=-1,-M2534,0))</f>
        <v/>
      </c>
      <c r="U2534" s="101">
        <f>IF(AND(H2534=1,LedAcct&lt;&gt;""),IF(AND(E2534&gt;=LedFrom,E2534&lt;=LedTo,OR(I2534=LedAcct,K2534=LedAcct,AND(LedAcct=acctTax,M2534+N2534&lt;&gt;0))),E2534*10000+B2534,""),"")</f>
        <v/>
      </c>
    </row>
    <row r="2535">
      <c r="B2535" s="101" t="n">
        <v>2529</v>
      </c>
      <c r="C2535" s="58" t="inlineStr">
        <is>
          <t>Bill</t>
        </is>
      </c>
      <c r="D2535" s="58">
        <f>IF(H2535=1,INDEX(ap_No,29)&amp;"","")</f>
        <v/>
      </c>
      <c r="E2535" s="94">
        <f>IF(H2535=1,INDEX(ap_Date,29),"")</f>
        <v/>
      </c>
      <c r="F2535" s="58">
        <f>IF(H2535=1,INDEX(ap_Desc,29)&amp;"","")</f>
        <v/>
      </c>
      <c r="G2535" s="58">
        <f>IF(H2535=1,INDEX(ap_Party,29)&amp;"","")</f>
        <v/>
      </c>
      <c r="H2535" s="101">
        <f>IFERROR(N(INDEX(ap_Posted,29)),0)</f>
        <v/>
      </c>
      <c r="I2535" s="58">
        <f>IF(H2535=1,INDEX(ap_DrAcct,29)&amp;"","")</f>
        <v/>
      </c>
      <c r="J2535" s="95">
        <f>IF(H2535=1,INDEX(ap_DrAmt,29),0)</f>
        <v/>
      </c>
      <c r="K2535" s="58">
        <f>IF(H2535=1,INDEX(ap_CrAcct,29)&amp;"","")</f>
        <v/>
      </c>
      <c r="L2535" s="95">
        <f>IF(H2535=1,INDEX(ap_CrAmt,29),0)</f>
        <v/>
      </c>
      <c r="M2535" s="95">
        <f>IF(H2535=1,INDEX(ap_TaxAmt,29),0)</f>
        <v/>
      </c>
      <c r="N2535" s="95" t="n">
        <v>0</v>
      </c>
      <c r="O2535" s="101">
        <f>IF(H2535=1,IF(E2535&lt;FYStart,0,IF(E2535&gt;FYEnd,13,YEAR(E2535)*12+MONTH(E2535)-FYYM+1)),"")</f>
        <v/>
      </c>
      <c r="P2535" s="101">
        <f>IF(H2535=1,IF(IFERROR(INDEX(coa_CF,MATCH(I2535,coa_Name,0)),"")="Cash",1,0),0)</f>
        <v/>
      </c>
      <c r="Q2535" s="101">
        <f>IF(H2535=1,IF(IFERROR(INDEX(coa_CF,MATCH(K2535,coa_Name,0)),"")="Cash",1,0),0)</f>
        <v/>
      </c>
      <c r="R2535" s="58">
        <f>IF((P2535-Q2535)=0,"",IFERROR(INDEX(coa_CF,MATCH(IF((P2535-Q2535)=1,K2535,I2535),coa_Name,0)),"Operating"))</f>
        <v/>
      </c>
      <c r="S2535" s="95">
        <f>IF((P2535-Q2535)=1,L2535,IF((P2535-Q2535)=-1,-J2535,0))</f>
        <v/>
      </c>
      <c r="T2535" s="95">
        <f>IF((P2535-Q2535)=1,N2535,IF((P2535-Q2535)=-1,-M2535,0))</f>
        <v/>
      </c>
      <c r="U2535" s="101">
        <f>IF(AND(H2535=1,LedAcct&lt;&gt;""),IF(AND(E2535&gt;=LedFrom,E2535&lt;=LedTo,OR(I2535=LedAcct,K2535=LedAcct,AND(LedAcct=acctTax,M2535+N2535&lt;&gt;0))),E2535*10000+B2535,""),"")</f>
        <v/>
      </c>
    </row>
    <row r="2536">
      <c r="B2536" s="101" t="n">
        <v>2530</v>
      </c>
      <c r="C2536" s="58" t="inlineStr">
        <is>
          <t>Bill</t>
        </is>
      </c>
      <c r="D2536" s="58">
        <f>IF(H2536=1,INDEX(ap_No,30)&amp;"","")</f>
        <v/>
      </c>
      <c r="E2536" s="94">
        <f>IF(H2536=1,INDEX(ap_Date,30),"")</f>
        <v/>
      </c>
      <c r="F2536" s="58">
        <f>IF(H2536=1,INDEX(ap_Desc,30)&amp;"","")</f>
        <v/>
      </c>
      <c r="G2536" s="58">
        <f>IF(H2536=1,INDEX(ap_Party,30)&amp;"","")</f>
        <v/>
      </c>
      <c r="H2536" s="101">
        <f>IFERROR(N(INDEX(ap_Posted,30)),0)</f>
        <v/>
      </c>
      <c r="I2536" s="58">
        <f>IF(H2536=1,INDEX(ap_DrAcct,30)&amp;"","")</f>
        <v/>
      </c>
      <c r="J2536" s="95">
        <f>IF(H2536=1,INDEX(ap_DrAmt,30),0)</f>
        <v/>
      </c>
      <c r="K2536" s="58">
        <f>IF(H2536=1,INDEX(ap_CrAcct,30)&amp;"","")</f>
        <v/>
      </c>
      <c r="L2536" s="95">
        <f>IF(H2536=1,INDEX(ap_CrAmt,30),0)</f>
        <v/>
      </c>
      <c r="M2536" s="95">
        <f>IF(H2536=1,INDEX(ap_TaxAmt,30),0)</f>
        <v/>
      </c>
      <c r="N2536" s="95" t="n">
        <v>0</v>
      </c>
      <c r="O2536" s="101">
        <f>IF(H2536=1,IF(E2536&lt;FYStart,0,IF(E2536&gt;FYEnd,13,YEAR(E2536)*12+MONTH(E2536)-FYYM+1)),"")</f>
        <v/>
      </c>
      <c r="P2536" s="101">
        <f>IF(H2536=1,IF(IFERROR(INDEX(coa_CF,MATCH(I2536,coa_Name,0)),"")="Cash",1,0),0)</f>
        <v/>
      </c>
      <c r="Q2536" s="101">
        <f>IF(H2536=1,IF(IFERROR(INDEX(coa_CF,MATCH(K2536,coa_Name,0)),"")="Cash",1,0),0)</f>
        <v/>
      </c>
      <c r="R2536" s="58">
        <f>IF((P2536-Q2536)=0,"",IFERROR(INDEX(coa_CF,MATCH(IF((P2536-Q2536)=1,K2536,I2536),coa_Name,0)),"Operating"))</f>
        <v/>
      </c>
      <c r="S2536" s="95">
        <f>IF((P2536-Q2536)=1,L2536,IF((P2536-Q2536)=-1,-J2536,0))</f>
        <v/>
      </c>
      <c r="T2536" s="95">
        <f>IF((P2536-Q2536)=1,N2536,IF((P2536-Q2536)=-1,-M2536,0))</f>
        <v/>
      </c>
      <c r="U2536" s="101">
        <f>IF(AND(H2536=1,LedAcct&lt;&gt;""),IF(AND(E2536&gt;=LedFrom,E2536&lt;=LedTo,OR(I2536=LedAcct,K2536=LedAcct,AND(LedAcct=acctTax,M2536+N2536&lt;&gt;0))),E2536*10000+B2536,""),"")</f>
        <v/>
      </c>
    </row>
    <row r="2537">
      <c r="B2537" s="101" t="n">
        <v>2531</v>
      </c>
      <c r="C2537" s="58" t="inlineStr">
        <is>
          <t>Bill</t>
        </is>
      </c>
      <c r="D2537" s="58">
        <f>IF(H2537=1,INDEX(ap_No,31)&amp;"","")</f>
        <v/>
      </c>
      <c r="E2537" s="94">
        <f>IF(H2537=1,INDEX(ap_Date,31),"")</f>
        <v/>
      </c>
      <c r="F2537" s="58">
        <f>IF(H2537=1,INDEX(ap_Desc,31)&amp;"","")</f>
        <v/>
      </c>
      <c r="G2537" s="58">
        <f>IF(H2537=1,INDEX(ap_Party,31)&amp;"","")</f>
        <v/>
      </c>
      <c r="H2537" s="101">
        <f>IFERROR(N(INDEX(ap_Posted,31)),0)</f>
        <v/>
      </c>
      <c r="I2537" s="58">
        <f>IF(H2537=1,INDEX(ap_DrAcct,31)&amp;"","")</f>
        <v/>
      </c>
      <c r="J2537" s="95">
        <f>IF(H2537=1,INDEX(ap_DrAmt,31),0)</f>
        <v/>
      </c>
      <c r="K2537" s="58">
        <f>IF(H2537=1,INDEX(ap_CrAcct,31)&amp;"","")</f>
        <v/>
      </c>
      <c r="L2537" s="95">
        <f>IF(H2537=1,INDEX(ap_CrAmt,31),0)</f>
        <v/>
      </c>
      <c r="M2537" s="95">
        <f>IF(H2537=1,INDEX(ap_TaxAmt,31),0)</f>
        <v/>
      </c>
      <c r="N2537" s="95" t="n">
        <v>0</v>
      </c>
      <c r="O2537" s="101">
        <f>IF(H2537=1,IF(E2537&lt;FYStart,0,IF(E2537&gt;FYEnd,13,YEAR(E2537)*12+MONTH(E2537)-FYYM+1)),"")</f>
        <v/>
      </c>
      <c r="P2537" s="101">
        <f>IF(H2537=1,IF(IFERROR(INDEX(coa_CF,MATCH(I2537,coa_Name,0)),"")="Cash",1,0),0)</f>
        <v/>
      </c>
      <c r="Q2537" s="101">
        <f>IF(H2537=1,IF(IFERROR(INDEX(coa_CF,MATCH(K2537,coa_Name,0)),"")="Cash",1,0),0)</f>
        <v/>
      </c>
      <c r="R2537" s="58">
        <f>IF((P2537-Q2537)=0,"",IFERROR(INDEX(coa_CF,MATCH(IF((P2537-Q2537)=1,K2537,I2537),coa_Name,0)),"Operating"))</f>
        <v/>
      </c>
      <c r="S2537" s="95">
        <f>IF((P2537-Q2537)=1,L2537,IF((P2537-Q2537)=-1,-J2537,0))</f>
        <v/>
      </c>
      <c r="T2537" s="95">
        <f>IF((P2537-Q2537)=1,N2537,IF((P2537-Q2537)=-1,-M2537,0))</f>
        <v/>
      </c>
      <c r="U2537" s="101">
        <f>IF(AND(H2537=1,LedAcct&lt;&gt;""),IF(AND(E2537&gt;=LedFrom,E2537&lt;=LedTo,OR(I2537=LedAcct,K2537=LedAcct,AND(LedAcct=acctTax,M2537+N2537&lt;&gt;0))),E2537*10000+B2537,""),"")</f>
        <v/>
      </c>
    </row>
    <row r="2538">
      <c r="B2538" s="101" t="n">
        <v>2532</v>
      </c>
      <c r="C2538" s="58" t="inlineStr">
        <is>
          <t>Bill</t>
        </is>
      </c>
      <c r="D2538" s="58">
        <f>IF(H2538=1,INDEX(ap_No,32)&amp;"","")</f>
        <v/>
      </c>
      <c r="E2538" s="94">
        <f>IF(H2538=1,INDEX(ap_Date,32),"")</f>
        <v/>
      </c>
      <c r="F2538" s="58">
        <f>IF(H2538=1,INDEX(ap_Desc,32)&amp;"","")</f>
        <v/>
      </c>
      <c r="G2538" s="58">
        <f>IF(H2538=1,INDEX(ap_Party,32)&amp;"","")</f>
        <v/>
      </c>
      <c r="H2538" s="101">
        <f>IFERROR(N(INDEX(ap_Posted,32)),0)</f>
        <v/>
      </c>
      <c r="I2538" s="58">
        <f>IF(H2538=1,INDEX(ap_DrAcct,32)&amp;"","")</f>
        <v/>
      </c>
      <c r="J2538" s="95">
        <f>IF(H2538=1,INDEX(ap_DrAmt,32),0)</f>
        <v/>
      </c>
      <c r="K2538" s="58">
        <f>IF(H2538=1,INDEX(ap_CrAcct,32)&amp;"","")</f>
        <v/>
      </c>
      <c r="L2538" s="95">
        <f>IF(H2538=1,INDEX(ap_CrAmt,32),0)</f>
        <v/>
      </c>
      <c r="M2538" s="95">
        <f>IF(H2538=1,INDEX(ap_TaxAmt,32),0)</f>
        <v/>
      </c>
      <c r="N2538" s="95" t="n">
        <v>0</v>
      </c>
      <c r="O2538" s="101">
        <f>IF(H2538=1,IF(E2538&lt;FYStart,0,IF(E2538&gt;FYEnd,13,YEAR(E2538)*12+MONTH(E2538)-FYYM+1)),"")</f>
        <v/>
      </c>
      <c r="P2538" s="101">
        <f>IF(H2538=1,IF(IFERROR(INDEX(coa_CF,MATCH(I2538,coa_Name,0)),"")="Cash",1,0),0)</f>
        <v/>
      </c>
      <c r="Q2538" s="101">
        <f>IF(H2538=1,IF(IFERROR(INDEX(coa_CF,MATCH(K2538,coa_Name,0)),"")="Cash",1,0),0)</f>
        <v/>
      </c>
      <c r="R2538" s="58">
        <f>IF((P2538-Q2538)=0,"",IFERROR(INDEX(coa_CF,MATCH(IF((P2538-Q2538)=1,K2538,I2538),coa_Name,0)),"Operating"))</f>
        <v/>
      </c>
      <c r="S2538" s="95">
        <f>IF((P2538-Q2538)=1,L2538,IF((P2538-Q2538)=-1,-J2538,0))</f>
        <v/>
      </c>
      <c r="T2538" s="95">
        <f>IF((P2538-Q2538)=1,N2538,IF((P2538-Q2538)=-1,-M2538,0))</f>
        <v/>
      </c>
      <c r="U2538" s="101">
        <f>IF(AND(H2538=1,LedAcct&lt;&gt;""),IF(AND(E2538&gt;=LedFrom,E2538&lt;=LedTo,OR(I2538=LedAcct,K2538=LedAcct,AND(LedAcct=acctTax,M2538+N2538&lt;&gt;0))),E2538*10000+B2538,""),"")</f>
        <v/>
      </c>
    </row>
    <row r="2539">
      <c r="B2539" s="101" t="n">
        <v>2533</v>
      </c>
      <c r="C2539" s="58" t="inlineStr">
        <is>
          <t>Bill</t>
        </is>
      </c>
      <c r="D2539" s="58">
        <f>IF(H2539=1,INDEX(ap_No,33)&amp;"","")</f>
        <v/>
      </c>
      <c r="E2539" s="94">
        <f>IF(H2539=1,INDEX(ap_Date,33),"")</f>
        <v/>
      </c>
      <c r="F2539" s="58">
        <f>IF(H2539=1,INDEX(ap_Desc,33)&amp;"","")</f>
        <v/>
      </c>
      <c r="G2539" s="58">
        <f>IF(H2539=1,INDEX(ap_Party,33)&amp;"","")</f>
        <v/>
      </c>
      <c r="H2539" s="101">
        <f>IFERROR(N(INDEX(ap_Posted,33)),0)</f>
        <v/>
      </c>
      <c r="I2539" s="58">
        <f>IF(H2539=1,INDEX(ap_DrAcct,33)&amp;"","")</f>
        <v/>
      </c>
      <c r="J2539" s="95">
        <f>IF(H2539=1,INDEX(ap_DrAmt,33),0)</f>
        <v/>
      </c>
      <c r="K2539" s="58">
        <f>IF(H2539=1,INDEX(ap_CrAcct,33)&amp;"","")</f>
        <v/>
      </c>
      <c r="L2539" s="95">
        <f>IF(H2539=1,INDEX(ap_CrAmt,33),0)</f>
        <v/>
      </c>
      <c r="M2539" s="95">
        <f>IF(H2539=1,INDEX(ap_TaxAmt,33),0)</f>
        <v/>
      </c>
      <c r="N2539" s="95" t="n">
        <v>0</v>
      </c>
      <c r="O2539" s="101">
        <f>IF(H2539=1,IF(E2539&lt;FYStart,0,IF(E2539&gt;FYEnd,13,YEAR(E2539)*12+MONTH(E2539)-FYYM+1)),"")</f>
        <v/>
      </c>
      <c r="P2539" s="101">
        <f>IF(H2539=1,IF(IFERROR(INDEX(coa_CF,MATCH(I2539,coa_Name,0)),"")="Cash",1,0),0)</f>
        <v/>
      </c>
      <c r="Q2539" s="101">
        <f>IF(H2539=1,IF(IFERROR(INDEX(coa_CF,MATCH(K2539,coa_Name,0)),"")="Cash",1,0),0)</f>
        <v/>
      </c>
      <c r="R2539" s="58">
        <f>IF((P2539-Q2539)=0,"",IFERROR(INDEX(coa_CF,MATCH(IF((P2539-Q2539)=1,K2539,I2539),coa_Name,0)),"Operating"))</f>
        <v/>
      </c>
      <c r="S2539" s="95">
        <f>IF((P2539-Q2539)=1,L2539,IF((P2539-Q2539)=-1,-J2539,0))</f>
        <v/>
      </c>
      <c r="T2539" s="95">
        <f>IF((P2539-Q2539)=1,N2539,IF((P2539-Q2539)=-1,-M2539,0))</f>
        <v/>
      </c>
      <c r="U2539" s="101">
        <f>IF(AND(H2539=1,LedAcct&lt;&gt;""),IF(AND(E2539&gt;=LedFrom,E2539&lt;=LedTo,OR(I2539=LedAcct,K2539=LedAcct,AND(LedAcct=acctTax,M2539+N2539&lt;&gt;0))),E2539*10000+B2539,""),"")</f>
        <v/>
      </c>
    </row>
    <row r="2540">
      <c r="B2540" s="101" t="n">
        <v>2534</v>
      </c>
      <c r="C2540" s="58" t="inlineStr">
        <is>
          <t>Bill</t>
        </is>
      </c>
      <c r="D2540" s="58">
        <f>IF(H2540=1,INDEX(ap_No,34)&amp;"","")</f>
        <v/>
      </c>
      <c r="E2540" s="94">
        <f>IF(H2540=1,INDEX(ap_Date,34),"")</f>
        <v/>
      </c>
      <c r="F2540" s="58">
        <f>IF(H2540=1,INDEX(ap_Desc,34)&amp;"","")</f>
        <v/>
      </c>
      <c r="G2540" s="58">
        <f>IF(H2540=1,INDEX(ap_Party,34)&amp;"","")</f>
        <v/>
      </c>
      <c r="H2540" s="101">
        <f>IFERROR(N(INDEX(ap_Posted,34)),0)</f>
        <v/>
      </c>
      <c r="I2540" s="58">
        <f>IF(H2540=1,INDEX(ap_DrAcct,34)&amp;"","")</f>
        <v/>
      </c>
      <c r="J2540" s="95">
        <f>IF(H2540=1,INDEX(ap_DrAmt,34),0)</f>
        <v/>
      </c>
      <c r="K2540" s="58">
        <f>IF(H2540=1,INDEX(ap_CrAcct,34)&amp;"","")</f>
        <v/>
      </c>
      <c r="L2540" s="95">
        <f>IF(H2540=1,INDEX(ap_CrAmt,34),0)</f>
        <v/>
      </c>
      <c r="M2540" s="95">
        <f>IF(H2540=1,INDEX(ap_TaxAmt,34),0)</f>
        <v/>
      </c>
      <c r="N2540" s="95" t="n">
        <v>0</v>
      </c>
      <c r="O2540" s="101">
        <f>IF(H2540=1,IF(E2540&lt;FYStart,0,IF(E2540&gt;FYEnd,13,YEAR(E2540)*12+MONTH(E2540)-FYYM+1)),"")</f>
        <v/>
      </c>
      <c r="P2540" s="101">
        <f>IF(H2540=1,IF(IFERROR(INDEX(coa_CF,MATCH(I2540,coa_Name,0)),"")="Cash",1,0),0)</f>
        <v/>
      </c>
      <c r="Q2540" s="101">
        <f>IF(H2540=1,IF(IFERROR(INDEX(coa_CF,MATCH(K2540,coa_Name,0)),"")="Cash",1,0),0)</f>
        <v/>
      </c>
      <c r="R2540" s="58">
        <f>IF((P2540-Q2540)=0,"",IFERROR(INDEX(coa_CF,MATCH(IF((P2540-Q2540)=1,K2540,I2540),coa_Name,0)),"Operating"))</f>
        <v/>
      </c>
      <c r="S2540" s="95">
        <f>IF((P2540-Q2540)=1,L2540,IF((P2540-Q2540)=-1,-J2540,0))</f>
        <v/>
      </c>
      <c r="T2540" s="95">
        <f>IF((P2540-Q2540)=1,N2540,IF((P2540-Q2540)=-1,-M2540,0))</f>
        <v/>
      </c>
      <c r="U2540" s="101">
        <f>IF(AND(H2540=1,LedAcct&lt;&gt;""),IF(AND(E2540&gt;=LedFrom,E2540&lt;=LedTo,OR(I2540=LedAcct,K2540=LedAcct,AND(LedAcct=acctTax,M2540+N2540&lt;&gt;0))),E2540*10000+B2540,""),"")</f>
        <v/>
      </c>
    </row>
    <row r="2541">
      <c r="B2541" s="101" t="n">
        <v>2535</v>
      </c>
      <c r="C2541" s="58" t="inlineStr">
        <is>
          <t>Bill</t>
        </is>
      </c>
      <c r="D2541" s="58">
        <f>IF(H2541=1,INDEX(ap_No,35)&amp;"","")</f>
        <v/>
      </c>
      <c r="E2541" s="94">
        <f>IF(H2541=1,INDEX(ap_Date,35),"")</f>
        <v/>
      </c>
      <c r="F2541" s="58">
        <f>IF(H2541=1,INDEX(ap_Desc,35)&amp;"","")</f>
        <v/>
      </c>
      <c r="G2541" s="58">
        <f>IF(H2541=1,INDEX(ap_Party,35)&amp;"","")</f>
        <v/>
      </c>
      <c r="H2541" s="101">
        <f>IFERROR(N(INDEX(ap_Posted,35)),0)</f>
        <v/>
      </c>
      <c r="I2541" s="58">
        <f>IF(H2541=1,INDEX(ap_DrAcct,35)&amp;"","")</f>
        <v/>
      </c>
      <c r="J2541" s="95">
        <f>IF(H2541=1,INDEX(ap_DrAmt,35),0)</f>
        <v/>
      </c>
      <c r="K2541" s="58">
        <f>IF(H2541=1,INDEX(ap_CrAcct,35)&amp;"","")</f>
        <v/>
      </c>
      <c r="L2541" s="95">
        <f>IF(H2541=1,INDEX(ap_CrAmt,35),0)</f>
        <v/>
      </c>
      <c r="M2541" s="95">
        <f>IF(H2541=1,INDEX(ap_TaxAmt,35),0)</f>
        <v/>
      </c>
      <c r="N2541" s="95" t="n">
        <v>0</v>
      </c>
      <c r="O2541" s="101">
        <f>IF(H2541=1,IF(E2541&lt;FYStart,0,IF(E2541&gt;FYEnd,13,YEAR(E2541)*12+MONTH(E2541)-FYYM+1)),"")</f>
        <v/>
      </c>
      <c r="P2541" s="101">
        <f>IF(H2541=1,IF(IFERROR(INDEX(coa_CF,MATCH(I2541,coa_Name,0)),"")="Cash",1,0),0)</f>
        <v/>
      </c>
      <c r="Q2541" s="101">
        <f>IF(H2541=1,IF(IFERROR(INDEX(coa_CF,MATCH(K2541,coa_Name,0)),"")="Cash",1,0),0)</f>
        <v/>
      </c>
      <c r="R2541" s="58">
        <f>IF((P2541-Q2541)=0,"",IFERROR(INDEX(coa_CF,MATCH(IF((P2541-Q2541)=1,K2541,I2541),coa_Name,0)),"Operating"))</f>
        <v/>
      </c>
      <c r="S2541" s="95">
        <f>IF((P2541-Q2541)=1,L2541,IF((P2541-Q2541)=-1,-J2541,0))</f>
        <v/>
      </c>
      <c r="T2541" s="95">
        <f>IF((P2541-Q2541)=1,N2541,IF((P2541-Q2541)=-1,-M2541,0))</f>
        <v/>
      </c>
      <c r="U2541" s="101">
        <f>IF(AND(H2541=1,LedAcct&lt;&gt;""),IF(AND(E2541&gt;=LedFrom,E2541&lt;=LedTo,OR(I2541=LedAcct,K2541=LedAcct,AND(LedAcct=acctTax,M2541+N2541&lt;&gt;0))),E2541*10000+B2541,""),"")</f>
        <v/>
      </c>
    </row>
    <row r="2542">
      <c r="B2542" s="101" t="n">
        <v>2536</v>
      </c>
      <c r="C2542" s="58" t="inlineStr">
        <is>
          <t>Bill</t>
        </is>
      </c>
      <c r="D2542" s="58">
        <f>IF(H2542=1,INDEX(ap_No,36)&amp;"","")</f>
        <v/>
      </c>
      <c r="E2542" s="94">
        <f>IF(H2542=1,INDEX(ap_Date,36),"")</f>
        <v/>
      </c>
      <c r="F2542" s="58">
        <f>IF(H2542=1,INDEX(ap_Desc,36)&amp;"","")</f>
        <v/>
      </c>
      <c r="G2542" s="58">
        <f>IF(H2542=1,INDEX(ap_Party,36)&amp;"","")</f>
        <v/>
      </c>
      <c r="H2542" s="101">
        <f>IFERROR(N(INDEX(ap_Posted,36)),0)</f>
        <v/>
      </c>
      <c r="I2542" s="58">
        <f>IF(H2542=1,INDEX(ap_DrAcct,36)&amp;"","")</f>
        <v/>
      </c>
      <c r="J2542" s="95">
        <f>IF(H2542=1,INDEX(ap_DrAmt,36),0)</f>
        <v/>
      </c>
      <c r="K2542" s="58">
        <f>IF(H2542=1,INDEX(ap_CrAcct,36)&amp;"","")</f>
        <v/>
      </c>
      <c r="L2542" s="95">
        <f>IF(H2542=1,INDEX(ap_CrAmt,36),0)</f>
        <v/>
      </c>
      <c r="M2542" s="95">
        <f>IF(H2542=1,INDEX(ap_TaxAmt,36),0)</f>
        <v/>
      </c>
      <c r="N2542" s="95" t="n">
        <v>0</v>
      </c>
      <c r="O2542" s="101">
        <f>IF(H2542=1,IF(E2542&lt;FYStart,0,IF(E2542&gt;FYEnd,13,YEAR(E2542)*12+MONTH(E2542)-FYYM+1)),"")</f>
        <v/>
      </c>
      <c r="P2542" s="101">
        <f>IF(H2542=1,IF(IFERROR(INDEX(coa_CF,MATCH(I2542,coa_Name,0)),"")="Cash",1,0),0)</f>
        <v/>
      </c>
      <c r="Q2542" s="101">
        <f>IF(H2542=1,IF(IFERROR(INDEX(coa_CF,MATCH(K2542,coa_Name,0)),"")="Cash",1,0),0)</f>
        <v/>
      </c>
      <c r="R2542" s="58">
        <f>IF((P2542-Q2542)=0,"",IFERROR(INDEX(coa_CF,MATCH(IF((P2542-Q2542)=1,K2542,I2542),coa_Name,0)),"Operating"))</f>
        <v/>
      </c>
      <c r="S2542" s="95">
        <f>IF((P2542-Q2542)=1,L2542,IF((P2542-Q2542)=-1,-J2542,0))</f>
        <v/>
      </c>
      <c r="T2542" s="95">
        <f>IF((P2542-Q2542)=1,N2542,IF((P2542-Q2542)=-1,-M2542,0))</f>
        <v/>
      </c>
      <c r="U2542" s="101">
        <f>IF(AND(H2542=1,LedAcct&lt;&gt;""),IF(AND(E2542&gt;=LedFrom,E2542&lt;=LedTo,OR(I2542=LedAcct,K2542=LedAcct,AND(LedAcct=acctTax,M2542+N2542&lt;&gt;0))),E2542*10000+B2542,""),"")</f>
        <v/>
      </c>
    </row>
    <row r="2543">
      <c r="B2543" s="101" t="n">
        <v>2537</v>
      </c>
      <c r="C2543" s="58" t="inlineStr">
        <is>
          <t>Bill</t>
        </is>
      </c>
      <c r="D2543" s="58">
        <f>IF(H2543=1,INDEX(ap_No,37)&amp;"","")</f>
        <v/>
      </c>
      <c r="E2543" s="94">
        <f>IF(H2543=1,INDEX(ap_Date,37),"")</f>
        <v/>
      </c>
      <c r="F2543" s="58">
        <f>IF(H2543=1,INDEX(ap_Desc,37)&amp;"","")</f>
        <v/>
      </c>
      <c r="G2543" s="58">
        <f>IF(H2543=1,INDEX(ap_Party,37)&amp;"","")</f>
        <v/>
      </c>
      <c r="H2543" s="101">
        <f>IFERROR(N(INDEX(ap_Posted,37)),0)</f>
        <v/>
      </c>
      <c r="I2543" s="58">
        <f>IF(H2543=1,INDEX(ap_DrAcct,37)&amp;"","")</f>
        <v/>
      </c>
      <c r="J2543" s="95">
        <f>IF(H2543=1,INDEX(ap_DrAmt,37),0)</f>
        <v/>
      </c>
      <c r="K2543" s="58">
        <f>IF(H2543=1,INDEX(ap_CrAcct,37)&amp;"","")</f>
        <v/>
      </c>
      <c r="L2543" s="95">
        <f>IF(H2543=1,INDEX(ap_CrAmt,37),0)</f>
        <v/>
      </c>
      <c r="M2543" s="95">
        <f>IF(H2543=1,INDEX(ap_TaxAmt,37),0)</f>
        <v/>
      </c>
      <c r="N2543" s="95" t="n">
        <v>0</v>
      </c>
      <c r="O2543" s="101">
        <f>IF(H2543=1,IF(E2543&lt;FYStart,0,IF(E2543&gt;FYEnd,13,YEAR(E2543)*12+MONTH(E2543)-FYYM+1)),"")</f>
        <v/>
      </c>
      <c r="P2543" s="101">
        <f>IF(H2543=1,IF(IFERROR(INDEX(coa_CF,MATCH(I2543,coa_Name,0)),"")="Cash",1,0),0)</f>
        <v/>
      </c>
      <c r="Q2543" s="101">
        <f>IF(H2543=1,IF(IFERROR(INDEX(coa_CF,MATCH(K2543,coa_Name,0)),"")="Cash",1,0),0)</f>
        <v/>
      </c>
      <c r="R2543" s="58">
        <f>IF((P2543-Q2543)=0,"",IFERROR(INDEX(coa_CF,MATCH(IF((P2543-Q2543)=1,K2543,I2543),coa_Name,0)),"Operating"))</f>
        <v/>
      </c>
      <c r="S2543" s="95">
        <f>IF((P2543-Q2543)=1,L2543,IF((P2543-Q2543)=-1,-J2543,0))</f>
        <v/>
      </c>
      <c r="T2543" s="95">
        <f>IF((P2543-Q2543)=1,N2543,IF((P2543-Q2543)=-1,-M2543,0))</f>
        <v/>
      </c>
      <c r="U2543" s="101">
        <f>IF(AND(H2543=1,LedAcct&lt;&gt;""),IF(AND(E2543&gt;=LedFrom,E2543&lt;=LedTo,OR(I2543=LedAcct,K2543=LedAcct,AND(LedAcct=acctTax,M2543+N2543&lt;&gt;0))),E2543*10000+B2543,""),"")</f>
        <v/>
      </c>
    </row>
    <row r="2544">
      <c r="B2544" s="101" t="n">
        <v>2538</v>
      </c>
      <c r="C2544" s="58" t="inlineStr">
        <is>
          <t>Bill</t>
        </is>
      </c>
      <c r="D2544" s="58">
        <f>IF(H2544=1,INDEX(ap_No,38)&amp;"","")</f>
        <v/>
      </c>
      <c r="E2544" s="94">
        <f>IF(H2544=1,INDEX(ap_Date,38),"")</f>
        <v/>
      </c>
      <c r="F2544" s="58">
        <f>IF(H2544=1,INDEX(ap_Desc,38)&amp;"","")</f>
        <v/>
      </c>
      <c r="G2544" s="58">
        <f>IF(H2544=1,INDEX(ap_Party,38)&amp;"","")</f>
        <v/>
      </c>
      <c r="H2544" s="101">
        <f>IFERROR(N(INDEX(ap_Posted,38)),0)</f>
        <v/>
      </c>
      <c r="I2544" s="58">
        <f>IF(H2544=1,INDEX(ap_DrAcct,38)&amp;"","")</f>
        <v/>
      </c>
      <c r="J2544" s="95">
        <f>IF(H2544=1,INDEX(ap_DrAmt,38),0)</f>
        <v/>
      </c>
      <c r="K2544" s="58">
        <f>IF(H2544=1,INDEX(ap_CrAcct,38)&amp;"","")</f>
        <v/>
      </c>
      <c r="L2544" s="95">
        <f>IF(H2544=1,INDEX(ap_CrAmt,38),0)</f>
        <v/>
      </c>
      <c r="M2544" s="95">
        <f>IF(H2544=1,INDEX(ap_TaxAmt,38),0)</f>
        <v/>
      </c>
      <c r="N2544" s="95" t="n">
        <v>0</v>
      </c>
      <c r="O2544" s="101">
        <f>IF(H2544=1,IF(E2544&lt;FYStart,0,IF(E2544&gt;FYEnd,13,YEAR(E2544)*12+MONTH(E2544)-FYYM+1)),"")</f>
        <v/>
      </c>
      <c r="P2544" s="101">
        <f>IF(H2544=1,IF(IFERROR(INDEX(coa_CF,MATCH(I2544,coa_Name,0)),"")="Cash",1,0),0)</f>
        <v/>
      </c>
      <c r="Q2544" s="101">
        <f>IF(H2544=1,IF(IFERROR(INDEX(coa_CF,MATCH(K2544,coa_Name,0)),"")="Cash",1,0),0)</f>
        <v/>
      </c>
      <c r="R2544" s="58">
        <f>IF((P2544-Q2544)=0,"",IFERROR(INDEX(coa_CF,MATCH(IF((P2544-Q2544)=1,K2544,I2544),coa_Name,0)),"Operating"))</f>
        <v/>
      </c>
      <c r="S2544" s="95">
        <f>IF((P2544-Q2544)=1,L2544,IF((P2544-Q2544)=-1,-J2544,0))</f>
        <v/>
      </c>
      <c r="T2544" s="95">
        <f>IF((P2544-Q2544)=1,N2544,IF((P2544-Q2544)=-1,-M2544,0))</f>
        <v/>
      </c>
      <c r="U2544" s="101">
        <f>IF(AND(H2544=1,LedAcct&lt;&gt;""),IF(AND(E2544&gt;=LedFrom,E2544&lt;=LedTo,OR(I2544=LedAcct,K2544=LedAcct,AND(LedAcct=acctTax,M2544+N2544&lt;&gt;0))),E2544*10000+B2544,""),"")</f>
        <v/>
      </c>
    </row>
    <row r="2545">
      <c r="B2545" s="101" t="n">
        <v>2539</v>
      </c>
      <c r="C2545" s="58" t="inlineStr">
        <is>
          <t>Bill</t>
        </is>
      </c>
      <c r="D2545" s="58">
        <f>IF(H2545=1,INDEX(ap_No,39)&amp;"","")</f>
        <v/>
      </c>
      <c r="E2545" s="94">
        <f>IF(H2545=1,INDEX(ap_Date,39),"")</f>
        <v/>
      </c>
      <c r="F2545" s="58">
        <f>IF(H2545=1,INDEX(ap_Desc,39)&amp;"","")</f>
        <v/>
      </c>
      <c r="G2545" s="58">
        <f>IF(H2545=1,INDEX(ap_Party,39)&amp;"","")</f>
        <v/>
      </c>
      <c r="H2545" s="101">
        <f>IFERROR(N(INDEX(ap_Posted,39)),0)</f>
        <v/>
      </c>
      <c r="I2545" s="58">
        <f>IF(H2545=1,INDEX(ap_DrAcct,39)&amp;"","")</f>
        <v/>
      </c>
      <c r="J2545" s="95">
        <f>IF(H2545=1,INDEX(ap_DrAmt,39),0)</f>
        <v/>
      </c>
      <c r="K2545" s="58">
        <f>IF(H2545=1,INDEX(ap_CrAcct,39)&amp;"","")</f>
        <v/>
      </c>
      <c r="L2545" s="95">
        <f>IF(H2545=1,INDEX(ap_CrAmt,39),0)</f>
        <v/>
      </c>
      <c r="M2545" s="95">
        <f>IF(H2545=1,INDEX(ap_TaxAmt,39),0)</f>
        <v/>
      </c>
      <c r="N2545" s="95" t="n">
        <v>0</v>
      </c>
      <c r="O2545" s="101">
        <f>IF(H2545=1,IF(E2545&lt;FYStart,0,IF(E2545&gt;FYEnd,13,YEAR(E2545)*12+MONTH(E2545)-FYYM+1)),"")</f>
        <v/>
      </c>
      <c r="P2545" s="101">
        <f>IF(H2545=1,IF(IFERROR(INDEX(coa_CF,MATCH(I2545,coa_Name,0)),"")="Cash",1,0),0)</f>
        <v/>
      </c>
      <c r="Q2545" s="101">
        <f>IF(H2545=1,IF(IFERROR(INDEX(coa_CF,MATCH(K2545,coa_Name,0)),"")="Cash",1,0),0)</f>
        <v/>
      </c>
      <c r="R2545" s="58">
        <f>IF((P2545-Q2545)=0,"",IFERROR(INDEX(coa_CF,MATCH(IF((P2545-Q2545)=1,K2545,I2545),coa_Name,0)),"Operating"))</f>
        <v/>
      </c>
      <c r="S2545" s="95">
        <f>IF((P2545-Q2545)=1,L2545,IF((P2545-Q2545)=-1,-J2545,0))</f>
        <v/>
      </c>
      <c r="T2545" s="95">
        <f>IF((P2545-Q2545)=1,N2545,IF((P2545-Q2545)=-1,-M2545,0))</f>
        <v/>
      </c>
      <c r="U2545" s="101">
        <f>IF(AND(H2545=1,LedAcct&lt;&gt;""),IF(AND(E2545&gt;=LedFrom,E2545&lt;=LedTo,OR(I2545=LedAcct,K2545=LedAcct,AND(LedAcct=acctTax,M2545+N2545&lt;&gt;0))),E2545*10000+B2545,""),"")</f>
        <v/>
      </c>
    </row>
    <row r="2546">
      <c r="B2546" s="101" t="n">
        <v>2540</v>
      </c>
      <c r="C2546" s="58" t="inlineStr">
        <is>
          <t>Bill</t>
        </is>
      </c>
      <c r="D2546" s="58">
        <f>IF(H2546=1,INDEX(ap_No,40)&amp;"","")</f>
        <v/>
      </c>
      <c r="E2546" s="94">
        <f>IF(H2546=1,INDEX(ap_Date,40),"")</f>
        <v/>
      </c>
      <c r="F2546" s="58">
        <f>IF(H2546=1,INDEX(ap_Desc,40)&amp;"","")</f>
        <v/>
      </c>
      <c r="G2546" s="58">
        <f>IF(H2546=1,INDEX(ap_Party,40)&amp;"","")</f>
        <v/>
      </c>
      <c r="H2546" s="101">
        <f>IFERROR(N(INDEX(ap_Posted,40)),0)</f>
        <v/>
      </c>
      <c r="I2546" s="58">
        <f>IF(H2546=1,INDEX(ap_DrAcct,40)&amp;"","")</f>
        <v/>
      </c>
      <c r="J2546" s="95">
        <f>IF(H2546=1,INDEX(ap_DrAmt,40),0)</f>
        <v/>
      </c>
      <c r="K2546" s="58">
        <f>IF(H2546=1,INDEX(ap_CrAcct,40)&amp;"","")</f>
        <v/>
      </c>
      <c r="L2546" s="95">
        <f>IF(H2546=1,INDEX(ap_CrAmt,40),0)</f>
        <v/>
      </c>
      <c r="M2546" s="95">
        <f>IF(H2546=1,INDEX(ap_TaxAmt,40),0)</f>
        <v/>
      </c>
      <c r="N2546" s="95" t="n">
        <v>0</v>
      </c>
      <c r="O2546" s="101">
        <f>IF(H2546=1,IF(E2546&lt;FYStart,0,IF(E2546&gt;FYEnd,13,YEAR(E2546)*12+MONTH(E2546)-FYYM+1)),"")</f>
        <v/>
      </c>
      <c r="P2546" s="101">
        <f>IF(H2546=1,IF(IFERROR(INDEX(coa_CF,MATCH(I2546,coa_Name,0)),"")="Cash",1,0),0)</f>
        <v/>
      </c>
      <c r="Q2546" s="101">
        <f>IF(H2546=1,IF(IFERROR(INDEX(coa_CF,MATCH(K2546,coa_Name,0)),"")="Cash",1,0),0)</f>
        <v/>
      </c>
      <c r="R2546" s="58">
        <f>IF((P2546-Q2546)=0,"",IFERROR(INDEX(coa_CF,MATCH(IF((P2546-Q2546)=1,K2546,I2546),coa_Name,0)),"Operating"))</f>
        <v/>
      </c>
      <c r="S2546" s="95">
        <f>IF((P2546-Q2546)=1,L2546,IF((P2546-Q2546)=-1,-J2546,0))</f>
        <v/>
      </c>
      <c r="T2546" s="95">
        <f>IF((P2546-Q2546)=1,N2546,IF((P2546-Q2546)=-1,-M2546,0))</f>
        <v/>
      </c>
      <c r="U2546" s="101">
        <f>IF(AND(H2546=1,LedAcct&lt;&gt;""),IF(AND(E2546&gt;=LedFrom,E2546&lt;=LedTo,OR(I2546=LedAcct,K2546=LedAcct,AND(LedAcct=acctTax,M2546+N2546&lt;&gt;0))),E2546*10000+B2546,""),"")</f>
        <v/>
      </c>
    </row>
    <row r="2547">
      <c r="B2547" s="101" t="n">
        <v>2541</v>
      </c>
      <c r="C2547" s="58" t="inlineStr">
        <is>
          <t>Bill</t>
        </is>
      </c>
      <c r="D2547" s="58">
        <f>IF(H2547=1,INDEX(ap_No,41)&amp;"","")</f>
        <v/>
      </c>
      <c r="E2547" s="94">
        <f>IF(H2547=1,INDEX(ap_Date,41),"")</f>
        <v/>
      </c>
      <c r="F2547" s="58">
        <f>IF(H2547=1,INDEX(ap_Desc,41)&amp;"","")</f>
        <v/>
      </c>
      <c r="G2547" s="58">
        <f>IF(H2547=1,INDEX(ap_Party,41)&amp;"","")</f>
        <v/>
      </c>
      <c r="H2547" s="101">
        <f>IFERROR(N(INDEX(ap_Posted,41)),0)</f>
        <v/>
      </c>
      <c r="I2547" s="58">
        <f>IF(H2547=1,INDEX(ap_DrAcct,41)&amp;"","")</f>
        <v/>
      </c>
      <c r="J2547" s="95">
        <f>IF(H2547=1,INDEX(ap_DrAmt,41),0)</f>
        <v/>
      </c>
      <c r="K2547" s="58">
        <f>IF(H2547=1,INDEX(ap_CrAcct,41)&amp;"","")</f>
        <v/>
      </c>
      <c r="L2547" s="95">
        <f>IF(H2547=1,INDEX(ap_CrAmt,41),0)</f>
        <v/>
      </c>
      <c r="M2547" s="95">
        <f>IF(H2547=1,INDEX(ap_TaxAmt,41),0)</f>
        <v/>
      </c>
      <c r="N2547" s="95" t="n">
        <v>0</v>
      </c>
      <c r="O2547" s="101">
        <f>IF(H2547=1,IF(E2547&lt;FYStart,0,IF(E2547&gt;FYEnd,13,YEAR(E2547)*12+MONTH(E2547)-FYYM+1)),"")</f>
        <v/>
      </c>
      <c r="P2547" s="101">
        <f>IF(H2547=1,IF(IFERROR(INDEX(coa_CF,MATCH(I2547,coa_Name,0)),"")="Cash",1,0),0)</f>
        <v/>
      </c>
      <c r="Q2547" s="101">
        <f>IF(H2547=1,IF(IFERROR(INDEX(coa_CF,MATCH(K2547,coa_Name,0)),"")="Cash",1,0),0)</f>
        <v/>
      </c>
      <c r="R2547" s="58">
        <f>IF((P2547-Q2547)=0,"",IFERROR(INDEX(coa_CF,MATCH(IF((P2547-Q2547)=1,K2547,I2547),coa_Name,0)),"Operating"))</f>
        <v/>
      </c>
      <c r="S2547" s="95">
        <f>IF((P2547-Q2547)=1,L2547,IF((P2547-Q2547)=-1,-J2547,0))</f>
        <v/>
      </c>
      <c r="T2547" s="95">
        <f>IF((P2547-Q2547)=1,N2547,IF((P2547-Q2547)=-1,-M2547,0))</f>
        <v/>
      </c>
      <c r="U2547" s="101">
        <f>IF(AND(H2547=1,LedAcct&lt;&gt;""),IF(AND(E2547&gt;=LedFrom,E2547&lt;=LedTo,OR(I2547=LedAcct,K2547=LedAcct,AND(LedAcct=acctTax,M2547+N2547&lt;&gt;0))),E2547*10000+B2547,""),"")</f>
        <v/>
      </c>
    </row>
    <row r="2548">
      <c r="B2548" s="101" t="n">
        <v>2542</v>
      </c>
      <c r="C2548" s="58" t="inlineStr">
        <is>
          <t>Bill</t>
        </is>
      </c>
      <c r="D2548" s="58">
        <f>IF(H2548=1,INDEX(ap_No,42)&amp;"","")</f>
        <v/>
      </c>
      <c r="E2548" s="94">
        <f>IF(H2548=1,INDEX(ap_Date,42),"")</f>
        <v/>
      </c>
      <c r="F2548" s="58">
        <f>IF(H2548=1,INDEX(ap_Desc,42)&amp;"","")</f>
        <v/>
      </c>
      <c r="G2548" s="58">
        <f>IF(H2548=1,INDEX(ap_Party,42)&amp;"","")</f>
        <v/>
      </c>
      <c r="H2548" s="101">
        <f>IFERROR(N(INDEX(ap_Posted,42)),0)</f>
        <v/>
      </c>
      <c r="I2548" s="58">
        <f>IF(H2548=1,INDEX(ap_DrAcct,42)&amp;"","")</f>
        <v/>
      </c>
      <c r="J2548" s="95">
        <f>IF(H2548=1,INDEX(ap_DrAmt,42),0)</f>
        <v/>
      </c>
      <c r="K2548" s="58">
        <f>IF(H2548=1,INDEX(ap_CrAcct,42)&amp;"","")</f>
        <v/>
      </c>
      <c r="L2548" s="95">
        <f>IF(H2548=1,INDEX(ap_CrAmt,42),0)</f>
        <v/>
      </c>
      <c r="M2548" s="95">
        <f>IF(H2548=1,INDEX(ap_TaxAmt,42),0)</f>
        <v/>
      </c>
      <c r="N2548" s="95" t="n">
        <v>0</v>
      </c>
      <c r="O2548" s="101">
        <f>IF(H2548=1,IF(E2548&lt;FYStart,0,IF(E2548&gt;FYEnd,13,YEAR(E2548)*12+MONTH(E2548)-FYYM+1)),"")</f>
        <v/>
      </c>
      <c r="P2548" s="101">
        <f>IF(H2548=1,IF(IFERROR(INDEX(coa_CF,MATCH(I2548,coa_Name,0)),"")="Cash",1,0),0)</f>
        <v/>
      </c>
      <c r="Q2548" s="101">
        <f>IF(H2548=1,IF(IFERROR(INDEX(coa_CF,MATCH(K2548,coa_Name,0)),"")="Cash",1,0),0)</f>
        <v/>
      </c>
      <c r="R2548" s="58">
        <f>IF((P2548-Q2548)=0,"",IFERROR(INDEX(coa_CF,MATCH(IF((P2548-Q2548)=1,K2548,I2548),coa_Name,0)),"Operating"))</f>
        <v/>
      </c>
      <c r="S2548" s="95">
        <f>IF((P2548-Q2548)=1,L2548,IF((P2548-Q2548)=-1,-J2548,0))</f>
        <v/>
      </c>
      <c r="T2548" s="95">
        <f>IF((P2548-Q2548)=1,N2548,IF((P2548-Q2548)=-1,-M2548,0))</f>
        <v/>
      </c>
      <c r="U2548" s="101">
        <f>IF(AND(H2548=1,LedAcct&lt;&gt;""),IF(AND(E2548&gt;=LedFrom,E2548&lt;=LedTo,OR(I2548=LedAcct,K2548=LedAcct,AND(LedAcct=acctTax,M2548+N2548&lt;&gt;0))),E2548*10000+B2548,""),"")</f>
        <v/>
      </c>
    </row>
    <row r="2549">
      <c r="B2549" s="101" t="n">
        <v>2543</v>
      </c>
      <c r="C2549" s="58" t="inlineStr">
        <is>
          <t>Bill</t>
        </is>
      </c>
      <c r="D2549" s="58">
        <f>IF(H2549=1,INDEX(ap_No,43)&amp;"","")</f>
        <v/>
      </c>
      <c r="E2549" s="94">
        <f>IF(H2549=1,INDEX(ap_Date,43),"")</f>
        <v/>
      </c>
      <c r="F2549" s="58">
        <f>IF(H2549=1,INDEX(ap_Desc,43)&amp;"","")</f>
        <v/>
      </c>
      <c r="G2549" s="58">
        <f>IF(H2549=1,INDEX(ap_Party,43)&amp;"","")</f>
        <v/>
      </c>
      <c r="H2549" s="101">
        <f>IFERROR(N(INDEX(ap_Posted,43)),0)</f>
        <v/>
      </c>
      <c r="I2549" s="58">
        <f>IF(H2549=1,INDEX(ap_DrAcct,43)&amp;"","")</f>
        <v/>
      </c>
      <c r="J2549" s="95">
        <f>IF(H2549=1,INDEX(ap_DrAmt,43),0)</f>
        <v/>
      </c>
      <c r="K2549" s="58">
        <f>IF(H2549=1,INDEX(ap_CrAcct,43)&amp;"","")</f>
        <v/>
      </c>
      <c r="L2549" s="95">
        <f>IF(H2549=1,INDEX(ap_CrAmt,43),0)</f>
        <v/>
      </c>
      <c r="M2549" s="95">
        <f>IF(H2549=1,INDEX(ap_TaxAmt,43),0)</f>
        <v/>
      </c>
      <c r="N2549" s="95" t="n">
        <v>0</v>
      </c>
      <c r="O2549" s="101">
        <f>IF(H2549=1,IF(E2549&lt;FYStart,0,IF(E2549&gt;FYEnd,13,YEAR(E2549)*12+MONTH(E2549)-FYYM+1)),"")</f>
        <v/>
      </c>
      <c r="P2549" s="101">
        <f>IF(H2549=1,IF(IFERROR(INDEX(coa_CF,MATCH(I2549,coa_Name,0)),"")="Cash",1,0),0)</f>
        <v/>
      </c>
      <c r="Q2549" s="101">
        <f>IF(H2549=1,IF(IFERROR(INDEX(coa_CF,MATCH(K2549,coa_Name,0)),"")="Cash",1,0),0)</f>
        <v/>
      </c>
      <c r="R2549" s="58">
        <f>IF((P2549-Q2549)=0,"",IFERROR(INDEX(coa_CF,MATCH(IF((P2549-Q2549)=1,K2549,I2549),coa_Name,0)),"Operating"))</f>
        <v/>
      </c>
      <c r="S2549" s="95">
        <f>IF((P2549-Q2549)=1,L2549,IF((P2549-Q2549)=-1,-J2549,0))</f>
        <v/>
      </c>
      <c r="T2549" s="95">
        <f>IF((P2549-Q2549)=1,N2549,IF((P2549-Q2549)=-1,-M2549,0))</f>
        <v/>
      </c>
      <c r="U2549" s="101">
        <f>IF(AND(H2549=1,LedAcct&lt;&gt;""),IF(AND(E2549&gt;=LedFrom,E2549&lt;=LedTo,OR(I2549=LedAcct,K2549=LedAcct,AND(LedAcct=acctTax,M2549+N2549&lt;&gt;0))),E2549*10000+B2549,""),"")</f>
        <v/>
      </c>
    </row>
    <row r="2550">
      <c r="B2550" s="101" t="n">
        <v>2544</v>
      </c>
      <c r="C2550" s="58" t="inlineStr">
        <is>
          <t>Bill</t>
        </is>
      </c>
      <c r="D2550" s="58">
        <f>IF(H2550=1,INDEX(ap_No,44)&amp;"","")</f>
        <v/>
      </c>
      <c r="E2550" s="94">
        <f>IF(H2550=1,INDEX(ap_Date,44),"")</f>
        <v/>
      </c>
      <c r="F2550" s="58">
        <f>IF(H2550=1,INDEX(ap_Desc,44)&amp;"","")</f>
        <v/>
      </c>
      <c r="G2550" s="58">
        <f>IF(H2550=1,INDEX(ap_Party,44)&amp;"","")</f>
        <v/>
      </c>
      <c r="H2550" s="101">
        <f>IFERROR(N(INDEX(ap_Posted,44)),0)</f>
        <v/>
      </c>
      <c r="I2550" s="58">
        <f>IF(H2550=1,INDEX(ap_DrAcct,44)&amp;"","")</f>
        <v/>
      </c>
      <c r="J2550" s="95">
        <f>IF(H2550=1,INDEX(ap_DrAmt,44),0)</f>
        <v/>
      </c>
      <c r="K2550" s="58">
        <f>IF(H2550=1,INDEX(ap_CrAcct,44)&amp;"","")</f>
        <v/>
      </c>
      <c r="L2550" s="95">
        <f>IF(H2550=1,INDEX(ap_CrAmt,44),0)</f>
        <v/>
      </c>
      <c r="M2550" s="95">
        <f>IF(H2550=1,INDEX(ap_TaxAmt,44),0)</f>
        <v/>
      </c>
      <c r="N2550" s="95" t="n">
        <v>0</v>
      </c>
      <c r="O2550" s="101">
        <f>IF(H2550=1,IF(E2550&lt;FYStart,0,IF(E2550&gt;FYEnd,13,YEAR(E2550)*12+MONTH(E2550)-FYYM+1)),"")</f>
        <v/>
      </c>
      <c r="P2550" s="101">
        <f>IF(H2550=1,IF(IFERROR(INDEX(coa_CF,MATCH(I2550,coa_Name,0)),"")="Cash",1,0),0)</f>
        <v/>
      </c>
      <c r="Q2550" s="101">
        <f>IF(H2550=1,IF(IFERROR(INDEX(coa_CF,MATCH(K2550,coa_Name,0)),"")="Cash",1,0),0)</f>
        <v/>
      </c>
      <c r="R2550" s="58">
        <f>IF((P2550-Q2550)=0,"",IFERROR(INDEX(coa_CF,MATCH(IF((P2550-Q2550)=1,K2550,I2550),coa_Name,0)),"Operating"))</f>
        <v/>
      </c>
      <c r="S2550" s="95">
        <f>IF((P2550-Q2550)=1,L2550,IF((P2550-Q2550)=-1,-J2550,0))</f>
        <v/>
      </c>
      <c r="T2550" s="95">
        <f>IF((P2550-Q2550)=1,N2550,IF((P2550-Q2550)=-1,-M2550,0))</f>
        <v/>
      </c>
      <c r="U2550" s="101">
        <f>IF(AND(H2550=1,LedAcct&lt;&gt;""),IF(AND(E2550&gt;=LedFrom,E2550&lt;=LedTo,OR(I2550=LedAcct,K2550=LedAcct,AND(LedAcct=acctTax,M2550+N2550&lt;&gt;0))),E2550*10000+B2550,""),"")</f>
        <v/>
      </c>
    </row>
    <row r="2551">
      <c r="B2551" s="101" t="n">
        <v>2545</v>
      </c>
      <c r="C2551" s="58" t="inlineStr">
        <is>
          <t>Bill</t>
        </is>
      </c>
      <c r="D2551" s="58">
        <f>IF(H2551=1,INDEX(ap_No,45)&amp;"","")</f>
        <v/>
      </c>
      <c r="E2551" s="94">
        <f>IF(H2551=1,INDEX(ap_Date,45),"")</f>
        <v/>
      </c>
      <c r="F2551" s="58">
        <f>IF(H2551=1,INDEX(ap_Desc,45)&amp;"","")</f>
        <v/>
      </c>
      <c r="G2551" s="58">
        <f>IF(H2551=1,INDEX(ap_Party,45)&amp;"","")</f>
        <v/>
      </c>
      <c r="H2551" s="101">
        <f>IFERROR(N(INDEX(ap_Posted,45)),0)</f>
        <v/>
      </c>
      <c r="I2551" s="58">
        <f>IF(H2551=1,INDEX(ap_DrAcct,45)&amp;"","")</f>
        <v/>
      </c>
      <c r="J2551" s="95">
        <f>IF(H2551=1,INDEX(ap_DrAmt,45),0)</f>
        <v/>
      </c>
      <c r="K2551" s="58">
        <f>IF(H2551=1,INDEX(ap_CrAcct,45)&amp;"","")</f>
        <v/>
      </c>
      <c r="L2551" s="95">
        <f>IF(H2551=1,INDEX(ap_CrAmt,45),0)</f>
        <v/>
      </c>
      <c r="M2551" s="95">
        <f>IF(H2551=1,INDEX(ap_TaxAmt,45),0)</f>
        <v/>
      </c>
      <c r="N2551" s="95" t="n">
        <v>0</v>
      </c>
      <c r="O2551" s="101">
        <f>IF(H2551=1,IF(E2551&lt;FYStart,0,IF(E2551&gt;FYEnd,13,YEAR(E2551)*12+MONTH(E2551)-FYYM+1)),"")</f>
        <v/>
      </c>
      <c r="P2551" s="101">
        <f>IF(H2551=1,IF(IFERROR(INDEX(coa_CF,MATCH(I2551,coa_Name,0)),"")="Cash",1,0),0)</f>
        <v/>
      </c>
      <c r="Q2551" s="101">
        <f>IF(H2551=1,IF(IFERROR(INDEX(coa_CF,MATCH(K2551,coa_Name,0)),"")="Cash",1,0),0)</f>
        <v/>
      </c>
      <c r="R2551" s="58">
        <f>IF((P2551-Q2551)=0,"",IFERROR(INDEX(coa_CF,MATCH(IF((P2551-Q2551)=1,K2551,I2551),coa_Name,0)),"Operating"))</f>
        <v/>
      </c>
      <c r="S2551" s="95">
        <f>IF((P2551-Q2551)=1,L2551,IF((P2551-Q2551)=-1,-J2551,0))</f>
        <v/>
      </c>
      <c r="T2551" s="95">
        <f>IF((P2551-Q2551)=1,N2551,IF((P2551-Q2551)=-1,-M2551,0))</f>
        <v/>
      </c>
      <c r="U2551" s="101">
        <f>IF(AND(H2551=1,LedAcct&lt;&gt;""),IF(AND(E2551&gt;=LedFrom,E2551&lt;=LedTo,OR(I2551=LedAcct,K2551=LedAcct,AND(LedAcct=acctTax,M2551+N2551&lt;&gt;0))),E2551*10000+B2551,""),"")</f>
        <v/>
      </c>
    </row>
    <row r="2552">
      <c r="B2552" s="101" t="n">
        <v>2546</v>
      </c>
      <c r="C2552" s="58" t="inlineStr">
        <is>
          <t>Bill</t>
        </is>
      </c>
      <c r="D2552" s="58">
        <f>IF(H2552=1,INDEX(ap_No,46)&amp;"","")</f>
        <v/>
      </c>
      <c r="E2552" s="94">
        <f>IF(H2552=1,INDEX(ap_Date,46),"")</f>
        <v/>
      </c>
      <c r="F2552" s="58">
        <f>IF(H2552=1,INDEX(ap_Desc,46)&amp;"","")</f>
        <v/>
      </c>
      <c r="G2552" s="58">
        <f>IF(H2552=1,INDEX(ap_Party,46)&amp;"","")</f>
        <v/>
      </c>
      <c r="H2552" s="101">
        <f>IFERROR(N(INDEX(ap_Posted,46)),0)</f>
        <v/>
      </c>
      <c r="I2552" s="58">
        <f>IF(H2552=1,INDEX(ap_DrAcct,46)&amp;"","")</f>
        <v/>
      </c>
      <c r="J2552" s="95">
        <f>IF(H2552=1,INDEX(ap_DrAmt,46),0)</f>
        <v/>
      </c>
      <c r="K2552" s="58">
        <f>IF(H2552=1,INDEX(ap_CrAcct,46)&amp;"","")</f>
        <v/>
      </c>
      <c r="L2552" s="95">
        <f>IF(H2552=1,INDEX(ap_CrAmt,46),0)</f>
        <v/>
      </c>
      <c r="M2552" s="95">
        <f>IF(H2552=1,INDEX(ap_TaxAmt,46),0)</f>
        <v/>
      </c>
      <c r="N2552" s="95" t="n">
        <v>0</v>
      </c>
      <c r="O2552" s="101">
        <f>IF(H2552=1,IF(E2552&lt;FYStart,0,IF(E2552&gt;FYEnd,13,YEAR(E2552)*12+MONTH(E2552)-FYYM+1)),"")</f>
        <v/>
      </c>
      <c r="P2552" s="101">
        <f>IF(H2552=1,IF(IFERROR(INDEX(coa_CF,MATCH(I2552,coa_Name,0)),"")="Cash",1,0),0)</f>
        <v/>
      </c>
      <c r="Q2552" s="101">
        <f>IF(H2552=1,IF(IFERROR(INDEX(coa_CF,MATCH(K2552,coa_Name,0)),"")="Cash",1,0),0)</f>
        <v/>
      </c>
      <c r="R2552" s="58">
        <f>IF((P2552-Q2552)=0,"",IFERROR(INDEX(coa_CF,MATCH(IF((P2552-Q2552)=1,K2552,I2552),coa_Name,0)),"Operating"))</f>
        <v/>
      </c>
      <c r="S2552" s="95">
        <f>IF((P2552-Q2552)=1,L2552,IF((P2552-Q2552)=-1,-J2552,0))</f>
        <v/>
      </c>
      <c r="T2552" s="95">
        <f>IF((P2552-Q2552)=1,N2552,IF((P2552-Q2552)=-1,-M2552,0))</f>
        <v/>
      </c>
      <c r="U2552" s="101">
        <f>IF(AND(H2552=1,LedAcct&lt;&gt;""),IF(AND(E2552&gt;=LedFrom,E2552&lt;=LedTo,OR(I2552=LedAcct,K2552=LedAcct,AND(LedAcct=acctTax,M2552+N2552&lt;&gt;0))),E2552*10000+B2552,""),"")</f>
        <v/>
      </c>
    </row>
    <row r="2553">
      <c r="B2553" s="101" t="n">
        <v>2547</v>
      </c>
      <c r="C2553" s="58" t="inlineStr">
        <is>
          <t>Bill</t>
        </is>
      </c>
      <c r="D2553" s="58">
        <f>IF(H2553=1,INDEX(ap_No,47)&amp;"","")</f>
        <v/>
      </c>
      <c r="E2553" s="94">
        <f>IF(H2553=1,INDEX(ap_Date,47),"")</f>
        <v/>
      </c>
      <c r="F2553" s="58">
        <f>IF(H2553=1,INDEX(ap_Desc,47)&amp;"","")</f>
        <v/>
      </c>
      <c r="G2553" s="58">
        <f>IF(H2553=1,INDEX(ap_Party,47)&amp;"","")</f>
        <v/>
      </c>
      <c r="H2553" s="101">
        <f>IFERROR(N(INDEX(ap_Posted,47)),0)</f>
        <v/>
      </c>
      <c r="I2553" s="58">
        <f>IF(H2553=1,INDEX(ap_DrAcct,47)&amp;"","")</f>
        <v/>
      </c>
      <c r="J2553" s="95">
        <f>IF(H2553=1,INDEX(ap_DrAmt,47),0)</f>
        <v/>
      </c>
      <c r="K2553" s="58">
        <f>IF(H2553=1,INDEX(ap_CrAcct,47)&amp;"","")</f>
        <v/>
      </c>
      <c r="L2553" s="95">
        <f>IF(H2553=1,INDEX(ap_CrAmt,47),0)</f>
        <v/>
      </c>
      <c r="M2553" s="95">
        <f>IF(H2553=1,INDEX(ap_TaxAmt,47),0)</f>
        <v/>
      </c>
      <c r="N2553" s="95" t="n">
        <v>0</v>
      </c>
      <c r="O2553" s="101">
        <f>IF(H2553=1,IF(E2553&lt;FYStart,0,IF(E2553&gt;FYEnd,13,YEAR(E2553)*12+MONTH(E2553)-FYYM+1)),"")</f>
        <v/>
      </c>
      <c r="P2553" s="101">
        <f>IF(H2553=1,IF(IFERROR(INDEX(coa_CF,MATCH(I2553,coa_Name,0)),"")="Cash",1,0),0)</f>
        <v/>
      </c>
      <c r="Q2553" s="101">
        <f>IF(H2553=1,IF(IFERROR(INDEX(coa_CF,MATCH(K2553,coa_Name,0)),"")="Cash",1,0),0)</f>
        <v/>
      </c>
      <c r="R2553" s="58">
        <f>IF((P2553-Q2553)=0,"",IFERROR(INDEX(coa_CF,MATCH(IF((P2553-Q2553)=1,K2553,I2553),coa_Name,0)),"Operating"))</f>
        <v/>
      </c>
      <c r="S2553" s="95">
        <f>IF((P2553-Q2553)=1,L2553,IF((P2553-Q2553)=-1,-J2553,0))</f>
        <v/>
      </c>
      <c r="T2553" s="95">
        <f>IF((P2553-Q2553)=1,N2553,IF((P2553-Q2553)=-1,-M2553,0))</f>
        <v/>
      </c>
      <c r="U2553" s="101">
        <f>IF(AND(H2553=1,LedAcct&lt;&gt;""),IF(AND(E2553&gt;=LedFrom,E2553&lt;=LedTo,OR(I2553=LedAcct,K2553=LedAcct,AND(LedAcct=acctTax,M2553+N2553&lt;&gt;0))),E2553*10000+B2553,""),"")</f>
        <v/>
      </c>
    </row>
    <row r="2554">
      <c r="B2554" s="101" t="n">
        <v>2548</v>
      </c>
      <c r="C2554" s="58" t="inlineStr">
        <is>
          <t>Bill</t>
        </is>
      </c>
      <c r="D2554" s="58">
        <f>IF(H2554=1,INDEX(ap_No,48)&amp;"","")</f>
        <v/>
      </c>
      <c r="E2554" s="94">
        <f>IF(H2554=1,INDEX(ap_Date,48),"")</f>
        <v/>
      </c>
      <c r="F2554" s="58">
        <f>IF(H2554=1,INDEX(ap_Desc,48)&amp;"","")</f>
        <v/>
      </c>
      <c r="G2554" s="58">
        <f>IF(H2554=1,INDEX(ap_Party,48)&amp;"","")</f>
        <v/>
      </c>
      <c r="H2554" s="101">
        <f>IFERROR(N(INDEX(ap_Posted,48)),0)</f>
        <v/>
      </c>
      <c r="I2554" s="58">
        <f>IF(H2554=1,INDEX(ap_DrAcct,48)&amp;"","")</f>
        <v/>
      </c>
      <c r="J2554" s="95">
        <f>IF(H2554=1,INDEX(ap_DrAmt,48),0)</f>
        <v/>
      </c>
      <c r="K2554" s="58">
        <f>IF(H2554=1,INDEX(ap_CrAcct,48)&amp;"","")</f>
        <v/>
      </c>
      <c r="L2554" s="95">
        <f>IF(H2554=1,INDEX(ap_CrAmt,48),0)</f>
        <v/>
      </c>
      <c r="M2554" s="95">
        <f>IF(H2554=1,INDEX(ap_TaxAmt,48),0)</f>
        <v/>
      </c>
      <c r="N2554" s="95" t="n">
        <v>0</v>
      </c>
      <c r="O2554" s="101">
        <f>IF(H2554=1,IF(E2554&lt;FYStart,0,IF(E2554&gt;FYEnd,13,YEAR(E2554)*12+MONTH(E2554)-FYYM+1)),"")</f>
        <v/>
      </c>
      <c r="P2554" s="101">
        <f>IF(H2554=1,IF(IFERROR(INDEX(coa_CF,MATCH(I2554,coa_Name,0)),"")="Cash",1,0),0)</f>
        <v/>
      </c>
      <c r="Q2554" s="101">
        <f>IF(H2554=1,IF(IFERROR(INDEX(coa_CF,MATCH(K2554,coa_Name,0)),"")="Cash",1,0),0)</f>
        <v/>
      </c>
      <c r="R2554" s="58">
        <f>IF((P2554-Q2554)=0,"",IFERROR(INDEX(coa_CF,MATCH(IF((P2554-Q2554)=1,K2554,I2554),coa_Name,0)),"Operating"))</f>
        <v/>
      </c>
      <c r="S2554" s="95">
        <f>IF((P2554-Q2554)=1,L2554,IF((P2554-Q2554)=-1,-J2554,0))</f>
        <v/>
      </c>
      <c r="T2554" s="95">
        <f>IF((P2554-Q2554)=1,N2554,IF((P2554-Q2554)=-1,-M2554,0))</f>
        <v/>
      </c>
      <c r="U2554" s="101">
        <f>IF(AND(H2554=1,LedAcct&lt;&gt;""),IF(AND(E2554&gt;=LedFrom,E2554&lt;=LedTo,OR(I2554=LedAcct,K2554=LedAcct,AND(LedAcct=acctTax,M2554+N2554&lt;&gt;0))),E2554*10000+B2554,""),"")</f>
        <v/>
      </c>
    </row>
    <row r="2555">
      <c r="B2555" s="101" t="n">
        <v>2549</v>
      </c>
      <c r="C2555" s="58" t="inlineStr">
        <is>
          <t>Bill</t>
        </is>
      </c>
      <c r="D2555" s="58">
        <f>IF(H2555=1,INDEX(ap_No,49)&amp;"","")</f>
        <v/>
      </c>
      <c r="E2555" s="94">
        <f>IF(H2555=1,INDEX(ap_Date,49),"")</f>
        <v/>
      </c>
      <c r="F2555" s="58">
        <f>IF(H2555=1,INDEX(ap_Desc,49)&amp;"","")</f>
        <v/>
      </c>
      <c r="G2555" s="58">
        <f>IF(H2555=1,INDEX(ap_Party,49)&amp;"","")</f>
        <v/>
      </c>
      <c r="H2555" s="101">
        <f>IFERROR(N(INDEX(ap_Posted,49)),0)</f>
        <v/>
      </c>
      <c r="I2555" s="58">
        <f>IF(H2555=1,INDEX(ap_DrAcct,49)&amp;"","")</f>
        <v/>
      </c>
      <c r="J2555" s="95">
        <f>IF(H2555=1,INDEX(ap_DrAmt,49),0)</f>
        <v/>
      </c>
      <c r="K2555" s="58">
        <f>IF(H2555=1,INDEX(ap_CrAcct,49)&amp;"","")</f>
        <v/>
      </c>
      <c r="L2555" s="95">
        <f>IF(H2555=1,INDEX(ap_CrAmt,49),0)</f>
        <v/>
      </c>
      <c r="M2555" s="95">
        <f>IF(H2555=1,INDEX(ap_TaxAmt,49),0)</f>
        <v/>
      </c>
      <c r="N2555" s="95" t="n">
        <v>0</v>
      </c>
      <c r="O2555" s="101">
        <f>IF(H2555=1,IF(E2555&lt;FYStart,0,IF(E2555&gt;FYEnd,13,YEAR(E2555)*12+MONTH(E2555)-FYYM+1)),"")</f>
        <v/>
      </c>
      <c r="P2555" s="101">
        <f>IF(H2555=1,IF(IFERROR(INDEX(coa_CF,MATCH(I2555,coa_Name,0)),"")="Cash",1,0),0)</f>
        <v/>
      </c>
      <c r="Q2555" s="101">
        <f>IF(H2555=1,IF(IFERROR(INDEX(coa_CF,MATCH(K2555,coa_Name,0)),"")="Cash",1,0),0)</f>
        <v/>
      </c>
      <c r="R2555" s="58">
        <f>IF((P2555-Q2555)=0,"",IFERROR(INDEX(coa_CF,MATCH(IF((P2555-Q2555)=1,K2555,I2555),coa_Name,0)),"Operating"))</f>
        <v/>
      </c>
      <c r="S2555" s="95">
        <f>IF((P2555-Q2555)=1,L2555,IF((P2555-Q2555)=-1,-J2555,0))</f>
        <v/>
      </c>
      <c r="T2555" s="95">
        <f>IF((P2555-Q2555)=1,N2555,IF((P2555-Q2555)=-1,-M2555,0))</f>
        <v/>
      </c>
      <c r="U2555" s="101">
        <f>IF(AND(H2555=1,LedAcct&lt;&gt;""),IF(AND(E2555&gt;=LedFrom,E2555&lt;=LedTo,OR(I2555=LedAcct,K2555=LedAcct,AND(LedAcct=acctTax,M2555+N2555&lt;&gt;0))),E2555*10000+B2555,""),"")</f>
        <v/>
      </c>
    </row>
    <row r="2556">
      <c r="B2556" s="101" t="n">
        <v>2550</v>
      </c>
      <c r="C2556" s="58" t="inlineStr">
        <is>
          <t>Bill</t>
        </is>
      </c>
      <c r="D2556" s="58">
        <f>IF(H2556=1,INDEX(ap_No,50)&amp;"","")</f>
        <v/>
      </c>
      <c r="E2556" s="94">
        <f>IF(H2556=1,INDEX(ap_Date,50),"")</f>
        <v/>
      </c>
      <c r="F2556" s="58">
        <f>IF(H2556=1,INDEX(ap_Desc,50)&amp;"","")</f>
        <v/>
      </c>
      <c r="G2556" s="58">
        <f>IF(H2556=1,INDEX(ap_Party,50)&amp;"","")</f>
        <v/>
      </c>
      <c r="H2556" s="101">
        <f>IFERROR(N(INDEX(ap_Posted,50)),0)</f>
        <v/>
      </c>
      <c r="I2556" s="58">
        <f>IF(H2556=1,INDEX(ap_DrAcct,50)&amp;"","")</f>
        <v/>
      </c>
      <c r="J2556" s="95">
        <f>IF(H2556=1,INDEX(ap_DrAmt,50),0)</f>
        <v/>
      </c>
      <c r="K2556" s="58">
        <f>IF(H2556=1,INDEX(ap_CrAcct,50)&amp;"","")</f>
        <v/>
      </c>
      <c r="L2556" s="95">
        <f>IF(H2556=1,INDEX(ap_CrAmt,50),0)</f>
        <v/>
      </c>
      <c r="M2556" s="95">
        <f>IF(H2556=1,INDEX(ap_TaxAmt,50),0)</f>
        <v/>
      </c>
      <c r="N2556" s="95" t="n">
        <v>0</v>
      </c>
      <c r="O2556" s="101">
        <f>IF(H2556=1,IF(E2556&lt;FYStart,0,IF(E2556&gt;FYEnd,13,YEAR(E2556)*12+MONTH(E2556)-FYYM+1)),"")</f>
        <v/>
      </c>
      <c r="P2556" s="101">
        <f>IF(H2556=1,IF(IFERROR(INDEX(coa_CF,MATCH(I2556,coa_Name,0)),"")="Cash",1,0),0)</f>
        <v/>
      </c>
      <c r="Q2556" s="101">
        <f>IF(H2556=1,IF(IFERROR(INDEX(coa_CF,MATCH(K2556,coa_Name,0)),"")="Cash",1,0),0)</f>
        <v/>
      </c>
      <c r="R2556" s="58">
        <f>IF((P2556-Q2556)=0,"",IFERROR(INDEX(coa_CF,MATCH(IF((P2556-Q2556)=1,K2556,I2556),coa_Name,0)),"Operating"))</f>
        <v/>
      </c>
      <c r="S2556" s="95">
        <f>IF((P2556-Q2556)=1,L2556,IF((P2556-Q2556)=-1,-J2556,0))</f>
        <v/>
      </c>
      <c r="T2556" s="95">
        <f>IF((P2556-Q2556)=1,N2556,IF((P2556-Q2556)=-1,-M2556,0))</f>
        <v/>
      </c>
      <c r="U2556" s="101">
        <f>IF(AND(H2556=1,LedAcct&lt;&gt;""),IF(AND(E2556&gt;=LedFrom,E2556&lt;=LedTo,OR(I2556=LedAcct,K2556=LedAcct,AND(LedAcct=acctTax,M2556+N2556&lt;&gt;0))),E2556*10000+B2556,""),"")</f>
        <v/>
      </c>
    </row>
    <row r="2557">
      <c r="B2557" s="101" t="n">
        <v>2551</v>
      </c>
      <c r="C2557" s="58" t="inlineStr">
        <is>
          <t>Bill</t>
        </is>
      </c>
      <c r="D2557" s="58">
        <f>IF(H2557=1,INDEX(ap_No,51)&amp;"","")</f>
        <v/>
      </c>
      <c r="E2557" s="94">
        <f>IF(H2557=1,INDEX(ap_Date,51),"")</f>
        <v/>
      </c>
      <c r="F2557" s="58">
        <f>IF(H2557=1,INDEX(ap_Desc,51)&amp;"","")</f>
        <v/>
      </c>
      <c r="G2557" s="58">
        <f>IF(H2557=1,INDEX(ap_Party,51)&amp;"","")</f>
        <v/>
      </c>
      <c r="H2557" s="101">
        <f>IFERROR(N(INDEX(ap_Posted,51)),0)</f>
        <v/>
      </c>
      <c r="I2557" s="58">
        <f>IF(H2557=1,INDEX(ap_DrAcct,51)&amp;"","")</f>
        <v/>
      </c>
      <c r="J2557" s="95">
        <f>IF(H2557=1,INDEX(ap_DrAmt,51),0)</f>
        <v/>
      </c>
      <c r="K2557" s="58">
        <f>IF(H2557=1,INDEX(ap_CrAcct,51)&amp;"","")</f>
        <v/>
      </c>
      <c r="L2557" s="95">
        <f>IF(H2557=1,INDEX(ap_CrAmt,51),0)</f>
        <v/>
      </c>
      <c r="M2557" s="95">
        <f>IF(H2557=1,INDEX(ap_TaxAmt,51),0)</f>
        <v/>
      </c>
      <c r="N2557" s="95" t="n">
        <v>0</v>
      </c>
      <c r="O2557" s="101">
        <f>IF(H2557=1,IF(E2557&lt;FYStart,0,IF(E2557&gt;FYEnd,13,YEAR(E2557)*12+MONTH(E2557)-FYYM+1)),"")</f>
        <v/>
      </c>
      <c r="P2557" s="101">
        <f>IF(H2557=1,IF(IFERROR(INDEX(coa_CF,MATCH(I2557,coa_Name,0)),"")="Cash",1,0),0)</f>
        <v/>
      </c>
      <c r="Q2557" s="101">
        <f>IF(H2557=1,IF(IFERROR(INDEX(coa_CF,MATCH(K2557,coa_Name,0)),"")="Cash",1,0),0)</f>
        <v/>
      </c>
      <c r="R2557" s="58">
        <f>IF((P2557-Q2557)=0,"",IFERROR(INDEX(coa_CF,MATCH(IF((P2557-Q2557)=1,K2557,I2557),coa_Name,0)),"Operating"))</f>
        <v/>
      </c>
      <c r="S2557" s="95">
        <f>IF((P2557-Q2557)=1,L2557,IF((P2557-Q2557)=-1,-J2557,0))</f>
        <v/>
      </c>
      <c r="T2557" s="95">
        <f>IF((P2557-Q2557)=1,N2557,IF((P2557-Q2557)=-1,-M2557,0))</f>
        <v/>
      </c>
      <c r="U2557" s="101">
        <f>IF(AND(H2557=1,LedAcct&lt;&gt;""),IF(AND(E2557&gt;=LedFrom,E2557&lt;=LedTo,OR(I2557=LedAcct,K2557=LedAcct,AND(LedAcct=acctTax,M2557+N2557&lt;&gt;0))),E2557*10000+B2557,""),"")</f>
        <v/>
      </c>
    </row>
    <row r="2558">
      <c r="B2558" s="101" t="n">
        <v>2552</v>
      </c>
      <c r="C2558" s="58" t="inlineStr">
        <is>
          <t>Bill</t>
        </is>
      </c>
      <c r="D2558" s="58">
        <f>IF(H2558=1,INDEX(ap_No,52)&amp;"","")</f>
        <v/>
      </c>
      <c r="E2558" s="94">
        <f>IF(H2558=1,INDEX(ap_Date,52),"")</f>
        <v/>
      </c>
      <c r="F2558" s="58">
        <f>IF(H2558=1,INDEX(ap_Desc,52)&amp;"","")</f>
        <v/>
      </c>
      <c r="G2558" s="58">
        <f>IF(H2558=1,INDEX(ap_Party,52)&amp;"","")</f>
        <v/>
      </c>
      <c r="H2558" s="101">
        <f>IFERROR(N(INDEX(ap_Posted,52)),0)</f>
        <v/>
      </c>
      <c r="I2558" s="58">
        <f>IF(H2558=1,INDEX(ap_DrAcct,52)&amp;"","")</f>
        <v/>
      </c>
      <c r="J2558" s="95">
        <f>IF(H2558=1,INDEX(ap_DrAmt,52),0)</f>
        <v/>
      </c>
      <c r="K2558" s="58">
        <f>IF(H2558=1,INDEX(ap_CrAcct,52)&amp;"","")</f>
        <v/>
      </c>
      <c r="L2558" s="95">
        <f>IF(H2558=1,INDEX(ap_CrAmt,52),0)</f>
        <v/>
      </c>
      <c r="M2558" s="95">
        <f>IF(H2558=1,INDEX(ap_TaxAmt,52),0)</f>
        <v/>
      </c>
      <c r="N2558" s="95" t="n">
        <v>0</v>
      </c>
      <c r="O2558" s="101">
        <f>IF(H2558=1,IF(E2558&lt;FYStart,0,IF(E2558&gt;FYEnd,13,YEAR(E2558)*12+MONTH(E2558)-FYYM+1)),"")</f>
        <v/>
      </c>
      <c r="P2558" s="101">
        <f>IF(H2558=1,IF(IFERROR(INDEX(coa_CF,MATCH(I2558,coa_Name,0)),"")="Cash",1,0),0)</f>
        <v/>
      </c>
      <c r="Q2558" s="101">
        <f>IF(H2558=1,IF(IFERROR(INDEX(coa_CF,MATCH(K2558,coa_Name,0)),"")="Cash",1,0),0)</f>
        <v/>
      </c>
      <c r="R2558" s="58">
        <f>IF((P2558-Q2558)=0,"",IFERROR(INDEX(coa_CF,MATCH(IF((P2558-Q2558)=1,K2558,I2558),coa_Name,0)),"Operating"))</f>
        <v/>
      </c>
      <c r="S2558" s="95">
        <f>IF((P2558-Q2558)=1,L2558,IF((P2558-Q2558)=-1,-J2558,0))</f>
        <v/>
      </c>
      <c r="T2558" s="95">
        <f>IF((P2558-Q2558)=1,N2558,IF((P2558-Q2558)=-1,-M2558,0))</f>
        <v/>
      </c>
      <c r="U2558" s="101">
        <f>IF(AND(H2558=1,LedAcct&lt;&gt;""),IF(AND(E2558&gt;=LedFrom,E2558&lt;=LedTo,OR(I2558=LedAcct,K2558=LedAcct,AND(LedAcct=acctTax,M2558+N2558&lt;&gt;0))),E2558*10000+B2558,""),"")</f>
        <v/>
      </c>
    </row>
    <row r="2559">
      <c r="B2559" s="101" t="n">
        <v>2553</v>
      </c>
      <c r="C2559" s="58" t="inlineStr">
        <is>
          <t>Bill</t>
        </is>
      </c>
      <c r="D2559" s="58">
        <f>IF(H2559=1,INDEX(ap_No,53)&amp;"","")</f>
        <v/>
      </c>
      <c r="E2559" s="94">
        <f>IF(H2559=1,INDEX(ap_Date,53),"")</f>
        <v/>
      </c>
      <c r="F2559" s="58">
        <f>IF(H2559=1,INDEX(ap_Desc,53)&amp;"","")</f>
        <v/>
      </c>
      <c r="G2559" s="58">
        <f>IF(H2559=1,INDEX(ap_Party,53)&amp;"","")</f>
        <v/>
      </c>
      <c r="H2559" s="101">
        <f>IFERROR(N(INDEX(ap_Posted,53)),0)</f>
        <v/>
      </c>
      <c r="I2559" s="58">
        <f>IF(H2559=1,INDEX(ap_DrAcct,53)&amp;"","")</f>
        <v/>
      </c>
      <c r="J2559" s="95">
        <f>IF(H2559=1,INDEX(ap_DrAmt,53),0)</f>
        <v/>
      </c>
      <c r="K2559" s="58">
        <f>IF(H2559=1,INDEX(ap_CrAcct,53)&amp;"","")</f>
        <v/>
      </c>
      <c r="L2559" s="95">
        <f>IF(H2559=1,INDEX(ap_CrAmt,53),0)</f>
        <v/>
      </c>
      <c r="M2559" s="95">
        <f>IF(H2559=1,INDEX(ap_TaxAmt,53),0)</f>
        <v/>
      </c>
      <c r="N2559" s="95" t="n">
        <v>0</v>
      </c>
      <c r="O2559" s="101">
        <f>IF(H2559=1,IF(E2559&lt;FYStart,0,IF(E2559&gt;FYEnd,13,YEAR(E2559)*12+MONTH(E2559)-FYYM+1)),"")</f>
        <v/>
      </c>
      <c r="P2559" s="101">
        <f>IF(H2559=1,IF(IFERROR(INDEX(coa_CF,MATCH(I2559,coa_Name,0)),"")="Cash",1,0),0)</f>
        <v/>
      </c>
      <c r="Q2559" s="101">
        <f>IF(H2559=1,IF(IFERROR(INDEX(coa_CF,MATCH(K2559,coa_Name,0)),"")="Cash",1,0),0)</f>
        <v/>
      </c>
      <c r="R2559" s="58">
        <f>IF((P2559-Q2559)=0,"",IFERROR(INDEX(coa_CF,MATCH(IF((P2559-Q2559)=1,K2559,I2559),coa_Name,0)),"Operating"))</f>
        <v/>
      </c>
      <c r="S2559" s="95">
        <f>IF((P2559-Q2559)=1,L2559,IF((P2559-Q2559)=-1,-J2559,0))</f>
        <v/>
      </c>
      <c r="T2559" s="95">
        <f>IF((P2559-Q2559)=1,N2559,IF((P2559-Q2559)=-1,-M2559,0))</f>
        <v/>
      </c>
      <c r="U2559" s="101">
        <f>IF(AND(H2559=1,LedAcct&lt;&gt;""),IF(AND(E2559&gt;=LedFrom,E2559&lt;=LedTo,OR(I2559=LedAcct,K2559=LedAcct,AND(LedAcct=acctTax,M2559+N2559&lt;&gt;0))),E2559*10000+B2559,""),"")</f>
        <v/>
      </c>
    </row>
    <row r="2560">
      <c r="B2560" s="101" t="n">
        <v>2554</v>
      </c>
      <c r="C2560" s="58" t="inlineStr">
        <is>
          <t>Bill</t>
        </is>
      </c>
      <c r="D2560" s="58">
        <f>IF(H2560=1,INDEX(ap_No,54)&amp;"","")</f>
        <v/>
      </c>
      <c r="E2560" s="94">
        <f>IF(H2560=1,INDEX(ap_Date,54),"")</f>
        <v/>
      </c>
      <c r="F2560" s="58">
        <f>IF(H2560=1,INDEX(ap_Desc,54)&amp;"","")</f>
        <v/>
      </c>
      <c r="G2560" s="58">
        <f>IF(H2560=1,INDEX(ap_Party,54)&amp;"","")</f>
        <v/>
      </c>
      <c r="H2560" s="101">
        <f>IFERROR(N(INDEX(ap_Posted,54)),0)</f>
        <v/>
      </c>
      <c r="I2560" s="58">
        <f>IF(H2560=1,INDEX(ap_DrAcct,54)&amp;"","")</f>
        <v/>
      </c>
      <c r="J2560" s="95">
        <f>IF(H2560=1,INDEX(ap_DrAmt,54),0)</f>
        <v/>
      </c>
      <c r="K2560" s="58">
        <f>IF(H2560=1,INDEX(ap_CrAcct,54)&amp;"","")</f>
        <v/>
      </c>
      <c r="L2560" s="95">
        <f>IF(H2560=1,INDEX(ap_CrAmt,54),0)</f>
        <v/>
      </c>
      <c r="M2560" s="95">
        <f>IF(H2560=1,INDEX(ap_TaxAmt,54),0)</f>
        <v/>
      </c>
      <c r="N2560" s="95" t="n">
        <v>0</v>
      </c>
      <c r="O2560" s="101">
        <f>IF(H2560=1,IF(E2560&lt;FYStart,0,IF(E2560&gt;FYEnd,13,YEAR(E2560)*12+MONTH(E2560)-FYYM+1)),"")</f>
        <v/>
      </c>
      <c r="P2560" s="101">
        <f>IF(H2560=1,IF(IFERROR(INDEX(coa_CF,MATCH(I2560,coa_Name,0)),"")="Cash",1,0),0)</f>
        <v/>
      </c>
      <c r="Q2560" s="101">
        <f>IF(H2560=1,IF(IFERROR(INDEX(coa_CF,MATCH(K2560,coa_Name,0)),"")="Cash",1,0),0)</f>
        <v/>
      </c>
      <c r="R2560" s="58">
        <f>IF((P2560-Q2560)=0,"",IFERROR(INDEX(coa_CF,MATCH(IF((P2560-Q2560)=1,K2560,I2560),coa_Name,0)),"Operating"))</f>
        <v/>
      </c>
      <c r="S2560" s="95">
        <f>IF((P2560-Q2560)=1,L2560,IF((P2560-Q2560)=-1,-J2560,0))</f>
        <v/>
      </c>
      <c r="T2560" s="95">
        <f>IF((P2560-Q2560)=1,N2560,IF((P2560-Q2560)=-1,-M2560,0))</f>
        <v/>
      </c>
      <c r="U2560" s="101">
        <f>IF(AND(H2560=1,LedAcct&lt;&gt;""),IF(AND(E2560&gt;=LedFrom,E2560&lt;=LedTo,OR(I2560=LedAcct,K2560=LedAcct,AND(LedAcct=acctTax,M2560+N2560&lt;&gt;0))),E2560*10000+B2560,""),"")</f>
        <v/>
      </c>
    </row>
    <row r="2561">
      <c r="B2561" s="101" t="n">
        <v>2555</v>
      </c>
      <c r="C2561" s="58" t="inlineStr">
        <is>
          <t>Bill</t>
        </is>
      </c>
      <c r="D2561" s="58">
        <f>IF(H2561=1,INDEX(ap_No,55)&amp;"","")</f>
        <v/>
      </c>
      <c r="E2561" s="94">
        <f>IF(H2561=1,INDEX(ap_Date,55),"")</f>
        <v/>
      </c>
      <c r="F2561" s="58">
        <f>IF(H2561=1,INDEX(ap_Desc,55)&amp;"","")</f>
        <v/>
      </c>
      <c r="G2561" s="58">
        <f>IF(H2561=1,INDEX(ap_Party,55)&amp;"","")</f>
        <v/>
      </c>
      <c r="H2561" s="101">
        <f>IFERROR(N(INDEX(ap_Posted,55)),0)</f>
        <v/>
      </c>
      <c r="I2561" s="58">
        <f>IF(H2561=1,INDEX(ap_DrAcct,55)&amp;"","")</f>
        <v/>
      </c>
      <c r="J2561" s="95">
        <f>IF(H2561=1,INDEX(ap_DrAmt,55),0)</f>
        <v/>
      </c>
      <c r="K2561" s="58">
        <f>IF(H2561=1,INDEX(ap_CrAcct,55)&amp;"","")</f>
        <v/>
      </c>
      <c r="L2561" s="95">
        <f>IF(H2561=1,INDEX(ap_CrAmt,55),0)</f>
        <v/>
      </c>
      <c r="M2561" s="95">
        <f>IF(H2561=1,INDEX(ap_TaxAmt,55),0)</f>
        <v/>
      </c>
      <c r="N2561" s="95" t="n">
        <v>0</v>
      </c>
      <c r="O2561" s="101">
        <f>IF(H2561=1,IF(E2561&lt;FYStart,0,IF(E2561&gt;FYEnd,13,YEAR(E2561)*12+MONTH(E2561)-FYYM+1)),"")</f>
        <v/>
      </c>
      <c r="P2561" s="101">
        <f>IF(H2561=1,IF(IFERROR(INDEX(coa_CF,MATCH(I2561,coa_Name,0)),"")="Cash",1,0),0)</f>
        <v/>
      </c>
      <c r="Q2561" s="101">
        <f>IF(H2561=1,IF(IFERROR(INDEX(coa_CF,MATCH(K2561,coa_Name,0)),"")="Cash",1,0),0)</f>
        <v/>
      </c>
      <c r="R2561" s="58">
        <f>IF((P2561-Q2561)=0,"",IFERROR(INDEX(coa_CF,MATCH(IF((P2561-Q2561)=1,K2561,I2561),coa_Name,0)),"Operating"))</f>
        <v/>
      </c>
      <c r="S2561" s="95">
        <f>IF((P2561-Q2561)=1,L2561,IF((P2561-Q2561)=-1,-J2561,0))</f>
        <v/>
      </c>
      <c r="T2561" s="95">
        <f>IF((P2561-Q2561)=1,N2561,IF((P2561-Q2561)=-1,-M2561,0))</f>
        <v/>
      </c>
      <c r="U2561" s="101">
        <f>IF(AND(H2561=1,LedAcct&lt;&gt;""),IF(AND(E2561&gt;=LedFrom,E2561&lt;=LedTo,OR(I2561=LedAcct,K2561=LedAcct,AND(LedAcct=acctTax,M2561+N2561&lt;&gt;0))),E2561*10000+B2561,""),"")</f>
        <v/>
      </c>
    </row>
    <row r="2562">
      <c r="B2562" s="101" t="n">
        <v>2556</v>
      </c>
      <c r="C2562" s="58" t="inlineStr">
        <is>
          <t>Bill</t>
        </is>
      </c>
      <c r="D2562" s="58">
        <f>IF(H2562=1,INDEX(ap_No,56)&amp;"","")</f>
        <v/>
      </c>
      <c r="E2562" s="94">
        <f>IF(H2562=1,INDEX(ap_Date,56),"")</f>
        <v/>
      </c>
      <c r="F2562" s="58">
        <f>IF(H2562=1,INDEX(ap_Desc,56)&amp;"","")</f>
        <v/>
      </c>
      <c r="G2562" s="58">
        <f>IF(H2562=1,INDEX(ap_Party,56)&amp;"","")</f>
        <v/>
      </c>
      <c r="H2562" s="101">
        <f>IFERROR(N(INDEX(ap_Posted,56)),0)</f>
        <v/>
      </c>
      <c r="I2562" s="58">
        <f>IF(H2562=1,INDEX(ap_DrAcct,56)&amp;"","")</f>
        <v/>
      </c>
      <c r="J2562" s="95">
        <f>IF(H2562=1,INDEX(ap_DrAmt,56),0)</f>
        <v/>
      </c>
      <c r="K2562" s="58">
        <f>IF(H2562=1,INDEX(ap_CrAcct,56)&amp;"","")</f>
        <v/>
      </c>
      <c r="L2562" s="95">
        <f>IF(H2562=1,INDEX(ap_CrAmt,56),0)</f>
        <v/>
      </c>
      <c r="M2562" s="95">
        <f>IF(H2562=1,INDEX(ap_TaxAmt,56),0)</f>
        <v/>
      </c>
      <c r="N2562" s="95" t="n">
        <v>0</v>
      </c>
      <c r="O2562" s="101">
        <f>IF(H2562=1,IF(E2562&lt;FYStart,0,IF(E2562&gt;FYEnd,13,YEAR(E2562)*12+MONTH(E2562)-FYYM+1)),"")</f>
        <v/>
      </c>
      <c r="P2562" s="101">
        <f>IF(H2562=1,IF(IFERROR(INDEX(coa_CF,MATCH(I2562,coa_Name,0)),"")="Cash",1,0),0)</f>
        <v/>
      </c>
      <c r="Q2562" s="101">
        <f>IF(H2562=1,IF(IFERROR(INDEX(coa_CF,MATCH(K2562,coa_Name,0)),"")="Cash",1,0),0)</f>
        <v/>
      </c>
      <c r="R2562" s="58">
        <f>IF((P2562-Q2562)=0,"",IFERROR(INDEX(coa_CF,MATCH(IF((P2562-Q2562)=1,K2562,I2562),coa_Name,0)),"Operating"))</f>
        <v/>
      </c>
      <c r="S2562" s="95">
        <f>IF((P2562-Q2562)=1,L2562,IF((P2562-Q2562)=-1,-J2562,0))</f>
        <v/>
      </c>
      <c r="T2562" s="95">
        <f>IF((P2562-Q2562)=1,N2562,IF((P2562-Q2562)=-1,-M2562,0))</f>
        <v/>
      </c>
      <c r="U2562" s="101">
        <f>IF(AND(H2562=1,LedAcct&lt;&gt;""),IF(AND(E2562&gt;=LedFrom,E2562&lt;=LedTo,OR(I2562=LedAcct,K2562=LedAcct,AND(LedAcct=acctTax,M2562+N2562&lt;&gt;0))),E2562*10000+B2562,""),"")</f>
        <v/>
      </c>
    </row>
    <row r="2563">
      <c r="B2563" s="101" t="n">
        <v>2557</v>
      </c>
      <c r="C2563" s="58" t="inlineStr">
        <is>
          <t>Bill</t>
        </is>
      </c>
      <c r="D2563" s="58">
        <f>IF(H2563=1,INDEX(ap_No,57)&amp;"","")</f>
        <v/>
      </c>
      <c r="E2563" s="94">
        <f>IF(H2563=1,INDEX(ap_Date,57),"")</f>
        <v/>
      </c>
      <c r="F2563" s="58">
        <f>IF(H2563=1,INDEX(ap_Desc,57)&amp;"","")</f>
        <v/>
      </c>
      <c r="G2563" s="58">
        <f>IF(H2563=1,INDEX(ap_Party,57)&amp;"","")</f>
        <v/>
      </c>
      <c r="H2563" s="101">
        <f>IFERROR(N(INDEX(ap_Posted,57)),0)</f>
        <v/>
      </c>
      <c r="I2563" s="58">
        <f>IF(H2563=1,INDEX(ap_DrAcct,57)&amp;"","")</f>
        <v/>
      </c>
      <c r="J2563" s="95">
        <f>IF(H2563=1,INDEX(ap_DrAmt,57),0)</f>
        <v/>
      </c>
      <c r="K2563" s="58">
        <f>IF(H2563=1,INDEX(ap_CrAcct,57)&amp;"","")</f>
        <v/>
      </c>
      <c r="L2563" s="95">
        <f>IF(H2563=1,INDEX(ap_CrAmt,57),0)</f>
        <v/>
      </c>
      <c r="M2563" s="95">
        <f>IF(H2563=1,INDEX(ap_TaxAmt,57),0)</f>
        <v/>
      </c>
      <c r="N2563" s="95" t="n">
        <v>0</v>
      </c>
      <c r="O2563" s="101">
        <f>IF(H2563=1,IF(E2563&lt;FYStart,0,IF(E2563&gt;FYEnd,13,YEAR(E2563)*12+MONTH(E2563)-FYYM+1)),"")</f>
        <v/>
      </c>
      <c r="P2563" s="101">
        <f>IF(H2563=1,IF(IFERROR(INDEX(coa_CF,MATCH(I2563,coa_Name,0)),"")="Cash",1,0),0)</f>
        <v/>
      </c>
      <c r="Q2563" s="101">
        <f>IF(H2563=1,IF(IFERROR(INDEX(coa_CF,MATCH(K2563,coa_Name,0)),"")="Cash",1,0),0)</f>
        <v/>
      </c>
      <c r="R2563" s="58">
        <f>IF((P2563-Q2563)=0,"",IFERROR(INDEX(coa_CF,MATCH(IF((P2563-Q2563)=1,K2563,I2563),coa_Name,0)),"Operating"))</f>
        <v/>
      </c>
      <c r="S2563" s="95">
        <f>IF((P2563-Q2563)=1,L2563,IF((P2563-Q2563)=-1,-J2563,0))</f>
        <v/>
      </c>
      <c r="T2563" s="95">
        <f>IF((P2563-Q2563)=1,N2563,IF((P2563-Q2563)=-1,-M2563,0))</f>
        <v/>
      </c>
      <c r="U2563" s="101">
        <f>IF(AND(H2563=1,LedAcct&lt;&gt;""),IF(AND(E2563&gt;=LedFrom,E2563&lt;=LedTo,OR(I2563=LedAcct,K2563=LedAcct,AND(LedAcct=acctTax,M2563+N2563&lt;&gt;0))),E2563*10000+B2563,""),"")</f>
        <v/>
      </c>
    </row>
    <row r="2564">
      <c r="B2564" s="101" t="n">
        <v>2558</v>
      </c>
      <c r="C2564" s="58" t="inlineStr">
        <is>
          <t>Bill</t>
        </is>
      </c>
      <c r="D2564" s="58">
        <f>IF(H2564=1,INDEX(ap_No,58)&amp;"","")</f>
        <v/>
      </c>
      <c r="E2564" s="94">
        <f>IF(H2564=1,INDEX(ap_Date,58),"")</f>
        <v/>
      </c>
      <c r="F2564" s="58">
        <f>IF(H2564=1,INDEX(ap_Desc,58)&amp;"","")</f>
        <v/>
      </c>
      <c r="G2564" s="58">
        <f>IF(H2564=1,INDEX(ap_Party,58)&amp;"","")</f>
        <v/>
      </c>
      <c r="H2564" s="101">
        <f>IFERROR(N(INDEX(ap_Posted,58)),0)</f>
        <v/>
      </c>
      <c r="I2564" s="58">
        <f>IF(H2564=1,INDEX(ap_DrAcct,58)&amp;"","")</f>
        <v/>
      </c>
      <c r="J2564" s="95">
        <f>IF(H2564=1,INDEX(ap_DrAmt,58),0)</f>
        <v/>
      </c>
      <c r="K2564" s="58">
        <f>IF(H2564=1,INDEX(ap_CrAcct,58)&amp;"","")</f>
        <v/>
      </c>
      <c r="L2564" s="95">
        <f>IF(H2564=1,INDEX(ap_CrAmt,58),0)</f>
        <v/>
      </c>
      <c r="M2564" s="95">
        <f>IF(H2564=1,INDEX(ap_TaxAmt,58),0)</f>
        <v/>
      </c>
      <c r="N2564" s="95" t="n">
        <v>0</v>
      </c>
      <c r="O2564" s="101">
        <f>IF(H2564=1,IF(E2564&lt;FYStart,0,IF(E2564&gt;FYEnd,13,YEAR(E2564)*12+MONTH(E2564)-FYYM+1)),"")</f>
        <v/>
      </c>
      <c r="P2564" s="101">
        <f>IF(H2564=1,IF(IFERROR(INDEX(coa_CF,MATCH(I2564,coa_Name,0)),"")="Cash",1,0),0)</f>
        <v/>
      </c>
      <c r="Q2564" s="101">
        <f>IF(H2564=1,IF(IFERROR(INDEX(coa_CF,MATCH(K2564,coa_Name,0)),"")="Cash",1,0),0)</f>
        <v/>
      </c>
      <c r="R2564" s="58">
        <f>IF((P2564-Q2564)=0,"",IFERROR(INDEX(coa_CF,MATCH(IF((P2564-Q2564)=1,K2564,I2564),coa_Name,0)),"Operating"))</f>
        <v/>
      </c>
      <c r="S2564" s="95">
        <f>IF((P2564-Q2564)=1,L2564,IF((P2564-Q2564)=-1,-J2564,0))</f>
        <v/>
      </c>
      <c r="T2564" s="95">
        <f>IF((P2564-Q2564)=1,N2564,IF((P2564-Q2564)=-1,-M2564,0))</f>
        <v/>
      </c>
      <c r="U2564" s="101">
        <f>IF(AND(H2564=1,LedAcct&lt;&gt;""),IF(AND(E2564&gt;=LedFrom,E2564&lt;=LedTo,OR(I2564=LedAcct,K2564=LedAcct,AND(LedAcct=acctTax,M2564+N2564&lt;&gt;0))),E2564*10000+B2564,""),"")</f>
        <v/>
      </c>
    </row>
    <row r="2565">
      <c r="B2565" s="101" t="n">
        <v>2559</v>
      </c>
      <c r="C2565" s="58" t="inlineStr">
        <is>
          <t>Bill</t>
        </is>
      </c>
      <c r="D2565" s="58">
        <f>IF(H2565=1,INDEX(ap_No,59)&amp;"","")</f>
        <v/>
      </c>
      <c r="E2565" s="94">
        <f>IF(H2565=1,INDEX(ap_Date,59),"")</f>
        <v/>
      </c>
      <c r="F2565" s="58">
        <f>IF(H2565=1,INDEX(ap_Desc,59)&amp;"","")</f>
        <v/>
      </c>
      <c r="G2565" s="58">
        <f>IF(H2565=1,INDEX(ap_Party,59)&amp;"","")</f>
        <v/>
      </c>
      <c r="H2565" s="101">
        <f>IFERROR(N(INDEX(ap_Posted,59)),0)</f>
        <v/>
      </c>
      <c r="I2565" s="58">
        <f>IF(H2565=1,INDEX(ap_DrAcct,59)&amp;"","")</f>
        <v/>
      </c>
      <c r="J2565" s="95">
        <f>IF(H2565=1,INDEX(ap_DrAmt,59),0)</f>
        <v/>
      </c>
      <c r="K2565" s="58">
        <f>IF(H2565=1,INDEX(ap_CrAcct,59)&amp;"","")</f>
        <v/>
      </c>
      <c r="L2565" s="95">
        <f>IF(H2565=1,INDEX(ap_CrAmt,59),0)</f>
        <v/>
      </c>
      <c r="M2565" s="95">
        <f>IF(H2565=1,INDEX(ap_TaxAmt,59),0)</f>
        <v/>
      </c>
      <c r="N2565" s="95" t="n">
        <v>0</v>
      </c>
      <c r="O2565" s="101">
        <f>IF(H2565=1,IF(E2565&lt;FYStart,0,IF(E2565&gt;FYEnd,13,YEAR(E2565)*12+MONTH(E2565)-FYYM+1)),"")</f>
        <v/>
      </c>
      <c r="P2565" s="101">
        <f>IF(H2565=1,IF(IFERROR(INDEX(coa_CF,MATCH(I2565,coa_Name,0)),"")="Cash",1,0),0)</f>
        <v/>
      </c>
      <c r="Q2565" s="101">
        <f>IF(H2565=1,IF(IFERROR(INDEX(coa_CF,MATCH(K2565,coa_Name,0)),"")="Cash",1,0),0)</f>
        <v/>
      </c>
      <c r="R2565" s="58">
        <f>IF((P2565-Q2565)=0,"",IFERROR(INDEX(coa_CF,MATCH(IF((P2565-Q2565)=1,K2565,I2565),coa_Name,0)),"Operating"))</f>
        <v/>
      </c>
      <c r="S2565" s="95">
        <f>IF((P2565-Q2565)=1,L2565,IF((P2565-Q2565)=-1,-J2565,0))</f>
        <v/>
      </c>
      <c r="T2565" s="95">
        <f>IF((P2565-Q2565)=1,N2565,IF((P2565-Q2565)=-1,-M2565,0))</f>
        <v/>
      </c>
      <c r="U2565" s="101">
        <f>IF(AND(H2565=1,LedAcct&lt;&gt;""),IF(AND(E2565&gt;=LedFrom,E2565&lt;=LedTo,OR(I2565=LedAcct,K2565=LedAcct,AND(LedAcct=acctTax,M2565+N2565&lt;&gt;0))),E2565*10000+B2565,""),"")</f>
        <v/>
      </c>
    </row>
    <row r="2566">
      <c r="B2566" s="101" t="n">
        <v>2560</v>
      </c>
      <c r="C2566" s="58" t="inlineStr">
        <is>
          <t>Bill</t>
        </is>
      </c>
      <c r="D2566" s="58">
        <f>IF(H2566=1,INDEX(ap_No,60)&amp;"","")</f>
        <v/>
      </c>
      <c r="E2566" s="94">
        <f>IF(H2566=1,INDEX(ap_Date,60),"")</f>
        <v/>
      </c>
      <c r="F2566" s="58">
        <f>IF(H2566=1,INDEX(ap_Desc,60)&amp;"","")</f>
        <v/>
      </c>
      <c r="G2566" s="58">
        <f>IF(H2566=1,INDEX(ap_Party,60)&amp;"","")</f>
        <v/>
      </c>
      <c r="H2566" s="101">
        <f>IFERROR(N(INDEX(ap_Posted,60)),0)</f>
        <v/>
      </c>
      <c r="I2566" s="58">
        <f>IF(H2566=1,INDEX(ap_DrAcct,60)&amp;"","")</f>
        <v/>
      </c>
      <c r="J2566" s="95">
        <f>IF(H2566=1,INDEX(ap_DrAmt,60),0)</f>
        <v/>
      </c>
      <c r="K2566" s="58">
        <f>IF(H2566=1,INDEX(ap_CrAcct,60)&amp;"","")</f>
        <v/>
      </c>
      <c r="L2566" s="95">
        <f>IF(H2566=1,INDEX(ap_CrAmt,60),0)</f>
        <v/>
      </c>
      <c r="M2566" s="95">
        <f>IF(H2566=1,INDEX(ap_TaxAmt,60),0)</f>
        <v/>
      </c>
      <c r="N2566" s="95" t="n">
        <v>0</v>
      </c>
      <c r="O2566" s="101">
        <f>IF(H2566=1,IF(E2566&lt;FYStart,0,IF(E2566&gt;FYEnd,13,YEAR(E2566)*12+MONTH(E2566)-FYYM+1)),"")</f>
        <v/>
      </c>
      <c r="P2566" s="101">
        <f>IF(H2566=1,IF(IFERROR(INDEX(coa_CF,MATCH(I2566,coa_Name,0)),"")="Cash",1,0),0)</f>
        <v/>
      </c>
      <c r="Q2566" s="101">
        <f>IF(H2566=1,IF(IFERROR(INDEX(coa_CF,MATCH(K2566,coa_Name,0)),"")="Cash",1,0),0)</f>
        <v/>
      </c>
      <c r="R2566" s="58">
        <f>IF((P2566-Q2566)=0,"",IFERROR(INDEX(coa_CF,MATCH(IF((P2566-Q2566)=1,K2566,I2566),coa_Name,0)),"Operating"))</f>
        <v/>
      </c>
      <c r="S2566" s="95">
        <f>IF((P2566-Q2566)=1,L2566,IF((P2566-Q2566)=-1,-J2566,0))</f>
        <v/>
      </c>
      <c r="T2566" s="95">
        <f>IF((P2566-Q2566)=1,N2566,IF((P2566-Q2566)=-1,-M2566,0))</f>
        <v/>
      </c>
      <c r="U2566" s="101">
        <f>IF(AND(H2566=1,LedAcct&lt;&gt;""),IF(AND(E2566&gt;=LedFrom,E2566&lt;=LedTo,OR(I2566=LedAcct,K2566=LedAcct,AND(LedAcct=acctTax,M2566+N2566&lt;&gt;0))),E2566*10000+B2566,""),"")</f>
        <v/>
      </c>
    </row>
    <row r="2567">
      <c r="B2567" s="101" t="n">
        <v>2561</v>
      </c>
      <c r="C2567" s="58" t="inlineStr">
        <is>
          <t>Bill</t>
        </is>
      </c>
      <c r="D2567" s="58">
        <f>IF(H2567=1,INDEX(ap_No,61)&amp;"","")</f>
        <v/>
      </c>
      <c r="E2567" s="94">
        <f>IF(H2567=1,INDEX(ap_Date,61),"")</f>
        <v/>
      </c>
      <c r="F2567" s="58">
        <f>IF(H2567=1,INDEX(ap_Desc,61)&amp;"","")</f>
        <v/>
      </c>
      <c r="G2567" s="58">
        <f>IF(H2567=1,INDEX(ap_Party,61)&amp;"","")</f>
        <v/>
      </c>
      <c r="H2567" s="101">
        <f>IFERROR(N(INDEX(ap_Posted,61)),0)</f>
        <v/>
      </c>
      <c r="I2567" s="58">
        <f>IF(H2567=1,INDEX(ap_DrAcct,61)&amp;"","")</f>
        <v/>
      </c>
      <c r="J2567" s="95">
        <f>IF(H2567=1,INDEX(ap_DrAmt,61),0)</f>
        <v/>
      </c>
      <c r="K2567" s="58">
        <f>IF(H2567=1,INDEX(ap_CrAcct,61)&amp;"","")</f>
        <v/>
      </c>
      <c r="L2567" s="95">
        <f>IF(H2567=1,INDEX(ap_CrAmt,61),0)</f>
        <v/>
      </c>
      <c r="M2567" s="95">
        <f>IF(H2567=1,INDEX(ap_TaxAmt,61),0)</f>
        <v/>
      </c>
      <c r="N2567" s="95" t="n">
        <v>0</v>
      </c>
      <c r="O2567" s="101">
        <f>IF(H2567=1,IF(E2567&lt;FYStart,0,IF(E2567&gt;FYEnd,13,YEAR(E2567)*12+MONTH(E2567)-FYYM+1)),"")</f>
        <v/>
      </c>
      <c r="P2567" s="101">
        <f>IF(H2567=1,IF(IFERROR(INDEX(coa_CF,MATCH(I2567,coa_Name,0)),"")="Cash",1,0),0)</f>
        <v/>
      </c>
      <c r="Q2567" s="101">
        <f>IF(H2567=1,IF(IFERROR(INDEX(coa_CF,MATCH(K2567,coa_Name,0)),"")="Cash",1,0),0)</f>
        <v/>
      </c>
      <c r="R2567" s="58">
        <f>IF((P2567-Q2567)=0,"",IFERROR(INDEX(coa_CF,MATCH(IF((P2567-Q2567)=1,K2567,I2567),coa_Name,0)),"Operating"))</f>
        <v/>
      </c>
      <c r="S2567" s="95">
        <f>IF((P2567-Q2567)=1,L2567,IF((P2567-Q2567)=-1,-J2567,0))</f>
        <v/>
      </c>
      <c r="T2567" s="95">
        <f>IF((P2567-Q2567)=1,N2567,IF((P2567-Q2567)=-1,-M2567,0))</f>
        <v/>
      </c>
      <c r="U2567" s="101">
        <f>IF(AND(H2567=1,LedAcct&lt;&gt;""),IF(AND(E2567&gt;=LedFrom,E2567&lt;=LedTo,OR(I2567=LedAcct,K2567=LedAcct,AND(LedAcct=acctTax,M2567+N2567&lt;&gt;0))),E2567*10000+B2567,""),"")</f>
        <v/>
      </c>
    </row>
    <row r="2568">
      <c r="B2568" s="101" t="n">
        <v>2562</v>
      </c>
      <c r="C2568" s="58" t="inlineStr">
        <is>
          <t>Bill</t>
        </is>
      </c>
      <c r="D2568" s="58">
        <f>IF(H2568=1,INDEX(ap_No,62)&amp;"","")</f>
        <v/>
      </c>
      <c r="E2568" s="94">
        <f>IF(H2568=1,INDEX(ap_Date,62),"")</f>
        <v/>
      </c>
      <c r="F2568" s="58">
        <f>IF(H2568=1,INDEX(ap_Desc,62)&amp;"","")</f>
        <v/>
      </c>
      <c r="G2568" s="58">
        <f>IF(H2568=1,INDEX(ap_Party,62)&amp;"","")</f>
        <v/>
      </c>
      <c r="H2568" s="101">
        <f>IFERROR(N(INDEX(ap_Posted,62)),0)</f>
        <v/>
      </c>
      <c r="I2568" s="58">
        <f>IF(H2568=1,INDEX(ap_DrAcct,62)&amp;"","")</f>
        <v/>
      </c>
      <c r="J2568" s="95">
        <f>IF(H2568=1,INDEX(ap_DrAmt,62),0)</f>
        <v/>
      </c>
      <c r="K2568" s="58">
        <f>IF(H2568=1,INDEX(ap_CrAcct,62)&amp;"","")</f>
        <v/>
      </c>
      <c r="L2568" s="95">
        <f>IF(H2568=1,INDEX(ap_CrAmt,62),0)</f>
        <v/>
      </c>
      <c r="M2568" s="95">
        <f>IF(H2568=1,INDEX(ap_TaxAmt,62),0)</f>
        <v/>
      </c>
      <c r="N2568" s="95" t="n">
        <v>0</v>
      </c>
      <c r="O2568" s="101">
        <f>IF(H2568=1,IF(E2568&lt;FYStart,0,IF(E2568&gt;FYEnd,13,YEAR(E2568)*12+MONTH(E2568)-FYYM+1)),"")</f>
        <v/>
      </c>
      <c r="P2568" s="101">
        <f>IF(H2568=1,IF(IFERROR(INDEX(coa_CF,MATCH(I2568,coa_Name,0)),"")="Cash",1,0),0)</f>
        <v/>
      </c>
      <c r="Q2568" s="101">
        <f>IF(H2568=1,IF(IFERROR(INDEX(coa_CF,MATCH(K2568,coa_Name,0)),"")="Cash",1,0),0)</f>
        <v/>
      </c>
      <c r="R2568" s="58">
        <f>IF((P2568-Q2568)=0,"",IFERROR(INDEX(coa_CF,MATCH(IF((P2568-Q2568)=1,K2568,I2568),coa_Name,0)),"Operating"))</f>
        <v/>
      </c>
      <c r="S2568" s="95">
        <f>IF((P2568-Q2568)=1,L2568,IF((P2568-Q2568)=-1,-J2568,0))</f>
        <v/>
      </c>
      <c r="T2568" s="95">
        <f>IF((P2568-Q2568)=1,N2568,IF((P2568-Q2568)=-1,-M2568,0))</f>
        <v/>
      </c>
      <c r="U2568" s="101">
        <f>IF(AND(H2568=1,LedAcct&lt;&gt;""),IF(AND(E2568&gt;=LedFrom,E2568&lt;=LedTo,OR(I2568=LedAcct,K2568=LedAcct,AND(LedAcct=acctTax,M2568+N2568&lt;&gt;0))),E2568*10000+B2568,""),"")</f>
        <v/>
      </c>
    </row>
    <row r="2569">
      <c r="B2569" s="101" t="n">
        <v>2563</v>
      </c>
      <c r="C2569" s="58" t="inlineStr">
        <is>
          <t>Bill</t>
        </is>
      </c>
      <c r="D2569" s="58">
        <f>IF(H2569=1,INDEX(ap_No,63)&amp;"","")</f>
        <v/>
      </c>
      <c r="E2569" s="94">
        <f>IF(H2569=1,INDEX(ap_Date,63),"")</f>
        <v/>
      </c>
      <c r="F2569" s="58">
        <f>IF(H2569=1,INDEX(ap_Desc,63)&amp;"","")</f>
        <v/>
      </c>
      <c r="G2569" s="58">
        <f>IF(H2569=1,INDEX(ap_Party,63)&amp;"","")</f>
        <v/>
      </c>
      <c r="H2569" s="101">
        <f>IFERROR(N(INDEX(ap_Posted,63)),0)</f>
        <v/>
      </c>
      <c r="I2569" s="58">
        <f>IF(H2569=1,INDEX(ap_DrAcct,63)&amp;"","")</f>
        <v/>
      </c>
      <c r="J2569" s="95">
        <f>IF(H2569=1,INDEX(ap_DrAmt,63),0)</f>
        <v/>
      </c>
      <c r="K2569" s="58">
        <f>IF(H2569=1,INDEX(ap_CrAcct,63)&amp;"","")</f>
        <v/>
      </c>
      <c r="L2569" s="95">
        <f>IF(H2569=1,INDEX(ap_CrAmt,63),0)</f>
        <v/>
      </c>
      <c r="M2569" s="95">
        <f>IF(H2569=1,INDEX(ap_TaxAmt,63),0)</f>
        <v/>
      </c>
      <c r="N2569" s="95" t="n">
        <v>0</v>
      </c>
      <c r="O2569" s="101">
        <f>IF(H2569=1,IF(E2569&lt;FYStart,0,IF(E2569&gt;FYEnd,13,YEAR(E2569)*12+MONTH(E2569)-FYYM+1)),"")</f>
        <v/>
      </c>
      <c r="P2569" s="101">
        <f>IF(H2569=1,IF(IFERROR(INDEX(coa_CF,MATCH(I2569,coa_Name,0)),"")="Cash",1,0),0)</f>
        <v/>
      </c>
      <c r="Q2569" s="101">
        <f>IF(H2569=1,IF(IFERROR(INDEX(coa_CF,MATCH(K2569,coa_Name,0)),"")="Cash",1,0),0)</f>
        <v/>
      </c>
      <c r="R2569" s="58">
        <f>IF((P2569-Q2569)=0,"",IFERROR(INDEX(coa_CF,MATCH(IF((P2569-Q2569)=1,K2569,I2569),coa_Name,0)),"Operating"))</f>
        <v/>
      </c>
      <c r="S2569" s="95">
        <f>IF((P2569-Q2569)=1,L2569,IF((P2569-Q2569)=-1,-J2569,0))</f>
        <v/>
      </c>
      <c r="T2569" s="95">
        <f>IF((P2569-Q2569)=1,N2569,IF((P2569-Q2569)=-1,-M2569,0))</f>
        <v/>
      </c>
      <c r="U2569" s="101">
        <f>IF(AND(H2569=1,LedAcct&lt;&gt;""),IF(AND(E2569&gt;=LedFrom,E2569&lt;=LedTo,OR(I2569=LedAcct,K2569=LedAcct,AND(LedAcct=acctTax,M2569+N2569&lt;&gt;0))),E2569*10000+B2569,""),"")</f>
        <v/>
      </c>
    </row>
    <row r="2570">
      <c r="B2570" s="101" t="n">
        <v>2564</v>
      </c>
      <c r="C2570" s="58" t="inlineStr">
        <is>
          <t>Bill</t>
        </is>
      </c>
      <c r="D2570" s="58">
        <f>IF(H2570=1,INDEX(ap_No,64)&amp;"","")</f>
        <v/>
      </c>
      <c r="E2570" s="94">
        <f>IF(H2570=1,INDEX(ap_Date,64),"")</f>
        <v/>
      </c>
      <c r="F2570" s="58">
        <f>IF(H2570=1,INDEX(ap_Desc,64)&amp;"","")</f>
        <v/>
      </c>
      <c r="G2570" s="58">
        <f>IF(H2570=1,INDEX(ap_Party,64)&amp;"","")</f>
        <v/>
      </c>
      <c r="H2570" s="101">
        <f>IFERROR(N(INDEX(ap_Posted,64)),0)</f>
        <v/>
      </c>
      <c r="I2570" s="58">
        <f>IF(H2570=1,INDEX(ap_DrAcct,64)&amp;"","")</f>
        <v/>
      </c>
      <c r="J2570" s="95">
        <f>IF(H2570=1,INDEX(ap_DrAmt,64),0)</f>
        <v/>
      </c>
      <c r="K2570" s="58">
        <f>IF(H2570=1,INDEX(ap_CrAcct,64)&amp;"","")</f>
        <v/>
      </c>
      <c r="L2570" s="95">
        <f>IF(H2570=1,INDEX(ap_CrAmt,64),0)</f>
        <v/>
      </c>
      <c r="M2570" s="95">
        <f>IF(H2570=1,INDEX(ap_TaxAmt,64),0)</f>
        <v/>
      </c>
      <c r="N2570" s="95" t="n">
        <v>0</v>
      </c>
      <c r="O2570" s="101">
        <f>IF(H2570=1,IF(E2570&lt;FYStart,0,IF(E2570&gt;FYEnd,13,YEAR(E2570)*12+MONTH(E2570)-FYYM+1)),"")</f>
        <v/>
      </c>
      <c r="P2570" s="101">
        <f>IF(H2570=1,IF(IFERROR(INDEX(coa_CF,MATCH(I2570,coa_Name,0)),"")="Cash",1,0),0)</f>
        <v/>
      </c>
      <c r="Q2570" s="101">
        <f>IF(H2570=1,IF(IFERROR(INDEX(coa_CF,MATCH(K2570,coa_Name,0)),"")="Cash",1,0),0)</f>
        <v/>
      </c>
      <c r="R2570" s="58">
        <f>IF((P2570-Q2570)=0,"",IFERROR(INDEX(coa_CF,MATCH(IF((P2570-Q2570)=1,K2570,I2570),coa_Name,0)),"Operating"))</f>
        <v/>
      </c>
      <c r="S2570" s="95">
        <f>IF((P2570-Q2570)=1,L2570,IF((P2570-Q2570)=-1,-J2570,0))</f>
        <v/>
      </c>
      <c r="T2570" s="95">
        <f>IF((P2570-Q2570)=1,N2570,IF((P2570-Q2570)=-1,-M2570,0))</f>
        <v/>
      </c>
      <c r="U2570" s="101">
        <f>IF(AND(H2570=1,LedAcct&lt;&gt;""),IF(AND(E2570&gt;=LedFrom,E2570&lt;=LedTo,OR(I2570=LedAcct,K2570=LedAcct,AND(LedAcct=acctTax,M2570+N2570&lt;&gt;0))),E2570*10000+B2570,""),"")</f>
        <v/>
      </c>
    </row>
    <row r="2571">
      <c r="B2571" s="101" t="n">
        <v>2565</v>
      </c>
      <c r="C2571" s="58" t="inlineStr">
        <is>
          <t>Bill</t>
        </is>
      </c>
      <c r="D2571" s="58">
        <f>IF(H2571=1,INDEX(ap_No,65)&amp;"","")</f>
        <v/>
      </c>
      <c r="E2571" s="94">
        <f>IF(H2571=1,INDEX(ap_Date,65),"")</f>
        <v/>
      </c>
      <c r="F2571" s="58">
        <f>IF(H2571=1,INDEX(ap_Desc,65)&amp;"","")</f>
        <v/>
      </c>
      <c r="G2571" s="58">
        <f>IF(H2571=1,INDEX(ap_Party,65)&amp;"","")</f>
        <v/>
      </c>
      <c r="H2571" s="101">
        <f>IFERROR(N(INDEX(ap_Posted,65)),0)</f>
        <v/>
      </c>
      <c r="I2571" s="58">
        <f>IF(H2571=1,INDEX(ap_DrAcct,65)&amp;"","")</f>
        <v/>
      </c>
      <c r="J2571" s="95">
        <f>IF(H2571=1,INDEX(ap_DrAmt,65),0)</f>
        <v/>
      </c>
      <c r="K2571" s="58">
        <f>IF(H2571=1,INDEX(ap_CrAcct,65)&amp;"","")</f>
        <v/>
      </c>
      <c r="L2571" s="95">
        <f>IF(H2571=1,INDEX(ap_CrAmt,65),0)</f>
        <v/>
      </c>
      <c r="M2571" s="95">
        <f>IF(H2571=1,INDEX(ap_TaxAmt,65),0)</f>
        <v/>
      </c>
      <c r="N2571" s="95" t="n">
        <v>0</v>
      </c>
      <c r="O2571" s="101">
        <f>IF(H2571=1,IF(E2571&lt;FYStart,0,IF(E2571&gt;FYEnd,13,YEAR(E2571)*12+MONTH(E2571)-FYYM+1)),"")</f>
        <v/>
      </c>
      <c r="P2571" s="101">
        <f>IF(H2571=1,IF(IFERROR(INDEX(coa_CF,MATCH(I2571,coa_Name,0)),"")="Cash",1,0),0)</f>
        <v/>
      </c>
      <c r="Q2571" s="101">
        <f>IF(H2571=1,IF(IFERROR(INDEX(coa_CF,MATCH(K2571,coa_Name,0)),"")="Cash",1,0),0)</f>
        <v/>
      </c>
      <c r="R2571" s="58">
        <f>IF((P2571-Q2571)=0,"",IFERROR(INDEX(coa_CF,MATCH(IF((P2571-Q2571)=1,K2571,I2571),coa_Name,0)),"Operating"))</f>
        <v/>
      </c>
      <c r="S2571" s="95">
        <f>IF((P2571-Q2571)=1,L2571,IF((P2571-Q2571)=-1,-J2571,0))</f>
        <v/>
      </c>
      <c r="T2571" s="95">
        <f>IF((P2571-Q2571)=1,N2571,IF((P2571-Q2571)=-1,-M2571,0))</f>
        <v/>
      </c>
      <c r="U2571" s="101">
        <f>IF(AND(H2571=1,LedAcct&lt;&gt;""),IF(AND(E2571&gt;=LedFrom,E2571&lt;=LedTo,OR(I2571=LedAcct,K2571=LedAcct,AND(LedAcct=acctTax,M2571+N2571&lt;&gt;0))),E2571*10000+B2571,""),"")</f>
        <v/>
      </c>
    </row>
    <row r="2572">
      <c r="B2572" s="101" t="n">
        <v>2566</v>
      </c>
      <c r="C2572" s="58" t="inlineStr">
        <is>
          <t>Bill</t>
        </is>
      </c>
      <c r="D2572" s="58">
        <f>IF(H2572=1,INDEX(ap_No,66)&amp;"","")</f>
        <v/>
      </c>
      <c r="E2572" s="94">
        <f>IF(H2572=1,INDEX(ap_Date,66),"")</f>
        <v/>
      </c>
      <c r="F2572" s="58">
        <f>IF(H2572=1,INDEX(ap_Desc,66)&amp;"","")</f>
        <v/>
      </c>
      <c r="G2572" s="58">
        <f>IF(H2572=1,INDEX(ap_Party,66)&amp;"","")</f>
        <v/>
      </c>
      <c r="H2572" s="101">
        <f>IFERROR(N(INDEX(ap_Posted,66)),0)</f>
        <v/>
      </c>
      <c r="I2572" s="58">
        <f>IF(H2572=1,INDEX(ap_DrAcct,66)&amp;"","")</f>
        <v/>
      </c>
      <c r="J2572" s="95">
        <f>IF(H2572=1,INDEX(ap_DrAmt,66),0)</f>
        <v/>
      </c>
      <c r="K2572" s="58">
        <f>IF(H2572=1,INDEX(ap_CrAcct,66)&amp;"","")</f>
        <v/>
      </c>
      <c r="L2572" s="95">
        <f>IF(H2572=1,INDEX(ap_CrAmt,66),0)</f>
        <v/>
      </c>
      <c r="M2572" s="95">
        <f>IF(H2572=1,INDEX(ap_TaxAmt,66),0)</f>
        <v/>
      </c>
      <c r="N2572" s="95" t="n">
        <v>0</v>
      </c>
      <c r="O2572" s="101">
        <f>IF(H2572=1,IF(E2572&lt;FYStart,0,IF(E2572&gt;FYEnd,13,YEAR(E2572)*12+MONTH(E2572)-FYYM+1)),"")</f>
        <v/>
      </c>
      <c r="P2572" s="101">
        <f>IF(H2572=1,IF(IFERROR(INDEX(coa_CF,MATCH(I2572,coa_Name,0)),"")="Cash",1,0),0)</f>
        <v/>
      </c>
      <c r="Q2572" s="101">
        <f>IF(H2572=1,IF(IFERROR(INDEX(coa_CF,MATCH(K2572,coa_Name,0)),"")="Cash",1,0),0)</f>
        <v/>
      </c>
      <c r="R2572" s="58">
        <f>IF((P2572-Q2572)=0,"",IFERROR(INDEX(coa_CF,MATCH(IF((P2572-Q2572)=1,K2572,I2572),coa_Name,0)),"Operating"))</f>
        <v/>
      </c>
      <c r="S2572" s="95">
        <f>IF((P2572-Q2572)=1,L2572,IF((P2572-Q2572)=-1,-J2572,0))</f>
        <v/>
      </c>
      <c r="T2572" s="95">
        <f>IF((P2572-Q2572)=1,N2572,IF((P2572-Q2572)=-1,-M2572,0))</f>
        <v/>
      </c>
      <c r="U2572" s="101">
        <f>IF(AND(H2572=1,LedAcct&lt;&gt;""),IF(AND(E2572&gt;=LedFrom,E2572&lt;=LedTo,OR(I2572=LedAcct,K2572=LedAcct,AND(LedAcct=acctTax,M2572+N2572&lt;&gt;0))),E2572*10000+B2572,""),"")</f>
        <v/>
      </c>
    </row>
    <row r="2573">
      <c r="B2573" s="101" t="n">
        <v>2567</v>
      </c>
      <c r="C2573" s="58" t="inlineStr">
        <is>
          <t>Bill</t>
        </is>
      </c>
      <c r="D2573" s="58">
        <f>IF(H2573=1,INDEX(ap_No,67)&amp;"","")</f>
        <v/>
      </c>
      <c r="E2573" s="94">
        <f>IF(H2573=1,INDEX(ap_Date,67),"")</f>
        <v/>
      </c>
      <c r="F2573" s="58">
        <f>IF(H2573=1,INDEX(ap_Desc,67)&amp;"","")</f>
        <v/>
      </c>
      <c r="G2573" s="58">
        <f>IF(H2573=1,INDEX(ap_Party,67)&amp;"","")</f>
        <v/>
      </c>
      <c r="H2573" s="101">
        <f>IFERROR(N(INDEX(ap_Posted,67)),0)</f>
        <v/>
      </c>
      <c r="I2573" s="58">
        <f>IF(H2573=1,INDEX(ap_DrAcct,67)&amp;"","")</f>
        <v/>
      </c>
      <c r="J2573" s="95">
        <f>IF(H2573=1,INDEX(ap_DrAmt,67),0)</f>
        <v/>
      </c>
      <c r="K2573" s="58">
        <f>IF(H2573=1,INDEX(ap_CrAcct,67)&amp;"","")</f>
        <v/>
      </c>
      <c r="L2573" s="95">
        <f>IF(H2573=1,INDEX(ap_CrAmt,67),0)</f>
        <v/>
      </c>
      <c r="M2573" s="95">
        <f>IF(H2573=1,INDEX(ap_TaxAmt,67),0)</f>
        <v/>
      </c>
      <c r="N2573" s="95" t="n">
        <v>0</v>
      </c>
      <c r="O2573" s="101">
        <f>IF(H2573=1,IF(E2573&lt;FYStart,0,IF(E2573&gt;FYEnd,13,YEAR(E2573)*12+MONTH(E2573)-FYYM+1)),"")</f>
        <v/>
      </c>
      <c r="P2573" s="101">
        <f>IF(H2573=1,IF(IFERROR(INDEX(coa_CF,MATCH(I2573,coa_Name,0)),"")="Cash",1,0),0)</f>
        <v/>
      </c>
      <c r="Q2573" s="101">
        <f>IF(H2573=1,IF(IFERROR(INDEX(coa_CF,MATCH(K2573,coa_Name,0)),"")="Cash",1,0),0)</f>
        <v/>
      </c>
      <c r="R2573" s="58">
        <f>IF((P2573-Q2573)=0,"",IFERROR(INDEX(coa_CF,MATCH(IF((P2573-Q2573)=1,K2573,I2573),coa_Name,0)),"Operating"))</f>
        <v/>
      </c>
      <c r="S2573" s="95">
        <f>IF((P2573-Q2573)=1,L2573,IF((P2573-Q2573)=-1,-J2573,0))</f>
        <v/>
      </c>
      <c r="T2573" s="95">
        <f>IF((P2573-Q2573)=1,N2573,IF((P2573-Q2573)=-1,-M2573,0))</f>
        <v/>
      </c>
      <c r="U2573" s="101">
        <f>IF(AND(H2573=1,LedAcct&lt;&gt;""),IF(AND(E2573&gt;=LedFrom,E2573&lt;=LedTo,OR(I2573=LedAcct,K2573=LedAcct,AND(LedAcct=acctTax,M2573+N2573&lt;&gt;0))),E2573*10000+B2573,""),"")</f>
        <v/>
      </c>
    </row>
    <row r="2574">
      <c r="B2574" s="101" t="n">
        <v>2568</v>
      </c>
      <c r="C2574" s="58" t="inlineStr">
        <is>
          <t>Bill</t>
        </is>
      </c>
      <c r="D2574" s="58">
        <f>IF(H2574=1,INDEX(ap_No,68)&amp;"","")</f>
        <v/>
      </c>
      <c r="E2574" s="94">
        <f>IF(H2574=1,INDEX(ap_Date,68),"")</f>
        <v/>
      </c>
      <c r="F2574" s="58">
        <f>IF(H2574=1,INDEX(ap_Desc,68)&amp;"","")</f>
        <v/>
      </c>
      <c r="G2574" s="58">
        <f>IF(H2574=1,INDEX(ap_Party,68)&amp;"","")</f>
        <v/>
      </c>
      <c r="H2574" s="101">
        <f>IFERROR(N(INDEX(ap_Posted,68)),0)</f>
        <v/>
      </c>
      <c r="I2574" s="58">
        <f>IF(H2574=1,INDEX(ap_DrAcct,68)&amp;"","")</f>
        <v/>
      </c>
      <c r="J2574" s="95">
        <f>IF(H2574=1,INDEX(ap_DrAmt,68),0)</f>
        <v/>
      </c>
      <c r="K2574" s="58">
        <f>IF(H2574=1,INDEX(ap_CrAcct,68)&amp;"","")</f>
        <v/>
      </c>
      <c r="L2574" s="95">
        <f>IF(H2574=1,INDEX(ap_CrAmt,68),0)</f>
        <v/>
      </c>
      <c r="M2574" s="95">
        <f>IF(H2574=1,INDEX(ap_TaxAmt,68),0)</f>
        <v/>
      </c>
      <c r="N2574" s="95" t="n">
        <v>0</v>
      </c>
      <c r="O2574" s="101">
        <f>IF(H2574=1,IF(E2574&lt;FYStart,0,IF(E2574&gt;FYEnd,13,YEAR(E2574)*12+MONTH(E2574)-FYYM+1)),"")</f>
        <v/>
      </c>
      <c r="P2574" s="101">
        <f>IF(H2574=1,IF(IFERROR(INDEX(coa_CF,MATCH(I2574,coa_Name,0)),"")="Cash",1,0),0)</f>
        <v/>
      </c>
      <c r="Q2574" s="101">
        <f>IF(H2574=1,IF(IFERROR(INDEX(coa_CF,MATCH(K2574,coa_Name,0)),"")="Cash",1,0),0)</f>
        <v/>
      </c>
      <c r="R2574" s="58">
        <f>IF((P2574-Q2574)=0,"",IFERROR(INDEX(coa_CF,MATCH(IF((P2574-Q2574)=1,K2574,I2574),coa_Name,0)),"Operating"))</f>
        <v/>
      </c>
      <c r="S2574" s="95">
        <f>IF((P2574-Q2574)=1,L2574,IF((P2574-Q2574)=-1,-J2574,0))</f>
        <v/>
      </c>
      <c r="T2574" s="95">
        <f>IF((P2574-Q2574)=1,N2574,IF((P2574-Q2574)=-1,-M2574,0))</f>
        <v/>
      </c>
      <c r="U2574" s="101">
        <f>IF(AND(H2574=1,LedAcct&lt;&gt;""),IF(AND(E2574&gt;=LedFrom,E2574&lt;=LedTo,OR(I2574=LedAcct,K2574=LedAcct,AND(LedAcct=acctTax,M2574+N2574&lt;&gt;0))),E2574*10000+B2574,""),"")</f>
        <v/>
      </c>
    </row>
    <row r="2575">
      <c r="B2575" s="101" t="n">
        <v>2569</v>
      </c>
      <c r="C2575" s="58" t="inlineStr">
        <is>
          <t>Bill</t>
        </is>
      </c>
      <c r="D2575" s="58">
        <f>IF(H2575=1,INDEX(ap_No,69)&amp;"","")</f>
        <v/>
      </c>
      <c r="E2575" s="94">
        <f>IF(H2575=1,INDEX(ap_Date,69),"")</f>
        <v/>
      </c>
      <c r="F2575" s="58">
        <f>IF(H2575=1,INDEX(ap_Desc,69)&amp;"","")</f>
        <v/>
      </c>
      <c r="G2575" s="58">
        <f>IF(H2575=1,INDEX(ap_Party,69)&amp;"","")</f>
        <v/>
      </c>
      <c r="H2575" s="101">
        <f>IFERROR(N(INDEX(ap_Posted,69)),0)</f>
        <v/>
      </c>
      <c r="I2575" s="58">
        <f>IF(H2575=1,INDEX(ap_DrAcct,69)&amp;"","")</f>
        <v/>
      </c>
      <c r="J2575" s="95">
        <f>IF(H2575=1,INDEX(ap_DrAmt,69),0)</f>
        <v/>
      </c>
      <c r="K2575" s="58">
        <f>IF(H2575=1,INDEX(ap_CrAcct,69)&amp;"","")</f>
        <v/>
      </c>
      <c r="L2575" s="95">
        <f>IF(H2575=1,INDEX(ap_CrAmt,69),0)</f>
        <v/>
      </c>
      <c r="M2575" s="95">
        <f>IF(H2575=1,INDEX(ap_TaxAmt,69),0)</f>
        <v/>
      </c>
      <c r="N2575" s="95" t="n">
        <v>0</v>
      </c>
      <c r="O2575" s="101">
        <f>IF(H2575=1,IF(E2575&lt;FYStart,0,IF(E2575&gt;FYEnd,13,YEAR(E2575)*12+MONTH(E2575)-FYYM+1)),"")</f>
        <v/>
      </c>
      <c r="P2575" s="101">
        <f>IF(H2575=1,IF(IFERROR(INDEX(coa_CF,MATCH(I2575,coa_Name,0)),"")="Cash",1,0),0)</f>
        <v/>
      </c>
      <c r="Q2575" s="101">
        <f>IF(H2575=1,IF(IFERROR(INDEX(coa_CF,MATCH(K2575,coa_Name,0)),"")="Cash",1,0),0)</f>
        <v/>
      </c>
      <c r="R2575" s="58">
        <f>IF((P2575-Q2575)=0,"",IFERROR(INDEX(coa_CF,MATCH(IF((P2575-Q2575)=1,K2575,I2575),coa_Name,0)),"Operating"))</f>
        <v/>
      </c>
      <c r="S2575" s="95">
        <f>IF((P2575-Q2575)=1,L2575,IF((P2575-Q2575)=-1,-J2575,0))</f>
        <v/>
      </c>
      <c r="T2575" s="95">
        <f>IF((P2575-Q2575)=1,N2575,IF((P2575-Q2575)=-1,-M2575,0))</f>
        <v/>
      </c>
      <c r="U2575" s="101">
        <f>IF(AND(H2575=1,LedAcct&lt;&gt;""),IF(AND(E2575&gt;=LedFrom,E2575&lt;=LedTo,OR(I2575=LedAcct,K2575=LedAcct,AND(LedAcct=acctTax,M2575+N2575&lt;&gt;0))),E2575*10000+B2575,""),"")</f>
        <v/>
      </c>
    </row>
    <row r="2576">
      <c r="B2576" s="101" t="n">
        <v>2570</v>
      </c>
      <c r="C2576" s="58" t="inlineStr">
        <is>
          <t>Bill</t>
        </is>
      </c>
      <c r="D2576" s="58">
        <f>IF(H2576=1,INDEX(ap_No,70)&amp;"","")</f>
        <v/>
      </c>
      <c r="E2576" s="94">
        <f>IF(H2576=1,INDEX(ap_Date,70),"")</f>
        <v/>
      </c>
      <c r="F2576" s="58">
        <f>IF(H2576=1,INDEX(ap_Desc,70)&amp;"","")</f>
        <v/>
      </c>
      <c r="G2576" s="58">
        <f>IF(H2576=1,INDEX(ap_Party,70)&amp;"","")</f>
        <v/>
      </c>
      <c r="H2576" s="101">
        <f>IFERROR(N(INDEX(ap_Posted,70)),0)</f>
        <v/>
      </c>
      <c r="I2576" s="58">
        <f>IF(H2576=1,INDEX(ap_DrAcct,70)&amp;"","")</f>
        <v/>
      </c>
      <c r="J2576" s="95">
        <f>IF(H2576=1,INDEX(ap_DrAmt,70),0)</f>
        <v/>
      </c>
      <c r="K2576" s="58">
        <f>IF(H2576=1,INDEX(ap_CrAcct,70)&amp;"","")</f>
        <v/>
      </c>
      <c r="L2576" s="95">
        <f>IF(H2576=1,INDEX(ap_CrAmt,70),0)</f>
        <v/>
      </c>
      <c r="M2576" s="95">
        <f>IF(H2576=1,INDEX(ap_TaxAmt,70),0)</f>
        <v/>
      </c>
      <c r="N2576" s="95" t="n">
        <v>0</v>
      </c>
      <c r="O2576" s="101">
        <f>IF(H2576=1,IF(E2576&lt;FYStart,0,IF(E2576&gt;FYEnd,13,YEAR(E2576)*12+MONTH(E2576)-FYYM+1)),"")</f>
        <v/>
      </c>
      <c r="P2576" s="101">
        <f>IF(H2576=1,IF(IFERROR(INDEX(coa_CF,MATCH(I2576,coa_Name,0)),"")="Cash",1,0),0)</f>
        <v/>
      </c>
      <c r="Q2576" s="101">
        <f>IF(H2576=1,IF(IFERROR(INDEX(coa_CF,MATCH(K2576,coa_Name,0)),"")="Cash",1,0),0)</f>
        <v/>
      </c>
      <c r="R2576" s="58">
        <f>IF((P2576-Q2576)=0,"",IFERROR(INDEX(coa_CF,MATCH(IF((P2576-Q2576)=1,K2576,I2576),coa_Name,0)),"Operating"))</f>
        <v/>
      </c>
      <c r="S2576" s="95">
        <f>IF((P2576-Q2576)=1,L2576,IF((P2576-Q2576)=-1,-J2576,0))</f>
        <v/>
      </c>
      <c r="T2576" s="95">
        <f>IF((P2576-Q2576)=1,N2576,IF((P2576-Q2576)=-1,-M2576,0))</f>
        <v/>
      </c>
      <c r="U2576" s="101">
        <f>IF(AND(H2576=1,LedAcct&lt;&gt;""),IF(AND(E2576&gt;=LedFrom,E2576&lt;=LedTo,OR(I2576=LedAcct,K2576=LedAcct,AND(LedAcct=acctTax,M2576+N2576&lt;&gt;0))),E2576*10000+B2576,""),"")</f>
        <v/>
      </c>
    </row>
    <row r="2577">
      <c r="B2577" s="101" t="n">
        <v>2571</v>
      </c>
      <c r="C2577" s="58" t="inlineStr">
        <is>
          <t>Bill</t>
        </is>
      </c>
      <c r="D2577" s="58">
        <f>IF(H2577=1,INDEX(ap_No,71)&amp;"","")</f>
        <v/>
      </c>
      <c r="E2577" s="94">
        <f>IF(H2577=1,INDEX(ap_Date,71),"")</f>
        <v/>
      </c>
      <c r="F2577" s="58">
        <f>IF(H2577=1,INDEX(ap_Desc,71)&amp;"","")</f>
        <v/>
      </c>
      <c r="G2577" s="58">
        <f>IF(H2577=1,INDEX(ap_Party,71)&amp;"","")</f>
        <v/>
      </c>
      <c r="H2577" s="101">
        <f>IFERROR(N(INDEX(ap_Posted,71)),0)</f>
        <v/>
      </c>
      <c r="I2577" s="58">
        <f>IF(H2577=1,INDEX(ap_DrAcct,71)&amp;"","")</f>
        <v/>
      </c>
      <c r="J2577" s="95">
        <f>IF(H2577=1,INDEX(ap_DrAmt,71),0)</f>
        <v/>
      </c>
      <c r="K2577" s="58">
        <f>IF(H2577=1,INDEX(ap_CrAcct,71)&amp;"","")</f>
        <v/>
      </c>
      <c r="L2577" s="95">
        <f>IF(H2577=1,INDEX(ap_CrAmt,71),0)</f>
        <v/>
      </c>
      <c r="M2577" s="95">
        <f>IF(H2577=1,INDEX(ap_TaxAmt,71),0)</f>
        <v/>
      </c>
      <c r="N2577" s="95" t="n">
        <v>0</v>
      </c>
      <c r="O2577" s="101">
        <f>IF(H2577=1,IF(E2577&lt;FYStart,0,IF(E2577&gt;FYEnd,13,YEAR(E2577)*12+MONTH(E2577)-FYYM+1)),"")</f>
        <v/>
      </c>
      <c r="P2577" s="101">
        <f>IF(H2577=1,IF(IFERROR(INDEX(coa_CF,MATCH(I2577,coa_Name,0)),"")="Cash",1,0),0)</f>
        <v/>
      </c>
      <c r="Q2577" s="101">
        <f>IF(H2577=1,IF(IFERROR(INDEX(coa_CF,MATCH(K2577,coa_Name,0)),"")="Cash",1,0),0)</f>
        <v/>
      </c>
      <c r="R2577" s="58">
        <f>IF((P2577-Q2577)=0,"",IFERROR(INDEX(coa_CF,MATCH(IF((P2577-Q2577)=1,K2577,I2577),coa_Name,0)),"Operating"))</f>
        <v/>
      </c>
      <c r="S2577" s="95">
        <f>IF((P2577-Q2577)=1,L2577,IF((P2577-Q2577)=-1,-J2577,0))</f>
        <v/>
      </c>
      <c r="T2577" s="95">
        <f>IF((P2577-Q2577)=1,N2577,IF((P2577-Q2577)=-1,-M2577,0))</f>
        <v/>
      </c>
      <c r="U2577" s="101">
        <f>IF(AND(H2577=1,LedAcct&lt;&gt;""),IF(AND(E2577&gt;=LedFrom,E2577&lt;=LedTo,OR(I2577=LedAcct,K2577=LedAcct,AND(LedAcct=acctTax,M2577+N2577&lt;&gt;0))),E2577*10000+B2577,""),"")</f>
        <v/>
      </c>
    </row>
    <row r="2578">
      <c r="B2578" s="101" t="n">
        <v>2572</v>
      </c>
      <c r="C2578" s="58" t="inlineStr">
        <is>
          <t>Bill</t>
        </is>
      </c>
      <c r="D2578" s="58">
        <f>IF(H2578=1,INDEX(ap_No,72)&amp;"","")</f>
        <v/>
      </c>
      <c r="E2578" s="94">
        <f>IF(H2578=1,INDEX(ap_Date,72),"")</f>
        <v/>
      </c>
      <c r="F2578" s="58">
        <f>IF(H2578=1,INDEX(ap_Desc,72)&amp;"","")</f>
        <v/>
      </c>
      <c r="G2578" s="58">
        <f>IF(H2578=1,INDEX(ap_Party,72)&amp;"","")</f>
        <v/>
      </c>
      <c r="H2578" s="101">
        <f>IFERROR(N(INDEX(ap_Posted,72)),0)</f>
        <v/>
      </c>
      <c r="I2578" s="58">
        <f>IF(H2578=1,INDEX(ap_DrAcct,72)&amp;"","")</f>
        <v/>
      </c>
      <c r="J2578" s="95">
        <f>IF(H2578=1,INDEX(ap_DrAmt,72),0)</f>
        <v/>
      </c>
      <c r="K2578" s="58">
        <f>IF(H2578=1,INDEX(ap_CrAcct,72)&amp;"","")</f>
        <v/>
      </c>
      <c r="L2578" s="95">
        <f>IF(H2578=1,INDEX(ap_CrAmt,72),0)</f>
        <v/>
      </c>
      <c r="M2578" s="95">
        <f>IF(H2578=1,INDEX(ap_TaxAmt,72),0)</f>
        <v/>
      </c>
      <c r="N2578" s="95" t="n">
        <v>0</v>
      </c>
      <c r="O2578" s="101">
        <f>IF(H2578=1,IF(E2578&lt;FYStart,0,IF(E2578&gt;FYEnd,13,YEAR(E2578)*12+MONTH(E2578)-FYYM+1)),"")</f>
        <v/>
      </c>
      <c r="P2578" s="101">
        <f>IF(H2578=1,IF(IFERROR(INDEX(coa_CF,MATCH(I2578,coa_Name,0)),"")="Cash",1,0),0)</f>
        <v/>
      </c>
      <c r="Q2578" s="101">
        <f>IF(H2578=1,IF(IFERROR(INDEX(coa_CF,MATCH(K2578,coa_Name,0)),"")="Cash",1,0),0)</f>
        <v/>
      </c>
      <c r="R2578" s="58">
        <f>IF((P2578-Q2578)=0,"",IFERROR(INDEX(coa_CF,MATCH(IF((P2578-Q2578)=1,K2578,I2578),coa_Name,0)),"Operating"))</f>
        <v/>
      </c>
      <c r="S2578" s="95">
        <f>IF((P2578-Q2578)=1,L2578,IF((P2578-Q2578)=-1,-J2578,0))</f>
        <v/>
      </c>
      <c r="T2578" s="95">
        <f>IF((P2578-Q2578)=1,N2578,IF((P2578-Q2578)=-1,-M2578,0))</f>
        <v/>
      </c>
      <c r="U2578" s="101">
        <f>IF(AND(H2578=1,LedAcct&lt;&gt;""),IF(AND(E2578&gt;=LedFrom,E2578&lt;=LedTo,OR(I2578=LedAcct,K2578=LedAcct,AND(LedAcct=acctTax,M2578+N2578&lt;&gt;0))),E2578*10000+B2578,""),"")</f>
        <v/>
      </c>
    </row>
    <row r="2579">
      <c r="B2579" s="101" t="n">
        <v>2573</v>
      </c>
      <c r="C2579" s="58" t="inlineStr">
        <is>
          <t>Bill</t>
        </is>
      </c>
      <c r="D2579" s="58">
        <f>IF(H2579=1,INDEX(ap_No,73)&amp;"","")</f>
        <v/>
      </c>
      <c r="E2579" s="94">
        <f>IF(H2579=1,INDEX(ap_Date,73),"")</f>
        <v/>
      </c>
      <c r="F2579" s="58">
        <f>IF(H2579=1,INDEX(ap_Desc,73)&amp;"","")</f>
        <v/>
      </c>
      <c r="G2579" s="58">
        <f>IF(H2579=1,INDEX(ap_Party,73)&amp;"","")</f>
        <v/>
      </c>
      <c r="H2579" s="101">
        <f>IFERROR(N(INDEX(ap_Posted,73)),0)</f>
        <v/>
      </c>
      <c r="I2579" s="58">
        <f>IF(H2579=1,INDEX(ap_DrAcct,73)&amp;"","")</f>
        <v/>
      </c>
      <c r="J2579" s="95">
        <f>IF(H2579=1,INDEX(ap_DrAmt,73),0)</f>
        <v/>
      </c>
      <c r="K2579" s="58">
        <f>IF(H2579=1,INDEX(ap_CrAcct,73)&amp;"","")</f>
        <v/>
      </c>
      <c r="L2579" s="95">
        <f>IF(H2579=1,INDEX(ap_CrAmt,73),0)</f>
        <v/>
      </c>
      <c r="M2579" s="95">
        <f>IF(H2579=1,INDEX(ap_TaxAmt,73),0)</f>
        <v/>
      </c>
      <c r="N2579" s="95" t="n">
        <v>0</v>
      </c>
      <c r="O2579" s="101">
        <f>IF(H2579=1,IF(E2579&lt;FYStart,0,IF(E2579&gt;FYEnd,13,YEAR(E2579)*12+MONTH(E2579)-FYYM+1)),"")</f>
        <v/>
      </c>
      <c r="P2579" s="101">
        <f>IF(H2579=1,IF(IFERROR(INDEX(coa_CF,MATCH(I2579,coa_Name,0)),"")="Cash",1,0),0)</f>
        <v/>
      </c>
      <c r="Q2579" s="101">
        <f>IF(H2579=1,IF(IFERROR(INDEX(coa_CF,MATCH(K2579,coa_Name,0)),"")="Cash",1,0),0)</f>
        <v/>
      </c>
      <c r="R2579" s="58">
        <f>IF((P2579-Q2579)=0,"",IFERROR(INDEX(coa_CF,MATCH(IF((P2579-Q2579)=1,K2579,I2579),coa_Name,0)),"Operating"))</f>
        <v/>
      </c>
      <c r="S2579" s="95">
        <f>IF((P2579-Q2579)=1,L2579,IF((P2579-Q2579)=-1,-J2579,0))</f>
        <v/>
      </c>
      <c r="T2579" s="95">
        <f>IF((P2579-Q2579)=1,N2579,IF((P2579-Q2579)=-1,-M2579,0))</f>
        <v/>
      </c>
      <c r="U2579" s="101">
        <f>IF(AND(H2579=1,LedAcct&lt;&gt;""),IF(AND(E2579&gt;=LedFrom,E2579&lt;=LedTo,OR(I2579=LedAcct,K2579=LedAcct,AND(LedAcct=acctTax,M2579+N2579&lt;&gt;0))),E2579*10000+B2579,""),"")</f>
        <v/>
      </c>
    </row>
    <row r="2580">
      <c r="B2580" s="101" t="n">
        <v>2574</v>
      </c>
      <c r="C2580" s="58" t="inlineStr">
        <is>
          <t>Bill</t>
        </is>
      </c>
      <c r="D2580" s="58">
        <f>IF(H2580=1,INDEX(ap_No,74)&amp;"","")</f>
        <v/>
      </c>
      <c r="E2580" s="94">
        <f>IF(H2580=1,INDEX(ap_Date,74),"")</f>
        <v/>
      </c>
      <c r="F2580" s="58">
        <f>IF(H2580=1,INDEX(ap_Desc,74)&amp;"","")</f>
        <v/>
      </c>
      <c r="G2580" s="58">
        <f>IF(H2580=1,INDEX(ap_Party,74)&amp;"","")</f>
        <v/>
      </c>
      <c r="H2580" s="101">
        <f>IFERROR(N(INDEX(ap_Posted,74)),0)</f>
        <v/>
      </c>
      <c r="I2580" s="58">
        <f>IF(H2580=1,INDEX(ap_DrAcct,74)&amp;"","")</f>
        <v/>
      </c>
      <c r="J2580" s="95">
        <f>IF(H2580=1,INDEX(ap_DrAmt,74),0)</f>
        <v/>
      </c>
      <c r="K2580" s="58">
        <f>IF(H2580=1,INDEX(ap_CrAcct,74)&amp;"","")</f>
        <v/>
      </c>
      <c r="L2580" s="95">
        <f>IF(H2580=1,INDEX(ap_CrAmt,74),0)</f>
        <v/>
      </c>
      <c r="M2580" s="95">
        <f>IF(H2580=1,INDEX(ap_TaxAmt,74),0)</f>
        <v/>
      </c>
      <c r="N2580" s="95" t="n">
        <v>0</v>
      </c>
      <c r="O2580" s="101">
        <f>IF(H2580=1,IF(E2580&lt;FYStart,0,IF(E2580&gt;FYEnd,13,YEAR(E2580)*12+MONTH(E2580)-FYYM+1)),"")</f>
        <v/>
      </c>
      <c r="P2580" s="101">
        <f>IF(H2580=1,IF(IFERROR(INDEX(coa_CF,MATCH(I2580,coa_Name,0)),"")="Cash",1,0),0)</f>
        <v/>
      </c>
      <c r="Q2580" s="101">
        <f>IF(H2580=1,IF(IFERROR(INDEX(coa_CF,MATCH(K2580,coa_Name,0)),"")="Cash",1,0),0)</f>
        <v/>
      </c>
      <c r="R2580" s="58">
        <f>IF((P2580-Q2580)=0,"",IFERROR(INDEX(coa_CF,MATCH(IF((P2580-Q2580)=1,K2580,I2580),coa_Name,0)),"Operating"))</f>
        <v/>
      </c>
      <c r="S2580" s="95">
        <f>IF((P2580-Q2580)=1,L2580,IF((P2580-Q2580)=-1,-J2580,0))</f>
        <v/>
      </c>
      <c r="T2580" s="95">
        <f>IF((P2580-Q2580)=1,N2580,IF((P2580-Q2580)=-1,-M2580,0))</f>
        <v/>
      </c>
      <c r="U2580" s="101">
        <f>IF(AND(H2580=1,LedAcct&lt;&gt;""),IF(AND(E2580&gt;=LedFrom,E2580&lt;=LedTo,OR(I2580=LedAcct,K2580=LedAcct,AND(LedAcct=acctTax,M2580+N2580&lt;&gt;0))),E2580*10000+B2580,""),"")</f>
        <v/>
      </c>
    </row>
    <row r="2581">
      <c r="B2581" s="101" t="n">
        <v>2575</v>
      </c>
      <c r="C2581" s="58" t="inlineStr">
        <is>
          <t>Bill</t>
        </is>
      </c>
      <c r="D2581" s="58">
        <f>IF(H2581=1,INDEX(ap_No,75)&amp;"","")</f>
        <v/>
      </c>
      <c r="E2581" s="94">
        <f>IF(H2581=1,INDEX(ap_Date,75),"")</f>
        <v/>
      </c>
      <c r="F2581" s="58">
        <f>IF(H2581=1,INDEX(ap_Desc,75)&amp;"","")</f>
        <v/>
      </c>
      <c r="G2581" s="58">
        <f>IF(H2581=1,INDEX(ap_Party,75)&amp;"","")</f>
        <v/>
      </c>
      <c r="H2581" s="101">
        <f>IFERROR(N(INDEX(ap_Posted,75)),0)</f>
        <v/>
      </c>
      <c r="I2581" s="58">
        <f>IF(H2581=1,INDEX(ap_DrAcct,75)&amp;"","")</f>
        <v/>
      </c>
      <c r="J2581" s="95">
        <f>IF(H2581=1,INDEX(ap_DrAmt,75),0)</f>
        <v/>
      </c>
      <c r="K2581" s="58">
        <f>IF(H2581=1,INDEX(ap_CrAcct,75)&amp;"","")</f>
        <v/>
      </c>
      <c r="L2581" s="95">
        <f>IF(H2581=1,INDEX(ap_CrAmt,75),0)</f>
        <v/>
      </c>
      <c r="M2581" s="95">
        <f>IF(H2581=1,INDEX(ap_TaxAmt,75),0)</f>
        <v/>
      </c>
      <c r="N2581" s="95" t="n">
        <v>0</v>
      </c>
      <c r="O2581" s="101">
        <f>IF(H2581=1,IF(E2581&lt;FYStart,0,IF(E2581&gt;FYEnd,13,YEAR(E2581)*12+MONTH(E2581)-FYYM+1)),"")</f>
        <v/>
      </c>
      <c r="P2581" s="101">
        <f>IF(H2581=1,IF(IFERROR(INDEX(coa_CF,MATCH(I2581,coa_Name,0)),"")="Cash",1,0),0)</f>
        <v/>
      </c>
      <c r="Q2581" s="101">
        <f>IF(H2581=1,IF(IFERROR(INDEX(coa_CF,MATCH(K2581,coa_Name,0)),"")="Cash",1,0),0)</f>
        <v/>
      </c>
      <c r="R2581" s="58">
        <f>IF((P2581-Q2581)=0,"",IFERROR(INDEX(coa_CF,MATCH(IF((P2581-Q2581)=1,K2581,I2581),coa_Name,0)),"Operating"))</f>
        <v/>
      </c>
      <c r="S2581" s="95">
        <f>IF((P2581-Q2581)=1,L2581,IF((P2581-Q2581)=-1,-J2581,0))</f>
        <v/>
      </c>
      <c r="T2581" s="95">
        <f>IF((P2581-Q2581)=1,N2581,IF((P2581-Q2581)=-1,-M2581,0))</f>
        <v/>
      </c>
      <c r="U2581" s="101">
        <f>IF(AND(H2581=1,LedAcct&lt;&gt;""),IF(AND(E2581&gt;=LedFrom,E2581&lt;=LedTo,OR(I2581=LedAcct,K2581=LedAcct,AND(LedAcct=acctTax,M2581+N2581&lt;&gt;0))),E2581*10000+B2581,""),"")</f>
        <v/>
      </c>
    </row>
    <row r="2582">
      <c r="B2582" s="101" t="n">
        <v>2576</v>
      </c>
      <c r="C2582" s="58" t="inlineStr">
        <is>
          <t>Bill</t>
        </is>
      </c>
      <c r="D2582" s="58">
        <f>IF(H2582=1,INDEX(ap_No,76)&amp;"","")</f>
        <v/>
      </c>
      <c r="E2582" s="94">
        <f>IF(H2582=1,INDEX(ap_Date,76),"")</f>
        <v/>
      </c>
      <c r="F2582" s="58">
        <f>IF(H2582=1,INDEX(ap_Desc,76)&amp;"","")</f>
        <v/>
      </c>
      <c r="G2582" s="58">
        <f>IF(H2582=1,INDEX(ap_Party,76)&amp;"","")</f>
        <v/>
      </c>
      <c r="H2582" s="101">
        <f>IFERROR(N(INDEX(ap_Posted,76)),0)</f>
        <v/>
      </c>
      <c r="I2582" s="58">
        <f>IF(H2582=1,INDEX(ap_DrAcct,76)&amp;"","")</f>
        <v/>
      </c>
      <c r="J2582" s="95">
        <f>IF(H2582=1,INDEX(ap_DrAmt,76),0)</f>
        <v/>
      </c>
      <c r="K2582" s="58">
        <f>IF(H2582=1,INDEX(ap_CrAcct,76)&amp;"","")</f>
        <v/>
      </c>
      <c r="L2582" s="95">
        <f>IF(H2582=1,INDEX(ap_CrAmt,76),0)</f>
        <v/>
      </c>
      <c r="M2582" s="95">
        <f>IF(H2582=1,INDEX(ap_TaxAmt,76),0)</f>
        <v/>
      </c>
      <c r="N2582" s="95" t="n">
        <v>0</v>
      </c>
      <c r="O2582" s="101">
        <f>IF(H2582=1,IF(E2582&lt;FYStart,0,IF(E2582&gt;FYEnd,13,YEAR(E2582)*12+MONTH(E2582)-FYYM+1)),"")</f>
        <v/>
      </c>
      <c r="P2582" s="101">
        <f>IF(H2582=1,IF(IFERROR(INDEX(coa_CF,MATCH(I2582,coa_Name,0)),"")="Cash",1,0),0)</f>
        <v/>
      </c>
      <c r="Q2582" s="101">
        <f>IF(H2582=1,IF(IFERROR(INDEX(coa_CF,MATCH(K2582,coa_Name,0)),"")="Cash",1,0),0)</f>
        <v/>
      </c>
      <c r="R2582" s="58">
        <f>IF((P2582-Q2582)=0,"",IFERROR(INDEX(coa_CF,MATCH(IF((P2582-Q2582)=1,K2582,I2582),coa_Name,0)),"Operating"))</f>
        <v/>
      </c>
      <c r="S2582" s="95">
        <f>IF((P2582-Q2582)=1,L2582,IF((P2582-Q2582)=-1,-J2582,0))</f>
        <v/>
      </c>
      <c r="T2582" s="95">
        <f>IF((P2582-Q2582)=1,N2582,IF((P2582-Q2582)=-1,-M2582,0))</f>
        <v/>
      </c>
      <c r="U2582" s="101">
        <f>IF(AND(H2582=1,LedAcct&lt;&gt;""),IF(AND(E2582&gt;=LedFrom,E2582&lt;=LedTo,OR(I2582=LedAcct,K2582=LedAcct,AND(LedAcct=acctTax,M2582+N2582&lt;&gt;0))),E2582*10000+B2582,""),"")</f>
        <v/>
      </c>
    </row>
    <row r="2583">
      <c r="B2583" s="101" t="n">
        <v>2577</v>
      </c>
      <c r="C2583" s="58" t="inlineStr">
        <is>
          <t>Bill</t>
        </is>
      </c>
      <c r="D2583" s="58">
        <f>IF(H2583=1,INDEX(ap_No,77)&amp;"","")</f>
        <v/>
      </c>
      <c r="E2583" s="94">
        <f>IF(H2583=1,INDEX(ap_Date,77),"")</f>
        <v/>
      </c>
      <c r="F2583" s="58">
        <f>IF(H2583=1,INDEX(ap_Desc,77)&amp;"","")</f>
        <v/>
      </c>
      <c r="G2583" s="58">
        <f>IF(H2583=1,INDEX(ap_Party,77)&amp;"","")</f>
        <v/>
      </c>
      <c r="H2583" s="101">
        <f>IFERROR(N(INDEX(ap_Posted,77)),0)</f>
        <v/>
      </c>
      <c r="I2583" s="58">
        <f>IF(H2583=1,INDEX(ap_DrAcct,77)&amp;"","")</f>
        <v/>
      </c>
      <c r="J2583" s="95">
        <f>IF(H2583=1,INDEX(ap_DrAmt,77),0)</f>
        <v/>
      </c>
      <c r="K2583" s="58">
        <f>IF(H2583=1,INDEX(ap_CrAcct,77)&amp;"","")</f>
        <v/>
      </c>
      <c r="L2583" s="95">
        <f>IF(H2583=1,INDEX(ap_CrAmt,77),0)</f>
        <v/>
      </c>
      <c r="M2583" s="95">
        <f>IF(H2583=1,INDEX(ap_TaxAmt,77),0)</f>
        <v/>
      </c>
      <c r="N2583" s="95" t="n">
        <v>0</v>
      </c>
      <c r="O2583" s="101">
        <f>IF(H2583=1,IF(E2583&lt;FYStart,0,IF(E2583&gt;FYEnd,13,YEAR(E2583)*12+MONTH(E2583)-FYYM+1)),"")</f>
        <v/>
      </c>
      <c r="P2583" s="101">
        <f>IF(H2583=1,IF(IFERROR(INDEX(coa_CF,MATCH(I2583,coa_Name,0)),"")="Cash",1,0),0)</f>
        <v/>
      </c>
      <c r="Q2583" s="101">
        <f>IF(H2583=1,IF(IFERROR(INDEX(coa_CF,MATCH(K2583,coa_Name,0)),"")="Cash",1,0),0)</f>
        <v/>
      </c>
      <c r="R2583" s="58">
        <f>IF((P2583-Q2583)=0,"",IFERROR(INDEX(coa_CF,MATCH(IF((P2583-Q2583)=1,K2583,I2583),coa_Name,0)),"Operating"))</f>
        <v/>
      </c>
      <c r="S2583" s="95">
        <f>IF((P2583-Q2583)=1,L2583,IF((P2583-Q2583)=-1,-J2583,0))</f>
        <v/>
      </c>
      <c r="T2583" s="95">
        <f>IF((P2583-Q2583)=1,N2583,IF((P2583-Q2583)=-1,-M2583,0))</f>
        <v/>
      </c>
      <c r="U2583" s="101">
        <f>IF(AND(H2583=1,LedAcct&lt;&gt;""),IF(AND(E2583&gt;=LedFrom,E2583&lt;=LedTo,OR(I2583=LedAcct,K2583=LedAcct,AND(LedAcct=acctTax,M2583+N2583&lt;&gt;0))),E2583*10000+B2583,""),"")</f>
        <v/>
      </c>
    </row>
    <row r="2584">
      <c r="B2584" s="101" t="n">
        <v>2578</v>
      </c>
      <c r="C2584" s="58" t="inlineStr">
        <is>
          <t>Bill</t>
        </is>
      </c>
      <c r="D2584" s="58">
        <f>IF(H2584=1,INDEX(ap_No,78)&amp;"","")</f>
        <v/>
      </c>
      <c r="E2584" s="94">
        <f>IF(H2584=1,INDEX(ap_Date,78),"")</f>
        <v/>
      </c>
      <c r="F2584" s="58">
        <f>IF(H2584=1,INDEX(ap_Desc,78)&amp;"","")</f>
        <v/>
      </c>
      <c r="G2584" s="58">
        <f>IF(H2584=1,INDEX(ap_Party,78)&amp;"","")</f>
        <v/>
      </c>
      <c r="H2584" s="101">
        <f>IFERROR(N(INDEX(ap_Posted,78)),0)</f>
        <v/>
      </c>
      <c r="I2584" s="58">
        <f>IF(H2584=1,INDEX(ap_DrAcct,78)&amp;"","")</f>
        <v/>
      </c>
      <c r="J2584" s="95">
        <f>IF(H2584=1,INDEX(ap_DrAmt,78),0)</f>
        <v/>
      </c>
      <c r="K2584" s="58">
        <f>IF(H2584=1,INDEX(ap_CrAcct,78)&amp;"","")</f>
        <v/>
      </c>
      <c r="L2584" s="95">
        <f>IF(H2584=1,INDEX(ap_CrAmt,78),0)</f>
        <v/>
      </c>
      <c r="M2584" s="95">
        <f>IF(H2584=1,INDEX(ap_TaxAmt,78),0)</f>
        <v/>
      </c>
      <c r="N2584" s="95" t="n">
        <v>0</v>
      </c>
      <c r="O2584" s="101">
        <f>IF(H2584=1,IF(E2584&lt;FYStart,0,IF(E2584&gt;FYEnd,13,YEAR(E2584)*12+MONTH(E2584)-FYYM+1)),"")</f>
        <v/>
      </c>
      <c r="P2584" s="101">
        <f>IF(H2584=1,IF(IFERROR(INDEX(coa_CF,MATCH(I2584,coa_Name,0)),"")="Cash",1,0),0)</f>
        <v/>
      </c>
      <c r="Q2584" s="101">
        <f>IF(H2584=1,IF(IFERROR(INDEX(coa_CF,MATCH(K2584,coa_Name,0)),"")="Cash",1,0),0)</f>
        <v/>
      </c>
      <c r="R2584" s="58">
        <f>IF((P2584-Q2584)=0,"",IFERROR(INDEX(coa_CF,MATCH(IF((P2584-Q2584)=1,K2584,I2584),coa_Name,0)),"Operating"))</f>
        <v/>
      </c>
      <c r="S2584" s="95">
        <f>IF((P2584-Q2584)=1,L2584,IF((P2584-Q2584)=-1,-J2584,0))</f>
        <v/>
      </c>
      <c r="T2584" s="95">
        <f>IF((P2584-Q2584)=1,N2584,IF((P2584-Q2584)=-1,-M2584,0))</f>
        <v/>
      </c>
      <c r="U2584" s="101">
        <f>IF(AND(H2584=1,LedAcct&lt;&gt;""),IF(AND(E2584&gt;=LedFrom,E2584&lt;=LedTo,OR(I2584=LedAcct,K2584=LedAcct,AND(LedAcct=acctTax,M2584+N2584&lt;&gt;0))),E2584*10000+B2584,""),"")</f>
        <v/>
      </c>
    </row>
    <row r="2585">
      <c r="B2585" s="101" t="n">
        <v>2579</v>
      </c>
      <c r="C2585" s="58" t="inlineStr">
        <is>
          <t>Bill</t>
        </is>
      </c>
      <c r="D2585" s="58">
        <f>IF(H2585=1,INDEX(ap_No,79)&amp;"","")</f>
        <v/>
      </c>
      <c r="E2585" s="94">
        <f>IF(H2585=1,INDEX(ap_Date,79),"")</f>
        <v/>
      </c>
      <c r="F2585" s="58">
        <f>IF(H2585=1,INDEX(ap_Desc,79)&amp;"","")</f>
        <v/>
      </c>
      <c r="G2585" s="58">
        <f>IF(H2585=1,INDEX(ap_Party,79)&amp;"","")</f>
        <v/>
      </c>
      <c r="H2585" s="101">
        <f>IFERROR(N(INDEX(ap_Posted,79)),0)</f>
        <v/>
      </c>
      <c r="I2585" s="58">
        <f>IF(H2585=1,INDEX(ap_DrAcct,79)&amp;"","")</f>
        <v/>
      </c>
      <c r="J2585" s="95">
        <f>IF(H2585=1,INDEX(ap_DrAmt,79),0)</f>
        <v/>
      </c>
      <c r="K2585" s="58">
        <f>IF(H2585=1,INDEX(ap_CrAcct,79)&amp;"","")</f>
        <v/>
      </c>
      <c r="L2585" s="95">
        <f>IF(H2585=1,INDEX(ap_CrAmt,79),0)</f>
        <v/>
      </c>
      <c r="M2585" s="95">
        <f>IF(H2585=1,INDEX(ap_TaxAmt,79),0)</f>
        <v/>
      </c>
      <c r="N2585" s="95" t="n">
        <v>0</v>
      </c>
      <c r="O2585" s="101">
        <f>IF(H2585=1,IF(E2585&lt;FYStart,0,IF(E2585&gt;FYEnd,13,YEAR(E2585)*12+MONTH(E2585)-FYYM+1)),"")</f>
        <v/>
      </c>
      <c r="P2585" s="101">
        <f>IF(H2585=1,IF(IFERROR(INDEX(coa_CF,MATCH(I2585,coa_Name,0)),"")="Cash",1,0),0)</f>
        <v/>
      </c>
      <c r="Q2585" s="101">
        <f>IF(H2585=1,IF(IFERROR(INDEX(coa_CF,MATCH(K2585,coa_Name,0)),"")="Cash",1,0),0)</f>
        <v/>
      </c>
      <c r="R2585" s="58">
        <f>IF((P2585-Q2585)=0,"",IFERROR(INDEX(coa_CF,MATCH(IF((P2585-Q2585)=1,K2585,I2585),coa_Name,0)),"Operating"))</f>
        <v/>
      </c>
      <c r="S2585" s="95">
        <f>IF((P2585-Q2585)=1,L2585,IF((P2585-Q2585)=-1,-J2585,0))</f>
        <v/>
      </c>
      <c r="T2585" s="95">
        <f>IF((P2585-Q2585)=1,N2585,IF((P2585-Q2585)=-1,-M2585,0))</f>
        <v/>
      </c>
      <c r="U2585" s="101">
        <f>IF(AND(H2585=1,LedAcct&lt;&gt;""),IF(AND(E2585&gt;=LedFrom,E2585&lt;=LedTo,OR(I2585=LedAcct,K2585=LedAcct,AND(LedAcct=acctTax,M2585+N2585&lt;&gt;0))),E2585*10000+B2585,""),"")</f>
        <v/>
      </c>
    </row>
    <row r="2586">
      <c r="B2586" s="101" t="n">
        <v>2580</v>
      </c>
      <c r="C2586" s="58" t="inlineStr">
        <is>
          <t>Bill</t>
        </is>
      </c>
      <c r="D2586" s="58">
        <f>IF(H2586=1,INDEX(ap_No,80)&amp;"","")</f>
        <v/>
      </c>
      <c r="E2586" s="94">
        <f>IF(H2586=1,INDEX(ap_Date,80),"")</f>
        <v/>
      </c>
      <c r="F2586" s="58">
        <f>IF(H2586=1,INDEX(ap_Desc,80)&amp;"","")</f>
        <v/>
      </c>
      <c r="G2586" s="58">
        <f>IF(H2586=1,INDEX(ap_Party,80)&amp;"","")</f>
        <v/>
      </c>
      <c r="H2586" s="101">
        <f>IFERROR(N(INDEX(ap_Posted,80)),0)</f>
        <v/>
      </c>
      <c r="I2586" s="58">
        <f>IF(H2586=1,INDEX(ap_DrAcct,80)&amp;"","")</f>
        <v/>
      </c>
      <c r="J2586" s="95">
        <f>IF(H2586=1,INDEX(ap_DrAmt,80),0)</f>
        <v/>
      </c>
      <c r="K2586" s="58">
        <f>IF(H2586=1,INDEX(ap_CrAcct,80)&amp;"","")</f>
        <v/>
      </c>
      <c r="L2586" s="95">
        <f>IF(H2586=1,INDEX(ap_CrAmt,80),0)</f>
        <v/>
      </c>
      <c r="M2586" s="95">
        <f>IF(H2586=1,INDEX(ap_TaxAmt,80),0)</f>
        <v/>
      </c>
      <c r="N2586" s="95" t="n">
        <v>0</v>
      </c>
      <c r="O2586" s="101">
        <f>IF(H2586=1,IF(E2586&lt;FYStart,0,IF(E2586&gt;FYEnd,13,YEAR(E2586)*12+MONTH(E2586)-FYYM+1)),"")</f>
        <v/>
      </c>
      <c r="P2586" s="101">
        <f>IF(H2586=1,IF(IFERROR(INDEX(coa_CF,MATCH(I2586,coa_Name,0)),"")="Cash",1,0),0)</f>
        <v/>
      </c>
      <c r="Q2586" s="101">
        <f>IF(H2586=1,IF(IFERROR(INDEX(coa_CF,MATCH(K2586,coa_Name,0)),"")="Cash",1,0),0)</f>
        <v/>
      </c>
      <c r="R2586" s="58">
        <f>IF((P2586-Q2586)=0,"",IFERROR(INDEX(coa_CF,MATCH(IF((P2586-Q2586)=1,K2586,I2586),coa_Name,0)),"Operating"))</f>
        <v/>
      </c>
      <c r="S2586" s="95">
        <f>IF((P2586-Q2586)=1,L2586,IF((P2586-Q2586)=-1,-J2586,0))</f>
        <v/>
      </c>
      <c r="T2586" s="95">
        <f>IF((P2586-Q2586)=1,N2586,IF((P2586-Q2586)=-1,-M2586,0))</f>
        <v/>
      </c>
      <c r="U2586" s="101">
        <f>IF(AND(H2586=1,LedAcct&lt;&gt;""),IF(AND(E2586&gt;=LedFrom,E2586&lt;=LedTo,OR(I2586=LedAcct,K2586=LedAcct,AND(LedAcct=acctTax,M2586+N2586&lt;&gt;0))),E2586*10000+B2586,""),"")</f>
        <v/>
      </c>
    </row>
    <row r="2587">
      <c r="B2587" s="101" t="n">
        <v>2581</v>
      </c>
      <c r="C2587" s="58" t="inlineStr">
        <is>
          <t>Bill</t>
        </is>
      </c>
      <c r="D2587" s="58">
        <f>IF(H2587=1,INDEX(ap_No,81)&amp;"","")</f>
        <v/>
      </c>
      <c r="E2587" s="94">
        <f>IF(H2587=1,INDEX(ap_Date,81),"")</f>
        <v/>
      </c>
      <c r="F2587" s="58">
        <f>IF(H2587=1,INDEX(ap_Desc,81)&amp;"","")</f>
        <v/>
      </c>
      <c r="G2587" s="58">
        <f>IF(H2587=1,INDEX(ap_Party,81)&amp;"","")</f>
        <v/>
      </c>
      <c r="H2587" s="101">
        <f>IFERROR(N(INDEX(ap_Posted,81)),0)</f>
        <v/>
      </c>
      <c r="I2587" s="58">
        <f>IF(H2587=1,INDEX(ap_DrAcct,81)&amp;"","")</f>
        <v/>
      </c>
      <c r="J2587" s="95">
        <f>IF(H2587=1,INDEX(ap_DrAmt,81),0)</f>
        <v/>
      </c>
      <c r="K2587" s="58">
        <f>IF(H2587=1,INDEX(ap_CrAcct,81)&amp;"","")</f>
        <v/>
      </c>
      <c r="L2587" s="95">
        <f>IF(H2587=1,INDEX(ap_CrAmt,81),0)</f>
        <v/>
      </c>
      <c r="M2587" s="95">
        <f>IF(H2587=1,INDEX(ap_TaxAmt,81),0)</f>
        <v/>
      </c>
      <c r="N2587" s="95" t="n">
        <v>0</v>
      </c>
      <c r="O2587" s="101">
        <f>IF(H2587=1,IF(E2587&lt;FYStart,0,IF(E2587&gt;FYEnd,13,YEAR(E2587)*12+MONTH(E2587)-FYYM+1)),"")</f>
        <v/>
      </c>
      <c r="P2587" s="101">
        <f>IF(H2587=1,IF(IFERROR(INDEX(coa_CF,MATCH(I2587,coa_Name,0)),"")="Cash",1,0),0)</f>
        <v/>
      </c>
      <c r="Q2587" s="101">
        <f>IF(H2587=1,IF(IFERROR(INDEX(coa_CF,MATCH(K2587,coa_Name,0)),"")="Cash",1,0),0)</f>
        <v/>
      </c>
      <c r="R2587" s="58">
        <f>IF((P2587-Q2587)=0,"",IFERROR(INDEX(coa_CF,MATCH(IF((P2587-Q2587)=1,K2587,I2587),coa_Name,0)),"Operating"))</f>
        <v/>
      </c>
      <c r="S2587" s="95">
        <f>IF((P2587-Q2587)=1,L2587,IF((P2587-Q2587)=-1,-J2587,0))</f>
        <v/>
      </c>
      <c r="T2587" s="95">
        <f>IF((P2587-Q2587)=1,N2587,IF((P2587-Q2587)=-1,-M2587,0))</f>
        <v/>
      </c>
      <c r="U2587" s="101">
        <f>IF(AND(H2587=1,LedAcct&lt;&gt;""),IF(AND(E2587&gt;=LedFrom,E2587&lt;=LedTo,OR(I2587=LedAcct,K2587=LedAcct,AND(LedAcct=acctTax,M2587+N2587&lt;&gt;0))),E2587*10000+B2587,""),"")</f>
        <v/>
      </c>
    </row>
    <row r="2588">
      <c r="B2588" s="101" t="n">
        <v>2582</v>
      </c>
      <c r="C2588" s="58" t="inlineStr">
        <is>
          <t>Bill</t>
        </is>
      </c>
      <c r="D2588" s="58">
        <f>IF(H2588=1,INDEX(ap_No,82)&amp;"","")</f>
        <v/>
      </c>
      <c r="E2588" s="94">
        <f>IF(H2588=1,INDEX(ap_Date,82),"")</f>
        <v/>
      </c>
      <c r="F2588" s="58">
        <f>IF(H2588=1,INDEX(ap_Desc,82)&amp;"","")</f>
        <v/>
      </c>
      <c r="G2588" s="58">
        <f>IF(H2588=1,INDEX(ap_Party,82)&amp;"","")</f>
        <v/>
      </c>
      <c r="H2588" s="101">
        <f>IFERROR(N(INDEX(ap_Posted,82)),0)</f>
        <v/>
      </c>
      <c r="I2588" s="58">
        <f>IF(H2588=1,INDEX(ap_DrAcct,82)&amp;"","")</f>
        <v/>
      </c>
      <c r="J2588" s="95">
        <f>IF(H2588=1,INDEX(ap_DrAmt,82),0)</f>
        <v/>
      </c>
      <c r="K2588" s="58">
        <f>IF(H2588=1,INDEX(ap_CrAcct,82)&amp;"","")</f>
        <v/>
      </c>
      <c r="L2588" s="95">
        <f>IF(H2588=1,INDEX(ap_CrAmt,82),0)</f>
        <v/>
      </c>
      <c r="M2588" s="95">
        <f>IF(H2588=1,INDEX(ap_TaxAmt,82),0)</f>
        <v/>
      </c>
      <c r="N2588" s="95" t="n">
        <v>0</v>
      </c>
      <c r="O2588" s="101">
        <f>IF(H2588=1,IF(E2588&lt;FYStart,0,IF(E2588&gt;FYEnd,13,YEAR(E2588)*12+MONTH(E2588)-FYYM+1)),"")</f>
        <v/>
      </c>
      <c r="P2588" s="101">
        <f>IF(H2588=1,IF(IFERROR(INDEX(coa_CF,MATCH(I2588,coa_Name,0)),"")="Cash",1,0),0)</f>
        <v/>
      </c>
      <c r="Q2588" s="101">
        <f>IF(H2588=1,IF(IFERROR(INDEX(coa_CF,MATCH(K2588,coa_Name,0)),"")="Cash",1,0),0)</f>
        <v/>
      </c>
      <c r="R2588" s="58">
        <f>IF((P2588-Q2588)=0,"",IFERROR(INDEX(coa_CF,MATCH(IF((P2588-Q2588)=1,K2588,I2588),coa_Name,0)),"Operating"))</f>
        <v/>
      </c>
      <c r="S2588" s="95">
        <f>IF((P2588-Q2588)=1,L2588,IF((P2588-Q2588)=-1,-J2588,0))</f>
        <v/>
      </c>
      <c r="T2588" s="95">
        <f>IF((P2588-Q2588)=1,N2588,IF((P2588-Q2588)=-1,-M2588,0))</f>
        <v/>
      </c>
      <c r="U2588" s="101">
        <f>IF(AND(H2588=1,LedAcct&lt;&gt;""),IF(AND(E2588&gt;=LedFrom,E2588&lt;=LedTo,OR(I2588=LedAcct,K2588=LedAcct,AND(LedAcct=acctTax,M2588+N2588&lt;&gt;0))),E2588*10000+B2588,""),"")</f>
        <v/>
      </c>
    </row>
    <row r="2589">
      <c r="B2589" s="101" t="n">
        <v>2583</v>
      </c>
      <c r="C2589" s="58" t="inlineStr">
        <is>
          <t>Bill</t>
        </is>
      </c>
      <c r="D2589" s="58">
        <f>IF(H2589=1,INDEX(ap_No,83)&amp;"","")</f>
        <v/>
      </c>
      <c r="E2589" s="94">
        <f>IF(H2589=1,INDEX(ap_Date,83),"")</f>
        <v/>
      </c>
      <c r="F2589" s="58">
        <f>IF(H2589=1,INDEX(ap_Desc,83)&amp;"","")</f>
        <v/>
      </c>
      <c r="G2589" s="58">
        <f>IF(H2589=1,INDEX(ap_Party,83)&amp;"","")</f>
        <v/>
      </c>
      <c r="H2589" s="101">
        <f>IFERROR(N(INDEX(ap_Posted,83)),0)</f>
        <v/>
      </c>
      <c r="I2589" s="58">
        <f>IF(H2589=1,INDEX(ap_DrAcct,83)&amp;"","")</f>
        <v/>
      </c>
      <c r="J2589" s="95">
        <f>IF(H2589=1,INDEX(ap_DrAmt,83),0)</f>
        <v/>
      </c>
      <c r="K2589" s="58">
        <f>IF(H2589=1,INDEX(ap_CrAcct,83)&amp;"","")</f>
        <v/>
      </c>
      <c r="L2589" s="95">
        <f>IF(H2589=1,INDEX(ap_CrAmt,83),0)</f>
        <v/>
      </c>
      <c r="M2589" s="95">
        <f>IF(H2589=1,INDEX(ap_TaxAmt,83),0)</f>
        <v/>
      </c>
      <c r="N2589" s="95" t="n">
        <v>0</v>
      </c>
      <c r="O2589" s="101">
        <f>IF(H2589=1,IF(E2589&lt;FYStart,0,IF(E2589&gt;FYEnd,13,YEAR(E2589)*12+MONTH(E2589)-FYYM+1)),"")</f>
        <v/>
      </c>
      <c r="P2589" s="101">
        <f>IF(H2589=1,IF(IFERROR(INDEX(coa_CF,MATCH(I2589,coa_Name,0)),"")="Cash",1,0),0)</f>
        <v/>
      </c>
      <c r="Q2589" s="101">
        <f>IF(H2589=1,IF(IFERROR(INDEX(coa_CF,MATCH(K2589,coa_Name,0)),"")="Cash",1,0),0)</f>
        <v/>
      </c>
      <c r="R2589" s="58">
        <f>IF((P2589-Q2589)=0,"",IFERROR(INDEX(coa_CF,MATCH(IF((P2589-Q2589)=1,K2589,I2589),coa_Name,0)),"Operating"))</f>
        <v/>
      </c>
      <c r="S2589" s="95">
        <f>IF((P2589-Q2589)=1,L2589,IF((P2589-Q2589)=-1,-J2589,0))</f>
        <v/>
      </c>
      <c r="T2589" s="95">
        <f>IF((P2589-Q2589)=1,N2589,IF((P2589-Q2589)=-1,-M2589,0))</f>
        <v/>
      </c>
      <c r="U2589" s="101">
        <f>IF(AND(H2589=1,LedAcct&lt;&gt;""),IF(AND(E2589&gt;=LedFrom,E2589&lt;=LedTo,OR(I2589=LedAcct,K2589=LedAcct,AND(LedAcct=acctTax,M2589+N2589&lt;&gt;0))),E2589*10000+B2589,""),"")</f>
        <v/>
      </c>
    </row>
    <row r="2590">
      <c r="B2590" s="101" t="n">
        <v>2584</v>
      </c>
      <c r="C2590" s="58" t="inlineStr">
        <is>
          <t>Bill</t>
        </is>
      </c>
      <c r="D2590" s="58">
        <f>IF(H2590=1,INDEX(ap_No,84)&amp;"","")</f>
        <v/>
      </c>
      <c r="E2590" s="94">
        <f>IF(H2590=1,INDEX(ap_Date,84),"")</f>
        <v/>
      </c>
      <c r="F2590" s="58">
        <f>IF(H2590=1,INDEX(ap_Desc,84)&amp;"","")</f>
        <v/>
      </c>
      <c r="G2590" s="58">
        <f>IF(H2590=1,INDEX(ap_Party,84)&amp;"","")</f>
        <v/>
      </c>
      <c r="H2590" s="101">
        <f>IFERROR(N(INDEX(ap_Posted,84)),0)</f>
        <v/>
      </c>
      <c r="I2590" s="58">
        <f>IF(H2590=1,INDEX(ap_DrAcct,84)&amp;"","")</f>
        <v/>
      </c>
      <c r="J2590" s="95">
        <f>IF(H2590=1,INDEX(ap_DrAmt,84),0)</f>
        <v/>
      </c>
      <c r="K2590" s="58">
        <f>IF(H2590=1,INDEX(ap_CrAcct,84)&amp;"","")</f>
        <v/>
      </c>
      <c r="L2590" s="95">
        <f>IF(H2590=1,INDEX(ap_CrAmt,84),0)</f>
        <v/>
      </c>
      <c r="M2590" s="95">
        <f>IF(H2590=1,INDEX(ap_TaxAmt,84),0)</f>
        <v/>
      </c>
      <c r="N2590" s="95" t="n">
        <v>0</v>
      </c>
      <c r="O2590" s="101">
        <f>IF(H2590=1,IF(E2590&lt;FYStart,0,IF(E2590&gt;FYEnd,13,YEAR(E2590)*12+MONTH(E2590)-FYYM+1)),"")</f>
        <v/>
      </c>
      <c r="P2590" s="101">
        <f>IF(H2590=1,IF(IFERROR(INDEX(coa_CF,MATCH(I2590,coa_Name,0)),"")="Cash",1,0),0)</f>
        <v/>
      </c>
      <c r="Q2590" s="101">
        <f>IF(H2590=1,IF(IFERROR(INDEX(coa_CF,MATCH(K2590,coa_Name,0)),"")="Cash",1,0),0)</f>
        <v/>
      </c>
      <c r="R2590" s="58">
        <f>IF((P2590-Q2590)=0,"",IFERROR(INDEX(coa_CF,MATCH(IF((P2590-Q2590)=1,K2590,I2590),coa_Name,0)),"Operating"))</f>
        <v/>
      </c>
      <c r="S2590" s="95">
        <f>IF((P2590-Q2590)=1,L2590,IF((P2590-Q2590)=-1,-J2590,0))</f>
        <v/>
      </c>
      <c r="T2590" s="95">
        <f>IF((P2590-Q2590)=1,N2590,IF((P2590-Q2590)=-1,-M2590,0))</f>
        <v/>
      </c>
      <c r="U2590" s="101">
        <f>IF(AND(H2590=1,LedAcct&lt;&gt;""),IF(AND(E2590&gt;=LedFrom,E2590&lt;=LedTo,OR(I2590=LedAcct,K2590=LedAcct,AND(LedAcct=acctTax,M2590+N2590&lt;&gt;0))),E2590*10000+B2590,""),"")</f>
        <v/>
      </c>
    </row>
    <row r="2591">
      <c r="B2591" s="101" t="n">
        <v>2585</v>
      </c>
      <c r="C2591" s="58" t="inlineStr">
        <is>
          <t>Bill</t>
        </is>
      </c>
      <c r="D2591" s="58">
        <f>IF(H2591=1,INDEX(ap_No,85)&amp;"","")</f>
        <v/>
      </c>
      <c r="E2591" s="94">
        <f>IF(H2591=1,INDEX(ap_Date,85),"")</f>
        <v/>
      </c>
      <c r="F2591" s="58">
        <f>IF(H2591=1,INDEX(ap_Desc,85)&amp;"","")</f>
        <v/>
      </c>
      <c r="G2591" s="58">
        <f>IF(H2591=1,INDEX(ap_Party,85)&amp;"","")</f>
        <v/>
      </c>
      <c r="H2591" s="101">
        <f>IFERROR(N(INDEX(ap_Posted,85)),0)</f>
        <v/>
      </c>
      <c r="I2591" s="58">
        <f>IF(H2591=1,INDEX(ap_DrAcct,85)&amp;"","")</f>
        <v/>
      </c>
      <c r="J2591" s="95">
        <f>IF(H2591=1,INDEX(ap_DrAmt,85),0)</f>
        <v/>
      </c>
      <c r="K2591" s="58">
        <f>IF(H2591=1,INDEX(ap_CrAcct,85)&amp;"","")</f>
        <v/>
      </c>
      <c r="L2591" s="95">
        <f>IF(H2591=1,INDEX(ap_CrAmt,85),0)</f>
        <v/>
      </c>
      <c r="M2591" s="95">
        <f>IF(H2591=1,INDEX(ap_TaxAmt,85),0)</f>
        <v/>
      </c>
      <c r="N2591" s="95" t="n">
        <v>0</v>
      </c>
      <c r="O2591" s="101">
        <f>IF(H2591=1,IF(E2591&lt;FYStart,0,IF(E2591&gt;FYEnd,13,YEAR(E2591)*12+MONTH(E2591)-FYYM+1)),"")</f>
        <v/>
      </c>
      <c r="P2591" s="101">
        <f>IF(H2591=1,IF(IFERROR(INDEX(coa_CF,MATCH(I2591,coa_Name,0)),"")="Cash",1,0),0)</f>
        <v/>
      </c>
      <c r="Q2591" s="101">
        <f>IF(H2591=1,IF(IFERROR(INDEX(coa_CF,MATCH(K2591,coa_Name,0)),"")="Cash",1,0),0)</f>
        <v/>
      </c>
      <c r="R2591" s="58">
        <f>IF((P2591-Q2591)=0,"",IFERROR(INDEX(coa_CF,MATCH(IF((P2591-Q2591)=1,K2591,I2591),coa_Name,0)),"Operating"))</f>
        <v/>
      </c>
      <c r="S2591" s="95">
        <f>IF((P2591-Q2591)=1,L2591,IF((P2591-Q2591)=-1,-J2591,0))</f>
        <v/>
      </c>
      <c r="T2591" s="95">
        <f>IF((P2591-Q2591)=1,N2591,IF((P2591-Q2591)=-1,-M2591,0))</f>
        <v/>
      </c>
      <c r="U2591" s="101">
        <f>IF(AND(H2591=1,LedAcct&lt;&gt;""),IF(AND(E2591&gt;=LedFrom,E2591&lt;=LedTo,OR(I2591=LedAcct,K2591=LedAcct,AND(LedAcct=acctTax,M2591+N2591&lt;&gt;0))),E2591*10000+B2591,""),"")</f>
        <v/>
      </c>
    </row>
    <row r="2592">
      <c r="B2592" s="101" t="n">
        <v>2586</v>
      </c>
      <c r="C2592" s="58" t="inlineStr">
        <is>
          <t>Bill</t>
        </is>
      </c>
      <c r="D2592" s="58">
        <f>IF(H2592=1,INDEX(ap_No,86)&amp;"","")</f>
        <v/>
      </c>
      <c r="E2592" s="94">
        <f>IF(H2592=1,INDEX(ap_Date,86),"")</f>
        <v/>
      </c>
      <c r="F2592" s="58">
        <f>IF(H2592=1,INDEX(ap_Desc,86)&amp;"","")</f>
        <v/>
      </c>
      <c r="G2592" s="58">
        <f>IF(H2592=1,INDEX(ap_Party,86)&amp;"","")</f>
        <v/>
      </c>
      <c r="H2592" s="101">
        <f>IFERROR(N(INDEX(ap_Posted,86)),0)</f>
        <v/>
      </c>
      <c r="I2592" s="58">
        <f>IF(H2592=1,INDEX(ap_DrAcct,86)&amp;"","")</f>
        <v/>
      </c>
      <c r="J2592" s="95">
        <f>IF(H2592=1,INDEX(ap_DrAmt,86),0)</f>
        <v/>
      </c>
      <c r="K2592" s="58">
        <f>IF(H2592=1,INDEX(ap_CrAcct,86)&amp;"","")</f>
        <v/>
      </c>
      <c r="L2592" s="95">
        <f>IF(H2592=1,INDEX(ap_CrAmt,86),0)</f>
        <v/>
      </c>
      <c r="M2592" s="95">
        <f>IF(H2592=1,INDEX(ap_TaxAmt,86),0)</f>
        <v/>
      </c>
      <c r="N2592" s="95" t="n">
        <v>0</v>
      </c>
      <c r="O2592" s="101">
        <f>IF(H2592=1,IF(E2592&lt;FYStart,0,IF(E2592&gt;FYEnd,13,YEAR(E2592)*12+MONTH(E2592)-FYYM+1)),"")</f>
        <v/>
      </c>
      <c r="P2592" s="101">
        <f>IF(H2592=1,IF(IFERROR(INDEX(coa_CF,MATCH(I2592,coa_Name,0)),"")="Cash",1,0),0)</f>
        <v/>
      </c>
      <c r="Q2592" s="101">
        <f>IF(H2592=1,IF(IFERROR(INDEX(coa_CF,MATCH(K2592,coa_Name,0)),"")="Cash",1,0),0)</f>
        <v/>
      </c>
      <c r="R2592" s="58">
        <f>IF((P2592-Q2592)=0,"",IFERROR(INDEX(coa_CF,MATCH(IF((P2592-Q2592)=1,K2592,I2592),coa_Name,0)),"Operating"))</f>
        <v/>
      </c>
      <c r="S2592" s="95">
        <f>IF((P2592-Q2592)=1,L2592,IF((P2592-Q2592)=-1,-J2592,0))</f>
        <v/>
      </c>
      <c r="T2592" s="95">
        <f>IF((P2592-Q2592)=1,N2592,IF((P2592-Q2592)=-1,-M2592,0))</f>
        <v/>
      </c>
      <c r="U2592" s="101">
        <f>IF(AND(H2592=1,LedAcct&lt;&gt;""),IF(AND(E2592&gt;=LedFrom,E2592&lt;=LedTo,OR(I2592=LedAcct,K2592=LedAcct,AND(LedAcct=acctTax,M2592+N2592&lt;&gt;0))),E2592*10000+B2592,""),"")</f>
        <v/>
      </c>
    </row>
    <row r="2593">
      <c r="B2593" s="101" t="n">
        <v>2587</v>
      </c>
      <c r="C2593" s="58" t="inlineStr">
        <is>
          <t>Bill</t>
        </is>
      </c>
      <c r="D2593" s="58">
        <f>IF(H2593=1,INDEX(ap_No,87)&amp;"","")</f>
        <v/>
      </c>
      <c r="E2593" s="94">
        <f>IF(H2593=1,INDEX(ap_Date,87),"")</f>
        <v/>
      </c>
      <c r="F2593" s="58">
        <f>IF(H2593=1,INDEX(ap_Desc,87)&amp;"","")</f>
        <v/>
      </c>
      <c r="G2593" s="58">
        <f>IF(H2593=1,INDEX(ap_Party,87)&amp;"","")</f>
        <v/>
      </c>
      <c r="H2593" s="101">
        <f>IFERROR(N(INDEX(ap_Posted,87)),0)</f>
        <v/>
      </c>
      <c r="I2593" s="58">
        <f>IF(H2593=1,INDEX(ap_DrAcct,87)&amp;"","")</f>
        <v/>
      </c>
      <c r="J2593" s="95">
        <f>IF(H2593=1,INDEX(ap_DrAmt,87),0)</f>
        <v/>
      </c>
      <c r="K2593" s="58">
        <f>IF(H2593=1,INDEX(ap_CrAcct,87)&amp;"","")</f>
        <v/>
      </c>
      <c r="L2593" s="95">
        <f>IF(H2593=1,INDEX(ap_CrAmt,87),0)</f>
        <v/>
      </c>
      <c r="M2593" s="95">
        <f>IF(H2593=1,INDEX(ap_TaxAmt,87),0)</f>
        <v/>
      </c>
      <c r="N2593" s="95" t="n">
        <v>0</v>
      </c>
      <c r="O2593" s="101">
        <f>IF(H2593=1,IF(E2593&lt;FYStart,0,IF(E2593&gt;FYEnd,13,YEAR(E2593)*12+MONTH(E2593)-FYYM+1)),"")</f>
        <v/>
      </c>
      <c r="P2593" s="101">
        <f>IF(H2593=1,IF(IFERROR(INDEX(coa_CF,MATCH(I2593,coa_Name,0)),"")="Cash",1,0),0)</f>
        <v/>
      </c>
      <c r="Q2593" s="101">
        <f>IF(H2593=1,IF(IFERROR(INDEX(coa_CF,MATCH(K2593,coa_Name,0)),"")="Cash",1,0),0)</f>
        <v/>
      </c>
      <c r="R2593" s="58">
        <f>IF((P2593-Q2593)=0,"",IFERROR(INDEX(coa_CF,MATCH(IF((P2593-Q2593)=1,K2593,I2593),coa_Name,0)),"Operating"))</f>
        <v/>
      </c>
      <c r="S2593" s="95">
        <f>IF((P2593-Q2593)=1,L2593,IF((P2593-Q2593)=-1,-J2593,0))</f>
        <v/>
      </c>
      <c r="T2593" s="95">
        <f>IF((P2593-Q2593)=1,N2593,IF((P2593-Q2593)=-1,-M2593,0))</f>
        <v/>
      </c>
      <c r="U2593" s="101">
        <f>IF(AND(H2593=1,LedAcct&lt;&gt;""),IF(AND(E2593&gt;=LedFrom,E2593&lt;=LedTo,OR(I2593=LedAcct,K2593=LedAcct,AND(LedAcct=acctTax,M2593+N2593&lt;&gt;0))),E2593*10000+B2593,""),"")</f>
        <v/>
      </c>
    </row>
    <row r="2594">
      <c r="B2594" s="101" t="n">
        <v>2588</v>
      </c>
      <c r="C2594" s="58" t="inlineStr">
        <is>
          <t>Bill</t>
        </is>
      </c>
      <c r="D2594" s="58">
        <f>IF(H2594=1,INDEX(ap_No,88)&amp;"","")</f>
        <v/>
      </c>
      <c r="E2594" s="94">
        <f>IF(H2594=1,INDEX(ap_Date,88),"")</f>
        <v/>
      </c>
      <c r="F2594" s="58">
        <f>IF(H2594=1,INDEX(ap_Desc,88)&amp;"","")</f>
        <v/>
      </c>
      <c r="G2594" s="58">
        <f>IF(H2594=1,INDEX(ap_Party,88)&amp;"","")</f>
        <v/>
      </c>
      <c r="H2594" s="101">
        <f>IFERROR(N(INDEX(ap_Posted,88)),0)</f>
        <v/>
      </c>
      <c r="I2594" s="58">
        <f>IF(H2594=1,INDEX(ap_DrAcct,88)&amp;"","")</f>
        <v/>
      </c>
      <c r="J2594" s="95">
        <f>IF(H2594=1,INDEX(ap_DrAmt,88),0)</f>
        <v/>
      </c>
      <c r="K2594" s="58">
        <f>IF(H2594=1,INDEX(ap_CrAcct,88)&amp;"","")</f>
        <v/>
      </c>
      <c r="L2594" s="95">
        <f>IF(H2594=1,INDEX(ap_CrAmt,88),0)</f>
        <v/>
      </c>
      <c r="M2594" s="95">
        <f>IF(H2594=1,INDEX(ap_TaxAmt,88),0)</f>
        <v/>
      </c>
      <c r="N2594" s="95" t="n">
        <v>0</v>
      </c>
      <c r="O2594" s="101">
        <f>IF(H2594=1,IF(E2594&lt;FYStart,0,IF(E2594&gt;FYEnd,13,YEAR(E2594)*12+MONTH(E2594)-FYYM+1)),"")</f>
        <v/>
      </c>
      <c r="P2594" s="101">
        <f>IF(H2594=1,IF(IFERROR(INDEX(coa_CF,MATCH(I2594,coa_Name,0)),"")="Cash",1,0),0)</f>
        <v/>
      </c>
      <c r="Q2594" s="101">
        <f>IF(H2594=1,IF(IFERROR(INDEX(coa_CF,MATCH(K2594,coa_Name,0)),"")="Cash",1,0),0)</f>
        <v/>
      </c>
      <c r="R2594" s="58">
        <f>IF((P2594-Q2594)=0,"",IFERROR(INDEX(coa_CF,MATCH(IF((P2594-Q2594)=1,K2594,I2594),coa_Name,0)),"Operating"))</f>
        <v/>
      </c>
      <c r="S2594" s="95">
        <f>IF((P2594-Q2594)=1,L2594,IF((P2594-Q2594)=-1,-J2594,0))</f>
        <v/>
      </c>
      <c r="T2594" s="95">
        <f>IF((P2594-Q2594)=1,N2594,IF((P2594-Q2594)=-1,-M2594,0))</f>
        <v/>
      </c>
      <c r="U2594" s="101">
        <f>IF(AND(H2594=1,LedAcct&lt;&gt;""),IF(AND(E2594&gt;=LedFrom,E2594&lt;=LedTo,OR(I2594=LedAcct,K2594=LedAcct,AND(LedAcct=acctTax,M2594+N2594&lt;&gt;0))),E2594*10000+B2594,""),"")</f>
        <v/>
      </c>
    </row>
    <row r="2595">
      <c r="B2595" s="101" t="n">
        <v>2589</v>
      </c>
      <c r="C2595" s="58" t="inlineStr">
        <is>
          <t>Bill</t>
        </is>
      </c>
      <c r="D2595" s="58">
        <f>IF(H2595=1,INDEX(ap_No,89)&amp;"","")</f>
        <v/>
      </c>
      <c r="E2595" s="94">
        <f>IF(H2595=1,INDEX(ap_Date,89),"")</f>
        <v/>
      </c>
      <c r="F2595" s="58">
        <f>IF(H2595=1,INDEX(ap_Desc,89)&amp;"","")</f>
        <v/>
      </c>
      <c r="G2595" s="58">
        <f>IF(H2595=1,INDEX(ap_Party,89)&amp;"","")</f>
        <v/>
      </c>
      <c r="H2595" s="101">
        <f>IFERROR(N(INDEX(ap_Posted,89)),0)</f>
        <v/>
      </c>
      <c r="I2595" s="58">
        <f>IF(H2595=1,INDEX(ap_DrAcct,89)&amp;"","")</f>
        <v/>
      </c>
      <c r="J2595" s="95">
        <f>IF(H2595=1,INDEX(ap_DrAmt,89),0)</f>
        <v/>
      </c>
      <c r="K2595" s="58">
        <f>IF(H2595=1,INDEX(ap_CrAcct,89)&amp;"","")</f>
        <v/>
      </c>
      <c r="L2595" s="95">
        <f>IF(H2595=1,INDEX(ap_CrAmt,89),0)</f>
        <v/>
      </c>
      <c r="M2595" s="95">
        <f>IF(H2595=1,INDEX(ap_TaxAmt,89),0)</f>
        <v/>
      </c>
      <c r="N2595" s="95" t="n">
        <v>0</v>
      </c>
      <c r="O2595" s="101">
        <f>IF(H2595=1,IF(E2595&lt;FYStart,0,IF(E2595&gt;FYEnd,13,YEAR(E2595)*12+MONTH(E2595)-FYYM+1)),"")</f>
        <v/>
      </c>
      <c r="P2595" s="101">
        <f>IF(H2595=1,IF(IFERROR(INDEX(coa_CF,MATCH(I2595,coa_Name,0)),"")="Cash",1,0),0)</f>
        <v/>
      </c>
      <c r="Q2595" s="101">
        <f>IF(H2595=1,IF(IFERROR(INDEX(coa_CF,MATCH(K2595,coa_Name,0)),"")="Cash",1,0),0)</f>
        <v/>
      </c>
      <c r="R2595" s="58">
        <f>IF((P2595-Q2595)=0,"",IFERROR(INDEX(coa_CF,MATCH(IF((P2595-Q2595)=1,K2595,I2595),coa_Name,0)),"Operating"))</f>
        <v/>
      </c>
      <c r="S2595" s="95">
        <f>IF((P2595-Q2595)=1,L2595,IF((P2595-Q2595)=-1,-J2595,0))</f>
        <v/>
      </c>
      <c r="T2595" s="95">
        <f>IF((P2595-Q2595)=1,N2595,IF((P2595-Q2595)=-1,-M2595,0))</f>
        <v/>
      </c>
      <c r="U2595" s="101">
        <f>IF(AND(H2595=1,LedAcct&lt;&gt;""),IF(AND(E2595&gt;=LedFrom,E2595&lt;=LedTo,OR(I2595=LedAcct,K2595=LedAcct,AND(LedAcct=acctTax,M2595+N2595&lt;&gt;0))),E2595*10000+B2595,""),"")</f>
        <v/>
      </c>
    </row>
    <row r="2596">
      <c r="B2596" s="101" t="n">
        <v>2590</v>
      </c>
      <c r="C2596" s="58" t="inlineStr">
        <is>
          <t>Bill</t>
        </is>
      </c>
      <c r="D2596" s="58">
        <f>IF(H2596=1,INDEX(ap_No,90)&amp;"","")</f>
        <v/>
      </c>
      <c r="E2596" s="94">
        <f>IF(H2596=1,INDEX(ap_Date,90),"")</f>
        <v/>
      </c>
      <c r="F2596" s="58">
        <f>IF(H2596=1,INDEX(ap_Desc,90)&amp;"","")</f>
        <v/>
      </c>
      <c r="G2596" s="58">
        <f>IF(H2596=1,INDEX(ap_Party,90)&amp;"","")</f>
        <v/>
      </c>
      <c r="H2596" s="101">
        <f>IFERROR(N(INDEX(ap_Posted,90)),0)</f>
        <v/>
      </c>
      <c r="I2596" s="58">
        <f>IF(H2596=1,INDEX(ap_DrAcct,90)&amp;"","")</f>
        <v/>
      </c>
      <c r="J2596" s="95">
        <f>IF(H2596=1,INDEX(ap_DrAmt,90),0)</f>
        <v/>
      </c>
      <c r="K2596" s="58">
        <f>IF(H2596=1,INDEX(ap_CrAcct,90)&amp;"","")</f>
        <v/>
      </c>
      <c r="L2596" s="95">
        <f>IF(H2596=1,INDEX(ap_CrAmt,90),0)</f>
        <v/>
      </c>
      <c r="M2596" s="95">
        <f>IF(H2596=1,INDEX(ap_TaxAmt,90),0)</f>
        <v/>
      </c>
      <c r="N2596" s="95" t="n">
        <v>0</v>
      </c>
      <c r="O2596" s="101">
        <f>IF(H2596=1,IF(E2596&lt;FYStart,0,IF(E2596&gt;FYEnd,13,YEAR(E2596)*12+MONTH(E2596)-FYYM+1)),"")</f>
        <v/>
      </c>
      <c r="P2596" s="101">
        <f>IF(H2596=1,IF(IFERROR(INDEX(coa_CF,MATCH(I2596,coa_Name,0)),"")="Cash",1,0),0)</f>
        <v/>
      </c>
      <c r="Q2596" s="101">
        <f>IF(H2596=1,IF(IFERROR(INDEX(coa_CF,MATCH(K2596,coa_Name,0)),"")="Cash",1,0),0)</f>
        <v/>
      </c>
      <c r="R2596" s="58">
        <f>IF((P2596-Q2596)=0,"",IFERROR(INDEX(coa_CF,MATCH(IF((P2596-Q2596)=1,K2596,I2596),coa_Name,0)),"Operating"))</f>
        <v/>
      </c>
      <c r="S2596" s="95">
        <f>IF((P2596-Q2596)=1,L2596,IF((P2596-Q2596)=-1,-J2596,0))</f>
        <v/>
      </c>
      <c r="T2596" s="95">
        <f>IF((P2596-Q2596)=1,N2596,IF((P2596-Q2596)=-1,-M2596,0))</f>
        <v/>
      </c>
      <c r="U2596" s="101">
        <f>IF(AND(H2596=1,LedAcct&lt;&gt;""),IF(AND(E2596&gt;=LedFrom,E2596&lt;=LedTo,OR(I2596=LedAcct,K2596=LedAcct,AND(LedAcct=acctTax,M2596+N2596&lt;&gt;0))),E2596*10000+B2596,""),"")</f>
        <v/>
      </c>
    </row>
    <row r="2597">
      <c r="B2597" s="101" t="n">
        <v>2591</v>
      </c>
      <c r="C2597" s="58" t="inlineStr">
        <is>
          <t>Bill</t>
        </is>
      </c>
      <c r="D2597" s="58">
        <f>IF(H2597=1,INDEX(ap_No,91)&amp;"","")</f>
        <v/>
      </c>
      <c r="E2597" s="94">
        <f>IF(H2597=1,INDEX(ap_Date,91),"")</f>
        <v/>
      </c>
      <c r="F2597" s="58">
        <f>IF(H2597=1,INDEX(ap_Desc,91)&amp;"","")</f>
        <v/>
      </c>
      <c r="G2597" s="58">
        <f>IF(H2597=1,INDEX(ap_Party,91)&amp;"","")</f>
        <v/>
      </c>
      <c r="H2597" s="101">
        <f>IFERROR(N(INDEX(ap_Posted,91)),0)</f>
        <v/>
      </c>
      <c r="I2597" s="58">
        <f>IF(H2597=1,INDEX(ap_DrAcct,91)&amp;"","")</f>
        <v/>
      </c>
      <c r="J2597" s="95">
        <f>IF(H2597=1,INDEX(ap_DrAmt,91),0)</f>
        <v/>
      </c>
      <c r="K2597" s="58">
        <f>IF(H2597=1,INDEX(ap_CrAcct,91)&amp;"","")</f>
        <v/>
      </c>
      <c r="L2597" s="95">
        <f>IF(H2597=1,INDEX(ap_CrAmt,91),0)</f>
        <v/>
      </c>
      <c r="M2597" s="95">
        <f>IF(H2597=1,INDEX(ap_TaxAmt,91),0)</f>
        <v/>
      </c>
      <c r="N2597" s="95" t="n">
        <v>0</v>
      </c>
      <c r="O2597" s="101">
        <f>IF(H2597=1,IF(E2597&lt;FYStart,0,IF(E2597&gt;FYEnd,13,YEAR(E2597)*12+MONTH(E2597)-FYYM+1)),"")</f>
        <v/>
      </c>
      <c r="P2597" s="101">
        <f>IF(H2597=1,IF(IFERROR(INDEX(coa_CF,MATCH(I2597,coa_Name,0)),"")="Cash",1,0),0)</f>
        <v/>
      </c>
      <c r="Q2597" s="101">
        <f>IF(H2597=1,IF(IFERROR(INDEX(coa_CF,MATCH(K2597,coa_Name,0)),"")="Cash",1,0),0)</f>
        <v/>
      </c>
      <c r="R2597" s="58">
        <f>IF((P2597-Q2597)=0,"",IFERROR(INDEX(coa_CF,MATCH(IF((P2597-Q2597)=1,K2597,I2597),coa_Name,0)),"Operating"))</f>
        <v/>
      </c>
      <c r="S2597" s="95">
        <f>IF((P2597-Q2597)=1,L2597,IF((P2597-Q2597)=-1,-J2597,0))</f>
        <v/>
      </c>
      <c r="T2597" s="95">
        <f>IF((P2597-Q2597)=1,N2597,IF((P2597-Q2597)=-1,-M2597,0))</f>
        <v/>
      </c>
      <c r="U2597" s="101">
        <f>IF(AND(H2597=1,LedAcct&lt;&gt;""),IF(AND(E2597&gt;=LedFrom,E2597&lt;=LedTo,OR(I2597=LedAcct,K2597=LedAcct,AND(LedAcct=acctTax,M2597+N2597&lt;&gt;0))),E2597*10000+B2597,""),"")</f>
        <v/>
      </c>
    </row>
    <row r="2598">
      <c r="B2598" s="101" t="n">
        <v>2592</v>
      </c>
      <c r="C2598" s="58" t="inlineStr">
        <is>
          <t>Bill</t>
        </is>
      </c>
      <c r="D2598" s="58">
        <f>IF(H2598=1,INDEX(ap_No,92)&amp;"","")</f>
        <v/>
      </c>
      <c r="E2598" s="94">
        <f>IF(H2598=1,INDEX(ap_Date,92),"")</f>
        <v/>
      </c>
      <c r="F2598" s="58">
        <f>IF(H2598=1,INDEX(ap_Desc,92)&amp;"","")</f>
        <v/>
      </c>
      <c r="G2598" s="58">
        <f>IF(H2598=1,INDEX(ap_Party,92)&amp;"","")</f>
        <v/>
      </c>
      <c r="H2598" s="101">
        <f>IFERROR(N(INDEX(ap_Posted,92)),0)</f>
        <v/>
      </c>
      <c r="I2598" s="58">
        <f>IF(H2598=1,INDEX(ap_DrAcct,92)&amp;"","")</f>
        <v/>
      </c>
      <c r="J2598" s="95">
        <f>IF(H2598=1,INDEX(ap_DrAmt,92),0)</f>
        <v/>
      </c>
      <c r="K2598" s="58">
        <f>IF(H2598=1,INDEX(ap_CrAcct,92)&amp;"","")</f>
        <v/>
      </c>
      <c r="L2598" s="95">
        <f>IF(H2598=1,INDEX(ap_CrAmt,92),0)</f>
        <v/>
      </c>
      <c r="M2598" s="95">
        <f>IF(H2598=1,INDEX(ap_TaxAmt,92),0)</f>
        <v/>
      </c>
      <c r="N2598" s="95" t="n">
        <v>0</v>
      </c>
      <c r="O2598" s="101">
        <f>IF(H2598=1,IF(E2598&lt;FYStart,0,IF(E2598&gt;FYEnd,13,YEAR(E2598)*12+MONTH(E2598)-FYYM+1)),"")</f>
        <v/>
      </c>
      <c r="P2598" s="101">
        <f>IF(H2598=1,IF(IFERROR(INDEX(coa_CF,MATCH(I2598,coa_Name,0)),"")="Cash",1,0),0)</f>
        <v/>
      </c>
      <c r="Q2598" s="101">
        <f>IF(H2598=1,IF(IFERROR(INDEX(coa_CF,MATCH(K2598,coa_Name,0)),"")="Cash",1,0),0)</f>
        <v/>
      </c>
      <c r="R2598" s="58">
        <f>IF((P2598-Q2598)=0,"",IFERROR(INDEX(coa_CF,MATCH(IF((P2598-Q2598)=1,K2598,I2598),coa_Name,0)),"Operating"))</f>
        <v/>
      </c>
      <c r="S2598" s="95">
        <f>IF((P2598-Q2598)=1,L2598,IF((P2598-Q2598)=-1,-J2598,0))</f>
        <v/>
      </c>
      <c r="T2598" s="95">
        <f>IF((P2598-Q2598)=1,N2598,IF((P2598-Q2598)=-1,-M2598,0))</f>
        <v/>
      </c>
      <c r="U2598" s="101">
        <f>IF(AND(H2598=1,LedAcct&lt;&gt;""),IF(AND(E2598&gt;=LedFrom,E2598&lt;=LedTo,OR(I2598=LedAcct,K2598=LedAcct,AND(LedAcct=acctTax,M2598+N2598&lt;&gt;0))),E2598*10000+B2598,""),"")</f>
        <v/>
      </c>
    </row>
    <row r="2599">
      <c r="B2599" s="101" t="n">
        <v>2593</v>
      </c>
      <c r="C2599" s="58" t="inlineStr">
        <is>
          <t>Bill</t>
        </is>
      </c>
      <c r="D2599" s="58">
        <f>IF(H2599=1,INDEX(ap_No,93)&amp;"","")</f>
        <v/>
      </c>
      <c r="E2599" s="94">
        <f>IF(H2599=1,INDEX(ap_Date,93),"")</f>
        <v/>
      </c>
      <c r="F2599" s="58">
        <f>IF(H2599=1,INDEX(ap_Desc,93)&amp;"","")</f>
        <v/>
      </c>
      <c r="G2599" s="58">
        <f>IF(H2599=1,INDEX(ap_Party,93)&amp;"","")</f>
        <v/>
      </c>
      <c r="H2599" s="101">
        <f>IFERROR(N(INDEX(ap_Posted,93)),0)</f>
        <v/>
      </c>
      <c r="I2599" s="58">
        <f>IF(H2599=1,INDEX(ap_DrAcct,93)&amp;"","")</f>
        <v/>
      </c>
      <c r="J2599" s="95">
        <f>IF(H2599=1,INDEX(ap_DrAmt,93),0)</f>
        <v/>
      </c>
      <c r="K2599" s="58">
        <f>IF(H2599=1,INDEX(ap_CrAcct,93)&amp;"","")</f>
        <v/>
      </c>
      <c r="L2599" s="95">
        <f>IF(H2599=1,INDEX(ap_CrAmt,93),0)</f>
        <v/>
      </c>
      <c r="M2599" s="95">
        <f>IF(H2599=1,INDEX(ap_TaxAmt,93),0)</f>
        <v/>
      </c>
      <c r="N2599" s="95" t="n">
        <v>0</v>
      </c>
      <c r="O2599" s="101">
        <f>IF(H2599=1,IF(E2599&lt;FYStart,0,IF(E2599&gt;FYEnd,13,YEAR(E2599)*12+MONTH(E2599)-FYYM+1)),"")</f>
        <v/>
      </c>
      <c r="P2599" s="101">
        <f>IF(H2599=1,IF(IFERROR(INDEX(coa_CF,MATCH(I2599,coa_Name,0)),"")="Cash",1,0),0)</f>
        <v/>
      </c>
      <c r="Q2599" s="101">
        <f>IF(H2599=1,IF(IFERROR(INDEX(coa_CF,MATCH(K2599,coa_Name,0)),"")="Cash",1,0),0)</f>
        <v/>
      </c>
      <c r="R2599" s="58">
        <f>IF((P2599-Q2599)=0,"",IFERROR(INDEX(coa_CF,MATCH(IF((P2599-Q2599)=1,K2599,I2599),coa_Name,0)),"Operating"))</f>
        <v/>
      </c>
      <c r="S2599" s="95">
        <f>IF((P2599-Q2599)=1,L2599,IF((P2599-Q2599)=-1,-J2599,0))</f>
        <v/>
      </c>
      <c r="T2599" s="95">
        <f>IF((P2599-Q2599)=1,N2599,IF((P2599-Q2599)=-1,-M2599,0))</f>
        <v/>
      </c>
      <c r="U2599" s="101">
        <f>IF(AND(H2599=1,LedAcct&lt;&gt;""),IF(AND(E2599&gt;=LedFrom,E2599&lt;=LedTo,OR(I2599=LedAcct,K2599=LedAcct,AND(LedAcct=acctTax,M2599+N2599&lt;&gt;0))),E2599*10000+B2599,""),"")</f>
        <v/>
      </c>
    </row>
    <row r="2600">
      <c r="B2600" s="101" t="n">
        <v>2594</v>
      </c>
      <c r="C2600" s="58" t="inlineStr">
        <is>
          <t>Bill</t>
        </is>
      </c>
      <c r="D2600" s="58">
        <f>IF(H2600=1,INDEX(ap_No,94)&amp;"","")</f>
        <v/>
      </c>
      <c r="E2600" s="94">
        <f>IF(H2600=1,INDEX(ap_Date,94),"")</f>
        <v/>
      </c>
      <c r="F2600" s="58">
        <f>IF(H2600=1,INDEX(ap_Desc,94)&amp;"","")</f>
        <v/>
      </c>
      <c r="G2600" s="58">
        <f>IF(H2600=1,INDEX(ap_Party,94)&amp;"","")</f>
        <v/>
      </c>
      <c r="H2600" s="101">
        <f>IFERROR(N(INDEX(ap_Posted,94)),0)</f>
        <v/>
      </c>
      <c r="I2600" s="58">
        <f>IF(H2600=1,INDEX(ap_DrAcct,94)&amp;"","")</f>
        <v/>
      </c>
      <c r="J2600" s="95">
        <f>IF(H2600=1,INDEX(ap_DrAmt,94),0)</f>
        <v/>
      </c>
      <c r="K2600" s="58">
        <f>IF(H2600=1,INDEX(ap_CrAcct,94)&amp;"","")</f>
        <v/>
      </c>
      <c r="L2600" s="95">
        <f>IF(H2600=1,INDEX(ap_CrAmt,94),0)</f>
        <v/>
      </c>
      <c r="M2600" s="95">
        <f>IF(H2600=1,INDEX(ap_TaxAmt,94),0)</f>
        <v/>
      </c>
      <c r="N2600" s="95" t="n">
        <v>0</v>
      </c>
      <c r="O2600" s="101">
        <f>IF(H2600=1,IF(E2600&lt;FYStart,0,IF(E2600&gt;FYEnd,13,YEAR(E2600)*12+MONTH(E2600)-FYYM+1)),"")</f>
        <v/>
      </c>
      <c r="P2600" s="101">
        <f>IF(H2600=1,IF(IFERROR(INDEX(coa_CF,MATCH(I2600,coa_Name,0)),"")="Cash",1,0),0)</f>
        <v/>
      </c>
      <c r="Q2600" s="101">
        <f>IF(H2600=1,IF(IFERROR(INDEX(coa_CF,MATCH(K2600,coa_Name,0)),"")="Cash",1,0),0)</f>
        <v/>
      </c>
      <c r="R2600" s="58">
        <f>IF((P2600-Q2600)=0,"",IFERROR(INDEX(coa_CF,MATCH(IF((P2600-Q2600)=1,K2600,I2600),coa_Name,0)),"Operating"))</f>
        <v/>
      </c>
      <c r="S2600" s="95">
        <f>IF((P2600-Q2600)=1,L2600,IF((P2600-Q2600)=-1,-J2600,0))</f>
        <v/>
      </c>
      <c r="T2600" s="95">
        <f>IF((P2600-Q2600)=1,N2600,IF((P2600-Q2600)=-1,-M2600,0))</f>
        <v/>
      </c>
      <c r="U2600" s="101">
        <f>IF(AND(H2600=1,LedAcct&lt;&gt;""),IF(AND(E2600&gt;=LedFrom,E2600&lt;=LedTo,OR(I2600=LedAcct,K2600=LedAcct,AND(LedAcct=acctTax,M2600+N2600&lt;&gt;0))),E2600*10000+B2600,""),"")</f>
        <v/>
      </c>
    </row>
    <row r="2601">
      <c r="B2601" s="101" t="n">
        <v>2595</v>
      </c>
      <c r="C2601" s="58" t="inlineStr">
        <is>
          <t>Bill</t>
        </is>
      </c>
      <c r="D2601" s="58">
        <f>IF(H2601=1,INDEX(ap_No,95)&amp;"","")</f>
        <v/>
      </c>
      <c r="E2601" s="94">
        <f>IF(H2601=1,INDEX(ap_Date,95),"")</f>
        <v/>
      </c>
      <c r="F2601" s="58">
        <f>IF(H2601=1,INDEX(ap_Desc,95)&amp;"","")</f>
        <v/>
      </c>
      <c r="G2601" s="58">
        <f>IF(H2601=1,INDEX(ap_Party,95)&amp;"","")</f>
        <v/>
      </c>
      <c r="H2601" s="101">
        <f>IFERROR(N(INDEX(ap_Posted,95)),0)</f>
        <v/>
      </c>
      <c r="I2601" s="58">
        <f>IF(H2601=1,INDEX(ap_DrAcct,95)&amp;"","")</f>
        <v/>
      </c>
      <c r="J2601" s="95">
        <f>IF(H2601=1,INDEX(ap_DrAmt,95),0)</f>
        <v/>
      </c>
      <c r="K2601" s="58">
        <f>IF(H2601=1,INDEX(ap_CrAcct,95)&amp;"","")</f>
        <v/>
      </c>
      <c r="L2601" s="95">
        <f>IF(H2601=1,INDEX(ap_CrAmt,95),0)</f>
        <v/>
      </c>
      <c r="M2601" s="95">
        <f>IF(H2601=1,INDEX(ap_TaxAmt,95),0)</f>
        <v/>
      </c>
      <c r="N2601" s="95" t="n">
        <v>0</v>
      </c>
      <c r="O2601" s="101">
        <f>IF(H2601=1,IF(E2601&lt;FYStart,0,IF(E2601&gt;FYEnd,13,YEAR(E2601)*12+MONTH(E2601)-FYYM+1)),"")</f>
        <v/>
      </c>
      <c r="P2601" s="101">
        <f>IF(H2601=1,IF(IFERROR(INDEX(coa_CF,MATCH(I2601,coa_Name,0)),"")="Cash",1,0),0)</f>
        <v/>
      </c>
      <c r="Q2601" s="101">
        <f>IF(H2601=1,IF(IFERROR(INDEX(coa_CF,MATCH(K2601,coa_Name,0)),"")="Cash",1,0),0)</f>
        <v/>
      </c>
      <c r="R2601" s="58">
        <f>IF((P2601-Q2601)=0,"",IFERROR(INDEX(coa_CF,MATCH(IF((P2601-Q2601)=1,K2601,I2601),coa_Name,0)),"Operating"))</f>
        <v/>
      </c>
      <c r="S2601" s="95">
        <f>IF((P2601-Q2601)=1,L2601,IF((P2601-Q2601)=-1,-J2601,0))</f>
        <v/>
      </c>
      <c r="T2601" s="95">
        <f>IF((P2601-Q2601)=1,N2601,IF((P2601-Q2601)=-1,-M2601,0))</f>
        <v/>
      </c>
      <c r="U2601" s="101">
        <f>IF(AND(H2601=1,LedAcct&lt;&gt;""),IF(AND(E2601&gt;=LedFrom,E2601&lt;=LedTo,OR(I2601=LedAcct,K2601=LedAcct,AND(LedAcct=acctTax,M2601+N2601&lt;&gt;0))),E2601*10000+B2601,""),"")</f>
        <v/>
      </c>
    </row>
    <row r="2602">
      <c r="B2602" s="101" t="n">
        <v>2596</v>
      </c>
      <c r="C2602" s="58" t="inlineStr">
        <is>
          <t>Bill</t>
        </is>
      </c>
      <c r="D2602" s="58">
        <f>IF(H2602=1,INDEX(ap_No,96)&amp;"","")</f>
        <v/>
      </c>
      <c r="E2602" s="94">
        <f>IF(H2602=1,INDEX(ap_Date,96),"")</f>
        <v/>
      </c>
      <c r="F2602" s="58">
        <f>IF(H2602=1,INDEX(ap_Desc,96)&amp;"","")</f>
        <v/>
      </c>
      <c r="G2602" s="58">
        <f>IF(H2602=1,INDEX(ap_Party,96)&amp;"","")</f>
        <v/>
      </c>
      <c r="H2602" s="101">
        <f>IFERROR(N(INDEX(ap_Posted,96)),0)</f>
        <v/>
      </c>
      <c r="I2602" s="58">
        <f>IF(H2602=1,INDEX(ap_DrAcct,96)&amp;"","")</f>
        <v/>
      </c>
      <c r="J2602" s="95">
        <f>IF(H2602=1,INDEX(ap_DrAmt,96),0)</f>
        <v/>
      </c>
      <c r="K2602" s="58">
        <f>IF(H2602=1,INDEX(ap_CrAcct,96)&amp;"","")</f>
        <v/>
      </c>
      <c r="L2602" s="95">
        <f>IF(H2602=1,INDEX(ap_CrAmt,96),0)</f>
        <v/>
      </c>
      <c r="M2602" s="95">
        <f>IF(H2602=1,INDEX(ap_TaxAmt,96),0)</f>
        <v/>
      </c>
      <c r="N2602" s="95" t="n">
        <v>0</v>
      </c>
      <c r="O2602" s="101">
        <f>IF(H2602=1,IF(E2602&lt;FYStart,0,IF(E2602&gt;FYEnd,13,YEAR(E2602)*12+MONTH(E2602)-FYYM+1)),"")</f>
        <v/>
      </c>
      <c r="P2602" s="101">
        <f>IF(H2602=1,IF(IFERROR(INDEX(coa_CF,MATCH(I2602,coa_Name,0)),"")="Cash",1,0),0)</f>
        <v/>
      </c>
      <c r="Q2602" s="101">
        <f>IF(H2602=1,IF(IFERROR(INDEX(coa_CF,MATCH(K2602,coa_Name,0)),"")="Cash",1,0),0)</f>
        <v/>
      </c>
      <c r="R2602" s="58">
        <f>IF((P2602-Q2602)=0,"",IFERROR(INDEX(coa_CF,MATCH(IF((P2602-Q2602)=1,K2602,I2602),coa_Name,0)),"Operating"))</f>
        <v/>
      </c>
      <c r="S2602" s="95">
        <f>IF((P2602-Q2602)=1,L2602,IF((P2602-Q2602)=-1,-J2602,0))</f>
        <v/>
      </c>
      <c r="T2602" s="95">
        <f>IF((P2602-Q2602)=1,N2602,IF((P2602-Q2602)=-1,-M2602,0))</f>
        <v/>
      </c>
      <c r="U2602" s="101">
        <f>IF(AND(H2602=1,LedAcct&lt;&gt;""),IF(AND(E2602&gt;=LedFrom,E2602&lt;=LedTo,OR(I2602=LedAcct,K2602=LedAcct,AND(LedAcct=acctTax,M2602+N2602&lt;&gt;0))),E2602*10000+B2602,""),"")</f>
        <v/>
      </c>
    </row>
    <row r="2603">
      <c r="B2603" s="101" t="n">
        <v>2597</v>
      </c>
      <c r="C2603" s="58" t="inlineStr">
        <is>
          <t>Bill</t>
        </is>
      </c>
      <c r="D2603" s="58">
        <f>IF(H2603=1,INDEX(ap_No,97)&amp;"","")</f>
        <v/>
      </c>
      <c r="E2603" s="94">
        <f>IF(H2603=1,INDEX(ap_Date,97),"")</f>
        <v/>
      </c>
      <c r="F2603" s="58">
        <f>IF(H2603=1,INDEX(ap_Desc,97)&amp;"","")</f>
        <v/>
      </c>
      <c r="G2603" s="58">
        <f>IF(H2603=1,INDEX(ap_Party,97)&amp;"","")</f>
        <v/>
      </c>
      <c r="H2603" s="101">
        <f>IFERROR(N(INDEX(ap_Posted,97)),0)</f>
        <v/>
      </c>
      <c r="I2603" s="58">
        <f>IF(H2603=1,INDEX(ap_DrAcct,97)&amp;"","")</f>
        <v/>
      </c>
      <c r="J2603" s="95">
        <f>IF(H2603=1,INDEX(ap_DrAmt,97),0)</f>
        <v/>
      </c>
      <c r="K2603" s="58">
        <f>IF(H2603=1,INDEX(ap_CrAcct,97)&amp;"","")</f>
        <v/>
      </c>
      <c r="L2603" s="95">
        <f>IF(H2603=1,INDEX(ap_CrAmt,97),0)</f>
        <v/>
      </c>
      <c r="M2603" s="95">
        <f>IF(H2603=1,INDEX(ap_TaxAmt,97),0)</f>
        <v/>
      </c>
      <c r="N2603" s="95" t="n">
        <v>0</v>
      </c>
      <c r="O2603" s="101">
        <f>IF(H2603=1,IF(E2603&lt;FYStart,0,IF(E2603&gt;FYEnd,13,YEAR(E2603)*12+MONTH(E2603)-FYYM+1)),"")</f>
        <v/>
      </c>
      <c r="P2603" s="101">
        <f>IF(H2603=1,IF(IFERROR(INDEX(coa_CF,MATCH(I2603,coa_Name,0)),"")="Cash",1,0),0)</f>
        <v/>
      </c>
      <c r="Q2603" s="101">
        <f>IF(H2603=1,IF(IFERROR(INDEX(coa_CF,MATCH(K2603,coa_Name,0)),"")="Cash",1,0),0)</f>
        <v/>
      </c>
      <c r="R2603" s="58">
        <f>IF((P2603-Q2603)=0,"",IFERROR(INDEX(coa_CF,MATCH(IF((P2603-Q2603)=1,K2603,I2603),coa_Name,0)),"Operating"))</f>
        <v/>
      </c>
      <c r="S2603" s="95">
        <f>IF((P2603-Q2603)=1,L2603,IF((P2603-Q2603)=-1,-J2603,0))</f>
        <v/>
      </c>
      <c r="T2603" s="95">
        <f>IF((P2603-Q2603)=1,N2603,IF((P2603-Q2603)=-1,-M2603,0))</f>
        <v/>
      </c>
      <c r="U2603" s="101">
        <f>IF(AND(H2603=1,LedAcct&lt;&gt;""),IF(AND(E2603&gt;=LedFrom,E2603&lt;=LedTo,OR(I2603=LedAcct,K2603=LedAcct,AND(LedAcct=acctTax,M2603+N2603&lt;&gt;0))),E2603*10000+B2603,""),"")</f>
        <v/>
      </c>
    </row>
    <row r="2604">
      <c r="B2604" s="101" t="n">
        <v>2598</v>
      </c>
      <c r="C2604" s="58" t="inlineStr">
        <is>
          <t>Bill</t>
        </is>
      </c>
      <c r="D2604" s="58">
        <f>IF(H2604=1,INDEX(ap_No,98)&amp;"","")</f>
        <v/>
      </c>
      <c r="E2604" s="94">
        <f>IF(H2604=1,INDEX(ap_Date,98),"")</f>
        <v/>
      </c>
      <c r="F2604" s="58">
        <f>IF(H2604=1,INDEX(ap_Desc,98)&amp;"","")</f>
        <v/>
      </c>
      <c r="G2604" s="58">
        <f>IF(H2604=1,INDEX(ap_Party,98)&amp;"","")</f>
        <v/>
      </c>
      <c r="H2604" s="101">
        <f>IFERROR(N(INDEX(ap_Posted,98)),0)</f>
        <v/>
      </c>
      <c r="I2604" s="58">
        <f>IF(H2604=1,INDEX(ap_DrAcct,98)&amp;"","")</f>
        <v/>
      </c>
      <c r="J2604" s="95">
        <f>IF(H2604=1,INDEX(ap_DrAmt,98),0)</f>
        <v/>
      </c>
      <c r="K2604" s="58">
        <f>IF(H2604=1,INDEX(ap_CrAcct,98)&amp;"","")</f>
        <v/>
      </c>
      <c r="L2604" s="95">
        <f>IF(H2604=1,INDEX(ap_CrAmt,98),0)</f>
        <v/>
      </c>
      <c r="M2604" s="95">
        <f>IF(H2604=1,INDEX(ap_TaxAmt,98),0)</f>
        <v/>
      </c>
      <c r="N2604" s="95" t="n">
        <v>0</v>
      </c>
      <c r="O2604" s="101">
        <f>IF(H2604=1,IF(E2604&lt;FYStart,0,IF(E2604&gt;FYEnd,13,YEAR(E2604)*12+MONTH(E2604)-FYYM+1)),"")</f>
        <v/>
      </c>
      <c r="P2604" s="101">
        <f>IF(H2604=1,IF(IFERROR(INDEX(coa_CF,MATCH(I2604,coa_Name,0)),"")="Cash",1,0),0)</f>
        <v/>
      </c>
      <c r="Q2604" s="101">
        <f>IF(H2604=1,IF(IFERROR(INDEX(coa_CF,MATCH(K2604,coa_Name,0)),"")="Cash",1,0),0)</f>
        <v/>
      </c>
      <c r="R2604" s="58">
        <f>IF((P2604-Q2604)=0,"",IFERROR(INDEX(coa_CF,MATCH(IF((P2604-Q2604)=1,K2604,I2604),coa_Name,0)),"Operating"))</f>
        <v/>
      </c>
      <c r="S2604" s="95">
        <f>IF((P2604-Q2604)=1,L2604,IF((P2604-Q2604)=-1,-J2604,0))</f>
        <v/>
      </c>
      <c r="T2604" s="95">
        <f>IF((P2604-Q2604)=1,N2604,IF((P2604-Q2604)=-1,-M2604,0))</f>
        <v/>
      </c>
      <c r="U2604" s="101">
        <f>IF(AND(H2604=1,LedAcct&lt;&gt;""),IF(AND(E2604&gt;=LedFrom,E2604&lt;=LedTo,OR(I2604=LedAcct,K2604=LedAcct,AND(LedAcct=acctTax,M2604+N2604&lt;&gt;0))),E2604*10000+B2604,""),"")</f>
        <v/>
      </c>
    </row>
    <row r="2605">
      <c r="B2605" s="101" t="n">
        <v>2599</v>
      </c>
      <c r="C2605" s="58" t="inlineStr">
        <is>
          <t>Bill</t>
        </is>
      </c>
      <c r="D2605" s="58">
        <f>IF(H2605=1,INDEX(ap_No,99)&amp;"","")</f>
        <v/>
      </c>
      <c r="E2605" s="94">
        <f>IF(H2605=1,INDEX(ap_Date,99),"")</f>
        <v/>
      </c>
      <c r="F2605" s="58">
        <f>IF(H2605=1,INDEX(ap_Desc,99)&amp;"","")</f>
        <v/>
      </c>
      <c r="G2605" s="58">
        <f>IF(H2605=1,INDEX(ap_Party,99)&amp;"","")</f>
        <v/>
      </c>
      <c r="H2605" s="101">
        <f>IFERROR(N(INDEX(ap_Posted,99)),0)</f>
        <v/>
      </c>
      <c r="I2605" s="58">
        <f>IF(H2605=1,INDEX(ap_DrAcct,99)&amp;"","")</f>
        <v/>
      </c>
      <c r="J2605" s="95">
        <f>IF(H2605=1,INDEX(ap_DrAmt,99),0)</f>
        <v/>
      </c>
      <c r="K2605" s="58">
        <f>IF(H2605=1,INDEX(ap_CrAcct,99)&amp;"","")</f>
        <v/>
      </c>
      <c r="L2605" s="95">
        <f>IF(H2605=1,INDEX(ap_CrAmt,99),0)</f>
        <v/>
      </c>
      <c r="M2605" s="95">
        <f>IF(H2605=1,INDEX(ap_TaxAmt,99),0)</f>
        <v/>
      </c>
      <c r="N2605" s="95" t="n">
        <v>0</v>
      </c>
      <c r="O2605" s="101">
        <f>IF(H2605=1,IF(E2605&lt;FYStart,0,IF(E2605&gt;FYEnd,13,YEAR(E2605)*12+MONTH(E2605)-FYYM+1)),"")</f>
        <v/>
      </c>
      <c r="P2605" s="101">
        <f>IF(H2605=1,IF(IFERROR(INDEX(coa_CF,MATCH(I2605,coa_Name,0)),"")="Cash",1,0),0)</f>
        <v/>
      </c>
      <c r="Q2605" s="101">
        <f>IF(H2605=1,IF(IFERROR(INDEX(coa_CF,MATCH(K2605,coa_Name,0)),"")="Cash",1,0),0)</f>
        <v/>
      </c>
      <c r="R2605" s="58">
        <f>IF((P2605-Q2605)=0,"",IFERROR(INDEX(coa_CF,MATCH(IF((P2605-Q2605)=1,K2605,I2605),coa_Name,0)),"Operating"))</f>
        <v/>
      </c>
      <c r="S2605" s="95">
        <f>IF((P2605-Q2605)=1,L2605,IF((P2605-Q2605)=-1,-J2605,0))</f>
        <v/>
      </c>
      <c r="T2605" s="95">
        <f>IF((P2605-Q2605)=1,N2605,IF((P2605-Q2605)=-1,-M2605,0))</f>
        <v/>
      </c>
      <c r="U2605" s="101">
        <f>IF(AND(H2605=1,LedAcct&lt;&gt;""),IF(AND(E2605&gt;=LedFrom,E2605&lt;=LedTo,OR(I2605=LedAcct,K2605=LedAcct,AND(LedAcct=acctTax,M2605+N2605&lt;&gt;0))),E2605*10000+B2605,""),"")</f>
        <v/>
      </c>
    </row>
    <row r="2606">
      <c r="B2606" s="101" t="n">
        <v>2600</v>
      </c>
      <c r="C2606" s="58" t="inlineStr">
        <is>
          <t>Bill</t>
        </is>
      </c>
      <c r="D2606" s="58">
        <f>IF(H2606=1,INDEX(ap_No,100)&amp;"","")</f>
        <v/>
      </c>
      <c r="E2606" s="94">
        <f>IF(H2606=1,INDEX(ap_Date,100),"")</f>
        <v/>
      </c>
      <c r="F2606" s="58">
        <f>IF(H2606=1,INDEX(ap_Desc,100)&amp;"","")</f>
        <v/>
      </c>
      <c r="G2606" s="58">
        <f>IF(H2606=1,INDEX(ap_Party,100)&amp;"","")</f>
        <v/>
      </c>
      <c r="H2606" s="101">
        <f>IFERROR(N(INDEX(ap_Posted,100)),0)</f>
        <v/>
      </c>
      <c r="I2606" s="58">
        <f>IF(H2606=1,INDEX(ap_DrAcct,100)&amp;"","")</f>
        <v/>
      </c>
      <c r="J2606" s="95">
        <f>IF(H2606=1,INDEX(ap_DrAmt,100),0)</f>
        <v/>
      </c>
      <c r="K2606" s="58">
        <f>IF(H2606=1,INDEX(ap_CrAcct,100)&amp;"","")</f>
        <v/>
      </c>
      <c r="L2606" s="95">
        <f>IF(H2606=1,INDEX(ap_CrAmt,100),0)</f>
        <v/>
      </c>
      <c r="M2606" s="95">
        <f>IF(H2606=1,INDEX(ap_TaxAmt,100),0)</f>
        <v/>
      </c>
      <c r="N2606" s="95" t="n">
        <v>0</v>
      </c>
      <c r="O2606" s="101">
        <f>IF(H2606=1,IF(E2606&lt;FYStart,0,IF(E2606&gt;FYEnd,13,YEAR(E2606)*12+MONTH(E2606)-FYYM+1)),"")</f>
        <v/>
      </c>
      <c r="P2606" s="101">
        <f>IF(H2606=1,IF(IFERROR(INDEX(coa_CF,MATCH(I2606,coa_Name,0)),"")="Cash",1,0),0)</f>
        <v/>
      </c>
      <c r="Q2606" s="101">
        <f>IF(H2606=1,IF(IFERROR(INDEX(coa_CF,MATCH(K2606,coa_Name,0)),"")="Cash",1,0),0)</f>
        <v/>
      </c>
      <c r="R2606" s="58">
        <f>IF((P2606-Q2606)=0,"",IFERROR(INDEX(coa_CF,MATCH(IF((P2606-Q2606)=1,K2606,I2606),coa_Name,0)),"Operating"))</f>
        <v/>
      </c>
      <c r="S2606" s="95">
        <f>IF((P2606-Q2606)=1,L2606,IF((P2606-Q2606)=-1,-J2606,0))</f>
        <v/>
      </c>
      <c r="T2606" s="95">
        <f>IF((P2606-Q2606)=1,N2606,IF((P2606-Q2606)=-1,-M2606,0))</f>
        <v/>
      </c>
      <c r="U2606" s="101">
        <f>IF(AND(H2606=1,LedAcct&lt;&gt;""),IF(AND(E2606&gt;=LedFrom,E2606&lt;=LedTo,OR(I2606=LedAcct,K2606=LedAcct,AND(LedAcct=acctTax,M2606+N2606&lt;&gt;0))),E2606*10000+B2606,""),"")</f>
        <v/>
      </c>
    </row>
    <row r="2607">
      <c r="B2607" s="101" t="n">
        <v>2601</v>
      </c>
      <c r="C2607" s="58" t="inlineStr">
        <is>
          <t>Bill</t>
        </is>
      </c>
      <c r="D2607" s="58">
        <f>IF(H2607=1,INDEX(ap_No,101)&amp;"","")</f>
        <v/>
      </c>
      <c r="E2607" s="94">
        <f>IF(H2607=1,INDEX(ap_Date,101),"")</f>
        <v/>
      </c>
      <c r="F2607" s="58">
        <f>IF(H2607=1,INDEX(ap_Desc,101)&amp;"","")</f>
        <v/>
      </c>
      <c r="G2607" s="58">
        <f>IF(H2607=1,INDEX(ap_Party,101)&amp;"","")</f>
        <v/>
      </c>
      <c r="H2607" s="101">
        <f>IFERROR(N(INDEX(ap_Posted,101)),0)</f>
        <v/>
      </c>
      <c r="I2607" s="58">
        <f>IF(H2607=1,INDEX(ap_DrAcct,101)&amp;"","")</f>
        <v/>
      </c>
      <c r="J2607" s="95">
        <f>IF(H2607=1,INDEX(ap_DrAmt,101),0)</f>
        <v/>
      </c>
      <c r="K2607" s="58">
        <f>IF(H2607=1,INDEX(ap_CrAcct,101)&amp;"","")</f>
        <v/>
      </c>
      <c r="L2607" s="95">
        <f>IF(H2607=1,INDEX(ap_CrAmt,101),0)</f>
        <v/>
      </c>
      <c r="M2607" s="95">
        <f>IF(H2607=1,INDEX(ap_TaxAmt,101),0)</f>
        <v/>
      </c>
      <c r="N2607" s="95" t="n">
        <v>0</v>
      </c>
      <c r="O2607" s="101">
        <f>IF(H2607=1,IF(E2607&lt;FYStart,0,IF(E2607&gt;FYEnd,13,YEAR(E2607)*12+MONTH(E2607)-FYYM+1)),"")</f>
        <v/>
      </c>
      <c r="P2607" s="101">
        <f>IF(H2607=1,IF(IFERROR(INDEX(coa_CF,MATCH(I2607,coa_Name,0)),"")="Cash",1,0),0)</f>
        <v/>
      </c>
      <c r="Q2607" s="101">
        <f>IF(H2607=1,IF(IFERROR(INDEX(coa_CF,MATCH(K2607,coa_Name,0)),"")="Cash",1,0),0)</f>
        <v/>
      </c>
      <c r="R2607" s="58">
        <f>IF((P2607-Q2607)=0,"",IFERROR(INDEX(coa_CF,MATCH(IF((P2607-Q2607)=1,K2607,I2607),coa_Name,0)),"Operating"))</f>
        <v/>
      </c>
      <c r="S2607" s="95">
        <f>IF((P2607-Q2607)=1,L2607,IF((P2607-Q2607)=-1,-J2607,0))</f>
        <v/>
      </c>
      <c r="T2607" s="95">
        <f>IF((P2607-Q2607)=1,N2607,IF((P2607-Q2607)=-1,-M2607,0))</f>
        <v/>
      </c>
      <c r="U2607" s="101">
        <f>IF(AND(H2607=1,LedAcct&lt;&gt;""),IF(AND(E2607&gt;=LedFrom,E2607&lt;=LedTo,OR(I2607=LedAcct,K2607=LedAcct,AND(LedAcct=acctTax,M2607+N2607&lt;&gt;0))),E2607*10000+B2607,""),"")</f>
        <v/>
      </c>
    </row>
    <row r="2608">
      <c r="B2608" s="101" t="n">
        <v>2602</v>
      </c>
      <c r="C2608" s="58" t="inlineStr">
        <is>
          <t>Bill</t>
        </is>
      </c>
      <c r="D2608" s="58">
        <f>IF(H2608=1,INDEX(ap_No,102)&amp;"","")</f>
        <v/>
      </c>
      <c r="E2608" s="94">
        <f>IF(H2608=1,INDEX(ap_Date,102),"")</f>
        <v/>
      </c>
      <c r="F2608" s="58">
        <f>IF(H2608=1,INDEX(ap_Desc,102)&amp;"","")</f>
        <v/>
      </c>
      <c r="G2608" s="58">
        <f>IF(H2608=1,INDEX(ap_Party,102)&amp;"","")</f>
        <v/>
      </c>
      <c r="H2608" s="101">
        <f>IFERROR(N(INDEX(ap_Posted,102)),0)</f>
        <v/>
      </c>
      <c r="I2608" s="58">
        <f>IF(H2608=1,INDEX(ap_DrAcct,102)&amp;"","")</f>
        <v/>
      </c>
      <c r="J2608" s="95">
        <f>IF(H2608=1,INDEX(ap_DrAmt,102),0)</f>
        <v/>
      </c>
      <c r="K2608" s="58">
        <f>IF(H2608=1,INDEX(ap_CrAcct,102)&amp;"","")</f>
        <v/>
      </c>
      <c r="L2608" s="95">
        <f>IF(H2608=1,INDEX(ap_CrAmt,102),0)</f>
        <v/>
      </c>
      <c r="M2608" s="95">
        <f>IF(H2608=1,INDEX(ap_TaxAmt,102),0)</f>
        <v/>
      </c>
      <c r="N2608" s="95" t="n">
        <v>0</v>
      </c>
      <c r="O2608" s="101">
        <f>IF(H2608=1,IF(E2608&lt;FYStart,0,IF(E2608&gt;FYEnd,13,YEAR(E2608)*12+MONTH(E2608)-FYYM+1)),"")</f>
        <v/>
      </c>
      <c r="P2608" s="101">
        <f>IF(H2608=1,IF(IFERROR(INDEX(coa_CF,MATCH(I2608,coa_Name,0)),"")="Cash",1,0),0)</f>
        <v/>
      </c>
      <c r="Q2608" s="101">
        <f>IF(H2608=1,IF(IFERROR(INDEX(coa_CF,MATCH(K2608,coa_Name,0)),"")="Cash",1,0),0)</f>
        <v/>
      </c>
      <c r="R2608" s="58">
        <f>IF((P2608-Q2608)=0,"",IFERROR(INDEX(coa_CF,MATCH(IF((P2608-Q2608)=1,K2608,I2608),coa_Name,0)),"Operating"))</f>
        <v/>
      </c>
      <c r="S2608" s="95">
        <f>IF((P2608-Q2608)=1,L2608,IF((P2608-Q2608)=-1,-J2608,0))</f>
        <v/>
      </c>
      <c r="T2608" s="95">
        <f>IF((P2608-Q2608)=1,N2608,IF((P2608-Q2608)=-1,-M2608,0))</f>
        <v/>
      </c>
      <c r="U2608" s="101">
        <f>IF(AND(H2608=1,LedAcct&lt;&gt;""),IF(AND(E2608&gt;=LedFrom,E2608&lt;=LedTo,OR(I2608=LedAcct,K2608=LedAcct,AND(LedAcct=acctTax,M2608+N2608&lt;&gt;0))),E2608*10000+B2608,""),"")</f>
        <v/>
      </c>
    </row>
    <row r="2609">
      <c r="B2609" s="101" t="n">
        <v>2603</v>
      </c>
      <c r="C2609" s="58" t="inlineStr">
        <is>
          <t>Bill</t>
        </is>
      </c>
      <c r="D2609" s="58">
        <f>IF(H2609=1,INDEX(ap_No,103)&amp;"","")</f>
        <v/>
      </c>
      <c r="E2609" s="94">
        <f>IF(H2609=1,INDEX(ap_Date,103),"")</f>
        <v/>
      </c>
      <c r="F2609" s="58">
        <f>IF(H2609=1,INDEX(ap_Desc,103)&amp;"","")</f>
        <v/>
      </c>
      <c r="G2609" s="58">
        <f>IF(H2609=1,INDEX(ap_Party,103)&amp;"","")</f>
        <v/>
      </c>
      <c r="H2609" s="101">
        <f>IFERROR(N(INDEX(ap_Posted,103)),0)</f>
        <v/>
      </c>
      <c r="I2609" s="58">
        <f>IF(H2609=1,INDEX(ap_DrAcct,103)&amp;"","")</f>
        <v/>
      </c>
      <c r="J2609" s="95">
        <f>IF(H2609=1,INDEX(ap_DrAmt,103),0)</f>
        <v/>
      </c>
      <c r="K2609" s="58">
        <f>IF(H2609=1,INDEX(ap_CrAcct,103)&amp;"","")</f>
        <v/>
      </c>
      <c r="L2609" s="95">
        <f>IF(H2609=1,INDEX(ap_CrAmt,103),0)</f>
        <v/>
      </c>
      <c r="M2609" s="95">
        <f>IF(H2609=1,INDEX(ap_TaxAmt,103),0)</f>
        <v/>
      </c>
      <c r="N2609" s="95" t="n">
        <v>0</v>
      </c>
      <c r="O2609" s="101">
        <f>IF(H2609=1,IF(E2609&lt;FYStart,0,IF(E2609&gt;FYEnd,13,YEAR(E2609)*12+MONTH(E2609)-FYYM+1)),"")</f>
        <v/>
      </c>
      <c r="P2609" s="101">
        <f>IF(H2609=1,IF(IFERROR(INDEX(coa_CF,MATCH(I2609,coa_Name,0)),"")="Cash",1,0),0)</f>
        <v/>
      </c>
      <c r="Q2609" s="101">
        <f>IF(H2609=1,IF(IFERROR(INDEX(coa_CF,MATCH(K2609,coa_Name,0)),"")="Cash",1,0),0)</f>
        <v/>
      </c>
      <c r="R2609" s="58">
        <f>IF((P2609-Q2609)=0,"",IFERROR(INDEX(coa_CF,MATCH(IF((P2609-Q2609)=1,K2609,I2609),coa_Name,0)),"Operating"))</f>
        <v/>
      </c>
      <c r="S2609" s="95">
        <f>IF((P2609-Q2609)=1,L2609,IF((P2609-Q2609)=-1,-J2609,0))</f>
        <v/>
      </c>
      <c r="T2609" s="95">
        <f>IF((P2609-Q2609)=1,N2609,IF((P2609-Q2609)=-1,-M2609,0))</f>
        <v/>
      </c>
      <c r="U2609" s="101">
        <f>IF(AND(H2609=1,LedAcct&lt;&gt;""),IF(AND(E2609&gt;=LedFrom,E2609&lt;=LedTo,OR(I2609=LedAcct,K2609=LedAcct,AND(LedAcct=acctTax,M2609+N2609&lt;&gt;0))),E2609*10000+B2609,""),"")</f>
        <v/>
      </c>
    </row>
    <row r="2610">
      <c r="B2610" s="101" t="n">
        <v>2604</v>
      </c>
      <c r="C2610" s="58" t="inlineStr">
        <is>
          <t>Bill</t>
        </is>
      </c>
      <c r="D2610" s="58">
        <f>IF(H2610=1,INDEX(ap_No,104)&amp;"","")</f>
        <v/>
      </c>
      <c r="E2610" s="94">
        <f>IF(H2610=1,INDEX(ap_Date,104),"")</f>
        <v/>
      </c>
      <c r="F2610" s="58">
        <f>IF(H2610=1,INDEX(ap_Desc,104)&amp;"","")</f>
        <v/>
      </c>
      <c r="G2610" s="58">
        <f>IF(H2610=1,INDEX(ap_Party,104)&amp;"","")</f>
        <v/>
      </c>
      <c r="H2610" s="101">
        <f>IFERROR(N(INDEX(ap_Posted,104)),0)</f>
        <v/>
      </c>
      <c r="I2610" s="58">
        <f>IF(H2610=1,INDEX(ap_DrAcct,104)&amp;"","")</f>
        <v/>
      </c>
      <c r="J2610" s="95">
        <f>IF(H2610=1,INDEX(ap_DrAmt,104),0)</f>
        <v/>
      </c>
      <c r="K2610" s="58">
        <f>IF(H2610=1,INDEX(ap_CrAcct,104)&amp;"","")</f>
        <v/>
      </c>
      <c r="L2610" s="95">
        <f>IF(H2610=1,INDEX(ap_CrAmt,104),0)</f>
        <v/>
      </c>
      <c r="M2610" s="95">
        <f>IF(H2610=1,INDEX(ap_TaxAmt,104),0)</f>
        <v/>
      </c>
      <c r="N2610" s="95" t="n">
        <v>0</v>
      </c>
      <c r="O2610" s="101">
        <f>IF(H2610=1,IF(E2610&lt;FYStart,0,IF(E2610&gt;FYEnd,13,YEAR(E2610)*12+MONTH(E2610)-FYYM+1)),"")</f>
        <v/>
      </c>
      <c r="P2610" s="101">
        <f>IF(H2610=1,IF(IFERROR(INDEX(coa_CF,MATCH(I2610,coa_Name,0)),"")="Cash",1,0),0)</f>
        <v/>
      </c>
      <c r="Q2610" s="101">
        <f>IF(H2610=1,IF(IFERROR(INDEX(coa_CF,MATCH(K2610,coa_Name,0)),"")="Cash",1,0),0)</f>
        <v/>
      </c>
      <c r="R2610" s="58">
        <f>IF((P2610-Q2610)=0,"",IFERROR(INDEX(coa_CF,MATCH(IF((P2610-Q2610)=1,K2610,I2610),coa_Name,0)),"Operating"))</f>
        <v/>
      </c>
      <c r="S2610" s="95">
        <f>IF((P2610-Q2610)=1,L2610,IF((P2610-Q2610)=-1,-J2610,0))</f>
        <v/>
      </c>
      <c r="T2610" s="95">
        <f>IF((P2610-Q2610)=1,N2610,IF((P2610-Q2610)=-1,-M2610,0))</f>
        <v/>
      </c>
      <c r="U2610" s="101">
        <f>IF(AND(H2610=1,LedAcct&lt;&gt;""),IF(AND(E2610&gt;=LedFrom,E2610&lt;=LedTo,OR(I2610=LedAcct,K2610=LedAcct,AND(LedAcct=acctTax,M2610+N2610&lt;&gt;0))),E2610*10000+B2610,""),"")</f>
        <v/>
      </c>
    </row>
    <row r="2611">
      <c r="B2611" s="101" t="n">
        <v>2605</v>
      </c>
      <c r="C2611" s="58" t="inlineStr">
        <is>
          <t>Bill</t>
        </is>
      </c>
      <c r="D2611" s="58">
        <f>IF(H2611=1,INDEX(ap_No,105)&amp;"","")</f>
        <v/>
      </c>
      <c r="E2611" s="94">
        <f>IF(H2611=1,INDEX(ap_Date,105),"")</f>
        <v/>
      </c>
      <c r="F2611" s="58">
        <f>IF(H2611=1,INDEX(ap_Desc,105)&amp;"","")</f>
        <v/>
      </c>
      <c r="G2611" s="58">
        <f>IF(H2611=1,INDEX(ap_Party,105)&amp;"","")</f>
        <v/>
      </c>
      <c r="H2611" s="101">
        <f>IFERROR(N(INDEX(ap_Posted,105)),0)</f>
        <v/>
      </c>
      <c r="I2611" s="58">
        <f>IF(H2611=1,INDEX(ap_DrAcct,105)&amp;"","")</f>
        <v/>
      </c>
      <c r="J2611" s="95">
        <f>IF(H2611=1,INDEX(ap_DrAmt,105),0)</f>
        <v/>
      </c>
      <c r="K2611" s="58">
        <f>IF(H2611=1,INDEX(ap_CrAcct,105)&amp;"","")</f>
        <v/>
      </c>
      <c r="L2611" s="95">
        <f>IF(H2611=1,INDEX(ap_CrAmt,105),0)</f>
        <v/>
      </c>
      <c r="M2611" s="95">
        <f>IF(H2611=1,INDEX(ap_TaxAmt,105),0)</f>
        <v/>
      </c>
      <c r="N2611" s="95" t="n">
        <v>0</v>
      </c>
      <c r="O2611" s="101">
        <f>IF(H2611=1,IF(E2611&lt;FYStart,0,IF(E2611&gt;FYEnd,13,YEAR(E2611)*12+MONTH(E2611)-FYYM+1)),"")</f>
        <v/>
      </c>
      <c r="P2611" s="101">
        <f>IF(H2611=1,IF(IFERROR(INDEX(coa_CF,MATCH(I2611,coa_Name,0)),"")="Cash",1,0),0)</f>
        <v/>
      </c>
      <c r="Q2611" s="101">
        <f>IF(H2611=1,IF(IFERROR(INDEX(coa_CF,MATCH(K2611,coa_Name,0)),"")="Cash",1,0),0)</f>
        <v/>
      </c>
      <c r="R2611" s="58">
        <f>IF((P2611-Q2611)=0,"",IFERROR(INDEX(coa_CF,MATCH(IF((P2611-Q2611)=1,K2611,I2611),coa_Name,0)),"Operating"))</f>
        <v/>
      </c>
      <c r="S2611" s="95">
        <f>IF((P2611-Q2611)=1,L2611,IF((P2611-Q2611)=-1,-J2611,0))</f>
        <v/>
      </c>
      <c r="T2611" s="95">
        <f>IF((P2611-Q2611)=1,N2611,IF((P2611-Q2611)=-1,-M2611,0))</f>
        <v/>
      </c>
      <c r="U2611" s="101">
        <f>IF(AND(H2611=1,LedAcct&lt;&gt;""),IF(AND(E2611&gt;=LedFrom,E2611&lt;=LedTo,OR(I2611=LedAcct,K2611=LedAcct,AND(LedAcct=acctTax,M2611+N2611&lt;&gt;0))),E2611*10000+B2611,""),"")</f>
        <v/>
      </c>
    </row>
    <row r="2612">
      <c r="B2612" s="101" t="n">
        <v>2606</v>
      </c>
      <c r="C2612" s="58" t="inlineStr">
        <is>
          <t>Bill</t>
        </is>
      </c>
      <c r="D2612" s="58">
        <f>IF(H2612=1,INDEX(ap_No,106)&amp;"","")</f>
        <v/>
      </c>
      <c r="E2612" s="94">
        <f>IF(H2612=1,INDEX(ap_Date,106),"")</f>
        <v/>
      </c>
      <c r="F2612" s="58">
        <f>IF(H2612=1,INDEX(ap_Desc,106)&amp;"","")</f>
        <v/>
      </c>
      <c r="G2612" s="58">
        <f>IF(H2612=1,INDEX(ap_Party,106)&amp;"","")</f>
        <v/>
      </c>
      <c r="H2612" s="101">
        <f>IFERROR(N(INDEX(ap_Posted,106)),0)</f>
        <v/>
      </c>
      <c r="I2612" s="58">
        <f>IF(H2612=1,INDEX(ap_DrAcct,106)&amp;"","")</f>
        <v/>
      </c>
      <c r="J2612" s="95">
        <f>IF(H2612=1,INDEX(ap_DrAmt,106),0)</f>
        <v/>
      </c>
      <c r="K2612" s="58">
        <f>IF(H2612=1,INDEX(ap_CrAcct,106)&amp;"","")</f>
        <v/>
      </c>
      <c r="L2612" s="95">
        <f>IF(H2612=1,INDEX(ap_CrAmt,106),0)</f>
        <v/>
      </c>
      <c r="M2612" s="95">
        <f>IF(H2612=1,INDEX(ap_TaxAmt,106),0)</f>
        <v/>
      </c>
      <c r="N2612" s="95" t="n">
        <v>0</v>
      </c>
      <c r="O2612" s="101">
        <f>IF(H2612=1,IF(E2612&lt;FYStart,0,IF(E2612&gt;FYEnd,13,YEAR(E2612)*12+MONTH(E2612)-FYYM+1)),"")</f>
        <v/>
      </c>
      <c r="P2612" s="101">
        <f>IF(H2612=1,IF(IFERROR(INDEX(coa_CF,MATCH(I2612,coa_Name,0)),"")="Cash",1,0),0)</f>
        <v/>
      </c>
      <c r="Q2612" s="101">
        <f>IF(H2612=1,IF(IFERROR(INDEX(coa_CF,MATCH(K2612,coa_Name,0)),"")="Cash",1,0),0)</f>
        <v/>
      </c>
      <c r="R2612" s="58">
        <f>IF((P2612-Q2612)=0,"",IFERROR(INDEX(coa_CF,MATCH(IF((P2612-Q2612)=1,K2612,I2612),coa_Name,0)),"Operating"))</f>
        <v/>
      </c>
      <c r="S2612" s="95">
        <f>IF((P2612-Q2612)=1,L2612,IF((P2612-Q2612)=-1,-J2612,0))</f>
        <v/>
      </c>
      <c r="T2612" s="95">
        <f>IF((P2612-Q2612)=1,N2612,IF((P2612-Q2612)=-1,-M2612,0))</f>
        <v/>
      </c>
      <c r="U2612" s="101">
        <f>IF(AND(H2612=1,LedAcct&lt;&gt;""),IF(AND(E2612&gt;=LedFrom,E2612&lt;=LedTo,OR(I2612=LedAcct,K2612=LedAcct,AND(LedAcct=acctTax,M2612+N2612&lt;&gt;0))),E2612*10000+B2612,""),"")</f>
        <v/>
      </c>
    </row>
    <row r="2613">
      <c r="B2613" s="101" t="n">
        <v>2607</v>
      </c>
      <c r="C2613" s="58" t="inlineStr">
        <is>
          <t>Bill</t>
        </is>
      </c>
      <c r="D2613" s="58">
        <f>IF(H2613=1,INDEX(ap_No,107)&amp;"","")</f>
        <v/>
      </c>
      <c r="E2613" s="94">
        <f>IF(H2613=1,INDEX(ap_Date,107),"")</f>
        <v/>
      </c>
      <c r="F2613" s="58">
        <f>IF(H2613=1,INDEX(ap_Desc,107)&amp;"","")</f>
        <v/>
      </c>
      <c r="G2613" s="58">
        <f>IF(H2613=1,INDEX(ap_Party,107)&amp;"","")</f>
        <v/>
      </c>
      <c r="H2613" s="101">
        <f>IFERROR(N(INDEX(ap_Posted,107)),0)</f>
        <v/>
      </c>
      <c r="I2613" s="58">
        <f>IF(H2613=1,INDEX(ap_DrAcct,107)&amp;"","")</f>
        <v/>
      </c>
      <c r="J2613" s="95">
        <f>IF(H2613=1,INDEX(ap_DrAmt,107),0)</f>
        <v/>
      </c>
      <c r="K2613" s="58">
        <f>IF(H2613=1,INDEX(ap_CrAcct,107)&amp;"","")</f>
        <v/>
      </c>
      <c r="L2613" s="95">
        <f>IF(H2613=1,INDEX(ap_CrAmt,107),0)</f>
        <v/>
      </c>
      <c r="M2613" s="95">
        <f>IF(H2613=1,INDEX(ap_TaxAmt,107),0)</f>
        <v/>
      </c>
      <c r="N2613" s="95" t="n">
        <v>0</v>
      </c>
      <c r="O2613" s="101">
        <f>IF(H2613=1,IF(E2613&lt;FYStart,0,IF(E2613&gt;FYEnd,13,YEAR(E2613)*12+MONTH(E2613)-FYYM+1)),"")</f>
        <v/>
      </c>
      <c r="P2613" s="101">
        <f>IF(H2613=1,IF(IFERROR(INDEX(coa_CF,MATCH(I2613,coa_Name,0)),"")="Cash",1,0),0)</f>
        <v/>
      </c>
      <c r="Q2613" s="101">
        <f>IF(H2613=1,IF(IFERROR(INDEX(coa_CF,MATCH(K2613,coa_Name,0)),"")="Cash",1,0),0)</f>
        <v/>
      </c>
      <c r="R2613" s="58">
        <f>IF((P2613-Q2613)=0,"",IFERROR(INDEX(coa_CF,MATCH(IF((P2613-Q2613)=1,K2613,I2613),coa_Name,0)),"Operating"))</f>
        <v/>
      </c>
      <c r="S2613" s="95">
        <f>IF((P2613-Q2613)=1,L2613,IF((P2613-Q2613)=-1,-J2613,0))</f>
        <v/>
      </c>
      <c r="T2613" s="95">
        <f>IF((P2613-Q2613)=1,N2613,IF((P2613-Q2613)=-1,-M2613,0))</f>
        <v/>
      </c>
      <c r="U2613" s="101">
        <f>IF(AND(H2613=1,LedAcct&lt;&gt;""),IF(AND(E2613&gt;=LedFrom,E2613&lt;=LedTo,OR(I2613=LedAcct,K2613=LedAcct,AND(LedAcct=acctTax,M2613+N2613&lt;&gt;0))),E2613*10000+B2613,""),"")</f>
        <v/>
      </c>
    </row>
    <row r="2614">
      <c r="B2614" s="101" t="n">
        <v>2608</v>
      </c>
      <c r="C2614" s="58" t="inlineStr">
        <is>
          <t>Bill</t>
        </is>
      </c>
      <c r="D2614" s="58">
        <f>IF(H2614=1,INDEX(ap_No,108)&amp;"","")</f>
        <v/>
      </c>
      <c r="E2614" s="94">
        <f>IF(H2614=1,INDEX(ap_Date,108),"")</f>
        <v/>
      </c>
      <c r="F2614" s="58">
        <f>IF(H2614=1,INDEX(ap_Desc,108)&amp;"","")</f>
        <v/>
      </c>
      <c r="G2614" s="58">
        <f>IF(H2614=1,INDEX(ap_Party,108)&amp;"","")</f>
        <v/>
      </c>
      <c r="H2614" s="101">
        <f>IFERROR(N(INDEX(ap_Posted,108)),0)</f>
        <v/>
      </c>
      <c r="I2614" s="58">
        <f>IF(H2614=1,INDEX(ap_DrAcct,108)&amp;"","")</f>
        <v/>
      </c>
      <c r="J2614" s="95">
        <f>IF(H2614=1,INDEX(ap_DrAmt,108),0)</f>
        <v/>
      </c>
      <c r="K2614" s="58">
        <f>IF(H2614=1,INDEX(ap_CrAcct,108)&amp;"","")</f>
        <v/>
      </c>
      <c r="L2614" s="95">
        <f>IF(H2614=1,INDEX(ap_CrAmt,108),0)</f>
        <v/>
      </c>
      <c r="M2614" s="95">
        <f>IF(H2614=1,INDEX(ap_TaxAmt,108),0)</f>
        <v/>
      </c>
      <c r="N2614" s="95" t="n">
        <v>0</v>
      </c>
      <c r="O2614" s="101">
        <f>IF(H2614=1,IF(E2614&lt;FYStart,0,IF(E2614&gt;FYEnd,13,YEAR(E2614)*12+MONTH(E2614)-FYYM+1)),"")</f>
        <v/>
      </c>
      <c r="P2614" s="101">
        <f>IF(H2614=1,IF(IFERROR(INDEX(coa_CF,MATCH(I2614,coa_Name,0)),"")="Cash",1,0),0)</f>
        <v/>
      </c>
      <c r="Q2614" s="101">
        <f>IF(H2614=1,IF(IFERROR(INDEX(coa_CF,MATCH(K2614,coa_Name,0)),"")="Cash",1,0),0)</f>
        <v/>
      </c>
      <c r="R2614" s="58">
        <f>IF((P2614-Q2614)=0,"",IFERROR(INDEX(coa_CF,MATCH(IF((P2614-Q2614)=1,K2614,I2614),coa_Name,0)),"Operating"))</f>
        <v/>
      </c>
      <c r="S2614" s="95">
        <f>IF((P2614-Q2614)=1,L2614,IF((P2614-Q2614)=-1,-J2614,0))</f>
        <v/>
      </c>
      <c r="T2614" s="95">
        <f>IF((P2614-Q2614)=1,N2614,IF((P2614-Q2614)=-1,-M2614,0))</f>
        <v/>
      </c>
      <c r="U2614" s="101">
        <f>IF(AND(H2614=1,LedAcct&lt;&gt;""),IF(AND(E2614&gt;=LedFrom,E2614&lt;=LedTo,OR(I2614=LedAcct,K2614=LedAcct,AND(LedAcct=acctTax,M2614+N2614&lt;&gt;0))),E2614*10000+B2614,""),"")</f>
        <v/>
      </c>
    </row>
    <row r="2615">
      <c r="B2615" s="101" t="n">
        <v>2609</v>
      </c>
      <c r="C2615" s="58" t="inlineStr">
        <is>
          <t>Bill</t>
        </is>
      </c>
      <c r="D2615" s="58">
        <f>IF(H2615=1,INDEX(ap_No,109)&amp;"","")</f>
        <v/>
      </c>
      <c r="E2615" s="94">
        <f>IF(H2615=1,INDEX(ap_Date,109),"")</f>
        <v/>
      </c>
      <c r="F2615" s="58">
        <f>IF(H2615=1,INDEX(ap_Desc,109)&amp;"","")</f>
        <v/>
      </c>
      <c r="G2615" s="58">
        <f>IF(H2615=1,INDEX(ap_Party,109)&amp;"","")</f>
        <v/>
      </c>
      <c r="H2615" s="101">
        <f>IFERROR(N(INDEX(ap_Posted,109)),0)</f>
        <v/>
      </c>
      <c r="I2615" s="58">
        <f>IF(H2615=1,INDEX(ap_DrAcct,109)&amp;"","")</f>
        <v/>
      </c>
      <c r="J2615" s="95">
        <f>IF(H2615=1,INDEX(ap_DrAmt,109),0)</f>
        <v/>
      </c>
      <c r="K2615" s="58">
        <f>IF(H2615=1,INDEX(ap_CrAcct,109)&amp;"","")</f>
        <v/>
      </c>
      <c r="L2615" s="95">
        <f>IF(H2615=1,INDEX(ap_CrAmt,109),0)</f>
        <v/>
      </c>
      <c r="M2615" s="95">
        <f>IF(H2615=1,INDEX(ap_TaxAmt,109),0)</f>
        <v/>
      </c>
      <c r="N2615" s="95" t="n">
        <v>0</v>
      </c>
      <c r="O2615" s="101">
        <f>IF(H2615=1,IF(E2615&lt;FYStart,0,IF(E2615&gt;FYEnd,13,YEAR(E2615)*12+MONTH(E2615)-FYYM+1)),"")</f>
        <v/>
      </c>
      <c r="P2615" s="101">
        <f>IF(H2615=1,IF(IFERROR(INDEX(coa_CF,MATCH(I2615,coa_Name,0)),"")="Cash",1,0),0)</f>
        <v/>
      </c>
      <c r="Q2615" s="101">
        <f>IF(H2615=1,IF(IFERROR(INDEX(coa_CF,MATCH(K2615,coa_Name,0)),"")="Cash",1,0),0)</f>
        <v/>
      </c>
      <c r="R2615" s="58">
        <f>IF((P2615-Q2615)=0,"",IFERROR(INDEX(coa_CF,MATCH(IF((P2615-Q2615)=1,K2615,I2615),coa_Name,0)),"Operating"))</f>
        <v/>
      </c>
      <c r="S2615" s="95">
        <f>IF((P2615-Q2615)=1,L2615,IF((P2615-Q2615)=-1,-J2615,0))</f>
        <v/>
      </c>
      <c r="T2615" s="95">
        <f>IF((P2615-Q2615)=1,N2615,IF((P2615-Q2615)=-1,-M2615,0))</f>
        <v/>
      </c>
      <c r="U2615" s="101">
        <f>IF(AND(H2615=1,LedAcct&lt;&gt;""),IF(AND(E2615&gt;=LedFrom,E2615&lt;=LedTo,OR(I2615=LedAcct,K2615=LedAcct,AND(LedAcct=acctTax,M2615+N2615&lt;&gt;0))),E2615*10000+B2615,""),"")</f>
        <v/>
      </c>
    </row>
    <row r="2616">
      <c r="B2616" s="101" t="n">
        <v>2610</v>
      </c>
      <c r="C2616" s="58" t="inlineStr">
        <is>
          <t>Bill</t>
        </is>
      </c>
      <c r="D2616" s="58">
        <f>IF(H2616=1,INDEX(ap_No,110)&amp;"","")</f>
        <v/>
      </c>
      <c r="E2616" s="94">
        <f>IF(H2616=1,INDEX(ap_Date,110),"")</f>
        <v/>
      </c>
      <c r="F2616" s="58">
        <f>IF(H2616=1,INDEX(ap_Desc,110)&amp;"","")</f>
        <v/>
      </c>
      <c r="G2616" s="58">
        <f>IF(H2616=1,INDEX(ap_Party,110)&amp;"","")</f>
        <v/>
      </c>
      <c r="H2616" s="101">
        <f>IFERROR(N(INDEX(ap_Posted,110)),0)</f>
        <v/>
      </c>
      <c r="I2616" s="58">
        <f>IF(H2616=1,INDEX(ap_DrAcct,110)&amp;"","")</f>
        <v/>
      </c>
      <c r="J2616" s="95">
        <f>IF(H2616=1,INDEX(ap_DrAmt,110),0)</f>
        <v/>
      </c>
      <c r="K2616" s="58">
        <f>IF(H2616=1,INDEX(ap_CrAcct,110)&amp;"","")</f>
        <v/>
      </c>
      <c r="L2616" s="95">
        <f>IF(H2616=1,INDEX(ap_CrAmt,110),0)</f>
        <v/>
      </c>
      <c r="M2616" s="95">
        <f>IF(H2616=1,INDEX(ap_TaxAmt,110),0)</f>
        <v/>
      </c>
      <c r="N2616" s="95" t="n">
        <v>0</v>
      </c>
      <c r="O2616" s="101">
        <f>IF(H2616=1,IF(E2616&lt;FYStart,0,IF(E2616&gt;FYEnd,13,YEAR(E2616)*12+MONTH(E2616)-FYYM+1)),"")</f>
        <v/>
      </c>
      <c r="P2616" s="101">
        <f>IF(H2616=1,IF(IFERROR(INDEX(coa_CF,MATCH(I2616,coa_Name,0)),"")="Cash",1,0),0)</f>
        <v/>
      </c>
      <c r="Q2616" s="101">
        <f>IF(H2616=1,IF(IFERROR(INDEX(coa_CF,MATCH(K2616,coa_Name,0)),"")="Cash",1,0),0)</f>
        <v/>
      </c>
      <c r="R2616" s="58">
        <f>IF((P2616-Q2616)=0,"",IFERROR(INDEX(coa_CF,MATCH(IF((P2616-Q2616)=1,K2616,I2616),coa_Name,0)),"Operating"))</f>
        <v/>
      </c>
      <c r="S2616" s="95">
        <f>IF((P2616-Q2616)=1,L2616,IF((P2616-Q2616)=-1,-J2616,0))</f>
        <v/>
      </c>
      <c r="T2616" s="95">
        <f>IF((P2616-Q2616)=1,N2616,IF((P2616-Q2616)=-1,-M2616,0))</f>
        <v/>
      </c>
      <c r="U2616" s="101">
        <f>IF(AND(H2616=1,LedAcct&lt;&gt;""),IF(AND(E2616&gt;=LedFrom,E2616&lt;=LedTo,OR(I2616=LedAcct,K2616=LedAcct,AND(LedAcct=acctTax,M2616+N2616&lt;&gt;0))),E2616*10000+B2616,""),"")</f>
        <v/>
      </c>
    </row>
    <row r="2617">
      <c r="B2617" s="101" t="n">
        <v>2611</v>
      </c>
      <c r="C2617" s="58" t="inlineStr">
        <is>
          <t>Bill</t>
        </is>
      </c>
      <c r="D2617" s="58">
        <f>IF(H2617=1,INDEX(ap_No,111)&amp;"","")</f>
        <v/>
      </c>
      <c r="E2617" s="94">
        <f>IF(H2617=1,INDEX(ap_Date,111),"")</f>
        <v/>
      </c>
      <c r="F2617" s="58">
        <f>IF(H2617=1,INDEX(ap_Desc,111)&amp;"","")</f>
        <v/>
      </c>
      <c r="G2617" s="58">
        <f>IF(H2617=1,INDEX(ap_Party,111)&amp;"","")</f>
        <v/>
      </c>
      <c r="H2617" s="101">
        <f>IFERROR(N(INDEX(ap_Posted,111)),0)</f>
        <v/>
      </c>
      <c r="I2617" s="58">
        <f>IF(H2617=1,INDEX(ap_DrAcct,111)&amp;"","")</f>
        <v/>
      </c>
      <c r="J2617" s="95">
        <f>IF(H2617=1,INDEX(ap_DrAmt,111),0)</f>
        <v/>
      </c>
      <c r="K2617" s="58">
        <f>IF(H2617=1,INDEX(ap_CrAcct,111)&amp;"","")</f>
        <v/>
      </c>
      <c r="L2617" s="95">
        <f>IF(H2617=1,INDEX(ap_CrAmt,111),0)</f>
        <v/>
      </c>
      <c r="M2617" s="95">
        <f>IF(H2617=1,INDEX(ap_TaxAmt,111),0)</f>
        <v/>
      </c>
      <c r="N2617" s="95" t="n">
        <v>0</v>
      </c>
      <c r="O2617" s="101">
        <f>IF(H2617=1,IF(E2617&lt;FYStart,0,IF(E2617&gt;FYEnd,13,YEAR(E2617)*12+MONTH(E2617)-FYYM+1)),"")</f>
        <v/>
      </c>
      <c r="P2617" s="101">
        <f>IF(H2617=1,IF(IFERROR(INDEX(coa_CF,MATCH(I2617,coa_Name,0)),"")="Cash",1,0),0)</f>
        <v/>
      </c>
      <c r="Q2617" s="101">
        <f>IF(H2617=1,IF(IFERROR(INDEX(coa_CF,MATCH(K2617,coa_Name,0)),"")="Cash",1,0),0)</f>
        <v/>
      </c>
      <c r="R2617" s="58">
        <f>IF((P2617-Q2617)=0,"",IFERROR(INDEX(coa_CF,MATCH(IF((P2617-Q2617)=1,K2617,I2617),coa_Name,0)),"Operating"))</f>
        <v/>
      </c>
      <c r="S2617" s="95">
        <f>IF((P2617-Q2617)=1,L2617,IF((P2617-Q2617)=-1,-J2617,0))</f>
        <v/>
      </c>
      <c r="T2617" s="95">
        <f>IF((P2617-Q2617)=1,N2617,IF((P2617-Q2617)=-1,-M2617,0))</f>
        <v/>
      </c>
      <c r="U2617" s="101">
        <f>IF(AND(H2617=1,LedAcct&lt;&gt;""),IF(AND(E2617&gt;=LedFrom,E2617&lt;=LedTo,OR(I2617=LedAcct,K2617=LedAcct,AND(LedAcct=acctTax,M2617+N2617&lt;&gt;0))),E2617*10000+B2617,""),"")</f>
        <v/>
      </c>
    </row>
    <row r="2618">
      <c r="B2618" s="101" t="n">
        <v>2612</v>
      </c>
      <c r="C2618" s="58" t="inlineStr">
        <is>
          <t>Bill</t>
        </is>
      </c>
      <c r="D2618" s="58">
        <f>IF(H2618=1,INDEX(ap_No,112)&amp;"","")</f>
        <v/>
      </c>
      <c r="E2618" s="94">
        <f>IF(H2618=1,INDEX(ap_Date,112),"")</f>
        <v/>
      </c>
      <c r="F2618" s="58">
        <f>IF(H2618=1,INDEX(ap_Desc,112)&amp;"","")</f>
        <v/>
      </c>
      <c r="G2618" s="58">
        <f>IF(H2618=1,INDEX(ap_Party,112)&amp;"","")</f>
        <v/>
      </c>
      <c r="H2618" s="101">
        <f>IFERROR(N(INDEX(ap_Posted,112)),0)</f>
        <v/>
      </c>
      <c r="I2618" s="58">
        <f>IF(H2618=1,INDEX(ap_DrAcct,112)&amp;"","")</f>
        <v/>
      </c>
      <c r="J2618" s="95">
        <f>IF(H2618=1,INDEX(ap_DrAmt,112),0)</f>
        <v/>
      </c>
      <c r="K2618" s="58">
        <f>IF(H2618=1,INDEX(ap_CrAcct,112)&amp;"","")</f>
        <v/>
      </c>
      <c r="L2618" s="95">
        <f>IF(H2618=1,INDEX(ap_CrAmt,112),0)</f>
        <v/>
      </c>
      <c r="M2618" s="95">
        <f>IF(H2618=1,INDEX(ap_TaxAmt,112),0)</f>
        <v/>
      </c>
      <c r="N2618" s="95" t="n">
        <v>0</v>
      </c>
      <c r="O2618" s="101">
        <f>IF(H2618=1,IF(E2618&lt;FYStart,0,IF(E2618&gt;FYEnd,13,YEAR(E2618)*12+MONTH(E2618)-FYYM+1)),"")</f>
        <v/>
      </c>
      <c r="P2618" s="101">
        <f>IF(H2618=1,IF(IFERROR(INDEX(coa_CF,MATCH(I2618,coa_Name,0)),"")="Cash",1,0),0)</f>
        <v/>
      </c>
      <c r="Q2618" s="101">
        <f>IF(H2618=1,IF(IFERROR(INDEX(coa_CF,MATCH(K2618,coa_Name,0)),"")="Cash",1,0),0)</f>
        <v/>
      </c>
      <c r="R2618" s="58">
        <f>IF((P2618-Q2618)=0,"",IFERROR(INDEX(coa_CF,MATCH(IF((P2618-Q2618)=1,K2618,I2618),coa_Name,0)),"Operating"))</f>
        <v/>
      </c>
      <c r="S2618" s="95">
        <f>IF((P2618-Q2618)=1,L2618,IF((P2618-Q2618)=-1,-J2618,0))</f>
        <v/>
      </c>
      <c r="T2618" s="95">
        <f>IF((P2618-Q2618)=1,N2618,IF((P2618-Q2618)=-1,-M2618,0))</f>
        <v/>
      </c>
      <c r="U2618" s="101">
        <f>IF(AND(H2618=1,LedAcct&lt;&gt;""),IF(AND(E2618&gt;=LedFrom,E2618&lt;=LedTo,OR(I2618=LedAcct,K2618=LedAcct,AND(LedAcct=acctTax,M2618+N2618&lt;&gt;0))),E2618*10000+B2618,""),"")</f>
        <v/>
      </c>
    </row>
    <row r="2619">
      <c r="B2619" s="101" t="n">
        <v>2613</v>
      </c>
      <c r="C2619" s="58" t="inlineStr">
        <is>
          <t>Bill</t>
        </is>
      </c>
      <c r="D2619" s="58">
        <f>IF(H2619=1,INDEX(ap_No,113)&amp;"","")</f>
        <v/>
      </c>
      <c r="E2619" s="94">
        <f>IF(H2619=1,INDEX(ap_Date,113),"")</f>
        <v/>
      </c>
      <c r="F2619" s="58">
        <f>IF(H2619=1,INDEX(ap_Desc,113)&amp;"","")</f>
        <v/>
      </c>
      <c r="G2619" s="58">
        <f>IF(H2619=1,INDEX(ap_Party,113)&amp;"","")</f>
        <v/>
      </c>
      <c r="H2619" s="101">
        <f>IFERROR(N(INDEX(ap_Posted,113)),0)</f>
        <v/>
      </c>
      <c r="I2619" s="58">
        <f>IF(H2619=1,INDEX(ap_DrAcct,113)&amp;"","")</f>
        <v/>
      </c>
      <c r="J2619" s="95">
        <f>IF(H2619=1,INDEX(ap_DrAmt,113),0)</f>
        <v/>
      </c>
      <c r="K2619" s="58">
        <f>IF(H2619=1,INDEX(ap_CrAcct,113)&amp;"","")</f>
        <v/>
      </c>
      <c r="L2619" s="95">
        <f>IF(H2619=1,INDEX(ap_CrAmt,113),0)</f>
        <v/>
      </c>
      <c r="M2619" s="95">
        <f>IF(H2619=1,INDEX(ap_TaxAmt,113),0)</f>
        <v/>
      </c>
      <c r="N2619" s="95" t="n">
        <v>0</v>
      </c>
      <c r="O2619" s="101">
        <f>IF(H2619=1,IF(E2619&lt;FYStart,0,IF(E2619&gt;FYEnd,13,YEAR(E2619)*12+MONTH(E2619)-FYYM+1)),"")</f>
        <v/>
      </c>
      <c r="P2619" s="101">
        <f>IF(H2619=1,IF(IFERROR(INDEX(coa_CF,MATCH(I2619,coa_Name,0)),"")="Cash",1,0),0)</f>
        <v/>
      </c>
      <c r="Q2619" s="101">
        <f>IF(H2619=1,IF(IFERROR(INDEX(coa_CF,MATCH(K2619,coa_Name,0)),"")="Cash",1,0),0)</f>
        <v/>
      </c>
      <c r="R2619" s="58">
        <f>IF((P2619-Q2619)=0,"",IFERROR(INDEX(coa_CF,MATCH(IF((P2619-Q2619)=1,K2619,I2619),coa_Name,0)),"Operating"))</f>
        <v/>
      </c>
      <c r="S2619" s="95">
        <f>IF((P2619-Q2619)=1,L2619,IF((P2619-Q2619)=-1,-J2619,0))</f>
        <v/>
      </c>
      <c r="T2619" s="95">
        <f>IF((P2619-Q2619)=1,N2619,IF((P2619-Q2619)=-1,-M2619,0))</f>
        <v/>
      </c>
      <c r="U2619" s="101">
        <f>IF(AND(H2619=1,LedAcct&lt;&gt;""),IF(AND(E2619&gt;=LedFrom,E2619&lt;=LedTo,OR(I2619=LedAcct,K2619=LedAcct,AND(LedAcct=acctTax,M2619+N2619&lt;&gt;0))),E2619*10000+B2619,""),"")</f>
        <v/>
      </c>
    </row>
    <row r="2620">
      <c r="B2620" s="101" t="n">
        <v>2614</v>
      </c>
      <c r="C2620" s="58" t="inlineStr">
        <is>
          <t>Bill</t>
        </is>
      </c>
      <c r="D2620" s="58">
        <f>IF(H2620=1,INDEX(ap_No,114)&amp;"","")</f>
        <v/>
      </c>
      <c r="E2620" s="94">
        <f>IF(H2620=1,INDEX(ap_Date,114),"")</f>
        <v/>
      </c>
      <c r="F2620" s="58">
        <f>IF(H2620=1,INDEX(ap_Desc,114)&amp;"","")</f>
        <v/>
      </c>
      <c r="G2620" s="58">
        <f>IF(H2620=1,INDEX(ap_Party,114)&amp;"","")</f>
        <v/>
      </c>
      <c r="H2620" s="101">
        <f>IFERROR(N(INDEX(ap_Posted,114)),0)</f>
        <v/>
      </c>
      <c r="I2620" s="58">
        <f>IF(H2620=1,INDEX(ap_DrAcct,114)&amp;"","")</f>
        <v/>
      </c>
      <c r="J2620" s="95">
        <f>IF(H2620=1,INDEX(ap_DrAmt,114),0)</f>
        <v/>
      </c>
      <c r="K2620" s="58">
        <f>IF(H2620=1,INDEX(ap_CrAcct,114)&amp;"","")</f>
        <v/>
      </c>
      <c r="L2620" s="95">
        <f>IF(H2620=1,INDEX(ap_CrAmt,114),0)</f>
        <v/>
      </c>
      <c r="M2620" s="95">
        <f>IF(H2620=1,INDEX(ap_TaxAmt,114),0)</f>
        <v/>
      </c>
      <c r="N2620" s="95" t="n">
        <v>0</v>
      </c>
      <c r="O2620" s="101">
        <f>IF(H2620=1,IF(E2620&lt;FYStart,0,IF(E2620&gt;FYEnd,13,YEAR(E2620)*12+MONTH(E2620)-FYYM+1)),"")</f>
        <v/>
      </c>
      <c r="P2620" s="101">
        <f>IF(H2620=1,IF(IFERROR(INDEX(coa_CF,MATCH(I2620,coa_Name,0)),"")="Cash",1,0),0)</f>
        <v/>
      </c>
      <c r="Q2620" s="101">
        <f>IF(H2620=1,IF(IFERROR(INDEX(coa_CF,MATCH(K2620,coa_Name,0)),"")="Cash",1,0),0)</f>
        <v/>
      </c>
      <c r="R2620" s="58">
        <f>IF((P2620-Q2620)=0,"",IFERROR(INDEX(coa_CF,MATCH(IF((P2620-Q2620)=1,K2620,I2620),coa_Name,0)),"Operating"))</f>
        <v/>
      </c>
      <c r="S2620" s="95">
        <f>IF((P2620-Q2620)=1,L2620,IF((P2620-Q2620)=-1,-J2620,0))</f>
        <v/>
      </c>
      <c r="T2620" s="95">
        <f>IF((P2620-Q2620)=1,N2620,IF((P2620-Q2620)=-1,-M2620,0))</f>
        <v/>
      </c>
      <c r="U2620" s="101">
        <f>IF(AND(H2620=1,LedAcct&lt;&gt;""),IF(AND(E2620&gt;=LedFrom,E2620&lt;=LedTo,OR(I2620=LedAcct,K2620=LedAcct,AND(LedAcct=acctTax,M2620+N2620&lt;&gt;0))),E2620*10000+B2620,""),"")</f>
        <v/>
      </c>
    </row>
    <row r="2621">
      <c r="B2621" s="101" t="n">
        <v>2615</v>
      </c>
      <c r="C2621" s="58" t="inlineStr">
        <is>
          <t>Bill</t>
        </is>
      </c>
      <c r="D2621" s="58">
        <f>IF(H2621=1,INDEX(ap_No,115)&amp;"","")</f>
        <v/>
      </c>
      <c r="E2621" s="94">
        <f>IF(H2621=1,INDEX(ap_Date,115),"")</f>
        <v/>
      </c>
      <c r="F2621" s="58">
        <f>IF(H2621=1,INDEX(ap_Desc,115)&amp;"","")</f>
        <v/>
      </c>
      <c r="G2621" s="58">
        <f>IF(H2621=1,INDEX(ap_Party,115)&amp;"","")</f>
        <v/>
      </c>
      <c r="H2621" s="101">
        <f>IFERROR(N(INDEX(ap_Posted,115)),0)</f>
        <v/>
      </c>
      <c r="I2621" s="58">
        <f>IF(H2621=1,INDEX(ap_DrAcct,115)&amp;"","")</f>
        <v/>
      </c>
      <c r="J2621" s="95">
        <f>IF(H2621=1,INDEX(ap_DrAmt,115),0)</f>
        <v/>
      </c>
      <c r="K2621" s="58">
        <f>IF(H2621=1,INDEX(ap_CrAcct,115)&amp;"","")</f>
        <v/>
      </c>
      <c r="L2621" s="95">
        <f>IF(H2621=1,INDEX(ap_CrAmt,115),0)</f>
        <v/>
      </c>
      <c r="M2621" s="95">
        <f>IF(H2621=1,INDEX(ap_TaxAmt,115),0)</f>
        <v/>
      </c>
      <c r="N2621" s="95" t="n">
        <v>0</v>
      </c>
      <c r="O2621" s="101">
        <f>IF(H2621=1,IF(E2621&lt;FYStart,0,IF(E2621&gt;FYEnd,13,YEAR(E2621)*12+MONTH(E2621)-FYYM+1)),"")</f>
        <v/>
      </c>
      <c r="P2621" s="101">
        <f>IF(H2621=1,IF(IFERROR(INDEX(coa_CF,MATCH(I2621,coa_Name,0)),"")="Cash",1,0),0)</f>
        <v/>
      </c>
      <c r="Q2621" s="101">
        <f>IF(H2621=1,IF(IFERROR(INDEX(coa_CF,MATCH(K2621,coa_Name,0)),"")="Cash",1,0),0)</f>
        <v/>
      </c>
      <c r="R2621" s="58">
        <f>IF((P2621-Q2621)=0,"",IFERROR(INDEX(coa_CF,MATCH(IF((P2621-Q2621)=1,K2621,I2621),coa_Name,0)),"Operating"))</f>
        <v/>
      </c>
      <c r="S2621" s="95">
        <f>IF((P2621-Q2621)=1,L2621,IF((P2621-Q2621)=-1,-J2621,0))</f>
        <v/>
      </c>
      <c r="T2621" s="95">
        <f>IF((P2621-Q2621)=1,N2621,IF((P2621-Q2621)=-1,-M2621,0))</f>
        <v/>
      </c>
      <c r="U2621" s="101">
        <f>IF(AND(H2621=1,LedAcct&lt;&gt;""),IF(AND(E2621&gt;=LedFrom,E2621&lt;=LedTo,OR(I2621=LedAcct,K2621=LedAcct,AND(LedAcct=acctTax,M2621+N2621&lt;&gt;0))),E2621*10000+B2621,""),"")</f>
        <v/>
      </c>
    </row>
    <row r="2622">
      <c r="B2622" s="101" t="n">
        <v>2616</v>
      </c>
      <c r="C2622" s="58" t="inlineStr">
        <is>
          <t>Bill</t>
        </is>
      </c>
      <c r="D2622" s="58">
        <f>IF(H2622=1,INDEX(ap_No,116)&amp;"","")</f>
        <v/>
      </c>
      <c r="E2622" s="94">
        <f>IF(H2622=1,INDEX(ap_Date,116),"")</f>
        <v/>
      </c>
      <c r="F2622" s="58">
        <f>IF(H2622=1,INDEX(ap_Desc,116)&amp;"","")</f>
        <v/>
      </c>
      <c r="G2622" s="58">
        <f>IF(H2622=1,INDEX(ap_Party,116)&amp;"","")</f>
        <v/>
      </c>
      <c r="H2622" s="101">
        <f>IFERROR(N(INDEX(ap_Posted,116)),0)</f>
        <v/>
      </c>
      <c r="I2622" s="58">
        <f>IF(H2622=1,INDEX(ap_DrAcct,116)&amp;"","")</f>
        <v/>
      </c>
      <c r="J2622" s="95">
        <f>IF(H2622=1,INDEX(ap_DrAmt,116),0)</f>
        <v/>
      </c>
      <c r="K2622" s="58">
        <f>IF(H2622=1,INDEX(ap_CrAcct,116)&amp;"","")</f>
        <v/>
      </c>
      <c r="L2622" s="95">
        <f>IF(H2622=1,INDEX(ap_CrAmt,116),0)</f>
        <v/>
      </c>
      <c r="M2622" s="95">
        <f>IF(H2622=1,INDEX(ap_TaxAmt,116),0)</f>
        <v/>
      </c>
      <c r="N2622" s="95" t="n">
        <v>0</v>
      </c>
      <c r="O2622" s="101">
        <f>IF(H2622=1,IF(E2622&lt;FYStart,0,IF(E2622&gt;FYEnd,13,YEAR(E2622)*12+MONTH(E2622)-FYYM+1)),"")</f>
        <v/>
      </c>
      <c r="P2622" s="101">
        <f>IF(H2622=1,IF(IFERROR(INDEX(coa_CF,MATCH(I2622,coa_Name,0)),"")="Cash",1,0),0)</f>
        <v/>
      </c>
      <c r="Q2622" s="101">
        <f>IF(H2622=1,IF(IFERROR(INDEX(coa_CF,MATCH(K2622,coa_Name,0)),"")="Cash",1,0),0)</f>
        <v/>
      </c>
      <c r="R2622" s="58">
        <f>IF((P2622-Q2622)=0,"",IFERROR(INDEX(coa_CF,MATCH(IF((P2622-Q2622)=1,K2622,I2622),coa_Name,0)),"Operating"))</f>
        <v/>
      </c>
      <c r="S2622" s="95">
        <f>IF((P2622-Q2622)=1,L2622,IF((P2622-Q2622)=-1,-J2622,0))</f>
        <v/>
      </c>
      <c r="T2622" s="95">
        <f>IF((P2622-Q2622)=1,N2622,IF((P2622-Q2622)=-1,-M2622,0))</f>
        <v/>
      </c>
      <c r="U2622" s="101">
        <f>IF(AND(H2622=1,LedAcct&lt;&gt;""),IF(AND(E2622&gt;=LedFrom,E2622&lt;=LedTo,OR(I2622=LedAcct,K2622=LedAcct,AND(LedAcct=acctTax,M2622+N2622&lt;&gt;0))),E2622*10000+B2622,""),"")</f>
        <v/>
      </c>
    </row>
    <row r="2623">
      <c r="B2623" s="101" t="n">
        <v>2617</v>
      </c>
      <c r="C2623" s="58" t="inlineStr">
        <is>
          <t>Bill</t>
        </is>
      </c>
      <c r="D2623" s="58">
        <f>IF(H2623=1,INDEX(ap_No,117)&amp;"","")</f>
        <v/>
      </c>
      <c r="E2623" s="94">
        <f>IF(H2623=1,INDEX(ap_Date,117),"")</f>
        <v/>
      </c>
      <c r="F2623" s="58">
        <f>IF(H2623=1,INDEX(ap_Desc,117)&amp;"","")</f>
        <v/>
      </c>
      <c r="G2623" s="58">
        <f>IF(H2623=1,INDEX(ap_Party,117)&amp;"","")</f>
        <v/>
      </c>
      <c r="H2623" s="101">
        <f>IFERROR(N(INDEX(ap_Posted,117)),0)</f>
        <v/>
      </c>
      <c r="I2623" s="58">
        <f>IF(H2623=1,INDEX(ap_DrAcct,117)&amp;"","")</f>
        <v/>
      </c>
      <c r="J2623" s="95">
        <f>IF(H2623=1,INDEX(ap_DrAmt,117),0)</f>
        <v/>
      </c>
      <c r="K2623" s="58">
        <f>IF(H2623=1,INDEX(ap_CrAcct,117)&amp;"","")</f>
        <v/>
      </c>
      <c r="L2623" s="95">
        <f>IF(H2623=1,INDEX(ap_CrAmt,117),0)</f>
        <v/>
      </c>
      <c r="M2623" s="95">
        <f>IF(H2623=1,INDEX(ap_TaxAmt,117),0)</f>
        <v/>
      </c>
      <c r="N2623" s="95" t="n">
        <v>0</v>
      </c>
      <c r="O2623" s="101">
        <f>IF(H2623=1,IF(E2623&lt;FYStart,0,IF(E2623&gt;FYEnd,13,YEAR(E2623)*12+MONTH(E2623)-FYYM+1)),"")</f>
        <v/>
      </c>
      <c r="P2623" s="101">
        <f>IF(H2623=1,IF(IFERROR(INDEX(coa_CF,MATCH(I2623,coa_Name,0)),"")="Cash",1,0),0)</f>
        <v/>
      </c>
      <c r="Q2623" s="101">
        <f>IF(H2623=1,IF(IFERROR(INDEX(coa_CF,MATCH(K2623,coa_Name,0)),"")="Cash",1,0),0)</f>
        <v/>
      </c>
      <c r="R2623" s="58">
        <f>IF((P2623-Q2623)=0,"",IFERROR(INDEX(coa_CF,MATCH(IF((P2623-Q2623)=1,K2623,I2623),coa_Name,0)),"Operating"))</f>
        <v/>
      </c>
      <c r="S2623" s="95">
        <f>IF((P2623-Q2623)=1,L2623,IF((P2623-Q2623)=-1,-J2623,0))</f>
        <v/>
      </c>
      <c r="T2623" s="95">
        <f>IF((P2623-Q2623)=1,N2623,IF((P2623-Q2623)=-1,-M2623,0))</f>
        <v/>
      </c>
      <c r="U2623" s="101">
        <f>IF(AND(H2623=1,LedAcct&lt;&gt;""),IF(AND(E2623&gt;=LedFrom,E2623&lt;=LedTo,OR(I2623=LedAcct,K2623=LedAcct,AND(LedAcct=acctTax,M2623+N2623&lt;&gt;0))),E2623*10000+B2623,""),"")</f>
        <v/>
      </c>
    </row>
    <row r="2624">
      <c r="B2624" s="101" t="n">
        <v>2618</v>
      </c>
      <c r="C2624" s="58" t="inlineStr">
        <is>
          <t>Bill</t>
        </is>
      </c>
      <c r="D2624" s="58">
        <f>IF(H2624=1,INDEX(ap_No,118)&amp;"","")</f>
        <v/>
      </c>
      <c r="E2624" s="94">
        <f>IF(H2624=1,INDEX(ap_Date,118),"")</f>
        <v/>
      </c>
      <c r="F2624" s="58">
        <f>IF(H2624=1,INDEX(ap_Desc,118)&amp;"","")</f>
        <v/>
      </c>
      <c r="G2624" s="58">
        <f>IF(H2624=1,INDEX(ap_Party,118)&amp;"","")</f>
        <v/>
      </c>
      <c r="H2624" s="101">
        <f>IFERROR(N(INDEX(ap_Posted,118)),0)</f>
        <v/>
      </c>
      <c r="I2624" s="58">
        <f>IF(H2624=1,INDEX(ap_DrAcct,118)&amp;"","")</f>
        <v/>
      </c>
      <c r="J2624" s="95">
        <f>IF(H2624=1,INDEX(ap_DrAmt,118),0)</f>
        <v/>
      </c>
      <c r="K2624" s="58">
        <f>IF(H2624=1,INDEX(ap_CrAcct,118)&amp;"","")</f>
        <v/>
      </c>
      <c r="L2624" s="95">
        <f>IF(H2624=1,INDEX(ap_CrAmt,118),0)</f>
        <v/>
      </c>
      <c r="M2624" s="95">
        <f>IF(H2624=1,INDEX(ap_TaxAmt,118),0)</f>
        <v/>
      </c>
      <c r="N2624" s="95" t="n">
        <v>0</v>
      </c>
      <c r="O2624" s="101">
        <f>IF(H2624=1,IF(E2624&lt;FYStart,0,IF(E2624&gt;FYEnd,13,YEAR(E2624)*12+MONTH(E2624)-FYYM+1)),"")</f>
        <v/>
      </c>
      <c r="P2624" s="101">
        <f>IF(H2624=1,IF(IFERROR(INDEX(coa_CF,MATCH(I2624,coa_Name,0)),"")="Cash",1,0),0)</f>
        <v/>
      </c>
      <c r="Q2624" s="101">
        <f>IF(H2624=1,IF(IFERROR(INDEX(coa_CF,MATCH(K2624,coa_Name,0)),"")="Cash",1,0),0)</f>
        <v/>
      </c>
      <c r="R2624" s="58">
        <f>IF((P2624-Q2624)=0,"",IFERROR(INDEX(coa_CF,MATCH(IF((P2624-Q2624)=1,K2624,I2624),coa_Name,0)),"Operating"))</f>
        <v/>
      </c>
      <c r="S2624" s="95">
        <f>IF((P2624-Q2624)=1,L2624,IF((P2624-Q2624)=-1,-J2624,0))</f>
        <v/>
      </c>
      <c r="T2624" s="95">
        <f>IF((P2624-Q2624)=1,N2624,IF((P2624-Q2624)=-1,-M2624,0))</f>
        <v/>
      </c>
      <c r="U2624" s="101">
        <f>IF(AND(H2624=1,LedAcct&lt;&gt;""),IF(AND(E2624&gt;=LedFrom,E2624&lt;=LedTo,OR(I2624=LedAcct,K2624=LedAcct,AND(LedAcct=acctTax,M2624+N2624&lt;&gt;0))),E2624*10000+B2624,""),"")</f>
        <v/>
      </c>
    </row>
    <row r="2625">
      <c r="B2625" s="101" t="n">
        <v>2619</v>
      </c>
      <c r="C2625" s="58" t="inlineStr">
        <is>
          <t>Bill</t>
        </is>
      </c>
      <c r="D2625" s="58">
        <f>IF(H2625=1,INDEX(ap_No,119)&amp;"","")</f>
        <v/>
      </c>
      <c r="E2625" s="94">
        <f>IF(H2625=1,INDEX(ap_Date,119),"")</f>
        <v/>
      </c>
      <c r="F2625" s="58">
        <f>IF(H2625=1,INDEX(ap_Desc,119)&amp;"","")</f>
        <v/>
      </c>
      <c r="G2625" s="58">
        <f>IF(H2625=1,INDEX(ap_Party,119)&amp;"","")</f>
        <v/>
      </c>
      <c r="H2625" s="101">
        <f>IFERROR(N(INDEX(ap_Posted,119)),0)</f>
        <v/>
      </c>
      <c r="I2625" s="58">
        <f>IF(H2625=1,INDEX(ap_DrAcct,119)&amp;"","")</f>
        <v/>
      </c>
      <c r="J2625" s="95">
        <f>IF(H2625=1,INDEX(ap_DrAmt,119),0)</f>
        <v/>
      </c>
      <c r="K2625" s="58">
        <f>IF(H2625=1,INDEX(ap_CrAcct,119)&amp;"","")</f>
        <v/>
      </c>
      <c r="L2625" s="95">
        <f>IF(H2625=1,INDEX(ap_CrAmt,119),0)</f>
        <v/>
      </c>
      <c r="M2625" s="95">
        <f>IF(H2625=1,INDEX(ap_TaxAmt,119),0)</f>
        <v/>
      </c>
      <c r="N2625" s="95" t="n">
        <v>0</v>
      </c>
      <c r="O2625" s="101">
        <f>IF(H2625=1,IF(E2625&lt;FYStart,0,IF(E2625&gt;FYEnd,13,YEAR(E2625)*12+MONTH(E2625)-FYYM+1)),"")</f>
        <v/>
      </c>
      <c r="P2625" s="101">
        <f>IF(H2625=1,IF(IFERROR(INDEX(coa_CF,MATCH(I2625,coa_Name,0)),"")="Cash",1,0),0)</f>
        <v/>
      </c>
      <c r="Q2625" s="101">
        <f>IF(H2625=1,IF(IFERROR(INDEX(coa_CF,MATCH(K2625,coa_Name,0)),"")="Cash",1,0),0)</f>
        <v/>
      </c>
      <c r="R2625" s="58">
        <f>IF((P2625-Q2625)=0,"",IFERROR(INDEX(coa_CF,MATCH(IF((P2625-Q2625)=1,K2625,I2625),coa_Name,0)),"Operating"))</f>
        <v/>
      </c>
      <c r="S2625" s="95">
        <f>IF((P2625-Q2625)=1,L2625,IF((P2625-Q2625)=-1,-J2625,0))</f>
        <v/>
      </c>
      <c r="T2625" s="95">
        <f>IF((P2625-Q2625)=1,N2625,IF((P2625-Q2625)=-1,-M2625,0))</f>
        <v/>
      </c>
      <c r="U2625" s="101">
        <f>IF(AND(H2625=1,LedAcct&lt;&gt;""),IF(AND(E2625&gt;=LedFrom,E2625&lt;=LedTo,OR(I2625=LedAcct,K2625=LedAcct,AND(LedAcct=acctTax,M2625+N2625&lt;&gt;0))),E2625*10000+B2625,""),"")</f>
        <v/>
      </c>
    </row>
    <row r="2626">
      <c r="B2626" s="101" t="n">
        <v>2620</v>
      </c>
      <c r="C2626" s="58" t="inlineStr">
        <is>
          <t>Bill</t>
        </is>
      </c>
      <c r="D2626" s="58">
        <f>IF(H2626=1,INDEX(ap_No,120)&amp;"","")</f>
        <v/>
      </c>
      <c r="E2626" s="94">
        <f>IF(H2626=1,INDEX(ap_Date,120),"")</f>
        <v/>
      </c>
      <c r="F2626" s="58">
        <f>IF(H2626=1,INDEX(ap_Desc,120)&amp;"","")</f>
        <v/>
      </c>
      <c r="G2626" s="58">
        <f>IF(H2626=1,INDEX(ap_Party,120)&amp;"","")</f>
        <v/>
      </c>
      <c r="H2626" s="101">
        <f>IFERROR(N(INDEX(ap_Posted,120)),0)</f>
        <v/>
      </c>
      <c r="I2626" s="58">
        <f>IF(H2626=1,INDEX(ap_DrAcct,120)&amp;"","")</f>
        <v/>
      </c>
      <c r="J2626" s="95">
        <f>IF(H2626=1,INDEX(ap_DrAmt,120),0)</f>
        <v/>
      </c>
      <c r="K2626" s="58">
        <f>IF(H2626=1,INDEX(ap_CrAcct,120)&amp;"","")</f>
        <v/>
      </c>
      <c r="L2626" s="95">
        <f>IF(H2626=1,INDEX(ap_CrAmt,120),0)</f>
        <v/>
      </c>
      <c r="M2626" s="95">
        <f>IF(H2626=1,INDEX(ap_TaxAmt,120),0)</f>
        <v/>
      </c>
      <c r="N2626" s="95" t="n">
        <v>0</v>
      </c>
      <c r="O2626" s="101">
        <f>IF(H2626=1,IF(E2626&lt;FYStart,0,IF(E2626&gt;FYEnd,13,YEAR(E2626)*12+MONTH(E2626)-FYYM+1)),"")</f>
        <v/>
      </c>
      <c r="P2626" s="101">
        <f>IF(H2626=1,IF(IFERROR(INDEX(coa_CF,MATCH(I2626,coa_Name,0)),"")="Cash",1,0),0)</f>
        <v/>
      </c>
      <c r="Q2626" s="101">
        <f>IF(H2626=1,IF(IFERROR(INDEX(coa_CF,MATCH(K2626,coa_Name,0)),"")="Cash",1,0),0)</f>
        <v/>
      </c>
      <c r="R2626" s="58">
        <f>IF((P2626-Q2626)=0,"",IFERROR(INDEX(coa_CF,MATCH(IF((P2626-Q2626)=1,K2626,I2626),coa_Name,0)),"Operating"))</f>
        <v/>
      </c>
      <c r="S2626" s="95">
        <f>IF((P2626-Q2626)=1,L2626,IF((P2626-Q2626)=-1,-J2626,0))</f>
        <v/>
      </c>
      <c r="T2626" s="95">
        <f>IF((P2626-Q2626)=1,N2626,IF((P2626-Q2626)=-1,-M2626,0))</f>
        <v/>
      </c>
      <c r="U2626" s="101">
        <f>IF(AND(H2626=1,LedAcct&lt;&gt;""),IF(AND(E2626&gt;=LedFrom,E2626&lt;=LedTo,OR(I2626=LedAcct,K2626=LedAcct,AND(LedAcct=acctTax,M2626+N2626&lt;&gt;0))),E2626*10000+B2626,""),"")</f>
        <v/>
      </c>
    </row>
    <row r="2627">
      <c r="B2627" s="101" t="n">
        <v>2621</v>
      </c>
      <c r="C2627" s="58" t="inlineStr">
        <is>
          <t>Bill</t>
        </is>
      </c>
      <c r="D2627" s="58">
        <f>IF(H2627=1,INDEX(ap_No,121)&amp;"","")</f>
        <v/>
      </c>
      <c r="E2627" s="94">
        <f>IF(H2627=1,INDEX(ap_Date,121),"")</f>
        <v/>
      </c>
      <c r="F2627" s="58">
        <f>IF(H2627=1,INDEX(ap_Desc,121)&amp;"","")</f>
        <v/>
      </c>
      <c r="G2627" s="58">
        <f>IF(H2627=1,INDEX(ap_Party,121)&amp;"","")</f>
        <v/>
      </c>
      <c r="H2627" s="101">
        <f>IFERROR(N(INDEX(ap_Posted,121)),0)</f>
        <v/>
      </c>
      <c r="I2627" s="58">
        <f>IF(H2627=1,INDEX(ap_DrAcct,121)&amp;"","")</f>
        <v/>
      </c>
      <c r="J2627" s="95">
        <f>IF(H2627=1,INDEX(ap_DrAmt,121),0)</f>
        <v/>
      </c>
      <c r="K2627" s="58">
        <f>IF(H2627=1,INDEX(ap_CrAcct,121)&amp;"","")</f>
        <v/>
      </c>
      <c r="L2627" s="95">
        <f>IF(H2627=1,INDEX(ap_CrAmt,121),0)</f>
        <v/>
      </c>
      <c r="M2627" s="95">
        <f>IF(H2627=1,INDEX(ap_TaxAmt,121),0)</f>
        <v/>
      </c>
      <c r="N2627" s="95" t="n">
        <v>0</v>
      </c>
      <c r="O2627" s="101">
        <f>IF(H2627=1,IF(E2627&lt;FYStart,0,IF(E2627&gt;FYEnd,13,YEAR(E2627)*12+MONTH(E2627)-FYYM+1)),"")</f>
        <v/>
      </c>
      <c r="P2627" s="101">
        <f>IF(H2627=1,IF(IFERROR(INDEX(coa_CF,MATCH(I2627,coa_Name,0)),"")="Cash",1,0),0)</f>
        <v/>
      </c>
      <c r="Q2627" s="101">
        <f>IF(H2627=1,IF(IFERROR(INDEX(coa_CF,MATCH(K2627,coa_Name,0)),"")="Cash",1,0),0)</f>
        <v/>
      </c>
      <c r="R2627" s="58">
        <f>IF((P2627-Q2627)=0,"",IFERROR(INDEX(coa_CF,MATCH(IF((P2627-Q2627)=1,K2627,I2627),coa_Name,0)),"Operating"))</f>
        <v/>
      </c>
      <c r="S2627" s="95">
        <f>IF((P2627-Q2627)=1,L2627,IF((P2627-Q2627)=-1,-J2627,0))</f>
        <v/>
      </c>
      <c r="T2627" s="95">
        <f>IF((P2627-Q2627)=1,N2627,IF((P2627-Q2627)=-1,-M2627,0))</f>
        <v/>
      </c>
      <c r="U2627" s="101">
        <f>IF(AND(H2627=1,LedAcct&lt;&gt;""),IF(AND(E2627&gt;=LedFrom,E2627&lt;=LedTo,OR(I2627=LedAcct,K2627=LedAcct,AND(LedAcct=acctTax,M2627+N2627&lt;&gt;0))),E2627*10000+B2627,""),"")</f>
        <v/>
      </c>
    </row>
    <row r="2628">
      <c r="B2628" s="101" t="n">
        <v>2622</v>
      </c>
      <c r="C2628" s="58" t="inlineStr">
        <is>
          <t>Bill</t>
        </is>
      </c>
      <c r="D2628" s="58">
        <f>IF(H2628=1,INDEX(ap_No,122)&amp;"","")</f>
        <v/>
      </c>
      <c r="E2628" s="94">
        <f>IF(H2628=1,INDEX(ap_Date,122),"")</f>
        <v/>
      </c>
      <c r="F2628" s="58">
        <f>IF(H2628=1,INDEX(ap_Desc,122)&amp;"","")</f>
        <v/>
      </c>
      <c r="G2628" s="58">
        <f>IF(H2628=1,INDEX(ap_Party,122)&amp;"","")</f>
        <v/>
      </c>
      <c r="H2628" s="101">
        <f>IFERROR(N(INDEX(ap_Posted,122)),0)</f>
        <v/>
      </c>
      <c r="I2628" s="58">
        <f>IF(H2628=1,INDEX(ap_DrAcct,122)&amp;"","")</f>
        <v/>
      </c>
      <c r="J2628" s="95">
        <f>IF(H2628=1,INDEX(ap_DrAmt,122),0)</f>
        <v/>
      </c>
      <c r="K2628" s="58">
        <f>IF(H2628=1,INDEX(ap_CrAcct,122)&amp;"","")</f>
        <v/>
      </c>
      <c r="L2628" s="95">
        <f>IF(H2628=1,INDEX(ap_CrAmt,122),0)</f>
        <v/>
      </c>
      <c r="M2628" s="95">
        <f>IF(H2628=1,INDEX(ap_TaxAmt,122),0)</f>
        <v/>
      </c>
      <c r="N2628" s="95" t="n">
        <v>0</v>
      </c>
      <c r="O2628" s="101">
        <f>IF(H2628=1,IF(E2628&lt;FYStart,0,IF(E2628&gt;FYEnd,13,YEAR(E2628)*12+MONTH(E2628)-FYYM+1)),"")</f>
        <v/>
      </c>
      <c r="P2628" s="101">
        <f>IF(H2628=1,IF(IFERROR(INDEX(coa_CF,MATCH(I2628,coa_Name,0)),"")="Cash",1,0),0)</f>
        <v/>
      </c>
      <c r="Q2628" s="101">
        <f>IF(H2628=1,IF(IFERROR(INDEX(coa_CF,MATCH(K2628,coa_Name,0)),"")="Cash",1,0),0)</f>
        <v/>
      </c>
      <c r="R2628" s="58">
        <f>IF((P2628-Q2628)=0,"",IFERROR(INDEX(coa_CF,MATCH(IF((P2628-Q2628)=1,K2628,I2628),coa_Name,0)),"Operating"))</f>
        <v/>
      </c>
      <c r="S2628" s="95">
        <f>IF((P2628-Q2628)=1,L2628,IF((P2628-Q2628)=-1,-J2628,0))</f>
        <v/>
      </c>
      <c r="T2628" s="95">
        <f>IF((P2628-Q2628)=1,N2628,IF((P2628-Q2628)=-1,-M2628,0))</f>
        <v/>
      </c>
      <c r="U2628" s="101">
        <f>IF(AND(H2628=1,LedAcct&lt;&gt;""),IF(AND(E2628&gt;=LedFrom,E2628&lt;=LedTo,OR(I2628=LedAcct,K2628=LedAcct,AND(LedAcct=acctTax,M2628+N2628&lt;&gt;0))),E2628*10000+B2628,""),"")</f>
        <v/>
      </c>
    </row>
    <row r="2629">
      <c r="B2629" s="101" t="n">
        <v>2623</v>
      </c>
      <c r="C2629" s="58" t="inlineStr">
        <is>
          <t>Bill</t>
        </is>
      </c>
      <c r="D2629" s="58">
        <f>IF(H2629=1,INDEX(ap_No,123)&amp;"","")</f>
        <v/>
      </c>
      <c r="E2629" s="94">
        <f>IF(H2629=1,INDEX(ap_Date,123),"")</f>
        <v/>
      </c>
      <c r="F2629" s="58">
        <f>IF(H2629=1,INDEX(ap_Desc,123)&amp;"","")</f>
        <v/>
      </c>
      <c r="G2629" s="58">
        <f>IF(H2629=1,INDEX(ap_Party,123)&amp;"","")</f>
        <v/>
      </c>
      <c r="H2629" s="101">
        <f>IFERROR(N(INDEX(ap_Posted,123)),0)</f>
        <v/>
      </c>
      <c r="I2629" s="58">
        <f>IF(H2629=1,INDEX(ap_DrAcct,123)&amp;"","")</f>
        <v/>
      </c>
      <c r="J2629" s="95">
        <f>IF(H2629=1,INDEX(ap_DrAmt,123),0)</f>
        <v/>
      </c>
      <c r="K2629" s="58">
        <f>IF(H2629=1,INDEX(ap_CrAcct,123)&amp;"","")</f>
        <v/>
      </c>
      <c r="L2629" s="95">
        <f>IF(H2629=1,INDEX(ap_CrAmt,123),0)</f>
        <v/>
      </c>
      <c r="M2629" s="95">
        <f>IF(H2629=1,INDEX(ap_TaxAmt,123),0)</f>
        <v/>
      </c>
      <c r="N2629" s="95" t="n">
        <v>0</v>
      </c>
      <c r="O2629" s="101">
        <f>IF(H2629=1,IF(E2629&lt;FYStart,0,IF(E2629&gt;FYEnd,13,YEAR(E2629)*12+MONTH(E2629)-FYYM+1)),"")</f>
        <v/>
      </c>
      <c r="P2629" s="101">
        <f>IF(H2629=1,IF(IFERROR(INDEX(coa_CF,MATCH(I2629,coa_Name,0)),"")="Cash",1,0),0)</f>
        <v/>
      </c>
      <c r="Q2629" s="101">
        <f>IF(H2629=1,IF(IFERROR(INDEX(coa_CF,MATCH(K2629,coa_Name,0)),"")="Cash",1,0),0)</f>
        <v/>
      </c>
      <c r="R2629" s="58">
        <f>IF((P2629-Q2629)=0,"",IFERROR(INDEX(coa_CF,MATCH(IF((P2629-Q2629)=1,K2629,I2629),coa_Name,0)),"Operating"))</f>
        <v/>
      </c>
      <c r="S2629" s="95">
        <f>IF((P2629-Q2629)=1,L2629,IF((P2629-Q2629)=-1,-J2629,0))</f>
        <v/>
      </c>
      <c r="T2629" s="95">
        <f>IF((P2629-Q2629)=1,N2629,IF((P2629-Q2629)=-1,-M2629,0))</f>
        <v/>
      </c>
      <c r="U2629" s="101">
        <f>IF(AND(H2629=1,LedAcct&lt;&gt;""),IF(AND(E2629&gt;=LedFrom,E2629&lt;=LedTo,OR(I2629=LedAcct,K2629=LedAcct,AND(LedAcct=acctTax,M2629+N2629&lt;&gt;0))),E2629*10000+B2629,""),"")</f>
        <v/>
      </c>
    </row>
    <row r="2630">
      <c r="B2630" s="101" t="n">
        <v>2624</v>
      </c>
      <c r="C2630" s="58" t="inlineStr">
        <is>
          <t>Bill</t>
        </is>
      </c>
      <c r="D2630" s="58">
        <f>IF(H2630=1,INDEX(ap_No,124)&amp;"","")</f>
        <v/>
      </c>
      <c r="E2630" s="94">
        <f>IF(H2630=1,INDEX(ap_Date,124),"")</f>
        <v/>
      </c>
      <c r="F2630" s="58">
        <f>IF(H2630=1,INDEX(ap_Desc,124)&amp;"","")</f>
        <v/>
      </c>
      <c r="G2630" s="58">
        <f>IF(H2630=1,INDEX(ap_Party,124)&amp;"","")</f>
        <v/>
      </c>
      <c r="H2630" s="101">
        <f>IFERROR(N(INDEX(ap_Posted,124)),0)</f>
        <v/>
      </c>
      <c r="I2630" s="58">
        <f>IF(H2630=1,INDEX(ap_DrAcct,124)&amp;"","")</f>
        <v/>
      </c>
      <c r="J2630" s="95">
        <f>IF(H2630=1,INDEX(ap_DrAmt,124),0)</f>
        <v/>
      </c>
      <c r="K2630" s="58">
        <f>IF(H2630=1,INDEX(ap_CrAcct,124)&amp;"","")</f>
        <v/>
      </c>
      <c r="L2630" s="95">
        <f>IF(H2630=1,INDEX(ap_CrAmt,124),0)</f>
        <v/>
      </c>
      <c r="M2630" s="95">
        <f>IF(H2630=1,INDEX(ap_TaxAmt,124),0)</f>
        <v/>
      </c>
      <c r="N2630" s="95" t="n">
        <v>0</v>
      </c>
      <c r="O2630" s="101">
        <f>IF(H2630=1,IF(E2630&lt;FYStart,0,IF(E2630&gt;FYEnd,13,YEAR(E2630)*12+MONTH(E2630)-FYYM+1)),"")</f>
        <v/>
      </c>
      <c r="P2630" s="101">
        <f>IF(H2630=1,IF(IFERROR(INDEX(coa_CF,MATCH(I2630,coa_Name,0)),"")="Cash",1,0),0)</f>
        <v/>
      </c>
      <c r="Q2630" s="101">
        <f>IF(H2630=1,IF(IFERROR(INDEX(coa_CF,MATCH(K2630,coa_Name,0)),"")="Cash",1,0),0)</f>
        <v/>
      </c>
      <c r="R2630" s="58">
        <f>IF((P2630-Q2630)=0,"",IFERROR(INDEX(coa_CF,MATCH(IF((P2630-Q2630)=1,K2630,I2630),coa_Name,0)),"Operating"))</f>
        <v/>
      </c>
      <c r="S2630" s="95">
        <f>IF((P2630-Q2630)=1,L2630,IF((P2630-Q2630)=-1,-J2630,0))</f>
        <v/>
      </c>
      <c r="T2630" s="95">
        <f>IF((P2630-Q2630)=1,N2630,IF((P2630-Q2630)=-1,-M2630,0))</f>
        <v/>
      </c>
      <c r="U2630" s="101">
        <f>IF(AND(H2630=1,LedAcct&lt;&gt;""),IF(AND(E2630&gt;=LedFrom,E2630&lt;=LedTo,OR(I2630=LedAcct,K2630=LedAcct,AND(LedAcct=acctTax,M2630+N2630&lt;&gt;0))),E2630*10000+B2630,""),"")</f>
        <v/>
      </c>
    </row>
    <row r="2631">
      <c r="B2631" s="101" t="n">
        <v>2625</v>
      </c>
      <c r="C2631" s="58" t="inlineStr">
        <is>
          <t>Bill</t>
        </is>
      </c>
      <c r="D2631" s="58">
        <f>IF(H2631=1,INDEX(ap_No,125)&amp;"","")</f>
        <v/>
      </c>
      <c r="E2631" s="94">
        <f>IF(H2631=1,INDEX(ap_Date,125),"")</f>
        <v/>
      </c>
      <c r="F2631" s="58">
        <f>IF(H2631=1,INDEX(ap_Desc,125)&amp;"","")</f>
        <v/>
      </c>
      <c r="G2631" s="58">
        <f>IF(H2631=1,INDEX(ap_Party,125)&amp;"","")</f>
        <v/>
      </c>
      <c r="H2631" s="101">
        <f>IFERROR(N(INDEX(ap_Posted,125)),0)</f>
        <v/>
      </c>
      <c r="I2631" s="58">
        <f>IF(H2631=1,INDEX(ap_DrAcct,125)&amp;"","")</f>
        <v/>
      </c>
      <c r="J2631" s="95">
        <f>IF(H2631=1,INDEX(ap_DrAmt,125),0)</f>
        <v/>
      </c>
      <c r="K2631" s="58">
        <f>IF(H2631=1,INDEX(ap_CrAcct,125)&amp;"","")</f>
        <v/>
      </c>
      <c r="L2631" s="95">
        <f>IF(H2631=1,INDEX(ap_CrAmt,125),0)</f>
        <v/>
      </c>
      <c r="M2631" s="95">
        <f>IF(H2631=1,INDEX(ap_TaxAmt,125),0)</f>
        <v/>
      </c>
      <c r="N2631" s="95" t="n">
        <v>0</v>
      </c>
      <c r="O2631" s="101">
        <f>IF(H2631=1,IF(E2631&lt;FYStart,0,IF(E2631&gt;FYEnd,13,YEAR(E2631)*12+MONTH(E2631)-FYYM+1)),"")</f>
        <v/>
      </c>
      <c r="P2631" s="101">
        <f>IF(H2631=1,IF(IFERROR(INDEX(coa_CF,MATCH(I2631,coa_Name,0)),"")="Cash",1,0),0)</f>
        <v/>
      </c>
      <c r="Q2631" s="101">
        <f>IF(H2631=1,IF(IFERROR(INDEX(coa_CF,MATCH(K2631,coa_Name,0)),"")="Cash",1,0),0)</f>
        <v/>
      </c>
      <c r="R2631" s="58">
        <f>IF((P2631-Q2631)=0,"",IFERROR(INDEX(coa_CF,MATCH(IF((P2631-Q2631)=1,K2631,I2631),coa_Name,0)),"Operating"))</f>
        <v/>
      </c>
      <c r="S2631" s="95">
        <f>IF((P2631-Q2631)=1,L2631,IF((P2631-Q2631)=-1,-J2631,0))</f>
        <v/>
      </c>
      <c r="T2631" s="95">
        <f>IF((P2631-Q2631)=1,N2631,IF((P2631-Q2631)=-1,-M2631,0))</f>
        <v/>
      </c>
      <c r="U2631" s="101">
        <f>IF(AND(H2631=1,LedAcct&lt;&gt;""),IF(AND(E2631&gt;=LedFrom,E2631&lt;=LedTo,OR(I2631=LedAcct,K2631=LedAcct,AND(LedAcct=acctTax,M2631+N2631&lt;&gt;0))),E2631*10000+B2631,""),"")</f>
        <v/>
      </c>
    </row>
    <row r="2632">
      <c r="B2632" s="101" t="n">
        <v>2626</v>
      </c>
      <c r="C2632" s="58" t="inlineStr">
        <is>
          <t>Bill</t>
        </is>
      </c>
      <c r="D2632" s="58">
        <f>IF(H2632=1,INDEX(ap_No,126)&amp;"","")</f>
        <v/>
      </c>
      <c r="E2632" s="94">
        <f>IF(H2632=1,INDEX(ap_Date,126),"")</f>
        <v/>
      </c>
      <c r="F2632" s="58">
        <f>IF(H2632=1,INDEX(ap_Desc,126)&amp;"","")</f>
        <v/>
      </c>
      <c r="G2632" s="58">
        <f>IF(H2632=1,INDEX(ap_Party,126)&amp;"","")</f>
        <v/>
      </c>
      <c r="H2632" s="101">
        <f>IFERROR(N(INDEX(ap_Posted,126)),0)</f>
        <v/>
      </c>
      <c r="I2632" s="58">
        <f>IF(H2632=1,INDEX(ap_DrAcct,126)&amp;"","")</f>
        <v/>
      </c>
      <c r="J2632" s="95">
        <f>IF(H2632=1,INDEX(ap_DrAmt,126),0)</f>
        <v/>
      </c>
      <c r="K2632" s="58">
        <f>IF(H2632=1,INDEX(ap_CrAcct,126)&amp;"","")</f>
        <v/>
      </c>
      <c r="L2632" s="95">
        <f>IF(H2632=1,INDEX(ap_CrAmt,126),0)</f>
        <v/>
      </c>
      <c r="M2632" s="95">
        <f>IF(H2632=1,INDEX(ap_TaxAmt,126),0)</f>
        <v/>
      </c>
      <c r="N2632" s="95" t="n">
        <v>0</v>
      </c>
      <c r="O2632" s="101">
        <f>IF(H2632=1,IF(E2632&lt;FYStart,0,IF(E2632&gt;FYEnd,13,YEAR(E2632)*12+MONTH(E2632)-FYYM+1)),"")</f>
        <v/>
      </c>
      <c r="P2632" s="101">
        <f>IF(H2632=1,IF(IFERROR(INDEX(coa_CF,MATCH(I2632,coa_Name,0)),"")="Cash",1,0),0)</f>
        <v/>
      </c>
      <c r="Q2632" s="101">
        <f>IF(H2632=1,IF(IFERROR(INDEX(coa_CF,MATCH(K2632,coa_Name,0)),"")="Cash",1,0),0)</f>
        <v/>
      </c>
      <c r="R2632" s="58">
        <f>IF((P2632-Q2632)=0,"",IFERROR(INDEX(coa_CF,MATCH(IF((P2632-Q2632)=1,K2632,I2632),coa_Name,0)),"Operating"))</f>
        <v/>
      </c>
      <c r="S2632" s="95">
        <f>IF((P2632-Q2632)=1,L2632,IF((P2632-Q2632)=-1,-J2632,0))</f>
        <v/>
      </c>
      <c r="T2632" s="95">
        <f>IF((P2632-Q2632)=1,N2632,IF((P2632-Q2632)=-1,-M2632,0))</f>
        <v/>
      </c>
      <c r="U2632" s="101">
        <f>IF(AND(H2632=1,LedAcct&lt;&gt;""),IF(AND(E2632&gt;=LedFrom,E2632&lt;=LedTo,OR(I2632=LedAcct,K2632=LedAcct,AND(LedAcct=acctTax,M2632+N2632&lt;&gt;0))),E2632*10000+B2632,""),"")</f>
        <v/>
      </c>
    </row>
    <row r="2633">
      <c r="B2633" s="101" t="n">
        <v>2627</v>
      </c>
      <c r="C2633" s="58" t="inlineStr">
        <is>
          <t>Bill</t>
        </is>
      </c>
      <c r="D2633" s="58">
        <f>IF(H2633=1,INDEX(ap_No,127)&amp;"","")</f>
        <v/>
      </c>
      <c r="E2633" s="94">
        <f>IF(H2633=1,INDEX(ap_Date,127),"")</f>
        <v/>
      </c>
      <c r="F2633" s="58">
        <f>IF(H2633=1,INDEX(ap_Desc,127)&amp;"","")</f>
        <v/>
      </c>
      <c r="G2633" s="58">
        <f>IF(H2633=1,INDEX(ap_Party,127)&amp;"","")</f>
        <v/>
      </c>
      <c r="H2633" s="101">
        <f>IFERROR(N(INDEX(ap_Posted,127)),0)</f>
        <v/>
      </c>
      <c r="I2633" s="58">
        <f>IF(H2633=1,INDEX(ap_DrAcct,127)&amp;"","")</f>
        <v/>
      </c>
      <c r="J2633" s="95">
        <f>IF(H2633=1,INDEX(ap_DrAmt,127),0)</f>
        <v/>
      </c>
      <c r="K2633" s="58">
        <f>IF(H2633=1,INDEX(ap_CrAcct,127)&amp;"","")</f>
        <v/>
      </c>
      <c r="L2633" s="95">
        <f>IF(H2633=1,INDEX(ap_CrAmt,127),0)</f>
        <v/>
      </c>
      <c r="M2633" s="95">
        <f>IF(H2633=1,INDEX(ap_TaxAmt,127),0)</f>
        <v/>
      </c>
      <c r="N2633" s="95" t="n">
        <v>0</v>
      </c>
      <c r="O2633" s="101">
        <f>IF(H2633=1,IF(E2633&lt;FYStart,0,IF(E2633&gt;FYEnd,13,YEAR(E2633)*12+MONTH(E2633)-FYYM+1)),"")</f>
        <v/>
      </c>
      <c r="P2633" s="101">
        <f>IF(H2633=1,IF(IFERROR(INDEX(coa_CF,MATCH(I2633,coa_Name,0)),"")="Cash",1,0),0)</f>
        <v/>
      </c>
      <c r="Q2633" s="101">
        <f>IF(H2633=1,IF(IFERROR(INDEX(coa_CF,MATCH(K2633,coa_Name,0)),"")="Cash",1,0),0)</f>
        <v/>
      </c>
      <c r="R2633" s="58">
        <f>IF((P2633-Q2633)=0,"",IFERROR(INDEX(coa_CF,MATCH(IF((P2633-Q2633)=1,K2633,I2633),coa_Name,0)),"Operating"))</f>
        <v/>
      </c>
      <c r="S2633" s="95">
        <f>IF((P2633-Q2633)=1,L2633,IF((P2633-Q2633)=-1,-J2633,0))</f>
        <v/>
      </c>
      <c r="T2633" s="95">
        <f>IF((P2633-Q2633)=1,N2633,IF((P2633-Q2633)=-1,-M2633,0))</f>
        <v/>
      </c>
      <c r="U2633" s="101">
        <f>IF(AND(H2633=1,LedAcct&lt;&gt;""),IF(AND(E2633&gt;=LedFrom,E2633&lt;=LedTo,OR(I2633=LedAcct,K2633=LedAcct,AND(LedAcct=acctTax,M2633+N2633&lt;&gt;0))),E2633*10000+B2633,""),"")</f>
        <v/>
      </c>
    </row>
    <row r="2634">
      <c r="B2634" s="101" t="n">
        <v>2628</v>
      </c>
      <c r="C2634" s="58" t="inlineStr">
        <is>
          <t>Bill</t>
        </is>
      </c>
      <c r="D2634" s="58">
        <f>IF(H2634=1,INDEX(ap_No,128)&amp;"","")</f>
        <v/>
      </c>
      <c r="E2634" s="94">
        <f>IF(H2634=1,INDEX(ap_Date,128),"")</f>
        <v/>
      </c>
      <c r="F2634" s="58">
        <f>IF(H2634=1,INDEX(ap_Desc,128)&amp;"","")</f>
        <v/>
      </c>
      <c r="G2634" s="58">
        <f>IF(H2634=1,INDEX(ap_Party,128)&amp;"","")</f>
        <v/>
      </c>
      <c r="H2634" s="101">
        <f>IFERROR(N(INDEX(ap_Posted,128)),0)</f>
        <v/>
      </c>
      <c r="I2634" s="58">
        <f>IF(H2634=1,INDEX(ap_DrAcct,128)&amp;"","")</f>
        <v/>
      </c>
      <c r="J2634" s="95">
        <f>IF(H2634=1,INDEX(ap_DrAmt,128),0)</f>
        <v/>
      </c>
      <c r="K2634" s="58">
        <f>IF(H2634=1,INDEX(ap_CrAcct,128)&amp;"","")</f>
        <v/>
      </c>
      <c r="L2634" s="95">
        <f>IF(H2634=1,INDEX(ap_CrAmt,128),0)</f>
        <v/>
      </c>
      <c r="M2634" s="95">
        <f>IF(H2634=1,INDEX(ap_TaxAmt,128),0)</f>
        <v/>
      </c>
      <c r="N2634" s="95" t="n">
        <v>0</v>
      </c>
      <c r="O2634" s="101">
        <f>IF(H2634=1,IF(E2634&lt;FYStart,0,IF(E2634&gt;FYEnd,13,YEAR(E2634)*12+MONTH(E2634)-FYYM+1)),"")</f>
        <v/>
      </c>
      <c r="P2634" s="101">
        <f>IF(H2634=1,IF(IFERROR(INDEX(coa_CF,MATCH(I2634,coa_Name,0)),"")="Cash",1,0),0)</f>
        <v/>
      </c>
      <c r="Q2634" s="101">
        <f>IF(H2634=1,IF(IFERROR(INDEX(coa_CF,MATCH(K2634,coa_Name,0)),"")="Cash",1,0),0)</f>
        <v/>
      </c>
      <c r="R2634" s="58">
        <f>IF((P2634-Q2634)=0,"",IFERROR(INDEX(coa_CF,MATCH(IF((P2634-Q2634)=1,K2634,I2634),coa_Name,0)),"Operating"))</f>
        <v/>
      </c>
      <c r="S2634" s="95">
        <f>IF((P2634-Q2634)=1,L2634,IF((P2634-Q2634)=-1,-J2634,0))</f>
        <v/>
      </c>
      <c r="T2634" s="95">
        <f>IF((P2634-Q2634)=1,N2634,IF((P2634-Q2634)=-1,-M2634,0))</f>
        <v/>
      </c>
      <c r="U2634" s="101">
        <f>IF(AND(H2634=1,LedAcct&lt;&gt;""),IF(AND(E2634&gt;=LedFrom,E2634&lt;=LedTo,OR(I2634=LedAcct,K2634=LedAcct,AND(LedAcct=acctTax,M2634+N2634&lt;&gt;0))),E2634*10000+B2634,""),"")</f>
        <v/>
      </c>
    </row>
    <row r="2635">
      <c r="B2635" s="101" t="n">
        <v>2629</v>
      </c>
      <c r="C2635" s="58" t="inlineStr">
        <is>
          <t>Bill</t>
        </is>
      </c>
      <c r="D2635" s="58">
        <f>IF(H2635=1,INDEX(ap_No,129)&amp;"","")</f>
        <v/>
      </c>
      <c r="E2635" s="94">
        <f>IF(H2635=1,INDEX(ap_Date,129),"")</f>
        <v/>
      </c>
      <c r="F2635" s="58">
        <f>IF(H2635=1,INDEX(ap_Desc,129)&amp;"","")</f>
        <v/>
      </c>
      <c r="G2635" s="58">
        <f>IF(H2635=1,INDEX(ap_Party,129)&amp;"","")</f>
        <v/>
      </c>
      <c r="H2635" s="101">
        <f>IFERROR(N(INDEX(ap_Posted,129)),0)</f>
        <v/>
      </c>
      <c r="I2635" s="58">
        <f>IF(H2635=1,INDEX(ap_DrAcct,129)&amp;"","")</f>
        <v/>
      </c>
      <c r="J2635" s="95">
        <f>IF(H2635=1,INDEX(ap_DrAmt,129),0)</f>
        <v/>
      </c>
      <c r="K2635" s="58">
        <f>IF(H2635=1,INDEX(ap_CrAcct,129)&amp;"","")</f>
        <v/>
      </c>
      <c r="L2635" s="95">
        <f>IF(H2635=1,INDEX(ap_CrAmt,129),0)</f>
        <v/>
      </c>
      <c r="M2635" s="95">
        <f>IF(H2635=1,INDEX(ap_TaxAmt,129),0)</f>
        <v/>
      </c>
      <c r="N2635" s="95" t="n">
        <v>0</v>
      </c>
      <c r="O2635" s="101">
        <f>IF(H2635=1,IF(E2635&lt;FYStart,0,IF(E2635&gt;FYEnd,13,YEAR(E2635)*12+MONTH(E2635)-FYYM+1)),"")</f>
        <v/>
      </c>
      <c r="P2635" s="101">
        <f>IF(H2635=1,IF(IFERROR(INDEX(coa_CF,MATCH(I2635,coa_Name,0)),"")="Cash",1,0),0)</f>
        <v/>
      </c>
      <c r="Q2635" s="101">
        <f>IF(H2635=1,IF(IFERROR(INDEX(coa_CF,MATCH(K2635,coa_Name,0)),"")="Cash",1,0),0)</f>
        <v/>
      </c>
      <c r="R2635" s="58">
        <f>IF((P2635-Q2635)=0,"",IFERROR(INDEX(coa_CF,MATCH(IF((P2635-Q2635)=1,K2635,I2635),coa_Name,0)),"Operating"))</f>
        <v/>
      </c>
      <c r="S2635" s="95">
        <f>IF((P2635-Q2635)=1,L2635,IF((P2635-Q2635)=-1,-J2635,0))</f>
        <v/>
      </c>
      <c r="T2635" s="95">
        <f>IF((P2635-Q2635)=1,N2635,IF((P2635-Q2635)=-1,-M2635,0))</f>
        <v/>
      </c>
      <c r="U2635" s="101">
        <f>IF(AND(H2635=1,LedAcct&lt;&gt;""),IF(AND(E2635&gt;=LedFrom,E2635&lt;=LedTo,OR(I2635=LedAcct,K2635=LedAcct,AND(LedAcct=acctTax,M2635+N2635&lt;&gt;0))),E2635*10000+B2635,""),"")</f>
        <v/>
      </c>
    </row>
    <row r="2636">
      <c r="B2636" s="101" t="n">
        <v>2630</v>
      </c>
      <c r="C2636" s="58" t="inlineStr">
        <is>
          <t>Bill</t>
        </is>
      </c>
      <c r="D2636" s="58">
        <f>IF(H2636=1,INDEX(ap_No,130)&amp;"","")</f>
        <v/>
      </c>
      <c r="E2636" s="94">
        <f>IF(H2636=1,INDEX(ap_Date,130),"")</f>
        <v/>
      </c>
      <c r="F2636" s="58">
        <f>IF(H2636=1,INDEX(ap_Desc,130)&amp;"","")</f>
        <v/>
      </c>
      <c r="G2636" s="58">
        <f>IF(H2636=1,INDEX(ap_Party,130)&amp;"","")</f>
        <v/>
      </c>
      <c r="H2636" s="101">
        <f>IFERROR(N(INDEX(ap_Posted,130)),0)</f>
        <v/>
      </c>
      <c r="I2636" s="58">
        <f>IF(H2636=1,INDEX(ap_DrAcct,130)&amp;"","")</f>
        <v/>
      </c>
      <c r="J2636" s="95">
        <f>IF(H2636=1,INDEX(ap_DrAmt,130),0)</f>
        <v/>
      </c>
      <c r="K2636" s="58">
        <f>IF(H2636=1,INDEX(ap_CrAcct,130)&amp;"","")</f>
        <v/>
      </c>
      <c r="L2636" s="95">
        <f>IF(H2636=1,INDEX(ap_CrAmt,130),0)</f>
        <v/>
      </c>
      <c r="M2636" s="95">
        <f>IF(H2636=1,INDEX(ap_TaxAmt,130),0)</f>
        <v/>
      </c>
      <c r="N2636" s="95" t="n">
        <v>0</v>
      </c>
      <c r="O2636" s="101">
        <f>IF(H2636=1,IF(E2636&lt;FYStart,0,IF(E2636&gt;FYEnd,13,YEAR(E2636)*12+MONTH(E2636)-FYYM+1)),"")</f>
        <v/>
      </c>
      <c r="P2636" s="101">
        <f>IF(H2636=1,IF(IFERROR(INDEX(coa_CF,MATCH(I2636,coa_Name,0)),"")="Cash",1,0),0)</f>
        <v/>
      </c>
      <c r="Q2636" s="101">
        <f>IF(H2636=1,IF(IFERROR(INDEX(coa_CF,MATCH(K2636,coa_Name,0)),"")="Cash",1,0),0)</f>
        <v/>
      </c>
      <c r="R2636" s="58">
        <f>IF((P2636-Q2636)=0,"",IFERROR(INDEX(coa_CF,MATCH(IF((P2636-Q2636)=1,K2636,I2636),coa_Name,0)),"Operating"))</f>
        <v/>
      </c>
      <c r="S2636" s="95">
        <f>IF((P2636-Q2636)=1,L2636,IF((P2636-Q2636)=-1,-J2636,0))</f>
        <v/>
      </c>
      <c r="T2636" s="95">
        <f>IF((P2636-Q2636)=1,N2636,IF((P2636-Q2636)=-1,-M2636,0))</f>
        <v/>
      </c>
      <c r="U2636" s="101">
        <f>IF(AND(H2636=1,LedAcct&lt;&gt;""),IF(AND(E2636&gt;=LedFrom,E2636&lt;=LedTo,OR(I2636=LedAcct,K2636=LedAcct,AND(LedAcct=acctTax,M2636+N2636&lt;&gt;0))),E2636*10000+B2636,""),"")</f>
        <v/>
      </c>
    </row>
    <row r="2637">
      <c r="B2637" s="101" t="n">
        <v>2631</v>
      </c>
      <c r="C2637" s="58" t="inlineStr">
        <is>
          <t>Bill</t>
        </is>
      </c>
      <c r="D2637" s="58">
        <f>IF(H2637=1,INDEX(ap_No,131)&amp;"","")</f>
        <v/>
      </c>
      <c r="E2637" s="94">
        <f>IF(H2637=1,INDEX(ap_Date,131),"")</f>
        <v/>
      </c>
      <c r="F2637" s="58">
        <f>IF(H2637=1,INDEX(ap_Desc,131)&amp;"","")</f>
        <v/>
      </c>
      <c r="G2637" s="58">
        <f>IF(H2637=1,INDEX(ap_Party,131)&amp;"","")</f>
        <v/>
      </c>
      <c r="H2637" s="101">
        <f>IFERROR(N(INDEX(ap_Posted,131)),0)</f>
        <v/>
      </c>
      <c r="I2637" s="58">
        <f>IF(H2637=1,INDEX(ap_DrAcct,131)&amp;"","")</f>
        <v/>
      </c>
      <c r="J2637" s="95">
        <f>IF(H2637=1,INDEX(ap_DrAmt,131),0)</f>
        <v/>
      </c>
      <c r="K2637" s="58">
        <f>IF(H2637=1,INDEX(ap_CrAcct,131)&amp;"","")</f>
        <v/>
      </c>
      <c r="L2637" s="95">
        <f>IF(H2637=1,INDEX(ap_CrAmt,131),0)</f>
        <v/>
      </c>
      <c r="M2637" s="95">
        <f>IF(H2637=1,INDEX(ap_TaxAmt,131),0)</f>
        <v/>
      </c>
      <c r="N2637" s="95" t="n">
        <v>0</v>
      </c>
      <c r="O2637" s="101">
        <f>IF(H2637=1,IF(E2637&lt;FYStart,0,IF(E2637&gt;FYEnd,13,YEAR(E2637)*12+MONTH(E2637)-FYYM+1)),"")</f>
        <v/>
      </c>
      <c r="P2637" s="101">
        <f>IF(H2637=1,IF(IFERROR(INDEX(coa_CF,MATCH(I2637,coa_Name,0)),"")="Cash",1,0),0)</f>
        <v/>
      </c>
      <c r="Q2637" s="101">
        <f>IF(H2637=1,IF(IFERROR(INDEX(coa_CF,MATCH(K2637,coa_Name,0)),"")="Cash",1,0),0)</f>
        <v/>
      </c>
      <c r="R2637" s="58">
        <f>IF((P2637-Q2637)=0,"",IFERROR(INDEX(coa_CF,MATCH(IF((P2637-Q2637)=1,K2637,I2637),coa_Name,0)),"Operating"))</f>
        <v/>
      </c>
      <c r="S2637" s="95">
        <f>IF((P2637-Q2637)=1,L2637,IF((P2637-Q2637)=-1,-J2637,0))</f>
        <v/>
      </c>
      <c r="T2637" s="95">
        <f>IF((P2637-Q2637)=1,N2637,IF((P2637-Q2637)=-1,-M2637,0))</f>
        <v/>
      </c>
      <c r="U2637" s="101">
        <f>IF(AND(H2637=1,LedAcct&lt;&gt;""),IF(AND(E2637&gt;=LedFrom,E2637&lt;=LedTo,OR(I2637=LedAcct,K2637=LedAcct,AND(LedAcct=acctTax,M2637+N2637&lt;&gt;0))),E2637*10000+B2637,""),"")</f>
        <v/>
      </c>
    </row>
    <row r="2638">
      <c r="B2638" s="101" t="n">
        <v>2632</v>
      </c>
      <c r="C2638" s="58" t="inlineStr">
        <is>
          <t>Bill</t>
        </is>
      </c>
      <c r="D2638" s="58">
        <f>IF(H2638=1,INDEX(ap_No,132)&amp;"","")</f>
        <v/>
      </c>
      <c r="E2638" s="94">
        <f>IF(H2638=1,INDEX(ap_Date,132),"")</f>
        <v/>
      </c>
      <c r="F2638" s="58">
        <f>IF(H2638=1,INDEX(ap_Desc,132)&amp;"","")</f>
        <v/>
      </c>
      <c r="G2638" s="58">
        <f>IF(H2638=1,INDEX(ap_Party,132)&amp;"","")</f>
        <v/>
      </c>
      <c r="H2638" s="101">
        <f>IFERROR(N(INDEX(ap_Posted,132)),0)</f>
        <v/>
      </c>
      <c r="I2638" s="58">
        <f>IF(H2638=1,INDEX(ap_DrAcct,132)&amp;"","")</f>
        <v/>
      </c>
      <c r="J2638" s="95">
        <f>IF(H2638=1,INDEX(ap_DrAmt,132),0)</f>
        <v/>
      </c>
      <c r="K2638" s="58">
        <f>IF(H2638=1,INDEX(ap_CrAcct,132)&amp;"","")</f>
        <v/>
      </c>
      <c r="L2638" s="95">
        <f>IF(H2638=1,INDEX(ap_CrAmt,132),0)</f>
        <v/>
      </c>
      <c r="M2638" s="95">
        <f>IF(H2638=1,INDEX(ap_TaxAmt,132),0)</f>
        <v/>
      </c>
      <c r="N2638" s="95" t="n">
        <v>0</v>
      </c>
      <c r="O2638" s="101">
        <f>IF(H2638=1,IF(E2638&lt;FYStart,0,IF(E2638&gt;FYEnd,13,YEAR(E2638)*12+MONTH(E2638)-FYYM+1)),"")</f>
        <v/>
      </c>
      <c r="P2638" s="101">
        <f>IF(H2638=1,IF(IFERROR(INDEX(coa_CF,MATCH(I2638,coa_Name,0)),"")="Cash",1,0),0)</f>
        <v/>
      </c>
      <c r="Q2638" s="101">
        <f>IF(H2638=1,IF(IFERROR(INDEX(coa_CF,MATCH(K2638,coa_Name,0)),"")="Cash",1,0),0)</f>
        <v/>
      </c>
      <c r="R2638" s="58">
        <f>IF((P2638-Q2638)=0,"",IFERROR(INDEX(coa_CF,MATCH(IF((P2638-Q2638)=1,K2638,I2638),coa_Name,0)),"Operating"))</f>
        <v/>
      </c>
      <c r="S2638" s="95">
        <f>IF((P2638-Q2638)=1,L2638,IF((P2638-Q2638)=-1,-J2638,0))</f>
        <v/>
      </c>
      <c r="T2638" s="95">
        <f>IF((P2638-Q2638)=1,N2638,IF((P2638-Q2638)=-1,-M2638,0))</f>
        <v/>
      </c>
      <c r="U2638" s="101">
        <f>IF(AND(H2638=1,LedAcct&lt;&gt;""),IF(AND(E2638&gt;=LedFrom,E2638&lt;=LedTo,OR(I2638=LedAcct,K2638=LedAcct,AND(LedAcct=acctTax,M2638+N2638&lt;&gt;0))),E2638*10000+B2638,""),"")</f>
        <v/>
      </c>
    </row>
    <row r="2639">
      <c r="B2639" s="101" t="n">
        <v>2633</v>
      </c>
      <c r="C2639" s="58" t="inlineStr">
        <is>
          <t>Bill</t>
        </is>
      </c>
      <c r="D2639" s="58">
        <f>IF(H2639=1,INDEX(ap_No,133)&amp;"","")</f>
        <v/>
      </c>
      <c r="E2639" s="94">
        <f>IF(H2639=1,INDEX(ap_Date,133),"")</f>
        <v/>
      </c>
      <c r="F2639" s="58">
        <f>IF(H2639=1,INDEX(ap_Desc,133)&amp;"","")</f>
        <v/>
      </c>
      <c r="G2639" s="58">
        <f>IF(H2639=1,INDEX(ap_Party,133)&amp;"","")</f>
        <v/>
      </c>
      <c r="H2639" s="101">
        <f>IFERROR(N(INDEX(ap_Posted,133)),0)</f>
        <v/>
      </c>
      <c r="I2639" s="58">
        <f>IF(H2639=1,INDEX(ap_DrAcct,133)&amp;"","")</f>
        <v/>
      </c>
      <c r="J2639" s="95">
        <f>IF(H2639=1,INDEX(ap_DrAmt,133),0)</f>
        <v/>
      </c>
      <c r="K2639" s="58">
        <f>IF(H2639=1,INDEX(ap_CrAcct,133)&amp;"","")</f>
        <v/>
      </c>
      <c r="L2639" s="95">
        <f>IF(H2639=1,INDEX(ap_CrAmt,133),0)</f>
        <v/>
      </c>
      <c r="M2639" s="95">
        <f>IF(H2639=1,INDEX(ap_TaxAmt,133),0)</f>
        <v/>
      </c>
      <c r="N2639" s="95" t="n">
        <v>0</v>
      </c>
      <c r="O2639" s="101">
        <f>IF(H2639=1,IF(E2639&lt;FYStart,0,IF(E2639&gt;FYEnd,13,YEAR(E2639)*12+MONTH(E2639)-FYYM+1)),"")</f>
        <v/>
      </c>
      <c r="P2639" s="101">
        <f>IF(H2639=1,IF(IFERROR(INDEX(coa_CF,MATCH(I2639,coa_Name,0)),"")="Cash",1,0),0)</f>
        <v/>
      </c>
      <c r="Q2639" s="101">
        <f>IF(H2639=1,IF(IFERROR(INDEX(coa_CF,MATCH(K2639,coa_Name,0)),"")="Cash",1,0),0)</f>
        <v/>
      </c>
      <c r="R2639" s="58">
        <f>IF((P2639-Q2639)=0,"",IFERROR(INDEX(coa_CF,MATCH(IF((P2639-Q2639)=1,K2639,I2639),coa_Name,0)),"Operating"))</f>
        <v/>
      </c>
      <c r="S2639" s="95">
        <f>IF((P2639-Q2639)=1,L2639,IF((P2639-Q2639)=-1,-J2639,0))</f>
        <v/>
      </c>
      <c r="T2639" s="95">
        <f>IF((P2639-Q2639)=1,N2639,IF((P2639-Q2639)=-1,-M2639,0))</f>
        <v/>
      </c>
      <c r="U2639" s="101">
        <f>IF(AND(H2639=1,LedAcct&lt;&gt;""),IF(AND(E2639&gt;=LedFrom,E2639&lt;=LedTo,OR(I2639=LedAcct,K2639=LedAcct,AND(LedAcct=acctTax,M2639+N2639&lt;&gt;0))),E2639*10000+B2639,""),"")</f>
        <v/>
      </c>
    </row>
    <row r="2640">
      <c r="B2640" s="101" t="n">
        <v>2634</v>
      </c>
      <c r="C2640" s="58" t="inlineStr">
        <is>
          <t>Bill</t>
        </is>
      </c>
      <c r="D2640" s="58">
        <f>IF(H2640=1,INDEX(ap_No,134)&amp;"","")</f>
        <v/>
      </c>
      <c r="E2640" s="94">
        <f>IF(H2640=1,INDEX(ap_Date,134),"")</f>
        <v/>
      </c>
      <c r="F2640" s="58">
        <f>IF(H2640=1,INDEX(ap_Desc,134)&amp;"","")</f>
        <v/>
      </c>
      <c r="G2640" s="58">
        <f>IF(H2640=1,INDEX(ap_Party,134)&amp;"","")</f>
        <v/>
      </c>
      <c r="H2640" s="101">
        <f>IFERROR(N(INDEX(ap_Posted,134)),0)</f>
        <v/>
      </c>
      <c r="I2640" s="58">
        <f>IF(H2640=1,INDEX(ap_DrAcct,134)&amp;"","")</f>
        <v/>
      </c>
      <c r="J2640" s="95">
        <f>IF(H2640=1,INDEX(ap_DrAmt,134),0)</f>
        <v/>
      </c>
      <c r="K2640" s="58">
        <f>IF(H2640=1,INDEX(ap_CrAcct,134)&amp;"","")</f>
        <v/>
      </c>
      <c r="L2640" s="95">
        <f>IF(H2640=1,INDEX(ap_CrAmt,134),0)</f>
        <v/>
      </c>
      <c r="M2640" s="95">
        <f>IF(H2640=1,INDEX(ap_TaxAmt,134),0)</f>
        <v/>
      </c>
      <c r="N2640" s="95" t="n">
        <v>0</v>
      </c>
      <c r="O2640" s="101">
        <f>IF(H2640=1,IF(E2640&lt;FYStart,0,IF(E2640&gt;FYEnd,13,YEAR(E2640)*12+MONTH(E2640)-FYYM+1)),"")</f>
        <v/>
      </c>
      <c r="P2640" s="101">
        <f>IF(H2640=1,IF(IFERROR(INDEX(coa_CF,MATCH(I2640,coa_Name,0)),"")="Cash",1,0),0)</f>
        <v/>
      </c>
      <c r="Q2640" s="101">
        <f>IF(H2640=1,IF(IFERROR(INDEX(coa_CF,MATCH(K2640,coa_Name,0)),"")="Cash",1,0),0)</f>
        <v/>
      </c>
      <c r="R2640" s="58">
        <f>IF((P2640-Q2640)=0,"",IFERROR(INDEX(coa_CF,MATCH(IF((P2640-Q2640)=1,K2640,I2640),coa_Name,0)),"Operating"))</f>
        <v/>
      </c>
      <c r="S2640" s="95">
        <f>IF((P2640-Q2640)=1,L2640,IF((P2640-Q2640)=-1,-J2640,0))</f>
        <v/>
      </c>
      <c r="T2640" s="95">
        <f>IF((P2640-Q2640)=1,N2640,IF((P2640-Q2640)=-1,-M2640,0))</f>
        <v/>
      </c>
      <c r="U2640" s="101">
        <f>IF(AND(H2640=1,LedAcct&lt;&gt;""),IF(AND(E2640&gt;=LedFrom,E2640&lt;=LedTo,OR(I2640=LedAcct,K2640=LedAcct,AND(LedAcct=acctTax,M2640+N2640&lt;&gt;0))),E2640*10000+B2640,""),"")</f>
        <v/>
      </c>
    </row>
    <row r="2641">
      <c r="B2641" s="101" t="n">
        <v>2635</v>
      </c>
      <c r="C2641" s="58" t="inlineStr">
        <is>
          <t>Bill</t>
        </is>
      </c>
      <c r="D2641" s="58">
        <f>IF(H2641=1,INDEX(ap_No,135)&amp;"","")</f>
        <v/>
      </c>
      <c r="E2641" s="94">
        <f>IF(H2641=1,INDEX(ap_Date,135),"")</f>
        <v/>
      </c>
      <c r="F2641" s="58">
        <f>IF(H2641=1,INDEX(ap_Desc,135)&amp;"","")</f>
        <v/>
      </c>
      <c r="G2641" s="58">
        <f>IF(H2641=1,INDEX(ap_Party,135)&amp;"","")</f>
        <v/>
      </c>
      <c r="H2641" s="101">
        <f>IFERROR(N(INDEX(ap_Posted,135)),0)</f>
        <v/>
      </c>
      <c r="I2641" s="58">
        <f>IF(H2641=1,INDEX(ap_DrAcct,135)&amp;"","")</f>
        <v/>
      </c>
      <c r="J2641" s="95">
        <f>IF(H2641=1,INDEX(ap_DrAmt,135),0)</f>
        <v/>
      </c>
      <c r="K2641" s="58">
        <f>IF(H2641=1,INDEX(ap_CrAcct,135)&amp;"","")</f>
        <v/>
      </c>
      <c r="L2641" s="95">
        <f>IF(H2641=1,INDEX(ap_CrAmt,135),0)</f>
        <v/>
      </c>
      <c r="M2641" s="95">
        <f>IF(H2641=1,INDEX(ap_TaxAmt,135),0)</f>
        <v/>
      </c>
      <c r="N2641" s="95" t="n">
        <v>0</v>
      </c>
      <c r="O2641" s="101">
        <f>IF(H2641=1,IF(E2641&lt;FYStart,0,IF(E2641&gt;FYEnd,13,YEAR(E2641)*12+MONTH(E2641)-FYYM+1)),"")</f>
        <v/>
      </c>
      <c r="P2641" s="101">
        <f>IF(H2641=1,IF(IFERROR(INDEX(coa_CF,MATCH(I2641,coa_Name,0)),"")="Cash",1,0),0)</f>
        <v/>
      </c>
      <c r="Q2641" s="101">
        <f>IF(H2641=1,IF(IFERROR(INDEX(coa_CF,MATCH(K2641,coa_Name,0)),"")="Cash",1,0),0)</f>
        <v/>
      </c>
      <c r="R2641" s="58">
        <f>IF((P2641-Q2641)=0,"",IFERROR(INDEX(coa_CF,MATCH(IF((P2641-Q2641)=1,K2641,I2641),coa_Name,0)),"Operating"))</f>
        <v/>
      </c>
      <c r="S2641" s="95">
        <f>IF((P2641-Q2641)=1,L2641,IF((P2641-Q2641)=-1,-J2641,0))</f>
        <v/>
      </c>
      <c r="T2641" s="95">
        <f>IF((P2641-Q2641)=1,N2641,IF((P2641-Q2641)=-1,-M2641,0))</f>
        <v/>
      </c>
      <c r="U2641" s="101">
        <f>IF(AND(H2641=1,LedAcct&lt;&gt;""),IF(AND(E2641&gt;=LedFrom,E2641&lt;=LedTo,OR(I2641=LedAcct,K2641=LedAcct,AND(LedAcct=acctTax,M2641+N2641&lt;&gt;0))),E2641*10000+B2641,""),"")</f>
        <v/>
      </c>
    </row>
    <row r="2642">
      <c r="B2642" s="101" t="n">
        <v>2636</v>
      </c>
      <c r="C2642" s="58" t="inlineStr">
        <is>
          <t>Bill</t>
        </is>
      </c>
      <c r="D2642" s="58">
        <f>IF(H2642=1,INDEX(ap_No,136)&amp;"","")</f>
        <v/>
      </c>
      <c r="E2642" s="94">
        <f>IF(H2642=1,INDEX(ap_Date,136),"")</f>
        <v/>
      </c>
      <c r="F2642" s="58">
        <f>IF(H2642=1,INDEX(ap_Desc,136)&amp;"","")</f>
        <v/>
      </c>
      <c r="G2642" s="58">
        <f>IF(H2642=1,INDEX(ap_Party,136)&amp;"","")</f>
        <v/>
      </c>
      <c r="H2642" s="101">
        <f>IFERROR(N(INDEX(ap_Posted,136)),0)</f>
        <v/>
      </c>
      <c r="I2642" s="58">
        <f>IF(H2642=1,INDEX(ap_DrAcct,136)&amp;"","")</f>
        <v/>
      </c>
      <c r="J2642" s="95">
        <f>IF(H2642=1,INDEX(ap_DrAmt,136),0)</f>
        <v/>
      </c>
      <c r="K2642" s="58">
        <f>IF(H2642=1,INDEX(ap_CrAcct,136)&amp;"","")</f>
        <v/>
      </c>
      <c r="L2642" s="95">
        <f>IF(H2642=1,INDEX(ap_CrAmt,136),0)</f>
        <v/>
      </c>
      <c r="M2642" s="95">
        <f>IF(H2642=1,INDEX(ap_TaxAmt,136),0)</f>
        <v/>
      </c>
      <c r="N2642" s="95" t="n">
        <v>0</v>
      </c>
      <c r="O2642" s="101">
        <f>IF(H2642=1,IF(E2642&lt;FYStart,0,IF(E2642&gt;FYEnd,13,YEAR(E2642)*12+MONTH(E2642)-FYYM+1)),"")</f>
        <v/>
      </c>
      <c r="P2642" s="101">
        <f>IF(H2642=1,IF(IFERROR(INDEX(coa_CF,MATCH(I2642,coa_Name,0)),"")="Cash",1,0),0)</f>
        <v/>
      </c>
      <c r="Q2642" s="101">
        <f>IF(H2642=1,IF(IFERROR(INDEX(coa_CF,MATCH(K2642,coa_Name,0)),"")="Cash",1,0),0)</f>
        <v/>
      </c>
      <c r="R2642" s="58">
        <f>IF((P2642-Q2642)=0,"",IFERROR(INDEX(coa_CF,MATCH(IF((P2642-Q2642)=1,K2642,I2642),coa_Name,0)),"Operating"))</f>
        <v/>
      </c>
      <c r="S2642" s="95">
        <f>IF((P2642-Q2642)=1,L2642,IF((P2642-Q2642)=-1,-J2642,0))</f>
        <v/>
      </c>
      <c r="T2642" s="95">
        <f>IF((P2642-Q2642)=1,N2642,IF((P2642-Q2642)=-1,-M2642,0))</f>
        <v/>
      </c>
      <c r="U2642" s="101">
        <f>IF(AND(H2642=1,LedAcct&lt;&gt;""),IF(AND(E2642&gt;=LedFrom,E2642&lt;=LedTo,OR(I2642=LedAcct,K2642=LedAcct,AND(LedAcct=acctTax,M2642+N2642&lt;&gt;0))),E2642*10000+B2642,""),"")</f>
        <v/>
      </c>
    </row>
    <row r="2643">
      <c r="B2643" s="101" t="n">
        <v>2637</v>
      </c>
      <c r="C2643" s="58" t="inlineStr">
        <is>
          <t>Bill</t>
        </is>
      </c>
      <c r="D2643" s="58">
        <f>IF(H2643=1,INDEX(ap_No,137)&amp;"","")</f>
        <v/>
      </c>
      <c r="E2643" s="94">
        <f>IF(H2643=1,INDEX(ap_Date,137),"")</f>
        <v/>
      </c>
      <c r="F2643" s="58">
        <f>IF(H2643=1,INDEX(ap_Desc,137)&amp;"","")</f>
        <v/>
      </c>
      <c r="G2643" s="58">
        <f>IF(H2643=1,INDEX(ap_Party,137)&amp;"","")</f>
        <v/>
      </c>
      <c r="H2643" s="101">
        <f>IFERROR(N(INDEX(ap_Posted,137)),0)</f>
        <v/>
      </c>
      <c r="I2643" s="58">
        <f>IF(H2643=1,INDEX(ap_DrAcct,137)&amp;"","")</f>
        <v/>
      </c>
      <c r="J2643" s="95">
        <f>IF(H2643=1,INDEX(ap_DrAmt,137),0)</f>
        <v/>
      </c>
      <c r="K2643" s="58">
        <f>IF(H2643=1,INDEX(ap_CrAcct,137)&amp;"","")</f>
        <v/>
      </c>
      <c r="L2643" s="95">
        <f>IF(H2643=1,INDEX(ap_CrAmt,137),0)</f>
        <v/>
      </c>
      <c r="M2643" s="95">
        <f>IF(H2643=1,INDEX(ap_TaxAmt,137),0)</f>
        <v/>
      </c>
      <c r="N2643" s="95" t="n">
        <v>0</v>
      </c>
      <c r="O2643" s="101">
        <f>IF(H2643=1,IF(E2643&lt;FYStart,0,IF(E2643&gt;FYEnd,13,YEAR(E2643)*12+MONTH(E2643)-FYYM+1)),"")</f>
        <v/>
      </c>
      <c r="P2643" s="101">
        <f>IF(H2643=1,IF(IFERROR(INDEX(coa_CF,MATCH(I2643,coa_Name,0)),"")="Cash",1,0),0)</f>
        <v/>
      </c>
      <c r="Q2643" s="101">
        <f>IF(H2643=1,IF(IFERROR(INDEX(coa_CF,MATCH(K2643,coa_Name,0)),"")="Cash",1,0),0)</f>
        <v/>
      </c>
      <c r="R2643" s="58">
        <f>IF((P2643-Q2643)=0,"",IFERROR(INDEX(coa_CF,MATCH(IF((P2643-Q2643)=1,K2643,I2643),coa_Name,0)),"Operating"))</f>
        <v/>
      </c>
      <c r="S2643" s="95">
        <f>IF((P2643-Q2643)=1,L2643,IF((P2643-Q2643)=-1,-J2643,0))</f>
        <v/>
      </c>
      <c r="T2643" s="95">
        <f>IF((P2643-Q2643)=1,N2643,IF((P2643-Q2643)=-1,-M2643,0))</f>
        <v/>
      </c>
      <c r="U2643" s="101">
        <f>IF(AND(H2643=1,LedAcct&lt;&gt;""),IF(AND(E2643&gt;=LedFrom,E2643&lt;=LedTo,OR(I2643=LedAcct,K2643=LedAcct,AND(LedAcct=acctTax,M2643+N2643&lt;&gt;0))),E2643*10000+B2643,""),"")</f>
        <v/>
      </c>
    </row>
    <row r="2644">
      <c r="B2644" s="101" t="n">
        <v>2638</v>
      </c>
      <c r="C2644" s="58" t="inlineStr">
        <is>
          <t>Bill</t>
        </is>
      </c>
      <c r="D2644" s="58">
        <f>IF(H2644=1,INDEX(ap_No,138)&amp;"","")</f>
        <v/>
      </c>
      <c r="E2644" s="94">
        <f>IF(H2644=1,INDEX(ap_Date,138),"")</f>
        <v/>
      </c>
      <c r="F2644" s="58">
        <f>IF(H2644=1,INDEX(ap_Desc,138)&amp;"","")</f>
        <v/>
      </c>
      <c r="G2644" s="58">
        <f>IF(H2644=1,INDEX(ap_Party,138)&amp;"","")</f>
        <v/>
      </c>
      <c r="H2644" s="101">
        <f>IFERROR(N(INDEX(ap_Posted,138)),0)</f>
        <v/>
      </c>
      <c r="I2644" s="58">
        <f>IF(H2644=1,INDEX(ap_DrAcct,138)&amp;"","")</f>
        <v/>
      </c>
      <c r="J2644" s="95">
        <f>IF(H2644=1,INDEX(ap_DrAmt,138),0)</f>
        <v/>
      </c>
      <c r="K2644" s="58">
        <f>IF(H2644=1,INDEX(ap_CrAcct,138)&amp;"","")</f>
        <v/>
      </c>
      <c r="L2644" s="95">
        <f>IF(H2644=1,INDEX(ap_CrAmt,138),0)</f>
        <v/>
      </c>
      <c r="M2644" s="95">
        <f>IF(H2644=1,INDEX(ap_TaxAmt,138),0)</f>
        <v/>
      </c>
      <c r="N2644" s="95" t="n">
        <v>0</v>
      </c>
      <c r="O2644" s="101">
        <f>IF(H2644=1,IF(E2644&lt;FYStart,0,IF(E2644&gt;FYEnd,13,YEAR(E2644)*12+MONTH(E2644)-FYYM+1)),"")</f>
        <v/>
      </c>
      <c r="P2644" s="101">
        <f>IF(H2644=1,IF(IFERROR(INDEX(coa_CF,MATCH(I2644,coa_Name,0)),"")="Cash",1,0),0)</f>
        <v/>
      </c>
      <c r="Q2644" s="101">
        <f>IF(H2644=1,IF(IFERROR(INDEX(coa_CF,MATCH(K2644,coa_Name,0)),"")="Cash",1,0),0)</f>
        <v/>
      </c>
      <c r="R2644" s="58">
        <f>IF((P2644-Q2644)=0,"",IFERROR(INDEX(coa_CF,MATCH(IF((P2644-Q2644)=1,K2644,I2644),coa_Name,0)),"Operating"))</f>
        <v/>
      </c>
      <c r="S2644" s="95">
        <f>IF((P2644-Q2644)=1,L2644,IF((P2644-Q2644)=-1,-J2644,0))</f>
        <v/>
      </c>
      <c r="T2644" s="95">
        <f>IF((P2644-Q2644)=1,N2644,IF((P2644-Q2644)=-1,-M2644,0))</f>
        <v/>
      </c>
      <c r="U2644" s="101">
        <f>IF(AND(H2644=1,LedAcct&lt;&gt;""),IF(AND(E2644&gt;=LedFrom,E2644&lt;=LedTo,OR(I2644=LedAcct,K2644=LedAcct,AND(LedAcct=acctTax,M2644+N2644&lt;&gt;0))),E2644*10000+B2644,""),"")</f>
        <v/>
      </c>
    </row>
    <row r="2645">
      <c r="B2645" s="101" t="n">
        <v>2639</v>
      </c>
      <c r="C2645" s="58" t="inlineStr">
        <is>
          <t>Bill</t>
        </is>
      </c>
      <c r="D2645" s="58">
        <f>IF(H2645=1,INDEX(ap_No,139)&amp;"","")</f>
        <v/>
      </c>
      <c r="E2645" s="94">
        <f>IF(H2645=1,INDEX(ap_Date,139),"")</f>
        <v/>
      </c>
      <c r="F2645" s="58">
        <f>IF(H2645=1,INDEX(ap_Desc,139)&amp;"","")</f>
        <v/>
      </c>
      <c r="G2645" s="58">
        <f>IF(H2645=1,INDEX(ap_Party,139)&amp;"","")</f>
        <v/>
      </c>
      <c r="H2645" s="101">
        <f>IFERROR(N(INDEX(ap_Posted,139)),0)</f>
        <v/>
      </c>
      <c r="I2645" s="58">
        <f>IF(H2645=1,INDEX(ap_DrAcct,139)&amp;"","")</f>
        <v/>
      </c>
      <c r="J2645" s="95">
        <f>IF(H2645=1,INDEX(ap_DrAmt,139),0)</f>
        <v/>
      </c>
      <c r="K2645" s="58">
        <f>IF(H2645=1,INDEX(ap_CrAcct,139)&amp;"","")</f>
        <v/>
      </c>
      <c r="L2645" s="95">
        <f>IF(H2645=1,INDEX(ap_CrAmt,139),0)</f>
        <v/>
      </c>
      <c r="M2645" s="95">
        <f>IF(H2645=1,INDEX(ap_TaxAmt,139),0)</f>
        <v/>
      </c>
      <c r="N2645" s="95" t="n">
        <v>0</v>
      </c>
      <c r="O2645" s="101">
        <f>IF(H2645=1,IF(E2645&lt;FYStart,0,IF(E2645&gt;FYEnd,13,YEAR(E2645)*12+MONTH(E2645)-FYYM+1)),"")</f>
        <v/>
      </c>
      <c r="P2645" s="101">
        <f>IF(H2645=1,IF(IFERROR(INDEX(coa_CF,MATCH(I2645,coa_Name,0)),"")="Cash",1,0),0)</f>
        <v/>
      </c>
      <c r="Q2645" s="101">
        <f>IF(H2645=1,IF(IFERROR(INDEX(coa_CF,MATCH(K2645,coa_Name,0)),"")="Cash",1,0),0)</f>
        <v/>
      </c>
      <c r="R2645" s="58">
        <f>IF((P2645-Q2645)=0,"",IFERROR(INDEX(coa_CF,MATCH(IF((P2645-Q2645)=1,K2645,I2645),coa_Name,0)),"Operating"))</f>
        <v/>
      </c>
      <c r="S2645" s="95">
        <f>IF((P2645-Q2645)=1,L2645,IF((P2645-Q2645)=-1,-J2645,0))</f>
        <v/>
      </c>
      <c r="T2645" s="95">
        <f>IF((P2645-Q2645)=1,N2645,IF((P2645-Q2645)=-1,-M2645,0))</f>
        <v/>
      </c>
      <c r="U2645" s="101">
        <f>IF(AND(H2645=1,LedAcct&lt;&gt;""),IF(AND(E2645&gt;=LedFrom,E2645&lt;=LedTo,OR(I2645=LedAcct,K2645=LedAcct,AND(LedAcct=acctTax,M2645+N2645&lt;&gt;0))),E2645*10000+B2645,""),"")</f>
        <v/>
      </c>
    </row>
    <row r="2646">
      <c r="B2646" s="101" t="n">
        <v>2640</v>
      </c>
      <c r="C2646" s="58" t="inlineStr">
        <is>
          <t>Bill</t>
        </is>
      </c>
      <c r="D2646" s="58">
        <f>IF(H2646=1,INDEX(ap_No,140)&amp;"","")</f>
        <v/>
      </c>
      <c r="E2646" s="94">
        <f>IF(H2646=1,INDEX(ap_Date,140),"")</f>
        <v/>
      </c>
      <c r="F2646" s="58">
        <f>IF(H2646=1,INDEX(ap_Desc,140)&amp;"","")</f>
        <v/>
      </c>
      <c r="G2646" s="58">
        <f>IF(H2646=1,INDEX(ap_Party,140)&amp;"","")</f>
        <v/>
      </c>
      <c r="H2646" s="101">
        <f>IFERROR(N(INDEX(ap_Posted,140)),0)</f>
        <v/>
      </c>
      <c r="I2646" s="58">
        <f>IF(H2646=1,INDEX(ap_DrAcct,140)&amp;"","")</f>
        <v/>
      </c>
      <c r="J2646" s="95">
        <f>IF(H2646=1,INDEX(ap_DrAmt,140),0)</f>
        <v/>
      </c>
      <c r="K2646" s="58">
        <f>IF(H2646=1,INDEX(ap_CrAcct,140)&amp;"","")</f>
        <v/>
      </c>
      <c r="L2646" s="95">
        <f>IF(H2646=1,INDEX(ap_CrAmt,140),0)</f>
        <v/>
      </c>
      <c r="M2646" s="95">
        <f>IF(H2646=1,INDEX(ap_TaxAmt,140),0)</f>
        <v/>
      </c>
      <c r="N2646" s="95" t="n">
        <v>0</v>
      </c>
      <c r="O2646" s="101">
        <f>IF(H2646=1,IF(E2646&lt;FYStart,0,IF(E2646&gt;FYEnd,13,YEAR(E2646)*12+MONTH(E2646)-FYYM+1)),"")</f>
        <v/>
      </c>
      <c r="P2646" s="101">
        <f>IF(H2646=1,IF(IFERROR(INDEX(coa_CF,MATCH(I2646,coa_Name,0)),"")="Cash",1,0),0)</f>
        <v/>
      </c>
      <c r="Q2646" s="101">
        <f>IF(H2646=1,IF(IFERROR(INDEX(coa_CF,MATCH(K2646,coa_Name,0)),"")="Cash",1,0),0)</f>
        <v/>
      </c>
      <c r="R2646" s="58">
        <f>IF((P2646-Q2646)=0,"",IFERROR(INDEX(coa_CF,MATCH(IF((P2646-Q2646)=1,K2646,I2646),coa_Name,0)),"Operating"))</f>
        <v/>
      </c>
      <c r="S2646" s="95">
        <f>IF((P2646-Q2646)=1,L2646,IF((P2646-Q2646)=-1,-J2646,0))</f>
        <v/>
      </c>
      <c r="T2646" s="95">
        <f>IF((P2646-Q2646)=1,N2646,IF((P2646-Q2646)=-1,-M2646,0))</f>
        <v/>
      </c>
      <c r="U2646" s="101">
        <f>IF(AND(H2646=1,LedAcct&lt;&gt;""),IF(AND(E2646&gt;=LedFrom,E2646&lt;=LedTo,OR(I2646=LedAcct,K2646=LedAcct,AND(LedAcct=acctTax,M2646+N2646&lt;&gt;0))),E2646*10000+B2646,""),"")</f>
        <v/>
      </c>
    </row>
    <row r="2647">
      <c r="B2647" s="101" t="n">
        <v>2641</v>
      </c>
      <c r="C2647" s="58" t="inlineStr">
        <is>
          <t>Bill</t>
        </is>
      </c>
      <c r="D2647" s="58">
        <f>IF(H2647=1,INDEX(ap_No,141)&amp;"","")</f>
        <v/>
      </c>
      <c r="E2647" s="94">
        <f>IF(H2647=1,INDEX(ap_Date,141),"")</f>
        <v/>
      </c>
      <c r="F2647" s="58">
        <f>IF(H2647=1,INDEX(ap_Desc,141)&amp;"","")</f>
        <v/>
      </c>
      <c r="G2647" s="58">
        <f>IF(H2647=1,INDEX(ap_Party,141)&amp;"","")</f>
        <v/>
      </c>
      <c r="H2647" s="101">
        <f>IFERROR(N(INDEX(ap_Posted,141)),0)</f>
        <v/>
      </c>
      <c r="I2647" s="58">
        <f>IF(H2647=1,INDEX(ap_DrAcct,141)&amp;"","")</f>
        <v/>
      </c>
      <c r="J2647" s="95">
        <f>IF(H2647=1,INDEX(ap_DrAmt,141),0)</f>
        <v/>
      </c>
      <c r="K2647" s="58">
        <f>IF(H2647=1,INDEX(ap_CrAcct,141)&amp;"","")</f>
        <v/>
      </c>
      <c r="L2647" s="95">
        <f>IF(H2647=1,INDEX(ap_CrAmt,141),0)</f>
        <v/>
      </c>
      <c r="M2647" s="95">
        <f>IF(H2647=1,INDEX(ap_TaxAmt,141),0)</f>
        <v/>
      </c>
      <c r="N2647" s="95" t="n">
        <v>0</v>
      </c>
      <c r="O2647" s="101">
        <f>IF(H2647=1,IF(E2647&lt;FYStart,0,IF(E2647&gt;FYEnd,13,YEAR(E2647)*12+MONTH(E2647)-FYYM+1)),"")</f>
        <v/>
      </c>
      <c r="P2647" s="101">
        <f>IF(H2647=1,IF(IFERROR(INDEX(coa_CF,MATCH(I2647,coa_Name,0)),"")="Cash",1,0),0)</f>
        <v/>
      </c>
      <c r="Q2647" s="101">
        <f>IF(H2647=1,IF(IFERROR(INDEX(coa_CF,MATCH(K2647,coa_Name,0)),"")="Cash",1,0),0)</f>
        <v/>
      </c>
      <c r="R2647" s="58">
        <f>IF((P2647-Q2647)=0,"",IFERROR(INDEX(coa_CF,MATCH(IF((P2647-Q2647)=1,K2647,I2647),coa_Name,0)),"Operating"))</f>
        <v/>
      </c>
      <c r="S2647" s="95">
        <f>IF((P2647-Q2647)=1,L2647,IF((P2647-Q2647)=-1,-J2647,0))</f>
        <v/>
      </c>
      <c r="T2647" s="95">
        <f>IF((P2647-Q2647)=1,N2647,IF((P2647-Q2647)=-1,-M2647,0))</f>
        <v/>
      </c>
      <c r="U2647" s="101">
        <f>IF(AND(H2647=1,LedAcct&lt;&gt;""),IF(AND(E2647&gt;=LedFrom,E2647&lt;=LedTo,OR(I2647=LedAcct,K2647=LedAcct,AND(LedAcct=acctTax,M2647+N2647&lt;&gt;0))),E2647*10000+B2647,""),"")</f>
        <v/>
      </c>
    </row>
    <row r="2648">
      <c r="B2648" s="101" t="n">
        <v>2642</v>
      </c>
      <c r="C2648" s="58" t="inlineStr">
        <is>
          <t>Bill</t>
        </is>
      </c>
      <c r="D2648" s="58">
        <f>IF(H2648=1,INDEX(ap_No,142)&amp;"","")</f>
        <v/>
      </c>
      <c r="E2648" s="94">
        <f>IF(H2648=1,INDEX(ap_Date,142),"")</f>
        <v/>
      </c>
      <c r="F2648" s="58">
        <f>IF(H2648=1,INDEX(ap_Desc,142)&amp;"","")</f>
        <v/>
      </c>
      <c r="G2648" s="58">
        <f>IF(H2648=1,INDEX(ap_Party,142)&amp;"","")</f>
        <v/>
      </c>
      <c r="H2648" s="101">
        <f>IFERROR(N(INDEX(ap_Posted,142)),0)</f>
        <v/>
      </c>
      <c r="I2648" s="58">
        <f>IF(H2648=1,INDEX(ap_DrAcct,142)&amp;"","")</f>
        <v/>
      </c>
      <c r="J2648" s="95">
        <f>IF(H2648=1,INDEX(ap_DrAmt,142),0)</f>
        <v/>
      </c>
      <c r="K2648" s="58">
        <f>IF(H2648=1,INDEX(ap_CrAcct,142)&amp;"","")</f>
        <v/>
      </c>
      <c r="L2648" s="95">
        <f>IF(H2648=1,INDEX(ap_CrAmt,142),0)</f>
        <v/>
      </c>
      <c r="M2648" s="95">
        <f>IF(H2648=1,INDEX(ap_TaxAmt,142),0)</f>
        <v/>
      </c>
      <c r="N2648" s="95" t="n">
        <v>0</v>
      </c>
      <c r="O2648" s="101">
        <f>IF(H2648=1,IF(E2648&lt;FYStart,0,IF(E2648&gt;FYEnd,13,YEAR(E2648)*12+MONTH(E2648)-FYYM+1)),"")</f>
        <v/>
      </c>
      <c r="P2648" s="101">
        <f>IF(H2648=1,IF(IFERROR(INDEX(coa_CF,MATCH(I2648,coa_Name,0)),"")="Cash",1,0),0)</f>
        <v/>
      </c>
      <c r="Q2648" s="101">
        <f>IF(H2648=1,IF(IFERROR(INDEX(coa_CF,MATCH(K2648,coa_Name,0)),"")="Cash",1,0),0)</f>
        <v/>
      </c>
      <c r="R2648" s="58">
        <f>IF((P2648-Q2648)=0,"",IFERROR(INDEX(coa_CF,MATCH(IF((P2648-Q2648)=1,K2648,I2648),coa_Name,0)),"Operating"))</f>
        <v/>
      </c>
      <c r="S2648" s="95">
        <f>IF((P2648-Q2648)=1,L2648,IF((P2648-Q2648)=-1,-J2648,0))</f>
        <v/>
      </c>
      <c r="T2648" s="95">
        <f>IF((P2648-Q2648)=1,N2648,IF((P2648-Q2648)=-1,-M2648,0))</f>
        <v/>
      </c>
      <c r="U2648" s="101">
        <f>IF(AND(H2648=1,LedAcct&lt;&gt;""),IF(AND(E2648&gt;=LedFrom,E2648&lt;=LedTo,OR(I2648=LedAcct,K2648=LedAcct,AND(LedAcct=acctTax,M2648+N2648&lt;&gt;0))),E2648*10000+B2648,""),"")</f>
        <v/>
      </c>
    </row>
    <row r="2649">
      <c r="B2649" s="101" t="n">
        <v>2643</v>
      </c>
      <c r="C2649" s="58" t="inlineStr">
        <is>
          <t>Bill</t>
        </is>
      </c>
      <c r="D2649" s="58">
        <f>IF(H2649=1,INDEX(ap_No,143)&amp;"","")</f>
        <v/>
      </c>
      <c r="E2649" s="94">
        <f>IF(H2649=1,INDEX(ap_Date,143),"")</f>
        <v/>
      </c>
      <c r="F2649" s="58">
        <f>IF(H2649=1,INDEX(ap_Desc,143)&amp;"","")</f>
        <v/>
      </c>
      <c r="G2649" s="58">
        <f>IF(H2649=1,INDEX(ap_Party,143)&amp;"","")</f>
        <v/>
      </c>
      <c r="H2649" s="101">
        <f>IFERROR(N(INDEX(ap_Posted,143)),0)</f>
        <v/>
      </c>
      <c r="I2649" s="58">
        <f>IF(H2649=1,INDEX(ap_DrAcct,143)&amp;"","")</f>
        <v/>
      </c>
      <c r="J2649" s="95">
        <f>IF(H2649=1,INDEX(ap_DrAmt,143),0)</f>
        <v/>
      </c>
      <c r="K2649" s="58">
        <f>IF(H2649=1,INDEX(ap_CrAcct,143)&amp;"","")</f>
        <v/>
      </c>
      <c r="L2649" s="95">
        <f>IF(H2649=1,INDEX(ap_CrAmt,143),0)</f>
        <v/>
      </c>
      <c r="M2649" s="95">
        <f>IF(H2649=1,INDEX(ap_TaxAmt,143),0)</f>
        <v/>
      </c>
      <c r="N2649" s="95" t="n">
        <v>0</v>
      </c>
      <c r="O2649" s="101">
        <f>IF(H2649=1,IF(E2649&lt;FYStart,0,IF(E2649&gt;FYEnd,13,YEAR(E2649)*12+MONTH(E2649)-FYYM+1)),"")</f>
        <v/>
      </c>
      <c r="P2649" s="101">
        <f>IF(H2649=1,IF(IFERROR(INDEX(coa_CF,MATCH(I2649,coa_Name,0)),"")="Cash",1,0),0)</f>
        <v/>
      </c>
      <c r="Q2649" s="101">
        <f>IF(H2649=1,IF(IFERROR(INDEX(coa_CF,MATCH(K2649,coa_Name,0)),"")="Cash",1,0),0)</f>
        <v/>
      </c>
      <c r="R2649" s="58">
        <f>IF((P2649-Q2649)=0,"",IFERROR(INDEX(coa_CF,MATCH(IF((P2649-Q2649)=1,K2649,I2649),coa_Name,0)),"Operating"))</f>
        <v/>
      </c>
      <c r="S2649" s="95">
        <f>IF((P2649-Q2649)=1,L2649,IF((P2649-Q2649)=-1,-J2649,0))</f>
        <v/>
      </c>
      <c r="T2649" s="95">
        <f>IF((P2649-Q2649)=1,N2649,IF((P2649-Q2649)=-1,-M2649,0))</f>
        <v/>
      </c>
      <c r="U2649" s="101">
        <f>IF(AND(H2649=1,LedAcct&lt;&gt;""),IF(AND(E2649&gt;=LedFrom,E2649&lt;=LedTo,OR(I2649=LedAcct,K2649=LedAcct,AND(LedAcct=acctTax,M2649+N2649&lt;&gt;0))),E2649*10000+B2649,""),"")</f>
        <v/>
      </c>
    </row>
    <row r="2650">
      <c r="B2650" s="101" t="n">
        <v>2644</v>
      </c>
      <c r="C2650" s="58" t="inlineStr">
        <is>
          <t>Bill</t>
        </is>
      </c>
      <c r="D2650" s="58">
        <f>IF(H2650=1,INDEX(ap_No,144)&amp;"","")</f>
        <v/>
      </c>
      <c r="E2650" s="94">
        <f>IF(H2650=1,INDEX(ap_Date,144),"")</f>
        <v/>
      </c>
      <c r="F2650" s="58">
        <f>IF(H2650=1,INDEX(ap_Desc,144)&amp;"","")</f>
        <v/>
      </c>
      <c r="G2650" s="58">
        <f>IF(H2650=1,INDEX(ap_Party,144)&amp;"","")</f>
        <v/>
      </c>
      <c r="H2650" s="101">
        <f>IFERROR(N(INDEX(ap_Posted,144)),0)</f>
        <v/>
      </c>
      <c r="I2650" s="58">
        <f>IF(H2650=1,INDEX(ap_DrAcct,144)&amp;"","")</f>
        <v/>
      </c>
      <c r="J2650" s="95">
        <f>IF(H2650=1,INDEX(ap_DrAmt,144),0)</f>
        <v/>
      </c>
      <c r="K2650" s="58">
        <f>IF(H2650=1,INDEX(ap_CrAcct,144)&amp;"","")</f>
        <v/>
      </c>
      <c r="L2650" s="95">
        <f>IF(H2650=1,INDEX(ap_CrAmt,144),0)</f>
        <v/>
      </c>
      <c r="M2650" s="95">
        <f>IF(H2650=1,INDEX(ap_TaxAmt,144),0)</f>
        <v/>
      </c>
      <c r="N2650" s="95" t="n">
        <v>0</v>
      </c>
      <c r="O2650" s="101">
        <f>IF(H2650=1,IF(E2650&lt;FYStart,0,IF(E2650&gt;FYEnd,13,YEAR(E2650)*12+MONTH(E2650)-FYYM+1)),"")</f>
        <v/>
      </c>
      <c r="P2650" s="101">
        <f>IF(H2650=1,IF(IFERROR(INDEX(coa_CF,MATCH(I2650,coa_Name,0)),"")="Cash",1,0),0)</f>
        <v/>
      </c>
      <c r="Q2650" s="101">
        <f>IF(H2650=1,IF(IFERROR(INDEX(coa_CF,MATCH(K2650,coa_Name,0)),"")="Cash",1,0),0)</f>
        <v/>
      </c>
      <c r="R2650" s="58">
        <f>IF((P2650-Q2650)=0,"",IFERROR(INDEX(coa_CF,MATCH(IF((P2650-Q2650)=1,K2650,I2650),coa_Name,0)),"Operating"))</f>
        <v/>
      </c>
      <c r="S2650" s="95">
        <f>IF((P2650-Q2650)=1,L2650,IF((P2650-Q2650)=-1,-J2650,0))</f>
        <v/>
      </c>
      <c r="T2650" s="95">
        <f>IF((P2650-Q2650)=1,N2650,IF((P2650-Q2650)=-1,-M2650,0))</f>
        <v/>
      </c>
      <c r="U2650" s="101">
        <f>IF(AND(H2650=1,LedAcct&lt;&gt;""),IF(AND(E2650&gt;=LedFrom,E2650&lt;=LedTo,OR(I2650=LedAcct,K2650=LedAcct,AND(LedAcct=acctTax,M2650+N2650&lt;&gt;0))),E2650*10000+B2650,""),"")</f>
        <v/>
      </c>
    </row>
    <row r="2651">
      <c r="B2651" s="101" t="n">
        <v>2645</v>
      </c>
      <c r="C2651" s="58" t="inlineStr">
        <is>
          <t>Bill</t>
        </is>
      </c>
      <c r="D2651" s="58">
        <f>IF(H2651=1,INDEX(ap_No,145)&amp;"","")</f>
        <v/>
      </c>
      <c r="E2651" s="94">
        <f>IF(H2651=1,INDEX(ap_Date,145),"")</f>
        <v/>
      </c>
      <c r="F2651" s="58">
        <f>IF(H2651=1,INDEX(ap_Desc,145)&amp;"","")</f>
        <v/>
      </c>
      <c r="G2651" s="58">
        <f>IF(H2651=1,INDEX(ap_Party,145)&amp;"","")</f>
        <v/>
      </c>
      <c r="H2651" s="101">
        <f>IFERROR(N(INDEX(ap_Posted,145)),0)</f>
        <v/>
      </c>
      <c r="I2651" s="58">
        <f>IF(H2651=1,INDEX(ap_DrAcct,145)&amp;"","")</f>
        <v/>
      </c>
      <c r="J2651" s="95">
        <f>IF(H2651=1,INDEX(ap_DrAmt,145),0)</f>
        <v/>
      </c>
      <c r="K2651" s="58">
        <f>IF(H2651=1,INDEX(ap_CrAcct,145)&amp;"","")</f>
        <v/>
      </c>
      <c r="L2651" s="95">
        <f>IF(H2651=1,INDEX(ap_CrAmt,145),0)</f>
        <v/>
      </c>
      <c r="M2651" s="95">
        <f>IF(H2651=1,INDEX(ap_TaxAmt,145),0)</f>
        <v/>
      </c>
      <c r="N2651" s="95" t="n">
        <v>0</v>
      </c>
      <c r="O2651" s="101">
        <f>IF(H2651=1,IF(E2651&lt;FYStart,0,IF(E2651&gt;FYEnd,13,YEAR(E2651)*12+MONTH(E2651)-FYYM+1)),"")</f>
        <v/>
      </c>
      <c r="P2651" s="101">
        <f>IF(H2651=1,IF(IFERROR(INDEX(coa_CF,MATCH(I2651,coa_Name,0)),"")="Cash",1,0),0)</f>
        <v/>
      </c>
      <c r="Q2651" s="101">
        <f>IF(H2651=1,IF(IFERROR(INDEX(coa_CF,MATCH(K2651,coa_Name,0)),"")="Cash",1,0),0)</f>
        <v/>
      </c>
      <c r="R2651" s="58">
        <f>IF((P2651-Q2651)=0,"",IFERROR(INDEX(coa_CF,MATCH(IF((P2651-Q2651)=1,K2651,I2651),coa_Name,0)),"Operating"))</f>
        <v/>
      </c>
      <c r="S2651" s="95">
        <f>IF((P2651-Q2651)=1,L2651,IF((P2651-Q2651)=-1,-J2651,0))</f>
        <v/>
      </c>
      <c r="T2651" s="95">
        <f>IF((P2651-Q2651)=1,N2651,IF((P2651-Q2651)=-1,-M2651,0))</f>
        <v/>
      </c>
      <c r="U2651" s="101">
        <f>IF(AND(H2651=1,LedAcct&lt;&gt;""),IF(AND(E2651&gt;=LedFrom,E2651&lt;=LedTo,OR(I2651=LedAcct,K2651=LedAcct,AND(LedAcct=acctTax,M2651+N2651&lt;&gt;0))),E2651*10000+B2651,""),"")</f>
        <v/>
      </c>
    </row>
    <row r="2652">
      <c r="B2652" s="101" t="n">
        <v>2646</v>
      </c>
      <c r="C2652" s="58" t="inlineStr">
        <is>
          <t>Bill</t>
        </is>
      </c>
      <c r="D2652" s="58">
        <f>IF(H2652=1,INDEX(ap_No,146)&amp;"","")</f>
        <v/>
      </c>
      <c r="E2652" s="94">
        <f>IF(H2652=1,INDEX(ap_Date,146),"")</f>
        <v/>
      </c>
      <c r="F2652" s="58">
        <f>IF(H2652=1,INDEX(ap_Desc,146)&amp;"","")</f>
        <v/>
      </c>
      <c r="G2652" s="58">
        <f>IF(H2652=1,INDEX(ap_Party,146)&amp;"","")</f>
        <v/>
      </c>
      <c r="H2652" s="101">
        <f>IFERROR(N(INDEX(ap_Posted,146)),0)</f>
        <v/>
      </c>
      <c r="I2652" s="58">
        <f>IF(H2652=1,INDEX(ap_DrAcct,146)&amp;"","")</f>
        <v/>
      </c>
      <c r="J2652" s="95">
        <f>IF(H2652=1,INDEX(ap_DrAmt,146),0)</f>
        <v/>
      </c>
      <c r="K2652" s="58">
        <f>IF(H2652=1,INDEX(ap_CrAcct,146)&amp;"","")</f>
        <v/>
      </c>
      <c r="L2652" s="95">
        <f>IF(H2652=1,INDEX(ap_CrAmt,146),0)</f>
        <v/>
      </c>
      <c r="M2652" s="95">
        <f>IF(H2652=1,INDEX(ap_TaxAmt,146),0)</f>
        <v/>
      </c>
      <c r="N2652" s="95" t="n">
        <v>0</v>
      </c>
      <c r="O2652" s="101">
        <f>IF(H2652=1,IF(E2652&lt;FYStart,0,IF(E2652&gt;FYEnd,13,YEAR(E2652)*12+MONTH(E2652)-FYYM+1)),"")</f>
        <v/>
      </c>
      <c r="P2652" s="101">
        <f>IF(H2652=1,IF(IFERROR(INDEX(coa_CF,MATCH(I2652,coa_Name,0)),"")="Cash",1,0),0)</f>
        <v/>
      </c>
      <c r="Q2652" s="101">
        <f>IF(H2652=1,IF(IFERROR(INDEX(coa_CF,MATCH(K2652,coa_Name,0)),"")="Cash",1,0),0)</f>
        <v/>
      </c>
      <c r="R2652" s="58">
        <f>IF((P2652-Q2652)=0,"",IFERROR(INDEX(coa_CF,MATCH(IF((P2652-Q2652)=1,K2652,I2652),coa_Name,0)),"Operating"))</f>
        <v/>
      </c>
      <c r="S2652" s="95">
        <f>IF((P2652-Q2652)=1,L2652,IF((P2652-Q2652)=-1,-J2652,0))</f>
        <v/>
      </c>
      <c r="T2652" s="95">
        <f>IF((P2652-Q2652)=1,N2652,IF((P2652-Q2652)=-1,-M2652,0))</f>
        <v/>
      </c>
      <c r="U2652" s="101">
        <f>IF(AND(H2652=1,LedAcct&lt;&gt;""),IF(AND(E2652&gt;=LedFrom,E2652&lt;=LedTo,OR(I2652=LedAcct,K2652=LedAcct,AND(LedAcct=acctTax,M2652+N2652&lt;&gt;0))),E2652*10000+B2652,""),"")</f>
        <v/>
      </c>
    </row>
    <row r="2653">
      <c r="B2653" s="101" t="n">
        <v>2647</v>
      </c>
      <c r="C2653" s="58" t="inlineStr">
        <is>
          <t>Bill</t>
        </is>
      </c>
      <c r="D2653" s="58">
        <f>IF(H2653=1,INDEX(ap_No,147)&amp;"","")</f>
        <v/>
      </c>
      <c r="E2653" s="94">
        <f>IF(H2653=1,INDEX(ap_Date,147),"")</f>
        <v/>
      </c>
      <c r="F2653" s="58">
        <f>IF(H2653=1,INDEX(ap_Desc,147)&amp;"","")</f>
        <v/>
      </c>
      <c r="G2653" s="58">
        <f>IF(H2653=1,INDEX(ap_Party,147)&amp;"","")</f>
        <v/>
      </c>
      <c r="H2653" s="101">
        <f>IFERROR(N(INDEX(ap_Posted,147)),0)</f>
        <v/>
      </c>
      <c r="I2653" s="58">
        <f>IF(H2653=1,INDEX(ap_DrAcct,147)&amp;"","")</f>
        <v/>
      </c>
      <c r="J2653" s="95">
        <f>IF(H2653=1,INDEX(ap_DrAmt,147),0)</f>
        <v/>
      </c>
      <c r="K2653" s="58">
        <f>IF(H2653=1,INDEX(ap_CrAcct,147)&amp;"","")</f>
        <v/>
      </c>
      <c r="L2653" s="95">
        <f>IF(H2653=1,INDEX(ap_CrAmt,147),0)</f>
        <v/>
      </c>
      <c r="M2653" s="95">
        <f>IF(H2653=1,INDEX(ap_TaxAmt,147),0)</f>
        <v/>
      </c>
      <c r="N2653" s="95" t="n">
        <v>0</v>
      </c>
      <c r="O2653" s="101">
        <f>IF(H2653=1,IF(E2653&lt;FYStart,0,IF(E2653&gt;FYEnd,13,YEAR(E2653)*12+MONTH(E2653)-FYYM+1)),"")</f>
        <v/>
      </c>
      <c r="P2653" s="101">
        <f>IF(H2653=1,IF(IFERROR(INDEX(coa_CF,MATCH(I2653,coa_Name,0)),"")="Cash",1,0),0)</f>
        <v/>
      </c>
      <c r="Q2653" s="101">
        <f>IF(H2653=1,IF(IFERROR(INDEX(coa_CF,MATCH(K2653,coa_Name,0)),"")="Cash",1,0),0)</f>
        <v/>
      </c>
      <c r="R2653" s="58">
        <f>IF((P2653-Q2653)=0,"",IFERROR(INDEX(coa_CF,MATCH(IF((P2653-Q2653)=1,K2653,I2653),coa_Name,0)),"Operating"))</f>
        <v/>
      </c>
      <c r="S2653" s="95">
        <f>IF((P2653-Q2653)=1,L2653,IF((P2653-Q2653)=-1,-J2653,0))</f>
        <v/>
      </c>
      <c r="T2653" s="95">
        <f>IF((P2653-Q2653)=1,N2653,IF((P2653-Q2653)=-1,-M2653,0))</f>
        <v/>
      </c>
      <c r="U2653" s="101">
        <f>IF(AND(H2653=1,LedAcct&lt;&gt;""),IF(AND(E2653&gt;=LedFrom,E2653&lt;=LedTo,OR(I2653=LedAcct,K2653=LedAcct,AND(LedAcct=acctTax,M2653+N2653&lt;&gt;0))),E2653*10000+B2653,""),"")</f>
        <v/>
      </c>
    </row>
    <row r="2654">
      <c r="B2654" s="101" t="n">
        <v>2648</v>
      </c>
      <c r="C2654" s="58" t="inlineStr">
        <is>
          <t>Bill</t>
        </is>
      </c>
      <c r="D2654" s="58">
        <f>IF(H2654=1,INDEX(ap_No,148)&amp;"","")</f>
        <v/>
      </c>
      <c r="E2654" s="94">
        <f>IF(H2654=1,INDEX(ap_Date,148),"")</f>
        <v/>
      </c>
      <c r="F2654" s="58">
        <f>IF(H2654=1,INDEX(ap_Desc,148)&amp;"","")</f>
        <v/>
      </c>
      <c r="G2654" s="58">
        <f>IF(H2654=1,INDEX(ap_Party,148)&amp;"","")</f>
        <v/>
      </c>
      <c r="H2654" s="101">
        <f>IFERROR(N(INDEX(ap_Posted,148)),0)</f>
        <v/>
      </c>
      <c r="I2654" s="58">
        <f>IF(H2654=1,INDEX(ap_DrAcct,148)&amp;"","")</f>
        <v/>
      </c>
      <c r="J2654" s="95">
        <f>IF(H2654=1,INDEX(ap_DrAmt,148),0)</f>
        <v/>
      </c>
      <c r="K2654" s="58">
        <f>IF(H2654=1,INDEX(ap_CrAcct,148)&amp;"","")</f>
        <v/>
      </c>
      <c r="L2654" s="95">
        <f>IF(H2654=1,INDEX(ap_CrAmt,148),0)</f>
        <v/>
      </c>
      <c r="M2654" s="95">
        <f>IF(H2654=1,INDEX(ap_TaxAmt,148),0)</f>
        <v/>
      </c>
      <c r="N2654" s="95" t="n">
        <v>0</v>
      </c>
      <c r="O2654" s="101">
        <f>IF(H2654=1,IF(E2654&lt;FYStart,0,IF(E2654&gt;FYEnd,13,YEAR(E2654)*12+MONTH(E2654)-FYYM+1)),"")</f>
        <v/>
      </c>
      <c r="P2654" s="101">
        <f>IF(H2654=1,IF(IFERROR(INDEX(coa_CF,MATCH(I2654,coa_Name,0)),"")="Cash",1,0),0)</f>
        <v/>
      </c>
      <c r="Q2654" s="101">
        <f>IF(H2654=1,IF(IFERROR(INDEX(coa_CF,MATCH(K2654,coa_Name,0)),"")="Cash",1,0),0)</f>
        <v/>
      </c>
      <c r="R2654" s="58">
        <f>IF((P2654-Q2654)=0,"",IFERROR(INDEX(coa_CF,MATCH(IF((P2654-Q2654)=1,K2654,I2654),coa_Name,0)),"Operating"))</f>
        <v/>
      </c>
      <c r="S2654" s="95">
        <f>IF((P2654-Q2654)=1,L2654,IF((P2654-Q2654)=-1,-J2654,0))</f>
        <v/>
      </c>
      <c r="T2654" s="95">
        <f>IF((P2654-Q2654)=1,N2654,IF((P2654-Q2654)=-1,-M2654,0))</f>
        <v/>
      </c>
      <c r="U2654" s="101">
        <f>IF(AND(H2654=1,LedAcct&lt;&gt;""),IF(AND(E2654&gt;=LedFrom,E2654&lt;=LedTo,OR(I2654=LedAcct,K2654=LedAcct,AND(LedAcct=acctTax,M2654+N2654&lt;&gt;0))),E2654*10000+B2654,""),"")</f>
        <v/>
      </c>
    </row>
    <row r="2655">
      <c r="B2655" s="101" t="n">
        <v>2649</v>
      </c>
      <c r="C2655" s="58" t="inlineStr">
        <is>
          <t>Bill</t>
        </is>
      </c>
      <c r="D2655" s="58">
        <f>IF(H2655=1,INDEX(ap_No,149)&amp;"","")</f>
        <v/>
      </c>
      <c r="E2655" s="94">
        <f>IF(H2655=1,INDEX(ap_Date,149),"")</f>
        <v/>
      </c>
      <c r="F2655" s="58">
        <f>IF(H2655=1,INDEX(ap_Desc,149)&amp;"","")</f>
        <v/>
      </c>
      <c r="G2655" s="58">
        <f>IF(H2655=1,INDEX(ap_Party,149)&amp;"","")</f>
        <v/>
      </c>
      <c r="H2655" s="101">
        <f>IFERROR(N(INDEX(ap_Posted,149)),0)</f>
        <v/>
      </c>
      <c r="I2655" s="58">
        <f>IF(H2655=1,INDEX(ap_DrAcct,149)&amp;"","")</f>
        <v/>
      </c>
      <c r="J2655" s="95">
        <f>IF(H2655=1,INDEX(ap_DrAmt,149),0)</f>
        <v/>
      </c>
      <c r="K2655" s="58">
        <f>IF(H2655=1,INDEX(ap_CrAcct,149)&amp;"","")</f>
        <v/>
      </c>
      <c r="L2655" s="95">
        <f>IF(H2655=1,INDEX(ap_CrAmt,149),0)</f>
        <v/>
      </c>
      <c r="M2655" s="95">
        <f>IF(H2655=1,INDEX(ap_TaxAmt,149),0)</f>
        <v/>
      </c>
      <c r="N2655" s="95" t="n">
        <v>0</v>
      </c>
      <c r="O2655" s="101">
        <f>IF(H2655=1,IF(E2655&lt;FYStart,0,IF(E2655&gt;FYEnd,13,YEAR(E2655)*12+MONTH(E2655)-FYYM+1)),"")</f>
        <v/>
      </c>
      <c r="P2655" s="101">
        <f>IF(H2655=1,IF(IFERROR(INDEX(coa_CF,MATCH(I2655,coa_Name,0)),"")="Cash",1,0),0)</f>
        <v/>
      </c>
      <c r="Q2655" s="101">
        <f>IF(H2655=1,IF(IFERROR(INDEX(coa_CF,MATCH(K2655,coa_Name,0)),"")="Cash",1,0),0)</f>
        <v/>
      </c>
      <c r="R2655" s="58">
        <f>IF((P2655-Q2655)=0,"",IFERROR(INDEX(coa_CF,MATCH(IF((P2655-Q2655)=1,K2655,I2655),coa_Name,0)),"Operating"))</f>
        <v/>
      </c>
      <c r="S2655" s="95">
        <f>IF((P2655-Q2655)=1,L2655,IF((P2655-Q2655)=-1,-J2655,0))</f>
        <v/>
      </c>
      <c r="T2655" s="95">
        <f>IF((P2655-Q2655)=1,N2655,IF((P2655-Q2655)=-1,-M2655,0))</f>
        <v/>
      </c>
      <c r="U2655" s="101">
        <f>IF(AND(H2655=1,LedAcct&lt;&gt;""),IF(AND(E2655&gt;=LedFrom,E2655&lt;=LedTo,OR(I2655=LedAcct,K2655=LedAcct,AND(LedAcct=acctTax,M2655+N2655&lt;&gt;0))),E2655*10000+B2655,""),"")</f>
        <v/>
      </c>
    </row>
    <row r="2656">
      <c r="B2656" s="101" t="n">
        <v>2650</v>
      </c>
      <c r="C2656" s="58" t="inlineStr">
        <is>
          <t>Bill</t>
        </is>
      </c>
      <c r="D2656" s="58">
        <f>IF(H2656=1,INDEX(ap_No,150)&amp;"","")</f>
        <v/>
      </c>
      <c r="E2656" s="94">
        <f>IF(H2656=1,INDEX(ap_Date,150),"")</f>
        <v/>
      </c>
      <c r="F2656" s="58">
        <f>IF(H2656=1,INDEX(ap_Desc,150)&amp;"","")</f>
        <v/>
      </c>
      <c r="G2656" s="58">
        <f>IF(H2656=1,INDEX(ap_Party,150)&amp;"","")</f>
        <v/>
      </c>
      <c r="H2656" s="101">
        <f>IFERROR(N(INDEX(ap_Posted,150)),0)</f>
        <v/>
      </c>
      <c r="I2656" s="58">
        <f>IF(H2656=1,INDEX(ap_DrAcct,150)&amp;"","")</f>
        <v/>
      </c>
      <c r="J2656" s="95">
        <f>IF(H2656=1,INDEX(ap_DrAmt,150),0)</f>
        <v/>
      </c>
      <c r="K2656" s="58">
        <f>IF(H2656=1,INDEX(ap_CrAcct,150)&amp;"","")</f>
        <v/>
      </c>
      <c r="L2656" s="95">
        <f>IF(H2656=1,INDEX(ap_CrAmt,150),0)</f>
        <v/>
      </c>
      <c r="M2656" s="95">
        <f>IF(H2656=1,INDEX(ap_TaxAmt,150),0)</f>
        <v/>
      </c>
      <c r="N2656" s="95" t="n">
        <v>0</v>
      </c>
      <c r="O2656" s="101">
        <f>IF(H2656=1,IF(E2656&lt;FYStart,0,IF(E2656&gt;FYEnd,13,YEAR(E2656)*12+MONTH(E2656)-FYYM+1)),"")</f>
        <v/>
      </c>
      <c r="P2656" s="101">
        <f>IF(H2656=1,IF(IFERROR(INDEX(coa_CF,MATCH(I2656,coa_Name,0)),"")="Cash",1,0),0)</f>
        <v/>
      </c>
      <c r="Q2656" s="101">
        <f>IF(H2656=1,IF(IFERROR(INDEX(coa_CF,MATCH(K2656,coa_Name,0)),"")="Cash",1,0),0)</f>
        <v/>
      </c>
      <c r="R2656" s="58">
        <f>IF((P2656-Q2656)=0,"",IFERROR(INDEX(coa_CF,MATCH(IF((P2656-Q2656)=1,K2656,I2656),coa_Name,0)),"Operating"))</f>
        <v/>
      </c>
      <c r="S2656" s="95">
        <f>IF((P2656-Q2656)=1,L2656,IF((P2656-Q2656)=-1,-J2656,0))</f>
        <v/>
      </c>
      <c r="T2656" s="95">
        <f>IF((P2656-Q2656)=1,N2656,IF((P2656-Q2656)=-1,-M2656,0))</f>
        <v/>
      </c>
      <c r="U2656" s="101">
        <f>IF(AND(H2656=1,LedAcct&lt;&gt;""),IF(AND(E2656&gt;=LedFrom,E2656&lt;=LedTo,OR(I2656=LedAcct,K2656=LedAcct,AND(LedAcct=acctTax,M2656+N2656&lt;&gt;0))),E2656*10000+B2656,""),"")</f>
        <v/>
      </c>
    </row>
    <row r="2657">
      <c r="B2657" s="101" t="n">
        <v>2651</v>
      </c>
      <c r="C2657" s="58" t="inlineStr">
        <is>
          <t>Bill</t>
        </is>
      </c>
      <c r="D2657" s="58">
        <f>IF(H2657=1,INDEX(ap_No,151)&amp;"","")</f>
        <v/>
      </c>
      <c r="E2657" s="94">
        <f>IF(H2657=1,INDEX(ap_Date,151),"")</f>
        <v/>
      </c>
      <c r="F2657" s="58">
        <f>IF(H2657=1,INDEX(ap_Desc,151)&amp;"","")</f>
        <v/>
      </c>
      <c r="G2657" s="58">
        <f>IF(H2657=1,INDEX(ap_Party,151)&amp;"","")</f>
        <v/>
      </c>
      <c r="H2657" s="101">
        <f>IFERROR(N(INDEX(ap_Posted,151)),0)</f>
        <v/>
      </c>
      <c r="I2657" s="58">
        <f>IF(H2657=1,INDEX(ap_DrAcct,151)&amp;"","")</f>
        <v/>
      </c>
      <c r="J2657" s="95">
        <f>IF(H2657=1,INDEX(ap_DrAmt,151),0)</f>
        <v/>
      </c>
      <c r="K2657" s="58">
        <f>IF(H2657=1,INDEX(ap_CrAcct,151)&amp;"","")</f>
        <v/>
      </c>
      <c r="L2657" s="95">
        <f>IF(H2657=1,INDEX(ap_CrAmt,151),0)</f>
        <v/>
      </c>
      <c r="M2657" s="95">
        <f>IF(H2657=1,INDEX(ap_TaxAmt,151),0)</f>
        <v/>
      </c>
      <c r="N2657" s="95" t="n">
        <v>0</v>
      </c>
      <c r="O2657" s="101">
        <f>IF(H2657=1,IF(E2657&lt;FYStart,0,IF(E2657&gt;FYEnd,13,YEAR(E2657)*12+MONTH(E2657)-FYYM+1)),"")</f>
        <v/>
      </c>
      <c r="P2657" s="101">
        <f>IF(H2657=1,IF(IFERROR(INDEX(coa_CF,MATCH(I2657,coa_Name,0)),"")="Cash",1,0),0)</f>
        <v/>
      </c>
      <c r="Q2657" s="101">
        <f>IF(H2657=1,IF(IFERROR(INDEX(coa_CF,MATCH(K2657,coa_Name,0)),"")="Cash",1,0),0)</f>
        <v/>
      </c>
      <c r="R2657" s="58">
        <f>IF((P2657-Q2657)=0,"",IFERROR(INDEX(coa_CF,MATCH(IF((P2657-Q2657)=1,K2657,I2657),coa_Name,0)),"Operating"))</f>
        <v/>
      </c>
      <c r="S2657" s="95">
        <f>IF((P2657-Q2657)=1,L2657,IF((P2657-Q2657)=-1,-J2657,0))</f>
        <v/>
      </c>
      <c r="T2657" s="95">
        <f>IF((P2657-Q2657)=1,N2657,IF((P2657-Q2657)=-1,-M2657,0))</f>
        <v/>
      </c>
      <c r="U2657" s="101">
        <f>IF(AND(H2657=1,LedAcct&lt;&gt;""),IF(AND(E2657&gt;=LedFrom,E2657&lt;=LedTo,OR(I2657=LedAcct,K2657=LedAcct,AND(LedAcct=acctTax,M2657+N2657&lt;&gt;0))),E2657*10000+B2657,""),"")</f>
        <v/>
      </c>
    </row>
    <row r="2658">
      <c r="B2658" s="101" t="n">
        <v>2652</v>
      </c>
      <c r="C2658" s="58" t="inlineStr">
        <is>
          <t>Bill</t>
        </is>
      </c>
      <c r="D2658" s="58">
        <f>IF(H2658=1,INDEX(ap_No,152)&amp;"","")</f>
        <v/>
      </c>
      <c r="E2658" s="94">
        <f>IF(H2658=1,INDEX(ap_Date,152),"")</f>
        <v/>
      </c>
      <c r="F2658" s="58">
        <f>IF(H2658=1,INDEX(ap_Desc,152)&amp;"","")</f>
        <v/>
      </c>
      <c r="G2658" s="58">
        <f>IF(H2658=1,INDEX(ap_Party,152)&amp;"","")</f>
        <v/>
      </c>
      <c r="H2658" s="101">
        <f>IFERROR(N(INDEX(ap_Posted,152)),0)</f>
        <v/>
      </c>
      <c r="I2658" s="58">
        <f>IF(H2658=1,INDEX(ap_DrAcct,152)&amp;"","")</f>
        <v/>
      </c>
      <c r="J2658" s="95">
        <f>IF(H2658=1,INDEX(ap_DrAmt,152),0)</f>
        <v/>
      </c>
      <c r="K2658" s="58">
        <f>IF(H2658=1,INDEX(ap_CrAcct,152)&amp;"","")</f>
        <v/>
      </c>
      <c r="L2658" s="95">
        <f>IF(H2658=1,INDEX(ap_CrAmt,152),0)</f>
        <v/>
      </c>
      <c r="M2658" s="95">
        <f>IF(H2658=1,INDEX(ap_TaxAmt,152),0)</f>
        <v/>
      </c>
      <c r="N2658" s="95" t="n">
        <v>0</v>
      </c>
      <c r="O2658" s="101">
        <f>IF(H2658=1,IF(E2658&lt;FYStart,0,IF(E2658&gt;FYEnd,13,YEAR(E2658)*12+MONTH(E2658)-FYYM+1)),"")</f>
        <v/>
      </c>
      <c r="P2658" s="101">
        <f>IF(H2658=1,IF(IFERROR(INDEX(coa_CF,MATCH(I2658,coa_Name,0)),"")="Cash",1,0),0)</f>
        <v/>
      </c>
      <c r="Q2658" s="101">
        <f>IF(H2658=1,IF(IFERROR(INDEX(coa_CF,MATCH(K2658,coa_Name,0)),"")="Cash",1,0),0)</f>
        <v/>
      </c>
      <c r="R2658" s="58">
        <f>IF((P2658-Q2658)=0,"",IFERROR(INDEX(coa_CF,MATCH(IF((P2658-Q2658)=1,K2658,I2658),coa_Name,0)),"Operating"))</f>
        <v/>
      </c>
      <c r="S2658" s="95">
        <f>IF((P2658-Q2658)=1,L2658,IF((P2658-Q2658)=-1,-J2658,0))</f>
        <v/>
      </c>
      <c r="T2658" s="95">
        <f>IF((P2658-Q2658)=1,N2658,IF((P2658-Q2658)=-1,-M2658,0))</f>
        <v/>
      </c>
      <c r="U2658" s="101">
        <f>IF(AND(H2658=1,LedAcct&lt;&gt;""),IF(AND(E2658&gt;=LedFrom,E2658&lt;=LedTo,OR(I2658=LedAcct,K2658=LedAcct,AND(LedAcct=acctTax,M2658+N2658&lt;&gt;0))),E2658*10000+B2658,""),"")</f>
        <v/>
      </c>
    </row>
    <row r="2659">
      <c r="B2659" s="101" t="n">
        <v>2653</v>
      </c>
      <c r="C2659" s="58" t="inlineStr">
        <is>
          <t>Bill</t>
        </is>
      </c>
      <c r="D2659" s="58">
        <f>IF(H2659=1,INDEX(ap_No,153)&amp;"","")</f>
        <v/>
      </c>
      <c r="E2659" s="94">
        <f>IF(H2659=1,INDEX(ap_Date,153),"")</f>
        <v/>
      </c>
      <c r="F2659" s="58">
        <f>IF(H2659=1,INDEX(ap_Desc,153)&amp;"","")</f>
        <v/>
      </c>
      <c r="G2659" s="58">
        <f>IF(H2659=1,INDEX(ap_Party,153)&amp;"","")</f>
        <v/>
      </c>
      <c r="H2659" s="101">
        <f>IFERROR(N(INDEX(ap_Posted,153)),0)</f>
        <v/>
      </c>
      <c r="I2659" s="58">
        <f>IF(H2659=1,INDEX(ap_DrAcct,153)&amp;"","")</f>
        <v/>
      </c>
      <c r="J2659" s="95">
        <f>IF(H2659=1,INDEX(ap_DrAmt,153),0)</f>
        <v/>
      </c>
      <c r="K2659" s="58">
        <f>IF(H2659=1,INDEX(ap_CrAcct,153)&amp;"","")</f>
        <v/>
      </c>
      <c r="L2659" s="95">
        <f>IF(H2659=1,INDEX(ap_CrAmt,153),0)</f>
        <v/>
      </c>
      <c r="M2659" s="95">
        <f>IF(H2659=1,INDEX(ap_TaxAmt,153),0)</f>
        <v/>
      </c>
      <c r="N2659" s="95" t="n">
        <v>0</v>
      </c>
      <c r="O2659" s="101">
        <f>IF(H2659=1,IF(E2659&lt;FYStart,0,IF(E2659&gt;FYEnd,13,YEAR(E2659)*12+MONTH(E2659)-FYYM+1)),"")</f>
        <v/>
      </c>
      <c r="P2659" s="101">
        <f>IF(H2659=1,IF(IFERROR(INDEX(coa_CF,MATCH(I2659,coa_Name,0)),"")="Cash",1,0),0)</f>
        <v/>
      </c>
      <c r="Q2659" s="101">
        <f>IF(H2659=1,IF(IFERROR(INDEX(coa_CF,MATCH(K2659,coa_Name,0)),"")="Cash",1,0),0)</f>
        <v/>
      </c>
      <c r="R2659" s="58">
        <f>IF((P2659-Q2659)=0,"",IFERROR(INDEX(coa_CF,MATCH(IF((P2659-Q2659)=1,K2659,I2659),coa_Name,0)),"Operating"))</f>
        <v/>
      </c>
      <c r="S2659" s="95">
        <f>IF((P2659-Q2659)=1,L2659,IF((P2659-Q2659)=-1,-J2659,0))</f>
        <v/>
      </c>
      <c r="T2659" s="95">
        <f>IF((P2659-Q2659)=1,N2659,IF((P2659-Q2659)=-1,-M2659,0))</f>
        <v/>
      </c>
      <c r="U2659" s="101">
        <f>IF(AND(H2659=1,LedAcct&lt;&gt;""),IF(AND(E2659&gt;=LedFrom,E2659&lt;=LedTo,OR(I2659=LedAcct,K2659=LedAcct,AND(LedAcct=acctTax,M2659+N2659&lt;&gt;0))),E2659*10000+B2659,""),"")</f>
        <v/>
      </c>
    </row>
    <row r="2660">
      <c r="B2660" s="101" t="n">
        <v>2654</v>
      </c>
      <c r="C2660" s="58" t="inlineStr">
        <is>
          <t>Bill</t>
        </is>
      </c>
      <c r="D2660" s="58">
        <f>IF(H2660=1,INDEX(ap_No,154)&amp;"","")</f>
        <v/>
      </c>
      <c r="E2660" s="94">
        <f>IF(H2660=1,INDEX(ap_Date,154),"")</f>
        <v/>
      </c>
      <c r="F2660" s="58">
        <f>IF(H2660=1,INDEX(ap_Desc,154)&amp;"","")</f>
        <v/>
      </c>
      <c r="G2660" s="58">
        <f>IF(H2660=1,INDEX(ap_Party,154)&amp;"","")</f>
        <v/>
      </c>
      <c r="H2660" s="101">
        <f>IFERROR(N(INDEX(ap_Posted,154)),0)</f>
        <v/>
      </c>
      <c r="I2660" s="58">
        <f>IF(H2660=1,INDEX(ap_DrAcct,154)&amp;"","")</f>
        <v/>
      </c>
      <c r="J2660" s="95">
        <f>IF(H2660=1,INDEX(ap_DrAmt,154),0)</f>
        <v/>
      </c>
      <c r="K2660" s="58">
        <f>IF(H2660=1,INDEX(ap_CrAcct,154)&amp;"","")</f>
        <v/>
      </c>
      <c r="L2660" s="95">
        <f>IF(H2660=1,INDEX(ap_CrAmt,154),0)</f>
        <v/>
      </c>
      <c r="M2660" s="95">
        <f>IF(H2660=1,INDEX(ap_TaxAmt,154),0)</f>
        <v/>
      </c>
      <c r="N2660" s="95" t="n">
        <v>0</v>
      </c>
      <c r="O2660" s="101">
        <f>IF(H2660=1,IF(E2660&lt;FYStart,0,IF(E2660&gt;FYEnd,13,YEAR(E2660)*12+MONTH(E2660)-FYYM+1)),"")</f>
        <v/>
      </c>
      <c r="P2660" s="101">
        <f>IF(H2660=1,IF(IFERROR(INDEX(coa_CF,MATCH(I2660,coa_Name,0)),"")="Cash",1,0),0)</f>
        <v/>
      </c>
      <c r="Q2660" s="101">
        <f>IF(H2660=1,IF(IFERROR(INDEX(coa_CF,MATCH(K2660,coa_Name,0)),"")="Cash",1,0),0)</f>
        <v/>
      </c>
      <c r="R2660" s="58">
        <f>IF((P2660-Q2660)=0,"",IFERROR(INDEX(coa_CF,MATCH(IF((P2660-Q2660)=1,K2660,I2660),coa_Name,0)),"Operating"))</f>
        <v/>
      </c>
      <c r="S2660" s="95">
        <f>IF((P2660-Q2660)=1,L2660,IF((P2660-Q2660)=-1,-J2660,0))</f>
        <v/>
      </c>
      <c r="T2660" s="95">
        <f>IF((P2660-Q2660)=1,N2660,IF((P2660-Q2660)=-1,-M2660,0))</f>
        <v/>
      </c>
      <c r="U2660" s="101">
        <f>IF(AND(H2660=1,LedAcct&lt;&gt;""),IF(AND(E2660&gt;=LedFrom,E2660&lt;=LedTo,OR(I2660=LedAcct,K2660=LedAcct,AND(LedAcct=acctTax,M2660+N2660&lt;&gt;0))),E2660*10000+B2660,""),"")</f>
        <v/>
      </c>
    </row>
    <row r="2661">
      <c r="B2661" s="101" t="n">
        <v>2655</v>
      </c>
      <c r="C2661" s="58" t="inlineStr">
        <is>
          <t>Bill</t>
        </is>
      </c>
      <c r="D2661" s="58">
        <f>IF(H2661=1,INDEX(ap_No,155)&amp;"","")</f>
        <v/>
      </c>
      <c r="E2661" s="94">
        <f>IF(H2661=1,INDEX(ap_Date,155),"")</f>
        <v/>
      </c>
      <c r="F2661" s="58">
        <f>IF(H2661=1,INDEX(ap_Desc,155)&amp;"","")</f>
        <v/>
      </c>
      <c r="G2661" s="58">
        <f>IF(H2661=1,INDEX(ap_Party,155)&amp;"","")</f>
        <v/>
      </c>
      <c r="H2661" s="101">
        <f>IFERROR(N(INDEX(ap_Posted,155)),0)</f>
        <v/>
      </c>
      <c r="I2661" s="58">
        <f>IF(H2661=1,INDEX(ap_DrAcct,155)&amp;"","")</f>
        <v/>
      </c>
      <c r="J2661" s="95">
        <f>IF(H2661=1,INDEX(ap_DrAmt,155),0)</f>
        <v/>
      </c>
      <c r="K2661" s="58">
        <f>IF(H2661=1,INDEX(ap_CrAcct,155)&amp;"","")</f>
        <v/>
      </c>
      <c r="L2661" s="95">
        <f>IF(H2661=1,INDEX(ap_CrAmt,155),0)</f>
        <v/>
      </c>
      <c r="M2661" s="95">
        <f>IF(H2661=1,INDEX(ap_TaxAmt,155),0)</f>
        <v/>
      </c>
      <c r="N2661" s="95" t="n">
        <v>0</v>
      </c>
      <c r="O2661" s="101">
        <f>IF(H2661=1,IF(E2661&lt;FYStart,0,IF(E2661&gt;FYEnd,13,YEAR(E2661)*12+MONTH(E2661)-FYYM+1)),"")</f>
        <v/>
      </c>
      <c r="P2661" s="101">
        <f>IF(H2661=1,IF(IFERROR(INDEX(coa_CF,MATCH(I2661,coa_Name,0)),"")="Cash",1,0),0)</f>
        <v/>
      </c>
      <c r="Q2661" s="101">
        <f>IF(H2661=1,IF(IFERROR(INDEX(coa_CF,MATCH(K2661,coa_Name,0)),"")="Cash",1,0),0)</f>
        <v/>
      </c>
      <c r="R2661" s="58">
        <f>IF((P2661-Q2661)=0,"",IFERROR(INDEX(coa_CF,MATCH(IF((P2661-Q2661)=1,K2661,I2661),coa_Name,0)),"Operating"))</f>
        <v/>
      </c>
      <c r="S2661" s="95">
        <f>IF((P2661-Q2661)=1,L2661,IF((P2661-Q2661)=-1,-J2661,0))</f>
        <v/>
      </c>
      <c r="T2661" s="95">
        <f>IF((P2661-Q2661)=1,N2661,IF((P2661-Q2661)=-1,-M2661,0))</f>
        <v/>
      </c>
      <c r="U2661" s="101">
        <f>IF(AND(H2661=1,LedAcct&lt;&gt;""),IF(AND(E2661&gt;=LedFrom,E2661&lt;=LedTo,OR(I2661=LedAcct,K2661=LedAcct,AND(LedAcct=acctTax,M2661+N2661&lt;&gt;0))),E2661*10000+B2661,""),"")</f>
        <v/>
      </c>
    </row>
    <row r="2662">
      <c r="B2662" s="101" t="n">
        <v>2656</v>
      </c>
      <c r="C2662" s="58" t="inlineStr">
        <is>
          <t>Bill</t>
        </is>
      </c>
      <c r="D2662" s="58">
        <f>IF(H2662=1,INDEX(ap_No,156)&amp;"","")</f>
        <v/>
      </c>
      <c r="E2662" s="94">
        <f>IF(H2662=1,INDEX(ap_Date,156),"")</f>
        <v/>
      </c>
      <c r="F2662" s="58">
        <f>IF(H2662=1,INDEX(ap_Desc,156)&amp;"","")</f>
        <v/>
      </c>
      <c r="G2662" s="58">
        <f>IF(H2662=1,INDEX(ap_Party,156)&amp;"","")</f>
        <v/>
      </c>
      <c r="H2662" s="101">
        <f>IFERROR(N(INDEX(ap_Posted,156)),0)</f>
        <v/>
      </c>
      <c r="I2662" s="58">
        <f>IF(H2662=1,INDEX(ap_DrAcct,156)&amp;"","")</f>
        <v/>
      </c>
      <c r="J2662" s="95">
        <f>IF(H2662=1,INDEX(ap_DrAmt,156),0)</f>
        <v/>
      </c>
      <c r="K2662" s="58">
        <f>IF(H2662=1,INDEX(ap_CrAcct,156)&amp;"","")</f>
        <v/>
      </c>
      <c r="L2662" s="95">
        <f>IF(H2662=1,INDEX(ap_CrAmt,156),0)</f>
        <v/>
      </c>
      <c r="M2662" s="95">
        <f>IF(H2662=1,INDEX(ap_TaxAmt,156),0)</f>
        <v/>
      </c>
      <c r="N2662" s="95" t="n">
        <v>0</v>
      </c>
      <c r="O2662" s="101">
        <f>IF(H2662=1,IF(E2662&lt;FYStart,0,IF(E2662&gt;FYEnd,13,YEAR(E2662)*12+MONTH(E2662)-FYYM+1)),"")</f>
        <v/>
      </c>
      <c r="P2662" s="101">
        <f>IF(H2662=1,IF(IFERROR(INDEX(coa_CF,MATCH(I2662,coa_Name,0)),"")="Cash",1,0),0)</f>
        <v/>
      </c>
      <c r="Q2662" s="101">
        <f>IF(H2662=1,IF(IFERROR(INDEX(coa_CF,MATCH(K2662,coa_Name,0)),"")="Cash",1,0),0)</f>
        <v/>
      </c>
      <c r="R2662" s="58">
        <f>IF((P2662-Q2662)=0,"",IFERROR(INDEX(coa_CF,MATCH(IF((P2662-Q2662)=1,K2662,I2662),coa_Name,0)),"Operating"))</f>
        <v/>
      </c>
      <c r="S2662" s="95">
        <f>IF((P2662-Q2662)=1,L2662,IF((P2662-Q2662)=-1,-J2662,0))</f>
        <v/>
      </c>
      <c r="T2662" s="95">
        <f>IF((P2662-Q2662)=1,N2662,IF((P2662-Q2662)=-1,-M2662,0))</f>
        <v/>
      </c>
      <c r="U2662" s="101">
        <f>IF(AND(H2662=1,LedAcct&lt;&gt;""),IF(AND(E2662&gt;=LedFrom,E2662&lt;=LedTo,OR(I2662=LedAcct,K2662=LedAcct,AND(LedAcct=acctTax,M2662+N2662&lt;&gt;0))),E2662*10000+B2662,""),"")</f>
        <v/>
      </c>
    </row>
    <row r="2663">
      <c r="B2663" s="101" t="n">
        <v>2657</v>
      </c>
      <c r="C2663" s="58" t="inlineStr">
        <is>
          <t>Bill</t>
        </is>
      </c>
      <c r="D2663" s="58">
        <f>IF(H2663=1,INDEX(ap_No,157)&amp;"","")</f>
        <v/>
      </c>
      <c r="E2663" s="94">
        <f>IF(H2663=1,INDEX(ap_Date,157),"")</f>
        <v/>
      </c>
      <c r="F2663" s="58">
        <f>IF(H2663=1,INDEX(ap_Desc,157)&amp;"","")</f>
        <v/>
      </c>
      <c r="G2663" s="58">
        <f>IF(H2663=1,INDEX(ap_Party,157)&amp;"","")</f>
        <v/>
      </c>
      <c r="H2663" s="101">
        <f>IFERROR(N(INDEX(ap_Posted,157)),0)</f>
        <v/>
      </c>
      <c r="I2663" s="58">
        <f>IF(H2663=1,INDEX(ap_DrAcct,157)&amp;"","")</f>
        <v/>
      </c>
      <c r="J2663" s="95">
        <f>IF(H2663=1,INDEX(ap_DrAmt,157),0)</f>
        <v/>
      </c>
      <c r="K2663" s="58">
        <f>IF(H2663=1,INDEX(ap_CrAcct,157)&amp;"","")</f>
        <v/>
      </c>
      <c r="L2663" s="95">
        <f>IF(H2663=1,INDEX(ap_CrAmt,157),0)</f>
        <v/>
      </c>
      <c r="M2663" s="95">
        <f>IF(H2663=1,INDEX(ap_TaxAmt,157),0)</f>
        <v/>
      </c>
      <c r="N2663" s="95" t="n">
        <v>0</v>
      </c>
      <c r="O2663" s="101">
        <f>IF(H2663=1,IF(E2663&lt;FYStart,0,IF(E2663&gt;FYEnd,13,YEAR(E2663)*12+MONTH(E2663)-FYYM+1)),"")</f>
        <v/>
      </c>
      <c r="P2663" s="101">
        <f>IF(H2663=1,IF(IFERROR(INDEX(coa_CF,MATCH(I2663,coa_Name,0)),"")="Cash",1,0),0)</f>
        <v/>
      </c>
      <c r="Q2663" s="101">
        <f>IF(H2663=1,IF(IFERROR(INDEX(coa_CF,MATCH(K2663,coa_Name,0)),"")="Cash",1,0),0)</f>
        <v/>
      </c>
      <c r="R2663" s="58">
        <f>IF((P2663-Q2663)=0,"",IFERROR(INDEX(coa_CF,MATCH(IF((P2663-Q2663)=1,K2663,I2663),coa_Name,0)),"Operating"))</f>
        <v/>
      </c>
      <c r="S2663" s="95">
        <f>IF((P2663-Q2663)=1,L2663,IF((P2663-Q2663)=-1,-J2663,0))</f>
        <v/>
      </c>
      <c r="T2663" s="95">
        <f>IF((P2663-Q2663)=1,N2663,IF((P2663-Q2663)=-1,-M2663,0))</f>
        <v/>
      </c>
      <c r="U2663" s="101">
        <f>IF(AND(H2663=1,LedAcct&lt;&gt;""),IF(AND(E2663&gt;=LedFrom,E2663&lt;=LedTo,OR(I2663=LedAcct,K2663=LedAcct,AND(LedAcct=acctTax,M2663+N2663&lt;&gt;0))),E2663*10000+B2663,""),"")</f>
        <v/>
      </c>
    </row>
    <row r="2664">
      <c r="B2664" s="101" t="n">
        <v>2658</v>
      </c>
      <c r="C2664" s="58" t="inlineStr">
        <is>
          <t>Bill</t>
        </is>
      </c>
      <c r="D2664" s="58">
        <f>IF(H2664=1,INDEX(ap_No,158)&amp;"","")</f>
        <v/>
      </c>
      <c r="E2664" s="94">
        <f>IF(H2664=1,INDEX(ap_Date,158),"")</f>
        <v/>
      </c>
      <c r="F2664" s="58">
        <f>IF(H2664=1,INDEX(ap_Desc,158)&amp;"","")</f>
        <v/>
      </c>
      <c r="G2664" s="58">
        <f>IF(H2664=1,INDEX(ap_Party,158)&amp;"","")</f>
        <v/>
      </c>
      <c r="H2664" s="101">
        <f>IFERROR(N(INDEX(ap_Posted,158)),0)</f>
        <v/>
      </c>
      <c r="I2664" s="58">
        <f>IF(H2664=1,INDEX(ap_DrAcct,158)&amp;"","")</f>
        <v/>
      </c>
      <c r="J2664" s="95">
        <f>IF(H2664=1,INDEX(ap_DrAmt,158),0)</f>
        <v/>
      </c>
      <c r="K2664" s="58">
        <f>IF(H2664=1,INDEX(ap_CrAcct,158)&amp;"","")</f>
        <v/>
      </c>
      <c r="L2664" s="95">
        <f>IF(H2664=1,INDEX(ap_CrAmt,158),0)</f>
        <v/>
      </c>
      <c r="M2664" s="95">
        <f>IF(H2664=1,INDEX(ap_TaxAmt,158),0)</f>
        <v/>
      </c>
      <c r="N2664" s="95" t="n">
        <v>0</v>
      </c>
      <c r="O2664" s="101">
        <f>IF(H2664=1,IF(E2664&lt;FYStart,0,IF(E2664&gt;FYEnd,13,YEAR(E2664)*12+MONTH(E2664)-FYYM+1)),"")</f>
        <v/>
      </c>
      <c r="P2664" s="101">
        <f>IF(H2664=1,IF(IFERROR(INDEX(coa_CF,MATCH(I2664,coa_Name,0)),"")="Cash",1,0),0)</f>
        <v/>
      </c>
      <c r="Q2664" s="101">
        <f>IF(H2664=1,IF(IFERROR(INDEX(coa_CF,MATCH(K2664,coa_Name,0)),"")="Cash",1,0),0)</f>
        <v/>
      </c>
      <c r="R2664" s="58">
        <f>IF((P2664-Q2664)=0,"",IFERROR(INDEX(coa_CF,MATCH(IF((P2664-Q2664)=1,K2664,I2664),coa_Name,0)),"Operating"))</f>
        <v/>
      </c>
      <c r="S2664" s="95">
        <f>IF((P2664-Q2664)=1,L2664,IF((P2664-Q2664)=-1,-J2664,0))</f>
        <v/>
      </c>
      <c r="T2664" s="95">
        <f>IF((P2664-Q2664)=1,N2664,IF((P2664-Q2664)=-1,-M2664,0))</f>
        <v/>
      </c>
      <c r="U2664" s="101">
        <f>IF(AND(H2664=1,LedAcct&lt;&gt;""),IF(AND(E2664&gt;=LedFrom,E2664&lt;=LedTo,OR(I2664=LedAcct,K2664=LedAcct,AND(LedAcct=acctTax,M2664+N2664&lt;&gt;0))),E2664*10000+B2664,""),"")</f>
        <v/>
      </c>
    </row>
    <row r="2665">
      <c r="B2665" s="101" t="n">
        <v>2659</v>
      </c>
      <c r="C2665" s="58" t="inlineStr">
        <is>
          <t>Bill</t>
        </is>
      </c>
      <c r="D2665" s="58">
        <f>IF(H2665=1,INDEX(ap_No,159)&amp;"","")</f>
        <v/>
      </c>
      <c r="E2665" s="94">
        <f>IF(H2665=1,INDEX(ap_Date,159),"")</f>
        <v/>
      </c>
      <c r="F2665" s="58">
        <f>IF(H2665=1,INDEX(ap_Desc,159)&amp;"","")</f>
        <v/>
      </c>
      <c r="G2665" s="58">
        <f>IF(H2665=1,INDEX(ap_Party,159)&amp;"","")</f>
        <v/>
      </c>
      <c r="H2665" s="101">
        <f>IFERROR(N(INDEX(ap_Posted,159)),0)</f>
        <v/>
      </c>
      <c r="I2665" s="58">
        <f>IF(H2665=1,INDEX(ap_DrAcct,159)&amp;"","")</f>
        <v/>
      </c>
      <c r="J2665" s="95">
        <f>IF(H2665=1,INDEX(ap_DrAmt,159),0)</f>
        <v/>
      </c>
      <c r="K2665" s="58">
        <f>IF(H2665=1,INDEX(ap_CrAcct,159)&amp;"","")</f>
        <v/>
      </c>
      <c r="L2665" s="95">
        <f>IF(H2665=1,INDEX(ap_CrAmt,159),0)</f>
        <v/>
      </c>
      <c r="M2665" s="95">
        <f>IF(H2665=1,INDEX(ap_TaxAmt,159),0)</f>
        <v/>
      </c>
      <c r="N2665" s="95" t="n">
        <v>0</v>
      </c>
      <c r="O2665" s="101">
        <f>IF(H2665=1,IF(E2665&lt;FYStart,0,IF(E2665&gt;FYEnd,13,YEAR(E2665)*12+MONTH(E2665)-FYYM+1)),"")</f>
        <v/>
      </c>
      <c r="P2665" s="101">
        <f>IF(H2665=1,IF(IFERROR(INDEX(coa_CF,MATCH(I2665,coa_Name,0)),"")="Cash",1,0),0)</f>
        <v/>
      </c>
      <c r="Q2665" s="101">
        <f>IF(H2665=1,IF(IFERROR(INDEX(coa_CF,MATCH(K2665,coa_Name,0)),"")="Cash",1,0),0)</f>
        <v/>
      </c>
      <c r="R2665" s="58">
        <f>IF((P2665-Q2665)=0,"",IFERROR(INDEX(coa_CF,MATCH(IF((P2665-Q2665)=1,K2665,I2665),coa_Name,0)),"Operating"))</f>
        <v/>
      </c>
      <c r="S2665" s="95">
        <f>IF((P2665-Q2665)=1,L2665,IF((P2665-Q2665)=-1,-J2665,0))</f>
        <v/>
      </c>
      <c r="T2665" s="95">
        <f>IF((P2665-Q2665)=1,N2665,IF((P2665-Q2665)=-1,-M2665,0))</f>
        <v/>
      </c>
      <c r="U2665" s="101">
        <f>IF(AND(H2665=1,LedAcct&lt;&gt;""),IF(AND(E2665&gt;=LedFrom,E2665&lt;=LedTo,OR(I2665=LedAcct,K2665=LedAcct,AND(LedAcct=acctTax,M2665+N2665&lt;&gt;0))),E2665*10000+B2665,""),"")</f>
        <v/>
      </c>
    </row>
    <row r="2666">
      <c r="B2666" s="101" t="n">
        <v>2660</v>
      </c>
      <c r="C2666" s="58" t="inlineStr">
        <is>
          <t>Bill</t>
        </is>
      </c>
      <c r="D2666" s="58">
        <f>IF(H2666=1,INDEX(ap_No,160)&amp;"","")</f>
        <v/>
      </c>
      <c r="E2666" s="94">
        <f>IF(H2666=1,INDEX(ap_Date,160),"")</f>
        <v/>
      </c>
      <c r="F2666" s="58">
        <f>IF(H2666=1,INDEX(ap_Desc,160)&amp;"","")</f>
        <v/>
      </c>
      <c r="G2666" s="58">
        <f>IF(H2666=1,INDEX(ap_Party,160)&amp;"","")</f>
        <v/>
      </c>
      <c r="H2666" s="101">
        <f>IFERROR(N(INDEX(ap_Posted,160)),0)</f>
        <v/>
      </c>
      <c r="I2666" s="58">
        <f>IF(H2666=1,INDEX(ap_DrAcct,160)&amp;"","")</f>
        <v/>
      </c>
      <c r="J2666" s="95">
        <f>IF(H2666=1,INDEX(ap_DrAmt,160),0)</f>
        <v/>
      </c>
      <c r="K2666" s="58">
        <f>IF(H2666=1,INDEX(ap_CrAcct,160)&amp;"","")</f>
        <v/>
      </c>
      <c r="L2666" s="95">
        <f>IF(H2666=1,INDEX(ap_CrAmt,160),0)</f>
        <v/>
      </c>
      <c r="M2666" s="95">
        <f>IF(H2666=1,INDEX(ap_TaxAmt,160),0)</f>
        <v/>
      </c>
      <c r="N2666" s="95" t="n">
        <v>0</v>
      </c>
      <c r="O2666" s="101">
        <f>IF(H2666=1,IF(E2666&lt;FYStart,0,IF(E2666&gt;FYEnd,13,YEAR(E2666)*12+MONTH(E2666)-FYYM+1)),"")</f>
        <v/>
      </c>
      <c r="P2666" s="101">
        <f>IF(H2666=1,IF(IFERROR(INDEX(coa_CF,MATCH(I2666,coa_Name,0)),"")="Cash",1,0),0)</f>
        <v/>
      </c>
      <c r="Q2666" s="101">
        <f>IF(H2666=1,IF(IFERROR(INDEX(coa_CF,MATCH(K2666,coa_Name,0)),"")="Cash",1,0),0)</f>
        <v/>
      </c>
      <c r="R2666" s="58">
        <f>IF((P2666-Q2666)=0,"",IFERROR(INDEX(coa_CF,MATCH(IF((P2666-Q2666)=1,K2666,I2666),coa_Name,0)),"Operating"))</f>
        <v/>
      </c>
      <c r="S2666" s="95">
        <f>IF((P2666-Q2666)=1,L2666,IF((P2666-Q2666)=-1,-J2666,0))</f>
        <v/>
      </c>
      <c r="T2666" s="95">
        <f>IF((P2666-Q2666)=1,N2666,IF((P2666-Q2666)=-1,-M2666,0))</f>
        <v/>
      </c>
      <c r="U2666" s="101">
        <f>IF(AND(H2666=1,LedAcct&lt;&gt;""),IF(AND(E2666&gt;=LedFrom,E2666&lt;=LedTo,OR(I2666=LedAcct,K2666=LedAcct,AND(LedAcct=acctTax,M2666+N2666&lt;&gt;0))),E2666*10000+B2666,""),"")</f>
        <v/>
      </c>
    </row>
    <row r="2667">
      <c r="B2667" s="101" t="n">
        <v>2661</v>
      </c>
      <c r="C2667" s="58" t="inlineStr">
        <is>
          <t>Bill</t>
        </is>
      </c>
      <c r="D2667" s="58">
        <f>IF(H2667=1,INDEX(ap_No,161)&amp;"","")</f>
        <v/>
      </c>
      <c r="E2667" s="94">
        <f>IF(H2667=1,INDEX(ap_Date,161),"")</f>
        <v/>
      </c>
      <c r="F2667" s="58">
        <f>IF(H2667=1,INDEX(ap_Desc,161)&amp;"","")</f>
        <v/>
      </c>
      <c r="G2667" s="58">
        <f>IF(H2667=1,INDEX(ap_Party,161)&amp;"","")</f>
        <v/>
      </c>
      <c r="H2667" s="101">
        <f>IFERROR(N(INDEX(ap_Posted,161)),0)</f>
        <v/>
      </c>
      <c r="I2667" s="58">
        <f>IF(H2667=1,INDEX(ap_DrAcct,161)&amp;"","")</f>
        <v/>
      </c>
      <c r="J2667" s="95">
        <f>IF(H2667=1,INDEX(ap_DrAmt,161),0)</f>
        <v/>
      </c>
      <c r="K2667" s="58">
        <f>IF(H2667=1,INDEX(ap_CrAcct,161)&amp;"","")</f>
        <v/>
      </c>
      <c r="L2667" s="95">
        <f>IF(H2667=1,INDEX(ap_CrAmt,161),0)</f>
        <v/>
      </c>
      <c r="M2667" s="95">
        <f>IF(H2667=1,INDEX(ap_TaxAmt,161),0)</f>
        <v/>
      </c>
      <c r="N2667" s="95" t="n">
        <v>0</v>
      </c>
      <c r="O2667" s="101">
        <f>IF(H2667=1,IF(E2667&lt;FYStart,0,IF(E2667&gt;FYEnd,13,YEAR(E2667)*12+MONTH(E2667)-FYYM+1)),"")</f>
        <v/>
      </c>
      <c r="P2667" s="101">
        <f>IF(H2667=1,IF(IFERROR(INDEX(coa_CF,MATCH(I2667,coa_Name,0)),"")="Cash",1,0),0)</f>
        <v/>
      </c>
      <c r="Q2667" s="101">
        <f>IF(H2667=1,IF(IFERROR(INDEX(coa_CF,MATCH(K2667,coa_Name,0)),"")="Cash",1,0),0)</f>
        <v/>
      </c>
      <c r="R2667" s="58">
        <f>IF((P2667-Q2667)=0,"",IFERROR(INDEX(coa_CF,MATCH(IF((P2667-Q2667)=1,K2667,I2667),coa_Name,0)),"Operating"))</f>
        <v/>
      </c>
      <c r="S2667" s="95">
        <f>IF((P2667-Q2667)=1,L2667,IF((P2667-Q2667)=-1,-J2667,0))</f>
        <v/>
      </c>
      <c r="T2667" s="95">
        <f>IF((P2667-Q2667)=1,N2667,IF((P2667-Q2667)=-1,-M2667,0))</f>
        <v/>
      </c>
      <c r="U2667" s="101">
        <f>IF(AND(H2667=1,LedAcct&lt;&gt;""),IF(AND(E2667&gt;=LedFrom,E2667&lt;=LedTo,OR(I2667=LedAcct,K2667=LedAcct,AND(LedAcct=acctTax,M2667+N2667&lt;&gt;0))),E2667*10000+B2667,""),"")</f>
        <v/>
      </c>
    </row>
    <row r="2668">
      <c r="B2668" s="101" t="n">
        <v>2662</v>
      </c>
      <c r="C2668" s="58" t="inlineStr">
        <is>
          <t>Bill</t>
        </is>
      </c>
      <c r="D2668" s="58">
        <f>IF(H2668=1,INDEX(ap_No,162)&amp;"","")</f>
        <v/>
      </c>
      <c r="E2668" s="94">
        <f>IF(H2668=1,INDEX(ap_Date,162),"")</f>
        <v/>
      </c>
      <c r="F2668" s="58">
        <f>IF(H2668=1,INDEX(ap_Desc,162)&amp;"","")</f>
        <v/>
      </c>
      <c r="G2668" s="58">
        <f>IF(H2668=1,INDEX(ap_Party,162)&amp;"","")</f>
        <v/>
      </c>
      <c r="H2668" s="101">
        <f>IFERROR(N(INDEX(ap_Posted,162)),0)</f>
        <v/>
      </c>
      <c r="I2668" s="58">
        <f>IF(H2668=1,INDEX(ap_DrAcct,162)&amp;"","")</f>
        <v/>
      </c>
      <c r="J2668" s="95">
        <f>IF(H2668=1,INDEX(ap_DrAmt,162),0)</f>
        <v/>
      </c>
      <c r="K2668" s="58">
        <f>IF(H2668=1,INDEX(ap_CrAcct,162)&amp;"","")</f>
        <v/>
      </c>
      <c r="L2668" s="95">
        <f>IF(H2668=1,INDEX(ap_CrAmt,162),0)</f>
        <v/>
      </c>
      <c r="M2668" s="95">
        <f>IF(H2668=1,INDEX(ap_TaxAmt,162),0)</f>
        <v/>
      </c>
      <c r="N2668" s="95" t="n">
        <v>0</v>
      </c>
      <c r="O2668" s="101">
        <f>IF(H2668=1,IF(E2668&lt;FYStart,0,IF(E2668&gt;FYEnd,13,YEAR(E2668)*12+MONTH(E2668)-FYYM+1)),"")</f>
        <v/>
      </c>
      <c r="P2668" s="101">
        <f>IF(H2668=1,IF(IFERROR(INDEX(coa_CF,MATCH(I2668,coa_Name,0)),"")="Cash",1,0),0)</f>
        <v/>
      </c>
      <c r="Q2668" s="101">
        <f>IF(H2668=1,IF(IFERROR(INDEX(coa_CF,MATCH(K2668,coa_Name,0)),"")="Cash",1,0),0)</f>
        <v/>
      </c>
      <c r="R2668" s="58">
        <f>IF((P2668-Q2668)=0,"",IFERROR(INDEX(coa_CF,MATCH(IF((P2668-Q2668)=1,K2668,I2668),coa_Name,0)),"Operating"))</f>
        <v/>
      </c>
      <c r="S2668" s="95">
        <f>IF((P2668-Q2668)=1,L2668,IF((P2668-Q2668)=-1,-J2668,0))</f>
        <v/>
      </c>
      <c r="T2668" s="95">
        <f>IF((P2668-Q2668)=1,N2668,IF((P2668-Q2668)=-1,-M2668,0))</f>
        <v/>
      </c>
      <c r="U2668" s="101">
        <f>IF(AND(H2668=1,LedAcct&lt;&gt;""),IF(AND(E2668&gt;=LedFrom,E2668&lt;=LedTo,OR(I2668=LedAcct,K2668=LedAcct,AND(LedAcct=acctTax,M2668+N2668&lt;&gt;0))),E2668*10000+B2668,""),"")</f>
        <v/>
      </c>
    </row>
    <row r="2669">
      <c r="B2669" s="101" t="n">
        <v>2663</v>
      </c>
      <c r="C2669" s="58" t="inlineStr">
        <is>
          <t>Bill</t>
        </is>
      </c>
      <c r="D2669" s="58">
        <f>IF(H2669=1,INDEX(ap_No,163)&amp;"","")</f>
        <v/>
      </c>
      <c r="E2669" s="94">
        <f>IF(H2669=1,INDEX(ap_Date,163),"")</f>
        <v/>
      </c>
      <c r="F2669" s="58">
        <f>IF(H2669=1,INDEX(ap_Desc,163)&amp;"","")</f>
        <v/>
      </c>
      <c r="G2669" s="58">
        <f>IF(H2669=1,INDEX(ap_Party,163)&amp;"","")</f>
        <v/>
      </c>
      <c r="H2669" s="101">
        <f>IFERROR(N(INDEX(ap_Posted,163)),0)</f>
        <v/>
      </c>
      <c r="I2669" s="58">
        <f>IF(H2669=1,INDEX(ap_DrAcct,163)&amp;"","")</f>
        <v/>
      </c>
      <c r="J2669" s="95">
        <f>IF(H2669=1,INDEX(ap_DrAmt,163),0)</f>
        <v/>
      </c>
      <c r="K2669" s="58">
        <f>IF(H2669=1,INDEX(ap_CrAcct,163)&amp;"","")</f>
        <v/>
      </c>
      <c r="L2669" s="95">
        <f>IF(H2669=1,INDEX(ap_CrAmt,163),0)</f>
        <v/>
      </c>
      <c r="M2669" s="95">
        <f>IF(H2669=1,INDEX(ap_TaxAmt,163),0)</f>
        <v/>
      </c>
      <c r="N2669" s="95" t="n">
        <v>0</v>
      </c>
      <c r="O2669" s="101">
        <f>IF(H2669=1,IF(E2669&lt;FYStart,0,IF(E2669&gt;FYEnd,13,YEAR(E2669)*12+MONTH(E2669)-FYYM+1)),"")</f>
        <v/>
      </c>
      <c r="P2669" s="101">
        <f>IF(H2669=1,IF(IFERROR(INDEX(coa_CF,MATCH(I2669,coa_Name,0)),"")="Cash",1,0),0)</f>
        <v/>
      </c>
      <c r="Q2669" s="101">
        <f>IF(H2669=1,IF(IFERROR(INDEX(coa_CF,MATCH(K2669,coa_Name,0)),"")="Cash",1,0),0)</f>
        <v/>
      </c>
      <c r="R2669" s="58">
        <f>IF((P2669-Q2669)=0,"",IFERROR(INDEX(coa_CF,MATCH(IF((P2669-Q2669)=1,K2669,I2669),coa_Name,0)),"Operating"))</f>
        <v/>
      </c>
      <c r="S2669" s="95">
        <f>IF((P2669-Q2669)=1,L2669,IF((P2669-Q2669)=-1,-J2669,0))</f>
        <v/>
      </c>
      <c r="T2669" s="95">
        <f>IF((P2669-Q2669)=1,N2669,IF((P2669-Q2669)=-1,-M2669,0))</f>
        <v/>
      </c>
      <c r="U2669" s="101">
        <f>IF(AND(H2669=1,LedAcct&lt;&gt;""),IF(AND(E2669&gt;=LedFrom,E2669&lt;=LedTo,OR(I2669=LedAcct,K2669=LedAcct,AND(LedAcct=acctTax,M2669+N2669&lt;&gt;0))),E2669*10000+B2669,""),"")</f>
        <v/>
      </c>
    </row>
    <row r="2670">
      <c r="B2670" s="101" t="n">
        <v>2664</v>
      </c>
      <c r="C2670" s="58" t="inlineStr">
        <is>
          <t>Bill</t>
        </is>
      </c>
      <c r="D2670" s="58">
        <f>IF(H2670=1,INDEX(ap_No,164)&amp;"","")</f>
        <v/>
      </c>
      <c r="E2670" s="94">
        <f>IF(H2670=1,INDEX(ap_Date,164),"")</f>
        <v/>
      </c>
      <c r="F2670" s="58">
        <f>IF(H2670=1,INDEX(ap_Desc,164)&amp;"","")</f>
        <v/>
      </c>
      <c r="G2670" s="58">
        <f>IF(H2670=1,INDEX(ap_Party,164)&amp;"","")</f>
        <v/>
      </c>
      <c r="H2670" s="101">
        <f>IFERROR(N(INDEX(ap_Posted,164)),0)</f>
        <v/>
      </c>
      <c r="I2670" s="58">
        <f>IF(H2670=1,INDEX(ap_DrAcct,164)&amp;"","")</f>
        <v/>
      </c>
      <c r="J2670" s="95">
        <f>IF(H2670=1,INDEX(ap_DrAmt,164),0)</f>
        <v/>
      </c>
      <c r="K2670" s="58">
        <f>IF(H2670=1,INDEX(ap_CrAcct,164)&amp;"","")</f>
        <v/>
      </c>
      <c r="L2670" s="95">
        <f>IF(H2670=1,INDEX(ap_CrAmt,164),0)</f>
        <v/>
      </c>
      <c r="M2670" s="95">
        <f>IF(H2670=1,INDEX(ap_TaxAmt,164),0)</f>
        <v/>
      </c>
      <c r="N2670" s="95" t="n">
        <v>0</v>
      </c>
      <c r="O2670" s="101">
        <f>IF(H2670=1,IF(E2670&lt;FYStart,0,IF(E2670&gt;FYEnd,13,YEAR(E2670)*12+MONTH(E2670)-FYYM+1)),"")</f>
        <v/>
      </c>
      <c r="P2670" s="101">
        <f>IF(H2670=1,IF(IFERROR(INDEX(coa_CF,MATCH(I2670,coa_Name,0)),"")="Cash",1,0),0)</f>
        <v/>
      </c>
      <c r="Q2670" s="101">
        <f>IF(H2670=1,IF(IFERROR(INDEX(coa_CF,MATCH(K2670,coa_Name,0)),"")="Cash",1,0),0)</f>
        <v/>
      </c>
      <c r="R2670" s="58">
        <f>IF((P2670-Q2670)=0,"",IFERROR(INDEX(coa_CF,MATCH(IF((P2670-Q2670)=1,K2670,I2670),coa_Name,0)),"Operating"))</f>
        <v/>
      </c>
      <c r="S2670" s="95">
        <f>IF((P2670-Q2670)=1,L2670,IF((P2670-Q2670)=-1,-J2670,0))</f>
        <v/>
      </c>
      <c r="T2670" s="95">
        <f>IF((P2670-Q2670)=1,N2670,IF((P2670-Q2670)=-1,-M2670,0))</f>
        <v/>
      </c>
      <c r="U2670" s="101">
        <f>IF(AND(H2670=1,LedAcct&lt;&gt;""),IF(AND(E2670&gt;=LedFrom,E2670&lt;=LedTo,OR(I2670=LedAcct,K2670=LedAcct,AND(LedAcct=acctTax,M2670+N2670&lt;&gt;0))),E2670*10000+B2670,""),"")</f>
        <v/>
      </c>
    </row>
    <row r="2671">
      <c r="B2671" s="101" t="n">
        <v>2665</v>
      </c>
      <c r="C2671" s="58" t="inlineStr">
        <is>
          <t>Bill</t>
        </is>
      </c>
      <c r="D2671" s="58">
        <f>IF(H2671=1,INDEX(ap_No,165)&amp;"","")</f>
        <v/>
      </c>
      <c r="E2671" s="94">
        <f>IF(H2671=1,INDEX(ap_Date,165),"")</f>
        <v/>
      </c>
      <c r="F2671" s="58">
        <f>IF(H2671=1,INDEX(ap_Desc,165)&amp;"","")</f>
        <v/>
      </c>
      <c r="G2671" s="58">
        <f>IF(H2671=1,INDEX(ap_Party,165)&amp;"","")</f>
        <v/>
      </c>
      <c r="H2671" s="101">
        <f>IFERROR(N(INDEX(ap_Posted,165)),0)</f>
        <v/>
      </c>
      <c r="I2671" s="58">
        <f>IF(H2671=1,INDEX(ap_DrAcct,165)&amp;"","")</f>
        <v/>
      </c>
      <c r="J2671" s="95">
        <f>IF(H2671=1,INDEX(ap_DrAmt,165),0)</f>
        <v/>
      </c>
      <c r="K2671" s="58">
        <f>IF(H2671=1,INDEX(ap_CrAcct,165)&amp;"","")</f>
        <v/>
      </c>
      <c r="L2671" s="95">
        <f>IF(H2671=1,INDEX(ap_CrAmt,165),0)</f>
        <v/>
      </c>
      <c r="M2671" s="95">
        <f>IF(H2671=1,INDEX(ap_TaxAmt,165),0)</f>
        <v/>
      </c>
      <c r="N2671" s="95" t="n">
        <v>0</v>
      </c>
      <c r="O2671" s="101">
        <f>IF(H2671=1,IF(E2671&lt;FYStart,0,IF(E2671&gt;FYEnd,13,YEAR(E2671)*12+MONTH(E2671)-FYYM+1)),"")</f>
        <v/>
      </c>
      <c r="P2671" s="101">
        <f>IF(H2671=1,IF(IFERROR(INDEX(coa_CF,MATCH(I2671,coa_Name,0)),"")="Cash",1,0),0)</f>
        <v/>
      </c>
      <c r="Q2671" s="101">
        <f>IF(H2671=1,IF(IFERROR(INDEX(coa_CF,MATCH(K2671,coa_Name,0)),"")="Cash",1,0),0)</f>
        <v/>
      </c>
      <c r="R2671" s="58">
        <f>IF((P2671-Q2671)=0,"",IFERROR(INDEX(coa_CF,MATCH(IF((P2671-Q2671)=1,K2671,I2671),coa_Name,0)),"Operating"))</f>
        <v/>
      </c>
      <c r="S2671" s="95">
        <f>IF((P2671-Q2671)=1,L2671,IF((P2671-Q2671)=-1,-J2671,0))</f>
        <v/>
      </c>
      <c r="T2671" s="95">
        <f>IF((P2671-Q2671)=1,N2671,IF((P2671-Q2671)=-1,-M2671,0))</f>
        <v/>
      </c>
      <c r="U2671" s="101">
        <f>IF(AND(H2671=1,LedAcct&lt;&gt;""),IF(AND(E2671&gt;=LedFrom,E2671&lt;=LedTo,OR(I2671=LedAcct,K2671=LedAcct,AND(LedAcct=acctTax,M2671+N2671&lt;&gt;0))),E2671*10000+B2671,""),"")</f>
        <v/>
      </c>
    </row>
    <row r="2672">
      <c r="B2672" s="101" t="n">
        <v>2666</v>
      </c>
      <c r="C2672" s="58" t="inlineStr">
        <is>
          <t>Bill</t>
        </is>
      </c>
      <c r="D2672" s="58">
        <f>IF(H2672=1,INDEX(ap_No,166)&amp;"","")</f>
        <v/>
      </c>
      <c r="E2672" s="94">
        <f>IF(H2672=1,INDEX(ap_Date,166),"")</f>
        <v/>
      </c>
      <c r="F2672" s="58">
        <f>IF(H2672=1,INDEX(ap_Desc,166)&amp;"","")</f>
        <v/>
      </c>
      <c r="G2672" s="58">
        <f>IF(H2672=1,INDEX(ap_Party,166)&amp;"","")</f>
        <v/>
      </c>
      <c r="H2672" s="101">
        <f>IFERROR(N(INDEX(ap_Posted,166)),0)</f>
        <v/>
      </c>
      <c r="I2672" s="58">
        <f>IF(H2672=1,INDEX(ap_DrAcct,166)&amp;"","")</f>
        <v/>
      </c>
      <c r="J2672" s="95">
        <f>IF(H2672=1,INDEX(ap_DrAmt,166),0)</f>
        <v/>
      </c>
      <c r="K2672" s="58">
        <f>IF(H2672=1,INDEX(ap_CrAcct,166)&amp;"","")</f>
        <v/>
      </c>
      <c r="L2672" s="95">
        <f>IF(H2672=1,INDEX(ap_CrAmt,166),0)</f>
        <v/>
      </c>
      <c r="M2672" s="95">
        <f>IF(H2672=1,INDEX(ap_TaxAmt,166),0)</f>
        <v/>
      </c>
      <c r="N2672" s="95" t="n">
        <v>0</v>
      </c>
      <c r="O2672" s="101">
        <f>IF(H2672=1,IF(E2672&lt;FYStart,0,IF(E2672&gt;FYEnd,13,YEAR(E2672)*12+MONTH(E2672)-FYYM+1)),"")</f>
        <v/>
      </c>
      <c r="P2672" s="101">
        <f>IF(H2672=1,IF(IFERROR(INDEX(coa_CF,MATCH(I2672,coa_Name,0)),"")="Cash",1,0),0)</f>
        <v/>
      </c>
      <c r="Q2672" s="101">
        <f>IF(H2672=1,IF(IFERROR(INDEX(coa_CF,MATCH(K2672,coa_Name,0)),"")="Cash",1,0),0)</f>
        <v/>
      </c>
      <c r="R2672" s="58">
        <f>IF((P2672-Q2672)=0,"",IFERROR(INDEX(coa_CF,MATCH(IF((P2672-Q2672)=1,K2672,I2672),coa_Name,0)),"Operating"))</f>
        <v/>
      </c>
      <c r="S2672" s="95">
        <f>IF((P2672-Q2672)=1,L2672,IF((P2672-Q2672)=-1,-J2672,0))</f>
        <v/>
      </c>
      <c r="T2672" s="95">
        <f>IF((P2672-Q2672)=1,N2672,IF((P2672-Q2672)=-1,-M2672,0))</f>
        <v/>
      </c>
      <c r="U2672" s="101">
        <f>IF(AND(H2672=1,LedAcct&lt;&gt;""),IF(AND(E2672&gt;=LedFrom,E2672&lt;=LedTo,OR(I2672=LedAcct,K2672=LedAcct,AND(LedAcct=acctTax,M2672+N2672&lt;&gt;0))),E2672*10000+B2672,""),"")</f>
        <v/>
      </c>
    </row>
    <row r="2673">
      <c r="B2673" s="101" t="n">
        <v>2667</v>
      </c>
      <c r="C2673" s="58" t="inlineStr">
        <is>
          <t>Bill</t>
        </is>
      </c>
      <c r="D2673" s="58">
        <f>IF(H2673=1,INDEX(ap_No,167)&amp;"","")</f>
        <v/>
      </c>
      <c r="E2673" s="94">
        <f>IF(H2673=1,INDEX(ap_Date,167),"")</f>
        <v/>
      </c>
      <c r="F2673" s="58">
        <f>IF(H2673=1,INDEX(ap_Desc,167)&amp;"","")</f>
        <v/>
      </c>
      <c r="G2673" s="58">
        <f>IF(H2673=1,INDEX(ap_Party,167)&amp;"","")</f>
        <v/>
      </c>
      <c r="H2673" s="101">
        <f>IFERROR(N(INDEX(ap_Posted,167)),0)</f>
        <v/>
      </c>
      <c r="I2673" s="58">
        <f>IF(H2673=1,INDEX(ap_DrAcct,167)&amp;"","")</f>
        <v/>
      </c>
      <c r="J2673" s="95">
        <f>IF(H2673=1,INDEX(ap_DrAmt,167),0)</f>
        <v/>
      </c>
      <c r="K2673" s="58">
        <f>IF(H2673=1,INDEX(ap_CrAcct,167)&amp;"","")</f>
        <v/>
      </c>
      <c r="L2673" s="95">
        <f>IF(H2673=1,INDEX(ap_CrAmt,167),0)</f>
        <v/>
      </c>
      <c r="M2673" s="95">
        <f>IF(H2673=1,INDEX(ap_TaxAmt,167),0)</f>
        <v/>
      </c>
      <c r="N2673" s="95" t="n">
        <v>0</v>
      </c>
      <c r="O2673" s="101">
        <f>IF(H2673=1,IF(E2673&lt;FYStart,0,IF(E2673&gt;FYEnd,13,YEAR(E2673)*12+MONTH(E2673)-FYYM+1)),"")</f>
        <v/>
      </c>
      <c r="P2673" s="101">
        <f>IF(H2673=1,IF(IFERROR(INDEX(coa_CF,MATCH(I2673,coa_Name,0)),"")="Cash",1,0),0)</f>
        <v/>
      </c>
      <c r="Q2673" s="101">
        <f>IF(H2673=1,IF(IFERROR(INDEX(coa_CF,MATCH(K2673,coa_Name,0)),"")="Cash",1,0),0)</f>
        <v/>
      </c>
      <c r="R2673" s="58">
        <f>IF((P2673-Q2673)=0,"",IFERROR(INDEX(coa_CF,MATCH(IF((P2673-Q2673)=1,K2673,I2673),coa_Name,0)),"Operating"))</f>
        <v/>
      </c>
      <c r="S2673" s="95">
        <f>IF((P2673-Q2673)=1,L2673,IF((P2673-Q2673)=-1,-J2673,0))</f>
        <v/>
      </c>
      <c r="T2673" s="95">
        <f>IF((P2673-Q2673)=1,N2673,IF((P2673-Q2673)=-1,-M2673,0))</f>
        <v/>
      </c>
      <c r="U2673" s="101">
        <f>IF(AND(H2673=1,LedAcct&lt;&gt;""),IF(AND(E2673&gt;=LedFrom,E2673&lt;=LedTo,OR(I2673=LedAcct,K2673=LedAcct,AND(LedAcct=acctTax,M2673+N2673&lt;&gt;0))),E2673*10000+B2673,""),"")</f>
        <v/>
      </c>
    </row>
    <row r="2674">
      <c r="B2674" s="101" t="n">
        <v>2668</v>
      </c>
      <c r="C2674" s="58" t="inlineStr">
        <is>
          <t>Bill</t>
        </is>
      </c>
      <c r="D2674" s="58">
        <f>IF(H2674=1,INDEX(ap_No,168)&amp;"","")</f>
        <v/>
      </c>
      <c r="E2674" s="94">
        <f>IF(H2674=1,INDEX(ap_Date,168),"")</f>
        <v/>
      </c>
      <c r="F2674" s="58">
        <f>IF(H2674=1,INDEX(ap_Desc,168)&amp;"","")</f>
        <v/>
      </c>
      <c r="G2674" s="58">
        <f>IF(H2674=1,INDEX(ap_Party,168)&amp;"","")</f>
        <v/>
      </c>
      <c r="H2674" s="101">
        <f>IFERROR(N(INDEX(ap_Posted,168)),0)</f>
        <v/>
      </c>
      <c r="I2674" s="58">
        <f>IF(H2674=1,INDEX(ap_DrAcct,168)&amp;"","")</f>
        <v/>
      </c>
      <c r="J2674" s="95">
        <f>IF(H2674=1,INDEX(ap_DrAmt,168),0)</f>
        <v/>
      </c>
      <c r="K2674" s="58">
        <f>IF(H2674=1,INDEX(ap_CrAcct,168)&amp;"","")</f>
        <v/>
      </c>
      <c r="L2674" s="95">
        <f>IF(H2674=1,INDEX(ap_CrAmt,168),0)</f>
        <v/>
      </c>
      <c r="M2674" s="95">
        <f>IF(H2674=1,INDEX(ap_TaxAmt,168),0)</f>
        <v/>
      </c>
      <c r="N2674" s="95" t="n">
        <v>0</v>
      </c>
      <c r="O2674" s="101">
        <f>IF(H2674=1,IF(E2674&lt;FYStart,0,IF(E2674&gt;FYEnd,13,YEAR(E2674)*12+MONTH(E2674)-FYYM+1)),"")</f>
        <v/>
      </c>
      <c r="P2674" s="101">
        <f>IF(H2674=1,IF(IFERROR(INDEX(coa_CF,MATCH(I2674,coa_Name,0)),"")="Cash",1,0),0)</f>
        <v/>
      </c>
      <c r="Q2674" s="101">
        <f>IF(H2674=1,IF(IFERROR(INDEX(coa_CF,MATCH(K2674,coa_Name,0)),"")="Cash",1,0),0)</f>
        <v/>
      </c>
      <c r="R2674" s="58">
        <f>IF((P2674-Q2674)=0,"",IFERROR(INDEX(coa_CF,MATCH(IF((P2674-Q2674)=1,K2674,I2674),coa_Name,0)),"Operating"))</f>
        <v/>
      </c>
      <c r="S2674" s="95">
        <f>IF((P2674-Q2674)=1,L2674,IF((P2674-Q2674)=-1,-J2674,0))</f>
        <v/>
      </c>
      <c r="T2674" s="95">
        <f>IF((P2674-Q2674)=1,N2674,IF((P2674-Q2674)=-1,-M2674,0))</f>
        <v/>
      </c>
      <c r="U2674" s="101">
        <f>IF(AND(H2674=1,LedAcct&lt;&gt;""),IF(AND(E2674&gt;=LedFrom,E2674&lt;=LedTo,OR(I2674=LedAcct,K2674=LedAcct,AND(LedAcct=acctTax,M2674+N2674&lt;&gt;0))),E2674*10000+B2674,""),"")</f>
        <v/>
      </c>
    </row>
    <row r="2675">
      <c r="B2675" s="101" t="n">
        <v>2669</v>
      </c>
      <c r="C2675" s="58" t="inlineStr">
        <is>
          <t>Bill</t>
        </is>
      </c>
      <c r="D2675" s="58">
        <f>IF(H2675=1,INDEX(ap_No,169)&amp;"","")</f>
        <v/>
      </c>
      <c r="E2675" s="94">
        <f>IF(H2675=1,INDEX(ap_Date,169),"")</f>
        <v/>
      </c>
      <c r="F2675" s="58">
        <f>IF(H2675=1,INDEX(ap_Desc,169)&amp;"","")</f>
        <v/>
      </c>
      <c r="G2675" s="58">
        <f>IF(H2675=1,INDEX(ap_Party,169)&amp;"","")</f>
        <v/>
      </c>
      <c r="H2675" s="101">
        <f>IFERROR(N(INDEX(ap_Posted,169)),0)</f>
        <v/>
      </c>
      <c r="I2675" s="58">
        <f>IF(H2675=1,INDEX(ap_DrAcct,169)&amp;"","")</f>
        <v/>
      </c>
      <c r="J2675" s="95">
        <f>IF(H2675=1,INDEX(ap_DrAmt,169),0)</f>
        <v/>
      </c>
      <c r="K2675" s="58">
        <f>IF(H2675=1,INDEX(ap_CrAcct,169)&amp;"","")</f>
        <v/>
      </c>
      <c r="L2675" s="95">
        <f>IF(H2675=1,INDEX(ap_CrAmt,169),0)</f>
        <v/>
      </c>
      <c r="M2675" s="95">
        <f>IF(H2675=1,INDEX(ap_TaxAmt,169),0)</f>
        <v/>
      </c>
      <c r="N2675" s="95" t="n">
        <v>0</v>
      </c>
      <c r="O2675" s="101">
        <f>IF(H2675=1,IF(E2675&lt;FYStart,0,IF(E2675&gt;FYEnd,13,YEAR(E2675)*12+MONTH(E2675)-FYYM+1)),"")</f>
        <v/>
      </c>
      <c r="P2675" s="101">
        <f>IF(H2675=1,IF(IFERROR(INDEX(coa_CF,MATCH(I2675,coa_Name,0)),"")="Cash",1,0),0)</f>
        <v/>
      </c>
      <c r="Q2675" s="101">
        <f>IF(H2675=1,IF(IFERROR(INDEX(coa_CF,MATCH(K2675,coa_Name,0)),"")="Cash",1,0),0)</f>
        <v/>
      </c>
      <c r="R2675" s="58">
        <f>IF((P2675-Q2675)=0,"",IFERROR(INDEX(coa_CF,MATCH(IF((P2675-Q2675)=1,K2675,I2675),coa_Name,0)),"Operating"))</f>
        <v/>
      </c>
      <c r="S2675" s="95">
        <f>IF((P2675-Q2675)=1,L2675,IF((P2675-Q2675)=-1,-J2675,0))</f>
        <v/>
      </c>
      <c r="T2675" s="95">
        <f>IF((P2675-Q2675)=1,N2675,IF((P2675-Q2675)=-1,-M2675,0))</f>
        <v/>
      </c>
      <c r="U2675" s="101">
        <f>IF(AND(H2675=1,LedAcct&lt;&gt;""),IF(AND(E2675&gt;=LedFrom,E2675&lt;=LedTo,OR(I2675=LedAcct,K2675=LedAcct,AND(LedAcct=acctTax,M2675+N2675&lt;&gt;0))),E2675*10000+B2675,""),"")</f>
        <v/>
      </c>
    </row>
    <row r="2676">
      <c r="B2676" s="101" t="n">
        <v>2670</v>
      </c>
      <c r="C2676" s="58" t="inlineStr">
        <is>
          <t>Bill</t>
        </is>
      </c>
      <c r="D2676" s="58">
        <f>IF(H2676=1,INDEX(ap_No,170)&amp;"","")</f>
        <v/>
      </c>
      <c r="E2676" s="94">
        <f>IF(H2676=1,INDEX(ap_Date,170),"")</f>
        <v/>
      </c>
      <c r="F2676" s="58">
        <f>IF(H2676=1,INDEX(ap_Desc,170)&amp;"","")</f>
        <v/>
      </c>
      <c r="G2676" s="58">
        <f>IF(H2676=1,INDEX(ap_Party,170)&amp;"","")</f>
        <v/>
      </c>
      <c r="H2676" s="101">
        <f>IFERROR(N(INDEX(ap_Posted,170)),0)</f>
        <v/>
      </c>
      <c r="I2676" s="58">
        <f>IF(H2676=1,INDEX(ap_DrAcct,170)&amp;"","")</f>
        <v/>
      </c>
      <c r="J2676" s="95">
        <f>IF(H2676=1,INDEX(ap_DrAmt,170),0)</f>
        <v/>
      </c>
      <c r="K2676" s="58">
        <f>IF(H2676=1,INDEX(ap_CrAcct,170)&amp;"","")</f>
        <v/>
      </c>
      <c r="L2676" s="95">
        <f>IF(H2676=1,INDEX(ap_CrAmt,170),0)</f>
        <v/>
      </c>
      <c r="M2676" s="95">
        <f>IF(H2676=1,INDEX(ap_TaxAmt,170),0)</f>
        <v/>
      </c>
      <c r="N2676" s="95" t="n">
        <v>0</v>
      </c>
      <c r="O2676" s="101">
        <f>IF(H2676=1,IF(E2676&lt;FYStart,0,IF(E2676&gt;FYEnd,13,YEAR(E2676)*12+MONTH(E2676)-FYYM+1)),"")</f>
        <v/>
      </c>
      <c r="P2676" s="101">
        <f>IF(H2676=1,IF(IFERROR(INDEX(coa_CF,MATCH(I2676,coa_Name,0)),"")="Cash",1,0),0)</f>
        <v/>
      </c>
      <c r="Q2676" s="101">
        <f>IF(H2676=1,IF(IFERROR(INDEX(coa_CF,MATCH(K2676,coa_Name,0)),"")="Cash",1,0),0)</f>
        <v/>
      </c>
      <c r="R2676" s="58">
        <f>IF((P2676-Q2676)=0,"",IFERROR(INDEX(coa_CF,MATCH(IF((P2676-Q2676)=1,K2676,I2676),coa_Name,0)),"Operating"))</f>
        <v/>
      </c>
      <c r="S2676" s="95">
        <f>IF((P2676-Q2676)=1,L2676,IF((P2676-Q2676)=-1,-J2676,0))</f>
        <v/>
      </c>
      <c r="T2676" s="95">
        <f>IF((P2676-Q2676)=1,N2676,IF((P2676-Q2676)=-1,-M2676,0))</f>
        <v/>
      </c>
      <c r="U2676" s="101">
        <f>IF(AND(H2676=1,LedAcct&lt;&gt;""),IF(AND(E2676&gt;=LedFrom,E2676&lt;=LedTo,OR(I2676=LedAcct,K2676=LedAcct,AND(LedAcct=acctTax,M2676+N2676&lt;&gt;0))),E2676*10000+B2676,""),"")</f>
        <v/>
      </c>
    </row>
    <row r="2677">
      <c r="B2677" s="101" t="n">
        <v>2671</v>
      </c>
      <c r="C2677" s="58" t="inlineStr">
        <is>
          <t>Bill</t>
        </is>
      </c>
      <c r="D2677" s="58">
        <f>IF(H2677=1,INDEX(ap_No,171)&amp;"","")</f>
        <v/>
      </c>
      <c r="E2677" s="94">
        <f>IF(H2677=1,INDEX(ap_Date,171),"")</f>
        <v/>
      </c>
      <c r="F2677" s="58">
        <f>IF(H2677=1,INDEX(ap_Desc,171)&amp;"","")</f>
        <v/>
      </c>
      <c r="G2677" s="58">
        <f>IF(H2677=1,INDEX(ap_Party,171)&amp;"","")</f>
        <v/>
      </c>
      <c r="H2677" s="101">
        <f>IFERROR(N(INDEX(ap_Posted,171)),0)</f>
        <v/>
      </c>
      <c r="I2677" s="58">
        <f>IF(H2677=1,INDEX(ap_DrAcct,171)&amp;"","")</f>
        <v/>
      </c>
      <c r="J2677" s="95">
        <f>IF(H2677=1,INDEX(ap_DrAmt,171),0)</f>
        <v/>
      </c>
      <c r="K2677" s="58">
        <f>IF(H2677=1,INDEX(ap_CrAcct,171)&amp;"","")</f>
        <v/>
      </c>
      <c r="L2677" s="95">
        <f>IF(H2677=1,INDEX(ap_CrAmt,171),0)</f>
        <v/>
      </c>
      <c r="M2677" s="95">
        <f>IF(H2677=1,INDEX(ap_TaxAmt,171),0)</f>
        <v/>
      </c>
      <c r="N2677" s="95" t="n">
        <v>0</v>
      </c>
      <c r="O2677" s="101">
        <f>IF(H2677=1,IF(E2677&lt;FYStart,0,IF(E2677&gt;FYEnd,13,YEAR(E2677)*12+MONTH(E2677)-FYYM+1)),"")</f>
        <v/>
      </c>
      <c r="P2677" s="101">
        <f>IF(H2677=1,IF(IFERROR(INDEX(coa_CF,MATCH(I2677,coa_Name,0)),"")="Cash",1,0),0)</f>
        <v/>
      </c>
      <c r="Q2677" s="101">
        <f>IF(H2677=1,IF(IFERROR(INDEX(coa_CF,MATCH(K2677,coa_Name,0)),"")="Cash",1,0),0)</f>
        <v/>
      </c>
      <c r="R2677" s="58">
        <f>IF((P2677-Q2677)=0,"",IFERROR(INDEX(coa_CF,MATCH(IF((P2677-Q2677)=1,K2677,I2677),coa_Name,0)),"Operating"))</f>
        <v/>
      </c>
      <c r="S2677" s="95">
        <f>IF((P2677-Q2677)=1,L2677,IF((P2677-Q2677)=-1,-J2677,0))</f>
        <v/>
      </c>
      <c r="T2677" s="95">
        <f>IF((P2677-Q2677)=1,N2677,IF((P2677-Q2677)=-1,-M2677,0))</f>
        <v/>
      </c>
      <c r="U2677" s="101">
        <f>IF(AND(H2677=1,LedAcct&lt;&gt;""),IF(AND(E2677&gt;=LedFrom,E2677&lt;=LedTo,OR(I2677=LedAcct,K2677=LedAcct,AND(LedAcct=acctTax,M2677+N2677&lt;&gt;0))),E2677*10000+B2677,""),"")</f>
        <v/>
      </c>
    </row>
    <row r="2678">
      <c r="B2678" s="101" t="n">
        <v>2672</v>
      </c>
      <c r="C2678" s="58" t="inlineStr">
        <is>
          <t>Bill</t>
        </is>
      </c>
      <c r="D2678" s="58">
        <f>IF(H2678=1,INDEX(ap_No,172)&amp;"","")</f>
        <v/>
      </c>
      <c r="E2678" s="94">
        <f>IF(H2678=1,INDEX(ap_Date,172),"")</f>
        <v/>
      </c>
      <c r="F2678" s="58">
        <f>IF(H2678=1,INDEX(ap_Desc,172)&amp;"","")</f>
        <v/>
      </c>
      <c r="G2678" s="58">
        <f>IF(H2678=1,INDEX(ap_Party,172)&amp;"","")</f>
        <v/>
      </c>
      <c r="H2678" s="101">
        <f>IFERROR(N(INDEX(ap_Posted,172)),0)</f>
        <v/>
      </c>
      <c r="I2678" s="58">
        <f>IF(H2678=1,INDEX(ap_DrAcct,172)&amp;"","")</f>
        <v/>
      </c>
      <c r="J2678" s="95">
        <f>IF(H2678=1,INDEX(ap_DrAmt,172),0)</f>
        <v/>
      </c>
      <c r="K2678" s="58">
        <f>IF(H2678=1,INDEX(ap_CrAcct,172)&amp;"","")</f>
        <v/>
      </c>
      <c r="L2678" s="95">
        <f>IF(H2678=1,INDEX(ap_CrAmt,172),0)</f>
        <v/>
      </c>
      <c r="M2678" s="95">
        <f>IF(H2678=1,INDEX(ap_TaxAmt,172),0)</f>
        <v/>
      </c>
      <c r="N2678" s="95" t="n">
        <v>0</v>
      </c>
      <c r="O2678" s="101">
        <f>IF(H2678=1,IF(E2678&lt;FYStart,0,IF(E2678&gt;FYEnd,13,YEAR(E2678)*12+MONTH(E2678)-FYYM+1)),"")</f>
        <v/>
      </c>
      <c r="P2678" s="101">
        <f>IF(H2678=1,IF(IFERROR(INDEX(coa_CF,MATCH(I2678,coa_Name,0)),"")="Cash",1,0),0)</f>
        <v/>
      </c>
      <c r="Q2678" s="101">
        <f>IF(H2678=1,IF(IFERROR(INDEX(coa_CF,MATCH(K2678,coa_Name,0)),"")="Cash",1,0),0)</f>
        <v/>
      </c>
      <c r="R2678" s="58">
        <f>IF((P2678-Q2678)=0,"",IFERROR(INDEX(coa_CF,MATCH(IF((P2678-Q2678)=1,K2678,I2678),coa_Name,0)),"Operating"))</f>
        <v/>
      </c>
      <c r="S2678" s="95">
        <f>IF((P2678-Q2678)=1,L2678,IF((P2678-Q2678)=-1,-J2678,0))</f>
        <v/>
      </c>
      <c r="T2678" s="95">
        <f>IF((P2678-Q2678)=1,N2678,IF((P2678-Q2678)=-1,-M2678,0))</f>
        <v/>
      </c>
      <c r="U2678" s="101">
        <f>IF(AND(H2678=1,LedAcct&lt;&gt;""),IF(AND(E2678&gt;=LedFrom,E2678&lt;=LedTo,OR(I2678=LedAcct,K2678=LedAcct,AND(LedAcct=acctTax,M2678+N2678&lt;&gt;0))),E2678*10000+B2678,""),"")</f>
        <v/>
      </c>
    </row>
    <row r="2679">
      <c r="B2679" s="101" t="n">
        <v>2673</v>
      </c>
      <c r="C2679" s="58" t="inlineStr">
        <is>
          <t>Bill</t>
        </is>
      </c>
      <c r="D2679" s="58">
        <f>IF(H2679=1,INDEX(ap_No,173)&amp;"","")</f>
        <v/>
      </c>
      <c r="E2679" s="94">
        <f>IF(H2679=1,INDEX(ap_Date,173),"")</f>
        <v/>
      </c>
      <c r="F2679" s="58">
        <f>IF(H2679=1,INDEX(ap_Desc,173)&amp;"","")</f>
        <v/>
      </c>
      <c r="G2679" s="58">
        <f>IF(H2679=1,INDEX(ap_Party,173)&amp;"","")</f>
        <v/>
      </c>
      <c r="H2679" s="101">
        <f>IFERROR(N(INDEX(ap_Posted,173)),0)</f>
        <v/>
      </c>
      <c r="I2679" s="58">
        <f>IF(H2679=1,INDEX(ap_DrAcct,173)&amp;"","")</f>
        <v/>
      </c>
      <c r="J2679" s="95">
        <f>IF(H2679=1,INDEX(ap_DrAmt,173),0)</f>
        <v/>
      </c>
      <c r="K2679" s="58">
        <f>IF(H2679=1,INDEX(ap_CrAcct,173)&amp;"","")</f>
        <v/>
      </c>
      <c r="L2679" s="95">
        <f>IF(H2679=1,INDEX(ap_CrAmt,173),0)</f>
        <v/>
      </c>
      <c r="M2679" s="95">
        <f>IF(H2679=1,INDEX(ap_TaxAmt,173),0)</f>
        <v/>
      </c>
      <c r="N2679" s="95" t="n">
        <v>0</v>
      </c>
      <c r="O2679" s="101">
        <f>IF(H2679=1,IF(E2679&lt;FYStart,0,IF(E2679&gt;FYEnd,13,YEAR(E2679)*12+MONTH(E2679)-FYYM+1)),"")</f>
        <v/>
      </c>
      <c r="P2679" s="101">
        <f>IF(H2679=1,IF(IFERROR(INDEX(coa_CF,MATCH(I2679,coa_Name,0)),"")="Cash",1,0),0)</f>
        <v/>
      </c>
      <c r="Q2679" s="101">
        <f>IF(H2679=1,IF(IFERROR(INDEX(coa_CF,MATCH(K2679,coa_Name,0)),"")="Cash",1,0),0)</f>
        <v/>
      </c>
      <c r="R2679" s="58">
        <f>IF((P2679-Q2679)=0,"",IFERROR(INDEX(coa_CF,MATCH(IF((P2679-Q2679)=1,K2679,I2679),coa_Name,0)),"Operating"))</f>
        <v/>
      </c>
      <c r="S2679" s="95">
        <f>IF((P2679-Q2679)=1,L2679,IF((P2679-Q2679)=-1,-J2679,0))</f>
        <v/>
      </c>
      <c r="T2679" s="95">
        <f>IF((P2679-Q2679)=1,N2679,IF((P2679-Q2679)=-1,-M2679,0))</f>
        <v/>
      </c>
      <c r="U2679" s="101">
        <f>IF(AND(H2679=1,LedAcct&lt;&gt;""),IF(AND(E2679&gt;=LedFrom,E2679&lt;=LedTo,OR(I2679=LedAcct,K2679=LedAcct,AND(LedAcct=acctTax,M2679+N2679&lt;&gt;0))),E2679*10000+B2679,""),"")</f>
        <v/>
      </c>
    </row>
    <row r="2680">
      <c r="B2680" s="101" t="n">
        <v>2674</v>
      </c>
      <c r="C2680" s="58" t="inlineStr">
        <is>
          <t>Bill</t>
        </is>
      </c>
      <c r="D2680" s="58">
        <f>IF(H2680=1,INDEX(ap_No,174)&amp;"","")</f>
        <v/>
      </c>
      <c r="E2680" s="94">
        <f>IF(H2680=1,INDEX(ap_Date,174),"")</f>
        <v/>
      </c>
      <c r="F2680" s="58">
        <f>IF(H2680=1,INDEX(ap_Desc,174)&amp;"","")</f>
        <v/>
      </c>
      <c r="G2680" s="58">
        <f>IF(H2680=1,INDEX(ap_Party,174)&amp;"","")</f>
        <v/>
      </c>
      <c r="H2680" s="101">
        <f>IFERROR(N(INDEX(ap_Posted,174)),0)</f>
        <v/>
      </c>
      <c r="I2680" s="58">
        <f>IF(H2680=1,INDEX(ap_DrAcct,174)&amp;"","")</f>
        <v/>
      </c>
      <c r="J2680" s="95">
        <f>IF(H2680=1,INDEX(ap_DrAmt,174),0)</f>
        <v/>
      </c>
      <c r="K2680" s="58">
        <f>IF(H2680=1,INDEX(ap_CrAcct,174)&amp;"","")</f>
        <v/>
      </c>
      <c r="L2680" s="95">
        <f>IF(H2680=1,INDEX(ap_CrAmt,174),0)</f>
        <v/>
      </c>
      <c r="M2680" s="95">
        <f>IF(H2680=1,INDEX(ap_TaxAmt,174),0)</f>
        <v/>
      </c>
      <c r="N2680" s="95" t="n">
        <v>0</v>
      </c>
      <c r="O2680" s="101">
        <f>IF(H2680=1,IF(E2680&lt;FYStart,0,IF(E2680&gt;FYEnd,13,YEAR(E2680)*12+MONTH(E2680)-FYYM+1)),"")</f>
        <v/>
      </c>
      <c r="P2680" s="101">
        <f>IF(H2680=1,IF(IFERROR(INDEX(coa_CF,MATCH(I2680,coa_Name,0)),"")="Cash",1,0),0)</f>
        <v/>
      </c>
      <c r="Q2680" s="101">
        <f>IF(H2680=1,IF(IFERROR(INDEX(coa_CF,MATCH(K2680,coa_Name,0)),"")="Cash",1,0),0)</f>
        <v/>
      </c>
      <c r="R2680" s="58">
        <f>IF((P2680-Q2680)=0,"",IFERROR(INDEX(coa_CF,MATCH(IF((P2680-Q2680)=1,K2680,I2680),coa_Name,0)),"Operating"))</f>
        <v/>
      </c>
      <c r="S2680" s="95">
        <f>IF((P2680-Q2680)=1,L2680,IF((P2680-Q2680)=-1,-J2680,0))</f>
        <v/>
      </c>
      <c r="T2680" s="95">
        <f>IF((P2680-Q2680)=1,N2680,IF((P2680-Q2680)=-1,-M2680,0))</f>
        <v/>
      </c>
      <c r="U2680" s="101">
        <f>IF(AND(H2680=1,LedAcct&lt;&gt;""),IF(AND(E2680&gt;=LedFrom,E2680&lt;=LedTo,OR(I2680=LedAcct,K2680=LedAcct,AND(LedAcct=acctTax,M2680+N2680&lt;&gt;0))),E2680*10000+B2680,""),"")</f>
        <v/>
      </c>
    </row>
    <row r="2681">
      <c r="B2681" s="101" t="n">
        <v>2675</v>
      </c>
      <c r="C2681" s="58" t="inlineStr">
        <is>
          <t>Bill</t>
        </is>
      </c>
      <c r="D2681" s="58">
        <f>IF(H2681=1,INDEX(ap_No,175)&amp;"","")</f>
        <v/>
      </c>
      <c r="E2681" s="94">
        <f>IF(H2681=1,INDEX(ap_Date,175),"")</f>
        <v/>
      </c>
      <c r="F2681" s="58">
        <f>IF(H2681=1,INDEX(ap_Desc,175)&amp;"","")</f>
        <v/>
      </c>
      <c r="G2681" s="58">
        <f>IF(H2681=1,INDEX(ap_Party,175)&amp;"","")</f>
        <v/>
      </c>
      <c r="H2681" s="101">
        <f>IFERROR(N(INDEX(ap_Posted,175)),0)</f>
        <v/>
      </c>
      <c r="I2681" s="58">
        <f>IF(H2681=1,INDEX(ap_DrAcct,175)&amp;"","")</f>
        <v/>
      </c>
      <c r="J2681" s="95">
        <f>IF(H2681=1,INDEX(ap_DrAmt,175),0)</f>
        <v/>
      </c>
      <c r="K2681" s="58">
        <f>IF(H2681=1,INDEX(ap_CrAcct,175)&amp;"","")</f>
        <v/>
      </c>
      <c r="L2681" s="95">
        <f>IF(H2681=1,INDEX(ap_CrAmt,175),0)</f>
        <v/>
      </c>
      <c r="M2681" s="95">
        <f>IF(H2681=1,INDEX(ap_TaxAmt,175),0)</f>
        <v/>
      </c>
      <c r="N2681" s="95" t="n">
        <v>0</v>
      </c>
      <c r="O2681" s="101">
        <f>IF(H2681=1,IF(E2681&lt;FYStart,0,IF(E2681&gt;FYEnd,13,YEAR(E2681)*12+MONTH(E2681)-FYYM+1)),"")</f>
        <v/>
      </c>
      <c r="P2681" s="101">
        <f>IF(H2681=1,IF(IFERROR(INDEX(coa_CF,MATCH(I2681,coa_Name,0)),"")="Cash",1,0),0)</f>
        <v/>
      </c>
      <c r="Q2681" s="101">
        <f>IF(H2681=1,IF(IFERROR(INDEX(coa_CF,MATCH(K2681,coa_Name,0)),"")="Cash",1,0),0)</f>
        <v/>
      </c>
      <c r="R2681" s="58">
        <f>IF((P2681-Q2681)=0,"",IFERROR(INDEX(coa_CF,MATCH(IF((P2681-Q2681)=1,K2681,I2681),coa_Name,0)),"Operating"))</f>
        <v/>
      </c>
      <c r="S2681" s="95">
        <f>IF((P2681-Q2681)=1,L2681,IF((P2681-Q2681)=-1,-J2681,0))</f>
        <v/>
      </c>
      <c r="T2681" s="95">
        <f>IF((P2681-Q2681)=1,N2681,IF((P2681-Q2681)=-1,-M2681,0))</f>
        <v/>
      </c>
      <c r="U2681" s="101">
        <f>IF(AND(H2681=1,LedAcct&lt;&gt;""),IF(AND(E2681&gt;=LedFrom,E2681&lt;=LedTo,OR(I2681=LedAcct,K2681=LedAcct,AND(LedAcct=acctTax,M2681+N2681&lt;&gt;0))),E2681*10000+B2681,""),"")</f>
        <v/>
      </c>
    </row>
    <row r="2682">
      <c r="B2682" s="101" t="n">
        <v>2676</v>
      </c>
      <c r="C2682" s="58" t="inlineStr">
        <is>
          <t>Bill</t>
        </is>
      </c>
      <c r="D2682" s="58">
        <f>IF(H2682=1,INDEX(ap_No,176)&amp;"","")</f>
        <v/>
      </c>
      <c r="E2682" s="94">
        <f>IF(H2682=1,INDEX(ap_Date,176),"")</f>
        <v/>
      </c>
      <c r="F2682" s="58">
        <f>IF(H2682=1,INDEX(ap_Desc,176)&amp;"","")</f>
        <v/>
      </c>
      <c r="G2682" s="58">
        <f>IF(H2682=1,INDEX(ap_Party,176)&amp;"","")</f>
        <v/>
      </c>
      <c r="H2682" s="101">
        <f>IFERROR(N(INDEX(ap_Posted,176)),0)</f>
        <v/>
      </c>
      <c r="I2682" s="58">
        <f>IF(H2682=1,INDEX(ap_DrAcct,176)&amp;"","")</f>
        <v/>
      </c>
      <c r="J2682" s="95">
        <f>IF(H2682=1,INDEX(ap_DrAmt,176),0)</f>
        <v/>
      </c>
      <c r="K2682" s="58">
        <f>IF(H2682=1,INDEX(ap_CrAcct,176)&amp;"","")</f>
        <v/>
      </c>
      <c r="L2682" s="95">
        <f>IF(H2682=1,INDEX(ap_CrAmt,176),0)</f>
        <v/>
      </c>
      <c r="M2682" s="95">
        <f>IF(H2682=1,INDEX(ap_TaxAmt,176),0)</f>
        <v/>
      </c>
      <c r="N2682" s="95" t="n">
        <v>0</v>
      </c>
      <c r="O2682" s="101">
        <f>IF(H2682=1,IF(E2682&lt;FYStart,0,IF(E2682&gt;FYEnd,13,YEAR(E2682)*12+MONTH(E2682)-FYYM+1)),"")</f>
        <v/>
      </c>
      <c r="P2682" s="101">
        <f>IF(H2682=1,IF(IFERROR(INDEX(coa_CF,MATCH(I2682,coa_Name,0)),"")="Cash",1,0),0)</f>
        <v/>
      </c>
      <c r="Q2682" s="101">
        <f>IF(H2682=1,IF(IFERROR(INDEX(coa_CF,MATCH(K2682,coa_Name,0)),"")="Cash",1,0),0)</f>
        <v/>
      </c>
      <c r="R2682" s="58">
        <f>IF((P2682-Q2682)=0,"",IFERROR(INDEX(coa_CF,MATCH(IF((P2682-Q2682)=1,K2682,I2682),coa_Name,0)),"Operating"))</f>
        <v/>
      </c>
      <c r="S2682" s="95">
        <f>IF((P2682-Q2682)=1,L2682,IF((P2682-Q2682)=-1,-J2682,0))</f>
        <v/>
      </c>
      <c r="T2682" s="95">
        <f>IF((P2682-Q2682)=1,N2682,IF((P2682-Q2682)=-1,-M2682,0))</f>
        <v/>
      </c>
      <c r="U2682" s="101">
        <f>IF(AND(H2682=1,LedAcct&lt;&gt;""),IF(AND(E2682&gt;=LedFrom,E2682&lt;=LedTo,OR(I2682=LedAcct,K2682=LedAcct,AND(LedAcct=acctTax,M2682+N2682&lt;&gt;0))),E2682*10000+B2682,""),"")</f>
        <v/>
      </c>
    </row>
    <row r="2683">
      <c r="B2683" s="101" t="n">
        <v>2677</v>
      </c>
      <c r="C2683" s="58" t="inlineStr">
        <is>
          <t>Bill</t>
        </is>
      </c>
      <c r="D2683" s="58">
        <f>IF(H2683=1,INDEX(ap_No,177)&amp;"","")</f>
        <v/>
      </c>
      <c r="E2683" s="94">
        <f>IF(H2683=1,INDEX(ap_Date,177),"")</f>
        <v/>
      </c>
      <c r="F2683" s="58">
        <f>IF(H2683=1,INDEX(ap_Desc,177)&amp;"","")</f>
        <v/>
      </c>
      <c r="G2683" s="58">
        <f>IF(H2683=1,INDEX(ap_Party,177)&amp;"","")</f>
        <v/>
      </c>
      <c r="H2683" s="101">
        <f>IFERROR(N(INDEX(ap_Posted,177)),0)</f>
        <v/>
      </c>
      <c r="I2683" s="58">
        <f>IF(H2683=1,INDEX(ap_DrAcct,177)&amp;"","")</f>
        <v/>
      </c>
      <c r="J2683" s="95">
        <f>IF(H2683=1,INDEX(ap_DrAmt,177),0)</f>
        <v/>
      </c>
      <c r="K2683" s="58">
        <f>IF(H2683=1,INDEX(ap_CrAcct,177)&amp;"","")</f>
        <v/>
      </c>
      <c r="L2683" s="95">
        <f>IF(H2683=1,INDEX(ap_CrAmt,177),0)</f>
        <v/>
      </c>
      <c r="M2683" s="95">
        <f>IF(H2683=1,INDEX(ap_TaxAmt,177),0)</f>
        <v/>
      </c>
      <c r="N2683" s="95" t="n">
        <v>0</v>
      </c>
      <c r="O2683" s="101">
        <f>IF(H2683=1,IF(E2683&lt;FYStart,0,IF(E2683&gt;FYEnd,13,YEAR(E2683)*12+MONTH(E2683)-FYYM+1)),"")</f>
        <v/>
      </c>
      <c r="P2683" s="101">
        <f>IF(H2683=1,IF(IFERROR(INDEX(coa_CF,MATCH(I2683,coa_Name,0)),"")="Cash",1,0),0)</f>
        <v/>
      </c>
      <c r="Q2683" s="101">
        <f>IF(H2683=1,IF(IFERROR(INDEX(coa_CF,MATCH(K2683,coa_Name,0)),"")="Cash",1,0),0)</f>
        <v/>
      </c>
      <c r="R2683" s="58">
        <f>IF((P2683-Q2683)=0,"",IFERROR(INDEX(coa_CF,MATCH(IF((P2683-Q2683)=1,K2683,I2683),coa_Name,0)),"Operating"))</f>
        <v/>
      </c>
      <c r="S2683" s="95">
        <f>IF((P2683-Q2683)=1,L2683,IF((P2683-Q2683)=-1,-J2683,0))</f>
        <v/>
      </c>
      <c r="T2683" s="95">
        <f>IF((P2683-Q2683)=1,N2683,IF((P2683-Q2683)=-1,-M2683,0))</f>
        <v/>
      </c>
      <c r="U2683" s="101">
        <f>IF(AND(H2683=1,LedAcct&lt;&gt;""),IF(AND(E2683&gt;=LedFrom,E2683&lt;=LedTo,OR(I2683=LedAcct,K2683=LedAcct,AND(LedAcct=acctTax,M2683+N2683&lt;&gt;0))),E2683*10000+B2683,""),"")</f>
        <v/>
      </c>
    </row>
    <row r="2684">
      <c r="B2684" s="101" t="n">
        <v>2678</v>
      </c>
      <c r="C2684" s="58" t="inlineStr">
        <is>
          <t>Bill</t>
        </is>
      </c>
      <c r="D2684" s="58">
        <f>IF(H2684=1,INDEX(ap_No,178)&amp;"","")</f>
        <v/>
      </c>
      <c r="E2684" s="94">
        <f>IF(H2684=1,INDEX(ap_Date,178),"")</f>
        <v/>
      </c>
      <c r="F2684" s="58">
        <f>IF(H2684=1,INDEX(ap_Desc,178)&amp;"","")</f>
        <v/>
      </c>
      <c r="G2684" s="58">
        <f>IF(H2684=1,INDEX(ap_Party,178)&amp;"","")</f>
        <v/>
      </c>
      <c r="H2684" s="101">
        <f>IFERROR(N(INDEX(ap_Posted,178)),0)</f>
        <v/>
      </c>
      <c r="I2684" s="58">
        <f>IF(H2684=1,INDEX(ap_DrAcct,178)&amp;"","")</f>
        <v/>
      </c>
      <c r="J2684" s="95">
        <f>IF(H2684=1,INDEX(ap_DrAmt,178),0)</f>
        <v/>
      </c>
      <c r="K2684" s="58">
        <f>IF(H2684=1,INDEX(ap_CrAcct,178)&amp;"","")</f>
        <v/>
      </c>
      <c r="L2684" s="95">
        <f>IF(H2684=1,INDEX(ap_CrAmt,178),0)</f>
        <v/>
      </c>
      <c r="M2684" s="95">
        <f>IF(H2684=1,INDEX(ap_TaxAmt,178),0)</f>
        <v/>
      </c>
      <c r="N2684" s="95" t="n">
        <v>0</v>
      </c>
      <c r="O2684" s="101">
        <f>IF(H2684=1,IF(E2684&lt;FYStart,0,IF(E2684&gt;FYEnd,13,YEAR(E2684)*12+MONTH(E2684)-FYYM+1)),"")</f>
        <v/>
      </c>
      <c r="P2684" s="101">
        <f>IF(H2684=1,IF(IFERROR(INDEX(coa_CF,MATCH(I2684,coa_Name,0)),"")="Cash",1,0),0)</f>
        <v/>
      </c>
      <c r="Q2684" s="101">
        <f>IF(H2684=1,IF(IFERROR(INDEX(coa_CF,MATCH(K2684,coa_Name,0)),"")="Cash",1,0),0)</f>
        <v/>
      </c>
      <c r="R2684" s="58">
        <f>IF((P2684-Q2684)=0,"",IFERROR(INDEX(coa_CF,MATCH(IF((P2684-Q2684)=1,K2684,I2684),coa_Name,0)),"Operating"))</f>
        <v/>
      </c>
      <c r="S2684" s="95">
        <f>IF((P2684-Q2684)=1,L2684,IF((P2684-Q2684)=-1,-J2684,0))</f>
        <v/>
      </c>
      <c r="T2684" s="95">
        <f>IF((P2684-Q2684)=1,N2684,IF((P2684-Q2684)=-1,-M2684,0))</f>
        <v/>
      </c>
      <c r="U2684" s="101">
        <f>IF(AND(H2684=1,LedAcct&lt;&gt;""),IF(AND(E2684&gt;=LedFrom,E2684&lt;=LedTo,OR(I2684=LedAcct,K2684=LedAcct,AND(LedAcct=acctTax,M2684+N2684&lt;&gt;0))),E2684*10000+B2684,""),"")</f>
        <v/>
      </c>
    </row>
    <row r="2685">
      <c r="B2685" s="101" t="n">
        <v>2679</v>
      </c>
      <c r="C2685" s="58" t="inlineStr">
        <is>
          <t>Bill</t>
        </is>
      </c>
      <c r="D2685" s="58">
        <f>IF(H2685=1,INDEX(ap_No,179)&amp;"","")</f>
        <v/>
      </c>
      <c r="E2685" s="94">
        <f>IF(H2685=1,INDEX(ap_Date,179),"")</f>
        <v/>
      </c>
      <c r="F2685" s="58">
        <f>IF(H2685=1,INDEX(ap_Desc,179)&amp;"","")</f>
        <v/>
      </c>
      <c r="G2685" s="58">
        <f>IF(H2685=1,INDEX(ap_Party,179)&amp;"","")</f>
        <v/>
      </c>
      <c r="H2685" s="101">
        <f>IFERROR(N(INDEX(ap_Posted,179)),0)</f>
        <v/>
      </c>
      <c r="I2685" s="58">
        <f>IF(H2685=1,INDEX(ap_DrAcct,179)&amp;"","")</f>
        <v/>
      </c>
      <c r="J2685" s="95">
        <f>IF(H2685=1,INDEX(ap_DrAmt,179),0)</f>
        <v/>
      </c>
      <c r="K2685" s="58">
        <f>IF(H2685=1,INDEX(ap_CrAcct,179)&amp;"","")</f>
        <v/>
      </c>
      <c r="L2685" s="95">
        <f>IF(H2685=1,INDEX(ap_CrAmt,179),0)</f>
        <v/>
      </c>
      <c r="M2685" s="95">
        <f>IF(H2685=1,INDEX(ap_TaxAmt,179),0)</f>
        <v/>
      </c>
      <c r="N2685" s="95" t="n">
        <v>0</v>
      </c>
      <c r="O2685" s="101">
        <f>IF(H2685=1,IF(E2685&lt;FYStart,0,IF(E2685&gt;FYEnd,13,YEAR(E2685)*12+MONTH(E2685)-FYYM+1)),"")</f>
        <v/>
      </c>
      <c r="P2685" s="101">
        <f>IF(H2685=1,IF(IFERROR(INDEX(coa_CF,MATCH(I2685,coa_Name,0)),"")="Cash",1,0),0)</f>
        <v/>
      </c>
      <c r="Q2685" s="101">
        <f>IF(H2685=1,IF(IFERROR(INDEX(coa_CF,MATCH(K2685,coa_Name,0)),"")="Cash",1,0),0)</f>
        <v/>
      </c>
      <c r="R2685" s="58">
        <f>IF((P2685-Q2685)=0,"",IFERROR(INDEX(coa_CF,MATCH(IF((P2685-Q2685)=1,K2685,I2685),coa_Name,0)),"Operating"))</f>
        <v/>
      </c>
      <c r="S2685" s="95">
        <f>IF((P2685-Q2685)=1,L2685,IF((P2685-Q2685)=-1,-J2685,0))</f>
        <v/>
      </c>
      <c r="T2685" s="95">
        <f>IF((P2685-Q2685)=1,N2685,IF((P2685-Q2685)=-1,-M2685,0))</f>
        <v/>
      </c>
      <c r="U2685" s="101">
        <f>IF(AND(H2685=1,LedAcct&lt;&gt;""),IF(AND(E2685&gt;=LedFrom,E2685&lt;=LedTo,OR(I2685=LedAcct,K2685=LedAcct,AND(LedAcct=acctTax,M2685+N2685&lt;&gt;0))),E2685*10000+B2685,""),"")</f>
        <v/>
      </c>
    </row>
    <row r="2686">
      <c r="B2686" s="101" t="n">
        <v>2680</v>
      </c>
      <c r="C2686" s="58" t="inlineStr">
        <is>
          <t>Bill</t>
        </is>
      </c>
      <c r="D2686" s="58">
        <f>IF(H2686=1,INDEX(ap_No,180)&amp;"","")</f>
        <v/>
      </c>
      <c r="E2686" s="94">
        <f>IF(H2686=1,INDEX(ap_Date,180),"")</f>
        <v/>
      </c>
      <c r="F2686" s="58">
        <f>IF(H2686=1,INDEX(ap_Desc,180)&amp;"","")</f>
        <v/>
      </c>
      <c r="G2686" s="58">
        <f>IF(H2686=1,INDEX(ap_Party,180)&amp;"","")</f>
        <v/>
      </c>
      <c r="H2686" s="101">
        <f>IFERROR(N(INDEX(ap_Posted,180)),0)</f>
        <v/>
      </c>
      <c r="I2686" s="58">
        <f>IF(H2686=1,INDEX(ap_DrAcct,180)&amp;"","")</f>
        <v/>
      </c>
      <c r="J2686" s="95">
        <f>IF(H2686=1,INDEX(ap_DrAmt,180),0)</f>
        <v/>
      </c>
      <c r="K2686" s="58">
        <f>IF(H2686=1,INDEX(ap_CrAcct,180)&amp;"","")</f>
        <v/>
      </c>
      <c r="L2686" s="95">
        <f>IF(H2686=1,INDEX(ap_CrAmt,180),0)</f>
        <v/>
      </c>
      <c r="M2686" s="95">
        <f>IF(H2686=1,INDEX(ap_TaxAmt,180),0)</f>
        <v/>
      </c>
      <c r="N2686" s="95" t="n">
        <v>0</v>
      </c>
      <c r="O2686" s="101">
        <f>IF(H2686=1,IF(E2686&lt;FYStart,0,IF(E2686&gt;FYEnd,13,YEAR(E2686)*12+MONTH(E2686)-FYYM+1)),"")</f>
        <v/>
      </c>
      <c r="P2686" s="101">
        <f>IF(H2686=1,IF(IFERROR(INDEX(coa_CF,MATCH(I2686,coa_Name,0)),"")="Cash",1,0),0)</f>
        <v/>
      </c>
      <c r="Q2686" s="101">
        <f>IF(H2686=1,IF(IFERROR(INDEX(coa_CF,MATCH(K2686,coa_Name,0)),"")="Cash",1,0),0)</f>
        <v/>
      </c>
      <c r="R2686" s="58">
        <f>IF((P2686-Q2686)=0,"",IFERROR(INDEX(coa_CF,MATCH(IF((P2686-Q2686)=1,K2686,I2686),coa_Name,0)),"Operating"))</f>
        <v/>
      </c>
      <c r="S2686" s="95">
        <f>IF((P2686-Q2686)=1,L2686,IF((P2686-Q2686)=-1,-J2686,0))</f>
        <v/>
      </c>
      <c r="T2686" s="95">
        <f>IF((P2686-Q2686)=1,N2686,IF((P2686-Q2686)=-1,-M2686,0))</f>
        <v/>
      </c>
      <c r="U2686" s="101">
        <f>IF(AND(H2686=1,LedAcct&lt;&gt;""),IF(AND(E2686&gt;=LedFrom,E2686&lt;=LedTo,OR(I2686=LedAcct,K2686=LedAcct,AND(LedAcct=acctTax,M2686+N2686&lt;&gt;0))),E2686*10000+B2686,""),"")</f>
        <v/>
      </c>
    </row>
    <row r="2687">
      <c r="B2687" s="101" t="n">
        <v>2681</v>
      </c>
      <c r="C2687" s="58" t="inlineStr">
        <is>
          <t>Bill</t>
        </is>
      </c>
      <c r="D2687" s="58">
        <f>IF(H2687=1,INDEX(ap_No,181)&amp;"","")</f>
        <v/>
      </c>
      <c r="E2687" s="94">
        <f>IF(H2687=1,INDEX(ap_Date,181),"")</f>
        <v/>
      </c>
      <c r="F2687" s="58">
        <f>IF(H2687=1,INDEX(ap_Desc,181)&amp;"","")</f>
        <v/>
      </c>
      <c r="G2687" s="58">
        <f>IF(H2687=1,INDEX(ap_Party,181)&amp;"","")</f>
        <v/>
      </c>
      <c r="H2687" s="101">
        <f>IFERROR(N(INDEX(ap_Posted,181)),0)</f>
        <v/>
      </c>
      <c r="I2687" s="58">
        <f>IF(H2687=1,INDEX(ap_DrAcct,181)&amp;"","")</f>
        <v/>
      </c>
      <c r="J2687" s="95">
        <f>IF(H2687=1,INDEX(ap_DrAmt,181),0)</f>
        <v/>
      </c>
      <c r="K2687" s="58">
        <f>IF(H2687=1,INDEX(ap_CrAcct,181)&amp;"","")</f>
        <v/>
      </c>
      <c r="L2687" s="95">
        <f>IF(H2687=1,INDEX(ap_CrAmt,181),0)</f>
        <v/>
      </c>
      <c r="M2687" s="95">
        <f>IF(H2687=1,INDEX(ap_TaxAmt,181),0)</f>
        <v/>
      </c>
      <c r="N2687" s="95" t="n">
        <v>0</v>
      </c>
      <c r="O2687" s="101">
        <f>IF(H2687=1,IF(E2687&lt;FYStart,0,IF(E2687&gt;FYEnd,13,YEAR(E2687)*12+MONTH(E2687)-FYYM+1)),"")</f>
        <v/>
      </c>
      <c r="P2687" s="101">
        <f>IF(H2687=1,IF(IFERROR(INDEX(coa_CF,MATCH(I2687,coa_Name,0)),"")="Cash",1,0),0)</f>
        <v/>
      </c>
      <c r="Q2687" s="101">
        <f>IF(H2687=1,IF(IFERROR(INDEX(coa_CF,MATCH(K2687,coa_Name,0)),"")="Cash",1,0),0)</f>
        <v/>
      </c>
      <c r="R2687" s="58">
        <f>IF((P2687-Q2687)=0,"",IFERROR(INDEX(coa_CF,MATCH(IF((P2687-Q2687)=1,K2687,I2687),coa_Name,0)),"Operating"))</f>
        <v/>
      </c>
      <c r="S2687" s="95">
        <f>IF((P2687-Q2687)=1,L2687,IF((P2687-Q2687)=-1,-J2687,0))</f>
        <v/>
      </c>
      <c r="T2687" s="95">
        <f>IF((P2687-Q2687)=1,N2687,IF((P2687-Q2687)=-1,-M2687,0))</f>
        <v/>
      </c>
      <c r="U2687" s="101">
        <f>IF(AND(H2687=1,LedAcct&lt;&gt;""),IF(AND(E2687&gt;=LedFrom,E2687&lt;=LedTo,OR(I2687=LedAcct,K2687=LedAcct,AND(LedAcct=acctTax,M2687+N2687&lt;&gt;0))),E2687*10000+B2687,""),"")</f>
        <v/>
      </c>
    </row>
    <row r="2688">
      <c r="B2688" s="101" t="n">
        <v>2682</v>
      </c>
      <c r="C2688" s="58" t="inlineStr">
        <is>
          <t>Bill</t>
        </is>
      </c>
      <c r="D2688" s="58">
        <f>IF(H2688=1,INDEX(ap_No,182)&amp;"","")</f>
        <v/>
      </c>
      <c r="E2688" s="94">
        <f>IF(H2688=1,INDEX(ap_Date,182),"")</f>
        <v/>
      </c>
      <c r="F2688" s="58">
        <f>IF(H2688=1,INDEX(ap_Desc,182)&amp;"","")</f>
        <v/>
      </c>
      <c r="G2688" s="58">
        <f>IF(H2688=1,INDEX(ap_Party,182)&amp;"","")</f>
        <v/>
      </c>
      <c r="H2688" s="101">
        <f>IFERROR(N(INDEX(ap_Posted,182)),0)</f>
        <v/>
      </c>
      <c r="I2688" s="58">
        <f>IF(H2688=1,INDEX(ap_DrAcct,182)&amp;"","")</f>
        <v/>
      </c>
      <c r="J2688" s="95">
        <f>IF(H2688=1,INDEX(ap_DrAmt,182),0)</f>
        <v/>
      </c>
      <c r="K2688" s="58">
        <f>IF(H2688=1,INDEX(ap_CrAcct,182)&amp;"","")</f>
        <v/>
      </c>
      <c r="L2688" s="95">
        <f>IF(H2688=1,INDEX(ap_CrAmt,182),0)</f>
        <v/>
      </c>
      <c r="M2688" s="95">
        <f>IF(H2688=1,INDEX(ap_TaxAmt,182),0)</f>
        <v/>
      </c>
      <c r="N2688" s="95" t="n">
        <v>0</v>
      </c>
      <c r="O2688" s="101">
        <f>IF(H2688=1,IF(E2688&lt;FYStart,0,IF(E2688&gt;FYEnd,13,YEAR(E2688)*12+MONTH(E2688)-FYYM+1)),"")</f>
        <v/>
      </c>
      <c r="P2688" s="101">
        <f>IF(H2688=1,IF(IFERROR(INDEX(coa_CF,MATCH(I2688,coa_Name,0)),"")="Cash",1,0),0)</f>
        <v/>
      </c>
      <c r="Q2688" s="101">
        <f>IF(H2688=1,IF(IFERROR(INDEX(coa_CF,MATCH(K2688,coa_Name,0)),"")="Cash",1,0),0)</f>
        <v/>
      </c>
      <c r="R2688" s="58">
        <f>IF((P2688-Q2688)=0,"",IFERROR(INDEX(coa_CF,MATCH(IF((P2688-Q2688)=1,K2688,I2688),coa_Name,0)),"Operating"))</f>
        <v/>
      </c>
      <c r="S2688" s="95">
        <f>IF((P2688-Q2688)=1,L2688,IF((P2688-Q2688)=-1,-J2688,0))</f>
        <v/>
      </c>
      <c r="T2688" s="95">
        <f>IF((P2688-Q2688)=1,N2688,IF((P2688-Q2688)=-1,-M2688,0))</f>
        <v/>
      </c>
      <c r="U2688" s="101">
        <f>IF(AND(H2688=1,LedAcct&lt;&gt;""),IF(AND(E2688&gt;=LedFrom,E2688&lt;=LedTo,OR(I2688=LedAcct,K2688=LedAcct,AND(LedAcct=acctTax,M2688+N2688&lt;&gt;0))),E2688*10000+B2688,""),"")</f>
        <v/>
      </c>
    </row>
    <row r="2689">
      <c r="B2689" s="101" t="n">
        <v>2683</v>
      </c>
      <c r="C2689" s="58" t="inlineStr">
        <is>
          <t>Bill</t>
        </is>
      </c>
      <c r="D2689" s="58">
        <f>IF(H2689=1,INDEX(ap_No,183)&amp;"","")</f>
        <v/>
      </c>
      <c r="E2689" s="94">
        <f>IF(H2689=1,INDEX(ap_Date,183),"")</f>
        <v/>
      </c>
      <c r="F2689" s="58">
        <f>IF(H2689=1,INDEX(ap_Desc,183)&amp;"","")</f>
        <v/>
      </c>
      <c r="G2689" s="58">
        <f>IF(H2689=1,INDEX(ap_Party,183)&amp;"","")</f>
        <v/>
      </c>
      <c r="H2689" s="101">
        <f>IFERROR(N(INDEX(ap_Posted,183)),0)</f>
        <v/>
      </c>
      <c r="I2689" s="58">
        <f>IF(H2689=1,INDEX(ap_DrAcct,183)&amp;"","")</f>
        <v/>
      </c>
      <c r="J2689" s="95">
        <f>IF(H2689=1,INDEX(ap_DrAmt,183),0)</f>
        <v/>
      </c>
      <c r="K2689" s="58">
        <f>IF(H2689=1,INDEX(ap_CrAcct,183)&amp;"","")</f>
        <v/>
      </c>
      <c r="L2689" s="95">
        <f>IF(H2689=1,INDEX(ap_CrAmt,183),0)</f>
        <v/>
      </c>
      <c r="M2689" s="95">
        <f>IF(H2689=1,INDEX(ap_TaxAmt,183),0)</f>
        <v/>
      </c>
      <c r="N2689" s="95" t="n">
        <v>0</v>
      </c>
      <c r="O2689" s="101">
        <f>IF(H2689=1,IF(E2689&lt;FYStart,0,IF(E2689&gt;FYEnd,13,YEAR(E2689)*12+MONTH(E2689)-FYYM+1)),"")</f>
        <v/>
      </c>
      <c r="P2689" s="101">
        <f>IF(H2689=1,IF(IFERROR(INDEX(coa_CF,MATCH(I2689,coa_Name,0)),"")="Cash",1,0),0)</f>
        <v/>
      </c>
      <c r="Q2689" s="101">
        <f>IF(H2689=1,IF(IFERROR(INDEX(coa_CF,MATCH(K2689,coa_Name,0)),"")="Cash",1,0),0)</f>
        <v/>
      </c>
      <c r="R2689" s="58">
        <f>IF((P2689-Q2689)=0,"",IFERROR(INDEX(coa_CF,MATCH(IF((P2689-Q2689)=1,K2689,I2689),coa_Name,0)),"Operating"))</f>
        <v/>
      </c>
      <c r="S2689" s="95">
        <f>IF((P2689-Q2689)=1,L2689,IF((P2689-Q2689)=-1,-J2689,0))</f>
        <v/>
      </c>
      <c r="T2689" s="95">
        <f>IF((P2689-Q2689)=1,N2689,IF((P2689-Q2689)=-1,-M2689,0))</f>
        <v/>
      </c>
      <c r="U2689" s="101">
        <f>IF(AND(H2689=1,LedAcct&lt;&gt;""),IF(AND(E2689&gt;=LedFrom,E2689&lt;=LedTo,OR(I2689=LedAcct,K2689=LedAcct,AND(LedAcct=acctTax,M2689+N2689&lt;&gt;0))),E2689*10000+B2689,""),"")</f>
        <v/>
      </c>
    </row>
    <row r="2690">
      <c r="B2690" s="101" t="n">
        <v>2684</v>
      </c>
      <c r="C2690" s="58" t="inlineStr">
        <is>
          <t>Bill</t>
        </is>
      </c>
      <c r="D2690" s="58">
        <f>IF(H2690=1,INDEX(ap_No,184)&amp;"","")</f>
        <v/>
      </c>
      <c r="E2690" s="94">
        <f>IF(H2690=1,INDEX(ap_Date,184),"")</f>
        <v/>
      </c>
      <c r="F2690" s="58">
        <f>IF(H2690=1,INDEX(ap_Desc,184)&amp;"","")</f>
        <v/>
      </c>
      <c r="G2690" s="58">
        <f>IF(H2690=1,INDEX(ap_Party,184)&amp;"","")</f>
        <v/>
      </c>
      <c r="H2690" s="101">
        <f>IFERROR(N(INDEX(ap_Posted,184)),0)</f>
        <v/>
      </c>
      <c r="I2690" s="58">
        <f>IF(H2690=1,INDEX(ap_DrAcct,184)&amp;"","")</f>
        <v/>
      </c>
      <c r="J2690" s="95">
        <f>IF(H2690=1,INDEX(ap_DrAmt,184),0)</f>
        <v/>
      </c>
      <c r="K2690" s="58">
        <f>IF(H2690=1,INDEX(ap_CrAcct,184)&amp;"","")</f>
        <v/>
      </c>
      <c r="L2690" s="95">
        <f>IF(H2690=1,INDEX(ap_CrAmt,184),0)</f>
        <v/>
      </c>
      <c r="M2690" s="95">
        <f>IF(H2690=1,INDEX(ap_TaxAmt,184),0)</f>
        <v/>
      </c>
      <c r="N2690" s="95" t="n">
        <v>0</v>
      </c>
      <c r="O2690" s="101">
        <f>IF(H2690=1,IF(E2690&lt;FYStart,0,IF(E2690&gt;FYEnd,13,YEAR(E2690)*12+MONTH(E2690)-FYYM+1)),"")</f>
        <v/>
      </c>
      <c r="P2690" s="101">
        <f>IF(H2690=1,IF(IFERROR(INDEX(coa_CF,MATCH(I2690,coa_Name,0)),"")="Cash",1,0),0)</f>
        <v/>
      </c>
      <c r="Q2690" s="101">
        <f>IF(H2690=1,IF(IFERROR(INDEX(coa_CF,MATCH(K2690,coa_Name,0)),"")="Cash",1,0),0)</f>
        <v/>
      </c>
      <c r="R2690" s="58">
        <f>IF((P2690-Q2690)=0,"",IFERROR(INDEX(coa_CF,MATCH(IF((P2690-Q2690)=1,K2690,I2690),coa_Name,0)),"Operating"))</f>
        <v/>
      </c>
      <c r="S2690" s="95">
        <f>IF((P2690-Q2690)=1,L2690,IF((P2690-Q2690)=-1,-J2690,0))</f>
        <v/>
      </c>
      <c r="T2690" s="95">
        <f>IF((P2690-Q2690)=1,N2690,IF((P2690-Q2690)=-1,-M2690,0))</f>
        <v/>
      </c>
      <c r="U2690" s="101">
        <f>IF(AND(H2690=1,LedAcct&lt;&gt;""),IF(AND(E2690&gt;=LedFrom,E2690&lt;=LedTo,OR(I2690=LedAcct,K2690=LedAcct,AND(LedAcct=acctTax,M2690+N2690&lt;&gt;0))),E2690*10000+B2690,""),"")</f>
        <v/>
      </c>
    </row>
    <row r="2691">
      <c r="B2691" s="101" t="n">
        <v>2685</v>
      </c>
      <c r="C2691" s="58" t="inlineStr">
        <is>
          <t>Bill</t>
        </is>
      </c>
      <c r="D2691" s="58">
        <f>IF(H2691=1,INDEX(ap_No,185)&amp;"","")</f>
        <v/>
      </c>
      <c r="E2691" s="94">
        <f>IF(H2691=1,INDEX(ap_Date,185),"")</f>
        <v/>
      </c>
      <c r="F2691" s="58">
        <f>IF(H2691=1,INDEX(ap_Desc,185)&amp;"","")</f>
        <v/>
      </c>
      <c r="G2691" s="58">
        <f>IF(H2691=1,INDEX(ap_Party,185)&amp;"","")</f>
        <v/>
      </c>
      <c r="H2691" s="101">
        <f>IFERROR(N(INDEX(ap_Posted,185)),0)</f>
        <v/>
      </c>
      <c r="I2691" s="58">
        <f>IF(H2691=1,INDEX(ap_DrAcct,185)&amp;"","")</f>
        <v/>
      </c>
      <c r="J2691" s="95">
        <f>IF(H2691=1,INDEX(ap_DrAmt,185),0)</f>
        <v/>
      </c>
      <c r="K2691" s="58">
        <f>IF(H2691=1,INDEX(ap_CrAcct,185)&amp;"","")</f>
        <v/>
      </c>
      <c r="L2691" s="95">
        <f>IF(H2691=1,INDEX(ap_CrAmt,185),0)</f>
        <v/>
      </c>
      <c r="M2691" s="95">
        <f>IF(H2691=1,INDEX(ap_TaxAmt,185),0)</f>
        <v/>
      </c>
      <c r="N2691" s="95" t="n">
        <v>0</v>
      </c>
      <c r="O2691" s="101">
        <f>IF(H2691=1,IF(E2691&lt;FYStart,0,IF(E2691&gt;FYEnd,13,YEAR(E2691)*12+MONTH(E2691)-FYYM+1)),"")</f>
        <v/>
      </c>
      <c r="P2691" s="101">
        <f>IF(H2691=1,IF(IFERROR(INDEX(coa_CF,MATCH(I2691,coa_Name,0)),"")="Cash",1,0),0)</f>
        <v/>
      </c>
      <c r="Q2691" s="101">
        <f>IF(H2691=1,IF(IFERROR(INDEX(coa_CF,MATCH(K2691,coa_Name,0)),"")="Cash",1,0),0)</f>
        <v/>
      </c>
      <c r="R2691" s="58">
        <f>IF((P2691-Q2691)=0,"",IFERROR(INDEX(coa_CF,MATCH(IF((P2691-Q2691)=1,K2691,I2691),coa_Name,0)),"Operating"))</f>
        <v/>
      </c>
      <c r="S2691" s="95">
        <f>IF((P2691-Q2691)=1,L2691,IF((P2691-Q2691)=-1,-J2691,0))</f>
        <v/>
      </c>
      <c r="T2691" s="95">
        <f>IF((P2691-Q2691)=1,N2691,IF((P2691-Q2691)=-1,-M2691,0))</f>
        <v/>
      </c>
      <c r="U2691" s="101">
        <f>IF(AND(H2691=1,LedAcct&lt;&gt;""),IF(AND(E2691&gt;=LedFrom,E2691&lt;=LedTo,OR(I2691=LedAcct,K2691=LedAcct,AND(LedAcct=acctTax,M2691+N2691&lt;&gt;0))),E2691*10000+B2691,""),"")</f>
        <v/>
      </c>
    </row>
    <row r="2692">
      <c r="B2692" s="101" t="n">
        <v>2686</v>
      </c>
      <c r="C2692" s="58" t="inlineStr">
        <is>
          <t>Bill</t>
        </is>
      </c>
      <c r="D2692" s="58">
        <f>IF(H2692=1,INDEX(ap_No,186)&amp;"","")</f>
        <v/>
      </c>
      <c r="E2692" s="94">
        <f>IF(H2692=1,INDEX(ap_Date,186),"")</f>
        <v/>
      </c>
      <c r="F2692" s="58">
        <f>IF(H2692=1,INDEX(ap_Desc,186)&amp;"","")</f>
        <v/>
      </c>
      <c r="G2692" s="58">
        <f>IF(H2692=1,INDEX(ap_Party,186)&amp;"","")</f>
        <v/>
      </c>
      <c r="H2692" s="101">
        <f>IFERROR(N(INDEX(ap_Posted,186)),0)</f>
        <v/>
      </c>
      <c r="I2692" s="58">
        <f>IF(H2692=1,INDEX(ap_DrAcct,186)&amp;"","")</f>
        <v/>
      </c>
      <c r="J2692" s="95">
        <f>IF(H2692=1,INDEX(ap_DrAmt,186),0)</f>
        <v/>
      </c>
      <c r="K2692" s="58">
        <f>IF(H2692=1,INDEX(ap_CrAcct,186)&amp;"","")</f>
        <v/>
      </c>
      <c r="L2692" s="95">
        <f>IF(H2692=1,INDEX(ap_CrAmt,186),0)</f>
        <v/>
      </c>
      <c r="M2692" s="95">
        <f>IF(H2692=1,INDEX(ap_TaxAmt,186),0)</f>
        <v/>
      </c>
      <c r="N2692" s="95" t="n">
        <v>0</v>
      </c>
      <c r="O2692" s="101">
        <f>IF(H2692=1,IF(E2692&lt;FYStart,0,IF(E2692&gt;FYEnd,13,YEAR(E2692)*12+MONTH(E2692)-FYYM+1)),"")</f>
        <v/>
      </c>
      <c r="P2692" s="101">
        <f>IF(H2692=1,IF(IFERROR(INDEX(coa_CF,MATCH(I2692,coa_Name,0)),"")="Cash",1,0),0)</f>
        <v/>
      </c>
      <c r="Q2692" s="101">
        <f>IF(H2692=1,IF(IFERROR(INDEX(coa_CF,MATCH(K2692,coa_Name,0)),"")="Cash",1,0),0)</f>
        <v/>
      </c>
      <c r="R2692" s="58">
        <f>IF((P2692-Q2692)=0,"",IFERROR(INDEX(coa_CF,MATCH(IF((P2692-Q2692)=1,K2692,I2692),coa_Name,0)),"Operating"))</f>
        <v/>
      </c>
      <c r="S2692" s="95">
        <f>IF((P2692-Q2692)=1,L2692,IF((P2692-Q2692)=-1,-J2692,0))</f>
        <v/>
      </c>
      <c r="T2692" s="95">
        <f>IF((P2692-Q2692)=1,N2692,IF((P2692-Q2692)=-1,-M2692,0))</f>
        <v/>
      </c>
      <c r="U2692" s="101">
        <f>IF(AND(H2692=1,LedAcct&lt;&gt;""),IF(AND(E2692&gt;=LedFrom,E2692&lt;=LedTo,OR(I2692=LedAcct,K2692=LedAcct,AND(LedAcct=acctTax,M2692+N2692&lt;&gt;0))),E2692*10000+B2692,""),"")</f>
        <v/>
      </c>
    </row>
    <row r="2693">
      <c r="B2693" s="101" t="n">
        <v>2687</v>
      </c>
      <c r="C2693" s="58" t="inlineStr">
        <is>
          <t>Bill</t>
        </is>
      </c>
      <c r="D2693" s="58">
        <f>IF(H2693=1,INDEX(ap_No,187)&amp;"","")</f>
        <v/>
      </c>
      <c r="E2693" s="94">
        <f>IF(H2693=1,INDEX(ap_Date,187),"")</f>
        <v/>
      </c>
      <c r="F2693" s="58">
        <f>IF(H2693=1,INDEX(ap_Desc,187)&amp;"","")</f>
        <v/>
      </c>
      <c r="G2693" s="58">
        <f>IF(H2693=1,INDEX(ap_Party,187)&amp;"","")</f>
        <v/>
      </c>
      <c r="H2693" s="101">
        <f>IFERROR(N(INDEX(ap_Posted,187)),0)</f>
        <v/>
      </c>
      <c r="I2693" s="58">
        <f>IF(H2693=1,INDEX(ap_DrAcct,187)&amp;"","")</f>
        <v/>
      </c>
      <c r="J2693" s="95">
        <f>IF(H2693=1,INDEX(ap_DrAmt,187),0)</f>
        <v/>
      </c>
      <c r="K2693" s="58">
        <f>IF(H2693=1,INDEX(ap_CrAcct,187)&amp;"","")</f>
        <v/>
      </c>
      <c r="L2693" s="95">
        <f>IF(H2693=1,INDEX(ap_CrAmt,187),0)</f>
        <v/>
      </c>
      <c r="M2693" s="95">
        <f>IF(H2693=1,INDEX(ap_TaxAmt,187),0)</f>
        <v/>
      </c>
      <c r="N2693" s="95" t="n">
        <v>0</v>
      </c>
      <c r="O2693" s="101">
        <f>IF(H2693=1,IF(E2693&lt;FYStart,0,IF(E2693&gt;FYEnd,13,YEAR(E2693)*12+MONTH(E2693)-FYYM+1)),"")</f>
        <v/>
      </c>
      <c r="P2693" s="101">
        <f>IF(H2693=1,IF(IFERROR(INDEX(coa_CF,MATCH(I2693,coa_Name,0)),"")="Cash",1,0),0)</f>
        <v/>
      </c>
      <c r="Q2693" s="101">
        <f>IF(H2693=1,IF(IFERROR(INDEX(coa_CF,MATCH(K2693,coa_Name,0)),"")="Cash",1,0),0)</f>
        <v/>
      </c>
      <c r="R2693" s="58">
        <f>IF((P2693-Q2693)=0,"",IFERROR(INDEX(coa_CF,MATCH(IF((P2693-Q2693)=1,K2693,I2693),coa_Name,0)),"Operating"))</f>
        <v/>
      </c>
      <c r="S2693" s="95">
        <f>IF((P2693-Q2693)=1,L2693,IF((P2693-Q2693)=-1,-J2693,0))</f>
        <v/>
      </c>
      <c r="T2693" s="95">
        <f>IF((P2693-Q2693)=1,N2693,IF((P2693-Q2693)=-1,-M2693,0))</f>
        <v/>
      </c>
      <c r="U2693" s="101">
        <f>IF(AND(H2693=1,LedAcct&lt;&gt;""),IF(AND(E2693&gt;=LedFrom,E2693&lt;=LedTo,OR(I2693=LedAcct,K2693=LedAcct,AND(LedAcct=acctTax,M2693+N2693&lt;&gt;0))),E2693*10000+B2693,""),"")</f>
        <v/>
      </c>
    </row>
    <row r="2694">
      <c r="B2694" s="101" t="n">
        <v>2688</v>
      </c>
      <c r="C2694" s="58" t="inlineStr">
        <is>
          <t>Bill</t>
        </is>
      </c>
      <c r="D2694" s="58">
        <f>IF(H2694=1,INDEX(ap_No,188)&amp;"","")</f>
        <v/>
      </c>
      <c r="E2694" s="94">
        <f>IF(H2694=1,INDEX(ap_Date,188),"")</f>
        <v/>
      </c>
      <c r="F2694" s="58">
        <f>IF(H2694=1,INDEX(ap_Desc,188)&amp;"","")</f>
        <v/>
      </c>
      <c r="G2694" s="58">
        <f>IF(H2694=1,INDEX(ap_Party,188)&amp;"","")</f>
        <v/>
      </c>
      <c r="H2694" s="101">
        <f>IFERROR(N(INDEX(ap_Posted,188)),0)</f>
        <v/>
      </c>
      <c r="I2694" s="58">
        <f>IF(H2694=1,INDEX(ap_DrAcct,188)&amp;"","")</f>
        <v/>
      </c>
      <c r="J2694" s="95">
        <f>IF(H2694=1,INDEX(ap_DrAmt,188),0)</f>
        <v/>
      </c>
      <c r="K2694" s="58">
        <f>IF(H2694=1,INDEX(ap_CrAcct,188)&amp;"","")</f>
        <v/>
      </c>
      <c r="L2694" s="95">
        <f>IF(H2694=1,INDEX(ap_CrAmt,188),0)</f>
        <v/>
      </c>
      <c r="M2694" s="95">
        <f>IF(H2694=1,INDEX(ap_TaxAmt,188),0)</f>
        <v/>
      </c>
      <c r="N2694" s="95" t="n">
        <v>0</v>
      </c>
      <c r="O2694" s="101">
        <f>IF(H2694=1,IF(E2694&lt;FYStart,0,IF(E2694&gt;FYEnd,13,YEAR(E2694)*12+MONTH(E2694)-FYYM+1)),"")</f>
        <v/>
      </c>
      <c r="P2694" s="101">
        <f>IF(H2694=1,IF(IFERROR(INDEX(coa_CF,MATCH(I2694,coa_Name,0)),"")="Cash",1,0),0)</f>
        <v/>
      </c>
      <c r="Q2694" s="101">
        <f>IF(H2694=1,IF(IFERROR(INDEX(coa_CF,MATCH(K2694,coa_Name,0)),"")="Cash",1,0),0)</f>
        <v/>
      </c>
      <c r="R2694" s="58">
        <f>IF((P2694-Q2694)=0,"",IFERROR(INDEX(coa_CF,MATCH(IF((P2694-Q2694)=1,K2694,I2694),coa_Name,0)),"Operating"))</f>
        <v/>
      </c>
      <c r="S2694" s="95">
        <f>IF((P2694-Q2694)=1,L2694,IF((P2694-Q2694)=-1,-J2694,0))</f>
        <v/>
      </c>
      <c r="T2694" s="95">
        <f>IF((P2694-Q2694)=1,N2694,IF((P2694-Q2694)=-1,-M2694,0))</f>
        <v/>
      </c>
      <c r="U2694" s="101">
        <f>IF(AND(H2694=1,LedAcct&lt;&gt;""),IF(AND(E2694&gt;=LedFrom,E2694&lt;=LedTo,OR(I2694=LedAcct,K2694=LedAcct,AND(LedAcct=acctTax,M2694+N2694&lt;&gt;0))),E2694*10000+B2694,""),"")</f>
        <v/>
      </c>
    </row>
    <row r="2695">
      <c r="B2695" s="101" t="n">
        <v>2689</v>
      </c>
      <c r="C2695" s="58" t="inlineStr">
        <is>
          <t>Bill</t>
        </is>
      </c>
      <c r="D2695" s="58">
        <f>IF(H2695=1,INDEX(ap_No,189)&amp;"","")</f>
        <v/>
      </c>
      <c r="E2695" s="94">
        <f>IF(H2695=1,INDEX(ap_Date,189),"")</f>
        <v/>
      </c>
      <c r="F2695" s="58">
        <f>IF(H2695=1,INDEX(ap_Desc,189)&amp;"","")</f>
        <v/>
      </c>
      <c r="G2695" s="58">
        <f>IF(H2695=1,INDEX(ap_Party,189)&amp;"","")</f>
        <v/>
      </c>
      <c r="H2695" s="101">
        <f>IFERROR(N(INDEX(ap_Posted,189)),0)</f>
        <v/>
      </c>
      <c r="I2695" s="58">
        <f>IF(H2695=1,INDEX(ap_DrAcct,189)&amp;"","")</f>
        <v/>
      </c>
      <c r="J2695" s="95">
        <f>IF(H2695=1,INDEX(ap_DrAmt,189),0)</f>
        <v/>
      </c>
      <c r="K2695" s="58">
        <f>IF(H2695=1,INDEX(ap_CrAcct,189)&amp;"","")</f>
        <v/>
      </c>
      <c r="L2695" s="95">
        <f>IF(H2695=1,INDEX(ap_CrAmt,189),0)</f>
        <v/>
      </c>
      <c r="M2695" s="95">
        <f>IF(H2695=1,INDEX(ap_TaxAmt,189),0)</f>
        <v/>
      </c>
      <c r="N2695" s="95" t="n">
        <v>0</v>
      </c>
      <c r="O2695" s="101">
        <f>IF(H2695=1,IF(E2695&lt;FYStart,0,IF(E2695&gt;FYEnd,13,YEAR(E2695)*12+MONTH(E2695)-FYYM+1)),"")</f>
        <v/>
      </c>
      <c r="P2695" s="101">
        <f>IF(H2695=1,IF(IFERROR(INDEX(coa_CF,MATCH(I2695,coa_Name,0)),"")="Cash",1,0),0)</f>
        <v/>
      </c>
      <c r="Q2695" s="101">
        <f>IF(H2695=1,IF(IFERROR(INDEX(coa_CF,MATCH(K2695,coa_Name,0)),"")="Cash",1,0),0)</f>
        <v/>
      </c>
      <c r="R2695" s="58">
        <f>IF((P2695-Q2695)=0,"",IFERROR(INDEX(coa_CF,MATCH(IF((P2695-Q2695)=1,K2695,I2695),coa_Name,0)),"Operating"))</f>
        <v/>
      </c>
      <c r="S2695" s="95">
        <f>IF((P2695-Q2695)=1,L2695,IF((P2695-Q2695)=-1,-J2695,0))</f>
        <v/>
      </c>
      <c r="T2695" s="95">
        <f>IF((P2695-Q2695)=1,N2695,IF((P2695-Q2695)=-1,-M2695,0))</f>
        <v/>
      </c>
      <c r="U2695" s="101">
        <f>IF(AND(H2695=1,LedAcct&lt;&gt;""),IF(AND(E2695&gt;=LedFrom,E2695&lt;=LedTo,OR(I2695=LedAcct,K2695=LedAcct,AND(LedAcct=acctTax,M2695+N2695&lt;&gt;0))),E2695*10000+B2695,""),"")</f>
        <v/>
      </c>
    </row>
    <row r="2696">
      <c r="B2696" s="101" t="n">
        <v>2690</v>
      </c>
      <c r="C2696" s="58" t="inlineStr">
        <is>
          <t>Bill</t>
        </is>
      </c>
      <c r="D2696" s="58">
        <f>IF(H2696=1,INDEX(ap_No,190)&amp;"","")</f>
        <v/>
      </c>
      <c r="E2696" s="94">
        <f>IF(H2696=1,INDEX(ap_Date,190),"")</f>
        <v/>
      </c>
      <c r="F2696" s="58">
        <f>IF(H2696=1,INDEX(ap_Desc,190)&amp;"","")</f>
        <v/>
      </c>
      <c r="G2696" s="58">
        <f>IF(H2696=1,INDEX(ap_Party,190)&amp;"","")</f>
        <v/>
      </c>
      <c r="H2696" s="101">
        <f>IFERROR(N(INDEX(ap_Posted,190)),0)</f>
        <v/>
      </c>
      <c r="I2696" s="58">
        <f>IF(H2696=1,INDEX(ap_DrAcct,190)&amp;"","")</f>
        <v/>
      </c>
      <c r="J2696" s="95">
        <f>IF(H2696=1,INDEX(ap_DrAmt,190),0)</f>
        <v/>
      </c>
      <c r="K2696" s="58">
        <f>IF(H2696=1,INDEX(ap_CrAcct,190)&amp;"","")</f>
        <v/>
      </c>
      <c r="L2696" s="95">
        <f>IF(H2696=1,INDEX(ap_CrAmt,190),0)</f>
        <v/>
      </c>
      <c r="M2696" s="95">
        <f>IF(H2696=1,INDEX(ap_TaxAmt,190),0)</f>
        <v/>
      </c>
      <c r="N2696" s="95" t="n">
        <v>0</v>
      </c>
      <c r="O2696" s="101">
        <f>IF(H2696=1,IF(E2696&lt;FYStart,0,IF(E2696&gt;FYEnd,13,YEAR(E2696)*12+MONTH(E2696)-FYYM+1)),"")</f>
        <v/>
      </c>
      <c r="P2696" s="101">
        <f>IF(H2696=1,IF(IFERROR(INDEX(coa_CF,MATCH(I2696,coa_Name,0)),"")="Cash",1,0),0)</f>
        <v/>
      </c>
      <c r="Q2696" s="101">
        <f>IF(H2696=1,IF(IFERROR(INDEX(coa_CF,MATCH(K2696,coa_Name,0)),"")="Cash",1,0),0)</f>
        <v/>
      </c>
      <c r="R2696" s="58">
        <f>IF((P2696-Q2696)=0,"",IFERROR(INDEX(coa_CF,MATCH(IF((P2696-Q2696)=1,K2696,I2696),coa_Name,0)),"Operating"))</f>
        <v/>
      </c>
      <c r="S2696" s="95">
        <f>IF((P2696-Q2696)=1,L2696,IF((P2696-Q2696)=-1,-J2696,0))</f>
        <v/>
      </c>
      <c r="T2696" s="95">
        <f>IF((P2696-Q2696)=1,N2696,IF((P2696-Q2696)=-1,-M2696,0))</f>
        <v/>
      </c>
      <c r="U2696" s="101">
        <f>IF(AND(H2696=1,LedAcct&lt;&gt;""),IF(AND(E2696&gt;=LedFrom,E2696&lt;=LedTo,OR(I2696=LedAcct,K2696=LedAcct,AND(LedAcct=acctTax,M2696+N2696&lt;&gt;0))),E2696*10000+B2696,""),"")</f>
        <v/>
      </c>
    </row>
    <row r="2697">
      <c r="B2697" s="101" t="n">
        <v>2691</v>
      </c>
      <c r="C2697" s="58" t="inlineStr">
        <is>
          <t>Bill</t>
        </is>
      </c>
      <c r="D2697" s="58">
        <f>IF(H2697=1,INDEX(ap_No,191)&amp;"","")</f>
        <v/>
      </c>
      <c r="E2697" s="94">
        <f>IF(H2697=1,INDEX(ap_Date,191),"")</f>
        <v/>
      </c>
      <c r="F2697" s="58">
        <f>IF(H2697=1,INDEX(ap_Desc,191)&amp;"","")</f>
        <v/>
      </c>
      <c r="G2697" s="58">
        <f>IF(H2697=1,INDEX(ap_Party,191)&amp;"","")</f>
        <v/>
      </c>
      <c r="H2697" s="101">
        <f>IFERROR(N(INDEX(ap_Posted,191)),0)</f>
        <v/>
      </c>
      <c r="I2697" s="58">
        <f>IF(H2697=1,INDEX(ap_DrAcct,191)&amp;"","")</f>
        <v/>
      </c>
      <c r="J2697" s="95">
        <f>IF(H2697=1,INDEX(ap_DrAmt,191),0)</f>
        <v/>
      </c>
      <c r="K2697" s="58">
        <f>IF(H2697=1,INDEX(ap_CrAcct,191)&amp;"","")</f>
        <v/>
      </c>
      <c r="L2697" s="95">
        <f>IF(H2697=1,INDEX(ap_CrAmt,191),0)</f>
        <v/>
      </c>
      <c r="M2697" s="95">
        <f>IF(H2697=1,INDEX(ap_TaxAmt,191),0)</f>
        <v/>
      </c>
      <c r="N2697" s="95" t="n">
        <v>0</v>
      </c>
      <c r="O2697" s="101">
        <f>IF(H2697=1,IF(E2697&lt;FYStart,0,IF(E2697&gt;FYEnd,13,YEAR(E2697)*12+MONTH(E2697)-FYYM+1)),"")</f>
        <v/>
      </c>
      <c r="P2697" s="101">
        <f>IF(H2697=1,IF(IFERROR(INDEX(coa_CF,MATCH(I2697,coa_Name,0)),"")="Cash",1,0),0)</f>
        <v/>
      </c>
      <c r="Q2697" s="101">
        <f>IF(H2697=1,IF(IFERROR(INDEX(coa_CF,MATCH(K2697,coa_Name,0)),"")="Cash",1,0),0)</f>
        <v/>
      </c>
      <c r="R2697" s="58">
        <f>IF((P2697-Q2697)=0,"",IFERROR(INDEX(coa_CF,MATCH(IF((P2697-Q2697)=1,K2697,I2697),coa_Name,0)),"Operating"))</f>
        <v/>
      </c>
      <c r="S2697" s="95">
        <f>IF((P2697-Q2697)=1,L2697,IF((P2697-Q2697)=-1,-J2697,0))</f>
        <v/>
      </c>
      <c r="T2697" s="95">
        <f>IF((P2697-Q2697)=1,N2697,IF((P2697-Q2697)=-1,-M2697,0))</f>
        <v/>
      </c>
      <c r="U2697" s="101">
        <f>IF(AND(H2697=1,LedAcct&lt;&gt;""),IF(AND(E2697&gt;=LedFrom,E2697&lt;=LedTo,OR(I2697=LedAcct,K2697=LedAcct,AND(LedAcct=acctTax,M2697+N2697&lt;&gt;0))),E2697*10000+B2697,""),"")</f>
        <v/>
      </c>
    </row>
    <row r="2698">
      <c r="B2698" s="101" t="n">
        <v>2692</v>
      </c>
      <c r="C2698" s="58" t="inlineStr">
        <is>
          <t>Bill</t>
        </is>
      </c>
      <c r="D2698" s="58">
        <f>IF(H2698=1,INDEX(ap_No,192)&amp;"","")</f>
        <v/>
      </c>
      <c r="E2698" s="94">
        <f>IF(H2698=1,INDEX(ap_Date,192),"")</f>
        <v/>
      </c>
      <c r="F2698" s="58">
        <f>IF(H2698=1,INDEX(ap_Desc,192)&amp;"","")</f>
        <v/>
      </c>
      <c r="G2698" s="58">
        <f>IF(H2698=1,INDEX(ap_Party,192)&amp;"","")</f>
        <v/>
      </c>
      <c r="H2698" s="101">
        <f>IFERROR(N(INDEX(ap_Posted,192)),0)</f>
        <v/>
      </c>
      <c r="I2698" s="58">
        <f>IF(H2698=1,INDEX(ap_DrAcct,192)&amp;"","")</f>
        <v/>
      </c>
      <c r="J2698" s="95">
        <f>IF(H2698=1,INDEX(ap_DrAmt,192),0)</f>
        <v/>
      </c>
      <c r="K2698" s="58">
        <f>IF(H2698=1,INDEX(ap_CrAcct,192)&amp;"","")</f>
        <v/>
      </c>
      <c r="L2698" s="95">
        <f>IF(H2698=1,INDEX(ap_CrAmt,192),0)</f>
        <v/>
      </c>
      <c r="M2698" s="95">
        <f>IF(H2698=1,INDEX(ap_TaxAmt,192),0)</f>
        <v/>
      </c>
      <c r="N2698" s="95" t="n">
        <v>0</v>
      </c>
      <c r="O2698" s="101">
        <f>IF(H2698=1,IF(E2698&lt;FYStart,0,IF(E2698&gt;FYEnd,13,YEAR(E2698)*12+MONTH(E2698)-FYYM+1)),"")</f>
        <v/>
      </c>
      <c r="P2698" s="101">
        <f>IF(H2698=1,IF(IFERROR(INDEX(coa_CF,MATCH(I2698,coa_Name,0)),"")="Cash",1,0),0)</f>
        <v/>
      </c>
      <c r="Q2698" s="101">
        <f>IF(H2698=1,IF(IFERROR(INDEX(coa_CF,MATCH(K2698,coa_Name,0)),"")="Cash",1,0),0)</f>
        <v/>
      </c>
      <c r="R2698" s="58">
        <f>IF((P2698-Q2698)=0,"",IFERROR(INDEX(coa_CF,MATCH(IF((P2698-Q2698)=1,K2698,I2698),coa_Name,0)),"Operating"))</f>
        <v/>
      </c>
      <c r="S2698" s="95">
        <f>IF((P2698-Q2698)=1,L2698,IF((P2698-Q2698)=-1,-J2698,0))</f>
        <v/>
      </c>
      <c r="T2698" s="95">
        <f>IF((P2698-Q2698)=1,N2698,IF((P2698-Q2698)=-1,-M2698,0))</f>
        <v/>
      </c>
      <c r="U2698" s="101">
        <f>IF(AND(H2698=1,LedAcct&lt;&gt;""),IF(AND(E2698&gt;=LedFrom,E2698&lt;=LedTo,OR(I2698=LedAcct,K2698=LedAcct,AND(LedAcct=acctTax,M2698+N2698&lt;&gt;0))),E2698*10000+B2698,""),"")</f>
        <v/>
      </c>
    </row>
    <row r="2699">
      <c r="B2699" s="101" t="n">
        <v>2693</v>
      </c>
      <c r="C2699" s="58" t="inlineStr">
        <is>
          <t>Bill</t>
        </is>
      </c>
      <c r="D2699" s="58">
        <f>IF(H2699=1,INDEX(ap_No,193)&amp;"","")</f>
        <v/>
      </c>
      <c r="E2699" s="94">
        <f>IF(H2699=1,INDEX(ap_Date,193),"")</f>
        <v/>
      </c>
      <c r="F2699" s="58">
        <f>IF(H2699=1,INDEX(ap_Desc,193)&amp;"","")</f>
        <v/>
      </c>
      <c r="G2699" s="58">
        <f>IF(H2699=1,INDEX(ap_Party,193)&amp;"","")</f>
        <v/>
      </c>
      <c r="H2699" s="101">
        <f>IFERROR(N(INDEX(ap_Posted,193)),0)</f>
        <v/>
      </c>
      <c r="I2699" s="58">
        <f>IF(H2699=1,INDEX(ap_DrAcct,193)&amp;"","")</f>
        <v/>
      </c>
      <c r="J2699" s="95">
        <f>IF(H2699=1,INDEX(ap_DrAmt,193),0)</f>
        <v/>
      </c>
      <c r="K2699" s="58">
        <f>IF(H2699=1,INDEX(ap_CrAcct,193)&amp;"","")</f>
        <v/>
      </c>
      <c r="L2699" s="95">
        <f>IF(H2699=1,INDEX(ap_CrAmt,193),0)</f>
        <v/>
      </c>
      <c r="M2699" s="95">
        <f>IF(H2699=1,INDEX(ap_TaxAmt,193),0)</f>
        <v/>
      </c>
      <c r="N2699" s="95" t="n">
        <v>0</v>
      </c>
      <c r="O2699" s="101">
        <f>IF(H2699=1,IF(E2699&lt;FYStart,0,IF(E2699&gt;FYEnd,13,YEAR(E2699)*12+MONTH(E2699)-FYYM+1)),"")</f>
        <v/>
      </c>
      <c r="P2699" s="101">
        <f>IF(H2699=1,IF(IFERROR(INDEX(coa_CF,MATCH(I2699,coa_Name,0)),"")="Cash",1,0),0)</f>
        <v/>
      </c>
      <c r="Q2699" s="101">
        <f>IF(H2699=1,IF(IFERROR(INDEX(coa_CF,MATCH(K2699,coa_Name,0)),"")="Cash",1,0),0)</f>
        <v/>
      </c>
      <c r="R2699" s="58">
        <f>IF((P2699-Q2699)=0,"",IFERROR(INDEX(coa_CF,MATCH(IF((P2699-Q2699)=1,K2699,I2699),coa_Name,0)),"Operating"))</f>
        <v/>
      </c>
      <c r="S2699" s="95">
        <f>IF((P2699-Q2699)=1,L2699,IF((P2699-Q2699)=-1,-J2699,0))</f>
        <v/>
      </c>
      <c r="T2699" s="95">
        <f>IF((P2699-Q2699)=1,N2699,IF((P2699-Q2699)=-1,-M2699,0))</f>
        <v/>
      </c>
      <c r="U2699" s="101">
        <f>IF(AND(H2699=1,LedAcct&lt;&gt;""),IF(AND(E2699&gt;=LedFrom,E2699&lt;=LedTo,OR(I2699=LedAcct,K2699=LedAcct,AND(LedAcct=acctTax,M2699+N2699&lt;&gt;0))),E2699*10000+B2699,""),"")</f>
        <v/>
      </c>
    </row>
    <row r="2700">
      <c r="B2700" s="101" t="n">
        <v>2694</v>
      </c>
      <c r="C2700" s="58" t="inlineStr">
        <is>
          <t>Bill</t>
        </is>
      </c>
      <c r="D2700" s="58">
        <f>IF(H2700=1,INDEX(ap_No,194)&amp;"","")</f>
        <v/>
      </c>
      <c r="E2700" s="94">
        <f>IF(H2700=1,INDEX(ap_Date,194),"")</f>
        <v/>
      </c>
      <c r="F2700" s="58">
        <f>IF(H2700=1,INDEX(ap_Desc,194)&amp;"","")</f>
        <v/>
      </c>
      <c r="G2700" s="58">
        <f>IF(H2700=1,INDEX(ap_Party,194)&amp;"","")</f>
        <v/>
      </c>
      <c r="H2700" s="101">
        <f>IFERROR(N(INDEX(ap_Posted,194)),0)</f>
        <v/>
      </c>
      <c r="I2700" s="58">
        <f>IF(H2700=1,INDEX(ap_DrAcct,194)&amp;"","")</f>
        <v/>
      </c>
      <c r="J2700" s="95">
        <f>IF(H2700=1,INDEX(ap_DrAmt,194),0)</f>
        <v/>
      </c>
      <c r="K2700" s="58">
        <f>IF(H2700=1,INDEX(ap_CrAcct,194)&amp;"","")</f>
        <v/>
      </c>
      <c r="L2700" s="95">
        <f>IF(H2700=1,INDEX(ap_CrAmt,194),0)</f>
        <v/>
      </c>
      <c r="M2700" s="95">
        <f>IF(H2700=1,INDEX(ap_TaxAmt,194),0)</f>
        <v/>
      </c>
      <c r="N2700" s="95" t="n">
        <v>0</v>
      </c>
      <c r="O2700" s="101">
        <f>IF(H2700=1,IF(E2700&lt;FYStart,0,IF(E2700&gt;FYEnd,13,YEAR(E2700)*12+MONTH(E2700)-FYYM+1)),"")</f>
        <v/>
      </c>
      <c r="P2700" s="101">
        <f>IF(H2700=1,IF(IFERROR(INDEX(coa_CF,MATCH(I2700,coa_Name,0)),"")="Cash",1,0),0)</f>
        <v/>
      </c>
      <c r="Q2700" s="101">
        <f>IF(H2700=1,IF(IFERROR(INDEX(coa_CF,MATCH(K2700,coa_Name,0)),"")="Cash",1,0),0)</f>
        <v/>
      </c>
      <c r="R2700" s="58">
        <f>IF((P2700-Q2700)=0,"",IFERROR(INDEX(coa_CF,MATCH(IF((P2700-Q2700)=1,K2700,I2700),coa_Name,0)),"Operating"))</f>
        <v/>
      </c>
      <c r="S2700" s="95">
        <f>IF((P2700-Q2700)=1,L2700,IF((P2700-Q2700)=-1,-J2700,0))</f>
        <v/>
      </c>
      <c r="T2700" s="95">
        <f>IF((P2700-Q2700)=1,N2700,IF((P2700-Q2700)=-1,-M2700,0))</f>
        <v/>
      </c>
      <c r="U2700" s="101">
        <f>IF(AND(H2700=1,LedAcct&lt;&gt;""),IF(AND(E2700&gt;=LedFrom,E2700&lt;=LedTo,OR(I2700=LedAcct,K2700=LedAcct,AND(LedAcct=acctTax,M2700+N2700&lt;&gt;0))),E2700*10000+B2700,""),"")</f>
        <v/>
      </c>
    </row>
    <row r="2701">
      <c r="B2701" s="101" t="n">
        <v>2695</v>
      </c>
      <c r="C2701" s="58" t="inlineStr">
        <is>
          <t>Bill</t>
        </is>
      </c>
      <c r="D2701" s="58">
        <f>IF(H2701=1,INDEX(ap_No,195)&amp;"","")</f>
        <v/>
      </c>
      <c r="E2701" s="94">
        <f>IF(H2701=1,INDEX(ap_Date,195),"")</f>
        <v/>
      </c>
      <c r="F2701" s="58">
        <f>IF(H2701=1,INDEX(ap_Desc,195)&amp;"","")</f>
        <v/>
      </c>
      <c r="G2701" s="58">
        <f>IF(H2701=1,INDEX(ap_Party,195)&amp;"","")</f>
        <v/>
      </c>
      <c r="H2701" s="101">
        <f>IFERROR(N(INDEX(ap_Posted,195)),0)</f>
        <v/>
      </c>
      <c r="I2701" s="58">
        <f>IF(H2701=1,INDEX(ap_DrAcct,195)&amp;"","")</f>
        <v/>
      </c>
      <c r="J2701" s="95">
        <f>IF(H2701=1,INDEX(ap_DrAmt,195),0)</f>
        <v/>
      </c>
      <c r="K2701" s="58">
        <f>IF(H2701=1,INDEX(ap_CrAcct,195)&amp;"","")</f>
        <v/>
      </c>
      <c r="L2701" s="95">
        <f>IF(H2701=1,INDEX(ap_CrAmt,195),0)</f>
        <v/>
      </c>
      <c r="M2701" s="95">
        <f>IF(H2701=1,INDEX(ap_TaxAmt,195),0)</f>
        <v/>
      </c>
      <c r="N2701" s="95" t="n">
        <v>0</v>
      </c>
      <c r="O2701" s="101">
        <f>IF(H2701=1,IF(E2701&lt;FYStart,0,IF(E2701&gt;FYEnd,13,YEAR(E2701)*12+MONTH(E2701)-FYYM+1)),"")</f>
        <v/>
      </c>
      <c r="P2701" s="101">
        <f>IF(H2701=1,IF(IFERROR(INDEX(coa_CF,MATCH(I2701,coa_Name,0)),"")="Cash",1,0),0)</f>
        <v/>
      </c>
      <c r="Q2701" s="101">
        <f>IF(H2701=1,IF(IFERROR(INDEX(coa_CF,MATCH(K2701,coa_Name,0)),"")="Cash",1,0),0)</f>
        <v/>
      </c>
      <c r="R2701" s="58">
        <f>IF((P2701-Q2701)=0,"",IFERROR(INDEX(coa_CF,MATCH(IF((P2701-Q2701)=1,K2701,I2701),coa_Name,0)),"Operating"))</f>
        <v/>
      </c>
      <c r="S2701" s="95">
        <f>IF((P2701-Q2701)=1,L2701,IF((P2701-Q2701)=-1,-J2701,0))</f>
        <v/>
      </c>
      <c r="T2701" s="95">
        <f>IF((P2701-Q2701)=1,N2701,IF((P2701-Q2701)=-1,-M2701,0))</f>
        <v/>
      </c>
      <c r="U2701" s="101">
        <f>IF(AND(H2701=1,LedAcct&lt;&gt;""),IF(AND(E2701&gt;=LedFrom,E2701&lt;=LedTo,OR(I2701=LedAcct,K2701=LedAcct,AND(LedAcct=acctTax,M2701+N2701&lt;&gt;0))),E2701*10000+B2701,""),"")</f>
        <v/>
      </c>
    </row>
    <row r="2702">
      <c r="B2702" s="101" t="n">
        <v>2696</v>
      </c>
      <c r="C2702" s="58" t="inlineStr">
        <is>
          <t>Bill</t>
        </is>
      </c>
      <c r="D2702" s="58">
        <f>IF(H2702=1,INDEX(ap_No,196)&amp;"","")</f>
        <v/>
      </c>
      <c r="E2702" s="94">
        <f>IF(H2702=1,INDEX(ap_Date,196),"")</f>
        <v/>
      </c>
      <c r="F2702" s="58">
        <f>IF(H2702=1,INDEX(ap_Desc,196)&amp;"","")</f>
        <v/>
      </c>
      <c r="G2702" s="58">
        <f>IF(H2702=1,INDEX(ap_Party,196)&amp;"","")</f>
        <v/>
      </c>
      <c r="H2702" s="101">
        <f>IFERROR(N(INDEX(ap_Posted,196)),0)</f>
        <v/>
      </c>
      <c r="I2702" s="58">
        <f>IF(H2702=1,INDEX(ap_DrAcct,196)&amp;"","")</f>
        <v/>
      </c>
      <c r="J2702" s="95">
        <f>IF(H2702=1,INDEX(ap_DrAmt,196),0)</f>
        <v/>
      </c>
      <c r="K2702" s="58">
        <f>IF(H2702=1,INDEX(ap_CrAcct,196)&amp;"","")</f>
        <v/>
      </c>
      <c r="L2702" s="95">
        <f>IF(H2702=1,INDEX(ap_CrAmt,196),0)</f>
        <v/>
      </c>
      <c r="M2702" s="95">
        <f>IF(H2702=1,INDEX(ap_TaxAmt,196),0)</f>
        <v/>
      </c>
      <c r="N2702" s="95" t="n">
        <v>0</v>
      </c>
      <c r="O2702" s="101">
        <f>IF(H2702=1,IF(E2702&lt;FYStart,0,IF(E2702&gt;FYEnd,13,YEAR(E2702)*12+MONTH(E2702)-FYYM+1)),"")</f>
        <v/>
      </c>
      <c r="P2702" s="101">
        <f>IF(H2702=1,IF(IFERROR(INDEX(coa_CF,MATCH(I2702,coa_Name,0)),"")="Cash",1,0),0)</f>
        <v/>
      </c>
      <c r="Q2702" s="101">
        <f>IF(H2702=1,IF(IFERROR(INDEX(coa_CF,MATCH(K2702,coa_Name,0)),"")="Cash",1,0),0)</f>
        <v/>
      </c>
      <c r="R2702" s="58">
        <f>IF((P2702-Q2702)=0,"",IFERROR(INDEX(coa_CF,MATCH(IF((P2702-Q2702)=1,K2702,I2702),coa_Name,0)),"Operating"))</f>
        <v/>
      </c>
      <c r="S2702" s="95">
        <f>IF((P2702-Q2702)=1,L2702,IF((P2702-Q2702)=-1,-J2702,0))</f>
        <v/>
      </c>
      <c r="T2702" s="95">
        <f>IF((P2702-Q2702)=1,N2702,IF((P2702-Q2702)=-1,-M2702,0))</f>
        <v/>
      </c>
      <c r="U2702" s="101">
        <f>IF(AND(H2702=1,LedAcct&lt;&gt;""),IF(AND(E2702&gt;=LedFrom,E2702&lt;=LedTo,OR(I2702=LedAcct,K2702=LedAcct,AND(LedAcct=acctTax,M2702+N2702&lt;&gt;0))),E2702*10000+B2702,""),"")</f>
        <v/>
      </c>
    </row>
    <row r="2703">
      <c r="B2703" s="101" t="n">
        <v>2697</v>
      </c>
      <c r="C2703" s="58" t="inlineStr">
        <is>
          <t>Bill</t>
        </is>
      </c>
      <c r="D2703" s="58">
        <f>IF(H2703=1,INDEX(ap_No,197)&amp;"","")</f>
        <v/>
      </c>
      <c r="E2703" s="94">
        <f>IF(H2703=1,INDEX(ap_Date,197),"")</f>
        <v/>
      </c>
      <c r="F2703" s="58">
        <f>IF(H2703=1,INDEX(ap_Desc,197)&amp;"","")</f>
        <v/>
      </c>
      <c r="G2703" s="58">
        <f>IF(H2703=1,INDEX(ap_Party,197)&amp;"","")</f>
        <v/>
      </c>
      <c r="H2703" s="101">
        <f>IFERROR(N(INDEX(ap_Posted,197)),0)</f>
        <v/>
      </c>
      <c r="I2703" s="58">
        <f>IF(H2703=1,INDEX(ap_DrAcct,197)&amp;"","")</f>
        <v/>
      </c>
      <c r="J2703" s="95">
        <f>IF(H2703=1,INDEX(ap_DrAmt,197),0)</f>
        <v/>
      </c>
      <c r="K2703" s="58">
        <f>IF(H2703=1,INDEX(ap_CrAcct,197)&amp;"","")</f>
        <v/>
      </c>
      <c r="L2703" s="95">
        <f>IF(H2703=1,INDEX(ap_CrAmt,197),0)</f>
        <v/>
      </c>
      <c r="M2703" s="95">
        <f>IF(H2703=1,INDEX(ap_TaxAmt,197),0)</f>
        <v/>
      </c>
      <c r="N2703" s="95" t="n">
        <v>0</v>
      </c>
      <c r="O2703" s="101">
        <f>IF(H2703=1,IF(E2703&lt;FYStart,0,IF(E2703&gt;FYEnd,13,YEAR(E2703)*12+MONTH(E2703)-FYYM+1)),"")</f>
        <v/>
      </c>
      <c r="P2703" s="101">
        <f>IF(H2703=1,IF(IFERROR(INDEX(coa_CF,MATCH(I2703,coa_Name,0)),"")="Cash",1,0),0)</f>
        <v/>
      </c>
      <c r="Q2703" s="101">
        <f>IF(H2703=1,IF(IFERROR(INDEX(coa_CF,MATCH(K2703,coa_Name,0)),"")="Cash",1,0),0)</f>
        <v/>
      </c>
      <c r="R2703" s="58">
        <f>IF((P2703-Q2703)=0,"",IFERROR(INDEX(coa_CF,MATCH(IF((P2703-Q2703)=1,K2703,I2703),coa_Name,0)),"Operating"))</f>
        <v/>
      </c>
      <c r="S2703" s="95">
        <f>IF((P2703-Q2703)=1,L2703,IF((P2703-Q2703)=-1,-J2703,0))</f>
        <v/>
      </c>
      <c r="T2703" s="95">
        <f>IF((P2703-Q2703)=1,N2703,IF((P2703-Q2703)=-1,-M2703,0))</f>
        <v/>
      </c>
      <c r="U2703" s="101">
        <f>IF(AND(H2703=1,LedAcct&lt;&gt;""),IF(AND(E2703&gt;=LedFrom,E2703&lt;=LedTo,OR(I2703=LedAcct,K2703=LedAcct,AND(LedAcct=acctTax,M2703+N2703&lt;&gt;0))),E2703*10000+B2703,""),"")</f>
        <v/>
      </c>
    </row>
    <row r="2704">
      <c r="B2704" s="101" t="n">
        <v>2698</v>
      </c>
      <c r="C2704" s="58" t="inlineStr">
        <is>
          <t>Bill</t>
        </is>
      </c>
      <c r="D2704" s="58">
        <f>IF(H2704=1,INDEX(ap_No,198)&amp;"","")</f>
        <v/>
      </c>
      <c r="E2704" s="94">
        <f>IF(H2704=1,INDEX(ap_Date,198),"")</f>
        <v/>
      </c>
      <c r="F2704" s="58">
        <f>IF(H2704=1,INDEX(ap_Desc,198)&amp;"","")</f>
        <v/>
      </c>
      <c r="G2704" s="58">
        <f>IF(H2704=1,INDEX(ap_Party,198)&amp;"","")</f>
        <v/>
      </c>
      <c r="H2704" s="101">
        <f>IFERROR(N(INDEX(ap_Posted,198)),0)</f>
        <v/>
      </c>
      <c r="I2704" s="58">
        <f>IF(H2704=1,INDEX(ap_DrAcct,198)&amp;"","")</f>
        <v/>
      </c>
      <c r="J2704" s="95">
        <f>IF(H2704=1,INDEX(ap_DrAmt,198),0)</f>
        <v/>
      </c>
      <c r="K2704" s="58">
        <f>IF(H2704=1,INDEX(ap_CrAcct,198)&amp;"","")</f>
        <v/>
      </c>
      <c r="L2704" s="95">
        <f>IF(H2704=1,INDEX(ap_CrAmt,198),0)</f>
        <v/>
      </c>
      <c r="M2704" s="95">
        <f>IF(H2704=1,INDEX(ap_TaxAmt,198),0)</f>
        <v/>
      </c>
      <c r="N2704" s="95" t="n">
        <v>0</v>
      </c>
      <c r="O2704" s="101">
        <f>IF(H2704=1,IF(E2704&lt;FYStart,0,IF(E2704&gt;FYEnd,13,YEAR(E2704)*12+MONTH(E2704)-FYYM+1)),"")</f>
        <v/>
      </c>
      <c r="P2704" s="101">
        <f>IF(H2704=1,IF(IFERROR(INDEX(coa_CF,MATCH(I2704,coa_Name,0)),"")="Cash",1,0),0)</f>
        <v/>
      </c>
      <c r="Q2704" s="101">
        <f>IF(H2704=1,IF(IFERROR(INDEX(coa_CF,MATCH(K2704,coa_Name,0)),"")="Cash",1,0),0)</f>
        <v/>
      </c>
      <c r="R2704" s="58">
        <f>IF((P2704-Q2704)=0,"",IFERROR(INDEX(coa_CF,MATCH(IF((P2704-Q2704)=1,K2704,I2704),coa_Name,0)),"Operating"))</f>
        <v/>
      </c>
      <c r="S2704" s="95">
        <f>IF((P2704-Q2704)=1,L2704,IF((P2704-Q2704)=-1,-J2704,0))</f>
        <v/>
      </c>
      <c r="T2704" s="95">
        <f>IF((P2704-Q2704)=1,N2704,IF((P2704-Q2704)=-1,-M2704,0))</f>
        <v/>
      </c>
      <c r="U2704" s="101">
        <f>IF(AND(H2704=1,LedAcct&lt;&gt;""),IF(AND(E2704&gt;=LedFrom,E2704&lt;=LedTo,OR(I2704=LedAcct,K2704=LedAcct,AND(LedAcct=acctTax,M2704+N2704&lt;&gt;0))),E2704*10000+B2704,""),"")</f>
        <v/>
      </c>
    </row>
    <row r="2705">
      <c r="B2705" s="101" t="n">
        <v>2699</v>
      </c>
      <c r="C2705" s="58" t="inlineStr">
        <is>
          <t>Bill</t>
        </is>
      </c>
      <c r="D2705" s="58">
        <f>IF(H2705=1,INDEX(ap_No,199)&amp;"","")</f>
        <v/>
      </c>
      <c r="E2705" s="94">
        <f>IF(H2705=1,INDEX(ap_Date,199),"")</f>
        <v/>
      </c>
      <c r="F2705" s="58">
        <f>IF(H2705=1,INDEX(ap_Desc,199)&amp;"","")</f>
        <v/>
      </c>
      <c r="G2705" s="58">
        <f>IF(H2705=1,INDEX(ap_Party,199)&amp;"","")</f>
        <v/>
      </c>
      <c r="H2705" s="101">
        <f>IFERROR(N(INDEX(ap_Posted,199)),0)</f>
        <v/>
      </c>
      <c r="I2705" s="58">
        <f>IF(H2705=1,INDEX(ap_DrAcct,199)&amp;"","")</f>
        <v/>
      </c>
      <c r="J2705" s="95">
        <f>IF(H2705=1,INDEX(ap_DrAmt,199),0)</f>
        <v/>
      </c>
      <c r="K2705" s="58">
        <f>IF(H2705=1,INDEX(ap_CrAcct,199)&amp;"","")</f>
        <v/>
      </c>
      <c r="L2705" s="95">
        <f>IF(H2705=1,INDEX(ap_CrAmt,199),0)</f>
        <v/>
      </c>
      <c r="M2705" s="95">
        <f>IF(H2705=1,INDEX(ap_TaxAmt,199),0)</f>
        <v/>
      </c>
      <c r="N2705" s="95" t="n">
        <v>0</v>
      </c>
      <c r="O2705" s="101">
        <f>IF(H2705=1,IF(E2705&lt;FYStart,0,IF(E2705&gt;FYEnd,13,YEAR(E2705)*12+MONTH(E2705)-FYYM+1)),"")</f>
        <v/>
      </c>
      <c r="P2705" s="101">
        <f>IF(H2705=1,IF(IFERROR(INDEX(coa_CF,MATCH(I2705,coa_Name,0)),"")="Cash",1,0),0)</f>
        <v/>
      </c>
      <c r="Q2705" s="101">
        <f>IF(H2705=1,IF(IFERROR(INDEX(coa_CF,MATCH(K2705,coa_Name,0)),"")="Cash",1,0),0)</f>
        <v/>
      </c>
      <c r="R2705" s="58">
        <f>IF((P2705-Q2705)=0,"",IFERROR(INDEX(coa_CF,MATCH(IF((P2705-Q2705)=1,K2705,I2705),coa_Name,0)),"Operating"))</f>
        <v/>
      </c>
      <c r="S2705" s="95">
        <f>IF((P2705-Q2705)=1,L2705,IF((P2705-Q2705)=-1,-J2705,0))</f>
        <v/>
      </c>
      <c r="T2705" s="95">
        <f>IF((P2705-Q2705)=1,N2705,IF((P2705-Q2705)=-1,-M2705,0))</f>
        <v/>
      </c>
      <c r="U2705" s="101">
        <f>IF(AND(H2705=1,LedAcct&lt;&gt;""),IF(AND(E2705&gt;=LedFrom,E2705&lt;=LedTo,OR(I2705=LedAcct,K2705=LedAcct,AND(LedAcct=acctTax,M2705+N2705&lt;&gt;0))),E2705*10000+B2705,""),"")</f>
        <v/>
      </c>
    </row>
    <row r="2706">
      <c r="B2706" s="101" t="n">
        <v>2700</v>
      </c>
      <c r="C2706" s="58" t="inlineStr">
        <is>
          <t>Bill</t>
        </is>
      </c>
      <c r="D2706" s="58">
        <f>IF(H2706=1,INDEX(ap_No,200)&amp;"","")</f>
        <v/>
      </c>
      <c r="E2706" s="94">
        <f>IF(H2706=1,INDEX(ap_Date,200),"")</f>
        <v/>
      </c>
      <c r="F2706" s="58">
        <f>IF(H2706=1,INDEX(ap_Desc,200)&amp;"","")</f>
        <v/>
      </c>
      <c r="G2706" s="58">
        <f>IF(H2706=1,INDEX(ap_Party,200)&amp;"","")</f>
        <v/>
      </c>
      <c r="H2706" s="101">
        <f>IFERROR(N(INDEX(ap_Posted,200)),0)</f>
        <v/>
      </c>
      <c r="I2706" s="58">
        <f>IF(H2706=1,INDEX(ap_DrAcct,200)&amp;"","")</f>
        <v/>
      </c>
      <c r="J2706" s="95">
        <f>IF(H2706=1,INDEX(ap_DrAmt,200),0)</f>
        <v/>
      </c>
      <c r="K2706" s="58">
        <f>IF(H2706=1,INDEX(ap_CrAcct,200)&amp;"","")</f>
        <v/>
      </c>
      <c r="L2706" s="95">
        <f>IF(H2706=1,INDEX(ap_CrAmt,200),0)</f>
        <v/>
      </c>
      <c r="M2706" s="95">
        <f>IF(H2706=1,INDEX(ap_TaxAmt,200),0)</f>
        <v/>
      </c>
      <c r="N2706" s="95" t="n">
        <v>0</v>
      </c>
      <c r="O2706" s="101">
        <f>IF(H2706=1,IF(E2706&lt;FYStart,0,IF(E2706&gt;FYEnd,13,YEAR(E2706)*12+MONTH(E2706)-FYYM+1)),"")</f>
        <v/>
      </c>
      <c r="P2706" s="101">
        <f>IF(H2706=1,IF(IFERROR(INDEX(coa_CF,MATCH(I2706,coa_Name,0)),"")="Cash",1,0),0)</f>
        <v/>
      </c>
      <c r="Q2706" s="101">
        <f>IF(H2706=1,IF(IFERROR(INDEX(coa_CF,MATCH(K2706,coa_Name,0)),"")="Cash",1,0),0)</f>
        <v/>
      </c>
      <c r="R2706" s="58">
        <f>IF((P2706-Q2706)=0,"",IFERROR(INDEX(coa_CF,MATCH(IF((P2706-Q2706)=1,K2706,I2706),coa_Name,0)),"Operating"))</f>
        <v/>
      </c>
      <c r="S2706" s="95">
        <f>IF((P2706-Q2706)=1,L2706,IF((P2706-Q2706)=-1,-J2706,0))</f>
        <v/>
      </c>
      <c r="T2706" s="95">
        <f>IF((P2706-Q2706)=1,N2706,IF((P2706-Q2706)=-1,-M2706,0))</f>
        <v/>
      </c>
      <c r="U2706" s="101">
        <f>IF(AND(H2706=1,LedAcct&lt;&gt;""),IF(AND(E2706&gt;=LedFrom,E2706&lt;=LedTo,OR(I2706=LedAcct,K2706=LedAcct,AND(LedAcct=acctTax,M2706+N2706&lt;&gt;0))),E2706*10000+B2706,""),"")</f>
        <v/>
      </c>
    </row>
    <row r="2707">
      <c r="B2707" s="101" t="n">
        <v>2701</v>
      </c>
      <c r="C2707" s="58" t="inlineStr">
        <is>
          <t>Bill</t>
        </is>
      </c>
      <c r="D2707" s="58">
        <f>IF(H2707=1,INDEX(ap_No,201)&amp;"","")</f>
        <v/>
      </c>
      <c r="E2707" s="94">
        <f>IF(H2707=1,INDEX(ap_Date,201),"")</f>
        <v/>
      </c>
      <c r="F2707" s="58">
        <f>IF(H2707=1,INDEX(ap_Desc,201)&amp;"","")</f>
        <v/>
      </c>
      <c r="G2707" s="58">
        <f>IF(H2707=1,INDEX(ap_Party,201)&amp;"","")</f>
        <v/>
      </c>
      <c r="H2707" s="101">
        <f>IFERROR(N(INDEX(ap_Posted,201)),0)</f>
        <v/>
      </c>
      <c r="I2707" s="58">
        <f>IF(H2707=1,INDEX(ap_DrAcct,201)&amp;"","")</f>
        <v/>
      </c>
      <c r="J2707" s="95">
        <f>IF(H2707=1,INDEX(ap_DrAmt,201),0)</f>
        <v/>
      </c>
      <c r="K2707" s="58">
        <f>IF(H2707=1,INDEX(ap_CrAcct,201)&amp;"","")</f>
        <v/>
      </c>
      <c r="L2707" s="95">
        <f>IF(H2707=1,INDEX(ap_CrAmt,201),0)</f>
        <v/>
      </c>
      <c r="M2707" s="95">
        <f>IF(H2707=1,INDEX(ap_TaxAmt,201),0)</f>
        <v/>
      </c>
      <c r="N2707" s="95" t="n">
        <v>0</v>
      </c>
      <c r="O2707" s="101">
        <f>IF(H2707=1,IF(E2707&lt;FYStart,0,IF(E2707&gt;FYEnd,13,YEAR(E2707)*12+MONTH(E2707)-FYYM+1)),"")</f>
        <v/>
      </c>
      <c r="P2707" s="101">
        <f>IF(H2707=1,IF(IFERROR(INDEX(coa_CF,MATCH(I2707,coa_Name,0)),"")="Cash",1,0),0)</f>
        <v/>
      </c>
      <c r="Q2707" s="101">
        <f>IF(H2707=1,IF(IFERROR(INDEX(coa_CF,MATCH(K2707,coa_Name,0)),"")="Cash",1,0),0)</f>
        <v/>
      </c>
      <c r="R2707" s="58">
        <f>IF((P2707-Q2707)=0,"",IFERROR(INDEX(coa_CF,MATCH(IF((P2707-Q2707)=1,K2707,I2707),coa_Name,0)),"Operating"))</f>
        <v/>
      </c>
      <c r="S2707" s="95">
        <f>IF((P2707-Q2707)=1,L2707,IF((P2707-Q2707)=-1,-J2707,0))</f>
        <v/>
      </c>
      <c r="T2707" s="95">
        <f>IF((P2707-Q2707)=1,N2707,IF((P2707-Q2707)=-1,-M2707,0))</f>
        <v/>
      </c>
      <c r="U2707" s="101">
        <f>IF(AND(H2707=1,LedAcct&lt;&gt;""),IF(AND(E2707&gt;=LedFrom,E2707&lt;=LedTo,OR(I2707=LedAcct,K2707=LedAcct,AND(LedAcct=acctTax,M2707+N2707&lt;&gt;0))),E2707*10000+B2707,""),"")</f>
        <v/>
      </c>
    </row>
    <row r="2708">
      <c r="B2708" s="101" t="n">
        <v>2702</v>
      </c>
      <c r="C2708" s="58" t="inlineStr">
        <is>
          <t>Bill</t>
        </is>
      </c>
      <c r="D2708" s="58">
        <f>IF(H2708=1,INDEX(ap_No,202)&amp;"","")</f>
        <v/>
      </c>
      <c r="E2708" s="94">
        <f>IF(H2708=1,INDEX(ap_Date,202),"")</f>
        <v/>
      </c>
      <c r="F2708" s="58">
        <f>IF(H2708=1,INDEX(ap_Desc,202)&amp;"","")</f>
        <v/>
      </c>
      <c r="G2708" s="58">
        <f>IF(H2708=1,INDEX(ap_Party,202)&amp;"","")</f>
        <v/>
      </c>
      <c r="H2708" s="101">
        <f>IFERROR(N(INDEX(ap_Posted,202)),0)</f>
        <v/>
      </c>
      <c r="I2708" s="58">
        <f>IF(H2708=1,INDEX(ap_DrAcct,202)&amp;"","")</f>
        <v/>
      </c>
      <c r="J2708" s="95">
        <f>IF(H2708=1,INDEX(ap_DrAmt,202),0)</f>
        <v/>
      </c>
      <c r="K2708" s="58">
        <f>IF(H2708=1,INDEX(ap_CrAcct,202)&amp;"","")</f>
        <v/>
      </c>
      <c r="L2708" s="95">
        <f>IF(H2708=1,INDEX(ap_CrAmt,202),0)</f>
        <v/>
      </c>
      <c r="M2708" s="95">
        <f>IF(H2708=1,INDEX(ap_TaxAmt,202),0)</f>
        <v/>
      </c>
      <c r="N2708" s="95" t="n">
        <v>0</v>
      </c>
      <c r="O2708" s="101">
        <f>IF(H2708=1,IF(E2708&lt;FYStart,0,IF(E2708&gt;FYEnd,13,YEAR(E2708)*12+MONTH(E2708)-FYYM+1)),"")</f>
        <v/>
      </c>
      <c r="P2708" s="101">
        <f>IF(H2708=1,IF(IFERROR(INDEX(coa_CF,MATCH(I2708,coa_Name,0)),"")="Cash",1,0),0)</f>
        <v/>
      </c>
      <c r="Q2708" s="101">
        <f>IF(H2708=1,IF(IFERROR(INDEX(coa_CF,MATCH(K2708,coa_Name,0)),"")="Cash",1,0),0)</f>
        <v/>
      </c>
      <c r="R2708" s="58">
        <f>IF((P2708-Q2708)=0,"",IFERROR(INDEX(coa_CF,MATCH(IF((P2708-Q2708)=1,K2708,I2708),coa_Name,0)),"Operating"))</f>
        <v/>
      </c>
      <c r="S2708" s="95">
        <f>IF((P2708-Q2708)=1,L2708,IF((P2708-Q2708)=-1,-J2708,0))</f>
        <v/>
      </c>
      <c r="T2708" s="95">
        <f>IF((P2708-Q2708)=1,N2708,IF((P2708-Q2708)=-1,-M2708,0))</f>
        <v/>
      </c>
      <c r="U2708" s="101">
        <f>IF(AND(H2708=1,LedAcct&lt;&gt;""),IF(AND(E2708&gt;=LedFrom,E2708&lt;=LedTo,OR(I2708=LedAcct,K2708=LedAcct,AND(LedAcct=acctTax,M2708+N2708&lt;&gt;0))),E2708*10000+B2708,""),"")</f>
        <v/>
      </c>
    </row>
    <row r="2709">
      <c r="B2709" s="101" t="n">
        <v>2703</v>
      </c>
      <c r="C2709" s="58" t="inlineStr">
        <is>
          <t>Bill</t>
        </is>
      </c>
      <c r="D2709" s="58">
        <f>IF(H2709=1,INDEX(ap_No,203)&amp;"","")</f>
        <v/>
      </c>
      <c r="E2709" s="94">
        <f>IF(H2709=1,INDEX(ap_Date,203),"")</f>
        <v/>
      </c>
      <c r="F2709" s="58">
        <f>IF(H2709=1,INDEX(ap_Desc,203)&amp;"","")</f>
        <v/>
      </c>
      <c r="G2709" s="58">
        <f>IF(H2709=1,INDEX(ap_Party,203)&amp;"","")</f>
        <v/>
      </c>
      <c r="H2709" s="101">
        <f>IFERROR(N(INDEX(ap_Posted,203)),0)</f>
        <v/>
      </c>
      <c r="I2709" s="58">
        <f>IF(H2709=1,INDEX(ap_DrAcct,203)&amp;"","")</f>
        <v/>
      </c>
      <c r="J2709" s="95">
        <f>IF(H2709=1,INDEX(ap_DrAmt,203),0)</f>
        <v/>
      </c>
      <c r="K2709" s="58">
        <f>IF(H2709=1,INDEX(ap_CrAcct,203)&amp;"","")</f>
        <v/>
      </c>
      <c r="L2709" s="95">
        <f>IF(H2709=1,INDEX(ap_CrAmt,203),0)</f>
        <v/>
      </c>
      <c r="M2709" s="95">
        <f>IF(H2709=1,INDEX(ap_TaxAmt,203),0)</f>
        <v/>
      </c>
      <c r="N2709" s="95" t="n">
        <v>0</v>
      </c>
      <c r="O2709" s="101">
        <f>IF(H2709=1,IF(E2709&lt;FYStart,0,IF(E2709&gt;FYEnd,13,YEAR(E2709)*12+MONTH(E2709)-FYYM+1)),"")</f>
        <v/>
      </c>
      <c r="P2709" s="101">
        <f>IF(H2709=1,IF(IFERROR(INDEX(coa_CF,MATCH(I2709,coa_Name,0)),"")="Cash",1,0),0)</f>
        <v/>
      </c>
      <c r="Q2709" s="101">
        <f>IF(H2709=1,IF(IFERROR(INDEX(coa_CF,MATCH(K2709,coa_Name,0)),"")="Cash",1,0),0)</f>
        <v/>
      </c>
      <c r="R2709" s="58">
        <f>IF((P2709-Q2709)=0,"",IFERROR(INDEX(coa_CF,MATCH(IF((P2709-Q2709)=1,K2709,I2709),coa_Name,0)),"Operating"))</f>
        <v/>
      </c>
      <c r="S2709" s="95">
        <f>IF((P2709-Q2709)=1,L2709,IF((P2709-Q2709)=-1,-J2709,0))</f>
        <v/>
      </c>
      <c r="T2709" s="95">
        <f>IF((P2709-Q2709)=1,N2709,IF((P2709-Q2709)=-1,-M2709,0))</f>
        <v/>
      </c>
      <c r="U2709" s="101">
        <f>IF(AND(H2709=1,LedAcct&lt;&gt;""),IF(AND(E2709&gt;=LedFrom,E2709&lt;=LedTo,OR(I2709=LedAcct,K2709=LedAcct,AND(LedAcct=acctTax,M2709+N2709&lt;&gt;0))),E2709*10000+B2709,""),"")</f>
        <v/>
      </c>
    </row>
    <row r="2710">
      <c r="B2710" s="101" t="n">
        <v>2704</v>
      </c>
      <c r="C2710" s="58" t="inlineStr">
        <is>
          <t>Bill</t>
        </is>
      </c>
      <c r="D2710" s="58">
        <f>IF(H2710=1,INDEX(ap_No,204)&amp;"","")</f>
        <v/>
      </c>
      <c r="E2710" s="94">
        <f>IF(H2710=1,INDEX(ap_Date,204),"")</f>
        <v/>
      </c>
      <c r="F2710" s="58">
        <f>IF(H2710=1,INDEX(ap_Desc,204)&amp;"","")</f>
        <v/>
      </c>
      <c r="G2710" s="58">
        <f>IF(H2710=1,INDEX(ap_Party,204)&amp;"","")</f>
        <v/>
      </c>
      <c r="H2710" s="101">
        <f>IFERROR(N(INDEX(ap_Posted,204)),0)</f>
        <v/>
      </c>
      <c r="I2710" s="58">
        <f>IF(H2710=1,INDEX(ap_DrAcct,204)&amp;"","")</f>
        <v/>
      </c>
      <c r="J2710" s="95">
        <f>IF(H2710=1,INDEX(ap_DrAmt,204),0)</f>
        <v/>
      </c>
      <c r="K2710" s="58">
        <f>IF(H2710=1,INDEX(ap_CrAcct,204)&amp;"","")</f>
        <v/>
      </c>
      <c r="L2710" s="95">
        <f>IF(H2710=1,INDEX(ap_CrAmt,204),0)</f>
        <v/>
      </c>
      <c r="M2710" s="95">
        <f>IF(H2710=1,INDEX(ap_TaxAmt,204),0)</f>
        <v/>
      </c>
      <c r="N2710" s="95" t="n">
        <v>0</v>
      </c>
      <c r="O2710" s="101">
        <f>IF(H2710=1,IF(E2710&lt;FYStart,0,IF(E2710&gt;FYEnd,13,YEAR(E2710)*12+MONTH(E2710)-FYYM+1)),"")</f>
        <v/>
      </c>
      <c r="P2710" s="101">
        <f>IF(H2710=1,IF(IFERROR(INDEX(coa_CF,MATCH(I2710,coa_Name,0)),"")="Cash",1,0),0)</f>
        <v/>
      </c>
      <c r="Q2710" s="101">
        <f>IF(H2710=1,IF(IFERROR(INDEX(coa_CF,MATCH(K2710,coa_Name,0)),"")="Cash",1,0),0)</f>
        <v/>
      </c>
      <c r="R2710" s="58">
        <f>IF((P2710-Q2710)=0,"",IFERROR(INDEX(coa_CF,MATCH(IF((P2710-Q2710)=1,K2710,I2710),coa_Name,0)),"Operating"))</f>
        <v/>
      </c>
      <c r="S2710" s="95">
        <f>IF((P2710-Q2710)=1,L2710,IF((P2710-Q2710)=-1,-J2710,0))</f>
        <v/>
      </c>
      <c r="T2710" s="95">
        <f>IF((P2710-Q2710)=1,N2710,IF((P2710-Q2710)=-1,-M2710,0))</f>
        <v/>
      </c>
      <c r="U2710" s="101">
        <f>IF(AND(H2710=1,LedAcct&lt;&gt;""),IF(AND(E2710&gt;=LedFrom,E2710&lt;=LedTo,OR(I2710=LedAcct,K2710=LedAcct,AND(LedAcct=acctTax,M2710+N2710&lt;&gt;0))),E2710*10000+B2710,""),"")</f>
        <v/>
      </c>
    </row>
    <row r="2711">
      <c r="B2711" s="101" t="n">
        <v>2705</v>
      </c>
      <c r="C2711" s="58" t="inlineStr">
        <is>
          <t>Bill</t>
        </is>
      </c>
      <c r="D2711" s="58">
        <f>IF(H2711=1,INDEX(ap_No,205)&amp;"","")</f>
        <v/>
      </c>
      <c r="E2711" s="94">
        <f>IF(H2711=1,INDEX(ap_Date,205),"")</f>
        <v/>
      </c>
      <c r="F2711" s="58">
        <f>IF(H2711=1,INDEX(ap_Desc,205)&amp;"","")</f>
        <v/>
      </c>
      <c r="G2711" s="58">
        <f>IF(H2711=1,INDEX(ap_Party,205)&amp;"","")</f>
        <v/>
      </c>
      <c r="H2711" s="101">
        <f>IFERROR(N(INDEX(ap_Posted,205)),0)</f>
        <v/>
      </c>
      <c r="I2711" s="58">
        <f>IF(H2711=1,INDEX(ap_DrAcct,205)&amp;"","")</f>
        <v/>
      </c>
      <c r="J2711" s="95">
        <f>IF(H2711=1,INDEX(ap_DrAmt,205),0)</f>
        <v/>
      </c>
      <c r="K2711" s="58">
        <f>IF(H2711=1,INDEX(ap_CrAcct,205)&amp;"","")</f>
        <v/>
      </c>
      <c r="L2711" s="95">
        <f>IF(H2711=1,INDEX(ap_CrAmt,205),0)</f>
        <v/>
      </c>
      <c r="M2711" s="95">
        <f>IF(H2711=1,INDEX(ap_TaxAmt,205),0)</f>
        <v/>
      </c>
      <c r="N2711" s="95" t="n">
        <v>0</v>
      </c>
      <c r="O2711" s="101">
        <f>IF(H2711=1,IF(E2711&lt;FYStart,0,IF(E2711&gt;FYEnd,13,YEAR(E2711)*12+MONTH(E2711)-FYYM+1)),"")</f>
        <v/>
      </c>
      <c r="P2711" s="101">
        <f>IF(H2711=1,IF(IFERROR(INDEX(coa_CF,MATCH(I2711,coa_Name,0)),"")="Cash",1,0),0)</f>
        <v/>
      </c>
      <c r="Q2711" s="101">
        <f>IF(H2711=1,IF(IFERROR(INDEX(coa_CF,MATCH(K2711,coa_Name,0)),"")="Cash",1,0),0)</f>
        <v/>
      </c>
      <c r="R2711" s="58">
        <f>IF((P2711-Q2711)=0,"",IFERROR(INDEX(coa_CF,MATCH(IF((P2711-Q2711)=1,K2711,I2711),coa_Name,0)),"Operating"))</f>
        <v/>
      </c>
      <c r="S2711" s="95">
        <f>IF((P2711-Q2711)=1,L2711,IF((P2711-Q2711)=-1,-J2711,0))</f>
        <v/>
      </c>
      <c r="T2711" s="95">
        <f>IF((P2711-Q2711)=1,N2711,IF((P2711-Q2711)=-1,-M2711,0))</f>
        <v/>
      </c>
      <c r="U2711" s="101">
        <f>IF(AND(H2711=1,LedAcct&lt;&gt;""),IF(AND(E2711&gt;=LedFrom,E2711&lt;=LedTo,OR(I2711=LedAcct,K2711=LedAcct,AND(LedAcct=acctTax,M2711+N2711&lt;&gt;0))),E2711*10000+B2711,""),"")</f>
        <v/>
      </c>
    </row>
    <row r="2712">
      <c r="B2712" s="101" t="n">
        <v>2706</v>
      </c>
      <c r="C2712" s="58" t="inlineStr">
        <is>
          <t>Bill</t>
        </is>
      </c>
      <c r="D2712" s="58">
        <f>IF(H2712=1,INDEX(ap_No,206)&amp;"","")</f>
        <v/>
      </c>
      <c r="E2712" s="94">
        <f>IF(H2712=1,INDEX(ap_Date,206),"")</f>
        <v/>
      </c>
      <c r="F2712" s="58">
        <f>IF(H2712=1,INDEX(ap_Desc,206)&amp;"","")</f>
        <v/>
      </c>
      <c r="G2712" s="58">
        <f>IF(H2712=1,INDEX(ap_Party,206)&amp;"","")</f>
        <v/>
      </c>
      <c r="H2712" s="101">
        <f>IFERROR(N(INDEX(ap_Posted,206)),0)</f>
        <v/>
      </c>
      <c r="I2712" s="58">
        <f>IF(H2712=1,INDEX(ap_DrAcct,206)&amp;"","")</f>
        <v/>
      </c>
      <c r="J2712" s="95">
        <f>IF(H2712=1,INDEX(ap_DrAmt,206),0)</f>
        <v/>
      </c>
      <c r="K2712" s="58">
        <f>IF(H2712=1,INDEX(ap_CrAcct,206)&amp;"","")</f>
        <v/>
      </c>
      <c r="L2712" s="95">
        <f>IF(H2712=1,INDEX(ap_CrAmt,206),0)</f>
        <v/>
      </c>
      <c r="M2712" s="95">
        <f>IF(H2712=1,INDEX(ap_TaxAmt,206),0)</f>
        <v/>
      </c>
      <c r="N2712" s="95" t="n">
        <v>0</v>
      </c>
      <c r="O2712" s="101">
        <f>IF(H2712=1,IF(E2712&lt;FYStart,0,IF(E2712&gt;FYEnd,13,YEAR(E2712)*12+MONTH(E2712)-FYYM+1)),"")</f>
        <v/>
      </c>
      <c r="P2712" s="101">
        <f>IF(H2712=1,IF(IFERROR(INDEX(coa_CF,MATCH(I2712,coa_Name,0)),"")="Cash",1,0),0)</f>
        <v/>
      </c>
      <c r="Q2712" s="101">
        <f>IF(H2712=1,IF(IFERROR(INDEX(coa_CF,MATCH(K2712,coa_Name,0)),"")="Cash",1,0),0)</f>
        <v/>
      </c>
      <c r="R2712" s="58">
        <f>IF((P2712-Q2712)=0,"",IFERROR(INDEX(coa_CF,MATCH(IF((P2712-Q2712)=1,K2712,I2712),coa_Name,0)),"Operating"))</f>
        <v/>
      </c>
      <c r="S2712" s="95">
        <f>IF((P2712-Q2712)=1,L2712,IF((P2712-Q2712)=-1,-J2712,0))</f>
        <v/>
      </c>
      <c r="T2712" s="95">
        <f>IF((P2712-Q2712)=1,N2712,IF((P2712-Q2712)=-1,-M2712,0))</f>
        <v/>
      </c>
      <c r="U2712" s="101">
        <f>IF(AND(H2712=1,LedAcct&lt;&gt;""),IF(AND(E2712&gt;=LedFrom,E2712&lt;=LedTo,OR(I2712=LedAcct,K2712=LedAcct,AND(LedAcct=acctTax,M2712+N2712&lt;&gt;0))),E2712*10000+B2712,""),"")</f>
        <v/>
      </c>
    </row>
    <row r="2713">
      <c r="B2713" s="101" t="n">
        <v>2707</v>
      </c>
      <c r="C2713" s="58" t="inlineStr">
        <is>
          <t>Bill</t>
        </is>
      </c>
      <c r="D2713" s="58">
        <f>IF(H2713=1,INDEX(ap_No,207)&amp;"","")</f>
        <v/>
      </c>
      <c r="E2713" s="94">
        <f>IF(H2713=1,INDEX(ap_Date,207),"")</f>
        <v/>
      </c>
      <c r="F2713" s="58">
        <f>IF(H2713=1,INDEX(ap_Desc,207)&amp;"","")</f>
        <v/>
      </c>
      <c r="G2713" s="58">
        <f>IF(H2713=1,INDEX(ap_Party,207)&amp;"","")</f>
        <v/>
      </c>
      <c r="H2713" s="101">
        <f>IFERROR(N(INDEX(ap_Posted,207)),0)</f>
        <v/>
      </c>
      <c r="I2713" s="58">
        <f>IF(H2713=1,INDEX(ap_DrAcct,207)&amp;"","")</f>
        <v/>
      </c>
      <c r="J2713" s="95">
        <f>IF(H2713=1,INDEX(ap_DrAmt,207),0)</f>
        <v/>
      </c>
      <c r="K2713" s="58">
        <f>IF(H2713=1,INDEX(ap_CrAcct,207)&amp;"","")</f>
        <v/>
      </c>
      <c r="L2713" s="95">
        <f>IF(H2713=1,INDEX(ap_CrAmt,207),0)</f>
        <v/>
      </c>
      <c r="M2713" s="95">
        <f>IF(H2713=1,INDEX(ap_TaxAmt,207),0)</f>
        <v/>
      </c>
      <c r="N2713" s="95" t="n">
        <v>0</v>
      </c>
      <c r="O2713" s="101">
        <f>IF(H2713=1,IF(E2713&lt;FYStart,0,IF(E2713&gt;FYEnd,13,YEAR(E2713)*12+MONTH(E2713)-FYYM+1)),"")</f>
        <v/>
      </c>
      <c r="P2713" s="101">
        <f>IF(H2713=1,IF(IFERROR(INDEX(coa_CF,MATCH(I2713,coa_Name,0)),"")="Cash",1,0),0)</f>
        <v/>
      </c>
      <c r="Q2713" s="101">
        <f>IF(H2713=1,IF(IFERROR(INDEX(coa_CF,MATCH(K2713,coa_Name,0)),"")="Cash",1,0),0)</f>
        <v/>
      </c>
      <c r="R2713" s="58">
        <f>IF((P2713-Q2713)=0,"",IFERROR(INDEX(coa_CF,MATCH(IF((P2713-Q2713)=1,K2713,I2713),coa_Name,0)),"Operating"))</f>
        <v/>
      </c>
      <c r="S2713" s="95">
        <f>IF((P2713-Q2713)=1,L2713,IF((P2713-Q2713)=-1,-J2713,0))</f>
        <v/>
      </c>
      <c r="T2713" s="95">
        <f>IF((P2713-Q2713)=1,N2713,IF((P2713-Q2713)=-1,-M2713,0))</f>
        <v/>
      </c>
      <c r="U2713" s="101">
        <f>IF(AND(H2713=1,LedAcct&lt;&gt;""),IF(AND(E2713&gt;=LedFrom,E2713&lt;=LedTo,OR(I2713=LedAcct,K2713=LedAcct,AND(LedAcct=acctTax,M2713+N2713&lt;&gt;0))),E2713*10000+B2713,""),"")</f>
        <v/>
      </c>
    </row>
    <row r="2714">
      <c r="B2714" s="101" t="n">
        <v>2708</v>
      </c>
      <c r="C2714" s="58" t="inlineStr">
        <is>
          <t>Bill</t>
        </is>
      </c>
      <c r="D2714" s="58">
        <f>IF(H2714=1,INDEX(ap_No,208)&amp;"","")</f>
        <v/>
      </c>
      <c r="E2714" s="94">
        <f>IF(H2714=1,INDEX(ap_Date,208),"")</f>
        <v/>
      </c>
      <c r="F2714" s="58">
        <f>IF(H2714=1,INDEX(ap_Desc,208)&amp;"","")</f>
        <v/>
      </c>
      <c r="G2714" s="58">
        <f>IF(H2714=1,INDEX(ap_Party,208)&amp;"","")</f>
        <v/>
      </c>
      <c r="H2714" s="101">
        <f>IFERROR(N(INDEX(ap_Posted,208)),0)</f>
        <v/>
      </c>
      <c r="I2714" s="58">
        <f>IF(H2714=1,INDEX(ap_DrAcct,208)&amp;"","")</f>
        <v/>
      </c>
      <c r="J2714" s="95">
        <f>IF(H2714=1,INDEX(ap_DrAmt,208),0)</f>
        <v/>
      </c>
      <c r="K2714" s="58">
        <f>IF(H2714=1,INDEX(ap_CrAcct,208)&amp;"","")</f>
        <v/>
      </c>
      <c r="L2714" s="95">
        <f>IF(H2714=1,INDEX(ap_CrAmt,208),0)</f>
        <v/>
      </c>
      <c r="M2714" s="95">
        <f>IF(H2714=1,INDEX(ap_TaxAmt,208),0)</f>
        <v/>
      </c>
      <c r="N2714" s="95" t="n">
        <v>0</v>
      </c>
      <c r="O2714" s="101">
        <f>IF(H2714=1,IF(E2714&lt;FYStart,0,IF(E2714&gt;FYEnd,13,YEAR(E2714)*12+MONTH(E2714)-FYYM+1)),"")</f>
        <v/>
      </c>
      <c r="P2714" s="101">
        <f>IF(H2714=1,IF(IFERROR(INDEX(coa_CF,MATCH(I2714,coa_Name,0)),"")="Cash",1,0),0)</f>
        <v/>
      </c>
      <c r="Q2714" s="101">
        <f>IF(H2714=1,IF(IFERROR(INDEX(coa_CF,MATCH(K2714,coa_Name,0)),"")="Cash",1,0),0)</f>
        <v/>
      </c>
      <c r="R2714" s="58">
        <f>IF((P2714-Q2714)=0,"",IFERROR(INDEX(coa_CF,MATCH(IF((P2714-Q2714)=1,K2714,I2714),coa_Name,0)),"Operating"))</f>
        <v/>
      </c>
      <c r="S2714" s="95">
        <f>IF((P2714-Q2714)=1,L2714,IF((P2714-Q2714)=-1,-J2714,0))</f>
        <v/>
      </c>
      <c r="T2714" s="95">
        <f>IF((P2714-Q2714)=1,N2714,IF((P2714-Q2714)=-1,-M2714,0))</f>
        <v/>
      </c>
      <c r="U2714" s="101">
        <f>IF(AND(H2714=1,LedAcct&lt;&gt;""),IF(AND(E2714&gt;=LedFrom,E2714&lt;=LedTo,OR(I2714=LedAcct,K2714=LedAcct,AND(LedAcct=acctTax,M2714+N2714&lt;&gt;0))),E2714*10000+B2714,""),"")</f>
        <v/>
      </c>
    </row>
    <row r="2715">
      <c r="B2715" s="101" t="n">
        <v>2709</v>
      </c>
      <c r="C2715" s="58" t="inlineStr">
        <is>
          <t>Bill</t>
        </is>
      </c>
      <c r="D2715" s="58">
        <f>IF(H2715=1,INDEX(ap_No,209)&amp;"","")</f>
        <v/>
      </c>
      <c r="E2715" s="94">
        <f>IF(H2715=1,INDEX(ap_Date,209),"")</f>
        <v/>
      </c>
      <c r="F2715" s="58">
        <f>IF(H2715=1,INDEX(ap_Desc,209)&amp;"","")</f>
        <v/>
      </c>
      <c r="G2715" s="58">
        <f>IF(H2715=1,INDEX(ap_Party,209)&amp;"","")</f>
        <v/>
      </c>
      <c r="H2715" s="101">
        <f>IFERROR(N(INDEX(ap_Posted,209)),0)</f>
        <v/>
      </c>
      <c r="I2715" s="58">
        <f>IF(H2715=1,INDEX(ap_DrAcct,209)&amp;"","")</f>
        <v/>
      </c>
      <c r="J2715" s="95">
        <f>IF(H2715=1,INDEX(ap_DrAmt,209),0)</f>
        <v/>
      </c>
      <c r="K2715" s="58">
        <f>IF(H2715=1,INDEX(ap_CrAcct,209)&amp;"","")</f>
        <v/>
      </c>
      <c r="L2715" s="95">
        <f>IF(H2715=1,INDEX(ap_CrAmt,209),0)</f>
        <v/>
      </c>
      <c r="M2715" s="95">
        <f>IF(H2715=1,INDEX(ap_TaxAmt,209),0)</f>
        <v/>
      </c>
      <c r="N2715" s="95" t="n">
        <v>0</v>
      </c>
      <c r="O2715" s="101">
        <f>IF(H2715=1,IF(E2715&lt;FYStart,0,IF(E2715&gt;FYEnd,13,YEAR(E2715)*12+MONTH(E2715)-FYYM+1)),"")</f>
        <v/>
      </c>
      <c r="P2715" s="101">
        <f>IF(H2715=1,IF(IFERROR(INDEX(coa_CF,MATCH(I2715,coa_Name,0)),"")="Cash",1,0),0)</f>
        <v/>
      </c>
      <c r="Q2715" s="101">
        <f>IF(H2715=1,IF(IFERROR(INDEX(coa_CF,MATCH(K2715,coa_Name,0)),"")="Cash",1,0),0)</f>
        <v/>
      </c>
      <c r="R2715" s="58">
        <f>IF((P2715-Q2715)=0,"",IFERROR(INDEX(coa_CF,MATCH(IF((P2715-Q2715)=1,K2715,I2715),coa_Name,0)),"Operating"))</f>
        <v/>
      </c>
      <c r="S2715" s="95">
        <f>IF((P2715-Q2715)=1,L2715,IF((P2715-Q2715)=-1,-J2715,0))</f>
        <v/>
      </c>
      <c r="T2715" s="95">
        <f>IF((P2715-Q2715)=1,N2715,IF((P2715-Q2715)=-1,-M2715,0))</f>
        <v/>
      </c>
      <c r="U2715" s="101">
        <f>IF(AND(H2715=1,LedAcct&lt;&gt;""),IF(AND(E2715&gt;=LedFrom,E2715&lt;=LedTo,OR(I2715=LedAcct,K2715=LedAcct,AND(LedAcct=acctTax,M2715+N2715&lt;&gt;0))),E2715*10000+B2715,""),"")</f>
        <v/>
      </c>
    </row>
    <row r="2716">
      <c r="B2716" s="101" t="n">
        <v>2710</v>
      </c>
      <c r="C2716" s="58" t="inlineStr">
        <is>
          <t>Bill</t>
        </is>
      </c>
      <c r="D2716" s="58">
        <f>IF(H2716=1,INDEX(ap_No,210)&amp;"","")</f>
        <v/>
      </c>
      <c r="E2716" s="94">
        <f>IF(H2716=1,INDEX(ap_Date,210),"")</f>
        <v/>
      </c>
      <c r="F2716" s="58">
        <f>IF(H2716=1,INDEX(ap_Desc,210)&amp;"","")</f>
        <v/>
      </c>
      <c r="G2716" s="58">
        <f>IF(H2716=1,INDEX(ap_Party,210)&amp;"","")</f>
        <v/>
      </c>
      <c r="H2716" s="101">
        <f>IFERROR(N(INDEX(ap_Posted,210)),0)</f>
        <v/>
      </c>
      <c r="I2716" s="58">
        <f>IF(H2716=1,INDEX(ap_DrAcct,210)&amp;"","")</f>
        <v/>
      </c>
      <c r="J2716" s="95">
        <f>IF(H2716=1,INDEX(ap_DrAmt,210),0)</f>
        <v/>
      </c>
      <c r="K2716" s="58">
        <f>IF(H2716=1,INDEX(ap_CrAcct,210)&amp;"","")</f>
        <v/>
      </c>
      <c r="L2716" s="95">
        <f>IF(H2716=1,INDEX(ap_CrAmt,210),0)</f>
        <v/>
      </c>
      <c r="M2716" s="95">
        <f>IF(H2716=1,INDEX(ap_TaxAmt,210),0)</f>
        <v/>
      </c>
      <c r="N2716" s="95" t="n">
        <v>0</v>
      </c>
      <c r="O2716" s="101">
        <f>IF(H2716=1,IF(E2716&lt;FYStart,0,IF(E2716&gt;FYEnd,13,YEAR(E2716)*12+MONTH(E2716)-FYYM+1)),"")</f>
        <v/>
      </c>
      <c r="P2716" s="101">
        <f>IF(H2716=1,IF(IFERROR(INDEX(coa_CF,MATCH(I2716,coa_Name,0)),"")="Cash",1,0),0)</f>
        <v/>
      </c>
      <c r="Q2716" s="101">
        <f>IF(H2716=1,IF(IFERROR(INDEX(coa_CF,MATCH(K2716,coa_Name,0)),"")="Cash",1,0),0)</f>
        <v/>
      </c>
      <c r="R2716" s="58">
        <f>IF((P2716-Q2716)=0,"",IFERROR(INDEX(coa_CF,MATCH(IF((P2716-Q2716)=1,K2716,I2716),coa_Name,0)),"Operating"))</f>
        <v/>
      </c>
      <c r="S2716" s="95">
        <f>IF((P2716-Q2716)=1,L2716,IF((P2716-Q2716)=-1,-J2716,0))</f>
        <v/>
      </c>
      <c r="T2716" s="95">
        <f>IF((P2716-Q2716)=1,N2716,IF((P2716-Q2716)=-1,-M2716,0))</f>
        <v/>
      </c>
      <c r="U2716" s="101">
        <f>IF(AND(H2716=1,LedAcct&lt;&gt;""),IF(AND(E2716&gt;=LedFrom,E2716&lt;=LedTo,OR(I2716=LedAcct,K2716=LedAcct,AND(LedAcct=acctTax,M2716+N2716&lt;&gt;0))),E2716*10000+B2716,""),"")</f>
        <v/>
      </c>
    </row>
    <row r="2717">
      <c r="B2717" s="101" t="n">
        <v>2711</v>
      </c>
      <c r="C2717" s="58" t="inlineStr">
        <is>
          <t>Bill</t>
        </is>
      </c>
      <c r="D2717" s="58">
        <f>IF(H2717=1,INDEX(ap_No,211)&amp;"","")</f>
        <v/>
      </c>
      <c r="E2717" s="94">
        <f>IF(H2717=1,INDEX(ap_Date,211),"")</f>
        <v/>
      </c>
      <c r="F2717" s="58">
        <f>IF(H2717=1,INDEX(ap_Desc,211)&amp;"","")</f>
        <v/>
      </c>
      <c r="G2717" s="58">
        <f>IF(H2717=1,INDEX(ap_Party,211)&amp;"","")</f>
        <v/>
      </c>
      <c r="H2717" s="101">
        <f>IFERROR(N(INDEX(ap_Posted,211)),0)</f>
        <v/>
      </c>
      <c r="I2717" s="58">
        <f>IF(H2717=1,INDEX(ap_DrAcct,211)&amp;"","")</f>
        <v/>
      </c>
      <c r="J2717" s="95">
        <f>IF(H2717=1,INDEX(ap_DrAmt,211),0)</f>
        <v/>
      </c>
      <c r="K2717" s="58">
        <f>IF(H2717=1,INDEX(ap_CrAcct,211)&amp;"","")</f>
        <v/>
      </c>
      <c r="L2717" s="95">
        <f>IF(H2717=1,INDEX(ap_CrAmt,211),0)</f>
        <v/>
      </c>
      <c r="M2717" s="95">
        <f>IF(H2717=1,INDEX(ap_TaxAmt,211),0)</f>
        <v/>
      </c>
      <c r="N2717" s="95" t="n">
        <v>0</v>
      </c>
      <c r="O2717" s="101">
        <f>IF(H2717=1,IF(E2717&lt;FYStart,0,IF(E2717&gt;FYEnd,13,YEAR(E2717)*12+MONTH(E2717)-FYYM+1)),"")</f>
        <v/>
      </c>
      <c r="P2717" s="101">
        <f>IF(H2717=1,IF(IFERROR(INDEX(coa_CF,MATCH(I2717,coa_Name,0)),"")="Cash",1,0),0)</f>
        <v/>
      </c>
      <c r="Q2717" s="101">
        <f>IF(H2717=1,IF(IFERROR(INDEX(coa_CF,MATCH(K2717,coa_Name,0)),"")="Cash",1,0),0)</f>
        <v/>
      </c>
      <c r="R2717" s="58">
        <f>IF((P2717-Q2717)=0,"",IFERROR(INDEX(coa_CF,MATCH(IF((P2717-Q2717)=1,K2717,I2717),coa_Name,0)),"Operating"))</f>
        <v/>
      </c>
      <c r="S2717" s="95">
        <f>IF((P2717-Q2717)=1,L2717,IF((P2717-Q2717)=-1,-J2717,0))</f>
        <v/>
      </c>
      <c r="T2717" s="95">
        <f>IF((P2717-Q2717)=1,N2717,IF((P2717-Q2717)=-1,-M2717,0))</f>
        <v/>
      </c>
      <c r="U2717" s="101">
        <f>IF(AND(H2717=1,LedAcct&lt;&gt;""),IF(AND(E2717&gt;=LedFrom,E2717&lt;=LedTo,OR(I2717=LedAcct,K2717=LedAcct,AND(LedAcct=acctTax,M2717+N2717&lt;&gt;0))),E2717*10000+B2717,""),"")</f>
        <v/>
      </c>
    </row>
    <row r="2718">
      <c r="B2718" s="101" t="n">
        <v>2712</v>
      </c>
      <c r="C2718" s="58" t="inlineStr">
        <is>
          <t>Bill</t>
        </is>
      </c>
      <c r="D2718" s="58">
        <f>IF(H2718=1,INDEX(ap_No,212)&amp;"","")</f>
        <v/>
      </c>
      <c r="E2718" s="94">
        <f>IF(H2718=1,INDEX(ap_Date,212),"")</f>
        <v/>
      </c>
      <c r="F2718" s="58">
        <f>IF(H2718=1,INDEX(ap_Desc,212)&amp;"","")</f>
        <v/>
      </c>
      <c r="G2718" s="58">
        <f>IF(H2718=1,INDEX(ap_Party,212)&amp;"","")</f>
        <v/>
      </c>
      <c r="H2718" s="101">
        <f>IFERROR(N(INDEX(ap_Posted,212)),0)</f>
        <v/>
      </c>
      <c r="I2718" s="58">
        <f>IF(H2718=1,INDEX(ap_DrAcct,212)&amp;"","")</f>
        <v/>
      </c>
      <c r="J2718" s="95">
        <f>IF(H2718=1,INDEX(ap_DrAmt,212),0)</f>
        <v/>
      </c>
      <c r="K2718" s="58">
        <f>IF(H2718=1,INDEX(ap_CrAcct,212)&amp;"","")</f>
        <v/>
      </c>
      <c r="L2718" s="95">
        <f>IF(H2718=1,INDEX(ap_CrAmt,212),0)</f>
        <v/>
      </c>
      <c r="M2718" s="95">
        <f>IF(H2718=1,INDEX(ap_TaxAmt,212),0)</f>
        <v/>
      </c>
      <c r="N2718" s="95" t="n">
        <v>0</v>
      </c>
      <c r="O2718" s="101">
        <f>IF(H2718=1,IF(E2718&lt;FYStart,0,IF(E2718&gt;FYEnd,13,YEAR(E2718)*12+MONTH(E2718)-FYYM+1)),"")</f>
        <v/>
      </c>
      <c r="P2718" s="101">
        <f>IF(H2718=1,IF(IFERROR(INDEX(coa_CF,MATCH(I2718,coa_Name,0)),"")="Cash",1,0),0)</f>
        <v/>
      </c>
      <c r="Q2718" s="101">
        <f>IF(H2718=1,IF(IFERROR(INDEX(coa_CF,MATCH(K2718,coa_Name,0)),"")="Cash",1,0),0)</f>
        <v/>
      </c>
      <c r="R2718" s="58">
        <f>IF((P2718-Q2718)=0,"",IFERROR(INDEX(coa_CF,MATCH(IF((P2718-Q2718)=1,K2718,I2718),coa_Name,0)),"Operating"))</f>
        <v/>
      </c>
      <c r="S2718" s="95">
        <f>IF((P2718-Q2718)=1,L2718,IF((P2718-Q2718)=-1,-J2718,0))</f>
        <v/>
      </c>
      <c r="T2718" s="95">
        <f>IF((P2718-Q2718)=1,N2718,IF((P2718-Q2718)=-1,-M2718,0))</f>
        <v/>
      </c>
      <c r="U2718" s="101">
        <f>IF(AND(H2718=1,LedAcct&lt;&gt;""),IF(AND(E2718&gt;=LedFrom,E2718&lt;=LedTo,OR(I2718=LedAcct,K2718=LedAcct,AND(LedAcct=acctTax,M2718+N2718&lt;&gt;0))),E2718*10000+B2718,""),"")</f>
        <v/>
      </c>
    </row>
    <row r="2719">
      <c r="B2719" s="101" t="n">
        <v>2713</v>
      </c>
      <c r="C2719" s="58" t="inlineStr">
        <is>
          <t>Bill</t>
        </is>
      </c>
      <c r="D2719" s="58">
        <f>IF(H2719=1,INDEX(ap_No,213)&amp;"","")</f>
        <v/>
      </c>
      <c r="E2719" s="94">
        <f>IF(H2719=1,INDEX(ap_Date,213),"")</f>
        <v/>
      </c>
      <c r="F2719" s="58">
        <f>IF(H2719=1,INDEX(ap_Desc,213)&amp;"","")</f>
        <v/>
      </c>
      <c r="G2719" s="58">
        <f>IF(H2719=1,INDEX(ap_Party,213)&amp;"","")</f>
        <v/>
      </c>
      <c r="H2719" s="101">
        <f>IFERROR(N(INDEX(ap_Posted,213)),0)</f>
        <v/>
      </c>
      <c r="I2719" s="58">
        <f>IF(H2719=1,INDEX(ap_DrAcct,213)&amp;"","")</f>
        <v/>
      </c>
      <c r="J2719" s="95">
        <f>IF(H2719=1,INDEX(ap_DrAmt,213),0)</f>
        <v/>
      </c>
      <c r="K2719" s="58">
        <f>IF(H2719=1,INDEX(ap_CrAcct,213)&amp;"","")</f>
        <v/>
      </c>
      <c r="L2719" s="95">
        <f>IF(H2719=1,INDEX(ap_CrAmt,213),0)</f>
        <v/>
      </c>
      <c r="M2719" s="95">
        <f>IF(H2719=1,INDEX(ap_TaxAmt,213),0)</f>
        <v/>
      </c>
      <c r="N2719" s="95" t="n">
        <v>0</v>
      </c>
      <c r="O2719" s="101">
        <f>IF(H2719=1,IF(E2719&lt;FYStart,0,IF(E2719&gt;FYEnd,13,YEAR(E2719)*12+MONTH(E2719)-FYYM+1)),"")</f>
        <v/>
      </c>
      <c r="P2719" s="101">
        <f>IF(H2719=1,IF(IFERROR(INDEX(coa_CF,MATCH(I2719,coa_Name,0)),"")="Cash",1,0),0)</f>
        <v/>
      </c>
      <c r="Q2719" s="101">
        <f>IF(H2719=1,IF(IFERROR(INDEX(coa_CF,MATCH(K2719,coa_Name,0)),"")="Cash",1,0),0)</f>
        <v/>
      </c>
      <c r="R2719" s="58">
        <f>IF((P2719-Q2719)=0,"",IFERROR(INDEX(coa_CF,MATCH(IF((P2719-Q2719)=1,K2719,I2719),coa_Name,0)),"Operating"))</f>
        <v/>
      </c>
      <c r="S2719" s="95">
        <f>IF((P2719-Q2719)=1,L2719,IF((P2719-Q2719)=-1,-J2719,0))</f>
        <v/>
      </c>
      <c r="T2719" s="95">
        <f>IF((P2719-Q2719)=1,N2719,IF((P2719-Q2719)=-1,-M2719,0))</f>
        <v/>
      </c>
      <c r="U2719" s="101">
        <f>IF(AND(H2719=1,LedAcct&lt;&gt;""),IF(AND(E2719&gt;=LedFrom,E2719&lt;=LedTo,OR(I2719=LedAcct,K2719=LedAcct,AND(LedAcct=acctTax,M2719+N2719&lt;&gt;0))),E2719*10000+B2719,""),"")</f>
        <v/>
      </c>
    </row>
    <row r="2720">
      <c r="B2720" s="101" t="n">
        <v>2714</v>
      </c>
      <c r="C2720" s="58" t="inlineStr">
        <is>
          <t>Bill</t>
        </is>
      </c>
      <c r="D2720" s="58">
        <f>IF(H2720=1,INDEX(ap_No,214)&amp;"","")</f>
        <v/>
      </c>
      <c r="E2720" s="94">
        <f>IF(H2720=1,INDEX(ap_Date,214),"")</f>
        <v/>
      </c>
      <c r="F2720" s="58">
        <f>IF(H2720=1,INDEX(ap_Desc,214)&amp;"","")</f>
        <v/>
      </c>
      <c r="G2720" s="58">
        <f>IF(H2720=1,INDEX(ap_Party,214)&amp;"","")</f>
        <v/>
      </c>
      <c r="H2720" s="101">
        <f>IFERROR(N(INDEX(ap_Posted,214)),0)</f>
        <v/>
      </c>
      <c r="I2720" s="58">
        <f>IF(H2720=1,INDEX(ap_DrAcct,214)&amp;"","")</f>
        <v/>
      </c>
      <c r="J2720" s="95">
        <f>IF(H2720=1,INDEX(ap_DrAmt,214),0)</f>
        <v/>
      </c>
      <c r="K2720" s="58">
        <f>IF(H2720=1,INDEX(ap_CrAcct,214)&amp;"","")</f>
        <v/>
      </c>
      <c r="L2720" s="95">
        <f>IF(H2720=1,INDEX(ap_CrAmt,214),0)</f>
        <v/>
      </c>
      <c r="M2720" s="95">
        <f>IF(H2720=1,INDEX(ap_TaxAmt,214),0)</f>
        <v/>
      </c>
      <c r="N2720" s="95" t="n">
        <v>0</v>
      </c>
      <c r="O2720" s="101">
        <f>IF(H2720=1,IF(E2720&lt;FYStart,0,IF(E2720&gt;FYEnd,13,YEAR(E2720)*12+MONTH(E2720)-FYYM+1)),"")</f>
        <v/>
      </c>
      <c r="P2720" s="101">
        <f>IF(H2720=1,IF(IFERROR(INDEX(coa_CF,MATCH(I2720,coa_Name,0)),"")="Cash",1,0),0)</f>
        <v/>
      </c>
      <c r="Q2720" s="101">
        <f>IF(H2720=1,IF(IFERROR(INDEX(coa_CF,MATCH(K2720,coa_Name,0)),"")="Cash",1,0),0)</f>
        <v/>
      </c>
      <c r="R2720" s="58">
        <f>IF((P2720-Q2720)=0,"",IFERROR(INDEX(coa_CF,MATCH(IF((P2720-Q2720)=1,K2720,I2720),coa_Name,0)),"Operating"))</f>
        <v/>
      </c>
      <c r="S2720" s="95">
        <f>IF((P2720-Q2720)=1,L2720,IF((P2720-Q2720)=-1,-J2720,0))</f>
        <v/>
      </c>
      <c r="T2720" s="95">
        <f>IF((P2720-Q2720)=1,N2720,IF((P2720-Q2720)=-1,-M2720,0))</f>
        <v/>
      </c>
      <c r="U2720" s="101">
        <f>IF(AND(H2720=1,LedAcct&lt;&gt;""),IF(AND(E2720&gt;=LedFrom,E2720&lt;=LedTo,OR(I2720=LedAcct,K2720=LedAcct,AND(LedAcct=acctTax,M2720+N2720&lt;&gt;0))),E2720*10000+B2720,""),"")</f>
        <v/>
      </c>
    </row>
    <row r="2721">
      <c r="B2721" s="101" t="n">
        <v>2715</v>
      </c>
      <c r="C2721" s="58" t="inlineStr">
        <is>
          <t>Bill</t>
        </is>
      </c>
      <c r="D2721" s="58">
        <f>IF(H2721=1,INDEX(ap_No,215)&amp;"","")</f>
        <v/>
      </c>
      <c r="E2721" s="94">
        <f>IF(H2721=1,INDEX(ap_Date,215),"")</f>
        <v/>
      </c>
      <c r="F2721" s="58">
        <f>IF(H2721=1,INDEX(ap_Desc,215)&amp;"","")</f>
        <v/>
      </c>
      <c r="G2721" s="58">
        <f>IF(H2721=1,INDEX(ap_Party,215)&amp;"","")</f>
        <v/>
      </c>
      <c r="H2721" s="101">
        <f>IFERROR(N(INDEX(ap_Posted,215)),0)</f>
        <v/>
      </c>
      <c r="I2721" s="58">
        <f>IF(H2721=1,INDEX(ap_DrAcct,215)&amp;"","")</f>
        <v/>
      </c>
      <c r="J2721" s="95">
        <f>IF(H2721=1,INDEX(ap_DrAmt,215),0)</f>
        <v/>
      </c>
      <c r="K2721" s="58">
        <f>IF(H2721=1,INDEX(ap_CrAcct,215)&amp;"","")</f>
        <v/>
      </c>
      <c r="L2721" s="95">
        <f>IF(H2721=1,INDEX(ap_CrAmt,215),0)</f>
        <v/>
      </c>
      <c r="M2721" s="95">
        <f>IF(H2721=1,INDEX(ap_TaxAmt,215),0)</f>
        <v/>
      </c>
      <c r="N2721" s="95" t="n">
        <v>0</v>
      </c>
      <c r="O2721" s="101">
        <f>IF(H2721=1,IF(E2721&lt;FYStart,0,IF(E2721&gt;FYEnd,13,YEAR(E2721)*12+MONTH(E2721)-FYYM+1)),"")</f>
        <v/>
      </c>
      <c r="P2721" s="101">
        <f>IF(H2721=1,IF(IFERROR(INDEX(coa_CF,MATCH(I2721,coa_Name,0)),"")="Cash",1,0),0)</f>
        <v/>
      </c>
      <c r="Q2721" s="101">
        <f>IF(H2721=1,IF(IFERROR(INDEX(coa_CF,MATCH(K2721,coa_Name,0)),"")="Cash",1,0),0)</f>
        <v/>
      </c>
      <c r="R2721" s="58">
        <f>IF((P2721-Q2721)=0,"",IFERROR(INDEX(coa_CF,MATCH(IF((P2721-Q2721)=1,K2721,I2721),coa_Name,0)),"Operating"))</f>
        <v/>
      </c>
      <c r="S2721" s="95">
        <f>IF((P2721-Q2721)=1,L2721,IF((P2721-Q2721)=-1,-J2721,0))</f>
        <v/>
      </c>
      <c r="T2721" s="95">
        <f>IF((P2721-Q2721)=1,N2721,IF((P2721-Q2721)=-1,-M2721,0))</f>
        <v/>
      </c>
      <c r="U2721" s="101">
        <f>IF(AND(H2721=1,LedAcct&lt;&gt;""),IF(AND(E2721&gt;=LedFrom,E2721&lt;=LedTo,OR(I2721=LedAcct,K2721=LedAcct,AND(LedAcct=acctTax,M2721+N2721&lt;&gt;0))),E2721*10000+B2721,""),"")</f>
        <v/>
      </c>
    </row>
    <row r="2722">
      <c r="B2722" s="101" t="n">
        <v>2716</v>
      </c>
      <c r="C2722" s="58" t="inlineStr">
        <is>
          <t>Bill</t>
        </is>
      </c>
      <c r="D2722" s="58">
        <f>IF(H2722=1,INDEX(ap_No,216)&amp;"","")</f>
        <v/>
      </c>
      <c r="E2722" s="94">
        <f>IF(H2722=1,INDEX(ap_Date,216),"")</f>
        <v/>
      </c>
      <c r="F2722" s="58">
        <f>IF(H2722=1,INDEX(ap_Desc,216)&amp;"","")</f>
        <v/>
      </c>
      <c r="G2722" s="58">
        <f>IF(H2722=1,INDEX(ap_Party,216)&amp;"","")</f>
        <v/>
      </c>
      <c r="H2722" s="101">
        <f>IFERROR(N(INDEX(ap_Posted,216)),0)</f>
        <v/>
      </c>
      <c r="I2722" s="58">
        <f>IF(H2722=1,INDEX(ap_DrAcct,216)&amp;"","")</f>
        <v/>
      </c>
      <c r="J2722" s="95">
        <f>IF(H2722=1,INDEX(ap_DrAmt,216),0)</f>
        <v/>
      </c>
      <c r="K2722" s="58">
        <f>IF(H2722=1,INDEX(ap_CrAcct,216)&amp;"","")</f>
        <v/>
      </c>
      <c r="L2722" s="95">
        <f>IF(H2722=1,INDEX(ap_CrAmt,216),0)</f>
        <v/>
      </c>
      <c r="M2722" s="95">
        <f>IF(H2722=1,INDEX(ap_TaxAmt,216),0)</f>
        <v/>
      </c>
      <c r="N2722" s="95" t="n">
        <v>0</v>
      </c>
      <c r="O2722" s="101">
        <f>IF(H2722=1,IF(E2722&lt;FYStart,0,IF(E2722&gt;FYEnd,13,YEAR(E2722)*12+MONTH(E2722)-FYYM+1)),"")</f>
        <v/>
      </c>
      <c r="P2722" s="101">
        <f>IF(H2722=1,IF(IFERROR(INDEX(coa_CF,MATCH(I2722,coa_Name,0)),"")="Cash",1,0),0)</f>
        <v/>
      </c>
      <c r="Q2722" s="101">
        <f>IF(H2722=1,IF(IFERROR(INDEX(coa_CF,MATCH(K2722,coa_Name,0)),"")="Cash",1,0),0)</f>
        <v/>
      </c>
      <c r="R2722" s="58">
        <f>IF((P2722-Q2722)=0,"",IFERROR(INDEX(coa_CF,MATCH(IF((P2722-Q2722)=1,K2722,I2722),coa_Name,0)),"Operating"))</f>
        <v/>
      </c>
      <c r="S2722" s="95">
        <f>IF((P2722-Q2722)=1,L2722,IF((P2722-Q2722)=-1,-J2722,0))</f>
        <v/>
      </c>
      <c r="T2722" s="95">
        <f>IF((P2722-Q2722)=1,N2722,IF((P2722-Q2722)=-1,-M2722,0))</f>
        <v/>
      </c>
      <c r="U2722" s="101">
        <f>IF(AND(H2722=1,LedAcct&lt;&gt;""),IF(AND(E2722&gt;=LedFrom,E2722&lt;=LedTo,OR(I2722=LedAcct,K2722=LedAcct,AND(LedAcct=acctTax,M2722+N2722&lt;&gt;0))),E2722*10000+B2722,""),"")</f>
        <v/>
      </c>
    </row>
    <row r="2723">
      <c r="B2723" s="101" t="n">
        <v>2717</v>
      </c>
      <c r="C2723" s="58" t="inlineStr">
        <is>
          <t>Bill</t>
        </is>
      </c>
      <c r="D2723" s="58">
        <f>IF(H2723=1,INDEX(ap_No,217)&amp;"","")</f>
        <v/>
      </c>
      <c r="E2723" s="94">
        <f>IF(H2723=1,INDEX(ap_Date,217),"")</f>
        <v/>
      </c>
      <c r="F2723" s="58">
        <f>IF(H2723=1,INDEX(ap_Desc,217)&amp;"","")</f>
        <v/>
      </c>
      <c r="G2723" s="58">
        <f>IF(H2723=1,INDEX(ap_Party,217)&amp;"","")</f>
        <v/>
      </c>
      <c r="H2723" s="101">
        <f>IFERROR(N(INDEX(ap_Posted,217)),0)</f>
        <v/>
      </c>
      <c r="I2723" s="58">
        <f>IF(H2723=1,INDEX(ap_DrAcct,217)&amp;"","")</f>
        <v/>
      </c>
      <c r="J2723" s="95">
        <f>IF(H2723=1,INDEX(ap_DrAmt,217),0)</f>
        <v/>
      </c>
      <c r="K2723" s="58">
        <f>IF(H2723=1,INDEX(ap_CrAcct,217)&amp;"","")</f>
        <v/>
      </c>
      <c r="L2723" s="95">
        <f>IF(H2723=1,INDEX(ap_CrAmt,217),0)</f>
        <v/>
      </c>
      <c r="M2723" s="95">
        <f>IF(H2723=1,INDEX(ap_TaxAmt,217),0)</f>
        <v/>
      </c>
      <c r="N2723" s="95" t="n">
        <v>0</v>
      </c>
      <c r="O2723" s="101">
        <f>IF(H2723=1,IF(E2723&lt;FYStart,0,IF(E2723&gt;FYEnd,13,YEAR(E2723)*12+MONTH(E2723)-FYYM+1)),"")</f>
        <v/>
      </c>
      <c r="P2723" s="101">
        <f>IF(H2723=1,IF(IFERROR(INDEX(coa_CF,MATCH(I2723,coa_Name,0)),"")="Cash",1,0),0)</f>
        <v/>
      </c>
      <c r="Q2723" s="101">
        <f>IF(H2723=1,IF(IFERROR(INDEX(coa_CF,MATCH(K2723,coa_Name,0)),"")="Cash",1,0),0)</f>
        <v/>
      </c>
      <c r="R2723" s="58">
        <f>IF((P2723-Q2723)=0,"",IFERROR(INDEX(coa_CF,MATCH(IF((P2723-Q2723)=1,K2723,I2723),coa_Name,0)),"Operating"))</f>
        <v/>
      </c>
      <c r="S2723" s="95">
        <f>IF((P2723-Q2723)=1,L2723,IF((P2723-Q2723)=-1,-J2723,0))</f>
        <v/>
      </c>
      <c r="T2723" s="95">
        <f>IF((P2723-Q2723)=1,N2723,IF((P2723-Q2723)=-1,-M2723,0))</f>
        <v/>
      </c>
      <c r="U2723" s="101">
        <f>IF(AND(H2723=1,LedAcct&lt;&gt;""),IF(AND(E2723&gt;=LedFrom,E2723&lt;=LedTo,OR(I2723=LedAcct,K2723=LedAcct,AND(LedAcct=acctTax,M2723+N2723&lt;&gt;0))),E2723*10000+B2723,""),"")</f>
        <v/>
      </c>
    </row>
    <row r="2724">
      <c r="B2724" s="101" t="n">
        <v>2718</v>
      </c>
      <c r="C2724" s="58" t="inlineStr">
        <is>
          <t>Bill</t>
        </is>
      </c>
      <c r="D2724" s="58">
        <f>IF(H2724=1,INDEX(ap_No,218)&amp;"","")</f>
        <v/>
      </c>
      <c r="E2724" s="94">
        <f>IF(H2724=1,INDEX(ap_Date,218),"")</f>
        <v/>
      </c>
      <c r="F2724" s="58">
        <f>IF(H2724=1,INDEX(ap_Desc,218)&amp;"","")</f>
        <v/>
      </c>
      <c r="G2724" s="58">
        <f>IF(H2724=1,INDEX(ap_Party,218)&amp;"","")</f>
        <v/>
      </c>
      <c r="H2724" s="101">
        <f>IFERROR(N(INDEX(ap_Posted,218)),0)</f>
        <v/>
      </c>
      <c r="I2724" s="58">
        <f>IF(H2724=1,INDEX(ap_DrAcct,218)&amp;"","")</f>
        <v/>
      </c>
      <c r="J2724" s="95">
        <f>IF(H2724=1,INDEX(ap_DrAmt,218),0)</f>
        <v/>
      </c>
      <c r="K2724" s="58">
        <f>IF(H2724=1,INDEX(ap_CrAcct,218)&amp;"","")</f>
        <v/>
      </c>
      <c r="L2724" s="95">
        <f>IF(H2724=1,INDEX(ap_CrAmt,218),0)</f>
        <v/>
      </c>
      <c r="M2724" s="95">
        <f>IF(H2724=1,INDEX(ap_TaxAmt,218),0)</f>
        <v/>
      </c>
      <c r="N2724" s="95" t="n">
        <v>0</v>
      </c>
      <c r="O2724" s="101">
        <f>IF(H2724=1,IF(E2724&lt;FYStart,0,IF(E2724&gt;FYEnd,13,YEAR(E2724)*12+MONTH(E2724)-FYYM+1)),"")</f>
        <v/>
      </c>
      <c r="P2724" s="101">
        <f>IF(H2724=1,IF(IFERROR(INDEX(coa_CF,MATCH(I2724,coa_Name,0)),"")="Cash",1,0),0)</f>
        <v/>
      </c>
      <c r="Q2724" s="101">
        <f>IF(H2724=1,IF(IFERROR(INDEX(coa_CF,MATCH(K2724,coa_Name,0)),"")="Cash",1,0),0)</f>
        <v/>
      </c>
      <c r="R2724" s="58">
        <f>IF((P2724-Q2724)=0,"",IFERROR(INDEX(coa_CF,MATCH(IF((P2724-Q2724)=1,K2724,I2724),coa_Name,0)),"Operating"))</f>
        <v/>
      </c>
      <c r="S2724" s="95">
        <f>IF((P2724-Q2724)=1,L2724,IF((P2724-Q2724)=-1,-J2724,0))</f>
        <v/>
      </c>
      <c r="T2724" s="95">
        <f>IF((P2724-Q2724)=1,N2724,IF((P2724-Q2724)=-1,-M2724,0))</f>
        <v/>
      </c>
      <c r="U2724" s="101">
        <f>IF(AND(H2724=1,LedAcct&lt;&gt;""),IF(AND(E2724&gt;=LedFrom,E2724&lt;=LedTo,OR(I2724=LedAcct,K2724=LedAcct,AND(LedAcct=acctTax,M2724+N2724&lt;&gt;0))),E2724*10000+B2724,""),"")</f>
        <v/>
      </c>
    </row>
    <row r="2725">
      <c r="B2725" s="101" t="n">
        <v>2719</v>
      </c>
      <c r="C2725" s="58" t="inlineStr">
        <is>
          <t>Bill</t>
        </is>
      </c>
      <c r="D2725" s="58">
        <f>IF(H2725=1,INDEX(ap_No,219)&amp;"","")</f>
        <v/>
      </c>
      <c r="E2725" s="94">
        <f>IF(H2725=1,INDEX(ap_Date,219),"")</f>
        <v/>
      </c>
      <c r="F2725" s="58">
        <f>IF(H2725=1,INDEX(ap_Desc,219)&amp;"","")</f>
        <v/>
      </c>
      <c r="G2725" s="58">
        <f>IF(H2725=1,INDEX(ap_Party,219)&amp;"","")</f>
        <v/>
      </c>
      <c r="H2725" s="101">
        <f>IFERROR(N(INDEX(ap_Posted,219)),0)</f>
        <v/>
      </c>
      <c r="I2725" s="58">
        <f>IF(H2725=1,INDEX(ap_DrAcct,219)&amp;"","")</f>
        <v/>
      </c>
      <c r="J2725" s="95">
        <f>IF(H2725=1,INDEX(ap_DrAmt,219),0)</f>
        <v/>
      </c>
      <c r="K2725" s="58">
        <f>IF(H2725=1,INDEX(ap_CrAcct,219)&amp;"","")</f>
        <v/>
      </c>
      <c r="L2725" s="95">
        <f>IF(H2725=1,INDEX(ap_CrAmt,219),0)</f>
        <v/>
      </c>
      <c r="M2725" s="95">
        <f>IF(H2725=1,INDEX(ap_TaxAmt,219),0)</f>
        <v/>
      </c>
      <c r="N2725" s="95" t="n">
        <v>0</v>
      </c>
      <c r="O2725" s="101">
        <f>IF(H2725=1,IF(E2725&lt;FYStart,0,IF(E2725&gt;FYEnd,13,YEAR(E2725)*12+MONTH(E2725)-FYYM+1)),"")</f>
        <v/>
      </c>
      <c r="P2725" s="101">
        <f>IF(H2725=1,IF(IFERROR(INDEX(coa_CF,MATCH(I2725,coa_Name,0)),"")="Cash",1,0),0)</f>
        <v/>
      </c>
      <c r="Q2725" s="101">
        <f>IF(H2725=1,IF(IFERROR(INDEX(coa_CF,MATCH(K2725,coa_Name,0)),"")="Cash",1,0),0)</f>
        <v/>
      </c>
      <c r="R2725" s="58">
        <f>IF((P2725-Q2725)=0,"",IFERROR(INDEX(coa_CF,MATCH(IF((P2725-Q2725)=1,K2725,I2725),coa_Name,0)),"Operating"))</f>
        <v/>
      </c>
      <c r="S2725" s="95">
        <f>IF((P2725-Q2725)=1,L2725,IF((P2725-Q2725)=-1,-J2725,0))</f>
        <v/>
      </c>
      <c r="T2725" s="95">
        <f>IF((P2725-Q2725)=1,N2725,IF((P2725-Q2725)=-1,-M2725,0))</f>
        <v/>
      </c>
      <c r="U2725" s="101">
        <f>IF(AND(H2725=1,LedAcct&lt;&gt;""),IF(AND(E2725&gt;=LedFrom,E2725&lt;=LedTo,OR(I2725=LedAcct,K2725=LedAcct,AND(LedAcct=acctTax,M2725+N2725&lt;&gt;0))),E2725*10000+B2725,""),"")</f>
        <v/>
      </c>
    </row>
    <row r="2726">
      <c r="B2726" s="101" t="n">
        <v>2720</v>
      </c>
      <c r="C2726" s="58" t="inlineStr">
        <is>
          <t>Bill</t>
        </is>
      </c>
      <c r="D2726" s="58">
        <f>IF(H2726=1,INDEX(ap_No,220)&amp;"","")</f>
        <v/>
      </c>
      <c r="E2726" s="94">
        <f>IF(H2726=1,INDEX(ap_Date,220),"")</f>
        <v/>
      </c>
      <c r="F2726" s="58">
        <f>IF(H2726=1,INDEX(ap_Desc,220)&amp;"","")</f>
        <v/>
      </c>
      <c r="G2726" s="58">
        <f>IF(H2726=1,INDEX(ap_Party,220)&amp;"","")</f>
        <v/>
      </c>
      <c r="H2726" s="101">
        <f>IFERROR(N(INDEX(ap_Posted,220)),0)</f>
        <v/>
      </c>
      <c r="I2726" s="58">
        <f>IF(H2726=1,INDEX(ap_DrAcct,220)&amp;"","")</f>
        <v/>
      </c>
      <c r="J2726" s="95">
        <f>IF(H2726=1,INDEX(ap_DrAmt,220),0)</f>
        <v/>
      </c>
      <c r="K2726" s="58">
        <f>IF(H2726=1,INDEX(ap_CrAcct,220)&amp;"","")</f>
        <v/>
      </c>
      <c r="L2726" s="95">
        <f>IF(H2726=1,INDEX(ap_CrAmt,220),0)</f>
        <v/>
      </c>
      <c r="M2726" s="95">
        <f>IF(H2726=1,INDEX(ap_TaxAmt,220),0)</f>
        <v/>
      </c>
      <c r="N2726" s="95" t="n">
        <v>0</v>
      </c>
      <c r="O2726" s="101">
        <f>IF(H2726=1,IF(E2726&lt;FYStart,0,IF(E2726&gt;FYEnd,13,YEAR(E2726)*12+MONTH(E2726)-FYYM+1)),"")</f>
        <v/>
      </c>
      <c r="P2726" s="101">
        <f>IF(H2726=1,IF(IFERROR(INDEX(coa_CF,MATCH(I2726,coa_Name,0)),"")="Cash",1,0),0)</f>
        <v/>
      </c>
      <c r="Q2726" s="101">
        <f>IF(H2726=1,IF(IFERROR(INDEX(coa_CF,MATCH(K2726,coa_Name,0)),"")="Cash",1,0),0)</f>
        <v/>
      </c>
      <c r="R2726" s="58">
        <f>IF((P2726-Q2726)=0,"",IFERROR(INDEX(coa_CF,MATCH(IF((P2726-Q2726)=1,K2726,I2726),coa_Name,0)),"Operating"))</f>
        <v/>
      </c>
      <c r="S2726" s="95">
        <f>IF((P2726-Q2726)=1,L2726,IF((P2726-Q2726)=-1,-J2726,0))</f>
        <v/>
      </c>
      <c r="T2726" s="95">
        <f>IF((P2726-Q2726)=1,N2726,IF((P2726-Q2726)=-1,-M2726,0))</f>
        <v/>
      </c>
      <c r="U2726" s="101">
        <f>IF(AND(H2726=1,LedAcct&lt;&gt;""),IF(AND(E2726&gt;=LedFrom,E2726&lt;=LedTo,OR(I2726=LedAcct,K2726=LedAcct,AND(LedAcct=acctTax,M2726+N2726&lt;&gt;0))),E2726*10000+B2726,""),"")</f>
        <v/>
      </c>
    </row>
    <row r="2727">
      <c r="B2727" s="101" t="n">
        <v>2721</v>
      </c>
      <c r="C2727" s="58" t="inlineStr">
        <is>
          <t>Bill</t>
        </is>
      </c>
      <c r="D2727" s="58">
        <f>IF(H2727=1,INDEX(ap_No,221)&amp;"","")</f>
        <v/>
      </c>
      <c r="E2727" s="94">
        <f>IF(H2727=1,INDEX(ap_Date,221),"")</f>
        <v/>
      </c>
      <c r="F2727" s="58">
        <f>IF(H2727=1,INDEX(ap_Desc,221)&amp;"","")</f>
        <v/>
      </c>
      <c r="G2727" s="58">
        <f>IF(H2727=1,INDEX(ap_Party,221)&amp;"","")</f>
        <v/>
      </c>
      <c r="H2727" s="101">
        <f>IFERROR(N(INDEX(ap_Posted,221)),0)</f>
        <v/>
      </c>
      <c r="I2727" s="58">
        <f>IF(H2727=1,INDEX(ap_DrAcct,221)&amp;"","")</f>
        <v/>
      </c>
      <c r="J2727" s="95">
        <f>IF(H2727=1,INDEX(ap_DrAmt,221),0)</f>
        <v/>
      </c>
      <c r="K2727" s="58">
        <f>IF(H2727=1,INDEX(ap_CrAcct,221)&amp;"","")</f>
        <v/>
      </c>
      <c r="L2727" s="95">
        <f>IF(H2727=1,INDEX(ap_CrAmt,221),0)</f>
        <v/>
      </c>
      <c r="M2727" s="95">
        <f>IF(H2727=1,INDEX(ap_TaxAmt,221),0)</f>
        <v/>
      </c>
      <c r="N2727" s="95" t="n">
        <v>0</v>
      </c>
      <c r="O2727" s="101">
        <f>IF(H2727=1,IF(E2727&lt;FYStart,0,IF(E2727&gt;FYEnd,13,YEAR(E2727)*12+MONTH(E2727)-FYYM+1)),"")</f>
        <v/>
      </c>
      <c r="P2727" s="101">
        <f>IF(H2727=1,IF(IFERROR(INDEX(coa_CF,MATCH(I2727,coa_Name,0)),"")="Cash",1,0),0)</f>
        <v/>
      </c>
      <c r="Q2727" s="101">
        <f>IF(H2727=1,IF(IFERROR(INDEX(coa_CF,MATCH(K2727,coa_Name,0)),"")="Cash",1,0),0)</f>
        <v/>
      </c>
      <c r="R2727" s="58">
        <f>IF((P2727-Q2727)=0,"",IFERROR(INDEX(coa_CF,MATCH(IF((P2727-Q2727)=1,K2727,I2727),coa_Name,0)),"Operating"))</f>
        <v/>
      </c>
      <c r="S2727" s="95">
        <f>IF((P2727-Q2727)=1,L2727,IF((P2727-Q2727)=-1,-J2727,0))</f>
        <v/>
      </c>
      <c r="T2727" s="95">
        <f>IF((P2727-Q2727)=1,N2727,IF((P2727-Q2727)=-1,-M2727,0))</f>
        <v/>
      </c>
      <c r="U2727" s="101">
        <f>IF(AND(H2727=1,LedAcct&lt;&gt;""),IF(AND(E2727&gt;=LedFrom,E2727&lt;=LedTo,OR(I2727=LedAcct,K2727=LedAcct,AND(LedAcct=acctTax,M2727+N2727&lt;&gt;0))),E2727*10000+B2727,""),"")</f>
        <v/>
      </c>
    </row>
    <row r="2728">
      <c r="B2728" s="101" t="n">
        <v>2722</v>
      </c>
      <c r="C2728" s="58" t="inlineStr">
        <is>
          <t>Bill</t>
        </is>
      </c>
      <c r="D2728" s="58">
        <f>IF(H2728=1,INDEX(ap_No,222)&amp;"","")</f>
        <v/>
      </c>
      <c r="E2728" s="94">
        <f>IF(H2728=1,INDEX(ap_Date,222),"")</f>
        <v/>
      </c>
      <c r="F2728" s="58">
        <f>IF(H2728=1,INDEX(ap_Desc,222)&amp;"","")</f>
        <v/>
      </c>
      <c r="G2728" s="58">
        <f>IF(H2728=1,INDEX(ap_Party,222)&amp;"","")</f>
        <v/>
      </c>
      <c r="H2728" s="101">
        <f>IFERROR(N(INDEX(ap_Posted,222)),0)</f>
        <v/>
      </c>
      <c r="I2728" s="58">
        <f>IF(H2728=1,INDEX(ap_DrAcct,222)&amp;"","")</f>
        <v/>
      </c>
      <c r="J2728" s="95">
        <f>IF(H2728=1,INDEX(ap_DrAmt,222),0)</f>
        <v/>
      </c>
      <c r="K2728" s="58">
        <f>IF(H2728=1,INDEX(ap_CrAcct,222)&amp;"","")</f>
        <v/>
      </c>
      <c r="L2728" s="95">
        <f>IF(H2728=1,INDEX(ap_CrAmt,222),0)</f>
        <v/>
      </c>
      <c r="M2728" s="95">
        <f>IF(H2728=1,INDEX(ap_TaxAmt,222),0)</f>
        <v/>
      </c>
      <c r="N2728" s="95" t="n">
        <v>0</v>
      </c>
      <c r="O2728" s="101">
        <f>IF(H2728=1,IF(E2728&lt;FYStart,0,IF(E2728&gt;FYEnd,13,YEAR(E2728)*12+MONTH(E2728)-FYYM+1)),"")</f>
        <v/>
      </c>
      <c r="P2728" s="101">
        <f>IF(H2728=1,IF(IFERROR(INDEX(coa_CF,MATCH(I2728,coa_Name,0)),"")="Cash",1,0),0)</f>
        <v/>
      </c>
      <c r="Q2728" s="101">
        <f>IF(H2728=1,IF(IFERROR(INDEX(coa_CF,MATCH(K2728,coa_Name,0)),"")="Cash",1,0),0)</f>
        <v/>
      </c>
      <c r="R2728" s="58">
        <f>IF((P2728-Q2728)=0,"",IFERROR(INDEX(coa_CF,MATCH(IF((P2728-Q2728)=1,K2728,I2728),coa_Name,0)),"Operating"))</f>
        <v/>
      </c>
      <c r="S2728" s="95">
        <f>IF((P2728-Q2728)=1,L2728,IF((P2728-Q2728)=-1,-J2728,0))</f>
        <v/>
      </c>
      <c r="T2728" s="95">
        <f>IF((P2728-Q2728)=1,N2728,IF((P2728-Q2728)=-1,-M2728,0))</f>
        <v/>
      </c>
      <c r="U2728" s="101">
        <f>IF(AND(H2728=1,LedAcct&lt;&gt;""),IF(AND(E2728&gt;=LedFrom,E2728&lt;=LedTo,OR(I2728=LedAcct,K2728=LedAcct,AND(LedAcct=acctTax,M2728+N2728&lt;&gt;0))),E2728*10000+B2728,""),"")</f>
        <v/>
      </c>
    </row>
    <row r="2729">
      <c r="B2729" s="101" t="n">
        <v>2723</v>
      </c>
      <c r="C2729" s="58" t="inlineStr">
        <is>
          <t>Bill</t>
        </is>
      </c>
      <c r="D2729" s="58">
        <f>IF(H2729=1,INDEX(ap_No,223)&amp;"","")</f>
        <v/>
      </c>
      <c r="E2729" s="94">
        <f>IF(H2729=1,INDEX(ap_Date,223),"")</f>
        <v/>
      </c>
      <c r="F2729" s="58">
        <f>IF(H2729=1,INDEX(ap_Desc,223)&amp;"","")</f>
        <v/>
      </c>
      <c r="G2729" s="58">
        <f>IF(H2729=1,INDEX(ap_Party,223)&amp;"","")</f>
        <v/>
      </c>
      <c r="H2729" s="101">
        <f>IFERROR(N(INDEX(ap_Posted,223)),0)</f>
        <v/>
      </c>
      <c r="I2729" s="58">
        <f>IF(H2729=1,INDEX(ap_DrAcct,223)&amp;"","")</f>
        <v/>
      </c>
      <c r="J2729" s="95">
        <f>IF(H2729=1,INDEX(ap_DrAmt,223),0)</f>
        <v/>
      </c>
      <c r="K2729" s="58">
        <f>IF(H2729=1,INDEX(ap_CrAcct,223)&amp;"","")</f>
        <v/>
      </c>
      <c r="L2729" s="95">
        <f>IF(H2729=1,INDEX(ap_CrAmt,223),0)</f>
        <v/>
      </c>
      <c r="M2729" s="95">
        <f>IF(H2729=1,INDEX(ap_TaxAmt,223),0)</f>
        <v/>
      </c>
      <c r="N2729" s="95" t="n">
        <v>0</v>
      </c>
      <c r="O2729" s="101">
        <f>IF(H2729=1,IF(E2729&lt;FYStart,0,IF(E2729&gt;FYEnd,13,YEAR(E2729)*12+MONTH(E2729)-FYYM+1)),"")</f>
        <v/>
      </c>
      <c r="P2729" s="101">
        <f>IF(H2729=1,IF(IFERROR(INDEX(coa_CF,MATCH(I2729,coa_Name,0)),"")="Cash",1,0),0)</f>
        <v/>
      </c>
      <c r="Q2729" s="101">
        <f>IF(H2729=1,IF(IFERROR(INDEX(coa_CF,MATCH(K2729,coa_Name,0)),"")="Cash",1,0),0)</f>
        <v/>
      </c>
      <c r="R2729" s="58">
        <f>IF((P2729-Q2729)=0,"",IFERROR(INDEX(coa_CF,MATCH(IF((P2729-Q2729)=1,K2729,I2729),coa_Name,0)),"Operating"))</f>
        <v/>
      </c>
      <c r="S2729" s="95">
        <f>IF((P2729-Q2729)=1,L2729,IF((P2729-Q2729)=-1,-J2729,0))</f>
        <v/>
      </c>
      <c r="T2729" s="95">
        <f>IF((P2729-Q2729)=1,N2729,IF((P2729-Q2729)=-1,-M2729,0))</f>
        <v/>
      </c>
      <c r="U2729" s="101">
        <f>IF(AND(H2729=1,LedAcct&lt;&gt;""),IF(AND(E2729&gt;=LedFrom,E2729&lt;=LedTo,OR(I2729=LedAcct,K2729=LedAcct,AND(LedAcct=acctTax,M2729+N2729&lt;&gt;0))),E2729*10000+B2729,""),"")</f>
        <v/>
      </c>
    </row>
    <row r="2730">
      <c r="B2730" s="101" t="n">
        <v>2724</v>
      </c>
      <c r="C2730" s="58" t="inlineStr">
        <is>
          <t>Bill</t>
        </is>
      </c>
      <c r="D2730" s="58">
        <f>IF(H2730=1,INDEX(ap_No,224)&amp;"","")</f>
        <v/>
      </c>
      <c r="E2730" s="94">
        <f>IF(H2730=1,INDEX(ap_Date,224),"")</f>
        <v/>
      </c>
      <c r="F2730" s="58">
        <f>IF(H2730=1,INDEX(ap_Desc,224)&amp;"","")</f>
        <v/>
      </c>
      <c r="G2730" s="58">
        <f>IF(H2730=1,INDEX(ap_Party,224)&amp;"","")</f>
        <v/>
      </c>
      <c r="H2730" s="101">
        <f>IFERROR(N(INDEX(ap_Posted,224)),0)</f>
        <v/>
      </c>
      <c r="I2730" s="58">
        <f>IF(H2730=1,INDEX(ap_DrAcct,224)&amp;"","")</f>
        <v/>
      </c>
      <c r="J2730" s="95">
        <f>IF(H2730=1,INDEX(ap_DrAmt,224),0)</f>
        <v/>
      </c>
      <c r="K2730" s="58">
        <f>IF(H2730=1,INDEX(ap_CrAcct,224)&amp;"","")</f>
        <v/>
      </c>
      <c r="L2730" s="95">
        <f>IF(H2730=1,INDEX(ap_CrAmt,224),0)</f>
        <v/>
      </c>
      <c r="M2730" s="95">
        <f>IF(H2730=1,INDEX(ap_TaxAmt,224),0)</f>
        <v/>
      </c>
      <c r="N2730" s="95" t="n">
        <v>0</v>
      </c>
      <c r="O2730" s="101">
        <f>IF(H2730=1,IF(E2730&lt;FYStart,0,IF(E2730&gt;FYEnd,13,YEAR(E2730)*12+MONTH(E2730)-FYYM+1)),"")</f>
        <v/>
      </c>
      <c r="P2730" s="101">
        <f>IF(H2730=1,IF(IFERROR(INDEX(coa_CF,MATCH(I2730,coa_Name,0)),"")="Cash",1,0),0)</f>
        <v/>
      </c>
      <c r="Q2730" s="101">
        <f>IF(H2730=1,IF(IFERROR(INDEX(coa_CF,MATCH(K2730,coa_Name,0)),"")="Cash",1,0),0)</f>
        <v/>
      </c>
      <c r="R2730" s="58">
        <f>IF((P2730-Q2730)=0,"",IFERROR(INDEX(coa_CF,MATCH(IF((P2730-Q2730)=1,K2730,I2730),coa_Name,0)),"Operating"))</f>
        <v/>
      </c>
      <c r="S2730" s="95">
        <f>IF((P2730-Q2730)=1,L2730,IF((P2730-Q2730)=-1,-J2730,0))</f>
        <v/>
      </c>
      <c r="T2730" s="95">
        <f>IF((P2730-Q2730)=1,N2730,IF((P2730-Q2730)=-1,-M2730,0))</f>
        <v/>
      </c>
      <c r="U2730" s="101">
        <f>IF(AND(H2730=1,LedAcct&lt;&gt;""),IF(AND(E2730&gt;=LedFrom,E2730&lt;=LedTo,OR(I2730=LedAcct,K2730=LedAcct,AND(LedAcct=acctTax,M2730+N2730&lt;&gt;0))),E2730*10000+B2730,""),"")</f>
        <v/>
      </c>
    </row>
    <row r="2731">
      <c r="B2731" s="101" t="n">
        <v>2725</v>
      </c>
      <c r="C2731" s="58" t="inlineStr">
        <is>
          <t>Bill</t>
        </is>
      </c>
      <c r="D2731" s="58">
        <f>IF(H2731=1,INDEX(ap_No,225)&amp;"","")</f>
        <v/>
      </c>
      <c r="E2731" s="94">
        <f>IF(H2731=1,INDEX(ap_Date,225),"")</f>
        <v/>
      </c>
      <c r="F2731" s="58">
        <f>IF(H2731=1,INDEX(ap_Desc,225)&amp;"","")</f>
        <v/>
      </c>
      <c r="G2731" s="58">
        <f>IF(H2731=1,INDEX(ap_Party,225)&amp;"","")</f>
        <v/>
      </c>
      <c r="H2731" s="101">
        <f>IFERROR(N(INDEX(ap_Posted,225)),0)</f>
        <v/>
      </c>
      <c r="I2731" s="58">
        <f>IF(H2731=1,INDEX(ap_DrAcct,225)&amp;"","")</f>
        <v/>
      </c>
      <c r="J2731" s="95">
        <f>IF(H2731=1,INDEX(ap_DrAmt,225),0)</f>
        <v/>
      </c>
      <c r="K2731" s="58">
        <f>IF(H2731=1,INDEX(ap_CrAcct,225)&amp;"","")</f>
        <v/>
      </c>
      <c r="L2731" s="95">
        <f>IF(H2731=1,INDEX(ap_CrAmt,225),0)</f>
        <v/>
      </c>
      <c r="M2731" s="95">
        <f>IF(H2731=1,INDEX(ap_TaxAmt,225),0)</f>
        <v/>
      </c>
      <c r="N2731" s="95" t="n">
        <v>0</v>
      </c>
      <c r="O2731" s="101">
        <f>IF(H2731=1,IF(E2731&lt;FYStart,0,IF(E2731&gt;FYEnd,13,YEAR(E2731)*12+MONTH(E2731)-FYYM+1)),"")</f>
        <v/>
      </c>
      <c r="P2731" s="101">
        <f>IF(H2731=1,IF(IFERROR(INDEX(coa_CF,MATCH(I2731,coa_Name,0)),"")="Cash",1,0),0)</f>
        <v/>
      </c>
      <c r="Q2731" s="101">
        <f>IF(H2731=1,IF(IFERROR(INDEX(coa_CF,MATCH(K2731,coa_Name,0)),"")="Cash",1,0),0)</f>
        <v/>
      </c>
      <c r="R2731" s="58">
        <f>IF((P2731-Q2731)=0,"",IFERROR(INDEX(coa_CF,MATCH(IF((P2731-Q2731)=1,K2731,I2731),coa_Name,0)),"Operating"))</f>
        <v/>
      </c>
      <c r="S2731" s="95">
        <f>IF((P2731-Q2731)=1,L2731,IF((P2731-Q2731)=-1,-J2731,0))</f>
        <v/>
      </c>
      <c r="T2731" s="95">
        <f>IF((P2731-Q2731)=1,N2731,IF((P2731-Q2731)=-1,-M2731,0))</f>
        <v/>
      </c>
      <c r="U2731" s="101">
        <f>IF(AND(H2731=1,LedAcct&lt;&gt;""),IF(AND(E2731&gt;=LedFrom,E2731&lt;=LedTo,OR(I2731=LedAcct,K2731=LedAcct,AND(LedAcct=acctTax,M2731+N2731&lt;&gt;0))),E2731*10000+B2731,""),"")</f>
        <v/>
      </c>
    </row>
    <row r="2732">
      <c r="B2732" s="101" t="n">
        <v>2726</v>
      </c>
      <c r="C2732" s="58" t="inlineStr">
        <is>
          <t>Bill</t>
        </is>
      </c>
      <c r="D2732" s="58">
        <f>IF(H2732=1,INDEX(ap_No,226)&amp;"","")</f>
        <v/>
      </c>
      <c r="E2732" s="94">
        <f>IF(H2732=1,INDEX(ap_Date,226),"")</f>
        <v/>
      </c>
      <c r="F2732" s="58">
        <f>IF(H2732=1,INDEX(ap_Desc,226)&amp;"","")</f>
        <v/>
      </c>
      <c r="G2732" s="58">
        <f>IF(H2732=1,INDEX(ap_Party,226)&amp;"","")</f>
        <v/>
      </c>
      <c r="H2732" s="101">
        <f>IFERROR(N(INDEX(ap_Posted,226)),0)</f>
        <v/>
      </c>
      <c r="I2732" s="58">
        <f>IF(H2732=1,INDEX(ap_DrAcct,226)&amp;"","")</f>
        <v/>
      </c>
      <c r="J2732" s="95">
        <f>IF(H2732=1,INDEX(ap_DrAmt,226),0)</f>
        <v/>
      </c>
      <c r="K2732" s="58">
        <f>IF(H2732=1,INDEX(ap_CrAcct,226)&amp;"","")</f>
        <v/>
      </c>
      <c r="L2732" s="95">
        <f>IF(H2732=1,INDEX(ap_CrAmt,226),0)</f>
        <v/>
      </c>
      <c r="M2732" s="95">
        <f>IF(H2732=1,INDEX(ap_TaxAmt,226),0)</f>
        <v/>
      </c>
      <c r="N2732" s="95" t="n">
        <v>0</v>
      </c>
      <c r="O2732" s="101">
        <f>IF(H2732=1,IF(E2732&lt;FYStart,0,IF(E2732&gt;FYEnd,13,YEAR(E2732)*12+MONTH(E2732)-FYYM+1)),"")</f>
        <v/>
      </c>
      <c r="P2732" s="101">
        <f>IF(H2732=1,IF(IFERROR(INDEX(coa_CF,MATCH(I2732,coa_Name,0)),"")="Cash",1,0),0)</f>
        <v/>
      </c>
      <c r="Q2732" s="101">
        <f>IF(H2732=1,IF(IFERROR(INDEX(coa_CF,MATCH(K2732,coa_Name,0)),"")="Cash",1,0),0)</f>
        <v/>
      </c>
      <c r="R2732" s="58">
        <f>IF((P2732-Q2732)=0,"",IFERROR(INDEX(coa_CF,MATCH(IF((P2732-Q2732)=1,K2732,I2732),coa_Name,0)),"Operating"))</f>
        <v/>
      </c>
      <c r="S2732" s="95">
        <f>IF((P2732-Q2732)=1,L2732,IF((P2732-Q2732)=-1,-J2732,0))</f>
        <v/>
      </c>
      <c r="T2732" s="95">
        <f>IF((P2732-Q2732)=1,N2732,IF((P2732-Q2732)=-1,-M2732,0))</f>
        <v/>
      </c>
      <c r="U2732" s="101">
        <f>IF(AND(H2732=1,LedAcct&lt;&gt;""),IF(AND(E2732&gt;=LedFrom,E2732&lt;=LedTo,OR(I2732=LedAcct,K2732=LedAcct,AND(LedAcct=acctTax,M2732+N2732&lt;&gt;0))),E2732*10000+B2732,""),"")</f>
        <v/>
      </c>
    </row>
    <row r="2733">
      <c r="B2733" s="101" t="n">
        <v>2727</v>
      </c>
      <c r="C2733" s="58" t="inlineStr">
        <is>
          <t>Bill</t>
        </is>
      </c>
      <c r="D2733" s="58">
        <f>IF(H2733=1,INDEX(ap_No,227)&amp;"","")</f>
        <v/>
      </c>
      <c r="E2733" s="94">
        <f>IF(H2733=1,INDEX(ap_Date,227),"")</f>
        <v/>
      </c>
      <c r="F2733" s="58">
        <f>IF(H2733=1,INDEX(ap_Desc,227)&amp;"","")</f>
        <v/>
      </c>
      <c r="G2733" s="58">
        <f>IF(H2733=1,INDEX(ap_Party,227)&amp;"","")</f>
        <v/>
      </c>
      <c r="H2733" s="101">
        <f>IFERROR(N(INDEX(ap_Posted,227)),0)</f>
        <v/>
      </c>
      <c r="I2733" s="58">
        <f>IF(H2733=1,INDEX(ap_DrAcct,227)&amp;"","")</f>
        <v/>
      </c>
      <c r="J2733" s="95">
        <f>IF(H2733=1,INDEX(ap_DrAmt,227),0)</f>
        <v/>
      </c>
      <c r="K2733" s="58">
        <f>IF(H2733=1,INDEX(ap_CrAcct,227)&amp;"","")</f>
        <v/>
      </c>
      <c r="L2733" s="95">
        <f>IF(H2733=1,INDEX(ap_CrAmt,227),0)</f>
        <v/>
      </c>
      <c r="M2733" s="95">
        <f>IF(H2733=1,INDEX(ap_TaxAmt,227),0)</f>
        <v/>
      </c>
      <c r="N2733" s="95" t="n">
        <v>0</v>
      </c>
      <c r="O2733" s="101">
        <f>IF(H2733=1,IF(E2733&lt;FYStart,0,IF(E2733&gt;FYEnd,13,YEAR(E2733)*12+MONTH(E2733)-FYYM+1)),"")</f>
        <v/>
      </c>
      <c r="P2733" s="101">
        <f>IF(H2733=1,IF(IFERROR(INDEX(coa_CF,MATCH(I2733,coa_Name,0)),"")="Cash",1,0),0)</f>
        <v/>
      </c>
      <c r="Q2733" s="101">
        <f>IF(H2733=1,IF(IFERROR(INDEX(coa_CF,MATCH(K2733,coa_Name,0)),"")="Cash",1,0),0)</f>
        <v/>
      </c>
      <c r="R2733" s="58">
        <f>IF((P2733-Q2733)=0,"",IFERROR(INDEX(coa_CF,MATCH(IF((P2733-Q2733)=1,K2733,I2733),coa_Name,0)),"Operating"))</f>
        <v/>
      </c>
      <c r="S2733" s="95">
        <f>IF((P2733-Q2733)=1,L2733,IF((P2733-Q2733)=-1,-J2733,0))</f>
        <v/>
      </c>
      <c r="T2733" s="95">
        <f>IF((P2733-Q2733)=1,N2733,IF((P2733-Q2733)=-1,-M2733,0))</f>
        <v/>
      </c>
      <c r="U2733" s="101">
        <f>IF(AND(H2733=1,LedAcct&lt;&gt;""),IF(AND(E2733&gt;=LedFrom,E2733&lt;=LedTo,OR(I2733=LedAcct,K2733=LedAcct,AND(LedAcct=acctTax,M2733+N2733&lt;&gt;0))),E2733*10000+B2733,""),"")</f>
        <v/>
      </c>
    </row>
    <row r="2734">
      <c r="B2734" s="101" t="n">
        <v>2728</v>
      </c>
      <c r="C2734" s="58" t="inlineStr">
        <is>
          <t>Bill</t>
        </is>
      </c>
      <c r="D2734" s="58">
        <f>IF(H2734=1,INDEX(ap_No,228)&amp;"","")</f>
        <v/>
      </c>
      <c r="E2734" s="94">
        <f>IF(H2734=1,INDEX(ap_Date,228),"")</f>
        <v/>
      </c>
      <c r="F2734" s="58">
        <f>IF(H2734=1,INDEX(ap_Desc,228)&amp;"","")</f>
        <v/>
      </c>
      <c r="G2734" s="58">
        <f>IF(H2734=1,INDEX(ap_Party,228)&amp;"","")</f>
        <v/>
      </c>
      <c r="H2734" s="101">
        <f>IFERROR(N(INDEX(ap_Posted,228)),0)</f>
        <v/>
      </c>
      <c r="I2734" s="58">
        <f>IF(H2734=1,INDEX(ap_DrAcct,228)&amp;"","")</f>
        <v/>
      </c>
      <c r="J2734" s="95">
        <f>IF(H2734=1,INDEX(ap_DrAmt,228),0)</f>
        <v/>
      </c>
      <c r="K2734" s="58">
        <f>IF(H2734=1,INDEX(ap_CrAcct,228)&amp;"","")</f>
        <v/>
      </c>
      <c r="L2734" s="95">
        <f>IF(H2734=1,INDEX(ap_CrAmt,228),0)</f>
        <v/>
      </c>
      <c r="M2734" s="95">
        <f>IF(H2734=1,INDEX(ap_TaxAmt,228),0)</f>
        <v/>
      </c>
      <c r="N2734" s="95" t="n">
        <v>0</v>
      </c>
      <c r="O2734" s="101">
        <f>IF(H2734=1,IF(E2734&lt;FYStart,0,IF(E2734&gt;FYEnd,13,YEAR(E2734)*12+MONTH(E2734)-FYYM+1)),"")</f>
        <v/>
      </c>
      <c r="P2734" s="101">
        <f>IF(H2734=1,IF(IFERROR(INDEX(coa_CF,MATCH(I2734,coa_Name,0)),"")="Cash",1,0),0)</f>
        <v/>
      </c>
      <c r="Q2734" s="101">
        <f>IF(H2734=1,IF(IFERROR(INDEX(coa_CF,MATCH(K2734,coa_Name,0)),"")="Cash",1,0),0)</f>
        <v/>
      </c>
      <c r="R2734" s="58">
        <f>IF((P2734-Q2734)=0,"",IFERROR(INDEX(coa_CF,MATCH(IF((P2734-Q2734)=1,K2734,I2734),coa_Name,0)),"Operating"))</f>
        <v/>
      </c>
      <c r="S2734" s="95">
        <f>IF((P2734-Q2734)=1,L2734,IF((P2734-Q2734)=-1,-J2734,0))</f>
        <v/>
      </c>
      <c r="T2734" s="95">
        <f>IF((P2734-Q2734)=1,N2734,IF((P2734-Q2734)=-1,-M2734,0))</f>
        <v/>
      </c>
      <c r="U2734" s="101">
        <f>IF(AND(H2734=1,LedAcct&lt;&gt;""),IF(AND(E2734&gt;=LedFrom,E2734&lt;=LedTo,OR(I2734=LedAcct,K2734=LedAcct,AND(LedAcct=acctTax,M2734+N2734&lt;&gt;0))),E2734*10000+B2734,""),"")</f>
        <v/>
      </c>
    </row>
    <row r="2735">
      <c r="B2735" s="101" t="n">
        <v>2729</v>
      </c>
      <c r="C2735" s="58" t="inlineStr">
        <is>
          <t>Bill</t>
        </is>
      </c>
      <c r="D2735" s="58">
        <f>IF(H2735=1,INDEX(ap_No,229)&amp;"","")</f>
        <v/>
      </c>
      <c r="E2735" s="94">
        <f>IF(H2735=1,INDEX(ap_Date,229),"")</f>
        <v/>
      </c>
      <c r="F2735" s="58">
        <f>IF(H2735=1,INDEX(ap_Desc,229)&amp;"","")</f>
        <v/>
      </c>
      <c r="G2735" s="58">
        <f>IF(H2735=1,INDEX(ap_Party,229)&amp;"","")</f>
        <v/>
      </c>
      <c r="H2735" s="101">
        <f>IFERROR(N(INDEX(ap_Posted,229)),0)</f>
        <v/>
      </c>
      <c r="I2735" s="58">
        <f>IF(H2735=1,INDEX(ap_DrAcct,229)&amp;"","")</f>
        <v/>
      </c>
      <c r="J2735" s="95">
        <f>IF(H2735=1,INDEX(ap_DrAmt,229),0)</f>
        <v/>
      </c>
      <c r="K2735" s="58">
        <f>IF(H2735=1,INDEX(ap_CrAcct,229)&amp;"","")</f>
        <v/>
      </c>
      <c r="L2735" s="95">
        <f>IF(H2735=1,INDEX(ap_CrAmt,229),0)</f>
        <v/>
      </c>
      <c r="M2735" s="95">
        <f>IF(H2735=1,INDEX(ap_TaxAmt,229),0)</f>
        <v/>
      </c>
      <c r="N2735" s="95" t="n">
        <v>0</v>
      </c>
      <c r="O2735" s="101">
        <f>IF(H2735=1,IF(E2735&lt;FYStart,0,IF(E2735&gt;FYEnd,13,YEAR(E2735)*12+MONTH(E2735)-FYYM+1)),"")</f>
        <v/>
      </c>
      <c r="P2735" s="101">
        <f>IF(H2735=1,IF(IFERROR(INDEX(coa_CF,MATCH(I2735,coa_Name,0)),"")="Cash",1,0),0)</f>
        <v/>
      </c>
      <c r="Q2735" s="101">
        <f>IF(H2735=1,IF(IFERROR(INDEX(coa_CF,MATCH(K2735,coa_Name,0)),"")="Cash",1,0),0)</f>
        <v/>
      </c>
      <c r="R2735" s="58">
        <f>IF((P2735-Q2735)=0,"",IFERROR(INDEX(coa_CF,MATCH(IF((P2735-Q2735)=1,K2735,I2735),coa_Name,0)),"Operating"))</f>
        <v/>
      </c>
      <c r="S2735" s="95">
        <f>IF((P2735-Q2735)=1,L2735,IF((P2735-Q2735)=-1,-J2735,0))</f>
        <v/>
      </c>
      <c r="T2735" s="95">
        <f>IF((P2735-Q2735)=1,N2735,IF((P2735-Q2735)=-1,-M2735,0))</f>
        <v/>
      </c>
      <c r="U2735" s="101">
        <f>IF(AND(H2735=1,LedAcct&lt;&gt;""),IF(AND(E2735&gt;=LedFrom,E2735&lt;=LedTo,OR(I2735=LedAcct,K2735=LedAcct,AND(LedAcct=acctTax,M2735+N2735&lt;&gt;0))),E2735*10000+B2735,""),"")</f>
        <v/>
      </c>
    </row>
    <row r="2736">
      <c r="B2736" s="101" t="n">
        <v>2730</v>
      </c>
      <c r="C2736" s="58" t="inlineStr">
        <is>
          <t>Bill</t>
        </is>
      </c>
      <c r="D2736" s="58">
        <f>IF(H2736=1,INDEX(ap_No,230)&amp;"","")</f>
        <v/>
      </c>
      <c r="E2736" s="94">
        <f>IF(H2736=1,INDEX(ap_Date,230),"")</f>
        <v/>
      </c>
      <c r="F2736" s="58">
        <f>IF(H2736=1,INDEX(ap_Desc,230)&amp;"","")</f>
        <v/>
      </c>
      <c r="G2736" s="58">
        <f>IF(H2736=1,INDEX(ap_Party,230)&amp;"","")</f>
        <v/>
      </c>
      <c r="H2736" s="101">
        <f>IFERROR(N(INDEX(ap_Posted,230)),0)</f>
        <v/>
      </c>
      <c r="I2736" s="58">
        <f>IF(H2736=1,INDEX(ap_DrAcct,230)&amp;"","")</f>
        <v/>
      </c>
      <c r="J2736" s="95">
        <f>IF(H2736=1,INDEX(ap_DrAmt,230),0)</f>
        <v/>
      </c>
      <c r="K2736" s="58">
        <f>IF(H2736=1,INDEX(ap_CrAcct,230)&amp;"","")</f>
        <v/>
      </c>
      <c r="L2736" s="95">
        <f>IF(H2736=1,INDEX(ap_CrAmt,230),0)</f>
        <v/>
      </c>
      <c r="M2736" s="95">
        <f>IF(H2736=1,INDEX(ap_TaxAmt,230),0)</f>
        <v/>
      </c>
      <c r="N2736" s="95" t="n">
        <v>0</v>
      </c>
      <c r="O2736" s="101">
        <f>IF(H2736=1,IF(E2736&lt;FYStart,0,IF(E2736&gt;FYEnd,13,YEAR(E2736)*12+MONTH(E2736)-FYYM+1)),"")</f>
        <v/>
      </c>
      <c r="P2736" s="101">
        <f>IF(H2736=1,IF(IFERROR(INDEX(coa_CF,MATCH(I2736,coa_Name,0)),"")="Cash",1,0),0)</f>
        <v/>
      </c>
      <c r="Q2736" s="101">
        <f>IF(H2736=1,IF(IFERROR(INDEX(coa_CF,MATCH(K2736,coa_Name,0)),"")="Cash",1,0),0)</f>
        <v/>
      </c>
      <c r="R2736" s="58">
        <f>IF((P2736-Q2736)=0,"",IFERROR(INDEX(coa_CF,MATCH(IF((P2736-Q2736)=1,K2736,I2736),coa_Name,0)),"Operating"))</f>
        <v/>
      </c>
      <c r="S2736" s="95">
        <f>IF((P2736-Q2736)=1,L2736,IF((P2736-Q2736)=-1,-J2736,0))</f>
        <v/>
      </c>
      <c r="T2736" s="95">
        <f>IF((P2736-Q2736)=1,N2736,IF((P2736-Q2736)=-1,-M2736,0))</f>
        <v/>
      </c>
      <c r="U2736" s="101">
        <f>IF(AND(H2736=1,LedAcct&lt;&gt;""),IF(AND(E2736&gt;=LedFrom,E2736&lt;=LedTo,OR(I2736=LedAcct,K2736=LedAcct,AND(LedAcct=acctTax,M2736+N2736&lt;&gt;0))),E2736*10000+B2736,""),"")</f>
        <v/>
      </c>
    </row>
    <row r="2737">
      <c r="B2737" s="101" t="n">
        <v>2731</v>
      </c>
      <c r="C2737" s="58" t="inlineStr">
        <is>
          <t>Bill</t>
        </is>
      </c>
      <c r="D2737" s="58">
        <f>IF(H2737=1,INDEX(ap_No,231)&amp;"","")</f>
        <v/>
      </c>
      <c r="E2737" s="94">
        <f>IF(H2737=1,INDEX(ap_Date,231),"")</f>
        <v/>
      </c>
      <c r="F2737" s="58">
        <f>IF(H2737=1,INDEX(ap_Desc,231)&amp;"","")</f>
        <v/>
      </c>
      <c r="G2737" s="58">
        <f>IF(H2737=1,INDEX(ap_Party,231)&amp;"","")</f>
        <v/>
      </c>
      <c r="H2737" s="101">
        <f>IFERROR(N(INDEX(ap_Posted,231)),0)</f>
        <v/>
      </c>
      <c r="I2737" s="58">
        <f>IF(H2737=1,INDEX(ap_DrAcct,231)&amp;"","")</f>
        <v/>
      </c>
      <c r="J2737" s="95">
        <f>IF(H2737=1,INDEX(ap_DrAmt,231),0)</f>
        <v/>
      </c>
      <c r="K2737" s="58">
        <f>IF(H2737=1,INDEX(ap_CrAcct,231)&amp;"","")</f>
        <v/>
      </c>
      <c r="L2737" s="95">
        <f>IF(H2737=1,INDEX(ap_CrAmt,231),0)</f>
        <v/>
      </c>
      <c r="M2737" s="95">
        <f>IF(H2737=1,INDEX(ap_TaxAmt,231),0)</f>
        <v/>
      </c>
      <c r="N2737" s="95" t="n">
        <v>0</v>
      </c>
      <c r="O2737" s="101">
        <f>IF(H2737=1,IF(E2737&lt;FYStart,0,IF(E2737&gt;FYEnd,13,YEAR(E2737)*12+MONTH(E2737)-FYYM+1)),"")</f>
        <v/>
      </c>
      <c r="P2737" s="101">
        <f>IF(H2737=1,IF(IFERROR(INDEX(coa_CF,MATCH(I2737,coa_Name,0)),"")="Cash",1,0),0)</f>
        <v/>
      </c>
      <c r="Q2737" s="101">
        <f>IF(H2737=1,IF(IFERROR(INDEX(coa_CF,MATCH(K2737,coa_Name,0)),"")="Cash",1,0),0)</f>
        <v/>
      </c>
      <c r="R2737" s="58">
        <f>IF((P2737-Q2737)=0,"",IFERROR(INDEX(coa_CF,MATCH(IF((P2737-Q2737)=1,K2737,I2737),coa_Name,0)),"Operating"))</f>
        <v/>
      </c>
      <c r="S2737" s="95">
        <f>IF((P2737-Q2737)=1,L2737,IF((P2737-Q2737)=-1,-J2737,0))</f>
        <v/>
      </c>
      <c r="T2737" s="95">
        <f>IF((P2737-Q2737)=1,N2737,IF((P2737-Q2737)=-1,-M2737,0))</f>
        <v/>
      </c>
      <c r="U2737" s="101">
        <f>IF(AND(H2737=1,LedAcct&lt;&gt;""),IF(AND(E2737&gt;=LedFrom,E2737&lt;=LedTo,OR(I2737=LedAcct,K2737=LedAcct,AND(LedAcct=acctTax,M2737+N2737&lt;&gt;0))),E2737*10000+B2737,""),"")</f>
        <v/>
      </c>
    </row>
    <row r="2738">
      <c r="B2738" s="101" t="n">
        <v>2732</v>
      </c>
      <c r="C2738" s="58" t="inlineStr">
        <is>
          <t>Bill</t>
        </is>
      </c>
      <c r="D2738" s="58">
        <f>IF(H2738=1,INDEX(ap_No,232)&amp;"","")</f>
        <v/>
      </c>
      <c r="E2738" s="94">
        <f>IF(H2738=1,INDEX(ap_Date,232),"")</f>
        <v/>
      </c>
      <c r="F2738" s="58">
        <f>IF(H2738=1,INDEX(ap_Desc,232)&amp;"","")</f>
        <v/>
      </c>
      <c r="G2738" s="58">
        <f>IF(H2738=1,INDEX(ap_Party,232)&amp;"","")</f>
        <v/>
      </c>
      <c r="H2738" s="101">
        <f>IFERROR(N(INDEX(ap_Posted,232)),0)</f>
        <v/>
      </c>
      <c r="I2738" s="58">
        <f>IF(H2738=1,INDEX(ap_DrAcct,232)&amp;"","")</f>
        <v/>
      </c>
      <c r="J2738" s="95">
        <f>IF(H2738=1,INDEX(ap_DrAmt,232),0)</f>
        <v/>
      </c>
      <c r="K2738" s="58">
        <f>IF(H2738=1,INDEX(ap_CrAcct,232)&amp;"","")</f>
        <v/>
      </c>
      <c r="L2738" s="95">
        <f>IF(H2738=1,INDEX(ap_CrAmt,232),0)</f>
        <v/>
      </c>
      <c r="M2738" s="95">
        <f>IF(H2738=1,INDEX(ap_TaxAmt,232),0)</f>
        <v/>
      </c>
      <c r="N2738" s="95" t="n">
        <v>0</v>
      </c>
      <c r="O2738" s="101">
        <f>IF(H2738=1,IF(E2738&lt;FYStart,0,IF(E2738&gt;FYEnd,13,YEAR(E2738)*12+MONTH(E2738)-FYYM+1)),"")</f>
        <v/>
      </c>
      <c r="P2738" s="101">
        <f>IF(H2738=1,IF(IFERROR(INDEX(coa_CF,MATCH(I2738,coa_Name,0)),"")="Cash",1,0),0)</f>
        <v/>
      </c>
      <c r="Q2738" s="101">
        <f>IF(H2738=1,IF(IFERROR(INDEX(coa_CF,MATCH(K2738,coa_Name,0)),"")="Cash",1,0),0)</f>
        <v/>
      </c>
      <c r="R2738" s="58">
        <f>IF((P2738-Q2738)=0,"",IFERROR(INDEX(coa_CF,MATCH(IF((P2738-Q2738)=1,K2738,I2738),coa_Name,0)),"Operating"))</f>
        <v/>
      </c>
      <c r="S2738" s="95">
        <f>IF((P2738-Q2738)=1,L2738,IF((P2738-Q2738)=-1,-J2738,0))</f>
        <v/>
      </c>
      <c r="T2738" s="95">
        <f>IF((P2738-Q2738)=1,N2738,IF((P2738-Q2738)=-1,-M2738,0))</f>
        <v/>
      </c>
      <c r="U2738" s="101">
        <f>IF(AND(H2738=1,LedAcct&lt;&gt;""),IF(AND(E2738&gt;=LedFrom,E2738&lt;=LedTo,OR(I2738=LedAcct,K2738=LedAcct,AND(LedAcct=acctTax,M2738+N2738&lt;&gt;0))),E2738*10000+B2738,""),"")</f>
        <v/>
      </c>
    </row>
    <row r="2739">
      <c r="B2739" s="101" t="n">
        <v>2733</v>
      </c>
      <c r="C2739" s="58" t="inlineStr">
        <is>
          <t>Bill</t>
        </is>
      </c>
      <c r="D2739" s="58">
        <f>IF(H2739=1,INDEX(ap_No,233)&amp;"","")</f>
        <v/>
      </c>
      <c r="E2739" s="94">
        <f>IF(H2739=1,INDEX(ap_Date,233),"")</f>
        <v/>
      </c>
      <c r="F2739" s="58">
        <f>IF(H2739=1,INDEX(ap_Desc,233)&amp;"","")</f>
        <v/>
      </c>
      <c r="G2739" s="58">
        <f>IF(H2739=1,INDEX(ap_Party,233)&amp;"","")</f>
        <v/>
      </c>
      <c r="H2739" s="101">
        <f>IFERROR(N(INDEX(ap_Posted,233)),0)</f>
        <v/>
      </c>
      <c r="I2739" s="58">
        <f>IF(H2739=1,INDEX(ap_DrAcct,233)&amp;"","")</f>
        <v/>
      </c>
      <c r="J2739" s="95">
        <f>IF(H2739=1,INDEX(ap_DrAmt,233),0)</f>
        <v/>
      </c>
      <c r="K2739" s="58">
        <f>IF(H2739=1,INDEX(ap_CrAcct,233)&amp;"","")</f>
        <v/>
      </c>
      <c r="L2739" s="95">
        <f>IF(H2739=1,INDEX(ap_CrAmt,233),0)</f>
        <v/>
      </c>
      <c r="M2739" s="95">
        <f>IF(H2739=1,INDEX(ap_TaxAmt,233),0)</f>
        <v/>
      </c>
      <c r="N2739" s="95" t="n">
        <v>0</v>
      </c>
      <c r="O2739" s="101">
        <f>IF(H2739=1,IF(E2739&lt;FYStart,0,IF(E2739&gt;FYEnd,13,YEAR(E2739)*12+MONTH(E2739)-FYYM+1)),"")</f>
        <v/>
      </c>
      <c r="P2739" s="101">
        <f>IF(H2739=1,IF(IFERROR(INDEX(coa_CF,MATCH(I2739,coa_Name,0)),"")="Cash",1,0),0)</f>
        <v/>
      </c>
      <c r="Q2739" s="101">
        <f>IF(H2739=1,IF(IFERROR(INDEX(coa_CF,MATCH(K2739,coa_Name,0)),"")="Cash",1,0),0)</f>
        <v/>
      </c>
      <c r="R2739" s="58">
        <f>IF((P2739-Q2739)=0,"",IFERROR(INDEX(coa_CF,MATCH(IF((P2739-Q2739)=1,K2739,I2739),coa_Name,0)),"Operating"))</f>
        <v/>
      </c>
      <c r="S2739" s="95">
        <f>IF((P2739-Q2739)=1,L2739,IF((P2739-Q2739)=-1,-J2739,0))</f>
        <v/>
      </c>
      <c r="T2739" s="95">
        <f>IF((P2739-Q2739)=1,N2739,IF((P2739-Q2739)=-1,-M2739,0))</f>
        <v/>
      </c>
      <c r="U2739" s="101">
        <f>IF(AND(H2739=1,LedAcct&lt;&gt;""),IF(AND(E2739&gt;=LedFrom,E2739&lt;=LedTo,OR(I2739=LedAcct,K2739=LedAcct,AND(LedAcct=acctTax,M2739+N2739&lt;&gt;0))),E2739*10000+B2739,""),"")</f>
        <v/>
      </c>
    </row>
    <row r="2740">
      <c r="B2740" s="101" t="n">
        <v>2734</v>
      </c>
      <c r="C2740" s="58" t="inlineStr">
        <is>
          <t>Bill</t>
        </is>
      </c>
      <c r="D2740" s="58">
        <f>IF(H2740=1,INDEX(ap_No,234)&amp;"","")</f>
        <v/>
      </c>
      <c r="E2740" s="94">
        <f>IF(H2740=1,INDEX(ap_Date,234),"")</f>
        <v/>
      </c>
      <c r="F2740" s="58">
        <f>IF(H2740=1,INDEX(ap_Desc,234)&amp;"","")</f>
        <v/>
      </c>
      <c r="G2740" s="58">
        <f>IF(H2740=1,INDEX(ap_Party,234)&amp;"","")</f>
        <v/>
      </c>
      <c r="H2740" s="101">
        <f>IFERROR(N(INDEX(ap_Posted,234)),0)</f>
        <v/>
      </c>
      <c r="I2740" s="58">
        <f>IF(H2740=1,INDEX(ap_DrAcct,234)&amp;"","")</f>
        <v/>
      </c>
      <c r="J2740" s="95">
        <f>IF(H2740=1,INDEX(ap_DrAmt,234),0)</f>
        <v/>
      </c>
      <c r="K2740" s="58">
        <f>IF(H2740=1,INDEX(ap_CrAcct,234)&amp;"","")</f>
        <v/>
      </c>
      <c r="L2740" s="95">
        <f>IF(H2740=1,INDEX(ap_CrAmt,234),0)</f>
        <v/>
      </c>
      <c r="M2740" s="95">
        <f>IF(H2740=1,INDEX(ap_TaxAmt,234),0)</f>
        <v/>
      </c>
      <c r="N2740" s="95" t="n">
        <v>0</v>
      </c>
      <c r="O2740" s="101">
        <f>IF(H2740=1,IF(E2740&lt;FYStart,0,IF(E2740&gt;FYEnd,13,YEAR(E2740)*12+MONTH(E2740)-FYYM+1)),"")</f>
        <v/>
      </c>
      <c r="P2740" s="101">
        <f>IF(H2740=1,IF(IFERROR(INDEX(coa_CF,MATCH(I2740,coa_Name,0)),"")="Cash",1,0),0)</f>
        <v/>
      </c>
      <c r="Q2740" s="101">
        <f>IF(H2740=1,IF(IFERROR(INDEX(coa_CF,MATCH(K2740,coa_Name,0)),"")="Cash",1,0),0)</f>
        <v/>
      </c>
      <c r="R2740" s="58">
        <f>IF((P2740-Q2740)=0,"",IFERROR(INDEX(coa_CF,MATCH(IF((P2740-Q2740)=1,K2740,I2740),coa_Name,0)),"Operating"))</f>
        <v/>
      </c>
      <c r="S2740" s="95">
        <f>IF((P2740-Q2740)=1,L2740,IF((P2740-Q2740)=-1,-J2740,0))</f>
        <v/>
      </c>
      <c r="T2740" s="95">
        <f>IF((P2740-Q2740)=1,N2740,IF((P2740-Q2740)=-1,-M2740,0))</f>
        <v/>
      </c>
      <c r="U2740" s="101">
        <f>IF(AND(H2740=1,LedAcct&lt;&gt;""),IF(AND(E2740&gt;=LedFrom,E2740&lt;=LedTo,OR(I2740=LedAcct,K2740=LedAcct,AND(LedAcct=acctTax,M2740+N2740&lt;&gt;0))),E2740*10000+B2740,""),"")</f>
        <v/>
      </c>
    </row>
    <row r="2741">
      <c r="B2741" s="101" t="n">
        <v>2735</v>
      </c>
      <c r="C2741" s="58" t="inlineStr">
        <is>
          <t>Bill</t>
        </is>
      </c>
      <c r="D2741" s="58">
        <f>IF(H2741=1,INDEX(ap_No,235)&amp;"","")</f>
        <v/>
      </c>
      <c r="E2741" s="94">
        <f>IF(H2741=1,INDEX(ap_Date,235),"")</f>
        <v/>
      </c>
      <c r="F2741" s="58">
        <f>IF(H2741=1,INDEX(ap_Desc,235)&amp;"","")</f>
        <v/>
      </c>
      <c r="G2741" s="58">
        <f>IF(H2741=1,INDEX(ap_Party,235)&amp;"","")</f>
        <v/>
      </c>
      <c r="H2741" s="101">
        <f>IFERROR(N(INDEX(ap_Posted,235)),0)</f>
        <v/>
      </c>
      <c r="I2741" s="58">
        <f>IF(H2741=1,INDEX(ap_DrAcct,235)&amp;"","")</f>
        <v/>
      </c>
      <c r="J2741" s="95">
        <f>IF(H2741=1,INDEX(ap_DrAmt,235),0)</f>
        <v/>
      </c>
      <c r="K2741" s="58">
        <f>IF(H2741=1,INDEX(ap_CrAcct,235)&amp;"","")</f>
        <v/>
      </c>
      <c r="L2741" s="95">
        <f>IF(H2741=1,INDEX(ap_CrAmt,235),0)</f>
        <v/>
      </c>
      <c r="M2741" s="95">
        <f>IF(H2741=1,INDEX(ap_TaxAmt,235),0)</f>
        <v/>
      </c>
      <c r="N2741" s="95" t="n">
        <v>0</v>
      </c>
      <c r="O2741" s="101">
        <f>IF(H2741=1,IF(E2741&lt;FYStart,0,IF(E2741&gt;FYEnd,13,YEAR(E2741)*12+MONTH(E2741)-FYYM+1)),"")</f>
        <v/>
      </c>
      <c r="P2741" s="101">
        <f>IF(H2741=1,IF(IFERROR(INDEX(coa_CF,MATCH(I2741,coa_Name,0)),"")="Cash",1,0),0)</f>
        <v/>
      </c>
      <c r="Q2741" s="101">
        <f>IF(H2741=1,IF(IFERROR(INDEX(coa_CF,MATCH(K2741,coa_Name,0)),"")="Cash",1,0),0)</f>
        <v/>
      </c>
      <c r="R2741" s="58">
        <f>IF((P2741-Q2741)=0,"",IFERROR(INDEX(coa_CF,MATCH(IF((P2741-Q2741)=1,K2741,I2741),coa_Name,0)),"Operating"))</f>
        <v/>
      </c>
      <c r="S2741" s="95">
        <f>IF((P2741-Q2741)=1,L2741,IF((P2741-Q2741)=-1,-J2741,0))</f>
        <v/>
      </c>
      <c r="T2741" s="95">
        <f>IF((P2741-Q2741)=1,N2741,IF((P2741-Q2741)=-1,-M2741,0))</f>
        <v/>
      </c>
      <c r="U2741" s="101">
        <f>IF(AND(H2741=1,LedAcct&lt;&gt;""),IF(AND(E2741&gt;=LedFrom,E2741&lt;=LedTo,OR(I2741=LedAcct,K2741=LedAcct,AND(LedAcct=acctTax,M2741+N2741&lt;&gt;0))),E2741*10000+B2741,""),"")</f>
        <v/>
      </c>
    </row>
    <row r="2742">
      <c r="B2742" s="101" t="n">
        <v>2736</v>
      </c>
      <c r="C2742" s="58" t="inlineStr">
        <is>
          <t>Bill</t>
        </is>
      </c>
      <c r="D2742" s="58">
        <f>IF(H2742=1,INDEX(ap_No,236)&amp;"","")</f>
        <v/>
      </c>
      <c r="E2742" s="94">
        <f>IF(H2742=1,INDEX(ap_Date,236),"")</f>
        <v/>
      </c>
      <c r="F2742" s="58">
        <f>IF(H2742=1,INDEX(ap_Desc,236)&amp;"","")</f>
        <v/>
      </c>
      <c r="G2742" s="58">
        <f>IF(H2742=1,INDEX(ap_Party,236)&amp;"","")</f>
        <v/>
      </c>
      <c r="H2742" s="101">
        <f>IFERROR(N(INDEX(ap_Posted,236)),0)</f>
        <v/>
      </c>
      <c r="I2742" s="58">
        <f>IF(H2742=1,INDEX(ap_DrAcct,236)&amp;"","")</f>
        <v/>
      </c>
      <c r="J2742" s="95">
        <f>IF(H2742=1,INDEX(ap_DrAmt,236),0)</f>
        <v/>
      </c>
      <c r="K2742" s="58">
        <f>IF(H2742=1,INDEX(ap_CrAcct,236)&amp;"","")</f>
        <v/>
      </c>
      <c r="L2742" s="95">
        <f>IF(H2742=1,INDEX(ap_CrAmt,236),0)</f>
        <v/>
      </c>
      <c r="M2742" s="95">
        <f>IF(H2742=1,INDEX(ap_TaxAmt,236),0)</f>
        <v/>
      </c>
      <c r="N2742" s="95" t="n">
        <v>0</v>
      </c>
      <c r="O2742" s="101">
        <f>IF(H2742=1,IF(E2742&lt;FYStart,0,IF(E2742&gt;FYEnd,13,YEAR(E2742)*12+MONTH(E2742)-FYYM+1)),"")</f>
        <v/>
      </c>
      <c r="P2742" s="101">
        <f>IF(H2742=1,IF(IFERROR(INDEX(coa_CF,MATCH(I2742,coa_Name,0)),"")="Cash",1,0),0)</f>
        <v/>
      </c>
      <c r="Q2742" s="101">
        <f>IF(H2742=1,IF(IFERROR(INDEX(coa_CF,MATCH(K2742,coa_Name,0)),"")="Cash",1,0),0)</f>
        <v/>
      </c>
      <c r="R2742" s="58">
        <f>IF((P2742-Q2742)=0,"",IFERROR(INDEX(coa_CF,MATCH(IF((P2742-Q2742)=1,K2742,I2742),coa_Name,0)),"Operating"))</f>
        <v/>
      </c>
      <c r="S2742" s="95">
        <f>IF((P2742-Q2742)=1,L2742,IF((P2742-Q2742)=-1,-J2742,0))</f>
        <v/>
      </c>
      <c r="T2742" s="95">
        <f>IF((P2742-Q2742)=1,N2742,IF((P2742-Q2742)=-1,-M2742,0))</f>
        <v/>
      </c>
      <c r="U2742" s="101">
        <f>IF(AND(H2742=1,LedAcct&lt;&gt;""),IF(AND(E2742&gt;=LedFrom,E2742&lt;=LedTo,OR(I2742=LedAcct,K2742=LedAcct,AND(LedAcct=acctTax,M2742+N2742&lt;&gt;0))),E2742*10000+B2742,""),"")</f>
        <v/>
      </c>
    </row>
    <row r="2743">
      <c r="B2743" s="101" t="n">
        <v>2737</v>
      </c>
      <c r="C2743" s="58" t="inlineStr">
        <is>
          <t>Bill</t>
        </is>
      </c>
      <c r="D2743" s="58">
        <f>IF(H2743=1,INDEX(ap_No,237)&amp;"","")</f>
        <v/>
      </c>
      <c r="E2743" s="94">
        <f>IF(H2743=1,INDEX(ap_Date,237),"")</f>
        <v/>
      </c>
      <c r="F2743" s="58">
        <f>IF(H2743=1,INDEX(ap_Desc,237)&amp;"","")</f>
        <v/>
      </c>
      <c r="G2743" s="58">
        <f>IF(H2743=1,INDEX(ap_Party,237)&amp;"","")</f>
        <v/>
      </c>
      <c r="H2743" s="101">
        <f>IFERROR(N(INDEX(ap_Posted,237)),0)</f>
        <v/>
      </c>
      <c r="I2743" s="58">
        <f>IF(H2743=1,INDEX(ap_DrAcct,237)&amp;"","")</f>
        <v/>
      </c>
      <c r="J2743" s="95">
        <f>IF(H2743=1,INDEX(ap_DrAmt,237),0)</f>
        <v/>
      </c>
      <c r="K2743" s="58">
        <f>IF(H2743=1,INDEX(ap_CrAcct,237)&amp;"","")</f>
        <v/>
      </c>
      <c r="L2743" s="95">
        <f>IF(H2743=1,INDEX(ap_CrAmt,237),0)</f>
        <v/>
      </c>
      <c r="M2743" s="95">
        <f>IF(H2743=1,INDEX(ap_TaxAmt,237),0)</f>
        <v/>
      </c>
      <c r="N2743" s="95" t="n">
        <v>0</v>
      </c>
      <c r="O2743" s="101">
        <f>IF(H2743=1,IF(E2743&lt;FYStart,0,IF(E2743&gt;FYEnd,13,YEAR(E2743)*12+MONTH(E2743)-FYYM+1)),"")</f>
        <v/>
      </c>
      <c r="P2743" s="101">
        <f>IF(H2743=1,IF(IFERROR(INDEX(coa_CF,MATCH(I2743,coa_Name,0)),"")="Cash",1,0),0)</f>
        <v/>
      </c>
      <c r="Q2743" s="101">
        <f>IF(H2743=1,IF(IFERROR(INDEX(coa_CF,MATCH(K2743,coa_Name,0)),"")="Cash",1,0),0)</f>
        <v/>
      </c>
      <c r="R2743" s="58">
        <f>IF((P2743-Q2743)=0,"",IFERROR(INDEX(coa_CF,MATCH(IF((P2743-Q2743)=1,K2743,I2743),coa_Name,0)),"Operating"))</f>
        <v/>
      </c>
      <c r="S2743" s="95">
        <f>IF((P2743-Q2743)=1,L2743,IF((P2743-Q2743)=-1,-J2743,0))</f>
        <v/>
      </c>
      <c r="T2743" s="95">
        <f>IF((P2743-Q2743)=1,N2743,IF((P2743-Q2743)=-1,-M2743,0))</f>
        <v/>
      </c>
      <c r="U2743" s="101">
        <f>IF(AND(H2743=1,LedAcct&lt;&gt;""),IF(AND(E2743&gt;=LedFrom,E2743&lt;=LedTo,OR(I2743=LedAcct,K2743=LedAcct,AND(LedAcct=acctTax,M2743+N2743&lt;&gt;0))),E2743*10000+B2743,""),"")</f>
        <v/>
      </c>
    </row>
    <row r="2744">
      <c r="B2744" s="101" t="n">
        <v>2738</v>
      </c>
      <c r="C2744" s="58" t="inlineStr">
        <is>
          <t>Bill</t>
        </is>
      </c>
      <c r="D2744" s="58">
        <f>IF(H2744=1,INDEX(ap_No,238)&amp;"","")</f>
        <v/>
      </c>
      <c r="E2744" s="94">
        <f>IF(H2744=1,INDEX(ap_Date,238),"")</f>
        <v/>
      </c>
      <c r="F2744" s="58">
        <f>IF(H2744=1,INDEX(ap_Desc,238)&amp;"","")</f>
        <v/>
      </c>
      <c r="G2744" s="58">
        <f>IF(H2744=1,INDEX(ap_Party,238)&amp;"","")</f>
        <v/>
      </c>
      <c r="H2744" s="101">
        <f>IFERROR(N(INDEX(ap_Posted,238)),0)</f>
        <v/>
      </c>
      <c r="I2744" s="58">
        <f>IF(H2744=1,INDEX(ap_DrAcct,238)&amp;"","")</f>
        <v/>
      </c>
      <c r="J2744" s="95">
        <f>IF(H2744=1,INDEX(ap_DrAmt,238),0)</f>
        <v/>
      </c>
      <c r="K2744" s="58">
        <f>IF(H2744=1,INDEX(ap_CrAcct,238)&amp;"","")</f>
        <v/>
      </c>
      <c r="L2744" s="95">
        <f>IF(H2744=1,INDEX(ap_CrAmt,238),0)</f>
        <v/>
      </c>
      <c r="M2744" s="95">
        <f>IF(H2744=1,INDEX(ap_TaxAmt,238),0)</f>
        <v/>
      </c>
      <c r="N2744" s="95" t="n">
        <v>0</v>
      </c>
      <c r="O2744" s="101">
        <f>IF(H2744=1,IF(E2744&lt;FYStart,0,IF(E2744&gt;FYEnd,13,YEAR(E2744)*12+MONTH(E2744)-FYYM+1)),"")</f>
        <v/>
      </c>
      <c r="P2744" s="101">
        <f>IF(H2744=1,IF(IFERROR(INDEX(coa_CF,MATCH(I2744,coa_Name,0)),"")="Cash",1,0),0)</f>
        <v/>
      </c>
      <c r="Q2744" s="101">
        <f>IF(H2744=1,IF(IFERROR(INDEX(coa_CF,MATCH(K2744,coa_Name,0)),"")="Cash",1,0),0)</f>
        <v/>
      </c>
      <c r="R2744" s="58">
        <f>IF((P2744-Q2744)=0,"",IFERROR(INDEX(coa_CF,MATCH(IF((P2744-Q2744)=1,K2744,I2744),coa_Name,0)),"Operating"))</f>
        <v/>
      </c>
      <c r="S2744" s="95">
        <f>IF((P2744-Q2744)=1,L2744,IF((P2744-Q2744)=-1,-J2744,0))</f>
        <v/>
      </c>
      <c r="T2744" s="95">
        <f>IF((P2744-Q2744)=1,N2744,IF((P2744-Q2744)=-1,-M2744,0))</f>
        <v/>
      </c>
      <c r="U2744" s="101">
        <f>IF(AND(H2744=1,LedAcct&lt;&gt;""),IF(AND(E2744&gt;=LedFrom,E2744&lt;=LedTo,OR(I2744=LedAcct,K2744=LedAcct,AND(LedAcct=acctTax,M2744+N2744&lt;&gt;0))),E2744*10000+B2744,""),"")</f>
        <v/>
      </c>
    </row>
    <row r="2745">
      <c r="B2745" s="101" t="n">
        <v>2739</v>
      </c>
      <c r="C2745" s="58" t="inlineStr">
        <is>
          <t>Bill</t>
        </is>
      </c>
      <c r="D2745" s="58">
        <f>IF(H2745=1,INDEX(ap_No,239)&amp;"","")</f>
        <v/>
      </c>
      <c r="E2745" s="94">
        <f>IF(H2745=1,INDEX(ap_Date,239),"")</f>
        <v/>
      </c>
      <c r="F2745" s="58">
        <f>IF(H2745=1,INDEX(ap_Desc,239)&amp;"","")</f>
        <v/>
      </c>
      <c r="G2745" s="58">
        <f>IF(H2745=1,INDEX(ap_Party,239)&amp;"","")</f>
        <v/>
      </c>
      <c r="H2745" s="101">
        <f>IFERROR(N(INDEX(ap_Posted,239)),0)</f>
        <v/>
      </c>
      <c r="I2745" s="58">
        <f>IF(H2745=1,INDEX(ap_DrAcct,239)&amp;"","")</f>
        <v/>
      </c>
      <c r="J2745" s="95">
        <f>IF(H2745=1,INDEX(ap_DrAmt,239),0)</f>
        <v/>
      </c>
      <c r="K2745" s="58">
        <f>IF(H2745=1,INDEX(ap_CrAcct,239)&amp;"","")</f>
        <v/>
      </c>
      <c r="L2745" s="95">
        <f>IF(H2745=1,INDEX(ap_CrAmt,239),0)</f>
        <v/>
      </c>
      <c r="M2745" s="95">
        <f>IF(H2745=1,INDEX(ap_TaxAmt,239),0)</f>
        <v/>
      </c>
      <c r="N2745" s="95" t="n">
        <v>0</v>
      </c>
      <c r="O2745" s="101">
        <f>IF(H2745=1,IF(E2745&lt;FYStart,0,IF(E2745&gt;FYEnd,13,YEAR(E2745)*12+MONTH(E2745)-FYYM+1)),"")</f>
        <v/>
      </c>
      <c r="P2745" s="101">
        <f>IF(H2745=1,IF(IFERROR(INDEX(coa_CF,MATCH(I2745,coa_Name,0)),"")="Cash",1,0),0)</f>
        <v/>
      </c>
      <c r="Q2745" s="101">
        <f>IF(H2745=1,IF(IFERROR(INDEX(coa_CF,MATCH(K2745,coa_Name,0)),"")="Cash",1,0),0)</f>
        <v/>
      </c>
      <c r="R2745" s="58">
        <f>IF((P2745-Q2745)=0,"",IFERROR(INDEX(coa_CF,MATCH(IF((P2745-Q2745)=1,K2745,I2745),coa_Name,0)),"Operating"))</f>
        <v/>
      </c>
      <c r="S2745" s="95">
        <f>IF((P2745-Q2745)=1,L2745,IF((P2745-Q2745)=-1,-J2745,0))</f>
        <v/>
      </c>
      <c r="T2745" s="95">
        <f>IF((P2745-Q2745)=1,N2745,IF((P2745-Q2745)=-1,-M2745,0))</f>
        <v/>
      </c>
      <c r="U2745" s="101">
        <f>IF(AND(H2745=1,LedAcct&lt;&gt;""),IF(AND(E2745&gt;=LedFrom,E2745&lt;=LedTo,OR(I2745=LedAcct,K2745=LedAcct,AND(LedAcct=acctTax,M2745+N2745&lt;&gt;0))),E2745*10000+B2745,""),"")</f>
        <v/>
      </c>
    </row>
    <row r="2746">
      <c r="B2746" s="101" t="n">
        <v>2740</v>
      </c>
      <c r="C2746" s="58" t="inlineStr">
        <is>
          <t>Bill</t>
        </is>
      </c>
      <c r="D2746" s="58">
        <f>IF(H2746=1,INDEX(ap_No,240)&amp;"","")</f>
        <v/>
      </c>
      <c r="E2746" s="94">
        <f>IF(H2746=1,INDEX(ap_Date,240),"")</f>
        <v/>
      </c>
      <c r="F2746" s="58">
        <f>IF(H2746=1,INDEX(ap_Desc,240)&amp;"","")</f>
        <v/>
      </c>
      <c r="G2746" s="58">
        <f>IF(H2746=1,INDEX(ap_Party,240)&amp;"","")</f>
        <v/>
      </c>
      <c r="H2746" s="101">
        <f>IFERROR(N(INDEX(ap_Posted,240)),0)</f>
        <v/>
      </c>
      <c r="I2746" s="58">
        <f>IF(H2746=1,INDEX(ap_DrAcct,240)&amp;"","")</f>
        <v/>
      </c>
      <c r="J2746" s="95">
        <f>IF(H2746=1,INDEX(ap_DrAmt,240),0)</f>
        <v/>
      </c>
      <c r="K2746" s="58">
        <f>IF(H2746=1,INDEX(ap_CrAcct,240)&amp;"","")</f>
        <v/>
      </c>
      <c r="L2746" s="95">
        <f>IF(H2746=1,INDEX(ap_CrAmt,240),0)</f>
        <v/>
      </c>
      <c r="M2746" s="95">
        <f>IF(H2746=1,INDEX(ap_TaxAmt,240),0)</f>
        <v/>
      </c>
      <c r="N2746" s="95" t="n">
        <v>0</v>
      </c>
      <c r="O2746" s="101">
        <f>IF(H2746=1,IF(E2746&lt;FYStart,0,IF(E2746&gt;FYEnd,13,YEAR(E2746)*12+MONTH(E2746)-FYYM+1)),"")</f>
        <v/>
      </c>
      <c r="P2746" s="101">
        <f>IF(H2746=1,IF(IFERROR(INDEX(coa_CF,MATCH(I2746,coa_Name,0)),"")="Cash",1,0),0)</f>
        <v/>
      </c>
      <c r="Q2746" s="101">
        <f>IF(H2746=1,IF(IFERROR(INDEX(coa_CF,MATCH(K2746,coa_Name,0)),"")="Cash",1,0),0)</f>
        <v/>
      </c>
      <c r="R2746" s="58">
        <f>IF((P2746-Q2746)=0,"",IFERROR(INDEX(coa_CF,MATCH(IF((P2746-Q2746)=1,K2746,I2746),coa_Name,0)),"Operating"))</f>
        <v/>
      </c>
      <c r="S2746" s="95">
        <f>IF((P2746-Q2746)=1,L2746,IF((P2746-Q2746)=-1,-J2746,0))</f>
        <v/>
      </c>
      <c r="T2746" s="95">
        <f>IF((P2746-Q2746)=1,N2746,IF((P2746-Q2746)=-1,-M2746,0))</f>
        <v/>
      </c>
      <c r="U2746" s="101">
        <f>IF(AND(H2746=1,LedAcct&lt;&gt;""),IF(AND(E2746&gt;=LedFrom,E2746&lt;=LedTo,OR(I2746=LedAcct,K2746=LedAcct,AND(LedAcct=acctTax,M2746+N2746&lt;&gt;0))),E2746*10000+B2746,""),"")</f>
        <v/>
      </c>
    </row>
    <row r="2747">
      <c r="B2747" s="101" t="n">
        <v>2741</v>
      </c>
      <c r="C2747" s="58" t="inlineStr">
        <is>
          <t>Bill</t>
        </is>
      </c>
      <c r="D2747" s="58">
        <f>IF(H2747=1,INDEX(ap_No,241)&amp;"","")</f>
        <v/>
      </c>
      <c r="E2747" s="94">
        <f>IF(H2747=1,INDEX(ap_Date,241),"")</f>
        <v/>
      </c>
      <c r="F2747" s="58">
        <f>IF(H2747=1,INDEX(ap_Desc,241)&amp;"","")</f>
        <v/>
      </c>
      <c r="G2747" s="58">
        <f>IF(H2747=1,INDEX(ap_Party,241)&amp;"","")</f>
        <v/>
      </c>
      <c r="H2747" s="101">
        <f>IFERROR(N(INDEX(ap_Posted,241)),0)</f>
        <v/>
      </c>
      <c r="I2747" s="58">
        <f>IF(H2747=1,INDEX(ap_DrAcct,241)&amp;"","")</f>
        <v/>
      </c>
      <c r="J2747" s="95">
        <f>IF(H2747=1,INDEX(ap_DrAmt,241),0)</f>
        <v/>
      </c>
      <c r="K2747" s="58">
        <f>IF(H2747=1,INDEX(ap_CrAcct,241)&amp;"","")</f>
        <v/>
      </c>
      <c r="L2747" s="95">
        <f>IF(H2747=1,INDEX(ap_CrAmt,241),0)</f>
        <v/>
      </c>
      <c r="M2747" s="95">
        <f>IF(H2747=1,INDEX(ap_TaxAmt,241),0)</f>
        <v/>
      </c>
      <c r="N2747" s="95" t="n">
        <v>0</v>
      </c>
      <c r="O2747" s="101">
        <f>IF(H2747=1,IF(E2747&lt;FYStart,0,IF(E2747&gt;FYEnd,13,YEAR(E2747)*12+MONTH(E2747)-FYYM+1)),"")</f>
        <v/>
      </c>
      <c r="P2747" s="101">
        <f>IF(H2747=1,IF(IFERROR(INDEX(coa_CF,MATCH(I2747,coa_Name,0)),"")="Cash",1,0),0)</f>
        <v/>
      </c>
      <c r="Q2747" s="101">
        <f>IF(H2747=1,IF(IFERROR(INDEX(coa_CF,MATCH(K2747,coa_Name,0)),"")="Cash",1,0),0)</f>
        <v/>
      </c>
      <c r="R2747" s="58">
        <f>IF((P2747-Q2747)=0,"",IFERROR(INDEX(coa_CF,MATCH(IF((P2747-Q2747)=1,K2747,I2747),coa_Name,0)),"Operating"))</f>
        <v/>
      </c>
      <c r="S2747" s="95">
        <f>IF((P2747-Q2747)=1,L2747,IF((P2747-Q2747)=-1,-J2747,0))</f>
        <v/>
      </c>
      <c r="T2747" s="95">
        <f>IF((P2747-Q2747)=1,N2747,IF((P2747-Q2747)=-1,-M2747,0))</f>
        <v/>
      </c>
      <c r="U2747" s="101">
        <f>IF(AND(H2747=1,LedAcct&lt;&gt;""),IF(AND(E2747&gt;=LedFrom,E2747&lt;=LedTo,OR(I2747=LedAcct,K2747=LedAcct,AND(LedAcct=acctTax,M2747+N2747&lt;&gt;0))),E2747*10000+B2747,""),"")</f>
        <v/>
      </c>
    </row>
    <row r="2748">
      <c r="B2748" s="101" t="n">
        <v>2742</v>
      </c>
      <c r="C2748" s="58" t="inlineStr">
        <is>
          <t>Bill</t>
        </is>
      </c>
      <c r="D2748" s="58">
        <f>IF(H2748=1,INDEX(ap_No,242)&amp;"","")</f>
        <v/>
      </c>
      <c r="E2748" s="94">
        <f>IF(H2748=1,INDEX(ap_Date,242),"")</f>
        <v/>
      </c>
      <c r="F2748" s="58">
        <f>IF(H2748=1,INDEX(ap_Desc,242)&amp;"","")</f>
        <v/>
      </c>
      <c r="G2748" s="58">
        <f>IF(H2748=1,INDEX(ap_Party,242)&amp;"","")</f>
        <v/>
      </c>
      <c r="H2748" s="101">
        <f>IFERROR(N(INDEX(ap_Posted,242)),0)</f>
        <v/>
      </c>
      <c r="I2748" s="58">
        <f>IF(H2748=1,INDEX(ap_DrAcct,242)&amp;"","")</f>
        <v/>
      </c>
      <c r="J2748" s="95">
        <f>IF(H2748=1,INDEX(ap_DrAmt,242),0)</f>
        <v/>
      </c>
      <c r="K2748" s="58">
        <f>IF(H2748=1,INDEX(ap_CrAcct,242)&amp;"","")</f>
        <v/>
      </c>
      <c r="L2748" s="95">
        <f>IF(H2748=1,INDEX(ap_CrAmt,242),0)</f>
        <v/>
      </c>
      <c r="M2748" s="95">
        <f>IF(H2748=1,INDEX(ap_TaxAmt,242),0)</f>
        <v/>
      </c>
      <c r="N2748" s="95" t="n">
        <v>0</v>
      </c>
      <c r="O2748" s="101">
        <f>IF(H2748=1,IF(E2748&lt;FYStart,0,IF(E2748&gt;FYEnd,13,YEAR(E2748)*12+MONTH(E2748)-FYYM+1)),"")</f>
        <v/>
      </c>
      <c r="P2748" s="101">
        <f>IF(H2748=1,IF(IFERROR(INDEX(coa_CF,MATCH(I2748,coa_Name,0)),"")="Cash",1,0),0)</f>
        <v/>
      </c>
      <c r="Q2748" s="101">
        <f>IF(H2748=1,IF(IFERROR(INDEX(coa_CF,MATCH(K2748,coa_Name,0)),"")="Cash",1,0),0)</f>
        <v/>
      </c>
      <c r="R2748" s="58">
        <f>IF((P2748-Q2748)=0,"",IFERROR(INDEX(coa_CF,MATCH(IF((P2748-Q2748)=1,K2748,I2748),coa_Name,0)),"Operating"))</f>
        <v/>
      </c>
      <c r="S2748" s="95">
        <f>IF((P2748-Q2748)=1,L2748,IF((P2748-Q2748)=-1,-J2748,0))</f>
        <v/>
      </c>
      <c r="T2748" s="95">
        <f>IF((P2748-Q2748)=1,N2748,IF((P2748-Q2748)=-1,-M2748,0))</f>
        <v/>
      </c>
      <c r="U2748" s="101">
        <f>IF(AND(H2748=1,LedAcct&lt;&gt;""),IF(AND(E2748&gt;=LedFrom,E2748&lt;=LedTo,OR(I2748=LedAcct,K2748=LedAcct,AND(LedAcct=acctTax,M2748+N2748&lt;&gt;0))),E2748*10000+B2748,""),"")</f>
        <v/>
      </c>
    </row>
    <row r="2749">
      <c r="B2749" s="101" t="n">
        <v>2743</v>
      </c>
      <c r="C2749" s="58" t="inlineStr">
        <is>
          <t>Bill</t>
        </is>
      </c>
      <c r="D2749" s="58">
        <f>IF(H2749=1,INDEX(ap_No,243)&amp;"","")</f>
        <v/>
      </c>
      <c r="E2749" s="94">
        <f>IF(H2749=1,INDEX(ap_Date,243),"")</f>
        <v/>
      </c>
      <c r="F2749" s="58">
        <f>IF(H2749=1,INDEX(ap_Desc,243)&amp;"","")</f>
        <v/>
      </c>
      <c r="G2749" s="58">
        <f>IF(H2749=1,INDEX(ap_Party,243)&amp;"","")</f>
        <v/>
      </c>
      <c r="H2749" s="101">
        <f>IFERROR(N(INDEX(ap_Posted,243)),0)</f>
        <v/>
      </c>
      <c r="I2749" s="58">
        <f>IF(H2749=1,INDEX(ap_DrAcct,243)&amp;"","")</f>
        <v/>
      </c>
      <c r="J2749" s="95">
        <f>IF(H2749=1,INDEX(ap_DrAmt,243),0)</f>
        <v/>
      </c>
      <c r="K2749" s="58">
        <f>IF(H2749=1,INDEX(ap_CrAcct,243)&amp;"","")</f>
        <v/>
      </c>
      <c r="L2749" s="95">
        <f>IF(H2749=1,INDEX(ap_CrAmt,243),0)</f>
        <v/>
      </c>
      <c r="M2749" s="95">
        <f>IF(H2749=1,INDEX(ap_TaxAmt,243),0)</f>
        <v/>
      </c>
      <c r="N2749" s="95" t="n">
        <v>0</v>
      </c>
      <c r="O2749" s="101">
        <f>IF(H2749=1,IF(E2749&lt;FYStart,0,IF(E2749&gt;FYEnd,13,YEAR(E2749)*12+MONTH(E2749)-FYYM+1)),"")</f>
        <v/>
      </c>
      <c r="P2749" s="101">
        <f>IF(H2749=1,IF(IFERROR(INDEX(coa_CF,MATCH(I2749,coa_Name,0)),"")="Cash",1,0),0)</f>
        <v/>
      </c>
      <c r="Q2749" s="101">
        <f>IF(H2749=1,IF(IFERROR(INDEX(coa_CF,MATCH(K2749,coa_Name,0)),"")="Cash",1,0),0)</f>
        <v/>
      </c>
      <c r="R2749" s="58">
        <f>IF((P2749-Q2749)=0,"",IFERROR(INDEX(coa_CF,MATCH(IF((P2749-Q2749)=1,K2749,I2749),coa_Name,0)),"Operating"))</f>
        <v/>
      </c>
      <c r="S2749" s="95">
        <f>IF((P2749-Q2749)=1,L2749,IF((P2749-Q2749)=-1,-J2749,0))</f>
        <v/>
      </c>
      <c r="T2749" s="95">
        <f>IF((P2749-Q2749)=1,N2749,IF((P2749-Q2749)=-1,-M2749,0))</f>
        <v/>
      </c>
      <c r="U2749" s="101">
        <f>IF(AND(H2749=1,LedAcct&lt;&gt;""),IF(AND(E2749&gt;=LedFrom,E2749&lt;=LedTo,OR(I2749=LedAcct,K2749=LedAcct,AND(LedAcct=acctTax,M2749+N2749&lt;&gt;0))),E2749*10000+B2749,""),"")</f>
        <v/>
      </c>
    </row>
    <row r="2750">
      <c r="B2750" s="101" t="n">
        <v>2744</v>
      </c>
      <c r="C2750" s="58" t="inlineStr">
        <is>
          <t>Bill</t>
        </is>
      </c>
      <c r="D2750" s="58">
        <f>IF(H2750=1,INDEX(ap_No,244)&amp;"","")</f>
        <v/>
      </c>
      <c r="E2750" s="94">
        <f>IF(H2750=1,INDEX(ap_Date,244),"")</f>
        <v/>
      </c>
      <c r="F2750" s="58">
        <f>IF(H2750=1,INDEX(ap_Desc,244)&amp;"","")</f>
        <v/>
      </c>
      <c r="G2750" s="58">
        <f>IF(H2750=1,INDEX(ap_Party,244)&amp;"","")</f>
        <v/>
      </c>
      <c r="H2750" s="101">
        <f>IFERROR(N(INDEX(ap_Posted,244)),0)</f>
        <v/>
      </c>
      <c r="I2750" s="58">
        <f>IF(H2750=1,INDEX(ap_DrAcct,244)&amp;"","")</f>
        <v/>
      </c>
      <c r="J2750" s="95">
        <f>IF(H2750=1,INDEX(ap_DrAmt,244),0)</f>
        <v/>
      </c>
      <c r="K2750" s="58">
        <f>IF(H2750=1,INDEX(ap_CrAcct,244)&amp;"","")</f>
        <v/>
      </c>
      <c r="L2750" s="95">
        <f>IF(H2750=1,INDEX(ap_CrAmt,244),0)</f>
        <v/>
      </c>
      <c r="M2750" s="95">
        <f>IF(H2750=1,INDEX(ap_TaxAmt,244),0)</f>
        <v/>
      </c>
      <c r="N2750" s="95" t="n">
        <v>0</v>
      </c>
      <c r="O2750" s="101">
        <f>IF(H2750=1,IF(E2750&lt;FYStart,0,IF(E2750&gt;FYEnd,13,YEAR(E2750)*12+MONTH(E2750)-FYYM+1)),"")</f>
        <v/>
      </c>
      <c r="P2750" s="101">
        <f>IF(H2750=1,IF(IFERROR(INDEX(coa_CF,MATCH(I2750,coa_Name,0)),"")="Cash",1,0),0)</f>
        <v/>
      </c>
      <c r="Q2750" s="101">
        <f>IF(H2750=1,IF(IFERROR(INDEX(coa_CF,MATCH(K2750,coa_Name,0)),"")="Cash",1,0),0)</f>
        <v/>
      </c>
      <c r="R2750" s="58">
        <f>IF((P2750-Q2750)=0,"",IFERROR(INDEX(coa_CF,MATCH(IF((P2750-Q2750)=1,K2750,I2750),coa_Name,0)),"Operating"))</f>
        <v/>
      </c>
      <c r="S2750" s="95">
        <f>IF((P2750-Q2750)=1,L2750,IF((P2750-Q2750)=-1,-J2750,0))</f>
        <v/>
      </c>
      <c r="T2750" s="95">
        <f>IF((P2750-Q2750)=1,N2750,IF((P2750-Q2750)=-1,-M2750,0))</f>
        <v/>
      </c>
      <c r="U2750" s="101">
        <f>IF(AND(H2750=1,LedAcct&lt;&gt;""),IF(AND(E2750&gt;=LedFrom,E2750&lt;=LedTo,OR(I2750=LedAcct,K2750=LedAcct,AND(LedAcct=acctTax,M2750+N2750&lt;&gt;0))),E2750*10000+B2750,""),"")</f>
        <v/>
      </c>
    </row>
    <row r="2751">
      <c r="B2751" s="101" t="n">
        <v>2745</v>
      </c>
      <c r="C2751" s="58" t="inlineStr">
        <is>
          <t>Bill</t>
        </is>
      </c>
      <c r="D2751" s="58">
        <f>IF(H2751=1,INDEX(ap_No,245)&amp;"","")</f>
        <v/>
      </c>
      <c r="E2751" s="94">
        <f>IF(H2751=1,INDEX(ap_Date,245),"")</f>
        <v/>
      </c>
      <c r="F2751" s="58">
        <f>IF(H2751=1,INDEX(ap_Desc,245)&amp;"","")</f>
        <v/>
      </c>
      <c r="G2751" s="58">
        <f>IF(H2751=1,INDEX(ap_Party,245)&amp;"","")</f>
        <v/>
      </c>
      <c r="H2751" s="101">
        <f>IFERROR(N(INDEX(ap_Posted,245)),0)</f>
        <v/>
      </c>
      <c r="I2751" s="58">
        <f>IF(H2751=1,INDEX(ap_DrAcct,245)&amp;"","")</f>
        <v/>
      </c>
      <c r="J2751" s="95">
        <f>IF(H2751=1,INDEX(ap_DrAmt,245),0)</f>
        <v/>
      </c>
      <c r="K2751" s="58">
        <f>IF(H2751=1,INDEX(ap_CrAcct,245)&amp;"","")</f>
        <v/>
      </c>
      <c r="L2751" s="95">
        <f>IF(H2751=1,INDEX(ap_CrAmt,245),0)</f>
        <v/>
      </c>
      <c r="M2751" s="95">
        <f>IF(H2751=1,INDEX(ap_TaxAmt,245),0)</f>
        <v/>
      </c>
      <c r="N2751" s="95" t="n">
        <v>0</v>
      </c>
      <c r="O2751" s="101">
        <f>IF(H2751=1,IF(E2751&lt;FYStart,0,IF(E2751&gt;FYEnd,13,YEAR(E2751)*12+MONTH(E2751)-FYYM+1)),"")</f>
        <v/>
      </c>
      <c r="P2751" s="101">
        <f>IF(H2751=1,IF(IFERROR(INDEX(coa_CF,MATCH(I2751,coa_Name,0)),"")="Cash",1,0),0)</f>
        <v/>
      </c>
      <c r="Q2751" s="101">
        <f>IF(H2751=1,IF(IFERROR(INDEX(coa_CF,MATCH(K2751,coa_Name,0)),"")="Cash",1,0),0)</f>
        <v/>
      </c>
      <c r="R2751" s="58">
        <f>IF((P2751-Q2751)=0,"",IFERROR(INDEX(coa_CF,MATCH(IF((P2751-Q2751)=1,K2751,I2751),coa_Name,0)),"Operating"))</f>
        <v/>
      </c>
      <c r="S2751" s="95">
        <f>IF((P2751-Q2751)=1,L2751,IF((P2751-Q2751)=-1,-J2751,0))</f>
        <v/>
      </c>
      <c r="T2751" s="95">
        <f>IF((P2751-Q2751)=1,N2751,IF((P2751-Q2751)=-1,-M2751,0))</f>
        <v/>
      </c>
      <c r="U2751" s="101">
        <f>IF(AND(H2751=1,LedAcct&lt;&gt;""),IF(AND(E2751&gt;=LedFrom,E2751&lt;=LedTo,OR(I2751=LedAcct,K2751=LedAcct,AND(LedAcct=acctTax,M2751+N2751&lt;&gt;0))),E2751*10000+B2751,""),"")</f>
        <v/>
      </c>
    </row>
    <row r="2752">
      <c r="B2752" s="101" t="n">
        <v>2746</v>
      </c>
      <c r="C2752" s="58" t="inlineStr">
        <is>
          <t>Bill</t>
        </is>
      </c>
      <c r="D2752" s="58">
        <f>IF(H2752=1,INDEX(ap_No,246)&amp;"","")</f>
        <v/>
      </c>
      <c r="E2752" s="94">
        <f>IF(H2752=1,INDEX(ap_Date,246),"")</f>
        <v/>
      </c>
      <c r="F2752" s="58">
        <f>IF(H2752=1,INDEX(ap_Desc,246)&amp;"","")</f>
        <v/>
      </c>
      <c r="G2752" s="58">
        <f>IF(H2752=1,INDEX(ap_Party,246)&amp;"","")</f>
        <v/>
      </c>
      <c r="H2752" s="101">
        <f>IFERROR(N(INDEX(ap_Posted,246)),0)</f>
        <v/>
      </c>
      <c r="I2752" s="58">
        <f>IF(H2752=1,INDEX(ap_DrAcct,246)&amp;"","")</f>
        <v/>
      </c>
      <c r="J2752" s="95">
        <f>IF(H2752=1,INDEX(ap_DrAmt,246),0)</f>
        <v/>
      </c>
      <c r="K2752" s="58">
        <f>IF(H2752=1,INDEX(ap_CrAcct,246)&amp;"","")</f>
        <v/>
      </c>
      <c r="L2752" s="95">
        <f>IF(H2752=1,INDEX(ap_CrAmt,246),0)</f>
        <v/>
      </c>
      <c r="M2752" s="95">
        <f>IF(H2752=1,INDEX(ap_TaxAmt,246),0)</f>
        <v/>
      </c>
      <c r="N2752" s="95" t="n">
        <v>0</v>
      </c>
      <c r="O2752" s="101">
        <f>IF(H2752=1,IF(E2752&lt;FYStart,0,IF(E2752&gt;FYEnd,13,YEAR(E2752)*12+MONTH(E2752)-FYYM+1)),"")</f>
        <v/>
      </c>
      <c r="P2752" s="101">
        <f>IF(H2752=1,IF(IFERROR(INDEX(coa_CF,MATCH(I2752,coa_Name,0)),"")="Cash",1,0),0)</f>
        <v/>
      </c>
      <c r="Q2752" s="101">
        <f>IF(H2752=1,IF(IFERROR(INDEX(coa_CF,MATCH(K2752,coa_Name,0)),"")="Cash",1,0),0)</f>
        <v/>
      </c>
      <c r="R2752" s="58">
        <f>IF((P2752-Q2752)=0,"",IFERROR(INDEX(coa_CF,MATCH(IF((P2752-Q2752)=1,K2752,I2752),coa_Name,0)),"Operating"))</f>
        <v/>
      </c>
      <c r="S2752" s="95">
        <f>IF((P2752-Q2752)=1,L2752,IF((P2752-Q2752)=-1,-J2752,0))</f>
        <v/>
      </c>
      <c r="T2752" s="95">
        <f>IF((P2752-Q2752)=1,N2752,IF((P2752-Q2752)=-1,-M2752,0))</f>
        <v/>
      </c>
      <c r="U2752" s="101">
        <f>IF(AND(H2752=1,LedAcct&lt;&gt;""),IF(AND(E2752&gt;=LedFrom,E2752&lt;=LedTo,OR(I2752=LedAcct,K2752=LedAcct,AND(LedAcct=acctTax,M2752+N2752&lt;&gt;0))),E2752*10000+B2752,""),"")</f>
        <v/>
      </c>
    </row>
    <row r="2753">
      <c r="B2753" s="101" t="n">
        <v>2747</v>
      </c>
      <c r="C2753" s="58" t="inlineStr">
        <is>
          <t>Bill</t>
        </is>
      </c>
      <c r="D2753" s="58">
        <f>IF(H2753=1,INDEX(ap_No,247)&amp;"","")</f>
        <v/>
      </c>
      <c r="E2753" s="94">
        <f>IF(H2753=1,INDEX(ap_Date,247),"")</f>
        <v/>
      </c>
      <c r="F2753" s="58">
        <f>IF(H2753=1,INDEX(ap_Desc,247)&amp;"","")</f>
        <v/>
      </c>
      <c r="G2753" s="58">
        <f>IF(H2753=1,INDEX(ap_Party,247)&amp;"","")</f>
        <v/>
      </c>
      <c r="H2753" s="101">
        <f>IFERROR(N(INDEX(ap_Posted,247)),0)</f>
        <v/>
      </c>
      <c r="I2753" s="58">
        <f>IF(H2753=1,INDEX(ap_DrAcct,247)&amp;"","")</f>
        <v/>
      </c>
      <c r="J2753" s="95">
        <f>IF(H2753=1,INDEX(ap_DrAmt,247),0)</f>
        <v/>
      </c>
      <c r="K2753" s="58">
        <f>IF(H2753=1,INDEX(ap_CrAcct,247)&amp;"","")</f>
        <v/>
      </c>
      <c r="L2753" s="95">
        <f>IF(H2753=1,INDEX(ap_CrAmt,247),0)</f>
        <v/>
      </c>
      <c r="M2753" s="95">
        <f>IF(H2753=1,INDEX(ap_TaxAmt,247),0)</f>
        <v/>
      </c>
      <c r="N2753" s="95" t="n">
        <v>0</v>
      </c>
      <c r="O2753" s="101">
        <f>IF(H2753=1,IF(E2753&lt;FYStart,0,IF(E2753&gt;FYEnd,13,YEAR(E2753)*12+MONTH(E2753)-FYYM+1)),"")</f>
        <v/>
      </c>
      <c r="P2753" s="101">
        <f>IF(H2753=1,IF(IFERROR(INDEX(coa_CF,MATCH(I2753,coa_Name,0)),"")="Cash",1,0),0)</f>
        <v/>
      </c>
      <c r="Q2753" s="101">
        <f>IF(H2753=1,IF(IFERROR(INDEX(coa_CF,MATCH(K2753,coa_Name,0)),"")="Cash",1,0),0)</f>
        <v/>
      </c>
      <c r="R2753" s="58">
        <f>IF((P2753-Q2753)=0,"",IFERROR(INDEX(coa_CF,MATCH(IF((P2753-Q2753)=1,K2753,I2753),coa_Name,0)),"Operating"))</f>
        <v/>
      </c>
      <c r="S2753" s="95">
        <f>IF((P2753-Q2753)=1,L2753,IF((P2753-Q2753)=-1,-J2753,0))</f>
        <v/>
      </c>
      <c r="T2753" s="95">
        <f>IF((P2753-Q2753)=1,N2753,IF((P2753-Q2753)=-1,-M2753,0))</f>
        <v/>
      </c>
      <c r="U2753" s="101">
        <f>IF(AND(H2753=1,LedAcct&lt;&gt;""),IF(AND(E2753&gt;=LedFrom,E2753&lt;=LedTo,OR(I2753=LedAcct,K2753=LedAcct,AND(LedAcct=acctTax,M2753+N2753&lt;&gt;0))),E2753*10000+B2753,""),"")</f>
        <v/>
      </c>
    </row>
    <row r="2754">
      <c r="B2754" s="101" t="n">
        <v>2748</v>
      </c>
      <c r="C2754" s="58" t="inlineStr">
        <is>
          <t>Bill</t>
        </is>
      </c>
      <c r="D2754" s="58">
        <f>IF(H2754=1,INDEX(ap_No,248)&amp;"","")</f>
        <v/>
      </c>
      <c r="E2754" s="94">
        <f>IF(H2754=1,INDEX(ap_Date,248),"")</f>
        <v/>
      </c>
      <c r="F2754" s="58">
        <f>IF(H2754=1,INDEX(ap_Desc,248)&amp;"","")</f>
        <v/>
      </c>
      <c r="G2754" s="58">
        <f>IF(H2754=1,INDEX(ap_Party,248)&amp;"","")</f>
        <v/>
      </c>
      <c r="H2754" s="101">
        <f>IFERROR(N(INDEX(ap_Posted,248)),0)</f>
        <v/>
      </c>
      <c r="I2754" s="58">
        <f>IF(H2754=1,INDEX(ap_DrAcct,248)&amp;"","")</f>
        <v/>
      </c>
      <c r="J2754" s="95">
        <f>IF(H2754=1,INDEX(ap_DrAmt,248),0)</f>
        <v/>
      </c>
      <c r="K2754" s="58">
        <f>IF(H2754=1,INDEX(ap_CrAcct,248)&amp;"","")</f>
        <v/>
      </c>
      <c r="L2754" s="95">
        <f>IF(H2754=1,INDEX(ap_CrAmt,248),0)</f>
        <v/>
      </c>
      <c r="M2754" s="95">
        <f>IF(H2754=1,INDEX(ap_TaxAmt,248),0)</f>
        <v/>
      </c>
      <c r="N2754" s="95" t="n">
        <v>0</v>
      </c>
      <c r="O2754" s="101">
        <f>IF(H2754=1,IF(E2754&lt;FYStart,0,IF(E2754&gt;FYEnd,13,YEAR(E2754)*12+MONTH(E2754)-FYYM+1)),"")</f>
        <v/>
      </c>
      <c r="P2754" s="101">
        <f>IF(H2754=1,IF(IFERROR(INDEX(coa_CF,MATCH(I2754,coa_Name,0)),"")="Cash",1,0),0)</f>
        <v/>
      </c>
      <c r="Q2754" s="101">
        <f>IF(H2754=1,IF(IFERROR(INDEX(coa_CF,MATCH(K2754,coa_Name,0)),"")="Cash",1,0),0)</f>
        <v/>
      </c>
      <c r="R2754" s="58">
        <f>IF((P2754-Q2754)=0,"",IFERROR(INDEX(coa_CF,MATCH(IF((P2754-Q2754)=1,K2754,I2754),coa_Name,0)),"Operating"))</f>
        <v/>
      </c>
      <c r="S2754" s="95">
        <f>IF((P2754-Q2754)=1,L2754,IF((P2754-Q2754)=-1,-J2754,0))</f>
        <v/>
      </c>
      <c r="T2754" s="95">
        <f>IF((P2754-Q2754)=1,N2754,IF((P2754-Q2754)=-1,-M2754,0))</f>
        <v/>
      </c>
      <c r="U2754" s="101">
        <f>IF(AND(H2754=1,LedAcct&lt;&gt;""),IF(AND(E2754&gt;=LedFrom,E2754&lt;=LedTo,OR(I2754=LedAcct,K2754=LedAcct,AND(LedAcct=acctTax,M2754+N2754&lt;&gt;0))),E2754*10000+B2754,""),"")</f>
        <v/>
      </c>
    </row>
    <row r="2755">
      <c r="B2755" s="101" t="n">
        <v>2749</v>
      </c>
      <c r="C2755" s="58" t="inlineStr">
        <is>
          <t>Bill</t>
        </is>
      </c>
      <c r="D2755" s="58">
        <f>IF(H2755=1,INDEX(ap_No,249)&amp;"","")</f>
        <v/>
      </c>
      <c r="E2755" s="94">
        <f>IF(H2755=1,INDEX(ap_Date,249),"")</f>
        <v/>
      </c>
      <c r="F2755" s="58">
        <f>IF(H2755=1,INDEX(ap_Desc,249)&amp;"","")</f>
        <v/>
      </c>
      <c r="G2755" s="58">
        <f>IF(H2755=1,INDEX(ap_Party,249)&amp;"","")</f>
        <v/>
      </c>
      <c r="H2755" s="101">
        <f>IFERROR(N(INDEX(ap_Posted,249)),0)</f>
        <v/>
      </c>
      <c r="I2755" s="58">
        <f>IF(H2755=1,INDEX(ap_DrAcct,249)&amp;"","")</f>
        <v/>
      </c>
      <c r="J2755" s="95">
        <f>IF(H2755=1,INDEX(ap_DrAmt,249),0)</f>
        <v/>
      </c>
      <c r="K2755" s="58">
        <f>IF(H2755=1,INDEX(ap_CrAcct,249)&amp;"","")</f>
        <v/>
      </c>
      <c r="L2755" s="95">
        <f>IF(H2755=1,INDEX(ap_CrAmt,249),0)</f>
        <v/>
      </c>
      <c r="M2755" s="95">
        <f>IF(H2755=1,INDEX(ap_TaxAmt,249),0)</f>
        <v/>
      </c>
      <c r="N2755" s="95" t="n">
        <v>0</v>
      </c>
      <c r="O2755" s="101">
        <f>IF(H2755=1,IF(E2755&lt;FYStart,0,IF(E2755&gt;FYEnd,13,YEAR(E2755)*12+MONTH(E2755)-FYYM+1)),"")</f>
        <v/>
      </c>
      <c r="P2755" s="101">
        <f>IF(H2755=1,IF(IFERROR(INDEX(coa_CF,MATCH(I2755,coa_Name,0)),"")="Cash",1,0),0)</f>
        <v/>
      </c>
      <c r="Q2755" s="101">
        <f>IF(H2755=1,IF(IFERROR(INDEX(coa_CF,MATCH(K2755,coa_Name,0)),"")="Cash",1,0),0)</f>
        <v/>
      </c>
      <c r="R2755" s="58">
        <f>IF((P2755-Q2755)=0,"",IFERROR(INDEX(coa_CF,MATCH(IF((P2755-Q2755)=1,K2755,I2755),coa_Name,0)),"Operating"))</f>
        <v/>
      </c>
      <c r="S2755" s="95">
        <f>IF((P2755-Q2755)=1,L2755,IF((P2755-Q2755)=-1,-J2755,0))</f>
        <v/>
      </c>
      <c r="T2755" s="95">
        <f>IF((P2755-Q2755)=1,N2755,IF((P2755-Q2755)=-1,-M2755,0))</f>
        <v/>
      </c>
      <c r="U2755" s="101">
        <f>IF(AND(H2755=1,LedAcct&lt;&gt;""),IF(AND(E2755&gt;=LedFrom,E2755&lt;=LedTo,OR(I2755=LedAcct,K2755=LedAcct,AND(LedAcct=acctTax,M2755+N2755&lt;&gt;0))),E2755*10000+B2755,""),"")</f>
        <v/>
      </c>
    </row>
    <row r="2756">
      <c r="B2756" s="101" t="n">
        <v>2750</v>
      </c>
      <c r="C2756" s="58" t="inlineStr">
        <is>
          <t>Bill</t>
        </is>
      </c>
      <c r="D2756" s="58">
        <f>IF(H2756=1,INDEX(ap_No,250)&amp;"","")</f>
        <v/>
      </c>
      <c r="E2756" s="94">
        <f>IF(H2756=1,INDEX(ap_Date,250),"")</f>
        <v/>
      </c>
      <c r="F2756" s="58">
        <f>IF(H2756=1,INDEX(ap_Desc,250)&amp;"","")</f>
        <v/>
      </c>
      <c r="G2756" s="58">
        <f>IF(H2756=1,INDEX(ap_Party,250)&amp;"","")</f>
        <v/>
      </c>
      <c r="H2756" s="101">
        <f>IFERROR(N(INDEX(ap_Posted,250)),0)</f>
        <v/>
      </c>
      <c r="I2756" s="58">
        <f>IF(H2756=1,INDEX(ap_DrAcct,250)&amp;"","")</f>
        <v/>
      </c>
      <c r="J2756" s="95">
        <f>IF(H2756=1,INDEX(ap_DrAmt,250),0)</f>
        <v/>
      </c>
      <c r="K2756" s="58">
        <f>IF(H2756=1,INDEX(ap_CrAcct,250)&amp;"","")</f>
        <v/>
      </c>
      <c r="L2756" s="95">
        <f>IF(H2756=1,INDEX(ap_CrAmt,250),0)</f>
        <v/>
      </c>
      <c r="M2756" s="95">
        <f>IF(H2756=1,INDEX(ap_TaxAmt,250),0)</f>
        <v/>
      </c>
      <c r="N2756" s="95" t="n">
        <v>0</v>
      </c>
      <c r="O2756" s="101">
        <f>IF(H2756=1,IF(E2756&lt;FYStart,0,IF(E2756&gt;FYEnd,13,YEAR(E2756)*12+MONTH(E2756)-FYYM+1)),"")</f>
        <v/>
      </c>
      <c r="P2756" s="101">
        <f>IF(H2756=1,IF(IFERROR(INDEX(coa_CF,MATCH(I2756,coa_Name,0)),"")="Cash",1,0),0)</f>
        <v/>
      </c>
      <c r="Q2756" s="101">
        <f>IF(H2756=1,IF(IFERROR(INDEX(coa_CF,MATCH(K2756,coa_Name,0)),"")="Cash",1,0),0)</f>
        <v/>
      </c>
      <c r="R2756" s="58">
        <f>IF((P2756-Q2756)=0,"",IFERROR(INDEX(coa_CF,MATCH(IF((P2756-Q2756)=1,K2756,I2756),coa_Name,0)),"Operating"))</f>
        <v/>
      </c>
      <c r="S2756" s="95">
        <f>IF((P2756-Q2756)=1,L2756,IF((P2756-Q2756)=-1,-J2756,0))</f>
        <v/>
      </c>
      <c r="T2756" s="95">
        <f>IF((P2756-Q2756)=1,N2756,IF((P2756-Q2756)=-1,-M2756,0))</f>
        <v/>
      </c>
      <c r="U2756" s="101">
        <f>IF(AND(H2756=1,LedAcct&lt;&gt;""),IF(AND(E2756&gt;=LedFrom,E2756&lt;=LedTo,OR(I2756=LedAcct,K2756=LedAcct,AND(LedAcct=acctTax,M2756+N2756&lt;&gt;0))),E2756*10000+B2756,""),"")</f>
        <v/>
      </c>
    </row>
    <row r="2757">
      <c r="B2757" s="101" t="n">
        <v>2751</v>
      </c>
      <c r="C2757" s="58" t="inlineStr">
        <is>
          <t>Bill</t>
        </is>
      </c>
      <c r="D2757" s="58">
        <f>IF(H2757=1,INDEX(ap_No,251)&amp;"","")</f>
        <v/>
      </c>
      <c r="E2757" s="94">
        <f>IF(H2757=1,INDEX(ap_Date,251),"")</f>
        <v/>
      </c>
      <c r="F2757" s="58">
        <f>IF(H2757=1,INDEX(ap_Desc,251)&amp;"","")</f>
        <v/>
      </c>
      <c r="G2757" s="58">
        <f>IF(H2757=1,INDEX(ap_Party,251)&amp;"","")</f>
        <v/>
      </c>
      <c r="H2757" s="101">
        <f>IFERROR(N(INDEX(ap_Posted,251)),0)</f>
        <v/>
      </c>
      <c r="I2757" s="58">
        <f>IF(H2757=1,INDEX(ap_DrAcct,251)&amp;"","")</f>
        <v/>
      </c>
      <c r="J2757" s="95">
        <f>IF(H2757=1,INDEX(ap_DrAmt,251),0)</f>
        <v/>
      </c>
      <c r="K2757" s="58">
        <f>IF(H2757=1,INDEX(ap_CrAcct,251)&amp;"","")</f>
        <v/>
      </c>
      <c r="L2757" s="95">
        <f>IF(H2757=1,INDEX(ap_CrAmt,251),0)</f>
        <v/>
      </c>
      <c r="M2757" s="95">
        <f>IF(H2757=1,INDEX(ap_TaxAmt,251),0)</f>
        <v/>
      </c>
      <c r="N2757" s="95" t="n">
        <v>0</v>
      </c>
      <c r="O2757" s="101">
        <f>IF(H2757=1,IF(E2757&lt;FYStart,0,IF(E2757&gt;FYEnd,13,YEAR(E2757)*12+MONTH(E2757)-FYYM+1)),"")</f>
        <v/>
      </c>
      <c r="P2757" s="101">
        <f>IF(H2757=1,IF(IFERROR(INDEX(coa_CF,MATCH(I2757,coa_Name,0)),"")="Cash",1,0),0)</f>
        <v/>
      </c>
      <c r="Q2757" s="101">
        <f>IF(H2757=1,IF(IFERROR(INDEX(coa_CF,MATCH(K2757,coa_Name,0)),"")="Cash",1,0),0)</f>
        <v/>
      </c>
      <c r="R2757" s="58">
        <f>IF((P2757-Q2757)=0,"",IFERROR(INDEX(coa_CF,MATCH(IF((P2757-Q2757)=1,K2757,I2757),coa_Name,0)),"Operating"))</f>
        <v/>
      </c>
      <c r="S2757" s="95">
        <f>IF((P2757-Q2757)=1,L2757,IF((P2757-Q2757)=-1,-J2757,0))</f>
        <v/>
      </c>
      <c r="T2757" s="95">
        <f>IF((P2757-Q2757)=1,N2757,IF((P2757-Q2757)=-1,-M2757,0))</f>
        <v/>
      </c>
      <c r="U2757" s="101">
        <f>IF(AND(H2757=1,LedAcct&lt;&gt;""),IF(AND(E2757&gt;=LedFrom,E2757&lt;=LedTo,OR(I2757=LedAcct,K2757=LedAcct,AND(LedAcct=acctTax,M2757+N2757&lt;&gt;0))),E2757*10000+B2757,""),"")</f>
        <v/>
      </c>
    </row>
    <row r="2758">
      <c r="B2758" s="101" t="n">
        <v>2752</v>
      </c>
      <c r="C2758" s="58" t="inlineStr">
        <is>
          <t>Bill</t>
        </is>
      </c>
      <c r="D2758" s="58">
        <f>IF(H2758=1,INDEX(ap_No,252)&amp;"","")</f>
        <v/>
      </c>
      <c r="E2758" s="94">
        <f>IF(H2758=1,INDEX(ap_Date,252),"")</f>
        <v/>
      </c>
      <c r="F2758" s="58">
        <f>IF(H2758=1,INDEX(ap_Desc,252)&amp;"","")</f>
        <v/>
      </c>
      <c r="G2758" s="58">
        <f>IF(H2758=1,INDEX(ap_Party,252)&amp;"","")</f>
        <v/>
      </c>
      <c r="H2758" s="101">
        <f>IFERROR(N(INDEX(ap_Posted,252)),0)</f>
        <v/>
      </c>
      <c r="I2758" s="58">
        <f>IF(H2758=1,INDEX(ap_DrAcct,252)&amp;"","")</f>
        <v/>
      </c>
      <c r="J2758" s="95">
        <f>IF(H2758=1,INDEX(ap_DrAmt,252),0)</f>
        <v/>
      </c>
      <c r="K2758" s="58">
        <f>IF(H2758=1,INDEX(ap_CrAcct,252)&amp;"","")</f>
        <v/>
      </c>
      <c r="L2758" s="95">
        <f>IF(H2758=1,INDEX(ap_CrAmt,252),0)</f>
        <v/>
      </c>
      <c r="M2758" s="95">
        <f>IF(H2758=1,INDEX(ap_TaxAmt,252),0)</f>
        <v/>
      </c>
      <c r="N2758" s="95" t="n">
        <v>0</v>
      </c>
      <c r="O2758" s="101">
        <f>IF(H2758=1,IF(E2758&lt;FYStart,0,IF(E2758&gt;FYEnd,13,YEAR(E2758)*12+MONTH(E2758)-FYYM+1)),"")</f>
        <v/>
      </c>
      <c r="P2758" s="101">
        <f>IF(H2758=1,IF(IFERROR(INDEX(coa_CF,MATCH(I2758,coa_Name,0)),"")="Cash",1,0),0)</f>
        <v/>
      </c>
      <c r="Q2758" s="101">
        <f>IF(H2758=1,IF(IFERROR(INDEX(coa_CF,MATCH(K2758,coa_Name,0)),"")="Cash",1,0),0)</f>
        <v/>
      </c>
      <c r="R2758" s="58">
        <f>IF((P2758-Q2758)=0,"",IFERROR(INDEX(coa_CF,MATCH(IF((P2758-Q2758)=1,K2758,I2758),coa_Name,0)),"Operating"))</f>
        <v/>
      </c>
      <c r="S2758" s="95">
        <f>IF((P2758-Q2758)=1,L2758,IF((P2758-Q2758)=-1,-J2758,0))</f>
        <v/>
      </c>
      <c r="T2758" s="95">
        <f>IF((P2758-Q2758)=1,N2758,IF((P2758-Q2758)=-1,-M2758,0))</f>
        <v/>
      </c>
      <c r="U2758" s="101">
        <f>IF(AND(H2758=1,LedAcct&lt;&gt;""),IF(AND(E2758&gt;=LedFrom,E2758&lt;=LedTo,OR(I2758=LedAcct,K2758=LedAcct,AND(LedAcct=acctTax,M2758+N2758&lt;&gt;0))),E2758*10000+B2758,""),"")</f>
        <v/>
      </c>
    </row>
    <row r="2759">
      <c r="B2759" s="101" t="n">
        <v>2753</v>
      </c>
      <c r="C2759" s="58" t="inlineStr">
        <is>
          <t>Bill</t>
        </is>
      </c>
      <c r="D2759" s="58">
        <f>IF(H2759=1,INDEX(ap_No,253)&amp;"","")</f>
        <v/>
      </c>
      <c r="E2759" s="94">
        <f>IF(H2759=1,INDEX(ap_Date,253),"")</f>
        <v/>
      </c>
      <c r="F2759" s="58">
        <f>IF(H2759=1,INDEX(ap_Desc,253)&amp;"","")</f>
        <v/>
      </c>
      <c r="G2759" s="58">
        <f>IF(H2759=1,INDEX(ap_Party,253)&amp;"","")</f>
        <v/>
      </c>
      <c r="H2759" s="101">
        <f>IFERROR(N(INDEX(ap_Posted,253)),0)</f>
        <v/>
      </c>
      <c r="I2759" s="58">
        <f>IF(H2759=1,INDEX(ap_DrAcct,253)&amp;"","")</f>
        <v/>
      </c>
      <c r="J2759" s="95">
        <f>IF(H2759=1,INDEX(ap_DrAmt,253),0)</f>
        <v/>
      </c>
      <c r="K2759" s="58">
        <f>IF(H2759=1,INDEX(ap_CrAcct,253)&amp;"","")</f>
        <v/>
      </c>
      <c r="L2759" s="95">
        <f>IF(H2759=1,INDEX(ap_CrAmt,253),0)</f>
        <v/>
      </c>
      <c r="M2759" s="95">
        <f>IF(H2759=1,INDEX(ap_TaxAmt,253),0)</f>
        <v/>
      </c>
      <c r="N2759" s="95" t="n">
        <v>0</v>
      </c>
      <c r="O2759" s="101">
        <f>IF(H2759=1,IF(E2759&lt;FYStart,0,IF(E2759&gt;FYEnd,13,YEAR(E2759)*12+MONTH(E2759)-FYYM+1)),"")</f>
        <v/>
      </c>
      <c r="P2759" s="101">
        <f>IF(H2759=1,IF(IFERROR(INDEX(coa_CF,MATCH(I2759,coa_Name,0)),"")="Cash",1,0),0)</f>
        <v/>
      </c>
      <c r="Q2759" s="101">
        <f>IF(H2759=1,IF(IFERROR(INDEX(coa_CF,MATCH(K2759,coa_Name,0)),"")="Cash",1,0),0)</f>
        <v/>
      </c>
      <c r="R2759" s="58">
        <f>IF((P2759-Q2759)=0,"",IFERROR(INDEX(coa_CF,MATCH(IF((P2759-Q2759)=1,K2759,I2759),coa_Name,0)),"Operating"))</f>
        <v/>
      </c>
      <c r="S2759" s="95">
        <f>IF((P2759-Q2759)=1,L2759,IF((P2759-Q2759)=-1,-J2759,0))</f>
        <v/>
      </c>
      <c r="T2759" s="95">
        <f>IF((P2759-Q2759)=1,N2759,IF((P2759-Q2759)=-1,-M2759,0))</f>
        <v/>
      </c>
      <c r="U2759" s="101">
        <f>IF(AND(H2759=1,LedAcct&lt;&gt;""),IF(AND(E2759&gt;=LedFrom,E2759&lt;=LedTo,OR(I2759=LedAcct,K2759=LedAcct,AND(LedAcct=acctTax,M2759+N2759&lt;&gt;0))),E2759*10000+B2759,""),"")</f>
        <v/>
      </c>
    </row>
    <row r="2760">
      <c r="B2760" s="101" t="n">
        <v>2754</v>
      </c>
      <c r="C2760" s="58" t="inlineStr">
        <is>
          <t>Bill</t>
        </is>
      </c>
      <c r="D2760" s="58">
        <f>IF(H2760=1,INDEX(ap_No,254)&amp;"","")</f>
        <v/>
      </c>
      <c r="E2760" s="94">
        <f>IF(H2760=1,INDEX(ap_Date,254),"")</f>
        <v/>
      </c>
      <c r="F2760" s="58">
        <f>IF(H2760=1,INDEX(ap_Desc,254)&amp;"","")</f>
        <v/>
      </c>
      <c r="G2760" s="58">
        <f>IF(H2760=1,INDEX(ap_Party,254)&amp;"","")</f>
        <v/>
      </c>
      <c r="H2760" s="101">
        <f>IFERROR(N(INDEX(ap_Posted,254)),0)</f>
        <v/>
      </c>
      <c r="I2760" s="58">
        <f>IF(H2760=1,INDEX(ap_DrAcct,254)&amp;"","")</f>
        <v/>
      </c>
      <c r="J2760" s="95">
        <f>IF(H2760=1,INDEX(ap_DrAmt,254),0)</f>
        <v/>
      </c>
      <c r="K2760" s="58">
        <f>IF(H2760=1,INDEX(ap_CrAcct,254)&amp;"","")</f>
        <v/>
      </c>
      <c r="L2760" s="95">
        <f>IF(H2760=1,INDEX(ap_CrAmt,254),0)</f>
        <v/>
      </c>
      <c r="M2760" s="95">
        <f>IF(H2760=1,INDEX(ap_TaxAmt,254),0)</f>
        <v/>
      </c>
      <c r="N2760" s="95" t="n">
        <v>0</v>
      </c>
      <c r="O2760" s="101">
        <f>IF(H2760=1,IF(E2760&lt;FYStart,0,IF(E2760&gt;FYEnd,13,YEAR(E2760)*12+MONTH(E2760)-FYYM+1)),"")</f>
        <v/>
      </c>
      <c r="P2760" s="101">
        <f>IF(H2760=1,IF(IFERROR(INDEX(coa_CF,MATCH(I2760,coa_Name,0)),"")="Cash",1,0),0)</f>
        <v/>
      </c>
      <c r="Q2760" s="101">
        <f>IF(H2760=1,IF(IFERROR(INDEX(coa_CF,MATCH(K2760,coa_Name,0)),"")="Cash",1,0),0)</f>
        <v/>
      </c>
      <c r="R2760" s="58">
        <f>IF((P2760-Q2760)=0,"",IFERROR(INDEX(coa_CF,MATCH(IF((P2760-Q2760)=1,K2760,I2760),coa_Name,0)),"Operating"))</f>
        <v/>
      </c>
      <c r="S2760" s="95">
        <f>IF((P2760-Q2760)=1,L2760,IF((P2760-Q2760)=-1,-J2760,0))</f>
        <v/>
      </c>
      <c r="T2760" s="95">
        <f>IF((P2760-Q2760)=1,N2760,IF((P2760-Q2760)=-1,-M2760,0))</f>
        <v/>
      </c>
      <c r="U2760" s="101">
        <f>IF(AND(H2760=1,LedAcct&lt;&gt;""),IF(AND(E2760&gt;=LedFrom,E2760&lt;=LedTo,OR(I2760=LedAcct,K2760=LedAcct,AND(LedAcct=acctTax,M2760+N2760&lt;&gt;0))),E2760*10000+B2760,""),"")</f>
        <v/>
      </c>
    </row>
    <row r="2761">
      <c r="B2761" s="101" t="n">
        <v>2755</v>
      </c>
      <c r="C2761" s="58" t="inlineStr">
        <is>
          <t>Bill</t>
        </is>
      </c>
      <c r="D2761" s="58">
        <f>IF(H2761=1,INDEX(ap_No,255)&amp;"","")</f>
        <v/>
      </c>
      <c r="E2761" s="94">
        <f>IF(H2761=1,INDEX(ap_Date,255),"")</f>
        <v/>
      </c>
      <c r="F2761" s="58">
        <f>IF(H2761=1,INDEX(ap_Desc,255)&amp;"","")</f>
        <v/>
      </c>
      <c r="G2761" s="58">
        <f>IF(H2761=1,INDEX(ap_Party,255)&amp;"","")</f>
        <v/>
      </c>
      <c r="H2761" s="101">
        <f>IFERROR(N(INDEX(ap_Posted,255)),0)</f>
        <v/>
      </c>
      <c r="I2761" s="58">
        <f>IF(H2761=1,INDEX(ap_DrAcct,255)&amp;"","")</f>
        <v/>
      </c>
      <c r="J2761" s="95">
        <f>IF(H2761=1,INDEX(ap_DrAmt,255),0)</f>
        <v/>
      </c>
      <c r="K2761" s="58">
        <f>IF(H2761=1,INDEX(ap_CrAcct,255)&amp;"","")</f>
        <v/>
      </c>
      <c r="L2761" s="95">
        <f>IF(H2761=1,INDEX(ap_CrAmt,255),0)</f>
        <v/>
      </c>
      <c r="M2761" s="95">
        <f>IF(H2761=1,INDEX(ap_TaxAmt,255),0)</f>
        <v/>
      </c>
      <c r="N2761" s="95" t="n">
        <v>0</v>
      </c>
      <c r="O2761" s="101">
        <f>IF(H2761=1,IF(E2761&lt;FYStart,0,IF(E2761&gt;FYEnd,13,YEAR(E2761)*12+MONTH(E2761)-FYYM+1)),"")</f>
        <v/>
      </c>
      <c r="P2761" s="101">
        <f>IF(H2761=1,IF(IFERROR(INDEX(coa_CF,MATCH(I2761,coa_Name,0)),"")="Cash",1,0),0)</f>
        <v/>
      </c>
      <c r="Q2761" s="101">
        <f>IF(H2761=1,IF(IFERROR(INDEX(coa_CF,MATCH(K2761,coa_Name,0)),"")="Cash",1,0),0)</f>
        <v/>
      </c>
      <c r="R2761" s="58">
        <f>IF((P2761-Q2761)=0,"",IFERROR(INDEX(coa_CF,MATCH(IF((P2761-Q2761)=1,K2761,I2761),coa_Name,0)),"Operating"))</f>
        <v/>
      </c>
      <c r="S2761" s="95">
        <f>IF((P2761-Q2761)=1,L2761,IF((P2761-Q2761)=-1,-J2761,0))</f>
        <v/>
      </c>
      <c r="T2761" s="95">
        <f>IF((P2761-Q2761)=1,N2761,IF((P2761-Q2761)=-1,-M2761,0))</f>
        <v/>
      </c>
      <c r="U2761" s="101">
        <f>IF(AND(H2761=1,LedAcct&lt;&gt;""),IF(AND(E2761&gt;=LedFrom,E2761&lt;=LedTo,OR(I2761=LedAcct,K2761=LedAcct,AND(LedAcct=acctTax,M2761+N2761&lt;&gt;0))),E2761*10000+B2761,""),"")</f>
        <v/>
      </c>
    </row>
    <row r="2762">
      <c r="B2762" s="101" t="n">
        <v>2756</v>
      </c>
      <c r="C2762" s="58" t="inlineStr">
        <is>
          <t>Bill</t>
        </is>
      </c>
      <c r="D2762" s="58">
        <f>IF(H2762=1,INDEX(ap_No,256)&amp;"","")</f>
        <v/>
      </c>
      <c r="E2762" s="94">
        <f>IF(H2762=1,INDEX(ap_Date,256),"")</f>
        <v/>
      </c>
      <c r="F2762" s="58">
        <f>IF(H2762=1,INDEX(ap_Desc,256)&amp;"","")</f>
        <v/>
      </c>
      <c r="G2762" s="58">
        <f>IF(H2762=1,INDEX(ap_Party,256)&amp;"","")</f>
        <v/>
      </c>
      <c r="H2762" s="101">
        <f>IFERROR(N(INDEX(ap_Posted,256)),0)</f>
        <v/>
      </c>
      <c r="I2762" s="58">
        <f>IF(H2762=1,INDEX(ap_DrAcct,256)&amp;"","")</f>
        <v/>
      </c>
      <c r="J2762" s="95">
        <f>IF(H2762=1,INDEX(ap_DrAmt,256),0)</f>
        <v/>
      </c>
      <c r="K2762" s="58">
        <f>IF(H2762=1,INDEX(ap_CrAcct,256)&amp;"","")</f>
        <v/>
      </c>
      <c r="L2762" s="95">
        <f>IF(H2762=1,INDEX(ap_CrAmt,256),0)</f>
        <v/>
      </c>
      <c r="M2762" s="95">
        <f>IF(H2762=1,INDEX(ap_TaxAmt,256),0)</f>
        <v/>
      </c>
      <c r="N2762" s="95" t="n">
        <v>0</v>
      </c>
      <c r="O2762" s="101">
        <f>IF(H2762=1,IF(E2762&lt;FYStart,0,IF(E2762&gt;FYEnd,13,YEAR(E2762)*12+MONTH(E2762)-FYYM+1)),"")</f>
        <v/>
      </c>
      <c r="P2762" s="101">
        <f>IF(H2762=1,IF(IFERROR(INDEX(coa_CF,MATCH(I2762,coa_Name,0)),"")="Cash",1,0),0)</f>
        <v/>
      </c>
      <c r="Q2762" s="101">
        <f>IF(H2762=1,IF(IFERROR(INDEX(coa_CF,MATCH(K2762,coa_Name,0)),"")="Cash",1,0),0)</f>
        <v/>
      </c>
      <c r="R2762" s="58">
        <f>IF((P2762-Q2762)=0,"",IFERROR(INDEX(coa_CF,MATCH(IF((P2762-Q2762)=1,K2762,I2762),coa_Name,0)),"Operating"))</f>
        <v/>
      </c>
      <c r="S2762" s="95">
        <f>IF((P2762-Q2762)=1,L2762,IF((P2762-Q2762)=-1,-J2762,0))</f>
        <v/>
      </c>
      <c r="T2762" s="95">
        <f>IF((P2762-Q2762)=1,N2762,IF((P2762-Q2762)=-1,-M2762,0))</f>
        <v/>
      </c>
      <c r="U2762" s="101">
        <f>IF(AND(H2762=1,LedAcct&lt;&gt;""),IF(AND(E2762&gt;=LedFrom,E2762&lt;=LedTo,OR(I2762=LedAcct,K2762=LedAcct,AND(LedAcct=acctTax,M2762+N2762&lt;&gt;0))),E2762*10000+B2762,""),"")</f>
        <v/>
      </c>
    </row>
    <row r="2763">
      <c r="B2763" s="101" t="n">
        <v>2757</v>
      </c>
      <c r="C2763" s="58" t="inlineStr">
        <is>
          <t>Bill</t>
        </is>
      </c>
      <c r="D2763" s="58">
        <f>IF(H2763=1,INDEX(ap_No,257)&amp;"","")</f>
        <v/>
      </c>
      <c r="E2763" s="94">
        <f>IF(H2763=1,INDEX(ap_Date,257),"")</f>
        <v/>
      </c>
      <c r="F2763" s="58">
        <f>IF(H2763=1,INDEX(ap_Desc,257)&amp;"","")</f>
        <v/>
      </c>
      <c r="G2763" s="58">
        <f>IF(H2763=1,INDEX(ap_Party,257)&amp;"","")</f>
        <v/>
      </c>
      <c r="H2763" s="101">
        <f>IFERROR(N(INDEX(ap_Posted,257)),0)</f>
        <v/>
      </c>
      <c r="I2763" s="58">
        <f>IF(H2763=1,INDEX(ap_DrAcct,257)&amp;"","")</f>
        <v/>
      </c>
      <c r="J2763" s="95">
        <f>IF(H2763=1,INDEX(ap_DrAmt,257),0)</f>
        <v/>
      </c>
      <c r="K2763" s="58">
        <f>IF(H2763=1,INDEX(ap_CrAcct,257)&amp;"","")</f>
        <v/>
      </c>
      <c r="L2763" s="95">
        <f>IF(H2763=1,INDEX(ap_CrAmt,257),0)</f>
        <v/>
      </c>
      <c r="M2763" s="95">
        <f>IF(H2763=1,INDEX(ap_TaxAmt,257),0)</f>
        <v/>
      </c>
      <c r="N2763" s="95" t="n">
        <v>0</v>
      </c>
      <c r="O2763" s="101">
        <f>IF(H2763=1,IF(E2763&lt;FYStart,0,IF(E2763&gt;FYEnd,13,YEAR(E2763)*12+MONTH(E2763)-FYYM+1)),"")</f>
        <v/>
      </c>
      <c r="P2763" s="101">
        <f>IF(H2763=1,IF(IFERROR(INDEX(coa_CF,MATCH(I2763,coa_Name,0)),"")="Cash",1,0),0)</f>
        <v/>
      </c>
      <c r="Q2763" s="101">
        <f>IF(H2763=1,IF(IFERROR(INDEX(coa_CF,MATCH(K2763,coa_Name,0)),"")="Cash",1,0),0)</f>
        <v/>
      </c>
      <c r="R2763" s="58">
        <f>IF((P2763-Q2763)=0,"",IFERROR(INDEX(coa_CF,MATCH(IF((P2763-Q2763)=1,K2763,I2763),coa_Name,0)),"Operating"))</f>
        <v/>
      </c>
      <c r="S2763" s="95">
        <f>IF((P2763-Q2763)=1,L2763,IF((P2763-Q2763)=-1,-J2763,0))</f>
        <v/>
      </c>
      <c r="T2763" s="95">
        <f>IF((P2763-Q2763)=1,N2763,IF((P2763-Q2763)=-1,-M2763,0))</f>
        <v/>
      </c>
      <c r="U2763" s="101">
        <f>IF(AND(H2763=1,LedAcct&lt;&gt;""),IF(AND(E2763&gt;=LedFrom,E2763&lt;=LedTo,OR(I2763=LedAcct,K2763=LedAcct,AND(LedAcct=acctTax,M2763+N2763&lt;&gt;0))),E2763*10000+B2763,""),"")</f>
        <v/>
      </c>
    </row>
    <row r="2764">
      <c r="B2764" s="101" t="n">
        <v>2758</v>
      </c>
      <c r="C2764" s="58" t="inlineStr">
        <is>
          <t>Bill</t>
        </is>
      </c>
      <c r="D2764" s="58">
        <f>IF(H2764=1,INDEX(ap_No,258)&amp;"","")</f>
        <v/>
      </c>
      <c r="E2764" s="94">
        <f>IF(H2764=1,INDEX(ap_Date,258),"")</f>
        <v/>
      </c>
      <c r="F2764" s="58">
        <f>IF(H2764=1,INDEX(ap_Desc,258)&amp;"","")</f>
        <v/>
      </c>
      <c r="G2764" s="58">
        <f>IF(H2764=1,INDEX(ap_Party,258)&amp;"","")</f>
        <v/>
      </c>
      <c r="H2764" s="101">
        <f>IFERROR(N(INDEX(ap_Posted,258)),0)</f>
        <v/>
      </c>
      <c r="I2764" s="58">
        <f>IF(H2764=1,INDEX(ap_DrAcct,258)&amp;"","")</f>
        <v/>
      </c>
      <c r="J2764" s="95">
        <f>IF(H2764=1,INDEX(ap_DrAmt,258),0)</f>
        <v/>
      </c>
      <c r="K2764" s="58">
        <f>IF(H2764=1,INDEX(ap_CrAcct,258)&amp;"","")</f>
        <v/>
      </c>
      <c r="L2764" s="95">
        <f>IF(H2764=1,INDEX(ap_CrAmt,258),0)</f>
        <v/>
      </c>
      <c r="M2764" s="95">
        <f>IF(H2764=1,INDEX(ap_TaxAmt,258),0)</f>
        <v/>
      </c>
      <c r="N2764" s="95" t="n">
        <v>0</v>
      </c>
      <c r="O2764" s="101">
        <f>IF(H2764=1,IF(E2764&lt;FYStart,0,IF(E2764&gt;FYEnd,13,YEAR(E2764)*12+MONTH(E2764)-FYYM+1)),"")</f>
        <v/>
      </c>
      <c r="P2764" s="101">
        <f>IF(H2764=1,IF(IFERROR(INDEX(coa_CF,MATCH(I2764,coa_Name,0)),"")="Cash",1,0),0)</f>
        <v/>
      </c>
      <c r="Q2764" s="101">
        <f>IF(H2764=1,IF(IFERROR(INDEX(coa_CF,MATCH(K2764,coa_Name,0)),"")="Cash",1,0),0)</f>
        <v/>
      </c>
      <c r="R2764" s="58">
        <f>IF((P2764-Q2764)=0,"",IFERROR(INDEX(coa_CF,MATCH(IF((P2764-Q2764)=1,K2764,I2764),coa_Name,0)),"Operating"))</f>
        <v/>
      </c>
      <c r="S2764" s="95">
        <f>IF((P2764-Q2764)=1,L2764,IF((P2764-Q2764)=-1,-J2764,0))</f>
        <v/>
      </c>
      <c r="T2764" s="95">
        <f>IF((P2764-Q2764)=1,N2764,IF((P2764-Q2764)=-1,-M2764,0))</f>
        <v/>
      </c>
      <c r="U2764" s="101">
        <f>IF(AND(H2764=1,LedAcct&lt;&gt;""),IF(AND(E2764&gt;=LedFrom,E2764&lt;=LedTo,OR(I2764=LedAcct,K2764=LedAcct,AND(LedAcct=acctTax,M2764+N2764&lt;&gt;0))),E2764*10000+B2764,""),"")</f>
        <v/>
      </c>
    </row>
    <row r="2765">
      <c r="B2765" s="101" t="n">
        <v>2759</v>
      </c>
      <c r="C2765" s="58" t="inlineStr">
        <is>
          <t>Bill</t>
        </is>
      </c>
      <c r="D2765" s="58">
        <f>IF(H2765=1,INDEX(ap_No,259)&amp;"","")</f>
        <v/>
      </c>
      <c r="E2765" s="94">
        <f>IF(H2765=1,INDEX(ap_Date,259),"")</f>
        <v/>
      </c>
      <c r="F2765" s="58">
        <f>IF(H2765=1,INDEX(ap_Desc,259)&amp;"","")</f>
        <v/>
      </c>
      <c r="G2765" s="58">
        <f>IF(H2765=1,INDEX(ap_Party,259)&amp;"","")</f>
        <v/>
      </c>
      <c r="H2765" s="101">
        <f>IFERROR(N(INDEX(ap_Posted,259)),0)</f>
        <v/>
      </c>
      <c r="I2765" s="58">
        <f>IF(H2765=1,INDEX(ap_DrAcct,259)&amp;"","")</f>
        <v/>
      </c>
      <c r="J2765" s="95">
        <f>IF(H2765=1,INDEX(ap_DrAmt,259),0)</f>
        <v/>
      </c>
      <c r="K2765" s="58">
        <f>IF(H2765=1,INDEX(ap_CrAcct,259)&amp;"","")</f>
        <v/>
      </c>
      <c r="L2765" s="95">
        <f>IF(H2765=1,INDEX(ap_CrAmt,259),0)</f>
        <v/>
      </c>
      <c r="M2765" s="95">
        <f>IF(H2765=1,INDEX(ap_TaxAmt,259),0)</f>
        <v/>
      </c>
      <c r="N2765" s="95" t="n">
        <v>0</v>
      </c>
      <c r="O2765" s="101">
        <f>IF(H2765=1,IF(E2765&lt;FYStart,0,IF(E2765&gt;FYEnd,13,YEAR(E2765)*12+MONTH(E2765)-FYYM+1)),"")</f>
        <v/>
      </c>
      <c r="P2765" s="101">
        <f>IF(H2765=1,IF(IFERROR(INDEX(coa_CF,MATCH(I2765,coa_Name,0)),"")="Cash",1,0),0)</f>
        <v/>
      </c>
      <c r="Q2765" s="101">
        <f>IF(H2765=1,IF(IFERROR(INDEX(coa_CF,MATCH(K2765,coa_Name,0)),"")="Cash",1,0),0)</f>
        <v/>
      </c>
      <c r="R2765" s="58">
        <f>IF((P2765-Q2765)=0,"",IFERROR(INDEX(coa_CF,MATCH(IF((P2765-Q2765)=1,K2765,I2765),coa_Name,0)),"Operating"))</f>
        <v/>
      </c>
      <c r="S2765" s="95">
        <f>IF((P2765-Q2765)=1,L2765,IF((P2765-Q2765)=-1,-J2765,0))</f>
        <v/>
      </c>
      <c r="T2765" s="95">
        <f>IF((P2765-Q2765)=1,N2765,IF((P2765-Q2765)=-1,-M2765,0))</f>
        <v/>
      </c>
      <c r="U2765" s="101">
        <f>IF(AND(H2765=1,LedAcct&lt;&gt;""),IF(AND(E2765&gt;=LedFrom,E2765&lt;=LedTo,OR(I2765=LedAcct,K2765=LedAcct,AND(LedAcct=acctTax,M2765+N2765&lt;&gt;0))),E2765*10000+B2765,""),"")</f>
        <v/>
      </c>
    </row>
    <row r="2766">
      <c r="B2766" s="101" t="n">
        <v>2760</v>
      </c>
      <c r="C2766" s="58" t="inlineStr">
        <is>
          <t>Bill</t>
        </is>
      </c>
      <c r="D2766" s="58">
        <f>IF(H2766=1,INDEX(ap_No,260)&amp;"","")</f>
        <v/>
      </c>
      <c r="E2766" s="94">
        <f>IF(H2766=1,INDEX(ap_Date,260),"")</f>
        <v/>
      </c>
      <c r="F2766" s="58">
        <f>IF(H2766=1,INDEX(ap_Desc,260)&amp;"","")</f>
        <v/>
      </c>
      <c r="G2766" s="58">
        <f>IF(H2766=1,INDEX(ap_Party,260)&amp;"","")</f>
        <v/>
      </c>
      <c r="H2766" s="101">
        <f>IFERROR(N(INDEX(ap_Posted,260)),0)</f>
        <v/>
      </c>
      <c r="I2766" s="58">
        <f>IF(H2766=1,INDEX(ap_DrAcct,260)&amp;"","")</f>
        <v/>
      </c>
      <c r="J2766" s="95">
        <f>IF(H2766=1,INDEX(ap_DrAmt,260),0)</f>
        <v/>
      </c>
      <c r="K2766" s="58">
        <f>IF(H2766=1,INDEX(ap_CrAcct,260)&amp;"","")</f>
        <v/>
      </c>
      <c r="L2766" s="95">
        <f>IF(H2766=1,INDEX(ap_CrAmt,260),0)</f>
        <v/>
      </c>
      <c r="M2766" s="95">
        <f>IF(H2766=1,INDEX(ap_TaxAmt,260),0)</f>
        <v/>
      </c>
      <c r="N2766" s="95" t="n">
        <v>0</v>
      </c>
      <c r="O2766" s="101">
        <f>IF(H2766=1,IF(E2766&lt;FYStart,0,IF(E2766&gt;FYEnd,13,YEAR(E2766)*12+MONTH(E2766)-FYYM+1)),"")</f>
        <v/>
      </c>
      <c r="P2766" s="101">
        <f>IF(H2766=1,IF(IFERROR(INDEX(coa_CF,MATCH(I2766,coa_Name,0)),"")="Cash",1,0),0)</f>
        <v/>
      </c>
      <c r="Q2766" s="101">
        <f>IF(H2766=1,IF(IFERROR(INDEX(coa_CF,MATCH(K2766,coa_Name,0)),"")="Cash",1,0),0)</f>
        <v/>
      </c>
      <c r="R2766" s="58">
        <f>IF((P2766-Q2766)=0,"",IFERROR(INDEX(coa_CF,MATCH(IF((P2766-Q2766)=1,K2766,I2766),coa_Name,0)),"Operating"))</f>
        <v/>
      </c>
      <c r="S2766" s="95">
        <f>IF((P2766-Q2766)=1,L2766,IF((P2766-Q2766)=-1,-J2766,0))</f>
        <v/>
      </c>
      <c r="T2766" s="95">
        <f>IF((P2766-Q2766)=1,N2766,IF((P2766-Q2766)=-1,-M2766,0))</f>
        <v/>
      </c>
      <c r="U2766" s="101">
        <f>IF(AND(H2766=1,LedAcct&lt;&gt;""),IF(AND(E2766&gt;=LedFrom,E2766&lt;=LedTo,OR(I2766=LedAcct,K2766=LedAcct,AND(LedAcct=acctTax,M2766+N2766&lt;&gt;0))),E2766*10000+B2766,""),"")</f>
        <v/>
      </c>
    </row>
    <row r="2767">
      <c r="B2767" s="101" t="n">
        <v>2761</v>
      </c>
      <c r="C2767" s="58" t="inlineStr">
        <is>
          <t>Bill</t>
        </is>
      </c>
      <c r="D2767" s="58">
        <f>IF(H2767=1,INDEX(ap_No,261)&amp;"","")</f>
        <v/>
      </c>
      <c r="E2767" s="94">
        <f>IF(H2767=1,INDEX(ap_Date,261),"")</f>
        <v/>
      </c>
      <c r="F2767" s="58">
        <f>IF(H2767=1,INDEX(ap_Desc,261)&amp;"","")</f>
        <v/>
      </c>
      <c r="G2767" s="58">
        <f>IF(H2767=1,INDEX(ap_Party,261)&amp;"","")</f>
        <v/>
      </c>
      <c r="H2767" s="101">
        <f>IFERROR(N(INDEX(ap_Posted,261)),0)</f>
        <v/>
      </c>
      <c r="I2767" s="58">
        <f>IF(H2767=1,INDEX(ap_DrAcct,261)&amp;"","")</f>
        <v/>
      </c>
      <c r="J2767" s="95">
        <f>IF(H2767=1,INDEX(ap_DrAmt,261),0)</f>
        <v/>
      </c>
      <c r="K2767" s="58">
        <f>IF(H2767=1,INDEX(ap_CrAcct,261)&amp;"","")</f>
        <v/>
      </c>
      <c r="L2767" s="95">
        <f>IF(H2767=1,INDEX(ap_CrAmt,261),0)</f>
        <v/>
      </c>
      <c r="M2767" s="95">
        <f>IF(H2767=1,INDEX(ap_TaxAmt,261),0)</f>
        <v/>
      </c>
      <c r="N2767" s="95" t="n">
        <v>0</v>
      </c>
      <c r="O2767" s="101">
        <f>IF(H2767=1,IF(E2767&lt;FYStart,0,IF(E2767&gt;FYEnd,13,YEAR(E2767)*12+MONTH(E2767)-FYYM+1)),"")</f>
        <v/>
      </c>
      <c r="P2767" s="101">
        <f>IF(H2767=1,IF(IFERROR(INDEX(coa_CF,MATCH(I2767,coa_Name,0)),"")="Cash",1,0),0)</f>
        <v/>
      </c>
      <c r="Q2767" s="101">
        <f>IF(H2767=1,IF(IFERROR(INDEX(coa_CF,MATCH(K2767,coa_Name,0)),"")="Cash",1,0),0)</f>
        <v/>
      </c>
      <c r="R2767" s="58">
        <f>IF((P2767-Q2767)=0,"",IFERROR(INDEX(coa_CF,MATCH(IF((P2767-Q2767)=1,K2767,I2767),coa_Name,0)),"Operating"))</f>
        <v/>
      </c>
      <c r="S2767" s="95">
        <f>IF((P2767-Q2767)=1,L2767,IF((P2767-Q2767)=-1,-J2767,0))</f>
        <v/>
      </c>
      <c r="T2767" s="95">
        <f>IF((P2767-Q2767)=1,N2767,IF((P2767-Q2767)=-1,-M2767,0))</f>
        <v/>
      </c>
      <c r="U2767" s="101">
        <f>IF(AND(H2767=1,LedAcct&lt;&gt;""),IF(AND(E2767&gt;=LedFrom,E2767&lt;=LedTo,OR(I2767=LedAcct,K2767=LedAcct,AND(LedAcct=acctTax,M2767+N2767&lt;&gt;0))),E2767*10000+B2767,""),"")</f>
        <v/>
      </c>
    </row>
    <row r="2768">
      <c r="B2768" s="101" t="n">
        <v>2762</v>
      </c>
      <c r="C2768" s="58" t="inlineStr">
        <is>
          <t>Bill</t>
        </is>
      </c>
      <c r="D2768" s="58">
        <f>IF(H2768=1,INDEX(ap_No,262)&amp;"","")</f>
        <v/>
      </c>
      <c r="E2768" s="94">
        <f>IF(H2768=1,INDEX(ap_Date,262),"")</f>
        <v/>
      </c>
      <c r="F2768" s="58">
        <f>IF(H2768=1,INDEX(ap_Desc,262)&amp;"","")</f>
        <v/>
      </c>
      <c r="G2768" s="58">
        <f>IF(H2768=1,INDEX(ap_Party,262)&amp;"","")</f>
        <v/>
      </c>
      <c r="H2768" s="101">
        <f>IFERROR(N(INDEX(ap_Posted,262)),0)</f>
        <v/>
      </c>
      <c r="I2768" s="58">
        <f>IF(H2768=1,INDEX(ap_DrAcct,262)&amp;"","")</f>
        <v/>
      </c>
      <c r="J2768" s="95">
        <f>IF(H2768=1,INDEX(ap_DrAmt,262),0)</f>
        <v/>
      </c>
      <c r="K2768" s="58">
        <f>IF(H2768=1,INDEX(ap_CrAcct,262)&amp;"","")</f>
        <v/>
      </c>
      <c r="L2768" s="95">
        <f>IF(H2768=1,INDEX(ap_CrAmt,262),0)</f>
        <v/>
      </c>
      <c r="M2768" s="95">
        <f>IF(H2768=1,INDEX(ap_TaxAmt,262),0)</f>
        <v/>
      </c>
      <c r="N2768" s="95" t="n">
        <v>0</v>
      </c>
      <c r="O2768" s="101">
        <f>IF(H2768=1,IF(E2768&lt;FYStart,0,IF(E2768&gt;FYEnd,13,YEAR(E2768)*12+MONTH(E2768)-FYYM+1)),"")</f>
        <v/>
      </c>
      <c r="P2768" s="101">
        <f>IF(H2768=1,IF(IFERROR(INDEX(coa_CF,MATCH(I2768,coa_Name,0)),"")="Cash",1,0),0)</f>
        <v/>
      </c>
      <c r="Q2768" s="101">
        <f>IF(H2768=1,IF(IFERROR(INDEX(coa_CF,MATCH(K2768,coa_Name,0)),"")="Cash",1,0),0)</f>
        <v/>
      </c>
      <c r="R2768" s="58">
        <f>IF((P2768-Q2768)=0,"",IFERROR(INDEX(coa_CF,MATCH(IF((P2768-Q2768)=1,K2768,I2768),coa_Name,0)),"Operating"))</f>
        <v/>
      </c>
      <c r="S2768" s="95">
        <f>IF((P2768-Q2768)=1,L2768,IF((P2768-Q2768)=-1,-J2768,0))</f>
        <v/>
      </c>
      <c r="T2768" s="95">
        <f>IF((P2768-Q2768)=1,N2768,IF((P2768-Q2768)=-1,-M2768,0))</f>
        <v/>
      </c>
      <c r="U2768" s="101">
        <f>IF(AND(H2768=1,LedAcct&lt;&gt;""),IF(AND(E2768&gt;=LedFrom,E2768&lt;=LedTo,OR(I2768=LedAcct,K2768=LedAcct,AND(LedAcct=acctTax,M2768+N2768&lt;&gt;0))),E2768*10000+B2768,""),"")</f>
        <v/>
      </c>
    </row>
    <row r="2769">
      <c r="B2769" s="101" t="n">
        <v>2763</v>
      </c>
      <c r="C2769" s="58" t="inlineStr">
        <is>
          <t>Bill</t>
        </is>
      </c>
      <c r="D2769" s="58">
        <f>IF(H2769=1,INDEX(ap_No,263)&amp;"","")</f>
        <v/>
      </c>
      <c r="E2769" s="94">
        <f>IF(H2769=1,INDEX(ap_Date,263),"")</f>
        <v/>
      </c>
      <c r="F2769" s="58">
        <f>IF(H2769=1,INDEX(ap_Desc,263)&amp;"","")</f>
        <v/>
      </c>
      <c r="G2769" s="58">
        <f>IF(H2769=1,INDEX(ap_Party,263)&amp;"","")</f>
        <v/>
      </c>
      <c r="H2769" s="101">
        <f>IFERROR(N(INDEX(ap_Posted,263)),0)</f>
        <v/>
      </c>
      <c r="I2769" s="58">
        <f>IF(H2769=1,INDEX(ap_DrAcct,263)&amp;"","")</f>
        <v/>
      </c>
      <c r="J2769" s="95">
        <f>IF(H2769=1,INDEX(ap_DrAmt,263),0)</f>
        <v/>
      </c>
      <c r="K2769" s="58">
        <f>IF(H2769=1,INDEX(ap_CrAcct,263)&amp;"","")</f>
        <v/>
      </c>
      <c r="L2769" s="95">
        <f>IF(H2769=1,INDEX(ap_CrAmt,263),0)</f>
        <v/>
      </c>
      <c r="M2769" s="95">
        <f>IF(H2769=1,INDEX(ap_TaxAmt,263),0)</f>
        <v/>
      </c>
      <c r="N2769" s="95" t="n">
        <v>0</v>
      </c>
      <c r="O2769" s="101">
        <f>IF(H2769=1,IF(E2769&lt;FYStart,0,IF(E2769&gt;FYEnd,13,YEAR(E2769)*12+MONTH(E2769)-FYYM+1)),"")</f>
        <v/>
      </c>
      <c r="P2769" s="101">
        <f>IF(H2769=1,IF(IFERROR(INDEX(coa_CF,MATCH(I2769,coa_Name,0)),"")="Cash",1,0),0)</f>
        <v/>
      </c>
      <c r="Q2769" s="101">
        <f>IF(H2769=1,IF(IFERROR(INDEX(coa_CF,MATCH(K2769,coa_Name,0)),"")="Cash",1,0),0)</f>
        <v/>
      </c>
      <c r="R2769" s="58">
        <f>IF((P2769-Q2769)=0,"",IFERROR(INDEX(coa_CF,MATCH(IF((P2769-Q2769)=1,K2769,I2769),coa_Name,0)),"Operating"))</f>
        <v/>
      </c>
      <c r="S2769" s="95">
        <f>IF((P2769-Q2769)=1,L2769,IF((P2769-Q2769)=-1,-J2769,0))</f>
        <v/>
      </c>
      <c r="T2769" s="95">
        <f>IF((P2769-Q2769)=1,N2769,IF((P2769-Q2769)=-1,-M2769,0))</f>
        <v/>
      </c>
      <c r="U2769" s="101">
        <f>IF(AND(H2769=1,LedAcct&lt;&gt;""),IF(AND(E2769&gt;=LedFrom,E2769&lt;=LedTo,OR(I2769=LedAcct,K2769=LedAcct,AND(LedAcct=acctTax,M2769+N2769&lt;&gt;0))),E2769*10000+B2769,""),"")</f>
        <v/>
      </c>
    </row>
    <row r="2770">
      <c r="B2770" s="101" t="n">
        <v>2764</v>
      </c>
      <c r="C2770" s="58" t="inlineStr">
        <is>
          <t>Bill</t>
        </is>
      </c>
      <c r="D2770" s="58">
        <f>IF(H2770=1,INDEX(ap_No,264)&amp;"","")</f>
        <v/>
      </c>
      <c r="E2770" s="94">
        <f>IF(H2770=1,INDEX(ap_Date,264),"")</f>
        <v/>
      </c>
      <c r="F2770" s="58">
        <f>IF(H2770=1,INDEX(ap_Desc,264)&amp;"","")</f>
        <v/>
      </c>
      <c r="G2770" s="58">
        <f>IF(H2770=1,INDEX(ap_Party,264)&amp;"","")</f>
        <v/>
      </c>
      <c r="H2770" s="101">
        <f>IFERROR(N(INDEX(ap_Posted,264)),0)</f>
        <v/>
      </c>
      <c r="I2770" s="58">
        <f>IF(H2770=1,INDEX(ap_DrAcct,264)&amp;"","")</f>
        <v/>
      </c>
      <c r="J2770" s="95">
        <f>IF(H2770=1,INDEX(ap_DrAmt,264),0)</f>
        <v/>
      </c>
      <c r="K2770" s="58">
        <f>IF(H2770=1,INDEX(ap_CrAcct,264)&amp;"","")</f>
        <v/>
      </c>
      <c r="L2770" s="95">
        <f>IF(H2770=1,INDEX(ap_CrAmt,264),0)</f>
        <v/>
      </c>
      <c r="M2770" s="95">
        <f>IF(H2770=1,INDEX(ap_TaxAmt,264),0)</f>
        <v/>
      </c>
      <c r="N2770" s="95" t="n">
        <v>0</v>
      </c>
      <c r="O2770" s="101">
        <f>IF(H2770=1,IF(E2770&lt;FYStart,0,IF(E2770&gt;FYEnd,13,YEAR(E2770)*12+MONTH(E2770)-FYYM+1)),"")</f>
        <v/>
      </c>
      <c r="P2770" s="101">
        <f>IF(H2770=1,IF(IFERROR(INDEX(coa_CF,MATCH(I2770,coa_Name,0)),"")="Cash",1,0),0)</f>
        <v/>
      </c>
      <c r="Q2770" s="101">
        <f>IF(H2770=1,IF(IFERROR(INDEX(coa_CF,MATCH(K2770,coa_Name,0)),"")="Cash",1,0),0)</f>
        <v/>
      </c>
      <c r="R2770" s="58">
        <f>IF((P2770-Q2770)=0,"",IFERROR(INDEX(coa_CF,MATCH(IF((P2770-Q2770)=1,K2770,I2770),coa_Name,0)),"Operating"))</f>
        <v/>
      </c>
      <c r="S2770" s="95">
        <f>IF((P2770-Q2770)=1,L2770,IF((P2770-Q2770)=-1,-J2770,0))</f>
        <v/>
      </c>
      <c r="T2770" s="95">
        <f>IF((P2770-Q2770)=1,N2770,IF((P2770-Q2770)=-1,-M2770,0))</f>
        <v/>
      </c>
      <c r="U2770" s="101">
        <f>IF(AND(H2770=1,LedAcct&lt;&gt;""),IF(AND(E2770&gt;=LedFrom,E2770&lt;=LedTo,OR(I2770=LedAcct,K2770=LedAcct,AND(LedAcct=acctTax,M2770+N2770&lt;&gt;0))),E2770*10000+B2770,""),"")</f>
        <v/>
      </c>
    </row>
    <row r="2771">
      <c r="B2771" s="101" t="n">
        <v>2765</v>
      </c>
      <c r="C2771" s="58" t="inlineStr">
        <is>
          <t>Bill</t>
        </is>
      </c>
      <c r="D2771" s="58">
        <f>IF(H2771=1,INDEX(ap_No,265)&amp;"","")</f>
        <v/>
      </c>
      <c r="E2771" s="94">
        <f>IF(H2771=1,INDEX(ap_Date,265),"")</f>
        <v/>
      </c>
      <c r="F2771" s="58">
        <f>IF(H2771=1,INDEX(ap_Desc,265)&amp;"","")</f>
        <v/>
      </c>
      <c r="G2771" s="58">
        <f>IF(H2771=1,INDEX(ap_Party,265)&amp;"","")</f>
        <v/>
      </c>
      <c r="H2771" s="101">
        <f>IFERROR(N(INDEX(ap_Posted,265)),0)</f>
        <v/>
      </c>
      <c r="I2771" s="58">
        <f>IF(H2771=1,INDEX(ap_DrAcct,265)&amp;"","")</f>
        <v/>
      </c>
      <c r="J2771" s="95">
        <f>IF(H2771=1,INDEX(ap_DrAmt,265),0)</f>
        <v/>
      </c>
      <c r="K2771" s="58">
        <f>IF(H2771=1,INDEX(ap_CrAcct,265)&amp;"","")</f>
        <v/>
      </c>
      <c r="L2771" s="95">
        <f>IF(H2771=1,INDEX(ap_CrAmt,265),0)</f>
        <v/>
      </c>
      <c r="M2771" s="95">
        <f>IF(H2771=1,INDEX(ap_TaxAmt,265),0)</f>
        <v/>
      </c>
      <c r="N2771" s="95" t="n">
        <v>0</v>
      </c>
      <c r="O2771" s="101">
        <f>IF(H2771=1,IF(E2771&lt;FYStart,0,IF(E2771&gt;FYEnd,13,YEAR(E2771)*12+MONTH(E2771)-FYYM+1)),"")</f>
        <v/>
      </c>
      <c r="P2771" s="101">
        <f>IF(H2771=1,IF(IFERROR(INDEX(coa_CF,MATCH(I2771,coa_Name,0)),"")="Cash",1,0),0)</f>
        <v/>
      </c>
      <c r="Q2771" s="101">
        <f>IF(H2771=1,IF(IFERROR(INDEX(coa_CF,MATCH(K2771,coa_Name,0)),"")="Cash",1,0),0)</f>
        <v/>
      </c>
      <c r="R2771" s="58">
        <f>IF((P2771-Q2771)=0,"",IFERROR(INDEX(coa_CF,MATCH(IF((P2771-Q2771)=1,K2771,I2771),coa_Name,0)),"Operating"))</f>
        <v/>
      </c>
      <c r="S2771" s="95">
        <f>IF((P2771-Q2771)=1,L2771,IF((P2771-Q2771)=-1,-J2771,0))</f>
        <v/>
      </c>
      <c r="T2771" s="95">
        <f>IF((P2771-Q2771)=1,N2771,IF((P2771-Q2771)=-1,-M2771,0))</f>
        <v/>
      </c>
      <c r="U2771" s="101">
        <f>IF(AND(H2771=1,LedAcct&lt;&gt;""),IF(AND(E2771&gt;=LedFrom,E2771&lt;=LedTo,OR(I2771=LedAcct,K2771=LedAcct,AND(LedAcct=acctTax,M2771+N2771&lt;&gt;0))),E2771*10000+B2771,""),"")</f>
        <v/>
      </c>
    </row>
    <row r="2772">
      <c r="B2772" s="101" t="n">
        <v>2766</v>
      </c>
      <c r="C2772" s="58" t="inlineStr">
        <is>
          <t>Bill</t>
        </is>
      </c>
      <c r="D2772" s="58">
        <f>IF(H2772=1,INDEX(ap_No,266)&amp;"","")</f>
        <v/>
      </c>
      <c r="E2772" s="94">
        <f>IF(H2772=1,INDEX(ap_Date,266),"")</f>
        <v/>
      </c>
      <c r="F2772" s="58">
        <f>IF(H2772=1,INDEX(ap_Desc,266)&amp;"","")</f>
        <v/>
      </c>
      <c r="G2772" s="58">
        <f>IF(H2772=1,INDEX(ap_Party,266)&amp;"","")</f>
        <v/>
      </c>
      <c r="H2772" s="101">
        <f>IFERROR(N(INDEX(ap_Posted,266)),0)</f>
        <v/>
      </c>
      <c r="I2772" s="58">
        <f>IF(H2772=1,INDEX(ap_DrAcct,266)&amp;"","")</f>
        <v/>
      </c>
      <c r="J2772" s="95">
        <f>IF(H2772=1,INDEX(ap_DrAmt,266),0)</f>
        <v/>
      </c>
      <c r="K2772" s="58">
        <f>IF(H2772=1,INDEX(ap_CrAcct,266)&amp;"","")</f>
        <v/>
      </c>
      <c r="L2772" s="95">
        <f>IF(H2772=1,INDEX(ap_CrAmt,266),0)</f>
        <v/>
      </c>
      <c r="M2772" s="95">
        <f>IF(H2772=1,INDEX(ap_TaxAmt,266),0)</f>
        <v/>
      </c>
      <c r="N2772" s="95" t="n">
        <v>0</v>
      </c>
      <c r="O2772" s="101">
        <f>IF(H2772=1,IF(E2772&lt;FYStart,0,IF(E2772&gt;FYEnd,13,YEAR(E2772)*12+MONTH(E2772)-FYYM+1)),"")</f>
        <v/>
      </c>
      <c r="P2772" s="101">
        <f>IF(H2772=1,IF(IFERROR(INDEX(coa_CF,MATCH(I2772,coa_Name,0)),"")="Cash",1,0),0)</f>
        <v/>
      </c>
      <c r="Q2772" s="101">
        <f>IF(H2772=1,IF(IFERROR(INDEX(coa_CF,MATCH(K2772,coa_Name,0)),"")="Cash",1,0),0)</f>
        <v/>
      </c>
      <c r="R2772" s="58">
        <f>IF((P2772-Q2772)=0,"",IFERROR(INDEX(coa_CF,MATCH(IF((P2772-Q2772)=1,K2772,I2772),coa_Name,0)),"Operating"))</f>
        <v/>
      </c>
      <c r="S2772" s="95">
        <f>IF((P2772-Q2772)=1,L2772,IF((P2772-Q2772)=-1,-J2772,0))</f>
        <v/>
      </c>
      <c r="T2772" s="95">
        <f>IF((P2772-Q2772)=1,N2772,IF((P2772-Q2772)=-1,-M2772,0))</f>
        <v/>
      </c>
      <c r="U2772" s="101">
        <f>IF(AND(H2772=1,LedAcct&lt;&gt;""),IF(AND(E2772&gt;=LedFrom,E2772&lt;=LedTo,OR(I2772=LedAcct,K2772=LedAcct,AND(LedAcct=acctTax,M2772+N2772&lt;&gt;0))),E2772*10000+B2772,""),"")</f>
        <v/>
      </c>
    </row>
    <row r="2773">
      <c r="B2773" s="101" t="n">
        <v>2767</v>
      </c>
      <c r="C2773" s="58" t="inlineStr">
        <is>
          <t>Bill</t>
        </is>
      </c>
      <c r="D2773" s="58">
        <f>IF(H2773=1,INDEX(ap_No,267)&amp;"","")</f>
        <v/>
      </c>
      <c r="E2773" s="94">
        <f>IF(H2773=1,INDEX(ap_Date,267),"")</f>
        <v/>
      </c>
      <c r="F2773" s="58">
        <f>IF(H2773=1,INDEX(ap_Desc,267)&amp;"","")</f>
        <v/>
      </c>
      <c r="G2773" s="58">
        <f>IF(H2773=1,INDEX(ap_Party,267)&amp;"","")</f>
        <v/>
      </c>
      <c r="H2773" s="101">
        <f>IFERROR(N(INDEX(ap_Posted,267)),0)</f>
        <v/>
      </c>
      <c r="I2773" s="58">
        <f>IF(H2773=1,INDEX(ap_DrAcct,267)&amp;"","")</f>
        <v/>
      </c>
      <c r="J2773" s="95">
        <f>IF(H2773=1,INDEX(ap_DrAmt,267),0)</f>
        <v/>
      </c>
      <c r="K2773" s="58">
        <f>IF(H2773=1,INDEX(ap_CrAcct,267)&amp;"","")</f>
        <v/>
      </c>
      <c r="L2773" s="95">
        <f>IF(H2773=1,INDEX(ap_CrAmt,267),0)</f>
        <v/>
      </c>
      <c r="M2773" s="95">
        <f>IF(H2773=1,INDEX(ap_TaxAmt,267),0)</f>
        <v/>
      </c>
      <c r="N2773" s="95" t="n">
        <v>0</v>
      </c>
      <c r="O2773" s="101">
        <f>IF(H2773=1,IF(E2773&lt;FYStart,0,IF(E2773&gt;FYEnd,13,YEAR(E2773)*12+MONTH(E2773)-FYYM+1)),"")</f>
        <v/>
      </c>
      <c r="P2773" s="101">
        <f>IF(H2773=1,IF(IFERROR(INDEX(coa_CF,MATCH(I2773,coa_Name,0)),"")="Cash",1,0),0)</f>
        <v/>
      </c>
      <c r="Q2773" s="101">
        <f>IF(H2773=1,IF(IFERROR(INDEX(coa_CF,MATCH(K2773,coa_Name,0)),"")="Cash",1,0),0)</f>
        <v/>
      </c>
      <c r="R2773" s="58">
        <f>IF((P2773-Q2773)=0,"",IFERROR(INDEX(coa_CF,MATCH(IF((P2773-Q2773)=1,K2773,I2773),coa_Name,0)),"Operating"))</f>
        <v/>
      </c>
      <c r="S2773" s="95">
        <f>IF((P2773-Q2773)=1,L2773,IF((P2773-Q2773)=-1,-J2773,0))</f>
        <v/>
      </c>
      <c r="T2773" s="95">
        <f>IF((P2773-Q2773)=1,N2773,IF((P2773-Q2773)=-1,-M2773,0))</f>
        <v/>
      </c>
      <c r="U2773" s="101">
        <f>IF(AND(H2773=1,LedAcct&lt;&gt;""),IF(AND(E2773&gt;=LedFrom,E2773&lt;=LedTo,OR(I2773=LedAcct,K2773=LedAcct,AND(LedAcct=acctTax,M2773+N2773&lt;&gt;0))),E2773*10000+B2773,""),"")</f>
        <v/>
      </c>
    </row>
    <row r="2774">
      <c r="B2774" s="101" t="n">
        <v>2768</v>
      </c>
      <c r="C2774" s="58" t="inlineStr">
        <is>
          <t>Bill</t>
        </is>
      </c>
      <c r="D2774" s="58">
        <f>IF(H2774=1,INDEX(ap_No,268)&amp;"","")</f>
        <v/>
      </c>
      <c r="E2774" s="94">
        <f>IF(H2774=1,INDEX(ap_Date,268),"")</f>
        <v/>
      </c>
      <c r="F2774" s="58">
        <f>IF(H2774=1,INDEX(ap_Desc,268)&amp;"","")</f>
        <v/>
      </c>
      <c r="G2774" s="58">
        <f>IF(H2774=1,INDEX(ap_Party,268)&amp;"","")</f>
        <v/>
      </c>
      <c r="H2774" s="101">
        <f>IFERROR(N(INDEX(ap_Posted,268)),0)</f>
        <v/>
      </c>
      <c r="I2774" s="58">
        <f>IF(H2774=1,INDEX(ap_DrAcct,268)&amp;"","")</f>
        <v/>
      </c>
      <c r="J2774" s="95">
        <f>IF(H2774=1,INDEX(ap_DrAmt,268),0)</f>
        <v/>
      </c>
      <c r="K2774" s="58">
        <f>IF(H2774=1,INDEX(ap_CrAcct,268)&amp;"","")</f>
        <v/>
      </c>
      <c r="L2774" s="95">
        <f>IF(H2774=1,INDEX(ap_CrAmt,268),0)</f>
        <v/>
      </c>
      <c r="M2774" s="95">
        <f>IF(H2774=1,INDEX(ap_TaxAmt,268),0)</f>
        <v/>
      </c>
      <c r="N2774" s="95" t="n">
        <v>0</v>
      </c>
      <c r="O2774" s="101">
        <f>IF(H2774=1,IF(E2774&lt;FYStart,0,IF(E2774&gt;FYEnd,13,YEAR(E2774)*12+MONTH(E2774)-FYYM+1)),"")</f>
        <v/>
      </c>
      <c r="P2774" s="101">
        <f>IF(H2774=1,IF(IFERROR(INDEX(coa_CF,MATCH(I2774,coa_Name,0)),"")="Cash",1,0),0)</f>
        <v/>
      </c>
      <c r="Q2774" s="101">
        <f>IF(H2774=1,IF(IFERROR(INDEX(coa_CF,MATCH(K2774,coa_Name,0)),"")="Cash",1,0),0)</f>
        <v/>
      </c>
      <c r="R2774" s="58">
        <f>IF((P2774-Q2774)=0,"",IFERROR(INDEX(coa_CF,MATCH(IF((P2774-Q2774)=1,K2774,I2774),coa_Name,0)),"Operating"))</f>
        <v/>
      </c>
      <c r="S2774" s="95">
        <f>IF((P2774-Q2774)=1,L2774,IF((P2774-Q2774)=-1,-J2774,0))</f>
        <v/>
      </c>
      <c r="T2774" s="95">
        <f>IF((P2774-Q2774)=1,N2774,IF((P2774-Q2774)=-1,-M2774,0))</f>
        <v/>
      </c>
      <c r="U2774" s="101">
        <f>IF(AND(H2774=1,LedAcct&lt;&gt;""),IF(AND(E2774&gt;=LedFrom,E2774&lt;=LedTo,OR(I2774=LedAcct,K2774=LedAcct,AND(LedAcct=acctTax,M2774+N2774&lt;&gt;0))),E2774*10000+B2774,""),"")</f>
        <v/>
      </c>
    </row>
    <row r="2775">
      <c r="B2775" s="101" t="n">
        <v>2769</v>
      </c>
      <c r="C2775" s="58" t="inlineStr">
        <is>
          <t>Bill</t>
        </is>
      </c>
      <c r="D2775" s="58">
        <f>IF(H2775=1,INDEX(ap_No,269)&amp;"","")</f>
        <v/>
      </c>
      <c r="E2775" s="94">
        <f>IF(H2775=1,INDEX(ap_Date,269),"")</f>
        <v/>
      </c>
      <c r="F2775" s="58">
        <f>IF(H2775=1,INDEX(ap_Desc,269)&amp;"","")</f>
        <v/>
      </c>
      <c r="G2775" s="58">
        <f>IF(H2775=1,INDEX(ap_Party,269)&amp;"","")</f>
        <v/>
      </c>
      <c r="H2775" s="101">
        <f>IFERROR(N(INDEX(ap_Posted,269)),0)</f>
        <v/>
      </c>
      <c r="I2775" s="58">
        <f>IF(H2775=1,INDEX(ap_DrAcct,269)&amp;"","")</f>
        <v/>
      </c>
      <c r="J2775" s="95">
        <f>IF(H2775=1,INDEX(ap_DrAmt,269),0)</f>
        <v/>
      </c>
      <c r="K2775" s="58">
        <f>IF(H2775=1,INDEX(ap_CrAcct,269)&amp;"","")</f>
        <v/>
      </c>
      <c r="L2775" s="95">
        <f>IF(H2775=1,INDEX(ap_CrAmt,269),0)</f>
        <v/>
      </c>
      <c r="M2775" s="95">
        <f>IF(H2775=1,INDEX(ap_TaxAmt,269),0)</f>
        <v/>
      </c>
      <c r="N2775" s="95" t="n">
        <v>0</v>
      </c>
      <c r="O2775" s="101">
        <f>IF(H2775=1,IF(E2775&lt;FYStart,0,IF(E2775&gt;FYEnd,13,YEAR(E2775)*12+MONTH(E2775)-FYYM+1)),"")</f>
        <v/>
      </c>
      <c r="P2775" s="101">
        <f>IF(H2775=1,IF(IFERROR(INDEX(coa_CF,MATCH(I2775,coa_Name,0)),"")="Cash",1,0),0)</f>
        <v/>
      </c>
      <c r="Q2775" s="101">
        <f>IF(H2775=1,IF(IFERROR(INDEX(coa_CF,MATCH(K2775,coa_Name,0)),"")="Cash",1,0),0)</f>
        <v/>
      </c>
      <c r="R2775" s="58">
        <f>IF((P2775-Q2775)=0,"",IFERROR(INDEX(coa_CF,MATCH(IF((P2775-Q2775)=1,K2775,I2775),coa_Name,0)),"Operating"))</f>
        <v/>
      </c>
      <c r="S2775" s="95">
        <f>IF((P2775-Q2775)=1,L2775,IF((P2775-Q2775)=-1,-J2775,0))</f>
        <v/>
      </c>
      <c r="T2775" s="95">
        <f>IF((P2775-Q2775)=1,N2775,IF((P2775-Q2775)=-1,-M2775,0))</f>
        <v/>
      </c>
      <c r="U2775" s="101">
        <f>IF(AND(H2775=1,LedAcct&lt;&gt;""),IF(AND(E2775&gt;=LedFrom,E2775&lt;=LedTo,OR(I2775=LedAcct,K2775=LedAcct,AND(LedAcct=acctTax,M2775+N2775&lt;&gt;0))),E2775*10000+B2775,""),"")</f>
        <v/>
      </c>
    </row>
    <row r="2776">
      <c r="B2776" s="101" t="n">
        <v>2770</v>
      </c>
      <c r="C2776" s="58" t="inlineStr">
        <is>
          <t>Bill</t>
        </is>
      </c>
      <c r="D2776" s="58">
        <f>IF(H2776=1,INDEX(ap_No,270)&amp;"","")</f>
        <v/>
      </c>
      <c r="E2776" s="94">
        <f>IF(H2776=1,INDEX(ap_Date,270),"")</f>
        <v/>
      </c>
      <c r="F2776" s="58">
        <f>IF(H2776=1,INDEX(ap_Desc,270)&amp;"","")</f>
        <v/>
      </c>
      <c r="G2776" s="58">
        <f>IF(H2776=1,INDEX(ap_Party,270)&amp;"","")</f>
        <v/>
      </c>
      <c r="H2776" s="101">
        <f>IFERROR(N(INDEX(ap_Posted,270)),0)</f>
        <v/>
      </c>
      <c r="I2776" s="58">
        <f>IF(H2776=1,INDEX(ap_DrAcct,270)&amp;"","")</f>
        <v/>
      </c>
      <c r="J2776" s="95">
        <f>IF(H2776=1,INDEX(ap_DrAmt,270),0)</f>
        <v/>
      </c>
      <c r="K2776" s="58">
        <f>IF(H2776=1,INDEX(ap_CrAcct,270)&amp;"","")</f>
        <v/>
      </c>
      <c r="L2776" s="95">
        <f>IF(H2776=1,INDEX(ap_CrAmt,270),0)</f>
        <v/>
      </c>
      <c r="M2776" s="95">
        <f>IF(H2776=1,INDEX(ap_TaxAmt,270),0)</f>
        <v/>
      </c>
      <c r="N2776" s="95" t="n">
        <v>0</v>
      </c>
      <c r="O2776" s="101">
        <f>IF(H2776=1,IF(E2776&lt;FYStart,0,IF(E2776&gt;FYEnd,13,YEAR(E2776)*12+MONTH(E2776)-FYYM+1)),"")</f>
        <v/>
      </c>
      <c r="P2776" s="101">
        <f>IF(H2776=1,IF(IFERROR(INDEX(coa_CF,MATCH(I2776,coa_Name,0)),"")="Cash",1,0),0)</f>
        <v/>
      </c>
      <c r="Q2776" s="101">
        <f>IF(H2776=1,IF(IFERROR(INDEX(coa_CF,MATCH(K2776,coa_Name,0)),"")="Cash",1,0),0)</f>
        <v/>
      </c>
      <c r="R2776" s="58">
        <f>IF((P2776-Q2776)=0,"",IFERROR(INDEX(coa_CF,MATCH(IF((P2776-Q2776)=1,K2776,I2776),coa_Name,0)),"Operating"))</f>
        <v/>
      </c>
      <c r="S2776" s="95">
        <f>IF((P2776-Q2776)=1,L2776,IF((P2776-Q2776)=-1,-J2776,0))</f>
        <v/>
      </c>
      <c r="T2776" s="95">
        <f>IF((P2776-Q2776)=1,N2776,IF((P2776-Q2776)=-1,-M2776,0))</f>
        <v/>
      </c>
      <c r="U2776" s="101">
        <f>IF(AND(H2776=1,LedAcct&lt;&gt;""),IF(AND(E2776&gt;=LedFrom,E2776&lt;=LedTo,OR(I2776=LedAcct,K2776=LedAcct,AND(LedAcct=acctTax,M2776+N2776&lt;&gt;0))),E2776*10000+B2776,""),"")</f>
        <v/>
      </c>
    </row>
    <row r="2777">
      <c r="B2777" s="101" t="n">
        <v>2771</v>
      </c>
      <c r="C2777" s="58" t="inlineStr">
        <is>
          <t>Bill</t>
        </is>
      </c>
      <c r="D2777" s="58">
        <f>IF(H2777=1,INDEX(ap_No,271)&amp;"","")</f>
        <v/>
      </c>
      <c r="E2777" s="94">
        <f>IF(H2777=1,INDEX(ap_Date,271),"")</f>
        <v/>
      </c>
      <c r="F2777" s="58">
        <f>IF(H2777=1,INDEX(ap_Desc,271)&amp;"","")</f>
        <v/>
      </c>
      <c r="G2777" s="58">
        <f>IF(H2777=1,INDEX(ap_Party,271)&amp;"","")</f>
        <v/>
      </c>
      <c r="H2777" s="101">
        <f>IFERROR(N(INDEX(ap_Posted,271)),0)</f>
        <v/>
      </c>
      <c r="I2777" s="58">
        <f>IF(H2777=1,INDEX(ap_DrAcct,271)&amp;"","")</f>
        <v/>
      </c>
      <c r="J2777" s="95">
        <f>IF(H2777=1,INDEX(ap_DrAmt,271),0)</f>
        <v/>
      </c>
      <c r="K2777" s="58">
        <f>IF(H2777=1,INDEX(ap_CrAcct,271)&amp;"","")</f>
        <v/>
      </c>
      <c r="L2777" s="95">
        <f>IF(H2777=1,INDEX(ap_CrAmt,271),0)</f>
        <v/>
      </c>
      <c r="M2777" s="95">
        <f>IF(H2777=1,INDEX(ap_TaxAmt,271),0)</f>
        <v/>
      </c>
      <c r="N2777" s="95" t="n">
        <v>0</v>
      </c>
      <c r="O2777" s="101">
        <f>IF(H2777=1,IF(E2777&lt;FYStart,0,IF(E2777&gt;FYEnd,13,YEAR(E2777)*12+MONTH(E2777)-FYYM+1)),"")</f>
        <v/>
      </c>
      <c r="P2777" s="101">
        <f>IF(H2777=1,IF(IFERROR(INDEX(coa_CF,MATCH(I2777,coa_Name,0)),"")="Cash",1,0),0)</f>
        <v/>
      </c>
      <c r="Q2777" s="101">
        <f>IF(H2777=1,IF(IFERROR(INDEX(coa_CF,MATCH(K2777,coa_Name,0)),"")="Cash",1,0),0)</f>
        <v/>
      </c>
      <c r="R2777" s="58">
        <f>IF((P2777-Q2777)=0,"",IFERROR(INDEX(coa_CF,MATCH(IF((P2777-Q2777)=1,K2777,I2777),coa_Name,0)),"Operating"))</f>
        <v/>
      </c>
      <c r="S2777" s="95">
        <f>IF((P2777-Q2777)=1,L2777,IF((P2777-Q2777)=-1,-J2777,0))</f>
        <v/>
      </c>
      <c r="T2777" s="95">
        <f>IF((P2777-Q2777)=1,N2777,IF((P2777-Q2777)=-1,-M2777,0))</f>
        <v/>
      </c>
      <c r="U2777" s="101">
        <f>IF(AND(H2777=1,LedAcct&lt;&gt;""),IF(AND(E2777&gt;=LedFrom,E2777&lt;=LedTo,OR(I2777=LedAcct,K2777=LedAcct,AND(LedAcct=acctTax,M2777+N2777&lt;&gt;0))),E2777*10000+B2777,""),"")</f>
        <v/>
      </c>
    </row>
    <row r="2778">
      <c r="B2778" s="101" t="n">
        <v>2772</v>
      </c>
      <c r="C2778" s="58" t="inlineStr">
        <is>
          <t>Bill</t>
        </is>
      </c>
      <c r="D2778" s="58">
        <f>IF(H2778=1,INDEX(ap_No,272)&amp;"","")</f>
        <v/>
      </c>
      <c r="E2778" s="94">
        <f>IF(H2778=1,INDEX(ap_Date,272),"")</f>
        <v/>
      </c>
      <c r="F2778" s="58">
        <f>IF(H2778=1,INDEX(ap_Desc,272)&amp;"","")</f>
        <v/>
      </c>
      <c r="G2778" s="58">
        <f>IF(H2778=1,INDEX(ap_Party,272)&amp;"","")</f>
        <v/>
      </c>
      <c r="H2778" s="101">
        <f>IFERROR(N(INDEX(ap_Posted,272)),0)</f>
        <v/>
      </c>
      <c r="I2778" s="58">
        <f>IF(H2778=1,INDEX(ap_DrAcct,272)&amp;"","")</f>
        <v/>
      </c>
      <c r="J2778" s="95">
        <f>IF(H2778=1,INDEX(ap_DrAmt,272),0)</f>
        <v/>
      </c>
      <c r="K2778" s="58">
        <f>IF(H2778=1,INDEX(ap_CrAcct,272)&amp;"","")</f>
        <v/>
      </c>
      <c r="L2778" s="95">
        <f>IF(H2778=1,INDEX(ap_CrAmt,272),0)</f>
        <v/>
      </c>
      <c r="M2778" s="95">
        <f>IF(H2778=1,INDEX(ap_TaxAmt,272),0)</f>
        <v/>
      </c>
      <c r="N2778" s="95" t="n">
        <v>0</v>
      </c>
      <c r="O2778" s="101">
        <f>IF(H2778=1,IF(E2778&lt;FYStart,0,IF(E2778&gt;FYEnd,13,YEAR(E2778)*12+MONTH(E2778)-FYYM+1)),"")</f>
        <v/>
      </c>
      <c r="P2778" s="101">
        <f>IF(H2778=1,IF(IFERROR(INDEX(coa_CF,MATCH(I2778,coa_Name,0)),"")="Cash",1,0),0)</f>
        <v/>
      </c>
      <c r="Q2778" s="101">
        <f>IF(H2778=1,IF(IFERROR(INDEX(coa_CF,MATCH(K2778,coa_Name,0)),"")="Cash",1,0),0)</f>
        <v/>
      </c>
      <c r="R2778" s="58">
        <f>IF((P2778-Q2778)=0,"",IFERROR(INDEX(coa_CF,MATCH(IF((P2778-Q2778)=1,K2778,I2778),coa_Name,0)),"Operating"))</f>
        <v/>
      </c>
      <c r="S2778" s="95">
        <f>IF((P2778-Q2778)=1,L2778,IF((P2778-Q2778)=-1,-J2778,0))</f>
        <v/>
      </c>
      <c r="T2778" s="95">
        <f>IF((P2778-Q2778)=1,N2778,IF((P2778-Q2778)=-1,-M2778,0))</f>
        <v/>
      </c>
      <c r="U2778" s="101">
        <f>IF(AND(H2778=1,LedAcct&lt;&gt;""),IF(AND(E2778&gt;=LedFrom,E2778&lt;=LedTo,OR(I2778=LedAcct,K2778=LedAcct,AND(LedAcct=acctTax,M2778+N2778&lt;&gt;0))),E2778*10000+B2778,""),"")</f>
        <v/>
      </c>
    </row>
    <row r="2779">
      <c r="B2779" s="101" t="n">
        <v>2773</v>
      </c>
      <c r="C2779" s="58" t="inlineStr">
        <is>
          <t>Bill</t>
        </is>
      </c>
      <c r="D2779" s="58">
        <f>IF(H2779=1,INDEX(ap_No,273)&amp;"","")</f>
        <v/>
      </c>
      <c r="E2779" s="94">
        <f>IF(H2779=1,INDEX(ap_Date,273),"")</f>
        <v/>
      </c>
      <c r="F2779" s="58">
        <f>IF(H2779=1,INDEX(ap_Desc,273)&amp;"","")</f>
        <v/>
      </c>
      <c r="G2779" s="58">
        <f>IF(H2779=1,INDEX(ap_Party,273)&amp;"","")</f>
        <v/>
      </c>
      <c r="H2779" s="101">
        <f>IFERROR(N(INDEX(ap_Posted,273)),0)</f>
        <v/>
      </c>
      <c r="I2779" s="58">
        <f>IF(H2779=1,INDEX(ap_DrAcct,273)&amp;"","")</f>
        <v/>
      </c>
      <c r="J2779" s="95">
        <f>IF(H2779=1,INDEX(ap_DrAmt,273),0)</f>
        <v/>
      </c>
      <c r="K2779" s="58">
        <f>IF(H2779=1,INDEX(ap_CrAcct,273)&amp;"","")</f>
        <v/>
      </c>
      <c r="L2779" s="95">
        <f>IF(H2779=1,INDEX(ap_CrAmt,273),0)</f>
        <v/>
      </c>
      <c r="M2779" s="95">
        <f>IF(H2779=1,INDEX(ap_TaxAmt,273),0)</f>
        <v/>
      </c>
      <c r="N2779" s="95" t="n">
        <v>0</v>
      </c>
      <c r="O2779" s="101">
        <f>IF(H2779=1,IF(E2779&lt;FYStart,0,IF(E2779&gt;FYEnd,13,YEAR(E2779)*12+MONTH(E2779)-FYYM+1)),"")</f>
        <v/>
      </c>
      <c r="P2779" s="101">
        <f>IF(H2779=1,IF(IFERROR(INDEX(coa_CF,MATCH(I2779,coa_Name,0)),"")="Cash",1,0),0)</f>
        <v/>
      </c>
      <c r="Q2779" s="101">
        <f>IF(H2779=1,IF(IFERROR(INDEX(coa_CF,MATCH(K2779,coa_Name,0)),"")="Cash",1,0),0)</f>
        <v/>
      </c>
      <c r="R2779" s="58">
        <f>IF((P2779-Q2779)=0,"",IFERROR(INDEX(coa_CF,MATCH(IF((P2779-Q2779)=1,K2779,I2779),coa_Name,0)),"Operating"))</f>
        <v/>
      </c>
      <c r="S2779" s="95">
        <f>IF((P2779-Q2779)=1,L2779,IF((P2779-Q2779)=-1,-J2779,0))</f>
        <v/>
      </c>
      <c r="T2779" s="95">
        <f>IF((P2779-Q2779)=1,N2779,IF((P2779-Q2779)=-1,-M2779,0))</f>
        <v/>
      </c>
      <c r="U2779" s="101">
        <f>IF(AND(H2779=1,LedAcct&lt;&gt;""),IF(AND(E2779&gt;=LedFrom,E2779&lt;=LedTo,OR(I2779=LedAcct,K2779=LedAcct,AND(LedAcct=acctTax,M2779+N2779&lt;&gt;0))),E2779*10000+B2779,""),"")</f>
        <v/>
      </c>
    </row>
    <row r="2780">
      <c r="B2780" s="101" t="n">
        <v>2774</v>
      </c>
      <c r="C2780" s="58" t="inlineStr">
        <is>
          <t>Bill</t>
        </is>
      </c>
      <c r="D2780" s="58">
        <f>IF(H2780=1,INDEX(ap_No,274)&amp;"","")</f>
        <v/>
      </c>
      <c r="E2780" s="94">
        <f>IF(H2780=1,INDEX(ap_Date,274),"")</f>
        <v/>
      </c>
      <c r="F2780" s="58">
        <f>IF(H2780=1,INDEX(ap_Desc,274)&amp;"","")</f>
        <v/>
      </c>
      <c r="G2780" s="58">
        <f>IF(H2780=1,INDEX(ap_Party,274)&amp;"","")</f>
        <v/>
      </c>
      <c r="H2780" s="101">
        <f>IFERROR(N(INDEX(ap_Posted,274)),0)</f>
        <v/>
      </c>
      <c r="I2780" s="58">
        <f>IF(H2780=1,INDEX(ap_DrAcct,274)&amp;"","")</f>
        <v/>
      </c>
      <c r="J2780" s="95">
        <f>IF(H2780=1,INDEX(ap_DrAmt,274),0)</f>
        <v/>
      </c>
      <c r="K2780" s="58">
        <f>IF(H2780=1,INDEX(ap_CrAcct,274)&amp;"","")</f>
        <v/>
      </c>
      <c r="L2780" s="95">
        <f>IF(H2780=1,INDEX(ap_CrAmt,274),0)</f>
        <v/>
      </c>
      <c r="M2780" s="95">
        <f>IF(H2780=1,INDEX(ap_TaxAmt,274),0)</f>
        <v/>
      </c>
      <c r="N2780" s="95" t="n">
        <v>0</v>
      </c>
      <c r="O2780" s="101">
        <f>IF(H2780=1,IF(E2780&lt;FYStart,0,IF(E2780&gt;FYEnd,13,YEAR(E2780)*12+MONTH(E2780)-FYYM+1)),"")</f>
        <v/>
      </c>
      <c r="P2780" s="101">
        <f>IF(H2780=1,IF(IFERROR(INDEX(coa_CF,MATCH(I2780,coa_Name,0)),"")="Cash",1,0),0)</f>
        <v/>
      </c>
      <c r="Q2780" s="101">
        <f>IF(H2780=1,IF(IFERROR(INDEX(coa_CF,MATCH(K2780,coa_Name,0)),"")="Cash",1,0),0)</f>
        <v/>
      </c>
      <c r="R2780" s="58">
        <f>IF((P2780-Q2780)=0,"",IFERROR(INDEX(coa_CF,MATCH(IF((P2780-Q2780)=1,K2780,I2780),coa_Name,0)),"Operating"))</f>
        <v/>
      </c>
      <c r="S2780" s="95">
        <f>IF((P2780-Q2780)=1,L2780,IF((P2780-Q2780)=-1,-J2780,0))</f>
        <v/>
      </c>
      <c r="T2780" s="95">
        <f>IF((P2780-Q2780)=1,N2780,IF((P2780-Q2780)=-1,-M2780,0))</f>
        <v/>
      </c>
      <c r="U2780" s="101">
        <f>IF(AND(H2780=1,LedAcct&lt;&gt;""),IF(AND(E2780&gt;=LedFrom,E2780&lt;=LedTo,OR(I2780=LedAcct,K2780=LedAcct,AND(LedAcct=acctTax,M2780+N2780&lt;&gt;0))),E2780*10000+B2780,""),"")</f>
        <v/>
      </c>
    </row>
    <row r="2781">
      <c r="B2781" s="101" t="n">
        <v>2775</v>
      </c>
      <c r="C2781" s="58" t="inlineStr">
        <is>
          <t>Bill</t>
        </is>
      </c>
      <c r="D2781" s="58">
        <f>IF(H2781=1,INDEX(ap_No,275)&amp;"","")</f>
        <v/>
      </c>
      <c r="E2781" s="94">
        <f>IF(H2781=1,INDEX(ap_Date,275),"")</f>
        <v/>
      </c>
      <c r="F2781" s="58">
        <f>IF(H2781=1,INDEX(ap_Desc,275)&amp;"","")</f>
        <v/>
      </c>
      <c r="G2781" s="58">
        <f>IF(H2781=1,INDEX(ap_Party,275)&amp;"","")</f>
        <v/>
      </c>
      <c r="H2781" s="101">
        <f>IFERROR(N(INDEX(ap_Posted,275)),0)</f>
        <v/>
      </c>
      <c r="I2781" s="58">
        <f>IF(H2781=1,INDEX(ap_DrAcct,275)&amp;"","")</f>
        <v/>
      </c>
      <c r="J2781" s="95">
        <f>IF(H2781=1,INDEX(ap_DrAmt,275),0)</f>
        <v/>
      </c>
      <c r="K2781" s="58">
        <f>IF(H2781=1,INDEX(ap_CrAcct,275)&amp;"","")</f>
        <v/>
      </c>
      <c r="L2781" s="95">
        <f>IF(H2781=1,INDEX(ap_CrAmt,275),0)</f>
        <v/>
      </c>
      <c r="M2781" s="95">
        <f>IF(H2781=1,INDEX(ap_TaxAmt,275),0)</f>
        <v/>
      </c>
      <c r="N2781" s="95" t="n">
        <v>0</v>
      </c>
      <c r="O2781" s="101">
        <f>IF(H2781=1,IF(E2781&lt;FYStart,0,IF(E2781&gt;FYEnd,13,YEAR(E2781)*12+MONTH(E2781)-FYYM+1)),"")</f>
        <v/>
      </c>
      <c r="P2781" s="101">
        <f>IF(H2781=1,IF(IFERROR(INDEX(coa_CF,MATCH(I2781,coa_Name,0)),"")="Cash",1,0),0)</f>
        <v/>
      </c>
      <c r="Q2781" s="101">
        <f>IF(H2781=1,IF(IFERROR(INDEX(coa_CF,MATCH(K2781,coa_Name,0)),"")="Cash",1,0),0)</f>
        <v/>
      </c>
      <c r="R2781" s="58">
        <f>IF((P2781-Q2781)=0,"",IFERROR(INDEX(coa_CF,MATCH(IF((P2781-Q2781)=1,K2781,I2781),coa_Name,0)),"Operating"))</f>
        <v/>
      </c>
      <c r="S2781" s="95">
        <f>IF((P2781-Q2781)=1,L2781,IF((P2781-Q2781)=-1,-J2781,0))</f>
        <v/>
      </c>
      <c r="T2781" s="95">
        <f>IF((P2781-Q2781)=1,N2781,IF((P2781-Q2781)=-1,-M2781,0))</f>
        <v/>
      </c>
      <c r="U2781" s="101">
        <f>IF(AND(H2781=1,LedAcct&lt;&gt;""),IF(AND(E2781&gt;=LedFrom,E2781&lt;=LedTo,OR(I2781=LedAcct,K2781=LedAcct,AND(LedAcct=acctTax,M2781+N2781&lt;&gt;0))),E2781*10000+B2781,""),"")</f>
        <v/>
      </c>
    </row>
    <row r="2782">
      <c r="B2782" s="101" t="n">
        <v>2776</v>
      </c>
      <c r="C2782" s="58" t="inlineStr">
        <is>
          <t>Bill</t>
        </is>
      </c>
      <c r="D2782" s="58">
        <f>IF(H2782=1,INDEX(ap_No,276)&amp;"","")</f>
        <v/>
      </c>
      <c r="E2782" s="94">
        <f>IF(H2782=1,INDEX(ap_Date,276),"")</f>
        <v/>
      </c>
      <c r="F2782" s="58">
        <f>IF(H2782=1,INDEX(ap_Desc,276)&amp;"","")</f>
        <v/>
      </c>
      <c r="G2782" s="58">
        <f>IF(H2782=1,INDEX(ap_Party,276)&amp;"","")</f>
        <v/>
      </c>
      <c r="H2782" s="101">
        <f>IFERROR(N(INDEX(ap_Posted,276)),0)</f>
        <v/>
      </c>
      <c r="I2782" s="58">
        <f>IF(H2782=1,INDEX(ap_DrAcct,276)&amp;"","")</f>
        <v/>
      </c>
      <c r="J2782" s="95">
        <f>IF(H2782=1,INDEX(ap_DrAmt,276),0)</f>
        <v/>
      </c>
      <c r="K2782" s="58">
        <f>IF(H2782=1,INDEX(ap_CrAcct,276)&amp;"","")</f>
        <v/>
      </c>
      <c r="L2782" s="95">
        <f>IF(H2782=1,INDEX(ap_CrAmt,276),0)</f>
        <v/>
      </c>
      <c r="M2782" s="95">
        <f>IF(H2782=1,INDEX(ap_TaxAmt,276),0)</f>
        <v/>
      </c>
      <c r="N2782" s="95" t="n">
        <v>0</v>
      </c>
      <c r="O2782" s="101">
        <f>IF(H2782=1,IF(E2782&lt;FYStart,0,IF(E2782&gt;FYEnd,13,YEAR(E2782)*12+MONTH(E2782)-FYYM+1)),"")</f>
        <v/>
      </c>
      <c r="P2782" s="101">
        <f>IF(H2782=1,IF(IFERROR(INDEX(coa_CF,MATCH(I2782,coa_Name,0)),"")="Cash",1,0),0)</f>
        <v/>
      </c>
      <c r="Q2782" s="101">
        <f>IF(H2782=1,IF(IFERROR(INDEX(coa_CF,MATCH(K2782,coa_Name,0)),"")="Cash",1,0),0)</f>
        <v/>
      </c>
      <c r="R2782" s="58">
        <f>IF((P2782-Q2782)=0,"",IFERROR(INDEX(coa_CF,MATCH(IF((P2782-Q2782)=1,K2782,I2782),coa_Name,0)),"Operating"))</f>
        <v/>
      </c>
      <c r="S2782" s="95">
        <f>IF((P2782-Q2782)=1,L2782,IF((P2782-Q2782)=-1,-J2782,0))</f>
        <v/>
      </c>
      <c r="T2782" s="95">
        <f>IF((P2782-Q2782)=1,N2782,IF((P2782-Q2782)=-1,-M2782,0))</f>
        <v/>
      </c>
      <c r="U2782" s="101">
        <f>IF(AND(H2782=1,LedAcct&lt;&gt;""),IF(AND(E2782&gt;=LedFrom,E2782&lt;=LedTo,OR(I2782=LedAcct,K2782=LedAcct,AND(LedAcct=acctTax,M2782+N2782&lt;&gt;0))),E2782*10000+B2782,""),"")</f>
        <v/>
      </c>
    </row>
    <row r="2783">
      <c r="B2783" s="101" t="n">
        <v>2777</v>
      </c>
      <c r="C2783" s="58" t="inlineStr">
        <is>
          <t>Bill</t>
        </is>
      </c>
      <c r="D2783" s="58">
        <f>IF(H2783=1,INDEX(ap_No,277)&amp;"","")</f>
        <v/>
      </c>
      <c r="E2783" s="94">
        <f>IF(H2783=1,INDEX(ap_Date,277),"")</f>
        <v/>
      </c>
      <c r="F2783" s="58">
        <f>IF(H2783=1,INDEX(ap_Desc,277)&amp;"","")</f>
        <v/>
      </c>
      <c r="G2783" s="58">
        <f>IF(H2783=1,INDEX(ap_Party,277)&amp;"","")</f>
        <v/>
      </c>
      <c r="H2783" s="101">
        <f>IFERROR(N(INDEX(ap_Posted,277)),0)</f>
        <v/>
      </c>
      <c r="I2783" s="58">
        <f>IF(H2783=1,INDEX(ap_DrAcct,277)&amp;"","")</f>
        <v/>
      </c>
      <c r="J2783" s="95">
        <f>IF(H2783=1,INDEX(ap_DrAmt,277),0)</f>
        <v/>
      </c>
      <c r="K2783" s="58">
        <f>IF(H2783=1,INDEX(ap_CrAcct,277)&amp;"","")</f>
        <v/>
      </c>
      <c r="L2783" s="95">
        <f>IF(H2783=1,INDEX(ap_CrAmt,277),0)</f>
        <v/>
      </c>
      <c r="M2783" s="95">
        <f>IF(H2783=1,INDEX(ap_TaxAmt,277),0)</f>
        <v/>
      </c>
      <c r="N2783" s="95" t="n">
        <v>0</v>
      </c>
      <c r="O2783" s="101">
        <f>IF(H2783=1,IF(E2783&lt;FYStart,0,IF(E2783&gt;FYEnd,13,YEAR(E2783)*12+MONTH(E2783)-FYYM+1)),"")</f>
        <v/>
      </c>
      <c r="P2783" s="101">
        <f>IF(H2783=1,IF(IFERROR(INDEX(coa_CF,MATCH(I2783,coa_Name,0)),"")="Cash",1,0),0)</f>
        <v/>
      </c>
      <c r="Q2783" s="101">
        <f>IF(H2783=1,IF(IFERROR(INDEX(coa_CF,MATCH(K2783,coa_Name,0)),"")="Cash",1,0),0)</f>
        <v/>
      </c>
      <c r="R2783" s="58">
        <f>IF((P2783-Q2783)=0,"",IFERROR(INDEX(coa_CF,MATCH(IF((P2783-Q2783)=1,K2783,I2783),coa_Name,0)),"Operating"))</f>
        <v/>
      </c>
      <c r="S2783" s="95">
        <f>IF((P2783-Q2783)=1,L2783,IF((P2783-Q2783)=-1,-J2783,0))</f>
        <v/>
      </c>
      <c r="T2783" s="95">
        <f>IF((P2783-Q2783)=1,N2783,IF((P2783-Q2783)=-1,-M2783,0))</f>
        <v/>
      </c>
      <c r="U2783" s="101">
        <f>IF(AND(H2783=1,LedAcct&lt;&gt;""),IF(AND(E2783&gt;=LedFrom,E2783&lt;=LedTo,OR(I2783=LedAcct,K2783=LedAcct,AND(LedAcct=acctTax,M2783+N2783&lt;&gt;0))),E2783*10000+B2783,""),"")</f>
        <v/>
      </c>
    </row>
    <row r="2784">
      <c r="B2784" s="101" t="n">
        <v>2778</v>
      </c>
      <c r="C2784" s="58" t="inlineStr">
        <is>
          <t>Bill</t>
        </is>
      </c>
      <c r="D2784" s="58">
        <f>IF(H2784=1,INDEX(ap_No,278)&amp;"","")</f>
        <v/>
      </c>
      <c r="E2784" s="94">
        <f>IF(H2784=1,INDEX(ap_Date,278),"")</f>
        <v/>
      </c>
      <c r="F2784" s="58">
        <f>IF(H2784=1,INDEX(ap_Desc,278)&amp;"","")</f>
        <v/>
      </c>
      <c r="G2784" s="58">
        <f>IF(H2784=1,INDEX(ap_Party,278)&amp;"","")</f>
        <v/>
      </c>
      <c r="H2784" s="101">
        <f>IFERROR(N(INDEX(ap_Posted,278)),0)</f>
        <v/>
      </c>
      <c r="I2784" s="58">
        <f>IF(H2784=1,INDEX(ap_DrAcct,278)&amp;"","")</f>
        <v/>
      </c>
      <c r="J2784" s="95">
        <f>IF(H2784=1,INDEX(ap_DrAmt,278),0)</f>
        <v/>
      </c>
      <c r="K2784" s="58">
        <f>IF(H2784=1,INDEX(ap_CrAcct,278)&amp;"","")</f>
        <v/>
      </c>
      <c r="L2784" s="95">
        <f>IF(H2784=1,INDEX(ap_CrAmt,278),0)</f>
        <v/>
      </c>
      <c r="M2784" s="95">
        <f>IF(H2784=1,INDEX(ap_TaxAmt,278),0)</f>
        <v/>
      </c>
      <c r="N2784" s="95" t="n">
        <v>0</v>
      </c>
      <c r="O2784" s="101">
        <f>IF(H2784=1,IF(E2784&lt;FYStart,0,IF(E2784&gt;FYEnd,13,YEAR(E2784)*12+MONTH(E2784)-FYYM+1)),"")</f>
        <v/>
      </c>
      <c r="P2784" s="101">
        <f>IF(H2784=1,IF(IFERROR(INDEX(coa_CF,MATCH(I2784,coa_Name,0)),"")="Cash",1,0),0)</f>
        <v/>
      </c>
      <c r="Q2784" s="101">
        <f>IF(H2784=1,IF(IFERROR(INDEX(coa_CF,MATCH(K2784,coa_Name,0)),"")="Cash",1,0),0)</f>
        <v/>
      </c>
      <c r="R2784" s="58">
        <f>IF((P2784-Q2784)=0,"",IFERROR(INDEX(coa_CF,MATCH(IF((P2784-Q2784)=1,K2784,I2784),coa_Name,0)),"Operating"))</f>
        <v/>
      </c>
      <c r="S2784" s="95">
        <f>IF((P2784-Q2784)=1,L2784,IF((P2784-Q2784)=-1,-J2784,0))</f>
        <v/>
      </c>
      <c r="T2784" s="95">
        <f>IF((P2784-Q2784)=1,N2784,IF((P2784-Q2784)=-1,-M2784,0))</f>
        <v/>
      </c>
      <c r="U2784" s="101">
        <f>IF(AND(H2784=1,LedAcct&lt;&gt;""),IF(AND(E2784&gt;=LedFrom,E2784&lt;=LedTo,OR(I2784=LedAcct,K2784=LedAcct,AND(LedAcct=acctTax,M2784+N2784&lt;&gt;0))),E2784*10000+B2784,""),"")</f>
        <v/>
      </c>
    </row>
    <row r="2785">
      <c r="B2785" s="101" t="n">
        <v>2779</v>
      </c>
      <c r="C2785" s="58" t="inlineStr">
        <is>
          <t>Bill</t>
        </is>
      </c>
      <c r="D2785" s="58">
        <f>IF(H2785=1,INDEX(ap_No,279)&amp;"","")</f>
        <v/>
      </c>
      <c r="E2785" s="94">
        <f>IF(H2785=1,INDEX(ap_Date,279),"")</f>
        <v/>
      </c>
      <c r="F2785" s="58">
        <f>IF(H2785=1,INDEX(ap_Desc,279)&amp;"","")</f>
        <v/>
      </c>
      <c r="G2785" s="58">
        <f>IF(H2785=1,INDEX(ap_Party,279)&amp;"","")</f>
        <v/>
      </c>
      <c r="H2785" s="101">
        <f>IFERROR(N(INDEX(ap_Posted,279)),0)</f>
        <v/>
      </c>
      <c r="I2785" s="58">
        <f>IF(H2785=1,INDEX(ap_DrAcct,279)&amp;"","")</f>
        <v/>
      </c>
      <c r="J2785" s="95">
        <f>IF(H2785=1,INDEX(ap_DrAmt,279),0)</f>
        <v/>
      </c>
      <c r="K2785" s="58">
        <f>IF(H2785=1,INDEX(ap_CrAcct,279)&amp;"","")</f>
        <v/>
      </c>
      <c r="L2785" s="95">
        <f>IF(H2785=1,INDEX(ap_CrAmt,279),0)</f>
        <v/>
      </c>
      <c r="M2785" s="95">
        <f>IF(H2785=1,INDEX(ap_TaxAmt,279),0)</f>
        <v/>
      </c>
      <c r="N2785" s="95" t="n">
        <v>0</v>
      </c>
      <c r="O2785" s="101">
        <f>IF(H2785=1,IF(E2785&lt;FYStart,0,IF(E2785&gt;FYEnd,13,YEAR(E2785)*12+MONTH(E2785)-FYYM+1)),"")</f>
        <v/>
      </c>
      <c r="P2785" s="101">
        <f>IF(H2785=1,IF(IFERROR(INDEX(coa_CF,MATCH(I2785,coa_Name,0)),"")="Cash",1,0),0)</f>
        <v/>
      </c>
      <c r="Q2785" s="101">
        <f>IF(H2785=1,IF(IFERROR(INDEX(coa_CF,MATCH(K2785,coa_Name,0)),"")="Cash",1,0),0)</f>
        <v/>
      </c>
      <c r="R2785" s="58">
        <f>IF((P2785-Q2785)=0,"",IFERROR(INDEX(coa_CF,MATCH(IF((P2785-Q2785)=1,K2785,I2785),coa_Name,0)),"Operating"))</f>
        <v/>
      </c>
      <c r="S2785" s="95">
        <f>IF((P2785-Q2785)=1,L2785,IF((P2785-Q2785)=-1,-J2785,0))</f>
        <v/>
      </c>
      <c r="T2785" s="95">
        <f>IF((P2785-Q2785)=1,N2785,IF((P2785-Q2785)=-1,-M2785,0))</f>
        <v/>
      </c>
      <c r="U2785" s="101">
        <f>IF(AND(H2785=1,LedAcct&lt;&gt;""),IF(AND(E2785&gt;=LedFrom,E2785&lt;=LedTo,OR(I2785=LedAcct,K2785=LedAcct,AND(LedAcct=acctTax,M2785+N2785&lt;&gt;0))),E2785*10000+B2785,""),"")</f>
        <v/>
      </c>
    </row>
    <row r="2786">
      <c r="B2786" s="101" t="n">
        <v>2780</v>
      </c>
      <c r="C2786" s="58" t="inlineStr">
        <is>
          <t>Bill</t>
        </is>
      </c>
      <c r="D2786" s="58">
        <f>IF(H2786=1,INDEX(ap_No,280)&amp;"","")</f>
        <v/>
      </c>
      <c r="E2786" s="94">
        <f>IF(H2786=1,INDEX(ap_Date,280),"")</f>
        <v/>
      </c>
      <c r="F2786" s="58">
        <f>IF(H2786=1,INDEX(ap_Desc,280)&amp;"","")</f>
        <v/>
      </c>
      <c r="G2786" s="58">
        <f>IF(H2786=1,INDEX(ap_Party,280)&amp;"","")</f>
        <v/>
      </c>
      <c r="H2786" s="101">
        <f>IFERROR(N(INDEX(ap_Posted,280)),0)</f>
        <v/>
      </c>
      <c r="I2786" s="58">
        <f>IF(H2786=1,INDEX(ap_DrAcct,280)&amp;"","")</f>
        <v/>
      </c>
      <c r="J2786" s="95">
        <f>IF(H2786=1,INDEX(ap_DrAmt,280),0)</f>
        <v/>
      </c>
      <c r="K2786" s="58">
        <f>IF(H2786=1,INDEX(ap_CrAcct,280)&amp;"","")</f>
        <v/>
      </c>
      <c r="L2786" s="95">
        <f>IF(H2786=1,INDEX(ap_CrAmt,280),0)</f>
        <v/>
      </c>
      <c r="M2786" s="95">
        <f>IF(H2786=1,INDEX(ap_TaxAmt,280),0)</f>
        <v/>
      </c>
      <c r="N2786" s="95" t="n">
        <v>0</v>
      </c>
      <c r="O2786" s="101">
        <f>IF(H2786=1,IF(E2786&lt;FYStart,0,IF(E2786&gt;FYEnd,13,YEAR(E2786)*12+MONTH(E2786)-FYYM+1)),"")</f>
        <v/>
      </c>
      <c r="P2786" s="101">
        <f>IF(H2786=1,IF(IFERROR(INDEX(coa_CF,MATCH(I2786,coa_Name,0)),"")="Cash",1,0),0)</f>
        <v/>
      </c>
      <c r="Q2786" s="101">
        <f>IF(H2786=1,IF(IFERROR(INDEX(coa_CF,MATCH(K2786,coa_Name,0)),"")="Cash",1,0),0)</f>
        <v/>
      </c>
      <c r="R2786" s="58">
        <f>IF((P2786-Q2786)=0,"",IFERROR(INDEX(coa_CF,MATCH(IF((P2786-Q2786)=1,K2786,I2786),coa_Name,0)),"Operating"))</f>
        <v/>
      </c>
      <c r="S2786" s="95">
        <f>IF((P2786-Q2786)=1,L2786,IF((P2786-Q2786)=-1,-J2786,0))</f>
        <v/>
      </c>
      <c r="T2786" s="95">
        <f>IF((P2786-Q2786)=1,N2786,IF((P2786-Q2786)=-1,-M2786,0))</f>
        <v/>
      </c>
      <c r="U2786" s="101">
        <f>IF(AND(H2786=1,LedAcct&lt;&gt;""),IF(AND(E2786&gt;=LedFrom,E2786&lt;=LedTo,OR(I2786=LedAcct,K2786=LedAcct,AND(LedAcct=acctTax,M2786+N2786&lt;&gt;0))),E2786*10000+B2786,""),"")</f>
        <v/>
      </c>
    </row>
    <row r="2787">
      <c r="B2787" s="101" t="n">
        <v>2781</v>
      </c>
      <c r="C2787" s="58" t="inlineStr">
        <is>
          <t>Bill</t>
        </is>
      </c>
      <c r="D2787" s="58">
        <f>IF(H2787=1,INDEX(ap_No,281)&amp;"","")</f>
        <v/>
      </c>
      <c r="E2787" s="94">
        <f>IF(H2787=1,INDEX(ap_Date,281),"")</f>
        <v/>
      </c>
      <c r="F2787" s="58">
        <f>IF(H2787=1,INDEX(ap_Desc,281)&amp;"","")</f>
        <v/>
      </c>
      <c r="G2787" s="58">
        <f>IF(H2787=1,INDEX(ap_Party,281)&amp;"","")</f>
        <v/>
      </c>
      <c r="H2787" s="101">
        <f>IFERROR(N(INDEX(ap_Posted,281)),0)</f>
        <v/>
      </c>
      <c r="I2787" s="58">
        <f>IF(H2787=1,INDEX(ap_DrAcct,281)&amp;"","")</f>
        <v/>
      </c>
      <c r="J2787" s="95">
        <f>IF(H2787=1,INDEX(ap_DrAmt,281),0)</f>
        <v/>
      </c>
      <c r="K2787" s="58">
        <f>IF(H2787=1,INDEX(ap_CrAcct,281)&amp;"","")</f>
        <v/>
      </c>
      <c r="L2787" s="95">
        <f>IF(H2787=1,INDEX(ap_CrAmt,281),0)</f>
        <v/>
      </c>
      <c r="M2787" s="95">
        <f>IF(H2787=1,INDEX(ap_TaxAmt,281),0)</f>
        <v/>
      </c>
      <c r="N2787" s="95" t="n">
        <v>0</v>
      </c>
      <c r="O2787" s="101">
        <f>IF(H2787=1,IF(E2787&lt;FYStart,0,IF(E2787&gt;FYEnd,13,YEAR(E2787)*12+MONTH(E2787)-FYYM+1)),"")</f>
        <v/>
      </c>
      <c r="P2787" s="101">
        <f>IF(H2787=1,IF(IFERROR(INDEX(coa_CF,MATCH(I2787,coa_Name,0)),"")="Cash",1,0),0)</f>
        <v/>
      </c>
      <c r="Q2787" s="101">
        <f>IF(H2787=1,IF(IFERROR(INDEX(coa_CF,MATCH(K2787,coa_Name,0)),"")="Cash",1,0),0)</f>
        <v/>
      </c>
      <c r="R2787" s="58">
        <f>IF((P2787-Q2787)=0,"",IFERROR(INDEX(coa_CF,MATCH(IF((P2787-Q2787)=1,K2787,I2787),coa_Name,0)),"Operating"))</f>
        <v/>
      </c>
      <c r="S2787" s="95">
        <f>IF((P2787-Q2787)=1,L2787,IF((P2787-Q2787)=-1,-J2787,0))</f>
        <v/>
      </c>
      <c r="T2787" s="95">
        <f>IF((P2787-Q2787)=1,N2787,IF((P2787-Q2787)=-1,-M2787,0))</f>
        <v/>
      </c>
      <c r="U2787" s="101">
        <f>IF(AND(H2787=1,LedAcct&lt;&gt;""),IF(AND(E2787&gt;=LedFrom,E2787&lt;=LedTo,OR(I2787=LedAcct,K2787=LedAcct,AND(LedAcct=acctTax,M2787+N2787&lt;&gt;0))),E2787*10000+B2787,""),"")</f>
        <v/>
      </c>
    </row>
    <row r="2788">
      <c r="B2788" s="101" t="n">
        <v>2782</v>
      </c>
      <c r="C2788" s="58" t="inlineStr">
        <is>
          <t>Bill</t>
        </is>
      </c>
      <c r="D2788" s="58">
        <f>IF(H2788=1,INDEX(ap_No,282)&amp;"","")</f>
        <v/>
      </c>
      <c r="E2788" s="94">
        <f>IF(H2788=1,INDEX(ap_Date,282),"")</f>
        <v/>
      </c>
      <c r="F2788" s="58">
        <f>IF(H2788=1,INDEX(ap_Desc,282)&amp;"","")</f>
        <v/>
      </c>
      <c r="G2788" s="58">
        <f>IF(H2788=1,INDEX(ap_Party,282)&amp;"","")</f>
        <v/>
      </c>
      <c r="H2788" s="101">
        <f>IFERROR(N(INDEX(ap_Posted,282)),0)</f>
        <v/>
      </c>
      <c r="I2788" s="58">
        <f>IF(H2788=1,INDEX(ap_DrAcct,282)&amp;"","")</f>
        <v/>
      </c>
      <c r="J2788" s="95">
        <f>IF(H2788=1,INDEX(ap_DrAmt,282),0)</f>
        <v/>
      </c>
      <c r="K2788" s="58">
        <f>IF(H2788=1,INDEX(ap_CrAcct,282)&amp;"","")</f>
        <v/>
      </c>
      <c r="L2788" s="95">
        <f>IF(H2788=1,INDEX(ap_CrAmt,282),0)</f>
        <v/>
      </c>
      <c r="M2788" s="95">
        <f>IF(H2788=1,INDEX(ap_TaxAmt,282),0)</f>
        <v/>
      </c>
      <c r="N2788" s="95" t="n">
        <v>0</v>
      </c>
      <c r="O2788" s="101">
        <f>IF(H2788=1,IF(E2788&lt;FYStart,0,IF(E2788&gt;FYEnd,13,YEAR(E2788)*12+MONTH(E2788)-FYYM+1)),"")</f>
        <v/>
      </c>
      <c r="P2788" s="101">
        <f>IF(H2788=1,IF(IFERROR(INDEX(coa_CF,MATCH(I2788,coa_Name,0)),"")="Cash",1,0),0)</f>
        <v/>
      </c>
      <c r="Q2788" s="101">
        <f>IF(H2788=1,IF(IFERROR(INDEX(coa_CF,MATCH(K2788,coa_Name,0)),"")="Cash",1,0),0)</f>
        <v/>
      </c>
      <c r="R2788" s="58">
        <f>IF((P2788-Q2788)=0,"",IFERROR(INDEX(coa_CF,MATCH(IF((P2788-Q2788)=1,K2788,I2788),coa_Name,0)),"Operating"))</f>
        <v/>
      </c>
      <c r="S2788" s="95">
        <f>IF((P2788-Q2788)=1,L2788,IF((P2788-Q2788)=-1,-J2788,0))</f>
        <v/>
      </c>
      <c r="T2788" s="95">
        <f>IF((P2788-Q2788)=1,N2788,IF((P2788-Q2788)=-1,-M2788,0))</f>
        <v/>
      </c>
      <c r="U2788" s="101">
        <f>IF(AND(H2788=1,LedAcct&lt;&gt;""),IF(AND(E2788&gt;=LedFrom,E2788&lt;=LedTo,OR(I2788=LedAcct,K2788=LedAcct,AND(LedAcct=acctTax,M2788+N2788&lt;&gt;0))),E2788*10000+B2788,""),"")</f>
        <v/>
      </c>
    </row>
    <row r="2789">
      <c r="B2789" s="101" t="n">
        <v>2783</v>
      </c>
      <c r="C2789" s="58" t="inlineStr">
        <is>
          <t>Bill</t>
        </is>
      </c>
      <c r="D2789" s="58">
        <f>IF(H2789=1,INDEX(ap_No,283)&amp;"","")</f>
        <v/>
      </c>
      <c r="E2789" s="94">
        <f>IF(H2789=1,INDEX(ap_Date,283),"")</f>
        <v/>
      </c>
      <c r="F2789" s="58">
        <f>IF(H2789=1,INDEX(ap_Desc,283)&amp;"","")</f>
        <v/>
      </c>
      <c r="G2789" s="58">
        <f>IF(H2789=1,INDEX(ap_Party,283)&amp;"","")</f>
        <v/>
      </c>
      <c r="H2789" s="101">
        <f>IFERROR(N(INDEX(ap_Posted,283)),0)</f>
        <v/>
      </c>
      <c r="I2789" s="58">
        <f>IF(H2789=1,INDEX(ap_DrAcct,283)&amp;"","")</f>
        <v/>
      </c>
      <c r="J2789" s="95">
        <f>IF(H2789=1,INDEX(ap_DrAmt,283),0)</f>
        <v/>
      </c>
      <c r="K2789" s="58">
        <f>IF(H2789=1,INDEX(ap_CrAcct,283)&amp;"","")</f>
        <v/>
      </c>
      <c r="L2789" s="95">
        <f>IF(H2789=1,INDEX(ap_CrAmt,283),0)</f>
        <v/>
      </c>
      <c r="M2789" s="95">
        <f>IF(H2789=1,INDEX(ap_TaxAmt,283),0)</f>
        <v/>
      </c>
      <c r="N2789" s="95" t="n">
        <v>0</v>
      </c>
      <c r="O2789" s="101">
        <f>IF(H2789=1,IF(E2789&lt;FYStart,0,IF(E2789&gt;FYEnd,13,YEAR(E2789)*12+MONTH(E2789)-FYYM+1)),"")</f>
        <v/>
      </c>
      <c r="P2789" s="101">
        <f>IF(H2789=1,IF(IFERROR(INDEX(coa_CF,MATCH(I2789,coa_Name,0)),"")="Cash",1,0),0)</f>
        <v/>
      </c>
      <c r="Q2789" s="101">
        <f>IF(H2789=1,IF(IFERROR(INDEX(coa_CF,MATCH(K2789,coa_Name,0)),"")="Cash",1,0),0)</f>
        <v/>
      </c>
      <c r="R2789" s="58">
        <f>IF((P2789-Q2789)=0,"",IFERROR(INDEX(coa_CF,MATCH(IF((P2789-Q2789)=1,K2789,I2789),coa_Name,0)),"Operating"))</f>
        <v/>
      </c>
      <c r="S2789" s="95">
        <f>IF((P2789-Q2789)=1,L2789,IF((P2789-Q2789)=-1,-J2789,0))</f>
        <v/>
      </c>
      <c r="T2789" s="95">
        <f>IF((P2789-Q2789)=1,N2789,IF((P2789-Q2789)=-1,-M2789,0))</f>
        <v/>
      </c>
      <c r="U2789" s="101">
        <f>IF(AND(H2789=1,LedAcct&lt;&gt;""),IF(AND(E2789&gt;=LedFrom,E2789&lt;=LedTo,OR(I2789=LedAcct,K2789=LedAcct,AND(LedAcct=acctTax,M2789+N2789&lt;&gt;0))),E2789*10000+B2789,""),"")</f>
        <v/>
      </c>
    </row>
    <row r="2790">
      <c r="B2790" s="101" t="n">
        <v>2784</v>
      </c>
      <c r="C2790" s="58" t="inlineStr">
        <is>
          <t>Bill</t>
        </is>
      </c>
      <c r="D2790" s="58">
        <f>IF(H2790=1,INDEX(ap_No,284)&amp;"","")</f>
        <v/>
      </c>
      <c r="E2790" s="94">
        <f>IF(H2790=1,INDEX(ap_Date,284),"")</f>
        <v/>
      </c>
      <c r="F2790" s="58">
        <f>IF(H2790=1,INDEX(ap_Desc,284)&amp;"","")</f>
        <v/>
      </c>
      <c r="G2790" s="58">
        <f>IF(H2790=1,INDEX(ap_Party,284)&amp;"","")</f>
        <v/>
      </c>
      <c r="H2790" s="101">
        <f>IFERROR(N(INDEX(ap_Posted,284)),0)</f>
        <v/>
      </c>
      <c r="I2790" s="58">
        <f>IF(H2790=1,INDEX(ap_DrAcct,284)&amp;"","")</f>
        <v/>
      </c>
      <c r="J2790" s="95">
        <f>IF(H2790=1,INDEX(ap_DrAmt,284),0)</f>
        <v/>
      </c>
      <c r="K2790" s="58">
        <f>IF(H2790=1,INDEX(ap_CrAcct,284)&amp;"","")</f>
        <v/>
      </c>
      <c r="L2790" s="95">
        <f>IF(H2790=1,INDEX(ap_CrAmt,284),0)</f>
        <v/>
      </c>
      <c r="M2790" s="95">
        <f>IF(H2790=1,INDEX(ap_TaxAmt,284),0)</f>
        <v/>
      </c>
      <c r="N2790" s="95" t="n">
        <v>0</v>
      </c>
      <c r="O2790" s="101">
        <f>IF(H2790=1,IF(E2790&lt;FYStart,0,IF(E2790&gt;FYEnd,13,YEAR(E2790)*12+MONTH(E2790)-FYYM+1)),"")</f>
        <v/>
      </c>
      <c r="P2790" s="101">
        <f>IF(H2790=1,IF(IFERROR(INDEX(coa_CF,MATCH(I2790,coa_Name,0)),"")="Cash",1,0),0)</f>
        <v/>
      </c>
      <c r="Q2790" s="101">
        <f>IF(H2790=1,IF(IFERROR(INDEX(coa_CF,MATCH(K2790,coa_Name,0)),"")="Cash",1,0),0)</f>
        <v/>
      </c>
      <c r="R2790" s="58">
        <f>IF((P2790-Q2790)=0,"",IFERROR(INDEX(coa_CF,MATCH(IF((P2790-Q2790)=1,K2790,I2790),coa_Name,0)),"Operating"))</f>
        <v/>
      </c>
      <c r="S2790" s="95">
        <f>IF((P2790-Q2790)=1,L2790,IF((P2790-Q2790)=-1,-J2790,0))</f>
        <v/>
      </c>
      <c r="T2790" s="95">
        <f>IF((P2790-Q2790)=1,N2790,IF((P2790-Q2790)=-1,-M2790,0))</f>
        <v/>
      </c>
      <c r="U2790" s="101">
        <f>IF(AND(H2790=1,LedAcct&lt;&gt;""),IF(AND(E2790&gt;=LedFrom,E2790&lt;=LedTo,OR(I2790=LedAcct,K2790=LedAcct,AND(LedAcct=acctTax,M2790+N2790&lt;&gt;0))),E2790*10000+B2790,""),"")</f>
        <v/>
      </c>
    </row>
    <row r="2791">
      <c r="B2791" s="101" t="n">
        <v>2785</v>
      </c>
      <c r="C2791" s="58" t="inlineStr">
        <is>
          <t>Bill</t>
        </is>
      </c>
      <c r="D2791" s="58">
        <f>IF(H2791=1,INDEX(ap_No,285)&amp;"","")</f>
        <v/>
      </c>
      <c r="E2791" s="94">
        <f>IF(H2791=1,INDEX(ap_Date,285),"")</f>
        <v/>
      </c>
      <c r="F2791" s="58">
        <f>IF(H2791=1,INDEX(ap_Desc,285)&amp;"","")</f>
        <v/>
      </c>
      <c r="G2791" s="58">
        <f>IF(H2791=1,INDEX(ap_Party,285)&amp;"","")</f>
        <v/>
      </c>
      <c r="H2791" s="101">
        <f>IFERROR(N(INDEX(ap_Posted,285)),0)</f>
        <v/>
      </c>
      <c r="I2791" s="58">
        <f>IF(H2791=1,INDEX(ap_DrAcct,285)&amp;"","")</f>
        <v/>
      </c>
      <c r="J2791" s="95">
        <f>IF(H2791=1,INDEX(ap_DrAmt,285),0)</f>
        <v/>
      </c>
      <c r="K2791" s="58">
        <f>IF(H2791=1,INDEX(ap_CrAcct,285)&amp;"","")</f>
        <v/>
      </c>
      <c r="L2791" s="95">
        <f>IF(H2791=1,INDEX(ap_CrAmt,285),0)</f>
        <v/>
      </c>
      <c r="M2791" s="95">
        <f>IF(H2791=1,INDEX(ap_TaxAmt,285),0)</f>
        <v/>
      </c>
      <c r="N2791" s="95" t="n">
        <v>0</v>
      </c>
      <c r="O2791" s="101">
        <f>IF(H2791=1,IF(E2791&lt;FYStart,0,IF(E2791&gt;FYEnd,13,YEAR(E2791)*12+MONTH(E2791)-FYYM+1)),"")</f>
        <v/>
      </c>
      <c r="P2791" s="101">
        <f>IF(H2791=1,IF(IFERROR(INDEX(coa_CF,MATCH(I2791,coa_Name,0)),"")="Cash",1,0),0)</f>
        <v/>
      </c>
      <c r="Q2791" s="101">
        <f>IF(H2791=1,IF(IFERROR(INDEX(coa_CF,MATCH(K2791,coa_Name,0)),"")="Cash",1,0),0)</f>
        <v/>
      </c>
      <c r="R2791" s="58">
        <f>IF((P2791-Q2791)=0,"",IFERROR(INDEX(coa_CF,MATCH(IF((P2791-Q2791)=1,K2791,I2791),coa_Name,0)),"Operating"))</f>
        <v/>
      </c>
      <c r="S2791" s="95">
        <f>IF((P2791-Q2791)=1,L2791,IF((P2791-Q2791)=-1,-J2791,0))</f>
        <v/>
      </c>
      <c r="T2791" s="95">
        <f>IF((P2791-Q2791)=1,N2791,IF((P2791-Q2791)=-1,-M2791,0))</f>
        <v/>
      </c>
      <c r="U2791" s="101">
        <f>IF(AND(H2791=1,LedAcct&lt;&gt;""),IF(AND(E2791&gt;=LedFrom,E2791&lt;=LedTo,OR(I2791=LedAcct,K2791=LedAcct,AND(LedAcct=acctTax,M2791+N2791&lt;&gt;0))),E2791*10000+B2791,""),"")</f>
        <v/>
      </c>
    </row>
    <row r="2792">
      <c r="B2792" s="101" t="n">
        <v>2786</v>
      </c>
      <c r="C2792" s="58" t="inlineStr">
        <is>
          <t>Bill</t>
        </is>
      </c>
      <c r="D2792" s="58">
        <f>IF(H2792=1,INDEX(ap_No,286)&amp;"","")</f>
        <v/>
      </c>
      <c r="E2792" s="94">
        <f>IF(H2792=1,INDEX(ap_Date,286),"")</f>
        <v/>
      </c>
      <c r="F2792" s="58">
        <f>IF(H2792=1,INDEX(ap_Desc,286)&amp;"","")</f>
        <v/>
      </c>
      <c r="G2792" s="58">
        <f>IF(H2792=1,INDEX(ap_Party,286)&amp;"","")</f>
        <v/>
      </c>
      <c r="H2792" s="101">
        <f>IFERROR(N(INDEX(ap_Posted,286)),0)</f>
        <v/>
      </c>
      <c r="I2792" s="58">
        <f>IF(H2792=1,INDEX(ap_DrAcct,286)&amp;"","")</f>
        <v/>
      </c>
      <c r="J2792" s="95">
        <f>IF(H2792=1,INDEX(ap_DrAmt,286),0)</f>
        <v/>
      </c>
      <c r="K2792" s="58">
        <f>IF(H2792=1,INDEX(ap_CrAcct,286)&amp;"","")</f>
        <v/>
      </c>
      <c r="L2792" s="95">
        <f>IF(H2792=1,INDEX(ap_CrAmt,286),0)</f>
        <v/>
      </c>
      <c r="M2792" s="95">
        <f>IF(H2792=1,INDEX(ap_TaxAmt,286),0)</f>
        <v/>
      </c>
      <c r="N2792" s="95" t="n">
        <v>0</v>
      </c>
      <c r="O2792" s="101">
        <f>IF(H2792=1,IF(E2792&lt;FYStart,0,IF(E2792&gt;FYEnd,13,YEAR(E2792)*12+MONTH(E2792)-FYYM+1)),"")</f>
        <v/>
      </c>
      <c r="P2792" s="101">
        <f>IF(H2792=1,IF(IFERROR(INDEX(coa_CF,MATCH(I2792,coa_Name,0)),"")="Cash",1,0),0)</f>
        <v/>
      </c>
      <c r="Q2792" s="101">
        <f>IF(H2792=1,IF(IFERROR(INDEX(coa_CF,MATCH(K2792,coa_Name,0)),"")="Cash",1,0),0)</f>
        <v/>
      </c>
      <c r="R2792" s="58">
        <f>IF((P2792-Q2792)=0,"",IFERROR(INDEX(coa_CF,MATCH(IF((P2792-Q2792)=1,K2792,I2792),coa_Name,0)),"Operating"))</f>
        <v/>
      </c>
      <c r="S2792" s="95">
        <f>IF((P2792-Q2792)=1,L2792,IF((P2792-Q2792)=-1,-J2792,0))</f>
        <v/>
      </c>
      <c r="T2792" s="95">
        <f>IF((P2792-Q2792)=1,N2792,IF((P2792-Q2792)=-1,-M2792,0))</f>
        <v/>
      </c>
      <c r="U2792" s="101">
        <f>IF(AND(H2792=1,LedAcct&lt;&gt;""),IF(AND(E2792&gt;=LedFrom,E2792&lt;=LedTo,OR(I2792=LedAcct,K2792=LedAcct,AND(LedAcct=acctTax,M2792+N2792&lt;&gt;0))),E2792*10000+B2792,""),"")</f>
        <v/>
      </c>
    </row>
    <row r="2793">
      <c r="B2793" s="101" t="n">
        <v>2787</v>
      </c>
      <c r="C2793" s="58" t="inlineStr">
        <is>
          <t>Bill</t>
        </is>
      </c>
      <c r="D2793" s="58">
        <f>IF(H2793=1,INDEX(ap_No,287)&amp;"","")</f>
        <v/>
      </c>
      <c r="E2793" s="94">
        <f>IF(H2793=1,INDEX(ap_Date,287),"")</f>
        <v/>
      </c>
      <c r="F2793" s="58">
        <f>IF(H2793=1,INDEX(ap_Desc,287)&amp;"","")</f>
        <v/>
      </c>
      <c r="G2793" s="58">
        <f>IF(H2793=1,INDEX(ap_Party,287)&amp;"","")</f>
        <v/>
      </c>
      <c r="H2793" s="101">
        <f>IFERROR(N(INDEX(ap_Posted,287)),0)</f>
        <v/>
      </c>
      <c r="I2793" s="58">
        <f>IF(H2793=1,INDEX(ap_DrAcct,287)&amp;"","")</f>
        <v/>
      </c>
      <c r="J2793" s="95">
        <f>IF(H2793=1,INDEX(ap_DrAmt,287),0)</f>
        <v/>
      </c>
      <c r="K2793" s="58">
        <f>IF(H2793=1,INDEX(ap_CrAcct,287)&amp;"","")</f>
        <v/>
      </c>
      <c r="L2793" s="95">
        <f>IF(H2793=1,INDEX(ap_CrAmt,287),0)</f>
        <v/>
      </c>
      <c r="M2793" s="95">
        <f>IF(H2793=1,INDEX(ap_TaxAmt,287),0)</f>
        <v/>
      </c>
      <c r="N2793" s="95" t="n">
        <v>0</v>
      </c>
      <c r="O2793" s="101">
        <f>IF(H2793=1,IF(E2793&lt;FYStart,0,IF(E2793&gt;FYEnd,13,YEAR(E2793)*12+MONTH(E2793)-FYYM+1)),"")</f>
        <v/>
      </c>
      <c r="P2793" s="101">
        <f>IF(H2793=1,IF(IFERROR(INDEX(coa_CF,MATCH(I2793,coa_Name,0)),"")="Cash",1,0),0)</f>
        <v/>
      </c>
      <c r="Q2793" s="101">
        <f>IF(H2793=1,IF(IFERROR(INDEX(coa_CF,MATCH(K2793,coa_Name,0)),"")="Cash",1,0),0)</f>
        <v/>
      </c>
      <c r="R2793" s="58">
        <f>IF((P2793-Q2793)=0,"",IFERROR(INDEX(coa_CF,MATCH(IF((P2793-Q2793)=1,K2793,I2793),coa_Name,0)),"Operating"))</f>
        <v/>
      </c>
      <c r="S2793" s="95">
        <f>IF((P2793-Q2793)=1,L2793,IF((P2793-Q2793)=-1,-J2793,0))</f>
        <v/>
      </c>
      <c r="T2793" s="95">
        <f>IF((P2793-Q2793)=1,N2793,IF((P2793-Q2793)=-1,-M2793,0))</f>
        <v/>
      </c>
      <c r="U2793" s="101">
        <f>IF(AND(H2793=1,LedAcct&lt;&gt;""),IF(AND(E2793&gt;=LedFrom,E2793&lt;=LedTo,OR(I2793=LedAcct,K2793=LedAcct,AND(LedAcct=acctTax,M2793+N2793&lt;&gt;0))),E2793*10000+B2793,""),"")</f>
        <v/>
      </c>
    </row>
    <row r="2794">
      <c r="B2794" s="101" t="n">
        <v>2788</v>
      </c>
      <c r="C2794" s="58" t="inlineStr">
        <is>
          <t>Bill</t>
        </is>
      </c>
      <c r="D2794" s="58">
        <f>IF(H2794=1,INDEX(ap_No,288)&amp;"","")</f>
        <v/>
      </c>
      <c r="E2794" s="94">
        <f>IF(H2794=1,INDEX(ap_Date,288),"")</f>
        <v/>
      </c>
      <c r="F2794" s="58">
        <f>IF(H2794=1,INDEX(ap_Desc,288)&amp;"","")</f>
        <v/>
      </c>
      <c r="G2794" s="58">
        <f>IF(H2794=1,INDEX(ap_Party,288)&amp;"","")</f>
        <v/>
      </c>
      <c r="H2794" s="101">
        <f>IFERROR(N(INDEX(ap_Posted,288)),0)</f>
        <v/>
      </c>
      <c r="I2794" s="58">
        <f>IF(H2794=1,INDEX(ap_DrAcct,288)&amp;"","")</f>
        <v/>
      </c>
      <c r="J2794" s="95">
        <f>IF(H2794=1,INDEX(ap_DrAmt,288),0)</f>
        <v/>
      </c>
      <c r="K2794" s="58">
        <f>IF(H2794=1,INDEX(ap_CrAcct,288)&amp;"","")</f>
        <v/>
      </c>
      <c r="L2794" s="95">
        <f>IF(H2794=1,INDEX(ap_CrAmt,288),0)</f>
        <v/>
      </c>
      <c r="M2794" s="95">
        <f>IF(H2794=1,INDEX(ap_TaxAmt,288),0)</f>
        <v/>
      </c>
      <c r="N2794" s="95" t="n">
        <v>0</v>
      </c>
      <c r="O2794" s="101">
        <f>IF(H2794=1,IF(E2794&lt;FYStart,0,IF(E2794&gt;FYEnd,13,YEAR(E2794)*12+MONTH(E2794)-FYYM+1)),"")</f>
        <v/>
      </c>
      <c r="P2794" s="101">
        <f>IF(H2794=1,IF(IFERROR(INDEX(coa_CF,MATCH(I2794,coa_Name,0)),"")="Cash",1,0),0)</f>
        <v/>
      </c>
      <c r="Q2794" s="101">
        <f>IF(H2794=1,IF(IFERROR(INDEX(coa_CF,MATCH(K2794,coa_Name,0)),"")="Cash",1,0),0)</f>
        <v/>
      </c>
      <c r="R2794" s="58">
        <f>IF((P2794-Q2794)=0,"",IFERROR(INDEX(coa_CF,MATCH(IF((P2794-Q2794)=1,K2794,I2794),coa_Name,0)),"Operating"))</f>
        <v/>
      </c>
      <c r="S2794" s="95">
        <f>IF((P2794-Q2794)=1,L2794,IF((P2794-Q2794)=-1,-J2794,0))</f>
        <v/>
      </c>
      <c r="T2794" s="95">
        <f>IF((P2794-Q2794)=1,N2794,IF((P2794-Q2794)=-1,-M2794,0))</f>
        <v/>
      </c>
      <c r="U2794" s="101">
        <f>IF(AND(H2794=1,LedAcct&lt;&gt;""),IF(AND(E2794&gt;=LedFrom,E2794&lt;=LedTo,OR(I2794=LedAcct,K2794=LedAcct,AND(LedAcct=acctTax,M2794+N2794&lt;&gt;0))),E2794*10000+B2794,""),"")</f>
        <v/>
      </c>
    </row>
    <row r="2795">
      <c r="B2795" s="101" t="n">
        <v>2789</v>
      </c>
      <c r="C2795" s="58" t="inlineStr">
        <is>
          <t>Bill</t>
        </is>
      </c>
      <c r="D2795" s="58">
        <f>IF(H2795=1,INDEX(ap_No,289)&amp;"","")</f>
        <v/>
      </c>
      <c r="E2795" s="94">
        <f>IF(H2795=1,INDEX(ap_Date,289),"")</f>
        <v/>
      </c>
      <c r="F2795" s="58">
        <f>IF(H2795=1,INDEX(ap_Desc,289)&amp;"","")</f>
        <v/>
      </c>
      <c r="G2795" s="58">
        <f>IF(H2795=1,INDEX(ap_Party,289)&amp;"","")</f>
        <v/>
      </c>
      <c r="H2795" s="101">
        <f>IFERROR(N(INDEX(ap_Posted,289)),0)</f>
        <v/>
      </c>
      <c r="I2795" s="58">
        <f>IF(H2795=1,INDEX(ap_DrAcct,289)&amp;"","")</f>
        <v/>
      </c>
      <c r="J2795" s="95">
        <f>IF(H2795=1,INDEX(ap_DrAmt,289),0)</f>
        <v/>
      </c>
      <c r="K2795" s="58">
        <f>IF(H2795=1,INDEX(ap_CrAcct,289)&amp;"","")</f>
        <v/>
      </c>
      <c r="L2795" s="95">
        <f>IF(H2795=1,INDEX(ap_CrAmt,289),0)</f>
        <v/>
      </c>
      <c r="M2795" s="95">
        <f>IF(H2795=1,INDEX(ap_TaxAmt,289),0)</f>
        <v/>
      </c>
      <c r="N2795" s="95" t="n">
        <v>0</v>
      </c>
      <c r="O2795" s="101">
        <f>IF(H2795=1,IF(E2795&lt;FYStart,0,IF(E2795&gt;FYEnd,13,YEAR(E2795)*12+MONTH(E2795)-FYYM+1)),"")</f>
        <v/>
      </c>
      <c r="P2795" s="101">
        <f>IF(H2795=1,IF(IFERROR(INDEX(coa_CF,MATCH(I2795,coa_Name,0)),"")="Cash",1,0),0)</f>
        <v/>
      </c>
      <c r="Q2795" s="101">
        <f>IF(H2795=1,IF(IFERROR(INDEX(coa_CF,MATCH(K2795,coa_Name,0)),"")="Cash",1,0),0)</f>
        <v/>
      </c>
      <c r="R2795" s="58">
        <f>IF((P2795-Q2795)=0,"",IFERROR(INDEX(coa_CF,MATCH(IF((P2795-Q2795)=1,K2795,I2795),coa_Name,0)),"Operating"))</f>
        <v/>
      </c>
      <c r="S2795" s="95">
        <f>IF((P2795-Q2795)=1,L2795,IF((P2795-Q2795)=-1,-J2795,0))</f>
        <v/>
      </c>
      <c r="T2795" s="95">
        <f>IF((P2795-Q2795)=1,N2795,IF((P2795-Q2795)=-1,-M2795,0))</f>
        <v/>
      </c>
      <c r="U2795" s="101">
        <f>IF(AND(H2795=1,LedAcct&lt;&gt;""),IF(AND(E2795&gt;=LedFrom,E2795&lt;=LedTo,OR(I2795=LedAcct,K2795=LedAcct,AND(LedAcct=acctTax,M2795+N2795&lt;&gt;0))),E2795*10000+B2795,""),"")</f>
        <v/>
      </c>
    </row>
    <row r="2796">
      <c r="B2796" s="101" t="n">
        <v>2790</v>
      </c>
      <c r="C2796" s="58" t="inlineStr">
        <is>
          <t>Bill</t>
        </is>
      </c>
      <c r="D2796" s="58">
        <f>IF(H2796=1,INDEX(ap_No,290)&amp;"","")</f>
        <v/>
      </c>
      <c r="E2796" s="94">
        <f>IF(H2796=1,INDEX(ap_Date,290),"")</f>
        <v/>
      </c>
      <c r="F2796" s="58">
        <f>IF(H2796=1,INDEX(ap_Desc,290)&amp;"","")</f>
        <v/>
      </c>
      <c r="G2796" s="58">
        <f>IF(H2796=1,INDEX(ap_Party,290)&amp;"","")</f>
        <v/>
      </c>
      <c r="H2796" s="101">
        <f>IFERROR(N(INDEX(ap_Posted,290)),0)</f>
        <v/>
      </c>
      <c r="I2796" s="58">
        <f>IF(H2796=1,INDEX(ap_DrAcct,290)&amp;"","")</f>
        <v/>
      </c>
      <c r="J2796" s="95">
        <f>IF(H2796=1,INDEX(ap_DrAmt,290),0)</f>
        <v/>
      </c>
      <c r="K2796" s="58">
        <f>IF(H2796=1,INDEX(ap_CrAcct,290)&amp;"","")</f>
        <v/>
      </c>
      <c r="L2796" s="95">
        <f>IF(H2796=1,INDEX(ap_CrAmt,290),0)</f>
        <v/>
      </c>
      <c r="M2796" s="95">
        <f>IF(H2796=1,INDEX(ap_TaxAmt,290),0)</f>
        <v/>
      </c>
      <c r="N2796" s="95" t="n">
        <v>0</v>
      </c>
      <c r="O2796" s="101">
        <f>IF(H2796=1,IF(E2796&lt;FYStart,0,IF(E2796&gt;FYEnd,13,YEAR(E2796)*12+MONTH(E2796)-FYYM+1)),"")</f>
        <v/>
      </c>
      <c r="P2796" s="101">
        <f>IF(H2796=1,IF(IFERROR(INDEX(coa_CF,MATCH(I2796,coa_Name,0)),"")="Cash",1,0),0)</f>
        <v/>
      </c>
      <c r="Q2796" s="101">
        <f>IF(H2796=1,IF(IFERROR(INDEX(coa_CF,MATCH(K2796,coa_Name,0)),"")="Cash",1,0),0)</f>
        <v/>
      </c>
      <c r="R2796" s="58">
        <f>IF((P2796-Q2796)=0,"",IFERROR(INDEX(coa_CF,MATCH(IF((P2796-Q2796)=1,K2796,I2796),coa_Name,0)),"Operating"))</f>
        <v/>
      </c>
      <c r="S2796" s="95">
        <f>IF((P2796-Q2796)=1,L2796,IF((P2796-Q2796)=-1,-J2796,0))</f>
        <v/>
      </c>
      <c r="T2796" s="95">
        <f>IF((P2796-Q2796)=1,N2796,IF((P2796-Q2796)=-1,-M2796,0))</f>
        <v/>
      </c>
      <c r="U2796" s="101">
        <f>IF(AND(H2796=1,LedAcct&lt;&gt;""),IF(AND(E2796&gt;=LedFrom,E2796&lt;=LedTo,OR(I2796=LedAcct,K2796=LedAcct,AND(LedAcct=acctTax,M2796+N2796&lt;&gt;0))),E2796*10000+B2796,""),"")</f>
        <v/>
      </c>
    </row>
    <row r="2797">
      <c r="B2797" s="101" t="n">
        <v>2791</v>
      </c>
      <c r="C2797" s="58" t="inlineStr">
        <is>
          <t>Bill</t>
        </is>
      </c>
      <c r="D2797" s="58">
        <f>IF(H2797=1,INDEX(ap_No,291)&amp;"","")</f>
        <v/>
      </c>
      <c r="E2797" s="94">
        <f>IF(H2797=1,INDEX(ap_Date,291),"")</f>
        <v/>
      </c>
      <c r="F2797" s="58">
        <f>IF(H2797=1,INDEX(ap_Desc,291)&amp;"","")</f>
        <v/>
      </c>
      <c r="G2797" s="58">
        <f>IF(H2797=1,INDEX(ap_Party,291)&amp;"","")</f>
        <v/>
      </c>
      <c r="H2797" s="101">
        <f>IFERROR(N(INDEX(ap_Posted,291)),0)</f>
        <v/>
      </c>
      <c r="I2797" s="58">
        <f>IF(H2797=1,INDEX(ap_DrAcct,291)&amp;"","")</f>
        <v/>
      </c>
      <c r="J2797" s="95">
        <f>IF(H2797=1,INDEX(ap_DrAmt,291),0)</f>
        <v/>
      </c>
      <c r="K2797" s="58">
        <f>IF(H2797=1,INDEX(ap_CrAcct,291)&amp;"","")</f>
        <v/>
      </c>
      <c r="L2797" s="95">
        <f>IF(H2797=1,INDEX(ap_CrAmt,291),0)</f>
        <v/>
      </c>
      <c r="M2797" s="95">
        <f>IF(H2797=1,INDEX(ap_TaxAmt,291),0)</f>
        <v/>
      </c>
      <c r="N2797" s="95" t="n">
        <v>0</v>
      </c>
      <c r="O2797" s="101">
        <f>IF(H2797=1,IF(E2797&lt;FYStart,0,IF(E2797&gt;FYEnd,13,YEAR(E2797)*12+MONTH(E2797)-FYYM+1)),"")</f>
        <v/>
      </c>
      <c r="P2797" s="101">
        <f>IF(H2797=1,IF(IFERROR(INDEX(coa_CF,MATCH(I2797,coa_Name,0)),"")="Cash",1,0),0)</f>
        <v/>
      </c>
      <c r="Q2797" s="101">
        <f>IF(H2797=1,IF(IFERROR(INDEX(coa_CF,MATCH(K2797,coa_Name,0)),"")="Cash",1,0),0)</f>
        <v/>
      </c>
      <c r="R2797" s="58">
        <f>IF((P2797-Q2797)=0,"",IFERROR(INDEX(coa_CF,MATCH(IF((P2797-Q2797)=1,K2797,I2797),coa_Name,0)),"Operating"))</f>
        <v/>
      </c>
      <c r="S2797" s="95">
        <f>IF((P2797-Q2797)=1,L2797,IF((P2797-Q2797)=-1,-J2797,0))</f>
        <v/>
      </c>
      <c r="T2797" s="95">
        <f>IF((P2797-Q2797)=1,N2797,IF((P2797-Q2797)=-1,-M2797,0))</f>
        <v/>
      </c>
      <c r="U2797" s="101">
        <f>IF(AND(H2797=1,LedAcct&lt;&gt;""),IF(AND(E2797&gt;=LedFrom,E2797&lt;=LedTo,OR(I2797=LedAcct,K2797=LedAcct,AND(LedAcct=acctTax,M2797+N2797&lt;&gt;0))),E2797*10000+B2797,""),"")</f>
        <v/>
      </c>
    </row>
    <row r="2798">
      <c r="B2798" s="101" t="n">
        <v>2792</v>
      </c>
      <c r="C2798" s="58" t="inlineStr">
        <is>
          <t>Bill</t>
        </is>
      </c>
      <c r="D2798" s="58">
        <f>IF(H2798=1,INDEX(ap_No,292)&amp;"","")</f>
        <v/>
      </c>
      <c r="E2798" s="94">
        <f>IF(H2798=1,INDEX(ap_Date,292),"")</f>
        <v/>
      </c>
      <c r="F2798" s="58">
        <f>IF(H2798=1,INDEX(ap_Desc,292)&amp;"","")</f>
        <v/>
      </c>
      <c r="G2798" s="58">
        <f>IF(H2798=1,INDEX(ap_Party,292)&amp;"","")</f>
        <v/>
      </c>
      <c r="H2798" s="101">
        <f>IFERROR(N(INDEX(ap_Posted,292)),0)</f>
        <v/>
      </c>
      <c r="I2798" s="58">
        <f>IF(H2798=1,INDEX(ap_DrAcct,292)&amp;"","")</f>
        <v/>
      </c>
      <c r="J2798" s="95">
        <f>IF(H2798=1,INDEX(ap_DrAmt,292),0)</f>
        <v/>
      </c>
      <c r="K2798" s="58">
        <f>IF(H2798=1,INDEX(ap_CrAcct,292)&amp;"","")</f>
        <v/>
      </c>
      <c r="L2798" s="95">
        <f>IF(H2798=1,INDEX(ap_CrAmt,292),0)</f>
        <v/>
      </c>
      <c r="M2798" s="95">
        <f>IF(H2798=1,INDEX(ap_TaxAmt,292),0)</f>
        <v/>
      </c>
      <c r="N2798" s="95" t="n">
        <v>0</v>
      </c>
      <c r="O2798" s="101">
        <f>IF(H2798=1,IF(E2798&lt;FYStart,0,IF(E2798&gt;FYEnd,13,YEAR(E2798)*12+MONTH(E2798)-FYYM+1)),"")</f>
        <v/>
      </c>
      <c r="P2798" s="101">
        <f>IF(H2798=1,IF(IFERROR(INDEX(coa_CF,MATCH(I2798,coa_Name,0)),"")="Cash",1,0),0)</f>
        <v/>
      </c>
      <c r="Q2798" s="101">
        <f>IF(H2798=1,IF(IFERROR(INDEX(coa_CF,MATCH(K2798,coa_Name,0)),"")="Cash",1,0),0)</f>
        <v/>
      </c>
      <c r="R2798" s="58">
        <f>IF((P2798-Q2798)=0,"",IFERROR(INDEX(coa_CF,MATCH(IF((P2798-Q2798)=1,K2798,I2798),coa_Name,0)),"Operating"))</f>
        <v/>
      </c>
      <c r="S2798" s="95">
        <f>IF((P2798-Q2798)=1,L2798,IF((P2798-Q2798)=-1,-J2798,0))</f>
        <v/>
      </c>
      <c r="T2798" s="95">
        <f>IF((P2798-Q2798)=1,N2798,IF((P2798-Q2798)=-1,-M2798,0))</f>
        <v/>
      </c>
      <c r="U2798" s="101">
        <f>IF(AND(H2798=1,LedAcct&lt;&gt;""),IF(AND(E2798&gt;=LedFrom,E2798&lt;=LedTo,OR(I2798=LedAcct,K2798=LedAcct,AND(LedAcct=acctTax,M2798+N2798&lt;&gt;0))),E2798*10000+B2798,""),"")</f>
        <v/>
      </c>
    </row>
    <row r="2799">
      <c r="B2799" s="101" t="n">
        <v>2793</v>
      </c>
      <c r="C2799" s="58" t="inlineStr">
        <is>
          <t>Bill</t>
        </is>
      </c>
      <c r="D2799" s="58">
        <f>IF(H2799=1,INDEX(ap_No,293)&amp;"","")</f>
        <v/>
      </c>
      <c r="E2799" s="94">
        <f>IF(H2799=1,INDEX(ap_Date,293),"")</f>
        <v/>
      </c>
      <c r="F2799" s="58">
        <f>IF(H2799=1,INDEX(ap_Desc,293)&amp;"","")</f>
        <v/>
      </c>
      <c r="G2799" s="58">
        <f>IF(H2799=1,INDEX(ap_Party,293)&amp;"","")</f>
        <v/>
      </c>
      <c r="H2799" s="101">
        <f>IFERROR(N(INDEX(ap_Posted,293)),0)</f>
        <v/>
      </c>
      <c r="I2799" s="58">
        <f>IF(H2799=1,INDEX(ap_DrAcct,293)&amp;"","")</f>
        <v/>
      </c>
      <c r="J2799" s="95">
        <f>IF(H2799=1,INDEX(ap_DrAmt,293),0)</f>
        <v/>
      </c>
      <c r="K2799" s="58">
        <f>IF(H2799=1,INDEX(ap_CrAcct,293)&amp;"","")</f>
        <v/>
      </c>
      <c r="L2799" s="95">
        <f>IF(H2799=1,INDEX(ap_CrAmt,293),0)</f>
        <v/>
      </c>
      <c r="M2799" s="95">
        <f>IF(H2799=1,INDEX(ap_TaxAmt,293),0)</f>
        <v/>
      </c>
      <c r="N2799" s="95" t="n">
        <v>0</v>
      </c>
      <c r="O2799" s="101">
        <f>IF(H2799=1,IF(E2799&lt;FYStart,0,IF(E2799&gt;FYEnd,13,YEAR(E2799)*12+MONTH(E2799)-FYYM+1)),"")</f>
        <v/>
      </c>
      <c r="P2799" s="101">
        <f>IF(H2799=1,IF(IFERROR(INDEX(coa_CF,MATCH(I2799,coa_Name,0)),"")="Cash",1,0),0)</f>
        <v/>
      </c>
      <c r="Q2799" s="101">
        <f>IF(H2799=1,IF(IFERROR(INDEX(coa_CF,MATCH(K2799,coa_Name,0)),"")="Cash",1,0),0)</f>
        <v/>
      </c>
      <c r="R2799" s="58">
        <f>IF((P2799-Q2799)=0,"",IFERROR(INDEX(coa_CF,MATCH(IF((P2799-Q2799)=1,K2799,I2799),coa_Name,0)),"Operating"))</f>
        <v/>
      </c>
      <c r="S2799" s="95">
        <f>IF((P2799-Q2799)=1,L2799,IF((P2799-Q2799)=-1,-J2799,0))</f>
        <v/>
      </c>
      <c r="T2799" s="95">
        <f>IF((P2799-Q2799)=1,N2799,IF((P2799-Q2799)=-1,-M2799,0))</f>
        <v/>
      </c>
      <c r="U2799" s="101">
        <f>IF(AND(H2799=1,LedAcct&lt;&gt;""),IF(AND(E2799&gt;=LedFrom,E2799&lt;=LedTo,OR(I2799=LedAcct,K2799=LedAcct,AND(LedAcct=acctTax,M2799+N2799&lt;&gt;0))),E2799*10000+B2799,""),"")</f>
        <v/>
      </c>
    </row>
    <row r="2800">
      <c r="B2800" s="101" t="n">
        <v>2794</v>
      </c>
      <c r="C2800" s="58" t="inlineStr">
        <is>
          <t>Bill</t>
        </is>
      </c>
      <c r="D2800" s="58">
        <f>IF(H2800=1,INDEX(ap_No,294)&amp;"","")</f>
        <v/>
      </c>
      <c r="E2800" s="94">
        <f>IF(H2800=1,INDEX(ap_Date,294),"")</f>
        <v/>
      </c>
      <c r="F2800" s="58">
        <f>IF(H2800=1,INDEX(ap_Desc,294)&amp;"","")</f>
        <v/>
      </c>
      <c r="G2800" s="58">
        <f>IF(H2800=1,INDEX(ap_Party,294)&amp;"","")</f>
        <v/>
      </c>
      <c r="H2800" s="101">
        <f>IFERROR(N(INDEX(ap_Posted,294)),0)</f>
        <v/>
      </c>
      <c r="I2800" s="58">
        <f>IF(H2800=1,INDEX(ap_DrAcct,294)&amp;"","")</f>
        <v/>
      </c>
      <c r="J2800" s="95">
        <f>IF(H2800=1,INDEX(ap_DrAmt,294),0)</f>
        <v/>
      </c>
      <c r="K2800" s="58">
        <f>IF(H2800=1,INDEX(ap_CrAcct,294)&amp;"","")</f>
        <v/>
      </c>
      <c r="L2800" s="95">
        <f>IF(H2800=1,INDEX(ap_CrAmt,294),0)</f>
        <v/>
      </c>
      <c r="M2800" s="95">
        <f>IF(H2800=1,INDEX(ap_TaxAmt,294),0)</f>
        <v/>
      </c>
      <c r="N2800" s="95" t="n">
        <v>0</v>
      </c>
      <c r="O2800" s="101">
        <f>IF(H2800=1,IF(E2800&lt;FYStart,0,IF(E2800&gt;FYEnd,13,YEAR(E2800)*12+MONTH(E2800)-FYYM+1)),"")</f>
        <v/>
      </c>
      <c r="P2800" s="101">
        <f>IF(H2800=1,IF(IFERROR(INDEX(coa_CF,MATCH(I2800,coa_Name,0)),"")="Cash",1,0),0)</f>
        <v/>
      </c>
      <c r="Q2800" s="101">
        <f>IF(H2800=1,IF(IFERROR(INDEX(coa_CF,MATCH(K2800,coa_Name,0)),"")="Cash",1,0),0)</f>
        <v/>
      </c>
      <c r="R2800" s="58">
        <f>IF((P2800-Q2800)=0,"",IFERROR(INDEX(coa_CF,MATCH(IF((P2800-Q2800)=1,K2800,I2800),coa_Name,0)),"Operating"))</f>
        <v/>
      </c>
      <c r="S2800" s="95">
        <f>IF((P2800-Q2800)=1,L2800,IF((P2800-Q2800)=-1,-J2800,0))</f>
        <v/>
      </c>
      <c r="T2800" s="95">
        <f>IF((P2800-Q2800)=1,N2800,IF((P2800-Q2800)=-1,-M2800,0))</f>
        <v/>
      </c>
      <c r="U2800" s="101">
        <f>IF(AND(H2800=1,LedAcct&lt;&gt;""),IF(AND(E2800&gt;=LedFrom,E2800&lt;=LedTo,OR(I2800=LedAcct,K2800=LedAcct,AND(LedAcct=acctTax,M2800+N2800&lt;&gt;0))),E2800*10000+B2800,""),"")</f>
        <v/>
      </c>
    </row>
    <row r="2801">
      <c r="B2801" s="101" t="n">
        <v>2795</v>
      </c>
      <c r="C2801" s="58" t="inlineStr">
        <is>
          <t>Bill</t>
        </is>
      </c>
      <c r="D2801" s="58">
        <f>IF(H2801=1,INDEX(ap_No,295)&amp;"","")</f>
        <v/>
      </c>
      <c r="E2801" s="94">
        <f>IF(H2801=1,INDEX(ap_Date,295),"")</f>
        <v/>
      </c>
      <c r="F2801" s="58">
        <f>IF(H2801=1,INDEX(ap_Desc,295)&amp;"","")</f>
        <v/>
      </c>
      <c r="G2801" s="58">
        <f>IF(H2801=1,INDEX(ap_Party,295)&amp;"","")</f>
        <v/>
      </c>
      <c r="H2801" s="101">
        <f>IFERROR(N(INDEX(ap_Posted,295)),0)</f>
        <v/>
      </c>
      <c r="I2801" s="58">
        <f>IF(H2801=1,INDEX(ap_DrAcct,295)&amp;"","")</f>
        <v/>
      </c>
      <c r="J2801" s="95">
        <f>IF(H2801=1,INDEX(ap_DrAmt,295),0)</f>
        <v/>
      </c>
      <c r="K2801" s="58">
        <f>IF(H2801=1,INDEX(ap_CrAcct,295)&amp;"","")</f>
        <v/>
      </c>
      <c r="L2801" s="95">
        <f>IF(H2801=1,INDEX(ap_CrAmt,295),0)</f>
        <v/>
      </c>
      <c r="M2801" s="95">
        <f>IF(H2801=1,INDEX(ap_TaxAmt,295),0)</f>
        <v/>
      </c>
      <c r="N2801" s="95" t="n">
        <v>0</v>
      </c>
      <c r="O2801" s="101">
        <f>IF(H2801=1,IF(E2801&lt;FYStart,0,IF(E2801&gt;FYEnd,13,YEAR(E2801)*12+MONTH(E2801)-FYYM+1)),"")</f>
        <v/>
      </c>
      <c r="P2801" s="101">
        <f>IF(H2801=1,IF(IFERROR(INDEX(coa_CF,MATCH(I2801,coa_Name,0)),"")="Cash",1,0),0)</f>
        <v/>
      </c>
      <c r="Q2801" s="101">
        <f>IF(H2801=1,IF(IFERROR(INDEX(coa_CF,MATCH(K2801,coa_Name,0)),"")="Cash",1,0),0)</f>
        <v/>
      </c>
      <c r="R2801" s="58">
        <f>IF((P2801-Q2801)=0,"",IFERROR(INDEX(coa_CF,MATCH(IF((P2801-Q2801)=1,K2801,I2801),coa_Name,0)),"Operating"))</f>
        <v/>
      </c>
      <c r="S2801" s="95">
        <f>IF((P2801-Q2801)=1,L2801,IF((P2801-Q2801)=-1,-J2801,0))</f>
        <v/>
      </c>
      <c r="T2801" s="95">
        <f>IF((P2801-Q2801)=1,N2801,IF((P2801-Q2801)=-1,-M2801,0))</f>
        <v/>
      </c>
      <c r="U2801" s="101">
        <f>IF(AND(H2801=1,LedAcct&lt;&gt;""),IF(AND(E2801&gt;=LedFrom,E2801&lt;=LedTo,OR(I2801=LedAcct,K2801=LedAcct,AND(LedAcct=acctTax,M2801+N2801&lt;&gt;0))),E2801*10000+B2801,""),"")</f>
        <v/>
      </c>
    </row>
    <row r="2802">
      <c r="B2802" s="101" t="n">
        <v>2796</v>
      </c>
      <c r="C2802" s="58" t="inlineStr">
        <is>
          <t>Bill</t>
        </is>
      </c>
      <c r="D2802" s="58">
        <f>IF(H2802=1,INDEX(ap_No,296)&amp;"","")</f>
        <v/>
      </c>
      <c r="E2802" s="94">
        <f>IF(H2802=1,INDEX(ap_Date,296),"")</f>
        <v/>
      </c>
      <c r="F2802" s="58">
        <f>IF(H2802=1,INDEX(ap_Desc,296)&amp;"","")</f>
        <v/>
      </c>
      <c r="G2802" s="58">
        <f>IF(H2802=1,INDEX(ap_Party,296)&amp;"","")</f>
        <v/>
      </c>
      <c r="H2802" s="101">
        <f>IFERROR(N(INDEX(ap_Posted,296)),0)</f>
        <v/>
      </c>
      <c r="I2802" s="58">
        <f>IF(H2802=1,INDEX(ap_DrAcct,296)&amp;"","")</f>
        <v/>
      </c>
      <c r="J2802" s="95">
        <f>IF(H2802=1,INDEX(ap_DrAmt,296),0)</f>
        <v/>
      </c>
      <c r="K2802" s="58">
        <f>IF(H2802=1,INDEX(ap_CrAcct,296)&amp;"","")</f>
        <v/>
      </c>
      <c r="L2802" s="95">
        <f>IF(H2802=1,INDEX(ap_CrAmt,296),0)</f>
        <v/>
      </c>
      <c r="M2802" s="95">
        <f>IF(H2802=1,INDEX(ap_TaxAmt,296),0)</f>
        <v/>
      </c>
      <c r="N2802" s="95" t="n">
        <v>0</v>
      </c>
      <c r="O2802" s="101">
        <f>IF(H2802=1,IF(E2802&lt;FYStart,0,IF(E2802&gt;FYEnd,13,YEAR(E2802)*12+MONTH(E2802)-FYYM+1)),"")</f>
        <v/>
      </c>
      <c r="P2802" s="101">
        <f>IF(H2802=1,IF(IFERROR(INDEX(coa_CF,MATCH(I2802,coa_Name,0)),"")="Cash",1,0),0)</f>
        <v/>
      </c>
      <c r="Q2802" s="101">
        <f>IF(H2802=1,IF(IFERROR(INDEX(coa_CF,MATCH(K2802,coa_Name,0)),"")="Cash",1,0),0)</f>
        <v/>
      </c>
      <c r="R2802" s="58">
        <f>IF((P2802-Q2802)=0,"",IFERROR(INDEX(coa_CF,MATCH(IF((P2802-Q2802)=1,K2802,I2802),coa_Name,0)),"Operating"))</f>
        <v/>
      </c>
      <c r="S2802" s="95">
        <f>IF((P2802-Q2802)=1,L2802,IF((P2802-Q2802)=-1,-J2802,0))</f>
        <v/>
      </c>
      <c r="T2802" s="95">
        <f>IF((P2802-Q2802)=1,N2802,IF((P2802-Q2802)=-1,-M2802,0))</f>
        <v/>
      </c>
      <c r="U2802" s="101">
        <f>IF(AND(H2802=1,LedAcct&lt;&gt;""),IF(AND(E2802&gt;=LedFrom,E2802&lt;=LedTo,OR(I2802=LedAcct,K2802=LedAcct,AND(LedAcct=acctTax,M2802+N2802&lt;&gt;0))),E2802*10000+B2802,""),"")</f>
        <v/>
      </c>
    </row>
    <row r="2803">
      <c r="B2803" s="101" t="n">
        <v>2797</v>
      </c>
      <c r="C2803" s="58" t="inlineStr">
        <is>
          <t>Bill</t>
        </is>
      </c>
      <c r="D2803" s="58">
        <f>IF(H2803=1,INDEX(ap_No,297)&amp;"","")</f>
        <v/>
      </c>
      <c r="E2803" s="94">
        <f>IF(H2803=1,INDEX(ap_Date,297),"")</f>
        <v/>
      </c>
      <c r="F2803" s="58">
        <f>IF(H2803=1,INDEX(ap_Desc,297)&amp;"","")</f>
        <v/>
      </c>
      <c r="G2803" s="58">
        <f>IF(H2803=1,INDEX(ap_Party,297)&amp;"","")</f>
        <v/>
      </c>
      <c r="H2803" s="101">
        <f>IFERROR(N(INDEX(ap_Posted,297)),0)</f>
        <v/>
      </c>
      <c r="I2803" s="58">
        <f>IF(H2803=1,INDEX(ap_DrAcct,297)&amp;"","")</f>
        <v/>
      </c>
      <c r="J2803" s="95">
        <f>IF(H2803=1,INDEX(ap_DrAmt,297),0)</f>
        <v/>
      </c>
      <c r="K2803" s="58">
        <f>IF(H2803=1,INDEX(ap_CrAcct,297)&amp;"","")</f>
        <v/>
      </c>
      <c r="L2803" s="95">
        <f>IF(H2803=1,INDEX(ap_CrAmt,297),0)</f>
        <v/>
      </c>
      <c r="M2803" s="95">
        <f>IF(H2803=1,INDEX(ap_TaxAmt,297),0)</f>
        <v/>
      </c>
      <c r="N2803" s="95" t="n">
        <v>0</v>
      </c>
      <c r="O2803" s="101">
        <f>IF(H2803=1,IF(E2803&lt;FYStart,0,IF(E2803&gt;FYEnd,13,YEAR(E2803)*12+MONTH(E2803)-FYYM+1)),"")</f>
        <v/>
      </c>
      <c r="P2803" s="101">
        <f>IF(H2803=1,IF(IFERROR(INDEX(coa_CF,MATCH(I2803,coa_Name,0)),"")="Cash",1,0),0)</f>
        <v/>
      </c>
      <c r="Q2803" s="101">
        <f>IF(H2803=1,IF(IFERROR(INDEX(coa_CF,MATCH(K2803,coa_Name,0)),"")="Cash",1,0),0)</f>
        <v/>
      </c>
      <c r="R2803" s="58">
        <f>IF((P2803-Q2803)=0,"",IFERROR(INDEX(coa_CF,MATCH(IF((P2803-Q2803)=1,K2803,I2803),coa_Name,0)),"Operating"))</f>
        <v/>
      </c>
      <c r="S2803" s="95">
        <f>IF((P2803-Q2803)=1,L2803,IF((P2803-Q2803)=-1,-J2803,0))</f>
        <v/>
      </c>
      <c r="T2803" s="95">
        <f>IF((P2803-Q2803)=1,N2803,IF((P2803-Q2803)=-1,-M2803,0))</f>
        <v/>
      </c>
      <c r="U2803" s="101">
        <f>IF(AND(H2803=1,LedAcct&lt;&gt;""),IF(AND(E2803&gt;=LedFrom,E2803&lt;=LedTo,OR(I2803=LedAcct,K2803=LedAcct,AND(LedAcct=acctTax,M2803+N2803&lt;&gt;0))),E2803*10000+B2803,""),"")</f>
        <v/>
      </c>
    </row>
    <row r="2804">
      <c r="B2804" s="101" t="n">
        <v>2798</v>
      </c>
      <c r="C2804" s="58" t="inlineStr">
        <is>
          <t>Bill</t>
        </is>
      </c>
      <c r="D2804" s="58">
        <f>IF(H2804=1,INDEX(ap_No,298)&amp;"","")</f>
        <v/>
      </c>
      <c r="E2804" s="94">
        <f>IF(H2804=1,INDEX(ap_Date,298),"")</f>
        <v/>
      </c>
      <c r="F2804" s="58">
        <f>IF(H2804=1,INDEX(ap_Desc,298)&amp;"","")</f>
        <v/>
      </c>
      <c r="G2804" s="58">
        <f>IF(H2804=1,INDEX(ap_Party,298)&amp;"","")</f>
        <v/>
      </c>
      <c r="H2804" s="101">
        <f>IFERROR(N(INDEX(ap_Posted,298)),0)</f>
        <v/>
      </c>
      <c r="I2804" s="58">
        <f>IF(H2804=1,INDEX(ap_DrAcct,298)&amp;"","")</f>
        <v/>
      </c>
      <c r="J2804" s="95">
        <f>IF(H2804=1,INDEX(ap_DrAmt,298),0)</f>
        <v/>
      </c>
      <c r="K2804" s="58">
        <f>IF(H2804=1,INDEX(ap_CrAcct,298)&amp;"","")</f>
        <v/>
      </c>
      <c r="L2804" s="95">
        <f>IF(H2804=1,INDEX(ap_CrAmt,298),0)</f>
        <v/>
      </c>
      <c r="M2804" s="95">
        <f>IF(H2804=1,INDEX(ap_TaxAmt,298),0)</f>
        <v/>
      </c>
      <c r="N2804" s="95" t="n">
        <v>0</v>
      </c>
      <c r="O2804" s="101">
        <f>IF(H2804=1,IF(E2804&lt;FYStart,0,IF(E2804&gt;FYEnd,13,YEAR(E2804)*12+MONTH(E2804)-FYYM+1)),"")</f>
        <v/>
      </c>
      <c r="P2804" s="101">
        <f>IF(H2804=1,IF(IFERROR(INDEX(coa_CF,MATCH(I2804,coa_Name,0)),"")="Cash",1,0),0)</f>
        <v/>
      </c>
      <c r="Q2804" s="101">
        <f>IF(H2804=1,IF(IFERROR(INDEX(coa_CF,MATCH(K2804,coa_Name,0)),"")="Cash",1,0),0)</f>
        <v/>
      </c>
      <c r="R2804" s="58">
        <f>IF((P2804-Q2804)=0,"",IFERROR(INDEX(coa_CF,MATCH(IF((P2804-Q2804)=1,K2804,I2804),coa_Name,0)),"Operating"))</f>
        <v/>
      </c>
      <c r="S2804" s="95">
        <f>IF((P2804-Q2804)=1,L2804,IF((P2804-Q2804)=-1,-J2804,0))</f>
        <v/>
      </c>
      <c r="T2804" s="95">
        <f>IF((P2804-Q2804)=1,N2804,IF((P2804-Q2804)=-1,-M2804,0))</f>
        <v/>
      </c>
      <c r="U2804" s="101">
        <f>IF(AND(H2804=1,LedAcct&lt;&gt;""),IF(AND(E2804&gt;=LedFrom,E2804&lt;=LedTo,OR(I2804=LedAcct,K2804=LedAcct,AND(LedAcct=acctTax,M2804+N2804&lt;&gt;0))),E2804*10000+B2804,""),"")</f>
        <v/>
      </c>
    </row>
    <row r="2805">
      <c r="B2805" s="101" t="n">
        <v>2799</v>
      </c>
      <c r="C2805" s="58" t="inlineStr">
        <is>
          <t>Bill</t>
        </is>
      </c>
      <c r="D2805" s="58">
        <f>IF(H2805=1,INDEX(ap_No,299)&amp;"","")</f>
        <v/>
      </c>
      <c r="E2805" s="94">
        <f>IF(H2805=1,INDEX(ap_Date,299),"")</f>
        <v/>
      </c>
      <c r="F2805" s="58">
        <f>IF(H2805=1,INDEX(ap_Desc,299)&amp;"","")</f>
        <v/>
      </c>
      <c r="G2805" s="58">
        <f>IF(H2805=1,INDEX(ap_Party,299)&amp;"","")</f>
        <v/>
      </c>
      <c r="H2805" s="101">
        <f>IFERROR(N(INDEX(ap_Posted,299)),0)</f>
        <v/>
      </c>
      <c r="I2805" s="58">
        <f>IF(H2805=1,INDEX(ap_DrAcct,299)&amp;"","")</f>
        <v/>
      </c>
      <c r="J2805" s="95">
        <f>IF(H2805=1,INDEX(ap_DrAmt,299),0)</f>
        <v/>
      </c>
      <c r="K2805" s="58">
        <f>IF(H2805=1,INDEX(ap_CrAcct,299)&amp;"","")</f>
        <v/>
      </c>
      <c r="L2805" s="95">
        <f>IF(H2805=1,INDEX(ap_CrAmt,299),0)</f>
        <v/>
      </c>
      <c r="M2805" s="95">
        <f>IF(H2805=1,INDEX(ap_TaxAmt,299),0)</f>
        <v/>
      </c>
      <c r="N2805" s="95" t="n">
        <v>0</v>
      </c>
      <c r="O2805" s="101">
        <f>IF(H2805=1,IF(E2805&lt;FYStart,0,IF(E2805&gt;FYEnd,13,YEAR(E2805)*12+MONTH(E2805)-FYYM+1)),"")</f>
        <v/>
      </c>
      <c r="P2805" s="101">
        <f>IF(H2805=1,IF(IFERROR(INDEX(coa_CF,MATCH(I2805,coa_Name,0)),"")="Cash",1,0),0)</f>
        <v/>
      </c>
      <c r="Q2805" s="101">
        <f>IF(H2805=1,IF(IFERROR(INDEX(coa_CF,MATCH(K2805,coa_Name,0)),"")="Cash",1,0),0)</f>
        <v/>
      </c>
      <c r="R2805" s="58">
        <f>IF((P2805-Q2805)=0,"",IFERROR(INDEX(coa_CF,MATCH(IF((P2805-Q2805)=1,K2805,I2805),coa_Name,0)),"Operating"))</f>
        <v/>
      </c>
      <c r="S2805" s="95">
        <f>IF((P2805-Q2805)=1,L2805,IF((P2805-Q2805)=-1,-J2805,0))</f>
        <v/>
      </c>
      <c r="T2805" s="95">
        <f>IF((P2805-Q2805)=1,N2805,IF((P2805-Q2805)=-1,-M2805,0))</f>
        <v/>
      </c>
      <c r="U2805" s="101">
        <f>IF(AND(H2805=1,LedAcct&lt;&gt;""),IF(AND(E2805&gt;=LedFrom,E2805&lt;=LedTo,OR(I2805=LedAcct,K2805=LedAcct,AND(LedAcct=acctTax,M2805+N2805&lt;&gt;0))),E2805*10000+B2805,""),"")</f>
        <v/>
      </c>
    </row>
    <row r="2806">
      <c r="B2806" s="101" t="n">
        <v>2800</v>
      </c>
      <c r="C2806" s="58" t="inlineStr">
        <is>
          <t>Bill</t>
        </is>
      </c>
      <c r="D2806" s="58">
        <f>IF(H2806=1,INDEX(ap_No,300)&amp;"","")</f>
        <v/>
      </c>
      <c r="E2806" s="94">
        <f>IF(H2806=1,INDEX(ap_Date,300),"")</f>
        <v/>
      </c>
      <c r="F2806" s="58">
        <f>IF(H2806=1,INDEX(ap_Desc,300)&amp;"","")</f>
        <v/>
      </c>
      <c r="G2806" s="58">
        <f>IF(H2806=1,INDEX(ap_Party,300)&amp;"","")</f>
        <v/>
      </c>
      <c r="H2806" s="101">
        <f>IFERROR(N(INDEX(ap_Posted,300)),0)</f>
        <v/>
      </c>
      <c r="I2806" s="58">
        <f>IF(H2806=1,INDEX(ap_DrAcct,300)&amp;"","")</f>
        <v/>
      </c>
      <c r="J2806" s="95">
        <f>IF(H2806=1,INDEX(ap_DrAmt,300),0)</f>
        <v/>
      </c>
      <c r="K2806" s="58">
        <f>IF(H2806=1,INDEX(ap_CrAcct,300)&amp;"","")</f>
        <v/>
      </c>
      <c r="L2806" s="95">
        <f>IF(H2806=1,INDEX(ap_CrAmt,300),0)</f>
        <v/>
      </c>
      <c r="M2806" s="95">
        <f>IF(H2806=1,INDEX(ap_TaxAmt,300),0)</f>
        <v/>
      </c>
      <c r="N2806" s="95" t="n">
        <v>0</v>
      </c>
      <c r="O2806" s="101">
        <f>IF(H2806=1,IF(E2806&lt;FYStart,0,IF(E2806&gt;FYEnd,13,YEAR(E2806)*12+MONTH(E2806)-FYYM+1)),"")</f>
        <v/>
      </c>
      <c r="P2806" s="101">
        <f>IF(H2806=1,IF(IFERROR(INDEX(coa_CF,MATCH(I2806,coa_Name,0)),"")="Cash",1,0),0)</f>
        <v/>
      </c>
      <c r="Q2806" s="101">
        <f>IF(H2806=1,IF(IFERROR(INDEX(coa_CF,MATCH(K2806,coa_Name,0)),"")="Cash",1,0),0)</f>
        <v/>
      </c>
      <c r="R2806" s="58">
        <f>IF((P2806-Q2806)=0,"",IFERROR(INDEX(coa_CF,MATCH(IF((P2806-Q2806)=1,K2806,I2806),coa_Name,0)),"Operating"))</f>
        <v/>
      </c>
      <c r="S2806" s="95">
        <f>IF((P2806-Q2806)=1,L2806,IF((P2806-Q2806)=-1,-J2806,0))</f>
        <v/>
      </c>
      <c r="T2806" s="95">
        <f>IF((P2806-Q2806)=1,N2806,IF((P2806-Q2806)=-1,-M2806,0))</f>
        <v/>
      </c>
      <c r="U2806" s="101">
        <f>IF(AND(H2806=1,LedAcct&lt;&gt;""),IF(AND(E2806&gt;=LedFrom,E2806&lt;=LedTo,OR(I2806=LedAcct,K2806=LedAcct,AND(LedAcct=acctTax,M2806+N2806&lt;&gt;0))),E2806*10000+B2806,""),"")</f>
        <v/>
      </c>
    </row>
    <row r="2807">
      <c r="B2807" s="101" t="n">
        <v>2801</v>
      </c>
      <c r="C2807" s="58" t="inlineStr">
        <is>
          <t>Bill</t>
        </is>
      </c>
      <c r="D2807" s="58">
        <f>IF(H2807=1,INDEX(ap_No,301)&amp;"","")</f>
        <v/>
      </c>
      <c r="E2807" s="94">
        <f>IF(H2807=1,INDEX(ap_Date,301),"")</f>
        <v/>
      </c>
      <c r="F2807" s="58">
        <f>IF(H2807=1,INDEX(ap_Desc,301)&amp;"","")</f>
        <v/>
      </c>
      <c r="G2807" s="58">
        <f>IF(H2807=1,INDEX(ap_Party,301)&amp;"","")</f>
        <v/>
      </c>
      <c r="H2807" s="101">
        <f>IFERROR(N(INDEX(ap_Posted,301)),0)</f>
        <v/>
      </c>
      <c r="I2807" s="58">
        <f>IF(H2807=1,INDEX(ap_DrAcct,301)&amp;"","")</f>
        <v/>
      </c>
      <c r="J2807" s="95">
        <f>IF(H2807=1,INDEX(ap_DrAmt,301),0)</f>
        <v/>
      </c>
      <c r="K2807" s="58">
        <f>IF(H2807=1,INDEX(ap_CrAcct,301)&amp;"","")</f>
        <v/>
      </c>
      <c r="L2807" s="95">
        <f>IF(H2807=1,INDEX(ap_CrAmt,301),0)</f>
        <v/>
      </c>
      <c r="M2807" s="95">
        <f>IF(H2807=1,INDEX(ap_TaxAmt,301),0)</f>
        <v/>
      </c>
      <c r="N2807" s="95" t="n">
        <v>0</v>
      </c>
      <c r="O2807" s="101">
        <f>IF(H2807=1,IF(E2807&lt;FYStart,0,IF(E2807&gt;FYEnd,13,YEAR(E2807)*12+MONTH(E2807)-FYYM+1)),"")</f>
        <v/>
      </c>
      <c r="P2807" s="101">
        <f>IF(H2807=1,IF(IFERROR(INDEX(coa_CF,MATCH(I2807,coa_Name,0)),"")="Cash",1,0),0)</f>
        <v/>
      </c>
      <c r="Q2807" s="101">
        <f>IF(H2807=1,IF(IFERROR(INDEX(coa_CF,MATCH(K2807,coa_Name,0)),"")="Cash",1,0),0)</f>
        <v/>
      </c>
      <c r="R2807" s="58">
        <f>IF((P2807-Q2807)=0,"",IFERROR(INDEX(coa_CF,MATCH(IF((P2807-Q2807)=1,K2807,I2807),coa_Name,0)),"Operating"))</f>
        <v/>
      </c>
      <c r="S2807" s="95">
        <f>IF((P2807-Q2807)=1,L2807,IF((P2807-Q2807)=-1,-J2807,0))</f>
        <v/>
      </c>
      <c r="T2807" s="95">
        <f>IF((P2807-Q2807)=1,N2807,IF((P2807-Q2807)=-1,-M2807,0))</f>
        <v/>
      </c>
      <c r="U2807" s="101">
        <f>IF(AND(H2807=1,LedAcct&lt;&gt;""),IF(AND(E2807&gt;=LedFrom,E2807&lt;=LedTo,OR(I2807=LedAcct,K2807=LedAcct,AND(LedAcct=acctTax,M2807+N2807&lt;&gt;0))),E2807*10000+B2807,""),"")</f>
        <v/>
      </c>
    </row>
    <row r="2808">
      <c r="B2808" s="101" t="n">
        <v>2802</v>
      </c>
      <c r="C2808" s="58" t="inlineStr">
        <is>
          <t>Bill</t>
        </is>
      </c>
      <c r="D2808" s="58">
        <f>IF(H2808=1,INDEX(ap_No,302)&amp;"","")</f>
        <v/>
      </c>
      <c r="E2808" s="94">
        <f>IF(H2808=1,INDEX(ap_Date,302),"")</f>
        <v/>
      </c>
      <c r="F2808" s="58">
        <f>IF(H2808=1,INDEX(ap_Desc,302)&amp;"","")</f>
        <v/>
      </c>
      <c r="G2808" s="58">
        <f>IF(H2808=1,INDEX(ap_Party,302)&amp;"","")</f>
        <v/>
      </c>
      <c r="H2808" s="101">
        <f>IFERROR(N(INDEX(ap_Posted,302)),0)</f>
        <v/>
      </c>
      <c r="I2808" s="58">
        <f>IF(H2808=1,INDEX(ap_DrAcct,302)&amp;"","")</f>
        <v/>
      </c>
      <c r="J2808" s="95">
        <f>IF(H2808=1,INDEX(ap_DrAmt,302),0)</f>
        <v/>
      </c>
      <c r="K2808" s="58">
        <f>IF(H2808=1,INDEX(ap_CrAcct,302)&amp;"","")</f>
        <v/>
      </c>
      <c r="L2808" s="95">
        <f>IF(H2808=1,INDEX(ap_CrAmt,302),0)</f>
        <v/>
      </c>
      <c r="M2808" s="95">
        <f>IF(H2808=1,INDEX(ap_TaxAmt,302),0)</f>
        <v/>
      </c>
      <c r="N2808" s="95" t="n">
        <v>0</v>
      </c>
      <c r="O2808" s="101">
        <f>IF(H2808=1,IF(E2808&lt;FYStart,0,IF(E2808&gt;FYEnd,13,YEAR(E2808)*12+MONTH(E2808)-FYYM+1)),"")</f>
        <v/>
      </c>
      <c r="P2808" s="101">
        <f>IF(H2808=1,IF(IFERROR(INDEX(coa_CF,MATCH(I2808,coa_Name,0)),"")="Cash",1,0),0)</f>
        <v/>
      </c>
      <c r="Q2808" s="101">
        <f>IF(H2808=1,IF(IFERROR(INDEX(coa_CF,MATCH(K2808,coa_Name,0)),"")="Cash",1,0),0)</f>
        <v/>
      </c>
      <c r="R2808" s="58">
        <f>IF((P2808-Q2808)=0,"",IFERROR(INDEX(coa_CF,MATCH(IF((P2808-Q2808)=1,K2808,I2808),coa_Name,0)),"Operating"))</f>
        <v/>
      </c>
      <c r="S2808" s="95">
        <f>IF((P2808-Q2808)=1,L2808,IF((P2808-Q2808)=-1,-J2808,0))</f>
        <v/>
      </c>
      <c r="T2808" s="95">
        <f>IF((P2808-Q2808)=1,N2808,IF((P2808-Q2808)=-1,-M2808,0))</f>
        <v/>
      </c>
      <c r="U2808" s="101">
        <f>IF(AND(H2808=1,LedAcct&lt;&gt;""),IF(AND(E2808&gt;=LedFrom,E2808&lt;=LedTo,OR(I2808=LedAcct,K2808=LedAcct,AND(LedAcct=acctTax,M2808+N2808&lt;&gt;0))),E2808*10000+B2808,""),"")</f>
        <v/>
      </c>
    </row>
    <row r="2809">
      <c r="B2809" s="101" t="n">
        <v>2803</v>
      </c>
      <c r="C2809" s="58" t="inlineStr">
        <is>
          <t>Bill</t>
        </is>
      </c>
      <c r="D2809" s="58">
        <f>IF(H2809=1,INDEX(ap_No,303)&amp;"","")</f>
        <v/>
      </c>
      <c r="E2809" s="94">
        <f>IF(H2809=1,INDEX(ap_Date,303),"")</f>
        <v/>
      </c>
      <c r="F2809" s="58">
        <f>IF(H2809=1,INDEX(ap_Desc,303)&amp;"","")</f>
        <v/>
      </c>
      <c r="G2809" s="58">
        <f>IF(H2809=1,INDEX(ap_Party,303)&amp;"","")</f>
        <v/>
      </c>
      <c r="H2809" s="101">
        <f>IFERROR(N(INDEX(ap_Posted,303)),0)</f>
        <v/>
      </c>
      <c r="I2809" s="58">
        <f>IF(H2809=1,INDEX(ap_DrAcct,303)&amp;"","")</f>
        <v/>
      </c>
      <c r="J2809" s="95">
        <f>IF(H2809=1,INDEX(ap_DrAmt,303),0)</f>
        <v/>
      </c>
      <c r="K2809" s="58">
        <f>IF(H2809=1,INDEX(ap_CrAcct,303)&amp;"","")</f>
        <v/>
      </c>
      <c r="L2809" s="95">
        <f>IF(H2809=1,INDEX(ap_CrAmt,303),0)</f>
        <v/>
      </c>
      <c r="M2809" s="95">
        <f>IF(H2809=1,INDEX(ap_TaxAmt,303),0)</f>
        <v/>
      </c>
      <c r="N2809" s="95" t="n">
        <v>0</v>
      </c>
      <c r="O2809" s="101">
        <f>IF(H2809=1,IF(E2809&lt;FYStart,0,IF(E2809&gt;FYEnd,13,YEAR(E2809)*12+MONTH(E2809)-FYYM+1)),"")</f>
        <v/>
      </c>
      <c r="P2809" s="101">
        <f>IF(H2809=1,IF(IFERROR(INDEX(coa_CF,MATCH(I2809,coa_Name,0)),"")="Cash",1,0),0)</f>
        <v/>
      </c>
      <c r="Q2809" s="101">
        <f>IF(H2809=1,IF(IFERROR(INDEX(coa_CF,MATCH(K2809,coa_Name,0)),"")="Cash",1,0),0)</f>
        <v/>
      </c>
      <c r="R2809" s="58">
        <f>IF((P2809-Q2809)=0,"",IFERROR(INDEX(coa_CF,MATCH(IF((P2809-Q2809)=1,K2809,I2809),coa_Name,0)),"Operating"))</f>
        <v/>
      </c>
      <c r="S2809" s="95">
        <f>IF((P2809-Q2809)=1,L2809,IF((P2809-Q2809)=-1,-J2809,0))</f>
        <v/>
      </c>
      <c r="T2809" s="95">
        <f>IF((P2809-Q2809)=1,N2809,IF((P2809-Q2809)=-1,-M2809,0))</f>
        <v/>
      </c>
      <c r="U2809" s="101">
        <f>IF(AND(H2809=1,LedAcct&lt;&gt;""),IF(AND(E2809&gt;=LedFrom,E2809&lt;=LedTo,OR(I2809=LedAcct,K2809=LedAcct,AND(LedAcct=acctTax,M2809+N2809&lt;&gt;0))),E2809*10000+B2809,""),"")</f>
        <v/>
      </c>
    </row>
    <row r="2810">
      <c r="B2810" s="101" t="n">
        <v>2804</v>
      </c>
      <c r="C2810" s="58" t="inlineStr">
        <is>
          <t>Bill</t>
        </is>
      </c>
      <c r="D2810" s="58">
        <f>IF(H2810=1,INDEX(ap_No,304)&amp;"","")</f>
        <v/>
      </c>
      <c r="E2810" s="94">
        <f>IF(H2810=1,INDEX(ap_Date,304),"")</f>
        <v/>
      </c>
      <c r="F2810" s="58">
        <f>IF(H2810=1,INDEX(ap_Desc,304)&amp;"","")</f>
        <v/>
      </c>
      <c r="G2810" s="58">
        <f>IF(H2810=1,INDEX(ap_Party,304)&amp;"","")</f>
        <v/>
      </c>
      <c r="H2810" s="101">
        <f>IFERROR(N(INDEX(ap_Posted,304)),0)</f>
        <v/>
      </c>
      <c r="I2810" s="58">
        <f>IF(H2810=1,INDEX(ap_DrAcct,304)&amp;"","")</f>
        <v/>
      </c>
      <c r="J2810" s="95">
        <f>IF(H2810=1,INDEX(ap_DrAmt,304),0)</f>
        <v/>
      </c>
      <c r="K2810" s="58">
        <f>IF(H2810=1,INDEX(ap_CrAcct,304)&amp;"","")</f>
        <v/>
      </c>
      <c r="L2810" s="95">
        <f>IF(H2810=1,INDEX(ap_CrAmt,304),0)</f>
        <v/>
      </c>
      <c r="M2810" s="95">
        <f>IF(H2810=1,INDEX(ap_TaxAmt,304),0)</f>
        <v/>
      </c>
      <c r="N2810" s="95" t="n">
        <v>0</v>
      </c>
      <c r="O2810" s="101">
        <f>IF(H2810=1,IF(E2810&lt;FYStart,0,IF(E2810&gt;FYEnd,13,YEAR(E2810)*12+MONTH(E2810)-FYYM+1)),"")</f>
        <v/>
      </c>
      <c r="P2810" s="101">
        <f>IF(H2810=1,IF(IFERROR(INDEX(coa_CF,MATCH(I2810,coa_Name,0)),"")="Cash",1,0),0)</f>
        <v/>
      </c>
      <c r="Q2810" s="101">
        <f>IF(H2810=1,IF(IFERROR(INDEX(coa_CF,MATCH(K2810,coa_Name,0)),"")="Cash",1,0),0)</f>
        <v/>
      </c>
      <c r="R2810" s="58">
        <f>IF((P2810-Q2810)=0,"",IFERROR(INDEX(coa_CF,MATCH(IF((P2810-Q2810)=1,K2810,I2810),coa_Name,0)),"Operating"))</f>
        <v/>
      </c>
      <c r="S2810" s="95">
        <f>IF((P2810-Q2810)=1,L2810,IF((P2810-Q2810)=-1,-J2810,0))</f>
        <v/>
      </c>
      <c r="T2810" s="95">
        <f>IF((P2810-Q2810)=1,N2810,IF((P2810-Q2810)=-1,-M2810,0))</f>
        <v/>
      </c>
      <c r="U2810" s="101">
        <f>IF(AND(H2810=1,LedAcct&lt;&gt;""),IF(AND(E2810&gt;=LedFrom,E2810&lt;=LedTo,OR(I2810=LedAcct,K2810=LedAcct,AND(LedAcct=acctTax,M2810+N2810&lt;&gt;0))),E2810*10000+B2810,""),"")</f>
        <v/>
      </c>
    </row>
    <row r="2811">
      <c r="B2811" s="101" t="n">
        <v>2805</v>
      </c>
      <c r="C2811" s="58" t="inlineStr">
        <is>
          <t>Bill</t>
        </is>
      </c>
      <c r="D2811" s="58">
        <f>IF(H2811=1,INDEX(ap_No,305)&amp;"","")</f>
        <v/>
      </c>
      <c r="E2811" s="94">
        <f>IF(H2811=1,INDEX(ap_Date,305),"")</f>
        <v/>
      </c>
      <c r="F2811" s="58">
        <f>IF(H2811=1,INDEX(ap_Desc,305)&amp;"","")</f>
        <v/>
      </c>
      <c r="G2811" s="58">
        <f>IF(H2811=1,INDEX(ap_Party,305)&amp;"","")</f>
        <v/>
      </c>
      <c r="H2811" s="101">
        <f>IFERROR(N(INDEX(ap_Posted,305)),0)</f>
        <v/>
      </c>
      <c r="I2811" s="58">
        <f>IF(H2811=1,INDEX(ap_DrAcct,305)&amp;"","")</f>
        <v/>
      </c>
      <c r="J2811" s="95">
        <f>IF(H2811=1,INDEX(ap_DrAmt,305),0)</f>
        <v/>
      </c>
      <c r="K2811" s="58">
        <f>IF(H2811=1,INDEX(ap_CrAcct,305)&amp;"","")</f>
        <v/>
      </c>
      <c r="L2811" s="95">
        <f>IF(H2811=1,INDEX(ap_CrAmt,305),0)</f>
        <v/>
      </c>
      <c r="M2811" s="95">
        <f>IF(H2811=1,INDEX(ap_TaxAmt,305),0)</f>
        <v/>
      </c>
      <c r="N2811" s="95" t="n">
        <v>0</v>
      </c>
      <c r="O2811" s="101">
        <f>IF(H2811=1,IF(E2811&lt;FYStart,0,IF(E2811&gt;FYEnd,13,YEAR(E2811)*12+MONTH(E2811)-FYYM+1)),"")</f>
        <v/>
      </c>
      <c r="P2811" s="101">
        <f>IF(H2811=1,IF(IFERROR(INDEX(coa_CF,MATCH(I2811,coa_Name,0)),"")="Cash",1,0),0)</f>
        <v/>
      </c>
      <c r="Q2811" s="101">
        <f>IF(H2811=1,IF(IFERROR(INDEX(coa_CF,MATCH(K2811,coa_Name,0)),"")="Cash",1,0),0)</f>
        <v/>
      </c>
      <c r="R2811" s="58">
        <f>IF((P2811-Q2811)=0,"",IFERROR(INDEX(coa_CF,MATCH(IF((P2811-Q2811)=1,K2811,I2811),coa_Name,0)),"Operating"))</f>
        <v/>
      </c>
      <c r="S2811" s="95">
        <f>IF((P2811-Q2811)=1,L2811,IF((P2811-Q2811)=-1,-J2811,0))</f>
        <v/>
      </c>
      <c r="T2811" s="95">
        <f>IF((P2811-Q2811)=1,N2811,IF((P2811-Q2811)=-1,-M2811,0))</f>
        <v/>
      </c>
      <c r="U2811" s="101">
        <f>IF(AND(H2811=1,LedAcct&lt;&gt;""),IF(AND(E2811&gt;=LedFrom,E2811&lt;=LedTo,OR(I2811=LedAcct,K2811=LedAcct,AND(LedAcct=acctTax,M2811+N2811&lt;&gt;0))),E2811*10000+B2811,""),"")</f>
        <v/>
      </c>
    </row>
    <row r="2812">
      <c r="B2812" s="101" t="n">
        <v>2806</v>
      </c>
      <c r="C2812" s="58" t="inlineStr">
        <is>
          <t>Bill</t>
        </is>
      </c>
      <c r="D2812" s="58">
        <f>IF(H2812=1,INDEX(ap_No,306)&amp;"","")</f>
        <v/>
      </c>
      <c r="E2812" s="94">
        <f>IF(H2812=1,INDEX(ap_Date,306),"")</f>
        <v/>
      </c>
      <c r="F2812" s="58">
        <f>IF(H2812=1,INDEX(ap_Desc,306)&amp;"","")</f>
        <v/>
      </c>
      <c r="G2812" s="58">
        <f>IF(H2812=1,INDEX(ap_Party,306)&amp;"","")</f>
        <v/>
      </c>
      <c r="H2812" s="101">
        <f>IFERROR(N(INDEX(ap_Posted,306)),0)</f>
        <v/>
      </c>
      <c r="I2812" s="58">
        <f>IF(H2812=1,INDEX(ap_DrAcct,306)&amp;"","")</f>
        <v/>
      </c>
      <c r="J2812" s="95">
        <f>IF(H2812=1,INDEX(ap_DrAmt,306),0)</f>
        <v/>
      </c>
      <c r="K2812" s="58">
        <f>IF(H2812=1,INDEX(ap_CrAcct,306)&amp;"","")</f>
        <v/>
      </c>
      <c r="L2812" s="95">
        <f>IF(H2812=1,INDEX(ap_CrAmt,306),0)</f>
        <v/>
      </c>
      <c r="M2812" s="95">
        <f>IF(H2812=1,INDEX(ap_TaxAmt,306),0)</f>
        <v/>
      </c>
      <c r="N2812" s="95" t="n">
        <v>0</v>
      </c>
      <c r="O2812" s="101">
        <f>IF(H2812=1,IF(E2812&lt;FYStart,0,IF(E2812&gt;FYEnd,13,YEAR(E2812)*12+MONTH(E2812)-FYYM+1)),"")</f>
        <v/>
      </c>
      <c r="P2812" s="101">
        <f>IF(H2812=1,IF(IFERROR(INDEX(coa_CF,MATCH(I2812,coa_Name,0)),"")="Cash",1,0),0)</f>
        <v/>
      </c>
      <c r="Q2812" s="101">
        <f>IF(H2812=1,IF(IFERROR(INDEX(coa_CF,MATCH(K2812,coa_Name,0)),"")="Cash",1,0),0)</f>
        <v/>
      </c>
      <c r="R2812" s="58">
        <f>IF((P2812-Q2812)=0,"",IFERROR(INDEX(coa_CF,MATCH(IF((P2812-Q2812)=1,K2812,I2812),coa_Name,0)),"Operating"))</f>
        <v/>
      </c>
      <c r="S2812" s="95">
        <f>IF((P2812-Q2812)=1,L2812,IF((P2812-Q2812)=-1,-J2812,0))</f>
        <v/>
      </c>
      <c r="T2812" s="95">
        <f>IF((P2812-Q2812)=1,N2812,IF((P2812-Q2812)=-1,-M2812,0))</f>
        <v/>
      </c>
      <c r="U2812" s="101">
        <f>IF(AND(H2812=1,LedAcct&lt;&gt;""),IF(AND(E2812&gt;=LedFrom,E2812&lt;=LedTo,OR(I2812=LedAcct,K2812=LedAcct,AND(LedAcct=acctTax,M2812+N2812&lt;&gt;0))),E2812*10000+B2812,""),"")</f>
        <v/>
      </c>
    </row>
    <row r="2813">
      <c r="B2813" s="101" t="n">
        <v>2807</v>
      </c>
      <c r="C2813" s="58" t="inlineStr">
        <is>
          <t>Bill</t>
        </is>
      </c>
      <c r="D2813" s="58">
        <f>IF(H2813=1,INDEX(ap_No,307)&amp;"","")</f>
        <v/>
      </c>
      <c r="E2813" s="94">
        <f>IF(H2813=1,INDEX(ap_Date,307),"")</f>
        <v/>
      </c>
      <c r="F2813" s="58">
        <f>IF(H2813=1,INDEX(ap_Desc,307)&amp;"","")</f>
        <v/>
      </c>
      <c r="G2813" s="58">
        <f>IF(H2813=1,INDEX(ap_Party,307)&amp;"","")</f>
        <v/>
      </c>
      <c r="H2813" s="101">
        <f>IFERROR(N(INDEX(ap_Posted,307)),0)</f>
        <v/>
      </c>
      <c r="I2813" s="58">
        <f>IF(H2813=1,INDEX(ap_DrAcct,307)&amp;"","")</f>
        <v/>
      </c>
      <c r="J2813" s="95">
        <f>IF(H2813=1,INDEX(ap_DrAmt,307),0)</f>
        <v/>
      </c>
      <c r="K2813" s="58">
        <f>IF(H2813=1,INDEX(ap_CrAcct,307)&amp;"","")</f>
        <v/>
      </c>
      <c r="L2813" s="95">
        <f>IF(H2813=1,INDEX(ap_CrAmt,307),0)</f>
        <v/>
      </c>
      <c r="M2813" s="95">
        <f>IF(H2813=1,INDEX(ap_TaxAmt,307),0)</f>
        <v/>
      </c>
      <c r="N2813" s="95" t="n">
        <v>0</v>
      </c>
      <c r="O2813" s="101">
        <f>IF(H2813=1,IF(E2813&lt;FYStart,0,IF(E2813&gt;FYEnd,13,YEAR(E2813)*12+MONTH(E2813)-FYYM+1)),"")</f>
        <v/>
      </c>
      <c r="P2813" s="101">
        <f>IF(H2813=1,IF(IFERROR(INDEX(coa_CF,MATCH(I2813,coa_Name,0)),"")="Cash",1,0),0)</f>
        <v/>
      </c>
      <c r="Q2813" s="101">
        <f>IF(H2813=1,IF(IFERROR(INDEX(coa_CF,MATCH(K2813,coa_Name,0)),"")="Cash",1,0),0)</f>
        <v/>
      </c>
      <c r="R2813" s="58">
        <f>IF((P2813-Q2813)=0,"",IFERROR(INDEX(coa_CF,MATCH(IF((P2813-Q2813)=1,K2813,I2813),coa_Name,0)),"Operating"))</f>
        <v/>
      </c>
      <c r="S2813" s="95">
        <f>IF((P2813-Q2813)=1,L2813,IF((P2813-Q2813)=-1,-J2813,0))</f>
        <v/>
      </c>
      <c r="T2813" s="95">
        <f>IF((P2813-Q2813)=1,N2813,IF((P2813-Q2813)=-1,-M2813,0))</f>
        <v/>
      </c>
      <c r="U2813" s="101">
        <f>IF(AND(H2813=1,LedAcct&lt;&gt;""),IF(AND(E2813&gt;=LedFrom,E2813&lt;=LedTo,OR(I2813=LedAcct,K2813=LedAcct,AND(LedAcct=acctTax,M2813+N2813&lt;&gt;0))),E2813*10000+B2813,""),"")</f>
        <v/>
      </c>
    </row>
    <row r="2814">
      <c r="B2814" s="101" t="n">
        <v>2808</v>
      </c>
      <c r="C2814" s="58" t="inlineStr">
        <is>
          <t>Bill</t>
        </is>
      </c>
      <c r="D2814" s="58">
        <f>IF(H2814=1,INDEX(ap_No,308)&amp;"","")</f>
        <v/>
      </c>
      <c r="E2814" s="94">
        <f>IF(H2814=1,INDEX(ap_Date,308),"")</f>
        <v/>
      </c>
      <c r="F2814" s="58">
        <f>IF(H2814=1,INDEX(ap_Desc,308)&amp;"","")</f>
        <v/>
      </c>
      <c r="G2814" s="58">
        <f>IF(H2814=1,INDEX(ap_Party,308)&amp;"","")</f>
        <v/>
      </c>
      <c r="H2814" s="101">
        <f>IFERROR(N(INDEX(ap_Posted,308)),0)</f>
        <v/>
      </c>
      <c r="I2814" s="58">
        <f>IF(H2814=1,INDEX(ap_DrAcct,308)&amp;"","")</f>
        <v/>
      </c>
      <c r="J2814" s="95">
        <f>IF(H2814=1,INDEX(ap_DrAmt,308),0)</f>
        <v/>
      </c>
      <c r="K2814" s="58">
        <f>IF(H2814=1,INDEX(ap_CrAcct,308)&amp;"","")</f>
        <v/>
      </c>
      <c r="L2814" s="95">
        <f>IF(H2814=1,INDEX(ap_CrAmt,308),0)</f>
        <v/>
      </c>
      <c r="M2814" s="95">
        <f>IF(H2814=1,INDEX(ap_TaxAmt,308),0)</f>
        <v/>
      </c>
      <c r="N2814" s="95" t="n">
        <v>0</v>
      </c>
      <c r="O2814" s="101">
        <f>IF(H2814=1,IF(E2814&lt;FYStart,0,IF(E2814&gt;FYEnd,13,YEAR(E2814)*12+MONTH(E2814)-FYYM+1)),"")</f>
        <v/>
      </c>
      <c r="P2814" s="101">
        <f>IF(H2814=1,IF(IFERROR(INDEX(coa_CF,MATCH(I2814,coa_Name,0)),"")="Cash",1,0),0)</f>
        <v/>
      </c>
      <c r="Q2814" s="101">
        <f>IF(H2814=1,IF(IFERROR(INDEX(coa_CF,MATCH(K2814,coa_Name,0)),"")="Cash",1,0),0)</f>
        <v/>
      </c>
      <c r="R2814" s="58">
        <f>IF((P2814-Q2814)=0,"",IFERROR(INDEX(coa_CF,MATCH(IF((P2814-Q2814)=1,K2814,I2814),coa_Name,0)),"Operating"))</f>
        <v/>
      </c>
      <c r="S2814" s="95">
        <f>IF((P2814-Q2814)=1,L2814,IF((P2814-Q2814)=-1,-J2814,0))</f>
        <v/>
      </c>
      <c r="T2814" s="95">
        <f>IF((P2814-Q2814)=1,N2814,IF((P2814-Q2814)=-1,-M2814,0))</f>
        <v/>
      </c>
      <c r="U2814" s="101">
        <f>IF(AND(H2814=1,LedAcct&lt;&gt;""),IF(AND(E2814&gt;=LedFrom,E2814&lt;=LedTo,OR(I2814=LedAcct,K2814=LedAcct,AND(LedAcct=acctTax,M2814+N2814&lt;&gt;0))),E2814*10000+B2814,""),"")</f>
        <v/>
      </c>
    </row>
    <row r="2815">
      <c r="B2815" s="101" t="n">
        <v>2809</v>
      </c>
      <c r="C2815" s="58" t="inlineStr">
        <is>
          <t>Bill</t>
        </is>
      </c>
      <c r="D2815" s="58">
        <f>IF(H2815=1,INDEX(ap_No,309)&amp;"","")</f>
        <v/>
      </c>
      <c r="E2815" s="94">
        <f>IF(H2815=1,INDEX(ap_Date,309),"")</f>
        <v/>
      </c>
      <c r="F2815" s="58">
        <f>IF(H2815=1,INDEX(ap_Desc,309)&amp;"","")</f>
        <v/>
      </c>
      <c r="G2815" s="58">
        <f>IF(H2815=1,INDEX(ap_Party,309)&amp;"","")</f>
        <v/>
      </c>
      <c r="H2815" s="101">
        <f>IFERROR(N(INDEX(ap_Posted,309)),0)</f>
        <v/>
      </c>
      <c r="I2815" s="58">
        <f>IF(H2815=1,INDEX(ap_DrAcct,309)&amp;"","")</f>
        <v/>
      </c>
      <c r="J2815" s="95">
        <f>IF(H2815=1,INDEX(ap_DrAmt,309),0)</f>
        <v/>
      </c>
      <c r="K2815" s="58">
        <f>IF(H2815=1,INDEX(ap_CrAcct,309)&amp;"","")</f>
        <v/>
      </c>
      <c r="L2815" s="95">
        <f>IF(H2815=1,INDEX(ap_CrAmt,309),0)</f>
        <v/>
      </c>
      <c r="M2815" s="95">
        <f>IF(H2815=1,INDEX(ap_TaxAmt,309),0)</f>
        <v/>
      </c>
      <c r="N2815" s="95" t="n">
        <v>0</v>
      </c>
      <c r="O2815" s="101">
        <f>IF(H2815=1,IF(E2815&lt;FYStart,0,IF(E2815&gt;FYEnd,13,YEAR(E2815)*12+MONTH(E2815)-FYYM+1)),"")</f>
        <v/>
      </c>
      <c r="P2815" s="101">
        <f>IF(H2815=1,IF(IFERROR(INDEX(coa_CF,MATCH(I2815,coa_Name,0)),"")="Cash",1,0),0)</f>
        <v/>
      </c>
      <c r="Q2815" s="101">
        <f>IF(H2815=1,IF(IFERROR(INDEX(coa_CF,MATCH(K2815,coa_Name,0)),"")="Cash",1,0),0)</f>
        <v/>
      </c>
      <c r="R2815" s="58">
        <f>IF((P2815-Q2815)=0,"",IFERROR(INDEX(coa_CF,MATCH(IF((P2815-Q2815)=1,K2815,I2815),coa_Name,0)),"Operating"))</f>
        <v/>
      </c>
      <c r="S2815" s="95">
        <f>IF((P2815-Q2815)=1,L2815,IF((P2815-Q2815)=-1,-J2815,0))</f>
        <v/>
      </c>
      <c r="T2815" s="95">
        <f>IF((P2815-Q2815)=1,N2815,IF((P2815-Q2815)=-1,-M2815,0))</f>
        <v/>
      </c>
      <c r="U2815" s="101">
        <f>IF(AND(H2815=1,LedAcct&lt;&gt;""),IF(AND(E2815&gt;=LedFrom,E2815&lt;=LedTo,OR(I2815=LedAcct,K2815=LedAcct,AND(LedAcct=acctTax,M2815+N2815&lt;&gt;0))),E2815*10000+B2815,""),"")</f>
        <v/>
      </c>
    </row>
    <row r="2816">
      <c r="B2816" s="101" t="n">
        <v>2810</v>
      </c>
      <c r="C2816" s="58" t="inlineStr">
        <is>
          <t>Bill</t>
        </is>
      </c>
      <c r="D2816" s="58">
        <f>IF(H2816=1,INDEX(ap_No,310)&amp;"","")</f>
        <v/>
      </c>
      <c r="E2816" s="94">
        <f>IF(H2816=1,INDEX(ap_Date,310),"")</f>
        <v/>
      </c>
      <c r="F2816" s="58">
        <f>IF(H2816=1,INDEX(ap_Desc,310)&amp;"","")</f>
        <v/>
      </c>
      <c r="G2816" s="58">
        <f>IF(H2816=1,INDEX(ap_Party,310)&amp;"","")</f>
        <v/>
      </c>
      <c r="H2816" s="101">
        <f>IFERROR(N(INDEX(ap_Posted,310)),0)</f>
        <v/>
      </c>
      <c r="I2816" s="58">
        <f>IF(H2816=1,INDEX(ap_DrAcct,310)&amp;"","")</f>
        <v/>
      </c>
      <c r="J2816" s="95">
        <f>IF(H2816=1,INDEX(ap_DrAmt,310),0)</f>
        <v/>
      </c>
      <c r="K2816" s="58">
        <f>IF(H2816=1,INDEX(ap_CrAcct,310)&amp;"","")</f>
        <v/>
      </c>
      <c r="L2816" s="95">
        <f>IF(H2816=1,INDEX(ap_CrAmt,310),0)</f>
        <v/>
      </c>
      <c r="M2816" s="95">
        <f>IF(H2816=1,INDEX(ap_TaxAmt,310),0)</f>
        <v/>
      </c>
      <c r="N2816" s="95" t="n">
        <v>0</v>
      </c>
      <c r="O2816" s="101">
        <f>IF(H2816=1,IF(E2816&lt;FYStart,0,IF(E2816&gt;FYEnd,13,YEAR(E2816)*12+MONTH(E2816)-FYYM+1)),"")</f>
        <v/>
      </c>
      <c r="P2816" s="101">
        <f>IF(H2816=1,IF(IFERROR(INDEX(coa_CF,MATCH(I2816,coa_Name,0)),"")="Cash",1,0),0)</f>
        <v/>
      </c>
      <c r="Q2816" s="101">
        <f>IF(H2816=1,IF(IFERROR(INDEX(coa_CF,MATCH(K2816,coa_Name,0)),"")="Cash",1,0),0)</f>
        <v/>
      </c>
      <c r="R2816" s="58">
        <f>IF((P2816-Q2816)=0,"",IFERROR(INDEX(coa_CF,MATCH(IF((P2816-Q2816)=1,K2816,I2816),coa_Name,0)),"Operating"))</f>
        <v/>
      </c>
      <c r="S2816" s="95">
        <f>IF((P2816-Q2816)=1,L2816,IF((P2816-Q2816)=-1,-J2816,0))</f>
        <v/>
      </c>
      <c r="T2816" s="95">
        <f>IF((P2816-Q2816)=1,N2816,IF((P2816-Q2816)=-1,-M2816,0))</f>
        <v/>
      </c>
      <c r="U2816" s="101">
        <f>IF(AND(H2816=1,LedAcct&lt;&gt;""),IF(AND(E2816&gt;=LedFrom,E2816&lt;=LedTo,OR(I2816=LedAcct,K2816=LedAcct,AND(LedAcct=acctTax,M2816+N2816&lt;&gt;0))),E2816*10000+B2816,""),"")</f>
        <v/>
      </c>
    </row>
    <row r="2817">
      <c r="B2817" s="101" t="n">
        <v>2811</v>
      </c>
      <c r="C2817" s="58" t="inlineStr">
        <is>
          <t>Bill</t>
        </is>
      </c>
      <c r="D2817" s="58">
        <f>IF(H2817=1,INDEX(ap_No,311)&amp;"","")</f>
        <v/>
      </c>
      <c r="E2817" s="94">
        <f>IF(H2817=1,INDEX(ap_Date,311),"")</f>
        <v/>
      </c>
      <c r="F2817" s="58">
        <f>IF(H2817=1,INDEX(ap_Desc,311)&amp;"","")</f>
        <v/>
      </c>
      <c r="G2817" s="58">
        <f>IF(H2817=1,INDEX(ap_Party,311)&amp;"","")</f>
        <v/>
      </c>
      <c r="H2817" s="101">
        <f>IFERROR(N(INDEX(ap_Posted,311)),0)</f>
        <v/>
      </c>
      <c r="I2817" s="58">
        <f>IF(H2817=1,INDEX(ap_DrAcct,311)&amp;"","")</f>
        <v/>
      </c>
      <c r="J2817" s="95">
        <f>IF(H2817=1,INDEX(ap_DrAmt,311),0)</f>
        <v/>
      </c>
      <c r="K2817" s="58">
        <f>IF(H2817=1,INDEX(ap_CrAcct,311)&amp;"","")</f>
        <v/>
      </c>
      <c r="L2817" s="95">
        <f>IF(H2817=1,INDEX(ap_CrAmt,311),0)</f>
        <v/>
      </c>
      <c r="M2817" s="95">
        <f>IF(H2817=1,INDEX(ap_TaxAmt,311),0)</f>
        <v/>
      </c>
      <c r="N2817" s="95" t="n">
        <v>0</v>
      </c>
      <c r="O2817" s="101">
        <f>IF(H2817=1,IF(E2817&lt;FYStart,0,IF(E2817&gt;FYEnd,13,YEAR(E2817)*12+MONTH(E2817)-FYYM+1)),"")</f>
        <v/>
      </c>
      <c r="P2817" s="101">
        <f>IF(H2817=1,IF(IFERROR(INDEX(coa_CF,MATCH(I2817,coa_Name,0)),"")="Cash",1,0),0)</f>
        <v/>
      </c>
      <c r="Q2817" s="101">
        <f>IF(H2817=1,IF(IFERROR(INDEX(coa_CF,MATCH(K2817,coa_Name,0)),"")="Cash",1,0),0)</f>
        <v/>
      </c>
      <c r="R2817" s="58">
        <f>IF((P2817-Q2817)=0,"",IFERROR(INDEX(coa_CF,MATCH(IF((P2817-Q2817)=1,K2817,I2817),coa_Name,0)),"Operating"))</f>
        <v/>
      </c>
      <c r="S2817" s="95">
        <f>IF((P2817-Q2817)=1,L2817,IF((P2817-Q2817)=-1,-J2817,0))</f>
        <v/>
      </c>
      <c r="T2817" s="95">
        <f>IF((P2817-Q2817)=1,N2817,IF((P2817-Q2817)=-1,-M2817,0))</f>
        <v/>
      </c>
      <c r="U2817" s="101">
        <f>IF(AND(H2817=1,LedAcct&lt;&gt;""),IF(AND(E2817&gt;=LedFrom,E2817&lt;=LedTo,OR(I2817=LedAcct,K2817=LedAcct,AND(LedAcct=acctTax,M2817+N2817&lt;&gt;0))),E2817*10000+B2817,""),"")</f>
        <v/>
      </c>
    </row>
    <row r="2818">
      <c r="B2818" s="101" t="n">
        <v>2812</v>
      </c>
      <c r="C2818" s="58" t="inlineStr">
        <is>
          <t>Bill</t>
        </is>
      </c>
      <c r="D2818" s="58">
        <f>IF(H2818=1,INDEX(ap_No,312)&amp;"","")</f>
        <v/>
      </c>
      <c r="E2818" s="94">
        <f>IF(H2818=1,INDEX(ap_Date,312),"")</f>
        <v/>
      </c>
      <c r="F2818" s="58">
        <f>IF(H2818=1,INDEX(ap_Desc,312)&amp;"","")</f>
        <v/>
      </c>
      <c r="G2818" s="58">
        <f>IF(H2818=1,INDEX(ap_Party,312)&amp;"","")</f>
        <v/>
      </c>
      <c r="H2818" s="101">
        <f>IFERROR(N(INDEX(ap_Posted,312)),0)</f>
        <v/>
      </c>
      <c r="I2818" s="58">
        <f>IF(H2818=1,INDEX(ap_DrAcct,312)&amp;"","")</f>
        <v/>
      </c>
      <c r="J2818" s="95">
        <f>IF(H2818=1,INDEX(ap_DrAmt,312),0)</f>
        <v/>
      </c>
      <c r="K2818" s="58">
        <f>IF(H2818=1,INDEX(ap_CrAcct,312)&amp;"","")</f>
        <v/>
      </c>
      <c r="L2818" s="95">
        <f>IF(H2818=1,INDEX(ap_CrAmt,312),0)</f>
        <v/>
      </c>
      <c r="M2818" s="95">
        <f>IF(H2818=1,INDEX(ap_TaxAmt,312),0)</f>
        <v/>
      </c>
      <c r="N2818" s="95" t="n">
        <v>0</v>
      </c>
      <c r="O2818" s="101">
        <f>IF(H2818=1,IF(E2818&lt;FYStart,0,IF(E2818&gt;FYEnd,13,YEAR(E2818)*12+MONTH(E2818)-FYYM+1)),"")</f>
        <v/>
      </c>
      <c r="P2818" s="101">
        <f>IF(H2818=1,IF(IFERROR(INDEX(coa_CF,MATCH(I2818,coa_Name,0)),"")="Cash",1,0),0)</f>
        <v/>
      </c>
      <c r="Q2818" s="101">
        <f>IF(H2818=1,IF(IFERROR(INDEX(coa_CF,MATCH(K2818,coa_Name,0)),"")="Cash",1,0),0)</f>
        <v/>
      </c>
      <c r="R2818" s="58">
        <f>IF((P2818-Q2818)=0,"",IFERROR(INDEX(coa_CF,MATCH(IF((P2818-Q2818)=1,K2818,I2818),coa_Name,0)),"Operating"))</f>
        <v/>
      </c>
      <c r="S2818" s="95">
        <f>IF((P2818-Q2818)=1,L2818,IF((P2818-Q2818)=-1,-J2818,0))</f>
        <v/>
      </c>
      <c r="T2818" s="95">
        <f>IF((P2818-Q2818)=1,N2818,IF((P2818-Q2818)=-1,-M2818,0))</f>
        <v/>
      </c>
      <c r="U2818" s="101">
        <f>IF(AND(H2818=1,LedAcct&lt;&gt;""),IF(AND(E2818&gt;=LedFrom,E2818&lt;=LedTo,OR(I2818=LedAcct,K2818=LedAcct,AND(LedAcct=acctTax,M2818+N2818&lt;&gt;0))),E2818*10000+B2818,""),"")</f>
        <v/>
      </c>
    </row>
    <row r="2819">
      <c r="B2819" s="101" t="n">
        <v>2813</v>
      </c>
      <c r="C2819" s="58" t="inlineStr">
        <is>
          <t>Bill</t>
        </is>
      </c>
      <c r="D2819" s="58">
        <f>IF(H2819=1,INDEX(ap_No,313)&amp;"","")</f>
        <v/>
      </c>
      <c r="E2819" s="94">
        <f>IF(H2819=1,INDEX(ap_Date,313),"")</f>
        <v/>
      </c>
      <c r="F2819" s="58">
        <f>IF(H2819=1,INDEX(ap_Desc,313)&amp;"","")</f>
        <v/>
      </c>
      <c r="G2819" s="58">
        <f>IF(H2819=1,INDEX(ap_Party,313)&amp;"","")</f>
        <v/>
      </c>
      <c r="H2819" s="101">
        <f>IFERROR(N(INDEX(ap_Posted,313)),0)</f>
        <v/>
      </c>
      <c r="I2819" s="58">
        <f>IF(H2819=1,INDEX(ap_DrAcct,313)&amp;"","")</f>
        <v/>
      </c>
      <c r="J2819" s="95">
        <f>IF(H2819=1,INDEX(ap_DrAmt,313),0)</f>
        <v/>
      </c>
      <c r="K2819" s="58">
        <f>IF(H2819=1,INDEX(ap_CrAcct,313)&amp;"","")</f>
        <v/>
      </c>
      <c r="L2819" s="95">
        <f>IF(H2819=1,INDEX(ap_CrAmt,313),0)</f>
        <v/>
      </c>
      <c r="M2819" s="95">
        <f>IF(H2819=1,INDEX(ap_TaxAmt,313),0)</f>
        <v/>
      </c>
      <c r="N2819" s="95" t="n">
        <v>0</v>
      </c>
      <c r="O2819" s="101">
        <f>IF(H2819=1,IF(E2819&lt;FYStart,0,IF(E2819&gt;FYEnd,13,YEAR(E2819)*12+MONTH(E2819)-FYYM+1)),"")</f>
        <v/>
      </c>
      <c r="P2819" s="101">
        <f>IF(H2819=1,IF(IFERROR(INDEX(coa_CF,MATCH(I2819,coa_Name,0)),"")="Cash",1,0),0)</f>
        <v/>
      </c>
      <c r="Q2819" s="101">
        <f>IF(H2819=1,IF(IFERROR(INDEX(coa_CF,MATCH(K2819,coa_Name,0)),"")="Cash",1,0),0)</f>
        <v/>
      </c>
      <c r="R2819" s="58">
        <f>IF((P2819-Q2819)=0,"",IFERROR(INDEX(coa_CF,MATCH(IF((P2819-Q2819)=1,K2819,I2819),coa_Name,0)),"Operating"))</f>
        <v/>
      </c>
      <c r="S2819" s="95">
        <f>IF((P2819-Q2819)=1,L2819,IF((P2819-Q2819)=-1,-J2819,0))</f>
        <v/>
      </c>
      <c r="T2819" s="95">
        <f>IF((P2819-Q2819)=1,N2819,IF((P2819-Q2819)=-1,-M2819,0))</f>
        <v/>
      </c>
      <c r="U2819" s="101">
        <f>IF(AND(H2819=1,LedAcct&lt;&gt;""),IF(AND(E2819&gt;=LedFrom,E2819&lt;=LedTo,OR(I2819=LedAcct,K2819=LedAcct,AND(LedAcct=acctTax,M2819+N2819&lt;&gt;0))),E2819*10000+B2819,""),"")</f>
        <v/>
      </c>
    </row>
    <row r="2820">
      <c r="B2820" s="101" t="n">
        <v>2814</v>
      </c>
      <c r="C2820" s="58" t="inlineStr">
        <is>
          <t>Bill</t>
        </is>
      </c>
      <c r="D2820" s="58">
        <f>IF(H2820=1,INDEX(ap_No,314)&amp;"","")</f>
        <v/>
      </c>
      <c r="E2820" s="94">
        <f>IF(H2820=1,INDEX(ap_Date,314),"")</f>
        <v/>
      </c>
      <c r="F2820" s="58">
        <f>IF(H2820=1,INDEX(ap_Desc,314)&amp;"","")</f>
        <v/>
      </c>
      <c r="G2820" s="58">
        <f>IF(H2820=1,INDEX(ap_Party,314)&amp;"","")</f>
        <v/>
      </c>
      <c r="H2820" s="101">
        <f>IFERROR(N(INDEX(ap_Posted,314)),0)</f>
        <v/>
      </c>
      <c r="I2820" s="58">
        <f>IF(H2820=1,INDEX(ap_DrAcct,314)&amp;"","")</f>
        <v/>
      </c>
      <c r="J2820" s="95">
        <f>IF(H2820=1,INDEX(ap_DrAmt,314),0)</f>
        <v/>
      </c>
      <c r="K2820" s="58">
        <f>IF(H2820=1,INDEX(ap_CrAcct,314)&amp;"","")</f>
        <v/>
      </c>
      <c r="L2820" s="95">
        <f>IF(H2820=1,INDEX(ap_CrAmt,314),0)</f>
        <v/>
      </c>
      <c r="M2820" s="95">
        <f>IF(H2820=1,INDEX(ap_TaxAmt,314),0)</f>
        <v/>
      </c>
      <c r="N2820" s="95" t="n">
        <v>0</v>
      </c>
      <c r="O2820" s="101">
        <f>IF(H2820=1,IF(E2820&lt;FYStart,0,IF(E2820&gt;FYEnd,13,YEAR(E2820)*12+MONTH(E2820)-FYYM+1)),"")</f>
        <v/>
      </c>
      <c r="P2820" s="101">
        <f>IF(H2820=1,IF(IFERROR(INDEX(coa_CF,MATCH(I2820,coa_Name,0)),"")="Cash",1,0),0)</f>
        <v/>
      </c>
      <c r="Q2820" s="101">
        <f>IF(H2820=1,IF(IFERROR(INDEX(coa_CF,MATCH(K2820,coa_Name,0)),"")="Cash",1,0),0)</f>
        <v/>
      </c>
      <c r="R2820" s="58">
        <f>IF((P2820-Q2820)=0,"",IFERROR(INDEX(coa_CF,MATCH(IF((P2820-Q2820)=1,K2820,I2820),coa_Name,0)),"Operating"))</f>
        <v/>
      </c>
      <c r="S2820" s="95">
        <f>IF((P2820-Q2820)=1,L2820,IF((P2820-Q2820)=-1,-J2820,0))</f>
        <v/>
      </c>
      <c r="T2820" s="95">
        <f>IF((P2820-Q2820)=1,N2820,IF((P2820-Q2820)=-1,-M2820,0))</f>
        <v/>
      </c>
      <c r="U2820" s="101">
        <f>IF(AND(H2820=1,LedAcct&lt;&gt;""),IF(AND(E2820&gt;=LedFrom,E2820&lt;=LedTo,OR(I2820=LedAcct,K2820=LedAcct,AND(LedAcct=acctTax,M2820+N2820&lt;&gt;0))),E2820*10000+B2820,""),"")</f>
        <v/>
      </c>
    </row>
    <row r="2821">
      <c r="B2821" s="101" t="n">
        <v>2815</v>
      </c>
      <c r="C2821" s="58" t="inlineStr">
        <is>
          <t>Bill</t>
        </is>
      </c>
      <c r="D2821" s="58">
        <f>IF(H2821=1,INDEX(ap_No,315)&amp;"","")</f>
        <v/>
      </c>
      <c r="E2821" s="94">
        <f>IF(H2821=1,INDEX(ap_Date,315),"")</f>
        <v/>
      </c>
      <c r="F2821" s="58">
        <f>IF(H2821=1,INDEX(ap_Desc,315)&amp;"","")</f>
        <v/>
      </c>
      <c r="G2821" s="58">
        <f>IF(H2821=1,INDEX(ap_Party,315)&amp;"","")</f>
        <v/>
      </c>
      <c r="H2821" s="101">
        <f>IFERROR(N(INDEX(ap_Posted,315)),0)</f>
        <v/>
      </c>
      <c r="I2821" s="58">
        <f>IF(H2821=1,INDEX(ap_DrAcct,315)&amp;"","")</f>
        <v/>
      </c>
      <c r="J2821" s="95">
        <f>IF(H2821=1,INDEX(ap_DrAmt,315),0)</f>
        <v/>
      </c>
      <c r="K2821" s="58">
        <f>IF(H2821=1,INDEX(ap_CrAcct,315)&amp;"","")</f>
        <v/>
      </c>
      <c r="L2821" s="95">
        <f>IF(H2821=1,INDEX(ap_CrAmt,315),0)</f>
        <v/>
      </c>
      <c r="M2821" s="95">
        <f>IF(H2821=1,INDEX(ap_TaxAmt,315),0)</f>
        <v/>
      </c>
      <c r="N2821" s="95" t="n">
        <v>0</v>
      </c>
      <c r="O2821" s="101">
        <f>IF(H2821=1,IF(E2821&lt;FYStart,0,IF(E2821&gt;FYEnd,13,YEAR(E2821)*12+MONTH(E2821)-FYYM+1)),"")</f>
        <v/>
      </c>
      <c r="P2821" s="101">
        <f>IF(H2821=1,IF(IFERROR(INDEX(coa_CF,MATCH(I2821,coa_Name,0)),"")="Cash",1,0),0)</f>
        <v/>
      </c>
      <c r="Q2821" s="101">
        <f>IF(H2821=1,IF(IFERROR(INDEX(coa_CF,MATCH(K2821,coa_Name,0)),"")="Cash",1,0),0)</f>
        <v/>
      </c>
      <c r="R2821" s="58">
        <f>IF((P2821-Q2821)=0,"",IFERROR(INDEX(coa_CF,MATCH(IF((P2821-Q2821)=1,K2821,I2821),coa_Name,0)),"Operating"))</f>
        <v/>
      </c>
      <c r="S2821" s="95">
        <f>IF((P2821-Q2821)=1,L2821,IF((P2821-Q2821)=-1,-J2821,0))</f>
        <v/>
      </c>
      <c r="T2821" s="95">
        <f>IF((P2821-Q2821)=1,N2821,IF((P2821-Q2821)=-1,-M2821,0))</f>
        <v/>
      </c>
      <c r="U2821" s="101">
        <f>IF(AND(H2821=1,LedAcct&lt;&gt;""),IF(AND(E2821&gt;=LedFrom,E2821&lt;=LedTo,OR(I2821=LedAcct,K2821=LedAcct,AND(LedAcct=acctTax,M2821+N2821&lt;&gt;0))),E2821*10000+B2821,""),"")</f>
        <v/>
      </c>
    </row>
    <row r="2822">
      <c r="B2822" s="101" t="n">
        <v>2816</v>
      </c>
      <c r="C2822" s="58" t="inlineStr">
        <is>
          <t>Bill</t>
        </is>
      </c>
      <c r="D2822" s="58">
        <f>IF(H2822=1,INDEX(ap_No,316)&amp;"","")</f>
        <v/>
      </c>
      <c r="E2822" s="94">
        <f>IF(H2822=1,INDEX(ap_Date,316),"")</f>
        <v/>
      </c>
      <c r="F2822" s="58">
        <f>IF(H2822=1,INDEX(ap_Desc,316)&amp;"","")</f>
        <v/>
      </c>
      <c r="G2822" s="58">
        <f>IF(H2822=1,INDEX(ap_Party,316)&amp;"","")</f>
        <v/>
      </c>
      <c r="H2822" s="101">
        <f>IFERROR(N(INDEX(ap_Posted,316)),0)</f>
        <v/>
      </c>
      <c r="I2822" s="58">
        <f>IF(H2822=1,INDEX(ap_DrAcct,316)&amp;"","")</f>
        <v/>
      </c>
      <c r="J2822" s="95">
        <f>IF(H2822=1,INDEX(ap_DrAmt,316),0)</f>
        <v/>
      </c>
      <c r="K2822" s="58">
        <f>IF(H2822=1,INDEX(ap_CrAcct,316)&amp;"","")</f>
        <v/>
      </c>
      <c r="L2822" s="95">
        <f>IF(H2822=1,INDEX(ap_CrAmt,316),0)</f>
        <v/>
      </c>
      <c r="M2822" s="95">
        <f>IF(H2822=1,INDEX(ap_TaxAmt,316),0)</f>
        <v/>
      </c>
      <c r="N2822" s="95" t="n">
        <v>0</v>
      </c>
      <c r="O2822" s="101">
        <f>IF(H2822=1,IF(E2822&lt;FYStart,0,IF(E2822&gt;FYEnd,13,YEAR(E2822)*12+MONTH(E2822)-FYYM+1)),"")</f>
        <v/>
      </c>
      <c r="P2822" s="101">
        <f>IF(H2822=1,IF(IFERROR(INDEX(coa_CF,MATCH(I2822,coa_Name,0)),"")="Cash",1,0),0)</f>
        <v/>
      </c>
      <c r="Q2822" s="101">
        <f>IF(H2822=1,IF(IFERROR(INDEX(coa_CF,MATCH(K2822,coa_Name,0)),"")="Cash",1,0),0)</f>
        <v/>
      </c>
      <c r="R2822" s="58">
        <f>IF((P2822-Q2822)=0,"",IFERROR(INDEX(coa_CF,MATCH(IF((P2822-Q2822)=1,K2822,I2822),coa_Name,0)),"Operating"))</f>
        <v/>
      </c>
      <c r="S2822" s="95">
        <f>IF((P2822-Q2822)=1,L2822,IF((P2822-Q2822)=-1,-J2822,0))</f>
        <v/>
      </c>
      <c r="T2822" s="95">
        <f>IF((P2822-Q2822)=1,N2822,IF((P2822-Q2822)=-1,-M2822,0))</f>
        <v/>
      </c>
      <c r="U2822" s="101">
        <f>IF(AND(H2822=1,LedAcct&lt;&gt;""),IF(AND(E2822&gt;=LedFrom,E2822&lt;=LedTo,OR(I2822=LedAcct,K2822=LedAcct,AND(LedAcct=acctTax,M2822+N2822&lt;&gt;0))),E2822*10000+B2822,""),"")</f>
        <v/>
      </c>
    </row>
    <row r="2823">
      <c r="B2823" s="101" t="n">
        <v>2817</v>
      </c>
      <c r="C2823" s="58" t="inlineStr">
        <is>
          <t>Bill</t>
        </is>
      </c>
      <c r="D2823" s="58">
        <f>IF(H2823=1,INDEX(ap_No,317)&amp;"","")</f>
        <v/>
      </c>
      <c r="E2823" s="94">
        <f>IF(H2823=1,INDEX(ap_Date,317),"")</f>
        <v/>
      </c>
      <c r="F2823" s="58">
        <f>IF(H2823=1,INDEX(ap_Desc,317)&amp;"","")</f>
        <v/>
      </c>
      <c r="G2823" s="58">
        <f>IF(H2823=1,INDEX(ap_Party,317)&amp;"","")</f>
        <v/>
      </c>
      <c r="H2823" s="101">
        <f>IFERROR(N(INDEX(ap_Posted,317)),0)</f>
        <v/>
      </c>
      <c r="I2823" s="58">
        <f>IF(H2823=1,INDEX(ap_DrAcct,317)&amp;"","")</f>
        <v/>
      </c>
      <c r="J2823" s="95">
        <f>IF(H2823=1,INDEX(ap_DrAmt,317),0)</f>
        <v/>
      </c>
      <c r="K2823" s="58">
        <f>IF(H2823=1,INDEX(ap_CrAcct,317)&amp;"","")</f>
        <v/>
      </c>
      <c r="L2823" s="95">
        <f>IF(H2823=1,INDEX(ap_CrAmt,317),0)</f>
        <v/>
      </c>
      <c r="M2823" s="95">
        <f>IF(H2823=1,INDEX(ap_TaxAmt,317),0)</f>
        <v/>
      </c>
      <c r="N2823" s="95" t="n">
        <v>0</v>
      </c>
      <c r="O2823" s="101">
        <f>IF(H2823=1,IF(E2823&lt;FYStart,0,IF(E2823&gt;FYEnd,13,YEAR(E2823)*12+MONTH(E2823)-FYYM+1)),"")</f>
        <v/>
      </c>
      <c r="P2823" s="101">
        <f>IF(H2823=1,IF(IFERROR(INDEX(coa_CF,MATCH(I2823,coa_Name,0)),"")="Cash",1,0),0)</f>
        <v/>
      </c>
      <c r="Q2823" s="101">
        <f>IF(H2823=1,IF(IFERROR(INDEX(coa_CF,MATCH(K2823,coa_Name,0)),"")="Cash",1,0),0)</f>
        <v/>
      </c>
      <c r="R2823" s="58">
        <f>IF((P2823-Q2823)=0,"",IFERROR(INDEX(coa_CF,MATCH(IF((P2823-Q2823)=1,K2823,I2823),coa_Name,0)),"Operating"))</f>
        <v/>
      </c>
      <c r="S2823" s="95">
        <f>IF((P2823-Q2823)=1,L2823,IF((P2823-Q2823)=-1,-J2823,0))</f>
        <v/>
      </c>
      <c r="T2823" s="95">
        <f>IF((P2823-Q2823)=1,N2823,IF((P2823-Q2823)=-1,-M2823,0))</f>
        <v/>
      </c>
      <c r="U2823" s="101">
        <f>IF(AND(H2823=1,LedAcct&lt;&gt;""),IF(AND(E2823&gt;=LedFrom,E2823&lt;=LedTo,OR(I2823=LedAcct,K2823=LedAcct,AND(LedAcct=acctTax,M2823+N2823&lt;&gt;0))),E2823*10000+B2823,""),"")</f>
        <v/>
      </c>
    </row>
    <row r="2824">
      <c r="B2824" s="101" t="n">
        <v>2818</v>
      </c>
      <c r="C2824" s="58" t="inlineStr">
        <is>
          <t>Bill</t>
        </is>
      </c>
      <c r="D2824" s="58">
        <f>IF(H2824=1,INDEX(ap_No,318)&amp;"","")</f>
        <v/>
      </c>
      <c r="E2824" s="94">
        <f>IF(H2824=1,INDEX(ap_Date,318),"")</f>
        <v/>
      </c>
      <c r="F2824" s="58">
        <f>IF(H2824=1,INDEX(ap_Desc,318)&amp;"","")</f>
        <v/>
      </c>
      <c r="G2824" s="58">
        <f>IF(H2824=1,INDEX(ap_Party,318)&amp;"","")</f>
        <v/>
      </c>
      <c r="H2824" s="101">
        <f>IFERROR(N(INDEX(ap_Posted,318)),0)</f>
        <v/>
      </c>
      <c r="I2824" s="58">
        <f>IF(H2824=1,INDEX(ap_DrAcct,318)&amp;"","")</f>
        <v/>
      </c>
      <c r="J2824" s="95">
        <f>IF(H2824=1,INDEX(ap_DrAmt,318),0)</f>
        <v/>
      </c>
      <c r="K2824" s="58">
        <f>IF(H2824=1,INDEX(ap_CrAcct,318)&amp;"","")</f>
        <v/>
      </c>
      <c r="L2824" s="95">
        <f>IF(H2824=1,INDEX(ap_CrAmt,318),0)</f>
        <v/>
      </c>
      <c r="M2824" s="95">
        <f>IF(H2824=1,INDEX(ap_TaxAmt,318),0)</f>
        <v/>
      </c>
      <c r="N2824" s="95" t="n">
        <v>0</v>
      </c>
      <c r="O2824" s="101">
        <f>IF(H2824=1,IF(E2824&lt;FYStart,0,IF(E2824&gt;FYEnd,13,YEAR(E2824)*12+MONTH(E2824)-FYYM+1)),"")</f>
        <v/>
      </c>
      <c r="P2824" s="101">
        <f>IF(H2824=1,IF(IFERROR(INDEX(coa_CF,MATCH(I2824,coa_Name,0)),"")="Cash",1,0),0)</f>
        <v/>
      </c>
      <c r="Q2824" s="101">
        <f>IF(H2824=1,IF(IFERROR(INDEX(coa_CF,MATCH(K2824,coa_Name,0)),"")="Cash",1,0),0)</f>
        <v/>
      </c>
      <c r="R2824" s="58">
        <f>IF((P2824-Q2824)=0,"",IFERROR(INDEX(coa_CF,MATCH(IF((P2824-Q2824)=1,K2824,I2824),coa_Name,0)),"Operating"))</f>
        <v/>
      </c>
      <c r="S2824" s="95">
        <f>IF((P2824-Q2824)=1,L2824,IF((P2824-Q2824)=-1,-J2824,0))</f>
        <v/>
      </c>
      <c r="T2824" s="95">
        <f>IF((P2824-Q2824)=1,N2824,IF((P2824-Q2824)=-1,-M2824,0))</f>
        <v/>
      </c>
      <c r="U2824" s="101">
        <f>IF(AND(H2824=1,LedAcct&lt;&gt;""),IF(AND(E2824&gt;=LedFrom,E2824&lt;=LedTo,OR(I2824=LedAcct,K2824=LedAcct,AND(LedAcct=acctTax,M2824+N2824&lt;&gt;0))),E2824*10000+B2824,""),"")</f>
        <v/>
      </c>
    </row>
    <row r="2825">
      <c r="B2825" s="101" t="n">
        <v>2819</v>
      </c>
      <c r="C2825" s="58" t="inlineStr">
        <is>
          <t>Bill</t>
        </is>
      </c>
      <c r="D2825" s="58">
        <f>IF(H2825=1,INDEX(ap_No,319)&amp;"","")</f>
        <v/>
      </c>
      <c r="E2825" s="94">
        <f>IF(H2825=1,INDEX(ap_Date,319),"")</f>
        <v/>
      </c>
      <c r="F2825" s="58">
        <f>IF(H2825=1,INDEX(ap_Desc,319)&amp;"","")</f>
        <v/>
      </c>
      <c r="G2825" s="58">
        <f>IF(H2825=1,INDEX(ap_Party,319)&amp;"","")</f>
        <v/>
      </c>
      <c r="H2825" s="101">
        <f>IFERROR(N(INDEX(ap_Posted,319)),0)</f>
        <v/>
      </c>
      <c r="I2825" s="58">
        <f>IF(H2825=1,INDEX(ap_DrAcct,319)&amp;"","")</f>
        <v/>
      </c>
      <c r="J2825" s="95">
        <f>IF(H2825=1,INDEX(ap_DrAmt,319),0)</f>
        <v/>
      </c>
      <c r="K2825" s="58">
        <f>IF(H2825=1,INDEX(ap_CrAcct,319)&amp;"","")</f>
        <v/>
      </c>
      <c r="L2825" s="95">
        <f>IF(H2825=1,INDEX(ap_CrAmt,319),0)</f>
        <v/>
      </c>
      <c r="M2825" s="95">
        <f>IF(H2825=1,INDEX(ap_TaxAmt,319),0)</f>
        <v/>
      </c>
      <c r="N2825" s="95" t="n">
        <v>0</v>
      </c>
      <c r="O2825" s="101">
        <f>IF(H2825=1,IF(E2825&lt;FYStart,0,IF(E2825&gt;FYEnd,13,YEAR(E2825)*12+MONTH(E2825)-FYYM+1)),"")</f>
        <v/>
      </c>
      <c r="P2825" s="101">
        <f>IF(H2825=1,IF(IFERROR(INDEX(coa_CF,MATCH(I2825,coa_Name,0)),"")="Cash",1,0),0)</f>
        <v/>
      </c>
      <c r="Q2825" s="101">
        <f>IF(H2825=1,IF(IFERROR(INDEX(coa_CF,MATCH(K2825,coa_Name,0)),"")="Cash",1,0),0)</f>
        <v/>
      </c>
      <c r="R2825" s="58">
        <f>IF((P2825-Q2825)=0,"",IFERROR(INDEX(coa_CF,MATCH(IF((P2825-Q2825)=1,K2825,I2825),coa_Name,0)),"Operating"))</f>
        <v/>
      </c>
      <c r="S2825" s="95">
        <f>IF((P2825-Q2825)=1,L2825,IF((P2825-Q2825)=-1,-J2825,0))</f>
        <v/>
      </c>
      <c r="T2825" s="95">
        <f>IF((P2825-Q2825)=1,N2825,IF((P2825-Q2825)=-1,-M2825,0))</f>
        <v/>
      </c>
      <c r="U2825" s="101">
        <f>IF(AND(H2825=1,LedAcct&lt;&gt;""),IF(AND(E2825&gt;=LedFrom,E2825&lt;=LedTo,OR(I2825=LedAcct,K2825=LedAcct,AND(LedAcct=acctTax,M2825+N2825&lt;&gt;0))),E2825*10000+B2825,""),"")</f>
        <v/>
      </c>
    </row>
    <row r="2826">
      <c r="B2826" s="101" t="n">
        <v>2820</v>
      </c>
      <c r="C2826" s="58" t="inlineStr">
        <is>
          <t>Bill</t>
        </is>
      </c>
      <c r="D2826" s="58">
        <f>IF(H2826=1,INDEX(ap_No,320)&amp;"","")</f>
        <v/>
      </c>
      <c r="E2826" s="94">
        <f>IF(H2826=1,INDEX(ap_Date,320),"")</f>
        <v/>
      </c>
      <c r="F2826" s="58">
        <f>IF(H2826=1,INDEX(ap_Desc,320)&amp;"","")</f>
        <v/>
      </c>
      <c r="G2826" s="58">
        <f>IF(H2826=1,INDEX(ap_Party,320)&amp;"","")</f>
        <v/>
      </c>
      <c r="H2826" s="101">
        <f>IFERROR(N(INDEX(ap_Posted,320)),0)</f>
        <v/>
      </c>
      <c r="I2826" s="58">
        <f>IF(H2826=1,INDEX(ap_DrAcct,320)&amp;"","")</f>
        <v/>
      </c>
      <c r="J2826" s="95">
        <f>IF(H2826=1,INDEX(ap_DrAmt,320),0)</f>
        <v/>
      </c>
      <c r="K2826" s="58">
        <f>IF(H2826=1,INDEX(ap_CrAcct,320)&amp;"","")</f>
        <v/>
      </c>
      <c r="L2826" s="95">
        <f>IF(H2826=1,INDEX(ap_CrAmt,320),0)</f>
        <v/>
      </c>
      <c r="M2826" s="95">
        <f>IF(H2826=1,INDEX(ap_TaxAmt,320),0)</f>
        <v/>
      </c>
      <c r="N2826" s="95" t="n">
        <v>0</v>
      </c>
      <c r="O2826" s="101">
        <f>IF(H2826=1,IF(E2826&lt;FYStart,0,IF(E2826&gt;FYEnd,13,YEAR(E2826)*12+MONTH(E2826)-FYYM+1)),"")</f>
        <v/>
      </c>
      <c r="P2826" s="101">
        <f>IF(H2826=1,IF(IFERROR(INDEX(coa_CF,MATCH(I2826,coa_Name,0)),"")="Cash",1,0),0)</f>
        <v/>
      </c>
      <c r="Q2826" s="101">
        <f>IF(H2826=1,IF(IFERROR(INDEX(coa_CF,MATCH(K2826,coa_Name,0)),"")="Cash",1,0),0)</f>
        <v/>
      </c>
      <c r="R2826" s="58">
        <f>IF((P2826-Q2826)=0,"",IFERROR(INDEX(coa_CF,MATCH(IF((P2826-Q2826)=1,K2826,I2826),coa_Name,0)),"Operating"))</f>
        <v/>
      </c>
      <c r="S2826" s="95">
        <f>IF((P2826-Q2826)=1,L2826,IF((P2826-Q2826)=-1,-J2826,0))</f>
        <v/>
      </c>
      <c r="T2826" s="95">
        <f>IF((P2826-Q2826)=1,N2826,IF((P2826-Q2826)=-1,-M2826,0))</f>
        <v/>
      </c>
      <c r="U2826" s="101">
        <f>IF(AND(H2826=1,LedAcct&lt;&gt;""),IF(AND(E2826&gt;=LedFrom,E2826&lt;=LedTo,OR(I2826=LedAcct,K2826=LedAcct,AND(LedAcct=acctTax,M2826+N2826&lt;&gt;0))),E2826*10000+B2826,""),"")</f>
        <v/>
      </c>
    </row>
    <row r="2827">
      <c r="B2827" s="101" t="n">
        <v>2821</v>
      </c>
      <c r="C2827" s="58" t="inlineStr">
        <is>
          <t>Bill</t>
        </is>
      </c>
      <c r="D2827" s="58">
        <f>IF(H2827=1,INDEX(ap_No,321)&amp;"","")</f>
        <v/>
      </c>
      <c r="E2827" s="94">
        <f>IF(H2827=1,INDEX(ap_Date,321),"")</f>
        <v/>
      </c>
      <c r="F2827" s="58">
        <f>IF(H2827=1,INDEX(ap_Desc,321)&amp;"","")</f>
        <v/>
      </c>
      <c r="G2827" s="58">
        <f>IF(H2827=1,INDEX(ap_Party,321)&amp;"","")</f>
        <v/>
      </c>
      <c r="H2827" s="101">
        <f>IFERROR(N(INDEX(ap_Posted,321)),0)</f>
        <v/>
      </c>
      <c r="I2827" s="58">
        <f>IF(H2827=1,INDEX(ap_DrAcct,321)&amp;"","")</f>
        <v/>
      </c>
      <c r="J2827" s="95">
        <f>IF(H2827=1,INDEX(ap_DrAmt,321),0)</f>
        <v/>
      </c>
      <c r="K2827" s="58">
        <f>IF(H2827=1,INDEX(ap_CrAcct,321)&amp;"","")</f>
        <v/>
      </c>
      <c r="L2827" s="95">
        <f>IF(H2827=1,INDEX(ap_CrAmt,321),0)</f>
        <v/>
      </c>
      <c r="M2827" s="95">
        <f>IF(H2827=1,INDEX(ap_TaxAmt,321),0)</f>
        <v/>
      </c>
      <c r="N2827" s="95" t="n">
        <v>0</v>
      </c>
      <c r="O2827" s="101">
        <f>IF(H2827=1,IF(E2827&lt;FYStart,0,IF(E2827&gt;FYEnd,13,YEAR(E2827)*12+MONTH(E2827)-FYYM+1)),"")</f>
        <v/>
      </c>
      <c r="P2827" s="101">
        <f>IF(H2827=1,IF(IFERROR(INDEX(coa_CF,MATCH(I2827,coa_Name,0)),"")="Cash",1,0),0)</f>
        <v/>
      </c>
      <c r="Q2827" s="101">
        <f>IF(H2827=1,IF(IFERROR(INDEX(coa_CF,MATCH(K2827,coa_Name,0)),"")="Cash",1,0),0)</f>
        <v/>
      </c>
      <c r="R2827" s="58">
        <f>IF((P2827-Q2827)=0,"",IFERROR(INDEX(coa_CF,MATCH(IF((P2827-Q2827)=1,K2827,I2827),coa_Name,0)),"Operating"))</f>
        <v/>
      </c>
      <c r="S2827" s="95">
        <f>IF((P2827-Q2827)=1,L2827,IF((P2827-Q2827)=-1,-J2827,0))</f>
        <v/>
      </c>
      <c r="T2827" s="95">
        <f>IF((P2827-Q2827)=1,N2827,IF((P2827-Q2827)=-1,-M2827,0))</f>
        <v/>
      </c>
      <c r="U2827" s="101">
        <f>IF(AND(H2827=1,LedAcct&lt;&gt;""),IF(AND(E2827&gt;=LedFrom,E2827&lt;=LedTo,OR(I2827=LedAcct,K2827=LedAcct,AND(LedAcct=acctTax,M2827+N2827&lt;&gt;0))),E2827*10000+B2827,""),"")</f>
        <v/>
      </c>
    </row>
    <row r="2828">
      <c r="B2828" s="101" t="n">
        <v>2822</v>
      </c>
      <c r="C2828" s="58" t="inlineStr">
        <is>
          <t>Bill</t>
        </is>
      </c>
      <c r="D2828" s="58">
        <f>IF(H2828=1,INDEX(ap_No,322)&amp;"","")</f>
        <v/>
      </c>
      <c r="E2828" s="94">
        <f>IF(H2828=1,INDEX(ap_Date,322),"")</f>
        <v/>
      </c>
      <c r="F2828" s="58">
        <f>IF(H2828=1,INDEX(ap_Desc,322)&amp;"","")</f>
        <v/>
      </c>
      <c r="G2828" s="58">
        <f>IF(H2828=1,INDEX(ap_Party,322)&amp;"","")</f>
        <v/>
      </c>
      <c r="H2828" s="101">
        <f>IFERROR(N(INDEX(ap_Posted,322)),0)</f>
        <v/>
      </c>
      <c r="I2828" s="58">
        <f>IF(H2828=1,INDEX(ap_DrAcct,322)&amp;"","")</f>
        <v/>
      </c>
      <c r="J2828" s="95">
        <f>IF(H2828=1,INDEX(ap_DrAmt,322),0)</f>
        <v/>
      </c>
      <c r="K2828" s="58">
        <f>IF(H2828=1,INDEX(ap_CrAcct,322)&amp;"","")</f>
        <v/>
      </c>
      <c r="L2828" s="95">
        <f>IF(H2828=1,INDEX(ap_CrAmt,322),0)</f>
        <v/>
      </c>
      <c r="M2828" s="95">
        <f>IF(H2828=1,INDEX(ap_TaxAmt,322),0)</f>
        <v/>
      </c>
      <c r="N2828" s="95" t="n">
        <v>0</v>
      </c>
      <c r="O2828" s="101">
        <f>IF(H2828=1,IF(E2828&lt;FYStart,0,IF(E2828&gt;FYEnd,13,YEAR(E2828)*12+MONTH(E2828)-FYYM+1)),"")</f>
        <v/>
      </c>
      <c r="P2828" s="101">
        <f>IF(H2828=1,IF(IFERROR(INDEX(coa_CF,MATCH(I2828,coa_Name,0)),"")="Cash",1,0),0)</f>
        <v/>
      </c>
      <c r="Q2828" s="101">
        <f>IF(H2828=1,IF(IFERROR(INDEX(coa_CF,MATCH(K2828,coa_Name,0)),"")="Cash",1,0),0)</f>
        <v/>
      </c>
      <c r="R2828" s="58">
        <f>IF((P2828-Q2828)=0,"",IFERROR(INDEX(coa_CF,MATCH(IF((P2828-Q2828)=1,K2828,I2828),coa_Name,0)),"Operating"))</f>
        <v/>
      </c>
      <c r="S2828" s="95">
        <f>IF((P2828-Q2828)=1,L2828,IF((P2828-Q2828)=-1,-J2828,0))</f>
        <v/>
      </c>
      <c r="T2828" s="95">
        <f>IF((P2828-Q2828)=1,N2828,IF((P2828-Q2828)=-1,-M2828,0))</f>
        <v/>
      </c>
      <c r="U2828" s="101">
        <f>IF(AND(H2828=1,LedAcct&lt;&gt;""),IF(AND(E2828&gt;=LedFrom,E2828&lt;=LedTo,OR(I2828=LedAcct,K2828=LedAcct,AND(LedAcct=acctTax,M2828+N2828&lt;&gt;0))),E2828*10000+B2828,""),"")</f>
        <v/>
      </c>
    </row>
    <row r="2829">
      <c r="B2829" s="101" t="n">
        <v>2823</v>
      </c>
      <c r="C2829" s="58" t="inlineStr">
        <is>
          <t>Bill</t>
        </is>
      </c>
      <c r="D2829" s="58">
        <f>IF(H2829=1,INDEX(ap_No,323)&amp;"","")</f>
        <v/>
      </c>
      <c r="E2829" s="94">
        <f>IF(H2829=1,INDEX(ap_Date,323),"")</f>
        <v/>
      </c>
      <c r="F2829" s="58">
        <f>IF(H2829=1,INDEX(ap_Desc,323)&amp;"","")</f>
        <v/>
      </c>
      <c r="G2829" s="58">
        <f>IF(H2829=1,INDEX(ap_Party,323)&amp;"","")</f>
        <v/>
      </c>
      <c r="H2829" s="101">
        <f>IFERROR(N(INDEX(ap_Posted,323)),0)</f>
        <v/>
      </c>
      <c r="I2829" s="58">
        <f>IF(H2829=1,INDEX(ap_DrAcct,323)&amp;"","")</f>
        <v/>
      </c>
      <c r="J2829" s="95">
        <f>IF(H2829=1,INDEX(ap_DrAmt,323),0)</f>
        <v/>
      </c>
      <c r="K2829" s="58">
        <f>IF(H2829=1,INDEX(ap_CrAcct,323)&amp;"","")</f>
        <v/>
      </c>
      <c r="L2829" s="95">
        <f>IF(H2829=1,INDEX(ap_CrAmt,323),0)</f>
        <v/>
      </c>
      <c r="M2829" s="95">
        <f>IF(H2829=1,INDEX(ap_TaxAmt,323),0)</f>
        <v/>
      </c>
      <c r="N2829" s="95" t="n">
        <v>0</v>
      </c>
      <c r="O2829" s="101">
        <f>IF(H2829=1,IF(E2829&lt;FYStart,0,IF(E2829&gt;FYEnd,13,YEAR(E2829)*12+MONTH(E2829)-FYYM+1)),"")</f>
        <v/>
      </c>
      <c r="P2829" s="101">
        <f>IF(H2829=1,IF(IFERROR(INDEX(coa_CF,MATCH(I2829,coa_Name,0)),"")="Cash",1,0),0)</f>
        <v/>
      </c>
      <c r="Q2829" s="101">
        <f>IF(H2829=1,IF(IFERROR(INDEX(coa_CF,MATCH(K2829,coa_Name,0)),"")="Cash",1,0),0)</f>
        <v/>
      </c>
      <c r="R2829" s="58">
        <f>IF((P2829-Q2829)=0,"",IFERROR(INDEX(coa_CF,MATCH(IF((P2829-Q2829)=1,K2829,I2829),coa_Name,0)),"Operating"))</f>
        <v/>
      </c>
      <c r="S2829" s="95">
        <f>IF((P2829-Q2829)=1,L2829,IF((P2829-Q2829)=-1,-J2829,0))</f>
        <v/>
      </c>
      <c r="T2829" s="95">
        <f>IF((P2829-Q2829)=1,N2829,IF((P2829-Q2829)=-1,-M2829,0))</f>
        <v/>
      </c>
      <c r="U2829" s="101">
        <f>IF(AND(H2829=1,LedAcct&lt;&gt;""),IF(AND(E2829&gt;=LedFrom,E2829&lt;=LedTo,OR(I2829=LedAcct,K2829=LedAcct,AND(LedAcct=acctTax,M2829+N2829&lt;&gt;0))),E2829*10000+B2829,""),"")</f>
        <v/>
      </c>
    </row>
    <row r="2830">
      <c r="B2830" s="101" t="n">
        <v>2824</v>
      </c>
      <c r="C2830" s="58" t="inlineStr">
        <is>
          <t>Bill</t>
        </is>
      </c>
      <c r="D2830" s="58">
        <f>IF(H2830=1,INDEX(ap_No,324)&amp;"","")</f>
        <v/>
      </c>
      <c r="E2830" s="94">
        <f>IF(H2830=1,INDEX(ap_Date,324),"")</f>
        <v/>
      </c>
      <c r="F2830" s="58">
        <f>IF(H2830=1,INDEX(ap_Desc,324)&amp;"","")</f>
        <v/>
      </c>
      <c r="G2830" s="58">
        <f>IF(H2830=1,INDEX(ap_Party,324)&amp;"","")</f>
        <v/>
      </c>
      <c r="H2830" s="101">
        <f>IFERROR(N(INDEX(ap_Posted,324)),0)</f>
        <v/>
      </c>
      <c r="I2830" s="58">
        <f>IF(H2830=1,INDEX(ap_DrAcct,324)&amp;"","")</f>
        <v/>
      </c>
      <c r="J2830" s="95">
        <f>IF(H2830=1,INDEX(ap_DrAmt,324),0)</f>
        <v/>
      </c>
      <c r="K2830" s="58">
        <f>IF(H2830=1,INDEX(ap_CrAcct,324)&amp;"","")</f>
        <v/>
      </c>
      <c r="L2830" s="95">
        <f>IF(H2830=1,INDEX(ap_CrAmt,324),0)</f>
        <v/>
      </c>
      <c r="M2830" s="95">
        <f>IF(H2830=1,INDEX(ap_TaxAmt,324),0)</f>
        <v/>
      </c>
      <c r="N2830" s="95" t="n">
        <v>0</v>
      </c>
      <c r="O2830" s="101">
        <f>IF(H2830=1,IF(E2830&lt;FYStart,0,IF(E2830&gt;FYEnd,13,YEAR(E2830)*12+MONTH(E2830)-FYYM+1)),"")</f>
        <v/>
      </c>
      <c r="P2830" s="101">
        <f>IF(H2830=1,IF(IFERROR(INDEX(coa_CF,MATCH(I2830,coa_Name,0)),"")="Cash",1,0),0)</f>
        <v/>
      </c>
      <c r="Q2830" s="101">
        <f>IF(H2830=1,IF(IFERROR(INDEX(coa_CF,MATCH(K2830,coa_Name,0)),"")="Cash",1,0),0)</f>
        <v/>
      </c>
      <c r="R2830" s="58">
        <f>IF((P2830-Q2830)=0,"",IFERROR(INDEX(coa_CF,MATCH(IF((P2830-Q2830)=1,K2830,I2830),coa_Name,0)),"Operating"))</f>
        <v/>
      </c>
      <c r="S2830" s="95">
        <f>IF((P2830-Q2830)=1,L2830,IF((P2830-Q2830)=-1,-J2830,0))</f>
        <v/>
      </c>
      <c r="T2830" s="95">
        <f>IF((P2830-Q2830)=1,N2830,IF((P2830-Q2830)=-1,-M2830,0))</f>
        <v/>
      </c>
      <c r="U2830" s="101">
        <f>IF(AND(H2830=1,LedAcct&lt;&gt;""),IF(AND(E2830&gt;=LedFrom,E2830&lt;=LedTo,OR(I2830=LedAcct,K2830=LedAcct,AND(LedAcct=acctTax,M2830+N2830&lt;&gt;0))),E2830*10000+B2830,""),"")</f>
        <v/>
      </c>
    </row>
    <row r="2831">
      <c r="B2831" s="101" t="n">
        <v>2825</v>
      </c>
      <c r="C2831" s="58" t="inlineStr">
        <is>
          <t>Bill</t>
        </is>
      </c>
      <c r="D2831" s="58">
        <f>IF(H2831=1,INDEX(ap_No,325)&amp;"","")</f>
        <v/>
      </c>
      <c r="E2831" s="94">
        <f>IF(H2831=1,INDEX(ap_Date,325),"")</f>
        <v/>
      </c>
      <c r="F2831" s="58">
        <f>IF(H2831=1,INDEX(ap_Desc,325)&amp;"","")</f>
        <v/>
      </c>
      <c r="G2831" s="58">
        <f>IF(H2831=1,INDEX(ap_Party,325)&amp;"","")</f>
        <v/>
      </c>
      <c r="H2831" s="101">
        <f>IFERROR(N(INDEX(ap_Posted,325)),0)</f>
        <v/>
      </c>
      <c r="I2831" s="58">
        <f>IF(H2831=1,INDEX(ap_DrAcct,325)&amp;"","")</f>
        <v/>
      </c>
      <c r="J2831" s="95">
        <f>IF(H2831=1,INDEX(ap_DrAmt,325),0)</f>
        <v/>
      </c>
      <c r="K2831" s="58">
        <f>IF(H2831=1,INDEX(ap_CrAcct,325)&amp;"","")</f>
        <v/>
      </c>
      <c r="L2831" s="95">
        <f>IF(H2831=1,INDEX(ap_CrAmt,325),0)</f>
        <v/>
      </c>
      <c r="M2831" s="95">
        <f>IF(H2831=1,INDEX(ap_TaxAmt,325),0)</f>
        <v/>
      </c>
      <c r="N2831" s="95" t="n">
        <v>0</v>
      </c>
      <c r="O2831" s="101">
        <f>IF(H2831=1,IF(E2831&lt;FYStart,0,IF(E2831&gt;FYEnd,13,YEAR(E2831)*12+MONTH(E2831)-FYYM+1)),"")</f>
        <v/>
      </c>
      <c r="P2831" s="101">
        <f>IF(H2831=1,IF(IFERROR(INDEX(coa_CF,MATCH(I2831,coa_Name,0)),"")="Cash",1,0),0)</f>
        <v/>
      </c>
      <c r="Q2831" s="101">
        <f>IF(H2831=1,IF(IFERROR(INDEX(coa_CF,MATCH(K2831,coa_Name,0)),"")="Cash",1,0),0)</f>
        <v/>
      </c>
      <c r="R2831" s="58">
        <f>IF((P2831-Q2831)=0,"",IFERROR(INDEX(coa_CF,MATCH(IF((P2831-Q2831)=1,K2831,I2831),coa_Name,0)),"Operating"))</f>
        <v/>
      </c>
      <c r="S2831" s="95">
        <f>IF((P2831-Q2831)=1,L2831,IF((P2831-Q2831)=-1,-J2831,0))</f>
        <v/>
      </c>
      <c r="T2831" s="95">
        <f>IF((P2831-Q2831)=1,N2831,IF((P2831-Q2831)=-1,-M2831,0))</f>
        <v/>
      </c>
      <c r="U2831" s="101">
        <f>IF(AND(H2831=1,LedAcct&lt;&gt;""),IF(AND(E2831&gt;=LedFrom,E2831&lt;=LedTo,OR(I2831=LedAcct,K2831=LedAcct,AND(LedAcct=acctTax,M2831+N2831&lt;&gt;0))),E2831*10000+B2831,""),"")</f>
        <v/>
      </c>
    </row>
    <row r="2832">
      <c r="B2832" s="101" t="n">
        <v>2826</v>
      </c>
      <c r="C2832" s="58" t="inlineStr">
        <is>
          <t>Bill</t>
        </is>
      </c>
      <c r="D2832" s="58">
        <f>IF(H2832=1,INDEX(ap_No,326)&amp;"","")</f>
        <v/>
      </c>
      <c r="E2832" s="94">
        <f>IF(H2832=1,INDEX(ap_Date,326),"")</f>
        <v/>
      </c>
      <c r="F2832" s="58">
        <f>IF(H2832=1,INDEX(ap_Desc,326)&amp;"","")</f>
        <v/>
      </c>
      <c r="G2832" s="58">
        <f>IF(H2832=1,INDEX(ap_Party,326)&amp;"","")</f>
        <v/>
      </c>
      <c r="H2832" s="101">
        <f>IFERROR(N(INDEX(ap_Posted,326)),0)</f>
        <v/>
      </c>
      <c r="I2832" s="58">
        <f>IF(H2832=1,INDEX(ap_DrAcct,326)&amp;"","")</f>
        <v/>
      </c>
      <c r="J2832" s="95">
        <f>IF(H2832=1,INDEX(ap_DrAmt,326),0)</f>
        <v/>
      </c>
      <c r="K2832" s="58">
        <f>IF(H2832=1,INDEX(ap_CrAcct,326)&amp;"","")</f>
        <v/>
      </c>
      <c r="L2832" s="95">
        <f>IF(H2832=1,INDEX(ap_CrAmt,326),0)</f>
        <v/>
      </c>
      <c r="M2832" s="95">
        <f>IF(H2832=1,INDEX(ap_TaxAmt,326),0)</f>
        <v/>
      </c>
      <c r="N2832" s="95" t="n">
        <v>0</v>
      </c>
      <c r="O2832" s="101">
        <f>IF(H2832=1,IF(E2832&lt;FYStart,0,IF(E2832&gt;FYEnd,13,YEAR(E2832)*12+MONTH(E2832)-FYYM+1)),"")</f>
        <v/>
      </c>
      <c r="P2832" s="101">
        <f>IF(H2832=1,IF(IFERROR(INDEX(coa_CF,MATCH(I2832,coa_Name,0)),"")="Cash",1,0),0)</f>
        <v/>
      </c>
      <c r="Q2832" s="101">
        <f>IF(H2832=1,IF(IFERROR(INDEX(coa_CF,MATCH(K2832,coa_Name,0)),"")="Cash",1,0),0)</f>
        <v/>
      </c>
      <c r="R2832" s="58">
        <f>IF((P2832-Q2832)=0,"",IFERROR(INDEX(coa_CF,MATCH(IF((P2832-Q2832)=1,K2832,I2832),coa_Name,0)),"Operating"))</f>
        <v/>
      </c>
      <c r="S2832" s="95">
        <f>IF((P2832-Q2832)=1,L2832,IF((P2832-Q2832)=-1,-J2832,0))</f>
        <v/>
      </c>
      <c r="T2832" s="95">
        <f>IF((P2832-Q2832)=1,N2832,IF((P2832-Q2832)=-1,-M2832,0))</f>
        <v/>
      </c>
      <c r="U2832" s="101">
        <f>IF(AND(H2832=1,LedAcct&lt;&gt;""),IF(AND(E2832&gt;=LedFrom,E2832&lt;=LedTo,OR(I2832=LedAcct,K2832=LedAcct,AND(LedAcct=acctTax,M2832+N2832&lt;&gt;0))),E2832*10000+B2832,""),"")</f>
        <v/>
      </c>
    </row>
    <row r="2833">
      <c r="B2833" s="101" t="n">
        <v>2827</v>
      </c>
      <c r="C2833" s="58" t="inlineStr">
        <is>
          <t>Bill</t>
        </is>
      </c>
      <c r="D2833" s="58">
        <f>IF(H2833=1,INDEX(ap_No,327)&amp;"","")</f>
        <v/>
      </c>
      <c r="E2833" s="94">
        <f>IF(H2833=1,INDEX(ap_Date,327),"")</f>
        <v/>
      </c>
      <c r="F2833" s="58">
        <f>IF(H2833=1,INDEX(ap_Desc,327)&amp;"","")</f>
        <v/>
      </c>
      <c r="G2833" s="58">
        <f>IF(H2833=1,INDEX(ap_Party,327)&amp;"","")</f>
        <v/>
      </c>
      <c r="H2833" s="101">
        <f>IFERROR(N(INDEX(ap_Posted,327)),0)</f>
        <v/>
      </c>
      <c r="I2833" s="58">
        <f>IF(H2833=1,INDEX(ap_DrAcct,327)&amp;"","")</f>
        <v/>
      </c>
      <c r="J2833" s="95">
        <f>IF(H2833=1,INDEX(ap_DrAmt,327),0)</f>
        <v/>
      </c>
      <c r="K2833" s="58">
        <f>IF(H2833=1,INDEX(ap_CrAcct,327)&amp;"","")</f>
        <v/>
      </c>
      <c r="L2833" s="95">
        <f>IF(H2833=1,INDEX(ap_CrAmt,327),0)</f>
        <v/>
      </c>
      <c r="M2833" s="95">
        <f>IF(H2833=1,INDEX(ap_TaxAmt,327),0)</f>
        <v/>
      </c>
      <c r="N2833" s="95" t="n">
        <v>0</v>
      </c>
      <c r="O2833" s="101">
        <f>IF(H2833=1,IF(E2833&lt;FYStart,0,IF(E2833&gt;FYEnd,13,YEAR(E2833)*12+MONTH(E2833)-FYYM+1)),"")</f>
        <v/>
      </c>
      <c r="P2833" s="101">
        <f>IF(H2833=1,IF(IFERROR(INDEX(coa_CF,MATCH(I2833,coa_Name,0)),"")="Cash",1,0),0)</f>
        <v/>
      </c>
      <c r="Q2833" s="101">
        <f>IF(H2833=1,IF(IFERROR(INDEX(coa_CF,MATCH(K2833,coa_Name,0)),"")="Cash",1,0),0)</f>
        <v/>
      </c>
      <c r="R2833" s="58">
        <f>IF((P2833-Q2833)=0,"",IFERROR(INDEX(coa_CF,MATCH(IF((P2833-Q2833)=1,K2833,I2833),coa_Name,0)),"Operating"))</f>
        <v/>
      </c>
      <c r="S2833" s="95">
        <f>IF((P2833-Q2833)=1,L2833,IF((P2833-Q2833)=-1,-J2833,0))</f>
        <v/>
      </c>
      <c r="T2833" s="95">
        <f>IF((P2833-Q2833)=1,N2833,IF((P2833-Q2833)=-1,-M2833,0))</f>
        <v/>
      </c>
      <c r="U2833" s="101">
        <f>IF(AND(H2833=1,LedAcct&lt;&gt;""),IF(AND(E2833&gt;=LedFrom,E2833&lt;=LedTo,OR(I2833=LedAcct,K2833=LedAcct,AND(LedAcct=acctTax,M2833+N2833&lt;&gt;0))),E2833*10000+B2833,""),"")</f>
        <v/>
      </c>
    </row>
    <row r="2834">
      <c r="B2834" s="101" t="n">
        <v>2828</v>
      </c>
      <c r="C2834" s="58" t="inlineStr">
        <is>
          <t>Bill</t>
        </is>
      </c>
      <c r="D2834" s="58">
        <f>IF(H2834=1,INDEX(ap_No,328)&amp;"","")</f>
        <v/>
      </c>
      <c r="E2834" s="94">
        <f>IF(H2834=1,INDEX(ap_Date,328),"")</f>
        <v/>
      </c>
      <c r="F2834" s="58">
        <f>IF(H2834=1,INDEX(ap_Desc,328)&amp;"","")</f>
        <v/>
      </c>
      <c r="G2834" s="58">
        <f>IF(H2834=1,INDEX(ap_Party,328)&amp;"","")</f>
        <v/>
      </c>
      <c r="H2834" s="101">
        <f>IFERROR(N(INDEX(ap_Posted,328)),0)</f>
        <v/>
      </c>
      <c r="I2834" s="58">
        <f>IF(H2834=1,INDEX(ap_DrAcct,328)&amp;"","")</f>
        <v/>
      </c>
      <c r="J2834" s="95">
        <f>IF(H2834=1,INDEX(ap_DrAmt,328),0)</f>
        <v/>
      </c>
      <c r="K2834" s="58">
        <f>IF(H2834=1,INDEX(ap_CrAcct,328)&amp;"","")</f>
        <v/>
      </c>
      <c r="L2834" s="95">
        <f>IF(H2834=1,INDEX(ap_CrAmt,328),0)</f>
        <v/>
      </c>
      <c r="M2834" s="95">
        <f>IF(H2834=1,INDEX(ap_TaxAmt,328),0)</f>
        <v/>
      </c>
      <c r="N2834" s="95" t="n">
        <v>0</v>
      </c>
      <c r="O2834" s="101">
        <f>IF(H2834=1,IF(E2834&lt;FYStart,0,IF(E2834&gt;FYEnd,13,YEAR(E2834)*12+MONTH(E2834)-FYYM+1)),"")</f>
        <v/>
      </c>
      <c r="P2834" s="101">
        <f>IF(H2834=1,IF(IFERROR(INDEX(coa_CF,MATCH(I2834,coa_Name,0)),"")="Cash",1,0),0)</f>
        <v/>
      </c>
      <c r="Q2834" s="101">
        <f>IF(H2834=1,IF(IFERROR(INDEX(coa_CF,MATCH(K2834,coa_Name,0)),"")="Cash",1,0),0)</f>
        <v/>
      </c>
      <c r="R2834" s="58">
        <f>IF((P2834-Q2834)=0,"",IFERROR(INDEX(coa_CF,MATCH(IF((P2834-Q2834)=1,K2834,I2834),coa_Name,0)),"Operating"))</f>
        <v/>
      </c>
      <c r="S2834" s="95">
        <f>IF((P2834-Q2834)=1,L2834,IF((P2834-Q2834)=-1,-J2834,0))</f>
        <v/>
      </c>
      <c r="T2834" s="95">
        <f>IF((P2834-Q2834)=1,N2834,IF((P2834-Q2834)=-1,-M2834,0))</f>
        <v/>
      </c>
      <c r="U2834" s="101">
        <f>IF(AND(H2834=1,LedAcct&lt;&gt;""),IF(AND(E2834&gt;=LedFrom,E2834&lt;=LedTo,OR(I2834=LedAcct,K2834=LedAcct,AND(LedAcct=acctTax,M2834+N2834&lt;&gt;0))),E2834*10000+B2834,""),"")</f>
        <v/>
      </c>
    </row>
    <row r="2835">
      <c r="B2835" s="101" t="n">
        <v>2829</v>
      </c>
      <c r="C2835" s="58" t="inlineStr">
        <is>
          <t>Bill</t>
        </is>
      </c>
      <c r="D2835" s="58">
        <f>IF(H2835=1,INDEX(ap_No,329)&amp;"","")</f>
        <v/>
      </c>
      <c r="E2835" s="94">
        <f>IF(H2835=1,INDEX(ap_Date,329),"")</f>
        <v/>
      </c>
      <c r="F2835" s="58">
        <f>IF(H2835=1,INDEX(ap_Desc,329)&amp;"","")</f>
        <v/>
      </c>
      <c r="G2835" s="58">
        <f>IF(H2835=1,INDEX(ap_Party,329)&amp;"","")</f>
        <v/>
      </c>
      <c r="H2835" s="101">
        <f>IFERROR(N(INDEX(ap_Posted,329)),0)</f>
        <v/>
      </c>
      <c r="I2835" s="58">
        <f>IF(H2835=1,INDEX(ap_DrAcct,329)&amp;"","")</f>
        <v/>
      </c>
      <c r="J2835" s="95">
        <f>IF(H2835=1,INDEX(ap_DrAmt,329),0)</f>
        <v/>
      </c>
      <c r="K2835" s="58">
        <f>IF(H2835=1,INDEX(ap_CrAcct,329)&amp;"","")</f>
        <v/>
      </c>
      <c r="L2835" s="95">
        <f>IF(H2835=1,INDEX(ap_CrAmt,329),0)</f>
        <v/>
      </c>
      <c r="M2835" s="95">
        <f>IF(H2835=1,INDEX(ap_TaxAmt,329),0)</f>
        <v/>
      </c>
      <c r="N2835" s="95" t="n">
        <v>0</v>
      </c>
      <c r="O2835" s="101">
        <f>IF(H2835=1,IF(E2835&lt;FYStart,0,IF(E2835&gt;FYEnd,13,YEAR(E2835)*12+MONTH(E2835)-FYYM+1)),"")</f>
        <v/>
      </c>
      <c r="P2835" s="101">
        <f>IF(H2835=1,IF(IFERROR(INDEX(coa_CF,MATCH(I2835,coa_Name,0)),"")="Cash",1,0),0)</f>
        <v/>
      </c>
      <c r="Q2835" s="101">
        <f>IF(H2835=1,IF(IFERROR(INDEX(coa_CF,MATCH(K2835,coa_Name,0)),"")="Cash",1,0),0)</f>
        <v/>
      </c>
      <c r="R2835" s="58">
        <f>IF((P2835-Q2835)=0,"",IFERROR(INDEX(coa_CF,MATCH(IF((P2835-Q2835)=1,K2835,I2835),coa_Name,0)),"Operating"))</f>
        <v/>
      </c>
      <c r="S2835" s="95">
        <f>IF((P2835-Q2835)=1,L2835,IF((P2835-Q2835)=-1,-J2835,0))</f>
        <v/>
      </c>
      <c r="T2835" s="95">
        <f>IF((P2835-Q2835)=1,N2835,IF((P2835-Q2835)=-1,-M2835,0))</f>
        <v/>
      </c>
      <c r="U2835" s="101">
        <f>IF(AND(H2835=1,LedAcct&lt;&gt;""),IF(AND(E2835&gt;=LedFrom,E2835&lt;=LedTo,OR(I2835=LedAcct,K2835=LedAcct,AND(LedAcct=acctTax,M2835+N2835&lt;&gt;0))),E2835*10000+B2835,""),"")</f>
        <v/>
      </c>
    </row>
    <row r="2836">
      <c r="B2836" s="101" t="n">
        <v>2830</v>
      </c>
      <c r="C2836" s="58" t="inlineStr">
        <is>
          <t>Bill</t>
        </is>
      </c>
      <c r="D2836" s="58">
        <f>IF(H2836=1,INDEX(ap_No,330)&amp;"","")</f>
        <v/>
      </c>
      <c r="E2836" s="94">
        <f>IF(H2836=1,INDEX(ap_Date,330),"")</f>
        <v/>
      </c>
      <c r="F2836" s="58">
        <f>IF(H2836=1,INDEX(ap_Desc,330)&amp;"","")</f>
        <v/>
      </c>
      <c r="G2836" s="58">
        <f>IF(H2836=1,INDEX(ap_Party,330)&amp;"","")</f>
        <v/>
      </c>
      <c r="H2836" s="101">
        <f>IFERROR(N(INDEX(ap_Posted,330)),0)</f>
        <v/>
      </c>
      <c r="I2836" s="58">
        <f>IF(H2836=1,INDEX(ap_DrAcct,330)&amp;"","")</f>
        <v/>
      </c>
      <c r="J2836" s="95">
        <f>IF(H2836=1,INDEX(ap_DrAmt,330),0)</f>
        <v/>
      </c>
      <c r="K2836" s="58">
        <f>IF(H2836=1,INDEX(ap_CrAcct,330)&amp;"","")</f>
        <v/>
      </c>
      <c r="L2836" s="95">
        <f>IF(H2836=1,INDEX(ap_CrAmt,330),0)</f>
        <v/>
      </c>
      <c r="M2836" s="95">
        <f>IF(H2836=1,INDEX(ap_TaxAmt,330),0)</f>
        <v/>
      </c>
      <c r="N2836" s="95" t="n">
        <v>0</v>
      </c>
      <c r="O2836" s="101">
        <f>IF(H2836=1,IF(E2836&lt;FYStart,0,IF(E2836&gt;FYEnd,13,YEAR(E2836)*12+MONTH(E2836)-FYYM+1)),"")</f>
        <v/>
      </c>
      <c r="P2836" s="101">
        <f>IF(H2836=1,IF(IFERROR(INDEX(coa_CF,MATCH(I2836,coa_Name,0)),"")="Cash",1,0),0)</f>
        <v/>
      </c>
      <c r="Q2836" s="101">
        <f>IF(H2836=1,IF(IFERROR(INDEX(coa_CF,MATCH(K2836,coa_Name,0)),"")="Cash",1,0),0)</f>
        <v/>
      </c>
      <c r="R2836" s="58">
        <f>IF((P2836-Q2836)=0,"",IFERROR(INDEX(coa_CF,MATCH(IF((P2836-Q2836)=1,K2836,I2836),coa_Name,0)),"Operating"))</f>
        <v/>
      </c>
      <c r="S2836" s="95">
        <f>IF((P2836-Q2836)=1,L2836,IF((P2836-Q2836)=-1,-J2836,0))</f>
        <v/>
      </c>
      <c r="T2836" s="95">
        <f>IF((P2836-Q2836)=1,N2836,IF((P2836-Q2836)=-1,-M2836,0))</f>
        <v/>
      </c>
      <c r="U2836" s="101">
        <f>IF(AND(H2836=1,LedAcct&lt;&gt;""),IF(AND(E2836&gt;=LedFrom,E2836&lt;=LedTo,OR(I2836=LedAcct,K2836=LedAcct,AND(LedAcct=acctTax,M2836+N2836&lt;&gt;0))),E2836*10000+B2836,""),"")</f>
        <v/>
      </c>
    </row>
    <row r="2837">
      <c r="B2837" s="101" t="n">
        <v>2831</v>
      </c>
      <c r="C2837" s="58" t="inlineStr">
        <is>
          <t>Bill</t>
        </is>
      </c>
      <c r="D2837" s="58">
        <f>IF(H2837=1,INDEX(ap_No,331)&amp;"","")</f>
        <v/>
      </c>
      <c r="E2837" s="94">
        <f>IF(H2837=1,INDEX(ap_Date,331),"")</f>
        <v/>
      </c>
      <c r="F2837" s="58">
        <f>IF(H2837=1,INDEX(ap_Desc,331)&amp;"","")</f>
        <v/>
      </c>
      <c r="G2837" s="58">
        <f>IF(H2837=1,INDEX(ap_Party,331)&amp;"","")</f>
        <v/>
      </c>
      <c r="H2837" s="101">
        <f>IFERROR(N(INDEX(ap_Posted,331)),0)</f>
        <v/>
      </c>
      <c r="I2837" s="58">
        <f>IF(H2837=1,INDEX(ap_DrAcct,331)&amp;"","")</f>
        <v/>
      </c>
      <c r="J2837" s="95">
        <f>IF(H2837=1,INDEX(ap_DrAmt,331),0)</f>
        <v/>
      </c>
      <c r="K2837" s="58">
        <f>IF(H2837=1,INDEX(ap_CrAcct,331)&amp;"","")</f>
        <v/>
      </c>
      <c r="L2837" s="95">
        <f>IF(H2837=1,INDEX(ap_CrAmt,331),0)</f>
        <v/>
      </c>
      <c r="M2837" s="95">
        <f>IF(H2837=1,INDEX(ap_TaxAmt,331),0)</f>
        <v/>
      </c>
      <c r="N2837" s="95" t="n">
        <v>0</v>
      </c>
      <c r="O2837" s="101">
        <f>IF(H2837=1,IF(E2837&lt;FYStart,0,IF(E2837&gt;FYEnd,13,YEAR(E2837)*12+MONTH(E2837)-FYYM+1)),"")</f>
        <v/>
      </c>
      <c r="P2837" s="101">
        <f>IF(H2837=1,IF(IFERROR(INDEX(coa_CF,MATCH(I2837,coa_Name,0)),"")="Cash",1,0),0)</f>
        <v/>
      </c>
      <c r="Q2837" s="101">
        <f>IF(H2837=1,IF(IFERROR(INDEX(coa_CF,MATCH(K2837,coa_Name,0)),"")="Cash",1,0),0)</f>
        <v/>
      </c>
      <c r="R2837" s="58">
        <f>IF((P2837-Q2837)=0,"",IFERROR(INDEX(coa_CF,MATCH(IF((P2837-Q2837)=1,K2837,I2837),coa_Name,0)),"Operating"))</f>
        <v/>
      </c>
      <c r="S2837" s="95">
        <f>IF((P2837-Q2837)=1,L2837,IF((P2837-Q2837)=-1,-J2837,0))</f>
        <v/>
      </c>
      <c r="T2837" s="95">
        <f>IF((P2837-Q2837)=1,N2837,IF((P2837-Q2837)=-1,-M2837,0))</f>
        <v/>
      </c>
      <c r="U2837" s="101">
        <f>IF(AND(H2837=1,LedAcct&lt;&gt;""),IF(AND(E2837&gt;=LedFrom,E2837&lt;=LedTo,OR(I2837=LedAcct,K2837=LedAcct,AND(LedAcct=acctTax,M2837+N2837&lt;&gt;0))),E2837*10000+B2837,""),"")</f>
        <v/>
      </c>
    </row>
    <row r="2838">
      <c r="B2838" s="101" t="n">
        <v>2832</v>
      </c>
      <c r="C2838" s="58" t="inlineStr">
        <is>
          <t>Bill</t>
        </is>
      </c>
      <c r="D2838" s="58">
        <f>IF(H2838=1,INDEX(ap_No,332)&amp;"","")</f>
        <v/>
      </c>
      <c r="E2838" s="94">
        <f>IF(H2838=1,INDEX(ap_Date,332),"")</f>
        <v/>
      </c>
      <c r="F2838" s="58">
        <f>IF(H2838=1,INDEX(ap_Desc,332)&amp;"","")</f>
        <v/>
      </c>
      <c r="G2838" s="58">
        <f>IF(H2838=1,INDEX(ap_Party,332)&amp;"","")</f>
        <v/>
      </c>
      <c r="H2838" s="101">
        <f>IFERROR(N(INDEX(ap_Posted,332)),0)</f>
        <v/>
      </c>
      <c r="I2838" s="58">
        <f>IF(H2838=1,INDEX(ap_DrAcct,332)&amp;"","")</f>
        <v/>
      </c>
      <c r="J2838" s="95">
        <f>IF(H2838=1,INDEX(ap_DrAmt,332),0)</f>
        <v/>
      </c>
      <c r="K2838" s="58">
        <f>IF(H2838=1,INDEX(ap_CrAcct,332)&amp;"","")</f>
        <v/>
      </c>
      <c r="L2838" s="95">
        <f>IF(H2838=1,INDEX(ap_CrAmt,332),0)</f>
        <v/>
      </c>
      <c r="M2838" s="95">
        <f>IF(H2838=1,INDEX(ap_TaxAmt,332),0)</f>
        <v/>
      </c>
      <c r="N2838" s="95" t="n">
        <v>0</v>
      </c>
      <c r="O2838" s="101">
        <f>IF(H2838=1,IF(E2838&lt;FYStart,0,IF(E2838&gt;FYEnd,13,YEAR(E2838)*12+MONTH(E2838)-FYYM+1)),"")</f>
        <v/>
      </c>
      <c r="P2838" s="101">
        <f>IF(H2838=1,IF(IFERROR(INDEX(coa_CF,MATCH(I2838,coa_Name,0)),"")="Cash",1,0),0)</f>
        <v/>
      </c>
      <c r="Q2838" s="101">
        <f>IF(H2838=1,IF(IFERROR(INDEX(coa_CF,MATCH(K2838,coa_Name,0)),"")="Cash",1,0),0)</f>
        <v/>
      </c>
      <c r="R2838" s="58">
        <f>IF((P2838-Q2838)=0,"",IFERROR(INDEX(coa_CF,MATCH(IF((P2838-Q2838)=1,K2838,I2838),coa_Name,0)),"Operating"))</f>
        <v/>
      </c>
      <c r="S2838" s="95">
        <f>IF((P2838-Q2838)=1,L2838,IF((P2838-Q2838)=-1,-J2838,0))</f>
        <v/>
      </c>
      <c r="T2838" s="95">
        <f>IF((P2838-Q2838)=1,N2838,IF((P2838-Q2838)=-1,-M2838,0))</f>
        <v/>
      </c>
      <c r="U2838" s="101">
        <f>IF(AND(H2838=1,LedAcct&lt;&gt;""),IF(AND(E2838&gt;=LedFrom,E2838&lt;=LedTo,OR(I2838=LedAcct,K2838=LedAcct,AND(LedAcct=acctTax,M2838+N2838&lt;&gt;0))),E2838*10000+B2838,""),"")</f>
        <v/>
      </c>
    </row>
    <row r="2839">
      <c r="B2839" s="101" t="n">
        <v>2833</v>
      </c>
      <c r="C2839" s="58" t="inlineStr">
        <is>
          <t>Bill</t>
        </is>
      </c>
      <c r="D2839" s="58">
        <f>IF(H2839=1,INDEX(ap_No,333)&amp;"","")</f>
        <v/>
      </c>
      <c r="E2839" s="94">
        <f>IF(H2839=1,INDEX(ap_Date,333),"")</f>
        <v/>
      </c>
      <c r="F2839" s="58">
        <f>IF(H2839=1,INDEX(ap_Desc,333)&amp;"","")</f>
        <v/>
      </c>
      <c r="G2839" s="58">
        <f>IF(H2839=1,INDEX(ap_Party,333)&amp;"","")</f>
        <v/>
      </c>
      <c r="H2839" s="101">
        <f>IFERROR(N(INDEX(ap_Posted,333)),0)</f>
        <v/>
      </c>
      <c r="I2839" s="58">
        <f>IF(H2839=1,INDEX(ap_DrAcct,333)&amp;"","")</f>
        <v/>
      </c>
      <c r="J2839" s="95">
        <f>IF(H2839=1,INDEX(ap_DrAmt,333),0)</f>
        <v/>
      </c>
      <c r="K2839" s="58">
        <f>IF(H2839=1,INDEX(ap_CrAcct,333)&amp;"","")</f>
        <v/>
      </c>
      <c r="L2839" s="95">
        <f>IF(H2839=1,INDEX(ap_CrAmt,333),0)</f>
        <v/>
      </c>
      <c r="M2839" s="95">
        <f>IF(H2839=1,INDEX(ap_TaxAmt,333),0)</f>
        <v/>
      </c>
      <c r="N2839" s="95" t="n">
        <v>0</v>
      </c>
      <c r="O2839" s="101">
        <f>IF(H2839=1,IF(E2839&lt;FYStart,0,IF(E2839&gt;FYEnd,13,YEAR(E2839)*12+MONTH(E2839)-FYYM+1)),"")</f>
        <v/>
      </c>
      <c r="P2839" s="101">
        <f>IF(H2839=1,IF(IFERROR(INDEX(coa_CF,MATCH(I2839,coa_Name,0)),"")="Cash",1,0),0)</f>
        <v/>
      </c>
      <c r="Q2839" s="101">
        <f>IF(H2839=1,IF(IFERROR(INDEX(coa_CF,MATCH(K2839,coa_Name,0)),"")="Cash",1,0),0)</f>
        <v/>
      </c>
      <c r="R2839" s="58">
        <f>IF((P2839-Q2839)=0,"",IFERROR(INDEX(coa_CF,MATCH(IF((P2839-Q2839)=1,K2839,I2839),coa_Name,0)),"Operating"))</f>
        <v/>
      </c>
      <c r="S2839" s="95">
        <f>IF((P2839-Q2839)=1,L2839,IF((P2839-Q2839)=-1,-J2839,0))</f>
        <v/>
      </c>
      <c r="T2839" s="95">
        <f>IF((P2839-Q2839)=1,N2839,IF((P2839-Q2839)=-1,-M2839,0))</f>
        <v/>
      </c>
      <c r="U2839" s="101">
        <f>IF(AND(H2839=1,LedAcct&lt;&gt;""),IF(AND(E2839&gt;=LedFrom,E2839&lt;=LedTo,OR(I2839=LedAcct,K2839=LedAcct,AND(LedAcct=acctTax,M2839+N2839&lt;&gt;0))),E2839*10000+B2839,""),"")</f>
        <v/>
      </c>
    </row>
    <row r="2840">
      <c r="B2840" s="101" t="n">
        <v>2834</v>
      </c>
      <c r="C2840" s="58" t="inlineStr">
        <is>
          <t>Bill</t>
        </is>
      </c>
      <c r="D2840" s="58">
        <f>IF(H2840=1,INDEX(ap_No,334)&amp;"","")</f>
        <v/>
      </c>
      <c r="E2840" s="94">
        <f>IF(H2840=1,INDEX(ap_Date,334),"")</f>
        <v/>
      </c>
      <c r="F2840" s="58">
        <f>IF(H2840=1,INDEX(ap_Desc,334)&amp;"","")</f>
        <v/>
      </c>
      <c r="G2840" s="58">
        <f>IF(H2840=1,INDEX(ap_Party,334)&amp;"","")</f>
        <v/>
      </c>
      <c r="H2840" s="101">
        <f>IFERROR(N(INDEX(ap_Posted,334)),0)</f>
        <v/>
      </c>
      <c r="I2840" s="58">
        <f>IF(H2840=1,INDEX(ap_DrAcct,334)&amp;"","")</f>
        <v/>
      </c>
      <c r="J2840" s="95">
        <f>IF(H2840=1,INDEX(ap_DrAmt,334),0)</f>
        <v/>
      </c>
      <c r="K2840" s="58">
        <f>IF(H2840=1,INDEX(ap_CrAcct,334)&amp;"","")</f>
        <v/>
      </c>
      <c r="L2840" s="95">
        <f>IF(H2840=1,INDEX(ap_CrAmt,334),0)</f>
        <v/>
      </c>
      <c r="M2840" s="95">
        <f>IF(H2840=1,INDEX(ap_TaxAmt,334),0)</f>
        <v/>
      </c>
      <c r="N2840" s="95" t="n">
        <v>0</v>
      </c>
      <c r="O2840" s="101">
        <f>IF(H2840=1,IF(E2840&lt;FYStart,0,IF(E2840&gt;FYEnd,13,YEAR(E2840)*12+MONTH(E2840)-FYYM+1)),"")</f>
        <v/>
      </c>
      <c r="P2840" s="101">
        <f>IF(H2840=1,IF(IFERROR(INDEX(coa_CF,MATCH(I2840,coa_Name,0)),"")="Cash",1,0),0)</f>
        <v/>
      </c>
      <c r="Q2840" s="101">
        <f>IF(H2840=1,IF(IFERROR(INDEX(coa_CF,MATCH(K2840,coa_Name,0)),"")="Cash",1,0),0)</f>
        <v/>
      </c>
      <c r="R2840" s="58">
        <f>IF((P2840-Q2840)=0,"",IFERROR(INDEX(coa_CF,MATCH(IF((P2840-Q2840)=1,K2840,I2840),coa_Name,0)),"Operating"))</f>
        <v/>
      </c>
      <c r="S2840" s="95">
        <f>IF((P2840-Q2840)=1,L2840,IF((P2840-Q2840)=-1,-J2840,0))</f>
        <v/>
      </c>
      <c r="T2840" s="95">
        <f>IF((P2840-Q2840)=1,N2840,IF((P2840-Q2840)=-1,-M2840,0))</f>
        <v/>
      </c>
      <c r="U2840" s="101">
        <f>IF(AND(H2840=1,LedAcct&lt;&gt;""),IF(AND(E2840&gt;=LedFrom,E2840&lt;=LedTo,OR(I2840=LedAcct,K2840=LedAcct,AND(LedAcct=acctTax,M2840+N2840&lt;&gt;0))),E2840*10000+B2840,""),"")</f>
        <v/>
      </c>
    </row>
    <row r="2841">
      <c r="B2841" s="101" t="n">
        <v>2835</v>
      </c>
      <c r="C2841" s="58" t="inlineStr">
        <is>
          <t>Bill</t>
        </is>
      </c>
      <c r="D2841" s="58">
        <f>IF(H2841=1,INDEX(ap_No,335)&amp;"","")</f>
        <v/>
      </c>
      <c r="E2841" s="94">
        <f>IF(H2841=1,INDEX(ap_Date,335),"")</f>
        <v/>
      </c>
      <c r="F2841" s="58">
        <f>IF(H2841=1,INDEX(ap_Desc,335)&amp;"","")</f>
        <v/>
      </c>
      <c r="G2841" s="58">
        <f>IF(H2841=1,INDEX(ap_Party,335)&amp;"","")</f>
        <v/>
      </c>
      <c r="H2841" s="101">
        <f>IFERROR(N(INDEX(ap_Posted,335)),0)</f>
        <v/>
      </c>
      <c r="I2841" s="58">
        <f>IF(H2841=1,INDEX(ap_DrAcct,335)&amp;"","")</f>
        <v/>
      </c>
      <c r="J2841" s="95">
        <f>IF(H2841=1,INDEX(ap_DrAmt,335),0)</f>
        <v/>
      </c>
      <c r="K2841" s="58">
        <f>IF(H2841=1,INDEX(ap_CrAcct,335)&amp;"","")</f>
        <v/>
      </c>
      <c r="L2841" s="95">
        <f>IF(H2841=1,INDEX(ap_CrAmt,335),0)</f>
        <v/>
      </c>
      <c r="M2841" s="95">
        <f>IF(H2841=1,INDEX(ap_TaxAmt,335),0)</f>
        <v/>
      </c>
      <c r="N2841" s="95" t="n">
        <v>0</v>
      </c>
      <c r="O2841" s="101">
        <f>IF(H2841=1,IF(E2841&lt;FYStart,0,IF(E2841&gt;FYEnd,13,YEAR(E2841)*12+MONTH(E2841)-FYYM+1)),"")</f>
        <v/>
      </c>
      <c r="P2841" s="101">
        <f>IF(H2841=1,IF(IFERROR(INDEX(coa_CF,MATCH(I2841,coa_Name,0)),"")="Cash",1,0),0)</f>
        <v/>
      </c>
      <c r="Q2841" s="101">
        <f>IF(H2841=1,IF(IFERROR(INDEX(coa_CF,MATCH(K2841,coa_Name,0)),"")="Cash",1,0),0)</f>
        <v/>
      </c>
      <c r="R2841" s="58">
        <f>IF((P2841-Q2841)=0,"",IFERROR(INDEX(coa_CF,MATCH(IF((P2841-Q2841)=1,K2841,I2841),coa_Name,0)),"Operating"))</f>
        <v/>
      </c>
      <c r="S2841" s="95">
        <f>IF((P2841-Q2841)=1,L2841,IF((P2841-Q2841)=-1,-J2841,0))</f>
        <v/>
      </c>
      <c r="T2841" s="95">
        <f>IF((P2841-Q2841)=1,N2841,IF((P2841-Q2841)=-1,-M2841,0))</f>
        <v/>
      </c>
      <c r="U2841" s="101">
        <f>IF(AND(H2841=1,LedAcct&lt;&gt;""),IF(AND(E2841&gt;=LedFrom,E2841&lt;=LedTo,OR(I2841=LedAcct,K2841=LedAcct,AND(LedAcct=acctTax,M2841+N2841&lt;&gt;0))),E2841*10000+B2841,""),"")</f>
        <v/>
      </c>
    </row>
    <row r="2842">
      <c r="B2842" s="101" t="n">
        <v>2836</v>
      </c>
      <c r="C2842" s="58" t="inlineStr">
        <is>
          <t>Bill</t>
        </is>
      </c>
      <c r="D2842" s="58">
        <f>IF(H2842=1,INDEX(ap_No,336)&amp;"","")</f>
        <v/>
      </c>
      <c r="E2842" s="94">
        <f>IF(H2842=1,INDEX(ap_Date,336),"")</f>
        <v/>
      </c>
      <c r="F2842" s="58">
        <f>IF(H2842=1,INDEX(ap_Desc,336)&amp;"","")</f>
        <v/>
      </c>
      <c r="G2842" s="58">
        <f>IF(H2842=1,INDEX(ap_Party,336)&amp;"","")</f>
        <v/>
      </c>
      <c r="H2842" s="101">
        <f>IFERROR(N(INDEX(ap_Posted,336)),0)</f>
        <v/>
      </c>
      <c r="I2842" s="58">
        <f>IF(H2842=1,INDEX(ap_DrAcct,336)&amp;"","")</f>
        <v/>
      </c>
      <c r="J2842" s="95">
        <f>IF(H2842=1,INDEX(ap_DrAmt,336),0)</f>
        <v/>
      </c>
      <c r="K2842" s="58">
        <f>IF(H2842=1,INDEX(ap_CrAcct,336)&amp;"","")</f>
        <v/>
      </c>
      <c r="L2842" s="95">
        <f>IF(H2842=1,INDEX(ap_CrAmt,336),0)</f>
        <v/>
      </c>
      <c r="M2842" s="95">
        <f>IF(H2842=1,INDEX(ap_TaxAmt,336),0)</f>
        <v/>
      </c>
      <c r="N2842" s="95" t="n">
        <v>0</v>
      </c>
      <c r="O2842" s="101">
        <f>IF(H2842=1,IF(E2842&lt;FYStart,0,IF(E2842&gt;FYEnd,13,YEAR(E2842)*12+MONTH(E2842)-FYYM+1)),"")</f>
        <v/>
      </c>
      <c r="P2842" s="101">
        <f>IF(H2842=1,IF(IFERROR(INDEX(coa_CF,MATCH(I2842,coa_Name,0)),"")="Cash",1,0),0)</f>
        <v/>
      </c>
      <c r="Q2842" s="101">
        <f>IF(H2842=1,IF(IFERROR(INDEX(coa_CF,MATCH(K2842,coa_Name,0)),"")="Cash",1,0),0)</f>
        <v/>
      </c>
      <c r="R2842" s="58">
        <f>IF((P2842-Q2842)=0,"",IFERROR(INDEX(coa_CF,MATCH(IF((P2842-Q2842)=1,K2842,I2842),coa_Name,0)),"Operating"))</f>
        <v/>
      </c>
      <c r="S2842" s="95">
        <f>IF((P2842-Q2842)=1,L2842,IF((P2842-Q2842)=-1,-J2842,0))</f>
        <v/>
      </c>
      <c r="T2842" s="95">
        <f>IF((P2842-Q2842)=1,N2842,IF((P2842-Q2842)=-1,-M2842,0))</f>
        <v/>
      </c>
      <c r="U2842" s="101">
        <f>IF(AND(H2842=1,LedAcct&lt;&gt;""),IF(AND(E2842&gt;=LedFrom,E2842&lt;=LedTo,OR(I2842=LedAcct,K2842=LedAcct,AND(LedAcct=acctTax,M2842+N2842&lt;&gt;0))),E2842*10000+B2842,""),"")</f>
        <v/>
      </c>
    </row>
    <row r="2843">
      <c r="B2843" s="101" t="n">
        <v>2837</v>
      </c>
      <c r="C2843" s="58" t="inlineStr">
        <is>
          <t>Bill</t>
        </is>
      </c>
      <c r="D2843" s="58">
        <f>IF(H2843=1,INDEX(ap_No,337)&amp;"","")</f>
        <v/>
      </c>
      <c r="E2843" s="94">
        <f>IF(H2843=1,INDEX(ap_Date,337),"")</f>
        <v/>
      </c>
      <c r="F2843" s="58">
        <f>IF(H2843=1,INDEX(ap_Desc,337)&amp;"","")</f>
        <v/>
      </c>
      <c r="G2843" s="58">
        <f>IF(H2843=1,INDEX(ap_Party,337)&amp;"","")</f>
        <v/>
      </c>
      <c r="H2843" s="101">
        <f>IFERROR(N(INDEX(ap_Posted,337)),0)</f>
        <v/>
      </c>
      <c r="I2843" s="58">
        <f>IF(H2843=1,INDEX(ap_DrAcct,337)&amp;"","")</f>
        <v/>
      </c>
      <c r="J2843" s="95">
        <f>IF(H2843=1,INDEX(ap_DrAmt,337),0)</f>
        <v/>
      </c>
      <c r="K2843" s="58">
        <f>IF(H2843=1,INDEX(ap_CrAcct,337)&amp;"","")</f>
        <v/>
      </c>
      <c r="L2843" s="95">
        <f>IF(H2843=1,INDEX(ap_CrAmt,337),0)</f>
        <v/>
      </c>
      <c r="M2843" s="95">
        <f>IF(H2843=1,INDEX(ap_TaxAmt,337),0)</f>
        <v/>
      </c>
      <c r="N2843" s="95" t="n">
        <v>0</v>
      </c>
      <c r="O2843" s="101">
        <f>IF(H2843=1,IF(E2843&lt;FYStart,0,IF(E2843&gt;FYEnd,13,YEAR(E2843)*12+MONTH(E2843)-FYYM+1)),"")</f>
        <v/>
      </c>
      <c r="P2843" s="101">
        <f>IF(H2843=1,IF(IFERROR(INDEX(coa_CF,MATCH(I2843,coa_Name,0)),"")="Cash",1,0),0)</f>
        <v/>
      </c>
      <c r="Q2843" s="101">
        <f>IF(H2843=1,IF(IFERROR(INDEX(coa_CF,MATCH(K2843,coa_Name,0)),"")="Cash",1,0),0)</f>
        <v/>
      </c>
      <c r="R2843" s="58">
        <f>IF((P2843-Q2843)=0,"",IFERROR(INDEX(coa_CF,MATCH(IF((P2843-Q2843)=1,K2843,I2843),coa_Name,0)),"Operating"))</f>
        <v/>
      </c>
      <c r="S2843" s="95">
        <f>IF((P2843-Q2843)=1,L2843,IF((P2843-Q2843)=-1,-J2843,0))</f>
        <v/>
      </c>
      <c r="T2843" s="95">
        <f>IF((P2843-Q2843)=1,N2843,IF((P2843-Q2843)=-1,-M2843,0))</f>
        <v/>
      </c>
      <c r="U2843" s="101">
        <f>IF(AND(H2843=1,LedAcct&lt;&gt;""),IF(AND(E2843&gt;=LedFrom,E2843&lt;=LedTo,OR(I2843=LedAcct,K2843=LedAcct,AND(LedAcct=acctTax,M2843+N2843&lt;&gt;0))),E2843*10000+B2843,""),"")</f>
        <v/>
      </c>
    </row>
    <row r="2844">
      <c r="B2844" s="101" t="n">
        <v>2838</v>
      </c>
      <c r="C2844" s="58" t="inlineStr">
        <is>
          <t>Bill</t>
        </is>
      </c>
      <c r="D2844" s="58">
        <f>IF(H2844=1,INDEX(ap_No,338)&amp;"","")</f>
        <v/>
      </c>
      <c r="E2844" s="94">
        <f>IF(H2844=1,INDEX(ap_Date,338),"")</f>
        <v/>
      </c>
      <c r="F2844" s="58">
        <f>IF(H2844=1,INDEX(ap_Desc,338)&amp;"","")</f>
        <v/>
      </c>
      <c r="G2844" s="58">
        <f>IF(H2844=1,INDEX(ap_Party,338)&amp;"","")</f>
        <v/>
      </c>
      <c r="H2844" s="101">
        <f>IFERROR(N(INDEX(ap_Posted,338)),0)</f>
        <v/>
      </c>
      <c r="I2844" s="58">
        <f>IF(H2844=1,INDEX(ap_DrAcct,338)&amp;"","")</f>
        <v/>
      </c>
      <c r="J2844" s="95">
        <f>IF(H2844=1,INDEX(ap_DrAmt,338),0)</f>
        <v/>
      </c>
      <c r="K2844" s="58">
        <f>IF(H2844=1,INDEX(ap_CrAcct,338)&amp;"","")</f>
        <v/>
      </c>
      <c r="L2844" s="95">
        <f>IF(H2844=1,INDEX(ap_CrAmt,338),0)</f>
        <v/>
      </c>
      <c r="M2844" s="95">
        <f>IF(H2844=1,INDEX(ap_TaxAmt,338),0)</f>
        <v/>
      </c>
      <c r="N2844" s="95" t="n">
        <v>0</v>
      </c>
      <c r="O2844" s="101">
        <f>IF(H2844=1,IF(E2844&lt;FYStart,0,IF(E2844&gt;FYEnd,13,YEAR(E2844)*12+MONTH(E2844)-FYYM+1)),"")</f>
        <v/>
      </c>
      <c r="P2844" s="101">
        <f>IF(H2844=1,IF(IFERROR(INDEX(coa_CF,MATCH(I2844,coa_Name,0)),"")="Cash",1,0),0)</f>
        <v/>
      </c>
      <c r="Q2844" s="101">
        <f>IF(H2844=1,IF(IFERROR(INDEX(coa_CF,MATCH(K2844,coa_Name,0)),"")="Cash",1,0),0)</f>
        <v/>
      </c>
      <c r="R2844" s="58">
        <f>IF((P2844-Q2844)=0,"",IFERROR(INDEX(coa_CF,MATCH(IF((P2844-Q2844)=1,K2844,I2844),coa_Name,0)),"Operating"))</f>
        <v/>
      </c>
      <c r="S2844" s="95">
        <f>IF((P2844-Q2844)=1,L2844,IF((P2844-Q2844)=-1,-J2844,0))</f>
        <v/>
      </c>
      <c r="T2844" s="95">
        <f>IF((P2844-Q2844)=1,N2844,IF((P2844-Q2844)=-1,-M2844,0))</f>
        <v/>
      </c>
      <c r="U2844" s="101">
        <f>IF(AND(H2844=1,LedAcct&lt;&gt;""),IF(AND(E2844&gt;=LedFrom,E2844&lt;=LedTo,OR(I2844=LedAcct,K2844=LedAcct,AND(LedAcct=acctTax,M2844+N2844&lt;&gt;0))),E2844*10000+B2844,""),"")</f>
        <v/>
      </c>
    </row>
    <row r="2845">
      <c r="B2845" s="101" t="n">
        <v>2839</v>
      </c>
      <c r="C2845" s="58" t="inlineStr">
        <is>
          <t>Bill</t>
        </is>
      </c>
      <c r="D2845" s="58">
        <f>IF(H2845=1,INDEX(ap_No,339)&amp;"","")</f>
        <v/>
      </c>
      <c r="E2845" s="94">
        <f>IF(H2845=1,INDEX(ap_Date,339),"")</f>
        <v/>
      </c>
      <c r="F2845" s="58">
        <f>IF(H2845=1,INDEX(ap_Desc,339)&amp;"","")</f>
        <v/>
      </c>
      <c r="G2845" s="58">
        <f>IF(H2845=1,INDEX(ap_Party,339)&amp;"","")</f>
        <v/>
      </c>
      <c r="H2845" s="101">
        <f>IFERROR(N(INDEX(ap_Posted,339)),0)</f>
        <v/>
      </c>
      <c r="I2845" s="58">
        <f>IF(H2845=1,INDEX(ap_DrAcct,339)&amp;"","")</f>
        <v/>
      </c>
      <c r="J2845" s="95">
        <f>IF(H2845=1,INDEX(ap_DrAmt,339),0)</f>
        <v/>
      </c>
      <c r="K2845" s="58">
        <f>IF(H2845=1,INDEX(ap_CrAcct,339)&amp;"","")</f>
        <v/>
      </c>
      <c r="L2845" s="95">
        <f>IF(H2845=1,INDEX(ap_CrAmt,339),0)</f>
        <v/>
      </c>
      <c r="M2845" s="95">
        <f>IF(H2845=1,INDEX(ap_TaxAmt,339),0)</f>
        <v/>
      </c>
      <c r="N2845" s="95" t="n">
        <v>0</v>
      </c>
      <c r="O2845" s="101">
        <f>IF(H2845=1,IF(E2845&lt;FYStart,0,IF(E2845&gt;FYEnd,13,YEAR(E2845)*12+MONTH(E2845)-FYYM+1)),"")</f>
        <v/>
      </c>
      <c r="P2845" s="101">
        <f>IF(H2845=1,IF(IFERROR(INDEX(coa_CF,MATCH(I2845,coa_Name,0)),"")="Cash",1,0),0)</f>
        <v/>
      </c>
      <c r="Q2845" s="101">
        <f>IF(H2845=1,IF(IFERROR(INDEX(coa_CF,MATCH(K2845,coa_Name,0)),"")="Cash",1,0),0)</f>
        <v/>
      </c>
      <c r="R2845" s="58">
        <f>IF((P2845-Q2845)=0,"",IFERROR(INDEX(coa_CF,MATCH(IF((P2845-Q2845)=1,K2845,I2845),coa_Name,0)),"Operating"))</f>
        <v/>
      </c>
      <c r="S2845" s="95">
        <f>IF((P2845-Q2845)=1,L2845,IF((P2845-Q2845)=-1,-J2845,0))</f>
        <v/>
      </c>
      <c r="T2845" s="95">
        <f>IF((P2845-Q2845)=1,N2845,IF((P2845-Q2845)=-1,-M2845,0))</f>
        <v/>
      </c>
      <c r="U2845" s="101">
        <f>IF(AND(H2845=1,LedAcct&lt;&gt;""),IF(AND(E2845&gt;=LedFrom,E2845&lt;=LedTo,OR(I2845=LedAcct,K2845=LedAcct,AND(LedAcct=acctTax,M2845+N2845&lt;&gt;0))),E2845*10000+B2845,""),"")</f>
        <v/>
      </c>
    </row>
    <row r="2846">
      <c r="B2846" s="101" t="n">
        <v>2840</v>
      </c>
      <c r="C2846" s="58" t="inlineStr">
        <is>
          <t>Bill</t>
        </is>
      </c>
      <c r="D2846" s="58">
        <f>IF(H2846=1,INDEX(ap_No,340)&amp;"","")</f>
        <v/>
      </c>
      <c r="E2846" s="94">
        <f>IF(H2846=1,INDEX(ap_Date,340),"")</f>
        <v/>
      </c>
      <c r="F2846" s="58">
        <f>IF(H2846=1,INDEX(ap_Desc,340)&amp;"","")</f>
        <v/>
      </c>
      <c r="G2846" s="58">
        <f>IF(H2846=1,INDEX(ap_Party,340)&amp;"","")</f>
        <v/>
      </c>
      <c r="H2846" s="101">
        <f>IFERROR(N(INDEX(ap_Posted,340)),0)</f>
        <v/>
      </c>
      <c r="I2846" s="58">
        <f>IF(H2846=1,INDEX(ap_DrAcct,340)&amp;"","")</f>
        <v/>
      </c>
      <c r="J2846" s="95">
        <f>IF(H2846=1,INDEX(ap_DrAmt,340),0)</f>
        <v/>
      </c>
      <c r="K2846" s="58">
        <f>IF(H2846=1,INDEX(ap_CrAcct,340)&amp;"","")</f>
        <v/>
      </c>
      <c r="L2846" s="95">
        <f>IF(H2846=1,INDEX(ap_CrAmt,340),0)</f>
        <v/>
      </c>
      <c r="M2846" s="95">
        <f>IF(H2846=1,INDEX(ap_TaxAmt,340),0)</f>
        <v/>
      </c>
      <c r="N2846" s="95" t="n">
        <v>0</v>
      </c>
      <c r="O2846" s="101">
        <f>IF(H2846=1,IF(E2846&lt;FYStart,0,IF(E2846&gt;FYEnd,13,YEAR(E2846)*12+MONTH(E2846)-FYYM+1)),"")</f>
        <v/>
      </c>
      <c r="P2846" s="101">
        <f>IF(H2846=1,IF(IFERROR(INDEX(coa_CF,MATCH(I2846,coa_Name,0)),"")="Cash",1,0),0)</f>
        <v/>
      </c>
      <c r="Q2846" s="101">
        <f>IF(H2846=1,IF(IFERROR(INDEX(coa_CF,MATCH(K2846,coa_Name,0)),"")="Cash",1,0),0)</f>
        <v/>
      </c>
      <c r="R2846" s="58">
        <f>IF((P2846-Q2846)=0,"",IFERROR(INDEX(coa_CF,MATCH(IF((P2846-Q2846)=1,K2846,I2846),coa_Name,0)),"Operating"))</f>
        <v/>
      </c>
      <c r="S2846" s="95">
        <f>IF((P2846-Q2846)=1,L2846,IF((P2846-Q2846)=-1,-J2846,0))</f>
        <v/>
      </c>
      <c r="T2846" s="95">
        <f>IF((P2846-Q2846)=1,N2846,IF((P2846-Q2846)=-1,-M2846,0))</f>
        <v/>
      </c>
      <c r="U2846" s="101">
        <f>IF(AND(H2846=1,LedAcct&lt;&gt;""),IF(AND(E2846&gt;=LedFrom,E2846&lt;=LedTo,OR(I2846=LedAcct,K2846=LedAcct,AND(LedAcct=acctTax,M2846+N2846&lt;&gt;0))),E2846*10000+B2846,""),"")</f>
        <v/>
      </c>
    </row>
    <row r="2847">
      <c r="B2847" s="101" t="n">
        <v>2841</v>
      </c>
      <c r="C2847" s="58" t="inlineStr">
        <is>
          <t>Bill</t>
        </is>
      </c>
      <c r="D2847" s="58">
        <f>IF(H2847=1,INDEX(ap_No,341)&amp;"","")</f>
        <v/>
      </c>
      <c r="E2847" s="94">
        <f>IF(H2847=1,INDEX(ap_Date,341),"")</f>
        <v/>
      </c>
      <c r="F2847" s="58">
        <f>IF(H2847=1,INDEX(ap_Desc,341)&amp;"","")</f>
        <v/>
      </c>
      <c r="G2847" s="58">
        <f>IF(H2847=1,INDEX(ap_Party,341)&amp;"","")</f>
        <v/>
      </c>
      <c r="H2847" s="101">
        <f>IFERROR(N(INDEX(ap_Posted,341)),0)</f>
        <v/>
      </c>
      <c r="I2847" s="58">
        <f>IF(H2847=1,INDEX(ap_DrAcct,341)&amp;"","")</f>
        <v/>
      </c>
      <c r="J2847" s="95">
        <f>IF(H2847=1,INDEX(ap_DrAmt,341),0)</f>
        <v/>
      </c>
      <c r="K2847" s="58">
        <f>IF(H2847=1,INDEX(ap_CrAcct,341)&amp;"","")</f>
        <v/>
      </c>
      <c r="L2847" s="95">
        <f>IF(H2847=1,INDEX(ap_CrAmt,341),0)</f>
        <v/>
      </c>
      <c r="M2847" s="95">
        <f>IF(H2847=1,INDEX(ap_TaxAmt,341),0)</f>
        <v/>
      </c>
      <c r="N2847" s="95" t="n">
        <v>0</v>
      </c>
      <c r="O2847" s="101">
        <f>IF(H2847=1,IF(E2847&lt;FYStart,0,IF(E2847&gt;FYEnd,13,YEAR(E2847)*12+MONTH(E2847)-FYYM+1)),"")</f>
        <v/>
      </c>
      <c r="P2847" s="101">
        <f>IF(H2847=1,IF(IFERROR(INDEX(coa_CF,MATCH(I2847,coa_Name,0)),"")="Cash",1,0),0)</f>
        <v/>
      </c>
      <c r="Q2847" s="101">
        <f>IF(H2847=1,IF(IFERROR(INDEX(coa_CF,MATCH(K2847,coa_Name,0)),"")="Cash",1,0),0)</f>
        <v/>
      </c>
      <c r="R2847" s="58">
        <f>IF((P2847-Q2847)=0,"",IFERROR(INDEX(coa_CF,MATCH(IF((P2847-Q2847)=1,K2847,I2847),coa_Name,0)),"Operating"))</f>
        <v/>
      </c>
      <c r="S2847" s="95">
        <f>IF((P2847-Q2847)=1,L2847,IF((P2847-Q2847)=-1,-J2847,0))</f>
        <v/>
      </c>
      <c r="T2847" s="95">
        <f>IF((P2847-Q2847)=1,N2847,IF((P2847-Q2847)=-1,-M2847,0))</f>
        <v/>
      </c>
      <c r="U2847" s="101">
        <f>IF(AND(H2847=1,LedAcct&lt;&gt;""),IF(AND(E2847&gt;=LedFrom,E2847&lt;=LedTo,OR(I2847=LedAcct,K2847=LedAcct,AND(LedAcct=acctTax,M2847+N2847&lt;&gt;0))),E2847*10000+B2847,""),"")</f>
        <v/>
      </c>
    </row>
    <row r="2848">
      <c r="B2848" s="101" t="n">
        <v>2842</v>
      </c>
      <c r="C2848" s="58" t="inlineStr">
        <is>
          <t>Bill</t>
        </is>
      </c>
      <c r="D2848" s="58">
        <f>IF(H2848=1,INDEX(ap_No,342)&amp;"","")</f>
        <v/>
      </c>
      <c r="E2848" s="94">
        <f>IF(H2848=1,INDEX(ap_Date,342),"")</f>
        <v/>
      </c>
      <c r="F2848" s="58">
        <f>IF(H2848=1,INDEX(ap_Desc,342)&amp;"","")</f>
        <v/>
      </c>
      <c r="G2848" s="58">
        <f>IF(H2848=1,INDEX(ap_Party,342)&amp;"","")</f>
        <v/>
      </c>
      <c r="H2848" s="101">
        <f>IFERROR(N(INDEX(ap_Posted,342)),0)</f>
        <v/>
      </c>
      <c r="I2848" s="58">
        <f>IF(H2848=1,INDEX(ap_DrAcct,342)&amp;"","")</f>
        <v/>
      </c>
      <c r="J2848" s="95">
        <f>IF(H2848=1,INDEX(ap_DrAmt,342),0)</f>
        <v/>
      </c>
      <c r="K2848" s="58">
        <f>IF(H2848=1,INDEX(ap_CrAcct,342)&amp;"","")</f>
        <v/>
      </c>
      <c r="L2848" s="95">
        <f>IF(H2848=1,INDEX(ap_CrAmt,342),0)</f>
        <v/>
      </c>
      <c r="M2848" s="95">
        <f>IF(H2848=1,INDEX(ap_TaxAmt,342),0)</f>
        <v/>
      </c>
      <c r="N2848" s="95" t="n">
        <v>0</v>
      </c>
      <c r="O2848" s="101">
        <f>IF(H2848=1,IF(E2848&lt;FYStart,0,IF(E2848&gt;FYEnd,13,YEAR(E2848)*12+MONTH(E2848)-FYYM+1)),"")</f>
        <v/>
      </c>
      <c r="P2848" s="101">
        <f>IF(H2848=1,IF(IFERROR(INDEX(coa_CF,MATCH(I2848,coa_Name,0)),"")="Cash",1,0),0)</f>
        <v/>
      </c>
      <c r="Q2848" s="101">
        <f>IF(H2848=1,IF(IFERROR(INDEX(coa_CF,MATCH(K2848,coa_Name,0)),"")="Cash",1,0),0)</f>
        <v/>
      </c>
      <c r="R2848" s="58">
        <f>IF((P2848-Q2848)=0,"",IFERROR(INDEX(coa_CF,MATCH(IF((P2848-Q2848)=1,K2848,I2848),coa_Name,0)),"Operating"))</f>
        <v/>
      </c>
      <c r="S2848" s="95">
        <f>IF((P2848-Q2848)=1,L2848,IF((P2848-Q2848)=-1,-J2848,0))</f>
        <v/>
      </c>
      <c r="T2848" s="95">
        <f>IF((P2848-Q2848)=1,N2848,IF((P2848-Q2848)=-1,-M2848,0))</f>
        <v/>
      </c>
      <c r="U2848" s="101">
        <f>IF(AND(H2848=1,LedAcct&lt;&gt;""),IF(AND(E2848&gt;=LedFrom,E2848&lt;=LedTo,OR(I2848=LedAcct,K2848=LedAcct,AND(LedAcct=acctTax,M2848+N2848&lt;&gt;0))),E2848*10000+B2848,""),"")</f>
        <v/>
      </c>
    </row>
    <row r="2849">
      <c r="B2849" s="101" t="n">
        <v>2843</v>
      </c>
      <c r="C2849" s="58" t="inlineStr">
        <is>
          <t>Bill</t>
        </is>
      </c>
      <c r="D2849" s="58">
        <f>IF(H2849=1,INDEX(ap_No,343)&amp;"","")</f>
        <v/>
      </c>
      <c r="E2849" s="94">
        <f>IF(H2849=1,INDEX(ap_Date,343),"")</f>
        <v/>
      </c>
      <c r="F2849" s="58">
        <f>IF(H2849=1,INDEX(ap_Desc,343)&amp;"","")</f>
        <v/>
      </c>
      <c r="G2849" s="58">
        <f>IF(H2849=1,INDEX(ap_Party,343)&amp;"","")</f>
        <v/>
      </c>
      <c r="H2849" s="101">
        <f>IFERROR(N(INDEX(ap_Posted,343)),0)</f>
        <v/>
      </c>
      <c r="I2849" s="58">
        <f>IF(H2849=1,INDEX(ap_DrAcct,343)&amp;"","")</f>
        <v/>
      </c>
      <c r="J2849" s="95">
        <f>IF(H2849=1,INDEX(ap_DrAmt,343),0)</f>
        <v/>
      </c>
      <c r="K2849" s="58">
        <f>IF(H2849=1,INDEX(ap_CrAcct,343)&amp;"","")</f>
        <v/>
      </c>
      <c r="L2849" s="95">
        <f>IF(H2849=1,INDEX(ap_CrAmt,343),0)</f>
        <v/>
      </c>
      <c r="M2849" s="95">
        <f>IF(H2849=1,INDEX(ap_TaxAmt,343),0)</f>
        <v/>
      </c>
      <c r="N2849" s="95" t="n">
        <v>0</v>
      </c>
      <c r="O2849" s="101">
        <f>IF(H2849=1,IF(E2849&lt;FYStart,0,IF(E2849&gt;FYEnd,13,YEAR(E2849)*12+MONTH(E2849)-FYYM+1)),"")</f>
        <v/>
      </c>
      <c r="P2849" s="101">
        <f>IF(H2849=1,IF(IFERROR(INDEX(coa_CF,MATCH(I2849,coa_Name,0)),"")="Cash",1,0),0)</f>
        <v/>
      </c>
      <c r="Q2849" s="101">
        <f>IF(H2849=1,IF(IFERROR(INDEX(coa_CF,MATCH(K2849,coa_Name,0)),"")="Cash",1,0),0)</f>
        <v/>
      </c>
      <c r="R2849" s="58">
        <f>IF((P2849-Q2849)=0,"",IFERROR(INDEX(coa_CF,MATCH(IF((P2849-Q2849)=1,K2849,I2849),coa_Name,0)),"Operating"))</f>
        <v/>
      </c>
      <c r="S2849" s="95">
        <f>IF((P2849-Q2849)=1,L2849,IF((P2849-Q2849)=-1,-J2849,0))</f>
        <v/>
      </c>
      <c r="T2849" s="95">
        <f>IF((P2849-Q2849)=1,N2849,IF((P2849-Q2849)=-1,-M2849,0))</f>
        <v/>
      </c>
      <c r="U2849" s="101">
        <f>IF(AND(H2849=1,LedAcct&lt;&gt;""),IF(AND(E2849&gt;=LedFrom,E2849&lt;=LedTo,OR(I2849=LedAcct,K2849=LedAcct,AND(LedAcct=acctTax,M2849+N2849&lt;&gt;0))),E2849*10000+B2849,""),"")</f>
        <v/>
      </c>
    </row>
    <row r="2850">
      <c r="B2850" s="101" t="n">
        <v>2844</v>
      </c>
      <c r="C2850" s="58" t="inlineStr">
        <is>
          <t>Bill</t>
        </is>
      </c>
      <c r="D2850" s="58">
        <f>IF(H2850=1,INDEX(ap_No,344)&amp;"","")</f>
        <v/>
      </c>
      <c r="E2850" s="94">
        <f>IF(H2850=1,INDEX(ap_Date,344),"")</f>
        <v/>
      </c>
      <c r="F2850" s="58">
        <f>IF(H2850=1,INDEX(ap_Desc,344)&amp;"","")</f>
        <v/>
      </c>
      <c r="G2850" s="58">
        <f>IF(H2850=1,INDEX(ap_Party,344)&amp;"","")</f>
        <v/>
      </c>
      <c r="H2850" s="101">
        <f>IFERROR(N(INDEX(ap_Posted,344)),0)</f>
        <v/>
      </c>
      <c r="I2850" s="58">
        <f>IF(H2850=1,INDEX(ap_DrAcct,344)&amp;"","")</f>
        <v/>
      </c>
      <c r="J2850" s="95">
        <f>IF(H2850=1,INDEX(ap_DrAmt,344),0)</f>
        <v/>
      </c>
      <c r="K2850" s="58">
        <f>IF(H2850=1,INDEX(ap_CrAcct,344)&amp;"","")</f>
        <v/>
      </c>
      <c r="L2850" s="95">
        <f>IF(H2850=1,INDEX(ap_CrAmt,344),0)</f>
        <v/>
      </c>
      <c r="M2850" s="95">
        <f>IF(H2850=1,INDEX(ap_TaxAmt,344),0)</f>
        <v/>
      </c>
      <c r="N2850" s="95" t="n">
        <v>0</v>
      </c>
      <c r="O2850" s="101">
        <f>IF(H2850=1,IF(E2850&lt;FYStart,0,IF(E2850&gt;FYEnd,13,YEAR(E2850)*12+MONTH(E2850)-FYYM+1)),"")</f>
        <v/>
      </c>
      <c r="P2850" s="101">
        <f>IF(H2850=1,IF(IFERROR(INDEX(coa_CF,MATCH(I2850,coa_Name,0)),"")="Cash",1,0),0)</f>
        <v/>
      </c>
      <c r="Q2850" s="101">
        <f>IF(H2850=1,IF(IFERROR(INDEX(coa_CF,MATCH(K2850,coa_Name,0)),"")="Cash",1,0),0)</f>
        <v/>
      </c>
      <c r="R2850" s="58">
        <f>IF((P2850-Q2850)=0,"",IFERROR(INDEX(coa_CF,MATCH(IF((P2850-Q2850)=1,K2850,I2850),coa_Name,0)),"Operating"))</f>
        <v/>
      </c>
      <c r="S2850" s="95">
        <f>IF((P2850-Q2850)=1,L2850,IF((P2850-Q2850)=-1,-J2850,0))</f>
        <v/>
      </c>
      <c r="T2850" s="95">
        <f>IF((P2850-Q2850)=1,N2850,IF((P2850-Q2850)=-1,-M2850,0))</f>
        <v/>
      </c>
      <c r="U2850" s="101">
        <f>IF(AND(H2850=1,LedAcct&lt;&gt;""),IF(AND(E2850&gt;=LedFrom,E2850&lt;=LedTo,OR(I2850=LedAcct,K2850=LedAcct,AND(LedAcct=acctTax,M2850+N2850&lt;&gt;0))),E2850*10000+B2850,""),"")</f>
        <v/>
      </c>
    </row>
    <row r="2851">
      <c r="B2851" s="101" t="n">
        <v>2845</v>
      </c>
      <c r="C2851" s="58" t="inlineStr">
        <is>
          <t>Bill</t>
        </is>
      </c>
      <c r="D2851" s="58">
        <f>IF(H2851=1,INDEX(ap_No,345)&amp;"","")</f>
        <v/>
      </c>
      <c r="E2851" s="94">
        <f>IF(H2851=1,INDEX(ap_Date,345),"")</f>
        <v/>
      </c>
      <c r="F2851" s="58">
        <f>IF(H2851=1,INDEX(ap_Desc,345)&amp;"","")</f>
        <v/>
      </c>
      <c r="G2851" s="58">
        <f>IF(H2851=1,INDEX(ap_Party,345)&amp;"","")</f>
        <v/>
      </c>
      <c r="H2851" s="101">
        <f>IFERROR(N(INDEX(ap_Posted,345)),0)</f>
        <v/>
      </c>
      <c r="I2851" s="58">
        <f>IF(H2851=1,INDEX(ap_DrAcct,345)&amp;"","")</f>
        <v/>
      </c>
      <c r="J2851" s="95">
        <f>IF(H2851=1,INDEX(ap_DrAmt,345),0)</f>
        <v/>
      </c>
      <c r="K2851" s="58">
        <f>IF(H2851=1,INDEX(ap_CrAcct,345)&amp;"","")</f>
        <v/>
      </c>
      <c r="L2851" s="95">
        <f>IF(H2851=1,INDEX(ap_CrAmt,345),0)</f>
        <v/>
      </c>
      <c r="M2851" s="95">
        <f>IF(H2851=1,INDEX(ap_TaxAmt,345),0)</f>
        <v/>
      </c>
      <c r="N2851" s="95" t="n">
        <v>0</v>
      </c>
      <c r="O2851" s="101">
        <f>IF(H2851=1,IF(E2851&lt;FYStart,0,IF(E2851&gt;FYEnd,13,YEAR(E2851)*12+MONTH(E2851)-FYYM+1)),"")</f>
        <v/>
      </c>
      <c r="P2851" s="101">
        <f>IF(H2851=1,IF(IFERROR(INDEX(coa_CF,MATCH(I2851,coa_Name,0)),"")="Cash",1,0),0)</f>
        <v/>
      </c>
      <c r="Q2851" s="101">
        <f>IF(H2851=1,IF(IFERROR(INDEX(coa_CF,MATCH(K2851,coa_Name,0)),"")="Cash",1,0),0)</f>
        <v/>
      </c>
      <c r="R2851" s="58">
        <f>IF((P2851-Q2851)=0,"",IFERROR(INDEX(coa_CF,MATCH(IF((P2851-Q2851)=1,K2851,I2851),coa_Name,0)),"Operating"))</f>
        <v/>
      </c>
      <c r="S2851" s="95">
        <f>IF((P2851-Q2851)=1,L2851,IF((P2851-Q2851)=-1,-J2851,0))</f>
        <v/>
      </c>
      <c r="T2851" s="95">
        <f>IF((P2851-Q2851)=1,N2851,IF((P2851-Q2851)=-1,-M2851,0))</f>
        <v/>
      </c>
      <c r="U2851" s="101">
        <f>IF(AND(H2851=1,LedAcct&lt;&gt;""),IF(AND(E2851&gt;=LedFrom,E2851&lt;=LedTo,OR(I2851=LedAcct,K2851=LedAcct,AND(LedAcct=acctTax,M2851+N2851&lt;&gt;0))),E2851*10000+B2851,""),"")</f>
        <v/>
      </c>
    </row>
    <row r="2852">
      <c r="B2852" s="101" t="n">
        <v>2846</v>
      </c>
      <c r="C2852" s="58" t="inlineStr">
        <is>
          <t>Bill</t>
        </is>
      </c>
      <c r="D2852" s="58">
        <f>IF(H2852=1,INDEX(ap_No,346)&amp;"","")</f>
        <v/>
      </c>
      <c r="E2852" s="94">
        <f>IF(H2852=1,INDEX(ap_Date,346),"")</f>
        <v/>
      </c>
      <c r="F2852" s="58">
        <f>IF(H2852=1,INDEX(ap_Desc,346)&amp;"","")</f>
        <v/>
      </c>
      <c r="G2852" s="58">
        <f>IF(H2852=1,INDEX(ap_Party,346)&amp;"","")</f>
        <v/>
      </c>
      <c r="H2852" s="101">
        <f>IFERROR(N(INDEX(ap_Posted,346)),0)</f>
        <v/>
      </c>
      <c r="I2852" s="58">
        <f>IF(H2852=1,INDEX(ap_DrAcct,346)&amp;"","")</f>
        <v/>
      </c>
      <c r="J2852" s="95">
        <f>IF(H2852=1,INDEX(ap_DrAmt,346),0)</f>
        <v/>
      </c>
      <c r="K2852" s="58">
        <f>IF(H2852=1,INDEX(ap_CrAcct,346)&amp;"","")</f>
        <v/>
      </c>
      <c r="L2852" s="95">
        <f>IF(H2852=1,INDEX(ap_CrAmt,346),0)</f>
        <v/>
      </c>
      <c r="M2852" s="95">
        <f>IF(H2852=1,INDEX(ap_TaxAmt,346),0)</f>
        <v/>
      </c>
      <c r="N2852" s="95" t="n">
        <v>0</v>
      </c>
      <c r="O2852" s="101">
        <f>IF(H2852=1,IF(E2852&lt;FYStart,0,IF(E2852&gt;FYEnd,13,YEAR(E2852)*12+MONTH(E2852)-FYYM+1)),"")</f>
        <v/>
      </c>
      <c r="P2852" s="101">
        <f>IF(H2852=1,IF(IFERROR(INDEX(coa_CF,MATCH(I2852,coa_Name,0)),"")="Cash",1,0),0)</f>
        <v/>
      </c>
      <c r="Q2852" s="101">
        <f>IF(H2852=1,IF(IFERROR(INDEX(coa_CF,MATCH(K2852,coa_Name,0)),"")="Cash",1,0),0)</f>
        <v/>
      </c>
      <c r="R2852" s="58">
        <f>IF((P2852-Q2852)=0,"",IFERROR(INDEX(coa_CF,MATCH(IF((P2852-Q2852)=1,K2852,I2852),coa_Name,0)),"Operating"))</f>
        <v/>
      </c>
      <c r="S2852" s="95">
        <f>IF((P2852-Q2852)=1,L2852,IF((P2852-Q2852)=-1,-J2852,0))</f>
        <v/>
      </c>
      <c r="T2852" s="95">
        <f>IF((P2852-Q2852)=1,N2852,IF((P2852-Q2852)=-1,-M2852,0))</f>
        <v/>
      </c>
      <c r="U2852" s="101">
        <f>IF(AND(H2852=1,LedAcct&lt;&gt;""),IF(AND(E2852&gt;=LedFrom,E2852&lt;=LedTo,OR(I2852=LedAcct,K2852=LedAcct,AND(LedAcct=acctTax,M2852+N2852&lt;&gt;0))),E2852*10000+B2852,""),"")</f>
        <v/>
      </c>
    </row>
    <row r="2853">
      <c r="B2853" s="101" t="n">
        <v>2847</v>
      </c>
      <c r="C2853" s="58" t="inlineStr">
        <is>
          <t>Bill</t>
        </is>
      </c>
      <c r="D2853" s="58">
        <f>IF(H2853=1,INDEX(ap_No,347)&amp;"","")</f>
        <v/>
      </c>
      <c r="E2853" s="94">
        <f>IF(H2853=1,INDEX(ap_Date,347),"")</f>
        <v/>
      </c>
      <c r="F2853" s="58">
        <f>IF(H2853=1,INDEX(ap_Desc,347)&amp;"","")</f>
        <v/>
      </c>
      <c r="G2853" s="58">
        <f>IF(H2853=1,INDEX(ap_Party,347)&amp;"","")</f>
        <v/>
      </c>
      <c r="H2853" s="101">
        <f>IFERROR(N(INDEX(ap_Posted,347)),0)</f>
        <v/>
      </c>
      <c r="I2853" s="58">
        <f>IF(H2853=1,INDEX(ap_DrAcct,347)&amp;"","")</f>
        <v/>
      </c>
      <c r="J2853" s="95">
        <f>IF(H2853=1,INDEX(ap_DrAmt,347),0)</f>
        <v/>
      </c>
      <c r="K2853" s="58">
        <f>IF(H2853=1,INDEX(ap_CrAcct,347)&amp;"","")</f>
        <v/>
      </c>
      <c r="L2853" s="95">
        <f>IF(H2853=1,INDEX(ap_CrAmt,347),0)</f>
        <v/>
      </c>
      <c r="M2853" s="95">
        <f>IF(H2853=1,INDEX(ap_TaxAmt,347),0)</f>
        <v/>
      </c>
      <c r="N2853" s="95" t="n">
        <v>0</v>
      </c>
      <c r="O2853" s="101">
        <f>IF(H2853=1,IF(E2853&lt;FYStart,0,IF(E2853&gt;FYEnd,13,YEAR(E2853)*12+MONTH(E2853)-FYYM+1)),"")</f>
        <v/>
      </c>
      <c r="P2853" s="101">
        <f>IF(H2853=1,IF(IFERROR(INDEX(coa_CF,MATCH(I2853,coa_Name,0)),"")="Cash",1,0),0)</f>
        <v/>
      </c>
      <c r="Q2853" s="101">
        <f>IF(H2853=1,IF(IFERROR(INDEX(coa_CF,MATCH(K2853,coa_Name,0)),"")="Cash",1,0),0)</f>
        <v/>
      </c>
      <c r="R2853" s="58">
        <f>IF((P2853-Q2853)=0,"",IFERROR(INDEX(coa_CF,MATCH(IF((P2853-Q2853)=1,K2853,I2853),coa_Name,0)),"Operating"))</f>
        <v/>
      </c>
      <c r="S2853" s="95">
        <f>IF((P2853-Q2853)=1,L2853,IF((P2853-Q2853)=-1,-J2853,0))</f>
        <v/>
      </c>
      <c r="T2853" s="95">
        <f>IF((P2853-Q2853)=1,N2853,IF((P2853-Q2853)=-1,-M2853,0))</f>
        <v/>
      </c>
      <c r="U2853" s="101">
        <f>IF(AND(H2853=1,LedAcct&lt;&gt;""),IF(AND(E2853&gt;=LedFrom,E2853&lt;=LedTo,OR(I2853=LedAcct,K2853=LedAcct,AND(LedAcct=acctTax,M2853+N2853&lt;&gt;0))),E2853*10000+B2853,""),"")</f>
        <v/>
      </c>
    </row>
    <row r="2854">
      <c r="B2854" s="101" t="n">
        <v>2848</v>
      </c>
      <c r="C2854" s="58" t="inlineStr">
        <is>
          <t>Bill</t>
        </is>
      </c>
      <c r="D2854" s="58">
        <f>IF(H2854=1,INDEX(ap_No,348)&amp;"","")</f>
        <v/>
      </c>
      <c r="E2854" s="94">
        <f>IF(H2854=1,INDEX(ap_Date,348),"")</f>
        <v/>
      </c>
      <c r="F2854" s="58">
        <f>IF(H2854=1,INDEX(ap_Desc,348)&amp;"","")</f>
        <v/>
      </c>
      <c r="G2854" s="58">
        <f>IF(H2854=1,INDEX(ap_Party,348)&amp;"","")</f>
        <v/>
      </c>
      <c r="H2854" s="101">
        <f>IFERROR(N(INDEX(ap_Posted,348)),0)</f>
        <v/>
      </c>
      <c r="I2854" s="58">
        <f>IF(H2854=1,INDEX(ap_DrAcct,348)&amp;"","")</f>
        <v/>
      </c>
      <c r="J2854" s="95">
        <f>IF(H2854=1,INDEX(ap_DrAmt,348),0)</f>
        <v/>
      </c>
      <c r="K2854" s="58">
        <f>IF(H2854=1,INDEX(ap_CrAcct,348)&amp;"","")</f>
        <v/>
      </c>
      <c r="L2854" s="95">
        <f>IF(H2854=1,INDEX(ap_CrAmt,348),0)</f>
        <v/>
      </c>
      <c r="M2854" s="95">
        <f>IF(H2854=1,INDEX(ap_TaxAmt,348),0)</f>
        <v/>
      </c>
      <c r="N2854" s="95" t="n">
        <v>0</v>
      </c>
      <c r="O2854" s="101">
        <f>IF(H2854=1,IF(E2854&lt;FYStart,0,IF(E2854&gt;FYEnd,13,YEAR(E2854)*12+MONTH(E2854)-FYYM+1)),"")</f>
        <v/>
      </c>
      <c r="P2854" s="101">
        <f>IF(H2854=1,IF(IFERROR(INDEX(coa_CF,MATCH(I2854,coa_Name,0)),"")="Cash",1,0),0)</f>
        <v/>
      </c>
      <c r="Q2854" s="101">
        <f>IF(H2854=1,IF(IFERROR(INDEX(coa_CF,MATCH(K2854,coa_Name,0)),"")="Cash",1,0),0)</f>
        <v/>
      </c>
      <c r="R2854" s="58">
        <f>IF((P2854-Q2854)=0,"",IFERROR(INDEX(coa_CF,MATCH(IF((P2854-Q2854)=1,K2854,I2854),coa_Name,0)),"Operating"))</f>
        <v/>
      </c>
      <c r="S2854" s="95">
        <f>IF((P2854-Q2854)=1,L2854,IF((P2854-Q2854)=-1,-J2854,0))</f>
        <v/>
      </c>
      <c r="T2854" s="95">
        <f>IF((P2854-Q2854)=1,N2854,IF((P2854-Q2854)=-1,-M2854,0))</f>
        <v/>
      </c>
      <c r="U2854" s="101">
        <f>IF(AND(H2854=1,LedAcct&lt;&gt;""),IF(AND(E2854&gt;=LedFrom,E2854&lt;=LedTo,OR(I2854=LedAcct,K2854=LedAcct,AND(LedAcct=acctTax,M2854+N2854&lt;&gt;0))),E2854*10000+B2854,""),"")</f>
        <v/>
      </c>
    </row>
    <row r="2855">
      <c r="B2855" s="101" t="n">
        <v>2849</v>
      </c>
      <c r="C2855" s="58" t="inlineStr">
        <is>
          <t>Bill</t>
        </is>
      </c>
      <c r="D2855" s="58">
        <f>IF(H2855=1,INDEX(ap_No,349)&amp;"","")</f>
        <v/>
      </c>
      <c r="E2855" s="94">
        <f>IF(H2855=1,INDEX(ap_Date,349),"")</f>
        <v/>
      </c>
      <c r="F2855" s="58">
        <f>IF(H2855=1,INDEX(ap_Desc,349)&amp;"","")</f>
        <v/>
      </c>
      <c r="G2855" s="58">
        <f>IF(H2855=1,INDEX(ap_Party,349)&amp;"","")</f>
        <v/>
      </c>
      <c r="H2855" s="101">
        <f>IFERROR(N(INDEX(ap_Posted,349)),0)</f>
        <v/>
      </c>
      <c r="I2855" s="58">
        <f>IF(H2855=1,INDEX(ap_DrAcct,349)&amp;"","")</f>
        <v/>
      </c>
      <c r="J2855" s="95">
        <f>IF(H2855=1,INDEX(ap_DrAmt,349),0)</f>
        <v/>
      </c>
      <c r="K2855" s="58">
        <f>IF(H2855=1,INDEX(ap_CrAcct,349)&amp;"","")</f>
        <v/>
      </c>
      <c r="L2855" s="95">
        <f>IF(H2855=1,INDEX(ap_CrAmt,349),0)</f>
        <v/>
      </c>
      <c r="M2855" s="95">
        <f>IF(H2855=1,INDEX(ap_TaxAmt,349),0)</f>
        <v/>
      </c>
      <c r="N2855" s="95" t="n">
        <v>0</v>
      </c>
      <c r="O2855" s="101">
        <f>IF(H2855=1,IF(E2855&lt;FYStart,0,IF(E2855&gt;FYEnd,13,YEAR(E2855)*12+MONTH(E2855)-FYYM+1)),"")</f>
        <v/>
      </c>
      <c r="P2855" s="101">
        <f>IF(H2855=1,IF(IFERROR(INDEX(coa_CF,MATCH(I2855,coa_Name,0)),"")="Cash",1,0),0)</f>
        <v/>
      </c>
      <c r="Q2855" s="101">
        <f>IF(H2855=1,IF(IFERROR(INDEX(coa_CF,MATCH(K2855,coa_Name,0)),"")="Cash",1,0),0)</f>
        <v/>
      </c>
      <c r="R2855" s="58">
        <f>IF((P2855-Q2855)=0,"",IFERROR(INDEX(coa_CF,MATCH(IF((P2855-Q2855)=1,K2855,I2855),coa_Name,0)),"Operating"))</f>
        <v/>
      </c>
      <c r="S2855" s="95">
        <f>IF((P2855-Q2855)=1,L2855,IF((P2855-Q2855)=-1,-J2855,0))</f>
        <v/>
      </c>
      <c r="T2855" s="95">
        <f>IF((P2855-Q2855)=1,N2855,IF((P2855-Q2855)=-1,-M2855,0))</f>
        <v/>
      </c>
      <c r="U2855" s="101">
        <f>IF(AND(H2855=1,LedAcct&lt;&gt;""),IF(AND(E2855&gt;=LedFrom,E2855&lt;=LedTo,OR(I2855=LedAcct,K2855=LedAcct,AND(LedAcct=acctTax,M2855+N2855&lt;&gt;0))),E2855*10000+B2855,""),"")</f>
        <v/>
      </c>
    </row>
    <row r="2856">
      <c r="B2856" s="101" t="n">
        <v>2850</v>
      </c>
      <c r="C2856" s="58" t="inlineStr">
        <is>
          <t>Bill</t>
        </is>
      </c>
      <c r="D2856" s="58">
        <f>IF(H2856=1,INDEX(ap_No,350)&amp;"","")</f>
        <v/>
      </c>
      <c r="E2856" s="94">
        <f>IF(H2856=1,INDEX(ap_Date,350),"")</f>
        <v/>
      </c>
      <c r="F2856" s="58">
        <f>IF(H2856=1,INDEX(ap_Desc,350)&amp;"","")</f>
        <v/>
      </c>
      <c r="G2856" s="58">
        <f>IF(H2856=1,INDEX(ap_Party,350)&amp;"","")</f>
        <v/>
      </c>
      <c r="H2856" s="101">
        <f>IFERROR(N(INDEX(ap_Posted,350)),0)</f>
        <v/>
      </c>
      <c r="I2856" s="58">
        <f>IF(H2856=1,INDEX(ap_DrAcct,350)&amp;"","")</f>
        <v/>
      </c>
      <c r="J2856" s="95">
        <f>IF(H2856=1,INDEX(ap_DrAmt,350),0)</f>
        <v/>
      </c>
      <c r="K2856" s="58">
        <f>IF(H2856=1,INDEX(ap_CrAcct,350)&amp;"","")</f>
        <v/>
      </c>
      <c r="L2856" s="95">
        <f>IF(H2856=1,INDEX(ap_CrAmt,350),0)</f>
        <v/>
      </c>
      <c r="M2856" s="95">
        <f>IF(H2856=1,INDEX(ap_TaxAmt,350),0)</f>
        <v/>
      </c>
      <c r="N2856" s="95" t="n">
        <v>0</v>
      </c>
      <c r="O2856" s="101">
        <f>IF(H2856=1,IF(E2856&lt;FYStart,0,IF(E2856&gt;FYEnd,13,YEAR(E2856)*12+MONTH(E2856)-FYYM+1)),"")</f>
        <v/>
      </c>
      <c r="P2856" s="101">
        <f>IF(H2856=1,IF(IFERROR(INDEX(coa_CF,MATCH(I2856,coa_Name,0)),"")="Cash",1,0),0)</f>
        <v/>
      </c>
      <c r="Q2856" s="101">
        <f>IF(H2856=1,IF(IFERROR(INDEX(coa_CF,MATCH(K2856,coa_Name,0)),"")="Cash",1,0),0)</f>
        <v/>
      </c>
      <c r="R2856" s="58">
        <f>IF((P2856-Q2856)=0,"",IFERROR(INDEX(coa_CF,MATCH(IF((P2856-Q2856)=1,K2856,I2856),coa_Name,0)),"Operating"))</f>
        <v/>
      </c>
      <c r="S2856" s="95">
        <f>IF((P2856-Q2856)=1,L2856,IF((P2856-Q2856)=-1,-J2856,0))</f>
        <v/>
      </c>
      <c r="T2856" s="95">
        <f>IF((P2856-Q2856)=1,N2856,IF((P2856-Q2856)=-1,-M2856,0))</f>
        <v/>
      </c>
      <c r="U2856" s="101">
        <f>IF(AND(H2856=1,LedAcct&lt;&gt;""),IF(AND(E2856&gt;=LedFrom,E2856&lt;=LedTo,OR(I2856=LedAcct,K2856=LedAcct,AND(LedAcct=acctTax,M2856+N2856&lt;&gt;0))),E2856*10000+B2856,""),"")</f>
        <v/>
      </c>
    </row>
    <row r="2857">
      <c r="B2857" s="101" t="n">
        <v>2851</v>
      </c>
      <c r="C2857" s="58" t="inlineStr">
        <is>
          <t>Bill</t>
        </is>
      </c>
      <c r="D2857" s="58">
        <f>IF(H2857=1,INDEX(ap_No,351)&amp;"","")</f>
        <v/>
      </c>
      <c r="E2857" s="94">
        <f>IF(H2857=1,INDEX(ap_Date,351),"")</f>
        <v/>
      </c>
      <c r="F2857" s="58">
        <f>IF(H2857=1,INDEX(ap_Desc,351)&amp;"","")</f>
        <v/>
      </c>
      <c r="G2857" s="58">
        <f>IF(H2857=1,INDEX(ap_Party,351)&amp;"","")</f>
        <v/>
      </c>
      <c r="H2857" s="101">
        <f>IFERROR(N(INDEX(ap_Posted,351)),0)</f>
        <v/>
      </c>
      <c r="I2857" s="58">
        <f>IF(H2857=1,INDEX(ap_DrAcct,351)&amp;"","")</f>
        <v/>
      </c>
      <c r="J2857" s="95">
        <f>IF(H2857=1,INDEX(ap_DrAmt,351),0)</f>
        <v/>
      </c>
      <c r="K2857" s="58">
        <f>IF(H2857=1,INDEX(ap_CrAcct,351)&amp;"","")</f>
        <v/>
      </c>
      <c r="L2857" s="95">
        <f>IF(H2857=1,INDEX(ap_CrAmt,351),0)</f>
        <v/>
      </c>
      <c r="M2857" s="95">
        <f>IF(H2857=1,INDEX(ap_TaxAmt,351),0)</f>
        <v/>
      </c>
      <c r="N2857" s="95" t="n">
        <v>0</v>
      </c>
      <c r="O2857" s="101">
        <f>IF(H2857=1,IF(E2857&lt;FYStart,0,IF(E2857&gt;FYEnd,13,YEAR(E2857)*12+MONTH(E2857)-FYYM+1)),"")</f>
        <v/>
      </c>
      <c r="P2857" s="101">
        <f>IF(H2857=1,IF(IFERROR(INDEX(coa_CF,MATCH(I2857,coa_Name,0)),"")="Cash",1,0),0)</f>
        <v/>
      </c>
      <c r="Q2857" s="101">
        <f>IF(H2857=1,IF(IFERROR(INDEX(coa_CF,MATCH(K2857,coa_Name,0)),"")="Cash",1,0),0)</f>
        <v/>
      </c>
      <c r="R2857" s="58">
        <f>IF((P2857-Q2857)=0,"",IFERROR(INDEX(coa_CF,MATCH(IF((P2857-Q2857)=1,K2857,I2857),coa_Name,0)),"Operating"))</f>
        <v/>
      </c>
      <c r="S2857" s="95">
        <f>IF((P2857-Q2857)=1,L2857,IF((P2857-Q2857)=-1,-J2857,0))</f>
        <v/>
      </c>
      <c r="T2857" s="95">
        <f>IF((P2857-Q2857)=1,N2857,IF((P2857-Q2857)=-1,-M2857,0))</f>
        <v/>
      </c>
      <c r="U2857" s="101">
        <f>IF(AND(H2857=1,LedAcct&lt;&gt;""),IF(AND(E2857&gt;=LedFrom,E2857&lt;=LedTo,OR(I2857=LedAcct,K2857=LedAcct,AND(LedAcct=acctTax,M2857+N2857&lt;&gt;0))),E2857*10000+B2857,""),"")</f>
        <v/>
      </c>
    </row>
    <row r="2858">
      <c r="B2858" s="101" t="n">
        <v>2852</v>
      </c>
      <c r="C2858" s="58" t="inlineStr">
        <is>
          <t>Bill</t>
        </is>
      </c>
      <c r="D2858" s="58">
        <f>IF(H2858=1,INDEX(ap_No,352)&amp;"","")</f>
        <v/>
      </c>
      <c r="E2858" s="94">
        <f>IF(H2858=1,INDEX(ap_Date,352),"")</f>
        <v/>
      </c>
      <c r="F2858" s="58">
        <f>IF(H2858=1,INDEX(ap_Desc,352)&amp;"","")</f>
        <v/>
      </c>
      <c r="G2858" s="58">
        <f>IF(H2858=1,INDEX(ap_Party,352)&amp;"","")</f>
        <v/>
      </c>
      <c r="H2858" s="101">
        <f>IFERROR(N(INDEX(ap_Posted,352)),0)</f>
        <v/>
      </c>
      <c r="I2858" s="58">
        <f>IF(H2858=1,INDEX(ap_DrAcct,352)&amp;"","")</f>
        <v/>
      </c>
      <c r="J2858" s="95">
        <f>IF(H2858=1,INDEX(ap_DrAmt,352),0)</f>
        <v/>
      </c>
      <c r="K2858" s="58">
        <f>IF(H2858=1,INDEX(ap_CrAcct,352)&amp;"","")</f>
        <v/>
      </c>
      <c r="L2858" s="95">
        <f>IF(H2858=1,INDEX(ap_CrAmt,352),0)</f>
        <v/>
      </c>
      <c r="M2858" s="95">
        <f>IF(H2858=1,INDEX(ap_TaxAmt,352),0)</f>
        <v/>
      </c>
      <c r="N2858" s="95" t="n">
        <v>0</v>
      </c>
      <c r="O2858" s="101">
        <f>IF(H2858=1,IF(E2858&lt;FYStart,0,IF(E2858&gt;FYEnd,13,YEAR(E2858)*12+MONTH(E2858)-FYYM+1)),"")</f>
        <v/>
      </c>
      <c r="P2858" s="101">
        <f>IF(H2858=1,IF(IFERROR(INDEX(coa_CF,MATCH(I2858,coa_Name,0)),"")="Cash",1,0),0)</f>
        <v/>
      </c>
      <c r="Q2858" s="101">
        <f>IF(H2858=1,IF(IFERROR(INDEX(coa_CF,MATCH(K2858,coa_Name,0)),"")="Cash",1,0),0)</f>
        <v/>
      </c>
      <c r="R2858" s="58">
        <f>IF((P2858-Q2858)=0,"",IFERROR(INDEX(coa_CF,MATCH(IF((P2858-Q2858)=1,K2858,I2858),coa_Name,0)),"Operating"))</f>
        <v/>
      </c>
      <c r="S2858" s="95">
        <f>IF((P2858-Q2858)=1,L2858,IF((P2858-Q2858)=-1,-J2858,0))</f>
        <v/>
      </c>
      <c r="T2858" s="95">
        <f>IF((P2858-Q2858)=1,N2858,IF((P2858-Q2858)=-1,-M2858,0))</f>
        <v/>
      </c>
      <c r="U2858" s="101">
        <f>IF(AND(H2858=1,LedAcct&lt;&gt;""),IF(AND(E2858&gt;=LedFrom,E2858&lt;=LedTo,OR(I2858=LedAcct,K2858=LedAcct,AND(LedAcct=acctTax,M2858+N2858&lt;&gt;0))),E2858*10000+B2858,""),"")</f>
        <v/>
      </c>
    </row>
    <row r="2859">
      <c r="B2859" s="101" t="n">
        <v>2853</v>
      </c>
      <c r="C2859" s="58" t="inlineStr">
        <is>
          <t>Bill</t>
        </is>
      </c>
      <c r="D2859" s="58">
        <f>IF(H2859=1,INDEX(ap_No,353)&amp;"","")</f>
        <v/>
      </c>
      <c r="E2859" s="94">
        <f>IF(H2859=1,INDEX(ap_Date,353),"")</f>
        <v/>
      </c>
      <c r="F2859" s="58">
        <f>IF(H2859=1,INDEX(ap_Desc,353)&amp;"","")</f>
        <v/>
      </c>
      <c r="G2859" s="58">
        <f>IF(H2859=1,INDEX(ap_Party,353)&amp;"","")</f>
        <v/>
      </c>
      <c r="H2859" s="101">
        <f>IFERROR(N(INDEX(ap_Posted,353)),0)</f>
        <v/>
      </c>
      <c r="I2859" s="58">
        <f>IF(H2859=1,INDEX(ap_DrAcct,353)&amp;"","")</f>
        <v/>
      </c>
      <c r="J2859" s="95">
        <f>IF(H2859=1,INDEX(ap_DrAmt,353),0)</f>
        <v/>
      </c>
      <c r="K2859" s="58">
        <f>IF(H2859=1,INDEX(ap_CrAcct,353)&amp;"","")</f>
        <v/>
      </c>
      <c r="L2859" s="95">
        <f>IF(H2859=1,INDEX(ap_CrAmt,353),0)</f>
        <v/>
      </c>
      <c r="M2859" s="95">
        <f>IF(H2859=1,INDEX(ap_TaxAmt,353),0)</f>
        <v/>
      </c>
      <c r="N2859" s="95" t="n">
        <v>0</v>
      </c>
      <c r="O2859" s="101">
        <f>IF(H2859=1,IF(E2859&lt;FYStart,0,IF(E2859&gt;FYEnd,13,YEAR(E2859)*12+MONTH(E2859)-FYYM+1)),"")</f>
        <v/>
      </c>
      <c r="P2859" s="101">
        <f>IF(H2859=1,IF(IFERROR(INDEX(coa_CF,MATCH(I2859,coa_Name,0)),"")="Cash",1,0),0)</f>
        <v/>
      </c>
      <c r="Q2859" s="101">
        <f>IF(H2859=1,IF(IFERROR(INDEX(coa_CF,MATCH(K2859,coa_Name,0)),"")="Cash",1,0),0)</f>
        <v/>
      </c>
      <c r="R2859" s="58">
        <f>IF((P2859-Q2859)=0,"",IFERROR(INDEX(coa_CF,MATCH(IF((P2859-Q2859)=1,K2859,I2859),coa_Name,0)),"Operating"))</f>
        <v/>
      </c>
      <c r="S2859" s="95">
        <f>IF((P2859-Q2859)=1,L2859,IF((P2859-Q2859)=-1,-J2859,0))</f>
        <v/>
      </c>
      <c r="T2859" s="95">
        <f>IF((P2859-Q2859)=1,N2859,IF((P2859-Q2859)=-1,-M2859,0))</f>
        <v/>
      </c>
      <c r="U2859" s="101">
        <f>IF(AND(H2859=1,LedAcct&lt;&gt;""),IF(AND(E2859&gt;=LedFrom,E2859&lt;=LedTo,OR(I2859=LedAcct,K2859=LedAcct,AND(LedAcct=acctTax,M2859+N2859&lt;&gt;0))),E2859*10000+B2859,""),"")</f>
        <v/>
      </c>
    </row>
    <row r="2860">
      <c r="B2860" s="101" t="n">
        <v>2854</v>
      </c>
      <c r="C2860" s="58" t="inlineStr">
        <is>
          <t>Bill</t>
        </is>
      </c>
      <c r="D2860" s="58">
        <f>IF(H2860=1,INDEX(ap_No,354)&amp;"","")</f>
        <v/>
      </c>
      <c r="E2860" s="94">
        <f>IF(H2860=1,INDEX(ap_Date,354),"")</f>
        <v/>
      </c>
      <c r="F2860" s="58">
        <f>IF(H2860=1,INDEX(ap_Desc,354)&amp;"","")</f>
        <v/>
      </c>
      <c r="G2860" s="58">
        <f>IF(H2860=1,INDEX(ap_Party,354)&amp;"","")</f>
        <v/>
      </c>
      <c r="H2860" s="101">
        <f>IFERROR(N(INDEX(ap_Posted,354)),0)</f>
        <v/>
      </c>
      <c r="I2860" s="58">
        <f>IF(H2860=1,INDEX(ap_DrAcct,354)&amp;"","")</f>
        <v/>
      </c>
      <c r="J2860" s="95">
        <f>IF(H2860=1,INDEX(ap_DrAmt,354),0)</f>
        <v/>
      </c>
      <c r="K2860" s="58">
        <f>IF(H2860=1,INDEX(ap_CrAcct,354)&amp;"","")</f>
        <v/>
      </c>
      <c r="L2860" s="95">
        <f>IF(H2860=1,INDEX(ap_CrAmt,354),0)</f>
        <v/>
      </c>
      <c r="M2860" s="95">
        <f>IF(H2860=1,INDEX(ap_TaxAmt,354),0)</f>
        <v/>
      </c>
      <c r="N2860" s="95" t="n">
        <v>0</v>
      </c>
      <c r="O2860" s="101">
        <f>IF(H2860=1,IF(E2860&lt;FYStart,0,IF(E2860&gt;FYEnd,13,YEAR(E2860)*12+MONTH(E2860)-FYYM+1)),"")</f>
        <v/>
      </c>
      <c r="P2860" s="101">
        <f>IF(H2860=1,IF(IFERROR(INDEX(coa_CF,MATCH(I2860,coa_Name,0)),"")="Cash",1,0),0)</f>
        <v/>
      </c>
      <c r="Q2860" s="101">
        <f>IF(H2860=1,IF(IFERROR(INDEX(coa_CF,MATCH(K2860,coa_Name,0)),"")="Cash",1,0),0)</f>
        <v/>
      </c>
      <c r="R2860" s="58">
        <f>IF((P2860-Q2860)=0,"",IFERROR(INDEX(coa_CF,MATCH(IF((P2860-Q2860)=1,K2860,I2860),coa_Name,0)),"Operating"))</f>
        <v/>
      </c>
      <c r="S2860" s="95">
        <f>IF((P2860-Q2860)=1,L2860,IF((P2860-Q2860)=-1,-J2860,0))</f>
        <v/>
      </c>
      <c r="T2860" s="95">
        <f>IF((P2860-Q2860)=1,N2860,IF((P2860-Q2860)=-1,-M2860,0))</f>
        <v/>
      </c>
      <c r="U2860" s="101">
        <f>IF(AND(H2860=1,LedAcct&lt;&gt;""),IF(AND(E2860&gt;=LedFrom,E2860&lt;=LedTo,OR(I2860=LedAcct,K2860=LedAcct,AND(LedAcct=acctTax,M2860+N2860&lt;&gt;0))),E2860*10000+B2860,""),"")</f>
        <v/>
      </c>
    </row>
    <row r="2861">
      <c r="B2861" s="101" t="n">
        <v>2855</v>
      </c>
      <c r="C2861" s="58" t="inlineStr">
        <is>
          <t>Bill</t>
        </is>
      </c>
      <c r="D2861" s="58">
        <f>IF(H2861=1,INDEX(ap_No,355)&amp;"","")</f>
        <v/>
      </c>
      <c r="E2861" s="94">
        <f>IF(H2861=1,INDEX(ap_Date,355),"")</f>
        <v/>
      </c>
      <c r="F2861" s="58">
        <f>IF(H2861=1,INDEX(ap_Desc,355)&amp;"","")</f>
        <v/>
      </c>
      <c r="G2861" s="58">
        <f>IF(H2861=1,INDEX(ap_Party,355)&amp;"","")</f>
        <v/>
      </c>
      <c r="H2861" s="101">
        <f>IFERROR(N(INDEX(ap_Posted,355)),0)</f>
        <v/>
      </c>
      <c r="I2861" s="58">
        <f>IF(H2861=1,INDEX(ap_DrAcct,355)&amp;"","")</f>
        <v/>
      </c>
      <c r="J2861" s="95">
        <f>IF(H2861=1,INDEX(ap_DrAmt,355),0)</f>
        <v/>
      </c>
      <c r="K2861" s="58">
        <f>IF(H2861=1,INDEX(ap_CrAcct,355)&amp;"","")</f>
        <v/>
      </c>
      <c r="L2861" s="95">
        <f>IF(H2861=1,INDEX(ap_CrAmt,355),0)</f>
        <v/>
      </c>
      <c r="M2861" s="95">
        <f>IF(H2861=1,INDEX(ap_TaxAmt,355),0)</f>
        <v/>
      </c>
      <c r="N2861" s="95" t="n">
        <v>0</v>
      </c>
      <c r="O2861" s="101">
        <f>IF(H2861=1,IF(E2861&lt;FYStart,0,IF(E2861&gt;FYEnd,13,YEAR(E2861)*12+MONTH(E2861)-FYYM+1)),"")</f>
        <v/>
      </c>
      <c r="P2861" s="101">
        <f>IF(H2861=1,IF(IFERROR(INDEX(coa_CF,MATCH(I2861,coa_Name,0)),"")="Cash",1,0),0)</f>
        <v/>
      </c>
      <c r="Q2861" s="101">
        <f>IF(H2861=1,IF(IFERROR(INDEX(coa_CF,MATCH(K2861,coa_Name,0)),"")="Cash",1,0),0)</f>
        <v/>
      </c>
      <c r="R2861" s="58">
        <f>IF((P2861-Q2861)=0,"",IFERROR(INDEX(coa_CF,MATCH(IF((P2861-Q2861)=1,K2861,I2861),coa_Name,0)),"Operating"))</f>
        <v/>
      </c>
      <c r="S2861" s="95">
        <f>IF((P2861-Q2861)=1,L2861,IF((P2861-Q2861)=-1,-J2861,0))</f>
        <v/>
      </c>
      <c r="T2861" s="95">
        <f>IF((P2861-Q2861)=1,N2861,IF((P2861-Q2861)=-1,-M2861,0))</f>
        <v/>
      </c>
      <c r="U2861" s="101">
        <f>IF(AND(H2861=1,LedAcct&lt;&gt;""),IF(AND(E2861&gt;=LedFrom,E2861&lt;=LedTo,OR(I2861=LedAcct,K2861=LedAcct,AND(LedAcct=acctTax,M2861+N2861&lt;&gt;0))),E2861*10000+B2861,""),"")</f>
        <v/>
      </c>
    </row>
    <row r="2862">
      <c r="B2862" s="101" t="n">
        <v>2856</v>
      </c>
      <c r="C2862" s="58" t="inlineStr">
        <is>
          <t>Bill</t>
        </is>
      </c>
      <c r="D2862" s="58">
        <f>IF(H2862=1,INDEX(ap_No,356)&amp;"","")</f>
        <v/>
      </c>
      <c r="E2862" s="94">
        <f>IF(H2862=1,INDEX(ap_Date,356),"")</f>
        <v/>
      </c>
      <c r="F2862" s="58">
        <f>IF(H2862=1,INDEX(ap_Desc,356)&amp;"","")</f>
        <v/>
      </c>
      <c r="G2862" s="58">
        <f>IF(H2862=1,INDEX(ap_Party,356)&amp;"","")</f>
        <v/>
      </c>
      <c r="H2862" s="101">
        <f>IFERROR(N(INDEX(ap_Posted,356)),0)</f>
        <v/>
      </c>
      <c r="I2862" s="58">
        <f>IF(H2862=1,INDEX(ap_DrAcct,356)&amp;"","")</f>
        <v/>
      </c>
      <c r="J2862" s="95">
        <f>IF(H2862=1,INDEX(ap_DrAmt,356),0)</f>
        <v/>
      </c>
      <c r="K2862" s="58">
        <f>IF(H2862=1,INDEX(ap_CrAcct,356)&amp;"","")</f>
        <v/>
      </c>
      <c r="L2862" s="95">
        <f>IF(H2862=1,INDEX(ap_CrAmt,356),0)</f>
        <v/>
      </c>
      <c r="M2862" s="95">
        <f>IF(H2862=1,INDEX(ap_TaxAmt,356),0)</f>
        <v/>
      </c>
      <c r="N2862" s="95" t="n">
        <v>0</v>
      </c>
      <c r="O2862" s="101">
        <f>IF(H2862=1,IF(E2862&lt;FYStart,0,IF(E2862&gt;FYEnd,13,YEAR(E2862)*12+MONTH(E2862)-FYYM+1)),"")</f>
        <v/>
      </c>
      <c r="P2862" s="101">
        <f>IF(H2862=1,IF(IFERROR(INDEX(coa_CF,MATCH(I2862,coa_Name,0)),"")="Cash",1,0),0)</f>
        <v/>
      </c>
      <c r="Q2862" s="101">
        <f>IF(H2862=1,IF(IFERROR(INDEX(coa_CF,MATCH(K2862,coa_Name,0)),"")="Cash",1,0),0)</f>
        <v/>
      </c>
      <c r="R2862" s="58">
        <f>IF((P2862-Q2862)=0,"",IFERROR(INDEX(coa_CF,MATCH(IF((P2862-Q2862)=1,K2862,I2862),coa_Name,0)),"Operating"))</f>
        <v/>
      </c>
      <c r="S2862" s="95">
        <f>IF((P2862-Q2862)=1,L2862,IF((P2862-Q2862)=-1,-J2862,0))</f>
        <v/>
      </c>
      <c r="T2862" s="95">
        <f>IF((P2862-Q2862)=1,N2862,IF((P2862-Q2862)=-1,-M2862,0))</f>
        <v/>
      </c>
      <c r="U2862" s="101">
        <f>IF(AND(H2862=1,LedAcct&lt;&gt;""),IF(AND(E2862&gt;=LedFrom,E2862&lt;=LedTo,OR(I2862=LedAcct,K2862=LedAcct,AND(LedAcct=acctTax,M2862+N2862&lt;&gt;0))),E2862*10000+B2862,""),"")</f>
        <v/>
      </c>
    </row>
    <row r="2863">
      <c r="B2863" s="101" t="n">
        <v>2857</v>
      </c>
      <c r="C2863" s="58" t="inlineStr">
        <is>
          <t>Bill</t>
        </is>
      </c>
      <c r="D2863" s="58">
        <f>IF(H2863=1,INDEX(ap_No,357)&amp;"","")</f>
        <v/>
      </c>
      <c r="E2863" s="94">
        <f>IF(H2863=1,INDEX(ap_Date,357),"")</f>
        <v/>
      </c>
      <c r="F2863" s="58">
        <f>IF(H2863=1,INDEX(ap_Desc,357)&amp;"","")</f>
        <v/>
      </c>
      <c r="G2863" s="58">
        <f>IF(H2863=1,INDEX(ap_Party,357)&amp;"","")</f>
        <v/>
      </c>
      <c r="H2863" s="101">
        <f>IFERROR(N(INDEX(ap_Posted,357)),0)</f>
        <v/>
      </c>
      <c r="I2863" s="58">
        <f>IF(H2863=1,INDEX(ap_DrAcct,357)&amp;"","")</f>
        <v/>
      </c>
      <c r="J2863" s="95">
        <f>IF(H2863=1,INDEX(ap_DrAmt,357),0)</f>
        <v/>
      </c>
      <c r="K2863" s="58">
        <f>IF(H2863=1,INDEX(ap_CrAcct,357)&amp;"","")</f>
        <v/>
      </c>
      <c r="L2863" s="95">
        <f>IF(H2863=1,INDEX(ap_CrAmt,357),0)</f>
        <v/>
      </c>
      <c r="M2863" s="95">
        <f>IF(H2863=1,INDEX(ap_TaxAmt,357),0)</f>
        <v/>
      </c>
      <c r="N2863" s="95" t="n">
        <v>0</v>
      </c>
      <c r="O2863" s="101">
        <f>IF(H2863=1,IF(E2863&lt;FYStart,0,IF(E2863&gt;FYEnd,13,YEAR(E2863)*12+MONTH(E2863)-FYYM+1)),"")</f>
        <v/>
      </c>
      <c r="P2863" s="101">
        <f>IF(H2863=1,IF(IFERROR(INDEX(coa_CF,MATCH(I2863,coa_Name,0)),"")="Cash",1,0),0)</f>
        <v/>
      </c>
      <c r="Q2863" s="101">
        <f>IF(H2863=1,IF(IFERROR(INDEX(coa_CF,MATCH(K2863,coa_Name,0)),"")="Cash",1,0),0)</f>
        <v/>
      </c>
      <c r="R2863" s="58">
        <f>IF((P2863-Q2863)=0,"",IFERROR(INDEX(coa_CF,MATCH(IF((P2863-Q2863)=1,K2863,I2863),coa_Name,0)),"Operating"))</f>
        <v/>
      </c>
      <c r="S2863" s="95">
        <f>IF((P2863-Q2863)=1,L2863,IF((P2863-Q2863)=-1,-J2863,0))</f>
        <v/>
      </c>
      <c r="T2863" s="95">
        <f>IF((P2863-Q2863)=1,N2863,IF((P2863-Q2863)=-1,-M2863,0))</f>
        <v/>
      </c>
      <c r="U2863" s="101">
        <f>IF(AND(H2863=1,LedAcct&lt;&gt;""),IF(AND(E2863&gt;=LedFrom,E2863&lt;=LedTo,OR(I2863=LedAcct,K2863=LedAcct,AND(LedAcct=acctTax,M2863+N2863&lt;&gt;0))),E2863*10000+B2863,""),"")</f>
        <v/>
      </c>
    </row>
    <row r="2864">
      <c r="B2864" s="101" t="n">
        <v>2858</v>
      </c>
      <c r="C2864" s="58" t="inlineStr">
        <is>
          <t>Bill</t>
        </is>
      </c>
      <c r="D2864" s="58">
        <f>IF(H2864=1,INDEX(ap_No,358)&amp;"","")</f>
        <v/>
      </c>
      <c r="E2864" s="94">
        <f>IF(H2864=1,INDEX(ap_Date,358),"")</f>
        <v/>
      </c>
      <c r="F2864" s="58">
        <f>IF(H2864=1,INDEX(ap_Desc,358)&amp;"","")</f>
        <v/>
      </c>
      <c r="G2864" s="58">
        <f>IF(H2864=1,INDEX(ap_Party,358)&amp;"","")</f>
        <v/>
      </c>
      <c r="H2864" s="101">
        <f>IFERROR(N(INDEX(ap_Posted,358)),0)</f>
        <v/>
      </c>
      <c r="I2864" s="58">
        <f>IF(H2864=1,INDEX(ap_DrAcct,358)&amp;"","")</f>
        <v/>
      </c>
      <c r="J2864" s="95">
        <f>IF(H2864=1,INDEX(ap_DrAmt,358),0)</f>
        <v/>
      </c>
      <c r="K2864" s="58">
        <f>IF(H2864=1,INDEX(ap_CrAcct,358)&amp;"","")</f>
        <v/>
      </c>
      <c r="L2864" s="95">
        <f>IF(H2864=1,INDEX(ap_CrAmt,358),0)</f>
        <v/>
      </c>
      <c r="M2864" s="95">
        <f>IF(H2864=1,INDEX(ap_TaxAmt,358),0)</f>
        <v/>
      </c>
      <c r="N2864" s="95" t="n">
        <v>0</v>
      </c>
      <c r="O2864" s="101">
        <f>IF(H2864=1,IF(E2864&lt;FYStart,0,IF(E2864&gt;FYEnd,13,YEAR(E2864)*12+MONTH(E2864)-FYYM+1)),"")</f>
        <v/>
      </c>
      <c r="P2864" s="101">
        <f>IF(H2864=1,IF(IFERROR(INDEX(coa_CF,MATCH(I2864,coa_Name,0)),"")="Cash",1,0),0)</f>
        <v/>
      </c>
      <c r="Q2864" s="101">
        <f>IF(H2864=1,IF(IFERROR(INDEX(coa_CF,MATCH(K2864,coa_Name,0)),"")="Cash",1,0),0)</f>
        <v/>
      </c>
      <c r="R2864" s="58">
        <f>IF((P2864-Q2864)=0,"",IFERROR(INDEX(coa_CF,MATCH(IF((P2864-Q2864)=1,K2864,I2864),coa_Name,0)),"Operating"))</f>
        <v/>
      </c>
      <c r="S2864" s="95">
        <f>IF((P2864-Q2864)=1,L2864,IF((P2864-Q2864)=-1,-J2864,0))</f>
        <v/>
      </c>
      <c r="T2864" s="95">
        <f>IF((P2864-Q2864)=1,N2864,IF((P2864-Q2864)=-1,-M2864,0))</f>
        <v/>
      </c>
      <c r="U2864" s="101">
        <f>IF(AND(H2864=1,LedAcct&lt;&gt;""),IF(AND(E2864&gt;=LedFrom,E2864&lt;=LedTo,OR(I2864=LedAcct,K2864=LedAcct,AND(LedAcct=acctTax,M2864+N2864&lt;&gt;0))),E2864*10000+B2864,""),"")</f>
        <v/>
      </c>
    </row>
    <row r="2865">
      <c r="B2865" s="101" t="n">
        <v>2859</v>
      </c>
      <c r="C2865" s="58" t="inlineStr">
        <is>
          <t>Bill</t>
        </is>
      </c>
      <c r="D2865" s="58">
        <f>IF(H2865=1,INDEX(ap_No,359)&amp;"","")</f>
        <v/>
      </c>
      <c r="E2865" s="94">
        <f>IF(H2865=1,INDEX(ap_Date,359),"")</f>
        <v/>
      </c>
      <c r="F2865" s="58">
        <f>IF(H2865=1,INDEX(ap_Desc,359)&amp;"","")</f>
        <v/>
      </c>
      <c r="G2865" s="58">
        <f>IF(H2865=1,INDEX(ap_Party,359)&amp;"","")</f>
        <v/>
      </c>
      <c r="H2865" s="101">
        <f>IFERROR(N(INDEX(ap_Posted,359)),0)</f>
        <v/>
      </c>
      <c r="I2865" s="58">
        <f>IF(H2865=1,INDEX(ap_DrAcct,359)&amp;"","")</f>
        <v/>
      </c>
      <c r="J2865" s="95">
        <f>IF(H2865=1,INDEX(ap_DrAmt,359),0)</f>
        <v/>
      </c>
      <c r="K2865" s="58">
        <f>IF(H2865=1,INDEX(ap_CrAcct,359)&amp;"","")</f>
        <v/>
      </c>
      <c r="L2865" s="95">
        <f>IF(H2865=1,INDEX(ap_CrAmt,359),0)</f>
        <v/>
      </c>
      <c r="M2865" s="95">
        <f>IF(H2865=1,INDEX(ap_TaxAmt,359),0)</f>
        <v/>
      </c>
      <c r="N2865" s="95" t="n">
        <v>0</v>
      </c>
      <c r="O2865" s="101">
        <f>IF(H2865=1,IF(E2865&lt;FYStart,0,IF(E2865&gt;FYEnd,13,YEAR(E2865)*12+MONTH(E2865)-FYYM+1)),"")</f>
        <v/>
      </c>
      <c r="P2865" s="101">
        <f>IF(H2865=1,IF(IFERROR(INDEX(coa_CF,MATCH(I2865,coa_Name,0)),"")="Cash",1,0),0)</f>
        <v/>
      </c>
      <c r="Q2865" s="101">
        <f>IF(H2865=1,IF(IFERROR(INDEX(coa_CF,MATCH(K2865,coa_Name,0)),"")="Cash",1,0),0)</f>
        <v/>
      </c>
      <c r="R2865" s="58">
        <f>IF((P2865-Q2865)=0,"",IFERROR(INDEX(coa_CF,MATCH(IF((P2865-Q2865)=1,K2865,I2865),coa_Name,0)),"Operating"))</f>
        <v/>
      </c>
      <c r="S2865" s="95">
        <f>IF((P2865-Q2865)=1,L2865,IF((P2865-Q2865)=-1,-J2865,0))</f>
        <v/>
      </c>
      <c r="T2865" s="95">
        <f>IF((P2865-Q2865)=1,N2865,IF((P2865-Q2865)=-1,-M2865,0))</f>
        <v/>
      </c>
      <c r="U2865" s="101">
        <f>IF(AND(H2865=1,LedAcct&lt;&gt;""),IF(AND(E2865&gt;=LedFrom,E2865&lt;=LedTo,OR(I2865=LedAcct,K2865=LedAcct,AND(LedAcct=acctTax,M2865+N2865&lt;&gt;0))),E2865*10000+B2865,""),"")</f>
        <v/>
      </c>
    </row>
    <row r="2866">
      <c r="B2866" s="101" t="n">
        <v>2860</v>
      </c>
      <c r="C2866" s="58" t="inlineStr">
        <is>
          <t>Bill</t>
        </is>
      </c>
      <c r="D2866" s="58">
        <f>IF(H2866=1,INDEX(ap_No,360)&amp;"","")</f>
        <v/>
      </c>
      <c r="E2866" s="94">
        <f>IF(H2866=1,INDEX(ap_Date,360),"")</f>
        <v/>
      </c>
      <c r="F2866" s="58">
        <f>IF(H2866=1,INDEX(ap_Desc,360)&amp;"","")</f>
        <v/>
      </c>
      <c r="G2866" s="58">
        <f>IF(H2866=1,INDEX(ap_Party,360)&amp;"","")</f>
        <v/>
      </c>
      <c r="H2866" s="101">
        <f>IFERROR(N(INDEX(ap_Posted,360)),0)</f>
        <v/>
      </c>
      <c r="I2866" s="58">
        <f>IF(H2866=1,INDEX(ap_DrAcct,360)&amp;"","")</f>
        <v/>
      </c>
      <c r="J2866" s="95">
        <f>IF(H2866=1,INDEX(ap_DrAmt,360),0)</f>
        <v/>
      </c>
      <c r="K2866" s="58">
        <f>IF(H2866=1,INDEX(ap_CrAcct,360)&amp;"","")</f>
        <v/>
      </c>
      <c r="L2866" s="95">
        <f>IF(H2866=1,INDEX(ap_CrAmt,360),0)</f>
        <v/>
      </c>
      <c r="M2866" s="95">
        <f>IF(H2866=1,INDEX(ap_TaxAmt,360),0)</f>
        <v/>
      </c>
      <c r="N2866" s="95" t="n">
        <v>0</v>
      </c>
      <c r="O2866" s="101">
        <f>IF(H2866=1,IF(E2866&lt;FYStart,0,IF(E2866&gt;FYEnd,13,YEAR(E2866)*12+MONTH(E2866)-FYYM+1)),"")</f>
        <v/>
      </c>
      <c r="P2866" s="101">
        <f>IF(H2866=1,IF(IFERROR(INDEX(coa_CF,MATCH(I2866,coa_Name,0)),"")="Cash",1,0),0)</f>
        <v/>
      </c>
      <c r="Q2866" s="101">
        <f>IF(H2866=1,IF(IFERROR(INDEX(coa_CF,MATCH(K2866,coa_Name,0)),"")="Cash",1,0),0)</f>
        <v/>
      </c>
      <c r="R2866" s="58">
        <f>IF((P2866-Q2866)=0,"",IFERROR(INDEX(coa_CF,MATCH(IF((P2866-Q2866)=1,K2866,I2866),coa_Name,0)),"Operating"))</f>
        <v/>
      </c>
      <c r="S2866" s="95">
        <f>IF((P2866-Q2866)=1,L2866,IF((P2866-Q2866)=-1,-J2866,0))</f>
        <v/>
      </c>
      <c r="T2866" s="95">
        <f>IF((P2866-Q2866)=1,N2866,IF((P2866-Q2866)=-1,-M2866,0))</f>
        <v/>
      </c>
      <c r="U2866" s="101">
        <f>IF(AND(H2866=1,LedAcct&lt;&gt;""),IF(AND(E2866&gt;=LedFrom,E2866&lt;=LedTo,OR(I2866=LedAcct,K2866=LedAcct,AND(LedAcct=acctTax,M2866+N2866&lt;&gt;0))),E2866*10000+B2866,""),"")</f>
        <v/>
      </c>
    </row>
    <row r="2867">
      <c r="B2867" s="101" t="n">
        <v>2861</v>
      </c>
      <c r="C2867" s="58" t="inlineStr">
        <is>
          <t>Bill</t>
        </is>
      </c>
      <c r="D2867" s="58">
        <f>IF(H2867=1,INDEX(ap_No,361)&amp;"","")</f>
        <v/>
      </c>
      <c r="E2867" s="94">
        <f>IF(H2867=1,INDEX(ap_Date,361),"")</f>
        <v/>
      </c>
      <c r="F2867" s="58">
        <f>IF(H2867=1,INDEX(ap_Desc,361)&amp;"","")</f>
        <v/>
      </c>
      <c r="G2867" s="58">
        <f>IF(H2867=1,INDEX(ap_Party,361)&amp;"","")</f>
        <v/>
      </c>
      <c r="H2867" s="101">
        <f>IFERROR(N(INDEX(ap_Posted,361)),0)</f>
        <v/>
      </c>
      <c r="I2867" s="58">
        <f>IF(H2867=1,INDEX(ap_DrAcct,361)&amp;"","")</f>
        <v/>
      </c>
      <c r="J2867" s="95">
        <f>IF(H2867=1,INDEX(ap_DrAmt,361),0)</f>
        <v/>
      </c>
      <c r="K2867" s="58">
        <f>IF(H2867=1,INDEX(ap_CrAcct,361)&amp;"","")</f>
        <v/>
      </c>
      <c r="L2867" s="95">
        <f>IF(H2867=1,INDEX(ap_CrAmt,361),0)</f>
        <v/>
      </c>
      <c r="M2867" s="95">
        <f>IF(H2867=1,INDEX(ap_TaxAmt,361),0)</f>
        <v/>
      </c>
      <c r="N2867" s="95" t="n">
        <v>0</v>
      </c>
      <c r="O2867" s="101">
        <f>IF(H2867=1,IF(E2867&lt;FYStart,0,IF(E2867&gt;FYEnd,13,YEAR(E2867)*12+MONTH(E2867)-FYYM+1)),"")</f>
        <v/>
      </c>
      <c r="P2867" s="101">
        <f>IF(H2867=1,IF(IFERROR(INDEX(coa_CF,MATCH(I2867,coa_Name,0)),"")="Cash",1,0),0)</f>
        <v/>
      </c>
      <c r="Q2867" s="101">
        <f>IF(H2867=1,IF(IFERROR(INDEX(coa_CF,MATCH(K2867,coa_Name,0)),"")="Cash",1,0),0)</f>
        <v/>
      </c>
      <c r="R2867" s="58">
        <f>IF((P2867-Q2867)=0,"",IFERROR(INDEX(coa_CF,MATCH(IF((P2867-Q2867)=1,K2867,I2867),coa_Name,0)),"Operating"))</f>
        <v/>
      </c>
      <c r="S2867" s="95">
        <f>IF((P2867-Q2867)=1,L2867,IF((P2867-Q2867)=-1,-J2867,0))</f>
        <v/>
      </c>
      <c r="T2867" s="95">
        <f>IF((P2867-Q2867)=1,N2867,IF((P2867-Q2867)=-1,-M2867,0))</f>
        <v/>
      </c>
      <c r="U2867" s="101">
        <f>IF(AND(H2867=1,LedAcct&lt;&gt;""),IF(AND(E2867&gt;=LedFrom,E2867&lt;=LedTo,OR(I2867=LedAcct,K2867=LedAcct,AND(LedAcct=acctTax,M2867+N2867&lt;&gt;0))),E2867*10000+B2867,""),"")</f>
        <v/>
      </c>
    </row>
    <row r="2868">
      <c r="B2868" s="101" t="n">
        <v>2862</v>
      </c>
      <c r="C2868" s="58" t="inlineStr">
        <is>
          <t>Bill</t>
        </is>
      </c>
      <c r="D2868" s="58">
        <f>IF(H2868=1,INDEX(ap_No,362)&amp;"","")</f>
        <v/>
      </c>
      <c r="E2868" s="94">
        <f>IF(H2868=1,INDEX(ap_Date,362),"")</f>
        <v/>
      </c>
      <c r="F2868" s="58">
        <f>IF(H2868=1,INDEX(ap_Desc,362)&amp;"","")</f>
        <v/>
      </c>
      <c r="G2868" s="58">
        <f>IF(H2868=1,INDEX(ap_Party,362)&amp;"","")</f>
        <v/>
      </c>
      <c r="H2868" s="101">
        <f>IFERROR(N(INDEX(ap_Posted,362)),0)</f>
        <v/>
      </c>
      <c r="I2868" s="58">
        <f>IF(H2868=1,INDEX(ap_DrAcct,362)&amp;"","")</f>
        <v/>
      </c>
      <c r="J2868" s="95">
        <f>IF(H2868=1,INDEX(ap_DrAmt,362),0)</f>
        <v/>
      </c>
      <c r="K2868" s="58">
        <f>IF(H2868=1,INDEX(ap_CrAcct,362)&amp;"","")</f>
        <v/>
      </c>
      <c r="L2868" s="95">
        <f>IF(H2868=1,INDEX(ap_CrAmt,362),0)</f>
        <v/>
      </c>
      <c r="M2868" s="95">
        <f>IF(H2868=1,INDEX(ap_TaxAmt,362),0)</f>
        <v/>
      </c>
      <c r="N2868" s="95" t="n">
        <v>0</v>
      </c>
      <c r="O2868" s="101">
        <f>IF(H2868=1,IF(E2868&lt;FYStart,0,IF(E2868&gt;FYEnd,13,YEAR(E2868)*12+MONTH(E2868)-FYYM+1)),"")</f>
        <v/>
      </c>
      <c r="P2868" s="101">
        <f>IF(H2868=1,IF(IFERROR(INDEX(coa_CF,MATCH(I2868,coa_Name,0)),"")="Cash",1,0),0)</f>
        <v/>
      </c>
      <c r="Q2868" s="101">
        <f>IF(H2868=1,IF(IFERROR(INDEX(coa_CF,MATCH(K2868,coa_Name,0)),"")="Cash",1,0),0)</f>
        <v/>
      </c>
      <c r="R2868" s="58">
        <f>IF((P2868-Q2868)=0,"",IFERROR(INDEX(coa_CF,MATCH(IF((P2868-Q2868)=1,K2868,I2868),coa_Name,0)),"Operating"))</f>
        <v/>
      </c>
      <c r="S2868" s="95">
        <f>IF((P2868-Q2868)=1,L2868,IF((P2868-Q2868)=-1,-J2868,0))</f>
        <v/>
      </c>
      <c r="T2868" s="95">
        <f>IF((P2868-Q2868)=1,N2868,IF((P2868-Q2868)=-1,-M2868,0))</f>
        <v/>
      </c>
      <c r="U2868" s="101">
        <f>IF(AND(H2868=1,LedAcct&lt;&gt;""),IF(AND(E2868&gt;=LedFrom,E2868&lt;=LedTo,OR(I2868=LedAcct,K2868=LedAcct,AND(LedAcct=acctTax,M2868+N2868&lt;&gt;0))),E2868*10000+B2868,""),"")</f>
        <v/>
      </c>
    </row>
    <row r="2869">
      <c r="B2869" s="101" t="n">
        <v>2863</v>
      </c>
      <c r="C2869" s="58" t="inlineStr">
        <is>
          <t>Bill</t>
        </is>
      </c>
      <c r="D2869" s="58">
        <f>IF(H2869=1,INDEX(ap_No,363)&amp;"","")</f>
        <v/>
      </c>
      <c r="E2869" s="94">
        <f>IF(H2869=1,INDEX(ap_Date,363),"")</f>
        <v/>
      </c>
      <c r="F2869" s="58">
        <f>IF(H2869=1,INDEX(ap_Desc,363)&amp;"","")</f>
        <v/>
      </c>
      <c r="G2869" s="58">
        <f>IF(H2869=1,INDEX(ap_Party,363)&amp;"","")</f>
        <v/>
      </c>
      <c r="H2869" s="101">
        <f>IFERROR(N(INDEX(ap_Posted,363)),0)</f>
        <v/>
      </c>
      <c r="I2869" s="58">
        <f>IF(H2869=1,INDEX(ap_DrAcct,363)&amp;"","")</f>
        <v/>
      </c>
      <c r="J2869" s="95">
        <f>IF(H2869=1,INDEX(ap_DrAmt,363),0)</f>
        <v/>
      </c>
      <c r="K2869" s="58">
        <f>IF(H2869=1,INDEX(ap_CrAcct,363)&amp;"","")</f>
        <v/>
      </c>
      <c r="L2869" s="95">
        <f>IF(H2869=1,INDEX(ap_CrAmt,363),0)</f>
        <v/>
      </c>
      <c r="M2869" s="95">
        <f>IF(H2869=1,INDEX(ap_TaxAmt,363),0)</f>
        <v/>
      </c>
      <c r="N2869" s="95" t="n">
        <v>0</v>
      </c>
      <c r="O2869" s="101">
        <f>IF(H2869=1,IF(E2869&lt;FYStart,0,IF(E2869&gt;FYEnd,13,YEAR(E2869)*12+MONTH(E2869)-FYYM+1)),"")</f>
        <v/>
      </c>
      <c r="P2869" s="101">
        <f>IF(H2869=1,IF(IFERROR(INDEX(coa_CF,MATCH(I2869,coa_Name,0)),"")="Cash",1,0),0)</f>
        <v/>
      </c>
      <c r="Q2869" s="101">
        <f>IF(H2869=1,IF(IFERROR(INDEX(coa_CF,MATCH(K2869,coa_Name,0)),"")="Cash",1,0),0)</f>
        <v/>
      </c>
      <c r="R2869" s="58">
        <f>IF((P2869-Q2869)=0,"",IFERROR(INDEX(coa_CF,MATCH(IF((P2869-Q2869)=1,K2869,I2869),coa_Name,0)),"Operating"))</f>
        <v/>
      </c>
      <c r="S2869" s="95">
        <f>IF((P2869-Q2869)=1,L2869,IF((P2869-Q2869)=-1,-J2869,0))</f>
        <v/>
      </c>
      <c r="T2869" s="95">
        <f>IF((P2869-Q2869)=1,N2869,IF((P2869-Q2869)=-1,-M2869,0))</f>
        <v/>
      </c>
      <c r="U2869" s="101">
        <f>IF(AND(H2869=1,LedAcct&lt;&gt;""),IF(AND(E2869&gt;=LedFrom,E2869&lt;=LedTo,OR(I2869=LedAcct,K2869=LedAcct,AND(LedAcct=acctTax,M2869+N2869&lt;&gt;0))),E2869*10000+B2869,""),"")</f>
        <v/>
      </c>
    </row>
    <row r="2870">
      <c r="B2870" s="101" t="n">
        <v>2864</v>
      </c>
      <c r="C2870" s="58" t="inlineStr">
        <is>
          <t>Bill</t>
        </is>
      </c>
      <c r="D2870" s="58">
        <f>IF(H2870=1,INDEX(ap_No,364)&amp;"","")</f>
        <v/>
      </c>
      <c r="E2870" s="94">
        <f>IF(H2870=1,INDEX(ap_Date,364),"")</f>
        <v/>
      </c>
      <c r="F2870" s="58">
        <f>IF(H2870=1,INDEX(ap_Desc,364)&amp;"","")</f>
        <v/>
      </c>
      <c r="G2870" s="58">
        <f>IF(H2870=1,INDEX(ap_Party,364)&amp;"","")</f>
        <v/>
      </c>
      <c r="H2870" s="101">
        <f>IFERROR(N(INDEX(ap_Posted,364)),0)</f>
        <v/>
      </c>
      <c r="I2870" s="58">
        <f>IF(H2870=1,INDEX(ap_DrAcct,364)&amp;"","")</f>
        <v/>
      </c>
      <c r="J2870" s="95">
        <f>IF(H2870=1,INDEX(ap_DrAmt,364),0)</f>
        <v/>
      </c>
      <c r="K2870" s="58">
        <f>IF(H2870=1,INDEX(ap_CrAcct,364)&amp;"","")</f>
        <v/>
      </c>
      <c r="L2870" s="95">
        <f>IF(H2870=1,INDEX(ap_CrAmt,364),0)</f>
        <v/>
      </c>
      <c r="M2870" s="95">
        <f>IF(H2870=1,INDEX(ap_TaxAmt,364),0)</f>
        <v/>
      </c>
      <c r="N2870" s="95" t="n">
        <v>0</v>
      </c>
      <c r="O2870" s="101">
        <f>IF(H2870=1,IF(E2870&lt;FYStart,0,IF(E2870&gt;FYEnd,13,YEAR(E2870)*12+MONTH(E2870)-FYYM+1)),"")</f>
        <v/>
      </c>
      <c r="P2870" s="101">
        <f>IF(H2870=1,IF(IFERROR(INDEX(coa_CF,MATCH(I2870,coa_Name,0)),"")="Cash",1,0),0)</f>
        <v/>
      </c>
      <c r="Q2870" s="101">
        <f>IF(H2870=1,IF(IFERROR(INDEX(coa_CF,MATCH(K2870,coa_Name,0)),"")="Cash",1,0),0)</f>
        <v/>
      </c>
      <c r="R2870" s="58">
        <f>IF((P2870-Q2870)=0,"",IFERROR(INDEX(coa_CF,MATCH(IF((P2870-Q2870)=1,K2870,I2870),coa_Name,0)),"Operating"))</f>
        <v/>
      </c>
      <c r="S2870" s="95">
        <f>IF((P2870-Q2870)=1,L2870,IF((P2870-Q2870)=-1,-J2870,0))</f>
        <v/>
      </c>
      <c r="T2870" s="95">
        <f>IF((P2870-Q2870)=1,N2870,IF((P2870-Q2870)=-1,-M2870,0))</f>
        <v/>
      </c>
      <c r="U2870" s="101">
        <f>IF(AND(H2870=1,LedAcct&lt;&gt;""),IF(AND(E2870&gt;=LedFrom,E2870&lt;=LedTo,OR(I2870=LedAcct,K2870=LedAcct,AND(LedAcct=acctTax,M2870+N2870&lt;&gt;0))),E2870*10000+B2870,""),"")</f>
        <v/>
      </c>
    </row>
    <row r="2871">
      <c r="B2871" s="101" t="n">
        <v>2865</v>
      </c>
      <c r="C2871" s="58" t="inlineStr">
        <is>
          <t>Bill</t>
        </is>
      </c>
      <c r="D2871" s="58">
        <f>IF(H2871=1,INDEX(ap_No,365)&amp;"","")</f>
        <v/>
      </c>
      <c r="E2871" s="94">
        <f>IF(H2871=1,INDEX(ap_Date,365),"")</f>
        <v/>
      </c>
      <c r="F2871" s="58">
        <f>IF(H2871=1,INDEX(ap_Desc,365)&amp;"","")</f>
        <v/>
      </c>
      <c r="G2871" s="58">
        <f>IF(H2871=1,INDEX(ap_Party,365)&amp;"","")</f>
        <v/>
      </c>
      <c r="H2871" s="101">
        <f>IFERROR(N(INDEX(ap_Posted,365)),0)</f>
        <v/>
      </c>
      <c r="I2871" s="58">
        <f>IF(H2871=1,INDEX(ap_DrAcct,365)&amp;"","")</f>
        <v/>
      </c>
      <c r="J2871" s="95">
        <f>IF(H2871=1,INDEX(ap_DrAmt,365),0)</f>
        <v/>
      </c>
      <c r="K2871" s="58">
        <f>IF(H2871=1,INDEX(ap_CrAcct,365)&amp;"","")</f>
        <v/>
      </c>
      <c r="L2871" s="95">
        <f>IF(H2871=1,INDEX(ap_CrAmt,365),0)</f>
        <v/>
      </c>
      <c r="M2871" s="95">
        <f>IF(H2871=1,INDEX(ap_TaxAmt,365),0)</f>
        <v/>
      </c>
      <c r="N2871" s="95" t="n">
        <v>0</v>
      </c>
      <c r="O2871" s="101">
        <f>IF(H2871=1,IF(E2871&lt;FYStart,0,IF(E2871&gt;FYEnd,13,YEAR(E2871)*12+MONTH(E2871)-FYYM+1)),"")</f>
        <v/>
      </c>
      <c r="P2871" s="101">
        <f>IF(H2871=1,IF(IFERROR(INDEX(coa_CF,MATCH(I2871,coa_Name,0)),"")="Cash",1,0),0)</f>
        <v/>
      </c>
      <c r="Q2871" s="101">
        <f>IF(H2871=1,IF(IFERROR(INDEX(coa_CF,MATCH(K2871,coa_Name,0)),"")="Cash",1,0),0)</f>
        <v/>
      </c>
      <c r="R2871" s="58">
        <f>IF((P2871-Q2871)=0,"",IFERROR(INDEX(coa_CF,MATCH(IF((P2871-Q2871)=1,K2871,I2871),coa_Name,0)),"Operating"))</f>
        <v/>
      </c>
      <c r="S2871" s="95">
        <f>IF((P2871-Q2871)=1,L2871,IF((P2871-Q2871)=-1,-J2871,0))</f>
        <v/>
      </c>
      <c r="T2871" s="95">
        <f>IF((P2871-Q2871)=1,N2871,IF((P2871-Q2871)=-1,-M2871,0))</f>
        <v/>
      </c>
      <c r="U2871" s="101">
        <f>IF(AND(H2871=1,LedAcct&lt;&gt;""),IF(AND(E2871&gt;=LedFrom,E2871&lt;=LedTo,OR(I2871=LedAcct,K2871=LedAcct,AND(LedAcct=acctTax,M2871+N2871&lt;&gt;0))),E2871*10000+B2871,""),"")</f>
        <v/>
      </c>
    </row>
    <row r="2872">
      <c r="B2872" s="101" t="n">
        <v>2866</v>
      </c>
      <c r="C2872" s="58" t="inlineStr">
        <is>
          <t>Bill</t>
        </is>
      </c>
      <c r="D2872" s="58">
        <f>IF(H2872=1,INDEX(ap_No,366)&amp;"","")</f>
        <v/>
      </c>
      <c r="E2872" s="94">
        <f>IF(H2872=1,INDEX(ap_Date,366),"")</f>
        <v/>
      </c>
      <c r="F2872" s="58">
        <f>IF(H2872=1,INDEX(ap_Desc,366)&amp;"","")</f>
        <v/>
      </c>
      <c r="G2872" s="58">
        <f>IF(H2872=1,INDEX(ap_Party,366)&amp;"","")</f>
        <v/>
      </c>
      <c r="H2872" s="101">
        <f>IFERROR(N(INDEX(ap_Posted,366)),0)</f>
        <v/>
      </c>
      <c r="I2872" s="58">
        <f>IF(H2872=1,INDEX(ap_DrAcct,366)&amp;"","")</f>
        <v/>
      </c>
      <c r="J2872" s="95">
        <f>IF(H2872=1,INDEX(ap_DrAmt,366),0)</f>
        <v/>
      </c>
      <c r="K2872" s="58">
        <f>IF(H2872=1,INDEX(ap_CrAcct,366)&amp;"","")</f>
        <v/>
      </c>
      <c r="L2872" s="95">
        <f>IF(H2872=1,INDEX(ap_CrAmt,366),0)</f>
        <v/>
      </c>
      <c r="M2872" s="95">
        <f>IF(H2872=1,INDEX(ap_TaxAmt,366),0)</f>
        <v/>
      </c>
      <c r="N2872" s="95" t="n">
        <v>0</v>
      </c>
      <c r="O2872" s="101">
        <f>IF(H2872=1,IF(E2872&lt;FYStart,0,IF(E2872&gt;FYEnd,13,YEAR(E2872)*12+MONTH(E2872)-FYYM+1)),"")</f>
        <v/>
      </c>
      <c r="P2872" s="101">
        <f>IF(H2872=1,IF(IFERROR(INDEX(coa_CF,MATCH(I2872,coa_Name,0)),"")="Cash",1,0),0)</f>
        <v/>
      </c>
      <c r="Q2872" s="101">
        <f>IF(H2872=1,IF(IFERROR(INDEX(coa_CF,MATCH(K2872,coa_Name,0)),"")="Cash",1,0),0)</f>
        <v/>
      </c>
      <c r="R2872" s="58">
        <f>IF((P2872-Q2872)=0,"",IFERROR(INDEX(coa_CF,MATCH(IF((P2872-Q2872)=1,K2872,I2872),coa_Name,0)),"Operating"))</f>
        <v/>
      </c>
      <c r="S2872" s="95">
        <f>IF((P2872-Q2872)=1,L2872,IF((P2872-Q2872)=-1,-J2872,0))</f>
        <v/>
      </c>
      <c r="T2872" s="95">
        <f>IF((P2872-Q2872)=1,N2872,IF((P2872-Q2872)=-1,-M2872,0))</f>
        <v/>
      </c>
      <c r="U2872" s="101">
        <f>IF(AND(H2872=1,LedAcct&lt;&gt;""),IF(AND(E2872&gt;=LedFrom,E2872&lt;=LedTo,OR(I2872=LedAcct,K2872=LedAcct,AND(LedAcct=acctTax,M2872+N2872&lt;&gt;0))),E2872*10000+B2872,""),"")</f>
        <v/>
      </c>
    </row>
    <row r="2873">
      <c r="B2873" s="101" t="n">
        <v>2867</v>
      </c>
      <c r="C2873" s="58" t="inlineStr">
        <is>
          <t>Bill</t>
        </is>
      </c>
      <c r="D2873" s="58">
        <f>IF(H2873=1,INDEX(ap_No,367)&amp;"","")</f>
        <v/>
      </c>
      <c r="E2873" s="94">
        <f>IF(H2873=1,INDEX(ap_Date,367),"")</f>
        <v/>
      </c>
      <c r="F2873" s="58">
        <f>IF(H2873=1,INDEX(ap_Desc,367)&amp;"","")</f>
        <v/>
      </c>
      <c r="G2873" s="58">
        <f>IF(H2873=1,INDEX(ap_Party,367)&amp;"","")</f>
        <v/>
      </c>
      <c r="H2873" s="101">
        <f>IFERROR(N(INDEX(ap_Posted,367)),0)</f>
        <v/>
      </c>
      <c r="I2873" s="58">
        <f>IF(H2873=1,INDEX(ap_DrAcct,367)&amp;"","")</f>
        <v/>
      </c>
      <c r="J2873" s="95">
        <f>IF(H2873=1,INDEX(ap_DrAmt,367),0)</f>
        <v/>
      </c>
      <c r="K2873" s="58">
        <f>IF(H2873=1,INDEX(ap_CrAcct,367)&amp;"","")</f>
        <v/>
      </c>
      <c r="L2873" s="95">
        <f>IF(H2873=1,INDEX(ap_CrAmt,367),0)</f>
        <v/>
      </c>
      <c r="M2873" s="95">
        <f>IF(H2873=1,INDEX(ap_TaxAmt,367),0)</f>
        <v/>
      </c>
      <c r="N2873" s="95" t="n">
        <v>0</v>
      </c>
      <c r="O2873" s="101">
        <f>IF(H2873=1,IF(E2873&lt;FYStart,0,IF(E2873&gt;FYEnd,13,YEAR(E2873)*12+MONTH(E2873)-FYYM+1)),"")</f>
        <v/>
      </c>
      <c r="P2873" s="101">
        <f>IF(H2873=1,IF(IFERROR(INDEX(coa_CF,MATCH(I2873,coa_Name,0)),"")="Cash",1,0),0)</f>
        <v/>
      </c>
      <c r="Q2873" s="101">
        <f>IF(H2873=1,IF(IFERROR(INDEX(coa_CF,MATCH(K2873,coa_Name,0)),"")="Cash",1,0),0)</f>
        <v/>
      </c>
      <c r="R2873" s="58">
        <f>IF((P2873-Q2873)=0,"",IFERROR(INDEX(coa_CF,MATCH(IF((P2873-Q2873)=1,K2873,I2873),coa_Name,0)),"Operating"))</f>
        <v/>
      </c>
      <c r="S2873" s="95">
        <f>IF((P2873-Q2873)=1,L2873,IF((P2873-Q2873)=-1,-J2873,0))</f>
        <v/>
      </c>
      <c r="T2873" s="95">
        <f>IF((P2873-Q2873)=1,N2873,IF((P2873-Q2873)=-1,-M2873,0))</f>
        <v/>
      </c>
      <c r="U2873" s="101">
        <f>IF(AND(H2873=1,LedAcct&lt;&gt;""),IF(AND(E2873&gt;=LedFrom,E2873&lt;=LedTo,OR(I2873=LedAcct,K2873=LedAcct,AND(LedAcct=acctTax,M2873+N2873&lt;&gt;0))),E2873*10000+B2873,""),"")</f>
        <v/>
      </c>
    </row>
    <row r="2874">
      <c r="B2874" s="101" t="n">
        <v>2868</v>
      </c>
      <c r="C2874" s="58" t="inlineStr">
        <is>
          <t>Bill</t>
        </is>
      </c>
      <c r="D2874" s="58">
        <f>IF(H2874=1,INDEX(ap_No,368)&amp;"","")</f>
        <v/>
      </c>
      <c r="E2874" s="94">
        <f>IF(H2874=1,INDEX(ap_Date,368),"")</f>
        <v/>
      </c>
      <c r="F2874" s="58">
        <f>IF(H2874=1,INDEX(ap_Desc,368)&amp;"","")</f>
        <v/>
      </c>
      <c r="G2874" s="58">
        <f>IF(H2874=1,INDEX(ap_Party,368)&amp;"","")</f>
        <v/>
      </c>
      <c r="H2874" s="101">
        <f>IFERROR(N(INDEX(ap_Posted,368)),0)</f>
        <v/>
      </c>
      <c r="I2874" s="58">
        <f>IF(H2874=1,INDEX(ap_DrAcct,368)&amp;"","")</f>
        <v/>
      </c>
      <c r="J2874" s="95">
        <f>IF(H2874=1,INDEX(ap_DrAmt,368),0)</f>
        <v/>
      </c>
      <c r="K2874" s="58">
        <f>IF(H2874=1,INDEX(ap_CrAcct,368)&amp;"","")</f>
        <v/>
      </c>
      <c r="L2874" s="95">
        <f>IF(H2874=1,INDEX(ap_CrAmt,368),0)</f>
        <v/>
      </c>
      <c r="M2874" s="95">
        <f>IF(H2874=1,INDEX(ap_TaxAmt,368),0)</f>
        <v/>
      </c>
      <c r="N2874" s="95" t="n">
        <v>0</v>
      </c>
      <c r="O2874" s="101">
        <f>IF(H2874=1,IF(E2874&lt;FYStart,0,IF(E2874&gt;FYEnd,13,YEAR(E2874)*12+MONTH(E2874)-FYYM+1)),"")</f>
        <v/>
      </c>
      <c r="P2874" s="101">
        <f>IF(H2874=1,IF(IFERROR(INDEX(coa_CF,MATCH(I2874,coa_Name,0)),"")="Cash",1,0),0)</f>
        <v/>
      </c>
      <c r="Q2874" s="101">
        <f>IF(H2874=1,IF(IFERROR(INDEX(coa_CF,MATCH(K2874,coa_Name,0)),"")="Cash",1,0),0)</f>
        <v/>
      </c>
      <c r="R2874" s="58">
        <f>IF((P2874-Q2874)=0,"",IFERROR(INDEX(coa_CF,MATCH(IF((P2874-Q2874)=1,K2874,I2874),coa_Name,0)),"Operating"))</f>
        <v/>
      </c>
      <c r="S2874" s="95">
        <f>IF((P2874-Q2874)=1,L2874,IF((P2874-Q2874)=-1,-J2874,0))</f>
        <v/>
      </c>
      <c r="T2874" s="95">
        <f>IF((P2874-Q2874)=1,N2874,IF((P2874-Q2874)=-1,-M2874,0))</f>
        <v/>
      </c>
      <c r="U2874" s="101">
        <f>IF(AND(H2874=1,LedAcct&lt;&gt;""),IF(AND(E2874&gt;=LedFrom,E2874&lt;=LedTo,OR(I2874=LedAcct,K2874=LedAcct,AND(LedAcct=acctTax,M2874+N2874&lt;&gt;0))),E2874*10000+B2874,""),"")</f>
        <v/>
      </c>
    </row>
    <row r="2875">
      <c r="B2875" s="101" t="n">
        <v>2869</v>
      </c>
      <c r="C2875" s="58" t="inlineStr">
        <is>
          <t>Bill</t>
        </is>
      </c>
      <c r="D2875" s="58">
        <f>IF(H2875=1,INDEX(ap_No,369)&amp;"","")</f>
        <v/>
      </c>
      <c r="E2875" s="94">
        <f>IF(H2875=1,INDEX(ap_Date,369),"")</f>
        <v/>
      </c>
      <c r="F2875" s="58">
        <f>IF(H2875=1,INDEX(ap_Desc,369)&amp;"","")</f>
        <v/>
      </c>
      <c r="G2875" s="58">
        <f>IF(H2875=1,INDEX(ap_Party,369)&amp;"","")</f>
        <v/>
      </c>
      <c r="H2875" s="101">
        <f>IFERROR(N(INDEX(ap_Posted,369)),0)</f>
        <v/>
      </c>
      <c r="I2875" s="58">
        <f>IF(H2875=1,INDEX(ap_DrAcct,369)&amp;"","")</f>
        <v/>
      </c>
      <c r="J2875" s="95">
        <f>IF(H2875=1,INDEX(ap_DrAmt,369),0)</f>
        <v/>
      </c>
      <c r="K2875" s="58">
        <f>IF(H2875=1,INDEX(ap_CrAcct,369)&amp;"","")</f>
        <v/>
      </c>
      <c r="L2875" s="95">
        <f>IF(H2875=1,INDEX(ap_CrAmt,369),0)</f>
        <v/>
      </c>
      <c r="M2875" s="95">
        <f>IF(H2875=1,INDEX(ap_TaxAmt,369),0)</f>
        <v/>
      </c>
      <c r="N2875" s="95" t="n">
        <v>0</v>
      </c>
      <c r="O2875" s="101">
        <f>IF(H2875=1,IF(E2875&lt;FYStart,0,IF(E2875&gt;FYEnd,13,YEAR(E2875)*12+MONTH(E2875)-FYYM+1)),"")</f>
        <v/>
      </c>
      <c r="P2875" s="101">
        <f>IF(H2875=1,IF(IFERROR(INDEX(coa_CF,MATCH(I2875,coa_Name,0)),"")="Cash",1,0),0)</f>
        <v/>
      </c>
      <c r="Q2875" s="101">
        <f>IF(H2875=1,IF(IFERROR(INDEX(coa_CF,MATCH(K2875,coa_Name,0)),"")="Cash",1,0),0)</f>
        <v/>
      </c>
      <c r="R2875" s="58">
        <f>IF((P2875-Q2875)=0,"",IFERROR(INDEX(coa_CF,MATCH(IF((P2875-Q2875)=1,K2875,I2875),coa_Name,0)),"Operating"))</f>
        <v/>
      </c>
      <c r="S2875" s="95">
        <f>IF((P2875-Q2875)=1,L2875,IF((P2875-Q2875)=-1,-J2875,0))</f>
        <v/>
      </c>
      <c r="T2875" s="95">
        <f>IF((P2875-Q2875)=1,N2875,IF((P2875-Q2875)=-1,-M2875,0))</f>
        <v/>
      </c>
      <c r="U2875" s="101">
        <f>IF(AND(H2875=1,LedAcct&lt;&gt;""),IF(AND(E2875&gt;=LedFrom,E2875&lt;=LedTo,OR(I2875=LedAcct,K2875=LedAcct,AND(LedAcct=acctTax,M2875+N2875&lt;&gt;0))),E2875*10000+B2875,""),"")</f>
        <v/>
      </c>
    </row>
    <row r="2876">
      <c r="B2876" s="101" t="n">
        <v>2870</v>
      </c>
      <c r="C2876" s="58" t="inlineStr">
        <is>
          <t>Bill</t>
        </is>
      </c>
      <c r="D2876" s="58">
        <f>IF(H2876=1,INDEX(ap_No,370)&amp;"","")</f>
        <v/>
      </c>
      <c r="E2876" s="94">
        <f>IF(H2876=1,INDEX(ap_Date,370),"")</f>
        <v/>
      </c>
      <c r="F2876" s="58">
        <f>IF(H2876=1,INDEX(ap_Desc,370)&amp;"","")</f>
        <v/>
      </c>
      <c r="G2876" s="58">
        <f>IF(H2876=1,INDEX(ap_Party,370)&amp;"","")</f>
        <v/>
      </c>
      <c r="H2876" s="101">
        <f>IFERROR(N(INDEX(ap_Posted,370)),0)</f>
        <v/>
      </c>
      <c r="I2876" s="58">
        <f>IF(H2876=1,INDEX(ap_DrAcct,370)&amp;"","")</f>
        <v/>
      </c>
      <c r="J2876" s="95">
        <f>IF(H2876=1,INDEX(ap_DrAmt,370),0)</f>
        <v/>
      </c>
      <c r="K2876" s="58">
        <f>IF(H2876=1,INDEX(ap_CrAcct,370)&amp;"","")</f>
        <v/>
      </c>
      <c r="L2876" s="95">
        <f>IF(H2876=1,INDEX(ap_CrAmt,370),0)</f>
        <v/>
      </c>
      <c r="M2876" s="95">
        <f>IF(H2876=1,INDEX(ap_TaxAmt,370),0)</f>
        <v/>
      </c>
      <c r="N2876" s="95" t="n">
        <v>0</v>
      </c>
      <c r="O2876" s="101">
        <f>IF(H2876=1,IF(E2876&lt;FYStart,0,IF(E2876&gt;FYEnd,13,YEAR(E2876)*12+MONTH(E2876)-FYYM+1)),"")</f>
        <v/>
      </c>
      <c r="P2876" s="101">
        <f>IF(H2876=1,IF(IFERROR(INDEX(coa_CF,MATCH(I2876,coa_Name,0)),"")="Cash",1,0),0)</f>
        <v/>
      </c>
      <c r="Q2876" s="101">
        <f>IF(H2876=1,IF(IFERROR(INDEX(coa_CF,MATCH(K2876,coa_Name,0)),"")="Cash",1,0),0)</f>
        <v/>
      </c>
      <c r="R2876" s="58">
        <f>IF((P2876-Q2876)=0,"",IFERROR(INDEX(coa_CF,MATCH(IF((P2876-Q2876)=1,K2876,I2876),coa_Name,0)),"Operating"))</f>
        <v/>
      </c>
      <c r="S2876" s="95">
        <f>IF((P2876-Q2876)=1,L2876,IF((P2876-Q2876)=-1,-J2876,0))</f>
        <v/>
      </c>
      <c r="T2876" s="95">
        <f>IF((P2876-Q2876)=1,N2876,IF((P2876-Q2876)=-1,-M2876,0))</f>
        <v/>
      </c>
      <c r="U2876" s="101">
        <f>IF(AND(H2876=1,LedAcct&lt;&gt;""),IF(AND(E2876&gt;=LedFrom,E2876&lt;=LedTo,OR(I2876=LedAcct,K2876=LedAcct,AND(LedAcct=acctTax,M2876+N2876&lt;&gt;0))),E2876*10000+B2876,""),"")</f>
        <v/>
      </c>
    </row>
    <row r="2877">
      <c r="B2877" s="101" t="n">
        <v>2871</v>
      </c>
      <c r="C2877" s="58" t="inlineStr">
        <is>
          <t>Bill</t>
        </is>
      </c>
      <c r="D2877" s="58">
        <f>IF(H2877=1,INDEX(ap_No,371)&amp;"","")</f>
        <v/>
      </c>
      <c r="E2877" s="94">
        <f>IF(H2877=1,INDEX(ap_Date,371),"")</f>
        <v/>
      </c>
      <c r="F2877" s="58">
        <f>IF(H2877=1,INDEX(ap_Desc,371)&amp;"","")</f>
        <v/>
      </c>
      <c r="G2877" s="58">
        <f>IF(H2877=1,INDEX(ap_Party,371)&amp;"","")</f>
        <v/>
      </c>
      <c r="H2877" s="101">
        <f>IFERROR(N(INDEX(ap_Posted,371)),0)</f>
        <v/>
      </c>
      <c r="I2877" s="58">
        <f>IF(H2877=1,INDEX(ap_DrAcct,371)&amp;"","")</f>
        <v/>
      </c>
      <c r="J2877" s="95">
        <f>IF(H2877=1,INDEX(ap_DrAmt,371),0)</f>
        <v/>
      </c>
      <c r="K2877" s="58">
        <f>IF(H2877=1,INDEX(ap_CrAcct,371)&amp;"","")</f>
        <v/>
      </c>
      <c r="L2877" s="95">
        <f>IF(H2877=1,INDEX(ap_CrAmt,371),0)</f>
        <v/>
      </c>
      <c r="M2877" s="95">
        <f>IF(H2877=1,INDEX(ap_TaxAmt,371),0)</f>
        <v/>
      </c>
      <c r="N2877" s="95" t="n">
        <v>0</v>
      </c>
      <c r="O2877" s="101">
        <f>IF(H2877=1,IF(E2877&lt;FYStart,0,IF(E2877&gt;FYEnd,13,YEAR(E2877)*12+MONTH(E2877)-FYYM+1)),"")</f>
        <v/>
      </c>
      <c r="P2877" s="101">
        <f>IF(H2877=1,IF(IFERROR(INDEX(coa_CF,MATCH(I2877,coa_Name,0)),"")="Cash",1,0),0)</f>
        <v/>
      </c>
      <c r="Q2877" s="101">
        <f>IF(H2877=1,IF(IFERROR(INDEX(coa_CF,MATCH(K2877,coa_Name,0)),"")="Cash",1,0),0)</f>
        <v/>
      </c>
      <c r="R2877" s="58">
        <f>IF((P2877-Q2877)=0,"",IFERROR(INDEX(coa_CF,MATCH(IF((P2877-Q2877)=1,K2877,I2877),coa_Name,0)),"Operating"))</f>
        <v/>
      </c>
      <c r="S2877" s="95">
        <f>IF((P2877-Q2877)=1,L2877,IF((P2877-Q2877)=-1,-J2877,0))</f>
        <v/>
      </c>
      <c r="T2877" s="95">
        <f>IF((P2877-Q2877)=1,N2877,IF((P2877-Q2877)=-1,-M2877,0))</f>
        <v/>
      </c>
      <c r="U2877" s="101">
        <f>IF(AND(H2877=1,LedAcct&lt;&gt;""),IF(AND(E2877&gt;=LedFrom,E2877&lt;=LedTo,OR(I2877=LedAcct,K2877=LedAcct,AND(LedAcct=acctTax,M2877+N2877&lt;&gt;0))),E2877*10000+B2877,""),"")</f>
        <v/>
      </c>
    </row>
    <row r="2878">
      <c r="B2878" s="101" t="n">
        <v>2872</v>
      </c>
      <c r="C2878" s="58" t="inlineStr">
        <is>
          <t>Bill</t>
        </is>
      </c>
      <c r="D2878" s="58">
        <f>IF(H2878=1,INDEX(ap_No,372)&amp;"","")</f>
        <v/>
      </c>
      <c r="E2878" s="94">
        <f>IF(H2878=1,INDEX(ap_Date,372),"")</f>
        <v/>
      </c>
      <c r="F2878" s="58">
        <f>IF(H2878=1,INDEX(ap_Desc,372)&amp;"","")</f>
        <v/>
      </c>
      <c r="G2878" s="58">
        <f>IF(H2878=1,INDEX(ap_Party,372)&amp;"","")</f>
        <v/>
      </c>
      <c r="H2878" s="101">
        <f>IFERROR(N(INDEX(ap_Posted,372)),0)</f>
        <v/>
      </c>
      <c r="I2878" s="58">
        <f>IF(H2878=1,INDEX(ap_DrAcct,372)&amp;"","")</f>
        <v/>
      </c>
      <c r="J2878" s="95">
        <f>IF(H2878=1,INDEX(ap_DrAmt,372),0)</f>
        <v/>
      </c>
      <c r="K2878" s="58">
        <f>IF(H2878=1,INDEX(ap_CrAcct,372)&amp;"","")</f>
        <v/>
      </c>
      <c r="L2878" s="95">
        <f>IF(H2878=1,INDEX(ap_CrAmt,372),0)</f>
        <v/>
      </c>
      <c r="M2878" s="95">
        <f>IF(H2878=1,INDEX(ap_TaxAmt,372),0)</f>
        <v/>
      </c>
      <c r="N2878" s="95" t="n">
        <v>0</v>
      </c>
      <c r="O2878" s="101">
        <f>IF(H2878=1,IF(E2878&lt;FYStart,0,IF(E2878&gt;FYEnd,13,YEAR(E2878)*12+MONTH(E2878)-FYYM+1)),"")</f>
        <v/>
      </c>
      <c r="P2878" s="101">
        <f>IF(H2878=1,IF(IFERROR(INDEX(coa_CF,MATCH(I2878,coa_Name,0)),"")="Cash",1,0),0)</f>
        <v/>
      </c>
      <c r="Q2878" s="101">
        <f>IF(H2878=1,IF(IFERROR(INDEX(coa_CF,MATCH(K2878,coa_Name,0)),"")="Cash",1,0),0)</f>
        <v/>
      </c>
      <c r="R2878" s="58">
        <f>IF((P2878-Q2878)=0,"",IFERROR(INDEX(coa_CF,MATCH(IF((P2878-Q2878)=1,K2878,I2878),coa_Name,0)),"Operating"))</f>
        <v/>
      </c>
      <c r="S2878" s="95">
        <f>IF((P2878-Q2878)=1,L2878,IF((P2878-Q2878)=-1,-J2878,0))</f>
        <v/>
      </c>
      <c r="T2878" s="95">
        <f>IF((P2878-Q2878)=1,N2878,IF((P2878-Q2878)=-1,-M2878,0))</f>
        <v/>
      </c>
      <c r="U2878" s="101">
        <f>IF(AND(H2878=1,LedAcct&lt;&gt;""),IF(AND(E2878&gt;=LedFrom,E2878&lt;=LedTo,OR(I2878=LedAcct,K2878=LedAcct,AND(LedAcct=acctTax,M2878+N2878&lt;&gt;0))),E2878*10000+B2878,""),"")</f>
        <v/>
      </c>
    </row>
    <row r="2879">
      <c r="B2879" s="101" t="n">
        <v>2873</v>
      </c>
      <c r="C2879" s="58" t="inlineStr">
        <is>
          <t>Bill</t>
        </is>
      </c>
      <c r="D2879" s="58">
        <f>IF(H2879=1,INDEX(ap_No,373)&amp;"","")</f>
        <v/>
      </c>
      <c r="E2879" s="94">
        <f>IF(H2879=1,INDEX(ap_Date,373),"")</f>
        <v/>
      </c>
      <c r="F2879" s="58">
        <f>IF(H2879=1,INDEX(ap_Desc,373)&amp;"","")</f>
        <v/>
      </c>
      <c r="G2879" s="58">
        <f>IF(H2879=1,INDEX(ap_Party,373)&amp;"","")</f>
        <v/>
      </c>
      <c r="H2879" s="101">
        <f>IFERROR(N(INDEX(ap_Posted,373)),0)</f>
        <v/>
      </c>
      <c r="I2879" s="58">
        <f>IF(H2879=1,INDEX(ap_DrAcct,373)&amp;"","")</f>
        <v/>
      </c>
      <c r="J2879" s="95">
        <f>IF(H2879=1,INDEX(ap_DrAmt,373),0)</f>
        <v/>
      </c>
      <c r="K2879" s="58">
        <f>IF(H2879=1,INDEX(ap_CrAcct,373)&amp;"","")</f>
        <v/>
      </c>
      <c r="L2879" s="95">
        <f>IF(H2879=1,INDEX(ap_CrAmt,373),0)</f>
        <v/>
      </c>
      <c r="M2879" s="95">
        <f>IF(H2879=1,INDEX(ap_TaxAmt,373),0)</f>
        <v/>
      </c>
      <c r="N2879" s="95" t="n">
        <v>0</v>
      </c>
      <c r="O2879" s="101">
        <f>IF(H2879=1,IF(E2879&lt;FYStart,0,IF(E2879&gt;FYEnd,13,YEAR(E2879)*12+MONTH(E2879)-FYYM+1)),"")</f>
        <v/>
      </c>
      <c r="P2879" s="101">
        <f>IF(H2879=1,IF(IFERROR(INDEX(coa_CF,MATCH(I2879,coa_Name,0)),"")="Cash",1,0),0)</f>
        <v/>
      </c>
      <c r="Q2879" s="101">
        <f>IF(H2879=1,IF(IFERROR(INDEX(coa_CF,MATCH(K2879,coa_Name,0)),"")="Cash",1,0),0)</f>
        <v/>
      </c>
      <c r="R2879" s="58">
        <f>IF((P2879-Q2879)=0,"",IFERROR(INDEX(coa_CF,MATCH(IF((P2879-Q2879)=1,K2879,I2879),coa_Name,0)),"Operating"))</f>
        <v/>
      </c>
      <c r="S2879" s="95">
        <f>IF((P2879-Q2879)=1,L2879,IF((P2879-Q2879)=-1,-J2879,0))</f>
        <v/>
      </c>
      <c r="T2879" s="95">
        <f>IF((P2879-Q2879)=1,N2879,IF((P2879-Q2879)=-1,-M2879,0))</f>
        <v/>
      </c>
      <c r="U2879" s="101">
        <f>IF(AND(H2879=1,LedAcct&lt;&gt;""),IF(AND(E2879&gt;=LedFrom,E2879&lt;=LedTo,OR(I2879=LedAcct,K2879=LedAcct,AND(LedAcct=acctTax,M2879+N2879&lt;&gt;0))),E2879*10000+B2879,""),"")</f>
        <v/>
      </c>
    </row>
    <row r="2880">
      <c r="B2880" s="101" t="n">
        <v>2874</v>
      </c>
      <c r="C2880" s="58" t="inlineStr">
        <is>
          <t>Bill</t>
        </is>
      </c>
      <c r="D2880" s="58">
        <f>IF(H2880=1,INDEX(ap_No,374)&amp;"","")</f>
        <v/>
      </c>
      <c r="E2880" s="94">
        <f>IF(H2880=1,INDEX(ap_Date,374),"")</f>
        <v/>
      </c>
      <c r="F2880" s="58">
        <f>IF(H2880=1,INDEX(ap_Desc,374)&amp;"","")</f>
        <v/>
      </c>
      <c r="G2880" s="58">
        <f>IF(H2880=1,INDEX(ap_Party,374)&amp;"","")</f>
        <v/>
      </c>
      <c r="H2880" s="101">
        <f>IFERROR(N(INDEX(ap_Posted,374)),0)</f>
        <v/>
      </c>
      <c r="I2880" s="58">
        <f>IF(H2880=1,INDEX(ap_DrAcct,374)&amp;"","")</f>
        <v/>
      </c>
      <c r="J2880" s="95">
        <f>IF(H2880=1,INDEX(ap_DrAmt,374),0)</f>
        <v/>
      </c>
      <c r="K2880" s="58">
        <f>IF(H2880=1,INDEX(ap_CrAcct,374)&amp;"","")</f>
        <v/>
      </c>
      <c r="L2880" s="95">
        <f>IF(H2880=1,INDEX(ap_CrAmt,374),0)</f>
        <v/>
      </c>
      <c r="M2880" s="95">
        <f>IF(H2880=1,INDEX(ap_TaxAmt,374),0)</f>
        <v/>
      </c>
      <c r="N2880" s="95" t="n">
        <v>0</v>
      </c>
      <c r="O2880" s="101">
        <f>IF(H2880=1,IF(E2880&lt;FYStart,0,IF(E2880&gt;FYEnd,13,YEAR(E2880)*12+MONTH(E2880)-FYYM+1)),"")</f>
        <v/>
      </c>
      <c r="P2880" s="101">
        <f>IF(H2880=1,IF(IFERROR(INDEX(coa_CF,MATCH(I2880,coa_Name,0)),"")="Cash",1,0),0)</f>
        <v/>
      </c>
      <c r="Q2880" s="101">
        <f>IF(H2880=1,IF(IFERROR(INDEX(coa_CF,MATCH(K2880,coa_Name,0)),"")="Cash",1,0),0)</f>
        <v/>
      </c>
      <c r="R2880" s="58">
        <f>IF((P2880-Q2880)=0,"",IFERROR(INDEX(coa_CF,MATCH(IF((P2880-Q2880)=1,K2880,I2880),coa_Name,0)),"Operating"))</f>
        <v/>
      </c>
      <c r="S2880" s="95">
        <f>IF((P2880-Q2880)=1,L2880,IF((P2880-Q2880)=-1,-J2880,0))</f>
        <v/>
      </c>
      <c r="T2880" s="95">
        <f>IF((P2880-Q2880)=1,N2880,IF((P2880-Q2880)=-1,-M2880,0))</f>
        <v/>
      </c>
      <c r="U2880" s="101">
        <f>IF(AND(H2880=1,LedAcct&lt;&gt;""),IF(AND(E2880&gt;=LedFrom,E2880&lt;=LedTo,OR(I2880=LedAcct,K2880=LedAcct,AND(LedAcct=acctTax,M2880+N2880&lt;&gt;0))),E2880*10000+B2880,""),"")</f>
        <v/>
      </c>
    </row>
    <row r="2881">
      <c r="B2881" s="101" t="n">
        <v>2875</v>
      </c>
      <c r="C2881" s="58" t="inlineStr">
        <is>
          <t>Bill</t>
        </is>
      </c>
      <c r="D2881" s="58">
        <f>IF(H2881=1,INDEX(ap_No,375)&amp;"","")</f>
        <v/>
      </c>
      <c r="E2881" s="94">
        <f>IF(H2881=1,INDEX(ap_Date,375),"")</f>
        <v/>
      </c>
      <c r="F2881" s="58">
        <f>IF(H2881=1,INDEX(ap_Desc,375)&amp;"","")</f>
        <v/>
      </c>
      <c r="G2881" s="58">
        <f>IF(H2881=1,INDEX(ap_Party,375)&amp;"","")</f>
        <v/>
      </c>
      <c r="H2881" s="101">
        <f>IFERROR(N(INDEX(ap_Posted,375)),0)</f>
        <v/>
      </c>
      <c r="I2881" s="58">
        <f>IF(H2881=1,INDEX(ap_DrAcct,375)&amp;"","")</f>
        <v/>
      </c>
      <c r="J2881" s="95">
        <f>IF(H2881=1,INDEX(ap_DrAmt,375),0)</f>
        <v/>
      </c>
      <c r="K2881" s="58">
        <f>IF(H2881=1,INDEX(ap_CrAcct,375)&amp;"","")</f>
        <v/>
      </c>
      <c r="L2881" s="95">
        <f>IF(H2881=1,INDEX(ap_CrAmt,375),0)</f>
        <v/>
      </c>
      <c r="M2881" s="95">
        <f>IF(H2881=1,INDEX(ap_TaxAmt,375),0)</f>
        <v/>
      </c>
      <c r="N2881" s="95" t="n">
        <v>0</v>
      </c>
      <c r="O2881" s="101">
        <f>IF(H2881=1,IF(E2881&lt;FYStart,0,IF(E2881&gt;FYEnd,13,YEAR(E2881)*12+MONTH(E2881)-FYYM+1)),"")</f>
        <v/>
      </c>
      <c r="P2881" s="101">
        <f>IF(H2881=1,IF(IFERROR(INDEX(coa_CF,MATCH(I2881,coa_Name,0)),"")="Cash",1,0),0)</f>
        <v/>
      </c>
      <c r="Q2881" s="101">
        <f>IF(H2881=1,IF(IFERROR(INDEX(coa_CF,MATCH(K2881,coa_Name,0)),"")="Cash",1,0),0)</f>
        <v/>
      </c>
      <c r="R2881" s="58">
        <f>IF((P2881-Q2881)=0,"",IFERROR(INDEX(coa_CF,MATCH(IF((P2881-Q2881)=1,K2881,I2881),coa_Name,0)),"Operating"))</f>
        <v/>
      </c>
      <c r="S2881" s="95">
        <f>IF((P2881-Q2881)=1,L2881,IF((P2881-Q2881)=-1,-J2881,0))</f>
        <v/>
      </c>
      <c r="T2881" s="95">
        <f>IF((P2881-Q2881)=1,N2881,IF((P2881-Q2881)=-1,-M2881,0))</f>
        <v/>
      </c>
      <c r="U2881" s="101">
        <f>IF(AND(H2881=1,LedAcct&lt;&gt;""),IF(AND(E2881&gt;=LedFrom,E2881&lt;=LedTo,OR(I2881=LedAcct,K2881=LedAcct,AND(LedAcct=acctTax,M2881+N2881&lt;&gt;0))),E2881*10000+B2881,""),"")</f>
        <v/>
      </c>
    </row>
    <row r="2882">
      <c r="B2882" s="101" t="n">
        <v>2876</v>
      </c>
      <c r="C2882" s="58" t="inlineStr">
        <is>
          <t>Bill</t>
        </is>
      </c>
      <c r="D2882" s="58">
        <f>IF(H2882=1,INDEX(ap_No,376)&amp;"","")</f>
        <v/>
      </c>
      <c r="E2882" s="94">
        <f>IF(H2882=1,INDEX(ap_Date,376),"")</f>
        <v/>
      </c>
      <c r="F2882" s="58">
        <f>IF(H2882=1,INDEX(ap_Desc,376)&amp;"","")</f>
        <v/>
      </c>
      <c r="G2882" s="58">
        <f>IF(H2882=1,INDEX(ap_Party,376)&amp;"","")</f>
        <v/>
      </c>
      <c r="H2882" s="101">
        <f>IFERROR(N(INDEX(ap_Posted,376)),0)</f>
        <v/>
      </c>
      <c r="I2882" s="58">
        <f>IF(H2882=1,INDEX(ap_DrAcct,376)&amp;"","")</f>
        <v/>
      </c>
      <c r="J2882" s="95">
        <f>IF(H2882=1,INDEX(ap_DrAmt,376),0)</f>
        <v/>
      </c>
      <c r="K2882" s="58">
        <f>IF(H2882=1,INDEX(ap_CrAcct,376)&amp;"","")</f>
        <v/>
      </c>
      <c r="L2882" s="95">
        <f>IF(H2882=1,INDEX(ap_CrAmt,376),0)</f>
        <v/>
      </c>
      <c r="M2882" s="95">
        <f>IF(H2882=1,INDEX(ap_TaxAmt,376),0)</f>
        <v/>
      </c>
      <c r="N2882" s="95" t="n">
        <v>0</v>
      </c>
      <c r="O2882" s="101">
        <f>IF(H2882=1,IF(E2882&lt;FYStart,0,IF(E2882&gt;FYEnd,13,YEAR(E2882)*12+MONTH(E2882)-FYYM+1)),"")</f>
        <v/>
      </c>
      <c r="P2882" s="101">
        <f>IF(H2882=1,IF(IFERROR(INDEX(coa_CF,MATCH(I2882,coa_Name,0)),"")="Cash",1,0),0)</f>
        <v/>
      </c>
      <c r="Q2882" s="101">
        <f>IF(H2882=1,IF(IFERROR(INDEX(coa_CF,MATCH(K2882,coa_Name,0)),"")="Cash",1,0),0)</f>
        <v/>
      </c>
      <c r="R2882" s="58">
        <f>IF((P2882-Q2882)=0,"",IFERROR(INDEX(coa_CF,MATCH(IF((P2882-Q2882)=1,K2882,I2882),coa_Name,0)),"Operating"))</f>
        <v/>
      </c>
      <c r="S2882" s="95">
        <f>IF((P2882-Q2882)=1,L2882,IF((P2882-Q2882)=-1,-J2882,0))</f>
        <v/>
      </c>
      <c r="T2882" s="95">
        <f>IF((P2882-Q2882)=1,N2882,IF((P2882-Q2882)=-1,-M2882,0))</f>
        <v/>
      </c>
      <c r="U2882" s="101">
        <f>IF(AND(H2882=1,LedAcct&lt;&gt;""),IF(AND(E2882&gt;=LedFrom,E2882&lt;=LedTo,OR(I2882=LedAcct,K2882=LedAcct,AND(LedAcct=acctTax,M2882+N2882&lt;&gt;0))),E2882*10000+B2882,""),"")</f>
        <v/>
      </c>
    </row>
    <row r="2883">
      <c r="B2883" s="101" t="n">
        <v>2877</v>
      </c>
      <c r="C2883" s="58" t="inlineStr">
        <is>
          <t>Bill</t>
        </is>
      </c>
      <c r="D2883" s="58">
        <f>IF(H2883=1,INDEX(ap_No,377)&amp;"","")</f>
        <v/>
      </c>
      <c r="E2883" s="94">
        <f>IF(H2883=1,INDEX(ap_Date,377),"")</f>
        <v/>
      </c>
      <c r="F2883" s="58">
        <f>IF(H2883=1,INDEX(ap_Desc,377)&amp;"","")</f>
        <v/>
      </c>
      <c r="G2883" s="58">
        <f>IF(H2883=1,INDEX(ap_Party,377)&amp;"","")</f>
        <v/>
      </c>
      <c r="H2883" s="101">
        <f>IFERROR(N(INDEX(ap_Posted,377)),0)</f>
        <v/>
      </c>
      <c r="I2883" s="58">
        <f>IF(H2883=1,INDEX(ap_DrAcct,377)&amp;"","")</f>
        <v/>
      </c>
      <c r="J2883" s="95">
        <f>IF(H2883=1,INDEX(ap_DrAmt,377),0)</f>
        <v/>
      </c>
      <c r="K2883" s="58">
        <f>IF(H2883=1,INDEX(ap_CrAcct,377)&amp;"","")</f>
        <v/>
      </c>
      <c r="L2883" s="95">
        <f>IF(H2883=1,INDEX(ap_CrAmt,377),0)</f>
        <v/>
      </c>
      <c r="M2883" s="95">
        <f>IF(H2883=1,INDEX(ap_TaxAmt,377),0)</f>
        <v/>
      </c>
      <c r="N2883" s="95" t="n">
        <v>0</v>
      </c>
      <c r="O2883" s="101">
        <f>IF(H2883=1,IF(E2883&lt;FYStart,0,IF(E2883&gt;FYEnd,13,YEAR(E2883)*12+MONTH(E2883)-FYYM+1)),"")</f>
        <v/>
      </c>
      <c r="P2883" s="101">
        <f>IF(H2883=1,IF(IFERROR(INDEX(coa_CF,MATCH(I2883,coa_Name,0)),"")="Cash",1,0),0)</f>
        <v/>
      </c>
      <c r="Q2883" s="101">
        <f>IF(H2883=1,IF(IFERROR(INDEX(coa_CF,MATCH(K2883,coa_Name,0)),"")="Cash",1,0),0)</f>
        <v/>
      </c>
      <c r="R2883" s="58">
        <f>IF((P2883-Q2883)=0,"",IFERROR(INDEX(coa_CF,MATCH(IF((P2883-Q2883)=1,K2883,I2883),coa_Name,0)),"Operating"))</f>
        <v/>
      </c>
      <c r="S2883" s="95">
        <f>IF((P2883-Q2883)=1,L2883,IF((P2883-Q2883)=-1,-J2883,0))</f>
        <v/>
      </c>
      <c r="T2883" s="95">
        <f>IF((P2883-Q2883)=1,N2883,IF((P2883-Q2883)=-1,-M2883,0))</f>
        <v/>
      </c>
      <c r="U2883" s="101">
        <f>IF(AND(H2883=1,LedAcct&lt;&gt;""),IF(AND(E2883&gt;=LedFrom,E2883&lt;=LedTo,OR(I2883=LedAcct,K2883=LedAcct,AND(LedAcct=acctTax,M2883+N2883&lt;&gt;0))),E2883*10000+B2883,""),"")</f>
        <v/>
      </c>
    </row>
    <row r="2884">
      <c r="B2884" s="101" t="n">
        <v>2878</v>
      </c>
      <c r="C2884" s="58" t="inlineStr">
        <is>
          <t>Bill</t>
        </is>
      </c>
      <c r="D2884" s="58">
        <f>IF(H2884=1,INDEX(ap_No,378)&amp;"","")</f>
        <v/>
      </c>
      <c r="E2884" s="94">
        <f>IF(H2884=1,INDEX(ap_Date,378),"")</f>
        <v/>
      </c>
      <c r="F2884" s="58">
        <f>IF(H2884=1,INDEX(ap_Desc,378)&amp;"","")</f>
        <v/>
      </c>
      <c r="G2884" s="58">
        <f>IF(H2884=1,INDEX(ap_Party,378)&amp;"","")</f>
        <v/>
      </c>
      <c r="H2884" s="101">
        <f>IFERROR(N(INDEX(ap_Posted,378)),0)</f>
        <v/>
      </c>
      <c r="I2884" s="58">
        <f>IF(H2884=1,INDEX(ap_DrAcct,378)&amp;"","")</f>
        <v/>
      </c>
      <c r="J2884" s="95">
        <f>IF(H2884=1,INDEX(ap_DrAmt,378),0)</f>
        <v/>
      </c>
      <c r="K2884" s="58">
        <f>IF(H2884=1,INDEX(ap_CrAcct,378)&amp;"","")</f>
        <v/>
      </c>
      <c r="L2884" s="95">
        <f>IF(H2884=1,INDEX(ap_CrAmt,378),0)</f>
        <v/>
      </c>
      <c r="M2884" s="95">
        <f>IF(H2884=1,INDEX(ap_TaxAmt,378),0)</f>
        <v/>
      </c>
      <c r="N2884" s="95" t="n">
        <v>0</v>
      </c>
      <c r="O2884" s="101">
        <f>IF(H2884=1,IF(E2884&lt;FYStart,0,IF(E2884&gt;FYEnd,13,YEAR(E2884)*12+MONTH(E2884)-FYYM+1)),"")</f>
        <v/>
      </c>
      <c r="P2884" s="101">
        <f>IF(H2884=1,IF(IFERROR(INDEX(coa_CF,MATCH(I2884,coa_Name,0)),"")="Cash",1,0),0)</f>
        <v/>
      </c>
      <c r="Q2884" s="101">
        <f>IF(H2884=1,IF(IFERROR(INDEX(coa_CF,MATCH(K2884,coa_Name,0)),"")="Cash",1,0),0)</f>
        <v/>
      </c>
      <c r="R2884" s="58">
        <f>IF((P2884-Q2884)=0,"",IFERROR(INDEX(coa_CF,MATCH(IF((P2884-Q2884)=1,K2884,I2884),coa_Name,0)),"Operating"))</f>
        <v/>
      </c>
      <c r="S2884" s="95">
        <f>IF((P2884-Q2884)=1,L2884,IF((P2884-Q2884)=-1,-J2884,0))</f>
        <v/>
      </c>
      <c r="T2884" s="95">
        <f>IF((P2884-Q2884)=1,N2884,IF((P2884-Q2884)=-1,-M2884,0))</f>
        <v/>
      </c>
      <c r="U2884" s="101">
        <f>IF(AND(H2884=1,LedAcct&lt;&gt;""),IF(AND(E2884&gt;=LedFrom,E2884&lt;=LedTo,OR(I2884=LedAcct,K2884=LedAcct,AND(LedAcct=acctTax,M2884+N2884&lt;&gt;0))),E2884*10000+B2884,""),"")</f>
        <v/>
      </c>
    </row>
    <row r="2885">
      <c r="B2885" s="101" t="n">
        <v>2879</v>
      </c>
      <c r="C2885" s="58" t="inlineStr">
        <is>
          <t>Bill</t>
        </is>
      </c>
      <c r="D2885" s="58">
        <f>IF(H2885=1,INDEX(ap_No,379)&amp;"","")</f>
        <v/>
      </c>
      <c r="E2885" s="94">
        <f>IF(H2885=1,INDEX(ap_Date,379),"")</f>
        <v/>
      </c>
      <c r="F2885" s="58">
        <f>IF(H2885=1,INDEX(ap_Desc,379)&amp;"","")</f>
        <v/>
      </c>
      <c r="G2885" s="58">
        <f>IF(H2885=1,INDEX(ap_Party,379)&amp;"","")</f>
        <v/>
      </c>
      <c r="H2885" s="101">
        <f>IFERROR(N(INDEX(ap_Posted,379)),0)</f>
        <v/>
      </c>
      <c r="I2885" s="58">
        <f>IF(H2885=1,INDEX(ap_DrAcct,379)&amp;"","")</f>
        <v/>
      </c>
      <c r="J2885" s="95">
        <f>IF(H2885=1,INDEX(ap_DrAmt,379),0)</f>
        <v/>
      </c>
      <c r="K2885" s="58">
        <f>IF(H2885=1,INDEX(ap_CrAcct,379)&amp;"","")</f>
        <v/>
      </c>
      <c r="L2885" s="95">
        <f>IF(H2885=1,INDEX(ap_CrAmt,379),0)</f>
        <v/>
      </c>
      <c r="M2885" s="95">
        <f>IF(H2885=1,INDEX(ap_TaxAmt,379),0)</f>
        <v/>
      </c>
      <c r="N2885" s="95" t="n">
        <v>0</v>
      </c>
      <c r="O2885" s="101">
        <f>IF(H2885=1,IF(E2885&lt;FYStart,0,IF(E2885&gt;FYEnd,13,YEAR(E2885)*12+MONTH(E2885)-FYYM+1)),"")</f>
        <v/>
      </c>
      <c r="P2885" s="101">
        <f>IF(H2885=1,IF(IFERROR(INDEX(coa_CF,MATCH(I2885,coa_Name,0)),"")="Cash",1,0),0)</f>
        <v/>
      </c>
      <c r="Q2885" s="101">
        <f>IF(H2885=1,IF(IFERROR(INDEX(coa_CF,MATCH(K2885,coa_Name,0)),"")="Cash",1,0),0)</f>
        <v/>
      </c>
      <c r="R2885" s="58">
        <f>IF((P2885-Q2885)=0,"",IFERROR(INDEX(coa_CF,MATCH(IF((P2885-Q2885)=1,K2885,I2885),coa_Name,0)),"Operating"))</f>
        <v/>
      </c>
      <c r="S2885" s="95">
        <f>IF((P2885-Q2885)=1,L2885,IF((P2885-Q2885)=-1,-J2885,0))</f>
        <v/>
      </c>
      <c r="T2885" s="95">
        <f>IF((P2885-Q2885)=1,N2885,IF((P2885-Q2885)=-1,-M2885,0))</f>
        <v/>
      </c>
      <c r="U2885" s="101">
        <f>IF(AND(H2885=1,LedAcct&lt;&gt;""),IF(AND(E2885&gt;=LedFrom,E2885&lt;=LedTo,OR(I2885=LedAcct,K2885=LedAcct,AND(LedAcct=acctTax,M2885+N2885&lt;&gt;0))),E2885*10000+B2885,""),"")</f>
        <v/>
      </c>
    </row>
    <row r="2886">
      <c r="B2886" s="101" t="n">
        <v>2880</v>
      </c>
      <c r="C2886" s="58" t="inlineStr">
        <is>
          <t>Bill</t>
        </is>
      </c>
      <c r="D2886" s="58">
        <f>IF(H2886=1,INDEX(ap_No,380)&amp;"","")</f>
        <v/>
      </c>
      <c r="E2886" s="94">
        <f>IF(H2886=1,INDEX(ap_Date,380),"")</f>
        <v/>
      </c>
      <c r="F2886" s="58">
        <f>IF(H2886=1,INDEX(ap_Desc,380)&amp;"","")</f>
        <v/>
      </c>
      <c r="G2886" s="58">
        <f>IF(H2886=1,INDEX(ap_Party,380)&amp;"","")</f>
        <v/>
      </c>
      <c r="H2886" s="101">
        <f>IFERROR(N(INDEX(ap_Posted,380)),0)</f>
        <v/>
      </c>
      <c r="I2886" s="58">
        <f>IF(H2886=1,INDEX(ap_DrAcct,380)&amp;"","")</f>
        <v/>
      </c>
      <c r="J2886" s="95">
        <f>IF(H2886=1,INDEX(ap_DrAmt,380),0)</f>
        <v/>
      </c>
      <c r="K2886" s="58">
        <f>IF(H2886=1,INDEX(ap_CrAcct,380)&amp;"","")</f>
        <v/>
      </c>
      <c r="L2886" s="95">
        <f>IF(H2886=1,INDEX(ap_CrAmt,380),0)</f>
        <v/>
      </c>
      <c r="M2886" s="95">
        <f>IF(H2886=1,INDEX(ap_TaxAmt,380),0)</f>
        <v/>
      </c>
      <c r="N2886" s="95" t="n">
        <v>0</v>
      </c>
      <c r="O2886" s="101">
        <f>IF(H2886=1,IF(E2886&lt;FYStart,0,IF(E2886&gt;FYEnd,13,YEAR(E2886)*12+MONTH(E2886)-FYYM+1)),"")</f>
        <v/>
      </c>
      <c r="P2886" s="101">
        <f>IF(H2886=1,IF(IFERROR(INDEX(coa_CF,MATCH(I2886,coa_Name,0)),"")="Cash",1,0),0)</f>
        <v/>
      </c>
      <c r="Q2886" s="101">
        <f>IF(H2886=1,IF(IFERROR(INDEX(coa_CF,MATCH(K2886,coa_Name,0)),"")="Cash",1,0),0)</f>
        <v/>
      </c>
      <c r="R2886" s="58">
        <f>IF((P2886-Q2886)=0,"",IFERROR(INDEX(coa_CF,MATCH(IF((P2886-Q2886)=1,K2886,I2886),coa_Name,0)),"Operating"))</f>
        <v/>
      </c>
      <c r="S2886" s="95">
        <f>IF((P2886-Q2886)=1,L2886,IF((P2886-Q2886)=-1,-J2886,0))</f>
        <v/>
      </c>
      <c r="T2886" s="95">
        <f>IF((P2886-Q2886)=1,N2886,IF((P2886-Q2886)=-1,-M2886,0))</f>
        <v/>
      </c>
      <c r="U2886" s="101">
        <f>IF(AND(H2886=1,LedAcct&lt;&gt;""),IF(AND(E2886&gt;=LedFrom,E2886&lt;=LedTo,OR(I2886=LedAcct,K2886=LedAcct,AND(LedAcct=acctTax,M2886+N2886&lt;&gt;0))),E2886*10000+B2886,""),"")</f>
        <v/>
      </c>
    </row>
    <row r="2887">
      <c r="B2887" s="101" t="n">
        <v>2881</v>
      </c>
      <c r="C2887" s="58" t="inlineStr">
        <is>
          <t>Bill</t>
        </is>
      </c>
      <c r="D2887" s="58">
        <f>IF(H2887=1,INDEX(ap_No,381)&amp;"","")</f>
        <v/>
      </c>
      <c r="E2887" s="94">
        <f>IF(H2887=1,INDEX(ap_Date,381),"")</f>
        <v/>
      </c>
      <c r="F2887" s="58">
        <f>IF(H2887=1,INDEX(ap_Desc,381)&amp;"","")</f>
        <v/>
      </c>
      <c r="G2887" s="58">
        <f>IF(H2887=1,INDEX(ap_Party,381)&amp;"","")</f>
        <v/>
      </c>
      <c r="H2887" s="101">
        <f>IFERROR(N(INDEX(ap_Posted,381)),0)</f>
        <v/>
      </c>
      <c r="I2887" s="58">
        <f>IF(H2887=1,INDEX(ap_DrAcct,381)&amp;"","")</f>
        <v/>
      </c>
      <c r="J2887" s="95">
        <f>IF(H2887=1,INDEX(ap_DrAmt,381),0)</f>
        <v/>
      </c>
      <c r="K2887" s="58">
        <f>IF(H2887=1,INDEX(ap_CrAcct,381)&amp;"","")</f>
        <v/>
      </c>
      <c r="L2887" s="95">
        <f>IF(H2887=1,INDEX(ap_CrAmt,381),0)</f>
        <v/>
      </c>
      <c r="M2887" s="95">
        <f>IF(H2887=1,INDEX(ap_TaxAmt,381),0)</f>
        <v/>
      </c>
      <c r="N2887" s="95" t="n">
        <v>0</v>
      </c>
      <c r="O2887" s="101">
        <f>IF(H2887=1,IF(E2887&lt;FYStart,0,IF(E2887&gt;FYEnd,13,YEAR(E2887)*12+MONTH(E2887)-FYYM+1)),"")</f>
        <v/>
      </c>
      <c r="P2887" s="101">
        <f>IF(H2887=1,IF(IFERROR(INDEX(coa_CF,MATCH(I2887,coa_Name,0)),"")="Cash",1,0),0)</f>
        <v/>
      </c>
      <c r="Q2887" s="101">
        <f>IF(H2887=1,IF(IFERROR(INDEX(coa_CF,MATCH(K2887,coa_Name,0)),"")="Cash",1,0),0)</f>
        <v/>
      </c>
      <c r="R2887" s="58">
        <f>IF((P2887-Q2887)=0,"",IFERROR(INDEX(coa_CF,MATCH(IF((P2887-Q2887)=1,K2887,I2887),coa_Name,0)),"Operating"))</f>
        <v/>
      </c>
      <c r="S2887" s="95">
        <f>IF((P2887-Q2887)=1,L2887,IF((P2887-Q2887)=-1,-J2887,0))</f>
        <v/>
      </c>
      <c r="T2887" s="95">
        <f>IF((P2887-Q2887)=1,N2887,IF((P2887-Q2887)=-1,-M2887,0))</f>
        <v/>
      </c>
      <c r="U2887" s="101">
        <f>IF(AND(H2887=1,LedAcct&lt;&gt;""),IF(AND(E2887&gt;=LedFrom,E2887&lt;=LedTo,OR(I2887=LedAcct,K2887=LedAcct,AND(LedAcct=acctTax,M2887+N2887&lt;&gt;0))),E2887*10000+B2887,""),"")</f>
        <v/>
      </c>
    </row>
    <row r="2888">
      <c r="B2888" s="101" t="n">
        <v>2882</v>
      </c>
      <c r="C2888" s="58" t="inlineStr">
        <is>
          <t>Bill</t>
        </is>
      </c>
      <c r="D2888" s="58">
        <f>IF(H2888=1,INDEX(ap_No,382)&amp;"","")</f>
        <v/>
      </c>
      <c r="E2888" s="94">
        <f>IF(H2888=1,INDEX(ap_Date,382),"")</f>
        <v/>
      </c>
      <c r="F2888" s="58">
        <f>IF(H2888=1,INDEX(ap_Desc,382)&amp;"","")</f>
        <v/>
      </c>
      <c r="G2888" s="58">
        <f>IF(H2888=1,INDEX(ap_Party,382)&amp;"","")</f>
        <v/>
      </c>
      <c r="H2888" s="101">
        <f>IFERROR(N(INDEX(ap_Posted,382)),0)</f>
        <v/>
      </c>
      <c r="I2888" s="58">
        <f>IF(H2888=1,INDEX(ap_DrAcct,382)&amp;"","")</f>
        <v/>
      </c>
      <c r="J2888" s="95">
        <f>IF(H2888=1,INDEX(ap_DrAmt,382),0)</f>
        <v/>
      </c>
      <c r="K2888" s="58">
        <f>IF(H2888=1,INDEX(ap_CrAcct,382)&amp;"","")</f>
        <v/>
      </c>
      <c r="L2888" s="95">
        <f>IF(H2888=1,INDEX(ap_CrAmt,382),0)</f>
        <v/>
      </c>
      <c r="M2888" s="95">
        <f>IF(H2888=1,INDEX(ap_TaxAmt,382),0)</f>
        <v/>
      </c>
      <c r="N2888" s="95" t="n">
        <v>0</v>
      </c>
      <c r="O2888" s="101">
        <f>IF(H2888=1,IF(E2888&lt;FYStart,0,IF(E2888&gt;FYEnd,13,YEAR(E2888)*12+MONTH(E2888)-FYYM+1)),"")</f>
        <v/>
      </c>
      <c r="P2888" s="101">
        <f>IF(H2888=1,IF(IFERROR(INDEX(coa_CF,MATCH(I2888,coa_Name,0)),"")="Cash",1,0),0)</f>
        <v/>
      </c>
      <c r="Q2888" s="101">
        <f>IF(H2888=1,IF(IFERROR(INDEX(coa_CF,MATCH(K2888,coa_Name,0)),"")="Cash",1,0),0)</f>
        <v/>
      </c>
      <c r="R2888" s="58">
        <f>IF((P2888-Q2888)=0,"",IFERROR(INDEX(coa_CF,MATCH(IF((P2888-Q2888)=1,K2888,I2888),coa_Name,0)),"Operating"))</f>
        <v/>
      </c>
      <c r="S2888" s="95">
        <f>IF((P2888-Q2888)=1,L2888,IF((P2888-Q2888)=-1,-J2888,0))</f>
        <v/>
      </c>
      <c r="T2888" s="95">
        <f>IF((P2888-Q2888)=1,N2888,IF((P2888-Q2888)=-1,-M2888,0))</f>
        <v/>
      </c>
      <c r="U2888" s="101">
        <f>IF(AND(H2888=1,LedAcct&lt;&gt;""),IF(AND(E2888&gt;=LedFrom,E2888&lt;=LedTo,OR(I2888=LedAcct,K2888=LedAcct,AND(LedAcct=acctTax,M2888+N2888&lt;&gt;0))),E2888*10000+B2888,""),"")</f>
        <v/>
      </c>
    </row>
    <row r="2889">
      <c r="B2889" s="101" t="n">
        <v>2883</v>
      </c>
      <c r="C2889" s="58" t="inlineStr">
        <is>
          <t>Bill</t>
        </is>
      </c>
      <c r="D2889" s="58">
        <f>IF(H2889=1,INDEX(ap_No,383)&amp;"","")</f>
        <v/>
      </c>
      <c r="E2889" s="94">
        <f>IF(H2889=1,INDEX(ap_Date,383),"")</f>
        <v/>
      </c>
      <c r="F2889" s="58">
        <f>IF(H2889=1,INDEX(ap_Desc,383)&amp;"","")</f>
        <v/>
      </c>
      <c r="G2889" s="58">
        <f>IF(H2889=1,INDEX(ap_Party,383)&amp;"","")</f>
        <v/>
      </c>
      <c r="H2889" s="101">
        <f>IFERROR(N(INDEX(ap_Posted,383)),0)</f>
        <v/>
      </c>
      <c r="I2889" s="58">
        <f>IF(H2889=1,INDEX(ap_DrAcct,383)&amp;"","")</f>
        <v/>
      </c>
      <c r="J2889" s="95">
        <f>IF(H2889=1,INDEX(ap_DrAmt,383),0)</f>
        <v/>
      </c>
      <c r="K2889" s="58">
        <f>IF(H2889=1,INDEX(ap_CrAcct,383)&amp;"","")</f>
        <v/>
      </c>
      <c r="L2889" s="95">
        <f>IF(H2889=1,INDEX(ap_CrAmt,383),0)</f>
        <v/>
      </c>
      <c r="M2889" s="95">
        <f>IF(H2889=1,INDEX(ap_TaxAmt,383),0)</f>
        <v/>
      </c>
      <c r="N2889" s="95" t="n">
        <v>0</v>
      </c>
      <c r="O2889" s="101">
        <f>IF(H2889=1,IF(E2889&lt;FYStart,0,IF(E2889&gt;FYEnd,13,YEAR(E2889)*12+MONTH(E2889)-FYYM+1)),"")</f>
        <v/>
      </c>
      <c r="P2889" s="101">
        <f>IF(H2889=1,IF(IFERROR(INDEX(coa_CF,MATCH(I2889,coa_Name,0)),"")="Cash",1,0),0)</f>
        <v/>
      </c>
      <c r="Q2889" s="101">
        <f>IF(H2889=1,IF(IFERROR(INDEX(coa_CF,MATCH(K2889,coa_Name,0)),"")="Cash",1,0),0)</f>
        <v/>
      </c>
      <c r="R2889" s="58">
        <f>IF((P2889-Q2889)=0,"",IFERROR(INDEX(coa_CF,MATCH(IF((P2889-Q2889)=1,K2889,I2889),coa_Name,0)),"Operating"))</f>
        <v/>
      </c>
      <c r="S2889" s="95">
        <f>IF((P2889-Q2889)=1,L2889,IF((P2889-Q2889)=-1,-J2889,0))</f>
        <v/>
      </c>
      <c r="T2889" s="95">
        <f>IF((P2889-Q2889)=1,N2889,IF((P2889-Q2889)=-1,-M2889,0))</f>
        <v/>
      </c>
      <c r="U2889" s="101">
        <f>IF(AND(H2889=1,LedAcct&lt;&gt;""),IF(AND(E2889&gt;=LedFrom,E2889&lt;=LedTo,OR(I2889=LedAcct,K2889=LedAcct,AND(LedAcct=acctTax,M2889+N2889&lt;&gt;0))),E2889*10000+B2889,""),"")</f>
        <v/>
      </c>
    </row>
    <row r="2890">
      <c r="B2890" s="101" t="n">
        <v>2884</v>
      </c>
      <c r="C2890" s="58" t="inlineStr">
        <is>
          <t>Bill</t>
        </is>
      </c>
      <c r="D2890" s="58">
        <f>IF(H2890=1,INDEX(ap_No,384)&amp;"","")</f>
        <v/>
      </c>
      <c r="E2890" s="94">
        <f>IF(H2890=1,INDEX(ap_Date,384),"")</f>
        <v/>
      </c>
      <c r="F2890" s="58">
        <f>IF(H2890=1,INDEX(ap_Desc,384)&amp;"","")</f>
        <v/>
      </c>
      <c r="G2890" s="58">
        <f>IF(H2890=1,INDEX(ap_Party,384)&amp;"","")</f>
        <v/>
      </c>
      <c r="H2890" s="101">
        <f>IFERROR(N(INDEX(ap_Posted,384)),0)</f>
        <v/>
      </c>
      <c r="I2890" s="58">
        <f>IF(H2890=1,INDEX(ap_DrAcct,384)&amp;"","")</f>
        <v/>
      </c>
      <c r="J2890" s="95">
        <f>IF(H2890=1,INDEX(ap_DrAmt,384),0)</f>
        <v/>
      </c>
      <c r="K2890" s="58">
        <f>IF(H2890=1,INDEX(ap_CrAcct,384)&amp;"","")</f>
        <v/>
      </c>
      <c r="L2890" s="95">
        <f>IF(H2890=1,INDEX(ap_CrAmt,384),0)</f>
        <v/>
      </c>
      <c r="M2890" s="95">
        <f>IF(H2890=1,INDEX(ap_TaxAmt,384),0)</f>
        <v/>
      </c>
      <c r="N2890" s="95" t="n">
        <v>0</v>
      </c>
      <c r="O2890" s="101">
        <f>IF(H2890=1,IF(E2890&lt;FYStart,0,IF(E2890&gt;FYEnd,13,YEAR(E2890)*12+MONTH(E2890)-FYYM+1)),"")</f>
        <v/>
      </c>
      <c r="P2890" s="101">
        <f>IF(H2890=1,IF(IFERROR(INDEX(coa_CF,MATCH(I2890,coa_Name,0)),"")="Cash",1,0),0)</f>
        <v/>
      </c>
      <c r="Q2890" s="101">
        <f>IF(H2890=1,IF(IFERROR(INDEX(coa_CF,MATCH(K2890,coa_Name,0)),"")="Cash",1,0),0)</f>
        <v/>
      </c>
      <c r="R2890" s="58">
        <f>IF((P2890-Q2890)=0,"",IFERROR(INDEX(coa_CF,MATCH(IF((P2890-Q2890)=1,K2890,I2890),coa_Name,0)),"Operating"))</f>
        <v/>
      </c>
      <c r="S2890" s="95">
        <f>IF((P2890-Q2890)=1,L2890,IF((P2890-Q2890)=-1,-J2890,0))</f>
        <v/>
      </c>
      <c r="T2890" s="95">
        <f>IF((P2890-Q2890)=1,N2890,IF((P2890-Q2890)=-1,-M2890,0))</f>
        <v/>
      </c>
      <c r="U2890" s="101">
        <f>IF(AND(H2890=1,LedAcct&lt;&gt;""),IF(AND(E2890&gt;=LedFrom,E2890&lt;=LedTo,OR(I2890=LedAcct,K2890=LedAcct,AND(LedAcct=acctTax,M2890+N2890&lt;&gt;0))),E2890*10000+B2890,""),"")</f>
        <v/>
      </c>
    </row>
    <row r="2891">
      <c r="B2891" s="101" t="n">
        <v>2885</v>
      </c>
      <c r="C2891" s="58" t="inlineStr">
        <is>
          <t>Bill</t>
        </is>
      </c>
      <c r="D2891" s="58">
        <f>IF(H2891=1,INDEX(ap_No,385)&amp;"","")</f>
        <v/>
      </c>
      <c r="E2891" s="94">
        <f>IF(H2891=1,INDEX(ap_Date,385),"")</f>
        <v/>
      </c>
      <c r="F2891" s="58">
        <f>IF(H2891=1,INDEX(ap_Desc,385)&amp;"","")</f>
        <v/>
      </c>
      <c r="G2891" s="58">
        <f>IF(H2891=1,INDEX(ap_Party,385)&amp;"","")</f>
        <v/>
      </c>
      <c r="H2891" s="101">
        <f>IFERROR(N(INDEX(ap_Posted,385)),0)</f>
        <v/>
      </c>
      <c r="I2891" s="58">
        <f>IF(H2891=1,INDEX(ap_DrAcct,385)&amp;"","")</f>
        <v/>
      </c>
      <c r="J2891" s="95">
        <f>IF(H2891=1,INDEX(ap_DrAmt,385),0)</f>
        <v/>
      </c>
      <c r="K2891" s="58">
        <f>IF(H2891=1,INDEX(ap_CrAcct,385)&amp;"","")</f>
        <v/>
      </c>
      <c r="L2891" s="95">
        <f>IF(H2891=1,INDEX(ap_CrAmt,385),0)</f>
        <v/>
      </c>
      <c r="M2891" s="95">
        <f>IF(H2891=1,INDEX(ap_TaxAmt,385),0)</f>
        <v/>
      </c>
      <c r="N2891" s="95" t="n">
        <v>0</v>
      </c>
      <c r="O2891" s="101">
        <f>IF(H2891=1,IF(E2891&lt;FYStart,0,IF(E2891&gt;FYEnd,13,YEAR(E2891)*12+MONTH(E2891)-FYYM+1)),"")</f>
        <v/>
      </c>
      <c r="P2891" s="101">
        <f>IF(H2891=1,IF(IFERROR(INDEX(coa_CF,MATCH(I2891,coa_Name,0)),"")="Cash",1,0),0)</f>
        <v/>
      </c>
      <c r="Q2891" s="101">
        <f>IF(H2891=1,IF(IFERROR(INDEX(coa_CF,MATCH(K2891,coa_Name,0)),"")="Cash",1,0),0)</f>
        <v/>
      </c>
      <c r="R2891" s="58">
        <f>IF((P2891-Q2891)=0,"",IFERROR(INDEX(coa_CF,MATCH(IF((P2891-Q2891)=1,K2891,I2891),coa_Name,0)),"Operating"))</f>
        <v/>
      </c>
      <c r="S2891" s="95">
        <f>IF((P2891-Q2891)=1,L2891,IF((P2891-Q2891)=-1,-J2891,0))</f>
        <v/>
      </c>
      <c r="T2891" s="95">
        <f>IF((P2891-Q2891)=1,N2891,IF((P2891-Q2891)=-1,-M2891,0))</f>
        <v/>
      </c>
      <c r="U2891" s="101">
        <f>IF(AND(H2891=1,LedAcct&lt;&gt;""),IF(AND(E2891&gt;=LedFrom,E2891&lt;=LedTo,OR(I2891=LedAcct,K2891=LedAcct,AND(LedAcct=acctTax,M2891+N2891&lt;&gt;0))),E2891*10000+B2891,""),"")</f>
        <v/>
      </c>
    </row>
    <row r="2892">
      <c r="B2892" s="101" t="n">
        <v>2886</v>
      </c>
      <c r="C2892" s="58" t="inlineStr">
        <is>
          <t>Bill</t>
        </is>
      </c>
      <c r="D2892" s="58">
        <f>IF(H2892=1,INDEX(ap_No,386)&amp;"","")</f>
        <v/>
      </c>
      <c r="E2892" s="94">
        <f>IF(H2892=1,INDEX(ap_Date,386),"")</f>
        <v/>
      </c>
      <c r="F2892" s="58">
        <f>IF(H2892=1,INDEX(ap_Desc,386)&amp;"","")</f>
        <v/>
      </c>
      <c r="G2892" s="58">
        <f>IF(H2892=1,INDEX(ap_Party,386)&amp;"","")</f>
        <v/>
      </c>
      <c r="H2892" s="101">
        <f>IFERROR(N(INDEX(ap_Posted,386)),0)</f>
        <v/>
      </c>
      <c r="I2892" s="58">
        <f>IF(H2892=1,INDEX(ap_DrAcct,386)&amp;"","")</f>
        <v/>
      </c>
      <c r="J2892" s="95">
        <f>IF(H2892=1,INDEX(ap_DrAmt,386),0)</f>
        <v/>
      </c>
      <c r="K2892" s="58">
        <f>IF(H2892=1,INDEX(ap_CrAcct,386)&amp;"","")</f>
        <v/>
      </c>
      <c r="L2892" s="95">
        <f>IF(H2892=1,INDEX(ap_CrAmt,386),0)</f>
        <v/>
      </c>
      <c r="M2892" s="95">
        <f>IF(H2892=1,INDEX(ap_TaxAmt,386),0)</f>
        <v/>
      </c>
      <c r="N2892" s="95" t="n">
        <v>0</v>
      </c>
      <c r="O2892" s="101">
        <f>IF(H2892=1,IF(E2892&lt;FYStart,0,IF(E2892&gt;FYEnd,13,YEAR(E2892)*12+MONTH(E2892)-FYYM+1)),"")</f>
        <v/>
      </c>
      <c r="P2892" s="101">
        <f>IF(H2892=1,IF(IFERROR(INDEX(coa_CF,MATCH(I2892,coa_Name,0)),"")="Cash",1,0),0)</f>
        <v/>
      </c>
      <c r="Q2892" s="101">
        <f>IF(H2892=1,IF(IFERROR(INDEX(coa_CF,MATCH(K2892,coa_Name,0)),"")="Cash",1,0),0)</f>
        <v/>
      </c>
      <c r="R2892" s="58">
        <f>IF((P2892-Q2892)=0,"",IFERROR(INDEX(coa_CF,MATCH(IF((P2892-Q2892)=1,K2892,I2892),coa_Name,0)),"Operating"))</f>
        <v/>
      </c>
      <c r="S2892" s="95">
        <f>IF((P2892-Q2892)=1,L2892,IF((P2892-Q2892)=-1,-J2892,0))</f>
        <v/>
      </c>
      <c r="T2892" s="95">
        <f>IF((P2892-Q2892)=1,N2892,IF((P2892-Q2892)=-1,-M2892,0))</f>
        <v/>
      </c>
      <c r="U2892" s="101">
        <f>IF(AND(H2892=1,LedAcct&lt;&gt;""),IF(AND(E2892&gt;=LedFrom,E2892&lt;=LedTo,OR(I2892=LedAcct,K2892=LedAcct,AND(LedAcct=acctTax,M2892+N2892&lt;&gt;0))),E2892*10000+B2892,""),"")</f>
        <v/>
      </c>
    </row>
    <row r="2893">
      <c r="B2893" s="101" t="n">
        <v>2887</v>
      </c>
      <c r="C2893" s="58" t="inlineStr">
        <is>
          <t>Bill</t>
        </is>
      </c>
      <c r="D2893" s="58">
        <f>IF(H2893=1,INDEX(ap_No,387)&amp;"","")</f>
        <v/>
      </c>
      <c r="E2893" s="94">
        <f>IF(H2893=1,INDEX(ap_Date,387),"")</f>
        <v/>
      </c>
      <c r="F2893" s="58">
        <f>IF(H2893=1,INDEX(ap_Desc,387)&amp;"","")</f>
        <v/>
      </c>
      <c r="G2893" s="58">
        <f>IF(H2893=1,INDEX(ap_Party,387)&amp;"","")</f>
        <v/>
      </c>
      <c r="H2893" s="101">
        <f>IFERROR(N(INDEX(ap_Posted,387)),0)</f>
        <v/>
      </c>
      <c r="I2893" s="58">
        <f>IF(H2893=1,INDEX(ap_DrAcct,387)&amp;"","")</f>
        <v/>
      </c>
      <c r="J2893" s="95">
        <f>IF(H2893=1,INDEX(ap_DrAmt,387),0)</f>
        <v/>
      </c>
      <c r="K2893" s="58">
        <f>IF(H2893=1,INDEX(ap_CrAcct,387)&amp;"","")</f>
        <v/>
      </c>
      <c r="L2893" s="95">
        <f>IF(H2893=1,INDEX(ap_CrAmt,387),0)</f>
        <v/>
      </c>
      <c r="M2893" s="95">
        <f>IF(H2893=1,INDEX(ap_TaxAmt,387),0)</f>
        <v/>
      </c>
      <c r="N2893" s="95" t="n">
        <v>0</v>
      </c>
      <c r="O2893" s="101">
        <f>IF(H2893=1,IF(E2893&lt;FYStart,0,IF(E2893&gt;FYEnd,13,YEAR(E2893)*12+MONTH(E2893)-FYYM+1)),"")</f>
        <v/>
      </c>
      <c r="P2893" s="101">
        <f>IF(H2893=1,IF(IFERROR(INDEX(coa_CF,MATCH(I2893,coa_Name,0)),"")="Cash",1,0),0)</f>
        <v/>
      </c>
      <c r="Q2893" s="101">
        <f>IF(H2893=1,IF(IFERROR(INDEX(coa_CF,MATCH(K2893,coa_Name,0)),"")="Cash",1,0),0)</f>
        <v/>
      </c>
      <c r="R2893" s="58">
        <f>IF((P2893-Q2893)=0,"",IFERROR(INDEX(coa_CF,MATCH(IF((P2893-Q2893)=1,K2893,I2893),coa_Name,0)),"Operating"))</f>
        <v/>
      </c>
      <c r="S2893" s="95">
        <f>IF((P2893-Q2893)=1,L2893,IF((P2893-Q2893)=-1,-J2893,0))</f>
        <v/>
      </c>
      <c r="T2893" s="95">
        <f>IF((P2893-Q2893)=1,N2893,IF((P2893-Q2893)=-1,-M2893,0))</f>
        <v/>
      </c>
      <c r="U2893" s="101">
        <f>IF(AND(H2893=1,LedAcct&lt;&gt;""),IF(AND(E2893&gt;=LedFrom,E2893&lt;=LedTo,OR(I2893=LedAcct,K2893=LedAcct,AND(LedAcct=acctTax,M2893+N2893&lt;&gt;0))),E2893*10000+B2893,""),"")</f>
        <v/>
      </c>
    </row>
    <row r="2894">
      <c r="B2894" s="101" t="n">
        <v>2888</v>
      </c>
      <c r="C2894" s="58" t="inlineStr">
        <is>
          <t>Bill</t>
        </is>
      </c>
      <c r="D2894" s="58">
        <f>IF(H2894=1,INDEX(ap_No,388)&amp;"","")</f>
        <v/>
      </c>
      <c r="E2894" s="94">
        <f>IF(H2894=1,INDEX(ap_Date,388),"")</f>
        <v/>
      </c>
      <c r="F2894" s="58">
        <f>IF(H2894=1,INDEX(ap_Desc,388)&amp;"","")</f>
        <v/>
      </c>
      <c r="G2894" s="58">
        <f>IF(H2894=1,INDEX(ap_Party,388)&amp;"","")</f>
        <v/>
      </c>
      <c r="H2894" s="101">
        <f>IFERROR(N(INDEX(ap_Posted,388)),0)</f>
        <v/>
      </c>
      <c r="I2894" s="58">
        <f>IF(H2894=1,INDEX(ap_DrAcct,388)&amp;"","")</f>
        <v/>
      </c>
      <c r="J2894" s="95">
        <f>IF(H2894=1,INDEX(ap_DrAmt,388),0)</f>
        <v/>
      </c>
      <c r="K2894" s="58">
        <f>IF(H2894=1,INDEX(ap_CrAcct,388)&amp;"","")</f>
        <v/>
      </c>
      <c r="L2894" s="95">
        <f>IF(H2894=1,INDEX(ap_CrAmt,388),0)</f>
        <v/>
      </c>
      <c r="M2894" s="95">
        <f>IF(H2894=1,INDEX(ap_TaxAmt,388),0)</f>
        <v/>
      </c>
      <c r="N2894" s="95" t="n">
        <v>0</v>
      </c>
      <c r="O2894" s="101">
        <f>IF(H2894=1,IF(E2894&lt;FYStart,0,IF(E2894&gt;FYEnd,13,YEAR(E2894)*12+MONTH(E2894)-FYYM+1)),"")</f>
        <v/>
      </c>
      <c r="P2894" s="101">
        <f>IF(H2894=1,IF(IFERROR(INDEX(coa_CF,MATCH(I2894,coa_Name,0)),"")="Cash",1,0),0)</f>
        <v/>
      </c>
      <c r="Q2894" s="101">
        <f>IF(H2894=1,IF(IFERROR(INDEX(coa_CF,MATCH(K2894,coa_Name,0)),"")="Cash",1,0),0)</f>
        <v/>
      </c>
      <c r="R2894" s="58">
        <f>IF((P2894-Q2894)=0,"",IFERROR(INDEX(coa_CF,MATCH(IF((P2894-Q2894)=1,K2894,I2894),coa_Name,0)),"Operating"))</f>
        <v/>
      </c>
      <c r="S2894" s="95">
        <f>IF((P2894-Q2894)=1,L2894,IF((P2894-Q2894)=-1,-J2894,0))</f>
        <v/>
      </c>
      <c r="T2894" s="95">
        <f>IF((P2894-Q2894)=1,N2894,IF((P2894-Q2894)=-1,-M2894,0))</f>
        <v/>
      </c>
      <c r="U2894" s="101">
        <f>IF(AND(H2894=1,LedAcct&lt;&gt;""),IF(AND(E2894&gt;=LedFrom,E2894&lt;=LedTo,OR(I2894=LedAcct,K2894=LedAcct,AND(LedAcct=acctTax,M2894+N2894&lt;&gt;0))),E2894*10000+B2894,""),"")</f>
        <v/>
      </c>
    </row>
    <row r="2895">
      <c r="B2895" s="101" t="n">
        <v>2889</v>
      </c>
      <c r="C2895" s="58" t="inlineStr">
        <is>
          <t>Bill</t>
        </is>
      </c>
      <c r="D2895" s="58">
        <f>IF(H2895=1,INDEX(ap_No,389)&amp;"","")</f>
        <v/>
      </c>
      <c r="E2895" s="94">
        <f>IF(H2895=1,INDEX(ap_Date,389),"")</f>
        <v/>
      </c>
      <c r="F2895" s="58">
        <f>IF(H2895=1,INDEX(ap_Desc,389)&amp;"","")</f>
        <v/>
      </c>
      <c r="G2895" s="58">
        <f>IF(H2895=1,INDEX(ap_Party,389)&amp;"","")</f>
        <v/>
      </c>
      <c r="H2895" s="101">
        <f>IFERROR(N(INDEX(ap_Posted,389)),0)</f>
        <v/>
      </c>
      <c r="I2895" s="58">
        <f>IF(H2895=1,INDEX(ap_DrAcct,389)&amp;"","")</f>
        <v/>
      </c>
      <c r="J2895" s="95">
        <f>IF(H2895=1,INDEX(ap_DrAmt,389),0)</f>
        <v/>
      </c>
      <c r="K2895" s="58">
        <f>IF(H2895=1,INDEX(ap_CrAcct,389)&amp;"","")</f>
        <v/>
      </c>
      <c r="L2895" s="95">
        <f>IF(H2895=1,INDEX(ap_CrAmt,389),0)</f>
        <v/>
      </c>
      <c r="M2895" s="95">
        <f>IF(H2895=1,INDEX(ap_TaxAmt,389),0)</f>
        <v/>
      </c>
      <c r="N2895" s="95" t="n">
        <v>0</v>
      </c>
      <c r="O2895" s="101">
        <f>IF(H2895=1,IF(E2895&lt;FYStart,0,IF(E2895&gt;FYEnd,13,YEAR(E2895)*12+MONTH(E2895)-FYYM+1)),"")</f>
        <v/>
      </c>
      <c r="P2895" s="101">
        <f>IF(H2895=1,IF(IFERROR(INDEX(coa_CF,MATCH(I2895,coa_Name,0)),"")="Cash",1,0),0)</f>
        <v/>
      </c>
      <c r="Q2895" s="101">
        <f>IF(H2895=1,IF(IFERROR(INDEX(coa_CF,MATCH(K2895,coa_Name,0)),"")="Cash",1,0),0)</f>
        <v/>
      </c>
      <c r="R2895" s="58">
        <f>IF((P2895-Q2895)=0,"",IFERROR(INDEX(coa_CF,MATCH(IF((P2895-Q2895)=1,K2895,I2895),coa_Name,0)),"Operating"))</f>
        <v/>
      </c>
      <c r="S2895" s="95">
        <f>IF((P2895-Q2895)=1,L2895,IF((P2895-Q2895)=-1,-J2895,0))</f>
        <v/>
      </c>
      <c r="T2895" s="95">
        <f>IF((P2895-Q2895)=1,N2895,IF((P2895-Q2895)=-1,-M2895,0))</f>
        <v/>
      </c>
      <c r="U2895" s="101">
        <f>IF(AND(H2895=1,LedAcct&lt;&gt;""),IF(AND(E2895&gt;=LedFrom,E2895&lt;=LedTo,OR(I2895=LedAcct,K2895=LedAcct,AND(LedAcct=acctTax,M2895+N2895&lt;&gt;0))),E2895*10000+B2895,""),"")</f>
        <v/>
      </c>
    </row>
    <row r="2896">
      <c r="B2896" s="101" t="n">
        <v>2890</v>
      </c>
      <c r="C2896" s="58" t="inlineStr">
        <is>
          <t>Bill</t>
        </is>
      </c>
      <c r="D2896" s="58">
        <f>IF(H2896=1,INDEX(ap_No,390)&amp;"","")</f>
        <v/>
      </c>
      <c r="E2896" s="94">
        <f>IF(H2896=1,INDEX(ap_Date,390),"")</f>
        <v/>
      </c>
      <c r="F2896" s="58">
        <f>IF(H2896=1,INDEX(ap_Desc,390)&amp;"","")</f>
        <v/>
      </c>
      <c r="G2896" s="58">
        <f>IF(H2896=1,INDEX(ap_Party,390)&amp;"","")</f>
        <v/>
      </c>
      <c r="H2896" s="101">
        <f>IFERROR(N(INDEX(ap_Posted,390)),0)</f>
        <v/>
      </c>
      <c r="I2896" s="58">
        <f>IF(H2896=1,INDEX(ap_DrAcct,390)&amp;"","")</f>
        <v/>
      </c>
      <c r="J2896" s="95">
        <f>IF(H2896=1,INDEX(ap_DrAmt,390),0)</f>
        <v/>
      </c>
      <c r="K2896" s="58">
        <f>IF(H2896=1,INDEX(ap_CrAcct,390)&amp;"","")</f>
        <v/>
      </c>
      <c r="L2896" s="95">
        <f>IF(H2896=1,INDEX(ap_CrAmt,390),0)</f>
        <v/>
      </c>
      <c r="M2896" s="95">
        <f>IF(H2896=1,INDEX(ap_TaxAmt,390),0)</f>
        <v/>
      </c>
      <c r="N2896" s="95" t="n">
        <v>0</v>
      </c>
      <c r="O2896" s="101">
        <f>IF(H2896=1,IF(E2896&lt;FYStart,0,IF(E2896&gt;FYEnd,13,YEAR(E2896)*12+MONTH(E2896)-FYYM+1)),"")</f>
        <v/>
      </c>
      <c r="P2896" s="101">
        <f>IF(H2896=1,IF(IFERROR(INDEX(coa_CF,MATCH(I2896,coa_Name,0)),"")="Cash",1,0),0)</f>
        <v/>
      </c>
      <c r="Q2896" s="101">
        <f>IF(H2896=1,IF(IFERROR(INDEX(coa_CF,MATCH(K2896,coa_Name,0)),"")="Cash",1,0),0)</f>
        <v/>
      </c>
      <c r="R2896" s="58">
        <f>IF((P2896-Q2896)=0,"",IFERROR(INDEX(coa_CF,MATCH(IF((P2896-Q2896)=1,K2896,I2896),coa_Name,0)),"Operating"))</f>
        <v/>
      </c>
      <c r="S2896" s="95">
        <f>IF((P2896-Q2896)=1,L2896,IF((P2896-Q2896)=-1,-J2896,0))</f>
        <v/>
      </c>
      <c r="T2896" s="95">
        <f>IF((P2896-Q2896)=1,N2896,IF((P2896-Q2896)=-1,-M2896,0))</f>
        <v/>
      </c>
      <c r="U2896" s="101">
        <f>IF(AND(H2896=1,LedAcct&lt;&gt;""),IF(AND(E2896&gt;=LedFrom,E2896&lt;=LedTo,OR(I2896=LedAcct,K2896=LedAcct,AND(LedAcct=acctTax,M2896+N2896&lt;&gt;0))),E2896*10000+B2896,""),"")</f>
        <v/>
      </c>
    </row>
    <row r="2897">
      <c r="B2897" s="101" t="n">
        <v>2891</v>
      </c>
      <c r="C2897" s="58" t="inlineStr">
        <is>
          <t>Bill</t>
        </is>
      </c>
      <c r="D2897" s="58">
        <f>IF(H2897=1,INDEX(ap_No,391)&amp;"","")</f>
        <v/>
      </c>
      <c r="E2897" s="94">
        <f>IF(H2897=1,INDEX(ap_Date,391),"")</f>
        <v/>
      </c>
      <c r="F2897" s="58">
        <f>IF(H2897=1,INDEX(ap_Desc,391)&amp;"","")</f>
        <v/>
      </c>
      <c r="G2897" s="58">
        <f>IF(H2897=1,INDEX(ap_Party,391)&amp;"","")</f>
        <v/>
      </c>
      <c r="H2897" s="101">
        <f>IFERROR(N(INDEX(ap_Posted,391)),0)</f>
        <v/>
      </c>
      <c r="I2897" s="58">
        <f>IF(H2897=1,INDEX(ap_DrAcct,391)&amp;"","")</f>
        <v/>
      </c>
      <c r="J2897" s="95">
        <f>IF(H2897=1,INDEX(ap_DrAmt,391),0)</f>
        <v/>
      </c>
      <c r="K2897" s="58">
        <f>IF(H2897=1,INDEX(ap_CrAcct,391)&amp;"","")</f>
        <v/>
      </c>
      <c r="L2897" s="95">
        <f>IF(H2897=1,INDEX(ap_CrAmt,391),0)</f>
        <v/>
      </c>
      <c r="M2897" s="95">
        <f>IF(H2897=1,INDEX(ap_TaxAmt,391),0)</f>
        <v/>
      </c>
      <c r="N2897" s="95" t="n">
        <v>0</v>
      </c>
      <c r="O2897" s="101">
        <f>IF(H2897=1,IF(E2897&lt;FYStart,0,IF(E2897&gt;FYEnd,13,YEAR(E2897)*12+MONTH(E2897)-FYYM+1)),"")</f>
        <v/>
      </c>
      <c r="P2897" s="101">
        <f>IF(H2897=1,IF(IFERROR(INDEX(coa_CF,MATCH(I2897,coa_Name,0)),"")="Cash",1,0),0)</f>
        <v/>
      </c>
      <c r="Q2897" s="101">
        <f>IF(H2897=1,IF(IFERROR(INDEX(coa_CF,MATCH(K2897,coa_Name,0)),"")="Cash",1,0),0)</f>
        <v/>
      </c>
      <c r="R2897" s="58">
        <f>IF((P2897-Q2897)=0,"",IFERROR(INDEX(coa_CF,MATCH(IF((P2897-Q2897)=1,K2897,I2897),coa_Name,0)),"Operating"))</f>
        <v/>
      </c>
      <c r="S2897" s="95">
        <f>IF((P2897-Q2897)=1,L2897,IF((P2897-Q2897)=-1,-J2897,0))</f>
        <v/>
      </c>
      <c r="T2897" s="95">
        <f>IF((P2897-Q2897)=1,N2897,IF((P2897-Q2897)=-1,-M2897,0))</f>
        <v/>
      </c>
      <c r="U2897" s="101">
        <f>IF(AND(H2897=1,LedAcct&lt;&gt;""),IF(AND(E2897&gt;=LedFrom,E2897&lt;=LedTo,OR(I2897=LedAcct,K2897=LedAcct,AND(LedAcct=acctTax,M2897+N2897&lt;&gt;0))),E2897*10000+B2897,""),"")</f>
        <v/>
      </c>
    </row>
    <row r="2898">
      <c r="B2898" s="101" t="n">
        <v>2892</v>
      </c>
      <c r="C2898" s="58" t="inlineStr">
        <is>
          <t>Bill</t>
        </is>
      </c>
      <c r="D2898" s="58">
        <f>IF(H2898=1,INDEX(ap_No,392)&amp;"","")</f>
        <v/>
      </c>
      <c r="E2898" s="94">
        <f>IF(H2898=1,INDEX(ap_Date,392),"")</f>
        <v/>
      </c>
      <c r="F2898" s="58">
        <f>IF(H2898=1,INDEX(ap_Desc,392)&amp;"","")</f>
        <v/>
      </c>
      <c r="G2898" s="58">
        <f>IF(H2898=1,INDEX(ap_Party,392)&amp;"","")</f>
        <v/>
      </c>
      <c r="H2898" s="101">
        <f>IFERROR(N(INDEX(ap_Posted,392)),0)</f>
        <v/>
      </c>
      <c r="I2898" s="58">
        <f>IF(H2898=1,INDEX(ap_DrAcct,392)&amp;"","")</f>
        <v/>
      </c>
      <c r="J2898" s="95">
        <f>IF(H2898=1,INDEX(ap_DrAmt,392),0)</f>
        <v/>
      </c>
      <c r="K2898" s="58">
        <f>IF(H2898=1,INDEX(ap_CrAcct,392)&amp;"","")</f>
        <v/>
      </c>
      <c r="L2898" s="95">
        <f>IF(H2898=1,INDEX(ap_CrAmt,392),0)</f>
        <v/>
      </c>
      <c r="M2898" s="95">
        <f>IF(H2898=1,INDEX(ap_TaxAmt,392),0)</f>
        <v/>
      </c>
      <c r="N2898" s="95" t="n">
        <v>0</v>
      </c>
      <c r="O2898" s="101">
        <f>IF(H2898=1,IF(E2898&lt;FYStart,0,IF(E2898&gt;FYEnd,13,YEAR(E2898)*12+MONTH(E2898)-FYYM+1)),"")</f>
        <v/>
      </c>
      <c r="P2898" s="101">
        <f>IF(H2898=1,IF(IFERROR(INDEX(coa_CF,MATCH(I2898,coa_Name,0)),"")="Cash",1,0),0)</f>
        <v/>
      </c>
      <c r="Q2898" s="101">
        <f>IF(H2898=1,IF(IFERROR(INDEX(coa_CF,MATCH(K2898,coa_Name,0)),"")="Cash",1,0),0)</f>
        <v/>
      </c>
      <c r="R2898" s="58">
        <f>IF((P2898-Q2898)=0,"",IFERROR(INDEX(coa_CF,MATCH(IF((P2898-Q2898)=1,K2898,I2898),coa_Name,0)),"Operating"))</f>
        <v/>
      </c>
      <c r="S2898" s="95">
        <f>IF((P2898-Q2898)=1,L2898,IF((P2898-Q2898)=-1,-J2898,0))</f>
        <v/>
      </c>
      <c r="T2898" s="95">
        <f>IF((P2898-Q2898)=1,N2898,IF((P2898-Q2898)=-1,-M2898,0))</f>
        <v/>
      </c>
      <c r="U2898" s="101">
        <f>IF(AND(H2898=1,LedAcct&lt;&gt;""),IF(AND(E2898&gt;=LedFrom,E2898&lt;=LedTo,OR(I2898=LedAcct,K2898=LedAcct,AND(LedAcct=acctTax,M2898+N2898&lt;&gt;0))),E2898*10000+B2898,""),"")</f>
        <v/>
      </c>
    </row>
    <row r="2899">
      <c r="B2899" s="101" t="n">
        <v>2893</v>
      </c>
      <c r="C2899" s="58" t="inlineStr">
        <is>
          <t>Bill</t>
        </is>
      </c>
      <c r="D2899" s="58">
        <f>IF(H2899=1,INDEX(ap_No,393)&amp;"","")</f>
        <v/>
      </c>
      <c r="E2899" s="94">
        <f>IF(H2899=1,INDEX(ap_Date,393),"")</f>
        <v/>
      </c>
      <c r="F2899" s="58">
        <f>IF(H2899=1,INDEX(ap_Desc,393)&amp;"","")</f>
        <v/>
      </c>
      <c r="G2899" s="58">
        <f>IF(H2899=1,INDEX(ap_Party,393)&amp;"","")</f>
        <v/>
      </c>
      <c r="H2899" s="101">
        <f>IFERROR(N(INDEX(ap_Posted,393)),0)</f>
        <v/>
      </c>
      <c r="I2899" s="58">
        <f>IF(H2899=1,INDEX(ap_DrAcct,393)&amp;"","")</f>
        <v/>
      </c>
      <c r="J2899" s="95">
        <f>IF(H2899=1,INDEX(ap_DrAmt,393),0)</f>
        <v/>
      </c>
      <c r="K2899" s="58">
        <f>IF(H2899=1,INDEX(ap_CrAcct,393)&amp;"","")</f>
        <v/>
      </c>
      <c r="L2899" s="95">
        <f>IF(H2899=1,INDEX(ap_CrAmt,393),0)</f>
        <v/>
      </c>
      <c r="M2899" s="95">
        <f>IF(H2899=1,INDEX(ap_TaxAmt,393),0)</f>
        <v/>
      </c>
      <c r="N2899" s="95" t="n">
        <v>0</v>
      </c>
      <c r="O2899" s="101">
        <f>IF(H2899=1,IF(E2899&lt;FYStart,0,IF(E2899&gt;FYEnd,13,YEAR(E2899)*12+MONTH(E2899)-FYYM+1)),"")</f>
        <v/>
      </c>
      <c r="P2899" s="101">
        <f>IF(H2899=1,IF(IFERROR(INDEX(coa_CF,MATCH(I2899,coa_Name,0)),"")="Cash",1,0),0)</f>
        <v/>
      </c>
      <c r="Q2899" s="101">
        <f>IF(H2899=1,IF(IFERROR(INDEX(coa_CF,MATCH(K2899,coa_Name,0)),"")="Cash",1,0),0)</f>
        <v/>
      </c>
      <c r="R2899" s="58">
        <f>IF((P2899-Q2899)=0,"",IFERROR(INDEX(coa_CF,MATCH(IF((P2899-Q2899)=1,K2899,I2899),coa_Name,0)),"Operating"))</f>
        <v/>
      </c>
      <c r="S2899" s="95">
        <f>IF((P2899-Q2899)=1,L2899,IF((P2899-Q2899)=-1,-J2899,0))</f>
        <v/>
      </c>
      <c r="T2899" s="95">
        <f>IF((P2899-Q2899)=1,N2899,IF((P2899-Q2899)=-1,-M2899,0))</f>
        <v/>
      </c>
      <c r="U2899" s="101">
        <f>IF(AND(H2899=1,LedAcct&lt;&gt;""),IF(AND(E2899&gt;=LedFrom,E2899&lt;=LedTo,OR(I2899=LedAcct,K2899=LedAcct,AND(LedAcct=acctTax,M2899+N2899&lt;&gt;0))),E2899*10000+B2899,""),"")</f>
        <v/>
      </c>
    </row>
    <row r="2900">
      <c r="B2900" s="101" t="n">
        <v>2894</v>
      </c>
      <c r="C2900" s="58" t="inlineStr">
        <is>
          <t>Bill</t>
        </is>
      </c>
      <c r="D2900" s="58">
        <f>IF(H2900=1,INDEX(ap_No,394)&amp;"","")</f>
        <v/>
      </c>
      <c r="E2900" s="94">
        <f>IF(H2900=1,INDEX(ap_Date,394),"")</f>
        <v/>
      </c>
      <c r="F2900" s="58">
        <f>IF(H2900=1,INDEX(ap_Desc,394)&amp;"","")</f>
        <v/>
      </c>
      <c r="G2900" s="58">
        <f>IF(H2900=1,INDEX(ap_Party,394)&amp;"","")</f>
        <v/>
      </c>
      <c r="H2900" s="101">
        <f>IFERROR(N(INDEX(ap_Posted,394)),0)</f>
        <v/>
      </c>
      <c r="I2900" s="58">
        <f>IF(H2900=1,INDEX(ap_DrAcct,394)&amp;"","")</f>
        <v/>
      </c>
      <c r="J2900" s="95">
        <f>IF(H2900=1,INDEX(ap_DrAmt,394),0)</f>
        <v/>
      </c>
      <c r="K2900" s="58">
        <f>IF(H2900=1,INDEX(ap_CrAcct,394)&amp;"","")</f>
        <v/>
      </c>
      <c r="L2900" s="95">
        <f>IF(H2900=1,INDEX(ap_CrAmt,394),0)</f>
        <v/>
      </c>
      <c r="M2900" s="95">
        <f>IF(H2900=1,INDEX(ap_TaxAmt,394),0)</f>
        <v/>
      </c>
      <c r="N2900" s="95" t="n">
        <v>0</v>
      </c>
      <c r="O2900" s="101">
        <f>IF(H2900=1,IF(E2900&lt;FYStart,0,IF(E2900&gt;FYEnd,13,YEAR(E2900)*12+MONTH(E2900)-FYYM+1)),"")</f>
        <v/>
      </c>
      <c r="P2900" s="101">
        <f>IF(H2900=1,IF(IFERROR(INDEX(coa_CF,MATCH(I2900,coa_Name,0)),"")="Cash",1,0),0)</f>
        <v/>
      </c>
      <c r="Q2900" s="101">
        <f>IF(H2900=1,IF(IFERROR(INDEX(coa_CF,MATCH(K2900,coa_Name,0)),"")="Cash",1,0),0)</f>
        <v/>
      </c>
      <c r="R2900" s="58">
        <f>IF((P2900-Q2900)=0,"",IFERROR(INDEX(coa_CF,MATCH(IF((P2900-Q2900)=1,K2900,I2900),coa_Name,0)),"Operating"))</f>
        <v/>
      </c>
      <c r="S2900" s="95">
        <f>IF((P2900-Q2900)=1,L2900,IF((P2900-Q2900)=-1,-J2900,0))</f>
        <v/>
      </c>
      <c r="T2900" s="95">
        <f>IF((P2900-Q2900)=1,N2900,IF((P2900-Q2900)=-1,-M2900,0))</f>
        <v/>
      </c>
      <c r="U2900" s="101">
        <f>IF(AND(H2900=1,LedAcct&lt;&gt;""),IF(AND(E2900&gt;=LedFrom,E2900&lt;=LedTo,OR(I2900=LedAcct,K2900=LedAcct,AND(LedAcct=acctTax,M2900+N2900&lt;&gt;0))),E2900*10000+B2900,""),"")</f>
        <v/>
      </c>
    </row>
    <row r="2901">
      <c r="B2901" s="101" t="n">
        <v>2895</v>
      </c>
      <c r="C2901" s="58" t="inlineStr">
        <is>
          <t>Bill</t>
        </is>
      </c>
      <c r="D2901" s="58">
        <f>IF(H2901=1,INDEX(ap_No,395)&amp;"","")</f>
        <v/>
      </c>
      <c r="E2901" s="94">
        <f>IF(H2901=1,INDEX(ap_Date,395),"")</f>
        <v/>
      </c>
      <c r="F2901" s="58">
        <f>IF(H2901=1,INDEX(ap_Desc,395)&amp;"","")</f>
        <v/>
      </c>
      <c r="G2901" s="58">
        <f>IF(H2901=1,INDEX(ap_Party,395)&amp;"","")</f>
        <v/>
      </c>
      <c r="H2901" s="101">
        <f>IFERROR(N(INDEX(ap_Posted,395)),0)</f>
        <v/>
      </c>
      <c r="I2901" s="58">
        <f>IF(H2901=1,INDEX(ap_DrAcct,395)&amp;"","")</f>
        <v/>
      </c>
      <c r="J2901" s="95">
        <f>IF(H2901=1,INDEX(ap_DrAmt,395),0)</f>
        <v/>
      </c>
      <c r="K2901" s="58">
        <f>IF(H2901=1,INDEX(ap_CrAcct,395)&amp;"","")</f>
        <v/>
      </c>
      <c r="L2901" s="95">
        <f>IF(H2901=1,INDEX(ap_CrAmt,395),0)</f>
        <v/>
      </c>
      <c r="M2901" s="95">
        <f>IF(H2901=1,INDEX(ap_TaxAmt,395),0)</f>
        <v/>
      </c>
      <c r="N2901" s="95" t="n">
        <v>0</v>
      </c>
      <c r="O2901" s="101">
        <f>IF(H2901=1,IF(E2901&lt;FYStart,0,IF(E2901&gt;FYEnd,13,YEAR(E2901)*12+MONTH(E2901)-FYYM+1)),"")</f>
        <v/>
      </c>
      <c r="P2901" s="101">
        <f>IF(H2901=1,IF(IFERROR(INDEX(coa_CF,MATCH(I2901,coa_Name,0)),"")="Cash",1,0),0)</f>
        <v/>
      </c>
      <c r="Q2901" s="101">
        <f>IF(H2901=1,IF(IFERROR(INDEX(coa_CF,MATCH(K2901,coa_Name,0)),"")="Cash",1,0),0)</f>
        <v/>
      </c>
      <c r="R2901" s="58">
        <f>IF((P2901-Q2901)=0,"",IFERROR(INDEX(coa_CF,MATCH(IF((P2901-Q2901)=1,K2901,I2901),coa_Name,0)),"Operating"))</f>
        <v/>
      </c>
      <c r="S2901" s="95">
        <f>IF((P2901-Q2901)=1,L2901,IF((P2901-Q2901)=-1,-J2901,0))</f>
        <v/>
      </c>
      <c r="T2901" s="95">
        <f>IF((P2901-Q2901)=1,N2901,IF((P2901-Q2901)=-1,-M2901,0))</f>
        <v/>
      </c>
      <c r="U2901" s="101">
        <f>IF(AND(H2901=1,LedAcct&lt;&gt;""),IF(AND(E2901&gt;=LedFrom,E2901&lt;=LedTo,OR(I2901=LedAcct,K2901=LedAcct,AND(LedAcct=acctTax,M2901+N2901&lt;&gt;0))),E2901*10000+B2901,""),"")</f>
        <v/>
      </c>
    </row>
    <row r="2902">
      <c r="B2902" s="101" t="n">
        <v>2896</v>
      </c>
      <c r="C2902" s="58" t="inlineStr">
        <is>
          <t>Bill</t>
        </is>
      </c>
      <c r="D2902" s="58">
        <f>IF(H2902=1,INDEX(ap_No,396)&amp;"","")</f>
        <v/>
      </c>
      <c r="E2902" s="94">
        <f>IF(H2902=1,INDEX(ap_Date,396),"")</f>
        <v/>
      </c>
      <c r="F2902" s="58">
        <f>IF(H2902=1,INDEX(ap_Desc,396)&amp;"","")</f>
        <v/>
      </c>
      <c r="G2902" s="58">
        <f>IF(H2902=1,INDEX(ap_Party,396)&amp;"","")</f>
        <v/>
      </c>
      <c r="H2902" s="101">
        <f>IFERROR(N(INDEX(ap_Posted,396)),0)</f>
        <v/>
      </c>
      <c r="I2902" s="58">
        <f>IF(H2902=1,INDEX(ap_DrAcct,396)&amp;"","")</f>
        <v/>
      </c>
      <c r="J2902" s="95">
        <f>IF(H2902=1,INDEX(ap_DrAmt,396),0)</f>
        <v/>
      </c>
      <c r="K2902" s="58">
        <f>IF(H2902=1,INDEX(ap_CrAcct,396)&amp;"","")</f>
        <v/>
      </c>
      <c r="L2902" s="95">
        <f>IF(H2902=1,INDEX(ap_CrAmt,396),0)</f>
        <v/>
      </c>
      <c r="M2902" s="95">
        <f>IF(H2902=1,INDEX(ap_TaxAmt,396),0)</f>
        <v/>
      </c>
      <c r="N2902" s="95" t="n">
        <v>0</v>
      </c>
      <c r="O2902" s="101">
        <f>IF(H2902=1,IF(E2902&lt;FYStart,0,IF(E2902&gt;FYEnd,13,YEAR(E2902)*12+MONTH(E2902)-FYYM+1)),"")</f>
        <v/>
      </c>
      <c r="P2902" s="101">
        <f>IF(H2902=1,IF(IFERROR(INDEX(coa_CF,MATCH(I2902,coa_Name,0)),"")="Cash",1,0),0)</f>
        <v/>
      </c>
      <c r="Q2902" s="101">
        <f>IF(H2902=1,IF(IFERROR(INDEX(coa_CF,MATCH(K2902,coa_Name,0)),"")="Cash",1,0),0)</f>
        <v/>
      </c>
      <c r="R2902" s="58">
        <f>IF((P2902-Q2902)=0,"",IFERROR(INDEX(coa_CF,MATCH(IF((P2902-Q2902)=1,K2902,I2902),coa_Name,0)),"Operating"))</f>
        <v/>
      </c>
      <c r="S2902" s="95">
        <f>IF((P2902-Q2902)=1,L2902,IF((P2902-Q2902)=-1,-J2902,0))</f>
        <v/>
      </c>
      <c r="T2902" s="95">
        <f>IF((P2902-Q2902)=1,N2902,IF((P2902-Q2902)=-1,-M2902,0))</f>
        <v/>
      </c>
      <c r="U2902" s="101">
        <f>IF(AND(H2902=1,LedAcct&lt;&gt;""),IF(AND(E2902&gt;=LedFrom,E2902&lt;=LedTo,OR(I2902=LedAcct,K2902=LedAcct,AND(LedAcct=acctTax,M2902+N2902&lt;&gt;0))),E2902*10000+B2902,""),"")</f>
        <v/>
      </c>
    </row>
    <row r="2903">
      <c r="B2903" s="101" t="n">
        <v>2897</v>
      </c>
      <c r="C2903" s="58" t="inlineStr">
        <is>
          <t>Bill</t>
        </is>
      </c>
      <c r="D2903" s="58">
        <f>IF(H2903=1,INDEX(ap_No,397)&amp;"","")</f>
        <v/>
      </c>
      <c r="E2903" s="94">
        <f>IF(H2903=1,INDEX(ap_Date,397),"")</f>
        <v/>
      </c>
      <c r="F2903" s="58">
        <f>IF(H2903=1,INDEX(ap_Desc,397)&amp;"","")</f>
        <v/>
      </c>
      <c r="G2903" s="58">
        <f>IF(H2903=1,INDEX(ap_Party,397)&amp;"","")</f>
        <v/>
      </c>
      <c r="H2903" s="101">
        <f>IFERROR(N(INDEX(ap_Posted,397)),0)</f>
        <v/>
      </c>
      <c r="I2903" s="58">
        <f>IF(H2903=1,INDEX(ap_DrAcct,397)&amp;"","")</f>
        <v/>
      </c>
      <c r="J2903" s="95">
        <f>IF(H2903=1,INDEX(ap_DrAmt,397),0)</f>
        <v/>
      </c>
      <c r="K2903" s="58">
        <f>IF(H2903=1,INDEX(ap_CrAcct,397)&amp;"","")</f>
        <v/>
      </c>
      <c r="L2903" s="95">
        <f>IF(H2903=1,INDEX(ap_CrAmt,397),0)</f>
        <v/>
      </c>
      <c r="M2903" s="95">
        <f>IF(H2903=1,INDEX(ap_TaxAmt,397),0)</f>
        <v/>
      </c>
      <c r="N2903" s="95" t="n">
        <v>0</v>
      </c>
      <c r="O2903" s="101">
        <f>IF(H2903=1,IF(E2903&lt;FYStart,0,IF(E2903&gt;FYEnd,13,YEAR(E2903)*12+MONTH(E2903)-FYYM+1)),"")</f>
        <v/>
      </c>
      <c r="P2903" s="101">
        <f>IF(H2903=1,IF(IFERROR(INDEX(coa_CF,MATCH(I2903,coa_Name,0)),"")="Cash",1,0),0)</f>
        <v/>
      </c>
      <c r="Q2903" s="101">
        <f>IF(H2903=1,IF(IFERROR(INDEX(coa_CF,MATCH(K2903,coa_Name,0)),"")="Cash",1,0),0)</f>
        <v/>
      </c>
      <c r="R2903" s="58">
        <f>IF((P2903-Q2903)=0,"",IFERROR(INDEX(coa_CF,MATCH(IF((P2903-Q2903)=1,K2903,I2903),coa_Name,0)),"Operating"))</f>
        <v/>
      </c>
      <c r="S2903" s="95">
        <f>IF((P2903-Q2903)=1,L2903,IF((P2903-Q2903)=-1,-J2903,0))</f>
        <v/>
      </c>
      <c r="T2903" s="95">
        <f>IF((P2903-Q2903)=1,N2903,IF((P2903-Q2903)=-1,-M2903,0))</f>
        <v/>
      </c>
      <c r="U2903" s="101">
        <f>IF(AND(H2903=1,LedAcct&lt;&gt;""),IF(AND(E2903&gt;=LedFrom,E2903&lt;=LedTo,OR(I2903=LedAcct,K2903=LedAcct,AND(LedAcct=acctTax,M2903+N2903&lt;&gt;0))),E2903*10000+B2903,""),"")</f>
        <v/>
      </c>
    </row>
    <row r="2904">
      <c r="B2904" s="101" t="n">
        <v>2898</v>
      </c>
      <c r="C2904" s="58" t="inlineStr">
        <is>
          <t>Bill</t>
        </is>
      </c>
      <c r="D2904" s="58">
        <f>IF(H2904=1,INDEX(ap_No,398)&amp;"","")</f>
        <v/>
      </c>
      <c r="E2904" s="94">
        <f>IF(H2904=1,INDEX(ap_Date,398),"")</f>
        <v/>
      </c>
      <c r="F2904" s="58">
        <f>IF(H2904=1,INDEX(ap_Desc,398)&amp;"","")</f>
        <v/>
      </c>
      <c r="G2904" s="58">
        <f>IF(H2904=1,INDEX(ap_Party,398)&amp;"","")</f>
        <v/>
      </c>
      <c r="H2904" s="101">
        <f>IFERROR(N(INDEX(ap_Posted,398)),0)</f>
        <v/>
      </c>
      <c r="I2904" s="58">
        <f>IF(H2904=1,INDEX(ap_DrAcct,398)&amp;"","")</f>
        <v/>
      </c>
      <c r="J2904" s="95">
        <f>IF(H2904=1,INDEX(ap_DrAmt,398),0)</f>
        <v/>
      </c>
      <c r="K2904" s="58">
        <f>IF(H2904=1,INDEX(ap_CrAcct,398)&amp;"","")</f>
        <v/>
      </c>
      <c r="L2904" s="95">
        <f>IF(H2904=1,INDEX(ap_CrAmt,398),0)</f>
        <v/>
      </c>
      <c r="M2904" s="95">
        <f>IF(H2904=1,INDEX(ap_TaxAmt,398),0)</f>
        <v/>
      </c>
      <c r="N2904" s="95" t="n">
        <v>0</v>
      </c>
      <c r="O2904" s="101">
        <f>IF(H2904=1,IF(E2904&lt;FYStart,0,IF(E2904&gt;FYEnd,13,YEAR(E2904)*12+MONTH(E2904)-FYYM+1)),"")</f>
        <v/>
      </c>
      <c r="P2904" s="101">
        <f>IF(H2904=1,IF(IFERROR(INDEX(coa_CF,MATCH(I2904,coa_Name,0)),"")="Cash",1,0),0)</f>
        <v/>
      </c>
      <c r="Q2904" s="101">
        <f>IF(H2904=1,IF(IFERROR(INDEX(coa_CF,MATCH(K2904,coa_Name,0)),"")="Cash",1,0),0)</f>
        <v/>
      </c>
      <c r="R2904" s="58">
        <f>IF((P2904-Q2904)=0,"",IFERROR(INDEX(coa_CF,MATCH(IF((P2904-Q2904)=1,K2904,I2904),coa_Name,0)),"Operating"))</f>
        <v/>
      </c>
      <c r="S2904" s="95">
        <f>IF((P2904-Q2904)=1,L2904,IF((P2904-Q2904)=-1,-J2904,0))</f>
        <v/>
      </c>
      <c r="T2904" s="95">
        <f>IF((P2904-Q2904)=1,N2904,IF((P2904-Q2904)=-1,-M2904,0))</f>
        <v/>
      </c>
      <c r="U2904" s="101">
        <f>IF(AND(H2904=1,LedAcct&lt;&gt;""),IF(AND(E2904&gt;=LedFrom,E2904&lt;=LedTo,OR(I2904=LedAcct,K2904=LedAcct,AND(LedAcct=acctTax,M2904+N2904&lt;&gt;0))),E2904*10000+B2904,""),"")</f>
        <v/>
      </c>
    </row>
    <row r="2905">
      <c r="B2905" s="101" t="n">
        <v>2899</v>
      </c>
      <c r="C2905" s="58" t="inlineStr">
        <is>
          <t>Bill</t>
        </is>
      </c>
      <c r="D2905" s="58">
        <f>IF(H2905=1,INDEX(ap_No,399)&amp;"","")</f>
        <v/>
      </c>
      <c r="E2905" s="94">
        <f>IF(H2905=1,INDEX(ap_Date,399),"")</f>
        <v/>
      </c>
      <c r="F2905" s="58">
        <f>IF(H2905=1,INDEX(ap_Desc,399)&amp;"","")</f>
        <v/>
      </c>
      <c r="G2905" s="58">
        <f>IF(H2905=1,INDEX(ap_Party,399)&amp;"","")</f>
        <v/>
      </c>
      <c r="H2905" s="101">
        <f>IFERROR(N(INDEX(ap_Posted,399)),0)</f>
        <v/>
      </c>
      <c r="I2905" s="58">
        <f>IF(H2905=1,INDEX(ap_DrAcct,399)&amp;"","")</f>
        <v/>
      </c>
      <c r="J2905" s="95">
        <f>IF(H2905=1,INDEX(ap_DrAmt,399),0)</f>
        <v/>
      </c>
      <c r="K2905" s="58">
        <f>IF(H2905=1,INDEX(ap_CrAcct,399)&amp;"","")</f>
        <v/>
      </c>
      <c r="L2905" s="95">
        <f>IF(H2905=1,INDEX(ap_CrAmt,399),0)</f>
        <v/>
      </c>
      <c r="M2905" s="95">
        <f>IF(H2905=1,INDEX(ap_TaxAmt,399),0)</f>
        <v/>
      </c>
      <c r="N2905" s="95" t="n">
        <v>0</v>
      </c>
      <c r="O2905" s="101">
        <f>IF(H2905=1,IF(E2905&lt;FYStart,0,IF(E2905&gt;FYEnd,13,YEAR(E2905)*12+MONTH(E2905)-FYYM+1)),"")</f>
        <v/>
      </c>
      <c r="P2905" s="101">
        <f>IF(H2905=1,IF(IFERROR(INDEX(coa_CF,MATCH(I2905,coa_Name,0)),"")="Cash",1,0),0)</f>
        <v/>
      </c>
      <c r="Q2905" s="101">
        <f>IF(H2905=1,IF(IFERROR(INDEX(coa_CF,MATCH(K2905,coa_Name,0)),"")="Cash",1,0),0)</f>
        <v/>
      </c>
      <c r="R2905" s="58">
        <f>IF((P2905-Q2905)=0,"",IFERROR(INDEX(coa_CF,MATCH(IF((P2905-Q2905)=1,K2905,I2905),coa_Name,0)),"Operating"))</f>
        <v/>
      </c>
      <c r="S2905" s="95">
        <f>IF((P2905-Q2905)=1,L2905,IF((P2905-Q2905)=-1,-J2905,0))</f>
        <v/>
      </c>
      <c r="T2905" s="95">
        <f>IF((P2905-Q2905)=1,N2905,IF((P2905-Q2905)=-1,-M2905,0))</f>
        <v/>
      </c>
      <c r="U2905" s="101">
        <f>IF(AND(H2905=1,LedAcct&lt;&gt;""),IF(AND(E2905&gt;=LedFrom,E2905&lt;=LedTo,OR(I2905=LedAcct,K2905=LedAcct,AND(LedAcct=acctTax,M2905+N2905&lt;&gt;0))),E2905*10000+B2905,""),"")</f>
        <v/>
      </c>
    </row>
    <row r="2906">
      <c r="B2906" s="101" t="n">
        <v>2900</v>
      </c>
      <c r="C2906" s="58" t="inlineStr">
        <is>
          <t>Bill</t>
        </is>
      </c>
      <c r="D2906" s="58">
        <f>IF(H2906=1,INDEX(ap_No,400)&amp;"","")</f>
        <v/>
      </c>
      <c r="E2906" s="94">
        <f>IF(H2906=1,INDEX(ap_Date,400),"")</f>
        <v/>
      </c>
      <c r="F2906" s="58">
        <f>IF(H2906=1,INDEX(ap_Desc,400)&amp;"","")</f>
        <v/>
      </c>
      <c r="G2906" s="58">
        <f>IF(H2906=1,INDEX(ap_Party,400)&amp;"","")</f>
        <v/>
      </c>
      <c r="H2906" s="101">
        <f>IFERROR(N(INDEX(ap_Posted,400)),0)</f>
        <v/>
      </c>
      <c r="I2906" s="58">
        <f>IF(H2906=1,INDEX(ap_DrAcct,400)&amp;"","")</f>
        <v/>
      </c>
      <c r="J2906" s="95">
        <f>IF(H2906=1,INDEX(ap_DrAmt,400),0)</f>
        <v/>
      </c>
      <c r="K2906" s="58">
        <f>IF(H2906=1,INDEX(ap_CrAcct,400)&amp;"","")</f>
        <v/>
      </c>
      <c r="L2906" s="95">
        <f>IF(H2906=1,INDEX(ap_CrAmt,400),0)</f>
        <v/>
      </c>
      <c r="M2906" s="95">
        <f>IF(H2906=1,INDEX(ap_TaxAmt,400),0)</f>
        <v/>
      </c>
      <c r="N2906" s="95" t="n">
        <v>0</v>
      </c>
      <c r="O2906" s="101">
        <f>IF(H2906=1,IF(E2906&lt;FYStart,0,IF(E2906&gt;FYEnd,13,YEAR(E2906)*12+MONTH(E2906)-FYYM+1)),"")</f>
        <v/>
      </c>
      <c r="P2906" s="101">
        <f>IF(H2906=1,IF(IFERROR(INDEX(coa_CF,MATCH(I2906,coa_Name,0)),"")="Cash",1,0),0)</f>
        <v/>
      </c>
      <c r="Q2906" s="101">
        <f>IF(H2906=1,IF(IFERROR(INDEX(coa_CF,MATCH(K2906,coa_Name,0)),"")="Cash",1,0),0)</f>
        <v/>
      </c>
      <c r="R2906" s="58">
        <f>IF((P2906-Q2906)=0,"",IFERROR(INDEX(coa_CF,MATCH(IF((P2906-Q2906)=1,K2906,I2906),coa_Name,0)),"Operating"))</f>
        <v/>
      </c>
      <c r="S2906" s="95">
        <f>IF((P2906-Q2906)=1,L2906,IF((P2906-Q2906)=-1,-J2906,0))</f>
        <v/>
      </c>
      <c r="T2906" s="95">
        <f>IF((P2906-Q2906)=1,N2906,IF((P2906-Q2906)=-1,-M2906,0))</f>
        <v/>
      </c>
      <c r="U2906" s="101">
        <f>IF(AND(H2906=1,LedAcct&lt;&gt;""),IF(AND(E2906&gt;=LedFrom,E2906&lt;=LedTo,OR(I2906=LedAcct,K2906=LedAcct,AND(LedAcct=acctTax,M2906+N2906&lt;&gt;0))),E2906*10000+B2906,""),"")</f>
        <v/>
      </c>
    </row>
    <row r="2907">
      <c r="B2907" s="101" t="n">
        <v>2901</v>
      </c>
      <c r="C2907" s="58" t="inlineStr">
        <is>
          <t>Bill</t>
        </is>
      </c>
      <c r="D2907" s="58">
        <f>IF(H2907=1,INDEX(ap_No,401)&amp;"","")</f>
        <v/>
      </c>
      <c r="E2907" s="94">
        <f>IF(H2907=1,INDEX(ap_Date,401),"")</f>
        <v/>
      </c>
      <c r="F2907" s="58">
        <f>IF(H2907=1,INDEX(ap_Desc,401)&amp;"","")</f>
        <v/>
      </c>
      <c r="G2907" s="58">
        <f>IF(H2907=1,INDEX(ap_Party,401)&amp;"","")</f>
        <v/>
      </c>
      <c r="H2907" s="101">
        <f>IFERROR(N(INDEX(ap_Posted,401)),0)</f>
        <v/>
      </c>
      <c r="I2907" s="58">
        <f>IF(H2907=1,INDEX(ap_DrAcct,401)&amp;"","")</f>
        <v/>
      </c>
      <c r="J2907" s="95">
        <f>IF(H2907=1,INDEX(ap_DrAmt,401),0)</f>
        <v/>
      </c>
      <c r="K2907" s="58">
        <f>IF(H2907=1,INDEX(ap_CrAcct,401)&amp;"","")</f>
        <v/>
      </c>
      <c r="L2907" s="95">
        <f>IF(H2907=1,INDEX(ap_CrAmt,401),0)</f>
        <v/>
      </c>
      <c r="M2907" s="95">
        <f>IF(H2907=1,INDEX(ap_TaxAmt,401),0)</f>
        <v/>
      </c>
      <c r="N2907" s="95" t="n">
        <v>0</v>
      </c>
      <c r="O2907" s="101">
        <f>IF(H2907=1,IF(E2907&lt;FYStart,0,IF(E2907&gt;FYEnd,13,YEAR(E2907)*12+MONTH(E2907)-FYYM+1)),"")</f>
        <v/>
      </c>
      <c r="P2907" s="101">
        <f>IF(H2907=1,IF(IFERROR(INDEX(coa_CF,MATCH(I2907,coa_Name,0)),"")="Cash",1,0),0)</f>
        <v/>
      </c>
      <c r="Q2907" s="101">
        <f>IF(H2907=1,IF(IFERROR(INDEX(coa_CF,MATCH(K2907,coa_Name,0)),"")="Cash",1,0),0)</f>
        <v/>
      </c>
      <c r="R2907" s="58">
        <f>IF((P2907-Q2907)=0,"",IFERROR(INDEX(coa_CF,MATCH(IF((P2907-Q2907)=1,K2907,I2907),coa_Name,0)),"Operating"))</f>
        <v/>
      </c>
      <c r="S2907" s="95">
        <f>IF((P2907-Q2907)=1,L2907,IF((P2907-Q2907)=-1,-J2907,0))</f>
        <v/>
      </c>
      <c r="T2907" s="95">
        <f>IF((P2907-Q2907)=1,N2907,IF((P2907-Q2907)=-1,-M2907,0))</f>
        <v/>
      </c>
      <c r="U2907" s="101">
        <f>IF(AND(H2907=1,LedAcct&lt;&gt;""),IF(AND(E2907&gt;=LedFrom,E2907&lt;=LedTo,OR(I2907=LedAcct,K2907=LedAcct,AND(LedAcct=acctTax,M2907+N2907&lt;&gt;0))),E2907*10000+B2907,""),"")</f>
        <v/>
      </c>
    </row>
    <row r="2908">
      <c r="B2908" s="101" t="n">
        <v>2902</v>
      </c>
      <c r="C2908" s="58" t="inlineStr">
        <is>
          <t>Bill</t>
        </is>
      </c>
      <c r="D2908" s="58">
        <f>IF(H2908=1,INDEX(ap_No,402)&amp;"","")</f>
        <v/>
      </c>
      <c r="E2908" s="94">
        <f>IF(H2908=1,INDEX(ap_Date,402),"")</f>
        <v/>
      </c>
      <c r="F2908" s="58">
        <f>IF(H2908=1,INDEX(ap_Desc,402)&amp;"","")</f>
        <v/>
      </c>
      <c r="G2908" s="58">
        <f>IF(H2908=1,INDEX(ap_Party,402)&amp;"","")</f>
        <v/>
      </c>
      <c r="H2908" s="101">
        <f>IFERROR(N(INDEX(ap_Posted,402)),0)</f>
        <v/>
      </c>
      <c r="I2908" s="58">
        <f>IF(H2908=1,INDEX(ap_DrAcct,402)&amp;"","")</f>
        <v/>
      </c>
      <c r="J2908" s="95">
        <f>IF(H2908=1,INDEX(ap_DrAmt,402),0)</f>
        <v/>
      </c>
      <c r="K2908" s="58">
        <f>IF(H2908=1,INDEX(ap_CrAcct,402)&amp;"","")</f>
        <v/>
      </c>
      <c r="L2908" s="95">
        <f>IF(H2908=1,INDEX(ap_CrAmt,402),0)</f>
        <v/>
      </c>
      <c r="M2908" s="95">
        <f>IF(H2908=1,INDEX(ap_TaxAmt,402),0)</f>
        <v/>
      </c>
      <c r="N2908" s="95" t="n">
        <v>0</v>
      </c>
      <c r="O2908" s="101">
        <f>IF(H2908=1,IF(E2908&lt;FYStart,0,IF(E2908&gt;FYEnd,13,YEAR(E2908)*12+MONTH(E2908)-FYYM+1)),"")</f>
        <v/>
      </c>
      <c r="P2908" s="101">
        <f>IF(H2908=1,IF(IFERROR(INDEX(coa_CF,MATCH(I2908,coa_Name,0)),"")="Cash",1,0),0)</f>
        <v/>
      </c>
      <c r="Q2908" s="101">
        <f>IF(H2908=1,IF(IFERROR(INDEX(coa_CF,MATCH(K2908,coa_Name,0)),"")="Cash",1,0),0)</f>
        <v/>
      </c>
      <c r="R2908" s="58">
        <f>IF((P2908-Q2908)=0,"",IFERROR(INDEX(coa_CF,MATCH(IF((P2908-Q2908)=1,K2908,I2908),coa_Name,0)),"Operating"))</f>
        <v/>
      </c>
      <c r="S2908" s="95">
        <f>IF((P2908-Q2908)=1,L2908,IF((P2908-Q2908)=-1,-J2908,0))</f>
        <v/>
      </c>
      <c r="T2908" s="95">
        <f>IF((P2908-Q2908)=1,N2908,IF((P2908-Q2908)=-1,-M2908,0))</f>
        <v/>
      </c>
      <c r="U2908" s="101">
        <f>IF(AND(H2908=1,LedAcct&lt;&gt;""),IF(AND(E2908&gt;=LedFrom,E2908&lt;=LedTo,OR(I2908=LedAcct,K2908=LedAcct,AND(LedAcct=acctTax,M2908+N2908&lt;&gt;0))),E2908*10000+B2908,""),"")</f>
        <v/>
      </c>
    </row>
    <row r="2909">
      <c r="B2909" s="101" t="n">
        <v>2903</v>
      </c>
      <c r="C2909" s="58" t="inlineStr">
        <is>
          <t>Bill</t>
        </is>
      </c>
      <c r="D2909" s="58">
        <f>IF(H2909=1,INDEX(ap_No,403)&amp;"","")</f>
        <v/>
      </c>
      <c r="E2909" s="94">
        <f>IF(H2909=1,INDEX(ap_Date,403),"")</f>
        <v/>
      </c>
      <c r="F2909" s="58">
        <f>IF(H2909=1,INDEX(ap_Desc,403)&amp;"","")</f>
        <v/>
      </c>
      <c r="G2909" s="58">
        <f>IF(H2909=1,INDEX(ap_Party,403)&amp;"","")</f>
        <v/>
      </c>
      <c r="H2909" s="101">
        <f>IFERROR(N(INDEX(ap_Posted,403)),0)</f>
        <v/>
      </c>
      <c r="I2909" s="58">
        <f>IF(H2909=1,INDEX(ap_DrAcct,403)&amp;"","")</f>
        <v/>
      </c>
      <c r="J2909" s="95">
        <f>IF(H2909=1,INDEX(ap_DrAmt,403),0)</f>
        <v/>
      </c>
      <c r="K2909" s="58">
        <f>IF(H2909=1,INDEX(ap_CrAcct,403)&amp;"","")</f>
        <v/>
      </c>
      <c r="L2909" s="95">
        <f>IF(H2909=1,INDEX(ap_CrAmt,403),0)</f>
        <v/>
      </c>
      <c r="M2909" s="95">
        <f>IF(H2909=1,INDEX(ap_TaxAmt,403),0)</f>
        <v/>
      </c>
      <c r="N2909" s="95" t="n">
        <v>0</v>
      </c>
      <c r="O2909" s="101">
        <f>IF(H2909=1,IF(E2909&lt;FYStart,0,IF(E2909&gt;FYEnd,13,YEAR(E2909)*12+MONTH(E2909)-FYYM+1)),"")</f>
        <v/>
      </c>
      <c r="P2909" s="101">
        <f>IF(H2909=1,IF(IFERROR(INDEX(coa_CF,MATCH(I2909,coa_Name,0)),"")="Cash",1,0),0)</f>
        <v/>
      </c>
      <c r="Q2909" s="101">
        <f>IF(H2909=1,IF(IFERROR(INDEX(coa_CF,MATCH(K2909,coa_Name,0)),"")="Cash",1,0),0)</f>
        <v/>
      </c>
      <c r="R2909" s="58">
        <f>IF((P2909-Q2909)=0,"",IFERROR(INDEX(coa_CF,MATCH(IF((P2909-Q2909)=1,K2909,I2909),coa_Name,0)),"Operating"))</f>
        <v/>
      </c>
      <c r="S2909" s="95">
        <f>IF((P2909-Q2909)=1,L2909,IF((P2909-Q2909)=-1,-J2909,0))</f>
        <v/>
      </c>
      <c r="T2909" s="95">
        <f>IF((P2909-Q2909)=1,N2909,IF((P2909-Q2909)=-1,-M2909,0))</f>
        <v/>
      </c>
      <c r="U2909" s="101">
        <f>IF(AND(H2909=1,LedAcct&lt;&gt;""),IF(AND(E2909&gt;=LedFrom,E2909&lt;=LedTo,OR(I2909=LedAcct,K2909=LedAcct,AND(LedAcct=acctTax,M2909+N2909&lt;&gt;0))),E2909*10000+B2909,""),"")</f>
        <v/>
      </c>
    </row>
    <row r="2910">
      <c r="B2910" s="101" t="n">
        <v>2904</v>
      </c>
      <c r="C2910" s="58" t="inlineStr">
        <is>
          <t>Bill</t>
        </is>
      </c>
      <c r="D2910" s="58">
        <f>IF(H2910=1,INDEX(ap_No,404)&amp;"","")</f>
        <v/>
      </c>
      <c r="E2910" s="94">
        <f>IF(H2910=1,INDEX(ap_Date,404),"")</f>
        <v/>
      </c>
      <c r="F2910" s="58">
        <f>IF(H2910=1,INDEX(ap_Desc,404)&amp;"","")</f>
        <v/>
      </c>
      <c r="G2910" s="58">
        <f>IF(H2910=1,INDEX(ap_Party,404)&amp;"","")</f>
        <v/>
      </c>
      <c r="H2910" s="101">
        <f>IFERROR(N(INDEX(ap_Posted,404)),0)</f>
        <v/>
      </c>
      <c r="I2910" s="58">
        <f>IF(H2910=1,INDEX(ap_DrAcct,404)&amp;"","")</f>
        <v/>
      </c>
      <c r="J2910" s="95">
        <f>IF(H2910=1,INDEX(ap_DrAmt,404),0)</f>
        <v/>
      </c>
      <c r="K2910" s="58">
        <f>IF(H2910=1,INDEX(ap_CrAcct,404)&amp;"","")</f>
        <v/>
      </c>
      <c r="L2910" s="95">
        <f>IF(H2910=1,INDEX(ap_CrAmt,404),0)</f>
        <v/>
      </c>
      <c r="M2910" s="95">
        <f>IF(H2910=1,INDEX(ap_TaxAmt,404),0)</f>
        <v/>
      </c>
      <c r="N2910" s="95" t="n">
        <v>0</v>
      </c>
      <c r="O2910" s="101">
        <f>IF(H2910=1,IF(E2910&lt;FYStart,0,IF(E2910&gt;FYEnd,13,YEAR(E2910)*12+MONTH(E2910)-FYYM+1)),"")</f>
        <v/>
      </c>
      <c r="P2910" s="101">
        <f>IF(H2910=1,IF(IFERROR(INDEX(coa_CF,MATCH(I2910,coa_Name,0)),"")="Cash",1,0),0)</f>
        <v/>
      </c>
      <c r="Q2910" s="101">
        <f>IF(H2910=1,IF(IFERROR(INDEX(coa_CF,MATCH(K2910,coa_Name,0)),"")="Cash",1,0),0)</f>
        <v/>
      </c>
      <c r="R2910" s="58">
        <f>IF((P2910-Q2910)=0,"",IFERROR(INDEX(coa_CF,MATCH(IF((P2910-Q2910)=1,K2910,I2910),coa_Name,0)),"Operating"))</f>
        <v/>
      </c>
      <c r="S2910" s="95">
        <f>IF((P2910-Q2910)=1,L2910,IF((P2910-Q2910)=-1,-J2910,0))</f>
        <v/>
      </c>
      <c r="T2910" s="95">
        <f>IF((P2910-Q2910)=1,N2910,IF((P2910-Q2910)=-1,-M2910,0))</f>
        <v/>
      </c>
      <c r="U2910" s="101">
        <f>IF(AND(H2910=1,LedAcct&lt;&gt;""),IF(AND(E2910&gt;=LedFrom,E2910&lt;=LedTo,OR(I2910=LedAcct,K2910=LedAcct,AND(LedAcct=acctTax,M2910+N2910&lt;&gt;0))),E2910*10000+B2910,""),"")</f>
        <v/>
      </c>
    </row>
    <row r="2911">
      <c r="B2911" s="101" t="n">
        <v>2905</v>
      </c>
      <c r="C2911" s="58" t="inlineStr">
        <is>
          <t>Bill</t>
        </is>
      </c>
      <c r="D2911" s="58">
        <f>IF(H2911=1,INDEX(ap_No,405)&amp;"","")</f>
        <v/>
      </c>
      <c r="E2911" s="94">
        <f>IF(H2911=1,INDEX(ap_Date,405),"")</f>
        <v/>
      </c>
      <c r="F2911" s="58">
        <f>IF(H2911=1,INDEX(ap_Desc,405)&amp;"","")</f>
        <v/>
      </c>
      <c r="G2911" s="58">
        <f>IF(H2911=1,INDEX(ap_Party,405)&amp;"","")</f>
        <v/>
      </c>
      <c r="H2911" s="101">
        <f>IFERROR(N(INDEX(ap_Posted,405)),0)</f>
        <v/>
      </c>
      <c r="I2911" s="58">
        <f>IF(H2911=1,INDEX(ap_DrAcct,405)&amp;"","")</f>
        <v/>
      </c>
      <c r="J2911" s="95">
        <f>IF(H2911=1,INDEX(ap_DrAmt,405),0)</f>
        <v/>
      </c>
      <c r="K2911" s="58">
        <f>IF(H2911=1,INDEX(ap_CrAcct,405)&amp;"","")</f>
        <v/>
      </c>
      <c r="L2911" s="95">
        <f>IF(H2911=1,INDEX(ap_CrAmt,405),0)</f>
        <v/>
      </c>
      <c r="M2911" s="95">
        <f>IF(H2911=1,INDEX(ap_TaxAmt,405),0)</f>
        <v/>
      </c>
      <c r="N2911" s="95" t="n">
        <v>0</v>
      </c>
      <c r="O2911" s="101">
        <f>IF(H2911=1,IF(E2911&lt;FYStart,0,IF(E2911&gt;FYEnd,13,YEAR(E2911)*12+MONTH(E2911)-FYYM+1)),"")</f>
        <v/>
      </c>
      <c r="P2911" s="101">
        <f>IF(H2911=1,IF(IFERROR(INDEX(coa_CF,MATCH(I2911,coa_Name,0)),"")="Cash",1,0),0)</f>
        <v/>
      </c>
      <c r="Q2911" s="101">
        <f>IF(H2911=1,IF(IFERROR(INDEX(coa_CF,MATCH(K2911,coa_Name,0)),"")="Cash",1,0),0)</f>
        <v/>
      </c>
      <c r="R2911" s="58">
        <f>IF((P2911-Q2911)=0,"",IFERROR(INDEX(coa_CF,MATCH(IF((P2911-Q2911)=1,K2911,I2911),coa_Name,0)),"Operating"))</f>
        <v/>
      </c>
      <c r="S2911" s="95">
        <f>IF((P2911-Q2911)=1,L2911,IF((P2911-Q2911)=-1,-J2911,0))</f>
        <v/>
      </c>
      <c r="T2911" s="95">
        <f>IF((P2911-Q2911)=1,N2911,IF((P2911-Q2911)=-1,-M2911,0))</f>
        <v/>
      </c>
      <c r="U2911" s="101">
        <f>IF(AND(H2911=1,LedAcct&lt;&gt;""),IF(AND(E2911&gt;=LedFrom,E2911&lt;=LedTo,OR(I2911=LedAcct,K2911=LedAcct,AND(LedAcct=acctTax,M2911+N2911&lt;&gt;0))),E2911*10000+B2911,""),"")</f>
        <v/>
      </c>
    </row>
    <row r="2912">
      <c r="B2912" s="101" t="n">
        <v>2906</v>
      </c>
      <c r="C2912" s="58" t="inlineStr">
        <is>
          <t>Bill</t>
        </is>
      </c>
      <c r="D2912" s="58">
        <f>IF(H2912=1,INDEX(ap_No,406)&amp;"","")</f>
        <v/>
      </c>
      <c r="E2912" s="94">
        <f>IF(H2912=1,INDEX(ap_Date,406),"")</f>
        <v/>
      </c>
      <c r="F2912" s="58">
        <f>IF(H2912=1,INDEX(ap_Desc,406)&amp;"","")</f>
        <v/>
      </c>
      <c r="G2912" s="58">
        <f>IF(H2912=1,INDEX(ap_Party,406)&amp;"","")</f>
        <v/>
      </c>
      <c r="H2912" s="101">
        <f>IFERROR(N(INDEX(ap_Posted,406)),0)</f>
        <v/>
      </c>
      <c r="I2912" s="58">
        <f>IF(H2912=1,INDEX(ap_DrAcct,406)&amp;"","")</f>
        <v/>
      </c>
      <c r="J2912" s="95">
        <f>IF(H2912=1,INDEX(ap_DrAmt,406),0)</f>
        <v/>
      </c>
      <c r="K2912" s="58">
        <f>IF(H2912=1,INDEX(ap_CrAcct,406)&amp;"","")</f>
        <v/>
      </c>
      <c r="L2912" s="95">
        <f>IF(H2912=1,INDEX(ap_CrAmt,406),0)</f>
        <v/>
      </c>
      <c r="M2912" s="95">
        <f>IF(H2912=1,INDEX(ap_TaxAmt,406),0)</f>
        <v/>
      </c>
      <c r="N2912" s="95" t="n">
        <v>0</v>
      </c>
      <c r="O2912" s="101">
        <f>IF(H2912=1,IF(E2912&lt;FYStart,0,IF(E2912&gt;FYEnd,13,YEAR(E2912)*12+MONTH(E2912)-FYYM+1)),"")</f>
        <v/>
      </c>
      <c r="P2912" s="101">
        <f>IF(H2912=1,IF(IFERROR(INDEX(coa_CF,MATCH(I2912,coa_Name,0)),"")="Cash",1,0),0)</f>
        <v/>
      </c>
      <c r="Q2912" s="101">
        <f>IF(H2912=1,IF(IFERROR(INDEX(coa_CF,MATCH(K2912,coa_Name,0)),"")="Cash",1,0),0)</f>
        <v/>
      </c>
      <c r="R2912" s="58">
        <f>IF((P2912-Q2912)=0,"",IFERROR(INDEX(coa_CF,MATCH(IF((P2912-Q2912)=1,K2912,I2912),coa_Name,0)),"Operating"))</f>
        <v/>
      </c>
      <c r="S2912" s="95">
        <f>IF((P2912-Q2912)=1,L2912,IF((P2912-Q2912)=-1,-J2912,0))</f>
        <v/>
      </c>
      <c r="T2912" s="95">
        <f>IF((P2912-Q2912)=1,N2912,IF((P2912-Q2912)=-1,-M2912,0))</f>
        <v/>
      </c>
      <c r="U2912" s="101">
        <f>IF(AND(H2912=1,LedAcct&lt;&gt;""),IF(AND(E2912&gt;=LedFrom,E2912&lt;=LedTo,OR(I2912=LedAcct,K2912=LedAcct,AND(LedAcct=acctTax,M2912+N2912&lt;&gt;0))),E2912*10000+B2912,""),"")</f>
        <v/>
      </c>
    </row>
    <row r="2913">
      <c r="B2913" s="101" t="n">
        <v>2907</v>
      </c>
      <c r="C2913" s="58" t="inlineStr">
        <is>
          <t>Bill</t>
        </is>
      </c>
      <c r="D2913" s="58">
        <f>IF(H2913=1,INDEX(ap_No,407)&amp;"","")</f>
        <v/>
      </c>
      <c r="E2913" s="94">
        <f>IF(H2913=1,INDEX(ap_Date,407),"")</f>
        <v/>
      </c>
      <c r="F2913" s="58">
        <f>IF(H2913=1,INDEX(ap_Desc,407)&amp;"","")</f>
        <v/>
      </c>
      <c r="G2913" s="58">
        <f>IF(H2913=1,INDEX(ap_Party,407)&amp;"","")</f>
        <v/>
      </c>
      <c r="H2913" s="101">
        <f>IFERROR(N(INDEX(ap_Posted,407)),0)</f>
        <v/>
      </c>
      <c r="I2913" s="58">
        <f>IF(H2913=1,INDEX(ap_DrAcct,407)&amp;"","")</f>
        <v/>
      </c>
      <c r="J2913" s="95">
        <f>IF(H2913=1,INDEX(ap_DrAmt,407),0)</f>
        <v/>
      </c>
      <c r="K2913" s="58">
        <f>IF(H2913=1,INDEX(ap_CrAcct,407)&amp;"","")</f>
        <v/>
      </c>
      <c r="L2913" s="95">
        <f>IF(H2913=1,INDEX(ap_CrAmt,407),0)</f>
        <v/>
      </c>
      <c r="M2913" s="95">
        <f>IF(H2913=1,INDEX(ap_TaxAmt,407),0)</f>
        <v/>
      </c>
      <c r="N2913" s="95" t="n">
        <v>0</v>
      </c>
      <c r="O2913" s="101">
        <f>IF(H2913=1,IF(E2913&lt;FYStart,0,IF(E2913&gt;FYEnd,13,YEAR(E2913)*12+MONTH(E2913)-FYYM+1)),"")</f>
        <v/>
      </c>
      <c r="P2913" s="101">
        <f>IF(H2913=1,IF(IFERROR(INDEX(coa_CF,MATCH(I2913,coa_Name,0)),"")="Cash",1,0),0)</f>
        <v/>
      </c>
      <c r="Q2913" s="101">
        <f>IF(H2913=1,IF(IFERROR(INDEX(coa_CF,MATCH(K2913,coa_Name,0)),"")="Cash",1,0),0)</f>
        <v/>
      </c>
      <c r="R2913" s="58">
        <f>IF((P2913-Q2913)=0,"",IFERROR(INDEX(coa_CF,MATCH(IF((P2913-Q2913)=1,K2913,I2913),coa_Name,0)),"Operating"))</f>
        <v/>
      </c>
      <c r="S2913" s="95">
        <f>IF((P2913-Q2913)=1,L2913,IF((P2913-Q2913)=-1,-J2913,0))</f>
        <v/>
      </c>
      <c r="T2913" s="95">
        <f>IF((P2913-Q2913)=1,N2913,IF((P2913-Q2913)=-1,-M2913,0))</f>
        <v/>
      </c>
      <c r="U2913" s="101">
        <f>IF(AND(H2913=1,LedAcct&lt;&gt;""),IF(AND(E2913&gt;=LedFrom,E2913&lt;=LedTo,OR(I2913=LedAcct,K2913=LedAcct,AND(LedAcct=acctTax,M2913+N2913&lt;&gt;0))),E2913*10000+B2913,""),"")</f>
        <v/>
      </c>
    </row>
    <row r="2914">
      <c r="B2914" s="101" t="n">
        <v>2908</v>
      </c>
      <c r="C2914" s="58" t="inlineStr">
        <is>
          <t>Bill</t>
        </is>
      </c>
      <c r="D2914" s="58">
        <f>IF(H2914=1,INDEX(ap_No,408)&amp;"","")</f>
        <v/>
      </c>
      <c r="E2914" s="94">
        <f>IF(H2914=1,INDEX(ap_Date,408),"")</f>
        <v/>
      </c>
      <c r="F2914" s="58">
        <f>IF(H2914=1,INDEX(ap_Desc,408)&amp;"","")</f>
        <v/>
      </c>
      <c r="G2914" s="58">
        <f>IF(H2914=1,INDEX(ap_Party,408)&amp;"","")</f>
        <v/>
      </c>
      <c r="H2914" s="101">
        <f>IFERROR(N(INDEX(ap_Posted,408)),0)</f>
        <v/>
      </c>
      <c r="I2914" s="58">
        <f>IF(H2914=1,INDEX(ap_DrAcct,408)&amp;"","")</f>
        <v/>
      </c>
      <c r="J2914" s="95">
        <f>IF(H2914=1,INDEX(ap_DrAmt,408),0)</f>
        <v/>
      </c>
      <c r="K2914" s="58">
        <f>IF(H2914=1,INDEX(ap_CrAcct,408)&amp;"","")</f>
        <v/>
      </c>
      <c r="L2914" s="95">
        <f>IF(H2914=1,INDEX(ap_CrAmt,408),0)</f>
        <v/>
      </c>
      <c r="M2914" s="95">
        <f>IF(H2914=1,INDEX(ap_TaxAmt,408),0)</f>
        <v/>
      </c>
      <c r="N2914" s="95" t="n">
        <v>0</v>
      </c>
      <c r="O2914" s="101">
        <f>IF(H2914=1,IF(E2914&lt;FYStart,0,IF(E2914&gt;FYEnd,13,YEAR(E2914)*12+MONTH(E2914)-FYYM+1)),"")</f>
        <v/>
      </c>
      <c r="P2914" s="101">
        <f>IF(H2914=1,IF(IFERROR(INDEX(coa_CF,MATCH(I2914,coa_Name,0)),"")="Cash",1,0),0)</f>
        <v/>
      </c>
      <c r="Q2914" s="101">
        <f>IF(H2914=1,IF(IFERROR(INDEX(coa_CF,MATCH(K2914,coa_Name,0)),"")="Cash",1,0),0)</f>
        <v/>
      </c>
      <c r="R2914" s="58">
        <f>IF((P2914-Q2914)=0,"",IFERROR(INDEX(coa_CF,MATCH(IF((P2914-Q2914)=1,K2914,I2914),coa_Name,0)),"Operating"))</f>
        <v/>
      </c>
      <c r="S2914" s="95">
        <f>IF((P2914-Q2914)=1,L2914,IF((P2914-Q2914)=-1,-J2914,0))</f>
        <v/>
      </c>
      <c r="T2914" s="95">
        <f>IF((P2914-Q2914)=1,N2914,IF((P2914-Q2914)=-1,-M2914,0))</f>
        <v/>
      </c>
      <c r="U2914" s="101">
        <f>IF(AND(H2914=1,LedAcct&lt;&gt;""),IF(AND(E2914&gt;=LedFrom,E2914&lt;=LedTo,OR(I2914=LedAcct,K2914=LedAcct,AND(LedAcct=acctTax,M2914+N2914&lt;&gt;0))),E2914*10000+B2914,""),"")</f>
        <v/>
      </c>
    </row>
    <row r="2915">
      <c r="B2915" s="101" t="n">
        <v>2909</v>
      </c>
      <c r="C2915" s="58" t="inlineStr">
        <is>
          <t>Bill</t>
        </is>
      </c>
      <c r="D2915" s="58">
        <f>IF(H2915=1,INDEX(ap_No,409)&amp;"","")</f>
        <v/>
      </c>
      <c r="E2915" s="94">
        <f>IF(H2915=1,INDEX(ap_Date,409),"")</f>
        <v/>
      </c>
      <c r="F2915" s="58">
        <f>IF(H2915=1,INDEX(ap_Desc,409)&amp;"","")</f>
        <v/>
      </c>
      <c r="G2915" s="58">
        <f>IF(H2915=1,INDEX(ap_Party,409)&amp;"","")</f>
        <v/>
      </c>
      <c r="H2915" s="101">
        <f>IFERROR(N(INDEX(ap_Posted,409)),0)</f>
        <v/>
      </c>
      <c r="I2915" s="58">
        <f>IF(H2915=1,INDEX(ap_DrAcct,409)&amp;"","")</f>
        <v/>
      </c>
      <c r="J2915" s="95">
        <f>IF(H2915=1,INDEX(ap_DrAmt,409),0)</f>
        <v/>
      </c>
      <c r="K2915" s="58">
        <f>IF(H2915=1,INDEX(ap_CrAcct,409)&amp;"","")</f>
        <v/>
      </c>
      <c r="L2915" s="95">
        <f>IF(H2915=1,INDEX(ap_CrAmt,409),0)</f>
        <v/>
      </c>
      <c r="M2915" s="95">
        <f>IF(H2915=1,INDEX(ap_TaxAmt,409),0)</f>
        <v/>
      </c>
      <c r="N2915" s="95" t="n">
        <v>0</v>
      </c>
      <c r="O2915" s="101">
        <f>IF(H2915=1,IF(E2915&lt;FYStart,0,IF(E2915&gt;FYEnd,13,YEAR(E2915)*12+MONTH(E2915)-FYYM+1)),"")</f>
        <v/>
      </c>
      <c r="P2915" s="101">
        <f>IF(H2915=1,IF(IFERROR(INDEX(coa_CF,MATCH(I2915,coa_Name,0)),"")="Cash",1,0),0)</f>
        <v/>
      </c>
      <c r="Q2915" s="101">
        <f>IF(H2915=1,IF(IFERROR(INDEX(coa_CF,MATCH(K2915,coa_Name,0)),"")="Cash",1,0),0)</f>
        <v/>
      </c>
      <c r="R2915" s="58">
        <f>IF((P2915-Q2915)=0,"",IFERROR(INDEX(coa_CF,MATCH(IF((P2915-Q2915)=1,K2915,I2915),coa_Name,0)),"Operating"))</f>
        <v/>
      </c>
      <c r="S2915" s="95">
        <f>IF((P2915-Q2915)=1,L2915,IF((P2915-Q2915)=-1,-J2915,0))</f>
        <v/>
      </c>
      <c r="T2915" s="95">
        <f>IF((P2915-Q2915)=1,N2915,IF((P2915-Q2915)=-1,-M2915,0))</f>
        <v/>
      </c>
      <c r="U2915" s="101">
        <f>IF(AND(H2915=1,LedAcct&lt;&gt;""),IF(AND(E2915&gt;=LedFrom,E2915&lt;=LedTo,OR(I2915=LedAcct,K2915=LedAcct,AND(LedAcct=acctTax,M2915+N2915&lt;&gt;0))),E2915*10000+B2915,""),"")</f>
        <v/>
      </c>
    </row>
    <row r="2916">
      <c r="B2916" s="101" t="n">
        <v>2910</v>
      </c>
      <c r="C2916" s="58" t="inlineStr">
        <is>
          <t>Bill</t>
        </is>
      </c>
      <c r="D2916" s="58">
        <f>IF(H2916=1,INDEX(ap_No,410)&amp;"","")</f>
        <v/>
      </c>
      <c r="E2916" s="94">
        <f>IF(H2916=1,INDEX(ap_Date,410),"")</f>
        <v/>
      </c>
      <c r="F2916" s="58">
        <f>IF(H2916=1,INDEX(ap_Desc,410)&amp;"","")</f>
        <v/>
      </c>
      <c r="G2916" s="58">
        <f>IF(H2916=1,INDEX(ap_Party,410)&amp;"","")</f>
        <v/>
      </c>
      <c r="H2916" s="101">
        <f>IFERROR(N(INDEX(ap_Posted,410)),0)</f>
        <v/>
      </c>
      <c r="I2916" s="58">
        <f>IF(H2916=1,INDEX(ap_DrAcct,410)&amp;"","")</f>
        <v/>
      </c>
      <c r="J2916" s="95">
        <f>IF(H2916=1,INDEX(ap_DrAmt,410),0)</f>
        <v/>
      </c>
      <c r="K2916" s="58">
        <f>IF(H2916=1,INDEX(ap_CrAcct,410)&amp;"","")</f>
        <v/>
      </c>
      <c r="L2916" s="95">
        <f>IF(H2916=1,INDEX(ap_CrAmt,410),0)</f>
        <v/>
      </c>
      <c r="M2916" s="95">
        <f>IF(H2916=1,INDEX(ap_TaxAmt,410),0)</f>
        <v/>
      </c>
      <c r="N2916" s="95" t="n">
        <v>0</v>
      </c>
      <c r="O2916" s="101">
        <f>IF(H2916=1,IF(E2916&lt;FYStart,0,IF(E2916&gt;FYEnd,13,YEAR(E2916)*12+MONTH(E2916)-FYYM+1)),"")</f>
        <v/>
      </c>
      <c r="P2916" s="101">
        <f>IF(H2916=1,IF(IFERROR(INDEX(coa_CF,MATCH(I2916,coa_Name,0)),"")="Cash",1,0),0)</f>
        <v/>
      </c>
      <c r="Q2916" s="101">
        <f>IF(H2916=1,IF(IFERROR(INDEX(coa_CF,MATCH(K2916,coa_Name,0)),"")="Cash",1,0),0)</f>
        <v/>
      </c>
      <c r="R2916" s="58">
        <f>IF((P2916-Q2916)=0,"",IFERROR(INDEX(coa_CF,MATCH(IF((P2916-Q2916)=1,K2916,I2916),coa_Name,0)),"Operating"))</f>
        <v/>
      </c>
      <c r="S2916" s="95">
        <f>IF((P2916-Q2916)=1,L2916,IF((P2916-Q2916)=-1,-J2916,0))</f>
        <v/>
      </c>
      <c r="T2916" s="95">
        <f>IF((P2916-Q2916)=1,N2916,IF((P2916-Q2916)=-1,-M2916,0))</f>
        <v/>
      </c>
      <c r="U2916" s="101">
        <f>IF(AND(H2916=1,LedAcct&lt;&gt;""),IF(AND(E2916&gt;=LedFrom,E2916&lt;=LedTo,OR(I2916=LedAcct,K2916=LedAcct,AND(LedAcct=acctTax,M2916+N2916&lt;&gt;0))),E2916*10000+B2916,""),"")</f>
        <v/>
      </c>
    </row>
    <row r="2917">
      <c r="B2917" s="101" t="n">
        <v>2911</v>
      </c>
      <c r="C2917" s="58" t="inlineStr">
        <is>
          <t>Bill</t>
        </is>
      </c>
      <c r="D2917" s="58">
        <f>IF(H2917=1,INDEX(ap_No,411)&amp;"","")</f>
        <v/>
      </c>
      <c r="E2917" s="94">
        <f>IF(H2917=1,INDEX(ap_Date,411),"")</f>
        <v/>
      </c>
      <c r="F2917" s="58">
        <f>IF(H2917=1,INDEX(ap_Desc,411)&amp;"","")</f>
        <v/>
      </c>
      <c r="G2917" s="58">
        <f>IF(H2917=1,INDEX(ap_Party,411)&amp;"","")</f>
        <v/>
      </c>
      <c r="H2917" s="101">
        <f>IFERROR(N(INDEX(ap_Posted,411)),0)</f>
        <v/>
      </c>
      <c r="I2917" s="58">
        <f>IF(H2917=1,INDEX(ap_DrAcct,411)&amp;"","")</f>
        <v/>
      </c>
      <c r="J2917" s="95">
        <f>IF(H2917=1,INDEX(ap_DrAmt,411),0)</f>
        <v/>
      </c>
      <c r="K2917" s="58">
        <f>IF(H2917=1,INDEX(ap_CrAcct,411)&amp;"","")</f>
        <v/>
      </c>
      <c r="L2917" s="95">
        <f>IF(H2917=1,INDEX(ap_CrAmt,411),0)</f>
        <v/>
      </c>
      <c r="M2917" s="95">
        <f>IF(H2917=1,INDEX(ap_TaxAmt,411),0)</f>
        <v/>
      </c>
      <c r="N2917" s="95" t="n">
        <v>0</v>
      </c>
      <c r="O2917" s="101">
        <f>IF(H2917=1,IF(E2917&lt;FYStart,0,IF(E2917&gt;FYEnd,13,YEAR(E2917)*12+MONTH(E2917)-FYYM+1)),"")</f>
        <v/>
      </c>
      <c r="P2917" s="101">
        <f>IF(H2917=1,IF(IFERROR(INDEX(coa_CF,MATCH(I2917,coa_Name,0)),"")="Cash",1,0),0)</f>
        <v/>
      </c>
      <c r="Q2917" s="101">
        <f>IF(H2917=1,IF(IFERROR(INDEX(coa_CF,MATCH(K2917,coa_Name,0)),"")="Cash",1,0),0)</f>
        <v/>
      </c>
      <c r="R2917" s="58">
        <f>IF((P2917-Q2917)=0,"",IFERROR(INDEX(coa_CF,MATCH(IF((P2917-Q2917)=1,K2917,I2917),coa_Name,0)),"Operating"))</f>
        <v/>
      </c>
      <c r="S2917" s="95">
        <f>IF((P2917-Q2917)=1,L2917,IF((P2917-Q2917)=-1,-J2917,0))</f>
        <v/>
      </c>
      <c r="T2917" s="95">
        <f>IF((P2917-Q2917)=1,N2917,IF((P2917-Q2917)=-1,-M2917,0))</f>
        <v/>
      </c>
      <c r="U2917" s="101">
        <f>IF(AND(H2917=1,LedAcct&lt;&gt;""),IF(AND(E2917&gt;=LedFrom,E2917&lt;=LedTo,OR(I2917=LedAcct,K2917=LedAcct,AND(LedAcct=acctTax,M2917+N2917&lt;&gt;0))),E2917*10000+B2917,""),"")</f>
        <v/>
      </c>
    </row>
    <row r="2918">
      <c r="B2918" s="101" t="n">
        <v>2912</v>
      </c>
      <c r="C2918" s="58" t="inlineStr">
        <is>
          <t>Bill</t>
        </is>
      </c>
      <c r="D2918" s="58">
        <f>IF(H2918=1,INDEX(ap_No,412)&amp;"","")</f>
        <v/>
      </c>
      <c r="E2918" s="94">
        <f>IF(H2918=1,INDEX(ap_Date,412),"")</f>
        <v/>
      </c>
      <c r="F2918" s="58">
        <f>IF(H2918=1,INDEX(ap_Desc,412)&amp;"","")</f>
        <v/>
      </c>
      <c r="G2918" s="58">
        <f>IF(H2918=1,INDEX(ap_Party,412)&amp;"","")</f>
        <v/>
      </c>
      <c r="H2918" s="101">
        <f>IFERROR(N(INDEX(ap_Posted,412)),0)</f>
        <v/>
      </c>
      <c r="I2918" s="58">
        <f>IF(H2918=1,INDEX(ap_DrAcct,412)&amp;"","")</f>
        <v/>
      </c>
      <c r="J2918" s="95">
        <f>IF(H2918=1,INDEX(ap_DrAmt,412),0)</f>
        <v/>
      </c>
      <c r="K2918" s="58">
        <f>IF(H2918=1,INDEX(ap_CrAcct,412)&amp;"","")</f>
        <v/>
      </c>
      <c r="L2918" s="95">
        <f>IF(H2918=1,INDEX(ap_CrAmt,412),0)</f>
        <v/>
      </c>
      <c r="M2918" s="95">
        <f>IF(H2918=1,INDEX(ap_TaxAmt,412),0)</f>
        <v/>
      </c>
      <c r="N2918" s="95" t="n">
        <v>0</v>
      </c>
      <c r="O2918" s="101">
        <f>IF(H2918=1,IF(E2918&lt;FYStart,0,IF(E2918&gt;FYEnd,13,YEAR(E2918)*12+MONTH(E2918)-FYYM+1)),"")</f>
        <v/>
      </c>
      <c r="P2918" s="101">
        <f>IF(H2918=1,IF(IFERROR(INDEX(coa_CF,MATCH(I2918,coa_Name,0)),"")="Cash",1,0),0)</f>
        <v/>
      </c>
      <c r="Q2918" s="101">
        <f>IF(H2918=1,IF(IFERROR(INDEX(coa_CF,MATCH(K2918,coa_Name,0)),"")="Cash",1,0),0)</f>
        <v/>
      </c>
      <c r="R2918" s="58">
        <f>IF((P2918-Q2918)=0,"",IFERROR(INDEX(coa_CF,MATCH(IF((P2918-Q2918)=1,K2918,I2918),coa_Name,0)),"Operating"))</f>
        <v/>
      </c>
      <c r="S2918" s="95">
        <f>IF((P2918-Q2918)=1,L2918,IF((P2918-Q2918)=-1,-J2918,0))</f>
        <v/>
      </c>
      <c r="T2918" s="95">
        <f>IF((P2918-Q2918)=1,N2918,IF((P2918-Q2918)=-1,-M2918,0))</f>
        <v/>
      </c>
      <c r="U2918" s="101">
        <f>IF(AND(H2918=1,LedAcct&lt;&gt;""),IF(AND(E2918&gt;=LedFrom,E2918&lt;=LedTo,OR(I2918=LedAcct,K2918=LedAcct,AND(LedAcct=acctTax,M2918+N2918&lt;&gt;0))),E2918*10000+B2918,""),"")</f>
        <v/>
      </c>
    </row>
    <row r="2919">
      <c r="B2919" s="101" t="n">
        <v>2913</v>
      </c>
      <c r="C2919" s="58" t="inlineStr">
        <is>
          <t>Bill</t>
        </is>
      </c>
      <c r="D2919" s="58">
        <f>IF(H2919=1,INDEX(ap_No,413)&amp;"","")</f>
        <v/>
      </c>
      <c r="E2919" s="94">
        <f>IF(H2919=1,INDEX(ap_Date,413),"")</f>
        <v/>
      </c>
      <c r="F2919" s="58">
        <f>IF(H2919=1,INDEX(ap_Desc,413)&amp;"","")</f>
        <v/>
      </c>
      <c r="G2919" s="58">
        <f>IF(H2919=1,INDEX(ap_Party,413)&amp;"","")</f>
        <v/>
      </c>
      <c r="H2919" s="101">
        <f>IFERROR(N(INDEX(ap_Posted,413)),0)</f>
        <v/>
      </c>
      <c r="I2919" s="58">
        <f>IF(H2919=1,INDEX(ap_DrAcct,413)&amp;"","")</f>
        <v/>
      </c>
      <c r="J2919" s="95">
        <f>IF(H2919=1,INDEX(ap_DrAmt,413),0)</f>
        <v/>
      </c>
      <c r="K2919" s="58">
        <f>IF(H2919=1,INDEX(ap_CrAcct,413)&amp;"","")</f>
        <v/>
      </c>
      <c r="L2919" s="95">
        <f>IF(H2919=1,INDEX(ap_CrAmt,413),0)</f>
        <v/>
      </c>
      <c r="M2919" s="95">
        <f>IF(H2919=1,INDEX(ap_TaxAmt,413),0)</f>
        <v/>
      </c>
      <c r="N2919" s="95" t="n">
        <v>0</v>
      </c>
      <c r="O2919" s="101">
        <f>IF(H2919=1,IF(E2919&lt;FYStart,0,IF(E2919&gt;FYEnd,13,YEAR(E2919)*12+MONTH(E2919)-FYYM+1)),"")</f>
        <v/>
      </c>
      <c r="P2919" s="101">
        <f>IF(H2919=1,IF(IFERROR(INDEX(coa_CF,MATCH(I2919,coa_Name,0)),"")="Cash",1,0),0)</f>
        <v/>
      </c>
      <c r="Q2919" s="101">
        <f>IF(H2919=1,IF(IFERROR(INDEX(coa_CF,MATCH(K2919,coa_Name,0)),"")="Cash",1,0),0)</f>
        <v/>
      </c>
      <c r="R2919" s="58">
        <f>IF((P2919-Q2919)=0,"",IFERROR(INDEX(coa_CF,MATCH(IF((P2919-Q2919)=1,K2919,I2919),coa_Name,0)),"Operating"))</f>
        <v/>
      </c>
      <c r="S2919" s="95">
        <f>IF((P2919-Q2919)=1,L2919,IF((P2919-Q2919)=-1,-J2919,0))</f>
        <v/>
      </c>
      <c r="T2919" s="95">
        <f>IF((P2919-Q2919)=1,N2919,IF((P2919-Q2919)=-1,-M2919,0))</f>
        <v/>
      </c>
      <c r="U2919" s="101">
        <f>IF(AND(H2919=1,LedAcct&lt;&gt;""),IF(AND(E2919&gt;=LedFrom,E2919&lt;=LedTo,OR(I2919=LedAcct,K2919=LedAcct,AND(LedAcct=acctTax,M2919+N2919&lt;&gt;0))),E2919*10000+B2919,""),"")</f>
        <v/>
      </c>
    </row>
    <row r="2920">
      <c r="B2920" s="101" t="n">
        <v>2914</v>
      </c>
      <c r="C2920" s="58" t="inlineStr">
        <is>
          <t>Bill</t>
        </is>
      </c>
      <c r="D2920" s="58">
        <f>IF(H2920=1,INDEX(ap_No,414)&amp;"","")</f>
        <v/>
      </c>
      <c r="E2920" s="94">
        <f>IF(H2920=1,INDEX(ap_Date,414),"")</f>
        <v/>
      </c>
      <c r="F2920" s="58">
        <f>IF(H2920=1,INDEX(ap_Desc,414)&amp;"","")</f>
        <v/>
      </c>
      <c r="G2920" s="58">
        <f>IF(H2920=1,INDEX(ap_Party,414)&amp;"","")</f>
        <v/>
      </c>
      <c r="H2920" s="101">
        <f>IFERROR(N(INDEX(ap_Posted,414)),0)</f>
        <v/>
      </c>
      <c r="I2920" s="58">
        <f>IF(H2920=1,INDEX(ap_DrAcct,414)&amp;"","")</f>
        <v/>
      </c>
      <c r="J2920" s="95">
        <f>IF(H2920=1,INDEX(ap_DrAmt,414),0)</f>
        <v/>
      </c>
      <c r="K2920" s="58">
        <f>IF(H2920=1,INDEX(ap_CrAcct,414)&amp;"","")</f>
        <v/>
      </c>
      <c r="L2920" s="95">
        <f>IF(H2920=1,INDEX(ap_CrAmt,414),0)</f>
        <v/>
      </c>
      <c r="M2920" s="95">
        <f>IF(H2920=1,INDEX(ap_TaxAmt,414),0)</f>
        <v/>
      </c>
      <c r="N2920" s="95" t="n">
        <v>0</v>
      </c>
      <c r="O2920" s="101">
        <f>IF(H2920=1,IF(E2920&lt;FYStart,0,IF(E2920&gt;FYEnd,13,YEAR(E2920)*12+MONTH(E2920)-FYYM+1)),"")</f>
        <v/>
      </c>
      <c r="P2920" s="101">
        <f>IF(H2920=1,IF(IFERROR(INDEX(coa_CF,MATCH(I2920,coa_Name,0)),"")="Cash",1,0),0)</f>
        <v/>
      </c>
      <c r="Q2920" s="101">
        <f>IF(H2920=1,IF(IFERROR(INDEX(coa_CF,MATCH(K2920,coa_Name,0)),"")="Cash",1,0),0)</f>
        <v/>
      </c>
      <c r="R2920" s="58">
        <f>IF((P2920-Q2920)=0,"",IFERROR(INDEX(coa_CF,MATCH(IF((P2920-Q2920)=1,K2920,I2920),coa_Name,0)),"Operating"))</f>
        <v/>
      </c>
      <c r="S2920" s="95">
        <f>IF((P2920-Q2920)=1,L2920,IF((P2920-Q2920)=-1,-J2920,0))</f>
        <v/>
      </c>
      <c r="T2920" s="95">
        <f>IF((P2920-Q2920)=1,N2920,IF((P2920-Q2920)=-1,-M2920,0))</f>
        <v/>
      </c>
      <c r="U2920" s="101">
        <f>IF(AND(H2920=1,LedAcct&lt;&gt;""),IF(AND(E2920&gt;=LedFrom,E2920&lt;=LedTo,OR(I2920=LedAcct,K2920=LedAcct,AND(LedAcct=acctTax,M2920+N2920&lt;&gt;0))),E2920*10000+B2920,""),"")</f>
        <v/>
      </c>
    </row>
    <row r="2921">
      <c r="B2921" s="101" t="n">
        <v>2915</v>
      </c>
      <c r="C2921" s="58" t="inlineStr">
        <is>
          <t>Bill</t>
        </is>
      </c>
      <c r="D2921" s="58">
        <f>IF(H2921=1,INDEX(ap_No,415)&amp;"","")</f>
        <v/>
      </c>
      <c r="E2921" s="94">
        <f>IF(H2921=1,INDEX(ap_Date,415),"")</f>
        <v/>
      </c>
      <c r="F2921" s="58">
        <f>IF(H2921=1,INDEX(ap_Desc,415)&amp;"","")</f>
        <v/>
      </c>
      <c r="G2921" s="58">
        <f>IF(H2921=1,INDEX(ap_Party,415)&amp;"","")</f>
        <v/>
      </c>
      <c r="H2921" s="101">
        <f>IFERROR(N(INDEX(ap_Posted,415)),0)</f>
        <v/>
      </c>
      <c r="I2921" s="58">
        <f>IF(H2921=1,INDEX(ap_DrAcct,415)&amp;"","")</f>
        <v/>
      </c>
      <c r="J2921" s="95">
        <f>IF(H2921=1,INDEX(ap_DrAmt,415),0)</f>
        <v/>
      </c>
      <c r="K2921" s="58">
        <f>IF(H2921=1,INDEX(ap_CrAcct,415)&amp;"","")</f>
        <v/>
      </c>
      <c r="L2921" s="95">
        <f>IF(H2921=1,INDEX(ap_CrAmt,415),0)</f>
        <v/>
      </c>
      <c r="M2921" s="95">
        <f>IF(H2921=1,INDEX(ap_TaxAmt,415),0)</f>
        <v/>
      </c>
      <c r="N2921" s="95" t="n">
        <v>0</v>
      </c>
      <c r="O2921" s="101">
        <f>IF(H2921=1,IF(E2921&lt;FYStart,0,IF(E2921&gt;FYEnd,13,YEAR(E2921)*12+MONTH(E2921)-FYYM+1)),"")</f>
        <v/>
      </c>
      <c r="P2921" s="101">
        <f>IF(H2921=1,IF(IFERROR(INDEX(coa_CF,MATCH(I2921,coa_Name,0)),"")="Cash",1,0),0)</f>
        <v/>
      </c>
      <c r="Q2921" s="101">
        <f>IF(H2921=1,IF(IFERROR(INDEX(coa_CF,MATCH(K2921,coa_Name,0)),"")="Cash",1,0),0)</f>
        <v/>
      </c>
      <c r="R2921" s="58">
        <f>IF((P2921-Q2921)=0,"",IFERROR(INDEX(coa_CF,MATCH(IF((P2921-Q2921)=1,K2921,I2921),coa_Name,0)),"Operating"))</f>
        <v/>
      </c>
      <c r="S2921" s="95">
        <f>IF((P2921-Q2921)=1,L2921,IF((P2921-Q2921)=-1,-J2921,0))</f>
        <v/>
      </c>
      <c r="T2921" s="95">
        <f>IF((P2921-Q2921)=1,N2921,IF((P2921-Q2921)=-1,-M2921,0))</f>
        <v/>
      </c>
      <c r="U2921" s="101">
        <f>IF(AND(H2921=1,LedAcct&lt;&gt;""),IF(AND(E2921&gt;=LedFrom,E2921&lt;=LedTo,OR(I2921=LedAcct,K2921=LedAcct,AND(LedAcct=acctTax,M2921+N2921&lt;&gt;0))),E2921*10000+B2921,""),"")</f>
        <v/>
      </c>
    </row>
    <row r="2922">
      <c r="B2922" s="101" t="n">
        <v>2916</v>
      </c>
      <c r="C2922" s="58" t="inlineStr">
        <is>
          <t>Bill</t>
        </is>
      </c>
      <c r="D2922" s="58">
        <f>IF(H2922=1,INDEX(ap_No,416)&amp;"","")</f>
        <v/>
      </c>
      <c r="E2922" s="94">
        <f>IF(H2922=1,INDEX(ap_Date,416),"")</f>
        <v/>
      </c>
      <c r="F2922" s="58">
        <f>IF(H2922=1,INDEX(ap_Desc,416)&amp;"","")</f>
        <v/>
      </c>
      <c r="G2922" s="58">
        <f>IF(H2922=1,INDEX(ap_Party,416)&amp;"","")</f>
        <v/>
      </c>
      <c r="H2922" s="101">
        <f>IFERROR(N(INDEX(ap_Posted,416)),0)</f>
        <v/>
      </c>
      <c r="I2922" s="58">
        <f>IF(H2922=1,INDEX(ap_DrAcct,416)&amp;"","")</f>
        <v/>
      </c>
      <c r="J2922" s="95">
        <f>IF(H2922=1,INDEX(ap_DrAmt,416),0)</f>
        <v/>
      </c>
      <c r="K2922" s="58">
        <f>IF(H2922=1,INDEX(ap_CrAcct,416)&amp;"","")</f>
        <v/>
      </c>
      <c r="L2922" s="95">
        <f>IF(H2922=1,INDEX(ap_CrAmt,416),0)</f>
        <v/>
      </c>
      <c r="M2922" s="95">
        <f>IF(H2922=1,INDEX(ap_TaxAmt,416),0)</f>
        <v/>
      </c>
      <c r="N2922" s="95" t="n">
        <v>0</v>
      </c>
      <c r="O2922" s="101">
        <f>IF(H2922=1,IF(E2922&lt;FYStart,0,IF(E2922&gt;FYEnd,13,YEAR(E2922)*12+MONTH(E2922)-FYYM+1)),"")</f>
        <v/>
      </c>
      <c r="P2922" s="101">
        <f>IF(H2922=1,IF(IFERROR(INDEX(coa_CF,MATCH(I2922,coa_Name,0)),"")="Cash",1,0),0)</f>
        <v/>
      </c>
      <c r="Q2922" s="101">
        <f>IF(H2922=1,IF(IFERROR(INDEX(coa_CF,MATCH(K2922,coa_Name,0)),"")="Cash",1,0),0)</f>
        <v/>
      </c>
      <c r="R2922" s="58">
        <f>IF((P2922-Q2922)=0,"",IFERROR(INDEX(coa_CF,MATCH(IF((P2922-Q2922)=1,K2922,I2922),coa_Name,0)),"Operating"))</f>
        <v/>
      </c>
      <c r="S2922" s="95">
        <f>IF((P2922-Q2922)=1,L2922,IF((P2922-Q2922)=-1,-J2922,0))</f>
        <v/>
      </c>
      <c r="T2922" s="95">
        <f>IF((P2922-Q2922)=1,N2922,IF((P2922-Q2922)=-1,-M2922,0))</f>
        <v/>
      </c>
      <c r="U2922" s="101">
        <f>IF(AND(H2922=1,LedAcct&lt;&gt;""),IF(AND(E2922&gt;=LedFrom,E2922&lt;=LedTo,OR(I2922=LedAcct,K2922=LedAcct,AND(LedAcct=acctTax,M2922+N2922&lt;&gt;0))),E2922*10000+B2922,""),"")</f>
        <v/>
      </c>
    </row>
    <row r="2923">
      <c r="B2923" s="101" t="n">
        <v>2917</v>
      </c>
      <c r="C2923" s="58" t="inlineStr">
        <is>
          <t>Bill</t>
        </is>
      </c>
      <c r="D2923" s="58">
        <f>IF(H2923=1,INDEX(ap_No,417)&amp;"","")</f>
        <v/>
      </c>
      <c r="E2923" s="94">
        <f>IF(H2923=1,INDEX(ap_Date,417),"")</f>
        <v/>
      </c>
      <c r="F2923" s="58">
        <f>IF(H2923=1,INDEX(ap_Desc,417)&amp;"","")</f>
        <v/>
      </c>
      <c r="G2923" s="58">
        <f>IF(H2923=1,INDEX(ap_Party,417)&amp;"","")</f>
        <v/>
      </c>
      <c r="H2923" s="101">
        <f>IFERROR(N(INDEX(ap_Posted,417)),0)</f>
        <v/>
      </c>
      <c r="I2923" s="58">
        <f>IF(H2923=1,INDEX(ap_DrAcct,417)&amp;"","")</f>
        <v/>
      </c>
      <c r="J2923" s="95">
        <f>IF(H2923=1,INDEX(ap_DrAmt,417),0)</f>
        <v/>
      </c>
      <c r="K2923" s="58">
        <f>IF(H2923=1,INDEX(ap_CrAcct,417)&amp;"","")</f>
        <v/>
      </c>
      <c r="L2923" s="95">
        <f>IF(H2923=1,INDEX(ap_CrAmt,417),0)</f>
        <v/>
      </c>
      <c r="M2923" s="95">
        <f>IF(H2923=1,INDEX(ap_TaxAmt,417),0)</f>
        <v/>
      </c>
      <c r="N2923" s="95" t="n">
        <v>0</v>
      </c>
      <c r="O2923" s="101">
        <f>IF(H2923=1,IF(E2923&lt;FYStart,0,IF(E2923&gt;FYEnd,13,YEAR(E2923)*12+MONTH(E2923)-FYYM+1)),"")</f>
        <v/>
      </c>
      <c r="P2923" s="101">
        <f>IF(H2923=1,IF(IFERROR(INDEX(coa_CF,MATCH(I2923,coa_Name,0)),"")="Cash",1,0),0)</f>
        <v/>
      </c>
      <c r="Q2923" s="101">
        <f>IF(H2923=1,IF(IFERROR(INDEX(coa_CF,MATCH(K2923,coa_Name,0)),"")="Cash",1,0),0)</f>
        <v/>
      </c>
      <c r="R2923" s="58">
        <f>IF((P2923-Q2923)=0,"",IFERROR(INDEX(coa_CF,MATCH(IF((P2923-Q2923)=1,K2923,I2923),coa_Name,0)),"Operating"))</f>
        <v/>
      </c>
      <c r="S2923" s="95">
        <f>IF((P2923-Q2923)=1,L2923,IF((P2923-Q2923)=-1,-J2923,0))</f>
        <v/>
      </c>
      <c r="T2923" s="95">
        <f>IF((P2923-Q2923)=1,N2923,IF((P2923-Q2923)=-1,-M2923,0))</f>
        <v/>
      </c>
      <c r="U2923" s="101">
        <f>IF(AND(H2923=1,LedAcct&lt;&gt;""),IF(AND(E2923&gt;=LedFrom,E2923&lt;=LedTo,OR(I2923=LedAcct,K2923=LedAcct,AND(LedAcct=acctTax,M2923+N2923&lt;&gt;0))),E2923*10000+B2923,""),"")</f>
        <v/>
      </c>
    </row>
    <row r="2924">
      <c r="B2924" s="101" t="n">
        <v>2918</v>
      </c>
      <c r="C2924" s="58" t="inlineStr">
        <is>
          <t>Bill</t>
        </is>
      </c>
      <c r="D2924" s="58">
        <f>IF(H2924=1,INDEX(ap_No,418)&amp;"","")</f>
        <v/>
      </c>
      <c r="E2924" s="94">
        <f>IF(H2924=1,INDEX(ap_Date,418),"")</f>
        <v/>
      </c>
      <c r="F2924" s="58">
        <f>IF(H2924=1,INDEX(ap_Desc,418)&amp;"","")</f>
        <v/>
      </c>
      <c r="G2924" s="58">
        <f>IF(H2924=1,INDEX(ap_Party,418)&amp;"","")</f>
        <v/>
      </c>
      <c r="H2924" s="101">
        <f>IFERROR(N(INDEX(ap_Posted,418)),0)</f>
        <v/>
      </c>
      <c r="I2924" s="58">
        <f>IF(H2924=1,INDEX(ap_DrAcct,418)&amp;"","")</f>
        <v/>
      </c>
      <c r="J2924" s="95">
        <f>IF(H2924=1,INDEX(ap_DrAmt,418),0)</f>
        <v/>
      </c>
      <c r="K2924" s="58">
        <f>IF(H2924=1,INDEX(ap_CrAcct,418)&amp;"","")</f>
        <v/>
      </c>
      <c r="L2924" s="95">
        <f>IF(H2924=1,INDEX(ap_CrAmt,418),0)</f>
        <v/>
      </c>
      <c r="M2924" s="95">
        <f>IF(H2924=1,INDEX(ap_TaxAmt,418),0)</f>
        <v/>
      </c>
      <c r="N2924" s="95" t="n">
        <v>0</v>
      </c>
      <c r="O2924" s="101">
        <f>IF(H2924=1,IF(E2924&lt;FYStart,0,IF(E2924&gt;FYEnd,13,YEAR(E2924)*12+MONTH(E2924)-FYYM+1)),"")</f>
        <v/>
      </c>
      <c r="P2924" s="101">
        <f>IF(H2924=1,IF(IFERROR(INDEX(coa_CF,MATCH(I2924,coa_Name,0)),"")="Cash",1,0),0)</f>
        <v/>
      </c>
      <c r="Q2924" s="101">
        <f>IF(H2924=1,IF(IFERROR(INDEX(coa_CF,MATCH(K2924,coa_Name,0)),"")="Cash",1,0),0)</f>
        <v/>
      </c>
      <c r="R2924" s="58">
        <f>IF((P2924-Q2924)=0,"",IFERROR(INDEX(coa_CF,MATCH(IF((P2924-Q2924)=1,K2924,I2924),coa_Name,0)),"Operating"))</f>
        <v/>
      </c>
      <c r="S2924" s="95">
        <f>IF((P2924-Q2924)=1,L2924,IF((P2924-Q2924)=-1,-J2924,0))</f>
        <v/>
      </c>
      <c r="T2924" s="95">
        <f>IF((P2924-Q2924)=1,N2924,IF((P2924-Q2924)=-1,-M2924,0))</f>
        <v/>
      </c>
      <c r="U2924" s="101">
        <f>IF(AND(H2924=1,LedAcct&lt;&gt;""),IF(AND(E2924&gt;=LedFrom,E2924&lt;=LedTo,OR(I2924=LedAcct,K2924=LedAcct,AND(LedAcct=acctTax,M2924+N2924&lt;&gt;0))),E2924*10000+B2924,""),"")</f>
        <v/>
      </c>
    </row>
    <row r="2925">
      <c r="B2925" s="101" t="n">
        <v>2919</v>
      </c>
      <c r="C2925" s="58" t="inlineStr">
        <is>
          <t>Bill</t>
        </is>
      </c>
      <c r="D2925" s="58">
        <f>IF(H2925=1,INDEX(ap_No,419)&amp;"","")</f>
        <v/>
      </c>
      <c r="E2925" s="94">
        <f>IF(H2925=1,INDEX(ap_Date,419),"")</f>
        <v/>
      </c>
      <c r="F2925" s="58">
        <f>IF(H2925=1,INDEX(ap_Desc,419)&amp;"","")</f>
        <v/>
      </c>
      <c r="G2925" s="58">
        <f>IF(H2925=1,INDEX(ap_Party,419)&amp;"","")</f>
        <v/>
      </c>
      <c r="H2925" s="101">
        <f>IFERROR(N(INDEX(ap_Posted,419)),0)</f>
        <v/>
      </c>
      <c r="I2925" s="58">
        <f>IF(H2925=1,INDEX(ap_DrAcct,419)&amp;"","")</f>
        <v/>
      </c>
      <c r="J2925" s="95">
        <f>IF(H2925=1,INDEX(ap_DrAmt,419),0)</f>
        <v/>
      </c>
      <c r="K2925" s="58">
        <f>IF(H2925=1,INDEX(ap_CrAcct,419)&amp;"","")</f>
        <v/>
      </c>
      <c r="L2925" s="95">
        <f>IF(H2925=1,INDEX(ap_CrAmt,419),0)</f>
        <v/>
      </c>
      <c r="M2925" s="95">
        <f>IF(H2925=1,INDEX(ap_TaxAmt,419),0)</f>
        <v/>
      </c>
      <c r="N2925" s="95" t="n">
        <v>0</v>
      </c>
      <c r="O2925" s="101">
        <f>IF(H2925=1,IF(E2925&lt;FYStart,0,IF(E2925&gt;FYEnd,13,YEAR(E2925)*12+MONTH(E2925)-FYYM+1)),"")</f>
        <v/>
      </c>
      <c r="P2925" s="101">
        <f>IF(H2925=1,IF(IFERROR(INDEX(coa_CF,MATCH(I2925,coa_Name,0)),"")="Cash",1,0),0)</f>
        <v/>
      </c>
      <c r="Q2925" s="101">
        <f>IF(H2925=1,IF(IFERROR(INDEX(coa_CF,MATCH(K2925,coa_Name,0)),"")="Cash",1,0),0)</f>
        <v/>
      </c>
      <c r="R2925" s="58">
        <f>IF((P2925-Q2925)=0,"",IFERROR(INDEX(coa_CF,MATCH(IF((P2925-Q2925)=1,K2925,I2925),coa_Name,0)),"Operating"))</f>
        <v/>
      </c>
      <c r="S2925" s="95">
        <f>IF((P2925-Q2925)=1,L2925,IF((P2925-Q2925)=-1,-J2925,0))</f>
        <v/>
      </c>
      <c r="T2925" s="95">
        <f>IF((P2925-Q2925)=1,N2925,IF((P2925-Q2925)=-1,-M2925,0))</f>
        <v/>
      </c>
      <c r="U2925" s="101">
        <f>IF(AND(H2925=1,LedAcct&lt;&gt;""),IF(AND(E2925&gt;=LedFrom,E2925&lt;=LedTo,OR(I2925=LedAcct,K2925=LedAcct,AND(LedAcct=acctTax,M2925+N2925&lt;&gt;0))),E2925*10000+B2925,""),"")</f>
        <v/>
      </c>
    </row>
    <row r="2926">
      <c r="B2926" s="101" t="n">
        <v>2920</v>
      </c>
      <c r="C2926" s="58" t="inlineStr">
        <is>
          <t>Bill</t>
        </is>
      </c>
      <c r="D2926" s="58">
        <f>IF(H2926=1,INDEX(ap_No,420)&amp;"","")</f>
        <v/>
      </c>
      <c r="E2926" s="94">
        <f>IF(H2926=1,INDEX(ap_Date,420),"")</f>
        <v/>
      </c>
      <c r="F2926" s="58">
        <f>IF(H2926=1,INDEX(ap_Desc,420)&amp;"","")</f>
        <v/>
      </c>
      <c r="G2926" s="58">
        <f>IF(H2926=1,INDEX(ap_Party,420)&amp;"","")</f>
        <v/>
      </c>
      <c r="H2926" s="101">
        <f>IFERROR(N(INDEX(ap_Posted,420)),0)</f>
        <v/>
      </c>
      <c r="I2926" s="58">
        <f>IF(H2926=1,INDEX(ap_DrAcct,420)&amp;"","")</f>
        <v/>
      </c>
      <c r="J2926" s="95">
        <f>IF(H2926=1,INDEX(ap_DrAmt,420),0)</f>
        <v/>
      </c>
      <c r="K2926" s="58">
        <f>IF(H2926=1,INDEX(ap_CrAcct,420)&amp;"","")</f>
        <v/>
      </c>
      <c r="L2926" s="95">
        <f>IF(H2926=1,INDEX(ap_CrAmt,420),0)</f>
        <v/>
      </c>
      <c r="M2926" s="95">
        <f>IF(H2926=1,INDEX(ap_TaxAmt,420),0)</f>
        <v/>
      </c>
      <c r="N2926" s="95" t="n">
        <v>0</v>
      </c>
      <c r="O2926" s="101">
        <f>IF(H2926=1,IF(E2926&lt;FYStart,0,IF(E2926&gt;FYEnd,13,YEAR(E2926)*12+MONTH(E2926)-FYYM+1)),"")</f>
        <v/>
      </c>
      <c r="P2926" s="101">
        <f>IF(H2926=1,IF(IFERROR(INDEX(coa_CF,MATCH(I2926,coa_Name,0)),"")="Cash",1,0),0)</f>
        <v/>
      </c>
      <c r="Q2926" s="101">
        <f>IF(H2926=1,IF(IFERROR(INDEX(coa_CF,MATCH(K2926,coa_Name,0)),"")="Cash",1,0),0)</f>
        <v/>
      </c>
      <c r="R2926" s="58">
        <f>IF((P2926-Q2926)=0,"",IFERROR(INDEX(coa_CF,MATCH(IF((P2926-Q2926)=1,K2926,I2926),coa_Name,0)),"Operating"))</f>
        <v/>
      </c>
      <c r="S2926" s="95">
        <f>IF((P2926-Q2926)=1,L2926,IF((P2926-Q2926)=-1,-J2926,0))</f>
        <v/>
      </c>
      <c r="T2926" s="95">
        <f>IF((P2926-Q2926)=1,N2926,IF((P2926-Q2926)=-1,-M2926,0))</f>
        <v/>
      </c>
      <c r="U2926" s="101">
        <f>IF(AND(H2926=1,LedAcct&lt;&gt;""),IF(AND(E2926&gt;=LedFrom,E2926&lt;=LedTo,OR(I2926=LedAcct,K2926=LedAcct,AND(LedAcct=acctTax,M2926+N2926&lt;&gt;0))),E2926*10000+B2926,""),"")</f>
        <v/>
      </c>
    </row>
    <row r="2927">
      <c r="B2927" s="101" t="n">
        <v>2921</v>
      </c>
      <c r="C2927" s="58" t="inlineStr">
        <is>
          <t>Bill</t>
        </is>
      </c>
      <c r="D2927" s="58">
        <f>IF(H2927=1,INDEX(ap_No,421)&amp;"","")</f>
        <v/>
      </c>
      <c r="E2927" s="94">
        <f>IF(H2927=1,INDEX(ap_Date,421),"")</f>
        <v/>
      </c>
      <c r="F2927" s="58">
        <f>IF(H2927=1,INDEX(ap_Desc,421)&amp;"","")</f>
        <v/>
      </c>
      <c r="G2927" s="58">
        <f>IF(H2927=1,INDEX(ap_Party,421)&amp;"","")</f>
        <v/>
      </c>
      <c r="H2927" s="101">
        <f>IFERROR(N(INDEX(ap_Posted,421)),0)</f>
        <v/>
      </c>
      <c r="I2927" s="58">
        <f>IF(H2927=1,INDEX(ap_DrAcct,421)&amp;"","")</f>
        <v/>
      </c>
      <c r="J2927" s="95">
        <f>IF(H2927=1,INDEX(ap_DrAmt,421),0)</f>
        <v/>
      </c>
      <c r="K2927" s="58">
        <f>IF(H2927=1,INDEX(ap_CrAcct,421)&amp;"","")</f>
        <v/>
      </c>
      <c r="L2927" s="95">
        <f>IF(H2927=1,INDEX(ap_CrAmt,421),0)</f>
        <v/>
      </c>
      <c r="M2927" s="95">
        <f>IF(H2927=1,INDEX(ap_TaxAmt,421),0)</f>
        <v/>
      </c>
      <c r="N2927" s="95" t="n">
        <v>0</v>
      </c>
      <c r="O2927" s="101">
        <f>IF(H2927=1,IF(E2927&lt;FYStart,0,IF(E2927&gt;FYEnd,13,YEAR(E2927)*12+MONTH(E2927)-FYYM+1)),"")</f>
        <v/>
      </c>
      <c r="P2927" s="101">
        <f>IF(H2927=1,IF(IFERROR(INDEX(coa_CF,MATCH(I2927,coa_Name,0)),"")="Cash",1,0),0)</f>
        <v/>
      </c>
      <c r="Q2927" s="101">
        <f>IF(H2927=1,IF(IFERROR(INDEX(coa_CF,MATCH(K2927,coa_Name,0)),"")="Cash",1,0),0)</f>
        <v/>
      </c>
      <c r="R2927" s="58">
        <f>IF((P2927-Q2927)=0,"",IFERROR(INDEX(coa_CF,MATCH(IF((P2927-Q2927)=1,K2927,I2927),coa_Name,0)),"Operating"))</f>
        <v/>
      </c>
      <c r="S2927" s="95">
        <f>IF((P2927-Q2927)=1,L2927,IF((P2927-Q2927)=-1,-J2927,0))</f>
        <v/>
      </c>
      <c r="T2927" s="95">
        <f>IF((P2927-Q2927)=1,N2927,IF((P2927-Q2927)=-1,-M2927,0))</f>
        <v/>
      </c>
      <c r="U2927" s="101">
        <f>IF(AND(H2927=1,LedAcct&lt;&gt;""),IF(AND(E2927&gt;=LedFrom,E2927&lt;=LedTo,OR(I2927=LedAcct,K2927=LedAcct,AND(LedAcct=acctTax,M2927+N2927&lt;&gt;0))),E2927*10000+B2927,""),"")</f>
        <v/>
      </c>
    </row>
    <row r="2928">
      <c r="B2928" s="101" t="n">
        <v>2922</v>
      </c>
      <c r="C2928" s="58" t="inlineStr">
        <is>
          <t>Bill</t>
        </is>
      </c>
      <c r="D2928" s="58">
        <f>IF(H2928=1,INDEX(ap_No,422)&amp;"","")</f>
        <v/>
      </c>
      <c r="E2928" s="94">
        <f>IF(H2928=1,INDEX(ap_Date,422),"")</f>
        <v/>
      </c>
      <c r="F2928" s="58">
        <f>IF(H2928=1,INDEX(ap_Desc,422)&amp;"","")</f>
        <v/>
      </c>
      <c r="G2928" s="58">
        <f>IF(H2928=1,INDEX(ap_Party,422)&amp;"","")</f>
        <v/>
      </c>
      <c r="H2928" s="101">
        <f>IFERROR(N(INDEX(ap_Posted,422)),0)</f>
        <v/>
      </c>
      <c r="I2928" s="58">
        <f>IF(H2928=1,INDEX(ap_DrAcct,422)&amp;"","")</f>
        <v/>
      </c>
      <c r="J2928" s="95">
        <f>IF(H2928=1,INDEX(ap_DrAmt,422),0)</f>
        <v/>
      </c>
      <c r="K2928" s="58">
        <f>IF(H2928=1,INDEX(ap_CrAcct,422)&amp;"","")</f>
        <v/>
      </c>
      <c r="L2928" s="95">
        <f>IF(H2928=1,INDEX(ap_CrAmt,422),0)</f>
        <v/>
      </c>
      <c r="M2928" s="95">
        <f>IF(H2928=1,INDEX(ap_TaxAmt,422),0)</f>
        <v/>
      </c>
      <c r="N2928" s="95" t="n">
        <v>0</v>
      </c>
      <c r="O2928" s="101">
        <f>IF(H2928=1,IF(E2928&lt;FYStart,0,IF(E2928&gt;FYEnd,13,YEAR(E2928)*12+MONTH(E2928)-FYYM+1)),"")</f>
        <v/>
      </c>
      <c r="P2928" s="101">
        <f>IF(H2928=1,IF(IFERROR(INDEX(coa_CF,MATCH(I2928,coa_Name,0)),"")="Cash",1,0),0)</f>
        <v/>
      </c>
      <c r="Q2928" s="101">
        <f>IF(H2928=1,IF(IFERROR(INDEX(coa_CF,MATCH(K2928,coa_Name,0)),"")="Cash",1,0),0)</f>
        <v/>
      </c>
      <c r="R2928" s="58">
        <f>IF((P2928-Q2928)=0,"",IFERROR(INDEX(coa_CF,MATCH(IF((P2928-Q2928)=1,K2928,I2928),coa_Name,0)),"Operating"))</f>
        <v/>
      </c>
      <c r="S2928" s="95">
        <f>IF((P2928-Q2928)=1,L2928,IF((P2928-Q2928)=-1,-J2928,0))</f>
        <v/>
      </c>
      <c r="T2928" s="95">
        <f>IF((P2928-Q2928)=1,N2928,IF((P2928-Q2928)=-1,-M2928,0))</f>
        <v/>
      </c>
      <c r="U2928" s="101">
        <f>IF(AND(H2928=1,LedAcct&lt;&gt;""),IF(AND(E2928&gt;=LedFrom,E2928&lt;=LedTo,OR(I2928=LedAcct,K2928=LedAcct,AND(LedAcct=acctTax,M2928+N2928&lt;&gt;0))),E2928*10000+B2928,""),"")</f>
        <v/>
      </c>
    </row>
    <row r="2929">
      <c r="B2929" s="101" t="n">
        <v>2923</v>
      </c>
      <c r="C2929" s="58" t="inlineStr">
        <is>
          <t>Bill</t>
        </is>
      </c>
      <c r="D2929" s="58">
        <f>IF(H2929=1,INDEX(ap_No,423)&amp;"","")</f>
        <v/>
      </c>
      <c r="E2929" s="94">
        <f>IF(H2929=1,INDEX(ap_Date,423),"")</f>
        <v/>
      </c>
      <c r="F2929" s="58">
        <f>IF(H2929=1,INDEX(ap_Desc,423)&amp;"","")</f>
        <v/>
      </c>
      <c r="G2929" s="58">
        <f>IF(H2929=1,INDEX(ap_Party,423)&amp;"","")</f>
        <v/>
      </c>
      <c r="H2929" s="101">
        <f>IFERROR(N(INDEX(ap_Posted,423)),0)</f>
        <v/>
      </c>
      <c r="I2929" s="58">
        <f>IF(H2929=1,INDEX(ap_DrAcct,423)&amp;"","")</f>
        <v/>
      </c>
      <c r="J2929" s="95">
        <f>IF(H2929=1,INDEX(ap_DrAmt,423),0)</f>
        <v/>
      </c>
      <c r="K2929" s="58">
        <f>IF(H2929=1,INDEX(ap_CrAcct,423)&amp;"","")</f>
        <v/>
      </c>
      <c r="L2929" s="95">
        <f>IF(H2929=1,INDEX(ap_CrAmt,423),0)</f>
        <v/>
      </c>
      <c r="M2929" s="95">
        <f>IF(H2929=1,INDEX(ap_TaxAmt,423),0)</f>
        <v/>
      </c>
      <c r="N2929" s="95" t="n">
        <v>0</v>
      </c>
      <c r="O2929" s="101">
        <f>IF(H2929=1,IF(E2929&lt;FYStart,0,IF(E2929&gt;FYEnd,13,YEAR(E2929)*12+MONTH(E2929)-FYYM+1)),"")</f>
        <v/>
      </c>
      <c r="P2929" s="101">
        <f>IF(H2929=1,IF(IFERROR(INDEX(coa_CF,MATCH(I2929,coa_Name,0)),"")="Cash",1,0),0)</f>
        <v/>
      </c>
      <c r="Q2929" s="101">
        <f>IF(H2929=1,IF(IFERROR(INDEX(coa_CF,MATCH(K2929,coa_Name,0)),"")="Cash",1,0),0)</f>
        <v/>
      </c>
      <c r="R2929" s="58">
        <f>IF((P2929-Q2929)=0,"",IFERROR(INDEX(coa_CF,MATCH(IF((P2929-Q2929)=1,K2929,I2929),coa_Name,0)),"Operating"))</f>
        <v/>
      </c>
      <c r="S2929" s="95">
        <f>IF((P2929-Q2929)=1,L2929,IF((P2929-Q2929)=-1,-J2929,0))</f>
        <v/>
      </c>
      <c r="T2929" s="95">
        <f>IF((P2929-Q2929)=1,N2929,IF((P2929-Q2929)=-1,-M2929,0))</f>
        <v/>
      </c>
      <c r="U2929" s="101">
        <f>IF(AND(H2929=1,LedAcct&lt;&gt;""),IF(AND(E2929&gt;=LedFrom,E2929&lt;=LedTo,OR(I2929=LedAcct,K2929=LedAcct,AND(LedAcct=acctTax,M2929+N2929&lt;&gt;0))),E2929*10000+B2929,""),"")</f>
        <v/>
      </c>
    </row>
    <row r="2930">
      <c r="B2930" s="101" t="n">
        <v>2924</v>
      </c>
      <c r="C2930" s="58" t="inlineStr">
        <is>
          <t>Bill</t>
        </is>
      </c>
      <c r="D2930" s="58">
        <f>IF(H2930=1,INDEX(ap_No,424)&amp;"","")</f>
        <v/>
      </c>
      <c r="E2930" s="94">
        <f>IF(H2930=1,INDEX(ap_Date,424),"")</f>
        <v/>
      </c>
      <c r="F2930" s="58">
        <f>IF(H2930=1,INDEX(ap_Desc,424)&amp;"","")</f>
        <v/>
      </c>
      <c r="G2930" s="58">
        <f>IF(H2930=1,INDEX(ap_Party,424)&amp;"","")</f>
        <v/>
      </c>
      <c r="H2930" s="101">
        <f>IFERROR(N(INDEX(ap_Posted,424)),0)</f>
        <v/>
      </c>
      <c r="I2930" s="58">
        <f>IF(H2930=1,INDEX(ap_DrAcct,424)&amp;"","")</f>
        <v/>
      </c>
      <c r="J2930" s="95">
        <f>IF(H2930=1,INDEX(ap_DrAmt,424),0)</f>
        <v/>
      </c>
      <c r="K2930" s="58">
        <f>IF(H2930=1,INDEX(ap_CrAcct,424)&amp;"","")</f>
        <v/>
      </c>
      <c r="L2930" s="95">
        <f>IF(H2930=1,INDEX(ap_CrAmt,424),0)</f>
        <v/>
      </c>
      <c r="M2930" s="95">
        <f>IF(H2930=1,INDEX(ap_TaxAmt,424),0)</f>
        <v/>
      </c>
      <c r="N2930" s="95" t="n">
        <v>0</v>
      </c>
      <c r="O2930" s="101">
        <f>IF(H2930=1,IF(E2930&lt;FYStart,0,IF(E2930&gt;FYEnd,13,YEAR(E2930)*12+MONTH(E2930)-FYYM+1)),"")</f>
        <v/>
      </c>
      <c r="P2930" s="101">
        <f>IF(H2930=1,IF(IFERROR(INDEX(coa_CF,MATCH(I2930,coa_Name,0)),"")="Cash",1,0),0)</f>
        <v/>
      </c>
      <c r="Q2930" s="101">
        <f>IF(H2930=1,IF(IFERROR(INDEX(coa_CF,MATCH(K2930,coa_Name,0)),"")="Cash",1,0),0)</f>
        <v/>
      </c>
      <c r="R2930" s="58">
        <f>IF((P2930-Q2930)=0,"",IFERROR(INDEX(coa_CF,MATCH(IF((P2930-Q2930)=1,K2930,I2930),coa_Name,0)),"Operating"))</f>
        <v/>
      </c>
      <c r="S2930" s="95">
        <f>IF((P2930-Q2930)=1,L2930,IF((P2930-Q2930)=-1,-J2930,0))</f>
        <v/>
      </c>
      <c r="T2930" s="95">
        <f>IF((P2930-Q2930)=1,N2930,IF((P2930-Q2930)=-1,-M2930,0))</f>
        <v/>
      </c>
      <c r="U2930" s="101">
        <f>IF(AND(H2930=1,LedAcct&lt;&gt;""),IF(AND(E2930&gt;=LedFrom,E2930&lt;=LedTo,OR(I2930=LedAcct,K2930=LedAcct,AND(LedAcct=acctTax,M2930+N2930&lt;&gt;0))),E2930*10000+B2930,""),"")</f>
        <v/>
      </c>
    </row>
    <row r="2931">
      <c r="B2931" s="101" t="n">
        <v>2925</v>
      </c>
      <c r="C2931" s="58" t="inlineStr">
        <is>
          <t>Bill</t>
        </is>
      </c>
      <c r="D2931" s="58">
        <f>IF(H2931=1,INDEX(ap_No,425)&amp;"","")</f>
        <v/>
      </c>
      <c r="E2931" s="94">
        <f>IF(H2931=1,INDEX(ap_Date,425),"")</f>
        <v/>
      </c>
      <c r="F2931" s="58">
        <f>IF(H2931=1,INDEX(ap_Desc,425)&amp;"","")</f>
        <v/>
      </c>
      <c r="G2931" s="58">
        <f>IF(H2931=1,INDEX(ap_Party,425)&amp;"","")</f>
        <v/>
      </c>
      <c r="H2931" s="101">
        <f>IFERROR(N(INDEX(ap_Posted,425)),0)</f>
        <v/>
      </c>
      <c r="I2931" s="58">
        <f>IF(H2931=1,INDEX(ap_DrAcct,425)&amp;"","")</f>
        <v/>
      </c>
      <c r="J2931" s="95">
        <f>IF(H2931=1,INDEX(ap_DrAmt,425),0)</f>
        <v/>
      </c>
      <c r="K2931" s="58">
        <f>IF(H2931=1,INDEX(ap_CrAcct,425)&amp;"","")</f>
        <v/>
      </c>
      <c r="L2931" s="95">
        <f>IF(H2931=1,INDEX(ap_CrAmt,425),0)</f>
        <v/>
      </c>
      <c r="M2931" s="95">
        <f>IF(H2931=1,INDEX(ap_TaxAmt,425),0)</f>
        <v/>
      </c>
      <c r="N2931" s="95" t="n">
        <v>0</v>
      </c>
      <c r="O2931" s="101">
        <f>IF(H2931=1,IF(E2931&lt;FYStart,0,IF(E2931&gt;FYEnd,13,YEAR(E2931)*12+MONTH(E2931)-FYYM+1)),"")</f>
        <v/>
      </c>
      <c r="P2931" s="101">
        <f>IF(H2931=1,IF(IFERROR(INDEX(coa_CF,MATCH(I2931,coa_Name,0)),"")="Cash",1,0),0)</f>
        <v/>
      </c>
      <c r="Q2931" s="101">
        <f>IF(H2931=1,IF(IFERROR(INDEX(coa_CF,MATCH(K2931,coa_Name,0)),"")="Cash",1,0),0)</f>
        <v/>
      </c>
      <c r="R2931" s="58">
        <f>IF((P2931-Q2931)=0,"",IFERROR(INDEX(coa_CF,MATCH(IF((P2931-Q2931)=1,K2931,I2931),coa_Name,0)),"Operating"))</f>
        <v/>
      </c>
      <c r="S2931" s="95">
        <f>IF((P2931-Q2931)=1,L2931,IF((P2931-Q2931)=-1,-J2931,0))</f>
        <v/>
      </c>
      <c r="T2931" s="95">
        <f>IF((P2931-Q2931)=1,N2931,IF((P2931-Q2931)=-1,-M2931,0))</f>
        <v/>
      </c>
      <c r="U2931" s="101">
        <f>IF(AND(H2931=1,LedAcct&lt;&gt;""),IF(AND(E2931&gt;=LedFrom,E2931&lt;=LedTo,OR(I2931=LedAcct,K2931=LedAcct,AND(LedAcct=acctTax,M2931+N2931&lt;&gt;0))),E2931*10000+B2931,""),"")</f>
        <v/>
      </c>
    </row>
    <row r="2932">
      <c r="B2932" s="101" t="n">
        <v>2926</v>
      </c>
      <c r="C2932" s="58" t="inlineStr">
        <is>
          <t>Bill</t>
        </is>
      </c>
      <c r="D2932" s="58">
        <f>IF(H2932=1,INDEX(ap_No,426)&amp;"","")</f>
        <v/>
      </c>
      <c r="E2932" s="94">
        <f>IF(H2932=1,INDEX(ap_Date,426),"")</f>
        <v/>
      </c>
      <c r="F2932" s="58">
        <f>IF(H2932=1,INDEX(ap_Desc,426)&amp;"","")</f>
        <v/>
      </c>
      <c r="G2932" s="58">
        <f>IF(H2932=1,INDEX(ap_Party,426)&amp;"","")</f>
        <v/>
      </c>
      <c r="H2932" s="101">
        <f>IFERROR(N(INDEX(ap_Posted,426)),0)</f>
        <v/>
      </c>
      <c r="I2932" s="58">
        <f>IF(H2932=1,INDEX(ap_DrAcct,426)&amp;"","")</f>
        <v/>
      </c>
      <c r="J2932" s="95">
        <f>IF(H2932=1,INDEX(ap_DrAmt,426),0)</f>
        <v/>
      </c>
      <c r="K2932" s="58">
        <f>IF(H2932=1,INDEX(ap_CrAcct,426)&amp;"","")</f>
        <v/>
      </c>
      <c r="L2932" s="95">
        <f>IF(H2932=1,INDEX(ap_CrAmt,426),0)</f>
        <v/>
      </c>
      <c r="M2932" s="95">
        <f>IF(H2932=1,INDEX(ap_TaxAmt,426),0)</f>
        <v/>
      </c>
      <c r="N2932" s="95" t="n">
        <v>0</v>
      </c>
      <c r="O2932" s="101">
        <f>IF(H2932=1,IF(E2932&lt;FYStart,0,IF(E2932&gt;FYEnd,13,YEAR(E2932)*12+MONTH(E2932)-FYYM+1)),"")</f>
        <v/>
      </c>
      <c r="P2932" s="101">
        <f>IF(H2932=1,IF(IFERROR(INDEX(coa_CF,MATCH(I2932,coa_Name,0)),"")="Cash",1,0),0)</f>
        <v/>
      </c>
      <c r="Q2932" s="101">
        <f>IF(H2932=1,IF(IFERROR(INDEX(coa_CF,MATCH(K2932,coa_Name,0)),"")="Cash",1,0),0)</f>
        <v/>
      </c>
      <c r="R2932" s="58">
        <f>IF((P2932-Q2932)=0,"",IFERROR(INDEX(coa_CF,MATCH(IF((P2932-Q2932)=1,K2932,I2932),coa_Name,0)),"Operating"))</f>
        <v/>
      </c>
      <c r="S2932" s="95">
        <f>IF((P2932-Q2932)=1,L2932,IF((P2932-Q2932)=-1,-J2932,0))</f>
        <v/>
      </c>
      <c r="T2932" s="95">
        <f>IF((P2932-Q2932)=1,N2932,IF((P2932-Q2932)=-1,-M2932,0))</f>
        <v/>
      </c>
      <c r="U2932" s="101">
        <f>IF(AND(H2932=1,LedAcct&lt;&gt;""),IF(AND(E2932&gt;=LedFrom,E2932&lt;=LedTo,OR(I2932=LedAcct,K2932=LedAcct,AND(LedAcct=acctTax,M2932+N2932&lt;&gt;0))),E2932*10000+B2932,""),"")</f>
        <v/>
      </c>
    </row>
    <row r="2933">
      <c r="B2933" s="101" t="n">
        <v>2927</v>
      </c>
      <c r="C2933" s="58" t="inlineStr">
        <is>
          <t>Bill</t>
        </is>
      </c>
      <c r="D2933" s="58">
        <f>IF(H2933=1,INDEX(ap_No,427)&amp;"","")</f>
        <v/>
      </c>
      <c r="E2933" s="94">
        <f>IF(H2933=1,INDEX(ap_Date,427),"")</f>
        <v/>
      </c>
      <c r="F2933" s="58">
        <f>IF(H2933=1,INDEX(ap_Desc,427)&amp;"","")</f>
        <v/>
      </c>
      <c r="G2933" s="58">
        <f>IF(H2933=1,INDEX(ap_Party,427)&amp;"","")</f>
        <v/>
      </c>
      <c r="H2933" s="101">
        <f>IFERROR(N(INDEX(ap_Posted,427)),0)</f>
        <v/>
      </c>
      <c r="I2933" s="58">
        <f>IF(H2933=1,INDEX(ap_DrAcct,427)&amp;"","")</f>
        <v/>
      </c>
      <c r="J2933" s="95">
        <f>IF(H2933=1,INDEX(ap_DrAmt,427),0)</f>
        <v/>
      </c>
      <c r="K2933" s="58">
        <f>IF(H2933=1,INDEX(ap_CrAcct,427)&amp;"","")</f>
        <v/>
      </c>
      <c r="L2933" s="95">
        <f>IF(H2933=1,INDEX(ap_CrAmt,427),0)</f>
        <v/>
      </c>
      <c r="M2933" s="95">
        <f>IF(H2933=1,INDEX(ap_TaxAmt,427),0)</f>
        <v/>
      </c>
      <c r="N2933" s="95" t="n">
        <v>0</v>
      </c>
      <c r="O2933" s="101">
        <f>IF(H2933=1,IF(E2933&lt;FYStart,0,IF(E2933&gt;FYEnd,13,YEAR(E2933)*12+MONTH(E2933)-FYYM+1)),"")</f>
        <v/>
      </c>
      <c r="P2933" s="101">
        <f>IF(H2933=1,IF(IFERROR(INDEX(coa_CF,MATCH(I2933,coa_Name,0)),"")="Cash",1,0),0)</f>
        <v/>
      </c>
      <c r="Q2933" s="101">
        <f>IF(H2933=1,IF(IFERROR(INDEX(coa_CF,MATCH(K2933,coa_Name,0)),"")="Cash",1,0),0)</f>
        <v/>
      </c>
      <c r="R2933" s="58">
        <f>IF((P2933-Q2933)=0,"",IFERROR(INDEX(coa_CF,MATCH(IF((P2933-Q2933)=1,K2933,I2933),coa_Name,0)),"Operating"))</f>
        <v/>
      </c>
      <c r="S2933" s="95">
        <f>IF((P2933-Q2933)=1,L2933,IF((P2933-Q2933)=-1,-J2933,0))</f>
        <v/>
      </c>
      <c r="T2933" s="95">
        <f>IF((P2933-Q2933)=1,N2933,IF((P2933-Q2933)=-1,-M2933,0))</f>
        <v/>
      </c>
      <c r="U2933" s="101">
        <f>IF(AND(H2933=1,LedAcct&lt;&gt;""),IF(AND(E2933&gt;=LedFrom,E2933&lt;=LedTo,OR(I2933=LedAcct,K2933=LedAcct,AND(LedAcct=acctTax,M2933+N2933&lt;&gt;0))),E2933*10000+B2933,""),"")</f>
        <v/>
      </c>
    </row>
    <row r="2934">
      <c r="B2934" s="101" t="n">
        <v>2928</v>
      </c>
      <c r="C2934" s="58" t="inlineStr">
        <is>
          <t>Bill</t>
        </is>
      </c>
      <c r="D2934" s="58">
        <f>IF(H2934=1,INDEX(ap_No,428)&amp;"","")</f>
        <v/>
      </c>
      <c r="E2934" s="94">
        <f>IF(H2934=1,INDEX(ap_Date,428),"")</f>
        <v/>
      </c>
      <c r="F2934" s="58">
        <f>IF(H2934=1,INDEX(ap_Desc,428)&amp;"","")</f>
        <v/>
      </c>
      <c r="G2934" s="58">
        <f>IF(H2934=1,INDEX(ap_Party,428)&amp;"","")</f>
        <v/>
      </c>
      <c r="H2934" s="101">
        <f>IFERROR(N(INDEX(ap_Posted,428)),0)</f>
        <v/>
      </c>
      <c r="I2934" s="58">
        <f>IF(H2934=1,INDEX(ap_DrAcct,428)&amp;"","")</f>
        <v/>
      </c>
      <c r="J2934" s="95">
        <f>IF(H2934=1,INDEX(ap_DrAmt,428),0)</f>
        <v/>
      </c>
      <c r="K2934" s="58">
        <f>IF(H2934=1,INDEX(ap_CrAcct,428)&amp;"","")</f>
        <v/>
      </c>
      <c r="L2934" s="95">
        <f>IF(H2934=1,INDEX(ap_CrAmt,428),0)</f>
        <v/>
      </c>
      <c r="M2934" s="95">
        <f>IF(H2934=1,INDEX(ap_TaxAmt,428),0)</f>
        <v/>
      </c>
      <c r="N2934" s="95" t="n">
        <v>0</v>
      </c>
      <c r="O2934" s="101">
        <f>IF(H2934=1,IF(E2934&lt;FYStart,0,IF(E2934&gt;FYEnd,13,YEAR(E2934)*12+MONTH(E2934)-FYYM+1)),"")</f>
        <v/>
      </c>
      <c r="P2934" s="101">
        <f>IF(H2934=1,IF(IFERROR(INDEX(coa_CF,MATCH(I2934,coa_Name,0)),"")="Cash",1,0),0)</f>
        <v/>
      </c>
      <c r="Q2934" s="101">
        <f>IF(H2934=1,IF(IFERROR(INDEX(coa_CF,MATCH(K2934,coa_Name,0)),"")="Cash",1,0),0)</f>
        <v/>
      </c>
      <c r="R2934" s="58">
        <f>IF((P2934-Q2934)=0,"",IFERROR(INDEX(coa_CF,MATCH(IF((P2934-Q2934)=1,K2934,I2934),coa_Name,0)),"Operating"))</f>
        <v/>
      </c>
      <c r="S2934" s="95">
        <f>IF((P2934-Q2934)=1,L2934,IF((P2934-Q2934)=-1,-J2934,0))</f>
        <v/>
      </c>
      <c r="T2934" s="95">
        <f>IF((P2934-Q2934)=1,N2934,IF((P2934-Q2934)=-1,-M2934,0))</f>
        <v/>
      </c>
      <c r="U2934" s="101">
        <f>IF(AND(H2934=1,LedAcct&lt;&gt;""),IF(AND(E2934&gt;=LedFrom,E2934&lt;=LedTo,OR(I2934=LedAcct,K2934=LedAcct,AND(LedAcct=acctTax,M2934+N2934&lt;&gt;0))),E2934*10000+B2934,""),"")</f>
        <v/>
      </c>
    </row>
    <row r="2935">
      <c r="B2935" s="101" t="n">
        <v>2929</v>
      </c>
      <c r="C2935" s="58" t="inlineStr">
        <is>
          <t>Bill</t>
        </is>
      </c>
      <c r="D2935" s="58">
        <f>IF(H2935=1,INDEX(ap_No,429)&amp;"","")</f>
        <v/>
      </c>
      <c r="E2935" s="94">
        <f>IF(H2935=1,INDEX(ap_Date,429),"")</f>
        <v/>
      </c>
      <c r="F2935" s="58">
        <f>IF(H2935=1,INDEX(ap_Desc,429)&amp;"","")</f>
        <v/>
      </c>
      <c r="G2935" s="58">
        <f>IF(H2935=1,INDEX(ap_Party,429)&amp;"","")</f>
        <v/>
      </c>
      <c r="H2935" s="101">
        <f>IFERROR(N(INDEX(ap_Posted,429)),0)</f>
        <v/>
      </c>
      <c r="I2935" s="58">
        <f>IF(H2935=1,INDEX(ap_DrAcct,429)&amp;"","")</f>
        <v/>
      </c>
      <c r="J2935" s="95">
        <f>IF(H2935=1,INDEX(ap_DrAmt,429),0)</f>
        <v/>
      </c>
      <c r="K2935" s="58">
        <f>IF(H2935=1,INDEX(ap_CrAcct,429)&amp;"","")</f>
        <v/>
      </c>
      <c r="L2935" s="95">
        <f>IF(H2935=1,INDEX(ap_CrAmt,429),0)</f>
        <v/>
      </c>
      <c r="M2935" s="95">
        <f>IF(H2935=1,INDEX(ap_TaxAmt,429),0)</f>
        <v/>
      </c>
      <c r="N2935" s="95" t="n">
        <v>0</v>
      </c>
      <c r="O2935" s="101">
        <f>IF(H2935=1,IF(E2935&lt;FYStart,0,IF(E2935&gt;FYEnd,13,YEAR(E2935)*12+MONTH(E2935)-FYYM+1)),"")</f>
        <v/>
      </c>
      <c r="P2935" s="101">
        <f>IF(H2935=1,IF(IFERROR(INDEX(coa_CF,MATCH(I2935,coa_Name,0)),"")="Cash",1,0),0)</f>
        <v/>
      </c>
      <c r="Q2935" s="101">
        <f>IF(H2935=1,IF(IFERROR(INDEX(coa_CF,MATCH(K2935,coa_Name,0)),"")="Cash",1,0),0)</f>
        <v/>
      </c>
      <c r="R2935" s="58">
        <f>IF((P2935-Q2935)=0,"",IFERROR(INDEX(coa_CF,MATCH(IF((P2935-Q2935)=1,K2935,I2935),coa_Name,0)),"Operating"))</f>
        <v/>
      </c>
      <c r="S2935" s="95">
        <f>IF((P2935-Q2935)=1,L2935,IF((P2935-Q2935)=-1,-J2935,0))</f>
        <v/>
      </c>
      <c r="T2935" s="95">
        <f>IF((P2935-Q2935)=1,N2935,IF((P2935-Q2935)=-1,-M2935,0))</f>
        <v/>
      </c>
      <c r="U2935" s="101">
        <f>IF(AND(H2935=1,LedAcct&lt;&gt;""),IF(AND(E2935&gt;=LedFrom,E2935&lt;=LedTo,OR(I2935=LedAcct,K2935=LedAcct,AND(LedAcct=acctTax,M2935+N2935&lt;&gt;0))),E2935*10000+B2935,""),"")</f>
        <v/>
      </c>
    </row>
    <row r="2936">
      <c r="B2936" s="101" t="n">
        <v>2930</v>
      </c>
      <c r="C2936" s="58" t="inlineStr">
        <is>
          <t>Bill</t>
        </is>
      </c>
      <c r="D2936" s="58">
        <f>IF(H2936=1,INDEX(ap_No,430)&amp;"","")</f>
        <v/>
      </c>
      <c r="E2936" s="94">
        <f>IF(H2936=1,INDEX(ap_Date,430),"")</f>
        <v/>
      </c>
      <c r="F2936" s="58">
        <f>IF(H2936=1,INDEX(ap_Desc,430)&amp;"","")</f>
        <v/>
      </c>
      <c r="G2936" s="58">
        <f>IF(H2936=1,INDEX(ap_Party,430)&amp;"","")</f>
        <v/>
      </c>
      <c r="H2936" s="101">
        <f>IFERROR(N(INDEX(ap_Posted,430)),0)</f>
        <v/>
      </c>
      <c r="I2936" s="58">
        <f>IF(H2936=1,INDEX(ap_DrAcct,430)&amp;"","")</f>
        <v/>
      </c>
      <c r="J2936" s="95">
        <f>IF(H2936=1,INDEX(ap_DrAmt,430),0)</f>
        <v/>
      </c>
      <c r="K2936" s="58">
        <f>IF(H2936=1,INDEX(ap_CrAcct,430)&amp;"","")</f>
        <v/>
      </c>
      <c r="L2936" s="95">
        <f>IF(H2936=1,INDEX(ap_CrAmt,430),0)</f>
        <v/>
      </c>
      <c r="M2936" s="95">
        <f>IF(H2936=1,INDEX(ap_TaxAmt,430),0)</f>
        <v/>
      </c>
      <c r="N2936" s="95" t="n">
        <v>0</v>
      </c>
      <c r="O2936" s="101">
        <f>IF(H2936=1,IF(E2936&lt;FYStart,0,IF(E2936&gt;FYEnd,13,YEAR(E2936)*12+MONTH(E2936)-FYYM+1)),"")</f>
        <v/>
      </c>
      <c r="P2936" s="101">
        <f>IF(H2936=1,IF(IFERROR(INDEX(coa_CF,MATCH(I2936,coa_Name,0)),"")="Cash",1,0),0)</f>
        <v/>
      </c>
      <c r="Q2936" s="101">
        <f>IF(H2936=1,IF(IFERROR(INDEX(coa_CF,MATCH(K2936,coa_Name,0)),"")="Cash",1,0),0)</f>
        <v/>
      </c>
      <c r="R2936" s="58">
        <f>IF((P2936-Q2936)=0,"",IFERROR(INDEX(coa_CF,MATCH(IF((P2936-Q2936)=1,K2936,I2936),coa_Name,0)),"Operating"))</f>
        <v/>
      </c>
      <c r="S2936" s="95">
        <f>IF((P2936-Q2936)=1,L2936,IF((P2936-Q2936)=-1,-J2936,0))</f>
        <v/>
      </c>
      <c r="T2936" s="95">
        <f>IF((P2936-Q2936)=1,N2936,IF((P2936-Q2936)=-1,-M2936,0))</f>
        <v/>
      </c>
      <c r="U2936" s="101">
        <f>IF(AND(H2936=1,LedAcct&lt;&gt;""),IF(AND(E2936&gt;=LedFrom,E2936&lt;=LedTo,OR(I2936=LedAcct,K2936=LedAcct,AND(LedAcct=acctTax,M2936+N2936&lt;&gt;0))),E2936*10000+B2936,""),"")</f>
        <v/>
      </c>
    </row>
    <row r="2937">
      <c r="B2937" s="101" t="n">
        <v>2931</v>
      </c>
      <c r="C2937" s="58" t="inlineStr">
        <is>
          <t>Bill</t>
        </is>
      </c>
      <c r="D2937" s="58">
        <f>IF(H2937=1,INDEX(ap_No,431)&amp;"","")</f>
        <v/>
      </c>
      <c r="E2937" s="94">
        <f>IF(H2937=1,INDEX(ap_Date,431),"")</f>
        <v/>
      </c>
      <c r="F2937" s="58">
        <f>IF(H2937=1,INDEX(ap_Desc,431)&amp;"","")</f>
        <v/>
      </c>
      <c r="G2937" s="58">
        <f>IF(H2937=1,INDEX(ap_Party,431)&amp;"","")</f>
        <v/>
      </c>
      <c r="H2937" s="101">
        <f>IFERROR(N(INDEX(ap_Posted,431)),0)</f>
        <v/>
      </c>
      <c r="I2937" s="58">
        <f>IF(H2937=1,INDEX(ap_DrAcct,431)&amp;"","")</f>
        <v/>
      </c>
      <c r="J2937" s="95">
        <f>IF(H2937=1,INDEX(ap_DrAmt,431),0)</f>
        <v/>
      </c>
      <c r="K2937" s="58">
        <f>IF(H2937=1,INDEX(ap_CrAcct,431)&amp;"","")</f>
        <v/>
      </c>
      <c r="L2937" s="95">
        <f>IF(H2937=1,INDEX(ap_CrAmt,431),0)</f>
        <v/>
      </c>
      <c r="M2937" s="95">
        <f>IF(H2937=1,INDEX(ap_TaxAmt,431),0)</f>
        <v/>
      </c>
      <c r="N2937" s="95" t="n">
        <v>0</v>
      </c>
      <c r="O2937" s="101">
        <f>IF(H2937=1,IF(E2937&lt;FYStart,0,IF(E2937&gt;FYEnd,13,YEAR(E2937)*12+MONTH(E2937)-FYYM+1)),"")</f>
        <v/>
      </c>
      <c r="P2937" s="101">
        <f>IF(H2937=1,IF(IFERROR(INDEX(coa_CF,MATCH(I2937,coa_Name,0)),"")="Cash",1,0),0)</f>
        <v/>
      </c>
      <c r="Q2937" s="101">
        <f>IF(H2937=1,IF(IFERROR(INDEX(coa_CF,MATCH(K2937,coa_Name,0)),"")="Cash",1,0),0)</f>
        <v/>
      </c>
      <c r="R2937" s="58">
        <f>IF((P2937-Q2937)=0,"",IFERROR(INDEX(coa_CF,MATCH(IF((P2937-Q2937)=1,K2937,I2937),coa_Name,0)),"Operating"))</f>
        <v/>
      </c>
      <c r="S2937" s="95">
        <f>IF((P2937-Q2937)=1,L2937,IF((P2937-Q2937)=-1,-J2937,0))</f>
        <v/>
      </c>
      <c r="T2937" s="95">
        <f>IF((P2937-Q2937)=1,N2937,IF((P2937-Q2937)=-1,-M2937,0))</f>
        <v/>
      </c>
      <c r="U2937" s="101">
        <f>IF(AND(H2937=1,LedAcct&lt;&gt;""),IF(AND(E2937&gt;=LedFrom,E2937&lt;=LedTo,OR(I2937=LedAcct,K2937=LedAcct,AND(LedAcct=acctTax,M2937+N2937&lt;&gt;0))),E2937*10000+B2937,""),"")</f>
        <v/>
      </c>
    </row>
    <row r="2938">
      <c r="B2938" s="101" t="n">
        <v>2932</v>
      </c>
      <c r="C2938" s="58" t="inlineStr">
        <is>
          <t>Bill</t>
        </is>
      </c>
      <c r="D2938" s="58">
        <f>IF(H2938=1,INDEX(ap_No,432)&amp;"","")</f>
        <v/>
      </c>
      <c r="E2938" s="94">
        <f>IF(H2938=1,INDEX(ap_Date,432),"")</f>
        <v/>
      </c>
      <c r="F2938" s="58">
        <f>IF(H2938=1,INDEX(ap_Desc,432)&amp;"","")</f>
        <v/>
      </c>
      <c r="G2938" s="58">
        <f>IF(H2938=1,INDEX(ap_Party,432)&amp;"","")</f>
        <v/>
      </c>
      <c r="H2938" s="101">
        <f>IFERROR(N(INDEX(ap_Posted,432)),0)</f>
        <v/>
      </c>
      <c r="I2938" s="58">
        <f>IF(H2938=1,INDEX(ap_DrAcct,432)&amp;"","")</f>
        <v/>
      </c>
      <c r="J2938" s="95">
        <f>IF(H2938=1,INDEX(ap_DrAmt,432),0)</f>
        <v/>
      </c>
      <c r="K2938" s="58">
        <f>IF(H2938=1,INDEX(ap_CrAcct,432)&amp;"","")</f>
        <v/>
      </c>
      <c r="L2938" s="95">
        <f>IF(H2938=1,INDEX(ap_CrAmt,432),0)</f>
        <v/>
      </c>
      <c r="M2938" s="95">
        <f>IF(H2938=1,INDEX(ap_TaxAmt,432),0)</f>
        <v/>
      </c>
      <c r="N2938" s="95" t="n">
        <v>0</v>
      </c>
      <c r="O2938" s="101">
        <f>IF(H2938=1,IF(E2938&lt;FYStart,0,IF(E2938&gt;FYEnd,13,YEAR(E2938)*12+MONTH(E2938)-FYYM+1)),"")</f>
        <v/>
      </c>
      <c r="P2938" s="101">
        <f>IF(H2938=1,IF(IFERROR(INDEX(coa_CF,MATCH(I2938,coa_Name,0)),"")="Cash",1,0),0)</f>
        <v/>
      </c>
      <c r="Q2938" s="101">
        <f>IF(H2938=1,IF(IFERROR(INDEX(coa_CF,MATCH(K2938,coa_Name,0)),"")="Cash",1,0),0)</f>
        <v/>
      </c>
      <c r="R2938" s="58">
        <f>IF((P2938-Q2938)=0,"",IFERROR(INDEX(coa_CF,MATCH(IF((P2938-Q2938)=1,K2938,I2938),coa_Name,0)),"Operating"))</f>
        <v/>
      </c>
      <c r="S2938" s="95">
        <f>IF((P2938-Q2938)=1,L2938,IF((P2938-Q2938)=-1,-J2938,0))</f>
        <v/>
      </c>
      <c r="T2938" s="95">
        <f>IF((P2938-Q2938)=1,N2938,IF((P2938-Q2938)=-1,-M2938,0))</f>
        <v/>
      </c>
      <c r="U2938" s="101">
        <f>IF(AND(H2938=1,LedAcct&lt;&gt;""),IF(AND(E2938&gt;=LedFrom,E2938&lt;=LedTo,OR(I2938=LedAcct,K2938=LedAcct,AND(LedAcct=acctTax,M2938+N2938&lt;&gt;0))),E2938*10000+B2938,""),"")</f>
        <v/>
      </c>
    </row>
    <row r="2939">
      <c r="B2939" s="101" t="n">
        <v>2933</v>
      </c>
      <c r="C2939" s="58" t="inlineStr">
        <is>
          <t>Bill</t>
        </is>
      </c>
      <c r="D2939" s="58">
        <f>IF(H2939=1,INDEX(ap_No,433)&amp;"","")</f>
        <v/>
      </c>
      <c r="E2939" s="94">
        <f>IF(H2939=1,INDEX(ap_Date,433),"")</f>
        <v/>
      </c>
      <c r="F2939" s="58">
        <f>IF(H2939=1,INDEX(ap_Desc,433)&amp;"","")</f>
        <v/>
      </c>
      <c r="G2939" s="58">
        <f>IF(H2939=1,INDEX(ap_Party,433)&amp;"","")</f>
        <v/>
      </c>
      <c r="H2939" s="101">
        <f>IFERROR(N(INDEX(ap_Posted,433)),0)</f>
        <v/>
      </c>
      <c r="I2939" s="58">
        <f>IF(H2939=1,INDEX(ap_DrAcct,433)&amp;"","")</f>
        <v/>
      </c>
      <c r="J2939" s="95">
        <f>IF(H2939=1,INDEX(ap_DrAmt,433),0)</f>
        <v/>
      </c>
      <c r="K2939" s="58">
        <f>IF(H2939=1,INDEX(ap_CrAcct,433)&amp;"","")</f>
        <v/>
      </c>
      <c r="L2939" s="95">
        <f>IF(H2939=1,INDEX(ap_CrAmt,433),0)</f>
        <v/>
      </c>
      <c r="M2939" s="95">
        <f>IF(H2939=1,INDEX(ap_TaxAmt,433),0)</f>
        <v/>
      </c>
      <c r="N2939" s="95" t="n">
        <v>0</v>
      </c>
      <c r="O2939" s="101">
        <f>IF(H2939=1,IF(E2939&lt;FYStart,0,IF(E2939&gt;FYEnd,13,YEAR(E2939)*12+MONTH(E2939)-FYYM+1)),"")</f>
        <v/>
      </c>
      <c r="P2939" s="101">
        <f>IF(H2939=1,IF(IFERROR(INDEX(coa_CF,MATCH(I2939,coa_Name,0)),"")="Cash",1,0),0)</f>
        <v/>
      </c>
      <c r="Q2939" s="101">
        <f>IF(H2939=1,IF(IFERROR(INDEX(coa_CF,MATCH(K2939,coa_Name,0)),"")="Cash",1,0),0)</f>
        <v/>
      </c>
      <c r="R2939" s="58">
        <f>IF((P2939-Q2939)=0,"",IFERROR(INDEX(coa_CF,MATCH(IF((P2939-Q2939)=1,K2939,I2939),coa_Name,0)),"Operating"))</f>
        <v/>
      </c>
      <c r="S2939" s="95">
        <f>IF((P2939-Q2939)=1,L2939,IF((P2939-Q2939)=-1,-J2939,0))</f>
        <v/>
      </c>
      <c r="T2939" s="95">
        <f>IF((P2939-Q2939)=1,N2939,IF((P2939-Q2939)=-1,-M2939,0))</f>
        <v/>
      </c>
      <c r="U2939" s="101">
        <f>IF(AND(H2939=1,LedAcct&lt;&gt;""),IF(AND(E2939&gt;=LedFrom,E2939&lt;=LedTo,OR(I2939=LedAcct,K2939=LedAcct,AND(LedAcct=acctTax,M2939+N2939&lt;&gt;0))),E2939*10000+B2939,""),"")</f>
        <v/>
      </c>
    </row>
    <row r="2940">
      <c r="B2940" s="101" t="n">
        <v>2934</v>
      </c>
      <c r="C2940" s="58" t="inlineStr">
        <is>
          <t>Bill</t>
        </is>
      </c>
      <c r="D2940" s="58">
        <f>IF(H2940=1,INDEX(ap_No,434)&amp;"","")</f>
        <v/>
      </c>
      <c r="E2940" s="94">
        <f>IF(H2940=1,INDEX(ap_Date,434),"")</f>
        <v/>
      </c>
      <c r="F2940" s="58">
        <f>IF(H2940=1,INDEX(ap_Desc,434)&amp;"","")</f>
        <v/>
      </c>
      <c r="G2940" s="58">
        <f>IF(H2940=1,INDEX(ap_Party,434)&amp;"","")</f>
        <v/>
      </c>
      <c r="H2940" s="101">
        <f>IFERROR(N(INDEX(ap_Posted,434)),0)</f>
        <v/>
      </c>
      <c r="I2940" s="58">
        <f>IF(H2940=1,INDEX(ap_DrAcct,434)&amp;"","")</f>
        <v/>
      </c>
      <c r="J2940" s="95">
        <f>IF(H2940=1,INDEX(ap_DrAmt,434),0)</f>
        <v/>
      </c>
      <c r="K2940" s="58">
        <f>IF(H2940=1,INDEX(ap_CrAcct,434)&amp;"","")</f>
        <v/>
      </c>
      <c r="L2940" s="95">
        <f>IF(H2940=1,INDEX(ap_CrAmt,434),0)</f>
        <v/>
      </c>
      <c r="M2940" s="95">
        <f>IF(H2940=1,INDEX(ap_TaxAmt,434),0)</f>
        <v/>
      </c>
      <c r="N2940" s="95" t="n">
        <v>0</v>
      </c>
      <c r="O2940" s="101">
        <f>IF(H2940=1,IF(E2940&lt;FYStart,0,IF(E2940&gt;FYEnd,13,YEAR(E2940)*12+MONTH(E2940)-FYYM+1)),"")</f>
        <v/>
      </c>
      <c r="P2940" s="101">
        <f>IF(H2940=1,IF(IFERROR(INDEX(coa_CF,MATCH(I2940,coa_Name,0)),"")="Cash",1,0),0)</f>
        <v/>
      </c>
      <c r="Q2940" s="101">
        <f>IF(H2940=1,IF(IFERROR(INDEX(coa_CF,MATCH(K2940,coa_Name,0)),"")="Cash",1,0),0)</f>
        <v/>
      </c>
      <c r="R2940" s="58">
        <f>IF((P2940-Q2940)=0,"",IFERROR(INDEX(coa_CF,MATCH(IF((P2940-Q2940)=1,K2940,I2940),coa_Name,0)),"Operating"))</f>
        <v/>
      </c>
      <c r="S2940" s="95">
        <f>IF((P2940-Q2940)=1,L2940,IF((P2940-Q2940)=-1,-J2940,0))</f>
        <v/>
      </c>
      <c r="T2940" s="95">
        <f>IF((P2940-Q2940)=1,N2940,IF((P2940-Q2940)=-1,-M2940,0))</f>
        <v/>
      </c>
      <c r="U2940" s="101">
        <f>IF(AND(H2940=1,LedAcct&lt;&gt;""),IF(AND(E2940&gt;=LedFrom,E2940&lt;=LedTo,OR(I2940=LedAcct,K2940=LedAcct,AND(LedAcct=acctTax,M2940+N2940&lt;&gt;0))),E2940*10000+B2940,""),"")</f>
        <v/>
      </c>
    </row>
    <row r="2941">
      <c r="B2941" s="101" t="n">
        <v>2935</v>
      </c>
      <c r="C2941" s="58" t="inlineStr">
        <is>
          <t>Bill</t>
        </is>
      </c>
      <c r="D2941" s="58">
        <f>IF(H2941=1,INDEX(ap_No,435)&amp;"","")</f>
        <v/>
      </c>
      <c r="E2941" s="94">
        <f>IF(H2941=1,INDEX(ap_Date,435),"")</f>
        <v/>
      </c>
      <c r="F2941" s="58">
        <f>IF(H2941=1,INDEX(ap_Desc,435)&amp;"","")</f>
        <v/>
      </c>
      <c r="G2941" s="58">
        <f>IF(H2941=1,INDEX(ap_Party,435)&amp;"","")</f>
        <v/>
      </c>
      <c r="H2941" s="101">
        <f>IFERROR(N(INDEX(ap_Posted,435)),0)</f>
        <v/>
      </c>
      <c r="I2941" s="58">
        <f>IF(H2941=1,INDEX(ap_DrAcct,435)&amp;"","")</f>
        <v/>
      </c>
      <c r="J2941" s="95">
        <f>IF(H2941=1,INDEX(ap_DrAmt,435),0)</f>
        <v/>
      </c>
      <c r="K2941" s="58">
        <f>IF(H2941=1,INDEX(ap_CrAcct,435)&amp;"","")</f>
        <v/>
      </c>
      <c r="L2941" s="95">
        <f>IF(H2941=1,INDEX(ap_CrAmt,435),0)</f>
        <v/>
      </c>
      <c r="M2941" s="95">
        <f>IF(H2941=1,INDEX(ap_TaxAmt,435),0)</f>
        <v/>
      </c>
      <c r="N2941" s="95" t="n">
        <v>0</v>
      </c>
      <c r="O2941" s="101">
        <f>IF(H2941=1,IF(E2941&lt;FYStart,0,IF(E2941&gt;FYEnd,13,YEAR(E2941)*12+MONTH(E2941)-FYYM+1)),"")</f>
        <v/>
      </c>
      <c r="P2941" s="101">
        <f>IF(H2941=1,IF(IFERROR(INDEX(coa_CF,MATCH(I2941,coa_Name,0)),"")="Cash",1,0),0)</f>
        <v/>
      </c>
      <c r="Q2941" s="101">
        <f>IF(H2941=1,IF(IFERROR(INDEX(coa_CF,MATCH(K2941,coa_Name,0)),"")="Cash",1,0),0)</f>
        <v/>
      </c>
      <c r="R2941" s="58">
        <f>IF((P2941-Q2941)=0,"",IFERROR(INDEX(coa_CF,MATCH(IF((P2941-Q2941)=1,K2941,I2941),coa_Name,0)),"Operating"))</f>
        <v/>
      </c>
      <c r="S2941" s="95">
        <f>IF((P2941-Q2941)=1,L2941,IF((P2941-Q2941)=-1,-J2941,0))</f>
        <v/>
      </c>
      <c r="T2941" s="95">
        <f>IF((P2941-Q2941)=1,N2941,IF((P2941-Q2941)=-1,-M2941,0))</f>
        <v/>
      </c>
      <c r="U2941" s="101">
        <f>IF(AND(H2941=1,LedAcct&lt;&gt;""),IF(AND(E2941&gt;=LedFrom,E2941&lt;=LedTo,OR(I2941=LedAcct,K2941=LedAcct,AND(LedAcct=acctTax,M2941+N2941&lt;&gt;0))),E2941*10000+B2941,""),"")</f>
        <v/>
      </c>
    </row>
    <row r="2942">
      <c r="B2942" s="101" t="n">
        <v>2936</v>
      </c>
      <c r="C2942" s="58" t="inlineStr">
        <is>
          <t>Bill</t>
        </is>
      </c>
      <c r="D2942" s="58">
        <f>IF(H2942=1,INDEX(ap_No,436)&amp;"","")</f>
        <v/>
      </c>
      <c r="E2942" s="94">
        <f>IF(H2942=1,INDEX(ap_Date,436),"")</f>
        <v/>
      </c>
      <c r="F2942" s="58">
        <f>IF(H2942=1,INDEX(ap_Desc,436)&amp;"","")</f>
        <v/>
      </c>
      <c r="G2942" s="58">
        <f>IF(H2942=1,INDEX(ap_Party,436)&amp;"","")</f>
        <v/>
      </c>
      <c r="H2942" s="101">
        <f>IFERROR(N(INDEX(ap_Posted,436)),0)</f>
        <v/>
      </c>
      <c r="I2942" s="58">
        <f>IF(H2942=1,INDEX(ap_DrAcct,436)&amp;"","")</f>
        <v/>
      </c>
      <c r="J2942" s="95">
        <f>IF(H2942=1,INDEX(ap_DrAmt,436),0)</f>
        <v/>
      </c>
      <c r="K2942" s="58">
        <f>IF(H2942=1,INDEX(ap_CrAcct,436)&amp;"","")</f>
        <v/>
      </c>
      <c r="L2942" s="95">
        <f>IF(H2942=1,INDEX(ap_CrAmt,436),0)</f>
        <v/>
      </c>
      <c r="M2942" s="95">
        <f>IF(H2942=1,INDEX(ap_TaxAmt,436),0)</f>
        <v/>
      </c>
      <c r="N2942" s="95" t="n">
        <v>0</v>
      </c>
      <c r="O2942" s="101">
        <f>IF(H2942=1,IF(E2942&lt;FYStart,0,IF(E2942&gt;FYEnd,13,YEAR(E2942)*12+MONTH(E2942)-FYYM+1)),"")</f>
        <v/>
      </c>
      <c r="P2942" s="101">
        <f>IF(H2942=1,IF(IFERROR(INDEX(coa_CF,MATCH(I2942,coa_Name,0)),"")="Cash",1,0),0)</f>
        <v/>
      </c>
      <c r="Q2942" s="101">
        <f>IF(H2942=1,IF(IFERROR(INDEX(coa_CF,MATCH(K2942,coa_Name,0)),"")="Cash",1,0),0)</f>
        <v/>
      </c>
      <c r="R2942" s="58">
        <f>IF((P2942-Q2942)=0,"",IFERROR(INDEX(coa_CF,MATCH(IF((P2942-Q2942)=1,K2942,I2942),coa_Name,0)),"Operating"))</f>
        <v/>
      </c>
      <c r="S2942" s="95">
        <f>IF((P2942-Q2942)=1,L2942,IF((P2942-Q2942)=-1,-J2942,0))</f>
        <v/>
      </c>
      <c r="T2942" s="95">
        <f>IF((P2942-Q2942)=1,N2942,IF((P2942-Q2942)=-1,-M2942,0))</f>
        <v/>
      </c>
      <c r="U2942" s="101">
        <f>IF(AND(H2942=1,LedAcct&lt;&gt;""),IF(AND(E2942&gt;=LedFrom,E2942&lt;=LedTo,OR(I2942=LedAcct,K2942=LedAcct,AND(LedAcct=acctTax,M2942+N2942&lt;&gt;0))),E2942*10000+B2942,""),"")</f>
        <v/>
      </c>
    </row>
    <row r="2943">
      <c r="B2943" s="101" t="n">
        <v>2937</v>
      </c>
      <c r="C2943" s="58" t="inlineStr">
        <is>
          <t>Bill</t>
        </is>
      </c>
      <c r="D2943" s="58">
        <f>IF(H2943=1,INDEX(ap_No,437)&amp;"","")</f>
        <v/>
      </c>
      <c r="E2943" s="94">
        <f>IF(H2943=1,INDEX(ap_Date,437),"")</f>
        <v/>
      </c>
      <c r="F2943" s="58">
        <f>IF(H2943=1,INDEX(ap_Desc,437)&amp;"","")</f>
        <v/>
      </c>
      <c r="G2943" s="58">
        <f>IF(H2943=1,INDEX(ap_Party,437)&amp;"","")</f>
        <v/>
      </c>
      <c r="H2943" s="101">
        <f>IFERROR(N(INDEX(ap_Posted,437)),0)</f>
        <v/>
      </c>
      <c r="I2943" s="58">
        <f>IF(H2943=1,INDEX(ap_DrAcct,437)&amp;"","")</f>
        <v/>
      </c>
      <c r="J2943" s="95">
        <f>IF(H2943=1,INDEX(ap_DrAmt,437),0)</f>
        <v/>
      </c>
      <c r="K2943" s="58">
        <f>IF(H2943=1,INDEX(ap_CrAcct,437)&amp;"","")</f>
        <v/>
      </c>
      <c r="L2943" s="95">
        <f>IF(H2943=1,INDEX(ap_CrAmt,437),0)</f>
        <v/>
      </c>
      <c r="M2943" s="95">
        <f>IF(H2943=1,INDEX(ap_TaxAmt,437),0)</f>
        <v/>
      </c>
      <c r="N2943" s="95" t="n">
        <v>0</v>
      </c>
      <c r="O2943" s="101">
        <f>IF(H2943=1,IF(E2943&lt;FYStart,0,IF(E2943&gt;FYEnd,13,YEAR(E2943)*12+MONTH(E2943)-FYYM+1)),"")</f>
        <v/>
      </c>
      <c r="P2943" s="101">
        <f>IF(H2943=1,IF(IFERROR(INDEX(coa_CF,MATCH(I2943,coa_Name,0)),"")="Cash",1,0),0)</f>
        <v/>
      </c>
      <c r="Q2943" s="101">
        <f>IF(H2943=1,IF(IFERROR(INDEX(coa_CF,MATCH(K2943,coa_Name,0)),"")="Cash",1,0),0)</f>
        <v/>
      </c>
      <c r="R2943" s="58">
        <f>IF((P2943-Q2943)=0,"",IFERROR(INDEX(coa_CF,MATCH(IF((P2943-Q2943)=1,K2943,I2943),coa_Name,0)),"Operating"))</f>
        <v/>
      </c>
      <c r="S2943" s="95">
        <f>IF((P2943-Q2943)=1,L2943,IF((P2943-Q2943)=-1,-J2943,0))</f>
        <v/>
      </c>
      <c r="T2943" s="95">
        <f>IF((P2943-Q2943)=1,N2943,IF((P2943-Q2943)=-1,-M2943,0))</f>
        <v/>
      </c>
      <c r="U2943" s="101">
        <f>IF(AND(H2943=1,LedAcct&lt;&gt;""),IF(AND(E2943&gt;=LedFrom,E2943&lt;=LedTo,OR(I2943=LedAcct,K2943=LedAcct,AND(LedAcct=acctTax,M2943+N2943&lt;&gt;0))),E2943*10000+B2943,""),"")</f>
        <v/>
      </c>
    </row>
    <row r="2944">
      <c r="B2944" s="101" t="n">
        <v>2938</v>
      </c>
      <c r="C2944" s="58" t="inlineStr">
        <is>
          <t>Bill</t>
        </is>
      </c>
      <c r="D2944" s="58">
        <f>IF(H2944=1,INDEX(ap_No,438)&amp;"","")</f>
        <v/>
      </c>
      <c r="E2944" s="94">
        <f>IF(H2944=1,INDEX(ap_Date,438),"")</f>
        <v/>
      </c>
      <c r="F2944" s="58">
        <f>IF(H2944=1,INDEX(ap_Desc,438)&amp;"","")</f>
        <v/>
      </c>
      <c r="G2944" s="58">
        <f>IF(H2944=1,INDEX(ap_Party,438)&amp;"","")</f>
        <v/>
      </c>
      <c r="H2944" s="101">
        <f>IFERROR(N(INDEX(ap_Posted,438)),0)</f>
        <v/>
      </c>
      <c r="I2944" s="58">
        <f>IF(H2944=1,INDEX(ap_DrAcct,438)&amp;"","")</f>
        <v/>
      </c>
      <c r="J2944" s="95">
        <f>IF(H2944=1,INDEX(ap_DrAmt,438),0)</f>
        <v/>
      </c>
      <c r="K2944" s="58">
        <f>IF(H2944=1,INDEX(ap_CrAcct,438)&amp;"","")</f>
        <v/>
      </c>
      <c r="L2944" s="95">
        <f>IF(H2944=1,INDEX(ap_CrAmt,438),0)</f>
        <v/>
      </c>
      <c r="M2944" s="95">
        <f>IF(H2944=1,INDEX(ap_TaxAmt,438),0)</f>
        <v/>
      </c>
      <c r="N2944" s="95" t="n">
        <v>0</v>
      </c>
      <c r="O2944" s="101">
        <f>IF(H2944=1,IF(E2944&lt;FYStart,0,IF(E2944&gt;FYEnd,13,YEAR(E2944)*12+MONTH(E2944)-FYYM+1)),"")</f>
        <v/>
      </c>
      <c r="P2944" s="101">
        <f>IF(H2944=1,IF(IFERROR(INDEX(coa_CF,MATCH(I2944,coa_Name,0)),"")="Cash",1,0),0)</f>
        <v/>
      </c>
      <c r="Q2944" s="101">
        <f>IF(H2944=1,IF(IFERROR(INDEX(coa_CF,MATCH(K2944,coa_Name,0)),"")="Cash",1,0),0)</f>
        <v/>
      </c>
      <c r="R2944" s="58">
        <f>IF((P2944-Q2944)=0,"",IFERROR(INDEX(coa_CF,MATCH(IF((P2944-Q2944)=1,K2944,I2944),coa_Name,0)),"Operating"))</f>
        <v/>
      </c>
      <c r="S2944" s="95">
        <f>IF((P2944-Q2944)=1,L2944,IF((P2944-Q2944)=-1,-J2944,0))</f>
        <v/>
      </c>
      <c r="T2944" s="95">
        <f>IF((P2944-Q2944)=1,N2944,IF((P2944-Q2944)=-1,-M2944,0))</f>
        <v/>
      </c>
      <c r="U2944" s="101">
        <f>IF(AND(H2944=1,LedAcct&lt;&gt;""),IF(AND(E2944&gt;=LedFrom,E2944&lt;=LedTo,OR(I2944=LedAcct,K2944=LedAcct,AND(LedAcct=acctTax,M2944+N2944&lt;&gt;0))),E2944*10000+B2944,""),"")</f>
        <v/>
      </c>
    </row>
    <row r="2945">
      <c r="B2945" s="101" t="n">
        <v>2939</v>
      </c>
      <c r="C2945" s="58" t="inlineStr">
        <is>
          <t>Bill</t>
        </is>
      </c>
      <c r="D2945" s="58">
        <f>IF(H2945=1,INDEX(ap_No,439)&amp;"","")</f>
        <v/>
      </c>
      <c r="E2945" s="94">
        <f>IF(H2945=1,INDEX(ap_Date,439),"")</f>
        <v/>
      </c>
      <c r="F2945" s="58">
        <f>IF(H2945=1,INDEX(ap_Desc,439)&amp;"","")</f>
        <v/>
      </c>
      <c r="G2945" s="58">
        <f>IF(H2945=1,INDEX(ap_Party,439)&amp;"","")</f>
        <v/>
      </c>
      <c r="H2945" s="101">
        <f>IFERROR(N(INDEX(ap_Posted,439)),0)</f>
        <v/>
      </c>
      <c r="I2945" s="58">
        <f>IF(H2945=1,INDEX(ap_DrAcct,439)&amp;"","")</f>
        <v/>
      </c>
      <c r="J2945" s="95">
        <f>IF(H2945=1,INDEX(ap_DrAmt,439),0)</f>
        <v/>
      </c>
      <c r="K2945" s="58">
        <f>IF(H2945=1,INDEX(ap_CrAcct,439)&amp;"","")</f>
        <v/>
      </c>
      <c r="L2945" s="95">
        <f>IF(H2945=1,INDEX(ap_CrAmt,439),0)</f>
        <v/>
      </c>
      <c r="M2945" s="95">
        <f>IF(H2945=1,INDEX(ap_TaxAmt,439),0)</f>
        <v/>
      </c>
      <c r="N2945" s="95" t="n">
        <v>0</v>
      </c>
      <c r="O2945" s="101">
        <f>IF(H2945=1,IF(E2945&lt;FYStart,0,IF(E2945&gt;FYEnd,13,YEAR(E2945)*12+MONTH(E2945)-FYYM+1)),"")</f>
        <v/>
      </c>
      <c r="P2945" s="101">
        <f>IF(H2945=1,IF(IFERROR(INDEX(coa_CF,MATCH(I2945,coa_Name,0)),"")="Cash",1,0),0)</f>
        <v/>
      </c>
      <c r="Q2945" s="101">
        <f>IF(H2945=1,IF(IFERROR(INDEX(coa_CF,MATCH(K2945,coa_Name,0)),"")="Cash",1,0),0)</f>
        <v/>
      </c>
      <c r="R2945" s="58">
        <f>IF((P2945-Q2945)=0,"",IFERROR(INDEX(coa_CF,MATCH(IF((P2945-Q2945)=1,K2945,I2945),coa_Name,0)),"Operating"))</f>
        <v/>
      </c>
      <c r="S2945" s="95">
        <f>IF((P2945-Q2945)=1,L2945,IF((P2945-Q2945)=-1,-J2945,0))</f>
        <v/>
      </c>
      <c r="T2945" s="95">
        <f>IF((P2945-Q2945)=1,N2945,IF((P2945-Q2945)=-1,-M2945,0))</f>
        <v/>
      </c>
      <c r="U2945" s="101">
        <f>IF(AND(H2945=1,LedAcct&lt;&gt;""),IF(AND(E2945&gt;=LedFrom,E2945&lt;=LedTo,OR(I2945=LedAcct,K2945=LedAcct,AND(LedAcct=acctTax,M2945+N2945&lt;&gt;0))),E2945*10000+B2945,""),"")</f>
        <v/>
      </c>
    </row>
    <row r="2946">
      <c r="B2946" s="101" t="n">
        <v>2940</v>
      </c>
      <c r="C2946" s="58" t="inlineStr">
        <is>
          <t>Bill</t>
        </is>
      </c>
      <c r="D2946" s="58">
        <f>IF(H2946=1,INDEX(ap_No,440)&amp;"","")</f>
        <v/>
      </c>
      <c r="E2946" s="94">
        <f>IF(H2946=1,INDEX(ap_Date,440),"")</f>
        <v/>
      </c>
      <c r="F2946" s="58">
        <f>IF(H2946=1,INDEX(ap_Desc,440)&amp;"","")</f>
        <v/>
      </c>
      <c r="G2946" s="58">
        <f>IF(H2946=1,INDEX(ap_Party,440)&amp;"","")</f>
        <v/>
      </c>
      <c r="H2946" s="101">
        <f>IFERROR(N(INDEX(ap_Posted,440)),0)</f>
        <v/>
      </c>
      <c r="I2946" s="58">
        <f>IF(H2946=1,INDEX(ap_DrAcct,440)&amp;"","")</f>
        <v/>
      </c>
      <c r="J2946" s="95">
        <f>IF(H2946=1,INDEX(ap_DrAmt,440),0)</f>
        <v/>
      </c>
      <c r="K2946" s="58">
        <f>IF(H2946=1,INDEX(ap_CrAcct,440)&amp;"","")</f>
        <v/>
      </c>
      <c r="L2946" s="95">
        <f>IF(H2946=1,INDEX(ap_CrAmt,440),0)</f>
        <v/>
      </c>
      <c r="M2946" s="95">
        <f>IF(H2946=1,INDEX(ap_TaxAmt,440),0)</f>
        <v/>
      </c>
      <c r="N2946" s="95" t="n">
        <v>0</v>
      </c>
      <c r="O2946" s="101">
        <f>IF(H2946=1,IF(E2946&lt;FYStart,0,IF(E2946&gt;FYEnd,13,YEAR(E2946)*12+MONTH(E2946)-FYYM+1)),"")</f>
        <v/>
      </c>
      <c r="P2946" s="101">
        <f>IF(H2946=1,IF(IFERROR(INDEX(coa_CF,MATCH(I2946,coa_Name,0)),"")="Cash",1,0),0)</f>
        <v/>
      </c>
      <c r="Q2946" s="101">
        <f>IF(H2946=1,IF(IFERROR(INDEX(coa_CF,MATCH(K2946,coa_Name,0)),"")="Cash",1,0),0)</f>
        <v/>
      </c>
      <c r="R2946" s="58">
        <f>IF((P2946-Q2946)=0,"",IFERROR(INDEX(coa_CF,MATCH(IF((P2946-Q2946)=1,K2946,I2946),coa_Name,0)),"Operating"))</f>
        <v/>
      </c>
      <c r="S2946" s="95">
        <f>IF((P2946-Q2946)=1,L2946,IF((P2946-Q2946)=-1,-J2946,0))</f>
        <v/>
      </c>
      <c r="T2946" s="95">
        <f>IF((P2946-Q2946)=1,N2946,IF((P2946-Q2946)=-1,-M2946,0))</f>
        <v/>
      </c>
      <c r="U2946" s="101">
        <f>IF(AND(H2946=1,LedAcct&lt;&gt;""),IF(AND(E2946&gt;=LedFrom,E2946&lt;=LedTo,OR(I2946=LedAcct,K2946=LedAcct,AND(LedAcct=acctTax,M2946+N2946&lt;&gt;0))),E2946*10000+B2946,""),"")</f>
        <v/>
      </c>
    </row>
    <row r="2947">
      <c r="B2947" s="101" t="n">
        <v>2941</v>
      </c>
      <c r="C2947" s="58" t="inlineStr">
        <is>
          <t>Bill</t>
        </is>
      </c>
      <c r="D2947" s="58">
        <f>IF(H2947=1,INDEX(ap_No,441)&amp;"","")</f>
        <v/>
      </c>
      <c r="E2947" s="94">
        <f>IF(H2947=1,INDEX(ap_Date,441),"")</f>
        <v/>
      </c>
      <c r="F2947" s="58">
        <f>IF(H2947=1,INDEX(ap_Desc,441)&amp;"","")</f>
        <v/>
      </c>
      <c r="G2947" s="58">
        <f>IF(H2947=1,INDEX(ap_Party,441)&amp;"","")</f>
        <v/>
      </c>
      <c r="H2947" s="101">
        <f>IFERROR(N(INDEX(ap_Posted,441)),0)</f>
        <v/>
      </c>
      <c r="I2947" s="58">
        <f>IF(H2947=1,INDEX(ap_DrAcct,441)&amp;"","")</f>
        <v/>
      </c>
      <c r="J2947" s="95">
        <f>IF(H2947=1,INDEX(ap_DrAmt,441),0)</f>
        <v/>
      </c>
      <c r="K2947" s="58">
        <f>IF(H2947=1,INDEX(ap_CrAcct,441)&amp;"","")</f>
        <v/>
      </c>
      <c r="L2947" s="95">
        <f>IF(H2947=1,INDEX(ap_CrAmt,441),0)</f>
        <v/>
      </c>
      <c r="M2947" s="95">
        <f>IF(H2947=1,INDEX(ap_TaxAmt,441),0)</f>
        <v/>
      </c>
      <c r="N2947" s="95" t="n">
        <v>0</v>
      </c>
      <c r="O2947" s="101">
        <f>IF(H2947=1,IF(E2947&lt;FYStart,0,IF(E2947&gt;FYEnd,13,YEAR(E2947)*12+MONTH(E2947)-FYYM+1)),"")</f>
        <v/>
      </c>
      <c r="P2947" s="101">
        <f>IF(H2947=1,IF(IFERROR(INDEX(coa_CF,MATCH(I2947,coa_Name,0)),"")="Cash",1,0),0)</f>
        <v/>
      </c>
      <c r="Q2947" s="101">
        <f>IF(H2947=1,IF(IFERROR(INDEX(coa_CF,MATCH(K2947,coa_Name,0)),"")="Cash",1,0),0)</f>
        <v/>
      </c>
      <c r="R2947" s="58">
        <f>IF((P2947-Q2947)=0,"",IFERROR(INDEX(coa_CF,MATCH(IF((P2947-Q2947)=1,K2947,I2947),coa_Name,0)),"Operating"))</f>
        <v/>
      </c>
      <c r="S2947" s="95">
        <f>IF((P2947-Q2947)=1,L2947,IF((P2947-Q2947)=-1,-J2947,0))</f>
        <v/>
      </c>
      <c r="T2947" s="95">
        <f>IF((P2947-Q2947)=1,N2947,IF((P2947-Q2947)=-1,-M2947,0))</f>
        <v/>
      </c>
      <c r="U2947" s="101">
        <f>IF(AND(H2947=1,LedAcct&lt;&gt;""),IF(AND(E2947&gt;=LedFrom,E2947&lt;=LedTo,OR(I2947=LedAcct,K2947=LedAcct,AND(LedAcct=acctTax,M2947+N2947&lt;&gt;0))),E2947*10000+B2947,""),"")</f>
        <v/>
      </c>
    </row>
    <row r="2948">
      <c r="B2948" s="101" t="n">
        <v>2942</v>
      </c>
      <c r="C2948" s="58" t="inlineStr">
        <is>
          <t>Bill</t>
        </is>
      </c>
      <c r="D2948" s="58">
        <f>IF(H2948=1,INDEX(ap_No,442)&amp;"","")</f>
        <v/>
      </c>
      <c r="E2948" s="94">
        <f>IF(H2948=1,INDEX(ap_Date,442),"")</f>
        <v/>
      </c>
      <c r="F2948" s="58">
        <f>IF(H2948=1,INDEX(ap_Desc,442)&amp;"","")</f>
        <v/>
      </c>
      <c r="G2948" s="58">
        <f>IF(H2948=1,INDEX(ap_Party,442)&amp;"","")</f>
        <v/>
      </c>
      <c r="H2948" s="101">
        <f>IFERROR(N(INDEX(ap_Posted,442)),0)</f>
        <v/>
      </c>
      <c r="I2948" s="58">
        <f>IF(H2948=1,INDEX(ap_DrAcct,442)&amp;"","")</f>
        <v/>
      </c>
      <c r="J2948" s="95">
        <f>IF(H2948=1,INDEX(ap_DrAmt,442),0)</f>
        <v/>
      </c>
      <c r="K2948" s="58">
        <f>IF(H2948=1,INDEX(ap_CrAcct,442)&amp;"","")</f>
        <v/>
      </c>
      <c r="L2948" s="95">
        <f>IF(H2948=1,INDEX(ap_CrAmt,442),0)</f>
        <v/>
      </c>
      <c r="M2948" s="95">
        <f>IF(H2948=1,INDEX(ap_TaxAmt,442),0)</f>
        <v/>
      </c>
      <c r="N2948" s="95" t="n">
        <v>0</v>
      </c>
      <c r="O2948" s="101">
        <f>IF(H2948=1,IF(E2948&lt;FYStart,0,IF(E2948&gt;FYEnd,13,YEAR(E2948)*12+MONTH(E2948)-FYYM+1)),"")</f>
        <v/>
      </c>
      <c r="P2948" s="101">
        <f>IF(H2948=1,IF(IFERROR(INDEX(coa_CF,MATCH(I2948,coa_Name,0)),"")="Cash",1,0),0)</f>
        <v/>
      </c>
      <c r="Q2948" s="101">
        <f>IF(H2948=1,IF(IFERROR(INDEX(coa_CF,MATCH(K2948,coa_Name,0)),"")="Cash",1,0),0)</f>
        <v/>
      </c>
      <c r="R2948" s="58">
        <f>IF((P2948-Q2948)=0,"",IFERROR(INDEX(coa_CF,MATCH(IF((P2948-Q2948)=1,K2948,I2948),coa_Name,0)),"Operating"))</f>
        <v/>
      </c>
      <c r="S2948" s="95">
        <f>IF((P2948-Q2948)=1,L2948,IF((P2948-Q2948)=-1,-J2948,0))</f>
        <v/>
      </c>
      <c r="T2948" s="95">
        <f>IF((P2948-Q2948)=1,N2948,IF((P2948-Q2948)=-1,-M2948,0))</f>
        <v/>
      </c>
      <c r="U2948" s="101">
        <f>IF(AND(H2948=1,LedAcct&lt;&gt;""),IF(AND(E2948&gt;=LedFrom,E2948&lt;=LedTo,OR(I2948=LedAcct,K2948=LedAcct,AND(LedAcct=acctTax,M2948+N2948&lt;&gt;0))),E2948*10000+B2948,""),"")</f>
        <v/>
      </c>
    </row>
    <row r="2949">
      <c r="B2949" s="101" t="n">
        <v>2943</v>
      </c>
      <c r="C2949" s="58" t="inlineStr">
        <is>
          <t>Bill</t>
        </is>
      </c>
      <c r="D2949" s="58">
        <f>IF(H2949=1,INDEX(ap_No,443)&amp;"","")</f>
        <v/>
      </c>
      <c r="E2949" s="94">
        <f>IF(H2949=1,INDEX(ap_Date,443),"")</f>
        <v/>
      </c>
      <c r="F2949" s="58">
        <f>IF(H2949=1,INDEX(ap_Desc,443)&amp;"","")</f>
        <v/>
      </c>
      <c r="G2949" s="58">
        <f>IF(H2949=1,INDEX(ap_Party,443)&amp;"","")</f>
        <v/>
      </c>
      <c r="H2949" s="101">
        <f>IFERROR(N(INDEX(ap_Posted,443)),0)</f>
        <v/>
      </c>
      <c r="I2949" s="58">
        <f>IF(H2949=1,INDEX(ap_DrAcct,443)&amp;"","")</f>
        <v/>
      </c>
      <c r="J2949" s="95">
        <f>IF(H2949=1,INDEX(ap_DrAmt,443),0)</f>
        <v/>
      </c>
      <c r="K2949" s="58">
        <f>IF(H2949=1,INDEX(ap_CrAcct,443)&amp;"","")</f>
        <v/>
      </c>
      <c r="L2949" s="95">
        <f>IF(H2949=1,INDEX(ap_CrAmt,443),0)</f>
        <v/>
      </c>
      <c r="M2949" s="95">
        <f>IF(H2949=1,INDEX(ap_TaxAmt,443),0)</f>
        <v/>
      </c>
      <c r="N2949" s="95" t="n">
        <v>0</v>
      </c>
      <c r="O2949" s="101">
        <f>IF(H2949=1,IF(E2949&lt;FYStart,0,IF(E2949&gt;FYEnd,13,YEAR(E2949)*12+MONTH(E2949)-FYYM+1)),"")</f>
        <v/>
      </c>
      <c r="P2949" s="101">
        <f>IF(H2949=1,IF(IFERROR(INDEX(coa_CF,MATCH(I2949,coa_Name,0)),"")="Cash",1,0),0)</f>
        <v/>
      </c>
      <c r="Q2949" s="101">
        <f>IF(H2949=1,IF(IFERROR(INDEX(coa_CF,MATCH(K2949,coa_Name,0)),"")="Cash",1,0),0)</f>
        <v/>
      </c>
      <c r="R2949" s="58">
        <f>IF((P2949-Q2949)=0,"",IFERROR(INDEX(coa_CF,MATCH(IF((P2949-Q2949)=1,K2949,I2949),coa_Name,0)),"Operating"))</f>
        <v/>
      </c>
      <c r="S2949" s="95">
        <f>IF((P2949-Q2949)=1,L2949,IF((P2949-Q2949)=-1,-J2949,0))</f>
        <v/>
      </c>
      <c r="T2949" s="95">
        <f>IF((P2949-Q2949)=1,N2949,IF((P2949-Q2949)=-1,-M2949,0))</f>
        <v/>
      </c>
      <c r="U2949" s="101">
        <f>IF(AND(H2949=1,LedAcct&lt;&gt;""),IF(AND(E2949&gt;=LedFrom,E2949&lt;=LedTo,OR(I2949=LedAcct,K2949=LedAcct,AND(LedAcct=acctTax,M2949+N2949&lt;&gt;0))),E2949*10000+B2949,""),"")</f>
        <v/>
      </c>
    </row>
    <row r="2950">
      <c r="B2950" s="101" t="n">
        <v>2944</v>
      </c>
      <c r="C2950" s="58" t="inlineStr">
        <is>
          <t>Bill</t>
        </is>
      </c>
      <c r="D2950" s="58">
        <f>IF(H2950=1,INDEX(ap_No,444)&amp;"","")</f>
        <v/>
      </c>
      <c r="E2950" s="94">
        <f>IF(H2950=1,INDEX(ap_Date,444),"")</f>
        <v/>
      </c>
      <c r="F2950" s="58">
        <f>IF(H2950=1,INDEX(ap_Desc,444)&amp;"","")</f>
        <v/>
      </c>
      <c r="G2950" s="58">
        <f>IF(H2950=1,INDEX(ap_Party,444)&amp;"","")</f>
        <v/>
      </c>
      <c r="H2950" s="101">
        <f>IFERROR(N(INDEX(ap_Posted,444)),0)</f>
        <v/>
      </c>
      <c r="I2950" s="58">
        <f>IF(H2950=1,INDEX(ap_DrAcct,444)&amp;"","")</f>
        <v/>
      </c>
      <c r="J2950" s="95">
        <f>IF(H2950=1,INDEX(ap_DrAmt,444),0)</f>
        <v/>
      </c>
      <c r="K2950" s="58">
        <f>IF(H2950=1,INDEX(ap_CrAcct,444)&amp;"","")</f>
        <v/>
      </c>
      <c r="L2950" s="95">
        <f>IF(H2950=1,INDEX(ap_CrAmt,444),0)</f>
        <v/>
      </c>
      <c r="M2950" s="95">
        <f>IF(H2950=1,INDEX(ap_TaxAmt,444),0)</f>
        <v/>
      </c>
      <c r="N2950" s="95" t="n">
        <v>0</v>
      </c>
      <c r="O2950" s="101">
        <f>IF(H2950=1,IF(E2950&lt;FYStart,0,IF(E2950&gt;FYEnd,13,YEAR(E2950)*12+MONTH(E2950)-FYYM+1)),"")</f>
        <v/>
      </c>
      <c r="P2950" s="101">
        <f>IF(H2950=1,IF(IFERROR(INDEX(coa_CF,MATCH(I2950,coa_Name,0)),"")="Cash",1,0),0)</f>
        <v/>
      </c>
      <c r="Q2950" s="101">
        <f>IF(H2950=1,IF(IFERROR(INDEX(coa_CF,MATCH(K2950,coa_Name,0)),"")="Cash",1,0),0)</f>
        <v/>
      </c>
      <c r="R2950" s="58">
        <f>IF((P2950-Q2950)=0,"",IFERROR(INDEX(coa_CF,MATCH(IF((P2950-Q2950)=1,K2950,I2950),coa_Name,0)),"Operating"))</f>
        <v/>
      </c>
      <c r="S2950" s="95">
        <f>IF((P2950-Q2950)=1,L2950,IF((P2950-Q2950)=-1,-J2950,0))</f>
        <v/>
      </c>
      <c r="T2950" s="95">
        <f>IF((P2950-Q2950)=1,N2950,IF((P2950-Q2950)=-1,-M2950,0))</f>
        <v/>
      </c>
      <c r="U2950" s="101">
        <f>IF(AND(H2950=1,LedAcct&lt;&gt;""),IF(AND(E2950&gt;=LedFrom,E2950&lt;=LedTo,OR(I2950=LedAcct,K2950=LedAcct,AND(LedAcct=acctTax,M2950+N2950&lt;&gt;0))),E2950*10000+B2950,""),"")</f>
        <v/>
      </c>
    </row>
    <row r="2951">
      <c r="B2951" s="101" t="n">
        <v>2945</v>
      </c>
      <c r="C2951" s="58" t="inlineStr">
        <is>
          <t>Bill</t>
        </is>
      </c>
      <c r="D2951" s="58">
        <f>IF(H2951=1,INDEX(ap_No,445)&amp;"","")</f>
        <v/>
      </c>
      <c r="E2951" s="94">
        <f>IF(H2951=1,INDEX(ap_Date,445),"")</f>
        <v/>
      </c>
      <c r="F2951" s="58">
        <f>IF(H2951=1,INDEX(ap_Desc,445)&amp;"","")</f>
        <v/>
      </c>
      <c r="G2951" s="58">
        <f>IF(H2951=1,INDEX(ap_Party,445)&amp;"","")</f>
        <v/>
      </c>
      <c r="H2951" s="101">
        <f>IFERROR(N(INDEX(ap_Posted,445)),0)</f>
        <v/>
      </c>
      <c r="I2951" s="58">
        <f>IF(H2951=1,INDEX(ap_DrAcct,445)&amp;"","")</f>
        <v/>
      </c>
      <c r="J2951" s="95">
        <f>IF(H2951=1,INDEX(ap_DrAmt,445),0)</f>
        <v/>
      </c>
      <c r="K2951" s="58">
        <f>IF(H2951=1,INDEX(ap_CrAcct,445)&amp;"","")</f>
        <v/>
      </c>
      <c r="L2951" s="95">
        <f>IF(H2951=1,INDEX(ap_CrAmt,445),0)</f>
        <v/>
      </c>
      <c r="M2951" s="95">
        <f>IF(H2951=1,INDEX(ap_TaxAmt,445),0)</f>
        <v/>
      </c>
      <c r="N2951" s="95" t="n">
        <v>0</v>
      </c>
      <c r="O2951" s="101">
        <f>IF(H2951=1,IF(E2951&lt;FYStart,0,IF(E2951&gt;FYEnd,13,YEAR(E2951)*12+MONTH(E2951)-FYYM+1)),"")</f>
        <v/>
      </c>
      <c r="P2951" s="101">
        <f>IF(H2951=1,IF(IFERROR(INDEX(coa_CF,MATCH(I2951,coa_Name,0)),"")="Cash",1,0),0)</f>
        <v/>
      </c>
      <c r="Q2951" s="101">
        <f>IF(H2951=1,IF(IFERROR(INDEX(coa_CF,MATCH(K2951,coa_Name,0)),"")="Cash",1,0),0)</f>
        <v/>
      </c>
      <c r="R2951" s="58">
        <f>IF((P2951-Q2951)=0,"",IFERROR(INDEX(coa_CF,MATCH(IF((P2951-Q2951)=1,K2951,I2951),coa_Name,0)),"Operating"))</f>
        <v/>
      </c>
      <c r="S2951" s="95">
        <f>IF((P2951-Q2951)=1,L2951,IF((P2951-Q2951)=-1,-J2951,0))</f>
        <v/>
      </c>
      <c r="T2951" s="95">
        <f>IF((P2951-Q2951)=1,N2951,IF((P2951-Q2951)=-1,-M2951,0))</f>
        <v/>
      </c>
      <c r="U2951" s="101">
        <f>IF(AND(H2951=1,LedAcct&lt;&gt;""),IF(AND(E2951&gt;=LedFrom,E2951&lt;=LedTo,OR(I2951=LedAcct,K2951=LedAcct,AND(LedAcct=acctTax,M2951+N2951&lt;&gt;0))),E2951*10000+B2951,""),"")</f>
        <v/>
      </c>
    </row>
    <row r="2952">
      <c r="B2952" s="101" t="n">
        <v>2946</v>
      </c>
      <c r="C2952" s="58" t="inlineStr">
        <is>
          <t>Bill</t>
        </is>
      </c>
      <c r="D2952" s="58">
        <f>IF(H2952=1,INDEX(ap_No,446)&amp;"","")</f>
        <v/>
      </c>
      <c r="E2952" s="94">
        <f>IF(H2952=1,INDEX(ap_Date,446),"")</f>
        <v/>
      </c>
      <c r="F2952" s="58">
        <f>IF(H2952=1,INDEX(ap_Desc,446)&amp;"","")</f>
        <v/>
      </c>
      <c r="G2952" s="58">
        <f>IF(H2952=1,INDEX(ap_Party,446)&amp;"","")</f>
        <v/>
      </c>
      <c r="H2952" s="101">
        <f>IFERROR(N(INDEX(ap_Posted,446)),0)</f>
        <v/>
      </c>
      <c r="I2952" s="58">
        <f>IF(H2952=1,INDEX(ap_DrAcct,446)&amp;"","")</f>
        <v/>
      </c>
      <c r="J2952" s="95">
        <f>IF(H2952=1,INDEX(ap_DrAmt,446),0)</f>
        <v/>
      </c>
      <c r="K2952" s="58">
        <f>IF(H2952=1,INDEX(ap_CrAcct,446)&amp;"","")</f>
        <v/>
      </c>
      <c r="L2952" s="95">
        <f>IF(H2952=1,INDEX(ap_CrAmt,446),0)</f>
        <v/>
      </c>
      <c r="M2952" s="95">
        <f>IF(H2952=1,INDEX(ap_TaxAmt,446),0)</f>
        <v/>
      </c>
      <c r="N2952" s="95" t="n">
        <v>0</v>
      </c>
      <c r="O2952" s="101">
        <f>IF(H2952=1,IF(E2952&lt;FYStart,0,IF(E2952&gt;FYEnd,13,YEAR(E2952)*12+MONTH(E2952)-FYYM+1)),"")</f>
        <v/>
      </c>
      <c r="P2952" s="101">
        <f>IF(H2952=1,IF(IFERROR(INDEX(coa_CF,MATCH(I2952,coa_Name,0)),"")="Cash",1,0),0)</f>
        <v/>
      </c>
      <c r="Q2952" s="101">
        <f>IF(H2952=1,IF(IFERROR(INDEX(coa_CF,MATCH(K2952,coa_Name,0)),"")="Cash",1,0),0)</f>
        <v/>
      </c>
      <c r="R2952" s="58">
        <f>IF((P2952-Q2952)=0,"",IFERROR(INDEX(coa_CF,MATCH(IF((P2952-Q2952)=1,K2952,I2952),coa_Name,0)),"Operating"))</f>
        <v/>
      </c>
      <c r="S2952" s="95">
        <f>IF((P2952-Q2952)=1,L2952,IF((P2952-Q2952)=-1,-J2952,0))</f>
        <v/>
      </c>
      <c r="T2952" s="95">
        <f>IF((P2952-Q2952)=1,N2952,IF((P2952-Q2952)=-1,-M2952,0))</f>
        <v/>
      </c>
      <c r="U2952" s="101">
        <f>IF(AND(H2952=1,LedAcct&lt;&gt;""),IF(AND(E2952&gt;=LedFrom,E2952&lt;=LedTo,OR(I2952=LedAcct,K2952=LedAcct,AND(LedAcct=acctTax,M2952+N2952&lt;&gt;0))),E2952*10000+B2952,""),"")</f>
        <v/>
      </c>
    </row>
    <row r="2953">
      <c r="B2953" s="101" t="n">
        <v>2947</v>
      </c>
      <c r="C2953" s="58" t="inlineStr">
        <is>
          <t>Bill</t>
        </is>
      </c>
      <c r="D2953" s="58">
        <f>IF(H2953=1,INDEX(ap_No,447)&amp;"","")</f>
        <v/>
      </c>
      <c r="E2953" s="94">
        <f>IF(H2953=1,INDEX(ap_Date,447),"")</f>
        <v/>
      </c>
      <c r="F2953" s="58">
        <f>IF(H2953=1,INDEX(ap_Desc,447)&amp;"","")</f>
        <v/>
      </c>
      <c r="G2953" s="58">
        <f>IF(H2953=1,INDEX(ap_Party,447)&amp;"","")</f>
        <v/>
      </c>
      <c r="H2953" s="101">
        <f>IFERROR(N(INDEX(ap_Posted,447)),0)</f>
        <v/>
      </c>
      <c r="I2953" s="58">
        <f>IF(H2953=1,INDEX(ap_DrAcct,447)&amp;"","")</f>
        <v/>
      </c>
      <c r="J2953" s="95">
        <f>IF(H2953=1,INDEX(ap_DrAmt,447),0)</f>
        <v/>
      </c>
      <c r="K2953" s="58">
        <f>IF(H2953=1,INDEX(ap_CrAcct,447)&amp;"","")</f>
        <v/>
      </c>
      <c r="L2953" s="95">
        <f>IF(H2953=1,INDEX(ap_CrAmt,447),0)</f>
        <v/>
      </c>
      <c r="M2953" s="95">
        <f>IF(H2953=1,INDEX(ap_TaxAmt,447),0)</f>
        <v/>
      </c>
      <c r="N2953" s="95" t="n">
        <v>0</v>
      </c>
      <c r="O2953" s="101">
        <f>IF(H2953=1,IF(E2953&lt;FYStart,0,IF(E2953&gt;FYEnd,13,YEAR(E2953)*12+MONTH(E2953)-FYYM+1)),"")</f>
        <v/>
      </c>
      <c r="P2953" s="101">
        <f>IF(H2953=1,IF(IFERROR(INDEX(coa_CF,MATCH(I2953,coa_Name,0)),"")="Cash",1,0),0)</f>
        <v/>
      </c>
      <c r="Q2953" s="101">
        <f>IF(H2953=1,IF(IFERROR(INDEX(coa_CF,MATCH(K2953,coa_Name,0)),"")="Cash",1,0),0)</f>
        <v/>
      </c>
      <c r="R2953" s="58">
        <f>IF((P2953-Q2953)=0,"",IFERROR(INDEX(coa_CF,MATCH(IF((P2953-Q2953)=1,K2953,I2953),coa_Name,0)),"Operating"))</f>
        <v/>
      </c>
      <c r="S2953" s="95">
        <f>IF((P2953-Q2953)=1,L2953,IF((P2953-Q2953)=-1,-J2953,0))</f>
        <v/>
      </c>
      <c r="T2953" s="95">
        <f>IF((P2953-Q2953)=1,N2953,IF((P2953-Q2953)=-1,-M2953,0))</f>
        <v/>
      </c>
      <c r="U2953" s="101">
        <f>IF(AND(H2953=1,LedAcct&lt;&gt;""),IF(AND(E2953&gt;=LedFrom,E2953&lt;=LedTo,OR(I2953=LedAcct,K2953=LedAcct,AND(LedAcct=acctTax,M2953+N2953&lt;&gt;0))),E2953*10000+B2953,""),"")</f>
        <v/>
      </c>
    </row>
    <row r="2954">
      <c r="B2954" s="101" t="n">
        <v>2948</v>
      </c>
      <c r="C2954" s="58" t="inlineStr">
        <is>
          <t>Bill</t>
        </is>
      </c>
      <c r="D2954" s="58">
        <f>IF(H2954=1,INDEX(ap_No,448)&amp;"","")</f>
        <v/>
      </c>
      <c r="E2954" s="94">
        <f>IF(H2954=1,INDEX(ap_Date,448),"")</f>
        <v/>
      </c>
      <c r="F2954" s="58">
        <f>IF(H2954=1,INDEX(ap_Desc,448)&amp;"","")</f>
        <v/>
      </c>
      <c r="G2954" s="58">
        <f>IF(H2954=1,INDEX(ap_Party,448)&amp;"","")</f>
        <v/>
      </c>
      <c r="H2954" s="101">
        <f>IFERROR(N(INDEX(ap_Posted,448)),0)</f>
        <v/>
      </c>
      <c r="I2954" s="58">
        <f>IF(H2954=1,INDEX(ap_DrAcct,448)&amp;"","")</f>
        <v/>
      </c>
      <c r="J2954" s="95">
        <f>IF(H2954=1,INDEX(ap_DrAmt,448),0)</f>
        <v/>
      </c>
      <c r="K2954" s="58">
        <f>IF(H2954=1,INDEX(ap_CrAcct,448)&amp;"","")</f>
        <v/>
      </c>
      <c r="L2954" s="95">
        <f>IF(H2954=1,INDEX(ap_CrAmt,448),0)</f>
        <v/>
      </c>
      <c r="M2954" s="95">
        <f>IF(H2954=1,INDEX(ap_TaxAmt,448),0)</f>
        <v/>
      </c>
      <c r="N2954" s="95" t="n">
        <v>0</v>
      </c>
      <c r="O2954" s="101">
        <f>IF(H2954=1,IF(E2954&lt;FYStart,0,IF(E2954&gt;FYEnd,13,YEAR(E2954)*12+MONTH(E2954)-FYYM+1)),"")</f>
        <v/>
      </c>
      <c r="P2954" s="101">
        <f>IF(H2954=1,IF(IFERROR(INDEX(coa_CF,MATCH(I2954,coa_Name,0)),"")="Cash",1,0),0)</f>
        <v/>
      </c>
      <c r="Q2954" s="101">
        <f>IF(H2954=1,IF(IFERROR(INDEX(coa_CF,MATCH(K2954,coa_Name,0)),"")="Cash",1,0),0)</f>
        <v/>
      </c>
      <c r="R2954" s="58">
        <f>IF((P2954-Q2954)=0,"",IFERROR(INDEX(coa_CF,MATCH(IF((P2954-Q2954)=1,K2954,I2954),coa_Name,0)),"Operating"))</f>
        <v/>
      </c>
      <c r="S2954" s="95">
        <f>IF((P2954-Q2954)=1,L2954,IF((P2954-Q2954)=-1,-J2954,0))</f>
        <v/>
      </c>
      <c r="T2954" s="95">
        <f>IF((P2954-Q2954)=1,N2954,IF((P2954-Q2954)=-1,-M2954,0))</f>
        <v/>
      </c>
      <c r="U2954" s="101">
        <f>IF(AND(H2954=1,LedAcct&lt;&gt;""),IF(AND(E2954&gt;=LedFrom,E2954&lt;=LedTo,OR(I2954=LedAcct,K2954=LedAcct,AND(LedAcct=acctTax,M2954+N2954&lt;&gt;0))),E2954*10000+B2954,""),"")</f>
        <v/>
      </c>
    </row>
    <row r="2955">
      <c r="B2955" s="101" t="n">
        <v>2949</v>
      </c>
      <c r="C2955" s="58" t="inlineStr">
        <is>
          <t>Bill</t>
        </is>
      </c>
      <c r="D2955" s="58">
        <f>IF(H2955=1,INDEX(ap_No,449)&amp;"","")</f>
        <v/>
      </c>
      <c r="E2955" s="94">
        <f>IF(H2955=1,INDEX(ap_Date,449),"")</f>
        <v/>
      </c>
      <c r="F2955" s="58">
        <f>IF(H2955=1,INDEX(ap_Desc,449)&amp;"","")</f>
        <v/>
      </c>
      <c r="G2955" s="58">
        <f>IF(H2955=1,INDEX(ap_Party,449)&amp;"","")</f>
        <v/>
      </c>
      <c r="H2955" s="101">
        <f>IFERROR(N(INDEX(ap_Posted,449)),0)</f>
        <v/>
      </c>
      <c r="I2955" s="58">
        <f>IF(H2955=1,INDEX(ap_DrAcct,449)&amp;"","")</f>
        <v/>
      </c>
      <c r="J2955" s="95">
        <f>IF(H2955=1,INDEX(ap_DrAmt,449),0)</f>
        <v/>
      </c>
      <c r="K2955" s="58">
        <f>IF(H2955=1,INDEX(ap_CrAcct,449)&amp;"","")</f>
        <v/>
      </c>
      <c r="L2955" s="95">
        <f>IF(H2955=1,INDEX(ap_CrAmt,449),0)</f>
        <v/>
      </c>
      <c r="M2955" s="95">
        <f>IF(H2955=1,INDEX(ap_TaxAmt,449),0)</f>
        <v/>
      </c>
      <c r="N2955" s="95" t="n">
        <v>0</v>
      </c>
      <c r="O2955" s="101">
        <f>IF(H2955=1,IF(E2955&lt;FYStart,0,IF(E2955&gt;FYEnd,13,YEAR(E2955)*12+MONTH(E2955)-FYYM+1)),"")</f>
        <v/>
      </c>
      <c r="P2955" s="101">
        <f>IF(H2955=1,IF(IFERROR(INDEX(coa_CF,MATCH(I2955,coa_Name,0)),"")="Cash",1,0),0)</f>
        <v/>
      </c>
      <c r="Q2955" s="101">
        <f>IF(H2955=1,IF(IFERROR(INDEX(coa_CF,MATCH(K2955,coa_Name,0)),"")="Cash",1,0),0)</f>
        <v/>
      </c>
      <c r="R2955" s="58">
        <f>IF((P2955-Q2955)=0,"",IFERROR(INDEX(coa_CF,MATCH(IF((P2955-Q2955)=1,K2955,I2955),coa_Name,0)),"Operating"))</f>
        <v/>
      </c>
      <c r="S2955" s="95">
        <f>IF((P2955-Q2955)=1,L2955,IF((P2955-Q2955)=-1,-J2955,0))</f>
        <v/>
      </c>
      <c r="T2955" s="95">
        <f>IF((P2955-Q2955)=1,N2955,IF((P2955-Q2955)=-1,-M2955,0))</f>
        <v/>
      </c>
      <c r="U2955" s="101">
        <f>IF(AND(H2955=1,LedAcct&lt;&gt;""),IF(AND(E2955&gt;=LedFrom,E2955&lt;=LedTo,OR(I2955=LedAcct,K2955=LedAcct,AND(LedAcct=acctTax,M2955+N2955&lt;&gt;0))),E2955*10000+B2955,""),"")</f>
        <v/>
      </c>
    </row>
    <row r="2956">
      <c r="B2956" s="101" t="n">
        <v>2950</v>
      </c>
      <c r="C2956" s="58" t="inlineStr">
        <is>
          <t>Bill</t>
        </is>
      </c>
      <c r="D2956" s="58">
        <f>IF(H2956=1,INDEX(ap_No,450)&amp;"","")</f>
        <v/>
      </c>
      <c r="E2956" s="94">
        <f>IF(H2956=1,INDEX(ap_Date,450),"")</f>
        <v/>
      </c>
      <c r="F2956" s="58">
        <f>IF(H2956=1,INDEX(ap_Desc,450)&amp;"","")</f>
        <v/>
      </c>
      <c r="G2956" s="58">
        <f>IF(H2956=1,INDEX(ap_Party,450)&amp;"","")</f>
        <v/>
      </c>
      <c r="H2956" s="101">
        <f>IFERROR(N(INDEX(ap_Posted,450)),0)</f>
        <v/>
      </c>
      <c r="I2956" s="58">
        <f>IF(H2956=1,INDEX(ap_DrAcct,450)&amp;"","")</f>
        <v/>
      </c>
      <c r="J2956" s="95">
        <f>IF(H2956=1,INDEX(ap_DrAmt,450),0)</f>
        <v/>
      </c>
      <c r="K2956" s="58">
        <f>IF(H2956=1,INDEX(ap_CrAcct,450)&amp;"","")</f>
        <v/>
      </c>
      <c r="L2956" s="95">
        <f>IF(H2956=1,INDEX(ap_CrAmt,450),0)</f>
        <v/>
      </c>
      <c r="M2956" s="95">
        <f>IF(H2956=1,INDEX(ap_TaxAmt,450),0)</f>
        <v/>
      </c>
      <c r="N2956" s="95" t="n">
        <v>0</v>
      </c>
      <c r="O2956" s="101">
        <f>IF(H2956=1,IF(E2956&lt;FYStart,0,IF(E2956&gt;FYEnd,13,YEAR(E2956)*12+MONTH(E2956)-FYYM+1)),"")</f>
        <v/>
      </c>
      <c r="P2956" s="101">
        <f>IF(H2956=1,IF(IFERROR(INDEX(coa_CF,MATCH(I2956,coa_Name,0)),"")="Cash",1,0),0)</f>
        <v/>
      </c>
      <c r="Q2956" s="101">
        <f>IF(H2956=1,IF(IFERROR(INDEX(coa_CF,MATCH(K2956,coa_Name,0)),"")="Cash",1,0),0)</f>
        <v/>
      </c>
      <c r="R2956" s="58">
        <f>IF((P2956-Q2956)=0,"",IFERROR(INDEX(coa_CF,MATCH(IF((P2956-Q2956)=1,K2956,I2956),coa_Name,0)),"Operating"))</f>
        <v/>
      </c>
      <c r="S2956" s="95">
        <f>IF((P2956-Q2956)=1,L2956,IF((P2956-Q2956)=-1,-J2956,0))</f>
        <v/>
      </c>
      <c r="T2956" s="95">
        <f>IF((P2956-Q2956)=1,N2956,IF((P2956-Q2956)=-1,-M2956,0))</f>
        <v/>
      </c>
      <c r="U2956" s="101">
        <f>IF(AND(H2956=1,LedAcct&lt;&gt;""),IF(AND(E2956&gt;=LedFrom,E2956&lt;=LedTo,OR(I2956=LedAcct,K2956=LedAcct,AND(LedAcct=acctTax,M2956+N2956&lt;&gt;0))),E2956*10000+B2956,""),"")</f>
        <v/>
      </c>
    </row>
    <row r="2957">
      <c r="B2957" s="101" t="n">
        <v>2951</v>
      </c>
      <c r="C2957" s="58" t="inlineStr">
        <is>
          <t>Bill</t>
        </is>
      </c>
      <c r="D2957" s="58">
        <f>IF(H2957=1,INDEX(ap_No,451)&amp;"","")</f>
        <v/>
      </c>
      <c r="E2957" s="94">
        <f>IF(H2957=1,INDEX(ap_Date,451),"")</f>
        <v/>
      </c>
      <c r="F2957" s="58">
        <f>IF(H2957=1,INDEX(ap_Desc,451)&amp;"","")</f>
        <v/>
      </c>
      <c r="G2957" s="58">
        <f>IF(H2957=1,INDEX(ap_Party,451)&amp;"","")</f>
        <v/>
      </c>
      <c r="H2957" s="101">
        <f>IFERROR(N(INDEX(ap_Posted,451)),0)</f>
        <v/>
      </c>
      <c r="I2957" s="58">
        <f>IF(H2957=1,INDEX(ap_DrAcct,451)&amp;"","")</f>
        <v/>
      </c>
      <c r="J2957" s="95">
        <f>IF(H2957=1,INDEX(ap_DrAmt,451),0)</f>
        <v/>
      </c>
      <c r="K2957" s="58">
        <f>IF(H2957=1,INDEX(ap_CrAcct,451)&amp;"","")</f>
        <v/>
      </c>
      <c r="L2957" s="95">
        <f>IF(H2957=1,INDEX(ap_CrAmt,451),0)</f>
        <v/>
      </c>
      <c r="M2957" s="95">
        <f>IF(H2957=1,INDEX(ap_TaxAmt,451),0)</f>
        <v/>
      </c>
      <c r="N2957" s="95" t="n">
        <v>0</v>
      </c>
      <c r="O2957" s="101">
        <f>IF(H2957=1,IF(E2957&lt;FYStart,0,IF(E2957&gt;FYEnd,13,YEAR(E2957)*12+MONTH(E2957)-FYYM+1)),"")</f>
        <v/>
      </c>
      <c r="P2957" s="101">
        <f>IF(H2957=1,IF(IFERROR(INDEX(coa_CF,MATCH(I2957,coa_Name,0)),"")="Cash",1,0),0)</f>
        <v/>
      </c>
      <c r="Q2957" s="101">
        <f>IF(H2957=1,IF(IFERROR(INDEX(coa_CF,MATCH(K2957,coa_Name,0)),"")="Cash",1,0),0)</f>
        <v/>
      </c>
      <c r="R2957" s="58">
        <f>IF((P2957-Q2957)=0,"",IFERROR(INDEX(coa_CF,MATCH(IF((P2957-Q2957)=1,K2957,I2957),coa_Name,0)),"Operating"))</f>
        <v/>
      </c>
      <c r="S2957" s="95">
        <f>IF((P2957-Q2957)=1,L2957,IF((P2957-Q2957)=-1,-J2957,0))</f>
        <v/>
      </c>
      <c r="T2957" s="95">
        <f>IF((P2957-Q2957)=1,N2957,IF((P2957-Q2957)=-1,-M2957,0))</f>
        <v/>
      </c>
      <c r="U2957" s="101">
        <f>IF(AND(H2957=1,LedAcct&lt;&gt;""),IF(AND(E2957&gt;=LedFrom,E2957&lt;=LedTo,OR(I2957=LedAcct,K2957=LedAcct,AND(LedAcct=acctTax,M2957+N2957&lt;&gt;0))),E2957*10000+B2957,""),"")</f>
        <v/>
      </c>
    </row>
    <row r="2958">
      <c r="B2958" s="101" t="n">
        <v>2952</v>
      </c>
      <c r="C2958" s="58" t="inlineStr">
        <is>
          <t>Bill</t>
        </is>
      </c>
      <c r="D2958" s="58">
        <f>IF(H2958=1,INDEX(ap_No,452)&amp;"","")</f>
        <v/>
      </c>
      <c r="E2958" s="94">
        <f>IF(H2958=1,INDEX(ap_Date,452),"")</f>
        <v/>
      </c>
      <c r="F2958" s="58">
        <f>IF(H2958=1,INDEX(ap_Desc,452)&amp;"","")</f>
        <v/>
      </c>
      <c r="G2958" s="58">
        <f>IF(H2958=1,INDEX(ap_Party,452)&amp;"","")</f>
        <v/>
      </c>
      <c r="H2958" s="101">
        <f>IFERROR(N(INDEX(ap_Posted,452)),0)</f>
        <v/>
      </c>
      <c r="I2958" s="58">
        <f>IF(H2958=1,INDEX(ap_DrAcct,452)&amp;"","")</f>
        <v/>
      </c>
      <c r="J2958" s="95">
        <f>IF(H2958=1,INDEX(ap_DrAmt,452),0)</f>
        <v/>
      </c>
      <c r="K2958" s="58">
        <f>IF(H2958=1,INDEX(ap_CrAcct,452)&amp;"","")</f>
        <v/>
      </c>
      <c r="L2958" s="95">
        <f>IF(H2958=1,INDEX(ap_CrAmt,452),0)</f>
        <v/>
      </c>
      <c r="M2958" s="95">
        <f>IF(H2958=1,INDEX(ap_TaxAmt,452),0)</f>
        <v/>
      </c>
      <c r="N2958" s="95" t="n">
        <v>0</v>
      </c>
      <c r="O2958" s="101">
        <f>IF(H2958=1,IF(E2958&lt;FYStart,0,IF(E2958&gt;FYEnd,13,YEAR(E2958)*12+MONTH(E2958)-FYYM+1)),"")</f>
        <v/>
      </c>
      <c r="P2958" s="101">
        <f>IF(H2958=1,IF(IFERROR(INDEX(coa_CF,MATCH(I2958,coa_Name,0)),"")="Cash",1,0),0)</f>
        <v/>
      </c>
      <c r="Q2958" s="101">
        <f>IF(H2958=1,IF(IFERROR(INDEX(coa_CF,MATCH(K2958,coa_Name,0)),"")="Cash",1,0),0)</f>
        <v/>
      </c>
      <c r="R2958" s="58">
        <f>IF((P2958-Q2958)=0,"",IFERROR(INDEX(coa_CF,MATCH(IF((P2958-Q2958)=1,K2958,I2958),coa_Name,0)),"Operating"))</f>
        <v/>
      </c>
      <c r="S2958" s="95">
        <f>IF((P2958-Q2958)=1,L2958,IF((P2958-Q2958)=-1,-J2958,0))</f>
        <v/>
      </c>
      <c r="T2958" s="95">
        <f>IF((P2958-Q2958)=1,N2958,IF((P2958-Q2958)=-1,-M2958,0))</f>
        <v/>
      </c>
      <c r="U2958" s="101">
        <f>IF(AND(H2958=1,LedAcct&lt;&gt;""),IF(AND(E2958&gt;=LedFrom,E2958&lt;=LedTo,OR(I2958=LedAcct,K2958=LedAcct,AND(LedAcct=acctTax,M2958+N2958&lt;&gt;0))),E2958*10000+B2958,""),"")</f>
        <v/>
      </c>
    </row>
    <row r="2959">
      <c r="B2959" s="101" t="n">
        <v>2953</v>
      </c>
      <c r="C2959" s="58" t="inlineStr">
        <is>
          <t>Bill</t>
        </is>
      </c>
      <c r="D2959" s="58">
        <f>IF(H2959=1,INDEX(ap_No,453)&amp;"","")</f>
        <v/>
      </c>
      <c r="E2959" s="94">
        <f>IF(H2959=1,INDEX(ap_Date,453),"")</f>
        <v/>
      </c>
      <c r="F2959" s="58">
        <f>IF(H2959=1,INDEX(ap_Desc,453)&amp;"","")</f>
        <v/>
      </c>
      <c r="G2959" s="58">
        <f>IF(H2959=1,INDEX(ap_Party,453)&amp;"","")</f>
        <v/>
      </c>
      <c r="H2959" s="101">
        <f>IFERROR(N(INDEX(ap_Posted,453)),0)</f>
        <v/>
      </c>
      <c r="I2959" s="58">
        <f>IF(H2959=1,INDEX(ap_DrAcct,453)&amp;"","")</f>
        <v/>
      </c>
      <c r="J2959" s="95">
        <f>IF(H2959=1,INDEX(ap_DrAmt,453),0)</f>
        <v/>
      </c>
      <c r="K2959" s="58">
        <f>IF(H2959=1,INDEX(ap_CrAcct,453)&amp;"","")</f>
        <v/>
      </c>
      <c r="L2959" s="95">
        <f>IF(H2959=1,INDEX(ap_CrAmt,453),0)</f>
        <v/>
      </c>
      <c r="M2959" s="95">
        <f>IF(H2959=1,INDEX(ap_TaxAmt,453),0)</f>
        <v/>
      </c>
      <c r="N2959" s="95" t="n">
        <v>0</v>
      </c>
      <c r="O2959" s="101">
        <f>IF(H2959=1,IF(E2959&lt;FYStart,0,IF(E2959&gt;FYEnd,13,YEAR(E2959)*12+MONTH(E2959)-FYYM+1)),"")</f>
        <v/>
      </c>
      <c r="P2959" s="101">
        <f>IF(H2959=1,IF(IFERROR(INDEX(coa_CF,MATCH(I2959,coa_Name,0)),"")="Cash",1,0),0)</f>
        <v/>
      </c>
      <c r="Q2959" s="101">
        <f>IF(H2959=1,IF(IFERROR(INDEX(coa_CF,MATCH(K2959,coa_Name,0)),"")="Cash",1,0),0)</f>
        <v/>
      </c>
      <c r="R2959" s="58">
        <f>IF((P2959-Q2959)=0,"",IFERROR(INDEX(coa_CF,MATCH(IF((P2959-Q2959)=1,K2959,I2959),coa_Name,0)),"Operating"))</f>
        <v/>
      </c>
      <c r="S2959" s="95">
        <f>IF((P2959-Q2959)=1,L2959,IF((P2959-Q2959)=-1,-J2959,0))</f>
        <v/>
      </c>
      <c r="T2959" s="95">
        <f>IF((P2959-Q2959)=1,N2959,IF((P2959-Q2959)=-1,-M2959,0))</f>
        <v/>
      </c>
      <c r="U2959" s="101">
        <f>IF(AND(H2959=1,LedAcct&lt;&gt;""),IF(AND(E2959&gt;=LedFrom,E2959&lt;=LedTo,OR(I2959=LedAcct,K2959=LedAcct,AND(LedAcct=acctTax,M2959+N2959&lt;&gt;0))),E2959*10000+B2959,""),"")</f>
        <v/>
      </c>
    </row>
    <row r="2960">
      <c r="B2960" s="101" t="n">
        <v>2954</v>
      </c>
      <c r="C2960" s="58" t="inlineStr">
        <is>
          <t>Bill</t>
        </is>
      </c>
      <c r="D2960" s="58">
        <f>IF(H2960=1,INDEX(ap_No,454)&amp;"","")</f>
        <v/>
      </c>
      <c r="E2960" s="94">
        <f>IF(H2960=1,INDEX(ap_Date,454),"")</f>
        <v/>
      </c>
      <c r="F2960" s="58">
        <f>IF(H2960=1,INDEX(ap_Desc,454)&amp;"","")</f>
        <v/>
      </c>
      <c r="G2960" s="58">
        <f>IF(H2960=1,INDEX(ap_Party,454)&amp;"","")</f>
        <v/>
      </c>
      <c r="H2960" s="101">
        <f>IFERROR(N(INDEX(ap_Posted,454)),0)</f>
        <v/>
      </c>
      <c r="I2960" s="58">
        <f>IF(H2960=1,INDEX(ap_DrAcct,454)&amp;"","")</f>
        <v/>
      </c>
      <c r="J2960" s="95">
        <f>IF(H2960=1,INDEX(ap_DrAmt,454),0)</f>
        <v/>
      </c>
      <c r="K2960" s="58">
        <f>IF(H2960=1,INDEX(ap_CrAcct,454)&amp;"","")</f>
        <v/>
      </c>
      <c r="L2960" s="95">
        <f>IF(H2960=1,INDEX(ap_CrAmt,454),0)</f>
        <v/>
      </c>
      <c r="M2960" s="95">
        <f>IF(H2960=1,INDEX(ap_TaxAmt,454),0)</f>
        <v/>
      </c>
      <c r="N2960" s="95" t="n">
        <v>0</v>
      </c>
      <c r="O2960" s="101">
        <f>IF(H2960=1,IF(E2960&lt;FYStart,0,IF(E2960&gt;FYEnd,13,YEAR(E2960)*12+MONTH(E2960)-FYYM+1)),"")</f>
        <v/>
      </c>
      <c r="P2960" s="101">
        <f>IF(H2960=1,IF(IFERROR(INDEX(coa_CF,MATCH(I2960,coa_Name,0)),"")="Cash",1,0),0)</f>
        <v/>
      </c>
      <c r="Q2960" s="101">
        <f>IF(H2960=1,IF(IFERROR(INDEX(coa_CF,MATCH(K2960,coa_Name,0)),"")="Cash",1,0),0)</f>
        <v/>
      </c>
      <c r="R2960" s="58">
        <f>IF((P2960-Q2960)=0,"",IFERROR(INDEX(coa_CF,MATCH(IF((P2960-Q2960)=1,K2960,I2960),coa_Name,0)),"Operating"))</f>
        <v/>
      </c>
      <c r="S2960" s="95">
        <f>IF((P2960-Q2960)=1,L2960,IF((P2960-Q2960)=-1,-J2960,0))</f>
        <v/>
      </c>
      <c r="T2960" s="95">
        <f>IF((P2960-Q2960)=1,N2960,IF((P2960-Q2960)=-1,-M2960,0))</f>
        <v/>
      </c>
      <c r="U2960" s="101">
        <f>IF(AND(H2960=1,LedAcct&lt;&gt;""),IF(AND(E2960&gt;=LedFrom,E2960&lt;=LedTo,OR(I2960=LedAcct,K2960=LedAcct,AND(LedAcct=acctTax,M2960+N2960&lt;&gt;0))),E2960*10000+B2960,""),"")</f>
        <v/>
      </c>
    </row>
    <row r="2961">
      <c r="B2961" s="101" t="n">
        <v>2955</v>
      </c>
      <c r="C2961" s="58" t="inlineStr">
        <is>
          <t>Bill</t>
        </is>
      </c>
      <c r="D2961" s="58">
        <f>IF(H2961=1,INDEX(ap_No,455)&amp;"","")</f>
        <v/>
      </c>
      <c r="E2961" s="94">
        <f>IF(H2961=1,INDEX(ap_Date,455),"")</f>
        <v/>
      </c>
      <c r="F2961" s="58">
        <f>IF(H2961=1,INDEX(ap_Desc,455)&amp;"","")</f>
        <v/>
      </c>
      <c r="G2961" s="58">
        <f>IF(H2961=1,INDEX(ap_Party,455)&amp;"","")</f>
        <v/>
      </c>
      <c r="H2961" s="101">
        <f>IFERROR(N(INDEX(ap_Posted,455)),0)</f>
        <v/>
      </c>
      <c r="I2961" s="58">
        <f>IF(H2961=1,INDEX(ap_DrAcct,455)&amp;"","")</f>
        <v/>
      </c>
      <c r="J2961" s="95">
        <f>IF(H2961=1,INDEX(ap_DrAmt,455),0)</f>
        <v/>
      </c>
      <c r="K2961" s="58">
        <f>IF(H2961=1,INDEX(ap_CrAcct,455)&amp;"","")</f>
        <v/>
      </c>
      <c r="L2961" s="95">
        <f>IF(H2961=1,INDEX(ap_CrAmt,455),0)</f>
        <v/>
      </c>
      <c r="M2961" s="95">
        <f>IF(H2961=1,INDEX(ap_TaxAmt,455),0)</f>
        <v/>
      </c>
      <c r="N2961" s="95" t="n">
        <v>0</v>
      </c>
      <c r="O2961" s="101">
        <f>IF(H2961=1,IF(E2961&lt;FYStart,0,IF(E2961&gt;FYEnd,13,YEAR(E2961)*12+MONTH(E2961)-FYYM+1)),"")</f>
        <v/>
      </c>
      <c r="P2961" s="101">
        <f>IF(H2961=1,IF(IFERROR(INDEX(coa_CF,MATCH(I2961,coa_Name,0)),"")="Cash",1,0),0)</f>
        <v/>
      </c>
      <c r="Q2961" s="101">
        <f>IF(H2961=1,IF(IFERROR(INDEX(coa_CF,MATCH(K2961,coa_Name,0)),"")="Cash",1,0),0)</f>
        <v/>
      </c>
      <c r="R2961" s="58">
        <f>IF((P2961-Q2961)=0,"",IFERROR(INDEX(coa_CF,MATCH(IF((P2961-Q2961)=1,K2961,I2961),coa_Name,0)),"Operating"))</f>
        <v/>
      </c>
      <c r="S2961" s="95">
        <f>IF((P2961-Q2961)=1,L2961,IF((P2961-Q2961)=-1,-J2961,0))</f>
        <v/>
      </c>
      <c r="T2961" s="95">
        <f>IF((P2961-Q2961)=1,N2961,IF((P2961-Q2961)=-1,-M2961,0))</f>
        <v/>
      </c>
      <c r="U2961" s="101">
        <f>IF(AND(H2961=1,LedAcct&lt;&gt;""),IF(AND(E2961&gt;=LedFrom,E2961&lt;=LedTo,OR(I2961=LedAcct,K2961=LedAcct,AND(LedAcct=acctTax,M2961+N2961&lt;&gt;0))),E2961*10000+B2961,""),"")</f>
        <v/>
      </c>
    </row>
    <row r="2962">
      <c r="B2962" s="101" t="n">
        <v>2956</v>
      </c>
      <c r="C2962" s="58" t="inlineStr">
        <is>
          <t>Bill</t>
        </is>
      </c>
      <c r="D2962" s="58">
        <f>IF(H2962=1,INDEX(ap_No,456)&amp;"","")</f>
        <v/>
      </c>
      <c r="E2962" s="94">
        <f>IF(H2962=1,INDEX(ap_Date,456),"")</f>
        <v/>
      </c>
      <c r="F2962" s="58">
        <f>IF(H2962=1,INDEX(ap_Desc,456)&amp;"","")</f>
        <v/>
      </c>
      <c r="G2962" s="58">
        <f>IF(H2962=1,INDEX(ap_Party,456)&amp;"","")</f>
        <v/>
      </c>
      <c r="H2962" s="101">
        <f>IFERROR(N(INDEX(ap_Posted,456)),0)</f>
        <v/>
      </c>
      <c r="I2962" s="58">
        <f>IF(H2962=1,INDEX(ap_DrAcct,456)&amp;"","")</f>
        <v/>
      </c>
      <c r="J2962" s="95">
        <f>IF(H2962=1,INDEX(ap_DrAmt,456),0)</f>
        <v/>
      </c>
      <c r="K2962" s="58">
        <f>IF(H2962=1,INDEX(ap_CrAcct,456)&amp;"","")</f>
        <v/>
      </c>
      <c r="L2962" s="95">
        <f>IF(H2962=1,INDEX(ap_CrAmt,456),0)</f>
        <v/>
      </c>
      <c r="M2962" s="95">
        <f>IF(H2962=1,INDEX(ap_TaxAmt,456),0)</f>
        <v/>
      </c>
      <c r="N2962" s="95" t="n">
        <v>0</v>
      </c>
      <c r="O2962" s="101">
        <f>IF(H2962=1,IF(E2962&lt;FYStart,0,IF(E2962&gt;FYEnd,13,YEAR(E2962)*12+MONTH(E2962)-FYYM+1)),"")</f>
        <v/>
      </c>
      <c r="P2962" s="101">
        <f>IF(H2962=1,IF(IFERROR(INDEX(coa_CF,MATCH(I2962,coa_Name,0)),"")="Cash",1,0),0)</f>
        <v/>
      </c>
      <c r="Q2962" s="101">
        <f>IF(H2962=1,IF(IFERROR(INDEX(coa_CF,MATCH(K2962,coa_Name,0)),"")="Cash",1,0),0)</f>
        <v/>
      </c>
      <c r="R2962" s="58">
        <f>IF((P2962-Q2962)=0,"",IFERROR(INDEX(coa_CF,MATCH(IF((P2962-Q2962)=1,K2962,I2962),coa_Name,0)),"Operating"))</f>
        <v/>
      </c>
      <c r="S2962" s="95">
        <f>IF((P2962-Q2962)=1,L2962,IF((P2962-Q2962)=-1,-J2962,0))</f>
        <v/>
      </c>
      <c r="T2962" s="95">
        <f>IF((P2962-Q2962)=1,N2962,IF((P2962-Q2962)=-1,-M2962,0))</f>
        <v/>
      </c>
      <c r="U2962" s="101">
        <f>IF(AND(H2962=1,LedAcct&lt;&gt;""),IF(AND(E2962&gt;=LedFrom,E2962&lt;=LedTo,OR(I2962=LedAcct,K2962=LedAcct,AND(LedAcct=acctTax,M2962+N2962&lt;&gt;0))),E2962*10000+B2962,""),"")</f>
        <v/>
      </c>
    </row>
    <row r="2963">
      <c r="B2963" s="101" t="n">
        <v>2957</v>
      </c>
      <c r="C2963" s="58" t="inlineStr">
        <is>
          <t>Bill</t>
        </is>
      </c>
      <c r="D2963" s="58">
        <f>IF(H2963=1,INDEX(ap_No,457)&amp;"","")</f>
        <v/>
      </c>
      <c r="E2963" s="94">
        <f>IF(H2963=1,INDEX(ap_Date,457),"")</f>
        <v/>
      </c>
      <c r="F2963" s="58">
        <f>IF(H2963=1,INDEX(ap_Desc,457)&amp;"","")</f>
        <v/>
      </c>
      <c r="G2963" s="58">
        <f>IF(H2963=1,INDEX(ap_Party,457)&amp;"","")</f>
        <v/>
      </c>
      <c r="H2963" s="101">
        <f>IFERROR(N(INDEX(ap_Posted,457)),0)</f>
        <v/>
      </c>
      <c r="I2963" s="58">
        <f>IF(H2963=1,INDEX(ap_DrAcct,457)&amp;"","")</f>
        <v/>
      </c>
      <c r="J2963" s="95">
        <f>IF(H2963=1,INDEX(ap_DrAmt,457),0)</f>
        <v/>
      </c>
      <c r="K2963" s="58">
        <f>IF(H2963=1,INDEX(ap_CrAcct,457)&amp;"","")</f>
        <v/>
      </c>
      <c r="L2963" s="95">
        <f>IF(H2963=1,INDEX(ap_CrAmt,457),0)</f>
        <v/>
      </c>
      <c r="M2963" s="95">
        <f>IF(H2963=1,INDEX(ap_TaxAmt,457),0)</f>
        <v/>
      </c>
      <c r="N2963" s="95" t="n">
        <v>0</v>
      </c>
      <c r="O2963" s="101">
        <f>IF(H2963=1,IF(E2963&lt;FYStart,0,IF(E2963&gt;FYEnd,13,YEAR(E2963)*12+MONTH(E2963)-FYYM+1)),"")</f>
        <v/>
      </c>
      <c r="P2963" s="101">
        <f>IF(H2963=1,IF(IFERROR(INDEX(coa_CF,MATCH(I2963,coa_Name,0)),"")="Cash",1,0),0)</f>
        <v/>
      </c>
      <c r="Q2963" s="101">
        <f>IF(H2963=1,IF(IFERROR(INDEX(coa_CF,MATCH(K2963,coa_Name,0)),"")="Cash",1,0),0)</f>
        <v/>
      </c>
      <c r="R2963" s="58">
        <f>IF((P2963-Q2963)=0,"",IFERROR(INDEX(coa_CF,MATCH(IF((P2963-Q2963)=1,K2963,I2963),coa_Name,0)),"Operating"))</f>
        <v/>
      </c>
      <c r="S2963" s="95">
        <f>IF((P2963-Q2963)=1,L2963,IF((P2963-Q2963)=-1,-J2963,0))</f>
        <v/>
      </c>
      <c r="T2963" s="95">
        <f>IF((P2963-Q2963)=1,N2963,IF((P2963-Q2963)=-1,-M2963,0))</f>
        <v/>
      </c>
      <c r="U2963" s="101">
        <f>IF(AND(H2963=1,LedAcct&lt;&gt;""),IF(AND(E2963&gt;=LedFrom,E2963&lt;=LedTo,OR(I2963=LedAcct,K2963=LedAcct,AND(LedAcct=acctTax,M2963+N2963&lt;&gt;0))),E2963*10000+B2963,""),"")</f>
        <v/>
      </c>
    </row>
    <row r="2964">
      <c r="B2964" s="101" t="n">
        <v>2958</v>
      </c>
      <c r="C2964" s="58" t="inlineStr">
        <is>
          <t>Bill</t>
        </is>
      </c>
      <c r="D2964" s="58">
        <f>IF(H2964=1,INDEX(ap_No,458)&amp;"","")</f>
        <v/>
      </c>
      <c r="E2964" s="94">
        <f>IF(H2964=1,INDEX(ap_Date,458),"")</f>
        <v/>
      </c>
      <c r="F2964" s="58">
        <f>IF(H2964=1,INDEX(ap_Desc,458)&amp;"","")</f>
        <v/>
      </c>
      <c r="G2964" s="58">
        <f>IF(H2964=1,INDEX(ap_Party,458)&amp;"","")</f>
        <v/>
      </c>
      <c r="H2964" s="101">
        <f>IFERROR(N(INDEX(ap_Posted,458)),0)</f>
        <v/>
      </c>
      <c r="I2964" s="58">
        <f>IF(H2964=1,INDEX(ap_DrAcct,458)&amp;"","")</f>
        <v/>
      </c>
      <c r="J2964" s="95">
        <f>IF(H2964=1,INDEX(ap_DrAmt,458),0)</f>
        <v/>
      </c>
      <c r="K2964" s="58">
        <f>IF(H2964=1,INDEX(ap_CrAcct,458)&amp;"","")</f>
        <v/>
      </c>
      <c r="L2964" s="95">
        <f>IF(H2964=1,INDEX(ap_CrAmt,458),0)</f>
        <v/>
      </c>
      <c r="M2964" s="95">
        <f>IF(H2964=1,INDEX(ap_TaxAmt,458),0)</f>
        <v/>
      </c>
      <c r="N2964" s="95" t="n">
        <v>0</v>
      </c>
      <c r="O2964" s="101">
        <f>IF(H2964=1,IF(E2964&lt;FYStart,0,IF(E2964&gt;FYEnd,13,YEAR(E2964)*12+MONTH(E2964)-FYYM+1)),"")</f>
        <v/>
      </c>
      <c r="P2964" s="101">
        <f>IF(H2964=1,IF(IFERROR(INDEX(coa_CF,MATCH(I2964,coa_Name,0)),"")="Cash",1,0),0)</f>
        <v/>
      </c>
      <c r="Q2964" s="101">
        <f>IF(H2964=1,IF(IFERROR(INDEX(coa_CF,MATCH(K2964,coa_Name,0)),"")="Cash",1,0),0)</f>
        <v/>
      </c>
      <c r="R2964" s="58">
        <f>IF((P2964-Q2964)=0,"",IFERROR(INDEX(coa_CF,MATCH(IF((P2964-Q2964)=1,K2964,I2964),coa_Name,0)),"Operating"))</f>
        <v/>
      </c>
      <c r="S2964" s="95">
        <f>IF((P2964-Q2964)=1,L2964,IF((P2964-Q2964)=-1,-J2964,0))</f>
        <v/>
      </c>
      <c r="T2964" s="95">
        <f>IF((P2964-Q2964)=1,N2964,IF((P2964-Q2964)=-1,-M2964,0))</f>
        <v/>
      </c>
      <c r="U2964" s="101">
        <f>IF(AND(H2964=1,LedAcct&lt;&gt;""),IF(AND(E2964&gt;=LedFrom,E2964&lt;=LedTo,OR(I2964=LedAcct,K2964=LedAcct,AND(LedAcct=acctTax,M2964+N2964&lt;&gt;0))),E2964*10000+B2964,""),"")</f>
        <v/>
      </c>
    </row>
    <row r="2965">
      <c r="B2965" s="101" t="n">
        <v>2959</v>
      </c>
      <c r="C2965" s="58" t="inlineStr">
        <is>
          <t>Bill</t>
        </is>
      </c>
      <c r="D2965" s="58">
        <f>IF(H2965=1,INDEX(ap_No,459)&amp;"","")</f>
        <v/>
      </c>
      <c r="E2965" s="94">
        <f>IF(H2965=1,INDEX(ap_Date,459),"")</f>
        <v/>
      </c>
      <c r="F2965" s="58">
        <f>IF(H2965=1,INDEX(ap_Desc,459)&amp;"","")</f>
        <v/>
      </c>
      <c r="G2965" s="58">
        <f>IF(H2965=1,INDEX(ap_Party,459)&amp;"","")</f>
        <v/>
      </c>
      <c r="H2965" s="101">
        <f>IFERROR(N(INDEX(ap_Posted,459)),0)</f>
        <v/>
      </c>
      <c r="I2965" s="58">
        <f>IF(H2965=1,INDEX(ap_DrAcct,459)&amp;"","")</f>
        <v/>
      </c>
      <c r="J2965" s="95">
        <f>IF(H2965=1,INDEX(ap_DrAmt,459),0)</f>
        <v/>
      </c>
      <c r="K2965" s="58">
        <f>IF(H2965=1,INDEX(ap_CrAcct,459)&amp;"","")</f>
        <v/>
      </c>
      <c r="L2965" s="95">
        <f>IF(H2965=1,INDEX(ap_CrAmt,459),0)</f>
        <v/>
      </c>
      <c r="M2965" s="95">
        <f>IF(H2965=1,INDEX(ap_TaxAmt,459),0)</f>
        <v/>
      </c>
      <c r="N2965" s="95" t="n">
        <v>0</v>
      </c>
      <c r="O2965" s="101">
        <f>IF(H2965=1,IF(E2965&lt;FYStart,0,IF(E2965&gt;FYEnd,13,YEAR(E2965)*12+MONTH(E2965)-FYYM+1)),"")</f>
        <v/>
      </c>
      <c r="P2965" s="101">
        <f>IF(H2965=1,IF(IFERROR(INDEX(coa_CF,MATCH(I2965,coa_Name,0)),"")="Cash",1,0),0)</f>
        <v/>
      </c>
      <c r="Q2965" s="101">
        <f>IF(H2965=1,IF(IFERROR(INDEX(coa_CF,MATCH(K2965,coa_Name,0)),"")="Cash",1,0),0)</f>
        <v/>
      </c>
      <c r="R2965" s="58">
        <f>IF((P2965-Q2965)=0,"",IFERROR(INDEX(coa_CF,MATCH(IF((P2965-Q2965)=1,K2965,I2965),coa_Name,0)),"Operating"))</f>
        <v/>
      </c>
      <c r="S2965" s="95">
        <f>IF((P2965-Q2965)=1,L2965,IF((P2965-Q2965)=-1,-J2965,0))</f>
        <v/>
      </c>
      <c r="T2965" s="95">
        <f>IF((P2965-Q2965)=1,N2965,IF((P2965-Q2965)=-1,-M2965,0))</f>
        <v/>
      </c>
      <c r="U2965" s="101">
        <f>IF(AND(H2965=1,LedAcct&lt;&gt;""),IF(AND(E2965&gt;=LedFrom,E2965&lt;=LedTo,OR(I2965=LedAcct,K2965=LedAcct,AND(LedAcct=acctTax,M2965+N2965&lt;&gt;0))),E2965*10000+B2965,""),"")</f>
        <v/>
      </c>
    </row>
    <row r="2966">
      <c r="B2966" s="101" t="n">
        <v>2960</v>
      </c>
      <c r="C2966" s="58" t="inlineStr">
        <is>
          <t>Bill</t>
        </is>
      </c>
      <c r="D2966" s="58">
        <f>IF(H2966=1,INDEX(ap_No,460)&amp;"","")</f>
        <v/>
      </c>
      <c r="E2966" s="94">
        <f>IF(H2966=1,INDEX(ap_Date,460),"")</f>
        <v/>
      </c>
      <c r="F2966" s="58">
        <f>IF(H2966=1,INDEX(ap_Desc,460)&amp;"","")</f>
        <v/>
      </c>
      <c r="G2966" s="58">
        <f>IF(H2966=1,INDEX(ap_Party,460)&amp;"","")</f>
        <v/>
      </c>
      <c r="H2966" s="101">
        <f>IFERROR(N(INDEX(ap_Posted,460)),0)</f>
        <v/>
      </c>
      <c r="I2966" s="58">
        <f>IF(H2966=1,INDEX(ap_DrAcct,460)&amp;"","")</f>
        <v/>
      </c>
      <c r="J2966" s="95">
        <f>IF(H2966=1,INDEX(ap_DrAmt,460),0)</f>
        <v/>
      </c>
      <c r="K2966" s="58">
        <f>IF(H2966=1,INDEX(ap_CrAcct,460)&amp;"","")</f>
        <v/>
      </c>
      <c r="L2966" s="95">
        <f>IF(H2966=1,INDEX(ap_CrAmt,460),0)</f>
        <v/>
      </c>
      <c r="M2966" s="95">
        <f>IF(H2966=1,INDEX(ap_TaxAmt,460),0)</f>
        <v/>
      </c>
      <c r="N2966" s="95" t="n">
        <v>0</v>
      </c>
      <c r="O2966" s="101">
        <f>IF(H2966=1,IF(E2966&lt;FYStart,0,IF(E2966&gt;FYEnd,13,YEAR(E2966)*12+MONTH(E2966)-FYYM+1)),"")</f>
        <v/>
      </c>
      <c r="P2966" s="101">
        <f>IF(H2966=1,IF(IFERROR(INDEX(coa_CF,MATCH(I2966,coa_Name,0)),"")="Cash",1,0),0)</f>
        <v/>
      </c>
      <c r="Q2966" s="101">
        <f>IF(H2966=1,IF(IFERROR(INDEX(coa_CF,MATCH(K2966,coa_Name,0)),"")="Cash",1,0),0)</f>
        <v/>
      </c>
      <c r="R2966" s="58">
        <f>IF((P2966-Q2966)=0,"",IFERROR(INDEX(coa_CF,MATCH(IF((P2966-Q2966)=1,K2966,I2966),coa_Name,0)),"Operating"))</f>
        <v/>
      </c>
      <c r="S2966" s="95">
        <f>IF((P2966-Q2966)=1,L2966,IF((P2966-Q2966)=-1,-J2966,0))</f>
        <v/>
      </c>
      <c r="T2966" s="95">
        <f>IF((P2966-Q2966)=1,N2966,IF((P2966-Q2966)=-1,-M2966,0))</f>
        <v/>
      </c>
      <c r="U2966" s="101">
        <f>IF(AND(H2966=1,LedAcct&lt;&gt;""),IF(AND(E2966&gt;=LedFrom,E2966&lt;=LedTo,OR(I2966=LedAcct,K2966=LedAcct,AND(LedAcct=acctTax,M2966+N2966&lt;&gt;0))),E2966*10000+B2966,""),"")</f>
        <v/>
      </c>
    </row>
    <row r="2967">
      <c r="B2967" s="101" t="n">
        <v>2961</v>
      </c>
      <c r="C2967" s="58" t="inlineStr">
        <is>
          <t>Bill</t>
        </is>
      </c>
      <c r="D2967" s="58">
        <f>IF(H2967=1,INDEX(ap_No,461)&amp;"","")</f>
        <v/>
      </c>
      <c r="E2967" s="94">
        <f>IF(H2967=1,INDEX(ap_Date,461),"")</f>
        <v/>
      </c>
      <c r="F2967" s="58">
        <f>IF(H2967=1,INDEX(ap_Desc,461)&amp;"","")</f>
        <v/>
      </c>
      <c r="G2967" s="58">
        <f>IF(H2967=1,INDEX(ap_Party,461)&amp;"","")</f>
        <v/>
      </c>
      <c r="H2967" s="101">
        <f>IFERROR(N(INDEX(ap_Posted,461)),0)</f>
        <v/>
      </c>
      <c r="I2967" s="58">
        <f>IF(H2967=1,INDEX(ap_DrAcct,461)&amp;"","")</f>
        <v/>
      </c>
      <c r="J2967" s="95">
        <f>IF(H2967=1,INDEX(ap_DrAmt,461),0)</f>
        <v/>
      </c>
      <c r="K2967" s="58">
        <f>IF(H2967=1,INDEX(ap_CrAcct,461)&amp;"","")</f>
        <v/>
      </c>
      <c r="L2967" s="95">
        <f>IF(H2967=1,INDEX(ap_CrAmt,461),0)</f>
        <v/>
      </c>
      <c r="M2967" s="95">
        <f>IF(H2967=1,INDEX(ap_TaxAmt,461),0)</f>
        <v/>
      </c>
      <c r="N2967" s="95" t="n">
        <v>0</v>
      </c>
      <c r="O2967" s="101">
        <f>IF(H2967=1,IF(E2967&lt;FYStart,0,IF(E2967&gt;FYEnd,13,YEAR(E2967)*12+MONTH(E2967)-FYYM+1)),"")</f>
        <v/>
      </c>
      <c r="P2967" s="101">
        <f>IF(H2967=1,IF(IFERROR(INDEX(coa_CF,MATCH(I2967,coa_Name,0)),"")="Cash",1,0),0)</f>
        <v/>
      </c>
      <c r="Q2967" s="101">
        <f>IF(H2967=1,IF(IFERROR(INDEX(coa_CF,MATCH(K2967,coa_Name,0)),"")="Cash",1,0),0)</f>
        <v/>
      </c>
      <c r="R2967" s="58">
        <f>IF((P2967-Q2967)=0,"",IFERROR(INDEX(coa_CF,MATCH(IF((P2967-Q2967)=1,K2967,I2967),coa_Name,0)),"Operating"))</f>
        <v/>
      </c>
      <c r="S2967" s="95">
        <f>IF((P2967-Q2967)=1,L2967,IF((P2967-Q2967)=-1,-J2967,0))</f>
        <v/>
      </c>
      <c r="T2967" s="95">
        <f>IF((P2967-Q2967)=1,N2967,IF((P2967-Q2967)=-1,-M2967,0))</f>
        <v/>
      </c>
      <c r="U2967" s="101">
        <f>IF(AND(H2967=1,LedAcct&lt;&gt;""),IF(AND(E2967&gt;=LedFrom,E2967&lt;=LedTo,OR(I2967=LedAcct,K2967=LedAcct,AND(LedAcct=acctTax,M2967+N2967&lt;&gt;0))),E2967*10000+B2967,""),"")</f>
        <v/>
      </c>
    </row>
    <row r="2968">
      <c r="B2968" s="101" t="n">
        <v>2962</v>
      </c>
      <c r="C2968" s="58" t="inlineStr">
        <is>
          <t>Bill</t>
        </is>
      </c>
      <c r="D2968" s="58">
        <f>IF(H2968=1,INDEX(ap_No,462)&amp;"","")</f>
        <v/>
      </c>
      <c r="E2968" s="94">
        <f>IF(H2968=1,INDEX(ap_Date,462),"")</f>
        <v/>
      </c>
      <c r="F2968" s="58">
        <f>IF(H2968=1,INDEX(ap_Desc,462)&amp;"","")</f>
        <v/>
      </c>
      <c r="G2968" s="58">
        <f>IF(H2968=1,INDEX(ap_Party,462)&amp;"","")</f>
        <v/>
      </c>
      <c r="H2968" s="101">
        <f>IFERROR(N(INDEX(ap_Posted,462)),0)</f>
        <v/>
      </c>
      <c r="I2968" s="58">
        <f>IF(H2968=1,INDEX(ap_DrAcct,462)&amp;"","")</f>
        <v/>
      </c>
      <c r="J2968" s="95">
        <f>IF(H2968=1,INDEX(ap_DrAmt,462),0)</f>
        <v/>
      </c>
      <c r="K2968" s="58">
        <f>IF(H2968=1,INDEX(ap_CrAcct,462)&amp;"","")</f>
        <v/>
      </c>
      <c r="L2968" s="95">
        <f>IF(H2968=1,INDEX(ap_CrAmt,462),0)</f>
        <v/>
      </c>
      <c r="M2968" s="95">
        <f>IF(H2968=1,INDEX(ap_TaxAmt,462),0)</f>
        <v/>
      </c>
      <c r="N2968" s="95" t="n">
        <v>0</v>
      </c>
      <c r="O2968" s="101">
        <f>IF(H2968=1,IF(E2968&lt;FYStart,0,IF(E2968&gt;FYEnd,13,YEAR(E2968)*12+MONTH(E2968)-FYYM+1)),"")</f>
        <v/>
      </c>
      <c r="P2968" s="101">
        <f>IF(H2968=1,IF(IFERROR(INDEX(coa_CF,MATCH(I2968,coa_Name,0)),"")="Cash",1,0),0)</f>
        <v/>
      </c>
      <c r="Q2968" s="101">
        <f>IF(H2968=1,IF(IFERROR(INDEX(coa_CF,MATCH(K2968,coa_Name,0)),"")="Cash",1,0),0)</f>
        <v/>
      </c>
      <c r="R2968" s="58">
        <f>IF((P2968-Q2968)=0,"",IFERROR(INDEX(coa_CF,MATCH(IF((P2968-Q2968)=1,K2968,I2968),coa_Name,0)),"Operating"))</f>
        <v/>
      </c>
      <c r="S2968" s="95">
        <f>IF((P2968-Q2968)=1,L2968,IF((P2968-Q2968)=-1,-J2968,0))</f>
        <v/>
      </c>
      <c r="T2968" s="95">
        <f>IF((P2968-Q2968)=1,N2968,IF((P2968-Q2968)=-1,-M2968,0))</f>
        <v/>
      </c>
      <c r="U2968" s="101">
        <f>IF(AND(H2968=1,LedAcct&lt;&gt;""),IF(AND(E2968&gt;=LedFrom,E2968&lt;=LedTo,OR(I2968=LedAcct,K2968=LedAcct,AND(LedAcct=acctTax,M2968+N2968&lt;&gt;0))),E2968*10000+B2968,""),"")</f>
        <v/>
      </c>
    </row>
    <row r="2969">
      <c r="B2969" s="101" t="n">
        <v>2963</v>
      </c>
      <c r="C2969" s="58" t="inlineStr">
        <is>
          <t>Bill</t>
        </is>
      </c>
      <c r="D2969" s="58">
        <f>IF(H2969=1,INDEX(ap_No,463)&amp;"","")</f>
        <v/>
      </c>
      <c r="E2969" s="94">
        <f>IF(H2969=1,INDEX(ap_Date,463),"")</f>
        <v/>
      </c>
      <c r="F2969" s="58">
        <f>IF(H2969=1,INDEX(ap_Desc,463)&amp;"","")</f>
        <v/>
      </c>
      <c r="G2969" s="58">
        <f>IF(H2969=1,INDEX(ap_Party,463)&amp;"","")</f>
        <v/>
      </c>
      <c r="H2969" s="101">
        <f>IFERROR(N(INDEX(ap_Posted,463)),0)</f>
        <v/>
      </c>
      <c r="I2969" s="58">
        <f>IF(H2969=1,INDEX(ap_DrAcct,463)&amp;"","")</f>
        <v/>
      </c>
      <c r="J2969" s="95">
        <f>IF(H2969=1,INDEX(ap_DrAmt,463),0)</f>
        <v/>
      </c>
      <c r="K2969" s="58">
        <f>IF(H2969=1,INDEX(ap_CrAcct,463)&amp;"","")</f>
        <v/>
      </c>
      <c r="L2969" s="95">
        <f>IF(H2969=1,INDEX(ap_CrAmt,463),0)</f>
        <v/>
      </c>
      <c r="M2969" s="95">
        <f>IF(H2969=1,INDEX(ap_TaxAmt,463),0)</f>
        <v/>
      </c>
      <c r="N2969" s="95" t="n">
        <v>0</v>
      </c>
      <c r="O2969" s="101">
        <f>IF(H2969=1,IF(E2969&lt;FYStart,0,IF(E2969&gt;FYEnd,13,YEAR(E2969)*12+MONTH(E2969)-FYYM+1)),"")</f>
        <v/>
      </c>
      <c r="P2969" s="101">
        <f>IF(H2969=1,IF(IFERROR(INDEX(coa_CF,MATCH(I2969,coa_Name,0)),"")="Cash",1,0),0)</f>
        <v/>
      </c>
      <c r="Q2969" s="101">
        <f>IF(H2969=1,IF(IFERROR(INDEX(coa_CF,MATCH(K2969,coa_Name,0)),"")="Cash",1,0),0)</f>
        <v/>
      </c>
      <c r="R2969" s="58">
        <f>IF((P2969-Q2969)=0,"",IFERROR(INDEX(coa_CF,MATCH(IF((P2969-Q2969)=1,K2969,I2969),coa_Name,0)),"Operating"))</f>
        <v/>
      </c>
      <c r="S2969" s="95">
        <f>IF((P2969-Q2969)=1,L2969,IF((P2969-Q2969)=-1,-J2969,0))</f>
        <v/>
      </c>
      <c r="T2969" s="95">
        <f>IF((P2969-Q2969)=1,N2969,IF((P2969-Q2969)=-1,-M2969,0))</f>
        <v/>
      </c>
      <c r="U2969" s="101">
        <f>IF(AND(H2969=1,LedAcct&lt;&gt;""),IF(AND(E2969&gt;=LedFrom,E2969&lt;=LedTo,OR(I2969=LedAcct,K2969=LedAcct,AND(LedAcct=acctTax,M2969+N2969&lt;&gt;0))),E2969*10000+B2969,""),"")</f>
        <v/>
      </c>
    </row>
    <row r="2970">
      <c r="B2970" s="101" t="n">
        <v>2964</v>
      </c>
      <c r="C2970" s="58" t="inlineStr">
        <is>
          <t>Bill</t>
        </is>
      </c>
      <c r="D2970" s="58">
        <f>IF(H2970=1,INDEX(ap_No,464)&amp;"","")</f>
        <v/>
      </c>
      <c r="E2970" s="94">
        <f>IF(H2970=1,INDEX(ap_Date,464),"")</f>
        <v/>
      </c>
      <c r="F2970" s="58">
        <f>IF(H2970=1,INDEX(ap_Desc,464)&amp;"","")</f>
        <v/>
      </c>
      <c r="G2970" s="58">
        <f>IF(H2970=1,INDEX(ap_Party,464)&amp;"","")</f>
        <v/>
      </c>
      <c r="H2970" s="101">
        <f>IFERROR(N(INDEX(ap_Posted,464)),0)</f>
        <v/>
      </c>
      <c r="I2970" s="58">
        <f>IF(H2970=1,INDEX(ap_DrAcct,464)&amp;"","")</f>
        <v/>
      </c>
      <c r="J2970" s="95">
        <f>IF(H2970=1,INDEX(ap_DrAmt,464),0)</f>
        <v/>
      </c>
      <c r="K2970" s="58">
        <f>IF(H2970=1,INDEX(ap_CrAcct,464)&amp;"","")</f>
        <v/>
      </c>
      <c r="L2970" s="95">
        <f>IF(H2970=1,INDEX(ap_CrAmt,464),0)</f>
        <v/>
      </c>
      <c r="M2970" s="95">
        <f>IF(H2970=1,INDEX(ap_TaxAmt,464),0)</f>
        <v/>
      </c>
      <c r="N2970" s="95" t="n">
        <v>0</v>
      </c>
      <c r="O2970" s="101">
        <f>IF(H2970=1,IF(E2970&lt;FYStart,0,IF(E2970&gt;FYEnd,13,YEAR(E2970)*12+MONTH(E2970)-FYYM+1)),"")</f>
        <v/>
      </c>
      <c r="P2970" s="101">
        <f>IF(H2970=1,IF(IFERROR(INDEX(coa_CF,MATCH(I2970,coa_Name,0)),"")="Cash",1,0),0)</f>
        <v/>
      </c>
      <c r="Q2970" s="101">
        <f>IF(H2970=1,IF(IFERROR(INDEX(coa_CF,MATCH(K2970,coa_Name,0)),"")="Cash",1,0),0)</f>
        <v/>
      </c>
      <c r="R2970" s="58">
        <f>IF((P2970-Q2970)=0,"",IFERROR(INDEX(coa_CF,MATCH(IF((P2970-Q2970)=1,K2970,I2970),coa_Name,0)),"Operating"))</f>
        <v/>
      </c>
      <c r="S2970" s="95">
        <f>IF((P2970-Q2970)=1,L2970,IF((P2970-Q2970)=-1,-J2970,0))</f>
        <v/>
      </c>
      <c r="T2970" s="95">
        <f>IF((P2970-Q2970)=1,N2970,IF((P2970-Q2970)=-1,-M2970,0))</f>
        <v/>
      </c>
      <c r="U2970" s="101">
        <f>IF(AND(H2970=1,LedAcct&lt;&gt;""),IF(AND(E2970&gt;=LedFrom,E2970&lt;=LedTo,OR(I2970=LedAcct,K2970=LedAcct,AND(LedAcct=acctTax,M2970+N2970&lt;&gt;0))),E2970*10000+B2970,""),"")</f>
        <v/>
      </c>
    </row>
    <row r="2971">
      <c r="B2971" s="101" t="n">
        <v>2965</v>
      </c>
      <c r="C2971" s="58" t="inlineStr">
        <is>
          <t>Bill</t>
        </is>
      </c>
      <c r="D2971" s="58">
        <f>IF(H2971=1,INDEX(ap_No,465)&amp;"","")</f>
        <v/>
      </c>
      <c r="E2971" s="94">
        <f>IF(H2971=1,INDEX(ap_Date,465),"")</f>
        <v/>
      </c>
      <c r="F2971" s="58">
        <f>IF(H2971=1,INDEX(ap_Desc,465)&amp;"","")</f>
        <v/>
      </c>
      <c r="G2971" s="58">
        <f>IF(H2971=1,INDEX(ap_Party,465)&amp;"","")</f>
        <v/>
      </c>
      <c r="H2971" s="101">
        <f>IFERROR(N(INDEX(ap_Posted,465)),0)</f>
        <v/>
      </c>
      <c r="I2971" s="58">
        <f>IF(H2971=1,INDEX(ap_DrAcct,465)&amp;"","")</f>
        <v/>
      </c>
      <c r="J2971" s="95">
        <f>IF(H2971=1,INDEX(ap_DrAmt,465),0)</f>
        <v/>
      </c>
      <c r="K2971" s="58">
        <f>IF(H2971=1,INDEX(ap_CrAcct,465)&amp;"","")</f>
        <v/>
      </c>
      <c r="L2971" s="95">
        <f>IF(H2971=1,INDEX(ap_CrAmt,465),0)</f>
        <v/>
      </c>
      <c r="M2971" s="95">
        <f>IF(H2971=1,INDEX(ap_TaxAmt,465),0)</f>
        <v/>
      </c>
      <c r="N2971" s="95" t="n">
        <v>0</v>
      </c>
      <c r="O2971" s="101">
        <f>IF(H2971=1,IF(E2971&lt;FYStart,0,IF(E2971&gt;FYEnd,13,YEAR(E2971)*12+MONTH(E2971)-FYYM+1)),"")</f>
        <v/>
      </c>
      <c r="P2971" s="101">
        <f>IF(H2971=1,IF(IFERROR(INDEX(coa_CF,MATCH(I2971,coa_Name,0)),"")="Cash",1,0),0)</f>
        <v/>
      </c>
      <c r="Q2971" s="101">
        <f>IF(H2971=1,IF(IFERROR(INDEX(coa_CF,MATCH(K2971,coa_Name,0)),"")="Cash",1,0),0)</f>
        <v/>
      </c>
      <c r="R2971" s="58">
        <f>IF((P2971-Q2971)=0,"",IFERROR(INDEX(coa_CF,MATCH(IF((P2971-Q2971)=1,K2971,I2971),coa_Name,0)),"Operating"))</f>
        <v/>
      </c>
      <c r="S2971" s="95">
        <f>IF((P2971-Q2971)=1,L2971,IF((P2971-Q2971)=-1,-J2971,0))</f>
        <v/>
      </c>
      <c r="T2971" s="95">
        <f>IF((P2971-Q2971)=1,N2971,IF((P2971-Q2971)=-1,-M2971,0))</f>
        <v/>
      </c>
      <c r="U2971" s="101">
        <f>IF(AND(H2971=1,LedAcct&lt;&gt;""),IF(AND(E2971&gt;=LedFrom,E2971&lt;=LedTo,OR(I2971=LedAcct,K2971=LedAcct,AND(LedAcct=acctTax,M2971+N2971&lt;&gt;0))),E2971*10000+B2971,""),"")</f>
        <v/>
      </c>
    </row>
    <row r="2972">
      <c r="B2972" s="101" t="n">
        <v>2966</v>
      </c>
      <c r="C2972" s="58" t="inlineStr">
        <is>
          <t>Bill</t>
        </is>
      </c>
      <c r="D2972" s="58">
        <f>IF(H2972=1,INDEX(ap_No,466)&amp;"","")</f>
        <v/>
      </c>
      <c r="E2972" s="94">
        <f>IF(H2972=1,INDEX(ap_Date,466),"")</f>
        <v/>
      </c>
      <c r="F2972" s="58">
        <f>IF(H2972=1,INDEX(ap_Desc,466)&amp;"","")</f>
        <v/>
      </c>
      <c r="G2972" s="58">
        <f>IF(H2972=1,INDEX(ap_Party,466)&amp;"","")</f>
        <v/>
      </c>
      <c r="H2972" s="101">
        <f>IFERROR(N(INDEX(ap_Posted,466)),0)</f>
        <v/>
      </c>
      <c r="I2972" s="58">
        <f>IF(H2972=1,INDEX(ap_DrAcct,466)&amp;"","")</f>
        <v/>
      </c>
      <c r="J2972" s="95">
        <f>IF(H2972=1,INDEX(ap_DrAmt,466),0)</f>
        <v/>
      </c>
      <c r="K2972" s="58">
        <f>IF(H2972=1,INDEX(ap_CrAcct,466)&amp;"","")</f>
        <v/>
      </c>
      <c r="L2972" s="95">
        <f>IF(H2972=1,INDEX(ap_CrAmt,466),0)</f>
        <v/>
      </c>
      <c r="M2972" s="95">
        <f>IF(H2972=1,INDEX(ap_TaxAmt,466),0)</f>
        <v/>
      </c>
      <c r="N2972" s="95" t="n">
        <v>0</v>
      </c>
      <c r="O2972" s="101">
        <f>IF(H2972=1,IF(E2972&lt;FYStart,0,IF(E2972&gt;FYEnd,13,YEAR(E2972)*12+MONTH(E2972)-FYYM+1)),"")</f>
        <v/>
      </c>
      <c r="P2972" s="101">
        <f>IF(H2972=1,IF(IFERROR(INDEX(coa_CF,MATCH(I2972,coa_Name,0)),"")="Cash",1,0),0)</f>
        <v/>
      </c>
      <c r="Q2972" s="101">
        <f>IF(H2972=1,IF(IFERROR(INDEX(coa_CF,MATCH(K2972,coa_Name,0)),"")="Cash",1,0),0)</f>
        <v/>
      </c>
      <c r="R2972" s="58">
        <f>IF((P2972-Q2972)=0,"",IFERROR(INDEX(coa_CF,MATCH(IF((P2972-Q2972)=1,K2972,I2972),coa_Name,0)),"Operating"))</f>
        <v/>
      </c>
      <c r="S2972" s="95">
        <f>IF((P2972-Q2972)=1,L2972,IF((P2972-Q2972)=-1,-J2972,0))</f>
        <v/>
      </c>
      <c r="T2972" s="95">
        <f>IF((P2972-Q2972)=1,N2972,IF((P2972-Q2972)=-1,-M2972,0))</f>
        <v/>
      </c>
      <c r="U2972" s="101">
        <f>IF(AND(H2972=1,LedAcct&lt;&gt;""),IF(AND(E2972&gt;=LedFrom,E2972&lt;=LedTo,OR(I2972=LedAcct,K2972=LedAcct,AND(LedAcct=acctTax,M2972+N2972&lt;&gt;0))),E2972*10000+B2972,""),"")</f>
        <v/>
      </c>
    </row>
    <row r="2973">
      <c r="B2973" s="101" t="n">
        <v>2967</v>
      </c>
      <c r="C2973" s="58" t="inlineStr">
        <is>
          <t>Bill</t>
        </is>
      </c>
      <c r="D2973" s="58">
        <f>IF(H2973=1,INDEX(ap_No,467)&amp;"","")</f>
        <v/>
      </c>
      <c r="E2973" s="94">
        <f>IF(H2973=1,INDEX(ap_Date,467),"")</f>
        <v/>
      </c>
      <c r="F2973" s="58">
        <f>IF(H2973=1,INDEX(ap_Desc,467)&amp;"","")</f>
        <v/>
      </c>
      <c r="G2973" s="58">
        <f>IF(H2973=1,INDEX(ap_Party,467)&amp;"","")</f>
        <v/>
      </c>
      <c r="H2973" s="101">
        <f>IFERROR(N(INDEX(ap_Posted,467)),0)</f>
        <v/>
      </c>
      <c r="I2973" s="58">
        <f>IF(H2973=1,INDEX(ap_DrAcct,467)&amp;"","")</f>
        <v/>
      </c>
      <c r="J2973" s="95">
        <f>IF(H2973=1,INDEX(ap_DrAmt,467),0)</f>
        <v/>
      </c>
      <c r="K2973" s="58">
        <f>IF(H2973=1,INDEX(ap_CrAcct,467)&amp;"","")</f>
        <v/>
      </c>
      <c r="L2973" s="95">
        <f>IF(H2973=1,INDEX(ap_CrAmt,467),0)</f>
        <v/>
      </c>
      <c r="M2973" s="95">
        <f>IF(H2973=1,INDEX(ap_TaxAmt,467),0)</f>
        <v/>
      </c>
      <c r="N2973" s="95" t="n">
        <v>0</v>
      </c>
      <c r="O2973" s="101">
        <f>IF(H2973=1,IF(E2973&lt;FYStart,0,IF(E2973&gt;FYEnd,13,YEAR(E2973)*12+MONTH(E2973)-FYYM+1)),"")</f>
        <v/>
      </c>
      <c r="P2973" s="101">
        <f>IF(H2973=1,IF(IFERROR(INDEX(coa_CF,MATCH(I2973,coa_Name,0)),"")="Cash",1,0),0)</f>
        <v/>
      </c>
      <c r="Q2973" s="101">
        <f>IF(H2973=1,IF(IFERROR(INDEX(coa_CF,MATCH(K2973,coa_Name,0)),"")="Cash",1,0),0)</f>
        <v/>
      </c>
      <c r="R2973" s="58">
        <f>IF((P2973-Q2973)=0,"",IFERROR(INDEX(coa_CF,MATCH(IF((P2973-Q2973)=1,K2973,I2973),coa_Name,0)),"Operating"))</f>
        <v/>
      </c>
      <c r="S2973" s="95">
        <f>IF((P2973-Q2973)=1,L2973,IF((P2973-Q2973)=-1,-J2973,0))</f>
        <v/>
      </c>
      <c r="T2973" s="95">
        <f>IF((P2973-Q2973)=1,N2973,IF((P2973-Q2973)=-1,-M2973,0))</f>
        <v/>
      </c>
      <c r="U2973" s="101">
        <f>IF(AND(H2973=1,LedAcct&lt;&gt;""),IF(AND(E2973&gt;=LedFrom,E2973&lt;=LedTo,OR(I2973=LedAcct,K2973=LedAcct,AND(LedAcct=acctTax,M2973+N2973&lt;&gt;0))),E2973*10000+B2973,""),"")</f>
        <v/>
      </c>
    </row>
    <row r="2974">
      <c r="B2974" s="101" t="n">
        <v>2968</v>
      </c>
      <c r="C2974" s="58" t="inlineStr">
        <is>
          <t>Bill</t>
        </is>
      </c>
      <c r="D2974" s="58">
        <f>IF(H2974=1,INDEX(ap_No,468)&amp;"","")</f>
        <v/>
      </c>
      <c r="E2974" s="94">
        <f>IF(H2974=1,INDEX(ap_Date,468),"")</f>
        <v/>
      </c>
      <c r="F2974" s="58">
        <f>IF(H2974=1,INDEX(ap_Desc,468)&amp;"","")</f>
        <v/>
      </c>
      <c r="G2974" s="58">
        <f>IF(H2974=1,INDEX(ap_Party,468)&amp;"","")</f>
        <v/>
      </c>
      <c r="H2974" s="101">
        <f>IFERROR(N(INDEX(ap_Posted,468)),0)</f>
        <v/>
      </c>
      <c r="I2974" s="58">
        <f>IF(H2974=1,INDEX(ap_DrAcct,468)&amp;"","")</f>
        <v/>
      </c>
      <c r="J2974" s="95">
        <f>IF(H2974=1,INDEX(ap_DrAmt,468),0)</f>
        <v/>
      </c>
      <c r="K2974" s="58">
        <f>IF(H2974=1,INDEX(ap_CrAcct,468)&amp;"","")</f>
        <v/>
      </c>
      <c r="L2974" s="95">
        <f>IF(H2974=1,INDEX(ap_CrAmt,468),0)</f>
        <v/>
      </c>
      <c r="M2974" s="95">
        <f>IF(H2974=1,INDEX(ap_TaxAmt,468),0)</f>
        <v/>
      </c>
      <c r="N2974" s="95" t="n">
        <v>0</v>
      </c>
      <c r="O2974" s="101">
        <f>IF(H2974=1,IF(E2974&lt;FYStart,0,IF(E2974&gt;FYEnd,13,YEAR(E2974)*12+MONTH(E2974)-FYYM+1)),"")</f>
        <v/>
      </c>
      <c r="P2974" s="101">
        <f>IF(H2974=1,IF(IFERROR(INDEX(coa_CF,MATCH(I2974,coa_Name,0)),"")="Cash",1,0),0)</f>
        <v/>
      </c>
      <c r="Q2974" s="101">
        <f>IF(H2974=1,IF(IFERROR(INDEX(coa_CF,MATCH(K2974,coa_Name,0)),"")="Cash",1,0),0)</f>
        <v/>
      </c>
      <c r="R2974" s="58">
        <f>IF((P2974-Q2974)=0,"",IFERROR(INDEX(coa_CF,MATCH(IF((P2974-Q2974)=1,K2974,I2974),coa_Name,0)),"Operating"))</f>
        <v/>
      </c>
      <c r="S2974" s="95">
        <f>IF((P2974-Q2974)=1,L2974,IF((P2974-Q2974)=-1,-J2974,0))</f>
        <v/>
      </c>
      <c r="T2974" s="95">
        <f>IF((P2974-Q2974)=1,N2974,IF((P2974-Q2974)=-1,-M2974,0))</f>
        <v/>
      </c>
      <c r="U2974" s="101">
        <f>IF(AND(H2974=1,LedAcct&lt;&gt;""),IF(AND(E2974&gt;=LedFrom,E2974&lt;=LedTo,OR(I2974=LedAcct,K2974=LedAcct,AND(LedAcct=acctTax,M2974+N2974&lt;&gt;0))),E2974*10000+B2974,""),"")</f>
        <v/>
      </c>
    </row>
    <row r="2975">
      <c r="B2975" s="101" t="n">
        <v>2969</v>
      </c>
      <c r="C2975" s="58" t="inlineStr">
        <is>
          <t>Bill</t>
        </is>
      </c>
      <c r="D2975" s="58">
        <f>IF(H2975=1,INDEX(ap_No,469)&amp;"","")</f>
        <v/>
      </c>
      <c r="E2975" s="94">
        <f>IF(H2975=1,INDEX(ap_Date,469),"")</f>
        <v/>
      </c>
      <c r="F2975" s="58">
        <f>IF(H2975=1,INDEX(ap_Desc,469)&amp;"","")</f>
        <v/>
      </c>
      <c r="G2975" s="58">
        <f>IF(H2975=1,INDEX(ap_Party,469)&amp;"","")</f>
        <v/>
      </c>
      <c r="H2975" s="101">
        <f>IFERROR(N(INDEX(ap_Posted,469)),0)</f>
        <v/>
      </c>
      <c r="I2975" s="58">
        <f>IF(H2975=1,INDEX(ap_DrAcct,469)&amp;"","")</f>
        <v/>
      </c>
      <c r="J2975" s="95">
        <f>IF(H2975=1,INDEX(ap_DrAmt,469),0)</f>
        <v/>
      </c>
      <c r="K2975" s="58">
        <f>IF(H2975=1,INDEX(ap_CrAcct,469)&amp;"","")</f>
        <v/>
      </c>
      <c r="L2975" s="95">
        <f>IF(H2975=1,INDEX(ap_CrAmt,469),0)</f>
        <v/>
      </c>
      <c r="M2975" s="95">
        <f>IF(H2975=1,INDEX(ap_TaxAmt,469),0)</f>
        <v/>
      </c>
      <c r="N2975" s="95" t="n">
        <v>0</v>
      </c>
      <c r="O2975" s="101">
        <f>IF(H2975=1,IF(E2975&lt;FYStart,0,IF(E2975&gt;FYEnd,13,YEAR(E2975)*12+MONTH(E2975)-FYYM+1)),"")</f>
        <v/>
      </c>
      <c r="P2975" s="101">
        <f>IF(H2975=1,IF(IFERROR(INDEX(coa_CF,MATCH(I2975,coa_Name,0)),"")="Cash",1,0),0)</f>
        <v/>
      </c>
      <c r="Q2975" s="101">
        <f>IF(H2975=1,IF(IFERROR(INDEX(coa_CF,MATCH(K2975,coa_Name,0)),"")="Cash",1,0),0)</f>
        <v/>
      </c>
      <c r="R2975" s="58">
        <f>IF((P2975-Q2975)=0,"",IFERROR(INDEX(coa_CF,MATCH(IF((P2975-Q2975)=1,K2975,I2975),coa_Name,0)),"Operating"))</f>
        <v/>
      </c>
      <c r="S2975" s="95">
        <f>IF((P2975-Q2975)=1,L2975,IF((P2975-Q2975)=-1,-J2975,0))</f>
        <v/>
      </c>
      <c r="T2975" s="95">
        <f>IF((P2975-Q2975)=1,N2975,IF((P2975-Q2975)=-1,-M2975,0))</f>
        <v/>
      </c>
      <c r="U2975" s="101">
        <f>IF(AND(H2975=1,LedAcct&lt;&gt;""),IF(AND(E2975&gt;=LedFrom,E2975&lt;=LedTo,OR(I2975=LedAcct,K2975=LedAcct,AND(LedAcct=acctTax,M2975+N2975&lt;&gt;0))),E2975*10000+B2975,""),"")</f>
        <v/>
      </c>
    </row>
    <row r="2976">
      <c r="B2976" s="101" t="n">
        <v>2970</v>
      </c>
      <c r="C2976" s="58" t="inlineStr">
        <is>
          <t>Bill</t>
        </is>
      </c>
      <c r="D2976" s="58">
        <f>IF(H2976=1,INDEX(ap_No,470)&amp;"","")</f>
        <v/>
      </c>
      <c r="E2976" s="94">
        <f>IF(H2976=1,INDEX(ap_Date,470),"")</f>
        <v/>
      </c>
      <c r="F2976" s="58">
        <f>IF(H2976=1,INDEX(ap_Desc,470)&amp;"","")</f>
        <v/>
      </c>
      <c r="G2976" s="58">
        <f>IF(H2976=1,INDEX(ap_Party,470)&amp;"","")</f>
        <v/>
      </c>
      <c r="H2976" s="101">
        <f>IFERROR(N(INDEX(ap_Posted,470)),0)</f>
        <v/>
      </c>
      <c r="I2976" s="58">
        <f>IF(H2976=1,INDEX(ap_DrAcct,470)&amp;"","")</f>
        <v/>
      </c>
      <c r="J2976" s="95">
        <f>IF(H2976=1,INDEX(ap_DrAmt,470),0)</f>
        <v/>
      </c>
      <c r="K2976" s="58">
        <f>IF(H2976=1,INDEX(ap_CrAcct,470)&amp;"","")</f>
        <v/>
      </c>
      <c r="L2976" s="95">
        <f>IF(H2976=1,INDEX(ap_CrAmt,470),0)</f>
        <v/>
      </c>
      <c r="M2976" s="95">
        <f>IF(H2976=1,INDEX(ap_TaxAmt,470),0)</f>
        <v/>
      </c>
      <c r="N2976" s="95" t="n">
        <v>0</v>
      </c>
      <c r="O2976" s="101">
        <f>IF(H2976=1,IF(E2976&lt;FYStart,0,IF(E2976&gt;FYEnd,13,YEAR(E2976)*12+MONTH(E2976)-FYYM+1)),"")</f>
        <v/>
      </c>
      <c r="P2976" s="101">
        <f>IF(H2976=1,IF(IFERROR(INDEX(coa_CF,MATCH(I2976,coa_Name,0)),"")="Cash",1,0),0)</f>
        <v/>
      </c>
      <c r="Q2976" s="101">
        <f>IF(H2976=1,IF(IFERROR(INDEX(coa_CF,MATCH(K2976,coa_Name,0)),"")="Cash",1,0),0)</f>
        <v/>
      </c>
      <c r="R2976" s="58">
        <f>IF((P2976-Q2976)=0,"",IFERROR(INDEX(coa_CF,MATCH(IF((P2976-Q2976)=1,K2976,I2976),coa_Name,0)),"Operating"))</f>
        <v/>
      </c>
      <c r="S2976" s="95">
        <f>IF((P2976-Q2976)=1,L2976,IF((P2976-Q2976)=-1,-J2976,0))</f>
        <v/>
      </c>
      <c r="T2976" s="95">
        <f>IF((P2976-Q2976)=1,N2976,IF((P2976-Q2976)=-1,-M2976,0))</f>
        <v/>
      </c>
      <c r="U2976" s="101">
        <f>IF(AND(H2976=1,LedAcct&lt;&gt;""),IF(AND(E2976&gt;=LedFrom,E2976&lt;=LedTo,OR(I2976=LedAcct,K2976=LedAcct,AND(LedAcct=acctTax,M2976+N2976&lt;&gt;0))),E2976*10000+B2976,""),"")</f>
        <v/>
      </c>
    </row>
    <row r="2977">
      <c r="B2977" s="101" t="n">
        <v>2971</v>
      </c>
      <c r="C2977" s="58" t="inlineStr">
        <is>
          <t>Bill</t>
        </is>
      </c>
      <c r="D2977" s="58">
        <f>IF(H2977=1,INDEX(ap_No,471)&amp;"","")</f>
        <v/>
      </c>
      <c r="E2977" s="94">
        <f>IF(H2977=1,INDEX(ap_Date,471),"")</f>
        <v/>
      </c>
      <c r="F2977" s="58">
        <f>IF(H2977=1,INDEX(ap_Desc,471)&amp;"","")</f>
        <v/>
      </c>
      <c r="G2977" s="58">
        <f>IF(H2977=1,INDEX(ap_Party,471)&amp;"","")</f>
        <v/>
      </c>
      <c r="H2977" s="101">
        <f>IFERROR(N(INDEX(ap_Posted,471)),0)</f>
        <v/>
      </c>
      <c r="I2977" s="58">
        <f>IF(H2977=1,INDEX(ap_DrAcct,471)&amp;"","")</f>
        <v/>
      </c>
      <c r="J2977" s="95">
        <f>IF(H2977=1,INDEX(ap_DrAmt,471),0)</f>
        <v/>
      </c>
      <c r="K2977" s="58">
        <f>IF(H2977=1,INDEX(ap_CrAcct,471)&amp;"","")</f>
        <v/>
      </c>
      <c r="L2977" s="95">
        <f>IF(H2977=1,INDEX(ap_CrAmt,471),0)</f>
        <v/>
      </c>
      <c r="M2977" s="95">
        <f>IF(H2977=1,INDEX(ap_TaxAmt,471),0)</f>
        <v/>
      </c>
      <c r="N2977" s="95" t="n">
        <v>0</v>
      </c>
      <c r="O2977" s="101">
        <f>IF(H2977=1,IF(E2977&lt;FYStart,0,IF(E2977&gt;FYEnd,13,YEAR(E2977)*12+MONTH(E2977)-FYYM+1)),"")</f>
        <v/>
      </c>
      <c r="P2977" s="101">
        <f>IF(H2977=1,IF(IFERROR(INDEX(coa_CF,MATCH(I2977,coa_Name,0)),"")="Cash",1,0),0)</f>
        <v/>
      </c>
      <c r="Q2977" s="101">
        <f>IF(H2977=1,IF(IFERROR(INDEX(coa_CF,MATCH(K2977,coa_Name,0)),"")="Cash",1,0),0)</f>
        <v/>
      </c>
      <c r="R2977" s="58">
        <f>IF((P2977-Q2977)=0,"",IFERROR(INDEX(coa_CF,MATCH(IF((P2977-Q2977)=1,K2977,I2977),coa_Name,0)),"Operating"))</f>
        <v/>
      </c>
      <c r="S2977" s="95">
        <f>IF((P2977-Q2977)=1,L2977,IF((P2977-Q2977)=-1,-J2977,0))</f>
        <v/>
      </c>
      <c r="T2977" s="95">
        <f>IF((P2977-Q2977)=1,N2977,IF((P2977-Q2977)=-1,-M2977,0))</f>
        <v/>
      </c>
      <c r="U2977" s="101">
        <f>IF(AND(H2977=1,LedAcct&lt;&gt;""),IF(AND(E2977&gt;=LedFrom,E2977&lt;=LedTo,OR(I2977=LedAcct,K2977=LedAcct,AND(LedAcct=acctTax,M2977+N2977&lt;&gt;0))),E2977*10000+B2977,""),"")</f>
        <v/>
      </c>
    </row>
    <row r="2978">
      <c r="B2978" s="101" t="n">
        <v>2972</v>
      </c>
      <c r="C2978" s="58" t="inlineStr">
        <is>
          <t>Bill</t>
        </is>
      </c>
      <c r="D2978" s="58">
        <f>IF(H2978=1,INDEX(ap_No,472)&amp;"","")</f>
        <v/>
      </c>
      <c r="E2978" s="94">
        <f>IF(H2978=1,INDEX(ap_Date,472),"")</f>
        <v/>
      </c>
      <c r="F2978" s="58">
        <f>IF(H2978=1,INDEX(ap_Desc,472)&amp;"","")</f>
        <v/>
      </c>
      <c r="G2978" s="58">
        <f>IF(H2978=1,INDEX(ap_Party,472)&amp;"","")</f>
        <v/>
      </c>
      <c r="H2978" s="101">
        <f>IFERROR(N(INDEX(ap_Posted,472)),0)</f>
        <v/>
      </c>
      <c r="I2978" s="58">
        <f>IF(H2978=1,INDEX(ap_DrAcct,472)&amp;"","")</f>
        <v/>
      </c>
      <c r="J2978" s="95">
        <f>IF(H2978=1,INDEX(ap_DrAmt,472),0)</f>
        <v/>
      </c>
      <c r="K2978" s="58">
        <f>IF(H2978=1,INDEX(ap_CrAcct,472)&amp;"","")</f>
        <v/>
      </c>
      <c r="L2978" s="95">
        <f>IF(H2978=1,INDEX(ap_CrAmt,472),0)</f>
        <v/>
      </c>
      <c r="M2978" s="95">
        <f>IF(H2978=1,INDEX(ap_TaxAmt,472),0)</f>
        <v/>
      </c>
      <c r="N2978" s="95" t="n">
        <v>0</v>
      </c>
      <c r="O2978" s="101">
        <f>IF(H2978=1,IF(E2978&lt;FYStart,0,IF(E2978&gt;FYEnd,13,YEAR(E2978)*12+MONTH(E2978)-FYYM+1)),"")</f>
        <v/>
      </c>
      <c r="P2978" s="101">
        <f>IF(H2978=1,IF(IFERROR(INDEX(coa_CF,MATCH(I2978,coa_Name,0)),"")="Cash",1,0),0)</f>
        <v/>
      </c>
      <c r="Q2978" s="101">
        <f>IF(H2978=1,IF(IFERROR(INDEX(coa_CF,MATCH(K2978,coa_Name,0)),"")="Cash",1,0),0)</f>
        <v/>
      </c>
      <c r="R2978" s="58">
        <f>IF((P2978-Q2978)=0,"",IFERROR(INDEX(coa_CF,MATCH(IF((P2978-Q2978)=1,K2978,I2978),coa_Name,0)),"Operating"))</f>
        <v/>
      </c>
      <c r="S2978" s="95">
        <f>IF((P2978-Q2978)=1,L2978,IF((P2978-Q2978)=-1,-J2978,0))</f>
        <v/>
      </c>
      <c r="T2978" s="95">
        <f>IF((P2978-Q2978)=1,N2978,IF((P2978-Q2978)=-1,-M2978,0))</f>
        <v/>
      </c>
      <c r="U2978" s="101">
        <f>IF(AND(H2978=1,LedAcct&lt;&gt;""),IF(AND(E2978&gt;=LedFrom,E2978&lt;=LedTo,OR(I2978=LedAcct,K2978=LedAcct,AND(LedAcct=acctTax,M2978+N2978&lt;&gt;0))),E2978*10000+B2978,""),"")</f>
        <v/>
      </c>
    </row>
    <row r="2979">
      <c r="B2979" s="101" t="n">
        <v>2973</v>
      </c>
      <c r="C2979" s="58" t="inlineStr">
        <is>
          <t>Bill</t>
        </is>
      </c>
      <c r="D2979" s="58">
        <f>IF(H2979=1,INDEX(ap_No,473)&amp;"","")</f>
        <v/>
      </c>
      <c r="E2979" s="94">
        <f>IF(H2979=1,INDEX(ap_Date,473),"")</f>
        <v/>
      </c>
      <c r="F2979" s="58">
        <f>IF(H2979=1,INDEX(ap_Desc,473)&amp;"","")</f>
        <v/>
      </c>
      <c r="G2979" s="58">
        <f>IF(H2979=1,INDEX(ap_Party,473)&amp;"","")</f>
        <v/>
      </c>
      <c r="H2979" s="101">
        <f>IFERROR(N(INDEX(ap_Posted,473)),0)</f>
        <v/>
      </c>
      <c r="I2979" s="58">
        <f>IF(H2979=1,INDEX(ap_DrAcct,473)&amp;"","")</f>
        <v/>
      </c>
      <c r="J2979" s="95">
        <f>IF(H2979=1,INDEX(ap_DrAmt,473),0)</f>
        <v/>
      </c>
      <c r="K2979" s="58">
        <f>IF(H2979=1,INDEX(ap_CrAcct,473)&amp;"","")</f>
        <v/>
      </c>
      <c r="L2979" s="95">
        <f>IF(H2979=1,INDEX(ap_CrAmt,473),0)</f>
        <v/>
      </c>
      <c r="M2979" s="95">
        <f>IF(H2979=1,INDEX(ap_TaxAmt,473),0)</f>
        <v/>
      </c>
      <c r="N2979" s="95" t="n">
        <v>0</v>
      </c>
      <c r="O2979" s="101">
        <f>IF(H2979=1,IF(E2979&lt;FYStart,0,IF(E2979&gt;FYEnd,13,YEAR(E2979)*12+MONTH(E2979)-FYYM+1)),"")</f>
        <v/>
      </c>
      <c r="P2979" s="101">
        <f>IF(H2979=1,IF(IFERROR(INDEX(coa_CF,MATCH(I2979,coa_Name,0)),"")="Cash",1,0),0)</f>
        <v/>
      </c>
      <c r="Q2979" s="101">
        <f>IF(H2979=1,IF(IFERROR(INDEX(coa_CF,MATCH(K2979,coa_Name,0)),"")="Cash",1,0),0)</f>
        <v/>
      </c>
      <c r="R2979" s="58">
        <f>IF((P2979-Q2979)=0,"",IFERROR(INDEX(coa_CF,MATCH(IF((P2979-Q2979)=1,K2979,I2979),coa_Name,0)),"Operating"))</f>
        <v/>
      </c>
      <c r="S2979" s="95">
        <f>IF((P2979-Q2979)=1,L2979,IF((P2979-Q2979)=-1,-J2979,0))</f>
        <v/>
      </c>
      <c r="T2979" s="95">
        <f>IF((P2979-Q2979)=1,N2979,IF((P2979-Q2979)=-1,-M2979,0))</f>
        <v/>
      </c>
      <c r="U2979" s="101">
        <f>IF(AND(H2979=1,LedAcct&lt;&gt;""),IF(AND(E2979&gt;=LedFrom,E2979&lt;=LedTo,OR(I2979=LedAcct,K2979=LedAcct,AND(LedAcct=acctTax,M2979+N2979&lt;&gt;0))),E2979*10000+B2979,""),"")</f>
        <v/>
      </c>
    </row>
    <row r="2980">
      <c r="B2980" s="101" t="n">
        <v>2974</v>
      </c>
      <c r="C2980" s="58" t="inlineStr">
        <is>
          <t>Bill</t>
        </is>
      </c>
      <c r="D2980" s="58">
        <f>IF(H2980=1,INDEX(ap_No,474)&amp;"","")</f>
        <v/>
      </c>
      <c r="E2980" s="94">
        <f>IF(H2980=1,INDEX(ap_Date,474),"")</f>
        <v/>
      </c>
      <c r="F2980" s="58">
        <f>IF(H2980=1,INDEX(ap_Desc,474)&amp;"","")</f>
        <v/>
      </c>
      <c r="G2980" s="58">
        <f>IF(H2980=1,INDEX(ap_Party,474)&amp;"","")</f>
        <v/>
      </c>
      <c r="H2980" s="101">
        <f>IFERROR(N(INDEX(ap_Posted,474)),0)</f>
        <v/>
      </c>
      <c r="I2980" s="58">
        <f>IF(H2980=1,INDEX(ap_DrAcct,474)&amp;"","")</f>
        <v/>
      </c>
      <c r="J2980" s="95">
        <f>IF(H2980=1,INDEX(ap_DrAmt,474),0)</f>
        <v/>
      </c>
      <c r="K2980" s="58">
        <f>IF(H2980=1,INDEX(ap_CrAcct,474)&amp;"","")</f>
        <v/>
      </c>
      <c r="L2980" s="95">
        <f>IF(H2980=1,INDEX(ap_CrAmt,474),0)</f>
        <v/>
      </c>
      <c r="M2980" s="95">
        <f>IF(H2980=1,INDEX(ap_TaxAmt,474),0)</f>
        <v/>
      </c>
      <c r="N2980" s="95" t="n">
        <v>0</v>
      </c>
      <c r="O2980" s="101">
        <f>IF(H2980=1,IF(E2980&lt;FYStart,0,IF(E2980&gt;FYEnd,13,YEAR(E2980)*12+MONTH(E2980)-FYYM+1)),"")</f>
        <v/>
      </c>
      <c r="P2980" s="101">
        <f>IF(H2980=1,IF(IFERROR(INDEX(coa_CF,MATCH(I2980,coa_Name,0)),"")="Cash",1,0),0)</f>
        <v/>
      </c>
      <c r="Q2980" s="101">
        <f>IF(H2980=1,IF(IFERROR(INDEX(coa_CF,MATCH(K2980,coa_Name,0)),"")="Cash",1,0),0)</f>
        <v/>
      </c>
      <c r="R2980" s="58">
        <f>IF((P2980-Q2980)=0,"",IFERROR(INDEX(coa_CF,MATCH(IF((P2980-Q2980)=1,K2980,I2980),coa_Name,0)),"Operating"))</f>
        <v/>
      </c>
      <c r="S2980" s="95">
        <f>IF((P2980-Q2980)=1,L2980,IF((P2980-Q2980)=-1,-J2980,0))</f>
        <v/>
      </c>
      <c r="T2980" s="95">
        <f>IF((P2980-Q2980)=1,N2980,IF((P2980-Q2980)=-1,-M2980,0))</f>
        <v/>
      </c>
      <c r="U2980" s="101">
        <f>IF(AND(H2980=1,LedAcct&lt;&gt;""),IF(AND(E2980&gt;=LedFrom,E2980&lt;=LedTo,OR(I2980=LedAcct,K2980=LedAcct,AND(LedAcct=acctTax,M2980+N2980&lt;&gt;0))),E2980*10000+B2980,""),"")</f>
        <v/>
      </c>
    </row>
    <row r="2981">
      <c r="B2981" s="101" t="n">
        <v>2975</v>
      </c>
      <c r="C2981" s="58" t="inlineStr">
        <is>
          <t>Bill</t>
        </is>
      </c>
      <c r="D2981" s="58">
        <f>IF(H2981=1,INDEX(ap_No,475)&amp;"","")</f>
        <v/>
      </c>
      <c r="E2981" s="94">
        <f>IF(H2981=1,INDEX(ap_Date,475),"")</f>
        <v/>
      </c>
      <c r="F2981" s="58">
        <f>IF(H2981=1,INDEX(ap_Desc,475)&amp;"","")</f>
        <v/>
      </c>
      <c r="G2981" s="58">
        <f>IF(H2981=1,INDEX(ap_Party,475)&amp;"","")</f>
        <v/>
      </c>
      <c r="H2981" s="101">
        <f>IFERROR(N(INDEX(ap_Posted,475)),0)</f>
        <v/>
      </c>
      <c r="I2981" s="58">
        <f>IF(H2981=1,INDEX(ap_DrAcct,475)&amp;"","")</f>
        <v/>
      </c>
      <c r="J2981" s="95">
        <f>IF(H2981=1,INDEX(ap_DrAmt,475),0)</f>
        <v/>
      </c>
      <c r="K2981" s="58">
        <f>IF(H2981=1,INDEX(ap_CrAcct,475)&amp;"","")</f>
        <v/>
      </c>
      <c r="L2981" s="95">
        <f>IF(H2981=1,INDEX(ap_CrAmt,475),0)</f>
        <v/>
      </c>
      <c r="M2981" s="95">
        <f>IF(H2981=1,INDEX(ap_TaxAmt,475),0)</f>
        <v/>
      </c>
      <c r="N2981" s="95" t="n">
        <v>0</v>
      </c>
      <c r="O2981" s="101">
        <f>IF(H2981=1,IF(E2981&lt;FYStart,0,IF(E2981&gt;FYEnd,13,YEAR(E2981)*12+MONTH(E2981)-FYYM+1)),"")</f>
        <v/>
      </c>
      <c r="P2981" s="101">
        <f>IF(H2981=1,IF(IFERROR(INDEX(coa_CF,MATCH(I2981,coa_Name,0)),"")="Cash",1,0),0)</f>
        <v/>
      </c>
      <c r="Q2981" s="101">
        <f>IF(H2981=1,IF(IFERROR(INDEX(coa_CF,MATCH(K2981,coa_Name,0)),"")="Cash",1,0),0)</f>
        <v/>
      </c>
      <c r="R2981" s="58">
        <f>IF((P2981-Q2981)=0,"",IFERROR(INDEX(coa_CF,MATCH(IF((P2981-Q2981)=1,K2981,I2981),coa_Name,0)),"Operating"))</f>
        <v/>
      </c>
      <c r="S2981" s="95">
        <f>IF((P2981-Q2981)=1,L2981,IF((P2981-Q2981)=-1,-J2981,0))</f>
        <v/>
      </c>
      <c r="T2981" s="95">
        <f>IF((P2981-Q2981)=1,N2981,IF((P2981-Q2981)=-1,-M2981,0))</f>
        <v/>
      </c>
      <c r="U2981" s="101">
        <f>IF(AND(H2981=1,LedAcct&lt;&gt;""),IF(AND(E2981&gt;=LedFrom,E2981&lt;=LedTo,OR(I2981=LedAcct,K2981=LedAcct,AND(LedAcct=acctTax,M2981+N2981&lt;&gt;0))),E2981*10000+B2981,""),"")</f>
        <v/>
      </c>
    </row>
    <row r="2982">
      <c r="B2982" s="101" t="n">
        <v>2976</v>
      </c>
      <c r="C2982" s="58" t="inlineStr">
        <is>
          <t>Bill</t>
        </is>
      </c>
      <c r="D2982" s="58">
        <f>IF(H2982=1,INDEX(ap_No,476)&amp;"","")</f>
        <v/>
      </c>
      <c r="E2982" s="94">
        <f>IF(H2982=1,INDEX(ap_Date,476),"")</f>
        <v/>
      </c>
      <c r="F2982" s="58">
        <f>IF(H2982=1,INDEX(ap_Desc,476)&amp;"","")</f>
        <v/>
      </c>
      <c r="G2982" s="58">
        <f>IF(H2982=1,INDEX(ap_Party,476)&amp;"","")</f>
        <v/>
      </c>
      <c r="H2982" s="101">
        <f>IFERROR(N(INDEX(ap_Posted,476)),0)</f>
        <v/>
      </c>
      <c r="I2982" s="58">
        <f>IF(H2982=1,INDEX(ap_DrAcct,476)&amp;"","")</f>
        <v/>
      </c>
      <c r="J2982" s="95">
        <f>IF(H2982=1,INDEX(ap_DrAmt,476),0)</f>
        <v/>
      </c>
      <c r="K2982" s="58">
        <f>IF(H2982=1,INDEX(ap_CrAcct,476)&amp;"","")</f>
        <v/>
      </c>
      <c r="L2982" s="95">
        <f>IF(H2982=1,INDEX(ap_CrAmt,476),0)</f>
        <v/>
      </c>
      <c r="M2982" s="95">
        <f>IF(H2982=1,INDEX(ap_TaxAmt,476),0)</f>
        <v/>
      </c>
      <c r="N2982" s="95" t="n">
        <v>0</v>
      </c>
      <c r="O2982" s="101">
        <f>IF(H2982=1,IF(E2982&lt;FYStart,0,IF(E2982&gt;FYEnd,13,YEAR(E2982)*12+MONTH(E2982)-FYYM+1)),"")</f>
        <v/>
      </c>
      <c r="P2982" s="101">
        <f>IF(H2982=1,IF(IFERROR(INDEX(coa_CF,MATCH(I2982,coa_Name,0)),"")="Cash",1,0),0)</f>
        <v/>
      </c>
      <c r="Q2982" s="101">
        <f>IF(H2982=1,IF(IFERROR(INDEX(coa_CF,MATCH(K2982,coa_Name,0)),"")="Cash",1,0),0)</f>
        <v/>
      </c>
      <c r="R2982" s="58">
        <f>IF((P2982-Q2982)=0,"",IFERROR(INDEX(coa_CF,MATCH(IF((P2982-Q2982)=1,K2982,I2982),coa_Name,0)),"Operating"))</f>
        <v/>
      </c>
      <c r="S2982" s="95">
        <f>IF((P2982-Q2982)=1,L2982,IF((P2982-Q2982)=-1,-J2982,0))</f>
        <v/>
      </c>
      <c r="T2982" s="95">
        <f>IF((P2982-Q2982)=1,N2982,IF((P2982-Q2982)=-1,-M2982,0))</f>
        <v/>
      </c>
      <c r="U2982" s="101">
        <f>IF(AND(H2982=1,LedAcct&lt;&gt;""),IF(AND(E2982&gt;=LedFrom,E2982&lt;=LedTo,OR(I2982=LedAcct,K2982=LedAcct,AND(LedAcct=acctTax,M2982+N2982&lt;&gt;0))),E2982*10000+B2982,""),"")</f>
        <v/>
      </c>
    </row>
    <row r="2983">
      <c r="B2983" s="101" t="n">
        <v>2977</v>
      </c>
      <c r="C2983" s="58" t="inlineStr">
        <is>
          <t>Bill</t>
        </is>
      </c>
      <c r="D2983" s="58">
        <f>IF(H2983=1,INDEX(ap_No,477)&amp;"","")</f>
        <v/>
      </c>
      <c r="E2983" s="94">
        <f>IF(H2983=1,INDEX(ap_Date,477),"")</f>
        <v/>
      </c>
      <c r="F2983" s="58">
        <f>IF(H2983=1,INDEX(ap_Desc,477)&amp;"","")</f>
        <v/>
      </c>
      <c r="G2983" s="58">
        <f>IF(H2983=1,INDEX(ap_Party,477)&amp;"","")</f>
        <v/>
      </c>
      <c r="H2983" s="101">
        <f>IFERROR(N(INDEX(ap_Posted,477)),0)</f>
        <v/>
      </c>
      <c r="I2983" s="58">
        <f>IF(H2983=1,INDEX(ap_DrAcct,477)&amp;"","")</f>
        <v/>
      </c>
      <c r="J2983" s="95">
        <f>IF(H2983=1,INDEX(ap_DrAmt,477),0)</f>
        <v/>
      </c>
      <c r="K2983" s="58">
        <f>IF(H2983=1,INDEX(ap_CrAcct,477)&amp;"","")</f>
        <v/>
      </c>
      <c r="L2983" s="95">
        <f>IF(H2983=1,INDEX(ap_CrAmt,477),0)</f>
        <v/>
      </c>
      <c r="M2983" s="95">
        <f>IF(H2983=1,INDEX(ap_TaxAmt,477),0)</f>
        <v/>
      </c>
      <c r="N2983" s="95" t="n">
        <v>0</v>
      </c>
      <c r="O2983" s="101">
        <f>IF(H2983=1,IF(E2983&lt;FYStart,0,IF(E2983&gt;FYEnd,13,YEAR(E2983)*12+MONTH(E2983)-FYYM+1)),"")</f>
        <v/>
      </c>
      <c r="P2983" s="101">
        <f>IF(H2983=1,IF(IFERROR(INDEX(coa_CF,MATCH(I2983,coa_Name,0)),"")="Cash",1,0),0)</f>
        <v/>
      </c>
      <c r="Q2983" s="101">
        <f>IF(H2983=1,IF(IFERROR(INDEX(coa_CF,MATCH(K2983,coa_Name,0)),"")="Cash",1,0),0)</f>
        <v/>
      </c>
      <c r="R2983" s="58">
        <f>IF((P2983-Q2983)=0,"",IFERROR(INDEX(coa_CF,MATCH(IF((P2983-Q2983)=1,K2983,I2983),coa_Name,0)),"Operating"))</f>
        <v/>
      </c>
      <c r="S2983" s="95">
        <f>IF((P2983-Q2983)=1,L2983,IF((P2983-Q2983)=-1,-J2983,0))</f>
        <v/>
      </c>
      <c r="T2983" s="95">
        <f>IF((P2983-Q2983)=1,N2983,IF((P2983-Q2983)=-1,-M2983,0))</f>
        <v/>
      </c>
      <c r="U2983" s="101">
        <f>IF(AND(H2983=1,LedAcct&lt;&gt;""),IF(AND(E2983&gt;=LedFrom,E2983&lt;=LedTo,OR(I2983=LedAcct,K2983=LedAcct,AND(LedAcct=acctTax,M2983+N2983&lt;&gt;0))),E2983*10000+B2983,""),"")</f>
        <v/>
      </c>
    </row>
    <row r="2984">
      <c r="B2984" s="101" t="n">
        <v>2978</v>
      </c>
      <c r="C2984" s="58" t="inlineStr">
        <is>
          <t>Bill</t>
        </is>
      </c>
      <c r="D2984" s="58">
        <f>IF(H2984=1,INDEX(ap_No,478)&amp;"","")</f>
        <v/>
      </c>
      <c r="E2984" s="94">
        <f>IF(H2984=1,INDEX(ap_Date,478),"")</f>
        <v/>
      </c>
      <c r="F2984" s="58">
        <f>IF(H2984=1,INDEX(ap_Desc,478)&amp;"","")</f>
        <v/>
      </c>
      <c r="G2984" s="58">
        <f>IF(H2984=1,INDEX(ap_Party,478)&amp;"","")</f>
        <v/>
      </c>
      <c r="H2984" s="101">
        <f>IFERROR(N(INDEX(ap_Posted,478)),0)</f>
        <v/>
      </c>
      <c r="I2984" s="58">
        <f>IF(H2984=1,INDEX(ap_DrAcct,478)&amp;"","")</f>
        <v/>
      </c>
      <c r="J2984" s="95">
        <f>IF(H2984=1,INDEX(ap_DrAmt,478),0)</f>
        <v/>
      </c>
      <c r="K2984" s="58">
        <f>IF(H2984=1,INDEX(ap_CrAcct,478)&amp;"","")</f>
        <v/>
      </c>
      <c r="L2984" s="95">
        <f>IF(H2984=1,INDEX(ap_CrAmt,478),0)</f>
        <v/>
      </c>
      <c r="M2984" s="95">
        <f>IF(H2984=1,INDEX(ap_TaxAmt,478),0)</f>
        <v/>
      </c>
      <c r="N2984" s="95" t="n">
        <v>0</v>
      </c>
      <c r="O2984" s="101">
        <f>IF(H2984=1,IF(E2984&lt;FYStart,0,IF(E2984&gt;FYEnd,13,YEAR(E2984)*12+MONTH(E2984)-FYYM+1)),"")</f>
        <v/>
      </c>
      <c r="P2984" s="101">
        <f>IF(H2984=1,IF(IFERROR(INDEX(coa_CF,MATCH(I2984,coa_Name,0)),"")="Cash",1,0),0)</f>
        <v/>
      </c>
      <c r="Q2984" s="101">
        <f>IF(H2984=1,IF(IFERROR(INDEX(coa_CF,MATCH(K2984,coa_Name,0)),"")="Cash",1,0),0)</f>
        <v/>
      </c>
      <c r="R2984" s="58">
        <f>IF((P2984-Q2984)=0,"",IFERROR(INDEX(coa_CF,MATCH(IF((P2984-Q2984)=1,K2984,I2984),coa_Name,0)),"Operating"))</f>
        <v/>
      </c>
      <c r="S2984" s="95">
        <f>IF((P2984-Q2984)=1,L2984,IF((P2984-Q2984)=-1,-J2984,0))</f>
        <v/>
      </c>
      <c r="T2984" s="95">
        <f>IF((P2984-Q2984)=1,N2984,IF((P2984-Q2984)=-1,-M2984,0))</f>
        <v/>
      </c>
      <c r="U2984" s="101">
        <f>IF(AND(H2984=1,LedAcct&lt;&gt;""),IF(AND(E2984&gt;=LedFrom,E2984&lt;=LedTo,OR(I2984=LedAcct,K2984=LedAcct,AND(LedAcct=acctTax,M2984+N2984&lt;&gt;0))),E2984*10000+B2984,""),"")</f>
        <v/>
      </c>
    </row>
    <row r="2985">
      <c r="B2985" s="101" t="n">
        <v>2979</v>
      </c>
      <c r="C2985" s="58" t="inlineStr">
        <is>
          <t>Bill</t>
        </is>
      </c>
      <c r="D2985" s="58">
        <f>IF(H2985=1,INDEX(ap_No,479)&amp;"","")</f>
        <v/>
      </c>
      <c r="E2985" s="94">
        <f>IF(H2985=1,INDEX(ap_Date,479),"")</f>
        <v/>
      </c>
      <c r="F2985" s="58">
        <f>IF(H2985=1,INDEX(ap_Desc,479)&amp;"","")</f>
        <v/>
      </c>
      <c r="G2985" s="58">
        <f>IF(H2985=1,INDEX(ap_Party,479)&amp;"","")</f>
        <v/>
      </c>
      <c r="H2985" s="101">
        <f>IFERROR(N(INDEX(ap_Posted,479)),0)</f>
        <v/>
      </c>
      <c r="I2985" s="58">
        <f>IF(H2985=1,INDEX(ap_DrAcct,479)&amp;"","")</f>
        <v/>
      </c>
      <c r="J2985" s="95">
        <f>IF(H2985=1,INDEX(ap_DrAmt,479),0)</f>
        <v/>
      </c>
      <c r="K2985" s="58">
        <f>IF(H2985=1,INDEX(ap_CrAcct,479)&amp;"","")</f>
        <v/>
      </c>
      <c r="L2985" s="95">
        <f>IF(H2985=1,INDEX(ap_CrAmt,479),0)</f>
        <v/>
      </c>
      <c r="M2985" s="95">
        <f>IF(H2985=1,INDEX(ap_TaxAmt,479),0)</f>
        <v/>
      </c>
      <c r="N2985" s="95" t="n">
        <v>0</v>
      </c>
      <c r="O2985" s="101">
        <f>IF(H2985=1,IF(E2985&lt;FYStart,0,IF(E2985&gt;FYEnd,13,YEAR(E2985)*12+MONTH(E2985)-FYYM+1)),"")</f>
        <v/>
      </c>
      <c r="P2985" s="101">
        <f>IF(H2985=1,IF(IFERROR(INDEX(coa_CF,MATCH(I2985,coa_Name,0)),"")="Cash",1,0),0)</f>
        <v/>
      </c>
      <c r="Q2985" s="101">
        <f>IF(H2985=1,IF(IFERROR(INDEX(coa_CF,MATCH(K2985,coa_Name,0)),"")="Cash",1,0),0)</f>
        <v/>
      </c>
      <c r="R2985" s="58">
        <f>IF((P2985-Q2985)=0,"",IFERROR(INDEX(coa_CF,MATCH(IF((P2985-Q2985)=1,K2985,I2985),coa_Name,0)),"Operating"))</f>
        <v/>
      </c>
      <c r="S2985" s="95">
        <f>IF((P2985-Q2985)=1,L2985,IF((P2985-Q2985)=-1,-J2985,0))</f>
        <v/>
      </c>
      <c r="T2985" s="95">
        <f>IF((P2985-Q2985)=1,N2985,IF((P2985-Q2985)=-1,-M2985,0))</f>
        <v/>
      </c>
      <c r="U2985" s="101">
        <f>IF(AND(H2985=1,LedAcct&lt;&gt;""),IF(AND(E2985&gt;=LedFrom,E2985&lt;=LedTo,OR(I2985=LedAcct,K2985=LedAcct,AND(LedAcct=acctTax,M2985+N2985&lt;&gt;0))),E2985*10000+B2985,""),"")</f>
        <v/>
      </c>
    </row>
    <row r="2986">
      <c r="B2986" s="101" t="n">
        <v>2980</v>
      </c>
      <c r="C2986" s="58" t="inlineStr">
        <is>
          <t>Bill</t>
        </is>
      </c>
      <c r="D2986" s="58">
        <f>IF(H2986=1,INDEX(ap_No,480)&amp;"","")</f>
        <v/>
      </c>
      <c r="E2986" s="94">
        <f>IF(H2986=1,INDEX(ap_Date,480),"")</f>
        <v/>
      </c>
      <c r="F2986" s="58">
        <f>IF(H2986=1,INDEX(ap_Desc,480)&amp;"","")</f>
        <v/>
      </c>
      <c r="G2986" s="58">
        <f>IF(H2986=1,INDEX(ap_Party,480)&amp;"","")</f>
        <v/>
      </c>
      <c r="H2986" s="101">
        <f>IFERROR(N(INDEX(ap_Posted,480)),0)</f>
        <v/>
      </c>
      <c r="I2986" s="58">
        <f>IF(H2986=1,INDEX(ap_DrAcct,480)&amp;"","")</f>
        <v/>
      </c>
      <c r="J2986" s="95">
        <f>IF(H2986=1,INDEX(ap_DrAmt,480),0)</f>
        <v/>
      </c>
      <c r="K2986" s="58">
        <f>IF(H2986=1,INDEX(ap_CrAcct,480)&amp;"","")</f>
        <v/>
      </c>
      <c r="L2986" s="95">
        <f>IF(H2986=1,INDEX(ap_CrAmt,480),0)</f>
        <v/>
      </c>
      <c r="M2986" s="95">
        <f>IF(H2986=1,INDEX(ap_TaxAmt,480),0)</f>
        <v/>
      </c>
      <c r="N2986" s="95" t="n">
        <v>0</v>
      </c>
      <c r="O2986" s="101">
        <f>IF(H2986=1,IF(E2986&lt;FYStart,0,IF(E2986&gt;FYEnd,13,YEAR(E2986)*12+MONTH(E2986)-FYYM+1)),"")</f>
        <v/>
      </c>
      <c r="P2986" s="101">
        <f>IF(H2986=1,IF(IFERROR(INDEX(coa_CF,MATCH(I2986,coa_Name,0)),"")="Cash",1,0),0)</f>
        <v/>
      </c>
      <c r="Q2986" s="101">
        <f>IF(H2986=1,IF(IFERROR(INDEX(coa_CF,MATCH(K2986,coa_Name,0)),"")="Cash",1,0),0)</f>
        <v/>
      </c>
      <c r="R2986" s="58">
        <f>IF((P2986-Q2986)=0,"",IFERROR(INDEX(coa_CF,MATCH(IF((P2986-Q2986)=1,K2986,I2986),coa_Name,0)),"Operating"))</f>
        <v/>
      </c>
      <c r="S2986" s="95">
        <f>IF((P2986-Q2986)=1,L2986,IF((P2986-Q2986)=-1,-J2986,0))</f>
        <v/>
      </c>
      <c r="T2986" s="95">
        <f>IF((P2986-Q2986)=1,N2986,IF((P2986-Q2986)=-1,-M2986,0))</f>
        <v/>
      </c>
      <c r="U2986" s="101">
        <f>IF(AND(H2986=1,LedAcct&lt;&gt;""),IF(AND(E2986&gt;=LedFrom,E2986&lt;=LedTo,OR(I2986=LedAcct,K2986=LedAcct,AND(LedAcct=acctTax,M2986+N2986&lt;&gt;0))),E2986*10000+B2986,""),"")</f>
        <v/>
      </c>
    </row>
    <row r="2987">
      <c r="B2987" s="101" t="n">
        <v>2981</v>
      </c>
      <c r="C2987" s="58" t="inlineStr">
        <is>
          <t>Bill</t>
        </is>
      </c>
      <c r="D2987" s="58">
        <f>IF(H2987=1,INDEX(ap_No,481)&amp;"","")</f>
        <v/>
      </c>
      <c r="E2987" s="94">
        <f>IF(H2987=1,INDEX(ap_Date,481),"")</f>
        <v/>
      </c>
      <c r="F2987" s="58">
        <f>IF(H2987=1,INDEX(ap_Desc,481)&amp;"","")</f>
        <v/>
      </c>
      <c r="G2987" s="58">
        <f>IF(H2987=1,INDEX(ap_Party,481)&amp;"","")</f>
        <v/>
      </c>
      <c r="H2987" s="101">
        <f>IFERROR(N(INDEX(ap_Posted,481)),0)</f>
        <v/>
      </c>
      <c r="I2987" s="58">
        <f>IF(H2987=1,INDEX(ap_DrAcct,481)&amp;"","")</f>
        <v/>
      </c>
      <c r="J2987" s="95">
        <f>IF(H2987=1,INDEX(ap_DrAmt,481),0)</f>
        <v/>
      </c>
      <c r="K2987" s="58">
        <f>IF(H2987=1,INDEX(ap_CrAcct,481)&amp;"","")</f>
        <v/>
      </c>
      <c r="L2987" s="95">
        <f>IF(H2987=1,INDEX(ap_CrAmt,481),0)</f>
        <v/>
      </c>
      <c r="M2987" s="95">
        <f>IF(H2987=1,INDEX(ap_TaxAmt,481),0)</f>
        <v/>
      </c>
      <c r="N2987" s="95" t="n">
        <v>0</v>
      </c>
      <c r="O2987" s="101">
        <f>IF(H2987=1,IF(E2987&lt;FYStart,0,IF(E2987&gt;FYEnd,13,YEAR(E2987)*12+MONTH(E2987)-FYYM+1)),"")</f>
        <v/>
      </c>
      <c r="P2987" s="101">
        <f>IF(H2987=1,IF(IFERROR(INDEX(coa_CF,MATCH(I2987,coa_Name,0)),"")="Cash",1,0),0)</f>
        <v/>
      </c>
      <c r="Q2987" s="101">
        <f>IF(H2987=1,IF(IFERROR(INDEX(coa_CF,MATCH(K2987,coa_Name,0)),"")="Cash",1,0),0)</f>
        <v/>
      </c>
      <c r="R2987" s="58">
        <f>IF((P2987-Q2987)=0,"",IFERROR(INDEX(coa_CF,MATCH(IF((P2987-Q2987)=1,K2987,I2987),coa_Name,0)),"Operating"))</f>
        <v/>
      </c>
      <c r="S2987" s="95">
        <f>IF((P2987-Q2987)=1,L2987,IF((P2987-Q2987)=-1,-J2987,0))</f>
        <v/>
      </c>
      <c r="T2987" s="95">
        <f>IF((P2987-Q2987)=1,N2987,IF((P2987-Q2987)=-1,-M2987,0))</f>
        <v/>
      </c>
      <c r="U2987" s="101">
        <f>IF(AND(H2987=1,LedAcct&lt;&gt;""),IF(AND(E2987&gt;=LedFrom,E2987&lt;=LedTo,OR(I2987=LedAcct,K2987=LedAcct,AND(LedAcct=acctTax,M2987+N2987&lt;&gt;0))),E2987*10000+B2987,""),"")</f>
        <v/>
      </c>
    </row>
    <row r="2988">
      <c r="B2988" s="101" t="n">
        <v>2982</v>
      </c>
      <c r="C2988" s="58" t="inlineStr">
        <is>
          <t>Bill</t>
        </is>
      </c>
      <c r="D2988" s="58">
        <f>IF(H2988=1,INDEX(ap_No,482)&amp;"","")</f>
        <v/>
      </c>
      <c r="E2988" s="94">
        <f>IF(H2988=1,INDEX(ap_Date,482),"")</f>
        <v/>
      </c>
      <c r="F2988" s="58">
        <f>IF(H2988=1,INDEX(ap_Desc,482)&amp;"","")</f>
        <v/>
      </c>
      <c r="G2988" s="58">
        <f>IF(H2988=1,INDEX(ap_Party,482)&amp;"","")</f>
        <v/>
      </c>
      <c r="H2988" s="101">
        <f>IFERROR(N(INDEX(ap_Posted,482)),0)</f>
        <v/>
      </c>
      <c r="I2988" s="58">
        <f>IF(H2988=1,INDEX(ap_DrAcct,482)&amp;"","")</f>
        <v/>
      </c>
      <c r="J2988" s="95">
        <f>IF(H2988=1,INDEX(ap_DrAmt,482),0)</f>
        <v/>
      </c>
      <c r="K2988" s="58">
        <f>IF(H2988=1,INDEX(ap_CrAcct,482)&amp;"","")</f>
        <v/>
      </c>
      <c r="L2988" s="95">
        <f>IF(H2988=1,INDEX(ap_CrAmt,482),0)</f>
        <v/>
      </c>
      <c r="M2988" s="95">
        <f>IF(H2988=1,INDEX(ap_TaxAmt,482),0)</f>
        <v/>
      </c>
      <c r="N2988" s="95" t="n">
        <v>0</v>
      </c>
      <c r="O2988" s="101">
        <f>IF(H2988=1,IF(E2988&lt;FYStart,0,IF(E2988&gt;FYEnd,13,YEAR(E2988)*12+MONTH(E2988)-FYYM+1)),"")</f>
        <v/>
      </c>
      <c r="P2988" s="101">
        <f>IF(H2988=1,IF(IFERROR(INDEX(coa_CF,MATCH(I2988,coa_Name,0)),"")="Cash",1,0),0)</f>
        <v/>
      </c>
      <c r="Q2988" s="101">
        <f>IF(H2988=1,IF(IFERROR(INDEX(coa_CF,MATCH(K2988,coa_Name,0)),"")="Cash",1,0),0)</f>
        <v/>
      </c>
      <c r="R2988" s="58">
        <f>IF((P2988-Q2988)=0,"",IFERROR(INDEX(coa_CF,MATCH(IF((P2988-Q2988)=1,K2988,I2988),coa_Name,0)),"Operating"))</f>
        <v/>
      </c>
      <c r="S2988" s="95">
        <f>IF((P2988-Q2988)=1,L2988,IF((P2988-Q2988)=-1,-J2988,0))</f>
        <v/>
      </c>
      <c r="T2988" s="95">
        <f>IF((P2988-Q2988)=1,N2988,IF((P2988-Q2988)=-1,-M2988,0))</f>
        <v/>
      </c>
      <c r="U2988" s="101">
        <f>IF(AND(H2988=1,LedAcct&lt;&gt;""),IF(AND(E2988&gt;=LedFrom,E2988&lt;=LedTo,OR(I2988=LedAcct,K2988=LedAcct,AND(LedAcct=acctTax,M2988+N2988&lt;&gt;0))),E2988*10000+B2988,""),"")</f>
        <v/>
      </c>
    </row>
    <row r="2989">
      <c r="B2989" s="101" t="n">
        <v>2983</v>
      </c>
      <c r="C2989" s="58" t="inlineStr">
        <is>
          <t>Bill</t>
        </is>
      </c>
      <c r="D2989" s="58">
        <f>IF(H2989=1,INDEX(ap_No,483)&amp;"","")</f>
        <v/>
      </c>
      <c r="E2989" s="94">
        <f>IF(H2989=1,INDEX(ap_Date,483),"")</f>
        <v/>
      </c>
      <c r="F2989" s="58">
        <f>IF(H2989=1,INDEX(ap_Desc,483)&amp;"","")</f>
        <v/>
      </c>
      <c r="G2989" s="58">
        <f>IF(H2989=1,INDEX(ap_Party,483)&amp;"","")</f>
        <v/>
      </c>
      <c r="H2989" s="101">
        <f>IFERROR(N(INDEX(ap_Posted,483)),0)</f>
        <v/>
      </c>
      <c r="I2989" s="58">
        <f>IF(H2989=1,INDEX(ap_DrAcct,483)&amp;"","")</f>
        <v/>
      </c>
      <c r="J2989" s="95">
        <f>IF(H2989=1,INDEX(ap_DrAmt,483),0)</f>
        <v/>
      </c>
      <c r="K2989" s="58">
        <f>IF(H2989=1,INDEX(ap_CrAcct,483)&amp;"","")</f>
        <v/>
      </c>
      <c r="L2989" s="95">
        <f>IF(H2989=1,INDEX(ap_CrAmt,483),0)</f>
        <v/>
      </c>
      <c r="M2989" s="95">
        <f>IF(H2989=1,INDEX(ap_TaxAmt,483),0)</f>
        <v/>
      </c>
      <c r="N2989" s="95" t="n">
        <v>0</v>
      </c>
      <c r="O2989" s="101">
        <f>IF(H2989=1,IF(E2989&lt;FYStart,0,IF(E2989&gt;FYEnd,13,YEAR(E2989)*12+MONTH(E2989)-FYYM+1)),"")</f>
        <v/>
      </c>
      <c r="P2989" s="101">
        <f>IF(H2989=1,IF(IFERROR(INDEX(coa_CF,MATCH(I2989,coa_Name,0)),"")="Cash",1,0),0)</f>
        <v/>
      </c>
      <c r="Q2989" s="101">
        <f>IF(H2989=1,IF(IFERROR(INDEX(coa_CF,MATCH(K2989,coa_Name,0)),"")="Cash",1,0),0)</f>
        <v/>
      </c>
      <c r="R2989" s="58">
        <f>IF((P2989-Q2989)=0,"",IFERROR(INDEX(coa_CF,MATCH(IF((P2989-Q2989)=1,K2989,I2989),coa_Name,0)),"Operating"))</f>
        <v/>
      </c>
      <c r="S2989" s="95">
        <f>IF((P2989-Q2989)=1,L2989,IF((P2989-Q2989)=-1,-J2989,0))</f>
        <v/>
      </c>
      <c r="T2989" s="95">
        <f>IF((P2989-Q2989)=1,N2989,IF((P2989-Q2989)=-1,-M2989,0))</f>
        <v/>
      </c>
      <c r="U2989" s="101">
        <f>IF(AND(H2989=1,LedAcct&lt;&gt;""),IF(AND(E2989&gt;=LedFrom,E2989&lt;=LedTo,OR(I2989=LedAcct,K2989=LedAcct,AND(LedAcct=acctTax,M2989+N2989&lt;&gt;0))),E2989*10000+B2989,""),"")</f>
        <v/>
      </c>
    </row>
    <row r="2990">
      <c r="B2990" s="101" t="n">
        <v>2984</v>
      </c>
      <c r="C2990" s="58" t="inlineStr">
        <is>
          <t>Bill</t>
        </is>
      </c>
      <c r="D2990" s="58">
        <f>IF(H2990=1,INDEX(ap_No,484)&amp;"","")</f>
        <v/>
      </c>
      <c r="E2990" s="94">
        <f>IF(H2990=1,INDEX(ap_Date,484),"")</f>
        <v/>
      </c>
      <c r="F2990" s="58">
        <f>IF(H2990=1,INDEX(ap_Desc,484)&amp;"","")</f>
        <v/>
      </c>
      <c r="G2990" s="58">
        <f>IF(H2990=1,INDEX(ap_Party,484)&amp;"","")</f>
        <v/>
      </c>
      <c r="H2990" s="101">
        <f>IFERROR(N(INDEX(ap_Posted,484)),0)</f>
        <v/>
      </c>
      <c r="I2990" s="58">
        <f>IF(H2990=1,INDEX(ap_DrAcct,484)&amp;"","")</f>
        <v/>
      </c>
      <c r="J2990" s="95">
        <f>IF(H2990=1,INDEX(ap_DrAmt,484),0)</f>
        <v/>
      </c>
      <c r="K2990" s="58">
        <f>IF(H2990=1,INDEX(ap_CrAcct,484)&amp;"","")</f>
        <v/>
      </c>
      <c r="L2990" s="95">
        <f>IF(H2990=1,INDEX(ap_CrAmt,484),0)</f>
        <v/>
      </c>
      <c r="M2990" s="95">
        <f>IF(H2990=1,INDEX(ap_TaxAmt,484),0)</f>
        <v/>
      </c>
      <c r="N2990" s="95" t="n">
        <v>0</v>
      </c>
      <c r="O2990" s="101">
        <f>IF(H2990=1,IF(E2990&lt;FYStart,0,IF(E2990&gt;FYEnd,13,YEAR(E2990)*12+MONTH(E2990)-FYYM+1)),"")</f>
        <v/>
      </c>
      <c r="P2990" s="101">
        <f>IF(H2990=1,IF(IFERROR(INDEX(coa_CF,MATCH(I2990,coa_Name,0)),"")="Cash",1,0),0)</f>
        <v/>
      </c>
      <c r="Q2990" s="101">
        <f>IF(H2990=1,IF(IFERROR(INDEX(coa_CF,MATCH(K2990,coa_Name,0)),"")="Cash",1,0),0)</f>
        <v/>
      </c>
      <c r="R2990" s="58">
        <f>IF((P2990-Q2990)=0,"",IFERROR(INDEX(coa_CF,MATCH(IF((P2990-Q2990)=1,K2990,I2990),coa_Name,0)),"Operating"))</f>
        <v/>
      </c>
      <c r="S2990" s="95">
        <f>IF((P2990-Q2990)=1,L2990,IF((P2990-Q2990)=-1,-J2990,0))</f>
        <v/>
      </c>
      <c r="T2990" s="95">
        <f>IF((P2990-Q2990)=1,N2990,IF((P2990-Q2990)=-1,-M2990,0))</f>
        <v/>
      </c>
      <c r="U2990" s="101">
        <f>IF(AND(H2990=1,LedAcct&lt;&gt;""),IF(AND(E2990&gt;=LedFrom,E2990&lt;=LedTo,OR(I2990=LedAcct,K2990=LedAcct,AND(LedAcct=acctTax,M2990+N2990&lt;&gt;0))),E2990*10000+B2990,""),"")</f>
        <v/>
      </c>
    </row>
    <row r="2991">
      <c r="B2991" s="101" t="n">
        <v>2985</v>
      </c>
      <c r="C2991" s="58" t="inlineStr">
        <is>
          <t>Bill</t>
        </is>
      </c>
      <c r="D2991" s="58">
        <f>IF(H2991=1,INDEX(ap_No,485)&amp;"","")</f>
        <v/>
      </c>
      <c r="E2991" s="94">
        <f>IF(H2991=1,INDEX(ap_Date,485),"")</f>
        <v/>
      </c>
      <c r="F2991" s="58">
        <f>IF(H2991=1,INDEX(ap_Desc,485)&amp;"","")</f>
        <v/>
      </c>
      <c r="G2991" s="58">
        <f>IF(H2991=1,INDEX(ap_Party,485)&amp;"","")</f>
        <v/>
      </c>
      <c r="H2991" s="101">
        <f>IFERROR(N(INDEX(ap_Posted,485)),0)</f>
        <v/>
      </c>
      <c r="I2991" s="58">
        <f>IF(H2991=1,INDEX(ap_DrAcct,485)&amp;"","")</f>
        <v/>
      </c>
      <c r="J2991" s="95">
        <f>IF(H2991=1,INDEX(ap_DrAmt,485),0)</f>
        <v/>
      </c>
      <c r="K2991" s="58">
        <f>IF(H2991=1,INDEX(ap_CrAcct,485)&amp;"","")</f>
        <v/>
      </c>
      <c r="L2991" s="95">
        <f>IF(H2991=1,INDEX(ap_CrAmt,485),0)</f>
        <v/>
      </c>
      <c r="M2991" s="95">
        <f>IF(H2991=1,INDEX(ap_TaxAmt,485),0)</f>
        <v/>
      </c>
      <c r="N2991" s="95" t="n">
        <v>0</v>
      </c>
      <c r="O2991" s="101">
        <f>IF(H2991=1,IF(E2991&lt;FYStart,0,IF(E2991&gt;FYEnd,13,YEAR(E2991)*12+MONTH(E2991)-FYYM+1)),"")</f>
        <v/>
      </c>
      <c r="P2991" s="101">
        <f>IF(H2991=1,IF(IFERROR(INDEX(coa_CF,MATCH(I2991,coa_Name,0)),"")="Cash",1,0),0)</f>
        <v/>
      </c>
      <c r="Q2991" s="101">
        <f>IF(H2991=1,IF(IFERROR(INDEX(coa_CF,MATCH(K2991,coa_Name,0)),"")="Cash",1,0),0)</f>
        <v/>
      </c>
      <c r="R2991" s="58">
        <f>IF((P2991-Q2991)=0,"",IFERROR(INDEX(coa_CF,MATCH(IF((P2991-Q2991)=1,K2991,I2991),coa_Name,0)),"Operating"))</f>
        <v/>
      </c>
      <c r="S2991" s="95">
        <f>IF((P2991-Q2991)=1,L2991,IF((P2991-Q2991)=-1,-J2991,0))</f>
        <v/>
      </c>
      <c r="T2991" s="95">
        <f>IF((P2991-Q2991)=1,N2991,IF((P2991-Q2991)=-1,-M2991,0))</f>
        <v/>
      </c>
      <c r="U2991" s="101">
        <f>IF(AND(H2991=1,LedAcct&lt;&gt;""),IF(AND(E2991&gt;=LedFrom,E2991&lt;=LedTo,OR(I2991=LedAcct,K2991=LedAcct,AND(LedAcct=acctTax,M2991+N2991&lt;&gt;0))),E2991*10000+B2991,""),"")</f>
        <v/>
      </c>
    </row>
    <row r="2992">
      <c r="B2992" s="101" t="n">
        <v>2986</v>
      </c>
      <c r="C2992" s="58" t="inlineStr">
        <is>
          <t>Bill</t>
        </is>
      </c>
      <c r="D2992" s="58">
        <f>IF(H2992=1,INDEX(ap_No,486)&amp;"","")</f>
        <v/>
      </c>
      <c r="E2992" s="94">
        <f>IF(H2992=1,INDEX(ap_Date,486),"")</f>
        <v/>
      </c>
      <c r="F2992" s="58">
        <f>IF(H2992=1,INDEX(ap_Desc,486)&amp;"","")</f>
        <v/>
      </c>
      <c r="G2992" s="58">
        <f>IF(H2992=1,INDEX(ap_Party,486)&amp;"","")</f>
        <v/>
      </c>
      <c r="H2992" s="101">
        <f>IFERROR(N(INDEX(ap_Posted,486)),0)</f>
        <v/>
      </c>
      <c r="I2992" s="58">
        <f>IF(H2992=1,INDEX(ap_DrAcct,486)&amp;"","")</f>
        <v/>
      </c>
      <c r="J2992" s="95">
        <f>IF(H2992=1,INDEX(ap_DrAmt,486),0)</f>
        <v/>
      </c>
      <c r="K2992" s="58">
        <f>IF(H2992=1,INDEX(ap_CrAcct,486)&amp;"","")</f>
        <v/>
      </c>
      <c r="L2992" s="95">
        <f>IF(H2992=1,INDEX(ap_CrAmt,486),0)</f>
        <v/>
      </c>
      <c r="M2992" s="95">
        <f>IF(H2992=1,INDEX(ap_TaxAmt,486),0)</f>
        <v/>
      </c>
      <c r="N2992" s="95" t="n">
        <v>0</v>
      </c>
      <c r="O2992" s="101">
        <f>IF(H2992=1,IF(E2992&lt;FYStart,0,IF(E2992&gt;FYEnd,13,YEAR(E2992)*12+MONTH(E2992)-FYYM+1)),"")</f>
        <v/>
      </c>
      <c r="P2992" s="101">
        <f>IF(H2992=1,IF(IFERROR(INDEX(coa_CF,MATCH(I2992,coa_Name,0)),"")="Cash",1,0),0)</f>
        <v/>
      </c>
      <c r="Q2992" s="101">
        <f>IF(H2992=1,IF(IFERROR(INDEX(coa_CF,MATCH(K2992,coa_Name,0)),"")="Cash",1,0),0)</f>
        <v/>
      </c>
      <c r="R2992" s="58">
        <f>IF((P2992-Q2992)=0,"",IFERROR(INDEX(coa_CF,MATCH(IF((P2992-Q2992)=1,K2992,I2992),coa_Name,0)),"Operating"))</f>
        <v/>
      </c>
      <c r="S2992" s="95">
        <f>IF((P2992-Q2992)=1,L2992,IF((P2992-Q2992)=-1,-J2992,0))</f>
        <v/>
      </c>
      <c r="T2992" s="95">
        <f>IF((P2992-Q2992)=1,N2992,IF((P2992-Q2992)=-1,-M2992,0))</f>
        <v/>
      </c>
      <c r="U2992" s="101">
        <f>IF(AND(H2992=1,LedAcct&lt;&gt;""),IF(AND(E2992&gt;=LedFrom,E2992&lt;=LedTo,OR(I2992=LedAcct,K2992=LedAcct,AND(LedAcct=acctTax,M2992+N2992&lt;&gt;0))),E2992*10000+B2992,""),"")</f>
        <v/>
      </c>
    </row>
    <row r="2993">
      <c r="B2993" s="101" t="n">
        <v>2987</v>
      </c>
      <c r="C2993" s="58" t="inlineStr">
        <is>
          <t>Bill</t>
        </is>
      </c>
      <c r="D2993" s="58">
        <f>IF(H2993=1,INDEX(ap_No,487)&amp;"","")</f>
        <v/>
      </c>
      <c r="E2993" s="94">
        <f>IF(H2993=1,INDEX(ap_Date,487),"")</f>
        <v/>
      </c>
      <c r="F2993" s="58">
        <f>IF(H2993=1,INDEX(ap_Desc,487)&amp;"","")</f>
        <v/>
      </c>
      <c r="G2993" s="58">
        <f>IF(H2993=1,INDEX(ap_Party,487)&amp;"","")</f>
        <v/>
      </c>
      <c r="H2993" s="101">
        <f>IFERROR(N(INDEX(ap_Posted,487)),0)</f>
        <v/>
      </c>
      <c r="I2993" s="58">
        <f>IF(H2993=1,INDEX(ap_DrAcct,487)&amp;"","")</f>
        <v/>
      </c>
      <c r="J2993" s="95">
        <f>IF(H2993=1,INDEX(ap_DrAmt,487),0)</f>
        <v/>
      </c>
      <c r="K2993" s="58">
        <f>IF(H2993=1,INDEX(ap_CrAcct,487)&amp;"","")</f>
        <v/>
      </c>
      <c r="L2993" s="95">
        <f>IF(H2993=1,INDEX(ap_CrAmt,487),0)</f>
        <v/>
      </c>
      <c r="M2993" s="95">
        <f>IF(H2993=1,INDEX(ap_TaxAmt,487),0)</f>
        <v/>
      </c>
      <c r="N2993" s="95" t="n">
        <v>0</v>
      </c>
      <c r="O2993" s="101">
        <f>IF(H2993=1,IF(E2993&lt;FYStart,0,IF(E2993&gt;FYEnd,13,YEAR(E2993)*12+MONTH(E2993)-FYYM+1)),"")</f>
        <v/>
      </c>
      <c r="P2993" s="101">
        <f>IF(H2993=1,IF(IFERROR(INDEX(coa_CF,MATCH(I2993,coa_Name,0)),"")="Cash",1,0),0)</f>
        <v/>
      </c>
      <c r="Q2993" s="101">
        <f>IF(H2993=1,IF(IFERROR(INDEX(coa_CF,MATCH(K2993,coa_Name,0)),"")="Cash",1,0),0)</f>
        <v/>
      </c>
      <c r="R2993" s="58">
        <f>IF((P2993-Q2993)=0,"",IFERROR(INDEX(coa_CF,MATCH(IF((P2993-Q2993)=1,K2993,I2993),coa_Name,0)),"Operating"))</f>
        <v/>
      </c>
      <c r="S2993" s="95">
        <f>IF((P2993-Q2993)=1,L2993,IF((P2993-Q2993)=-1,-J2993,0))</f>
        <v/>
      </c>
      <c r="T2993" s="95">
        <f>IF((P2993-Q2993)=1,N2993,IF((P2993-Q2993)=-1,-M2993,0))</f>
        <v/>
      </c>
      <c r="U2993" s="101">
        <f>IF(AND(H2993=1,LedAcct&lt;&gt;""),IF(AND(E2993&gt;=LedFrom,E2993&lt;=LedTo,OR(I2993=LedAcct,K2993=LedAcct,AND(LedAcct=acctTax,M2993+N2993&lt;&gt;0))),E2993*10000+B2993,""),"")</f>
        <v/>
      </c>
    </row>
    <row r="2994">
      <c r="B2994" s="101" t="n">
        <v>2988</v>
      </c>
      <c r="C2994" s="58" t="inlineStr">
        <is>
          <t>Bill</t>
        </is>
      </c>
      <c r="D2994" s="58">
        <f>IF(H2994=1,INDEX(ap_No,488)&amp;"","")</f>
        <v/>
      </c>
      <c r="E2994" s="94">
        <f>IF(H2994=1,INDEX(ap_Date,488),"")</f>
        <v/>
      </c>
      <c r="F2994" s="58">
        <f>IF(H2994=1,INDEX(ap_Desc,488)&amp;"","")</f>
        <v/>
      </c>
      <c r="G2994" s="58">
        <f>IF(H2994=1,INDEX(ap_Party,488)&amp;"","")</f>
        <v/>
      </c>
      <c r="H2994" s="101">
        <f>IFERROR(N(INDEX(ap_Posted,488)),0)</f>
        <v/>
      </c>
      <c r="I2994" s="58">
        <f>IF(H2994=1,INDEX(ap_DrAcct,488)&amp;"","")</f>
        <v/>
      </c>
      <c r="J2994" s="95">
        <f>IF(H2994=1,INDEX(ap_DrAmt,488),0)</f>
        <v/>
      </c>
      <c r="K2994" s="58">
        <f>IF(H2994=1,INDEX(ap_CrAcct,488)&amp;"","")</f>
        <v/>
      </c>
      <c r="L2994" s="95">
        <f>IF(H2994=1,INDEX(ap_CrAmt,488),0)</f>
        <v/>
      </c>
      <c r="M2994" s="95">
        <f>IF(H2994=1,INDEX(ap_TaxAmt,488),0)</f>
        <v/>
      </c>
      <c r="N2994" s="95" t="n">
        <v>0</v>
      </c>
      <c r="O2994" s="101">
        <f>IF(H2994=1,IF(E2994&lt;FYStart,0,IF(E2994&gt;FYEnd,13,YEAR(E2994)*12+MONTH(E2994)-FYYM+1)),"")</f>
        <v/>
      </c>
      <c r="P2994" s="101">
        <f>IF(H2994=1,IF(IFERROR(INDEX(coa_CF,MATCH(I2994,coa_Name,0)),"")="Cash",1,0),0)</f>
        <v/>
      </c>
      <c r="Q2994" s="101">
        <f>IF(H2994=1,IF(IFERROR(INDEX(coa_CF,MATCH(K2994,coa_Name,0)),"")="Cash",1,0),0)</f>
        <v/>
      </c>
      <c r="R2994" s="58">
        <f>IF((P2994-Q2994)=0,"",IFERROR(INDEX(coa_CF,MATCH(IF((P2994-Q2994)=1,K2994,I2994),coa_Name,0)),"Operating"))</f>
        <v/>
      </c>
      <c r="S2994" s="95">
        <f>IF((P2994-Q2994)=1,L2994,IF((P2994-Q2994)=-1,-J2994,0))</f>
        <v/>
      </c>
      <c r="T2994" s="95">
        <f>IF((P2994-Q2994)=1,N2994,IF((P2994-Q2994)=-1,-M2994,0))</f>
        <v/>
      </c>
      <c r="U2994" s="101">
        <f>IF(AND(H2994=1,LedAcct&lt;&gt;""),IF(AND(E2994&gt;=LedFrom,E2994&lt;=LedTo,OR(I2994=LedAcct,K2994=LedAcct,AND(LedAcct=acctTax,M2994+N2994&lt;&gt;0))),E2994*10000+B2994,""),"")</f>
        <v/>
      </c>
    </row>
    <row r="2995">
      <c r="B2995" s="101" t="n">
        <v>2989</v>
      </c>
      <c r="C2995" s="58" t="inlineStr">
        <is>
          <t>Bill</t>
        </is>
      </c>
      <c r="D2995" s="58">
        <f>IF(H2995=1,INDEX(ap_No,489)&amp;"","")</f>
        <v/>
      </c>
      <c r="E2995" s="94">
        <f>IF(H2995=1,INDEX(ap_Date,489),"")</f>
        <v/>
      </c>
      <c r="F2995" s="58">
        <f>IF(H2995=1,INDEX(ap_Desc,489)&amp;"","")</f>
        <v/>
      </c>
      <c r="G2995" s="58">
        <f>IF(H2995=1,INDEX(ap_Party,489)&amp;"","")</f>
        <v/>
      </c>
      <c r="H2995" s="101">
        <f>IFERROR(N(INDEX(ap_Posted,489)),0)</f>
        <v/>
      </c>
      <c r="I2995" s="58">
        <f>IF(H2995=1,INDEX(ap_DrAcct,489)&amp;"","")</f>
        <v/>
      </c>
      <c r="J2995" s="95">
        <f>IF(H2995=1,INDEX(ap_DrAmt,489),0)</f>
        <v/>
      </c>
      <c r="K2995" s="58">
        <f>IF(H2995=1,INDEX(ap_CrAcct,489)&amp;"","")</f>
        <v/>
      </c>
      <c r="L2995" s="95">
        <f>IF(H2995=1,INDEX(ap_CrAmt,489),0)</f>
        <v/>
      </c>
      <c r="M2995" s="95">
        <f>IF(H2995=1,INDEX(ap_TaxAmt,489),0)</f>
        <v/>
      </c>
      <c r="N2995" s="95" t="n">
        <v>0</v>
      </c>
      <c r="O2995" s="101">
        <f>IF(H2995=1,IF(E2995&lt;FYStart,0,IF(E2995&gt;FYEnd,13,YEAR(E2995)*12+MONTH(E2995)-FYYM+1)),"")</f>
        <v/>
      </c>
      <c r="P2995" s="101">
        <f>IF(H2995=1,IF(IFERROR(INDEX(coa_CF,MATCH(I2995,coa_Name,0)),"")="Cash",1,0),0)</f>
        <v/>
      </c>
      <c r="Q2995" s="101">
        <f>IF(H2995=1,IF(IFERROR(INDEX(coa_CF,MATCH(K2995,coa_Name,0)),"")="Cash",1,0),0)</f>
        <v/>
      </c>
      <c r="R2995" s="58">
        <f>IF((P2995-Q2995)=0,"",IFERROR(INDEX(coa_CF,MATCH(IF((P2995-Q2995)=1,K2995,I2995),coa_Name,0)),"Operating"))</f>
        <v/>
      </c>
      <c r="S2995" s="95">
        <f>IF((P2995-Q2995)=1,L2995,IF((P2995-Q2995)=-1,-J2995,0))</f>
        <v/>
      </c>
      <c r="T2995" s="95">
        <f>IF((P2995-Q2995)=1,N2995,IF((P2995-Q2995)=-1,-M2995,0))</f>
        <v/>
      </c>
      <c r="U2995" s="101">
        <f>IF(AND(H2995=1,LedAcct&lt;&gt;""),IF(AND(E2995&gt;=LedFrom,E2995&lt;=LedTo,OR(I2995=LedAcct,K2995=LedAcct,AND(LedAcct=acctTax,M2995+N2995&lt;&gt;0))),E2995*10000+B2995,""),"")</f>
        <v/>
      </c>
    </row>
    <row r="2996">
      <c r="B2996" s="101" t="n">
        <v>2990</v>
      </c>
      <c r="C2996" s="58" t="inlineStr">
        <is>
          <t>Bill</t>
        </is>
      </c>
      <c r="D2996" s="58">
        <f>IF(H2996=1,INDEX(ap_No,490)&amp;"","")</f>
        <v/>
      </c>
      <c r="E2996" s="94">
        <f>IF(H2996=1,INDEX(ap_Date,490),"")</f>
        <v/>
      </c>
      <c r="F2996" s="58">
        <f>IF(H2996=1,INDEX(ap_Desc,490)&amp;"","")</f>
        <v/>
      </c>
      <c r="G2996" s="58">
        <f>IF(H2996=1,INDEX(ap_Party,490)&amp;"","")</f>
        <v/>
      </c>
      <c r="H2996" s="101">
        <f>IFERROR(N(INDEX(ap_Posted,490)),0)</f>
        <v/>
      </c>
      <c r="I2996" s="58">
        <f>IF(H2996=1,INDEX(ap_DrAcct,490)&amp;"","")</f>
        <v/>
      </c>
      <c r="J2996" s="95">
        <f>IF(H2996=1,INDEX(ap_DrAmt,490),0)</f>
        <v/>
      </c>
      <c r="K2996" s="58">
        <f>IF(H2996=1,INDEX(ap_CrAcct,490)&amp;"","")</f>
        <v/>
      </c>
      <c r="L2996" s="95">
        <f>IF(H2996=1,INDEX(ap_CrAmt,490),0)</f>
        <v/>
      </c>
      <c r="M2996" s="95">
        <f>IF(H2996=1,INDEX(ap_TaxAmt,490),0)</f>
        <v/>
      </c>
      <c r="N2996" s="95" t="n">
        <v>0</v>
      </c>
      <c r="O2996" s="101">
        <f>IF(H2996=1,IF(E2996&lt;FYStart,0,IF(E2996&gt;FYEnd,13,YEAR(E2996)*12+MONTH(E2996)-FYYM+1)),"")</f>
        <v/>
      </c>
      <c r="P2996" s="101">
        <f>IF(H2996=1,IF(IFERROR(INDEX(coa_CF,MATCH(I2996,coa_Name,0)),"")="Cash",1,0),0)</f>
        <v/>
      </c>
      <c r="Q2996" s="101">
        <f>IF(H2996=1,IF(IFERROR(INDEX(coa_CF,MATCH(K2996,coa_Name,0)),"")="Cash",1,0),0)</f>
        <v/>
      </c>
      <c r="R2996" s="58">
        <f>IF((P2996-Q2996)=0,"",IFERROR(INDEX(coa_CF,MATCH(IF((P2996-Q2996)=1,K2996,I2996),coa_Name,0)),"Operating"))</f>
        <v/>
      </c>
      <c r="S2996" s="95">
        <f>IF((P2996-Q2996)=1,L2996,IF((P2996-Q2996)=-1,-J2996,0))</f>
        <v/>
      </c>
      <c r="T2996" s="95">
        <f>IF((P2996-Q2996)=1,N2996,IF((P2996-Q2996)=-1,-M2996,0))</f>
        <v/>
      </c>
      <c r="U2996" s="101">
        <f>IF(AND(H2996=1,LedAcct&lt;&gt;""),IF(AND(E2996&gt;=LedFrom,E2996&lt;=LedTo,OR(I2996=LedAcct,K2996=LedAcct,AND(LedAcct=acctTax,M2996+N2996&lt;&gt;0))),E2996*10000+B2996,""),"")</f>
        <v/>
      </c>
    </row>
    <row r="2997">
      <c r="B2997" s="101" t="n">
        <v>2991</v>
      </c>
      <c r="C2997" s="58" t="inlineStr">
        <is>
          <t>Bill</t>
        </is>
      </c>
      <c r="D2997" s="58">
        <f>IF(H2997=1,INDEX(ap_No,491)&amp;"","")</f>
        <v/>
      </c>
      <c r="E2997" s="94">
        <f>IF(H2997=1,INDEX(ap_Date,491),"")</f>
        <v/>
      </c>
      <c r="F2997" s="58">
        <f>IF(H2997=1,INDEX(ap_Desc,491)&amp;"","")</f>
        <v/>
      </c>
      <c r="G2997" s="58">
        <f>IF(H2997=1,INDEX(ap_Party,491)&amp;"","")</f>
        <v/>
      </c>
      <c r="H2997" s="101">
        <f>IFERROR(N(INDEX(ap_Posted,491)),0)</f>
        <v/>
      </c>
      <c r="I2997" s="58">
        <f>IF(H2997=1,INDEX(ap_DrAcct,491)&amp;"","")</f>
        <v/>
      </c>
      <c r="J2997" s="95">
        <f>IF(H2997=1,INDEX(ap_DrAmt,491),0)</f>
        <v/>
      </c>
      <c r="K2997" s="58">
        <f>IF(H2997=1,INDEX(ap_CrAcct,491)&amp;"","")</f>
        <v/>
      </c>
      <c r="L2997" s="95">
        <f>IF(H2997=1,INDEX(ap_CrAmt,491),0)</f>
        <v/>
      </c>
      <c r="M2997" s="95">
        <f>IF(H2997=1,INDEX(ap_TaxAmt,491),0)</f>
        <v/>
      </c>
      <c r="N2997" s="95" t="n">
        <v>0</v>
      </c>
      <c r="O2997" s="101">
        <f>IF(H2997=1,IF(E2997&lt;FYStart,0,IF(E2997&gt;FYEnd,13,YEAR(E2997)*12+MONTH(E2997)-FYYM+1)),"")</f>
        <v/>
      </c>
      <c r="P2997" s="101">
        <f>IF(H2997=1,IF(IFERROR(INDEX(coa_CF,MATCH(I2997,coa_Name,0)),"")="Cash",1,0),0)</f>
        <v/>
      </c>
      <c r="Q2997" s="101">
        <f>IF(H2997=1,IF(IFERROR(INDEX(coa_CF,MATCH(K2997,coa_Name,0)),"")="Cash",1,0),0)</f>
        <v/>
      </c>
      <c r="R2997" s="58">
        <f>IF((P2997-Q2997)=0,"",IFERROR(INDEX(coa_CF,MATCH(IF((P2997-Q2997)=1,K2997,I2997),coa_Name,0)),"Operating"))</f>
        <v/>
      </c>
      <c r="S2997" s="95">
        <f>IF((P2997-Q2997)=1,L2997,IF((P2997-Q2997)=-1,-J2997,0))</f>
        <v/>
      </c>
      <c r="T2997" s="95">
        <f>IF((P2997-Q2997)=1,N2997,IF((P2997-Q2997)=-1,-M2997,0))</f>
        <v/>
      </c>
      <c r="U2997" s="101">
        <f>IF(AND(H2997=1,LedAcct&lt;&gt;""),IF(AND(E2997&gt;=LedFrom,E2997&lt;=LedTo,OR(I2997=LedAcct,K2997=LedAcct,AND(LedAcct=acctTax,M2997+N2997&lt;&gt;0))),E2997*10000+B2997,""),"")</f>
        <v/>
      </c>
    </row>
    <row r="2998">
      <c r="B2998" s="101" t="n">
        <v>2992</v>
      </c>
      <c r="C2998" s="58" t="inlineStr">
        <is>
          <t>Bill</t>
        </is>
      </c>
      <c r="D2998" s="58">
        <f>IF(H2998=1,INDEX(ap_No,492)&amp;"","")</f>
        <v/>
      </c>
      <c r="E2998" s="94">
        <f>IF(H2998=1,INDEX(ap_Date,492),"")</f>
        <v/>
      </c>
      <c r="F2998" s="58">
        <f>IF(H2998=1,INDEX(ap_Desc,492)&amp;"","")</f>
        <v/>
      </c>
      <c r="G2998" s="58">
        <f>IF(H2998=1,INDEX(ap_Party,492)&amp;"","")</f>
        <v/>
      </c>
      <c r="H2998" s="101">
        <f>IFERROR(N(INDEX(ap_Posted,492)),0)</f>
        <v/>
      </c>
      <c r="I2998" s="58">
        <f>IF(H2998=1,INDEX(ap_DrAcct,492)&amp;"","")</f>
        <v/>
      </c>
      <c r="J2998" s="95">
        <f>IF(H2998=1,INDEX(ap_DrAmt,492),0)</f>
        <v/>
      </c>
      <c r="K2998" s="58">
        <f>IF(H2998=1,INDEX(ap_CrAcct,492)&amp;"","")</f>
        <v/>
      </c>
      <c r="L2998" s="95">
        <f>IF(H2998=1,INDEX(ap_CrAmt,492),0)</f>
        <v/>
      </c>
      <c r="M2998" s="95">
        <f>IF(H2998=1,INDEX(ap_TaxAmt,492),0)</f>
        <v/>
      </c>
      <c r="N2998" s="95" t="n">
        <v>0</v>
      </c>
      <c r="O2998" s="101">
        <f>IF(H2998=1,IF(E2998&lt;FYStart,0,IF(E2998&gt;FYEnd,13,YEAR(E2998)*12+MONTH(E2998)-FYYM+1)),"")</f>
        <v/>
      </c>
      <c r="P2998" s="101">
        <f>IF(H2998=1,IF(IFERROR(INDEX(coa_CF,MATCH(I2998,coa_Name,0)),"")="Cash",1,0),0)</f>
        <v/>
      </c>
      <c r="Q2998" s="101">
        <f>IF(H2998=1,IF(IFERROR(INDEX(coa_CF,MATCH(K2998,coa_Name,0)),"")="Cash",1,0),0)</f>
        <v/>
      </c>
      <c r="R2998" s="58">
        <f>IF((P2998-Q2998)=0,"",IFERROR(INDEX(coa_CF,MATCH(IF((P2998-Q2998)=1,K2998,I2998),coa_Name,0)),"Operating"))</f>
        <v/>
      </c>
      <c r="S2998" s="95">
        <f>IF((P2998-Q2998)=1,L2998,IF((P2998-Q2998)=-1,-J2998,0))</f>
        <v/>
      </c>
      <c r="T2998" s="95">
        <f>IF((P2998-Q2998)=1,N2998,IF((P2998-Q2998)=-1,-M2998,0))</f>
        <v/>
      </c>
      <c r="U2998" s="101">
        <f>IF(AND(H2998=1,LedAcct&lt;&gt;""),IF(AND(E2998&gt;=LedFrom,E2998&lt;=LedTo,OR(I2998=LedAcct,K2998=LedAcct,AND(LedAcct=acctTax,M2998+N2998&lt;&gt;0))),E2998*10000+B2998,""),"")</f>
        <v/>
      </c>
    </row>
    <row r="2999">
      <c r="B2999" s="101" t="n">
        <v>2993</v>
      </c>
      <c r="C2999" s="58" t="inlineStr">
        <is>
          <t>Bill</t>
        </is>
      </c>
      <c r="D2999" s="58">
        <f>IF(H2999=1,INDEX(ap_No,493)&amp;"","")</f>
        <v/>
      </c>
      <c r="E2999" s="94">
        <f>IF(H2999=1,INDEX(ap_Date,493),"")</f>
        <v/>
      </c>
      <c r="F2999" s="58">
        <f>IF(H2999=1,INDEX(ap_Desc,493)&amp;"","")</f>
        <v/>
      </c>
      <c r="G2999" s="58">
        <f>IF(H2999=1,INDEX(ap_Party,493)&amp;"","")</f>
        <v/>
      </c>
      <c r="H2999" s="101">
        <f>IFERROR(N(INDEX(ap_Posted,493)),0)</f>
        <v/>
      </c>
      <c r="I2999" s="58">
        <f>IF(H2999=1,INDEX(ap_DrAcct,493)&amp;"","")</f>
        <v/>
      </c>
      <c r="J2999" s="95">
        <f>IF(H2999=1,INDEX(ap_DrAmt,493),0)</f>
        <v/>
      </c>
      <c r="K2999" s="58">
        <f>IF(H2999=1,INDEX(ap_CrAcct,493)&amp;"","")</f>
        <v/>
      </c>
      <c r="L2999" s="95">
        <f>IF(H2999=1,INDEX(ap_CrAmt,493),0)</f>
        <v/>
      </c>
      <c r="M2999" s="95">
        <f>IF(H2999=1,INDEX(ap_TaxAmt,493),0)</f>
        <v/>
      </c>
      <c r="N2999" s="95" t="n">
        <v>0</v>
      </c>
      <c r="O2999" s="101">
        <f>IF(H2999=1,IF(E2999&lt;FYStart,0,IF(E2999&gt;FYEnd,13,YEAR(E2999)*12+MONTH(E2999)-FYYM+1)),"")</f>
        <v/>
      </c>
      <c r="P2999" s="101">
        <f>IF(H2999=1,IF(IFERROR(INDEX(coa_CF,MATCH(I2999,coa_Name,0)),"")="Cash",1,0),0)</f>
        <v/>
      </c>
      <c r="Q2999" s="101">
        <f>IF(H2999=1,IF(IFERROR(INDEX(coa_CF,MATCH(K2999,coa_Name,0)),"")="Cash",1,0),0)</f>
        <v/>
      </c>
      <c r="R2999" s="58">
        <f>IF((P2999-Q2999)=0,"",IFERROR(INDEX(coa_CF,MATCH(IF((P2999-Q2999)=1,K2999,I2999),coa_Name,0)),"Operating"))</f>
        <v/>
      </c>
      <c r="S2999" s="95">
        <f>IF((P2999-Q2999)=1,L2999,IF((P2999-Q2999)=-1,-J2999,0))</f>
        <v/>
      </c>
      <c r="T2999" s="95">
        <f>IF((P2999-Q2999)=1,N2999,IF((P2999-Q2999)=-1,-M2999,0))</f>
        <v/>
      </c>
      <c r="U2999" s="101">
        <f>IF(AND(H2999=1,LedAcct&lt;&gt;""),IF(AND(E2999&gt;=LedFrom,E2999&lt;=LedTo,OR(I2999=LedAcct,K2999=LedAcct,AND(LedAcct=acctTax,M2999+N2999&lt;&gt;0))),E2999*10000+B2999,""),"")</f>
        <v/>
      </c>
    </row>
    <row r="3000">
      <c r="B3000" s="101" t="n">
        <v>2994</v>
      </c>
      <c r="C3000" s="58" t="inlineStr">
        <is>
          <t>Bill</t>
        </is>
      </c>
      <c r="D3000" s="58">
        <f>IF(H3000=1,INDEX(ap_No,494)&amp;"","")</f>
        <v/>
      </c>
      <c r="E3000" s="94">
        <f>IF(H3000=1,INDEX(ap_Date,494),"")</f>
        <v/>
      </c>
      <c r="F3000" s="58">
        <f>IF(H3000=1,INDEX(ap_Desc,494)&amp;"","")</f>
        <v/>
      </c>
      <c r="G3000" s="58">
        <f>IF(H3000=1,INDEX(ap_Party,494)&amp;"","")</f>
        <v/>
      </c>
      <c r="H3000" s="101">
        <f>IFERROR(N(INDEX(ap_Posted,494)),0)</f>
        <v/>
      </c>
      <c r="I3000" s="58">
        <f>IF(H3000=1,INDEX(ap_DrAcct,494)&amp;"","")</f>
        <v/>
      </c>
      <c r="J3000" s="95">
        <f>IF(H3000=1,INDEX(ap_DrAmt,494),0)</f>
        <v/>
      </c>
      <c r="K3000" s="58">
        <f>IF(H3000=1,INDEX(ap_CrAcct,494)&amp;"","")</f>
        <v/>
      </c>
      <c r="L3000" s="95">
        <f>IF(H3000=1,INDEX(ap_CrAmt,494),0)</f>
        <v/>
      </c>
      <c r="M3000" s="95">
        <f>IF(H3000=1,INDEX(ap_TaxAmt,494),0)</f>
        <v/>
      </c>
      <c r="N3000" s="95" t="n">
        <v>0</v>
      </c>
      <c r="O3000" s="101">
        <f>IF(H3000=1,IF(E3000&lt;FYStart,0,IF(E3000&gt;FYEnd,13,YEAR(E3000)*12+MONTH(E3000)-FYYM+1)),"")</f>
        <v/>
      </c>
      <c r="P3000" s="101">
        <f>IF(H3000=1,IF(IFERROR(INDEX(coa_CF,MATCH(I3000,coa_Name,0)),"")="Cash",1,0),0)</f>
        <v/>
      </c>
      <c r="Q3000" s="101">
        <f>IF(H3000=1,IF(IFERROR(INDEX(coa_CF,MATCH(K3000,coa_Name,0)),"")="Cash",1,0),0)</f>
        <v/>
      </c>
      <c r="R3000" s="58">
        <f>IF((P3000-Q3000)=0,"",IFERROR(INDEX(coa_CF,MATCH(IF((P3000-Q3000)=1,K3000,I3000),coa_Name,0)),"Operating"))</f>
        <v/>
      </c>
      <c r="S3000" s="95">
        <f>IF((P3000-Q3000)=1,L3000,IF((P3000-Q3000)=-1,-J3000,0))</f>
        <v/>
      </c>
      <c r="T3000" s="95">
        <f>IF((P3000-Q3000)=1,N3000,IF((P3000-Q3000)=-1,-M3000,0))</f>
        <v/>
      </c>
      <c r="U3000" s="101">
        <f>IF(AND(H3000=1,LedAcct&lt;&gt;""),IF(AND(E3000&gt;=LedFrom,E3000&lt;=LedTo,OR(I3000=LedAcct,K3000=LedAcct,AND(LedAcct=acctTax,M3000+N3000&lt;&gt;0))),E3000*10000+B3000,""),"")</f>
        <v/>
      </c>
    </row>
    <row r="3001">
      <c r="B3001" s="101" t="n">
        <v>2995</v>
      </c>
      <c r="C3001" s="58" t="inlineStr">
        <is>
          <t>Bill</t>
        </is>
      </c>
      <c r="D3001" s="58">
        <f>IF(H3001=1,INDEX(ap_No,495)&amp;"","")</f>
        <v/>
      </c>
      <c r="E3001" s="94">
        <f>IF(H3001=1,INDEX(ap_Date,495),"")</f>
        <v/>
      </c>
      <c r="F3001" s="58">
        <f>IF(H3001=1,INDEX(ap_Desc,495)&amp;"","")</f>
        <v/>
      </c>
      <c r="G3001" s="58">
        <f>IF(H3001=1,INDEX(ap_Party,495)&amp;"","")</f>
        <v/>
      </c>
      <c r="H3001" s="101">
        <f>IFERROR(N(INDEX(ap_Posted,495)),0)</f>
        <v/>
      </c>
      <c r="I3001" s="58">
        <f>IF(H3001=1,INDEX(ap_DrAcct,495)&amp;"","")</f>
        <v/>
      </c>
      <c r="J3001" s="95">
        <f>IF(H3001=1,INDEX(ap_DrAmt,495),0)</f>
        <v/>
      </c>
      <c r="K3001" s="58">
        <f>IF(H3001=1,INDEX(ap_CrAcct,495)&amp;"","")</f>
        <v/>
      </c>
      <c r="L3001" s="95">
        <f>IF(H3001=1,INDEX(ap_CrAmt,495),0)</f>
        <v/>
      </c>
      <c r="M3001" s="95">
        <f>IF(H3001=1,INDEX(ap_TaxAmt,495),0)</f>
        <v/>
      </c>
      <c r="N3001" s="95" t="n">
        <v>0</v>
      </c>
      <c r="O3001" s="101">
        <f>IF(H3001=1,IF(E3001&lt;FYStart,0,IF(E3001&gt;FYEnd,13,YEAR(E3001)*12+MONTH(E3001)-FYYM+1)),"")</f>
        <v/>
      </c>
      <c r="P3001" s="101">
        <f>IF(H3001=1,IF(IFERROR(INDEX(coa_CF,MATCH(I3001,coa_Name,0)),"")="Cash",1,0),0)</f>
        <v/>
      </c>
      <c r="Q3001" s="101">
        <f>IF(H3001=1,IF(IFERROR(INDEX(coa_CF,MATCH(K3001,coa_Name,0)),"")="Cash",1,0),0)</f>
        <v/>
      </c>
      <c r="R3001" s="58">
        <f>IF((P3001-Q3001)=0,"",IFERROR(INDEX(coa_CF,MATCH(IF((P3001-Q3001)=1,K3001,I3001),coa_Name,0)),"Operating"))</f>
        <v/>
      </c>
      <c r="S3001" s="95">
        <f>IF((P3001-Q3001)=1,L3001,IF((P3001-Q3001)=-1,-J3001,0))</f>
        <v/>
      </c>
      <c r="T3001" s="95">
        <f>IF((P3001-Q3001)=1,N3001,IF((P3001-Q3001)=-1,-M3001,0))</f>
        <v/>
      </c>
      <c r="U3001" s="101">
        <f>IF(AND(H3001=1,LedAcct&lt;&gt;""),IF(AND(E3001&gt;=LedFrom,E3001&lt;=LedTo,OR(I3001=LedAcct,K3001=LedAcct,AND(LedAcct=acctTax,M3001+N3001&lt;&gt;0))),E3001*10000+B3001,""),"")</f>
        <v/>
      </c>
    </row>
    <row r="3002">
      <c r="B3002" s="101" t="n">
        <v>2996</v>
      </c>
      <c r="C3002" s="58" t="inlineStr">
        <is>
          <t>Bill</t>
        </is>
      </c>
      <c r="D3002" s="58">
        <f>IF(H3002=1,INDEX(ap_No,496)&amp;"","")</f>
        <v/>
      </c>
      <c r="E3002" s="94">
        <f>IF(H3002=1,INDEX(ap_Date,496),"")</f>
        <v/>
      </c>
      <c r="F3002" s="58">
        <f>IF(H3002=1,INDEX(ap_Desc,496)&amp;"","")</f>
        <v/>
      </c>
      <c r="G3002" s="58">
        <f>IF(H3002=1,INDEX(ap_Party,496)&amp;"","")</f>
        <v/>
      </c>
      <c r="H3002" s="101">
        <f>IFERROR(N(INDEX(ap_Posted,496)),0)</f>
        <v/>
      </c>
      <c r="I3002" s="58">
        <f>IF(H3002=1,INDEX(ap_DrAcct,496)&amp;"","")</f>
        <v/>
      </c>
      <c r="J3002" s="95">
        <f>IF(H3002=1,INDEX(ap_DrAmt,496),0)</f>
        <v/>
      </c>
      <c r="K3002" s="58">
        <f>IF(H3002=1,INDEX(ap_CrAcct,496)&amp;"","")</f>
        <v/>
      </c>
      <c r="L3002" s="95">
        <f>IF(H3002=1,INDEX(ap_CrAmt,496),0)</f>
        <v/>
      </c>
      <c r="M3002" s="95">
        <f>IF(H3002=1,INDEX(ap_TaxAmt,496),0)</f>
        <v/>
      </c>
      <c r="N3002" s="95" t="n">
        <v>0</v>
      </c>
      <c r="O3002" s="101">
        <f>IF(H3002=1,IF(E3002&lt;FYStart,0,IF(E3002&gt;FYEnd,13,YEAR(E3002)*12+MONTH(E3002)-FYYM+1)),"")</f>
        <v/>
      </c>
      <c r="P3002" s="101">
        <f>IF(H3002=1,IF(IFERROR(INDEX(coa_CF,MATCH(I3002,coa_Name,0)),"")="Cash",1,0),0)</f>
        <v/>
      </c>
      <c r="Q3002" s="101">
        <f>IF(H3002=1,IF(IFERROR(INDEX(coa_CF,MATCH(K3002,coa_Name,0)),"")="Cash",1,0),0)</f>
        <v/>
      </c>
      <c r="R3002" s="58">
        <f>IF((P3002-Q3002)=0,"",IFERROR(INDEX(coa_CF,MATCH(IF((P3002-Q3002)=1,K3002,I3002),coa_Name,0)),"Operating"))</f>
        <v/>
      </c>
      <c r="S3002" s="95">
        <f>IF((P3002-Q3002)=1,L3002,IF((P3002-Q3002)=-1,-J3002,0))</f>
        <v/>
      </c>
      <c r="T3002" s="95">
        <f>IF((P3002-Q3002)=1,N3002,IF((P3002-Q3002)=-1,-M3002,0))</f>
        <v/>
      </c>
      <c r="U3002" s="101">
        <f>IF(AND(H3002=1,LedAcct&lt;&gt;""),IF(AND(E3002&gt;=LedFrom,E3002&lt;=LedTo,OR(I3002=LedAcct,K3002=LedAcct,AND(LedAcct=acctTax,M3002+N3002&lt;&gt;0))),E3002*10000+B3002,""),"")</f>
        <v/>
      </c>
    </row>
    <row r="3003">
      <c r="B3003" s="101" t="n">
        <v>2997</v>
      </c>
      <c r="C3003" s="58" t="inlineStr">
        <is>
          <t>Bill</t>
        </is>
      </c>
      <c r="D3003" s="58">
        <f>IF(H3003=1,INDEX(ap_No,497)&amp;"","")</f>
        <v/>
      </c>
      <c r="E3003" s="94">
        <f>IF(H3003=1,INDEX(ap_Date,497),"")</f>
        <v/>
      </c>
      <c r="F3003" s="58">
        <f>IF(H3003=1,INDEX(ap_Desc,497)&amp;"","")</f>
        <v/>
      </c>
      <c r="G3003" s="58">
        <f>IF(H3003=1,INDEX(ap_Party,497)&amp;"","")</f>
        <v/>
      </c>
      <c r="H3003" s="101">
        <f>IFERROR(N(INDEX(ap_Posted,497)),0)</f>
        <v/>
      </c>
      <c r="I3003" s="58">
        <f>IF(H3003=1,INDEX(ap_DrAcct,497)&amp;"","")</f>
        <v/>
      </c>
      <c r="J3003" s="95">
        <f>IF(H3003=1,INDEX(ap_DrAmt,497),0)</f>
        <v/>
      </c>
      <c r="K3003" s="58">
        <f>IF(H3003=1,INDEX(ap_CrAcct,497)&amp;"","")</f>
        <v/>
      </c>
      <c r="L3003" s="95">
        <f>IF(H3003=1,INDEX(ap_CrAmt,497),0)</f>
        <v/>
      </c>
      <c r="M3003" s="95">
        <f>IF(H3003=1,INDEX(ap_TaxAmt,497),0)</f>
        <v/>
      </c>
      <c r="N3003" s="95" t="n">
        <v>0</v>
      </c>
      <c r="O3003" s="101">
        <f>IF(H3003=1,IF(E3003&lt;FYStart,0,IF(E3003&gt;FYEnd,13,YEAR(E3003)*12+MONTH(E3003)-FYYM+1)),"")</f>
        <v/>
      </c>
      <c r="P3003" s="101">
        <f>IF(H3003=1,IF(IFERROR(INDEX(coa_CF,MATCH(I3003,coa_Name,0)),"")="Cash",1,0),0)</f>
        <v/>
      </c>
      <c r="Q3003" s="101">
        <f>IF(H3003=1,IF(IFERROR(INDEX(coa_CF,MATCH(K3003,coa_Name,0)),"")="Cash",1,0),0)</f>
        <v/>
      </c>
      <c r="R3003" s="58">
        <f>IF((P3003-Q3003)=0,"",IFERROR(INDEX(coa_CF,MATCH(IF((P3003-Q3003)=1,K3003,I3003),coa_Name,0)),"Operating"))</f>
        <v/>
      </c>
      <c r="S3003" s="95">
        <f>IF((P3003-Q3003)=1,L3003,IF((P3003-Q3003)=-1,-J3003,0))</f>
        <v/>
      </c>
      <c r="T3003" s="95">
        <f>IF((P3003-Q3003)=1,N3003,IF((P3003-Q3003)=-1,-M3003,0))</f>
        <v/>
      </c>
      <c r="U3003" s="101">
        <f>IF(AND(H3003=1,LedAcct&lt;&gt;""),IF(AND(E3003&gt;=LedFrom,E3003&lt;=LedTo,OR(I3003=LedAcct,K3003=LedAcct,AND(LedAcct=acctTax,M3003+N3003&lt;&gt;0))),E3003*10000+B3003,""),"")</f>
        <v/>
      </c>
    </row>
    <row r="3004">
      <c r="B3004" s="101" t="n">
        <v>2998</v>
      </c>
      <c r="C3004" s="58" t="inlineStr">
        <is>
          <t>Bill</t>
        </is>
      </c>
      <c r="D3004" s="58">
        <f>IF(H3004=1,INDEX(ap_No,498)&amp;"","")</f>
        <v/>
      </c>
      <c r="E3004" s="94">
        <f>IF(H3004=1,INDEX(ap_Date,498),"")</f>
        <v/>
      </c>
      <c r="F3004" s="58">
        <f>IF(H3004=1,INDEX(ap_Desc,498)&amp;"","")</f>
        <v/>
      </c>
      <c r="G3004" s="58">
        <f>IF(H3004=1,INDEX(ap_Party,498)&amp;"","")</f>
        <v/>
      </c>
      <c r="H3004" s="101">
        <f>IFERROR(N(INDEX(ap_Posted,498)),0)</f>
        <v/>
      </c>
      <c r="I3004" s="58">
        <f>IF(H3004=1,INDEX(ap_DrAcct,498)&amp;"","")</f>
        <v/>
      </c>
      <c r="J3004" s="95">
        <f>IF(H3004=1,INDEX(ap_DrAmt,498),0)</f>
        <v/>
      </c>
      <c r="K3004" s="58">
        <f>IF(H3004=1,INDEX(ap_CrAcct,498)&amp;"","")</f>
        <v/>
      </c>
      <c r="L3004" s="95">
        <f>IF(H3004=1,INDEX(ap_CrAmt,498),0)</f>
        <v/>
      </c>
      <c r="M3004" s="95">
        <f>IF(H3004=1,INDEX(ap_TaxAmt,498),0)</f>
        <v/>
      </c>
      <c r="N3004" s="95" t="n">
        <v>0</v>
      </c>
      <c r="O3004" s="101">
        <f>IF(H3004=1,IF(E3004&lt;FYStart,0,IF(E3004&gt;FYEnd,13,YEAR(E3004)*12+MONTH(E3004)-FYYM+1)),"")</f>
        <v/>
      </c>
      <c r="P3004" s="101">
        <f>IF(H3004=1,IF(IFERROR(INDEX(coa_CF,MATCH(I3004,coa_Name,0)),"")="Cash",1,0),0)</f>
        <v/>
      </c>
      <c r="Q3004" s="101">
        <f>IF(H3004=1,IF(IFERROR(INDEX(coa_CF,MATCH(K3004,coa_Name,0)),"")="Cash",1,0),0)</f>
        <v/>
      </c>
      <c r="R3004" s="58">
        <f>IF((P3004-Q3004)=0,"",IFERROR(INDEX(coa_CF,MATCH(IF((P3004-Q3004)=1,K3004,I3004),coa_Name,0)),"Operating"))</f>
        <v/>
      </c>
      <c r="S3004" s="95">
        <f>IF((P3004-Q3004)=1,L3004,IF((P3004-Q3004)=-1,-J3004,0))</f>
        <v/>
      </c>
      <c r="T3004" s="95">
        <f>IF((P3004-Q3004)=1,N3004,IF((P3004-Q3004)=-1,-M3004,0))</f>
        <v/>
      </c>
      <c r="U3004" s="101">
        <f>IF(AND(H3004=1,LedAcct&lt;&gt;""),IF(AND(E3004&gt;=LedFrom,E3004&lt;=LedTo,OR(I3004=LedAcct,K3004=LedAcct,AND(LedAcct=acctTax,M3004+N3004&lt;&gt;0))),E3004*10000+B3004,""),"")</f>
        <v/>
      </c>
    </row>
    <row r="3005">
      <c r="B3005" s="101" t="n">
        <v>2999</v>
      </c>
      <c r="C3005" s="58" t="inlineStr">
        <is>
          <t>Bill</t>
        </is>
      </c>
      <c r="D3005" s="58">
        <f>IF(H3005=1,INDEX(ap_No,499)&amp;"","")</f>
        <v/>
      </c>
      <c r="E3005" s="94">
        <f>IF(H3005=1,INDEX(ap_Date,499),"")</f>
        <v/>
      </c>
      <c r="F3005" s="58">
        <f>IF(H3005=1,INDEX(ap_Desc,499)&amp;"","")</f>
        <v/>
      </c>
      <c r="G3005" s="58">
        <f>IF(H3005=1,INDEX(ap_Party,499)&amp;"","")</f>
        <v/>
      </c>
      <c r="H3005" s="101">
        <f>IFERROR(N(INDEX(ap_Posted,499)),0)</f>
        <v/>
      </c>
      <c r="I3005" s="58">
        <f>IF(H3005=1,INDEX(ap_DrAcct,499)&amp;"","")</f>
        <v/>
      </c>
      <c r="J3005" s="95">
        <f>IF(H3005=1,INDEX(ap_DrAmt,499),0)</f>
        <v/>
      </c>
      <c r="K3005" s="58">
        <f>IF(H3005=1,INDEX(ap_CrAcct,499)&amp;"","")</f>
        <v/>
      </c>
      <c r="L3005" s="95">
        <f>IF(H3005=1,INDEX(ap_CrAmt,499),0)</f>
        <v/>
      </c>
      <c r="M3005" s="95">
        <f>IF(H3005=1,INDEX(ap_TaxAmt,499),0)</f>
        <v/>
      </c>
      <c r="N3005" s="95" t="n">
        <v>0</v>
      </c>
      <c r="O3005" s="101">
        <f>IF(H3005=1,IF(E3005&lt;FYStart,0,IF(E3005&gt;FYEnd,13,YEAR(E3005)*12+MONTH(E3005)-FYYM+1)),"")</f>
        <v/>
      </c>
      <c r="P3005" s="101">
        <f>IF(H3005=1,IF(IFERROR(INDEX(coa_CF,MATCH(I3005,coa_Name,0)),"")="Cash",1,0),0)</f>
        <v/>
      </c>
      <c r="Q3005" s="101">
        <f>IF(H3005=1,IF(IFERROR(INDEX(coa_CF,MATCH(K3005,coa_Name,0)),"")="Cash",1,0),0)</f>
        <v/>
      </c>
      <c r="R3005" s="58">
        <f>IF((P3005-Q3005)=0,"",IFERROR(INDEX(coa_CF,MATCH(IF((P3005-Q3005)=1,K3005,I3005),coa_Name,0)),"Operating"))</f>
        <v/>
      </c>
      <c r="S3005" s="95">
        <f>IF((P3005-Q3005)=1,L3005,IF((P3005-Q3005)=-1,-J3005,0))</f>
        <v/>
      </c>
      <c r="T3005" s="95">
        <f>IF((P3005-Q3005)=1,N3005,IF((P3005-Q3005)=-1,-M3005,0))</f>
        <v/>
      </c>
      <c r="U3005" s="101">
        <f>IF(AND(H3005=1,LedAcct&lt;&gt;""),IF(AND(E3005&gt;=LedFrom,E3005&lt;=LedTo,OR(I3005=LedAcct,K3005=LedAcct,AND(LedAcct=acctTax,M3005+N3005&lt;&gt;0))),E3005*10000+B3005,""),"")</f>
        <v/>
      </c>
    </row>
    <row r="3006">
      <c r="B3006" s="101" t="n">
        <v>3000</v>
      </c>
      <c r="C3006" s="58" t="inlineStr">
        <is>
          <t>Bill</t>
        </is>
      </c>
      <c r="D3006" s="58">
        <f>IF(H3006=1,INDEX(ap_No,500)&amp;"","")</f>
        <v/>
      </c>
      <c r="E3006" s="94">
        <f>IF(H3006=1,INDEX(ap_Date,500),"")</f>
        <v/>
      </c>
      <c r="F3006" s="58">
        <f>IF(H3006=1,INDEX(ap_Desc,500)&amp;"","")</f>
        <v/>
      </c>
      <c r="G3006" s="58">
        <f>IF(H3006=1,INDEX(ap_Party,500)&amp;"","")</f>
        <v/>
      </c>
      <c r="H3006" s="101">
        <f>IFERROR(N(INDEX(ap_Posted,500)),0)</f>
        <v/>
      </c>
      <c r="I3006" s="58">
        <f>IF(H3006=1,INDEX(ap_DrAcct,500)&amp;"","")</f>
        <v/>
      </c>
      <c r="J3006" s="95">
        <f>IF(H3006=1,INDEX(ap_DrAmt,500),0)</f>
        <v/>
      </c>
      <c r="K3006" s="58">
        <f>IF(H3006=1,INDEX(ap_CrAcct,500)&amp;"","")</f>
        <v/>
      </c>
      <c r="L3006" s="95">
        <f>IF(H3006=1,INDEX(ap_CrAmt,500),0)</f>
        <v/>
      </c>
      <c r="M3006" s="95">
        <f>IF(H3006=1,INDEX(ap_TaxAmt,500),0)</f>
        <v/>
      </c>
      <c r="N3006" s="95" t="n">
        <v>0</v>
      </c>
      <c r="O3006" s="101">
        <f>IF(H3006=1,IF(E3006&lt;FYStart,0,IF(E3006&gt;FYEnd,13,YEAR(E3006)*12+MONTH(E3006)-FYYM+1)),"")</f>
        <v/>
      </c>
      <c r="P3006" s="101">
        <f>IF(H3006=1,IF(IFERROR(INDEX(coa_CF,MATCH(I3006,coa_Name,0)),"")="Cash",1,0),0)</f>
        <v/>
      </c>
      <c r="Q3006" s="101">
        <f>IF(H3006=1,IF(IFERROR(INDEX(coa_CF,MATCH(K3006,coa_Name,0)),"")="Cash",1,0),0)</f>
        <v/>
      </c>
      <c r="R3006" s="58">
        <f>IF((P3006-Q3006)=0,"",IFERROR(INDEX(coa_CF,MATCH(IF((P3006-Q3006)=1,K3006,I3006),coa_Name,0)),"Operating"))</f>
        <v/>
      </c>
      <c r="S3006" s="95">
        <f>IF((P3006-Q3006)=1,L3006,IF((P3006-Q3006)=-1,-J3006,0))</f>
        <v/>
      </c>
      <c r="T3006" s="95">
        <f>IF((P3006-Q3006)=1,N3006,IF((P3006-Q3006)=-1,-M3006,0))</f>
        <v/>
      </c>
      <c r="U3006" s="101">
        <f>IF(AND(H3006=1,LedAcct&lt;&gt;""),IF(AND(E3006&gt;=LedFrom,E3006&lt;=LedTo,OR(I3006=LedAcct,K3006=LedAcct,AND(LedAcct=acctTax,M3006+N3006&lt;&gt;0))),E3006*10000+B3006,""),"")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4A3B8"/>
    <outlinePr summaryBelow="1" summaryRight="1"/>
    <pageSetUpPr/>
  </sheetPr>
  <dimension ref="A1:AT156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26" customHeight="1">
      <c r="B1" s="19" t="inlineStr">
        <is>
          <t>Calc (engine — do not edit)</t>
        </is>
      </c>
    </row>
    <row r="2">
      <c r="B2" s="20" t="inlineStr">
        <is>
          <t>Balances for every account and fiscal month. Positive = debit balance, negative = credit balance.</t>
        </is>
      </c>
    </row>
    <row r="3"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</row>
    <row r="5">
      <c r="N5" s="18" t="n">
        <v>1</v>
      </c>
      <c r="O5" s="18" t="n">
        <v>2</v>
      </c>
      <c r="P5" s="18" t="n">
        <v>3</v>
      </c>
      <c r="Q5" s="18" t="n">
        <v>4</v>
      </c>
      <c r="R5" s="18" t="n">
        <v>5</v>
      </c>
      <c r="S5" s="18" t="n">
        <v>6</v>
      </c>
      <c r="T5" s="18" t="n">
        <v>7</v>
      </c>
      <c r="U5" s="18" t="n">
        <v>8</v>
      </c>
      <c r="V5" s="18" t="n">
        <v>9</v>
      </c>
      <c r="W5" s="18" t="n">
        <v>10</v>
      </c>
      <c r="X5" s="18" t="n">
        <v>11</v>
      </c>
      <c r="Y5" s="18" t="n">
        <v>12</v>
      </c>
    </row>
    <row r="6" ht="42" customHeight="1">
      <c r="B6" s="102" t="inlineStr">
        <is>
          <t>#</t>
        </is>
      </c>
      <c r="C6" s="102" t="inlineStr">
        <is>
          <t>COA name</t>
        </is>
      </c>
      <c r="D6" s="102" t="inlineStr">
        <is>
          <t>Account</t>
        </is>
      </c>
      <c r="E6" s="102" t="inlineStr">
        <is>
          <t>Code</t>
        </is>
      </c>
      <c r="F6" s="102" t="inlineStr">
        <is>
          <t>Type</t>
        </is>
      </c>
      <c r="G6" s="102" t="inlineStr">
        <is>
          <t>Normal</t>
        </is>
      </c>
      <c r="H6" s="102" t="inlineStr">
        <is>
          <t>CF Section</t>
        </is>
      </c>
      <c r="I6" s="102" t="inlineStr">
        <is>
          <t>Statement</t>
        </is>
      </c>
      <c r="J6" s="102" t="inlineStr">
        <is>
          <t>Sign</t>
        </is>
      </c>
      <c r="K6" s="102" t="inlineStr">
        <is>
          <t>Opening (raw, Dr+)</t>
        </is>
      </c>
      <c r="L6" s="102" t="inlineStr">
        <is>
          <t>Opening (Dr+)</t>
        </is>
      </c>
      <c r="M6" s="102" t="inlineStr">
        <is>
          <t>Before FY (Dr+)</t>
        </is>
      </c>
      <c r="N6" s="102" t="inlineStr">
        <is>
          <t>FY month 1</t>
        </is>
      </c>
      <c r="O6" s="102" t="inlineStr">
        <is>
          <t>FY month 2</t>
        </is>
      </c>
      <c r="P6" s="102" t="inlineStr">
        <is>
          <t>FY month 3</t>
        </is>
      </c>
      <c r="Q6" s="102" t="inlineStr">
        <is>
          <t>FY month 4</t>
        </is>
      </c>
      <c r="R6" s="102" t="inlineStr">
        <is>
          <t>FY month 5</t>
        </is>
      </c>
      <c r="S6" s="102" t="inlineStr">
        <is>
          <t>FY month 6</t>
        </is>
      </c>
      <c r="T6" s="102" t="inlineStr">
        <is>
          <t>FY month 7</t>
        </is>
      </c>
      <c r="U6" s="102" t="inlineStr">
        <is>
          <t>FY month 8</t>
        </is>
      </c>
      <c r="V6" s="102" t="inlineStr">
        <is>
          <t>FY month 9</t>
        </is>
      </c>
      <c r="W6" s="102" t="inlineStr">
        <is>
          <t>FY month 10</t>
        </is>
      </c>
      <c r="X6" s="102" t="inlineStr">
        <is>
          <t>FY month 11</t>
        </is>
      </c>
      <c r="Y6" s="102" t="inlineStr">
        <is>
          <t>FY month 12</t>
        </is>
      </c>
      <c r="Z6" s="102" t="inlineStr">
        <is>
          <t>Year to date</t>
        </is>
      </c>
      <c r="AA6" s="102" t="inlineStr">
        <is>
          <t>Report month</t>
        </is>
      </c>
      <c r="AB6" s="102" t="inlineStr">
        <is>
          <t>Previous month</t>
        </is>
      </c>
      <c r="AC6" s="102" t="inlineStr">
        <is>
          <t>Full fiscal year</t>
        </is>
      </c>
      <c r="AD6" s="102" t="inlineStr">
        <is>
          <t>Balance at report date (Dr+)</t>
        </is>
      </c>
      <c r="AE6" s="102" t="inlineStr">
        <is>
          <t>Balance at prev. month end (Dr+)</t>
        </is>
      </c>
      <c r="AF6" s="102" t="inlineStr">
        <is>
          <t>Report key</t>
        </is>
      </c>
      <c r="AG6" s="102" t="inlineStr">
        <is>
          <t>Cash key</t>
        </is>
      </c>
      <c r="AH6" s="102" t="inlineStr">
        <is>
          <t>Top expense key</t>
        </is>
      </c>
      <c r="AI6" s="102" t="inlineStr">
        <is>
          <t>Balance end of FY month 1</t>
        </is>
      </c>
      <c r="AJ6" s="102" t="inlineStr">
        <is>
          <t>Balance end of FY month 2</t>
        </is>
      </c>
      <c r="AK6" s="102" t="inlineStr">
        <is>
          <t>Balance end of FY month 3</t>
        </is>
      </c>
      <c r="AL6" s="102" t="inlineStr">
        <is>
          <t>Balance end of FY month 4</t>
        </is>
      </c>
      <c r="AM6" s="102" t="inlineStr">
        <is>
          <t>Balance end of FY month 5</t>
        </is>
      </c>
      <c r="AN6" s="102" t="inlineStr">
        <is>
          <t>Balance end of FY month 6</t>
        </is>
      </c>
      <c r="AO6" s="102" t="inlineStr">
        <is>
          <t>Balance end of FY month 7</t>
        </is>
      </c>
      <c r="AP6" s="102" t="inlineStr">
        <is>
          <t>Balance end of FY month 8</t>
        </is>
      </c>
      <c r="AQ6" s="102" t="inlineStr">
        <is>
          <t>Balance end of FY month 9</t>
        </is>
      </c>
      <c r="AR6" s="102" t="inlineStr">
        <is>
          <t>Balance end of FY month 10</t>
        </is>
      </c>
      <c r="AS6" s="102" t="inlineStr">
        <is>
          <t>Balance end of FY month 11</t>
        </is>
      </c>
      <c r="AT6" s="102" t="inlineStr">
        <is>
          <t>Balance end of FY month 12</t>
        </is>
      </c>
    </row>
    <row r="7">
      <c r="B7" s="58" t="n">
        <v>1</v>
      </c>
      <c r="C7" s="58">
        <f>IFERROR(INDEX(coa_Name,1)&amp;"","")</f>
        <v/>
      </c>
      <c r="D7" s="58">
        <f>IF(C7="","",IF(COUNTIF($C$7:C7,C7)&gt;1,"",C7))</f>
        <v/>
      </c>
      <c r="E7" s="58">
        <f>IF($D7="","",INDEX(coa_Code,1))</f>
        <v/>
      </c>
      <c r="F7" s="58">
        <f>IF($D7="","",INDEX(coa_Type,1)&amp;"")</f>
        <v/>
      </c>
      <c r="G7" s="58">
        <f>IF($D7="","",INDEX(coa_Normal,1)&amp;"")</f>
        <v/>
      </c>
      <c r="H7" s="58">
        <f>IF($D7="","",IF(INDEX(coa_CF,1)&amp;""="","Operating",INDEX(coa_CF,1)&amp;""))</f>
        <v/>
      </c>
      <c r="I7" s="58">
        <f>IF($D7="","",IFERROR(INDEX(at_Stmt,MATCH(F7,at_Type,0)),""))</f>
        <v/>
      </c>
      <c r="J7" s="58">
        <f>IF($D7="",0,IFERROR(INDEX(at_Sign,MATCH(F7,at_Type,0)),0))</f>
        <v/>
      </c>
      <c r="K7" s="95">
        <f>IF($D7="",0,IF(G7="Credit",-1,1)*N(INDEX(coa_Open,1)))</f>
        <v/>
      </c>
      <c r="L7" s="95">
        <f>IF($D7="",0,IF($D7=acctOBE,K7-SUM($K$7:$K$156),K7))</f>
        <v/>
      </c>
      <c r="M7" s="95">
        <f>IF($D7="",0,SUMIFS(j_DrAmt,j_DrAcct,$D7,j_Per,0)-SUMIFS(j_CrAmt,j_CrAcct,$D7,j_Per,0)+IF($D7=acctTax,SUMIFS(j_TaxDr,j_Posted,1,j_Per,0)-SUMIFS(j_TaxCr,j_Posted,1,j_Per,0),0))</f>
        <v/>
      </c>
      <c r="N7" s="95">
        <f>IF($D7="",0,SUMIFS(j_DrAmt,j_DrAcct,$D7,j_Per,1)-SUMIFS(j_CrAmt,j_CrAcct,$D7,j_Per,1)+IF($D7=acctTax,SUMIFS(j_TaxDr,j_Posted,1,j_Per,1)-SUMIFS(j_TaxCr,j_Posted,1,j_Per,1),0))</f>
        <v/>
      </c>
      <c r="O7" s="95">
        <f>IF($D7="",0,SUMIFS(j_DrAmt,j_DrAcct,$D7,j_Per,2)-SUMIFS(j_CrAmt,j_CrAcct,$D7,j_Per,2)+IF($D7=acctTax,SUMIFS(j_TaxDr,j_Posted,1,j_Per,2)-SUMIFS(j_TaxCr,j_Posted,1,j_Per,2),0))</f>
        <v/>
      </c>
      <c r="P7" s="95">
        <f>IF($D7="",0,SUMIFS(j_DrAmt,j_DrAcct,$D7,j_Per,3)-SUMIFS(j_CrAmt,j_CrAcct,$D7,j_Per,3)+IF($D7=acctTax,SUMIFS(j_TaxDr,j_Posted,1,j_Per,3)-SUMIFS(j_TaxCr,j_Posted,1,j_Per,3),0))</f>
        <v/>
      </c>
      <c r="Q7" s="95">
        <f>IF($D7="",0,SUMIFS(j_DrAmt,j_DrAcct,$D7,j_Per,4)-SUMIFS(j_CrAmt,j_CrAcct,$D7,j_Per,4)+IF($D7=acctTax,SUMIFS(j_TaxDr,j_Posted,1,j_Per,4)-SUMIFS(j_TaxCr,j_Posted,1,j_Per,4),0))</f>
        <v/>
      </c>
      <c r="R7" s="95">
        <f>IF($D7="",0,SUMIFS(j_DrAmt,j_DrAcct,$D7,j_Per,5)-SUMIFS(j_CrAmt,j_CrAcct,$D7,j_Per,5)+IF($D7=acctTax,SUMIFS(j_TaxDr,j_Posted,1,j_Per,5)-SUMIFS(j_TaxCr,j_Posted,1,j_Per,5),0))</f>
        <v/>
      </c>
      <c r="S7" s="95">
        <f>IF($D7="",0,SUMIFS(j_DrAmt,j_DrAcct,$D7,j_Per,6)-SUMIFS(j_CrAmt,j_CrAcct,$D7,j_Per,6)+IF($D7=acctTax,SUMIFS(j_TaxDr,j_Posted,1,j_Per,6)-SUMIFS(j_TaxCr,j_Posted,1,j_Per,6),0))</f>
        <v/>
      </c>
      <c r="T7" s="95">
        <f>IF($D7="",0,SUMIFS(j_DrAmt,j_DrAcct,$D7,j_Per,7)-SUMIFS(j_CrAmt,j_CrAcct,$D7,j_Per,7)+IF($D7=acctTax,SUMIFS(j_TaxDr,j_Posted,1,j_Per,7)-SUMIFS(j_TaxCr,j_Posted,1,j_Per,7),0))</f>
        <v/>
      </c>
      <c r="U7" s="95">
        <f>IF($D7="",0,SUMIFS(j_DrAmt,j_DrAcct,$D7,j_Per,8)-SUMIFS(j_CrAmt,j_CrAcct,$D7,j_Per,8)+IF($D7=acctTax,SUMIFS(j_TaxDr,j_Posted,1,j_Per,8)-SUMIFS(j_TaxCr,j_Posted,1,j_Per,8),0))</f>
        <v/>
      </c>
      <c r="V7" s="95">
        <f>IF($D7="",0,SUMIFS(j_DrAmt,j_DrAcct,$D7,j_Per,9)-SUMIFS(j_CrAmt,j_CrAcct,$D7,j_Per,9)+IF($D7=acctTax,SUMIFS(j_TaxDr,j_Posted,1,j_Per,9)-SUMIFS(j_TaxCr,j_Posted,1,j_Per,9),0))</f>
        <v/>
      </c>
      <c r="W7" s="95">
        <f>IF($D7="",0,SUMIFS(j_DrAmt,j_DrAcct,$D7,j_Per,10)-SUMIFS(j_CrAmt,j_CrAcct,$D7,j_Per,10)+IF($D7=acctTax,SUMIFS(j_TaxDr,j_Posted,1,j_Per,10)-SUMIFS(j_TaxCr,j_Posted,1,j_Per,10),0))</f>
        <v/>
      </c>
      <c r="X7" s="95">
        <f>IF($D7="",0,SUMIFS(j_DrAmt,j_DrAcct,$D7,j_Per,11)-SUMIFS(j_CrAmt,j_CrAcct,$D7,j_Per,11)+IF($D7=acctTax,SUMIFS(j_TaxDr,j_Posted,1,j_Per,11)-SUMIFS(j_TaxCr,j_Posted,1,j_Per,11),0))</f>
        <v/>
      </c>
      <c r="Y7" s="95">
        <f>IF($D7="",0,SUMIFS(j_DrAmt,j_DrAcct,$D7,j_Per,12)-SUMIFS(j_CrAmt,j_CrAcct,$D7,j_Per,12)+IF($D7=acctTax,SUMIFS(j_TaxDr,j_Posted,1,j_Per,12)-SUMIFS(j_TaxCr,j_Posted,1,j_Per,12),0))</f>
        <v/>
      </c>
      <c r="Z7" s="95">
        <f>SUMPRODUCT(($N$5:$Y$5&lt;=RptIdx)*N7:Y7)</f>
        <v/>
      </c>
      <c r="AA7" s="95">
        <f>IF(AND(RptIdx&gt;=1,RptIdx&lt;=12),INDEX(N7:Y7,RptIdx),0)</f>
        <v/>
      </c>
      <c r="AB7" s="95">
        <f>IF($D7="",0,IF(RptIdx&gt;1,INDEX(N7:Y7,RptIdx-1),SUMIFS(j_DrAmt,j_DrAcct,$D7,j_Date,"&gt;="&amp;PrevStart,j_Date,"&lt;="&amp;PrevEnd)-SUMIFS(j_CrAmt,j_CrAcct,$D7,j_Date,"&gt;="&amp;PrevStart,j_Date,"&lt;="&amp;PrevEnd)+IF($D7=acctTax,SUMIFS(j_TaxDr,j_Posted,1,j_Date,"&gt;="&amp;PrevStart,j_Date,"&lt;="&amp;PrevEnd)-SUMIFS(j_TaxCr,j_Posted,1,j_Date,"&gt;="&amp;PrevStart,j_Date,"&lt;="&amp;PrevEnd),0)))</f>
        <v/>
      </c>
      <c r="AC7" s="95">
        <f>SUM(N7:Y7)</f>
        <v/>
      </c>
      <c r="AD7" s="95">
        <f>L7+M7+Z7</f>
        <v/>
      </c>
      <c r="AE7" s="95">
        <f>AD7-AA7</f>
        <v/>
      </c>
      <c r="AF7" s="58">
        <f>IF($D7="","",F7&amp;"|"&amp;COUNTIFS($F$7:F7,F7,$D$7:D7,"&lt;&gt;"))</f>
        <v/>
      </c>
      <c r="AG7" s="58">
        <f>IF(AND($D7&lt;&gt;"",H7="Cash"),"Cash|"&amp;COUNTIFS($H$7:H7,"Cash",$D$7:D7,"&lt;&gt;"),"")</f>
        <v/>
      </c>
      <c r="AH7" s="95">
        <f>IF(AND($D7&lt;&gt;"",OR(F7="Cost of Sales",F7="Operating Expense",F7="Other Expense"),Z7&gt;0),Z7+1/1000000,"")</f>
        <v/>
      </c>
      <c r="AI7" s="95">
        <f>L7+M7+SUM(N7:N7)</f>
        <v/>
      </c>
      <c r="AJ7" s="95">
        <f>L7+M7+SUM(N7:O7)</f>
        <v/>
      </c>
      <c r="AK7" s="95">
        <f>L7+M7+SUM(N7:P7)</f>
        <v/>
      </c>
      <c r="AL7" s="95">
        <f>L7+M7+SUM(N7:Q7)</f>
        <v/>
      </c>
      <c r="AM7" s="95">
        <f>L7+M7+SUM(N7:R7)</f>
        <v/>
      </c>
      <c r="AN7" s="95">
        <f>L7+M7+SUM(N7:S7)</f>
        <v/>
      </c>
      <c r="AO7" s="95">
        <f>L7+M7+SUM(N7:T7)</f>
        <v/>
      </c>
      <c r="AP7" s="95">
        <f>L7+M7+SUM(N7:U7)</f>
        <v/>
      </c>
      <c r="AQ7" s="95">
        <f>L7+M7+SUM(N7:V7)</f>
        <v/>
      </c>
      <c r="AR7" s="95">
        <f>L7+M7+SUM(N7:W7)</f>
        <v/>
      </c>
      <c r="AS7" s="95">
        <f>L7+M7+SUM(N7:X7)</f>
        <v/>
      </c>
      <c r="AT7" s="95">
        <f>L7+M7+SUM(N7:Y7)</f>
        <v/>
      </c>
    </row>
    <row r="8">
      <c r="B8" s="58" t="n">
        <v>2</v>
      </c>
      <c r="C8" s="58">
        <f>IFERROR(INDEX(coa_Name,2)&amp;"","")</f>
        <v/>
      </c>
      <c r="D8" s="58">
        <f>IF(C8="","",IF(COUNTIF($C$7:C8,C8)&gt;1,"",C8))</f>
        <v/>
      </c>
      <c r="E8" s="58">
        <f>IF($D8="","",INDEX(coa_Code,2))</f>
        <v/>
      </c>
      <c r="F8" s="58">
        <f>IF($D8="","",INDEX(coa_Type,2)&amp;"")</f>
        <v/>
      </c>
      <c r="G8" s="58">
        <f>IF($D8="","",INDEX(coa_Normal,2)&amp;"")</f>
        <v/>
      </c>
      <c r="H8" s="58">
        <f>IF($D8="","",IF(INDEX(coa_CF,2)&amp;""="","Operating",INDEX(coa_CF,2)&amp;""))</f>
        <v/>
      </c>
      <c r="I8" s="58">
        <f>IF($D8="","",IFERROR(INDEX(at_Stmt,MATCH(F8,at_Type,0)),""))</f>
        <v/>
      </c>
      <c r="J8" s="58">
        <f>IF($D8="",0,IFERROR(INDEX(at_Sign,MATCH(F8,at_Type,0)),0))</f>
        <v/>
      </c>
      <c r="K8" s="95">
        <f>IF($D8="",0,IF(G8="Credit",-1,1)*N(INDEX(coa_Open,2)))</f>
        <v/>
      </c>
      <c r="L8" s="95">
        <f>IF($D8="",0,IF($D8=acctOBE,K8-SUM($K$7:$K$156),K8))</f>
        <v/>
      </c>
      <c r="M8" s="95">
        <f>IF($D8="",0,SUMIFS(j_DrAmt,j_DrAcct,$D8,j_Per,0)-SUMIFS(j_CrAmt,j_CrAcct,$D8,j_Per,0)+IF($D8=acctTax,SUMIFS(j_TaxDr,j_Posted,1,j_Per,0)-SUMIFS(j_TaxCr,j_Posted,1,j_Per,0),0))</f>
        <v/>
      </c>
      <c r="N8" s="95">
        <f>IF($D8="",0,SUMIFS(j_DrAmt,j_DrAcct,$D8,j_Per,1)-SUMIFS(j_CrAmt,j_CrAcct,$D8,j_Per,1)+IF($D8=acctTax,SUMIFS(j_TaxDr,j_Posted,1,j_Per,1)-SUMIFS(j_TaxCr,j_Posted,1,j_Per,1),0))</f>
        <v/>
      </c>
      <c r="O8" s="95">
        <f>IF($D8="",0,SUMIFS(j_DrAmt,j_DrAcct,$D8,j_Per,2)-SUMIFS(j_CrAmt,j_CrAcct,$D8,j_Per,2)+IF($D8=acctTax,SUMIFS(j_TaxDr,j_Posted,1,j_Per,2)-SUMIFS(j_TaxCr,j_Posted,1,j_Per,2),0))</f>
        <v/>
      </c>
      <c r="P8" s="95">
        <f>IF($D8="",0,SUMIFS(j_DrAmt,j_DrAcct,$D8,j_Per,3)-SUMIFS(j_CrAmt,j_CrAcct,$D8,j_Per,3)+IF($D8=acctTax,SUMIFS(j_TaxDr,j_Posted,1,j_Per,3)-SUMIFS(j_TaxCr,j_Posted,1,j_Per,3),0))</f>
        <v/>
      </c>
      <c r="Q8" s="95">
        <f>IF($D8="",0,SUMIFS(j_DrAmt,j_DrAcct,$D8,j_Per,4)-SUMIFS(j_CrAmt,j_CrAcct,$D8,j_Per,4)+IF($D8=acctTax,SUMIFS(j_TaxDr,j_Posted,1,j_Per,4)-SUMIFS(j_TaxCr,j_Posted,1,j_Per,4),0))</f>
        <v/>
      </c>
      <c r="R8" s="95">
        <f>IF($D8="",0,SUMIFS(j_DrAmt,j_DrAcct,$D8,j_Per,5)-SUMIFS(j_CrAmt,j_CrAcct,$D8,j_Per,5)+IF($D8=acctTax,SUMIFS(j_TaxDr,j_Posted,1,j_Per,5)-SUMIFS(j_TaxCr,j_Posted,1,j_Per,5),0))</f>
        <v/>
      </c>
      <c r="S8" s="95">
        <f>IF($D8="",0,SUMIFS(j_DrAmt,j_DrAcct,$D8,j_Per,6)-SUMIFS(j_CrAmt,j_CrAcct,$D8,j_Per,6)+IF($D8=acctTax,SUMIFS(j_TaxDr,j_Posted,1,j_Per,6)-SUMIFS(j_TaxCr,j_Posted,1,j_Per,6),0))</f>
        <v/>
      </c>
      <c r="T8" s="95">
        <f>IF($D8="",0,SUMIFS(j_DrAmt,j_DrAcct,$D8,j_Per,7)-SUMIFS(j_CrAmt,j_CrAcct,$D8,j_Per,7)+IF($D8=acctTax,SUMIFS(j_TaxDr,j_Posted,1,j_Per,7)-SUMIFS(j_TaxCr,j_Posted,1,j_Per,7),0))</f>
        <v/>
      </c>
      <c r="U8" s="95">
        <f>IF($D8="",0,SUMIFS(j_DrAmt,j_DrAcct,$D8,j_Per,8)-SUMIFS(j_CrAmt,j_CrAcct,$D8,j_Per,8)+IF($D8=acctTax,SUMIFS(j_TaxDr,j_Posted,1,j_Per,8)-SUMIFS(j_TaxCr,j_Posted,1,j_Per,8),0))</f>
        <v/>
      </c>
      <c r="V8" s="95">
        <f>IF($D8="",0,SUMIFS(j_DrAmt,j_DrAcct,$D8,j_Per,9)-SUMIFS(j_CrAmt,j_CrAcct,$D8,j_Per,9)+IF($D8=acctTax,SUMIFS(j_TaxDr,j_Posted,1,j_Per,9)-SUMIFS(j_TaxCr,j_Posted,1,j_Per,9),0))</f>
        <v/>
      </c>
      <c r="W8" s="95">
        <f>IF($D8="",0,SUMIFS(j_DrAmt,j_DrAcct,$D8,j_Per,10)-SUMIFS(j_CrAmt,j_CrAcct,$D8,j_Per,10)+IF($D8=acctTax,SUMIFS(j_TaxDr,j_Posted,1,j_Per,10)-SUMIFS(j_TaxCr,j_Posted,1,j_Per,10),0))</f>
        <v/>
      </c>
      <c r="X8" s="95">
        <f>IF($D8="",0,SUMIFS(j_DrAmt,j_DrAcct,$D8,j_Per,11)-SUMIFS(j_CrAmt,j_CrAcct,$D8,j_Per,11)+IF($D8=acctTax,SUMIFS(j_TaxDr,j_Posted,1,j_Per,11)-SUMIFS(j_TaxCr,j_Posted,1,j_Per,11),0))</f>
        <v/>
      </c>
      <c r="Y8" s="95">
        <f>IF($D8="",0,SUMIFS(j_DrAmt,j_DrAcct,$D8,j_Per,12)-SUMIFS(j_CrAmt,j_CrAcct,$D8,j_Per,12)+IF($D8=acctTax,SUMIFS(j_TaxDr,j_Posted,1,j_Per,12)-SUMIFS(j_TaxCr,j_Posted,1,j_Per,12),0))</f>
        <v/>
      </c>
      <c r="Z8" s="95">
        <f>SUMPRODUCT(($N$5:$Y$5&lt;=RptIdx)*N8:Y8)</f>
        <v/>
      </c>
      <c r="AA8" s="95">
        <f>IF(AND(RptIdx&gt;=1,RptIdx&lt;=12),INDEX(N8:Y8,RptIdx),0)</f>
        <v/>
      </c>
      <c r="AB8" s="95">
        <f>IF($D8="",0,IF(RptIdx&gt;1,INDEX(N8:Y8,RptIdx-1),SUMIFS(j_DrAmt,j_DrAcct,$D8,j_Date,"&gt;="&amp;PrevStart,j_Date,"&lt;="&amp;PrevEnd)-SUMIFS(j_CrAmt,j_CrAcct,$D8,j_Date,"&gt;="&amp;PrevStart,j_Date,"&lt;="&amp;PrevEnd)+IF($D8=acctTax,SUMIFS(j_TaxDr,j_Posted,1,j_Date,"&gt;="&amp;PrevStart,j_Date,"&lt;="&amp;PrevEnd)-SUMIFS(j_TaxCr,j_Posted,1,j_Date,"&gt;="&amp;PrevStart,j_Date,"&lt;="&amp;PrevEnd),0)))</f>
        <v/>
      </c>
      <c r="AC8" s="95">
        <f>SUM(N8:Y8)</f>
        <v/>
      </c>
      <c r="AD8" s="95">
        <f>L8+M8+Z8</f>
        <v/>
      </c>
      <c r="AE8" s="95">
        <f>AD8-AA8</f>
        <v/>
      </c>
      <c r="AF8" s="58">
        <f>IF($D8="","",F8&amp;"|"&amp;COUNTIFS($F$7:F8,F8,$D$7:D8,"&lt;&gt;"))</f>
        <v/>
      </c>
      <c r="AG8" s="58">
        <f>IF(AND($D8&lt;&gt;"",H8="Cash"),"Cash|"&amp;COUNTIFS($H$7:H8,"Cash",$D$7:D8,"&lt;&gt;"),"")</f>
        <v/>
      </c>
      <c r="AH8" s="95">
        <f>IF(AND($D8&lt;&gt;"",OR(F8="Cost of Sales",F8="Operating Expense",F8="Other Expense"),Z8&gt;0),Z8+2/1000000,"")</f>
        <v/>
      </c>
      <c r="AI8" s="95">
        <f>L8+M8+SUM(N8:N8)</f>
        <v/>
      </c>
      <c r="AJ8" s="95">
        <f>L8+M8+SUM(N8:O8)</f>
        <v/>
      </c>
      <c r="AK8" s="95">
        <f>L8+M8+SUM(N8:P8)</f>
        <v/>
      </c>
      <c r="AL8" s="95">
        <f>L8+M8+SUM(N8:Q8)</f>
        <v/>
      </c>
      <c r="AM8" s="95">
        <f>L8+M8+SUM(N8:R8)</f>
        <v/>
      </c>
      <c r="AN8" s="95">
        <f>L8+M8+SUM(N8:S8)</f>
        <v/>
      </c>
      <c r="AO8" s="95">
        <f>L8+M8+SUM(N8:T8)</f>
        <v/>
      </c>
      <c r="AP8" s="95">
        <f>L8+M8+SUM(N8:U8)</f>
        <v/>
      </c>
      <c r="AQ8" s="95">
        <f>L8+M8+SUM(N8:V8)</f>
        <v/>
      </c>
      <c r="AR8" s="95">
        <f>L8+M8+SUM(N8:W8)</f>
        <v/>
      </c>
      <c r="AS8" s="95">
        <f>L8+M8+SUM(N8:X8)</f>
        <v/>
      </c>
      <c r="AT8" s="95">
        <f>L8+M8+SUM(N8:Y8)</f>
        <v/>
      </c>
    </row>
    <row r="9">
      <c r="B9" s="58" t="n">
        <v>3</v>
      </c>
      <c r="C9" s="58">
        <f>IFERROR(INDEX(coa_Name,3)&amp;"","")</f>
        <v/>
      </c>
      <c r="D9" s="58">
        <f>IF(C9="","",IF(COUNTIF($C$7:C9,C9)&gt;1,"",C9))</f>
        <v/>
      </c>
      <c r="E9" s="58">
        <f>IF($D9="","",INDEX(coa_Code,3))</f>
        <v/>
      </c>
      <c r="F9" s="58">
        <f>IF($D9="","",INDEX(coa_Type,3)&amp;"")</f>
        <v/>
      </c>
      <c r="G9" s="58">
        <f>IF($D9="","",INDEX(coa_Normal,3)&amp;"")</f>
        <v/>
      </c>
      <c r="H9" s="58">
        <f>IF($D9="","",IF(INDEX(coa_CF,3)&amp;""="","Operating",INDEX(coa_CF,3)&amp;""))</f>
        <v/>
      </c>
      <c r="I9" s="58">
        <f>IF($D9="","",IFERROR(INDEX(at_Stmt,MATCH(F9,at_Type,0)),""))</f>
        <v/>
      </c>
      <c r="J9" s="58">
        <f>IF($D9="",0,IFERROR(INDEX(at_Sign,MATCH(F9,at_Type,0)),0))</f>
        <v/>
      </c>
      <c r="K9" s="95">
        <f>IF($D9="",0,IF(G9="Credit",-1,1)*N(INDEX(coa_Open,3)))</f>
        <v/>
      </c>
      <c r="L9" s="95">
        <f>IF($D9="",0,IF($D9=acctOBE,K9-SUM($K$7:$K$156),K9))</f>
        <v/>
      </c>
      <c r="M9" s="95">
        <f>IF($D9="",0,SUMIFS(j_DrAmt,j_DrAcct,$D9,j_Per,0)-SUMIFS(j_CrAmt,j_CrAcct,$D9,j_Per,0)+IF($D9=acctTax,SUMIFS(j_TaxDr,j_Posted,1,j_Per,0)-SUMIFS(j_TaxCr,j_Posted,1,j_Per,0),0))</f>
        <v/>
      </c>
      <c r="N9" s="95">
        <f>IF($D9="",0,SUMIFS(j_DrAmt,j_DrAcct,$D9,j_Per,1)-SUMIFS(j_CrAmt,j_CrAcct,$D9,j_Per,1)+IF($D9=acctTax,SUMIFS(j_TaxDr,j_Posted,1,j_Per,1)-SUMIFS(j_TaxCr,j_Posted,1,j_Per,1),0))</f>
        <v/>
      </c>
      <c r="O9" s="95">
        <f>IF($D9="",0,SUMIFS(j_DrAmt,j_DrAcct,$D9,j_Per,2)-SUMIFS(j_CrAmt,j_CrAcct,$D9,j_Per,2)+IF($D9=acctTax,SUMIFS(j_TaxDr,j_Posted,1,j_Per,2)-SUMIFS(j_TaxCr,j_Posted,1,j_Per,2),0))</f>
        <v/>
      </c>
      <c r="P9" s="95">
        <f>IF($D9="",0,SUMIFS(j_DrAmt,j_DrAcct,$D9,j_Per,3)-SUMIFS(j_CrAmt,j_CrAcct,$D9,j_Per,3)+IF($D9=acctTax,SUMIFS(j_TaxDr,j_Posted,1,j_Per,3)-SUMIFS(j_TaxCr,j_Posted,1,j_Per,3),0))</f>
        <v/>
      </c>
      <c r="Q9" s="95">
        <f>IF($D9="",0,SUMIFS(j_DrAmt,j_DrAcct,$D9,j_Per,4)-SUMIFS(j_CrAmt,j_CrAcct,$D9,j_Per,4)+IF($D9=acctTax,SUMIFS(j_TaxDr,j_Posted,1,j_Per,4)-SUMIFS(j_TaxCr,j_Posted,1,j_Per,4),0))</f>
        <v/>
      </c>
      <c r="R9" s="95">
        <f>IF($D9="",0,SUMIFS(j_DrAmt,j_DrAcct,$D9,j_Per,5)-SUMIFS(j_CrAmt,j_CrAcct,$D9,j_Per,5)+IF($D9=acctTax,SUMIFS(j_TaxDr,j_Posted,1,j_Per,5)-SUMIFS(j_TaxCr,j_Posted,1,j_Per,5),0))</f>
        <v/>
      </c>
      <c r="S9" s="95">
        <f>IF($D9="",0,SUMIFS(j_DrAmt,j_DrAcct,$D9,j_Per,6)-SUMIFS(j_CrAmt,j_CrAcct,$D9,j_Per,6)+IF($D9=acctTax,SUMIFS(j_TaxDr,j_Posted,1,j_Per,6)-SUMIFS(j_TaxCr,j_Posted,1,j_Per,6),0))</f>
        <v/>
      </c>
      <c r="T9" s="95">
        <f>IF($D9="",0,SUMIFS(j_DrAmt,j_DrAcct,$D9,j_Per,7)-SUMIFS(j_CrAmt,j_CrAcct,$D9,j_Per,7)+IF($D9=acctTax,SUMIFS(j_TaxDr,j_Posted,1,j_Per,7)-SUMIFS(j_TaxCr,j_Posted,1,j_Per,7),0))</f>
        <v/>
      </c>
      <c r="U9" s="95">
        <f>IF($D9="",0,SUMIFS(j_DrAmt,j_DrAcct,$D9,j_Per,8)-SUMIFS(j_CrAmt,j_CrAcct,$D9,j_Per,8)+IF($D9=acctTax,SUMIFS(j_TaxDr,j_Posted,1,j_Per,8)-SUMIFS(j_TaxCr,j_Posted,1,j_Per,8),0))</f>
        <v/>
      </c>
      <c r="V9" s="95">
        <f>IF($D9="",0,SUMIFS(j_DrAmt,j_DrAcct,$D9,j_Per,9)-SUMIFS(j_CrAmt,j_CrAcct,$D9,j_Per,9)+IF($D9=acctTax,SUMIFS(j_TaxDr,j_Posted,1,j_Per,9)-SUMIFS(j_TaxCr,j_Posted,1,j_Per,9),0))</f>
        <v/>
      </c>
      <c r="W9" s="95">
        <f>IF($D9="",0,SUMIFS(j_DrAmt,j_DrAcct,$D9,j_Per,10)-SUMIFS(j_CrAmt,j_CrAcct,$D9,j_Per,10)+IF($D9=acctTax,SUMIFS(j_TaxDr,j_Posted,1,j_Per,10)-SUMIFS(j_TaxCr,j_Posted,1,j_Per,10),0))</f>
        <v/>
      </c>
      <c r="X9" s="95">
        <f>IF($D9="",0,SUMIFS(j_DrAmt,j_DrAcct,$D9,j_Per,11)-SUMIFS(j_CrAmt,j_CrAcct,$D9,j_Per,11)+IF($D9=acctTax,SUMIFS(j_TaxDr,j_Posted,1,j_Per,11)-SUMIFS(j_TaxCr,j_Posted,1,j_Per,11),0))</f>
        <v/>
      </c>
      <c r="Y9" s="95">
        <f>IF($D9="",0,SUMIFS(j_DrAmt,j_DrAcct,$D9,j_Per,12)-SUMIFS(j_CrAmt,j_CrAcct,$D9,j_Per,12)+IF($D9=acctTax,SUMIFS(j_TaxDr,j_Posted,1,j_Per,12)-SUMIFS(j_TaxCr,j_Posted,1,j_Per,12),0))</f>
        <v/>
      </c>
      <c r="Z9" s="95">
        <f>SUMPRODUCT(($N$5:$Y$5&lt;=RptIdx)*N9:Y9)</f>
        <v/>
      </c>
      <c r="AA9" s="95">
        <f>IF(AND(RptIdx&gt;=1,RptIdx&lt;=12),INDEX(N9:Y9,RptIdx),0)</f>
        <v/>
      </c>
      <c r="AB9" s="95">
        <f>IF($D9="",0,IF(RptIdx&gt;1,INDEX(N9:Y9,RptIdx-1),SUMIFS(j_DrAmt,j_DrAcct,$D9,j_Date,"&gt;="&amp;PrevStart,j_Date,"&lt;="&amp;PrevEnd)-SUMIFS(j_CrAmt,j_CrAcct,$D9,j_Date,"&gt;="&amp;PrevStart,j_Date,"&lt;="&amp;PrevEnd)+IF($D9=acctTax,SUMIFS(j_TaxDr,j_Posted,1,j_Date,"&gt;="&amp;PrevStart,j_Date,"&lt;="&amp;PrevEnd)-SUMIFS(j_TaxCr,j_Posted,1,j_Date,"&gt;="&amp;PrevStart,j_Date,"&lt;="&amp;PrevEnd),0)))</f>
        <v/>
      </c>
      <c r="AC9" s="95">
        <f>SUM(N9:Y9)</f>
        <v/>
      </c>
      <c r="AD9" s="95">
        <f>L9+M9+Z9</f>
        <v/>
      </c>
      <c r="AE9" s="95">
        <f>AD9-AA9</f>
        <v/>
      </c>
      <c r="AF9" s="58">
        <f>IF($D9="","",F9&amp;"|"&amp;COUNTIFS($F$7:F9,F9,$D$7:D9,"&lt;&gt;"))</f>
        <v/>
      </c>
      <c r="AG9" s="58">
        <f>IF(AND($D9&lt;&gt;"",H9="Cash"),"Cash|"&amp;COUNTIFS($H$7:H9,"Cash",$D$7:D9,"&lt;&gt;"),"")</f>
        <v/>
      </c>
      <c r="AH9" s="95">
        <f>IF(AND($D9&lt;&gt;"",OR(F9="Cost of Sales",F9="Operating Expense",F9="Other Expense"),Z9&gt;0),Z9+3/1000000,"")</f>
        <v/>
      </c>
      <c r="AI9" s="95">
        <f>L9+M9+SUM(N9:N9)</f>
        <v/>
      </c>
      <c r="AJ9" s="95">
        <f>L9+M9+SUM(N9:O9)</f>
        <v/>
      </c>
      <c r="AK9" s="95">
        <f>L9+M9+SUM(N9:P9)</f>
        <v/>
      </c>
      <c r="AL9" s="95">
        <f>L9+M9+SUM(N9:Q9)</f>
        <v/>
      </c>
      <c r="AM9" s="95">
        <f>L9+M9+SUM(N9:R9)</f>
        <v/>
      </c>
      <c r="AN9" s="95">
        <f>L9+M9+SUM(N9:S9)</f>
        <v/>
      </c>
      <c r="AO9" s="95">
        <f>L9+M9+SUM(N9:T9)</f>
        <v/>
      </c>
      <c r="AP9" s="95">
        <f>L9+M9+SUM(N9:U9)</f>
        <v/>
      </c>
      <c r="AQ9" s="95">
        <f>L9+M9+SUM(N9:V9)</f>
        <v/>
      </c>
      <c r="AR9" s="95">
        <f>L9+M9+SUM(N9:W9)</f>
        <v/>
      </c>
      <c r="AS9" s="95">
        <f>L9+M9+SUM(N9:X9)</f>
        <v/>
      </c>
      <c r="AT9" s="95">
        <f>L9+M9+SUM(N9:Y9)</f>
        <v/>
      </c>
    </row>
    <row r="10">
      <c r="B10" s="58" t="n">
        <v>4</v>
      </c>
      <c r="C10" s="58">
        <f>IFERROR(INDEX(coa_Name,4)&amp;"","")</f>
        <v/>
      </c>
      <c r="D10" s="58">
        <f>IF(C10="","",IF(COUNTIF($C$7:C10,C10)&gt;1,"",C10))</f>
        <v/>
      </c>
      <c r="E10" s="58">
        <f>IF($D10="","",INDEX(coa_Code,4))</f>
        <v/>
      </c>
      <c r="F10" s="58">
        <f>IF($D10="","",INDEX(coa_Type,4)&amp;"")</f>
        <v/>
      </c>
      <c r="G10" s="58">
        <f>IF($D10="","",INDEX(coa_Normal,4)&amp;"")</f>
        <v/>
      </c>
      <c r="H10" s="58">
        <f>IF($D10="","",IF(INDEX(coa_CF,4)&amp;""="","Operating",INDEX(coa_CF,4)&amp;""))</f>
        <v/>
      </c>
      <c r="I10" s="58">
        <f>IF($D10="","",IFERROR(INDEX(at_Stmt,MATCH(F10,at_Type,0)),""))</f>
        <v/>
      </c>
      <c r="J10" s="58">
        <f>IF($D10="",0,IFERROR(INDEX(at_Sign,MATCH(F10,at_Type,0)),0))</f>
        <v/>
      </c>
      <c r="K10" s="95">
        <f>IF($D10="",0,IF(G10="Credit",-1,1)*N(INDEX(coa_Open,4)))</f>
        <v/>
      </c>
      <c r="L10" s="95">
        <f>IF($D10="",0,IF($D10=acctOBE,K10-SUM($K$7:$K$156),K10))</f>
        <v/>
      </c>
      <c r="M10" s="95">
        <f>IF($D10="",0,SUMIFS(j_DrAmt,j_DrAcct,$D10,j_Per,0)-SUMIFS(j_CrAmt,j_CrAcct,$D10,j_Per,0)+IF($D10=acctTax,SUMIFS(j_TaxDr,j_Posted,1,j_Per,0)-SUMIFS(j_TaxCr,j_Posted,1,j_Per,0),0))</f>
        <v/>
      </c>
      <c r="N10" s="95">
        <f>IF($D10="",0,SUMIFS(j_DrAmt,j_DrAcct,$D10,j_Per,1)-SUMIFS(j_CrAmt,j_CrAcct,$D10,j_Per,1)+IF($D10=acctTax,SUMIFS(j_TaxDr,j_Posted,1,j_Per,1)-SUMIFS(j_TaxCr,j_Posted,1,j_Per,1),0))</f>
        <v/>
      </c>
      <c r="O10" s="95">
        <f>IF($D10="",0,SUMIFS(j_DrAmt,j_DrAcct,$D10,j_Per,2)-SUMIFS(j_CrAmt,j_CrAcct,$D10,j_Per,2)+IF($D10=acctTax,SUMIFS(j_TaxDr,j_Posted,1,j_Per,2)-SUMIFS(j_TaxCr,j_Posted,1,j_Per,2),0))</f>
        <v/>
      </c>
      <c r="P10" s="95">
        <f>IF($D10="",0,SUMIFS(j_DrAmt,j_DrAcct,$D10,j_Per,3)-SUMIFS(j_CrAmt,j_CrAcct,$D10,j_Per,3)+IF($D10=acctTax,SUMIFS(j_TaxDr,j_Posted,1,j_Per,3)-SUMIFS(j_TaxCr,j_Posted,1,j_Per,3),0))</f>
        <v/>
      </c>
      <c r="Q10" s="95">
        <f>IF($D10="",0,SUMIFS(j_DrAmt,j_DrAcct,$D10,j_Per,4)-SUMIFS(j_CrAmt,j_CrAcct,$D10,j_Per,4)+IF($D10=acctTax,SUMIFS(j_TaxDr,j_Posted,1,j_Per,4)-SUMIFS(j_TaxCr,j_Posted,1,j_Per,4),0))</f>
        <v/>
      </c>
      <c r="R10" s="95">
        <f>IF($D10="",0,SUMIFS(j_DrAmt,j_DrAcct,$D10,j_Per,5)-SUMIFS(j_CrAmt,j_CrAcct,$D10,j_Per,5)+IF($D10=acctTax,SUMIFS(j_TaxDr,j_Posted,1,j_Per,5)-SUMIFS(j_TaxCr,j_Posted,1,j_Per,5),0))</f>
        <v/>
      </c>
      <c r="S10" s="95">
        <f>IF($D10="",0,SUMIFS(j_DrAmt,j_DrAcct,$D10,j_Per,6)-SUMIFS(j_CrAmt,j_CrAcct,$D10,j_Per,6)+IF($D10=acctTax,SUMIFS(j_TaxDr,j_Posted,1,j_Per,6)-SUMIFS(j_TaxCr,j_Posted,1,j_Per,6),0))</f>
        <v/>
      </c>
      <c r="T10" s="95">
        <f>IF($D10="",0,SUMIFS(j_DrAmt,j_DrAcct,$D10,j_Per,7)-SUMIFS(j_CrAmt,j_CrAcct,$D10,j_Per,7)+IF($D10=acctTax,SUMIFS(j_TaxDr,j_Posted,1,j_Per,7)-SUMIFS(j_TaxCr,j_Posted,1,j_Per,7),0))</f>
        <v/>
      </c>
      <c r="U10" s="95">
        <f>IF($D10="",0,SUMIFS(j_DrAmt,j_DrAcct,$D10,j_Per,8)-SUMIFS(j_CrAmt,j_CrAcct,$D10,j_Per,8)+IF($D10=acctTax,SUMIFS(j_TaxDr,j_Posted,1,j_Per,8)-SUMIFS(j_TaxCr,j_Posted,1,j_Per,8),0))</f>
        <v/>
      </c>
      <c r="V10" s="95">
        <f>IF($D10="",0,SUMIFS(j_DrAmt,j_DrAcct,$D10,j_Per,9)-SUMIFS(j_CrAmt,j_CrAcct,$D10,j_Per,9)+IF($D10=acctTax,SUMIFS(j_TaxDr,j_Posted,1,j_Per,9)-SUMIFS(j_TaxCr,j_Posted,1,j_Per,9),0))</f>
        <v/>
      </c>
      <c r="W10" s="95">
        <f>IF($D10="",0,SUMIFS(j_DrAmt,j_DrAcct,$D10,j_Per,10)-SUMIFS(j_CrAmt,j_CrAcct,$D10,j_Per,10)+IF($D10=acctTax,SUMIFS(j_TaxDr,j_Posted,1,j_Per,10)-SUMIFS(j_TaxCr,j_Posted,1,j_Per,10),0))</f>
        <v/>
      </c>
      <c r="X10" s="95">
        <f>IF($D10="",0,SUMIFS(j_DrAmt,j_DrAcct,$D10,j_Per,11)-SUMIFS(j_CrAmt,j_CrAcct,$D10,j_Per,11)+IF($D10=acctTax,SUMIFS(j_TaxDr,j_Posted,1,j_Per,11)-SUMIFS(j_TaxCr,j_Posted,1,j_Per,11),0))</f>
        <v/>
      </c>
      <c r="Y10" s="95">
        <f>IF($D10="",0,SUMIFS(j_DrAmt,j_DrAcct,$D10,j_Per,12)-SUMIFS(j_CrAmt,j_CrAcct,$D10,j_Per,12)+IF($D10=acctTax,SUMIFS(j_TaxDr,j_Posted,1,j_Per,12)-SUMIFS(j_TaxCr,j_Posted,1,j_Per,12),0))</f>
        <v/>
      </c>
      <c r="Z10" s="95">
        <f>SUMPRODUCT(($N$5:$Y$5&lt;=RptIdx)*N10:Y10)</f>
        <v/>
      </c>
      <c r="AA10" s="95">
        <f>IF(AND(RptIdx&gt;=1,RptIdx&lt;=12),INDEX(N10:Y10,RptIdx),0)</f>
        <v/>
      </c>
      <c r="AB10" s="95">
        <f>IF($D10="",0,IF(RptIdx&gt;1,INDEX(N10:Y10,RptIdx-1),SUMIFS(j_DrAmt,j_DrAcct,$D10,j_Date,"&gt;="&amp;PrevStart,j_Date,"&lt;="&amp;PrevEnd)-SUMIFS(j_CrAmt,j_CrAcct,$D10,j_Date,"&gt;="&amp;PrevStart,j_Date,"&lt;="&amp;PrevEnd)+IF($D10=acctTax,SUMIFS(j_TaxDr,j_Posted,1,j_Date,"&gt;="&amp;PrevStart,j_Date,"&lt;="&amp;PrevEnd)-SUMIFS(j_TaxCr,j_Posted,1,j_Date,"&gt;="&amp;PrevStart,j_Date,"&lt;="&amp;PrevEnd),0)))</f>
        <v/>
      </c>
      <c r="AC10" s="95">
        <f>SUM(N10:Y10)</f>
        <v/>
      </c>
      <c r="AD10" s="95">
        <f>L10+M10+Z10</f>
        <v/>
      </c>
      <c r="AE10" s="95">
        <f>AD10-AA10</f>
        <v/>
      </c>
      <c r="AF10" s="58">
        <f>IF($D10="","",F10&amp;"|"&amp;COUNTIFS($F$7:F10,F10,$D$7:D10,"&lt;&gt;"))</f>
        <v/>
      </c>
      <c r="AG10" s="58">
        <f>IF(AND($D10&lt;&gt;"",H10="Cash"),"Cash|"&amp;COUNTIFS($H$7:H10,"Cash",$D$7:D10,"&lt;&gt;"),"")</f>
        <v/>
      </c>
      <c r="AH10" s="95">
        <f>IF(AND($D10&lt;&gt;"",OR(F10="Cost of Sales",F10="Operating Expense",F10="Other Expense"),Z10&gt;0),Z10+4/1000000,"")</f>
        <v/>
      </c>
      <c r="AI10" s="95">
        <f>L10+M10+SUM(N10:N10)</f>
        <v/>
      </c>
      <c r="AJ10" s="95">
        <f>L10+M10+SUM(N10:O10)</f>
        <v/>
      </c>
      <c r="AK10" s="95">
        <f>L10+M10+SUM(N10:P10)</f>
        <v/>
      </c>
      <c r="AL10" s="95">
        <f>L10+M10+SUM(N10:Q10)</f>
        <v/>
      </c>
      <c r="AM10" s="95">
        <f>L10+M10+SUM(N10:R10)</f>
        <v/>
      </c>
      <c r="AN10" s="95">
        <f>L10+M10+SUM(N10:S10)</f>
        <v/>
      </c>
      <c r="AO10" s="95">
        <f>L10+M10+SUM(N10:T10)</f>
        <v/>
      </c>
      <c r="AP10" s="95">
        <f>L10+M10+SUM(N10:U10)</f>
        <v/>
      </c>
      <c r="AQ10" s="95">
        <f>L10+M10+SUM(N10:V10)</f>
        <v/>
      </c>
      <c r="AR10" s="95">
        <f>L10+M10+SUM(N10:W10)</f>
        <v/>
      </c>
      <c r="AS10" s="95">
        <f>L10+M10+SUM(N10:X10)</f>
        <v/>
      </c>
      <c r="AT10" s="95">
        <f>L10+M10+SUM(N10:Y10)</f>
        <v/>
      </c>
    </row>
    <row r="11">
      <c r="B11" s="58" t="n">
        <v>5</v>
      </c>
      <c r="C11" s="58">
        <f>IFERROR(INDEX(coa_Name,5)&amp;"","")</f>
        <v/>
      </c>
      <c r="D11" s="58">
        <f>IF(C11="","",IF(COUNTIF($C$7:C11,C11)&gt;1,"",C11))</f>
        <v/>
      </c>
      <c r="E11" s="58">
        <f>IF($D11="","",INDEX(coa_Code,5))</f>
        <v/>
      </c>
      <c r="F11" s="58">
        <f>IF($D11="","",INDEX(coa_Type,5)&amp;"")</f>
        <v/>
      </c>
      <c r="G11" s="58">
        <f>IF($D11="","",INDEX(coa_Normal,5)&amp;"")</f>
        <v/>
      </c>
      <c r="H11" s="58">
        <f>IF($D11="","",IF(INDEX(coa_CF,5)&amp;""="","Operating",INDEX(coa_CF,5)&amp;""))</f>
        <v/>
      </c>
      <c r="I11" s="58">
        <f>IF($D11="","",IFERROR(INDEX(at_Stmt,MATCH(F11,at_Type,0)),""))</f>
        <v/>
      </c>
      <c r="J11" s="58">
        <f>IF($D11="",0,IFERROR(INDEX(at_Sign,MATCH(F11,at_Type,0)),0))</f>
        <v/>
      </c>
      <c r="K11" s="95">
        <f>IF($D11="",0,IF(G11="Credit",-1,1)*N(INDEX(coa_Open,5)))</f>
        <v/>
      </c>
      <c r="L11" s="95">
        <f>IF($D11="",0,IF($D11=acctOBE,K11-SUM($K$7:$K$156),K11))</f>
        <v/>
      </c>
      <c r="M11" s="95">
        <f>IF($D11="",0,SUMIFS(j_DrAmt,j_DrAcct,$D11,j_Per,0)-SUMIFS(j_CrAmt,j_CrAcct,$D11,j_Per,0)+IF($D11=acctTax,SUMIFS(j_TaxDr,j_Posted,1,j_Per,0)-SUMIFS(j_TaxCr,j_Posted,1,j_Per,0),0))</f>
        <v/>
      </c>
      <c r="N11" s="95">
        <f>IF($D11="",0,SUMIFS(j_DrAmt,j_DrAcct,$D11,j_Per,1)-SUMIFS(j_CrAmt,j_CrAcct,$D11,j_Per,1)+IF($D11=acctTax,SUMIFS(j_TaxDr,j_Posted,1,j_Per,1)-SUMIFS(j_TaxCr,j_Posted,1,j_Per,1),0))</f>
        <v/>
      </c>
      <c r="O11" s="95">
        <f>IF($D11="",0,SUMIFS(j_DrAmt,j_DrAcct,$D11,j_Per,2)-SUMIFS(j_CrAmt,j_CrAcct,$D11,j_Per,2)+IF($D11=acctTax,SUMIFS(j_TaxDr,j_Posted,1,j_Per,2)-SUMIFS(j_TaxCr,j_Posted,1,j_Per,2),0))</f>
        <v/>
      </c>
      <c r="P11" s="95">
        <f>IF($D11="",0,SUMIFS(j_DrAmt,j_DrAcct,$D11,j_Per,3)-SUMIFS(j_CrAmt,j_CrAcct,$D11,j_Per,3)+IF($D11=acctTax,SUMIFS(j_TaxDr,j_Posted,1,j_Per,3)-SUMIFS(j_TaxCr,j_Posted,1,j_Per,3),0))</f>
        <v/>
      </c>
      <c r="Q11" s="95">
        <f>IF($D11="",0,SUMIFS(j_DrAmt,j_DrAcct,$D11,j_Per,4)-SUMIFS(j_CrAmt,j_CrAcct,$D11,j_Per,4)+IF($D11=acctTax,SUMIFS(j_TaxDr,j_Posted,1,j_Per,4)-SUMIFS(j_TaxCr,j_Posted,1,j_Per,4),0))</f>
        <v/>
      </c>
      <c r="R11" s="95">
        <f>IF($D11="",0,SUMIFS(j_DrAmt,j_DrAcct,$D11,j_Per,5)-SUMIFS(j_CrAmt,j_CrAcct,$D11,j_Per,5)+IF($D11=acctTax,SUMIFS(j_TaxDr,j_Posted,1,j_Per,5)-SUMIFS(j_TaxCr,j_Posted,1,j_Per,5),0))</f>
        <v/>
      </c>
      <c r="S11" s="95">
        <f>IF($D11="",0,SUMIFS(j_DrAmt,j_DrAcct,$D11,j_Per,6)-SUMIFS(j_CrAmt,j_CrAcct,$D11,j_Per,6)+IF($D11=acctTax,SUMIFS(j_TaxDr,j_Posted,1,j_Per,6)-SUMIFS(j_TaxCr,j_Posted,1,j_Per,6),0))</f>
        <v/>
      </c>
      <c r="T11" s="95">
        <f>IF($D11="",0,SUMIFS(j_DrAmt,j_DrAcct,$D11,j_Per,7)-SUMIFS(j_CrAmt,j_CrAcct,$D11,j_Per,7)+IF($D11=acctTax,SUMIFS(j_TaxDr,j_Posted,1,j_Per,7)-SUMIFS(j_TaxCr,j_Posted,1,j_Per,7),0))</f>
        <v/>
      </c>
      <c r="U11" s="95">
        <f>IF($D11="",0,SUMIFS(j_DrAmt,j_DrAcct,$D11,j_Per,8)-SUMIFS(j_CrAmt,j_CrAcct,$D11,j_Per,8)+IF($D11=acctTax,SUMIFS(j_TaxDr,j_Posted,1,j_Per,8)-SUMIFS(j_TaxCr,j_Posted,1,j_Per,8),0))</f>
        <v/>
      </c>
      <c r="V11" s="95">
        <f>IF($D11="",0,SUMIFS(j_DrAmt,j_DrAcct,$D11,j_Per,9)-SUMIFS(j_CrAmt,j_CrAcct,$D11,j_Per,9)+IF($D11=acctTax,SUMIFS(j_TaxDr,j_Posted,1,j_Per,9)-SUMIFS(j_TaxCr,j_Posted,1,j_Per,9),0))</f>
        <v/>
      </c>
      <c r="W11" s="95">
        <f>IF($D11="",0,SUMIFS(j_DrAmt,j_DrAcct,$D11,j_Per,10)-SUMIFS(j_CrAmt,j_CrAcct,$D11,j_Per,10)+IF($D11=acctTax,SUMIFS(j_TaxDr,j_Posted,1,j_Per,10)-SUMIFS(j_TaxCr,j_Posted,1,j_Per,10),0))</f>
        <v/>
      </c>
      <c r="X11" s="95">
        <f>IF($D11="",0,SUMIFS(j_DrAmt,j_DrAcct,$D11,j_Per,11)-SUMIFS(j_CrAmt,j_CrAcct,$D11,j_Per,11)+IF($D11=acctTax,SUMIFS(j_TaxDr,j_Posted,1,j_Per,11)-SUMIFS(j_TaxCr,j_Posted,1,j_Per,11),0))</f>
        <v/>
      </c>
      <c r="Y11" s="95">
        <f>IF($D11="",0,SUMIFS(j_DrAmt,j_DrAcct,$D11,j_Per,12)-SUMIFS(j_CrAmt,j_CrAcct,$D11,j_Per,12)+IF($D11=acctTax,SUMIFS(j_TaxDr,j_Posted,1,j_Per,12)-SUMIFS(j_TaxCr,j_Posted,1,j_Per,12),0))</f>
        <v/>
      </c>
      <c r="Z11" s="95">
        <f>SUMPRODUCT(($N$5:$Y$5&lt;=RptIdx)*N11:Y11)</f>
        <v/>
      </c>
      <c r="AA11" s="95">
        <f>IF(AND(RptIdx&gt;=1,RptIdx&lt;=12),INDEX(N11:Y11,RptIdx),0)</f>
        <v/>
      </c>
      <c r="AB11" s="95">
        <f>IF($D11="",0,IF(RptIdx&gt;1,INDEX(N11:Y11,RptIdx-1),SUMIFS(j_DrAmt,j_DrAcct,$D11,j_Date,"&gt;="&amp;PrevStart,j_Date,"&lt;="&amp;PrevEnd)-SUMIFS(j_CrAmt,j_CrAcct,$D11,j_Date,"&gt;="&amp;PrevStart,j_Date,"&lt;="&amp;PrevEnd)+IF($D11=acctTax,SUMIFS(j_TaxDr,j_Posted,1,j_Date,"&gt;="&amp;PrevStart,j_Date,"&lt;="&amp;PrevEnd)-SUMIFS(j_TaxCr,j_Posted,1,j_Date,"&gt;="&amp;PrevStart,j_Date,"&lt;="&amp;PrevEnd),0)))</f>
        <v/>
      </c>
      <c r="AC11" s="95">
        <f>SUM(N11:Y11)</f>
        <v/>
      </c>
      <c r="AD11" s="95">
        <f>L11+M11+Z11</f>
        <v/>
      </c>
      <c r="AE11" s="95">
        <f>AD11-AA11</f>
        <v/>
      </c>
      <c r="AF11" s="58">
        <f>IF($D11="","",F11&amp;"|"&amp;COUNTIFS($F$7:F11,F11,$D$7:D11,"&lt;&gt;"))</f>
        <v/>
      </c>
      <c r="AG11" s="58">
        <f>IF(AND($D11&lt;&gt;"",H11="Cash"),"Cash|"&amp;COUNTIFS($H$7:H11,"Cash",$D$7:D11,"&lt;&gt;"),"")</f>
        <v/>
      </c>
      <c r="AH11" s="95">
        <f>IF(AND($D11&lt;&gt;"",OR(F11="Cost of Sales",F11="Operating Expense",F11="Other Expense"),Z11&gt;0),Z11+5/1000000,"")</f>
        <v/>
      </c>
      <c r="AI11" s="95">
        <f>L11+M11+SUM(N11:N11)</f>
        <v/>
      </c>
      <c r="AJ11" s="95">
        <f>L11+M11+SUM(N11:O11)</f>
        <v/>
      </c>
      <c r="AK11" s="95">
        <f>L11+M11+SUM(N11:P11)</f>
        <v/>
      </c>
      <c r="AL11" s="95">
        <f>L11+M11+SUM(N11:Q11)</f>
        <v/>
      </c>
      <c r="AM11" s="95">
        <f>L11+M11+SUM(N11:R11)</f>
        <v/>
      </c>
      <c r="AN11" s="95">
        <f>L11+M11+SUM(N11:S11)</f>
        <v/>
      </c>
      <c r="AO11" s="95">
        <f>L11+M11+SUM(N11:T11)</f>
        <v/>
      </c>
      <c r="AP11" s="95">
        <f>L11+M11+SUM(N11:U11)</f>
        <v/>
      </c>
      <c r="AQ11" s="95">
        <f>L11+M11+SUM(N11:V11)</f>
        <v/>
      </c>
      <c r="AR11" s="95">
        <f>L11+M11+SUM(N11:W11)</f>
        <v/>
      </c>
      <c r="AS11" s="95">
        <f>L11+M11+SUM(N11:X11)</f>
        <v/>
      </c>
      <c r="AT11" s="95">
        <f>L11+M11+SUM(N11:Y11)</f>
        <v/>
      </c>
    </row>
    <row r="12">
      <c r="B12" s="58" t="n">
        <v>6</v>
      </c>
      <c r="C12" s="58">
        <f>IFERROR(INDEX(coa_Name,6)&amp;"","")</f>
        <v/>
      </c>
      <c r="D12" s="58">
        <f>IF(C12="","",IF(COUNTIF($C$7:C12,C12)&gt;1,"",C12))</f>
        <v/>
      </c>
      <c r="E12" s="58">
        <f>IF($D12="","",INDEX(coa_Code,6))</f>
        <v/>
      </c>
      <c r="F12" s="58">
        <f>IF($D12="","",INDEX(coa_Type,6)&amp;"")</f>
        <v/>
      </c>
      <c r="G12" s="58">
        <f>IF($D12="","",INDEX(coa_Normal,6)&amp;"")</f>
        <v/>
      </c>
      <c r="H12" s="58">
        <f>IF($D12="","",IF(INDEX(coa_CF,6)&amp;""="","Operating",INDEX(coa_CF,6)&amp;""))</f>
        <v/>
      </c>
      <c r="I12" s="58">
        <f>IF($D12="","",IFERROR(INDEX(at_Stmt,MATCH(F12,at_Type,0)),""))</f>
        <v/>
      </c>
      <c r="J12" s="58">
        <f>IF($D12="",0,IFERROR(INDEX(at_Sign,MATCH(F12,at_Type,0)),0))</f>
        <v/>
      </c>
      <c r="K12" s="95">
        <f>IF($D12="",0,IF(G12="Credit",-1,1)*N(INDEX(coa_Open,6)))</f>
        <v/>
      </c>
      <c r="L12" s="95">
        <f>IF($D12="",0,IF($D12=acctOBE,K12-SUM($K$7:$K$156),K12))</f>
        <v/>
      </c>
      <c r="M12" s="95">
        <f>IF($D12="",0,SUMIFS(j_DrAmt,j_DrAcct,$D12,j_Per,0)-SUMIFS(j_CrAmt,j_CrAcct,$D12,j_Per,0)+IF($D12=acctTax,SUMIFS(j_TaxDr,j_Posted,1,j_Per,0)-SUMIFS(j_TaxCr,j_Posted,1,j_Per,0),0))</f>
        <v/>
      </c>
      <c r="N12" s="95">
        <f>IF($D12="",0,SUMIFS(j_DrAmt,j_DrAcct,$D12,j_Per,1)-SUMIFS(j_CrAmt,j_CrAcct,$D12,j_Per,1)+IF($D12=acctTax,SUMIFS(j_TaxDr,j_Posted,1,j_Per,1)-SUMIFS(j_TaxCr,j_Posted,1,j_Per,1),0))</f>
        <v/>
      </c>
      <c r="O12" s="95">
        <f>IF($D12="",0,SUMIFS(j_DrAmt,j_DrAcct,$D12,j_Per,2)-SUMIFS(j_CrAmt,j_CrAcct,$D12,j_Per,2)+IF($D12=acctTax,SUMIFS(j_TaxDr,j_Posted,1,j_Per,2)-SUMIFS(j_TaxCr,j_Posted,1,j_Per,2),0))</f>
        <v/>
      </c>
      <c r="P12" s="95">
        <f>IF($D12="",0,SUMIFS(j_DrAmt,j_DrAcct,$D12,j_Per,3)-SUMIFS(j_CrAmt,j_CrAcct,$D12,j_Per,3)+IF($D12=acctTax,SUMIFS(j_TaxDr,j_Posted,1,j_Per,3)-SUMIFS(j_TaxCr,j_Posted,1,j_Per,3),0))</f>
        <v/>
      </c>
      <c r="Q12" s="95">
        <f>IF($D12="",0,SUMIFS(j_DrAmt,j_DrAcct,$D12,j_Per,4)-SUMIFS(j_CrAmt,j_CrAcct,$D12,j_Per,4)+IF($D12=acctTax,SUMIFS(j_TaxDr,j_Posted,1,j_Per,4)-SUMIFS(j_TaxCr,j_Posted,1,j_Per,4),0))</f>
        <v/>
      </c>
      <c r="R12" s="95">
        <f>IF($D12="",0,SUMIFS(j_DrAmt,j_DrAcct,$D12,j_Per,5)-SUMIFS(j_CrAmt,j_CrAcct,$D12,j_Per,5)+IF($D12=acctTax,SUMIFS(j_TaxDr,j_Posted,1,j_Per,5)-SUMIFS(j_TaxCr,j_Posted,1,j_Per,5),0))</f>
        <v/>
      </c>
      <c r="S12" s="95">
        <f>IF($D12="",0,SUMIFS(j_DrAmt,j_DrAcct,$D12,j_Per,6)-SUMIFS(j_CrAmt,j_CrAcct,$D12,j_Per,6)+IF($D12=acctTax,SUMIFS(j_TaxDr,j_Posted,1,j_Per,6)-SUMIFS(j_TaxCr,j_Posted,1,j_Per,6),0))</f>
        <v/>
      </c>
      <c r="T12" s="95">
        <f>IF($D12="",0,SUMIFS(j_DrAmt,j_DrAcct,$D12,j_Per,7)-SUMIFS(j_CrAmt,j_CrAcct,$D12,j_Per,7)+IF($D12=acctTax,SUMIFS(j_TaxDr,j_Posted,1,j_Per,7)-SUMIFS(j_TaxCr,j_Posted,1,j_Per,7),0))</f>
        <v/>
      </c>
      <c r="U12" s="95">
        <f>IF($D12="",0,SUMIFS(j_DrAmt,j_DrAcct,$D12,j_Per,8)-SUMIFS(j_CrAmt,j_CrAcct,$D12,j_Per,8)+IF($D12=acctTax,SUMIFS(j_TaxDr,j_Posted,1,j_Per,8)-SUMIFS(j_TaxCr,j_Posted,1,j_Per,8),0))</f>
        <v/>
      </c>
      <c r="V12" s="95">
        <f>IF($D12="",0,SUMIFS(j_DrAmt,j_DrAcct,$D12,j_Per,9)-SUMIFS(j_CrAmt,j_CrAcct,$D12,j_Per,9)+IF($D12=acctTax,SUMIFS(j_TaxDr,j_Posted,1,j_Per,9)-SUMIFS(j_TaxCr,j_Posted,1,j_Per,9),0))</f>
        <v/>
      </c>
      <c r="W12" s="95">
        <f>IF($D12="",0,SUMIFS(j_DrAmt,j_DrAcct,$D12,j_Per,10)-SUMIFS(j_CrAmt,j_CrAcct,$D12,j_Per,10)+IF($D12=acctTax,SUMIFS(j_TaxDr,j_Posted,1,j_Per,10)-SUMIFS(j_TaxCr,j_Posted,1,j_Per,10),0))</f>
        <v/>
      </c>
      <c r="X12" s="95">
        <f>IF($D12="",0,SUMIFS(j_DrAmt,j_DrAcct,$D12,j_Per,11)-SUMIFS(j_CrAmt,j_CrAcct,$D12,j_Per,11)+IF($D12=acctTax,SUMIFS(j_TaxDr,j_Posted,1,j_Per,11)-SUMIFS(j_TaxCr,j_Posted,1,j_Per,11),0))</f>
        <v/>
      </c>
      <c r="Y12" s="95">
        <f>IF($D12="",0,SUMIFS(j_DrAmt,j_DrAcct,$D12,j_Per,12)-SUMIFS(j_CrAmt,j_CrAcct,$D12,j_Per,12)+IF($D12=acctTax,SUMIFS(j_TaxDr,j_Posted,1,j_Per,12)-SUMIFS(j_TaxCr,j_Posted,1,j_Per,12),0))</f>
        <v/>
      </c>
      <c r="Z12" s="95">
        <f>SUMPRODUCT(($N$5:$Y$5&lt;=RptIdx)*N12:Y12)</f>
        <v/>
      </c>
      <c r="AA12" s="95">
        <f>IF(AND(RptIdx&gt;=1,RptIdx&lt;=12),INDEX(N12:Y12,RptIdx),0)</f>
        <v/>
      </c>
      <c r="AB12" s="95">
        <f>IF($D12="",0,IF(RptIdx&gt;1,INDEX(N12:Y12,RptIdx-1),SUMIFS(j_DrAmt,j_DrAcct,$D12,j_Date,"&gt;="&amp;PrevStart,j_Date,"&lt;="&amp;PrevEnd)-SUMIFS(j_CrAmt,j_CrAcct,$D12,j_Date,"&gt;="&amp;PrevStart,j_Date,"&lt;="&amp;PrevEnd)+IF($D12=acctTax,SUMIFS(j_TaxDr,j_Posted,1,j_Date,"&gt;="&amp;PrevStart,j_Date,"&lt;="&amp;PrevEnd)-SUMIFS(j_TaxCr,j_Posted,1,j_Date,"&gt;="&amp;PrevStart,j_Date,"&lt;="&amp;PrevEnd),0)))</f>
        <v/>
      </c>
      <c r="AC12" s="95">
        <f>SUM(N12:Y12)</f>
        <v/>
      </c>
      <c r="AD12" s="95">
        <f>L12+M12+Z12</f>
        <v/>
      </c>
      <c r="AE12" s="95">
        <f>AD12-AA12</f>
        <v/>
      </c>
      <c r="AF12" s="58">
        <f>IF($D12="","",F12&amp;"|"&amp;COUNTIFS($F$7:F12,F12,$D$7:D12,"&lt;&gt;"))</f>
        <v/>
      </c>
      <c r="AG12" s="58">
        <f>IF(AND($D12&lt;&gt;"",H12="Cash"),"Cash|"&amp;COUNTIFS($H$7:H12,"Cash",$D$7:D12,"&lt;&gt;"),"")</f>
        <v/>
      </c>
      <c r="AH12" s="95">
        <f>IF(AND($D12&lt;&gt;"",OR(F12="Cost of Sales",F12="Operating Expense",F12="Other Expense"),Z12&gt;0),Z12+6/1000000,"")</f>
        <v/>
      </c>
      <c r="AI12" s="95">
        <f>L12+M12+SUM(N12:N12)</f>
        <v/>
      </c>
      <c r="AJ12" s="95">
        <f>L12+M12+SUM(N12:O12)</f>
        <v/>
      </c>
      <c r="AK12" s="95">
        <f>L12+M12+SUM(N12:P12)</f>
        <v/>
      </c>
      <c r="AL12" s="95">
        <f>L12+M12+SUM(N12:Q12)</f>
        <v/>
      </c>
      <c r="AM12" s="95">
        <f>L12+M12+SUM(N12:R12)</f>
        <v/>
      </c>
      <c r="AN12" s="95">
        <f>L12+M12+SUM(N12:S12)</f>
        <v/>
      </c>
      <c r="AO12" s="95">
        <f>L12+M12+SUM(N12:T12)</f>
        <v/>
      </c>
      <c r="AP12" s="95">
        <f>L12+M12+SUM(N12:U12)</f>
        <v/>
      </c>
      <c r="AQ12" s="95">
        <f>L12+M12+SUM(N12:V12)</f>
        <v/>
      </c>
      <c r="AR12" s="95">
        <f>L12+M12+SUM(N12:W12)</f>
        <v/>
      </c>
      <c r="AS12" s="95">
        <f>L12+M12+SUM(N12:X12)</f>
        <v/>
      </c>
      <c r="AT12" s="95">
        <f>L12+M12+SUM(N12:Y12)</f>
        <v/>
      </c>
    </row>
    <row r="13">
      <c r="B13" s="58" t="n">
        <v>7</v>
      </c>
      <c r="C13" s="58">
        <f>IFERROR(INDEX(coa_Name,7)&amp;"","")</f>
        <v/>
      </c>
      <c r="D13" s="58">
        <f>IF(C13="","",IF(COUNTIF($C$7:C13,C13)&gt;1,"",C13))</f>
        <v/>
      </c>
      <c r="E13" s="58">
        <f>IF($D13="","",INDEX(coa_Code,7))</f>
        <v/>
      </c>
      <c r="F13" s="58">
        <f>IF($D13="","",INDEX(coa_Type,7)&amp;"")</f>
        <v/>
      </c>
      <c r="G13" s="58">
        <f>IF($D13="","",INDEX(coa_Normal,7)&amp;"")</f>
        <v/>
      </c>
      <c r="H13" s="58">
        <f>IF($D13="","",IF(INDEX(coa_CF,7)&amp;""="","Operating",INDEX(coa_CF,7)&amp;""))</f>
        <v/>
      </c>
      <c r="I13" s="58">
        <f>IF($D13="","",IFERROR(INDEX(at_Stmt,MATCH(F13,at_Type,0)),""))</f>
        <v/>
      </c>
      <c r="J13" s="58">
        <f>IF($D13="",0,IFERROR(INDEX(at_Sign,MATCH(F13,at_Type,0)),0))</f>
        <v/>
      </c>
      <c r="K13" s="95">
        <f>IF($D13="",0,IF(G13="Credit",-1,1)*N(INDEX(coa_Open,7)))</f>
        <v/>
      </c>
      <c r="L13" s="95">
        <f>IF($D13="",0,IF($D13=acctOBE,K13-SUM($K$7:$K$156),K13))</f>
        <v/>
      </c>
      <c r="M13" s="95">
        <f>IF($D13="",0,SUMIFS(j_DrAmt,j_DrAcct,$D13,j_Per,0)-SUMIFS(j_CrAmt,j_CrAcct,$D13,j_Per,0)+IF($D13=acctTax,SUMIFS(j_TaxDr,j_Posted,1,j_Per,0)-SUMIFS(j_TaxCr,j_Posted,1,j_Per,0),0))</f>
        <v/>
      </c>
      <c r="N13" s="95">
        <f>IF($D13="",0,SUMIFS(j_DrAmt,j_DrAcct,$D13,j_Per,1)-SUMIFS(j_CrAmt,j_CrAcct,$D13,j_Per,1)+IF($D13=acctTax,SUMIFS(j_TaxDr,j_Posted,1,j_Per,1)-SUMIFS(j_TaxCr,j_Posted,1,j_Per,1),0))</f>
        <v/>
      </c>
      <c r="O13" s="95">
        <f>IF($D13="",0,SUMIFS(j_DrAmt,j_DrAcct,$D13,j_Per,2)-SUMIFS(j_CrAmt,j_CrAcct,$D13,j_Per,2)+IF($D13=acctTax,SUMIFS(j_TaxDr,j_Posted,1,j_Per,2)-SUMIFS(j_TaxCr,j_Posted,1,j_Per,2),0))</f>
        <v/>
      </c>
      <c r="P13" s="95">
        <f>IF($D13="",0,SUMIFS(j_DrAmt,j_DrAcct,$D13,j_Per,3)-SUMIFS(j_CrAmt,j_CrAcct,$D13,j_Per,3)+IF($D13=acctTax,SUMIFS(j_TaxDr,j_Posted,1,j_Per,3)-SUMIFS(j_TaxCr,j_Posted,1,j_Per,3),0))</f>
        <v/>
      </c>
      <c r="Q13" s="95">
        <f>IF($D13="",0,SUMIFS(j_DrAmt,j_DrAcct,$D13,j_Per,4)-SUMIFS(j_CrAmt,j_CrAcct,$D13,j_Per,4)+IF($D13=acctTax,SUMIFS(j_TaxDr,j_Posted,1,j_Per,4)-SUMIFS(j_TaxCr,j_Posted,1,j_Per,4),0))</f>
        <v/>
      </c>
      <c r="R13" s="95">
        <f>IF($D13="",0,SUMIFS(j_DrAmt,j_DrAcct,$D13,j_Per,5)-SUMIFS(j_CrAmt,j_CrAcct,$D13,j_Per,5)+IF($D13=acctTax,SUMIFS(j_TaxDr,j_Posted,1,j_Per,5)-SUMIFS(j_TaxCr,j_Posted,1,j_Per,5),0))</f>
        <v/>
      </c>
      <c r="S13" s="95">
        <f>IF($D13="",0,SUMIFS(j_DrAmt,j_DrAcct,$D13,j_Per,6)-SUMIFS(j_CrAmt,j_CrAcct,$D13,j_Per,6)+IF($D13=acctTax,SUMIFS(j_TaxDr,j_Posted,1,j_Per,6)-SUMIFS(j_TaxCr,j_Posted,1,j_Per,6),0))</f>
        <v/>
      </c>
      <c r="T13" s="95">
        <f>IF($D13="",0,SUMIFS(j_DrAmt,j_DrAcct,$D13,j_Per,7)-SUMIFS(j_CrAmt,j_CrAcct,$D13,j_Per,7)+IF($D13=acctTax,SUMIFS(j_TaxDr,j_Posted,1,j_Per,7)-SUMIFS(j_TaxCr,j_Posted,1,j_Per,7),0))</f>
        <v/>
      </c>
      <c r="U13" s="95">
        <f>IF($D13="",0,SUMIFS(j_DrAmt,j_DrAcct,$D13,j_Per,8)-SUMIFS(j_CrAmt,j_CrAcct,$D13,j_Per,8)+IF($D13=acctTax,SUMIFS(j_TaxDr,j_Posted,1,j_Per,8)-SUMIFS(j_TaxCr,j_Posted,1,j_Per,8),0))</f>
        <v/>
      </c>
      <c r="V13" s="95">
        <f>IF($D13="",0,SUMIFS(j_DrAmt,j_DrAcct,$D13,j_Per,9)-SUMIFS(j_CrAmt,j_CrAcct,$D13,j_Per,9)+IF($D13=acctTax,SUMIFS(j_TaxDr,j_Posted,1,j_Per,9)-SUMIFS(j_TaxCr,j_Posted,1,j_Per,9),0))</f>
        <v/>
      </c>
      <c r="W13" s="95">
        <f>IF($D13="",0,SUMIFS(j_DrAmt,j_DrAcct,$D13,j_Per,10)-SUMIFS(j_CrAmt,j_CrAcct,$D13,j_Per,10)+IF($D13=acctTax,SUMIFS(j_TaxDr,j_Posted,1,j_Per,10)-SUMIFS(j_TaxCr,j_Posted,1,j_Per,10),0))</f>
        <v/>
      </c>
      <c r="X13" s="95">
        <f>IF($D13="",0,SUMIFS(j_DrAmt,j_DrAcct,$D13,j_Per,11)-SUMIFS(j_CrAmt,j_CrAcct,$D13,j_Per,11)+IF($D13=acctTax,SUMIFS(j_TaxDr,j_Posted,1,j_Per,11)-SUMIFS(j_TaxCr,j_Posted,1,j_Per,11),0))</f>
        <v/>
      </c>
      <c r="Y13" s="95">
        <f>IF($D13="",0,SUMIFS(j_DrAmt,j_DrAcct,$D13,j_Per,12)-SUMIFS(j_CrAmt,j_CrAcct,$D13,j_Per,12)+IF($D13=acctTax,SUMIFS(j_TaxDr,j_Posted,1,j_Per,12)-SUMIFS(j_TaxCr,j_Posted,1,j_Per,12),0))</f>
        <v/>
      </c>
      <c r="Z13" s="95">
        <f>SUMPRODUCT(($N$5:$Y$5&lt;=RptIdx)*N13:Y13)</f>
        <v/>
      </c>
      <c r="AA13" s="95">
        <f>IF(AND(RptIdx&gt;=1,RptIdx&lt;=12),INDEX(N13:Y13,RptIdx),0)</f>
        <v/>
      </c>
      <c r="AB13" s="95">
        <f>IF($D13="",0,IF(RptIdx&gt;1,INDEX(N13:Y13,RptIdx-1),SUMIFS(j_DrAmt,j_DrAcct,$D13,j_Date,"&gt;="&amp;PrevStart,j_Date,"&lt;="&amp;PrevEnd)-SUMIFS(j_CrAmt,j_CrAcct,$D13,j_Date,"&gt;="&amp;PrevStart,j_Date,"&lt;="&amp;PrevEnd)+IF($D13=acctTax,SUMIFS(j_TaxDr,j_Posted,1,j_Date,"&gt;="&amp;PrevStart,j_Date,"&lt;="&amp;PrevEnd)-SUMIFS(j_TaxCr,j_Posted,1,j_Date,"&gt;="&amp;PrevStart,j_Date,"&lt;="&amp;PrevEnd),0)))</f>
        <v/>
      </c>
      <c r="AC13" s="95">
        <f>SUM(N13:Y13)</f>
        <v/>
      </c>
      <c r="AD13" s="95">
        <f>L13+M13+Z13</f>
        <v/>
      </c>
      <c r="AE13" s="95">
        <f>AD13-AA13</f>
        <v/>
      </c>
      <c r="AF13" s="58">
        <f>IF($D13="","",F13&amp;"|"&amp;COUNTIFS($F$7:F13,F13,$D$7:D13,"&lt;&gt;"))</f>
        <v/>
      </c>
      <c r="AG13" s="58">
        <f>IF(AND($D13&lt;&gt;"",H13="Cash"),"Cash|"&amp;COUNTIFS($H$7:H13,"Cash",$D$7:D13,"&lt;&gt;"),"")</f>
        <v/>
      </c>
      <c r="AH13" s="95">
        <f>IF(AND($D13&lt;&gt;"",OR(F13="Cost of Sales",F13="Operating Expense",F13="Other Expense"),Z13&gt;0),Z13+7/1000000,"")</f>
        <v/>
      </c>
      <c r="AI13" s="95">
        <f>L13+M13+SUM(N13:N13)</f>
        <v/>
      </c>
      <c r="AJ13" s="95">
        <f>L13+M13+SUM(N13:O13)</f>
        <v/>
      </c>
      <c r="AK13" s="95">
        <f>L13+M13+SUM(N13:P13)</f>
        <v/>
      </c>
      <c r="AL13" s="95">
        <f>L13+M13+SUM(N13:Q13)</f>
        <v/>
      </c>
      <c r="AM13" s="95">
        <f>L13+M13+SUM(N13:R13)</f>
        <v/>
      </c>
      <c r="AN13" s="95">
        <f>L13+M13+SUM(N13:S13)</f>
        <v/>
      </c>
      <c r="AO13" s="95">
        <f>L13+M13+SUM(N13:T13)</f>
        <v/>
      </c>
      <c r="AP13" s="95">
        <f>L13+M13+SUM(N13:U13)</f>
        <v/>
      </c>
      <c r="AQ13" s="95">
        <f>L13+M13+SUM(N13:V13)</f>
        <v/>
      </c>
      <c r="AR13" s="95">
        <f>L13+M13+SUM(N13:W13)</f>
        <v/>
      </c>
      <c r="AS13" s="95">
        <f>L13+M13+SUM(N13:X13)</f>
        <v/>
      </c>
      <c r="AT13" s="95">
        <f>L13+M13+SUM(N13:Y13)</f>
        <v/>
      </c>
    </row>
    <row r="14">
      <c r="B14" s="58" t="n">
        <v>8</v>
      </c>
      <c r="C14" s="58">
        <f>IFERROR(INDEX(coa_Name,8)&amp;"","")</f>
        <v/>
      </c>
      <c r="D14" s="58">
        <f>IF(C14="","",IF(COUNTIF($C$7:C14,C14)&gt;1,"",C14))</f>
        <v/>
      </c>
      <c r="E14" s="58">
        <f>IF($D14="","",INDEX(coa_Code,8))</f>
        <v/>
      </c>
      <c r="F14" s="58">
        <f>IF($D14="","",INDEX(coa_Type,8)&amp;"")</f>
        <v/>
      </c>
      <c r="G14" s="58">
        <f>IF($D14="","",INDEX(coa_Normal,8)&amp;"")</f>
        <v/>
      </c>
      <c r="H14" s="58">
        <f>IF($D14="","",IF(INDEX(coa_CF,8)&amp;""="","Operating",INDEX(coa_CF,8)&amp;""))</f>
        <v/>
      </c>
      <c r="I14" s="58">
        <f>IF($D14="","",IFERROR(INDEX(at_Stmt,MATCH(F14,at_Type,0)),""))</f>
        <v/>
      </c>
      <c r="J14" s="58">
        <f>IF($D14="",0,IFERROR(INDEX(at_Sign,MATCH(F14,at_Type,0)),0))</f>
        <v/>
      </c>
      <c r="K14" s="95">
        <f>IF($D14="",0,IF(G14="Credit",-1,1)*N(INDEX(coa_Open,8)))</f>
        <v/>
      </c>
      <c r="L14" s="95">
        <f>IF($D14="",0,IF($D14=acctOBE,K14-SUM($K$7:$K$156),K14))</f>
        <v/>
      </c>
      <c r="M14" s="95">
        <f>IF($D14="",0,SUMIFS(j_DrAmt,j_DrAcct,$D14,j_Per,0)-SUMIFS(j_CrAmt,j_CrAcct,$D14,j_Per,0)+IF($D14=acctTax,SUMIFS(j_TaxDr,j_Posted,1,j_Per,0)-SUMIFS(j_TaxCr,j_Posted,1,j_Per,0),0))</f>
        <v/>
      </c>
      <c r="N14" s="95">
        <f>IF($D14="",0,SUMIFS(j_DrAmt,j_DrAcct,$D14,j_Per,1)-SUMIFS(j_CrAmt,j_CrAcct,$D14,j_Per,1)+IF($D14=acctTax,SUMIFS(j_TaxDr,j_Posted,1,j_Per,1)-SUMIFS(j_TaxCr,j_Posted,1,j_Per,1),0))</f>
        <v/>
      </c>
      <c r="O14" s="95">
        <f>IF($D14="",0,SUMIFS(j_DrAmt,j_DrAcct,$D14,j_Per,2)-SUMIFS(j_CrAmt,j_CrAcct,$D14,j_Per,2)+IF($D14=acctTax,SUMIFS(j_TaxDr,j_Posted,1,j_Per,2)-SUMIFS(j_TaxCr,j_Posted,1,j_Per,2),0))</f>
        <v/>
      </c>
      <c r="P14" s="95">
        <f>IF($D14="",0,SUMIFS(j_DrAmt,j_DrAcct,$D14,j_Per,3)-SUMIFS(j_CrAmt,j_CrAcct,$D14,j_Per,3)+IF($D14=acctTax,SUMIFS(j_TaxDr,j_Posted,1,j_Per,3)-SUMIFS(j_TaxCr,j_Posted,1,j_Per,3),0))</f>
        <v/>
      </c>
      <c r="Q14" s="95">
        <f>IF($D14="",0,SUMIFS(j_DrAmt,j_DrAcct,$D14,j_Per,4)-SUMIFS(j_CrAmt,j_CrAcct,$D14,j_Per,4)+IF($D14=acctTax,SUMIFS(j_TaxDr,j_Posted,1,j_Per,4)-SUMIFS(j_TaxCr,j_Posted,1,j_Per,4),0))</f>
        <v/>
      </c>
      <c r="R14" s="95">
        <f>IF($D14="",0,SUMIFS(j_DrAmt,j_DrAcct,$D14,j_Per,5)-SUMIFS(j_CrAmt,j_CrAcct,$D14,j_Per,5)+IF($D14=acctTax,SUMIFS(j_TaxDr,j_Posted,1,j_Per,5)-SUMIFS(j_TaxCr,j_Posted,1,j_Per,5),0))</f>
        <v/>
      </c>
      <c r="S14" s="95">
        <f>IF($D14="",0,SUMIFS(j_DrAmt,j_DrAcct,$D14,j_Per,6)-SUMIFS(j_CrAmt,j_CrAcct,$D14,j_Per,6)+IF($D14=acctTax,SUMIFS(j_TaxDr,j_Posted,1,j_Per,6)-SUMIFS(j_TaxCr,j_Posted,1,j_Per,6),0))</f>
        <v/>
      </c>
      <c r="T14" s="95">
        <f>IF($D14="",0,SUMIFS(j_DrAmt,j_DrAcct,$D14,j_Per,7)-SUMIFS(j_CrAmt,j_CrAcct,$D14,j_Per,7)+IF($D14=acctTax,SUMIFS(j_TaxDr,j_Posted,1,j_Per,7)-SUMIFS(j_TaxCr,j_Posted,1,j_Per,7),0))</f>
        <v/>
      </c>
      <c r="U14" s="95">
        <f>IF($D14="",0,SUMIFS(j_DrAmt,j_DrAcct,$D14,j_Per,8)-SUMIFS(j_CrAmt,j_CrAcct,$D14,j_Per,8)+IF($D14=acctTax,SUMIFS(j_TaxDr,j_Posted,1,j_Per,8)-SUMIFS(j_TaxCr,j_Posted,1,j_Per,8),0))</f>
        <v/>
      </c>
      <c r="V14" s="95">
        <f>IF($D14="",0,SUMIFS(j_DrAmt,j_DrAcct,$D14,j_Per,9)-SUMIFS(j_CrAmt,j_CrAcct,$D14,j_Per,9)+IF($D14=acctTax,SUMIFS(j_TaxDr,j_Posted,1,j_Per,9)-SUMIFS(j_TaxCr,j_Posted,1,j_Per,9),0))</f>
        <v/>
      </c>
      <c r="W14" s="95">
        <f>IF($D14="",0,SUMIFS(j_DrAmt,j_DrAcct,$D14,j_Per,10)-SUMIFS(j_CrAmt,j_CrAcct,$D14,j_Per,10)+IF($D14=acctTax,SUMIFS(j_TaxDr,j_Posted,1,j_Per,10)-SUMIFS(j_TaxCr,j_Posted,1,j_Per,10),0))</f>
        <v/>
      </c>
      <c r="X14" s="95">
        <f>IF($D14="",0,SUMIFS(j_DrAmt,j_DrAcct,$D14,j_Per,11)-SUMIFS(j_CrAmt,j_CrAcct,$D14,j_Per,11)+IF($D14=acctTax,SUMIFS(j_TaxDr,j_Posted,1,j_Per,11)-SUMIFS(j_TaxCr,j_Posted,1,j_Per,11),0))</f>
        <v/>
      </c>
      <c r="Y14" s="95">
        <f>IF($D14="",0,SUMIFS(j_DrAmt,j_DrAcct,$D14,j_Per,12)-SUMIFS(j_CrAmt,j_CrAcct,$D14,j_Per,12)+IF($D14=acctTax,SUMIFS(j_TaxDr,j_Posted,1,j_Per,12)-SUMIFS(j_TaxCr,j_Posted,1,j_Per,12),0))</f>
        <v/>
      </c>
      <c r="Z14" s="95">
        <f>SUMPRODUCT(($N$5:$Y$5&lt;=RptIdx)*N14:Y14)</f>
        <v/>
      </c>
      <c r="AA14" s="95">
        <f>IF(AND(RptIdx&gt;=1,RptIdx&lt;=12),INDEX(N14:Y14,RptIdx),0)</f>
        <v/>
      </c>
      <c r="AB14" s="95">
        <f>IF($D14="",0,IF(RptIdx&gt;1,INDEX(N14:Y14,RptIdx-1),SUMIFS(j_DrAmt,j_DrAcct,$D14,j_Date,"&gt;="&amp;PrevStart,j_Date,"&lt;="&amp;PrevEnd)-SUMIFS(j_CrAmt,j_CrAcct,$D14,j_Date,"&gt;="&amp;PrevStart,j_Date,"&lt;="&amp;PrevEnd)+IF($D14=acctTax,SUMIFS(j_TaxDr,j_Posted,1,j_Date,"&gt;="&amp;PrevStart,j_Date,"&lt;="&amp;PrevEnd)-SUMIFS(j_TaxCr,j_Posted,1,j_Date,"&gt;="&amp;PrevStart,j_Date,"&lt;="&amp;PrevEnd),0)))</f>
        <v/>
      </c>
      <c r="AC14" s="95">
        <f>SUM(N14:Y14)</f>
        <v/>
      </c>
      <c r="AD14" s="95">
        <f>L14+M14+Z14</f>
        <v/>
      </c>
      <c r="AE14" s="95">
        <f>AD14-AA14</f>
        <v/>
      </c>
      <c r="AF14" s="58">
        <f>IF($D14="","",F14&amp;"|"&amp;COUNTIFS($F$7:F14,F14,$D$7:D14,"&lt;&gt;"))</f>
        <v/>
      </c>
      <c r="AG14" s="58">
        <f>IF(AND($D14&lt;&gt;"",H14="Cash"),"Cash|"&amp;COUNTIFS($H$7:H14,"Cash",$D$7:D14,"&lt;&gt;"),"")</f>
        <v/>
      </c>
      <c r="AH14" s="95">
        <f>IF(AND($D14&lt;&gt;"",OR(F14="Cost of Sales",F14="Operating Expense",F14="Other Expense"),Z14&gt;0),Z14+8/1000000,"")</f>
        <v/>
      </c>
      <c r="AI14" s="95">
        <f>L14+M14+SUM(N14:N14)</f>
        <v/>
      </c>
      <c r="AJ14" s="95">
        <f>L14+M14+SUM(N14:O14)</f>
        <v/>
      </c>
      <c r="AK14" s="95">
        <f>L14+M14+SUM(N14:P14)</f>
        <v/>
      </c>
      <c r="AL14" s="95">
        <f>L14+M14+SUM(N14:Q14)</f>
        <v/>
      </c>
      <c r="AM14" s="95">
        <f>L14+M14+SUM(N14:R14)</f>
        <v/>
      </c>
      <c r="AN14" s="95">
        <f>L14+M14+SUM(N14:S14)</f>
        <v/>
      </c>
      <c r="AO14" s="95">
        <f>L14+M14+SUM(N14:T14)</f>
        <v/>
      </c>
      <c r="AP14" s="95">
        <f>L14+M14+SUM(N14:U14)</f>
        <v/>
      </c>
      <c r="AQ14" s="95">
        <f>L14+M14+SUM(N14:V14)</f>
        <v/>
      </c>
      <c r="AR14" s="95">
        <f>L14+M14+SUM(N14:W14)</f>
        <v/>
      </c>
      <c r="AS14" s="95">
        <f>L14+M14+SUM(N14:X14)</f>
        <v/>
      </c>
      <c r="AT14" s="95">
        <f>L14+M14+SUM(N14:Y14)</f>
        <v/>
      </c>
    </row>
    <row r="15">
      <c r="B15" s="58" t="n">
        <v>9</v>
      </c>
      <c r="C15" s="58">
        <f>IFERROR(INDEX(coa_Name,9)&amp;"","")</f>
        <v/>
      </c>
      <c r="D15" s="58">
        <f>IF(C15="","",IF(COUNTIF($C$7:C15,C15)&gt;1,"",C15))</f>
        <v/>
      </c>
      <c r="E15" s="58">
        <f>IF($D15="","",INDEX(coa_Code,9))</f>
        <v/>
      </c>
      <c r="F15" s="58">
        <f>IF($D15="","",INDEX(coa_Type,9)&amp;"")</f>
        <v/>
      </c>
      <c r="G15" s="58">
        <f>IF($D15="","",INDEX(coa_Normal,9)&amp;"")</f>
        <v/>
      </c>
      <c r="H15" s="58">
        <f>IF($D15="","",IF(INDEX(coa_CF,9)&amp;""="","Operating",INDEX(coa_CF,9)&amp;""))</f>
        <v/>
      </c>
      <c r="I15" s="58">
        <f>IF($D15="","",IFERROR(INDEX(at_Stmt,MATCH(F15,at_Type,0)),""))</f>
        <v/>
      </c>
      <c r="J15" s="58">
        <f>IF($D15="",0,IFERROR(INDEX(at_Sign,MATCH(F15,at_Type,0)),0))</f>
        <v/>
      </c>
      <c r="K15" s="95">
        <f>IF($D15="",0,IF(G15="Credit",-1,1)*N(INDEX(coa_Open,9)))</f>
        <v/>
      </c>
      <c r="L15" s="95">
        <f>IF($D15="",0,IF($D15=acctOBE,K15-SUM($K$7:$K$156),K15))</f>
        <v/>
      </c>
      <c r="M15" s="95">
        <f>IF($D15="",0,SUMIFS(j_DrAmt,j_DrAcct,$D15,j_Per,0)-SUMIFS(j_CrAmt,j_CrAcct,$D15,j_Per,0)+IF($D15=acctTax,SUMIFS(j_TaxDr,j_Posted,1,j_Per,0)-SUMIFS(j_TaxCr,j_Posted,1,j_Per,0),0))</f>
        <v/>
      </c>
      <c r="N15" s="95">
        <f>IF($D15="",0,SUMIFS(j_DrAmt,j_DrAcct,$D15,j_Per,1)-SUMIFS(j_CrAmt,j_CrAcct,$D15,j_Per,1)+IF($D15=acctTax,SUMIFS(j_TaxDr,j_Posted,1,j_Per,1)-SUMIFS(j_TaxCr,j_Posted,1,j_Per,1),0))</f>
        <v/>
      </c>
      <c r="O15" s="95">
        <f>IF($D15="",0,SUMIFS(j_DrAmt,j_DrAcct,$D15,j_Per,2)-SUMIFS(j_CrAmt,j_CrAcct,$D15,j_Per,2)+IF($D15=acctTax,SUMIFS(j_TaxDr,j_Posted,1,j_Per,2)-SUMIFS(j_TaxCr,j_Posted,1,j_Per,2),0))</f>
        <v/>
      </c>
      <c r="P15" s="95">
        <f>IF($D15="",0,SUMIFS(j_DrAmt,j_DrAcct,$D15,j_Per,3)-SUMIFS(j_CrAmt,j_CrAcct,$D15,j_Per,3)+IF($D15=acctTax,SUMIFS(j_TaxDr,j_Posted,1,j_Per,3)-SUMIFS(j_TaxCr,j_Posted,1,j_Per,3),0))</f>
        <v/>
      </c>
      <c r="Q15" s="95">
        <f>IF($D15="",0,SUMIFS(j_DrAmt,j_DrAcct,$D15,j_Per,4)-SUMIFS(j_CrAmt,j_CrAcct,$D15,j_Per,4)+IF($D15=acctTax,SUMIFS(j_TaxDr,j_Posted,1,j_Per,4)-SUMIFS(j_TaxCr,j_Posted,1,j_Per,4),0))</f>
        <v/>
      </c>
      <c r="R15" s="95">
        <f>IF($D15="",0,SUMIFS(j_DrAmt,j_DrAcct,$D15,j_Per,5)-SUMIFS(j_CrAmt,j_CrAcct,$D15,j_Per,5)+IF($D15=acctTax,SUMIFS(j_TaxDr,j_Posted,1,j_Per,5)-SUMIFS(j_TaxCr,j_Posted,1,j_Per,5),0))</f>
        <v/>
      </c>
      <c r="S15" s="95">
        <f>IF($D15="",0,SUMIFS(j_DrAmt,j_DrAcct,$D15,j_Per,6)-SUMIFS(j_CrAmt,j_CrAcct,$D15,j_Per,6)+IF($D15=acctTax,SUMIFS(j_TaxDr,j_Posted,1,j_Per,6)-SUMIFS(j_TaxCr,j_Posted,1,j_Per,6),0))</f>
        <v/>
      </c>
      <c r="T15" s="95">
        <f>IF($D15="",0,SUMIFS(j_DrAmt,j_DrAcct,$D15,j_Per,7)-SUMIFS(j_CrAmt,j_CrAcct,$D15,j_Per,7)+IF($D15=acctTax,SUMIFS(j_TaxDr,j_Posted,1,j_Per,7)-SUMIFS(j_TaxCr,j_Posted,1,j_Per,7),0))</f>
        <v/>
      </c>
      <c r="U15" s="95">
        <f>IF($D15="",0,SUMIFS(j_DrAmt,j_DrAcct,$D15,j_Per,8)-SUMIFS(j_CrAmt,j_CrAcct,$D15,j_Per,8)+IF($D15=acctTax,SUMIFS(j_TaxDr,j_Posted,1,j_Per,8)-SUMIFS(j_TaxCr,j_Posted,1,j_Per,8),0))</f>
        <v/>
      </c>
      <c r="V15" s="95">
        <f>IF($D15="",0,SUMIFS(j_DrAmt,j_DrAcct,$D15,j_Per,9)-SUMIFS(j_CrAmt,j_CrAcct,$D15,j_Per,9)+IF($D15=acctTax,SUMIFS(j_TaxDr,j_Posted,1,j_Per,9)-SUMIFS(j_TaxCr,j_Posted,1,j_Per,9),0))</f>
        <v/>
      </c>
      <c r="W15" s="95">
        <f>IF($D15="",0,SUMIFS(j_DrAmt,j_DrAcct,$D15,j_Per,10)-SUMIFS(j_CrAmt,j_CrAcct,$D15,j_Per,10)+IF($D15=acctTax,SUMIFS(j_TaxDr,j_Posted,1,j_Per,10)-SUMIFS(j_TaxCr,j_Posted,1,j_Per,10),0))</f>
        <v/>
      </c>
      <c r="X15" s="95">
        <f>IF($D15="",0,SUMIFS(j_DrAmt,j_DrAcct,$D15,j_Per,11)-SUMIFS(j_CrAmt,j_CrAcct,$D15,j_Per,11)+IF($D15=acctTax,SUMIFS(j_TaxDr,j_Posted,1,j_Per,11)-SUMIFS(j_TaxCr,j_Posted,1,j_Per,11),0))</f>
        <v/>
      </c>
      <c r="Y15" s="95">
        <f>IF($D15="",0,SUMIFS(j_DrAmt,j_DrAcct,$D15,j_Per,12)-SUMIFS(j_CrAmt,j_CrAcct,$D15,j_Per,12)+IF($D15=acctTax,SUMIFS(j_TaxDr,j_Posted,1,j_Per,12)-SUMIFS(j_TaxCr,j_Posted,1,j_Per,12),0))</f>
        <v/>
      </c>
      <c r="Z15" s="95">
        <f>SUMPRODUCT(($N$5:$Y$5&lt;=RptIdx)*N15:Y15)</f>
        <v/>
      </c>
      <c r="AA15" s="95">
        <f>IF(AND(RptIdx&gt;=1,RptIdx&lt;=12),INDEX(N15:Y15,RptIdx),0)</f>
        <v/>
      </c>
      <c r="AB15" s="95">
        <f>IF($D15="",0,IF(RptIdx&gt;1,INDEX(N15:Y15,RptIdx-1),SUMIFS(j_DrAmt,j_DrAcct,$D15,j_Date,"&gt;="&amp;PrevStart,j_Date,"&lt;="&amp;PrevEnd)-SUMIFS(j_CrAmt,j_CrAcct,$D15,j_Date,"&gt;="&amp;PrevStart,j_Date,"&lt;="&amp;PrevEnd)+IF($D15=acctTax,SUMIFS(j_TaxDr,j_Posted,1,j_Date,"&gt;="&amp;PrevStart,j_Date,"&lt;="&amp;PrevEnd)-SUMIFS(j_TaxCr,j_Posted,1,j_Date,"&gt;="&amp;PrevStart,j_Date,"&lt;="&amp;PrevEnd),0)))</f>
        <v/>
      </c>
      <c r="AC15" s="95">
        <f>SUM(N15:Y15)</f>
        <v/>
      </c>
      <c r="AD15" s="95">
        <f>L15+M15+Z15</f>
        <v/>
      </c>
      <c r="AE15" s="95">
        <f>AD15-AA15</f>
        <v/>
      </c>
      <c r="AF15" s="58">
        <f>IF($D15="","",F15&amp;"|"&amp;COUNTIFS($F$7:F15,F15,$D$7:D15,"&lt;&gt;"))</f>
        <v/>
      </c>
      <c r="AG15" s="58">
        <f>IF(AND($D15&lt;&gt;"",H15="Cash"),"Cash|"&amp;COUNTIFS($H$7:H15,"Cash",$D$7:D15,"&lt;&gt;"),"")</f>
        <v/>
      </c>
      <c r="AH15" s="95">
        <f>IF(AND($D15&lt;&gt;"",OR(F15="Cost of Sales",F15="Operating Expense",F15="Other Expense"),Z15&gt;0),Z15+9/1000000,"")</f>
        <v/>
      </c>
      <c r="AI15" s="95">
        <f>L15+M15+SUM(N15:N15)</f>
        <v/>
      </c>
      <c r="AJ15" s="95">
        <f>L15+M15+SUM(N15:O15)</f>
        <v/>
      </c>
      <c r="AK15" s="95">
        <f>L15+M15+SUM(N15:P15)</f>
        <v/>
      </c>
      <c r="AL15" s="95">
        <f>L15+M15+SUM(N15:Q15)</f>
        <v/>
      </c>
      <c r="AM15" s="95">
        <f>L15+M15+SUM(N15:R15)</f>
        <v/>
      </c>
      <c r="AN15" s="95">
        <f>L15+M15+SUM(N15:S15)</f>
        <v/>
      </c>
      <c r="AO15" s="95">
        <f>L15+M15+SUM(N15:T15)</f>
        <v/>
      </c>
      <c r="AP15" s="95">
        <f>L15+M15+SUM(N15:U15)</f>
        <v/>
      </c>
      <c r="AQ15" s="95">
        <f>L15+M15+SUM(N15:V15)</f>
        <v/>
      </c>
      <c r="AR15" s="95">
        <f>L15+M15+SUM(N15:W15)</f>
        <v/>
      </c>
      <c r="AS15" s="95">
        <f>L15+M15+SUM(N15:X15)</f>
        <v/>
      </c>
      <c r="AT15" s="95">
        <f>L15+M15+SUM(N15:Y15)</f>
        <v/>
      </c>
    </row>
    <row r="16">
      <c r="B16" s="58" t="n">
        <v>10</v>
      </c>
      <c r="C16" s="58">
        <f>IFERROR(INDEX(coa_Name,10)&amp;"","")</f>
        <v/>
      </c>
      <c r="D16" s="58">
        <f>IF(C16="","",IF(COUNTIF($C$7:C16,C16)&gt;1,"",C16))</f>
        <v/>
      </c>
      <c r="E16" s="58">
        <f>IF($D16="","",INDEX(coa_Code,10))</f>
        <v/>
      </c>
      <c r="F16" s="58">
        <f>IF($D16="","",INDEX(coa_Type,10)&amp;"")</f>
        <v/>
      </c>
      <c r="G16" s="58">
        <f>IF($D16="","",INDEX(coa_Normal,10)&amp;"")</f>
        <v/>
      </c>
      <c r="H16" s="58">
        <f>IF($D16="","",IF(INDEX(coa_CF,10)&amp;""="","Operating",INDEX(coa_CF,10)&amp;""))</f>
        <v/>
      </c>
      <c r="I16" s="58">
        <f>IF($D16="","",IFERROR(INDEX(at_Stmt,MATCH(F16,at_Type,0)),""))</f>
        <v/>
      </c>
      <c r="J16" s="58">
        <f>IF($D16="",0,IFERROR(INDEX(at_Sign,MATCH(F16,at_Type,0)),0))</f>
        <v/>
      </c>
      <c r="K16" s="95">
        <f>IF($D16="",0,IF(G16="Credit",-1,1)*N(INDEX(coa_Open,10)))</f>
        <v/>
      </c>
      <c r="L16" s="95">
        <f>IF($D16="",0,IF($D16=acctOBE,K16-SUM($K$7:$K$156),K16))</f>
        <v/>
      </c>
      <c r="M16" s="95">
        <f>IF($D16="",0,SUMIFS(j_DrAmt,j_DrAcct,$D16,j_Per,0)-SUMIFS(j_CrAmt,j_CrAcct,$D16,j_Per,0)+IF($D16=acctTax,SUMIFS(j_TaxDr,j_Posted,1,j_Per,0)-SUMIFS(j_TaxCr,j_Posted,1,j_Per,0),0))</f>
        <v/>
      </c>
      <c r="N16" s="95">
        <f>IF($D16="",0,SUMIFS(j_DrAmt,j_DrAcct,$D16,j_Per,1)-SUMIFS(j_CrAmt,j_CrAcct,$D16,j_Per,1)+IF($D16=acctTax,SUMIFS(j_TaxDr,j_Posted,1,j_Per,1)-SUMIFS(j_TaxCr,j_Posted,1,j_Per,1),0))</f>
        <v/>
      </c>
      <c r="O16" s="95">
        <f>IF($D16="",0,SUMIFS(j_DrAmt,j_DrAcct,$D16,j_Per,2)-SUMIFS(j_CrAmt,j_CrAcct,$D16,j_Per,2)+IF($D16=acctTax,SUMIFS(j_TaxDr,j_Posted,1,j_Per,2)-SUMIFS(j_TaxCr,j_Posted,1,j_Per,2),0))</f>
        <v/>
      </c>
      <c r="P16" s="95">
        <f>IF($D16="",0,SUMIFS(j_DrAmt,j_DrAcct,$D16,j_Per,3)-SUMIFS(j_CrAmt,j_CrAcct,$D16,j_Per,3)+IF($D16=acctTax,SUMIFS(j_TaxDr,j_Posted,1,j_Per,3)-SUMIFS(j_TaxCr,j_Posted,1,j_Per,3),0))</f>
        <v/>
      </c>
      <c r="Q16" s="95">
        <f>IF($D16="",0,SUMIFS(j_DrAmt,j_DrAcct,$D16,j_Per,4)-SUMIFS(j_CrAmt,j_CrAcct,$D16,j_Per,4)+IF($D16=acctTax,SUMIFS(j_TaxDr,j_Posted,1,j_Per,4)-SUMIFS(j_TaxCr,j_Posted,1,j_Per,4),0))</f>
        <v/>
      </c>
      <c r="R16" s="95">
        <f>IF($D16="",0,SUMIFS(j_DrAmt,j_DrAcct,$D16,j_Per,5)-SUMIFS(j_CrAmt,j_CrAcct,$D16,j_Per,5)+IF($D16=acctTax,SUMIFS(j_TaxDr,j_Posted,1,j_Per,5)-SUMIFS(j_TaxCr,j_Posted,1,j_Per,5),0))</f>
        <v/>
      </c>
      <c r="S16" s="95">
        <f>IF($D16="",0,SUMIFS(j_DrAmt,j_DrAcct,$D16,j_Per,6)-SUMIFS(j_CrAmt,j_CrAcct,$D16,j_Per,6)+IF($D16=acctTax,SUMIFS(j_TaxDr,j_Posted,1,j_Per,6)-SUMIFS(j_TaxCr,j_Posted,1,j_Per,6),0))</f>
        <v/>
      </c>
      <c r="T16" s="95">
        <f>IF($D16="",0,SUMIFS(j_DrAmt,j_DrAcct,$D16,j_Per,7)-SUMIFS(j_CrAmt,j_CrAcct,$D16,j_Per,7)+IF($D16=acctTax,SUMIFS(j_TaxDr,j_Posted,1,j_Per,7)-SUMIFS(j_TaxCr,j_Posted,1,j_Per,7),0))</f>
        <v/>
      </c>
      <c r="U16" s="95">
        <f>IF($D16="",0,SUMIFS(j_DrAmt,j_DrAcct,$D16,j_Per,8)-SUMIFS(j_CrAmt,j_CrAcct,$D16,j_Per,8)+IF($D16=acctTax,SUMIFS(j_TaxDr,j_Posted,1,j_Per,8)-SUMIFS(j_TaxCr,j_Posted,1,j_Per,8),0))</f>
        <v/>
      </c>
      <c r="V16" s="95">
        <f>IF($D16="",0,SUMIFS(j_DrAmt,j_DrAcct,$D16,j_Per,9)-SUMIFS(j_CrAmt,j_CrAcct,$D16,j_Per,9)+IF($D16=acctTax,SUMIFS(j_TaxDr,j_Posted,1,j_Per,9)-SUMIFS(j_TaxCr,j_Posted,1,j_Per,9),0))</f>
        <v/>
      </c>
      <c r="W16" s="95">
        <f>IF($D16="",0,SUMIFS(j_DrAmt,j_DrAcct,$D16,j_Per,10)-SUMIFS(j_CrAmt,j_CrAcct,$D16,j_Per,10)+IF($D16=acctTax,SUMIFS(j_TaxDr,j_Posted,1,j_Per,10)-SUMIFS(j_TaxCr,j_Posted,1,j_Per,10),0))</f>
        <v/>
      </c>
      <c r="X16" s="95">
        <f>IF($D16="",0,SUMIFS(j_DrAmt,j_DrAcct,$D16,j_Per,11)-SUMIFS(j_CrAmt,j_CrAcct,$D16,j_Per,11)+IF($D16=acctTax,SUMIFS(j_TaxDr,j_Posted,1,j_Per,11)-SUMIFS(j_TaxCr,j_Posted,1,j_Per,11),0))</f>
        <v/>
      </c>
      <c r="Y16" s="95">
        <f>IF($D16="",0,SUMIFS(j_DrAmt,j_DrAcct,$D16,j_Per,12)-SUMIFS(j_CrAmt,j_CrAcct,$D16,j_Per,12)+IF($D16=acctTax,SUMIFS(j_TaxDr,j_Posted,1,j_Per,12)-SUMIFS(j_TaxCr,j_Posted,1,j_Per,12),0))</f>
        <v/>
      </c>
      <c r="Z16" s="95">
        <f>SUMPRODUCT(($N$5:$Y$5&lt;=RptIdx)*N16:Y16)</f>
        <v/>
      </c>
      <c r="AA16" s="95">
        <f>IF(AND(RptIdx&gt;=1,RptIdx&lt;=12),INDEX(N16:Y16,RptIdx),0)</f>
        <v/>
      </c>
      <c r="AB16" s="95">
        <f>IF($D16="",0,IF(RptIdx&gt;1,INDEX(N16:Y16,RptIdx-1),SUMIFS(j_DrAmt,j_DrAcct,$D16,j_Date,"&gt;="&amp;PrevStart,j_Date,"&lt;="&amp;PrevEnd)-SUMIFS(j_CrAmt,j_CrAcct,$D16,j_Date,"&gt;="&amp;PrevStart,j_Date,"&lt;="&amp;PrevEnd)+IF($D16=acctTax,SUMIFS(j_TaxDr,j_Posted,1,j_Date,"&gt;="&amp;PrevStart,j_Date,"&lt;="&amp;PrevEnd)-SUMIFS(j_TaxCr,j_Posted,1,j_Date,"&gt;="&amp;PrevStart,j_Date,"&lt;="&amp;PrevEnd),0)))</f>
        <v/>
      </c>
      <c r="AC16" s="95">
        <f>SUM(N16:Y16)</f>
        <v/>
      </c>
      <c r="AD16" s="95">
        <f>L16+M16+Z16</f>
        <v/>
      </c>
      <c r="AE16" s="95">
        <f>AD16-AA16</f>
        <v/>
      </c>
      <c r="AF16" s="58">
        <f>IF($D16="","",F16&amp;"|"&amp;COUNTIFS($F$7:F16,F16,$D$7:D16,"&lt;&gt;"))</f>
        <v/>
      </c>
      <c r="AG16" s="58">
        <f>IF(AND($D16&lt;&gt;"",H16="Cash"),"Cash|"&amp;COUNTIFS($H$7:H16,"Cash",$D$7:D16,"&lt;&gt;"),"")</f>
        <v/>
      </c>
      <c r="AH16" s="95">
        <f>IF(AND($D16&lt;&gt;"",OR(F16="Cost of Sales",F16="Operating Expense",F16="Other Expense"),Z16&gt;0),Z16+10/1000000,"")</f>
        <v/>
      </c>
      <c r="AI16" s="95">
        <f>L16+M16+SUM(N16:N16)</f>
        <v/>
      </c>
      <c r="AJ16" s="95">
        <f>L16+M16+SUM(N16:O16)</f>
        <v/>
      </c>
      <c r="AK16" s="95">
        <f>L16+M16+SUM(N16:P16)</f>
        <v/>
      </c>
      <c r="AL16" s="95">
        <f>L16+M16+SUM(N16:Q16)</f>
        <v/>
      </c>
      <c r="AM16" s="95">
        <f>L16+M16+SUM(N16:R16)</f>
        <v/>
      </c>
      <c r="AN16" s="95">
        <f>L16+M16+SUM(N16:S16)</f>
        <v/>
      </c>
      <c r="AO16" s="95">
        <f>L16+M16+SUM(N16:T16)</f>
        <v/>
      </c>
      <c r="AP16" s="95">
        <f>L16+M16+SUM(N16:U16)</f>
        <v/>
      </c>
      <c r="AQ16" s="95">
        <f>L16+M16+SUM(N16:V16)</f>
        <v/>
      </c>
      <c r="AR16" s="95">
        <f>L16+M16+SUM(N16:W16)</f>
        <v/>
      </c>
      <c r="AS16" s="95">
        <f>L16+M16+SUM(N16:X16)</f>
        <v/>
      </c>
      <c r="AT16" s="95">
        <f>L16+M16+SUM(N16:Y16)</f>
        <v/>
      </c>
    </row>
    <row r="17">
      <c r="B17" s="58" t="n">
        <v>11</v>
      </c>
      <c r="C17" s="58">
        <f>IFERROR(INDEX(coa_Name,11)&amp;"","")</f>
        <v/>
      </c>
      <c r="D17" s="58">
        <f>IF(C17="","",IF(COUNTIF($C$7:C17,C17)&gt;1,"",C17))</f>
        <v/>
      </c>
      <c r="E17" s="58">
        <f>IF($D17="","",INDEX(coa_Code,11))</f>
        <v/>
      </c>
      <c r="F17" s="58">
        <f>IF($D17="","",INDEX(coa_Type,11)&amp;"")</f>
        <v/>
      </c>
      <c r="G17" s="58">
        <f>IF($D17="","",INDEX(coa_Normal,11)&amp;"")</f>
        <v/>
      </c>
      <c r="H17" s="58">
        <f>IF($D17="","",IF(INDEX(coa_CF,11)&amp;""="","Operating",INDEX(coa_CF,11)&amp;""))</f>
        <v/>
      </c>
      <c r="I17" s="58">
        <f>IF($D17="","",IFERROR(INDEX(at_Stmt,MATCH(F17,at_Type,0)),""))</f>
        <v/>
      </c>
      <c r="J17" s="58">
        <f>IF($D17="",0,IFERROR(INDEX(at_Sign,MATCH(F17,at_Type,0)),0))</f>
        <v/>
      </c>
      <c r="K17" s="95">
        <f>IF($D17="",0,IF(G17="Credit",-1,1)*N(INDEX(coa_Open,11)))</f>
        <v/>
      </c>
      <c r="L17" s="95">
        <f>IF($D17="",0,IF($D17=acctOBE,K17-SUM($K$7:$K$156),K17))</f>
        <v/>
      </c>
      <c r="M17" s="95">
        <f>IF($D17="",0,SUMIFS(j_DrAmt,j_DrAcct,$D17,j_Per,0)-SUMIFS(j_CrAmt,j_CrAcct,$D17,j_Per,0)+IF($D17=acctTax,SUMIFS(j_TaxDr,j_Posted,1,j_Per,0)-SUMIFS(j_TaxCr,j_Posted,1,j_Per,0),0))</f>
        <v/>
      </c>
      <c r="N17" s="95">
        <f>IF($D17="",0,SUMIFS(j_DrAmt,j_DrAcct,$D17,j_Per,1)-SUMIFS(j_CrAmt,j_CrAcct,$D17,j_Per,1)+IF($D17=acctTax,SUMIFS(j_TaxDr,j_Posted,1,j_Per,1)-SUMIFS(j_TaxCr,j_Posted,1,j_Per,1),0))</f>
        <v/>
      </c>
      <c r="O17" s="95">
        <f>IF($D17="",0,SUMIFS(j_DrAmt,j_DrAcct,$D17,j_Per,2)-SUMIFS(j_CrAmt,j_CrAcct,$D17,j_Per,2)+IF($D17=acctTax,SUMIFS(j_TaxDr,j_Posted,1,j_Per,2)-SUMIFS(j_TaxCr,j_Posted,1,j_Per,2),0))</f>
        <v/>
      </c>
      <c r="P17" s="95">
        <f>IF($D17="",0,SUMIFS(j_DrAmt,j_DrAcct,$D17,j_Per,3)-SUMIFS(j_CrAmt,j_CrAcct,$D17,j_Per,3)+IF($D17=acctTax,SUMIFS(j_TaxDr,j_Posted,1,j_Per,3)-SUMIFS(j_TaxCr,j_Posted,1,j_Per,3),0))</f>
        <v/>
      </c>
      <c r="Q17" s="95">
        <f>IF($D17="",0,SUMIFS(j_DrAmt,j_DrAcct,$D17,j_Per,4)-SUMIFS(j_CrAmt,j_CrAcct,$D17,j_Per,4)+IF($D17=acctTax,SUMIFS(j_TaxDr,j_Posted,1,j_Per,4)-SUMIFS(j_TaxCr,j_Posted,1,j_Per,4),0))</f>
        <v/>
      </c>
      <c r="R17" s="95">
        <f>IF($D17="",0,SUMIFS(j_DrAmt,j_DrAcct,$D17,j_Per,5)-SUMIFS(j_CrAmt,j_CrAcct,$D17,j_Per,5)+IF($D17=acctTax,SUMIFS(j_TaxDr,j_Posted,1,j_Per,5)-SUMIFS(j_TaxCr,j_Posted,1,j_Per,5),0))</f>
        <v/>
      </c>
      <c r="S17" s="95">
        <f>IF($D17="",0,SUMIFS(j_DrAmt,j_DrAcct,$D17,j_Per,6)-SUMIFS(j_CrAmt,j_CrAcct,$D17,j_Per,6)+IF($D17=acctTax,SUMIFS(j_TaxDr,j_Posted,1,j_Per,6)-SUMIFS(j_TaxCr,j_Posted,1,j_Per,6),0))</f>
        <v/>
      </c>
      <c r="T17" s="95">
        <f>IF($D17="",0,SUMIFS(j_DrAmt,j_DrAcct,$D17,j_Per,7)-SUMIFS(j_CrAmt,j_CrAcct,$D17,j_Per,7)+IF($D17=acctTax,SUMIFS(j_TaxDr,j_Posted,1,j_Per,7)-SUMIFS(j_TaxCr,j_Posted,1,j_Per,7),0))</f>
        <v/>
      </c>
      <c r="U17" s="95">
        <f>IF($D17="",0,SUMIFS(j_DrAmt,j_DrAcct,$D17,j_Per,8)-SUMIFS(j_CrAmt,j_CrAcct,$D17,j_Per,8)+IF($D17=acctTax,SUMIFS(j_TaxDr,j_Posted,1,j_Per,8)-SUMIFS(j_TaxCr,j_Posted,1,j_Per,8),0))</f>
        <v/>
      </c>
      <c r="V17" s="95">
        <f>IF($D17="",0,SUMIFS(j_DrAmt,j_DrAcct,$D17,j_Per,9)-SUMIFS(j_CrAmt,j_CrAcct,$D17,j_Per,9)+IF($D17=acctTax,SUMIFS(j_TaxDr,j_Posted,1,j_Per,9)-SUMIFS(j_TaxCr,j_Posted,1,j_Per,9),0))</f>
        <v/>
      </c>
      <c r="W17" s="95">
        <f>IF($D17="",0,SUMIFS(j_DrAmt,j_DrAcct,$D17,j_Per,10)-SUMIFS(j_CrAmt,j_CrAcct,$D17,j_Per,10)+IF($D17=acctTax,SUMIFS(j_TaxDr,j_Posted,1,j_Per,10)-SUMIFS(j_TaxCr,j_Posted,1,j_Per,10),0))</f>
        <v/>
      </c>
      <c r="X17" s="95">
        <f>IF($D17="",0,SUMIFS(j_DrAmt,j_DrAcct,$D17,j_Per,11)-SUMIFS(j_CrAmt,j_CrAcct,$D17,j_Per,11)+IF($D17=acctTax,SUMIFS(j_TaxDr,j_Posted,1,j_Per,11)-SUMIFS(j_TaxCr,j_Posted,1,j_Per,11),0))</f>
        <v/>
      </c>
      <c r="Y17" s="95">
        <f>IF($D17="",0,SUMIFS(j_DrAmt,j_DrAcct,$D17,j_Per,12)-SUMIFS(j_CrAmt,j_CrAcct,$D17,j_Per,12)+IF($D17=acctTax,SUMIFS(j_TaxDr,j_Posted,1,j_Per,12)-SUMIFS(j_TaxCr,j_Posted,1,j_Per,12),0))</f>
        <v/>
      </c>
      <c r="Z17" s="95">
        <f>SUMPRODUCT(($N$5:$Y$5&lt;=RptIdx)*N17:Y17)</f>
        <v/>
      </c>
      <c r="AA17" s="95">
        <f>IF(AND(RptIdx&gt;=1,RptIdx&lt;=12),INDEX(N17:Y17,RptIdx),0)</f>
        <v/>
      </c>
      <c r="AB17" s="95">
        <f>IF($D17="",0,IF(RptIdx&gt;1,INDEX(N17:Y17,RptIdx-1),SUMIFS(j_DrAmt,j_DrAcct,$D17,j_Date,"&gt;="&amp;PrevStart,j_Date,"&lt;="&amp;PrevEnd)-SUMIFS(j_CrAmt,j_CrAcct,$D17,j_Date,"&gt;="&amp;PrevStart,j_Date,"&lt;="&amp;PrevEnd)+IF($D17=acctTax,SUMIFS(j_TaxDr,j_Posted,1,j_Date,"&gt;="&amp;PrevStart,j_Date,"&lt;="&amp;PrevEnd)-SUMIFS(j_TaxCr,j_Posted,1,j_Date,"&gt;="&amp;PrevStart,j_Date,"&lt;="&amp;PrevEnd),0)))</f>
        <v/>
      </c>
      <c r="AC17" s="95">
        <f>SUM(N17:Y17)</f>
        <v/>
      </c>
      <c r="AD17" s="95">
        <f>L17+M17+Z17</f>
        <v/>
      </c>
      <c r="AE17" s="95">
        <f>AD17-AA17</f>
        <v/>
      </c>
      <c r="AF17" s="58">
        <f>IF($D17="","",F17&amp;"|"&amp;COUNTIFS($F$7:F17,F17,$D$7:D17,"&lt;&gt;"))</f>
        <v/>
      </c>
      <c r="AG17" s="58">
        <f>IF(AND($D17&lt;&gt;"",H17="Cash"),"Cash|"&amp;COUNTIFS($H$7:H17,"Cash",$D$7:D17,"&lt;&gt;"),"")</f>
        <v/>
      </c>
      <c r="AH17" s="95">
        <f>IF(AND($D17&lt;&gt;"",OR(F17="Cost of Sales",F17="Operating Expense",F17="Other Expense"),Z17&gt;0),Z17+11/1000000,"")</f>
        <v/>
      </c>
      <c r="AI17" s="95">
        <f>L17+M17+SUM(N17:N17)</f>
        <v/>
      </c>
      <c r="AJ17" s="95">
        <f>L17+M17+SUM(N17:O17)</f>
        <v/>
      </c>
      <c r="AK17" s="95">
        <f>L17+M17+SUM(N17:P17)</f>
        <v/>
      </c>
      <c r="AL17" s="95">
        <f>L17+M17+SUM(N17:Q17)</f>
        <v/>
      </c>
      <c r="AM17" s="95">
        <f>L17+M17+SUM(N17:R17)</f>
        <v/>
      </c>
      <c r="AN17" s="95">
        <f>L17+M17+SUM(N17:S17)</f>
        <v/>
      </c>
      <c r="AO17" s="95">
        <f>L17+M17+SUM(N17:T17)</f>
        <v/>
      </c>
      <c r="AP17" s="95">
        <f>L17+M17+SUM(N17:U17)</f>
        <v/>
      </c>
      <c r="AQ17" s="95">
        <f>L17+M17+SUM(N17:V17)</f>
        <v/>
      </c>
      <c r="AR17" s="95">
        <f>L17+M17+SUM(N17:W17)</f>
        <v/>
      </c>
      <c r="AS17" s="95">
        <f>L17+M17+SUM(N17:X17)</f>
        <v/>
      </c>
      <c r="AT17" s="95">
        <f>L17+M17+SUM(N17:Y17)</f>
        <v/>
      </c>
    </row>
    <row r="18">
      <c r="B18" s="58" t="n">
        <v>12</v>
      </c>
      <c r="C18" s="58">
        <f>IFERROR(INDEX(coa_Name,12)&amp;"","")</f>
        <v/>
      </c>
      <c r="D18" s="58">
        <f>IF(C18="","",IF(COUNTIF($C$7:C18,C18)&gt;1,"",C18))</f>
        <v/>
      </c>
      <c r="E18" s="58">
        <f>IF($D18="","",INDEX(coa_Code,12))</f>
        <v/>
      </c>
      <c r="F18" s="58">
        <f>IF($D18="","",INDEX(coa_Type,12)&amp;"")</f>
        <v/>
      </c>
      <c r="G18" s="58">
        <f>IF($D18="","",INDEX(coa_Normal,12)&amp;"")</f>
        <v/>
      </c>
      <c r="H18" s="58">
        <f>IF($D18="","",IF(INDEX(coa_CF,12)&amp;""="","Operating",INDEX(coa_CF,12)&amp;""))</f>
        <v/>
      </c>
      <c r="I18" s="58">
        <f>IF($D18="","",IFERROR(INDEX(at_Stmt,MATCH(F18,at_Type,0)),""))</f>
        <v/>
      </c>
      <c r="J18" s="58">
        <f>IF($D18="",0,IFERROR(INDEX(at_Sign,MATCH(F18,at_Type,0)),0))</f>
        <v/>
      </c>
      <c r="K18" s="95">
        <f>IF($D18="",0,IF(G18="Credit",-1,1)*N(INDEX(coa_Open,12)))</f>
        <v/>
      </c>
      <c r="L18" s="95">
        <f>IF($D18="",0,IF($D18=acctOBE,K18-SUM($K$7:$K$156),K18))</f>
        <v/>
      </c>
      <c r="M18" s="95">
        <f>IF($D18="",0,SUMIFS(j_DrAmt,j_DrAcct,$D18,j_Per,0)-SUMIFS(j_CrAmt,j_CrAcct,$D18,j_Per,0)+IF($D18=acctTax,SUMIFS(j_TaxDr,j_Posted,1,j_Per,0)-SUMIFS(j_TaxCr,j_Posted,1,j_Per,0),0))</f>
        <v/>
      </c>
      <c r="N18" s="95">
        <f>IF($D18="",0,SUMIFS(j_DrAmt,j_DrAcct,$D18,j_Per,1)-SUMIFS(j_CrAmt,j_CrAcct,$D18,j_Per,1)+IF($D18=acctTax,SUMIFS(j_TaxDr,j_Posted,1,j_Per,1)-SUMIFS(j_TaxCr,j_Posted,1,j_Per,1),0))</f>
        <v/>
      </c>
      <c r="O18" s="95">
        <f>IF($D18="",0,SUMIFS(j_DrAmt,j_DrAcct,$D18,j_Per,2)-SUMIFS(j_CrAmt,j_CrAcct,$D18,j_Per,2)+IF($D18=acctTax,SUMIFS(j_TaxDr,j_Posted,1,j_Per,2)-SUMIFS(j_TaxCr,j_Posted,1,j_Per,2),0))</f>
        <v/>
      </c>
      <c r="P18" s="95">
        <f>IF($D18="",0,SUMIFS(j_DrAmt,j_DrAcct,$D18,j_Per,3)-SUMIFS(j_CrAmt,j_CrAcct,$D18,j_Per,3)+IF($D18=acctTax,SUMIFS(j_TaxDr,j_Posted,1,j_Per,3)-SUMIFS(j_TaxCr,j_Posted,1,j_Per,3),0))</f>
        <v/>
      </c>
      <c r="Q18" s="95">
        <f>IF($D18="",0,SUMIFS(j_DrAmt,j_DrAcct,$D18,j_Per,4)-SUMIFS(j_CrAmt,j_CrAcct,$D18,j_Per,4)+IF($D18=acctTax,SUMIFS(j_TaxDr,j_Posted,1,j_Per,4)-SUMIFS(j_TaxCr,j_Posted,1,j_Per,4),0))</f>
        <v/>
      </c>
      <c r="R18" s="95">
        <f>IF($D18="",0,SUMIFS(j_DrAmt,j_DrAcct,$D18,j_Per,5)-SUMIFS(j_CrAmt,j_CrAcct,$D18,j_Per,5)+IF($D18=acctTax,SUMIFS(j_TaxDr,j_Posted,1,j_Per,5)-SUMIFS(j_TaxCr,j_Posted,1,j_Per,5),0))</f>
        <v/>
      </c>
      <c r="S18" s="95">
        <f>IF($D18="",0,SUMIFS(j_DrAmt,j_DrAcct,$D18,j_Per,6)-SUMIFS(j_CrAmt,j_CrAcct,$D18,j_Per,6)+IF($D18=acctTax,SUMIFS(j_TaxDr,j_Posted,1,j_Per,6)-SUMIFS(j_TaxCr,j_Posted,1,j_Per,6),0))</f>
        <v/>
      </c>
      <c r="T18" s="95">
        <f>IF($D18="",0,SUMIFS(j_DrAmt,j_DrAcct,$D18,j_Per,7)-SUMIFS(j_CrAmt,j_CrAcct,$D18,j_Per,7)+IF($D18=acctTax,SUMIFS(j_TaxDr,j_Posted,1,j_Per,7)-SUMIFS(j_TaxCr,j_Posted,1,j_Per,7),0))</f>
        <v/>
      </c>
      <c r="U18" s="95">
        <f>IF($D18="",0,SUMIFS(j_DrAmt,j_DrAcct,$D18,j_Per,8)-SUMIFS(j_CrAmt,j_CrAcct,$D18,j_Per,8)+IF($D18=acctTax,SUMIFS(j_TaxDr,j_Posted,1,j_Per,8)-SUMIFS(j_TaxCr,j_Posted,1,j_Per,8),0))</f>
        <v/>
      </c>
      <c r="V18" s="95">
        <f>IF($D18="",0,SUMIFS(j_DrAmt,j_DrAcct,$D18,j_Per,9)-SUMIFS(j_CrAmt,j_CrAcct,$D18,j_Per,9)+IF($D18=acctTax,SUMIFS(j_TaxDr,j_Posted,1,j_Per,9)-SUMIFS(j_TaxCr,j_Posted,1,j_Per,9),0))</f>
        <v/>
      </c>
      <c r="W18" s="95">
        <f>IF($D18="",0,SUMIFS(j_DrAmt,j_DrAcct,$D18,j_Per,10)-SUMIFS(j_CrAmt,j_CrAcct,$D18,j_Per,10)+IF($D18=acctTax,SUMIFS(j_TaxDr,j_Posted,1,j_Per,10)-SUMIFS(j_TaxCr,j_Posted,1,j_Per,10),0))</f>
        <v/>
      </c>
      <c r="X18" s="95">
        <f>IF($D18="",0,SUMIFS(j_DrAmt,j_DrAcct,$D18,j_Per,11)-SUMIFS(j_CrAmt,j_CrAcct,$D18,j_Per,11)+IF($D18=acctTax,SUMIFS(j_TaxDr,j_Posted,1,j_Per,11)-SUMIFS(j_TaxCr,j_Posted,1,j_Per,11),0))</f>
        <v/>
      </c>
      <c r="Y18" s="95">
        <f>IF($D18="",0,SUMIFS(j_DrAmt,j_DrAcct,$D18,j_Per,12)-SUMIFS(j_CrAmt,j_CrAcct,$D18,j_Per,12)+IF($D18=acctTax,SUMIFS(j_TaxDr,j_Posted,1,j_Per,12)-SUMIFS(j_TaxCr,j_Posted,1,j_Per,12),0))</f>
        <v/>
      </c>
      <c r="Z18" s="95">
        <f>SUMPRODUCT(($N$5:$Y$5&lt;=RptIdx)*N18:Y18)</f>
        <v/>
      </c>
      <c r="AA18" s="95">
        <f>IF(AND(RptIdx&gt;=1,RptIdx&lt;=12),INDEX(N18:Y18,RptIdx),0)</f>
        <v/>
      </c>
      <c r="AB18" s="95">
        <f>IF($D18="",0,IF(RptIdx&gt;1,INDEX(N18:Y18,RptIdx-1),SUMIFS(j_DrAmt,j_DrAcct,$D18,j_Date,"&gt;="&amp;PrevStart,j_Date,"&lt;="&amp;PrevEnd)-SUMIFS(j_CrAmt,j_CrAcct,$D18,j_Date,"&gt;="&amp;PrevStart,j_Date,"&lt;="&amp;PrevEnd)+IF($D18=acctTax,SUMIFS(j_TaxDr,j_Posted,1,j_Date,"&gt;="&amp;PrevStart,j_Date,"&lt;="&amp;PrevEnd)-SUMIFS(j_TaxCr,j_Posted,1,j_Date,"&gt;="&amp;PrevStart,j_Date,"&lt;="&amp;PrevEnd),0)))</f>
        <v/>
      </c>
      <c r="AC18" s="95">
        <f>SUM(N18:Y18)</f>
        <v/>
      </c>
      <c r="AD18" s="95">
        <f>L18+M18+Z18</f>
        <v/>
      </c>
      <c r="AE18" s="95">
        <f>AD18-AA18</f>
        <v/>
      </c>
      <c r="AF18" s="58">
        <f>IF($D18="","",F18&amp;"|"&amp;COUNTIFS($F$7:F18,F18,$D$7:D18,"&lt;&gt;"))</f>
        <v/>
      </c>
      <c r="AG18" s="58">
        <f>IF(AND($D18&lt;&gt;"",H18="Cash"),"Cash|"&amp;COUNTIFS($H$7:H18,"Cash",$D$7:D18,"&lt;&gt;"),"")</f>
        <v/>
      </c>
      <c r="AH18" s="95">
        <f>IF(AND($D18&lt;&gt;"",OR(F18="Cost of Sales",F18="Operating Expense",F18="Other Expense"),Z18&gt;0),Z18+12/1000000,"")</f>
        <v/>
      </c>
      <c r="AI18" s="95">
        <f>L18+M18+SUM(N18:N18)</f>
        <v/>
      </c>
      <c r="AJ18" s="95">
        <f>L18+M18+SUM(N18:O18)</f>
        <v/>
      </c>
      <c r="AK18" s="95">
        <f>L18+M18+SUM(N18:P18)</f>
        <v/>
      </c>
      <c r="AL18" s="95">
        <f>L18+M18+SUM(N18:Q18)</f>
        <v/>
      </c>
      <c r="AM18" s="95">
        <f>L18+M18+SUM(N18:R18)</f>
        <v/>
      </c>
      <c r="AN18" s="95">
        <f>L18+M18+SUM(N18:S18)</f>
        <v/>
      </c>
      <c r="AO18" s="95">
        <f>L18+M18+SUM(N18:T18)</f>
        <v/>
      </c>
      <c r="AP18" s="95">
        <f>L18+M18+SUM(N18:U18)</f>
        <v/>
      </c>
      <c r="AQ18" s="95">
        <f>L18+M18+SUM(N18:V18)</f>
        <v/>
      </c>
      <c r="AR18" s="95">
        <f>L18+M18+SUM(N18:W18)</f>
        <v/>
      </c>
      <c r="AS18" s="95">
        <f>L18+M18+SUM(N18:X18)</f>
        <v/>
      </c>
      <c r="AT18" s="95">
        <f>L18+M18+SUM(N18:Y18)</f>
        <v/>
      </c>
    </row>
    <row r="19">
      <c r="B19" s="58" t="n">
        <v>13</v>
      </c>
      <c r="C19" s="58">
        <f>IFERROR(INDEX(coa_Name,13)&amp;"","")</f>
        <v/>
      </c>
      <c r="D19" s="58">
        <f>IF(C19="","",IF(COUNTIF($C$7:C19,C19)&gt;1,"",C19))</f>
        <v/>
      </c>
      <c r="E19" s="58">
        <f>IF($D19="","",INDEX(coa_Code,13))</f>
        <v/>
      </c>
      <c r="F19" s="58">
        <f>IF($D19="","",INDEX(coa_Type,13)&amp;"")</f>
        <v/>
      </c>
      <c r="G19" s="58">
        <f>IF($D19="","",INDEX(coa_Normal,13)&amp;"")</f>
        <v/>
      </c>
      <c r="H19" s="58">
        <f>IF($D19="","",IF(INDEX(coa_CF,13)&amp;""="","Operating",INDEX(coa_CF,13)&amp;""))</f>
        <v/>
      </c>
      <c r="I19" s="58">
        <f>IF($D19="","",IFERROR(INDEX(at_Stmt,MATCH(F19,at_Type,0)),""))</f>
        <v/>
      </c>
      <c r="J19" s="58">
        <f>IF($D19="",0,IFERROR(INDEX(at_Sign,MATCH(F19,at_Type,0)),0))</f>
        <v/>
      </c>
      <c r="K19" s="95">
        <f>IF($D19="",0,IF(G19="Credit",-1,1)*N(INDEX(coa_Open,13)))</f>
        <v/>
      </c>
      <c r="L19" s="95">
        <f>IF($D19="",0,IF($D19=acctOBE,K19-SUM($K$7:$K$156),K19))</f>
        <v/>
      </c>
      <c r="M19" s="95">
        <f>IF($D19="",0,SUMIFS(j_DrAmt,j_DrAcct,$D19,j_Per,0)-SUMIFS(j_CrAmt,j_CrAcct,$D19,j_Per,0)+IF($D19=acctTax,SUMIFS(j_TaxDr,j_Posted,1,j_Per,0)-SUMIFS(j_TaxCr,j_Posted,1,j_Per,0),0))</f>
        <v/>
      </c>
      <c r="N19" s="95">
        <f>IF($D19="",0,SUMIFS(j_DrAmt,j_DrAcct,$D19,j_Per,1)-SUMIFS(j_CrAmt,j_CrAcct,$D19,j_Per,1)+IF($D19=acctTax,SUMIFS(j_TaxDr,j_Posted,1,j_Per,1)-SUMIFS(j_TaxCr,j_Posted,1,j_Per,1),0))</f>
        <v/>
      </c>
      <c r="O19" s="95">
        <f>IF($D19="",0,SUMIFS(j_DrAmt,j_DrAcct,$D19,j_Per,2)-SUMIFS(j_CrAmt,j_CrAcct,$D19,j_Per,2)+IF($D19=acctTax,SUMIFS(j_TaxDr,j_Posted,1,j_Per,2)-SUMIFS(j_TaxCr,j_Posted,1,j_Per,2),0))</f>
        <v/>
      </c>
      <c r="P19" s="95">
        <f>IF($D19="",0,SUMIFS(j_DrAmt,j_DrAcct,$D19,j_Per,3)-SUMIFS(j_CrAmt,j_CrAcct,$D19,j_Per,3)+IF($D19=acctTax,SUMIFS(j_TaxDr,j_Posted,1,j_Per,3)-SUMIFS(j_TaxCr,j_Posted,1,j_Per,3),0))</f>
        <v/>
      </c>
      <c r="Q19" s="95">
        <f>IF($D19="",0,SUMIFS(j_DrAmt,j_DrAcct,$D19,j_Per,4)-SUMIFS(j_CrAmt,j_CrAcct,$D19,j_Per,4)+IF($D19=acctTax,SUMIFS(j_TaxDr,j_Posted,1,j_Per,4)-SUMIFS(j_TaxCr,j_Posted,1,j_Per,4),0))</f>
        <v/>
      </c>
      <c r="R19" s="95">
        <f>IF($D19="",0,SUMIFS(j_DrAmt,j_DrAcct,$D19,j_Per,5)-SUMIFS(j_CrAmt,j_CrAcct,$D19,j_Per,5)+IF($D19=acctTax,SUMIFS(j_TaxDr,j_Posted,1,j_Per,5)-SUMIFS(j_TaxCr,j_Posted,1,j_Per,5),0))</f>
        <v/>
      </c>
      <c r="S19" s="95">
        <f>IF($D19="",0,SUMIFS(j_DrAmt,j_DrAcct,$D19,j_Per,6)-SUMIFS(j_CrAmt,j_CrAcct,$D19,j_Per,6)+IF($D19=acctTax,SUMIFS(j_TaxDr,j_Posted,1,j_Per,6)-SUMIFS(j_TaxCr,j_Posted,1,j_Per,6),0))</f>
        <v/>
      </c>
      <c r="T19" s="95">
        <f>IF($D19="",0,SUMIFS(j_DrAmt,j_DrAcct,$D19,j_Per,7)-SUMIFS(j_CrAmt,j_CrAcct,$D19,j_Per,7)+IF($D19=acctTax,SUMIFS(j_TaxDr,j_Posted,1,j_Per,7)-SUMIFS(j_TaxCr,j_Posted,1,j_Per,7),0))</f>
        <v/>
      </c>
      <c r="U19" s="95">
        <f>IF($D19="",0,SUMIFS(j_DrAmt,j_DrAcct,$D19,j_Per,8)-SUMIFS(j_CrAmt,j_CrAcct,$D19,j_Per,8)+IF($D19=acctTax,SUMIFS(j_TaxDr,j_Posted,1,j_Per,8)-SUMIFS(j_TaxCr,j_Posted,1,j_Per,8),0))</f>
        <v/>
      </c>
      <c r="V19" s="95">
        <f>IF($D19="",0,SUMIFS(j_DrAmt,j_DrAcct,$D19,j_Per,9)-SUMIFS(j_CrAmt,j_CrAcct,$D19,j_Per,9)+IF($D19=acctTax,SUMIFS(j_TaxDr,j_Posted,1,j_Per,9)-SUMIFS(j_TaxCr,j_Posted,1,j_Per,9),0))</f>
        <v/>
      </c>
      <c r="W19" s="95">
        <f>IF($D19="",0,SUMIFS(j_DrAmt,j_DrAcct,$D19,j_Per,10)-SUMIFS(j_CrAmt,j_CrAcct,$D19,j_Per,10)+IF($D19=acctTax,SUMIFS(j_TaxDr,j_Posted,1,j_Per,10)-SUMIFS(j_TaxCr,j_Posted,1,j_Per,10),0))</f>
        <v/>
      </c>
      <c r="X19" s="95">
        <f>IF($D19="",0,SUMIFS(j_DrAmt,j_DrAcct,$D19,j_Per,11)-SUMIFS(j_CrAmt,j_CrAcct,$D19,j_Per,11)+IF($D19=acctTax,SUMIFS(j_TaxDr,j_Posted,1,j_Per,11)-SUMIFS(j_TaxCr,j_Posted,1,j_Per,11),0))</f>
        <v/>
      </c>
      <c r="Y19" s="95">
        <f>IF($D19="",0,SUMIFS(j_DrAmt,j_DrAcct,$D19,j_Per,12)-SUMIFS(j_CrAmt,j_CrAcct,$D19,j_Per,12)+IF($D19=acctTax,SUMIFS(j_TaxDr,j_Posted,1,j_Per,12)-SUMIFS(j_TaxCr,j_Posted,1,j_Per,12),0))</f>
        <v/>
      </c>
      <c r="Z19" s="95">
        <f>SUMPRODUCT(($N$5:$Y$5&lt;=RptIdx)*N19:Y19)</f>
        <v/>
      </c>
      <c r="AA19" s="95">
        <f>IF(AND(RptIdx&gt;=1,RptIdx&lt;=12),INDEX(N19:Y19,RptIdx),0)</f>
        <v/>
      </c>
      <c r="AB19" s="95">
        <f>IF($D19="",0,IF(RptIdx&gt;1,INDEX(N19:Y19,RptIdx-1),SUMIFS(j_DrAmt,j_DrAcct,$D19,j_Date,"&gt;="&amp;PrevStart,j_Date,"&lt;="&amp;PrevEnd)-SUMIFS(j_CrAmt,j_CrAcct,$D19,j_Date,"&gt;="&amp;PrevStart,j_Date,"&lt;="&amp;PrevEnd)+IF($D19=acctTax,SUMIFS(j_TaxDr,j_Posted,1,j_Date,"&gt;="&amp;PrevStart,j_Date,"&lt;="&amp;PrevEnd)-SUMIFS(j_TaxCr,j_Posted,1,j_Date,"&gt;="&amp;PrevStart,j_Date,"&lt;="&amp;PrevEnd),0)))</f>
        <v/>
      </c>
      <c r="AC19" s="95">
        <f>SUM(N19:Y19)</f>
        <v/>
      </c>
      <c r="AD19" s="95">
        <f>L19+M19+Z19</f>
        <v/>
      </c>
      <c r="AE19" s="95">
        <f>AD19-AA19</f>
        <v/>
      </c>
      <c r="AF19" s="58">
        <f>IF($D19="","",F19&amp;"|"&amp;COUNTIFS($F$7:F19,F19,$D$7:D19,"&lt;&gt;"))</f>
        <v/>
      </c>
      <c r="AG19" s="58">
        <f>IF(AND($D19&lt;&gt;"",H19="Cash"),"Cash|"&amp;COUNTIFS($H$7:H19,"Cash",$D$7:D19,"&lt;&gt;"),"")</f>
        <v/>
      </c>
      <c r="AH19" s="95">
        <f>IF(AND($D19&lt;&gt;"",OR(F19="Cost of Sales",F19="Operating Expense",F19="Other Expense"),Z19&gt;0),Z19+13/1000000,"")</f>
        <v/>
      </c>
      <c r="AI19" s="95">
        <f>L19+M19+SUM(N19:N19)</f>
        <v/>
      </c>
      <c r="AJ19" s="95">
        <f>L19+M19+SUM(N19:O19)</f>
        <v/>
      </c>
      <c r="AK19" s="95">
        <f>L19+M19+SUM(N19:P19)</f>
        <v/>
      </c>
      <c r="AL19" s="95">
        <f>L19+M19+SUM(N19:Q19)</f>
        <v/>
      </c>
      <c r="AM19" s="95">
        <f>L19+M19+SUM(N19:R19)</f>
        <v/>
      </c>
      <c r="AN19" s="95">
        <f>L19+M19+SUM(N19:S19)</f>
        <v/>
      </c>
      <c r="AO19" s="95">
        <f>L19+M19+SUM(N19:T19)</f>
        <v/>
      </c>
      <c r="AP19" s="95">
        <f>L19+M19+SUM(N19:U19)</f>
        <v/>
      </c>
      <c r="AQ19" s="95">
        <f>L19+M19+SUM(N19:V19)</f>
        <v/>
      </c>
      <c r="AR19" s="95">
        <f>L19+M19+SUM(N19:W19)</f>
        <v/>
      </c>
      <c r="AS19" s="95">
        <f>L19+M19+SUM(N19:X19)</f>
        <v/>
      </c>
      <c r="AT19" s="95">
        <f>L19+M19+SUM(N19:Y19)</f>
        <v/>
      </c>
    </row>
    <row r="20">
      <c r="B20" s="58" t="n">
        <v>14</v>
      </c>
      <c r="C20" s="58">
        <f>IFERROR(INDEX(coa_Name,14)&amp;"","")</f>
        <v/>
      </c>
      <c r="D20" s="58">
        <f>IF(C20="","",IF(COUNTIF($C$7:C20,C20)&gt;1,"",C20))</f>
        <v/>
      </c>
      <c r="E20" s="58">
        <f>IF($D20="","",INDEX(coa_Code,14))</f>
        <v/>
      </c>
      <c r="F20" s="58">
        <f>IF($D20="","",INDEX(coa_Type,14)&amp;"")</f>
        <v/>
      </c>
      <c r="G20" s="58">
        <f>IF($D20="","",INDEX(coa_Normal,14)&amp;"")</f>
        <v/>
      </c>
      <c r="H20" s="58">
        <f>IF($D20="","",IF(INDEX(coa_CF,14)&amp;""="","Operating",INDEX(coa_CF,14)&amp;""))</f>
        <v/>
      </c>
      <c r="I20" s="58">
        <f>IF($D20="","",IFERROR(INDEX(at_Stmt,MATCH(F20,at_Type,0)),""))</f>
        <v/>
      </c>
      <c r="J20" s="58">
        <f>IF($D20="",0,IFERROR(INDEX(at_Sign,MATCH(F20,at_Type,0)),0))</f>
        <v/>
      </c>
      <c r="K20" s="95">
        <f>IF($D20="",0,IF(G20="Credit",-1,1)*N(INDEX(coa_Open,14)))</f>
        <v/>
      </c>
      <c r="L20" s="95">
        <f>IF($D20="",0,IF($D20=acctOBE,K20-SUM($K$7:$K$156),K20))</f>
        <v/>
      </c>
      <c r="M20" s="95">
        <f>IF($D20="",0,SUMIFS(j_DrAmt,j_DrAcct,$D20,j_Per,0)-SUMIFS(j_CrAmt,j_CrAcct,$D20,j_Per,0)+IF($D20=acctTax,SUMIFS(j_TaxDr,j_Posted,1,j_Per,0)-SUMIFS(j_TaxCr,j_Posted,1,j_Per,0),0))</f>
        <v/>
      </c>
      <c r="N20" s="95">
        <f>IF($D20="",0,SUMIFS(j_DrAmt,j_DrAcct,$D20,j_Per,1)-SUMIFS(j_CrAmt,j_CrAcct,$D20,j_Per,1)+IF($D20=acctTax,SUMIFS(j_TaxDr,j_Posted,1,j_Per,1)-SUMIFS(j_TaxCr,j_Posted,1,j_Per,1),0))</f>
        <v/>
      </c>
      <c r="O20" s="95">
        <f>IF($D20="",0,SUMIFS(j_DrAmt,j_DrAcct,$D20,j_Per,2)-SUMIFS(j_CrAmt,j_CrAcct,$D20,j_Per,2)+IF($D20=acctTax,SUMIFS(j_TaxDr,j_Posted,1,j_Per,2)-SUMIFS(j_TaxCr,j_Posted,1,j_Per,2),0))</f>
        <v/>
      </c>
      <c r="P20" s="95">
        <f>IF($D20="",0,SUMIFS(j_DrAmt,j_DrAcct,$D20,j_Per,3)-SUMIFS(j_CrAmt,j_CrAcct,$D20,j_Per,3)+IF($D20=acctTax,SUMIFS(j_TaxDr,j_Posted,1,j_Per,3)-SUMIFS(j_TaxCr,j_Posted,1,j_Per,3),0))</f>
        <v/>
      </c>
      <c r="Q20" s="95">
        <f>IF($D20="",0,SUMIFS(j_DrAmt,j_DrAcct,$D20,j_Per,4)-SUMIFS(j_CrAmt,j_CrAcct,$D20,j_Per,4)+IF($D20=acctTax,SUMIFS(j_TaxDr,j_Posted,1,j_Per,4)-SUMIFS(j_TaxCr,j_Posted,1,j_Per,4),0))</f>
        <v/>
      </c>
      <c r="R20" s="95">
        <f>IF($D20="",0,SUMIFS(j_DrAmt,j_DrAcct,$D20,j_Per,5)-SUMIFS(j_CrAmt,j_CrAcct,$D20,j_Per,5)+IF($D20=acctTax,SUMIFS(j_TaxDr,j_Posted,1,j_Per,5)-SUMIFS(j_TaxCr,j_Posted,1,j_Per,5),0))</f>
        <v/>
      </c>
      <c r="S20" s="95">
        <f>IF($D20="",0,SUMIFS(j_DrAmt,j_DrAcct,$D20,j_Per,6)-SUMIFS(j_CrAmt,j_CrAcct,$D20,j_Per,6)+IF($D20=acctTax,SUMIFS(j_TaxDr,j_Posted,1,j_Per,6)-SUMIFS(j_TaxCr,j_Posted,1,j_Per,6),0))</f>
        <v/>
      </c>
      <c r="T20" s="95">
        <f>IF($D20="",0,SUMIFS(j_DrAmt,j_DrAcct,$D20,j_Per,7)-SUMIFS(j_CrAmt,j_CrAcct,$D20,j_Per,7)+IF($D20=acctTax,SUMIFS(j_TaxDr,j_Posted,1,j_Per,7)-SUMIFS(j_TaxCr,j_Posted,1,j_Per,7),0))</f>
        <v/>
      </c>
      <c r="U20" s="95">
        <f>IF($D20="",0,SUMIFS(j_DrAmt,j_DrAcct,$D20,j_Per,8)-SUMIFS(j_CrAmt,j_CrAcct,$D20,j_Per,8)+IF($D20=acctTax,SUMIFS(j_TaxDr,j_Posted,1,j_Per,8)-SUMIFS(j_TaxCr,j_Posted,1,j_Per,8),0))</f>
        <v/>
      </c>
      <c r="V20" s="95">
        <f>IF($D20="",0,SUMIFS(j_DrAmt,j_DrAcct,$D20,j_Per,9)-SUMIFS(j_CrAmt,j_CrAcct,$D20,j_Per,9)+IF($D20=acctTax,SUMIFS(j_TaxDr,j_Posted,1,j_Per,9)-SUMIFS(j_TaxCr,j_Posted,1,j_Per,9),0))</f>
        <v/>
      </c>
      <c r="W20" s="95">
        <f>IF($D20="",0,SUMIFS(j_DrAmt,j_DrAcct,$D20,j_Per,10)-SUMIFS(j_CrAmt,j_CrAcct,$D20,j_Per,10)+IF($D20=acctTax,SUMIFS(j_TaxDr,j_Posted,1,j_Per,10)-SUMIFS(j_TaxCr,j_Posted,1,j_Per,10),0))</f>
        <v/>
      </c>
      <c r="X20" s="95">
        <f>IF($D20="",0,SUMIFS(j_DrAmt,j_DrAcct,$D20,j_Per,11)-SUMIFS(j_CrAmt,j_CrAcct,$D20,j_Per,11)+IF($D20=acctTax,SUMIFS(j_TaxDr,j_Posted,1,j_Per,11)-SUMIFS(j_TaxCr,j_Posted,1,j_Per,11),0))</f>
        <v/>
      </c>
      <c r="Y20" s="95">
        <f>IF($D20="",0,SUMIFS(j_DrAmt,j_DrAcct,$D20,j_Per,12)-SUMIFS(j_CrAmt,j_CrAcct,$D20,j_Per,12)+IF($D20=acctTax,SUMIFS(j_TaxDr,j_Posted,1,j_Per,12)-SUMIFS(j_TaxCr,j_Posted,1,j_Per,12),0))</f>
        <v/>
      </c>
      <c r="Z20" s="95">
        <f>SUMPRODUCT(($N$5:$Y$5&lt;=RptIdx)*N20:Y20)</f>
        <v/>
      </c>
      <c r="AA20" s="95">
        <f>IF(AND(RptIdx&gt;=1,RptIdx&lt;=12),INDEX(N20:Y20,RptIdx),0)</f>
        <v/>
      </c>
      <c r="AB20" s="95">
        <f>IF($D20="",0,IF(RptIdx&gt;1,INDEX(N20:Y20,RptIdx-1),SUMIFS(j_DrAmt,j_DrAcct,$D20,j_Date,"&gt;="&amp;PrevStart,j_Date,"&lt;="&amp;PrevEnd)-SUMIFS(j_CrAmt,j_CrAcct,$D20,j_Date,"&gt;="&amp;PrevStart,j_Date,"&lt;="&amp;PrevEnd)+IF($D20=acctTax,SUMIFS(j_TaxDr,j_Posted,1,j_Date,"&gt;="&amp;PrevStart,j_Date,"&lt;="&amp;PrevEnd)-SUMIFS(j_TaxCr,j_Posted,1,j_Date,"&gt;="&amp;PrevStart,j_Date,"&lt;="&amp;PrevEnd),0)))</f>
        <v/>
      </c>
      <c r="AC20" s="95">
        <f>SUM(N20:Y20)</f>
        <v/>
      </c>
      <c r="AD20" s="95">
        <f>L20+M20+Z20</f>
        <v/>
      </c>
      <c r="AE20" s="95">
        <f>AD20-AA20</f>
        <v/>
      </c>
      <c r="AF20" s="58">
        <f>IF($D20="","",F20&amp;"|"&amp;COUNTIFS($F$7:F20,F20,$D$7:D20,"&lt;&gt;"))</f>
        <v/>
      </c>
      <c r="AG20" s="58">
        <f>IF(AND($D20&lt;&gt;"",H20="Cash"),"Cash|"&amp;COUNTIFS($H$7:H20,"Cash",$D$7:D20,"&lt;&gt;"),"")</f>
        <v/>
      </c>
      <c r="AH20" s="95">
        <f>IF(AND($D20&lt;&gt;"",OR(F20="Cost of Sales",F20="Operating Expense",F20="Other Expense"),Z20&gt;0),Z20+14/1000000,"")</f>
        <v/>
      </c>
      <c r="AI20" s="95">
        <f>L20+M20+SUM(N20:N20)</f>
        <v/>
      </c>
      <c r="AJ20" s="95">
        <f>L20+M20+SUM(N20:O20)</f>
        <v/>
      </c>
      <c r="AK20" s="95">
        <f>L20+M20+SUM(N20:P20)</f>
        <v/>
      </c>
      <c r="AL20" s="95">
        <f>L20+M20+SUM(N20:Q20)</f>
        <v/>
      </c>
      <c r="AM20" s="95">
        <f>L20+M20+SUM(N20:R20)</f>
        <v/>
      </c>
      <c r="AN20" s="95">
        <f>L20+M20+SUM(N20:S20)</f>
        <v/>
      </c>
      <c r="AO20" s="95">
        <f>L20+M20+SUM(N20:T20)</f>
        <v/>
      </c>
      <c r="AP20" s="95">
        <f>L20+M20+SUM(N20:U20)</f>
        <v/>
      </c>
      <c r="AQ20" s="95">
        <f>L20+M20+SUM(N20:V20)</f>
        <v/>
      </c>
      <c r="AR20" s="95">
        <f>L20+M20+SUM(N20:W20)</f>
        <v/>
      </c>
      <c r="AS20" s="95">
        <f>L20+M20+SUM(N20:X20)</f>
        <v/>
      </c>
      <c r="AT20" s="95">
        <f>L20+M20+SUM(N20:Y20)</f>
        <v/>
      </c>
    </row>
    <row r="21">
      <c r="B21" s="58" t="n">
        <v>15</v>
      </c>
      <c r="C21" s="58">
        <f>IFERROR(INDEX(coa_Name,15)&amp;"","")</f>
        <v/>
      </c>
      <c r="D21" s="58">
        <f>IF(C21="","",IF(COUNTIF($C$7:C21,C21)&gt;1,"",C21))</f>
        <v/>
      </c>
      <c r="E21" s="58">
        <f>IF($D21="","",INDEX(coa_Code,15))</f>
        <v/>
      </c>
      <c r="F21" s="58">
        <f>IF($D21="","",INDEX(coa_Type,15)&amp;"")</f>
        <v/>
      </c>
      <c r="G21" s="58">
        <f>IF($D21="","",INDEX(coa_Normal,15)&amp;"")</f>
        <v/>
      </c>
      <c r="H21" s="58">
        <f>IF($D21="","",IF(INDEX(coa_CF,15)&amp;""="","Operating",INDEX(coa_CF,15)&amp;""))</f>
        <v/>
      </c>
      <c r="I21" s="58">
        <f>IF($D21="","",IFERROR(INDEX(at_Stmt,MATCH(F21,at_Type,0)),""))</f>
        <v/>
      </c>
      <c r="J21" s="58">
        <f>IF($D21="",0,IFERROR(INDEX(at_Sign,MATCH(F21,at_Type,0)),0))</f>
        <v/>
      </c>
      <c r="K21" s="95">
        <f>IF($D21="",0,IF(G21="Credit",-1,1)*N(INDEX(coa_Open,15)))</f>
        <v/>
      </c>
      <c r="L21" s="95">
        <f>IF($D21="",0,IF($D21=acctOBE,K21-SUM($K$7:$K$156),K21))</f>
        <v/>
      </c>
      <c r="M21" s="95">
        <f>IF($D21="",0,SUMIFS(j_DrAmt,j_DrAcct,$D21,j_Per,0)-SUMIFS(j_CrAmt,j_CrAcct,$D21,j_Per,0)+IF($D21=acctTax,SUMIFS(j_TaxDr,j_Posted,1,j_Per,0)-SUMIFS(j_TaxCr,j_Posted,1,j_Per,0),0))</f>
        <v/>
      </c>
      <c r="N21" s="95">
        <f>IF($D21="",0,SUMIFS(j_DrAmt,j_DrAcct,$D21,j_Per,1)-SUMIFS(j_CrAmt,j_CrAcct,$D21,j_Per,1)+IF($D21=acctTax,SUMIFS(j_TaxDr,j_Posted,1,j_Per,1)-SUMIFS(j_TaxCr,j_Posted,1,j_Per,1),0))</f>
        <v/>
      </c>
      <c r="O21" s="95">
        <f>IF($D21="",0,SUMIFS(j_DrAmt,j_DrAcct,$D21,j_Per,2)-SUMIFS(j_CrAmt,j_CrAcct,$D21,j_Per,2)+IF($D21=acctTax,SUMIFS(j_TaxDr,j_Posted,1,j_Per,2)-SUMIFS(j_TaxCr,j_Posted,1,j_Per,2),0))</f>
        <v/>
      </c>
      <c r="P21" s="95">
        <f>IF($D21="",0,SUMIFS(j_DrAmt,j_DrAcct,$D21,j_Per,3)-SUMIFS(j_CrAmt,j_CrAcct,$D21,j_Per,3)+IF($D21=acctTax,SUMIFS(j_TaxDr,j_Posted,1,j_Per,3)-SUMIFS(j_TaxCr,j_Posted,1,j_Per,3),0))</f>
        <v/>
      </c>
      <c r="Q21" s="95">
        <f>IF($D21="",0,SUMIFS(j_DrAmt,j_DrAcct,$D21,j_Per,4)-SUMIFS(j_CrAmt,j_CrAcct,$D21,j_Per,4)+IF($D21=acctTax,SUMIFS(j_TaxDr,j_Posted,1,j_Per,4)-SUMIFS(j_TaxCr,j_Posted,1,j_Per,4),0))</f>
        <v/>
      </c>
      <c r="R21" s="95">
        <f>IF($D21="",0,SUMIFS(j_DrAmt,j_DrAcct,$D21,j_Per,5)-SUMIFS(j_CrAmt,j_CrAcct,$D21,j_Per,5)+IF($D21=acctTax,SUMIFS(j_TaxDr,j_Posted,1,j_Per,5)-SUMIFS(j_TaxCr,j_Posted,1,j_Per,5),0))</f>
        <v/>
      </c>
      <c r="S21" s="95">
        <f>IF($D21="",0,SUMIFS(j_DrAmt,j_DrAcct,$D21,j_Per,6)-SUMIFS(j_CrAmt,j_CrAcct,$D21,j_Per,6)+IF($D21=acctTax,SUMIFS(j_TaxDr,j_Posted,1,j_Per,6)-SUMIFS(j_TaxCr,j_Posted,1,j_Per,6),0))</f>
        <v/>
      </c>
      <c r="T21" s="95">
        <f>IF($D21="",0,SUMIFS(j_DrAmt,j_DrAcct,$D21,j_Per,7)-SUMIFS(j_CrAmt,j_CrAcct,$D21,j_Per,7)+IF($D21=acctTax,SUMIFS(j_TaxDr,j_Posted,1,j_Per,7)-SUMIFS(j_TaxCr,j_Posted,1,j_Per,7),0))</f>
        <v/>
      </c>
      <c r="U21" s="95">
        <f>IF($D21="",0,SUMIFS(j_DrAmt,j_DrAcct,$D21,j_Per,8)-SUMIFS(j_CrAmt,j_CrAcct,$D21,j_Per,8)+IF($D21=acctTax,SUMIFS(j_TaxDr,j_Posted,1,j_Per,8)-SUMIFS(j_TaxCr,j_Posted,1,j_Per,8),0))</f>
        <v/>
      </c>
      <c r="V21" s="95">
        <f>IF($D21="",0,SUMIFS(j_DrAmt,j_DrAcct,$D21,j_Per,9)-SUMIFS(j_CrAmt,j_CrAcct,$D21,j_Per,9)+IF($D21=acctTax,SUMIFS(j_TaxDr,j_Posted,1,j_Per,9)-SUMIFS(j_TaxCr,j_Posted,1,j_Per,9),0))</f>
        <v/>
      </c>
      <c r="W21" s="95">
        <f>IF($D21="",0,SUMIFS(j_DrAmt,j_DrAcct,$D21,j_Per,10)-SUMIFS(j_CrAmt,j_CrAcct,$D21,j_Per,10)+IF($D21=acctTax,SUMIFS(j_TaxDr,j_Posted,1,j_Per,10)-SUMIFS(j_TaxCr,j_Posted,1,j_Per,10),0))</f>
        <v/>
      </c>
      <c r="X21" s="95">
        <f>IF($D21="",0,SUMIFS(j_DrAmt,j_DrAcct,$D21,j_Per,11)-SUMIFS(j_CrAmt,j_CrAcct,$D21,j_Per,11)+IF($D21=acctTax,SUMIFS(j_TaxDr,j_Posted,1,j_Per,11)-SUMIFS(j_TaxCr,j_Posted,1,j_Per,11),0))</f>
        <v/>
      </c>
      <c r="Y21" s="95">
        <f>IF($D21="",0,SUMIFS(j_DrAmt,j_DrAcct,$D21,j_Per,12)-SUMIFS(j_CrAmt,j_CrAcct,$D21,j_Per,12)+IF($D21=acctTax,SUMIFS(j_TaxDr,j_Posted,1,j_Per,12)-SUMIFS(j_TaxCr,j_Posted,1,j_Per,12),0))</f>
        <v/>
      </c>
      <c r="Z21" s="95">
        <f>SUMPRODUCT(($N$5:$Y$5&lt;=RptIdx)*N21:Y21)</f>
        <v/>
      </c>
      <c r="AA21" s="95">
        <f>IF(AND(RptIdx&gt;=1,RptIdx&lt;=12),INDEX(N21:Y21,RptIdx),0)</f>
        <v/>
      </c>
      <c r="AB21" s="95">
        <f>IF($D21="",0,IF(RptIdx&gt;1,INDEX(N21:Y21,RptIdx-1),SUMIFS(j_DrAmt,j_DrAcct,$D21,j_Date,"&gt;="&amp;PrevStart,j_Date,"&lt;="&amp;PrevEnd)-SUMIFS(j_CrAmt,j_CrAcct,$D21,j_Date,"&gt;="&amp;PrevStart,j_Date,"&lt;="&amp;PrevEnd)+IF($D21=acctTax,SUMIFS(j_TaxDr,j_Posted,1,j_Date,"&gt;="&amp;PrevStart,j_Date,"&lt;="&amp;PrevEnd)-SUMIFS(j_TaxCr,j_Posted,1,j_Date,"&gt;="&amp;PrevStart,j_Date,"&lt;="&amp;PrevEnd),0)))</f>
        <v/>
      </c>
      <c r="AC21" s="95">
        <f>SUM(N21:Y21)</f>
        <v/>
      </c>
      <c r="AD21" s="95">
        <f>L21+M21+Z21</f>
        <v/>
      </c>
      <c r="AE21" s="95">
        <f>AD21-AA21</f>
        <v/>
      </c>
      <c r="AF21" s="58">
        <f>IF($D21="","",F21&amp;"|"&amp;COUNTIFS($F$7:F21,F21,$D$7:D21,"&lt;&gt;"))</f>
        <v/>
      </c>
      <c r="AG21" s="58">
        <f>IF(AND($D21&lt;&gt;"",H21="Cash"),"Cash|"&amp;COUNTIFS($H$7:H21,"Cash",$D$7:D21,"&lt;&gt;"),"")</f>
        <v/>
      </c>
      <c r="AH21" s="95">
        <f>IF(AND($D21&lt;&gt;"",OR(F21="Cost of Sales",F21="Operating Expense",F21="Other Expense"),Z21&gt;0),Z21+15/1000000,"")</f>
        <v/>
      </c>
      <c r="AI21" s="95">
        <f>L21+M21+SUM(N21:N21)</f>
        <v/>
      </c>
      <c r="AJ21" s="95">
        <f>L21+M21+SUM(N21:O21)</f>
        <v/>
      </c>
      <c r="AK21" s="95">
        <f>L21+M21+SUM(N21:P21)</f>
        <v/>
      </c>
      <c r="AL21" s="95">
        <f>L21+M21+SUM(N21:Q21)</f>
        <v/>
      </c>
      <c r="AM21" s="95">
        <f>L21+M21+SUM(N21:R21)</f>
        <v/>
      </c>
      <c r="AN21" s="95">
        <f>L21+M21+SUM(N21:S21)</f>
        <v/>
      </c>
      <c r="AO21" s="95">
        <f>L21+M21+SUM(N21:T21)</f>
        <v/>
      </c>
      <c r="AP21" s="95">
        <f>L21+M21+SUM(N21:U21)</f>
        <v/>
      </c>
      <c r="AQ21" s="95">
        <f>L21+M21+SUM(N21:V21)</f>
        <v/>
      </c>
      <c r="AR21" s="95">
        <f>L21+M21+SUM(N21:W21)</f>
        <v/>
      </c>
      <c r="AS21" s="95">
        <f>L21+M21+SUM(N21:X21)</f>
        <v/>
      </c>
      <c r="AT21" s="95">
        <f>L21+M21+SUM(N21:Y21)</f>
        <v/>
      </c>
    </row>
    <row r="22">
      <c r="B22" s="58" t="n">
        <v>16</v>
      </c>
      <c r="C22" s="58">
        <f>IFERROR(INDEX(coa_Name,16)&amp;"","")</f>
        <v/>
      </c>
      <c r="D22" s="58">
        <f>IF(C22="","",IF(COUNTIF($C$7:C22,C22)&gt;1,"",C22))</f>
        <v/>
      </c>
      <c r="E22" s="58">
        <f>IF($D22="","",INDEX(coa_Code,16))</f>
        <v/>
      </c>
      <c r="F22" s="58">
        <f>IF($D22="","",INDEX(coa_Type,16)&amp;"")</f>
        <v/>
      </c>
      <c r="G22" s="58">
        <f>IF($D22="","",INDEX(coa_Normal,16)&amp;"")</f>
        <v/>
      </c>
      <c r="H22" s="58">
        <f>IF($D22="","",IF(INDEX(coa_CF,16)&amp;""="","Operating",INDEX(coa_CF,16)&amp;""))</f>
        <v/>
      </c>
      <c r="I22" s="58">
        <f>IF($D22="","",IFERROR(INDEX(at_Stmt,MATCH(F22,at_Type,0)),""))</f>
        <v/>
      </c>
      <c r="J22" s="58">
        <f>IF($D22="",0,IFERROR(INDEX(at_Sign,MATCH(F22,at_Type,0)),0))</f>
        <v/>
      </c>
      <c r="K22" s="95">
        <f>IF($D22="",0,IF(G22="Credit",-1,1)*N(INDEX(coa_Open,16)))</f>
        <v/>
      </c>
      <c r="L22" s="95">
        <f>IF($D22="",0,IF($D22=acctOBE,K22-SUM($K$7:$K$156),K22))</f>
        <v/>
      </c>
      <c r="M22" s="95">
        <f>IF($D22="",0,SUMIFS(j_DrAmt,j_DrAcct,$D22,j_Per,0)-SUMIFS(j_CrAmt,j_CrAcct,$D22,j_Per,0)+IF($D22=acctTax,SUMIFS(j_TaxDr,j_Posted,1,j_Per,0)-SUMIFS(j_TaxCr,j_Posted,1,j_Per,0),0))</f>
        <v/>
      </c>
      <c r="N22" s="95">
        <f>IF($D22="",0,SUMIFS(j_DrAmt,j_DrAcct,$D22,j_Per,1)-SUMIFS(j_CrAmt,j_CrAcct,$D22,j_Per,1)+IF($D22=acctTax,SUMIFS(j_TaxDr,j_Posted,1,j_Per,1)-SUMIFS(j_TaxCr,j_Posted,1,j_Per,1),0))</f>
        <v/>
      </c>
      <c r="O22" s="95">
        <f>IF($D22="",0,SUMIFS(j_DrAmt,j_DrAcct,$D22,j_Per,2)-SUMIFS(j_CrAmt,j_CrAcct,$D22,j_Per,2)+IF($D22=acctTax,SUMIFS(j_TaxDr,j_Posted,1,j_Per,2)-SUMIFS(j_TaxCr,j_Posted,1,j_Per,2),0))</f>
        <v/>
      </c>
      <c r="P22" s="95">
        <f>IF($D22="",0,SUMIFS(j_DrAmt,j_DrAcct,$D22,j_Per,3)-SUMIFS(j_CrAmt,j_CrAcct,$D22,j_Per,3)+IF($D22=acctTax,SUMIFS(j_TaxDr,j_Posted,1,j_Per,3)-SUMIFS(j_TaxCr,j_Posted,1,j_Per,3),0))</f>
        <v/>
      </c>
      <c r="Q22" s="95">
        <f>IF($D22="",0,SUMIFS(j_DrAmt,j_DrAcct,$D22,j_Per,4)-SUMIFS(j_CrAmt,j_CrAcct,$D22,j_Per,4)+IF($D22=acctTax,SUMIFS(j_TaxDr,j_Posted,1,j_Per,4)-SUMIFS(j_TaxCr,j_Posted,1,j_Per,4),0))</f>
        <v/>
      </c>
      <c r="R22" s="95">
        <f>IF($D22="",0,SUMIFS(j_DrAmt,j_DrAcct,$D22,j_Per,5)-SUMIFS(j_CrAmt,j_CrAcct,$D22,j_Per,5)+IF($D22=acctTax,SUMIFS(j_TaxDr,j_Posted,1,j_Per,5)-SUMIFS(j_TaxCr,j_Posted,1,j_Per,5),0))</f>
        <v/>
      </c>
      <c r="S22" s="95">
        <f>IF($D22="",0,SUMIFS(j_DrAmt,j_DrAcct,$D22,j_Per,6)-SUMIFS(j_CrAmt,j_CrAcct,$D22,j_Per,6)+IF($D22=acctTax,SUMIFS(j_TaxDr,j_Posted,1,j_Per,6)-SUMIFS(j_TaxCr,j_Posted,1,j_Per,6),0))</f>
        <v/>
      </c>
      <c r="T22" s="95">
        <f>IF($D22="",0,SUMIFS(j_DrAmt,j_DrAcct,$D22,j_Per,7)-SUMIFS(j_CrAmt,j_CrAcct,$D22,j_Per,7)+IF($D22=acctTax,SUMIFS(j_TaxDr,j_Posted,1,j_Per,7)-SUMIFS(j_TaxCr,j_Posted,1,j_Per,7),0))</f>
        <v/>
      </c>
      <c r="U22" s="95">
        <f>IF($D22="",0,SUMIFS(j_DrAmt,j_DrAcct,$D22,j_Per,8)-SUMIFS(j_CrAmt,j_CrAcct,$D22,j_Per,8)+IF($D22=acctTax,SUMIFS(j_TaxDr,j_Posted,1,j_Per,8)-SUMIFS(j_TaxCr,j_Posted,1,j_Per,8),0))</f>
        <v/>
      </c>
      <c r="V22" s="95">
        <f>IF($D22="",0,SUMIFS(j_DrAmt,j_DrAcct,$D22,j_Per,9)-SUMIFS(j_CrAmt,j_CrAcct,$D22,j_Per,9)+IF($D22=acctTax,SUMIFS(j_TaxDr,j_Posted,1,j_Per,9)-SUMIFS(j_TaxCr,j_Posted,1,j_Per,9),0))</f>
        <v/>
      </c>
      <c r="W22" s="95">
        <f>IF($D22="",0,SUMIFS(j_DrAmt,j_DrAcct,$D22,j_Per,10)-SUMIFS(j_CrAmt,j_CrAcct,$D22,j_Per,10)+IF($D22=acctTax,SUMIFS(j_TaxDr,j_Posted,1,j_Per,10)-SUMIFS(j_TaxCr,j_Posted,1,j_Per,10),0))</f>
        <v/>
      </c>
      <c r="X22" s="95">
        <f>IF($D22="",0,SUMIFS(j_DrAmt,j_DrAcct,$D22,j_Per,11)-SUMIFS(j_CrAmt,j_CrAcct,$D22,j_Per,11)+IF($D22=acctTax,SUMIFS(j_TaxDr,j_Posted,1,j_Per,11)-SUMIFS(j_TaxCr,j_Posted,1,j_Per,11),0))</f>
        <v/>
      </c>
      <c r="Y22" s="95">
        <f>IF($D22="",0,SUMIFS(j_DrAmt,j_DrAcct,$D22,j_Per,12)-SUMIFS(j_CrAmt,j_CrAcct,$D22,j_Per,12)+IF($D22=acctTax,SUMIFS(j_TaxDr,j_Posted,1,j_Per,12)-SUMIFS(j_TaxCr,j_Posted,1,j_Per,12),0))</f>
        <v/>
      </c>
      <c r="Z22" s="95">
        <f>SUMPRODUCT(($N$5:$Y$5&lt;=RptIdx)*N22:Y22)</f>
        <v/>
      </c>
      <c r="AA22" s="95">
        <f>IF(AND(RptIdx&gt;=1,RptIdx&lt;=12),INDEX(N22:Y22,RptIdx),0)</f>
        <v/>
      </c>
      <c r="AB22" s="95">
        <f>IF($D22="",0,IF(RptIdx&gt;1,INDEX(N22:Y22,RptIdx-1),SUMIFS(j_DrAmt,j_DrAcct,$D22,j_Date,"&gt;="&amp;PrevStart,j_Date,"&lt;="&amp;PrevEnd)-SUMIFS(j_CrAmt,j_CrAcct,$D22,j_Date,"&gt;="&amp;PrevStart,j_Date,"&lt;="&amp;PrevEnd)+IF($D22=acctTax,SUMIFS(j_TaxDr,j_Posted,1,j_Date,"&gt;="&amp;PrevStart,j_Date,"&lt;="&amp;PrevEnd)-SUMIFS(j_TaxCr,j_Posted,1,j_Date,"&gt;="&amp;PrevStart,j_Date,"&lt;="&amp;PrevEnd),0)))</f>
        <v/>
      </c>
      <c r="AC22" s="95">
        <f>SUM(N22:Y22)</f>
        <v/>
      </c>
      <c r="AD22" s="95">
        <f>L22+M22+Z22</f>
        <v/>
      </c>
      <c r="AE22" s="95">
        <f>AD22-AA22</f>
        <v/>
      </c>
      <c r="AF22" s="58">
        <f>IF($D22="","",F22&amp;"|"&amp;COUNTIFS($F$7:F22,F22,$D$7:D22,"&lt;&gt;"))</f>
        <v/>
      </c>
      <c r="AG22" s="58">
        <f>IF(AND($D22&lt;&gt;"",H22="Cash"),"Cash|"&amp;COUNTIFS($H$7:H22,"Cash",$D$7:D22,"&lt;&gt;"),"")</f>
        <v/>
      </c>
      <c r="AH22" s="95">
        <f>IF(AND($D22&lt;&gt;"",OR(F22="Cost of Sales",F22="Operating Expense",F22="Other Expense"),Z22&gt;0),Z22+16/1000000,"")</f>
        <v/>
      </c>
      <c r="AI22" s="95">
        <f>L22+M22+SUM(N22:N22)</f>
        <v/>
      </c>
      <c r="AJ22" s="95">
        <f>L22+M22+SUM(N22:O22)</f>
        <v/>
      </c>
      <c r="AK22" s="95">
        <f>L22+M22+SUM(N22:P22)</f>
        <v/>
      </c>
      <c r="AL22" s="95">
        <f>L22+M22+SUM(N22:Q22)</f>
        <v/>
      </c>
      <c r="AM22" s="95">
        <f>L22+M22+SUM(N22:R22)</f>
        <v/>
      </c>
      <c r="AN22" s="95">
        <f>L22+M22+SUM(N22:S22)</f>
        <v/>
      </c>
      <c r="AO22" s="95">
        <f>L22+M22+SUM(N22:T22)</f>
        <v/>
      </c>
      <c r="AP22" s="95">
        <f>L22+M22+SUM(N22:U22)</f>
        <v/>
      </c>
      <c r="AQ22" s="95">
        <f>L22+M22+SUM(N22:V22)</f>
        <v/>
      </c>
      <c r="AR22" s="95">
        <f>L22+M22+SUM(N22:W22)</f>
        <v/>
      </c>
      <c r="AS22" s="95">
        <f>L22+M22+SUM(N22:X22)</f>
        <v/>
      </c>
      <c r="AT22" s="95">
        <f>L22+M22+SUM(N22:Y22)</f>
        <v/>
      </c>
    </row>
    <row r="23">
      <c r="B23" s="58" t="n">
        <v>17</v>
      </c>
      <c r="C23" s="58">
        <f>IFERROR(INDEX(coa_Name,17)&amp;"","")</f>
        <v/>
      </c>
      <c r="D23" s="58">
        <f>IF(C23="","",IF(COUNTIF($C$7:C23,C23)&gt;1,"",C23))</f>
        <v/>
      </c>
      <c r="E23" s="58">
        <f>IF($D23="","",INDEX(coa_Code,17))</f>
        <v/>
      </c>
      <c r="F23" s="58">
        <f>IF($D23="","",INDEX(coa_Type,17)&amp;"")</f>
        <v/>
      </c>
      <c r="G23" s="58">
        <f>IF($D23="","",INDEX(coa_Normal,17)&amp;"")</f>
        <v/>
      </c>
      <c r="H23" s="58">
        <f>IF($D23="","",IF(INDEX(coa_CF,17)&amp;""="","Operating",INDEX(coa_CF,17)&amp;""))</f>
        <v/>
      </c>
      <c r="I23" s="58">
        <f>IF($D23="","",IFERROR(INDEX(at_Stmt,MATCH(F23,at_Type,0)),""))</f>
        <v/>
      </c>
      <c r="J23" s="58">
        <f>IF($D23="",0,IFERROR(INDEX(at_Sign,MATCH(F23,at_Type,0)),0))</f>
        <v/>
      </c>
      <c r="K23" s="95">
        <f>IF($D23="",0,IF(G23="Credit",-1,1)*N(INDEX(coa_Open,17)))</f>
        <v/>
      </c>
      <c r="L23" s="95">
        <f>IF($D23="",0,IF($D23=acctOBE,K23-SUM($K$7:$K$156),K23))</f>
        <v/>
      </c>
      <c r="M23" s="95">
        <f>IF($D23="",0,SUMIFS(j_DrAmt,j_DrAcct,$D23,j_Per,0)-SUMIFS(j_CrAmt,j_CrAcct,$D23,j_Per,0)+IF($D23=acctTax,SUMIFS(j_TaxDr,j_Posted,1,j_Per,0)-SUMIFS(j_TaxCr,j_Posted,1,j_Per,0),0))</f>
        <v/>
      </c>
      <c r="N23" s="95">
        <f>IF($D23="",0,SUMIFS(j_DrAmt,j_DrAcct,$D23,j_Per,1)-SUMIFS(j_CrAmt,j_CrAcct,$D23,j_Per,1)+IF($D23=acctTax,SUMIFS(j_TaxDr,j_Posted,1,j_Per,1)-SUMIFS(j_TaxCr,j_Posted,1,j_Per,1),0))</f>
        <v/>
      </c>
      <c r="O23" s="95">
        <f>IF($D23="",0,SUMIFS(j_DrAmt,j_DrAcct,$D23,j_Per,2)-SUMIFS(j_CrAmt,j_CrAcct,$D23,j_Per,2)+IF($D23=acctTax,SUMIFS(j_TaxDr,j_Posted,1,j_Per,2)-SUMIFS(j_TaxCr,j_Posted,1,j_Per,2),0))</f>
        <v/>
      </c>
      <c r="P23" s="95">
        <f>IF($D23="",0,SUMIFS(j_DrAmt,j_DrAcct,$D23,j_Per,3)-SUMIFS(j_CrAmt,j_CrAcct,$D23,j_Per,3)+IF($D23=acctTax,SUMIFS(j_TaxDr,j_Posted,1,j_Per,3)-SUMIFS(j_TaxCr,j_Posted,1,j_Per,3),0))</f>
        <v/>
      </c>
      <c r="Q23" s="95">
        <f>IF($D23="",0,SUMIFS(j_DrAmt,j_DrAcct,$D23,j_Per,4)-SUMIFS(j_CrAmt,j_CrAcct,$D23,j_Per,4)+IF($D23=acctTax,SUMIFS(j_TaxDr,j_Posted,1,j_Per,4)-SUMIFS(j_TaxCr,j_Posted,1,j_Per,4),0))</f>
        <v/>
      </c>
      <c r="R23" s="95">
        <f>IF($D23="",0,SUMIFS(j_DrAmt,j_DrAcct,$D23,j_Per,5)-SUMIFS(j_CrAmt,j_CrAcct,$D23,j_Per,5)+IF($D23=acctTax,SUMIFS(j_TaxDr,j_Posted,1,j_Per,5)-SUMIFS(j_TaxCr,j_Posted,1,j_Per,5),0))</f>
        <v/>
      </c>
      <c r="S23" s="95">
        <f>IF($D23="",0,SUMIFS(j_DrAmt,j_DrAcct,$D23,j_Per,6)-SUMIFS(j_CrAmt,j_CrAcct,$D23,j_Per,6)+IF($D23=acctTax,SUMIFS(j_TaxDr,j_Posted,1,j_Per,6)-SUMIFS(j_TaxCr,j_Posted,1,j_Per,6),0))</f>
        <v/>
      </c>
      <c r="T23" s="95">
        <f>IF($D23="",0,SUMIFS(j_DrAmt,j_DrAcct,$D23,j_Per,7)-SUMIFS(j_CrAmt,j_CrAcct,$D23,j_Per,7)+IF($D23=acctTax,SUMIFS(j_TaxDr,j_Posted,1,j_Per,7)-SUMIFS(j_TaxCr,j_Posted,1,j_Per,7),0))</f>
        <v/>
      </c>
      <c r="U23" s="95">
        <f>IF($D23="",0,SUMIFS(j_DrAmt,j_DrAcct,$D23,j_Per,8)-SUMIFS(j_CrAmt,j_CrAcct,$D23,j_Per,8)+IF($D23=acctTax,SUMIFS(j_TaxDr,j_Posted,1,j_Per,8)-SUMIFS(j_TaxCr,j_Posted,1,j_Per,8),0))</f>
        <v/>
      </c>
      <c r="V23" s="95">
        <f>IF($D23="",0,SUMIFS(j_DrAmt,j_DrAcct,$D23,j_Per,9)-SUMIFS(j_CrAmt,j_CrAcct,$D23,j_Per,9)+IF($D23=acctTax,SUMIFS(j_TaxDr,j_Posted,1,j_Per,9)-SUMIFS(j_TaxCr,j_Posted,1,j_Per,9),0))</f>
        <v/>
      </c>
      <c r="W23" s="95">
        <f>IF($D23="",0,SUMIFS(j_DrAmt,j_DrAcct,$D23,j_Per,10)-SUMIFS(j_CrAmt,j_CrAcct,$D23,j_Per,10)+IF($D23=acctTax,SUMIFS(j_TaxDr,j_Posted,1,j_Per,10)-SUMIFS(j_TaxCr,j_Posted,1,j_Per,10),0))</f>
        <v/>
      </c>
      <c r="X23" s="95">
        <f>IF($D23="",0,SUMIFS(j_DrAmt,j_DrAcct,$D23,j_Per,11)-SUMIFS(j_CrAmt,j_CrAcct,$D23,j_Per,11)+IF($D23=acctTax,SUMIFS(j_TaxDr,j_Posted,1,j_Per,11)-SUMIFS(j_TaxCr,j_Posted,1,j_Per,11),0))</f>
        <v/>
      </c>
      <c r="Y23" s="95">
        <f>IF($D23="",0,SUMIFS(j_DrAmt,j_DrAcct,$D23,j_Per,12)-SUMIFS(j_CrAmt,j_CrAcct,$D23,j_Per,12)+IF($D23=acctTax,SUMIFS(j_TaxDr,j_Posted,1,j_Per,12)-SUMIFS(j_TaxCr,j_Posted,1,j_Per,12),0))</f>
        <v/>
      </c>
      <c r="Z23" s="95">
        <f>SUMPRODUCT(($N$5:$Y$5&lt;=RptIdx)*N23:Y23)</f>
        <v/>
      </c>
      <c r="AA23" s="95">
        <f>IF(AND(RptIdx&gt;=1,RptIdx&lt;=12),INDEX(N23:Y23,RptIdx),0)</f>
        <v/>
      </c>
      <c r="AB23" s="95">
        <f>IF($D23="",0,IF(RptIdx&gt;1,INDEX(N23:Y23,RptIdx-1),SUMIFS(j_DrAmt,j_DrAcct,$D23,j_Date,"&gt;="&amp;PrevStart,j_Date,"&lt;="&amp;PrevEnd)-SUMIFS(j_CrAmt,j_CrAcct,$D23,j_Date,"&gt;="&amp;PrevStart,j_Date,"&lt;="&amp;PrevEnd)+IF($D23=acctTax,SUMIFS(j_TaxDr,j_Posted,1,j_Date,"&gt;="&amp;PrevStart,j_Date,"&lt;="&amp;PrevEnd)-SUMIFS(j_TaxCr,j_Posted,1,j_Date,"&gt;="&amp;PrevStart,j_Date,"&lt;="&amp;PrevEnd),0)))</f>
        <v/>
      </c>
      <c r="AC23" s="95">
        <f>SUM(N23:Y23)</f>
        <v/>
      </c>
      <c r="AD23" s="95">
        <f>L23+M23+Z23</f>
        <v/>
      </c>
      <c r="AE23" s="95">
        <f>AD23-AA23</f>
        <v/>
      </c>
      <c r="AF23" s="58">
        <f>IF($D23="","",F23&amp;"|"&amp;COUNTIFS($F$7:F23,F23,$D$7:D23,"&lt;&gt;"))</f>
        <v/>
      </c>
      <c r="AG23" s="58">
        <f>IF(AND($D23&lt;&gt;"",H23="Cash"),"Cash|"&amp;COUNTIFS($H$7:H23,"Cash",$D$7:D23,"&lt;&gt;"),"")</f>
        <v/>
      </c>
      <c r="AH23" s="95">
        <f>IF(AND($D23&lt;&gt;"",OR(F23="Cost of Sales",F23="Operating Expense",F23="Other Expense"),Z23&gt;0),Z23+17/1000000,"")</f>
        <v/>
      </c>
      <c r="AI23" s="95">
        <f>L23+M23+SUM(N23:N23)</f>
        <v/>
      </c>
      <c r="AJ23" s="95">
        <f>L23+M23+SUM(N23:O23)</f>
        <v/>
      </c>
      <c r="AK23" s="95">
        <f>L23+M23+SUM(N23:P23)</f>
        <v/>
      </c>
      <c r="AL23" s="95">
        <f>L23+M23+SUM(N23:Q23)</f>
        <v/>
      </c>
      <c r="AM23" s="95">
        <f>L23+M23+SUM(N23:R23)</f>
        <v/>
      </c>
      <c r="AN23" s="95">
        <f>L23+M23+SUM(N23:S23)</f>
        <v/>
      </c>
      <c r="AO23" s="95">
        <f>L23+M23+SUM(N23:T23)</f>
        <v/>
      </c>
      <c r="AP23" s="95">
        <f>L23+M23+SUM(N23:U23)</f>
        <v/>
      </c>
      <c r="AQ23" s="95">
        <f>L23+M23+SUM(N23:V23)</f>
        <v/>
      </c>
      <c r="AR23" s="95">
        <f>L23+M23+SUM(N23:W23)</f>
        <v/>
      </c>
      <c r="AS23" s="95">
        <f>L23+M23+SUM(N23:X23)</f>
        <v/>
      </c>
      <c r="AT23" s="95">
        <f>L23+M23+SUM(N23:Y23)</f>
        <v/>
      </c>
    </row>
    <row r="24">
      <c r="B24" s="58" t="n">
        <v>18</v>
      </c>
      <c r="C24" s="58">
        <f>IFERROR(INDEX(coa_Name,18)&amp;"","")</f>
        <v/>
      </c>
      <c r="D24" s="58">
        <f>IF(C24="","",IF(COUNTIF($C$7:C24,C24)&gt;1,"",C24))</f>
        <v/>
      </c>
      <c r="E24" s="58">
        <f>IF($D24="","",INDEX(coa_Code,18))</f>
        <v/>
      </c>
      <c r="F24" s="58">
        <f>IF($D24="","",INDEX(coa_Type,18)&amp;"")</f>
        <v/>
      </c>
      <c r="G24" s="58">
        <f>IF($D24="","",INDEX(coa_Normal,18)&amp;"")</f>
        <v/>
      </c>
      <c r="H24" s="58">
        <f>IF($D24="","",IF(INDEX(coa_CF,18)&amp;""="","Operating",INDEX(coa_CF,18)&amp;""))</f>
        <v/>
      </c>
      <c r="I24" s="58">
        <f>IF($D24="","",IFERROR(INDEX(at_Stmt,MATCH(F24,at_Type,0)),""))</f>
        <v/>
      </c>
      <c r="J24" s="58">
        <f>IF($D24="",0,IFERROR(INDEX(at_Sign,MATCH(F24,at_Type,0)),0))</f>
        <v/>
      </c>
      <c r="K24" s="95">
        <f>IF($D24="",0,IF(G24="Credit",-1,1)*N(INDEX(coa_Open,18)))</f>
        <v/>
      </c>
      <c r="L24" s="95">
        <f>IF($D24="",0,IF($D24=acctOBE,K24-SUM($K$7:$K$156),K24))</f>
        <v/>
      </c>
      <c r="M24" s="95">
        <f>IF($D24="",0,SUMIFS(j_DrAmt,j_DrAcct,$D24,j_Per,0)-SUMIFS(j_CrAmt,j_CrAcct,$D24,j_Per,0)+IF($D24=acctTax,SUMIFS(j_TaxDr,j_Posted,1,j_Per,0)-SUMIFS(j_TaxCr,j_Posted,1,j_Per,0),0))</f>
        <v/>
      </c>
      <c r="N24" s="95">
        <f>IF($D24="",0,SUMIFS(j_DrAmt,j_DrAcct,$D24,j_Per,1)-SUMIFS(j_CrAmt,j_CrAcct,$D24,j_Per,1)+IF($D24=acctTax,SUMIFS(j_TaxDr,j_Posted,1,j_Per,1)-SUMIFS(j_TaxCr,j_Posted,1,j_Per,1),0))</f>
        <v/>
      </c>
      <c r="O24" s="95">
        <f>IF($D24="",0,SUMIFS(j_DrAmt,j_DrAcct,$D24,j_Per,2)-SUMIFS(j_CrAmt,j_CrAcct,$D24,j_Per,2)+IF($D24=acctTax,SUMIFS(j_TaxDr,j_Posted,1,j_Per,2)-SUMIFS(j_TaxCr,j_Posted,1,j_Per,2),0))</f>
        <v/>
      </c>
      <c r="P24" s="95">
        <f>IF($D24="",0,SUMIFS(j_DrAmt,j_DrAcct,$D24,j_Per,3)-SUMIFS(j_CrAmt,j_CrAcct,$D24,j_Per,3)+IF($D24=acctTax,SUMIFS(j_TaxDr,j_Posted,1,j_Per,3)-SUMIFS(j_TaxCr,j_Posted,1,j_Per,3),0))</f>
        <v/>
      </c>
      <c r="Q24" s="95">
        <f>IF($D24="",0,SUMIFS(j_DrAmt,j_DrAcct,$D24,j_Per,4)-SUMIFS(j_CrAmt,j_CrAcct,$D24,j_Per,4)+IF($D24=acctTax,SUMIFS(j_TaxDr,j_Posted,1,j_Per,4)-SUMIFS(j_TaxCr,j_Posted,1,j_Per,4),0))</f>
        <v/>
      </c>
      <c r="R24" s="95">
        <f>IF($D24="",0,SUMIFS(j_DrAmt,j_DrAcct,$D24,j_Per,5)-SUMIFS(j_CrAmt,j_CrAcct,$D24,j_Per,5)+IF($D24=acctTax,SUMIFS(j_TaxDr,j_Posted,1,j_Per,5)-SUMIFS(j_TaxCr,j_Posted,1,j_Per,5),0))</f>
        <v/>
      </c>
      <c r="S24" s="95">
        <f>IF($D24="",0,SUMIFS(j_DrAmt,j_DrAcct,$D24,j_Per,6)-SUMIFS(j_CrAmt,j_CrAcct,$D24,j_Per,6)+IF($D24=acctTax,SUMIFS(j_TaxDr,j_Posted,1,j_Per,6)-SUMIFS(j_TaxCr,j_Posted,1,j_Per,6),0))</f>
        <v/>
      </c>
      <c r="T24" s="95">
        <f>IF($D24="",0,SUMIFS(j_DrAmt,j_DrAcct,$D24,j_Per,7)-SUMIFS(j_CrAmt,j_CrAcct,$D24,j_Per,7)+IF($D24=acctTax,SUMIFS(j_TaxDr,j_Posted,1,j_Per,7)-SUMIFS(j_TaxCr,j_Posted,1,j_Per,7),0))</f>
        <v/>
      </c>
      <c r="U24" s="95">
        <f>IF($D24="",0,SUMIFS(j_DrAmt,j_DrAcct,$D24,j_Per,8)-SUMIFS(j_CrAmt,j_CrAcct,$D24,j_Per,8)+IF($D24=acctTax,SUMIFS(j_TaxDr,j_Posted,1,j_Per,8)-SUMIFS(j_TaxCr,j_Posted,1,j_Per,8),0))</f>
        <v/>
      </c>
      <c r="V24" s="95">
        <f>IF($D24="",0,SUMIFS(j_DrAmt,j_DrAcct,$D24,j_Per,9)-SUMIFS(j_CrAmt,j_CrAcct,$D24,j_Per,9)+IF($D24=acctTax,SUMIFS(j_TaxDr,j_Posted,1,j_Per,9)-SUMIFS(j_TaxCr,j_Posted,1,j_Per,9),0))</f>
        <v/>
      </c>
      <c r="W24" s="95">
        <f>IF($D24="",0,SUMIFS(j_DrAmt,j_DrAcct,$D24,j_Per,10)-SUMIFS(j_CrAmt,j_CrAcct,$D24,j_Per,10)+IF($D24=acctTax,SUMIFS(j_TaxDr,j_Posted,1,j_Per,10)-SUMIFS(j_TaxCr,j_Posted,1,j_Per,10),0))</f>
        <v/>
      </c>
      <c r="X24" s="95">
        <f>IF($D24="",0,SUMIFS(j_DrAmt,j_DrAcct,$D24,j_Per,11)-SUMIFS(j_CrAmt,j_CrAcct,$D24,j_Per,11)+IF($D24=acctTax,SUMIFS(j_TaxDr,j_Posted,1,j_Per,11)-SUMIFS(j_TaxCr,j_Posted,1,j_Per,11),0))</f>
        <v/>
      </c>
      <c r="Y24" s="95">
        <f>IF($D24="",0,SUMIFS(j_DrAmt,j_DrAcct,$D24,j_Per,12)-SUMIFS(j_CrAmt,j_CrAcct,$D24,j_Per,12)+IF($D24=acctTax,SUMIFS(j_TaxDr,j_Posted,1,j_Per,12)-SUMIFS(j_TaxCr,j_Posted,1,j_Per,12),0))</f>
        <v/>
      </c>
      <c r="Z24" s="95">
        <f>SUMPRODUCT(($N$5:$Y$5&lt;=RptIdx)*N24:Y24)</f>
        <v/>
      </c>
      <c r="AA24" s="95">
        <f>IF(AND(RptIdx&gt;=1,RptIdx&lt;=12),INDEX(N24:Y24,RptIdx),0)</f>
        <v/>
      </c>
      <c r="AB24" s="95">
        <f>IF($D24="",0,IF(RptIdx&gt;1,INDEX(N24:Y24,RptIdx-1),SUMIFS(j_DrAmt,j_DrAcct,$D24,j_Date,"&gt;="&amp;PrevStart,j_Date,"&lt;="&amp;PrevEnd)-SUMIFS(j_CrAmt,j_CrAcct,$D24,j_Date,"&gt;="&amp;PrevStart,j_Date,"&lt;="&amp;PrevEnd)+IF($D24=acctTax,SUMIFS(j_TaxDr,j_Posted,1,j_Date,"&gt;="&amp;PrevStart,j_Date,"&lt;="&amp;PrevEnd)-SUMIFS(j_TaxCr,j_Posted,1,j_Date,"&gt;="&amp;PrevStart,j_Date,"&lt;="&amp;PrevEnd),0)))</f>
        <v/>
      </c>
      <c r="AC24" s="95">
        <f>SUM(N24:Y24)</f>
        <v/>
      </c>
      <c r="AD24" s="95">
        <f>L24+M24+Z24</f>
        <v/>
      </c>
      <c r="AE24" s="95">
        <f>AD24-AA24</f>
        <v/>
      </c>
      <c r="AF24" s="58">
        <f>IF($D24="","",F24&amp;"|"&amp;COUNTIFS($F$7:F24,F24,$D$7:D24,"&lt;&gt;"))</f>
        <v/>
      </c>
      <c r="AG24" s="58">
        <f>IF(AND($D24&lt;&gt;"",H24="Cash"),"Cash|"&amp;COUNTIFS($H$7:H24,"Cash",$D$7:D24,"&lt;&gt;"),"")</f>
        <v/>
      </c>
      <c r="AH24" s="95">
        <f>IF(AND($D24&lt;&gt;"",OR(F24="Cost of Sales",F24="Operating Expense",F24="Other Expense"),Z24&gt;0),Z24+18/1000000,"")</f>
        <v/>
      </c>
      <c r="AI24" s="95">
        <f>L24+M24+SUM(N24:N24)</f>
        <v/>
      </c>
      <c r="AJ24" s="95">
        <f>L24+M24+SUM(N24:O24)</f>
        <v/>
      </c>
      <c r="AK24" s="95">
        <f>L24+M24+SUM(N24:P24)</f>
        <v/>
      </c>
      <c r="AL24" s="95">
        <f>L24+M24+SUM(N24:Q24)</f>
        <v/>
      </c>
      <c r="AM24" s="95">
        <f>L24+M24+SUM(N24:R24)</f>
        <v/>
      </c>
      <c r="AN24" s="95">
        <f>L24+M24+SUM(N24:S24)</f>
        <v/>
      </c>
      <c r="AO24" s="95">
        <f>L24+M24+SUM(N24:T24)</f>
        <v/>
      </c>
      <c r="AP24" s="95">
        <f>L24+M24+SUM(N24:U24)</f>
        <v/>
      </c>
      <c r="AQ24" s="95">
        <f>L24+M24+SUM(N24:V24)</f>
        <v/>
      </c>
      <c r="AR24" s="95">
        <f>L24+M24+SUM(N24:W24)</f>
        <v/>
      </c>
      <c r="AS24" s="95">
        <f>L24+M24+SUM(N24:X24)</f>
        <v/>
      </c>
      <c r="AT24" s="95">
        <f>L24+M24+SUM(N24:Y24)</f>
        <v/>
      </c>
    </row>
    <row r="25">
      <c r="B25" s="58" t="n">
        <v>19</v>
      </c>
      <c r="C25" s="58">
        <f>IFERROR(INDEX(coa_Name,19)&amp;"","")</f>
        <v/>
      </c>
      <c r="D25" s="58">
        <f>IF(C25="","",IF(COUNTIF($C$7:C25,C25)&gt;1,"",C25))</f>
        <v/>
      </c>
      <c r="E25" s="58">
        <f>IF($D25="","",INDEX(coa_Code,19))</f>
        <v/>
      </c>
      <c r="F25" s="58">
        <f>IF($D25="","",INDEX(coa_Type,19)&amp;"")</f>
        <v/>
      </c>
      <c r="G25" s="58">
        <f>IF($D25="","",INDEX(coa_Normal,19)&amp;"")</f>
        <v/>
      </c>
      <c r="H25" s="58">
        <f>IF($D25="","",IF(INDEX(coa_CF,19)&amp;""="","Operating",INDEX(coa_CF,19)&amp;""))</f>
        <v/>
      </c>
      <c r="I25" s="58">
        <f>IF($D25="","",IFERROR(INDEX(at_Stmt,MATCH(F25,at_Type,0)),""))</f>
        <v/>
      </c>
      <c r="J25" s="58">
        <f>IF($D25="",0,IFERROR(INDEX(at_Sign,MATCH(F25,at_Type,0)),0))</f>
        <v/>
      </c>
      <c r="K25" s="95">
        <f>IF($D25="",0,IF(G25="Credit",-1,1)*N(INDEX(coa_Open,19)))</f>
        <v/>
      </c>
      <c r="L25" s="95">
        <f>IF($D25="",0,IF($D25=acctOBE,K25-SUM($K$7:$K$156),K25))</f>
        <v/>
      </c>
      <c r="M25" s="95">
        <f>IF($D25="",0,SUMIFS(j_DrAmt,j_DrAcct,$D25,j_Per,0)-SUMIFS(j_CrAmt,j_CrAcct,$D25,j_Per,0)+IF($D25=acctTax,SUMIFS(j_TaxDr,j_Posted,1,j_Per,0)-SUMIFS(j_TaxCr,j_Posted,1,j_Per,0),0))</f>
        <v/>
      </c>
      <c r="N25" s="95">
        <f>IF($D25="",0,SUMIFS(j_DrAmt,j_DrAcct,$D25,j_Per,1)-SUMIFS(j_CrAmt,j_CrAcct,$D25,j_Per,1)+IF($D25=acctTax,SUMIFS(j_TaxDr,j_Posted,1,j_Per,1)-SUMIFS(j_TaxCr,j_Posted,1,j_Per,1),0))</f>
        <v/>
      </c>
      <c r="O25" s="95">
        <f>IF($D25="",0,SUMIFS(j_DrAmt,j_DrAcct,$D25,j_Per,2)-SUMIFS(j_CrAmt,j_CrAcct,$D25,j_Per,2)+IF($D25=acctTax,SUMIFS(j_TaxDr,j_Posted,1,j_Per,2)-SUMIFS(j_TaxCr,j_Posted,1,j_Per,2),0))</f>
        <v/>
      </c>
      <c r="P25" s="95">
        <f>IF($D25="",0,SUMIFS(j_DrAmt,j_DrAcct,$D25,j_Per,3)-SUMIFS(j_CrAmt,j_CrAcct,$D25,j_Per,3)+IF($D25=acctTax,SUMIFS(j_TaxDr,j_Posted,1,j_Per,3)-SUMIFS(j_TaxCr,j_Posted,1,j_Per,3),0))</f>
        <v/>
      </c>
      <c r="Q25" s="95">
        <f>IF($D25="",0,SUMIFS(j_DrAmt,j_DrAcct,$D25,j_Per,4)-SUMIFS(j_CrAmt,j_CrAcct,$D25,j_Per,4)+IF($D25=acctTax,SUMIFS(j_TaxDr,j_Posted,1,j_Per,4)-SUMIFS(j_TaxCr,j_Posted,1,j_Per,4),0))</f>
        <v/>
      </c>
      <c r="R25" s="95">
        <f>IF($D25="",0,SUMIFS(j_DrAmt,j_DrAcct,$D25,j_Per,5)-SUMIFS(j_CrAmt,j_CrAcct,$D25,j_Per,5)+IF($D25=acctTax,SUMIFS(j_TaxDr,j_Posted,1,j_Per,5)-SUMIFS(j_TaxCr,j_Posted,1,j_Per,5),0))</f>
        <v/>
      </c>
      <c r="S25" s="95">
        <f>IF($D25="",0,SUMIFS(j_DrAmt,j_DrAcct,$D25,j_Per,6)-SUMIFS(j_CrAmt,j_CrAcct,$D25,j_Per,6)+IF($D25=acctTax,SUMIFS(j_TaxDr,j_Posted,1,j_Per,6)-SUMIFS(j_TaxCr,j_Posted,1,j_Per,6),0))</f>
        <v/>
      </c>
      <c r="T25" s="95">
        <f>IF($D25="",0,SUMIFS(j_DrAmt,j_DrAcct,$D25,j_Per,7)-SUMIFS(j_CrAmt,j_CrAcct,$D25,j_Per,7)+IF($D25=acctTax,SUMIFS(j_TaxDr,j_Posted,1,j_Per,7)-SUMIFS(j_TaxCr,j_Posted,1,j_Per,7),0))</f>
        <v/>
      </c>
      <c r="U25" s="95">
        <f>IF($D25="",0,SUMIFS(j_DrAmt,j_DrAcct,$D25,j_Per,8)-SUMIFS(j_CrAmt,j_CrAcct,$D25,j_Per,8)+IF($D25=acctTax,SUMIFS(j_TaxDr,j_Posted,1,j_Per,8)-SUMIFS(j_TaxCr,j_Posted,1,j_Per,8),0))</f>
        <v/>
      </c>
      <c r="V25" s="95">
        <f>IF($D25="",0,SUMIFS(j_DrAmt,j_DrAcct,$D25,j_Per,9)-SUMIFS(j_CrAmt,j_CrAcct,$D25,j_Per,9)+IF($D25=acctTax,SUMIFS(j_TaxDr,j_Posted,1,j_Per,9)-SUMIFS(j_TaxCr,j_Posted,1,j_Per,9),0))</f>
        <v/>
      </c>
      <c r="W25" s="95">
        <f>IF($D25="",0,SUMIFS(j_DrAmt,j_DrAcct,$D25,j_Per,10)-SUMIFS(j_CrAmt,j_CrAcct,$D25,j_Per,10)+IF($D25=acctTax,SUMIFS(j_TaxDr,j_Posted,1,j_Per,10)-SUMIFS(j_TaxCr,j_Posted,1,j_Per,10),0))</f>
        <v/>
      </c>
      <c r="X25" s="95">
        <f>IF($D25="",0,SUMIFS(j_DrAmt,j_DrAcct,$D25,j_Per,11)-SUMIFS(j_CrAmt,j_CrAcct,$D25,j_Per,11)+IF($D25=acctTax,SUMIFS(j_TaxDr,j_Posted,1,j_Per,11)-SUMIFS(j_TaxCr,j_Posted,1,j_Per,11),0))</f>
        <v/>
      </c>
      <c r="Y25" s="95">
        <f>IF($D25="",0,SUMIFS(j_DrAmt,j_DrAcct,$D25,j_Per,12)-SUMIFS(j_CrAmt,j_CrAcct,$D25,j_Per,12)+IF($D25=acctTax,SUMIFS(j_TaxDr,j_Posted,1,j_Per,12)-SUMIFS(j_TaxCr,j_Posted,1,j_Per,12),0))</f>
        <v/>
      </c>
      <c r="Z25" s="95">
        <f>SUMPRODUCT(($N$5:$Y$5&lt;=RptIdx)*N25:Y25)</f>
        <v/>
      </c>
      <c r="AA25" s="95">
        <f>IF(AND(RptIdx&gt;=1,RptIdx&lt;=12),INDEX(N25:Y25,RptIdx),0)</f>
        <v/>
      </c>
      <c r="AB25" s="95">
        <f>IF($D25="",0,IF(RptIdx&gt;1,INDEX(N25:Y25,RptIdx-1),SUMIFS(j_DrAmt,j_DrAcct,$D25,j_Date,"&gt;="&amp;PrevStart,j_Date,"&lt;="&amp;PrevEnd)-SUMIFS(j_CrAmt,j_CrAcct,$D25,j_Date,"&gt;="&amp;PrevStart,j_Date,"&lt;="&amp;PrevEnd)+IF($D25=acctTax,SUMIFS(j_TaxDr,j_Posted,1,j_Date,"&gt;="&amp;PrevStart,j_Date,"&lt;="&amp;PrevEnd)-SUMIFS(j_TaxCr,j_Posted,1,j_Date,"&gt;="&amp;PrevStart,j_Date,"&lt;="&amp;PrevEnd),0)))</f>
        <v/>
      </c>
      <c r="AC25" s="95">
        <f>SUM(N25:Y25)</f>
        <v/>
      </c>
      <c r="AD25" s="95">
        <f>L25+M25+Z25</f>
        <v/>
      </c>
      <c r="AE25" s="95">
        <f>AD25-AA25</f>
        <v/>
      </c>
      <c r="AF25" s="58">
        <f>IF($D25="","",F25&amp;"|"&amp;COUNTIFS($F$7:F25,F25,$D$7:D25,"&lt;&gt;"))</f>
        <v/>
      </c>
      <c r="AG25" s="58">
        <f>IF(AND($D25&lt;&gt;"",H25="Cash"),"Cash|"&amp;COUNTIFS($H$7:H25,"Cash",$D$7:D25,"&lt;&gt;"),"")</f>
        <v/>
      </c>
      <c r="AH25" s="95">
        <f>IF(AND($D25&lt;&gt;"",OR(F25="Cost of Sales",F25="Operating Expense",F25="Other Expense"),Z25&gt;0),Z25+19/1000000,"")</f>
        <v/>
      </c>
      <c r="AI25" s="95">
        <f>L25+M25+SUM(N25:N25)</f>
        <v/>
      </c>
      <c r="AJ25" s="95">
        <f>L25+M25+SUM(N25:O25)</f>
        <v/>
      </c>
      <c r="AK25" s="95">
        <f>L25+M25+SUM(N25:P25)</f>
        <v/>
      </c>
      <c r="AL25" s="95">
        <f>L25+M25+SUM(N25:Q25)</f>
        <v/>
      </c>
      <c r="AM25" s="95">
        <f>L25+M25+SUM(N25:R25)</f>
        <v/>
      </c>
      <c r="AN25" s="95">
        <f>L25+M25+SUM(N25:S25)</f>
        <v/>
      </c>
      <c r="AO25" s="95">
        <f>L25+M25+SUM(N25:T25)</f>
        <v/>
      </c>
      <c r="AP25" s="95">
        <f>L25+M25+SUM(N25:U25)</f>
        <v/>
      </c>
      <c r="AQ25" s="95">
        <f>L25+M25+SUM(N25:V25)</f>
        <v/>
      </c>
      <c r="AR25" s="95">
        <f>L25+M25+SUM(N25:W25)</f>
        <v/>
      </c>
      <c r="AS25" s="95">
        <f>L25+M25+SUM(N25:X25)</f>
        <v/>
      </c>
      <c r="AT25" s="95">
        <f>L25+M25+SUM(N25:Y25)</f>
        <v/>
      </c>
    </row>
    <row r="26">
      <c r="B26" s="58" t="n">
        <v>20</v>
      </c>
      <c r="C26" s="58">
        <f>IFERROR(INDEX(coa_Name,20)&amp;"","")</f>
        <v/>
      </c>
      <c r="D26" s="58">
        <f>IF(C26="","",IF(COUNTIF($C$7:C26,C26)&gt;1,"",C26))</f>
        <v/>
      </c>
      <c r="E26" s="58">
        <f>IF($D26="","",INDEX(coa_Code,20))</f>
        <v/>
      </c>
      <c r="F26" s="58">
        <f>IF($D26="","",INDEX(coa_Type,20)&amp;"")</f>
        <v/>
      </c>
      <c r="G26" s="58">
        <f>IF($D26="","",INDEX(coa_Normal,20)&amp;"")</f>
        <v/>
      </c>
      <c r="H26" s="58">
        <f>IF($D26="","",IF(INDEX(coa_CF,20)&amp;""="","Operating",INDEX(coa_CF,20)&amp;""))</f>
        <v/>
      </c>
      <c r="I26" s="58">
        <f>IF($D26="","",IFERROR(INDEX(at_Stmt,MATCH(F26,at_Type,0)),""))</f>
        <v/>
      </c>
      <c r="J26" s="58">
        <f>IF($D26="",0,IFERROR(INDEX(at_Sign,MATCH(F26,at_Type,0)),0))</f>
        <v/>
      </c>
      <c r="K26" s="95">
        <f>IF($D26="",0,IF(G26="Credit",-1,1)*N(INDEX(coa_Open,20)))</f>
        <v/>
      </c>
      <c r="L26" s="95">
        <f>IF($D26="",0,IF($D26=acctOBE,K26-SUM($K$7:$K$156),K26))</f>
        <v/>
      </c>
      <c r="M26" s="95">
        <f>IF($D26="",0,SUMIFS(j_DrAmt,j_DrAcct,$D26,j_Per,0)-SUMIFS(j_CrAmt,j_CrAcct,$D26,j_Per,0)+IF($D26=acctTax,SUMIFS(j_TaxDr,j_Posted,1,j_Per,0)-SUMIFS(j_TaxCr,j_Posted,1,j_Per,0),0))</f>
        <v/>
      </c>
      <c r="N26" s="95">
        <f>IF($D26="",0,SUMIFS(j_DrAmt,j_DrAcct,$D26,j_Per,1)-SUMIFS(j_CrAmt,j_CrAcct,$D26,j_Per,1)+IF($D26=acctTax,SUMIFS(j_TaxDr,j_Posted,1,j_Per,1)-SUMIFS(j_TaxCr,j_Posted,1,j_Per,1),0))</f>
        <v/>
      </c>
      <c r="O26" s="95">
        <f>IF($D26="",0,SUMIFS(j_DrAmt,j_DrAcct,$D26,j_Per,2)-SUMIFS(j_CrAmt,j_CrAcct,$D26,j_Per,2)+IF($D26=acctTax,SUMIFS(j_TaxDr,j_Posted,1,j_Per,2)-SUMIFS(j_TaxCr,j_Posted,1,j_Per,2),0))</f>
        <v/>
      </c>
      <c r="P26" s="95">
        <f>IF($D26="",0,SUMIFS(j_DrAmt,j_DrAcct,$D26,j_Per,3)-SUMIFS(j_CrAmt,j_CrAcct,$D26,j_Per,3)+IF($D26=acctTax,SUMIFS(j_TaxDr,j_Posted,1,j_Per,3)-SUMIFS(j_TaxCr,j_Posted,1,j_Per,3),0))</f>
        <v/>
      </c>
      <c r="Q26" s="95">
        <f>IF($D26="",0,SUMIFS(j_DrAmt,j_DrAcct,$D26,j_Per,4)-SUMIFS(j_CrAmt,j_CrAcct,$D26,j_Per,4)+IF($D26=acctTax,SUMIFS(j_TaxDr,j_Posted,1,j_Per,4)-SUMIFS(j_TaxCr,j_Posted,1,j_Per,4),0))</f>
        <v/>
      </c>
      <c r="R26" s="95">
        <f>IF($D26="",0,SUMIFS(j_DrAmt,j_DrAcct,$D26,j_Per,5)-SUMIFS(j_CrAmt,j_CrAcct,$D26,j_Per,5)+IF($D26=acctTax,SUMIFS(j_TaxDr,j_Posted,1,j_Per,5)-SUMIFS(j_TaxCr,j_Posted,1,j_Per,5),0))</f>
        <v/>
      </c>
      <c r="S26" s="95">
        <f>IF($D26="",0,SUMIFS(j_DrAmt,j_DrAcct,$D26,j_Per,6)-SUMIFS(j_CrAmt,j_CrAcct,$D26,j_Per,6)+IF($D26=acctTax,SUMIFS(j_TaxDr,j_Posted,1,j_Per,6)-SUMIFS(j_TaxCr,j_Posted,1,j_Per,6),0))</f>
        <v/>
      </c>
      <c r="T26" s="95">
        <f>IF($D26="",0,SUMIFS(j_DrAmt,j_DrAcct,$D26,j_Per,7)-SUMIFS(j_CrAmt,j_CrAcct,$D26,j_Per,7)+IF($D26=acctTax,SUMIFS(j_TaxDr,j_Posted,1,j_Per,7)-SUMIFS(j_TaxCr,j_Posted,1,j_Per,7),0))</f>
        <v/>
      </c>
      <c r="U26" s="95">
        <f>IF($D26="",0,SUMIFS(j_DrAmt,j_DrAcct,$D26,j_Per,8)-SUMIFS(j_CrAmt,j_CrAcct,$D26,j_Per,8)+IF($D26=acctTax,SUMIFS(j_TaxDr,j_Posted,1,j_Per,8)-SUMIFS(j_TaxCr,j_Posted,1,j_Per,8),0))</f>
        <v/>
      </c>
      <c r="V26" s="95">
        <f>IF($D26="",0,SUMIFS(j_DrAmt,j_DrAcct,$D26,j_Per,9)-SUMIFS(j_CrAmt,j_CrAcct,$D26,j_Per,9)+IF($D26=acctTax,SUMIFS(j_TaxDr,j_Posted,1,j_Per,9)-SUMIFS(j_TaxCr,j_Posted,1,j_Per,9),0))</f>
        <v/>
      </c>
      <c r="W26" s="95">
        <f>IF($D26="",0,SUMIFS(j_DrAmt,j_DrAcct,$D26,j_Per,10)-SUMIFS(j_CrAmt,j_CrAcct,$D26,j_Per,10)+IF($D26=acctTax,SUMIFS(j_TaxDr,j_Posted,1,j_Per,10)-SUMIFS(j_TaxCr,j_Posted,1,j_Per,10),0))</f>
        <v/>
      </c>
      <c r="X26" s="95">
        <f>IF($D26="",0,SUMIFS(j_DrAmt,j_DrAcct,$D26,j_Per,11)-SUMIFS(j_CrAmt,j_CrAcct,$D26,j_Per,11)+IF($D26=acctTax,SUMIFS(j_TaxDr,j_Posted,1,j_Per,11)-SUMIFS(j_TaxCr,j_Posted,1,j_Per,11),0))</f>
        <v/>
      </c>
      <c r="Y26" s="95">
        <f>IF($D26="",0,SUMIFS(j_DrAmt,j_DrAcct,$D26,j_Per,12)-SUMIFS(j_CrAmt,j_CrAcct,$D26,j_Per,12)+IF($D26=acctTax,SUMIFS(j_TaxDr,j_Posted,1,j_Per,12)-SUMIFS(j_TaxCr,j_Posted,1,j_Per,12),0))</f>
        <v/>
      </c>
      <c r="Z26" s="95">
        <f>SUMPRODUCT(($N$5:$Y$5&lt;=RptIdx)*N26:Y26)</f>
        <v/>
      </c>
      <c r="AA26" s="95">
        <f>IF(AND(RptIdx&gt;=1,RptIdx&lt;=12),INDEX(N26:Y26,RptIdx),0)</f>
        <v/>
      </c>
      <c r="AB26" s="95">
        <f>IF($D26="",0,IF(RptIdx&gt;1,INDEX(N26:Y26,RptIdx-1),SUMIFS(j_DrAmt,j_DrAcct,$D26,j_Date,"&gt;="&amp;PrevStart,j_Date,"&lt;="&amp;PrevEnd)-SUMIFS(j_CrAmt,j_CrAcct,$D26,j_Date,"&gt;="&amp;PrevStart,j_Date,"&lt;="&amp;PrevEnd)+IF($D26=acctTax,SUMIFS(j_TaxDr,j_Posted,1,j_Date,"&gt;="&amp;PrevStart,j_Date,"&lt;="&amp;PrevEnd)-SUMIFS(j_TaxCr,j_Posted,1,j_Date,"&gt;="&amp;PrevStart,j_Date,"&lt;="&amp;PrevEnd),0)))</f>
        <v/>
      </c>
      <c r="AC26" s="95">
        <f>SUM(N26:Y26)</f>
        <v/>
      </c>
      <c r="AD26" s="95">
        <f>L26+M26+Z26</f>
        <v/>
      </c>
      <c r="AE26" s="95">
        <f>AD26-AA26</f>
        <v/>
      </c>
      <c r="AF26" s="58">
        <f>IF($D26="","",F26&amp;"|"&amp;COUNTIFS($F$7:F26,F26,$D$7:D26,"&lt;&gt;"))</f>
        <v/>
      </c>
      <c r="AG26" s="58">
        <f>IF(AND($D26&lt;&gt;"",H26="Cash"),"Cash|"&amp;COUNTIFS($H$7:H26,"Cash",$D$7:D26,"&lt;&gt;"),"")</f>
        <v/>
      </c>
      <c r="AH26" s="95">
        <f>IF(AND($D26&lt;&gt;"",OR(F26="Cost of Sales",F26="Operating Expense",F26="Other Expense"),Z26&gt;0),Z26+20/1000000,"")</f>
        <v/>
      </c>
      <c r="AI26" s="95">
        <f>L26+M26+SUM(N26:N26)</f>
        <v/>
      </c>
      <c r="AJ26" s="95">
        <f>L26+M26+SUM(N26:O26)</f>
        <v/>
      </c>
      <c r="AK26" s="95">
        <f>L26+M26+SUM(N26:P26)</f>
        <v/>
      </c>
      <c r="AL26" s="95">
        <f>L26+M26+SUM(N26:Q26)</f>
        <v/>
      </c>
      <c r="AM26" s="95">
        <f>L26+M26+SUM(N26:R26)</f>
        <v/>
      </c>
      <c r="AN26" s="95">
        <f>L26+M26+SUM(N26:S26)</f>
        <v/>
      </c>
      <c r="AO26" s="95">
        <f>L26+M26+SUM(N26:T26)</f>
        <v/>
      </c>
      <c r="AP26" s="95">
        <f>L26+M26+SUM(N26:U26)</f>
        <v/>
      </c>
      <c r="AQ26" s="95">
        <f>L26+M26+SUM(N26:V26)</f>
        <v/>
      </c>
      <c r="AR26" s="95">
        <f>L26+M26+SUM(N26:W26)</f>
        <v/>
      </c>
      <c r="AS26" s="95">
        <f>L26+M26+SUM(N26:X26)</f>
        <v/>
      </c>
      <c r="AT26" s="95">
        <f>L26+M26+SUM(N26:Y26)</f>
        <v/>
      </c>
    </row>
    <row r="27">
      <c r="B27" s="58" t="n">
        <v>21</v>
      </c>
      <c r="C27" s="58">
        <f>IFERROR(INDEX(coa_Name,21)&amp;"","")</f>
        <v/>
      </c>
      <c r="D27" s="58">
        <f>IF(C27="","",IF(COUNTIF($C$7:C27,C27)&gt;1,"",C27))</f>
        <v/>
      </c>
      <c r="E27" s="58">
        <f>IF($D27="","",INDEX(coa_Code,21))</f>
        <v/>
      </c>
      <c r="F27" s="58">
        <f>IF($D27="","",INDEX(coa_Type,21)&amp;"")</f>
        <v/>
      </c>
      <c r="G27" s="58">
        <f>IF($D27="","",INDEX(coa_Normal,21)&amp;"")</f>
        <v/>
      </c>
      <c r="H27" s="58">
        <f>IF($D27="","",IF(INDEX(coa_CF,21)&amp;""="","Operating",INDEX(coa_CF,21)&amp;""))</f>
        <v/>
      </c>
      <c r="I27" s="58">
        <f>IF($D27="","",IFERROR(INDEX(at_Stmt,MATCH(F27,at_Type,0)),""))</f>
        <v/>
      </c>
      <c r="J27" s="58">
        <f>IF($D27="",0,IFERROR(INDEX(at_Sign,MATCH(F27,at_Type,0)),0))</f>
        <v/>
      </c>
      <c r="K27" s="95">
        <f>IF($D27="",0,IF(G27="Credit",-1,1)*N(INDEX(coa_Open,21)))</f>
        <v/>
      </c>
      <c r="L27" s="95">
        <f>IF($D27="",0,IF($D27=acctOBE,K27-SUM($K$7:$K$156),K27))</f>
        <v/>
      </c>
      <c r="M27" s="95">
        <f>IF($D27="",0,SUMIFS(j_DrAmt,j_DrAcct,$D27,j_Per,0)-SUMIFS(j_CrAmt,j_CrAcct,$D27,j_Per,0)+IF($D27=acctTax,SUMIFS(j_TaxDr,j_Posted,1,j_Per,0)-SUMIFS(j_TaxCr,j_Posted,1,j_Per,0),0))</f>
        <v/>
      </c>
      <c r="N27" s="95">
        <f>IF($D27="",0,SUMIFS(j_DrAmt,j_DrAcct,$D27,j_Per,1)-SUMIFS(j_CrAmt,j_CrAcct,$D27,j_Per,1)+IF($D27=acctTax,SUMIFS(j_TaxDr,j_Posted,1,j_Per,1)-SUMIFS(j_TaxCr,j_Posted,1,j_Per,1),0))</f>
        <v/>
      </c>
      <c r="O27" s="95">
        <f>IF($D27="",0,SUMIFS(j_DrAmt,j_DrAcct,$D27,j_Per,2)-SUMIFS(j_CrAmt,j_CrAcct,$D27,j_Per,2)+IF($D27=acctTax,SUMIFS(j_TaxDr,j_Posted,1,j_Per,2)-SUMIFS(j_TaxCr,j_Posted,1,j_Per,2),0))</f>
        <v/>
      </c>
      <c r="P27" s="95">
        <f>IF($D27="",0,SUMIFS(j_DrAmt,j_DrAcct,$D27,j_Per,3)-SUMIFS(j_CrAmt,j_CrAcct,$D27,j_Per,3)+IF($D27=acctTax,SUMIFS(j_TaxDr,j_Posted,1,j_Per,3)-SUMIFS(j_TaxCr,j_Posted,1,j_Per,3),0))</f>
        <v/>
      </c>
      <c r="Q27" s="95">
        <f>IF($D27="",0,SUMIFS(j_DrAmt,j_DrAcct,$D27,j_Per,4)-SUMIFS(j_CrAmt,j_CrAcct,$D27,j_Per,4)+IF($D27=acctTax,SUMIFS(j_TaxDr,j_Posted,1,j_Per,4)-SUMIFS(j_TaxCr,j_Posted,1,j_Per,4),0))</f>
        <v/>
      </c>
      <c r="R27" s="95">
        <f>IF($D27="",0,SUMIFS(j_DrAmt,j_DrAcct,$D27,j_Per,5)-SUMIFS(j_CrAmt,j_CrAcct,$D27,j_Per,5)+IF($D27=acctTax,SUMIFS(j_TaxDr,j_Posted,1,j_Per,5)-SUMIFS(j_TaxCr,j_Posted,1,j_Per,5),0))</f>
        <v/>
      </c>
      <c r="S27" s="95">
        <f>IF($D27="",0,SUMIFS(j_DrAmt,j_DrAcct,$D27,j_Per,6)-SUMIFS(j_CrAmt,j_CrAcct,$D27,j_Per,6)+IF($D27=acctTax,SUMIFS(j_TaxDr,j_Posted,1,j_Per,6)-SUMIFS(j_TaxCr,j_Posted,1,j_Per,6),0))</f>
        <v/>
      </c>
      <c r="T27" s="95">
        <f>IF($D27="",0,SUMIFS(j_DrAmt,j_DrAcct,$D27,j_Per,7)-SUMIFS(j_CrAmt,j_CrAcct,$D27,j_Per,7)+IF($D27=acctTax,SUMIFS(j_TaxDr,j_Posted,1,j_Per,7)-SUMIFS(j_TaxCr,j_Posted,1,j_Per,7),0))</f>
        <v/>
      </c>
      <c r="U27" s="95">
        <f>IF($D27="",0,SUMIFS(j_DrAmt,j_DrAcct,$D27,j_Per,8)-SUMIFS(j_CrAmt,j_CrAcct,$D27,j_Per,8)+IF($D27=acctTax,SUMIFS(j_TaxDr,j_Posted,1,j_Per,8)-SUMIFS(j_TaxCr,j_Posted,1,j_Per,8),0))</f>
        <v/>
      </c>
      <c r="V27" s="95">
        <f>IF($D27="",0,SUMIFS(j_DrAmt,j_DrAcct,$D27,j_Per,9)-SUMIFS(j_CrAmt,j_CrAcct,$D27,j_Per,9)+IF($D27=acctTax,SUMIFS(j_TaxDr,j_Posted,1,j_Per,9)-SUMIFS(j_TaxCr,j_Posted,1,j_Per,9),0))</f>
        <v/>
      </c>
      <c r="W27" s="95">
        <f>IF($D27="",0,SUMIFS(j_DrAmt,j_DrAcct,$D27,j_Per,10)-SUMIFS(j_CrAmt,j_CrAcct,$D27,j_Per,10)+IF($D27=acctTax,SUMIFS(j_TaxDr,j_Posted,1,j_Per,10)-SUMIFS(j_TaxCr,j_Posted,1,j_Per,10),0))</f>
        <v/>
      </c>
      <c r="X27" s="95">
        <f>IF($D27="",0,SUMIFS(j_DrAmt,j_DrAcct,$D27,j_Per,11)-SUMIFS(j_CrAmt,j_CrAcct,$D27,j_Per,11)+IF($D27=acctTax,SUMIFS(j_TaxDr,j_Posted,1,j_Per,11)-SUMIFS(j_TaxCr,j_Posted,1,j_Per,11),0))</f>
        <v/>
      </c>
      <c r="Y27" s="95">
        <f>IF($D27="",0,SUMIFS(j_DrAmt,j_DrAcct,$D27,j_Per,12)-SUMIFS(j_CrAmt,j_CrAcct,$D27,j_Per,12)+IF($D27=acctTax,SUMIFS(j_TaxDr,j_Posted,1,j_Per,12)-SUMIFS(j_TaxCr,j_Posted,1,j_Per,12),0))</f>
        <v/>
      </c>
      <c r="Z27" s="95">
        <f>SUMPRODUCT(($N$5:$Y$5&lt;=RptIdx)*N27:Y27)</f>
        <v/>
      </c>
      <c r="AA27" s="95">
        <f>IF(AND(RptIdx&gt;=1,RptIdx&lt;=12),INDEX(N27:Y27,RptIdx),0)</f>
        <v/>
      </c>
      <c r="AB27" s="95">
        <f>IF($D27="",0,IF(RptIdx&gt;1,INDEX(N27:Y27,RptIdx-1),SUMIFS(j_DrAmt,j_DrAcct,$D27,j_Date,"&gt;="&amp;PrevStart,j_Date,"&lt;="&amp;PrevEnd)-SUMIFS(j_CrAmt,j_CrAcct,$D27,j_Date,"&gt;="&amp;PrevStart,j_Date,"&lt;="&amp;PrevEnd)+IF($D27=acctTax,SUMIFS(j_TaxDr,j_Posted,1,j_Date,"&gt;="&amp;PrevStart,j_Date,"&lt;="&amp;PrevEnd)-SUMIFS(j_TaxCr,j_Posted,1,j_Date,"&gt;="&amp;PrevStart,j_Date,"&lt;="&amp;PrevEnd),0)))</f>
        <v/>
      </c>
      <c r="AC27" s="95">
        <f>SUM(N27:Y27)</f>
        <v/>
      </c>
      <c r="AD27" s="95">
        <f>L27+M27+Z27</f>
        <v/>
      </c>
      <c r="AE27" s="95">
        <f>AD27-AA27</f>
        <v/>
      </c>
      <c r="AF27" s="58">
        <f>IF($D27="","",F27&amp;"|"&amp;COUNTIFS($F$7:F27,F27,$D$7:D27,"&lt;&gt;"))</f>
        <v/>
      </c>
      <c r="AG27" s="58">
        <f>IF(AND($D27&lt;&gt;"",H27="Cash"),"Cash|"&amp;COUNTIFS($H$7:H27,"Cash",$D$7:D27,"&lt;&gt;"),"")</f>
        <v/>
      </c>
      <c r="AH27" s="95">
        <f>IF(AND($D27&lt;&gt;"",OR(F27="Cost of Sales",F27="Operating Expense",F27="Other Expense"),Z27&gt;0),Z27+21/1000000,"")</f>
        <v/>
      </c>
      <c r="AI27" s="95">
        <f>L27+M27+SUM(N27:N27)</f>
        <v/>
      </c>
      <c r="AJ27" s="95">
        <f>L27+M27+SUM(N27:O27)</f>
        <v/>
      </c>
      <c r="AK27" s="95">
        <f>L27+M27+SUM(N27:P27)</f>
        <v/>
      </c>
      <c r="AL27" s="95">
        <f>L27+M27+SUM(N27:Q27)</f>
        <v/>
      </c>
      <c r="AM27" s="95">
        <f>L27+M27+SUM(N27:R27)</f>
        <v/>
      </c>
      <c r="AN27" s="95">
        <f>L27+M27+SUM(N27:S27)</f>
        <v/>
      </c>
      <c r="AO27" s="95">
        <f>L27+M27+SUM(N27:T27)</f>
        <v/>
      </c>
      <c r="AP27" s="95">
        <f>L27+M27+SUM(N27:U27)</f>
        <v/>
      </c>
      <c r="AQ27" s="95">
        <f>L27+M27+SUM(N27:V27)</f>
        <v/>
      </c>
      <c r="AR27" s="95">
        <f>L27+M27+SUM(N27:W27)</f>
        <v/>
      </c>
      <c r="AS27" s="95">
        <f>L27+M27+SUM(N27:X27)</f>
        <v/>
      </c>
      <c r="AT27" s="95">
        <f>L27+M27+SUM(N27:Y27)</f>
        <v/>
      </c>
    </row>
    <row r="28">
      <c r="B28" s="58" t="n">
        <v>22</v>
      </c>
      <c r="C28" s="58">
        <f>IFERROR(INDEX(coa_Name,22)&amp;"","")</f>
        <v/>
      </c>
      <c r="D28" s="58">
        <f>IF(C28="","",IF(COUNTIF($C$7:C28,C28)&gt;1,"",C28))</f>
        <v/>
      </c>
      <c r="E28" s="58">
        <f>IF($D28="","",INDEX(coa_Code,22))</f>
        <v/>
      </c>
      <c r="F28" s="58">
        <f>IF($D28="","",INDEX(coa_Type,22)&amp;"")</f>
        <v/>
      </c>
      <c r="G28" s="58">
        <f>IF($D28="","",INDEX(coa_Normal,22)&amp;"")</f>
        <v/>
      </c>
      <c r="H28" s="58">
        <f>IF($D28="","",IF(INDEX(coa_CF,22)&amp;""="","Operating",INDEX(coa_CF,22)&amp;""))</f>
        <v/>
      </c>
      <c r="I28" s="58">
        <f>IF($D28="","",IFERROR(INDEX(at_Stmt,MATCH(F28,at_Type,0)),""))</f>
        <v/>
      </c>
      <c r="J28" s="58">
        <f>IF($D28="",0,IFERROR(INDEX(at_Sign,MATCH(F28,at_Type,0)),0))</f>
        <v/>
      </c>
      <c r="K28" s="95">
        <f>IF($D28="",0,IF(G28="Credit",-1,1)*N(INDEX(coa_Open,22)))</f>
        <v/>
      </c>
      <c r="L28" s="95">
        <f>IF($D28="",0,IF($D28=acctOBE,K28-SUM($K$7:$K$156),K28))</f>
        <v/>
      </c>
      <c r="M28" s="95">
        <f>IF($D28="",0,SUMIFS(j_DrAmt,j_DrAcct,$D28,j_Per,0)-SUMIFS(j_CrAmt,j_CrAcct,$D28,j_Per,0)+IF($D28=acctTax,SUMIFS(j_TaxDr,j_Posted,1,j_Per,0)-SUMIFS(j_TaxCr,j_Posted,1,j_Per,0),0))</f>
        <v/>
      </c>
      <c r="N28" s="95">
        <f>IF($D28="",0,SUMIFS(j_DrAmt,j_DrAcct,$D28,j_Per,1)-SUMIFS(j_CrAmt,j_CrAcct,$D28,j_Per,1)+IF($D28=acctTax,SUMIFS(j_TaxDr,j_Posted,1,j_Per,1)-SUMIFS(j_TaxCr,j_Posted,1,j_Per,1),0))</f>
        <v/>
      </c>
      <c r="O28" s="95">
        <f>IF($D28="",0,SUMIFS(j_DrAmt,j_DrAcct,$D28,j_Per,2)-SUMIFS(j_CrAmt,j_CrAcct,$D28,j_Per,2)+IF($D28=acctTax,SUMIFS(j_TaxDr,j_Posted,1,j_Per,2)-SUMIFS(j_TaxCr,j_Posted,1,j_Per,2),0))</f>
        <v/>
      </c>
      <c r="P28" s="95">
        <f>IF($D28="",0,SUMIFS(j_DrAmt,j_DrAcct,$D28,j_Per,3)-SUMIFS(j_CrAmt,j_CrAcct,$D28,j_Per,3)+IF($D28=acctTax,SUMIFS(j_TaxDr,j_Posted,1,j_Per,3)-SUMIFS(j_TaxCr,j_Posted,1,j_Per,3),0))</f>
        <v/>
      </c>
      <c r="Q28" s="95">
        <f>IF($D28="",0,SUMIFS(j_DrAmt,j_DrAcct,$D28,j_Per,4)-SUMIFS(j_CrAmt,j_CrAcct,$D28,j_Per,4)+IF($D28=acctTax,SUMIFS(j_TaxDr,j_Posted,1,j_Per,4)-SUMIFS(j_TaxCr,j_Posted,1,j_Per,4),0))</f>
        <v/>
      </c>
      <c r="R28" s="95">
        <f>IF($D28="",0,SUMIFS(j_DrAmt,j_DrAcct,$D28,j_Per,5)-SUMIFS(j_CrAmt,j_CrAcct,$D28,j_Per,5)+IF($D28=acctTax,SUMIFS(j_TaxDr,j_Posted,1,j_Per,5)-SUMIFS(j_TaxCr,j_Posted,1,j_Per,5),0))</f>
        <v/>
      </c>
      <c r="S28" s="95">
        <f>IF($D28="",0,SUMIFS(j_DrAmt,j_DrAcct,$D28,j_Per,6)-SUMIFS(j_CrAmt,j_CrAcct,$D28,j_Per,6)+IF($D28=acctTax,SUMIFS(j_TaxDr,j_Posted,1,j_Per,6)-SUMIFS(j_TaxCr,j_Posted,1,j_Per,6),0))</f>
        <v/>
      </c>
      <c r="T28" s="95">
        <f>IF($D28="",0,SUMIFS(j_DrAmt,j_DrAcct,$D28,j_Per,7)-SUMIFS(j_CrAmt,j_CrAcct,$D28,j_Per,7)+IF($D28=acctTax,SUMIFS(j_TaxDr,j_Posted,1,j_Per,7)-SUMIFS(j_TaxCr,j_Posted,1,j_Per,7),0))</f>
        <v/>
      </c>
      <c r="U28" s="95">
        <f>IF($D28="",0,SUMIFS(j_DrAmt,j_DrAcct,$D28,j_Per,8)-SUMIFS(j_CrAmt,j_CrAcct,$D28,j_Per,8)+IF($D28=acctTax,SUMIFS(j_TaxDr,j_Posted,1,j_Per,8)-SUMIFS(j_TaxCr,j_Posted,1,j_Per,8),0))</f>
        <v/>
      </c>
      <c r="V28" s="95">
        <f>IF($D28="",0,SUMIFS(j_DrAmt,j_DrAcct,$D28,j_Per,9)-SUMIFS(j_CrAmt,j_CrAcct,$D28,j_Per,9)+IF($D28=acctTax,SUMIFS(j_TaxDr,j_Posted,1,j_Per,9)-SUMIFS(j_TaxCr,j_Posted,1,j_Per,9),0))</f>
        <v/>
      </c>
      <c r="W28" s="95">
        <f>IF($D28="",0,SUMIFS(j_DrAmt,j_DrAcct,$D28,j_Per,10)-SUMIFS(j_CrAmt,j_CrAcct,$D28,j_Per,10)+IF($D28=acctTax,SUMIFS(j_TaxDr,j_Posted,1,j_Per,10)-SUMIFS(j_TaxCr,j_Posted,1,j_Per,10),0))</f>
        <v/>
      </c>
      <c r="X28" s="95">
        <f>IF($D28="",0,SUMIFS(j_DrAmt,j_DrAcct,$D28,j_Per,11)-SUMIFS(j_CrAmt,j_CrAcct,$D28,j_Per,11)+IF($D28=acctTax,SUMIFS(j_TaxDr,j_Posted,1,j_Per,11)-SUMIFS(j_TaxCr,j_Posted,1,j_Per,11),0))</f>
        <v/>
      </c>
      <c r="Y28" s="95">
        <f>IF($D28="",0,SUMIFS(j_DrAmt,j_DrAcct,$D28,j_Per,12)-SUMIFS(j_CrAmt,j_CrAcct,$D28,j_Per,12)+IF($D28=acctTax,SUMIFS(j_TaxDr,j_Posted,1,j_Per,12)-SUMIFS(j_TaxCr,j_Posted,1,j_Per,12),0))</f>
        <v/>
      </c>
      <c r="Z28" s="95">
        <f>SUMPRODUCT(($N$5:$Y$5&lt;=RptIdx)*N28:Y28)</f>
        <v/>
      </c>
      <c r="AA28" s="95">
        <f>IF(AND(RptIdx&gt;=1,RptIdx&lt;=12),INDEX(N28:Y28,RptIdx),0)</f>
        <v/>
      </c>
      <c r="AB28" s="95">
        <f>IF($D28="",0,IF(RptIdx&gt;1,INDEX(N28:Y28,RptIdx-1),SUMIFS(j_DrAmt,j_DrAcct,$D28,j_Date,"&gt;="&amp;PrevStart,j_Date,"&lt;="&amp;PrevEnd)-SUMIFS(j_CrAmt,j_CrAcct,$D28,j_Date,"&gt;="&amp;PrevStart,j_Date,"&lt;="&amp;PrevEnd)+IF($D28=acctTax,SUMIFS(j_TaxDr,j_Posted,1,j_Date,"&gt;="&amp;PrevStart,j_Date,"&lt;="&amp;PrevEnd)-SUMIFS(j_TaxCr,j_Posted,1,j_Date,"&gt;="&amp;PrevStart,j_Date,"&lt;="&amp;PrevEnd),0)))</f>
        <v/>
      </c>
      <c r="AC28" s="95">
        <f>SUM(N28:Y28)</f>
        <v/>
      </c>
      <c r="AD28" s="95">
        <f>L28+M28+Z28</f>
        <v/>
      </c>
      <c r="AE28" s="95">
        <f>AD28-AA28</f>
        <v/>
      </c>
      <c r="AF28" s="58">
        <f>IF($D28="","",F28&amp;"|"&amp;COUNTIFS($F$7:F28,F28,$D$7:D28,"&lt;&gt;"))</f>
        <v/>
      </c>
      <c r="AG28" s="58">
        <f>IF(AND($D28&lt;&gt;"",H28="Cash"),"Cash|"&amp;COUNTIFS($H$7:H28,"Cash",$D$7:D28,"&lt;&gt;"),"")</f>
        <v/>
      </c>
      <c r="AH28" s="95">
        <f>IF(AND($D28&lt;&gt;"",OR(F28="Cost of Sales",F28="Operating Expense",F28="Other Expense"),Z28&gt;0),Z28+22/1000000,"")</f>
        <v/>
      </c>
      <c r="AI28" s="95">
        <f>L28+M28+SUM(N28:N28)</f>
        <v/>
      </c>
      <c r="AJ28" s="95">
        <f>L28+M28+SUM(N28:O28)</f>
        <v/>
      </c>
      <c r="AK28" s="95">
        <f>L28+M28+SUM(N28:P28)</f>
        <v/>
      </c>
      <c r="AL28" s="95">
        <f>L28+M28+SUM(N28:Q28)</f>
        <v/>
      </c>
      <c r="AM28" s="95">
        <f>L28+M28+SUM(N28:R28)</f>
        <v/>
      </c>
      <c r="AN28" s="95">
        <f>L28+M28+SUM(N28:S28)</f>
        <v/>
      </c>
      <c r="AO28" s="95">
        <f>L28+M28+SUM(N28:T28)</f>
        <v/>
      </c>
      <c r="AP28" s="95">
        <f>L28+M28+SUM(N28:U28)</f>
        <v/>
      </c>
      <c r="AQ28" s="95">
        <f>L28+M28+SUM(N28:V28)</f>
        <v/>
      </c>
      <c r="AR28" s="95">
        <f>L28+M28+SUM(N28:W28)</f>
        <v/>
      </c>
      <c r="AS28" s="95">
        <f>L28+M28+SUM(N28:X28)</f>
        <v/>
      </c>
      <c r="AT28" s="95">
        <f>L28+M28+SUM(N28:Y28)</f>
        <v/>
      </c>
    </row>
    <row r="29">
      <c r="B29" s="58" t="n">
        <v>23</v>
      </c>
      <c r="C29" s="58">
        <f>IFERROR(INDEX(coa_Name,23)&amp;"","")</f>
        <v/>
      </c>
      <c r="D29" s="58">
        <f>IF(C29="","",IF(COUNTIF($C$7:C29,C29)&gt;1,"",C29))</f>
        <v/>
      </c>
      <c r="E29" s="58">
        <f>IF($D29="","",INDEX(coa_Code,23))</f>
        <v/>
      </c>
      <c r="F29" s="58">
        <f>IF($D29="","",INDEX(coa_Type,23)&amp;"")</f>
        <v/>
      </c>
      <c r="G29" s="58">
        <f>IF($D29="","",INDEX(coa_Normal,23)&amp;"")</f>
        <v/>
      </c>
      <c r="H29" s="58">
        <f>IF($D29="","",IF(INDEX(coa_CF,23)&amp;""="","Operating",INDEX(coa_CF,23)&amp;""))</f>
        <v/>
      </c>
      <c r="I29" s="58">
        <f>IF($D29="","",IFERROR(INDEX(at_Stmt,MATCH(F29,at_Type,0)),""))</f>
        <v/>
      </c>
      <c r="J29" s="58">
        <f>IF($D29="",0,IFERROR(INDEX(at_Sign,MATCH(F29,at_Type,0)),0))</f>
        <v/>
      </c>
      <c r="K29" s="95">
        <f>IF($D29="",0,IF(G29="Credit",-1,1)*N(INDEX(coa_Open,23)))</f>
        <v/>
      </c>
      <c r="L29" s="95">
        <f>IF($D29="",0,IF($D29=acctOBE,K29-SUM($K$7:$K$156),K29))</f>
        <v/>
      </c>
      <c r="M29" s="95">
        <f>IF($D29="",0,SUMIFS(j_DrAmt,j_DrAcct,$D29,j_Per,0)-SUMIFS(j_CrAmt,j_CrAcct,$D29,j_Per,0)+IF($D29=acctTax,SUMIFS(j_TaxDr,j_Posted,1,j_Per,0)-SUMIFS(j_TaxCr,j_Posted,1,j_Per,0),0))</f>
        <v/>
      </c>
      <c r="N29" s="95">
        <f>IF($D29="",0,SUMIFS(j_DrAmt,j_DrAcct,$D29,j_Per,1)-SUMIFS(j_CrAmt,j_CrAcct,$D29,j_Per,1)+IF($D29=acctTax,SUMIFS(j_TaxDr,j_Posted,1,j_Per,1)-SUMIFS(j_TaxCr,j_Posted,1,j_Per,1),0))</f>
        <v/>
      </c>
      <c r="O29" s="95">
        <f>IF($D29="",0,SUMIFS(j_DrAmt,j_DrAcct,$D29,j_Per,2)-SUMIFS(j_CrAmt,j_CrAcct,$D29,j_Per,2)+IF($D29=acctTax,SUMIFS(j_TaxDr,j_Posted,1,j_Per,2)-SUMIFS(j_TaxCr,j_Posted,1,j_Per,2),0))</f>
        <v/>
      </c>
      <c r="P29" s="95">
        <f>IF($D29="",0,SUMIFS(j_DrAmt,j_DrAcct,$D29,j_Per,3)-SUMIFS(j_CrAmt,j_CrAcct,$D29,j_Per,3)+IF($D29=acctTax,SUMIFS(j_TaxDr,j_Posted,1,j_Per,3)-SUMIFS(j_TaxCr,j_Posted,1,j_Per,3),0))</f>
        <v/>
      </c>
      <c r="Q29" s="95">
        <f>IF($D29="",0,SUMIFS(j_DrAmt,j_DrAcct,$D29,j_Per,4)-SUMIFS(j_CrAmt,j_CrAcct,$D29,j_Per,4)+IF($D29=acctTax,SUMIFS(j_TaxDr,j_Posted,1,j_Per,4)-SUMIFS(j_TaxCr,j_Posted,1,j_Per,4),0))</f>
        <v/>
      </c>
      <c r="R29" s="95">
        <f>IF($D29="",0,SUMIFS(j_DrAmt,j_DrAcct,$D29,j_Per,5)-SUMIFS(j_CrAmt,j_CrAcct,$D29,j_Per,5)+IF($D29=acctTax,SUMIFS(j_TaxDr,j_Posted,1,j_Per,5)-SUMIFS(j_TaxCr,j_Posted,1,j_Per,5),0))</f>
        <v/>
      </c>
      <c r="S29" s="95">
        <f>IF($D29="",0,SUMIFS(j_DrAmt,j_DrAcct,$D29,j_Per,6)-SUMIFS(j_CrAmt,j_CrAcct,$D29,j_Per,6)+IF($D29=acctTax,SUMIFS(j_TaxDr,j_Posted,1,j_Per,6)-SUMIFS(j_TaxCr,j_Posted,1,j_Per,6),0))</f>
        <v/>
      </c>
      <c r="T29" s="95">
        <f>IF($D29="",0,SUMIFS(j_DrAmt,j_DrAcct,$D29,j_Per,7)-SUMIFS(j_CrAmt,j_CrAcct,$D29,j_Per,7)+IF($D29=acctTax,SUMIFS(j_TaxDr,j_Posted,1,j_Per,7)-SUMIFS(j_TaxCr,j_Posted,1,j_Per,7),0))</f>
        <v/>
      </c>
      <c r="U29" s="95">
        <f>IF($D29="",0,SUMIFS(j_DrAmt,j_DrAcct,$D29,j_Per,8)-SUMIFS(j_CrAmt,j_CrAcct,$D29,j_Per,8)+IF($D29=acctTax,SUMIFS(j_TaxDr,j_Posted,1,j_Per,8)-SUMIFS(j_TaxCr,j_Posted,1,j_Per,8),0))</f>
        <v/>
      </c>
      <c r="V29" s="95">
        <f>IF($D29="",0,SUMIFS(j_DrAmt,j_DrAcct,$D29,j_Per,9)-SUMIFS(j_CrAmt,j_CrAcct,$D29,j_Per,9)+IF($D29=acctTax,SUMIFS(j_TaxDr,j_Posted,1,j_Per,9)-SUMIFS(j_TaxCr,j_Posted,1,j_Per,9),0))</f>
        <v/>
      </c>
      <c r="W29" s="95">
        <f>IF($D29="",0,SUMIFS(j_DrAmt,j_DrAcct,$D29,j_Per,10)-SUMIFS(j_CrAmt,j_CrAcct,$D29,j_Per,10)+IF($D29=acctTax,SUMIFS(j_TaxDr,j_Posted,1,j_Per,10)-SUMIFS(j_TaxCr,j_Posted,1,j_Per,10),0))</f>
        <v/>
      </c>
      <c r="X29" s="95">
        <f>IF($D29="",0,SUMIFS(j_DrAmt,j_DrAcct,$D29,j_Per,11)-SUMIFS(j_CrAmt,j_CrAcct,$D29,j_Per,11)+IF($D29=acctTax,SUMIFS(j_TaxDr,j_Posted,1,j_Per,11)-SUMIFS(j_TaxCr,j_Posted,1,j_Per,11),0))</f>
        <v/>
      </c>
      <c r="Y29" s="95">
        <f>IF($D29="",0,SUMIFS(j_DrAmt,j_DrAcct,$D29,j_Per,12)-SUMIFS(j_CrAmt,j_CrAcct,$D29,j_Per,12)+IF($D29=acctTax,SUMIFS(j_TaxDr,j_Posted,1,j_Per,12)-SUMIFS(j_TaxCr,j_Posted,1,j_Per,12),0))</f>
        <v/>
      </c>
      <c r="Z29" s="95">
        <f>SUMPRODUCT(($N$5:$Y$5&lt;=RptIdx)*N29:Y29)</f>
        <v/>
      </c>
      <c r="AA29" s="95">
        <f>IF(AND(RptIdx&gt;=1,RptIdx&lt;=12),INDEX(N29:Y29,RptIdx),0)</f>
        <v/>
      </c>
      <c r="AB29" s="95">
        <f>IF($D29="",0,IF(RptIdx&gt;1,INDEX(N29:Y29,RptIdx-1),SUMIFS(j_DrAmt,j_DrAcct,$D29,j_Date,"&gt;="&amp;PrevStart,j_Date,"&lt;="&amp;PrevEnd)-SUMIFS(j_CrAmt,j_CrAcct,$D29,j_Date,"&gt;="&amp;PrevStart,j_Date,"&lt;="&amp;PrevEnd)+IF($D29=acctTax,SUMIFS(j_TaxDr,j_Posted,1,j_Date,"&gt;="&amp;PrevStart,j_Date,"&lt;="&amp;PrevEnd)-SUMIFS(j_TaxCr,j_Posted,1,j_Date,"&gt;="&amp;PrevStart,j_Date,"&lt;="&amp;PrevEnd),0)))</f>
        <v/>
      </c>
      <c r="AC29" s="95">
        <f>SUM(N29:Y29)</f>
        <v/>
      </c>
      <c r="AD29" s="95">
        <f>L29+M29+Z29</f>
        <v/>
      </c>
      <c r="AE29" s="95">
        <f>AD29-AA29</f>
        <v/>
      </c>
      <c r="AF29" s="58">
        <f>IF($D29="","",F29&amp;"|"&amp;COUNTIFS($F$7:F29,F29,$D$7:D29,"&lt;&gt;"))</f>
        <v/>
      </c>
      <c r="AG29" s="58">
        <f>IF(AND($D29&lt;&gt;"",H29="Cash"),"Cash|"&amp;COUNTIFS($H$7:H29,"Cash",$D$7:D29,"&lt;&gt;"),"")</f>
        <v/>
      </c>
      <c r="AH29" s="95">
        <f>IF(AND($D29&lt;&gt;"",OR(F29="Cost of Sales",F29="Operating Expense",F29="Other Expense"),Z29&gt;0),Z29+23/1000000,"")</f>
        <v/>
      </c>
      <c r="AI29" s="95">
        <f>L29+M29+SUM(N29:N29)</f>
        <v/>
      </c>
      <c r="AJ29" s="95">
        <f>L29+M29+SUM(N29:O29)</f>
        <v/>
      </c>
      <c r="AK29" s="95">
        <f>L29+M29+SUM(N29:P29)</f>
        <v/>
      </c>
      <c r="AL29" s="95">
        <f>L29+M29+SUM(N29:Q29)</f>
        <v/>
      </c>
      <c r="AM29" s="95">
        <f>L29+M29+SUM(N29:R29)</f>
        <v/>
      </c>
      <c r="AN29" s="95">
        <f>L29+M29+SUM(N29:S29)</f>
        <v/>
      </c>
      <c r="AO29" s="95">
        <f>L29+M29+SUM(N29:T29)</f>
        <v/>
      </c>
      <c r="AP29" s="95">
        <f>L29+M29+SUM(N29:U29)</f>
        <v/>
      </c>
      <c r="AQ29" s="95">
        <f>L29+M29+SUM(N29:V29)</f>
        <v/>
      </c>
      <c r="AR29" s="95">
        <f>L29+M29+SUM(N29:W29)</f>
        <v/>
      </c>
      <c r="AS29" s="95">
        <f>L29+M29+SUM(N29:X29)</f>
        <v/>
      </c>
      <c r="AT29" s="95">
        <f>L29+M29+SUM(N29:Y29)</f>
        <v/>
      </c>
    </row>
    <row r="30">
      <c r="B30" s="58" t="n">
        <v>24</v>
      </c>
      <c r="C30" s="58">
        <f>IFERROR(INDEX(coa_Name,24)&amp;"","")</f>
        <v/>
      </c>
      <c r="D30" s="58">
        <f>IF(C30="","",IF(COUNTIF($C$7:C30,C30)&gt;1,"",C30))</f>
        <v/>
      </c>
      <c r="E30" s="58">
        <f>IF($D30="","",INDEX(coa_Code,24))</f>
        <v/>
      </c>
      <c r="F30" s="58">
        <f>IF($D30="","",INDEX(coa_Type,24)&amp;"")</f>
        <v/>
      </c>
      <c r="G30" s="58">
        <f>IF($D30="","",INDEX(coa_Normal,24)&amp;"")</f>
        <v/>
      </c>
      <c r="H30" s="58">
        <f>IF($D30="","",IF(INDEX(coa_CF,24)&amp;""="","Operating",INDEX(coa_CF,24)&amp;""))</f>
        <v/>
      </c>
      <c r="I30" s="58">
        <f>IF($D30="","",IFERROR(INDEX(at_Stmt,MATCH(F30,at_Type,0)),""))</f>
        <v/>
      </c>
      <c r="J30" s="58">
        <f>IF($D30="",0,IFERROR(INDEX(at_Sign,MATCH(F30,at_Type,0)),0))</f>
        <v/>
      </c>
      <c r="K30" s="95">
        <f>IF($D30="",0,IF(G30="Credit",-1,1)*N(INDEX(coa_Open,24)))</f>
        <v/>
      </c>
      <c r="L30" s="95">
        <f>IF($D30="",0,IF($D30=acctOBE,K30-SUM($K$7:$K$156),K30))</f>
        <v/>
      </c>
      <c r="M30" s="95">
        <f>IF($D30="",0,SUMIFS(j_DrAmt,j_DrAcct,$D30,j_Per,0)-SUMIFS(j_CrAmt,j_CrAcct,$D30,j_Per,0)+IF($D30=acctTax,SUMIFS(j_TaxDr,j_Posted,1,j_Per,0)-SUMIFS(j_TaxCr,j_Posted,1,j_Per,0),0))</f>
        <v/>
      </c>
      <c r="N30" s="95">
        <f>IF($D30="",0,SUMIFS(j_DrAmt,j_DrAcct,$D30,j_Per,1)-SUMIFS(j_CrAmt,j_CrAcct,$D30,j_Per,1)+IF($D30=acctTax,SUMIFS(j_TaxDr,j_Posted,1,j_Per,1)-SUMIFS(j_TaxCr,j_Posted,1,j_Per,1),0))</f>
        <v/>
      </c>
      <c r="O30" s="95">
        <f>IF($D30="",0,SUMIFS(j_DrAmt,j_DrAcct,$D30,j_Per,2)-SUMIFS(j_CrAmt,j_CrAcct,$D30,j_Per,2)+IF($D30=acctTax,SUMIFS(j_TaxDr,j_Posted,1,j_Per,2)-SUMIFS(j_TaxCr,j_Posted,1,j_Per,2),0))</f>
        <v/>
      </c>
      <c r="P30" s="95">
        <f>IF($D30="",0,SUMIFS(j_DrAmt,j_DrAcct,$D30,j_Per,3)-SUMIFS(j_CrAmt,j_CrAcct,$D30,j_Per,3)+IF($D30=acctTax,SUMIFS(j_TaxDr,j_Posted,1,j_Per,3)-SUMIFS(j_TaxCr,j_Posted,1,j_Per,3),0))</f>
        <v/>
      </c>
      <c r="Q30" s="95">
        <f>IF($D30="",0,SUMIFS(j_DrAmt,j_DrAcct,$D30,j_Per,4)-SUMIFS(j_CrAmt,j_CrAcct,$D30,j_Per,4)+IF($D30=acctTax,SUMIFS(j_TaxDr,j_Posted,1,j_Per,4)-SUMIFS(j_TaxCr,j_Posted,1,j_Per,4),0))</f>
        <v/>
      </c>
      <c r="R30" s="95">
        <f>IF($D30="",0,SUMIFS(j_DrAmt,j_DrAcct,$D30,j_Per,5)-SUMIFS(j_CrAmt,j_CrAcct,$D30,j_Per,5)+IF($D30=acctTax,SUMIFS(j_TaxDr,j_Posted,1,j_Per,5)-SUMIFS(j_TaxCr,j_Posted,1,j_Per,5),0))</f>
        <v/>
      </c>
      <c r="S30" s="95">
        <f>IF($D30="",0,SUMIFS(j_DrAmt,j_DrAcct,$D30,j_Per,6)-SUMIFS(j_CrAmt,j_CrAcct,$D30,j_Per,6)+IF($D30=acctTax,SUMIFS(j_TaxDr,j_Posted,1,j_Per,6)-SUMIFS(j_TaxCr,j_Posted,1,j_Per,6),0))</f>
        <v/>
      </c>
      <c r="T30" s="95">
        <f>IF($D30="",0,SUMIFS(j_DrAmt,j_DrAcct,$D30,j_Per,7)-SUMIFS(j_CrAmt,j_CrAcct,$D30,j_Per,7)+IF($D30=acctTax,SUMIFS(j_TaxDr,j_Posted,1,j_Per,7)-SUMIFS(j_TaxCr,j_Posted,1,j_Per,7),0))</f>
        <v/>
      </c>
      <c r="U30" s="95">
        <f>IF($D30="",0,SUMIFS(j_DrAmt,j_DrAcct,$D30,j_Per,8)-SUMIFS(j_CrAmt,j_CrAcct,$D30,j_Per,8)+IF($D30=acctTax,SUMIFS(j_TaxDr,j_Posted,1,j_Per,8)-SUMIFS(j_TaxCr,j_Posted,1,j_Per,8),0))</f>
        <v/>
      </c>
      <c r="V30" s="95">
        <f>IF($D30="",0,SUMIFS(j_DrAmt,j_DrAcct,$D30,j_Per,9)-SUMIFS(j_CrAmt,j_CrAcct,$D30,j_Per,9)+IF($D30=acctTax,SUMIFS(j_TaxDr,j_Posted,1,j_Per,9)-SUMIFS(j_TaxCr,j_Posted,1,j_Per,9),0))</f>
        <v/>
      </c>
      <c r="W30" s="95">
        <f>IF($D30="",0,SUMIFS(j_DrAmt,j_DrAcct,$D30,j_Per,10)-SUMIFS(j_CrAmt,j_CrAcct,$D30,j_Per,10)+IF($D30=acctTax,SUMIFS(j_TaxDr,j_Posted,1,j_Per,10)-SUMIFS(j_TaxCr,j_Posted,1,j_Per,10),0))</f>
        <v/>
      </c>
      <c r="X30" s="95">
        <f>IF($D30="",0,SUMIFS(j_DrAmt,j_DrAcct,$D30,j_Per,11)-SUMIFS(j_CrAmt,j_CrAcct,$D30,j_Per,11)+IF($D30=acctTax,SUMIFS(j_TaxDr,j_Posted,1,j_Per,11)-SUMIFS(j_TaxCr,j_Posted,1,j_Per,11),0))</f>
        <v/>
      </c>
      <c r="Y30" s="95">
        <f>IF($D30="",0,SUMIFS(j_DrAmt,j_DrAcct,$D30,j_Per,12)-SUMIFS(j_CrAmt,j_CrAcct,$D30,j_Per,12)+IF($D30=acctTax,SUMIFS(j_TaxDr,j_Posted,1,j_Per,12)-SUMIFS(j_TaxCr,j_Posted,1,j_Per,12),0))</f>
        <v/>
      </c>
      <c r="Z30" s="95">
        <f>SUMPRODUCT(($N$5:$Y$5&lt;=RptIdx)*N30:Y30)</f>
        <v/>
      </c>
      <c r="AA30" s="95">
        <f>IF(AND(RptIdx&gt;=1,RptIdx&lt;=12),INDEX(N30:Y30,RptIdx),0)</f>
        <v/>
      </c>
      <c r="AB30" s="95">
        <f>IF($D30="",0,IF(RptIdx&gt;1,INDEX(N30:Y30,RptIdx-1),SUMIFS(j_DrAmt,j_DrAcct,$D30,j_Date,"&gt;="&amp;PrevStart,j_Date,"&lt;="&amp;PrevEnd)-SUMIFS(j_CrAmt,j_CrAcct,$D30,j_Date,"&gt;="&amp;PrevStart,j_Date,"&lt;="&amp;PrevEnd)+IF($D30=acctTax,SUMIFS(j_TaxDr,j_Posted,1,j_Date,"&gt;="&amp;PrevStart,j_Date,"&lt;="&amp;PrevEnd)-SUMIFS(j_TaxCr,j_Posted,1,j_Date,"&gt;="&amp;PrevStart,j_Date,"&lt;="&amp;PrevEnd),0)))</f>
        <v/>
      </c>
      <c r="AC30" s="95">
        <f>SUM(N30:Y30)</f>
        <v/>
      </c>
      <c r="AD30" s="95">
        <f>L30+M30+Z30</f>
        <v/>
      </c>
      <c r="AE30" s="95">
        <f>AD30-AA30</f>
        <v/>
      </c>
      <c r="AF30" s="58">
        <f>IF($D30="","",F30&amp;"|"&amp;COUNTIFS($F$7:F30,F30,$D$7:D30,"&lt;&gt;"))</f>
        <v/>
      </c>
      <c r="AG30" s="58">
        <f>IF(AND($D30&lt;&gt;"",H30="Cash"),"Cash|"&amp;COUNTIFS($H$7:H30,"Cash",$D$7:D30,"&lt;&gt;"),"")</f>
        <v/>
      </c>
      <c r="AH30" s="95">
        <f>IF(AND($D30&lt;&gt;"",OR(F30="Cost of Sales",F30="Operating Expense",F30="Other Expense"),Z30&gt;0),Z30+24/1000000,"")</f>
        <v/>
      </c>
      <c r="AI30" s="95">
        <f>L30+M30+SUM(N30:N30)</f>
        <v/>
      </c>
      <c r="AJ30" s="95">
        <f>L30+M30+SUM(N30:O30)</f>
        <v/>
      </c>
      <c r="AK30" s="95">
        <f>L30+M30+SUM(N30:P30)</f>
        <v/>
      </c>
      <c r="AL30" s="95">
        <f>L30+M30+SUM(N30:Q30)</f>
        <v/>
      </c>
      <c r="AM30" s="95">
        <f>L30+M30+SUM(N30:R30)</f>
        <v/>
      </c>
      <c r="AN30" s="95">
        <f>L30+M30+SUM(N30:S30)</f>
        <v/>
      </c>
      <c r="AO30" s="95">
        <f>L30+M30+SUM(N30:T30)</f>
        <v/>
      </c>
      <c r="AP30" s="95">
        <f>L30+M30+SUM(N30:U30)</f>
        <v/>
      </c>
      <c r="AQ30" s="95">
        <f>L30+M30+SUM(N30:V30)</f>
        <v/>
      </c>
      <c r="AR30" s="95">
        <f>L30+M30+SUM(N30:W30)</f>
        <v/>
      </c>
      <c r="AS30" s="95">
        <f>L30+M30+SUM(N30:X30)</f>
        <v/>
      </c>
      <c r="AT30" s="95">
        <f>L30+M30+SUM(N30:Y30)</f>
        <v/>
      </c>
    </row>
    <row r="31">
      <c r="B31" s="58" t="n">
        <v>25</v>
      </c>
      <c r="C31" s="58">
        <f>IFERROR(INDEX(coa_Name,25)&amp;"","")</f>
        <v/>
      </c>
      <c r="D31" s="58">
        <f>IF(C31="","",IF(COUNTIF($C$7:C31,C31)&gt;1,"",C31))</f>
        <v/>
      </c>
      <c r="E31" s="58">
        <f>IF($D31="","",INDEX(coa_Code,25))</f>
        <v/>
      </c>
      <c r="F31" s="58">
        <f>IF($D31="","",INDEX(coa_Type,25)&amp;"")</f>
        <v/>
      </c>
      <c r="G31" s="58">
        <f>IF($D31="","",INDEX(coa_Normal,25)&amp;"")</f>
        <v/>
      </c>
      <c r="H31" s="58">
        <f>IF($D31="","",IF(INDEX(coa_CF,25)&amp;""="","Operating",INDEX(coa_CF,25)&amp;""))</f>
        <v/>
      </c>
      <c r="I31" s="58">
        <f>IF($D31="","",IFERROR(INDEX(at_Stmt,MATCH(F31,at_Type,0)),""))</f>
        <v/>
      </c>
      <c r="J31" s="58">
        <f>IF($D31="",0,IFERROR(INDEX(at_Sign,MATCH(F31,at_Type,0)),0))</f>
        <v/>
      </c>
      <c r="K31" s="95">
        <f>IF($D31="",0,IF(G31="Credit",-1,1)*N(INDEX(coa_Open,25)))</f>
        <v/>
      </c>
      <c r="L31" s="95">
        <f>IF($D31="",0,IF($D31=acctOBE,K31-SUM($K$7:$K$156),K31))</f>
        <v/>
      </c>
      <c r="M31" s="95">
        <f>IF($D31="",0,SUMIFS(j_DrAmt,j_DrAcct,$D31,j_Per,0)-SUMIFS(j_CrAmt,j_CrAcct,$D31,j_Per,0)+IF($D31=acctTax,SUMIFS(j_TaxDr,j_Posted,1,j_Per,0)-SUMIFS(j_TaxCr,j_Posted,1,j_Per,0),0))</f>
        <v/>
      </c>
      <c r="N31" s="95">
        <f>IF($D31="",0,SUMIFS(j_DrAmt,j_DrAcct,$D31,j_Per,1)-SUMIFS(j_CrAmt,j_CrAcct,$D31,j_Per,1)+IF($D31=acctTax,SUMIFS(j_TaxDr,j_Posted,1,j_Per,1)-SUMIFS(j_TaxCr,j_Posted,1,j_Per,1),0))</f>
        <v/>
      </c>
      <c r="O31" s="95">
        <f>IF($D31="",0,SUMIFS(j_DrAmt,j_DrAcct,$D31,j_Per,2)-SUMIFS(j_CrAmt,j_CrAcct,$D31,j_Per,2)+IF($D31=acctTax,SUMIFS(j_TaxDr,j_Posted,1,j_Per,2)-SUMIFS(j_TaxCr,j_Posted,1,j_Per,2),0))</f>
        <v/>
      </c>
      <c r="P31" s="95">
        <f>IF($D31="",0,SUMIFS(j_DrAmt,j_DrAcct,$D31,j_Per,3)-SUMIFS(j_CrAmt,j_CrAcct,$D31,j_Per,3)+IF($D31=acctTax,SUMIFS(j_TaxDr,j_Posted,1,j_Per,3)-SUMIFS(j_TaxCr,j_Posted,1,j_Per,3),0))</f>
        <v/>
      </c>
      <c r="Q31" s="95">
        <f>IF($D31="",0,SUMIFS(j_DrAmt,j_DrAcct,$D31,j_Per,4)-SUMIFS(j_CrAmt,j_CrAcct,$D31,j_Per,4)+IF($D31=acctTax,SUMIFS(j_TaxDr,j_Posted,1,j_Per,4)-SUMIFS(j_TaxCr,j_Posted,1,j_Per,4),0))</f>
        <v/>
      </c>
      <c r="R31" s="95">
        <f>IF($D31="",0,SUMIFS(j_DrAmt,j_DrAcct,$D31,j_Per,5)-SUMIFS(j_CrAmt,j_CrAcct,$D31,j_Per,5)+IF($D31=acctTax,SUMIFS(j_TaxDr,j_Posted,1,j_Per,5)-SUMIFS(j_TaxCr,j_Posted,1,j_Per,5),0))</f>
        <v/>
      </c>
      <c r="S31" s="95">
        <f>IF($D31="",0,SUMIFS(j_DrAmt,j_DrAcct,$D31,j_Per,6)-SUMIFS(j_CrAmt,j_CrAcct,$D31,j_Per,6)+IF($D31=acctTax,SUMIFS(j_TaxDr,j_Posted,1,j_Per,6)-SUMIFS(j_TaxCr,j_Posted,1,j_Per,6),0))</f>
        <v/>
      </c>
      <c r="T31" s="95">
        <f>IF($D31="",0,SUMIFS(j_DrAmt,j_DrAcct,$D31,j_Per,7)-SUMIFS(j_CrAmt,j_CrAcct,$D31,j_Per,7)+IF($D31=acctTax,SUMIFS(j_TaxDr,j_Posted,1,j_Per,7)-SUMIFS(j_TaxCr,j_Posted,1,j_Per,7),0))</f>
        <v/>
      </c>
      <c r="U31" s="95">
        <f>IF($D31="",0,SUMIFS(j_DrAmt,j_DrAcct,$D31,j_Per,8)-SUMIFS(j_CrAmt,j_CrAcct,$D31,j_Per,8)+IF($D31=acctTax,SUMIFS(j_TaxDr,j_Posted,1,j_Per,8)-SUMIFS(j_TaxCr,j_Posted,1,j_Per,8),0))</f>
        <v/>
      </c>
      <c r="V31" s="95">
        <f>IF($D31="",0,SUMIFS(j_DrAmt,j_DrAcct,$D31,j_Per,9)-SUMIFS(j_CrAmt,j_CrAcct,$D31,j_Per,9)+IF($D31=acctTax,SUMIFS(j_TaxDr,j_Posted,1,j_Per,9)-SUMIFS(j_TaxCr,j_Posted,1,j_Per,9),0))</f>
        <v/>
      </c>
      <c r="W31" s="95">
        <f>IF($D31="",0,SUMIFS(j_DrAmt,j_DrAcct,$D31,j_Per,10)-SUMIFS(j_CrAmt,j_CrAcct,$D31,j_Per,10)+IF($D31=acctTax,SUMIFS(j_TaxDr,j_Posted,1,j_Per,10)-SUMIFS(j_TaxCr,j_Posted,1,j_Per,10),0))</f>
        <v/>
      </c>
      <c r="X31" s="95">
        <f>IF($D31="",0,SUMIFS(j_DrAmt,j_DrAcct,$D31,j_Per,11)-SUMIFS(j_CrAmt,j_CrAcct,$D31,j_Per,11)+IF($D31=acctTax,SUMIFS(j_TaxDr,j_Posted,1,j_Per,11)-SUMIFS(j_TaxCr,j_Posted,1,j_Per,11),0))</f>
        <v/>
      </c>
      <c r="Y31" s="95">
        <f>IF($D31="",0,SUMIFS(j_DrAmt,j_DrAcct,$D31,j_Per,12)-SUMIFS(j_CrAmt,j_CrAcct,$D31,j_Per,12)+IF($D31=acctTax,SUMIFS(j_TaxDr,j_Posted,1,j_Per,12)-SUMIFS(j_TaxCr,j_Posted,1,j_Per,12),0))</f>
        <v/>
      </c>
      <c r="Z31" s="95">
        <f>SUMPRODUCT(($N$5:$Y$5&lt;=RptIdx)*N31:Y31)</f>
        <v/>
      </c>
      <c r="AA31" s="95">
        <f>IF(AND(RptIdx&gt;=1,RptIdx&lt;=12),INDEX(N31:Y31,RptIdx),0)</f>
        <v/>
      </c>
      <c r="AB31" s="95">
        <f>IF($D31="",0,IF(RptIdx&gt;1,INDEX(N31:Y31,RptIdx-1),SUMIFS(j_DrAmt,j_DrAcct,$D31,j_Date,"&gt;="&amp;PrevStart,j_Date,"&lt;="&amp;PrevEnd)-SUMIFS(j_CrAmt,j_CrAcct,$D31,j_Date,"&gt;="&amp;PrevStart,j_Date,"&lt;="&amp;PrevEnd)+IF($D31=acctTax,SUMIFS(j_TaxDr,j_Posted,1,j_Date,"&gt;="&amp;PrevStart,j_Date,"&lt;="&amp;PrevEnd)-SUMIFS(j_TaxCr,j_Posted,1,j_Date,"&gt;="&amp;PrevStart,j_Date,"&lt;="&amp;PrevEnd),0)))</f>
        <v/>
      </c>
      <c r="AC31" s="95">
        <f>SUM(N31:Y31)</f>
        <v/>
      </c>
      <c r="AD31" s="95">
        <f>L31+M31+Z31</f>
        <v/>
      </c>
      <c r="AE31" s="95">
        <f>AD31-AA31</f>
        <v/>
      </c>
      <c r="AF31" s="58">
        <f>IF($D31="","",F31&amp;"|"&amp;COUNTIFS($F$7:F31,F31,$D$7:D31,"&lt;&gt;"))</f>
        <v/>
      </c>
      <c r="AG31" s="58">
        <f>IF(AND($D31&lt;&gt;"",H31="Cash"),"Cash|"&amp;COUNTIFS($H$7:H31,"Cash",$D$7:D31,"&lt;&gt;"),"")</f>
        <v/>
      </c>
      <c r="AH31" s="95">
        <f>IF(AND($D31&lt;&gt;"",OR(F31="Cost of Sales",F31="Operating Expense",F31="Other Expense"),Z31&gt;0),Z31+25/1000000,"")</f>
        <v/>
      </c>
      <c r="AI31" s="95">
        <f>L31+M31+SUM(N31:N31)</f>
        <v/>
      </c>
      <c r="AJ31" s="95">
        <f>L31+M31+SUM(N31:O31)</f>
        <v/>
      </c>
      <c r="AK31" s="95">
        <f>L31+M31+SUM(N31:P31)</f>
        <v/>
      </c>
      <c r="AL31" s="95">
        <f>L31+M31+SUM(N31:Q31)</f>
        <v/>
      </c>
      <c r="AM31" s="95">
        <f>L31+M31+SUM(N31:R31)</f>
        <v/>
      </c>
      <c r="AN31" s="95">
        <f>L31+M31+SUM(N31:S31)</f>
        <v/>
      </c>
      <c r="AO31" s="95">
        <f>L31+M31+SUM(N31:T31)</f>
        <v/>
      </c>
      <c r="AP31" s="95">
        <f>L31+M31+SUM(N31:U31)</f>
        <v/>
      </c>
      <c r="AQ31" s="95">
        <f>L31+M31+SUM(N31:V31)</f>
        <v/>
      </c>
      <c r="AR31" s="95">
        <f>L31+M31+SUM(N31:W31)</f>
        <v/>
      </c>
      <c r="AS31" s="95">
        <f>L31+M31+SUM(N31:X31)</f>
        <v/>
      </c>
      <c r="AT31" s="95">
        <f>L31+M31+SUM(N31:Y31)</f>
        <v/>
      </c>
    </row>
    <row r="32">
      <c r="B32" s="58" t="n">
        <v>26</v>
      </c>
      <c r="C32" s="58">
        <f>IFERROR(INDEX(coa_Name,26)&amp;"","")</f>
        <v/>
      </c>
      <c r="D32" s="58">
        <f>IF(C32="","",IF(COUNTIF($C$7:C32,C32)&gt;1,"",C32))</f>
        <v/>
      </c>
      <c r="E32" s="58">
        <f>IF($D32="","",INDEX(coa_Code,26))</f>
        <v/>
      </c>
      <c r="F32" s="58">
        <f>IF($D32="","",INDEX(coa_Type,26)&amp;"")</f>
        <v/>
      </c>
      <c r="G32" s="58">
        <f>IF($D32="","",INDEX(coa_Normal,26)&amp;"")</f>
        <v/>
      </c>
      <c r="H32" s="58">
        <f>IF($D32="","",IF(INDEX(coa_CF,26)&amp;""="","Operating",INDEX(coa_CF,26)&amp;""))</f>
        <v/>
      </c>
      <c r="I32" s="58">
        <f>IF($D32="","",IFERROR(INDEX(at_Stmt,MATCH(F32,at_Type,0)),""))</f>
        <v/>
      </c>
      <c r="J32" s="58">
        <f>IF($D32="",0,IFERROR(INDEX(at_Sign,MATCH(F32,at_Type,0)),0))</f>
        <v/>
      </c>
      <c r="K32" s="95">
        <f>IF($D32="",0,IF(G32="Credit",-1,1)*N(INDEX(coa_Open,26)))</f>
        <v/>
      </c>
      <c r="L32" s="95">
        <f>IF($D32="",0,IF($D32=acctOBE,K32-SUM($K$7:$K$156),K32))</f>
        <v/>
      </c>
      <c r="M32" s="95">
        <f>IF($D32="",0,SUMIFS(j_DrAmt,j_DrAcct,$D32,j_Per,0)-SUMIFS(j_CrAmt,j_CrAcct,$D32,j_Per,0)+IF($D32=acctTax,SUMIFS(j_TaxDr,j_Posted,1,j_Per,0)-SUMIFS(j_TaxCr,j_Posted,1,j_Per,0),0))</f>
        <v/>
      </c>
      <c r="N32" s="95">
        <f>IF($D32="",0,SUMIFS(j_DrAmt,j_DrAcct,$D32,j_Per,1)-SUMIFS(j_CrAmt,j_CrAcct,$D32,j_Per,1)+IF($D32=acctTax,SUMIFS(j_TaxDr,j_Posted,1,j_Per,1)-SUMIFS(j_TaxCr,j_Posted,1,j_Per,1),0))</f>
        <v/>
      </c>
      <c r="O32" s="95">
        <f>IF($D32="",0,SUMIFS(j_DrAmt,j_DrAcct,$D32,j_Per,2)-SUMIFS(j_CrAmt,j_CrAcct,$D32,j_Per,2)+IF($D32=acctTax,SUMIFS(j_TaxDr,j_Posted,1,j_Per,2)-SUMIFS(j_TaxCr,j_Posted,1,j_Per,2),0))</f>
        <v/>
      </c>
      <c r="P32" s="95">
        <f>IF($D32="",0,SUMIFS(j_DrAmt,j_DrAcct,$D32,j_Per,3)-SUMIFS(j_CrAmt,j_CrAcct,$D32,j_Per,3)+IF($D32=acctTax,SUMIFS(j_TaxDr,j_Posted,1,j_Per,3)-SUMIFS(j_TaxCr,j_Posted,1,j_Per,3),0))</f>
        <v/>
      </c>
      <c r="Q32" s="95">
        <f>IF($D32="",0,SUMIFS(j_DrAmt,j_DrAcct,$D32,j_Per,4)-SUMIFS(j_CrAmt,j_CrAcct,$D32,j_Per,4)+IF($D32=acctTax,SUMIFS(j_TaxDr,j_Posted,1,j_Per,4)-SUMIFS(j_TaxCr,j_Posted,1,j_Per,4),0))</f>
        <v/>
      </c>
      <c r="R32" s="95">
        <f>IF($D32="",0,SUMIFS(j_DrAmt,j_DrAcct,$D32,j_Per,5)-SUMIFS(j_CrAmt,j_CrAcct,$D32,j_Per,5)+IF($D32=acctTax,SUMIFS(j_TaxDr,j_Posted,1,j_Per,5)-SUMIFS(j_TaxCr,j_Posted,1,j_Per,5),0))</f>
        <v/>
      </c>
      <c r="S32" s="95">
        <f>IF($D32="",0,SUMIFS(j_DrAmt,j_DrAcct,$D32,j_Per,6)-SUMIFS(j_CrAmt,j_CrAcct,$D32,j_Per,6)+IF($D32=acctTax,SUMIFS(j_TaxDr,j_Posted,1,j_Per,6)-SUMIFS(j_TaxCr,j_Posted,1,j_Per,6),0))</f>
        <v/>
      </c>
      <c r="T32" s="95">
        <f>IF($D32="",0,SUMIFS(j_DrAmt,j_DrAcct,$D32,j_Per,7)-SUMIFS(j_CrAmt,j_CrAcct,$D32,j_Per,7)+IF($D32=acctTax,SUMIFS(j_TaxDr,j_Posted,1,j_Per,7)-SUMIFS(j_TaxCr,j_Posted,1,j_Per,7),0))</f>
        <v/>
      </c>
      <c r="U32" s="95">
        <f>IF($D32="",0,SUMIFS(j_DrAmt,j_DrAcct,$D32,j_Per,8)-SUMIFS(j_CrAmt,j_CrAcct,$D32,j_Per,8)+IF($D32=acctTax,SUMIFS(j_TaxDr,j_Posted,1,j_Per,8)-SUMIFS(j_TaxCr,j_Posted,1,j_Per,8),0))</f>
        <v/>
      </c>
      <c r="V32" s="95">
        <f>IF($D32="",0,SUMIFS(j_DrAmt,j_DrAcct,$D32,j_Per,9)-SUMIFS(j_CrAmt,j_CrAcct,$D32,j_Per,9)+IF($D32=acctTax,SUMIFS(j_TaxDr,j_Posted,1,j_Per,9)-SUMIFS(j_TaxCr,j_Posted,1,j_Per,9),0))</f>
        <v/>
      </c>
      <c r="W32" s="95">
        <f>IF($D32="",0,SUMIFS(j_DrAmt,j_DrAcct,$D32,j_Per,10)-SUMIFS(j_CrAmt,j_CrAcct,$D32,j_Per,10)+IF($D32=acctTax,SUMIFS(j_TaxDr,j_Posted,1,j_Per,10)-SUMIFS(j_TaxCr,j_Posted,1,j_Per,10),0))</f>
        <v/>
      </c>
      <c r="X32" s="95">
        <f>IF($D32="",0,SUMIFS(j_DrAmt,j_DrAcct,$D32,j_Per,11)-SUMIFS(j_CrAmt,j_CrAcct,$D32,j_Per,11)+IF($D32=acctTax,SUMIFS(j_TaxDr,j_Posted,1,j_Per,11)-SUMIFS(j_TaxCr,j_Posted,1,j_Per,11),0))</f>
        <v/>
      </c>
      <c r="Y32" s="95">
        <f>IF($D32="",0,SUMIFS(j_DrAmt,j_DrAcct,$D32,j_Per,12)-SUMIFS(j_CrAmt,j_CrAcct,$D32,j_Per,12)+IF($D32=acctTax,SUMIFS(j_TaxDr,j_Posted,1,j_Per,12)-SUMIFS(j_TaxCr,j_Posted,1,j_Per,12),0))</f>
        <v/>
      </c>
      <c r="Z32" s="95">
        <f>SUMPRODUCT(($N$5:$Y$5&lt;=RptIdx)*N32:Y32)</f>
        <v/>
      </c>
      <c r="AA32" s="95">
        <f>IF(AND(RptIdx&gt;=1,RptIdx&lt;=12),INDEX(N32:Y32,RptIdx),0)</f>
        <v/>
      </c>
      <c r="AB32" s="95">
        <f>IF($D32="",0,IF(RptIdx&gt;1,INDEX(N32:Y32,RptIdx-1),SUMIFS(j_DrAmt,j_DrAcct,$D32,j_Date,"&gt;="&amp;PrevStart,j_Date,"&lt;="&amp;PrevEnd)-SUMIFS(j_CrAmt,j_CrAcct,$D32,j_Date,"&gt;="&amp;PrevStart,j_Date,"&lt;="&amp;PrevEnd)+IF($D32=acctTax,SUMIFS(j_TaxDr,j_Posted,1,j_Date,"&gt;="&amp;PrevStart,j_Date,"&lt;="&amp;PrevEnd)-SUMIFS(j_TaxCr,j_Posted,1,j_Date,"&gt;="&amp;PrevStart,j_Date,"&lt;="&amp;PrevEnd),0)))</f>
        <v/>
      </c>
      <c r="AC32" s="95">
        <f>SUM(N32:Y32)</f>
        <v/>
      </c>
      <c r="AD32" s="95">
        <f>L32+M32+Z32</f>
        <v/>
      </c>
      <c r="AE32" s="95">
        <f>AD32-AA32</f>
        <v/>
      </c>
      <c r="AF32" s="58">
        <f>IF($D32="","",F32&amp;"|"&amp;COUNTIFS($F$7:F32,F32,$D$7:D32,"&lt;&gt;"))</f>
        <v/>
      </c>
      <c r="AG32" s="58">
        <f>IF(AND($D32&lt;&gt;"",H32="Cash"),"Cash|"&amp;COUNTIFS($H$7:H32,"Cash",$D$7:D32,"&lt;&gt;"),"")</f>
        <v/>
      </c>
      <c r="AH32" s="95">
        <f>IF(AND($D32&lt;&gt;"",OR(F32="Cost of Sales",F32="Operating Expense",F32="Other Expense"),Z32&gt;0),Z32+26/1000000,"")</f>
        <v/>
      </c>
      <c r="AI32" s="95">
        <f>L32+M32+SUM(N32:N32)</f>
        <v/>
      </c>
      <c r="AJ32" s="95">
        <f>L32+M32+SUM(N32:O32)</f>
        <v/>
      </c>
      <c r="AK32" s="95">
        <f>L32+M32+SUM(N32:P32)</f>
        <v/>
      </c>
      <c r="AL32" s="95">
        <f>L32+M32+SUM(N32:Q32)</f>
        <v/>
      </c>
      <c r="AM32" s="95">
        <f>L32+M32+SUM(N32:R32)</f>
        <v/>
      </c>
      <c r="AN32" s="95">
        <f>L32+M32+SUM(N32:S32)</f>
        <v/>
      </c>
      <c r="AO32" s="95">
        <f>L32+M32+SUM(N32:T32)</f>
        <v/>
      </c>
      <c r="AP32" s="95">
        <f>L32+M32+SUM(N32:U32)</f>
        <v/>
      </c>
      <c r="AQ32" s="95">
        <f>L32+M32+SUM(N32:V32)</f>
        <v/>
      </c>
      <c r="AR32" s="95">
        <f>L32+M32+SUM(N32:W32)</f>
        <v/>
      </c>
      <c r="AS32" s="95">
        <f>L32+M32+SUM(N32:X32)</f>
        <v/>
      </c>
      <c r="AT32" s="95">
        <f>L32+M32+SUM(N32:Y32)</f>
        <v/>
      </c>
    </row>
    <row r="33">
      <c r="B33" s="58" t="n">
        <v>27</v>
      </c>
      <c r="C33" s="58">
        <f>IFERROR(INDEX(coa_Name,27)&amp;"","")</f>
        <v/>
      </c>
      <c r="D33" s="58">
        <f>IF(C33="","",IF(COUNTIF($C$7:C33,C33)&gt;1,"",C33))</f>
        <v/>
      </c>
      <c r="E33" s="58">
        <f>IF($D33="","",INDEX(coa_Code,27))</f>
        <v/>
      </c>
      <c r="F33" s="58">
        <f>IF($D33="","",INDEX(coa_Type,27)&amp;"")</f>
        <v/>
      </c>
      <c r="G33" s="58">
        <f>IF($D33="","",INDEX(coa_Normal,27)&amp;"")</f>
        <v/>
      </c>
      <c r="H33" s="58">
        <f>IF($D33="","",IF(INDEX(coa_CF,27)&amp;""="","Operating",INDEX(coa_CF,27)&amp;""))</f>
        <v/>
      </c>
      <c r="I33" s="58">
        <f>IF($D33="","",IFERROR(INDEX(at_Stmt,MATCH(F33,at_Type,0)),""))</f>
        <v/>
      </c>
      <c r="J33" s="58">
        <f>IF($D33="",0,IFERROR(INDEX(at_Sign,MATCH(F33,at_Type,0)),0))</f>
        <v/>
      </c>
      <c r="K33" s="95">
        <f>IF($D33="",0,IF(G33="Credit",-1,1)*N(INDEX(coa_Open,27)))</f>
        <v/>
      </c>
      <c r="L33" s="95">
        <f>IF($D33="",0,IF($D33=acctOBE,K33-SUM($K$7:$K$156),K33))</f>
        <v/>
      </c>
      <c r="M33" s="95">
        <f>IF($D33="",0,SUMIFS(j_DrAmt,j_DrAcct,$D33,j_Per,0)-SUMIFS(j_CrAmt,j_CrAcct,$D33,j_Per,0)+IF($D33=acctTax,SUMIFS(j_TaxDr,j_Posted,1,j_Per,0)-SUMIFS(j_TaxCr,j_Posted,1,j_Per,0),0))</f>
        <v/>
      </c>
      <c r="N33" s="95">
        <f>IF($D33="",0,SUMIFS(j_DrAmt,j_DrAcct,$D33,j_Per,1)-SUMIFS(j_CrAmt,j_CrAcct,$D33,j_Per,1)+IF($D33=acctTax,SUMIFS(j_TaxDr,j_Posted,1,j_Per,1)-SUMIFS(j_TaxCr,j_Posted,1,j_Per,1),0))</f>
        <v/>
      </c>
      <c r="O33" s="95">
        <f>IF($D33="",0,SUMIFS(j_DrAmt,j_DrAcct,$D33,j_Per,2)-SUMIFS(j_CrAmt,j_CrAcct,$D33,j_Per,2)+IF($D33=acctTax,SUMIFS(j_TaxDr,j_Posted,1,j_Per,2)-SUMIFS(j_TaxCr,j_Posted,1,j_Per,2),0))</f>
        <v/>
      </c>
      <c r="P33" s="95">
        <f>IF($D33="",0,SUMIFS(j_DrAmt,j_DrAcct,$D33,j_Per,3)-SUMIFS(j_CrAmt,j_CrAcct,$D33,j_Per,3)+IF($D33=acctTax,SUMIFS(j_TaxDr,j_Posted,1,j_Per,3)-SUMIFS(j_TaxCr,j_Posted,1,j_Per,3),0))</f>
        <v/>
      </c>
      <c r="Q33" s="95">
        <f>IF($D33="",0,SUMIFS(j_DrAmt,j_DrAcct,$D33,j_Per,4)-SUMIFS(j_CrAmt,j_CrAcct,$D33,j_Per,4)+IF($D33=acctTax,SUMIFS(j_TaxDr,j_Posted,1,j_Per,4)-SUMIFS(j_TaxCr,j_Posted,1,j_Per,4),0))</f>
        <v/>
      </c>
      <c r="R33" s="95">
        <f>IF($D33="",0,SUMIFS(j_DrAmt,j_DrAcct,$D33,j_Per,5)-SUMIFS(j_CrAmt,j_CrAcct,$D33,j_Per,5)+IF($D33=acctTax,SUMIFS(j_TaxDr,j_Posted,1,j_Per,5)-SUMIFS(j_TaxCr,j_Posted,1,j_Per,5),0))</f>
        <v/>
      </c>
      <c r="S33" s="95">
        <f>IF($D33="",0,SUMIFS(j_DrAmt,j_DrAcct,$D33,j_Per,6)-SUMIFS(j_CrAmt,j_CrAcct,$D33,j_Per,6)+IF($D33=acctTax,SUMIFS(j_TaxDr,j_Posted,1,j_Per,6)-SUMIFS(j_TaxCr,j_Posted,1,j_Per,6),0))</f>
        <v/>
      </c>
      <c r="T33" s="95">
        <f>IF($D33="",0,SUMIFS(j_DrAmt,j_DrAcct,$D33,j_Per,7)-SUMIFS(j_CrAmt,j_CrAcct,$D33,j_Per,7)+IF($D33=acctTax,SUMIFS(j_TaxDr,j_Posted,1,j_Per,7)-SUMIFS(j_TaxCr,j_Posted,1,j_Per,7),0))</f>
        <v/>
      </c>
      <c r="U33" s="95">
        <f>IF($D33="",0,SUMIFS(j_DrAmt,j_DrAcct,$D33,j_Per,8)-SUMIFS(j_CrAmt,j_CrAcct,$D33,j_Per,8)+IF($D33=acctTax,SUMIFS(j_TaxDr,j_Posted,1,j_Per,8)-SUMIFS(j_TaxCr,j_Posted,1,j_Per,8),0))</f>
        <v/>
      </c>
      <c r="V33" s="95">
        <f>IF($D33="",0,SUMIFS(j_DrAmt,j_DrAcct,$D33,j_Per,9)-SUMIFS(j_CrAmt,j_CrAcct,$D33,j_Per,9)+IF($D33=acctTax,SUMIFS(j_TaxDr,j_Posted,1,j_Per,9)-SUMIFS(j_TaxCr,j_Posted,1,j_Per,9),0))</f>
        <v/>
      </c>
      <c r="W33" s="95">
        <f>IF($D33="",0,SUMIFS(j_DrAmt,j_DrAcct,$D33,j_Per,10)-SUMIFS(j_CrAmt,j_CrAcct,$D33,j_Per,10)+IF($D33=acctTax,SUMIFS(j_TaxDr,j_Posted,1,j_Per,10)-SUMIFS(j_TaxCr,j_Posted,1,j_Per,10),0))</f>
        <v/>
      </c>
      <c r="X33" s="95">
        <f>IF($D33="",0,SUMIFS(j_DrAmt,j_DrAcct,$D33,j_Per,11)-SUMIFS(j_CrAmt,j_CrAcct,$D33,j_Per,11)+IF($D33=acctTax,SUMIFS(j_TaxDr,j_Posted,1,j_Per,11)-SUMIFS(j_TaxCr,j_Posted,1,j_Per,11),0))</f>
        <v/>
      </c>
      <c r="Y33" s="95">
        <f>IF($D33="",0,SUMIFS(j_DrAmt,j_DrAcct,$D33,j_Per,12)-SUMIFS(j_CrAmt,j_CrAcct,$D33,j_Per,12)+IF($D33=acctTax,SUMIFS(j_TaxDr,j_Posted,1,j_Per,12)-SUMIFS(j_TaxCr,j_Posted,1,j_Per,12),0))</f>
        <v/>
      </c>
      <c r="Z33" s="95">
        <f>SUMPRODUCT(($N$5:$Y$5&lt;=RptIdx)*N33:Y33)</f>
        <v/>
      </c>
      <c r="AA33" s="95">
        <f>IF(AND(RptIdx&gt;=1,RptIdx&lt;=12),INDEX(N33:Y33,RptIdx),0)</f>
        <v/>
      </c>
      <c r="AB33" s="95">
        <f>IF($D33="",0,IF(RptIdx&gt;1,INDEX(N33:Y33,RptIdx-1),SUMIFS(j_DrAmt,j_DrAcct,$D33,j_Date,"&gt;="&amp;PrevStart,j_Date,"&lt;="&amp;PrevEnd)-SUMIFS(j_CrAmt,j_CrAcct,$D33,j_Date,"&gt;="&amp;PrevStart,j_Date,"&lt;="&amp;PrevEnd)+IF($D33=acctTax,SUMIFS(j_TaxDr,j_Posted,1,j_Date,"&gt;="&amp;PrevStart,j_Date,"&lt;="&amp;PrevEnd)-SUMIFS(j_TaxCr,j_Posted,1,j_Date,"&gt;="&amp;PrevStart,j_Date,"&lt;="&amp;PrevEnd),0)))</f>
        <v/>
      </c>
      <c r="AC33" s="95">
        <f>SUM(N33:Y33)</f>
        <v/>
      </c>
      <c r="AD33" s="95">
        <f>L33+M33+Z33</f>
        <v/>
      </c>
      <c r="AE33" s="95">
        <f>AD33-AA33</f>
        <v/>
      </c>
      <c r="AF33" s="58">
        <f>IF($D33="","",F33&amp;"|"&amp;COUNTIFS($F$7:F33,F33,$D$7:D33,"&lt;&gt;"))</f>
        <v/>
      </c>
      <c r="AG33" s="58">
        <f>IF(AND($D33&lt;&gt;"",H33="Cash"),"Cash|"&amp;COUNTIFS($H$7:H33,"Cash",$D$7:D33,"&lt;&gt;"),"")</f>
        <v/>
      </c>
      <c r="AH33" s="95">
        <f>IF(AND($D33&lt;&gt;"",OR(F33="Cost of Sales",F33="Operating Expense",F33="Other Expense"),Z33&gt;0),Z33+27/1000000,"")</f>
        <v/>
      </c>
      <c r="AI33" s="95">
        <f>L33+M33+SUM(N33:N33)</f>
        <v/>
      </c>
      <c r="AJ33" s="95">
        <f>L33+M33+SUM(N33:O33)</f>
        <v/>
      </c>
      <c r="AK33" s="95">
        <f>L33+M33+SUM(N33:P33)</f>
        <v/>
      </c>
      <c r="AL33" s="95">
        <f>L33+M33+SUM(N33:Q33)</f>
        <v/>
      </c>
      <c r="AM33" s="95">
        <f>L33+M33+SUM(N33:R33)</f>
        <v/>
      </c>
      <c r="AN33" s="95">
        <f>L33+M33+SUM(N33:S33)</f>
        <v/>
      </c>
      <c r="AO33" s="95">
        <f>L33+M33+SUM(N33:T33)</f>
        <v/>
      </c>
      <c r="AP33" s="95">
        <f>L33+M33+SUM(N33:U33)</f>
        <v/>
      </c>
      <c r="AQ33" s="95">
        <f>L33+M33+SUM(N33:V33)</f>
        <v/>
      </c>
      <c r="AR33" s="95">
        <f>L33+M33+SUM(N33:W33)</f>
        <v/>
      </c>
      <c r="AS33" s="95">
        <f>L33+M33+SUM(N33:X33)</f>
        <v/>
      </c>
      <c r="AT33" s="95">
        <f>L33+M33+SUM(N33:Y33)</f>
        <v/>
      </c>
    </row>
    <row r="34">
      <c r="B34" s="58" t="n">
        <v>28</v>
      </c>
      <c r="C34" s="58">
        <f>IFERROR(INDEX(coa_Name,28)&amp;"","")</f>
        <v/>
      </c>
      <c r="D34" s="58">
        <f>IF(C34="","",IF(COUNTIF($C$7:C34,C34)&gt;1,"",C34))</f>
        <v/>
      </c>
      <c r="E34" s="58">
        <f>IF($D34="","",INDEX(coa_Code,28))</f>
        <v/>
      </c>
      <c r="F34" s="58">
        <f>IF($D34="","",INDEX(coa_Type,28)&amp;"")</f>
        <v/>
      </c>
      <c r="G34" s="58">
        <f>IF($D34="","",INDEX(coa_Normal,28)&amp;"")</f>
        <v/>
      </c>
      <c r="H34" s="58">
        <f>IF($D34="","",IF(INDEX(coa_CF,28)&amp;""="","Operating",INDEX(coa_CF,28)&amp;""))</f>
        <v/>
      </c>
      <c r="I34" s="58">
        <f>IF($D34="","",IFERROR(INDEX(at_Stmt,MATCH(F34,at_Type,0)),""))</f>
        <v/>
      </c>
      <c r="J34" s="58">
        <f>IF($D34="",0,IFERROR(INDEX(at_Sign,MATCH(F34,at_Type,0)),0))</f>
        <v/>
      </c>
      <c r="K34" s="95">
        <f>IF($D34="",0,IF(G34="Credit",-1,1)*N(INDEX(coa_Open,28)))</f>
        <v/>
      </c>
      <c r="L34" s="95">
        <f>IF($D34="",0,IF($D34=acctOBE,K34-SUM($K$7:$K$156),K34))</f>
        <v/>
      </c>
      <c r="M34" s="95">
        <f>IF($D34="",0,SUMIFS(j_DrAmt,j_DrAcct,$D34,j_Per,0)-SUMIFS(j_CrAmt,j_CrAcct,$D34,j_Per,0)+IF($D34=acctTax,SUMIFS(j_TaxDr,j_Posted,1,j_Per,0)-SUMIFS(j_TaxCr,j_Posted,1,j_Per,0),0))</f>
        <v/>
      </c>
      <c r="N34" s="95">
        <f>IF($D34="",0,SUMIFS(j_DrAmt,j_DrAcct,$D34,j_Per,1)-SUMIFS(j_CrAmt,j_CrAcct,$D34,j_Per,1)+IF($D34=acctTax,SUMIFS(j_TaxDr,j_Posted,1,j_Per,1)-SUMIFS(j_TaxCr,j_Posted,1,j_Per,1),0))</f>
        <v/>
      </c>
      <c r="O34" s="95">
        <f>IF($D34="",0,SUMIFS(j_DrAmt,j_DrAcct,$D34,j_Per,2)-SUMIFS(j_CrAmt,j_CrAcct,$D34,j_Per,2)+IF($D34=acctTax,SUMIFS(j_TaxDr,j_Posted,1,j_Per,2)-SUMIFS(j_TaxCr,j_Posted,1,j_Per,2),0))</f>
        <v/>
      </c>
      <c r="P34" s="95">
        <f>IF($D34="",0,SUMIFS(j_DrAmt,j_DrAcct,$D34,j_Per,3)-SUMIFS(j_CrAmt,j_CrAcct,$D34,j_Per,3)+IF($D34=acctTax,SUMIFS(j_TaxDr,j_Posted,1,j_Per,3)-SUMIFS(j_TaxCr,j_Posted,1,j_Per,3),0))</f>
        <v/>
      </c>
      <c r="Q34" s="95">
        <f>IF($D34="",0,SUMIFS(j_DrAmt,j_DrAcct,$D34,j_Per,4)-SUMIFS(j_CrAmt,j_CrAcct,$D34,j_Per,4)+IF($D34=acctTax,SUMIFS(j_TaxDr,j_Posted,1,j_Per,4)-SUMIFS(j_TaxCr,j_Posted,1,j_Per,4),0))</f>
        <v/>
      </c>
      <c r="R34" s="95">
        <f>IF($D34="",0,SUMIFS(j_DrAmt,j_DrAcct,$D34,j_Per,5)-SUMIFS(j_CrAmt,j_CrAcct,$D34,j_Per,5)+IF($D34=acctTax,SUMIFS(j_TaxDr,j_Posted,1,j_Per,5)-SUMIFS(j_TaxCr,j_Posted,1,j_Per,5),0))</f>
        <v/>
      </c>
      <c r="S34" s="95">
        <f>IF($D34="",0,SUMIFS(j_DrAmt,j_DrAcct,$D34,j_Per,6)-SUMIFS(j_CrAmt,j_CrAcct,$D34,j_Per,6)+IF($D34=acctTax,SUMIFS(j_TaxDr,j_Posted,1,j_Per,6)-SUMIFS(j_TaxCr,j_Posted,1,j_Per,6),0))</f>
        <v/>
      </c>
      <c r="T34" s="95">
        <f>IF($D34="",0,SUMIFS(j_DrAmt,j_DrAcct,$D34,j_Per,7)-SUMIFS(j_CrAmt,j_CrAcct,$D34,j_Per,7)+IF($D34=acctTax,SUMIFS(j_TaxDr,j_Posted,1,j_Per,7)-SUMIFS(j_TaxCr,j_Posted,1,j_Per,7),0))</f>
        <v/>
      </c>
      <c r="U34" s="95">
        <f>IF($D34="",0,SUMIFS(j_DrAmt,j_DrAcct,$D34,j_Per,8)-SUMIFS(j_CrAmt,j_CrAcct,$D34,j_Per,8)+IF($D34=acctTax,SUMIFS(j_TaxDr,j_Posted,1,j_Per,8)-SUMIFS(j_TaxCr,j_Posted,1,j_Per,8),0))</f>
        <v/>
      </c>
      <c r="V34" s="95">
        <f>IF($D34="",0,SUMIFS(j_DrAmt,j_DrAcct,$D34,j_Per,9)-SUMIFS(j_CrAmt,j_CrAcct,$D34,j_Per,9)+IF($D34=acctTax,SUMIFS(j_TaxDr,j_Posted,1,j_Per,9)-SUMIFS(j_TaxCr,j_Posted,1,j_Per,9),0))</f>
        <v/>
      </c>
      <c r="W34" s="95">
        <f>IF($D34="",0,SUMIFS(j_DrAmt,j_DrAcct,$D34,j_Per,10)-SUMIFS(j_CrAmt,j_CrAcct,$D34,j_Per,10)+IF($D34=acctTax,SUMIFS(j_TaxDr,j_Posted,1,j_Per,10)-SUMIFS(j_TaxCr,j_Posted,1,j_Per,10),0))</f>
        <v/>
      </c>
      <c r="X34" s="95">
        <f>IF($D34="",0,SUMIFS(j_DrAmt,j_DrAcct,$D34,j_Per,11)-SUMIFS(j_CrAmt,j_CrAcct,$D34,j_Per,11)+IF($D34=acctTax,SUMIFS(j_TaxDr,j_Posted,1,j_Per,11)-SUMIFS(j_TaxCr,j_Posted,1,j_Per,11),0))</f>
        <v/>
      </c>
      <c r="Y34" s="95">
        <f>IF($D34="",0,SUMIFS(j_DrAmt,j_DrAcct,$D34,j_Per,12)-SUMIFS(j_CrAmt,j_CrAcct,$D34,j_Per,12)+IF($D34=acctTax,SUMIFS(j_TaxDr,j_Posted,1,j_Per,12)-SUMIFS(j_TaxCr,j_Posted,1,j_Per,12),0))</f>
        <v/>
      </c>
      <c r="Z34" s="95">
        <f>SUMPRODUCT(($N$5:$Y$5&lt;=RptIdx)*N34:Y34)</f>
        <v/>
      </c>
      <c r="AA34" s="95">
        <f>IF(AND(RptIdx&gt;=1,RptIdx&lt;=12),INDEX(N34:Y34,RptIdx),0)</f>
        <v/>
      </c>
      <c r="AB34" s="95">
        <f>IF($D34="",0,IF(RptIdx&gt;1,INDEX(N34:Y34,RptIdx-1),SUMIFS(j_DrAmt,j_DrAcct,$D34,j_Date,"&gt;="&amp;PrevStart,j_Date,"&lt;="&amp;PrevEnd)-SUMIFS(j_CrAmt,j_CrAcct,$D34,j_Date,"&gt;="&amp;PrevStart,j_Date,"&lt;="&amp;PrevEnd)+IF($D34=acctTax,SUMIFS(j_TaxDr,j_Posted,1,j_Date,"&gt;="&amp;PrevStart,j_Date,"&lt;="&amp;PrevEnd)-SUMIFS(j_TaxCr,j_Posted,1,j_Date,"&gt;="&amp;PrevStart,j_Date,"&lt;="&amp;PrevEnd),0)))</f>
        <v/>
      </c>
      <c r="AC34" s="95">
        <f>SUM(N34:Y34)</f>
        <v/>
      </c>
      <c r="AD34" s="95">
        <f>L34+M34+Z34</f>
        <v/>
      </c>
      <c r="AE34" s="95">
        <f>AD34-AA34</f>
        <v/>
      </c>
      <c r="AF34" s="58">
        <f>IF($D34="","",F34&amp;"|"&amp;COUNTIFS($F$7:F34,F34,$D$7:D34,"&lt;&gt;"))</f>
        <v/>
      </c>
      <c r="AG34" s="58">
        <f>IF(AND($D34&lt;&gt;"",H34="Cash"),"Cash|"&amp;COUNTIFS($H$7:H34,"Cash",$D$7:D34,"&lt;&gt;"),"")</f>
        <v/>
      </c>
      <c r="AH34" s="95">
        <f>IF(AND($D34&lt;&gt;"",OR(F34="Cost of Sales",F34="Operating Expense",F34="Other Expense"),Z34&gt;0),Z34+28/1000000,"")</f>
        <v/>
      </c>
      <c r="AI34" s="95">
        <f>L34+M34+SUM(N34:N34)</f>
        <v/>
      </c>
      <c r="AJ34" s="95">
        <f>L34+M34+SUM(N34:O34)</f>
        <v/>
      </c>
      <c r="AK34" s="95">
        <f>L34+M34+SUM(N34:P34)</f>
        <v/>
      </c>
      <c r="AL34" s="95">
        <f>L34+M34+SUM(N34:Q34)</f>
        <v/>
      </c>
      <c r="AM34" s="95">
        <f>L34+M34+SUM(N34:R34)</f>
        <v/>
      </c>
      <c r="AN34" s="95">
        <f>L34+M34+SUM(N34:S34)</f>
        <v/>
      </c>
      <c r="AO34" s="95">
        <f>L34+M34+SUM(N34:T34)</f>
        <v/>
      </c>
      <c r="AP34" s="95">
        <f>L34+M34+SUM(N34:U34)</f>
        <v/>
      </c>
      <c r="AQ34" s="95">
        <f>L34+M34+SUM(N34:V34)</f>
        <v/>
      </c>
      <c r="AR34" s="95">
        <f>L34+M34+SUM(N34:W34)</f>
        <v/>
      </c>
      <c r="AS34" s="95">
        <f>L34+M34+SUM(N34:X34)</f>
        <v/>
      </c>
      <c r="AT34" s="95">
        <f>L34+M34+SUM(N34:Y34)</f>
        <v/>
      </c>
    </row>
    <row r="35">
      <c r="B35" s="58" t="n">
        <v>29</v>
      </c>
      <c r="C35" s="58">
        <f>IFERROR(INDEX(coa_Name,29)&amp;"","")</f>
        <v/>
      </c>
      <c r="D35" s="58">
        <f>IF(C35="","",IF(COUNTIF($C$7:C35,C35)&gt;1,"",C35))</f>
        <v/>
      </c>
      <c r="E35" s="58">
        <f>IF($D35="","",INDEX(coa_Code,29))</f>
        <v/>
      </c>
      <c r="F35" s="58">
        <f>IF($D35="","",INDEX(coa_Type,29)&amp;"")</f>
        <v/>
      </c>
      <c r="G35" s="58">
        <f>IF($D35="","",INDEX(coa_Normal,29)&amp;"")</f>
        <v/>
      </c>
      <c r="H35" s="58">
        <f>IF($D35="","",IF(INDEX(coa_CF,29)&amp;""="","Operating",INDEX(coa_CF,29)&amp;""))</f>
        <v/>
      </c>
      <c r="I35" s="58">
        <f>IF($D35="","",IFERROR(INDEX(at_Stmt,MATCH(F35,at_Type,0)),""))</f>
        <v/>
      </c>
      <c r="J35" s="58">
        <f>IF($D35="",0,IFERROR(INDEX(at_Sign,MATCH(F35,at_Type,0)),0))</f>
        <v/>
      </c>
      <c r="K35" s="95">
        <f>IF($D35="",0,IF(G35="Credit",-1,1)*N(INDEX(coa_Open,29)))</f>
        <v/>
      </c>
      <c r="L35" s="95">
        <f>IF($D35="",0,IF($D35=acctOBE,K35-SUM($K$7:$K$156),K35))</f>
        <v/>
      </c>
      <c r="M35" s="95">
        <f>IF($D35="",0,SUMIFS(j_DrAmt,j_DrAcct,$D35,j_Per,0)-SUMIFS(j_CrAmt,j_CrAcct,$D35,j_Per,0)+IF($D35=acctTax,SUMIFS(j_TaxDr,j_Posted,1,j_Per,0)-SUMIFS(j_TaxCr,j_Posted,1,j_Per,0),0))</f>
        <v/>
      </c>
      <c r="N35" s="95">
        <f>IF($D35="",0,SUMIFS(j_DrAmt,j_DrAcct,$D35,j_Per,1)-SUMIFS(j_CrAmt,j_CrAcct,$D35,j_Per,1)+IF($D35=acctTax,SUMIFS(j_TaxDr,j_Posted,1,j_Per,1)-SUMIFS(j_TaxCr,j_Posted,1,j_Per,1),0))</f>
        <v/>
      </c>
      <c r="O35" s="95">
        <f>IF($D35="",0,SUMIFS(j_DrAmt,j_DrAcct,$D35,j_Per,2)-SUMIFS(j_CrAmt,j_CrAcct,$D35,j_Per,2)+IF($D35=acctTax,SUMIFS(j_TaxDr,j_Posted,1,j_Per,2)-SUMIFS(j_TaxCr,j_Posted,1,j_Per,2),0))</f>
        <v/>
      </c>
      <c r="P35" s="95">
        <f>IF($D35="",0,SUMIFS(j_DrAmt,j_DrAcct,$D35,j_Per,3)-SUMIFS(j_CrAmt,j_CrAcct,$D35,j_Per,3)+IF($D35=acctTax,SUMIFS(j_TaxDr,j_Posted,1,j_Per,3)-SUMIFS(j_TaxCr,j_Posted,1,j_Per,3),0))</f>
        <v/>
      </c>
      <c r="Q35" s="95">
        <f>IF($D35="",0,SUMIFS(j_DrAmt,j_DrAcct,$D35,j_Per,4)-SUMIFS(j_CrAmt,j_CrAcct,$D35,j_Per,4)+IF($D35=acctTax,SUMIFS(j_TaxDr,j_Posted,1,j_Per,4)-SUMIFS(j_TaxCr,j_Posted,1,j_Per,4),0))</f>
        <v/>
      </c>
      <c r="R35" s="95">
        <f>IF($D35="",0,SUMIFS(j_DrAmt,j_DrAcct,$D35,j_Per,5)-SUMIFS(j_CrAmt,j_CrAcct,$D35,j_Per,5)+IF($D35=acctTax,SUMIFS(j_TaxDr,j_Posted,1,j_Per,5)-SUMIFS(j_TaxCr,j_Posted,1,j_Per,5),0))</f>
        <v/>
      </c>
      <c r="S35" s="95">
        <f>IF($D35="",0,SUMIFS(j_DrAmt,j_DrAcct,$D35,j_Per,6)-SUMIFS(j_CrAmt,j_CrAcct,$D35,j_Per,6)+IF($D35=acctTax,SUMIFS(j_TaxDr,j_Posted,1,j_Per,6)-SUMIFS(j_TaxCr,j_Posted,1,j_Per,6),0))</f>
        <v/>
      </c>
      <c r="T35" s="95">
        <f>IF($D35="",0,SUMIFS(j_DrAmt,j_DrAcct,$D35,j_Per,7)-SUMIFS(j_CrAmt,j_CrAcct,$D35,j_Per,7)+IF($D35=acctTax,SUMIFS(j_TaxDr,j_Posted,1,j_Per,7)-SUMIFS(j_TaxCr,j_Posted,1,j_Per,7),0))</f>
        <v/>
      </c>
      <c r="U35" s="95">
        <f>IF($D35="",0,SUMIFS(j_DrAmt,j_DrAcct,$D35,j_Per,8)-SUMIFS(j_CrAmt,j_CrAcct,$D35,j_Per,8)+IF($D35=acctTax,SUMIFS(j_TaxDr,j_Posted,1,j_Per,8)-SUMIFS(j_TaxCr,j_Posted,1,j_Per,8),0))</f>
        <v/>
      </c>
      <c r="V35" s="95">
        <f>IF($D35="",0,SUMIFS(j_DrAmt,j_DrAcct,$D35,j_Per,9)-SUMIFS(j_CrAmt,j_CrAcct,$D35,j_Per,9)+IF($D35=acctTax,SUMIFS(j_TaxDr,j_Posted,1,j_Per,9)-SUMIFS(j_TaxCr,j_Posted,1,j_Per,9),0))</f>
        <v/>
      </c>
      <c r="W35" s="95">
        <f>IF($D35="",0,SUMIFS(j_DrAmt,j_DrAcct,$D35,j_Per,10)-SUMIFS(j_CrAmt,j_CrAcct,$D35,j_Per,10)+IF($D35=acctTax,SUMIFS(j_TaxDr,j_Posted,1,j_Per,10)-SUMIFS(j_TaxCr,j_Posted,1,j_Per,10),0))</f>
        <v/>
      </c>
      <c r="X35" s="95">
        <f>IF($D35="",0,SUMIFS(j_DrAmt,j_DrAcct,$D35,j_Per,11)-SUMIFS(j_CrAmt,j_CrAcct,$D35,j_Per,11)+IF($D35=acctTax,SUMIFS(j_TaxDr,j_Posted,1,j_Per,11)-SUMIFS(j_TaxCr,j_Posted,1,j_Per,11),0))</f>
        <v/>
      </c>
      <c r="Y35" s="95">
        <f>IF($D35="",0,SUMIFS(j_DrAmt,j_DrAcct,$D35,j_Per,12)-SUMIFS(j_CrAmt,j_CrAcct,$D35,j_Per,12)+IF($D35=acctTax,SUMIFS(j_TaxDr,j_Posted,1,j_Per,12)-SUMIFS(j_TaxCr,j_Posted,1,j_Per,12),0))</f>
        <v/>
      </c>
      <c r="Z35" s="95">
        <f>SUMPRODUCT(($N$5:$Y$5&lt;=RptIdx)*N35:Y35)</f>
        <v/>
      </c>
      <c r="AA35" s="95">
        <f>IF(AND(RptIdx&gt;=1,RptIdx&lt;=12),INDEX(N35:Y35,RptIdx),0)</f>
        <v/>
      </c>
      <c r="AB35" s="95">
        <f>IF($D35="",0,IF(RptIdx&gt;1,INDEX(N35:Y35,RptIdx-1),SUMIFS(j_DrAmt,j_DrAcct,$D35,j_Date,"&gt;="&amp;PrevStart,j_Date,"&lt;="&amp;PrevEnd)-SUMIFS(j_CrAmt,j_CrAcct,$D35,j_Date,"&gt;="&amp;PrevStart,j_Date,"&lt;="&amp;PrevEnd)+IF($D35=acctTax,SUMIFS(j_TaxDr,j_Posted,1,j_Date,"&gt;="&amp;PrevStart,j_Date,"&lt;="&amp;PrevEnd)-SUMIFS(j_TaxCr,j_Posted,1,j_Date,"&gt;="&amp;PrevStart,j_Date,"&lt;="&amp;PrevEnd),0)))</f>
        <v/>
      </c>
      <c r="AC35" s="95">
        <f>SUM(N35:Y35)</f>
        <v/>
      </c>
      <c r="AD35" s="95">
        <f>L35+M35+Z35</f>
        <v/>
      </c>
      <c r="AE35" s="95">
        <f>AD35-AA35</f>
        <v/>
      </c>
      <c r="AF35" s="58">
        <f>IF($D35="","",F35&amp;"|"&amp;COUNTIFS($F$7:F35,F35,$D$7:D35,"&lt;&gt;"))</f>
        <v/>
      </c>
      <c r="AG35" s="58">
        <f>IF(AND($D35&lt;&gt;"",H35="Cash"),"Cash|"&amp;COUNTIFS($H$7:H35,"Cash",$D$7:D35,"&lt;&gt;"),"")</f>
        <v/>
      </c>
      <c r="AH35" s="95">
        <f>IF(AND($D35&lt;&gt;"",OR(F35="Cost of Sales",F35="Operating Expense",F35="Other Expense"),Z35&gt;0),Z35+29/1000000,"")</f>
        <v/>
      </c>
      <c r="AI35" s="95">
        <f>L35+M35+SUM(N35:N35)</f>
        <v/>
      </c>
      <c r="AJ35" s="95">
        <f>L35+M35+SUM(N35:O35)</f>
        <v/>
      </c>
      <c r="AK35" s="95">
        <f>L35+M35+SUM(N35:P35)</f>
        <v/>
      </c>
      <c r="AL35" s="95">
        <f>L35+M35+SUM(N35:Q35)</f>
        <v/>
      </c>
      <c r="AM35" s="95">
        <f>L35+M35+SUM(N35:R35)</f>
        <v/>
      </c>
      <c r="AN35" s="95">
        <f>L35+M35+SUM(N35:S35)</f>
        <v/>
      </c>
      <c r="AO35" s="95">
        <f>L35+M35+SUM(N35:T35)</f>
        <v/>
      </c>
      <c r="AP35" s="95">
        <f>L35+M35+SUM(N35:U35)</f>
        <v/>
      </c>
      <c r="AQ35" s="95">
        <f>L35+M35+SUM(N35:V35)</f>
        <v/>
      </c>
      <c r="AR35" s="95">
        <f>L35+M35+SUM(N35:W35)</f>
        <v/>
      </c>
      <c r="AS35" s="95">
        <f>L35+M35+SUM(N35:X35)</f>
        <v/>
      </c>
      <c r="AT35" s="95">
        <f>L35+M35+SUM(N35:Y35)</f>
        <v/>
      </c>
    </row>
    <row r="36">
      <c r="B36" s="58" t="n">
        <v>30</v>
      </c>
      <c r="C36" s="58">
        <f>IFERROR(INDEX(coa_Name,30)&amp;"","")</f>
        <v/>
      </c>
      <c r="D36" s="58">
        <f>IF(C36="","",IF(COUNTIF($C$7:C36,C36)&gt;1,"",C36))</f>
        <v/>
      </c>
      <c r="E36" s="58">
        <f>IF($D36="","",INDEX(coa_Code,30))</f>
        <v/>
      </c>
      <c r="F36" s="58">
        <f>IF($D36="","",INDEX(coa_Type,30)&amp;"")</f>
        <v/>
      </c>
      <c r="G36" s="58">
        <f>IF($D36="","",INDEX(coa_Normal,30)&amp;"")</f>
        <v/>
      </c>
      <c r="H36" s="58">
        <f>IF($D36="","",IF(INDEX(coa_CF,30)&amp;""="","Operating",INDEX(coa_CF,30)&amp;""))</f>
        <v/>
      </c>
      <c r="I36" s="58">
        <f>IF($D36="","",IFERROR(INDEX(at_Stmt,MATCH(F36,at_Type,0)),""))</f>
        <v/>
      </c>
      <c r="J36" s="58">
        <f>IF($D36="",0,IFERROR(INDEX(at_Sign,MATCH(F36,at_Type,0)),0))</f>
        <v/>
      </c>
      <c r="K36" s="95">
        <f>IF($D36="",0,IF(G36="Credit",-1,1)*N(INDEX(coa_Open,30)))</f>
        <v/>
      </c>
      <c r="L36" s="95">
        <f>IF($D36="",0,IF($D36=acctOBE,K36-SUM($K$7:$K$156),K36))</f>
        <v/>
      </c>
      <c r="M36" s="95">
        <f>IF($D36="",0,SUMIFS(j_DrAmt,j_DrAcct,$D36,j_Per,0)-SUMIFS(j_CrAmt,j_CrAcct,$D36,j_Per,0)+IF($D36=acctTax,SUMIFS(j_TaxDr,j_Posted,1,j_Per,0)-SUMIFS(j_TaxCr,j_Posted,1,j_Per,0),0))</f>
        <v/>
      </c>
      <c r="N36" s="95">
        <f>IF($D36="",0,SUMIFS(j_DrAmt,j_DrAcct,$D36,j_Per,1)-SUMIFS(j_CrAmt,j_CrAcct,$D36,j_Per,1)+IF($D36=acctTax,SUMIFS(j_TaxDr,j_Posted,1,j_Per,1)-SUMIFS(j_TaxCr,j_Posted,1,j_Per,1),0))</f>
        <v/>
      </c>
      <c r="O36" s="95">
        <f>IF($D36="",0,SUMIFS(j_DrAmt,j_DrAcct,$D36,j_Per,2)-SUMIFS(j_CrAmt,j_CrAcct,$D36,j_Per,2)+IF($D36=acctTax,SUMIFS(j_TaxDr,j_Posted,1,j_Per,2)-SUMIFS(j_TaxCr,j_Posted,1,j_Per,2),0))</f>
        <v/>
      </c>
      <c r="P36" s="95">
        <f>IF($D36="",0,SUMIFS(j_DrAmt,j_DrAcct,$D36,j_Per,3)-SUMIFS(j_CrAmt,j_CrAcct,$D36,j_Per,3)+IF($D36=acctTax,SUMIFS(j_TaxDr,j_Posted,1,j_Per,3)-SUMIFS(j_TaxCr,j_Posted,1,j_Per,3),0))</f>
        <v/>
      </c>
      <c r="Q36" s="95">
        <f>IF($D36="",0,SUMIFS(j_DrAmt,j_DrAcct,$D36,j_Per,4)-SUMIFS(j_CrAmt,j_CrAcct,$D36,j_Per,4)+IF($D36=acctTax,SUMIFS(j_TaxDr,j_Posted,1,j_Per,4)-SUMIFS(j_TaxCr,j_Posted,1,j_Per,4),0))</f>
        <v/>
      </c>
      <c r="R36" s="95">
        <f>IF($D36="",0,SUMIFS(j_DrAmt,j_DrAcct,$D36,j_Per,5)-SUMIFS(j_CrAmt,j_CrAcct,$D36,j_Per,5)+IF($D36=acctTax,SUMIFS(j_TaxDr,j_Posted,1,j_Per,5)-SUMIFS(j_TaxCr,j_Posted,1,j_Per,5),0))</f>
        <v/>
      </c>
      <c r="S36" s="95">
        <f>IF($D36="",0,SUMIFS(j_DrAmt,j_DrAcct,$D36,j_Per,6)-SUMIFS(j_CrAmt,j_CrAcct,$D36,j_Per,6)+IF($D36=acctTax,SUMIFS(j_TaxDr,j_Posted,1,j_Per,6)-SUMIFS(j_TaxCr,j_Posted,1,j_Per,6),0))</f>
        <v/>
      </c>
      <c r="T36" s="95">
        <f>IF($D36="",0,SUMIFS(j_DrAmt,j_DrAcct,$D36,j_Per,7)-SUMIFS(j_CrAmt,j_CrAcct,$D36,j_Per,7)+IF($D36=acctTax,SUMIFS(j_TaxDr,j_Posted,1,j_Per,7)-SUMIFS(j_TaxCr,j_Posted,1,j_Per,7),0))</f>
        <v/>
      </c>
      <c r="U36" s="95">
        <f>IF($D36="",0,SUMIFS(j_DrAmt,j_DrAcct,$D36,j_Per,8)-SUMIFS(j_CrAmt,j_CrAcct,$D36,j_Per,8)+IF($D36=acctTax,SUMIFS(j_TaxDr,j_Posted,1,j_Per,8)-SUMIFS(j_TaxCr,j_Posted,1,j_Per,8),0))</f>
        <v/>
      </c>
      <c r="V36" s="95">
        <f>IF($D36="",0,SUMIFS(j_DrAmt,j_DrAcct,$D36,j_Per,9)-SUMIFS(j_CrAmt,j_CrAcct,$D36,j_Per,9)+IF($D36=acctTax,SUMIFS(j_TaxDr,j_Posted,1,j_Per,9)-SUMIFS(j_TaxCr,j_Posted,1,j_Per,9),0))</f>
        <v/>
      </c>
      <c r="W36" s="95">
        <f>IF($D36="",0,SUMIFS(j_DrAmt,j_DrAcct,$D36,j_Per,10)-SUMIFS(j_CrAmt,j_CrAcct,$D36,j_Per,10)+IF($D36=acctTax,SUMIFS(j_TaxDr,j_Posted,1,j_Per,10)-SUMIFS(j_TaxCr,j_Posted,1,j_Per,10),0))</f>
        <v/>
      </c>
      <c r="X36" s="95">
        <f>IF($D36="",0,SUMIFS(j_DrAmt,j_DrAcct,$D36,j_Per,11)-SUMIFS(j_CrAmt,j_CrAcct,$D36,j_Per,11)+IF($D36=acctTax,SUMIFS(j_TaxDr,j_Posted,1,j_Per,11)-SUMIFS(j_TaxCr,j_Posted,1,j_Per,11),0))</f>
        <v/>
      </c>
      <c r="Y36" s="95">
        <f>IF($D36="",0,SUMIFS(j_DrAmt,j_DrAcct,$D36,j_Per,12)-SUMIFS(j_CrAmt,j_CrAcct,$D36,j_Per,12)+IF($D36=acctTax,SUMIFS(j_TaxDr,j_Posted,1,j_Per,12)-SUMIFS(j_TaxCr,j_Posted,1,j_Per,12),0))</f>
        <v/>
      </c>
      <c r="Z36" s="95">
        <f>SUMPRODUCT(($N$5:$Y$5&lt;=RptIdx)*N36:Y36)</f>
        <v/>
      </c>
      <c r="AA36" s="95">
        <f>IF(AND(RptIdx&gt;=1,RptIdx&lt;=12),INDEX(N36:Y36,RptIdx),0)</f>
        <v/>
      </c>
      <c r="AB36" s="95">
        <f>IF($D36="",0,IF(RptIdx&gt;1,INDEX(N36:Y36,RptIdx-1),SUMIFS(j_DrAmt,j_DrAcct,$D36,j_Date,"&gt;="&amp;PrevStart,j_Date,"&lt;="&amp;PrevEnd)-SUMIFS(j_CrAmt,j_CrAcct,$D36,j_Date,"&gt;="&amp;PrevStart,j_Date,"&lt;="&amp;PrevEnd)+IF($D36=acctTax,SUMIFS(j_TaxDr,j_Posted,1,j_Date,"&gt;="&amp;PrevStart,j_Date,"&lt;="&amp;PrevEnd)-SUMIFS(j_TaxCr,j_Posted,1,j_Date,"&gt;="&amp;PrevStart,j_Date,"&lt;="&amp;PrevEnd),0)))</f>
        <v/>
      </c>
      <c r="AC36" s="95">
        <f>SUM(N36:Y36)</f>
        <v/>
      </c>
      <c r="AD36" s="95">
        <f>L36+M36+Z36</f>
        <v/>
      </c>
      <c r="AE36" s="95">
        <f>AD36-AA36</f>
        <v/>
      </c>
      <c r="AF36" s="58">
        <f>IF($D36="","",F36&amp;"|"&amp;COUNTIFS($F$7:F36,F36,$D$7:D36,"&lt;&gt;"))</f>
        <v/>
      </c>
      <c r="AG36" s="58">
        <f>IF(AND($D36&lt;&gt;"",H36="Cash"),"Cash|"&amp;COUNTIFS($H$7:H36,"Cash",$D$7:D36,"&lt;&gt;"),"")</f>
        <v/>
      </c>
      <c r="AH36" s="95">
        <f>IF(AND($D36&lt;&gt;"",OR(F36="Cost of Sales",F36="Operating Expense",F36="Other Expense"),Z36&gt;0),Z36+30/1000000,"")</f>
        <v/>
      </c>
      <c r="AI36" s="95">
        <f>L36+M36+SUM(N36:N36)</f>
        <v/>
      </c>
      <c r="AJ36" s="95">
        <f>L36+M36+SUM(N36:O36)</f>
        <v/>
      </c>
      <c r="AK36" s="95">
        <f>L36+M36+SUM(N36:P36)</f>
        <v/>
      </c>
      <c r="AL36" s="95">
        <f>L36+M36+SUM(N36:Q36)</f>
        <v/>
      </c>
      <c r="AM36" s="95">
        <f>L36+M36+SUM(N36:R36)</f>
        <v/>
      </c>
      <c r="AN36" s="95">
        <f>L36+M36+SUM(N36:S36)</f>
        <v/>
      </c>
      <c r="AO36" s="95">
        <f>L36+M36+SUM(N36:T36)</f>
        <v/>
      </c>
      <c r="AP36" s="95">
        <f>L36+M36+SUM(N36:U36)</f>
        <v/>
      </c>
      <c r="AQ36" s="95">
        <f>L36+M36+SUM(N36:V36)</f>
        <v/>
      </c>
      <c r="AR36" s="95">
        <f>L36+M36+SUM(N36:W36)</f>
        <v/>
      </c>
      <c r="AS36" s="95">
        <f>L36+M36+SUM(N36:X36)</f>
        <v/>
      </c>
      <c r="AT36" s="95">
        <f>L36+M36+SUM(N36:Y36)</f>
        <v/>
      </c>
    </row>
    <row r="37">
      <c r="B37" s="58" t="n">
        <v>31</v>
      </c>
      <c r="C37" s="58">
        <f>IFERROR(INDEX(coa_Name,31)&amp;"","")</f>
        <v/>
      </c>
      <c r="D37" s="58">
        <f>IF(C37="","",IF(COUNTIF($C$7:C37,C37)&gt;1,"",C37))</f>
        <v/>
      </c>
      <c r="E37" s="58">
        <f>IF($D37="","",INDEX(coa_Code,31))</f>
        <v/>
      </c>
      <c r="F37" s="58">
        <f>IF($D37="","",INDEX(coa_Type,31)&amp;"")</f>
        <v/>
      </c>
      <c r="G37" s="58">
        <f>IF($D37="","",INDEX(coa_Normal,31)&amp;"")</f>
        <v/>
      </c>
      <c r="H37" s="58">
        <f>IF($D37="","",IF(INDEX(coa_CF,31)&amp;""="","Operating",INDEX(coa_CF,31)&amp;""))</f>
        <v/>
      </c>
      <c r="I37" s="58">
        <f>IF($D37="","",IFERROR(INDEX(at_Stmt,MATCH(F37,at_Type,0)),""))</f>
        <v/>
      </c>
      <c r="J37" s="58">
        <f>IF($D37="",0,IFERROR(INDEX(at_Sign,MATCH(F37,at_Type,0)),0))</f>
        <v/>
      </c>
      <c r="K37" s="95">
        <f>IF($D37="",0,IF(G37="Credit",-1,1)*N(INDEX(coa_Open,31)))</f>
        <v/>
      </c>
      <c r="L37" s="95">
        <f>IF($D37="",0,IF($D37=acctOBE,K37-SUM($K$7:$K$156),K37))</f>
        <v/>
      </c>
      <c r="M37" s="95">
        <f>IF($D37="",0,SUMIFS(j_DrAmt,j_DrAcct,$D37,j_Per,0)-SUMIFS(j_CrAmt,j_CrAcct,$D37,j_Per,0)+IF($D37=acctTax,SUMIFS(j_TaxDr,j_Posted,1,j_Per,0)-SUMIFS(j_TaxCr,j_Posted,1,j_Per,0),0))</f>
        <v/>
      </c>
      <c r="N37" s="95">
        <f>IF($D37="",0,SUMIFS(j_DrAmt,j_DrAcct,$D37,j_Per,1)-SUMIFS(j_CrAmt,j_CrAcct,$D37,j_Per,1)+IF($D37=acctTax,SUMIFS(j_TaxDr,j_Posted,1,j_Per,1)-SUMIFS(j_TaxCr,j_Posted,1,j_Per,1),0))</f>
        <v/>
      </c>
      <c r="O37" s="95">
        <f>IF($D37="",0,SUMIFS(j_DrAmt,j_DrAcct,$D37,j_Per,2)-SUMIFS(j_CrAmt,j_CrAcct,$D37,j_Per,2)+IF($D37=acctTax,SUMIFS(j_TaxDr,j_Posted,1,j_Per,2)-SUMIFS(j_TaxCr,j_Posted,1,j_Per,2),0))</f>
        <v/>
      </c>
      <c r="P37" s="95">
        <f>IF($D37="",0,SUMIFS(j_DrAmt,j_DrAcct,$D37,j_Per,3)-SUMIFS(j_CrAmt,j_CrAcct,$D37,j_Per,3)+IF($D37=acctTax,SUMIFS(j_TaxDr,j_Posted,1,j_Per,3)-SUMIFS(j_TaxCr,j_Posted,1,j_Per,3),0))</f>
        <v/>
      </c>
      <c r="Q37" s="95">
        <f>IF($D37="",0,SUMIFS(j_DrAmt,j_DrAcct,$D37,j_Per,4)-SUMIFS(j_CrAmt,j_CrAcct,$D37,j_Per,4)+IF($D37=acctTax,SUMIFS(j_TaxDr,j_Posted,1,j_Per,4)-SUMIFS(j_TaxCr,j_Posted,1,j_Per,4),0))</f>
        <v/>
      </c>
      <c r="R37" s="95">
        <f>IF($D37="",0,SUMIFS(j_DrAmt,j_DrAcct,$D37,j_Per,5)-SUMIFS(j_CrAmt,j_CrAcct,$D37,j_Per,5)+IF($D37=acctTax,SUMIFS(j_TaxDr,j_Posted,1,j_Per,5)-SUMIFS(j_TaxCr,j_Posted,1,j_Per,5),0))</f>
        <v/>
      </c>
      <c r="S37" s="95">
        <f>IF($D37="",0,SUMIFS(j_DrAmt,j_DrAcct,$D37,j_Per,6)-SUMIFS(j_CrAmt,j_CrAcct,$D37,j_Per,6)+IF($D37=acctTax,SUMIFS(j_TaxDr,j_Posted,1,j_Per,6)-SUMIFS(j_TaxCr,j_Posted,1,j_Per,6),0))</f>
        <v/>
      </c>
      <c r="T37" s="95">
        <f>IF($D37="",0,SUMIFS(j_DrAmt,j_DrAcct,$D37,j_Per,7)-SUMIFS(j_CrAmt,j_CrAcct,$D37,j_Per,7)+IF($D37=acctTax,SUMIFS(j_TaxDr,j_Posted,1,j_Per,7)-SUMIFS(j_TaxCr,j_Posted,1,j_Per,7),0))</f>
        <v/>
      </c>
      <c r="U37" s="95">
        <f>IF($D37="",0,SUMIFS(j_DrAmt,j_DrAcct,$D37,j_Per,8)-SUMIFS(j_CrAmt,j_CrAcct,$D37,j_Per,8)+IF($D37=acctTax,SUMIFS(j_TaxDr,j_Posted,1,j_Per,8)-SUMIFS(j_TaxCr,j_Posted,1,j_Per,8),0))</f>
        <v/>
      </c>
      <c r="V37" s="95">
        <f>IF($D37="",0,SUMIFS(j_DrAmt,j_DrAcct,$D37,j_Per,9)-SUMIFS(j_CrAmt,j_CrAcct,$D37,j_Per,9)+IF($D37=acctTax,SUMIFS(j_TaxDr,j_Posted,1,j_Per,9)-SUMIFS(j_TaxCr,j_Posted,1,j_Per,9),0))</f>
        <v/>
      </c>
      <c r="W37" s="95">
        <f>IF($D37="",0,SUMIFS(j_DrAmt,j_DrAcct,$D37,j_Per,10)-SUMIFS(j_CrAmt,j_CrAcct,$D37,j_Per,10)+IF($D37=acctTax,SUMIFS(j_TaxDr,j_Posted,1,j_Per,10)-SUMIFS(j_TaxCr,j_Posted,1,j_Per,10),0))</f>
        <v/>
      </c>
      <c r="X37" s="95">
        <f>IF($D37="",0,SUMIFS(j_DrAmt,j_DrAcct,$D37,j_Per,11)-SUMIFS(j_CrAmt,j_CrAcct,$D37,j_Per,11)+IF($D37=acctTax,SUMIFS(j_TaxDr,j_Posted,1,j_Per,11)-SUMIFS(j_TaxCr,j_Posted,1,j_Per,11),0))</f>
        <v/>
      </c>
      <c r="Y37" s="95">
        <f>IF($D37="",0,SUMIFS(j_DrAmt,j_DrAcct,$D37,j_Per,12)-SUMIFS(j_CrAmt,j_CrAcct,$D37,j_Per,12)+IF($D37=acctTax,SUMIFS(j_TaxDr,j_Posted,1,j_Per,12)-SUMIFS(j_TaxCr,j_Posted,1,j_Per,12),0))</f>
        <v/>
      </c>
      <c r="Z37" s="95">
        <f>SUMPRODUCT(($N$5:$Y$5&lt;=RptIdx)*N37:Y37)</f>
        <v/>
      </c>
      <c r="AA37" s="95">
        <f>IF(AND(RptIdx&gt;=1,RptIdx&lt;=12),INDEX(N37:Y37,RptIdx),0)</f>
        <v/>
      </c>
      <c r="AB37" s="95">
        <f>IF($D37="",0,IF(RptIdx&gt;1,INDEX(N37:Y37,RptIdx-1),SUMIFS(j_DrAmt,j_DrAcct,$D37,j_Date,"&gt;="&amp;PrevStart,j_Date,"&lt;="&amp;PrevEnd)-SUMIFS(j_CrAmt,j_CrAcct,$D37,j_Date,"&gt;="&amp;PrevStart,j_Date,"&lt;="&amp;PrevEnd)+IF($D37=acctTax,SUMIFS(j_TaxDr,j_Posted,1,j_Date,"&gt;="&amp;PrevStart,j_Date,"&lt;="&amp;PrevEnd)-SUMIFS(j_TaxCr,j_Posted,1,j_Date,"&gt;="&amp;PrevStart,j_Date,"&lt;="&amp;PrevEnd),0)))</f>
        <v/>
      </c>
      <c r="AC37" s="95">
        <f>SUM(N37:Y37)</f>
        <v/>
      </c>
      <c r="AD37" s="95">
        <f>L37+M37+Z37</f>
        <v/>
      </c>
      <c r="AE37" s="95">
        <f>AD37-AA37</f>
        <v/>
      </c>
      <c r="AF37" s="58">
        <f>IF($D37="","",F37&amp;"|"&amp;COUNTIFS($F$7:F37,F37,$D$7:D37,"&lt;&gt;"))</f>
        <v/>
      </c>
      <c r="AG37" s="58">
        <f>IF(AND($D37&lt;&gt;"",H37="Cash"),"Cash|"&amp;COUNTIFS($H$7:H37,"Cash",$D$7:D37,"&lt;&gt;"),"")</f>
        <v/>
      </c>
      <c r="AH37" s="95">
        <f>IF(AND($D37&lt;&gt;"",OR(F37="Cost of Sales",F37="Operating Expense",F37="Other Expense"),Z37&gt;0),Z37+31/1000000,"")</f>
        <v/>
      </c>
      <c r="AI37" s="95">
        <f>L37+M37+SUM(N37:N37)</f>
        <v/>
      </c>
      <c r="AJ37" s="95">
        <f>L37+M37+SUM(N37:O37)</f>
        <v/>
      </c>
      <c r="AK37" s="95">
        <f>L37+M37+SUM(N37:P37)</f>
        <v/>
      </c>
      <c r="AL37" s="95">
        <f>L37+M37+SUM(N37:Q37)</f>
        <v/>
      </c>
      <c r="AM37" s="95">
        <f>L37+M37+SUM(N37:R37)</f>
        <v/>
      </c>
      <c r="AN37" s="95">
        <f>L37+M37+SUM(N37:S37)</f>
        <v/>
      </c>
      <c r="AO37" s="95">
        <f>L37+M37+SUM(N37:T37)</f>
        <v/>
      </c>
      <c r="AP37" s="95">
        <f>L37+M37+SUM(N37:U37)</f>
        <v/>
      </c>
      <c r="AQ37" s="95">
        <f>L37+M37+SUM(N37:V37)</f>
        <v/>
      </c>
      <c r="AR37" s="95">
        <f>L37+M37+SUM(N37:W37)</f>
        <v/>
      </c>
      <c r="AS37" s="95">
        <f>L37+M37+SUM(N37:X37)</f>
        <v/>
      </c>
      <c r="AT37" s="95">
        <f>L37+M37+SUM(N37:Y37)</f>
        <v/>
      </c>
    </row>
    <row r="38">
      <c r="B38" s="58" t="n">
        <v>32</v>
      </c>
      <c r="C38" s="58">
        <f>IFERROR(INDEX(coa_Name,32)&amp;"","")</f>
        <v/>
      </c>
      <c r="D38" s="58">
        <f>IF(C38="","",IF(COUNTIF($C$7:C38,C38)&gt;1,"",C38))</f>
        <v/>
      </c>
      <c r="E38" s="58">
        <f>IF($D38="","",INDEX(coa_Code,32))</f>
        <v/>
      </c>
      <c r="F38" s="58">
        <f>IF($D38="","",INDEX(coa_Type,32)&amp;"")</f>
        <v/>
      </c>
      <c r="G38" s="58">
        <f>IF($D38="","",INDEX(coa_Normal,32)&amp;"")</f>
        <v/>
      </c>
      <c r="H38" s="58">
        <f>IF($D38="","",IF(INDEX(coa_CF,32)&amp;""="","Operating",INDEX(coa_CF,32)&amp;""))</f>
        <v/>
      </c>
      <c r="I38" s="58">
        <f>IF($D38="","",IFERROR(INDEX(at_Stmt,MATCH(F38,at_Type,0)),""))</f>
        <v/>
      </c>
      <c r="J38" s="58">
        <f>IF($D38="",0,IFERROR(INDEX(at_Sign,MATCH(F38,at_Type,0)),0))</f>
        <v/>
      </c>
      <c r="K38" s="95">
        <f>IF($D38="",0,IF(G38="Credit",-1,1)*N(INDEX(coa_Open,32)))</f>
        <v/>
      </c>
      <c r="L38" s="95">
        <f>IF($D38="",0,IF($D38=acctOBE,K38-SUM($K$7:$K$156),K38))</f>
        <v/>
      </c>
      <c r="M38" s="95">
        <f>IF($D38="",0,SUMIFS(j_DrAmt,j_DrAcct,$D38,j_Per,0)-SUMIFS(j_CrAmt,j_CrAcct,$D38,j_Per,0)+IF($D38=acctTax,SUMIFS(j_TaxDr,j_Posted,1,j_Per,0)-SUMIFS(j_TaxCr,j_Posted,1,j_Per,0),0))</f>
        <v/>
      </c>
      <c r="N38" s="95">
        <f>IF($D38="",0,SUMIFS(j_DrAmt,j_DrAcct,$D38,j_Per,1)-SUMIFS(j_CrAmt,j_CrAcct,$D38,j_Per,1)+IF($D38=acctTax,SUMIFS(j_TaxDr,j_Posted,1,j_Per,1)-SUMIFS(j_TaxCr,j_Posted,1,j_Per,1),0))</f>
        <v/>
      </c>
      <c r="O38" s="95">
        <f>IF($D38="",0,SUMIFS(j_DrAmt,j_DrAcct,$D38,j_Per,2)-SUMIFS(j_CrAmt,j_CrAcct,$D38,j_Per,2)+IF($D38=acctTax,SUMIFS(j_TaxDr,j_Posted,1,j_Per,2)-SUMIFS(j_TaxCr,j_Posted,1,j_Per,2),0))</f>
        <v/>
      </c>
      <c r="P38" s="95">
        <f>IF($D38="",0,SUMIFS(j_DrAmt,j_DrAcct,$D38,j_Per,3)-SUMIFS(j_CrAmt,j_CrAcct,$D38,j_Per,3)+IF($D38=acctTax,SUMIFS(j_TaxDr,j_Posted,1,j_Per,3)-SUMIFS(j_TaxCr,j_Posted,1,j_Per,3),0))</f>
        <v/>
      </c>
      <c r="Q38" s="95">
        <f>IF($D38="",0,SUMIFS(j_DrAmt,j_DrAcct,$D38,j_Per,4)-SUMIFS(j_CrAmt,j_CrAcct,$D38,j_Per,4)+IF($D38=acctTax,SUMIFS(j_TaxDr,j_Posted,1,j_Per,4)-SUMIFS(j_TaxCr,j_Posted,1,j_Per,4),0))</f>
        <v/>
      </c>
      <c r="R38" s="95">
        <f>IF($D38="",0,SUMIFS(j_DrAmt,j_DrAcct,$D38,j_Per,5)-SUMIFS(j_CrAmt,j_CrAcct,$D38,j_Per,5)+IF($D38=acctTax,SUMIFS(j_TaxDr,j_Posted,1,j_Per,5)-SUMIFS(j_TaxCr,j_Posted,1,j_Per,5),0))</f>
        <v/>
      </c>
      <c r="S38" s="95">
        <f>IF($D38="",0,SUMIFS(j_DrAmt,j_DrAcct,$D38,j_Per,6)-SUMIFS(j_CrAmt,j_CrAcct,$D38,j_Per,6)+IF($D38=acctTax,SUMIFS(j_TaxDr,j_Posted,1,j_Per,6)-SUMIFS(j_TaxCr,j_Posted,1,j_Per,6),0))</f>
        <v/>
      </c>
      <c r="T38" s="95">
        <f>IF($D38="",0,SUMIFS(j_DrAmt,j_DrAcct,$D38,j_Per,7)-SUMIFS(j_CrAmt,j_CrAcct,$D38,j_Per,7)+IF($D38=acctTax,SUMIFS(j_TaxDr,j_Posted,1,j_Per,7)-SUMIFS(j_TaxCr,j_Posted,1,j_Per,7),0))</f>
        <v/>
      </c>
      <c r="U38" s="95">
        <f>IF($D38="",0,SUMIFS(j_DrAmt,j_DrAcct,$D38,j_Per,8)-SUMIFS(j_CrAmt,j_CrAcct,$D38,j_Per,8)+IF($D38=acctTax,SUMIFS(j_TaxDr,j_Posted,1,j_Per,8)-SUMIFS(j_TaxCr,j_Posted,1,j_Per,8),0))</f>
        <v/>
      </c>
      <c r="V38" s="95">
        <f>IF($D38="",0,SUMIFS(j_DrAmt,j_DrAcct,$D38,j_Per,9)-SUMIFS(j_CrAmt,j_CrAcct,$D38,j_Per,9)+IF($D38=acctTax,SUMIFS(j_TaxDr,j_Posted,1,j_Per,9)-SUMIFS(j_TaxCr,j_Posted,1,j_Per,9),0))</f>
        <v/>
      </c>
      <c r="W38" s="95">
        <f>IF($D38="",0,SUMIFS(j_DrAmt,j_DrAcct,$D38,j_Per,10)-SUMIFS(j_CrAmt,j_CrAcct,$D38,j_Per,10)+IF($D38=acctTax,SUMIFS(j_TaxDr,j_Posted,1,j_Per,10)-SUMIFS(j_TaxCr,j_Posted,1,j_Per,10),0))</f>
        <v/>
      </c>
      <c r="X38" s="95">
        <f>IF($D38="",0,SUMIFS(j_DrAmt,j_DrAcct,$D38,j_Per,11)-SUMIFS(j_CrAmt,j_CrAcct,$D38,j_Per,11)+IF($D38=acctTax,SUMIFS(j_TaxDr,j_Posted,1,j_Per,11)-SUMIFS(j_TaxCr,j_Posted,1,j_Per,11),0))</f>
        <v/>
      </c>
      <c r="Y38" s="95">
        <f>IF($D38="",0,SUMIFS(j_DrAmt,j_DrAcct,$D38,j_Per,12)-SUMIFS(j_CrAmt,j_CrAcct,$D38,j_Per,12)+IF($D38=acctTax,SUMIFS(j_TaxDr,j_Posted,1,j_Per,12)-SUMIFS(j_TaxCr,j_Posted,1,j_Per,12),0))</f>
        <v/>
      </c>
      <c r="Z38" s="95">
        <f>SUMPRODUCT(($N$5:$Y$5&lt;=RptIdx)*N38:Y38)</f>
        <v/>
      </c>
      <c r="AA38" s="95">
        <f>IF(AND(RptIdx&gt;=1,RptIdx&lt;=12),INDEX(N38:Y38,RptIdx),0)</f>
        <v/>
      </c>
      <c r="AB38" s="95">
        <f>IF($D38="",0,IF(RptIdx&gt;1,INDEX(N38:Y38,RptIdx-1),SUMIFS(j_DrAmt,j_DrAcct,$D38,j_Date,"&gt;="&amp;PrevStart,j_Date,"&lt;="&amp;PrevEnd)-SUMIFS(j_CrAmt,j_CrAcct,$D38,j_Date,"&gt;="&amp;PrevStart,j_Date,"&lt;="&amp;PrevEnd)+IF($D38=acctTax,SUMIFS(j_TaxDr,j_Posted,1,j_Date,"&gt;="&amp;PrevStart,j_Date,"&lt;="&amp;PrevEnd)-SUMIFS(j_TaxCr,j_Posted,1,j_Date,"&gt;="&amp;PrevStart,j_Date,"&lt;="&amp;PrevEnd),0)))</f>
        <v/>
      </c>
      <c r="AC38" s="95">
        <f>SUM(N38:Y38)</f>
        <v/>
      </c>
      <c r="AD38" s="95">
        <f>L38+M38+Z38</f>
        <v/>
      </c>
      <c r="AE38" s="95">
        <f>AD38-AA38</f>
        <v/>
      </c>
      <c r="AF38" s="58">
        <f>IF($D38="","",F38&amp;"|"&amp;COUNTIFS($F$7:F38,F38,$D$7:D38,"&lt;&gt;"))</f>
        <v/>
      </c>
      <c r="AG38" s="58">
        <f>IF(AND($D38&lt;&gt;"",H38="Cash"),"Cash|"&amp;COUNTIFS($H$7:H38,"Cash",$D$7:D38,"&lt;&gt;"),"")</f>
        <v/>
      </c>
      <c r="AH38" s="95">
        <f>IF(AND($D38&lt;&gt;"",OR(F38="Cost of Sales",F38="Operating Expense",F38="Other Expense"),Z38&gt;0),Z38+32/1000000,"")</f>
        <v/>
      </c>
      <c r="AI38" s="95">
        <f>L38+M38+SUM(N38:N38)</f>
        <v/>
      </c>
      <c r="AJ38" s="95">
        <f>L38+M38+SUM(N38:O38)</f>
        <v/>
      </c>
      <c r="AK38" s="95">
        <f>L38+M38+SUM(N38:P38)</f>
        <v/>
      </c>
      <c r="AL38" s="95">
        <f>L38+M38+SUM(N38:Q38)</f>
        <v/>
      </c>
      <c r="AM38" s="95">
        <f>L38+M38+SUM(N38:R38)</f>
        <v/>
      </c>
      <c r="AN38" s="95">
        <f>L38+M38+SUM(N38:S38)</f>
        <v/>
      </c>
      <c r="AO38" s="95">
        <f>L38+M38+SUM(N38:T38)</f>
        <v/>
      </c>
      <c r="AP38" s="95">
        <f>L38+M38+SUM(N38:U38)</f>
        <v/>
      </c>
      <c r="AQ38" s="95">
        <f>L38+M38+SUM(N38:V38)</f>
        <v/>
      </c>
      <c r="AR38" s="95">
        <f>L38+M38+SUM(N38:W38)</f>
        <v/>
      </c>
      <c r="AS38" s="95">
        <f>L38+M38+SUM(N38:X38)</f>
        <v/>
      </c>
      <c r="AT38" s="95">
        <f>L38+M38+SUM(N38:Y38)</f>
        <v/>
      </c>
    </row>
    <row r="39">
      <c r="B39" s="58" t="n">
        <v>33</v>
      </c>
      <c r="C39" s="58">
        <f>IFERROR(INDEX(coa_Name,33)&amp;"","")</f>
        <v/>
      </c>
      <c r="D39" s="58">
        <f>IF(C39="","",IF(COUNTIF($C$7:C39,C39)&gt;1,"",C39))</f>
        <v/>
      </c>
      <c r="E39" s="58">
        <f>IF($D39="","",INDEX(coa_Code,33))</f>
        <v/>
      </c>
      <c r="F39" s="58">
        <f>IF($D39="","",INDEX(coa_Type,33)&amp;"")</f>
        <v/>
      </c>
      <c r="G39" s="58">
        <f>IF($D39="","",INDEX(coa_Normal,33)&amp;"")</f>
        <v/>
      </c>
      <c r="H39" s="58">
        <f>IF($D39="","",IF(INDEX(coa_CF,33)&amp;""="","Operating",INDEX(coa_CF,33)&amp;""))</f>
        <v/>
      </c>
      <c r="I39" s="58">
        <f>IF($D39="","",IFERROR(INDEX(at_Stmt,MATCH(F39,at_Type,0)),""))</f>
        <v/>
      </c>
      <c r="J39" s="58">
        <f>IF($D39="",0,IFERROR(INDEX(at_Sign,MATCH(F39,at_Type,0)),0))</f>
        <v/>
      </c>
      <c r="K39" s="95">
        <f>IF($D39="",0,IF(G39="Credit",-1,1)*N(INDEX(coa_Open,33)))</f>
        <v/>
      </c>
      <c r="L39" s="95">
        <f>IF($D39="",0,IF($D39=acctOBE,K39-SUM($K$7:$K$156),K39))</f>
        <v/>
      </c>
      <c r="M39" s="95">
        <f>IF($D39="",0,SUMIFS(j_DrAmt,j_DrAcct,$D39,j_Per,0)-SUMIFS(j_CrAmt,j_CrAcct,$D39,j_Per,0)+IF($D39=acctTax,SUMIFS(j_TaxDr,j_Posted,1,j_Per,0)-SUMIFS(j_TaxCr,j_Posted,1,j_Per,0),0))</f>
        <v/>
      </c>
      <c r="N39" s="95">
        <f>IF($D39="",0,SUMIFS(j_DrAmt,j_DrAcct,$D39,j_Per,1)-SUMIFS(j_CrAmt,j_CrAcct,$D39,j_Per,1)+IF($D39=acctTax,SUMIFS(j_TaxDr,j_Posted,1,j_Per,1)-SUMIFS(j_TaxCr,j_Posted,1,j_Per,1),0))</f>
        <v/>
      </c>
      <c r="O39" s="95">
        <f>IF($D39="",0,SUMIFS(j_DrAmt,j_DrAcct,$D39,j_Per,2)-SUMIFS(j_CrAmt,j_CrAcct,$D39,j_Per,2)+IF($D39=acctTax,SUMIFS(j_TaxDr,j_Posted,1,j_Per,2)-SUMIFS(j_TaxCr,j_Posted,1,j_Per,2),0))</f>
        <v/>
      </c>
      <c r="P39" s="95">
        <f>IF($D39="",0,SUMIFS(j_DrAmt,j_DrAcct,$D39,j_Per,3)-SUMIFS(j_CrAmt,j_CrAcct,$D39,j_Per,3)+IF($D39=acctTax,SUMIFS(j_TaxDr,j_Posted,1,j_Per,3)-SUMIFS(j_TaxCr,j_Posted,1,j_Per,3),0))</f>
        <v/>
      </c>
      <c r="Q39" s="95">
        <f>IF($D39="",0,SUMIFS(j_DrAmt,j_DrAcct,$D39,j_Per,4)-SUMIFS(j_CrAmt,j_CrAcct,$D39,j_Per,4)+IF($D39=acctTax,SUMIFS(j_TaxDr,j_Posted,1,j_Per,4)-SUMIFS(j_TaxCr,j_Posted,1,j_Per,4),0))</f>
        <v/>
      </c>
      <c r="R39" s="95">
        <f>IF($D39="",0,SUMIFS(j_DrAmt,j_DrAcct,$D39,j_Per,5)-SUMIFS(j_CrAmt,j_CrAcct,$D39,j_Per,5)+IF($D39=acctTax,SUMIFS(j_TaxDr,j_Posted,1,j_Per,5)-SUMIFS(j_TaxCr,j_Posted,1,j_Per,5),0))</f>
        <v/>
      </c>
      <c r="S39" s="95">
        <f>IF($D39="",0,SUMIFS(j_DrAmt,j_DrAcct,$D39,j_Per,6)-SUMIFS(j_CrAmt,j_CrAcct,$D39,j_Per,6)+IF($D39=acctTax,SUMIFS(j_TaxDr,j_Posted,1,j_Per,6)-SUMIFS(j_TaxCr,j_Posted,1,j_Per,6),0))</f>
        <v/>
      </c>
      <c r="T39" s="95">
        <f>IF($D39="",0,SUMIFS(j_DrAmt,j_DrAcct,$D39,j_Per,7)-SUMIFS(j_CrAmt,j_CrAcct,$D39,j_Per,7)+IF($D39=acctTax,SUMIFS(j_TaxDr,j_Posted,1,j_Per,7)-SUMIFS(j_TaxCr,j_Posted,1,j_Per,7),0))</f>
        <v/>
      </c>
      <c r="U39" s="95">
        <f>IF($D39="",0,SUMIFS(j_DrAmt,j_DrAcct,$D39,j_Per,8)-SUMIFS(j_CrAmt,j_CrAcct,$D39,j_Per,8)+IF($D39=acctTax,SUMIFS(j_TaxDr,j_Posted,1,j_Per,8)-SUMIFS(j_TaxCr,j_Posted,1,j_Per,8),0))</f>
        <v/>
      </c>
      <c r="V39" s="95">
        <f>IF($D39="",0,SUMIFS(j_DrAmt,j_DrAcct,$D39,j_Per,9)-SUMIFS(j_CrAmt,j_CrAcct,$D39,j_Per,9)+IF($D39=acctTax,SUMIFS(j_TaxDr,j_Posted,1,j_Per,9)-SUMIFS(j_TaxCr,j_Posted,1,j_Per,9),0))</f>
        <v/>
      </c>
      <c r="W39" s="95">
        <f>IF($D39="",0,SUMIFS(j_DrAmt,j_DrAcct,$D39,j_Per,10)-SUMIFS(j_CrAmt,j_CrAcct,$D39,j_Per,10)+IF($D39=acctTax,SUMIFS(j_TaxDr,j_Posted,1,j_Per,10)-SUMIFS(j_TaxCr,j_Posted,1,j_Per,10),0))</f>
        <v/>
      </c>
      <c r="X39" s="95">
        <f>IF($D39="",0,SUMIFS(j_DrAmt,j_DrAcct,$D39,j_Per,11)-SUMIFS(j_CrAmt,j_CrAcct,$D39,j_Per,11)+IF($D39=acctTax,SUMIFS(j_TaxDr,j_Posted,1,j_Per,11)-SUMIFS(j_TaxCr,j_Posted,1,j_Per,11),0))</f>
        <v/>
      </c>
      <c r="Y39" s="95">
        <f>IF($D39="",0,SUMIFS(j_DrAmt,j_DrAcct,$D39,j_Per,12)-SUMIFS(j_CrAmt,j_CrAcct,$D39,j_Per,12)+IF($D39=acctTax,SUMIFS(j_TaxDr,j_Posted,1,j_Per,12)-SUMIFS(j_TaxCr,j_Posted,1,j_Per,12),0))</f>
        <v/>
      </c>
      <c r="Z39" s="95">
        <f>SUMPRODUCT(($N$5:$Y$5&lt;=RptIdx)*N39:Y39)</f>
        <v/>
      </c>
      <c r="AA39" s="95">
        <f>IF(AND(RptIdx&gt;=1,RptIdx&lt;=12),INDEX(N39:Y39,RptIdx),0)</f>
        <v/>
      </c>
      <c r="AB39" s="95">
        <f>IF($D39="",0,IF(RptIdx&gt;1,INDEX(N39:Y39,RptIdx-1),SUMIFS(j_DrAmt,j_DrAcct,$D39,j_Date,"&gt;="&amp;PrevStart,j_Date,"&lt;="&amp;PrevEnd)-SUMIFS(j_CrAmt,j_CrAcct,$D39,j_Date,"&gt;="&amp;PrevStart,j_Date,"&lt;="&amp;PrevEnd)+IF($D39=acctTax,SUMIFS(j_TaxDr,j_Posted,1,j_Date,"&gt;="&amp;PrevStart,j_Date,"&lt;="&amp;PrevEnd)-SUMIFS(j_TaxCr,j_Posted,1,j_Date,"&gt;="&amp;PrevStart,j_Date,"&lt;="&amp;PrevEnd),0)))</f>
        <v/>
      </c>
      <c r="AC39" s="95">
        <f>SUM(N39:Y39)</f>
        <v/>
      </c>
      <c r="AD39" s="95">
        <f>L39+M39+Z39</f>
        <v/>
      </c>
      <c r="AE39" s="95">
        <f>AD39-AA39</f>
        <v/>
      </c>
      <c r="AF39" s="58">
        <f>IF($D39="","",F39&amp;"|"&amp;COUNTIFS($F$7:F39,F39,$D$7:D39,"&lt;&gt;"))</f>
        <v/>
      </c>
      <c r="AG39" s="58">
        <f>IF(AND($D39&lt;&gt;"",H39="Cash"),"Cash|"&amp;COUNTIFS($H$7:H39,"Cash",$D$7:D39,"&lt;&gt;"),"")</f>
        <v/>
      </c>
      <c r="AH39" s="95">
        <f>IF(AND($D39&lt;&gt;"",OR(F39="Cost of Sales",F39="Operating Expense",F39="Other Expense"),Z39&gt;0),Z39+33/1000000,"")</f>
        <v/>
      </c>
      <c r="AI39" s="95">
        <f>L39+M39+SUM(N39:N39)</f>
        <v/>
      </c>
      <c r="AJ39" s="95">
        <f>L39+M39+SUM(N39:O39)</f>
        <v/>
      </c>
      <c r="AK39" s="95">
        <f>L39+M39+SUM(N39:P39)</f>
        <v/>
      </c>
      <c r="AL39" s="95">
        <f>L39+M39+SUM(N39:Q39)</f>
        <v/>
      </c>
      <c r="AM39" s="95">
        <f>L39+M39+SUM(N39:R39)</f>
        <v/>
      </c>
      <c r="AN39" s="95">
        <f>L39+M39+SUM(N39:S39)</f>
        <v/>
      </c>
      <c r="AO39" s="95">
        <f>L39+M39+SUM(N39:T39)</f>
        <v/>
      </c>
      <c r="AP39" s="95">
        <f>L39+M39+SUM(N39:U39)</f>
        <v/>
      </c>
      <c r="AQ39" s="95">
        <f>L39+M39+SUM(N39:V39)</f>
        <v/>
      </c>
      <c r="AR39" s="95">
        <f>L39+M39+SUM(N39:W39)</f>
        <v/>
      </c>
      <c r="AS39" s="95">
        <f>L39+M39+SUM(N39:X39)</f>
        <v/>
      </c>
      <c r="AT39" s="95">
        <f>L39+M39+SUM(N39:Y39)</f>
        <v/>
      </c>
    </row>
    <row r="40">
      <c r="B40" s="58" t="n">
        <v>34</v>
      </c>
      <c r="C40" s="58">
        <f>IFERROR(INDEX(coa_Name,34)&amp;"","")</f>
        <v/>
      </c>
      <c r="D40" s="58">
        <f>IF(C40="","",IF(COUNTIF($C$7:C40,C40)&gt;1,"",C40))</f>
        <v/>
      </c>
      <c r="E40" s="58">
        <f>IF($D40="","",INDEX(coa_Code,34))</f>
        <v/>
      </c>
      <c r="F40" s="58">
        <f>IF($D40="","",INDEX(coa_Type,34)&amp;"")</f>
        <v/>
      </c>
      <c r="G40" s="58">
        <f>IF($D40="","",INDEX(coa_Normal,34)&amp;"")</f>
        <v/>
      </c>
      <c r="H40" s="58">
        <f>IF($D40="","",IF(INDEX(coa_CF,34)&amp;""="","Operating",INDEX(coa_CF,34)&amp;""))</f>
        <v/>
      </c>
      <c r="I40" s="58">
        <f>IF($D40="","",IFERROR(INDEX(at_Stmt,MATCH(F40,at_Type,0)),""))</f>
        <v/>
      </c>
      <c r="J40" s="58">
        <f>IF($D40="",0,IFERROR(INDEX(at_Sign,MATCH(F40,at_Type,0)),0))</f>
        <v/>
      </c>
      <c r="K40" s="95">
        <f>IF($D40="",0,IF(G40="Credit",-1,1)*N(INDEX(coa_Open,34)))</f>
        <v/>
      </c>
      <c r="L40" s="95">
        <f>IF($D40="",0,IF($D40=acctOBE,K40-SUM($K$7:$K$156),K40))</f>
        <v/>
      </c>
      <c r="M40" s="95">
        <f>IF($D40="",0,SUMIFS(j_DrAmt,j_DrAcct,$D40,j_Per,0)-SUMIFS(j_CrAmt,j_CrAcct,$D40,j_Per,0)+IF($D40=acctTax,SUMIFS(j_TaxDr,j_Posted,1,j_Per,0)-SUMIFS(j_TaxCr,j_Posted,1,j_Per,0),0))</f>
        <v/>
      </c>
      <c r="N40" s="95">
        <f>IF($D40="",0,SUMIFS(j_DrAmt,j_DrAcct,$D40,j_Per,1)-SUMIFS(j_CrAmt,j_CrAcct,$D40,j_Per,1)+IF($D40=acctTax,SUMIFS(j_TaxDr,j_Posted,1,j_Per,1)-SUMIFS(j_TaxCr,j_Posted,1,j_Per,1),0))</f>
        <v/>
      </c>
      <c r="O40" s="95">
        <f>IF($D40="",0,SUMIFS(j_DrAmt,j_DrAcct,$D40,j_Per,2)-SUMIFS(j_CrAmt,j_CrAcct,$D40,j_Per,2)+IF($D40=acctTax,SUMIFS(j_TaxDr,j_Posted,1,j_Per,2)-SUMIFS(j_TaxCr,j_Posted,1,j_Per,2),0))</f>
        <v/>
      </c>
      <c r="P40" s="95">
        <f>IF($D40="",0,SUMIFS(j_DrAmt,j_DrAcct,$D40,j_Per,3)-SUMIFS(j_CrAmt,j_CrAcct,$D40,j_Per,3)+IF($D40=acctTax,SUMIFS(j_TaxDr,j_Posted,1,j_Per,3)-SUMIFS(j_TaxCr,j_Posted,1,j_Per,3),0))</f>
        <v/>
      </c>
      <c r="Q40" s="95">
        <f>IF($D40="",0,SUMIFS(j_DrAmt,j_DrAcct,$D40,j_Per,4)-SUMIFS(j_CrAmt,j_CrAcct,$D40,j_Per,4)+IF($D40=acctTax,SUMIFS(j_TaxDr,j_Posted,1,j_Per,4)-SUMIFS(j_TaxCr,j_Posted,1,j_Per,4),0))</f>
        <v/>
      </c>
      <c r="R40" s="95">
        <f>IF($D40="",0,SUMIFS(j_DrAmt,j_DrAcct,$D40,j_Per,5)-SUMIFS(j_CrAmt,j_CrAcct,$D40,j_Per,5)+IF($D40=acctTax,SUMIFS(j_TaxDr,j_Posted,1,j_Per,5)-SUMIFS(j_TaxCr,j_Posted,1,j_Per,5),0))</f>
        <v/>
      </c>
      <c r="S40" s="95">
        <f>IF($D40="",0,SUMIFS(j_DrAmt,j_DrAcct,$D40,j_Per,6)-SUMIFS(j_CrAmt,j_CrAcct,$D40,j_Per,6)+IF($D40=acctTax,SUMIFS(j_TaxDr,j_Posted,1,j_Per,6)-SUMIFS(j_TaxCr,j_Posted,1,j_Per,6),0))</f>
        <v/>
      </c>
      <c r="T40" s="95">
        <f>IF($D40="",0,SUMIFS(j_DrAmt,j_DrAcct,$D40,j_Per,7)-SUMIFS(j_CrAmt,j_CrAcct,$D40,j_Per,7)+IF($D40=acctTax,SUMIFS(j_TaxDr,j_Posted,1,j_Per,7)-SUMIFS(j_TaxCr,j_Posted,1,j_Per,7),0))</f>
        <v/>
      </c>
      <c r="U40" s="95">
        <f>IF($D40="",0,SUMIFS(j_DrAmt,j_DrAcct,$D40,j_Per,8)-SUMIFS(j_CrAmt,j_CrAcct,$D40,j_Per,8)+IF($D40=acctTax,SUMIFS(j_TaxDr,j_Posted,1,j_Per,8)-SUMIFS(j_TaxCr,j_Posted,1,j_Per,8),0))</f>
        <v/>
      </c>
      <c r="V40" s="95">
        <f>IF($D40="",0,SUMIFS(j_DrAmt,j_DrAcct,$D40,j_Per,9)-SUMIFS(j_CrAmt,j_CrAcct,$D40,j_Per,9)+IF($D40=acctTax,SUMIFS(j_TaxDr,j_Posted,1,j_Per,9)-SUMIFS(j_TaxCr,j_Posted,1,j_Per,9),0))</f>
        <v/>
      </c>
      <c r="W40" s="95">
        <f>IF($D40="",0,SUMIFS(j_DrAmt,j_DrAcct,$D40,j_Per,10)-SUMIFS(j_CrAmt,j_CrAcct,$D40,j_Per,10)+IF($D40=acctTax,SUMIFS(j_TaxDr,j_Posted,1,j_Per,10)-SUMIFS(j_TaxCr,j_Posted,1,j_Per,10),0))</f>
        <v/>
      </c>
      <c r="X40" s="95">
        <f>IF($D40="",0,SUMIFS(j_DrAmt,j_DrAcct,$D40,j_Per,11)-SUMIFS(j_CrAmt,j_CrAcct,$D40,j_Per,11)+IF($D40=acctTax,SUMIFS(j_TaxDr,j_Posted,1,j_Per,11)-SUMIFS(j_TaxCr,j_Posted,1,j_Per,11),0))</f>
        <v/>
      </c>
      <c r="Y40" s="95">
        <f>IF($D40="",0,SUMIFS(j_DrAmt,j_DrAcct,$D40,j_Per,12)-SUMIFS(j_CrAmt,j_CrAcct,$D40,j_Per,12)+IF($D40=acctTax,SUMIFS(j_TaxDr,j_Posted,1,j_Per,12)-SUMIFS(j_TaxCr,j_Posted,1,j_Per,12),0))</f>
        <v/>
      </c>
      <c r="Z40" s="95">
        <f>SUMPRODUCT(($N$5:$Y$5&lt;=RptIdx)*N40:Y40)</f>
        <v/>
      </c>
      <c r="AA40" s="95">
        <f>IF(AND(RptIdx&gt;=1,RptIdx&lt;=12),INDEX(N40:Y40,RptIdx),0)</f>
        <v/>
      </c>
      <c r="AB40" s="95">
        <f>IF($D40="",0,IF(RptIdx&gt;1,INDEX(N40:Y40,RptIdx-1),SUMIFS(j_DrAmt,j_DrAcct,$D40,j_Date,"&gt;="&amp;PrevStart,j_Date,"&lt;="&amp;PrevEnd)-SUMIFS(j_CrAmt,j_CrAcct,$D40,j_Date,"&gt;="&amp;PrevStart,j_Date,"&lt;="&amp;PrevEnd)+IF($D40=acctTax,SUMIFS(j_TaxDr,j_Posted,1,j_Date,"&gt;="&amp;PrevStart,j_Date,"&lt;="&amp;PrevEnd)-SUMIFS(j_TaxCr,j_Posted,1,j_Date,"&gt;="&amp;PrevStart,j_Date,"&lt;="&amp;PrevEnd),0)))</f>
        <v/>
      </c>
      <c r="AC40" s="95">
        <f>SUM(N40:Y40)</f>
        <v/>
      </c>
      <c r="AD40" s="95">
        <f>L40+M40+Z40</f>
        <v/>
      </c>
      <c r="AE40" s="95">
        <f>AD40-AA40</f>
        <v/>
      </c>
      <c r="AF40" s="58">
        <f>IF($D40="","",F40&amp;"|"&amp;COUNTIFS($F$7:F40,F40,$D$7:D40,"&lt;&gt;"))</f>
        <v/>
      </c>
      <c r="AG40" s="58">
        <f>IF(AND($D40&lt;&gt;"",H40="Cash"),"Cash|"&amp;COUNTIFS($H$7:H40,"Cash",$D$7:D40,"&lt;&gt;"),"")</f>
        <v/>
      </c>
      <c r="AH40" s="95">
        <f>IF(AND($D40&lt;&gt;"",OR(F40="Cost of Sales",F40="Operating Expense",F40="Other Expense"),Z40&gt;0),Z40+34/1000000,"")</f>
        <v/>
      </c>
      <c r="AI40" s="95">
        <f>L40+M40+SUM(N40:N40)</f>
        <v/>
      </c>
      <c r="AJ40" s="95">
        <f>L40+M40+SUM(N40:O40)</f>
        <v/>
      </c>
      <c r="AK40" s="95">
        <f>L40+M40+SUM(N40:P40)</f>
        <v/>
      </c>
      <c r="AL40" s="95">
        <f>L40+M40+SUM(N40:Q40)</f>
        <v/>
      </c>
      <c r="AM40" s="95">
        <f>L40+M40+SUM(N40:R40)</f>
        <v/>
      </c>
      <c r="AN40" s="95">
        <f>L40+M40+SUM(N40:S40)</f>
        <v/>
      </c>
      <c r="AO40" s="95">
        <f>L40+M40+SUM(N40:T40)</f>
        <v/>
      </c>
      <c r="AP40" s="95">
        <f>L40+M40+SUM(N40:U40)</f>
        <v/>
      </c>
      <c r="AQ40" s="95">
        <f>L40+M40+SUM(N40:V40)</f>
        <v/>
      </c>
      <c r="AR40" s="95">
        <f>L40+M40+SUM(N40:W40)</f>
        <v/>
      </c>
      <c r="AS40" s="95">
        <f>L40+M40+SUM(N40:X40)</f>
        <v/>
      </c>
      <c r="AT40" s="95">
        <f>L40+M40+SUM(N40:Y40)</f>
        <v/>
      </c>
    </row>
    <row r="41">
      <c r="B41" s="58" t="n">
        <v>35</v>
      </c>
      <c r="C41" s="58">
        <f>IFERROR(INDEX(coa_Name,35)&amp;"","")</f>
        <v/>
      </c>
      <c r="D41" s="58">
        <f>IF(C41="","",IF(COUNTIF($C$7:C41,C41)&gt;1,"",C41))</f>
        <v/>
      </c>
      <c r="E41" s="58">
        <f>IF($D41="","",INDEX(coa_Code,35))</f>
        <v/>
      </c>
      <c r="F41" s="58">
        <f>IF($D41="","",INDEX(coa_Type,35)&amp;"")</f>
        <v/>
      </c>
      <c r="G41" s="58">
        <f>IF($D41="","",INDEX(coa_Normal,35)&amp;"")</f>
        <v/>
      </c>
      <c r="H41" s="58">
        <f>IF($D41="","",IF(INDEX(coa_CF,35)&amp;""="","Operating",INDEX(coa_CF,35)&amp;""))</f>
        <v/>
      </c>
      <c r="I41" s="58">
        <f>IF($D41="","",IFERROR(INDEX(at_Stmt,MATCH(F41,at_Type,0)),""))</f>
        <v/>
      </c>
      <c r="J41" s="58">
        <f>IF($D41="",0,IFERROR(INDEX(at_Sign,MATCH(F41,at_Type,0)),0))</f>
        <v/>
      </c>
      <c r="K41" s="95">
        <f>IF($D41="",0,IF(G41="Credit",-1,1)*N(INDEX(coa_Open,35)))</f>
        <v/>
      </c>
      <c r="L41" s="95">
        <f>IF($D41="",0,IF($D41=acctOBE,K41-SUM($K$7:$K$156),K41))</f>
        <v/>
      </c>
      <c r="M41" s="95">
        <f>IF($D41="",0,SUMIFS(j_DrAmt,j_DrAcct,$D41,j_Per,0)-SUMIFS(j_CrAmt,j_CrAcct,$D41,j_Per,0)+IF($D41=acctTax,SUMIFS(j_TaxDr,j_Posted,1,j_Per,0)-SUMIFS(j_TaxCr,j_Posted,1,j_Per,0),0))</f>
        <v/>
      </c>
      <c r="N41" s="95">
        <f>IF($D41="",0,SUMIFS(j_DrAmt,j_DrAcct,$D41,j_Per,1)-SUMIFS(j_CrAmt,j_CrAcct,$D41,j_Per,1)+IF($D41=acctTax,SUMIFS(j_TaxDr,j_Posted,1,j_Per,1)-SUMIFS(j_TaxCr,j_Posted,1,j_Per,1),0))</f>
        <v/>
      </c>
      <c r="O41" s="95">
        <f>IF($D41="",0,SUMIFS(j_DrAmt,j_DrAcct,$D41,j_Per,2)-SUMIFS(j_CrAmt,j_CrAcct,$D41,j_Per,2)+IF($D41=acctTax,SUMIFS(j_TaxDr,j_Posted,1,j_Per,2)-SUMIFS(j_TaxCr,j_Posted,1,j_Per,2),0))</f>
        <v/>
      </c>
      <c r="P41" s="95">
        <f>IF($D41="",0,SUMIFS(j_DrAmt,j_DrAcct,$D41,j_Per,3)-SUMIFS(j_CrAmt,j_CrAcct,$D41,j_Per,3)+IF($D41=acctTax,SUMIFS(j_TaxDr,j_Posted,1,j_Per,3)-SUMIFS(j_TaxCr,j_Posted,1,j_Per,3),0))</f>
        <v/>
      </c>
      <c r="Q41" s="95">
        <f>IF($D41="",0,SUMIFS(j_DrAmt,j_DrAcct,$D41,j_Per,4)-SUMIFS(j_CrAmt,j_CrAcct,$D41,j_Per,4)+IF($D41=acctTax,SUMIFS(j_TaxDr,j_Posted,1,j_Per,4)-SUMIFS(j_TaxCr,j_Posted,1,j_Per,4),0))</f>
        <v/>
      </c>
      <c r="R41" s="95">
        <f>IF($D41="",0,SUMIFS(j_DrAmt,j_DrAcct,$D41,j_Per,5)-SUMIFS(j_CrAmt,j_CrAcct,$D41,j_Per,5)+IF($D41=acctTax,SUMIFS(j_TaxDr,j_Posted,1,j_Per,5)-SUMIFS(j_TaxCr,j_Posted,1,j_Per,5),0))</f>
        <v/>
      </c>
      <c r="S41" s="95">
        <f>IF($D41="",0,SUMIFS(j_DrAmt,j_DrAcct,$D41,j_Per,6)-SUMIFS(j_CrAmt,j_CrAcct,$D41,j_Per,6)+IF($D41=acctTax,SUMIFS(j_TaxDr,j_Posted,1,j_Per,6)-SUMIFS(j_TaxCr,j_Posted,1,j_Per,6),0))</f>
        <v/>
      </c>
      <c r="T41" s="95">
        <f>IF($D41="",0,SUMIFS(j_DrAmt,j_DrAcct,$D41,j_Per,7)-SUMIFS(j_CrAmt,j_CrAcct,$D41,j_Per,7)+IF($D41=acctTax,SUMIFS(j_TaxDr,j_Posted,1,j_Per,7)-SUMIFS(j_TaxCr,j_Posted,1,j_Per,7),0))</f>
        <v/>
      </c>
      <c r="U41" s="95">
        <f>IF($D41="",0,SUMIFS(j_DrAmt,j_DrAcct,$D41,j_Per,8)-SUMIFS(j_CrAmt,j_CrAcct,$D41,j_Per,8)+IF($D41=acctTax,SUMIFS(j_TaxDr,j_Posted,1,j_Per,8)-SUMIFS(j_TaxCr,j_Posted,1,j_Per,8),0))</f>
        <v/>
      </c>
      <c r="V41" s="95">
        <f>IF($D41="",0,SUMIFS(j_DrAmt,j_DrAcct,$D41,j_Per,9)-SUMIFS(j_CrAmt,j_CrAcct,$D41,j_Per,9)+IF($D41=acctTax,SUMIFS(j_TaxDr,j_Posted,1,j_Per,9)-SUMIFS(j_TaxCr,j_Posted,1,j_Per,9),0))</f>
        <v/>
      </c>
      <c r="W41" s="95">
        <f>IF($D41="",0,SUMIFS(j_DrAmt,j_DrAcct,$D41,j_Per,10)-SUMIFS(j_CrAmt,j_CrAcct,$D41,j_Per,10)+IF($D41=acctTax,SUMIFS(j_TaxDr,j_Posted,1,j_Per,10)-SUMIFS(j_TaxCr,j_Posted,1,j_Per,10),0))</f>
        <v/>
      </c>
      <c r="X41" s="95">
        <f>IF($D41="",0,SUMIFS(j_DrAmt,j_DrAcct,$D41,j_Per,11)-SUMIFS(j_CrAmt,j_CrAcct,$D41,j_Per,11)+IF($D41=acctTax,SUMIFS(j_TaxDr,j_Posted,1,j_Per,11)-SUMIFS(j_TaxCr,j_Posted,1,j_Per,11),0))</f>
        <v/>
      </c>
      <c r="Y41" s="95">
        <f>IF($D41="",0,SUMIFS(j_DrAmt,j_DrAcct,$D41,j_Per,12)-SUMIFS(j_CrAmt,j_CrAcct,$D41,j_Per,12)+IF($D41=acctTax,SUMIFS(j_TaxDr,j_Posted,1,j_Per,12)-SUMIFS(j_TaxCr,j_Posted,1,j_Per,12),0))</f>
        <v/>
      </c>
      <c r="Z41" s="95">
        <f>SUMPRODUCT(($N$5:$Y$5&lt;=RptIdx)*N41:Y41)</f>
        <v/>
      </c>
      <c r="AA41" s="95">
        <f>IF(AND(RptIdx&gt;=1,RptIdx&lt;=12),INDEX(N41:Y41,RptIdx),0)</f>
        <v/>
      </c>
      <c r="AB41" s="95">
        <f>IF($D41="",0,IF(RptIdx&gt;1,INDEX(N41:Y41,RptIdx-1),SUMIFS(j_DrAmt,j_DrAcct,$D41,j_Date,"&gt;="&amp;PrevStart,j_Date,"&lt;="&amp;PrevEnd)-SUMIFS(j_CrAmt,j_CrAcct,$D41,j_Date,"&gt;="&amp;PrevStart,j_Date,"&lt;="&amp;PrevEnd)+IF($D41=acctTax,SUMIFS(j_TaxDr,j_Posted,1,j_Date,"&gt;="&amp;PrevStart,j_Date,"&lt;="&amp;PrevEnd)-SUMIFS(j_TaxCr,j_Posted,1,j_Date,"&gt;="&amp;PrevStart,j_Date,"&lt;="&amp;PrevEnd),0)))</f>
        <v/>
      </c>
      <c r="AC41" s="95">
        <f>SUM(N41:Y41)</f>
        <v/>
      </c>
      <c r="AD41" s="95">
        <f>L41+M41+Z41</f>
        <v/>
      </c>
      <c r="AE41" s="95">
        <f>AD41-AA41</f>
        <v/>
      </c>
      <c r="AF41" s="58">
        <f>IF($D41="","",F41&amp;"|"&amp;COUNTIFS($F$7:F41,F41,$D$7:D41,"&lt;&gt;"))</f>
        <v/>
      </c>
      <c r="AG41" s="58">
        <f>IF(AND($D41&lt;&gt;"",H41="Cash"),"Cash|"&amp;COUNTIFS($H$7:H41,"Cash",$D$7:D41,"&lt;&gt;"),"")</f>
        <v/>
      </c>
      <c r="AH41" s="95">
        <f>IF(AND($D41&lt;&gt;"",OR(F41="Cost of Sales",F41="Operating Expense",F41="Other Expense"),Z41&gt;0),Z41+35/1000000,"")</f>
        <v/>
      </c>
      <c r="AI41" s="95">
        <f>L41+M41+SUM(N41:N41)</f>
        <v/>
      </c>
      <c r="AJ41" s="95">
        <f>L41+M41+SUM(N41:O41)</f>
        <v/>
      </c>
      <c r="AK41" s="95">
        <f>L41+M41+SUM(N41:P41)</f>
        <v/>
      </c>
      <c r="AL41" s="95">
        <f>L41+M41+SUM(N41:Q41)</f>
        <v/>
      </c>
      <c r="AM41" s="95">
        <f>L41+M41+SUM(N41:R41)</f>
        <v/>
      </c>
      <c r="AN41" s="95">
        <f>L41+M41+SUM(N41:S41)</f>
        <v/>
      </c>
      <c r="AO41" s="95">
        <f>L41+M41+SUM(N41:T41)</f>
        <v/>
      </c>
      <c r="AP41" s="95">
        <f>L41+M41+SUM(N41:U41)</f>
        <v/>
      </c>
      <c r="AQ41" s="95">
        <f>L41+M41+SUM(N41:V41)</f>
        <v/>
      </c>
      <c r="AR41" s="95">
        <f>L41+M41+SUM(N41:W41)</f>
        <v/>
      </c>
      <c r="AS41" s="95">
        <f>L41+M41+SUM(N41:X41)</f>
        <v/>
      </c>
      <c r="AT41" s="95">
        <f>L41+M41+SUM(N41:Y41)</f>
        <v/>
      </c>
    </row>
    <row r="42">
      <c r="B42" s="58" t="n">
        <v>36</v>
      </c>
      <c r="C42" s="58">
        <f>IFERROR(INDEX(coa_Name,36)&amp;"","")</f>
        <v/>
      </c>
      <c r="D42" s="58">
        <f>IF(C42="","",IF(COUNTIF($C$7:C42,C42)&gt;1,"",C42))</f>
        <v/>
      </c>
      <c r="E42" s="58">
        <f>IF($D42="","",INDEX(coa_Code,36))</f>
        <v/>
      </c>
      <c r="F42" s="58">
        <f>IF($D42="","",INDEX(coa_Type,36)&amp;"")</f>
        <v/>
      </c>
      <c r="G42" s="58">
        <f>IF($D42="","",INDEX(coa_Normal,36)&amp;"")</f>
        <v/>
      </c>
      <c r="H42" s="58">
        <f>IF($D42="","",IF(INDEX(coa_CF,36)&amp;""="","Operating",INDEX(coa_CF,36)&amp;""))</f>
        <v/>
      </c>
      <c r="I42" s="58">
        <f>IF($D42="","",IFERROR(INDEX(at_Stmt,MATCH(F42,at_Type,0)),""))</f>
        <v/>
      </c>
      <c r="J42" s="58">
        <f>IF($D42="",0,IFERROR(INDEX(at_Sign,MATCH(F42,at_Type,0)),0))</f>
        <v/>
      </c>
      <c r="K42" s="95">
        <f>IF($D42="",0,IF(G42="Credit",-1,1)*N(INDEX(coa_Open,36)))</f>
        <v/>
      </c>
      <c r="L42" s="95">
        <f>IF($D42="",0,IF($D42=acctOBE,K42-SUM($K$7:$K$156),K42))</f>
        <v/>
      </c>
      <c r="M42" s="95">
        <f>IF($D42="",0,SUMIFS(j_DrAmt,j_DrAcct,$D42,j_Per,0)-SUMIFS(j_CrAmt,j_CrAcct,$D42,j_Per,0)+IF($D42=acctTax,SUMIFS(j_TaxDr,j_Posted,1,j_Per,0)-SUMIFS(j_TaxCr,j_Posted,1,j_Per,0),0))</f>
        <v/>
      </c>
      <c r="N42" s="95">
        <f>IF($D42="",0,SUMIFS(j_DrAmt,j_DrAcct,$D42,j_Per,1)-SUMIFS(j_CrAmt,j_CrAcct,$D42,j_Per,1)+IF($D42=acctTax,SUMIFS(j_TaxDr,j_Posted,1,j_Per,1)-SUMIFS(j_TaxCr,j_Posted,1,j_Per,1),0))</f>
        <v/>
      </c>
      <c r="O42" s="95">
        <f>IF($D42="",0,SUMIFS(j_DrAmt,j_DrAcct,$D42,j_Per,2)-SUMIFS(j_CrAmt,j_CrAcct,$D42,j_Per,2)+IF($D42=acctTax,SUMIFS(j_TaxDr,j_Posted,1,j_Per,2)-SUMIFS(j_TaxCr,j_Posted,1,j_Per,2),0))</f>
        <v/>
      </c>
      <c r="P42" s="95">
        <f>IF($D42="",0,SUMIFS(j_DrAmt,j_DrAcct,$D42,j_Per,3)-SUMIFS(j_CrAmt,j_CrAcct,$D42,j_Per,3)+IF($D42=acctTax,SUMIFS(j_TaxDr,j_Posted,1,j_Per,3)-SUMIFS(j_TaxCr,j_Posted,1,j_Per,3),0))</f>
        <v/>
      </c>
      <c r="Q42" s="95">
        <f>IF($D42="",0,SUMIFS(j_DrAmt,j_DrAcct,$D42,j_Per,4)-SUMIFS(j_CrAmt,j_CrAcct,$D42,j_Per,4)+IF($D42=acctTax,SUMIFS(j_TaxDr,j_Posted,1,j_Per,4)-SUMIFS(j_TaxCr,j_Posted,1,j_Per,4),0))</f>
        <v/>
      </c>
      <c r="R42" s="95">
        <f>IF($D42="",0,SUMIFS(j_DrAmt,j_DrAcct,$D42,j_Per,5)-SUMIFS(j_CrAmt,j_CrAcct,$D42,j_Per,5)+IF($D42=acctTax,SUMIFS(j_TaxDr,j_Posted,1,j_Per,5)-SUMIFS(j_TaxCr,j_Posted,1,j_Per,5),0))</f>
        <v/>
      </c>
      <c r="S42" s="95">
        <f>IF($D42="",0,SUMIFS(j_DrAmt,j_DrAcct,$D42,j_Per,6)-SUMIFS(j_CrAmt,j_CrAcct,$D42,j_Per,6)+IF($D42=acctTax,SUMIFS(j_TaxDr,j_Posted,1,j_Per,6)-SUMIFS(j_TaxCr,j_Posted,1,j_Per,6),0))</f>
        <v/>
      </c>
      <c r="T42" s="95">
        <f>IF($D42="",0,SUMIFS(j_DrAmt,j_DrAcct,$D42,j_Per,7)-SUMIFS(j_CrAmt,j_CrAcct,$D42,j_Per,7)+IF($D42=acctTax,SUMIFS(j_TaxDr,j_Posted,1,j_Per,7)-SUMIFS(j_TaxCr,j_Posted,1,j_Per,7),0))</f>
        <v/>
      </c>
      <c r="U42" s="95">
        <f>IF($D42="",0,SUMIFS(j_DrAmt,j_DrAcct,$D42,j_Per,8)-SUMIFS(j_CrAmt,j_CrAcct,$D42,j_Per,8)+IF($D42=acctTax,SUMIFS(j_TaxDr,j_Posted,1,j_Per,8)-SUMIFS(j_TaxCr,j_Posted,1,j_Per,8),0))</f>
        <v/>
      </c>
      <c r="V42" s="95">
        <f>IF($D42="",0,SUMIFS(j_DrAmt,j_DrAcct,$D42,j_Per,9)-SUMIFS(j_CrAmt,j_CrAcct,$D42,j_Per,9)+IF($D42=acctTax,SUMIFS(j_TaxDr,j_Posted,1,j_Per,9)-SUMIFS(j_TaxCr,j_Posted,1,j_Per,9),0))</f>
        <v/>
      </c>
      <c r="W42" s="95">
        <f>IF($D42="",0,SUMIFS(j_DrAmt,j_DrAcct,$D42,j_Per,10)-SUMIFS(j_CrAmt,j_CrAcct,$D42,j_Per,10)+IF($D42=acctTax,SUMIFS(j_TaxDr,j_Posted,1,j_Per,10)-SUMIFS(j_TaxCr,j_Posted,1,j_Per,10),0))</f>
        <v/>
      </c>
      <c r="X42" s="95">
        <f>IF($D42="",0,SUMIFS(j_DrAmt,j_DrAcct,$D42,j_Per,11)-SUMIFS(j_CrAmt,j_CrAcct,$D42,j_Per,11)+IF($D42=acctTax,SUMIFS(j_TaxDr,j_Posted,1,j_Per,11)-SUMIFS(j_TaxCr,j_Posted,1,j_Per,11),0))</f>
        <v/>
      </c>
      <c r="Y42" s="95">
        <f>IF($D42="",0,SUMIFS(j_DrAmt,j_DrAcct,$D42,j_Per,12)-SUMIFS(j_CrAmt,j_CrAcct,$D42,j_Per,12)+IF($D42=acctTax,SUMIFS(j_TaxDr,j_Posted,1,j_Per,12)-SUMIFS(j_TaxCr,j_Posted,1,j_Per,12),0))</f>
        <v/>
      </c>
      <c r="Z42" s="95">
        <f>SUMPRODUCT(($N$5:$Y$5&lt;=RptIdx)*N42:Y42)</f>
        <v/>
      </c>
      <c r="AA42" s="95">
        <f>IF(AND(RptIdx&gt;=1,RptIdx&lt;=12),INDEX(N42:Y42,RptIdx),0)</f>
        <v/>
      </c>
      <c r="AB42" s="95">
        <f>IF($D42="",0,IF(RptIdx&gt;1,INDEX(N42:Y42,RptIdx-1),SUMIFS(j_DrAmt,j_DrAcct,$D42,j_Date,"&gt;="&amp;PrevStart,j_Date,"&lt;="&amp;PrevEnd)-SUMIFS(j_CrAmt,j_CrAcct,$D42,j_Date,"&gt;="&amp;PrevStart,j_Date,"&lt;="&amp;PrevEnd)+IF($D42=acctTax,SUMIFS(j_TaxDr,j_Posted,1,j_Date,"&gt;="&amp;PrevStart,j_Date,"&lt;="&amp;PrevEnd)-SUMIFS(j_TaxCr,j_Posted,1,j_Date,"&gt;="&amp;PrevStart,j_Date,"&lt;="&amp;PrevEnd),0)))</f>
        <v/>
      </c>
      <c r="AC42" s="95">
        <f>SUM(N42:Y42)</f>
        <v/>
      </c>
      <c r="AD42" s="95">
        <f>L42+M42+Z42</f>
        <v/>
      </c>
      <c r="AE42" s="95">
        <f>AD42-AA42</f>
        <v/>
      </c>
      <c r="AF42" s="58">
        <f>IF($D42="","",F42&amp;"|"&amp;COUNTIFS($F$7:F42,F42,$D$7:D42,"&lt;&gt;"))</f>
        <v/>
      </c>
      <c r="AG42" s="58">
        <f>IF(AND($D42&lt;&gt;"",H42="Cash"),"Cash|"&amp;COUNTIFS($H$7:H42,"Cash",$D$7:D42,"&lt;&gt;"),"")</f>
        <v/>
      </c>
      <c r="AH42" s="95">
        <f>IF(AND($D42&lt;&gt;"",OR(F42="Cost of Sales",F42="Operating Expense",F42="Other Expense"),Z42&gt;0),Z42+36/1000000,"")</f>
        <v/>
      </c>
      <c r="AI42" s="95">
        <f>L42+M42+SUM(N42:N42)</f>
        <v/>
      </c>
      <c r="AJ42" s="95">
        <f>L42+M42+SUM(N42:O42)</f>
        <v/>
      </c>
      <c r="AK42" s="95">
        <f>L42+M42+SUM(N42:P42)</f>
        <v/>
      </c>
      <c r="AL42" s="95">
        <f>L42+M42+SUM(N42:Q42)</f>
        <v/>
      </c>
      <c r="AM42" s="95">
        <f>L42+M42+SUM(N42:R42)</f>
        <v/>
      </c>
      <c r="AN42" s="95">
        <f>L42+M42+SUM(N42:S42)</f>
        <v/>
      </c>
      <c r="AO42" s="95">
        <f>L42+M42+SUM(N42:T42)</f>
        <v/>
      </c>
      <c r="AP42" s="95">
        <f>L42+M42+SUM(N42:U42)</f>
        <v/>
      </c>
      <c r="AQ42" s="95">
        <f>L42+M42+SUM(N42:V42)</f>
        <v/>
      </c>
      <c r="AR42" s="95">
        <f>L42+M42+SUM(N42:W42)</f>
        <v/>
      </c>
      <c r="AS42" s="95">
        <f>L42+M42+SUM(N42:X42)</f>
        <v/>
      </c>
      <c r="AT42" s="95">
        <f>L42+M42+SUM(N42:Y42)</f>
        <v/>
      </c>
    </row>
    <row r="43">
      <c r="B43" s="58" t="n">
        <v>37</v>
      </c>
      <c r="C43" s="58">
        <f>IFERROR(INDEX(coa_Name,37)&amp;"","")</f>
        <v/>
      </c>
      <c r="D43" s="58">
        <f>IF(C43="","",IF(COUNTIF($C$7:C43,C43)&gt;1,"",C43))</f>
        <v/>
      </c>
      <c r="E43" s="58">
        <f>IF($D43="","",INDEX(coa_Code,37))</f>
        <v/>
      </c>
      <c r="F43" s="58">
        <f>IF($D43="","",INDEX(coa_Type,37)&amp;"")</f>
        <v/>
      </c>
      <c r="G43" s="58">
        <f>IF($D43="","",INDEX(coa_Normal,37)&amp;"")</f>
        <v/>
      </c>
      <c r="H43" s="58">
        <f>IF($D43="","",IF(INDEX(coa_CF,37)&amp;""="","Operating",INDEX(coa_CF,37)&amp;""))</f>
        <v/>
      </c>
      <c r="I43" s="58">
        <f>IF($D43="","",IFERROR(INDEX(at_Stmt,MATCH(F43,at_Type,0)),""))</f>
        <v/>
      </c>
      <c r="J43" s="58">
        <f>IF($D43="",0,IFERROR(INDEX(at_Sign,MATCH(F43,at_Type,0)),0))</f>
        <v/>
      </c>
      <c r="K43" s="95">
        <f>IF($D43="",0,IF(G43="Credit",-1,1)*N(INDEX(coa_Open,37)))</f>
        <v/>
      </c>
      <c r="L43" s="95">
        <f>IF($D43="",0,IF($D43=acctOBE,K43-SUM($K$7:$K$156),K43))</f>
        <v/>
      </c>
      <c r="M43" s="95">
        <f>IF($D43="",0,SUMIFS(j_DrAmt,j_DrAcct,$D43,j_Per,0)-SUMIFS(j_CrAmt,j_CrAcct,$D43,j_Per,0)+IF($D43=acctTax,SUMIFS(j_TaxDr,j_Posted,1,j_Per,0)-SUMIFS(j_TaxCr,j_Posted,1,j_Per,0),0))</f>
        <v/>
      </c>
      <c r="N43" s="95">
        <f>IF($D43="",0,SUMIFS(j_DrAmt,j_DrAcct,$D43,j_Per,1)-SUMIFS(j_CrAmt,j_CrAcct,$D43,j_Per,1)+IF($D43=acctTax,SUMIFS(j_TaxDr,j_Posted,1,j_Per,1)-SUMIFS(j_TaxCr,j_Posted,1,j_Per,1),0))</f>
        <v/>
      </c>
      <c r="O43" s="95">
        <f>IF($D43="",0,SUMIFS(j_DrAmt,j_DrAcct,$D43,j_Per,2)-SUMIFS(j_CrAmt,j_CrAcct,$D43,j_Per,2)+IF($D43=acctTax,SUMIFS(j_TaxDr,j_Posted,1,j_Per,2)-SUMIFS(j_TaxCr,j_Posted,1,j_Per,2),0))</f>
        <v/>
      </c>
      <c r="P43" s="95">
        <f>IF($D43="",0,SUMIFS(j_DrAmt,j_DrAcct,$D43,j_Per,3)-SUMIFS(j_CrAmt,j_CrAcct,$D43,j_Per,3)+IF($D43=acctTax,SUMIFS(j_TaxDr,j_Posted,1,j_Per,3)-SUMIFS(j_TaxCr,j_Posted,1,j_Per,3),0))</f>
        <v/>
      </c>
      <c r="Q43" s="95">
        <f>IF($D43="",0,SUMIFS(j_DrAmt,j_DrAcct,$D43,j_Per,4)-SUMIFS(j_CrAmt,j_CrAcct,$D43,j_Per,4)+IF($D43=acctTax,SUMIFS(j_TaxDr,j_Posted,1,j_Per,4)-SUMIFS(j_TaxCr,j_Posted,1,j_Per,4),0))</f>
        <v/>
      </c>
      <c r="R43" s="95">
        <f>IF($D43="",0,SUMIFS(j_DrAmt,j_DrAcct,$D43,j_Per,5)-SUMIFS(j_CrAmt,j_CrAcct,$D43,j_Per,5)+IF($D43=acctTax,SUMIFS(j_TaxDr,j_Posted,1,j_Per,5)-SUMIFS(j_TaxCr,j_Posted,1,j_Per,5),0))</f>
        <v/>
      </c>
      <c r="S43" s="95">
        <f>IF($D43="",0,SUMIFS(j_DrAmt,j_DrAcct,$D43,j_Per,6)-SUMIFS(j_CrAmt,j_CrAcct,$D43,j_Per,6)+IF($D43=acctTax,SUMIFS(j_TaxDr,j_Posted,1,j_Per,6)-SUMIFS(j_TaxCr,j_Posted,1,j_Per,6),0))</f>
        <v/>
      </c>
      <c r="T43" s="95">
        <f>IF($D43="",0,SUMIFS(j_DrAmt,j_DrAcct,$D43,j_Per,7)-SUMIFS(j_CrAmt,j_CrAcct,$D43,j_Per,7)+IF($D43=acctTax,SUMIFS(j_TaxDr,j_Posted,1,j_Per,7)-SUMIFS(j_TaxCr,j_Posted,1,j_Per,7),0))</f>
        <v/>
      </c>
      <c r="U43" s="95">
        <f>IF($D43="",0,SUMIFS(j_DrAmt,j_DrAcct,$D43,j_Per,8)-SUMIFS(j_CrAmt,j_CrAcct,$D43,j_Per,8)+IF($D43=acctTax,SUMIFS(j_TaxDr,j_Posted,1,j_Per,8)-SUMIFS(j_TaxCr,j_Posted,1,j_Per,8),0))</f>
        <v/>
      </c>
      <c r="V43" s="95">
        <f>IF($D43="",0,SUMIFS(j_DrAmt,j_DrAcct,$D43,j_Per,9)-SUMIFS(j_CrAmt,j_CrAcct,$D43,j_Per,9)+IF($D43=acctTax,SUMIFS(j_TaxDr,j_Posted,1,j_Per,9)-SUMIFS(j_TaxCr,j_Posted,1,j_Per,9),0))</f>
        <v/>
      </c>
      <c r="W43" s="95">
        <f>IF($D43="",0,SUMIFS(j_DrAmt,j_DrAcct,$D43,j_Per,10)-SUMIFS(j_CrAmt,j_CrAcct,$D43,j_Per,10)+IF($D43=acctTax,SUMIFS(j_TaxDr,j_Posted,1,j_Per,10)-SUMIFS(j_TaxCr,j_Posted,1,j_Per,10),0))</f>
        <v/>
      </c>
      <c r="X43" s="95">
        <f>IF($D43="",0,SUMIFS(j_DrAmt,j_DrAcct,$D43,j_Per,11)-SUMIFS(j_CrAmt,j_CrAcct,$D43,j_Per,11)+IF($D43=acctTax,SUMIFS(j_TaxDr,j_Posted,1,j_Per,11)-SUMIFS(j_TaxCr,j_Posted,1,j_Per,11),0))</f>
        <v/>
      </c>
      <c r="Y43" s="95">
        <f>IF($D43="",0,SUMIFS(j_DrAmt,j_DrAcct,$D43,j_Per,12)-SUMIFS(j_CrAmt,j_CrAcct,$D43,j_Per,12)+IF($D43=acctTax,SUMIFS(j_TaxDr,j_Posted,1,j_Per,12)-SUMIFS(j_TaxCr,j_Posted,1,j_Per,12),0))</f>
        <v/>
      </c>
      <c r="Z43" s="95">
        <f>SUMPRODUCT(($N$5:$Y$5&lt;=RptIdx)*N43:Y43)</f>
        <v/>
      </c>
      <c r="AA43" s="95">
        <f>IF(AND(RptIdx&gt;=1,RptIdx&lt;=12),INDEX(N43:Y43,RptIdx),0)</f>
        <v/>
      </c>
      <c r="AB43" s="95">
        <f>IF($D43="",0,IF(RptIdx&gt;1,INDEX(N43:Y43,RptIdx-1),SUMIFS(j_DrAmt,j_DrAcct,$D43,j_Date,"&gt;="&amp;PrevStart,j_Date,"&lt;="&amp;PrevEnd)-SUMIFS(j_CrAmt,j_CrAcct,$D43,j_Date,"&gt;="&amp;PrevStart,j_Date,"&lt;="&amp;PrevEnd)+IF($D43=acctTax,SUMIFS(j_TaxDr,j_Posted,1,j_Date,"&gt;="&amp;PrevStart,j_Date,"&lt;="&amp;PrevEnd)-SUMIFS(j_TaxCr,j_Posted,1,j_Date,"&gt;="&amp;PrevStart,j_Date,"&lt;="&amp;PrevEnd),0)))</f>
        <v/>
      </c>
      <c r="AC43" s="95">
        <f>SUM(N43:Y43)</f>
        <v/>
      </c>
      <c r="AD43" s="95">
        <f>L43+M43+Z43</f>
        <v/>
      </c>
      <c r="AE43" s="95">
        <f>AD43-AA43</f>
        <v/>
      </c>
      <c r="AF43" s="58">
        <f>IF($D43="","",F43&amp;"|"&amp;COUNTIFS($F$7:F43,F43,$D$7:D43,"&lt;&gt;"))</f>
        <v/>
      </c>
      <c r="AG43" s="58">
        <f>IF(AND($D43&lt;&gt;"",H43="Cash"),"Cash|"&amp;COUNTIFS($H$7:H43,"Cash",$D$7:D43,"&lt;&gt;"),"")</f>
        <v/>
      </c>
      <c r="AH43" s="95">
        <f>IF(AND($D43&lt;&gt;"",OR(F43="Cost of Sales",F43="Operating Expense",F43="Other Expense"),Z43&gt;0),Z43+37/1000000,"")</f>
        <v/>
      </c>
      <c r="AI43" s="95">
        <f>L43+M43+SUM(N43:N43)</f>
        <v/>
      </c>
      <c r="AJ43" s="95">
        <f>L43+M43+SUM(N43:O43)</f>
        <v/>
      </c>
      <c r="AK43" s="95">
        <f>L43+M43+SUM(N43:P43)</f>
        <v/>
      </c>
      <c r="AL43" s="95">
        <f>L43+M43+SUM(N43:Q43)</f>
        <v/>
      </c>
      <c r="AM43" s="95">
        <f>L43+M43+SUM(N43:R43)</f>
        <v/>
      </c>
      <c r="AN43" s="95">
        <f>L43+M43+SUM(N43:S43)</f>
        <v/>
      </c>
      <c r="AO43" s="95">
        <f>L43+M43+SUM(N43:T43)</f>
        <v/>
      </c>
      <c r="AP43" s="95">
        <f>L43+M43+SUM(N43:U43)</f>
        <v/>
      </c>
      <c r="AQ43" s="95">
        <f>L43+M43+SUM(N43:V43)</f>
        <v/>
      </c>
      <c r="AR43" s="95">
        <f>L43+M43+SUM(N43:W43)</f>
        <v/>
      </c>
      <c r="AS43" s="95">
        <f>L43+M43+SUM(N43:X43)</f>
        <v/>
      </c>
      <c r="AT43" s="95">
        <f>L43+M43+SUM(N43:Y43)</f>
        <v/>
      </c>
    </row>
    <row r="44">
      <c r="B44" s="58" t="n">
        <v>38</v>
      </c>
      <c r="C44" s="58">
        <f>IFERROR(INDEX(coa_Name,38)&amp;"","")</f>
        <v/>
      </c>
      <c r="D44" s="58">
        <f>IF(C44="","",IF(COUNTIF($C$7:C44,C44)&gt;1,"",C44))</f>
        <v/>
      </c>
      <c r="E44" s="58">
        <f>IF($D44="","",INDEX(coa_Code,38))</f>
        <v/>
      </c>
      <c r="F44" s="58">
        <f>IF($D44="","",INDEX(coa_Type,38)&amp;"")</f>
        <v/>
      </c>
      <c r="G44" s="58">
        <f>IF($D44="","",INDEX(coa_Normal,38)&amp;"")</f>
        <v/>
      </c>
      <c r="H44" s="58">
        <f>IF($D44="","",IF(INDEX(coa_CF,38)&amp;""="","Operating",INDEX(coa_CF,38)&amp;""))</f>
        <v/>
      </c>
      <c r="I44" s="58">
        <f>IF($D44="","",IFERROR(INDEX(at_Stmt,MATCH(F44,at_Type,0)),""))</f>
        <v/>
      </c>
      <c r="J44" s="58">
        <f>IF($D44="",0,IFERROR(INDEX(at_Sign,MATCH(F44,at_Type,0)),0))</f>
        <v/>
      </c>
      <c r="K44" s="95">
        <f>IF($D44="",0,IF(G44="Credit",-1,1)*N(INDEX(coa_Open,38)))</f>
        <v/>
      </c>
      <c r="L44" s="95">
        <f>IF($D44="",0,IF($D44=acctOBE,K44-SUM($K$7:$K$156),K44))</f>
        <v/>
      </c>
      <c r="M44" s="95">
        <f>IF($D44="",0,SUMIFS(j_DrAmt,j_DrAcct,$D44,j_Per,0)-SUMIFS(j_CrAmt,j_CrAcct,$D44,j_Per,0)+IF($D44=acctTax,SUMIFS(j_TaxDr,j_Posted,1,j_Per,0)-SUMIFS(j_TaxCr,j_Posted,1,j_Per,0),0))</f>
        <v/>
      </c>
      <c r="N44" s="95">
        <f>IF($D44="",0,SUMIFS(j_DrAmt,j_DrAcct,$D44,j_Per,1)-SUMIFS(j_CrAmt,j_CrAcct,$D44,j_Per,1)+IF($D44=acctTax,SUMIFS(j_TaxDr,j_Posted,1,j_Per,1)-SUMIFS(j_TaxCr,j_Posted,1,j_Per,1),0))</f>
        <v/>
      </c>
      <c r="O44" s="95">
        <f>IF($D44="",0,SUMIFS(j_DrAmt,j_DrAcct,$D44,j_Per,2)-SUMIFS(j_CrAmt,j_CrAcct,$D44,j_Per,2)+IF($D44=acctTax,SUMIFS(j_TaxDr,j_Posted,1,j_Per,2)-SUMIFS(j_TaxCr,j_Posted,1,j_Per,2),0))</f>
        <v/>
      </c>
      <c r="P44" s="95">
        <f>IF($D44="",0,SUMIFS(j_DrAmt,j_DrAcct,$D44,j_Per,3)-SUMIFS(j_CrAmt,j_CrAcct,$D44,j_Per,3)+IF($D44=acctTax,SUMIFS(j_TaxDr,j_Posted,1,j_Per,3)-SUMIFS(j_TaxCr,j_Posted,1,j_Per,3),0))</f>
        <v/>
      </c>
      <c r="Q44" s="95">
        <f>IF($D44="",0,SUMIFS(j_DrAmt,j_DrAcct,$D44,j_Per,4)-SUMIFS(j_CrAmt,j_CrAcct,$D44,j_Per,4)+IF($D44=acctTax,SUMIFS(j_TaxDr,j_Posted,1,j_Per,4)-SUMIFS(j_TaxCr,j_Posted,1,j_Per,4),0))</f>
        <v/>
      </c>
      <c r="R44" s="95">
        <f>IF($D44="",0,SUMIFS(j_DrAmt,j_DrAcct,$D44,j_Per,5)-SUMIFS(j_CrAmt,j_CrAcct,$D44,j_Per,5)+IF($D44=acctTax,SUMIFS(j_TaxDr,j_Posted,1,j_Per,5)-SUMIFS(j_TaxCr,j_Posted,1,j_Per,5),0))</f>
        <v/>
      </c>
      <c r="S44" s="95">
        <f>IF($D44="",0,SUMIFS(j_DrAmt,j_DrAcct,$D44,j_Per,6)-SUMIFS(j_CrAmt,j_CrAcct,$D44,j_Per,6)+IF($D44=acctTax,SUMIFS(j_TaxDr,j_Posted,1,j_Per,6)-SUMIFS(j_TaxCr,j_Posted,1,j_Per,6),0))</f>
        <v/>
      </c>
      <c r="T44" s="95">
        <f>IF($D44="",0,SUMIFS(j_DrAmt,j_DrAcct,$D44,j_Per,7)-SUMIFS(j_CrAmt,j_CrAcct,$D44,j_Per,7)+IF($D44=acctTax,SUMIFS(j_TaxDr,j_Posted,1,j_Per,7)-SUMIFS(j_TaxCr,j_Posted,1,j_Per,7),0))</f>
        <v/>
      </c>
      <c r="U44" s="95">
        <f>IF($D44="",0,SUMIFS(j_DrAmt,j_DrAcct,$D44,j_Per,8)-SUMIFS(j_CrAmt,j_CrAcct,$D44,j_Per,8)+IF($D44=acctTax,SUMIFS(j_TaxDr,j_Posted,1,j_Per,8)-SUMIFS(j_TaxCr,j_Posted,1,j_Per,8),0))</f>
        <v/>
      </c>
      <c r="V44" s="95">
        <f>IF($D44="",0,SUMIFS(j_DrAmt,j_DrAcct,$D44,j_Per,9)-SUMIFS(j_CrAmt,j_CrAcct,$D44,j_Per,9)+IF($D44=acctTax,SUMIFS(j_TaxDr,j_Posted,1,j_Per,9)-SUMIFS(j_TaxCr,j_Posted,1,j_Per,9),0))</f>
        <v/>
      </c>
      <c r="W44" s="95">
        <f>IF($D44="",0,SUMIFS(j_DrAmt,j_DrAcct,$D44,j_Per,10)-SUMIFS(j_CrAmt,j_CrAcct,$D44,j_Per,10)+IF($D44=acctTax,SUMIFS(j_TaxDr,j_Posted,1,j_Per,10)-SUMIFS(j_TaxCr,j_Posted,1,j_Per,10),0))</f>
        <v/>
      </c>
      <c r="X44" s="95">
        <f>IF($D44="",0,SUMIFS(j_DrAmt,j_DrAcct,$D44,j_Per,11)-SUMIFS(j_CrAmt,j_CrAcct,$D44,j_Per,11)+IF($D44=acctTax,SUMIFS(j_TaxDr,j_Posted,1,j_Per,11)-SUMIFS(j_TaxCr,j_Posted,1,j_Per,11),0))</f>
        <v/>
      </c>
      <c r="Y44" s="95">
        <f>IF($D44="",0,SUMIFS(j_DrAmt,j_DrAcct,$D44,j_Per,12)-SUMIFS(j_CrAmt,j_CrAcct,$D44,j_Per,12)+IF($D44=acctTax,SUMIFS(j_TaxDr,j_Posted,1,j_Per,12)-SUMIFS(j_TaxCr,j_Posted,1,j_Per,12),0))</f>
        <v/>
      </c>
      <c r="Z44" s="95">
        <f>SUMPRODUCT(($N$5:$Y$5&lt;=RptIdx)*N44:Y44)</f>
        <v/>
      </c>
      <c r="AA44" s="95">
        <f>IF(AND(RptIdx&gt;=1,RptIdx&lt;=12),INDEX(N44:Y44,RptIdx),0)</f>
        <v/>
      </c>
      <c r="AB44" s="95">
        <f>IF($D44="",0,IF(RptIdx&gt;1,INDEX(N44:Y44,RptIdx-1),SUMIFS(j_DrAmt,j_DrAcct,$D44,j_Date,"&gt;="&amp;PrevStart,j_Date,"&lt;="&amp;PrevEnd)-SUMIFS(j_CrAmt,j_CrAcct,$D44,j_Date,"&gt;="&amp;PrevStart,j_Date,"&lt;="&amp;PrevEnd)+IF($D44=acctTax,SUMIFS(j_TaxDr,j_Posted,1,j_Date,"&gt;="&amp;PrevStart,j_Date,"&lt;="&amp;PrevEnd)-SUMIFS(j_TaxCr,j_Posted,1,j_Date,"&gt;="&amp;PrevStart,j_Date,"&lt;="&amp;PrevEnd),0)))</f>
        <v/>
      </c>
      <c r="AC44" s="95">
        <f>SUM(N44:Y44)</f>
        <v/>
      </c>
      <c r="AD44" s="95">
        <f>L44+M44+Z44</f>
        <v/>
      </c>
      <c r="AE44" s="95">
        <f>AD44-AA44</f>
        <v/>
      </c>
      <c r="AF44" s="58">
        <f>IF($D44="","",F44&amp;"|"&amp;COUNTIFS($F$7:F44,F44,$D$7:D44,"&lt;&gt;"))</f>
        <v/>
      </c>
      <c r="AG44" s="58">
        <f>IF(AND($D44&lt;&gt;"",H44="Cash"),"Cash|"&amp;COUNTIFS($H$7:H44,"Cash",$D$7:D44,"&lt;&gt;"),"")</f>
        <v/>
      </c>
      <c r="AH44" s="95">
        <f>IF(AND($D44&lt;&gt;"",OR(F44="Cost of Sales",F44="Operating Expense",F44="Other Expense"),Z44&gt;0),Z44+38/1000000,"")</f>
        <v/>
      </c>
      <c r="AI44" s="95">
        <f>L44+M44+SUM(N44:N44)</f>
        <v/>
      </c>
      <c r="AJ44" s="95">
        <f>L44+M44+SUM(N44:O44)</f>
        <v/>
      </c>
      <c r="AK44" s="95">
        <f>L44+M44+SUM(N44:P44)</f>
        <v/>
      </c>
      <c r="AL44" s="95">
        <f>L44+M44+SUM(N44:Q44)</f>
        <v/>
      </c>
      <c r="AM44" s="95">
        <f>L44+M44+SUM(N44:R44)</f>
        <v/>
      </c>
      <c r="AN44" s="95">
        <f>L44+M44+SUM(N44:S44)</f>
        <v/>
      </c>
      <c r="AO44" s="95">
        <f>L44+M44+SUM(N44:T44)</f>
        <v/>
      </c>
      <c r="AP44" s="95">
        <f>L44+M44+SUM(N44:U44)</f>
        <v/>
      </c>
      <c r="AQ44" s="95">
        <f>L44+M44+SUM(N44:V44)</f>
        <v/>
      </c>
      <c r="AR44" s="95">
        <f>L44+M44+SUM(N44:W44)</f>
        <v/>
      </c>
      <c r="AS44" s="95">
        <f>L44+M44+SUM(N44:X44)</f>
        <v/>
      </c>
      <c r="AT44" s="95">
        <f>L44+M44+SUM(N44:Y44)</f>
        <v/>
      </c>
    </row>
    <row r="45">
      <c r="B45" s="58" t="n">
        <v>39</v>
      </c>
      <c r="C45" s="58">
        <f>IFERROR(INDEX(coa_Name,39)&amp;"","")</f>
        <v/>
      </c>
      <c r="D45" s="58">
        <f>IF(C45="","",IF(COUNTIF($C$7:C45,C45)&gt;1,"",C45))</f>
        <v/>
      </c>
      <c r="E45" s="58">
        <f>IF($D45="","",INDEX(coa_Code,39))</f>
        <v/>
      </c>
      <c r="F45" s="58">
        <f>IF($D45="","",INDEX(coa_Type,39)&amp;"")</f>
        <v/>
      </c>
      <c r="G45" s="58">
        <f>IF($D45="","",INDEX(coa_Normal,39)&amp;"")</f>
        <v/>
      </c>
      <c r="H45" s="58">
        <f>IF($D45="","",IF(INDEX(coa_CF,39)&amp;""="","Operating",INDEX(coa_CF,39)&amp;""))</f>
        <v/>
      </c>
      <c r="I45" s="58">
        <f>IF($D45="","",IFERROR(INDEX(at_Stmt,MATCH(F45,at_Type,0)),""))</f>
        <v/>
      </c>
      <c r="J45" s="58">
        <f>IF($D45="",0,IFERROR(INDEX(at_Sign,MATCH(F45,at_Type,0)),0))</f>
        <v/>
      </c>
      <c r="K45" s="95">
        <f>IF($D45="",0,IF(G45="Credit",-1,1)*N(INDEX(coa_Open,39)))</f>
        <v/>
      </c>
      <c r="L45" s="95">
        <f>IF($D45="",0,IF($D45=acctOBE,K45-SUM($K$7:$K$156),K45))</f>
        <v/>
      </c>
      <c r="M45" s="95">
        <f>IF($D45="",0,SUMIFS(j_DrAmt,j_DrAcct,$D45,j_Per,0)-SUMIFS(j_CrAmt,j_CrAcct,$D45,j_Per,0)+IF($D45=acctTax,SUMIFS(j_TaxDr,j_Posted,1,j_Per,0)-SUMIFS(j_TaxCr,j_Posted,1,j_Per,0),0))</f>
        <v/>
      </c>
      <c r="N45" s="95">
        <f>IF($D45="",0,SUMIFS(j_DrAmt,j_DrAcct,$D45,j_Per,1)-SUMIFS(j_CrAmt,j_CrAcct,$D45,j_Per,1)+IF($D45=acctTax,SUMIFS(j_TaxDr,j_Posted,1,j_Per,1)-SUMIFS(j_TaxCr,j_Posted,1,j_Per,1),0))</f>
        <v/>
      </c>
      <c r="O45" s="95">
        <f>IF($D45="",0,SUMIFS(j_DrAmt,j_DrAcct,$D45,j_Per,2)-SUMIFS(j_CrAmt,j_CrAcct,$D45,j_Per,2)+IF($D45=acctTax,SUMIFS(j_TaxDr,j_Posted,1,j_Per,2)-SUMIFS(j_TaxCr,j_Posted,1,j_Per,2),0))</f>
        <v/>
      </c>
      <c r="P45" s="95">
        <f>IF($D45="",0,SUMIFS(j_DrAmt,j_DrAcct,$D45,j_Per,3)-SUMIFS(j_CrAmt,j_CrAcct,$D45,j_Per,3)+IF($D45=acctTax,SUMIFS(j_TaxDr,j_Posted,1,j_Per,3)-SUMIFS(j_TaxCr,j_Posted,1,j_Per,3),0))</f>
        <v/>
      </c>
      <c r="Q45" s="95">
        <f>IF($D45="",0,SUMIFS(j_DrAmt,j_DrAcct,$D45,j_Per,4)-SUMIFS(j_CrAmt,j_CrAcct,$D45,j_Per,4)+IF($D45=acctTax,SUMIFS(j_TaxDr,j_Posted,1,j_Per,4)-SUMIFS(j_TaxCr,j_Posted,1,j_Per,4),0))</f>
        <v/>
      </c>
      <c r="R45" s="95">
        <f>IF($D45="",0,SUMIFS(j_DrAmt,j_DrAcct,$D45,j_Per,5)-SUMIFS(j_CrAmt,j_CrAcct,$D45,j_Per,5)+IF($D45=acctTax,SUMIFS(j_TaxDr,j_Posted,1,j_Per,5)-SUMIFS(j_TaxCr,j_Posted,1,j_Per,5),0))</f>
        <v/>
      </c>
      <c r="S45" s="95">
        <f>IF($D45="",0,SUMIFS(j_DrAmt,j_DrAcct,$D45,j_Per,6)-SUMIFS(j_CrAmt,j_CrAcct,$D45,j_Per,6)+IF($D45=acctTax,SUMIFS(j_TaxDr,j_Posted,1,j_Per,6)-SUMIFS(j_TaxCr,j_Posted,1,j_Per,6),0))</f>
        <v/>
      </c>
      <c r="T45" s="95">
        <f>IF($D45="",0,SUMIFS(j_DrAmt,j_DrAcct,$D45,j_Per,7)-SUMIFS(j_CrAmt,j_CrAcct,$D45,j_Per,7)+IF($D45=acctTax,SUMIFS(j_TaxDr,j_Posted,1,j_Per,7)-SUMIFS(j_TaxCr,j_Posted,1,j_Per,7),0))</f>
        <v/>
      </c>
      <c r="U45" s="95">
        <f>IF($D45="",0,SUMIFS(j_DrAmt,j_DrAcct,$D45,j_Per,8)-SUMIFS(j_CrAmt,j_CrAcct,$D45,j_Per,8)+IF($D45=acctTax,SUMIFS(j_TaxDr,j_Posted,1,j_Per,8)-SUMIFS(j_TaxCr,j_Posted,1,j_Per,8),0))</f>
        <v/>
      </c>
      <c r="V45" s="95">
        <f>IF($D45="",0,SUMIFS(j_DrAmt,j_DrAcct,$D45,j_Per,9)-SUMIFS(j_CrAmt,j_CrAcct,$D45,j_Per,9)+IF($D45=acctTax,SUMIFS(j_TaxDr,j_Posted,1,j_Per,9)-SUMIFS(j_TaxCr,j_Posted,1,j_Per,9),0))</f>
        <v/>
      </c>
      <c r="W45" s="95">
        <f>IF($D45="",0,SUMIFS(j_DrAmt,j_DrAcct,$D45,j_Per,10)-SUMIFS(j_CrAmt,j_CrAcct,$D45,j_Per,10)+IF($D45=acctTax,SUMIFS(j_TaxDr,j_Posted,1,j_Per,10)-SUMIFS(j_TaxCr,j_Posted,1,j_Per,10),0))</f>
        <v/>
      </c>
      <c r="X45" s="95">
        <f>IF($D45="",0,SUMIFS(j_DrAmt,j_DrAcct,$D45,j_Per,11)-SUMIFS(j_CrAmt,j_CrAcct,$D45,j_Per,11)+IF($D45=acctTax,SUMIFS(j_TaxDr,j_Posted,1,j_Per,11)-SUMIFS(j_TaxCr,j_Posted,1,j_Per,11),0))</f>
        <v/>
      </c>
      <c r="Y45" s="95">
        <f>IF($D45="",0,SUMIFS(j_DrAmt,j_DrAcct,$D45,j_Per,12)-SUMIFS(j_CrAmt,j_CrAcct,$D45,j_Per,12)+IF($D45=acctTax,SUMIFS(j_TaxDr,j_Posted,1,j_Per,12)-SUMIFS(j_TaxCr,j_Posted,1,j_Per,12),0))</f>
        <v/>
      </c>
      <c r="Z45" s="95">
        <f>SUMPRODUCT(($N$5:$Y$5&lt;=RptIdx)*N45:Y45)</f>
        <v/>
      </c>
      <c r="AA45" s="95">
        <f>IF(AND(RptIdx&gt;=1,RptIdx&lt;=12),INDEX(N45:Y45,RptIdx),0)</f>
        <v/>
      </c>
      <c r="AB45" s="95">
        <f>IF($D45="",0,IF(RptIdx&gt;1,INDEX(N45:Y45,RptIdx-1),SUMIFS(j_DrAmt,j_DrAcct,$D45,j_Date,"&gt;="&amp;PrevStart,j_Date,"&lt;="&amp;PrevEnd)-SUMIFS(j_CrAmt,j_CrAcct,$D45,j_Date,"&gt;="&amp;PrevStart,j_Date,"&lt;="&amp;PrevEnd)+IF($D45=acctTax,SUMIFS(j_TaxDr,j_Posted,1,j_Date,"&gt;="&amp;PrevStart,j_Date,"&lt;="&amp;PrevEnd)-SUMIFS(j_TaxCr,j_Posted,1,j_Date,"&gt;="&amp;PrevStart,j_Date,"&lt;="&amp;PrevEnd),0)))</f>
        <v/>
      </c>
      <c r="AC45" s="95">
        <f>SUM(N45:Y45)</f>
        <v/>
      </c>
      <c r="AD45" s="95">
        <f>L45+M45+Z45</f>
        <v/>
      </c>
      <c r="AE45" s="95">
        <f>AD45-AA45</f>
        <v/>
      </c>
      <c r="AF45" s="58">
        <f>IF($D45="","",F45&amp;"|"&amp;COUNTIFS($F$7:F45,F45,$D$7:D45,"&lt;&gt;"))</f>
        <v/>
      </c>
      <c r="AG45" s="58">
        <f>IF(AND($D45&lt;&gt;"",H45="Cash"),"Cash|"&amp;COUNTIFS($H$7:H45,"Cash",$D$7:D45,"&lt;&gt;"),"")</f>
        <v/>
      </c>
      <c r="AH45" s="95">
        <f>IF(AND($D45&lt;&gt;"",OR(F45="Cost of Sales",F45="Operating Expense",F45="Other Expense"),Z45&gt;0),Z45+39/1000000,"")</f>
        <v/>
      </c>
      <c r="AI45" s="95">
        <f>L45+M45+SUM(N45:N45)</f>
        <v/>
      </c>
      <c r="AJ45" s="95">
        <f>L45+M45+SUM(N45:O45)</f>
        <v/>
      </c>
      <c r="AK45" s="95">
        <f>L45+M45+SUM(N45:P45)</f>
        <v/>
      </c>
      <c r="AL45" s="95">
        <f>L45+M45+SUM(N45:Q45)</f>
        <v/>
      </c>
      <c r="AM45" s="95">
        <f>L45+M45+SUM(N45:R45)</f>
        <v/>
      </c>
      <c r="AN45" s="95">
        <f>L45+M45+SUM(N45:S45)</f>
        <v/>
      </c>
      <c r="AO45" s="95">
        <f>L45+M45+SUM(N45:T45)</f>
        <v/>
      </c>
      <c r="AP45" s="95">
        <f>L45+M45+SUM(N45:U45)</f>
        <v/>
      </c>
      <c r="AQ45" s="95">
        <f>L45+M45+SUM(N45:V45)</f>
        <v/>
      </c>
      <c r="AR45" s="95">
        <f>L45+M45+SUM(N45:W45)</f>
        <v/>
      </c>
      <c r="AS45" s="95">
        <f>L45+M45+SUM(N45:X45)</f>
        <v/>
      </c>
      <c r="AT45" s="95">
        <f>L45+M45+SUM(N45:Y45)</f>
        <v/>
      </c>
    </row>
    <row r="46">
      <c r="B46" s="58" t="n">
        <v>40</v>
      </c>
      <c r="C46" s="58">
        <f>IFERROR(INDEX(coa_Name,40)&amp;"","")</f>
        <v/>
      </c>
      <c r="D46" s="58">
        <f>IF(C46="","",IF(COUNTIF($C$7:C46,C46)&gt;1,"",C46))</f>
        <v/>
      </c>
      <c r="E46" s="58">
        <f>IF($D46="","",INDEX(coa_Code,40))</f>
        <v/>
      </c>
      <c r="F46" s="58">
        <f>IF($D46="","",INDEX(coa_Type,40)&amp;"")</f>
        <v/>
      </c>
      <c r="G46" s="58">
        <f>IF($D46="","",INDEX(coa_Normal,40)&amp;"")</f>
        <v/>
      </c>
      <c r="H46" s="58">
        <f>IF($D46="","",IF(INDEX(coa_CF,40)&amp;""="","Operating",INDEX(coa_CF,40)&amp;""))</f>
        <v/>
      </c>
      <c r="I46" s="58">
        <f>IF($D46="","",IFERROR(INDEX(at_Stmt,MATCH(F46,at_Type,0)),""))</f>
        <v/>
      </c>
      <c r="J46" s="58">
        <f>IF($D46="",0,IFERROR(INDEX(at_Sign,MATCH(F46,at_Type,0)),0))</f>
        <v/>
      </c>
      <c r="K46" s="95">
        <f>IF($D46="",0,IF(G46="Credit",-1,1)*N(INDEX(coa_Open,40)))</f>
        <v/>
      </c>
      <c r="L46" s="95">
        <f>IF($D46="",0,IF($D46=acctOBE,K46-SUM($K$7:$K$156),K46))</f>
        <v/>
      </c>
      <c r="M46" s="95">
        <f>IF($D46="",0,SUMIFS(j_DrAmt,j_DrAcct,$D46,j_Per,0)-SUMIFS(j_CrAmt,j_CrAcct,$D46,j_Per,0)+IF($D46=acctTax,SUMIFS(j_TaxDr,j_Posted,1,j_Per,0)-SUMIFS(j_TaxCr,j_Posted,1,j_Per,0),0))</f>
        <v/>
      </c>
      <c r="N46" s="95">
        <f>IF($D46="",0,SUMIFS(j_DrAmt,j_DrAcct,$D46,j_Per,1)-SUMIFS(j_CrAmt,j_CrAcct,$D46,j_Per,1)+IF($D46=acctTax,SUMIFS(j_TaxDr,j_Posted,1,j_Per,1)-SUMIFS(j_TaxCr,j_Posted,1,j_Per,1),0))</f>
        <v/>
      </c>
      <c r="O46" s="95">
        <f>IF($D46="",0,SUMIFS(j_DrAmt,j_DrAcct,$D46,j_Per,2)-SUMIFS(j_CrAmt,j_CrAcct,$D46,j_Per,2)+IF($D46=acctTax,SUMIFS(j_TaxDr,j_Posted,1,j_Per,2)-SUMIFS(j_TaxCr,j_Posted,1,j_Per,2),0))</f>
        <v/>
      </c>
      <c r="P46" s="95">
        <f>IF($D46="",0,SUMIFS(j_DrAmt,j_DrAcct,$D46,j_Per,3)-SUMIFS(j_CrAmt,j_CrAcct,$D46,j_Per,3)+IF($D46=acctTax,SUMIFS(j_TaxDr,j_Posted,1,j_Per,3)-SUMIFS(j_TaxCr,j_Posted,1,j_Per,3),0))</f>
        <v/>
      </c>
      <c r="Q46" s="95">
        <f>IF($D46="",0,SUMIFS(j_DrAmt,j_DrAcct,$D46,j_Per,4)-SUMIFS(j_CrAmt,j_CrAcct,$D46,j_Per,4)+IF($D46=acctTax,SUMIFS(j_TaxDr,j_Posted,1,j_Per,4)-SUMIFS(j_TaxCr,j_Posted,1,j_Per,4),0))</f>
        <v/>
      </c>
      <c r="R46" s="95">
        <f>IF($D46="",0,SUMIFS(j_DrAmt,j_DrAcct,$D46,j_Per,5)-SUMIFS(j_CrAmt,j_CrAcct,$D46,j_Per,5)+IF($D46=acctTax,SUMIFS(j_TaxDr,j_Posted,1,j_Per,5)-SUMIFS(j_TaxCr,j_Posted,1,j_Per,5),0))</f>
        <v/>
      </c>
      <c r="S46" s="95">
        <f>IF($D46="",0,SUMIFS(j_DrAmt,j_DrAcct,$D46,j_Per,6)-SUMIFS(j_CrAmt,j_CrAcct,$D46,j_Per,6)+IF($D46=acctTax,SUMIFS(j_TaxDr,j_Posted,1,j_Per,6)-SUMIFS(j_TaxCr,j_Posted,1,j_Per,6),0))</f>
        <v/>
      </c>
      <c r="T46" s="95">
        <f>IF($D46="",0,SUMIFS(j_DrAmt,j_DrAcct,$D46,j_Per,7)-SUMIFS(j_CrAmt,j_CrAcct,$D46,j_Per,7)+IF($D46=acctTax,SUMIFS(j_TaxDr,j_Posted,1,j_Per,7)-SUMIFS(j_TaxCr,j_Posted,1,j_Per,7),0))</f>
        <v/>
      </c>
      <c r="U46" s="95">
        <f>IF($D46="",0,SUMIFS(j_DrAmt,j_DrAcct,$D46,j_Per,8)-SUMIFS(j_CrAmt,j_CrAcct,$D46,j_Per,8)+IF($D46=acctTax,SUMIFS(j_TaxDr,j_Posted,1,j_Per,8)-SUMIFS(j_TaxCr,j_Posted,1,j_Per,8),0))</f>
        <v/>
      </c>
      <c r="V46" s="95">
        <f>IF($D46="",0,SUMIFS(j_DrAmt,j_DrAcct,$D46,j_Per,9)-SUMIFS(j_CrAmt,j_CrAcct,$D46,j_Per,9)+IF($D46=acctTax,SUMIFS(j_TaxDr,j_Posted,1,j_Per,9)-SUMIFS(j_TaxCr,j_Posted,1,j_Per,9),0))</f>
        <v/>
      </c>
      <c r="W46" s="95">
        <f>IF($D46="",0,SUMIFS(j_DrAmt,j_DrAcct,$D46,j_Per,10)-SUMIFS(j_CrAmt,j_CrAcct,$D46,j_Per,10)+IF($D46=acctTax,SUMIFS(j_TaxDr,j_Posted,1,j_Per,10)-SUMIFS(j_TaxCr,j_Posted,1,j_Per,10),0))</f>
        <v/>
      </c>
      <c r="X46" s="95">
        <f>IF($D46="",0,SUMIFS(j_DrAmt,j_DrAcct,$D46,j_Per,11)-SUMIFS(j_CrAmt,j_CrAcct,$D46,j_Per,11)+IF($D46=acctTax,SUMIFS(j_TaxDr,j_Posted,1,j_Per,11)-SUMIFS(j_TaxCr,j_Posted,1,j_Per,11),0))</f>
        <v/>
      </c>
      <c r="Y46" s="95">
        <f>IF($D46="",0,SUMIFS(j_DrAmt,j_DrAcct,$D46,j_Per,12)-SUMIFS(j_CrAmt,j_CrAcct,$D46,j_Per,12)+IF($D46=acctTax,SUMIFS(j_TaxDr,j_Posted,1,j_Per,12)-SUMIFS(j_TaxCr,j_Posted,1,j_Per,12),0))</f>
        <v/>
      </c>
      <c r="Z46" s="95">
        <f>SUMPRODUCT(($N$5:$Y$5&lt;=RptIdx)*N46:Y46)</f>
        <v/>
      </c>
      <c r="AA46" s="95">
        <f>IF(AND(RptIdx&gt;=1,RptIdx&lt;=12),INDEX(N46:Y46,RptIdx),0)</f>
        <v/>
      </c>
      <c r="AB46" s="95">
        <f>IF($D46="",0,IF(RptIdx&gt;1,INDEX(N46:Y46,RptIdx-1),SUMIFS(j_DrAmt,j_DrAcct,$D46,j_Date,"&gt;="&amp;PrevStart,j_Date,"&lt;="&amp;PrevEnd)-SUMIFS(j_CrAmt,j_CrAcct,$D46,j_Date,"&gt;="&amp;PrevStart,j_Date,"&lt;="&amp;PrevEnd)+IF($D46=acctTax,SUMIFS(j_TaxDr,j_Posted,1,j_Date,"&gt;="&amp;PrevStart,j_Date,"&lt;="&amp;PrevEnd)-SUMIFS(j_TaxCr,j_Posted,1,j_Date,"&gt;="&amp;PrevStart,j_Date,"&lt;="&amp;PrevEnd),0)))</f>
        <v/>
      </c>
      <c r="AC46" s="95">
        <f>SUM(N46:Y46)</f>
        <v/>
      </c>
      <c r="AD46" s="95">
        <f>L46+M46+Z46</f>
        <v/>
      </c>
      <c r="AE46" s="95">
        <f>AD46-AA46</f>
        <v/>
      </c>
      <c r="AF46" s="58">
        <f>IF($D46="","",F46&amp;"|"&amp;COUNTIFS($F$7:F46,F46,$D$7:D46,"&lt;&gt;"))</f>
        <v/>
      </c>
      <c r="AG46" s="58">
        <f>IF(AND($D46&lt;&gt;"",H46="Cash"),"Cash|"&amp;COUNTIFS($H$7:H46,"Cash",$D$7:D46,"&lt;&gt;"),"")</f>
        <v/>
      </c>
      <c r="AH46" s="95">
        <f>IF(AND($D46&lt;&gt;"",OR(F46="Cost of Sales",F46="Operating Expense",F46="Other Expense"),Z46&gt;0),Z46+40/1000000,"")</f>
        <v/>
      </c>
      <c r="AI46" s="95">
        <f>L46+M46+SUM(N46:N46)</f>
        <v/>
      </c>
      <c r="AJ46" s="95">
        <f>L46+M46+SUM(N46:O46)</f>
        <v/>
      </c>
      <c r="AK46" s="95">
        <f>L46+M46+SUM(N46:P46)</f>
        <v/>
      </c>
      <c r="AL46" s="95">
        <f>L46+M46+SUM(N46:Q46)</f>
        <v/>
      </c>
      <c r="AM46" s="95">
        <f>L46+M46+SUM(N46:R46)</f>
        <v/>
      </c>
      <c r="AN46" s="95">
        <f>L46+M46+SUM(N46:S46)</f>
        <v/>
      </c>
      <c r="AO46" s="95">
        <f>L46+M46+SUM(N46:T46)</f>
        <v/>
      </c>
      <c r="AP46" s="95">
        <f>L46+M46+SUM(N46:U46)</f>
        <v/>
      </c>
      <c r="AQ46" s="95">
        <f>L46+M46+SUM(N46:V46)</f>
        <v/>
      </c>
      <c r="AR46" s="95">
        <f>L46+M46+SUM(N46:W46)</f>
        <v/>
      </c>
      <c r="AS46" s="95">
        <f>L46+M46+SUM(N46:X46)</f>
        <v/>
      </c>
      <c r="AT46" s="95">
        <f>L46+M46+SUM(N46:Y46)</f>
        <v/>
      </c>
    </row>
    <row r="47">
      <c r="B47" s="58" t="n">
        <v>41</v>
      </c>
      <c r="C47" s="58">
        <f>IFERROR(INDEX(coa_Name,41)&amp;"","")</f>
        <v/>
      </c>
      <c r="D47" s="58">
        <f>IF(C47="","",IF(COUNTIF($C$7:C47,C47)&gt;1,"",C47))</f>
        <v/>
      </c>
      <c r="E47" s="58">
        <f>IF($D47="","",INDEX(coa_Code,41))</f>
        <v/>
      </c>
      <c r="F47" s="58">
        <f>IF($D47="","",INDEX(coa_Type,41)&amp;"")</f>
        <v/>
      </c>
      <c r="G47" s="58">
        <f>IF($D47="","",INDEX(coa_Normal,41)&amp;"")</f>
        <v/>
      </c>
      <c r="H47" s="58">
        <f>IF($D47="","",IF(INDEX(coa_CF,41)&amp;""="","Operating",INDEX(coa_CF,41)&amp;""))</f>
        <v/>
      </c>
      <c r="I47" s="58">
        <f>IF($D47="","",IFERROR(INDEX(at_Stmt,MATCH(F47,at_Type,0)),""))</f>
        <v/>
      </c>
      <c r="J47" s="58">
        <f>IF($D47="",0,IFERROR(INDEX(at_Sign,MATCH(F47,at_Type,0)),0))</f>
        <v/>
      </c>
      <c r="K47" s="95">
        <f>IF($D47="",0,IF(G47="Credit",-1,1)*N(INDEX(coa_Open,41)))</f>
        <v/>
      </c>
      <c r="L47" s="95">
        <f>IF($D47="",0,IF($D47=acctOBE,K47-SUM($K$7:$K$156),K47))</f>
        <v/>
      </c>
      <c r="M47" s="95">
        <f>IF($D47="",0,SUMIFS(j_DrAmt,j_DrAcct,$D47,j_Per,0)-SUMIFS(j_CrAmt,j_CrAcct,$D47,j_Per,0)+IF($D47=acctTax,SUMIFS(j_TaxDr,j_Posted,1,j_Per,0)-SUMIFS(j_TaxCr,j_Posted,1,j_Per,0),0))</f>
        <v/>
      </c>
      <c r="N47" s="95">
        <f>IF($D47="",0,SUMIFS(j_DrAmt,j_DrAcct,$D47,j_Per,1)-SUMIFS(j_CrAmt,j_CrAcct,$D47,j_Per,1)+IF($D47=acctTax,SUMIFS(j_TaxDr,j_Posted,1,j_Per,1)-SUMIFS(j_TaxCr,j_Posted,1,j_Per,1),0))</f>
        <v/>
      </c>
      <c r="O47" s="95">
        <f>IF($D47="",0,SUMIFS(j_DrAmt,j_DrAcct,$D47,j_Per,2)-SUMIFS(j_CrAmt,j_CrAcct,$D47,j_Per,2)+IF($D47=acctTax,SUMIFS(j_TaxDr,j_Posted,1,j_Per,2)-SUMIFS(j_TaxCr,j_Posted,1,j_Per,2),0))</f>
        <v/>
      </c>
      <c r="P47" s="95">
        <f>IF($D47="",0,SUMIFS(j_DrAmt,j_DrAcct,$D47,j_Per,3)-SUMIFS(j_CrAmt,j_CrAcct,$D47,j_Per,3)+IF($D47=acctTax,SUMIFS(j_TaxDr,j_Posted,1,j_Per,3)-SUMIFS(j_TaxCr,j_Posted,1,j_Per,3),0))</f>
        <v/>
      </c>
      <c r="Q47" s="95">
        <f>IF($D47="",0,SUMIFS(j_DrAmt,j_DrAcct,$D47,j_Per,4)-SUMIFS(j_CrAmt,j_CrAcct,$D47,j_Per,4)+IF($D47=acctTax,SUMIFS(j_TaxDr,j_Posted,1,j_Per,4)-SUMIFS(j_TaxCr,j_Posted,1,j_Per,4),0))</f>
        <v/>
      </c>
      <c r="R47" s="95">
        <f>IF($D47="",0,SUMIFS(j_DrAmt,j_DrAcct,$D47,j_Per,5)-SUMIFS(j_CrAmt,j_CrAcct,$D47,j_Per,5)+IF($D47=acctTax,SUMIFS(j_TaxDr,j_Posted,1,j_Per,5)-SUMIFS(j_TaxCr,j_Posted,1,j_Per,5),0))</f>
        <v/>
      </c>
      <c r="S47" s="95">
        <f>IF($D47="",0,SUMIFS(j_DrAmt,j_DrAcct,$D47,j_Per,6)-SUMIFS(j_CrAmt,j_CrAcct,$D47,j_Per,6)+IF($D47=acctTax,SUMIFS(j_TaxDr,j_Posted,1,j_Per,6)-SUMIFS(j_TaxCr,j_Posted,1,j_Per,6),0))</f>
        <v/>
      </c>
      <c r="T47" s="95">
        <f>IF($D47="",0,SUMIFS(j_DrAmt,j_DrAcct,$D47,j_Per,7)-SUMIFS(j_CrAmt,j_CrAcct,$D47,j_Per,7)+IF($D47=acctTax,SUMIFS(j_TaxDr,j_Posted,1,j_Per,7)-SUMIFS(j_TaxCr,j_Posted,1,j_Per,7),0))</f>
        <v/>
      </c>
      <c r="U47" s="95">
        <f>IF($D47="",0,SUMIFS(j_DrAmt,j_DrAcct,$D47,j_Per,8)-SUMIFS(j_CrAmt,j_CrAcct,$D47,j_Per,8)+IF($D47=acctTax,SUMIFS(j_TaxDr,j_Posted,1,j_Per,8)-SUMIFS(j_TaxCr,j_Posted,1,j_Per,8),0))</f>
        <v/>
      </c>
      <c r="V47" s="95">
        <f>IF($D47="",0,SUMIFS(j_DrAmt,j_DrAcct,$D47,j_Per,9)-SUMIFS(j_CrAmt,j_CrAcct,$D47,j_Per,9)+IF($D47=acctTax,SUMIFS(j_TaxDr,j_Posted,1,j_Per,9)-SUMIFS(j_TaxCr,j_Posted,1,j_Per,9),0))</f>
        <v/>
      </c>
      <c r="W47" s="95">
        <f>IF($D47="",0,SUMIFS(j_DrAmt,j_DrAcct,$D47,j_Per,10)-SUMIFS(j_CrAmt,j_CrAcct,$D47,j_Per,10)+IF($D47=acctTax,SUMIFS(j_TaxDr,j_Posted,1,j_Per,10)-SUMIFS(j_TaxCr,j_Posted,1,j_Per,10),0))</f>
        <v/>
      </c>
      <c r="X47" s="95">
        <f>IF($D47="",0,SUMIFS(j_DrAmt,j_DrAcct,$D47,j_Per,11)-SUMIFS(j_CrAmt,j_CrAcct,$D47,j_Per,11)+IF($D47=acctTax,SUMIFS(j_TaxDr,j_Posted,1,j_Per,11)-SUMIFS(j_TaxCr,j_Posted,1,j_Per,11),0))</f>
        <v/>
      </c>
      <c r="Y47" s="95">
        <f>IF($D47="",0,SUMIFS(j_DrAmt,j_DrAcct,$D47,j_Per,12)-SUMIFS(j_CrAmt,j_CrAcct,$D47,j_Per,12)+IF($D47=acctTax,SUMIFS(j_TaxDr,j_Posted,1,j_Per,12)-SUMIFS(j_TaxCr,j_Posted,1,j_Per,12),0))</f>
        <v/>
      </c>
      <c r="Z47" s="95">
        <f>SUMPRODUCT(($N$5:$Y$5&lt;=RptIdx)*N47:Y47)</f>
        <v/>
      </c>
      <c r="AA47" s="95">
        <f>IF(AND(RptIdx&gt;=1,RptIdx&lt;=12),INDEX(N47:Y47,RptIdx),0)</f>
        <v/>
      </c>
      <c r="AB47" s="95">
        <f>IF($D47="",0,IF(RptIdx&gt;1,INDEX(N47:Y47,RptIdx-1),SUMIFS(j_DrAmt,j_DrAcct,$D47,j_Date,"&gt;="&amp;PrevStart,j_Date,"&lt;="&amp;PrevEnd)-SUMIFS(j_CrAmt,j_CrAcct,$D47,j_Date,"&gt;="&amp;PrevStart,j_Date,"&lt;="&amp;PrevEnd)+IF($D47=acctTax,SUMIFS(j_TaxDr,j_Posted,1,j_Date,"&gt;="&amp;PrevStart,j_Date,"&lt;="&amp;PrevEnd)-SUMIFS(j_TaxCr,j_Posted,1,j_Date,"&gt;="&amp;PrevStart,j_Date,"&lt;="&amp;PrevEnd),0)))</f>
        <v/>
      </c>
      <c r="AC47" s="95">
        <f>SUM(N47:Y47)</f>
        <v/>
      </c>
      <c r="AD47" s="95">
        <f>L47+M47+Z47</f>
        <v/>
      </c>
      <c r="AE47" s="95">
        <f>AD47-AA47</f>
        <v/>
      </c>
      <c r="AF47" s="58">
        <f>IF($D47="","",F47&amp;"|"&amp;COUNTIFS($F$7:F47,F47,$D$7:D47,"&lt;&gt;"))</f>
        <v/>
      </c>
      <c r="AG47" s="58">
        <f>IF(AND($D47&lt;&gt;"",H47="Cash"),"Cash|"&amp;COUNTIFS($H$7:H47,"Cash",$D$7:D47,"&lt;&gt;"),"")</f>
        <v/>
      </c>
      <c r="AH47" s="95">
        <f>IF(AND($D47&lt;&gt;"",OR(F47="Cost of Sales",F47="Operating Expense",F47="Other Expense"),Z47&gt;0),Z47+41/1000000,"")</f>
        <v/>
      </c>
      <c r="AI47" s="95">
        <f>L47+M47+SUM(N47:N47)</f>
        <v/>
      </c>
      <c r="AJ47" s="95">
        <f>L47+M47+SUM(N47:O47)</f>
        <v/>
      </c>
      <c r="AK47" s="95">
        <f>L47+M47+SUM(N47:P47)</f>
        <v/>
      </c>
      <c r="AL47" s="95">
        <f>L47+M47+SUM(N47:Q47)</f>
        <v/>
      </c>
      <c r="AM47" s="95">
        <f>L47+M47+SUM(N47:R47)</f>
        <v/>
      </c>
      <c r="AN47" s="95">
        <f>L47+M47+SUM(N47:S47)</f>
        <v/>
      </c>
      <c r="AO47" s="95">
        <f>L47+M47+SUM(N47:T47)</f>
        <v/>
      </c>
      <c r="AP47" s="95">
        <f>L47+M47+SUM(N47:U47)</f>
        <v/>
      </c>
      <c r="AQ47" s="95">
        <f>L47+M47+SUM(N47:V47)</f>
        <v/>
      </c>
      <c r="AR47" s="95">
        <f>L47+M47+SUM(N47:W47)</f>
        <v/>
      </c>
      <c r="AS47" s="95">
        <f>L47+M47+SUM(N47:X47)</f>
        <v/>
      </c>
      <c r="AT47" s="95">
        <f>L47+M47+SUM(N47:Y47)</f>
        <v/>
      </c>
    </row>
    <row r="48">
      <c r="B48" s="58" t="n">
        <v>42</v>
      </c>
      <c r="C48" s="58">
        <f>IFERROR(INDEX(coa_Name,42)&amp;"","")</f>
        <v/>
      </c>
      <c r="D48" s="58">
        <f>IF(C48="","",IF(COUNTIF($C$7:C48,C48)&gt;1,"",C48))</f>
        <v/>
      </c>
      <c r="E48" s="58">
        <f>IF($D48="","",INDEX(coa_Code,42))</f>
        <v/>
      </c>
      <c r="F48" s="58">
        <f>IF($D48="","",INDEX(coa_Type,42)&amp;"")</f>
        <v/>
      </c>
      <c r="G48" s="58">
        <f>IF($D48="","",INDEX(coa_Normal,42)&amp;"")</f>
        <v/>
      </c>
      <c r="H48" s="58">
        <f>IF($D48="","",IF(INDEX(coa_CF,42)&amp;""="","Operating",INDEX(coa_CF,42)&amp;""))</f>
        <v/>
      </c>
      <c r="I48" s="58">
        <f>IF($D48="","",IFERROR(INDEX(at_Stmt,MATCH(F48,at_Type,0)),""))</f>
        <v/>
      </c>
      <c r="J48" s="58">
        <f>IF($D48="",0,IFERROR(INDEX(at_Sign,MATCH(F48,at_Type,0)),0))</f>
        <v/>
      </c>
      <c r="K48" s="95">
        <f>IF($D48="",0,IF(G48="Credit",-1,1)*N(INDEX(coa_Open,42)))</f>
        <v/>
      </c>
      <c r="L48" s="95">
        <f>IF($D48="",0,IF($D48=acctOBE,K48-SUM($K$7:$K$156),K48))</f>
        <v/>
      </c>
      <c r="M48" s="95">
        <f>IF($D48="",0,SUMIFS(j_DrAmt,j_DrAcct,$D48,j_Per,0)-SUMIFS(j_CrAmt,j_CrAcct,$D48,j_Per,0)+IF($D48=acctTax,SUMIFS(j_TaxDr,j_Posted,1,j_Per,0)-SUMIFS(j_TaxCr,j_Posted,1,j_Per,0),0))</f>
        <v/>
      </c>
      <c r="N48" s="95">
        <f>IF($D48="",0,SUMIFS(j_DrAmt,j_DrAcct,$D48,j_Per,1)-SUMIFS(j_CrAmt,j_CrAcct,$D48,j_Per,1)+IF($D48=acctTax,SUMIFS(j_TaxDr,j_Posted,1,j_Per,1)-SUMIFS(j_TaxCr,j_Posted,1,j_Per,1),0))</f>
        <v/>
      </c>
      <c r="O48" s="95">
        <f>IF($D48="",0,SUMIFS(j_DrAmt,j_DrAcct,$D48,j_Per,2)-SUMIFS(j_CrAmt,j_CrAcct,$D48,j_Per,2)+IF($D48=acctTax,SUMIFS(j_TaxDr,j_Posted,1,j_Per,2)-SUMIFS(j_TaxCr,j_Posted,1,j_Per,2),0))</f>
        <v/>
      </c>
      <c r="P48" s="95">
        <f>IF($D48="",0,SUMIFS(j_DrAmt,j_DrAcct,$D48,j_Per,3)-SUMIFS(j_CrAmt,j_CrAcct,$D48,j_Per,3)+IF($D48=acctTax,SUMIFS(j_TaxDr,j_Posted,1,j_Per,3)-SUMIFS(j_TaxCr,j_Posted,1,j_Per,3),0))</f>
        <v/>
      </c>
      <c r="Q48" s="95">
        <f>IF($D48="",0,SUMIFS(j_DrAmt,j_DrAcct,$D48,j_Per,4)-SUMIFS(j_CrAmt,j_CrAcct,$D48,j_Per,4)+IF($D48=acctTax,SUMIFS(j_TaxDr,j_Posted,1,j_Per,4)-SUMIFS(j_TaxCr,j_Posted,1,j_Per,4),0))</f>
        <v/>
      </c>
      <c r="R48" s="95">
        <f>IF($D48="",0,SUMIFS(j_DrAmt,j_DrAcct,$D48,j_Per,5)-SUMIFS(j_CrAmt,j_CrAcct,$D48,j_Per,5)+IF($D48=acctTax,SUMIFS(j_TaxDr,j_Posted,1,j_Per,5)-SUMIFS(j_TaxCr,j_Posted,1,j_Per,5),0))</f>
        <v/>
      </c>
      <c r="S48" s="95">
        <f>IF($D48="",0,SUMIFS(j_DrAmt,j_DrAcct,$D48,j_Per,6)-SUMIFS(j_CrAmt,j_CrAcct,$D48,j_Per,6)+IF($D48=acctTax,SUMIFS(j_TaxDr,j_Posted,1,j_Per,6)-SUMIFS(j_TaxCr,j_Posted,1,j_Per,6),0))</f>
        <v/>
      </c>
      <c r="T48" s="95">
        <f>IF($D48="",0,SUMIFS(j_DrAmt,j_DrAcct,$D48,j_Per,7)-SUMIFS(j_CrAmt,j_CrAcct,$D48,j_Per,7)+IF($D48=acctTax,SUMIFS(j_TaxDr,j_Posted,1,j_Per,7)-SUMIFS(j_TaxCr,j_Posted,1,j_Per,7),0))</f>
        <v/>
      </c>
      <c r="U48" s="95">
        <f>IF($D48="",0,SUMIFS(j_DrAmt,j_DrAcct,$D48,j_Per,8)-SUMIFS(j_CrAmt,j_CrAcct,$D48,j_Per,8)+IF($D48=acctTax,SUMIFS(j_TaxDr,j_Posted,1,j_Per,8)-SUMIFS(j_TaxCr,j_Posted,1,j_Per,8),0))</f>
        <v/>
      </c>
      <c r="V48" s="95">
        <f>IF($D48="",0,SUMIFS(j_DrAmt,j_DrAcct,$D48,j_Per,9)-SUMIFS(j_CrAmt,j_CrAcct,$D48,j_Per,9)+IF($D48=acctTax,SUMIFS(j_TaxDr,j_Posted,1,j_Per,9)-SUMIFS(j_TaxCr,j_Posted,1,j_Per,9),0))</f>
        <v/>
      </c>
      <c r="W48" s="95">
        <f>IF($D48="",0,SUMIFS(j_DrAmt,j_DrAcct,$D48,j_Per,10)-SUMIFS(j_CrAmt,j_CrAcct,$D48,j_Per,10)+IF($D48=acctTax,SUMIFS(j_TaxDr,j_Posted,1,j_Per,10)-SUMIFS(j_TaxCr,j_Posted,1,j_Per,10),0))</f>
        <v/>
      </c>
      <c r="X48" s="95">
        <f>IF($D48="",0,SUMIFS(j_DrAmt,j_DrAcct,$D48,j_Per,11)-SUMIFS(j_CrAmt,j_CrAcct,$D48,j_Per,11)+IF($D48=acctTax,SUMIFS(j_TaxDr,j_Posted,1,j_Per,11)-SUMIFS(j_TaxCr,j_Posted,1,j_Per,11),0))</f>
        <v/>
      </c>
      <c r="Y48" s="95">
        <f>IF($D48="",0,SUMIFS(j_DrAmt,j_DrAcct,$D48,j_Per,12)-SUMIFS(j_CrAmt,j_CrAcct,$D48,j_Per,12)+IF($D48=acctTax,SUMIFS(j_TaxDr,j_Posted,1,j_Per,12)-SUMIFS(j_TaxCr,j_Posted,1,j_Per,12),0))</f>
        <v/>
      </c>
      <c r="Z48" s="95">
        <f>SUMPRODUCT(($N$5:$Y$5&lt;=RptIdx)*N48:Y48)</f>
        <v/>
      </c>
      <c r="AA48" s="95">
        <f>IF(AND(RptIdx&gt;=1,RptIdx&lt;=12),INDEX(N48:Y48,RptIdx),0)</f>
        <v/>
      </c>
      <c r="AB48" s="95">
        <f>IF($D48="",0,IF(RptIdx&gt;1,INDEX(N48:Y48,RptIdx-1),SUMIFS(j_DrAmt,j_DrAcct,$D48,j_Date,"&gt;="&amp;PrevStart,j_Date,"&lt;="&amp;PrevEnd)-SUMIFS(j_CrAmt,j_CrAcct,$D48,j_Date,"&gt;="&amp;PrevStart,j_Date,"&lt;="&amp;PrevEnd)+IF($D48=acctTax,SUMIFS(j_TaxDr,j_Posted,1,j_Date,"&gt;="&amp;PrevStart,j_Date,"&lt;="&amp;PrevEnd)-SUMIFS(j_TaxCr,j_Posted,1,j_Date,"&gt;="&amp;PrevStart,j_Date,"&lt;="&amp;PrevEnd),0)))</f>
        <v/>
      </c>
      <c r="AC48" s="95">
        <f>SUM(N48:Y48)</f>
        <v/>
      </c>
      <c r="AD48" s="95">
        <f>L48+M48+Z48</f>
        <v/>
      </c>
      <c r="AE48" s="95">
        <f>AD48-AA48</f>
        <v/>
      </c>
      <c r="AF48" s="58">
        <f>IF($D48="","",F48&amp;"|"&amp;COUNTIFS($F$7:F48,F48,$D$7:D48,"&lt;&gt;"))</f>
        <v/>
      </c>
      <c r="AG48" s="58">
        <f>IF(AND($D48&lt;&gt;"",H48="Cash"),"Cash|"&amp;COUNTIFS($H$7:H48,"Cash",$D$7:D48,"&lt;&gt;"),"")</f>
        <v/>
      </c>
      <c r="AH48" s="95">
        <f>IF(AND($D48&lt;&gt;"",OR(F48="Cost of Sales",F48="Operating Expense",F48="Other Expense"),Z48&gt;0),Z48+42/1000000,"")</f>
        <v/>
      </c>
      <c r="AI48" s="95">
        <f>L48+M48+SUM(N48:N48)</f>
        <v/>
      </c>
      <c r="AJ48" s="95">
        <f>L48+M48+SUM(N48:O48)</f>
        <v/>
      </c>
      <c r="AK48" s="95">
        <f>L48+M48+SUM(N48:P48)</f>
        <v/>
      </c>
      <c r="AL48" s="95">
        <f>L48+M48+SUM(N48:Q48)</f>
        <v/>
      </c>
      <c r="AM48" s="95">
        <f>L48+M48+SUM(N48:R48)</f>
        <v/>
      </c>
      <c r="AN48" s="95">
        <f>L48+M48+SUM(N48:S48)</f>
        <v/>
      </c>
      <c r="AO48" s="95">
        <f>L48+M48+SUM(N48:T48)</f>
        <v/>
      </c>
      <c r="AP48" s="95">
        <f>L48+M48+SUM(N48:U48)</f>
        <v/>
      </c>
      <c r="AQ48" s="95">
        <f>L48+M48+SUM(N48:V48)</f>
        <v/>
      </c>
      <c r="AR48" s="95">
        <f>L48+M48+SUM(N48:W48)</f>
        <v/>
      </c>
      <c r="AS48" s="95">
        <f>L48+M48+SUM(N48:X48)</f>
        <v/>
      </c>
      <c r="AT48" s="95">
        <f>L48+M48+SUM(N48:Y48)</f>
        <v/>
      </c>
    </row>
    <row r="49">
      <c r="B49" s="58" t="n">
        <v>43</v>
      </c>
      <c r="C49" s="58">
        <f>IFERROR(INDEX(coa_Name,43)&amp;"","")</f>
        <v/>
      </c>
      <c r="D49" s="58">
        <f>IF(C49="","",IF(COUNTIF($C$7:C49,C49)&gt;1,"",C49))</f>
        <v/>
      </c>
      <c r="E49" s="58">
        <f>IF($D49="","",INDEX(coa_Code,43))</f>
        <v/>
      </c>
      <c r="F49" s="58">
        <f>IF($D49="","",INDEX(coa_Type,43)&amp;"")</f>
        <v/>
      </c>
      <c r="G49" s="58">
        <f>IF($D49="","",INDEX(coa_Normal,43)&amp;"")</f>
        <v/>
      </c>
      <c r="H49" s="58">
        <f>IF($D49="","",IF(INDEX(coa_CF,43)&amp;""="","Operating",INDEX(coa_CF,43)&amp;""))</f>
        <v/>
      </c>
      <c r="I49" s="58">
        <f>IF($D49="","",IFERROR(INDEX(at_Stmt,MATCH(F49,at_Type,0)),""))</f>
        <v/>
      </c>
      <c r="J49" s="58">
        <f>IF($D49="",0,IFERROR(INDEX(at_Sign,MATCH(F49,at_Type,0)),0))</f>
        <v/>
      </c>
      <c r="K49" s="95">
        <f>IF($D49="",0,IF(G49="Credit",-1,1)*N(INDEX(coa_Open,43)))</f>
        <v/>
      </c>
      <c r="L49" s="95">
        <f>IF($D49="",0,IF($D49=acctOBE,K49-SUM($K$7:$K$156),K49))</f>
        <v/>
      </c>
      <c r="M49" s="95">
        <f>IF($D49="",0,SUMIFS(j_DrAmt,j_DrAcct,$D49,j_Per,0)-SUMIFS(j_CrAmt,j_CrAcct,$D49,j_Per,0)+IF($D49=acctTax,SUMIFS(j_TaxDr,j_Posted,1,j_Per,0)-SUMIFS(j_TaxCr,j_Posted,1,j_Per,0),0))</f>
        <v/>
      </c>
      <c r="N49" s="95">
        <f>IF($D49="",0,SUMIFS(j_DrAmt,j_DrAcct,$D49,j_Per,1)-SUMIFS(j_CrAmt,j_CrAcct,$D49,j_Per,1)+IF($D49=acctTax,SUMIFS(j_TaxDr,j_Posted,1,j_Per,1)-SUMIFS(j_TaxCr,j_Posted,1,j_Per,1),0))</f>
        <v/>
      </c>
      <c r="O49" s="95">
        <f>IF($D49="",0,SUMIFS(j_DrAmt,j_DrAcct,$D49,j_Per,2)-SUMIFS(j_CrAmt,j_CrAcct,$D49,j_Per,2)+IF($D49=acctTax,SUMIFS(j_TaxDr,j_Posted,1,j_Per,2)-SUMIFS(j_TaxCr,j_Posted,1,j_Per,2),0))</f>
        <v/>
      </c>
      <c r="P49" s="95">
        <f>IF($D49="",0,SUMIFS(j_DrAmt,j_DrAcct,$D49,j_Per,3)-SUMIFS(j_CrAmt,j_CrAcct,$D49,j_Per,3)+IF($D49=acctTax,SUMIFS(j_TaxDr,j_Posted,1,j_Per,3)-SUMIFS(j_TaxCr,j_Posted,1,j_Per,3),0))</f>
        <v/>
      </c>
      <c r="Q49" s="95">
        <f>IF($D49="",0,SUMIFS(j_DrAmt,j_DrAcct,$D49,j_Per,4)-SUMIFS(j_CrAmt,j_CrAcct,$D49,j_Per,4)+IF($D49=acctTax,SUMIFS(j_TaxDr,j_Posted,1,j_Per,4)-SUMIFS(j_TaxCr,j_Posted,1,j_Per,4),0))</f>
        <v/>
      </c>
      <c r="R49" s="95">
        <f>IF($D49="",0,SUMIFS(j_DrAmt,j_DrAcct,$D49,j_Per,5)-SUMIFS(j_CrAmt,j_CrAcct,$D49,j_Per,5)+IF($D49=acctTax,SUMIFS(j_TaxDr,j_Posted,1,j_Per,5)-SUMIFS(j_TaxCr,j_Posted,1,j_Per,5),0))</f>
        <v/>
      </c>
      <c r="S49" s="95">
        <f>IF($D49="",0,SUMIFS(j_DrAmt,j_DrAcct,$D49,j_Per,6)-SUMIFS(j_CrAmt,j_CrAcct,$D49,j_Per,6)+IF($D49=acctTax,SUMIFS(j_TaxDr,j_Posted,1,j_Per,6)-SUMIFS(j_TaxCr,j_Posted,1,j_Per,6),0))</f>
        <v/>
      </c>
      <c r="T49" s="95">
        <f>IF($D49="",0,SUMIFS(j_DrAmt,j_DrAcct,$D49,j_Per,7)-SUMIFS(j_CrAmt,j_CrAcct,$D49,j_Per,7)+IF($D49=acctTax,SUMIFS(j_TaxDr,j_Posted,1,j_Per,7)-SUMIFS(j_TaxCr,j_Posted,1,j_Per,7),0))</f>
        <v/>
      </c>
      <c r="U49" s="95">
        <f>IF($D49="",0,SUMIFS(j_DrAmt,j_DrAcct,$D49,j_Per,8)-SUMIFS(j_CrAmt,j_CrAcct,$D49,j_Per,8)+IF($D49=acctTax,SUMIFS(j_TaxDr,j_Posted,1,j_Per,8)-SUMIFS(j_TaxCr,j_Posted,1,j_Per,8),0))</f>
        <v/>
      </c>
      <c r="V49" s="95">
        <f>IF($D49="",0,SUMIFS(j_DrAmt,j_DrAcct,$D49,j_Per,9)-SUMIFS(j_CrAmt,j_CrAcct,$D49,j_Per,9)+IF($D49=acctTax,SUMIFS(j_TaxDr,j_Posted,1,j_Per,9)-SUMIFS(j_TaxCr,j_Posted,1,j_Per,9),0))</f>
        <v/>
      </c>
      <c r="W49" s="95">
        <f>IF($D49="",0,SUMIFS(j_DrAmt,j_DrAcct,$D49,j_Per,10)-SUMIFS(j_CrAmt,j_CrAcct,$D49,j_Per,10)+IF($D49=acctTax,SUMIFS(j_TaxDr,j_Posted,1,j_Per,10)-SUMIFS(j_TaxCr,j_Posted,1,j_Per,10),0))</f>
        <v/>
      </c>
      <c r="X49" s="95">
        <f>IF($D49="",0,SUMIFS(j_DrAmt,j_DrAcct,$D49,j_Per,11)-SUMIFS(j_CrAmt,j_CrAcct,$D49,j_Per,11)+IF($D49=acctTax,SUMIFS(j_TaxDr,j_Posted,1,j_Per,11)-SUMIFS(j_TaxCr,j_Posted,1,j_Per,11),0))</f>
        <v/>
      </c>
      <c r="Y49" s="95">
        <f>IF($D49="",0,SUMIFS(j_DrAmt,j_DrAcct,$D49,j_Per,12)-SUMIFS(j_CrAmt,j_CrAcct,$D49,j_Per,12)+IF($D49=acctTax,SUMIFS(j_TaxDr,j_Posted,1,j_Per,12)-SUMIFS(j_TaxCr,j_Posted,1,j_Per,12),0))</f>
        <v/>
      </c>
      <c r="Z49" s="95">
        <f>SUMPRODUCT(($N$5:$Y$5&lt;=RptIdx)*N49:Y49)</f>
        <v/>
      </c>
      <c r="AA49" s="95">
        <f>IF(AND(RptIdx&gt;=1,RptIdx&lt;=12),INDEX(N49:Y49,RptIdx),0)</f>
        <v/>
      </c>
      <c r="AB49" s="95">
        <f>IF($D49="",0,IF(RptIdx&gt;1,INDEX(N49:Y49,RptIdx-1),SUMIFS(j_DrAmt,j_DrAcct,$D49,j_Date,"&gt;="&amp;PrevStart,j_Date,"&lt;="&amp;PrevEnd)-SUMIFS(j_CrAmt,j_CrAcct,$D49,j_Date,"&gt;="&amp;PrevStart,j_Date,"&lt;="&amp;PrevEnd)+IF($D49=acctTax,SUMIFS(j_TaxDr,j_Posted,1,j_Date,"&gt;="&amp;PrevStart,j_Date,"&lt;="&amp;PrevEnd)-SUMIFS(j_TaxCr,j_Posted,1,j_Date,"&gt;="&amp;PrevStart,j_Date,"&lt;="&amp;PrevEnd),0)))</f>
        <v/>
      </c>
      <c r="AC49" s="95">
        <f>SUM(N49:Y49)</f>
        <v/>
      </c>
      <c r="AD49" s="95">
        <f>L49+M49+Z49</f>
        <v/>
      </c>
      <c r="AE49" s="95">
        <f>AD49-AA49</f>
        <v/>
      </c>
      <c r="AF49" s="58">
        <f>IF($D49="","",F49&amp;"|"&amp;COUNTIFS($F$7:F49,F49,$D$7:D49,"&lt;&gt;"))</f>
        <v/>
      </c>
      <c r="AG49" s="58">
        <f>IF(AND($D49&lt;&gt;"",H49="Cash"),"Cash|"&amp;COUNTIFS($H$7:H49,"Cash",$D$7:D49,"&lt;&gt;"),"")</f>
        <v/>
      </c>
      <c r="AH49" s="95">
        <f>IF(AND($D49&lt;&gt;"",OR(F49="Cost of Sales",F49="Operating Expense",F49="Other Expense"),Z49&gt;0),Z49+43/1000000,"")</f>
        <v/>
      </c>
      <c r="AI49" s="95">
        <f>L49+M49+SUM(N49:N49)</f>
        <v/>
      </c>
      <c r="AJ49" s="95">
        <f>L49+M49+SUM(N49:O49)</f>
        <v/>
      </c>
      <c r="AK49" s="95">
        <f>L49+M49+SUM(N49:P49)</f>
        <v/>
      </c>
      <c r="AL49" s="95">
        <f>L49+M49+SUM(N49:Q49)</f>
        <v/>
      </c>
      <c r="AM49" s="95">
        <f>L49+M49+SUM(N49:R49)</f>
        <v/>
      </c>
      <c r="AN49" s="95">
        <f>L49+M49+SUM(N49:S49)</f>
        <v/>
      </c>
      <c r="AO49" s="95">
        <f>L49+M49+SUM(N49:T49)</f>
        <v/>
      </c>
      <c r="AP49" s="95">
        <f>L49+M49+SUM(N49:U49)</f>
        <v/>
      </c>
      <c r="AQ49" s="95">
        <f>L49+M49+SUM(N49:V49)</f>
        <v/>
      </c>
      <c r="AR49" s="95">
        <f>L49+M49+SUM(N49:W49)</f>
        <v/>
      </c>
      <c r="AS49" s="95">
        <f>L49+M49+SUM(N49:X49)</f>
        <v/>
      </c>
      <c r="AT49" s="95">
        <f>L49+M49+SUM(N49:Y49)</f>
        <v/>
      </c>
    </row>
    <row r="50">
      <c r="B50" s="58" t="n">
        <v>44</v>
      </c>
      <c r="C50" s="58">
        <f>IFERROR(INDEX(coa_Name,44)&amp;"","")</f>
        <v/>
      </c>
      <c r="D50" s="58">
        <f>IF(C50="","",IF(COUNTIF($C$7:C50,C50)&gt;1,"",C50))</f>
        <v/>
      </c>
      <c r="E50" s="58">
        <f>IF($D50="","",INDEX(coa_Code,44))</f>
        <v/>
      </c>
      <c r="F50" s="58">
        <f>IF($D50="","",INDEX(coa_Type,44)&amp;"")</f>
        <v/>
      </c>
      <c r="G50" s="58">
        <f>IF($D50="","",INDEX(coa_Normal,44)&amp;"")</f>
        <v/>
      </c>
      <c r="H50" s="58">
        <f>IF($D50="","",IF(INDEX(coa_CF,44)&amp;""="","Operating",INDEX(coa_CF,44)&amp;""))</f>
        <v/>
      </c>
      <c r="I50" s="58">
        <f>IF($D50="","",IFERROR(INDEX(at_Stmt,MATCH(F50,at_Type,0)),""))</f>
        <v/>
      </c>
      <c r="J50" s="58">
        <f>IF($D50="",0,IFERROR(INDEX(at_Sign,MATCH(F50,at_Type,0)),0))</f>
        <v/>
      </c>
      <c r="K50" s="95">
        <f>IF($D50="",0,IF(G50="Credit",-1,1)*N(INDEX(coa_Open,44)))</f>
        <v/>
      </c>
      <c r="L50" s="95">
        <f>IF($D50="",0,IF($D50=acctOBE,K50-SUM($K$7:$K$156),K50))</f>
        <v/>
      </c>
      <c r="M50" s="95">
        <f>IF($D50="",0,SUMIFS(j_DrAmt,j_DrAcct,$D50,j_Per,0)-SUMIFS(j_CrAmt,j_CrAcct,$D50,j_Per,0)+IF($D50=acctTax,SUMIFS(j_TaxDr,j_Posted,1,j_Per,0)-SUMIFS(j_TaxCr,j_Posted,1,j_Per,0),0))</f>
        <v/>
      </c>
      <c r="N50" s="95">
        <f>IF($D50="",0,SUMIFS(j_DrAmt,j_DrAcct,$D50,j_Per,1)-SUMIFS(j_CrAmt,j_CrAcct,$D50,j_Per,1)+IF($D50=acctTax,SUMIFS(j_TaxDr,j_Posted,1,j_Per,1)-SUMIFS(j_TaxCr,j_Posted,1,j_Per,1),0))</f>
        <v/>
      </c>
      <c r="O50" s="95">
        <f>IF($D50="",0,SUMIFS(j_DrAmt,j_DrAcct,$D50,j_Per,2)-SUMIFS(j_CrAmt,j_CrAcct,$D50,j_Per,2)+IF($D50=acctTax,SUMIFS(j_TaxDr,j_Posted,1,j_Per,2)-SUMIFS(j_TaxCr,j_Posted,1,j_Per,2),0))</f>
        <v/>
      </c>
      <c r="P50" s="95">
        <f>IF($D50="",0,SUMIFS(j_DrAmt,j_DrAcct,$D50,j_Per,3)-SUMIFS(j_CrAmt,j_CrAcct,$D50,j_Per,3)+IF($D50=acctTax,SUMIFS(j_TaxDr,j_Posted,1,j_Per,3)-SUMIFS(j_TaxCr,j_Posted,1,j_Per,3),0))</f>
        <v/>
      </c>
      <c r="Q50" s="95">
        <f>IF($D50="",0,SUMIFS(j_DrAmt,j_DrAcct,$D50,j_Per,4)-SUMIFS(j_CrAmt,j_CrAcct,$D50,j_Per,4)+IF($D50=acctTax,SUMIFS(j_TaxDr,j_Posted,1,j_Per,4)-SUMIFS(j_TaxCr,j_Posted,1,j_Per,4),0))</f>
        <v/>
      </c>
      <c r="R50" s="95">
        <f>IF($D50="",0,SUMIFS(j_DrAmt,j_DrAcct,$D50,j_Per,5)-SUMIFS(j_CrAmt,j_CrAcct,$D50,j_Per,5)+IF($D50=acctTax,SUMIFS(j_TaxDr,j_Posted,1,j_Per,5)-SUMIFS(j_TaxCr,j_Posted,1,j_Per,5),0))</f>
        <v/>
      </c>
      <c r="S50" s="95">
        <f>IF($D50="",0,SUMIFS(j_DrAmt,j_DrAcct,$D50,j_Per,6)-SUMIFS(j_CrAmt,j_CrAcct,$D50,j_Per,6)+IF($D50=acctTax,SUMIFS(j_TaxDr,j_Posted,1,j_Per,6)-SUMIFS(j_TaxCr,j_Posted,1,j_Per,6),0))</f>
        <v/>
      </c>
      <c r="T50" s="95">
        <f>IF($D50="",0,SUMIFS(j_DrAmt,j_DrAcct,$D50,j_Per,7)-SUMIFS(j_CrAmt,j_CrAcct,$D50,j_Per,7)+IF($D50=acctTax,SUMIFS(j_TaxDr,j_Posted,1,j_Per,7)-SUMIFS(j_TaxCr,j_Posted,1,j_Per,7),0))</f>
        <v/>
      </c>
      <c r="U50" s="95">
        <f>IF($D50="",0,SUMIFS(j_DrAmt,j_DrAcct,$D50,j_Per,8)-SUMIFS(j_CrAmt,j_CrAcct,$D50,j_Per,8)+IF($D50=acctTax,SUMIFS(j_TaxDr,j_Posted,1,j_Per,8)-SUMIFS(j_TaxCr,j_Posted,1,j_Per,8),0))</f>
        <v/>
      </c>
      <c r="V50" s="95">
        <f>IF($D50="",0,SUMIFS(j_DrAmt,j_DrAcct,$D50,j_Per,9)-SUMIFS(j_CrAmt,j_CrAcct,$D50,j_Per,9)+IF($D50=acctTax,SUMIFS(j_TaxDr,j_Posted,1,j_Per,9)-SUMIFS(j_TaxCr,j_Posted,1,j_Per,9),0))</f>
        <v/>
      </c>
      <c r="W50" s="95">
        <f>IF($D50="",0,SUMIFS(j_DrAmt,j_DrAcct,$D50,j_Per,10)-SUMIFS(j_CrAmt,j_CrAcct,$D50,j_Per,10)+IF($D50=acctTax,SUMIFS(j_TaxDr,j_Posted,1,j_Per,10)-SUMIFS(j_TaxCr,j_Posted,1,j_Per,10),0))</f>
        <v/>
      </c>
      <c r="X50" s="95">
        <f>IF($D50="",0,SUMIFS(j_DrAmt,j_DrAcct,$D50,j_Per,11)-SUMIFS(j_CrAmt,j_CrAcct,$D50,j_Per,11)+IF($D50=acctTax,SUMIFS(j_TaxDr,j_Posted,1,j_Per,11)-SUMIFS(j_TaxCr,j_Posted,1,j_Per,11),0))</f>
        <v/>
      </c>
      <c r="Y50" s="95">
        <f>IF($D50="",0,SUMIFS(j_DrAmt,j_DrAcct,$D50,j_Per,12)-SUMIFS(j_CrAmt,j_CrAcct,$D50,j_Per,12)+IF($D50=acctTax,SUMIFS(j_TaxDr,j_Posted,1,j_Per,12)-SUMIFS(j_TaxCr,j_Posted,1,j_Per,12),0))</f>
        <v/>
      </c>
      <c r="Z50" s="95">
        <f>SUMPRODUCT(($N$5:$Y$5&lt;=RptIdx)*N50:Y50)</f>
        <v/>
      </c>
      <c r="AA50" s="95">
        <f>IF(AND(RptIdx&gt;=1,RptIdx&lt;=12),INDEX(N50:Y50,RptIdx),0)</f>
        <v/>
      </c>
      <c r="AB50" s="95">
        <f>IF($D50="",0,IF(RptIdx&gt;1,INDEX(N50:Y50,RptIdx-1),SUMIFS(j_DrAmt,j_DrAcct,$D50,j_Date,"&gt;="&amp;PrevStart,j_Date,"&lt;="&amp;PrevEnd)-SUMIFS(j_CrAmt,j_CrAcct,$D50,j_Date,"&gt;="&amp;PrevStart,j_Date,"&lt;="&amp;PrevEnd)+IF($D50=acctTax,SUMIFS(j_TaxDr,j_Posted,1,j_Date,"&gt;="&amp;PrevStart,j_Date,"&lt;="&amp;PrevEnd)-SUMIFS(j_TaxCr,j_Posted,1,j_Date,"&gt;="&amp;PrevStart,j_Date,"&lt;="&amp;PrevEnd),0)))</f>
        <v/>
      </c>
      <c r="AC50" s="95">
        <f>SUM(N50:Y50)</f>
        <v/>
      </c>
      <c r="AD50" s="95">
        <f>L50+M50+Z50</f>
        <v/>
      </c>
      <c r="AE50" s="95">
        <f>AD50-AA50</f>
        <v/>
      </c>
      <c r="AF50" s="58">
        <f>IF($D50="","",F50&amp;"|"&amp;COUNTIFS($F$7:F50,F50,$D$7:D50,"&lt;&gt;"))</f>
        <v/>
      </c>
      <c r="AG50" s="58">
        <f>IF(AND($D50&lt;&gt;"",H50="Cash"),"Cash|"&amp;COUNTIFS($H$7:H50,"Cash",$D$7:D50,"&lt;&gt;"),"")</f>
        <v/>
      </c>
      <c r="AH50" s="95">
        <f>IF(AND($D50&lt;&gt;"",OR(F50="Cost of Sales",F50="Operating Expense",F50="Other Expense"),Z50&gt;0),Z50+44/1000000,"")</f>
        <v/>
      </c>
      <c r="AI50" s="95">
        <f>L50+M50+SUM(N50:N50)</f>
        <v/>
      </c>
      <c r="AJ50" s="95">
        <f>L50+M50+SUM(N50:O50)</f>
        <v/>
      </c>
      <c r="AK50" s="95">
        <f>L50+M50+SUM(N50:P50)</f>
        <v/>
      </c>
      <c r="AL50" s="95">
        <f>L50+M50+SUM(N50:Q50)</f>
        <v/>
      </c>
      <c r="AM50" s="95">
        <f>L50+M50+SUM(N50:R50)</f>
        <v/>
      </c>
      <c r="AN50" s="95">
        <f>L50+M50+SUM(N50:S50)</f>
        <v/>
      </c>
      <c r="AO50" s="95">
        <f>L50+M50+SUM(N50:T50)</f>
        <v/>
      </c>
      <c r="AP50" s="95">
        <f>L50+M50+SUM(N50:U50)</f>
        <v/>
      </c>
      <c r="AQ50" s="95">
        <f>L50+M50+SUM(N50:V50)</f>
        <v/>
      </c>
      <c r="AR50" s="95">
        <f>L50+M50+SUM(N50:W50)</f>
        <v/>
      </c>
      <c r="AS50" s="95">
        <f>L50+M50+SUM(N50:X50)</f>
        <v/>
      </c>
      <c r="AT50" s="95">
        <f>L50+M50+SUM(N50:Y50)</f>
        <v/>
      </c>
    </row>
    <row r="51">
      <c r="B51" s="58" t="n">
        <v>45</v>
      </c>
      <c r="C51" s="58">
        <f>IFERROR(INDEX(coa_Name,45)&amp;"","")</f>
        <v/>
      </c>
      <c r="D51" s="58">
        <f>IF(C51="","",IF(COUNTIF($C$7:C51,C51)&gt;1,"",C51))</f>
        <v/>
      </c>
      <c r="E51" s="58">
        <f>IF($D51="","",INDEX(coa_Code,45))</f>
        <v/>
      </c>
      <c r="F51" s="58">
        <f>IF($D51="","",INDEX(coa_Type,45)&amp;"")</f>
        <v/>
      </c>
      <c r="G51" s="58">
        <f>IF($D51="","",INDEX(coa_Normal,45)&amp;"")</f>
        <v/>
      </c>
      <c r="H51" s="58">
        <f>IF($D51="","",IF(INDEX(coa_CF,45)&amp;""="","Operating",INDEX(coa_CF,45)&amp;""))</f>
        <v/>
      </c>
      <c r="I51" s="58">
        <f>IF($D51="","",IFERROR(INDEX(at_Stmt,MATCH(F51,at_Type,0)),""))</f>
        <v/>
      </c>
      <c r="J51" s="58">
        <f>IF($D51="",0,IFERROR(INDEX(at_Sign,MATCH(F51,at_Type,0)),0))</f>
        <v/>
      </c>
      <c r="K51" s="95">
        <f>IF($D51="",0,IF(G51="Credit",-1,1)*N(INDEX(coa_Open,45)))</f>
        <v/>
      </c>
      <c r="L51" s="95">
        <f>IF($D51="",0,IF($D51=acctOBE,K51-SUM($K$7:$K$156),K51))</f>
        <v/>
      </c>
      <c r="M51" s="95">
        <f>IF($D51="",0,SUMIFS(j_DrAmt,j_DrAcct,$D51,j_Per,0)-SUMIFS(j_CrAmt,j_CrAcct,$D51,j_Per,0)+IF($D51=acctTax,SUMIFS(j_TaxDr,j_Posted,1,j_Per,0)-SUMIFS(j_TaxCr,j_Posted,1,j_Per,0),0))</f>
        <v/>
      </c>
      <c r="N51" s="95">
        <f>IF($D51="",0,SUMIFS(j_DrAmt,j_DrAcct,$D51,j_Per,1)-SUMIFS(j_CrAmt,j_CrAcct,$D51,j_Per,1)+IF($D51=acctTax,SUMIFS(j_TaxDr,j_Posted,1,j_Per,1)-SUMIFS(j_TaxCr,j_Posted,1,j_Per,1),0))</f>
        <v/>
      </c>
      <c r="O51" s="95">
        <f>IF($D51="",0,SUMIFS(j_DrAmt,j_DrAcct,$D51,j_Per,2)-SUMIFS(j_CrAmt,j_CrAcct,$D51,j_Per,2)+IF($D51=acctTax,SUMIFS(j_TaxDr,j_Posted,1,j_Per,2)-SUMIFS(j_TaxCr,j_Posted,1,j_Per,2),0))</f>
        <v/>
      </c>
      <c r="P51" s="95">
        <f>IF($D51="",0,SUMIFS(j_DrAmt,j_DrAcct,$D51,j_Per,3)-SUMIFS(j_CrAmt,j_CrAcct,$D51,j_Per,3)+IF($D51=acctTax,SUMIFS(j_TaxDr,j_Posted,1,j_Per,3)-SUMIFS(j_TaxCr,j_Posted,1,j_Per,3),0))</f>
        <v/>
      </c>
      <c r="Q51" s="95">
        <f>IF($D51="",0,SUMIFS(j_DrAmt,j_DrAcct,$D51,j_Per,4)-SUMIFS(j_CrAmt,j_CrAcct,$D51,j_Per,4)+IF($D51=acctTax,SUMIFS(j_TaxDr,j_Posted,1,j_Per,4)-SUMIFS(j_TaxCr,j_Posted,1,j_Per,4),0))</f>
        <v/>
      </c>
      <c r="R51" s="95">
        <f>IF($D51="",0,SUMIFS(j_DrAmt,j_DrAcct,$D51,j_Per,5)-SUMIFS(j_CrAmt,j_CrAcct,$D51,j_Per,5)+IF($D51=acctTax,SUMIFS(j_TaxDr,j_Posted,1,j_Per,5)-SUMIFS(j_TaxCr,j_Posted,1,j_Per,5),0))</f>
        <v/>
      </c>
      <c r="S51" s="95">
        <f>IF($D51="",0,SUMIFS(j_DrAmt,j_DrAcct,$D51,j_Per,6)-SUMIFS(j_CrAmt,j_CrAcct,$D51,j_Per,6)+IF($D51=acctTax,SUMIFS(j_TaxDr,j_Posted,1,j_Per,6)-SUMIFS(j_TaxCr,j_Posted,1,j_Per,6),0))</f>
        <v/>
      </c>
      <c r="T51" s="95">
        <f>IF($D51="",0,SUMIFS(j_DrAmt,j_DrAcct,$D51,j_Per,7)-SUMIFS(j_CrAmt,j_CrAcct,$D51,j_Per,7)+IF($D51=acctTax,SUMIFS(j_TaxDr,j_Posted,1,j_Per,7)-SUMIFS(j_TaxCr,j_Posted,1,j_Per,7),0))</f>
        <v/>
      </c>
      <c r="U51" s="95">
        <f>IF($D51="",0,SUMIFS(j_DrAmt,j_DrAcct,$D51,j_Per,8)-SUMIFS(j_CrAmt,j_CrAcct,$D51,j_Per,8)+IF($D51=acctTax,SUMIFS(j_TaxDr,j_Posted,1,j_Per,8)-SUMIFS(j_TaxCr,j_Posted,1,j_Per,8),0))</f>
        <v/>
      </c>
      <c r="V51" s="95">
        <f>IF($D51="",0,SUMIFS(j_DrAmt,j_DrAcct,$D51,j_Per,9)-SUMIFS(j_CrAmt,j_CrAcct,$D51,j_Per,9)+IF($D51=acctTax,SUMIFS(j_TaxDr,j_Posted,1,j_Per,9)-SUMIFS(j_TaxCr,j_Posted,1,j_Per,9),0))</f>
        <v/>
      </c>
      <c r="W51" s="95">
        <f>IF($D51="",0,SUMIFS(j_DrAmt,j_DrAcct,$D51,j_Per,10)-SUMIFS(j_CrAmt,j_CrAcct,$D51,j_Per,10)+IF($D51=acctTax,SUMIFS(j_TaxDr,j_Posted,1,j_Per,10)-SUMIFS(j_TaxCr,j_Posted,1,j_Per,10),0))</f>
        <v/>
      </c>
      <c r="X51" s="95">
        <f>IF($D51="",0,SUMIFS(j_DrAmt,j_DrAcct,$D51,j_Per,11)-SUMIFS(j_CrAmt,j_CrAcct,$D51,j_Per,11)+IF($D51=acctTax,SUMIFS(j_TaxDr,j_Posted,1,j_Per,11)-SUMIFS(j_TaxCr,j_Posted,1,j_Per,11),0))</f>
        <v/>
      </c>
      <c r="Y51" s="95">
        <f>IF($D51="",0,SUMIFS(j_DrAmt,j_DrAcct,$D51,j_Per,12)-SUMIFS(j_CrAmt,j_CrAcct,$D51,j_Per,12)+IF($D51=acctTax,SUMIFS(j_TaxDr,j_Posted,1,j_Per,12)-SUMIFS(j_TaxCr,j_Posted,1,j_Per,12),0))</f>
        <v/>
      </c>
      <c r="Z51" s="95">
        <f>SUMPRODUCT(($N$5:$Y$5&lt;=RptIdx)*N51:Y51)</f>
        <v/>
      </c>
      <c r="AA51" s="95">
        <f>IF(AND(RptIdx&gt;=1,RptIdx&lt;=12),INDEX(N51:Y51,RptIdx),0)</f>
        <v/>
      </c>
      <c r="AB51" s="95">
        <f>IF($D51="",0,IF(RptIdx&gt;1,INDEX(N51:Y51,RptIdx-1),SUMIFS(j_DrAmt,j_DrAcct,$D51,j_Date,"&gt;="&amp;PrevStart,j_Date,"&lt;="&amp;PrevEnd)-SUMIFS(j_CrAmt,j_CrAcct,$D51,j_Date,"&gt;="&amp;PrevStart,j_Date,"&lt;="&amp;PrevEnd)+IF($D51=acctTax,SUMIFS(j_TaxDr,j_Posted,1,j_Date,"&gt;="&amp;PrevStart,j_Date,"&lt;="&amp;PrevEnd)-SUMIFS(j_TaxCr,j_Posted,1,j_Date,"&gt;="&amp;PrevStart,j_Date,"&lt;="&amp;PrevEnd),0)))</f>
        <v/>
      </c>
      <c r="AC51" s="95">
        <f>SUM(N51:Y51)</f>
        <v/>
      </c>
      <c r="AD51" s="95">
        <f>L51+M51+Z51</f>
        <v/>
      </c>
      <c r="AE51" s="95">
        <f>AD51-AA51</f>
        <v/>
      </c>
      <c r="AF51" s="58">
        <f>IF($D51="","",F51&amp;"|"&amp;COUNTIFS($F$7:F51,F51,$D$7:D51,"&lt;&gt;"))</f>
        <v/>
      </c>
      <c r="AG51" s="58">
        <f>IF(AND($D51&lt;&gt;"",H51="Cash"),"Cash|"&amp;COUNTIFS($H$7:H51,"Cash",$D$7:D51,"&lt;&gt;"),"")</f>
        <v/>
      </c>
      <c r="AH51" s="95">
        <f>IF(AND($D51&lt;&gt;"",OR(F51="Cost of Sales",F51="Operating Expense",F51="Other Expense"),Z51&gt;0),Z51+45/1000000,"")</f>
        <v/>
      </c>
      <c r="AI51" s="95">
        <f>L51+M51+SUM(N51:N51)</f>
        <v/>
      </c>
      <c r="AJ51" s="95">
        <f>L51+M51+SUM(N51:O51)</f>
        <v/>
      </c>
      <c r="AK51" s="95">
        <f>L51+M51+SUM(N51:P51)</f>
        <v/>
      </c>
      <c r="AL51" s="95">
        <f>L51+M51+SUM(N51:Q51)</f>
        <v/>
      </c>
      <c r="AM51" s="95">
        <f>L51+M51+SUM(N51:R51)</f>
        <v/>
      </c>
      <c r="AN51" s="95">
        <f>L51+M51+SUM(N51:S51)</f>
        <v/>
      </c>
      <c r="AO51" s="95">
        <f>L51+M51+SUM(N51:T51)</f>
        <v/>
      </c>
      <c r="AP51" s="95">
        <f>L51+M51+SUM(N51:U51)</f>
        <v/>
      </c>
      <c r="AQ51" s="95">
        <f>L51+M51+SUM(N51:V51)</f>
        <v/>
      </c>
      <c r="AR51" s="95">
        <f>L51+M51+SUM(N51:W51)</f>
        <v/>
      </c>
      <c r="AS51" s="95">
        <f>L51+M51+SUM(N51:X51)</f>
        <v/>
      </c>
      <c r="AT51" s="95">
        <f>L51+M51+SUM(N51:Y51)</f>
        <v/>
      </c>
    </row>
    <row r="52">
      <c r="B52" s="58" t="n">
        <v>46</v>
      </c>
      <c r="C52" s="58">
        <f>IFERROR(INDEX(coa_Name,46)&amp;"","")</f>
        <v/>
      </c>
      <c r="D52" s="58">
        <f>IF(C52="","",IF(COUNTIF($C$7:C52,C52)&gt;1,"",C52))</f>
        <v/>
      </c>
      <c r="E52" s="58">
        <f>IF($D52="","",INDEX(coa_Code,46))</f>
        <v/>
      </c>
      <c r="F52" s="58">
        <f>IF($D52="","",INDEX(coa_Type,46)&amp;"")</f>
        <v/>
      </c>
      <c r="G52" s="58">
        <f>IF($D52="","",INDEX(coa_Normal,46)&amp;"")</f>
        <v/>
      </c>
      <c r="H52" s="58">
        <f>IF($D52="","",IF(INDEX(coa_CF,46)&amp;""="","Operating",INDEX(coa_CF,46)&amp;""))</f>
        <v/>
      </c>
      <c r="I52" s="58">
        <f>IF($D52="","",IFERROR(INDEX(at_Stmt,MATCH(F52,at_Type,0)),""))</f>
        <v/>
      </c>
      <c r="J52" s="58">
        <f>IF($D52="",0,IFERROR(INDEX(at_Sign,MATCH(F52,at_Type,0)),0))</f>
        <v/>
      </c>
      <c r="K52" s="95">
        <f>IF($D52="",0,IF(G52="Credit",-1,1)*N(INDEX(coa_Open,46)))</f>
        <v/>
      </c>
      <c r="L52" s="95">
        <f>IF($D52="",0,IF($D52=acctOBE,K52-SUM($K$7:$K$156),K52))</f>
        <v/>
      </c>
      <c r="M52" s="95">
        <f>IF($D52="",0,SUMIFS(j_DrAmt,j_DrAcct,$D52,j_Per,0)-SUMIFS(j_CrAmt,j_CrAcct,$D52,j_Per,0)+IF($D52=acctTax,SUMIFS(j_TaxDr,j_Posted,1,j_Per,0)-SUMIFS(j_TaxCr,j_Posted,1,j_Per,0),0))</f>
        <v/>
      </c>
      <c r="N52" s="95">
        <f>IF($D52="",0,SUMIFS(j_DrAmt,j_DrAcct,$D52,j_Per,1)-SUMIFS(j_CrAmt,j_CrAcct,$D52,j_Per,1)+IF($D52=acctTax,SUMIFS(j_TaxDr,j_Posted,1,j_Per,1)-SUMIFS(j_TaxCr,j_Posted,1,j_Per,1),0))</f>
        <v/>
      </c>
      <c r="O52" s="95">
        <f>IF($D52="",0,SUMIFS(j_DrAmt,j_DrAcct,$D52,j_Per,2)-SUMIFS(j_CrAmt,j_CrAcct,$D52,j_Per,2)+IF($D52=acctTax,SUMIFS(j_TaxDr,j_Posted,1,j_Per,2)-SUMIFS(j_TaxCr,j_Posted,1,j_Per,2),0))</f>
        <v/>
      </c>
      <c r="P52" s="95">
        <f>IF($D52="",0,SUMIFS(j_DrAmt,j_DrAcct,$D52,j_Per,3)-SUMIFS(j_CrAmt,j_CrAcct,$D52,j_Per,3)+IF($D52=acctTax,SUMIFS(j_TaxDr,j_Posted,1,j_Per,3)-SUMIFS(j_TaxCr,j_Posted,1,j_Per,3),0))</f>
        <v/>
      </c>
      <c r="Q52" s="95">
        <f>IF($D52="",0,SUMIFS(j_DrAmt,j_DrAcct,$D52,j_Per,4)-SUMIFS(j_CrAmt,j_CrAcct,$D52,j_Per,4)+IF($D52=acctTax,SUMIFS(j_TaxDr,j_Posted,1,j_Per,4)-SUMIFS(j_TaxCr,j_Posted,1,j_Per,4),0))</f>
        <v/>
      </c>
      <c r="R52" s="95">
        <f>IF($D52="",0,SUMIFS(j_DrAmt,j_DrAcct,$D52,j_Per,5)-SUMIFS(j_CrAmt,j_CrAcct,$D52,j_Per,5)+IF($D52=acctTax,SUMIFS(j_TaxDr,j_Posted,1,j_Per,5)-SUMIFS(j_TaxCr,j_Posted,1,j_Per,5),0))</f>
        <v/>
      </c>
      <c r="S52" s="95">
        <f>IF($D52="",0,SUMIFS(j_DrAmt,j_DrAcct,$D52,j_Per,6)-SUMIFS(j_CrAmt,j_CrAcct,$D52,j_Per,6)+IF($D52=acctTax,SUMIFS(j_TaxDr,j_Posted,1,j_Per,6)-SUMIFS(j_TaxCr,j_Posted,1,j_Per,6),0))</f>
        <v/>
      </c>
      <c r="T52" s="95">
        <f>IF($D52="",0,SUMIFS(j_DrAmt,j_DrAcct,$D52,j_Per,7)-SUMIFS(j_CrAmt,j_CrAcct,$D52,j_Per,7)+IF($D52=acctTax,SUMIFS(j_TaxDr,j_Posted,1,j_Per,7)-SUMIFS(j_TaxCr,j_Posted,1,j_Per,7),0))</f>
        <v/>
      </c>
      <c r="U52" s="95">
        <f>IF($D52="",0,SUMIFS(j_DrAmt,j_DrAcct,$D52,j_Per,8)-SUMIFS(j_CrAmt,j_CrAcct,$D52,j_Per,8)+IF($D52=acctTax,SUMIFS(j_TaxDr,j_Posted,1,j_Per,8)-SUMIFS(j_TaxCr,j_Posted,1,j_Per,8),0))</f>
        <v/>
      </c>
      <c r="V52" s="95">
        <f>IF($D52="",0,SUMIFS(j_DrAmt,j_DrAcct,$D52,j_Per,9)-SUMIFS(j_CrAmt,j_CrAcct,$D52,j_Per,9)+IF($D52=acctTax,SUMIFS(j_TaxDr,j_Posted,1,j_Per,9)-SUMIFS(j_TaxCr,j_Posted,1,j_Per,9),0))</f>
        <v/>
      </c>
      <c r="W52" s="95">
        <f>IF($D52="",0,SUMIFS(j_DrAmt,j_DrAcct,$D52,j_Per,10)-SUMIFS(j_CrAmt,j_CrAcct,$D52,j_Per,10)+IF($D52=acctTax,SUMIFS(j_TaxDr,j_Posted,1,j_Per,10)-SUMIFS(j_TaxCr,j_Posted,1,j_Per,10),0))</f>
        <v/>
      </c>
      <c r="X52" s="95">
        <f>IF($D52="",0,SUMIFS(j_DrAmt,j_DrAcct,$D52,j_Per,11)-SUMIFS(j_CrAmt,j_CrAcct,$D52,j_Per,11)+IF($D52=acctTax,SUMIFS(j_TaxDr,j_Posted,1,j_Per,11)-SUMIFS(j_TaxCr,j_Posted,1,j_Per,11),0))</f>
        <v/>
      </c>
      <c r="Y52" s="95">
        <f>IF($D52="",0,SUMIFS(j_DrAmt,j_DrAcct,$D52,j_Per,12)-SUMIFS(j_CrAmt,j_CrAcct,$D52,j_Per,12)+IF($D52=acctTax,SUMIFS(j_TaxDr,j_Posted,1,j_Per,12)-SUMIFS(j_TaxCr,j_Posted,1,j_Per,12),0))</f>
        <v/>
      </c>
      <c r="Z52" s="95">
        <f>SUMPRODUCT(($N$5:$Y$5&lt;=RptIdx)*N52:Y52)</f>
        <v/>
      </c>
      <c r="AA52" s="95">
        <f>IF(AND(RptIdx&gt;=1,RptIdx&lt;=12),INDEX(N52:Y52,RptIdx),0)</f>
        <v/>
      </c>
      <c r="AB52" s="95">
        <f>IF($D52="",0,IF(RptIdx&gt;1,INDEX(N52:Y52,RptIdx-1),SUMIFS(j_DrAmt,j_DrAcct,$D52,j_Date,"&gt;="&amp;PrevStart,j_Date,"&lt;="&amp;PrevEnd)-SUMIFS(j_CrAmt,j_CrAcct,$D52,j_Date,"&gt;="&amp;PrevStart,j_Date,"&lt;="&amp;PrevEnd)+IF($D52=acctTax,SUMIFS(j_TaxDr,j_Posted,1,j_Date,"&gt;="&amp;PrevStart,j_Date,"&lt;="&amp;PrevEnd)-SUMIFS(j_TaxCr,j_Posted,1,j_Date,"&gt;="&amp;PrevStart,j_Date,"&lt;="&amp;PrevEnd),0)))</f>
        <v/>
      </c>
      <c r="AC52" s="95">
        <f>SUM(N52:Y52)</f>
        <v/>
      </c>
      <c r="AD52" s="95">
        <f>L52+M52+Z52</f>
        <v/>
      </c>
      <c r="AE52" s="95">
        <f>AD52-AA52</f>
        <v/>
      </c>
      <c r="AF52" s="58">
        <f>IF($D52="","",F52&amp;"|"&amp;COUNTIFS($F$7:F52,F52,$D$7:D52,"&lt;&gt;"))</f>
        <v/>
      </c>
      <c r="AG52" s="58">
        <f>IF(AND($D52&lt;&gt;"",H52="Cash"),"Cash|"&amp;COUNTIFS($H$7:H52,"Cash",$D$7:D52,"&lt;&gt;"),"")</f>
        <v/>
      </c>
      <c r="AH52" s="95">
        <f>IF(AND($D52&lt;&gt;"",OR(F52="Cost of Sales",F52="Operating Expense",F52="Other Expense"),Z52&gt;0),Z52+46/1000000,"")</f>
        <v/>
      </c>
      <c r="AI52" s="95">
        <f>L52+M52+SUM(N52:N52)</f>
        <v/>
      </c>
      <c r="AJ52" s="95">
        <f>L52+M52+SUM(N52:O52)</f>
        <v/>
      </c>
      <c r="AK52" s="95">
        <f>L52+M52+SUM(N52:P52)</f>
        <v/>
      </c>
      <c r="AL52" s="95">
        <f>L52+M52+SUM(N52:Q52)</f>
        <v/>
      </c>
      <c r="AM52" s="95">
        <f>L52+M52+SUM(N52:R52)</f>
        <v/>
      </c>
      <c r="AN52" s="95">
        <f>L52+M52+SUM(N52:S52)</f>
        <v/>
      </c>
      <c r="AO52" s="95">
        <f>L52+M52+SUM(N52:T52)</f>
        <v/>
      </c>
      <c r="AP52" s="95">
        <f>L52+M52+SUM(N52:U52)</f>
        <v/>
      </c>
      <c r="AQ52" s="95">
        <f>L52+M52+SUM(N52:V52)</f>
        <v/>
      </c>
      <c r="AR52" s="95">
        <f>L52+M52+SUM(N52:W52)</f>
        <v/>
      </c>
      <c r="AS52" s="95">
        <f>L52+M52+SUM(N52:X52)</f>
        <v/>
      </c>
      <c r="AT52" s="95">
        <f>L52+M52+SUM(N52:Y52)</f>
        <v/>
      </c>
    </row>
    <row r="53">
      <c r="B53" s="58" t="n">
        <v>47</v>
      </c>
      <c r="C53" s="58">
        <f>IFERROR(INDEX(coa_Name,47)&amp;"","")</f>
        <v/>
      </c>
      <c r="D53" s="58">
        <f>IF(C53="","",IF(COUNTIF($C$7:C53,C53)&gt;1,"",C53))</f>
        <v/>
      </c>
      <c r="E53" s="58">
        <f>IF($D53="","",INDEX(coa_Code,47))</f>
        <v/>
      </c>
      <c r="F53" s="58">
        <f>IF($D53="","",INDEX(coa_Type,47)&amp;"")</f>
        <v/>
      </c>
      <c r="G53" s="58">
        <f>IF($D53="","",INDEX(coa_Normal,47)&amp;"")</f>
        <v/>
      </c>
      <c r="H53" s="58">
        <f>IF($D53="","",IF(INDEX(coa_CF,47)&amp;""="","Operating",INDEX(coa_CF,47)&amp;""))</f>
        <v/>
      </c>
      <c r="I53" s="58">
        <f>IF($D53="","",IFERROR(INDEX(at_Stmt,MATCH(F53,at_Type,0)),""))</f>
        <v/>
      </c>
      <c r="J53" s="58">
        <f>IF($D53="",0,IFERROR(INDEX(at_Sign,MATCH(F53,at_Type,0)),0))</f>
        <v/>
      </c>
      <c r="K53" s="95">
        <f>IF($D53="",0,IF(G53="Credit",-1,1)*N(INDEX(coa_Open,47)))</f>
        <v/>
      </c>
      <c r="L53" s="95">
        <f>IF($D53="",0,IF($D53=acctOBE,K53-SUM($K$7:$K$156),K53))</f>
        <v/>
      </c>
      <c r="M53" s="95">
        <f>IF($D53="",0,SUMIFS(j_DrAmt,j_DrAcct,$D53,j_Per,0)-SUMIFS(j_CrAmt,j_CrAcct,$D53,j_Per,0)+IF($D53=acctTax,SUMIFS(j_TaxDr,j_Posted,1,j_Per,0)-SUMIFS(j_TaxCr,j_Posted,1,j_Per,0),0))</f>
        <v/>
      </c>
      <c r="N53" s="95">
        <f>IF($D53="",0,SUMIFS(j_DrAmt,j_DrAcct,$D53,j_Per,1)-SUMIFS(j_CrAmt,j_CrAcct,$D53,j_Per,1)+IF($D53=acctTax,SUMIFS(j_TaxDr,j_Posted,1,j_Per,1)-SUMIFS(j_TaxCr,j_Posted,1,j_Per,1),0))</f>
        <v/>
      </c>
      <c r="O53" s="95">
        <f>IF($D53="",0,SUMIFS(j_DrAmt,j_DrAcct,$D53,j_Per,2)-SUMIFS(j_CrAmt,j_CrAcct,$D53,j_Per,2)+IF($D53=acctTax,SUMIFS(j_TaxDr,j_Posted,1,j_Per,2)-SUMIFS(j_TaxCr,j_Posted,1,j_Per,2),0))</f>
        <v/>
      </c>
      <c r="P53" s="95">
        <f>IF($D53="",0,SUMIFS(j_DrAmt,j_DrAcct,$D53,j_Per,3)-SUMIFS(j_CrAmt,j_CrAcct,$D53,j_Per,3)+IF($D53=acctTax,SUMIFS(j_TaxDr,j_Posted,1,j_Per,3)-SUMIFS(j_TaxCr,j_Posted,1,j_Per,3),0))</f>
        <v/>
      </c>
      <c r="Q53" s="95">
        <f>IF($D53="",0,SUMIFS(j_DrAmt,j_DrAcct,$D53,j_Per,4)-SUMIFS(j_CrAmt,j_CrAcct,$D53,j_Per,4)+IF($D53=acctTax,SUMIFS(j_TaxDr,j_Posted,1,j_Per,4)-SUMIFS(j_TaxCr,j_Posted,1,j_Per,4),0))</f>
        <v/>
      </c>
      <c r="R53" s="95">
        <f>IF($D53="",0,SUMIFS(j_DrAmt,j_DrAcct,$D53,j_Per,5)-SUMIFS(j_CrAmt,j_CrAcct,$D53,j_Per,5)+IF($D53=acctTax,SUMIFS(j_TaxDr,j_Posted,1,j_Per,5)-SUMIFS(j_TaxCr,j_Posted,1,j_Per,5),0))</f>
        <v/>
      </c>
      <c r="S53" s="95">
        <f>IF($D53="",0,SUMIFS(j_DrAmt,j_DrAcct,$D53,j_Per,6)-SUMIFS(j_CrAmt,j_CrAcct,$D53,j_Per,6)+IF($D53=acctTax,SUMIFS(j_TaxDr,j_Posted,1,j_Per,6)-SUMIFS(j_TaxCr,j_Posted,1,j_Per,6),0))</f>
        <v/>
      </c>
      <c r="T53" s="95">
        <f>IF($D53="",0,SUMIFS(j_DrAmt,j_DrAcct,$D53,j_Per,7)-SUMIFS(j_CrAmt,j_CrAcct,$D53,j_Per,7)+IF($D53=acctTax,SUMIFS(j_TaxDr,j_Posted,1,j_Per,7)-SUMIFS(j_TaxCr,j_Posted,1,j_Per,7),0))</f>
        <v/>
      </c>
      <c r="U53" s="95">
        <f>IF($D53="",0,SUMIFS(j_DrAmt,j_DrAcct,$D53,j_Per,8)-SUMIFS(j_CrAmt,j_CrAcct,$D53,j_Per,8)+IF($D53=acctTax,SUMIFS(j_TaxDr,j_Posted,1,j_Per,8)-SUMIFS(j_TaxCr,j_Posted,1,j_Per,8),0))</f>
        <v/>
      </c>
      <c r="V53" s="95">
        <f>IF($D53="",0,SUMIFS(j_DrAmt,j_DrAcct,$D53,j_Per,9)-SUMIFS(j_CrAmt,j_CrAcct,$D53,j_Per,9)+IF($D53=acctTax,SUMIFS(j_TaxDr,j_Posted,1,j_Per,9)-SUMIFS(j_TaxCr,j_Posted,1,j_Per,9),0))</f>
        <v/>
      </c>
      <c r="W53" s="95">
        <f>IF($D53="",0,SUMIFS(j_DrAmt,j_DrAcct,$D53,j_Per,10)-SUMIFS(j_CrAmt,j_CrAcct,$D53,j_Per,10)+IF($D53=acctTax,SUMIFS(j_TaxDr,j_Posted,1,j_Per,10)-SUMIFS(j_TaxCr,j_Posted,1,j_Per,10),0))</f>
        <v/>
      </c>
      <c r="X53" s="95">
        <f>IF($D53="",0,SUMIFS(j_DrAmt,j_DrAcct,$D53,j_Per,11)-SUMIFS(j_CrAmt,j_CrAcct,$D53,j_Per,11)+IF($D53=acctTax,SUMIFS(j_TaxDr,j_Posted,1,j_Per,11)-SUMIFS(j_TaxCr,j_Posted,1,j_Per,11),0))</f>
        <v/>
      </c>
      <c r="Y53" s="95">
        <f>IF($D53="",0,SUMIFS(j_DrAmt,j_DrAcct,$D53,j_Per,12)-SUMIFS(j_CrAmt,j_CrAcct,$D53,j_Per,12)+IF($D53=acctTax,SUMIFS(j_TaxDr,j_Posted,1,j_Per,12)-SUMIFS(j_TaxCr,j_Posted,1,j_Per,12),0))</f>
        <v/>
      </c>
      <c r="Z53" s="95">
        <f>SUMPRODUCT(($N$5:$Y$5&lt;=RptIdx)*N53:Y53)</f>
        <v/>
      </c>
      <c r="AA53" s="95">
        <f>IF(AND(RptIdx&gt;=1,RptIdx&lt;=12),INDEX(N53:Y53,RptIdx),0)</f>
        <v/>
      </c>
      <c r="AB53" s="95">
        <f>IF($D53="",0,IF(RptIdx&gt;1,INDEX(N53:Y53,RptIdx-1),SUMIFS(j_DrAmt,j_DrAcct,$D53,j_Date,"&gt;="&amp;PrevStart,j_Date,"&lt;="&amp;PrevEnd)-SUMIFS(j_CrAmt,j_CrAcct,$D53,j_Date,"&gt;="&amp;PrevStart,j_Date,"&lt;="&amp;PrevEnd)+IF($D53=acctTax,SUMIFS(j_TaxDr,j_Posted,1,j_Date,"&gt;="&amp;PrevStart,j_Date,"&lt;="&amp;PrevEnd)-SUMIFS(j_TaxCr,j_Posted,1,j_Date,"&gt;="&amp;PrevStart,j_Date,"&lt;="&amp;PrevEnd),0)))</f>
        <v/>
      </c>
      <c r="AC53" s="95">
        <f>SUM(N53:Y53)</f>
        <v/>
      </c>
      <c r="AD53" s="95">
        <f>L53+M53+Z53</f>
        <v/>
      </c>
      <c r="AE53" s="95">
        <f>AD53-AA53</f>
        <v/>
      </c>
      <c r="AF53" s="58">
        <f>IF($D53="","",F53&amp;"|"&amp;COUNTIFS($F$7:F53,F53,$D$7:D53,"&lt;&gt;"))</f>
        <v/>
      </c>
      <c r="AG53" s="58">
        <f>IF(AND($D53&lt;&gt;"",H53="Cash"),"Cash|"&amp;COUNTIFS($H$7:H53,"Cash",$D$7:D53,"&lt;&gt;"),"")</f>
        <v/>
      </c>
      <c r="AH53" s="95">
        <f>IF(AND($D53&lt;&gt;"",OR(F53="Cost of Sales",F53="Operating Expense",F53="Other Expense"),Z53&gt;0),Z53+47/1000000,"")</f>
        <v/>
      </c>
      <c r="AI53" s="95">
        <f>L53+M53+SUM(N53:N53)</f>
        <v/>
      </c>
      <c r="AJ53" s="95">
        <f>L53+M53+SUM(N53:O53)</f>
        <v/>
      </c>
      <c r="AK53" s="95">
        <f>L53+M53+SUM(N53:P53)</f>
        <v/>
      </c>
      <c r="AL53" s="95">
        <f>L53+M53+SUM(N53:Q53)</f>
        <v/>
      </c>
      <c r="AM53" s="95">
        <f>L53+M53+SUM(N53:R53)</f>
        <v/>
      </c>
      <c r="AN53" s="95">
        <f>L53+M53+SUM(N53:S53)</f>
        <v/>
      </c>
      <c r="AO53" s="95">
        <f>L53+M53+SUM(N53:T53)</f>
        <v/>
      </c>
      <c r="AP53" s="95">
        <f>L53+M53+SUM(N53:U53)</f>
        <v/>
      </c>
      <c r="AQ53" s="95">
        <f>L53+M53+SUM(N53:V53)</f>
        <v/>
      </c>
      <c r="AR53" s="95">
        <f>L53+M53+SUM(N53:W53)</f>
        <v/>
      </c>
      <c r="AS53" s="95">
        <f>L53+M53+SUM(N53:X53)</f>
        <v/>
      </c>
      <c r="AT53" s="95">
        <f>L53+M53+SUM(N53:Y53)</f>
        <v/>
      </c>
    </row>
    <row r="54">
      <c r="B54" s="58" t="n">
        <v>48</v>
      </c>
      <c r="C54" s="58">
        <f>IFERROR(INDEX(coa_Name,48)&amp;"","")</f>
        <v/>
      </c>
      <c r="D54" s="58">
        <f>IF(C54="","",IF(COUNTIF($C$7:C54,C54)&gt;1,"",C54))</f>
        <v/>
      </c>
      <c r="E54" s="58">
        <f>IF($D54="","",INDEX(coa_Code,48))</f>
        <v/>
      </c>
      <c r="F54" s="58">
        <f>IF($D54="","",INDEX(coa_Type,48)&amp;"")</f>
        <v/>
      </c>
      <c r="G54" s="58">
        <f>IF($D54="","",INDEX(coa_Normal,48)&amp;"")</f>
        <v/>
      </c>
      <c r="H54" s="58">
        <f>IF($D54="","",IF(INDEX(coa_CF,48)&amp;""="","Operating",INDEX(coa_CF,48)&amp;""))</f>
        <v/>
      </c>
      <c r="I54" s="58">
        <f>IF($D54="","",IFERROR(INDEX(at_Stmt,MATCH(F54,at_Type,0)),""))</f>
        <v/>
      </c>
      <c r="J54" s="58">
        <f>IF($D54="",0,IFERROR(INDEX(at_Sign,MATCH(F54,at_Type,0)),0))</f>
        <v/>
      </c>
      <c r="K54" s="95">
        <f>IF($D54="",0,IF(G54="Credit",-1,1)*N(INDEX(coa_Open,48)))</f>
        <v/>
      </c>
      <c r="L54" s="95">
        <f>IF($D54="",0,IF($D54=acctOBE,K54-SUM($K$7:$K$156),K54))</f>
        <v/>
      </c>
      <c r="M54" s="95">
        <f>IF($D54="",0,SUMIFS(j_DrAmt,j_DrAcct,$D54,j_Per,0)-SUMIFS(j_CrAmt,j_CrAcct,$D54,j_Per,0)+IF($D54=acctTax,SUMIFS(j_TaxDr,j_Posted,1,j_Per,0)-SUMIFS(j_TaxCr,j_Posted,1,j_Per,0),0))</f>
        <v/>
      </c>
      <c r="N54" s="95">
        <f>IF($D54="",0,SUMIFS(j_DrAmt,j_DrAcct,$D54,j_Per,1)-SUMIFS(j_CrAmt,j_CrAcct,$D54,j_Per,1)+IF($D54=acctTax,SUMIFS(j_TaxDr,j_Posted,1,j_Per,1)-SUMIFS(j_TaxCr,j_Posted,1,j_Per,1),0))</f>
        <v/>
      </c>
      <c r="O54" s="95">
        <f>IF($D54="",0,SUMIFS(j_DrAmt,j_DrAcct,$D54,j_Per,2)-SUMIFS(j_CrAmt,j_CrAcct,$D54,j_Per,2)+IF($D54=acctTax,SUMIFS(j_TaxDr,j_Posted,1,j_Per,2)-SUMIFS(j_TaxCr,j_Posted,1,j_Per,2),0))</f>
        <v/>
      </c>
      <c r="P54" s="95">
        <f>IF($D54="",0,SUMIFS(j_DrAmt,j_DrAcct,$D54,j_Per,3)-SUMIFS(j_CrAmt,j_CrAcct,$D54,j_Per,3)+IF($D54=acctTax,SUMIFS(j_TaxDr,j_Posted,1,j_Per,3)-SUMIFS(j_TaxCr,j_Posted,1,j_Per,3),0))</f>
        <v/>
      </c>
      <c r="Q54" s="95">
        <f>IF($D54="",0,SUMIFS(j_DrAmt,j_DrAcct,$D54,j_Per,4)-SUMIFS(j_CrAmt,j_CrAcct,$D54,j_Per,4)+IF($D54=acctTax,SUMIFS(j_TaxDr,j_Posted,1,j_Per,4)-SUMIFS(j_TaxCr,j_Posted,1,j_Per,4),0))</f>
        <v/>
      </c>
      <c r="R54" s="95">
        <f>IF($D54="",0,SUMIFS(j_DrAmt,j_DrAcct,$D54,j_Per,5)-SUMIFS(j_CrAmt,j_CrAcct,$D54,j_Per,5)+IF($D54=acctTax,SUMIFS(j_TaxDr,j_Posted,1,j_Per,5)-SUMIFS(j_TaxCr,j_Posted,1,j_Per,5),0))</f>
        <v/>
      </c>
      <c r="S54" s="95">
        <f>IF($D54="",0,SUMIFS(j_DrAmt,j_DrAcct,$D54,j_Per,6)-SUMIFS(j_CrAmt,j_CrAcct,$D54,j_Per,6)+IF($D54=acctTax,SUMIFS(j_TaxDr,j_Posted,1,j_Per,6)-SUMIFS(j_TaxCr,j_Posted,1,j_Per,6),0))</f>
        <v/>
      </c>
      <c r="T54" s="95">
        <f>IF($D54="",0,SUMIFS(j_DrAmt,j_DrAcct,$D54,j_Per,7)-SUMIFS(j_CrAmt,j_CrAcct,$D54,j_Per,7)+IF($D54=acctTax,SUMIFS(j_TaxDr,j_Posted,1,j_Per,7)-SUMIFS(j_TaxCr,j_Posted,1,j_Per,7),0))</f>
        <v/>
      </c>
      <c r="U54" s="95">
        <f>IF($D54="",0,SUMIFS(j_DrAmt,j_DrAcct,$D54,j_Per,8)-SUMIFS(j_CrAmt,j_CrAcct,$D54,j_Per,8)+IF($D54=acctTax,SUMIFS(j_TaxDr,j_Posted,1,j_Per,8)-SUMIFS(j_TaxCr,j_Posted,1,j_Per,8),0))</f>
        <v/>
      </c>
      <c r="V54" s="95">
        <f>IF($D54="",0,SUMIFS(j_DrAmt,j_DrAcct,$D54,j_Per,9)-SUMIFS(j_CrAmt,j_CrAcct,$D54,j_Per,9)+IF($D54=acctTax,SUMIFS(j_TaxDr,j_Posted,1,j_Per,9)-SUMIFS(j_TaxCr,j_Posted,1,j_Per,9),0))</f>
        <v/>
      </c>
      <c r="W54" s="95">
        <f>IF($D54="",0,SUMIFS(j_DrAmt,j_DrAcct,$D54,j_Per,10)-SUMIFS(j_CrAmt,j_CrAcct,$D54,j_Per,10)+IF($D54=acctTax,SUMIFS(j_TaxDr,j_Posted,1,j_Per,10)-SUMIFS(j_TaxCr,j_Posted,1,j_Per,10),0))</f>
        <v/>
      </c>
      <c r="X54" s="95">
        <f>IF($D54="",0,SUMIFS(j_DrAmt,j_DrAcct,$D54,j_Per,11)-SUMIFS(j_CrAmt,j_CrAcct,$D54,j_Per,11)+IF($D54=acctTax,SUMIFS(j_TaxDr,j_Posted,1,j_Per,11)-SUMIFS(j_TaxCr,j_Posted,1,j_Per,11),0))</f>
        <v/>
      </c>
      <c r="Y54" s="95">
        <f>IF($D54="",0,SUMIFS(j_DrAmt,j_DrAcct,$D54,j_Per,12)-SUMIFS(j_CrAmt,j_CrAcct,$D54,j_Per,12)+IF($D54=acctTax,SUMIFS(j_TaxDr,j_Posted,1,j_Per,12)-SUMIFS(j_TaxCr,j_Posted,1,j_Per,12),0))</f>
        <v/>
      </c>
      <c r="Z54" s="95">
        <f>SUMPRODUCT(($N$5:$Y$5&lt;=RptIdx)*N54:Y54)</f>
        <v/>
      </c>
      <c r="AA54" s="95">
        <f>IF(AND(RptIdx&gt;=1,RptIdx&lt;=12),INDEX(N54:Y54,RptIdx),0)</f>
        <v/>
      </c>
      <c r="AB54" s="95">
        <f>IF($D54="",0,IF(RptIdx&gt;1,INDEX(N54:Y54,RptIdx-1),SUMIFS(j_DrAmt,j_DrAcct,$D54,j_Date,"&gt;="&amp;PrevStart,j_Date,"&lt;="&amp;PrevEnd)-SUMIFS(j_CrAmt,j_CrAcct,$D54,j_Date,"&gt;="&amp;PrevStart,j_Date,"&lt;="&amp;PrevEnd)+IF($D54=acctTax,SUMIFS(j_TaxDr,j_Posted,1,j_Date,"&gt;="&amp;PrevStart,j_Date,"&lt;="&amp;PrevEnd)-SUMIFS(j_TaxCr,j_Posted,1,j_Date,"&gt;="&amp;PrevStart,j_Date,"&lt;="&amp;PrevEnd),0)))</f>
        <v/>
      </c>
      <c r="AC54" s="95">
        <f>SUM(N54:Y54)</f>
        <v/>
      </c>
      <c r="AD54" s="95">
        <f>L54+M54+Z54</f>
        <v/>
      </c>
      <c r="AE54" s="95">
        <f>AD54-AA54</f>
        <v/>
      </c>
      <c r="AF54" s="58">
        <f>IF($D54="","",F54&amp;"|"&amp;COUNTIFS($F$7:F54,F54,$D$7:D54,"&lt;&gt;"))</f>
        <v/>
      </c>
      <c r="AG54" s="58">
        <f>IF(AND($D54&lt;&gt;"",H54="Cash"),"Cash|"&amp;COUNTIFS($H$7:H54,"Cash",$D$7:D54,"&lt;&gt;"),"")</f>
        <v/>
      </c>
      <c r="AH54" s="95">
        <f>IF(AND($D54&lt;&gt;"",OR(F54="Cost of Sales",F54="Operating Expense",F54="Other Expense"),Z54&gt;0),Z54+48/1000000,"")</f>
        <v/>
      </c>
      <c r="AI54" s="95">
        <f>L54+M54+SUM(N54:N54)</f>
        <v/>
      </c>
      <c r="AJ54" s="95">
        <f>L54+M54+SUM(N54:O54)</f>
        <v/>
      </c>
      <c r="AK54" s="95">
        <f>L54+M54+SUM(N54:P54)</f>
        <v/>
      </c>
      <c r="AL54" s="95">
        <f>L54+M54+SUM(N54:Q54)</f>
        <v/>
      </c>
      <c r="AM54" s="95">
        <f>L54+M54+SUM(N54:R54)</f>
        <v/>
      </c>
      <c r="AN54" s="95">
        <f>L54+M54+SUM(N54:S54)</f>
        <v/>
      </c>
      <c r="AO54" s="95">
        <f>L54+M54+SUM(N54:T54)</f>
        <v/>
      </c>
      <c r="AP54" s="95">
        <f>L54+M54+SUM(N54:U54)</f>
        <v/>
      </c>
      <c r="AQ54" s="95">
        <f>L54+M54+SUM(N54:V54)</f>
        <v/>
      </c>
      <c r="AR54" s="95">
        <f>L54+M54+SUM(N54:W54)</f>
        <v/>
      </c>
      <c r="AS54" s="95">
        <f>L54+M54+SUM(N54:X54)</f>
        <v/>
      </c>
      <c r="AT54" s="95">
        <f>L54+M54+SUM(N54:Y54)</f>
        <v/>
      </c>
    </row>
    <row r="55">
      <c r="B55" s="58" t="n">
        <v>49</v>
      </c>
      <c r="C55" s="58">
        <f>IFERROR(INDEX(coa_Name,49)&amp;"","")</f>
        <v/>
      </c>
      <c r="D55" s="58">
        <f>IF(C55="","",IF(COUNTIF($C$7:C55,C55)&gt;1,"",C55))</f>
        <v/>
      </c>
      <c r="E55" s="58">
        <f>IF($D55="","",INDEX(coa_Code,49))</f>
        <v/>
      </c>
      <c r="F55" s="58">
        <f>IF($D55="","",INDEX(coa_Type,49)&amp;"")</f>
        <v/>
      </c>
      <c r="G55" s="58">
        <f>IF($D55="","",INDEX(coa_Normal,49)&amp;"")</f>
        <v/>
      </c>
      <c r="H55" s="58">
        <f>IF($D55="","",IF(INDEX(coa_CF,49)&amp;""="","Operating",INDEX(coa_CF,49)&amp;""))</f>
        <v/>
      </c>
      <c r="I55" s="58">
        <f>IF($D55="","",IFERROR(INDEX(at_Stmt,MATCH(F55,at_Type,0)),""))</f>
        <v/>
      </c>
      <c r="J55" s="58">
        <f>IF($D55="",0,IFERROR(INDEX(at_Sign,MATCH(F55,at_Type,0)),0))</f>
        <v/>
      </c>
      <c r="K55" s="95">
        <f>IF($D55="",0,IF(G55="Credit",-1,1)*N(INDEX(coa_Open,49)))</f>
        <v/>
      </c>
      <c r="L55" s="95">
        <f>IF($D55="",0,IF($D55=acctOBE,K55-SUM($K$7:$K$156),K55))</f>
        <v/>
      </c>
      <c r="M55" s="95">
        <f>IF($D55="",0,SUMIFS(j_DrAmt,j_DrAcct,$D55,j_Per,0)-SUMIFS(j_CrAmt,j_CrAcct,$D55,j_Per,0)+IF($D55=acctTax,SUMIFS(j_TaxDr,j_Posted,1,j_Per,0)-SUMIFS(j_TaxCr,j_Posted,1,j_Per,0),0))</f>
        <v/>
      </c>
      <c r="N55" s="95">
        <f>IF($D55="",0,SUMIFS(j_DrAmt,j_DrAcct,$D55,j_Per,1)-SUMIFS(j_CrAmt,j_CrAcct,$D55,j_Per,1)+IF($D55=acctTax,SUMIFS(j_TaxDr,j_Posted,1,j_Per,1)-SUMIFS(j_TaxCr,j_Posted,1,j_Per,1),0))</f>
        <v/>
      </c>
      <c r="O55" s="95">
        <f>IF($D55="",0,SUMIFS(j_DrAmt,j_DrAcct,$D55,j_Per,2)-SUMIFS(j_CrAmt,j_CrAcct,$D55,j_Per,2)+IF($D55=acctTax,SUMIFS(j_TaxDr,j_Posted,1,j_Per,2)-SUMIFS(j_TaxCr,j_Posted,1,j_Per,2),0))</f>
        <v/>
      </c>
      <c r="P55" s="95">
        <f>IF($D55="",0,SUMIFS(j_DrAmt,j_DrAcct,$D55,j_Per,3)-SUMIFS(j_CrAmt,j_CrAcct,$D55,j_Per,3)+IF($D55=acctTax,SUMIFS(j_TaxDr,j_Posted,1,j_Per,3)-SUMIFS(j_TaxCr,j_Posted,1,j_Per,3),0))</f>
        <v/>
      </c>
      <c r="Q55" s="95">
        <f>IF($D55="",0,SUMIFS(j_DrAmt,j_DrAcct,$D55,j_Per,4)-SUMIFS(j_CrAmt,j_CrAcct,$D55,j_Per,4)+IF($D55=acctTax,SUMIFS(j_TaxDr,j_Posted,1,j_Per,4)-SUMIFS(j_TaxCr,j_Posted,1,j_Per,4),0))</f>
        <v/>
      </c>
      <c r="R55" s="95">
        <f>IF($D55="",0,SUMIFS(j_DrAmt,j_DrAcct,$D55,j_Per,5)-SUMIFS(j_CrAmt,j_CrAcct,$D55,j_Per,5)+IF($D55=acctTax,SUMIFS(j_TaxDr,j_Posted,1,j_Per,5)-SUMIFS(j_TaxCr,j_Posted,1,j_Per,5),0))</f>
        <v/>
      </c>
      <c r="S55" s="95">
        <f>IF($D55="",0,SUMIFS(j_DrAmt,j_DrAcct,$D55,j_Per,6)-SUMIFS(j_CrAmt,j_CrAcct,$D55,j_Per,6)+IF($D55=acctTax,SUMIFS(j_TaxDr,j_Posted,1,j_Per,6)-SUMIFS(j_TaxCr,j_Posted,1,j_Per,6),0))</f>
        <v/>
      </c>
      <c r="T55" s="95">
        <f>IF($D55="",0,SUMIFS(j_DrAmt,j_DrAcct,$D55,j_Per,7)-SUMIFS(j_CrAmt,j_CrAcct,$D55,j_Per,7)+IF($D55=acctTax,SUMIFS(j_TaxDr,j_Posted,1,j_Per,7)-SUMIFS(j_TaxCr,j_Posted,1,j_Per,7),0))</f>
        <v/>
      </c>
      <c r="U55" s="95">
        <f>IF($D55="",0,SUMIFS(j_DrAmt,j_DrAcct,$D55,j_Per,8)-SUMIFS(j_CrAmt,j_CrAcct,$D55,j_Per,8)+IF($D55=acctTax,SUMIFS(j_TaxDr,j_Posted,1,j_Per,8)-SUMIFS(j_TaxCr,j_Posted,1,j_Per,8),0))</f>
        <v/>
      </c>
      <c r="V55" s="95">
        <f>IF($D55="",0,SUMIFS(j_DrAmt,j_DrAcct,$D55,j_Per,9)-SUMIFS(j_CrAmt,j_CrAcct,$D55,j_Per,9)+IF($D55=acctTax,SUMIFS(j_TaxDr,j_Posted,1,j_Per,9)-SUMIFS(j_TaxCr,j_Posted,1,j_Per,9),0))</f>
        <v/>
      </c>
      <c r="W55" s="95">
        <f>IF($D55="",0,SUMIFS(j_DrAmt,j_DrAcct,$D55,j_Per,10)-SUMIFS(j_CrAmt,j_CrAcct,$D55,j_Per,10)+IF($D55=acctTax,SUMIFS(j_TaxDr,j_Posted,1,j_Per,10)-SUMIFS(j_TaxCr,j_Posted,1,j_Per,10),0))</f>
        <v/>
      </c>
      <c r="X55" s="95">
        <f>IF($D55="",0,SUMIFS(j_DrAmt,j_DrAcct,$D55,j_Per,11)-SUMIFS(j_CrAmt,j_CrAcct,$D55,j_Per,11)+IF($D55=acctTax,SUMIFS(j_TaxDr,j_Posted,1,j_Per,11)-SUMIFS(j_TaxCr,j_Posted,1,j_Per,11),0))</f>
        <v/>
      </c>
      <c r="Y55" s="95">
        <f>IF($D55="",0,SUMIFS(j_DrAmt,j_DrAcct,$D55,j_Per,12)-SUMIFS(j_CrAmt,j_CrAcct,$D55,j_Per,12)+IF($D55=acctTax,SUMIFS(j_TaxDr,j_Posted,1,j_Per,12)-SUMIFS(j_TaxCr,j_Posted,1,j_Per,12),0))</f>
        <v/>
      </c>
      <c r="Z55" s="95">
        <f>SUMPRODUCT(($N$5:$Y$5&lt;=RptIdx)*N55:Y55)</f>
        <v/>
      </c>
      <c r="AA55" s="95">
        <f>IF(AND(RptIdx&gt;=1,RptIdx&lt;=12),INDEX(N55:Y55,RptIdx),0)</f>
        <v/>
      </c>
      <c r="AB55" s="95">
        <f>IF($D55="",0,IF(RptIdx&gt;1,INDEX(N55:Y55,RptIdx-1),SUMIFS(j_DrAmt,j_DrAcct,$D55,j_Date,"&gt;="&amp;PrevStart,j_Date,"&lt;="&amp;PrevEnd)-SUMIFS(j_CrAmt,j_CrAcct,$D55,j_Date,"&gt;="&amp;PrevStart,j_Date,"&lt;="&amp;PrevEnd)+IF($D55=acctTax,SUMIFS(j_TaxDr,j_Posted,1,j_Date,"&gt;="&amp;PrevStart,j_Date,"&lt;="&amp;PrevEnd)-SUMIFS(j_TaxCr,j_Posted,1,j_Date,"&gt;="&amp;PrevStart,j_Date,"&lt;="&amp;PrevEnd),0)))</f>
        <v/>
      </c>
      <c r="AC55" s="95">
        <f>SUM(N55:Y55)</f>
        <v/>
      </c>
      <c r="AD55" s="95">
        <f>L55+M55+Z55</f>
        <v/>
      </c>
      <c r="AE55" s="95">
        <f>AD55-AA55</f>
        <v/>
      </c>
      <c r="AF55" s="58">
        <f>IF($D55="","",F55&amp;"|"&amp;COUNTIFS($F$7:F55,F55,$D$7:D55,"&lt;&gt;"))</f>
        <v/>
      </c>
      <c r="AG55" s="58">
        <f>IF(AND($D55&lt;&gt;"",H55="Cash"),"Cash|"&amp;COUNTIFS($H$7:H55,"Cash",$D$7:D55,"&lt;&gt;"),"")</f>
        <v/>
      </c>
      <c r="AH55" s="95">
        <f>IF(AND($D55&lt;&gt;"",OR(F55="Cost of Sales",F55="Operating Expense",F55="Other Expense"),Z55&gt;0),Z55+49/1000000,"")</f>
        <v/>
      </c>
      <c r="AI55" s="95">
        <f>L55+M55+SUM(N55:N55)</f>
        <v/>
      </c>
      <c r="AJ55" s="95">
        <f>L55+M55+SUM(N55:O55)</f>
        <v/>
      </c>
      <c r="AK55" s="95">
        <f>L55+M55+SUM(N55:P55)</f>
        <v/>
      </c>
      <c r="AL55" s="95">
        <f>L55+M55+SUM(N55:Q55)</f>
        <v/>
      </c>
      <c r="AM55" s="95">
        <f>L55+M55+SUM(N55:R55)</f>
        <v/>
      </c>
      <c r="AN55" s="95">
        <f>L55+M55+SUM(N55:S55)</f>
        <v/>
      </c>
      <c r="AO55" s="95">
        <f>L55+M55+SUM(N55:T55)</f>
        <v/>
      </c>
      <c r="AP55" s="95">
        <f>L55+M55+SUM(N55:U55)</f>
        <v/>
      </c>
      <c r="AQ55" s="95">
        <f>L55+M55+SUM(N55:V55)</f>
        <v/>
      </c>
      <c r="AR55" s="95">
        <f>L55+M55+SUM(N55:W55)</f>
        <v/>
      </c>
      <c r="AS55" s="95">
        <f>L55+M55+SUM(N55:X55)</f>
        <v/>
      </c>
      <c r="AT55" s="95">
        <f>L55+M55+SUM(N55:Y55)</f>
        <v/>
      </c>
    </row>
    <row r="56">
      <c r="B56" s="58" t="n">
        <v>50</v>
      </c>
      <c r="C56" s="58">
        <f>IFERROR(INDEX(coa_Name,50)&amp;"","")</f>
        <v/>
      </c>
      <c r="D56" s="58">
        <f>IF(C56="","",IF(COUNTIF($C$7:C56,C56)&gt;1,"",C56))</f>
        <v/>
      </c>
      <c r="E56" s="58">
        <f>IF($D56="","",INDEX(coa_Code,50))</f>
        <v/>
      </c>
      <c r="F56" s="58">
        <f>IF($D56="","",INDEX(coa_Type,50)&amp;"")</f>
        <v/>
      </c>
      <c r="G56" s="58">
        <f>IF($D56="","",INDEX(coa_Normal,50)&amp;"")</f>
        <v/>
      </c>
      <c r="H56" s="58">
        <f>IF($D56="","",IF(INDEX(coa_CF,50)&amp;""="","Operating",INDEX(coa_CF,50)&amp;""))</f>
        <v/>
      </c>
      <c r="I56" s="58">
        <f>IF($D56="","",IFERROR(INDEX(at_Stmt,MATCH(F56,at_Type,0)),""))</f>
        <v/>
      </c>
      <c r="J56" s="58">
        <f>IF($D56="",0,IFERROR(INDEX(at_Sign,MATCH(F56,at_Type,0)),0))</f>
        <v/>
      </c>
      <c r="K56" s="95">
        <f>IF($D56="",0,IF(G56="Credit",-1,1)*N(INDEX(coa_Open,50)))</f>
        <v/>
      </c>
      <c r="L56" s="95">
        <f>IF($D56="",0,IF($D56=acctOBE,K56-SUM($K$7:$K$156),K56))</f>
        <v/>
      </c>
      <c r="M56" s="95">
        <f>IF($D56="",0,SUMIFS(j_DrAmt,j_DrAcct,$D56,j_Per,0)-SUMIFS(j_CrAmt,j_CrAcct,$D56,j_Per,0)+IF($D56=acctTax,SUMIFS(j_TaxDr,j_Posted,1,j_Per,0)-SUMIFS(j_TaxCr,j_Posted,1,j_Per,0),0))</f>
        <v/>
      </c>
      <c r="N56" s="95">
        <f>IF($D56="",0,SUMIFS(j_DrAmt,j_DrAcct,$D56,j_Per,1)-SUMIFS(j_CrAmt,j_CrAcct,$D56,j_Per,1)+IF($D56=acctTax,SUMIFS(j_TaxDr,j_Posted,1,j_Per,1)-SUMIFS(j_TaxCr,j_Posted,1,j_Per,1),0))</f>
        <v/>
      </c>
      <c r="O56" s="95">
        <f>IF($D56="",0,SUMIFS(j_DrAmt,j_DrAcct,$D56,j_Per,2)-SUMIFS(j_CrAmt,j_CrAcct,$D56,j_Per,2)+IF($D56=acctTax,SUMIFS(j_TaxDr,j_Posted,1,j_Per,2)-SUMIFS(j_TaxCr,j_Posted,1,j_Per,2),0))</f>
        <v/>
      </c>
      <c r="P56" s="95">
        <f>IF($D56="",0,SUMIFS(j_DrAmt,j_DrAcct,$D56,j_Per,3)-SUMIFS(j_CrAmt,j_CrAcct,$D56,j_Per,3)+IF($D56=acctTax,SUMIFS(j_TaxDr,j_Posted,1,j_Per,3)-SUMIFS(j_TaxCr,j_Posted,1,j_Per,3),0))</f>
        <v/>
      </c>
      <c r="Q56" s="95">
        <f>IF($D56="",0,SUMIFS(j_DrAmt,j_DrAcct,$D56,j_Per,4)-SUMIFS(j_CrAmt,j_CrAcct,$D56,j_Per,4)+IF($D56=acctTax,SUMIFS(j_TaxDr,j_Posted,1,j_Per,4)-SUMIFS(j_TaxCr,j_Posted,1,j_Per,4),0))</f>
        <v/>
      </c>
      <c r="R56" s="95">
        <f>IF($D56="",0,SUMIFS(j_DrAmt,j_DrAcct,$D56,j_Per,5)-SUMIFS(j_CrAmt,j_CrAcct,$D56,j_Per,5)+IF($D56=acctTax,SUMIFS(j_TaxDr,j_Posted,1,j_Per,5)-SUMIFS(j_TaxCr,j_Posted,1,j_Per,5),0))</f>
        <v/>
      </c>
      <c r="S56" s="95">
        <f>IF($D56="",0,SUMIFS(j_DrAmt,j_DrAcct,$D56,j_Per,6)-SUMIFS(j_CrAmt,j_CrAcct,$D56,j_Per,6)+IF($D56=acctTax,SUMIFS(j_TaxDr,j_Posted,1,j_Per,6)-SUMIFS(j_TaxCr,j_Posted,1,j_Per,6),0))</f>
        <v/>
      </c>
      <c r="T56" s="95">
        <f>IF($D56="",0,SUMIFS(j_DrAmt,j_DrAcct,$D56,j_Per,7)-SUMIFS(j_CrAmt,j_CrAcct,$D56,j_Per,7)+IF($D56=acctTax,SUMIFS(j_TaxDr,j_Posted,1,j_Per,7)-SUMIFS(j_TaxCr,j_Posted,1,j_Per,7),0))</f>
        <v/>
      </c>
      <c r="U56" s="95">
        <f>IF($D56="",0,SUMIFS(j_DrAmt,j_DrAcct,$D56,j_Per,8)-SUMIFS(j_CrAmt,j_CrAcct,$D56,j_Per,8)+IF($D56=acctTax,SUMIFS(j_TaxDr,j_Posted,1,j_Per,8)-SUMIFS(j_TaxCr,j_Posted,1,j_Per,8),0))</f>
        <v/>
      </c>
      <c r="V56" s="95">
        <f>IF($D56="",0,SUMIFS(j_DrAmt,j_DrAcct,$D56,j_Per,9)-SUMIFS(j_CrAmt,j_CrAcct,$D56,j_Per,9)+IF($D56=acctTax,SUMIFS(j_TaxDr,j_Posted,1,j_Per,9)-SUMIFS(j_TaxCr,j_Posted,1,j_Per,9),0))</f>
        <v/>
      </c>
      <c r="W56" s="95">
        <f>IF($D56="",0,SUMIFS(j_DrAmt,j_DrAcct,$D56,j_Per,10)-SUMIFS(j_CrAmt,j_CrAcct,$D56,j_Per,10)+IF($D56=acctTax,SUMIFS(j_TaxDr,j_Posted,1,j_Per,10)-SUMIFS(j_TaxCr,j_Posted,1,j_Per,10),0))</f>
        <v/>
      </c>
      <c r="X56" s="95">
        <f>IF($D56="",0,SUMIFS(j_DrAmt,j_DrAcct,$D56,j_Per,11)-SUMIFS(j_CrAmt,j_CrAcct,$D56,j_Per,11)+IF($D56=acctTax,SUMIFS(j_TaxDr,j_Posted,1,j_Per,11)-SUMIFS(j_TaxCr,j_Posted,1,j_Per,11),0))</f>
        <v/>
      </c>
      <c r="Y56" s="95">
        <f>IF($D56="",0,SUMIFS(j_DrAmt,j_DrAcct,$D56,j_Per,12)-SUMIFS(j_CrAmt,j_CrAcct,$D56,j_Per,12)+IF($D56=acctTax,SUMIFS(j_TaxDr,j_Posted,1,j_Per,12)-SUMIFS(j_TaxCr,j_Posted,1,j_Per,12),0))</f>
        <v/>
      </c>
      <c r="Z56" s="95">
        <f>SUMPRODUCT(($N$5:$Y$5&lt;=RptIdx)*N56:Y56)</f>
        <v/>
      </c>
      <c r="AA56" s="95">
        <f>IF(AND(RptIdx&gt;=1,RptIdx&lt;=12),INDEX(N56:Y56,RptIdx),0)</f>
        <v/>
      </c>
      <c r="AB56" s="95">
        <f>IF($D56="",0,IF(RptIdx&gt;1,INDEX(N56:Y56,RptIdx-1),SUMIFS(j_DrAmt,j_DrAcct,$D56,j_Date,"&gt;="&amp;PrevStart,j_Date,"&lt;="&amp;PrevEnd)-SUMIFS(j_CrAmt,j_CrAcct,$D56,j_Date,"&gt;="&amp;PrevStart,j_Date,"&lt;="&amp;PrevEnd)+IF($D56=acctTax,SUMIFS(j_TaxDr,j_Posted,1,j_Date,"&gt;="&amp;PrevStart,j_Date,"&lt;="&amp;PrevEnd)-SUMIFS(j_TaxCr,j_Posted,1,j_Date,"&gt;="&amp;PrevStart,j_Date,"&lt;="&amp;PrevEnd),0)))</f>
        <v/>
      </c>
      <c r="AC56" s="95">
        <f>SUM(N56:Y56)</f>
        <v/>
      </c>
      <c r="AD56" s="95">
        <f>L56+M56+Z56</f>
        <v/>
      </c>
      <c r="AE56" s="95">
        <f>AD56-AA56</f>
        <v/>
      </c>
      <c r="AF56" s="58">
        <f>IF($D56="","",F56&amp;"|"&amp;COUNTIFS($F$7:F56,F56,$D$7:D56,"&lt;&gt;"))</f>
        <v/>
      </c>
      <c r="AG56" s="58">
        <f>IF(AND($D56&lt;&gt;"",H56="Cash"),"Cash|"&amp;COUNTIFS($H$7:H56,"Cash",$D$7:D56,"&lt;&gt;"),"")</f>
        <v/>
      </c>
      <c r="AH56" s="95">
        <f>IF(AND($D56&lt;&gt;"",OR(F56="Cost of Sales",F56="Operating Expense",F56="Other Expense"),Z56&gt;0),Z56+50/1000000,"")</f>
        <v/>
      </c>
      <c r="AI56" s="95">
        <f>L56+M56+SUM(N56:N56)</f>
        <v/>
      </c>
      <c r="AJ56" s="95">
        <f>L56+M56+SUM(N56:O56)</f>
        <v/>
      </c>
      <c r="AK56" s="95">
        <f>L56+M56+SUM(N56:P56)</f>
        <v/>
      </c>
      <c r="AL56" s="95">
        <f>L56+M56+SUM(N56:Q56)</f>
        <v/>
      </c>
      <c r="AM56" s="95">
        <f>L56+M56+SUM(N56:R56)</f>
        <v/>
      </c>
      <c r="AN56" s="95">
        <f>L56+M56+SUM(N56:S56)</f>
        <v/>
      </c>
      <c r="AO56" s="95">
        <f>L56+M56+SUM(N56:T56)</f>
        <v/>
      </c>
      <c r="AP56" s="95">
        <f>L56+M56+SUM(N56:U56)</f>
        <v/>
      </c>
      <c r="AQ56" s="95">
        <f>L56+M56+SUM(N56:V56)</f>
        <v/>
      </c>
      <c r="AR56" s="95">
        <f>L56+M56+SUM(N56:W56)</f>
        <v/>
      </c>
      <c r="AS56" s="95">
        <f>L56+M56+SUM(N56:X56)</f>
        <v/>
      </c>
      <c r="AT56" s="95">
        <f>L56+M56+SUM(N56:Y56)</f>
        <v/>
      </c>
    </row>
    <row r="57">
      <c r="B57" s="58" t="n">
        <v>51</v>
      </c>
      <c r="C57" s="58">
        <f>IFERROR(INDEX(coa_Name,51)&amp;"","")</f>
        <v/>
      </c>
      <c r="D57" s="58">
        <f>IF(C57="","",IF(COUNTIF($C$7:C57,C57)&gt;1,"",C57))</f>
        <v/>
      </c>
      <c r="E57" s="58">
        <f>IF($D57="","",INDEX(coa_Code,51))</f>
        <v/>
      </c>
      <c r="F57" s="58">
        <f>IF($D57="","",INDEX(coa_Type,51)&amp;"")</f>
        <v/>
      </c>
      <c r="G57" s="58">
        <f>IF($D57="","",INDEX(coa_Normal,51)&amp;"")</f>
        <v/>
      </c>
      <c r="H57" s="58">
        <f>IF($D57="","",IF(INDEX(coa_CF,51)&amp;""="","Operating",INDEX(coa_CF,51)&amp;""))</f>
        <v/>
      </c>
      <c r="I57" s="58">
        <f>IF($D57="","",IFERROR(INDEX(at_Stmt,MATCH(F57,at_Type,0)),""))</f>
        <v/>
      </c>
      <c r="J57" s="58">
        <f>IF($D57="",0,IFERROR(INDEX(at_Sign,MATCH(F57,at_Type,0)),0))</f>
        <v/>
      </c>
      <c r="K57" s="95">
        <f>IF($D57="",0,IF(G57="Credit",-1,1)*N(INDEX(coa_Open,51)))</f>
        <v/>
      </c>
      <c r="L57" s="95">
        <f>IF($D57="",0,IF($D57=acctOBE,K57-SUM($K$7:$K$156),K57))</f>
        <v/>
      </c>
      <c r="M57" s="95">
        <f>IF($D57="",0,SUMIFS(j_DrAmt,j_DrAcct,$D57,j_Per,0)-SUMIFS(j_CrAmt,j_CrAcct,$D57,j_Per,0)+IF($D57=acctTax,SUMIFS(j_TaxDr,j_Posted,1,j_Per,0)-SUMIFS(j_TaxCr,j_Posted,1,j_Per,0),0))</f>
        <v/>
      </c>
      <c r="N57" s="95">
        <f>IF($D57="",0,SUMIFS(j_DrAmt,j_DrAcct,$D57,j_Per,1)-SUMIFS(j_CrAmt,j_CrAcct,$D57,j_Per,1)+IF($D57=acctTax,SUMIFS(j_TaxDr,j_Posted,1,j_Per,1)-SUMIFS(j_TaxCr,j_Posted,1,j_Per,1),0))</f>
        <v/>
      </c>
      <c r="O57" s="95">
        <f>IF($D57="",0,SUMIFS(j_DrAmt,j_DrAcct,$D57,j_Per,2)-SUMIFS(j_CrAmt,j_CrAcct,$D57,j_Per,2)+IF($D57=acctTax,SUMIFS(j_TaxDr,j_Posted,1,j_Per,2)-SUMIFS(j_TaxCr,j_Posted,1,j_Per,2),0))</f>
        <v/>
      </c>
      <c r="P57" s="95">
        <f>IF($D57="",0,SUMIFS(j_DrAmt,j_DrAcct,$D57,j_Per,3)-SUMIFS(j_CrAmt,j_CrAcct,$D57,j_Per,3)+IF($D57=acctTax,SUMIFS(j_TaxDr,j_Posted,1,j_Per,3)-SUMIFS(j_TaxCr,j_Posted,1,j_Per,3),0))</f>
        <v/>
      </c>
      <c r="Q57" s="95">
        <f>IF($D57="",0,SUMIFS(j_DrAmt,j_DrAcct,$D57,j_Per,4)-SUMIFS(j_CrAmt,j_CrAcct,$D57,j_Per,4)+IF($D57=acctTax,SUMIFS(j_TaxDr,j_Posted,1,j_Per,4)-SUMIFS(j_TaxCr,j_Posted,1,j_Per,4),0))</f>
        <v/>
      </c>
      <c r="R57" s="95">
        <f>IF($D57="",0,SUMIFS(j_DrAmt,j_DrAcct,$D57,j_Per,5)-SUMIFS(j_CrAmt,j_CrAcct,$D57,j_Per,5)+IF($D57=acctTax,SUMIFS(j_TaxDr,j_Posted,1,j_Per,5)-SUMIFS(j_TaxCr,j_Posted,1,j_Per,5),0))</f>
        <v/>
      </c>
      <c r="S57" s="95">
        <f>IF($D57="",0,SUMIFS(j_DrAmt,j_DrAcct,$D57,j_Per,6)-SUMIFS(j_CrAmt,j_CrAcct,$D57,j_Per,6)+IF($D57=acctTax,SUMIFS(j_TaxDr,j_Posted,1,j_Per,6)-SUMIFS(j_TaxCr,j_Posted,1,j_Per,6),0))</f>
        <v/>
      </c>
      <c r="T57" s="95">
        <f>IF($D57="",0,SUMIFS(j_DrAmt,j_DrAcct,$D57,j_Per,7)-SUMIFS(j_CrAmt,j_CrAcct,$D57,j_Per,7)+IF($D57=acctTax,SUMIFS(j_TaxDr,j_Posted,1,j_Per,7)-SUMIFS(j_TaxCr,j_Posted,1,j_Per,7),0))</f>
        <v/>
      </c>
      <c r="U57" s="95">
        <f>IF($D57="",0,SUMIFS(j_DrAmt,j_DrAcct,$D57,j_Per,8)-SUMIFS(j_CrAmt,j_CrAcct,$D57,j_Per,8)+IF($D57=acctTax,SUMIFS(j_TaxDr,j_Posted,1,j_Per,8)-SUMIFS(j_TaxCr,j_Posted,1,j_Per,8),0))</f>
        <v/>
      </c>
      <c r="V57" s="95">
        <f>IF($D57="",0,SUMIFS(j_DrAmt,j_DrAcct,$D57,j_Per,9)-SUMIFS(j_CrAmt,j_CrAcct,$D57,j_Per,9)+IF($D57=acctTax,SUMIFS(j_TaxDr,j_Posted,1,j_Per,9)-SUMIFS(j_TaxCr,j_Posted,1,j_Per,9),0))</f>
        <v/>
      </c>
      <c r="W57" s="95">
        <f>IF($D57="",0,SUMIFS(j_DrAmt,j_DrAcct,$D57,j_Per,10)-SUMIFS(j_CrAmt,j_CrAcct,$D57,j_Per,10)+IF($D57=acctTax,SUMIFS(j_TaxDr,j_Posted,1,j_Per,10)-SUMIFS(j_TaxCr,j_Posted,1,j_Per,10),0))</f>
        <v/>
      </c>
      <c r="X57" s="95">
        <f>IF($D57="",0,SUMIFS(j_DrAmt,j_DrAcct,$D57,j_Per,11)-SUMIFS(j_CrAmt,j_CrAcct,$D57,j_Per,11)+IF($D57=acctTax,SUMIFS(j_TaxDr,j_Posted,1,j_Per,11)-SUMIFS(j_TaxCr,j_Posted,1,j_Per,11),0))</f>
        <v/>
      </c>
      <c r="Y57" s="95">
        <f>IF($D57="",0,SUMIFS(j_DrAmt,j_DrAcct,$D57,j_Per,12)-SUMIFS(j_CrAmt,j_CrAcct,$D57,j_Per,12)+IF($D57=acctTax,SUMIFS(j_TaxDr,j_Posted,1,j_Per,12)-SUMIFS(j_TaxCr,j_Posted,1,j_Per,12),0))</f>
        <v/>
      </c>
      <c r="Z57" s="95">
        <f>SUMPRODUCT(($N$5:$Y$5&lt;=RptIdx)*N57:Y57)</f>
        <v/>
      </c>
      <c r="AA57" s="95">
        <f>IF(AND(RptIdx&gt;=1,RptIdx&lt;=12),INDEX(N57:Y57,RptIdx),0)</f>
        <v/>
      </c>
      <c r="AB57" s="95">
        <f>IF($D57="",0,IF(RptIdx&gt;1,INDEX(N57:Y57,RptIdx-1),SUMIFS(j_DrAmt,j_DrAcct,$D57,j_Date,"&gt;="&amp;PrevStart,j_Date,"&lt;="&amp;PrevEnd)-SUMIFS(j_CrAmt,j_CrAcct,$D57,j_Date,"&gt;="&amp;PrevStart,j_Date,"&lt;="&amp;PrevEnd)+IF($D57=acctTax,SUMIFS(j_TaxDr,j_Posted,1,j_Date,"&gt;="&amp;PrevStart,j_Date,"&lt;="&amp;PrevEnd)-SUMIFS(j_TaxCr,j_Posted,1,j_Date,"&gt;="&amp;PrevStart,j_Date,"&lt;="&amp;PrevEnd),0)))</f>
        <v/>
      </c>
      <c r="AC57" s="95">
        <f>SUM(N57:Y57)</f>
        <v/>
      </c>
      <c r="AD57" s="95">
        <f>L57+M57+Z57</f>
        <v/>
      </c>
      <c r="AE57" s="95">
        <f>AD57-AA57</f>
        <v/>
      </c>
      <c r="AF57" s="58">
        <f>IF($D57="","",F57&amp;"|"&amp;COUNTIFS($F$7:F57,F57,$D$7:D57,"&lt;&gt;"))</f>
        <v/>
      </c>
      <c r="AG57" s="58">
        <f>IF(AND($D57&lt;&gt;"",H57="Cash"),"Cash|"&amp;COUNTIFS($H$7:H57,"Cash",$D$7:D57,"&lt;&gt;"),"")</f>
        <v/>
      </c>
      <c r="AH57" s="95">
        <f>IF(AND($D57&lt;&gt;"",OR(F57="Cost of Sales",F57="Operating Expense",F57="Other Expense"),Z57&gt;0),Z57+51/1000000,"")</f>
        <v/>
      </c>
      <c r="AI57" s="95">
        <f>L57+M57+SUM(N57:N57)</f>
        <v/>
      </c>
      <c r="AJ57" s="95">
        <f>L57+M57+SUM(N57:O57)</f>
        <v/>
      </c>
      <c r="AK57" s="95">
        <f>L57+M57+SUM(N57:P57)</f>
        <v/>
      </c>
      <c r="AL57" s="95">
        <f>L57+M57+SUM(N57:Q57)</f>
        <v/>
      </c>
      <c r="AM57" s="95">
        <f>L57+M57+SUM(N57:R57)</f>
        <v/>
      </c>
      <c r="AN57" s="95">
        <f>L57+M57+SUM(N57:S57)</f>
        <v/>
      </c>
      <c r="AO57" s="95">
        <f>L57+M57+SUM(N57:T57)</f>
        <v/>
      </c>
      <c r="AP57" s="95">
        <f>L57+M57+SUM(N57:U57)</f>
        <v/>
      </c>
      <c r="AQ57" s="95">
        <f>L57+M57+SUM(N57:V57)</f>
        <v/>
      </c>
      <c r="AR57" s="95">
        <f>L57+M57+SUM(N57:W57)</f>
        <v/>
      </c>
      <c r="AS57" s="95">
        <f>L57+M57+SUM(N57:X57)</f>
        <v/>
      </c>
      <c r="AT57" s="95">
        <f>L57+M57+SUM(N57:Y57)</f>
        <v/>
      </c>
    </row>
    <row r="58">
      <c r="B58" s="58" t="n">
        <v>52</v>
      </c>
      <c r="C58" s="58">
        <f>IFERROR(INDEX(coa_Name,52)&amp;"","")</f>
        <v/>
      </c>
      <c r="D58" s="58">
        <f>IF(C58="","",IF(COUNTIF($C$7:C58,C58)&gt;1,"",C58))</f>
        <v/>
      </c>
      <c r="E58" s="58">
        <f>IF($D58="","",INDEX(coa_Code,52))</f>
        <v/>
      </c>
      <c r="F58" s="58">
        <f>IF($D58="","",INDEX(coa_Type,52)&amp;"")</f>
        <v/>
      </c>
      <c r="G58" s="58">
        <f>IF($D58="","",INDEX(coa_Normal,52)&amp;"")</f>
        <v/>
      </c>
      <c r="H58" s="58">
        <f>IF($D58="","",IF(INDEX(coa_CF,52)&amp;""="","Operating",INDEX(coa_CF,52)&amp;""))</f>
        <v/>
      </c>
      <c r="I58" s="58">
        <f>IF($D58="","",IFERROR(INDEX(at_Stmt,MATCH(F58,at_Type,0)),""))</f>
        <v/>
      </c>
      <c r="J58" s="58">
        <f>IF($D58="",0,IFERROR(INDEX(at_Sign,MATCH(F58,at_Type,0)),0))</f>
        <v/>
      </c>
      <c r="K58" s="95">
        <f>IF($D58="",0,IF(G58="Credit",-1,1)*N(INDEX(coa_Open,52)))</f>
        <v/>
      </c>
      <c r="L58" s="95">
        <f>IF($D58="",0,IF($D58=acctOBE,K58-SUM($K$7:$K$156),K58))</f>
        <v/>
      </c>
      <c r="M58" s="95">
        <f>IF($D58="",0,SUMIFS(j_DrAmt,j_DrAcct,$D58,j_Per,0)-SUMIFS(j_CrAmt,j_CrAcct,$D58,j_Per,0)+IF($D58=acctTax,SUMIFS(j_TaxDr,j_Posted,1,j_Per,0)-SUMIFS(j_TaxCr,j_Posted,1,j_Per,0),0))</f>
        <v/>
      </c>
      <c r="N58" s="95">
        <f>IF($D58="",0,SUMIFS(j_DrAmt,j_DrAcct,$D58,j_Per,1)-SUMIFS(j_CrAmt,j_CrAcct,$D58,j_Per,1)+IF($D58=acctTax,SUMIFS(j_TaxDr,j_Posted,1,j_Per,1)-SUMIFS(j_TaxCr,j_Posted,1,j_Per,1),0))</f>
        <v/>
      </c>
      <c r="O58" s="95">
        <f>IF($D58="",0,SUMIFS(j_DrAmt,j_DrAcct,$D58,j_Per,2)-SUMIFS(j_CrAmt,j_CrAcct,$D58,j_Per,2)+IF($D58=acctTax,SUMIFS(j_TaxDr,j_Posted,1,j_Per,2)-SUMIFS(j_TaxCr,j_Posted,1,j_Per,2),0))</f>
        <v/>
      </c>
      <c r="P58" s="95">
        <f>IF($D58="",0,SUMIFS(j_DrAmt,j_DrAcct,$D58,j_Per,3)-SUMIFS(j_CrAmt,j_CrAcct,$D58,j_Per,3)+IF($D58=acctTax,SUMIFS(j_TaxDr,j_Posted,1,j_Per,3)-SUMIFS(j_TaxCr,j_Posted,1,j_Per,3),0))</f>
        <v/>
      </c>
      <c r="Q58" s="95">
        <f>IF($D58="",0,SUMIFS(j_DrAmt,j_DrAcct,$D58,j_Per,4)-SUMIFS(j_CrAmt,j_CrAcct,$D58,j_Per,4)+IF($D58=acctTax,SUMIFS(j_TaxDr,j_Posted,1,j_Per,4)-SUMIFS(j_TaxCr,j_Posted,1,j_Per,4),0))</f>
        <v/>
      </c>
      <c r="R58" s="95">
        <f>IF($D58="",0,SUMIFS(j_DrAmt,j_DrAcct,$D58,j_Per,5)-SUMIFS(j_CrAmt,j_CrAcct,$D58,j_Per,5)+IF($D58=acctTax,SUMIFS(j_TaxDr,j_Posted,1,j_Per,5)-SUMIFS(j_TaxCr,j_Posted,1,j_Per,5),0))</f>
        <v/>
      </c>
      <c r="S58" s="95">
        <f>IF($D58="",0,SUMIFS(j_DrAmt,j_DrAcct,$D58,j_Per,6)-SUMIFS(j_CrAmt,j_CrAcct,$D58,j_Per,6)+IF($D58=acctTax,SUMIFS(j_TaxDr,j_Posted,1,j_Per,6)-SUMIFS(j_TaxCr,j_Posted,1,j_Per,6),0))</f>
        <v/>
      </c>
      <c r="T58" s="95">
        <f>IF($D58="",0,SUMIFS(j_DrAmt,j_DrAcct,$D58,j_Per,7)-SUMIFS(j_CrAmt,j_CrAcct,$D58,j_Per,7)+IF($D58=acctTax,SUMIFS(j_TaxDr,j_Posted,1,j_Per,7)-SUMIFS(j_TaxCr,j_Posted,1,j_Per,7),0))</f>
        <v/>
      </c>
      <c r="U58" s="95">
        <f>IF($D58="",0,SUMIFS(j_DrAmt,j_DrAcct,$D58,j_Per,8)-SUMIFS(j_CrAmt,j_CrAcct,$D58,j_Per,8)+IF($D58=acctTax,SUMIFS(j_TaxDr,j_Posted,1,j_Per,8)-SUMIFS(j_TaxCr,j_Posted,1,j_Per,8),0))</f>
        <v/>
      </c>
      <c r="V58" s="95">
        <f>IF($D58="",0,SUMIFS(j_DrAmt,j_DrAcct,$D58,j_Per,9)-SUMIFS(j_CrAmt,j_CrAcct,$D58,j_Per,9)+IF($D58=acctTax,SUMIFS(j_TaxDr,j_Posted,1,j_Per,9)-SUMIFS(j_TaxCr,j_Posted,1,j_Per,9),0))</f>
        <v/>
      </c>
      <c r="W58" s="95">
        <f>IF($D58="",0,SUMIFS(j_DrAmt,j_DrAcct,$D58,j_Per,10)-SUMIFS(j_CrAmt,j_CrAcct,$D58,j_Per,10)+IF($D58=acctTax,SUMIFS(j_TaxDr,j_Posted,1,j_Per,10)-SUMIFS(j_TaxCr,j_Posted,1,j_Per,10),0))</f>
        <v/>
      </c>
      <c r="X58" s="95">
        <f>IF($D58="",0,SUMIFS(j_DrAmt,j_DrAcct,$D58,j_Per,11)-SUMIFS(j_CrAmt,j_CrAcct,$D58,j_Per,11)+IF($D58=acctTax,SUMIFS(j_TaxDr,j_Posted,1,j_Per,11)-SUMIFS(j_TaxCr,j_Posted,1,j_Per,11),0))</f>
        <v/>
      </c>
      <c r="Y58" s="95">
        <f>IF($D58="",0,SUMIFS(j_DrAmt,j_DrAcct,$D58,j_Per,12)-SUMIFS(j_CrAmt,j_CrAcct,$D58,j_Per,12)+IF($D58=acctTax,SUMIFS(j_TaxDr,j_Posted,1,j_Per,12)-SUMIFS(j_TaxCr,j_Posted,1,j_Per,12),0))</f>
        <v/>
      </c>
      <c r="Z58" s="95">
        <f>SUMPRODUCT(($N$5:$Y$5&lt;=RptIdx)*N58:Y58)</f>
        <v/>
      </c>
      <c r="AA58" s="95">
        <f>IF(AND(RptIdx&gt;=1,RptIdx&lt;=12),INDEX(N58:Y58,RptIdx),0)</f>
        <v/>
      </c>
      <c r="AB58" s="95">
        <f>IF($D58="",0,IF(RptIdx&gt;1,INDEX(N58:Y58,RptIdx-1),SUMIFS(j_DrAmt,j_DrAcct,$D58,j_Date,"&gt;="&amp;PrevStart,j_Date,"&lt;="&amp;PrevEnd)-SUMIFS(j_CrAmt,j_CrAcct,$D58,j_Date,"&gt;="&amp;PrevStart,j_Date,"&lt;="&amp;PrevEnd)+IF($D58=acctTax,SUMIFS(j_TaxDr,j_Posted,1,j_Date,"&gt;="&amp;PrevStart,j_Date,"&lt;="&amp;PrevEnd)-SUMIFS(j_TaxCr,j_Posted,1,j_Date,"&gt;="&amp;PrevStart,j_Date,"&lt;="&amp;PrevEnd),0)))</f>
        <v/>
      </c>
      <c r="AC58" s="95">
        <f>SUM(N58:Y58)</f>
        <v/>
      </c>
      <c r="AD58" s="95">
        <f>L58+M58+Z58</f>
        <v/>
      </c>
      <c r="AE58" s="95">
        <f>AD58-AA58</f>
        <v/>
      </c>
      <c r="AF58" s="58">
        <f>IF($D58="","",F58&amp;"|"&amp;COUNTIFS($F$7:F58,F58,$D$7:D58,"&lt;&gt;"))</f>
        <v/>
      </c>
      <c r="AG58" s="58">
        <f>IF(AND($D58&lt;&gt;"",H58="Cash"),"Cash|"&amp;COUNTIFS($H$7:H58,"Cash",$D$7:D58,"&lt;&gt;"),"")</f>
        <v/>
      </c>
      <c r="AH58" s="95">
        <f>IF(AND($D58&lt;&gt;"",OR(F58="Cost of Sales",F58="Operating Expense",F58="Other Expense"),Z58&gt;0),Z58+52/1000000,"")</f>
        <v/>
      </c>
      <c r="AI58" s="95">
        <f>L58+M58+SUM(N58:N58)</f>
        <v/>
      </c>
      <c r="AJ58" s="95">
        <f>L58+M58+SUM(N58:O58)</f>
        <v/>
      </c>
      <c r="AK58" s="95">
        <f>L58+M58+SUM(N58:P58)</f>
        <v/>
      </c>
      <c r="AL58" s="95">
        <f>L58+M58+SUM(N58:Q58)</f>
        <v/>
      </c>
      <c r="AM58" s="95">
        <f>L58+M58+SUM(N58:R58)</f>
        <v/>
      </c>
      <c r="AN58" s="95">
        <f>L58+M58+SUM(N58:S58)</f>
        <v/>
      </c>
      <c r="AO58" s="95">
        <f>L58+M58+SUM(N58:T58)</f>
        <v/>
      </c>
      <c r="AP58" s="95">
        <f>L58+M58+SUM(N58:U58)</f>
        <v/>
      </c>
      <c r="AQ58" s="95">
        <f>L58+M58+SUM(N58:V58)</f>
        <v/>
      </c>
      <c r="AR58" s="95">
        <f>L58+M58+SUM(N58:W58)</f>
        <v/>
      </c>
      <c r="AS58" s="95">
        <f>L58+M58+SUM(N58:X58)</f>
        <v/>
      </c>
      <c r="AT58" s="95">
        <f>L58+M58+SUM(N58:Y58)</f>
        <v/>
      </c>
    </row>
    <row r="59">
      <c r="B59" s="58" t="n">
        <v>53</v>
      </c>
      <c r="C59" s="58">
        <f>IFERROR(INDEX(coa_Name,53)&amp;"","")</f>
        <v/>
      </c>
      <c r="D59" s="58">
        <f>IF(C59="","",IF(COUNTIF($C$7:C59,C59)&gt;1,"",C59))</f>
        <v/>
      </c>
      <c r="E59" s="58">
        <f>IF($D59="","",INDEX(coa_Code,53))</f>
        <v/>
      </c>
      <c r="F59" s="58">
        <f>IF($D59="","",INDEX(coa_Type,53)&amp;"")</f>
        <v/>
      </c>
      <c r="G59" s="58">
        <f>IF($D59="","",INDEX(coa_Normal,53)&amp;"")</f>
        <v/>
      </c>
      <c r="H59" s="58">
        <f>IF($D59="","",IF(INDEX(coa_CF,53)&amp;""="","Operating",INDEX(coa_CF,53)&amp;""))</f>
        <v/>
      </c>
      <c r="I59" s="58">
        <f>IF($D59="","",IFERROR(INDEX(at_Stmt,MATCH(F59,at_Type,0)),""))</f>
        <v/>
      </c>
      <c r="J59" s="58">
        <f>IF($D59="",0,IFERROR(INDEX(at_Sign,MATCH(F59,at_Type,0)),0))</f>
        <v/>
      </c>
      <c r="K59" s="95">
        <f>IF($D59="",0,IF(G59="Credit",-1,1)*N(INDEX(coa_Open,53)))</f>
        <v/>
      </c>
      <c r="L59" s="95">
        <f>IF($D59="",0,IF($D59=acctOBE,K59-SUM($K$7:$K$156),K59))</f>
        <v/>
      </c>
      <c r="M59" s="95">
        <f>IF($D59="",0,SUMIFS(j_DrAmt,j_DrAcct,$D59,j_Per,0)-SUMIFS(j_CrAmt,j_CrAcct,$D59,j_Per,0)+IF($D59=acctTax,SUMIFS(j_TaxDr,j_Posted,1,j_Per,0)-SUMIFS(j_TaxCr,j_Posted,1,j_Per,0),0))</f>
        <v/>
      </c>
      <c r="N59" s="95">
        <f>IF($D59="",0,SUMIFS(j_DrAmt,j_DrAcct,$D59,j_Per,1)-SUMIFS(j_CrAmt,j_CrAcct,$D59,j_Per,1)+IF($D59=acctTax,SUMIFS(j_TaxDr,j_Posted,1,j_Per,1)-SUMIFS(j_TaxCr,j_Posted,1,j_Per,1),0))</f>
        <v/>
      </c>
      <c r="O59" s="95">
        <f>IF($D59="",0,SUMIFS(j_DrAmt,j_DrAcct,$D59,j_Per,2)-SUMIFS(j_CrAmt,j_CrAcct,$D59,j_Per,2)+IF($D59=acctTax,SUMIFS(j_TaxDr,j_Posted,1,j_Per,2)-SUMIFS(j_TaxCr,j_Posted,1,j_Per,2),0))</f>
        <v/>
      </c>
      <c r="P59" s="95">
        <f>IF($D59="",0,SUMIFS(j_DrAmt,j_DrAcct,$D59,j_Per,3)-SUMIFS(j_CrAmt,j_CrAcct,$D59,j_Per,3)+IF($D59=acctTax,SUMIFS(j_TaxDr,j_Posted,1,j_Per,3)-SUMIFS(j_TaxCr,j_Posted,1,j_Per,3),0))</f>
        <v/>
      </c>
      <c r="Q59" s="95">
        <f>IF($D59="",0,SUMIFS(j_DrAmt,j_DrAcct,$D59,j_Per,4)-SUMIFS(j_CrAmt,j_CrAcct,$D59,j_Per,4)+IF($D59=acctTax,SUMIFS(j_TaxDr,j_Posted,1,j_Per,4)-SUMIFS(j_TaxCr,j_Posted,1,j_Per,4),0))</f>
        <v/>
      </c>
      <c r="R59" s="95">
        <f>IF($D59="",0,SUMIFS(j_DrAmt,j_DrAcct,$D59,j_Per,5)-SUMIFS(j_CrAmt,j_CrAcct,$D59,j_Per,5)+IF($D59=acctTax,SUMIFS(j_TaxDr,j_Posted,1,j_Per,5)-SUMIFS(j_TaxCr,j_Posted,1,j_Per,5),0))</f>
        <v/>
      </c>
      <c r="S59" s="95">
        <f>IF($D59="",0,SUMIFS(j_DrAmt,j_DrAcct,$D59,j_Per,6)-SUMIFS(j_CrAmt,j_CrAcct,$D59,j_Per,6)+IF($D59=acctTax,SUMIFS(j_TaxDr,j_Posted,1,j_Per,6)-SUMIFS(j_TaxCr,j_Posted,1,j_Per,6),0))</f>
        <v/>
      </c>
      <c r="T59" s="95">
        <f>IF($D59="",0,SUMIFS(j_DrAmt,j_DrAcct,$D59,j_Per,7)-SUMIFS(j_CrAmt,j_CrAcct,$D59,j_Per,7)+IF($D59=acctTax,SUMIFS(j_TaxDr,j_Posted,1,j_Per,7)-SUMIFS(j_TaxCr,j_Posted,1,j_Per,7),0))</f>
        <v/>
      </c>
      <c r="U59" s="95">
        <f>IF($D59="",0,SUMIFS(j_DrAmt,j_DrAcct,$D59,j_Per,8)-SUMIFS(j_CrAmt,j_CrAcct,$D59,j_Per,8)+IF($D59=acctTax,SUMIFS(j_TaxDr,j_Posted,1,j_Per,8)-SUMIFS(j_TaxCr,j_Posted,1,j_Per,8),0))</f>
        <v/>
      </c>
      <c r="V59" s="95">
        <f>IF($D59="",0,SUMIFS(j_DrAmt,j_DrAcct,$D59,j_Per,9)-SUMIFS(j_CrAmt,j_CrAcct,$D59,j_Per,9)+IF($D59=acctTax,SUMIFS(j_TaxDr,j_Posted,1,j_Per,9)-SUMIFS(j_TaxCr,j_Posted,1,j_Per,9),0))</f>
        <v/>
      </c>
      <c r="W59" s="95">
        <f>IF($D59="",0,SUMIFS(j_DrAmt,j_DrAcct,$D59,j_Per,10)-SUMIFS(j_CrAmt,j_CrAcct,$D59,j_Per,10)+IF($D59=acctTax,SUMIFS(j_TaxDr,j_Posted,1,j_Per,10)-SUMIFS(j_TaxCr,j_Posted,1,j_Per,10),0))</f>
        <v/>
      </c>
      <c r="X59" s="95">
        <f>IF($D59="",0,SUMIFS(j_DrAmt,j_DrAcct,$D59,j_Per,11)-SUMIFS(j_CrAmt,j_CrAcct,$D59,j_Per,11)+IF($D59=acctTax,SUMIFS(j_TaxDr,j_Posted,1,j_Per,11)-SUMIFS(j_TaxCr,j_Posted,1,j_Per,11),0))</f>
        <v/>
      </c>
      <c r="Y59" s="95">
        <f>IF($D59="",0,SUMIFS(j_DrAmt,j_DrAcct,$D59,j_Per,12)-SUMIFS(j_CrAmt,j_CrAcct,$D59,j_Per,12)+IF($D59=acctTax,SUMIFS(j_TaxDr,j_Posted,1,j_Per,12)-SUMIFS(j_TaxCr,j_Posted,1,j_Per,12),0))</f>
        <v/>
      </c>
      <c r="Z59" s="95">
        <f>SUMPRODUCT(($N$5:$Y$5&lt;=RptIdx)*N59:Y59)</f>
        <v/>
      </c>
      <c r="AA59" s="95">
        <f>IF(AND(RptIdx&gt;=1,RptIdx&lt;=12),INDEX(N59:Y59,RptIdx),0)</f>
        <v/>
      </c>
      <c r="AB59" s="95">
        <f>IF($D59="",0,IF(RptIdx&gt;1,INDEX(N59:Y59,RptIdx-1),SUMIFS(j_DrAmt,j_DrAcct,$D59,j_Date,"&gt;="&amp;PrevStart,j_Date,"&lt;="&amp;PrevEnd)-SUMIFS(j_CrAmt,j_CrAcct,$D59,j_Date,"&gt;="&amp;PrevStart,j_Date,"&lt;="&amp;PrevEnd)+IF($D59=acctTax,SUMIFS(j_TaxDr,j_Posted,1,j_Date,"&gt;="&amp;PrevStart,j_Date,"&lt;="&amp;PrevEnd)-SUMIFS(j_TaxCr,j_Posted,1,j_Date,"&gt;="&amp;PrevStart,j_Date,"&lt;="&amp;PrevEnd),0)))</f>
        <v/>
      </c>
      <c r="AC59" s="95">
        <f>SUM(N59:Y59)</f>
        <v/>
      </c>
      <c r="AD59" s="95">
        <f>L59+M59+Z59</f>
        <v/>
      </c>
      <c r="AE59" s="95">
        <f>AD59-AA59</f>
        <v/>
      </c>
      <c r="AF59" s="58">
        <f>IF($D59="","",F59&amp;"|"&amp;COUNTIFS($F$7:F59,F59,$D$7:D59,"&lt;&gt;"))</f>
        <v/>
      </c>
      <c r="AG59" s="58">
        <f>IF(AND($D59&lt;&gt;"",H59="Cash"),"Cash|"&amp;COUNTIFS($H$7:H59,"Cash",$D$7:D59,"&lt;&gt;"),"")</f>
        <v/>
      </c>
      <c r="AH59" s="95">
        <f>IF(AND($D59&lt;&gt;"",OR(F59="Cost of Sales",F59="Operating Expense",F59="Other Expense"),Z59&gt;0),Z59+53/1000000,"")</f>
        <v/>
      </c>
      <c r="AI59" s="95">
        <f>L59+M59+SUM(N59:N59)</f>
        <v/>
      </c>
      <c r="AJ59" s="95">
        <f>L59+M59+SUM(N59:O59)</f>
        <v/>
      </c>
      <c r="AK59" s="95">
        <f>L59+M59+SUM(N59:P59)</f>
        <v/>
      </c>
      <c r="AL59" s="95">
        <f>L59+M59+SUM(N59:Q59)</f>
        <v/>
      </c>
      <c r="AM59" s="95">
        <f>L59+M59+SUM(N59:R59)</f>
        <v/>
      </c>
      <c r="AN59" s="95">
        <f>L59+M59+SUM(N59:S59)</f>
        <v/>
      </c>
      <c r="AO59" s="95">
        <f>L59+M59+SUM(N59:T59)</f>
        <v/>
      </c>
      <c r="AP59" s="95">
        <f>L59+M59+SUM(N59:U59)</f>
        <v/>
      </c>
      <c r="AQ59" s="95">
        <f>L59+M59+SUM(N59:V59)</f>
        <v/>
      </c>
      <c r="AR59" s="95">
        <f>L59+M59+SUM(N59:W59)</f>
        <v/>
      </c>
      <c r="AS59" s="95">
        <f>L59+M59+SUM(N59:X59)</f>
        <v/>
      </c>
      <c r="AT59" s="95">
        <f>L59+M59+SUM(N59:Y59)</f>
        <v/>
      </c>
    </row>
    <row r="60">
      <c r="B60" s="58" t="n">
        <v>54</v>
      </c>
      <c r="C60" s="58">
        <f>IFERROR(INDEX(coa_Name,54)&amp;"","")</f>
        <v/>
      </c>
      <c r="D60" s="58">
        <f>IF(C60="","",IF(COUNTIF($C$7:C60,C60)&gt;1,"",C60))</f>
        <v/>
      </c>
      <c r="E60" s="58">
        <f>IF($D60="","",INDEX(coa_Code,54))</f>
        <v/>
      </c>
      <c r="F60" s="58">
        <f>IF($D60="","",INDEX(coa_Type,54)&amp;"")</f>
        <v/>
      </c>
      <c r="G60" s="58">
        <f>IF($D60="","",INDEX(coa_Normal,54)&amp;"")</f>
        <v/>
      </c>
      <c r="H60" s="58">
        <f>IF($D60="","",IF(INDEX(coa_CF,54)&amp;""="","Operating",INDEX(coa_CF,54)&amp;""))</f>
        <v/>
      </c>
      <c r="I60" s="58">
        <f>IF($D60="","",IFERROR(INDEX(at_Stmt,MATCH(F60,at_Type,0)),""))</f>
        <v/>
      </c>
      <c r="J60" s="58">
        <f>IF($D60="",0,IFERROR(INDEX(at_Sign,MATCH(F60,at_Type,0)),0))</f>
        <v/>
      </c>
      <c r="K60" s="95">
        <f>IF($D60="",0,IF(G60="Credit",-1,1)*N(INDEX(coa_Open,54)))</f>
        <v/>
      </c>
      <c r="L60" s="95">
        <f>IF($D60="",0,IF($D60=acctOBE,K60-SUM($K$7:$K$156),K60))</f>
        <v/>
      </c>
      <c r="M60" s="95">
        <f>IF($D60="",0,SUMIFS(j_DrAmt,j_DrAcct,$D60,j_Per,0)-SUMIFS(j_CrAmt,j_CrAcct,$D60,j_Per,0)+IF($D60=acctTax,SUMIFS(j_TaxDr,j_Posted,1,j_Per,0)-SUMIFS(j_TaxCr,j_Posted,1,j_Per,0),0))</f>
        <v/>
      </c>
      <c r="N60" s="95">
        <f>IF($D60="",0,SUMIFS(j_DrAmt,j_DrAcct,$D60,j_Per,1)-SUMIFS(j_CrAmt,j_CrAcct,$D60,j_Per,1)+IF($D60=acctTax,SUMIFS(j_TaxDr,j_Posted,1,j_Per,1)-SUMIFS(j_TaxCr,j_Posted,1,j_Per,1),0))</f>
        <v/>
      </c>
      <c r="O60" s="95">
        <f>IF($D60="",0,SUMIFS(j_DrAmt,j_DrAcct,$D60,j_Per,2)-SUMIFS(j_CrAmt,j_CrAcct,$D60,j_Per,2)+IF($D60=acctTax,SUMIFS(j_TaxDr,j_Posted,1,j_Per,2)-SUMIFS(j_TaxCr,j_Posted,1,j_Per,2),0))</f>
        <v/>
      </c>
      <c r="P60" s="95">
        <f>IF($D60="",0,SUMIFS(j_DrAmt,j_DrAcct,$D60,j_Per,3)-SUMIFS(j_CrAmt,j_CrAcct,$D60,j_Per,3)+IF($D60=acctTax,SUMIFS(j_TaxDr,j_Posted,1,j_Per,3)-SUMIFS(j_TaxCr,j_Posted,1,j_Per,3),0))</f>
        <v/>
      </c>
      <c r="Q60" s="95">
        <f>IF($D60="",0,SUMIFS(j_DrAmt,j_DrAcct,$D60,j_Per,4)-SUMIFS(j_CrAmt,j_CrAcct,$D60,j_Per,4)+IF($D60=acctTax,SUMIFS(j_TaxDr,j_Posted,1,j_Per,4)-SUMIFS(j_TaxCr,j_Posted,1,j_Per,4),0))</f>
        <v/>
      </c>
      <c r="R60" s="95">
        <f>IF($D60="",0,SUMIFS(j_DrAmt,j_DrAcct,$D60,j_Per,5)-SUMIFS(j_CrAmt,j_CrAcct,$D60,j_Per,5)+IF($D60=acctTax,SUMIFS(j_TaxDr,j_Posted,1,j_Per,5)-SUMIFS(j_TaxCr,j_Posted,1,j_Per,5),0))</f>
        <v/>
      </c>
      <c r="S60" s="95">
        <f>IF($D60="",0,SUMIFS(j_DrAmt,j_DrAcct,$D60,j_Per,6)-SUMIFS(j_CrAmt,j_CrAcct,$D60,j_Per,6)+IF($D60=acctTax,SUMIFS(j_TaxDr,j_Posted,1,j_Per,6)-SUMIFS(j_TaxCr,j_Posted,1,j_Per,6),0))</f>
        <v/>
      </c>
      <c r="T60" s="95">
        <f>IF($D60="",0,SUMIFS(j_DrAmt,j_DrAcct,$D60,j_Per,7)-SUMIFS(j_CrAmt,j_CrAcct,$D60,j_Per,7)+IF($D60=acctTax,SUMIFS(j_TaxDr,j_Posted,1,j_Per,7)-SUMIFS(j_TaxCr,j_Posted,1,j_Per,7),0))</f>
        <v/>
      </c>
      <c r="U60" s="95">
        <f>IF($D60="",0,SUMIFS(j_DrAmt,j_DrAcct,$D60,j_Per,8)-SUMIFS(j_CrAmt,j_CrAcct,$D60,j_Per,8)+IF($D60=acctTax,SUMIFS(j_TaxDr,j_Posted,1,j_Per,8)-SUMIFS(j_TaxCr,j_Posted,1,j_Per,8),0))</f>
        <v/>
      </c>
      <c r="V60" s="95">
        <f>IF($D60="",0,SUMIFS(j_DrAmt,j_DrAcct,$D60,j_Per,9)-SUMIFS(j_CrAmt,j_CrAcct,$D60,j_Per,9)+IF($D60=acctTax,SUMIFS(j_TaxDr,j_Posted,1,j_Per,9)-SUMIFS(j_TaxCr,j_Posted,1,j_Per,9),0))</f>
        <v/>
      </c>
      <c r="W60" s="95">
        <f>IF($D60="",0,SUMIFS(j_DrAmt,j_DrAcct,$D60,j_Per,10)-SUMIFS(j_CrAmt,j_CrAcct,$D60,j_Per,10)+IF($D60=acctTax,SUMIFS(j_TaxDr,j_Posted,1,j_Per,10)-SUMIFS(j_TaxCr,j_Posted,1,j_Per,10),0))</f>
        <v/>
      </c>
      <c r="X60" s="95">
        <f>IF($D60="",0,SUMIFS(j_DrAmt,j_DrAcct,$D60,j_Per,11)-SUMIFS(j_CrAmt,j_CrAcct,$D60,j_Per,11)+IF($D60=acctTax,SUMIFS(j_TaxDr,j_Posted,1,j_Per,11)-SUMIFS(j_TaxCr,j_Posted,1,j_Per,11),0))</f>
        <v/>
      </c>
      <c r="Y60" s="95">
        <f>IF($D60="",0,SUMIFS(j_DrAmt,j_DrAcct,$D60,j_Per,12)-SUMIFS(j_CrAmt,j_CrAcct,$D60,j_Per,12)+IF($D60=acctTax,SUMIFS(j_TaxDr,j_Posted,1,j_Per,12)-SUMIFS(j_TaxCr,j_Posted,1,j_Per,12),0))</f>
        <v/>
      </c>
      <c r="Z60" s="95">
        <f>SUMPRODUCT(($N$5:$Y$5&lt;=RptIdx)*N60:Y60)</f>
        <v/>
      </c>
      <c r="AA60" s="95">
        <f>IF(AND(RptIdx&gt;=1,RptIdx&lt;=12),INDEX(N60:Y60,RptIdx),0)</f>
        <v/>
      </c>
      <c r="AB60" s="95">
        <f>IF($D60="",0,IF(RptIdx&gt;1,INDEX(N60:Y60,RptIdx-1),SUMIFS(j_DrAmt,j_DrAcct,$D60,j_Date,"&gt;="&amp;PrevStart,j_Date,"&lt;="&amp;PrevEnd)-SUMIFS(j_CrAmt,j_CrAcct,$D60,j_Date,"&gt;="&amp;PrevStart,j_Date,"&lt;="&amp;PrevEnd)+IF($D60=acctTax,SUMIFS(j_TaxDr,j_Posted,1,j_Date,"&gt;="&amp;PrevStart,j_Date,"&lt;="&amp;PrevEnd)-SUMIFS(j_TaxCr,j_Posted,1,j_Date,"&gt;="&amp;PrevStart,j_Date,"&lt;="&amp;PrevEnd),0)))</f>
        <v/>
      </c>
      <c r="AC60" s="95">
        <f>SUM(N60:Y60)</f>
        <v/>
      </c>
      <c r="AD60" s="95">
        <f>L60+M60+Z60</f>
        <v/>
      </c>
      <c r="AE60" s="95">
        <f>AD60-AA60</f>
        <v/>
      </c>
      <c r="AF60" s="58">
        <f>IF($D60="","",F60&amp;"|"&amp;COUNTIFS($F$7:F60,F60,$D$7:D60,"&lt;&gt;"))</f>
        <v/>
      </c>
      <c r="AG60" s="58">
        <f>IF(AND($D60&lt;&gt;"",H60="Cash"),"Cash|"&amp;COUNTIFS($H$7:H60,"Cash",$D$7:D60,"&lt;&gt;"),"")</f>
        <v/>
      </c>
      <c r="AH60" s="95">
        <f>IF(AND($D60&lt;&gt;"",OR(F60="Cost of Sales",F60="Operating Expense",F60="Other Expense"),Z60&gt;0),Z60+54/1000000,"")</f>
        <v/>
      </c>
      <c r="AI60" s="95">
        <f>L60+M60+SUM(N60:N60)</f>
        <v/>
      </c>
      <c r="AJ60" s="95">
        <f>L60+M60+SUM(N60:O60)</f>
        <v/>
      </c>
      <c r="AK60" s="95">
        <f>L60+M60+SUM(N60:P60)</f>
        <v/>
      </c>
      <c r="AL60" s="95">
        <f>L60+M60+SUM(N60:Q60)</f>
        <v/>
      </c>
      <c r="AM60" s="95">
        <f>L60+M60+SUM(N60:R60)</f>
        <v/>
      </c>
      <c r="AN60" s="95">
        <f>L60+M60+SUM(N60:S60)</f>
        <v/>
      </c>
      <c r="AO60" s="95">
        <f>L60+M60+SUM(N60:T60)</f>
        <v/>
      </c>
      <c r="AP60" s="95">
        <f>L60+M60+SUM(N60:U60)</f>
        <v/>
      </c>
      <c r="AQ60" s="95">
        <f>L60+M60+SUM(N60:V60)</f>
        <v/>
      </c>
      <c r="AR60" s="95">
        <f>L60+M60+SUM(N60:W60)</f>
        <v/>
      </c>
      <c r="AS60" s="95">
        <f>L60+M60+SUM(N60:X60)</f>
        <v/>
      </c>
      <c r="AT60" s="95">
        <f>L60+M60+SUM(N60:Y60)</f>
        <v/>
      </c>
    </row>
    <row r="61">
      <c r="B61" s="58" t="n">
        <v>55</v>
      </c>
      <c r="C61" s="58">
        <f>IFERROR(INDEX(coa_Name,55)&amp;"","")</f>
        <v/>
      </c>
      <c r="D61" s="58">
        <f>IF(C61="","",IF(COUNTIF($C$7:C61,C61)&gt;1,"",C61))</f>
        <v/>
      </c>
      <c r="E61" s="58">
        <f>IF($D61="","",INDEX(coa_Code,55))</f>
        <v/>
      </c>
      <c r="F61" s="58">
        <f>IF($D61="","",INDEX(coa_Type,55)&amp;"")</f>
        <v/>
      </c>
      <c r="G61" s="58">
        <f>IF($D61="","",INDEX(coa_Normal,55)&amp;"")</f>
        <v/>
      </c>
      <c r="H61" s="58">
        <f>IF($D61="","",IF(INDEX(coa_CF,55)&amp;""="","Operating",INDEX(coa_CF,55)&amp;""))</f>
        <v/>
      </c>
      <c r="I61" s="58">
        <f>IF($D61="","",IFERROR(INDEX(at_Stmt,MATCH(F61,at_Type,0)),""))</f>
        <v/>
      </c>
      <c r="J61" s="58">
        <f>IF($D61="",0,IFERROR(INDEX(at_Sign,MATCH(F61,at_Type,0)),0))</f>
        <v/>
      </c>
      <c r="K61" s="95">
        <f>IF($D61="",0,IF(G61="Credit",-1,1)*N(INDEX(coa_Open,55)))</f>
        <v/>
      </c>
      <c r="L61" s="95">
        <f>IF($D61="",0,IF($D61=acctOBE,K61-SUM($K$7:$K$156),K61))</f>
        <v/>
      </c>
      <c r="M61" s="95">
        <f>IF($D61="",0,SUMIFS(j_DrAmt,j_DrAcct,$D61,j_Per,0)-SUMIFS(j_CrAmt,j_CrAcct,$D61,j_Per,0)+IF($D61=acctTax,SUMIFS(j_TaxDr,j_Posted,1,j_Per,0)-SUMIFS(j_TaxCr,j_Posted,1,j_Per,0),0))</f>
        <v/>
      </c>
      <c r="N61" s="95">
        <f>IF($D61="",0,SUMIFS(j_DrAmt,j_DrAcct,$D61,j_Per,1)-SUMIFS(j_CrAmt,j_CrAcct,$D61,j_Per,1)+IF($D61=acctTax,SUMIFS(j_TaxDr,j_Posted,1,j_Per,1)-SUMIFS(j_TaxCr,j_Posted,1,j_Per,1),0))</f>
        <v/>
      </c>
      <c r="O61" s="95">
        <f>IF($D61="",0,SUMIFS(j_DrAmt,j_DrAcct,$D61,j_Per,2)-SUMIFS(j_CrAmt,j_CrAcct,$D61,j_Per,2)+IF($D61=acctTax,SUMIFS(j_TaxDr,j_Posted,1,j_Per,2)-SUMIFS(j_TaxCr,j_Posted,1,j_Per,2),0))</f>
        <v/>
      </c>
      <c r="P61" s="95">
        <f>IF($D61="",0,SUMIFS(j_DrAmt,j_DrAcct,$D61,j_Per,3)-SUMIFS(j_CrAmt,j_CrAcct,$D61,j_Per,3)+IF($D61=acctTax,SUMIFS(j_TaxDr,j_Posted,1,j_Per,3)-SUMIFS(j_TaxCr,j_Posted,1,j_Per,3),0))</f>
        <v/>
      </c>
      <c r="Q61" s="95">
        <f>IF($D61="",0,SUMIFS(j_DrAmt,j_DrAcct,$D61,j_Per,4)-SUMIFS(j_CrAmt,j_CrAcct,$D61,j_Per,4)+IF($D61=acctTax,SUMIFS(j_TaxDr,j_Posted,1,j_Per,4)-SUMIFS(j_TaxCr,j_Posted,1,j_Per,4),0))</f>
        <v/>
      </c>
      <c r="R61" s="95">
        <f>IF($D61="",0,SUMIFS(j_DrAmt,j_DrAcct,$D61,j_Per,5)-SUMIFS(j_CrAmt,j_CrAcct,$D61,j_Per,5)+IF($D61=acctTax,SUMIFS(j_TaxDr,j_Posted,1,j_Per,5)-SUMIFS(j_TaxCr,j_Posted,1,j_Per,5),0))</f>
        <v/>
      </c>
      <c r="S61" s="95">
        <f>IF($D61="",0,SUMIFS(j_DrAmt,j_DrAcct,$D61,j_Per,6)-SUMIFS(j_CrAmt,j_CrAcct,$D61,j_Per,6)+IF($D61=acctTax,SUMIFS(j_TaxDr,j_Posted,1,j_Per,6)-SUMIFS(j_TaxCr,j_Posted,1,j_Per,6),0))</f>
        <v/>
      </c>
      <c r="T61" s="95">
        <f>IF($D61="",0,SUMIFS(j_DrAmt,j_DrAcct,$D61,j_Per,7)-SUMIFS(j_CrAmt,j_CrAcct,$D61,j_Per,7)+IF($D61=acctTax,SUMIFS(j_TaxDr,j_Posted,1,j_Per,7)-SUMIFS(j_TaxCr,j_Posted,1,j_Per,7),0))</f>
        <v/>
      </c>
      <c r="U61" s="95">
        <f>IF($D61="",0,SUMIFS(j_DrAmt,j_DrAcct,$D61,j_Per,8)-SUMIFS(j_CrAmt,j_CrAcct,$D61,j_Per,8)+IF($D61=acctTax,SUMIFS(j_TaxDr,j_Posted,1,j_Per,8)-SUMIFS(j_TaxCr,j_Posted,1,j_Per,8),0))</f>
        <v/>
      </c>
      <c r="V61" s="95">
        <f>IF($D61="",0,SUMIFS(j_DrAmt,j_DrAcct,$D61,j_Per,9)-SUMIFS(j_CrAmt,j_CrAcct,$D61,j_Per,9)+IF($D61=acctTax,SUMIFS(j_TaxDr,j_Posted,1,j_Per,9)-SUMIFS(j_TaxCr,j_Posted,1,j_Per,9),0))</f>
        <v/>
      </c>
      <c r="W61" s="95">
        <f>IF($D61="",0,SUMIFS(j_DrAmt,j_DrAcct,$D61,j_Per,10)-SUMIFS(j_CrAmt,j_CrAcct,$D61,j_Per,10)+IF($D61=acctTax,SUMIFS(j_TaxDr,j_Posted,1,j_Per,10)-SUMIFS(j_TaxCr,j_Posted,1,j_Per,10),0))</f>
        <v/>
      </c>
      <c r="X61" s="95">
        <f>IF($D61="",0,SUMIFS(j_DrAmt,j_DrAcct,$D61,j_Per,11)-SUMIFS(j_CrAmt,j_CrAcct,$D61,j_Per,11)+IF($D61=acctTax,SUMIFS(j_TaxDr,j_Posted,1,j_Per,11)-SUMIFS(j_TaxCr,j_Posted,1,j_Per,11),0))</f>
        <v/>
      </c>
      <c r="Y61" s="95">
        <f>IF($D61="",0,SUMIFS(j_DrAmt,j_DrAcct,$D61,j_Per,12)-SUMIFS(j_CrAmt,j_CrAcct,$D61,j_Per,12)+IF($D61=acctTax,SUMIFS(j_TaxDr,j_Posted,1,j_Per,12)-SUMIFS(j_TaxCr,j_Posted,1,j_Per,12),0))</f>
        <v/>
      </c>
      <c r="Z61" s="95">
        <f>SUMPRODUCT(($N$5:$Y$5&lt;=RptIdx)*N61:Y61)</f>
        <v/>
      </c>
      <c r="AA61" s="95">
        <f>IF(AND(RptIdx&gt;=1,RptIdx&lt;=12),INDEX(N61:Y61,RptIdx),0)</f>
        <v/>
      </c>
      <c r="AB61" s="95">
        <f>IF($D61="",0,IF(RptIdx&gt;1,INDEX(N61:Y61,RptIdx-1),SUMIFS(j_DrAmt,j_DrAcct,$D61,j_Date,"&gt;="&amp;PrevStart,j_Date,"&lt;="&amp;PrevEnd)-SUMIFS(j_CrAmt,j_CrAcct,$D61,j_Date,"&gt;="&amp;PrevStart,j_Date,"&lt;="&amp;PrevEnd)+IF($D61=acctTax,SUMIFS(j_TaxDr,j_Posted,1,j_Date,"&gt;="&amp;PrevStart,j_Date,"&lt;="&amp;PrevEnd)-SUMIFS(j_TaxCr,j_Posted,1,j_Date,"&gt;="&amp;PrevStart,j_Date,"&lt;="&amp;PrevEnd),0)))</f>
        <v/>
      </c>
      <c r="AC61" s="95">
        <f>SUM(N61:Y61)</f>
        <v/>
      </c>
      <c r="AD61" s="95">
        <f>L61+M61+Z61</f>
        <v/>
      </c>
      <c r="AE61" s="95">
        <f>AD61-AA61</f>
        <v/>
      </c>
      <c r="AF61" s="58">
        <f>IF($D61="","",F61&amp;"|"&amp;COUNTIFS($F$7:F61,F61,$D$7:D61,"&lt;&gt;"))</f>
        <v/>
      </c>
      <c r="AG61" s="58">
        <f>IF(AND($D61&lt;&gt;"",H61="Cash"),"Cash|"&amp;COUNTIFS($H$7:H61,"Cash",$D$7:D61,"&lt;&gt;"),"")</f>
        <v/>
      </c>
      <c r="AH61" s="95">
        <f>IF(AND($D61&lt;&gt;"",OR(F61="Cost of Sales",F61="Operating Expense",F61="Other Expense"),Z61&gt;0),Z61+55/1000000,"")</f>
        <v/>
      </c>
      <c r="AI61" s="95">
        <f>L61+M61+SUM(N61:N61)</f>
        <v/>
      </c>
      <c r="AJ61" s="95">
        <f>L61+M61+SUM(N61:O61)</f>
        <v/>
      </c>
      <c r="AK61" s="95">
        <f>L61+M61+SUM(N61:P61)</f>
        <v/>
      </c>
      <c r="AL61" s="95">
        <f>L61+M61+SUM(N61:Q61)</f>
        <v/>
      </c>
      <c r="AM61" s="95">
        <f>L61+M61+SUM(N61:R61)</f>
        <v/>
      </c>
      <c r="AN61" s="95">
        <f>L61+M61+SUM(N61:S61)</f>
        <v/>
      </c>
      <c r="AO61" s="95">
        <f>L61+M61+SUM(N61:T61)</f>
        <v/>
      </c>
      <c r="AP61" s="95">
        <f>L61+M61+SUM(N61:U61)</f>
        <v/>
      </c>
      <c r="AQ61" s="95">
        <f>L61+M61+SUM(N61:V61)</f>
        <v/>
      </c>
      <c r="AR61" s="95">
        <f>L61+M61+SUM(N61:W61)</f>
        <v/>
      </c>
      <c r="AS61" s="95">
        <f>L61+M61+SUM(N61:X61)</f>
        <v/>
      </c>
      <c r="AT61" s="95">
        <f>L61+M61+SUM(N61:Y61)</f>
        <v/>
      </c>
    </row>
    <row r="62">
      <c r="B62" s="58" t="n">
        <v>56</v>
      </c>
      <c r="C62" s="58">
        <f>IFERROR(INDEX(coa_Name,56)&amp;"","")</f>
        <v/>
      </c>
      <c r="D62" s="58">
        <f>IF(C62="","",IF(COUNTIF($C$7:C62,C62)&gt;1,"",C62))</f>
        <v/>
      </c>
      <c r="E62" s="58">
        <f>IF($D62="","",INDEX(coa_Code,56))</f>
        <v/>
      </c>
      <c r="F62" s="58">
        <f>IF($D62="","",INDEX(coa_Type,56)&amp;"")</f>
        <v/>
      </c>
      <c r="G62" s="58">
        <f>IF($D62="","",INDEX(coa_Normal,56)&amp;"")</f>
        <v/>
      </c>
      <c r="H62" s="58">
        <f>IF($D62="","",IF(INDEX(coa_CF,56)&amp;""="","Operating",INDEX(coa_CF,56)&amp;""))</f>
        <v/>
      </c>
      <c r="I62" s="58">
        <f>IF($D62="","",IFERROR(INDEX(at_Stmt,MATCH(F62,at_Type,0)),""))</f>
        <v/>
      </c>
      <c r="J62" s="58">
        <f>IF($D62="",0,IFERROR(INDEX(at_Sign,MATCH(F62,at_Type,0)),0))</f>
        <v/>
      </c>
      <c r="K62" s="95">
        <f>IF($D62="",0,IF(G62="Credit",-1,1)*N(INDEX(coa_Open,56)))</f>
        <v/>
      </c>
      <c r="L62" s="95">
        <f>IF($D62="",0,IF($D62=acctOBE,K62-SUM($K$7:$K$156),K62))</f>
        <v/>
      </c>
      <c r="M62" s="95">
        <f>IF($D62="",0,SUMIFS(j_DrAmt,j_DrAcct,$D62,j_Per,0)-SUMIFS(j_CrAmt,j_CrAcct,$D62,j_Per,0)+IF($D62=acctTax,SUMIFS(j_TaxDr,j_Posted,1,j_Per,0)-SUMIFS(j_TaxCr,j_Posted,1,j_Per,0),0))</f>
        <v/>
      </c>
      <c r="N62" s="95">
        <f>IF($D62="",0,SUMIFS(j_DrAmt,j_DrAcct,$D62,j_Per,1)-SUMIFS(j_CrAmt,j_CrAcct,$D62,j_Per,1)+IF($D62=acctTax,SUMIFS(j_TaxDr,j_Posted,1,j_Per,1)-SUMIFS(j_TaxCr,j_Posted,1,j_Per,1),0))</f>
        <v/>
      </c>
      <c r="O62" s="95">
        <f>IF($D62="",0,SUMIFS(j_DrAmt,j_DrAcct,$D62,j_Per,2)-SUMIFS(j_CrAmt,j_CrAcct,$D62,j_Per,2)+IF($D62=acctTax,SUMIFS(j_TaxDr,j_Posted,1,j_Per,2)-SUMIFS(j_TaxCr,j_Posted,1,j_Per,2),0))</f>
        <v/>
      </c>
      <c r="P62" s="95">
        <f>IF($D62="",0,SUMIFS(j_DrAmt,j_DrAcct,$D62,j_Per,3)-SUMIFS(j_CrAmt,j_CrAcct,$D62,j_Per,3)+IF($D62=acctTax,SUMIFS(j_TaxDr,j_Posted,1,j_Per,3)-SUMIFS(j_TaxCr,j_Posted,1,j_Per,3),0))</f>
        <v/>
      </c>
      <c r="Q62" s="95">
        <f>IF($D62="",0,SUMIFS(j_DrAmt,j_DrAcct,$D62,j_Per,4)-SUMIFS(j_CrAmt,j_CrAcct,$D62,j_Per,4)+IF($D62=acctTax,SUMIFS(j_TaxDr,j_Posted,1,j_Per,4)-SUMIFS(j_TaxCr,j_Posted,1,j_Per,4),0))</f>
        <v/>
      </c>
      <c r="R62" s="95">
        <f>IF($D62="",0,SUMIFS(j_DrAmt,j_DrAcct,$D62,j_Per,5)-SUMIFS(j_CrAmt,j_CrAcct,$D62,j_Per,5)+IF($D62=acctTax,SUMIFS(j_TaxDr,j_Posted,1,j_Per,5)-SUMIFS(j_TaxCr,j_Posted,1,j_Per,5),0))</f>
        <v/>
      </c>
      <c r="S62" s="95">
        <f>IF($D62="",0,SUMIFS(j_DrAmt,j_DrAcct,$D62,j_Per,6)-SUMIFS(j_CrAmt,j_CrAcct,$D62,j_Per,6)+IF($D62=acctTax,SUMIFS(j_TaxDr,j_Posted,1,j_Per,6)-SUMIFS(j_TaxCr,j_Posted,1,j_Per,6),0))</f>
        <v/>
      </c>
      <c r="T62" s="95">
        <f>IF($D62="",0,SUMIFS(j_DrAmt,j_DrAcct,$D62,j_Per,7)-SUMIFS(j_CrAmt,j_CrAcct,$D62,j_Per,7)+IF($D62=acctTax,SUMIFS(j_TaxDr,j_Posted,1,j_Per,7)-SUMIFS(j_TaxCr,j_Posted,1,j_Per,7),0))</f>
        <v/>
      </c>
      <c r="U62" s="95">
        <f>IF($D62="",0,SUMIFS(j_DrAmt,j_DrAcct,$D62,j_Per,8)-SUMIFS(j_CrAmt,j_CrAcct,$D62,j_Per,8)+IF($D62=acctTax,SUMIFS(j_TaxDr,j_Posted,1,j_Per,8)-SUMIFS(j_TaxCr,j_Posted,1,j_Per,8),0))</f>
        <v/>
      </c>
      <c r="V62" s="95">
        <f>IF($D62="",0,SUMIFS(j_DrAmt,j_DrAcct,$D62,j_Per,9)-SUMIFS(j_CrAmt,j_CrAcct,$D62,j_Per,9)+IF($D62=acctTax,SUMIFS(j_TaxDr,j_Posted,1,j_Per,9)-SUMIFS(j_TaxCr,j_Posted,1,j_Per,9),0))</f>
        <v/>
      </c>
      <c r="W62" s="95">
        <f>IF($D62="",0,SUMIFS(j_DrAmt,j_DrAcct,$D62,j_Per,10)-SUMIFS(j_CrAmt,j_CrAcct,$D62,j_Per,10)+IF($D62=acctTax,SUMIFS(j_TaxDr,j_Posted,1,j_Per,10)-SUMIFS(j_TaxCr,j_Posted,1,j_Per,10),0))</f>
        <v/>
      </c>
      <c r="X62" s="95">
        <f>IF($D62="",0,SUMIFS(j_DrAmt,j_DrAcct,$D62,j_Per,11)-SUMIFS(j_CrAmt,j_CrAcct,$D62,j_Per,11)+IF($D62=acctTax,SUMIFS(j_TaxDr,j_Posted,1,j_Per,11)-SUMIFS(j_TaxCr,j_Posted,1,j_Per,11),0))</f>
        <v/>
      </c>
      <c r="Y62" s="95">
        <f>IF($D62="",0,SUMIFS(j_DrAmt,j_DrAcct,$D62,j_Per,12)-SUMIFS(j_CrAmt,j_CrAcct,$D62,j_Per,12)+IF($D62=acctTax,SUMIFS(j_TaxDr,j_Posted,1,j_Per,12)-SUMIFS(j_TaxCr,j_Posted,1,j_Per,12),0))</f>
        <v/>
      </c>
      <c r="Z62" s="95">
        <f>SUMPRODUCT(($N$5:$Y$5&lt;=RptIdx)*N62:Y62)</f>
        <v/>
      </c>
      <c r="AA62" s="95">
        <f>IF(AND(RptIdx&gt;=1,RptIdx&lt;=12),INDEX(N62:Y62,RptIdx),0)</f>
        <v/>
      </c>
      <c r="AB62" s="95">
        <f>IF($D62="",0,IF(RptIdx&gt;1,INDEX(N62:Y62,RptIdx-1),SUMIFS(j_DrAmt,j_DrAcct,$D62,j_Date,"&gt;="&amp;PrevStart,j_Date,"&lt;="&amp;PrevEnd)-SUMIFS(j_CrAmt,j_CrAcct,$D62,j_Date,"&gt;="&amp;PrevStart,j_Date,"&lt;="&amp;PrevEnd)+IF($D62=acctTax,SUMIFS(j_TaxDr,j_Posted,1,j_Date,"&gt;="&amp;PrevStart,j_Date,"&lt;="&amp;PrevEnd)-SUMIFS(j_TaxCr,j_Posted,1,j_Date,"&gt;="&amp;PrevStart,j_Date,"&lt;="&amp;PrevEnd),0)))</f>
        <v/>
      </c>
      <c r="AC62" s="95">
        <f>SUM(N62:Y62)</f>
        <v/>
      </c>
      <c r="AD62" s="95">
        <f>L62+M62+Z62</f>
        <v/>
      </c>
      <c r="AE62" s="95">
        <f>AD62-AA62</f>
        <v/>
      </c>
      <c r="AF62" s="58">
        <f>IF($D62="","",F62&amp;"|"&amp;COUNTIFS($F$7:F62,F62,$D$7:D62,"&lt;&gt;"))</f>
        <v/>
      </c>
      <c r="AG62" s="58">
        <f>IF(AND($D62&lt;&gt;"",H62="Cash"),"Cash|"&amp;COUNTIFS($H$7:H62,"Cash",$D$7:D62,"&lt;&gt;"),"")</f>
        <v/>
      </c>
      <c r="AH62" s="95">
        <f>IF(AND($D62&lt;&gt;"",OR(F62="Cost of Sales",F62="Operating Expense",F62="Other Expense"),Z62&gt;0),Z62+56/1000000,"")</f>
        <v/>
      </c>
      <c r="AI62" s="95">
        <f>L62+M62+SUM(N62:N62)</f>
        <v/>
      </c>
      <c r="AJ62" s="95">
        <f>L62+M62+SUM(N62:O62)</f>
        <v/>
      </c>
      <c r="AK62" s="95">
        <f>L62+M62+SUM(N62:P62)</f>
        <v/>
      </c>
      <c r="AL62" s="95">
        <f>L62+M62+SUM(N62:Q62)</f>
        <v/>
      </c>
      <c r="AM62" s="95">
        <f>L62+M62+SUM(N62:R62)</f>
        <v/>
      </c>
      <c r="AN62" s="95">
        <f>L62+M62+SUM(N62:S62)</f>
        <v/>
      </c>
      <c r="AO62" s="95">
        <f>L62+M62+SUM(N62:T62)</f>
        <v/>
      </c>
      <c r="AP62" s="95">
        <f>L62+M62+SUM(N62:U62)</f>
        <v/>
      </c>
      <c r="AQ62" s="95">
        <f>L62+M62+SUM(N62:V62)</f>
        <v/>
      </c>
      <c r="AR62" s="95">
        <f>L62+M62+SUM(N62:W62)</f>
        <v/>
      </c>
      <c r="AS62" s="95">
        <f>L62+M62+SUM(N62:X62)</f>
        <v/>
      </c>
      <c r="AT62" s="95">
        <f>L62+M62+SUM(N62:Y62)</f>
        <v/>
      </c>
    </row>
    <row r="63">
      <c r="B63" s="58" t="n">
        <v>57</v>
      </c>
      <c r="C63" s="58">
        <f>IFERROR(INDEX(coa_Name,57)&amp;"","")</f>
        <v/>
      </c>
      <c r="D63" s="58">
        <f>IF(C63="","",IF(COUNTIF($C$7:C63,C63)&gt;1,"",C63))</f>
        <v/>
      </c>
      <c r="E63" s="58">
        <f>IF($D63="","",INDEX(coa_Code,57))</f>
        <v/>
      </c>
      <c r="F63" s="58">
        <f>IF($D63="","",INDEX(coa_Type,57)&amp;"")</f>
        <v/>
      </c>
      <c r="G63" s="58">
        <f>IF($D63="","",INDEX(coa_Normal,57)&amp;"")</f>
        <v/>
      </c>
      <c r="H63" s="58">
        <f>IF($D63="","",IF(INDEX(coa_CF,57)&amp;""="","Operating",INDEX(coa_CF,57)&amp;""))</f>
        <v/>
      </c>
      <c r="I63" s="58">
        <f>IF($D63="","",IFERROR(INDEX(at_Stmt,MATCH(F63,at_Type,0)),""))</f>
        <v/>
      </c>
      <c r="J63" s="58">
        <f>IF($D63="",0,IFERROR(INDEX(at_Sign,MATCH(F63,at_Type,0)),0))</f>
        <v/>
      </c>
      <c r="K63" s="95">
        <f>IF($D63="",0,IF(G63="Credit",-1,1)*N(INDEX(coa_Open,57)))</f>
        <v/>
      </c>
      <c r="L63" s="95">
        <f>IF($D63="",0,IF($D63=acctOBE,K63-SUM($K$7:$K$156),K63))</f>
        <v/>
      </c>
      <c r="M63" s="95">
        <f>IF($D63="",0,SUMIFS(j_DrAmt,j_DrAcct,$D63,j_Per,0)-SUMIFS(j_CrAmt,j_CrAcct,$D63,j_Per,0)+IF($D63=acctTax,SUMIFS(j_TaxDr,j_Posted,1,j_Per,0)-SUMIFS(j_TaxCr,j_Posted,1,j_Per,0),0))</f>
        <v/>
      </c>
      <c r="N63" s="95">
        <f>IF($D63="",0,SUMIFS(j_DrAmt,j_DrAcct,$D63,j_Per,1)-SUMIFS(j_CrAmt,j_CrAcct,$D63,j_Per,1)+IF($D63=acctTax,SUMIFS(j_TaxDr,j_Posted,1,j_Per,1)-SUMIFS(j_TaxCr,j_Posted,1,j_Per,1),0))</f>
        <v/>
      </c>
      <c r="O63" s="95">
        <f>IF($D63="",0,SUMIFS(j_DrAmt,j_DrAcct,$D63,j_Per,2)-SUMIFS(j_CrAmt,j_CrAcct,$D63,j_Per,2)+IF($D63=acctTax,SUMIFS(j_TaxDr,j_Posted,1,j_Per,2)-SUMIFS(j_TaxCr,j_Posted,1,j_Per,2),0))</f>
        <v/>
      </c>
      <c r="P63" s="95">
        <f>IF($D63="",0,SUMIFS(j_DrAmt,j_DrAcct,$D63,j_Per,3)-SUMIFS(j_CrAmt,j_CrAcct,$D63,j_Per,3)+IF($D63=acctTax,SUMIFS(j_TaxDr,j_Posted,1,j_Per,3)-SUMIFS(j_TaxCr,j_Posted,1,j_Per,3),0))</f>
        <v/>
      </c>
      <c r="Q63" s="95">
        <f>IF($D63="",0,SUMIFS(j_DrAmt,j_DrAcct,$D63,j_Per,4)-SUMIFS(j_CrAmt,j_CrAcct,$D63,j_Per,4)+IF($D63=acctTax,SUMIFS(j_TaxDr,j_Posted,1,j_Per,4)-SUMIFS(j_TaxCr,j_Posted,1,j_Per,4),0))</f>
        <v/>
      </c>
      <c r="R63" s="95">
        <f>IF($D63="",0,SUMIFS(j_DrAmt,j_DrAcct,$D63,j_Per,5)-SUMIFS(j_CrAmt,j_CrAcct,$D63,j_Per,5)+IF($D63=acctTax,SUMIFS(j_TaxDr,j_Posted,1,j_Per,5)-SUMIFS(j_TaxCr,j_Posted,1,j_Per,5),0))</f>
        <v/>
      </c>
      <c r="S63" s="95">
        <f>IF($D63="",0,SUMIFS(j_DrAmt,j_DrAcct,$D63,j_Per,6)-SUMIFS(j_CrAmt,j_CrAcct,$D63,j_Per,6)+IF($D63=acctTax,SUMIFS(j_TaxDr,j_Posted,1,j_Per,6)-SUMIFS(j_TaxCr,j_Posted,1,j_Per,6),0))</f>
        <v/>
      </c>
      <c r="T63" s="95">
        <f>IF($D63="",0,SUMIFS(j_DrAmt,j_DrAcct,$D63,j_Per,7)-SUMIFS(j_CrAmt,j_CrAcct,$D63,j_Per,7)+IF($D63=acctTax,SUMIFS(j_TaxDr,j_Posted,1,j_Per,7)-SUMIFS(j_TaxCr,j_Posted,1,j_Per,7),0))</f>
        <v/>
      </c>
      <c r="U63" s="95">
        <f>IF($D63="",0,SUMIFS(j_DrAmt,j_DrAcct,$D63,j_Per,8)-SUMIFS(j_CrAmt,j_CrAcct,$D63,j_Per,8)+IF($D63=acctTax,SUMIFS(j_TaxDr,j_Posted,1,j_Per,8)-SUMIFS(j_TaxCr,j_Posted,1,j_Per,8),0))</f>
        <v/>
      </c>
      <c r="V63" s="95">
        <f>IF($D63="",0,SUMIFS(j_DrAmt,j_DrAcct,$D63,j_Per,9)-SUMIFS(j_CrAmt,j_CrAcct,$D63,j_Per,9)+IF($D63=acctTax,SUMIFS(j_TaxDr,j_Posted,1,j_Per,9)-SUMIFS(j_TaxCr,j_Posted,1,j_Per,9),0))</f>
        <v/>
      </c>
      <c r="W63" s="95">
        <f>IF($D63="",0,SUMIFS(j_DrAmt,j_DrAcct,$D63,j_Per,10)-SUMIFS(j_CrAmt,j_CrAcct,$D63,j_Per,10)+IF($D63=acctTax,SUMIFS(j_TaxDr,j_Posted,1,j_Per,10)-SUMIFS(j_TaxCr,j_Posted,1,j_Per,10),0))</f>
        <v/>
      </c>
      <c r="X63" s="95">
        <f>IF($D63="",0,SUMIFS(j_DrAmt,j_DrAcct,$D63,j_Per,11)-SUMIFS(j_CrAmt,j_CrAcct,$D63,j_Per,11)+IF($D63=acctTax,SUMIFS(j_TaxDr,j_Posted,1,j_Per,11)-SUMIFS(j_TaxCr,j_Posted,1,j_Per,11),0))</f>
        <v/>
      </c>
      <c r="Y63" s="95">
        <f>IF($D63="",0,SUMIFS(j_DrAmt,j_DrAcct,$D63,j_Per,12)-SUMIFS(j_CrAmt,j_CrAcct,$D63,j_Per,12)+IF($D63=acctTax,SUMIFS(j_TaxDr,j_Posted,1,j_Per,12)-SUMIFS(j_TaxCr,j_Posted,1,j_Per,12),0))</f>
        <v/>
      </c>
      <c r="Z63" s="95">
        <f>SUMPRODUCT(($N$5:$Y$5&lt;=RptIdx)*N63:Y63)</f>
        <v/>
      </c>
      <c r="AA63" s="95">
        <f>IF(AND(RptIdx&gt;=1,RptIdx&lt;=12),INDEX(N63:Y63,RptIdx),0)</f>
        <v/>
      </c>
      <c r="AB63" s="95">
        <f>IF($D63="",0,IF(RptIdx&gt;1,INDEX(N63:Y63,RptIdx-1),SUMIFS(j_DrAmt,j_DrAcct,$D63,j_Date,"&gt;="&amp;PrevStart,j_Date,"&lt;="&amp;PrevEnd)-SUMIFS(j_CrAmt,j_CrAcct,$D63,j_Date,"&gt;="&amp;PrevStart,j_Date,"&lt;="&amp;PrevEnd)+IF($D63=acctTax,SUMIFS(j_TaxDr,j_Posted,1,j_Date,"&gt;="&amp;PrevStart,j_Date,"&lt;="&amp;PrevEnd)-SUMIFS(j_TaxCr,j_Posted,1,j_Date,"&gt;="&amp;PrevStart,j_Date,"&lt;="&amp;PrevEnd),0)))</f>
        <v/>
      </c>
      <c r="AC63" s="95">
        <f>SUM(N63:Y63)</f>
        <v/>
      </c>
      <c r="AD63" s="95">
        <f>L63+M63+Z63</f>
        <v/>
      </c>
      <c r="AE63" s="95">
        <f>AD63-AA63</f>
        <v/>
      </c>
      <c r="AF63" s="58">
        <f>IF($D63="","",F63&amp;"|"&amp;COUNTIFS($F$7:F63,F63,$D$7:D63,"&lt;&gt;"))</f>
        <v/>
      </c>
      <c r="AG63" s="58">
        <f>IF(AND($D63&lt;&gt;"",H63="Cash"),"Cash|"&amp;COUNTIFS($H$7:H63,"Cash",$D$7:D63,"&lt;&gt;"),"")</f>
        <v/>
      </c>
      <c r="AH63" s="95">
        <f>IF(AND($D63&lt;&gt;"",OR(F63="Cost of Sales",F63="Operating Expense",F63="Other Expense"),Z63&gt;0),Z63+57/1000000,"")</f>
        <v/>
      </c>
      <c r="AI63" s="95">
        <f>L63+M63+SUM(N63:N63)</f>
        <v/>
      </c>
      <c r="AJ63" s="95">
        <f>L63+M63+SUM(N63:O63)</f>
        <v/>
      </c>
      <c r="AK63" s="95">
        <f>L63+M63+SUM(N63:P63)</f>
        <v/>
      </c>
      <c r="AL63" s="95">
        <f>L63+M63+SUM(N63:Q63)</f>
        <v/>
      </c>
      <c r="AM63" s="95">
        <f>L63+M63+SUM(N63:R63)</f>
        <v/>
      </c>
      <c r="AN63" s="95">
        <f>L63+M63+SUM(N63:S63)</f>
        <v/>
      </c>
      <c r="AO63" s="95">
        <f>L63+M63+SUM(N63:T63)</f>
        <v/>
      </c>
      <c r="AP63" s="95">
        <f>L63+M63+SUM(N63:U63)</f>
        <v/>
      </c>
      <c r="AQ63" s="95">
        <f>L63+M63+SUM(N63:V63)</f>
        <v/>
      </c>
      <c r="AR63" s="95">
        <f>L63+M63+SUM(N63:W63)</f>
        <v/>
      </c>
      <c r="AS63" s="95">
        <f>L63+M63+SUM(N63:X63)</f>
        <v/>
      </c>
      <c r="AT63" s="95">
        <f>L63+M63+SUM(N63:Y63)</f>
        <v/>
      </c>
    </row>
    <row r="64">
      <c r="B64" s="58" t="n">
        <v>58</v>
      </c>
      <c r="C64" s="58">
        <f>IFERROR(INDEX(coa_Name,58)&amp;"","")</f>
        <v/>
      </c>
      <c r="D64" s="58">
        <f>IF(C64="","",IF(COUNTIF($C$7:C64,C64)&gt;1,"",C64))</f>
        <v/>
      </c>
      <c r="E64" s="58">
        <f>IF($D64="","",INDEX(coa_Code,58))</f>
        <v/>
      </c>
      <c r="F64" s="58">
        <f>IF($D64="","",INDEX(coa_Type,58)&amp;"")</f>
        <v/>
      </c>
      <c r="G64" s="58">
        <f>IF($D64="","",INDEX(coa_Normal,58)&amp;"")</f>
        <v/>
      </c>
      <c r="H64" s="58">
        <f>IF($D64="","",IF(INDEX(coa_CF,58)&amp;""="","Operating",INDEX(coa_CF,58)&amp;""))</f>
        <v/>
      </c>
      <c r="I64" s="58">
        <f>IF($D64="","",IFERROR(INDEX(at_Stmt,MATCH(F64,at_Type,0)),""))</f>
        <v/>
      </c>
      <c r="J64" s="58">
        <f>IF($D64="",0,IFERROR(INDEX(at_Sign,MATCH(F64,at_Type,0)),0))</f>
        <v/>
      </c>
      <c r="K64" s="95">
        <f>IF($D64="",0,IF(G64="Credit",-1,1)*N(INDEX(coa_Open,58)))</f>
        <v/>
      </c>
      <c r="L64" s="95">
        <f>IF($D64="",0,IF($D64=acctOBE,K64-SUM($K$7:$K$156),K64))</f>
        <v/>
      </c>
      <c r="M64" s="95">
        <f>IF($D64="",0,SUMIFS(j_DrAmt,j_DrAcct,$D64,j_Per,0)-SUMIFS(j_CrAmt,j_CrAcct,$D64,j_Per,0)+IF($D64=acctTax,SUMIFS(j_TaxDr,j_Posted,1,j_Per,0)-SUMIFS(j_TaxCr,j_Posted,1,j_Per,0),0))</f>
        <v/>
      </c>
      <c r="N64" s="95">
        <f>IF($D64="",0,SUMIFS(j_DrAmt,j_DrAcct,$D64,j_Per,1)-SUMIFS(j_CrAmt,j_CrAcct,$D64,j_Per,1)+IF($D64=acctTax,SUMIFS(j_TaxDr,j_Posted,1,j_Per,1)-SUMIFS(j_TaxCr,j_Posted,1,j_Per,1),0))</f>
        <v/>
      </c>
      <c r="O64" s="95">
        <f>IF($D64="",0,SUMIFS(j_DrAmt,j_DrAcct,$D64,j_Per,2)-SUMIFS(j_CrAmt,j_CrAcct,$D64,j_Per,2)+IF($D64=acctTax,SUMIFS(j_TaxDr,j_Posted,1,j_Per,2)-SUMIFS(j_TaxCr,j_Posted,1,j_Per,2),0))</f>
        <v/>
      </c>
      <c r="P64" s="95">
        <f>IF($D64="",0,SUMIFS(j_DrAmt,j_DrAcct,$D64,j_Per,3)-SUMIFS(j_CrAmt,j_CrAcct,$D64,j_Per,3)+IF($D64=acctTax,SUMIFS(j_TaxDr,j_Posted,1,j_Per,3)-SUMIFS(j_TaxCr,j_Posted,1,j_Per,3),0))</f>
        <v/>
      </c>
      <c r="Q64" s="95">
        <f>IF($D64="",0,SUMIFS(j_DrAmt,j_DrAcct,$D64,j_Per,4)-SUMIFS(j_CrAmt,j_CrAcct,$D64,j_Per,4)+IF($D64=acctTax,SUMIFS(j_TaxDr,j_Posted,1,j_Per,4)-SUMIFS(j_TaxCr,j_Posted,1,j_Per,4),0))</f>
        <v/>
      </c>
      <c r="R64" s="95">
        <f>IF($D64="",0,SUMIFS(j_DrAmt,j_DrAcct,$D64,j_Per,5)-SUMIFS(j_CrAmt,j_CrAcct,$D64,j_Per,5)+IF($D64=acctTax,SUMIFS(j_TaxDr,j_Posted,1,j_Per,5)-SUMIFS(j_TaxCr,j_Posted,1,j_Per,5),0))</f>
        <v/>
      </c>
      <c r="S64" s="95">
        <f>IF($D64="",0,SUMIFS(j_DrAmt,j_DrAcct,$D64,j_Per,6)-SUMIFS(j_CrAmt,j_CrAcct,$D64,j_Per,6)+IF($D64=acctTax,SUMIFS(j_TaxDr,j_Posted,1,j_Per,6)-SUMIFS(j_TaxCr,j_Posted,1,j_Per,6),0))</f>
        <v/>
      </c>
      <c r="T64" s="95">
        <f>IF($D64="",0,SUMIFS(j_DrAmt,j_DrAcct,$D64,j_Per,7)-SUMIFS(j_CrAmt,j_CrAcct,$D64,j_Per,7)+IF($D64=acctTax,SUMIFS(j_TaxDr,j_Posted,1,j_Per,7)-SUMIFS(j_TaxCr,j_Posted,1,j_Per,7),0))</f>
        <v/>
      </c>
      <c r="U64" s="95">
        <f>IF($D64="",0,SUMIFS(j_DrAmt,j_DrAcct,$D64,j_Per,8)-SUMIFS(j_CrAmt,j_CrAcct,$D64,j_Per,8)+IF($D64=acctTax,SUMIFS(j_TaxDr,j_Posted,1,j_Per,8)-SUMIFS(j_TaxCr,j_Posted,1,j_Per,8),0))</f>
        <v/>
      </c>
      <c r="V64" s="95">
        <f>IF($D64="",0,SUMIFS(j_DrAmt,j_DrAcct,$D64,j_Per,9)-SUMIFS(j_CrAmt,j_CrAcct,$D64,j_Per,9)+IF($D64=acctTax,SUMIFS(j_TaxDr,j_Posted,1,j_Per,9)-SUMIFS(j_TaxCr,j_Posted,1,j_Per,9),0))</f>
        <v/>
      </c>
      <c r="W64" s="95">
        <f>IF($D64="",0,SUMIFS(j_DrAmt,j_DrAcct,$D64,j_Per,10)-SUMIFS(j_CrAmt,j_CrAcct,$D64,j_Per,10)+IF($D64=acctTax,SUMIFS(j_TaxDr,j_Posted,1,j_Per,10)-SUMIFS(j_TaxCr,j_Posted,1,j_Per,10),0))</f>
        <v/>
      </c>
      <c r="X64" s="95">
        <f>IF($D64="",0,SUMIFS(j_DrAmt,j_DrAcct,$D64,j_Per,11)-SUMIFS(j_CrAmt,j_CrAcct,$D64,j_Per,11)+IF($D64=acctTax,SUMIFS(j_TaxDr,j_Posted,1,j_Per,11)-SUMIFS(j_TaxCr,j_Posted,1,j_Per,11),0))</f>
        <v/>
      </c>
      <c r="Y64" s="95">
        <f>IF($D64="",0,SUMIFS(j_DrAmt,j_DrAcct,$D64,j_Per,12)-SUMIFS(j_CrAmt,j_CrAcct,$D64,j_Per,12)+IF($D64=acctTax,SUMIFS(j_TaxDr,j_Posted,1,j_Per,12)-SUMIFS(j_TaxCr,j_Posted,1,j_Per,12),0))</f>
        <v/>
      </c>
      <c r="Z64" s="95">
        <f>SUMPRODUCT(($N$5:$Y$5&lt;=RptIdx)*N64:Y64)</f>
        <v/>
      </c>
      <c r="AA64" s="95">
        <f>IF(AND(RptIdx&gt;=1,RptIdx&lt;=12),INDEX(N64:Y64,RptIdx),0)</f>
        <v/>
      </c>
      <c r="AB64" s="95">
        <f>IF($D64="",0,IF(RptIdx&gt;1,INDEX(N64:Y64,RptIdx-1),SUMIFS(j_DrAmt,j_DrAcct,$D64,j_Date,"&gt;="&amp;PrevStart,j_Date,"&lt;="&amp;PrevEnd)-SUMIFS(j_CrAmt,j_CrAcct,$D64,j_Date,"&gt;="&amp;PrevStart,j_Date,"&lt;="&amp;PrevEnd)+IF($D64=acctTax,SUMIFS(j_TaxDr,j_Posted,1,j_Date,"&gt;="&amp;PrevStart,j_Date,"&lt;="&amp;PrevEnd)-SUMIFS(j_TaxCr,j_Posted,1,j_Date,"&gt;="&amp;PrevStart,j_Date,"&lt;="&amp;PrevEnd),0)))</f>
        <v/>
      </c>
      <c r="AC64" s="95">
        <f>SUM(N64:Y64)</f>
        <v/>
      </c>
      <c r="AD64" s="95">
        <f>L64+M64+Z64</f>
        <v/>
      </c>
      <c r="AE64" s="95">
        <f>AD64-AA64</f>
        <v/>
      </c>
      <c r="AF64" s="58">
        <f>IF($D64="","",F64&amp;"|"&amp;COUNTIFS($F$7:F64,F64,$D$7:D64,"&lt;&gt;"))</f>
        <v/>
      </c>
      <c r="AG64" s="58">
        <f>IF(AND($D64&lt;&gt;"",H64="Cash"),"Cash|"&amp;COUNTIFS($H$7:H64,"Cash",$D$7:D64,"&lt;&gt;"),"")</f>
        <v/>
      </c>
      <c r="AH64" s="95">
        <f>IF(AND($D64&lt;&gt;"",OR(F64="Cost of Sales",F64="Operating Expense",F64="Other Expense"),Z64&gt;0),Z64+58/1000000,"")</f>
        <v/>
      </c>
      <c r="AI64" s="95">
        <f>L64+M64+SUM(N64:N64)</f>
        <v/>
      </c>
      <c r="AJ64" s="95">
        <f>L64+M64+SUM(N64:O64)</f>
        <v/>
      </c>
      <c r="AK64" s="95">
        <f>L64+M64+SUM(N64:P64)</f>
        <v/>
      </c>
      <c r="AL64" s="95">
        <f>L64+M64+SUM(N64:Q64)</f>
        <v/>
      </c>
      <c r="AM64" s="95">
        <f>L64+M64+SUM(N64:R64)</f>
        <v/>
      </c>
      <c r="AN64" s="95">
        <f>L64+M64+SUM(N64:S64)</f>
        <v/>
      </c>
      <c r="AO64" s="95">
        <f>L64+M64+SUM(N64:T64)</f>
        <v/>
      </c>
      <c r="AP64" s="95">
        <f>L64+M64+SUM(N64:U64)</f>
        <v/>
      </c>
      <c r="AQ64" s="95">
        <f>L64+M64+SUM(N64:V64)</f>
        <v/>
      </c>
      <c r="AR64" s="95">
        <f>L64+M64+SUM(N64:W64)</f>
        <v/>
      </c>
      <c r="AS64" s="95">
        <f>L64+M64+SUM(N64:X64)</f>
        <v/>
      </c>
      <c r="AT64" s="95">
        <f>L64+M64+SUM(N64:Y64)</f>
        <v/>
      </c>
    </row>
    <row r="65">
      <c r="B65" s="58" t="n">
        <v>59</v>
      </c>
      <c r="C65" s="58">
        <f>IFERROR(INDEX(coa_Name,59)&amp;"","")</f>
        <v/>
      </c>
      <c r="D65" s="58">
        <f>IF(C65="","",IF(COUNTIF($C$7:C65,C65)&gt;1,"",C65))</f>
        <v/>
      </c>
      <c r="E65" s="58">
        <f>IF($D65="","",INDEX(coa_Code,59))</f>
        <v/>
      </c>
      <c r="F65" s="58">
        <f>IF($D65="","",INDEX(coa_Type,59)&amp;"")</f>
        <v/>
      </c>
      <c r="G65" s="58">
        <f>IF($D65="","",INDEX(coa_Normal,59)&amp;"")</f>
        <v/>
      </c>
      <c r="H65" s="58">
        <f>IF($D65="","",IF(INDEX(coa_CF,59)&amp;""="","Operating",INDEX(coa_CF,59)&amp;""))</f>
        <v/>
      </c>
      <c r="I65" s="58">
        <f>IF($D65="","",IFERROR(INDEX(at_Stmt,MATCH(F65,at_Type,0)),""))</f>
        <v/>
      </c>
      <c r="J65" s="58">
        <f>IF($D65="",0,IFERROR(INDEX(at_Sign,MATCH(F65,at_Type,0)),0))</f>
        <v/>
      </c>
      <c r="K65" s="95">
        <f>IF($D65="",0,IF(G65="Credit",-1,1)*N(INDEX(coa_Open,59)))</f>
        <v/>
      </c>
      <c r="L65" s="95">
        <f>IF($D65="",0,IF($D65=acctOBE,K65-SUM($K$7:$K$156),K65))</f>
        <v/>
      </c>
      <c r="M65" s="95">
        <f>IF($D65="",0,SUMIFS(j_DrAmt,j_DrAcct,$D65,j_Per,0)-SUMIFS(j_CrAmt,j_CrAcct,$D65,j_Per,0)+IF($D65=acctTax,SUMIFS(j_TaxDr,j_Posted,1,j_Per,0)-SUMIFS(j_TaxCr,j_Posted,1,j_Per,0),0))</f>
        <v/>
      </c>
      <c r="N65" s="95">
        <f>IF($D65="",0,SUMIFS(j_DrAmt,j_DrAcct,$D65,j_Per,1)-SUMIFS(j_CrAmt,j_CrAcct,$D65,j_Per,1)+IF($D65=acctTax,SUMIFS(j_TaxDr,j_Posted,1,j_Per,1)-SUMIFS(j_TaxCr,j_Posted,1,j_Per,1),0))</f>
        <v/>
      </c>
      <c r="O65" s="95">
        <f>IF($D65="",0,SUMIFS(j_DrAmt,j_DrAcct,$D65,j_Per,2)-SUMIFS(j_CrAmt,j_CrAcct,$D65,j_Per,2)+IF($D65=acctTax,SUMIFS(j_TaxDr,j_Posted,1,j_Per,2)-SUMIFS(j_TaxCr,j_Posted,1,j_Per,2),0))</f>
        <v/>
      </c>
      <c r="P65" s="95">
        <f>IF($D65="",0,SUMIFS(j_DrAmt,j_DrAcct,$D65,j_Per,3)-SUMIFS(j_CrAmt,j_CrAcct,$D65,j_Per,3)+IF($D65=acctTax,SUMIFS(j_TaxDr,j_Posted,1,j_Per,3)-SUMIFS(j_TaxCr,j_Posted,1,j_Per,3),0))</f>
        <v/>
      </c>
      <c r="Q65" s="95">
        <f>IF($D65="",0,SUMIFS(j_DrAmt,j_DrAcct,$D65,j_Per,4)-SUMIFS(j_CrAmt,j_CrAcct,$D65,j_Per,4)+IF($D65=acctTax,SUMIFS(j_TaxDr,j_Posted,1,j_Per,4)-SUMIFS(j_TaxCr,j_Posted,1,j_Per,4),0))</f>
        <v/>
      </c>
      <c r="R65" s="95">
        <f>IF($D65="",0,SUMIFS(j_DrAmt,j_DrAcct,$D65,j_Per,5)-SUMIFS(j_CrAmt,j_CrAcct,$D65,j_Per,5)+IF($D65=acctTax,SUMIFS(j_TaxDr,j_Posted,1,j_Per,5)-SUMIFS(j_TaxCr,j_Posted,1,j_Per,5),0))</f>
        <v/>
      </c>
      <c r="S65" s="95">
        <f>IF($D65="",0,SUMIFS(j_DrAmt,j_DrAcct,$D65,j_Per,6)-SUMIFS(j_CrAmt,j_CrAcct,$D65,j_Per,6)+IF($D65=acctTax,SUMIFS(j_TaxDr,j_Posted,1,j_Per,6)-SUMIFS(j_TaxCr,j_Posted,1,j_Per,6),0))</f>
        <v/>
      </c>
      <c r="T65" s="95">
        <f>IF($D65="",0,SUMIFS(j_DrAmt,j_DrAcct,$D65,j_Per,7)-SUMIFS(j_CrAmt,j_CrAcct,$D65,j_Per,7)+IF($D65=acctTax,SUMIFS(j_TaxDr,j_Posted,1,j_Per,7)-SUMIFS(j_TaxCr,j_Posted,1,j_Per,7),0))</f>
        <v/>
      </c>
      <c r="U65" s="95">
        <f>IF($D65="",0,SUMIFS(j_DrAmt,j_DrAcct,$D65,j_Per,8)-SUMIFS(j_CrAmt,j_CrAcct,$D65,j_Per,8)+IF($D65=acctTax,SUMIFS(j_TaxDr,j_Posted,1,j_Per,8)-SUMIFS(j_TaxCr,j_Posted,1,j_Per,8),0))</f>
        <v/>
      </c>
      <c r="V65" s="95">
        <f>IF($D65="",0,SUMIFS(j_DrAmt,j_DrAcct,$D65,j_Per,9)-SUMIFS(j_CrAmt,j_CrAcct,$D65,j_Per,9)+IF($D65=acctTax,SUMIFS(j_TaxDr,j_Posted,1,j_Per,9)-SUMIFS(j_TaxCr,j_Posted,1,j_Per,9),0))</f>
        <v/>
      </c>
      <c r="W65" s="95">
        <f>IF($D65="",0,SUMIFS(j_DrAmt,j_DrAcct,$D65,j_Per,10)-SUMIFS(j_CrAmt,j_CrAcct,$D65,j_Per,10)+IF($D65=acctTax,SUMIFS(j_TaxDr,j_Posted,1,j_Per,10)-SUMIFS(j_TaxCr,j_Posted,1,j_Per,10),0))</f>
        <v/>
      </c>
      <c r="X65" s="95">
        <f>IF($D65="",0,SUMIFS(j_DrAmt,j_DrAcct,$D65,j_Per,11)-SUMIFS(j_CrAmt,j_CrAcct,$D65,j_Per,11)+IF($D65=acctTax,SUMIFS(j_TaxDr,j_Posted,1,j_Per,11)-SUMIFS(j_TaxCr,j_Posted,1,j_Per,11),0))</f>
        <v/>
      </c>
      <c r="Y65" s="95">
        <f>IF($D65="",0,SUMIFS(j_DrAmt,j_DrAcct,$D65,j_Per,12)-SUMIFS(j_CrAmt,j_CrAcct,$D65,j_Per,12)+IF($D65=acctTax,SUMIFS(j_TaxDr,j_Posted,1,j_Per,12)-SUMIFS(j_TaxCr,j_Posted,1,j_Per,12),0))</f>
        <v/>
      </c>
      <c r="Z65" s="95">
        <f>SUMPRODUCT(($N$5:$Y$5&lt;=RptIdx)*N65:Y65)</f>
        <v/>
      </c>
      <c r="AA65" s="95">
        <f>IF(AND(RptIdx&gt;=1,RptIdx&lt;=12),INDEX(N65:Y65,RptIdx),0)</f>
        <v/>
      </c>
      <c r="AB65" s="95">
        <f>IF($D65="",0,IF(RptIdx&gt;1,INDEX(N65:Y65,RptIdx-1),SUMIFS(j_DrAmt,j_DrAcct,$D65,j_Date,"&gt;="&amp;PrevStart,j_Date,"&lt;="&amp;PrevEnd)-SUMIFS(j_CrAmt,j_CrAcct,$D65,j_Date,"&gt;="&amp;PrevStart,j_Date,"&lt;="&amp;PrevEnd)+IF($D65=acctTax,SUMIFS(j_TaxDr,j_Posted,1,j_Date,"&gt;="&amp;PrevStart,j_Date,"&lt;="&amp;PrevEnd)-SUMIFS(j_TaxCr,j_Posted,1,j_Date,"&gt;="&amp;PrevStart,j_Date,"&lt;="&amp;PrevEnd),0)))</f>
        <v/>
      </c>
      <c r="AC65" s="95">
        <f>SUM(N65:Y65)</f>
        <v/>
      </c>
      <c r="AD65" s="95">
        <f>L65+M65+Z65</f>
        <v/>
      </c>
      <c r="AE65" s="95">
        <f>AD65-AA65</f>
        <v/>
      </c>
      <c r="AF65" s="58">
        <f>IF($D65="","",F65&amp;"|"&amp;COUNTIFS($F$7:F65,F65,$D$7:D65,"&lt;&gt;"))</f>
        <v/>
      </c>
      <c r="AG65" s="58">
        <f>IF(AND($D65&lt;&gt;"",H65="Cash"),"Cash|"&amp;COUNTIFS($H$7:H65,"Cash",$D$7:D65,"&lt;&gt;"),"")</f>
        <v/>
      </c>
      <c r="AH65" s="95">
        <f>IF(AND($D65&lt;&gt;"",OR(F65="Cost of Sales",F65="Operating Expense",F65="Other Expense"),Z65&gt;0),Z65+59/1000000,"")</f>
        <v/>
      </c>
      <c r="AI65" s="95">
        <f>L65+M65+SUM(N65:N65)</f>
        <v/>
      </c>
      <c r="AJ65" s="95">
        <f>L65+M65+SUM(N65:O65)</f>
        <v/>
      </c>
      <c r="AK65" s="95">
        <f>L65+M65+SUM(N65:P65)</f>
        <v/>
      </c>
      <c r="AL65" s="95">
        <f>L65+M65+SUM(N65:Q65)</f>
        <v/>
      </c>
      <c r="AM65" s="95">
        <f>L65+M65+SUM(N65:R65)</f>
        <v/>
      </c>
      <c r="AN65" s="95">
        <f>L65+M65+SUM(N65:S65)</f>
        <v/>
      </c>
      <c r="AO65" s="95">
        <f>L65+M65+SUM(N65:T65)</f>
        <v/>
      </c>
      <c r="AP65" s="95">
        <f>L65+M65+SUM(N65:U65)</f>
        <v/>
      </c>
      <c r="AQ65" s="95">
        <f>L65+M65+SUM(N65:V65)</f>
        <v/>
      </c>
      <c r="AR65" s="95">
        <f>L65+M65+SUM(N65:W65)</f>
        <v/>
      </c>
      <c r="AS65" s="95">
        <f>L65+M65+SUM(N65:X65)</f>
        <v/>
      </c>
      <c r="AT65" s="95">
        <f>L65+M65+SUM(N65:Y65)</f>
        <v/>
      </c>
    </row>
    <row r="66">
      <c r="B66" s="58" t="n">
        <v>60</v>
      </c>
      <c r="C66" s="58">
        <f>IFERROR(INDEX(coa_Name,60)&amp;"","")</f>
        <v/>
      </c>
      <c r="D66" s="58">
        <f>IF(C66="","",IF(COUNTIF($C$7:C66,C66)&gt;1,"",C66))</f>
        <v/>
      </c>
      <c r="E66" s="58">
        <f>IF($D66="","",INDEX(coa_Code,60))</f>
        <v/>
      </c>
      <c r="F66" s="58">
        <f>IF($D66="","",INDEX(coa_Type,60)&amp;"")</f>
        <v/>
      </c>
      <c r="G66" s="58">
        <f>IF($D66="","",INDEX(coa_Normal,60)&amp;"")</f>
        <v/>
      </c>
      <c r="H66" s="58">
        <f>IF($D66="","",IF(INDEX(coa_CF,60)&amp;""="","Operating",INDEX(coa_CF,60)&amp;""))</f>
        <v/>
      </c>
      <c r="I66" s="58">
        <f>IF($D66="","",IFERROR(INDEX(at_Stmt,MATCH(F66,at_Type,0)),""))</f>
        <v/>
      </c>
      <c r="J66" s="58">
        <f>IF($D66="",0,IFERROR(INDEX(at_Sign,MATCH(F66,at_Type,0)),0))</f>
        <v/>
      </c>
      <c r="K66" s="95">
        <f>IF($D66="",0,IF(G66="Credit",-1,1)*N(INDEX(coa_Open,60)))</f>
        <v/>
      </c>
      <c r="L66" s="95">
        <f>IF($D66="",0,IF($D66=acctOBE,K66-SUM($K$7:$K$156),K66))</f>
        <v/>
      </c>
      <c r="M66" s="95">
        <f>IF($D66="",0,SUMIFS(j_DrAmt,j_DrAcct,$D66,j_Per,0)-SUMIFS(j_CrAmt,j_CrAcct,$D66,j_Per,0)+IF($D66=acctTax,SUMIFS(j_TaxDr,j_Posted,1,j_Per,0)-SUMIFS(j_TaxCr,j_Posted,1,j_Per,0),0))</f>
        <v/>
      </c>
      <c r="N66" s="95">
        <f>IF($D66="",0,SUMIFS(j_DrAmt,j_DrAcct,$D66,j_Per,1)-SUMIFS(j_CrAmt,j_CrAcct,$D66,j_Per,1)+IF($D66=acctTax,SUMIFS(j_TaxDr,j_Posted,1,j_Per,1)-SUMIFS(j_TaxCr,j_Posted,1,j_Per,1),0))</f>
        <v/>
      </c>
      <c r="O66" s="95">
        <f>IF($D66="",0,SUMIFS(j_DrAmt,j_DrAcct,$D66,j_Per,2)-SUMIFS(j_CrAmt,j_CrAcct,$D66,j_Per,2)+IF($D66=acctTax,SUMIFS(j_TaxDr,j_Posted,1,j_Per,2)-SUMIFS(j_TaxCr,j_Posted,1,j_Per,2),0))</f>
        <v/>
      </c>
      <c r="P66" s="95">
        <f>IF($D66="",0,SUMIFS(j_DrAmt,j_DrAcct,$D66,j_Per,3)-SUMIFS(j_CrAmt,j_CrAcct,$D66,j_Per,3)+IF($D66=acctTax,SUMIFS(j_TaxDr,j_Posted,1,j_Per,3)-SUMIFS(j_TaxCr,j_Posted,1,j_Per,3),0))</f>
        <v/>
      </c>
      <c r="Q66" s="95">
        <f>IF($D66="",0,SUMIFS(j_DrAmt,j_DrAcct,$D66,j_Per,4)-SUMIFS(j_CrAmt,j_CrAcct,$D66,j_Per,4)+IF($D66=acctTax,SUMIFS(j_TaxDr,j_Posted,1,j_Per,4)-SUMIFS(j_TaxCr,j_Posted,1,j_Per,4),0))</f>
        <v/>
      </c>
      <c r="R66" s="95">
        <f>IF($D66="",0,SUMIFS(j_DrAmt,j_DrAcct,$D66,j_Per,5)-SUMIFS(j_CrAmt,j_CrAcct,$D66,j_Per,5)+IF($D66=acctTax,SUMIFS(j_TaxDr,j_Posted,1,j_Per,5)-SUMIFS(j_TaxCr,j_Posted,1,j_Per,5),0))</f>
        <v/>
      </c>
      <c r="S66" s="95">
        <f>IF($D66="",0,SUMIFS(j_DrAmt,j_DrAcct,$D66,j_Per,6)-SUMIFS(j_CrAmt,j_CrAcct,$D66,j_Per,6)+IF($D66=acctTax,SUMIFS(j_TaxDr,j_Posted,1,j_Per,6)-SUMIFS(j_TaxCr,j_Posted,1,j_Per,6),0))</f>
        <v/>
      </c>
      <c r="T66" s="95">
        <f>IF($D66="",0,SUMIFS(j_DrAmt,j_DrAcct,$D66,j_Per,7)-SUMIFS(j_CrAmt,j_CrAcct,$D66,j_Per,7)+IF($D66=acctTax,SUMIFS(j_TaxDr,j_Posted,1,j_Per,7)-SUMIFS(j_TaxCr,j_Posted,1,j_Per,7),0))</f>
        <v/>
      </c>
      <c r="U66" s="95">
        <f>IF($D66="",0,SUMIFS(j_DrAmt,j_DrAcct,$D66,j_Per,8)-SUMIFS(j_CrAmt,j_CrAcct,$D66,j_Per,8)+IF($D66=acctTax,SUMIFS(j_TaxDr,j_Posted,1,j_Per,8)-SUMIFS(j_TaxCr,j_Posted,1,j_Per,8),0))</f>
        <v/>
      </c>
      <c r="V66" s="95">
        <f>IF($D66="",0,SUMIFS(j_DrAmt,j_DrAcct,$D66,j_Per,9)-SUMIFS(j_CrAmt,j_CrAcct,$D66,j_Per,9)+IF($D66=acctTax,SUMIFS(j_TaxDr,j_Posted,1,j_Per,9)-SUMIFS(j_TaxCr,j_Posted,1,j_Per,9),0))</f>
        <v/>
      </c>
      <c r="W66" s="95">
        <f>IF($D66="",0,SUMIFS(j_DrAmt,j_DrAcct,$D66,j_Per,10)-SUMIFS(j_CrAmt,j_CrAcct,$D66,j_Per,10)+IF($D66=acctTax,SUMIFS(j_TaxDr,j_Posted,1,j_Per,10)-SUMIFS(j_TaxCr,j_Posted,1,j_Per,10),0))</f>
        <v/>
      </c>
      <c r="X66" s="95">
        <f>IF($D66="",0,SUMIFS(j_DrAmt,j_DrAcct,$D66,j_Per,11)-SUMIFS(j_CrAmt,j_CrAcct,$D66,j_Per,11)+IF($D66=acctTax,SUMIFS(j_TaxDr,j_Posted,1,j_Per,11)-SUMIFS(j_TaxCr,j_Posted,1,j_Per,11),0))</f>
        <v/>
      </c>
      <c r="Y66" s="95">
        <f>IF($D66="",0,SUMIFS(j_DrAmt,j_DrAcct,$D66,j_Per,12)-SUMIFS(j_CrAmt,j_CrAcct,$D66,j_Per,12)+IF($D66=acctTax,SUMIFS(j_TaxDr,j_Posted,1,j_Per,12)-SUMIFS(j_TaxCr,j_Posted,1,j_Per,12),0))</f>
        <v/>
      </c>
      <c r="Z66" s="95">
        <f>SUMPRODUCT(($N$5:$Y$5&lt;=RptIdx)*N66:Y66)</f>
        <v/>
      </c>
      <c r="AA66" s="95">
        <f>IF(AND(RptIdx&gt;=1,RptIdx&lt;=12),INDEX(N66:Y66,RptIdx),0)</f>
        <v/>
      </c>
      <c r="AB66" s="95">
        <f>IF($D66="",0,IF(RptIdx&gt;1,INDEX(N66:Y66,RptIdx-1),SUMIFS(j_DrAmt,j_DrAcct,$D66,j_Date,"&gt;="&amp;PrevStart,j_Date,"&lt;="&amp;PrevEnd)-SUMIFS(j_CrAmt,j_CrAcct,$D66,j_Date,"&gt;="&amp;PrevStart,j_Date,"&lt;="&amp;PrevEnd)+IF($D66=acctTax,SUMIFS(j_TaxDr,j_Posted,1,j_Date,"&gt;="&amp;PrevStart,j_Date,"&lt;="&amp;PrevEnd)-SUMIFS(j_TaxCr,j_Posted,1,j_Date,"&gt;="&amp;PrevStart,j_Date,"&lt;="&amp;PrevEnd),0)))</f>
        <v/>
      </c>
      <c r="AC66" s="95">
        <f>SUM(N66:Y66)</f>
        <v/>
      </c>
      <c r="AD66" s="95">
        <f>L66+M66+Z66</f>
        <v/>
      </c>
      <c r="AE66" s="95">
        <f>AD66-AA66</f>
        <v/>
      </c>
      <c r="AF66" s="58">
        <f>IF($D66="","",F66&amp;"|"&amp;COUNTIFS($F$7:F66,F66,$D$7:D66,"&lt;&gt;"))</f>
        <v/>
      </c>
      <c r="AG66" s="58">
        <f>IF(AND($D66&lt;&gt;"",H66="Cash"),"Cash|"&amp;COUNTIFS($H$7:H66,"Cash",$D$7:D66,"&lt;&gt;"),"")</f>
        <v/>
      </c>
      <c r="AH66" s="95">
        <f>IF(AND($D66&lt;&gt;"",OR(F66="Cost of Sales",F66="Operating Expense",F66="Other Expense"),Z66&gt;0),Z66+60/1000000,"")</f>
        <v/>
      </c>
      <c r="AI66" s="95">
        <f>L66+M66+SUM(N66:N66)</f>
        <v/>
      </c>
      <c r="AJ66" s="95">
        <f>L66+M66+SUM(N66:O66)</f>
        <v/>
      </c>
      <c r="AK66" s="95">
        <f>L66+M66+SUM(N66:P66)</f>
        <v/>
      </c>
      <c r="AL66" s="95">
        <f>L66+M66+SUM(N66:Q66)</f>
        <v/>
      </c>
      <c r="AM66" s="95">
        <f>L66+M66+SUM(N66:R66)</f>
        <v/>
      </c>
      <c r="AN66" s="95">
        <f>L66+M66+SUM(N66:S66)</f>
        <v/>
      </c>
      <c r="AO66" s="95">
        <f>L66+M66+SUM(N66:T66)</f>
        <v/>
      </c>
      <c r="AP66" s="95">
        <f>L66+M66+SUM(N66:U66)</f>
        <v/>
      </c>
      <c r="AQ66" s="95">
        <f>L66+M66+SUM(N66:V66)</f>
        <v/>
      </c>
      <c r="AR66" s="95">
        <f>L66+M66+SUM(N66:W66)</f>
        <v/>
      </c>
      <c r="AS66" s="95">
        <f>L66+M66+SUM(N66:X66)</f>
        <v/>
      </c>
      <c r="AT66" s="95">
        <f>L66+M66+SUM(N66:Y66)</f>
        <v/>
      </c>
    </row>
    <row r="67">
      <c r="B67" s="58" t="n">
        <v>61</v>
      </c>
      <c r="C67" s="58">
        <f>IFERROR(INDEX(coa_Name,61)&amp;"","")</f>
        <v/>
      </c>
      <c r="D67" s="58">
        <f>IF(C67="","",IF(COUNTIF($C$7:C67,C67)&gt;1,"",C67))</f>
        <v/>
      </c>
      <c r="E67" s="58">
        <f>IF($D67="","",INDEX(coa_Code,61))</f>
        <v/>
      </c>
      <c r="F67" s="58">
        <f>IF($D67="","",INDEX(coa_Type,61)&amp;"")</f>
        <v/>
      </c>
      <c r="G67" s="58">
        <f>IF($D67="","",INDEX(coa_Normal,61)&amp;"")</f>
        <v/>
      </c>
      <c r="H67" s="58">
        <f>IF($D67="","",IF(INDEX(coa_CF,61)&amp;""="","Operating",INDEX(coa_CF,61)&amp;""))</f>
        <v/>
      </c>
      <c r="I67" s="58">
        <f>IF($D67="","",IFERROR(INDEX(at_Stmt,MATCH(F67,at_Type,0)),""))</f>
        <v/>
      </c>
      <c r="J67" s="58">
        <f>IF($D67="",0,IFERROR(INDEX(at_Sign,MATCH(F67,at_Type,0)),0))</f>
        <v/>
      </c>
      <c r="K67" s="95">
        <f>IF($D67="",0,IF(G67="Credit",-1,1)*N(INDEX(coa_Open,61)))</f>
        <v/>
      </c>
      <c r="L67" s="95">
        <f>IF($D67="",0,IF($D67=acctOBE,K67-SUM($K$7:$K$156),K67))</f>
        <v/>
      </c>
      <c r="M67" s="95">
        <f>IF($D67="",0,SUMIFS(j_DrAmt,j_DrAcct,$D67,j_Per,0)-SUMIFS(j_CrAmt,j_CrAcct,$D67,j_Per,0)+IF($D67=acctTax,SUMIFS(j_TaxDr,j_Posted,1,j_Per,0)-SUMIFS(j_TaxCr,j_Posted,1,j_Per,0),0))</f>
        <v/>
      </c>
      <c r="N67" s="95">
        <f>IF($D67="",0,SUMIFS(j_DrAmt,j_DrAcct,$D67,j_Per,1)-SUMIFS(j_CrAmt,j_CrAcct,$D67,j_Per,1)+IF($D67=acctTax,SUMIFS(j_TaxDr,j_Posted,1,j_Per,1)-SUMIFS(j_TaxCr,j_Posted,1,j_Per,1),0))</f>
        <v/>
      </c>
      <c r="O67" s="95">
        <f>IF($D67="",0,SUMIFS(j_DrAmt,j_DrAcct,$D67,j_Per,2)-SUMIFS(j_CrAmt,j_CrAcct,$D67,j_Per,2)+IF($D67=acctTax,SUMIFS(j_TaxDr,j_Posted,1,j_Per,2)-SUMIFS(j_TaxCr,j_Posted,1,j_Per,2),0))</f>
        <v/>
      </c>
      <c r="P67" s="95">
        <f>IF($D67="",0,SUMIFS(j_DrAmt,j_DrAcct,$D67,j_Per,3)-SUMIFS(j_CrAmt,j_CrAcct,$D67,j_Per,3)+IF($D67=acctTax,SUMIFS(j_TaxDr,j_Posted,1,j_Per,3)-SUMIFS(j_TaxCr,j_Posted,1,j_Per,3),0))</f>
        <v/>
      </c>
      <c r="Q67" s="95">
        <f>IF($D67="",0,SUMIFS(j_DrAmt,j_DrAcct,$D67,j_Per,4)-SUMIFS(j_CrAmt,j_CrAcct,$D67,j_Per,4)+IF($D67=acctTax,SUMIFS(j_TaxDr,j_Posted,1,j_Per,4)-SUMIFS(j_TaxCr,j_Posted,1,j_Per,4),0))</f>
        <v/>
      </c>
      <c r="R67" s="95">
        <f>IF($D67="",0,SUMIFS(j_DrAmt,j_DrAcct,$D67,j_Per,5)-SUMIFS(j_CrAmt,j_CrAcct,$D67,j_Per,5)+IF($D67=acctTax,SUMIFS(j_TaxDr,j_Posted,1,j_Per,5)-SUMIFS(j_TaxCr,j_Posted,1,j_Per,5),0))</f>
        <v/>
      </c>
      <c r="S67" s="95">
        <f>IF($D67="",0,SUMIFS(j_DrAmt,j_DrAcct,$D67,j_Per,6)-SUMIFS(j_CrAmt,j_CrAcct,$D67,j_Per,6)+IF($D67=acctTax,SUMIFS(j_TaxDr,j_Posted,1,j_Per,6)-SUMIFS(j_TaxCr,j_Posted,1,j_Per,6),0))</f>
        <v/>
      </c>
      <c r="T67" s="95">
        <f>IF($D67="",0,SUMIFS(j_DrAmt,j_DrAcct,$D67,j_Per,7)-SUMIFS(j_CrAmt,j_CrAcct,$D67,j_Per,7)+IF($D67=acctTax,SUMIFS(j_TaxDr,j_Posted,1,j_Per,7)-SUMIFS(j_TaxCr,j_Posted,1,j_Per,7),0))</f>
        <v/>
      </c>
      <c r="U67" s="95">
        <f>IF($D67="",0,SUMIFS(j_DrAmt,j_DrAcct,$D67,j_Per,8)-SUMIFS(j_CrAmt,j_CrAcct,$D67,j_Per,8)+IF($D67=acctTax,SUMIFS(j_TaxDr,j_Posted,1,j_Per,8)-SUMIFS(j_TaxCr,j_Posted,1,j_Per,8),0))</f>
        <v/>
      </c>
      <c r="V67" s="95">
        <f>IF($D67="",0,SUMIFS(j_DrAmt,j_DrAcct,$D67,j_Per,9)-SUMIFS(j_CrAmt,j_CrAcct,$D67,j_Per,9)+IF($D67=acctTax,SUMIFS(j_TaxDr,j_Posted,1,j_Per,9)-SUMIFS(j_TaxCr,j_Posted,1,j_Per,9),0))</f>
        <v/>
      </c>
      <c r="W67" s="95">
        <f>IF($D67="",0,SUMIFS(j_DrAmt,j_DrAcct,$D67,j_Per,10)-SUMIFS(j_CrAmt,j_CrAcct,$D67,j_Per,10)+IF($D67=acctTax,SUMIFS(j_TaxDr,j_Posted,1,j_Per,10)-SUMIFS(j_TaxCr,j_Posted,1,j_Per,10),0))</f>
        <v/>
      </c>
      <c r="X67" s="95">
        <f>IF($D67="",0,SUMIFS(j_DrAmt,j_DrAcct,$D67,j_Per,11)-SUMIFS(j_CrAmt,j_CrAcct,$D67,j_Per,11)+IF($D67=acctTax,SUMIFS(j_TaxDr,j_Posted,1,j_Per,11)-SUMIFS(j_TaxCr,j_Posted,1,j_Per,11),0))</f>
        <v/>
      </c>
      <c r="Y67" s="95">
        <f>IF($D67="",0,SUMIFS(j_DrAmt,j_DrAcct,$D67,j_Per,12)-SUMIFS(j_CrAmt,j_CrAcct,$D67,j_Per,12)+IF($D67=acctTax,SUMIFS(j_TaxDr,j_Posted,1,j_Per,12)-SUMIFS(j_TaxCr,j_Posted,1,j_Per,12),0))</f>
        <v/>
      </c>
      <c r="Z67" s="95">
        <f>SUMPRODUCT(($N$5:$Y$5&lt;=RptIdx)*N67:Y67)</f>
        <v/>
      </c>
      <c r="AA67" s="95">
        <f>IF(AND(RptIdx&gt;=1,RptIdx&lt;=12),INDEX(N67:Y67,RptIdx),0)</f>
        <v/>
      </c>
      <c r="AB67" s="95">
        <f>IF($D67="",0,IF(RptIdx&gt;1,INDEX(N67:Y67,RptIdx-1),SUMIFS(j_DrAmt,j_DrAcct,$D67,j_Date,"&gt;="&amp;PrevStart,j_Date,"&lt;="&amp;PrevEnd)-SUMIFS(j_CrAmt,j_CrAcct,$D67,j_Date,"&gt;="&amp;PrevStart,j_Date,"&lt;="&amp;PrevEnd)+IF($D67=acctTax,SUMIFS(j_TaxDr,j_Posted,1,j_Date,"&gt;="&amp;PrevStart,j_Date,"&lt;="&amp;PrevEnd)-SUMIFS(j_TaxCr,j_Posted,1,j_Date,"&gt;="&amp;PrevStart,j_Date,"&lt;="&amp;PrevEnd),0)))</f>
        <v/>
      </c>
      <c r="AC67" s="95">
        <f>SUM(N67:Y67)</f>
        <v/>
      </c>
      <c r="AD67" s="95">
        <f>L67+M67+Z67</f>
        <v/>
      </c>
      <c r="AE67" s="95">
        <f>AD67-AA67</f>
        <v/>
      </c>
      <c r="AF67" s="58">
        <f>IF($D67="","",F67&amp;"|"&amp;COUNTIFS($F$7:F67,F67,$D$7:D67,"&lt;&gt;"))</f>
        <v/>
      </c>
      <c r="AG67" s="58">
        <f>IF(AND($D67&lt;&gt;"",H67="Cash"),"Cash|"&amp;COUNTIFS($H$7:H67,"Cash",$D$7:D67,"&lt;&gt;"),"")</f>
        <v/>
      </c>
      <c r="AH67" s="95">
        <f>IF(AND($D67&lt;&gt;"",OR(F67="Cost of Sales",F67="Operating Expense",F67="Other Expense"),Z67&gt;0),Z67+61/1000000,"")</f>
        <v/>
      </c>
      <c r="AI67" s="95">
        <f>L67+M67+SUM(N67:N67)</f>
        <v/>
      </c>
      <c r="AJ67" s="95">
        <f>L67+M67+SUM(N67:O67)</f>
        <v/>
      </c>
      <c r="AK67" s="95">
        <f>L67+M67+SUM(N67:P67)</f>
        <v/>
      </c>
      <c r="AL67" s="95">
        <f>L67+M67+SUM(N67:Q67)</f>
        <v/>
      </c>
      <c r="AM67" s="95">
        <f>L67+M67+SUM(N67:R67)</f>
        <v/>
      </c>
      <c r="AN67" s="95">
        <f>L67+M67+SUM(N67:S67)</f>
        <v/>
      </c>
      <c r="AO67" s="95">
        <f>L67+M67+SUM(N67:T67)</f>
        <v/>
      </c>
      <c r="AP67" s="95">
        <f>L67+M67+SUM(N67:U67)</f>
        <v/>
      </c>
      <c r="AQ67" s="95">
        <f>L67+M67+SUM(N67:V67)</f>
        <v/>
      </c>
      <c r="AR67" s="95">
        <f>L67+M67+SUM(N67:W67)</f>
        <v/>
      </c>
      <c r="AS67" s="95">
        <f>L67+M67+SUM(N67:X67)</f>
        <v/>
      </c>
      <c r="AT67" s="95">
        <f>L67+M67+SUM(N67:Y67)</f>
        <v/>
      </c>
    </row>
    <row r="68">
      <c r="B68" s="58" t="n">
        <v>62</v>
      </c>
      <c r="C68" s="58">
        <f>IFERROR(INDEX(coa_Name,62)&amp;"","")</f>
        <v/>
      </c>
      <c r="D68" s="58">
        <f>IF(C68="","",IF(COUNTIF($C$7:C68,C68)&gt;1,"",C68))</f>
        <v/>
      </c>
      <c r="E68" s="58">
        <f>IF($D68="","",INDEX(coa_Code,62))</f>
        <v/>
      </c>
      <c r="F68" s="58">
        <f>IF($D68="","",INDEX(coa_Type,62)&amp;"")</f>
        <v/>
      </c>
      <c r="G68" s="58">
        <f>IF($D68="","",INDEX(coa_Normal,62)&amp;"")</f>
        <v/>
      </c>
      <c r="H68" s="58">
        <f>IF($D68="","",IF(INDEX(coa_CF,62)&amp;""="","Operating",INDEX(coa_CF,62)&amp;""))</f>
        <v/>
      </c>
      <c r="I68" s="58">
        <f>IF($D68="","",IFERROR(INDEX(at_Stmt,MATCH(F68,at_Type,0)),""))</f>
        <v/>
      </c>
      <c r="J68" s="58">
        <f>IF($D68="",0,IFERROR(INDEX(at_Sign,MATCH(F68,at_Type,0)),0))</f>
        <v/>
      </c>
      <c r="K68" s="95">
        <f>IF($D68="",0,IF(G68="Credit",-1,1)*N(INDEX(coa_Open,62)))</f>
        <v/>
      </c>
      <c r="L68" s="95">
        <f>IF($D68="",0,IF($D68=acctOBE,K68-SUM($K$7:$K$156),K68))</f>
        <v/>
      </c>
      <c r="M68" s="95">
        <f>IF($D68="",0,SUMIFS(j_DrAmt,j_DrAcct,$D68,j_Per,0)-SUMIFS(j_CrAmt,j_CrAcct,$D68,j_Per,0)+IF($D68=acctTax,SUMIFS(j_TaxDr,j_Posted,1,j_Per,0)-SUMIFS(j_TaxCr,j_Posted,1,j_Per,0),0))</f>
        <v/>
      </c>
      <c r="N68" s="95">
        <f>IF($D68="",0,SUMIFS(j_DrAmt,j_DrAcct,$D68,j_Per,1)-SUMIFS(j_CrAmt,j_CrAcct,$D68,j_Per,1)+IF($D68=acctTax,SUMIFS(j_TaxDr,j_Posted,1,j_Per,1)-SUMIFS(j_TaxCr,j_Posted,1,j_Per,1),0))</f>
        <v/>
      </c>
      <c r="O68" s="95">
        <f>IF($D68="",0,SUMIFS(j_DrAmt,j_DrAcct,$D68,j_Per,2)-SUMIFS(j_CrAmt,j_CrAcct,$D68,j_Per,2)+IF($D68=acctTax,SUMIFS(j_TaxDr,j_Posted,1,j_Per,2)-SUMIFS(j_TaxCr,j_Posted,1,j_Per,2),0))</f>
        <v/>
      </c>
      <c r="P68" s="95">
        <f>IF($D68="",0,SUMIFS(j_DrAmt,j_DrAcct,$D68,j_Per,3)-SUMIFS(j_CrAmt,j_CrAcct,$D68,j_Per,3)+IF($D68=acctTax,SUMIFS(j_TaxDr,j_Posted,1,j_Per,3)-SUMIFS(j_TaxCr,j_Posted,1,j_Per,3),0))</f>
        <v/>
      </c>
      <c r="Q68" s="95">
        <f>IF($D68="",0,SUMIFS(j_DrAmt,j_DrAcct,$D68,j_Per,4)-SUMIFS(j_CrAmt,j_CrAcct,$D68,j_Per,4)+IF($D68=acctTax,SUMIFS(j_TaxDr,j_Posted,1,j_Per,4)-SUMIFS(j_TaxCr,j_Posted,1,j_Per,4),0))</f>
        <v/>
      </c>
      <c r="R68" s="95">
        <f>IF($D68="",0,SUMIFS(j_DrAmt,j_DrAcct,$D68,j_Per,5)-SUMIFS(j_CrAmt,j_CrAcct,$D68,j_Per,5)+IF($D68=acctTax,SUMIFS(j_TaxDr,j_Posted,1,j_Per,5)-SUMIFS(j_TaxCr,j_Posted,1,j_Per,5),0))</f>
        <v/>
      </c>
      <c r="S68" s="95">
        <f>IF($D68="",0,SUMIFS(j_DrAmt,j_DrAcct,$D68,j_Per,6)-SUMIFS(j_CrAmt,j_CrAcct,$D68,j_Per,6)+IF($D68=acctTax,SUMIFS(j_TaxDr,j_Posted,1,j_Per,6)-SUMIFS(j_TaxCr,j_Posted,1,j_Per,6),0))</f>
        <v/>
      </c>
      <c r="T68" s="95">
        <f>IF($D68="",0,SUMIFS(j_DrAmt,j_DrAcct,$D68,j_Per,7)-SUMIFS(j_CrAmt,j_CrAcct,$D68,j_Per,7)+IF($D68=acctTax,SUMIFS(j_TaxDr,j_Posted,1,j_Per,7)-SUMIFS(j_TaxCr,j_Posted,1,j_Per,7),0))</f>
        <v/>
      </c>
      <c r="U68" s="95">
        <f>IF($D68="",0,SUMIFS(j_DrAmt,j_DrAcct,$D68,j_Per,8)-SUMIFS(j_CrAmt,j_CrAcct,$D68,j_Per,8)+IF($D68=acctTax,SUMIFS(j_TaxDr,j_Posted,1,j_Per,8)-SUMIFS(j_TaxCr,j_Posted,1,j_Per,8),0))</f>
        <v/>
      </c>
      <c r="V68" s="95">
        <f>IF($D68="",0,SUMIFS(j_DrAmt,j_DrAcct,$D68,j_Per,9)-SUMIFS(j_CrAmt,j_CrAcct,$D68,j_Per,9)+IF($D68=acctTax,SUMIFS(j_TaxDr,j_Posted,1,j_Per,9)-SUMIFS(j_TaxCr,j_Posted,1,j_Per,9),0))</f>
        <v/>
      </c>
      <c r="W68" s="95">
        <f>IF($D68="",0,SUMIFS(j_DrAmt,j_DrAcct,$D68,j_Per,10)-SUMIFS(j_CrAmt,j_CrAcct,$D68,j_Per,10)+IF($D68=acctTax,SUMIFS(j_TaxDr,j_Posted,1,j_Per,10)-SUMIFS(j_TaxCr,j_Posted,1,j_Per,10),0))</f>
        <v/>
      </c>
      <c r="X68" s="95">
        <f>IF($D68="",0,SUMIFS(j_DrAmt,j_DrAcct,$D68,j_Per,11)-SUMIFS(j_CrAmt,j_CrAcct,$D68,j_Per,11)+IF($D68=acctTax,SUMIFS(j_TaxDr,j_Posted,1,j_Per,11)-SUMIFS(j_TaxCr,j_Posted,1,j_Per,11),0))</f>
        <v/>
      </c>
      <c r="Y68" s="95">
        <f>IF($D68="",0,SUMIFS(j_DrAmt,j_DrAcct,$D68,j_Per,12)-SUMIFS(j_CrAmt,j_CrAcct,$D68,j_Per,12)+IF($D68=acctTax,SUMIFS(j_TaxDr,j_Posted,1,j_Per,12)-SUMIFS(j_TaxCr,j_Posted,1,j_Per,12),0))</f>
        <v/>
      </c>
      <c r="Z68" s="95">
        <f>SUMPRODUCT(($N$5:$Y$5&lt;=RptIdx)*N68:Y68)</f>
        <v/>
      </c>
      <c r="AA68" s="95">
        <f>IF(AND(RptIdx&gt;=1,RptIdx&lt;=12),INDEX(N68:Y68,RptIdx),0)</f>
        <v/>
      </c>
      <c r="AB68" s="95">
        <f>IF($D68="",0,IF(RptIdx&gt;1,INDEX(N68:Y68,RptIdx-1),SUMIFS(j_DrAmt,j_DrAcct,$D68,j_Date,"&gt;="&amp;PrevStart,j_Date,"&lt;="&amp;PrevEnd)-SUMIFS(j_CrAmt,j_CrAcct,$D68,j_Date,"&gt;="&amp;PrevStart,j_Date,"&lt;="&amp;PrevEnd)+IF($D68=acctTax,SUMIFS(j_TaxDr,j_Posted,1,j_Date,"&gt;="&amp;PrevStart,j_Date,"&lt;="&amp;PrevEnd)-SUMIFS(j_TaxCr,j_Posted,1,j_Date,"&gt;="&amp;PrevStart,j_Date,"&lt;="&amp;PrevEnd),0)))</f>
        <v/>
      </c>
      <c r="AC68" s="95">
        <f>SUM(N68:Y68)</f>
        <v/>
      </c>
      <c r="AD68" s="95">
        <f>L68+M68+Z68</f>
        <v/>
      </c>
      <c r="AE68" s="95">
        <f>AD68-AA68</f>
        <v/>
      </c>
      <c r="AF68" s="58">
        <f>IF($D68="","",F68&amp;"|"&amp;COUNTIFS($F$7:F68,F68,$D$7:D68,"&lt;&gt;"))</f>
        <v/>
      </c>
      <c r="AG68" s="58">
        <f>IF(AND($D68&lt;&gt;"",H68="Cash"),"Cash|"&amp;COUNTIFS($H$7:H68,"Cash",$D$7:D68,"&lt;&gt;"),"")</f>
        <v/>
      </c>
      <c r="AH68" s="95">
        <f>IF(AND($D68&lt;&gt;"",OR(F68="Cost of Sales",F68="Operating Expense",F68="Other Expense"),Z68&gt;0),Z68+62/1000000,"")</f>
        <v/>
      </c>
      <c r="AI68" s="95">
        <f>L68+M68+SUM(N68:N68)</f>
        <v/>
      </c>
      <c r="AJ68" s="95">
        <f>L68+M68+SUM(N68:O68)</f>
        <v/>
      </c>
      <c r="AK68" s="95">
        <f>L68+M68+SUM(N68:P68)</f>
        <v/>
      </c>
      <c r="AL68" s="95">
        <f>L68+M68+SUM(N68:Q68)</f>
        <v/>
      </c>
      <c r="AM68" s="95">
        <f>L68+M68+SUM(N68:R68)</f>
        <v/>
      </c>
      <c r="AN68" s="95">
        <f>L68+M68+SUM(N68:S68)</f>
        <v/>
      </c>
      <c r="AO68" s="95">
        <f>L68+M68+SUM(N68:T68)</f>
        <v/>
      </c>
      <c r="AP68" s="95">
        <f>L68+M68+SUM(N68:U68)</f>
        <v/>
      </c>
      <c r="AQ68" s="95">
        <f>L68+M68+SUM(N68:V68)</f>
        <v/>
      </c>
      <c r="AR68" s="95">
        <f>L68+M68+SUM(N68:W68)</f>
        <v/>
      </c>
      <c r="AS68" s="95">
        <f>L68+M68+SUM(N68:X68)</f>
        <v/>
      </c>
      <c r="AT68" s="95">
        <f>L68+M68+SUM(N68:Y68)</f>
        <v/>
      </c>
    </row>
    <row r="69">
      <c r="B69" s="58" t="n">
        <v>63</v>
      </c>
      <c r="C69" s="58">
        <f>IFERROR(INDEX(coa_Name,63)&amp;"","")</f>
        <v/>
      </c>
      <c r="D69" s="58">
        <f>IF(C69="","",IF(COUNTIF($C$7:C69,C69)&gt;1,"",C69))</f>
        <v/>
      </c>
      <c r="E69" s="58">
        <f>IF($D69="","",INDEX(coa_Code,63))</f>
        <v/>
      </c>
      <c r="F69" s="58">
        <f>IF($D69="","",INDEX(coa_Type,63)&amp;"")</f>
        <v/>
      </c>
      <c r="G69" s="58">
        <f>IF($D69="","",INDEX(coa_Normal,63)&amp;"")</f>
        <v/>
      </c>
      <c r="H69" s="58">
        <f>IF($D69="","",IF(INDEX(coa_CF,63)&amp;""="","Operating",INDEX(coa_CF,63)&amp;""))</f>
        <v/>
      </c>
      <c r="I69" s="58">
        <f>IF($D69="","",IFERROR(INDEX(at_Stmt,MATCH(F69,at_Type,0)),""))</f>
        <v/>
      </c>
      <c r="J69" s="58">
        <f>IF($D69="",0,IFERROR(INDEX(at_Sign,MATCH(F69,at_Type,0)),0))</f>
        <v/>
      </c>
      <c r="K69" s="95">
        <f>IF($D69="",0,IF(G69="Credit",-1,1)*N(INDEX(coa_Open,63)))</f>
        <v/>
      </c>
      <c r="L69" s="95">
        <f>IF($D69="",0,IF($D69=acctOBE,K69-SUM($K$7:$K$156),K69))</f>
        <v/>
      </c>
      <c r="M69" s="95">
        <f>IF($D69="",0,SUMIFS(j_DrAmt,j_DrAcct,$D69,j_Per,0)-SUMIFS(j_CrAmt,j_CrAcct,$D69,j_Per,0)+IF($D69=acctTax,SUMIFS(j_TaxDr,j_Posted,1,j_Per,0)-SUMIFS(j_TaxCr,j_Posted,1,j_Per,0),0))</f>
        <v/>
      </c>
      <c r="N69" s="95">
        <f>IF($D69="",0,SUMIFS(j_DrAmt,j_DrAcct,$D69,j_Per,1)-SUMIFS(j_CrAmt,j_CrAcct,$D69,j_Per,1)+IF($D69=acctTax,SUMIFS(j_TaxDr,j_Posted,1,j_Per,1)-SUMIFS(j_TaxCr,j_Posted,1,j_Per,1),0))</f>
        <v/>
      </c>
      <c r="O69" s="95">
        <f>IF($D69="",0,SUMIFS(j_DrAmt,j_DrAcct,$D69,j_Per,2)-SUMIFS(j_CrAmt,j_CrAcct,$D69,j_Per,2)+IF($D69=acctTax,SUMIFS(j_TaxDr,j_Posted,1,j_Per,2)-SUMIFS(j_TaxCr,j_Posted,1,j_Per,2),0))</f>
        <v/>
      </c>
      <c r="P69" s="95">
        <f>IF($D69="",0,SUMIFS(j_DrAmt,j_DrAcct,$D69,j_Per,3)-SUMIFS(j_CrAmt,j_CrAcct,$D69,j_Per,3)+IF($D69=acctTax,SUMIFS(j_TaxDr,j_Posted,1,j_Per,3)-SUMIFS(j_TaxCr,j_Posted,1,j_Per,3),0))</f>
        <v/>
      </c>
      <c r="Q69" s="95">
        <f>IF($D69="",0,SUMIFS(j_DrAmt,j_DrAcct,$D69,j_Per,4)-SUMIFS(j_CrAmt,j_CrAcct,$D69,j_Per,4)+IF($D69=acctTax,SUMIFS(j_TaxDr,j_Posted,1,j_Per,4)-SUMIFS(j_TaxCr,j_Posted,1,j_Per,4),0))</f>
        <v/>
      </c>
      <c r="R69" s="95">
        <f>IF($D69="",0,SUMIFS(j_DrAmt,j_DrAcct,$D69,j_Per,5)-SUMIFS(j_CrAmt,j_CrAcct,$D69,j_Per,5)+IF($D69=acctTax,SUMIFS(j_TaxDr,j_Posted,1,j_Per,5)-SUMIFS(j_TaxCr,j_Posted,1,j_Per,5),0))</f>
        <v/>
      </c>
      <c r="S69" s="95">
        <f>IF($D69="",0,SUMIFS(j_DrAmt,j_DrAcct,$D69,j_Per,6)-SUMIFS(j_CrAmt,j_CrAcct,$D69,j_Per,6)+IF($D69=acctTax,SUMIFS(j_TaxDr,j_Posted,1,j_Per,6)-SUMIFS(j_TaxCr,j_Posted,1,j_Per,6),0))</f>
        <v/>
      </c>
      <c r="T69" s="95">
        <f>IF($D69="",0,SUMIFS(j_DrAmt,j_DrAcct,$D69,j_Per,7)-SUMIFS(j_CrAmt,j_CrAcct,$D69,j_Per,7)+IF($D69=acctTax,SUMIFS(j_TaxDr,j_Posted,1,j_Per,7)-SUMIFS(j_TaxCr,j_Posted,1,j_Per,7),0))</f>
        <v/>
      </c>
      <c r="U69" s="95">
        <f>IF($D69="",0,SUMIFS(j_DrAmt,j_DrAcct,$D69,j_Per,8)-SUMIFS(j_CrAmt,j_CrAcct,$D69,j_Per,8)+IF($D69=acctTax,SUMIFS(j_TaxDr,j_Posted,1,j_Per,8)-SUMIFS(j_TaxCr,j_Posted,1,j_Per,8),0))</f>
        <v/>
      </c>
      <c r="V69" s="95">
        <f>IF($D69="",0,SUMIFS(j_DrAmt,j_DrAcct,$D69,j_Per,9)-SUMIFS(j_CrAmt,j_CrAcct,$D69,j_Per,9)+IF($D69=acctTax,SUMIFS(j_TaxDr,j_Posted,1,j_Per,9)-SUMIFS(j_TaxCr,j_Posted,1,j_Per,9),0))</f>
        <v/>
      </c>
      <c r="W69" s="95">
        <f>IF($D69="",0,SUMIFS(j_DrAmt,j_DrAcct,$D69,j_Per,10)-SUMIFS(j_CrAmt,j_CrAcct,$D69,j_Per,10)+IF($D69=acctTax,SUMIFS(j_TaxDr,j_Posted,1,j_Per,10)-SUMIFS(j_TaxCr,j_Posted,1,j_Per,10),0))</f>
        <v/>
      </c>
      <c r="X69" s="95">
        <f>IF($D69="",0,SUMIFS(j_DrAmt,j_DrAcct,$D69,j_Per,11)-SUMIFS(j_CrAmt,j_CrAcct,$D69,j_Per,11)+IF($D69=acctTax,SUMIFS(j_TaxDr,j_Posted,1,j_Per,11)-SUMIFS(j_TaxCr,j_Posted,1,j_Per,11),0))</f>
        <v/>
      </c>
      <c r="Y69" s="95">
        <f>IF($D69="",0,SUMIFS(j_DrAmt,j_DrAcct,$D69,j_Per,12)-SUMIFS(j_CrAmt,j_CrAcct,$D69,j_Per,12)+IF($D69=acctTax,SUMIFS(j_TaxDr,j_Posted,1,j_Per,12)-SUMIFS(j_TaxCr,j_Posted,1,j_Per,12),0))</f>
        <v/>
      </c>
      <c r="Z69" s="95">
        <f>SUMPRODUCT(($N$5:$Y$5&lt;=RptIdx)*N69:Y69)</f>
        <v/>
      </c>
      <c r="AA69" s="95">
        <f>IF(AND(RptIdx&gt;=1,RptIdx&lt;=12),INDEX(N69:Y69,RptIdx),0)</f>
        <v/>
      </c>
      <c r="AB69" s="95">
        <f>IF($D69="",0,IF(RptIdx&gt;1,INDEX(N69:Y69,RptIdx-1),SUMIFS(j_DrAmt,j_DrAcct,$D69,j_Date,"&gt;="&amp;PrevStart,j_Date,"&lt;="&amp;PrevEnd)-SUMIFS(j_CrAmt,j_CrAcct,$D69,j_Date,"&gt;="&amp;PrevStart,j_Date,"&lt;="&amp;PrevEnd)+IF($D69=acctTax,SUMIFS(j_TaxDr,j_Posted,1,j_Date,"&gt;="&amp;PrevStart,j_Date,"&lt;="&amp;PrevEnd)-SUMIFS(j_TaxCr,j_Posted,1,j_Date,"&gt;="&amp;PrevStart,j_Date,"&lt;="&amp;PrevEnd),0)))</f>
        <v/>
      </c>
      <c r="AC69" s="95">
        <f>SUM(N69:Y69)</f>
        <v/>
      </c>
      <c r="AD69" s="95">
        <f>L69+M69+Z69</f>
        <v/>
      </c>
      <c r="AE69" s="95">
        <f>AD69-AA69</f>
        <v/>
      </c>
      <c r="AF69" s="58">
        <f>IF($D69="","",F69&amp;"|"&amp;COUNTIFS($F$7:F69,F69,$D$7:D69,"&lt;&gt;"))</f>
        <v/>
      </c>
      <c r="AG69" s="58">
        <f>IF(AND($D69&lt;&gt;"",H69="Cash"),"Cash|"&amp;COUNTIFS($H$7:H69,"Cash",$D$7:D69,"&lt;&gt;"),"")</f>
        <v/>
      </c>
      <c r="AH69" s="95">
        <f>IF(AND($D69&lt;&gt;"",OR(F69="Cost of Sales",F69="Operating Expense",F69="Other Expense"),Z69&gt;0),Z69+63/1000000,"")</f>
        <v/>
      </c>
      <c r="AI69" s="95">
        <f>L69+M69+SUM(N69:N69)</f>
        <v/>
      </c>
      <c r="AJ69" s="95">
        <f>L69+M69+SUM(N69:O69)</f>
        <v/>
      </c>
      <c r="AK69" s="95">
        <f>L69+M69+SUM(N69:P69)</f>
        <v/>
      </c>
      <c r="AL69" s="95">
        <f>L69+M69+SUM(N69:Q69)</f>
        <v/>
      </c>
      <c r="AM69" s="95">
        <f>L69+M69+SUM(N69:R69)</f>
        <v/>
      </c>
      <c r="AN69" s="95">
        <f>L69+M69+SUM(N69:S69)</f>
        <v/>
      </c>
      <c r="AO69" s="95">
        <f>L69+M69+SUM(N69:T69)</f>
        <v/>
      </c>
      <c r="AP69" s="95">
        <f>L69+M69+SUM(N69:U69)</f>
        <v/>
      </c>
      <c r="AQ69" s="95">
        <f>L69+M69+SUM(N69:V69)</f>
        <v/>
      </c>
      <c r="AR69" s="95">
        <f>L69+M69+SUM(N69:W69)</f>
        <v/>
      </c>
      <c r="AS69" s="95">
        <f>L69+M69+SUM(N69:X69)</f>
        <v/>
      </c>
      <c r="AT69" s="95">
        <f>L69+M69+SUM(N69:Y69)</f>
        <v/>
      </c>
    </row>
    <row r="70">
      <c r="B70" s="58" t="n">
        <v>64</v>
      </c>
      <c r="C70" s="58">
        <f>IFERROR(INDEX(coa_Name,64)&amp;"","")</f>
        <v/>
      </c>
      <c r="D70" s="58">
        <f>IF(C70="","",IF(COUNTIF($C$7:C70,C70)&gt;1,"",C70))</f>
        <v/>
      </c>
      <c r="E70" s="58">
        <f>IF($D70="","",INDEX(coa_Code,64))</f>
        <v/>
      </c>
      <c r="F70" s="58">
        <f>IF($D70="","",INDEX(coa_Type,64)&amp;"")</f>
        <v/>
      </c>
      <c r="G70" s="58">
        <f>IF($D70="","",INDEX(coa_Normal,64)&amp;"")</f>
        <v/>
      </c>
      <c r="H70" s="58">
        <f>IF($D70="","",IF(INDEX(coa_CF,64)&amp;""="","Operating",INDEX(coa_CF,64)&amp;""))</f>
        <v/>
      </c>
      <c r="I70" s="58">
        <f>IF($D70="","",IFERROR(INDEX(at_Stmt,MATCH(F70,at_Type,0)),""))</f>
        <v/>
      </c>
      <c r="J70" s="58">
        <f>IF($D70="",0,IFERROR(INDEX(at_Sign,MATCH(F70,at_Type,0)),0))</f>
        <v/>
      </c>
      <c r="K70" s="95">
        <f>IF($D70="",0,IF(G70="Credit",-1,1)*N(INDEX(coa_Open,64)))</f>
        <v/>
      </c>
      <c r="L70" s="95">
        <f>IF($D70="",0,IF($D70=acctOBE,K70-SUM($K$7:$K$156),K70))</f>
        <v/>
      </c>
      <c r="M70" s="95">
        <f>IF($D70="",0,SUMIFS(j_DrAmt,j_DrAcct,$D70,j_Per,0)-SUMIFS(j_CrAmt,j_CrAcct,$D70,j_Per,0)+IF($D70=acctTax,SUMIFS(j_TaxDr,j_Posted,1,j_Per,0)-SUMIFS(j_TaxCr,j_Posted,1,j_Per,0),0))</f>
        <v/>
      </c>
      <c r="N70" s="95">
        <f>IF($D70="",0,SUMIFS(j_DrAmt,j_DrAcct,$D70,j_Per,1)-SUMIFS(j_CrAmt,j_CrAcct,$D70,j_Per,1)+IF($D70=acctTax,SUMIFS(j_TaxDr,j_Posted,1,j_Per,1)-SUMIFS(j_TaxCr,j_Posted,1,j_Per,1),0))</f>
        <v/>
      </c>
      <c r="O70" s="95">
        <f>IF($D70="",0,SUMIFS(j_DrAmt,j_DrAcct,$D70,j_Per,2)-SUMIFS(j_CrAmt,j_CrAcct,$D70,j_Per,2)+IF($D70=acctTax,SUMIFS(j_TaxDr,j_Posted,1,j_Per,2)-SUMIFS(j_TaxCr,j_Posted,1,j_Per,2),0))</f>
        <v/>
      </c>
      <c r="P70" s="95">
        <f>IF($D70="",0,SUMIFS(j_DrAmt,j_DrAcct,$D70,j_Per,3)-SUMIFS(j_CrAmt,j_CrAcct,$D70,j_Per,3)+IF($D70=acctTax,SUMIFS(j_TaxDr,j_Posted,1,j_Per,3)-SUMIFS(j_TaxCr,j_Posted,1,j_Per,3),0))</f>
        <v/>
      </c>
      <c r="Q70" s="95">
        <f>IF($D70="",0,SUMIFS(j_DrAmt,j_DrAcct,$D70,j_Per,4)-SUMIFS(j_CrAmt,j_CrAcct,$D70,j_Per,4)+IF($D70=acctTax,SUMIFS(j_TaxDr,j_Posted,1,j_Per,4)-SUMIFS(j_TaxCr,j_Posted,1,j_Per,4),0))</f>
        <v/>
      </c>
      <c r="R70" s="95">
        <f>IF($D70="",0,SUMIFS(j_DrAmt,j_DrAcct,$D70,j_Per,5)-SUMIFS(j_CrAmt,j_CrAcct,$D70,j_Per,5)+IF($D70=acctTax,SUMIFS(j_TaxDr,j_Posted,1,j_Per,5)-SUMIFS(j_TaxCr,j_Posted,1,j_Per,5),0))</f>
        <v/>
      </c>
      <c r="S70" s="95">
        <f>IF($D70="",0,SUMIFS(j_DrAmt,j_DrAcct,$D70,j_Per,6)-SUMIFS(j_CrAmt,j_CrAcct,$D70,j_Per,6)+IF($D70=acctTax,SUMIFS(j_TaxDr,j_Posted,1,j_Per,6)-SUMIFS(j_TaxCr,j_Posted,1,j_Per,6),0))</f>
        <v/>
      </c>
      <c r="T70" s="95">
        <f>IF($D70="",0,SUMIFS(j_DrAmt,j_DrAcct,$D70,j_Per,7)-SUMIFS(j_CrAmt,j_CrAcct,$D70,j_Per,7)+IF($D70=acctTax,SUMIFS(j_TaxDr,j_Posted,1,j_Per,7)-SUMIFS(j_TaxCr,j_Posted,1,j_Per,7),0))</f>
        <v/>
      </c>
      <c r="U70" s="95">
        <f>IF($D70="",0,SUMIFS(j_DrAmt,j_DrAcct,$D70,j_Per,8)-SUMIFS(j_CrAmt,j_CrAcct,$D70,j_Per,8)+IF($D70=acctTax,SUMIFS(j_TaxDr,j_Posted,1,j_Per,8)-SUMIFS(j_TaxCr,j_Posted,1,j_Per,8),0))</f>
        <v/>
      </c>
      <c r="V70" s="95">
        <f>IF($D70="",0,SUMIFS(j_DrAmt,j_DrAcct,$D70,j_Per,9)-SUMIFS(j_CrAmt,j_CrAcct,$D70,j_Per,9)+IF($D70=acctTax,SUMIFS(j_TaxDr,j_Posted,1,j_Per,9)-SUMIFS(j_TaxCr,j_Posted,1,j_Per,9),0))</f>
        <v/>
      </c>
      <c r="W70" s="95">
        <f>IF($D70="",0,SUMIFS(j_DrAmt,j_DrAcct,$D70,j_Per,10)-SUMIFS(j_CrAmt,j_CrAcct,$D70,j_Per,10)+IF($D70=acctTax,SUMIFS(j_TaxDr,j_Posted,1,j_Per,10)-SUMIFS(j_TaxCr,j_Posted,1,j_Per,10),0))</f>
        <v/>
      </c>
      <c r="X70" s="95">
        <f>IF($D70="",0,SUMIFS(j_DrAmt,j_DrAcct,$D70,j_Per,11)-SUMIFS(j_CrAmt,j_CrAcct,$D70,j_Per,11)+IF($D70=acctTax,SUMIFS(j_TaxDr,j_Posted,1,j_Per,11)-SUMIFS(j_TaxCr,j_Posted,1,j_Per,11),0))</f>
        <v/>
      </c>
      <c r="Y70" s="95">
        <f>IF($D70="",0,SUMIFS(j_DrAmt,j_DrAcct,$D70,j_Per,12)-SUMIFS(j_CrAmt,j_CrAcct,$D70,j_Per,12)+IF($D70=acctTax,SUMIFS(j_TaxDr,j_Posted,1,j_Per,12)-SUMIFS(j_TaxCr,j_Posted,1,j_Per,12),0))</f>
        <v/>
      </c>
      <c r="Z70" s="95">
        <f>SUMPRODUCT(($N$5:$Y$5&lt;=RptIdx)*N70:Y70)</f>
        <v/>
      </c>
      <c r="AA70" s="95">
        <f>IF(AND(RptIdx&gt;=1,RptIdx&lt;=12),INDEX(N70:Y70,RptIdx),0)</f>
        <v/>
      </c>
      <c r="AB70" s="95">
        <f>IF($D70="",0,IF(RptIdx&gt;1,INDEX(N70:Y70,RptIdx-1),SUMIFS(j_DrAmt,j_DrAcct,$D70,j_Date,"&gt;="&amp;PrevStart,j_Date,"&lt;="&amp;PrevEnd)-SUMIFS(j_CrAmt,j_CrAcct,$D70,j_Date,"&gt;="&amp;PrevStart,j_Date,"&lt;="&amp;PrevEnd)+IF($D70=acctTax,SUMIFS(j_TaxDr,j_Posted,1,j_Date,"&gt;="&amp;PrevStart,j_Date,"&lt;="&amp;PrevEnd)-SUMIFS(j_TaxCr,j_Posted,1,j_Date,"&gt;="&amp;PrevStart,j_Date,"&lt;="&amp;PrevEnd),0)))</f>
        <v/>
      </c>
      <c r="AC70" s="95">
        <f>SUM(N70:Y70)</f>
        <v/>
      </c>
      <c r="AD70" s="95">
        <f>L70+M70+Z70</f>
        <v/>
      </c>
      <c r="AE70" s="95">
        <f>AD70-AA70</f>
        <v/>
      </c>
      <c r="AF70" s="58">
        <f>IF($D70="","",F70&amp;"|"&amp;COUNTIFS($F$7:F70,F70,$D$7:D70,"&lt;&gt;"))</f>
        <v/>
      </c>
      <c r="AG70" s="58">
        <f>IF(AND($D70&lt;&gt;"",H70="Cash"),"Cash|"&amp;COUNTIFS($H$7:H70,"Cash",$D$7:D70,"&lt;&gt;"),"")</f>
        <v/>
      </c>
      <c r="AH70" s="95">
        <f>IF(AND($D70&lt;&gt;"",OR(F70="Cost of Sales",F70="Operating Expense",F70="Other Expense"),Z70&gt;0),Z70+64/1000000,"")</f>
        <v/>
      </c>
      <c r="AI70" s="95">
        <f>L70+M70+SUM(N70:N70)</f>
        <v/>
      </c>
      <c r="AJ70" s="95">
        <f>L70+M70+SUM(N70:O70)</f>
        <v/>
      </c>
      <c r="AK70" s="95">
        <f>L70+M70+SUM(N70:P70)</f>
        <v/>
      </c>
      <c r="AL70" s="95">
        <f>L70+M70+SUM(N70:Q70)</f>
        <v/>
      </c>
      <c r="AM70" s="95">
        <f>L70+M70+SUM(N70:R70)</f>
        <v/>
      </c>
      <c r="AN70" s="95">
        <f>L70+M70+SUM(N70:S70)</f>
        <v/>
      </c>
      <c r="AO70" s="95">
        <f>L70+M70+SUM(N70:T70)</f>
        <v/>
      </c>
      <c r="AP70" s="95">
        <f>L70+M70+SUM(N70:U70)</f>
        <v/>
      </c>
      <c r="AQ70" s="95">
        <f>L70+M70+SUM(N70:V70)</f>
        <v/>
      </c>
      <c r="AR70" s="95">
        <f>L70+M70+SUM(N70:W70)</f>
        <v/>
      </c>
      <c r="AS70" s="95">
        <f>L70+M70+SUM(N70:X70)</f>
        <v/>
      </c>
      <c r="AT70" s="95">
        <f>L70+M70+SUM(N70:Y70)</f>
        <v/>
      </c>
    </row>
    <row r="71">
      <c r="B71" s="58" t="n">
        <v>65</v>
      </c>
      <c r="C71" s="58">
        <f>IFERROR(INDEX(coa_Name,65)&amp;"","")</f>
        <v/>
      </c>
      <c r="D71" s="58">
        <f>IF(C71="","",IF(COUNTIF($C$7:C71,C71)&gt;1,"",C71))</f>
        <v/>
      </c>
      <c r="E71" s="58">
        <f>IF($D71="","",INDEX(coa_Code,65))</f>
        <v/>
      </c>
      <c r="F71" s="58">
        <f>IF($D71="","",INDEX(coa_Type,65)&amp;"")</f>
        <v/>
      </c>
      <c r="G71" s="58">
        <f>IF($D71="","",INDEX(coa_Normal,65)&amp;"")</f>
        <v/>
      </c>
      <c r="H71" s="58">
        <f>IF($D71="","",IF(INDEX(coa_CF,65)&amp;""="","Operating",INDEX(coa_CF,65)&amp;""))</f>
        <v/>
      </c>
      <c r="I71" s="58">
        <f>IF($D71="","",IFERROR(INDEX(at_Stmt,MATCH(F71,at_Type,0)),""))</f>
        <v/>
      </c>
      <c r="J71" s="58">
        <f>IF($D71="",0,IFERROR(INDEX(at_Sign,MATCH(F71,at_Type,0)),0))</f>
        <v/>
      </c>
      <c r="K71" s="95">
        <f>IF($D71="",0,IF(G71="Credit",-1,1)*N(INDEX(coa_Open,65)))</f>
        <v/>
      </c>
      <c r="L71" s="95">
        <f>IF($D71="",0,IF($D71=acctOBE,K71-SUM($K$7:$K$156),K71))</f>
        <v/>
      </c>
      <c r="M71" s="95">
        <f>IF($D71="",0,SUMIFS(j_DrAmt,j_DrAcct,$D71,j_Per,0)-SUMIFS(j_CrAmt,j_CrAcct,$D71,j_Per,0)+IF($D71=acctTax,SUMIFS(j_TaxDr,j_Posted,1,j_Per,0)-SUMIFS(j_TaxCr,j_Posted,1,j_Per,0),0))</f>
        <v/>
      </c>
      <c r="N71" s="95">
        <f>IF($D71="",0,SUMIFS(j_DrAmt,j_DrAcct,$D71,j_Per,1)-SUMIFS(j_CrAmt,j_CrAcct,$D71,j_Per,1)+IF($D71=acctTax,SUMIFS(j_TaxDr,j_Posted,1,j_Per,1)-SUMIFS(j_TaxCr,j_Posted,1,j_Per,1),0))</f>
        <v/>
      </c>
      <c r="O71" s="95">
        <f>IF($D71="",0,SUMIFS(j_DrAmt,j_DrAcct,$D71,j_Per,2)-SUMIFS(j_CrAmt,j_CrAcct,$D71,j_Per,2)+IF($D71=acctTax,SUMIFS(j_TaxDr,j_Posted,1,j_Per,2)-SUMIFS(j_TaxCr,j_Posted,1,j_Per,2),0))</f>
        <v/>
      </c>
      <c r="P71" s="95">
        <f>IF($D71="",0,SUMIFS(j_DrAmt,j_DrAcct,$D71,j_Per,3)-SUMIFS(j_CrAmt,j_CrAcct,$D71,j_Per,3)+IF($D71=acctTax,SUMIFS(j_TaxDr,j_Posted,1,j_Per,3)-SUMIFS(j_TaxCr,j_Posted,1,j_Per,3),0))</f>
        <v/>
      </c>
      <c r="Q71" s="95">
        <f>IF($D71="",0,SUMIFS(j_DrAmt,j_DrAcct,$D71,j_Per,4)-SUMIFS(j_CrAmt,j_CrAcct,$D71,j_Per,4)+IF($D71=acctTax,SUMIFS(j_TaxDr,j_Posted,1,j_Per,4)-SUMIFS(j_TaxCr,j_Posted,1,j_Per,4),0))</f>
        <v/>
      </c>
      <c r="R71" s="95">
        <f>IF($D71="",0,SUMIFS(j_DrAmt,j_DrAcct,$D71,j_Per,5)-SUMIFS(j_CrAmt,j_CrAcct,$D71,j_Per,5)+IF($D71=acctTax,SUMIFS(j_TaxDr,j_Posted,1,j_Per,5)-SUMIFS(j_TaxCr,j_Posted,1,j_Per,5),0))</f>
        <v/>
      </c>
      <c r="S71" s="95">
        <f>IF($D71="",0,SUMIFS(j_DrAmt,j_DrAcct,$D71,j_Per,6)-SUMIFS(j_CrAmt,j_CrAcct,$D71,j_Per,6)+IF($D71=acctTax,SUMIFS(j_TaxDr,j_Posted,1,j_Per,6)-SUMIFS(j_TaxCr,j_Posted,1,j_Per,6),0))</f>
        <v/>
      </c>
      <c r="T71" s="95">
        <f>IF($D71="",0,SUMIFS(j_DrAmt,j_DrAcct,$D71,j_Per,7)-SUMIFS(j_CrAmt,j_CrAcct,$D71,j_Per,7)+IF($D71=acctTax,SUMIFS(j_TaxDr,j_Posted,1,j_Per,7)-SUMIFS(j_TaxCr,j_Posted,1,j_Per,7),0))</f>
        <v/>
      </c>
      <c r="U71" s="95">
        <f>IF($D71="",0,SUMIFS(j_DrAmt,j_DrAcct,$D71,j_Per,8)-SUMIFS(j_CrAmt,j_CrAcct,$D71,j_Per,8)+IF($D71=acctTax,SUMIFS(j_TaxDr,j_Posted,1,j_Per,8)-SUMIFS(j_TaxCr,j_Posted,1,j_Per,8),0))</f>
        <v/>
      </c>
      <c r="V71" s="95">
        <f>IF($D71="",0,SUMIFS(j_DrAmt,j_DrAcct,$D71,j_Per,9)-SUMIFS(j_CrAmt,j_CrAcct,$D71,j_Per,9)+IF($D71=acctTax,SUMIFS(j_TaxDr,j_Posted,1,j_Per,9)-SUMIFS(j_TaxCr,j_Posted,1,j_Per,9),0))</f>
        <v/>
      </c>
      <c r="W71" s="95">
        <f>IF($D71="",0,SUMIFS(j_DrAmt,j_DrAcct,$D71,j_Per,10)-SUMIFS(j_CrAmt,j_CrAcct,$D71,j_Per,10)+IF($D71=acctTax,SUMIFS(j_TaxDr,j_Posted,1,j_Per,10)-SUMIFS(j_TaxCr,j_Posted,1,j_Per,10),0))</f>
        <v/>
      </c>
      <c r="X71" s="95">
        <f>IF($D71="",0,SUMIFS(j_DrAmt,j_DrAcct,$D71,j_Per,11)-SUMIFS(j_CrAmt,j_CrAcct,$D71,j_Per,11)+IF($D71=acctTax,SUMIFS(j_TaxDr,j_Posted,1,j_Per,11)-SUMIFS(j_TaxCr,j_Posted,1,j_Per,11),0))</f>
        <v/>
      </c>
      <c r="Y71" s="95">
        <f>IF($D71="",0,SUMIFS(j_DrAmt,j_DrAcct,$D71,j_Per,12)-SUMIFS(j_CrAmt,j_CrAcct,$D71,j_Per,12)+IF($D71=acctTax,SUMIFS(j_TaxDr,j_Posted,1,j_Per,12)-SUMIFS(j_TaxCr,j_Posted,1,j_Per,12),0))</f>
        <v/>
      </c>
      <c r="Z71" s="95">
        <f>SUMPRODUCT(($N$5:$Y$5&lt;=RptIdx)*N71:Y71)</f>
        <v/>
      </c>
      <c r="AA71" s="95">
        <f>IF(AND(RptIdx&gt;=1,RptIdx&lt;=12),INDEX(N71:Y71,RptIdx),0)</f>
        <v/>
      </c>
      <c r="AB71" s="95">
        <f>IF($D71="",0,IF(RptIdx&gt;1,INDEX(N71:Y71,RptIdx-1),SUMIFS(j_DrAmt,j_DrAcct,$D71,j_Date,"&gt;="&amp;PrevStart,j_Date,"&lt;="&amp;PrevEnd)-SUMIFS(j_CrAmt,j_CrAcct,$D71,j_Date,"&gt;="&amp;PrevStart,j_Date,"&lt;="&amp;PrevEnd)+IF($D71=acctTax,SUMIFS(j_TaxDr,j_Posted,1,j_Date,"&gt;="&amp;PrevStart,j_Date,"&lt;="&amp;PrevEnd)-SUMIFS(j_TaxCr,j_Posted,1,j_Date,"&gt;="&amp;PrevStart,j_Date,"&lt;="&amp;PrevEnd),0)))</f>
        <v/>
      </c>
      <c r="AC71" s="95">
        <f>SUM(N71:Y71)</f>
        <v/>
      </c>
      <c r="AD71" s="95">
        <f>L71+M71+Z71</f>
        <v/>
      </c>
      <c r="AE71" s="95">
        <f>AD71-AA71</f>
        <v/>
      </c>
      <c r="AF71" s="58">
        <f>IF($D71="","",F71&amp;"|"&amp;COUNTIFS($F$7:F71,F71,$D$7:D71,"&lt;&gt;"))</f>
        <v/>
      </c>
      <c r="AG71" s="58">
        <f>IF(AND($D71&lt;&gt;"",H71="Cash"),"Cash|"&amp;COUNTIFS($H$7:H71,"Cash",$D$7:D71,"&lt;&gt;"),"")</f>
        <v/>
      </c>
      <c r="AH71" s="95">
        <f>IF(AND($D71&lt;&gt;"",OR(F71="Cost of Sales",F71="Operating Expense",F71="Other Expense"),Z71&gt;0),Z71+65/1000000,"")</f>
        <v/>
      </c>
      <c r="AI71" s="95">
        <f>L71+M71+SUM(N71:N71)</f>
        <v/>
      </c>
      <c r="AJ71" s="95">
        <f>L71+M71+SUM(N71:O71)</f>
        <v/>
      </c>
      <c r="AK71" s="95">
        <f>L71+M71+SUM(N71:P71)</f>
        <v/>
      </c>
      <c r="AL71" s="95">
        <f>L71+M71+SUM(N71:Q71)</f>
        <v/>
      </c>
      <c r="AM71" s="95">
        <f>L71+M71+SUM(N71:R71)</f>
        <v/>
      </c>
      <c r="AN71" s="95">
        <f>L71+M71+SUM(N71:S71)</f>
        <v/>
      </c>
      <c r="AO71" s="95">
        <f>L71+M71+SUM(N71:T71)</f>
        <v/>
      </c>
      <c r="AP71" s="95">
        <f>L71+M71+SUM(N71:U71)</f>
        <v/>
      </c>
      <c r="AQ71" s="95">
        <f>L71+M71+SUM(N71:V71)</f>
        <v/>
      </c>
      <c r="AR71" s="95">
        <f>L71+M71+SUM(N71:W71)</f>
        <v/>
      </c>
      <c r="AS71" s="95">
        <f>L71+M71+SUM(N71:X71)</f>
        <v/>
      </c>
      <c r="AT71" s="95">
        <f>L71+M71+SUM(N71:Y71)</f>
        <v/>
      </c>
    </row>
    <row r="72">
      <c r="B72" s="58" t="n">
        <v>66</v>
      </c>
      <c r="C72" s="58">
        <f>IFERROR(INDEX(coa_Name,66)&amp;"","")</f>
        <v/>
      </c>
      <c r="D72" s="58">
        <f>IF(C72="","",IF(COUNTIF($C$7:C72,C72)&gt;1,"",C72))</f>
        <v/>
      </c>
      <c r="E72" s="58">
        <f>IF($D72="","",INDEX(coa_Code,66))</f>
        <v/>
      </c>
      <c r="F72" s="58">
        <f>IF($D72="","",INDEX(coa_Type,66)&amp;"")</f>
        <v/>
      </c>
      <c r="G72" s="58">
        <f>IF($D72="","",INDEX(coa_Normal,66)&amp;"")</f>
        <v/>
      </c>
      <c r="H72" s="58">
        <f>IF($D72="","",IF(INDEX(coa_CF,66)&amp;""="","Operating",INDEX(coa_CF,66)&amp;""))</f>
        <v/>
      </c>
      <c r="I72" s="58">
        <f>IF($D72="","",IFERROR(INDEX(at_Stmt,MATCH(F72,at_Type,0)),""))</f>
        <v/>
      </c>
      <c r="J72" s="58">
        <f>IF($D72="",0,IFERROR(INDEX(at_Sign,MATCH(F72,at_Type,0)),0))</f>
        <v/>
      </c>
      <c r="K72" s="95">
        <f>IF($D72="",0,IF(G72="Credit",-1,1)*N(INDEX(coa_Open,66)))</f>
        <v/>
      </c>
      <c r="L72" s="95">
        <f>IF($D72="",0,IF($D72=acctOBE,K72-SUM($K$7:$K$156),K72))</f>
        <v/>
      </c>
      <c r="M72" s="95">
        <f>IF($D72="",0,SUMIFS(j_DrAmt,j_DrAcct,$D72,j_Per,0)-SUMIFS(j_CrAmt,j_CrAcct,$D72,j_Per,0)+IF($D72=acctTax,SUMIFS(j_TaxDr,j_Posted,1,j_Per,0)-SUMIFS(j_TaxCr,j_Posted,1,j_Per,0),0))</f>
        <v/>
      </c>
      <c r="N72" s="95">
        <f>IF($D72="",0,SUMIFS(j_DrAmt,j_DrAcct,$D72,j_Per,1)-SUMIFS(j_CrAmt,j_CrAcct,$D72,j_Per,1)+IF($D72=acctTax,SUMIFS(j_TaxDr,j_Posted,1,j_Per,1)-SUMIFS(j_TaxCr,j_Posted,1,j_Per,1),0))</f>
        <v/>
      </c>
      <c r="O72" s="95">
        <f>IF($D72="",0,SUMIFS(j_DrAmt,j_DrAcct,$D72,j_Per,2)-SUMIFS(j_CrAmt,j_CrAcct,$D72,j_Per,2)+IF($D72=acctTax,SUMIFS(j_TaxDr,j_Posted,1,j_Per,2)-SUMIFS(j_TaxCr,j_Posted,1,j_Per,2),0))</f>
        <v/>
      </c>
      <c r="P72" s="95">
        <f>IF($D72="",0,SUMIFS(j_DrAmt,j_DrAcct,$D72,j_Per,3)-SUMIFS(j_CrAmt,j_CrAcct,$D72,j_Per,3)+IF($D72=acctTax,SUMIFS(j_TaxDr,j_Posted,1,j_Per,3)-SUMIFS(j_TaxCr,j_Posted,1,j_Per,3),0))</f>
        <v/>
      </c>
      <c r="Q72" s="95">
        <f>IF($D72="",0,SUMIFS(j_DrAmt,j_DrAcct,$D72,j_Per,4)-SUMIFS(j_CrAmt,j_CrAcct,$D72,j_Per,4)+IF($D72=acctTax,SUMIFS(j_TaxDr,j_Posted,1,j_Per,4)-SUMIFS(j_TaxCr,j_Posted,1,j_Per,4),0))</f>
        <v/>
      </c>
      <c r="R72" s="95">
        <f>IF($D72="",0,SUMIFS(j_DrAmt,j_DrAcct,$D72,j_Per,5)-SUMIFS(j_CrAmt,j_CrAcct,$D72,j_Per,5)+IF($D72=acctTax,SUMIFS(j_TaxDr,j_Posted,1,j_Per,5)-SUMIFS(j_TaxCr,j_Posted,1,j_Per,5),0))</f>
        <v/>
      </c>
      <c r="S72" s="95">
        <f>IF($D72="",0,SUMIFS(j_DrAmt,j_DrAcct,$D72,j_Per,6)-SUMIFS(j_CrAmt,j_CrAcct,$D72,j_Per,6)+IF($D72=acctTax,SUMIFS(j_TaxDr,j_Posted,1,j_Per,6)-SUMIFS(j_TaxCr,j_Posted,1,j_Per,6),0))</f>
        <v/>
      </c>
      <c r="T72" s="95">
        <f>IF($D72="",0,SUMIFS(j_DrAmt,j_DrAcct,$D72,j_Per,7)-SUMIFS(j_CrAmt,j_CrAcct,$D72,j_Per,7)+IF($D72=acctTax,SUMIFS(j_TaxDr,j_Posted,1,j_Per,7)-SUMIFS(j_TaxCr,j_Posted,1,j_Per,7),0))</f>
        <v/>
      </c>
      <c r="U72" s="95">
        <f>IF($D72="",0,SUMIFS(j_DrAmt,j_DrAcct,$D72,j_Per,8)-SUMIFS(j_CrAmt,j_CrAcct,$D72,j_Per,8)+IF($D72=acctTax,SUMIFS(j_TaxDr,j_Posted,1,j_Per,8)-SUMIFS(j_TaxCr,j_Posted,1,j_Per,8),0))</f>
        <v/>
      </c>
      <c r="V72" s="95">
        <f>IF($D72="",0,SUMIFS(j_DrAmt,j_DrAcct,$D72,j_Per,9)-SUMIFS(j_CrAmt,j_CrAcct,$D72,j_Per,9)+IF($D72=acctTax,SUMIFS(j_TaxDr,j_Posted,1,j_Per,9)-SUMIFS(j_TaxCr,j_Posted,1,j_Per,9),0))</f>
        <v/>
      </c>
      <c r="W72" s="95">
        <f>IF($D72="",0,SUMIFS(j_DrAmt,j_DrAcct,$D72,j_Per,10)-SUMIFS(j_CrAmt,j_CrAcct,$D72,j_Per,10)+IF($D72=acctTax,SUMIFS(j_TaxDr,j_Posted,1,j_Per,10)-SUMIFS(j_TaxCr,j_Posted,1,j_Per,10),0))</f>
        <v/>
      </c>
      <c r="X72" s="95">
        <f>IF($D72="",0,SUMIFS(j_DrAmt,j_DrAcct,$D72,j_Per,11)-SUMIFS(j_CrAmt,j_CrAcct,$D72,j_Per,11)+IF($D72=acctTax,SUMIFS(j_TaxDr,j_Posted,1,j_Per,11)-SUMIFS(j_TaxCr,j_Posted,1,j_Per,11),0))</f>
        <v/>
      </c>
      <c r="Y72" s="95">
        <f>IF($D72="",0,SUMIFS(j_DrAmt,j_DrAcct,$D72,j_Per,12)-SUMIFS(j_CrAmt,j_CrAcct,$D72,j_Per,12)+IF($D72=acctTax,SUMIFS(j_TaxDr,j_Posted,1,j_Per,12)-SUMIFS(j_TaxCr,j_Posted,1,j_Per,12),0))</f>
        <v/>
      </c>
      <c r="Z72" s="95">
        <f>SUMPRODUCT(($N$5:$Y$5&lt;=RptIdx)*N72:Y72)</f>
        <v/>
      </c>
      <c r="AA72" s="95">
        <f>IF(AND(RptIdx&gt;=1,RptIdx&lt;=12),INDEX(N72:Y72,RptIdx),0)</f>
        <v/>
      </c>
      <c r="AB72" s="95">
        <f>IF($D72="",0,IF(RptIdx&gt;1,INDEX(N72:Y72,RptIdx-1),SUMIFS(j_DrAmt,j_DrAcct,$D72,j_Date,"&gt;="&amp;PrevStart,j_Date,"&lt;="&amp;PrevEnd)-SUMIFS(j_CrAmt,j_CrAcct,$D72,j_Date,"&gt;="&amp;PrevStart,j_Date,"&lt;="&amp;PrevEnd)+IF($D72=acctTax,SUMIFS(j_TaxDr,j_Posted,1,j_Date,"&gt;="&amp;PrevStart,j_Date,"&lt;="&amp;PrevEnd)-SUMIFS(j_TaxCr,j_Posted,1,j_Date,"&gt;="&amp;PrevStart,j_Date,"&lt;="&amp;PrevEnd),0)))</f>
        <v/>
      </c>
      <c r="AC72" s="95">
        <f>SUM(N72:Y72)</f>
        <v/>
      </c>
      <c r="AD72" s="95">
        <f>L72+M72+Z72</f>
        <v/>
      </c>
      <c r="AE72" s="95">
        <f>AD72-AA72</f>
        <v/>
      </c>
      <c r="AF72" s="58">
        <f>IF($D72="","",F72&amp;"|"&amp;COUNTIFS($F$7:F72,F72,$D$7:D72,"&lt;&gt;"))</f>
        <v/>
      </c>
      <c r="AG72" s="58">
        <f>IF(AND($D72&lt;&gt;"",H72="Cash"),"Cash|"&amp;COUNTIFS($H$7:H72,"Cash",$D$7:D72,"&lt;&gt;"),"")</f>
        <v/>
      </c>
      <c r="AH72" s="95">
        <f>IF(AND($D72&lt;&gt;"",OR(F72="Cost of Sales",F72="Operating Expense",F72="Other Expense"),Z72&gt;0),Z72+66/1000000,"")</f>
        <v/>
      </c>
      <c r="AI72" s="95">
        <f>L72+M72+SUM(N72:N72)</f>
        <v/>
      </c>
      <c r="AJ72" s="95">
        <f>L72+M72+SUM(N72:O72)</f>
        <v/>
      </c>
      <c r="AK72" s="95">
        <f>L72+M72+SUM(N72:P72)</f>
        <v/>
      </c>
      <c r="AL72" s="95">
        <f>L72+M72+SUM(N72:Q72)</f>
        <v/>
      </c>
      <c r="AM72" s="95">
        <f>L72+M72+SUM(N72:R72)</f>
        <v/>
      </c>
      <c r="AN72" s="95">
        <f>L72+M72+SUM(N72:S72)</f>
        <v/>
      </c>
      <c r="AO72" s="95">
        <f>L72+M72+SUM(N72:T72)</f>
        <v/>
      </c>
      <c r="AP72" s="95">
        <f>L72+M72+SUM(N72:U72)</f>
        <v/>
      </c>
      <c r="AQ72" s="95">
        <f>L72+M72+SUM(N72:V72)</f>
        <v/>
      </c>
      <c r="AR72" s="95">
        <f>L72+M72+SUM(N72:W72)</f>
        <v/>
      </c>
      <c r="AS72" s="95">
        <f>L72+M72+SUM(N72:X72)</f>
        <v/>
      </c>
      <c r="AT72" s="95">
        <f>L72+M72+SUM(N72:Y72)</f>
        <v/>
      </c>
    </row>
    <row r="73">
      <c r="B73" s="58" t="n">
        <v>67</v>
      </c>
      <c r="C73" s="58">
        <f>IFERROR(INDEX(coa_Name,67)&amp;"","")</f>
        <v/>
      </c>
      <c r="D73" s="58">
        <f>IF(C73="","",IF(COUNTIF($C$7:C73,C73)&gt;1,"",C73))</f>
        <v/>
      </c>
      <c r="E73" s="58">
        <f>IF($D73="","",INDEX(coa_Code,67))</f>
        <v/>
      </c>
      <c r="F73" s="58">
        <f>IF($D73="","",INDEX(coa_Type,67)&amp;"")</f>
        <v/>
      </c>
      <c r="G73" s="58">
        <f>IF($D73="","",INDEX(coa_Normal,67)&amp;"")</f>
        <v/>
      </c>
      <c r="H73" s="58">
        <f>IF($D73="","",IF(INDEX(coa_CF,67)&amp;""="","Operating",INDEX(coa_CF,67)&amp;""))</f>
        <v/>
      </c>
      <c r="I73" s="58">
        <f>IF($D73="","",IFERROR(INDEX(at_Stmt,MATCH(F73,at_Type,0)),""))</f>
        <v/>
      </c>
      <c r="J73" s="58">
        <f>IF($D73="",0,IFERROR(INDEX(at_Sign,MATCH(F73,at_Type,0)),0))</f>
        <v/>
      </c>
      <c r="K73" s="95">
        <f>IF($D73="",0,IF(G73="Credit",-1,1)*N(INDEX(coa_Open,67)))</f>
        <v/>
      </c>
      <c r="L73" s="95">
        <f>IF($D73="",0,IF($D73=acctOBE,K73-SUM($K$7:$K$156),K73))</f>
        <v/>
      </c>
      <c r="M73" s="95">
        <f>IF($D73="",0,SUMIFS(j_DrAmt,j_DrAcct,$D73,j_Per,0)-SUMIFS(j_CrAmt,j_CrAcct,$D73,j_Per,0)+IF($D73=acctTax,SUMIFS(j_TaxDr,j_Posted,1,j_Per,0)-SUMIFS(j_TaxCr,j_Posted,1,j_Per,0),0))</f>
        <v/>
      </c>
      <c r="N73" s="95">
        <f>IF($D73="",0,SUMIFS(j_DrAmt,j_DrAcct,$D73,j_Per,1)-SUMIFS(j_CrAmt,j_CrAcct,$D73,j_Per,1)+IF($D73=acctTax,SUMIFS(j_TaxDr,j_Posted,1,j_Per,1)-SUMIFS(j_TaxCr,j_Posted,1,j_Per,1),0))</f>
        <v/>
      </c>
      <c r="O73" s="95">
        <f>IF($D73="",0,SUMIFS(j_DrAmt,j_DrAcct,$D73,j_Per,2)-SUMIFS(j_CrAmt,j_CrAcct,$D73,j_Per,2)+IF($D73=acctTax,SUMIFS(j_TaxDr,j_Posted,1,j_Per,2)-SUMIFS(j_TaxCr,j_Posted,1,j_Per,2),0))</f>
        <v/>
      </c>
      <c r="P73" s="95">
        <f>IF($D73="",0,SUMIFS(j_DrAmt,j_DrAcct,$D73,j_Per,3)-SUMIFS(j_CrAmt,j_CrAcct,$D73,j_Per,3)+IF($D73=acctTax,SUMIFS(j_TaxDr,j_Posted,1,j_Per,3)-SUMIFS(j_TaxCr,j_Posted,1,j_Per,3),0))</f>
        <v/>
      </c>
      <c r="Q73" s="95">
        <f>IF($D73="",0,SUMIFS(j_DrAmt,j_DrAcct,$D73,j_Per,4)-SUMIFS(j_CrAmt,j_CrAcct,$D73,j_Per,4)+IF($D73=acctTax,SUMIFS(j_TaxDr,j_Posted,1,j_Per,4)-SUMIFS(j_TaxCr,j_Posted,1,j_Per,4),0))</f>
        <v/>
      </c>
      <c r="R73" s="95">
        <f>IF($D73="",0,SUMIFS(j_DrAmt,j_DrAcct,$D73,j_Per,5)-SUMIFS(j_CrAmt,j_CrAcct,$D73,j_Per,5)+IF($D73=acctTax,SUMIFS(j_TaxDr,j_Posted,1,j_Per,5)-SUMIFS(j_TaxCr,j_Posted,1,j_Per,5),0))</f>
        <v/>
      </c>
      <c r="S73" s="95">
        <f>IF($D73="",0,SUMIFS(j_DrAmt,j_DrAcct,$D73,j_Per,6)-SUMIFS(j_CrAmt,j_CrAcct,$D73,j_Per,6)+IF($D73=acctTax,SUMIFS(j_TaxDr,j_Posted,1,j_Per,6)-SUMIFS(j_TaxCr,j_Posted,1,j_Per,6),0))</f>
        <v/>
      </c>
      <c r="T73" s="95">
        <f>IF($D73="",0,SUMIFS(j_DrAmt,j_DrAcct,$D73,j_Per,7)-SUMIFS(j_CrAmt,j_CrAcct,$D73,j_Per,7)+IF($D73=acctTax,SUMIFS(j_TaxDr,j_Posted,1,j_Per,7)-SUMIFS(j_TaxCr,j_Posted,1,j_Per,7),0))</f>
        <v/>
      </c>
      <c r="U73" s="95">
        <f>IF($D73="",0,SUMIFS(j_DrAmt,j_DrAcct,$D73,j_Per,8)-SUMIFS(j_CrAmt,j_CrAcct,$D73,j_Per,8)+IF($D73=acctTax,SUMIFS(j_TaxDr,j_Posted,1,j_Per,8)-SUMIFS(j_TaxCr,j_Posted,1,j_Per,8),0))</f>
        <v/>
      </c>
      <c r="V73" s="95">
        <f>IF($D73="",0,SUMIFS(j_DrAmt,j_DrAcct,$D73,j_Per,9)-SUMIFS(j_CrAmt,j_CrAcct,$D73,j_Per,9)+IF($D73=acctTax,SUMIFS(j_TaxDr,j_Posted,1,j_Per,9)-SUMIFS(j_TaxCr,j_Posted,1,j_Per,9),0))</f>
        <v/>
      </c>
      <c r="W73" s="95">
        <f>IF($D73="",0,SUMIFS(j_DrAmt,j_DrAcct,$D73,j_Per,10)-SUMIFS(j_CrAmt,j_CrAcct,$D73,j_Per,10)+IF($D73=acctTax,SUMIFS(j_TaxDr,j_Posted,1,j_Per,10)-SUMIFS(j_TaxCr,j_Posted,1,j_Per,10),0))</f>
        <v/>
      </c>
      <c r="X73" s="95">
        <f>IF($D73="",0,SUMIFS(j_DrAmt,j_DrAcct,$D73,j_Per,11)-SUMIFS(j_CrAmt,j_CrAcct,$D73,j_Per,11)+IF($D73=acctTax,SUMIFS(j_TaxDr,j_Posted,1,j_Per,11)-SUMIFS(j_TaxCr,j_Posted,1,j_Per,11),0))</f>
        <v/>
      </c>
      <c r="Y73" s="95">
        <f>IF($D73="",0,SUMIFS(j_DrAmt,j_DrAcct,$D73,j_Per,12)-SUMIFS(j_CrAmt,j_CrAcct,$D73,j_Per,12)+IF($D73=acctTax,SUMIFS(j_TaxDr,j_Posted,1,j_Per,12)-SUMIFS(j_TaxCr,j_Posted,1,j_Per,12),0))</f>
        <v/>
      </c>
      <c r="Z73" s="95">
        <f>SUMPRODUCT(($N$5:$Y$5&lt;=RptIdx)*N73:Y73)</f>
        <v/>
      </c>
      <c r="AA73" s="95">
        <f>IF(AND(RptIdx&gt;=1,RptIdx&lt;=12),INDEX(N73:Y73,RptIdx),0)</f>
        <v/>
      </c>
      <c r="AB73" s="95">
        <f>IF($D73="",0,IF(RptIdx&gt;1,INDEX(N73:Y73,RptIdx-1),SUMIFS(j_DrAmt,j_DrAcct,$D73,j_Date,"&gt;="&amp;PrevStart,j_Date,"&lt;="&amp;PrevEnd)-SUMIFS(j_CrAmt,j_CrAcct,$D73,j_Date,"&gt;="&amp;PrevStart,j_Date,"&lt;="&amp;PrevEnd)+IF($D73=acctTax,SUMIFS(j_TaxDr,j_Posted,1,j_Date,"&gt;="&amp;PrevStart,j_Date,"&lt;="&amp;PrevEnd)-SUMIFS(j_TaxCr,j_Posted,1,j_Date,"&gt;="&amp;PrevStart,j_Date,"&lt;="&amp;PrevEnd),0)))</f>
        <v/>
      </c>
      <c r="AC73" s="95">
        <f>SUM(N73:Y73)</f>
        <v/>
      </c>
      <c r="AD73" s="95">
        <f>L73+M73+Z73</f>
        <v/>
      </c>
      <c r="AE73" s="95">
        <f>AD73-AA73</f>
        <v/>
      </c>
      <c r="AF73" s="58">
        <f>IF($D73="","",F73&amp;"|"&amp;COUNTIFS($F$7:F73,F73,$D$7:D73,"&lt;&gt;"))</f>
        <v/>
      </c>
      <c r="AG73" s="58">
        <f>IF(AND($D73&lt;&gt;"",H73="Cash"),"Cash|"&amp;COUNTIFS($H$7:H73,"Cash",$D$7:D73,"&lt;&gt;"),"")</f>
        <v/>
      </c>
      <c r="AH73" s="95">
        <f>IF(AND($D73&lt;&gt;"",OR(F73="Cost of Sales",F73="Operating Expense",F73="Other Expense"),Z73&gt;0),Z73+67/1000000,"")</f>
        <v/>
      </c>
      <c r="AI73" s="95">
        <f>L73+M73+SUM(N73:N73)</f>
        <v/>
      </c>
      <c r="AJ73" s="95">
        <f>L73+M73+SUM(N73:O73)</f>
        <v/>
      </c>
      <c r="AK73" s="95">
        <f>L73+M73+SUM(N73:P73)</f>
        <v/>
      </c>
      <c r="AL73" s="95">
        <f>L73+M73+SUM(N73:Q73)</f>
        <v/>
      </c>
      <c r="AM73" s="95">
        <f>L73+M73+SUM(N73:R73)</f>
        <v/>
      </c>
      <c r="AN73" s="95">
        <f>L73+M73+SUM(N73:S73)</f>
        <v/>
      </c>
      <c r="AO73" s="95">
        <f>L73+M73+SUM(N73:T73)</f>
        <v/>
      </c>
      <c r="AP73" s="95">
        <f>L73+M73+SUM(N73:U73)</f>
        <v/>
      </c>
      <c r="AQ73" s="95">
        <f>L73+M73+SUM(N73:V73)</f>
        <v/>
      </c>
      <c r="AR73" s="95">
        <f>L73+M73+SUM(N73:W73)</f>
        <v/>
      </c>
      <c r="AS73" s="95">
        <f>L73+M73+SUM(N73:X73)</f>
        <v/>
      </c>
      <c r="AT73" s="95">
        <f>L73+M73+SUM(N73:Y73)</f>
        <v/>
      </c>
    </row>
    <row r="74">
      <c r="B74" s="58" t="n">
        <v>68</v>
      </c>
      <c r="C74" s="58">
        <f>IFERROR(INDEX(coa_Name,68)&amp;"","")</f>
        <v/>
      </c>
      <c r="D74" s="58">
        <f>IF(C74="","",IF(COUNTIF($C$7:C74,C74)&gt;1,"",C74))</f>
        <v/>
      </c>
      <c r="E74" s="58">
        <f>IF($D74="","",INDEX(coa_Code,68))</f>
        <v/>
      </c>
      <c r="F74" s="58">
        <f>IF($D74="","",INDEX(coa_Type,68)&amp;"")</f>
        <v/>
      </c>
      <c r="G74" s="58">
        <f>IF($D74="","",INDEX(coa_Normal,68)&amp;"")</f>
        <v/>
      </c>
      <c r="H74" s="58">
        <f>IF($D74="","",IF(INDEX(coa_CF,68)&amp;""="","Operating",INDEX(coa_CF,68)&amp;""))</f>
        <v/>
      </c>
      <c r="I74" s="58">
        <f>IF($D74="","",IFERROR(INDEX(at_Stmt,MATCH(F74,at_Type,0)),""))</f>
        <v/>
      </c>
      <c r="J74" s="58">
        <f>IF($D74="",0,IFERROR(INDEX(at_Sign,MATCH(F74,at_Type,0)),0))</f>
        <v/>
      </c>
      <c r="K74" s="95">
        <f>IF($D74="",0,IF(G74="Credit",-1,1)*N(INDEX(coa_Open,68)))</f>
        <v/>
      </c>
      <c r="L74" s="95">
        <f>IF($D74="",0,IF($D74=acctOBE,K74-SUM($K$7:$K$156),K74))</f>
        <v/>
      </c>
      <c r="M74" s="95">
        <f>IF($D74="",0,SUMIFS(j_DrAmt,j_DrAcct,$D74,j_Per,0)-SUMIFS(j_CrAmt,j_CrAcct,$D74,j_Per,0)+IF($D74=acctTax,SUMIFS(j_TaxDr,j_Posted,1,j_Per,0)-SUMIFS(j_TaxCr,j_Posted,1,j_Per,0),0))</f>
        <v/>
      </c>
      <c r="N74" s="95">
        <f>IF($D74="",0,SUMIFS(j_DrAmt,j_DrAcct,$D74,j_Per,1)-SUMIFS(j_CrAmt,j_CrAcct,$D74,j_Per,1)+IF($D74=acctTax,SUMIFS(j_TaxDr,j_Posted,1,j_Per,1)-SUMIFS(j_TaxCr,j_Posted,1,j_Per,1),0))</f>
        <v/>
      </c>
      <c r="O74" s="95">
        <f>IF($D74="",0,SUMIFS(j_DrAmt,j_DrAcct,$D74,j_Per,2)-SUMIFS(j_CrAmt,j_CrAcct,$D74,j_Per,2)+IF($D74=acctTax,SUMIFS(j_TaxDr,j_Posted,1,j_Per,2)-SUMIFS(j_TaxCr,j_Posted,1,j_Per,2),0))</f>
        <v/>
      </c>
      <c r="P74" s="95">
        <f>IF($D74="",0,SUMIFS(j_DrAmt,j_DrAcct,$D74,j_Per,3)-SUMIFS(j_CrAmt,j_CrAcct,$D74,j_Per,3)+IF($D74=acctTax,SUMIFS(j_TaxDr,j_Posted,1,j_Per,3)-SUMIFS(j_TaxCr,j_Posted,1,j_Per,3),0))</f>
        <v/>
      </c>
      <c r="Q74" s="95">
        <f>IF($D74="",0,SUMIFS(j_DrAmt,j_DrAcct,$D74,j_Per,4)-SUMIFS(j_CrAmt,j_CrAcct,$D74,j_Per,4)+IF($D74=acctTax,SUMIFS(j_TaxDr,j_Posted,1,j_Per,4)-SUMIFS(j_TaxCr,j_Posted,1,j_Per,4),0))</f>
        <v/>
      </c>
      <c r="R74" s="95">
        <f>IF($D74="",0,SUMIFS(j_DrAmt,j_DrAcct,$D74,j_Per,5)-SUMIFS(j_CrAmt,j_CrAcct,$D74,j_Per,5)+IF($D74=acctTax,SUMIFS(j_TaxDr,j_Posted,1,j_Per,5)-SUMIFS(j_TaxCr,j_Posted,1,j_Per,5),0))</f>
        <v/>
      </c>
      <c r="S74" s="95">
        <f>IF($D74="",0,SUMIFS(j_DrAmt,j_DrAcct,$D74,j_Per,6)-SUMIFS(j_CrAmt,j_CrAcct,$D74,j_Per,6)+IF($D74=acctTax,SUMIFS(j_TaxDr,j_Posted,1,j_Per,6)-SUMIFS(j_TaxCr,j_Posted,1,j_Per,6),0))</f>
        <v/>
      </c>
      <c r="T74" s="95">
        <f>IF($D74="",0,SUMIFS(j_DrAmt,j_DrAcct,$D74,j_Per,7)-SUMIFS(j_CrAmt,j_CrAcct,$D74,j_Per,7)+IF($D74=acctTax,SUMIFS(j_TaxDr,j_Posted,1,j_Per,7)-SUMIFS(j_TaxCr,j_Posted,1,j_Per,7),0))</f>
        <v/>
      </c>
      <c r="U74" s="95">
        <f>IF($D74="",0,SUMIFS(j_DrAmt,j_DrAcct,$D74,j_Per,8)-SUMIFS(j_CrAmt,j_CrAcct,$D74,j_Per,8)+IF($D74=acctTax,SUMIFS(j_TaxDr,j_Posted,1,j_Per,8)-SUMIFS(j_TaxCr,j_Posted,1,j_Per,8),0))</f>
        <v/>
      </c>
      <c r="V74" s="95">
        <f>IF($D74="",0,SUMIFS(j_DrAmt,j_DrAcct,$D74,j_Per,9)-SUMIFS(j_CrAmt,j_CrAcct,$D74,j_Per,9)+IF($D74=acctTax,SUMIFS(j_TaxDr,j_Posted,1,j_Per,9)-SUMIFS(j_TaxCr,j_Posted,1,j_Per,9),0))</f>
        <v/>
      </c>
      <c r="W74" s="95">
        <f>IF($D74="",0,SUMIFS(j_DrAmt,j_DrAcct,$D74,j_Per,10)-SUMIFS(j_CrAmt,j_CrAcct,$D74,j_Per,10)+IF($D74=acctTax,SUMIFS(j_TaxDr,j_Posted,1,j_Per,10)-SUMIFS(j_TaxCr,j_Posted,1,j_Per,10),0))</f>
        <v/>
      </c>
      <c r="X74" s="95">
        <f>IF($D74="",0,SUMIFS(j_DrAmt,j_DrAcct,$D74,j_Per,11)-SUMIFS(j_CrAmt,j_CrAcct,$D74,j_Per,11)+IF($D74=acctTax,SUMIFS(j_TaxDr,j_Posted,1,j_Per,11)-SUMIFS(j_TaxCr,j_Posted,1,j_Per,11),0))</f>
        <v/>
      </c>
      <c r="Y74" s="95">
        <f>IF($D74="",0,SUMIFS(j_DrAmt,j_DrAcct,$D74,j_Per,12)-SUMIFS(j_CrAmt,j_CrAcct,$D74,j_Per,12)+IF($D74=acctTax,SUMIFS(j_TaxDr,j_Posted,1,j_Per,12)-SUMIFS(j_TaxCr,j_Posted,1,j_Per,12),0))</f>
        <v/>
      </c>
      <c r="Z74" s="95">
        <f>SUMPRODUCT(($N$5:$Y$5&lt;=RptIdx)*N74:Y74)</f>
        <v/>
      </c>
      <c r="AA74" s="95">
        <f>IF(AND(RptIdx&gt;=1,RptIdx&lt;=12),INDEX(N74:Y74,RptIdx),0)</f>
        <v/>
      </c>
      <c r="AB74" s="95">
        <f>IF($D74="",0,IF(RptIdx&gt;1,INDEX(N74:Y74,RptIdx-1),SUMIFS(j_DrAmt,j_DrAcct,$D74,j_Date,"&gt;="&amp;PrevStart,j_Date,"&lt;="&amp;PrevEnd)-SUMIFS(j_CrAmt,j_CrAcct,$D74,j_Date,"&gt;="&amp;PrevStart,j_Date,"&lt;="&amp;PrevEnd)+IF($D74=acctTax,SUMIFS(j_TaxDr,j_Posted,1,j_Date,"&gt;="&amp;PrevStart,j_Date,"&lt;="&amp;PrevEnd)-SUMIFS(j_TaxCr,j_Posted,1,j_Date,"&gt;="&amp;PrevStart,j_Date,"&lt;="&amp;PrevEnd),0)))</f>
        <v/>
      </c>
      <c r="AC74" s="95">
        <f>SUM(N74:Y74)</f>
        <v/>
      </c>
      <c r="AD74" s="95">
        <f>L74+M74+Z74</f>
        <v/>
      </c>
      <c r="AE74" s="95">
        <f>AD74-AA74</f>
        <v/>
      </c>
      <c r="AF74" s="58">
        <f>IF($D74="","",F74&amp;"|"&amp;COUNTIFS($F$7:F74,F74,$D$7:D74,"&lt;&gt;"))</f>
        <v/>
      </c>
      <c r="AG74" s="58">
        <f>IF(AND($D74&lt;&gt;"",H74="Cash"),"Cash|"&amp;COUNTIFS($H$7:H74,"Cash",$D$7:D74,"&lt;&gt;"),"")</f>
        <v/>
      </c>
      <c r="AH74" s="95">
        <f>IF(AND($D74&lt;&gt;"",OR(F74="Cost of Sales",F74="Operating Expense",F74="Other Expense"),Z74&gt;0),Z74+68/1000000,"")</f>
        <v/>
      </c>
      <c r="AI74" s="95">
        <f>L74+M74+SUM(N74:N74)</f>
        <v/>
      </c>
      <c r="AJ74" s="95">
        <f>L74+M74+SUM(N74:O74)</f>
        <v/>
      </c>
      <c r="AK74" s="95">
        <f>L74+M74+SUM(N74:P74)</f>
        <v/>
      </c>
      <c r="AL74" s="95">
        <f>L74+M74+SUM(N74:Q74)</f>
        <v/>
      </c>
      <c r="AM74" s="95">
        <f>L74+M74+SUM(N74:R74)</f>
        <v/>
      </c>
      <c r="AN74" s="95">
        <f>L74+M74+SUM(N74:S74)</f>
        <v/>
      </c>
      <c r="AO74" s="95">
        <f>L74+M74+SUM(N74:T74)</f>
        <v/>
      </c>
      <c r="AP74" s="95">
        <f>L74+M74+SUM(N74:U74)</f>
        <v/>
      </c>
      <c r="AQ74" s="95">
        <f>L74+M74+SUM(N74:V74)</f>
        <v/>
      </c>
      <c r="AR74" s="95">
        <f>L74+M74+SUM(N74:W74)</f>
        <v/>
      </c>
      <c r="AS74" s="95">
        <f>L74+M74+SUM(N74:X74)</f>
        <v/>
      </c>
      <c r="AT74" s="95">
        <f>L74+M74+SUM(N74:Y74)</f>
        <v/>
      </c>
    </row>
    <row r="75">
      <c r="B75" s="58" t="n">
        <v>69</v>
      </c>
      <c r="C75" s="58">
        <f>IFERROR(INDEX(coa_Name,69)&amp;"","")</f>
        <v/>
      </c>
      <c r="D75" s="58">
        <f>IF(C75="","",IF(COUNTIF($C$7:C75,C75)&gt;1,"",C75))</f>
        <v/>
      </c>
      <c r="E75" s="58">
        <f>IF($D75="","",INDEX(coa_Code,69))</f>
        <v/>
      </c>
      <c r="F75" s="58">
        <f>IF($D75="","",INDEX(coa_Type,69)&amp;"")</f>
        <v/>
      </c>
      <c r="G75" s="58">
        <f>IF($D75="","",INDEX(coa_Normal,69)&amp;"")</f>
        <v/>
      </c>
      <c r="H75" s="58">
        <f>IF($D75="","",IF(INDEX(coa_CF,69)&amp;""="","Operating",INDEX(coa_CF,69)&amp;""))</f>
        <v/>
      </c>
      <c r="I75" s="58">
        <f>IF($D75="","",IFERROR(INDEX(at_Stmt,MATCH(F75,at_Type,0)),""))</f>
        <v/>
      </c>
      <c r="J75" s="58">
        <f>IF($D75="",0,IFERROR(INDEX(at_Sign,MATCH(F75,at_Type,0)),0))</f>
        <v/>
      </c>
      <c r="K75" s="95">
        <f>IF($D75="",0,IF(G75="Credit",-1,1)*N(INDEX(coa_Open,69)))</f>
        <v/>
      </c>
      <c r="L75" s="95">
        <f>IF($D75="",0,IF($D75=acctOBE,K75-SUM($K$7:$K$156),K75))</f>
        <v/>
      </c>
      <c r="M75" s="95">
        <f>IF($D75="",0,SUMIFS(j_DrAmt,j_DrAcct,$D75,j_Per,0)-SUMIFS(j_CrAmt,j_CrAcct,$D75,j_Per,0)+IF($D75=acctTax,SUMIFS(j_TaxDr,j_Posted,1,j_Per,0)-SUMIFS(j_TaxCr,j_Posted,1,j_Per,0),0))</f>
        <v/>
      </c>
      <c r="N75" s="95">
        <f>IF($D75="",0,SUMIFS(j_DrAmt,j_DrAcct,$D75,j_Per,1)-SUMIFS(j_CrAmt,j_CrAcct,$D75,j_Per,1)+IF($D75=acctTax,SUMIFS(j_TaxDr,j_Posted,1,j_Per,1)-SUMIFS(j_TaxCr,j_Posted,1,j_Per,1),0))</f>
        <v/>
      </c>
      <c r="O75" s="95">
        <f>IF($D75="",0,SUMIFS(j_DrAmt,j_DrAcct,$D75,j_Per,2)-SUMIFS(j_CrAmt,j_CrAcct,$D75,j_Per,2)+IF($D75=acctTax,SUMIFS(j_TaxDr,j_Posted,1,j_Per,2)-SUMIFS(j_TaxCr,j_Posted,1,j_Per,2),0))</f>
        <v/>
      </c>
      <c r="P75" s="95">
        <f>IF($D75="",0,SUMIFS(j_DrAmt,j_DrAcct,$D75,j_Per,3)-SUMIFS(j_CrAmt,j_CrAcct,$D75,j_Per,3)+IF($D75=acctTax,SUMIFS(j_TaxDr,j_Posted,1,j_Per,3)-SUMIFS(j_TaxCr,j_Posted,1,j_Per,3),0))</f>
        <v/>
      </c>
      <c r="Q75" s="95">
        <f>IF($D75="",0,SUMIFS(j_DrAmt,j_DrAcct,$D75,j_Per,4)-SUMIFS(j_CrAmt,j_CrAcct,$D75,j_Per,4)+IF($D75=acctTax,SUMIFS(j_TaxDr,j_Posted,1,j_Per,4)-SUMIFS(j_TaxCr,j_Posted,1,j_Per,4),0))</f>
        <v/>
      </c>
      <c r="R75" s="95">
        <f>IF($D75="",0,SUMIFS(j_DrAmt,j_DrAcct,$D75,j_Per,5)-SUMIFS(j_CrAmt,j_CrAcct,$D75,j_Per,5)+IF($D75=acctTax,SUMIFS(j_TaxDr,j_Posted,1,j_Per,5)-SUMIFS(j_TaxCr,j_Posted,1,j_Per,5),0))</f>
        <v/>
      </c>
      <c r="S75" s="95">
        <f>IF($D75="",0,SUMIFS(j_DrAmt,j_DrAcct,$D75,j_Per,6)-SUMIFS(j_CrAmt,j_CrAcct,$D75,j_Per,6)+IF($D75=acctTax,SUMIFS(j_TaxDr,j_Posted,1,j_Per,6)-SUMIFS(j_TaxCr,j_Posted,1,j_Per,6),0))</f>
        <v/>
      </c>
      <c r="T75" s="95">
        <f>IF($D75="",0,SUMIFS(j_DrAmt,j_DrAcct,$D75,j_Per,7)-SUMIFS(j_CrAmt,j_CrAcct,$D75,j_Per,7)+IF($D75=acctTax,SUMIFS(j_TaxDr,j_Posted,1,j_Per,7)-SUMIFS(j_TaxCr,j_Posted,1,j_Per,7),0))</f>
        <v/>
      </c>
      <c r="U75" s="95">
        <f>IF($D75="",0,SUMIFS(j_DrAmt,j_DrAcct,$D75,j_Per,8)-SUMIFS(j_CrAmt,j_CrAcct,$D75,j_Per,8)+IF($D75=acctTax,SUMIFS(j_TaxDr,j_Posted,1,j_Per,8)-SUMIFS(j_TaxCr,j_Posted,1,j_Per,8),0))</f>
        <v/>
      </c>
      <c r="V75" s="95">
        <f>IF($D75="",0,SUMIFS(j_DrAmt,j_DrAcct,$D75,j_Per,9)-SUMIFS(j_CrAmt,j_CrAcct,$D75,j_Per,9)+IF($D75=acctTax,SUMIFS(j_TaxDr,j_Posted,1,j_Per,9)-SUMIFS(j_TaxCr,j_Posted,1,j_Per,9),0))</f>
        <v/>
      </c>
      <c r="W75" s="95">
        <f>IF($D75="",0,SUMIFS(j_DrAmt,j_DrAcct,$D75,j_Per,10)-SUMIFS(j_CrAmt,j_CrAcct,$D75,j_Per,10)+IF($D75=acctTax,SUMIFS(j_TaxDr,j_Posted,1,j_Per,10)-SUMIFS(j_TaxCr,j_Posted,1,j_Per,10),0))</f>
        <v/>
      </c>
      <c r="X75" s="95">
        <f>IF($D75="",0,SUMIFS(j_DrAmt,j_DrAcct,$D75,j_Per,11)-SUMIFS(j_CrAmt,j_CrAcct,$D75,j_Per,11)+IF($D75=acctTax,SUMIFS(j_TaxDr,j_Posted,1,j_Per,11)-SUMIFS(j_TaxCr,j_Posted,1,j_Per,11),0))</f>
        <v/>
      </c>
      <c r="Y75" s="95">
        <f>IF($D75="",0,SUMIFS(j_DrAmt,j_DrAcct,$D75,j_Per,12)-SUMIFS(j_CrAmt,j_CrAcct,$D75,j_Per,12)+IF($D75=acctTax,SUMIFS(j_TaxDr,j_Posted,1,j_Per,12)-SUMIFS(j_TaxCr,j_Posted,1,j_Per,12),0))</f>
        <v/>
      </c>
      <c r="Z75" s="95">
        <f>SUMPRODUCT(($N$5:$Y$5&lt;=RptIdx)*N75:Y75)</f>
        <v/>
      </c>
      <c r="AA75" s="95">
        <f>IF(AND(RptIdx&gt;=1,RptIdx&lt;=12),INDEX(N75:Y75,RptIdx),0)</f>
        <v/>
      </c>
      <c r="AB75" s="95">
        <f>IF($D75="",0,IF(RptIdx&gt;1,INDEX(N75:Y75,RptIdx-1),SUMIFS(j_DrAmt,j_DrAcct,$D75,j_Date,"&gt;="&amp;PrevStart,j_Date,"&lt;="&amp;PrevEnd)-SUMIFS(j_CrAmt,j_CrAcct,$D75,j_Date,"&gt;="&amp;PrevStart,j_Date,"&lt;="&amp;PrevEnd)+IF($D75=acctTax,SUMIFS(j_TaxDr,j_Posted,1,j_Date,"&gt;="&amp;PrevStart,j_Date,"&lt;="&amp;PrevEnd)-SUMIFS(j_TaxCr,j_Posted,1,j_Date,"&gt;="&amp;PrevStart,j_Date,"&lt;="&amp;PrevEnd),0)))</f>
        <v/>
      </c>
      <c r="AC75" s="95">
        <f>SUM(N75:Y75)</f>
        <v/>
      </c>
      <c r="AD75" s="95">
        <f>L75+M75+Z75</f>
        <v/>
      </c>
      <c r="AE75" s="95">
        <f>AD75-AA75</f>
        <v/>
      </c>
      <c r="AF75" s="58">
        <f>IF($D75="","",F75&amp;"|"&amp;COUNTIFS($F$7:F75,F75,$D$7:D75,"&lt;&gt;"))</f>
        <v/>
      </c>
      <c r="AG75" s="58">
        <f>IF(AND($D75&lt;&gt;"",H75="Cash"),"Cash|"&amp;COUNTIFS($H$7:H75,"Cash",$D$7:D75,"&lt;&gt;"),"")</f>
        <v/>
      </c>
      <c r="AH75" s="95">
        <f>IF(AND($D75&lt;&gt;"",OR(F75="Cost of Sales",F75="Operating Expense",F75="Other Expense"),Z75&gt;0),Z75+69/1000000,"")</f>
        <v/>
      </c>
      <c r="AI75" s="95">
        <f>L75+M75+SUM(N75:N75)</f>
        <v/>
      </c>
      <c r="AJ75" s="95">
        <f>L75+M75+SUM(N75:O75)</f>
        <v/>
      </c>
      <c r="AK75" s="95">
        <f>L75+M75+SUM(N75:P75)</f>
        <v/>
      </c>
      <c r="AL75" s="95">
        <f>L75+M75+SUM(N75:Q75)</f>
        <v/>
      </c>
      <c r="AM75" s="95">
        <f>L75+M75+SUM(N75:R75)</f>
        <v/>
      </c>
      <c r="AN75" s="95">
        <f>L75+M75+SUM(N75:S75)</f>
        <v/>
      </c>
      <c r="AO75" s="95">
        <f>L75+M75+SUM(N75:T75)</f>
        <v/>
      </c>
      <c r="AP75" s="95">
        <f>L75+M75+SUM(N75:U75)</f>
        <v/>
      </c>
      <c r="AQ75" s="95">
        <f>L75+M75+SUM(N75:V75)</f>
        <v/>
      </c>
      <c r="AR75" s="95">
        <f>L75+M75+SUM(N75:W75)</f>
        <v/>
      </c>
      <c r="AS75" s="95">
        <f>L75+M75+SUM(N75:X75)</f>
        <v/>
      </c>
      <c r="AT75" s="95">
        <f>L75+M75+SUM(N75:Y75)</f>
        <v/>
      </c>
    </row>
    <row r="76">
      <c r="B76" s="58" t="n">
        <v>70</v>
      </c>
      <c r="C76" s="58">
        <f>IFERROR(INDEX(coa_Name,70)&amp;"","")</f>
        <v/>
      </c>
      <c r="D76" s="58">
        <f>IF(C76="","",IF(COUNTIF($C$7:C76,C76)&gt;1,"",C76))</f>
        <v/>
      </c>
      <c r="E76" s="58">
        <f>IF($D76="","",INDEX(coa_Code,70))</f>
        <v/>
      </c>
      <c r="F76" s="58">
        <f>IF($D76="","",INDEX(coa_Type,70)&amp;"")</f>
        <v/>
      </c>
      <c r="G76" s="58">
        <f>IF($D76="","",INDEX(coa_Normal,70)&amp;"")</f>
        <v/>
      </c>
      <c r="H76" s="58">
        <f>IF($D76="","",IF(INDEX(coa_CF,70)&amp;""="","Operating",INDEX(coa_CF,70)&amp;""))</f>
        <v/>
      </c>
      <c r="I76" s="58">
        <f>IF($D76="","",IFERROR(INDEX(at_Stmt,MATCH(F76,at_Type,0)),""))</f>
        <v/>
      </c>
      <c r="J76" s="58">
        <f>IF($D76="",0,IFERROR(INDEX(at_Sign,MATCH(F76,at_Type,0)),0))</f>
        <v/>
      </c>
      <c r="K76" s="95">
        <f>IF($D76="",0,IF(G76="Credit",-1,1)*N(INDEX(coa_Open,70)))</f>
        <v/>
      </c>
      <c r="L76" s="95">
        <f>IF($D76="",0,IF($D76=acctOBE,K76-SUM($K$7:$K$156),K76))</f>
        <v/>
      </c>
      <c r="M76" s="95">
        <f>IF($D76="",0,SUMIFS(j_DrAmt,j_DrAcct,$D76,j_Per,0)-SUMIFS(j_CrAmt,j_CrAcct,$D76,j_Per,0)+IF($D76=acctTax,SUMIFS(j_TaxDr,j_Posted,1,j_Per,0)-SUMIFS(j_TaxCr,j_Posted,1,j_Per,0),0))</f>
        <v/>
      </c>
      <c r="N76" s="95">
        <f>IF($D76="",0,SUMIFS(j_DrAmt,j_DrAcct,$D76,j_Per,1)-SUMIFS(j_CrAmt,j_CrAcct,$D76,j_Per,1)+IF($D76=acctTax,SUMIFS(j_TaxDr,j_Posted,1,j_Per,1)-SUMIFS(j_TaxCr,j_Posted,1,j_Per,1),0))</f>
        <v/>
      </c>
      <c r="O76" s="95">
        <f>IF($D76="",0,SUMIFS(j_DrAmt,j_DrAcct,$D76,j_Per,2)-SUMIFS(j_CrAmt,j_CrAcct,$D76,j_Per,2)+IF($D76=acctTax,SUMIFS(j_TaxDr,j_Posted,1,j_Per,2)-SUMIFS(j_TaxCr,j_Posted,1,j_Per,2),0))</f>
        <v/>
      </c>
      <c r="P76" s="95">
        <f>IF($D76="",0,SUMIFS(j_DrAmt,j_DrAcct,$D76,j_Per,3)-SUMIFS(j_CrAmt,j_CrAcct,$D76,j_Per,3)+IF($D76=acctTax,SUMIFS(j_TaxDr,j_Posted,1,j_Per,3)-SUMIFS(j_TaxCr,j_Posted,1,j_Per,3),0))</f>
        <v/>
      </c>
      <c r="Q76" s="95">
        <f>IF($D76="",0,SUMIFS(j_DrAmt,j_DrAcct,$D76,j_Per,4)-SUMIFS(j_CrAmt,j_CrAcct,$D76,j_Per,4)+IF($D76=acctTax,SUMIFS(j_TaxDr,j_Posted,1,j_Per,4)-SUMIFS(j_TaxCr,j_Posted,1,j_Per,4),0))</f>
        <v/>
      </c>
      <c r="R76" s="95">
        <f>IF($D76="",0,SUMIFS(j_DrAmt,j_DrAcct,$D76,j_Per,5)-SUMIFS(j_CrAmt,j_CrAcct,$D76,j_Per,5)+IF($D76=acctTax,SUMIFS(j_TaxDr,j_Posted,1,j_Per,5)-SUMIFS(j_TaxCr,j_Posted,1,j_Per,5),0))</f>
        <v/>
      </c>
      <c r="S76" s="95">
        <f>IF($D76="",0,SUMIFS(j_DrAmt,j_DrAcct,$D76,j_Per,6)-SUMIFS(j_CrAmt,j_CrAcct,$D76,j_Per,6)+IF($D76=acctTax,SUMIFS(j_TaxDr,j_Posted,1,j_Per,6)-SUMIFS(j_TaxCr,j_Posted,1,j_Per,6),0))</f>
        <v/>
      </c>
      <c r="T76" s="95">
        <f>IF($D76="",0,SUMIFS(j_DrAmt,j_DrAcct,$D76,j_Per,7)-SUMIFS(j_CrAmt,j_CrAcct,$D76,j_Per,7)+IF($D76=acctTax,SUMIFS(j_TaxDr,j_Posted,1,j_Per,7)-SUMIFS(j_TaxCr,j_Posted,1,j_Per,7),0))</f>
        <v/>
      </c>
      <c r="U76" s="95">
        <f>IF($D76="",0,SUMIFS(j_DrAmt,j_DrAcct,$D76,j_Per,8)-SUMIFS(j_CrAmt,j_CrAcct,$D76,j_Per,8)+IF($D76=acctTax,SUMIFS(j_TaxDr,j_Posted,1,j_Per,8)-SUMIFS(j_TaxCr,j_Posted,1,j_Per,8),0))</f>
        <v/>
      </c>
      <c r="V76" s="95">
        <f>IF($D76="",0,SUMIFS(j_DrAmt,j_DrAcct,$D76,j_Per,9)-SUMIFS(j_CrAmt,j_CrAcct,$D76,j_Per,9)+IF($D76=acctTax,SUMIFS(j_TaxDr,j_Posted,1,j_Per,9)-SUMIFS(j_TaxCr,j_Posted,1,j_Per,9),0))</f>
        <v/>
      </c>
      <c r="W76" s="95">
        <f>IF($D76="",0,SUMIFS(j_DrAmt,j_DrAcct,$D76,j_Per,10)-SUMIFS(j_CrAmt,j_CrAcct,$D76,j_Per,10)+IF($D76=acctTax,SUMIFS(j_TaxDr,j_Posted,1,j_Per,10)-SUMIFS(j_TaxCr,j_Posted,1,j_Per,10),0))</f>
        <v/>
      </c>
      <c r="X76" s="95">
        <f>IF($D76="",0,SUMIFS(j_DrAmt,j_DrAcct,$D76,j_Per,11)-SUMIFS(j_CrAmt,j_CrAcct,$D76,j_Per,11)+IF($D76=acctTax,SUMIFS(j_TaxDr,j_Posted,1,j_Per,11)-SUMIFS(j_TaxCr,j_Posted,1,j_Per,11),0))</f>
        <v/>
      </c>
      <c r="Y76" s="95">
        <f>IF($D76="",0,SUMIFS(j_DrAmt,j_DrAcct,$D76,j_Per,12)-SUMIFS(j_CrAmt,j_CrAcct,$D76,j_Per,12)+IF($D76=acctTax,SUMIFS(j_TaxDr,j_Posted,1,j_Per,12)-SUMIFS(j_TaxCr,j_Posted,1,j_Per,12),0))</f>
        <v/>
      </c>
      <c r="Z76" s="95">
        <f>SUMPRODUCT(($N$5:$Y$5&lt;=RptIdx)*N76:Y76)</f>
        <v/>
      </c>
      <c r="AA76" s="95">
        <f>IF(AND(RptIdx&gt;=1,RptIdx&lt;=12),INDEX(N76:Y76,RptIdx),0)</f>
        <v/>
      </c>
      <c r="AB76" s="95">
        <f>IF($D76="",0,IF(RptIdx&gt;1,INDEX(N76:Y76,RptIdx-1),SUMIFS(j_DrAmt,j_DrAcct,$D76,j_Date,"&gt;="&amp;PrevStart,j_Date,"&lt;="&amp;PrevEnd)-SUMIFS(j_CrAmt,j_CrAcct,$D76,j_Date,"&gt;="&amp;PrevStart,j_Date,"&lt;="&amp;PrevEnd)+IF($D76=acctTax,SUMIFS(j_TaxDr,j_Posted,1,j_Date,"&gt;="&amp;PrevStart,j_Date,"&lt;="&amp;PrevEnd)-SUMIFS(j_TaxCr,j_Posted,1,j_Date,"&gt;="&amp;PrevStart,j_Date,"&lt;="&amp;PrevEnd),0)))</f>
        <v/>
      </c>
      <c r="AC76" s="95">
        <f>SUM(N76:Y76)</f>
        <v/>
      </c>
      <c r="AD76" s="95">
        <f>L76+M76+Z76</f>
        <v/>
      </c>
      <c r="AE76" s="95">
        <f>AD76-AA76</f>
        <v/>
      </c>
      <c r="AF76" s="58">
        <f>IF($D76="","",F76&amp;"|"&amp;COUNTIFS($F$7:F76,F76,$D$7:D76,"&lt;&gt;"))</f>
        <v/>
      </c>
      <c r="AG76" s="58">
        <f>IF(AND($D76&lt;&gt;"",H76="Cash"),"Cash|"&amp;COUNTIFS($H$7:H76,"Cash",$D$7:D76,"&lt;&gt;"),"")</f>
        <v/>
      </c>
      <c r="AH76" s="95">
        <f>IF(AND($D76&lt;&gt;"",OR(F76="Cost of Sales",F76="Operating Expense",F76="Other Expense"),Z76&gt;0),Z76+70/1000000,"")</f>
        <v/>
      </c>
      <c r="AI76" s="95">
        <f>L76+M76+SUM(N76:N76)</f>
        <v/>
      </c>
      <c r="AJ76" s="95">
        <f>L76+M76+SUM(N76:O76)</f>
        <v/>
      </c>
      <c r="AK76" s="95">
        <f>L76+M76+SUM(N76:P76)</f>
        <v/>
      </c>
      <c r="AL76" s="95">
        <f>L76+M76+SUM(N76:Q76)</f>
        <v/>
      </c>
      <c r="AM76" s="95">
        <f>L76+M76+SUM(N76:R76)</f>
        <v/>
      </c>
      <c r="AN76" s="95">
        <f>L76+M76+SUM(N76:S76)</f>
        <v/>
      </c>
      <c r="AO76" s="95">
        <f>L76+M76+SUM(N76:T76)</f>
        <v/>
      </c>
      <c r="AP76" s="95">
        <f>L76+M76+SUM(N76:U76)</f>
        <v/>
      </c>
      <c r="AQ76" s="95">
        <f>L76+M76+SUM(N76:V76)</f>
        <v/>
      </c>
      <c r="AR76" s="95">
        <f>L76+M76+SUM(N76:W76)</f>
        <v/>
      </c>
      <c r="AS76" s="95">
        <f>L76+M76+SUM(N76:X76)</f>
        <v/>
      </c>
      <c r="AT76" s="95">
        <f>L76+M76+SUM(N76:Y76)</f>
        <v/>
      </c>
    </row>
    <row r="77">
      <c r="B77" s="58" t="n">
        <v>71</v>
      </c>
      <c r="C77" s="58">
        <f>IFERROR(INDEX(coa_Name,71)&amp;"","")</f>
        <v/>
      </c>
      <c r="D77" s="58">
        <f>IF(C77="","",IF(COUNTIF($C$7:C77,C77)&gt;1,"",C77))</f>
        <v/>
      </c>
      <c r="E77" s="58">
        <f>IF($D77="","",INDEX(coa_Code,71))</f>
        <v/>
      </c>
      <c r="F77" s="58">
        <f>IF($D77="","",INDEX(coa_Type,71)&amp;"")</f>
        <v/>
      </c>
      <c r="G77" s="58">
        <f>IF($D77="","",INDEX(coa_Normal,71)&amp;"")</f>
        <v/>
      </c>
      <c r="H77" s="58">
        <f>IF($D77="","",IF(INDEX(coa_CF,71)&amp;""="","Operating",INDEX(coa_CF,71)&amp;""))</f>
        <v/>
      </c>
      <c r="I77" s="58">
        <f>IF($D77="","",IFERROR(INDEX(at_Stmt,MATCH(F77,at_Type,0)),""))</f>
        <v/>
      </c>
      <c r="J77" s="58">
        <f>IF($D77="",0,IFERROR(INDEX(at_Sign,MATCH(F77,at_Type,0)),0))</f>
        <v/>
      </c>
      <c r="K77" s="95">
        <f>IF($D77="",0,IF(G77="Credit",-1,1)*N(INDEX(coa_Open,71)))</f>
        <v/>
      </c>
      <c r="L77" s="95">
        <f>IF($D77="",0,IF($D77=acctOBE,K77-SUM($K$7:$K$156),K77))</f>
        <v/>
      </c>
      <c r="M77" s="95">
        <f>IF($D77="",0,SUMIFS(j_DrAmt,j_DrAcct,$D77,j_Per,0)-SUMIFS(j_CrAmt,j_CrAcct,$D77,j_Per,0)+IF($D77=acctTax,SUMIFS(j_TaxDr,j_Posted,1,j_Per,0)-SUMIFS(j_TaxCr,j_Posted,1,j_Per,0),0))</f>
        <v/>
      </c>
      <c r="N77" s="95">
        <f>IF($D77="",0,SUMIFS(j_DrAmt,j_DrAcct,$D77,j_Per,1)-SUMIFS(j_CrAmt,j_CrAcct,$D77,j_Per,1)+IF($D77=acctTax,SUMIFS(j_TaxDr,j_Posted,1,j_Per,1)-SUMIFS(j_TaxCr,j_Posted,1,j_Per,1),0))</f>
        <v/>
      </c>
      <c r="O77" s="95">
        <f>IF($D77="",0,SUMIFS(j_DrAmt,j_DrAcct,$D77,j_Per,2)-SUMIFS(j_CrAmt,j_CrAcct,$D77,j_Per,2)+IF($D77=acctTax,SUMIFS(j_TaxDr,j_Posted,1,j_Per,2)-SUMIFS(j_TaxCr,j_Posted,1,j_Per,2),0))</f>
        <v/>
      </c>
      <c r="P77" s="95">
        <f>IF($D77="",0,SUMIFS(j_DrAmt,j_DrAcct,$D77,j_Per,3)-SUMIFS(j_CrAmt,j_CrAcct,$D77,j_Per,3)+IF($D77=acctTax,SUMIFS(j_TaxDr,j_Posted,1,j_Per,3)-SUMIFS(j_TaxCr,j_Posted,1,j_Per,3),0))</f>
        <v/>
      </c>
      <c r="Q77" s="95">
        <f>IF($D77="",0,SUMIFS(j_DrAmt,j_DrAcct,$D77,j_Per,4)-SUMIFS(j_CrAmt,j_CrAcct,$D77,j_Per,4)+IF($D77=acctTax,SUMIFS(j_TaxDr,j_Posted,1,j_Per,4)-SUMIFS(j_TaxCr,j_Posted,1,j_Per,4),0))</f>
        <v/>
      </c>
      <c r="R77" s="95">
        <f>IF($D77="",0,SUMIFS(j_DrAmt,j_DrAcct,$D77,j_Per,5)-SUMIFS(j_CrAmt,j_CrAcct,$D77,j_Per,5)+IF($D77=acctTax,SUMIFS(j_TaxDr,j_Posted,1,j_Per,5)-SUMIFS(j_TaxCr,j_Posted,1,j_Per,5),0))</f>
        <v/>
      </c>
      <c r="S77" s="95">
        <f>IF($D77="",0,SUMIFS(j_DrAmt,j_DrAcct,$D77,j_Per,6)-SUMIFS(j_CrAmt,j_CrAcct,$D77,j_Per,6)+IF($D77=acctTax,SUMIFS(j_TaxDr,j_Posted,1,j_Per,6)-SUMIFS(j_TaxCr,j_Posted,1,j_Per,6),0))</f>
        <v/>
      </c>
      <c r="T77" s="95">
        <f>IF($D77="",0,SUMIFS(j_DrAmt,j_DrAcct,$D77,j_Per,7)-SUMIFS(j_CrAmt,j_CrAcct,$D77,j_Per,7)+IF($D77=acctTax,SUMIFS(j_TaxDr,j_Posted,1,j_Per,7)-SUMIFS(j_TaxCr,j_Posted,1,j_Per,7),0))</f>
        <v/>
      </c>
      <c r="U77" s="95">
        <f>IF($D77="",0,SUMIFS(j_DrAmt,j_DrAcct,$D77,j_Per,8)-SUMIFS(j_CrAmt,j_CrAcct,$D77,j_Per,8)+IF($D77=acctTax,SUMIFS(j_TaxDr,j_Posted,1,j_Per,8)-SUMIFS(j_TaxCr,j_Posted,1,j_Per,8),0))</f>
        <v/>
      </c>
      <c r="V77" s="95">
        <f>IF($D77="",0,SUMIFS(j_DrAmt,j_DrAcct,$D77,j_Per,9)-SUMIFS(j_CrAmt,j_CrAcct,$D77,j_Per,9)+IF($D77=acctTax,SUMIFS(j_TaxDr,j_Posted,1,j_Per,9)-SUMIFS(j_TaxCr,j_Posted,1,j_Per,9),0))</f>
        <v/>
      </c>
      <c r="W77" s="95">
        <f>IF($D77="",0,SUMIFS(j_DrAmt,j_DrAcct,$D77,j_Per,10)-SUMIFS(j_CrAmt,j_CrAcct,$D77,j_Per,10)+IF($D77=acctTax,SUMIFS(j_TaxDr,j_Posted,1,j_Per,10)-SUMIFS(j_TaxCr,j_Posted,1,j_Per,10),0))</f>
        <v/>
      </c>
      <c r="X77" s="95">
        <f>IF($D77="",0,SUMIFS(j_DrAmt,j_DrAcct,$D77,j_Per,11)-SUMIFS(j_CrAmt,j_CrAcct,$D77,j_Per,11)+IF($D77=acctTax,SUMIFS(j_TaxDr,j_Posted,1,j_Per,11)-SUMIFS(j_TaxCr,j_Posted,1,j_Per,11),0))</f>
        <v/>
      </c>
      <c r="Y77" s="95">
        <f>IF($D77="",0,SUMIFS(j_DrAmt,j_DrAcct,$D77,j_Per,12)-SUMIFS(j_CrAmt,j_CrAcct,$D77,j_Per,12)+IF($D77=acctTax,SUMIFS(j_TaxDr,j_Posted,1,j_Per,12)-SUMIFS(j_TaxCr,j_Posted,1,j_Per,12),0))</f>
        <v/>
      </c>
      <c r="Z77" s="95">
        <f>SUMPRODUCT(($N$5:$Y$5&lt;=RptIdx)*N77:Y77)</f>
        <v/>
      </c>
      <c r="AA77" s="95">
        <f>IF(AND(RptIdx&gt;=1,RptIdx&lt;=12),INDEX(N77:Y77,RptIdx),0)</f>
        <v/>
      </c>
      <c r="AB77" s="95">
        <f>IF($D77="",0,IF(RptIdx&gt;1,INDEX(N77:Y77,RptIdx-1),SUMIFS(j_DrAmt,j_DrAcct,$D77,j_Date,"&gt;="&amp;PrevStart,j_Date,"&lt;="&amp;PrevEnd)-SUMIFS(j_CrAmt,j_CrAcct,$D77,j_Date,"&gt;="&amp;PrevStart,j_Date,"&lt;="&amp;PrevEnd)+IF($D77=acctTax,SUMIFS(j_TaxDr,j_Posted,1,j_Date,"&gt;="&amp;PrevStart,j_Date,"&lt;="&amp;PrevEnd)-SUMIFS(j_TaxCr,j_Posted,1,j_Date,"&gt;="&amp;PrevStart,j_Date,"&lt;="&amp;PrevEnd),0)))</f>
        <v/>
      </c>
      <c r="AC77" s="95">
        <f>SUM(N77:Y77)</f>
        <v/>
      </c>
      <c r="AD77" s="95">
        <f>L77+M77+Z77</f>
        <v/>
      </c>
      <c r="AE77" s="95">
        <f>AD77-AA77</f>
        <v/>
      </c>
      <c r="AF77" s="58">
        <f>IF($D77="","",F77&amp;"|"&amp;COUNTIFS($F$7:F77,F77,$D$7:D77,"&lt;&gt;"))</f>
        <v/>
      </c>
      <c r="AG77" s="58">
        <f>IF(AND($D77&lt;&gt;"",H77="Cash"),"Cash|"&amp;COUNTIFS($H$7:H77,"Cash",$D$7:D77,"&lt;&gt;"),"")</f>
        <v/>
      </c>
      <c r="AH77" s="95">
        <f>IF(AND($D77&lt;&gt;"",OR(F77="Cost of Sales",F77="Operating Expense",F77="Other Expense"),Z77&gt;0),Z77+71/1000000,"")</f>
        <v/>
      </c>
      <c r="AI77" s="95">
        <f>L77+M77+SUM(N77:N77)</f>
        <v/>
      </c>
      <c r="AJ77" s="95">
        <f>L77+M77+SUM(N77:O77)</f>
        <v/>
      </c>
      <c r="AK77" s="95">
        <f>L77+M77+SUM(N77:P77)</f>
        <v/>
      </c>
      <c r="AL77" s="95">
        <f>L77+M77+SUM(N77:Q77)</f>
        <v/>
      </c>
      <c r="AM77" s="95">
        <f>L77+M77+SUM(N77:R77)</f>
        <v/>
      </c>
      <c r="AN77" s="95">
        <f>L77+M77+SUM(N77:S77)</f>
        <v/>
      </c>
      <c r="AO77" s="95">
        <f>L77+M77+SUM(N77:T77)</f>
        <v/>
      </c>
      <c r="AP77" s="95">
        <f>L77+M77+SUM(N77:U77)</f>
        <v/>
      </c>
      <c r="AQ77" s="95">
        <f>L77+M77+SUM(N77:V77)</f>
        <v/>
      </c>
      <c r="AR77" s="95">
        <f>L77+M77+SUM(N77:W77)</f>
        <v/>
      </c>
      <c r="AS77" s="95">
        <f>L77+M77+SUM(N77:X77)</f>
        <v/>
      </c>
      <c r="AT77" s="95">
        <f>L77+M77+SUM(N77:Y77)</f>
        <v/>
      </c>
    </row>
    <row r="78">
      <c r="B78" s="58" t="n">
        <v>72</v>
      </c>
      <c r="C78" s="58">
        <f>IFERROR(INDEX(coa_Name,72)&amp;"","")</f>
        <v/>
      </c>
      <c r="D78" s="58">
        <f>IF(C78="","",IF(COUNTIF($C$7:C78,C78)&gt;1,"",C78))</f>
        <v/>
      </c>
      <c r="E78" s="58">
        <f>IF($D78="","",INDEX(coa_Code,72))</f>
        <v/>
      </c>
      <c r="F78" s="58">
        <f>IF($D78="","",INDEX(coa_Type,72)&amp;"")</f>
        <v/>
      </c>
      <c r="G78" s="58">
        <f>IF($D78="","",INDEX(coa_Normal,72)&amp;"")</f>
        <v/>
      </c>
      <c r="H78" s="58">
        <f>IF($D78="","",IF(INDEX(coa_CF,72)&amp;""="","Operating",INDEX(coa_CF,72)&amp;""))</f>
        <v/>
      </c>
      <c r="I78" s="58">
        <f>IF($D78="","",IFERROR(INDEX(at_Stmt,MATCH(F78,at_Type,0)),""))</f>
        <v/>
      </c>
      <c r="J78" s="58">
        <f>IF($D78="",0,IFERROR(INDEX(at_Sign,MATCH(F78,at_Type,0)),0))</f>
        <v/>
      </c>
      <c r="K78" s="95">
        <f>IF($D78="",0,IF(G78="Credit",-1,1)*N(INDEX(coa_Open,72)))</f>
        <v/>
      </c>
      <c r="L78" s="95">
        <f>IF($D78="",0,IF($D78=acctOBE,K78-SUM($K$7:$K$156),K78))</f>
        <v/>
      </c>
      <c r="M78" s="95">
        <f>IF($D78="",0,SUMIFS(j_DrAmt,j_DrAcct,$D78,j_Per,0)-SUMIFS(j_CrAmt,j_CrAcct,$D78,j_Per,0)+IF($D78=acctTax,SUMIFS(j_TaxDr,j_Posted,1,j_Per,0)-SUMIFS(j_TaxCr,j_Posted,1,j_Per,0),0))</f>
        <v/>
      </c>
      <c r="N78" s="95">
        <f>IF($D78="",0,SUMIFS(j_DrAmt,j_DrAcct,$D78,j_Per,1)-SUMIFS(j_CrAmt,j_CrAcct,$D78,j_Per,1)+IF($D78=acctTax,SUMIFS(j_TaxDr,j_Posted,1,j_Per,1)-SUMIFS(j_TaxCr,j_Posted,1,j_Per,1),0))</f>
        <v/>
      </c>
      <c r="O78" s="95">
        <f>IF($D78="",0,SUMIFS(j_DrAmt,j_DrAcct,$D78,j_Per,2)-SUMIFS(j_CrAmt,j_CrAcct,$D78,j_Per,2)+IF($D78=acctTax,SUMIFS(j_TaxDr,j_Posted,1,j_Per,2)-SUMIFS(j_TaxCr,j_Posted,1,j_Per,2),0))</f>
        <v/>
      </c>
      <c r="P78" s="95">
        <f>IF($D78="",0,SUMIFS(j_DrAmt,j_DrAcct,$D78,j_Per,3)-SUMIFS(j_CrAmt,j_CrAcct,$D78,j_Per,3)+IF($D78=acctTax,SUMIFS(j_TaxDr,j_Posted,1,j_Per,3)-SUMIFS(j_TaxCr,j_Posted,1,j_Per,3),0))</f>
        <v/>
      </c>
      <c r="Q78" s="95">
        <f>IF($D78="",0,SUMIFS(j_DrAmt,j_DrAcct,$D78,j_Per,4)-SUMIFS(j_CrAmt,j_CrAcct,$D78,j_Per,4)+IF($D78=acctTax,SUMIFS(j_TaxDr,j_Posted,1,j_Per,4)-SUMIFS(j_TaxCr,j_Posted,1,j_Per,4),0))</f>
        <v/>
      </c>
      <c r="R78" s="95">
        <f>IF($D78="",0,SUMIFS(j_DrAmt,j_DrAcct,$D78,j_Per,5)-SUMIFS(j_CrAmt,j_CrAcct,$D78,j_Per,5)+IF($D78=acctTax,SUMIFS(j_TaxDr,j_Posted,1,j_Per,5)-SUMIFS(j_TaxCr,j_Posted,1,j_Per,5),0))</f>
        <v/>
      </c>
      <c r="S78" s="95">
        <f>IF($D78="",0,SUMIFS(j_DrAmt,j_DrAcct,$D78,j_Per,6)-SUMIFS(j_CrAmt,j_CrAcct,$D78,j_Per,6)+IF($D78=acctTax,SUMIFS(j_TaxDr,j_Posted,1,j_Per,6)-SUMIFS(j_TaxCr,j_Posted,1,j_Per,6),0))</f>
        <v/>
      </c>
      <c r="T78" s="95">
        <f>IF($D78="",0,SUMIFS(j_DrAmt,j_DrAcct,$D78,j_Per,7)-SUMIFS(j_CrAmt,j_CrAcct,$D78,j_Per,7)+IF($D78=acctTax,SUMIFS(j_TaxDr,j_Posted,1,j_Per,7)-SUMIFS(j_TaxCr,j_Posted,1,j_Per,7),0))</f>
        <v/>
      </c>
      <c r="U78" s="95">
        <f>IF($D78="",0,SUMIFS(j_DrAmt,j_DrAcct,$D78,j_Per,8)-SUMIFS(j_CrAmt,j_CrAcct,$D78,j_Per,8)+IF($D78=acctTax,SUMIFS(j_TaxDr,j_Posted,1,j_Per,8)-SUMIFS(j_TaxCr,j_Posted,1,j_Per,8),0))</f>
        <v/>
      </c>
      <c r="V78" s="95">
        <f>IF($D78="",0,SUMIFS(j_DrAmt,j_DrAcct,$D78,j_Per,9)-SUMIFS(j_CrAmt,j_CrAcct,$D78,j_Per,9)+IF($D78=acctTax,SUMIFS(j_TaxDr,j_Posted,1,j_Per,9)-SUMIFS(j_TaxCr,j_Posted,1,j_Per,9),0))</f>
        <v/>
      </c>
      <c r="W78" s="95">
        <f>IF($D78="",0,SUMIFS(j_DrAmt,j_DrAcct,$D78,j_Per,10)-SUMIFS(j_CrAmt,j_CrAcct,$D78,j_Per,10)+IF($D78=acctTax,SUMIFS(j_TaxDr,j_Posted,1,j_Per,10)-SUMIFS(j_TaxCr,j_Posted,1,j_Per,10),0))</f>
        <v/>
      </c>
      <c r="X78" s="95">
        <f>IF($D78="",0,SUMIFS(j_DrAmt,j_DrAcct,$D78,j_Per,11)-SUMIFS(j_CrAmt,j_CrAcct,$D78,j_Per,11)+IF($D78=acctTax,SUMIFS(j_TaxDr,j_Posted,1,j_Per,11)-SUMIFS(j_TaxCr,j_Posted,1,j_Per,11),0))</f>
        <v/>
      </c>
      <c r="Y78" s="95">
        <f>IF($D78="",0,SUMIFS(j_DrAmt,j_DrAcct,$D78,j_Per,12)-SUMIFS(j_CrAmt,j_CrAcct,$D78,j_Per,12)+IF($D78=acctTax,SUMIFS(j_TaxDr,j_Posted,1,j_Per,12)-SUMIFS(j_TaxCr,j_Posted,1,j_Per,12),0))</f>
        <v/>
      </c>
      <c r="Z78" s="95">
        <f>SUMPRODUCT(($N$5:$Y$5&lt;=RptIdx)*N78:Y78)</f>
        <v/>
      </c>
      <c r="AA78" s="95">
        <f>IF(AND(RptIdx&gt;=1,RptIdx&lt;=12),INDEX(N78:Y78,RptIdx),0)</f>
        <v/>
      </c>
      <c r="AB78" s="95">
        <f>IF($D78="",0,IF(RptIdx&gt;1,INDEX(N78:Y78,RptIdx-1),SUMIFS(j_DrAmt,j_DrAcct,$D78,j_Date,"&gt;="&amp;PrevStart,j_Date,"&lt;="&amp;PrevEnd)-SUMIFS(j_CrAmt,j_CrAcct,$D78,j_Date,"&gt;="&amp;PrevStart,j_Date,"&lt;="&amp;PrevEnd)+IF($D78=acctTax,SUMIFS(j_TaxDr,j_Posted,1,j_Date,"&gt;="&amp;PrevStart,j_Date,"&lt;="&amp;PrevEnd)-SUMIFS(j_TaxCr,j_Posted,1,j_Date,"&gt;="&amp;PrevStart,j_Date,"&lt;="&amp;PrevEnd),0)))</f>
        <v/>
      </c>
      <c r="AC78" s="95">
        <f>SUM(N78:Y78)</f>
        <v/>
      </c>
      <c r="AD78" s="95">
        <f>L78+M78+Z78</f>
        <v/>
      </c>
      <c r="AE78" s="95">
        <f>AD78-AA78</f>
        <v/>
      </c>
      <c r="AF78" s="58">
        <f>IF($D78="","",F78&amp;"|"&amp;COUNTIFS($F$7:F78,F78,$D$7:D78,"&lt;&gt;"))</f>
        <v/>
      </c>
      <c r="AG78" s="58">
        <f>IF(AND($D78&lt;&gt;"",H78="Cash"),"Cash|"&amp;COUNTIFS($H$7:H78,"Cash",$D$7:D78,"&lt;&gt;"),"")</f>
        <v/>
      </c>
      <c r="AH78" s="95">
        <f>IF(AND($D78&lt;&gt;"",OR(F78="Cost of Sales",F78="Operating Expense",F78="Other Expense"),Z78&gt;0),Z78+72/1000000,"")</f>
        <v/>
      </c>
      <c r="AI78" s="95">
        <f>L78+M78+SUM(N78:N78)</f>
        <v/>
      </c>
      <c r="AJ78" s="95">
        <f>L78+M78+SUM(N78:O78)</f>
        <v/>
      </c>
      <c r="AK78" s="95">
        <f>L78+M78+SUM(N78:P78)</f>
        <v/>
      </c>
      <c r="AL78" s="95">
        <f>L78+M78+SUM(N78:Q78)</f>
        <v/>
      </c>
      <c r="AM78" s="95">
        <f>L78+M78+SUM(N78:R78)</f>
        <v/>
      </c>
      <c r="AN78" s="95">
        <f>L78+M78+SUM(N78:S78)</f>
        <v/>
      </c>
      <c r="AO78" s="95">
        <f>L78+M78+SUM(N78:T78)</f>
        <v/>
      </c>
      <c r="AP78" s="95">
        <f>L78+M78+SUM(N78:U78)</f>
        <v/>
      </c>
      <c r="AQ78" s="95">
        <f>L78+M78+SUM(N78:V78)</f>
        <v/>
      </c>
      <c r="AR78" s="95">
        <f>L78+M78+SUM(N78:W78)</f>
        <v/>
      </c>
      <c r="AS78" s="95">
        <f>L78+M78+SUM(N78:X78)</f>
        <v/>
      </c>
      <c r="AT78" s="95">
        <f>L78+M78+SUM(N78:Y78)</f>
        <v/>
      </c>
    </row>
    <row r="79">
      <c r="B79" s="58" t="n">
        <v>73</v>
      </c>
      <c r="C79" s="58">
        <f>IFERROR(INDEX(coa_Name,73)&amp;"","")</f>
        <v/>
      </c>
      <c r="D79" s="58">
        <f>IF(C79="","",IF(COUNTIF($C$7:C79,C79)&gt;1,"",C79))</f>
        <v/>
      </c>
      <c r="E79" s="58">
        <f>IF($D79="","",INDEX(coa_Code,73))</f>
        <v/>
      </c>
      <c r="F79" s="58">
        <f>IF($D79="","",INDEX(coa_Type,73)&amp;"")</f>
        <v/>
      </c>
      <c r="G79" s="58">
        <f>IF($D79="","",INDEX(coa_Normal,73)&amp;"")</f>
        <v/>
      </c>
      <c r="H79" s="58">
        <f>IF($D79="","",IF(INDEX(coa_CF,73)&amp;""="","Operating",INDEX(coa_CF,73)&amp;""))</f>
        <v/>
      </c>
      <c r="I79" s="58">
        <f>IF($D79="","",IFERROR(INDEX(at_Stmt,MATCH(F79,at_Type,0)),""))</f>
        <v/>
      </c>
      <c r="J79" s="58">
        <f>IF($D79="",0,IFERROR(INDEX(at_Sign,MATCH(F79,at_Type,0)),0))</f>
        <v/>
      </c>
      <c r="K79" s="95">
        <f>IF($D79="",0,IF(G79="Credit",-1,1)*N(INDEX(coa_Open,73)))</f>
        <v/>
      </c>
      <c r="L79" s="95">
        <f>IF($D79="",0,IF($D79=acctOBE,K79-SUM($K$7:$K$156),K79))</f>
        <v/>
      </c>
      <c r="M79" s="95">
        <f>IF($D79="",0,SUMIFS(j_DrAmt,j_DrAcct,$D79,j_Per,0)-SUMIFS(j_CrAmt,j_CrAcct,$D79,j_Per,0)+IF($D79=acctTax,SUMIFS(j_TaxDr,j_Posted,1,j_Per,0)-SUMIFS(j_TaxCr,j_Posted,1,j_Per,0),0))</f>
        <v/>
      </c>
      <c r="N79" s="95">
        <f>IF($D79="",0,SUMIFS(j_DrAmt,j_DrAcct,$D79,j_Per,1)-SUMIFS(j_CrAmt,j_CrAcct,$D79,j_Per,1)+IF($D79=acctTax,SUMIFS(j_TaxDr,j_Posted,1,j_Per,1)-SUMIFS(j_TaxCr,j_Posted,1,j_Per,1),0))</f>
        <v/>
      </c>
      <c r="O79" s="95">
        <f>IF($D79="",0,SUMIFS(j_DrAmt,j_DrAcct,$D79,j_Per,2)-SUMIFS(j_CrAmt,j_CrAcct,$D79,j_Per,2)+IF($D79=acctTax,SUMIFS(j_TaxDr,j_Posted,1,j_Per,2)-SUMIFS(j_TaxCr,j_Posted,1,j_Per,2),0))</f>
        <v/>
      </c>
      <c r="P79" s="95">
        <f>IF($D79="",0,SUMIFS(j_DrAmt,j_DrAcct,$D79,j_Per,3)-SUMIFS(j_CrAmt,j_CrAcct,$D79,j_Per,3)+IF($D79=acctTax,SUMIFS(j_TaxDr,j_Posted,1,j_Per,3)-SUMIFS(j_TaxCr,j_Posted,1,j_Per,3),0))</f>
        <v/>
      </c>
      <c r="Q79" s="95">
        <f>IF($D79="",0,SUMIFS(j_DrAmt,j_DrAcct,$D79,j_Per,4)-SUMIFS(j_CrAmt,j_CrAcct,$D79,j_Per,4)+IF($D79=acctTax,SUMIFS(j_TaxDr,j_Posted,1,j_Per,4)-SUMIFS(j_TaxCr,j_Posted,1,j_Per,4),0))</f>
        <v/>
      </c>
      <c r="R79" s="95">
        <f>IF($D79="",0,SUMIFS(j_DrAmt,j_DrAcct,$D79,j_Per,5)-SUMIFS(j_CrAmt,j_CrAcct,$D79,j_Per,5)+IF($D79=acctTax,SUMIFS(j_TaxDr,j_Posted,1,j_Per,5)-SUMIFS(j_TaxCr,j_Posted,1,j_Per,5),0))</f>
        <v/>
      </c>
      <c r="S79" s="95">
        <f>IF($D79="",0,SUMIFS(j_DrAmt,j_DrAcct,$D79,j_Per,6)-SUMIFS(j_CrAmt,j_CrAcct,$D79,j_Per,6)+IF($D79=acctTax,SUMIFS(j_TaxDr,j_Posted,1,j_Per,6)-SUMIFS(j_TaxCr,j_Posted,1,j_Per,6),0))</f>
        <v/>
      </c>
      <c r="T79" s="95">
        <f>IF($D79="",0,SUMIFS(j_DrAmt,j_DrAcct,$D79,j_Per,7)-SUMIFS(j_CrAmt,j_CrAcct,$D79,j_Per,7)+IF($D79=acctTax,SUMIFS(j_TaxDr,j_Posted,1,j_Per,7)-SUMIFS(j_TaxCr,j_Posted,1,j_Per,7),0))</f>
        <v/>
      </c>
      <c r="U79" s="95">
        <f>IF($D79="",0,SUMIFS(j_DrAmt,j_DrAcct,$D79,j_Per,8)-SUMIFS(j_CrAmt,j_CrAcct,$D79,j_Per,8)+IF($D79=acctTax,SUMIFS(j_TaxDr,j_Posted,1,j_Per,8)-SUMIFS(j_TaxCr,j_Posted,1,j_Per,8),0))</f>
        <v/>
      </c>
      <c r="V79" s="95">
        <f>IF($D79="",0,SUMIFS(j_DrAmt,j_DrAcct,$D79,j_Per,9)-SUMIFS(j_CrAmt,j_CrAcct,$D79,j_Per,9)+IF($D79=acctTax,SUMIFS(j_TaxDr,j_Posted,1,j_Per,9)-SUMIFS(j_TaxCr,j_Posted,1,j_Per,9),0))</f>
        <v/>
      </c>
      <c r="W79" s="95">
        <f>IF($D79="",0,SUMIFS(j_DrAmt,j_DrAcct,$D79,j_Per,10)-SUMIFS(j_CrAmt,j_CrAcct,$D79,j_Per,10)+IF($D79=acctTax,SUMIFS(j_TaxDr,j_Posted,1,j_Per,10)-SUMIFS(j_TaxCr,j_Posted,1,j_Per,10),0))</f>
        <v/>
      </c>
      <c r="X79" s="95">
        <f>IF($D79="",0,SUMIFS(j_DrAmt,j_DrAcct,$D79,j_Per,11)-SUMIFS(j_CrAmt,j_CrAcct,$D79,j_Per,11)+IF($D79=acctTax,SUMIFS(j_TaxDr,j_Posted,1,j_Per,11)-SUMIFS(j_TaxCr,j_Posted,1,j_Per,11),0))</f>
        <v/>
      </c>
      <c r="Y79" s="95">
        <f>IF($D79="",0,SUMIFS(j_DrAmt,j_DrAcct,$D79,j_Per,12)-SUMIFS(j_CrAmt,j_CrAcct,$D79,j_Per,12)+IF($D79=acctTax,SUMIFS(j_TaxDr,j_Posted,1,j_Per,12)-SUMIFS(j_TaxCr,j_Posted,1,j_Per,12),0))</f>
        <v/>
      </c>
      <c r="Z79" s="95">
        <f>SUMPRODUCT(($N$5:$Y$5&lt;=RptIdx)*N79:Y79)</f>
        <v/>
      </c>
      <c r="AA79" s="95">
        <f>IF(AND(RptIdx&gt;=1,RptIdx&lt;=12),INDEX(N79:Y79,RptIdx),0)</f>
        <v/>
      </c>
      <c r="AB79" s="95">
        <f>IF($D79="",0,IF(RptIdx&gt;1,INDEX(N79:Y79,RptIdx-1),SUMIFS(j_DrAmt,j_DrAcct,$D79,j_Date,"&gt;="&amp;PrevStart,j_Date,"&lt;="&amp;PrevEnd)-SUMIFS(j_CrAmt,j_CrAcct,$D79,j_Date,"&gt;="&amp;PrevStart,j_Date,"&lt;="&amp;PrevEnd)+IF($D79=acctTax,SUMIFS(j_TaxDr,j_Posted,1,j_Date,"&gt;="&amp;PrevStart,j_Date,"&lt;="&amp;PrevEnd)-SUMIFS(j_TaxCr,j_Posted,1,j_Date,"&gt;="&amp;PrevStart,j_Date,"&lt;="&amp;PrevEnd),0)))</f>
        <v/>
      </c>
      <c r="AC79" s="95">
        <f>SUM(N79:Y79)</f>
        <v/>
      </c>
      <c r="AD79" s="95">
        <f>L79+M79+Z79</f>
        <v/>
      </c>
      <c r="AE79" s="95">
        <f>AD79-AA79</f>
        <v/>
      </c>
      <c r="AF79" s="58">
        <f>IF($D79="","",F79&amp;"|"&amp;COUNTIFS($F$7:F79,F79,$D$7:D79,"&lt;&gt;"))</f>
        <v/>
      </c>
      <c r="AG79" s="58">
        <f>IF(AND($D79&lt;&gt;"",H79="Cash"),"Cash|"&amp;COUNTIFS($H$7:H79,"Cash",$D$7:D79,"&lt;&gt;"),"")</f>
        <v/>
      </c>
      <c r="AH79" s="95">
        <f>IF(AND($D79&lt;&gt;"",OR(F79="Cost of Sales",F79="Operating Expense",F79="Other Expense"),Z79&gt;0),Z79+73/1000000,"")</f>
        <v/>
      </c>
      <c r="AI79" s="95">
        <f>L79+M79+SUM(N79:N79)</f>
        <v/>
      </c>
      <c r="AJ79" s="95">
        <f>L79+M79+SUM(N79:O79)</f>
        <v/>
      </c>
      <c r="AK79" s="95">
        <f>L79+M79+SUM(N79:P79)</f>
        <v/>
      </c>
      <c r="AL79" s="95">
        <f>L79+M79+SUM(N79:Q79)</f>
        <v/>
      </c>
      <c r="AM79" s="95">
        <f>L79+M79+SUM(N79:R79)</f>
        <v/>
      </c>
      <c r="AN79" s="95">
        <f>L79+M79+SUM(N79:S79)</f>
        <v/>
      </c>
      <c r="AO79" s="95">
        <f>L79+M79+SUM(N79:T79)</f>
        <v/>
      </c>
      <c r="AP79" s="95">
        <f>L79+M79+SUM(N79:U79)</f>
        <v/>
      </c>
      <c r="AQ79" s="95">
        <f>L79+M79+SUM(N79:V79)</f>
        <v/>
      </c>
      <c r="AR79" s="95">
        <f>L79+M79+SUM(N79:W79)</f>
        <v/>
      </c>
      <c r="AS79" s="95">
        <f>L79+M79+SUM(N79:X79)</f>
        <v/>
      </c>
      <c r="AT79" s="95">
        <f>L79+M79+SUM(N79:Y79)</f>
        <v/>
      </c>
    </row>
    <row r="80">
      <c r="B80" s="58" t="n">
        <v>74</v>
      </c>
      <c r="C80" s="58">
        <f>IFERROR(INDEX(coa_Name,74)&amp;"","")</f>
        <v/>
      </c>
      <c r="D80" s="58">
        <f>IF(C80="","",IF(COUNTIF($C$7:C80,C80)&gt;1,"",C80))</f>
        <v/>
      </c>
      <c r="E80" s="58">
        <f>IF($D80="","",INDEX(coa_Code,74))</f>
        <v/>
      </c>
      <c r="F80" s="58">
        <f>IF($D80="","",INDEX(coa_Type,74)&amp;"")</f>
        <v/>
      </c>
      <c r="G80" s="58">
        <f>IF($D80="","",INDEX(coa_Normal,74)&amp;"")</f>
        <v/>
      </c>
      <c r="H80" s="58">
        <f>IF($D80="","",IF(INDEX(coa_CF,74)&amp;""="","Operating",INDEX(coa_CF,74)&amp;""))</f>
        <v/>
      </c>
      <c r="I80" s="58">
        <f>IF($D80="","",IFERROR(INDEX(at_Stmt,MATCH(F80,at_Type,0)),""))</f>
        <v/>
      </c>
      <c r="J80" s="58">
        <f>IF($D80="",0,IFERROR(INDEX(at_Sign,MATCH(F80,at_Type,0)),0))</f>
        <v/>
      </c>
      <c r="K80" s="95">
        <f>IF($D80="",0,IF(G80="Credit",-1,1)*N(INDEX(coa_Open,74)))</f>
        <v/>
      </c>
      <c r="L80" s="95">
        <f>IF($D80="",0,IF($D80=acctOBE,K80-SUM($K$7:$K$156),K80))</f>
        <v/>
      </c>
      <c r="M80" s="95">
        <f>IF($D80="",0,SUMIFS(j_DrAmt,j_DrAcct,$D80,j_Per,0)-SUMIFS(j_CrAmt,j_CrAcct,$D80,j_Per,0)+IF($D80=acctTax,SUMIFS(j_TaxDr,j_Posted,1,j_Per,0)-SUMIFS(j_TaxCr,j_Posted,1,j_Per,0),0))</f>
        <v/>
      </c>
      <c r="N80" s="95">
        <f>IF($D80="",0,SUMIFS(j_DrAmt,j_DrAcct,$D80,j_Per,1)-SUMIFS(j_CrAmt,j_CrAcct,$D80,j_Per,1)+IF($D80=acctTax,SUMIFS(j_TaxDr,j_Posted,1,j_Per,1)-SUMIFS(j_TaxCr,j_Posted,1,j_Per,1),0))</f>
        <v/>
      </c>
      <c r="O80" s="95">
        <f>IF($D80="",0,SUMIFS(j_DrAmt,j_DrAcct,$D80,j_Per,2)-SUMIFS(j_CrAmt,j_CrAcct,$D80,j_Per,2)+IF($D80=acctTax,SUMIFS(j_TaxDr,j_Posted,1,j_Per,2)-SUMIFS(j_TaxCr,j_Posted,1,j_Per,2),0))</f>
        <v/>
      </c>
      <c r="P80" s="95">
        <f>IF($D80="",0,SUMIFS(j_DrAmt,j_DrAcct,$D80,j_Per,3)-SUMIFS(j_CrAmt,j_CrAcct,$D80,j_Per,3)+IF($D80=acctTax,SUMIFS(j_TaxDr,j_Posted,1,j_Per,3)-SUMIFS(j_TaxCr,j_Posted,1,j_Per,3),0))</f>
        <v/>
      </c>
      <c r="Q80" s="95">
        <f>IF($D80="",0,SUMIFS(j_DrAmt,j_DrAcct,$D80,j_Per,4)-SUMIFS(j_CrAmt,j_CrAcct,$D80,j_Per,4)+IF($D80=acctTax,SUMIFS(j_TaxDr,j_Posted,1,j_Per,4)-SUMIFS(j_TaxCr,j_Posted,1,j_Per,4),0))</f>
        <v/>
      </c>
      <c r="R80" s="95">
        <f>IF($D80="",0,SUMIFS(j_DrAmt,j_DrAcct,$D80,j_Per,5)-SUMIFS(j_CrAmt,j_CrAcct,$D80,j_Per,5)+IF($D80=acctTax,SUMIFS(j_TaxDr,j_Posted,1,j_Per,5)-SUMIFS(j_TaxCr,j_Posted,1,j_Per,5),0))</f>
        <v/>
      </c>
      <c r="S80" s="95">
        <f>IF($D80="",0,SUMIFS(j_DrAmt,j_DrAcct,$D80,j_Per,6)-SUMIFS(j_CrAmt,j_CrAcct,$D80,j_Per,6)+IF($D80=acctTax,SUMIFS(j_TaxDr,j_Posted,1,j_Per,6)-SUMIFS(j_TaxCr,j_Posted,1,j_Per,6),0))</f>
        <v/>
      </c>
      <c r="T80" s="95">
        <f>IF($D80="",0,SUMIFS(j_DrAmt,j_DrAcct,$D80,j_Per,7)-SUMIFS(j_CrAmt,j_CrAcct,$D80,j_Per,7)+IF($D80=acctTax,SUMIFS(j_TaxDr,j_Posted,1,j_Per,7)-SUMIFS(j_TaxCr,j_Posted,1,j_Per,7),0))</f>
        <v/>
      </c>
      <c r="U80" s="95">
        <f>IF($D80="",0,SUMIFS(j_DrAmt,j_DrAcct,$D80,j_Per,8)-SUMIFS(j_CrAmt,j_CrAcct,$D80,j_Per,8)+IF($D80=acctTax,SUMIFS(j_TaxDr,j_Posted,1,j_Per,8)-SUMIFS(j_TaxCr,j_Posted,1,j_Per,8),0))</f>
        <v/>
      </c>
      <c r="V80" s="95">
        <f>IF($D80="",0,SUMIFS(j_DrAmt,j_DrAcct,$D80,j_Per,9)-SUMIFS(j_CrAmt,j_CrAcct,$D80,j_Per,9)+IF($D80=acctTax,SUMIFS(j_TaxDr,j_Posted,1,j_Per,9)-SUMIFS(j_TaxCr,j_Posted,1,j_Per,9),0))</f>
        <v/>
      </c>
      <c r="W80" s="95">
        <f>IF($D80="",0,SUMIFS(j_DrAmt,j_DrAcct,$D80,j_Per,10)-SUMIFS(j_CrAmt,j_CrAcct,$D80,j_Per,10)+IF($D80=acctTax,SUMIFS(j_TaxDr,j_Posted,1,j_Per,10)-SUMIFS(j_TaxCr,j_Posted,1,j_Per,10),0))</f>
        <v/>
      </c>
      <c r="X80" s="95">
        <f>IF($D80="",0,SUMIFS(j_DrAmt,j_DrAcct,$D80,j_Per,11)-SUMIFS(j_CrAmt,j_CrAcct,$D80,j_Per,11)+IF($D80=acctTax,SUMIFS(j_TaxDr,j_Posted,1,j_Per,11)-SUMIFS(j_TaxCr,j_Posted,1,j_Per,11),0))</f>
        <v/>
      </c>
      <c r="Y80" s="95">
        <f>IF($D80="",0,SUMIFS(j_DrAmt,j_DrAcct,$D80,j_Per,12)-SUMIFS(j_CrAmt,j_CrAcct,$D80,j_Per,12)+IF($D80=acctTax,SUMIFS(j_TaxDr,j_Posted,1,j_Per,12)-SUMIFS(j_TaxCr,j_Posted,1,j_Per,12),0))</f>
        <v/>
      </c>
      <c r="Z80" s="95">
        <f>SUMPRODUCT(($N$5:$Y$5&lt;=RptIdx)*N80:Y80)</f>
        <v/>
      </c>
      <c r="AA80" s="95">
        <f>IF(AND(RptIdx&gt;=1,RptIdx&lt;=12),INDEX(N80:Y80,RptIdx),0)</f>
        <v/>
      </c>
      <c r="AB80" s="95">
        <f>IF($D80="",0,IF(RptIdx&gt;1,INDEX(N80:Y80,RptIdx-1),SUMIFS(j_DrAmt,j_DrAcct,$D80,j_Date,"&gt;="&amp;PrevStart,j_Date,"&lt;="&amp;PrevEnd)-SUMIFS(j_CrAmt,j_CrAcct,$D80,j_Date,"&gt;="&amp;PrevStart,j_Date,"&lt;="&amp;PrevEnd)+IF($D80=acctTax,SUMIFS(j_TaxDr,j_Posted,1,j_Date,"&gt;="&amp;PrevStart,j_Date,"&lt;="&amp;PrevEnd)-SUMIFS(j_TaxCr,j_Posted,1,j_Date,"&gt;="&amp;PrevStart,j_Date,"&lt;="&amp;PrevEnd),0)))</f>
        <v/>
      </c>
      <c r="AC80" s="95">
        <f>SUM(N80:Y80)</f>
        <v/>
      </c>
      <c r="AD80" s="95">
        <f>L80+M80+Z80</f>
        <v/>
      </c>
      <c r="AE80" s="95">
        <f>AD80-AA80</f>
        <v/>
      </c>
      <c r="AF80" s="58">
        <f>IF($D80="","",F80&amp;"|"&amp;COUNTIFS($F$7:F80,F80,$D$7:D80,"&lt;&gt;"))</f>
        <v/>
      </c>
      <c r="AG80" s="58">
        <f>IF(AND($D80&lt;&gt;"",H80="Cash"),"Cash|"&amp;COUNTIFS($H$7:H80,"Cash",$D$7:D80,"&lt;&gt;"),"")</f>
        <v/>
      </c>
      <c r="AH80" s="95">
        <f>IF(AND($D80&lt;&gt;"",OR(F80="Cost of Sales",F80="Operating Expense",F80="Other Expense"),Z80&gt;0),Z80+74/1000000,"")</f>
        <v/>
      </c>
      <c r="AI80" s="95">
        <f>L80+M80+SUM(N80:N80)</f>
        <v/>
      </c>
      <c r="AJ80" s="95">
        <f>L80+M80+SUM(N80:O80)</f>
        <v/>
      </c>
      <c r="AK80" s="95">
        <f>L80+M80+SUM(N80:P80)</f>
        <v/>
      </c>
      <c r="AL80" s="95">
        <f>L80+M80+SUM(N80:Q80)</f>
        <v/>
      </c>
      <c r="AM80" s="95">
        <f>L80+M80+SUM(N80:R80)</f>
        <v/>
      </c>
      <c r="AN80" s="95">
        <f>L80+M80+SUM(N80:S80)</f>
        <v/>
      </c>
      <c r="AO80" s="95">
        <f>L80+M80+SUM(N80:T80)</f>
        <v/>
      </c>
      <c r="AP80" s="95">
        <f>L80+M80+SUM(N80:U80)</f>
        <v/>
      </c>
      <c r="AQ80" s="95">
        <f>L80+M80+SUM(N80:V80)</f>
        <v/>
      </c>
      <c r="AR80" s="95">
        <f>L80+M80+SUM(N80:W80)</f>
        <v/>
      </c>
      <c r="AS80" s="95">
        <f>L80+M80+SUM(N80:X80)</f>
        <v/>
      </c>
      <c r="AT80" s="95">
        <f>L80+M80+SUM(N80:Y80)</f>
        <v/>
      </c>
    </row>
    <row r="81">
      <c r="B81" s="58" t="n">
        <v>75</v>
      </c>
      <c r="C81" s="58">
        <f>IFERROR(INDEX(coa_Name,75)&amp;"","")</f>
        <v/>
      </c>
      <c r="D81" s="58">
        <f>IF(C81="","",IF(COUNTIF($C$7:C81,C81)&gt;1,"",C81))</f>
        <v/>
      </c>
      <c r="E81" s="58">
        <f>IF($D81="","",INDEX(coa_Code,75))</f>
        <v/>
      </c>
      <c r="F81" s="58">
        <f>IF($D81="","",INDEX(coa_Type,75)&amp;"")</f>
        <v/>
      </c>
      <c r="G81" s="58">
        <f>IF($D81="","",INDEX(coa_Normal,75)&amp;"")</f>
        <v/>
      </c>
      <c r="H81" s="58">
        <f>IF($D81="","",IF(INDEX(coa_CF,75)&amp;""="","Operating",INDEX(coa_CF,75)&amp;""))</f>
        <v/>
      </c>
      <c r="I81" s="58">
        <f>IF($D81="","",IFERROR(INDEX(at_Stmt,MATCH(F81,at_Type,0)),""))</f>
        <v/>
      </c>
      <c r="J81" s="58">
        <f>IF($D81="",0,IFERROR(INDEX(at_Sign,MATCH(F81,at_Type,0)),0))</f>
        <v/>
      </c>
      <c r="K81" s="95">
        <f>IF($D81="",0,IF(G81="Credit",-1,1)*N(INDEX(coa_Open,75)))</f>
        <v/>
      </c>
      <c r="L81" s="95">
        <f>IF($D81="",0,IF($D81=acctOBE,K81-SUM($K$7:$K$156),K81))</f>
        <v/>
      </c>
      <c r="M81" s="95">
        <f>IF($D81="",0,SUMIFS(j_DrAmt,j_DrAcct,$D81,j_Per,0)-SUMIFS(j_CrAmt,j_CrAcct,$D81,j_Per,0)+IF($D81=acctTax,SUMIFS(j_TaxDr,j_Posted,1,j_Per,0)-SUMIFS(j_TaxCr,j_Posted,1,j_Per,0),0))</f>
        <v/>
      </c>
      <c r="N81" s="95">
        <f>IF($D81="",0,SUMIFS(j_DrAmt,j_DrAcct,$D81,j_Per,1)-SUMIFS(j_CrAmt,j_CrAcct,$D81,j_Per,1)+IF($D81=acctTax,SUMIFS(j_TaxDr,j_Posted,1,j_Per,1)-SUMIFS(j_TaxCr,j_Posted,1,j_Per,1),0))</f>
        <v/>
      </c>
      <c r="O81" s="95">
        <f>IF($D81="",0,SUMIFS(j_DrAmt,j_DrAcct,$D81,j_Per,2)-SUMIFS(j_CrAmt,j_CrAcct,$D81,j_Per,2)+IF($D81=acctTax,SUMIFS(j_TaxDr,j_Posted,1,j_Per,2)-SUMIFS(j_TaxCr,j_Posted,1,j_Per,2),0))</f>
        <v/>
      </c>
      <c r="P81" s="95">
        <f>IF($D81="",0,SUMIFS(j_DrAmt,j_DrAcct,$D81,j_Per,3)-SUMIFS(j_CrAmt,j_CrAcct,$D81,j_Per,3)+IF($D81=acctTax,SUMIFS(j_TaxDr,j_Posted,1,j_Per,3)-SUMIFS(j_TaxCr,j_Posted,1,j_Per,3),0))</f>
        <v/>
      </c>
      <c r="Q81" s="95">
        <f>IF($D81="",0,SUMIFS(j_DrAmt,j_DrAcct,$D81,j_Per,4)-SUMIFS(j_CrAmt,j_CrAcct,$D81,j_Per,4)+IF($D81=acctTax,SUMIFS(j_TaxDr,j_Posted,1,j_Per,4)-SUMIFS(j_TaxCr,j_Posted,1,j_Per,4),0))</f>
        <v/>
      </c>
      <c r="R81" s="95">
        <f>IF($D81="",0,SUMIFS(j_DrAmt,j_DrAcct,$D81,j_Per,5)-SUMIFS(j_CrAmt,j_CrAcct,$D81,j_Per,5)+IF($D81=acctTax,SUMIFS(j_TaxDr,j_Posted,1,j_Per,5)-SUMIFS(j_TaxCr,j_Posted,1,j_Per,5),0))</f>
        <v/>
      </c>
      <c r="S81" s="95">
        <f>IF($D81="",0,SUMIFS(j_DrAmt,j_DrAcct,$D81,j_Per,6)-SUMIFS(j_CrAmt,j_CrAcct,$D81,j_Per,6)+IF($D81=acctTax,SUMIFS(j_TaxDr,j_Posted,1,j_Per,6)-SUMIFS(j_TaxCr,j_Posted,1,j_Per,6),0))</f>
        <v/>
      </c>
      <c r="T81" s="95">
        <f>IF($D81="",0,SUMIFS(j_DrAmt,j_DrAcct,$D81,j_Per,7)-SUMIFS(j_CrAmt,j_CrAcct,$D81,j_Per,7)+IF($D81=acctTax,SUMIFS(j_TaxDr,j_Posted,1,j_Per,7)-SUMIFS(j_TaxCr,j_Posted,1,j_Per,7),0))</f>
        <v/>
      </c>
      <c r="U81" s="95">
        <f>IF($D81="",0,SUMIFS(j_DrAmt,j_DrAcct,$D81,j_Per,8)-SUMIFS(j_CrAmt,j_CrAcct,$D81,j_Per,8)+IF($D81=acctTax,SUMIFS(j_TaxDr,j_Posted,1,j_Per,8)-SUMIFS(j_TaxCr,j_Posted,1,j_Per,8),0))</f>
        <v/>
      </c>
      <c r="V81" s="95">
        <f>IF($D81="",0,SUMIFS(j_DrAmt,j_DrAcct,$D81,j_Per,9)-SUMIFS(j_CrAmt,j_CrAcct,$D81,j_Per,9)+IF($D81=acctTax,SUMIFS(j_TaxDr,j_Posted,1,j_Per,9)-SUMIFS(j_TaxCr,j_Posted,1,j_Per,9),0))</f>
        <v/>
      </c>
      <c r="W81" s="95">
        <f>IF($D81="",0,SUMIFS(j_DrAmt,j_DrAcct,$D81,j_Per,10)-SUMIFS(j_CrAmt,j_CrAcct,$D81,j_Per,10)+IF($D81=acctTax,SUMIFS(j_TaxDr,j_Posted,1,j_Per,10)-SUMIFS(j_TaxCr,j_Posted,1,j_Per,10),0))</f>
        <v/>
      </c>
      <c r="X81" s="95">
        <f>IF($D81="",0,SUMIFS(j_DrAmt,j_DrAcct,$D81,j_Per,11)-SUMIFS(j_CrAmt,j_CrAcct,$D81,j_Per,11)+IF($D81=acctTax,SUMIFS(j_TaxDr,j_Posted,1,j_Per,11)-SUMIFS(j_TaxCr,j_Posted,1,j_Per,11),0))</f>
        <v/>
      </c>
      <c r="Y81" s="95">
        <f>IF($D81="",0,SUMIFS(j_DrAmt,j_DrAcct,$D81,j_Per,12)-SUMIFS(j_CrAmt,j_CrAcct,$D81,j_Per,12)+IF($D81=acctTax,SUMIFS(j_TaxDr,j_Posted,1,j_Per,12)-SUMIFS(j_TaxCr,j_Posted,1,j_Per,12),0))</f>
        <v/>
      </c>
      <c r="Z81" s="95">
        <f>SUMPRODUCT(($N$5:$Y$5&lt;=RptIdx)*N81:Y81)</f>
        <v/>
      </c>
      <c r="AA81" s="95">
        <f>IF(AND(RptIdx&gt;=1,RptIdx&lt;=12),INDEX(N81:Y81,RptIdx),0)</f>
        <v/>
      </c>
      <c r="AB81" s="95">
        <f>IF($D81="",0,IF(RptIdx&gt;1,INDEX(N81:Y81,RptIdx-1),SUMIFS(j_DrAmt,j_DrAcct,$D81,j_Date,"&gt;="&amp;PrevStart,j_Date,"&lt;="&amp;PrevEnd)-SUMIFS(j_CrAmt,j_CrAcct,$D81,j_Date,"&gt;="&amp;PrevStart,j_Date,"&lt;="&amp;PrevEnd)+IF($D81=acctTax,SUMIFS(j_TaxDr,j_Posted,1,j_Date,"&gt;="&amp;PrevStart,j_Date,"&lt;="&amp;PrevEnd)-SUMIFS(j_TaxCr,j_Posted,1,j_Date,"&gt;="&amp;PrevStart,j_Date,"&lt;="&amp;PrevEnd),0)))</f>
        <v/>
      </c>
      <c r="AC81" s="95">
        <f>SUM(N81:Y81)</f>
        <v/>
      </c>
      <c r="AD81" s="95">
        <f>L81+M81+Z81</f>
        <v/>
      </c>
      <c r="AE81" s="95">
        <f>AD81-AA81</f>
        <v/>
      </c>
      <c r="AF81" s="58">
        <f>IF($D81="","",F81&amp;"|"&amp;COUNTIFS($F$7:F81,F81,$D$7:D81,"&lt;&gt;"))</f>
        <v/>
      </c>
      <c r="AG81" s="58">
        <f>IF(AND($D81&lt;&gt;"",H81="Cash"),"Cash|"&amp;COUNTIFS($H$7:H81,"Cash",$D$7:D81,"&lt;&gt;"),"")</f>
        <v/>
      </c>
      <c r="AH81" s="95">
        <f>IF(AND($D81&lt;&gt;"",OR(F81="Cost of Sales",F81="Operating Expense",F81="Other Expense"),Z81&gt;0),Z81+75/1000000,"")</f>
        <v/>
      </c>
      <c r="AI81" s="95">
        <f>L81+M81+SUM(N81:N81)</f>
        <v/>
      </c>
      <c r="AJ81" s="95">
        <f>L81+M81+SUM(N81:O81)</f>
        <v/>
      </c>
      <c r="AK81" s="95">
        <f>L81+M81+SUM(N81:P81)</f>
        <v/>
      </c>
      <c r="AL81" s="95">
        <f>L81+M81+SUM(N81:Q81)</f>
        <v/>
      </c>
      <c r="AM81" s="95">
        <f>L81+M81+SUM(N81:R81)</f>
        <v/>
      </c>
      <c r="AN81" s="95">
        <f>L81+M81+SUM(N81:S81)</f>
        <v/>
      </c>
      <c r="AO81" s="95">
        <f>L81+M81+SUM(N81:T81)</f>
        <v/>
      </c>
      <c r="AP81" s="95">
        <f>L81+M81+SUM(N81:U81)</f>
        <v/>
      </c>
      <c r="AQ81" s="95">
        <f>L81+M81+SUM(N81:V81)</f>
        <v/>
      </c>
      <c r="AR81" s="95">
        <f>L81+M81+SUM(N81:W81)</f>
        <v/>
      </c>
      <c r="AS81" s="95">
        <f>L81+M81+SUM(N81:X81)</f>
        <v/>
      </c>
      <c r="AT81" s="95">
        <f>L81+M81+SUM(N81:Y81)</f>
        <v/>
      </c>
    </row>
    <row r="82">
      <c r="B82" s="58" t="n">
        <v>76</v>
      </c>
      <c r="C82" s="58">
        <f>IFERROR(INDEX(coa_Name,76)&amp;"","")</f>
        <v/>
      </c>
      <c r="D82" s="58">
        <f>IF(C82="","",IF(COUNTIF($C$7:C82,C82)&gt;1,"",C82))</f>
        <v/>
      </c>
      <c r="E82" s="58">
        <f>IF($D82="","",INDEX(coa_Code,76))</f>
        <v/>
      </c>
      <c r="F82" s="58">
        <f>IF($D82="","",INDEX(coa_Type,76)&amp;"")</f>
        <v/>
      </c>
      <c r="G82" s="58">
        <f>IF($D82="","",INDEX(coa_Normal,76)&amp;"")</f>
        <v/>
      </c>
      <c r="H82" s="58">
        <f>IF($D82="","",IF(INDEX(coa_CF,76)&amp;""="","Operating",INDEX(coa_CF,76)&amp;""))</f>
        <v/>
      </c>
      <c r="I82" s="58">
        <f>IF($D82="","",IFERROR(INDEX(at_Stmt,MATCH(F82,at_Type,0)),""))</f>
        <v/>
      </c>
      <c r="J82" s="58">
        <f>IF($D82="",0,IFERROR(INDEX(at_Sign,MATCH(F82,at_Type,0)),0))</f>
        <v/>
      </c>
      <c r="K82" s="95">
        <f>IF($D82="",0,IF(G82="Credit",-1,1)*N(INDEX(coa_Open,76)))</f>
        <v/>
      </c>
      <c r="L82" s="95">
        <f>IF($D82="",0,IF($D82=acctOBE,K82-SUM($K$7:$K$156),K82))</f>
        <v/>
      </c>
      <c r="M82" s="95">
        <f>IF($D82="",0,SUMIFS(j_DrAmt,j_DrAcct,$D82,j_Per,0)-SUMIFS(j_CrAmt,j_CrAcct,$D82,j_Per,0)+IF($D82=acctTax,SUMIFS(j_TaxDr,j_Posted,1,j_Per,0)-SUMIFS(j_TaxCr,j_Posted,1,j_Per,0),0))</f>
        <v/>
      </c>
      <c r="N82" s="95">
        <f>IF($D82="",0,SUMIFS(j_DrAmt,j_DrAcct,$D82,j_Per,1)-SUMIFS(j_CrAmt,j_CrAcct,$D82,j_Per,1)+IF($D82=acctTax,SUMIFS(j_TaxDr,j_Posted,1,j_Per,1)-SUMIFS(j_TaxCr,j_Posted,1,j_Per,1),0))</f>
        <v/>
      </c>
      <c r="O82" s="95">
        <f>IF($D82="",0,SUMIFS(j_DrAmt,j_DrAcct,$D82,j_Per,2)-SUMIFS(j_CrAmt,j_CrAcct,$D82,j_Per,2)+IF($D82=acctTax,SUMIFS(j_TaxDr,j_Posted,1,j_Per,2)-SUMIFS(j_TaxCr,j_Posted,1,j_Per,2),0))</f>
        <v/>
      </c>
      <c r="P82" s="95">
        <f>IF($D82="",0,SUMIFS(j_DrAmt,j_DrAcct,$D82,j_Per,3)-SUMIFS(j_CrAmt,j_CrAcct,$D82,j_Per,3)+IF($D82=acctTax,SUMIFS(j_TaxDr,j_Posted,1,j_Per,3)-SUMIFS(j_TaxCr,j_Posted,1,j_Per,3),0))</f>
        <v/>
      </c>
      <c r="Q82" s="95">
        <f>IF($D82="",0,SUMIFS(j_DrAmt,j_DrAcct,$D82,j_Per,4)-SUMIFS(j_CrAmt,j_CrAcct,$D82,j_Per,4)+IF($D82=acctTax,SUMIFS(j_TaxDr,j_Posted,1,j_Per,4)-SUMIFS(j_TaxCr,j_Posted,1,j_Per,4),0))</f>
        <v/>
      </c>
      <c r="R82" s="95">
        <f>IF($D82="",0,SUMIFS(j_DrAmt,j_DrAcct,$D82,j_Per,5)-SUMIFS(j_CrAmt,j_CrAcct,$D82,j_Per,5)+IF($D82=acctTax,SUMIFS(j_TaxDr,j_Posted,1,j_Per,5)-SUMIFS(j_TaxCr,j_Posted,1,j_Per,5),0))</f>
        <v/>
      </c>
      <c r="S82" s="95">
        <f>IF($D82="",0,SUMIFS(j_DrAmt,j_DrAcct,$D82,j_Per,6)-SUMIFS(j_CrAmt,j_CrAcct,$D82,j_Per,6)+IF($D82=acctTax,SUMIFS(j_TaxDr,j_Posted,1,j_Per,6)-SUMIFS(j_TaxCr,j_Posted,1,j_Per,6),0))</f>
        <v/>
      </c>
      <c r="T82" s="95">
        <f>IF($D82="",0,SUMIFS(j_DrAmt,j_DrAcct,$D82,j_Per,7)-SUMIFS(j_CrAmt,j_CrAcct,$D82,j_Per,7)+IF($D82=acctTax,SUMIFS(j_TaxDr,j_Posted,1,j_Per,7)-SUMIFS(j_TaxCr,j_Posted,1,j_Per,7),0))</f>
        <v/>
      </c>
      <c r="U82" s="95">
        <f>IF($D82="",0,SUMIFS(j_DrAmt,j_DrAcct,$D82,j_Per,8)-SUMIFS(j_CrAmt,j_CrAcct,$D82,j_Per,8)+IF($D82=acctTax,SUMIFS(j_TaxDr,j_Posted,1,j_Per,8)-SUMIFS(j_TaxCr,j_Posted,1,j_Per,8),0))</f>
        <v/>
      </c>
      <c r="V82" s="95">
        <f>IF($D82="",0,SUMIFS(j_DrAmt,j_DrAcct,$D82,j_Per,9)-SUMIFS(j_CrAmt,j_CrAcct,$D82,j_Per,9)+IF($D82=acctTax,SUMIFS(j_TaxDr,j_Posted,1,j_Per,9)-SUMIFS(j_TaxCr,j_Posted,1,j_Per,9),0))</f>
        <v/>
      </c>
      <c r="W82" s="95">
        <f>IF($D82="",0,SUMIFS(j_DrAmt,j_DrAcct,$D82,j_Per,10)-SUMIFS(j_CrAmt,j_CrAcct,$D82,j_Per,10)+IF($D82=acctTax,SUMIFS(j_TaxDr,j_Posted,1,j_Per,10)-SUMIFS(j_TaxCr,j_Posted,1,j_Per,10),0))</f>
        <v/>
      </c>
      <c r="X82" s="95">
        <f>IF($D82="",0,SUMIFS(j_DrAmt,j_DrAcct,$D82,j_Per,11)-SUMIFS(j_CrAmt,j_CrAcct,$D82,j_Per,11)+IF($D82=acctTax,SUMIFS(j_TaxDr,j_Posted,1,j_Per,11)-SUMIFS(j_TaxCr,j_Posted,1,j_Per,11),0))</f>
        <v/>
      </c>
      <c r="Y82" s="95">
        <f>IF($D82="",0,SUMIFS(j_DrAmt,j_DrAcct,$D82,j_Per,12)-SUMIFS(j_CrAmt,j_CrAcct,$D82,j_Per,12)+IF($D82=acctTax,SUMIFS(j_TaxDr,j_Posted,1,j_Per,12)-SUMIFS(j_TaxCr,j_Posted,1,j_Per,12),0))</f>
        <v/>
      </c>
      <c r="Z82" s="95">
        <f>SUMPRODUCT(($N$5:$Y$5&lt;=RptIdx)*N82:Y82)</f>
        <v/>
      </c>
      <c r="AA82" s="95">
        <f>IF(AND(RptIdx&gt;=1,RptIdx&lt;=12),INDEX(N82:Y82,RptIdx),0)</f>
        <v/>
      </c>
      <c r="AB82" s="95">
        <f>IF($D82="",0,IF(RptIdx&gt;1,INDEX(N82:Y82,RptIdx-1),SUMIFS(j_DrAmt,j_DrAcct,$D82,j_Date,"&gt;="&amp;PrevStart,j_Date,"&lt;="&amp;PrevEnd)-SUMIFS(j_CrAmt,j_CrAcct,$D82,j_Date,"&gt;="&amp;PrevStart,j_Date,"&lt;="&amp;PrevEnd)+IF($D82=acctTax,SUMIFS(j_TaxDr,j_Posted,1,j_Date,"&gt;="&amp;PrevStart,j_Date,"&lt;="&amp;PrevEnd)-SUMIFS(j_TaxCr,j_Posted,1,j_Date,"&gt;="&amp;PrevStart,j_Date,"&lt;="&amp;PrevEnd),0)))</f>
        <v/>
      </c>
      <c r="AC82" s="95">
        <f>SUM(N82:Y82)</f>
        <v/>
      </c>
      <c r="AD82" s="95">
        <f>L82+M82+Z82</f>
        <v/>
      </c>
      <c r="AE82" s="95">
        <f>AD82-AA82</f>
        <v/>
      </c>
      <c r="AF82" s="58">
        <f>IF($D82="","",F82&amp;"|"&amp;COUNTIFS($F$7:F82,F82,$D$7:D82,"&lt;&gt;"))</f>
        <v/>
      </c>
      <c r="AG82" s="58">
        <f>IF(AND($D82&lt;&gt;"",H82="Cash"),"Cash|"&amp;COUNTIFS($H$7:H82,"Cash",$D$7:D82,"&lt;&gt;"),"")</f>
        <v/>
      </c>
      <c r="AH82" s="95">
        <f>IF(AND($D82&lt;&gt;"",OR(F82="Cost of Sales",F82="Operating Expense",F82="Other Expense"),Z82&gt;0),Z82+76/1000000,"")</f>
        <v/>
      </c>
      <c r="AI82" s="95">
        <f>L82+M82+SUM(N82:N82)</f>
        <v/>
      </c>
      <c r="AJ82" s="95">
        <f>L82+M82+SUM(N82:O82)</f>
        <v/>
      </c>
      <c r="AK82" s="95">
        <f>L82+M82+SUM(N82:P82)</f>
        <v/>
      </c>
      <c r="AL82" s="95">
        <f>L82+M82+SUM(N82:Q82)</f>
        <v/>
      </c>
      <c r="AM82" s="95">
        <f>L82+M82+SUM(N82:R82)</f>
        <v/>
      </c>
      <c r="AN82" s="95">
        <f>L82+M82+SUM(N82:S82)</f>
        <v/>
      </c>
      <c r="AO82" s="95">
        <f>L82+M82+SUM(N82:T82)</f>
        <v/>
      </c>
      <c r="AP82" s="95">
        <f>L82+M82+SUM(N82:U82)</f>
        <v/>
      </c>
      <c r="AQ82" s="95">
        <f>L82+M82+SUM(N82:V82)</f>
        <v/>
      </c>
      <c r="AR82" s="95">
        <f>L82+M82+SUM(N82:W82)</f>
        <v/>
      </c>
      <c r="AS82" s="95">
        <f>L82+M82+SUM(N82:X82)</f>
        <v/>
      </c>
      <c r="AT82" s="95">
        <f>L82+M82+SUM(N82:Y82)</f>
        <v/>
      </c>
    </row>
    <row r="83">
      <c r="B83" s="58" t="n">
        <v>77</v>
      </c>
      <c r="C83" s="58">
        <f>IFERROR(INDEX(coa_Name,77)&amp;"","")</f>
        <v/>
      </c>
      <c r="D83" s="58">
        <f>IF(C83="","",IF(COUNTIF($C$7:C83,C83)&gt;1,"",C83))</f>
        <v/>
      </c>
      <c r="E83" s="58">
        <f>IF($D83="","",INDEX(coa_Code,77))</f>
        <v/>
      </c>
      <c r="F83" s="58">
        <f>IF($D83="","",INDEX(coa_Type,77)&amp;"")</f>
        <v/>
      </c>
      <c r="G83" s="58">
        <f>IF($D83="","",INDEX(coa_Normal,77)&amp;"")</f>
        <v/>
      </c>
      <c r="H83" s="58">
        <f>IF($D83="","",IF(INDEX(coa_CF,77)&amp;""="","Operating",INDEX(coa_CF,77)&amp;""))</f>
        <v/>
      </c>
      <c r="I83" s="58">
        <f>IF($D83="","",IFERROR(INDEX(at_Stmt,MATCH(F83,at_Type,0)),""))</f>
        <v/>
      </c>
      <c r="J83" s="58">
        <f>IF($D83="",0,IFERROR(INDEX(at_Sign,MATCH(F83,at_Type,0)),0))</f>
        <v/>
      </c>
      <c r="K83" s="95">
        <f>IF($D83="",0,IF(G83="Credit",-1,1)*N(INDEX(coa_Open,77)))</f>
        <v/>
      </c>
      <c r="L83" s="95">
        <f>IF($D83="",0,IF($D83=acctOBE,K83-SUM($K$7:$K$156),K83))</f>
        <v/>
      </c>
      <c r="M83" s="95">
        <f>IF($D83="",0,SUMIFS(j_DrAmt,j_DrAcct,$D83,j_Per,0)-SUMIFS(j_CrAmt,j_CrAcct,$D83,j_Per,0)+IF($D83=acctTax,SUMIFS(j_TaxDr,j_Posted,1,j_Per,0)-SUMIFS(j_TaxCr,j_Posted,1,j_Per,0),0))</f>
        <v/>
      </c>
      <c r="N83" s="95">
        <f>IF($D83="",0,SUMIFS(j_DrAmt,j_DrAcct,$D83,j_Per,1)-SUMIFS(j_CrAmt,j_CrAcct,$D83,j_Per,1)+IF($D83=acctTax,SUMIFS(j_TaxDr,j_Posted,1,j_Per,1)-SUMIFS(j_TaxCr,j_Posted,1,j_Per,1),0))</f>
        <v/>
      </c>
      <c r="O83" s="95">
        <f>IF($D83="",0,SUMIFS(j_DrAmt,j_DrAcct,$D83,j_Per,2)-SUMIFS(j_CrAmt,j_CrAcct,$D83,j_Per,2)+IF($D83=acctTax,SUMIFS(j_TaxDr,j_Posted,1,j_Per,2)-SUMIFS(j_TaxCr,j_Posted,1,j_Per,2),0))</f>
        <v/>
      </c>
      <c r="P83" s="95">
        <f>IF($D83="",0,SUMIFS(j_DrAmt,j_DrAcct,$D83,j_Per,3)-SUMIFS(j_CrAmt,j_CrAcct,$D83,j_Per,3)+IF($D83=acctTax,SUMIFS(j_TaxDr,j_Posted,1,j_Per,3)-SUMIFS(j_TaxCr,j_Posted,1,j_Per,3),0))</f>
        <v/>
      </c>
      <c r="Q83" s="95">
        <f>IF($D83="",0,SUMIFS(j_DrAmt,j_DrAcct,$D83,j_Per,4)-SUMIFS(j_CrAmt,j_CrAcct,$D83,j_Per,4)+IF($D83=acctTax,SUMIFS(j_TaxDr,j_Posted,1,j_Per,4)-SUMIFS(j_TaxCr,j_Posted,1,j_Per,4),0))</f>
        <v/>
      </c>
      <c r="R83" s="95">
        <f>IF($D83="",0,SUMIFS(j_DrAmt,j_DrAcct,$D83,j_Per,5)-SUMIFS(j_CrAmt,j_CrAcct,$D83,j_Per,5)+IF($D83=acctTax,SUMIFS(j_TaxDr,j_Posted,1,j_Per,5)-SUMIFS(j_TaxCr,j_Posted,1,j_Per,5),0))</f>
        <v/>
      </c>
      <c r="S83" s="95">
        <f>IF($D83="",0,SUMIFS(j_DrAmt,j_DrAcct,$D83,j_Per,6)-SUMIFS(j_CrAmt,j_CrAcct,$D83,j_Per,6)+IF($D83=acctTax,SUMIFS(j_TaxDr,j_Posted,1,j_Per,6)-SUMIFS(j_TaxCr,j_Posted,1,j_Per,6),0))</f>
        <v/>
      </c>
      <c r="T83" s="95">
        <f>IF($D83="",0,SUMIFS(j_DrAmt,j_DrAcct,$D83,j_Per,7)-SUMIFS(j_CrAmt,j_CrAcct,$D83,j_Per,7)+IF($D83=acctTax,SUMIFS(j_TaxDr,j_Posted,1,j_Per,7)-SUMIFS(j_TaxCr,j_Posted,1,j_Per,7),0))</f>
        <v/>
      </c>
      <c r="U83" s="95">
        <f>IF($D83="",0,SUMIFS(j_DrAmt,j_DrAcct,$D83,j_Per,8)-SUMIFS(j_CrAmt,j_CrAcct,$D83,j_Per,8)+IF($D83=acctTax,SUMIFS(j_TaxDr,j_Posted,1,j_Per,8)-SUMIFS(j_TaxCr,j_Posted,1,j_Per,8),0))</f>
        <v/>
      </c>
      <c r="V83" s="95">
        <f>IF($D83="",0,SUMIFS(j_DrAmt,j_DrAcct,$D83,j_Per,9)-SUMIFS(j_CrAmt,j_CrAcct,$D83,j_Per,9)+IF($D83=acctTax,SUMIFS(j_TaxDr,j_Posted,1,j_Per,9)-SUMIFS(j_TaxCr,j_Posted,1,j_Per,9),0))</f>
        <v/>
      </c>
      <c r="W83" s="95">
        <f>IF($D83="",0,SUMIFS(j_DrAmt,j_DrAcct,$D83,j_Per,10)-SUMIFS(j_CrAmt,j_CrAcct,$D83,j_Per,10)+IF($D83=acctTax,SUMIFS(j_TaxDr,j_Posted,1,j_Per,10)-SUMIFS(j_TaxCr,j_Posted,1,j_Per,10),0))</f>
        <v/>
      </c>
      <c r="X83" s="95">
        <f>IF($D83="",0,SUMIFS(j_DrAmt,j_DrAcct,$D83,j_Per,11)-SUMIFS(j_CrAmt,j_CrAcct,$D83,j_Per,11)+IF($D83=acctTax,SUMIFS(j_TaxDr,j_Posted,1,j_Per,11)-SUMIFS(j_TaxCr,j_Posted,1,j_Per,11),0))</f>
        <v/>
      </c>
      <c r="Y83" s="95">
        <f>IF($D83="",0,SUMIFS(j_DrAmt,j_DrAcct,$D83,j_Per,12)-SUMIFS(j_CrAmt,j_CrAcct,$D83,j_Per,12)+IF($D83=acctTax,SUMIFS(j_TaxDr,j_Posted,1,j_Per,12)-SUMIFS(j_TaxCr,j_Posted,1,j_Per,12),0))</f>
        <v/>
      </c>
      <c r="Z83" s="95">
        <f>SUMPRODUCT(($N$5:$Y$5&lt;=RptIdx)*N83:Y83)</f>
        <v/>
      </c>
      <c r="AA83" s="95">
        <f>IF(AND(RptIdx&gt;=1,RptIdx&lt;=12),INDEX(N83:Y83,RptIdx),0)</f>
        <v/>
      </c>
      <c r="AB83" s="95">
        <f>IF($D83="",0,IF(RptIdx&gt;1,INDEX(N83:Y83,RptIdx-1),SUMIFS(j_DrAmt,j_DrAcct,$D83,j_Date,"&gt;="&amp;PrevStart,j_Date,"&lt;="&amp;PrevEnd)-SUMIFS(j_CrAmt,j_CrAcct,$D83,j_Date,"&gt;="&amp;PrevStart,j_Date,"&lt;="&amp;PrevEnd)+IF($D83=acctTax,SUMIFS(j_TaxDr,j_Posted,1,j_Date,"&gt;="&amp;PrevStart,j_Date,"&lt;="&amp;PrevEnd)-SUMIFS(j_TaxCr,j_Posted,1,j_Date,"&gt;="&amp;PrevStart,j_Date,"&lt;="&amp;PrevEnd),0)))</f>
        <v/>
      </c>
      <c r="AC83" s="95">
        <f>SUM(N83:Y83)</f>
        <v/>
      </c>
      <c r="AD83" s="95">
        <f>L83+M83+Z83</f>
        <v/>
      </c>
      <c r="AE83" s="95">
        <f>AD83-AA83</f>
        <v/>
      </c>
      <c r="AF83" s="58">
        <f>IF($D83="","",F83&amp;"|"&amp;COUNTIFS($F$7:F83,F83,$D$7:D83,"&lt;&gt;"))</f>
        <v/>
      </c>
      <c r="AG83" s="58">
        <f>IF(AND($D83&lt;&gt;"",H83="Cash"),"Cash|"&amp;COUNTIFS($H$7:H83,"Cash",$D$7:D83,"&lt;&gt;"),"")</f>
        <v/>
      </c>
      <c r="AH83" s="95">
        <f>IF(AND($D83&lt;&gt;"",OR(F83="Cost of Sales",F83="Operating Expense",F83="Other Expense"),Z83&gt;0),Z83+77/1000000,"")</f>
        <v/>
      </c>
      <c r="AI83" s="95">
        <f>L83+M83+SUM(N83:N83)</f>
        <v/>
      </c>
      <c r="AJ83" s="95">
        <f>L83+M83+SUM(N83:O83)</f>
        <v/>
      </c>
      <c r="AK83" s="95">
        <f>L83+M83+SUM(N83:P83)</f>
        <v/>
      </c>
      <c r="AL83" s="95">
        <f>L83+M83+SUM(N83:Q83)</f>
        <v/>
      </c>
      <c r="AM83" s="95">
        <f>L83+M83+SUM(N83:R83)</f>
        <v/>
      </c>
      <c r="AN83" s="95">
        <f>L83+M83+SUM(N83:S83)</f>
        <v/>
      </c>
      <c r="AO83" s="95">
        <f>L83+M83+SUM(N83:T83)</f>
        <v/>
      </c>
      <c r="AP83" s="95">
        <f>L83+M83+SUM(N83:U83)</f>
        <v/>
      </c>
      <c r="AQ83" s="95">
        <f>L83+M83+SUM(N83:V83)</f>
        <v/>
      </c>
      <c r="AR83" s="95">
        <f>L83+M83+SUM(N83:W83)</f>
        <v/>
      </c>
      <c r="AS83" s="95">
        <f>L83+M83+SUM(N83:X83)</f>
        <v/>
      </c>
      <c r="AT83" s="95">
        <f>L83+M83+SUM(N83:Y83)</f>
        <v/>
      </c>
    </row>
    <row r="84">
      <c r="B84" s="58" t="n">
        <v>78</v>
      </c>
      <c r="C84" s="58">
        <f>IFERROR(INDEX(coa_Name,78)&amp;"","")</f>
        <v/>
      </c>
      <c r="D84" s="58">
        <f>IF(C84="","",IF(COUNTIF($C$7:C84,C84)&gt;1,"",C84))</f>
        <v/>
      </c>
      <c r="E84" s="58">
        <f>IF($D84="","",INDEX(coa_Code,78))</f>
        <v/>
      </c>
      <c r="F84" s="58">
        <f>IF($D84="","",INDEX(coa_Type,78)&amp;"")</f>
        <v/>
      </c>
      <c r="G84" s="58">
        <f>IF($D84="","",INDEX(coa_Normal,78)&amp;"")</f>
        <v/>
      </c>
      <c r="H84" s="58">
        <f>IF($D84="","",IF(INDEX(coa_CF,78)&amp;""="","Operating",INDEX(coa_CF,78)&amp;""))</f>
        <v/>
      </c>
      <c r="I84" s="58">
        <f>IF($D84="","",IFERROR(INDEX(at_Stmt,MATCH(F84,at_Type,0)),""))</f>
        <v/>
      </c>
      <c r="J84" s="58">
        <f>IF($D84="",0,IFERROR(INDEX(at_Sign,MATCH(F84,at_Type,0)),0))</f>
        <v/>
      </c>
      <c r="K84" s="95">
        <f>IF($D84="",0,IF(G84="Credit",-1,1)*N(INDEX(coa_Open,78)))</f>
        <v/>
      </c>
      <c r="L84" s="95">
        <f>IF($D84="",0,IF($D84=acctOBE,K84-SUM($K$7:$K$156),K84))</f>
        <v/>
      </c>
      <c r="M84" s="95">
        <f>IF($D84="",0,SUMIFS(j_DrAmt,j_DrAcct,$D84,j_Per,0)-SUMIFS(j_CrAmt,j_CrAcct,$D84,j_Per,0)+IF($D84=acctTax,SUMIFS(j_TaxDr,j_Posted,1,j_Per,0)-SUMIFS(j_TaxCr,j_Posted,1,j_Per,0),0))</f>
        <v/>
      </c>
      <c r="N84" s="95">
        <f>IF($D84="",0,SUMIFS(j_DrAmt,j_DrAcct,$D84,j_Per,1)-SUMIFS(j_CrAmt,j_CrAcct,$D84,j_Per,1)+IF($D84=acctTax,SUMIFS(j_TaxDr,j_Posted,1,j_Per,1)-SUMIFS(j_TaxCr,j_Posted,1,j_Per,1),0))</f>
        <v/>
      </c>
      <c r="O84" s="95">
        <f>IF($D84="",0,SUMIFS(j_DrAmt,j_DrAcct,$D84,j_Per,2)-SUMIFS(j_CrAmt,j_CrAcct,$D84,j_Per,2)+IF($D84=acctTax,SUMIFS(j_TaxDr,j_Posted,1,j_Per,2)-SUMIFS(j_TaxCr,j_Posted,1,j_Per,2),0))</f>
        <v/>
      </c>
      <c r="P84" s="95">
        <f>IF($D84="",0,SUMIFS(j_DrAmt,j_DrAcct,$D84,j_Per,3)-SUMIFS(j_CrAmt,j_CrAcct,$D84,j_Per,3)+IF($D84=acctTax,SUMIFS(j_TaxDr,j_Posted,1,j_Per,3)-SUMIFS(j_TaxCr,j_Posted,1,j_Per,3),0))</f>
        <v/>
      </c>
      <c r="Q84" s="95">
        <f>IF($D84="",0,SUMIFS(j_DrAmt,j_DrAcct,$D84,j_Per,4)-SUMIFS(j_CrAmt,j_CrAcct,$D84,j_Per,4)+IF($D84=acctTax,SUMIFS(j_TaxDr,j_Posted,1,j_Per,4)-SUMIFS(j_TaxCr,j_Posted,1,j_Per,4),0))</f>
        <v/>
      </c>
      <c r="R84" s="95">
        <f>IF($D84="",0,SUMIFS(j_DrAmt,j_DrAcct,$D84,j_Per,5)-SUMIFS(j_CrAmt,j_CrAcct,$D84,j_Per,5)+IF($D84=acctTax,SUMIFS(j_TaxDr,j_Posted,1,j_Per,5)-SUMIFS(j_TaxCr,j_Posted,1,j_Per,5),0))</f>
        <v/>
      </c>
      <c r="S84" s="95">
        <f>IF($D84="",0,SUMIFS(j_DrAmt,j_DrAcct,$D84,j_Per,6)-SUMIFS(j_CrAmt,j_CrAcct,$D84,j_Per,6)+IF($D84=acctTax,SUMIFS(j_TaxDr,j_Posted,1,j_Per,6)-SUMIFS(j_TaxCr,j_Posted,1,j_Per,6),0))</f>
        <v/>
      </c>
      <c r="T84" s="95">
        <f>IF($D84="",0,SUMIFS(j_DrAmt,j_DrAcct,$D84,j_Per,7)-SUMIFS(j_CrAmt,j_CrAcct,$D84,j_Per,7)+IF($D84=acctTax,SUMIFS(j_TaxDr,j_Posted,1,j_Per,7)-SUMIFS(j_TaxCr,j_Posted,1,j_Per,7),0))</f>
        <v/>
      </c>
      <c r="U84" s="95">
        <f>IF($D84="",0,SUMIFS(j_DrAmt,j_DrAcct,$D84,j_Per,8)-SUMIFS(j_CrAmt,j_CrAcct,$D84,j_Per,8)+IF($D84=acctTax,SUMIFS(j_TaxDr,j_Posted,1,j_Per,8)-SUMIFS(j_TaxCr,j_Posted,1,j_Per,8),0))</f>
        <v/>
      </c>
      <c r="V84" s="95">
        <f>IF($D84="",0,SUMIFS(j_DrAmt,j_DrAcct,$D84,j_Per,9)-SUMIFS(j_CrAmt,j_CrAcct,$D84,j_Per,9)+IF($D84=acctTax,SUMIFS(j_TaxDr,j_Posted,1,j_Per,9)-SUMIFS(j_TaxCr,j_Posted,1,j_Per,9),0))</f>
        <v/>
      </c>
      <c r="W84" s="95">
        <f>IF($D84="",0,SUMIFS(j_DrAmt,j_DrAcct,$D84,j_Per,10)-SUMIFS(j_CrAmt,j_CrAcct,$D84,j_Per,10)+IF($D84=acctTax,SUMIFS(j_TaxDr,j_Posted,1,j_Per,10)-SUMIFS(j_TaxCr,j_Posted,1,j_Per,10),0))</f>
        <v/>
      </c>
      <c r="X84" s="95">
        <f>IF($D84="",0,SUMIFS(j_DrAmt,j_DrAcct,$D84,j_Per,11)-SUMIFS(j_CrAmt,j_CrAcct,$D84,j_Per,11)+IF($D84=acctTax,SUMIFS(j_TaxDr,j_Posted,1,j_Per,11)-SUMIFS(j_TaxCr,j_Posted,1,j_Per,11),0))</f>
        <v/>
      </c>
      <c r="Y84" s="95">
        <f>IF($D84="",0,SUMIFS(j_DrAmt,j_DrAcct,$D84,j_Per,12)-SUMIFS(j_CrAmt,j_CrAcct,$D84,j_Per,12)+IF($D84=acctTax,SUMIFS(j_TaxDr,j_Posted,1,j_Per,12)-SUMIFS(j_TaxCr,j_Posted,1,j_Per,12),0))</f>
        <v/>
      </c>
      <c r="Z84" s="95">
        <f>SUMPRODUCT(($N$5:$Y$5&lt;=RptIdx)*N84:Y84)</f>
        <v/>
      </c>
      <c r="AA84" s="95">
        <f>IF(AND(RptIdx&gt;=1,RptIdx&lt;=12),INDEX(N84:Y84,RptIdx),0)</f>
        <v/>
      </c>
      <c r="AB84" s="95">
        <f>IF($D84="",0,IF(RptIdx&gt;1,INDEX(N84:Y84,RptIdx-1),SUMIFS(j_DrAmt,j_DrAcct,$D84,j_Date,"&gt;="&amp;PrevStart,j_Date,"&lt;="&amp;PrevEnd)-SUMIFS(j_CrAmt,j_CrAcct,$D84,j_Date,"&gt;="&amp;PrevStart,j_Date,"&lt;="&amp;PrevEnd)+IF($D84=acctTax,SUMIFS(j_TaxDr,j_Posted,1,j_Date,"&gt;="&amp;PrevStart,j_Date,"&lt;="&amp;PrevEnd)-SUMIFS(j_TaxCr,j_Posted,1,j_Date,"&gt;="&amp;PrevStart,j_Date,"&lt;="&amp;PrevEnd),0)))</f>
        <v/>
      </c>
      <c r="AC84" s="95">
        <f>SUM(N84:Y84)</f>
        <v/>
      </c>
      <c r="AD84" s="95">
        <f>L84+M84+Z84</f>
        <v/>
      </c>
      <c r="AE84" s="95">
        <f>AD84-AA84</f>
        <v/>
      </c>
      <c r="AF84" s="58">
        <f>IF($D84="","",F84&amp;"|"&amp;COUNTIFS($F$7:F84,F84,$D$7:D84,"&lt;&gt;"))</f>
        <v/>
      </c>
      <c r="AG84" s="58">
        <f>IF(AND($D84&lt;&gt;"",H84="Cash"),"Cash|"&amp;COUNTIFS($H$7:H84,"Cash",$D$7:D84,"&lt;&gt;"),"")</f>
        <v/>
      </c>
      <c r="AH84" s="95">
        <f>IF(AND($D84&lt;&gt;"",OR(F84="Cost of Sales",F84="Operating Expense",F84="Other Expense"),Z84&gt;0),Z84+78/1000000,"")</f>
        <v/>
      </c>
      <c r="AI84" s="95">
        <f>L84+M84+SUM(N84:N84)</f>
        <v/>
      </c>
      <c r="AJ84" s="95">
        <f>L84+M84+SUM(N84:O84)</f>
        <v/>
      </c>
      <c r="AK84" s="95">
        <f>L84+M84+SUM(N84:P84)</f>
        <v/>
      </c>
      <c r="AL84" s="95">
        <f>L84+M84+SUM(N84:Q84)</f>
        <v/>
      </c>
      <c r="AM84" s="95">
        <f>L84+M84+SUM(N84:R84)</f>
        <v/>
      </c>
      <c r="AN84" s="95">
        <f>L84+M84+SUM(N84:S84)</f>
        <v/>
      </c>
      <c r="AO84" s="95">
        <f>L84+M84+SUM(N84:T84)</f>
        <v/>
      </c>
      <c r="AP84" s="95">
        <f>L84+M84+SUM(N84:U84)</f>
        <v/>
      </c>
      <c r="AQ84" s="95">
        <f>L84+M84+SUM(N84:V84)</f>
        <v/>
      </c>
      <c r="AR84" s="95">
        <f>L84+M84+SUM(N84:W84)</f>
        <v/>
      </c>
      <c r="AS84" s="95">
        <f>L84+M84+SUM(N84:X84)</f>
        <v/>
      </c>
      <c r="AT84" s="95">
        <f>L84+M84+SUM(N84:Y84)</f>
        <v/>
      </c>
    </row>
    <row r="85">
      <c r="B85" s="58" t="n">
        <v>79</v>
      </c>
      <c r="C85" s="58">
        <f>IFERROR(INDEX(coa_Name,79)&amp;"","")</f>
        <v/>
      </c>
      <c r="D85" s="58">
        <f>IF(C85="","",IF(COUNTIF($C$7:C85,C85)&gt;1,"",C85))</f>
        <v/>
      </c>
      <c r="E85" s="58">
        <f>IF($D85="","",INDEX(coa_Code,79))</f>
        <v/>
      </c>
      <c r="F85" s="58">
        <f>IF($D85="","",INDEX(coa_Type,79)&amp;"")</f>
        <v/>
      </c>
      <c r="G85" s="58">
        <f>IF($D85="","",INDEX(coa_Normal,79)&amp;"")</f>
        <v/>
      </c>
      <c r="H85" s="58">
        <f>IF($D85="","",IF(INDEX(coa_CF,79)&amp;""="","Operating",INDEX(coa_CF,79)&amp;""))</f>
        <v/>
      </c>
      <c r="I85" s="58">
        <f>IF($D85="","",IFERROR(INDEX(at_Stmt,MATCH(F85,at_Type,0)),""))</f>
        <v/>
      </c>
      <c r="J85" s="58">
        <f>IF($D85="",0,IFERROR(INDEX(at_Sign,MATCH(F85,at_Type,0)),0))</f>
        <v/>
      </c>
      <c r="K85" s="95">
        <f>IF($D85="",0,IF(G85="Credit",-1,1)*N(INDEX(coa_Open,79)))</f>
        <v/>
      </c>
      <c r="L85" s="95">
        <f>IF($D85="",0,IF($D85=acctOBE,K85-SUM($K$7:$K$156),K85))</f>
        <v/>
      </c>
      <c r="M85" s="95">
        <f>IF($D85="",0,SUMIFS(j_DrAmt,j_DrAcct,$D85,j_Per,0)-SUMIFS(j_CrAmt,j_CrAcct,$D85,j_Per,0)+IF($D85=acctTax,SUMIFS(j_TaxDr,j_Posted,1,j_Per,0)-SUMIFS(j_TaxCr,j_Posted,1,j_Per,0),0))</f>
        <v/>
      </c>
      <c r="N85" s="95">
        <f>IF($D85="",0,SUMIFS(j_DrAmt,j_DrAcct,$D85,j_Per,1)-SUMIFS(j_CrAmt,j_CrAcct,$D85,j_Per,1)+IF($D85=acctTax,SUMIFS(j_TaxDr,j_Posted,1,j_Per,1)-SUMIFS(j_TaxCr,j_Posted,1,j_Per,1),0))</f>
        <v/>
      </c>
      <c r="O85" s="95">
        <f>IF($D85="",0,SUMIFS(j_DrAmt,j_DrAcct,$D85,j_Per,2)-SUMIFS(j_CrAmt,j_CrAcct,$D85,j_Per,2)+IF($D85=acctTax,SUMIFS(j_TaxDr,j_Posted,1,j_Per,2)-SUMIFS(j_TaxCr,j_Posted,1,j_Per,2),0))</f>
        <v/>
      </c>
      <c r="P85" s="95">
        <f>IF($D85="",0,SUMIFS(j_DrAmt,j_DrAcct,$D85,j_Per,3)-SUMIFS(j_CrAmt,j_CrAcct,$D85,j_Per,3)+IF($D85=acctTax,SUMIFS(j_TaxDr,j_Posted,1,j_Per,3)-SUMIFS(j_TaxCr,j_Posted,1,j_Per,3),0))</f>
        <v/>
      </c>
      <c r="Q85" s="95">
        <f>IF($D85="",0,SUMIFS(j_DrAmt,j_DrAcct,$D85,j_Per,4)-SUMIFS(j_CrAmt,j_CrAcct,$D85,j_Per,4)+IF($D85=acctTax,SUMIFS(j_TaxDr,j_Posted,1,j_Per,4)-SUMIFS(j_TaxCr,j_Posted,1,j_Per,4),0))</f>
        <v/>
      </c>
      <c r="R85" s="95">
        <f>IF($D85="",0,SUMIFS(j_DrAmt,j_DrAcct,$D85,j_Per,5)-SUMIFS(j_CrAmt,j_CrAcct,$D85,j_Per,5)+IF($D85=acctTax,SUMIFS(j_TaxDr,j_Posted,1,j_Per,5)-SUMIFS(j_TaxCr,j_Posted,1,j_Per,5),0))</f>
        <v/>
      </c>
      <c r="S85" s="95">
        <f>IF($D85="",0,SUMIFS(j_DrAmt,j_DrAcct,$D85,j_Per,6)-SUMIFS(j_CrAmt,j_CrAcct,$D85,j_Per,6)+IF($D85=acctTax,SUMIFS(j_TaxDr,j_Posted,1,j_Per,6)-SUMIFS(j_TaxCr,j_Posted,1,j_Per,6),0))</f>
        <v/>
      </c>
      <c r="T85" s="95">
        <f>IF($D85="",0,SUMIFS(j_DrAmt,j_DrAcct,$D85,j_Per,7)-SUMIFS(j_CrAmt,j_CrAcct,$D85,j_Per,7)+IF($D85=acctTax,SUMIFS(j_TaxDr,j_Posted,1,j_Per,7)-SUMIFS(j_TaxCr,j_Posted,1,j_Per,7),0))</f>
        <v/>
      </c>
      <c r="U85" s="95">
        <f>IF($D85="",0,SUMIFS(j_DrAmt,j_DrAcct,$D85,j_Per,8)-SUMIFS(j_CrAmt,j_CrAcct,$D85,j_Per,8)+IF($D85=acctTax,SUMIFS(j_TaxDr,j_Posted,1,j_Per,8)-SUMIFS(j_TaxCr,j_Posted,1,j_Per,8),0))</f>
        <v/>
      </c>
      <c r="V85" s="95">
        <f>IF($D85="",0,SUMIFS(j_DrAmt,j_DrAcct,$D85,j_Per,9)-SUMIFS(j_CrAmt,j_CrAcct,$D85,j_Per,9)+IF($D85=acctTax,SUMIFS(j_TaxDr,j_Posted,1,j_Per,9)-SUMIFS(j_TaxCr,j_Posted,1,j_Per,9),0))</f>
        <v/>
      </c>
      <c r="W85" s="95">
        <f>IF($D85="",0,SUMIFS(j_DrAmt,j_DrAcct,$D85,j_Per,10)-SUMIFS(j_CrAmt,j_CrAcct,$D85,j_Per,10)+IF($D85=acctTax,SUMIFS(j_TaxDr,j_Posted,1,j_Per,10)-SUMIFS(j_TaxCr,j_Posted,1,j_Per,10),0))</f>
        <v/>
      </c>
      <c r="X85" s="95">
        <f>IF($D85="",0,SUMIFS(j_DrAmt,j_DrAcct,$D85,j_Per,11)-SUMIFS(j_CrAmt,j_CrAcct,$D85,j_Per,11)+IF($D85=acctTax,SUMIFS(j_TaxDr,j_Posted,1,j_Per,11)-SUMIFS(j_TaxCr,j_Posted,1,j_Per,11),0))</f>
        <v/>
      </c>
      <c r="Y85" s="95">
        <f>IF($D85="",0,SUMIFS(j_DrAmt,j_DrAcct,$D85,j_Per,12)-SUMIFS(j_CrAmt,j_CrAcct,$D85,j_Per,12)+IF($D85=acctTax,SUMIFS(j_TaxDr,j_Posted,1,j_Per,12)-SUMIFS(j_TaxCr,j_Posted,1,j_Per,12),0))</f>
        <v/>
      </c>
      <c r="Z85" s="95">
        <f>SUMPRODUCT(($N$5:$Y$5&lt;=RptIdx)*N85:Y85)</f>
        <v/>
      </c>
      <c r="AA85" s="95">
        <f>IF(AND(RptIdx&gt;=1,RptIdx&lt;=12),INDEX(N85:Y85,RptIdx),0)</f>
        <v/>
      </c>
      <c r="AB85" s="95">
        <f>IF($D85="",0,IF(RptIdx&gt;1,INDEX(N85:Y85,RptIdx-1),SUMIFS(j_DrAmt,j_DrAcct,$D85,j_Date,"&gt;="&amp;PrevStart,j_Date,"&lt;="&amp;PrevEnd)-SUMIFS(j_CrAmt,j_CrAcct,$D85,j_Date,"&gt;="&amp;PrevStart,j_Date,"&lt;="&amp;PrevEnd)+IF($D85=acctTax,SUMIFS(j_TaxDr,j_Posted,1,j_Date,"&gt;="&amp;PrevStart,j_Date,"&lt;="&amp;PrevEnd)-SUMIFS(j_TaxCr,j_Posted,1,j_Date,"&gt;="&amp;PrevStart,j_Date,"&lt;="&amp;PrevEnd),0)))</f>
        <v/>
      </c>
      <c r="AC85" s="95">
        <f>SUM(N85:Y85)</f>
        <v/>
      </c>
      <c r="AD85" s="95">
        <f>L85+M85+Z85</f>
        <v/>
      </c>
      <c r="AE85" s="95">
        <f>AD85-AA85</f>
        <v/>
      </c>
      <c r="AF85" s="58">
        <f>IF($D85="","",F85&amp;"|"&amp;COUNTIFS($F$7:F85,F85,$D$7:D85,"&lt;&gt;"))</f>
        <v/>
      </c>
      <c r="AG85" s="58">
        <f>IF(AND($D85&lt;&gt;"",H85="Cash"),"Cash|"&amp;COUNTIFS($H$7:H85,"Cash",$D$7:D85,"&lt;&gt;"),"")</f>
        <v/>
      </c>
      <c r="AH85" s="95">
        <f>IF(AND($D85&lt;&gt;"",OR(F85="Cost of Sales",F85="Operating Expense",F85="Other Expense"),Z85&gt;0),Z85+79/1000000,"")</f>
        <v/>
      </c>
      <c r="AI85" s="95">
        <f>L85+M85+SUM(N85:N85)</f>
        <v/>
      </c>
      <c r="AJ85" s="95">
        <f>L85+M85+SUM(N85:O85)</f>
        <v/>
      </c>
      <c r="AK85" s="95">
        <f>L85+M85+SUM(N85:P85)</f>
        <v/>
      </c>
      <c r="AL85" s="95">
        <f>L85+M85+SUM(N85:Q85)</f>
        <v/>
      </c>
      <c r="AM85" s="95">
        <f>L85+M85+SUM(N85:R85)</f>
        <v/>
      </c>
      <c r="AN85" s="95">
        <f>L85+M85+SUM(N85:S85)</f>
        <v/>
      </c>
      <c r="AO85" s="95">
        <f>L85+M85+SUM(N85:T85)</f>
        <v/>
      </c>
      <c r="AP85" s="95">
        <f>L85+M85+SUM(N85:U85)</f>
        <v/>
      </c>
      <c r="AQ85" s="95">
        <f>L85+M85+SUM(N85:V85)</f>
        <v/>
      </c>
      <c r="AR85" s="95">
        <f>L85+M85+SUM(N85:W85)</f>
        <v/>
      </c>
      <c r="AS85" s="95">
        <f>L85+M85+SUM(N85:X85)</f>
        <v/>
      </c>
      <c r="AT85" s="95">
        <f>L85+M85+SUM(N85:Y85)</f>
        <v/>
      </c>
    </row>
    <row r="86">
      <c r="B86" s="58" t="n">
        <v>80</v>
      </c>
      <c r="C86" s="58">
        <f>IFERROR(INDEX(coa_Name,80)&amp;"","")</f>
        <v/>
      </c>
      <c r="D86" s="58">
        <f>IF(C86="","",IF(COUNTIF($C$7:C86,C86)&gt;1,"",C86))</f>
        <v/>
      </c>
      <c r="E86" s="58">
        <f>IF($D86="","",INDEX(coa_Code,80))</f>
        <v/>
      </c>
      <c r="F86" s="58">
        <f>IF($D86="","",INDEX(coa_Type,80)&amp;"")</f>
        <v/>
      </c>
      <c r="G86" s="58">
        <f>IF($D86="","",INDEX(coa_Normal,80)&amp;"")</f>
        <v/>
      </c>
      <c r="H86" s="58">
        <f>IF($D86="","",IF(INDEX(coa_CF,80)&amp;""="","Operating",INDEX(coa_CF,80)&amp;""))</f>
        <v/>
      </c>
      <c r="I86" s="58">
        <f>IF($D86="","",IFERROR(INDEX(at_Stmt,MATCH(F86,at_Type,0)),""))</f>
        <v/>
      </c>
      <c r="J86" s="58">
        <f>IF($D86="",0,IFERROR(INDEX(at_Sign,MATCH(F86,at_Type,0)),0))</f>
        <v/>
      </c>
      <c r="K86" s="95">
        <f>IF($D86="",0,IF(G86="Credit",-1,1)*N(INDEX(coa_Open,80)))</f>
        <v/>
      </c>
      <c r="L86" s="95">
        <f>IF($D86="",0,IF($D86=acctOBE,K86-SUM($K$7:$K$156),K86))</f>
        <v/>
      </c>
      <c r="M86" s="95">
        <f>IF($D86="",0,SUMIFS(j_DrAmt,j_DrAcct,$D86,j_Per,0)-SUMIFS(j_CrAmt,j_CrAcct,$D86,j_Per,0)+IF($D86=acctTax,SUMIFS(j_TaxDr,j_Posted,1,j_Per,0)-SUMIFS(j_TaxCr,j_Posted,1,j_Per,0),0))</f>
        <v/>
      </c>
      <c r="N86" s="95">
        <f>IF($D86="",0,SUMIFS(j_DrAmt,j_DrAcct,$D86,j_Per,1)-SUMIFS(j_CrAmt,j_CrAcct,$D86,j_Per,1)+IF($D86=acctTax,SUMIFS(j_TaxDr,j_Posted,1,j_Per,1)-SUMIFS(j_TaxCr,j_Posted,1,j_Per,1),0))</f>
        <v/>
      </c>
      <c r="O86" s="95">
        <f>IF($D86="",0,SUMIFS(j_DrAmt,j_DrAcct,$D86,j_Per,2)-SUMIFS(j_CrAmt,j_CrAcct,$D86,j_Per,2)+IF($D86=acctTax,SUMIFS(j_TaxDr,j_Posted,1,j_Per,2)-SUMIFS(j_TaxCr,j_Posted,1,j_Per,2),0))</f>
        <v/>
      </c>
      <c r="P86" s="95">
        <f>IF($D86="",0,SUMIFS(j_DrAmt,j_DrAcct,$D86,j_Per,3)-SUMIFS(j_CrAmt,j_CrAcct,$D86,j_Per,3)+IF($D86=acctTax,SUMIFS(j_TaxDr,j_Posted,1,j_Per,3)-SUMIFS(j_TaxCr,j_Posted,1,j_Per,3),0))</f>
        <v/>
      </c>
      <c r="Q86" s="95">
        <f>IF($D86="",0,SUMIFS(j_DrAmt,j_DrAcct,$D86,j_Per,4)-SUMIFS(j_CrAmt,j_CrAcct,$D86,j_Per,4)+IF($D86=acctTax,SUMIFS(j_TaxDr,j_Posted,1,j_Per,4)-SUMIFS(j_TaxCr,j_Posted,1,j_Per,4),0))</f>
        <v/>
      </c>
      <c r="R86" s="95">
        <f>IF($D86="",0,SUMIFS(j_DrAmt,j_DrAcct,$D86,j_Per,5)-SUMIFS(j_CrAmt,j_CrAcct,$D86,j_Per,5)+IF($D86=acctTax,SUMIFS(j_TaxDr,j_Posted,1,j_Per,5)-SUMIFS(j_TaxCr,j_Posted,1,j_Per,5),0))</f>
        <v/>
      </c>
      <c r="S86" s="95">
        <f>IF($D86="",0,SUMIFS(j_DrAmt,j_DrAcct,$D86,j_Per,6)-SUMIFS(j_CrAmt,j_CrAcct,$D86,j_Per,6)+IF($D86=acctTax,SUMIFS(j_TaxDr,j_Posted,1,j_Per,6)-SUMIFS(j_TaxCr,j_Posted,1,j_Per,6),0))</f>
        <v/>
      </c>
      <c r="T86" s="95">
        <f>IF($D86="",0,SUMIFS(j_DrAmt,j_DrAcct,$D86,j_Per,7)-SUMIFS(j_CrAmt,j_CrAcct,$D86,j_Per,7)+IF($D86=acctTax,SUMIFS(j_TaxDr,j_Posted,1,j_Per,7)-SUMIFS(j_TaxCr,j_Posted,1,j_Per,7),0))</f>
        <v/>
      </c>
      <c r="U86" s="95">
        <f>IF($D86="",0,SUMIFS(j_DrAmt,j_DrAcct,$D86,j_Per,8)-SUMIFS(j_CrAmt,j_CrAcct,$D86,j_Per,8)+IF($D86=acctTax,SUMIFS(j_TaxDr,j_Posted,1,j_Per,8)-SUMIFS(j_TaxCr,j_Posted,1,j_Per,8),0))</f>
        <v/>
      </c>
      <c r="V86" s="95">
        <f>IF($D86="",0,SUMIFS(j_DrAmt,j_DrAcct,$D86,j_Per,9)-SUMIFS(j_CrAmt,j_CrAcct,$D86,j_Per,9)+IF($D86=acctTax,SUMIFS(j_TaxDr,j_Posted,1,j_Per,9)-SUMIFS(j_TaxCr,j_Posted,1,j_Per,9),0))</f>
        <v/>
      </c>
      <c r="W86" s="95">
        <f>IF($D86="",0,SUMIFS(j_DrAmt,j_DrAcct,$D86,j_Per,10)-SUMIFS(j_CrAmt,j_CrAcct,$D86,j_Per,10)+IF($D86=acctTax,SUMIFS(j_TaxDr,j_Posted,1,j_Per,10)-SUMIFS(j_TaxCr,j_Posted,1,j_Per,10),0))</f>
        <v/>
      </c>
      <c r="X86" s="95">
        <f>IF($D86="",0,SUMIFS(j_DrAmt,j_DrAcct,$D86,j_Per,11)-SUMIFS(j_CrAmt,j_CrAcct,$D86,j_Per,11)+IF($D86=acctTax,SUMIFS(j_TaxDr,j_Posted,1,j_Per,11)-SUMIFS(j_TaxCr,j_Posted,1,j_Per,11),0))</f>
        <v/>
      </c>
      <c r="Y86" s="95">
        <f>IF($D86="",0,SUMIFS(j_DrAmt,j_DrAcct,$D86,j_Per,12)-SUMIFS(j_CrAmt,j_CrAcct,$D86,j_Per,12)+IF($D86=acctTax,SUMIFS(j_TaxDr,j_Posted,1,j_Per,12)-SUMIFS(j_TaxCr,j_Posted,1,j_Per,12),0))</f>
        <v/>
      </c>
      <c r="Z86" s="95">
        <f>SUMPRODUCT(($N$5:$Y$5&lt;=RptIdx)*N86:Y86)</f>
        <v/>
      </c>
      <c r="AA86" s="95">
        <f>IF(AND(RptIdx&gt;=1,RptIdx&lt;=12),INDEX(N86:Y86,RptIdx),0)</f>
        <v/>
      </c>
      <c r="AB86" s="95">
        <f>IF($D86="",0,IF(RptIdx&gt;1,INDEX(N86:Y86,RptIdx-1),SUMIFS(j_DrAmt,j_DrAcct,$D86,j_Date,"&gt;="&amp;PrevStart,j_Date,"&lt;="&amp;PrevEnd)-SUMIFS(j_CrAmt,j_CrAcct,$D86,j_Date,"&gt;="&amp;PrevStart,j_Date,"&lt;="&amp;PrevEnd)+IF($D86=acctTax,SUMIFS(j_TaxDr,j_Posted,1,j_Date,"&gt;="&amp;PrevStart,j_Date,"&lt;="&amp;PrevEnd)-SUMIFS(j_TaxCr,j_Posted,1,j_Date,"&gt;="&amp;PrevStart,j_Date,"&lt;="&amp;PrevEnd),0)))</f>
        <v/>
      </c>
      <c r="AC86" s="95">
        <f>SUM(N86:Y86)</f>
        <v/>
      </c>
      <c r="AD86" s="95">
        <f>L86+M86+Z86</f>
        <v/>
      </c>
      <c r="AE86" s="95">
        <f>AD86-AA86</f>
        <v/>
      </c>
      <c r="AF86" s="58">
        <f>IF($D86="","",F86&amp;"|"&amp;COUNTIFS($F$7:F86,F86,$D$7:D86,"&lt;&gt;"))</f>
        <v/>
      </c>
      <c r="AG86" s="58">
        <f>IF(AND($D86&lt;&gt;"",H86="Cash"),"Cash|"&amp;COUNTIFS($H$7:H86,"Cash",$D$7:D86,"&lt;&gt;"),"")</f>
        <v/>
      </c>
      <c r="AH86" s="95">
        <f>IF(AND($D86&lt;&gt;"",OR(F86="Cost of Sales",F86="Operating Expense",F86="Other Expense"),Z86&gt;0),Z86+80/1000000,"")</f>
        <v/>
      </c>
      <c r="AI86" s="95">
        <f>L86+M86+SUM(N86:N86)</f>
        <v/>
      </c>
      <c r="AJ86" s="95">
        <f>L86+M86+SUM(N86:O86)</f>
        <v/>
      </c>
      <c r="AK86" s="95">
        <f>L86+M86+SUM(N86:P86)</f>
        <v/>
      </c>
      <c r="AL86" s="95">
        <f>L86+M86+SUM(N86:Q86)</f>
        <v/>
      </c>
      <c r="AM86" s="95">
        <f>L86+M86+SUM(N86:R86)</f>
        <v/>
      </c>
      <c r="AN86" s="95">
        <f>L86+M86+SUM(N86:S86)</f>
        <v/>
      </c>
      <c r="AO86" s="95">
        <f>L86+M86+SUM(N86:T86)</f>
        <v/>
      </c>
      <c r="AP86" s="95">
        <f>L86+M86+SUM(N86:U86)</f>
        <v/>
      </c>
      <c r="AQ86" s="95">
        <f>L86+M86+SUM(N86:V86)</f>
        <v/>
      </c>
      <c r="AR86" s="95">
        <f>L86+M86+SUM(N86:W86)</f>
        <v/>
      </c>
      <c r="AS86" s="95">
        <f>L86+M86+SUM(N86:X86)</f>
        <v/>
      </c>
      <c r="AT86" s="95">
        <f>L86+M86+SUM(N86:Y86)</f>
        <v/>
      </c>
    </row>
    <row r="87">
      <c r="B87" s="58" t="n">
        <v>81</v>
      </c>
      <c r="C87" s="58">
        <f>IFERROR(INDEX(coa_Name,81)&amp;"","")</f>
        <v/>
      </c>
      <c r="D87" s="58">
        <f>IF(C87="","",IF(COUNTIF($C$7:C87,C87)&gt;1,"",C87))</f>
        <v/>
      </c>
      <c r="E87" s="58">
        <f>IF($D87="","",INDEX(coa_Code,81))</f>
        <v/>
      </c>
      <c r="F87" s="58">
        <f>IF($D87="","",INDEX(coa_Type,81)&amp;"")</f>
        <v/>
      </c>
      <c r="G87" s="58">
        <f>IF($D87="","",INDEX(coa_Normal,81)&amp;"")</f>
        <v/>
      </c>
      <c r="H87" s="58">
        <f>IF($D87="","",IF(INDEX(coa_CF,81)&amp;""="","Operating",INDEX(coa_CF,81)&amp;""))</f>
        <v/>
      </c>
      <c r="I87" s="58">
        <f>IF($D87="","",IFERROR(INDEX(at_Stmt,MATCH(F87,at_Type,0)),""))</f>
        <v/>
      </c>
      <c r="J87" s="58">
        <f>IF($D87="",0,IFERROR(INDEX(at_Sign,MATCH(F87,at_Type,0)),0))</f>
        <v/>
      </c>
      <c r="K87" s="95">
        <f>IF($D87="",0,IF(G87="Credit",-1,1)*N(INDEX(coa_Open,81)))</f>
        <v/>
      </c>
      <c r="L87" s="95">
        <f>IF($D87="",0,IF($D87=acctOBE,K87-SUM($K$7:$K$156),K87))</f>
        <v/>
      </c>
      <c r="M87" s="95">
        <f>IF($D87="",0,SUMIFS(j_DrAmt,j_DrAcct,$D87,j_Per,0)-SUMIFS(j_CrAmt,j_CrAcct,$D87,j_Per,0)+IF($D87=acctTax,SUMIFS(j_TaxDr,j_Posted,1,j_Per,0)-SUMIFS(j_TaxCr,j_Posted,1,j_Per,0),0))</f>
        <v/>
      </c>
      <c r="N87" s="95">
        <f>IF($D87="",0,SUMIFS(j_DrAmt,j_DrAcct,$D87,j_Per,1)-SUMIFS(j_CrAmt,j_CrAcct,$D87,j_Per,1)+IF($D87=acctTax,SUMIFS(j_TaxDr,j_Posted,1,j_Per,1)-SUMIFS(j_TaxCr,j_Posted,1,j_Per,1),0))</f>
        <v/>
      </c>
      <c r="O87" s="95">
        <f>IF($D87="",0,SUMIFS(j_DrAmt,j_DrAcct,$D87,j_Per,2)-SUMIFS(j_CrAmt,j_CrAcct,$D87,j_Per,2)+IF($D87=acctTax,SUMIFS(j_TaxDr,j_Posted,1,j_Per,2)-SUMIFS(j_TaxCr,j_Posted,1,j_Per,2),0))</f>
        <v/>
      </c>
      <c r="P87" s="95">
        <f>IF($D87="",0,SUMIFS(j_DrAmt,j_DrAcct,$D87,j_Per,3)-SUMIFS(j_CrAmt,j_CrAcct,$D87,j_Per,3)+IF($D87=acctTax,SUMIFS(j_TaxDr,j_Posted,1,j_Per,3)-SUMIFS(j_TaxCr,j_Posted,1,j_Per,3),0))</f>
        <v/>
      </c>
      <c r="Q87" s="95">
        <f>IF($D87="",0,SUMIFS(j_DrAmt,j_DrAcct,$D87,j_Per,4)-SUMIFS(j_CrAmt,j_CrAcct,$D87,j_Per,4)+IF($D87=acctTax,SUMIFS(j_TaxDr,j_Posted,1,j_Per,4)-SUMIFS(j_TaxCr,j_Posted,1,j_Per,4),0))</f>
        <v/>
      </c>
      <c r="R87" s="95">
        <f>IF($D87="",0,SUMIFS(j_DrAmt,j_DrAcct,$D87,j_Per,5)-SUMIFS(j_CrAmt,j_CrAcct,$D87,j_Per,5)+IF($D87=acctTax,SUMIFS(j_TaxDr,j_Posted,1,j_Per,5)-SUMIFS(j_TaxCr,j_Posted,1,j_Per,5),0))</f>
        <v/>
      </c>
      <c r="S87" s="95">
        <f>IF($D87="",0,SUMIFS(j_DrAmt,j_DrAcct,$D87,j_Per,6)-SUMIFS(j_CrAmt,j_CrAcct,$D87,j_Per,6)+IF($D87=acctTax,SUMIFS(j_TaxDr,j_Posted,1,j_Per,6)-SUMIFS(j_TaxCr,j_Posted,1,j_Per,6),0))</f>
        <v/>
      </c>
      <c r="T87" s="95">
        <f>IF($D87="",0,SUMIFS(j_DrAmt,j_DrAcct,$D87,j_Per,7)-SUMIFS(j_CrAmt,j_CrAcct,$D87,j_Per,7)+IF($D87=acctTax,SUMIFS(j_TaxDr,j_Posted,1,j_Per,7)-SUMIFS(j_TaxCr,j_Posted,1,j_Per,7),0))</f>
        <v/>
      </c>
      <c r="U87" s="95">
        <f>IF($D87="",0,SUMIFS(j_DrAmt,j_DrAcct,$D87,j_Per,8)-SUMIFS(j_CrAmt,j_CrAcct,$D87,j_Per,8)+IF($D87=acctTax,SUMIFS(j_TaxDr,j_Posted,1,j_Per,8)-SUMIFS(j_TaxCr,j_Posted,1,j_Per,8),0))</f>
        <v/>
      </c>
      <c r="V87" s="95">
        <f>IF($D87="",0,SUMIFS(j_DrAmt,j_DrAcct,$D87,j_Per,9)-SUMIFS(j_CrAmt,j_CrAcct,$D87,j_Per,9)+IF($D87=acctTax,SUMIFS(j_TaxDr,j_Posted,1,j_Per,9)-SUMIFS(j_TaxCr,j_Posted,1,j_Per,9),0))</f>
        <v/>
      </c>
      <c r="W87" s="95">
        <f>IF($D87="",0,SUMIFS(j_DrAmt,j_DrAcct,$D87,j_Per,10)-SUMIFS(j_CrAmt,j_CrAcct,$D87,j_Per,10)+IF($D87=acctTax,SUMIFS(j_TaxDr,j_Posted,1,j_Per,10)-SUMIFS(j_TaxCr,j_Posted,1,j_Per,10),0))</f>
        <v/>
      </c>
      <c r="X87" s="95">
        <f>IF($D87="",0,SUMIFS(j_DrAmt,j_DrAcct,$D87,j_Per,11)-SUMIFS(j_CrAmt,j_CrAcct,$D87,j_Per,11)+IF($D87=acctTax,SUMIFS(j_TaxDr,j_Posted,1,j_Per,11)-SUMIFS(j_TaxCr,j_Posted,1,j_Per,11),0))</f>
        <v/>
      </c>
      <c r="Y87" s="95">
        <f>IF($D87="",0,SUMIFS(j_DrAmt,j_DrAcct,$D87,j_Per,12)-SUMIFS(j_CrAmt,j_CrAcct,$D87,j_Per,12)+IF($D87=acctTax,SUMIFS(j_TaxDr,j_Posted,1,j_Per,12)-SUMIFS(j_TaxCr,j_Posted,1,j_Per,12),0))</f>
        <v/>
      </c>
      <c r="Z87" s="95">
        <f>SUMPRODUCT(($N$5:$Y$5&lt;=RptIdx)*N87:Y87)</f>
        <v/>
      </c>
      <c r="AA87" s="95">
        <f>IF(AND(RptIdx&gt;=1,RptIdx&lt;=12),INDEX(N87:Y87,RptIdx),0)</f>
        <v/>
      </c>
      <c r="AB87" s="95">
        <f>IF($D87="",0,IF(RptIdx&gt;1,INDEX(N87:Y87,RptIdx-1),SUMIFS(j_DrAmt,j_DrAcct,$D87,j_Date,"&gt;="&amp;PrevStart,j_Date,"&lt;="&amp;PrevEnd)-SUMIFS(j_CrAmt,j_CrAcct,$D87,j_Date,"&gt;="&amp;PrevStart,j_Date,"&lt;="&amp;PrevEnd)+IF($D87=acctTax,SUMIFS(j_TaxDr,j_Posted,1,j_Date,"&gt;="&amp;PrevStart,j_Date,"&lt;="&amp;PrevEnd)-SUMIFS(j_TaxCr,j_Posted,1,j_Date,"&gt;="&amp;PrevStart,j_Date,"&lt;="&amp;PrevEnd),0)))</f>
        <v/>
      </c>
      <c r="AC87" s="95">
        <f>SUM(N87:Y87)</f>
        <v/>
      </c>
      <c r="AD87" s="95">
        <f>L87+M87+Z87</f>
        <v/>
      </c>
      <c r="AE87" s="95">
        <f>AD87-AA87</f>
        <v/>
      </c>
      <c r="AF87" s="58">
        <f>IF($D87="","",F87&amp;"|"&amp;COUNTIFS($F$7:F87,F87,$D$7:D87,"&lt;&gt;"))</f>
        <v/>
      </c>
      <c r="AG87" s="58">
        <f>IF(AND($D87&lt;&gt;"",H87="Cash"),"Cash|"&amp;COUNTIFS($H$7:H87,"Cash",$D$7:D87,"&lt;&gt;"),"")</f>
        <v/>
      </c>
      <c r="AH87" s="95">
        <f>IF(AND($D87&lt;&gt;"",OR(F87="Cost of Sales",F87="Operating Expense",F87="Other Expense"),Z87&gt;0),Z87+81/1000000,"")</f>
        <v/>
      </c>
      <c r="AI87" s="95">
        <f>L87+M87+SUM(N87:N87)</f>
        <v/>
      </c>
      <c r="AJ87" s="95">
        <f>L87+M87+SUM(N87:O87)</f>
        <v/>
      </c>
      <c r="AK87" s="95">
        <f>L87+M87+SUM(N87:P87)</f>
        <v/>
      </c>
      <c r="AL87" s="95">
        <f>L87+M87+SUM(N87:Q87)</f>
        <v/>
      </c>
      <c r="AM87" s="95">
        <f>L87+M87+SUM(N87:R87)</f>
        <v/>
      </c>
      <c r="AN87" s="95">
        <f>L87+M87+SUM(N87:S87)</f>
        <v/>
      </c>
      <c r="AO87" s="95">
        <f>L87+M87+SUM(N87:T87)</f>
        <v/>
      </c>
      <c r="AP87" s="95">
        <f>L87+M87+SUM(N87:U87)</f>
        <v/>
      </c>
      <c r="AQ87" s="95">
        <f>L87+M87+SUM(N87:V87)</f>
        <v/>
      </c>
      <c r="AR87" s="95">
        <f>L87+M87+SUM(N87:W87)</f>
        <v/>
      </c>
      <c r="AS87" s="95">
        <f>L87+M87+SUM(N87:X87)</f>
        <v/>
      </c>
      <c r="AT87" s="95">
        <f>L87+M87+SUM(N87:Y87)</f>
        <v/>
      </c>
    </row>
    <row r="88">
      <c r="B88" s="58" t="n">
        <v>82</v>
      </c>
      <c r="C88" s="58">
        <f>IFERROR(INDEX(coa_Name,82)&amp;"","")</f>
        <v/>
      </c>
      <c r="D88" s="58">
        <f>IF(C88="","",IF(COUNTIF($C$7:C88,C88)&gt;1,"",C88))</f>
        <v/>
      </c>
      <c r="E88" s="58">
        <f>IF($D88="","",INDEX(coa_Code,82))</f>
        <v/>
      </c>
      <c r="F88" s="58">
        <f>IF($D88="","",INDEX(coa_Type,82)&amp;"")</f>
        <v/>
      </c>
      <c r="G88" s="58">
        <f>IF($D88="","",INDEX(coa_Normal,82)&amp;"")</f>
        <v/>
      </c>
      <c r="H88" s="58">
        <f>IF($D88="","",IF(INDEX(coa_CF,82)&amp;""="","Operating",INDEX(coa_CF,82)&amp;""))</f>
        <v/>
      </c>
      <c r="I88" s="58">
        <f>IF($D88="","",IFERROR(INDEX(at_Stmt,MATCH(F88,at_Type,0)),""))</f>
        <v/>
      </c>
      <c r="J88" s="58">
        <f>IF($D88="",0,IFERROR(INDEX(at_Sign,MATCH(F88,at_Type,0)),0))</f>
        <v/>
      </c>
      <c r="K88" s="95">
        <f>IF($D88="",0,IF(G88="Credit",-1,1)*N(INDEX(coa_Open,82)))</f>
        <v/>
      </c>
      <c r="L88" s="95">
        <f>IF($D88="",0,IF($D88=acctOBE,K88-SUM($K$7:$K$156),K88))</f>
        <v/>
      </c>
      <c r="M88" s="95">
        <f>IF($D88="",0,SUMIFS(j_DrAmt,j_DrAcct,$D88,j_Per,0)-SUMIFS(j_CrAmt,j_CrAcct,$D88,j_Per,0)+IF($D88=acctTax,SUMIFS(j_TaxDr,j_Posted,1,j_Per,0)-SUMIFS(j_TaxCr,j_Posted,1,j_Per,0),0))</f>
        <v/>
      </c>
      <c r="N88" s="95">
        <f>IF($D88="",0,SUMIFS(j_DrAmt,j_DrAcct,$D88,j_Per,1)-SUMIFS(j_CrAmt,j_CrAcct,$D88,j_Per,1)+IF($D88=acctTax,SUMIFS(j_TaxDr,j_Posted,1,j_Per,1)-SUMIFS(j_TaxCr,j_Posted,1,j_Per,1),0))</f>
        <v/>
      </c>
      <c r="O88" s="95">
        <f>IF($D88="",0,SUMIFS(j_DrAmt,j_DrAcct,$D88,j_Per,2)-SUMIFS(j_CrAmt,j_CrAcct,$D88,j_Per,2)+IF($D88=acctTax,SUMIFS(j_TaxDr,j_Posted,1,j_Per,2)-SUMIFS(j_TaxCr,j_Posted,1,j_Per,2),0))</f>
        <v/>
      </c>
      <c r="P88" s="95">
        <f>IF($D88="",0,SUMIFS(j_DrAmt,j_DrAcct,$D88,j_Per,3)-SUMIFS(j_CrAmt,j_CrAcct,$D88,j_Per,3)+IF($D88=acctTax,SUMIFS(j_TaxDr,j_Posted,1,j_Per,3)-SUMIFS(j_TaxCr,j_Posted,1,j_Per,3),0))</f>
        <v/>
      </c>
      <c r="Q88" s="95">
        <f>IF($D88="",0,SUMIFS(j_DrAmt,j_DrAcct,$D88,j_Per,4)-SUMIFS(j_CrAmt,j_CrAcct,$D88,j_Per,4)+IF($D88=acctTax,SUMIFS(j_TaxDr,j_Posted,1,j_Per,4)-SUMIFS(j_TaxCr,j_Posted,1,j_Per,4),0))</f>
        <v/>
      </c>
      <c r="R88" s="95">
        <f>IF($D88="",0,SUMIFS(j_DrAmt,j_DrAcct,$D88,j_Per,5)-SUMIFS(j_CrAmt,j_CrAcct,$D88,j_Per,5)+IF($D88=acctTax,SUMIFS(j_TaxDr,j_Posted,1,j_Per,5)-SUMIFS(j_TaxCr,j_Posted,1,j_Per,5),0))</f>
        <v/>
      </c>
      <c r="S88" s="95">
        <f>IF($D88="",0,SUMIFS(j_DrAmt,j_DrAcct,$D88,j_Per,6)-SUMIFS(j_CrAmt,j_CrAcct,$D88,j_Per,6)+IF($D88=acctTax,SUMIFS(j_TaxDr,j_Posted,1,j_Per,6)-SUMIFS(j_TaxCr,j_Posted,1,j_Per,6),0))</f>
        <v/>
      </c>
      <c r="T88" s="95">
        <f>IF($D88="",0,SUMIFS(j_DrAmt,j_DrAcct,$D88,j_Per,7)-SUMIFS(j_CrAmt,j_CrAcct,$D88,j_Per,7)+IF($D88=acctTax,SUMIFS(j_TaxDr,j_Posted,1,j_Per,7)-SUMIFS(j_TaxCr,j_Posted,1,j_Per,7),0))</f>
        <v/>
      </c>
      <c r="U88" s="95">
        <f>IF($D88="",0,SUMIFS(j_DrAmt,j_DrAcct,$D88,j_Per,8)-SUMIFS(j_CrAmt,j_CrAcct,$D88,j_Per,8)+IF($D88=acctTax,SUMIFS(j_TaxDr,j_Posted,1,j_Per,8)-SUMIFS(j_TaxCr,j_Posted,1,j_Per,8),0))</f>
        <v/>
      </c>
      <c r="V88" s="95">
        <f>IF($D88="",0,SUMIFS(j_DrAmt,j_DrAcct,$D88,j_Per,9)-SUMIFS(j_CrAmt,j_CrAcct,$D88,j_Per,9)+IF($D88=acctTax,SUMIFS(j_TaxDr,j_Posted,1,j_Per,9)-SUMIFS(j_TaxCr,j_Posted,1,j_Per,9),0))</f>
        <v/>
      </c>
      <c r="W88" s="95">
        <f>IF($D88="",0,SUMIFS(j_DrAmt,j_DrAcct,$D88,j_Per,10)-SUMIFS(j_CrAmt,j_CrAcct,$D88,j_Per,10)+IF($D88=acctTax,SUMIFS(j_TaxDr,j_Posted,1,j_Per,10)-SUMIFS(j_TaxCr,j_Posted,1,j_Per,10),0))</f>
        <v/>
      </c>
      <c r="X88" s="95">
        <f>IF($D88="",0,SUMIFS(j_DrAmt,j_DrAcct,$D88,j_Per,11)-SUMIFS(j_CrAmt,j_CrAcct,$D88,j_Per,11)+IF($D88=acctTax,SUMIFS(j_TaxDr,j_Posted,1,j_Per,11)-SUMIFS(j_TaxCr,j_Posted,1,j_Per,11),0))</f>
        <v/>
      </c>
      <c r="Y88" s="95">
        <f>IF($D88="",0,SUMIFS(j_DrAmt,j_DrAcct,$D88,j_Per,12)-SUMIFS(j_CrAmt,j_CrAcct,$D88,j_Per,12)+IF($D88=acctTax,SUMIFS(j_TaxDr,j_Posted,1,j_Per,12)-SUMIFS(j_TaxCr,j_Posted,1,j_Per,12),0))</f>
        <v/>
      </c>
      <c r="Z88" s="95">
        <f>SUMPRODUCT(($N$5:$Y$5&lt;=RptIdx)*N88:Y88)</f>
        <v/>
      </c>
      <c r="AA88" s="95">
        <f>IF(AND(RptIdx&gt;=1,RptIdx&lt;=12),INDEX(N88:Y88,RptIdx),0)</f>
        <v/>
      </c>
      <c r="AB88" s="95">
        <f>IF($D88="",0,IF(RptIdx&gt;1,INDEX(N88:Y88,RptIdx-1),SUMIFS(j_DrAmt,j_DrAcct,$D88,j_Date,"&gt;="&amp;PrevStart,j_Date,"&lt;="&amp;PrevEnd)-SUMIFS(j_CrAmt,j_CrAcct,$D88,j_Date,"&gt;="&amp;PrevStart,j_Date,"&lt;="&amp;PrevEnd)+IF($D88=acctTax,SUMIFS(j_TaxDr,j_Posted,1,j_Date,"&gt;="&amp;PrevStart,j_Date,"&lt;="&amp;PrevEnd)-SUMIFS(j_TaxCr,j_Posted,1,j_Date,"&gt;="&amp;PrevStart,j_Date,"&lt;="&amp;PrevEnd),0)))</f>
        <v/>
      </c>
      <c r="AC88" s="95">
        <f>SUM(N88:Y88)</f>
        <v/>
      </c>
      <c r="AD88" s="95">
        <f>L88+M88+Z88</f>
        <v/>
      </c>
      <c r="AE88" s="95">
        <f>AD88-AA88</f>
        <v/>
      </c>
      <c r="AF88" s="58">
        <f>IF($D88="","",F88&amp;"|"&amp;COUNTIFS($F$7:F88,F88,$D$7:D88,"&lt;&gt;"))</f>
        <v/>
      </c>
      <c r="AG88" s="58">
        <f>IF(AND($D88&lt;&gt;"",H88="Cash"),"Cash|"&amp;COUNTIFS($H$7:H88,"Cash",$D$7:D88,"&lt;&gt;"),"")</f>
        <v/>
      </c>
      <c r="AH88" s="95">
        <f>IF(AND($D88&lt;&gt;"",OR(F88="Cost of Sales",F88="Operating Expense",F88="Other Expense"),Z88&gt;0),Z88+82/1000000,"")</f>
        <v/>
      </c>
      <c r="AI88" s="95">
        <f>L88+M88+SUM(N88:N88)</f>
        <v/>
      </c>
      <c r="AJ88" s="95">
        <f>L88+M88+SUM(N88:O88)</f>
        <v/>
      </c>
      <c r="AK88" s="95">
        <f>L88+M88+SUM(N88:P88)</f>
        <v/>
      </c>
      <c r="AL88" s="95">
        <f>L88+M88+SUM(N88:Q88)</f>
        <v/>
      </c>
      <c r="AM88" s="95">
        <f>L88+M88+SUM(N88:R88)</f>
        <v/>
      </c>
      <c r="AN88" s="95">
        <f>L88+M88+SUM(N88:S88)</f>
        <v/>
      </c>
      <c r="AO88" s="95">
        <f>L88+M88+SUM(N88:T88)</f>
        <v/>
      </c>
      <c r="AP88" s="95">
        <f>L88+M88+SUM(N88:U88)</f>
        <v/>
      </c>
      <c r="AQ88" s="95">
        <f>L88+M88+SUM(N88:V88)</f>
        <v/>
      </c>
      <c r="AR88" s="95">
        <f>L88+M88+SUM(N88:W88)</f>
        <v/>
      </c>
      <c r="AS88" s="95">
        <f>L88+M88+SUM(N88:X88)</f>
        <v/>
      </c>
      <c r="AT88" s="95">
        <f>L88+M88+SUM(N88:Y88)</f>
        <v/>
      </c>
    </row>
    <row r="89">
      <c r="B89" s="58" t="n">
        <v>83</v>
      </c>
      <c r="C89" s="58">
        <f>IFERROR(INDEX(coa_Name,83)&amp;"","")</f>
        <v/>
      </c>
      <c r="D89" s="58">
        <f>IF(C89="","",IF(COUNTIF($C$7:C89,C89)&gt;1,"",C89))</f>
        <v/>
      </c>
      <c r="E89" s="58">
        <f>IF($D89="","",INDEX(coa_Code,83))</f>
        <v/>
      </c>
      <c r="F89" s="58">
        <f>IF($D89="","",INDEX(coa_Type,83)&amp;"")</f>
        <v/>
      </c>
      <c r="G89" s="58">
        <f>IF($D89="","",INDEX(coa_Normal,83)&amp;"")</f>
        <v/>
      </c>
      <c r="H89" s="58">
        <f>IF($D89="","",IF(INDEX(coa_CF,83)&amp;""="","Operating",INDEX(coa_CF,83)&amp;""))</f>
        <v/>
      </c>
      <c r="I89" s="58">
        <f>IF($D89="","",IFERROR(INDEX(at_Stmt,MATCH(F89,at_Type,0)),""))</f>
        <v/>
      </c>
      <c r="J89" s="58">
        <f>IF($D89="",0,IFERROR(INDEX(at_Sign,MATCH(F89,at_Type,0)),0))</f>
        <v/>
      </c>
      <c r="K89" s="95">
        <f>IF($D89="",0,IF(G89="Credit",-1,1)*N(INDEX(coa_Open,83)))</f>
        <v/>
      </c>
      <c r="L89" s="95">
        <f>IF($D89="",0,IF($D89=acctOBE,K89-SUM($K$7:$K$156),K89))</f>
        <v/>
      </c>
      <c r="M89" s="95">
        <f>IF($D89="",0,SUMIFS(j_DrAmt,j_DrAcct,$D89,j_Per,0)-SUMIFS(j_CrAmt,j_CrAcct,$D89,j_Per,0)+IF($D89=acctTax,SUMIFS(j_TaxDr,j_Posted,1,j_Per,0)-SUMIFS(j_TaxCr,j_Posted,1,j_Per,0),0))</f>
        <v/>
      </c>
      <c r="N89" s="95">
        <f>IF($D89="",0,SUMIFS(j_DrAmt,j_DrAcct,$D89,j_Per,1)-SUMIFS(j_CrAmt,j_CrAcct,$D89,j_Per,1)+IF($D89=acctTax,SUMIFS(j_TaxDr,j_Posted,1,j_Per,1)-SUMIFS(j_TaxCr,j_Posted,1,j_Per,1),0))</f>
        <v/>
      </c>
      <c r="O89" s="95">
        <f>IF($D89="",0,SUMIFS(j_DrAmt,j_DrAcct,$D89,j_Per,2)-SUMIFS(j_CrAmt,j_CrAcct,$D89,j_Per,2)+IF($D89=acctTax,SUMIFS(j_TaxDr,j_Posted,1,j_Per,2)-SUMIFS(j_TaxCr,j_Posted,1,j_Per,2),0))</f>
        <v/>
      </c>
      <c r="P89" s="95">
        <f>IF($D89="",0,SUMIFS(j_DrAmt,j_DrAcct,$D89,j_Per,3)-SUMIFS(j_CrAmt,j_CrAcct,$D89,j_Per,3)+IF($D89=acctTax,SUMIFS(j_TaxDr,j_Posted,1,j_Per,3)-SUMIFS(j_TaxCr,j_Posted,1,j_Per,3),0))</f>
        <v/>
      </c>
      <c r="Q89" s="95">
        <f>IF($D89="",0,SUMIFS(j_DrAmt,j_DrAcct,$D89,j_Per,4)-SUMIFS(j_CrAmt,j_CrAcct,$D89,j_Per,4)+IF($D89=acctTax,SUMIFS(j_TaxDr,j_Posted,1,j_Per,4)-SUMIFS(j_TaxCr,j_Posted,1,j_Per,4),0))</f>
        <v/>
      </c>
      <c r="R89" s="95">
        <f>IF($D89="",0,SUMIFS(j_DrAmt,j_DrAcct,$D89,j_Per,5)-SUMIFS(j_CrAmt,j_CrAcct,$D89,j_Per,5)+IF($D89=acctTax,SUMIFS(j_TaxDr,j_Posted,1,j_Per,5)-SUMIFS(j_TaxCr,j_Posted,1,j_Per,5),0))</f>
        <v/>
      </c>
      <c r="S89" s="95">
        <f>IF($D89="",0,SUMIFS(j_DrAmt,j_DrAcct,$D89,j_Per,6)-SUMIFS(j_CrAmt,j_CrAcct,$D89,j_Per,6)+IF($D89=acctTax,SUMIFS(j_TaxDr,j_Posted,1,j_Per,6)-SUMIFS(j_TaxCr,j_Posted,1,j_Per,6),0))</f>
        <v/>
      </c>
      <c r="T89" s="95">
        <f>IF($D89="",0,SUMIFS(j_DrAmt,j_DrAcct,$D89,j_Per,7)-SUMIFS(j_CrAmt,j_CrAcct,$D89,j_Per,7)+IF($D89=acctTax,SUMIFS(j_TaxDr,j_Posted,1,j_Per,7)-SUMIFS(j_TaxCr,j_Posted,1,j_Per,7),0))</f>
        <v/>
      </c>
      <c r="U89" s="95">
        <f>IF($D89="",0,SUMIFS(j_DrAmt,j_DrAcct,$D89,j_Per,8)-SUMIFS(j_CrAmt,j_CrAcct,$D89,j_Per,8)+IF($D89=acctTax,SUMIFS(j_TaxDr,j_Posted,1,j_Per,8)-SUMIFS(j_TaxCr,j_Posted,1,j_Per,8),0))</f>
        <v/>
      </c>
      <c r="V89" s="95">
        <f>IF($D89="",0,SUMIFS(j_DrAmt,j_DrAcct,$D89,j_Per,9)-SUMIFS(j_CrAmt,j_CrAcct,$D89,j_Per,9)+IF($D89=acctTax,SUMIFS(j_TaxDr,j_Posted,1,j_Per,9)-SUMIFS(j_TaxCr,j_Posted,1,j_Per,9),0))</f>
        <v/>
      </c>
      <c r="W89" s="95">
        <f>IF($D89="",0,SUMIFS(j_DrAmt,j_DrAcct,$D89,j_Per,10)-SUMIFS(j_CrAmt,j_CrAcct,$D89,j_Per,10)+IF($D89=acctTax,SUMIFS(j_TaxDr,j_Posted,1,j_Per,10)-SUMIFS(j_TaxCr,j_Posted,1,j_Per,10),0))</f>
        <v/>
      </c>
      <c r="X89" s="95">
        <f>IF($D89="",0,SUMIFS(j_DrAmt,j_DrAcct,$D89,j_Per,11)-SUMIFS(j_CrAmt,j_CrAcct,$D89,j_Per,11)+IF($D89=acctTax,SUMIFS(j_TaxDr,j_Posted,1,j_Per,11)-SUMIFS(j_TaxCr,j_Posted,1,j_Per,11),0))</f>
        <v/>
      </c>
      <c r="Y89" s="95">
        <f>IF($D89="",0,SUMIFS(j_DrAmt,j_DrAcct,$D89,j_Per,12)-SUMIFS(j_CrAmt,j_CrAcct,$D89,j_Per,12)+IF($D89=acctTax,SUMIFS(j_TaxDr,j_Posted,1,j_Per,12)-SUMIFS(j_TaxCr,j_Posted,1,j_Per,12),0))</f>
        <v/>
      </c>
      <c r="Z89" s="95">
        <f>SUMPRODUCT(($N$5:$Y$5&lt;=RptIdx)*N89:Y89)</f>
        <v/>
      </c>
      <c r="AA89" s="95">
        <f>IF(AND(RptIdx&gt;=1,RptIdx&lt;=12),INDEX(N89:Y89,RptIdx),0)</f>
        <v/>
      </c>
      <c r="AB89" s="95">
        <f>IF($D89="",0,IF(RptIdx&gt;1,INDEX(N89:Y89,RptIdx-1),SUMIFS(j_DrAmt,j_DrAcct,$D89,j_Date,"&gt;="&amp;PrevStart,j_Date,"&lt;="&amp;PrevEnd)-SUMIFS(j_CrAmt,j_CrAcct,$D89,j_Date,"&gt;="&amp;PrevStart,j_Date,"&lt;="&amp;PrevEnd)+IF($D89=acctTax,SUMIFS(j_TaxDr,j_Posted,1,j_Date,"&gt;="&amp;PrevStart,j_Date,"&lt;="&amp;PrevEnd)-SUMIFS(j_TaxCr,j_Posted,1,j_Date,"&gt;="&amp;PrevStart,j_Date,"&lt;="&amp;PrevEnd),0)))</f>
        <v/>
      </c>
      <c r="AC89" s="95">
        <f>SUM(N89:Y89)</f>
        <v/>
      </c>
      <c r="AD89" s="95">
        <f>L89+M89+Z89</f>
        <v/>
      </c>
      <c r="AE89" s="95">
        <f>AD89-AA89</f>
        <v/>
      </c>
      <c r="AF89" s="58">
        <f>IF($D89="","",F89&amp;"|"&amp;COUNTIFS($F$7:F89,F89,$D$7:D89,"&lt;&gt;"))</f>
        <v/>
      </c>
      <c r="AG89" s="58">
        <f>IF(AND($D89&lt;&gt;"",H89="Cash"),"Cash|"&amp;COUNTIFS($H$7:H89,"Cash",$D$7:D89,"&lt;&gt;"),"")</f>
        <v/>
      </c>
      <c r="AH89" s="95">
        <f>IF(AND($D89&lt;&gt;"",OR(F89="Cost of Sales",F89="Operating Expense",F89="Other Expense"),Z89&gt;0),Z89+83/1000000,"")</f>
        <v/>
      </c>
      <c r="AI89" s="95">
        <f>L89+M89+SUM(N89:N89)</f>
        <v/>
      </c>
      <c r="AJ89" s="95">
        <f>L89+M89+SUM(N89:O89)</f>
        <v/>
      </c>
      <c r="AK89" s="95">
        <f>L89+M89+SUM(N89:P89)</f>
        <v/>
      </c>
      <c r="AL89" s="95">
        <f>L89+M89+SUM(N89:Q89)</f>
        <v/>
      </c>
      <c r="AM89" s="95">
        <f>L89+M89+SUM(N89:R89)</f>
        <v/>
      </c>
      <c r="AN89" s="95">
        <f>L89+M89+SUM(N89:S89)</f>
        <v/>
      </c>
      <c r="AO89" s="95">
        <f>L89+M89+SUM(N89:T89)</f>
        <v/>
      </c>
      <c r="AP89" s="95">
        <f>L89+M89+SUM(N89:U89)</f>
        <v/>
      </c>
      <c r="AQ89" s="95">
        <f>L89+M89+SUM(N89:V89)</f>
        <v/>
      </c>
      <c r="AR89" s="95">
        <f>L89+M89+SUM(N89:W89)</f>
        <v/>
      </c>
      <c r="AS89" s="95">
        <f>L89+M89+SUM(N89:X89)</f>
        <v/>
      </c>
      <c r="AT89" s="95">
        <f>L89+M89+SUM(N89:Y89)</f>
        <v/>
      </c>
    </row>
    <row r="90">
      <c r="B90" s="58" t="n">
        <v>84</v>
      </c>
      <c r="C90" s="58">
        <f>IFERROR(INDEX(coa_Name,84)&amp;"","")</f>
        <v/>
      </c>
      <c r="D90" s="58">
        <f>IF(C90="","",IF(COUNTIF($C$7:C90,C90)&gt;1,"",C90))</f>
        <v/>
      </c>
      <c r="E90" s="58">
        <f>IF($D90="","",INDEX(coa_Code,84))</f>
        <v/>
      </c>
      <c r="F90" s="58">
        <f>IF($D90="","",INDEX(coa_Type,84)&amp;"")</f>
        <v/>
      </c>
      <c r="G90" s="58">
        <f>IF($D90="","",INDEX(coa_Normal,84)&amp;"")</f>
        <v/>
      </c>
      <c r="H90" s="58">
        <f>IF($D90="","",IF(INDEX(coa_CF,84)&amp;""="","Operating",INDEX(coa_CF,84)&amp;""))</f>
        <v/>
      </c>
      <c r="I90" s="58">
        <f>IF($D90="","",IFERROR(INDEX(at_Stmt,MATCH(F90,at_Type,0)),""))</f>
        <v/>
      </c>
      <c r="J90" s="58">
        <f>IF($D90="",0,IFERROR(INDEX(at_Sign,MATCH(F90,at_Type,0)),0))</f>
        <v/>
      </c>
      <c r="K90" s="95">
        <f>IF($D90="",0,IF(G90="Credit",-1,1)*N(INDEX(coa_Open,84)))</f>
        <v/>
      </c>
      <c r="L90" s="95">
        <f>IF($D90="",0,IF($D90=acctOBE,K90-SUM($K$7:$K$156),K90))</f>
        <v/>
      </c>
      <c r="M90" s="95">
        <f>IF($D90="",0,SUMIFS(j_DrAmt,j_DrAcct,$D90,j_Per,0)-SUMIFS(j_CrAmt,j_CrAcct,$D90,j_Per,0)+IF($D90=acctTax,SUMIFS(j_TaxDr,j_Posted,1,j_Per,0)-SUMIFS(j_TaxCr,j_Posted,1,j_Per,0),0))</f>
        <v/>
      </c>
      <c r="N90" s="95">
        <f>IF($D90="",0,SUMIFS(j_DrAmt,j_DrAcct,$D90,j_Per,1)-SUMIFS(j_CrAmt,j_CrAcct,$D90,j_Per,1)+IF($D90=acctTax,SUMIFS(j_TaxDr,j_Posted,1,j_Per,1)-SUMIFS(j_TaxCr,j_Posted,1,j_Per,1),0))</f>
        <v/>
      </c>
      <c r="O90" s="95">
        <f>IF($D90="",0,SUMIFS(j_DrAmt,j_DrAcct,$D90,j_Per,2)-SUMIFS(j_CrAmt,j_CrAcct,$D90,j_Per,2)+IF($D90=acctTax,SUMIFS(j_TaxDr,j_Posted,1,j_Per,2)-SUMIFS(j_TaxCr,j_Posted,1,j_Per,2),0))</f>
        <v/>
      </c>
      <c r="P90" s="95">
        <f>IF($D90="",0,SUMIFS(j_DrAmt,j_DrAcct,$D90,j_Per,3)-SUMIFS(j_CrAmt,j_CrAcct,$D90,j_Per,3)+IF($D90=acctTax,SUMIFS(j_TaxDr,j_Posted,1,j_Per,3)-SUMIFS(j_TaxCr,j_Posted,1,j_Per,3),0))</f>
        <v/>
      </c>
      <c r="Q90" s="95">
        <f>IF($D90="",0,SUMIFS(j_DrAmt,j_DrAcct,$D90,j_Per,4)-SUMIFS(j_CrAmt,j_CrAcct,$D90,j_Per,4)+IF($D90=acctTax,SUMIFS(j_TaxDr,j_Posted,1,j_Per,4)-SUMIFS(j_TaxCr,j_Posted,1,j_Per,4),0))</f>
        <v/>
      </c>
      <c r="R90" s="95">
        <f>IF($D90="",0,SUMIFS(j_DrAmt,j_DrAcct,$D90,j_Per,5)-SUMIFS(j_CrAmt,j_CrAcct,$D90,j_Per,5)+IF($D90=acctTax,SUMIFS(j_TaxDr,j_Posted,1,j_Per,5)-SUMIFS(j_TaxCr,j_Posted,1,j_Per,5),0))</f>
        <v/>
      </c>
      <c r="S90" s="95">
        <f>IF($D90="",0,SUMIFS(j_DrAmt,j_DrAcct,$D90,j_Per,6)-SUMIFS(j_CrAmt,j_CrAcct,$D90,j_Per,6)+IF($D90=acctTax,SUMIFS(j_TaxDr,j_Posted,1,j_Per,6)-SUMIFS(j_TaxCr,j_Posted,1,j_Per,6),0))</f>
        <v/>
      </c>
      <c r="T90" s="95">
        <f>IF($D90="",0,SUMIFS(j_DrAmt,j_DrAcct,$D90,j_Per,7)-SUMIFS(j_CrAmt,j_CrAcct,$D90,j_Per,7)+IF($D90=acctTax,SUMIFS(j_TaxDr,j_Posted,1,j_Per,7)-SUMIFS(j_TaxCr,j_Posted,1,j_Per,7),0))</f>
        <v/>
      </c>
      <c r="U90" s="95">
        <f>IF($D90="",0,SUMIFS(j_DrAmt,j_DrAcct,$D90,j_Per,8)-SUMIFS(j_CrAmt,j_CrAcct,$D90,j_Per,8)+IF($D90=acctTax,SUMIFS(j_TaxDr,j_Posted,1,j_Per,8)-SUMIFS(j_TaxCr,j_Posted,1,j_Per,8),0))</f>
        <v/>
      </c>
      <c r="V90" s="95">
        <f>IF($D90="",0,SUMIFS(j_DrAmt,j_DrAcct,$D90,j_Per,9)-SUMIFS(j_CrAmt,j_CrAcct,$D90,j_Per,9)+IF($D90=acctTax,SUMIFS(j_TaxDr,j_Posted,1,j_Per,9)-SUMIFS(j_TaxCr,j_Posted,1,j_Per,9),0))</f>
        <v/>
      </c>
      <c r="W90" s="95">
        <f>IF($D90="",0,SUMIFS(j_DrAmt,j_DrAcct,$D90,j_Per,10)-SUMIFS(j_CrAmt,j_CrAcct,$D90,j_Per,10)+IF($D90=acctTax,SUMIFS(j_TaxDr,j_Posted,1,j_Per,10)-SUMIFS(j_TaxCr,j_Posted,1,j_Per,10),0))</f>
        <v/>
      </c>
      <c r="X90" s="95">
        <f>IF($D90="",0,SUMIFS(j_DrAmt,j_DrAcct,$D90,j_Per,11)-SUMIFS(j_CrAmt,j_CrAcct,$D90,j_Per,11)+IF($D90=acctTax,SUMIFS(j_TaxDr,j_Posted,1,j_Per,11)-SUMIFS(j_TaxCr,j_Posted,1,j_Per,11),0))</f>
        <v/>
      </c>
      <c r="Y90" s="95">
        <f>IF($D90="",0,SUMIFS(j_DrAmt,j_DrAcct,$D90,j_Per,12)-SUMIFS(j_CrAmt,j_CrAcct,$D90,j_Per,12)+IF($D90=acctTax,SUMIFS(j_TaxDr,j_Posted,1,j_Per,12)-SUMIFS(j_TaxCr,j_Posted,1,j_Per,12),0))</f>
        <v/>
      </c>
      <c r="Z90" s="95">
        <f>SUMPRODUCT(($N$5:$Y$5&lt;=RptIdx)*N90:Y90)</f>
        <v/>
      </c>
      <c r="AA90" s="95">
        <f>IF(AND(RptIdx&gt;=1,RptIdx&lt;=12),INDEX(N90:Y90,RptIdx),0)</f>
        <v/>
      </c>
      <c r="AB90" s="95">
        <f>IF($D90="",0,IF(RptIdx&gt;1,INDEX(N90:Y90,RptIdx-1),SUMIFS(j_DrAmt,j_DrAcct,$D90,j_Date,"&gt;="&amp;PrevStart,j_Date,"&lt;="&amp;PrevEnd)-SUMIFS(j_CrAmt,j_CrAcct,$D90,j_Date,"&gt;="&amp;PrevStart,j_Date,"&lt;="&amp;PrevEnd)+IF($D90=acctTax,SUMIFS(j_TaxDr,j_Posted,1,j_Date,"&gt;="&amp;PrevStart,j_Date,"&lt;="&amp;PrevEnd)-SUMIFS(j_TaxCr,j_Posted,1,j_Date,"&gt;="&amp;PrevStart,j_Date,"&lt;="&amp;PrevEnd),0)))</f>
        <v/>
      </c>
      <c r="AC90" s="95">
        <f>SUM(N90:Y90)</f>
        <v/>
      </c>
      <c r="AD90" s="95">
        <f>L90+M90+Z90</f>
        <v/>
      </c>
      <c r="AE90" s="95">
        <f>AD90-AA90</f>
        <v/>
      </c>
      <c r="AF90" s="58">
        <f>IF($D90="","",F90&amp;"|"&amp;COUNTIFS($F$7:F90,F90,$D$7:D90,"&lt;&gt;"))</f>
        <v/>
      </c>
      <c r="AG90" s="58">
        <f>IF(AND($D90&lt;&gt;"",H90="Cash"),"Cash|"&amp;COUNTIFS($H$7:H90,"Cash",$D$7:D90,"&lt;&gt;"),"")</f>
        <v/>
      </c>
      <c r="AH90" s="95">
        <f>IF(AND($D90&lt;&gt;"",OR(F90="Cost of Sales",F90="Operating Expense",F90="Other Expense"),Z90&gt;0),Z90+84/1000000,"")</f>
        <v/>
      </c>
      <c r="AI90" s="95">
        <f>L90+M90+SUM(N90:N90)</f>
        <v/>
      </c>
      <c r="AJ90" s="95">
        <f>L90+M90+SUM(N90:O90)</f>
        <v/>
      </c>
      <c r="AK90" s="95">
        <f>L90+M90+SUM(N90:P90)</f>
        <v/>
      </c>
      <c r="AL90" s="95">
        <f>L90+M90+SUM(N90:Q90)</f>
        <v/>
      </c>
      <c r="AM90" s="95">
        <f>L90+M90+SUM(N90:R90)</f>
        <v/>
      </c>
      <c r="AN90" s="95">
        <f>L90+M90+SUM(N90:S90)</f>
        <v/>
      </c>
      <c r="AO90" s="95">
        <f>L90+M90+SUM(N90:T90)</f>
        <v/>
      </c>
      <c r="AP90" s="95">
        <f>L90+M90+SUM(N90:U90)</f>
        <v/>
      </c>
      <c r="AQ90" s="95">
        <f>L90+M90+SUM(N90:V90)</f>
        <v/>
      </c>
      <c r="AR90" s="95">
        <f>L90+M90+SUM(N90:W90)</f>
        <v/>
      </c>
      <c r="AS90" s="95">
        <f>L90+M90+SUM(N90:X90)</f>
        <v/>
      </c>
      <c r="AT90" s="95">
        <f>L90+M90+SUM(N90:Y90)</f>
        <v/>
      </c>
    </row>
    <row r="91">
      <c r="B91" s="58" t="n">
        <v>85</v>
      </c>
      <c r="C91" s="58">
        <f>IFERROR(INDEX(coa_Name,85)&amp;"","")</f>
        <v/>
      </c>
      <c r="D91" s="58">
        <f>IF(C91="","",IF(COUNTIF($C$7:C91,C91)&gt;1,"",C91))</f>
        <v/>
      </c>
      <c r="E91" s="58">
        <f>IF($D91="","",INDEX(coa_Code,85))</f>
        <v/>
      </c>
      <c r="F91" s="58">
        <f>IF($D91="","",INDEX(coa_Type,85)&amp;"")</f>
        <v/>
      </c>
      <c r="G91" s="58">
        <f>IF($D91="","",INDEX(coa_Normal,85)&amp;"")</f>
        <v/>
      </c>
      <c r="H91" s="58">
        <f>IF($D91="","",IF(INDEX(coa_CF,85)&amp;""="","Operating",INDEX(coa_CF,85)&amp;""))</f>
        <v/>
      </c>
      <c r="I91" s="58">
        <f>IF($D91="","",IFERROR(INDEX(at_Stmt,MATCH(F91,at_Type,0)),""))</f>
        <v/>
      </c>
      <c r="J91" s="58">
        <f>IF($D91="",0,IFERROR(INDEX(at_Sign,MATCH(F91,at_Type,0)),0))</f>
        <v/>
      </c>
      <c r="K91" s="95">
        <f>IF($D91="",0,IF(G91="Credit",-1,1)*N(INDEX(coa_Open,85)))</f>
        <v/>
      </c>
      <c r="L91" s="95">
        <f>IF($D91="",0,IF($D91=acctOBE,K91-SUM($K$7:$K$156),K91))</f>
        <v/>
      </c>
      <c r="M91" s="95">
        <f>IF($D91="",0,SUMIFS(j_DrAmt,j_DrAcct,$D91,j_Per,0)-SUMIFS(j_CrAmt,j_CrAcct,$D91,j_Per,0)+IF($D91=acctTax,SUMIFS(j_TaxDr,j_Posted,1,j_Per,0)-SUMIFS(j_TaxCr,j_Posted,1,j_Per,0),0))</f>
        <v/>
      </c>
      <c r="N91" s="95">
        <f>IF($D91="",0,SUMIFS(j_DrAmt,j_DrAcct,$D91,j_Per,1)-SUMIFS(j_CrAmt,j_CrAcct,$D91,j_Per,1)+IF($D91=acctTax,SUMIFS(j_TaxDr,j_Posted,1,j_Per,1)-SUMIFS(j_TaxCr,j_Posted,1,j_Per,1),0))</f>
        <v/>
      </c>
      <c r="O91" s="95">
        <f>IF($D91="",0,SUMIFS(j_DrAmt,j_DrAcct,$D91,j_Per,2)-SUMIFS(j_CrAmt,j_CrAcct,$D91,j_Per,2)+IF($D91=acctTax,SUMIFS(j_TaxDr,j_Posted,1,j_Per,2)-SUMIFS(j_TaxCr,j_Posted,1,j_Per,2),0))</f>
        <v/>
      </c>
      <c r="P91" s="95">
        <f>IF($D91="",0,SUMIFS(j_DrAmt,j_DrAcct,$D91,j_Per,3)-SUMIFS(j_CrAmt,j_CrAcct,$D91,j_Per,3)+IF($D91=acctTax,SUMIFS(j_TaxDr,j_Posted,1,j_Per,3)-SUMIFS(j_TaxCr,j_Posted,1,j_Per,3),0))</f>
        <v/>
      </c>
      <c r="Q91" s="95">
        <f>IF($D91="",0,SUMIFS(j_DrAmt,j_DrAcct,$D91,j_Per,4)-SUMIFS(j_CrAmt,j_CrAcct,$D91,j_Per,4)+IF($D91=acctTax,SUMIFS(j_TaxDr,j_Posted,1,j_Per,4)-SUMIFS(j_TaxCr,j_Posted,1,j_Per,4),0))</f>
        <v/>
      </c>
      <c r="R91" s="95">
        <f>IF($D91="",0,SUMIFS(j_DrAmt,j_DrAcct,$D91,j_Per,5)-SUMIFS(j_CrAmt,j_CrAcct,$D91,j_Per,5)+IF($D91=acctTax,SUMIFS(j_TaxDr,j_Posted,1,j_Per,5)-SUMIFS(j_TaxCr,j_Posted,1,j_Per,5),0))</f>
        <v/>
      </c>
      <c r="S91" s="95">
        <f>IF($D91="",0,SUMIFS(j_DrAmt,j_DrAcct,$D91,j_Per,6)-SUMIFS(j_CrAmt,j_CrAcct,$D91,j_Per,6)+IF($D91=acctTax,SUMIFS(j_TaxDr,j_Posted,1,j_Per,6)-SUMIFS(j_TaxCr,j_Posted,1,j_Per,6),0))</f>
        <v/>
      </c>
      <c r="T91" s="95">
        <f>IF($D91="",0,SUMIFS(j_DrAmt,j_DrAcct,$D91,j_Per,7)-SUMIFS(j_CrAmt,j_CrAcct,$D91,j_Per,7)+IF($D91=acctTax,SUMIFS(j_TaxDr,j_Posted,1,j_Per,7)-SUMIFS(j_TaxCr,j_Posted,1,j_Per,7),0))</f>
        <v/>
      </c>
      <c r="U91" s="95">
        <f>IF($D91="",0,SUMIFS(j_DrAmt,j_DrAcct,$D91,j_Per,8)-SUMIFS(j_CrAmt,j_CrAcct,$D91,j_Per,8)+IF($D91=acctTax,SUMIFS(j_TaxDr,j_Posted,1,j_Per,8)-SUMIFS(j_TaxCr,j_Posted,1,j_Per,8),0))</f>
        <v/>
      </c>
      <c r="V91" s="95">
        <f>IF($D91="",0,SUMIFS(j_DrAmt,j_DrAcct,$D91,j_Per,9)-SUMIFS(j_CrAmt,j_CrAcct,$D91,j_Per,9)+IF($D91=acctTax,SUMIFS(j_TaxDr,j_Posted,1,j_Per,9)-SUMIFS(j_TaxCr,j_Posted,1,j_Per,9),0))</f>
        <v/>
      </c>
      <c r="W91" s="95">
        <f>IF($D91="",0,SUMIFS(j_DrAmt,j_DrAcct,$D91,j_Per,10)-SUMIFS(j_CrAmt,j_CrAcct,$D91,j_Per,10)+IF($D91=acctTax,SUMIFS(j_TaxDr,j_Posted,1,j_Per,10)-SUMIFS(j_TaxCr,j_Posted,1,j_Per,10),0))</f>
        <v/>
      </c>
      <c r="X91" s="95">
        <f>IF($D91="",0,SUMIFS(j_DrAmt,j_DrAcct,$D91,j_Per,11)-SUMIFS(j_CrAmt,j_CrAcct,$D91,j_Per,11)+IF($D91=acctTax,SUMIFS(j_TaxDr,j_Posted,1,j_Per,11)-SUMIFS(j_TaxCr,j_Posted,1,j_Per,11),0))</f>
        <v/>
      </c>
      <c r="Y91" s="95">
        <f>IF($D91="",0,SUMIFS(j_DrAmt,j_DrAcct,$D91,j_Per,12)-SUMIFS(j_CrAmt,j_CrAcct,$D91,j_Per,12)+IF($D91=acctTax,SUMIFS(j_TaxDr,j_Posted,1,j_Per,12)-SUMIFS(j_TaxCr,j_Posted,1,j_Per,12),0))</f>
        <v/>
      </c>
      <c r="Z91" s="95">
        <f>SUMPRODUCT(($N$5:$Y$5&lt;=RptIdx)*N91:Y91)</f>
        <v/>
      </c>
      <c r="AA91" s="95">
        <f>IF(AND(RptIdx&gt;=1,RptIdx&lt;=12),INDEX(N91:Y91,RptIdx),0)</f>
        <v/>
      </c>
      <c r="AB91" s="95">
        <f>IF($D91="",0,IF(RptIdx&gt;1,INDEX(N91:Y91,RptIdx-1),SUMIFS(j_DrAmt,j_DrAcct,$D91,j_Date,"&gt;="&amp;PrevStart,j_Date,"&lt;="&amp;PrevEnd)-SUMIFS(j_CrAmt,j_CrAcct,$D91,j_Date,"&gt;="&amp;PrevStart,j_Date,"&lt;="&amp;PrevEnd)+IF($D91=acctTax,SUMIFS(j_TaxDr,j_Posted,1,j_Date,"&gt;="&amp;PrevStart,j_Date,"&lt;="&amp;PrevEnd)-SUMIFS(j_TaxCr,j_Posted,1,j_Date,"&gt;="&amp;PrevStart,j_Date,"&lt;="&amp;PrevEnd),0)))</f>
        <v/>
      </c>
      <c r="AC91" s="95">
        <f>SUM(N91:Y91)</f>
        <v/>
      </c>
      <c r="AD91" s="95">
        <f>L91+M91+Z91</f>
        <v/>
      </c>
      <c r="AE91" s="95">
        <f>AD91-AA91</f>
        <v/>
      </c>
      <c r="AF91" s="58">
        <f>IF($D91="","",F91&amp;"|"&amp;COUNTIFS($F$7:F91,F91,$D$7:D91,"&lt;&gt;"))</f>
        <v/>
      </c>
      <c r="AG91" s="58">
        <f>IF(AND($D91&lt;&gt;"",H91="Cash"),"Cash|"&amp;COUNTIFS($H$7:H91,"Cash",$D$7:D91,"&lt;&gt;"),"")</f>
        <v/>
      </c>
      <c r="AH91" s="95">
        <f>IF(AND($D91&lt;&gt;"",OR(F91="Cost of Sales",F91="Operating Expense",F91="Other Expense"),Z91&gt;0),Z91+85/1000000,"")</f>
        <v/>
      </c>
      <c r="AI91" s="95">
        <f>L91+M91+SUM(N91:N91)</f>
        <v/>
      </c>
      <c r="AJ91" s="95">
        <f>L91+M91+SUM(N91:O91)</f>
        <v/>
      </c>
      <c r="AK91" s="95">
        <f>L91+M91+SUM(N91:P91)</f>
        <v/>
      </c>
      <c r="AL91" s="95">
        <f>L91+M91+SUM(N91:Q91)</f>
        <v/>
      </c>
      <c r="AM91" s="95">
        <f>L91+M91+SUM(N91:R91)</f>
        <v/>
      </c>
      <c r="AN91" s="95">
        <f>L91+M91+SUM(N91:S91)</f>
        <v/>
      </c>
      <c r="AO91" s="95">
        <f>L91+M91+SUM(N91:T91)</f>
        <v/>
      </c>
      <c r="AP91" s="95">
        <f>L91+M91+SUM(N91:U91)</f>
        <v/>
      </c>
      <c r="AQ91" s="95">
        <f>L91+M91+SUM(N91:V91)</f>
        <v/>
      </c>
      <c r="AR91" s="95">
        <f>L91+M91+SUM(N91:W91)</f>
        <v/>
      </c>
      <c r="AS91" s="95">
        <f>L91+M91+SUM(N91:X91)</f>
        <v/>
      </c>
      <c r="AT91" s="95">
        <f>L91+M91+SUM(N91:Y91)</f>
        <v/>
      </c>
    </row>
    <row r="92">
      <c r="B92" s="58" t="n">
        <v>86</v>
      </c>
      <c r="C92" s="58">
        <f>IFERROR(INDEX(coa_Name,86)&amp;"","")</f>
        <v/>
      </c>
      <c r="D92" s="58">
        <f>IF(C92="","",IF(COUNTIF($C$7:C92,C92)&gt;1,"",C92))</f>
        <v/>
      </c>
      <c r="E92" s="58">
        <f>IF($D92="","",INDEX(coa_Code,86))</f>
        <v/>
      </c>
      <c r="F92" s="58">
        <f>IF($D92="","",INDEX(coa_Type,86)&amp;"")</f>
        <v/>
      </c>
      <c r="G92" s="58">
        <f>IF($D92="","",INDEX(coa_Normal,86)&amp;"")</f>
        <v/>
      </c>
      <c r="H92" s="58">
        <f>IF($D92="","",IF(INDEX(coa_CF,86)&amp;""="","Operating",INDEX(coa_CF,86)&amp;""))</f>
        <v/>
      </c>
      <c r="I92" s="58">
        <f>IF($D92="","",IFERROR(INDEX(at_Stmt,MATCH(F92,at_Type,0)),""))</f>
        <v/>
      </c>
      <c r="J92" s="58">
        <f>IF($D92="",0,IFERROR(INDEX(at_Sign,MATCH(F92,at_Type,0)),0))</f>
        <v/>
      </c>
      <c r="K92" s="95">
        <f>IF($D92="",0,IF(G92="Credit",-1,1)*N(INDEX(coa_Open,86)))</f>
        <v/>
      </c>
      <c r="L92" s="95">
        <f>IF($D92="",0,IF($D92=acctOBE,K92-SUM($K$7:$K$156),K92))</f>
        <v/>
      </c>
      <c r="M92" s="95">
        <f>IF($D92="",0,SUMIFS(j_DrAmt,j_DrAcct,$D92,j_Per,0)-SUMIFS(j_CrAmt,j_CrAcct,$D92,j_Per,0)+IF($D92=acctTax,SUMIFS(j_TaxDr,j_Posted,1,j_Per,0)-SUMIFS(j_TaxCr,j_Posted,1,j_Per,0),0))</f>
        <v/>
      </c>
      <c r="N92" s="95">
        <f>IF($D92="",0,SUMIFS(j_DrAmt,j_DrAcct,$D92,j_Per,1)-SUMIFS(j_CrAmt,j_CrAcct,$D92,j_Per,1)+IF($D92=acctTax,SUMIFS(j_TaxDr,j_Posted,1,j_Per,1)-SUMIFS(j_TaxCr,j_Posted,1,j_Per,1),0))</f>
        <v/>
      </c>
      <c r="O92" s="95">
        <f>IF($D92="",0,SUMIFS(j_DrAmt,j_DrAcct,$D92,j_Per,2)-SUMIFS(j_CrAmt,j_CrAcct,$D92,j_Per,2)+IF($D92=acctTax,SUMIFS(j_TaxDr,j_Posted,1,j_Per,2)-SUMIFS(j_TaxCr,j_Posted,1,j_Per,2),0))</f>
        <v/>
      </c>
      <c r="P92" s="95">
        <f>IF($D92="",0,SUMIFS(j_DrAmt,j_DrAcct,$D92,j_Per,3)-SUMIFS(j_CrAmt,j_CrAcct,$D92,j_Per,3)+IF($D92=acctTax,SUMIFS(j_TaxDr,j_Posted,1,j_Per,3)-SUMIFS(j_TaxCr,j_Posted,1,j_Per,3),0))</f>
        <v/>
      </c>
      <c r="Q92" s="95">
        <f>IF($D92="",0,SUMIFS(j_DrAmt,j_DrAcct,$D92,j_Per,4)-SUMIFS(j_CrAmt,j_CrAcct,$D92,j_Per,4)+IF($D92=acctTax,SUMIFS(j_TaxDr,j_Posted,1,j_Per,4)-SUMIFS(j_TaxCr,j_Posted,1,j_Per,4),0))</f>
        <v/>
      </c>
      <c r="R92" s="95">
        <f>IF($D92="",0,SUMIFS(j_DrAmt,j_DrAcct,$D92,j_Per,5)-SUMIFS(j_CrAmt,j_CrAcct,$D92,j_Per,5)+IF($D92=acctTax,SUMIFS(j_TaxDr,j_Posted,1,j_Per,5)-SUMIFS(j_TaxCr,j_Posted,1,j_Per,5),0))</f>
        <v/>
      </c>
      <c r="S92" s="95">
        <f>IF($D92="",0,SUMIFS(j_DrAmt,j_DrAcct,$D92,j_Per,6)-SUMIFS(j_CrAmt,j_CrAcct,$D92,j_Per,6)+IF($D92=acctTax,SUMIFS(j_TaxDr,j_Posted,1,j_Per,6)-SUMIFS(j_TaxCr,j_Posted,1,j_Per,6),0))</f>
        <v/>
      </c>
      <c r="T92" s="95">
        <f>IF($D92="",0,SUMIFS(j_DrAmt,j_DrAcct,$D92,j_Per,7)-SUMIFS(j_CrAmt,j_CrAcct,$D92,j_Per,7)+IF($D92=acctTax,SUMIFS(j_TaxDr,j_Posted,1,j_Per,7)-SUMIFS(j_TaxCr,j_Posted,1,j_Per,7),0))</f>
        <v/>
      </c>
      <c r="U92" s="95">
        <f>IF($D92="",0,SUMIFS(j_DrAmt,j_DrAcct,$D92,j_Per,8)-SUMIFS(j_CrAmt,j_CrAcct,$D92,j_Per,8)+IF($D92=acctTax,SUMIFS(j_TaxDr,j_Posted,1,j_Per,8)-SUMIFS(j_TaxCr,j_Posted,1,j_Per,8),0))</f>
        <v/>
      </c>
      <c r="V92" s="95">
        <f>IF($D92="",0,SUMIFS(j_DrAmt,j_DrAcct,$D92,j_Per,9)-SUMIFS(j_CrAmt,j_CrAcct,$D92,j_Per,9)+IF($D92=acctTax,SUMIFS(j_TaxDr,j_Posted,1,j_Per,9)-SUMIFS(j_TaxCr,j_Posted,1,j_Per,9),0))</f>
        <v/>
      </c>
      <c r="W92" s="95">
        <f>IF($D92="",0,SUMIFS(j_DrAmt,j_DrAcct,$D92,j_Per,10)-SUMIFS(j_CrAmt,j_CrAcct,$D92,j_Per,10)+IF($D92=acctTax,SUMIFS(j_TaxDr,j_Posted,1,j_Per,10)-SUMIFS(j_TaxCr,j_Posted,1,j_Per,10),0))</f>
        <v/>
      </c>
      <c r="X92" s="95">
        <f>IF($D92="",0,SUMIFS(j_DrAmt,j_DrAcct,$D92,j_Per,11)-SUMIFS(j_CrAmt,j_CrAcct,$D92,j_Per,11)+IF($D92=acctTax,SUMIFS(j_TaxDr,j_Posted,1,j_Per,11)-SUMIFS(j_TaxCr,j_Posted,1,j_Per,11),0))</f>
        <v/>
      </c>
      <c r="Y92" s="95">
        <f>IF($D92="",0,SUMIFS(j_DrAmt,j_DrAcct,$D92,j_Per,12)-SUMIFS(j_CrAmt,j_CrAcct,$D92,j_Per,12)+IF($D92=acctTax,SUMIFS(j_TaxDr,j_Posted,1,j_Per,12)-SUMIFS(j_TaxCr,j_Posted,1,j_Per,12),0))</f>
        <v/>
      </c>
      <c r="Z92" s="95">
        <f>SUMPRODUCT(($N$5:$Y$5&lt;=RptIdx)*N92:Y92)</f>
        <v/>
      </c>
      <c r="AA92" s="95">
        <f>IF(AND(RptIdx&gt;=1,RptIdx&lt;=12),INDEX(N92:Y92,RptIdx),0)</f>
        <v/>
      </c>
      <c r="AB92" s="95">
        <f>IF($D92="",0,IF(RptIdx&gt;1,INDEX(N92:Y92,RptIdx-1),SUMIFS(j_DrAmt,j_DrAcct,$D92,j_Date,"&gt;="&amp;PrevStart,j_Date,"&lt;="&amp;PrevEnd)-SUMIFS(j_CrAmt,j_CrAcct,$D92,j_Date,"&gt;="&amp;PrevStart,j_Date,"&lt;="&amp;PrevEnd)+IF($D92=acctTax,SUMIFS(j_TaxDr,j_Posted,1,j_Date,"&gt;="&amp;PrevStart,j_Date,"&lt;="&amp;PrevEnd)-SUMIFS(j_TaxCr,j_Posted,1,j_Date,"&gt;="&amp;PrevStart,j_Date,"&lt;="&amp;PrevEnd),0)))</f>
        <v/>
      </c>
      <c r="AC92" s="95">
        <f>SUM(N92:Y92)</f>
        <v/>
      </c>
      <c r="AD92" s="95">
        <f>L92+M92+Z92</f>
        <v/>
      </c>
      <c r="AE92" s="95">
        <f>AD92-AA92</f>
        <v/>
      </c>
      <c r="AF92" s="58">
        <f>IF($D92="","",F92&amp;"|"&amp;COUNTIFS($F$7:F92,F92,$D$7:D92,"&lt;&gt;"))</f>
        <v/>
      </c>
      <c r="AG92" s="58">
        <f>IF(AND($D92&lt;&gt;"",H92="Cash"),"Cash|"&amp;COUNTIFS($H$7:H92,"Cash",$D$7:D92,"&lt;&gt;"),"")</f>
        <v/>
      </c>
      <c r="AH92" s="95">
        <f>IF(AND($D92&lt;&gt;"",OR(F92="Cost of Sales",F92="Operating Expense",F92="Other Expense"),Z92&gt;0),Z92+86/1000000,"")</f>
        <v/>
      </c>
      <c r="AI92" s="95">
        <f>L92+M92+SUM(N92:N92)</f>
        <v/>
      </c>
      <c r="AJ92" s="95">
        <f>L92+M92+SUM(N92:O92)</f>
        <v/>
      </c>
      <c r="AK92" s="95">
        <f>L92+M92+SUM(N92:P92)</f>
        <v/>
      </c>
      <c r="AL92" s="95">
        <f>L92+M92+SUM(N92:Q92)</f>
        <v/>
      </c>
      <c r="AM92" s="95">
        <f>L92+M92+SUM(N92:R92)</f>
        <v/>
      </c>
      <c r="AN92" s="95">
        <f>L92+M92+SUM(N92:S92)</f>
        <v/>
      </c>
      <c r="AO92" s="95">
        <f>L92+M92+SUM(N92:T92)</f>
        <v/>
      </c>
      <c r="AP92" s="95">
        <f>L92+M92+SUM(N92:U92)</f>
        <v/>
      </c>
      <c r="AQ92" s="95">
        <f>L92+M92+SUM(N92:V92)</f>
        <v/>
      </c>
      <c r="AR92" s="95">
        <f>L92+M92+SUM(N92:W92)</f>
        <v/>
      </c>
      <c r="AS92" s="95">
        <f>L92+M92+SUM(N92:X92)</f>
        <v/>
      </c>
      <c r="AT92" s="95">
        <f>L92+M92+SUM(N92:Y92)</f>
        <v/>
      </c>
    </row>
    <row r="93">
      <c r="B93" s="58" t="n">
        <v>87</v>
      </c>
      <c r="C93" s="58">
        <f>IFERROR(INDEX(coa_Name,87)&amp;"","")</f>
        <v/>
      </c>
      <c r="D93" s="58">
        <f>IF(C93="","",IF(COUNTIF($C$7:C93,C93)&gt;1,"",C93))</f>
        <v/>
      </c>
      <c r="E93" s="58">
        <f>IF($D93="","",INDEX(coa_Code,87))</f>
        <v/>
      </c>
      <c r="F93" s="58">
        <f>IF($D93="","",INDEX(coa_Type,87)&amp;"")</f>
        <v/>
      </c>
      <c r="G93" s="58">
        <f>IF($D93="","",INDEX(coa_Normal,87)&amp;"")</f>
        <v/>
      </c>
      <c r="H93" s="58">
        <f>IF($D93="","",IF(INDEX(coa_CF,87)&amp;""="","Operating",INDEX(coa_CF,87)&amp;""))</f>
        <v/>
      </c>
      <c r="I93" s="58">
        <f>IF($D93="","",IFERROR(INDEX(at_Stmt,MATCH(F93,at_Type,0)),""))</f>
        <v/>
      </c>
      <c r="J93" s="58">
        <f>IF($D93="",0,IFERROR(INDEX(at_Sign,MATCH(F93,at_Type,0)),0))</f>
        <v/>
      </c>
      <c r="K93" s="95">
        <f>IF($D93="",0,IF(G93="Credit",-1,1)*N(INDEX(coa_Open,87)))</f>
        <v/>
      </c>
      <c r="L93" s="95">
        <f>IF($D93="",0,IF($D93=acctOBE,K93-SUM($K$7:$K$156),K93))</f>
        <v/>
      </c>
      <c r="M93" s="95">
        <f>IF($D93="",0,SUMIFS(j_DrAmt,j_DrAcct,$D93,j_Per,0)-SUMIFS(j_CrAmt,j_CrAcct,$D93,j_Per,0)+IF($D93=acctTax,SUMIFS(j_TaxDr,j_Posted,1,j_Per,0)-SUMIFS(j_TaxCr,j_Posted,1,j_Per,0),0))</f>
        <v/>
      </c>
      <c r="N93" s="95">
        <f>IF($D93="",0,SUMIFS(j_DrAmt,j_DrAcct,$D93,j_Per,1)-SUMIFS(j_CrAmt,j_CrAcct,$D93,j_Per,1)+IF($D93=acctTax,SUMIFS(j_TaxDr,j_Posted,1,j_Per,1)-SUMIFS(j_TaxCr,j_Posted,1,j_Per,1),0))</f>
        <v/>
      </c>
      <c r="O93" s="95">
        <f>IF($D93="",0,SUMIFS(j_DrAmt,j_DrAcct,$D93,j_Per,2)-SUMIFS(j_CrAmt,j_CrAcct,$D93,j_Per,2)+IF($D93=acctTax,SUMIFS(j_TaxDr,j_Posted,1,j_Per,2)-SUMIFS(j_TaxCr,j_Posted,1,j_Per,2),0))</f>
        <v/>
      </c>
      <c r="P93" s="95">
        <f>IF($D93="",0,SUMIFS(j_DrAmt,j_DrAcct,$D93,j_Per,3)-SUMIFS(j_CrAmt,j_CrAcct,$D93,j_Per,3)+IF($D93=acctTax,SUMIFS(j_TaxDr,j_Posted,1,j_Per,3)-SUMIFS(j_TaxCr,j_Posted,1,j_Per,3),0))</f>
        <v/>
      </c>
      <c r="Q93" s="95">
        <f>IF($D93="",0,SUMIFS(j_DrAmt,j_DrAcct,$D93,j_Per,4)-SUMIFS(j_CrAmt,j_CrAcct,$D93,j_Per,4)+IF($D93=acctTax,SUMIFS(j_TaxDr,j_Posted,1,j_Per,4)-SUMIFS(j_TaxCr,j_Posted,1,j_Per,4),0))</f>
        <v/>
      </c>
      <c r="R93" s="95">
        <f>IF($D93="",0,SUMIFS(j_DrAmt,j_DrAcct,$D93,j_Per,5)-SUMIFS(j_CrAmt,j_CrAcct,$D93,j_Per,5)+IF($D93=acctTax,SUMIFS(j_TaxDr,j_Posted,1,j_Per,5)-SUMIFS(j_TaxCr,j_Posted,1,j_Per,5),0))</f>
        <v/>
      </c>
      <c r="S93" s="95">
        <f>IF($D93="",0,SUMIFS(j_DrAmt,j_DrAcct,$D93,j_Per,6)-SUMIFS(j_CrAmt,j_CrAcct,$D93,j_Per,6)+IF($D93=acctTax,SUMIFS(j_TaxDr,j_Posted,1,j_Per,6)-SUMIFS(j_TaxCr,j_Posted,1,j_Per,6),0))</f>
        <v/>
      </c>
      <c r="T93" s="95">
        <f>IF($D93="",0,SUMIFS(j_DrAmt,j_DrAcct,$D93,j_Per,7)-SUMIFS(j_CrAmt,j_CrAcct,$D93,j_Per,7)+IF($D93=acctTax,SUMIFS(j_TaxDr,j_Posted,1,j_Per,7)-SUMIFS(j_TaxCr,j_Posted,1,j_Per,7),0))</f>
        <v/>
      </c>
      <c r="U93" s="95">
        <f>IF($D93="",0,SUMIFS(j_DrAmt,j_DrAcct,$D93,j_Per,8)-SUMIFS(j_CrAmt,j_CrAcct,$D93,j_Per,8)+IF($D93=acctTax,SUMIFS(j_TaxDr,j_Posted,1,j_Per,8)-SUMIFS(j_TaxCr,j_Posted,1,j_Per,8),0))</f>
        <v/>
      </c>
      <c r="V93" s="95">
        <f>IF($D93="",0,SUMIFS(j_DrAmt,j_DrAcct,$D93,j_Per,9)-SUMIFS(j_CrAmt,j_CrAcct,$D93,j_Per,9)+IF($D93=acctTax,SUMIFS(j_TaxDr,j_Posted,1,j_Per,9)-SUMIFS(j_TaxCr,j_Posted,1,j_Per,9),0))</f>
        <v/>
      </c>
      <c r="W93" s="95">
        <f>IF($D93="",0,SUMIFS(j_DrAmt,j_DrAcct,$D93,j_Per,10)-SUMIFS(j_CrAmt,j_CrAcct,$D93,j_Per,10)+IF($D93=acctTax,SUMIFS(j_TaxDr,j_Posted,1,j_Per,10)-SUMIFS(j_TaxCr,j_Posted,1,j_Per,10),0))</f>
        <v/>
      </c>
      <c r="X93" s="95">
        <f>IF($D93="",0,SUMIFS(j_DrAmt,j_DrAcct,$D93,j_Per,11)-SUMIFS(j_CrAmt,j_CrAcct,$D93,j_Per,11)+IF($D93=acctTax,SUMIFS(j_TaxDr,j_Posted,1,j_Per,11)-SUMIFS(j_TaxCr,j_Posted,1,j_Per,11),0))</f>
        <v/>
      </c>
      <c r="Y93" s="95">
        <f>IF($D93="",0,SUMIFS(j_DrAmt,j_DrAcct,$D93,j_Per,12)-SUMIFS(j_CrAmt,j_CrAcct,$D93,j_Per,12)+IF($D93=acctTax,SUMIFS(j_TaxDr,j_Posted,1,j_Per,12)-SUMIFS(j_TaxCr,j_Posted,1,j_Per,12),0))</f>
        <v/>
      </c>
      <c r="Z93" s="95">
        <f>SUMPRODUCT(($N$5:$Y$5&lt;=RptIdx)*N93:Y93)</f>
        <v/>
      </c>
      <c r="AA93" s="95">
        <f>IF(AND(RptIdx&gt;=1,RptIdx&lt;=12),INDEX(N93:Y93,RptIdx),0)</f>
        <v/>
      </c>
      <c r="AB93" s="95">
        <f>IF($D93="",0,IF(RptIdx&gt;1,INDEX(N93:Y93,RptIdx-1),SUMIFS(j_DrAmt,j_DrAcct,$D93,j_Date,"&gt;="&amp;PrevStart,j_Date,"&lt;="&amp;PrevEnd)-SUMIFS(j_CrAmt,j_CrAcct,$D93,j_Date,"&gt;="&amp;PrevStart,j_Date,"&lt;="&amp;PrevEnd)+IF($D93=acctTax,SUMIFS(j_TaxDr,j_Posted,1,j_Date,"&gt;="&amp;PrevStart,j_Date,"&lt;="&amp;PrevEnd)-SUMIFS(j_TaxCr,j_Posted,1,j_Date,"&gt;="&amp;PrevStart,j_Date,"&lt;="&amp;PrevEnd),0)))</f>
        <v/>
      </c>
      <c r="AC93" s="95">
        <f>SUM(N93:Y93)</f>
        <v/>
      </c>
      <c r="AD93" s="95">
        <f>L93+M93+Z93</f>
        <v/>
      </c>
      <c r="AE93" s="95">
        <f>AD93-AA93</f>
        <v/>
      </c>
      <c r="AF93" s="58">
        <f>IF($D93="","",F93&amp;"|"&amp;COUNTIFS($F$7:F93,F93,$D$7:D93,"&lt;&gt;"))</f>
        <v/>
      </c>
      <c r="AG93" s="58">
        <f>IF(AND($D93&lt;&gt;"",H93="Cash"),"Cash|"&amp;COUNTIFS($H$7:H93,"Cash",$D$7:D93,"&lt;&gt;"),"")</f>
        <v/>
      </c>
      <c r="AH93" s="95">
        <f>IF(AND($D93&lt;&gt;"",OR(F93="Cost of Sales",F93="Operating Expense",F93="Other Expense"),Z93&gt;0),Z93+87/1000000,"")</f>
        <v/>
      </c>
      <c r="AI93" s="95">
        <f>L93+M93+SUM(N93:N93)</f>
        <v/>
      </c>
      <c r="AJ93" s="95">
        <f>L93+M93+SUM(N93:O93)</f>
        <v/>
      </c>
      <c r="AK93" s="95">
        <f>L93+M93+SUM(N93:P93)</f>
        <v/>
      </c>
      <c r="AL93" s="95">
        <f>L93+M93+SUM(N93:Q93)</f>
        <v/>
      </c>
      <c r="AM93" s="95">
        <f>L93+M93+SUM(N93:R93)</f>
        <v/>
      </c>
      <c r="AN93" s="95">
        <f>L93+M93+SUM(N93:S93)</f>
        <v/>
      </c>
      <c r="AO93" s="95">
        <f>L93+M93+SUM(N93:T93)</f>
        <v/>
      </c>
      <c r="AP93" s="95">
        <f>L93+M93+SUM(N93:U93)</f>
        <v/>
      </c>
      <c r="AQ93" s="95">
        <f>L93+M93+SUM(N93:V93)</f>
        <v/>
      </c>
      <c r="AR93" s="95">
        <f>L93+M93+SUM(N93:W93)</f>
        <v/>
      </c>
      <c r="AS93" s="95">
        <f>L93+M93+SUM(N93:X93)</f>
        <v/>
      </c>
      <c r="AT93" s="95">
        <f>L93+M93+SUM(N93:Y93)</f>
        <v/>
      </c>
    </row>
    <row r="94">
      <c r="B94" s="58" t="n">
        <v>88</v>
      </c>
      <c r="C94" s="58">
        <f>IFERROR(INDEX(coa_Name,88)&amp;"","")</f>
        <v/>
      </c>
      <c r="D94" s="58">
        <f>IF(C94="","",IF(COUNTIF($C$7:C94,C94)&gt;1,"",C94))</f>
        <v/>
      </c>
      <c r="E94" s="58">
        <f>IF($D94="","",INDEX(coa_Code,88))</f>
        <v/>
      </c>
      <c r="F94" s="58">
        <f>IF($D94="","",INDEX(coa_Type,88)&amp;"")</f>
        <v/>
      </c>
      <c r="G94" s="58">
        <f>IF($D94="","",INDEX(coa_Normal,88)&amp;"")</f>
        <v/>
      </c>
      <c r="H94" s="58">
        <f>IF($D94="","",IF(INDEX(coa_CF,88)&amp;""="","Operating",INDEX(coa_CF,88)&amp;""))</f>
        <v/>
      </c>
      <c r="I94" s="58">
        <f>IF($D94="","",IFERROR(INDEX(at_Stmt,MATCH(F94,at_Type,0)),""))</f>
        <v/>
      </c>
      <c r="J94" s="58">
        <f>IF($D94="",0,IFERROR(INDEX(at_Sign,MATCH(F94,at_Type,0)),0))</f>
        <v/>
      </c>
      <c r="K94" s="95">
        <f>IF($D94="",0,IF(G94="Credit",-1,1)*N(INDEX(coa_Open,88)))</f>
        <v/>
      </c>
      <c r="L94" s="95">
        <f>IF($D94="",0,IF($D94=acctOBE,K94-SUM($K$7:$K$156),K94))</f>
        <v/>
      </c>
      <c r="M94" s="95">
        <f>IF($D94="",0,SUMIFS(j_DrAmt,j_DrAcct,$D94,j_Per,0)-SUMIFS(j_CrAmt,j_CrAcct,$D94,j_Per,0)+IF($D94=acctTax,SUMIFS(j_TaxDr,j_Posted,1,j_Per,0)-SUMIFS(j_TaxCr,j_Posted,1,j_Per,0),0))</f>
        <v/>
      </c>
      <c r="N94" s="95">
        <f>IF($D94="",0,SUMIFS(j_DrAmt,j_DrAcct,$D94,j_Per,1)-SUMIFS(j_CrAmt,j_CrAcct,$D94,j_Per,1)+IF($D94=acctTax,SUMIFS(j_TaxDr,j_Posted,1,j_Per,1)-SUMIFS(j_TaxCr,j_Posted,1,j_Per,1),0))</f>
        <v/>
      </c>
      <c r="O94" s="95">
        <f>IF($D94="",0,SUMIFS(j_DrAmt,j_DrAcct,$D94,j_Per,2)-SUMIFS(j_CrAmt,j_CrAcct,$D94,j_Per,2)+IF($D94=acctTax,SUMIFS(j_TaxDr,j_Posted,1,j_Per,2)-SUMIFS(j_TaxCr,j_Posted,1,j_Per,2),0))</f>
        <v/>
      </c>
      <c r="P94" s="95">
        <f>IF($D94="",0,SUMIFS(j_DrAmt,j_DrAcct,$D94,j_Per,3)-SUMIFS(j_CrAmt,j_CrAcct,$D94,j_Per,3)+IF($D94=acctTax,SUMIFS(j_TaxDr,j_Posted,1,j_Per,3)-SUMIFS(j_TaxCr,j_Posted,1,j_Per,3),0))</f>
        <v/>
      </c>
      <c r="Q94" s="95">
        <f>IF($D94="",0,SUMIFS(j_DrAmt,j_DrAcct,$D94,j_Per,4)-SUMIFS(j_CrAmt,j_CrAcct,$D94,j_Per,4)+IF($D94=acctTax,SUMIFS(j_TaxDr,j_Posted,1,j_Per,4)-SUMIFS(j_TaxCr,j_Posted,1,j_Per,4),0))</f>
        <v/>
      </c>
      <c r="R94" s="95">
        <f>IF($D94="",0,SUMIFS(j_DrAmt,j_DrAcct,$D94,j_Per,5)-SUMIFS(j_CrAmt,j_CrAcct,$D94,j_Per,5)+IF($D94=acctTax,SUMIFS(j_TaxDr,j_Posted,1,j_Per,5)-SUMIFS(j_TaxCr,j_Posted,1,j_Per,5),0))</f>
        <v/>
      </c>
      <c r="S94" s="95">
        <f>IF($D94="",0,SUMIFS(j_DrAmt,j_DrAcct,$D94,j_Per,6)-SUMIFS(j_CrAmt,j_CrAcct,$D94,j_Per,6)+IF($D94=acctTax,SUMIFS(j_TaxDr,j_Posted,1,j_Per,6)-SUMIFS(j_TaxCr,j_Posted,1,j_Per,6),0))</f>
        <v/>
      </c>
      <c r="T94" s="95">
        <f>IF($D94="",0,SUMIFS(j_DrAmt,j_DrAcct,$D94,j_Per,7)-SUMIFS(j_CrAmt,j_CrAcct,$D94,j_Per,7)+IF($D94=acctTax,SUMIFS(j_TaxDr,j_Posted,1,j_Per,7)-SUMIFS(j_TaxCr,j_Posted,1,j_Per,7),0))</f>
        <v/>
      </c>
      <c r="U94" s="95">
        <f>IF($D94="",0,SUMIFS(j_DrAmt,j_DrAcct,$D94,j_Per,8)-SUMIFS(j_CrAmt,j_CrAcct,$D94,j_Per,8)+IF($D94=acctTax,SUMIFS(j_TaxDr,j_Posted,1,j_Per,8)-SUMIFS(j_TaxCr,j_Posted,1,j_Per,8),0))</f>
        <v/>
      </c>
      <c r="V94" s="95">
        <f>IF($D94="",0,SUMIFS(j_DrAmt,j_DrAcct,$D94,j_Per,9)-SUMIFS(j_CrAmt,j_CrAcct,$D94,j_Per,9)+IF($D94=acctTax,SUMIFS(j_TaxDr,j_Posted,1,j_Per,9)-SUMIFS(j_TaxCr,j_Posted,1,j_Per,9),0))</f>
        <v/>
      </c>
      <c r="W94" s="95">
        <f>IF($D94="",0,SUMIFS(j_DrAmt,j_DrAcct,$D94,j_Per,10)-SUMIFS(j_CrAmt,j_CrAcct,$D94,j_Per,10)+IF($D94=acctTax,SUMIFS(j_TaxDr,j_Posted,1,j_Per,10)-SUMIFS(j_TaxCr,j_Posted,1,j_Per,10),0))</f>
        <v/>
      </c>
      <c r="X94" s="95">
        <f>IF($D94="",0,SUMIFS(j_DrAmt,j_DrAcct,$D94,j_Per,11)-SUMIFS(j_CrAmt,j_CrAcct,$D94,j_Per,11)+IF($D94=acctTax,SUMIFS(j_TaxDr,j_Posted,1,j_Per,11)-SUMIFS(j_TaxCr,j_Posted,1,j_Per,11),0))</f>
        <v/>
      </c>
      <c r="Y94" s="95">
        <f>IF($D94="",0,SUMIFS(j_DrAmt,j_DrAcct,$D94,j_Per,12)-SUMIFS(j_CrAmt,j_CrAcct,$D94,j_Per,12)+IF($D94=acctTax,SUMIFS(j_TaxDr,j_Posted,1,j_Per,12)-SUMIFS(j_TaxCr,j_Posted,1,j_Per,12),0))</f>
        <v/>
      </c>
      <c r="Z94" s="95">
        <f>SUMPRODUCT(($N$5:$Y$5&lt;=RptIdx)*N94:Y94)</f>
        <v/>
      </c>
      <c r="AA94" s="95">
        <f>IF(AND(RptIdx&gt;=1,RptIdx&lt;=12),INDEX(N94:Y94,RptIdx),0)</f>
        <v/>
      </c>
      <c r="AB94" s="95">
        <f>IF($D94="",0,IF(RptIdx&gt;1,INDEX(N94:Y94,RptIdx-1),SUMIFS(j_DrAmt,j_DrAcct,$D94,j_Date,"&gt;="&amp;PrevStart,j_Date,"&lt;="&amp;PrevEnd)-SUMIFS(j_CrAmt,j_CrAcct,$D94,j_Date,"&gt;="&amp;PrevStart,j_Date,"&lt;="&amp;PrevEnd)+IF($D94=acctTax,SUMIFS(j_TaxDr,j_Posted,1,j_Date,"&gt;="&amp;PrevStart,j_Date,"&lt;="&amp;PrevEnd)-SUMIFS(j_TaxCr,j_Posted,1,j_Date,"&gt;="&amp;PrevStart,j_Date,"&lt;="&amp;PrevEnd),0)))</f>
        <v/>
      </c>
      <c r="AC94" s="95">
        <f>SUM(N94:Y94)</f>
        <v/>
      </c>
      <c r="AD94" s="95">
        <f>L94+M94+Z94</f>
        <v/>
      </c>
      <c r="AE94" s="95">
        <f>AD94-AA94</f>
        <v/>
      </c>
      <c r="AF94" s="58">
        <f>IF($D94="","",F94&amp;"|"&amp;COUNTIFS($F$7:F94,F94,$D$7:D94,"&lt;&gt;"))</f>
        <v/>
      </c>
      <c r="AG94" s="58">
        <f>IF(AND($D94&lt;&gt;"",H94="Cash"),"Cash|"&amp;COUNTIFS($H$7:H94,"Cash",$D$7:D94,"&lt;&gt;"),"")</f>
        <v/>
      </c>
      <c r="AH94" s="95">
        <f>IF(AND($D94&lt;&gt;"",OR(F94="Cost of Sales",F94="Operating Expense",F94="Other Expense"),Z94&gt;0),Z94+88/1000000,"")</f>
        <v/>
      </c>
      <c r="AI94" s="95">
        <f>L94+M94+SUM(N94:N94)</f>
        <v/>
      </c>
      <c r="AJ94" s="95">
        <f>L94+M94+SUM(N94:O94)</f>
        <v/>
      </c>
      <c r="AK94" s="95">
        <f>L94+M94+SUM(N94:P94)</f>
        <v/>
      </c>
      <c r="AL94" s="95">
        <f>L94+M94+SUM(N94:Q94)</f>
        <v/>
      </c>
      <c r="AM94" s="95">
        <f>L94+M94+SUM(N94:R94)</f>
        <v/>
      </c>
      <c r="AN94" s="95">
        <f>L94+M94+SUM(N94:S94)</f>
        <v/>
      </c>
      <c r="AO94" s="95">
        <f>L94+M94+SUM(N94:T94)</f>
        <v/>
      </c>
      <c r="AP94" s="95">
        <f>L94+M94+SUM(N94:U94)</f>
        <v/>
      </c>
      <c r="AQ94" s="95">
        <f>L94+M94+SUM(N94:V94)</f>
        <v/>
      </c>
      <c r="AR94" s="95">
        <f>L94+M94+SUM(N94:W94)</f>
        <v/>
      </c>
      <c r="AS94" s="95">
        <f>L94+M94+SUM(N94:X94)</f>
        <v/>
      </c>
      <c r="AT94" s="95">
        <f>L94+M94+SUM(N94:Y94)</f>
        <v/>
      </c>
    </row>
    <row r="95">
      <c r="B95" s="58" t="n">
        <v>89</v>
      </c>
      <c r="C95" s="58">
        <f>IFERROR(INDEX(coa_Name,89)&amp;"","")</f>
        <v/>
      </c>
      <c r="D95" s="58">
        <f>IF(C95="","",IF(COUNTIF($C$7:C95,C95)&gt;1,"",C95))</f>
        <v/>
      </c>
      <c r="E95" s="58">
        <f>IF($D95="","",INDEX(coa_Code,89))</f>
        <v/>
      </c>
      <c r="F95" s="58">
        <f>IF($D95="","",INDEX(coa_Type,89)&amp;"")</f>
        <v/>
      </c>
      <c r="G95" s="58">
        <f>IF($D95="","",INDEX(coa_Normal,89)&amp;"")</f>
        <v/>
      </c>
      <c r="H95" s="58">
        <f>IF($D95="","",IF(INDEX(coa_CF,89)&amp;""="","Operating",INDEX(coa_CF,89)&amp;""))</f>
        <v/>
      </c>
      <c r="I95" s="58">
        <f>IF($D95="","",IFERROR(INDEX(at_Stmt,MATCH(F95,at_Type,0)),""))</f>
        <v/>
      </c>
      <c r="J95" s="58">
        <f>IF($D95="",0,IFERROR(INDEX(at_Sign,MATCH(F95,at_Type,0)),0))</f>
        <v/>
      </c>
      <c r="K95" s="95">
        <f>IF($D95="",0,IF(G95="Credit",-1,1)*N(INDEX(coa_Open,89)))</f>
        <v/>
      </c>
      <c r="L95" s="95">
        <f>IF($D95="",0,IF($D95=acctOBE,K95-SUM($K$7:$K$156),K95))</f>
        <v/>
      </c>
      <c r="M95" s="95">
        <f>IF($D95="",0,SUMIFS(j_DrAmt,j_DrAcct,$D95,j_Per,0)-SUMIFS(j_CrAmt,j_CrAcct,$D95,j_Per,0)+IF($D95=acctTax,SUMIFS(j_TaxDr,j_Posted,1,j_Per,0)-SUMIFS(j_TaxCr,j_Posted,1,j_Per,0),0))</f>
        <v/>
      </c>
      <c r="N95" s="95">
        <f>IF($D95="",0,SUMIFS(j_DrAmt,j_DrAcct,$D95,j_Per,1)-SUMIFS(j_CrAmt,j_CrAcct,$D95,j_Per,1)+IF($D95=acctTax,SUMIFS(j_TaxDr,j_Posted,1,j_Per,1)-SUMIFS(j_TaxCr,j_Posted,1,j_Per,1),0))</f>
        <v/>
      </c>
      <c r="O95" s="95">
        <f>IF($D95="",0,SUMIFS(j_DrAmt,j_DrAcct,$D95,j_Per,2)-SUMIFS(j_CrAmt,j_CrAcct,$D95,j_Per,2)+IF($D95=acctTax,SUMIFS(j_TaxDr,j_Posted,1,j_Per,2)-SUMIFS(j_TaxCr,j_Posted,1,j_Per,2),0))</f>
        <v/>
      </c>
      <c r="P95" s="95">
        <f>IF($D95="",0,SUMIFS(j_DrAmt,j_DrAcct,$D95,j_Per,3)-SUMIFS(j_CrAmt,j_CrAcct,$D95,j_Per,3)+IF($D95=acctTax,SUMIFS(j_TaxDr,j_Posted,1,j_Per,3)-SUMIFS(j_TaxCr,j_Posted,1,j_Per,3),0))</f>
        <v/>
      </c>
      <c r="Q95" s="95">
        <f>IF($D95="",0,SUMIFS(j_DrAmt,j_DrAcct,$D95,j_Per,4)-SUMIFS(j_CrAmt,j_CrAcct,$D95,j_Per,4)+IF($D95=acctTax,SUMIFS(j_TaxDr,j_Posted,1,j_Per,4)-SUMIFS(j_TaxCr,j_Posted,1,j_Per,4),0))</f>
        <v/>
      </c>
      <c r="R95" s="95">
        <f>IF($D95="",0,SUMIFS(j_DrAmt,j_DrAcct,$D95,j_Per,5)-SUMIFS(j_CrAmt,j_CrAcct,$D95,j_Per,5)+IF($D95=acctTax,SUMIFS(j_TaxDr,j_Posted,1,j_Per,5)-SUMIFS(j_TaxCr,j_Posted,1,j_Per,5),0))</f>
        <v/>
      </c>
      <c r="S95" s="95">
        <f>IF($D95="",0,SUMIFS(j_DrAmt,j_DrAcct,$D95,j_Per,6)-SUMIFS(j_CrAmt,j_CrAcct,$D95,j_Per,6)+IF($D95=acctTax,SUMIFS(j_TaxDr,j_Posted,1,j_Per,6)-SUMIFS(j_TaxCr,j_Posted,1,j_Per,6),0))</f>
        <v/>
      </c>
      <c r="T95" s="95">
        <f>IF($D95="",0,SUMIFS(j_DrAmt,j_DrAcct,$D95,j_Per,7)-SUMIFS(j_CrAmt,j_CrAcct,$D95,j_Per,7)+IF($D95=acctTax,SUMIFS(j_TaxDr,j_Posted,1,j_Per,7)-SUMIFS(j_TaxCr,j_Posted,1,j_Per,7),0))</f>
        <v/>
      </c>
      <c r="U95" s="95">
        <f>IF($D95="",0,SUMIFS(j_DrAmt,j_DrAcct,$D95,j_Per,8)-SUMIFS(j_CrAmt,j_CrAcct,$D95,j_Per,8)+IF($D95=acctTax,SUMIFS(j_TaxDr,j_Posted,1,j_Per,8)-SUMIFS(j_TaxCr,j_Posted,1,j_Per,8),0))</f>
        <v/>
      </c>
      <c r="V95" s="95">
        <f>IF($D95="",0,SUMIFS(j_DrAmt,j_DrAcct,$D95,j_Per,9)-SUMIFS(j_CrAmt,j_CrAcct,$D95,j_Per,9)+IF($D95=acctTax,SUMIFS(j_TaxDr,j_Posted,1,j_Per,9)-SUMIFS(j_TaxCr,j_Posted,1,j_Per,9),0))</f>
        <v/>
      </c>
      <c r="W95" s="95">
        <f>IF($D95="",0,SUMIFS(j_DrAmt,j_DrAcct,$D95,j_Per,10)-SUMIFS(j_CrAmt,j_CrAcct,$D95,j_Per,10)+IF($D95=acctTax,SUMIFS(j_TaxDr,j_Posted,1,j_Per,10)-SUMIFS(j_TaxCr,j_Posted,1,j_Per,10),0))</f>
        <v/>
      </c>
      <c r="X95" s="95">
        <f>IF($D95="",0,SUMIFS(j_DrAmt,j_DrAcct,$D95,j_Per,11)-SUMIFS(j_CrAmt,j_CrAcct,$D95,j_Per,11)+IF($D95=acctTax,SUMIFS(j_TaxDr,j_Posted,1,j_Per,11)-SUMIFS(j_TaxCr,j_Posted,1,j_Per,11),0))</f>
        <v/>
      </c>
      <c r="Y95" s="95">
        <f>IF($D95="",0,SUMIFS(j_DrAmt,j_DrAcct,$D95,j_Per,12)-SUMIFS(j_CrAmt,j_CrAcct,$D95,j_Per,12)+IF($D95=acctTax,SUMIFS(j_TaxDr,j_Posted,1,j_Per,12)-SUMIFS(j_TaxCr,j_Posted,1,j_Per,12),0))</f>
        <v/>
      </c>
      <c r="Z95" s="95">
        <f>SUMPRODUCT(($N$5:$Y$5&lt;=RptIdx)*N95:Y95)</f>
        <v/>
      </c>
      <c r="AA95" s="95">
        <f>IF(AND(RptIdx&gt;=1,RptIdx&lt;=12),INDEX(N95:Y95,RptIdx),0)</f>
        <v/>
      </c>
      <c r="AB95" s="95">
        <f>IF($D95="",0,IF(RptIdx&gt;1,INDEX(N95:Y95,RptIdx-1),SUMIFS(j_DrAmt,j_DrAcct,$D95,j_Date,"&gt;="&amp;PrevStart,j_Date,"&lt;="&amp;PrevEnd)-SUMIFS(j_CrAmt,j_CrAcct,$D95,j_Date,"&gt;="&amp;PrevStart,j_Date,"&lt;="&amp;PrevEnd)+IF($D95=acctTax,SUMIFS(j_TaxDr,j_Posted,1,j_Date,"&gt;="&amp;PrevStart,j_Date,"&lt;="&amp;PrevEnd)-SUMIFS(j_TaxCr,j_Posted,1,j_Date,"&gt;="&amp;PrevStart,j_Date,"&lt;="&amp;PrevEnd),0)))</f>
        <v/>
      </c>
      <c r="AC95" s="95">
        <f>SUM(N95:Y95)</f>
        <v/>
      </c>
      <c r="AD95" s="95">
        <f>L95+M95+Z95</f>
        <v/>
      </c>
      <c r="AE95" s="95">
        <f>AD95-AA95</f>
        <v/>
      </c>
      <c r="AF95" s="58">
        <f>IF($D95="","",F95&amp;"|"&amp;COUNTIFS($F$7:F95,F95,$D$7:D95,"&lt;&gt;"))</f>
        <v/>
      </c>
      <c r="AG95" s="58">
        <f>IF(AND($D95&lt;&gt;"",H95="Cash"),"Cash|"&amp;COUNTIFS($H$7:H95,"Cash",$D$7:D95,"&lt;&gt;"),"")</f>
        <v/>
      </c>
      <c r="AH95" s="95">
        <f>IF(AND($D95&lt;&gt;"",OR(F95="Cost of Sales",F95="Operating Expense",F95="Other Expense"),Z95&gt;0),Z95+89/1000000,"")</f>
        <v/>
      </c>
      <c r="AI95" s="95">
        <f>L95+M95+SUM(N95:N95)</f>
        <v/>
      </c>
      <c r="AJ95" s="95">
        <f>L95+M95+SUM(N95:O95)</f>
        <v/>
      </c>
      <c r="AK95" s="95">
        <f>L95+M95+SUM(N95:P95)</f>
        <v/>
      </c>
      <c r="AL95" s="95">
        <f>L95+M95+SUM(N95:Q95)</f>
        <v/>
      </c>
      <c r="AM95" s="95">
        <f>L95+M95+SUM(N95:R95)</f>
        <v/>
      </c>
      <c r="AN95" s="95">
        <f>L95+M95+SUM(N95:S95)</f>
        <v/>
      </c>
      <c r="AO95" s="95">
        <f>L95+M95+SUM(N95:T95)</f>
        <v/>
      </c>
      <c r="AP95" s="95">
        <f>L95+M95+SUM(N95:U95)</f>
        <v/>
      </c>
      <c r="AQ95" s="95">
        <f>L95+M95+SUM(N95:V95)</f>
        <v/>
      </c>
      <c r="AR95" s="95">
        <f>L95+M95+SUM(N95:W95)</f>
        <v/>
      </c>
      <c r="AS95" s="95">
        <f>L95+M95+SUM(N95:X95)</f>
        <v/>
      </c>
      <c r="AT95" s="95">
        <f>L95+M95+SUM(N95:Y95)</f>
        <v/>
      </c>
    </row>
    <row r="96">
      <c r="B96" s="58" t="n">
        <v>90</v>
      </c>
      <c r="C96" s="58">
        <f>IFERROR(INDEX(coa_Name,90)&amp;"","")</f>
        <v/>
      </c>
      <c r="D96" s="58">
        <f>IF(C96="","",IF(COUNTIF($C$7:C96,C96)&gt;1,"",C96))</f>
        <v/>
      </c>
      <c r="E96" s="58">
        <f>IF($D96="","",INDEX(coa_Code,90))</f>
        <v/>
      </c>
      <c r="F96" s="58">
        <f>IF($D96="","",INDEX(coa_Type,90)&amp;"")</f>
        <v/>
      </c>
      <c r="G96" s="58">
        <f>IF($D96="","",INDEX(coa_Normal,90)&amp;"")</f>
        <v/>
      </c>
      <c r="H96" s="58">
        <f>IF($D96="","",IF(INDEX(coa_CF,90)&amp;""="","Operating",INDEX(coa_CF,90)&amp;""))</f>
        <v/>
      </c>
      <c r="I96" s="58">
        <f>IF($D96="","",IFERROR(INDEX(at_Stmt,MATCH(F96,at_Type,0)),""))</f>
        <v/>
      </c>
      <c r="J96" s="58">
        <f>IF($D96="",0,IFERROR(INDEX(at_Sign,MATCH(F96,at_Type,0)),0))</f>
        <v/>
      </c>
      <c r="K96" s="95">
        <f>IF($D96="",0,IF(G96="Credit",-1,1)*N(INDEX(coa_Open,90)))</f>
        <v/>
      </c>
      <c r="L96" s="95">
        <f>IF($D96="",0,IF($D96=acctOBE,K96-SUM($K$7:$K$156),K96))</f>
        <v/>
      </c>
      <c r="M96" s="95">
        <f>IF($D96="",0,SUMIFS(j_DrAmt,j_DrAcct,$D96,j_Per,0)-SUMIFS(j_CrAmt,j_CrAcct,$D96,j_Per,0)+IF($D96=acctTax,SUMIFS(j_TaxDr,j_Posted,1,j_Per,0)-SUMIFS(j_TaxCr,j_Posted,1,j_Per,0),0))</f>
        <v/>
      </c>
      <c r="N96" s="95">
        <f>IF($D96="",0,SUMIFS(j_DrAmt,j_DrAcct,$D96,j_Per,1)-SUMIFS(j_CrAmt,j_CrAcct,$D96,j_Per,1)+IF($D96=acctTax,SUMIFS(j_TaxDr,j_Posted,1,j_Per,1)-SUMIFS(j_TaxCr,j_Posted,1,j_Per,1),0))</f>
        <v/>
      </c>
      <c r="O96" s="95">
        <f>IF($D96="",0,SUMIFS(j_DrAmt,j_DrAcct,$D96,j_Per,2)-SUMIFS(j_CrAmt,j_CrAcct,$D96,j_Per,2)+IF($D96=acctTax,SUMIFS(j_TaxDr,j_Posted,1,j_Per,2)-SUMIFS(j_TaxCr,j_Posted,1,j_Per,2),0))</f>
        <v/>
      </c>
      <c r="P96" s="95">
        <f>IF($D96="",0,SUMIFS(j_DrAmt,j_DrAcct,$D96,j_Per,3)-SUMIFS(j_CrAmt,j_CrAcct,$D96,j_Per,3)+IF($D96=acctTax,SUMIFS(j_TaxDr,j_Posted,1,j_Per,3)-SUMIFS(j_TaxCr,j_Posted,1,j_Per,3),0))</f>
        <v/>
      </c>
      <c r="Q96" s="95">
        <f>IF($D96="",0,SUMIFS(j_DrAmt,j_DrAcct,$D96,j_Per,4)-SUMIFS(j_CrAmt,j_CrAcct,$D96,j_Per,4)+IF($D96=acctTax,SUMIFS(j_TaxDr,j_Posted,1,j_Per,4)-SUMIFS(j_TaxCr,j_Posted,1,j_Per,4),0))</f>
        <v/>
      </c>
      <c r="R96" s="95">
        <f>IF($D96="",0,SUMIFS(j_DrAmt,j_DrAcct,$D96,j_Per,5)-SUMIFS(j_CrAmt,j_CrAcct,$D96,j_Per,5)+IF($D96=acctTax,SUMIFS(j_TaxDr,j_Posted,1,j_Per,5)-SUMIFS(j_TaxCr,j_Posted,1,j_Per,5),0))</f>
        <v/>
      </c>
      <c r="S96" s="95">
        <f>IF($D96="",0,SUMIFS(j_DrAmt,j_DrAcct,$D96,j_Per,6)-SUMIFS(j_CrAmt,j_CrAcct,$D96,j_Per,6)+IF($D96=acctTax,SUMIFS(j_TaxDr,j_Posted,1,j_Per,6)-SUMIFS(j_TaxCr,j_Posted,1,j_Per,6),0))</f>
        <v/>
      </c>
      <c r="T96" s="95">
        <f>IF($D96="",0,SUMIFS(j_DrAmt,j_DrAcct,$D96,j_Per,7)-SUMIFS(j_CrAmt,j_CrAcct,$D96,j_Per,7)+IF($D96=acctTax,SUMIFS(j_TaxDr,j_Posted,1,j_Per,7)-SUMIFS(j_TaxCr,j_Posted,1,j_Per,7),0))</f>
        <v/>
      </c>
      <c r="U96" s="95">
        <f>IF($D96="",0,SUMIFS(j_DrAmt,j_DrAcct,$D96,j_Per,8)-SUMIFS(j_CrAmt,j_CrAcct,$D96,j_Per,8)+IF($D96=acctTax,SUMIFS(j_TaxDr,j_Posted,1,j_Per,8)-SUMIFS(j_TaxCr,j_Posted,1,j_Per,8),0))</f>
        <v/>
      </c>
      <c r="V96" s="95">
        <f>IF($D96="",0,SUMIFS(j_DrAmt,j_DrAcct,$D96,j_Per,9)-SUMIFS(j_CrAmt,j_CrAcct,$D96,j_Per,9)+IF($D96=acctTax,SUMIFS(j_TaxDr,j_Posted,1,j_Per,9)-SUMIFS(j_TaxCr,j_Posted,1,j_Per,9),0))</f>
        <v/>
      </c>
      <c r="W96" s="95">
        <f>IF($D96="",0,SUMIFS(j_DrAmt,j_DrAcct,$D96,j_Per,10)-SUMIFS(j_CrAmt,j_CrAcct,$D96,j_Per,10)+IF($D96=acctTax,SUMIFS(j_TaxDr,j_Posted,1,j_Per,10)-SUMIFS(j_TaxCr,j_Posted,1,j_Per,10),0))</f>
        <v/>
      </c>
      <c r="X96" s="95">
        <f>IF($D96="",0,SUMIFS(j_DrAmt,j_DrAcct,$D96,j_Per,11)-SUMIFS(j_CrAmt,j_CrAcct,$D96,j_Per,11)+IF($D96=acctTax,SUMIFS(j_TaxDr,j_Posted,1,j_Per,11)-SUMIFS(j_TaxCr,j_Posted,1,j_Per,11),0))</f>
        <v/>
      </c>
      <c r="Y96" s="95">
        <f>IF($D96="",0,SUMIFS(j_DrAmt,j_DrAcct,$D96,j_Per,12)-SUMIFS(j_CrAmt,j_CrAcct,$D96,j_Per,12)+IF($D96=acctTax,SUMIFS(j_TaxDr,j_Posted,1,j_Per,12)-SUMIFS(j_TaxCr,j_Posted,1,j_Per,12),0))</f>
        <v/>
      </c>
      <c r="Z96" s="95">
        <f>SUMPRODUCT(($N$5:$Y$5&lt;=RptIdx)*N96:Y96)</f>
        <v/>
      </c>
      <c r="AA96" s="95">
        <f>IF(AND(RptIdx&gt;=1,RptIdx&lt;=12),INDEX(N96:Y96,RptIdx),0)</f>
        <v/>
      </c>
      <c r="AB96" s="95">
        <f>IF($D96="",0,IF(RptIdx&gt;1,INDEX(N96:Y96,RptIdx-1),SUMIFS(j_DrAmt,j_DrAcct,$D96,j_Date,"&gt;="&amp;PrevStart,j_Date,"&lt;="&amp;PrevEnd)-SUMIFS(j_CrAmt,j_CrAcct,$D96,j_Date,"&gt;="&amp;PrevStart,j_Date,"&lt;="&amp;PrevEnd)+IF($D96=acctTax,SUMIFS(j_TaxDr,j_Posted,1,j_Date,"&gt;="&amp;PrevStart,j_Date,"&lt;="&amp;PrevEnd)-SUMIFS(j_TaxCr,j_Posted,1,j_Date,"&gt;="&amp;PrevStart,j_Date,"&lt;="&amp;PrevEnd),0)))</f>
        <v/>
      </c>
      <c r="AC96" s="95">
        <f>SUM(N96:Y96)</f>
        <v/>
      </c>
      <c r="AD96" s="95">
        <f>L96+M96+Z96</f>
        <v/>
      </c>
      <c r="AE96" s="95">
        <f>AD96-AA96</f>
        <v/>
      </c>
      <c r="AF96" s="58">
        <f>IF($D96="","",F96&amp;"|"&amp;COUNTIFS($F$7:F96,F96,$D$7:D96,"&lt;&gt;"))</f>
        <v/>
      </c>
      <c r="AG96" s="58">
        <f>IF(AND($D96&lt;&gt;"",H96="Cash"),"Cash|"&amp;COUNTIFS($H$7:H96,"Cash",$D$7:D96,"&lt;&gt;"),"")</f>
        <v/>
      </c>
      <c r="AH96" s="95">
        <f>IF(AND($D96&lt;&gt;"",OR(F96="Cost of Sales",F96="Operating Expense",F96="Other Expense"),Z96&gt;0),Z96+90/1000000,"")</f>
        <v/>
      </c>
      <c r="AI96" s="95">
        <f>L96+M96+SUM(N96:N96)</f>
        <v/>
      </c>
      <c r="AJ96" s="95">
        <f>L96+M96+SUM(N96:O96)</f>
        <v/>
      </c>
      <c r="AK96" s="95">
        <f>L96+M96+SUM(N96:P96)</f>
        <v/>
      </c>
      <c r="AL96" s="95">
        <f>L96+M96+SUM(N96:Q96)</f>
        <v/>
      </c>
      <c r="AM96" s="95">
        <f>L96+M96+SUM(N96:R96)</f>
        <v/>
      </c>
      <c r="AN96" s="95">
        <f>L96+M96+SUM(N96:S96)</f>
        <v/>
      </c>
      <c r="AO96" s="95">
        <f>L96+M96+SUM(N96:T96)</f>
        <v/>
      </c>
      <c r="AP96" s="95">
        <f>L96+M96+SUM(N96:U96)</f>
        <v/>
      </c>
      <c r="AQ96" s="95">
        <f>L96+M96+SUM(N96:V96)</f>
        <v/>
      </c>
      <c r="AR96" s="95">
        <f>L96+M96+SUM(N96:W96)</f>
        <v/>
      </c>
      <c r="AS96" s="95">
        <f>L96+M96+SUM(N96:X96)</f>
        <v/>
      </c>
      <c r="AT96" s="95">
        <f>L96+M96+SUM(N96:Y96)</f>
        <v/>
      </c>
    </row>
    <row r="97">
      <c r="B97" s="58" t="n">
        <v>91</v>
      </c>
      <c r="C97" s="58">
        <f>IFERROR(INDEX(coa_Name,91)&amp;"","")</f>
        <v/>
      </c>
      <c r="D97" s="58">
        <f>IF(C97="","",IF(COUNTIF($C$7:C97,C97)&gt;1,"",C97))</f>
        <v/>
      </c>
      <c r="E97" s="58">
        <f>IF($D97="","",INDEX(coa_Code,91))</f>
        <v/>
      </c>
      <c r="F97" s="58">
        <f>IF($D97="","",INDEX(coa_Type,91)&amp;"")</f>
        <v/>
      </c>
      <c r="G97" s="58">
        <f>IF($D97="","",INDEX(coa_Normal,91)&amp;"")</f>
        <v/>
      </c>
      <c r="H97" s="58">
        <f>IF($D97="","",IF(INDEX(coa_CF,91)&amp;""="","Operating",INDEX(coa_CF,91)&amp;""))</f>
        <v/>
      </c>
      <c r="I97" s="58">
        <f>IF($D97="","",IFERROR(INDEX(at_Stmt,MATCH(F97,at_Type,0)),""))</f>
        <v/>
      </c>
      <c r="J97" s="58">
        <f>IF($D97="",0,IFERROR(INDEX(at_Sign,MATCH(F97,at_Type,0)),0))</f>
        <v/>
      </c>
      <c r="K97" s="95">
        <f>IF($D97="",0,IF(G97="Credit",-1,1)*N(INDEX(coa_Open,91)))</f>
        <v/>
      </c>
      <c r="L97" s="95">
        <f>IF($D97="",0,IF($D97=acctOBE,K97-SUM($K$7:$K$156),K97))</f>
        <v/>
      </c>
      <c r="M97" s="95">
        <f>IF($D97="",0,SUMIFS(j_DrAmt,j_DrAcct,$D97,j_Per,0)-SUMIFS(j_CrAmt,j_CrAcct,$D97,j_Per,0)+IF($D97=acctTax,SUMIFS(j_TaxDr,j_Posted,1,j_Per,0)-SUMIFS(j_TaxCr,j_Posted,1,j_Per,0),0))</f>
        <v/>
      </c>
      <c r="N97" s="95">
        <f>IF($D97="",0,SUMIFS(j_DrAmt,j_DrAcct,$D97,j_Per,1)-SUMIFS(j_CrAmt,j_CrAcct,$D97,j_Per,1)+IF($D97=acctTax,SUMIFS(j_TaxDr,j_Posted,1,j_Per,1)-SUMIFS(j_TaxCr,j_Posted,1,j_Per,1),0))</f>
        <v/>
      </c>
      <c r="O97" s="95">
        <f>IF($D97="",0,SUMIFS(j_DrAmt,j_DrAcct,$D97,j_Per,2)-SUMIFS(j_CrAmt,j_CrAcct,$D97,j_Per,2)+IF($D97=acctTax,SUMIFS(j_TaxDr,j_Posted,1,j_Per,2)-SUMIFS(j_TaxCr,j_Posted,1,j_Per,2),0))</f>
        <v/>
      </c>
      <c r="P97" s="95">
        <f>IF($D97="",0,SUMIFS(j_DrAmt,j_DrAcct,$D97,j_Per,3)-SUMIFS(j_CrAmt,j_CrAcct,$D97,j_Per,3)+IF($D97=acctTax,SUMIFS(j_TaxDr,j_Posted,1,j_Per,3)-SUMIFS(j_TaxCr,j_Posted,1,j_Per,3),0))</f>
        <v/>
      </c>
      <c r="Q97" s="95">
        <f>IF($D97="",0,SUMIFS(j_DrAmt,j_DrAcct,$D97,j_Per,4)-SUMIFS(j_CrAmt,j_CrAcct,$D97,j_Per,4)+IF($D97=acctTax,SUMIFS(j_TaxDr,j_Posted,1,j_Per,4)-SUMIFS(j_TaxCr,j_Posted,1,j_Per,4),0))</f>
        <v/>
      </c>
      <c r="R97" s="95">
        <f>IF($D97="",0,SUMIFS(j_DrAmt,j_DrAcct,$D97,j_Per,5)-SUMIFS(j_CrAmt,j_CrAcct,$D97,j_Per,5)+IF($D97=acctTax,SUMIFS(j_TaxDr,j_Posted,1,j_Per,5)-SUMIFS(j_TaxCr,j_Posted,1,j_Per,5),0))</f>
        <v/>
      </c>
      <c r="S97" s="95">
        <f>IF($D97="",0,SUMIFS(j_DrAmt,j_DrAcct,$D97,j_Per,6)-SUMIFS(j_CrAmt,j_CrAcct,$D97,j_Per,6)+IF($D97=acctTax,SUMIFS(j_TaxDr,j_Posted,1,j_Per,6)-SUMIFS(j_TaxCr,j_Posted,1,j_Per,6),0))</f>
        <v/>
      </c>
      <c r="T97" s="95">
        <f>IF($D97="",0,SUMIFS(j_DrAmt,j_DrAcct,$D97,j_Per,7)-SUMIFS(j_CrAmt,j_CrAcct,$D97,j_Per,7)+IF($D97=acctTax,SUMIFS(j_TaxDr,j_Posted,1,j_Per,7)-SUMIFS(j_TaxCr,j_Posted,1,j_Per,7),0))</f>
        <v/>
      </c>
      <c r="U97" s="95">
        <f>IF($D97="",0,SUMIFS(j_DrAmt,j_DrAcct,$D97,j_Per,8)-SUMIFS(j_CrAmt,j_CrAcct,$D97,j_Per,8)+IF($D97=acctTax,SUMIFS(j_TaxDr,j_Posted,1,j_Per,8)-SUMIFS(j_TaxCr,j_Posted,1,j_Per,8),0))</f>
        <v/>
      </c>
      <c r="V97" s="95">
        <f>IF($D97="",0,SUMIFS(j_DrAmt,j_DrAcct,$D97,j_Per,9)-SUMIFS(j_CrAmt,j_CrAcct,$D97,j_Per,9)+IF($D97=acctTax,SUMIFS(j_TaxDr,j_Posted,1,j_Per,9)-SUMIFS(j_TaxCr,j_Posted,1,j_Per,9),0))</f>
        <v/>
      </c>
      <c r="W97" s="95">
        <f>IF($D97="",0,SUMIFS(j_DrAmt,j_DrAcct,$D97,j_Per,10)-SUMIFS(j_CrAmt,j_CrAcct,$D97,j_Per,10)+IF($D97=acctTax,SUMIFS(j_TaxDr,j_Posted,1,j_Per,10)-SUMIFS(j_TaxCr,j_Posted,1,j_Per,10),0))</f>
        <v/>
      </c>
      <c r="X97" s="95">
        <f>IF($D97="",0,SUMIFS(j_DrAmt,j_DrAcct,$D97,j_Per,11)-SUMIFS(j_CrAmt,j_CrAcct,$D97,j_Per,11)+IF($D97=acctTax,SUMIFS(j_TaxDr,j_Posted,1,j_Per,11)-SUMIFS(j_TaxCr,j_Posted,1,j_Per,11),0))</f>
        <v/>
      </c>
      <c r="Y97" s="95">
        <f>IF($D97="",0,SUMIFS(j_DrAmt,j_DrAcct,$D97,j_Per,12)-SUMIFS(j_CrAmt,j_CrAcct,$D97,j_Per,12)+IF($D97=acctTax,SUMIFS(j_TaxDr,j_Posted,1,j_Per,12)-SUMIFS(j_TaxCr,j_Posted,1,j_Per,12),0))</f>
        <v/>
      </c>
      <c r="Z97" s="95">
        <f>SUMPRODUCT(($N$5:$Y$5&lt;=RptIdx)*N97:Y97)</f>
        <v/>
      </c>
      <c r="AA97" s="95">
        <f>IF(AND(RptIdx&gt;=1,RptIdx&lt;=12),INDEX(N97:Y97,RptIdx),0)</f>
        <v/>
      </c>
      <c r="AB97" s="95">
        <f>IF($D97="",0,IF(RptIdx&gt;1,INDEX(N97:Y97,RptIdx-1),SUMIFS(j_DrAmt,j_DrAcct,$D97,j_Date,"&gt;="&amp;PrevStart,j_Date,"&lt;="&amp;PrevEnd)-SUMIFS(j_CrAmt,j_CrAcct,$D97,j_Date,"&gt;="&amp;PrevStart,j_Date,"&lt;="&amp;PrevEnd)+IF($D97=acctTax,SUMIFS(j_TaxDr,j_Posted,1,j_Date,"&gt;="&amp;PrevStart,j_Date,"&lt;="&amp;PrevEnd)-SUMIFS(j_TaxCr,j_Posted,1,j_Date,"&gt;="&amp;PrevStart,j_Date,"&lt;="&amp;PrevEnd),0)))</f>
        <v/>
      </c>
      <c r="AC97" s="95">
        <f>SUM(N97:Y97)</f>
        <v/>
      </c>
      <c r="AD97" s="95">
        <f>L97+M97+Z97</f>
        <v/>
      </c>
      <c r="AE97" s="95">
        <f>AD97-AA97</f>
        <v/>
      </c>
      <c r="AF97" s="58">
        <f>IF($D97="","",F97&amp;"|"&amp;COUNTIFS($F$7:F97,F97,$D$7:D97,"&lt;&gt;"))</f>
        <v/>
      </c>
      <c r="AG97" s="58">
        <f>IF(AND($D97&lt;&gt;"",H97="Cash"),"Cash|"&amp;COUNTIFS($H$7:H97,"Cash",$D$7:D97,"&lt;&gt;"),"")</f>
        <v/>
      </c>
      <c r="AH97" s="95">
        <f>IF(AND($D97&lt;&gt;"",OR(F97="Cost of Sales",F97="Operating Expense",F97="Other Expense"),Z97&gt;0),Z97+91/1000000,"")</f>
        <v/>
      </c>
      <c r="AI97" s="95">
        <f>L97+M97+SUM(N97:N97)</f>
        <v/>
      </c>
      <c r="AJ97" s="95">
        <f>L97+M97+SUM(N97:O97)</f>
        <v/>
      </c>
      <c r="AK97" s="95">
        <f>L97+M97+SUM(N97:P97)</f>
        <v/>
      </c>
      <c r="AL97" s="95">
        <f>L97+M97+SUM(N97:Q97)</f>
        <v/>
      </c>
      <c r="AM97" s="95">
        <f>L97+M97+SUM(N97:R97)</f>
        <v/>
      </c>
      <c r="AN97" s="95">
        <f>L97+M97+SUM(N97:S97)</f>
        <v/>
      </c>
      <c r="AO97" s="95">
        <f>L97+M97+SUM(N97:T97)</f>
        <v/>
      </c>
      <c r="AP97" s="95">
        <f>L97+M97+SUM(N97:U97)</f>
        <v/>
      </c>
      <c r="AQ97" s="95">
        <f>L97+M97+SUM(N97:V97)</f>
        <v/>
      </c>
      <c r="AR97" s="95">
        <f>L97+M97+SUM(N97:W97)</f>
        <v/>
      </c>
      <c r="AS97" s="95">
        <f>L97+M97+SUM(N97:X97)</f>
        <v/>
      </c>
      <c r="AT97" s="95">
        <f>L97+M97+SUM(N97:Y97)</f>
        <v/>
      </c>
    </row>
    <row r="98">
      <c r="B98" s="58" t="n">
        <v>92</v>
      </c>
      <c r="C98" s="58">
        <f>IFERROR(INDEX(coa_Name,92)&amp;"","")</f>
        <v/>
      </c>
      <c r="D98" s="58">
        <f>IF(C98="","",IF(COUNTIF($C$7:C98,C98)&gt;1,"",C98))</f>
        <v/>
      </c>
      <c r="E98" s="58">
        <f>IF($D98="","",INDEX(coa_Code,92))</f>
        <v/>
      </c>
      <c r="F98" s="58">
        <f>IF($D98="","",INDEX(coa_Type,92)&amp;"")</f>
        <v/>
      </c>
      <c r="G98" s="58">
        <f>IF($D98="","",INDEX(coa_Normal,92)&amp;"")</f>
        <v/>
      </c>
      <c r="H98" s="58">
        <f>IF($D98="","",IF(INDEX(coa_CF,92)&amp;""="","Operating",INDEX(coa_CF,92)&amp;""))</f>
        <v/>
      </c>
      <c r="I98" s="58">
        <f>IF($D98="","",IFERROR(INDEX(at_Stmt,MATCH(F98,at_Type,0)),""))</f>
        <v/>
      </c>
      <c r="J98" s="58">
        <f>IF($D98="",0,IFERROR(INDEX(at_Sign,MATCH(F98,at_Type,0)),0))</f>
        <v/>
      </c>
      <c r="K98" s="95">
        <f>IF($D98="",0,IF(G98="Credit",-1,1)*N(INDEX(coa_Open,92)))</f>
        <v/>
      </c>
      <c r="L98" s="95">
        <f>IF($D98="",0,IF($D98=acctOBE,K98-SUM($K$7:$K$156),K98))</f>
        <v/>
      </c>
      <c r="M98" s="95">
        <f>IF($D98="",0,SUMIFS(j_DrAmt,j_DrAcct,$D98,j_Per,0)-SUMIFS(j_CrAmt,j_CrAcct,$D98,j_Per,0)+IF($D98=acctTax,SUMIFS(j_TaxDr,j_Posted,1,j_Per,0)-SUMIFS(j_TaxCr,j_Posted,1,j_Per,0),0))</f>
        <v/>
      </c>
      <c r="N98" s="95">
        <f>IF($D98="",0,SUMIFS(j_DrAmt,j_DrAcct,$D98,j_Per,1)-SUMIFS(j_CrAmt,j_CrAcct,$D98,j_Per,1)+IF($D98=acctTax,SUMIFS(j_TaxDr,j_Posted,1,j_Per,1)-SUMIFS(j_TaxCr,j_Posted,1,j_Per,1),0))</f>
        <v/>
      </c>
      <c r="O98" s="95">
        <f>IF($D98="",0,SUMIFS(j_DrAmt,j_DrAcct,$D98,j_Per,2)-SUMIFS(j_CrAmt,j_CrAcct,$D98,j_Per,2)+IF($D98=acctTax,SUMIFS(j_TaxDr,j_Posted,1,j_Per,2)-SUMIFS(j_TaxCr,j_Posted,1,j_Per,2),0))</f>
        <v/>
      </c>
      <c r="P98" s="95">
        <f>IF($D98="",0,SUMIFS(j_DrAmt,j_DrAcct,$D98,j_Per,3)-SUMIFS(j_CrAmt,j_CrAcct,$D98,j_Per,3)+IF($D98=acctTax,SUMIFS(j_TaxDr,j_Posted,1,j_Per,3)-SUMIFS(j_TaxCr,j_Posted,1,j_Per,3),0))</f>
        <v/>
      </c>
      <c r="Q98" s="95">
        <f>IF($D98="",0,SUMIFS(j_DrAmt,j_DrAcct,$D98,j_Per,4)-SUMIFS(j_CrAmt,j_CrAcct,$D98,j_Per,4)+IF($D98=acctTax,SUMIFS(j_TaxDr,j_Posted,1,j_Per,4)-SUMIFS(j_TaxCr,j_Posted,1,j_Per,4),0))</f>
        <v/>
      </c>
      <c r="R98" s="95">
        <f>IF($D98="",0,SUMIFS(j_DrAmt,j_DrAcct,$D98,j_Per,5)-SUMIFS(j_CrAmt,j_CrAcct,$D98,j_Per,5)+IF($D98=acctTax,SUMIFS(j_TaxDr,j_Posted,1,j_Per,5)-SUMIFS(j_TaxCr,j_Posted,1,j_Per,5),0))</f>
        <v/>
      </c>
      <c r="S98" s="95">
        <f>IF($D98="",0,SUMIFS(j_DrAmt,j_DrAcct,$D98,j_Per,6)-SUMIFS(j_CrAmt,j_CrAcct,$D98,j_Per,6)+IF($D98=acctTax,SUMIFS(j_TaxDr,j_Posted,1,j_Per,6)-SUMIFS(j_TaxCr,j_Posted,1,j_Per,6),0))</f>
        <v/>
      </c>
      <c r="T98" s="95">
        <f>IF($D98="",0,SUMIFS(j_DrAmt,j_DrAcct,$D98,j_Per,7)-SUMIFS(j_CrAmt,j_CrAcct,$D98,j_Per,7)+IF($D98=acctTax,SUMIFS(j_TaxDr,j_Posted,1,j_Per,7)-SUMIFS(j_TaxCr,j_Posted,1,j_Per,7),0))</f>
        <v/>
      </c>
      <c r="U98" s="95">
        <f>IF($D98="",0,SUMIFS(j_DrAmt,j_DrAcct,$D98,j_Per,8)-SUMIFS(j_CrAmt,j_CrAcct,$D98,j_Per,8)+IF($D98=acctTax,SUMIFS(j_TaxDr,j_Posted,1,j_Per,8)-SUMIFS(j_TaxCr,j_Posted,1,j_Per,8),0))</f>
        <v/>
      </c>
      <c r="V98" s="95">
        <f>IF($D98="",0,SUMIFS(j_DrAmt,j_DrAcct,$D98,j_Per,9)-SUMIFS(j_CrAmt,j_CrAcct,$D98,j_Per,9)+IF($D98=acctTax,SUMIFS(j_TaxDr,j_Posted,1,j_Per,9)-SUMIFS(j_TaxCr,j_Posted,1,j_Per,9),0))</f>
        <v/>
      </c>
      <c r="W98" s="95">
        <f>IF($D98="",0,SUMIFS(j_DrAmt,j_DrAcct,$D98,j_Per,10)-SUMIFS(j_CrAmt,j_CrAcct,$D98,j_Per,10)+IF($D98=acctTax,SUMIFS(j_TaxDr,j_Posted,1,j_Per,10)-SUMIFS(j_TaxCr,j_Posted,1,j_Per,10),0))</f>
        <v/>
      </c>
      <c r="X98" s="95">
        <f>IF($D98="",0,SUMIFS(j_DrAmt,j_DrAcct,$D98,j_Per,11)-SUMIFS(j_CrAmt,j_CrAcct,$D98,j_Per,11)+IF($D98=acctTax,SUMIFS(j_TaxDr,j_Posted,1,j_Per,11)-SUMIFS(j_TaxCr,j_Posted,1,j_Per,11),0))</f>
        <v/>
      </c>
      <c r="Y98" s="95">
        <f>IF($D98="",0,SUMIFS(j_DrAmt,j_DrAcct,$D98,j_Per,12)-SUMIFS(j_CrAmt,j_CrAcct,$D98,j_Per,12)+IF($D98=acctTax,SUMIFS(j_TaxDr,j_Posted,1,j_Per,12)-SUMIFS(j_TaxCr,j_Posted,1,j_Per,12),0))</f>
        <v/>
      </c>
      <c r="Z98" s="95">
        <f>SUMPRODUCT(($N$5:$Y$5&lt;=RptIdx)*N98:Y98)</f>
        <v/>
      </c>
      <c r="AA98" s="95">
        <f>IF(AND(RptIdx&gt;=1,RptIdx&lt;=12),INDEX(N98:Y98,RptIdx),0)</f>
        <v/>
      </c>
      <c r="AB98" s="95">
        <f>IF($D98="",0,IF(RptIdx&gt;1,INDEX(N98:Y98,RptIdx-1),SUMIFS(j_DrAmt,j_DrAcct,$D98,j_Date,"&gt;="&amp;PrevStart,j_Date,"&lt;="&amp;PrevEnd)-SUMIFS(j_CrAmt,j_CrAcct,$D98,j_Date,"&gt;="&amp;PrevStart,j_Date,"&lt;="&amp;PrevEnd)+IF($D98=acctTax,SUMIFS(j_TaxDr,j_Posted,1,j_Date,"&gt;="&amp;PrevStart,j_Date,"&lt;="&amp;PrevEnd)-SUMIFS(j_TaxCr,j_Posted,1,j_Date,"&gt;="&amp;PrevStart,j_Date,"&lt;="&amp;PrevEnd),0)))</f>
        <v/>
      </c>
      <c r="AC98" s="95">
        <f>SUM(N98:Y98)</f>
        <v/>
      </c>
      <c r="AD98" s="95">
        <f>L98+M98+Z98</f>
        <v/>
      </c>
      <c r="AE98" s="95">
        <f>AD98-AA98</f>
        <v/>
      </c>
      <c r="AF98" s="58">
        <f>IF($D98="","",F98&amp;"|"&amp;COUNTIFS($F$7:F98,F98,$D$7:D98,"&lt;&gt;"))</f>
        <v/>
      </c>
      <c r="AG98" s="58">
        <f>IF(AND($D98&lt;&gt;"",H98="Cash"),"Cash|"&amp;COUNTIFS($H$7:H98,"Cash",$D$7:D98,"&lt;&gt;"),"")</f>
        <v/>
      </c>
      <c r="AH98" s="95">
        <f>IF(AND($D98&lt;&gt;"",OR(F98="Cost of Sales",F98="Operating Expense",F98="Other Expense"),Z98&gt;0),Z98+92/1000000,"")</f>
        <v/>
      </c>
      <c r="AI98" s="95">
        <f>L98+M98+SUM(N98:N98)</f>
        <v/>
      </c>
      <c r="AJ98" s="95">
        <f>L98+M98+SUM(N98:O98)</f>
        <v/>
      </c>
      <c r="AK98" s="95">
        <f>L98+M98+SUM(N98:P98)</f>
        <v/>
      </c>
      <c r="AL98" s="95">
        <f>L98+M98+SUM(N98:Q98)</f>
        <v/>
      </c>
      <c r="AM98" s="95">
        <f>L98+M98+SUM(N98:R98)</f>
        <v/>
      </c>
      <c r="AN98" s="95">
        <f>L98+M98+SUM(N98:S98)</f>
        <v/>
      </c>
      <c r="AO98" s="95">
        <f>L98+M98+SUM(N98:T98)</f>
        <v/>
      </c>
      <c r="AP98" s="95">
        <f>L98+M98+SUM(N98:U98)</f>
        <v/>
      </c>
      <c r="AQ98" s="95">
        <f>L98+M98+SUM(N98:V98)</f>
        <v/>
      </c>
      <c r="AR98" s="95">
        <f>L98+M98+SUM(N98:W98)</f>
        <v/>
      </c>
      <c r="AS98" s="95">
        <f>L98+M98+SUM(N98:X98)</f>
        <v/>
      </c>
      <c r="AT98" s="95">
        <f>L98+M98+SUM(N98:Y98)</f>
        <v/>
      </c>
    </row>
    <row r="99">
      <c r="B99" s="58" t="n">
        <v>93</v>
      </c>
      <c r="C99" s="58">
        <f>IFERROR(INDEX(coa_Name,93)&amp;"","")</f>
        <v/>
      </c>
      <c r="D99" s="58">
        <f>IF(C99="","",IF(COUNTIF($C$7:C99,C99)&gt;1,"",C99))</f>
        <v/>
      </c>
      <c r="E99" s="58">
        <f>IF($D99="","",INDEX(coa_Code,93))</f>
        <v/>
      </c>
      <c r="F99" s="58">
        <f>IF($D99="","",INDEX(coa_Type,93)&amp;"")</f>
        <v/>
      </c>
      <c r="G99" s="58">
        <f>IF($D99="","",INDEX(coa_Normal,93)&amp;"")</f>
        <v/>
      </c>
      <c r="H99" s="58">
        <f>IF($D99="","",IF(INDEX(coa_CF,93)&amp;""="","Operating",INDEX(coa_CF,93)&amp;""))</f>
        <v/>
      </c>
      <c r="I99" s="58">
        <f>IF($D99="","",IFERROR(INDEX(at_Stmt,MATCH(F99,at_Type,0)),""))</f>
        <v/>
      </c>
      <c r="J99" s="58">
        <f>IF($D99="",0,IFERROR(INDEX(at_Sign,MATCH(F99,at_Type,0)),0))</f>
        <v/>
      </c>
      <c r="K99" s="95">
        <f>IF($D99="",0,IF(G99="Credit",-1,1)*N(INDEX(coa_Open,93)))</f>
        <v/>
      </c>
      <c r="L99" s="95">
        <f>IF($D99="",0,IF($D99=acctOBE,K99-SUM($K$7:$K$156),K99))</f>
        <v/>
      </c>
      <c r="M99" s="95">
        <f>IF($D99="",0,SUMIFS(j_DrAmt,j_DrAcct,$D99,j_Per,0)-SUMIFS(j_CrAmt,j_CrAcct,$D99,j_Per,0)+IF($D99=acctTax,SUMIFS(j_TaxDr,j_Posted,1,j_Per,0)-SUMIFS(j_TaxCr,j_Posted,1,j_Per,0),0))</f>
        <v/>
      </c>
      <c r="N99" s="95">
        <f>IF($D99="",0,SUMIFS(j_DrAmt,j_DrAcct,$D99,j_Per,1)-SUMIFS(j_CrAmt,j_CrAcct,$D99,j_Per,1)+IF($D99=acctTax,SUMIFS(j_TaxDr,j_Posted,1,j_Per,1)-SUMIFS(j_TaxCr,j_Posted,1,j_Per,1),0))</f>
        <v/>
      </c>
      <c r="O99" s="95">
        <f>IF($D99="",0,SUMIFS(j_DrAmt,j_DrAcct,$D99,j_Per,2)-SUMIFS(j_CrAmt,j_CrAcct,$D99,j_Per,2)+IF($D99=acctTax,SUMIFS(j_TaxDr,j_Posted,1,j_Per,2)-SUMIFS(j_TaxCr,j_Posted,1,j_Per,2),0))</f>
        <v/>
      </c>
      <c r="P99" s="95">
        <f>IF($D99="",0,SUMIFS(j_DrAmt,j_DrAcct,$D99,j_Per,3)-SUMIFS(j_CrAmt,j_CrAcct,$D99,j_Per,3)+IF($D99=acctTax,SUMIFS(j_TaxDr,j_Posted,1,j_Per,3)-SUMIFS(j_TaxCr,j_Posted,1,j_Per,3),0))</f>
        <v/>
      </c>
      <c r="Q99" s="95">
        <f>IF($D99="",0,SUMIFS(j_DrAmt,j_DrAcct,$D99,j_Per,4)-SUMIFS(j_CrAmt,j_CrAcct,$D99,j_Per,4)+IF($D99=acctTax,SUMIFS(j_TaxDr,j_Posted,1,j_Per,4)-SUMIFS(j_TaxCr,j_Posted,1,j_Per,4),0))</f>
        <v/>
      </c>
      <c r="R99" s="95">
        <f>IF($D99="",0,SUMIFS(j_DrAmt,j_DrAcct,$D99,j_Per,5)-SUMIFS(j_CrAmt,j_CrAcct,$D99,j_Per,5)+IF($D99=acctTax,SUMIFS(j_TaxDr,j_Posted,1,j_Per,5)-SUMIFS(j_TaxCr,j_Posted,1,j_Per,5),0))</f>
        <v/>
      </c>
      <c r="S99" s="95">
        <f>IF($D99="",0,SUMIFS(j_DrAmt,j_DrAcct,$D99,j_Per,6)-SUMIFS(j_CrAmt,j_CrAcct,$D99,j_Per,6)+IF($D99=acctTax,SUMIFS(j_TaxDr,j_Posted,1,j_Per,6)-SUMIFS(j_TaxCr,j_Posted,1,j_Per,6),0))</f>
        <v/>
      </c>
      <c r="T99" s="95">
        <f>IF($D99="",0,SUMIFS(j_DrAmt,j_DrAcct,$D99,j_Per,7)-SUMIFS(j_CrAmt,j_CrAcct,$D99,j_Per,7)+IF($D99=acctTax,SUMIFS(j_TaxDr,j_Posted,1,j_Per,7)-SUMIFS(j_TaxCr,j_Posted,1,j_Per,7),0))</f>
        <v/>
      </c>
      <c r="U99" s="95">
        <f>IF($D99="",0,SUMIFS(j_DrAmt,j_DrAcct,$D99,j_Per,8)-SUMIFS(j_CrAmt,j_CrAcct,$D99,j_Per,8)+IF($D99=acctTax,SUMIFS(j_TaxDr,j_Posted,1,j_Per,8)-SUMIFS(j_TaxCr,j_Posted,1,j_Per,8),0))</f>
        <v/>
      </c>
      <c r="V99" s="95">
        <f>IF($D99="",0,SUMIFS(j_DrAmt,j_DrAcct,$D99,j_Per,9)-SUMIFS(j_CrAmt,j_CrAcct,$D99,j_Per,9)+IF($D99=acctTax,SUMIFS(j_TaxDr,j_Posted,1,j_Per,9)-SUMIFS(j_TaxCr,j_Posted,1,j_Per,9),0))</f>
        <v/>
      </c>
      <c r="W99" s="95">
        <f>IF($D99="",0,SUMIFS(j_DrAmt,j_DrAcct,$D99,j_Per,10)-SUMIFS(j_CrAmt,j_CrAcct,$D99,j_Per,10)+IF($D99=acctTax,SUMIFS(j_TaxDr,j_Posted,1,j_Per,10)-SUMIFS(j_TaxCr,j_Posted,1,j_Per,10),0))</f>
        <v/>
      </c>
      <c r="X99" s="95">
        <f>IF($D99="",0,SUMIFS(j_DrAmt,j_DrAcct,$D99,j_Per,11)-SUMIFS(j_CrAmt,j_CrAcct,$D99,j_Per,11)+IF($D99=acctTax,SUMIFS(j_TaxDr,j_Posted,1,j_Per,11)-SUMIFS(j_TaxCr,j_Posted,1,j_Per,11),0))</f>
        <v/>
      </c>
      <c r="Y99" s="95">
        <f>IF($D99="",0,SUMIFS(j_DrAmt,j_DrAcct,$D99,j_Per,12)-SUMIFS(j_CrAmt,j_CrAcct,$D99,j_Per,12)+IF($D99=acctTax,SUMIFS(j_TaxDr,j_Posted,1,j_Per,12)-SUMIFS(j_TaxCr,j_Posted,1,j_Per,12),0))</f>
        <v/>
      </c>
      <c r="Z99" s="95">
        <f>SUMPRODUCT(($N$5:$Y$5&lt;=RptIdx)*N99:Y99)</f>
        <v/>
      </c>
      <c r="AA99" s="95">
        <f>IF(AND(RptIdx&gt;=1,RptIdx&lt;=12),INDEX(N99:Y99,RptIdx),0)</f>
        <v/>
      </c>
      <c r="AB99" s="95">
        <f>IF($D99="",0,IF(RptIdx&gt;1,INDEX(N99:Y99,RptIdx-1),SUMIFS(j_DrAmt,j_DrAcct,$D99,j_Date,"&gt;="&amp;PrevStart,j_Date,"&lt;="&amp;PrevEnd)-SUMIFS(j_CrAmt,j_CrAcct,$D99,j_Date,"&gt;="&amp;PrevStart,j_Date,"&lt;="&amp;PrevEnd)+IF($D99=acctTax,SUMIFS(j_TaxDr,j_Posted,1,j_Date,"&gt;="&amp;PrevStart,j_Date,"&lt;="&amp;PrevEnd)-SUMIFS(j_TaxCr,j_Posted,1,j_Date,"&gt;="&amp;PrevStart,j_Date,"&lt;="&amp;PrevEnd),0)))</f>
        <v/>
      </c>
      <c r="AC99" s="95">
        <f>SUM(N99:Y99)</f>
        <v/>
      </c>
      <c r="AD99" s="95">
        <f>L99+M99+Z99</f>
        <v/>
      </c>
      <c r="AE99" s="95">
        <f>AD99-AA99</f>
        <v/>
      </c>
      <c r="AF99" s="58">
        <f>IF($D99="","",F99&amp;"|"&amp;COUNTIFS($F$7:F99,F99,$D$7:D99,"&lt;&gt;"))</f>
        <v/>
      </c>
      <c r="AG99" s="58">
        <f>IF(AND($D99&lt;&gt;"",H99="Cash"),"Cash|"&amp;COUNTIFS($H$7:H99,"Cash",$D$7:D99,"&lt;&gt;"),"")</f>
        <v/>
      </c>
      <c r="AH99" s="95">
        <f>IF(AND($D99&lt;&gt;"",OR(F99="Cost of Sales",F99="Operating Expense",F99="Other Expense"),Z99&gt;0),Z99+93/1000000,"")</f>
        <v/>
      </c>
      <c r="AI99" s="95">
        <f>L99+M99+SUM(N99:N99)</f>
        <v/>
      </c>
      <c r="AJ99" s="95">
        <f>L99+M99+SUM(N99:O99)</f>
        <v/>
      </c>
      <c r="AK99" s="95">
        <f>L99+M99+SUM(N99:P99)</f>
        <v/>
      </c>
      <c r="AL99" s="95">
        <f>L99+M99+SUM(N99:Q99)</f>
        <v/>
      </c>
      <c r="AM99" s="95">
        <f>L99+M99+SUM(N99:R99)</f>
        <v/>
      </c>
      <c r="AN99" s="95">
        <f>L99+M99+SUM(N99:S99)</f>
        <v/>
      </c>
      <c r="AO99" s="95">
        <f>L99+M99+SUM(N99:T99)</f>
        <v/>
      </c>
      <c r="AP99" s="95">
        <f>L99+M99+SUM(N99:U99)</f>
        <v/>
      </c>
      <c r="AQ99" s="95">
        <f>L99+M99+SUM(N99:V99)</f>
        <v/>
      </c>
      <c r="AR99" s="95">
        <f>L99+M99+SUM(N99:W99)</f>
        <v/>
      </c>
      <c r="AS99" s="95">
        <f>L99+M99+SUM(N99:X99)</f>
        <v/>
      </c>
      <c r="AT99" s="95">
        <f>L99+M99+SUM(N99:Y99)</f>
        <v/>
      </c>
    </row>
    <row r="100">
      <c r="B100" s="58" t="n">
        <v>94</v>
      </c>
      <c r="C100" s="58">
        <f>IFERROR(INDEX(coa_Name,94)&amp;"","")</f>
        <v/>
      </c>
      <c r="D100" s="58">
        <f>IF(C100="","",IF(COUNTIF($C$7:C100,C100)&gt;1,"",C100))</f>
        <v/>
      </c>
      <c r="E100" s="58">
        <f>IF($D100="","",INDEX(coa_Code,94))</f>
        <v/>
      </c>
      <c r="F100" s="58">
        <f>IF($D100="","",INDEX(coa_Type,94)&amp;"")</f>
        <v/>
      </c>
      <c r="G100" s="58">
        <f>IF($D100="","",INDEX(coa_Normal,94)&amp;"")</f>
        <v/>
      </c>
      <c r="H100" s="58">
        <f>IF($D100="","",IF(INDEX(coa_CF,94)&amp;""="","Operating",INDEX(coa_CF,94)&amp;""))</f>
        <v/>
      </c>
      <c r="I100" s="58">
        <f>IF($D100="","",IFERROR(INDEX(at_Stmt,MATCH(F100,at_Type,0)),""))</f>
        <v/>
      </c>
      <c r="J100" s="58">
        <f>IF($D100="",0,IFERROR(INDEX(at_Sign,MATCH(F100,at_Type,0)),0))</f>
        <v/>
      </c>
      <c r="K100" s="95">
        <f>IF($D100="",0,IF(G100="Credit",-1,1)*N(INDEX(coa_Open,94)))</f>
        <v/>
      </c>
      <c r="L100" s="95">
        <f>IF($D100="",0,IF($D100=acctOBE,K100-SUM($K$7:$K$156),K100))</f>
        <v/>
      </c>
      <c r="M100" s="95">
        <f>IF($D100="",0,SUMIFS(j_DrAmt,j_DrAcct,$D100,j_Per,0)-SUMIFS(j_CrAmt,j_CrAcct,$D100,j_Per,0)+IF($D100=acctTax,SUMIFS(j_TaxDr,j_Posted,1,j_Per,0)-SUMIFS(j_TaxCr,j_Posted,1,j_Per,0),0))</f>
        <v/>
      </c>
      <c r="N100" s="95">
        <f>IF($D100="",0,SUMIFS(j_DrAmt,j_DrAcct,$D100,j_Per,1)-SUMIFS(j_CrAmt,j_CrAcct,$D100,j_Per,1)+IF($D100=acctTax,SUMIFS(j_TaxDr,j_Posted,1,j_Per,1)-SUMIFS(j_TaxCr,j_Posted,1,j_Per,1),0))</f>
        <v/>
      </c>
      <c r="O100" s="95">
        <f>IF($D100="",0,SUMIFS(j_DrAmt,j_DrAcct,$D100,j_Per,2)-SUMIFS(j_CrAmt,j_CrAcct,$D100,j_Per,2)+IF($D100=acctTax,SUMIFS(j_TaxDr,j_Posted,1,j_Per,2)-SUMIFS(j_TaxCr,j_Posted,1,j_Per,2),0))</f>
        <v/>
      </c>
      <c r="P100" s="95">
        <f>IF($D100="",0,SUMIFS(j_DrAmt,j_DrAcct,$D100,j_Per,3)-SUMIFS(j_CrAmt,j_CrAcct,$D100,j_Per,3)+IF($D100=acctTax,SUMIFS(j_TaxDr,j_Posted,1,j_Per,3)-SUMIFS(j_TaxCr,j_Posted,1,j_Per,3),0))</f>
        <v/>
      </c>
      <c r="Q100" s="95">
        <f>IF($D100="",0,SUMIFS(j_DrAmt,j_DrAcct,$D100,j_Per,4)-SUMIFS(j_CrAmt,j_CrAcct,$D100,j_Per,4)+IF($D100=acctTax,SUMIFS(j_TaxDr,j_Posted,1,j_Per,4)-SUMIFS(j_TaxCr,j_Posted,1,j_Per,4),0))</f>
        <v/>
      </c>
      <c r="R100" s="95">
        <f>IF($D100="",0,SUMIFS(j_DrAmt,j_DrAcct,$D100,j_Per,5)-SUMIFS(j_CrAmt,j_CrAcct,$D100,j_Per,5)+IF($D100=acctTax,SUMIFS(j_TaxDr,j_Posted,1,j_Per,5)-SUMIFS(j_TaxCr,j_Posted,1,j_Per,5),0))</f>
        <v/>
      </c>
      <c r="S100" s="95">
        <f>IF($D100="",0,SUMIFS(j_DrAmt,j_DrAcct,$D100,j_Per,6)-SUMIFS(j_CrAmt,j_CrAcct,$D100,j_Per,6)+IF($D100=acctTax,SUMIFS(j_TaxDr,j_Posted,1,j_Per,6)-SUMIFS(j_TaxCr,j_Posted,1,j_Per,6),0))</f>
        <v/>
      </c>
      <c r="T100" s="95">
        <f>IF($D100="",0,SUMIFS(j_DrAmt,j_DrAcct,$D100,j_Per,7)-SUMIFS(j_CrAmt,j_CrAcct,$D100,j_Per,7)+IF($D100=acctTax,SUMIFS(j_TaxDr,j_Posted,1,j_Per,7)-SUMIFS(j_TaxCr,j_Posted,1,j_Per,7),0))</f>
        <v/>
      </c>
      <c r="U100" s="95">
        <f>IF($D100="",0,SUMIFS(j_DrAmt,j_DrAcct,$D100,j_Per,8)-SUMIFS(j_CrAmt,j_CrAcct,$D100,j_Per,8)+IF($D100=acctTax,SUMIFS(j_TaxDr,j_Posted,1,j_Per,8)-SUMIFS(j_TaxCr,j_Posted,1,j_Per,8),0))</f>
        <v/>
      </c>
      <c r="V100" s="95">
        <f>IF($D100="",0,SUMIFS(j_DrAmt,j_DrAcct,$D100,j_Per,9)-SUMIFS(j_CrAmt,j_CrAcct,$D100,j_Per,9)+IF($D100=acctTax,SUMIFS(j_TaxDr,j_Posted,1,j_Per,9)-SUMIFS(j_TaxCr,j_Posted,1,j_Per,9),0))</f>
        <v/>
      </c>
      <c r="W100" s="95">
        <f>IF($D100="",0,SUMIFS(j_DrAmt,j_DrAcct,$D100,j_Per,10)-SUMIFS(j_CrAmt,j_CrAcct,$D100,j_Per,10)+IF($D100=acctTax,SUMIFS(j_TaxDr,j_Posted,1,j_Per,10)-SUMIFS(j_TaxCr,j_Posted,1,j_Per,10),0))</f>
        <v/>
      </c>
      <c r="X100" s="95">
        <f>IF($D100="",0,SUMIFS(j_DrAmt,j_DrAcct,$D100,j_Per,11)-SUMIFS(j_CrAmt,j_CrAcct,$D100,j_Per,11)+IF($D100=acctTax,SUMIFS(j_TaxDr,j_Posted,1,j_Per,11)-SUMIFS(j_TaxCr,j_Posted,1,j_Per,11),0))</f>
        <v/>
      </c>
      <c r="Y100" s="95">
        <f>IF($D100="",0,SUMIFS(j_DrAmt,j_DrAcct,$D100,j_Per,12)-SUMIFS(j_CrAmt,j_CrAcct,$D100,j_Per,12)+IF($D100=acctTax,SUMIFS(j_TaxDr,j_Posted,1,j_Per,12)-SUMIFS(j_TaxCr,j_Posted,1,j_Per,12),0))</f>
        <v/>
      </c>
      <c r="Z100" s="95">
        <f>SUMPRODUCT(($N$5:$Y$5&lt;=RptIdx)*N100:Y100)</f>
        <v/>
      </c>
      <c r="AA100" s="95">
        <f>IF(AND(RptIdx&gt;=1,RptIdx&lt;=12),INDEX(N100:Y100,RptIdx),0)</f>
        <v/>
      </c>
      <c r="AB100" s="95">
        <f>IF($D100="",0,IF(RptIdx&gt;1,INDEX(N100:Y100,RptIdx-1),SUMIFS(j_DrAmt,j_DrAcct,$D100,j_Date,"&gt;="&amp;PrevStart,j_Date,"&lt;="&amp;PrevEnd)-SUMIFS(j_CrAmt,j_CrAcct,$D100,j_Date,"&gt;="&amp;PrevStart,j_Date,"&lt;="&amp;PrevEnd)+IF($D100=acctTax,SUMIFS(j_TaxDr,j_Posted,1,j_Date,"&gt;="&amp;PrevStart,j_Date,"&lt;="&amp;PrevEnd)-SUMIFS(j_TaxCr,j_Posted,1,j_Date,"&gt;="&amp;PrevStart,j_Date,"&lt;="&amp;PrevEnd),0)))</f>
        <v/>
      </c>
      <c r="AC100" s="95">
        <f>SUM(N100:Y100)</f>
        <v/>
      </c>
      <c r="AD100" s="95">
        <f>L100+M100+Z100</f>
        <v/>
      </c>
      <c r="AE100" s="95">
        <f>AD100-AA100</f>
        <v/>
      </c>
      <c r="AF100" s="58">
        <f>IF($D100="","",F100&amp;"|"&amp;COUNTIFS($F$7:F100,F100,$D$7:D100,"&lt;&gt;"))</f>
        <v/>
      </c>
      <c r="AG100" s="58">
        <f>IF(AND($D100&lt;&gt;"",H100="Cash"),"Cash|"&amp;COUNTIFS($H$7:H100,"Cash",$D$7:D100,"&lt;&gt;"),"")</f>
        <v/>
      </c>
      <c r="AH100" s="95">
        <f>IF(AND($D100&lt;&gt;"",OR(F100="Cost of Sales",F100="Operating Expense",F100="Other Expense"),Z100&gt;0),Z100+94/1000000,"")</f>
        <v/>
      </c>
      <c r="AI100" s="95">
        <f>L100+M100+SUM(N100:N100)</f>
        <v/>
      </c>
      <c r="AJ100" s="95">
        <f>L100+M100+SUM(N100:O100)</f>
        <v/>
      </c>
      <c r="AK100" s="95">
        <f>L100+M100+SUM(N100:P100)</f>
        <v/>
      </c>
      <c r="AL100" s="95">
        <f>L100+M100+SUM(N100:Q100)</f>
        <v/>
      </c>
      <c r="AM100" s="95">
        <f>L100+M100+SUM(N100:R100)</f>
        <v/>
      </c>
      <c r="AN100" s="95">
        <f>L100+M100+SUM(N100:S100)</f>
        <v/>
      </c>
      <c r="AO100" s="95">
        <f>L100+M100+SUM(N100:T100)</f>
        <v/>
      </c>
      <c r="AP100" s="95">
        <f>L100+M100+SUM(N100:U100)</f>
        <v/>
      </c>
      <c r="AQ100" s="95">
        <f>L100+M100+SUM(N100:V100)</f>
        <v/>
      </c>
      <c r="AR100" s="95">
        <f>L100+M100+SUM(N100:W100)</f>
        <v/>
      </c>
      <c r="AS100" s="95">
        <f>L100+M100+SUM(N100:X100)</f>
        <v/>
      </c>
      <c r="AT100" s="95">
        <f>L100+M100+SUM(N100:Y100)</f>
        <v/>
      </c>
    </row>
    <row r="101">
      <c r="B101" s="58" t="n">
        <v>95</v>
      </c>
      <c r="C101" s="58">
        <f>IFERROR(INDEX(coa_Name,95)&amp;"","")</f>
        <v/>
      </c>
      <c r="D101" s="58">
        <f>IF(C101="","",IF(COUNTIF($C$7:C101,C101)&gt;1,"",C101))</f>
        <v/>
      </c>
      <c r="E101" s="58">
        <f>IF($D101="","",INDEX(coa_Code,95))</f>
        <v/>
      </c>
      <c r="F101" s="58">
        <f>IF($D101="","",INDEX(coa_Type,95)&amp;"")</f>
        <v/>
      </c>
      <c r="G101" s="58">
        <f>IF($D101="","",INDEX(coa_Normal,95)&amp;"")</f>
        <v/>
      </c>
      <c r="H101" s="58">
        <f>IF($D101="","",IF(INDEX(coa_CF,95)&amp;""="","Operating",INDEX(coa_CF,95)&amp;""))</f>
        <v/>
      </c>
      <c r="I101" s="58">
        <f>IF($D101="","",IFERROR(INDEX(at_Stmt,MATCH(F101,at_Type,0)),""))</f>
        <v/>
      </c>
      <c r="J101" s="58">
        <f>IF($D101="",0,IFERROR(INDEX(at_Sign,MATCH(F101,at_Type,0)),0))</f>
        <v/>
      </c>
      <c r="K101" s="95">
        <f>IF($D101="",0,IF(G101="Credit",-1,1)*N(INDEX(coa_Open,95)))</f>
        <v/>
      </c>
      <c r="L101" s="95">
        <f>IF($D101="",0,IF($D101=acctOBE,K101-SUM($K$7:$K$156),K101))</f>
        <v/>
      </c>
      <c r="M101" s="95">
        <f>IF($D101="",0,SUMIFS(j_DrAmt,j_DrAcct,$D101,j_Per,0)-SUMIFS(j_CrAmt,j_CrAcct,$D101,j_Per,0)+IF($D101=acctTax,SUMIFS(j_TaxDr,j_Posted,1,j_Per,0)-SUMIFS(j_TaxCr,j_Posted,1,j_Per,0),0))</f>
        <v/>
      </c>
      <c r="N101" s="95">
        <f>IF($D101="",0,SUMIFS(j_DrAmt,j_DrAcct,$D101,j_Per,1)-SUMIFS(j_CrAmt,j_CrAcct,$D101,j_Per,1)+IF($D101=acctTax,SUMIFS(j_TaxDr,j_Posted,1,j_Per,1)-SUMIFS(j_TaxCr,j_Posted,1,j_Per,1),0))</f>
        <v/>
      </c>
      <c r="O101" s="95">
        <f>IF($D101="",0,SUMIFS(j_DrAmt,j_DrAcct,$D101,j_Per,2)-SUMIFS(j_CrAmt,j_CrAcct,$D101,j_Per,2)+IF($D101=acctTax,SUMIFS(j_TaxDr,j_Posted,1,j_Per,2)-SUMIFS(j_TaxCr,j_Posted,1,j_Per,2),0))</f>
        <v/>
      </c>
      <c r="P101" s="95">
        <f>IF($D101="",0,SUMIFS(j_DrAmt,j_DrAcct,$D101,j_Per,3)-SUMIFS(j_CrAmt,j_CrAcct,$D101,j_Per,3)+IF($D101=acctTax,SUMIFS(j_TaxDr,j_Posted,1,j_Per,3)-SUMIFS(j_TaxCr,j_Posted,1,j_Per,3),0))</f>
        <v/>
      </c>
      <c r="Q101" s="95">
        <f>IF($D101="",0,SUMIFS(j_DrAmt,j_DrAcct,$D101,j_Per,4)-SUMIFS(j_CrAmt,j_CrAcct,$D101,j_Per,4)+IF($D101=acctTax,SUMIFS(j_TaxDr,j_Posted,1,j_Per,4)-SUMIFS(j_TaxCr,j_Posted,1,j_Per,4),0))</f>
        <v/>
      </c>
      <c r="R101" s="95">
        <f>IF($D101="",0,SUMIFS(j_DrAmt,j_DrAcct,$D101,j_Per,5)-SUMIFS(j_CrAmt,j_CrAcct,$D101,j_Per,5)+IF($D101=acctTax,SUMIFS(j_TaxDr,j_Posted,1,j_Per,5)-SUMIFS(j_TaxCr,j_Posted,1,j_Per,5),0))</f>
        <v/>
      </c>
      <c r="S101" s="95">
        <f>IF($D101="",0,SUMIFS(j_DrAmt,j_DrAcct,$D101,j_Per,6)-SUMIFS(j_CrAmt,j_CrAcct,$D101,j_Per,6)+IF($D101=acctTax,SUMIFS(j_TaxDr,j_Posted,1,j_Per,6)-SUMIFS(j_TaxCr,j_Posted,1,j_Per,6),0))</f>
        <v/>
      </c>
      <c r="T101" s="95">
        <f>IF($D101="",0,SUMIFS(j_DrAmt,j_DrAcct,$D101,j_Per,7)-SUMIFS(j_CrAmt,j_CrAcct,$D101,j_Per,7)+IF($D101=acctTax,SUMIFS(j_TaxDr,j_Posted,1,j_Per,7)-SUMIFS(j_TaxCr,j_Posted,1,j_Per,7),0))</f>
        <v/>
      </c>
      <c r="U101" s="95">
        <f>IF($D101="",0,SUMIFS(j_DrAmt,j_DrAcct,$D101,j_Per,8)-SUMIFS(j_CrAmt,j_CrAcct,$D101,j_Per,8)+IF($D101=acctTax,SUMIFS(j_TaxDr,j_Posted,1,j_Per,8)-SUMIFS(j_TaxCr,j_Posted,1,j_Per,8),0))</f>
        <v/>
      </c>
      <c r="V101" s="95">
        <f>IF($D101="",0,SUMIFS(j_DrAmt,j_DrAcct,$D101,j_Per,9)-SUMIFS(j_CrAmt,j_CrAcct,$D101,j_Per,9)+IF($D101=acctTax,SUMIFS(j_TaxDr,j_Posted,1,j_Per,9)-SUMIFS(j_TaxCr,j_Posted,1,j_Per,9),0))</f>
        <v/>
      </c>
      <c r="W101" s="95">
        <f>IF($D101="",0,SUMIFS(j_DrAmt,j_DrAcct,$D101,j_Per,10)-SUMIFS(j_CrAmt,j_CrAcct,$D101,j_Per,10)+IF($D101=acctTax,SUMIFS(j_TaxDr,j_Posted,1,j_Per,10)-SUMIFS(j_TaxCr,j_Posted,1,j_Per,10),0))</f>
        <v/>
      </c>
      <c r="X101" s="95">
        <f>IF($D101="",0,SUMIFS(j_DrAmt,j_DrAcct,$D101,j_Per,11)-SUMIFS(j_CrAmt,j_CrAcct,$D101,j_Per,11)+IF($D101=acctTax,SUMIFS(j_TaxDr,j_Posted,1,j_Per,11)-SUMIFS(j_TaxCr,j_Posted,1,j_Per,11),0))</f>
        <v/>
      </c>
      <c r="Y101" s="95">
        <f>IF($D101="",0,SUMIFS(j_DrAmt,j_DrAcct,$D101,j_Per,12)-SUMIFS(j_CrAmt,j_CrAcct,$D101,j_Per,12)+IF($D101=acctTax,SUMIFS(j_TaxDr,j_Posted,1,j_Per,12)-SUMIFS(j_TaxCr,j_Posted,1,j_Per,12),0))</f>
        <v/>
      </c>
      <c r="Z101" s="95">
        <f>SUMPRODUCT(($N$5:$Y$5&lt;=RptIdx)*N101:Y101)</f>
        <v/>
      </c>
      <c r="AA101" s="95">
        <f>IF(AND(RptIdx&gt;=1,RptIdx&lt;=12),INDEX(N101:Y101,RptIdx),0)</f>
        <v/>
      </c>
      <c r="AB101" s="95">
        <f>IF($D101="",0,IF(RptIdx&gt;1,INDEX(N101:Y101,RptIdx-1),SUMIFS(j_DrAmt,j_DrAcct,$D101,j_Date,"&gt;="&amp;PrevStart,j_Date,"&lt;="&amp;PrevEnd)-SUMIFS(j_CrAmt,j_CrAcct,$D101,j_Date,"&gt;="&amp;PrevStart,j_Date,"&lt;="&amp;PrevEnd)+IF($D101=acctTax,SUMIFS(j_TaxDr,j_Posted,1,j_Date,"&gt;="&amp;PrevStart,j_Date,"&lt;="&amp;PrevEnd)-SUMIFS(j_TaxCr,j_Posted,1,j_Date,"&gt;="&amp;PrevStart,j_Date,"&lt;="&amp;PrevEnd),0)))</f>
        <v/>
      </c>
      <c r="AC101" s="95">
        <f>SUM(N101:Y101)</f>
        <v/>
      </c>
      <c r="AD101" s="95">
        <f>L101+M101+Z101</f>
        <v/>
      </c>
      <c r="AE101" s="95">
        <f>AD101-AA101</f>
        <v/>
      </c>
      <c r="AF101" s="58">
        <f>IF($D101="","",F101&amp;"|"&amp;COUNTIFS($F$7:F101,F101,$D$7:D101,"&lt;&gt;"))</f>
        <v/>
      </c>
      <c r="AG101" s="58">
        <f>IF(AND($D101&lt;&gt;"",H101="Cash"),"Cash|"&amp;COUNTIFS($H$7:H101,"Cash",$D$7:D101,"&lt;&gt;"),"")</f>
        <v/>
      </c>
      <c r="AH101" s="95">
        <f>IF(AND($D101&lt;&gt;"",OR(F101="Cost of Sales",F101="Operating Expense",F101="Other Expense"),Z101&gt;0),Z101+95/1000000,"")</f>
        <v/>
      </c>
      <c r="AI101" s="95">
        <f>L101+M101+SUM(N101:N101)</f>
        <v/>
      </c>
      <c r="AJ101" s="95">
        <f>L101+M101+SUM(N101:O101)</f>
        <v/>
      </c>
      <c r="AK101" s="95">
        <f>L101+M101+SUM(N101:P101)</f>
        <v/>
      </c>
      <c r="AL101" s="95">
        <f>L101+M101+SUM(N101:Q101)</f>
        <v/>
      </c>
      <c r="AM101" s="95">
        <f>L101+M101+SUM(N101:R101)</f>
        <v/>
      </c>
      <c r="AN101" s="95">
        <f>L101+M101+SUM(N101:S101)</f>
        <v/>
      </c>
      <c r="AO101" s="95">
        <f>L101+M101+SUM(N101:T101)</f>
        <v/>
      </c>
      <c r="AP101" s="95">
        <f>L101+M101+SUM(N101:U101)</f>
        <v/>
      </c>
      <c r="AQ101" s="95">
        <f>L101+M101+SUM(N101:V101)</f>
        <v/>
      </c>
      <c r="AR101" s="95">
        <f>L101+M101+SUM(N101:W101)</f>
        <v/>
      </c>
      <c r="AS101" s="95">
        <f>L101+M101+SUM(N101:X101)</f>
        <v/>
      </c>
      <c r="AT101" s="95">
        <f>L101+M101+SUM(N101:Y101)</f>
        <v/>
      </c>
    </row>
    <row r="102">
      <c r="B102" s="58" t="n">
        <v>96</v>
      </c>
      <c r="C102" s="58">
        <f>IFERROR(INDEX(coa_Name,96)&amp;"","")</f>
        <v/>
      </c>
      <c r="D102" s="58">
        <f>IF(C102="","",IF(COUNTIF($C$7:C102,C102)&gt;1,"",C102))</f>
        <v/>
      </c>
      <c r="E102" s="58">
        <f>IF($D102="","",INDEX(coa_Code,96))</f>
        <v/>
      </c>
      <c r="F102" s="58">
        <f>IF($D102="","",INDEX(coa_Type,96)&amp;"")</f>
        <v/>
      </c>
      <c r="G102" s="58">
        <f>IF($D102="","",INDEX(coa_Normal,96)&amp;"")</f>
        <v/>
      </c>
      <c r="H102" s="58">
        <f>IF($D102="","",IF(INDEX(coa_CF,96)&amp;""="","Operating",INDEX(coa_CF,96)&amp;""))</f>
        <v/>
      </c>
      <c r="I102" s="58">
        <f>IF($D102="","",IFERROR(INDEX(at_Stmt,MATCH(F102,at_Type,0)),""))</f>
        <v/>
      </c>
      <c r="J102" s="58">
        <f>IF($D102="",0,IFERROR(INDEX(at_Sign,MATCH(F102,at_Type,0)),0))</f>
        <v/>
      </c>
      <c r="K102" s="95">
        <f>IF($D102="",0,IF(G102="Credit",-1,1)*N(INDEX(coa_Open,96)))</f>
        <v/>
      </c>
      <c r="L102" s="95">
        <f>IF($D102="",0,IF($D102=acctOBE,K102-SUM($K$7:$K$156),K102))</f>
        <v/>
      </c>
      <c r="M102" s="95">
        <f>IF($D102="",0,SUMIFS(j_DrAmt,j_DrAcct,$D102,j_Per,0)-SUMIFS(j_CrAmt,j_CrAcct,$D102,j_Per,0)+IF($D102=acctTax,SUMIFS(j_TaxDr,j_Posted,1,j_Per,0)-SUMIFS(j_TaxCr,j_Posted,1,j_Per,0),0))</f>
        <v/>
      </c>
      <c r="N102" s="95">
        <f>IF($D102="",0,SUMIFS(j_DrAmt,j_DrAcct,$D102,j_Per,1)-SUMIFS(j_CrAmt,j_CrAcct,$D102,j_Per,1)+IF($D102=acctTax,SUMIFS(j_TaxDr,j_Posted,1,j_Per,1)-SUMIFS(j_TaxCr,j_Posted,1,j_Per,1),0))</f>
        <v/>
      </c>
      <c r="O102" s="95">
        <f>IF($D102="",0,SUMIFS(j_DrAmt,j_DrAcct,$D102,j_Per,2)-SUMIFS(j_CrAmt,j_CrAcct,$D102,j_Per,2)+IF($D102=acctTax,SUMIFS(j_TaxDr,j_Posted,1,j_Per,2)-SUMIFS(j_TaxCr,j_Posted,1,j_Per,2),0))</f>
        <v/>
      </c>
      <c r="P102" s="95">
        <f>IF($D102="",0,SUMIFS(j_DrAmt,j_DrAcct,$D102,j_Per,3)-SUMIFS(j_CrAmt,j_CrAcct,$D102,j_Per,3)+IF($D102=acctTax,SUMIFS(j_TaxDr,j_Posted,1,j_Per,3)-SUMIFS(j_TaxCr,j_Posted,1,j_Per,3),0))</f>
        <v/>
      </c>
      <c r="Q102" s="95">
        <f>IF($D102="",0,SUMIFS(j_DrAmt,j_DrAcct,$D102,j_Per,4)-SUMIFS(j_CrAmt,j_CrAcct,$D102,j_Per,4)+IF($D102=acctTax,SUMIFS(j_TaxDr,j_Posted,1,j_Per,4)-SUMIFS(j_TaxCr,j_Posted,1,j_Per,4),0))</f>
        <v/>
      </c>
      <c r="R102" s="95">
        <f>IF($D102="",0,SUMIFS(j_DrAmt,j_DrAcct,$D102,j_Per,5)-SUMIFS(j_CrAmt,j_CrAcct,$D102,j_Per,5)+IF($D102=acctTax,SUMIFS(j_TaxDr,j_Posted,1,j_Per,5)-SUMIFS(j_TaxCr,j_Posted,1,j_Per,5),0))</f>
        <v/>
      </c>
      <c r="S102" s="95">
        <f>IF($D102="",0,SUMIFS(j_DrAmt,j_DrAcct,$D102,j_Per,6)-SUMIFS(j_CrAmt,j_CrAcct,$D102,j_Per,6)+IF($D102=acctTax,SUMIFS(j_TaxDr,j_Posted,1,j_Per,6)-SUMIFS(j_TaxCr,j_Posted,1,j_Per,6),0))</f>
        <v/>
      </c>
      <c r="T102" s="95">
        <f>IF($D102="",0,SUMIFS(j_DrAmt,j_DrAcct,$D102,j_Per,7)-SUMIFS(j_CrAmt,j_CrAcct,$D102,j_Per,7)+IF($D102=acctTax,SUMIFS(j_TaxDr,j_Posted,1,j_Per,7)-SUMIFS(j_TaxCr,j_Posted,1,j_Per,7),0))</f>
        <v/>
      </c>
      <c r="U102" s="95">
        <f>IF($D102="",0,SUMIFS(j_DrAmt,j_DrAcct,$D102,j_Per,8)-SUMIFS(j_CrAmt,j_CrAcct,$D102,j_Per,8)+IF($D102=acctTax,SUMIFS(j_TaxDr,j_Posted,1,j_Per,8)-SUMIFS(j_TaxCr,j_Posted,1,j_Per,8),0))</f>
        <v/>
      </c>
      <c r="V102" s="95">
        <f>IF($D102="",0,SUMIFS(j_DrAmt,j_DrAcct,$D102,j_Per,9)-SUMIFS(j_CrAmt,j_CrAcct,$D102,j_Per,9)+IF($D102=acctTax,SUMIFS(j_TaxDr,j_Posted,1,j_Per,9)-SUMIFS(j_TaxCr,j_Posted,1,j_Per,9),0))</f>
        <v/>
      </c>
      <c r="W102" s="95">
        <f>IF($D102="",0,SUMIFS(j_DrAmt,j_DrAcct,$D102,j_Per,10)-SUMIFS(j_CrAmt,j_CrAcct,$D102,j_Per,10)+IF($D102=acctTax,SUMIFS(j_TaxDr,j_Posted,1,j_Per,10)-SUMIFS(j_TaxCr,j_Posted,1,j_Per,10),0))</f>
        <v/>
      </c>
      <c r="X102" s="95">
        <f>IF($D102="",0,SUMIFS(j_DrAmt,j_DrAcct,$D102,j_Per,11)-SUMIFS(j_CrAmt,j_CrAcct,$D102,j_Per,11)+IF($D102=acctTax,SUMIFS(j_TaxDr,j_Posted,1,j_Per,11)-SUMIFS(j_TaxCr,j_Posted,1,j_Per,11),0))</f>
        <v/>
      </c>
      <c r="Y102" s="95">
        <f>IF($D102="",0,SUMIFS(j_DrAmt,j_DrAcct,$D102,j_Per,12)-SUMIFS(j_CrAmt,j_CrAcct,$D102,j_Per,12)+IF($D102=acctTax,SUMIFS(j_TaxDr,j_Posted,1,j_Per,12)-SUMIFS(j_TaxCr,j_Posted,1,j_Per,12),0))</f>
        <v/>
      </c>
      <c r="Z102" s="95">
        <f>SUMPRODUCT(($N$5:$Y$5&lt;=RptIdx)*N102:Y102)</f>
        <v/>
      </c>
      <c r="AA102" s="95">
        <f>IF(AND(RptIdx&gt;=1,RptIdx&lt;=12),INDEX(N102:Y102,RptIdx),0)</f>
        <v/>
      </c>
      <c r="AB102" s="95">
        <f>IF($D102="",0,IF(RptIdx&gt;1,INDEX(N102:Y102,RptIdx-1),SUMIFS(j_DrAmt,j_DrAcct,$D102,j_Date,"&gt;="&amp;PrevStart,j_Date,"&lt;="&amp;PrevEnd)-SUMIFS(j_CrAmt,j_CrAcct,$D102,j_Date,"&gt;="&amp;PrevStart,j_Date,"&lt;="&amp;PrevEnd)+IF($D102=acctTax,SUMIFS(j_TaxDr,j_Posted,1,j_Date,"&gt;="&amp;PrevStart,j_Date,"&lt;="&amp;PrevEnd)-SUMIFS(j_TaxCr,j_Posted,1,j_Date,"&gt;="&amp;PrevStart,j_Date,"&lt;="&amp;PrevEnd),0)))</f>
        <v/>
      </c>
      <c r="AC102" s="95">
        <f>SUM(N102:Y102)</f>
        <v/>
      </c>
      <c r="AD102" s="95">
        <f>L102+M102+Z102</f>
        <v/>
      </c>
      <c r="AE102" s="95">
        <f>AD102-AA102</f>
        <v/>
      </c>
      <c r="AF102" s="58">
        <f>IF($D102="","",F102&amp;"|"&amp;COUNTIFS($F$7:F102,F102,$D$7:D102,"&lt;&gt;"))</f>
        <v/>
      </c>
      <c r="AG102" s="58">
        <f>IF(AND($D102&lt;&gt;"",H102="Cash"),"Cash|"&amp;COUNTIFS($H$7:H102,"Cash",$D$7:D102,"&lt;&gt;"),"")</f>
        <v/>
      </c>
      <c r="AH102" s="95">
        <f>IF(AND($D102&lt;&gt;"",OR(F102="Cost of Sales",F102="Operating Expense",F102="Other Expense"),Z102&gt;0),Z102+96/1000000,"")</f>
        <v/>
      </c>
      <c r="AI102" s="95">
        <f>L102+M102+SUM(N102:N102)</f>
        <v/>
      </c>
      <c r="AJ102" s="95">
        <f>L102+M102+SUM(N102:O102)</f>
        <v/>
      </c>
      <c r="AK102" s="95">
        <f>L102+M102+SUM(N102:P102)</f>
        <v/>
      </c>
      <c r="AL102" s="95">
        <f>L102+M102+SUM(N102:Q102)</f>
        <v/>
      </c>
      <c r="AM102" s="95">
        <f>L102+M102+SUM(N102:R102)</f>
        <v/>
      </c>
      <c r="AN102" s="95">
        <f>L102+M102+SUM(N102:S102)</f>
        <v/>
      </c>
      <c r="AO102" s="95">
        <f>L102+M102+SUM(N102:T102)</f>
        <v/>
      </c>
      <c r="AP102" s="95">
        <f>L102+M102+SUM(N102:U102)</f>
        <v/>
      </c>
      <c r="AQ102" s="95">
        <f>L102+M102+SUM(N102:V102)</f>
        <v/>
      </c>
      <c r="AR102" s="95">
        <f>L102+M102+SUM(N102:W102)</f>
        <v/>
      </c>
      <c r="AS102" s="95">
        <f>L102+M102+SUM(N102:X102)</f>
        <v/>
      </c>
      <c r="AT102" s="95">
        <f>L102+M102+SUM(N102:Y102)</f>
        <v/>
      </c>
    </row>
    <row r="103">
      <c r="B103" s="58" t="n">
        <v>97</v>
      </c>
      <c r="C103" s="58">
        <f>IFERROR(INDEX(coa_Name,97)&amp;"","")</f>
        <v/>
      </c>
      <c r="D103" s="58">
        <f>IF(C103="","",IF(COUNTIF($C$7:C103,C103)&gt;1,"",C103))</f>
        <v/>
      </c>
      <c r="E103" s="58">
        <f>IF($D103="","",INDEX(coa_Code,97))</f>
        <v/>
      </c>
      <c r="F103" s="58">
        <f>IF($D103="","",INDEX(coa_Type,97)&amp;"")</f>
        <v/>
      </c>
      <c r="G103" s="58">
        <f>IF($D103="","",INDEX(coa_Normal,97)&amp;"")</f>
        <v/>
      </c>
      <c r="H103" s="58">
        <f>IF($D103="","",IF(INDEX(coa_CF,97)&amp;""="","Operating",INDEX(coa_CF,97)&amp;""))</f>
        <v/>
      </c>
      <c r="I103" s="58">
        <f>IF($D103="","",IFERROR(INDEX(at_Stmt,MATCH(F103,at_Type,0)),""))</f>
        <v/>
      </c>
      <c r="J103" s="58">
        <f>IF($D103="",0,IFERROR(INDEX(at_Sign,MATCH(F103,at_Type,0)),0))</f>
        <v/>
      </c>
      <c r="K103" s="95">
        <f>IF($D103="",0,IF(G103="Credit",-1,1)*N(INDEX(coa_Open,97)))</f>
        <v/>
      </c>
      <c r="L103" s="95">
        <f>IF($D103="",0,IF($D103=acctOBE,K103-SUM($K$7:$K$156),K103))</f>
        <v/>
      </c>
      <c r="M103" s="95">
        <f>IF($D103="",0,SUMIFS(j_DrAmt,j_DrAcct,$D103,j_Per,0)-SUMIFS(j_CrAmt,j_CrAcct,$D103,j_Per,0)+IF($D103=acctTax,SUMIFS(j_TaxDr,j_Posted,1,j_Per,0)-SUMIFS(j_TaxCr,j_Posted,1,j_Per,0),0))</f>
        <v/>
      </c>
      <c r="N103" s="95">
        <f>IF($D103="",0,SUMIFS(j_DrAmt,j_DrAcct,$D103,j_Per,1)-SUMIFS(j_CrAmt,j_CrAcct,$D103,j_Per,1)+IF($D103=acctTax,SUMIFS(j_TaxDr,j_Posted,1,j_Per,1)-SUMIFS(j_TaxCr,j_Posted,1,j_Per,1),0))</f>
        <v/>
      </c>
      <c r="O103" s="95">
        <f>IF($D103="",0,SUMIFS(j_DrAmt,j_DrAcct,$D103,j_Per,2)-SUMIFS(j_CrAmt,j_CrAcct,$D103,j_Per,2)+IF($D103=acctTax,SUMIFS(j_TaxDr,j_Posted,1,j_Per,2)-SUMIFS(j_TaxCr,j_Posted,1,j_Per,2),0))</f>
        <v/>
      </c>
      <c r="P103" s="95">
        <f>IF($D103="",0,SUMIFS(j_DrAmt,j_DrAcct,$D103,j_Per,3)-SUMIFS(j_CrAmt,j_CrAcct,$D103,j_Per,3)+IF($D103=acctTax,SUMIFS(j_TaxDr,j_Posted,1,j_Per,3)-SUMIFS(j_TaxCr,j_Posted,1,j_Per,3),0))</f>
        <v/>
      </c>
      <c r="Q103" s="95">
        <f>IF($D103="",0,SUMIFS(j_DrAmt,j_DrAcct,$D103,j_Per,4)-SUMIFS(j_CrAmt,j_CrAcct,$D103,j_Per,4)+IF($D103=acctTax,SUMIFS(j_TaxDr,j_Posted,1,j_Per,4)-SUMIFS(j_TaxCr,j_Posted,1,j_Per,4),0))</f>
        <v/>
      </c>
      <c r="R103" s="95">
        <f>IF($D103="",0,SUMIFS(j_DrAmt,j_DrAcct,$D103,j_Per,5)-SUMIFS(j_CrAmt,j_CrAcct,$D103,j_Per,5)+IF($D103=acctTax,SUMIFS(j_TaxDr,j_Posted,1,j_Per,5)-SUMIFS(j_TaxCr,j_Posted,1,j_Per,5),0))</f>
        <v/>
      </c>
      <c r="S103" s="95">
        <f>IF($D103="",0,SUMIFS(j_DrAmt,j_DrAcct,$D103,j_Per,6)-SUMIFS(j_CrAmt,j_CrAcct,$D103,j_Per,6)+IF($D103=acctTax,SUMIFS(j_TaxDr,j_Posted,1,j_Per,6)-SUMIFS(j_TaxCr,j_Posted,1,j_Per,6),0))</f>
        <v/>
      </c>
      <c r="T103" s="95">
        <f>IF($D103="",0,SUMIFS(j_DrAmt,j_DrAcct,$D103,j_Per,7)-SUMIFS(j_CrAmt,j_CrAcct,$D103,j_Per,7)+IF($D103=acctTax,SUMIFS(j_TaxDr,j_Posted,1,j_Per,7)-SUMIFS(j_TaxCr,j_Posted,1,j_Per,7),0))</f>
        <v/>
      </c>
      <c r="U103" s="95">
        <f>IF($D103="",0,SUMIFS(j_DrAmt,j_DrAcct,$D103,j_Per,8)-SUMIFS(j_CrAmt,j_CrAcct,$D103,j_Per,8)+IF($D103=acctTax,SUMIFS(j_TaxDr,j_Posted,1,j_Per,8)-SUMIFS(j_TaxCr,j_Posted,1,j_Per,8),0))</f>
        <v/>
      </c>
      <c r="V103" s="95">
        <f>IF($D103="",0,SUMIFS(j_DrAmt,j_DrAcct,$D103,j_Per,9)-SUMIFS(j_CrAmt,j_CrAcct,$D103,j_Per,9)+IF($D103=acctTax,SUMIFS(j_TaxDr,j_Posted,1,j_Per,9)-SUMIFS(j_TaxCr,j_Posted,1,j_Per,9),0))</f>
        <v/>
      </c>
      <c r="W103" s="95">
        <f>IF($D103="",0,SUMIFS(j_DrAmt,j_DrAcct,$D103,j_Per,10)-SUMIFS(j_CrAmt,j_CrAcct,$D103,j_Per,10)+IF($D103=acctTax,SUMIFS(j_TaxDr,j_Posted,1,j_Per,10)-SUMIFS(j_TaxCr,j_Posted,1,j_Per,10),0))</f>
        <v/>
      </c>
      <c r="X103" s="95">
        <f>IF($D103="",0,SUMIFS(j_DrAmt,j_DrAcct,$D103,j_Per,11)-SUMIFS(j_CrAmt,j_CrAcct,$D103,j_Per,11)+IF($D103=acctTax,SUMIFS(j_TaxDr,j_Posted,1,j_Per,11)-SUMIFS(j_TaxCr,j_Posted,1,j_Per,11),0))</f>
        <v/>
      </c>
      <c r="Y103" s="95">
        <f>IF($D103="",0,SUMIFS(j_DrAmt,j_DrAcct,$D103,j_Per,12)-SUMIFS(j_CrAmt,j_CrAcct,$D103,j_Per,12)+IF($D103=acctTax,SUMIFS(j_TaxDr,j_Posted,1,j_Per,12)-SUMIFS(j_TaxCr,j_Posted,1,j_Per,12),0))</f>
        <v/>
      </c>
      <c r="Z103" s="95">
        <f>SUMPRODUCT(($N$5:$Y$5&lt;=RptIdx)*N103:Y103)</f>
        <v/>
      </c>
      <c r="AA103" s="95">
        <f>IF(AND(RptIdx&gt;=1,RptIdx&lt;=12),INDEX(N103:Y103,RptIdx),0)</f>
        <v/>
      </c>
      <c r="AB103" s="95">
        <f>IF($D103="",0,IF(RptIdx&gt;1,INDEX(N103:Y103,RptIdx-1),SUMIFS(j_DrAmt,j_DrAcct,$D103,j_Date,"&gt;="&amp;PrevStart,j_Date,"&lt;="&amp;PrevEnd)-SUMIFS(j_CrAmt,j_CrAcct,$D103,j_Date,"&gt;="&amp;PrevStart,j_Date,"&lt;="&amp;PrevEnd)+IF($D103=acctTax,SUMIFS(j_TaxDr,j_Posted,1,j_Date,"&gt;="&amp;PrevStart,j_Date,"&lt;="&amp;PrevEnd)-SUMIFS(j_TaxCr,j_Posted,1,j_Date,"&gt;="&amp;PrevStart,j_Date,"&lt;="&amp;PrevEnd),0)))</f>
        <v/>
      </c>
      <c r="AC103" s="95">
        <f>SUM(N103:Y103)</f>
        <v/>
      </c>
      <c r="AD103" s="95">
        <f>L103+M103+Z103</f>
        <v/>
      </c>
      <c r="AE103" s="95">
        <f>AD103-AA103</f>
        <v/>
      </c>
      <c r="AF103" s="58">
        <f>IF($D103="","",F103&amp;"|"&amp;COUNTIFS($F$7:F103,F103,$D$7:D103,"&lt;&gt;"))</f>
        <v/>
      </c>
      <c r="AG103" s="58">
        <f>IF(AND($D103&lt;&gt;"",H103="Cash"),"Cash|"&amp;COUNTIFS($H$7:H103,"Cash",$D$7:D103,"&lt;&gt;"),"")</f>
        <v/>
      </c>
      <c r="AH103" s="95">
        <f>IF(AND($D103&lt;&gt;"",OR(F103="Cost of Sales",F103="Operating Expense",F103="Other Expense"),Z103&gt;0),Z103+97/1000000,"")</f>
        <v/>
      </c>
      <c r="AI103" s="95">
        <f>L103+M103+SUM(N103:N103)</f>
        <v/>
      </c>
      <c r="AJ103" s="95">
        <f>L103+M103+SUM(N103:O103)</f>
        <v/>
      </c>
      <c r="AK103" s="95">
        <f>L103+M103+SUM(N103:P103)</f>
        <v/>
      </c>
      <c r="AL103" s="95">
        <f>L103+M103+SUM(N103:Q103)</f>
        <v/>
      </c>
      <c r="AM103" s="95">
        <f>L103+M103+SUM(N103:R103)</f>
        <v/>
      </c>
      <c r="AN103" s="95">
        <f>L103+M103+SUM(N103:S103)</f>
        <v/>
      </c>
      <c r="AO103" s="95">
        <f>L103+M103+SUM(N103:T103)</f>
        <v/>
      </c>
      <c r="AP103" s="95">
        <f>L103+M103+SUM(N103:U103)</f>
        <v/>
      </c>
      <c r="AQ103" s="95">
        <f>L103+M103+SUM(N103:V103)</f>
        <v/>
      </c>
      <c r="AR103" s="95">
        <f>L103+M103+SUM(N103:W103)</f>
        <v/>
      </c>
      <c r="AS103" s="95">
        <f>L103+M103+SUM(N103:X103)</f>
        <v/>
      </c>
      <c r="AT103" s="95">
        <f>L103+M103+SUM(N103:Y103)</f>
        <v/>
      </c>
    </row>
    <row r="104">
      <c r="B104" s="58" t="n">
        <v>98</v>
      </c>
      <c r="C104" s="58">
        <f>IFERROR(INDEX(coa_Name,98)&amp;"","")</f>
        <v/>
      </c>
      <c r="D104" s="58">
        <f>IF(C104="","",IF(COUNTIF($C$7:C104,C104)&gt;1,"",C104))</f>
        <v/>
      </c>
      <c r="E104" s="58">
        <f>IF($D104="","",INDEX(coa_Code,98))</f>
        <v/>
      </c>
      <c r="F104" s="58">
        <f>IF($D104="","",INDEX(coa_Type,98)&amp;"")</f>
        <v/>
      </c>
      <c r="G104" s="58">
        <f>IF($D104="","",INDEX(coa_Normal,98)&amp;"")</f>
        <v/>
      </c>
      <c r="H104" s="58">
        <f>IF($D104="","",IF(INDEX(coa_CF,98)&amp;""="","Operating",INDEX(coa_CF,98)&amp;""))</f>
        <v/>
      </c>
      <c r="I104" s="58">
        <f>IF($D104="","",IFERROR(INDEX(at_Stmt,MATCH(F104,at_Type,0)),""))</f>
        <v/>
      </c>
      <c r="J104" s="58">
        <f>IF($D104="",0,IFERROR(INDEX(at_Sign,MATCH(F104,at_Type,0)),0))</f>
        <v/>
      </c>
      <c r="K104" s="95">
        <f>IF($D104="",0,IF(G104="Credit",-1,1)*N(INDEX(coa_Open,98)))</f>
        <v/>
      </c>
      <c r="L104" s="95">
        <f>IF($D104="",0,IF($D104=acctOBE,K104-SUM($K$7:$K$156),K104))</f>
        <v/>
      </c>
      <c r="M104" s="95">
        <f>IF($D104="",0,SUMIFS(j_DrAmt,j_DrAcct,$D104,j_Per,0)-SUMIFS(j_CrAmt,j_CrAcct,$D104,j_Per,0)+IF($D104=acctTax,SUMIFS(j_TaxDr,j_Posted,1,j_Per,0)-SUMIFS(j_TaxCr,j_Posted,1,j_Per,0),0))</f>
        <v/>
      </c>
      <c r="N104" s="95">
        <f>IF($D104="",0,SUMIFS(j_DrAmt,j_DrAcct,$D104,j_Per,1)-SUMIFS(j_CrAmt,j_CrAcct,$D104,j_Per,1)+IF($D104=acctTax,SUMIFS(j_TaxDr,j_Posted,1,j_Per,1)-SUMIFS(j_TaxCr,j_Posted,1,j_Per,1),0))</f>
        <v/>
      </c>
      <c r="O104" s="95">
        <f>IF($D104="",0,SUMIFS(j_DrAmt,j_DrAcct,$D104,j_Per,2)-SUMIFS(j_CrAmt,j_CrAcct,$D104,j_Per,2)+IF($D104=acctTax,SUMIFS(j_TaxDr,j_Posted,1,j_Per,2)-SUMIFS(j_TaxCr,j_Posted,1,j_Per,2),0))</f>
        <v/>
      </c>
      <c r="P104" s="95">
        <f>IF($D104="",0,SUMIFS(j_DrAmt,j_DrAcct,$D104,j_Per,3)-SUMIFS(j_CrAmt,j_CrAcct,$D104,j_Per,3)+IF($D104=acctTax,SUMIFS(j_TaxDr,j_Posted,1,j_Per,3)-SUMIFS(j_TaxCr,j_Posted,1,j_Per,3),0))</f>
        <v/>
      </c>
      <c r="Q104" s="95">
        <f>IF($D104="",0,SUMIFS(j_DrAmt,j_DrAcct,$D104,j_Per,4)-SUMIFS(j_CrAmt,j_CrAcct,$D104,j_Per,4)+IF($D104=acctTax,SUMIFS(j_TaxDr,j_Posted,1,j_Per,4)-SUMIFS(j_TaxCr,j_Posted,1,j_Per,4),0))</f>
        <v/>
      </c>
      <c r="R104" s="95">
        <f>IF($D104="",0,SUMIFS(j_DrAmt,j_DrAcct,$D104,j_Per,5)-SUMIFS(j_CrAmt,j_CrAcct,$D104,j_Per,5)+IF($D104=acctTax,SUMIFS(j_TaxDr,j_Posted,1,j_Per,5)-SUMIFS(j_TaxCr,j_Posted,1,j_Per,5),0))</f>
        <v/>
      </c>
      <c r="S104" s="95">
        <f>IF($D104="",0,SUMIFS(j_DrAmt,j_DrAcct,$D104,j_Per,6)-SUMIFS(j_CrAmt,j_CrAcct,$D104,j_Per,6)+IF($D104=acctTax,SUMIFS(j_TaxDr,j_Posted,1,j_Per,6)-SUMIFS(j_TaxCr,j_Posted,1,j_Per,6),0))</f>
        <v/>
      </c>
      <c r="T104" s="95">
        <f>IF($D104="",0,SUMIFS(j_DrAmt,j_DrAcct,$D104,j_Per,7)-SUMIFS(j_CrAmt,j_CrAcct,$D104,j_Per,7)+IF($D104=acctTax,SUMIFS(j_TaxDr,j_Posted,1,j_Per,7)-SUMIFS(j_TaxCr,j_Posted,1,j_Per,7),0))</f>
        <v/>
      </c>
      <c r="U104" s="95">
        <f>IF($D104="",0,SUMIFS(j_DrAmt,j_DrAcct,$D104,j_Per,8)-SUMIFS(j_CrAmt,j_CrAcct,$D104,j_Per,8)+IF($D104=acctTax,SUMIFS(j_TaxDr,j_Posted,1,j_Per,8)-SUMIFS(j_TaxCr,j_Posted,1,j_Per,8),0))</f>
        <v/>
      </c>
      <c r="V104" s="95">
        <f>IF($D104="",0,SUMIFS(j_DrAmt,j_DrAcct,$D104,j_Per,9)-SUMIFS(j_CrAmt,j_CrAcct,$D104,j_Per,9)+IF($D104=acctTax,SUMIFS(j_TaxDr,j_Posted,1,j_Per,9)-SUMIFS(j_TaxCr,j_Posted,1,j_Per,9),0))</f>
        <v/>
      </c>
      <c r="W104" s="95">
        <f>IF($D104="",0,SUMIFS(j_DrAmt,j_DrAcct,$D104,j_Per,10)-SUMIFS(j_CrAmt,j_CrAcct,$D104,j_Per,10)+IF($D104=acctTax,SUMIFS(j_TaxDr,j_Posted,1,j_Per,10)-SUMIFS(j_TaxCr,j_Posted,1,j_Per,10),0))</f>
        <v/>
      </c>
      <c r="X104" s="95">
        <f>IF($D104="",0,SUMIFS(j_DrAmt,j_DrAcct,$D104,j_Per,11)-SUMIFS(j_CrAmt,j_CrAcct,$D104,j_Per,11)+IF($D104=acctTax,SUMIFS(j_TaxDr,j_Posted,1,j_Per,11)-SUMIFS(j_TaxCr,j_Posted,1,j_Per,11),0))</f>
        <v/>
      </c>
      <c r="Y104" s="95">
        <f>IF($D104="",0,SUMIFS(j_DrAmt,j_DrAcct,$D104,j_Per,12)-SUMIFS(j_CrAmt,j_CrAcct,$D104,j_Per,12)+IF($D104=acctTax,SUMIFS(j_TaxDr,j_Posted,1,j_Per,12)-SUMIFS(j_TaxCr,j_Posted,1,j_Per,12),0))</f>
        <v/>
      </c>
      <c r="Z104" s="95">
        <f>SUMPRODUCT(($N$5:$Y$5&lt;=RptIdx)*N104:Y104)</f>
        <v/>
      </c>
      <c r="AA104" s="95">
        <f>IF(AND(RptIdx&gt;=1,RptIdx&lt;=12),INDEX(N104:Y104,RptIdx),0)</f>
        <v/>
      </c>
      <c r="AB104" s="95">
        <f>IF($D104="",0,IF(RptIdx&gt;1,INDEX(N104:Y104,RptIdx-1),SUMIFS(j_DrAmt,j_DrAcct,$D104,j_Date,"&gt;="&amp;PrevStart,j_Date,"&lt;="&amp;PrevEnd)-SUMIFS(j_CrAmt,j_CrAcct,$D104,j_Date,"&gt;="&amp;PrevStart,j_Date,"&lt;="&amp;PrevEnd)+IF($D104=acctTax,SUMIFS(j_TaxDr,j_Posted,1,j_Date,"&gt;="&amp;PrevStart,j_Date,"&lt;="&amp;PrevEnd)-SUMIFS(j_TaxCr,j_Posted,1,j_Date,"&gt;="&amp;PrevStart,j_Date,"&lt;="&amp;PrevEnd),0)))</f>
        <v/>
      </c>
      <c r="AC104" s="95">
        <f>SUM(N104:Y104)</f>
        <v/>
      </c>
      <c r="AD104" s="95">
        <f>L104+M104+Z104</f>
        <v/>
      </c>
      <c r="AE104" s="95">
        <f>AD104-AA104</f>
        <v/>
      </c>
      <c r="AF104" s="58">
        <f>IF($D104="","",F104&amp;"|"&amp;COUNTIFS($F$7:F104,F104,$D$7:D104,"&lt;&gt;"))</f>
        <v/>
      </c>
      <c r="AG104" s="58">
        <f>IF(AND($D104&lt;&gt;"",H104="Cash"),"Cash|"&amp;COUNTIFS($H$7:H104,"Cash",$D$7:D104,"&lt;&gt;"),"")</f>
        <v/>
      </c>
      <c r="AH104" s="95">
        <f>IF(AND($D104&lt;&gt;"",OR(F104="Cost of Sales",F104="Operating Expense",F104="Other Expense"),Z104&gt;0),Z104+98/1000000,"")</f>
        <v/>
      </c>
      <c r="AI104" s="95">
        <f>L104+M104+SUM(N104:N104)</f>
        <v/>
      </c>
      <c r="AJ104" s="95">
        <f>L104+M104+SUM(N104:O104)</f>
        <v/>
      </c>
      <c r="AK104" s="95">
        <f>L104+M104+SUM(N104:P104)</f>
        <v/>
      </c>
      <c r="AL104" s="95">
        <f>L104+M104+SUM(N104:Q104)</f>
        <v/>
      </c>
      <c r="AM104" s="95">
        <f>L104+M104+SUM(N104:R104)</f>
        <v/>
      </c>
      <c r="AN104" s="95">
        <f>L104+M104+SUM(N104:S104)</f>
        <v/>
      </c>
      <c r="AO104" s="95">
        <f>L104+M104+SUM(N104:T104)</f>
        <v/>
      </c>
      <c r="AP104" s="95">
        <f>L104+M104+SUM(N104:U104)</f>
        <v/>
      </c>
      <c r="AQ104" s="95">
        <f>L104+M104+SUM(N104:V104)</f>
        <v/>
      </c>
      <c r="AR104" s="95">
        <f>L104+M104+SUM(N104:W104)</f>
        <v/>
      </c>
      <c r="AS104" s="95">
        <f>L104+M104+SUM(N104:X104)</f>
        <v/>
      </c>
      <c r="AT104" s="95">
        <f>L104+M104+SUM(N104:Y104)</f>
        <v/>
      </c>
    </row>
    <row r="105">
      <c r="B105" s="58" t="n">
        <v>99</v>
      </c>
      <c r="C105" s="58">
        <f>IFERROR(INDEX(coa_Name,99)&amp;"","")</f>
        <v/>
      </c>
      <c r="D105" s="58">
        <f>IF(C105="","",IF(COUNTIF($C$7:C105,C105)&gt;1,"",C105))</f>
        <v/>
      </c>
      <c r="E105" s="58">
        <f>IF($D105="","",INDEX(coa_Code,99))</f>
        <v/>
      </c>
      <c r="F105" s="58">
        <f>IF($D105="","",INDEX(coa_Type,99)&amp;"")</f>
        <v/>
      </c>
      <c r="G105" s="58">
        <f>IF($D105="","",INDEX(coa_Normal,99)&amp;"")</f>
        <v/>
      </c>
      <c r="H105" s="58">
        <f>IF($D105="","",IF(INDEX(coa_CF,99)&amp;""="","Operating",INDEX(coa_CF,99)&amp;""))</f>
        <v/>
      </c>
      <c r="I105" s="58">
        <f>IF($D105="","",IFERROR(INDEX(at_Stmt,MATCH(F105,at_Type,0)),""))</f>
        <v/>
      </c>
      <c r="J105" s="58">
        <f>IF($D105="",0,IFERROR(INDEX(at_Sign,MATCH(F105,at_Type,0)),0))</f>
        <v/>
      </c>
      <c r="K105" s="95">
        <f>IF($D105="",0,IF(G105="Credit",-1,1)*N(INDEX(coa_Open,99)))</f>
        <v/>
      </c>
      <c r="L105" s="95">
        <f>IF($D105="",0,IF($D105=acctOBE,K105-SUM($K$7:$K$156),K105))</f>
        <v/>
      </c>
      <c r="M105" s="95">
        <f>IF($D105="",0,SUMIFS(j_DrAmt,j_DrAcct,$D105,j_Per,0)-SUMIFS(j_CrAmt,j_CrAcct,$D105,j_Per,0)+IF($D105=acctTax,SUMIFS(j_TaxDr,j_Posted,1,j_Per,0)-SUMIFS(j_TaxCr,j_Posted,1,j_Per,0),0))</f>
        <v/>
      </c>
      <c r="N105" s="95">
        <f>IF($D105="",0,SUMIFS(j_DrAmt,j_DrAcct,$D105,j_Per,1)-SUMIFS(j_CrAmt,j_CrAcct,$D105,j_Per,1)+IF($D105=acctTax,SUMIFS(j_TaxDr,j_Posted,1,j_Per,1)-SUMIFS(j_TaxCr,j_Posted,1,j_Per,1),0))</f>
        <v/>
      </c>
      <c r="O105" s="95">
        <f>IF($D105="",0,SUMIFS(j_DrAmt,j_DrAcct,$D105,j_Per,2)-SUMIFS(j_CrAmt,j_CrAcct,$D105,j_Per,2)+IF($D105=acctTax,SUMIFS(j_TaxDr,j_Posted,1,j_Per,2)-SUMIFS(j_TaxCr,j_Posted,1,j_Per,2),0))</f>
        <v/>
      </c>
      <c r="P105" s="95">
        <f>IF($D105="",0,SUMIFS(j_DrAmt,j_DrAcct,$D105,j_Per,3)-SUMIFS(j_CrAmt,j_CrAcct,$D105,j_Per,3)+IF($D105=acctTax,SUMIFS(j_TaxDr,j_Posted,1,j_Per,3)-SUMIFS(j_TaxCr,j_Posted,1,j_Per,3),0))</f>
        <v/>
      </c>
      <c r="Q105" s="95">
        <f>IF($D105="",0,SUMIFS(j_DrAmt,j_DrAcct,$D105,j_Per,4)-SUMIFS(j_CrAmt,j_CrAcct,$D105,j_Per,4)+IF($D105=acctTax,SUMIFS(j_TaxDr,j_Posted,1,j_Per,4)-SUMIFS(j_TaxCr,j_Posted,1,j_Per,4),0))</f>
        <v/>
      </c>
      <c r="R105" s="95">
        <f>IF($D105="",0,SUMIFS(j_DrAmt,j_DrAcct,$D105,j_Per,5)-SUMIFS(j_CrAmt,j_CrAcct,$D105,j_Per,5)+IF($D105=acctTax,SUMIFS(j_TaxDr,j_Posted,1,j_Per,5)-SUMIFS(j_TaxCr,j_Posted,1,j_Per,5),0))</f>
        <v/>
      </c>
      <c r="S105" s="95">
        <f>IF($D105="",0,SUMIFS(j_DrAmt,j_DrAcct,$D105,j_Per,6)-SUMIFS(j_CrAmt,j_CrAcct,$D105,j_Per,6)+IF($D105=acctTax,SUMIFS(j_TaxDr,j_Posted,1,j_Per,6)-SUMIFS(j_TaxCr,j_Posted,1,j_Per,6),0))</f>
        <v/>
      </c>
      <c r="T105" s="95">
        <f>IF($D105="",0,SUMIFS(j_DrAmt,j_DrAcct,$D105,j_Per,7)-SUMIFS(j_CrAmt,j_CrAcct,$D105,j_Per,7)+IF($D105=acctTax,SUMIFS(j_TaxDr,j_Posted,1,j_Per,7)-SUMIFS(j_TaxCr,j_Posted,1,j_Per,7),0))</f>
        <v/>
      </c>
      <c r="U105" s="95">
        <f>IF($D105="",0,SUMIFS(j_DrAmt,j_DrAcct,$D105,j_Per,8)-SUMIFS(j_CrAmt,j_CrAcct,$D105,j_Per,8)+IF($D105=acctTax,SUMIFS(j_TaxDr,j_Posted,1,j_Per,8)-SUMIFS(j_TaxCr,j_Posted,1,j_Per,8),0))</f>
        <v/>
      </c>
      <c r="V105" s="95">
        <f>IF($D105="",0,SUMIFS(j_DrAmt,j_DrAcct,$D105,j_Per,9)-SUMIFS(j_CrAmt,j_CrAcct,$D105,j_Per,9)+IF($D105=acctTax,SUMIFS(j_TaxDr,j_Posted,1,j_Per,9)-SUMIFS(j_TaxCr,j_Posted,1,j_Per,9),0))</f>
        <v/>
      </c>
      <c r="W105" s="95">
        <f>IF($D105="",0,SUMIFS(j_DrAmt,j_DrAcct,$D105,j_Per,10)-SUMIFS(j_CrAmt,j_CrAcct,$D105,j_Per,10)+IF($D105=acctTax,SUMIFS(j_TaxDr,j_Posted,1,j_Per,10)-SUMIFS(j_TaxCr,j_Posted,1,j_Per,10),0))</f>
        <v/>
      </c>
      <c r="X105" s="95">
        <f>IF($D105="",0,SUMIFS(j_DrAmt,j_DrAcct,$D105,j_Per,11)-SUMIFS(j_CrAmt,j_CrAcct,$D105,j_Per,11)+IF($D105=acctTax,SUMIFS(j_TaxDr,j_Posted,1,j_Per,11)-SUMIFS(j_TaxCr,j_Posted,1,j_Per,11),0))</f>
        <v/>
      </c>
      <c r="Y105" s="95">
        <f>IF($D105="",0,SUMIFS(j_DrAmt,j_DrAcct,$D105,j_Per,12)-SUMIFS(j_CrAmt,j_CrAcct,$D105,j_Per,12)+IF($D105=acctTax,SUMIFS(j_TaxDr,j_Posted,1,j_Per,12)-SUMIFS(j_TaxCr,j_Posted,1,j_Per,12),0))</f>
        <v/>
      </c>
      <c r="Z105" s="95">
        <f>SUMPRODUCT(($N$5:$Y$5&lt;=RptIdx)*N105:Y105)</f>
        <v/>
      </c>
      <c r="AA105" s="95">
        <f>IF(AND(RptIdx&gt;=1,RptIdx&lt;=12),INDEX(N105:Y105,RptIdx),0)</f>
        <v/>
      </c>
      <c r="AB105" s="95">
        <f>IF($D105="",0,IF(RptIdx&gt;1,INDEX(N105:Y105,RptIdx-1),SUMIFS(j_DrAmt,j_DrAcct,$D105,j_Date,"&gt;="&amp;PrevStart,j_Date,"&lt;="&amp;PrevEnd)-SUMIFS(j_CrAmt,j_CrAcct,$D105,j_Date,"&gt;="&amp;PrevStart,j_Date,"&lt;="&amp;PrevEnd)+IF($D105=acctTax,SUMIFS(j_TaxDr,j_Posted,1,j_Date,"&gt;="&amp;PrevStart,j_Date,"&lt;="&amp;PrevEnd)-SUMIFS(j_TaxCr,j_Posted,1,j_Date,"&gt;="&amp;PrevStart,j_Date,"&lt;="&amp;PrevEnd),0)))</f>
        <v/>
      </c>
      <c r="AC105" s="95">
        <f>SUM(N105:Y105)</f>
        <v/>
      </c>
      <c r="AD105" s="95">
        <f>L105+M105+Z105</f>
        <v/>
      </c>
      <c r="AE105" s="95">
        <f>AD105-AA105</f>
        <v/>
      </c>
      <c r="AF105" s="58">
        <f>IF($D105="","",F105&amp;"|"&amp;COUNTIFS($F$7:F105,F105,$D$7:D105,"&lt;&gt;"))</f>
        <v/>
      </c>
      <c r="AG105" s="58">
        <f>IF(AND($D105&lt;&gt;"",H105="Cash"),"Cash|"&amp;COUNTIFS($H$7:H105,"Cash",$D$7:D105,"&lt;&gt;"),"")</f>
        <v/>
      </c>
      <c r="AH105" s="95">
        <f>IF(AND($D105&lt;&gt;"",OR(F105="Cost of Sales",F105="Operating Expense",F105="Other Expense"),Z105&gt;0),Z105+99/1000000,"")</f>
        <v/>
      </c>
      <c r="AI105" s="95">
        <f>L105+M105+SUM(N105:N105)</f>
        <v/>
      </c>
      <c r="AJ105" s="95">
        <f>L105+M105+SUM(N105:O105)</f>
        <v/>
      </c>
      <c r="AK105" s="95">
        <f>L105+M105+SUM(N105:P105)</f>
        <v/>
      </c>
      <c r="AL105" s="95">
        <f>L105+M105+SUM(N105:Q105)</f>
        <v/>
      </c>
      <c r="AM105" s="95">
        <f>L105+M105+SUM(N105:R105)</f>
        <v/>
      </c>
      <c r="AN105" s="95">
        <f>L105+M105+SUM(N105:S105)</f>
        <v/>
      </c>
      <c r="AO105" s="95">
        <f>L105+M105+SUM(N105:T105)</f>
        <v/>
      </c>
      <c r="AP105" s="95">
        <f>L105+M105+SUM(N105:U105)</f>
        <v/>
      </c>
      <c r="AQ105" s="95">
        <f>L105+M105+SUM(N105:V105)</f>
        <v/>
      </c>
      <c r="AR105" s="95">
        <f>L105+M105+SUM(N105:W105)</f>
        <v/>
      </c>
      <c r="AS105" s="95">
        <f>L105+M105+SUM(N105:X105)</f>
        <v/>
      </c>
      <c r="AT105" s="95">
        <f>L105+M105+SUM(N105:Y105)</f>
        <v/>
      </c>
    </row>
    <row r="106">
      <c r="B106" s="58" t="n">
        <v>100</v>
      </c>
      <c r="C106" s="58">
        <f>IFERROR(INDEX(coa_Name,100)&amp;"","")</f>
        <v/>
      </c>
      <c r="D106" s="58">
        <f>IF(C106="","",IF(COUNTIF($C$7:C106,C106)&gt;1,"",C106))</f>
        <v/>
      </c>
      <c r="E106" s="58">
        <f>IF($D106="","",INDEX(coa_Code,100))</f>
        <v/>
      </c>
      <c r="F106" s="58">
        <f>IF($D106="","",INDEX(coa_Type,100)&amp;"")</f>
        <v/>
      </c>
      <c r="G106" s="58">
        <f>IF($D106="","",INDEX(coa_Normal,100)&amp;"")</f>
        <v/>
      </c>
      <c r="H106" s="58">
        <f>IF($D106="","",IF(INDEX(coa_CF,100)&amp;""="","Operating",INDEX(coa_CF,100)&amp;""))</f>
        <v/>
      </c>
      <c r="I106" s="58">
        <f>IF($D106="","",IFERROR(INDEX(at_Stmt,MATCH(F106,at_Type,0)),""))</f>
        <v/>
      </c>
      <c r="J106" s="58">
        <f>IF($D106="",0,IFERROR(INDEX(at_Sign,MATCH(F106,at_Type,0)),0))</f>
        <v/>
      </c>
      <c r="K106" s="95">
        <f>IF($D106="",0,IF(G106="Credit",-1,1)*N(INDEX(coa_Open,100)))</f>
        <v/>
      </c>
      <c r="L106" s="95">
        <f>IF($D106="",0,IF($D106=acctOBE,K106-SUM($K$7:$K$156),K106))</f>
        <v/>
      </c>
      <c r="M106" s="95">
        <f>IF($D106="",0,SUMIFS(j_DrAmt,j_DrAcct,$D106,j_Per,0)-SUMIFS(j_CrAmt,j_CrAcct,$D106,j_Per,0)+IF($D106=acctTax,SUMIFS(j_TaxDr,j_Posted,1,j_Per,0)-SUMIFS(j_TaxCr,j_Posted,1,j_Per,0),0))</f>
        <v/>
      </c>
      <c r="N106" s="95">
        <f>IF($D106="",0,SUMIFS(j_DrAmt,j_DrAcct,$D106,j_Per,1)-SUMIFS(j_CrAmt,j_CrAcct,$D106,j_Per,1)+IF($D106=acctTax,SUMIFS(j_TaxDr,j_Posted,1,j_Per,1)-SUMIFS(j_TaxCr,j_Posted,1,j_Per,1),0))</f>
        <v/>
      </c>
      <c r="O106" s="95">
        <f>IF($D106="",0,SUMIFS(j_DrAmt,j_DrAcct,$D106,j_Per,2)-SUMIFS(j_CrAmt,j_CrAcct,$D106,j_Per,2)+IF($D106=acctTax,SUMIFS(j_TaxDr,j_Posted,1,j_Per,2)-SUMIFS(j_TaxCr,j_Posted,1,j_Per,2),0))</f>
        <v/>
      </c>
      <c r="P106" s="95">
        <f>IF($D106="",0,SUMIFS(j_DrAmt,j_DrAcct,$D106,j_Per,3)-SUMIFS(j_CrAmt,j_CrAcct,$D106,j_Per,3)+IF($D106=acctTax,SUMIFS(j_TaxDr,j_Posted,1,j_Per,3)-SUMIFS(j_TaxCr,j_Posted,1,j_Per,3),0))</f>
        <v/>
      </c>
      <c r="Q106" s="95">
        <f>IF($D106="",0,SUMIFS(j_DrAmt,j_DrAcct,$D106,j_Per,4)-SUMIFS(j_CrAmt,j_CrAcct,$D106,j_Per,4)+IF($D106=acctTax,SUMIFS(j_TaxDr,j_Posted,1,j_Per,4)-SUMIFS(j_TaxCr,j_Posted,1,j_Per,4),0))</f>
        <v/>
      </c>
      <c r="R106" s="95">
        <f>IF($D106="",0,SUMIFS(j_DrAmt,j_DrAcct,$D106,j_Per,5)-SUMIFS(j_CrAmt,j_CrAcct,$D106,j_Per,5)+IF($D106=acctTax,SUMIFS(j_TaxDr,j_Posted,1,j_Per,5)-SUMIFS(j_TaxCr,j_Posted,1,j_Per,5),0))</f>
        <v/>
      </c>
      <c r="S106" s="95">
        <f>IF($D106="",0,SUMIFS(j_DrAmt,j_DrAcct,$D106,j_Per,6)-SUMIFS(j_CrAmt,j_CrAcct,$D106,j_Per,6)+IF($D106=acctTax,SUMIFS(j_TaxDr,j_Posted,1,j_Per,6)-SUMIFS(j_TaxCr,j_Posted,1,j_Per,6),0))</f>
        <v/>
      </c>
      <c r="T106" s="95">
        <f>IF($D106="",0,SUMIFS(j_DrAmt,j_DrAcct,$D106,j_Per,7)-SUMIFS(j_CrAmt,j_CrAcct,$D106,j_Per,7)+IF($D106=acctTax,SUMIFS(j_TaxDr,j_Posted,1,j_Per,7)-SUMIFS(j_TaxCr,j_Posted,1,j_Per,7),0))</f>
        <v/>
      </c>
      <c r="U106" s="95">
        <f>IF($D106="",0,SUMIFS(j_DrAmt,j_DrAcct,$D106,j_Per,8)-SUMIFS(j_CrAmt,j_CrAcct,$D106,j_Per,8)+IF($D106=acctTax,SUMIFS(j_TaxDr,j_Posted,1,j_Per,8)-SUMIFS(j_TaxCr,j_Posted,1,j_Per,8),0))</f>
        <v/>
      </c>
      <c r="V106" s="95">
        <f>IF($D106="",0,SUMIFS(j_DrAmt,j_DrAcct,$D106,j_Per,9)-SUMIFS(j_CrAmt,j_CrAcct,$D106,j_Per,9)+IF($D106=acctTax,SUMIFS(j_TaxDr,j_Posted,1,j_Per,9)-SUMIFS(j_TaxCr,j_Posted,1,j_Per,9),0))</f>
        <v/>
      </c>
      <c r="W106" s="95">
        <f>IF($D106="",0,SUMIFS(j_DrAmt,j_DrAcct,$D106,j_Per,10)-SUMIFS(j_CrAmt,j_CrAcct,$D106,j_Per,10)+IF($D106=acctTax,SUMIFS(j_TaxDr,j_Posted,1,j_Per,10)-SUMIFS(j_TaxCr,j_Posted,1,j_Per,10),0))</f>
        <v/>
      </c>
      <c r="X106" s="95">
        <f>IF($D106="",0,SUMIFS(j_DrAmt,j_DrAcct,$D106,j_Per,11)-SUMIFS(j_CrAmt,j_CrAcct,$D106,j_Per,11)+IF($D106=acctTax,SUMIFS(j_TaxDr,j_Posted,1,j_Per,11)-SUMIFS(j_TaxCr,j_Posted,1,j_Per,11),0))</f>
        <v/>
      </c>
      <c r="Y106" s="95">
        <f>IF($D106="",0,SUMIFS(j_DrAmt,j_DrAcct,$D106,j_Per,12)-SUMIFS(j_CrAmt,j_CrAcct,$D106,j_Per,12)+IF($D106=acctTax,SUMIFS(j_TaxDr,j_Posted,1,j_Per,12)-SUMIFS(j_TaxCr,j_Posted,1,j_Per,12),0))</f>
        <v/>
      </c>
      <c r="Z106" s="95">
        <f>SUMPRODUCT(($N$5:$Y$5&lt;=RptIdx)*N106:Y106)</f>
        <v/>
      </c>
      <c r="AA106" s="95">
        <f>IF(AND(RptIdx&gt;=1,RptIdx&lt;=12),INDEX(N106:Y106,RptIdx),0)</f>
        <v/>
      </c>
      <c r="AB106" s="95">
        <f>IF($D106="",0,IF(RptIdx&gt;1,INDEX(N106:Y106,RptIdx-1),SUMIFS(j_DrAmt,j_DrAcct,$D106,j_Date,"&gt;="&amp;PrevStart,j_Date,"&lt;="&amp;PrevEnd)-SUMIFS(j_CrAmt,j_CrAcct,$D106,j_Date,"&gt;="&amp;PrevStart,j_Date,"&lt;="&amp;PrevEnd)+IF($D106=acctTax,SUMIFS(j_TaxDr,j_Posted,1,j_Date,"&gt;="&amp;PrevStart,j_Date,"&lt;="&amp;PrevEnd)-SUMIFS(j_TaxCr,j_Posted,1,j_Date,"&gt;="&amp;PrevStart,j_Date,"&lt;="&amp;PrevEnd),0)))</f>
        <v/>
      </c>
      <c r="AC106" s="95">
        <f>SUM(N106:Y106)</f>
        <v/>
      </c>
      <c r="AD106" s="95">
        <f>L106+M106+Z106</f>
        <v/>
      </c>
      <c r="AE106" s="95">
        <f>AD106-AA106</f>
        <v/>
      </c>
      <c r="AF106" s="58">
        <f>IF($D106="","",F106&amp;"|"&amp;COUNTIFS($F$7:F106,F106,$D$7:D106,"&lt;&gt;"))</f>
        <v/>
      </c>
      <c r="AG106" s="58">
        <f>IF(AND($D106&lt;&gt;"",H106="Cash"),"Cash|"&amp;COUNTIFS($H$7:H106,"Cash",$D$7:D106,"&lt;&gt;"),"")</f>
        <v/>
      </c>
      <c r="AH106" s="95">
        <f>IF(AND($D106&lt;&gt;"",OR(F106="Cost of Sales",F106="Operating Expense",F106="Other Expense"),Z106&gt;0),Z106+100/1000000,"")</f>
        <v/>
      </c>
      <c r="AI106" s="95">
        <f>L106+M106+SUM(N106:N106)</f>
        <v/>
      </c>
      <c r="AJ106" s="95">
        <f>L106+M106+SUM(N106:O106)</f>
        <v/>
      </c>
      <c r="AK106" s="95">
        <f>L106+M106+SUM(N106:P106)</f>
        <v/>
      </c>
      <c r="AL106" s="95">
        <f>L106+M106+SUM(N106:Q106)</f>
        <v/>
      </c>
      <c r="AM106" s="95">
        <f>L106+M106+SUM(N106:R106)</f>
        <v/>
      </c>
      <c r="AN106" s="95">
        <f>L106+M106+SUM(N106:S106)</f>
        <v/>
      </c>
      <c r="AO106" s="95">
        <f>L106+M106+SUM(N106:T106)</f>
        <v/>
      </c>
      <c r="AP106" s="95">
        <f>L106+M106+SUM(N106:U106)</f>
        <v/>
      </c>
      <c r="AQ106" s="95">
        <f>L106+M106+SUM(N106:V106)</f>
        <v/>
      </c>
      <c r="AR106" s="95">
        <f>L106+M106+SUM(N106:W106)</f>
        <v/>
      </c>
      <c r="AS106" s="95">
        <f>L106+M106+SUM(N106:X106)</f>
        <v/>
      </c>
      <c r="AT106" s="95">
        <f>L106+M106+SUM(N106:Y106)</f>
        <v/>
      </c>
    </row>
    <row r="107">
      <c r="B107" s="58" t="n">
        <v>101</v>
      </c>
      <c r="C107" s="58">
        <f>IFERROR(INDEX(coa_Name,101)&amp;"","")</f>
        <v/>
      </c>
      <c r="D107" s="58">
        <f>IF(C107="","",IF(COUNTIF($C$7:C107,C107)&gt;1,"",C107))</f>
        <v/>
      </c>
      <c r="E107" s="58">
        <f>IF($D107="","",INDEX(coa_Code,101))</f>
        <v/>
      </c>
      <c r="F107" s="58">
        <f>IF($D107="","",INDEX(coa_Type,101)&amp;"")</f>
        <v/>
      </c>
      <c r="G107" s="58">
        <f>IF($D107="","",INDEX(coa_Normal,101)&amp;"")</f>
        <v/>
      </c>
      <c r="H107" s="58">
        <f>IF($D107="","",IF(INDEX(coa_CF,101)&amp;""="","Operating",INDEX(coa_CF,101)&amp;""))</f>
        <v/>
      </c>
      <c r="I107" s="58">
        <f>IF($D107="","",IFERROR(INDEX(at_Stmt,MATCH(F107,at_Type,0)),""))</f>
        <v/>
      </c>
      <c r="J107" s="58">
        <f>IF($D107="",0,IFERROR(INDEX(at_Sign,MATCH(F107,at_Type,0)),0))</f>
        <v/>
      </c>
      <c r="K107" s="95">
        <f>IF($D107="",0,IF(G107="Credit",-1,1)*N(INDEX(coa_Open,101)))</f>
        <v/>
      </c>
      <c r="L107" s="95">
        <f>IF($D107="",0,IF($D107=acctOBE,K107-SUM($K$7:$K$156),K107))</f>
        <v/>
      </c>
      <c r="M107" s="95">
        <f>IF($D107="",0,SUMIFS(j_DrAmt,j_DrAcct,$D107,j_Per,0)-SUMIFS(j_CrAmt,j_CrAcct,$D107,j_Per,0)+IF($D107=acctTax,SUMIFS(j_TaxDr,j_Posted,1,j_Per,0)-SUMIFS(j_TaxCr,j_Posted,1,j_Per,0),0))</f>
        <v/>
      </c>
      <c r="N107" s="95">
        <f>IF($D107="",0,SUMIFS(j_DrAmt,j_DrAcct,$D107,j_Per,1)-SUMIFS(j_CrAmt,j_CrAcct,$D107,j_Per,1)+IF($D107=acctTax,SUMIFS(j_TaxDr,j_Posted,1,j_Per,1)-SUMIFS(j_TaxCr,j_Posted,1,j_Per,1),0))</f>
        <v/>
      </c>
      <c r="O107" s="95">
        <f>IF($D107="",0,SUMIFS(j_DrAmt,j_DrAcct,$D107,j_Per,2)-SUMIFS(j_CrAmt,j_CrAcct,$D107,j_Per,2)+IF($D107=acctTax,SUMIFS(j_TaxDr,j_Posted,1,j_Per,2)-SUMIFS(j_TaxCr,j_Posted,1,j_Per,2),0))</f>
        <v/>
      </c>
      <c r="P107" s="95">
        <f>IF($D107="",0,SUMIFS(j_DrAmt,j_DrAcct,$D107,j_Per,3)-SUMIFS(j_CrAmt,j_CrAcct,$D107,j_Per,3)+IF($D107=acctTax,SUMIFS(j_TaxDr,j_Posted,1,j_Per,3)-SUMIFS(j_TaxCr,j_Posted,1,j_Per,3),0))</f>
        <v/>
      </c>
      <c r="Q107" s="95">
        <f>IF($D107="",0,SUMIFS(j_DrAmt,j_DrAcct,$D107,j_Per,4)-SUMIFS(j_CrAmt,j_CrAcct,$D107,j_Per,4)+IF($D107=acctTax,SUMIFS(j_TaxDr,j_Posted,1,j_Per,4)-SUMIFS(j_TaxCr,j_Posted,1,j_Per,4),0))</f>
        <v/>
      </c>
      <c r="R107" s="95">
        <f>IF($D107="",0,SUMIFS(j_DrAmt,j_DrAcct,$D107,j_Per,5)-SUMIFS(j_CrAmt,j_CrAcct,$D107,j_Per,5)+IF($D107=acctTax,SUMIFS(j_TaxDr,j_Posted,1,j_Per,5)-SUMIFS(j_TaxCr,j_Posted,1,j_Per,5),0))</f>
        <v/>
      </c>
      <c r="S107" s="95">
        <f>IF($D107="",0,SUMIFS(j_DrAmt,j_DrAcct,$D107,j_Per,6)-SUMIFS(j_CrAmt,j_CrAcct,$D107,j_Per,6)+IF($D107=acctTax,SUMIFS(j_TaxDr,j_Posted,1,j_Per,6)-SUMIFS(j_TaxCr,j_Posted,1,j_Per,6),0))</f>
        <v/>
      </c>
      <c r="T107" s="95">
        <f>IF($D107="",0,SUMIFS(j_DrAmt,j_DrAcct,$D107,j_Per,7)-SUMIFS(j_CrAmt,j_CrAcct,$D107,j_Per,7)+IF($D107=acctTax,SUMIFS(j_TaxDr,j_Posted,1,j_Per,7)-SUMIFS(j_TaxCr,j_Posted,1,j_Per,7),0))</f>
        <v/>
      </c>
      <c r="U107" s="95">
        <f>IF($D107="",0,SUMIFS(j_DrAmt,j_DrAcct,$D107,j_Per,8)-SUMIFS(j_CrAmt,j_CrAcct,$D107,j_Per,8)+IF($D107=acctTax,SUMIFS(j_TaxDr,j_Posted,1,j_Per,8)-SUMIFS(j_TaxCr,j_Posted,1,j_Per,8),0))</f>
        <v/>
      </c>
      <c r="V107" s="95">
        <f>IF($D107="",0,SUMIFS(j_DrAmt,j_DrAcct,$D107,j_Per,9)-SUMIFS(j_CrAmt,j_CrAcct,$D107,j_Per,9)+IF($D107=acctTax,SUMIFS(j_TaxDr,j_Posted,1,j_Per,9)-SUMIFS(j_TaxCr,j_Posted,1,j_Per,9),0))</f>
        <v/>
      </c>
      <c r="W107" s="95">
        <f>IF($D107="",0,SUMIFS(j_DrAmt,j_DrAcct,$D107,j_Per,10)-SUMIFS(j_CrAmt,j_CrAcct,$D107,j_Per,10)+IF($D107=acctTax,SUMIFS(j_TaxDr,j_Posted,1,j_Per,10)-SUMIFS(j_TaxCr,j_Posted,1,j_Per,10),0))</f>
        <v/>
      </c>
      <c r="X107" s="95">
        <f>IF($D107="",0,SUMIFS(j_DrAmt,j_DrAcct,$D107,j_Per,11)-SUMIFS(j_CrAmt,j_CrAcct,$D107,j_Per,11)+IF($D107=acctTax,SUMIFS(j_TaxDr,j_Posted,1,j_Per,11)-SUMIFS(j_TaxCr,j_Posted,1,j_Per,11),0))</f>
        <v/>
      </c>
      <c r="Y107" s="95">
        <f>IF($D107="",0,SUMIFS(j_DrAmt,j_DrAcct,$D107,j_Per,12)-SUMIFS(j_CrAmt,j_CrAcct,$D107,j_Per,12)+IF($D107=acctTax,SUMIFS(j_TaxDr,j_Posted,1,j_Per,12)-SUMIFS(j_TaxCr,j_Posted,1,j_Per,12),0))</f>
        <v/>
      </c>
      <c r="Z107" s="95">
        <f>SUMPRODUCT(($N$5:$Y$5&lt;=RptIdx)*N107:Y107)</f>
        <v/>
      </c>
      <c r="AA107" s="95">
        <f>IF(AND(RptIdx&gt;=1,RptIdx&lt;=12),INDEX(N107:Y107,RptIdx),0)</f>
        <v/>
      </c>
      <c r="AB107" s="95">
        <f>IF($D107="",0,IF(RptIdx&gt;1,INDEX(N107:Y107,RptIdx-1),SUMIFS(j_DrAmt,j_DrAcct,$D107,j_Date,"&gt;="&amp;PrevStart,j_Date,"&lt;="&amp;PrevEnd)-SUMIFS(j_CrAmt,j_CrAcct,$D107,j_Date,"&gt;="&amp;PrevStart,j_Date,"&lt;="&amp;PrevEnd)+IF($D107=acctTax,SUMIFS(j_TaxDr,j_Posted,1,j_Date,"&gt;="&amp;PrevStart,j_Date,"&lt;="&amp;PrevEnd)-SUMIFS(j_TaxCr,j_Posted,1,j_Date,"&gt;="&amp;PrevStart,j_Date,"&lt;="&amp;PrevEnd),0)))</f>
        <v/>
      </c>
      <c r="AC107" s="95">
        <f>SUM(N107:Y107)</f>
        <v/>
      </c>
      <c r="AD107" s="95">
        <f>L107+M107+Z107</f>
        <v/>
      </c>
      <c r="AE107" s="95">
        <f>AD107-AA107</f>
        <v/>
      </c>
      <c r="AF107" s="58">
        <f>IF($D107="","",F107&amp;"|"&amp;COUNTIFS($F$7:F107,F107,$D$7:D107,"&lt;&gt;"))</f>
        <v/>
      </c>
      <c r="AG107" s="58">
        <f>IF(AND($D107&lt;&gt;"",H107="Cash"),"Cash|"&amp;COUNTIFS($H$7:H107,"Cash",$D$7:D107,"&lt;&gt;"),"")</f>
        <v/>
      </c>
      <c r="AH107" s="95">
        <f>IF(AND($D107&lt;&gt;"",OR(F107="Cost of Sales",F107="Operating Expense",F107="Other Expense"),Z107&gt;0),Z107+101/1000000,"")</f>
        <v/>
      </c>
      <c r="AI107" s="95">
        <f>L107+M107+SUM(N107:N107)</f>
        <v/>
      </c>
      <c r="AJ107" s="95">
        <f>L107+M107+SUM(N107:O107)</f>
        <v/>
      </c>
      <c r="AK107" s="95">
        <f>L107+M107+SUM(N107:P107)</f>
        <v/>
      </c>
      <c r="AL107" s="95">
        <f>L107+M107+SUM(N107:Q107)</f>
        <v/>
      </c>
      <c r="AM107" s="95">
        <f>L107+M107+SUM(N107:R107)</f>
        <v/>
      </c>
      <c r="AN107" s="95">
        <f>L107+M107+SUM(N107:S107)</f>
        <v/>
      </c>
      <c r="AO107" s="95">
        <f>L107+M107+SUM(N107:T107)</f>
        <v/>
      </c>
      <c r="AP107" s="95">
        <f>L107+M107+SUM(N107:U107)</f>
        <v/>
      </c>
      <c r="AQ107" s="95">
        <f>L107+M107+SUM(N107:V107)</f>
        <v/>
      </c>
      <c r="AR107" s="95">
        <f>L107+M107+SUM(N107:W107)</f>
        <v/>
      </c>
      <c r="AS107" s="95">
        <f>L107+M107+SUM(N107:X107)</f>
        <v/>
      </c>
      <c r="AT107" s="95">
        <f>L107+M107+SUM(N107:Y107)</f>
        <v/>
      </c>
    </row>
    <row r="108">
      <c r="B108" s="58" t="n">
        <v>102</v>
      </c>
      <c r="C108" s="58">
        <f>IFERROR(INDEX(coa_Name,102)&amp;"","")</f>
        <v/>
      </c>
      <c r="D108" s="58">
        <f>IF(C108="","",IF(COUNTIF($C$7:C108,C108)&gt;1,"",C108))</f>
        <v/>
      </c>
      <c r="E108" s="58">
        <f>IF($D108="","",INDEX(coa_Code,102))</f>
        <v/>
      </c>
      <c r="F108" s="58">
        <f>IF($D108="","",INDEX(coa_Type,102)&amp;"")</f>
        <v/>
      </c>
      <c r="G108" s="58">
        <f>IF($D108="","",INDEX(coa_Normal,102)&amp;"")</f>
        <v/>
      </c>
      <c r="H108" s="58">
        <f>IF($D108="","",IF(INDEX(coa_CF,102)&amp;""="","Operating",INDEX(coa_CF,102)&amp;""))</f>
        <v/>
      </c>
      <c r="I108" s="58">
        <f>IF($D108="","",IFERROR(INDEX(at_Stmt,MATCH(F108,at_Type,0)),""))</f>
        <v/>
      </c>
      <c r="J108" s="58">
        <f>IF($D108="",0,IFERROR(INDEX(at_Sign,MATCH(F108,at_Type,0)),0))</f>
        <v/>
      </c>
      <c r="K108" s="95">
        <f>IF($D108="",0,IF(G108="Credit",-1,1)*N(INDEX(coa_Open,102)))</f>
        <v/>
      </c>
      <c r="L108" s="95">
        <f>IF($D108="",0,IF($D108=acctOBE,K108-SUM($K$7:$K$156),K108))</f>
        <v/>
      </c>
      <c r="M108" s="95">
        <f>IF($D108="",0,SUMIFS(j_DrAmt,j_DrAcct,$D108,j_Per,0)-SUMIFS(j_CrAmt,j_CrAcct,$D108,j_Per,0)+IF($D108=acctTax,SUMIFS(j_TaxDr,j_Posted,1,j_Per,0)-SUMIFS(j_TaxCr,j_Posted,1,j_Per,0),0))</f>
        <v/>
      </c>
      <c r="N108" s="95">
        <f>IF($D108="",0,SUMIFS(j_DrAmt,j_DrAcct,$D108,j_Per,1)-SUMIFS(j_CrAmt,j_CrAcct,$D108,j_Per,1)+IF($D108=acctTax,SUMIFS(j_TaxDr,j_Posted,1,j_Per,1)-SUMIFS(j_TaxCr,j_Posted,1,j_Per,1),0))</f>
        <v/>
      </c>
      <c r="O108" s="95">
        <f>IF($D108="",0,SUMIFS(j_DrAmt,j_DrAcct,$D108,j_Per,2)-SUMIFS(j_CrAmt,j_CrAcct,$D108,j_Per,2)+IF($D108=acctTax,SUMIFS(j_TaxDr,j_Posted,1,j_Per,2)-SUMIFS(j_TaxCr,j_Posted,1,j_Per,2),0))</f>
        <v/>
      </c>
      <c r="P108" s="95">
        <f>IF($D108="",0,SUMIFS(j_DrAmt,j_DrAcct,$D108,j_Per,3)-SUMIFS(j_CrAmt,j_CrAcct,$D108,j_Per,3)+IF($D108=acctTax,SUMIFS(j_TaxDr,j_Posted,1,j_Per,3)-SUMIFS(j_TaxCr,j_Posted,1,j_Per,3),0))</f>
        <v/>
      </c>
      <c r="Q108" s="95">
        <f>IF($D108="",0,SUMIFS(j_DrAmt,j_DrAcct,$D108,j_Per,4)-SUMIFS(j_CrAmt,j_CrAcct,$D108,j_Per,4)+IF($D108=acctTax,SUMIFS(j_TaxDr,j_Posted,1,j_Per,4)-SUMIFS(j_TaxCr,j_Posted,1,j_Per,4),0))</f>
        <v/>
      </c>
      <c r="R108" s="95">
        <f>IF($D108="",0,SUMIFS(j_DrAmt,j_DrAcct,$D108,j_Per,5)-SUMIFS(j_CrAmt,j_CrAcct,$D108,j_Per,5)+IF($D108=acctTax,SUMIFS(j_TaxDr,j_Posted,1,j_Per,5)-SUMIFS(j_TaxCr,j_Posted,1,j_Per,5),0))</f>
        <v/>
      </c>
      <c r="S108" s="95">
        <f>IF($D108="",0,SUMIFS(j_DrAmt,j_DrAcct,$D108,j_Per,6)-SUMIFS(j_CrAmt,j_CrAcct,$D108,j_Per,6)+IF($D108=acctTax,SUMIFS(j_TaxDr,j_Posted,1,j_Per,6)-SUMIFS(j_TaxCr,j_Posted,1,j_Per,6),0))</f>
        <v/>
      </c>
      <c r="T108" s="95">
        <f>IF($D108="",0,SUMIFS(j_DrAmt,j_DrAcct,$D108,j_Per,7)-SUMIFS(j_CrAmt,j_CrAcct,$D108,j_Per,7)+IF($D108=acctTax,SUMIFS(j_TaxDr,j_Posted,1,j_Per,7)-SUMIFS(j_TaxCr,j_Posted,1,j_Per,7),0))</f>
        <v/>
      </c>
      <c r="U108" s="95">
        <f>IF($D108="",0,SUMIFS(j_DrAmt,j_DrAcct,$D108,j_Per,8)-SUMIFS(j_CrAmt,j_CrAcct,$D108,j_Per,8)+IF($D108=acctTax,SUMIFS(j_TaxDr,j_Posted,1,j_Per,8)-SUMIFS(j_TaxCr,j_Posted,1,j_Per,8),0))</f>
        <v/>
      </c>
      <c r="V108" s="95">
        <f>IF($D108="",0,SUMIFS(j_DrAmt,j_DrAcct,$D108,j_Per,9)-SUMIFS(j_CrAmt,j_CrAcct,$D108,j_Per,9)+IF($D108=acctTax,SUMIFS(j_TaxDr,j_Posted,1,j_Per,9)-SUMIFS(j_TaxCr,j_Posted,1,j_Per,9),0))</f>
        <v/>
      </c>
      <c r="W108" s="95">
        <f>IF($D108="",0,SUMIFS(j_DrAmt,j_DrAcct,$D108,j_Per,10)-SUMIFS(j_CrAmt,j_CrAcct,$D108,j_Per,10)+IF($D108=acctTax,SUMIFS(j_TaxDr,j_Posted,1,j_Per,10)-SUMIFS(j_TaxCr,j_Posted,1,j_Per,10),0))</f>
        <v/>
      </c>
      <c r="X108" s="95">
        <f>IF($D108="",0,SUMIFS(j_DrAmt,j_DrAcct,$D108,j_Per,11)-SUMIFS(j_CrAmt,j_CrAcct,$D108,j_Per,11)+IF($D108=acctTax,SUMIFS(j_TaxDr,j_Posted,1,j_Per,11)-SUMIFS(j_TaxCr,j_Posted,1,j_Per,11),0))</f>
        <v/>
      </c>
      <c r="Y108" s="95">
        <f>IF($D108="",0,SUMIFS(j_DrAmt,j_DrAcct,$D108,j_Per,12)-SUMIFS(j_CrAmt,j_CrAcct,$D108,j_Per,12)+IF($D108=acctTax,SUMIFS(j_TaxDr,j_Posted,1,j_Per,12)-SUMIFS(j_TaxCr,j_Posted,1,j_Per,12),0))</f>
        <v/>
      </c>
      <c r="Z108" s="95">
        <f>SUMPRODUCT(($N$5:$Y$5&lt;=RptIdx)*N108:Y108)</f>
        <v/>
      </c>
      <c r="AA108" s="95">
        <f>IF(AND(RptIdx&gt;=1,RptIdx&lt;=12),INDEX(N108:Y108,RptIdx),0)</f>
        <v/>
      </c>
      <c r="AB108" s="95">
        <f>IF($D108="",0,IF(RptIdx&gt;1,INDEX(N108:Y108,RptIdx-1),SUMIFS(j_DrAmt,j_DrAcct,$D108,j_Date,"&gt;="&amp;PrevStart,j_Date,"&lt;="&amp;PrevEnd)-SUMIFS(j_CrAmt,j_CrAcct,$D108,j_Date,"&gt;="&amp;PrevStart,j_Date,"&lt;="&amp;PrevEnd)+IF($D108=acctTax,SUMIFS(j_TaxDr,j_Posted,1,j_Date,"&gt;="&amp;PrevStart,j_Date,"&lt;="&amp;PrevEnd)-SUMIFS(j_TaxCr,j_Posted,1,j_Date,"&gt;="&amp;PrevStart,j_Date,"&lt;="&amp;PrevEnd),0)))</f>
        <v/>
      </c>
      <c r="AC108" s="95">
        <f>SUM(N108:Y108)</f>
        <v/>
      </c>
      <c r="AD108" s="95">
        <f>L108+M108+Z108</f>
        <v/>
      </c>
      <c r="AE108" s="95">
        <f>AD108-AA108</f>
        <v/>
      </c>
      <c r="AF108" s="58">
        <f>IF($D108="","",F108&amp;"|"&amp;COUNTIFS($F$7:F108,F108,$D$7:D108,"&lt;&gt;"))</f>
        <v/>
      </c>
      <c r="AG108" s="58">
        <f>IF(AND($D108&lt;&gt;"",H108="Cash"),"Cash|"&amp;COUNTIFS($H$7:H108,"Cash",$D$7:D108,"&lt;&gt;"),"")</f>
        <v/>
      </c>
      <c r="AH108" s="95">
        <f>IF(AND($D108&lt;&gt;"",OR(F108="Cost of Sales",F108="Operating Expense",F108="Other Expense"),Z108&gt;0),Z108+102/1000000,"")</f>
        <v/>
      </c>
      <c r="AI108" s="95">
        <f>L108+M108+SUM(N108:N108)</f>
        <v/>
      </c>
      <c r="AJ108" s="95">
        <f>L108+M108+SUM(N108:O108)</f>
        <v/>
      </c>
      <c r="AK108" s="95">
        <f>L108+M108+SUM(N108:P108)</f>
        <v/>
      </c>
      <c r="AL108" s="95">
        <f>L108+M108+SUM(N108:Q108)</f>
        <v/>
      </c>
      <c r="AM108" s="95">
        <f>L108+M108+SUM(N108:R108)</f>
        <v/>
      </c>
      <c r="AN108" s="95">
        <f>L108+M108+SUM(N108:S108)</f>
        <v/>
      </c>
      <c r="AO108" s="95">
        <f>L108+M108+SUM(N108:T108)</f>
        <v/>
      </c>
      <c r="AP108" s="95">
        <f>L108+M108+SUM(N108:U108)</f>
        <v/>
      </c>
      <c r="AQ108" s="95">
        <f>L108+M108+SUM(N108:V108)</f>
        <v/>
      </c>
      <c r="AR108" s="95">
        <f>L108+M108+SUM(N108:W108)</f>
        <v/>
      </c>
      <c r="AS108" s="95">
        <f>L108+M108+SUM(N108:X108)</f>
        <v/>
      </c>
      <c r="AT108" s="95">
        <f>L108+M108+SUM(N108:Y108)</f>
        <v/>
      </c>
    </row>
    <row r="109">
      <c r="B109" s="58" t="n">
        <v>103</v>
      </c>
      <c r="C109" s="58">
        <f>IFERROR(INDEX(coa_Name,103)&amp;"","")</f>
        <v/>
      </c>
      <c r="D109" s="58">
        <f>IF(C109="","",IF(COUNTIF($C$7:C109,C109)&gt;1,"",C109))</f>
        <v/>
      </c>
      <c r="E109" s="58">
        <f>IF($D109="","",INDEX(coa_Code,103))</f>
        <v/>
      </c>
      <c r="F109" s="58">
        <f>IF($D109="","",INDEX(coa_Type,103)&amp;"")</f>
        <v/>
      </c>
      <c r="G109" s="58">
        <f>IF($D109="","",INDEX(coa_Normal,103)&amp;"")</f>
        <v/>
      </c>
      <c r="H109" s="58">
        <f>IF($D109="","",IF(INDEX(coa_CF,103)&amp;""="","Operating",INDEX(coa_CF,103)&amp;""))</f>
        <v/>
      </c>
      <c r="I109" s="58">
        <f>IF($D109="","",IFERROR(INDEX(at_Stmt,MATCH(F109,at_Type,0)),""))</f>
        <v/>
      </c>
      <c r="J109" s="58">
        <f>IF($D109="",0,IFERROR(INDEX(at_Sign,MATCH(F109,at_Type,0)),0))</f>
        <v/>
      </c>
      <c r="K109" s="95">
        <f>IF($D109="",0,IF(G109="Credit",-1,1)*N(INDEX(coa_Open,103)))</f>
        <v/>
      </c>
      <c r="L109" s="95">
        <f>IF($D109="",0,IF($D109=acctOBE,K109-SUM($K$7:$K$156),K109))</f>
        <v/>
      </c>
      <c r="M109" s="95">
        <f>IF($D109="",0,SUMIFS(j_DrAmt,j_DrAcct,$D109,j_Per,0)-SUMIFS(j_CrAmt,j_CrAcct,$D109,j_Per,0)+IF($D109=acctTax,SUMIFS(j_TaxDr,j_Posted,1,j_Per,0)-SUMIFS(j_TaxCr,j_Posted,1,j_Per,0),0))</f>
        <v/>
      </c>
      <c r="N109" s="95">
        <f>IF($D109="",0,SUMIFS(j_DrAmt,j_DrAcct,$D109,j_Per,1)-SUMIFS(j_CrAmt,j_CrAcct,$D109,j_Per,1)+IF($D109=acctTax,SUMIFS(j_TaxDr,j_Posted,1,j_Per,1)-SUMIFS(j_TaxCr,j_Posted,1,j_Per,1),0))</f>
        <v/>
      </c>
      <c r="O109" s="95">
        <f>IF($D109="",0,SUMIFS(j_DrAmt,j_DrAcct,$D109,j_Per,2)-SUMIFS(j_CrAmt,j_CrAcct,$D109,j_Per,2)+IF($D109=acctTax,SUMIFS(j_TaxDr,j_Posted,1,j_Per,2)-SUMIFS(j_TaxCr,j_Posted,1,j_Per,2),0))</f>
        <v/>
      </c>
      <c r="P109" s="95">
        <f>IF($D109="",0,SUMIFS(j_DrAmt,j_DrAcct,$D109,j_Per,3)-SUMIFS(j_CrAmt,j_CrAcct,$D109,j_Per,3)+IF($D109=acctTax,SUMIFS(j_TaxDr,j_Posted,1,j_Per,3)-SUMIFS(j_TaxCr,j_Posted,1,j_Per,3),0))</f>
        <v/>
      </c>
      <c r="Q109" s="95">
        <f>IF($D109="",0,SUMIFS(j_DrAmt,j_DrAcct,$D109,j_Per,4)-SUMIFS(j_CrAmt,j_CrAcct,$D109,j_Per,4)+IF($D109=acctTax,SUMIFS(j_TaxDr,j_Posted,1,j_Per,4)-SUMIFS(j_TaxCr,j_Posted,1,j_Per,4),0))</f>
        <v/>
      </c>
      <c r="R109" s="95">
        <f>IF($D109="",0,SUMIFS(j_DrAmt,j_DrAcct,$D109,j_Per,5)-SUMIFS(j_CrAmt,j_CrAcct,$D109,j_Per,5)+IF($D109=acctTax,SUMIFS(j_TaxDr,j_Posted,1,j_Per,5)-SUMIFS(j_TaxCr,j_Posted,1,j_Per,5),0))</f>
        <v/>
      </c>
      <c r="S109" s="95">
        <f>IF($D109="",0,SUMIFS(j_DrAmt,j_DrAcct,$D109,j_Per,6)-SUMIFS(j_CrAmt,j_CrAcct,$D109,j_Per,6)+IF($D109=acctTax,SUMIFS(j_TaxDr,j_Posted,1,j_Per,6)-SUMIFS(j_TaxCr,j_Posted,1,j_Per,6),0))</f>
        <v/>
      </c>
      <c r="T109" s="95">
        <f>IF($D109="",0,SUMIFS(j_DrAmt,j_DrAcct,$D109,j_Per,7)-SUMIFS(j_CrAmt,j_CrAcct,$D109,j_Per,7)+IF($D109=acctTax,SUMIFS(j_TaxDr,j_Posted,1,j_Per,7)-SUMIFS(j_TaxCr,j_Posted,1,j_Per,7),0))</f>
        <v/>
      </c>
      <c r="U109" s="95">
        <f>IF($D109="",0,SUMIFS(j_DrAmt,j_DrAcct,$D109,j_Per,8)-SUMIFS(j_CrAmt,j_CrAcct,$D109,j_Per,8)+IF($D109=acctTax,SUMIFS(j_TaxDr,j_Posted,1,j_Per,8)-SUMIFS(j_TaxCr,j_Posted,1,j_Per,8),0))</f>
        <v/>
      </c>
      <c r="V109" s="95">
        <f>IF($D109="",0,SUMIFS(j_DrAmt,j_DrAcct,$D109,j_Per,9)-SUMIFS(j_CrAmt,j_CrAcct,$D109,j_Per,9)+IF($D109=acctTax,SUMIFS(j_TaxDr,j_Posted,1,j_Per,9)-SUMIFS(j_TaxCr,j_Posted,1,j_Per,9),0))</f>
        <v/>
      </c>
      <c r="W109" s="95">
        <f>IF($D109="",0,SUMIFS(j_DrAmt,j_DrAcct,$D109,j_Per,10)-SUMIFS(j_CrAmt,j_CrAcct,$D109,j_Per,10)+IF($D109=acctTax,SUMIFS(j_TaxDr,j_Posted,1,j_Per,10)-SUMIFS(j_TaxCr,j_Posted,1,j_Per,10),0))</f>
        <v/>
      </c>
      <c r="X109" s="95">
        <f>IF($D109="",0,SUMIFS(j_DrAmt,j_DrAcct,$D109,j_Per,11)-SUMIFS(j_CrAmt,j_CrAcct,$D109,j_Per,11)+IF($D109=acctTax,SUMIFS(j_TaxDr,j_Posted,1,j_Per,11)-SUMIFS(j_TaxCr,j_Posted,1,j_Per,11),0))</f>
        <v/>
      </c>
      <c r="Y109" s="95">
        <f>IF($D109="",0,SUMIFS(j_DrAmt,j_DrAcct,$D109,j_Per,12)-SUMIFS(j_CrAmt,j_CrAcct,$D109,j_Per,12)+IF($D109=acctTax,SUMIFS(j_TaxDr,j_Posted,1,j_Per,12)-SUMIFS(j_TaxCr,j_Posted,1,j_Per,12),0))</f>
        <v/>
      </c>
      <c r="Z109" s="95">
        <f>SUMPRODUCT(($N$5:$Y$5&lt;=RptIdx)*N109:Y109)</f>
        <v/>
      </c>
      <c r="AA109" s="95">
        <f>IF(AND(RptIdx&gt;=1,RptIdx&lt;=12),INDEX(N109:Y109,RptIdx),0)</f>
        <v/>
      </c>
      <c r="AB109" s="95">
        <f>IF($D109="",0,IF(RptIdx&gt;1,INDEX(N109:Y109,RptIdx-1),SUMIFS(j_DrAmt,j_DrAcct,$D109,j_Date,"&gt;="&amp;PrevStart,j_Date,"&lt;="&amp;PrevEnd)-SUMIFS(j_CrAmt,j_CrAcct,$D109,j_Date,"&gt;="&amp;PrevStart,j_Date,"&lt;="&amp;PrevEnd)+IF($D109=acctTax,SUMIFS(j_TaxDr,j_Posted,1,j_Date,"&gt;="&amp;PrevStart,j_Date,"&lt;="&amp;PrevEnd)-SUMIFS(j_TaxCr,j_Posted,1,j_Date,"&gt;="&amp;PrevStart,j_Date,"&lt;="&amp;PrevEnd),0)))</f>
        <v/>
      </c>
      <c r="AC109" s="95">
        <f>SUM(N109:Y109)</f>
        <v/>
      </c>
      <c r="AD109" s="95">
        <f>L109+M109+Z109</f>
        <v/>
      </c>
      <c r="AE109" s="95">
        <f>AD109-AA109</f>
        <v/>
      </c>
      <c r="AF109" s="58">
        <f>IF($D109="","",F109&amp;"|"&amp;COUNTIFS($F$7:F109,F109,$D$7:D109,"&lt;&gt;"))</f>
        <v/>
      </c>
      <c r="AG109" s="58">
        <f>IF(AND($D109&lt;&gt;"",H109="Cash"),"Cash|"&amp;COUNTIFS($H$7:H109,"Cash",$D$7:D109,"&lt;&gt;"),"")</f>
        <v/>
      </c>
      <c r="AH109" s="95">
        <f>IF(AND($D109&lt;&gt;"",OR(F109="Cost of Sales",F109="Operating Expense",F109="Other Expense"),Z109&gt;0),Z109+103/1000000,"")</f>
        <v/>
      </c>
      <c r="AI109" s="95">
        <f>L109+M109+SUM(N109:N109)</f>
        <v/>
      </c>
      <c r="AJ109" s="95">
        <f>L109+M109+SUM(N109:O109)</f>
        <v/>
      </c>
      <c r="AK109" s="95">
        <f>L109+M109+SUM(N109:P109)</f>
        <v/>
      </c>
      <c r="AL109" s="95">
        <f>L109+M109+SUM(N109:Q109)</f>
        <v/>
      </c>
      <c r="AM109" s="95">
        <f>L109+M109+SUM(N109:R109)</f>
        <v/>
      </c>
      <c r="AN109" s="95">
        <f>L109+M109+SUM(N109:S109)</f>
        <v/>
      </c>
      <c r="AO109" s="95">
        <f>L109+M109+SUM(N109:T109)</f>
        <v/>
      </c>
      <c r="AP109" s="95">
        <f>L109+M109+SUM(N109:U109)</f>
        <v/>
      </c>
      <c r="AQ109" s="95">
        <f>L109+M109+SUM(N109:V109)</f>
        <v/>
      </c>
      <c r="AR109" s="95">
        <f>L109+M109+SUM(N109:W109)</f>
        <v/>
      </c>
      <c r="AS109" s="95">
        <f>L109+M109+SUM(N109:X109)</f>
        <v/>
      </c>
      <c r="AT109" s="95">
        <f>L109+M109+SUM(N109:Y109)</f>
        <v/>
      </c>
    </row>
    <row r="110">
      <c r="B110" s="58" t="n">
        <v>104</v>
      </c>
      <c r="C110" s="58">
        <f>IFERROR(INDEX(coa_Name,104)&amp;"","")</f>
        <v/>
      </c>
      <c r="D110" s="58">
        <f>IF(C110="","",IF(COUNTIF($C$7:C110,C110)&gt;1,"",C110))</f>
        <v/>
      </c>
      <c r="E110" s="58">
        <f>IF($D110="","",INDEX(coa_Code,104))</f>
        <v/>
      </c>
      <c r="F110" s="58">
        <f>IF($D110="","",INDEX(coa_Type,104)&amp;"")</f>
        <v/>
      </c>
      <c r="G110" s="58">
        <f>IF($D110="","",INDEX(coa_Normal,104)&amp;"")</f>
        <v/>
      </c>
      <c r="H110" s="58">
        <f>IF($D110="","",IF(INDEX(coa_CF,104)&amp;""="","Operating",INDEX(coa_CF,104)&amp;""))</f>
        <v/>
      </c>
      <c r="I110" s="58">
        <f>IF($D110="","",IFERROR(INDEX(at_Stmt,MATCH(F110,at_Type,0)),""))</f>
        <v/>
      </c>
      <c r="J110" s="58">
        <f>IF($D110="",0,IFERROR(INDEX(at_Sign,MATCH(F110,at_Type,0)),0))</f>
        <v/>
      </c>
      <c r="K110" s="95">
        <f>IF($D110="",0,IF(G110="Credit",-1,1)*N(INDEX(coa_Open,104)))</f>
        <v/>
      </c>
      <c r="L110" s="95">
        <f>IF($D110="",0,IF($D110=acctOBE,K110-SUM($K$7:$K$156),K110))</f>
        <v/>
      </c>
      <c r="M110" s="95">
        <f>IF($D110="",0,SUMIFS(j_DrAmt,j_DrAcct,$D110,j_Per,0)-SUMIFS(j_CrAmt,j_CrAcct,$D110,j_Per,0)+IF($D110=acctTax,SUMIFS(j_TaxDr,j_Posted,1,j_Per,0)-SUMIFS(j_TaxCr,j_Posted,1,j_Per,0),0))</f>
        <v/>
      </c>
      <c r="N110" s="95">
        <f>IF($D110="",0,SUMIFS(j_DrAmt,j_DrAcct,$D110,j_Per,1)-SUMIFS(j_CrAmt,j_CrAcct,$D110,j_Per,1)+IF($D110=acctTax,SUMIFS(j_TaxDr,j_Posted,1,j_Per,1)-SUMIFS(j_TaxCr,j_Posted,1,j_Per,1),0))</f>
        <v/>
      </c>
      <c r="O110" s="95">
        <f>IF($D110="",0,SUMIFS(j_DrAmt,j_DrAcct,$D110,j_Per,2)-SUMIFS(j_CrAmt,j_CrAcct,$D110,j_Per,2)+IF($D110=acctTax,SUMIFS(j_TaxDr,j_Posted,1,j_Per,2)-SUMIFS(j_TaxCr,j_Posted,1,j_Per,2),0))</f>
        <v/>
      </c>
      <c r="P110" s="95">
        <f>IF($D110="",0,SUMIFS(j_DrAmt,j_DrAcct,$D110,j_Per,3)-SUMIFS(j_CrAmt,j_CrAcct,$D110,j_Per,3)+IF($D110=acctTax,SUMIFS(j_TaxDr,j_Posted,1,j_Per,3)-SUMIFS(j_TaxCr,j_Posted,1,j_Per,3),0))</f>
        <v/>
      </c>
      <c r="Q110" s="95">
        <f>IF($D110="",0,SUMIFS(j_DrAmt,j_DrAcct,$D110,j_Per,4)-SUMIFS(j_CrAmt,j_CrAcct,$D110,j_Per,4)+IF($D110=acctTax,SUMIFS(j_TaxDr,j_Posted,1,j_Per,4)-SUMIFS(j_TaxCr,j_Posted,1,j_Per,4),0))</f>
        <v/>
      </c>
      <c r="R110" s="95">
        <f>IF($D110="",0,SUMIFS(j_DrAmt,j_DrAcct,$D110,j_Per,5)-SUMIFS(j_CrAmt,j_CrAcct,$D110,j_Per,5)+IF($D110=acctTax,SUMIFS(j_TaxDr,j_Posted,1,j_Per,5)-SUMIFS(j_TaxCr,j_Posted,1,j_Per,5),0))</f>
        <v/>
      </c>
      <c r="S110" s="95">
        <f>IF($D110="",0,SUMIFS(j_DrAmt,j_DrAcct,$D110,j_Per,6)-SUMIFS(j_CrAmt,j_CrAcct,$D110,j_Per,6)+IF($D110=acctTax,SUMIFS(j_TaxDr,j_Posted,1,j_Per,6)-SUMIFS(j_TaxCr,j_Posted,1,j_Per,6),0))</f>
        <v/>
      </c>
      <c r="T110" s="95">
        <f>IF($D110="",0,SUMIFS(j_DrAmt,j_DrAcct,$D110,j_Per,7)-SUMIFS(j_CrAmt,j_CrAcct,$D110,j_Per,7)+IF($D110=acctTax,SUMIFS(j_TaxDr,j_Posted,1,j_Per,7)-SUMIFS(j_TaxCr,j_Posted,1,j_Per,7),0))</f>
        <v/>
      </c>
      <c r="U110" s="95">
        <f>IF($D110="",0,SUMIFS(j_DrAmt,j_DrAcct,$D110,j_Per,8)-SUMIFS(j_CrAmt,j_CrAcct,$D110,j_Per,8)+IF($D110=acctTax,SUMIFS(j_TaxDr,j_Posted,1,j_Per,8)-SUMIFS(j_TaxCr,j_Posted,1,j_Per,8),0))</f>
        <v/>
      </c>
      <c r="V110" s="95">
        <f>IF($D110="",0,SUMIFS(j_DrAmt,j_DrAcct,$D110,j_Per,9)-SUMIFS(j_CrAmt,j_CrAcct,$D110,j_Per,9)+IF($D110=acctTax,SUMIFS(j_TaxDr,j_Posted,1,j_Per,9)-SUMIFS(j_TaxCr,j_Posted,1,j_Per,9),0))</f>
        <v/>
      </c>
      <c r="W110" s="95">
        <f>IF($D110="",0,SUMIFS(j_DrAmt,j_DrAcct,$D110,j_Per,10)-SUMIFS(j_CrAmt,j_CrAcct,$D110,j_Per,10)+IF($D110=acctTax,SUMIFS(j_TaxDr,j_Posted,1,j_Per,10)-SUMIFS(j_TaxCr,j_Posted,1,j_Per,10),0))</f>
        <v/>
      </c>
      <c r="X110" s="95">
        <f>IF($D110="",0,SUMIFS(j_DrAmt,j_DrAcct,$D110,j_Per,11)-SUMIFS(j_CrAmt,j_CrAcct,$D110,j_Per,11)+IF($D110=acctTax,SUMIFS(j_TaxDr,j_Posted,1,j_Per,11)-SUMIFS(j_TaxCr,j_Posted,1,j_Per,11),0))</f>
        <v/>
      </c>
      <c r="Y110" s="95">
        <f>IF($D110="",0,SUMIFS(j_DrAmt,j_DrAcct,$D110,j_Per,12)-SUMIFS(j_CrAmt,j_CrAcct,$D110,j_Per,12)+IF($D110=acctTax,SUMIFS(j_TaxDr,j_Posted,1,j_Per,12)-SUMIFS(j_TaxCr,j_Posted,1,j_Per,12),0))</f>
        <v/>
      </c>
      <c r="Z110" s="95">
        <f>SUMPRODUCT(($N$5:$Y$5&lt;=RptIdx)*N110:Y110)</f>
        <v/>
      </c>
      <c r="AA110" s="95">
        <f>IF(AND(RptIdx&gt;=1,RptIdx&lt;=12),INDEX(N110:Y110,RptIdx),0)</f>
        <v/>
      </c>
      <c r="AB110" s="95">
        <f>IF($D110="",0,IF(RptIdx&gt;1,INDEX(N110:Y110,RptIdx-1),SUMIFS(j_DrAmt,j_DrAcct,$D110,j_Date,"&gt;="&amp;PrevStart,j_Date,"&lt;="&amp;PrevEnd)-SUMIFS(j_CrAmt,j_CrAcct,$D110,j_Date,"&gt;="&amp;PrevStart,j_Date,"&lt;="&amp;PrevEnd)+IF($D110=acctTax,SUMIFS(j_TaxDr,j_Posted,1,j_Date,"&gt;="&amp;PrevStart,j_Date,"&lt;="&amp;PrevEnd)-SUMIFS(j_TaxCr,j_Posted,1,j_Date,"&gt;="&amp;PrevStart,j_Date,"&lt;="&amp;PrevEnd),0)))</f>
        <v/>
      </c>
      <c r="AC110" s="95">
        <f>SUM(N110:Y110)</f>
        <v/>
      </c>
      <c r="AD110" s="95">
        <f>L110+M110+Z110</f>
        <v/>
      </c>
      <c r="AE110" s="95">
        <f>AD110-AA110</f>
        <v/>
      </c>
      <c r="AF110" s="58">
        <f>IF($D110="","",F110&amp;"|"&amp;COUNTIFS($F$7:F110,F110,$D$7:D110,"&lt;&gt;"))</f>
        <v/>
      </c>
      <c r="AG110" s="58">
        <f>IF(AND($D110&lt;&gt;"",H110="Cash"),"Cash|"&amp;COUNTIFS($H$7:H110,"Cash",$D$7:D110,"&lt;&gt;"),"")</f>
        <v/>
      </c>
      <c r="AH110" s="95">
        <f>IF(AND($D110&lt;&gt;"",OR(F110="Cost of Sales",F110="Operating Expense",F110="Other Expense"),Z110&gt;0),Z110+104/1000000,"")</f>
        <v/>
      </c>
      <c r="AI110" s="95">
        <f>L110+M110+SUM(N110:N110)</f>
        <v/>
      </c>
      <c r="AJ110" s="95">
        <f>L110+M110+SUM(N110:O110)</f>
        <v/>
      </c>
      <c r="AK110" s="95">
        <f>L110+M110+SUM(N110:P110)</f>
        <v/>
      </c>
      <c r="AL110" s="95">
        <f>L110+M110+SUM(N110:Q110)</f>
        <v/>
      </c>
      <c r="AM110" s="95">
        <f>L110+M110+SUM(N110:R110)</f>
        <v/>
      </c>
      <c r="AN110" s="95">
        <f>L110+M110+SUM(N110:S110)</f>
        <v/>
      </c>
      <c r="AO110" s="95">
        <f>L110+M110+SUM(N110:T110)</f>
        <v/>
      </c>
      <c r="AP110" s="95">
        <f>L110+M110+SUM(N110:U110)</f>
        <v/>
      </c>
      <c r="AQ110" s="95">
        <f>L110+M110+SUM(N110:V110)</f>
        <v/>
      </c>
      <c r="AR110" s="95">
        <f>L110+M110+SUM(N110:W110)</f>
        <v/>
      </c>
      <c r="AS110" s="95">
        <f>L110+M110+SUM(N110:X110)</f>
        <v/>
      </c>
      <c r="AT110" s="95">
        <f>L110+M110+SUM(N110:Y110)</f>
        <v/>
      </c>
    </row>
    <row r="111">
      <c r="B111" s="58" t="n">
        <v>105</v>
      </c>
      <c r="C111" s="58">
        <f>IFERROR(INDEX(coa_Name,105)&amp;"","")</f>
        <v/>
      </c>
      <c r="D111" s="58">
        <f>IF(C111="","",IF(COUNTIF($C$7:C111,C111)&gt;1,"",C111))</f>
        <v/>
      </c>
      <c r="E111" s="58">
        <f>IF($D111="","",INDEX(coa_Code,105))</f>
        <v/>
      </c>
      <c r="F111" s="58">
        <f>IF($D111="","",INDEX(coa_Type,105)&amp;"")</f>
        <v/>
      </c>
      <c r="G111" s="58">
        <f>IF($D111="","",INDEX(coa_Normal,105)&amp;"")</f>
        <v/>
      </c>
      <c r="H111" s="58">
        <f>IF($D111="","",IF(INDEX(coa_CF,105)&amp;""="","Operating",INDEX(coa_CF,105)&amp;""))</f>
        <v/>
      </c>
      <c r="I111" s="58">
        <f>IF($D111="","",IFERROR(INDEX(at_Stmt,MATCH(F111,at_Type,0)),""))</f>
        <v/>
      </c>
      <c r="J111" s="58">
        <f>IF($D111="",0,IFERROR(INDEX(at_Sign,MATCH(F111,at_Type,0)),0))</f>
        <v/>
      </c>
      <c r="K111" s="95">
        <f>IF($D111="",0,IF(G111="Credit",-1,1)*N(INDEX(coa_Open,105)))</f>
        <v/>
      </c>
      <c r="L111" s="95">
        <f>IF($D111="",0,IF($D111=acctOBE,K111-SUM($K$7:$K$156),K111))</f>
        <v/>
      </c>
      <c r="M111" s="95">
        <f>IF($D111="",0,SUMIFS(j_DrAmt,j_DrAcct,$D111,j_Per,0)-SUMIFS(j_CrAmt,j_CrAcct,$D111,j_Per,0)+IF($D111=acctTax,SUMIFS(j_TaxDr,j_Posted,1,j_Per,0)-SUMIFS(j_TaxCr,j_Posted,1,j_Per,0),0))</f>
        <v/>
      </c>
      <c r="N111" s="95">
        <f>IF($D111="",0,SUMIFS(j_DrAmt,j_DrAcct,$D111,j_Per,1)-SUMIFS(j_CrAmt,j_CrAcct,$D111,j_Per,1)+IF($D111=acctTax,SUMIFS(j_TaxDr,j_Posted,1,j_Per,1)-SUMIFS(j_TaxCr,j_Posted,1,j_Per,1),0))</f>
        <v/>
      </c>
      <c r="O111" s="95">
        <f>IF($D111="",0,SUMIFS(j_DrAmt,j_DrAcct,$D111,j_Per,2)-SUMIFS(j_CrAmt,j_CrAcct,$D111,j_Per,2)+IF($D111=acctTax,SUMIFS(j_TaxDr,j_Posted,1,j_Per,2)-SUMIFS(j_TaxCr,j_Posted,1,j_Per,2),0))</f>
        <v/>
      </c>
      <c r="P111" s="95">
        <f>IF($D111="",0,SUMIFS(j_DrAmt,j_DrAcct,$D111,j_Per,3)-SUMIFS(j_CrAmt,j_CrAcct,$D111,j_Per,3)+IF($D111=acctTax,SUMIFS(j_TaxDr,j_Posted,1,j_Per,3)-SUMIFS(j_TaxCr,j_Posted,1,j_Per,3),0))</f>
        <v/>
      </c>
      <c r="Q111" s="95">
        <f>IF($D111="",0,SUMIFS(j_DrAmt,j_DrAcct,$D111,j_Per,4)-SUMIFS(j_CrAmt,j_CrAcct,$D111,j_Per,4)+IF($D111=acctTax,SUMIFS(j_TaxDr,j_Posted,1,j_Per,4)-SUMIFS(j_TaxCr,j_Posted,1,j_Per,4),0))</f>
        <v/>
      </c>
      <c r="R111" s="95">
        <f>IF($D111="",0,SUMIFS(j_DrAmt,j_DrAcct,$D111,j_Per,5)-SUMIFS(j_CrAmt,j_CrAcct,$D111,j_Per,5)+IF($D111=acctTax,SUMIFS(j_TaxDr,j_Posted,1,j_Per,5)-SUMIFS(j_TaxCr,j_Posted,1,j_Per,5),0))</f>
        <v/>
      </c>
      <c r="S111" s="95">
        <f>IF($D111="",0,SUMIFS(j_DrAmt,j_DrAcct,$D111,j_Per,6)-SUMIFS(j_CrAmt,j_CrAcct,$D111,j_Per,6)+IF($D111=acctTax,SUMIFS(j_TaxDr,j_Posted,1,j_Per,6)-SUMIFS(j_TaxCr,j_Posted,1,j_Per,6),0))</f>
        <v/>
      </c>
      <c r="T111" s="95">
        <f>IF($D111="",0,SUMIFS(j_DrAmt,j_DrAcct,$D111,j_Per,7)-SUMIFS(j_CrAmt,j_CrAcct,$D111,j_Per,7)+IF($D111=acctTax,SUMIFS(j_TaxDr,j_Posted,1,j_Per,7)-SUMIFS(j_TaxCr,j_Posted,1,j_Per,7),0))</f>
        <v/>
      </c>
      <c r="U111" s="95">
        <f>IF($D111="",0,SUMIFS(j_DrAmt,j_DrAcct,$D111,j_Per,8)-SUMIFS(j_CrAmt,j_CrAcct,$D111,j_Per,8)+IF($D111=acctTax,SUMIFS(j_TaxDr,j_Posted,1,j_Per,8)-SUMIFS(j_TaxCr,j_Posted,1,j_Per,8),0))</f>
        <v/>
      </c>
      <c r="V111" s="95">
        <f>IF($D111="",0,SUMIFS(j_DrAmt,j_DrAcct,$D111,j_Per,9)-SUMIFS(j_CrAmt,j_CrAcct,$D111,j_Per,9)+IF($D111=acctTax,SUMIFS(j_TaxDr,j_Posted,1,j_Per,9)-SUMIFS(j_TaxCr,j_Posted,1,j_Per,9),0))</f>
        <v/>
      </c>
      <c r="W111" s="95">
        <f>IF($D111="",0,SUMIFS(j_DrAmt,j_DrAcct,$D111,j_Per,10)-SUMIFS(j_CrAmt,j_CrAcct,$D111,j_Per,10)+IF($D111=acctTax,SUMIFS(j_TaxDr,j_Posted,1,j_Per,10)-SUMIFS(j_TaxCr,j_Posted,1,j_Per,10),0))</f>
        <v/>
      </c>
      <c r="X111" s="95">
        <f>IF($D111="",0,SUMIFS(j_DrAmt,j_DrAcct,$D111,j_Per,11)-SUMIFS(j_CrAmt,j_CrAcct,$D111,j_Per,11)+IF($D111=acctTax,SUMIFS(j_TaxDr,j_Posted,1,j_Per,11)-SUMIFS(j_TaxCr,j_Posted,1,j_Per,11),0))</f>
        <v/>
      </c>
      <c r="Y111" s="95">
        <f>IF($D111="",0,SUMIFS(j_DrAmt,j_DrAcct,$D111,j_Per,12)-SUMIFS(j_CrAmt,j_CrAcct,$D111,j_Per,12)+IF($D111=acctTax,SUMIFS(j_TaxDr,j_Posted,1,j_Per,12)-SUMIFS(j_TaxCr,j_Posted,1,j_Per,12),0))</f>
        <v/>
      </c>
      <c r="Z111" s="95">
        <f>SUMPRODUCT(($N$5:$Y$5&lt;=RptIdx)*N111:Y111)</f>
        <v/>
      </c>
      <c r="AA111" s="95">
        <f>IF(AND(RptIdx&gt;=1,RptIdx&lt;=12),INDEX(N111:Y111,RptIdx),0)</f>
        <v/>
      </c>
      <c r="AB111" s="95">
        <f>IF($D111="",0,IF(RptIdx&gt;1,INDEX(N111:Y111,RptIdx-1),SUMIFS(j_DrAmt,j_DrAcct,$D111,j_Date,"&gt;="&amp;PrevStart,j_Date,"&lt;="&amp;PrevEnd)-SUMIFS(j_CrAmt,j_CrAcct,$D111,j_Date,"&gt;="&amp;PrevStart,j_Date,"&lt;="&amp;PrevEnd)+IF($D111=acctTax,SUMIFS(j_TaxDr,j_Posted,1,j_Date,"&gt;="&amp;PrevStart,j_Date,"&lt;="&amp;PrevEnd)-SUMIFS(j_TaxCr,j_Posted,1,j_Date,"&gt;="&amp;PrevStart,j_Date,"&lt;="&amp;PrevEnd),0)))</f>
        <v/>
      </c>
      <c r="AC111" s="95">
        <f>SUM(N111:Y111)</f>
        <v/>
      </c>
      <c r="AD111" s="95">
        <f>L111+M111+Z111</f>
        <v/>
      </c>
      <c r="AE111" s="95">
        <f>AD111-AA111</f>
        <v/>
      </c>
      <c r="AF111" s="58">
        <f>IF($D111="","",F111&amp;"|"&amp;COUNTIFS($F$7:F111,F111,$D$7:D111,"&lt;&gt;"))</f>
        <v/>
      </c>
      <c r="AG111" s="58">
        <f>IF(AND($D111&lt;&gt;"",H111="Cash"),"Cash|"&amp;COUNTIFS($H$7:H111,"Cash",$D$7:D111,"&lt;&gt;"),"")</f>
        <v/>
      </c>
      <c r="AH111" s="95">
        <f>IF(AND($D111&lt;&gt;"",OR(F111="Cost of Sales",F111="Operating Expense",F111="Other Expense"),Z111&gt;0),Z111+105/1000000,"")</f>
        <v/>
      </c>
      <c r="AI111" s="95">
        <f>L111+M111+SUM(N111:N111)</f>
        <v/>
      </c>
      <c r="AJ111" s="95">
        <f>L111+M111+SUM(N111:O111)</f>
        <v/>
      </c>
      <c r="AK111" s="95">
        <f>L111+M111+SUM(N111:P111)</f>
        <v/>
      </c>
      <c r="AL111" s="95">
        <f>L111+M111+SUM(N111:Q111)</f>
        <v/>
      </c>
      <c r="AM111" s="95">
        <f>L111+M111+SUM(N111:R111)</f>
        <v/>
      </c>
      <c r="AN111" s="95">
        <f>L111+M111+SUM(N111:S111)</f>
        <v/>
      </c>
      <c r="AO111" s="95">
        <f>L111+M111+SUM(N111:T111)</f>
        <v/>
      </c>
      <c r="AP111" s="95">
        <f>L111+M111+SUM(N111:U111)</f>
        <v/>
      </c>
      <c r="AQ111" s="95">
        <f>L111+M111+SUM(N111:V111)</f>
        <v/>
      </c>
      <c r="AR111" s="95">
        <f>L111+M111+SUM(N111:W111)</f>
        <v/>
      </c>
      <c r="AS111" s="95">
        <f>L111+M111+SUM(N111:X111)</f>
        <v/>
      </c>
      <c r="AT111" s="95">
        <f>L111+M111+SUM(N111:Y111)</f>
        <v/>
      </c>
    </row>
    <row r="112">
      <c r="B112" s="58" t="n">
        <v>106</v>
      </c>
      <c r="C112" s="58">
        <f>IFERROR(INDEX(coa_Name,106)&amp;"","")</f>
        <v/>
      </c>
      <c r="D112" s="58">
        <f>IF(C112="","",IF(COUNTIF($C$7:C112,C112)&gt;1,"",C112))</f>
        <v/>
      </c>
      <c r="E112" s="58">
        <f>IF($D112="","",INDEX(coa_Code,106))</f>
        <v/>
      </c>
      <c r="F112" s="58">
        <f>IF($D112="","",INDEX(coa_Type,106)&amp;"")</f>
        <v/>
      </c>
      <c r="G112" s="58">
        <f>IF($D112="","",INDEX(coa_Normal,106)&amp;"")</f>
        <v/>
      </c>
      <c r="H112" s="58">
        <f>IF($D112="","",IF(INDEX(coa_CF,106)&amp;""="","Operating",INDEX(coa_CF,106)&amp;""))</f>
        <v/>
      </c>
      <c r="I112" s="58">
        <f>IF($D112="","",IFERROR(INDEX(at_Stmt,MATCH(F112,at_Type,0)),""))</f>
        <v/>
      </c>
      <c r="J112" s="58">
        <f>IF($D112="",0,IFERROR(INDEX(at_Sign,MATCH(F112,at_Type,0)),0))</f>
        <v/>
      </c>
      <c r="K112" s="95">
        <f>IF($D112="",0,IF(G112="Credit",-1,1)*N(INDEX(coa_Open,106)))</f>
        <v/>
      </c>
      <c r="L112" s="95">
        <f>IF($D112="",0,IF($D112=acctOBE,K112-SUM($K$7:$K$156),K112))</f>
        <v/>
      </c>
      <c r="M112" s="95">
        <f>IF($D112="",0,SUMIFS(j_DrAmt,j_DrAcct,$D112,j_Per,0)-SUMIFS(j_CrAmt,j_CrAcct,$D112,j_Per,0)+IF($D112=acctTax,SUMIFS(j_TaxDr,j_Posted,1,j_Per,0)-SUMIFS(j_TaxCr,j_Posted,1,j_Per,0),0))</f>
        <v/>
      </c>
      <c r="N112" s="95">
        <f>IF($D112="",0,SUMIFS(j_DrAmt,j_DrAcct,$D112,j_Per,1)-SUMIFS(j_CrAmt,j_CrAcct,$D112,j_Per,1)+IF($D112=acctTax,SUMIFS(j_TaxDr,j_Posted,1,j_Per,1)-SUMIFS(j_TaxCr,j_Posted,1,j_Per,1),0))</f>
        <v/>
      </c>
      <c r="O112" s="95">
        <f>IF($D112="",0,SUMIFS(j_DrAmt,j_DrAcct,$D112,j_Per,2)-SUMIFS(j_CrAmt,j_CrAcct,$D112,j_Per,2)+IF($D112=acctTax,SUMIFS(j_TaxDr,j_Posted,1,j_Per,2)-SUMIFS(j_TaxCr,j_Posted,1,j_Per,2),0))</f>
        <v/>
      </c>
      <c r="P112" s="95">
        <f>IF($D112="",0,SUMIFS(j_DrAmt,j_DrAcct,$D112,j_Per,3)-SUMIFS(j_CrAmt,j_CrAcct,$D112,j_Per,3)+IF($D112=acctTax,SUMIFS(j_TaxDr,j_Posted,1,j_Per,3)-SUMIFS(j_TaxCr,j_Posted,1,j_Per,3),0))</f>
        <v/>
      </c>
      <c r="Q112" s="95">
        <f>IF($D112="",0,SUMIFS(j_DrAmt,j_DrAcct,$D112,j_Per,4)-SUMIFS(j_CrAmt,j_CrAcct,$D112,j_Per,4)+IF($D112=acctTax,SUMIFS(j_TaxDr,j_Posted,1,j_Per,4)-SUMIFS(j_TaxCr,j_Posted,1,j_Per,4),0))</f>
        <v/>
      </c>
      <c r="R112" s="95">
        <f>IF($D112="",0,SUMIFS(j_DrAmt,j_DrAcct,$D112,j_Per,5)-SUMIFS(j_CrAmt,j_CrAcct,$D112,j_Per,5)+IF($D112=acctTax,SUMIFS(j_TaxDr,j_Posted,1,j_Per,5)-SUMIFS(j_TaxCr,j_Posted,1,j_Per,5),0))</f>
        <v/>
      </c>
      <c r="S112" s="95">
        <f>IF($D112="",0,SUMIFS(j_DrAmt,j_DrAcct,$D112,j_Per,6)-SUMIFS(j_CrAmt,j_CrAcct,$D112,j_Per,6)+IF($D112=acctTax,SUMIFS(j_TaxDr,j_Posted,1,j_Per,6)-SUMIFS(j_TaxCr,j_Posted,1,j_Per,6),0))</f>
        <v/>
      </c>
      <c r="T112" s="95">
        <f>IF($D112="",0,SUMIFS(j_DrAmt,j_DrAcct,$D112,j_Per,7)-SUMIFS(j_CrAmt,j_CrAcct,$D112,j_Per,7)+IF($D112=acctTax,SUMIFS(j_TaxDr,j_Posted,1,j_Per,7)-SUMIFS(j_TaxCr,j_Posted,1,j_Per,7),0))</f>
        <v/>
      </c>
      <c r="U112" s="95">
        <f>IF($D112="",0,SUMIFS(j_DrAmt,j_DrAcct,$D112,j_Per,8)-SUMIFS(j_CrAmt,j_CrAcct,$D112,j_Per,8)+IF($D112=acctTax,SUMIFS(j_TaxDr,j_Posted,1,j_Per,8)-SUMIFS(j_TaxCr,j_Posted,1,j_Per,8),0))</f>
        <v/>
      </c>
      <c r="V112" s="95">
        <f>IF($D112="",0,SUMIFS(j_DrAmt,j_DrAcct,$D112,j_Per,9)-SUMIFS(j_CrAmt,j_CrAcct,$D112,j_Per,9)+IF($D112=acctTax,SUMIFS(j_TaxDr,j_Posted,1,j_Per,9)-SUMIFS(j_TaxCr,j_Posted,1,j_Per,9),0))</f>
        <v/>
      </c>
      <c r="W112" s="95">
        <f>IF($D112="",0,SUMIFS(j_DrAmt,j_DrAcct,$D112,j_Per,10)-SUMIFS(j_CrAmt,j_CrAcct,$D112,j_Per,10)+IF($D112=acctTax,SUMIFS(j_TaxDr,j_Posted,1,j_Per,10)-SUMIFS(j_TaxCr,j_Posted,1,j_Per,10),0))</f>
        <v/>
      </c>
      <c r="X112" s="95">
        <f>IF($D112="",0,SUMIFS(j_DrAmt,j_DrAcct,$D112,j_Per,11)-SUMIFS(j_CrAmt,j_CrAcct,$D112,j_Per,11)+IF($D112=acctTax,SUMIFS(j_TaxDr,j_Posted,1,j_Per,11)-SUMIFS(j_TaxCr,j_Posted,1,j_Per,11),0))</f>
        <v/>
      </c>
      <c r="Y112" s="95">
        <f>IF($D112="",0,SUMIFS(j_DrAmt,j_DrAcct,$D112,j_Per,12)-SUMIFS(j_CrAmt,j_CrAcct,$D112,j_Per,12)+IF($D112=acctTax,SUMIFS(j_TaxDr,j_Posted,1,j_Per,12)-SUMIFS(j_TaxCr,j_Posted,1,j_Per,12),0))</f>
        <v/>
      </c>
      <c r="Z112" s="95">
        <f>SUMPRODUCT(($N$5:$Y$5&lt;=RptIdx)*N112:Y112)</f>
        <v/>
      </c>
      <c r="AA112" s="95">
        <f>IF(AND(RptIdx&gt;=1,RptIdx&lt;=12),INDEX(N112:Y112,RptIdx),0)</f>
        <v/>
      </c>
      <c r="AB112" s="95">
        <f>IF($D112="",0,IF(RptIdx&gt;1,INDEX(N112:Y112,RptIdx-1),SUMIFS(j_DrAmt,j_DrAcct,$D112,j_Date,"&gt;="&amp;PrevStart,j_Date,"&lt;="&amp;PrevEnd)-SUMIFS(j_CrAmt,j_CrAcct,$D112,j_Date,"&gt;="&amp;PrevStart,j_Date,"&lt;="&amp;PrevEnd)+IF($D112=acctTax,SUMIFS(j_TaxDr,j_Posted,1,j_Date,"&gt;="&amp;PrevStart,j_Date,"&lt;="&amp;PrevEnd)-SUMIFS(j_TaxCr,j_Posted,1,j_Date,"&gt;="&amp;PrevStart,j_Date,"&lt;="&amp;PrevEnd),0)))</f>
        <v/>
      </c>
      <c r="AC112" s="95">
        <f>SUM(N112:Y112)</f>
        <v/>
      </c>
      <c r="AD112" s="95">
        <f>L112+M112+Z112</f>
        <v/>
      </c>
      <c r="AE112" s="95">
        <f>AD112-AA112</f>
        <v/>
      </c>
      <c r="AF112" s="58">
        <f>IF($D112="","",F112&amp;"|"&amp;COUNTIFS($F$7:F112,F112,$D$7:D112,"&lt;&gt;"))</f>
        <v/>
      </c>
      <c r="AG112" s="58">
        <f>IF(AND($D112&lt;&gt;"",H112="Cash"),"Cash|"&amp;COUNTIFS($H$7:H112,"Cash",$D$7:D112,"&lt;&gt;"),"")</f>
        <v/>
      </c>
      <c r="AH112" s="95">
        <f>IF(AND($D112&lt;&gt;"",OR(F112="Cost of Sales",F112="Operating Expense",F112="Other Expense"),Z112&gt;0),Z112+106/1000000,"")</f>
        <v/>
      </c>
      <c r="AI112" s="95">
        <f>L112+M112+SUM(N112:N112)</f>
        <v/>
      </c>
      <c r="AJ112" s="95">
        <f>L112+M112+SUM(N112:O112)</f>
        <v/>
      </c>
      <c r="AK112" s="95">
        <f>L112+M112+SUM(N112:P112)</f>
        <v/>
      </c>
      <c r="AL112" s="95">
        <f>L112+M112+SUM(N112:Q112)</f>
        <v/>
      </c>
      <c r="AM112" s="95">
        <f>L112+M112+SUM(N112:R112)</f>
        <v/>
      </c>
      <c r="AN112" s="95">
        <f>L112+M112+SUM(N112:S112)</f>
        <v/>
      </c>
      <c r="AO112" s="95">
        <f>L112+M112+SUM(N112:T112)</f>
        <v/>
      </c>
      <c r="AP112" s="95">
        <f>L112+M112+SUM(N112:U112)</f>
        <v/>
      </c>
      <c r="AQ112" s="95">
        <f>L112+M112+SUM(N112:V112)</f>
        <v/>
      </c>
      <c r="AR112" s="95">
        <f>L112+M112+SUM(N112:W112)</f>
        <v/>
      </c>
      <c r="AS112" s="95">
        <f>L112+M112+SUM(N112:X112)</f>
        <v/>
      </c>
      <c r="AT112" s="95">
        <f>L112+M112+SUM(N112:Y112)</f>
        <v/>
      </c>
    </row>
    <row r="113">
      <c r="B113" s="58" t="n">
        <v>107</v>
      </c>
      <c r="C113" s="58">
        <f>IFERROR(INDEX(coa_Name,107)&amp;"","")</f>
        <v/>
      </c>
      <c r="D113" s="58">
        <f>IF(C113="","",IF(COUNTIF($C$7:C113,C113)&gt;1,"",C113))</f>
        <v/>
      </c>
      <c r="E113" s="58">
        <f>IF($D113="","",INDEX(coa_Code,107))</f>
        <v/>
      </c>
      <c r="F113" s="58">
        <f>IF($D113="","",INDEX(coa_Type,107)&amp;"")</f>
        <v/>
      </c>
      <c r="G113" s="58">
        <f>IF($D113="","",INDEX(coa_Normal,107)&amp;"")</f>
        <v/>
      </c>
      <c r="H113" s="58">
        <f>IF($D113="","",IF(INDEX(coa_CF,107)&amp;""="","Operating",INDEX(coa_CF,107)&amp;""))</f>
        <v/>
      </c>
      <c r="I113" s="58">
        <f>IF($D113="","",IFERROR(INDEX(at_Stmt,MATCH(F113,at_Type,0)),""))</f>
        <v/>
      </c>
      <c r="J113" s="58">
        <f>IF($D113="",0,IFERROR(INDEX(at_Sign,MATCH(F113,at_Type,0)),0))</f>
        <v/>
      </c>
      <c r="K113" s="95">
        <f>IF($D113="",0,IF(G113="Credit",-1,1)*N(INDEX(coa_Open,107)))</f>
        <v/>
      </c>
      <c r="L113" s="95">
        <f>IF($D113="",0,IF($D113=acctOBE,K113-SUM($K$7:$K$156),K113))</f>
        <v/>
      </c>
      <c r="M113" s="95">
        <f>IF($D113="",0,SUMIFS(j_DrAmt,j_DrAcct,$D113,j_Per,0)-SUMIFS(j_CrAmt,j_CrAcct,$D113,j_Per,0)+IF($D113=acctTax,SUMIFS(j_TaxDr,j_Posted,1,j_Per,0)-SUMIFS(j_TaxCr,j_Posted,1,j_Per,0),0))</f>
        <v/>
      </c>
      <c r="N113" s="95">
        <f>IF($D113="",0,SUMIFS(j_DrAmt,j_DrAcct,$D113,j_Per,1)-SUMIFS(j_CrAmt,j_CrAcct,$D113,j_Per,1)+IF($D113=acctTax,SUMIFS(j_TaxDr,j_Posted,1,j_Per,1)-SUMIFS(j_TaxCr,j_Posted,1,j_Per,1),0))</f>
        <v/>
      </c>
      <c r="O113" s="95">
        <f>IF($D113="",0,SUMIFS(j_DrAmt,j_DrAcct,$D113,j_Per,2)-SUMIFS(j_CrAmt,j_CrAcct,$D113,j_Per,2)+IF($D113=acctTax,SUMIFS(j_TaxDr,j_Posted,1,j_Per,2)-SUMIFS(j_TaxCr,j_Posted,1,j_Per,2),0))</f>
        <v/>
      </c>
      <c r="P113" s="95">
        <f>IF($D113="",0,SUMIFS(j_DrAmt,j_DrAcct,$D113,j_Per,3)-SUMIFS(j_CrAmt,j_CrAcct,$D113,j_Per,3)+IF($D113=acctTax,SUMIFS(j_TaxDr,j_Posted,1,j_Per,3)-SUMIFS(j_TaxCr,j_Posted,1,j_Per,3),0))</f>
        <v/>
      </c>
      <c r="Q113" s="95">
        <f>IF($D113="",0,SUMIFS(j_DrAmt,j_DrAcct,$D113,j_Per,4)-SUMIFS(j_CrAmt,j_CrAcct,$D113,j_Per,4)+IF($D113=acctTax,SUMIFS(j_TaxDr,j_Posted,1,j_Per,4)-SUMIFS(j_TaxCr,j_Posted,1,j_Per,4),0))</f>
        <v/>
      </c>
      <c r="R113" s="95">
        <f>IF($D113="",0,SUMIFS(j_DrAmt,j_DrAcct,$D113,j_Per,5)-SUMIFS(j_CrAmt,j_CrAcct,$D113,j_Per,5)+IF($D113=acctTax,SUMIFS(j_TaxDr,j_Posted,1,j_Per,5)-SUMIFS(j_TaxCr,j_Posted,1,j_Per,5),0))</f>
        <v/>
      </c>
      <c r="S113" s="95">
        <f>IF($D113="",0,SUMIFS(j_DrAmt,j_DrAcct,$D113,j_Per,6)-SUMIFS(j_CrAmt,j_CrAcct,$D113,j_Per,6)+IF($D113=acctTax,SUMIFS(j_TaxDr,j_Posted,1,j_Per,6)-SUMIFS(j_TaxCr,j_Posted,1,j_Per,6),0))</f>
        <v/>
      </c>
      <c r="T113" s="95">
        <f>IF($D113="",0,SUMIFS(j_DrAmt,j_DrAcct,$D113,j_Per,7)-SUMIFS(j_CrAmt,j_CrAcct,$D113,j_Per,7)+IF($D113=acctTax,SUMIFS(j_TaxDr,j_Posted,1,j_Per,7)-SUMIFS(j_TaxCr,j_Posted,1,j_Per,7),0))</f>
        <v/>
      </c>
      <c r="U113" s="95">
        <f>IF($D113="",0,SUMIFS(j_DrAmt,j_DrAcct,$D113,j_Per,8)-SUMIFS(j_CrAmt,j_CrAcct,$D113,j_Per,8)+IF($D113=acctTax,SUMIFS(j_TaxDr,j_Posted,1,j_Per,8)-SUMIFS(j_TaxCr,j_Posted,1,j_Per,8),0))</f>
        <v/>
      </c>
      <c r="V113" s="95">
        <f>IF($D113="",0,SUMIFS(j_DrAmt,j_DrAcct,$D113,j_Per,9)-SUMIFS(j_CrAmt,j_CrAcct,$D113,j_Per,9)+IF($D113=acctTax,SUMIFS(j_TaxDr,j_Posted,1,j_Per,9)-SUMIFS(j_TaxCr,j_Posted,1,j_Per,9),0))</f>
        <v/>
      </c>
      <c r="W113" s="95">
        <f>IF($D113="",0,SUMIFS(j_DrAmt,j_DrAcct,$D113,j_Per,10)-SUMIFS(j_CrAmt,j_CrAcct,$D113,j_Per,10)+IF($D113=acctTax,SUMIFS(j_TaxDr,j_Posted,1,j_Per,10)-SUMIFS(j_TaxCr,j_Posted,1,j_Per,10),0))</f>
        <v/>
      </c>
      <c r="X113" s="95">
        <f>IF($D113="",0,SUMIFS(j_DrAmt,j_DrAcct,$D113,j_Per,11)-SUMIFS(j_CrAmt,j_CrAcct,$D113,j_Per,11)+IF($D113=acctTax,SUMIFS(j_TaxDr,j_Posted,1,j_Per,11)-SUMIFS(j_TaxCr,j_Posted,1,j_Per,11),0))</f>
        <v/>
      </c>
      <c r="Y113" s="95">
        <f>IF($D113="",0,SUMIFS(j_DrAmt,j_DrAcct,$D113,j_Per,12)-SUMIFS(j_CrAmt,j_CrAcct,$D113,j_Per,12)+IF($D113=acctTax,SUMIFS(j_TaxDr,j_Posted,1,j_Per,12)-SUMIFS(j_TaxCr,j_Posted,1,j_Per,12),0))</f>
        <v/>
      </c>
      <c r="Z113" s="95">
        <f>SUMPRODUCT(($N$5:$Y$5&lt;=RptIdx)*N113:Y113)</f>
        <v/>
      </c>
      <c r="AA113" s="95">
        <f>IF(AND(RptIdx&gt;=1,RptIdx&lt;=12),INDEX(N113:Y113,RptIdx),0)</f>
        <v/>
      </c>
      <c r="AB113" s="95">
        <f>IF($D113="",0,IF(RptIdx&gt;1,INDEX(N113:Y113,RptIdx-1),SUMIFS(j_DrAmt,j_DrAcct,$D113,j_Date,"&gt;="&amp;PrevStart,j_Date,"&lt;="&amp;PrevEnd)-SUMIFS(j_CrAmt,j_CrAcct,$D113,j_Date,"&gt;="&amp;PrevStart,j_Date,"&lt;="&amp;PrevEnd)+IF($D113=acctTax,SUMIFS(j_TaxDr,j_Posted,1,j_Date,"&gt;="&amp;PrevStart,j_Date,"&lt;="&amp;PrevEnd)-SUMIFS(j_TaxCr,j_Posted,1,j_Date,"&gt;="&amp;PrevStart,j_Date,"&lt;="&amp;PrevEnd),0)))</f>
        <v/>
      </c>
      <c r="AC113" s="95">
        <f>SUM(N113:Y113)</f>
        <v/>
      </c>
      <c r="AD113" s="95">
        <f>L113+M113+Z113</f>
        <v/>
      </c>
      <c r="AE113" s="95">
        <f>AD113-AA113</f>
        <v/>
      </c>
      <c r="AF113" s="58">
        <f>IF($D113="","",F113&amp;"|"&amp;COUNTIFS($F$7:F113,F113,$D$7:D113,"&lt;&gt;"))</f>
        <v/>
      </c>
      <c r="AG113" s="58">
        <f>IF(AND($D113&lt;&gt;"",H113="Cash"),"Cash|"&amp;COUNTIFS($H$7:H113,"Cash",$D$7:D113,"&lt;&gt;"),"")</f>
        <v/>
      </c>
      <c r="AH113" s="95">
        <f>IF(AND($D113&lt;&gt;"",OR(F113="Cost of Sales",F113="Operating Expense",F113="Other Expense"),Z113&gt;0),Z113+107/1000000,"")</f>
        <v/>
      </c>
      <c r="AI113" s="95">
        <f>L113+M113+SUM(N113:N113)</f>
        <v/>
      </c>
      <c r="AJ113" s="95">
        <f>L113+M113+SUM(N113:O113)</f>
        <v/>
      </c>
      <c r="AK113" s="95">
        <f>L113+M113+SUM(N113:P113)</f>
        <v/>
      </c>
      <c r="AL113" s="95">
        <f>L113+M113+SUM(N113:Q113)</f>
        <v/>
      </c>
      <c r="AM113" s="95">
        <f>L113+M113+SUM(N113:R113)</f>
        <v/>
      </c>
      <c r="AN113" s="95">
        <f>L113+M113+SUM(N113:S113)</f>
        <v/>
      </c>
      <c r="AO113" s="95">
        <f>L113+M113+SUM(N113:T113)</f>
        <v/>
      </c>
      <c r="AP113" s="95">
        <f>L113+M113+SUM(N113:U113)</f>
        <v/>
      </c>
      <c r="AQ113" s="95">
        <f>L113+M113+SUM(N113:V113)</f>
        <v/>
      </c>
      <c r="AR113" s="95">
        <f>L113+M113+SUM(N113:W113)</f>
        <v/>
      </c>
      <c r="AS113" s="95">
        <f>L113+M113+SUM(N113:X113)</f>
        <v/>
      </c>
      <c r="AT113" s="95">
        <f>L113+M113+SUM(N113:Y113)</f>
        <v/>
      </c>
    </row>
    <row r="114">
      <c r="B114" s="58" t="n">
        <v>108</v>
      </c>
      <c r="C114" s="58">
        <f>IFERROR(INDEX(coa_Name,108)&amp;"","")</f>
        <v/>
      </c>
      <c r="D114" s="58">
        <f>IF(C114="","",IF(COUNTIF($C$7:C114,C114)&gt;1,"",C114))</f>
        <v/>
      </c>
      <c r="E114" s="58">
        <f>IF($D114="","",INDEX(coa_Code,108))</f>
        <v/>
      </c>
      <c r="F114" s="58">
        <f>IF($D114="","",INDEX(coa_Type,108)&amp;"")</f>
        <v/>
      </c>
      <c r="G114" s="58">
        <f>IF($D114="","",INDEX(coa_Normal,108)&amp;"")</f>
        <v/>
      </c>
      <c r="H114" s="58">
        <f>IF($D114="","",IF(INDEX(coa_CF,108)&amp;""="","Operating",INDEX(coa_CF,108)&amp;""))</f>
        <v/>
      </c>
      <c r="I114" s="58">
        <f>IF($D114="","",IFERROR(INDEX(at_Stmt,MATCH(F114,at_Type,0)),""))</f>
        <v/>
      </c>
      <c r="J114" s="58">
        <f>IF($D114="",0,IFERROR(INDEX(at_Sign,MATCH(F114,at_Type,0)),0))</f>
        <v/>
      </c>
      <c r="K114" s="95">
        <f>IF($D114="",0,IF(G114="Credit",-1,1)*N(INDEX(coa_Open,108)))</f>
        <v/>
      </c>
      <c r="L114" s="95">
        <f>IF($D114="",0,IF($D114=acctOBE,K114-SUM($K$7:$K$156),K114))</f>
        <v/>
      </c>
      <c r="M114" s="95">
        <f>IF($D114="",0,SUMIFS(j_DrAmt,j_DrAcct,$D114,j_Per,0)-SUMIFS(j_CrAmt,j_CrAcct,$D114,j_Per,0)+IF($D114=acctTax,SUMIFS(j_TaxDr,j_Posted,1,j_Per,0)-SUMIFS(j_TaxCr,j_Posted,1,j_Per,0),0))</f>
        <v/>
      </c>
      <c r="N114" s="95">
        <f>IF($D114="",0,SUMIFS(j_DrAmt,j_DrAcct,$D114,j_Per,1)-SUMIFS(j_CrAmt,j_CrAcct,$D114,j_Per,1)+IF($D114=acctTax,SUMIFS(j_TaxDr,j_Posted,1,j_Per,1)-SUMIFS(j_TaxCr,j_Posted,1,j_Per,1),0))</f>
        <v/>
      </c>
      <c r="O114" s="95">
        <f>IF($D114="",0,SUMIFS(j_DrAmt,j_DrAcct,$D114,j_Per,2)-SUMIFS(j_CrAmt,j_CrAcct,$D114,j_Per,2)+IF($D114=acctTax,SUMIFS(j_TaxDr,j_Posted,1,j_Per,2)-SUMIFS(j_TaxCr,j_Posted,1,j_Per,2),0))</f>
        <v/>
      </c>
      <c r="P114" s="95">
        <f>IF($D114="",0,SUMIFS(j_DrAmt,j_DrAcct,$D114,j_Per,3)-SUMIFS(j_CrAmt,j_CrAcct,$D114,j_Per,3)+IF($D114=acctTax,SUMIFS(j_TaxDr,j_Posted,1,j_Per,3)-SUMIFS(j_TaxCr,j_Posted,1,j_Per,3),0))</f>
        <v/>
      </c>
      <c r="Q114" s="95">
        <f>IF($D114="",0,SUMIFS(j_DrAmt,j_DrAcct,$D114,j_Per,4)-SUMIFS(j_CrAmt,j_CrAcct,$D114,j_Per,4)+IF($D114=acctTax,SUMIFS(j_TaxDr,j_Posted,1,j_Per,4)-SUMIFS(j_TaxCr,j_Posted,1,j_Per,4),0))</f>
        <v/>
      </c>
      <c r="R114" s="95">
        <f>IF($D114="",0,SUMIFS(j_DrAmt,j_DrAcct,$D114,j_Per,5)-SUMIFS(j_CrAmt,j_CrAcct,$D114,j_Per,5)+IF($D114=acctTax,SUMIFS(j_TaxDr,j_Posted,1,j_Per,5)-SUMIFS(j_TaxCr,j_Posted,1,j_Per,5),0))</f>
        <v/>
      </c>
      <c r="S114" s="95">
        <f>IF($D114="",0,SUMIFS(j_DrAmt,j_DrAcct,$D114,j_Per,6)-SUMIFS(j_CrAmt,j_CrAcct,$D114,j_Per,6)+IF($D114=acctTax,SUMIFS(j_TaxDr,j_Posted,1,j_Per,6)-SUMIFS(j_TaxCr,j_Posted,1,j_Per,6),0))</f>
        <v/>
      </c>
      <c r="T114" s="95">
        <f>IF($D114="",0,SUMIFS(j_DrAmt,j_DrAcct,$D114,j_Per,7)-SUMIFS(j_CrAmt,j_CrAcct,$D114,j_Per,7)+IF($D114=acctTax,SUMIFS(j_TaxDr,j_Posted,1,j_Per,7)-SUMIFS(j_TaxCr,j_Posted,1,j_Per,7),0))</f>
        <v/>
      </c>
      <c r="U114" s="95">
        <f>IF($D114="",0,SUMIFS(j_DrAmt,j_DrAcct,$D114,j_Per,8)-SUMIFS(j_CrAmt,j_CrAcct,$D114,j_Per,8)+IF($D114=acctTax,SUMIFS(j_TaxDr,j_Posted,1,j_Per,8)-SUMIFS(j_TaxCr,j_Posted,1,j_Per,8),0))</f>
        <v/>
      </c>
      <c r="V114" s="95">
        <f>IF($D114="",0,SUMIFS(j_DrAmt,j_DrAcct,$D114,j_Per,9)-SUMIFS(j_CrAmt,j_CrAcct,$D114,j_Per,9)+IF($D114=acctTax,SUMIFS(j_TaxDr,j_Posted,1,j_Per,9)-SUMIFS(j_TaxCr,j_Posted,1,j_Per,9),0))</f>
        <v/>
      </c>
      <c r="W114" s="95">
        <f>IF($D114="",0,SUMIFS(j_DrAmt,j_DrAcct,$D114,j_Per,10)-SUMIFS(j_CrAmt,j_CrAcct,$D114,j_Per,10)+IF($D114=acctTax,SUMIFS(j_TaxDr,j_Posted,1,j_Per,10)-SUMIFS(j_TaxCr,j_Posted,1,j_Per,10),0))</f>
        <v/>
      </c>
      <c r="X114" s="95">
        <f>IF($D114="",0,SUMIFS(j_DrAmt,j_DrAcct,$D114,j_Per,11)-SUMIFS(j_CrAmt,j_CrAcct,$D114,j_Per,11)+IF($D114=acctTax,SUMIFS(j_TaxDr,j_Posted,1,j_Per,11)-SUMIFS(j_TaxCr,j_Posted,1,j_Per,11),0))</f>
        <v/>
      </c>
      <c r="Y114" s="95">
        <f>IF($D114="",0,SUMIFS(j_DrAmt,j_DrAcct,$D114,j_Per,12)-SUMIFS(j_CrAmt,j_CrAcct,$D114,j_Per,12)+IF($D114=acctTax,SUMIFS(j_TaxDr,j_Posted,1,j_Per,12)-SUMIFS(j_TaxCr,j_Posted,1,j_Per,12),0))</f>
        <v/>
      </c>
      <c r="Z114" s="95">
        <f>SUMPRODUCT(($N$5:$Y$5&lt;=RptIdx)*N114:Y114)</f>
        <v/>
      </c>
      <c r="AA114" s="95">
        <f>IF(AND(RptIdx&gt;=1,RptIdx&lt;=12),INDEX(N114:Y114,RptIdx),0)</f>
        <v/>
      </c>
      <c r="AB114" s="95">
        <f>IF($D114="",0,IF(RptIdx&gt;1,INDEX(N114:Y114,RptIdx-1),SUMIFS(j_DrAmt,j_DrAcct,$D114,j_Date,"&gt;="&amp;PrevStart,j_Date,"&lt;="&amp;PrevEnd)-SUMIFS(j_CrAmt,j_CrAcct,$D114,j_Date,"&gt;="&amp;PrevStart,j_Date,"&lt;="&amp;PrevEnd)+IF($D114=acctTax,SUMIFS(j_TaxDr,j_Posted,1,j_Date,"&gt;="&amp;PrevStart,j_Date,"&lt;="&amp;PrevEnd)-SUMIFS(j_TaxCr,j_Posted,1,j_Date,"&gt;="&amp;PrevStart,j_Date,"&lt;="&amp;PrevEnd),0)))</f>
        <v/>
      </c>
      <c r="AC114" s="95">
        <f>SUM(N114:Y114)</f>
        <v/>
      </c>
      <c r="AD114" s="95">
        <f>L114+M114+Z114</f>
        <v/>
      </c>
      <c r="AE114" s="95">
        <f>AD114-AA114</f>
        <v/>
      </c>
      <c r="AF114" s="58">
        <f>IF($D114="","",F114&amp;"|"&amp;COUNTIFS($F$7:F114,F114,$D$7:D114,"&lt;&gt;"))</f>
        <v/>
      </c>
      <c r="AG114" s="58">
        <f>IF(AND($D114&lt;&gt;"",H114="Cash"),"Cash|"&amp;COUNTIFS($H$7:H114,"Cash",$D$7:D114,"&lt;&gt;"),"")</f>
        <v/>
      </c>
      <c r="AH114" s="95">
        <f>IF(AND($D114&lt;&gt;"",OR(F114="Cost of Sales",F114="Operating Expense",F114="Other Expense"),Z114&gt;0),Z114+108/1000000,"")</f>
        <v/>
      </c>
      <c r="AI114" s="95">
        <f>L114+M114+SUM(N114:N114)</f>
        <v/>
      </c>
      <c r="AJ114" s="95">
        <f>L114+M114+SUM(N114:O114)</f>
        <v/>
      </c>
      <c r="AK114" s="95">
        <f>L114+M114+SUM(N114:P114)</f>
        <v/>
      </c>
      <c r="AL114" s="95">
        <f>L114+M114+SUM(N114:Q114)</f>
        <v/>
      </c>
      <c r="AM114" s="95">
        <f>L114+M114+SUM(N114:R114)</f>
        <v/>
      </c>
      <c r="AN114" s="95">
        <f>L114+M114+SUM(N114:S114)</f>
        <v/>
      </c>
      <c r="AO114" s="95">
        <f>L114+M114+SUM(N114:T114)</f>
        <v/>
      </c>
      <c r="AP114" s="95">
        <f>L114+M114+SUM(N114:U114)</f>
        <v/>
      </c>
      <c r="AQ114" s="95">
        <f>L114+M114+SUM(N114:V114)</f>
        <v/>
      </c>
      <c r="AR114" s="95">
        <f>L114+M114+SUM(N114:W114)</f>
        <v/>
      </c>
      <c r="AS114" s="95">
        <f>L114+M114+SUM(N114:X114)</f>
        <v/>
      </c>
      <c r="AT114" s="95">
        <f>L114+M114+SUM(N114:Y114)</f>
        <v/>
      </c>
    </row>
    <row r="115">
      <c r="B115" s="58" t="n">
        <v>109</v>
      </c>
      <c r="C115" s="58">
        <f>IFERROR(INDEX(coa_Name,109)&amp;"","")</f>
        <v/>
      </c>
      <c r="D115" s="58">
        <f>IF(C115="","",IF(COUNTIF($C$7:C115,C115)&gt;1,"",C115))</f>
        <v/>
      </c>
      <c r="E115" s="58">
        <f>IF($D115="","",INDEX(coa_Code,109))</f>
        <v/>
      </c>
      <c r="F115" s="58">
        <f>IF($D115="","",INDEX(coa_Type,109)&amp;"")</f>
        <v/>
      </c>
      <c r="G115" s="58">
        <f>IF($D115="","",INDEX(coa_Normal,109)&amp;"")</f>
        <v/>
      </c>
      <c r="H115" s="58">
        <f>IF($D115="","",IF(INDEX(coa_CF,109)&amp;""="","Operating",INDEX(coa_CF,109)&amp;""))</f>
        <v/>
      </c>
      <c r="I115" s="58">
        <f>IF($D115="","",IFERROR(INDEX(at_Stmt,MATCH(F115,at_Type,0)),""))</f>
        <v/>
      </c>
      <c r="J115" s="58">
        <f>IF($D115="",0,IFERROR(INDEX(at_Sign,MATCH(F115,at_Type,0)),0))</f>
        <v/>
      </c>
      <c r="K115" s="95">
        <f>IF($D115="",0,IF(G115="Credit",-1,1)*N(INDEX(coa_Open,109)))</f>
        <v/>
      </c>
      <c r="L115" s="95">
        <f>IF($D115="",0,IF($D115=acctOBE,K115-SUM($K$7:$K$156),K115))</f>
        <v/>
      </c>
      <c r="M115" s="95">
        <f>IF($D115="",0,SUMIFS(j_DrAmt,j_DrAcct,$D115,j_Per,0)-SUMIFS(j_CrAmt,j_CrAcct,$D115,j_Per,0)+IF($D115=acctTax,SUMIFS(j_TaxDr,j_Posted,1,j_Per,0)-SUMIFS(j_TaxCr,j_Posted,1,j_Per,0),0))</f>
        <v/>
      </c>
      <c r="N115" s="95">
        <f>IF($D115="",0,SUMIFS(j_DrAmt,j_DrAcct,$D115,j_Per,1)-SUMIFS(j_CrAmt,j_CrAcct,$D115,j_Per,1)+IF($D115=acctTax,SUMIFS(j_TaxDr,j_Posted,1,j_Per,1)-SUMIFS(j_TaxCr,j_Posted,1,j_Per,1),0))</f>
        <v/>
      </c>
      <c r="O115" s="95">
        <f>IF($D115="",0,SUMIFS(j_DrAmt,j_DrAcct,$D115,j_Per,2)-SUMIFS(j_CrAmt,j_CrAcct,$D115,j_Per,2)+IF($D115=acctTax,SUMIFS(j_TaxDr,j_Posted,1,j_Per,2)-SUMIFS(j_TaxCr,j_Posted,1,j_Per,2),0))</f>
        <v/>
      </c>
      <c r="P115" s="95">
        <f>IF($D115="",0,SUMIFS(j_DrAmt,j_DrAcct,$D115,j_Per,3)-SUMIFS(j_CrAmt,j_CrAcct,$D115,j_Per,3)+IF($D115=acctTax,SUMIFS(j_TaxDr,j_Posted,1,j_Per,3)-SUMIFS(j_TaxCr,j_Posted,1,j_Per,3),0))</f>
        <v/>
      </c>
      <c r="Q115" s="95">
        <f>IF($D115="",0,SUMIFS(j_DrAmt,j_DrAcct,$D115,j_Per,4)-SUMIFS(j_CrAmt,j_CrAcct,$D115,j_Per,4)+IF($D115=acctTax,SUMIFS(j_TaxDr,j_Posted,1,j_Per,4)-SUMIFS(j_TaxCr,j_Posted,1,j_Per,4),0))</f>
        <v/>
      </c>
      <c r="R115" s="95">
        <f>IF($D115="",0,SUMIFS(j_DrAmt,j_DrAcct,$D115,j_Per,5)-SUMIFS(j_CrAmt,j_CrAcct,$D115,j_Per,5)+IF($D115=acctTax,SUMIFS(j_TaxDr,j_Posted,1,j_Per,5)-SUMIFS(j_TaxCr,j_Posted,1,j_Per,5),0))</f>
        <v/>
      </c>
      <c r="S115" s="95">
        <f>IF($D115="",0,SUMIFS(j_DrAmt,j_DrAcct,$D115,j_Per,6)-SUMIFS(j_CrAmt,j_CrAcct,$D115,j_Per,6)+IF($D115=acctTax,SUMIFS(j_TaxDr,j_Posted,1,j_Per,6)-SUMIFS(j_TaxCr,j_Posted,1,j_Per,6),0))</f>
        <v/>
      </c>
      <c r="T115" s="95">
        <f>IF($D115="",0,SUMIFS(j_DrAmt,j_DrAcct,$D115,j_Per,7)-SUMIFS(j_CrAmt,j_CrAcct,$D115,j_Per,7)+IF($D115=acctTax,SUMIFS(j_TaxDr,j_Posted,1,j_Per,7)-SUMIFS(j_TaxCr,j_Posted,1,j_Per,7),0))</f>
        <v/>
      </c>
      <c r="U115" s="95">
        <f>IF($D115="",0,SUMIFS(j_DrAmt,j_DrAcct,$D115,j_Per,8)-SUMIFS(j_CrAmt,j_CrAcct,$D115,j_Per,8)+IF($D115=acctTax,SUMIFS(j_TaxDr,j_Posted,1,j_Per,8)-SUMIFS(j_TaxCr,j_Posted,1,j_Per,8),0))</f>
        <v/>
      </c>
      <c r="V115" s="95">
        <f>IF($D115="",0,SUMIFS(j_DrAmt,j_DrAcct,$D115,j_Per,9)-SUMIFS(j_CrAmt,j_CrAcct,$D115,j_Per,9)+IF($D115=acctTax,SUMIFS(j_TaxDr,j_Posted,1,j_Per,9)-SUMIFS(j_TaxCr,j_Posted,1,j_Per,9),0))</f>
        <v/>
      </c>
      <c r="W115" s="95">
        <f>IF($D115="",0,SUMIFS(j_DrAmt,j_DrAcct,$D115,j_Per,10)-SUMIFS(j_CrAmt,j_CrAcct,$D115,j_Per,10)+IF($D115=acctTax,SUMIFS(j_TaxDr,j_Posted,1,j_Per,10)-SUMIFS(j_TaxCr,j_Posted,1,j_Per,10),0))</f>
        <v/>
      </c>
      <c r="X115" s="95">
        <f>IF($D115="",0,SUMIFS(j_DrAmt,j_DrAcct,$D115,j_Per,11)-SUMIFS(j_CrAmt,j_CrAcct,$D115,j_Per,11)+IF($D115=acctTax,SUMIFS(j_TaxDr,j_Posted,1,j_Per,11)-SUMIFS(j_TaxCr,j_Posted,1,j_Per,11),0))</f>
        <v/>
      </c>
      <c r="Y115" s="95">
        <f>IF($D115="",0,SUMIFS(j_DrAmt,j_DrAcct,$D115,j_Per,12)-SUMIFS(j_CrAmt,j_CrAcct,$D115,j_Per,12)+IF($D115=acctTax,SUMIFS(j_TaxDr,j_Posted,1,j_Per,12)-SUMIFS(j_TaxCr,j_Posted,1,j_Per,12),0))</f>
        <v/>
      </c>
      <c r="Z115" s="95">
        <f>SUMPRODUCT(($N$5:$Y$5&lt;=RptIdx)*N115:Y115)</f>
        <v/>
      </c>
      <c r="AA115" s="95">
        <f>IF(AND(RptIdx&gt;=1,RptIdx&lt;=12),INDEX(N115:Y115,RptIdx),0)</f>
        <v/>
      </c>
      <c r="AB115" s="95">
        <f>IF($D115="",0,IF(RptIdx&gt;1,INDEX(N115:Y115,RptIdx-1),SUMIFS(j_DrAmt,j_DrAcct,$D115,j_Date,"&gt;="&amp;PrevStart,j_Date,"&lt;="&amp;PrevEnd)-SUMIFS(j_CrAmt,j_CrAcct,$D115,j_Date,"&gt;="&amp;PrevStart,j_Date,"&lt;="&amp;PrevEnd)+IF($D115=acctTax,SUMIFS(j_TaxDr,j_Posted,1,j_Date,"&gt;="&amp;PrevStart,j_Date,"&lt;="&amp;PrevEnd)-SUMIFS(j_TaxCr,j_Posted,1,j_Date,"&gt;="&amp;PrevStart,j_Date,"&lt;="&amp;PrevEnd),0)))</f>
        <v/>
      </c>
      <c r="AC115" s="95">
        <f>SUM(N115:Y115)</f>
        <v/>
      </c>
      <c r="AD115" s="95">
        <f>L115+M115+Z115</f>
        <v/>
      </c>
      <c r="AE115" s="95">
        <f>AD115-AA115</f>
        <v/>
      </c>
      <c r="AF115" s="58">
        <f>IF($D115="","",F115&amp;"|"&amp;COUNTIFS($F$7:F115,F115,$D$7:D115,"&lt;&gt;"))</f>
        <v/>
      </c>
      <c r="AG115" s="58">
        <f>IF(AND($D115&lt;&gt;"",H115="Cash"),"Cash|"&amp;COUNTIFS($H$7:H115,"Cash",$D$7:D115,"&lt;&gt;"),"")</f>
        <v/>
      </c>
      <c r="AH115" s="95">
        <f>IF(AND($D115&lt;&gt;"",OR(F115="Cost of Sales",F115="Operating Expense",F115="Other Expense"),Z115&gt;0),Z115+109/1000000,"")</f>
        <v/>
      </c>
      <c r="AI115" s="95">
        <f>L115+M115+SUM(N115:N115)</f>
        <v/>
      </c>
      <c r="AJ115" s="95">
        <f>L115+M115+SUM(N115:O115)</f>
        <v/>
      </c>
      <c r="AK115" s="95">
        <f>L115+M115+SUM(N115:P115)</f>
        <v/>
      </c>
      <c r="AL115" s="95">
        <f>L115+M115+SUM(N115:Q115)</f>
        <v/>
      </c>
      <c r="AM115" s="95">
        <f>L115+M115+SUM(N115:R115)</f>
        <v/>
      </c>
      <c r="AN115" s="95">
        <f>L115+M115+SUM(N115:S115)</f>
        <v/>
      </c>
      <c r="AO115" s="95">
        <f>L115+M115+SUM(N115:T115)</f>
        <v/>
      </c>
      <c r="AP115" s="95">
        <f>L115+M115+SUM(N115:U115)</f>
        <v/>
      </c>
      <c r="AQ115" s="95">
        <f>L115+M115+SUM(N115:V115)</f>
        <v/>
      </c>
      <c r="AR115" s="95">
        <f>L115+M115+SUM(N115:W115)</f>
        <v/>
      </c>
      <c r="AS115" s="95">
        <f>L115+M115+SUM(N115:X115)</f>
        <v/>
      </c>
      <c r="AT115" s="95">
        <f>L115+M115+SUM(N115:Y115)</f>
        <v/>
      </c>
    </row>
    <row r="116">
      <c r="B116" s="58" t="n">
        <v>110</v>
      </c>
      <c r="C116" s="58">
        <f>IFERROR(INDEX(coa_Name,110)&amp;"","")</f>
        <v/>
      </c>
      <c r="D116" s="58">
        <f>IF(C116="","",IF(COUNTIF($C$7:C116,C116)&gt;1,"",C116))</f>
        <v/>
      </c>
      <c r="E116" s="58">
        <f>IF($D116="","",INDEX(coa_Code,110))</f>
        <v/>
      </c>
      <c r="F116" s="58">
        <f>IF($D116="","",INDEX(coa_Type,110)&amp;"")</f>
        <v/>
      </c>
      <c r="G116" s="58">
        <f>IF($D116="","",INDEX(coa_Normal,110)&amp;"")</f>
        <v/>
      </c>
      <c r="H116" s="58">
        <f>IF($D116="","",IF(INDEX(coa_CF,110)&amp;""="","Operating",INDEX(coa_CF,110)&amp;""))</f>
        <v/>
      </c>
      <c r="I116" s="58">
        <f>IF($D116="","",IFERROR(INDEX(at_Stmt,MATCH(F116,at_Type,0)),""))</f>
        <v/>
      </c>
      <c r="J116" s="58">
        <f>IF($D116="",0,IFERROR(INDEX(at_Sign,MATCH(F116,at_Type,0)),0))</f>
        <v/>
      </c>
      <c r="K116" s="95">
        <f>IF($D116="",0,IF(G116="Credit",-1,1)*N(INDEX(coa_Open,110)))</f>
        <v/>
      </c>
      <c r="L116" s="95">
        <f>IF($D116="",0,IF($D116=acctOBE,K116-SUM($K$7:$K$156),K116))</f>
        <v/>
      </c>
      <c r="M116" s="95">
        <f>IF($D116="",0,SUMIFS(j_DrAmt,j_DrAcct,$D116,j_Per,0)-SUMIFS(j_CrAmt,j_CrAcct,$D116,j_Per,0)+IF($D116=acctTax,SUMIFS(j_TaxDr,j_Posted,1,j_Per,0)-SUMIFS(j_TaxCr,j_Posted,1,j_Per,0),0))</f>
        <v/>
      </c>
      <c r="N116" s="95">
        <f>IF($D116="",0,SUMIFS(j_DrAmt,j_DrAcct,$D116,j_Per,1)-SUMIFS(j_CrAmt,j_CrAcct,$D116,j_Per,1)+IF($D116=acctTax,SUMIFS(j_TaxDr,j_Posted,1,j_Per,1)-SUMIFS(j_TaxCr,j_Posted,1,j_Per,1),0))</f>
        <v/>
      </c>
      <c r="O116" s="95">
        <f>IF($D116="",0,SUMIFS(j_DrAmt,j_DrAcct,$D116,j_Per,2)-SUMIFS(j_CrAmt,j_CrAcct,$D116,j_Per,2)+IF($D116=acctTax,SUMIFS(j_TaxDr,j_Posted,1,j_Per,2)-SUMIFS(j_TaxCr,j_Posted,1,j_Per,2),0))</f>
        <v/>
      </c>
      <c r="P116" s="95">
        <f>IF($D116="",0,SUMIFS(j_DrAmt,j_DrAcct,$D116,j_Per,3)-SUMIFS(j_CrAmt,j_CrAcct,$D116,j_Per,3)+IF($D116=acctTax,SUMIFS(j_TaxDr,j_Posted,1,j_Per,3)-SUMIFS(j_TaxCr,j_Posted,1,j_Per,3),0))</f>
        <v/>
      </c>
      <c r="Q116" s="95">
        <f>IF($D116="",0,SUMIFS(j_DrAmt,j_DrAcct,$D116,j_Per,4)-SUMIFS(j_CrAmt,j_CrAcct,$D116,j_Per,4)+IF($D116=acctTax,SUMIFS(j_TaxDr,j_Posted,1,j_Per,4)-SUMIFS(j_TaxCr,j_Posted,1,j_Per,4),0))</f>
        <v/>
      </c>
      <c r="R116" s="95">
        <f>IF($D116="",0,SUMIFS(j_DrAmt,j_DrAcct,$D116,j_Per,5)-SUMIFS(j_CrAmt,j_CrAcct,$D116,j_Per,5)+IF($D116=acctTax,SUMIFS(j_TaxDr,j_Posted,1,j_Per,5)-SUMIFS(j_TaxCr,j_Posted,1,j_Per,5),0))</f>
        <v/>
      </c>
      <c r="S116" s="95">
        <f>IF($D116="",0,SUMIFS(j_DrAmt,j_DrAcct,$D116,j_Per,6)-SUMIFS(j_CrAmt,j_CrAcct,$D116,j_Per,6)+IF($D116=acctTax,SUMIFS(j_TaxDr,j_Posted,1,j_Per,6)-SUMIFS(j_TaxCr,j_Posted,1,j_Per,6),0))</f>
        <v/>
      </c>
      <c r="T116" s="95">
        <f>IF($D116="",0,SUMIFS(j_DrAmt,j_DrAcct,$D116,j_Per,7)-SUMIFS(j_CrAmt,j_CrAcct,$D116,j_Per,7)+IF($D116=acctTax,SUMIFS(j_TaxDr,j_Posted,1,j_Per,7)-SUMIFS(j_TaxCr,j_Posted,1,j_Per,7),0))</f>
        <v/>
      </c>
      <c r="U116" s="95">
        <f>IF($D116="",0,SUMIFS(j_DrAmt,j_DrAcct,$D116,j_Per,8)-SUMIFS(j_CrAmt,j_CrAcct,$D116,j_Per,8)+IF($D116=acctTax,SUMIFS(j_TaxDr,j_Posted,1,j_Per,8)-SUMIFS(j_TaxCr,j_Posted,1,j_Per,8),0))</f>
        <v/>
      </c>
      <c r="V116" s="95">
        <f>IF($D116="",0,SUMIFS(j_DrAmt,j_DrAcct,$D116,j_Per,9)-SUMIFS(j_CrAmt,j_CrAcct,$D116,j_Per,9)+IF($D116=acctTax,SUMIFS(j_TaxDr,j_Posted,1,j_Per,9)-SUMIFS(j_TaxCr,j_Posted,1,j_Per,9),0))</f>
        <v/>
      </c>
      <c r="W116" s="95">
        <f>IF($D116="",0,SUMIFS(j_DrAmt,j_DrAcct,$D116,j_Per,10)-SUMIFS(j_CrAmt,j_CrAcct,$D116,j_Per,10)+IF($D116=acctTax,SUMIFS(j_TaxDr,j_Posted,1,j_Per,10)-SUMIFS(j_TaxCr,j_Posted,1,j_Per,10),0))</f>
        <v/>
      </c>
      <c r="X116" s="95">
        <f>IF($D116="",0,SUMIFS(j_DrAmt,j_DrAcct,$D116,j_Per,11)-SUMIFS(j_CrAmt,j_CrAcct,$D116,j_Per,11)+IF($D116=acctTax,SUMIFS(j_TaxDr,j_Posted,1,j_Per,11)-SUMIFS(j_TaxCr,j_Posted,1,j_Per,11),0))</f>
        <v/>
      </c>
      <c r="Y116" s="95">
        <f>IF($D116="",0,SUMIFS(j_DrAmt,j_DrAcct,$D116,j_Per,12)-SUMIFS(j_CrAmt,j_CrAcct,$D116,j_Per,12)+IF($D116=acctTax,SUMIFS(j_TaxDr,j_Posted,1,j_Per,12)-SUMIFS(j_TaxCr,j_Posted,1,j_Per,12),0))</f>
        <v/>
      </c>
      <c r="Z116" s="95">
        <f>SUMPRODUCT(($N$5:$Y$5&lt;=RptIdx)*N116:Y116)</f>
        <v/>
      </c>
      <c r="AA116" s="95">
        <f>IF(AND(RptIdx&gt;=1,RptIdx&lt;=12),INDEX(N116:Y116,RptIdx),0)</f>
        <v/>
      </c>
      <c r="AB116" s="95">
        <f>IF($D116="",0,IF(RptIdx&gt;1,INDEX(N116:Y116,RptIdx-1),SUMIFS(j_DrAmt,j_DrAcct,$D116,j_Date,"&gt;="&amp;PrevStart,j_Date,"&lt;="&amp;PrevEnd)-SUMIFS(j_CrAmt,j_CrAcct,$D116,j_Date,"&gt;="&amp;PrevStart,j_Date,"&lt;="&amp;PrevEnd)+IF($D116=acctTax,SUMIFS(j_TaxDr,j_Posted,1,j_Date,"&gt;="&amp;PrevStart,j_Date,"&lt;="&amp;PrevEnd)-SUMIFS(j_TaxCr,j_Posted,1,j_Date,"&gt;="&amp;PrevStart,j_Date,"&lt;="&amp;PrevEnd),0)))</f>
        <v/>
      </c>
      <c r="AC116" s="95">
        <f>SUM(N116:Y116)</f>
        <v/>
      </c>
      <c r="AD116" s="95">
        <f>L116+M116+Z116</f>
        <v/>
      </c>
      <c r="AE116" s="95">
        <f>AD116-AA116</f>
        <v/>
      </c>
      <c r="AF116" s="58">
        <f>IF($D116="","",F116&amp;"|"&amp;COUNTIFS($F$7:F116,F116,$D$7:D116,"&lt;&gt;"))</f>
        <v/>
      </c>
      <c r="AG116" s="58">
        <f>IF(AND($D116&lt;&gt;"",H116="Cash"),"Cash|"&amp;COUNTIFS($H$7:H116,"Cash",$D$7:D116,"&lt;&gt;"),"")</f>
        <v/>
      </c>
      <c r="AH116" s="95">
        <f>IF(AND($D116&lt;&gt;"",OR(F116="Cost of Sales",F116="Operating Expense",F116="Other Expense"),Z116&gt;0),Z116+110/1000000,"")</f>
        <v/>
      </c>
      <c r="AI116" s="95">
        <f>L116+M116+SUM(N116:N116)</f>
        <v/>
      </c>
      <c r="AJ116" s="95">
        <f>L116+M116+SUM(N116:O116)</f>
        <v/>
      </c>
      <c r="AK116" s="95">
        <f>L116+M116+SUM(N116:P116)</f>
        <v/>
      </c>
      <c r="AL116" s="95">
        <f>L116+M116+SUM(N116:Q116)</f>
        <v/>
      </c>
      <c r="AM116" s="95">
        <f>L116+M116+SUM(N116:R116)</f>
        <v/>
      </c>
      <c r="AN116" s="95">
        <f>L116+M116+SUM(N116:S116)</f>
        <v/>
      </c>
      <c r="AO116" s="95">
        <f>L116+M116+SUM(N116:T116)</f>
        <v/>
      </c>
      <c r="AP116" s="95">
        <f>L116+M116+SUM(N116:U116)</f>
        <v/>
      </c>
      <c r="AQ116" s="95">
        <f>L116+M116+SUM(N116:V116)</f>
        <v/>
      </c>
      <c r="AR116" s="95">
        <f>L116+M116+SUM(N116:W116)</f>
        <v/>
      </c>
      <c r="AS116" s="95">
        <f>L116+M116+SUM(N116:X116)</f>
        <v/>
      </c>
      <c r="AT116" s="95">
        <f>L116+M116+SUM(N116:Y116)</f>
        <v/>
      </c>
    </row>
    <row r="117">
      <c r="B117" s="58" t="n">
        <v>111</v>
      </c>
      <c r="C117" s="58">
        <f>IFERROR(INDEX(coa_Name,111)&amp;"","")</f>
        <v/>
      </c>
      <c r="D117" s="58">
        <f>IF(C117="","",IF(COUNTIF($C$7:C117,C117)&gt;1,"",C117))</f>
        <v/>
      </c>
      <c r="E117" s="58">
        <f>IF($D117="","",INDEX(coa_Code,111))</f>
        <v/>
      </c>
      <c r="F117" s="58">
        <f>IF($D117="","",INDEX(coa_Type,111)&amp;"")</f>
        <v/>
      </c>
      <c r="G117" s="58">
        <f>IF($D117="","",INDEX(coa_Normal,111)&amp;"")</f>
        <v/>
      </c>
      <c r="H117" s="58">
        <f>IF($D117="","",IF(INDEX(coa_CF,111)&amp;""="","Operating",INDEX(coa_CF,111)&amp;""))</f>
        <v/>
      </c>
      <c r="I117" s="58">
        <f>IF($D117="","",IFERROR(INDEX(at_Stmt,MATCH(F117,at_Type,0)),""))</f>
        <v/>
      </c>
      <c r="J117" s="58">
        <f>IF($D117="",0,IFERROR(INDEX(at_Sign,MATCH(F117,at_Type,0)),0))</f>
        <v/>
      </c>
      <c r="K117" s="95">
        <f>IF($D117="",0,IF(G117="Credit",-1,1)*N(INDEX(coa_Open,111)))</f>
        <v/>
      </c>
      <c r="L117" s="95">
        <f>IF($D117="",0,IF($D117=acctOBE,K117-SUM($K$7:$K$156),K117))</f>
        <v/>
      </c>
      <c r="M117" s="95">
        <f>IF($D117="",0,SUMIFS(j_DrAmt,j_DrAcct,$D117,j_Per,0)-SUMIFS(j_CrAmt,j_CrAcct,$D117,j_Per,0)+IF($D117=acctTax,SUMIFS(j_TaxDr,j_Posted,1,j_Per,0)-SUMIFS(j_TaxCr,j_Posted,1,j_Per,0),0))</f>
        <v/>
      </c>
      <c r="N117" s="95">
        <f>IF($D117="",0,SUMIFS(j_DrAmt,j_DrAcct,$D117,j_Per,1)-SUMIFS(j_CrAmt,j_CrAcct,$D117,j_Per,1)+IF($D117=acctTax,SUMIFS(j_TaxDr,j_Posted,1,j_Per,1)-SUMIFS(j_TaxCr,j_Posted,1,j_Per,1),0))</f>
        <v/>
      </c>
      <c r="O117" s="95">
        <f>IF($D117="",0,SUMIFS(j_DrAmt,j_DrAcct,$D117,j_Per,2)-SUMIFS(j_CrAmt,j_CrAcct,$D117,j_Per,2)+IF($D117=acctTax,SUMIFS(j_TaxDr,j_Posted,1,j_Per,2)-SUMIFS(j_TaxCr,j_Posted,1,j_Per,2),0))</f>
        <v/>
      </c>
      <c r="P117" s="95">
        <f>IF($D117="",0,SUMIFS(j_DrAmt,j_DrAcct,$D117,j_Per,3)-SUMIFS(j_CrAmt,j_CrAcct,$D117,j_Per,3)+IF($D117=acctTax,SUMIFS(j_TaxDr,j_Posted,1,j_Per,3)-SUMIFS(j_TaxCr,j_Posted,1,j_Per,3),0))</f>
        <v/>
      </c>
      <c r="Q117" s="95">
        <f>IF($D117="",0,SUMIFS(j_DrAmt,j_DrAcct,$D117,j_Per,4)-SUMIFS(j_CrAmt,j_CrAcct,$D117,j_Per,4)+IF($D117=acctTax,SUMIFS(j_TaxDr,j_Posted,1,j_Per,4)-SUMIFS(j_TaxCr,j_Posted,1,j_Per,4),0))</f>
        <v/>
      </c>
      <c r="R117" s="95">
        <f>IF($D117="",0,SUMIFS(j_DrAmt,j_DrAcct,$D117,j_Per,5)-SUMIFS(j_CrAmt,j_CrAcct,$D117,j_Per,5)+IF($D117=acctTax,SUMIFS(j_TaxDr,j_Posted,1,j_Per,5)-SUMIFS(j_TaxCr,j_Posted,1,j_Per,5),0))</f>
        <v/>
      </c>
      <c r="S117" s="95">
        <f>IF($D117="",0,SUMIFS(j_DrAmt,j_DrAcct,$D117,j_Per,6)-SUMIFS(j_CrAmt,j_CrAcct,$D117,j_Per,6)+IF($D117=acctTax,SUMIFS(j_TaxDr,j_Posted,1,j_Per,6)-SUMIFS(j_TaxCr,j_Posted,1,j_Per,6),0))</f>
        <v/>
      </c>
      <c r="T117" s="95">
        <f>IF($D117="",0,SUMIFS(j_DrAmt,j_DrAcct,$D117,j_Per,7)-SUMIFS(j_CrAmt,j_CrAcct,$D117,j_Per,7)+IF($D117=acctTax,SUMIFS(j_TaxDr,j_Posted,1,j_Per,7)-SUMIFS(j_TaxCr,j_Posted,1,j_Per,7),0))</f>
        <v/>
      </c>
      <c r="U117" s="95">
        <f>IF($D117="",0,SUMIFS(j_DrAmt,j_DrAcct,$D117,j_Per,8)-SUMIFS(j_CrAmt,j_CrAcct,$D117,j_Per,8)+IF($D117=acctTax,SUMIFS(j_TaxDr,j_Posted,1,j_Per,8)-SUMIFS(j_TaxCr,j_Posted,1,j_Per,8),0))</f>
        <v/>
      </c>
      <c r="V117" s="95">
        <f>IF($D117="",0,SUMIFS(j_DrAmt,j_DrAcct,$D117,j_Per,9)-SUMIFS(j_CrAmt,j_CrAcct,$D117,j_Per,9)+IF($D117=acctTax,SUMIFS(j_TaxDr,j_Posted,1,j_Per,9)-SUMIFS(j_TaxCr,j_Posted,1,j_Per,9),0))</f>
        <v/>
      </c>
      <c r="W117" s="95">
        <f>IF($D117="",0,SUMIFS(j_DrAmt,j_DrAcct,$D117,j_Per,10)-SUMIFS(j_CrAmt,j_CrAcct,$D117,j_Per,10)+IF($D117=acctTax,SUMIFS(j_TaxDr,j_Posted,1,j_Per,10)-SUMIFS(j_TaxCr,j_Posted,1,j_Per,10),0))</f>
        <v/>
      </c>
      <c r="X117" s="95">
        <f>IF($D117="",0,SUMIFS(j_DrAmt,j_DrAcct,$D117,j_Per,11)-SUMIFS(j_CrAmt,j_CrAcct,$D117,j_Per,11)+IF($D117=acctTax,SUMIFS(j_TaxDr,j_Posted,1,j_Per,11)-SUMIFS(j_TaxCr,j_Posted,1,j_Per,11),0))</f>
        <v/>
      </c>
      <c r="Y117" s="95">
        <f>IF($D117="",0,SUMIFS(j_DrAmt,j_DrAcct,$D117,j_Per,12)-SUMIFS(j_CrAmt,j_CrAcct,$D117,j_Per,12)+IF($D117=acctTax,SUMIFS(j_TaxDr,j_Posted,1,j_Per,12)-SUMIFS(j_TaxCr,j_Posted,1,j_Per,12),0))</f>
        <v/>
      </c>
      <c r="Z117" s="95">
        <f>SUMPRODUCT(($N$5:$Y$5&lt;=RptIdx)*N117:Y117)</f>
        <v/>
      </c>
      <c r="AA117" s="95">
        <f>IF(AND(RptIdx&gt;=1,RptIdx&lt;=12),INDEX(N117:Y117,RptIdx),0)</f>
        <v/>
      </c>
      <c r="AB117" s="95">
        <f>IF($D117="",0,IF(RptIdx&gt;1,INDEX(N117:Y117,RptIdx-1),SUMIFS(j_DrAmt,j_DrAcct,$D117,j_Date,"&gt;="&amp;PrevStart,j_Date,"&lt;="&amp;PrevEnd)-SUMIFS(j_CrAmt,j_CrAcct,$D117,j_Date,"&gt;="&amp;PrevStart,j_Date,"&lt;="&amp;PrevEnd)+IF($D117=acctTax,SUMIFS(j_TaxDr,j_Posted,1,j_Date,"&gt;="&amp;PrevStart,j_Date,"&lt;="&amp;PrevEnd)-SUMIFS(j_TaxCr,j_Posted,1,j_Date,"&gt;="&amp;PrevStart,j_Date,"&lt;="&amp;PrevEnd),0)))</f>
        <v/>
      </c>
      <c r="AC117" s="95">
        <f>SUM(N117:Y117)</f>
        <v/>
      </c>
      <c r="AD117" s="95">
        <f>L117+M117+Z117</f>
        <v/>
      </c>
      <c r="AE117" s="95">
        <f>AD117-AA117</f>
        <v/>
      </c>
      <c r="AF117" s="58">
        <f>IF($D117="","",F117&amp;"|"&amp;COUNTIFS($F$7:F117,F117,$D$7:D117,"&lt;&gt;"))</f>
        <v/>
      </c>
      <c r="AG117" s="58">
        <f>IF(AND($D117&lt;&gt;"",H117="Cash"),"Cash|"&amp;COUNTIFS($H$7:H117,"Cash",$D$7:D117,"&lt;&gt;"),"")</f>
        <v/>
      </c>
      <c r="AH117" s="95">
        <f>IF(AND($D117&lt;&gt;"",OR(F117="Cost of Sales",F117="Operating Expense",F117="Other Expense"),Z117&gt;0),Z117+111/1000000,"")</f>
        <v/>
      </c>
      <c r="AI117" s="95">
        <f>L117+M117+SUM(N117:N117)</f>
        <v/>
      </c>
      <c r="AJ117" s="95">
        <f>L117+M117+SUM(N117:O117)</f>
        <v/>
      </c>
      <c r="AK117" s="95">
        <f>L117+M117+SUM(N117:P117)</f>
        <v/>
      </c>
      <c r="AL117" s="95">
        <f>L117+M117+SUM(N117:Q117)</f>
        <v/>
      </c>
      <c r="AM117" s="95">
        <f>L117+M117+SUM(N117:R117)</f>
        <v/>
      </c>
      <c r="AN117" s="95">
        <f>L117+M117+SUM(N117:S117)</f>
        <v/>
      </c>
      <c r="AO117" s="95">
        <f>L117+M117+SUM(N117:T117)</f>
        <v/>
      </c>
      <c r="AP117" s="95">
        <f>L117+M117+SUM(N117:U117)</f>
        <v/>
      </c>
      <c r="AQ117" s="95">
        <f>L117+M117+SUM(N117:V117)</f>
        <v/>
      </c>
      <c r="AR117" s="95">
        <f>L117+M117+SUM(N117:W117)</f>
        <v/>
      </c>
      <c r="AS117" s="95">
        <f>L117+M117+SUM(N117:X117)</f>
        <v/>
      </c>
      <c r="AT117" s="95">
        <f>L117+M117+SUM(N117:Y117)</f>
        <v/>
      </c>
    </row>
    <row r="118">
      <c r="B118" s="58" t="n">
        <v>112</v>
      </c>
      <c r="C118" s="58">
        <f>IFERROR(INDEX(coa_Name,112)&amp;"","")</f>
        <v/>
      </c>
      <c r="D118" s="58">
        <f>IF(C118="","",IF(COUNTIF($C$7:C118,C118)&gt;1,"",C118))</f>
        <v/>
      </c>
      <c r="E118" s="58">
        <f>IF($D118="","",INDEX(coa_Code,112))</f>
        <v/>
      </c>
      <c r="F118" s="58">
        <f>IF($D118="","",INDEX(coa_Type,112)&amp;"")</f>
        <v/>
      </c>
      <c r="G118" s="58">
        <f>IF($D118="","",INDEX(coa_Normal,112)&amp;"")</f>
        <v/>
      </c>
      <c r="H118" s="58">
        <f>IF($D118="","",IF(INDEX(coa_CF,112)&amp;""="","Operating",INDEX(coa_CF,112)&amp;""))</f>
        <v/>
      </c>
      <c r="I118" s="58">
        <f>IF($D118="","",IFERROR(INDEX(at_Stmt,MATCH(F118,at_Type,0)),""))</f>
        <v/>
      </c>
      <c r="J118" s="58">
        <f>IF($D118="",0,IFERROR(INDEX(at_Sign,MATCH(F118,at_Type,0)),0))</f>
        <v/>
      </c>
      <c r="K118" s="95">
        <f>IF($D118="",0,IF(G118="Credit",-1,1)*N(INDEX(coa_Open,112)))</f>
        <v/>
      </c>
      <c r="L118" s="95">
        <f>IF($D118="",0,IF($D118=acctOBE,K118-SUM($K$7:$K$156),K118))</f>
        <v/>
      </c>
      <c r="M118" s="95">
        <f>IF($D118="",0,SUMIFS(j_DrAmt,j_DrAcct,$D118,j_Per,0)-SUMIFS(j_CrAmt,j_CrAcct,$D118,j_Per,0)+IF($D118=acctTax,SUMIFS(j_TaxDr,j_Posted,1,j_Per,0)-SUMIFS(j_TaxCr,j_Posted,1,j_Per,0),0))</f>
        <v/>
      </c>
      <c r="N118" s="95">
        <f>IF($D118="",0,SUMIFS(j_DrAmt,j_DrAcct,$D118,j_Per,1)-SUMIFS(j_CrAmt,j_CrAcct,$D118,j_Per,1)+IF($D118=acctTax,SUMIFS(j_TaxDr,j_Posted,1,j_Per,1)-SUMIFS(j_TaxCr,j_Posted,1,j_Per,1),0))</f>
        <v/>
      </c>
      <c r="O118" s="95">
        <f>IF($D118="",0,SUMIFS(j_DrAmt,j_DrAcct,$D118,j_Per,2)-SUMIFS(j_CrAmt,j_CrAcct,$D118,j_Per,2)+IF($D118=acctTax,SUMIFS(j_TaxDr,j_Posted,1,j_Per,2)-SUMIFS(j_TaxCr,j_Posted,1,j_Per,2),0))</f>
        <v/>
      </c>
      <c r="P118" s="95">
        <f>IF($D118="",0,SUMIFS(j_DrAmt,j_DrAcct,$D118,j_Per,3)-SUMIFS(j_CrAmt,j_CrAcct,$D118,j_Per,3)+IF($D118=acctTax,SUMIFS(j_TaxDr,j_Posted,1,j_Per,3)-SUMIFS(j_TaxCr,j_Posted,1,j_Per,3),0))</f>
        <v/>
      </c>
      <c r="Q118" s="95">
        <f>IF($D118="",0,SUMIFS(j_DrAmt,j_DrAcct,$D118,j_Per,4)-SUMIFS(j_CrAmt,j_CrAcct,$D118,j_Per,4)+IF($D118=acctTax,SUMIFS(j_TaxDr,j_Posted,1,j_Per,4)-SUMIFS(j_TaxCr,j_Posted,1,j_Per,4),0))</f>
        <v/>
      </c>
      <c r="R118" s="95">
        <f>IF($D118="",0,SUMIFS(j_DrAmt,j_DrAcct,$D118,j_Per,5)-SUMIFS(j_CrAmt,j_CrAcct,$D118,j_Per,5)+IF($D118=acctTax,SUMIFS(j_TaxDr,j_Posted,1,j_Per,5)-SUMIFS(j_TaxCr,j_Posted,1,j_Per,5),0))</f>
        <v/>
      </c>
      <c r="S118" s="95">
        <f>IF($D118="",0,SUMIFS(j_DrAmt,j_DrAcct,$D118,j_Per,6)-SUMIFS(j_CrAmt,j_CrAcct,$D118,j_Per,6)+IF($D118=acctTax,SUMIFS(j_TaxDr,j_Posted,1,j_Per,6)-SUMIFS(j_TaxCr,j_Posted,1,j_Per,6),0))</f>
        <v/>
      </c>
      <c r="T118" s="95">
        <f>IF($D118="",0,SUMIFS(j_DrAmt,j_DrAcct,$D118,j_Per,7)-SUMIFS(j_CrAmt,j_CrAcct,$D118,j_Per,7)+IF($D118=acctTax,SUMIFS(j_TaxDr,j_Posted,1,j_Per,7)-SUMIFS(j_TaxCr,j_Posted,1,j_Per,7),0))</f>
        <v/>
      </c>
      <c r="U118" s="95">
        <f>IF($D118="",0,SUMIFS(j_DrAmt,j_DrAcct,$D118,j_Per,8)-SUMIFS(j_CrAmt,j_CrAcct,$D118,j_Per,8)+IF($D118=acctTax,SUMIFS(j_TaxDr,j_Posted,1,j_Per,8)-SUMIFS(j_TaxCr,j_Posted,1,j_Per,8),0))</f>
        <v/>
      </c>
      <c r="V118" s="95">
        <f>IF($D118="",0,SUMIFS(j_DrAmt,j_DrAcct,$D118,j_Per,9)-SUMIFS(j_CrAmt,j_CrAcct,$D118,j_Per,9)+IF($D118=acctTax,SUMIFS(j_TaxDr,j_Posted,1,j_Per,9)-SUMIFS(j_TaxCr,j_Posted,1,j_Per,9),0))</f>
        <v/>
      </c>
      <c r="W118" s="95">
        <f>IF($D118="",0,SUMIFS(j_DrAmt,j_DrAcct,$D118,j_Per,10)-SUMIFS(j_CrAmt,j_CrAcct,$D118,j_Per,10)+IF($D118=acctTax,SUMIFS(j_TaxDr,j_Posted,1,j_Per,10)-SUMIFS(j_TaxCr,j_Posted,1,j_Per,10),0))</f>
        <v/>
      </c>
      <c r="X118" s="95">
        <f>IF($D118="",0,SUMIFS(j_DrAmt,j_DrAcct,$D118,j_Per,11)-SUMIFS(j_CrAmt,j_CrAcct,$D118,j_Per,11)+IF($D118=acctTax,SUMIFS(j_TaxDr,j_Posted,1,j_Per,11)-SUMIFS(j_TaxCr,j_Posted,1,j_Per,11),0))</f>
        <v/>
      </c>
      <c r="Y118" s="95">
        <f>IF($D118="",0,SUMIFS(j_DrAmt,j_DrAcct,$D118,j_Per,12)-SUMIFS(j_CrAmt,j_CrAcct,$D118,j_Per,12)+IF($D118=acctTax,SUMIFS(j_TaxDr,j_Posted,1,j_Per,12)-SUMIFS(j_TaxCr,j_Posted,1,j_Per,12),0))</f>
        <v/>
      </c>
      <c r="Z118" s="95">
        <f>SUMPRODUCT(($N$5:$Y$5&lt;=RptIdx)*N118:Y118)</f>
        <v/>
      </c>
      <c r="AA118" s="95">
        <f>IF(AND(RptIdx&gt;=1,RptIdx&lt;=12),INDEX(N118:Y118,RptIdx),0)</f>
        <v/>
      </c>
      <c r="AB118" s="95">
        <f>IF($D118="",0,IF(RptIdx&gt;1,INDEX(N118:Y118,RptIdx-1),SUMIFS(j_DrAmt,j_DrAcct,$D118,j_Date,"&gt;="&amp;PrevStart,j_Date,"&lt;="&amp;PrevEnd)-SUMIFS(j_CrAmt,j_CrAcct,$D118,j_Date,"&gt;="&amp;PrevStart,j_Date,"&lt;="&amp;PrevEnd)+IF($D118=acctTax,SUMIFS(j_TaxDr,j_Posted,1,j_Date,"&gt;="&amp;PrevStart,j_Date,"&lt;="&amp;PrevEnd)-SUMIFS(j_TaxCr,j_Posted,1,j_Date,"&gt;="&amp;PrevStart,j_Date,"&lt;="&amp;PrevEnd),0)))</f>
        <v/>
      </c>
      <c r="AC118" s="95">
        <f>SUM(N118:Y118)</f>
        <v/>
      </c>
      <c r="AD118" s="95">
        <f>L118+M118+Z118</f>
        <v/>
      </c>
      <c r="AE118" s="95">
        <f>AD118-AA118</f>
        <v/>
      </c>
      <c r="AF118" s="58">
        <f>IF($D118="","",F118&amp;"|"&amp;COUNTIFS($F$7:F118,F118,$D$7:D118,"&lt;&gt;"))</f>
        <v/>
      </c>
      <c r="AG118" s="58">
        <f>IF(AND($D118&lt;&gt;"",H118="Cash"),"Cash|"&amp;COUNTIFS($H$7:H118,"Cash",$D$7:D118,"&lt;&gt;"),"")</f>
        <v/>
      </c>
      <c r="AH118" s="95">
        <f>IF(AND($D118&lt;&gt;"",OR(F118="Cost of Sales",F118="Operating Expense",F118="Other Expense"),Z118&gt;0),Z118+112/1000000,"")</f>
        <v/>
      </c>
      <c r="AI118" s="95">
        <f>L118+M118+SUM(N118:N118)</f>
        <v/>
      </c>
      <c r="AJ118" s="95">
        <f>L118+M118+SUM(N118:O118)</f>
        <v/>
      </c>
      <c r="AK118" s="95">
        <f>L118+M118+SUM(N118:P118)</f>
        <v/>
      </c>
      <c r="AL118" s="95">
        <f>L118+M118+SUM(N118:Q118)</f>
        <v/>
      </c>
      <c r="AM118" s="95">
        <f>L118+M118+SUM(N118:R118)</f>
        <v/>
      </c>
      <c r="AN118" s="95">
        <f>L118+M118+SUM(N118:S118)</f>
        <v/>
      </c>
      <c r="AO118" s="95">
        <f>L118+M118+SUM(N118:T118)</f>
        <v/>
      </c>
      <c r="AP118" s="95">
        <f>L118+M118+SUM(N118:U118)</f>
        <v/>
      </c>
      <c r="AQ118" s="95">
        <f>L118+M118+SUM(N118:V118)</f>
        <v/>
      </c>
      <c r="AR118" s="95">
        <f>L118+M118+SUM(N118:W118)</f>
        <v/>
      </c>
      <c r="AS118" s="95">
        <f>L118+M118+SUM(N118:X118)</f>
        <v/>
      </c>
      <c r="AT118" s="95">
        <f>L118+M118+SUM(N118:Y118)</f>
        <v/>
      </c>
    </row>
    <row r="119">
      <c r="B119" s="58" t="n">
        <v>113</v>
      </c>
      <c r="C119" s="58">
        <f>IFERROR(INDEX(coa_Name,113)&amp;"","")</f>
        <v/>
      </c>
      <c r="D119" s="58">
        <f>IF(C119="","",IF(COUNTIF($C$7:C119,C119)&gt;1,"",C119))</f>
        <v/>
      </c>
      <c r="E119" s="58">
        <f>IF($D119="","",INDEX(coa_Code,113))</f>
        <v/>
      </c>
      <c r="F119" s="58">
        <f>IF($D119="","",INDEX(coa_Type,113)&amp;"")</f>
        <v/>
      </c>
      <c r="G119" s="58">
        <f>IF($D119="","",INDEX(coa_Normal,113)&amp;"")</f>
        <v/>
      </c>
      <c r="H119" s="58">
        <f>IF($D119="","",IF(INDEX(coa_CF,113)&amp;""="","Operating",INDEX(coa_CF,113)&amp;""))</f>
        <v/>
      </c>
      <c r="I119" s="58">
        <f>IF($D119="","",IFERROR(INDEX(at_Stmt,MATCH(F119,at_Type,0)),""))</f>
        <v/>
      </c>
      <c r="J119" s="58">
        <f>IF($D119="",0,IFERROR(INDEX(at_Sign,MATCH(F119,at_Type,0)),0))</f>
        <v/>
      </c>
      <c r="K119" s="95">
        <f>IF($D119="",0,IF(G119="Credit",-1,1)*N(INDEX(coa_Open,113)))</f>
        <v/>
      </c>
      <c r="L119" s="95">
        <f>IF($D119="",0,IF($D119=acctOBE,K119-SUM($K$7:$K$156),K119))</f>
        <v/>
      </c>
      <c r="M119" s="95">
        <f>IF($D119="",0,SUMIFS(j_DrAmt,j_DrAcct,$D119,j_Per,0)-SUMIFS(j_CrAmt,j_CrAcct,$D119,j_Per,0)+IF($D119=acctTax,SUMIFS(j_TaxDr,j_Posted,1,j_Per,0)-SUMIFS(j_TaxCr,j_Posted,1,j_Per,0),0))</f>
        <v/>
      </c>
      <c r="N119" s="95">
        <f>IF($D119="",0,SUMIFS(j_DrAmt,j_DrAcct,$D119,j_Per,1)-SUMIFS(j_CrAmt,j_CrAcct,$D119,j_Per,1)+IF($D119=acctTax,SUMIFS(j_TaxDr,j_Posted,1,j_Per,1)-SUMIFS(j_TaxCr,j_Posted,1,j_Per,1),0))</f>
        <v/>
      </c>
      <c r="O119" s="95">
        <f>IF($D119="",0,SUMIFS(j_DrAmt,j_DrAcct,$D119,j_Per,2)-SUMIFS(j_CrAmt,j_CrAcct,$D119,j_Per,2)+IF($D119=acctTax,SUMIFS(j_TaxDr,j_Posted,1,j_Per,2)-SUMIFS(j_TaxCr,j_Posted,1,j_Per,2),0))</f>
        <v/>
      </c>
      <c r="P119" s="95">
        <f>IF($D119="",0,SUMIFS(j_DrAmt,j_DrAcct,$D119,j_Per,3)-SUMIFS(j_CrAmt,j_CrAcct,$D119,j_Per,3)+IF($D119=acctTax,SUMIFS(j_TaxDr,j_Posted,1,j_Per,3)-SUMIFS(j_TaxCr,j_Posted,1,j_Per,3),0))</f>
        <v/>
      </c>
      <c r="Q119" s="95">
        <f>IF($D119="",0,SUMIFS(j_DrAmt,j_DrAcct,$D119,j_Per,4)-SUMIFS(j_CrAmt,j_CrAcct,$D119,j_Per,4)+IF($D119=acctTax,SUMIFS(j_TaxDr,j_Posted,1,j_Per,4)-SUMIFS(j_TaxCr,j_Posted,1,j_Per,4),0))</f>
        <v/>
      </c>
      <c r="R119" s="95">
        <f>IF($D119="",0,SUMIFS(j_DrAmt,j_DrAcct,$D119,j_Per,5)-SUMIFS(j_CrAmt,j_CrAcct,$D119,j_Per,5)+IF($D119=acctTax,SUMIFS(j_TaxDr,j_Posted,1,j_Per,5)-SUMIFS(j_TaxCr,j_Posted,1,j_Per,5),0))</f>
        <v/>
      </c>
      <c r="S119" s="95">
        <f>IF($D119="",0,SUMIFS(j_DrAmt,j_DrAcct,$D119,j_Per,6)-SUMIFS(j_CrAmt,j_CrAcct,$D119,j_Per,6)+IF($D119=acctTax,SUMIFS(j_TaxDr,j_Posted,1,j_Per,6)-SUMIFS(j_TaxCr,j_Posted,1,j_Per,6),0))</f>
        <v/>
      </c>
      <c r="T119" s="95">
        <f>IF($D119="",0,SUMIFS(j_DrAmt,j_DrAcct,$D119,j_Per,7)-SUMIFS(j_CrAmt,j_CrAcct,$D119,j_Per,7)+IF($D119=acctTax,SUMIFS(j_TaxDr,j_Posted,1,j_Per,7)-SUMIFS(j_TaxCr,j_Posted,1,j_Per,7),0))</f>
        <v/>
      </c>
      <c r="U119" s="95">
        <f>IF($D119="",0,SUMIFS(j_DrAmt,j_DrAcct,$D119,j_Per,8)-SUMIFS(j_CrAmt,j_CrAcct,$D119,j_Per,8)+IF($D119=acctTax,SUMIFS(j_TaxDr,j_Posted,1,j_Per,8)-SUMIFS(j_TaxCr,j_Posted,1,j_Per,8),0))</f>
        <v/>
      </c>
      <c r="V119" s="95">
        <f>IF($D119="",0,SUMIFS(j_DrAmt,j_DrAcct,$D119,j_Per,9)-SUMIFS(j_CrAmt,j_CrAcct,$D119,j_Per,9)+IF($D119=acctTax,SUMIFS(j_TaxDr,j_Posted,1,j_Per,9)-SUMIFS(j_TaxCr,j_Posted,1,j_Per,9),0))</f>
        <v/>
      </c>
      <c r="W119" s="95">
        <f>IF($D119="",0,SUMIFS(j_DrAmt,j_DrAcct,$D119,j_Per,10)-SUMIFS(j_CrAmt,j_CrAcct,$D119,j_Per,10)+IF($D119=acctTax,SUMIFS(j_TaxDr,j_Posted,1,j_Per,10)-SUMIFS(j_TaxCr,j_Posted,1,j_Per,10),0))</f>
        <v/>
      </c>
      <c r="X119" s="95">
        <f>IF($D119="",0,SUMIFS(j_DrAmt,j_DrAcct,$D119,j_Per,11)-SUMIFS(j_CrAmt,j_CrAcct,$D119,j_Per,11)+IF($D119=acctTax,SUMIFS(j_TaxDr,j_Posted,1,j_Per,11)-SUMIFS(j_TaxCr,j_Posted,1,j_Per,11),0))</f>
        <v/>
      </c>
      <c r="Y119" s="95">
        <f>IF($D119="",0,SUMIFS(j_DrAmt,j_DrAcct,$D119,j_Per,12)-SUMIFS(j_CrAmt,j_CrAcct,$D119,j_Per,12)+IF($D119=acctTax,SUMIFS(j_TaxDr,j_Posted,1,j_Per,12)-SUMIFS(j_TaxCr,j_Posted,1,j_Per,12),0))</f>
        <v/>
      </c>
      <c r="Z119" s="95">
        <f>SUMPRODUCT(($N$5:$Y$5&lt;=RptIdx)*N119:Y119)</f>
        <v/>
      </c>
      <c r="AA119" s="95">
        <f>IF(AND(RptIdx&gt;=1,RptIdx&lt;=12),INDEX(N119:Y119,RptIdx),0)</f>
        <v/>
      </c>
      <c r="AB119" s="95">
        <f>IF($D119="",0,IF(RptIdx&gt;1,INDEX(N119:Y119,RptIdx-1),SUMIFS(j_DrAmt,j_DrAcct,$D119,j_Date,"&gt;="&amp;PrevStart,j_Date,"&lt;="&amp;PrevEnd)-SUMIFS(j_CrAmt,j_CrAcct,$D119,j_Date,"&gt;="&amp;PrevStart,j_Date,"&lt;="&amp;PrevEnd)+IF($D119=acctTax,SUMIFS(j_TaxDr,j_Posted,1,j_Date,"&gt;="&amp;PrevStart,j_Date,"&lt;="&amp;PrevEnd)-SUMIFS(j_TaxCr,j_Posted,1,j_Date,"&gt;="&amp;PrevStart,j_Date,"&lt;="&amp;PrevEnd),0)))</f>
        <v/>
      </c>
      <c r="AC119" s="95">
        <f>SUM(N119:Y119)</f>
        <v/>
      </c>
      <c r="AD119" s="95">
        <f>L119+M119+Z119</f>
        <v/>
      </c>
      <c r="AE119" s="95">
        <f>AD119-AA119</f>
        <v/>
      </c>
      <c r="AF119" s="58">
        <f>IF($D119="","",F119&amp;"|"&amp;COUNTIFS($F$7:F119,F119,$D$7:D119,"&lt;&gt;"))</f>
        <v/>
      </c>
      <c r="AG119" s="58">
        <f>IF(AND($D119&lt;&gt;"",H119="Cash"),"Cash|"&amp;COUNTIFS($H$7:H119,"Cash",$D$7:D119,"&lt;&gt;"),"")</f>
        <v/>
      </c>
      <c r="AH119" s="95">
        <f>IF(AND($D119&lt;&gt;"",OR(F119="Cost of Sales",F119="Operating Expense",F119="Other Expense"),Z119&gt;0),Z119+113/1000000,"")</f>
        <v/>
      </c>
      <c r="AI119" s="95">
        <f>L119+M119+SUM(N119:N119)</f>
        <v/>
      </c>
      <c r="AJ119" s="95">
        <f>L119+M119+SUM(N119:O119)</f>
        <v/>
      </c>
      <c r="AK119" s="95">
        <f>L119+M119+SUM(N119:P119)</f>
        <v/>
      </c>
      <c r="AL119" s="95">
        <f>L119+M119+SUM(N119:Q119)</f>
        <v/>
      </c>
      <c r="AM119" s="95">
        <f>L119+M119+SUM(N119:R119)</f>
        <v/>
      </c>
      <c r="AN119" s="95">
        <f>L119+M119+SUM(N119:S119)</f>
        <v/>
      </c>
      <c r="AO119" s="95">
        <f>L119+M119+SUM(N119:T119)</f>
        <v/>
      </c>
      <c r="AP119" s="95">
        <f>L119+M119+SUM(N119:U119)</f>
        <v/>
      </c>
      <c r="AQ119" s="95">
        <f>L119+M119+SUM(N119:V119)</f>
        <v/>
      </c>
      <c r="AR119" s="95">
        <f>L119+M119+SUM(N119:W119)</f>
        <v/>
      </c>
      <c r="AS119" s="95">
        <f>L119+M119+SUM(N119:X119)</f>
        <v/>
      </c>
      <c r="AT119" s="95">
        <f>L119+M119+SUM(N119:Y119)</f>
        <v/>
      </c>
    </row>
    <row r="120">
      <c r="B120" s="58" t="n">
        <v>114</v>
      </c>
      <c r="C120" s="58">
        <f>IFERROR(INDEX(coa_Name,114)&amp;"","")</f>
        <v/>
      </c>
      <c r="D120" s="58">
        <f>IF(C120="","",IF(COUNTIF($C$7:C120,C120)&gt;1,"",C120))</f>
        <v/>
      </c>
      <c r="E120" s="58">
        <f>IF($D120="","",INDEX(coa_Code,114))</f>
        <v/>
      </c>
      <c r="F120" s="58">
        <f>IF($D120="","",INDEX(coa_Type,114)&amp;"")</f>
        <v/>
      </c>
      <c r="G120" s="58">
        <f>IF($D120="","",INDEX(coa_Normal,114)&amp;"")</f>
        <v/>
      </c>
      <c r="H120" s="58">
        <f>IF($D120="","",IF(INDEX(coa_CF,114)&amp;""="","Operating",INDEX(coa_CF,114)&amp;""))</f>
        <v/>
      </c>
      <c r="I120" s="58">
        <f>IF($D120="","",IFERROR(INDEX(at_Stmt,MATCH(F120,at_Type,0)),""))</f>
        <v/>
      </c>
      <c r="J120" s="58">
        <f>IF($D120="",0,IFERROR(INDEX(at_Sign,MATCH(F120,at_Type,0)),0))</f>
        <v/>
      </c>
      <c r="K120" s="95">
        <f>IF($D120="",0,IF(G120="Credit",-1,1)*N(INDEX(coa_Open,114)))</f>
        <v/>
      </c>
      <c r="L120" s="95">
        <f>IF($D120="",0,IF($D120=acctOBE,K120-SUM($K$7:$K$156),K120))</f>
        <v/>
      </c>
      <c r="M120" s="95">
        <f>IF($D120="",0,SUMIFS(j_DrAmt,j_DrAcct,$D120,j_Per,0)-SUMIFS(j_CrAmt,j_CrAcct,$D120,j_Per,0)+IF($D120=acctTax,SUMIFS(j_TaxDr,j_Posted,1,j_Per,0)-SUMIFS(j_TaxCr,j_Posted,1,j_Per,0),0))</f>
        <v/>
      </c>
      <c r="N120" s="95">
        <f>IF($D120="",0,SUMIFS(j_DrAmt,j_DrAcct,$D120,j_Per,1)-SUMIFS(j_CrAmt,j_CrAcct,$D120,j_Per,1)+IF($D120=acctTax,SUMIFS(j_TaxDr,j_Posted,1,j_Per,1)-SUMIFS(j_TaxCr,j_Posted,1,j_Per,1),0))</f>
        <v/>
      </c>
      <c r="O120" s="95">
        <f>IF($D120="",0,SUMIFS(j_DrAmt,j_DrAcct,$D120,j_Per,2)-SUMIFS(j_CrAmt,j_CrAcct,$D120,j_Per,2)+IF($D120=acctTax,SUMIFS(j_TaxDr,j_Posted,1,j_Per,2)-SUMIFS(j_TaxCr,j_Posted,1,j_Per,2),0))</f>
        <v/>
      </c>
      <c r="P120" s="95">
        <f>IF($D120="",0,SUMIFS(j_DrAmt,j_DrAcct,$D120,j_Per,3)-SUMIFS(j_CrAmt,j_CrAcct,$D120,j_Per,3)+IF($D120=acctTax,SUMIFS(j_TaxDr,j_Posted,1,j_Per,3)-SUMIFS(j_TaxCr,j_Posted,1,j_Per,3),0))</f>
        <v/>
      </c>
      <c r="Q120" s="95">
        <f>IF($D120="",0,SUMIFS(j_DrAmt,j_DrAcct,$D120,j_Per,4)-SUMIFS(j_CrAmt,j_CrAcct,$D120,j_Per,4)+IF($D120=acctTax,SUMIFS(j_TaxDr,j_Posted,1,j_Per,4)-SUMIFS(j_TaxCr,j_Posted,1,j_Per,4),0))</f>
        <v/>
      </c>
      <c r="R120" s="95">
        <f>IF($D120="",0,SUMIFS(j_DrAmt,j_DrAcct,$D120,j_Per,5)-SUMIFS(j_CrAmt,j_CrAcct,$D120,j_Per,5)+IF($D120=acctTax,SUMIFS(j_TaxDr,j_Posted,1,j_Per,5)-SUMIFS(j_TaxCr,j_Posted,1,j_Per,5),0))</f>
        <v/>
      </c>
      <c r="S120" s="95">
        <f>IF($D120="",0,SUMIFS(j_DrAmt,j_DrAcct,$D120,j_Per,6)-SUMIFS(j_CrAmt,j_CrAcct,$D120,j_Per,6)+IF($D120=acctTax,SUMIFS(j_TaxDr,j_Posted,1,j_Per,6)-SUMIFS(j_TaxCr,j_Posted,1,j_Per,6),0))</f>
        <v/>
      </c>
      <c r="T120" s="95">
        <f>IF($D120="",0,SUMIFS(j_DrAmt,j_DrAcct,$D120,j_Per,7)-SUMIFS(j_CrAmt,j_CrAcct,$D120,j_Per,7)+IF($D120=acctTax,SUMIFS(j_TaxDr,j_Posted,1,j_Per,7)-SUMIFS(j_TaxCr,j_Posted,1,j_Per,7),0))</f>
        <v/>
      </c>
      <c r="U120" s="95">
        <f>IF($D120="",0,SUMIFS(j_DrAmt,j_DrAcct,$D120,j_Per,8)-SUMIFS(j_CrAmt,j_CrAcct,$D120,j_Per,8)+IF($D120=acctTax,SUMIFS(j_TaxDr,j_Posted,1,j_Per,8)-SUMIFS(j_TaxCr,j_Posted,1,j_Per,8),0))</f>
        <v/>
      </c>
      <c r="V120" s="95">
        <f>IF($D120="",0,SUMIFS(j_DrAmt,j_DrAcct,$D120,j_Per,9)-SUMIFS(j_CrAmt,j_CrAcct,$D120,j_Per,9)+IF($D120=acctTax,SUMIFS(j_TaxDr,j_Posted,1,j_Per,9)-SUMIFS(j_TaxCr,j_Posted,1,j_Per,9),0))</f>
        <v/>
      </c>
      <c r="W120" s="95">
        <f>IF($D120="",0,SUMIFS(j_DrAmt,j_DrAcct,$D120,j_Per,10)-SUMIFS(j_CrAmt,j_CrAcct,$D120,j_Per,10)+IF($D120=acctTax,SUMIFS(j_TaxDr,j_Posted,1,j_Per,10)-SUMIFS(j_TaxCr,j_Posted,1,j_Per,10),0))</f>
        <v/>
      </c>
      <c r="X120" s="95">
        <f>IF($D120="",0,SUMIFS(j_DrAmt,j_DrAcct,$D120,j_Per,11)-SUMIFS(j_CrAmt,j_CrAcct,$D120,j_Per,11)+IF($D120=acctTax,SUMIFS(j_TaxDr,j_Posted,1,j_Per,11)-SUMIFS(j_TaxCr,j_Posted,1,j_Per,11),0))</f>
        <v/>
      </c>
      <c r="Y120" s="95">
        <f>IF($D120="",0,SUMIFS(j_DrAmt,j_DrAcct,$D120,j_Per,12)-SUMIFS(j_CrAmt,j_CrAcct,$D120,j_Per,12)+IF($D120=acctTax,SUMIFS(j_TaxDr,j_Posted,1,j_Per,12)-SUMIFS(j_TaxCr,j_Posted,1,j_Per,12),0))</f>
        <v/>
      </c>
      <c r="Z120" s="95">
        <f>SUMPRODUCT(($N$5:$Y$5&lt;=RptIdx)*N120:Y120)</f>
        <v/>
      </c>
      <c r="AA120" s="95">
        <f>IF(AND(RptIdx&gt;=1,RptIdx&lt;=12),INDEX(N120:Y120,RptIdx),0)</f>
        <v/>
      </c>
      <c r="AB120" s="95">
        <f>IF($D120="",0,IF(RptIdx&gt;1,INDEX(N120:Y120,RptIdx-1),SUMIFS(j_DrAmt,j_DrAcct,$D120,j_Date,"&gt;="&amp;PrevStart,j_Date,"&lt;="&amp;PrevEnd)-SUMIFS(j_CrAmt,j_CrAcct,$D120,j_Date,"&gt;="&amp;PrevStart,j_Date,"&lt;="&amp;PrevEnd)+IF($D120=acctTax,SUMIFS(j_TaxDr,j_Posted,1,j_Date,"&gt;="&amp;PrevStart,j_Date,"&lt;="&amp;PrevEnd)-SUMIFS(j_TaxCr,j_Posted,1,j_Date,"&gt;="&amp;PrevStart,j_Date,"&lt;="&amp;PrevEnd),0)))</f>
        <v/>
      </c>
      <c r="AC120" s="95">
        <f>SUM(N120:Y120)</f>
        <v/>
      </c>
      <c r="AD120" s="95">
        <f>L120+M120+Z120</f>
        <v/>
      </c>
      <c r="AE120" s="95">
        <f>AD120-AA120</f>
        <v/>
      </c>
      <c r="AF120" s="58">
        <f>IF($D120="","",F120&amp;"|"&amp;COUNTIFS($F$7:F120,F120,$D$7:D120,"&lt;&gt;"))</f>
        <v/>
      </c>
      <c r="AG120" s="58">
        <f>IF(AND($D120&lt;&gt;"",H120="Cash"),"Cash|"&amp;COUNTIFS($H$7:H120,"Cash",$D$7:D120,"&lt;&gt;"),"")</f>
        <v/>
      </c>
      <c r="AH120" s="95">
        <f>IF(AND($D120&lt;&gt;"",OR(F120="Cost of Sales",F120="Operating Expense",F120="Other Expense"),Z120&gt;0),Z120+114/1000000,"")</f>
        <v/>
      </c>
      <c r="AI120" s="95">
        <f>L120+M120+SUM(N120:N120)</f>
        <v/>
      </c>
      <c r="AJ120" s="95">
        <f>L120+M120+SUM(N120:O120)</f>
        <v/>
      </c>
      <c r="AK120" s="95">
        <f>L120+M120+SUM(N120:P120)</f>
        <v/>
      </c>
      <c r="AL120" s="95">
        <f>L120+M120+SUM(N120:Q120)</f>
        <v/>
      </c>
      <c r="AM120" s="95">
        <f>L120+M120+SUM(N120:R120)</f>
        <v/>
      </c>
      <c r="AN120" s="95">
        <f>L120+M120+SUM(N120:S120)</f>
        <v/>
      </c>
      <c r="AO120" s="95">
        <f>L120+M120+SUM(N120:T120)</f>
        <v/>
      </c>
      <c r="AP120" s="95">
        <f>L120+M120+SUM(N120:U120)</f>
        <v/>
      </c>
      <c r="AQ120" s="95">
        <f>L120+M120+SUM(N120:V120)</f>
        <v/>
      </c>
      <c r="AR120" s="95">
        <f>L120+M120+SUM(N120:W120)</f>
        <v/>
      </c>
      <c r="AS120" s="95">
        <f>L120+M120+SUM(N120:X120)</f>
        <v/>
      </c>
      <c r="AT120" s="95">
        <f>L120+M120+SUM(N120:Y120)</f>
        <v/>
      </c>
    </row>
    <row r="121">
      <c r="B121" s="58" t="n">
        <v>115</v>
      </c>
      <c r="C121" s="58">
        <f>IFERROR(INDEX(coa_Name,115)&amp;"","")</f>
        <v/>
      </c>
      <c r="D121" s="58">
        <f>IF(C121="","",IF(COUNTIF($C$7:C121,C121)&gt;1,"",C121))</f>
        <v/>
      </c>
      <c r="E121" s="58">
        <f>IF($D121="","",INDEX(coa_Code,115))</f>
        <v/>
      </c>
      <c r="F121" s="58">
        <f>IF($D121="","",INDEX(coa_Type,115)&amp;"")</f>
        <v/>
      </c>
      <c r="G121" s="58">
        <f>IF($D121="","",INDEX(coa_Normal,115)&amp;"")</f>
        <v/>
      </c>
      <c r="H121" s="58">
        <f>IF($D121="","",IF(INDEX(coa_CF,115)&amp;""="","Operating",INDEX(coa_CF,115)&amp;""))</f>
        <v/>
      </c>
      <c r="I121" s="58">
        <f>IF($D121="","",IFERROR(INDEX(at_Stmt,MATCH(F121,at_Type,0)),""))</f>
        <v/>
      </c>
      <c r="J121" s="58">
        <f>IF($D121="",0,IFERROR(INDEX(at_Sign,MATCH(F121,at_Type,0)),0))</f>
        <v/>
      </c>
      <c r="K121" s="95">
        <f>IF($D121="",0,IF(G121="Credit",-1,1)*N(INDEX(coa_Open,115)))</f>
        <v/>
      </c>
      <c r="L121" s="95">
        <f>IF($D121="",0,IF($D121=acctOBE,K121-SUM($K$7:$K$156),K121))</f>
        <v/>
      </c>
      <c r="M121" s="95">
        <f>IF($D121="",0,SUMIFS(j_DrAmt,j_DrAcct,$D121,j_Per,0)-SUMIFS(j_CrAmt,j_CrAcct,$D121,j_Per,0)+IF($D121=acctTax,SUMIFS(j_TaxDr,j_Posted,1,j_Per,0)-SUMIFS(j_TaxCr,j_Posted,1,j_Per,0),0))</f>
        <v/>
      </c>
      <c r="N121" s="95">
        <f>IF($D121="",0,SUMIFS(j_DrAmt,j_DrAcct,$D121,j_Per,1)-SUMIFS(j_CrAmt,j_CrAcct,$D121,j_Per,1)+IF($D121=acctTax,SUMIFS(j_TaxDr,j_Posted,1,j_Per,1)-SUMIFS(j_TaxCr,j_Posted,1,j_Per,1),0))</f>
        <v/>
      </c>
      <c r="O121" s="95">
        <f>IF($D121="",0,SUMIFS(j_DrAmt,j_DrAcct,$D121,j_Per,2)-SUMIFS(j_CrAmt,j_CrAcct,$D121,j_Per,2)+IF($D121=acctTax,SUMIFS(j_TaxDr,j_Posted,1,j_Per,2)-SUMIFS(j_TaxCr,j_Posted,1,j_Per,2),0))</f>
        <v/>
      </c>
      <c r="P121" s="95">
        <f>IF($D121="",0,SUMIFS(j_DrAmt,j_DrAcct,$D121,j_Per,3)-SUMIFS(j_CrAmt,j_CrAcct,$D121,j_Per,3)+IF($D121=acctTax,SUMIFS(j_TaxDr,j_Posted,1,j_Per,3)-SUMIFS(j_TaxCr,j_Posted,1,j_Per,3),0))</f>
        <v/>
      </c>
      <c r="Q121" s="95">
        <f>IF($D121="",0,SUMIFS(j_DrAmt,j_DrAcct,$D121,j_Per,4)-SUMIFS(j_CrAmt,j_CrAcct,$D121,j_Per,4)+IF($D121=acctTax,SUMIFS(j_TaxDr,j_Posted,1,j_Per,4)-SUMIFS(j_TaxCr,j_Posted,1,j_Per,4),0))</f>
        <v/>
      </c>
      <c r="R121" s="95">
        <f>IF($D121="",0,SUMIFS(j_DrAmt,j_DrAcct,$D121,j_Per,5)-SUMIFS(j_CrAmt,j_CrAcct,$D121,j_Per,5)+IF($D121=acctTax,SUMIFS(j_TaxDr,j_Posted,1,j_Per,5)-SUMIFS(j_TaxCr,j_Posted,1,j_Per,5),0))</f>
        <v/>
      </c>
      <c r="S121" s="95">
        <f>IF($D121="",0,SUMIFS(j_DrAmt,j_DrAcct,$D121,j_Per,6)-SUMIFS(j_CrAmt,j_CrAcct,$D121,j_Per,6)+IF($D121=acctTax,SUMIFS(j_TaxDr,j_Posted,1,j_Per,6)-SUMIFS(j_TaxCr,j_Posted,1,j_Per,6),0))</f>
        <v/>
      </c>
      <c r="T121" s="95">
        <f>IF($D121="",0,SUMIFS(j_DrAmt,j_DrAcct,$D121,j_Per,7)-SUMIFS(j_CrAmt,j_CrAcct,$D121,j_Per,7)+IF($D121=acctTax,SUMIFS(j_TaxDr,j_Posted,1,j_Per,7)-SUMIFS(j_TaxCr,j_Posted,1,j_Per,7),0))</f>
        <v/>
      </c>
      <c r="U121" s="95">
        <f>IF($D121="",0,SUMIFS(j_DrAmt,j_DrAcct,$D121,j_Per,8)-SUMIFS(j_CrAmt,j_CrAcct,$D121,j_Per,8)+IF($D121=acctTax,SUMIFS(j_TaxDr,j_Posted,1,j_Per,8)-SUMIFS(j_TaxCr,j_Posted,1,j_Per,8),0))</f>
        <v/>
      </c>
      <c r="V121" s="95">
        <f>IF($D121="",0,SUMIFS(j_DrAmt,j_DrAcct,$D121,j_Per,9)-SUMIFS(j_CrAmt,j_CrAcct,$D121,j_Per,9)+IF($D121=acctTax,SUMIFS(j_TaxDr,j_Posted,1,j_Per,9)-SUMIFS(j_TaxCr,j_Posted,1,j_Per,9),0))</f>
        <v/>
      </c>
      <c r="W121" s="95">
        <f>IF($D121="",0,SUMIFS(j_DrAmt,j_DrAcct,$D121,j_Per,10)-SUMIFS(j_CrAmt,j_CrAcct,$D121,j_Per,10)+IF($D121=acctTax,SUMIFS(j_TaxDr,j_Posted,1,j_Per,10)-SUMIFS(j_TaxCr,j_Posted,1,j_Per,10),0))</f>
        <v/>
      </c>
      <c r="X121" s="95">
        <f>IF($D121="",0,SUMIFS(j_DrAmt,j_DrAcct,$D121,j_Per,11)-SUMIFS(j_CrAmt,j_CrAcct,$D121,j_Per,11)+IF($D121=acctTax,SUMIFS(j_TaxDr,j_Posted,1,j_Per,11)-SUMIFS(j_TaxCr,j_Posted,1,j_Per,11),0))</f>
        <v/>
      </c>
      <c r="Y121" s="95">
        <f>IF($D121="",0,SUMIFS(j_DrAmt,j_DrAcct,$D121,j_Per,12)-SUMIFS(j_CrAmt,j_CrAcct,$D121,j_Per,12)+IF($D121=acctTax,SUMIFS(j_TaxDr,j_Posted,1,j_Per,12)-SUMIFS(j_TaxCr,j_Posted,1,j_Per,12),0))</f>
        <v/>
      </c>
      <c r="Z121" s="95">
        <f>SUMPRODUCT(($N$5:$Y$5&lt;=RptIdx)*N121:Y121)</f>
        <v/>
      </c>
      <c r="AA121" s="95">
        <f>IF(AND(RptIdx&gt;=1,RptIdx&lt;=12),INDEX(N121:Y121,RptIdx),0)</f>
        <v/>
      </c>
      <c r="AB121" s="95">
        <f>IF($D121="",0,IF(RptIdx&gt;1,INDEX(N121:Y121,RptIdx-1),SUMIFS(j_DrAmt,j_DrAcct,$D121,j_Date,"&gt;="&amp;PrevStart,j_Date,"&lt;="&amp;PrevEnd)-SUMIFS(j_CrAmt,j_CrAcct,$D121,j_Date,"&gt;="&amp;PrevStart,j_Date,"&lt;="&amp;PrevEnd)+IF($D121=acctTax,SUMIFS(j_TaxDr,j_Posted,1,j_Date,"&gt;="&amp;PrevStart,j_Date,"&lt;="&amp;PrevEnd)-SUMIFS(j_TaxCr,j_Posted,1,j_Date,"&gt;="&amp;PrevStart,j_Date,"&lt;="&amp;PrevEnd),0)))</f>
        <v/>
      </c>
      <c r="AC121" s="95">
        <f>SUM(N121:Y121)</f>
        <v/>
      </c>
      <c r="AD121" s="95">
        <f>L121+M121+Z121</f>
        <v/>
      </c>
      <c r="AE121" s="95">
        <f>AD121-AA121</f>
        <v/>
      </c>
      <c r="AF121" s="58">
        <f>IF($D121="","",F121&amp;"|"&amp;COUNTIFS($F$7:F121,F121,$D$7:D121,"&lt;&gt;"))</f>
        <v/>
      </c>
      <c r="AG121" s="58">
        <f>IF(AND($D121&lt;&gt;"",H121="Cash"),"Cash|"&amp;COUNTIFS($H$7:H121,"Cash",$D$7:D121,"&lt;&gt;"),"")</f>
        <v/>
      </c>
      <c r="AH121" s="95">
        <f>IF(AND($D121&lt;&gt;"",OR(F121="Cost of Sales",F121="Operating Expense",F121="Other Expense"),Z121&gt;0),Z121+115/1000000,"")</f>
        <v/>
      </c>
      <c r="AI121" s="95">
        <f>L121+M121+SUM(N121:N121)</f>
        <v/>
      </c>
      <c r="AJ121" s="95">
        <f>L121+M121+SUM(N121:O121)</f>
        <v/>
      </c>
      <c r="AK121" s="95">
        <f>L121+M121+SUM(N121:P121)</f>
        <v/>
      </c>
      <c r="AL121" s="95">
        <f>L121+M121+SUM(N121:Q121)</f>
        <v/>
      </c>
      <c r="AM121" s="95">
        <f>L121+M121+SUM(N121:R121)</f>
        <v/>
      </c>
      <c r="AN121" s="95">
        <f>L121+M121+SUM(N121:S121)</f>
        <v/>
      </c>
      <c r="AO121" s="95">
        <f>L121+M121+SUM(N121:T121)</f>
        <v/>
      </c>
      <c r="AP121" s="95">
        <f>L121+M121+SUM(N121:U121)</f>
        <v/>
      </c>
      <c r="AQ121" s="95">
        <f>L121+M121+SUM(N121:V121)</f>
        <v/>
      </c>
      <c r="AR121" s="95">
        <f>L121+M121+SUM(N121:W121)</f>
        <v/>
      </c>
      <c r="AS121" s="95">
        <f>L121+M121+SUM(N121:X121)</f>
        <v/>
      </c>
      <c r="AT121" s="95">
        <f>L121+M121+SUM(N121:Y121)</f>
        <v/>
      </c>
    </row>
    <row r="122">
      <c r="B122" s="58" t="n">
        <v>116</v>
      </c>
      <c r="C122" s="58">
        <f>IFERROR(INDEX(coa_Name,116)&amp;"","")</f>
        <v/>
      </c>
      <c r="D122" s="58">
        <f>IF(C122="","",IF(COUNTIF($C$7:C122,C122)&gt;1,"",C122))</f>
        <v/>
      </c>
      <c r="E122" s="58">
        <f>IF($D122="","",INDEX(coa_Code,116))</f>
        <v/>
      </c>
      <c r="F122" s="58">
        <f>IF($D122="","",INDEX(coa_Type,116)&amp;"")</f>
        <v/>
      </c>
      <c r="G122" s="58">
        <f>IF($D122="","",INDEX(coa_Normal,116)&amp;"")</f>
        <v/>
      </c>
      <c r="H122" s="58">
        <f>IF($D122="","",IF(INDEX(coa_CF,116)&amp;""="","Operating",INDEX(coa_CF,116)&amp;""))</f>
        <v/>
      </c>
      <c r="I122" s="58">
        <f>IF($D122="","",IFERROR(INDEX(at_Stmt,MATCH(F122,at_Type,0)),""))</f>
        <v/>
      </c>
      <c r="J122" s="58">
        <f>IF($D122="",0,IFERROR(INDEX(at_Sign,MATCH(F122,at_Type,0)),0))</f>
        <v/>
      </c>
      <c r="K122" s="95">
        <f>IF($D122="",0,IF(G122="Credit",-1,1)*N(INDEX(coa_Open,116)))</f>
        <v/>
      </c>
      <c r="L122" s="95">
        <f>IF($D122="",0,IF($D122=acctOBE,K122-SUM($K$7:$K$156),K122))</f>
        <v/>
      </c>
      <c r="M122" s="95">
        <f>IF($D122="",0,SUMIFS(j_DrAmt,j_DrAcct,$D122,j_Per,0)-SUMIFS(j_CrAmt,j_CrAcct,$D122,j_Per,0)+IF($D122=acctTax,SUMIFS(j_TaxDr,j_Posted,1,j_Per,0)-SUMIFS(j_TaxCr,j_Posted,1,j_Per,0),0))</f>
        <v/>
      </c>
      <c r="N122" s="95">
        <f>IF($D122="",0,SUMIFS(j_DrAmt,j_DrAcct,$D122,j_Per,1)-SUMIFS(j_CrAmt,j_CrAcct,$D122,j_Per,1)+IF($D122=acctTax,SUMIFS(j_TaxDr,j_Posted,1,j_Per,1)-SUMIFS(j_TaxCr,j_Posted,1,j_Per,1),0))</f>
        <v/>
      </c>
      <c r="O122" s="95">
        <f>IF($D122="",0,SUMIFS(j_DrAmt,j_DrAcct,$D122,j_Per,2)-SUMIFS(j_CrAmt,j_CrAcct,$D122,j_Per,2)+IF($D122=acctTax,SUMIFS(j_TaxDr,j_Posted,1,j_Per,2)-SUMIFS(j_TaxCr,j_Posted,1,j_Per,2),0))</f>
        <v/>
      </c>
      <c r="P122" s="95">
        <f>IF($D122="",0,SUMIFS(j_DrAmt,j_DrAcct,$D122,j_Per,3)-SUMIFS(j_CrAmt,j_CrAcct,$D122,j_Per,3)+IF($D122=acctTax,SUMIFS(j_TaxDr,j_Posted,1,j_Per,3)-SUMIFS(j_TaxCr,j_Posted,1,j_Per,3),0))</f>
        <v/>
      </c>
      <c r="Q122" s="95">
        <f>IF($D122="",0,SUMIFS(j_DrAmt,j_DrAcct,$D122,j_Per,4)-SUMIFS(j_CrAmt,j_CrAcct,$D122,j_Per,4)+IF($D122=acctTax,SUMIFS(j_TaxDr,j_Posted,1,j_Per,4)-SUMIFS(j_TaxCr,j_Posted,1,j_Per,4),0))</f>
        <v/>
      </c>
      <c r="R122" s="95">
        <f>IF($D122="",0,SUMIFS(j_DrAmt,j_DrAcct,$D122,j_Per,5)-SUMIFS(j_CrAmt,j_CrAcct,$D122,j_Per,5)+IF($D122=acctTax,SUMIFS(j_TaxDr,j_Posted,1,j_Per,5)-SUMIFS(j_TaxCr,j_Posted,1,j_Per,5),0))</f>
        <v/>
      </c>
      <c r="S122" s="95">
        <f>IF($D122="",0,SUMIFS(j_DrAmt,j_DrAcct,$D122,j_Per,6)-SUMIFS(j_CrAmt,j_CrAcct,$D122,j_Per,6)+IF($D122=acctTax,SUMIFS(j_TaxDr,j_Posted,1,j_Per,6)-SUMIFS(j_TaxCr,j_Posted,1,j_Per,6),0))</f>
        <v/>
      </c>
      <c r="T122" s="95">
        <f>IF($D122="",0,SUMIFS(j_DrAmt,j_DrAcct,$D122,j_Per,7)-SUMIFS(j_CrAmt,j_CrAcct,$D122,j_Per,7)+IF($D122=acctTax,SUMIFS(j_TaxDr,j_Posted,1,j_Per,7)-SUMIFS(j_TaxCr,j_Posted,1,j_Per,7),0))</f>
        <v/>
      </c>
      <c r="U122" s="95">
        <f>IF($D122="",0,SUMIFS(j_DrAmt,j_DrAcct,$D122,j_Per,8)-SUMIFS(j_CrAmt,j_CrAcct,$D122,j_Per,8)+IF($D122=acctTax,SUMIFS(j_TaxDr,j_Posted,1,j_Per,8)-SUMIFS(j_TaxCr,j_Posted,1,j_Per,8),0))</f>
        <v/>
      </c>
      <c r="V122" s="95">
        <f>IF($D122="",0,SUMIFS(j_DrAmt,j_DrAcct,$D122,j_Per,9)-SUMIFS(j_CrAmt,j_CrAcct,$D122,j_Per,9)+IF($D122=acctTax,SUMIFS(j_TaxDr,j_Posted,1,j_Per,9)-SUMIFS(j_TaxCr,j_Posted,1,j_Per,9),0))</f>
        <v/>
      </c>
      <c r="W122" s="95">
        <f>IF($D122="",0,SUMIFS(j_DrAmt,j_DrAcct,$D122,j_Per,10)-SUMIFS(j_CrAmt,j_CrAcct,$D122,j_Per,10)+IF($D122=acctTax,SUMIFS(j_TaxDr,j_Posted,1,j_Per,10)-SUMIFS(j_TaxCr,j_Posted,1,j_Per,10),0))</f>
        <v/>
      </c>
      <c r="X122" s="95">
        <f>IF($D122="",0,SUMIFS(j_DrAmt,j_DrAcct,$D122,j_Per,11)-SUMIFS(j_CrAmt,j_CrAcct,$D122,j_Per,11)+IF($D122=acctTax,SUMIFS(j_TaxDr,j_Posted,1,j_Per,11)-SUMIFS(j_TaxCr,j_Posted,1,j_Per,11),0))</f>
        <v/>
      </c>
      <c r="Y122" s="95">
        <f>IF($D122="",0,SUMIFS(j_DrAmt,j_DrAcct,$D122,j_Per,12)-SUMIFS(j_CrAmt,j_CrAcct,$D122,j_Per,12)+IF($D122=acctTax,SUMIFS(j_TaxDr,j_Posted,1,j_Per,12)-SUMIFS(j_TaxCr,j_Posted,1,j_Per,12),0))</f>
        <v/>
      </c>
      <c r="Z122" s="95">
        <f>SUMPRODUCT(($N$5:$Y$5&lt;=RptIdx)*N122:Y122)</f>
        <v/>
      </c>
      <c r="AA122" s="95">
        <f>IF(AND(RptIdx&gt;=1,RptIdx&lt;=12),INDEX(N122:Y122,RptIdx),0)</f>
        <v/>
      </c>
      <c r="AB122" s="95">
        <f>IF($D122="",0,IF(RptIdx&gt;1,INDEX(N122:Y122,RptIdx-1),SUMIFS(j_DrAmt,j_DrAcct,$D122,j_Date,"&gt;="&amp;PrevStart,j_Date,"&lt;="&amp;PrevEnd)-SUMIFS(j_CrAmt,j_CrAcct,$D122,j_Date,"&gt;="&amp;PrevStart,j_Date,"&lt;="&amp;PrevEnd)+IF($D122=acctTax,SUMIFS(j_TaxDr,j_Posted,1,j_Date,"&gt;="&amp;PrevStart,j_Date,"&lt;="&amp;PrevEnd)-SUMIFS(j_TaxCr,j_Posted,1,j_Date,"&gt;="&amp;PrevStart,j_Date,"&lt;="&amp;PrevEnd),0)))</f>
        <v/>
      </c>
      <c r="AC122" s="95">
        <f>SUM(N122:Y122)</f>
        <v/>
      </c>
      <c r="AD122" s="95">
        <f>L122+M122+Z122</f>
        <v/>
      </c>
      <c r="AE122" s="95">
        <f>AD122-AA122</f>
        <v/>
      </c>
      <c r="AF122" s="58">
        <f>IF($D122="","",F122&amp;"|"&amp;COUNTIFS($F$7:F122,F122,$D$7:D122,"&lt;&gt;"))</f>
        <v/>
      </c>
      <c r="AG122" s="58">
        <f>IF(AND($D122&lt;&gt;"",H122="Cash"),"Cash|"&amp;COUNTIFS($H$7:H122,"Cash",$D$7:D122,"&lt;&gt;"),"")</f>
        <v/>
      </c>
      <c r="AH122" s="95">
        <f>IF(AND($D122&lt;&gt;"",OR(F122="Cost of Sales",F122="Operating Expense",F122="Other Expense"),Z122&gt;0),Z122+116/1000000,"")</f>
        <v/>
      </c>
      <c r="AI122" s="95">
        <f>L122+M122+SUM(N122:N122)</f>
        <v/>
      </c>
      <c r="AJ122" s="95">
        <f>L122+M122+SUM(N122:O122)</f>
        <v/>
      </c>
      <c r="AK122" s="95">
        <f>L122+M122+SUM(N122:P122)</f>
        <v/>
      </c>
      <c r="AL122" s="95">
        <f>L122+M122+SUM(N122:Q122)</f>
        <v/>
      </c>
      <c r="AM122" s="95">
        <f>L122+M122+SUM(N122:R122)</f>
        <v/>
      </c>
      <c r="AN122" s="95">
        <f>L122+M122+SUM(N122:S122)</f>
        <v/>
      </c>
      <c r="AO122" s="95">
        <f>L122+M122+SUM(N122:T122)</f>
        <v/>
      </c>
      <c r="AP122" s="95">
        <f>L122+M122+SUM(N122:U122)</f>
        <v/>
      </c>
      <c r="AQ122" s="95">
        <f>L122+M122+SUM(N122:V122)</f>
        <v/>
      </c>
      <c r="AR122" s="95">
        <f>L122+M122+SUM(N122:W122)</f>
        <v/>
      </c>
      <c r="AS122" s="95">
        <f>L122+M122+SUM(N122:X122)</f>
        <v/>
      </c>
      <c r="AT122" s="95">
        <f>L122+M122+SUM(N122:Y122)</f>
        <v/>
      </c>
    </row>
    <row r="123">
      <c r="B123" s="58" t="n">
        <v>117</v>
      </c>
      <c r="C123" s="58">
        <f>IFERROR(INDEX(coa_Name,117)&amp;"","")</f>
        <v/>
      </c>
      <c r="D123" s="58">
        <f>IF(C123="","",IF(COUNTIF($C$7:C123,C123)&gt;1,"",C123))</f>
        <v/>
      </c>
      <c r="E123" s="58">
        <f>IF($D123="","",INDEX(coa_Code,117))</f>
        <v/>
      </c>
      <c r="F123" s="58">
        <f>IF($D123="","",INDEX(coa_Type,117)&amp;"")</f>
        <v/>
      </c>
      <c r="G123" s="58">
        <f>IF($D123="","",INDEX(coa_Normal,117)&amp;"")</f>
        <v/>
      </c>
      <c r="H123" s="58">
        <f>IF($D123="","",IF(INDEX(coa_CF,117)&amp;""="","Operating",INDEX(coa_CF,117)&amp;""))</f>
        <v/>
      </c>
      <c r="I123" s="58">
        <f>IF($D123="","",IFERROR(INDEX(at_Stmt,MATCH(F123,at_Type,0)),""))</f>
        <v/>
      </c>
      <c r="J123" s="58">
        <f>IF($D123="",0,IFERROR(INDEX(at_Sign,MATCH(F123,at_Type,0)),0))</f>
        <v/>
      </c>
      <c r="K123" s="95">
        <f>IF($D123="",0,IF(G123="Credit",-1,1)*N(INDEX(coa_Open,117)))</f>
        <v/>
      </c>
      <c r="L123" s="95">
        <f>IF($D123="",0,IF($D123=acctOBE,K123-SUM($K$7:$K$156),K123))</f>
        <v/>
      </c>
      <c r="M123" s="95">
        <f>IF($D123="",0,SUMIFS(j_DrAmt,j_DrAcct,$D123,j_Per,0)-SUMIFS(j_CrAmt,j_CrAcct,$D123,j_Per,0)+IF($D123=acctTax,SUMIFS(j_TaxDr,j_Posted,1,j_Per,0)-SUMIFS(j_TaxCr,j_Posted,1,j_Per,0),0))</f>
        <v/>
      </c>
      <c r="N123" s="95">
        <f>IF($D123="",0,SUMIFS(j_DrAmt,j_DrAcct,$D123,j_Per,1)-SUMIFS(j_CrAmt,j_CrAcct,$D123,j_Per,1)+IF($D123=acctTax,SUMIFS(j_TaxDr,j_Posted,1,j_Per,1)-SUMIFS(j_TaxCr,j_Posted,1,j_Per,1),0))</f>
        <v/>
      </c>
      <c r="O123" s="95">
        <f>IF($D123="",0,SUMIFS(j_DrAmt,j_DrAcct,$D123,j_Per,2)-SUMIFS(j_CrAmt,j_CrAcct,$D123,j_Per,2)+IF($D123=acctTax,SUMIFS(j_TaxDr,j_Posted,1,j_Per,2)-SUMIFS(j_TaxCr,j_Posted,1,j_Per,2),0))</f>
        <v/>
      </c>
      <c r="P123" s="95">
        <f>IF($D123="",0,SUMIFS(j_DrAmt,j_DrAcct,$D123,j_Per,3)-SUMIFS(j_CrAmt,j_CrAcct,$D123,j_Per,3)+IF($D123=acctTax,SUMIFS(j_TaxDr,j_Posted,1,j_Per,3)-SUMIFS(j_TaxCr,j_Posted,1,j_Per,3),0))</f>
        <v/>
      </c>
      <c r="Q123" s="95">
        <f>IF($D123="",0,SUMIFS(j_DrAmt,j_DrAcct,$D123,j_Per,4)-SUMIFS(j_CrAmt,j_CrAcct,$D123,j_Per,4)+IF($D123=acctTax,SUMIFS(j_TaxDr,j_Posted,1,j_Per,4)-SUMIFS(j_TaxCr,j_Posted,1,j_Per,4),0))</f>
        <v/>
      </c>
      <c r="R123" s="95">
        <f>IF($D123="",0,SUMIFS(j_DrAmt,j_DrAcct,$D123,j_Per,5)-SUMIFS(j_CrAmt,j_CrAcct,$D123,j_Per,5)+IF($D123=acctTax,SUMIFS(j_TaxDr,j_Posted,1,j_Per,5)-SUMIFS(j_TaxCr,j_Posted,1,j_Per,5),0))</f>
        <v/>
      </c>
      <c r="S123" s="95">
        <f>IF($D123="",0,SUMIFS(j_DrAmt,j_DrAcct,$D123,j_Per,6)-SUMIFS(j_CrAmt,j_CrAcct,$D123,j_Per,6)+IF($D123=acctTax,SUMIFS(j_TaxDr,j_Posted,1,j_Per,6)-SUMIFS(j_TaxCr,j_Posted,1,j_Per,6),0))</f>
        <v/>
      </c>
      <c r="T123" s="95">
        <f>IF($D123="",0,SUMIFS(j_DrAmt,j_DrAcct,$D123,j_Per,7)-SUMIFS(j_CrAmt,j_CrAcct,$D123,j_Per,7)+IF($D123=acctTax,SUMIFS(j_TaxDr,j_Posted,1,j_Per,7)-SUMIFS(j_TaxCr,j_Posted,1,j_Per,7),0))</f>
        <v/>
      </c>
      <c r="U123" s="95">
        <f>IF($D123="",0,SUMIFS(j_DrAmt,j_DrAcct,$D123,j_Per,8)-SUMIFS(j_CrAmt,j_CrAcct,$D123,j_Per,8)+IF($D123=acctTax,SUMIFS(j_TaxDr,j_Posted,1,j_Per,8)-SUMIFS(j_TaxCr,j_Posted,1,j_Per,8),0))</f>
        <v/>
      </c>
      <c r="V123" s="95">
        <f>IF($D123="",0,SUMIFS(j_DrAmt,j_DrAcct,$D123,j_Per,9)-SUMIFS(j_CrAmt,j_CrAcct,$D123,j_Per,9)+IF($D123=acctTax,SUMIFS(j_TaxDr,j_Posted,1,j_Per,9)-SUMIFS(j_TaxCr,j_Posted,1,j_Per,9),0))</f>
        <v/>
      </c>
      <c r="W123" s="95">
        <f>IF($D123="",0,SUMIFS(j_DrAmt,j_DrAcct,$D123,j_Per,10)-SUMIFS(j_CrAmt,j_CrAcct,$D123,j_Per,10)+IF($D123=acctTax,SUMIFS(j_TaxDr,j_Posted,1,j_Per,10)-SUMIFS(j_TaxCr,j_Posted,1,j_Per,10),0))</f>
        <v/>
      </c>
      <c r="X123" s="95">
        <f>IF($D123="",0,SUMIFS(j_DrAmt,j_DrAcct,$D123,j_Per,11)-SUMIFS(j_CrAmt,j_CrAcct,$D123,j_Per,11)+IF($D123=acctTax,SUMIFS(j_TaxDr,j_Posted,1,j_Per,11)-SUMIFS(j_TaxCr,j_Posted,1,j_Per,11),0))</f>
        <v/>
      </c>
      <c r="Y123" s="95">
        <f>IF($D123="",0,SUMIFS(j_DrAmt,j_DrAcct,$D123,j_Per,12)-SUMIFS(j_CrAmt,j_CrAcct,$D123,j_Per,12)+IF($D123=acctTax,SUMIFS(j_TaxDr,j_Posted,1,j_Per,12)-SUMIFS(j_TaxCr,j_Posted,1,j_Per,12),0))</f>
        <v/>
      </c>
      <c r="Z123" s="95">
        <f>SUMPRODUCT(($N$5:$Y$5&lt;=RptIdx)*N123:Y123)</f>
        <v/>
      </c>
      <c r="AA123" s="95">
        <f>IF(AND(RptIdx&gt;=1,RptIdx&lt;=12),INDEX(N123:Y123,RptIdx),0)</f>
        <v/>
      </c>
      <c r="AB123" s="95">
        <f>IF($D123="",0,IF(RptIdx&gt;1,INDEX(N123:Y123,RptIdx-1),SUMIFS(j_DrAmt,j_DrAcct,$D123,j_Date,"&gt;="&amp;PrevStart,j_Date,"&lt;="&amp;PrevEnd)-SUMIFS(j_CrAmt,j_CrAcct,$D123,j_Date,"&gt;="&amp;PrevStart,j_Date,"&lt;="&amp;PrevEnd)+IF($D123=acctTax,SUMIFS(j_TaxDr,j_Posted,1,j_Date,"&gt;="&amp;PrevStart,j_Date,"&lt;="&amp;PrevEnd)-SUMIFS(j_TaxCr,j_Posted,1,j_Date,"&gt;="&amp;PrevStart,j_Date,"&lt;="&amp;PrevEnd),0)))</f>
        <v/>
      </c>
      <c r="AC123" s="95">
        <f>SUM(N123:Y123)</f>
        <v/>
      </c>
      <c r="AD123" s="95">
        <f>L123+M123+Z123</f>
        <v/>
      </c>
      <c r="AE123" s="95">
        <f>AD123-AA123</f>
        <v/>
      </c>
      <c r="AF123" s="58">
        <f>IF($D123="","",F123&amp;"|"&amp;COUNTIFS($F$7:F123,F123,$D$7:D123,"&lt;&gt;"))</f>
        <v/>
      </c>
      <c r="AG123" s="58">
        <f>IF(AND($D123&lt;&gt;"",H123="Cash"),"Cash|"&amp;COUNTIFS($H$7:H123,"Cash",$D$7:D123,"&lt;&gt;"),"")</f>
        <v/>
      </c>
      <c r="AH123" s="95">
        <f>IF(AND($D123&lt;&gt;"",OR(F123="Cost of Sales",F123="Operating Expense",F123="Other Expense"),Z123&gt;0),Z123+117/1000000,"")</f>
        <v/>
      </c>
      <c r="AI123" s="95">
        <f>L123+M123+SUM(N123:N123)</f>
        <v/>
      </c>
      <c r="AJ123" s="95">
        <f>L123+M123+SUM(N123:O123)</f>
        <v/>
      </c>
      <c r="AK123" s="95">
        <f>L123+M123+SUM(N123:P123)</f>
        <v/>
      </c>
      <c r="AL123" s="95">
        <f>L123+M123+SUM(N123:Q123)</f>
        <v/>
      </c>
      <c r="AM123" s="95">
        <f>L123+M123+SUM(N123:R123)</f>
        <v/>
      </c>
      <c r="AN123" s="95">
        <f>L123+M123+SUM(N123:S123)</f>
        <v/>
      </c>
      <c r="AO123" s="95">
        <f>L123+M123+SUM(N123:T123)</f>
        <v/>
      </c>
      <c r="AP123" s="95">
        <f>L123+M123+SUM(N123:U123)</f>
        <v/>
      </c>
      <c r="AQ123" s="95">
        <f>L123+M123+SUM(N123:V123)</f>
        <v/>
      </c>
      <c r="AR123" s="95">
        <f>L123+M123+SUM(N123:W123)</f>
        <v/>
      </c>
      <c r="AS123" s="95">
        <f>L123+M123+SUM(N123:X123)</f>
        <v/>
      </c>
      <c r="AT123" s="95">
        <f>L123+M123+SUM(N123:Y123)</f>
        <v/>
      </c>
    </row>
    <row r="124">
      <c r="B124" s="58" t="n">
        <v>118</v>
      </c>
      <c r="C124" s="58">
        <f>IFERROR(INDEX(coa_Name,118)&amp;"","")</f>
        <v/>
      </c>
      <c r="D124" s="58">
        <f>IF(C124="","",IF(COUNTIF($C$7:C124,C124)&gt;1,"",C124))</f>
        <v/>
      </c>
      <c r="E124" s="58">
        <f>IF($D124="","",INDEX(coa_Code,118))</f>
        <v/>
      </c>
      <c r="F124" s="58">
        <f>IF($D124="","",INDEX(coa_Type,118)&amp;"")</f>
        <v/>
      </c>
      <c r="G124" s="58">
        <f>IF($D124="","",INDEX(coa_Normal,118)&amp;"")</f>
        <v/>
      </c>
      <c r="H124" s="58">
        <f>IF($D124="","",IF(INDEX(coa_CF,118)&amp;""="","Operating",INDEX(coa_CF,118)&amp;""))</f>
        <v/>
      </c>
      <c r="I124" s="58">
        <f>IF($D124="","",IFERROR(INDEX(at_Stmt,MATCH(F124,at_Type,0)),""))</f>
        <v/>
      </c>
      <c r="J124" s="58">
        <f>IF($D124="",0,IFERROR(INDEX(at_Sign,MATCH(F124,at_Type,0)),0))</f>
        <v/>
      </c>
      <c r="K124" s="95">
        <f>IF($D124="",0,IF(G124="Credit",-1,1)*N(INDEX(coa_Open,118)))</f>
        <v/>
      </c>
      <c r="L124" s="95">
        <f>IF($D124="",0,IF($D124=acctOBE,K124-SUM($K$7:$K$156),K124))</f>
        <v/>
      </c>
      <c r="M124" s="95">
        <f>IF($D124="",0,SUMIFS(j_DrAmt,j_DrAcct,$D124,j_Per,0)-SUMIFS(j_CrAmt,j_CrAcct,$D124,j_Per,0)+IF($D124=acctTax,SUMIFS(j_TaxDr,j_Posted,1,j_Per,0)-SUMIFS(j_TaxCr,j_Posted,1,j_Per,0),0))</f>
        <v/>
      </c>
      <c r="N124" s="95">
        <f>IF($D124="",0,SUMIFS(j_DrAmt,j_DrAcct,$D124,j_Per,1)-SUMIFS(j_CrAmt,j_CrAcct,$D124,j_Per,1)+IF($D124=acctTax,SUMIFS(j_TaxDr,j_Posted,1,j_Per,1)-SUMIFS(j_TaxCr,j_Posted,1,j_Per,1),0))</f>
        <v/>
      </c>
      <c r="O124" s="95">
        <f>IF($D124="",0,SUMIFS(j_DrAmt,j_DrAcct,$D124,j_Per,2)-SUMIFS(j_CrAmt,j_CrAcct,$D124,j_Per,2)+IF($D124=acctTax,SUMIFS(j_TaxDr,j_Posted,1,j_Per,2)-SUMIFS(j_TaxCr,j_Posted,1,j_Per,2),0))</f>
        <v/>
      </c>
      <c r="P124" s="95">
        <f>IF($D124="",0,SUMIFS(j_DrAmt,j_DrAcct,$D124,j_Per,3)-SUMIFS(j_CrAmt,j_CrAcct,$D124,j_Per,3)+IF($D124=acctTax,SUMIFS(j_TaxDr,j_Posted,1,j_Per,3)-SUMIFS(j_TaxCr,j_Posted,1,j_Per,3),0))</f>
        <v/>
      </c>
      <c r="Q124" s="95">
        <f>IF($D124="",0,SUMIFS(j_DrAmt,j_DrAcct,$D124,j_Per,4)-SUMIFS(j_CrAmt,j_CrAcct,$D124,j_Per,4)+IF($D124=acctTax,SUMIFS(j_TaxDr,j_Posted,1,j_Per,4)-SUMIFS(j_TaxCr,j_Posted,1,j_Per,4),0))</f>
        <v/>
      </c>
      <c r="R124" s="95">
        <f>IF($D124="",0,SUMIFS(j_DrAmt,j_DrAcct,$D124,j_Per,5)-SUMIFS(j_CrAmt,j_CrAcct,$D124,j_Per,5)+IF($D124=acctTax,SUMIFS(j_TaxDr,j_Posted,1,j_Per,5)-SUMIFS(j_TaxCr,j_Posted,1,j_Per,5),0))</f>
        <v/>
      </c>
      <c r="S124" s="95">
        <f>IF($D124="",0,SUMIFS(j_DrAmt,j_DrAcct,$D124,j_Per,6)-SUMIFS(j_CrAmt,j_CrAcct,$D124,j_Per,6)+IF($D124=acctTax,SUMIFS(j_TaxDr,j_Posted,1,j_Per,6)-SUMIFS(j_TaxCr,j_Posted,1,j_Per,6),0))</f>
        <v/>
      </c>
      <c r="T124" s="95">
        <f>IF($D124="",0,SUMIFS(j_DrAmt,j_DrAcct,$D124,j_Per,7)-SUMIFS(j_CrAmt,j_CrAcct,$D124,j_Per,7)+IF($D124=acctTax,SUMIFS(j_TaxDr,j_Posted,1,j_Per,7)-SUMIFS(j_TaxCr,j_Posted,1,j_Per,7),0))</f>
        <v/>
      </c>
      <c r="U124" s="95">
        <f>IF($D124="",0,SUMIFS(j_DrAmt,j_DrAcct,$D124,j_Per,8)-SUMIFS(j_CrAmt,j_CrAcct,$D124,j_Per,8)+IF($D124=acctTax,SUMIFS(j_TaxDr,j_Posted,1,j_Per,8)-SUMIFS(j_TaxCr,j_Posted,1,j_Per,8),0))</f>
        <v/>
      </c>
      <c r="V124" s="95">
        <f>IF($D124="",0,SUMIFS(j_DrAmt,j_DrAcct,$D124,j_Per,9)-SUMIFS(j_CrAmt,j_CrAcct,$D124,j_Per,9)+IF($D124=acctTax,SUMIFS(j_TaxDr,j_Posted,1,j_Per,9)-SUMIFS(j_TaxCr,j_Posted,1,j_Per,9),0))</f>
        <v/>
      </c>
      <c r="W124" s="95">
        <f>IF($D124="",0,SUMIFS(j_DrAmt,j_DrAcct,$D124,j_Per,10)-SUMIFS(j_CrAmt,j_CrAcct,$D124,j_Per,10)+IF($D124=acctTax,SUMIFS(j_TaxDr,j_Posted,1,j_Per,10)-SUMIFS(j_TaxCr,j_Posted,1,j_Per,10),0))</f>
        <v/>
      </c>
      <c r="X124" s="95">
        <f>IF($D124="",0,SUMIFS(j_DrAmt,j_DrAcct,$D124,j_Per,11)-SUMIFS(j_CrAmt,j_CrAcct,$D124,j_Per,11)+IF($D124=acctTax,SUMIFS(j_TaxDr,j_Posted,1,j_Per,11)-SUMIFS(j_TaxCr,j_Posted,1,j_Per,11),0))</f>
        <v/>
      </c>
      <c r="Y124" s="95">
        <f>IF($D124="",0,SUMIFS(j_DrAmt,j_DrAcct,$D124,j_Per,12)-SUMIFS(j_CrAmt,j_CrAcct,$D124,j_Per,12)+IF($D124=acctTax,SUMIFS(j_TaxDr,j_Posted,1,j_Per,12)-SUMIFS(j_TaxCr,j_Posted,1,j_Per,12),0))</f>
        <v/>
      </c>
      <c r="Z124" s="95">
        <f>SUMPRODUCT(($N$5:$Y$5&lt;=RptIdx)*N124:Y124)</f>
        <v/>
      </c>
      <c r="AA124" s="95">
        <f>IF(AND(RptIdx&gt;=1,RptIdx&lt;=12),INDEX(N124:Y124,RptIdx),0)</f>
        <v/>
      </c>
      <c r="AB124" s="95">
        <f>IF($D124="",0,IF(RptIdx&gt;1,INDEX(N124:Y124,RptIdx-1),SUMIFS(j_DrAmt,j_DrAcct,$D124,j_Date,"&gt;="&amp;PrevStart,j_Date,"&lt;="&amp;PrevEnd)-SUMIFS(j_CrAmt,j_CrAcct,$D124,j_Date,"&gt;="&amp;PrevStart,j_Date,"&lt;="&amp;PrevEnd)+IF($D124=acctTax,SUMIFS(j_TaxDr,j_Posted,1,j_Date,"&gt;="&amp;PrevStart,j_Date,"&lt;="&amp;PrevEnd)-SUMIFS(j_TaxCr,j_Posted,1,j_Date,"&gt;="&amp;PrevStart,j_Date,"&lt;="&amp;PrevEnd),0)))</f>
        <v/>
      </c>
      <c r="AC124" s="95">
        <f>SUM(N124:Y124)</f>
        <v/>
      </c>
      <c r="AD124" s="95">
        <f>L124+M124+Z124</f>
        <v/>
      </c>
      <c r="AE124" s="95">
        <f>AD124-AA124</f>
        <v/>
      </c>
      <c r="AF124" s="58">
        <f>IF($D124="","",F124&amp;"|"&amp;COUNTIFS($F$7:F124,F124,$D$7:D124,"&lt;&gt;"))</f>
        <v/>
      </c>
      <c r="AG124" s="58">
        <f>IF(AND($D124&lt;&gt;"",H124="Cash"),"Cash|"&amp;COUNTIFS($H$7:H124,"Cash",$D$7:D124,"&lt;&gt;"),"")</f>
        <v/>
      </c>
      <c r="AH124" s="95">
        <f>IF(AND($D124&lt;&gt;"",OR(F124="Cost of Sales",F124="Operating Expense",F124="Other Expense"),Z124&gt;0),Z124+118/1000000,"")</f>
        <v/>
      </c>
      <c r="AI124" s="95">
        <f>L124+M124+SUM(N124:N124)</f>
        <v/>
      </c>
      <c r="AJ124" s="95">
        <f>L124+M124+SUM(N124:O124)</f>
        <v/>
      </c>
      <c r="AK124" s="95">
        <f>L124+M124+SUM(N124:P124)</f>
        <v/>
      </c>
      <c r="AL124" s="95">
        <f>L124+M124+SUM(N124:Q124)</f>
        <v/>
      </c>
      <c r="AM124" s="95">
        <f>L124+M124+SUM(N124:R124)</f>
        <v/>
      </c>
      <c r="AN124" s="95">
        <f>L124+M124+SUM(N124:S124)</f>
        <v/>
      </c>
      <c r="AO124" s="95">
        <f>L124+M124+SUM(N124:T124)</f>
        <v/>
      </c>
      <c r="AP124" s="95">
        <f>L124+M124+SUM(N124:U124)</f>
        <v/>
      </c>
      <c r="AQ124" s="95">
        <f>L124+M124+SUM(N124:V124)</f>
        <v/>
      </c>
      <c r="AR124" s="95">
        <f>L124+M124+SUM(N124:W124)</f>
        <v/>
      </c>
      <c r="AS124" s="95">
        <f>L124+M124+SUM(N124:X124)</f>
        <v/>
      </c>
      <c r="AT124" s="95">
        <f>L124+M124+SUM(N124:Y124)</f>
        <v/>
      </c>
    </row>
    <row r="125">
      <c r="B125" s="58" t="n">
        <v>119</v>
      </c>
      <c r="C125" s="58">
        <f>IFERROR(INDEX(coa_Name,119)&amp;"","")</f>
        <v/>
      </c>
      <c r="D125" s="58">
        <f>IF(C125="","",IF(COUNTIF($C$7:C125,C125)&gt;1,"",C125))</f>
        <v/>
      </c>
      <c r="E125" s="58">
        <f>IF($D125="","",INDEX(coa_Code,119))</f>
        <v/>
      </c>
      <c r="F125" s="58">
        <f>IF($D125="","",INDEX(coa_Type,119)&amp;"")</f>
        <v/>
      </c>
      <c r="G125" s="58">
        <f>IF($D125="","",INDEX(coa_Normal,119)&amp;"")</f>
        <v/>
      </c>
      <c r="H125" s="58">
        <f>IF($D125="","",IF(INDEX(coa_CF,119)&amp;""="","Operating",INDEX(coa_CF,119)&amp;""))</f>
        <v/>
      </c>
      <c r="I125" s="58">
        <f>IF($D125="","",IFERROR(INDEX(at_Stmt,MATCH(F125,at_Type,0)),""))</f>
        <v/>
      </c>
      <c r="J125" s="58">
        <f>IF($D125="",0,IFERROR(INDEX(at_Sign,MATCH(F125,at_Type,0)),0))</f>
        <v/>
      </c>
      <c r="K125" s="95">
        <f>IF($D125="",0,IF(G125="Credit",-1,1)*N(INDEX(coa_Open,119)))</f>
        <v/>
      </c>
      <c r="L125" s="95">
        <f>IF($D125="",0,IF($D125=acctOBE,K125-SUM($K$7:$K$156),K125))</f>
        <v/>
      </c>
      <c r="M125" s="95">
        <f>IF($D125="",0,SUMIFS(j_DrAmt,j_DrAcct,$D125,j_Per,0)-SUMIFS(j_CrAmt,j_CrAcct,$D125,j_Per,0)+IF($D125=acctTax,SUMIFS(j_TaxDr,j_Posted,1,j_Per,0)-SUMIFS(j_TaxCr,j_Posted,1,j_Per,0),0))</f>
        <v/>
      </c>
      <c r="N125" s="95">
        <f>IF($D125="",0,SUMIFS(j_DrAmt,j_DrAcct,$D125,j_Per,1)-SUMIFS(j_CrAmt,j_CrAcct,$D125,j_Per,1)+IF($D125=acctTax,SUMIFS(j_TaxDr,j_Posted,1,j_Per,1)-SUMIFS(j_TaxCr,j_Posted,1,j_Per,1),0))</f>
        <v/>
      </c>
      <c r="O125" s="95">
        <f>IF($D125="",0,SUMIFS(j_DrAmt,j_DrAcct,$D125,j_Per,2)-SUMIFS(j_CrAmt,j_CrAcct,$D125,j_Per,2)+IF($D125=acctTax,SUMIFS(j_TaxDr,j_Posted,1,j_Per,2)-SUMIFS(j_TaxCr,j_Posted,1,j_Per,2),0))</f>
        <v/>
      </c>
      <c r="P125" s="95">
        <f>IF($D125="",0,SUMIFS(j_DrAmt,j_DrAcct,$D125,j_Per,3)-SUMIFS(j_CrAmt,j_CrAcct,$D125,j_Per,3)+IF($D125=acctTax,SUMIFS(j_TaxDr,j_Posted,1,j_Per,3)-SUMIFS(j_TaxCr,j_Posted,1,j_Per,3),0))</f>
        <v/>
      </c>
      <c r="Q125" s="95">
        <f>IF($D125="",0,SUMIFS(j_DrAmt,j_DrAcct,$D125,j_Per,4)-SUMIFS(j_CrAmt,j_CrAcct,$D125,j_Per,4)+IF($D125=acctTax,SUMIFS(j_TaxDr,j_Posted,1,j_Per,4)-SUMIFS(j_TaxCr,j_Posted,1,j_Per,4),0))</f>
        <v/>
      </c>
      <c r="R125" s="95">
        <f>IF($D125="",0,SUMIFS(j_DrAmt,j_DrAcct,$D125,j_Per,5)-SUMIFS(j_CrAmt,j_CrAcct,$D125,j_Per,5)+IF($D125=acctTax,SUMIFS(j_TaxDr,j_Posted,1,j_Per,5)-SUMIFS(j_TaxCr,j_Posted,1,j_Per,5),0))</f>
        <v/>
      </c>
      <c r="S125" s="95">
        <f>IF($D125="",0,SUMIFS(j_DrAmt,j_DrAcct,$D125,j_Per,6)-SUMIFS(j_CrAmt,j_CrAcct,$D125,j_Per,6)+IF($D125=acctTax,SUMIFS(j_TaxDr,j_Posted,1,j_Per,6)-SUMIFS(j_TaxCr,j_Posted,1,j_Per,6),0))</f>
        <v/>
      </c>
      <c r="T125" s="95">
        <f>IF($D125="",0,SUMIFS(j_DrAmt,j_DrAcct,$D125,j_Per,7)-SUMIFS(j_CrAmt,j_CrAcct,$D125,j_Per,7)+IF($D125=acctTax,SUMIFS(j_TaxDr,j_Posted,1,j_Per,7)-SUMIFS(j_TaxCr,j_Posted,1,j_Per,7),0))</f>
        <v/>
      </c>
      <c r="U125" s="95">
        <f>IF($D125="",0,SUMIFS(j_DrAmt,j_DrAcct,$D125,j_Per,8)-SUMIFS(j_CrAmt,j_CrAcct,$D125,j_Per,8)+IF($D125=acctTax,SUMIFS(j_TaxDr,j_Posted,1,j_Per,8)-SUMIFS(j_TaxCr,j_Posted,1,j_Per,8),0))</f>
        <v/>
      </c>
      <c r="V125" s="95">
        <f>IF($D125="",0,SUMIFS(j_DrAmt,j_DrAcct,$D125,j_Per,9)-SUMIFS(j_CrAmt,j_CrAcct,$D125,j_Per,9)+IF($D125=acctTax,SUMIFS(j_TaxDr,j_Posted,1,j_Per,9)-SUMIFS(j_TaxCr,j_Posted,1,j_Per,9),0))</f>
        <v/>
      </c>
      <c r="W125" s="95">
        <f>IF($D125="",0,SUMIFS(j_DrAmt,j_DrAcct,$D125,j_Per,10)-SUMIFS(j_CrAmt,j_CrAcct,$D125,j_Per,10)+IF($D125=acctTax,SUMIFS(j_TaxDr,j_Posted,1,j_Per,10)-SUMIFS(j_TaxCr,j_Posted,1,j_Per,10),0))</f>
        <v/>
      </c>
      <c r="X125" s="95">
        <f>IF($D125="",0,SUMIFS(j_DrAmt,j_DrAcct,$D125,j_Per,11)-SUMIFS(j_CrAmt,j_CrAcct,$D125,j_Per,11)+IF($D125=acctTax,SUMIFS(j_TaxDr,j_Posted,1,j_Per,11)-SUMIFS(j_TaxCr,j_Posted,1,j_Per,11),0))</f>
        <v/>
      </c>
      <c r="Y125" s="95">
        <f>IF($D125="",0,SUMIFS(j_DrAmt,j_DrAcct,$D125,j_Per,12)-SUMIFS(j_CrAmt,j_CrAcct,$D125,j_Per,12)+IF($D125=acctTax,SUMIFS(j_TaxDr,j_Posted,1,j_Per,12)-SUMIFS(j_TaxCr,j_Posted,1,j_Per,12),0))</f>
        <v/>
      </c>
      <c r="Z125" s="95">
        <f>SUMPRODUCT(($N$5:$Y$5&lt;=RptIdx)*N125:Y125)</f>
        <v/>
      </c>
      <c r="AA125" s="95">
        <f>IF(AND(RptIdx&gt;=1,RptIdx&lt;=12),INDEX(N125:Y125,RptIdx),0)</f>
        <v/>
      </c>
      <c r="AB125" s="95">
        <f>IF($D125="",0,IF(RptIdx&gt;1,INDEX(N125:Y125,RptIdx-1),SUMIFS(j_DrAmt,j_DrAcct,$D125,j_Date,"&gt;="&amp;PrevStart,j_Date,"&lt;="&amp;PrevEnd)-SUMIFS(j_CrAmt,j_CrAcct,$D125,j_Date,"&gt;="&amp;PrevStart,j_Date,"&lt;="&amp;PrevEnd)+IF($D125=acctTax,SUMIFS(j_TaxDr,j_Posted,1,j_Date,"&gt;="&amp;PrevStart,j_Date,"&lt;="&amp;PrevEnd)-SUMIFS(j_TaxCr,j_Posted,1,j_Date,"&gt;="&amp;PrevStart,j_Date,"&lt;="&amp;PrevEnd),0)))</f>
        <v/>
      </c>
      <c r="AC125" s="95">
        <f>SUM(N125:Y125)</f>
        <v/>
      </c>
      <c r="AD125" s="95">
        <f>L125+M125+Z125</f>
        <v/>
      </c>
      <c r="AE125" s="95">
        <f>AD125-AA125</f>
        <v/>
      </c>
      <c r="AF125" s="58">
        <f>IF($D125="","",F125&amp;"|"&amp;COUNTIFS($F$7:F125,F125,$D$7:D125,"&lt;&gt;"))</f>
        <v/>
      </c>
      <c r="AG125" s="58">
        <f>IF(AND($D125&lt;&gt;"",H125="Cash"),"Cash|"&amp;COUNTIFS($H$7:H125,"Cash",$D$7:D125,"&lt;&gt;"),"")</f>
        <v/>
      </c>
      <c r="AH125" s="95">
        <f>IF(AND($D125&lt;&gt;"",OR(F125="Cost of Sales",F125="Operating Expense",F125="Other Expense"),Z125&gt;0),Z125+119/1000000,"")</f>
        <v/>
      </c>
      <c r="AI125" s="95">
        <f>L125+M125+SUM(N125:N125)</f>
        <v/>
      </c>
      <c r="AJ125" s="95">
        <f>L125+M125+SUM(N125:O125)</f>
        <v/>
      </c>
      <c r="AK125" s="95">
        <f>L125+M125+SUM(N125:P125)</f>
        <v/>
      </c>
      <c r="AL125" s="95">
        <f>L125+M125+SUM(N125:Q125)</f>
        <v/>
      </c>
      <c r="AM125" s="95">
        <f>L125+M125+SUM(N125:R125)</f>
        <v/>
      </c>
      <c r="AN125" s="95">
        <f>L125+M125+SUM(N125:S125)</f>
        <v/>
      </c>
      <c r="AO125" s="95">
        <f>L125+M125+SUM(N125:T125)</f>
        <v/>
      </c>
      <c r="AP125" s="95">
        <f>L125+M125+SUM(N125:U125)</f>
        <v/>
      </c>
      <c r="AQ125" s="95">
        <f>L125+M125+SUM(N125:V125)</f>
        <v/>
      </c>
      <c r="AR125" s="95">
        <f>L125+M125+SUM(N125:W125)</f>
        <v/>
      </c>
      <c r="AS125" s="95">
        <f>L125+M125+SUM(N125:X125)</f>
        <v/>
      </c>
      <c r="AT125" s="95">
        <f>L125+M125+SUM(N125:Y125)</f>
        <v/>
      </c>
    </row>
    <row r="126">
      <c r="B126" s="58" t="n">
        <v>120</v>
      </c>
      <c r="C126" s="58">
        <f>IFERROR(INDEX(coa_Name,120)&amp;"","")</f>
        <v/>
      </c>
      <c r="D126" s="58">
        <f>IF(C126="","",IF(COUNTIF($C$7:C126,C126)&gt;1,"",C126))</f>
        <v/>
      </c>
      <c r="E126" s="58">
        <f>IF($D126="","",INDEX(coa_Code,120))</f>
        <v/>
      </c>
      <c r="F126" s="58">
        <f>IF($D126="","",INDEX(coa_Type,120)&amp;"")</f>
        <v/>
      </c>
      <c r="G126" s="58">
        <f>IF($D126="","",INDEX(coa_Normal,120)&amp;"")</f>
        <v/>
      </c>
      <c r="H126" s="58">
        <f>IF($D126="","",IF(INDEX(coa_CF,120)&amp;""="","Operating",INDEX(coa_CF,120)&amp;""))</f>
        <v/>
      </c>
      <c r="I126" s="58">
        <f>IF($D126="","",IFERROR(INDEX(at_Stmt,MATCH(F126,at_Type,0)),""))</f>
        <v/>
      </c>
      <c r="J126" s="58">
        <f>IF($D126="",0,IFERROR(INDEX(at_Sign,MATCH(F126,at_Type,0)),0))</f>
        <v/>
      </c>
      <c r="K126" s="95">
        <f>IF($D126="",0,IF(G126="Credit",-1,1)*N(INDEX(coa_Open,120)))</f>
        <v/>
      </c>
      <c r="L126" s="95">
        <f>IF($D126="",0,IF($D126=acctOBE,K126-SUM($K$7:$K$156),K126))</f>
        <v/>
      </c>
      <c r="M126" s="95">
        <f>IF($D126="",0,SUMIFS(j_DrAmt,j_DrAcct,$D126,j_Per,0)-SUMIFS(j_CrAmt,j_CrAcct,$D126,j_Per,0)+IF($D126=acctTax,SUMIFS(j_TaxDr,j_Posted,1,j_Per,0)-SUMIFS(j_TaxCr,j_Posted,1,j_Per,0),0))</f>
        <v/>
      </c>
      <c r="N126" s="95">
        <f>IF($D126="",0,SUMIFS(j_DrAmt,j_DrAcct,$D126,j_Per,1)-SUMIFS(j_CrAmt,j_CrAcct,$D126,j_Per,1)+IF($D126=acctTax,SUMIFS(j_TaxDr,j_Posted,1,j_Per,1)-SUMIFS(j_TaxCr,j_Posted,1,j_Per,1),0))</f>
        <v/>
      </c>
      <c r="O126" s="95">
        <f>IF($D126="",0,SUMIFS(j_DrAmt,j_DrAcct,$D126,j_Per,2)-SUMIFS(j_CrAmt,j_CrAcct,$D126,j_Per,2)+IF($D126=acctTax,SUMIFS(j_TaxDr,j_Posted,1,j_Per,2)-SUMIFS(j_TaxCr,j_Posted,1,j_Per,2),0))</f>
        <v/>
      </c>
      <c r="P126" s="95">
        <f>IF($D126="",0,SUMIFS(j_DrAmt,j_DrAcct,$D126,j_Per,3)-SUMIFS(j_CrAmt,j_CrAcct,$D126,j_Per,3)+IF($D126=acctTax,SUMIFS(j_TaxDr,j_Posted,1,j_Per,3)-SUMIFS(j_TaxCr,j_Posted,1,j_Per,3),0))</f>
        <v/>
      </c>
      <c r="Q126" s="95">
        <f>IF($D126="",0,SUMIFS(j_DrAmt,j_DrAcct,$D126,j_Per,4)-SUMIFS(j_CrAmt,j_CrAcct,$D126,j_Per,4)+IF($D126=acctTax,SUMIFS(j_TaxDr,j_Posted,1,j_Per,4)-SUMIFS(j_TaxCr,j_Posted,1,j_Per,4),0))</f>
        <v/>
      </c>
      <c r="R126" s="95">
        <f>IF($D126="",0,SUMIFS(j_DrAmt,j_DrAcct,$D126,j_Per,5)-SUMIFS(j_CrAmt,j_CrAcct,$D126,j_Per,5)+IF($D126=acctTax,SUMIFS(j_TaxDr,j_Posted,1,j_Per,5)-SUMIFS(j_TaxCr,j_Posted,1,j_Per,5),0))</f>
        <v/>
      </c>
      <c r="S126" s="95">
        <f>IF($D126="",0,SUMIFS(j_DrAmt,j_DrAcct,$D126,j_Per,6)-SUMIFS(j_CrAmt,j_CrAcct,$D126,j_Per,6)+IF($D126=acctTax,SUMIFS(j_TaxDr,j_Posted,1,j_Per,6)-SUMIFS(j_TaxCr,j_Posted,1,j_Per,6),0))</f>
        <v/>
      </c>
      <c r="T126" s="95">
        <f>IF($D126="",0,SUMIFS(j_DrAmt,j_DrAcct,$D126,j_Per,7)-SUMIFS(j_CrAmt,j_CrAcct,$D126,j_Per,7)+IF($D126=acctTax,SUMIFS(j_TaxDr,j_Posted,1,j_Per,7)-SUMIFS(j_TaxCr,j_Posted,1,j_Per,7),0))</f>
        <v/>
      </c>
      <c r="U126" s="95">
        <f>IF($D126="",0,SUMIFS(j_DrAmt,j_DrAcct,$D126,j_Per,8)-SUMIFS(j_CrAmt,j_CrAcct,$D126,j_Per,8)+IF($D126=acctTax,SUMIFS(j_TaxDr,j_Posted,1,j_Per,8)-SUMIFS(j_TaxCr,j_Posted,1,j_Per,8),0))</f>
        <v/>
      </c>
      <c r="V126" s="95">
        <f>IF($D126="",0,SUMIFS(j_DrAmt,j_DrAcct,$D126,j_Per,9)-SUMIFS(j_CrAmt,j_CrAcct,$D126,j_Per,9)+IF($D126=acctTax,SUMIFS(j_TaxDr,j_Posted,1,j_Per,9)-SUMIFS(j_TaxCr,j_Posted,1,j_Per,9),0))</f>
        <v/>
      </c>
      <c r="W126" s="95">
        <f>IF($D126="",0,SUMIFS(j_DrAmt,j_DrAcct,$D126,j_Per,10)-SUMIFS(j_CrAmt,j_CrAcct,$D126,j_Per,10)+IF($D126=acctTax,SUMIFS(j_TaxDr,j_Posted,1,j_Per,10)-SUMIFS(j_TaxCr,j_Posted,1,j_Per,10),0))</f>
        <v/>
      </c>
      <c r="X126" s="95">
        <f>IF($D126="",0,SUMIFS(j_DrAmt,j_DrAcct,$D126,j_Per,11)-SUMIFS(j_CrAmt,j_CrAcct,$D126,j_Per,11)+IF($D126=acctTax,SUMIFS(j_TaxDr,j_Posted,1,j_Per,11)-SUMIFS(j_TaxCr,j_Posted,1,j_Per,11),0))</f>
        <v/>
      </c>
      <c r="Y126" s="95">
        <f>IF($D126="",0,SUMIFS(j_DrAmt,j_DrAcct,$D126,j_Per,12)-SUMIFS(j_CrAmt,j_CrAcct,$D126,j_Per,12)+IF($D126=acctTax,SUMIFS(j_TaxDr,j_Posted,1,j_Per,12)-SUMIFS(j_TaxCr,j_Posted,1,j_Per,12),0))</f>
        <v/>
      </c>
      <c r="Z126" s="95">
        <f>SUMPRODUCT(($N$5:$Y$5&lt;=RptIdx)*N126:Y126)</f>
        <v/>
      </c>
      <c r="AA126" s="95">
        <f>IF(AND(RptIdx&gt;=1,RptIdx&lt;=12),INDEX(N126:Y126,RptIdx),0)</f>
        <v/>
      </c>
      <c r="AB126" s="95">
        <f>IF($D126="",0,IF(RptIdx&gt;1,INDEX(N126:Y126,RptIdx-1),SUMIFS(j_DrAmt,j_DrAcct,$D126,j_Date,"&gt;="&amp;PrevStart,j_Date,"&lt;="&amp;PrevEnd)-SUMIFS(j_CrAmt,j_CrAcct,$D126,j_Date,"&gt;="&amp;PrevStart,j_Date,"&lt;="&amp;PrevEnd)+IF($D126=acctTax,SUMIFS(j_TaxDr,j_Posted,1,j_Date,"&gt;="&amp;PrevStart,j_Date,"&lt;="&amp;PrevEnd)-SUMIFS(j_TaxCr,j_Posted,1,j_Date,"&gt;="&amp;PrevStart,j_Date,"&lt;="&amp;PrevEnd),0)))</f>
        <v/>
      </c>
      <c r="AC126" s="95">
        <f>SUM(N126:Y126)</f>
        <v/>
      </c>
      <c r="AD126" s="95">
        <f>L126+M126+Z126</f>
        <v/>
      </c>
      <c r="AE126" s="95">
        <f>AD126-AA126</f>
        <v/>
      </c>
      <c r="AF126" s="58">
        <f>IF($D126="","",F126&amp;"|"&amp;COUNTIFS($F$7:F126,F126,$D$7:D126,"&lt;&gt;"))</f>
        <v/>
      </c>
      <c r="AG126" s="58">
        <f>IF(AND($D126&lt;&gt;"",H126="Cash"),"Cash|"&amp;COUNTIFS($H$7:H126,"Cash",$D$7:D126,"&lt;&gt;"),"")</f>
        <v/>
      </c>
      <c r="AH126" s="95">
        <f>IF(AND($D126&lt;&gt;"",OR(F126="Cost of Sales",F126="Operating Expense",F126="Other Expense"),Z126&gt;0),Z126+120/1000000,"")</f>
        <v/>
      </c>
      <c r="AI126" s="95">
        <f>L126+M126+SUM(N126:N126)</f>
        <v/>
      </c>
      <c r="AJ126" s="95">
        <f>L126+M126+SUM(N126:O126)</f>
        <v/>
      </c>
      <c r="AK126" s="95">
        <f>L126+M126+SUM(N126:P126)</f>
        <v/>
      </c>
      <c r="AL126" s="95">
        <f>L126+M126+SUM(N126:Q126)</f>
        <v/>
      </c>
      <c r="AM126" s="95">
        <f>L126+M126+SUM(N126:R126)</f>
        <v/>
      </c>
      <c r="AN126" s="95">
        <f>L126+M126+SUM(N126:S126)</f>
        <v/>
      </c>
      <c r="AO126" s="95">
        <f>L126+M126+SUM(N126:T126)</f>
        <v/>
      </c>
      <c r="AP126" s="95">
        <f>L126+M126+SUM(N126:U126)</f>
        <v/>
      </c>
      <c r="AQ126" s="95">
        <f>L126+M126+SUM(N126:V126)</f>
        <v/>
      </c>
      <c r="AR126" s="95">
        <f>L126+M126+SUM(N126:W126)</f>
        <v/>
      </c>
      <c r="AS126" s="95">
        <f>L126+M126+SUM(N126:X126)</f>
        <v/>
      </c>
      <c r="AT126" s="95">
        <f>L126+M126+SUM(N126:Y126)</f>
        <v/>
      </c>
    </row>
    <row r="127">
      <c r="B127" s="58" t="n">
        <v>121</v>
      </c>
      <c r="C127" s="58">
        <f>IFERROR(INDEX(coa_Name,121)&amp;"","")</f>
        <v/>
      </c>
      <c r="D127" s="58">
        <f>IF(C127="","",IF(COUNTIF($C$7:C127,C127)&gt;1,"",C127))</f>
        <v/>
      </c>
      <c r="E127" s="58">
        <f>IF($D127="","",INDEX(coa_Code,121))</f>
        <v/>
      </c>
      <c r="F127" s="58">
        <f>IF($D127="","",INDEX(coa_Type,121)&amp;"")</f>
        <v/>
      </c>
      <c r="G127" s="58">
        <f>IF($D127="","",INDEX(coa_Normal,121)&amp;"")</f>
        <v/>
      </c>
      <c r="H127" s="58">
        <f>IF($D127="","",IF(INDEX(coa_CF,121)&amp;""="","Operating",INDEX(coa_CF,121)&amp;""))</f>
        <v/>
      </c>
      <c r="I127" s="58">
        <f>IF($D127="","",IFERROR(INDEX(at_Stmt,MATCH(F127,at_Type,0)),""))</f>
        <v/>
      </c>
      <c r="J127" s="58">
        <f>IF($D127="",0,IFERROR(INDEX(at_Sign,MATCH(F127,at_Type,0)),0))</f>
        <v/>
      </c>
      <c r="K127" s="95">
        <f>IF($D127="",0,IF(G127="Credit",-1,1)*N(INDEX(coa_Open,121)))</f>
        <v/>
      </c>
      <c r="L127" s="95">
        <f>IF($D127="",0,IF($D127=acctOBE,K127-SUM($K$7:$K$156),K127))</f>
        <v/>
      </c>
      <c r="M127" s="95">
        <f>IF($D127="",0,SUMIFS(j_DrAmt,j_DrAcct,$D127,j_Per,0)-SUMIFS(j_CrAmt,j_CrAcct,$D127,j_Per,0)+IF($D127=acctTax,SUMIFS(j_TaxDr,j_Posted,1,j_Per,0)-SUMIFS(j_TaxCr,j_Posted,1,j_Per,0),0))</f>
        <v/>
      </c>
      <c r="N127" s="95">
        <f>IF($D127="",0,SUMIFS(j_DrAmt,j_DrAcct,$D127,j_Per,1)-SUMIFS(j_CrAmt,j_CrAcct,$D127,j_Per,1)+IF($D127=acctTax,SUMIFS(j_TaxDr,j_Posted,1,j_Per,1)-SUMIFS(j_TaxCr,j_Posted,1,j_Per,1),0))</f>
        <v/>
      </c>
      <c r="O127" s="95">
        <f>IF($D127="",0,SUMIFS(j_DrAmt,j_DrAcct,$D127,j_Per,2)-SUMIFS(j_CrAmt,j_CrAcct,$D127,j_Per,2)+IF($D127=acctTax,SUMIFS(j_TaxDr,j_Posted,1,j_Per,2)-SUMIFS(j_TaxCr,j_Posted,1,j_Per,2),0))</f>
        <v/>
      </c>
      <c r="P127" s="95">
        <f>IF($D127="",0,SUMIFS(j_DrAmt,j_DrAcct,$D127,j_Per,3)-SUMIFS(j_CrAmt,j_CrAcct,$D127,j_Per,3)+IF($D127=acctTax,SUMIFS(j_TaxDr,j_Posted,1,j_Per,3)-SUMIFS(j_TaxCr,j_Posted,1,j_Per,3),0))</f>
        <v/>
      </c>
      <c r="Q127" s="95">
        <f>IF($D127="",0,SUMIFS(j_DrAmt,j_DrAcct,$D127,j_Per,4)-SUMIFS(j_CrAmt,j_CrAcct,$D127,j_Per,4)+IF($D127=acctTax,SUMIFS(j_TaxDr,j_Posted,1,j_Per,4)-SUMIFS(j_TaxCr,j_Posted,1,j_Per,4),0))</f>
        <v/>
      </c>
      <c r="R127" s="95">
        <f>IF($D127="",0,SUMIFS(j_DrAmt,j_DrAcct,$D127,j_Per,5)-SUMIFS(j_CrAmt,j_CrAcct,$D127,j_Per,5)+IF($D127=acctTax,SUMIFS(j_TaxDr,j_Posted,1,j_Per,5)-SUMIFS(j_TaxCr,j_Posted,1,j_Per,5),0))</f>
        <v/>
      </c>
      <c r="S127" s="95">
        <f>IF($D127="",0,SUMIFS(j_DrAmt,j_DrAcct,$D127,j_Per,6)-SUMIFS(j_CrAmt,j_CrAcct,$D127,j_Per,6)+IF($D127=acctTax,SUMIFS(j_TaxDr,j_Posted,1,j_Per,6)-SUMIFS(j_TaxCr,j_Posted,1,j_Per,6),0))</f>
        <v/>
      </c>
      <c r="T127" s="95">
        <f>IF($D127="",0,SUMIFS(j_DrAmt,j_DrAcct,$D127,j_Per,7)-SUMIFS(j_CrAmt,j_CrAcct,$D127,j_Per,7)+IF($D127=acctTax,SUMIFS(j_TaxDr,j_Posted,1,j_Per,7)-SUMIFS(j_TaxCr,j_Posted,1,j_Per,7),0))</f>
        <v/>
      </c>
      <c r="U127" s="95">
        <f>IF($D127="",0,SUMIFS(j_DrAmt,j_DrAcct,$D127,j_Per,8)-SUMIFS(j_CrAmt,j_CrAcct,$D127,j_Per,8)+IF($D127=acctTax,SUMIFS(j_TaxDr,j_Posted,1,j_Per,8)-SUMIFS(j_TaxCr,j_Posted,1,j_Per,8),0))</f>
        <v/>
      </c>
      <c r="V127" s="95">
        <f>IF($D127="",0,SUMIFS(j_DrAmt,j_DrAcct,$D127,j_Per,9)-SUMIFS(j_CrAmt,j_CrAcct,$D127,j_Per,9)+IF($D127=acctTax,SUMIFS(j_TaxDr,j_Posted,1,j_Per,9)-SUMIFS(j_TaxCr,j_Posted,1,j_Per,9),0))</f>
        <v/>
      </c>
      <c r="W127" s="95">
        <f>IF($D127="",0,SUMIFS(j_DrAmt,j_DrAcct,$D127,j_Per,10)-SUMIFS(j_CrAmt,j_CrAcct,$D127,j_Per,10)+IF($D127=acctTax,SUMIFS(j_TaxDr,j_Posted,1,j_Per,10)-SUMIFS(j_TaxCr,j_Posted,1,j_Per,10),0))</f>
        <v/>
      </c>
      <c r="X127" s="95">
        <f>IF($D127="",0,SUMIFS(j_DrAmt,j_DrAcct,$D127,j_Per,11)-SUMIFS(j_CrAmt,j_CrAcct,$D127,j_Per,11)+IF($D127=acctTax,SUMIFS(j_TaxDr,j_Posted,1,j_Per,11)-SUMIFS(j_TaxCr,j_Posted,1,j_Per,11),0))</f>
        <v/>
      </c>
      <c r="Y127" s="95">
        <f>IF($D127="",0,SUMIFS(j_DrAmt,j_DrAcct,$D127,j_Per,12)-SUMIFS(j_CrAmt,j_CrAcct,$D127,j_Per,12)+IF($D127=acctTax,SUMIFS(j_TaxDr,j_Posted,1,j_Per,12)-SUMIFS(j_TaxCr,j_Posted,1,j_Per,12),0))</f>
        <v/>
      </c>
      <c r="Z127" s="95">
        <f>SUMPRODUCT(($N$5:$Y$5&lt;=RptIdx)*N127:Y127)</f>
        <v/>
      </c>
      <c r="AA127" s="95">
        <f>IF(AND(RptIdx&gt;=1,RptIdx&lt;=12),INDEX(N127:Y127,RptIdx),0)</f>
        <v/>
      </c>
      <c r="AB127" s="95">
        <f>IF($D127="",0,IF(RptIdx&gt;1,INDEX(N127:Y127,RptIdx-1),SUMIFS(j_DrAmt,j_DrAcct,$D127,j_Date,"&gt;="&amp;PrevStart,j_Date,"&lt;="&amp;PrevEnd)-SUMIFS(j_CrAmt,j_CrAcct,$D127,j_Date,"&gt;="&amp;PrevStart,j_Date,"&lt;="&amp;PrevEnd)+IF($D127=acctTax,SUMIFS(j_TaxDr,j_Posted,1,j_Date,"&gt;="&amp;PrevStart,j_Date,"&lt;="&amp;PrevEnd)-SUMIFS(j_TaxCr,j_Posted,1,j_Date,"&gt;="&amp;PrevStart,j_Date,"&lt;="&amp;PrevEnd),0)))</f>
        <v/>
      </c>
      <c r="AC127" s="95">
        <f>SUM(N127:Y127)</f>
        <v/>
      </c>
      <c r="AD127" s="95">
        <f>L127+M127+Z127</f>
        <v/>
      </c>
      <c r="AE127" s="95">
        <f>AD127-AA127</f>
        <v/>
      </c>
      <c r="AF127" s="58">
        <f>IF($D127="","",F127&amp;"|"&amp;COUNTIFS($F$7:F127,F127,$D$7:D127,"&lt;&gt;"))</f>
        <v/>
      </c>
      <c r="AG127" s="58">
        <f>IF(AND($D127&lt;&gt;"",H127="Cash"),"Cash|"&amp;COUNTIFS($H$7:H127,"Cash",$D$7:D127,"&lt;&gt;"),"")</f>
        <v/>
      </c>
      <c r="AH127" s="95">
        <f>IF(AND($D127&lt;&gt;"",OR(F127="Cost of Sales",F127="Operating Expense",F127="Other Expense"),Z127&gt;0),Z127+121/1000000,"")</f>
        <v/>
      </c>
      <c r="AI127" s="95">
        <f>L127+M127+SUM(N127:N127)</f>
        <v/>
      </c>
      <c r="AJ127" s="95">
        <f>L127+M127+SUM(N127:O127)</f>
        <v/>
      </c>
      <c r="AK127" s="95">
        <f>L127+M127+SUM(N127:P127)</f>
        <v/>
      </c>
      <c r="AL127" s="95">
        <f>L127+M127+SUM(N127:Q127)</f>
        <v/>
      </c>
      <c r="AM127" s="95">
        <f>L127+M127+SUM(N127:R127)</f>
        <v/>
      </c>
      <c r="AN127" s="95">
        <f>L127+M127+SUM(N127:S127)</f>
        <v/>
      </c>
      <c r="AO127" s="95">
        <f>L127+M127+SUM(N127:T127)</f>
        <v/>
      </c>
      <c r="AP127" s="95">
        <f>L127+M127+SUM(N127:U127)</f>
        <v/>
      </c>
      <c r="AQ127" s="95">
        <f>L127+M127+SUM(N127:V127)</f>
        <v/>
      </c>
      <c r="AR127" s="95">
        <f>L127+M127+SUM(N127:W127)</f>
        <v/>
      </c>
      <c r="AS127" s="95">
        <f>L127+M127+SUM(N127:X127)</f>
        <v/>
      </c>
      <c r="AT127" s="95">
        <f>L127+M127+SUM(N127:Y127)</f>
        <v/>
      </c>
    </row>
    <row r="128">
      <c r="B128" s="58" t="n">
        <v>122</v>
      </c>
      <c r="C128" s="58">
        <f>IFERROR(INDEX(coa_Name,122)&amp;"","")</f>
        <v/>
      </c>
      <c r="D128" s="58">
        <f>IF(C128="","",IF(COUNTIF($C$7:C128,C128)&gt;1,"",C128))</f>
        <v/>
      </c>
      <c r="E128" s="58">
        <f>IF($D128="","",INDEX(coa_Code,122))</f>
        <v/>
      </c>
      <c r="F128" s="58">
        <f>IF($D128="","",INDEX(coa_Type,122)&amp;"")</f>
        <v/>
      </c>
      <c r="G128" s="58">
        <f>IF($D128="","",INDEX(coa_Normal,122)&amp;"")</f>
        <v/>
      </c>
      <c r="H128" s="58">
        <f>IF($D128="","",IF(INDEX(coa_CF,122)&amp;""="","Operating",INDEX(coa_CF,122)&amp;""))</f>
        <v/>
      </c>
      <c r="I128" s="58">
        <f>IF($D128="","",IFERROR(INDEX(at_Stmt,MATCH(F128,at_Type,0)),""))</f>
        <v/>
      </c>
      <c r="J128" s="58">
        <f>IF($D128="",0,IFERROR(INDEX(at_Sign,MATCH(F128,at_Type,0)),0))</f>
        <v/>
      </c>
      <c r="K128" s="95">
        <f>IF($D128="",0,IF(G128="Credit",-1,1)*N(INDEX(coa_Open,122)))</f>
        <v/>
      </c>
      <c r="L128" s="95">
        <f>IF($D128="",0,IF($D128=acctOBE,K128-SUM($K$7:$K$156),K128))</f>
        <v/>
      </c>
      <c r="M128" s="95">
        <f>IF($D128="",0,SUMIFS(j_DrAmt,j_DrAcct,$D128,j_Per,0)-SUMIFS(j_CrAmt,j_CrAcct,$D128,j_Per,0)+IF($D128=acctTax,SUMIFS(j_TaxDr,j_Posted,1,j_Per,0)-SUMIFS(j_TaxCr,j_Posted,1,j_Per,0),0))</f>
        <v/>
      </c>
      <c r="N128" s="95">
        <f>IF($D128="",0,SUMIFS(j_DrAmt,j_DrAcct,$D128,j_Per,1)-SUMIFS(j_CrAmt,j_CrAcct,$D128,j_Per,1)+IF($D128=acctTax,SUMIFS(j_TaxDr,j_Posted,1,j_Per,1)-SUMIFS(j_TaxCr,j_Posted,1,j_Per,1),0))</f>
        <v/>
      </c>
      <c r="O128" s="95">
        <f>IF($D128="",0,SUMIFS(j_DrAmt,j_DrAcct,$D128,j_Per,2)-SUMIFS(j_CrAmt,j_CrAcct,$D128,j_Per,2)+IF($D128=acctTax,SUMIFS(j_TaxDr,j_Posted,1,j_Per,2)-SUMIFS(j_TaxCr,j_Posted,1,j_Per,2),0))</f>
        <v/>
      </c>
      <c r="P128" s="95">
        <f>IF($D128="",0,SUMIFS(j_DrAmt,j_DrAcct,$D128,j_Per,3)-SUMIFS(j_CrAmt,j_CrAcct,$D128,j_Per,3)+IF($D128=acctTax,SUMIFS(j_TaxDr,j_Posted,1,j_Per,3)-SUMIFS(j_TaxCr,j_Posted,1,j_Per,3),0))</f>
        <v/>
      </c>
      <c r="Q128" s="95">
        <f>IF($D128="",0,SUMIFS(j_DrAmt,j_DrAcct,$D128,j_Per,4)-SUMIFS(j_CrAmt,j_CrAcct,$D128,j_Per,4)+IF($D128=acctTax,SUMIFS(j_TaxDr,j_Posted,1,j_Per,4)-SUMIFS(j_TaxCr,j_Posted,1,j_Per,4),0))</f>
        <v/>
      </c>
      <c r="R128" s="95">
        <f>IF($D128="",0,SUMIFS(j_DrAmt,j_DrAcct,$D128,j_Per,5)-SUMIFS(j_CrAmt,j_CrAcct,$D128,j_Per,5)+IF($D128=acctTax,SUMIFS(j_TaxDr,j_Posted,1,j_Per,5)-SUMIFS(j_TaxCr,j_Posted,1,j_Per,5),0))</f>
        <v/>
      </c>
      <c r="S128" s="95">
        <f>IF($D128="",0,SUMIFS(j_DrAmt,j_DrAcct,$D128,j_Per,6)-SUMIFS(j_CrAmt,j_CrAcct,$D128,j_Per,6)+IF($D128=acctTax,SUMIFS(j_TaxDr,j_Posted,1,j_Per,6)-SUMIFS(j_TaxCr,j_Posted,1,j_Per,6),0))</f>
        <v/>
      </c>
      <c r="T128" s="95">
        <f>IF($D128="",0,SUMIFS(j_DrAmt,j_DrAcct,$D128,j_Per,7)-SUMIFS(j_CrAmt,j_CrAcct,$D128,j_Per,7)+IF($D128=acctTax,SUMIFS(j_TaxDr,j_Posted,1,j_Per,7)-SUMIFS(j_TaxCr,j_Posted,1,j_Per,7),0))</f>
        <v/>
      </c>
      <c r="U128" s="95">
        <f>IF($D128="",0,SUMIFS(j_DrAmt,j_DrAcct,$D128,j_Per,8)-SUMIFS(j_CrAmt,j_CrAcct,$D128,j_Per,8)+IF($D128=acctTax,SUMIFS(j_TaxDr,j_Posted,1,j_Per,8)-SUMIFS(j_TaxCr,j_Posted,1,j_Per,8),0))</f>
        <v/>
      </c>
      <c r="V128" s="95">
        <f>IF($D128="",0,SUMIFS(j_DrAmt,j_DrAcct,$D128,j_Per,9)-SUMIFS(j_CrAmt,j_CrAcct,$D128,j_Per,9)+IF($D128=acctTax,SUMIFS(j_TaxDr,j_Posted,1,j_Per,9)-SUMIFS(j_TaxCr,j_Posted,1,j_Per,9),0))</f>
        <v/>
      </c>
      <c r="W128" s="95">
        <f>IF($D128="",0,SUMIFS(j_DrAmt,j_DrAcct,$D128,j_Per,10)-SUMIFS(j_CrAmt,j_CrAcct,$D128,j_Per,10)+IF($D128=acctTax,SUMIFS(j_TaxDr,j_Posted,1,j_Per,10)-SUMIFS(j_TaxCr,j_Posted,1,j_Per,10),0))</f>
        <v/>
      </c>
      <c r="X128" s="95">
        <f>IF($D128="",0,SUMIFS(j_DrAmt,j_DrAcct,$D128,j_Per,11)-SUMIFS(j_CrAmt,j_CrAcct,$D128,j_Per,11)+IF($D128=acctTax,SUMIFS(j_TaxDr,j_Posted,1,j_Per,11)-SUMIFS(j_TaxCr,j_Posted,1,j_Per,11),0))</f>
        <v/>
      </c>
      <c r="Y128" s="95">
        <f>IF($D128="",0,SUMIFS(j_DrAmt,j_DrAcct,$D128,j_Per,12)-SUMIFS(j_CrAmt,j_CrAcct,$D128,j_Per,12)+IF($D128=acctTax,SUMIFS(j_TaxDr,j_Posted,1,j_Per,12)-SUMIFS(j_TaxCr,j_Posted,1,j_Per,12),0))</f>
        <v/>
      </c>
      <c r="Z128" s="95">
        <f>SUMPRODUCT(($N$5:$Y$5&lt;=RptIdx)*N128:Y128)</f>
        <v/>
      </c>
      <c r="AA128" s="95">
        <f>IF(AND(RptIdx&gt;=1,RptIdx&lt;=12),INDEX(N128:Y128,RptIdx),0)</f>
        <v/>
      </c>
      <c r="AB128" s="95">
        <f>IF($D128="",0,IF(RptIdx&gt;1,INDEX(N128:Y128,RptIdx-1),SUMIFS(j_DrAmt,j_DrAcct,$D128,j_Date,"&gt;="&amp;PrevStart,j_Date,"&lt;="&amp;PrevEnd)-SUMIFS(j_CrAmt,j_CrAcct,$D128,j_Date,"&gt;="&amp;PrevStart,j_Date,"&lt;="&amp;PrevEnd)+IF($D128=acctTax,SUMIFS(j_TaxDr,j_Posted,1,j_Date,"&gt;="&amp;PrevStart,j_Date,"&lt;="&amp;PrevEnd)-SUMIFS(j_TaxCr,j_Posted,1,j_Date,"&gt;="&amp;PrevStart,j_Date,"&lt;="&amp;PrevEnd),0)))</f>
        <v/>
      </c>
      <c r="AC128" s="95">
        <f>SUM(N128:Y128)</f>
        <v/>
      </c>
      <c r="AD128" s="95">
        <f>L128+M128+Z128</f>
        <v/>
      </c>
      <c r="AE128" s="95">
        <f>AD128-AA128</f>
        <v/>
      </c>
      <c r="AF128" s="58">
        <f>IF($D128="","",F128&amp;"|"&amp;COUNTIFS($F$7:F128,F128,$D$7:D128,"&lt;&gt;"))</f>
        <v/>
      </c>
      <c r="AG128" s="58">
        <f>IF(AND($D128&lt;&gt;"",H128="Cash"),"Cash|"&amp;COUNTIFS($H$7:H128,"Cash",$D$7:D128,"&lt;&gt;"),"")</f>
        <v/>
      </c>
      <c r="AH128" s="95">
        <f>IF(AND($D128&lt;&gt;"",OR(F128="Cost of Sales",F128="Operating Expense",F128="Other Expense"),Z128&gt;0),Z128+122/1000000,"")</f>
        <v/>
      </c>
      <c r="AI128" s="95">
        <f>L128+M128+SUM(N128:N128)</f>
        <v/>
      </c>
      <c r="AJ128" s="95">
        <f>L128+M128+SUM(N128:O128)</f>
        <v/>
      </c>
      <c r="AK128" s="95">
        <f>L128+M128+SUM(N128:P128)</f>
        <v/>
      </c>
      <c r="AL128" s="95">
        <f>L128+M128+SUM(N128:Q128)</f>
        <v/>
      </c>
      <c r="AM128" s="95">
        <f>L128+M128+SUM(N128:R128)</f>
        <v/>
      </c>
      <c r="AN128" s="95">
        <f>L128+M128+SUM(N128:S128)</f>
        <v/>
      </c>
      <c r="AO128" s="95">
        <f>L128+M128+SUM(N128:T128)</f>
        <v/>
      </c>
      <c r="AP128" s="95">
        <f>L128+M128+SUM(N128:U128)</f>
        <v/>
      </c>
      <c r="AQ128" s="95">
        <f>L128+M128+SUM(N128:V128)</f>
        <v/>
      </c>
      <c r="AR128" s="95">
        <f>L128+M128+SUM(N128:W128)</f>
        <v/>
      </c>
      <c r="AS128" s="95">
        <f>L128+M128+SUM(N128:X128)</f>
        <v/>
      </c>
      <c r="AT128" s="95">
        <f>L128+M128+SUM(N128:Y128)</f>
        <v/>
      </c>
    </row>
    <row r="129">
      <c r="B129" s="58" t="n">
        <v>123</v>
      </c>
      <c r="C129" s="58">
        <f>IFERROR(INDEX(coa_Name,123)&amp;"","")</f>
        <v/>
      </c>
      <c r="D129" s="58">
        <f>IF(C129="","",IF(COUNTIF($C$7:C129,C129)&gt;1,"",C129))</f>
        <v/>
      </c>
      <c r="E129" s="58">
        <f>IF($D129="","",INDEX(coa_Code,123))</f>
        <v/>
      </c>
      <c r="F129" s="58">
        <f>IF($D129="","",INDEX(coa_Type,123)&amp;"")</f>
        <v/>
      </c>
      <c r="G129" s="58">
        <f>IF($D129="","",INDEX(coa_Normal,123)&amp;"")</f>
        <v/>
      </c>
      <c r="H129" s="58">
        <f>IF($D129="","",IF(INDEX(coa_CF,123)&amp;""="","Operating",INDEX(coa_CF,123)&amp;""))</f>
        <v/>
      </c>
      <c r="I129" s="58">
        <f>IF($D129="","",IFERROR(INDEX(at_Stmt,MATCH(F129,at_Type,0)),""))</f>
        <v/>
      </c>
      <c r="J129" s="58">
        <f>IF($D129="",0,IFERROR(INDEX(at_Sign,MATCH(F129,at_Type,0)),0))</f>
        <v/>
      </c>
      <c r="K129" s="95">
        <f>IF($D129="",0,IF(G129="Credit",-1,1)*N(INDEX(coa_Open,123)))</f>
        <v/>
      </c>
      <c r="L129" s="95">
        <f>IF($D129="",0,IF($D129=acctOBE,K129-SUM($K$7:$K$156),K129))</f>
        <v/>
      </c>
      <c r="M129" s="95">
        <f>IF($D129="",0,SUMIFS(j_DrAmt,j_DrAcct,$D129,j_Per,0)-SUMIFS(j_CrAmt,j_CrAcct,$D129,j_Per,0)+IF($D129=acctTax,SUMIFS(j_TaxDr,j_Posted,1,j_Per,0)-SUMIFS(j_TaxCr,j_Posted,1,j_Per,0),0))</f>
        <v/>
      </c>
      <c r="N129" s="95">
        <f>IF($D129="",0,SUMIFS(j_DrAmt,j_DrAcct,$D129,j_Per,1)-SUMIFS(j_CrAmt,j_CrAcct,$D129,j_Per,1)+IF($D129=acctTax,SUMIFS(j_TaxDr,j_Posted,1,j_Per,1)-SUMIFS(j_TaxCr,j_Posted,1,j_Per,1),0))</f>
        <v/>
      </c>
      <c r="O129" s="95">
        <f>IF($D129="",0,SUMIFS(j_DrAmt,j_DrAcct,$D129,j_Per,2)-SUMIFS(j_CrAmt,j_CrAcct,$D129,j_Per,2)+IF($D129=acctTax,SUMIFS(j_TaxDr,j_Posted,1,j_Per,2)-SUMIFS(j_TaxCr,j_Posted,1,j_Per,2),0))</f>
        <v/>
      </c>
      <c r="P129" s="95">
        <f>IF($D129="",0,SUMIFS(j_DrAmt,j_DrAcct,$D129,j_Per,3)-SUMIFS(j_CrAmt,j_CrAcct,$D129,j_Per,3)+IF($D129=acctTax,SUMIFS(j_TaxDr,j_Posted,1,j_Per,3)-SUMIFS(j_TaxCr,j_Posted,1,j_Per,3),0))</f>
        <v/>
      </c>
      <c r="Q129" s="95">
        <f>IF($D129="",0,SUMIFS(j_DrAmt,j_DrAcct,$D129,j_Per,4)-SUMIFS(j_CrAmt,j_CrAcct,$D129,j_Per,4)+IF($D129=acctTax,SUMIFS(j_TaxDr,j_Posted,1,j_Per,4)-SUMIFS(j_TaxCr,j_Posted,1,j_Per,4),0))</f>
        <v/>
      </c>
      <c r="R129" s="95">
        <f>IF($D129="",0,SUMIFS(j_DrAmt,j_DrAcct,$D129,j_Per,5)-SUMIFS(j_CrAmt,j_CrAcct,$D129,j_Per,5)+IF($D129=acctTax,SUMIFS(j_TaxDr,j_Posted,1,j_Per,5)-SUMIFS(j_TaxCr,j_Posted,1,j_Per,5),0))</f>
        <v/>
      </c>
      <c r="S129" s="95">
        <f>IF($D129="",0,SUMIFS(j_DrAmt,j_DrAcct,$D129,j_Per,6)-SUMIFS(j_CrAmt,j_CrAcct,$D129,j_Per,6)+IF($D129=acctTax,SUMIFS(j_TaxDr,j_Posted,1,j_Per,6)-SUMIFS(j_TaxCr,j_Posted,1,j_Per,6),0))</f>
        <v/>
      </c>
      <c r="T129" s="95">
        <f>IF($D129="",0,SUMIFS(j_DrAmt,j_DrAcct,$D129,j_Per,7)-SUMIFS(j_CrAmt,j_CrAcct,$D129,j_Per,7)+IF($D129=acctTax,SUMIFS(j_TaxDr,j_Posted,1,j_Per,7)-SUMIFS(j_TaxCr,j_Posted,1,j_Per,7),0))</f>
        <v/>
      </c>
      <c r="U129" s="95">
        <f>IF($D129="",0,SUMIFS(j_DrAmt,j_DrAcct,$D129,j_Per,8)-SUMIFS(j_CrAmt,j_CrAcct,$D129,j_Per,8)+IF($D129=acctTax,SUMIFS(j_TaxDr,j_Posted,1,j_Per,8)-SUMIFS(j_TaxCr,j_Posted,1,j_Per,8),0))</f>
        <v/>
      </c>
      <c r="V129" s="95">
        <f>IF($D129="",0,SUMIFS(j_DrAmt,j_DrAcct,$D129,j_Per,9)-SUMIFS(j_CrAmt,j_CrAcct,$D129,j_Per,9)+IF($D129=acctTax,SUMIFS(j_TaxDr,j_Posted,1,j_Per,9)-SUMIFS(j_TaxCr,j_Posted,1,j_Per,9),0))</f>
        <v/>
      </c>
      <c r="W129" s="95">
        <f>IF($D129="",0,SUMIFS(j_DrAmt,j_DrAcct,$D129,j_Per,10)-SUMIFS(j_CrAmt,j_CrAcct,$D129,j_Per,10)+IF($D129=acctTax,SUMIFS(j_TaxDr,j_Posted,1,j_Per,10)-SUMIFS(j_TaxCr,j_Posted,1,j_Per,10),0))</f>
        <v/>
      </c>
      <c r="X129" s="95">
        <f>IF($D129="",0,SUMIFS(j_DrAmt,j_DrAcct,$D129,j_Per,11)-SUMIFS(j_CrAmt,j_CrAcct,$D129,j_Per,11)+IF($D129=acctTax,SUMIFS(j_TaxDr,j_Posted,1,j_Per,11)-SUMIFS(j_TaxCr,j_Posted,1,j_Per,11),0))</f>
        <v/>
      </c>
      <c r="Y129" s="95">
        <f>IF($D129="",0,SUMIFS(j_DrAmt,j_DrAcct,$D129,j_Per,12)-SUMIFS(j_CrAmt,j_CrAcct,$D129,j_Per,12)+IF($D129=acctTax,SUMIFS(j_TaxDr,j_Posted,1,j_Per,12)-SUMIFS(j_TaxCr,j_Posted,1,j_Per,12),0))</f>
        <v/>
      </c>
      <c r="Z129" s="95">
        <f>SUMPRODUCT(($N$5:$Y$5&lt;=RptIdx)*N129:Y129)</f>
        <v/>
      </c>
      <c r="AA129" s="95">
        <f>IF(AND(RptIdx&gt;=1,RptIdx&lt;=12),INDEX(N129:Y129,RptIdx),0)</f>
        <v/>
      </c>
      <c r="AB129" s="95">
        <f>IF($D129="",0,IF(RptIdx&gt;1,INDEX(N129:Y129,RptIdx-1),SUMIFS(j_DrAmt,j_DrAcct,$D129,j_Date,"&gt;="&amp;PrevStart,j_Date,"&lt;="&amp;PrevEnd)-SUMIFS(j_CrAmt,j_CrAcct,$D129,j_Date,"&gt;="&amp;PrevStart,j_Date,"&lt;="&amp;PrevEnd)+IF($D129=acctTax,SUMIFS(j_TaxDr,j_Posted,1,j_Date,"&gt;="&amp;PrevStart,j_Date,"&lt;="&amp;PrevEnd)-SUMIFS(j_TaxCr,j_Posted,1,j_Date,"&gt;="&amp;PrevStart,j_Date,"&lt;="&amp;PrevEnd),0)))</f>
        <v/>
      </c>
      <c r="AC129" s="95">
        <f>SUM(N129:Y129)</f>
        <v/>
      </c>
      <c r="AD129" s="95">
        <f>L129+M129+Z129</f>
        <v/>
      </c>
      <c r="AE129" s="95">
        <f>AD129-AA129</f>
        <v/>
      </c>
      <c r="AF129" s="58">
        <f>IF($D129="","",F129&amp;"|"&amp;COUNTIFS($F$7:F129,F129,$D$7:D129,"&lt;&gt;"))</f>
        <v/>
      </c>
      <c r="AG129" s="58">
        <f>IF(AND($D129&lt;&gt;"",H129="Cash"),"Cash|"&amp;COUNTIFS($H$7:H129,"Cash",$D$7:D129,"&lt;&gt;"),"")</f>
        <v/>
      </c>
      <c r="AH129" s="95">
        <f>IF(AND($D129&lt;&gt;"",OR(F129="Cost of Sales",F129="Operating Expense",F129="Other Expense"),Z129&gt;0),Z129+123/1000000,"")</f>
        <v/>
      </c>
      <c r="AI129" s="95">
        <f>L129+M129+SUM(N129:N129)</f>
        <v/>
      </c>
      <c r="AJ129" s="95">
        <f>L129+M129+SUM(N129:O129)</f>
        <v/>
      </c>
      <c r="AK129" s="95">
        <f>L129+M129+SUM(N129:P129)</f>
        <v/>
      </c>
      <c r="AL129" s="95">
        <f>L129+M129+SUM(N129:Q129)</f>
        <v/>
      </c>
      <c r="AM129" s="95">
        <f>L129+M129+SUM(N129:R129)</f>
        <v/>
      </c>
      <c r="AN129" s="95">
        <f>L129+M129+SUM(N129:S129)</f>
        <v/>
      </c>
      <c r="AO129" s="95">
        <f>L129+M129+SUM(N129:T129)</f>
        <v/>
      </c>
      <c r="AP129" s="95">
        <f>L129+M129+SUM(N129:U129)</f>
        <v/>
      </c>
      <c r="AQ129" s="95">
        <f>L129+M129+SUM(N129:V129)</f>
        <v/>
      </c>
      <c r="AR129" s="95">
        <f>L129+M129+SUM(N129:W129)</f>
        <v/>
      </c>
      <c r="AS129" s="95">
        <f>L129+M129+SUM(N129:X129)</f>
        <v/>
      </c>
      <c r="AT129" s="95">
        <f>L129+M129+SUM(N129:Y129)</f>
        <v/>
      </c>
    </row>
    <row r="130">
      <c r="B130" s="58" t="n">
        <v>124</v>
      </c>
      <c r="C130" s="58">
        <f>IFERROR(INDEX(coa_Name,124)&amp;"","")</f>
        <v/>
      </c>
      <c r="D130" s="58">
        <f>IF(C130="","",IF(COUNTIF($C$7:C130,C130)&gt;1,"",C130))</f>
        <v/>
      </c>
      <c r="E130" s="58">
        <f>IF($D130="","",INDEX(coa_Code,124))</f>
        <v/>
      </c>
      <c r="F130" s="58">
        <f>IF($D130="","",INDEX(coa_Type,124)&amp;"")</f>
        <v/>
      </c>
      <c r="G130" s="58">
        <f>IF($D130="","",INDEX(coa_Normal,124)&amp;"")</f>
        <v/>
      </c>
      <c r="H130" s="58">
        <f>IF($D130="","",IF(INDEX(coa_CF,124)&amp;""="","Operating",INDEX(coa_CF,124)&amp;""))</f>
        <v/>
      </c>
      <c r="I130" s="58">
        <f>IF($D130="","",IFERROR(INDEX(at_Stmt,MATCH(F130,at_Type,0)),""))</f>
        <v/>
      </c>
      <c r="J130" s="58">
        <f>IF($D130="",0,IFERROR(INDEX(at_Sign,MATCH(F130,at_Type,0)),0))</f>
        <v/>
      </c>
      <c r="K130" s="95">
        <f>IF($D130="",0,IF(G130="Credit",-1,1)*N(INDEX(coa_Open,124)))</f>
        <v/>
      </c>
      <c r="L130" s="95">
        <f>IF($D130="",0,IF($D130=acctOBE,K130-SUM($K$7:$K$156),K130))</f>
        <v/>
      </c>
      <c r="M130" s="95">
        <f>IF($D130="",0,SUMIFS(j_DrAmt,j_DrAcct,$D130,j_Per,0)-SUMIFS(j_CrAmt,j_CrAcct,$D130,j_Per,0)+IF($D130=acctTax,SUMIFS(j_TaxDr,j_Posted,1,j_Per,0)-SUMIFS(j_TaxCr,j_Posted,1,j_Per,0),0))</f>
        <v/>
      </c>
      <c r="N130" s="95">
        <f>IF($D130="",0,SUMIFS(j_DrAmt,j_DrAcct,$D130,j_Per,1)-SUMIFS(j_CrAmt,j_CrAcct,$D130,j_Per,1)+IF($D130=acctTax,SUMIFS(j_TaxDr,j_Posted,1,j_Per,1)-SUMIFS(j_TaxCr,j_Posted,1,j_Per,1),0))</f>
        <v/>
      </c>
      <c r="O130" s="95">
        <f>IF($D130="",0,SUMIFS(j_DrAmt,j_DrAcct,$D130,j_Per,2)-SUMIFS(j_CrAmt,j_CrAcct,$D130,j_Per,2)+IF($D130=acctTax,SUMIFS(j_TaxDr,j_Posted,1,j_Per,2)-SUMIFS(j_TaxCr,j_Posted,1,j_Per,2),0))</f>
        <v/>
      </c>
      <c r="P130" s="95">
        <f>IF($D130="",0,SUMIFS(j_DrAmt,j_DrAcct,$D130,j_Per,3)-SUMIFS(j_CrAmt,j_CrAcct,$D130,j_Per,3)+IF($D130=acctTax,SUMIFS(j_TaxDr,j_Posted,1,j_Per,3)-SUMIFS(j_TaxCr,j_Posted,1,j_Per,3),0))</f>
        <v/>
      </c>
      <c r="Q130" s="95">
        <f>IF($D130="",0,SUMIFS(j_DrAmt,j_DrAcct,$D130,j_Per,4)-SUMIFS(j_CrAmt,j_CrAcct,$D130,j_Per,4)+IF($D130=acctTax,SUMIFS(j_TaxDr,j_Posted,1,j_Per,4)-SUMIFS(j_TaxCr,j_Posted,1,j_Per,4),0))</f>
        <v/>
      </c>
      <c r="R130" s="95">
        <f>IF($D130="",0,SUMIFS(j_DrAmt,j_DrAcct,$D130,j_Per,5)-SUMIFS(j_CrAmt,j_CrAcct,$D130,j_Per,5)+IF($D130=acctTax,SUMIFS(j_TaxDr,j_Posted,1,j_Per,5)-SUMIFS(j_TaxCr,j_Posted,1,j_Per,5),0))</f>
        <v/>
      </c>
      <c r="S130" s="95">
        <f>IF($D130="",0,SUMIFS(j_DrAmt,j_DrAcct,$D130,j_Per,6)-SUMIFS(j_CrAmt,j_CrAcct,$D130,j_Per,6)+IF($D130=acctTax,SUMIFS(j_TaxDr,j_Posted,1,j_Per,6)-SUMIFS(j_TaxCr,j_Posted,1,j_Per,6),0))</f>
        <v/>
      </c>
      <c r="T130" s="95">
        <f>IF($D130="",0,SUMIFS(j_DrAmt,j_DrAcct,$D130,j_Per,7)-SUMIFS(j_CrAmt,j_CrAcct,$D130,j_Per,7)+IF($D130=acctTax,SUMIFS(j_TaxDr,j_Posted,1,j_Per,7)-SUMIFS(j_TaxCr,j_Posted,1,j_Per,7),0))</f>
        <v/>
      </c>
      <c r="U130" s="95">
        <f>IF($D130="",0,SUMIFS(j_DrAmt,j_DrAcct,$D130,j_Per,8)-SUMIFS(j_CrAmt,j_CrAcct,$D130,j_Per,8)+IF($D130=acctTax,SUMIFS(j_TaxDr,j_Posted,1,j_Per,8)-SUMIFS(j_TaxCr,j_Posted,1,j_Per,8),0))</f>
        <v/>
      </c>
      <c r="V130" s="95">
        <f>IF($D130="",0,SUMIFS(j_DrAmt,j_DrAcct,$D130,j_Per,9)-SUMIFS(j_CrAmt,j_CrAcct,$D130,j_Per,9)+IF($D130=acctTax,SUMIFS(j_TaxDr,j_Posted,1,j_Per,9)-SUMIFS(j_TaxCr,j_Posted,1,j_Per,9),0))</f>
        <v/>
      </c>
      <c r="W130" s="95">
        <f>IF($D130="",0,SUMIFS(j_DrAmt,j_DrAcct,$D130,j_Per,10)-SUMIFS(j_CrAmt,j_CrAcct,$D130,j_Per,10)+IF($D130=acctTax,SUMIFS(j_TaxDr,j_Posted,1,j_Per,10)-SUMIFS(j_TaxCr,j_Posted,1,j_Per,10),0))</f>
        <v/>
      </c>
      <c r="X130" s="95">
        <f>IF($D130="",0,SUMIFS(j_DrAmt,j_DrAcct,$D130,j_Per,11)-SUMIFS(j_CrAmt,j_CrAcct,$D130,j_Per,11)+IF($D130=acctTax,SUMIFS(j_TaxDr,j_Posted,1,j_Per,11)-SUMIFS(j_TaxCr,j_Posted,1,j_Per,11),0))</f>
        <v/>
      </c>
      <c r="Y130" s="95">
        <f>IF($D130="",0,SUMIFS(j_DrAmt,j_DrAcct,$D130,j_Per,12)-SUMIFS(j_CrAmt,j_CrAcct,$D130,j_Per,12)+IF($D130=acctTax,SUMIFS(j_TaxDr,j_Posted,1,j_Per,12)-SUMIFS(j_TaxCr,j_Posted,1,j_Per,12),0))</f>
        <v/>
      </c>
      <c r="Z130" s="95">
        <f>SUMPRODUCT(($N$5:$Y$5&lt;=RptIdx)*N130:Y130)</f>
        <v/>
      </c>
      <c r="AA130" s="95">
        <f>IF(AND(RptIdx&gt;=1,RptIdx&lt;=12),INDEX(N130:Y130,RptIdx),0)</f>
        <v/>
      </c>
      <c r="AB130" s="95">
        <f>IF($D130="",0,IF(RptIdx&gt;1,INDEX(N130:Y130,RptIdx-1),SUMIFS(j_DrAmt,j_DrAcct,$D130,j_Date,"&gt;="&amp;PrevStart,j_Date,"&lt;="&amp;PrevEnd)-SUMIFS(j_CrAmt,j_CrAcct,$D130,j_Date,"&gt;="&amp;PrevStart,j_Date,"&lt;="&amp;PrevEnd)+IF($D130=acctTax,SUMIFS(j_TaxDr,j_Posted,1,j_Date,"&gt;="&amp;PrevStart,j_Date,"&lt;="&amp;PrevEnd)-SUMIFS(j_TaxCr,j_Posted,1,j_Date,"&gt;="&amp;PrevStart,j_Date,"&lt;="&amp;PrevEnd),0)))</f>
        <v/>
      </c>
      <c r="AC130" s="95">
        <f>SUM(N130:Y130)</f>
        <v/>
      </c>
      <c r="AD130" s="95">
        <f>L130+M130+Z130</f>
        <v/>
      </c>
      <c r="AE130" s="95">
        <f>AD130-AA130</f>
        <v/>
      </c>
      <c r="AF130" s="58">
        <f>IF($D130="","",F130&amp;"|"&amp;COUNTIFS($F$7:F130,F130,$D$7:D130,"&lt;&gt;"))</f>
        <v/>
      </c>
      <c r="AG130" s="58">
        <f>IF(AND($D130&lt;&gt;"",H130="Cash"),"Cash|"&amp;COUNTIFS($H$7:H130,"Cash",$D$7:D130,"&lt;&gt;"),"")</f>
        <v/>
      </c>
      <c r="AH130" s="95">
        <f>IF(AND($D130&lt;&gt;"",OR(F130="Cost of Sales",F130="Operating Expense",F130="Other Expense"),Z130&gt;0),Z130+124/1000000,"")</f>
        <v/>
      </c>
      <c r="AI130" s="95">
        <f>L130+M130+SUM(N130:N130)</f>
        <v/>
      </c>
      <c r="AJ130" s="95">
        <f>L130+M130+SUM(N130:O130)</f>
        <v/>
      </c>
      <c r="AK130" s="95">
        <f>L130+M130+SUM(N130:P130)</f>
        <v/>
      </c>
      <c r="AL130" s="95">
        <f>L130+M130+SUM(N130:Q130)</f>
        <v/>
      </c>
      <c r="AM130" s="95">
        <f>L130+M130+SUM(N130:R130)</f>
        <v/>
      </c>
      <c r="AN130" s="95">
        <f>L130+M130+SUM(N130:S130)</f>
        <v/>
      </c>
      <c r="AO130" s="95">
        <f>L130+M130+SUM(N130:T130)</f>
        <v/>
      </c>
      <c r="AP130" s="95">
        <f>L130+M130+SUM(N130:U130)</f>
        <v/>
      </c>
      <c r="AQ130" s="95">
        <f>L130+M130+SUM(N130:V130)</f>
        <v/>
      </c>
      <c r="AR130" s="95">
        <f>L130+M130+SUM(N130:W130)</f>
        <v/>
      </c>
      <c r="AS130" s="95">
        <f>L130+M130+SUM(N130:X130)</f>
        <v/>
      </c>
      <c r="AT130" s="95">
        <f>L130+M130+SUM(N130:Y130)</f>
        <v/>
      </c>
    </row>
    <row r="131">
      <c r="B131" s="58" t="n">
        <v>125</v>
      </c>
      <c r="C131" s="58">
        <f>IFERROR(INDEX(coa_Name,125)&amp;"","")</f>
        <v/>
      </c>
      <c r="D131" s="58">
        <f>IF(C131="","",IF(COUNTIF($C$7:C131,C131)&gt;1,"",C131))</f>
        <v/>
      </c>
      <c r="E131" s="58">
        <f>IF($D131="","",INDEX(coa_Code,125))</f>
        <v/>
      </c>
      <c r="F131" s="58">
        <f>IF($D131="","",INDEX(coa_Type,125)&amp;"")</f>
        <v/>
      </c>
      <c r="G131" s="58">
        <f>IF($D131="","",INDEX(coa_Normal,125)&amp;"")</f>
        <v/>
      </c>
      <c r="H131" s="58">
        <f>IF($D131="","",IF(INDEX(coa_CF,125)&amp;""="","Operating",INDEX(coa_CF,125)&amp;""))</f>
        <v/>
      </c>
      <c r="I131" s="58">
        <f>IF($D131="","",IFERROR(INDEX(at_Stmt,MATCH(F131,at_Type,0)),""))</f>
        <v/>
      </c>
      <c r="J131" s="58">
        <f>IF($D131="",0,IFERROR(INDEX(at_Sign,MATCH(F131,at_Type,0)),0))</f>
        <v/>
      </c>
      <c r="K131" s="95">
        <f>IF($D131="",0,IF(G131="Credit",-1,1)*N(INDEX(coa_Open,125)))</f>
        <v/>
      </c>
      <c r="L131" s="95">
        <f>IF($D131="",0,IF($D131=acctOBE,K131-SUM($K$7:$K$156),K131))</f>
        <v/>
      </c>
      <c r="M131" s="95">
        <f>IF($D131="",0,SUMIFS(j_DrAmt,j_DrAcct,$D131,j_Per,0)-SUMIFS(j_CrAmt,j_CrAcct,$D131,j_Per,0)+IF($D131=acctTax,SUMIFS(j_TaxDr,j_Posted,1,j_Per,0)-SUMIFS(j_TaxCr,j_Posted,1,j_Per,0),0))</f>
        <v/>
      </c>
      <c r="N131" s="95">
        <f>IF($D131="",0,SUMIFS(j_DrAmt,j_DrAcct,$D131,j_Per,1)-SUMIFS(j_CrAmt,j_CrAcct,$D131,j_Per,1)+IF($D131=acctTax,SUMIFS(j_TaxDr,j_Posted,1,j_Per,1)-SUMIFS(j_TaxCr,j_Posted,1,j_Per,1),0))</f>
        <v/>
      </c>
      <c r="O131" s="95">
        <f>IF($D131="",0,SUMIFS(j_DrAmt,j_DrAcct,$D131,j_Per,2)-SUMIFS(j_CrAmt,j_CrAcct,$D131,j_Per,2)+IF($D131=acctTax,SUMIFS(j_TaxDr,j_Posted,1,j_Per,2)-SUMIFS(j_TaxCr,j_Posted,1,j_Per,2),0))</f>
        <v/>
      </c>
      <c r="P131" s="95">
        <f>IF($D131="",0,SUMIFS(j_DrAmt,j_DrAcct,$D131,j_Per,3)-SUMIFS(j_CrAmt,j_CrAcct,$D131,j_Per,3)+IF($D131=acctTax,SUMIFS(j_TaxDr,j_Posted,1,j_Per,3)-SUMIFS(j_TaxCr,j_Posted,1,j_Per,3),0))</f>
        <v/>
      </c>
      <c r="Q131" s="95">
        <f>IF($D131="",0,SUMIFS(j_DrAmt,j_DrAcct,$D131,j_Per,4)-SUMIFS(j_CrAmt,j_CrAcct,$D131,j_Per,4)+IF($D131=acctTax,SUMIFS(j_TaxDr,j_Posted,1,j_Per,4)-SUMIFS(j_TaxCr,j_Posted,1,j_Per,4),0))</f>
        <v/>
      </c>
      <c r="R131" s="95">
        <f>IF($D131="",0,SUMIFS(j_DrAmt,j_DrAcct,$D131,j_Per,5)-SUMIFS(j_CrAmt,j_CrAcct,$D131,j_Per,5)+IF($D131=acctTax,SUMIFS(j_TaxDr,j_Posted,1,j_Per,5)-SUMIFS(j_TaxCr,j_Posted,1,j_Per,5),0))</f>
        <v/>
      </c>
      <c r="S131" s="95">
        <f>IF($D131="",0,SUMIFS(j_DrAmt,j_DrAcct,$D131,j_Per,6)-SUMIFS(j_CrAmt,j_CrAcct,$D131,j_Per,6)+IF($D131=acctTax,SUMIFS(j_TaxDr,j_Posted,1,j_Per,6)-SUMIFS(j_TaxCr,j_Posted,1,j_Per,6),0))</f>
        <v/>
      </c>
      <c r="T131" s="95">
        <f>IF($D131="",0,SUMIFS(j_DrAmt,j_DrAcct,$D131,j_Per,7)-SUMIFS(j_CrAmt,j_CrAcct,$D131,j_Per,7)+IF($D131=acctTax,SUMIFS(j_TaxDr,j_Posted,1,j_Per,7)-SUMIFS(j_TaxCr,j_Posted,1,j_Per,7),0))</f>
        <v/>
      </c>
      <c r="U131" s="95">
        <f>IF($D131="",0,SUMIFS(j_DrAmt,j_DrAcct,$D131,j_Per,8)-SUMIFS(j_CrAmt,j_CrAcct,$D131,j_Per,8)+IF($D131=acctTax,SUMIFS(j_TaxDr,j_Posted,1,j_Per,8)-SUMIFS(j_TaxCr,j_Posted,1,j_Per,8),0))</f>
        <v/>
      </c>
      <c r="V131" s="95">
        <f>IF($D131="",0,SUMIFS(j_DrAmt,j_DrAcct,$D131,j_Per,9)-SUMIFS(j_CrAmt,j_CrAcct,$D131,j_Per,9)+IF($D131=acctTax,SUMIFS(j_TaxDr,j_Posted,1,j_Per,9)-SUMIFS(j_TaxCr,j_Posted,1,j_Per,9),0))</f>
        <v/>
      </c>
      <c r="W131" s="95">
        <f>IF($D131="",0,SUMIFS(j_DrAmt,j_DrAcct,$D131,j_Per,10)-SUMIFS(j_CrAmt,j_CrAcct,$D131,j_Per,10)+IF($D131=acctTax,SUMIFS(j_TaxDr,j_Posted,1,j_Per,10)-SUMIFS(j_TaxCr,j_Posted,1,j_Per,10),0))</f>
        <v/>
      </c>
      <c r="X131" s="95">
        <f>IF($D131="",0,SUMIFS(j_DrAmt,j_DrAcct,$D131,j_Per,11)-SUMIFS(j_CrAmt,j_CrAcct,$D131,j_Per,11)+IF($D131=acctTax,SUMIFS(j_TaxDr,j_Posted,1,j_Per,11)-SUMIFS(j_TaxCr,j_Posted,1,j_Per,11),0))</f>
        <v/>
      </c>
      <c r="Y131" s="95">
        <f>IF($D131="",0,SUMIFS(j_DrAmt,j_DrAcct,$D131,j_Per,12)-SUMIFS(j_CrAmt,j_CrAcct,$D131,j_Per,12)+IF($D131=acctTax,SUMIFS(j_TaxDr,j_Posted,1,j_Per,12)-SUMIFS(j_TaxCr,j_Posted,1,j_Per,12),0))</f>
        <v/>
      </c>
      <c r="Z131" s="95">
        <f>SUMPRODUCT(($N$5:$Y$5&lt;=RptIdx)*N131:Y131)</f>
        <v/>
      </c>
      <c r="AA131" s="95">
        <f>IF(AND(RptIdx&gt;=1,RptIdx&lt;=12),INDEX(N131:Y131,RptIdx),0)</f>
        <v/>
      </c>
      <c r="AB131" s="95">
        <f>IF($D131="",0,IF(RptIdx&gt;1,INDEX(N131:Y131,RptIdx-1),SUMIFS(j_DrAmt,j_DrAcct,$D131,j_Date,"&gt;="&amp;PrevStart,j_Date,"&lt;="&amp;PrevEnd)-SUMIFS(j_CrAmt,j_CrAcct,$D131,j_Date,"&gt;="&amp;PrevStart,j_Date,"&lt;="&amp;PrevEnd)+IF($D131=acctTax,SUMIFS(j_TaxDr,j_Posted,1,j_Date,"&gt;="&amp;PrevStart,j_Date,"&lt;="&amp;PrevEnd)-SUMIFS(j_TaxCr,j_Posted,1,j_Date,"&gt;="&amp;PrevStart,j_Date,"&lt;="&amp;PrevEnd),0)))</f>
        <v/>
      </c>
      <c r="AC131" s="95">
        <f>SUM(N131:Y131)</f>
        <v/>
      </c>
      <c r="AD131" s="95">
        <f>L131+M131+Z131</f>
        <v/>
      </c>
      <c r="AE131" s="95">
        <f>AD131-AA131</f>
        <v/>
      </c>
      <c r="AF131" s="58">
        <f>IF($D131="","",F131&amp;"|"&amp;COUNTIFS($F$7:F131,F131,$D$7:D131,"&lt;&gt;"))</f>
        <v/>
      </c>
      <c r="AG131" s="58">
        <f>IF(AND($D131&lt;&gt;"",H131="Cash"),"Cash|"&amp;COUNTIFS($H$7:H131,"Cash",$D$7:D131,"&lt;&gt;"),"")</f>
        <v/>
      </c>
      <c r="AH131" s="95">
        <f>IF(AND($D131&lt;&gt;"",OR(F131="Cost of Sales",F131="Operating Expense",F131="Other Expense"),Z131&gt;0),Z131+125/1000000,"")</f>
        <v/>
      </c>
      <c r="AI131" s="95">
        <f>L131+M131+SUM(N131:N131)</f>
        <v/>
      </c>
      <c r="AJ131" s="95">
        <f>L131+M131+SUM(N131:O131)</f>
        <v/>
      </c>
      <c r="AK131" s="95">
        <f>L131+M131+SUM(N131:P131)</f>
        <v/>
      </c>
      <c r="AL131" s="95">
        <f>L131+M131+SUM(N131:Q131)</f>
        <v/>
      </c>
      <c r="AM131" s="95">
        <f>L131+M131+SUM(N131:R131)</f>
        <v/>
      </c>
      <c r="AN131" s="95">
        <f>L131+M131+SUM(N131:S131)</f>
        <v/>
      </c>
      <c r="AO131" s="95">
        <f>L131+M131+SUM(N131:T131)</f>
        <v/>
      </c>
      <c r="AP131" s="95">
        <f>L131+M131+SUM(N131:U131)</f>
        <v/>
      </c>
      <c r="AQ131" s="95">
        <f>L131+M131+SUM(N131:V131)</f>
        <v/>
      </c>
      <c r="AR131" s="95">
        <f>L131+M131+SUM(N131:W131)</f>
        <v/>
      </c>
      <c r="AS131" s="95">
        <f>L131+M131+SUM(N131:X131)</f>
        <v/>
      </c>
      <c r="AT131" s="95">
        <f>L131+M131+SUM(N131:Y131)</f>
        <v/>
      </c>
    </row>
    <row r="132">
      <c r="B132" s="58" t="n">
        <v>126</v>
      </c>
      <c r="C132" s="58">
        <f>IFERROR(INDEX(coa_Name,126)&amp;"","")</f>
        <v/>
      </c>
      <c r="D132" s="58">
        <f>IF(C132="","",IF(COUNTIF($C$7:C132,C132)&gt;1,"",C132))</f>
        <v/>
      </c>
      <c r="E132" s="58">
        <f>IF($D132="","",INDEX(coa_Code,126))</f>
        <v/>
      </c>
      <c r="F132" s="58">
        <f>IF($D132="","",INDEX(coa_Type,126)&amp;"")</f>
        <v/>
      </c>
      <c r="G132" s="58">
        <f>IF($D132="","",INDEX(coa_Normal,126)&amp;"")</f>
        <v/>
      </c>
      <c r="H132" s="58">
        <f>IF($D132="","",IF(INDEX(coa_CF,126)&amp;""="","Operating",INDEX(coa_CF,126)&amp;""))</f>
        <v/>
      </c>
      <c r="I132" s="58">
        <f>IF($D132="","",IFERROR(INDEX(at_Stmt,MATCH(F132,at_Type,0)),""))</f>
        <v/>
      </c>
      <c r="J132" s="58">
        <f>IF($D132="",0,IFERROR(INDEX(at_Sign,MATCH(F132,at_Type,0)),0))</f>
        <v/>
      </c>
      <c r="K132" s="95">
        <f>IF($D132="",0,IF(G132="Credit",-1,1)*N(INDEX(coa_Open,126)))</f>
        <v/>
      </c>
      <c r="L132" s="95">
        <f>IF($D132="",0,IF($D132=acctOBE,K132-SUM($K$7:$K$156),K132))</f>
        <v/>
      </c>
      <c r="M132" s="95">
        <f>IF($D132="",0,SUMIFS(j_DrAmt,j_DrAcct,$D132,j_Per,0)-SUMIFS(j_CrAmt,j_CrAcct,$D132,j_Per,0)+IF($D132=acctTax,SUMIFS(j_TaxDr,j_Posted,1,j_Per,0)-SUMIFS(j_TaxCr,j_Posted,1,j_Per,0),0))</f>
        <v/>
      </c>
      <c r="N132" s="95">
        <f>IF($D132="",0,SUMIFS(j_DrAmt,j_DrAcct,$D132,j_Per,1)-SUMIFS(j_CrAmt,j_CrAcct,$D132,j_Per,1)+IF($D132=acctTax,SUMIFS(j_TaxDr,j_Posted,1,j_Per,1)-SUMIFS(j_TaxCr,j_Posted,1,j_Per,1),0))</f>
        <v/>
      </c>
      <c r="O132" s="95">
        <f>IF($D132="",0,SUMIFS(j_DrAmt,j_DrAcct,$D132,j_Per,2)-SUMIFS(j_CrAmt,j_CrAcct,$D132,j_Per,2)+IF($D132=acctTax,SUMIFS(j_TaxDr,j_Posted,1,j_Per,2)-SUMIFS(j_TaxCr,j_Posted,1,j_Per,2),0))</f>
        <v/>
      </c>
      <c r="P132" s="95">
        <f>IF($D132="",0,SUMIFS(j_DrAmt,j_DrAcct,$D132,j_Per,3)-SUMIFS(j_CrAmt,j_CrAcct,$D132,j_Per,3)+IF($D132=acctTax,SUMIFS(j_TaxDr,j_Posted,1,j_Per,3)-SUMIFS(j_TaxCr,j_Posted,1,j_Per,3),0))</f>
        <v/>
      </c>
      <c r="Q132" s="95">
        <f>IF($D132="",0,SUMIFS(j_DrAmt,j_DrAcct,$D132,j_Per,4)-SUMIFS(j_CrAmt,j_CrAcct,$D132,j_Per,4)+IF($D132=acctTax,SUMIFS(j_TaxDr,j_Posted,1,j_Per,4)-SUMIFS(j_TaxCr,j_Posted,1,j_Per,4),0))</f>
        <v/>
      </c>
      <c r="R132" s="95">
        <f>IF($D132="",0,SUMIFS(j_DrAmt,j_DrAcct,$D132,j_Per,5)-SUMIFS(j_CrAmt,j_CrAcct,$D132,j_Per,5)+IF($D132=acctTax,SUMIFS(j_TaxDr,j_Posted,1,j_Per,5)-SUMIFS(j_TaxCr,j_Posted,1,j_Per,5),0))</f>
        <v/>
      </c>
      <c r="S132" s="95">
        <f>IF($D132="",0,SUMIFS(j_DrAmt,j_DrAcct,$D132,j_Per,6)-SUMIFS(j_CrAmt,j_CrAcct,$D132,j_Per,6)+IF($D132=acctTax,SUMIFS(j_TaxDr,j_Posted,1,j_Per,6)-SUMIFS(j_TaxCr,j_Posted,1,j_Per,6),0))</f>
        <v/>
      </c>
      <c r="T132" s="95">
        <f>IF($D132="",0,SUMIFS(j_DrAmt,j_DrAcct,$D132,j_Per,7)-SUMIFS(j_CrAmt,j_CrAcct,$D132,j_Per,7)+IF($D132=acctTax,SUMIFS(j_TaxDr,j_Posted,1,j_Per,7)-SUMIFS(j_TaxCr,j_Posted,1,j_Per,7),0))</f>
        <v/>
      </c>
      <c r="U132" s="95">
        <f>IF($D132="",0,SUMIFS(j_DrAmt,j_DrAcct,$D132,j_Per,8)-SUMIFS(j_CrAmt,j_CrAcct,$D132,j_Per,8)+IF($D132=acctTax,SUMIFS(j_TaxDr,j_Posted,1,j_Per,8)-SUMIFS(j_TaxCr,j_Posted,1,j_Per,8),0))</f>
        <v/>
      </c>
      <c r="V132" s="95">
        <f>IF($D132="",0,SUMIFS(j_DrAmt,j_DrAcct,$D132,j_Per,9)-SUMIFS(j_CrAmt,j_CrAcct,$D132,j_Per,9)+IF($D132=acctTax,SUMIFS(j_TaxDr,j_Posted,1,j_Per,9)-SUMIFS(j_TaxCr,j_Posted,1,j_Per,9),0))</f>
        <v/>
      </c>
      <c r="W132" s="95">
        <f>IF($D132="",0,SUMIFS(j_DrAmt,j_DrAcct,$D132,j_Per,10)-SUMIFS(j_CrAmt,j_CrAcct,$D132,j_Per,10)+IF($D132=acctTax,SUMIFS(j_TaxDr,j_Posted,1,j_Per,10)-SUMIFS(j_TaxCr,j_Posted,1,j_Per,10),0))</f>
        <v/>
      </c>
      <c r="X132" s="95">
        <f>IF($D132="",0,SUMIFS(j_DrAmt,j_DrAcct,$D132,j_Per,11)-SUMIFS(j_CrAmt,j_CrAcct,$D132,j_Per,11)+IF($D132=acctTax,SUMIFS(j_TaxDr,j_Posted,1,j_Per,11)-SUMIFS(j_TaxCr,j_Posted,1,j_Per,11),0))</f>
        <v/>
      </c>
      <c r="Y132" s="95">
        <f>IF($D132="",0,SUMIFS(j_DrAmt,j_DrAcct,$D132,j_Per,12)-SUMIFS(j_CrAmt,j_CrAcct,$D132,j_Per,12)+IF($D132=acctTax,SUMIFS(j_TaxDr,j_Posted,1,j_Per,12)-SUMIFS(j_TaxCr,j_Posted,1,j_Per,12),0))</f>
        <v/>
      </c>
      <c r="Z132" s="95">
        <f>SUMPRODUCT(($N$5:$Y$5&lt;=RptIdx)*N132:Y132)</f>
        <v/>
      </c>
      <c r="AA132" s="95">
        <f>IF(AND(RptIdx&gt;=1,RptIdx&lt;=12),INDEX(N132:Y132,RptIdx),0)</f>
        <v/>
      </c>
      <c r="AB132" s="95">
        <f>IF($D132="",0,IF(RptIdx&gt;1,INDEX(N132:Y132,RptIdx-1),SUMIFS(j_DrAmt,j_DrAcct,$D132,j_Date,"&gt;="&amp;PrevStart,j_Date,"&lt;="&amp;PrevEnd)-SUMIFS(j_CrAmt,j_CrAcct,$D132,j_Date,"&gt;="&amp;PrevStart,j_Date,"&lt;="&amp;PrevEnd)+IF($D132=acctTax,SUMIFS(j_TaxDr,j_Posted,1,j_Date,"&gt;="&amp;PrevStart,j_Date,"&lt;="&amp;PrevEnd)-SUMIFS(j_TaxCr,j_Posted,1,j_Date,"&gt;="&amp;PrevStart,j_Date,"&lt;="&amp;PrevEnd),0)))</f>
        <v/>
      </c>
      <c r="AC132" s="95">
        <f>SUM(N132:Y132)</f>
        <v/>
      </c>
      <c r="AD132" s="95">
        <f>L132+M132+Z132</f>
        <v/>
      </c>
      <c r="AE132" s="95">
        <f>AD132-AA132</f>
        <v/>
      </c>
      <c r="AF132" s="58">
        <f>IF($D132="","",F132&amp;"|"&amp;COUNTIFS($F$7:F132,F132,$D$7:D132,"&lt;&gt;"))</f>
        <v/>
      </c>
      <c r="AG132" s="58">
        <f>IF(AND($D132&lt;&gt;"",H132="Cash"),"Cash|"&amp;COUNTIFS($H$7:H132,"Cash",$D$7:D132,"&lt;&gt;"),"")</f>
        <v/>
      </c>
      <c r="AH132" s="95">
        <f>IF(AND($D132&lt;&gt;"",OR(F132="Cost of Sales",F132="Operating Expense",F132="Other Expense"),Z132&gt;0),Z132+126/1000000,"")</f>
        <v/>
      </c>
      <c r="AI132" s="95">
        <f>L132+M132+SUM(N132:N132)</f>
        <v/>
      </c>
      <c r="AJ132" s="95">
        <f>L132+M132+SUM(N132:O132)</f>
        <v/>
      </c>
      <c r="AK132" s="95">
        <f>L132+M132+SUM(N132:P132)</f>
        <v/>
      </c>
      <c r="AL132" s="95">
        <f>L132+M132+SUM(N132:Q132)</f>
        <v/>
      </c>
      <c r="AM132" s="95">
        <f>L132+M132+SUM(N132:R132)</f>
        <v/>
      </c>
      <c r="AN132" s="95">
        <f>L132+M132+SUM(N132:S132)</f>
        <v/>
      </c>
      <c r="AO132" s="95">
        <f>L132+M132+SUM(N132:T132)</f>
        <v/>
      </c>
      <c r="AP132" s="95">
        <f>L132+M132+SUM(N132:U132)</f>
        <v/>
      </c>
      <c r="AQ132" s="95">
        <f>L132+M132+SUM(N132:V132)</f>
        <v/>
      </c>
      <c r="AR132" s="95">
        <f>L132+M132+SUM(N132:W132)</f>
        <v/>
      </c>
      <c r="AS132" s="95">
        <f>L132+M132+SUM(N132:X132)</f>
        <v/>
      </c>
      <c r="AT132" s="95">
        <f>L132+M132+SUM(N132:Y132)</f>
        <v/>
      </c>
    </row>
    <row r="133">
      <c r="B133" s="58" t="n">
        <v>127</v>
      </c>
      <c r="C133" s="58">
        <f>IFERROR(INDEX(coa_Name,127)&amp;"","")</f>
        <v/>
      </c>
      <c r="D133" s="58">
        <f>IF(C133="","",IF(COUNTIF($C$7:C133,C133)&gt;1,"",C133))</f>
        <v/>
      </c>
      <c r="E133" s="58">
        <f>IF($D133="","",INDEX(coa_Code,127))</f>
        <v/>
      </c>
      <c r="F133" s="58">
        <f>IF($D133="","",INDEX(coa_Type,127)&amp;"")</f>
        <v/>
      </c>
      <c r="G133" s="58">
        <f>IF($D133="","",INDEX(coa_Normal,127)&amp;"")</f>
        <v/>
      </c>
      <c r="H133" s="58">
        <f>IF($D133="","",IF(INDEX(coa_CF,127)&amp;""="","Operating",INDEX(coa_CF,127)&amp;""))</f>
        <v/>
      </c>
      <c r="I133" s="58">
        <f>IF($D133="","",IFERROR(INDEX(at_Stmt,MATCH(F133,at_Type,0)),""))</f>
        <v/>
      </c>
      <c r="J133" s="58">
        <f>IF($D133="",0,IFERROR(INDEX(at_Sign,MATCH(F133,at_Type,0)),0))</f>
        <v/>
      </c>
      <c r="K133" s="95">
        <f>IF($D133="",0,IF(G133="Credit",-1,1)*N(INDEX(coa_Open,127)))</f>
        <v/>
      </c>
      <c r="L133" s="95">
        <f>IF($D133="",0,IF($D133=acctOBE,K133-SUM($K$7:$K$156),K133))</f>
        <v/>
      </c>
      <c r="M133" s="95">
        <f>IF($D133="",0,SUMIFS(j_DrAmt,j_DrAcct,$D133,j_Per,0)-SUMIFS(j_CrAmt,j_CrAcct,$D133,j_Per,0)+IF($D133=acctTax,SUMIFS(j_TaxDr,j_Posted,1,j_Per,0)-SUMIFS(j_TaxCr,j_Posted,1,j_Per,0),0))</f>
        <v/>
      </c>
      <c r="N133" s="95">
        <f>IF($D133="",0,SUMIFS(j_DrAmt,j_DrAcct,$D133,j_Per,1)-SUMIFS(j_CrAmt,j_CrAcct,$D133,j_Per,1)+IF($D133=acctTax,SUMIFS(j_TaxDr,j_Posted,1,j_Per,1)-SUMIFS(j_TaxCr,j_Posted,1,j_Per,1),0))</f>
        <v/>
      </c>
      <c r="O133" s="95">
        <f>IF($D133="",0,SUMIFS(j_DrAmt,j_DrAcct,$D133,j_Per,2)-SUMIFS(j_CrAmt,j_CrAcct,$D133,j_Per,2)+IF($D133=acctTax,SUMIFS(j_TaxDr,j_Posted,1,j_Per,2)-SUMIFS(j_TaxCr,j_Posted,1,j_Per,2),0))</f>
        <v/>
      </c>
      <c r="P133" s="95">
        <f>IF($D133="",0,SUMIFS(j_DrAmt,j_DrAcct,$D133,j_Per,3)-SUMIFS(j_CrAmt,j_CrAcct,$D133,j_Per,3)+IF($D133=acctTax,SUMIFS(j_TaxDr,j_Posted,1,j_Per,3)-SUMIFS(j_TaxCr,j_Posted,1,j_Per,3),0))</f>
        <v/>
      </c>
      <c r="Q133" s="95">
        <f>IF($D133="",0,SUMIFS(j_DrAmt,j_DrAcct,$D133,j_Per,4)-SUMIFS(j_CrAmt,j_CrAcct,$D133,j_Per,4)+IF($D133=acctTax,SUMIFS(j_TaxDr,j_Posted,1,j_Per,4)-SUMIFS(j_TaxCr,j_Posted,1,j_Per,4),0))</f>
        <v/>
      </c>
      <c r="R133" s="95">
        <f>IF($D133="",0,SUMIFS(j_DrAmt,j_DrAcct,$D133,j_Per,5)-SUMIFS(j_CrAmt,j_CrAcct,$D133,j_Per,5)+IF($D133=acctTax,SUMIFS(j_TaxDr,j_Posted,1,j_Per,5)-SUMIFS(j_TaxCr,j_Posted,1,j_Per,5),0))</f>
        <v/>
      </c>
      <c r="S133" s="95">
        <f>IF($D133="",0,SUMIFS(j_DrAmt,j_DrAcct,$D133,j_Per,6)-SUMIFS(j_CrAmt,j_CrAcct,$D133,j_Per,6)+IF($D133=acctTax,SUMIFS(j_TaxDr,j_Posted,1,j_Per,6)-SUMIFS(j_TaxCr,j_Posted,1,j_Per,6),0))</f>
        <v/>
      </c>
      <c r="T133" s="95">
        <f>IF($D133="",0,SUMIFS(j_DrAmt,j_DrAcct,$D133,j_Per,7)-SUMIFS(j_CrAmt,j_CrAcct,$D133,j_Per,7)+IF($D133=acctTax,SUMIFS(j_TaxDr,j_Posted,1,j_Per,7)-SUMIFS(j_TaxCr,j_Posted,1,j_Per,7),0))</f>
        <v/>
      </c>
      <c r="U133" s="95">
        <f>IF($D133="",0,SUMIFS(j_DrAmt,j_DrAcct,$D133,j_Per,8)-SUMIFS(j_CrAmt,j_CrAcct,$D133,j_Per,8)+IF($D133=acctTax,SUMIFS(j_TaxDr,j_Posted,1,j_Per,8)-SUMIFS(j_TaxCr,j_Posted,1,j_Per,8),0))</f>
        <v/>
      </c>
      <c r="V133" s="95">
        <f>IF($D133="",0,SUMIFS(j_DrAmt,j_DrAcct,$D133,j_Per,9)-SUMIFS(j_CrAmt,j_CrAcct,$D133,j_Per,9)+IF($D133=acctTax,SUMIFS(j_TaxDr,j_Posted,1,j_Per,9)-SUMIFS(j_TaxCr,j_Posted,1,j_Per,9),0))</f>
        <v/>
      </c>
      <c r="W133" s="95">
        <f>IF($D133="",0,SUMIFS(j_DrAmt,j_DrAcct,$D133,j_Per,10)-SUMIFS(j_CrAmt,j_CrAcct,$D133,j_Per,10)+IF($D133=acctTax,SUMIFS(j_TaxDr,j_Posted,1,j_Per,10)-SUMIFS(j_TaxCr,j_Posted,1,j_Per,10),0))</f>
        <v/>
      </c>
      <c r="X133" s="95">
        <f>IF($D133="",0,SUMIFS(j_DrAmt,j_DrAcct,$D133,j_Per,11)-SUMIFS(j_CrAmt,j_CrAcct,$D133,j_Per,11)+IF($D133=acctTax,SUMIFS(j_TaxDr,j_Posted,1,j_Per,11)-SUMIFS(j_TaxCr,j_Posted,1,j_Per,11),0))</f>
        <v/>
      </c>
      <c r="Y133" s="95">
        <f>IF($D133="",0,SUMIFS(j_DrAmt,j_DrAcct,$D133,j_Per,12)-SUMIFS(j_CrAmt,j_CrAcct,$D133,j_Per,12)+IF($D133=acctTax,SUMIFS(j_TaxDr,j_Posted,1,j_Per,12)-SUMIFS(j_TaxCr,j_Posted,1,j_Per,12),0))</f>
        <v/>
      </c>
      <c r="Z133" s="95">
        <f>SUMPRODUCT(($N$5:$Y$5&lt;=RptIdx)*N133:Y133)</f>
        <v/>
      </c>
      <c r="AA133" s="95">
        <f>IF(AND(RptIdx&gt;=1,RptIdx&lt;=12),INDEX(N133:Y133,RptIdx),0)</f>
        <v/>
      </c>
      <c r="AB133" s="95">
        <f>IF($D133="",0,IF(RptIdx&gt;1,INDEX(N133:Y133,RptIdx-1),SUMIFS(j_DrAmt,j_DrAcct,$D133,j_Date,"&gt;="&amp;PrevStart,j_Date,"&lt;="&amp;PrevEnd)-SUMIFS(j_CrAmt,j_CrAcct,$D133,j_Date,"&gt;="&amp;PrevStart,j_Date,"&lt;="&amp;PrevEnd)+IF($D133=acctTax,SUMIFS(j_TaxDr,j_Posted,1,j_Date,"&gt;="&amp;PrevStart,j_Date,"&lt;="&amp;PrevEnd)-SUMIFS(j_TaxCr,j_Posted,1,j_Date,"&gt;="&amp;PrevStart,j_Date,"&lt;="&amp;PrevEnd),0)))</f>
        <v/>
      </c>
      <c r="AC133" s="95">
        <f>SUM(N133:Y133)</f>
        <v/>
      </c>
      <c r="AD133" s="95">
        <f>L133+M133+Z133</f>
        <v/>
      </c>
      <c r="AE133" s="95">
        <f>AD133-AA133</f>
        <v/>
      </c>
      <c r="AF133" s="58">
        <f>IF($D133="","",F133&amp;"|"&amp;COUNTIFS($F$7:F133,F133,$D$7:D133,"&lt;&gt;"))</f>
        <v/>
      </c>
      <c r="AG133" s="58">
        <f>IF(AND($D133&lt;&gt;"",H133="Cash"),"Cash|"&amp;COUNTIFS($H$7:H133,"Cash",$D$7:D133,"&lt;&gt;"),"")</f>
        <v/>
      </c>
      <c r="AH133" s="95">
        <f>IF(AND($D133&lt;&gt;"",OR(F133="Cost of Sales",F133="Operating Expense",F133="Other Expense"),Z133&gt;0),Z133+127/1000000,"")</f>
        <v/>
      </c>
      <c r="AI133" s="95">
        <f>L133+M133+SUM(N133:N133)</f>
        <v/>
      </c>
      <c r="AJ133" s="95">
        <f>L133+M133+SUM(N133:O133)</f>
        <v/>
      </c>
      <c r="AK133" s="95">
        <f>L133+M133+SUM(N133:P133)</f>
        <v/>
      </c>
      <c r="AL133" s="95">
        <f>L133+M133+SUM(N133:Q133)</f>
        <v/>
      </c>
      <c r="AM133" s="95">
        <f>L133+M133+SUM(N133:R133)</f>
        <v/>
      </c>
      <c r="AN133" s="95">
        <f>L133+M133+SUM(N133:S133)</f>
        <v/>
      </c>
      <c r="AO133" s="95">
        <f>L133+M133+SUM(N133:T133)</f>
        <v/>
      </c>
      <c r="AP133" s="95">
        <f>L133+M133+SUM(N133:U133)</f>
        <v/>
      </c>
      <c r="AQ133" s="95">
        <f>L133+M133+SUM(N133:V133)</f>
        <v/>
      </c>
      <c r="AR133" s="95">
        <f>L133+M133+SUM(N133:W133)</f>
        <v/>
      </c>
      <c r="AS133" s="95">
        <f>L133+M133+SUM(N133:X133)</f>
        <v/>
      </c>
      <c r="AT133" s="95">
        <f>L133+M133+SUM(N133:Y133)</f>
        <v/>
      </c>
    </row>
    <row r="134">
      <c r="B134" s="58" t="n">
        <v>128</v>
      </c>
      <c r="C134" s="58">
        <f>IFERROR(INDEX(coa_Name,128)&amp;"","")</f>
        <v/>
      </c>
      <c r="D134" s="58">
        <f>IF(C134="","",IF(COUNTIF($C$7:C134,C134)&gt;1,"",C134))</f>
        <v/>
      </c>
      <c r="E134" s="58">
        <f>IF($D134="","",INDEX(coa_Code,128))</f>
        <v/>
      </c>
      <c r="F134" s="58">
        <f>IF($D134="","",INDEX(coa_Type,128)&amp;"")</f>
        <v/>
      </c>
      <c r="G134" s="58">
        <f>IF($D134="","",INDEX(coa_Normal,128)&amp;"")</f>
        <v/>
      </c>
      <c r="H134" s="58">
        <f>IF($D134="","",IF(INDEX(coa_CF,128)&amp;""="","Operating",INDEX(coa_CF,128)&amp;""))</f>
        <v/>
      </c>
      <c r="I134" s="58">
        <f>IF($D134="","",IFERROR(INDEX(at_Stmt,MATCH(F134,at_Type,0)),""))</f>
        <v/>
      </c>
      <c r="J134" s="58">
        <f>IF($D134="",0,IFERROR(INDEX(at_Sign,MATCH(F134,at_Type,0)),0))</f>
        <v/>
      </c>
      <c r="K134" s="95">
        <f>IF($D134="",0,IF(G134="Credit",-1,1)*N(INDEX(coa_Open,128)))</f>
        <v/>
      </c>
      <c r="L134" s="95">
        <f>IF($D134="",0,IF($D134=acctOBE,K134-SUM($K$7:$K$156),K134))</f>
        <v/>
      </c>
      <c r="M134" s="95">
        <f>IF($D134="",0,SUMIFS(j_DrAmt,j_DrAcct,$D134,j_Per,0)-SUMIFS(j_CrAmt,j_CrAcct,$D134,j_Per,0)+IF($D134=acctTax,SUMIFS(j_TaxDr,j_Posted,1,j_Per,0)-SUMIFS(j_TaxCr,j_Posted,1,j_Per,0),0))</f>
        <v/>
      </c>
      <c r="N134" s="95">
        <f>IF($D134="",0,SUMIFS(j_DrAmt,j_DrAcct,$D134,j_Per,1)-SUMIFS(j_CrAmt,j_CrAcct,$D134,j_Per,1)+IF($D134=acctTax,SUMIFS(j_TaxDr,j_Posted,1,j_Per,1)-SUMIFS(j_TaxCr,j_Posted,1,j_Per,1),0))</f>
        <v/>
      </c>
      <c r="O134" s="95">
        <f>IF($D134="",0,SUMIFS(j_DrAmt,j_DrAcct,$D134,j_Per,2)-SUMIFS(j_CrAmt,j_CrAcct,$D134,j_Per,2)+IF($D134=acctTax,SUMIFS(j_TaxDr,j_Posted,1,j_Per,2)-SUMIFS(j_TaxCr,j_Posted,1,j_Per,2),0))</f>
        <v/>
      </c>
      <c r="P134" s="95">
        <f>IF($D134="",0,SUMIFS(j_DrAmt,j_DrAcct,$D134,j_Per,3)-SUMIFS(j_CrAmt,j_CrAcct,$D134,j_Per,3)+IF($D134=acctTax,SUMIFS(j_TaxDr,j_Posted,1,j_Per,3)-SUMIFS(j_TaxCr,j_Posted,1,j_Per,3),0))</f>
        <v/>
      </c>
      <c r="Q134" s="95">
        <f>IF($D134="",0,SUMIFS(j_DrAmt,j_DrAcct,$D134,j_Per,4)-SUMIFS(j_CrAmt,j_CrAcct,$D134,j_Per,4)+IF($D134=acctTax,SUMIFS(j_TaxDr,j_Posted,1,j_Per,4)-SUMIFS(j_TaxCr,j_Posted,1,j_Per,4),0))</f>
        <v/>
      </c>
      <c r="R134" s="95">
        <f>IF($D134="",0,SUMIFS(j_DrAmt,j_DrAcct,$D134,j_Per,5)-SUMIFS(j_CrAmt,j_CrAcct,$D134,j_Per,5)+IF($D134=acctTax,SUMIFS(j_TaxDr,j_Posted,1,j_Per,5)-SUMIFS(j_TaxCr,j_Posted,1,j_Per,5),0))</f>
        <v/>
      </c>
      <c r="S134" s="95">
        <f>IF($D134="",0,SUMIFS(j_DrAmt,j_DrAcct,$D134,j_Per,6)-SUMIFS(j_CrAmt,j_CrAcct,$D134,j_Per,6)+IF($D134=acctTax,SUMIFS(j_TaxDr,j_Posted,1,j_Per,6)-SUMIFS(j_TaxCr,j_Posted,1,j_Per,6),0))</f>
        <v/>
      </c>
      <c r="T134" s="95">
        <f>IF($D134="",0,SUMIFS(j_DrAmt,j_DrAcct,$D134,j_Per,7)-SUMIFS(j_CrAmt,j_CrAcct,$D134,j_Per,7)+IF($D134=acctTax,SUMIFS(j_TaxDr,j_Posted,1,j_Per,7)-SUMIFS(j_TaxCr,j_Posted,1,j_Per,7),0))</f>
        <v/>
      </c>
      <c r="U134" s="95">
        <f>IF($D134="",0,SUMIFS(j_DrAmt,j_DrAcct,$D134,j_Per,8)-SUMIFS(j_CrAmt,j_CrAcct,$D134,j_Per,8)+IF($D134=acctTax,SUMIFS(j_TaxDr,j_Posted,1,j_Per,8)-SUMIFS(j_TaxCr,j_Posted,1,j_Per,8),0))</f>
        <v/>
      </c>
      <c r="V134" s="95">
        <f>IF($D134="",0,SUMIFS(j_DrAmt,j_DrAcct,$D134,j_Per,9)-SUMIFS(j_CrAmt,j_CrAcct,$D134,j_Per,9)+IF($D134=acctTax,SUMIFS(j_TaxDr,j_Posted,1,j_Per,9)-SUMIFS(j_TaxCr,j_Posted,1,j_Per,9),0))</f>
        <v/>
      </c>
      <c r="W134" s="95">
        <f>IF($D134="",0,SUMIFS(j_DrAmt,j_DrAcct,$D134,j_Per,10)-SUMIFS(j_CrAmt,j_CrAcct,$D134,j_Per,10)+IF($D134=acctTax,SUMIFS(j_TaxDr,j_Posted,1,j_Per,10)-SUMIFS(j_TaxCr,j_Posted,1,j_Per,10),0))</f>
        <v/>
      </c>
      <c r="X134" s="95">
        <f>IF($D134="",0,SUMIFS(j_DrAmt,j_DrAcct,$D134,j_Per,11)-SUMIFS(j_CrAmt,j_CrAcct,$D134,j_Per,11)+IF($D134=acctTax,SUMIFS(j_TaxDr,j_Posted,1,j_Per,11)-SUMIFS(j_TaxCr,j_Posted,1,j_Per,11),0))</f>
        <v/>
      </c>
      <c r="Y134" s="95">
        <f>IF($D134="",0,SUMIFS(j_DrAmt,j_DrAcct,$D134,j_Per,12)-SUMIFS(j_CrAmt,j_CrAcct,$D134,j_Per,12)+IF($D134=acctTax,SUMIFS(j_TaxDr,j_Posted,1,j_Per,12)-SUMIFS(j_TaxCr,j_Posted,1,j_Per,12),0))</f>
        <v/>
      </c>
      <c r="Z134" s="95">
        <f>SUMPRODUCT(($N$5:$Y$5&lt;=RptIdx)*N134:Y134)</f>
        <v/>
      </c>
      <c r="AA134" s="95">
        <f>IF(AND(RptIdx&gt;=1,RptIdx&lt;=12),INDEX(N134:Y134,RptIdx),0)</f>
        <v/>
      </c>
      <c r="AB134" s="95">
        <f>IF($D134="",0,IF(RptIdx&gt;1,INDEX(N134:Y134,RptIdx-1),SUMIFS(j_DrAmt,j_DrAcct,$D134,j_Date,"&gt;="&amp;PrevStart,j_Date,"&lt;="&amp;PrevEnd)-SUMIFS(j_CrAmt,j_CrAcct,$D134,j_Date,"&gt;="&amp;PrevStart,j_Date,"&lt;="&amp;PrevEnd)+IF($D134=acctTax,SUMIFS(j_TaxDr,j_Posted,1,j_Date,"&gt;="&amp;PrevStart,j_Date,"&lt;="&amp;PrevEnd)-SUMIFS(j_TaxCr,j_Posted,1,j_Date,"&gt;="&amp;PrevStart,j_Date,"&lt;="&amp;PrevEnd),0)))</f>
        <v/>
      </c>
      <c r="AC134" s="95">
        <f>SUM(N134:Y134)</f>
        <v/>
      </c>
      <c r="AD134" s="95">
        <f>L134+M134+Z134</f>
        <v/>
      </c>
      <c r="AE134" s="95">
        <f>AD134-AA134</f>
        <v/>
      </c>
      <c r="AF134" s="58">
        <f>IF($D134="","",F134&amp;"|"&amp;COUNTIFS($F$7:F134,F134,$D$7:D134,"&lt;&gt;"))</f>
        <v/>
      </c>
      <c r="AG134" s="58">
        <f>IF(AND($D134&lt;&gt;"",H134="Cash"),"Cash|"&amp;COUNTIFS($H$7:H134,"Cash",$D$7:D134,"&lt;&gt;"),"")</f>
        <v/>
      </c>
      <c r="AH134" s="95">
        <f>IF(AND($D134&lt;&gt;"",OR(F134="Cost of Sales",F134="Operating Expense",F134="Other Expense"),Z134&gt;0),Z134+128/1000000,"")</f>
        <v/>
      </c>
      <c r="AI134" s="95">
        <f>L134+M134+SUM(N134:N134)</f>
        <v/>
      </c>
      <c r="AJ134" s="95">
        <f>L134+M134+SUM(N134:O134)</f>
        <v/>
      </c>
      <c r="AK134" s="95">
        <f>L134+M134+SUM(N134:P134)</f>
        <v/>
      </c>
      <c r="AL134" s="95">
        <f>L134+M134+SUM(N134:Q134)</f>
        <v/>
      </c>
      <c r="AM134" s="95">
        <f>L134+M134+SUM(N134:R134)</f>
        <v/>
      </c>
      <c r="AN134" s="95">
        <f>L134+M134+SUM(N134:S134)</f>
        <v/>
      </c>
      <c r="AO134" s="95">
        <f>L134+M134+SUM(N134:T134)</f>
        <v/>
      </c>
      <c r="AP134" s="95">
        <f>L134+M134+SUM(N134:U134)</f>
        <v/>
      </c>
      <c r="AQ134" s="95">
        <f>L134+M134+SUM(N134:V134)</f>
        <v/>
      </c>
      <c r="AR134" s="95">
        <f>L134+M134+SUM(N134:W134)</f>
        <v/>
      </c>
      <c r="AS134" s="95">
        <f>L134+M134+SUM(N134:X134)</f>
        <v/>
      </c>
      <c r="AT134" s="95">
        <f>L134+M134+SUM(N134:Y134)</f>
        <v/>
      </c>
    </row>
    <row r="135">
      <c r="B135" s="58" t="n">
        <v>129</v>
      </c>
      <c r="C135" s="58">
        <f>IFERROR(INDEX(coa_Name,129)&amp;"","")</f>
        <v/>
      </c>
      <c r="D135" s="58">
        <f>IF(C135="","",IF(COUNTIF($C$7:C135,C135)&gt;1,"",C135))</f>
        <v/>
      </c>
      <c r="E135" s="58">
        <f>IF($D135="","",INDEX(coa_Code,129))</f>
        <v/>
      </c>
      <c r="F135" s="58">
        <f>IF($D135="","",INDEX(coa_Type,129)&amp;"")</f>
        <v/>
      </c>
      <c r="G135" s="58">
        <f>IF($D135="","",INDEX(coa_Normal,129)&amp;"")</f>
        <v/>
      </c>
      <c r="H135" s="58">
        <f>IF($D135="","",IF(INDEX(coa_CF,129)&amp;""="","Operating",INDEX(coa_CF,129)&amp;""))</f>
        <v/>
      </c>
      <c r="I135" s="58">
        <f>IF($D135="","",IFERROR(INDEX(at_Stmt,MATCH(F135,at_Type,0)),""))</f>
        <v/>
      </c>
      <c r="J135" s="58">
        <f>IF($D135="",0,IFERROR(INDEX(at_Sign,MATCH(F135,at_Type,0)),0))</f>
        <v/>
      </c>
      <c r="K135" s="95">
        <f>IF($D135="",0,IF(G135="Credit",-1,1)*N(INDEX(coa_Open,129)))</f>
        <v/>
      </c>
      <c r="L135" s="95">
        <f>IF($D135="",0,IF($D135=acctOBE,K135-SUM($K$7:$K$156),K135))</f>
        <v/>
      </c>
      <c r="M135" s="95">
        <f>IF($D135="",0,SUMIFS(j_DrAmt,j_DrAcct,$D135,j_Per,0)-SUMIFS(j_CrAmt,j_CrAcct,$D135,j_Per,0)+IF($D135=acctTax,SUMIFS(j_TaxDr,j_Posted,1,j_Per,0)-SUMIFS(j_TaxCr,j_Posted,1,j_Per,0),0))</f>
        <v/>
      </c>
      <c r="N135" s="95">
        <f>IF($D135="",0,SUMIFS(j_DrAmt,j_DrAcct,$D135,j_Per,1)-SUMIFS(j_CrAmt,j_CrAcct,$D135,j_Per,1)+IF($D135=acctTax,SUMIFS(j_TaxDr,j_Posted,1,j_Per,1)-SUMIFS(j_TaxCr,j_Posted,1,j_Per,1),0))</f>
        <v/>
      </c>
      <c r="O135" s="95">
        <f>IF($D135="",0,SUMIFS(j_DrAmt,j_DrAcct,$D135,j_Per,2)-SUMIFS(j_CrAmt,j_CrAcct,$D135,j_Per,2)+IF($D135=acctTax,SUMIFS(j_TaxDr,j_Posted,1,j_Per,2)-SUMIFS(j_TaxCr,j_Posted,1,j_Per,2),0))</f>
        <v/>
      </c>
      <c r="P135" s="95">
        <f>IF($D135="",0,SUMIFS(j_DrAmt,j_DrAcct,$D135,j_Per,3)-SUMIFS(j_CrAmt,j_CrAcct,$D135,j_Per,3)+IF($D135=acctTax,SUMIFS(j_TaxDr,j_Posted,1,j_Per,3)-SUMIFS(j_TaxCr,j_Posted,1,j_Per,3),0))</f>
        <v/>
      </c>
      <c r="Q135" s="95">
        <f>IF($D135="",0,SUMIFS(j_DrAmt,j_DrAcct,$D135,j_Per,4)-SUMIFS(j_CrAmt,j_CrAcct,$D135,j_Per,4)+IF($D135=acctTax,SUMIFS(j_TaxDr,j_Posted,1,j_Per,4)-SUMIFS(j_TaxCr,j_Posted,1,j_Per,4),0))</f>
        <v/>
      </c>
      <c r="R135" s="95">
        <f>IF($D135="",0,SUMIFS(j_DrAmt,j_DrAcct,$D135,j_Per,5)-SUMIFS(j_CrAmt,j_CrAcct,$D135,j_Per,5)+IF($D135=acctTax,SUMIFS(j_TaxDr,j_Posted,1,j_Per,5)-SUMIFS(j_TaxCr,j_Posted,1,j_Per,5),0))</f>
        <v/>
      </c>
      <c r="S135" s="95">
        <f>IF($D135="",0,SUMIFS(j_DrAmt,j_DrAcct,$D135,j_Per,6)-SUMIFS(j_CrAmt,j_CrAcct,$D135,j_Per,6)+IF($D135=acctTax,SUMIFS(j_TaxDr,j_Posted,1,j_Per,6)-SUMIFS(j_TaxCr,j_Posted,1,j_Per,6),0))</f>
        <v/>
      </c>
      <c r="T135" s="95">
        <f>IF($D135="",0,SUMIFS(j_DrAmt,j_DrAcct,$D135,j_Per,7)-SUMIFS(j_CrAmt,j_CrAcct,$D135,j_Per,7)+IF($D135=acctTax,SUMIFS(j_TaxDr,j_Posted,1,j_Per,7)-SUMIFS(j_TaxCr,j_Posted,1,j_Per,7),0))</f>
        <v/>
      </c>
      <c r="U135" s="95">
        <f>IF($D135="",0,SUMIFS(j_DrAmt,j_DrAcct,$D135,j_Per,8)-SUMIFS(j_CrAmt,j_CrAcct,$D135,j_Per,8)+IF($D135=acctTax,SUMIFS(j_TaxDr,j_Posted,1,j_Per,8)-SUMIFS(j_TaxCr,j_Posted,1,j_Per,8),0))</f>
        <v/>
      </c>
      <c r="V135" s="95">
        <f>IF($D135="",0,SUMIFS(j_DrAmt,j_DrAcct,$D135,j_Per,9)-SUMIFS(j_CrAmt,j_CrAcct,$D135,j_Per,9)+IF($D135=acctTax,SUMIFS(j_TaxDr,j_Posted,1,j_Per,9)-SUMIFS(j_TaxCr,j_Posted,1,j_Per,9),0))</f>
        <v/>
      </c>
      <c r="W135" s="95">
        <f>IF($D135="",0,SUMIFS(j_DrAmt,j_DrAcct,$D135,j_Per,10)-SUMIFS(j_CrAmt,j_CrAcct,$D135,j_Per,10)+IF($D135=acctTax,SUMIFS(j_TaxDr,j_Posted,1,j_Per,10)-SUMIFS(j_TaxCr,j_Posted,1,j_Per,10),0))</f>
        <v/>
      </c>
      <c r="X135" s="95">
        <f>IF($D135="",0,SUMIFS(j_DrAmt,j_DrAcct,$D135,j_Per,11)-SUMIFS(j_CrAmt,j_CrAcct,$D135,j_Per,11)+IF($D135=acctTax,SUMIFS(j_TaxDr,j_Posted,1,j_Per,11)-SUMIFS(j_TaxCr,j_Posted,1,j_Per,11),0))</f>
        <v/>
      </c>
      <c r="Y135" s="95">
        <f>IF($D135="",0,SUMIFS(j_DrAmt,j_DrAcct,$D135,j_Per,12)-SUMIFS(j_CrAmt,j_CrAcct,$D135,j_Per,12)+IF($D135=acctTax,SUMIFS(j_TaxDr,j_Posted,1,j_Per,12)-SUMIFS(j_TaxCr,j_Posted,1,j_Per,12),0))</f>
        <v/>
      </c>
      <c r="Z135" s="95">
        <f>SUMPRODUCT(($N$5:$Y$5&lt;=RptIdx)*N135:Y135)</f>
        <v/>
      </c>
      <c r="AA135" s="95">
        <f>IF(AND(RptIdx&gt;=1,RptIdx&lt;=12),INDEX(N135:Y135,RptIdx),0)</f>
        <v/>
      </c>
      <c r="AB135" s="95">
        <f>IF($D135="",0,IF(RptIdx&gt;1,INDEX(N135:Y135,RptIdx-1),SUMIFS(j_DrAmt,j_DrAcct,$D135,j_Date,"&gt;="&amp;PrevStart,j_Date,"&lt;="&amp;PrevEnd)-SUMIFS(j_CrAmt,j_CrAcct,$D135,j_Date,"&gt;="&amp;PrevStart,j_Date,"&lt;="&amp;PrevEnd)+IF($D135=acctTax,SUMIFS(j_TaxDr,j_Posted,1,j_Date,"&gt;="&amp;PrevStart,j_Date,"&lt;="&amp;PrevEnd)-SUMIFS(j_TaxCr,j_Posted,1,j_Date,"&gt;="&amp;PrevStart,j_Date,"&lt;="&amp;PrevEnd),0)))</f>
        <v/>
      </c>
      <c r="AC135" s="95">
        <f>SUM(N135:Y135)</f>
        <v/>
      </c>
      <c r="AD135" s="95">
        <f>L135+M135+Z135</f>
        <v/>
      </c>
      <c r="AE135" s="95">
        <f>AD135-AA135</f>
        <v/>
      </c>
      <c r="AF135" s="58">
        <f>IF($D135="","",F135&amp;"|"&amp;COUNTIFS($F$7:F135,F135,$D$7:D135,"&lt;&gt;"))</f>
        <v/>
      </c>
      <c r="AG135" s="58">
        <f>IF(AND($D135&lt;&gt;"",H135="Cash"),"Cash|"&amp;COUNTIFS($H$7:H135,"Cash",$D$7:D135,"&lt;&gt;"),"")</f>
        <v/>
      </c>
      <c r="AH135" s="95">
        <f>IF(AND($D135&lt;&gt;"",OR(F135="Cost of Sales",F135="Operating Expense",F135="Other Expense"),Z135&gt;0),Z135+129/1000000,"")</f>
        <v/>
      </c>
      <c r="AI135" s="95">
        <f>L135+M135+SUM(N135:N135)</f>
        <v/>
      </c>
      <c r="AJ135" s="95">
        <f>L135+M135+SUM(N135:O135)</f>
        <v/>
      </c>
      <c r="AK135" s="95">
        <f>L135+M135+SUM(N135:P135)</f>
        <v/>
      </c>
      <c r="AL135" s="95">
        <f>L135+M135+SUM(N135:Q135)</f>
        <v/>
      </c>
      <c r="AM135" s="95">
        <f>L135+M135+SUM(N135:R135)</f>
        <v/>
      </c>
      <c r="AN135" s="95">
        <f>L135+M135+SUM(N135:S135)</f>
        <v/>
      </c>
      <c r="AO135" s="95">
        <f>L135+M135+SUM(N135:T135)</f>
        <v/>
      </c>
      <c r="AP135" s="95">
        <f>L135+M135+SUM(N135:U135)</f>
        <v/>
      </c>
      <c r="AQ135" s="95">
        <f>L135+M135+SUM(N135:V135)</f>
        <v/>
      </c>
      <c r="AR135" s="95">
        <f>L135+M135+SUM(N135:W135)</f>
        <v/>
      </c>
      <c r="AS135" s="95">
        <f>L135+M135+SUM(N135:X135)</f>
        <v/>
      </c>
      <c r="AT135" s="95">
        <f>L135+M135+SUM(N135:Y135)</f>
        <v/>
      </c>
    </row>
    <row r="136">
      <c r="B136" s="58" t="n">
        <v>130</v>
      </c>
      <c r="C136" s="58">
        <f>IFERROR(INDEX(coa_Name,130)&amp;"","")</f>
        <v/>
      </c>
      <c r="D136" s="58">
        <f>IF(C136="","",IF(COUNTIF($C$7:C136,C136)&gt;1,"",C136))</f>
        <v/>
      </c>
      <c r="E136" s="58">
        <f>IF($D136="","",INDEX(coa_Code,130))</f>
        <v/>
      </c>
      <c r="F136" s="58">
        <f>IF($D136="","",INDEX(coa_Type,130)&amp;"")</f>
        <v/>
      </c>
      <c r="G136" s="58">
        <f>IF($D136="","",INDEX(coa_Normal,130)&amp;"")</f>
        <v/>
      </c>
      <c r="H136" s="58">
        <f>IF($D136="","",IF(INDEX(coa_CF,130)&amp;""="","Operating",INDEX(coa_CF,130)&amp;""))</f>
        <v/>
      </c>
      <c r="I136" s="58">
        <f>IF($D136="","",IFERROR(INDEX(at_Stmt,MATCH(F136,at_Type,0)),""))</f>
        <v/>
      </c>
      <c r="J136" s="58">
        <f>IF($D136="",0,IFERROR(INDEX(at_Sign,MATCH(F136,at_Type,0)),0))</f>
        <v/>
      </c>
      <c r="K136" s="95">
        <f>IF($D136="",0,IF(G136="Credit",-1,1)*N(INDEX(coa_Open,130)))</f>
        <v/>
      </c>
      <c r="L136" s="95">
        <f>IF($D136="",0,IF($D136=acctOBE,K136-SUM($K$7:$K$156),K136))</f>
        <v/>
      </c>
      <c r="M136" s="95">
        <f>IF($D136="",0,SUMIFS(j_DrAmt,j_DrAcct,$D136,j_Per,0)-SUMIFS(j_CrAmt,j_CrAcct,$D136,j_Per,0)+IF($D136=acctTax,SUMIFS(j_TaxDr,j_Posted,1,j_Per,0)-SUMIFS(j_TaxCr,j_Posted,1,j_Per,0),0))</f>
        <v/>
      </c>
      <c r="N136" s="95">
        <f>IF($D136="",0,SUMIFS(j_DrAmt,j_DrAcct,$D136,j_Per,1)-SUMIFS(j_CrAmt,j_CrAcct,$D136,j_Per,1)+IF($D136=acctTax,SUMIFS(j_TaxDr,j_Posted,1,j_Per,1)-SUMIFS(j_TaxCr,j_Posted,1,j_Per,1),0))</f>
        <v/>
      </c>
      <c r="O136" s="95">
        <f>IF($D136="",0,SUMIFS(j_DrAmt,j_DrAcct,$D136,j_Per,2)-SUMIFS(j_CrAmt,j_CrAcct,$D136,j_Per,2)+IF($D136=acctTax,SUMIFS(j_TaxDr,j_Posted,1,j_Per,2)-SUMIFS(j_TaxCr,j_Posted,1,j_Per,2),0))</f>
        <v/>
      </c>
      <c r="P136" s="95">
        <f>IF($D136="",0,SUMIFS(j_DrAmt,j_DrAcct,$D136,j_Per,3)-SUMIFS(j_CrAmt,j_CrAcct,$D136,j_Per,3)+IF($D136=acctTax,SUMIFS(j_TaxDr,j_Posted,1,j_Per,3)-SUMIFS(j_TaxCr,j_Posted,1,j_Per,3),0))</f>
        <v/>
      </c>
      <c r="Q136" s="95">
        <f>IF($D136="",0,SUMIFS(j_DrAmt,j_DrAcct,$D136,j_Per,4)-SUMIFS(j_CrAmt,j_CrAcct,$D136,j_Per,4)+IF($D136=acctTax,SUMIFS(j_TaxDr,j_Posted,1,j_Per,4)-SUMIFS(j_TaxCr,j_Posted,1,j_Per,4),0))</f>
        <v/>
      </c>
      <c r="R136" s="95">
        <f>IF($D136="",0,SUMIFS(j_DrAmt,j_DrAcct,$D136,j_Per,5)-SUMIFS(j_CrAmt,j_CrAcct,$D136,j_Per,5)+IF($D136=acctTax,SUMIFS(j_TaxDr,j_Posted,1,j_Per,5)-SUMIFS(j_TaxCr,j_Posted,1,j_Per,5),0))</f>
        <v/>
      </c>
      <c r="S136" s="95">
        <f>IF($D136="",0,SUMIFS(j_DrAmt,j_DrAcct,$D136,j_Per,6)-SUMIFS(j_CrAmt,j_CrAcct,$D136,j_Per,6)+IF($D136=acctTax,SUMIFS(j_TaxDr,j_Posted,1,j_Per,6)-SUMIFS(j_TaxCr,j_Posted,1,j_Per,6),0))</f>
        <v/>
      </c>
      <c r="T136" s="95">
        <f>IF($D136="",0,SUMIFS(j_DrAmt,j_DrAcct,$D136,j_Per,7)-SUMIFS(j_CrAmt,j_CrAcct,$D136,j_Per,7)+IF($D136=acctTax,SUMIFS(j_TaxDr,j_Posted,1,j_Per,7)-SUMIFS(j_TaxCr,j_Posted,1,j_Per,7),0))</f>
        <v/>
      </c>
      <c r="U136" s="95">
        <f>IF($D136="",0,SUMIFS(j_DrAmt,j_DrAcct,$D136,j_Per,8)-SUMIFS(j_CrAmt,j_CrAcct,$D136,j_Per,8)+IF($D136=acctTax,SUMIFS(j_TaxDr,j_Posted,1,j_Per,8)-SUMIFS(j_TaxCr,j_Posted,1,j_Per,8),0))</f>
        <v/>
      </c>
      <c r="V136" s="95">
        <f>IF($D136="",0,SUMIFS(j_DrAmt,j_DrAcct,$D136,j_Per,9)-SUMIFS(j_CrAmt,j_CrAcct,$D136,j_Per,9)+IF($D136=acctTax,SUMIFS(j_TaxDr,j_Posted,1,j_Per,9)-SUMIFS(j_TaxCr,j_Posted,1,j_Per,9),0))</f>
        <v/>
      </c>
      <c r="W136" s="95">
        <f>IF($D136="",0,SUMIFS(j_DrAmt,j_DrAcct,$D136,j_Per,10)-SUMIFS(j_CrAmt,j_CrAcct,$D136,j_Per,10)+IF($D136=acctTax,SUMIFS(j_TaxDr,j_Posted,1,j_Per,10)-SUMIFS(j_TaxCr,j_Posted,1,j_Per,10),0))</f>
        <v/>
      </c>
      <c r="X136" s="95">
        <f>IF($D136="",0,SUMIFS(j_DrAmt,j_DrAcct,$D136,j_Per,11)-SUMIFS(j_CrAmt,j_CrAcct,$D136,j_Per,11)+IF($D136=acctTax,SUMIFS(j_TaxDr,j_Posted,1,j_Per,11)-SUMIFS(j_TaxCr,j_Posted,1,j_Per,11),0))</f>
        <v/>
      </c>
      <c r="Y136" s="95">
        <f>IF($D136="",0,SUMIFS(j_DrAmt,j_DrAcct,$D136,j_Per,12)-SUMIFS(j_CrAmt,j_CrAcct,$D136,j_Per,12)+IF($D136=acctTax,SUMIFS(j_TaxDr,j_Posted,1,j_Per,12)-SUMIFS(j_TaxCr,j_Posted,1,j_Per,12),0))</f>
        <v/>
      </c>
      <c r="Z136" s="95">
        <f>SUMPRODUCT(($N$5:$Y$5&lt;=RptIdx)*N136:Y136)</f>
        <v/>
      </c>
      <c r="AA136" s="95">
        <f>IF(AND(RptIdx&gt;=1,RptIdx&lt;=12),INDEX(N136:Y136,RptIdx),0)</f>
        <v/>
      </c>
      <c r="AB136" s="95">
        <f>IF($D136="",0,IF(RptIdx&gt;1,INDEX(N136:Y136,RptIdx-1),SUMIFS(j_DrAmt,j_DrAcct,$D136,j_Date,"&gt;="&amp;PrevStart,j_Date,"&lt;="&amp;PrevEnd)-SUMIFS(j_CrAmt,j_CrAcct,$D136,j_Date,"&gt;="&amp;PrevStart,j_Date,"&lt;="&amp;PrevEnd)+IF($D136=acctTax,SUMIFS(j_TaxDr,j_Posted,1,j_Date,"&gt;="&amp;PrevStart,j_Date,"&lt;="&amp;PrevEnd)-SUMIFS(j_TaxCr,j_Posted,1,j_Date,"&gt;="&amp;PrevStart,j_Date,"&lt;="&amp;PrevEnd),0)))</f>
        <v/>
      </c>
      <c r="AC136" s="95">
        <f>SUM(N136:Y136)</f>
        <v/>
      </c>
      <c r="AD136" s="95">
        <f>L136+M136+Z136</f>
        <v/>
      </c>
      <c r="AE136" s="95">
        <f>AD136-AA136</f>
        <v/>
      </c>
      <c r="AF136" s="58">
        <f>IF($D136="","",F136&amp;"|"&amp;COUNTIFS($F$7:F136,F136,$D$7:D136,"&lt;&gt;"))</f>
        <v/>
      </c>
      <c r="AG136" s="58">
        <f>IF(AND($D136&lt;&gt;"",H136="Cash"),"Cash|"&amp;COUNTIFS($H$7:H136,"Cash",$D$7:D136,"&lt;&gt;"),"")</f>
        <v/>
      </c>
      <c r="AH136" s="95">
        <f>IF(AND($D136&lt;&gt;"",OR(F136="Cost of Sales",F136="Operating Expense",F136="Other Expense"),Z136&gt;0),Z136+130/1000000,"")</f>
        <v/>
      </c>
      <c r="AI136" s="95">
        <f>L136+M136+SUM(N136:N136)</f>
        <v/>
      </c>
      <c r="AJ136" s="95">
        <f>L136+M136+SUM(N136:O136)</f>
        <v/>
      </c>
      <c r="AK136" s="95">
        <f>L136+M136+SUM(N136:P136)</f>
        <v/>
      </c>
      <c r="AL136" s="95">
        <f>L136+M136+SUM(N136:Q136)</f>
        <v/>
      </c>
      <c r="AM136" s="95">
        <f>L136+M136+SUM(N136:R136)</f>
        <v/>
      </c>
      <c r="AN136" s="95">
        <f>L136+M136+SUM(N136:S136)</f>
        <v/>
      </c>
      <c r="AO136" s="95">
        <f>L136+M136+SUM(N136:T136)</f>
        <v/>
      </c>
      <c r="AP136" s="95">
        <f>L136+M136+SUM(N136:U136)</f>
        <v/>
      </c>
      <c r="AQ136" s="95">
        <f>L136+M136+SUM(N136:V136)</f>
        <v/>
      </c>
      <c r="AR136" s="95">
        <f>L136+M136+SUM(N136:W136)</f>
        <v/>
      </c>
      <c r="AS136" s="95">
        <f>L136+M136+SUM(N136:X136)</f>
        <v/>
      </c>
      <c r="AT136" s="95">
        <f>L136+M136+SUM(N136:Y136)</f>
        <v/>
      </c>
    </row>
    <row r="137">
      <c r="B137" s="58" t="n">
        <v>131</v>
      </c>
      <c r="C137" s="58">
        <f>IFERROR(INDEX(coa_Name,131)&amp;"","")</f>
        <v/>
      </c>
      <c r="D137" s="58">
        <f>IF(C137="","",IF(COUNTIF($C$7:C137,C137)&gt;1,"",C137))</f>
        <v/>
      </c>
      <c r="E137" s="58">
        <f>IF($D137="","",INDEX(coa_Code,131))</f>
        <v/>
      </c>
      <c r="F137" s="58">
        <f>IF($D137="","",INDEX(coa_Type,131)&amp;"")</f>
        <v/>
      </c>
      <c r="G137" s="58">
        <f>IF($D137="","",INDEX(coa_Normal,131)&amp;"")</f>
        <v/>
      </c>
      <c r="H137" s="58">
        <f>IF($D137="","",IF(INDEX(coa_CF,131)&amp;""="","Operating",INDEX(coa_CF,131)&amp;""))</f>
        <v/>
      </c>
      <c r="I137" s="58">
        <f>IF($D137="","",IFERROR(INDEX(at_Stmt,MATCH(F137,at_Type,0)),""))</f>
        <v/>
      </c>
      <c r="J137" s="58">
        <f>IF($D137="",0,IFERROR(INDEX(at_Sign,MATCH(F137,at_Type,0)),0))</f>
        <v/>
      </c>
      <c r="K137" s="95">
        <f>IF($D137="",0,IF(G137="Credit",-1,1)*N(INDEX(coa_Open,131)))</f>
        <v/>
      </c>
      <c r="L137" s="95">
        <f>IF($D137="",0,IF($D137=acctOBE,K137-SUM($K$7:$K$156),K137))</f>
        <v/>
      </c>
      <c r="M137" s="95">
        <f>IF($D137="",0,SUMIFS(j_DrAmt,j_DrAcct,$D137,j_Per,0)-SUMIFS(j_CrAmt,j_CrAcct,$D137,j_Per,0)+IF($D137=acctTax,SUMIFS(j_TaxDr,j_Posted,1,j_Per,0)-SUMIFS(j_TaxCr,j_Posted,1,j_Per,0),0))</f>
        <v/>
      </c>
      <c r="N137" s="95">
        <f>IF($D137="",0,SUMIFS(j_DrAmt,j_DrAcct,$D137,j_Per,1)-SUMIFS(j_CrAmt,j_CrAcct,$D137,j_Per,1)+IF($D137=acctTax,SUMIFS(j_TaxDr,j_Posted,1,j_Per,1)-SUMIFS(j_TaxCr,j_Posted,1,j_Per,1),0))</f>
        <v/>
      </c>
      <c r="O137" s="95">
        <f>IF($D137="",0,SUMIFS(j_DrAmt,j_DrAcct,$D137,j_Per,2)-SUMIFS(j_CrAmt,j_CrAcct,$D137,j_Per,2)+IF($D137=acctTax,SUMIFS(j_TaxDr,j_Posted,1,j_Per,2)-SUMIFS(j_TaxCr,j_Posted,1,j_Per,2),0))</f>
        <v/>
      </c>
      <c r="P137" s="95">
        <f>IF($D137="",0,SUMIFS(j_DrAmt,j_DrAcct,$D137,j_Per,3)-SUMIFS(j_CrAmt,j_CrAcct,$D137,j_Per,3)+IF($D137=acctTax,SUMIFS(j_TaxDr,j_Posted,1,j_Per,3)-SUMIFS(j_TaxCr,j_Posted,1,j_Per,3),0))</f>
        <v/>
      </c>
      <c r="Q137" s="95">
        <f>IF($D137="",0,SUMIFS(j_DrAmt,j_DrAcct,$D137,j_Per,4)-SUMIFS(j_CrAmt,j_CrAcct,$D137,j_Per,4)+IF($D137=acctTax,SUMIFS(j_TaxDr,j_Posted,1,j_Per,4)-SUMIFS(j_TaxCr,j_Posted,1,j_Per,4),0))</f>
        <v/>
      </c>
      <c r="R137" s="95">
        <f>IF($D137="",0,SUMIFS(j_DrAmt,j_DrAcct,$D137,j_Per,5)-SUMIFS(j_CrAmt,j_CrAcct,$D137,j_Per,5)+IF($D137=acctTax,SUMIFS(j_TaxDr,j_Posted,1,j_Per,5)-SUMIFS(j_TaxCr,j_Posted,1,j_Per,5),0))</f>
        <v/>
      </c>
      <c r="S137" s="95">
        <f>IF($D137="",0,SUMIFS(j_DrAmt,j_DrAcct,$D137,j_Per,6)-SUMIFS(j_CrAmt,j_CrAcct,$D137,j_Per,6)+IF($D137=acctTax,SUMIFS(j_TaxDr,j_Posted,1,j_Per,6)-SUMIFS(j_TaxCr,j_Posted,1,j_Per,6),0))</f>
        <v/>
      </c>
      <c r="T137" s="95">
        <f>IF($D137="",0,SUMIFS(j_DrAmt,j_DrAcct,$D137,j_Per,7)-SUMIFS(j_CrAmt,j_CrAcct,$D137,j_Per,7)+IF($D137=acctTax,SUMIFS(j_TaxDr,j_Posted,1,j_Per,7)-SUMIFS(j_TaxCr,j_Posted,1,j_Per,7),0))</f>
        <v/>
      </c>
      <c r="U137" s="95">
        <f>IF($D137="",0,SUMIFS(j_DrAmt,j_DrAcct,$D137,j_Per,8)-SUMIFS(j_CrAmt,j_CrAcct,$D137,j_Per,8)+IF($D137=acctTax,SUMIFS(j_TaxDr,j_Posted,1,j_Per,8)-SUMIFS(j_TaxCr,j_Posted,1,j_Per,8),0))</f>
        <v/>
      </c>
      <c r="V137" s="95">
        <f>IF($D137="",0,SUMIFS(j_DrAmt,j_DrAcct,$D137,j_Per,9)-SUMIFS(j_CrAmt,j_CrAcct,$D137,j_Per,9)+IF($D137=acctTax,SUMIFS(j_TaxDr,j_Posted,1,j_Per,9)-SUMIFS(j_TaxCr,j_Posted,1,j_Per,9),0))</f>
        <v/>
      </c>
      <c r="W137" s="95">
        <f>IF($D137="",0,SUMIFS(j_DrAmt,j_DrAcct,$D137,j_Per,10)-SUMIFS(j_CrAmt,j_CrAcct,$D137,j_Per,10)+IF($D137=acctTax,SUMIFS(j_TaxDr,j_Posted,1,j_Per,10)-SUMIFS(j_TaxCr,j_Posted,1,j_Per,10),0))</f>
        <v/>
      </c>
      <c r="X137" s="95">
        <f>IF($D137="",0,SUMIFS(j_DrAmt,j_DrAcct,$D137,j_Per,11)-SUMIFS(j_CrAmt,j_CrAcct,$D137,j_Per,11)+IF($D137=acctTax,SUMIFS(j_TaxDr,j_Posted,1,j_Per,11)-SUMIFS(j_TaxCr,j_Posted,1,j_Per,11),0))</f>
        <v/>
      </c>
      <c r="Y137" s="95">
        <f>IF($D137="",0,SUMIFS(j_DrAmt,j_DrAcct,$D137,j_Per,12)-SUMIFS(j_CrAmt,j_CrAcct,$D137,j_Per,12)+IF($D137=acctTax,SUMIFS(j_TaxDr,j_Posted,1,j_Per,12)-SUMIFS(j_TaxCr,j_Posted,1,j_Per,12),0))</f>
        <v/>
      </c>
      <c r="Z137" s="95">
        <f>SUMPRODUCT(($N$5:$Y$5&lt;=RptIdx)*N137:Y137)</f>
        <v/>
      </c>
      <c r="AA137" s="95">
        <f>IF(AND(RptIdx&gt;=1,RptIdx&lt;=12),INDEX(N137:Y137,RptIdx),0)</f>
        <v/>
      </c>
      <c r="AB137" s="95">
        <f>IF($D137="",0,IF(RptIdx&gt;1,INDEX(N137:Y137,RptIdx-1),SUMIFS(j_DrAmt,j_DrAcct,$D137,j_Date,"&gt;="&amp;PrevStart,j_Date,"&lt;="&amp;PrevEnd)-SUMIFS(j_CrAmt,j_CrAcct,$D137,j_Date,"&gt;="&amp;PrevStart,j_Date,"&lt;="&amp;PrevEnd)+IF($D137=acctTax,SUMIFS(j_TaxDr,j_Posted,1,j_Date,"&gt;="&amp;PrevStart,j_Date,"&lt;="&amp;PrevEnd)-SUMIFS(j_TaxCr,j_Posted,1,j_Date,"&gt;="&amp;PrevStart,j_Date,"&lt;="&amp;PrevEnd),0)))</f>
        <v/>
      </c>
      <c r="AC137" s="95">
        <f>SUM(N137:Y137)</f>
        <v/>
      </c>
      <c r="AD137" s="95">
        <f>L137+M137+Z137</f>
        <v/>
      </c>
      <c r="AE137" s="95">
        <f>AD137-AA137</f>
        <v/>
      </c>
      <c r="AF137" s="58">
        <f>IF($D137="","",F137&amp;"|"&amp;COUNTIFS($F$7:F137,F137,$D$7:D137,"&lt;&gt;"))</f>
        <v/>
      </c>
      <c r="AG137" s="58">
        <f>IF(AND($D137&lt;&gt;"",H137="Cash"),"Cash|"&amp;COUNTIFS($H$7:H137,"Cash",$D$7:D137,"&lt;&gt;"),"")</f>
        <v/>
      </c>
      <c r="AH137" s="95">
        <f>IF(AND($D137&lt;&gt;"",OR(F137="Cost of Sales",F137="Operating Expense",F137="Other Expense"),Z137&gt;0),Z137+131/1000000,"")</f>
        <v/>
      </c>
      <c r="AI137" s="95">
        <f>L137+M137+SUM(N137:N137)</f>
        <v/>
      </c>
      <c r="AJ137" s="95">
        <f>L137+M137+SUM(N137:O137)</f>
        <v/>
      </c>
      <c r="AK137" s="95">
        <f>L137+M137+SUM(N137:P137)</f>
        <v/>
      </c>
      <c r="AL137" s="95">
        <f>L137+M137+SUM(N137:Q137)</f>
        <v/>
      </c>
      <c r="AM137" s="95">
        <f>L137+M137+SUM(N137:R137)</f>
        <v/>
      </c>
      <c r="AN137" s="95">
        <f>L137+M137+SUM(N137:S137)</f>
        <v/>
      </c>
      <c r="AO137" s="95">
        <f>L137+M137+SUM(N137:T137)</f>
        <v/>
      </c>
      <c r="AP137" s="95">
        <f>L137+M137+SUM(N137:U137)</f>
        <v/>
      </c>
      <c r="AQ137" s="95">
        <f>L137+M137+SUM(N137:V137)</f>
        <v/>
      </c>
      <c r="AR137" s="95">
        <f>L137+M137+SUM(N137:W137)</f>
        <v/>
      </c>
      <c r="AS137" s="95">
        <f>L137+M137+SUM(N137:X137)</f>
        <v/>
      </c>
      <c r="AT137" s="95">
        <f>L137+M137+SUM(N137:Y137)</f>
        <v/>
      </c>
    </row>
    <row r="138">
      <c r="B138" s="58" t="n">
        <v>132</v>
      </c>
      <c r="C138" s="58">
        <f>IFERROR(INDEX(coa_Name,132)&amp;"","")</f>
        <v/>
      </c>
      <c r="D138" s="58">
        <f>IF(C138="","",IF(COUNTIF($C$7:C138,C138)&gt;1,"",C138))</f>
        <v/>
      </c>
      <c r="E138" s="58">
        <f>IF($D138="","",INDEX(coa_Code,132))</f>
        <v/>
      </c>
      <c r="F138" s="58">
        <f>IF($D138="","",INDEX(coa_Type,132)&amp;"")</f>
        <v/>
      </c>
      <c r="G138" s="58">
        <f>IF($D138="","",INDEX(coa_Normal,132)&amp;"")</f>
        <v/>
      </c>
      <c r="H138" s="58">
        <f>IF($D138="","",IF(INDEX(coa_CF,132)&amp;""="","Operating",INDEX(coa_CF,132)&amp;""))</f>
        <v/>
      </c>
      <c r="I138" s="58">
        <f>IF($D138="","",IFERROR(INDEX(at_Stmt,MATCH(F138,at_Type,0)),""))</f>
        <v/>
      </c>
      <c r="J138" s="58">
        <f>IF($D138="",0,IFERROR(INDEX(at_Sign,MATCH(F138,at_Type,0)),0))</f>
        <v/>
      </c>
      <c r="K138" s="95">
        <f>IF($D138="",0,IF(G138="Credit",-1,1)*N(INDEX(coa_Open,132)))</f>
        <v/>
      </c>
      <c r="L138" s="95">
        <f>IF($D138="",0,IF($D138=acctOBE,K138-SUM($K$7:$K$156),K138))</f>
        <v/>
      </c>
      <c r="M138" s="95">
        <f>IF($D138="",0,SUMIFS(j_DrAmt,j_DrAcct,$D138,j_Per,0)-SUMIFS(j_CrAmt,j_CrAcct,$D138,j_Per,0)+IF($D138=acctTax,SUMIFS(j_TaxDr,j_Posted,1,j_Per,0)-SUMIFS(j_TaxCr,j_Posted,1,j_Per,0),0))</f>
        <v/>
      </c>
      <c r="N138" s="95">
        <f>IF($D138="",0,SUMIFS(j_DrAmt,j_DrAcct,$D138,j_Per,1)-SUMIFS(j_CrAmt,j_CrAcct,$D138,j_Per,1)+IF($D138=acctTax,SUMIFS(j_TaxDr,j_Posted,1,j_Per,1)-SUMIFS(j_TaxCr,j_Posted,1,j_Per,1),0))</f>
        <v/>
      </c>
      <c r="O138" s="95">
        <f>IF($D138="",0,SUMIFS(j_DrAmt,j_DrAcct,$D138,j_Per,2)-SUMIFS(j_CrAmt,j_CrAcct,$D138,j_Per,2)+IF($D138=acctTax,SUMIFS(j_TaxDr,j_Posted,1,j_Per,2)-SUMIFS(j_TaxCr,j_Posted,1,j_Per,2),0))</f>
        <v/>
      </c>
      <c r="P138" s="95">
        <f>IF($D138="",0,SUMIFS(j_DrAmt,j_DrAcct,$D138,j_Per,3)-SUMIFS(j_CrAmt,j_CrAcct,$D138,j_Per,3)+IF($D138=acctTax,SUMIFS(j_TaxDr,j_Posted,1,j_Per,3)-SUMIFS(j_TaxCr,j_Posted,1,j_Per,3),0))</f>
        <v/>
      </c>
      <c r="Q138" s="95">
        <f>IF($D138="",0,SUMIFS(j_DrAmt,j_DrAcct,$D138,j_Per,4)-SUMIFS(j_CrAmt,j_CrAcct,$D138,j_Per,4)+IF($D138=acctTax,SUMIFS(j_TaxDr,j_Posted,1,j_Per,4)-SUMIFS(j_TaxCr,j_Posted,1,j_Per,4),0))</f>
        <v/>
      </c>
      <c r="R138" s="95">
        <f>IF($D138="",0,SUMIFS(j_DrAmt,j_DrAcct,$D138,j_Per,5)-SUMIFS(j_CrAmt,j_CrAcct,$D138,j_Per,5)+IF($D138=acctTax,SUMIFS(j_TaxDr,j_Posted,1,j_Per,5)-SUMIFS(j_TaxCr,j_Posted,1,j_Per,5),0))</f>
        <v/>
      </c>
      <c r="S138" s="95">
        <f>IF($D138="",0,SUMIFS(j_DrAmt,j_DrAcct,$D138,j_Per,6)-SUMIFS(j_CrAmt,j_CrAcct,$D138,j_Per,6)+IF($D138=acctTax,SUMIFS(j_TaxDr,j_Posted,1,j_Per,6)-SUMIFS(j_TaxCr,j_Posted,1,j_Per,6),0))</f>
        <v/>
      </c>
      <c r="T138" s="95">
        <f>IF($D138="",0,SUMIFS(j_DrAmt,j_DrAcct,$D138,j_Per,7)-SUMIFS(j_CrAmt,j_CrAcct,$D138,j_Per,7)+IF($D138=acctTax,SUMIFS(j_TaxDr,j_Posted,1,j_Per,7)-SUMIFS(j_TaxCr,j_Posted,1,j_Per,7),0))</f>
        <v/>
      </c>
      <c r="U138" s="95">
        <f>IF($D138="",0,SUMIFS(j_DrAmt,j_DrAcct,$D138,j_Per,8)-SUMIFS(j_CrAmt,j_CrAcct,$D138,j_Per,8)+IF($D138=acctTax,SUMIFS(j_TaxDr,j_Posted,1,j_Per,8)-SUMIFS(j_TaxCr,j_Posted,1,j_Per,8),0))</f>
        <v/>
      </c>
      <c r="V138" s="95">
        <f>IF($D138="",0,SUMIFS(j_DrAmt,j_DrAcct,$D138,j_Per,9)-SUMIFS(j_CrAmt,j_CrAcct,$D138,j_Per,9)+IF($D138=acctTax,SUMIFS(j_TaxDr,j_Posted,1,j_Per,9)-SUMIFS(j_TaxCr,j_Posted,1,j_Per,9),0))</f>
        <v/>
      </c>
      <c r="W138" s="95">
        <f>IF($D138="",0,SUMIFS(j_DrAmt,j_DrAcct,$D138,j_Per,10)-SUMIFS(j_CrAmt,j_CrAcct,$D138,j_Per,10)+IF($D138=acctTax,SUMIFS(j_TaxDr,j_Posted,1,j_Per,10)-SUMIFS(j_TaxCr,j_Posted,1,j_Per,10),0))</f>
        <v/>
      </c>
      <c r="X138" s="95">
        <f>IF($D138="",0,SUMIFS(j_DrAmt,j_DrAcct,$D138,j_Per,11)-SUMIFS(j_CrAmt,j_CrAcct,$D138,j_Per,11)+IF($D138=acctTax,SUMIFS(j_TaxDr,j_Posted,1,j_Per,11)-SUMIFS(j_TaxCr,j_Posted,1,j_Per,11),0))</f>
        <v/>
      </c>
      <c r="Y138" s="95">
        <f>IF($D138="",0,SUMIFS(j_DrAmt,j_DrAcct,$D138,j_Per,12)-SUMIFS(j_CrAmt,j_CrAcct,$D138,j_Per,12)+IF($D138=acctTax,SUMIFS(j_TaxDr,j_Posted,1,j_Per,12)-SUMIFS(j_TaxCr,j_Posted,1,j_Per,12),0))</f>
        <v/>
      </c>
      <c r="Z138" s="95">
        <f>SUMPRODUCT(($N$5:$Y$5&lt;=RptIdx)*N138:Y138)</f>
        <v/>
      </c>
      <c r="AA138" s="95">
        <f>IF(AND(RptIdx&gt;=1,RptIdx&lt;=12),INDEX(N138:Y138,RptIdx),0)</f>
        <v/>
      </c>
      <c r="AB138" s="95">
        <f>IF($D138="",0,IF(RptIdx&gt;1,INDEX(N138:Y138,RptIdx-1),SUMIFS(j_DrAmt,j_DrAcct,$D138,j_Date,"&gt;="&amp;PrevStart,j_Date,"&lt;="&amp;PrevEnd)-SUMIFS(j_CrAmt,j_CrAcct,$D138,j_Date,"&gt;="&amp;PrevStart,j_Date,"&lt;="&amp;PrevEnd)+IF($D138=acctTax,SUMIFS(j_TaxDr,j_Posted,1,j_Date,"&gt;="&amp;PrevStart,j_Date,"&lt;="&amp;PrevEnd)-SUMIFS(j_TaxCr,j_Posted,1,j_Date,"&gt;="&amp;PrevStart,j_Date,"&lt;="&amp;PrevEnd),0)))</f>
        <v/>
      </c>
      <c r="AC138" s="95">
        <f>SUM(N138:Y138)</f>
        <v/>
      </c>
      <c r="AD138" s="95">
        <f>L138+M138+Z138</f>
        <v/>
      </c>
      <c r="AE138" s="95">
        <f>AD138-AA138</f>
        <v/>
      </c>
      <c r="AF138" s="58">
        <f>IF($D138="","",F138&amp;"|"&amp;COUNTIFS($F$7:F138,F138,$D$7:D138,"&lt;&gt;"))</f>
        <v/>
      </c>
      <c r="AG138" s="58">
        <f>IF(AND($D138&lt;&gt;"",H138="Cash"),"Cash|"&amp;COUNTIFS($H$7:H138,"Cash",$D$7:D138,"&lt;&gt;"),"")</f>
        <v/>
      </c>
      <c r="AH138" s="95">
        <f>IF(AND($D138&lt;&gt;"",OR(F138="Cost of Sales",F138="Operating Expense",F138="Other Expense"),Z138&gt;0),Z138+132/1000000,"")</f>
        <v/>
      </c>
      <c r="AI138" s="95">
        <f>L138+M138+SUM(N138:N138)</f>
        <v/>
      </c>
      <c r="AJ138" s="95">
        <f>L138+M138+SUM(N138:O138)</f>
        <v/>
      </c>
      <c r="AK138" s="95">
        <f>L138+M138+SUM(N138:P138)</f>
        <v/>
      </c>
      <c r="AL138" s="95">
        <f>L138+M138+SUM(N138:Q138)</f>
        <v/>
      </c>
      <c r="AM138" s="95">
        <f>L138+M138+SUM(N138:R138)</f>
        <v/>
      </c>
      <c r="AN138" s="95">
        <f>L138+M138+SUM(N138:S138)</f>
        <v/>
      </c>
      <c r="AO138" s="95">
        <f>L138+M138+SUM(N138:T138)</f>
        <v/>
      </c>
      <c r="AP138" s="95">
        <f>L138+M138+SUM(N138:U138)</f>
        <v/>
      </c>
      <c r="AQ138" s="95">
        <f>L138+M138+SUM(N138:V138)</f>
        <v/>
      </c>
      <c r="AR138" s="95">
        <f>L138+M138+SUM(N138:W138)</f>
        <v/>
      </c>
      <c r="AS138" s="95">
        <f>L138+M138+SUM(N138:X138)</f>
        <v/>
      </c>
      <c r="AT138" s="95">
        <f>L138+M138+SUM(N138:Y138)</f>
        <v/>
      </c>
    </row>
    <row r="139">
      <c r="B139" s="58" t="n">
        <v>133</v>
      </c>
      <c r="C139" s="58">
        <f>IFERROR(INDEX(coa_Name,133)&amp;"","")</f>
        <v/>
      </c>
      <c r="D139" s="58">
        <f>IF(C139="","",IF(COUNTIF($C$7:C139,C139)&gt;1,"",C139))</f>
        <v/>
      </c>
      <c r="E139" s="58">
        <f>IF($D139="","",INDEX(coa_Code,133))</f>
        <v/>
      </c>
      <c r="F139" s="58">
        <f>IF($D139="","",INDEX(coa_Type,133)&amp;"")</f>
        <v/>
      </c>
      <c r="G139" s="58">
        <f>IF($D139="","",INDEX(coa_Normal,133)&amp;"")</f>
        <v/>
      </c>
      <c r="H139" s="58">
        <f>IF($D139="","",IF(INDEX(coa_CF,133)&amp;""="","Operating",INDEX(coa_CF,133)&amp;""))</f>
        <v/>
      </c>
      <c r="I139" s="58">
        <f>IF($D139="","",IFERROR(INDEX(at_Stmt,MATCH(F139,at_Type,0)),""))</f>
        <v/>
      </c>
      <c r="J139" s="58">
        <f>IF($D139="",0,IFERROR(INDEX(at_Sign,MATCH(F139,at_Type,0)),0))</f>
        <v/>
      </c>
      <c r="K139" s="95">
        <f>IF($D139="",0,IF(G139="Credit",-1,1)*N(INDEX(coa_Open,133)))</f>
        <v/>
      </c>
      <c r="L139" s="95">
        <f>IF($D139="",0,IF($D139=acctOBE,K139-SUM($K$7:$K$156),K139))</f>
        <v/>
      </c>
      <c r="M139" s="95">
        <f>IF($D139="",0,SUMIFS(j_DrAmt,j_DrAcct,$D139,j_Per,0)-SUMIFS(j_CrAmt,j_CrAcct,$D139,j_Per,0)+IF($D139=acctTax,SUMIFS(j_TaxDr,j_Posted,1,j_Per,0)-SUMIFS(j_TaxCr,j_Posted,1,j_Per,0),0))</f>
        <v/>
      </c>
      <c r="N139" s="95">
        <f>IF($D139="",0,SUMIFS(j_DrAmt,j_DrAcct,$D139,j_Per,1)-SUMIFS(j_CrAmt,j_CrAcct,$D139,j_Per,1)+IF($D139=acctTax,SUMIFS(j_TaxDr,j_Posted,1,j_Per,1)-SUMIFS(j_TaxCr,j_Posted,1,j_Per,1),0))</f>
        <v/>
      </c>
      <c r="O139" s="95">
        <f>IF($D139="",0,SUMIFS(j_DrAmt,j_DrAcct,$D139,j_Per,2)-SUMIFS(j_CrAmt,j_CrAcct,$D139,j_Per,2)+IF($D139=acctTax,SUMIFS(j_TaxDr,j_Posted,1,j_Per,2)-SUMIFS(j_TaxCr,j_Posted,1,j_Per,2),0))</f>
        <v/>
      </c>
      <c r="P139" s="95">
        <f>IF($D139="",0,SUMIFS(j_DrAmt,j_DrAcct,$D139,j_Per,3)-SUMIFS(j_CrAmt,j_CrAcct,$D139,j_Per,3)+IF($D139=acctTax,SUMIFS(j_TaxDr,j_Posted,1,j_Per,3)-SUMIFS(j_TaxCr,j_Posted,1,j_Per,3),0))</f>
        <v/>
      </c>
      <c r="Q139" s="95">
        <f>IF($D139="",0,SUMIFS(j_DrAmt,j_DrAcct,$D139,j_Per,4)-SUMIFS(j_CrAmt,j_CrAcct,$D139,j_Per,4)+IF($D139=acctTax,SUMIFS(j_TaxDr,j_Posted,1,j_Per,4)-SUMIFS(j_TaxCr,j_Posted,1,j_Per,4),0))</f>
        <v/>
      </c>
      <c r="R139" s="95">
        <f>IF($D139="",0,SUMIFS(j_DrAmt,j_DrAcct,$D139,j_Per,5)-SUMIFS(j_CrAmt,j_CrAcct,$D139,j_Per,5)+IF($D139=acctTax,SUMIFS(j_TaxDr,j_Posted,1,j_Per,5)-SUMIFS(j_TaxCr,j_Posted,1,j_Per,5),0))</f>
        <v/>
      </c>
      <c r="S139" s="95">
        <f>IF($D139="",0,SUMIFS(j_DrAmt,j_DrAcct,$D139,j_Per,6)-SUMIFS(j_CrAmt,j_CrAcct,$D139,j_Per,6)+IF($D139=acctTax,SUMIFS(j_TaxDr,j_Posted,1,j_Per,6)-SUMIFS(j_TaxCr,j_Posted,1,j_Per,6),0))</f>
        <v/>
      </c>
      <c r="T139" s="95">
        <f>IF($D139="",0,SUMIFS(j_DrAmt,j_DrAcct,$D139,j_Per,7)-SUMIFS(j_CrAmt,j_CrAcct,$D139,j_Per,7)+IF($D139=acctTax,SUMIFS(j_TaxDr,j_Posted,1,j_Per,7)-SUMIFS(j_TaxCr,j_Posted,1,j_Per,7),0))</f>
        <v/>
      </c>
      <c r="U139" s="95">
        <f>IF($D139="",0,SUMIFS(j_DrAmt,j_DrAcct,$D139,j_Per,8)-SUMIFS(j_CrAmt,j_CrAcct,$D139,j_Per,8)+IF($D139=acctTax,SUMIFS(j_TaxDr,j_Posted,1,j_Per,8)-SUMIFS(j_TaxCr,j_Posted,1,j_Per,8),0))</f>
        <v/>
      </c>
      <c r="V139" s="95">
        <f>IF($D139="",0,SUMIFS(j_DrAmt,j_DrAcct,$D139,j_Per,9)-SUMIFS(j_CrAmt,j_CrAcct,$D139,j_Per,9)+IF($D139=acctTax,SUMIFS(j_TaxDr,j_Posted,1,j_Per,9)-SUMIFS(j_TaxCr,j_Posted,1,j_Per,9),0))</f>
        <v/>
      </c>
      <c r="W139" s="95">
        <f>IF($D139="",0,SUMIFS(j_DrAmt,j_DrAcct,$D139,j_Per,10)-SUMIFS(j_CrAmt,j_CrAcct,$D139,j_Per,10)+IF($D139=acctTax,SUMIFS(j_TaxDr,j_Posted,1,j_Per,10)-SUMIFS(j_TaxCr,j_Posted,1,j_Per,10),0))</f>
        <v/>
      </c>
      <c r="X139" s="95">
        <f>IF($D139="",0,SUMIFS(j_DrAmt,j_DrAcct,$D139,j_Per,11)-SUMIFS(j_CrAmt,j_CrAcct,$D139,j_Per,11)+IF($D139=acctTax,SUMIFS(j_TaxDr,j_Posted,1,j_Per,11)-SUMIFS(j_TaxCr,j_Posted,1,j_Per,11),0))</f>
        <v/>
      </c>
      <c r="Y139" s="95">
        <f>IF($D139="",0,SUMIFS(j_DrAmt,j_DrAcct,$D139,j_Per,12)-SUMIFS(j_CrAmt,j_CrAcct,$D139,j_Per,12)+IF($D139=acctTax,SUMIFS(j_TaxDr,j_Posted,1,j_Per,12)-SUMIFS(j_TaxCr,j_Posted,1,j_Per,12),0))</f>
        <v/>
      </c>
      <c r="Z139" s="95">
        <f>SUMPRODUCT(($N$5:$Y$5&lt;=RptIdx)*N139:Y139)</f>
        <v/>
      </c>
      <c r="AA139" s="95">
        <f>IF(AND(RptIdx&gt;=1,RptIdx&lt;=12),INDEX(N139:Y139,RptIdx),0)</f>
        <v/>
      </c>
      <c r="AB139" s="95">
        <f>IF($D139="",0,IF(RptIdx&gt;1,INDEX(N139:Y139,RptIdx-1),SUMIFS(j_DrAmt,j_DrAcct,$D139,j_Date,"&gt;="&amp;PrevStart,j_Date,"&lt;="&amp;PrevEnd)-SUMIFS(j_CrAmt,j_CrAcct,$D139,j_Date,"&gt;="&amp;PrevStart,j_Date,"&lt;="&amp;PrevEnd)+IF($D139=acctTax,SUMIFS(j_TaxDr,j_Posted,1,j_Date,"&gt;="&amp;PrevStart,j_Date,"&lt;="&amp;PrevEnd)-SUMIFS(j_TaxCr,j_Posted,1,j_Date,"&gt;="&amp;PrevStart,j_Date,"&lt;="&amp;PrevEnd),0)))</f>
        <v/>
      </c>
      <c r="AC139" s="95">
        <f>SUM(N139:Y139)</f>
        <v/>
      </c>
      <c r="AD139" s="95">
        <f>L139+M139+Z139</f>
        <v/>
      </c>
      <c r="AE139" s="95">
        <f>AD139-AA139</f>
        <v/>
      </c>
      <c r="AF139" s="58">
        <f>IF($D139="","",F139&amp;"|"&amp;COUNTIFS($F$7:F139,F139,$D$7:D139,"&lt;&gt;"))</f>
        <v/>
      </c>
      <c r="AG139" s="58">
        <f>IF(AND($D139&lt;&gt;"",H139="Cash"),"Cash|"&amp;COUNTIFS($H$7:H139,"Cash",$D$7:D139,"&lt;&gt;"),"")</f>
        <v/>
      </c>
      <c r="AH139" s="95">
        <f>IF(AND($D139&lt;&gt;"",OR(F139="Cost of Sales",F139="Operating Expense",F139="Other Expense"),Z139&gt;0),Z139+133/1000000,"")</f>
        <v/>
      </c>
      <c r="AI139" s="95">
        <f>L139+M139+SUM(N139:N139)</f>
        <v/>
      </c>
      <c r="AJ139" s="95">
        <f>L139+M139+SUM(N139:O139)</f>
        <v/>
      </c>
      <c r="AK139" s="95">
        <f>L139+M139+SUM(N139:P139)</f>
        <v/>
      </c>
      <c r="AL139" s="95">
        <f>L139+M139+SUM(N139:Q139)</f>
        <v/>
      </c>
      <c r="AM139" s="95">
        <f>L139+M139+SUM(N139:R139)</f>
        <v/>
      </c>
      <c r="AN139" s="95">
        <f>L139+M139+SUM(N139:S139)</f>
        <v/>
      </c>
      <c r="AO139" s="95">
        <f>L139+M139+SUM(N139:T139)</f>
        <v/>
      </c>
      <c r="AP139" s="95">
        <f>L139+M139+SUM(N139:U139)</f>
        <v/>
      </c>
      <c r="AQ139" s="95">
        <f>L139+M139+SUM(N139:V139)</f>
        <v/>
      </c>
      <c r="AR139" s="95">
        <f>L139+M139+SUM(N139:W139)</f>
        <v/>
      </c>
      <c r="AS139" s="95">
        <f>L139+M139+SUM(N139:X139)</f>
        <v/>
      </c>
      <c r="AT139" s="95">
        <f>L139+M139+SUM(N139:Y139)</f>
        <v/>
      </c>
    </row>
    <row r="140">
      <c r="B140" s="58" t="n">
        <v>134</v>
      </c>
      <c r="C140" s="58">
        <f>IFERROR(INDEX(coa_Name,134)&amp;"","")</f>
        <v/>
      </c>
      <c r="D140" s="58">
        <f>IF(C140="","",IF(COUNTIF($C$7:C140,C140)&gt;1,"",C140))</f>
        <v/>
      </c>
      <c r="E140" s="58">
        <f>IF($D140="","",INDEX(coa_Code,134))</f>
        <v/>
      </c>
      <c r="F140" s="58">
        <f>IF($D140="","",INDEX(coa_Type,134)&amp;"")</f>
        <v/>
      </c>
      <c r="G140" s="58">
        <f>IF($D140="","",INDEX(coa_Normal,134)&amp;"")</f>
        <v/>
      </c>
      <c r="H140" s="58">
        <f>IF($D140="","",IF(INDEX(coa_CF,134)&amp;""="","Operating",INDEX(coa_CF,134)&amp;""))</f>
        <v/>
      </c>
      <c r="I140" s="58">
        <f>IF($D140="","",IFERROR(INDEX(at_Stmt,MATCH(F140,at_Type,0)),""))</f>
        <v/>
      </c>
      <c r="J140" s="58">
        <f>IF($D140="",0,IFERROR(INDEX(at_Sign,MATCH(F140,at_Type,0)),0))</f>
        <v/>
      </c>
      <c r="K140" s="95">
        <f>IF($D140="",0,IF(G140="Credit",-1,1)*N(INDEX(coa_Open,134)))</f>
        <v/>
      </c>
      <c r="L140" s="95">
        <f>IF($D140="",0,IF($D140=acctOBE,K140-SUM($K$7:$K$156),K140))</f>
        <v/>
      </c>
      <c r="M140" s="95">
        <f>IF($D140="",0,SUMIFS(j_DrAmt,j_DrAcct,$D140,j_Per,0)-SUMIFS(j_CrAmt,j_CrAcct,$D140,j_Per,0)+IF($D140=acctTax,SUMIFS(j_TaxDr,j_Posted,1,j_Per,0)-SUMIFS(j_TaxCr,j_Posted,1,j_Per,0),0))</f>
        <v/>
      </c>
      <c r="N140" s="95">
        <f>IF($D140="",0,SUMIFS(j_DrAmt,j_DrAcct,$D140,j_Per,1)-SUMIFS(j_CrAmt,j_CrAcct,$D140,j_Per,1)+IF($D140=acctTax,SUMIFS(j_TaxDr,j_Posted,1,j_Per,1)-SUMIFS(j_TaxCr,j_Posted,1,j_Per,1),0))</f>
        <v/>
      </c>
      <c r="O140" s="95">
        <f>IF($D140="",0,SUMIFS(j_DrAmt,j_DrAcct,$D140,j_Per,2)-SUMIFS(j_CrAmt,j_CrAcct,$D140,j_Per,2)+IF($D140=acctTax,SUMIFS(j_TaxDr,j_Posted,1,j_Per,2)-SUMIFS(j_TaxCr,j_Posted,1,j_Per,2),0))</f>
        <v/>
      </c>
      <c r="P140" s="95">
        <f>IF($D140="",0,SUMIFS(j_DrAmt,j_DrAcct,$D140,j_Per,3)-SUMIFS(j_CrAmt,j_CrAcct,$D140,j_Per,3)+IF($D140=acctTax,SUMIFS(j_TaxDr,j_Posted,1,j_Per,3)-SUMIFS(j_TaxCr,j_Posted,1,j_Per,3),0))</f>
        <v/>
      </c>
      <c r="Q140" s="95">
        <f>IF($D140="",0,SUMIFS(j_DrAmt,j_DrAcct,$D140,j_Per,4)-SUMIFS(j_CrAmt,j_CrAcct,$D140,j_Per,4)+IF($D140=acctTax,SUMIFS(j_TaxDr,j_Posted,1,j_Per,4)-SUMIFS(j_TaxCr,j_Posted,1,j_Per,4),0))</f>
        <v/>
      </c>
      <c r="R140" s="95">
        <f>IF($D140="",0,SUMIFS(j_DrAmt,j_DrAcct,$D140,j_Per,5)-SUMIFS(j_CrAmt,j_CrAcct,$D140,j_Per,5)+IF($D140=acctTax,SUMIFS(j_TaxDr,j_Posted,1,j_Per,5)-SUMIFS(j_TaxCr,j_Posted,1,j_Per,5),0))</f>
        <v/>
      </c>
      <c r="S140" s="95">
        <f>IF($D140="",0,SUMIFS(j_DrAmt,j_DrAcct,$D140,j_Per,6)-SUMIFS(j_CrAmt,j_CrAcct,$D140,j_Per,6)+IF($D140=acctTax,SUMIFS(j_TaxDr,j_Posted,1,j_Per,6)-SUMIFS(j_TaxCr,j_Posted,1,j_Per,6),0))</f>
        <v/>
      </c>
      <c r="T140" s="95">
        <f>IF($D140="",0,SUMIFS(j_DrAmt,j_DrAcct,$D140,j_Per,7)-SUMIFS(j_CrAmt,j_CrAcct,$D140,j_Per,7)+IF($D140=acctTax,SUMIFS(j_TaxDr,j_Posted,1,j_Per,7)-SUMIFS(j_TaxCr,j_Posted,1,j_Per,7),0))</f>
        <v/>
      </c>
      <c r="U140" s="95">
        <f>IF($D140="",0,SUMIFS(j_DrAmt,j_DrAcct,$D140,j_Per,8)-SUMIFS(j_CrAmt,j_CrAcct,$D140,j_Per,8)+IF($D140=acctTax,SUMIFS(j_TaxDr,j_Posted,1,j_Per,8)-SUMIFS(j_TaxCr,j_Posted,1,j_Per,8),0))</f>
        <v/>
      </c>
      <c r="V140" s="95">
        <f>IF($D140="",0,SUMIFS(j_DrAmt,j_DrAcct,$D140,j_Per,9)-SUMIFS(j_CrAmt,j_CrAcct,$D140,j_Per,9)+IF($D140=acctTax,SUMIFS(j_TaxDr,j_Posted,1,j_Per,9)-SUMIFS(j_TaxCr,j_Posted,1,j_Per,9),0))</f>
        <v/>
      </c>
      <c r="W140" s="95">
        <f>IF($D140="",0,SUMIFS(j_DrAmt,j_DrAcct,$D140,j_Per,10)-SUMIFS(j_CrAmt,j_CrAcct,$D140,j_Per,10)+IF($D140=acctTax,SUMIFS(j_TaxDr,j_Posted,1,j_Per,10)-SUMIFS(j_TaxCr,j_Posted,1,j_Per,10),0))</f>
        <v/>
      </c>
      <c r="X140" s="95">
        <f>IF($D140="",0,SUMIFS(j_DrAmt,j_DrAcct,$D140,j_Per,11)-SUMIFS(j_CrAmt,j_CrAcct,$D140,j_Per,11)+IF($D140=acctTax,SUMIFS(j_TaxDr,j_Posted,1,j_Per,11)-SUMIFS(j_TaxCr,j_Posted,1,j_Per,11),0))</f>
        <v/>
      </c>
      <c r="Y140" s="95">
        <f>IF($D140="",0,SUMIFS(j_DrAmt,j_DrAcct,$D140,j_Per,12)-SUMIFS(j_CrAmt,j_CrAcct,$D140,j_Per,12)+IF($D140=acctTax,SUMIFS(j_TaxDr,j_Posted,1,j_Per,12)-SUMIFS(j_TaxCr,j_Posted,1,j_Per,12),0))</f>
        <v/>
      </c>
      <c r="Z140" s="95">
        <f>SUMPRODUCT(($N$5:$Y$5&lt;=RptIdx)*N140:Y140)</f>
        <v/>
      </c>
      <c r="AA140" s="95">
        <f>IF(AND(RptIdx&gt;=1,RptIdx&lt;=12),INDEX(N140:Y140,RptIdx),0)</f>
        <v/>
      </c>
      <c r="AB140" s="95">
        <f>IF($D140="",0,IF(RptIdx&gt;1,INDEX(N140:Y140,RptIdx-1),SUMIFS(j_DrAmt,j_DrAcct,$D140,j_Date,"&gt;="&amp;PrevStart,j_Date,"&lt;="&amp;PrevEnd)-SUMIFS(j_CrAmt,j_CrAcct,$D140,j_Date,"&gt;="&amp;PrevStart,j_Date,"&lt;="&amp;PrevEnd)+IF($D140=acctTax,SUMIFS(j_TaxDr,j_Posted,1,j_Date,"&gt;="&amp;PrevStart,j_Date,"&lt;="&amp;PrevEnd)-SUMIFS(j_TaxCr,j_Posted,1,j_Date,"&gt;="&amp;PrevStart,j_Date,"&lt;="&amp;PrevEnd),0)))</f>
        <v/>
      </c>
      <c r="AC140" s="95">
        <f>SUM(N140:Y140)</f>
        <v/>
      </c>
      <c r="AD140" s="95">
        <f>L140+M140+Z140</f>
        <v/>
      </c>
      <c r="AE140" s="95">
        <f>AD140-AA140</f>
        <v/>
      </c>
      <c r="AF140" s="58">
        <f>IF($D140="","",F140&amp;"|"&amp;COUNTIFS($F$7:F140,F140,$D$7:D140,"&lt;&gt;"))</f>
        <v/>
      </c>
      <c r="AG140" s="58">
        <f>IF(AND($D140&lt;&gt;"",H140="Cash"),"Cash|"&amp;COUNTIFS($H$7:H140,"Cash",$D$7:D140,"&lt;&gt;"),"")</f>
        <v/>
      </c>
      <c r="AH140" s="95">
        <f>IF(AND($D140&lt;&gt;"",OR(F140="Cost of Sales",F140="Operating Expense",F140="Other Expense"),Z140&gt;0),Z140+134/1000000,"")</f>
        <v/>
      </c>
      <c r="AI140" s="95">
        <f>L140+M140+SUM(N140:N140)</f>
        <v/>
      </c>
      <c r="AJ140" s="95">
        <f>L140+M140+SUM(N140:O140)</f>
        <v/>
      </c>
      <c r="AK140" s="95">
        <f>L140+M140+SUM(N140:P140)</f>
        <v/>
      </c>
      <c r="AL140" s="95">
        <f>L140+M140+SUM(N140:Q140)</f>
        <v/>
      </c>
      <c r="AM140" s="95">
        <f>L140+M140+SUM(N140:R140)</f>
        <v/>
      </c>
      <c r="AN140" s="95">
        <f>L140+M140+SUM(N140:S140)</f>
        <v/>
      </c>
      <c r="AO140" s="95">
        <f>L140+M140+SUM(N140:T140)</f>
        <v/>
      </c>
      <c r="AP140" s="95">
        <f>L140+M140+SUM(N140:U140)</f>
        <v/>
      </c>
      <c r="AQ140" s="95">
        <f>L140+M140+SUM(N140:V140)</f>
        <v/>
      </c>
      <c r="AR140" s="95">
        <f>L140+M140+SUM(N140:W140)</f>
        <v/>
      </c>
      <c r="AS140" s="95">
        <f>L140+M140+SUM(N140:X140)</f>
        <v/>
      </c>
      <c r="AT140" s="95">
        <f>L140+M140+SUM(N140:Y140)</f>
        <v/>
      </c>
    </row>
    <row r="141">
      <c r="B141" s="58" t="n">
        <v>135</v>
      </c>
      <c r="C141" s="58">
        <f>IFERROR(INDEX(coa_Name,135)&amp;"","")</f>
        <v/>
      </c>
      <c r="D141" s="58">
        <f>IF(C141="","",IF(COUNTIF($C$7:C141,C141)&gt;1,"",C141))</f>
        <v/>
      </c>
      <c r="E141" s="58">
        <f>IF($D141="","",INDEX(coa_Code,135))</f>
        <v/>
      </c>
      <c r="F141" s="58">
        <f>IF($D141="","",INDEX(coa_Type,135)&amp;"")</f>
        <v/>
      </c>
      <c r="G141" s="58">
        <f>IF($D141="","",INDEX(coa_Normal,135)&amp;"")</f>
        <v/>
      </c>
      <c r="H141" s="58">
        <f>IF($D141="","",IF(INDEX(coa_CF,135)&amp;""="","Operating",INDEX(coa_CF,135)&amp;""))</f>
        <v/>
      </c>
      <c r="I141" s="58">
        <f>IF($D141="","",IFERROR(INDEX(at_Stmt,MATCH(F141,at_Type,0)),""))</f>
        <v/>
      </c>
      <c r="J141" s="58">
        <f>IF($D141="",0,IFERROR(INDEX(at_Sign,MATCH(F141,at_Type,0)),0))</f>
        <v/>
      </c>
      <c r="K141" s="95">
        <f>IF($D141="",0,IF(G141="Credit",-1,1)*N(INDEX(coa_Open,135)))</f>
        <v/>
      </c>
      <c r="L141" s="95">
        <f>IF($D141="",0,IF($D141=acctOBE,K141-SUM($K$7:$K$156),K141))</f>
        <v/>
      </c>
      <c r="M141" s="95">
        <f>IF($D141="",0,SUMIFS(j_DrAmt,j_DrAcct,$D141,j_Per,0)-SUMIFS(j_CrAmt,j_CrAcct,$D141,j_Per,0)+IF($D141=acctTax,SUMIFS(j_TaxDr,j_Posted,1,j_Per,0)-SUMIFS(j_TaxCr,j_Posted,1,j_Per,0),0))</f>
        <v/>
      </c>
      <c r="N141" s="95">
        <f>IF($D141="",0,SUMIFS(j_DrAmt,j_DrAcct,$D141,j_Per,1)-SUMIFS(j_CrAmt,j_CrAcct,$D141,j_Per,1)+IF($D141=acctTax,SUMIFS(j_TaxDr,j_Posted,1,j_Per,1)-SUMIFS(j_TaxCr,j_Posted,1,j_Per,1),0))</f>
        <v/>
      </c>
      <c r="O141" s="95">
        <f>IF($D141="",0,SUMIFS(j_DrAmt,j_DrAcct,$D141,j_Per,2)-SUMIFS(j_CrAmt,j_CrAcct,$D141,j_Per,2)+IF($D141=acctTax,SUMIFS(j_TaxDr,j_Posted,1,j_Per,2)-SUMIFS(j_TaxCr,j_Posted,1,j_Per,2),0))</f>
        <v/>
      </c>
      <c r="P141" s="95">
        <f>IF($D141="",0,SUMIFS(j_DrAmt,j_DrAcct,$D141,j_Per,3)-SUMIFS(j_CrAmt,j_CrAcct,$D141,j_Per,3)+IF($D141=acctTax,SUMIFS(j_TaxDr,j_Posted,1,j_Per,3)-SUMIFS(j_TaxCr,j_Posted,1,j_Per,3),0))</f>
        <v/>
      </c>
      <c r="Q141" s="95">
        <f>IF($D141="",0,SUMIFS(j_DrAmt,j_DrAcct,$D141,j_Per,4)-SUMIFS(j_CrAmt,j_CrAcct,$D141,j_Per,4)+IF($D141=acctTax,SUMIFS(j_TaxDr,j_Posted,1,j_Per,4)-SUMIFS(j_TaxCr,j_Posted,1,j_Per,4),0))</f>
        <v/>
      </c>
      <c r="R141" s="95">
        <f>IF($D141="",0,SUMIFS(j_DrAmt,j_DrAcct,$D141,j_Per,5)-SUMIFS(j_CrAmt,j_CrAcct,$D141,j_Per,5)+IF($D141=acctTax,SUMIFS(j_TaxDr,j_Posted,1,j_Per,5)-SUMIFS(j_TaxCr,j_Posted,1,j_Per,5),0))</f>
        <v/>
      </c>
      <c r="S141" s="95">
        <f>IF($D141="",0,SUMIFS(j_DrAmt,j_DrAcct,$D141,j_Per,6)-SUMIFS(j_CrAmt,j_CrAcct,$D141,j_Per,6)+IF($D141=acctTax,SUMIFS(j_TaxDr,j_Posted,1,j_Per,6)-SUMIFS(j_TaxCr,j_Posted,1,j_Per,6),0))</f>
        <v/>
      </c>
      <c r="T141" s="95">
        <f>IF($D141="",0,SUMIFS(j_DrAmt,j_DrAcct,$D141,j_Per,7)-SUMIFS(j_CrAmt,j_CrAcct,$D141,j_Per,7)+IF($D141=acctTax,SUMIFS(j_TaxDr,j_Posted,1,j_Per,7)-SUMIFS(j_TaxCr,j_Posted,1,j_Per,7),0))</f>
        <v/>
      </c>
      <c r="U141" s="95">
        <f>IF($D141="",0,SUMIFS(j_DrAmt,j_DrAcct,$D141,j_Per,8)-SUMIFS(j_CrAmt,j_CrAcct,$D141,j_Per,8)+IF($D141=acctTax,SUMIFS(j_TaxDr,j_Posted,1,j_Per,8)-SUMIFS(j_TaxCr,j_Posted,1,j_Per,8),0))</f>
        <v/>
      </c>
      <c r="V141" s="95">
        <f>IF($D141="",0,SUMIFS(j_DrAmt,j_DrAcct,$D141,j_Per,9)-SUMIFS(j_CrAmt,j_CrAcct,$D141,j_Per,9)+IF($D141=acctTax,SUMIFS(j_TaxDr,j_Posted,1,j_Per,9)-SUMIFS(j_TaxCr,j_Posted,1,j_Per,9),0))</f>
        <v/>
      </c>
      <c r="W141" s="95">
        <f>IF($D141="",0,SUMIFS(j_DrAmt,j_DrAcct,$D141,j_Per,10)-SUMIFS(j_CrAmt,j_CrAcct,$D141,j_Per,10)+IF($D141=acctTax,SUMIFS(j_TaxDr,j_Posted,1,j_Per,10)-SUMIFS(j_TaxCr,j_Posted,1,j_Per,10),0))</f>
        <v/>
      </c>
      <c r="X141" s="95">
        <f>IF($D141="",0,SUMIFS(j_DrAmt,j_DrAcct,$D141,j_Per,11)-SUMIFS(j_CrAmt,j_CrAcct,$D141,j_Per,11)+IF($D141=acctTax,SUMIFS(j_TaxDr,j_Posted,1,j_Per,11)-SUMIFS(j_TaxCr,j_Posted,1,j_Per,11),0))</f>
        <v/>
      </c>
      <c r="Y141" s="95">
        <f>IF($D141="",0,SUMIFS(j_DrAmt,j_DrAcct,$D141,j_Per,12)-SUMIFS(j_CrAmt,j_CrAcct,$D141,j_Per,12)+IF($D141=acctTax,SUMIFS(j_TaxDr,j_Posted,1,j_Per,12)-SUMIFS(j_TaxCr,j_Posted,1,j_Per,12),0))</f>
        <v/>
      </c>
      <c r="Z141" s="95">
        <f>SUMPRODUCT(($N$5:$Y$5&lt;=RptIdx)*N141:Y141)</f>
        <v/>
      </c>
      <c r="AA141" s="95">
        <f>IF(AND(RptIdx&gt;=1,RptIdx&lt;=12),INDEX(N141:Y141,RptIdx),0)</f>
        <v/>
      </c>
      <c r="AB141" s="95">
        <f>IF($D141="",0,IF(RptIdx&gt;1,INDEX(N141:Y141,RptIdx-1),SUMIFS(j_DrAmt,j_DrAcct,$D141,j_Date,"&gt;="&amp;PrevStart,j_Date,"&lt;="&amp;PrevEnd)-SUMIFS(j_CrAmt,j_CrAcct,$D141,j_Date,"&gt;="&amp;PrevStart,j_Date,"&lt;="&amp;PrevEnd)+IF($D141=acctTax,SUMIFS(j_TaxDr,j_Posted,1,j_Date,"&gt;="&amp;PrevStart,j_Date,"&lt;="&amp;PrevEnd)-SUMIFS(j_TaxCr,j_Posted,1,j_Date,"&gt;="&amp;PrevStart,j_Date,"&lt;="&amp;PrevEnd),0)))</f>
        <v/>
      </c>
      <c r="AC141" s="95">
        <f>SUM(N141:Y141)</f>
        <v/>
      </c>
      <c r="AD141" s="95">
        <f>L141+M141+Z141</f>
        <v/>
      </c>
      <c r="AE141" s="95">
        <f>AD141-AA141</f>
        <v/>
      </c>
      <c r="AF141" s="58">
        <f>IF($D141="","",F141&amp;"|"&amp;COUNTIFS($F$7:F141,F141,$D$7:D141,"&lt;&gt;"))</f>
        <v/>
      </c>
      <c r="AG141" s="58">
        <f>IF(AND($D141&lt;&gt;"",H141="Cash"),"Cash|"&amp;COUNTIFS($H$7:H141,"Cash",$D$7:D141,"&lt;&gt;"),"")</f>
        <v/>
      </c>
      <c r="AH141" s="95">
        <f>IF(AND($D141&lt;&gt;"",OR(F141="Cost of Sales",F141="Operating Expense",F141="Other Expense"),Z141&gt;0),Z141+135/1000000,"")</f>
        <v/>
      </c>
      <c r="AI141" s="95">
        <f>L141+M141+SUM(N141:N141)</f>
        <v/>
      </c>
      <c r="AJ141" s="95">
        <f>L141+M141+SUM(N141:O141)</f>
        <v/>
      </c>
      <c r="AK141" s="95">
        <f>L141+M141+SUM(N141:P141)</f>
        <v/>
      </c>
      <c r="AL141" s="95">
        <f>L141+M141+SUM(N141:Q141)</f>
        <v/>
      </c>
      <c r="AM141" s="95">
        <f>L141+M141+SUM(N141:R141)</f>
        <v/>
      </c>
      <c r="AN141" s="95">
        <f>L141+M141+SUM(N141:S141)</f>
        <v/>
      </c>
      <c r="AO141" s="95">
        <f>L141+M141+SUM(N141:T141)</f>
        <v/>
      </c>
      <c r="AP141" s="95">
        <f>L141+M141+SUM(N141:U141)</f>
        <v/>
      </c>
      <c r="AQ141" s="95">
        <f>L141+M141+SUM(N141:V141)</f>
        <v/>
      </c>
      <c r="AR141" s="95">
        <f>L141+M141+SUM(N141:W141)</f>
        <v/>
      </c>
      <c r="AS141" s="95">
        <f>L141+M141+SUM(N141:X141)</f>
        <v/>
      </c>
      <c r="AT141" s="95">
        <f>L141+M141+SUM(N141:Y141)</f>
        <v/>
      </c>
    </row>
    <row r="142">
      <c r="B142" s="58" t="n">
        <v>136</v>
      </c>
      <c r="C142" s="58">
        <f>IFERROR(INDEX(coa_Name,136)&amp;"","")</f>
        <v/>
      </c>
      <c r="D142" s="58">
        <f>IF(C142="","",IF(COUNTIF($C$7:C142,C142)&gt;1,"",C142))</f>
        <v/>
      </c>
      <c r="E142" s="58">
        <f>IF($D142="","",INDEX(coa_Code,136))</f>
        <v/>
      </c>
      <c r="F142" s="58">
        <f>IF($D142="","",INDEX(coa_Type,136)&amp;"")</f>
        <v/>
      </c>
      <c r="G142" s="58">
        <f>IF($D142="","",INDEX(coa_Normal,136)&amp;"")</f>
        <v/>
      </c>
      <c r="H142" s="58">
        <f>IF($D142="","",IF(INDEX(coa_CF,136)&amp;""="","Operating",INDEX(coa_CF,136)&amp;""))</f>
        <v/>
      </c>
      <c r="I142" s="58">
        <f>IF($D142="","",IFERROR(INDEX(at_Stmt,MATCH(F142,at_Type,0)),""))</f>
        <v/>
      </c>
      <c r="J142" s="58">
        <f>IF($D142="",0,IFERROR(INDEX(at_Sign,MATCH(F142,at_Type,0)),0))</f>
        <v/>
      </c>
      <c r="K142" s="95">
        <f>IF($D142="",0,IF(G142="Credit",-1,1)*N(INDEX(coa_Open,136)))</f>
        <v/>
      </c>
      <c r="L142" s="95">
        <f>IF($D142="",0,IF($D142=acctOBE,K142-SUM($K$7:$K$156),K142))</f>
        <v/>
      </c>
      <c r="M142" s="95">
        <f>IF($D142="",0,SUMIFS(j_DrAmt,j_DrAcct,$D142,j_Per,0)-SUMIFS(j_CrAmt,j_CrAcct,$D142,j_Per,0)+IF($D142=acctTax,SUMIFS(j_TaxDr,j_Posted,1,j_Per,0)-SUMIFS(j_TaxCr,j_Posted,1,j_Per,0),0))</f>
        <v/>
      </c>
      <c r="N142" s="95">
        <f>IF($D142="",0,SUMIFS(j_DrAmt,j_DrAcct,$D142,j_Per,1)-SUMIFS(j_CrAmt,j_CrAcct,$D142,j_Per,1)+IF($D142=acctTax,SUMIFS(j_TaxDr,j_Posted,1,j_Per,1)-SUMIFS(j_TaxCr,j_Posted,1,j_Per,1),0))</f>
        <v/>
      </c>
      <c r="O142" s="95">
        <f>IF($D142="",0,SUMIFS(j_DrAmt,j_DrAcct,$D142,j_Per,2)-SUMIFS(j_CrAmt,j_CrAcct,$D142,j_Per,2)+IF($D142=acctTax,SUMIFS(j_TaxDr,j_Posted,1,j_Per,2)-SUMIFS(j_TaxCr,j_Posted,1,j_Per,2),0))</f>
        <v/>
      </c>
      <c r="P142" s="95">
        <f>IF($D142="",0,SUMIFS(j_DrAmt,j_DrAcct,$D142,j_Per,3)-SUMIFS(j_CrAmt,j_CrAcct,$D142,j_Per,3)+IF($D142=acctTax,SUMIFS(j_TaxDr,j_Posted,1,j_Per,3)-SUMIFS(j_TaxCr,j_Posted,1,j_Per,3),0))</f>
        <v/>
      </c>
      <c r="Q142" s="95">
        <f>IF($D142="",0,SUMIFS(j_DrAmt,j_DrAcct,$D142,j_Per,4)-SUMIFS(j_CrAmt,j_CrAcct,$D142,j_Per,4)+IF($D142=acctTax,SUMIFS(j_TaxDr,j_Posted,1,j_Per,4)-SUMIFS(j_TaxCr,j_Posted,1,j_Per,4),0))</f>
        <v/>
      </c>
      <c r="R142" s="95">
        <f>IF($D142="",0,SUMIFS(j_DrAmt,j_DrAcct,$D142,j_Per,5)-SUMIFS(j_CrAmt,j_CrAcct,$D142,j_Per,5)+IF($D142=acctTax,SUMIFS(j_TaxDr,j_Posted,1,j_Per,5)-SUMIFS(j_TaxCr,j_Posted,1,j_Per,5),0))</f>
        <v/>
      </c>
      <c r="S142" s="95">
        <f>IF($D142="",0,SUMIFS(j_DrAmt,j_DrAcct,$D142,j_Per,6)-SUMIFS(j_CrAmt,j_CrAcct,$D142,j_Per,6)+IF($D142=acctTax,SUMIFS(j_TaxDr,j_Posted,1,j_Per,6)-SUMIFS(j_TaxCr,j_Posted,1,j_Per,6),0))</f>
        <v/>
      </c>
      <c r="T142" s="95">
        <f>IF($D142="",0,SUMIFS(j_DrAmt,j_DrAcct,$D142,j_Per,7)-SUMIFS(j_CrAmt,j_CrAcct,$D142,j_Per,7)+IF($D142=acctTax,SUMIFS(j_TaxDr,j_Posted,1,j_Per,7)-SUMIFS(j_TaxCr,j_Posted,1,j_Per,7),0))</f>
        <v/>
      </c>
      <c r="U142" s="95">
        <f>IF($D142="",0,SUMIFS(j_DrAmt,j_DrAcct,$D142,j_Per,8)-SUMIFS(j_CrAmt,j_CrAcct,$D142,j_Per,8)+IF($D142=acctTax,SUMIFS(j_TaxDr,j_Posted,1,j_Per,8)-SUMIFS(j_TaxCr,j_Posted,1,j_Per,8),0))</f>
        <v/>
      </c>
      <c r="V142" s="95">
        <f>IF($D142="",0,SUMIFS(j_DrAmt,j_DrAcct,$D142,j_Per,9)-SUMIFS(j_CrAmt,j_CrAcct,$D142,j_Per,9)+IF($D142=acctTax,SUMIFS(j_TaxDr,j_Posted,1,j_Per,9)-SUMIFS(j_TaxCr,j_Posted,1,j_Per,9),0))</f>
        <v/>
      </c>
      <c r="W142" s="95">
        <f>IF($D142="",0,SUMIFS(j_DrAmt,j_DrAcct,$D142,j_Per,10)-SUMIFS(j_CrAmt,j_CrAcct,$D142,j_Per,10)+IF($D142=acctTax,SUMIFS(j_TaxDr,j_Posted,1,j_Per,10)-SUMIFS(j_TaxCr,j_Posted,1,j_Per,10),0))</f>
        <v/>
      </c>
      <c r="X142" s="95">
        <f>IF($D142="",0,SUMIFS(j_DrAmt,j_DrAcct,$D142,j_Per,11)-SUMIFS(j_CrAmt,j_CrAcct,$D142,j_Per,11)+IF($D142=acctTax,SUMIFS(j_TaxDr,j_Posted,1,j_Per,11)-SUMIFS(j_TaxCr,j_Posted,1,j_Per,11),0))</f>
        <v/>
      </c>
      <c r="Y142" s="95">
        <f>IF($D142="",0,SUMIFS(j_DrAmt,j_DrAcct,$D142,j_Per,12)-SUMIFS(j_CrAmt,j_CrAcct,$D142,j_Per,12)+IF($D142=acctTax,SUMIFS(j_TaxDr,j_Posted,1,j_Per,12)-SUMIFS(j_TaxCr,j_Posted,1,j_Per,12),0))</f>
        <v/>
      </c>
      <c r="Z142" s="95">
        <f>SUMPRODUCT(($N$5:$Y$5&lt;=RptIdx)*N142:Y142)</f>
        <v/>
      </c>
      <c r="AA142" s="95">
        <f>IF(AND(RptIdx&gt;=1,RptIdx&lt;=12),INDEX(N142:Y142,RptIdx),0)</f>
        <v/>
      </c>
      <c r="AB142" s="95">
        <f>IF($D142="",0,IF(RptIdx&gt;1,INDEX(N142:Y142,RptIdx-1),SUMIFS(j_DrAmt,j_DrAcct,$D142,j_Date,"&gt;="&amp;PrevStart,j_Date,"&lt;="&amp;PrevEnd)-SUMIFS(j_CrAmt,j_CrAcct,$D142,j_Date,"&gt;="&amp;PrevStart,j_Date,"&lt;="&amp;PrevEnd)+IF($D142=acctTax,SUMIFS(j_TaxDr,j_Posted,1,j_Date,"&gt;="&amp;PrevStart,j_Date,"&lt;="&amp;PrevEnd)-SUMIFS(j_TaxCr,j_Posted,1,j_Date,"&gt;="&amp;PrevStart,j_Date,"&lt;="&amp;PrevEnd),0)))</f>
        <v/>
      </c>
      <c r="AC142" s="95">
        <f>SUM(N142:Y142)</f>
        <v/>
      </c>
      <c r="AD142" s="95">
        <f>L142+M142+Z142</f>
        <v/>
      </c>
      <c r="AE142" s="95">
        <f>AD142-AA142</f>
        <v/>
      </c>
      <c r="AF142" s="58">
        <f>IF($D142="","",F142&amp;"|"&amp;COUNTIFS($F$7:F142,F142,$D$7:D142,"&lt;&gt;"))</f>
        <v/>
      </c>
      <c r="AG142" s="58">
        <f>IF(AND($D142&lt;&gt;"",H142="Cash"),"Cash|"&amp;COUNTIFS($H$7:H142,"Cash",$D$7:D142,"&lt;&gt;"),"")</f>
        <v/>
      </c>
      <c r="AH142" s="95">
        <f>IF(AND($D142&lt;&gt;"",OR(F142="Cost of Sales",F142="Operating Expense",F142="Other Expense"),Z142&gt;0),Z142+136/1000000,"")</f>
        <v/>
      </c>
      <c r="AI142" s="95">
        <f>L142+M142+SUM(N142:N142)</f>
        <v/>
      </c>
      <c r="AJ142" s="95">
        <f>L142+M142+SUM(N142:O142)</f>
        <v/>
      </c>
      <c r="AK142" s="95">
        <f>L142+M142+SUM(N142:P142)</f>
        <v/>
      </c>
      <c r="AL142" s="95">
        <f>L142+M142+SUM(N142:Q142)</f>
        <v/>
      </c>
      <c r="AM142" s="95">
        <f>L142+M142+SUM(N142:R142)</f>
        <v/>
      </c>
      <c r="AN142" s="95">
        <f>L142+M142+SUM(N142:S142)</f>
        <v/>
      </c>
      <c r="AO142" s="95">
        <f>L142+M142+SUM(N142:T142)</f>
        <v/>
      </c>
      <c r="AP142" s="95">
        <f>L142+M142+SUM(N142:U142)</f>
        <v/>
      </c>
      <c r="AQ142" s="95">
        <f>L142+M142+SUM(N142:V142)</f>
        <v/>
      </c>
      <c r="AR142" s="95">
        <f>L142+M142+SUM(N142:W142)</f>
        <v/>
      </c>
      <c r="AS142" s="95">
        <f>L142+M142+SUM(N142:X142)</f>
        <v/>
      </c>
      <c r="AT142" s="95">
        <f>L142+M142+SUM(N142:Y142)</f>
        <v/>
      </c>
    </row>
    <row r="143">
      <c r="B143" s="58" t="n">
        <v>137</v>
      </c>
      <c r="C143" s="58">
        <f>IFERROR(INDEX(coa_Name,137)&amp;"","")</f>
        <v/>
      </c>
      <c r="D143" s="58">
        <f>IF(C143="","",IF(COUNTIF($C$7:C143,C143)&gt;1,"",C143))</f>
        <v/>
      </c>
      <c r="E143" s="58">
        <f>IF($D143="","",INDEX(coa_Code,137))</f>
        <v/>
      </c>
      <c r="F143" s="58">
        <f>IF($D143="","",INDEX(coa_Type,137)&amp;"")</f>
        <v/>
      </c>
      <c r="G143" s="58">
        <f>IF($D143="","",INDEX(coa_Normal,137)&amp;"")</f>
        <v/>
      </c>
      <c r="H143" s="58">
        <f>IF($D143="","",IF(INDEX(coa_CF,137)&amp;""="","Operating",INDEX(coa_CF,137)&amp;""))</f>
        <v/>
      </c>
      <c r="I143" s="58">
        <f>IF($D143="","",IFERROR(INDEX(at_Stmt,MATCH(F143,at_Type,0)),""))</f>
        <v/>
      </c>
      <c r="J143" s="58">
        <f>IF($D143="",0,IFERROR(INDEX(at_Sign,MATCH(F143,at_Type,0)),0))</f>
        <v/>
      </c>
      <c r="K143" s="95">
        <f>IF($D143="",0,IF(G143="Credit",-1,1)*N(INDEX(coa_Open,137)))</f>
        <v/>
      </c>
      <c r="L143" s="95">
        <f>IF($D143="",0,IF($D143=acctOBE,K143-SUM($K$7:$K$156),K143))</f>
        <v/>
      </c>
      <c r="M143" s="95">
        <f>IF($D143="",0,SUMIFS(j_DrAmt,j_DrAcct,$D143,j_Per,0)-SUMIFS(j_CrAmt,j_CrAcct,$D143,j_Per,0)+IF($D143=acctTax,SUMIFS(j_TaxDr,j_Posted,1,j_Per,0)-SUMIFS(j_TaxCr,j_Posted,1,j_Per,0),0))</f>
        <v/>
      </c>
      <c r="N143" s="95">
        <f>IF($D143="",0,SUMIFS(j_DrAmt,j_DrAcct,$D143,j_Per,1)-SUMIFS(j_CrAmt,j_CrAcct,$D143,j_Per,1)+IF($D143=acctTax,SUMIFS(j_TaxDr,j_Posted,1,j_Per,1)-SUMIFS(j_TaxCr,j_Posted,1,j_Per,1),0))</f>
        <v/>
      </c>
      <c r="O143" s="95">
        <f>IF($D143="",0,SUMIFS(j_DrAmt,j_DrAcct,$D143,j_Per,2)-SUMIFS(j_CrAmt,j_CrAcct,$D143,j_Per,2)+IF($D143=acctTax,SUMIFS(j_TaxDr,j_Posted,1,j_Per,2)-SUMIFS(j_TaxCr,j_Posted,1,j_Per,2),0))</f>
        <v/>
      </c>
      <c r="P143" s="95">
        <f>IF($D143="",0,SUMIFS(j_DrAmt,j_DrAcct,$D143,j_Per,3)-SUMIFS(j_CrAmt,j_CrAcct,$D143,j_Per,3)+IF($D143=acctTax,SUMIFS(j_TaxDr,j_Posted,1,j_Per,3)-SUMIFS(j_TaxCr,j_Posted,1,j_Per,3),0))</f>
        <v/>
      </c>
      <c r="Q143" s="95">
        <f>IF($D143="",0,SUMIFS(j_DrAmt,j_DrAcct,$D143,j_Per,4)-SUMIFS(j_CrAmt,j_CrAcct,$D143,j_Per,4)+IF($D143=acctTax,SUMIFS(j_TaxDr,j_Posted,1,j_Per,4)-SUMIFS(j_TaxCr,j_Posted,1,j_Per,4),0))</f>
        <v/>
      </c>
      <c r="R143" s="95">
        <f>IF($D143="",0,SUMIFS(j_DrAmt,j_DrAcct,$D143,j_Per,5)-SUMIFS(j_CrAmt,j_CrAcct,$D143,j_Per,5)+IF($D143=acctTax,SUMIFS(j_TaxDr,j_Posted,1,j_Per,5)-SUMIFS(j_TaxCr,j_Posted,1,j_Per,5),0))</f>
        <v/>
      </c>
      <c r="S143" s="95">
        <f>IF($D143="",0,SUMIFS(j_DrAmt,j_DrAcct,$D143,j_Per,6)-SUMIFS(j_CrAmt,j_CrAcct,$D143,j_Per,6)+IF($D143=acctTax,SUMIFS(j_TaxDr,j_Posted,1,j_Per,6)-SUMIFS(j_TaxCr,j_Posted,1,j_Per,6),0))</f>
        <v/>
      </c>
      <c r="T143" s="95">
        <f>IF($D143="",0,SUMIFS(j_DrAmt,j_DrAcct,$D143,j_Per,7)-SUMIFS(j_CrAmt,j_CrAcct,$D143,j_Per,7)+IF($D143=acctTax,SUMIFS(j_TaxDr,j_Posted,1,j_Per,7)-SUMIFS(j_TaxCr,j_Posted,1,j_Per,7),0))</f>
        <v/>
      </c>
      <c r="U143" s="95">
        <f>IF($D143="",0,SUMIFS(j_DrAmt,j_DrAcct,$D143,j_Per,8)-SUMIFS(j_CrAmt,j_CrAcct,$D143,j_Per,8)+IF($D143=acctTax,SUMIFS(j_TaxDr,j_Posted,1,j_Per,8)-SUMIFS(j_TaxCr,j_Posted,1,j_Per,8),0))</f>
        <v/>
      </c>
      <c r="V143" s="95">
        <f>IF($D143="",0,SUMIFS(j_DrAmt,j_DrAcct,$D143,j_Per,9)-SUMIFS(j_CrAmt,j_CrAcct,$D143,j_Per,9)+IF($D143=acctTax,SUMIFS(j_TaxDr,j_Posted,1,j_Per,9)-SUMIFS(j_TaxCr,j_Posted,1,j_Per,9),0))</f>
        <v/>
      </c>
      <c r="W143" s="95">
        <f>IF($D143="",0,SUMIFS(j_DrAmt,j_DrAcct,$D143,j_Per,10)-SUMIFS(j_CrAmt,j_CrAcct,$D143,j_Per,10)+IF($D143=acctTax,SUMIFS(j_TaxDr,j_Posted,1,j_Per,10)-SUMIFS(j_TaxCr,j_Posted,1,j_Per,10),0))</f>
        <v/>
      </c>
      <c r="X143" s="95">
        <f>IF($D143="",0,SUMIFS(j_DrAmt,j_DrAcct,$D143,j_Per,11)-SUMIFS(j_CrAmt,j_CrAcct,$D143,j_Per,11)+IF($D143=acctTax,SUMIFS(j_TaxDr,j_Posted,1,j_Per,11)-SUMIFS(j_TaxCr,j_Posted,1,j_Per,11),0))</f>
        <v/>
      </c>
      <c r="Y143" s="95">
        <f>IF($D143="",0,SUMIFS(j_DrAmt,j_DrAcct,$D143,j_Per,12)-SUMIFS(j_CrAmt,j_CrAcct,$D143,j_Per,12)+IF($D143=acctTax,SUMIFS(j_TaxDr,j_Posted,1,j_Per,12)-SUMIFS(j_TaxCr,j_Posted,1,j_Per,12),0))</f>
        <v/>
      </c>
      <c r="Z143" s="95">
        <f>SUMPRODUCT(($N$5:$Y$5&lt;=RptIdx)*N143:Y143)</f>
        <v/>
      </c>
      <c r="AA143" s="95">
        <f>IF(AND(RptIdx&gt;=1,RptIdx&lt;=12),INDEX(N143:Y143,RptIdx),0)</f>
        <v/>
      </c>
      <c r="AB143" s="95">
        <f>IF($D143="",0,IF(RptIdx&gt;1,INDEX(N143:Y143,RptIdx-1),SUMIFS(j_DrAmt,j_DrAcct,$D143,j_Date,"&gt;="&amp;PrevStart,j_Date,"&lt;="&amp;PrevEnd)-SUMIFS(j_CrAmt,j_CrAcct,$D143,j_Date,"&gt;="&amp;PrevStart,j_Date,"&lt;="&amp;PrevEnd)+IF($D143=acctTax,SUMIFS(j_TaxDr,j_Posted,1,j_Date,"&gt;="&amp;PrevStart,j_Date,"&lt;="&amp;PrevEnd)-SUMIFS(j_TaxCr,j_Posted,1,j_Date,"&gt;="&amp;PrevStart,j_Date,"&lt;="&amp;PrevEnd),0)))</f>
        <v/>
      </c>
      <c r="AC143" s="95">
        <f>SUM(N143:Y143)</f>
        <v/>
      </c>
      <c r="AD143" s="95">
        <f>L143+M143+Z143</f>
        <v/>
      </c>
      <c r="AE143" s="95">
        <f>AD143-AA143</f>
        <v/>
      </c>
      <c r="AF143" s="58">
        <f>IF($D143="","",F143&amp;"|"&amp;COUNTIFS($F$7:F143,F143,$D$7:D143,"&lt;&gt;"))</f>
        <v/>
      </c>
      <c r="AG143" s="58">
        <f>IF(AND($D143&lt;&gt;"",H143="Cash"),"Cash|"&amp;COUNTIFS($H$7:H143,"Cash",$D$7:D143,"&lt;&gt;"),"")</f>
        <v/>
      </c>
      <c r="AH143" s="95">
        <f>IF(AND($D143&lt;&gt;"",OR(F143="Cost of Sales",F143="Operating Expense",F143="Other Expense"),Z143&gt;0),Z143+137/1000000,"")</f>
        <v/>
      </c>
      <c r="AI143" s="95">
        <f>L143+M143+SUM(N143:N143)</f>
        <v/>
      </c>
      <c r="AJ143" s="95">
        <f>L143+M143+SUM(N143:O143)</f>
        <v/>
      </c>
      <c r="AK143" s="95">
        <f>L143+M143+SUM(N143:P143)</f>
        <v/>
      </c>
      <c r="AL143" s="95">
        <f>L143+M143+SUM(N143:Q143)</f>
        <v/>
      </c>
      <c r="AM143" s="95">
        <f>L143+M143+SUM(N143:R143)</f>
        <v/>
      </c>
      <c r="AN143" s="95">
        <f>L143+M143+SUM(N143:S143)</f>
        <v/>
      </c>
      <c r="AO143" s="95">
        <f>L143+M143+SUM(N143:T143)</f>
        <v/>
      </c>
      <c r="AP143" s="95">
        <f>L143+M143+SUM(N143:U143)</f>
        <v/>
      </c>
      <c r="AQ143" s="95">
        <f>L143+M143+SUM(N143:V143)</f>
        <v/>
      </c>
      <c r="AR143" s="95">
        <f>L143+M143+SUM(N143:W143)</f>
        <v/>
      </c>
      <c r="AS143" s="95">
        <f>L143+M143+SUM(N143:X143)</f>
        <v/>
      </c>
      <c r="AT143" s="95">
        <f>L143+M143+SUM(N143:Y143)</f>
        <v/>
      </c>
    </row>
    <row r="144">
      <c r="B144" s="58" t="n">
        <v>138</v>
      </c>
      <c r="C144" s="58">
        <f>IFERROR(INDEX(coa_Name,138)&amp;"","")</f>
        <v/>
      </c>
      <c r="D144" s="58">
        <f>IF(C144="","",IF(COUNTIF($C$7:C144,C144)&gt;1,"",C144))</f>
        <v/>
      </c>
      <c r="E144" s="58">
        <f>IF($D144="","",INDEX(coa_Code,138))</f>
        <v/>
      </c>
      <c r="F144" s="58">
        <f>IF($D144="","",INDEX(coa_Type,138)&amp;"")</f>
        <v/>
      </c>
      <c r="G144" s="58">
        <f>IF($D144="","",INDEX(coa_Normal,138)&amp;"")</f>
        <v/>
      </c>
      <c r="H144" s="58">
        <f>IF($D144="","",IF(INDEX(coa_CF,138)&amp;""="","Operating",INDEX(coa_CF,138)&amp;""))</f>
        <v/>
      </c>
      <c r="I144" s="58">
        <f>IF($D144="","",IFERROR(INDEX(at_Stmt,MATCH(F144,at_Type,0)),""))</f>
        <v/>
      </c>
      <c r="J144" s="58">
        <f>IF($D144="",0,IFERROR(INDEX(at_Sign,MATCH(F144,at_Type,0)),0))</f>
        <v/>
      </c>
      <c r="K144" s="95">
        <f>IF($D144="",0,IF(G144="Credit",-1,1)*N(INDEX(coa_Open,138)))</f>
        <v/>
      </c>
      <c r="L144" s="95">
        <f>IF($D144="",0,IF($D144=acctOBE,K144-SUM($K$7:$K$156),K144))</f>
        <v/>
      </c>
      <c r="M144" s="95">
        <f>IF($D144="",0,SUMIFS(j_DrAmt,j_DrAcct,$D144,j_Per,0)-SUMIFS(j_CrAmt,j_CrAcct,$D144,j_Per,0)+IF($D144=acctTax,SUMIFS(j_TaxDr,j_Posted,1,j_Per,0)-SUMIFS(j_TaxCr,j_Posted,1,j_Per,0),0))</f>
        <v/>
      </c>
      <c r="N144" s="95">
        <f>IF($D144="",0,SUMIFS(j_DrAmt,j_DrAcct,$D144,j_Per,1)-SUMIFS(j_CrAmt,j_CrAcct,$D144,j_Per,1)+IF($D144=acctTax,SUMIFS(j_TaxDr,j_Posted,1,j_Per,1)-SUMIFS(j_TaxCr,j_Posted,1,j_Per,1),0))</f>
        <v/>
      </c>
      <c r="O144" s="95">
        <f>IF($D144="",0,SUMIFS(j_DrAmt,j_DrAcct,$D144,j_Per,2)-SUMIFS(j_CrAmt,j_CrAcct,$D144,j_Per,2)+IF($D144=acctTax,SUMIFS(j_TaxDr,j_Posted,1,j_Per,2)-SUMIFS(j_TaxCr,j_Posted,1,j_Per,2),0))</f>
        <v/>
      </c>
      <c r="P144" s="95">
        <f>IF($D144="",0,SUMIFS(j_DrAmt,j_DrAcct,$D144,j_Per,3)-SUMIFS(j_CrAmt,j_CrAcct,$D144,j_Per,3)+IF($D144=acctTax,SUMIFS(j_TaxDr,j_Posted,1,j_Per,3)-SUMIFS(j_TaxCr,j_Posted,1,j_Per,3),0))</f>
        <v/>
      </c>
      <c r="Q144" s="95">
        <f>IF($D144="",0,SUMIFS(j_DrAmt,j_DrAcct,$D144,j_Per,4)-SUMIFS(j_CrAmt,j_CrAcct,$D144,j_Per,4)+IF($D144=acctTax,SUMIFS(j_TaxDr,j_Posted,1,j_Per,4)-SUMIFS(j_TaxCr,j_Posted,1,j_Per,4),0))</f>
        <v/>
      </c>
      <c r="R144" s="95">
        <f>IF($D144="",0,SUMIFS(j_DrAmt,j_DrAcct,$D144,j_Per,5)-SUMIFS(j_CrAmt,j_CrAcct,$D144,j_Per,5)+IF($D144=acctTax,SUMIFS(j_TaxDr,j_Posted,1,j_Per,5)-SUMIFS(j_TaxCr,j_Posted,1,j_Per,5),0))</f>
        <v/>
      </c>
      <c r="S144" s="95">
        <f>IF($D144="",0,SUMIFS(j_DrAmt,j_DrAcct,$D144,j_Per,6)-SUMIFS(j_CrAmt,j_CrAcct,$D144,j_Per,6)+IF($D144=acctTax,SUMIFS(j_TaxDr,j_Posted,1,j_Per,6)-SUMIFS(j_TaxCr,j_Posted,1,j_Per,6),0))</f>
        <v/>
      </c>
      <c r="T144" s="95">
        <f>IF($D144="",0,SUMIFS(j_DrAmt,j_DrAcct,$D144,j_Per,7)-SUMIFS(j_CrAmt,j_CrAcct,$D144,j_Per,7)+IF($D144=acctTax,SUMIFS(j_TaxDr,j_Posted,1,j_Per,7)-SUMIFS(j_TaxCr,j_Posted,1,j_Per,7),0))</f>
        <v/>
      </c>
      <c r="U144" s="95">
        <f>IF($D144="",0,SUMIFS(j_DrAmt,j_DrAcct,$D144,j_Per,8)-SUMIFS(j_CrAmt,j_CrAcct,$D144,j_Per,8)+IF($D144=acctTax,SUMIFS(j_TaxDr,j_Posted,1,j_Per,8)-SUMIFS(j_TaxCr,j_Posted,1,j_Per,8),0))</f>
        <v/>
      </c>
      <c r="V144" s="95">
        <f>IF($D144="",0,SUMIFS(j_DrAmt,j_DrAcct,$D144,j_Per,9)-SUMIFS(j_CrAmt,j_CrAcct,$D144,j_Per,9)+IF($D144=acctTax,SUMIFS(j_TaxDr,j_Posted,1,j_Per,9)-SUMIFS(j_TaxCr,j_Posted,1,j_Per,9),0))</f>
        <v/>
      </c>
      <c r="W144" s="95">
        <f>IF($D144="",0,SUMIFS(j_DrAmt,j_DrAcct,$D144,j_Per,10)-SUMIFS(j_CrAmt,j_CrAcct,$D144,j_Per,10)+IF($D144=acctTax,SUMIFS(j_TaxDr,j_Posted,1,j_Per,10)-SUMIFS(j_TaxCr,j_Posted,1,j_Per,10),0))</f>
        <v/>
      </c>
      <c r="X144" s="95">
        <f>IF($D144="",0,SUMIFS(j_DrAmt,j_DrAcct,$D144,j_Per,11)-SUMIFS(j_CrAmt,j_CrAcct,$D144,j_Per,11)+IF($D144=acctTax,SUMIFS(j_TaxDr,j_Posted,1,j_Per,11)-SUMIFS(j_TaxCr,j_Posted,1,j_Per,11),0))</f>
        <v/>
      </c>
      <c r="Y144" s="95">
        <f>IF($D144="",0,SUMIFS(j_DrAmt,j_DrAcct,$D144,j_Per,12)-SUMIFS(j_CrAmt,j_CrAcct,$D144,j_Per,12)+IF($D144=acctTax,SUMIFS(j_TaxDr,j_Posted,1,j_Per,12)-SUMIFS(j_TaxCr,j_Posted,1,j_Per,12),0))</f>
        <v/>
      </c>
      <c r="Z144" s="95">
        <f>SUMPRODUCT(($N$5:$Y$5&lt;=RptIdx)*N144:Y144)</f>
        <v/>
      </c>
      <c r="AA144" s="95">
        <f>IF(AND(RptIdx&gt;=1,RptIdx&lt;=12),INDEX(N144:Y144,RptIdx),0)</f>
        <v/>
      </c>
      <c r="AB144" s="95">
        <f>IF($D144="",0,IF(RptIdx&gt;1,INDEX(N144:Y144,RptIdx-1),SUMIFS(j_DrAmt,j_DrAcct,$D144,j_Date,"&gt;="&amp;PrevStart,j_Date,"&lt;="&amp;PrevEnd)-SUMIFS(j_CrAmt,j_CrAcct,$D144,j_Date,"&gt;="&amp;PrevStart,j_Date,"&lt;="&amp;PrevEnd)+IF($D144=acctTax,SUMIFS(j_TaxDr,j_Posted,1,j_Date,"&gt;="&amp;PrevStart,j_Date,"&lt;="&amp;PrevEnd)-SUMIFS(j_TaxCr,j_Posted,1,j_Date,"&gt;="&amp;PrevStart,j_Date,"&lt;="&amp;PrevEnd),0)))</f>
        <v/>
      </c>
      <c r="AC144" s="95">
        <f>SUM(N144:Y144)</f>
        <v/>
      </c>
      <c r="AD144" s="95">
        <f>L144+M144+Z144</f>
        <v/>
      </c>
      <c r="AE144" s="95">
        <f>AD144-AA144</f>
        <v/>
      </c>
      <c r="AF144" s="58">
        <f>IF($D144="","",F144&amp;"|"&amp;COUNTIFS($F$7:F144,F144,$D$7:D144,"&lt;&gt;"))</f>
        <v/>
      </c>
      <c r="AG144" s="58">
        <f>IF(AND($D144&lt;&gt;"",H144="Cash"),"Cash|"&amp;COUNTIFS($H$7:H144,"Cash",$D$7:D144,"&lt;&gt;"),"")</f>
        <v/>
      </c>
      <c r="AH144" s="95">
        <f>IF(AND($D144&lt;&gt;"",OR(F144="Cost of Sales",F144="Operating Expense",F144="Other Expense"),Z144&gt;0),Z144+138/1000000,"")</f>
        <v/>
      </c>
      <c r="AI144" s="95">
        <f>L144+M144+SUM(N144:N144)</f>
        <v/>
      </c>
      <c r="AJ144" s="95">
        <f>L144+M144+SUM(N144:O144)</f>
        <v/>
      </c>
      <c r="AK144" s="95">
        <f>L144+M144+SUM(N144:P144)</f>
        <v/>
      </c>
      <c r="AL144" s="95">
        <f>L144+M144+SUM(N144:Q144)</f>
        <v/>
      </c>
      <c r="AM144" s="95">
        <f>L144+M144+SUM(N144:R144)</f>
        <v/>
      </c>
      <c r="AN144" s="95">
        <f>L144+M144+SUM(N144:S144)</f>
        <v/>
      </c>
      <c r="AO144" s="95">
        <f>L144+M144+SUM(N144:T144)</f>
        <v/>
      </c>
      <c r="AP144" s="95">
        <f>L144+M144+SUM(N144:U144)</f>
        <v/>
      </c>
      <c r="AQ144" s="95">
        <f>L144+M144+SUM(N144:V144)</f>
        <v/>
      </c>
      <c r="AR144" s="95">
        <f>L144+M144+SUM(N144:W144)</f>
        <v/>
      </c>
      <c r="AS144" s="95">
        <f>L144+M144+SUM(N144:X144)</f>
        <v/>
      </c>
      <c r="AT144" s="95">
        <f>L144+M144+SUM(N144:Y144)</f>
        <v/>
      </c>
    </row>
    <row r="145">
      <c r="B145" s="58" t="n">
        <v>139</v>
      </c>
      <c r="C145" s="58">
        <f>IFERROR(INDEX(coa_Name,139)&amp;"","")</f>
        <v/>
      </c>
      <c r="D145" s="58">
        <f>IF(C145="","",IF(COUNTIF($C$7:C145,C145)&gt;1,"",C145))</f>
        <v/>
      </c>
      <c r="E145" s="58">
        <f>IF($D145="","",INDEX(coa_Code,139))</f>
        <v/>
      </c>
      <c r="F145" s="58">
        <f>IF($D145="","",INDEX(coa_Type,139)&amp;"")</f>
        <v/>
      </c>
      <c r="G145" s="58">
        <f>IF($D145="","",INDEX(coa_Normal,139)&amp;"")</f>
        <v/>
      </c>
      <c r="H145" s="58">
        <f>IF($D145="","",IF(INDEX(coa_CF,139)&amp;""="","Operating",INDEX(coa_CF,139)&amp;""))</f>
        <v/>
      </c>
      <c r="I145" s="58">
        <f>IF($D145="","",IFERROR(INDEX(at_Stmt,MATCH(F145,at_Type,0)),""))</f>
        <v/>
      </c>
      <c r="J145" s="58">
        <f>IF($D145="",0,IFERROR(INDEX(at_Sign,MATCH(F145,at_Type,0)),0))</f>
        <v/>
      </c>
      <c r="K145" s="95">
        <f>IF($D145="",0,IF(G145="Credit",-1,1)*N(INDEX(coa_Open,139)))</f>
        <v/>
      </c>
      <c r="L145" s="95">
        <f>IF($D145="",0,IF($D145=acctOBE,K145-SUM($K$7:$K$156),K145))</f>
        <v/>
      </c>
      <c r="M145" s="95">
        <f>IF($D145="",0,SUMIFS(j_DrAmt,j_DrAcct,$D145,j_Per,0)-SUMIFS(j_CrAmt,j_CrAcct,$D145,j_Per,0)+IF($D145=acctTax,SUMIFS(j_TaxDr,j_Posted,1,j_Per,0)-SUMIFS(j_TaxCr,j_Posted,1,j_Per,0),0))</f>
        <v/>
      </c>
      <c r="N145" s="95">
        <f>IF($D145="",0,SUMIFS(j_DrAmt,j_DrAcct,$D145,j_Per,1)-SUMIFS(j_CrAmt,j_CrAcct,$D145,j_Per,1)+IF($D145=acctTax,SUMIFS(j_TaxDr,j_Posted,1,j_Per,1)-SUMIFS(j_TaxCr,j_Posted,1,j_Per,1),0))</f>
        <v/>
      </c>
      <c r="O145" s="95">
        <f>IF($D145="",0,SUMIFS(j_DrAmt,j_DrAcct,$D145,j_Per,2)-SUMIFS(j_CrAmt,j_CrAcct,$D145,j_Per,2)+IF($D145=acctTax,SUMIFS(j_TaxDr,j_Posted,1,j_Per,2)-SUMIFS(j_TaxCr,j_Posted,1,j_Per,2),0))</f>
        <v/>
      </c>
      <c r="P145" s="95">
        <f>IF($D145="",0,SUMIFS(j_DrAmt,j_DrAcct,$D145,j_Per,3)-SUMIFS(j_CrAmt,j_CrAcct,$D145,j_Per,3)+IF($D145=acctTax,SUMIFS(j_TaxDr,j_Posted,1,j_Per,3)-SUMIFS(j_TaxCr,j_Posted,1,j_Per,3),0))</f>
        <v/>
      </c>
      <c r="Q145" s="95">
        <f>IF($D145="",0,SUMIFS(j_DrAmt,j_DrAcct,$D145,j_Per,4)-SUMIFS(j_CrAmt,j_CrAcct,$D145,j_Per,4)+IF($D145=acctTax,SUMIFS(j_TaxDr,j_Posted,1,j_Per,4)-SUMIFS(j_TaxCr,j_Posted,1,j_Per,4),0))</f>
        <v/>
      </c>
      <c r="R145" s="95">
        <f>IF($D145="",0,SUMIFS(j_DrAmt,j_DrAcct,$D145,j_Per,5)-SUMIFS(j_CrAmt,j_CrAcct,$D145,j_Per,5)+IF($D145=acctTax,SUMIFS(j_TaxDr,j_Posted,1,j_Per,5)-SUMIFS(j_TaxCr,j_Posted,1,j_Per,5),0))</f>
        <v/>
      </c>
      <c r="S145" s="95">
        <f>IF($D145="",0,SUMIFS(j_DrAmt,j_DrAcct,$D145,j_Per,6)-SUMIFS(j_CrAmt,j_CrAcct,$D145,j_Per,6)+IF($D145=acctTax,SUMIFS(j_TaxDr,j_Posted,1,j_Per,6)-SUMIFS(j_TaxCr,j_Posted,1,j_Per,6),0))</f>
        <v/>
      </c>
      <c r="T145" s="95">
        <f>IF($D145="",0,SUMIFS(j_DrAmt,j_DrAcct,$D145,j_Per,7)-SUMIFS(j_CrAmt,j_CrAcct,$D145,j_Per,7)+IF($D145=acctTax,SUMIFS(j_TaxDr,j_Posted,1,j_Per,7)-SUMIFS(j_TaxCr,j_Posted,1,j_Per,7),0))</f>
        <v/>
      </c>
      <c r="U145" s="95">
        <f>IF($D145="",0,SUMIFS(j_DrAmt,j_DrAcct,$D145,j_Per,8)-SUMIFS(j_CrAmt,j_CrAcct,$D145,j_Per,8)+IF($D145=acctTax,SUMIFS(j_TaxDr,j_Posted,1,j_Per,8)-SUMIFS(j_TaxCr,j_Posted,1,j_Per,8),0))</f>
        <v/>
      </c>
      <c r="V145" s="95">
        <f>IF($D145="",0,SUMIFS(j_DrAmt,j_DrAcct,$D145,j_Per,9)-SUMIFS(j_CrAmt,j_CrAcct,$D145,j_Per,9)+IF($D145=acctTax,SUMIFS(j_TaxDr,j_Posted,1,j_Per,9)-SUMIFS(j_TaxCr,j_Posted,1,j_Per,9),0))</f>
        <v/>
      </c>
      <c r="W145" s="95">
        <f>IF($D145="",0,SUMIFS(j_DrAmt,j_DrAcct,$D145,j_Per,10)-SUMIFS(j_CrAmt,j_CrAcct,$D145,j_Per,10)+IF($D145=acctTax,SUMIFS(j_TaxDr,j_Posted,1,j_Per,10)-SUMIFS(j_TaxCr,j_Posted,1,j_Per,10),0))</f>
        <v/>
      </c>
      <c r="X145" s="95">
        <f>IF($D145="",0,SUMIFS(j_DrAmt,j_DrAcct,$D145,j_Per,11)-SUMIFS(j_CrAmt,j_CrAcct,$D145,j_Per,11)+IF($D145=acctTax,SUMIFS(j_TaxDr,j_Posted,1,j_Per,11)-SUMIFS(j_TaxCr,j_Posted,1,j_Per,11),0))</f>
        <v/>
      </c>
      <c r="Y145" s="95">
        <f>IF($D145="",0,SUMIFS(j_DrAmt,j_DrAcct,$D145,j_Per,12)-SUMIFS(j_CrAmt,j_CrAcct,$D145,j_Per,12)+IF($D145=acctTax,SUMIFS(j_TaxDr,j_Posted,1,j_Per,12)-SUMIFS(j_TaxCr,j_Posted,1,j_Per,12),0))</f>
        <v/>
      </c>
      <c r="Z145" s="95">
        <f>SUMPRODUCT(($N$5:$Y$5&lt;=RptIdx)*N145:Y145)</f>
        <v/>
      </c>
      <c r="AA145" s="95">
        <f>IF(AND(RptIdx&gt;=1,RptIdx&lt;=12),INDEX(N145:Y145,RptIdx),0)</f>
        <v/>
      </c>
      <c r="AB145" s="95">
        <f>IF($D145="",0,IF(RptIdx&gt;1,INDEX(N145:Y145,RptIdx-1),SUMIFS(j_DrAmt,j_DrAcct,$D145,j_Date,"&gt;="&amp;PrevStart,j_Date,"&lt;="&amp;PrevEnd)-SUMIFS(j_CrAmt,j_CrAcct,$D145,j_Date,"&gt;="&amp;PrevStart,j_Date,"&lt;="&amp;PrevEnd)+IF($D145=acctTax,SUMIFS(j_TaxDr,j_Posted,1,j_Date,"&gt;="&amp;PrevStart,j_Date,"&lt;="&amp;PrevEnd)-SUMIFS(j_TaxCr,j_Posted,1,j_Date,"&gt;="&amp;PrevStart,j_Date,"&lt;="&amp;PrevEnd),0)))</f>
        <v/>
      </c>
      <c r="AC145" s="95">
        <f>SUM(N145:Y145)</f>
        <v/>
      </c>
      <c r="AD145" s="95">
        <f>L145+M145+Z145</f>
        <v/>
      </c>
      <c r="AE145" s="95">
        <f>AD145-AA145</f>
        <v/>
      </c>
      <c r="AF145" s="58">
        <f>IF($D145="","",F145&amp;"|"&amp;COUNTIFS($F$7:F145,F145,$D$7:D145,"&lt;&gt;"))</f>
        <v/>
      </c>
      <c r="AG145" s="58">
        <f>IF(AND($D145&lt;&gt;"",H145="Cash"),"Cash|"&amp;COUNTIFS($H$7:H145,"Cash",$D$7:D145,"&lt;&gt;"),"")</f>
        <v/>
      </c>
      <c r="AH145" s="95">
        <f>IF(AND($D145&lt;&gt;"",OR(F145="Cost of Sales",F145="Operating Expense",F145="Other Expense"),Z145&gt;0),Z145+139/1000000,"")</f>
        <v/>
      </c>
      <c r="AI145" s="95">
        <f>L145+M145+SUM(N145:N145)</f>
        <v/>
      </c>
      <c r="AJ145" s="95">
        <f>L145+M145+SUM(N145:O145)</f>
        <v/>
      </c>
      <c r="AK145" s="95">
        <f>L145+M145+SUM(N145:P145)</f>
        <v/>
      </c>
      <c r="AL145" s="95">
        <f>L145+M145+SUM(N145:Q145)</f>
        <v/>
      </c>
      <c r="AM145" s="95">
        <f>L145+M145+SUM(N145:R145)</f>
        <v/>
      </c>
      <c r="AN145" s="95">
        <f>L145+M145+SUM(N145:S145)</f>
        <v/>
      </c>
      <c r="AO145" s="95">
        <f>L145+M145+SUM(N145:T145)</f>
        <v/>
      </c>
      <c r="AP145" s="95">
        <f>L145+M145+SUM(N145:U145)</f>
        <v/>
      </c>
      <c r="AQ145" s="95">
        <f>L145+M145+SUM(N145:V145)</f>
        <v/>
      </c>
      <c r="AR145" s="95">
        <f>L145+M145+SUM(N145:W145)</f>
        <v/>
      </c>
      <c r="AS145" s="95">
        <f>L145+M145+SUM(N145:X145)</f>
        <v/>
      </c>
      <c r="AT145" s="95">
        <f>L145+M145+SUM(N145:Y145)</f>
        <v/>
      </c>
    </row>
    <row r="146">
      <c r="B146" s="58" t="n">
        <v>140</v>
      </c>
      <c r="C146" s="58">
        <f>IFERROR(INDEX(coa_Name,140)&amp;"","")</f>
        <v/>
      </c>
      <c r="D146" s="58">
        <f>IF(C146="","",IF(COUNTIF($C$7:C146,C146)&gt;1,"",C146))</f>
        <v/>
      </c>
      <c r="E146" s="58">
        <f>IF($D146="","",INDEX(coa_Code,140))</f>
        <v/>
      </c>
      <c r="F146" s="58">
        <f>IF($D146="","",INDEX(coa_Type,140)&amp;"")</f>
        <v/>
      </c>
      <c r="G146" s="58">
        <f>IF($D146="","",INDEX(coa_Normal,140)&amp;"")</f>
        <v/>
      </c>
      <c r="H146" s="58">
        <f>IF($D146="","",IF(INDEX(coa_CF,140)&amp;""="","Operating",INDEX(coa_CF,140)&amp;""))</f>
        <v/>
      </c>
      <c r="I146" s="58">
        <f>IF($D146="","",IFERROR(INDEX(at_Stmt,MATCH(F146,at_Type,0)),""))</f>
        <v/>
      </c>
      <c r="J146" s="58">
        <f>IF($D146="",0,IFERROR(INDEX(at_Sign,MATCH(F146,at_Type,0)),0))</f>
        <v/>
      </c>
      <c r="K146" s="95">
        <f>IF($D146="",0,IF(G146="Credit",-1,1)*N(INDEX(coa_Open,140)))</f>
        <v/>
      </c>
      <c r="L146" s="95">
        <f>IF($D146="",0,IF($D146=acctOBE,K146-SUM($K$7:$K$156),K146))</f>
        <v/>
      </c>
      <c r="M146" s="95">
        <f>IF($D146="",0,SUMIFS(j_DrAmt,j_DrAcct,$D146,j_Per,0)-SUMIFS(j_CrAmt,j_CrAcct,$D146,j_Per,0)+IF($D146=acctTax,SUMIFS(j_TaxDr,j_Posted,1,j_Per,0)-SUMIFS(j_TaxCr,j_Posted,1,j_Per,0),0))</f>
        <v/>
      </c>
      <c r="N146" s="95">
        <f>IF($D146="",0,SUMIFS(j_DrAmt,j_DrAcct,$D146,j_Per,1)-SUMIFS(j_CrAmt,j_CrAcct,$D146,j_Per,1)+IF($D146=acctTax,SUMIFS(j_TaxDr,j_Posted,1,j_Per,1)-SUMIFS(j_TaxCr,j_Posted,1,j_Per,1),0))</f>
        <v/>
      </c>
      <c r="O146" s="95">
        <f>IF($D146="",0,SUMIFS(j_DrAmt,j_DrAcct,$D146,j_Per,2)-SUMIFS(j_CrAmt,j_CrAcct,$D146,j_Per,2)+IF($D146=acctTax,SUMIFS(j_TaxDr,j_Posted,1,j_Per,2)-SUMIFS(j_TaxCr,j_Posted,1,j_Per,2),0))</f>
        <v/>
      </c>
      <c r="P146" s="95">
        <f>IF($D146="",0,SUMIFS(j_DrAmt,j_DrAcct,$D146,j_Per,3)-SUMIFS(j_CrAmt,j_CrAcct,$D146,j_Per,3)+IF($D146=acctTax,SUMIFS(j_TaxDr,j_Posted,1,j_Per,3)-SUMIFS(j_TaxCr,j_Posted,1,j_Per,3),0))</f>
        <v/>
      </c>
      <c r="Q146" s="95">
        <f>IF($D146="",0,SUMIFS(j_DrAmt,j_DrAcct,$D146,j_Per,4)-SUMIFS(j_CrAmt,j_CrAcct,$D146,j_Per,4)+IF($D146=acctTax,SUMIFS(j_TaxDr,j_Posted,1,j_Per,4)-SUMIFS(j_TaxCr,j_Posted,1,j_Per,4),0))</f>
        <v/>
      </c>
      <c r="R146" s="95">
        <f>IF($D146="",0,SUMIFS(j_DrAmt,j_DrAcct,$D146,j_Per,5)-SUMIFS(j_CrAmt,j_CrAcct,$D146,j_Per,5)+IF($D146=acctTax,SUMIFS(j_TaxDr,j_Posted,1,j_Per,5)-SUMIFS(j_TaxCr,j_Posted,1,j_Per,5),0))</f>
        <v/>
      </c>
      <c r="S146" s="95">
        <f>IF($D146="",0,SUMIFS(j_DrAmt,j_DrAcct,$D146,j_Per,6)-SUMIFS(j_CrAmt,j_CrAcct,$D146,j_Per,6)+IF($D146=acctTax,SUMIFS(j_TaxDr,j_Posted,1,j_Per,6)-SUMIFS(j_TaxCr,j_Posted,1,j_Per,6),0))</f>
        <v/>
      </c>
      <c r="T146" s="95">
        <f>IF($D146="",0,SUMIFS(j_DrAmt,j_DrAcct,$D146,j_Per,7)-SUMIFS(j_CrAmt,j_CrAcct,$D146,j_Per,7)+IF($D146=acctTax,SUMIFS(j_TaxDr,j_Posted,1,j_Per,7)-SUMIFS(j_TaxCr,j_Posted,1,j_Per,7),0))</f>
        <v/>
      </c>
      <c r="U146" s="95">
        <f>IF($D146="",0,SUMIFS(j_DrAmt,j_DrAcct,$D146,j_Per,8)-SUMIFS(j_CrAmt,j_CrAcct,$D146,j_Per,8)+IF($D146=acctTax,SUMIFS(j_TaxDr,j_Posted,1,j_Per,8)-SUMIFS(j_TaxCr,j_Posted,1,j_Per,8),0))</f>
        <v/>
      </c>
      <c r="V146" s="95">
        <f>IF($D146="",0,SUMIFS(j_DrAmt,j_DrAcct,$D146,j_Per,9)-SUMIFS(j_CrAmt,j_CrAcct,$D146,j_Per,9)+IF($D146=acctTax,SUMIFS(j_TaxDr,j_Posted,1,j_Per,9)-SUMIFS(j_TaxCr,j_Posted,1,j_Per,9),0))</f>
        <v/>
      </c>
      <c r="W146" s="95">
        <f>IF($D146="",0,SUMIFS(j_DrAmt,j_DrAcct,$D146,j_Per,10)-SUMIFS(j_CrAmt,j_CrAcct,$D146,j_Per,10)+IF($D146=acctTax,SUMIFS(j_TaxDr,j_Posted,1,j_Per,10)-SUMIFS(j_TaxCr,j_Posted,1,j_Per,10),0))</f>
        <v/>
      </c>
      <c r="X146" s="95">
        <f>IF($D146="",0,SUMIFS(j_DrAmt,j_DrAcct,$D146,j_Per,11)-SUMIFS(j_CrAmt,j_CrAcct,$D146,j_Per,11)+IF($D146=acctTax,SUMIFS(j_TaxDr,j_Posted,1,j_Per,11)-SUMIFS(j_TaxCr,j_Posted,1,j_Per,11),0))</f>
        <v/>
      </c>
      <c r="Y146" s="95">
        <f>IF($D146="",0,SUMIFS(j_DrAmt,j_DrAcct,$D146,j_Per,12)-SUMIFS(j_CrAmt,j_CrAcct,$D146,j_Per,12)+IF($D146=acctTax,SUMIFS(j_TaxDr,j_Posted,1,j_Per,12)-SUMIFS(j_TaxCr,j_Posted,1,j_Per,12),0))</f>
        <v/>
      </c>
      <c r="Z146" s="95">
        <f>SUMPRODUCT(($N$5:$Y$5&lt;=RptIdx)*N146:Y146)</f>
        <v/>
      </c>
      <c r="AA146" s="95">
        <f>IF(AND(RptIdx&gt;=1,RptIdx&lt;=12),INDEX(N146:Y146,RptIdx),0)</f>
        <v/>
      </c>
      <c r="AB146" s="95">
        <f>IF($D146="",0,IF(RptIdx&gt;1,INDEX(N146:Y146,RptIdx-1),SUMIFS(j_DrAmt,j_DrAcct,$D146,j_Date,"&gt;="&amp;PrevStart,j_Date,"&lt;="&amp;PrevEnd)-SUMIFS(j_CrAmt,j_CrAcct,$D146,j_Date,"&gt;="&amp;PrevStart,j_Date,"&lt;="&amp;PrevEnd)+IF($D146=acctTax,SUMIFS(j_TaxDr,j_Posted,1,j_Date,"&gt;="&amp;PrevStart,j_Date,"&lt;="&amp;PrevEnd)-SUMIFS(j_TaxCr,j_Posted,1,j_Date,"&gt;="&amp;PrevStart,j_Date,"&lt;="&amp;PrevEnd),0)))</f>
        <v/>
      </c>
      <c r="AC146" s="95">
        <f>SUM(N146:Y146)</f>
        <v/>
      </c>
      <c r="AD146" s="95">
        <f>L146+M146+Z146</f>
        <v/>
      </c>
      <c r="AE146" s="95">
        <f>AD146-AA146</f>
        <v/>
      </c>
      <c r="AF146" s="58">
        <f>IF($D146="","",F146&amp;"|"&amp;COUNTIFS($F$7:F146,F146,$D$7:D146,"&lt;&gt;"))</f>
        <v/>
      </c>
      <c r="AG146" s="58">
        <f>IF(AND($D146&lt;&gt;"",H146="Cash"),"Cash|"&amp;COUNTIFS($H$7:H146,"Cash",$D$7:D146,"&lt;&gt;"),"")</f>
        <v/>
      </c>
      <c r="AH146" s="95">
        <f>IF(AND($D146&lt;&gt;"",OR(F146="Cost of Sales",F146="Operating Expense",F146="Other Expense"),Z146&gt;0),Z146+140/1000000,"")</f>
        <v/>
      </c>
      <c r="AI146" s="95">
        <f>L146+M146+SUM(N146:N146)</f>
        <v/>
      </c>
      <c r="AJ146" s="95">
        <f>L146+M146+SUM(N146:O146)</f>
        <v/>
      </c>
      <c r="AK146" s="95">
        <f>L146+M146+SUM(N146:P146)</f>
        <v/>
      </c>
      <c r="AL146" s="95">
        <f>L146+M146+SUM(N146:Q146)</f>
        <v/>
      </c>
      <c r="AM146" s="95">
        <f>L146+M146+SUM(N146:R146)</f>
        <v/>
      </c>
      <c r="AN146" s="95">
        <f>L146+M146+SUM(N146:S146)</f>
        <v/>
      </c>
      <c r="AO146" s="95">
        <f>L146+M146+SUM(N146:T146)</f>
        <v/>
      </c>
      <c r="AP146" s="95">
        <f>L146+M146+SUM(N146:U146)</f>
        <v/>
      </c>
      <c r="AQ146" s="95">
        <f>L146+M146+SUM(N146:V146)</f>
        <v/>
      </c>
      <c r="AR146" s="95">
        <f>L146+M146+SUM(N146:W146)</f>
        <v/>
      </c>
      <c r="AS146" s="95">
        <f>L146+M146+SUM(N146:X146)</f>
        <v/>
      </c>
      <c r="AT146" s="95">
        <f>L146+M146+SUM(N146:Y146)</f>
        <v/>
      </c>
    </row>
    <row r="147">
      <c r="B147" s="58" t="n">
        <v>141</v>
      </c>
      <c r="C147" s="58">
        <f>IFERROR(INDEX(coa_Name,141)&amp;"","")</f>
        <v/>
      </c>
      <c r="D147" s="58">
        <f>IF(C147="","",IF(COUNTIF($C$7:C147,C147)&gt;1,"",C147))</f>
        <v/>
      </c>
      <c r="E147" s="58">
        <f>IF($D147="","",INDEX(coa_Code,141))</f>
        <v/>
      </c>
      <c r="F147" s="58">
        <f>IF($D147="","",INDEX(coa_Type,141)&amp;"")</f>
        <v/>
      </c>
      <c r="G147" s="58">
        <f>IF($D147="","",INDEX(coa_Normal,141)&amp;"")</f>
        <v/>
      </c>
      <c r="H147" s="58">
        <f>IF($D147="","",IF(INDEX(coa_CF,141)&amp;""="","Operating",INDEX(coa_CF,141)&amp;""))</f>
        <v/>
      </c>
      <c r="I147" s="58">
        <f>IF($D147="","",IFERROR(INDEX(at_Stmt,MATCH(F147,at_Type,0)),""))</f>
        <v/>
      </c>
      <c r="J147" s="58">
        <f>IF($D147="",0,IFERROR(INDEX(at_Sign,MATCH(F147,at_Type,0)),0))</f>
        <v/>
      </c>
      <c r="K147" s="95">
        <f>IF($D147="",0,IF(G147="Credit",-1,1)*N(INDEX(coa_Open,141)))</f>
        <v/>
      </c>
      <c r="L147" s="95">
        <f>IF($D147="",0,IF($D147=acctOBE,K147-SUM($K$7:$K$156),K147))</f>
        <v/>
      </c>
      <c r="M147" s="95">
        <f>IF($D147="",0,SUMIFS(j_DrAmt,j_DrAcct,$D147,j_Per,0)-SUMIFS(j_CrAmt,j_CrAcct,$D147,j_Per,0)+IF($D147=acctTax,SUMIFS(j_TaxDr,j_Posted,1,j_Per,0)-SUMIFS(j_TaxCr,j_Posted,1,j_Per,0),0))</f>
        <v/>
      </c>
      <c r="N147" s="95">
        <f>IF($D147="",0,SUMIFS(j_DrAmt,j_DrAcct,$D147,j_Per,1)-SUMIFS(j_CrAmt,j_CrAcct,$D147,j_Per,1)+IF($D147=acctTax,SUMIFS(j_TaxDr,j_Posted,1,j_Per,1)-SUMIFS(j_TaxCr,j_Posted,1,j_Per,1),0))</f>
        <v/>
      </c>
      <c r="O147" s="95">
        <f>IF($D147="",0,SUMIFS(j_DrAmt,j_DrAcct,$D147,j_Per,2)-SUMIFS(j_CrAmt,j_CrAcct,$D147,j_Per,2)+IF($D147=acctTax,SUMIFS(j_TaxDr,j_Posted,1,j_Per,2)-SUMIFS(j_TaxCr,j_Posted,1,j_Per,2),0))</f>
        <v/>
      </c>
      <c r="P147" s="95">
        <f>IF($D147="",0,SUMIFS(j_DrAmt,j_DrAcct,$D147,j_Per,3)-SUMIFS(j_CrAmt,j_CrAcct,$D147,j_Per,3)+IF($D147=acctTax,SUMIFS(j_TaxDr,j_Posted,1,j_Per,3)-SUMIFS(j_TaxCr,j_Posted,1,j_Per,3),0))</f>
        <v/>
      </c>
      <c r="Q147" s="95">
        <f>IF($D147="",0,SUMIFS(j_DrAmt,j_DrAcct,$D147,j_Per,4)-SUMIFS(j_CrAmt,j_CrAcct,$D147,j_Per,4)+IF($D147=acctTax,SUMIFS(j_TaxDr,j_Posted,1,j_Per,4)-SUMIFS(j_TaxCr,j_Posted,1,j_Per,4),0))</f>
        <v/>
      </c>
      <c r="R147" s="95">
        <f>IF($D147="",0,SUMIFS(j_DrAmt,j_DrAcct,$D147,j_Per,5)-SUMIFS(j_CrAmt,j_CrAcct,$D147,j_Per,5)+IF($D147=acctTax,SUMIFS(j_TaxDr,j_Posted,1,j_Per,5)-SUMIFS(j_TaxCr,j_Posted,1,j_Per,5),0))</f>
        <v/>
      </c>
      <c r="S147" s="95">
        <f>IF($D147="",0,SUMIFS(j_DrAmt,j_DrAcct,$D147,j_Per,6)-SUMIFS(j_CrAmt,j_CrAcct,$D147,j_Per,6)+IF($D147=acctTax,SUMIFS(j_TaxDr,j_Posted,1,j_Per,6)-SUMIFS(j_TaxCr,j_Posted,1,j_Per,6),0))</f>
        <v/>
      </c>
      <c r="T147" s="95">
        <f>IF($D147="",0,SUMIFS(j_DrAmt,j_DrAcct,$D147,j_Per,7)-SUMIFS(j_CrAmt,j_CrAcct,$D147,j_Per,7)+IF($D147=acctTax,SUMIFS(j_TaxDr,j_Posted,1,j_Per,7)-SUMIFS(j_TaxCr,j_Posted,1,j_Per,7),0))</f>
        <v/>
      </c>
      <c r="U147" s="95">
        <f>IF($D147="",0,SUMIFS(j_DrAmt,j_DrAcct,$D147,j_Per,8)-SUMIFS(j_CrAmt,j_CrAcct,$D147,j_Per,8)+IF($D147=acctTax,SUMIFS(j_TaxDr,j_Posted,1,j_Per,8)-SUMIFS(j_TaxCr,j_Posted,1,j_Per,8),0))</f>
        <v/>
      </c>
      <c r="V147" s="95">
        <f>IF($D147="",0,SUMIFS(j_DrAmt,j_DrAcct,$D147,j_Per,9)-SUMIFS(j_CrAmt,j_CrAcct,$D147,j_Per,9)+IF($D147=acctTax,SUMIFS(j_TaxDr,j_Posted,1,j_Per,9)-SUMIFS(j_TaxCr,j_Posted,1,j_Per,9),0))</f>
        <v/>
      </c>
      <c r="W147" s="95">
        <f>IF($D147="",0,SUMIFS(j_DrAmt,j_DrAcct,$D147,j_Per,10)-SUMIFS(j_CrAmt,j_CrAcct,$D147,j_Per,10)+IF($D147=acctTax,SUMIFS(j_TaxDr,j_Posted,1,j_Per,10)-SUMIFS(j_TaxCr,j_Posted,1,j_Per,10),0))</f>
        <v/>
      </c>
      <c r="X147" s="95">
        <f>IF($D147="",0,SUMIFS(j_DrAmt,j_DrAcct,$D147,j_Per,11)-SUMIFS(j_CrAmt,j_CrAcct,$D147,j_Per,11)+IF($D147=acctTax,SUMIFS(j_TaxDr,j_Posted,1,j_Per,11)-SUMIFS(j_TaxCr,j_Posted,1,j_Per,11),0))</f>
        <v/>
      </c>
      <c r="Y147" s="95">
        <f>IF($D147="",0,SUMIFS(j_DrAmt,j_DrAcct,$D147,j_Per,12)-SUMIFS(j_CrAmt,j_CrAcct,$D147,j_Per,12)+IF($D147=acctTax,SUMIFS(j_TaxDr,j_Posted,1,j_Per,12)-SUMIFS(j_TaxCr,j_Posted,1,j_Per,12),0))</f>
        <v/>
      </c>
      <c r="Z147" s="95">
        <f>SUMPRODUCT(($N$5:$Y$5&lt;=RptIdx)*N147:Y147)</f>
        <v/>
      </c>
      <c r="AA147" s="95">
        <f>IF(AND(RptIdx&gt;=1,RptIdx&lt;=12),INDEX(N147:Y147,RptIdx),0)</f>
        <v/>
      </c>
      <c r="AB147" s="95">
        <f>IF($D147="",0,IF(RptIdx&gt;1,INDEX(N147:Y147,RptIdx-1),SUMIFS(j_DrAmt,j_DrAcct,$D147,j_Date,"&gt;="&amp;PrevStart,j_Date,"&lt;="&amp;PrevEnd)-SUMIFS(j_CrAmt,j_CrAcct,$D147,j_Date,"&gt;="&amp;PrevStart,j_Date,"&lt;="&amp;PrevEnd)+IF($D147=acctTax,SUMIFS(j_TaxDr,j_Posted,1,j_Date,"&gt;="&amp;PrevStart,j_Date,"&lt;="&amp;PrevEnd)-SUMIFS(j_TaxCr,j_Posted,1,j_Date,"&gt;="&amp;PrevStart,j_Date,"&lt;="&amp;PrevEnd),0)))</f>
        <v/>
      </c>
      <c r="AC147" s="95">
        <f>SUM(N147:Y147)</f>
        <v/>
      </c>
      <c r="AD147" s="95">
        <f>L147+M147+Z147</f>
        <v/>
      </c>
      <c r="AE147" s="95">
        <f>AD147-AA147</f>
        <v/>
      </c>
      <c r="AF147" s="58">
        <f>IF($D147="","",F147&amp;"|"&amp;COUNTIFS($F$7:F147,F147,$D$7:D147,"&lt;&gt;"))</f>
        <v/>
      </c>
      <c r="AG147" s="58">
        <f>IF(AND($D147&lt;&gt;"",H147="Cash"),"Cash|"&amp;COUNTIFS($H$7:H147,"Cash",$D$7:D147,"&lt;&gt;"),"")</f>
        <v/>
      </c>
      <c r="AH147" s="95">
        <f>IF(AND($D147&lt;&gt;"",OR(F147="Cost of Sales",F147="Operating Expense",F147="Other Expense"),Z147&gt;0),Z147+141/1000000,"")</f>
        <v/>
      </c>
      <c r="AI147" s="95">
        <f>L147+M147+SUM(N147:N147)</f>
        <v/>
      </c>
      <c r="AJ147" s="95">
        <f>L147+M147+SUM(N147:O147)</f>
        <v/>
      </c>
      <c r="AK147" s="95">
        <f>L147+M147+SUM(N147:P147)</f>
        <v/>
      </c>
      <c r="AL147" s="95">
        <f>L147+M147+SUM(N147:Q147)</f>
        <v/>
      </c>
      <c r="AM147" s="95">
        <f>L147+M147+SUM(N147:R147)</f>
        <v/>
      </c>
      <c r="AN147" s="95">
        <f>L147+M147+SUM(N147:S147)</f>
        <v/>
      </c>
      <c r="AO147" s="95">
        <f>L147+M147+SUM(N147:T147)</f>
        <v/>
      </c>
      <c r="AP147" s="95">
        <f>L147+M147+SUM(N147:U147)</f>
        <v/>
      </c>
      <c r="AQ147" s="95">
        <f>L147+M147+SUM(N147:V147)</f>
        <v/>
      </c>
      <c r="AR147" s="95">
        <f>L147+M147+SUM(N147:W147)</f>
        <v/>
      </c>
      <c r="AS147" s="95">
        <f>L147+M147+SUM(N147:X147)</f>
        <v/>
      </c>
      <c r="AT147" s="95">
        <f>L147+M147+SUM(N147:Y147)</f>
        <v/>
      </c>
    </row>
    <row r="148">
      <c r="B148" s="58" t="n">
        <v>142</v>
      </c>
      <c r="C148" s="58">
        <f>IFERROR(INDEX(coa_Name,142)&amp;"","")</f>
        <v/>
      </c>
      <c r="D148" s="58">
        <f>IF(C148="","",IF(COUNTIF($C$7:C148,C148)&gt;1,"",C148))</f>
        <v/>
      </c>
      <c r="E148" s="58">
        <f>IF($D148="","",INDEX(coa_Code,142))</f>
        <v/>
      </c>
      <c r="F148" s="58">
        <f>IF($D148="","",INDEX(coa_Type,142)&amp;"")</f>
        <v/>
      </c>
      <c r="G148" s="58">
        <f>IF($D148="","",INDEX(coa_Normal,142)&amp;"")</f>
        <v/>
      </c>
      <c r="H148" s="58">
        <f>IF($D148="","",IF(INDEX(coa_CF,142)&amp;""="","Operating",INDEX(coa_CF,142)&amp;""))</f>
        <v/>
      </c>
      <c r="I148" s="58">
        <f>IF($D148="","",IFERROR(INDEX(at_Stmt,MATCH(F148,at_Type,0)),""))</f>
        <v/>
      </c>
      <c r="J148" s="58">
        <f>IF($D148="",0,IFERROR(INDEX(at_Sign,MATCH(F148,at_Type,0)),0))</f>
        <v/>
      </c>
      <c r="K148" s="95">
        <f>IF($D148="",0,IF(G148="Credit",-1,1)*N(INDEX(coa_Open,142)))</f>
        <v/>
      </c>
      <c r="L148" s="95">
        <f>IF($D148="",0,IF($D148=acctOBE,K148-SUM($K$7:$K$156),K148))</f>
        <v/>
      </c>
      <c r="M148" s="95">
        <f>IF($D148="",0,SUMIFS(j_DrAmt,j_DrAcct,$D148,j_Per,0)-SUMIFS(j_CrAmt,j_CrAcct,$D148,j_Per,0)+IF($D148=acctTax,SUMIFS(j_TaxDr,j_Posted,1,j_Per,0)-SUMIFS(j_TaxCr,j_Posted,1,j_Per,0),0))</f>
        <v/>
      </c>
      <c r="N148" s="95">
        <f>IF($D148="",0,SUMIFS(j_DrAmt,j_DrAcct,$D148,j_Per,1)-SUMIFS(j_CrAmt,j_CrAcct,$D148,j_Per,1)+IF($D148=acctTax,SUMIFS(j_TaxDr,j_Posted,1,j_Per,1)-SUMIFS(j_TaxCr,j_Posted,1,j_Per,1),0))</f>
        <v/>
      </c>
      <c r="O148" s="95">
        <f>IF($D148="",0,SUMIFS(j_DrAmt,j_DrAcct,$D148,j_Per,2)-SUMIFS(j_CrAmt,j_CrAcct,$D148,j_Per,2)+IF($D148=acctTax,SUMIFS(j_TaxDr,j_Posted,1,j_Per,2)-SUMIFS(j_TaxCr,j_Posted,1,j_Per,2),0))</f>
        <v/>
      </c>
      <c r="P148" s="95">
        <f>IF($D148="",0,SUMIFS(j_DrAmt,j_DrAcct,$D148,j_Per,3)-SUMIFS(j_CrAmt,j_CrAcct,$D148,j_Per,3)+IF($D148=acctTax,SUMIFS(j_TaxDr,j_Posted,1,j_Per,3)-SUMIFS(j_TaxCr,j_Posted,1,j_Per,3),0))</f>
        <v/>
      </c>
      <c r="Q148" s="95">
        <f>IF($D148="",0,SUMIFS(j_DrAmt,j_DrAcct,$D148,j_Per,4)-SUMIFS(j_CrAmt,j_CrAcct,$D148,j_Per,4)+IF($D148=acctTax,SUMIFS(j_TaxDr,j_Posted,1,j_Per,4)-SUMIFS(j_TaxCr,j_Posted,1,j_Per,4),0))</f>
        <v/>
      </c>
      <c r="R148" s="95">
        <f>IF($D148="",0,SUMIFS(j_DrAmt,j_DrAcct,$D148,j_Per,5)-SUMIFS(j_CrAmt,j_CrAcct,$D148,j_Per,5)+IF($D148=acctTax,SUMIFS(j_TaxDr,j_Posted,1,j_Per,5)-SUMIFS(j_TaxCr,j_Posted,1,j_Per,5),0))</f>
        <v/>
      </c>
      <c r="S148" s="95">
        <f>IF($D148="",0,SUMIFS(j_DrAmt,j_DrAcct,$D148,j_Per,6)-SUMIFS(j_CrAmt,j_CrAcct,$D148,j_Per,6)+IF($D148=acctTax,SUMIFS(j_TaxDr,j_Posted,1,j_Per,6)-SUMIFS(j_TaxCr,j_Posted,1,j_Per,6),0))</f>
        <v/>
      </c>
      <c r="T148" s="95">
        <f>IF($D148="",0,SUMIFS(j_DrAmt,j_DrAcct,$D148,j_Per,7)-SUMIFS(j_CrAmt,j_CrAcct,$D148,j_Per,7)+IF($D148=acctTax,SUMIFS(j_TaxDr,j_Posted,1,j_Per,7)-SUMIFS(j_TaxCr,j_Posted,1,j_Per,7),0))</f>
        <v/>
      </c>
      <c r="U148" s="95">
        <f>IF($D148="",0,SUMIFS(j_DrAmt,j_DrAcct,$D148,j_Per,8)-SUMIFS(j_CrAmt,j_CrAcct,$D148,j_Per,8)+IF($D148=acctTax,SUMIFS(j_TaxDr,j_Posted,1,j_Per,8)-SUMIFS(j_TaxCr,j_Posted,1,j_Per,8),0))</f>
        <v/>
      </c>
      <c r="V148" s="95">
        <f>IF($D148="",0,SUMIFS(j_DrAmt,j_DrAcct,$D148,j_Per,9)-SUMIFS(j_CrAmt,j_CrAcct,$D148,j_Per,9)+IF($D148=acctTax,SUMIFS(j_TaxDr,j_Posted,1,j_Per,9)-SUMIFS(j_TaxCr,j_Posted,1,j_Per,9),0))</f>
        <v/>
      </c>
      <c r="W148" s="95">
        <f>IF($D148="",0,SUMIFS(j_DrAmt,j_DrAcct,$D148,j_Per,10)-SUMIFS(j_CrAmt,j_CrAcct,$D148,j_Per,10)+IF($D148=acctTax,SUMIFS(j_TaxDr,j_Posted,1,j_Per,10)-SUMIFS(j_TaxCr,j_Posted,1,j_Per,10),0))</f>
        <v/>
      </c>
      <c r="X148" s="95">
        <f>IF($D148="",0,SUMIFS(j_DrAmt,j_DrAcct,$D148,j_Per,11)-SUMIFS(j_CrAmt,j_CrAcct,$D148,j_Per,11)+IF($D148=acctTax,SUMIFS(j_TaxDr,j_Posted,1,j_Per,11)-SUMIFS(j_TaxCr,j_Posted,1,j_Per,11),0))</f>
        <v/>
      </c>
      <c r="Y148" s="95">
        <f>IF($D148="",0,SUMIFS(j_DrAmt,j_DrAcct,$D148,j_Per,12)-SUMIFS(j_CrAmt,j_CrAcct,$D148,j_Per,12)+IF($D148=acctTax,SUMIFS(j_TaxDr,j_Posted,1,j_Per,12)-SUMIFS(j_TaxCr,j_Posted,1,j_Per,12),0))</f>
        <v/>
      </c>
      <c r="Z148" s="95">
        <f>SUMPRODUCT(($N$5:$Y$5&lt;=RptIdx)*N148:Y148)</f>
        <v/>
      </c>
      <c r="AA148" s="95">
        <f>IF(AND(RptIdx&gt;=1,RptIdx&lt;=12),INDEX(N148:Y148,RptIdx),0)</f>
        <v/>
      </c>
      <c r="AB148" s="95">
        <f>IF($D148="",0,IF(RptIdx&gt;1,INDEX(N148:Y148,RptIdx-1),SUMIFS(j_DrAmt,j_DrAcct,$D148,j_Date,"&gt;="&amp;PrevStart,j_Date,"&lt;="&amp;PrevEnd)-SUMIFS(j_CrAmt,j_CrAcct,$D148,j_Date,"&gt;="&amp;PrevStart,j_Date,"&lt;="&amp;PrevEnd)+IF($D148=acctTax,SUMIFS(j_TaxDr,j_Posted,1,j_Date,"&gt;="&amp;PrevStart,j_Date,"&lt;="&amp;PrevEnd)-SUMIFS(j_TaxCr,j_Posted,1,j_Date,"&gt;="&amp;PrevStart,j_Date,"&lt;="&amp;PrevEnd),0)))</f>
        <v/>
      </c>
      <c r="AC148" s="95">
        <f>SUM(N148:Y148)</f>
        <v/>
      </c>
      <c r="AD148" s="95">
        <f>L148+M148+Z148</f>
        <v/>
      </c>
      <c r="AE148" s="95">
        <f>AD148-AA148</f>
        <v/>
      </c>
      <c r="AF148" s="58">
        <f>IF($D148="","",F148&amp;"|"&amp;COUNTIFS($F$7:F148,F148,$D$7:D148,"&lt;&gt;"))</f>
        <v/>
      </c>
      <c r="AG148" s="58">
        <f>IF(AND($D148&lt;&gt;"",H148="Cash"),"Cash|"&amp;COUNTIFS($H$7:H148,"Cash",$D$7:D148,"&lt;&gt;"),"")</f>
        <v/>
      </c>
      <c r="AH148" s="95">
        <f>IF(AND($D148&lt;&gt;"",OR(F148="Cost of Sales",F148="Operating Expense",F148="Other Expense"),Z148&gt;0),Z148+142/1000000,"")</f>
        <v/>
      </c>
      <c r="AI148" s="95">
        <f>L148+M148+SUM(N148:N148)</f>
        <v/>
      </c>
      <c r="AJ148" s="95">
        <f>L148+M148+SUM(N148:O148)</f>
        <v/>
      </c>
      <c r="AK148" s="95">
        <f>L148+M148+SUM(N148:P148)</f>
        <v/>
      </c>
      <c r="AL148" s="95">
        <f>L148+M148+SUM(N148:Q148)</f>
        <v/>
      </c>
      <c r="AM148" s="95">
        <f>L148+M148+SUM(N148:R148)</f>
        <v/>
      </c>
      <c r="AN148" s="95">
        <f>L148+M148+SUM(N148:S148)</f>
        <v/>
      </c>
      <c r="AO148" s="95">
        <f>L148+M148+SUM(N148:T148)</f>
        <v/>
      </c>
      <c r="AP148" s="95">
        <f>L148+M148+SUM(N148:U148)</f>
        <v/>
      </c>
      <c r="AQ148" s="95">
        <f>L148+M148+SUM(N148:V148)</f>
        <v/>
      </c>
      <c r="AR148" s="95">
        <f>L148+M148+SUM(N148:W148)</f>
        <v/>
      </c>
      <c r="AS148" s="95">
        <f>L148+M148+SUM(N148:X148)</f>
        <v/>
      </c>
      <c r="AT148" s="95">
        <f>L148+M148+SUM(N148:Y148)</f>
        <v/>
      </c>
    </row>
    <row r="149">
      <c r="B149" s="58" t="n">
        <v>143</v>
      </c>
      <c r="C149" s="58">
        <f>IFERROR(INDEX(coa_Name,143)&amp;"","")</f>
        <v/>
      </c>
      <c r="D149" s="58">
        <f>IF(C149="","",IF(COUNTIF($C$7:C149,C149)&gt;1,"",C149))</f>
        <v/>
      </c>
      <c r="E149" s="58">
        <f>IF($D149="","",INDEX(coa_Code,143))</f>
        <v/>
      </c>
      <c r="F149" s="58">
        <f>IF($D149="","",INDEX(coa_Type,143)&amp;"")</f>
        <v/>
      </c>
      <c r="G149" s="58">
        <f>IF($D149="","",INDEX(coa_Normal,143)&amp;"")</f>
        <v/>
      </c>
      <c r="H149" s="58">
        <f>IF($D149="","",IF(INDEX(coa_CF,143)&amp;""="","Operating",INDEX(coa_CF,143)&amp;""))</f>
        <v/>
      </c>
      <c r="I149" s="58">
        <f>IF($D149="","",IFERROR(INDEX(at_Stmt,MATCH(F149,at_Type,0)),""))</f>
        <v/>
      </c>
      <c r="J149" s="58">
        <f>IF($D149="",0,IFERROR(INDEX(at_Sign,MATCH(F149,at_Type,0)),0))</f>
        <v/>
      </c>
      <c r="K149" s="95">
        <f>IF($D149="",0,IF(G149="Credit",-1,1)*N(INDEX(coa_Open,143)))</f>
        <v/>
      </c>
      <c r="L149" s="95">
        <f>IF($D149="",0,IF($D149=acctOBE,K149-SUM($K$7:$K$156),K149))</f>
        <v/>
      </c>
      <c r="M149" s="95">
        <f>IF($D149="",0,SUMIFS(j_DrAmt,j_DrAcct,$D149,j_Per,0)-SUMIFS(j_CrAmt,j_CrAcct,$D149,j_Per,0)+IF($D149=acctTax,SUMIFS(j_TaxDr,j_Posted,1,j_Per,0)-SUMIFS(j_TaxCr,j_Posted,1,j_Per,0),0))</f>
        <v/>
      </c>
      <c r="N149" s="95">
        <f>IF($D149="",0,SUMIFS(j_DrAmt,j_DrAcct,$D149,j_Per,1)-SUMIFS(j_CrAmt,j_CrAcct,$D149,j_Per,1)+IF($D149=acctTax,SUMIFS(j_TaxDr,j_Posted,1,j_Per,1)-SUMIFS(j_TaxCr,j_Posted,1,j_Per,1),0))</f>
        <v/>
      </c>
      <c r="O149" s="95">
        <f>IF($D149="",0,SUMIFS(j_DrAmt,j_DrAcct,$D149,j_Per,2)-SUMIFS(j_CrAmt,j_CrAcct,$D149,j_Per,2)+IF($D149=acctTax,SUMIFS(j_TaxDr,j_Posted,1,j_Per,2)-SUMIFS(j_TaxCr,j_Posted,1,j_Per,2),0))</f>
        <v/>
      </c>
      <c r="P149" s="95">
        <f>IF($D149="",0,SUMIFS(j_DrAmt,j_DrAcct,$D149,j_Per,3)-SUMIFS(j_CrAmt,j_CrAcct,$D149,j_Per,3)+IF($D149=acctTax,SUMIFS(j_TaxDr,j_Posted,1,j_Per,3)-SUMIFS(j_TaxCr,j_Posted,1,j_Per,3),0))</f>
        <v/>
      </c>
      <c r="Q149" s="95">
        <f>IF($D149="",0,SUMIFS(j_DrAmt,j_DrAcct,$D149,j_Per,4)-SUMIFS(j_CrAmt,j_CrAcct,$D149,j_Per,4)+IF($D149=acctTax,SUMIFS(j_TaxDr,j_Posted,1,j_Per,4)-SUMIFS(j_TaxCr,j_Posted,1,j_Per,4),0))</f>
        <v/>
      </c>
      <c r="R149" s="95">
        <f>IF($D149="",0,SUMIFS(j_DrAmt,j_DrAcct,$D149,j_Per,5)-SUMIFS(j_CrAmt,j_CrAcct,$D149,j_Per,5)+IF($D149=acctTax,SUMIFS(j_TaxDr,j_Posted,1,j_Per,5)-SUMIFS(j_TaxCr,j_Posted,1,j_Per,5),0))</f>
        <v/>
      </c>
      <c r="S149" s="95">
        <f>IF($D149="",0,SUMIFS(j_DrAmt,j_DrAcct,$D149,j_Per,6)-SUMIFS(j_CrAmt,j_CrAcct,$D149,j_Per,6)+IF($D149=acctTax,SUMIFS(j_TaxDr,j_Posted,1,j_Per,6)-SUMIFS(j_TaxCr,j_Posted,1,j_Per,6),0))</f>
        <v/>
      </c>
      <c r="T149" s="95">
        <f>IF($D149="",0,SUMIFS(j_DrAmt,j_DrAcct,$D149,j_Per,7)-SUMIFS(j_CrAmt,j_CrAcct,$D149,j_Per,7)+IF($D149=acctTax,SUMIFS(j_TaxDr,j_Posted,1,j_Per,7)-SUMIFS(j_TaxCr,j_Posted,1,j_Per,7),0))</f>
        <v/>
      </c>
      <c r="U149" s="95">
        <f>IF($D149="",0,SUMIFS(j_DrAmt,j_DrAcct,$D149,j_Per,8)-SUMIFS(j_CrAmt,j_CrAcct,$D149,j_Per,8)+IF($D149=acctTax,SUMIFS(j_TaxDr,j_Posted,1,j_Per,8)-SUMIFS(j_TaxCr,j_Posted,1,j_Per,8),0))</f>
        <v/>
      </c>
      <c r="V149" s="95">
        <f>IF($D149="",0,SUMIFS(j_DrAmt,j_DrAcct,$D149,j_Per,9)-SUMIFS(j_CrAmt,j_CrAcct,$D149,j_Per,9)+IF($D149=acctTax,SUMIFS(j_TaxDr,j_Posted,1,j_Per,9)-SUMIFS(j_TaxCr,j_Posted,1,j_Per,9),0))</f>
        <v/>
      </c>
      <c r="W149" s="95">
        <f>IF($D149="",0,SUMIFS(j_DrAmt,j_DrAcct,$D149,j_Per,10)-SUMIFS(j_CrAmt,j_CrAcct,$D149,j_Per,10)+IF($D149=acctTax,SUMIFS(j_TaxDr,j_Posted,1,j_Per,10)-SUMIFS(j_TaxCr,j_Posted,1,j_Per,10),0))</f>
        <v/>
      </c>
      <c r="X149" s="95">
        <f>IF($D149="",0,SUMIFS(j_DrAmt,j_DrAcct,$D149,j_Per,11)-SUMIFS(j_CrAmt,j_CrAcct,$D149,j_Per,11)+IF($D149=acctTax,SUMIFS(j_TaxDr,j_Posted,1,j_Per,11)-SUMIFS(j_TaxCr,j_Posted,1,j_Per,11),0))</f>
        <v/>
      </c>
      <c r="Y149" s="95">
        <f>IF($D149="",0,SUMIFS(j_DrAmt,j_DrAcct,$D149,j_Per,12)-SUMIFS(j_CrAmt,j_CrAcct,$D149,j_Per,12)+IF($D149=acctTax,SUMIFS(j_TaxDr,j_Posted,1,j_Per,12)-SUMIFS(j_TaxCr,j_Posted,1,j_Per,12),0))</f>
        <v/>
      </c>
      <c r="Z149" s="95">
        <f>SUMPRODUCT(($N$5:$Y$5&lt;=RptIdx)*N149:Y149)</f>
        <v/>
      </c>
      <c r="AA149" s="95">
        <f>IF(AND(RptIdx&gt;=1,RptIdx&lt;=12),INDEX(N149:Y149,RptIdx),0)</f>
        <v/>
      </c>
      <c r="AB149" s="95">
        <f>IF($D149="",0,IF(RptIdx&gt;1,INDEX(N149:Y149,RptIdx-1),SUMIFS(j_DrAmt,j_DrAcct,$D149,j_Date,"&gt;="&amp;PrevStart,j_Date,"&lt;="&amp;PrevEnd)-SUMIFS(j_CrAmt,j_CrAcct,$D149,j_Date,"&gt;="&amp;PrevStart,j_Date,"&lt;="&amp;PrevEnd)+IF($D149=acctTax,SUMIFS(j_TaxDr,j_Posted,1,j_Date,"&gt;="&amp;PrevStart,j_Date,"&lt;="&amp;PrevEnd)-SUMIFS(j_TaxCr,j_Posted,1,j_Date,"&gt;="&amp;PrevStart,j_Date,"&lt;="&amp;PrevEnd),0)))</f>
        <v/>
      </c>
      <c r="AC149" s="95">
        <f>SUM(N149:Y149)</f>
        <v/>
      </c>
      <c r="AD149" s="95">
        <f>L149+M149+Z149</f>
        <v/>
      </c>
      <c r="AE149" s="95">
        <f>AD149-AA149</f>
        <v/>
      </c>
      <c r="AF149" s="58">
        <f>IF($D149="","",F149&amp;"|"&amp;COUNTIFS($F$7:F149,F149,$D$7:D149,"&lt;&gt;"))</f>
        <v/>
      </c>
      <c r="AG149" s="58">
        <f>IF(AND($D149&lt;&gt;"",H149="Cash"),"Cash|"&amp;COUNTIFS($H$7:H149,"Cash",$D$7:D149,"&lt;&gt;"),"")</f>
        <v/>
      </c>
      <c r="AH149" s="95">
        <f>IF(AND($D149&lt;&gt;"",OR(F149="Cost of Sales",F149="Operating Expense",F149="Other Expense"),Z149&gt;0),Z149+143/1000000,"")</f>
        <v/>
      </c>
      <c r="AI149" s="95">
        <f>L149+M149+SUM(N149:N149)</f>
        <v/>
      </c>
      <c r="AJ149" s="95">
        <f>L149+M149+SUM(N149:O149)</f>
        <v/>
      </c>
      <c r="AK149" s="95">
        <f>L149+M149+SUM(N149:P149)</f>
        <v/>
      </c>
      <c r="AL149" s="95">
        <f>L149+M149+SUM(N149:Q149)</f>
        <v/>
      </c>
      <c r="AM149" s="95">
        <f>L149+M149+SUM(N149:R149)</f>
        <v/>
      </c>
      <c r="AN149" s="95">
        <f>L149+M149+SUM(N149:S149)</f>
        <v/>
      </c>
      <c r="AO149" s="95">
        <f>L149+M149+SUM(N149:T149)</f>
        <v/>
      </c>
      <c r="AP149" s="95">
        <f>L149+M149+SUM(N149:U149)</f>
        <v/>
      </c>
      <c r="AQ149" s="95">
        <f>L149+M149+SUM(N149:V149)</f>
        <v/>
      </c>
      <c r="AR149" s="95">
        <f>L149+M149+SUM(N149:W149)</f>
        <v/>
      </c>
      <c r="AS149" s="95">
        <f>L149+M149+SUM(N149:X149)</f>
        <v/>
      </c>
      <c r="AT149" s="95">
        <f>L149+M149+SUM(N149:Y149)</f>
        <v/>
      </c>
    </row>
    <row r="150">
      <c r="B150" s="58" t="n">
        <v>144</v>
      </c>
      <c r="C150" s="58">
        <f>IFERROR(INDEX(coa_Name,144)&amp;"","")</f>
        <v/>
      </c>
      <c r="D150" s="58">
        <f>IF(C150="","",IF(COUNTIF($C$7:C150,C150)&gt;1,"",C150))</f>
        <v/>
      </c>
      <c r="E150" s="58">
        <f>IF($D150="","",INDEX(coa_Code,144))</f>
        <v/>
      </c>
      <c r="F150" s="58">
        <f>IF($D150="","",INDEX(coa_Type,144)&amp;"")</f>
        <v/>
      </c>
      <c r="G150" s="58">
        <f>IF($D150="","",INDEX(coa_Normal,144)&amp;"")</f>
        <v/>
      </c>
      <c r="H150" s="58">
        <f>IF($D150="","",IF(INDEX(coa_CF,144)&amp;""="","Operating",INDEX(coa_CF,144)&amp;""))</f>
        <v/>
      </c>
      <c r="I150" s="58">
        <f>IF($D150="","",IFERROR(INDEX(at_Stmt,MATCH(F150,at_Type,0)),""))</f>
        <v/>
      </c>
      <c r="J150" s="58">
        <f>IF($D150="",0,IFERROR(INDEX(at_Sign,MATCH(F150,at_Type,0)),0))</f>
        <v/>
      </c>
      <c r="K150" s="95">
        <f>IF($D150="",0,IF(G150="Credit",-1,1)*N(INDEX(coa_Open,144)))</f>
        <v/>
      </c>
      <c r="L150" s="95">
        <f>IF($D150="",0,IF($D150=acctOBE,K150-SUM($K$7:$K$156),K150))</f>
        <v/>
      </c>
      <c r="M150" s="95">
        <f>IF($D150="",0,SUMIFS(j_DrAmt,j_DrAcct,$D150,j_Per,0)-SUMIFS(j_CrAmt,j_CrAcct,$D150,j_Per,0)+IF($D150=acctTax,SUMIFS(j_TaxDr,j_Posted,1,j_Per,0)-SUMIFS(j_TaxCr,j_Posted,1,j_Per,0),0))</f>
        <v/>
      </c>
      <c r="N150" s="95">
        <f>IF($D150="",0,SUMIFS(j_DrAmt,j_DrAcct,$D150,j_Per,1)-SUMIFS(j_CrAmt,j_CrAcct,$D150,j_Per,1)+IF($D150=acctTax,SUMIFS(j_TaxDr,j_Posted,1,j_Per,1)-SUMIFS(j_TaxCr,j_Posted,1,j_Per,1),0))</f>
        <v/>
      </c>
      <c r="O150" s="95">
        <f>IF($D150="",0,SUMIFS(j_DrAmt,j_DrAcct,$D150,j_Per,2)-SUMIFS(j_CrAmt,j_CrAcct,$D150,j_Per,2)+IF($D150=acctTax,SUMIFS(j_TaxDr,j_Posted,1,j_Per,2)-SUMIFS(j_TaxCr,j_Posted,1,j_Per,2),0))</f>
        <v/>
      </c>
      <c r="P150" s="95">
        <f>IF($D150="",0,SUMIFS(j_DrAmt,j_DrAcct,$D150,j_Per,3)-SUMIFS(j_CrAmt,j_CrAcct,$D150,j_Per,3)+IF($D150=acctTax,SUMIFS(j_TaxDr,j_Posted,1,j_Per,3)-SUMIFS(j_TaxCr,j_Posted,1,j_Per,3),0))</f>
        <v/>
      </c>
      <c r="Q150" s="95">
        <f>IF($D150="",0,SUMIFS(j_DrAmt,j_DrAcct,$D150,j_Per,4)-SUMIFS(j_CrAmt,j_CrAcct,$D150,j_Per,4)+IF($D150=acctTax,SUMIFS(j_TaxDr,j_Posted,1,j_Per,4)-SUMIFS(j_TaxCr,j_Posted,1,j_Per,4),0))</f>
        <v/>
      </c>
      <c r="R150" s="95">
        <f>IF($D150="",0,SUMIFS(j_DrAmt,j_DrAcct,$D150,j_Per,5)-SUMIFS(j_CrAmt,j_CrAcct,$D150,j_Per,5)+IF($D150=acctTax,SUMIFS(j_TaxDr,j_Posted,1,j_Per,5)-SUMIFS(j_TaxCr,j_Posted,1,j_Per,5),0))</f>
        <v/>
      </c>
      <c r="S150" s="95">
        <f>IF($D150="",0,SUMIFS(j_DrAmt,j_DrAcct,$D150,j_Per,6)-SUMIFS(j_CrAmt,j_CrAcct,$D150,j_Per,6)+IF($D150=acctTax,SUMIFS(j_TaxDr,j_Posted,1,j_Per,6)-SUMIFS(j_TaxCr,j_Posted,1,j_Per,6),0))</f>
        <v/>
      </c>
      <c r="T150" s="95">
        <f>IF($D150="",0,SUMIFS(j_DrAmt,j_DrAcct,$D150,j_Per,7)-SUMIFS(j_CrAmt,j_CrAcct,$D150,j_Per,7)+IF($D150=acctTax,SUMIFS(j_TaxDr,j_Posted,1,j_Per,7)-SUMIFS(j_TaxCr,j_Posted,1,j_Per,7),0))</f>
        <v/>
      </c>
      <c r="U150" s="95">
        <f>IF($D150="",0,SUMIFS(j_DrAmt,j_DrAcct,$D150,j_Per,8)-SUMIFS(j_CrAmt,j_CrAcct,$D150,j_Per,8)+IF($D150=acctTax,SUMIFS(j_TaxDr,j_Posted,1,j_Per,8)-SUMIFS(j_TaxCr,j_Posted,1,j_Per,8),0))</f>
        <v/>
      </c>
      <c r="V150" s="95">
        <f>IF($D150="",0,SUMIFS(j_DrAmt,j_DrAcct,$D150,j_Per,9)-SUMIFS(j_CrAmt,j_CrAcct,$D150,j_Per,9)+IF($D150=acctTax,SUMIFS(j_TaxDr,j_Posted,1,j_Per,9)-SUMIFS(j_TaxCr,j_Posted,1,j_Per,9),0))</f>
        <v/>
      </c>
      <c r="W150" s="95">
        <f>IF($D150="",0,SUMIFS(j_DrAmt,j_DrAcct,$D150,j_Per,10)-SUMIFS(j_CrAmt,j_CrAcct,$D150,j_Per,10)+IF($D150=acctTax,SUMIFS(j_TaxDr,j_Posted,1,j_Per,10)-SUMIFS(j_TaxCr,j_Posted,1,j_Per,10),0))</f>
        <v/>
      </c>
      <c r="X150" s="95">
        <f>IF($D150="",0,SUMIFS(j_DrAmt,j_DrAcct,$D150,j_Per,11)-SUMIFS(j_CrAmt,j_CrAcct,$D150,j_Per,11)+IF($D150=acctTax,SUMIFS(j_TaxDr,j_Posted,1,j_Per,11)-SUMIFS(j_TaxCr,j_Posted,1,j_Per,11),0))</f>
        <v/>
      </c>
      <c r="Y150" s="95">
        <f>IF($D150="",0,SUMIFS(j_DrAmt,j_DrAcct,$D150,j_Per,12)-SUMIFS(j_CrAmt,j_CrAcct,$D150,j_Per,12)+IF($D150=acctTax,SUMIFS(j_TaxDr,j_Posted,1,j_Per,12)-SUMIFS(j_TaxCr,j_Posted,1,j_Per,12),0))</f>
        <v/>
      </c>
      <c r="Z150" s="95">
        <f>SUMPRODUCT(($N$5:$Y$5&lt;=RptIdx)*N150:Y150)</f>
        <v/>
      </c>
      <c r="AA150" s="95">
        <f>IF(AND(RptIdx&gt;=1,RptIdx&lt;=12),INDEX(N150:Y150,RptIdx),0)</f>
        <v/>
      </c>
      <c r="AB150" s="95">
        <f>IF($D150="",0,IF(RptIdx&gt;1,INDEX(N150:Y150,RptIdx-1),SUMIFS(j_DrAmt,j_DrAcct,$D150,j_Date,"&gt;="&amp;PrevStart,j_Date,"&lt;="&amp;PrevEnd)-SUMIFS(j_CrAmt,j_CrAcct,$D150,j_Date,"&gt;="&amp;PrevStart,j_Date,"&lt;="&amp;PrevEnd)+IF($D150=acctTax,SUMIFS(j_TaxDr,j_Posted,1,j_Date,"&gt;="&amp;PrevStart,j_Date,"&lt;="&amp;PrevEnd)-SUMIFS(j_TaxCr,j_Posted,1,j_Date,"&gt;="&amp;PrevStart,j_Date,"&lt;="&amp;PrevEnd),0)))</f>
        <v/>
      </c>
      <c r="AC150" s="95">
        <f>SUM(N150:Y150)</f>
        <v/>
      </c>
      <c r="AD150" s="95">
        <f>L150+M150+Z150</f>
        <v/>
      </c>
      <c r="AE150" s="95">
        <f>AD150-AA150</f>
        <v/>
      </c>
      <c r="AF150" s="58">
        <f>IF($D150="","",F150&amp;"|"&amp;COUNTIFS($F$7:F150,F150,$D$7:D150,"&lt;&gt;"))</f>
        <v/>
      </c>
      <c r="AG150" s="58">
        <f>IF(AND($D150&lt;&gt;"",H150="Cash"),"Cash|"&amp;COUNTIFS($H$7:H150,"Cash",$D$7:D150,"&lt;&gt;"),"")</f>
        <v/>
      </c>
      <c r="AH150" s="95">
        <f>IF(AND($D150&lt;&gt;"",OR(F150="Cost of Sales",F150="Operating Expense",F150="Other Expense"),Z150&gt;0),Z150+144/1000000,"")</f>
        <v/>
      </c>
      <c r="AI150" s="95">
        <f>L150+M150+SUM(N150:N150)</f>
        <v/>
      </c>
      <c r="AJ150" s="95">
        <f>L150+M150+SUM(N150:O150)</f>
        <v/>
      </c>
      <c r="AK150" s="95">
        <f>L150+M150+SUM(N150:P150)</f>
        <v/>
      </c>
      <c r="AL150" s="95">
        <f>L150+M150+SUM(N150:Q150)</f>
        <v/>
      </c>
      <c r="AM150" s="95">
        <f>L150+M150+SUM(N150:R150)</f>
        <v/>
      </c>
      <c r="AN150" s="95">
        <f>L150+M150+SUM(N150:S150)</f>
        <v/>
      </c>
      <c r="AO150" s="95">
        <f>L150+M150+SUM(N150:T150)</f>
        <v/>
      </c>
      <c r="AP150" s="95">
        <f>L150+M150+SUM(N150:U150)</f>
        <v/>
      </c>
      <c r="AQ150" s="95">
        <f>L150+M150+SUM(N150:V150)</f>
        <v/>
      </c>
      <c r="AR150" s="95">
        <f>L150+M150+SUM(N150:W150)</f>
        <v/>
      </c>
      <c r="AS150" s="95">
        <f>L150+M150+SUM(N150:X150)</f>
        <v/>
      </c>
      <c r="AT150" s="95">
        <f>L150+M150+SUM(N150:Y150)</f>
        <v/>
      </c>
    </row>
    <row r="151">
      <c r="B151" s="58" t="n">
        <v>145</v>
      </c>
      <c r="C151" s="58">
        <f>IFERROR(INDEX(coa_Name,145)&amp;"","")</f>
        <v/>
      </c>
      <c r="D151" s="58">
        <f>IF(C151="","",IF(COUNTIF($C$7:C151,C151)&gt;1,"",C151))</f>
        <v/>
      </c>
      <c r="E151" s="58">
        <f>IF($D151="","",INDEX(coa_Code,145))</f>
        <v/>
      </c>
      <c r="F151" s="58">
        <f>IF($D151="","",INDEX(coa_Type,145)&amp;"")</f>
        <v/>
      </c>
      <c r="G151" s="58">
        <f>IF($D151="","",INDEX(coa_Normal,145)&amp;"")</f>
        <v/>
      </c>
      <c r="H151" s="58">
        <f>IF($D151="","",IF(INDEX(coa_CF,145)&amp;""="","Operating",INDEX(coa_CF,145)&amp;""))</f>
        <v/>
      </c>
      <c r="I151" s="58">
        <f>IF($D151="","",IFERROR(INDEX(at_Stmt,MATCH(F151,at_Type,0)),""))</f>
        <v/>
      </c>
      <c r="J151" s="58">
        <f>IF($D151="",0,IFERROR(INDEX(at_Sign,MATCH(F151,at_Type,0)),0))</f>
        <v/>
      </c>
      <c r="K151" s="95">
        <f>IF($D151="",0,IF(G151="Credit",-1,1)*N(INDEX(coa_Open,145)))</f>
        <v/>
      </c>
      <c r="L151" s="95">
        <f>IF($D151="",0,IF($D151=acctOBE,K151-SUM($K$7:$K$156),K151))</f>
        <v/>
      </c>
      <c r="M151" s="95">
        <f>IF($D151="",0,SUMIFS(j_DrAmt,j_DrAcct,$D151,j_Per,0)-SUMIFS(j_CrAmt,j_CrAcct,$D151,j_Per,0)+IF($D151=acctTax,SUMIFS(j_TaxDr,j_Posted,1,j_Per,0)-SUMIFS(j_TaxCr,j_Posted,1,j_Per,0),0))</f>
        <v/>
      </c>
      <c r="N151" s="95">
        <f>IF($D151="",0,SUMIFS(j_DrAmt,j_DrAcct,$D151,j_Per,1)-SUMIFS(j_CrAmt,j_CrAcct,$D151,j_Per,1)+IF($D151=acctTax,SUMIFS(j_TaxDr,j_Posted,1,j_Per,1)-SUMIFS(j_TaxCr,j_Posted,1,j_Per,1),0))</f>
        <v/>
      </c>
      <c r="O151" s="95">
        <f>IF($D151="",0,SUMIFS(j_DrAmt,j_DrAcct,$D151,j_Per,2)-SUMIFS(j_CrAmt,j_CrAcct,$D151,j_Per,2)+IF($D151=acctTax,SUMIFS(j_TaxDr,j_Posted,1,j_Per,2)-SUMIFS(j_TaxCr,j_Posted,1,j_Per,2),0))</f>
        <v/>
      </c>
      <c r="P151" s="95">
        <f>IF($D151="",0,SUMIFS(j_DrAmt,j_DrAcct,$D151,j_Per,3)-SUMIFS(j_CrAmt,j_CrAcct,$D151,j_Per,3)+IF($D151=acctTax,SUMIFS(j_TaxDr,j_Posted,1,j_Per,3)-SUMIFS(j_TaxCr,j_Posted,1,j_Per,3),0))</f>
        <v/>
      </c>
      <c r="Q151" s="95">
        <f>IF($D151="",0,SUMIFS(j_DrAmt,j_DrAcct,$D151,j_Per,4)-SUMIFS(j_CrAmt,j_CrAcct,$D151,j_Per,4)+IF($D151=acctTax,SUMIFS(j_TaxDr,j_Posted,1,j_Per,4)-SUMIFS(j_TaxCr,j_Posted,1,j_Per,4),0))</f>
        <v/>
      </c>
      <c r="R151" s="95">
        <f>IF($D151="",0,SUMIFS(j_DrAmt,j_DrAcct,$D151,j_Per,5)-SUMIFS(j_CrAmt,j_CrAcct,$D151,j_Per,5)+IF($D151=acctTax,SUMIFS(j_TaxDr,j_Posted,1,j_Per,5)-SUMIFS(j_TaxCr,j_Posted,1,j_Per,5),0))</f>
        <v/>
      </c>
      <c r="S151" s="95">
        <f>IF($D151="",0,SUMIFS(j_DrAmt,j_DrAcct,$D151,j_Per,6)-SUMIFS(j_CrAmt,j_CrAcct,$D151,j_Per,6)+IF($D151=acctTax,SUMIFS(j_TaxDr,j_Posted,1,j_Per,6)-SUMIFS(j_TaxCr,j_Posted,1,j_Per,6),0))</f>
        <v/>
      </c>
      <c r="T151" s="95">
        <f>IF($D151="",0,SUMIFS(j_DrAmt,j_DrAcct,$D151,j_Per,7)-SUMIFS(j_CrAmt,j_CrAcct,$D151,j_Per,7)+IF($D151=acctTax,SUMIFS(j_TaxDr,j_Posted,1,j_Per,7)-SUMIFS(j_TaxCr,j_Posted,1,j_Per,7),0))</f>
        <v/>
      </c>
      <c r="U151" s="95">
        <f>IF($D151="",0,SUMIFS(j_DrAmt,j_DrAcct,$D151,j_Per,8)-SUMIFS(j_CrAmt,j_CrAcct,$D151,j_Per,8)+IF($D151=acctTax,SUMIFS(j_TaxDr,j_Posted,1,j_Per,8)-SUMIFS(j_TaxCr,j_Posted,1,j_Per,8),0))</f>
        <v/>
      </c>
      <c r="V151" s="95">
        <f>IF($D151="",0,SUMIFS(j_DrAmt,j_DrAcct,$D151,j_Per,9)-SUMIFS(j_CrAmt,j_CrAcct,$D151,j_Per,9)+IF($D151=acctTax,SUMIFS(j_TaxDr,j_Posted,1,j_Per,9)-SUMIFS(j_TaxCr,j_Posted,1,j_Per,9),0))</f>
        <v/>
      </c>
      <c r="W151" s="95">
        <f>IF($D151="",0,SUMIFS(j_DrAmt,j_DrAcct,$D151,j_Per,10)-SUMIFS(j_CrAmt,j_CrAcct,$D151,j_Per,10)+IF($D151=acctTax,SUMIFS(j_TaxDr,j_Posted,1,j_Per,10)-SUMIFS(j_TaxCr,j_Posted,1,j_Per,10),0))</f>
        <v/>
      </c>
      <c r="X151" s="95">
        <f>IF($D151="",0,SUMIFS(j_DrAmt,j_DrAcct,$D151,j_Per,11)-SUMIFS(j_CrAmt,j_CrAcct,$D151,j_Per,11)+IF($D151=acctTax,SUMIFS(j_TaxDr,j_Posted,1,j_Per,11)-SUMIFS(j_TaxCr,j_Posted,1,j_Per,11),0))</f>
        <v/>
      </c>
      <c r="Y151" s="95">
        <f>IF($D151="",0,SUMIFS(j_DrAmt,j_DrAcct,$D151,j_Per,12)-SUMIFS(j_CrAmt,j_CrAcct,$D151,j_Per,12)+IF($D151=acctTax,SUMIFS(j_TaxDr,j_Posted,1,j_Per,12)-SUMIFS(j_TaxCr,j_Posted,1,j_Per,12),0))</f>
        <v/>
      </c>
      <c r="Z151" s="95">
        <f>SUMPRODUCT(($N$5:$Y$5&lt;=RptIdx)*N151:Y151)</f>
        <v/>
      </c>
      <c r="AA151" s="95">
        <f>IF(AND(RptIdx&gt;=1,RptIdx&lt;=12),INDEX(N151:Y151,RptIdx),0)</f>
        <v/>
      </c>
      <c r="AB151" s="95">
        <f>IF($D151="",0,IF(RptIdx&gt;1,INDEX(N151:Y151,RptIdx-1),SUMIFS(j_DrAmt,j_DrAcct,$D151,j_Date,"&gt;="&amp;PrevStart,j_Date,"&lt;="&amp;PrevEnd)-SUMIFS(j_CrAmt,j_CrAcct,$D151,j_Date,"&gt;="&amp;PrevStart,j_Date,"&lt;="&amp;PrevEnd)+IF($D151=acctTax,SUMIFS(j_TaxDr,j_Posted,1,j_Date,"&gt;="&amp;PrevStart,j_Date,"&lt;="&amp;PrevEnd)-SUMIFS(j_TaxCr,j_Posted,1,j_Date,"&gt;="&amp;PrevStart,j_Date,"&lt;="&amp;PrevEnd),0)))</f>
        <v/>
      </c>
      <c r="AC151" s="95">
        <f>SUM(N151:Y151)</f>
        <v/>
      </c>
      <c r="AD151" s="95">
        <f>L151+M151+Z151</f>
        <v/>
      </c>
      <c r="AE151" s="95">
        <f>AD151-AA151</f>
        <v/>
      </c>
      <c r="AF151" s="58">
        <f>IF($D151="","",F151&amp;"|"&amp;COUNTIFS($F$7:F151,F151,$D$7:D151,"&lt;&gt;"))</f>
        <v/>
      </c>
      <c r="AG151" s="58">
        <f>IF(AND($D151&lt;&gt;"",H151="Cash"),"Cash|"&amp;COUNTIFS($H$7:H151,"Cash",$D$7:D151,"&lt;&gt;"),"")</f>
        <v/>
      </c>
      <c r="AH151" s="95">
        <f>IF(AND($D151&lt;&gt;"",OR(F151="Cost of Sales",F151="Operating Expense",F151="Other Expense"),Z151&gt;0),Z151+145/1000000,"")</f>
        <v/>
      </c>
      <c r="AI151" s="95">
        <f>L151+M151+SUM(N151:N151)</f>
        <v/>
      </c>
      <c r="AJ151" s="95">
        <f>L151+M151+SUM(N151:O151)</f>
        <v/>
      </c>
      <c r="AK151" s="95">
        <f>L151+M151+SUM(N151:P151)</f>
        <v/>
      </c>
      <c r="AL151" s="95">
        <f>L151+M151+SUM(N151:Q151)</f>
        <v/>
      </c>
      <c r="AM151" s="95">
        <f>L151+M151+SUM(N151:R151)</f>
        <v/>
      </c>
      <c r="AN151" s="95">
        <f>L151+M151+SUM(N151:S151)</f>
        <v/>
      </c>
      <c r="AO151" s="95">
        <f>L151+M151+SUM(N151:T151)</f>
        <v/>
      </c>
      <c r="AP151" s="95">
        <f>L151+M151+SUM(N151:U151)</f>
        <v/>
      </c>
      <c r="AQ151" s="95">
        <f>L151+M151+SUM(N151:V151)</f>
        <v/>
      </c>
      <c r="AR151" s="95">
        <f>L151+M151+SUM(N151:W151)</f>
        <v/>
      </c>
      <c r="AS151" s="95">
        <f>L151+M151+SUM(N151:X151)</f>
        <v/>
      </c>
      <c r="AT151" s="95">
        <f>L151+M151+SUM(N151:Y151)</f>
        <v/>
      </c>
    </row>
    <row r="152">
      <c r="B152" s="58" t="n">
        <v>146</v>
      </c>
      <c r="C152" s="58">
        <f>IFERROR(INDEX(coa_Name,146)&amp;"","")</f>
        <v/>
      </c>
      <c r="D152" s="58">
        <f>IF(C152="","",IF(COUNTIF($C$7:C152,C152)&gt;1,"",C152))</f>
        <v/>
      </c>
      <c r="E152" s="58">
        <f>IF($D152="","",INDEX(coa_Code,146))</f>
        <v/>
      </c>
      <c r="F152" s="58">
        <f>IF($D152="","",INDEX(coa_Type,146)&amp;"")</f>
        <v/>
      </c>
      <c r="G152" s="58">
        <f>IF($D152="","",INDEX(coa_Normal,146)&amp;"")</f>
        <v/>
      </c>
      <c r="H152" s="58">
        <f>IF($D152="","",IF(INDEX(coa_CF,146)&amp;""="","Operating",INDEX(coa_CF,146)&amp;""))</f>
        <v/>
      </c>
      <c r="I152" s="58">
        <f>IF($D152="","",IFERROR(INDEX(at_Stmt,MATCH(F152,at_Type,0)),""))</f>
        <v/>
      </c>
      <c r="J152" s="58">
        <f>IF($D152="",0,IFERROR(INDEX(at_Sign,MATCH(F152,at_Type,0)),0))</f>
        <v/>
      </c>
      <c r="K152" s="95">
        <f>IF($D152="",0,IF(G152="Credit",-1,1)*N(INDEX(coa_Open,146)))</f>
        <v/>
      </c>
      <c r="L152" s="95">
        <f>IF($D152="",0,IF($D152=acctOBE,K152-SUM($K$7:$K$156),K152))</f>
        <v/>
      </c>
      <c r="M152" s="95">
        <f>IF($D152="",0,SUMIFS(j_DrAmt,j_DrAcct,$D152,j_Per,0)-SUMIFS(j_CrAmt,j_CrAcct,$D152,j_Per,0)+IF($D152=acctTax,SUMIFS(j_TaxDr,j_Posted,1,j_Per,0)-SUMIFS(j_TaxCr,j_Posted,1,j_Per,0),0))</f>
        <v/>
      </c>
      <c r="N152" s="95">
        <f>IF($D152="",0,SUMIFS(j_DrAmt,j_DrAcct,$D152,j_Per,1)-SUMIFS(j_CrAmt,j_CrAcct,$D152,j_Per,1)+IF($D152=acctTax,SUMIFS(j_TaxDr,j_Posted,1,j_Per,1)-SUMIFS(j_TaxCr,j_Posted,1,j_Per,1),0))</f>
        <v/>
      </c>
      <c r="O152" s="95">
        <f>IF($D152="",0,SUMIFS(j_DrAmt,j_DrAcct,$D152,j_Per,2)-SUMIFS(j_CrAmt,j_CrAcct,$D152,j_Per,2)+IF($D152=acctTax,SUMIFS(j_TaxDr,j_Posted,1,j_Per,2)-SUMIFS(j_TaxCr,j_Posted,1,j_Per,2),0))</f>
        <v/>
      </c>
      <c r="P152" s="95">
        <f>IF($D152="",0,SUMIFS(j_DrAmt,j_DrAcct,$D152,j_Per,3)-SUMIFS(j_CrAmt,j_CrAcct,$D152,j_Per,3)+IF($D152=acctTax,SUMIFS(j_TaxDr,j_Posted,1,j_Per,3)-SUMIFS(j_TaxCr,j_Posted,1,j_Per,3),0))</f>
        <v/>
      </c>
      <c r="Q152" s="95">
        <f>IF($D152="",0,SUMIFS(j_DrAmt,j_DrAcct,$D152,j_Per,4)-SUMIFS(j_CrAmt,j_CrAcct,$D152,j_Per,4)+IF($D152=acctTax,SUMIFS(j_TaxDr,j_Posted,1,j_Per,4)-SUMIFS(j_TaxCr,j_Posted,1,j_Per,4),0))</f>
        <v/>
      </c>
      <c r="R152" s="95">
        <f>IF($D152="",0,SUMIFS(j_DrAmt,j_DrAcct,$D152,j_Per,5)-SUMIFS(j_CrAmt,j_CrAcct,$D152,j_Per,5)+IF($D152=acctTax,SUMIFS(j_TaxDr,j_Posted,1,j_Per,5)-SUMIFS(j_TaxCr,j_Posted,1,j_Per,5),0))</f>
        <v/>
      </c>
      <c r="S152" s="95">
        <f>IF($D152="",0,SUMIFS(j_DrAmt,j_DrAcct,$D152,j_Per,6)-SUMIFS(j_CrAmt,j_CrAcct,$D152,j_Per,6)+IF($D152=acctTax,SUMIFS(j_TaxDr,j_Posted,1,j_Per,6)-SUMIFS(j_TaxCr,j_Posted,1,j_Per,6),0))</f>
        <v/>
      </c>
      <c r="T152" s="95">
        <f>IF($D152="",0,SUMIFS(j_DrAmt,j_DrAcct,$D152,j_Per,7)-SUMIFS(j_CrAmt,j_CrAcct,$D152,j_Per,7)+IF($D152=acctTax,SUMIFS(j_TaxDr,j_Posted,1,j_Per,7)-SUMIFS(j_TaxCr,j_Posted,1,j_Per,7),0))</f>
        <v/>
      </c>
      <c r="U152" s="95">
        <f>IF($D152="",0,SUMIFS(j_DrAmt,j_DrAcct,$D152,j_Per,8)-SUMIFS(j_CrAmt,j_CrAcct,$D152,j_Per,8)+IF($D152=acctTax,SUMIFS(j_TaxDr,j_Posted,1,j_Per,8)-SUMIFS(j_TaxCr,j_Posted,1,j_Per,8),0))</f>
        <v/>
      </c>
      <c r="V152" s="95">
        <f>IF($D152="",0,SUMIFS(j_DrAmt,j_DrAcct,$D152,j_Per,9)-SUMIFS(j_CrAmt,j_CrAcct,$D152,j_Per,9)+IF($D152=acctTax,SUMIFS(j_TaxDr,j_Posted,1,j_Per,9)-SUMIFS(j_TaxCr,j_Posted,1,j_Per,9),0))</f>
        <v/>
      </c>
      <c r="W152" s="95">
        <f>IF($D152="",0,SUMIFS(j_DrAmt,j_DrAcct,$D152,j_Per,10)-SUMIFS(j_CrAmt,j_CrAcct,$D152,j_Per,10)+IF($D152=acctTax,SUMIFS(j_TaxDr,j_Posted,1,j_Per,10)-SUMIFS(j_TaxCr,j_Posted,1,j_Per,10),0))</f>
        <v/>
      </c>
      <c r="X152" s="95">
        <f>IF($D152="",0,SUMIFS(j_DrAmt,j_DrAcct,$D152,j_Per,11)-SUMIFS(j_CrAmt,j_CrAcct,$D152,j_Per,11)+IF($D152=acctTax,SUMIFS(j_TaxDr,j_Posted,1,j_Per,11)-SUMIFS(j_TaxCr,j_Posted,1,j_Per,11),0))</f>
        <v/>
      </c>
      <c r="Y152" s="95">
        <f>IF($D152="",0,SUMIFS(j_DrAmt,j_DrAcct,$D152,j_Per,12)-SUMIFS(j_CrAmt,j_CrAcct,$D152,j_Per,12)+IF($D152=acctTax,SUMIFS(j_TaxDr,j_Posted,1,j_Per,12)-SUMIFS(j_TaxCr,j_Posted,1,j_Per,12),0))</f>
        <v/>
      </c>
      <c r="Z152" s="95">
        <f>SUMPRODUCT(($N$5:$Y$5&lt;=RptIdx)*N152:Y152)</f>
        <v/>
      </c>
      <c r="AA152" s="95">
        <f>IF(AND(RptIdx&gt;=1,RptIdx&lt;=12),INDEX(N152:Y152,RptIdx),0)</f>
        <v/>
      </c>
      <c r="AB152" s="95">
        <f>IF($D152="",0,IF(RptIdx&gt;1,INDEX(N152:Y152,RptIdx-1),SUMIFS(j_DrAmt,j_DrAcct,$D152,j_Date,"&gt;="&amp;PrevStart,j_Date,"&lt;="&amp;PrevEnd)-SUMIFS(j_CrAmt,j_CrAcct,$D152,j_Date,"&gt;="&amp;PrevStart,j_Date,"&lt;="&amp;PrevEnd)+IF($D152=acctTax,SUMIFS(j_TaxDr,j_Posted,1,j_Date,"&gt;="&amp;PrevStart,j_Date,"&lt;="&amp;PrevEnd)-SUMIFS(j_TaxCr,j_Posted,1,j_Date,"&gt;="&amp;PrevStart,j_Date,"&lt;="&amp;PrevEnd),0)))</f>
        <v/>
      </c>
      <c r="AC152" s="95">
        <f>SUM(N152:Y152)</f>
        <v/>
      </c>
      <c r="AD152" s="95">
        <f>L152+M152+Z152</f>
        <v/>
      </c>
      <c r="AE152" s="95">
        <f>AD152-AA152</f>
        <v/>
      </c>
      <c r="AF152" s="58">
        <f>IF($D152="","",F152&amp;"|"&amp;COUNTIFS($F$7:F152,F152,$D$7:D152,"&lt;&gt;"))</f>
        <v/>
      </c>
      <c r="AG152" s="58">
        <f>IF(AND($D152&lt;&gt;"",H152="Cash"),"Cash|"&amp;COUNTIFS($H$7:H152,"Cash",$D$7:D152,"&lt;&gt;"),"")</f>
        <v/>
      </c>
      <c r="AH152" s="95">
        <f>IF(AND($D152&lt;&gt;"",OR(F152="Cost of Sales",F152="Operating Expense",F152="Other Expense"),Z152&gt;0),Z152+146/1000000,"")</f>
        <v/>
      </c>
      <c r="AI152" s="95">
        <f>L152+M152+SUM(N152:N152)</f>
        <v/>
      </c>
      <c r="AJ152" s="95">
        <f>L152+M152+SUM(N152:O152)</f>
        <v/>
      </c>
      <c r="AK152" s="95">
        <f>L152+M152+SUM(N152:P152)</f>
        <v/>
      </c>
      <c r="AL152" s="95">
        <f>L152+M152+SUM(N152:Q152)</f>
        <v/>
      </c>
      <c r="AM152" s="95">
        <f>L152+M152+SUM(N152:R152)</f>
        <v/>
      </c>
      <c r="AN152" s="95">
        <f>L152+M152+SUM(N152:S152)</f>
        <v/>
      </c>
      <c r="AO152" s="95">
        <f>L152+M152+SUM(N152:T152)</f>
        <v/>
      </c>
      <c r="AP152" s="95">
        <f>L152+M152+SUM(N152:U152)</f>
        <v/>
      </c>
      <c r="AQ152" s="95">
        <f>L152+M152+SUM(N152:V152)</f>
        <v/>
      </c>
      <c r="AR152" s="95">
        <f>L152+M152+SUM(N152:W152)</f>
        <v/>
      </c>
      <c r="AS152" s="95">
        <f>L152+M152+SUM(N152:X152)</f>
        <v/>
      </c>
      <c r="AT152" s="95">
        <f>L152+M152+SUM(N152:Y152)</f>
        <v/>
      </c>
    </row>
    <row r="153">
      <c r="B153" s="58" t="n">
        <v>147</v>
      </c>
      <c r="C153" s="58">
        <f>IFERROR(INDEX(coa_Name,147)&amp;"","")</f>
        <v/>
      </c>
      <c r="D153" s="58">
        <f>IF(C153="","",IF(COUNTIF($C$7:C153,C153)&gt;1,"",C153))</f>
        <v/>
      </c>
      <c r="E153" s="58">
        <f>IF($D153="","",INDEX(coa_Code,147))</f>
        <v/>
      </c>
      <c r="F153" s="58">
        <f>IF($D153="","",INDEX(coa_Type,147)&amp;"")</f>
        <v/>
      </c>
      <c r="G153" s="58">
        <f>IF($D153="","",INDEX(coa_Normal,147)&amp;"")</f>
        <v/>
      </c>
      <c r="H153" s="58">
        <f>IF($D153="","",IF(INDEX(coa_CF,147)&amp;""="","Operating",INDEX(coa_CF,147)&amp;""))</f>
        <v/>
      </c>
      <c r="I153" s="58">
        <f>IF($D153="","",IFERROR(INDEX(at_Stmt,MATCH(F153,at_Type,0)),""))</f>
        <v/>
      </c>
      <c r="J153" s="58">
        <f>IF($D153="",0,IFERROR(INDEX(at_Sign,MATCH(F153,at_Type,0)),0))</f>
        <v/>
      </c>
      <c r="K153" s="95">
        <f>IF($D153="",0,IF(G153="Credit",-1,1)*N(INDEX(coa_Open,147)))</f>
        <v/>
      </c>
      <c r="L153" s="95">
        <f>IF($D153="",0,IF($D153=acctOBE,K153-SUM($K$7:$K$156),K153))</f>
        <v/>
      </c>
      <c r="M153" s="95">
        <f>IF($D153="",0,SUMIFS(j_DrAmt,j_DrAcct,$D153,j_Per,0)-SUMIFS(j_CrAmt,j_CrAcct,$D153,j_Per,0)+IF($D153=acctTax,SUMIFS(j_TaxDr,j_Posted,1,j_Per,0)-SUMIFS(j_TaxCr,j_Posted,1,j_Per,0),0))</f>
        <v/>
      </c>
      <c r="N153" s="95">
        <f>IF($D153="",0,SUMIFS(j_DrAmt,j_DrAcct,$D153,j_Per,1)-SUMIFS(j_CrAmt,j_CrAcct,$D153,j_Per,1)+IF($D153=acctTax,SUMIFS(j_TaxDr,j_Posted,1,j_Per,1)-SUMIFS(j_TaxCr,j_Posted,1,j_Per,1),0))</f>
        <v/>
      </c>
      <c r="O153" s="95">
        <f>IF($D153="",0,SUMIFS(j_DrAmt,j_DrAcct,$D153,j_Per,2)-SUMIFS(j_CrAmt,j_CrAcct,$D153,j_Per,2)+IF($D153=acctTax,SUMIFS(j_TaxDr,j_Posted,1,j_Per,2)-SUMIFS(j_TaxCr,j_Posted,1,j_Per,2),0))</f>
        <v/>
      </c>
      <c r="P153" s="95">
        <f>IF($D153="",0,SUMIFS(j_DrAmt,j_DrAcct,$D153,j_Per,3)-SUMIFS(j_CrAmt,j_CrAcct,$D153,j_Per,3)+IF($D153=acctTax,SUMIFS(j_TaxDr,j_Posted,1,j_Per,3)-SUMIFS(j_TaxCr,j_Posted,1,j_Per,3),0))</f>
        <v/>
      </c>
      <c r="Q153" s="95">
        <f>IF($D153="",0,SUMIFS(j_DrAmt,j_DrAcct,$D153,j_Per,4)-SUMIFS(j_CrAmt,j_CrAcct,$D153,j_Per,4)+IF($D153=acctTax,SUMIFS(j_TaxDr,j_Posted,1,j_Per,4)-SUMIFS(j_TaxCr,j_Posted,1,j_Per,4),0))</f>
        <v/>
      </c>
      <c r="R153" s="95">
        <f>IF($D153="",0,SUMIFS(j_DrAmt,j_DrAcct,$D153,j_Per,5)-SUMIFS(j_CrAmt,j_CrAcct,$D153,j_Per,5)+IF($D153=acctTax,SUMIFS(j_TaxDr,j_Posted,1,j_Per,5)-SUMIFS(j_TaxCr,j_Posted,1,j_Per,5),0))</f>
        <v/>
      </c>
      <c r="S153" s="95">
        <f>IF($D153="",0,SUMIFS(j_DrAmt,j_DrAcct,$D153,j_Per,6)-SUMIFS(j_CrAmt,j_CrAcct,$D153,j_Per,6)+IF($D153=acctTax,SUMIFS(j_TaxDr,j_Posted,1,j_Per,6)-SUMIFS(j_TaxCr,j_Posted,1,j_Per,6),0))</f>
        <v/>
      </c>
      <c r="T153" s="95">
        <f>IF($D153="",0,SUMIFS(j_DrAmt,j_DrAcct,$D153,j_Per,7)-SUMIFS(j_CrAmt,j_CrAcct,$D153,j_Per,7)+IF($D153=acctTax,SUMIFS(j_TaxDr,j_Posted,1,j_Per,7)-SUMIFS(j_TaxCr,j_Posted,1,j_Per,7),0))</f>
        <v/>
      </c>
      <c r="U153" s="95">
        <f>IF($D153="",0,SUMIFS(j_DrAmt,j_DrAcct,$D153,j_Per,8)-SUMIFS(j_CrAmt,j_CrAcct,$D153,j_Per,8)+IF($D153=acctTax,SUMIFS(j_TaxDr,j_Posted,1,j_Per,8)-SUMIFS(j_TaxCr,j_Posted,1,j_Per,8),0))</f>
        <v/>
      </c>
      <c r="V153" s="95">
        <f>IF($D153="",0,SUMIFS(j_DrAmt,j_DrAcct,$D153,j_Per,9)-SUMIFS(j_CrAmt,j_CrAcct,$D153,j_Per,9)+IF($D153=acctTax,SUMIFS(j_TaxDr,j_Posted,1,j_Per,9)-SUMIFS(j_TaxCr,j_Posted,1,j_Per,9),0))</f>
        <v/>
      </c>
      <c r="W153" s="95">
        <f>IF($D153="",0,SUMIFS(j_DrAmt,j_DrAcct,$D153,j_Per,10)-SUMIFS(j_CrAmt,j_CrAcct,$D153,j_Per,10)+IF($D153=acctTax,SUMIFS(j_TaxDr,j_Posted,1,j_Per,10)-SUMIFS(j_TaxCr,j_Posted,1,j_Per,10),0))</f>
        <v/>
      </c>
      <c r="X153" s="95">
        <f>IF($D153="",0,SUMIFS(j_DrAmt,j_DrAcct,$D153,j_Per,11)-SUMIFS(j_CrAmt,j_CrAcct,$D153,j_Per,11)+IF($D153=acctTax,SUMIFS(j_TaxDr,j_Posted,1,j_Per,11)-SUMIFS(j_TaxCr,j_Posted,1,j_Per,11),0))</f>
        <v/>
      </c>
      <c r="Y153" s="95">
        <f>IF($D153="",0,SUMIFS(j_DrAmt,j_DrAcct,$D153,j_Per,12)-SUMIFS(j_CrAmt,j_CrAcct,$D153,j_Per,12)+IF($D153=acctTax,SUMIFS(j_TaxDr,j_Posted,1,j_Per,12)-SUMIFS(j_TaxCr,j_Posted,1,j_Per,12),0))</f>
        <v/>
      </c>
      <c r="Z153" s="95">
        <f>SUMPRODUCT(($N$5:$Y$5&lt;=RptIdx)*N153:Y153)</f>
        <v/>
      </c>
      <c r="AA153" s="95">
        <f>IF(AND(RptIdx&gt;=1,RptIdx&lt;=12),INDEX(N153:Y153,RptIdx),0)</f>
        <v/>
      </c>
      <c r="AB153" s="95">
        <f>IF($D153="",0,IF(RptIdx&gt;1,INDEX(N153:Y153,RptIdx-1),SUMIFS(j_DrAmt,j_DrAcct,$D153,j_Date,"&gt;="&amp;PrevStart,j_Date,"&lt;="&amp;PrevEnd)-SUMIFS(j_CrAmt,j_CrAcct,$D153,j_Date,"&gt;="&amp;PrevStart,j_Date,"&lt;="&amp;PrevEnd)+IF($D153=acctTax,SUMIFS(j_TaxDr,j_Posted,1,j_Date,"&gt;="&amp;PrevStart,j_Date,"&lt;="&amp;PrevEnd)-SUMIFS(j_TaxCr,j_Posted,1,j_Date,"&gt;="&amp;PrevStart,j_Date,"&lt;="&amp;PrevEnd),0)))</f>
        <v/>
      </c>
      <c r="AC153" s="95">
        <f>SUM(N153:Y153)</f>
        <v/>
      </c>
      <c r="AD153" s="95">
        <f>L153+M153+Z153</f>
        <v/>
      </c>
      <c r="AE153" s="95">
        <f>AD153-AA153</f>
        <v/>
      </c>
      <c r="AF153" s="58">
        <f>IF($D153="","",F153&amp;"|"&amp;COUNTIFS($F$7:F153,F153,$D$7:D153,"&lt;&gt;"))</f>
        <v/>
      </c>
      <c r="AG153" s="58">
        <f>IF(AND($D153&lt;&gt;"",H153="Cash"),"Cash|"&amp;COUNTIFS($H$7:H153,"Cash",$D$7:D153,"&lt;&gt;"),"")</f>
        <v/>
      </c>
      <c r="AH153" s="95">
        <f>IF(AND($D153&lt;&gt;"",OR(F153="Cost of Sales",F153="Operating Expense",F153="Other Expense"),Z153&gt;0),Z153+147/1000000,"")</f>
        <v/>
      </c>
      <c r="AI153" s="95">
        <f>L153+M153+SUM(N153:N153)</f>
        <v/>
      </c>
      <c r="AJ153" s="95">
        <f>L153+M153+SUM(N153:O153)</f>
        <v/>
      </c>
      <c r="AK153" s="95">
        <f>L153+M153+SUM(N153:P153)</f>
        <v/>
      </c>
      <c r="AL153" s="95">
        <f>L153+M153+SUM(N153:Q153)</f>
        <v/>
      </c>
      <c r="AM153" s="95">
        <f>L153+M153+SUM(N153:R153)</f>
        <v/>
      </c>
      <c r="AN153" s="95">
        <f>L153+M153+SUM(N153:S153)</f>
        <v/>
      </c>
      <c r="AO153" s="95">
        <f>L153+M153+SUM(N153:T153)</f>
        <v/>
      </c>
      <c r="AP153" s="95">
        <f>L153+M153+SUM(N153:U153)</f>
        <v/>
      </c>
      <c r="AQ153" s="95">
        <f>L153+M153+SUM(N153:V153)</f>
        <v/>
      </c>
      <c r="AR153" s="95">
        <f>L153+M153+SUM(N153:W153)</f>
        <v/>
      </c>
      <c r="AS153" s="95">
        <f>L153+M153+SUM(N153:X153)</f>
        <v/>
      </c>
      <c r="AT153" s="95">
        <f>L153+M153+SUM(N153:Y153)</f>
        <v/>
      </c>
    </row>
    <row r="154">
      <c r="B154" s="58" t="n">
        <v>148</v>
      </c>
      <c r="C154" s="58">
        <f>IFERROR(INDEX(coa_Name,148)&amp;"","")</f>
        <v/>
      </c>
      <c r="D154" s="58">
        <f>IF(C154="","",IF(COUNTIF($C$7:C154,C154)&gt;1,"",C154))</f>
        <v/>
      </c>
      <c r="E154" s="58">
        <f>IF($D154="","",INDEX(coa_Code,148))</f>
        <v/>
      </c>
      <c r="F154" s="58">
        <f>IF($D154="","",INDEX(coa_Type,148)&amp;"")</f>
        <v/>
      </c>
      <c r="G154" s="58">
        <f>IF($D154="","",INDEX(coa_Normal,148)&amp;"")</f>
        <v/>
      </c>
      <c r="H154" s="58">
        <f>IF($D154="","",IF(INDEX(coa_CF,148)&amp;""="","Operating",INDEX(coa_CF,148)&amp;""))</f>
        <v/>
      </c>
      <c r="I154" s="58">
        <f>IF($D154="","",IFERROR(INDEX(at_Stmt,MATCH(F154,at_Type,0)),""))</f>
        <v/>
      </c>
      <c r="J154" s="58">
        <f>IF($D154="",0,IFERROR(INDEX(at_Sign,MATCH(F154,at_Type,0)),0))</f>
        <v/>
      </c>
      <c r="K154" s="95">
        <f>IF($D154="",0,IF(G154="Credit",-1,1)*N(INDEX(coa_Open,148)))</f>
        <v/>
      </c>
      <c r="L154" s="95">
        <f>IF($D154="",0,IF($D154=acctOBE,K154-SUM($K$7:$K$156),K154))</f>
        <v/>
      </c>
      <c r="M154" s="95">
        <f>IF($D154="",0,SUMIFS(j_DrAmt,j_DrAcct,$D154,j_Per,0)-SUMIFS(j_CrAmt,j_CrAcct,$D154,j_Per,0)+IF($D154=acctTax,SUMIFS(j_TaxDr,j_Posted,1,j_Per,0)-SUMIFS(j_TaxCr,j_Posted,1,j_Per,0),0))</f>
        <v/>
      </c>
      <c r="N154" s="95">
        <f>IF($D154="",0,SUMIFS(j_DrAmt,j_DrAcct,$D154,j_Per,1)-SUMIFS(j_CrAmt,j_CrAcct,$D154,j_Per,1)+IF($D154=acctTax,SUMIFS(j_TaxDr,j_Posted,1,j_Per,1)-SUMIFS(j_TaxCr,j_Posted,1,j_Per,1),0))</f>
        <v/>
      </c>
      <c r="O154" s="95">
        <f>IF($D154="",0,SUMIFS(j_DrAmt,j_DrAcct,$D154,j_Per,2)-SUMIFS(j_CrAmt,j_CrAcct,$D154,j_Per,2)+IF($D154=acctTax,SUMIFS(j_TaxDr,j_Posted,1,j_Per,2)-SUMIFS(j_TaxCr,j_Posted,1,j_Per,2),0))</f>
        <v/>
      </c>
      <c r="P154" s="95">
        <f>IF($D154="",0,SUMIFS(j_DrAmt,j_DrAcct,$D154,j_Per,3)-SUMIFS(j_CrAmt,j_CrAcct,$D154,j_Per,3)+IF($D154=acctTax,SUMIFS(j_TaxDr,j_Posted,1,j_Per,3)-SUMIFS(j_TaxCr,j_Posted,1,j_Per,3),0))</f>
        <v/>
      </c>
      <c r="Q154" s="95">
        <f>IF($D154="",0,SUMIFS(j_DrAmt,j_DrAcct,$D154,j_Per,4)-SUMIFS(j_CrAmt,j_CrAcct,$D154,j_Per,4)+IF($D154=acctTax,SUMIFS(j_TaxDr,j_Posted,1,j_Per,4)-SUMIFS(j_TaxCr,j_Posted,1,j_Per,4),0))</f>
        <v/>
      </c>
      <c r="R154" s="95">
        <f>IF($D154="",0,SUMIFS(j_DrAmt,j_DrAcct,$D154,j_Per,5)-SUMIFS(j_CrAmt,j_CrAcct,$D154,j_Per,5)+IF($D154=acctTax,SUMIFS(j_TaxDr,j_Posted,1,j_Per,5)-SUMIFS(j_TaxCr,j_Posted,1,j_Per,5),0))</f>
        <v/>
      </c>
      <c r="S154" s="95">
        <f>IF($D154="",0,SUMIFS(j_DrAmt,j_DrAcct,$D154,j_Per,6)-SUMIFS(j_CrAmt,j_CrAcct,$D154,j_Per,6)+IF($D154=acctTax,SUMIFS(j_TaxDr,j_Posted,1,j_Per,6)-SUMIFS(j_TaxCr,j_Posted,1,j_Per,6),0))</f>
        <v/>
      </c>
      <c r="T154" s="95">
        <f>IF($D154="",0,SUMIFS(j_DrAmt,j_DrAcct,$D154,j_Per,7)-SUMIFS(j_CrAmt,j_CrAcct,$D154,j_Per,7)+IF($D154=acctTax,SUMIFS(j_TaxDr,j_Posted,1,j_Per,7)-SUMIFS(j_TaxCr,j_Posted,1,j_Per,7),0))</f>
        <v/>
      </c>
      <c r="U154" s="95">
        <f>IF($D154="",0,SUMIFS(j_DrAmt,j_DrAcct,$D154,j_Per,8)-SUMIFS(j_CrAmt,j_CrAcct,$D154,j_Per,8)+IF($D154=acctTax,SUMIFS(j_TaxDr,j_Posted,1,j_Per,8)-SUMIFS(j_TaxCr,j_Posted,1,j_Per,8),0))</f>
        <v/>
      </c>
      <c r="V154" s="95">
        <f>IF($D154="",0,SUMIFS(j_DrAmt,j_DrAcct,$D154,j_Per,9)-SUMIFS(j_CrAmt,j_CrAcct,$D154,j_Per,9)+IF($D154=acctTax,SUMIFS(j_TaxDr,j_Posted,1,j_Per,9)-SUMIFS(j_TaxCr,j_Posted,1,j_Per,9),0))</f>
        <v/>
      </c>
      <c r="W154" s="95">
        <f>IF($D154="",0,SUMIFS(j_DrAmt,j_DrAcct,$D154,j_Per,10)-SUMIFS(j_CrAmt,j_CrAcct,$D154,j_Per,10)+IF($D154=acctTax,SUMIFS(j_TaxDr,j_Posted,1,j_Per,10)-SUMIFS(j_TaxCr,j_Posted,1,j_Per,10),0))</f>
        <v/>
      </c>
      <c r="X154" s="95">
        <f>IF($D154="",0,SUMIFS(j_DrAmt,j_DrAcct,$D154,j_Per,11)-SUMIFS(j_CrAmt,j_CrAcct,$D154,j_Per,11)+IF($D154=acctTax,SUMIFS(j_TaxDr,j_Posted,1,j_Per,11)-SUMIFS(j_TaxCr,j_Posted,1,j_Per,11),0))</f>
        <v/>
      </c>
      <c r="Y154" s="95">
        <f>IF($D154="",0,SUMIFS(j_DrAmt,j_DrAcct,$D154,j_Per,12)-SUMIFS(j_CrAmt,j_CrAcct,$D154,j_Per,12)+IF($D154=acctTax,SUMIFS(j_TaxDr,j_Posted,1,j_Per,12)-SUMIFS(j_TaxCr,j_Posted,1,j_Per,12),0))</f>
        <v/>
      </c>
      <c r="Z154" s="95">
        <f>SUMPRODUCT(($N$5:$Y$5&lt;=RptIdx)*N154:Y154)</f>
        <v/>
      </c>
      <c r="AA154" s="95">
        <f>IF(AND(RptIdx&gt;=1,RptIdx&lt;=12),INDEX(N154:Y154,RptIdx),0)</f>
        <v/>
      </c>
      <c r="AB154" s="95">
        <f>IF($D154="",0,IF(RptIdx&gt;1,INDEX(N154:Y154,RptIdx-1),SUMIFS(j_DrAmt,j_DrAcct,$D154,j_Date,"&gt;="&amp;PrevStart,j_Date,"&lt;="&amp;PrevEnd)-SUMIFS(j_CrAmt,j_CrAcct,$D154,j_Date,"&gt;="&amp;PrevStart,j_Date,"&lt;="&amp;PrevEnd)+IF($D154=acctTax,SUMIFS(j_TaxDr,j_Posted,1,j_Date,"&gt;="&amp;PrevStart,j_Date,"&lt;="&amp;PrevEnd)-SUMIFS(j_TaxCr,j_Posted,1,j_Date,"&gt;="&amp;PrevStart,j_Date,"&lt;="&amp;PrevEnd),0)))</f>
        <v/>
      </c>
      <c r="AC154" s="95">
        <f>SUM(N154:Y154)</f>
        <v/>
      </c>
      <c r="AD154" s="95">
        <f>L154+M154+Z154</f>
        <v/>
      </c>
      <c r="AE154" s="95">
        <f>AD154-AA154</f>
        <v/>
      </c>
      <c r="AF154" s="58">
        <f>IF($D154="","",F154&amp;"|"&amp;COUNTIFS($F$7:F154,F154,$D$7:D154,"&lt;&gt;"))</f>
        <v/>
      </c>
      <c r="AG154" s="58">
        <f>IF(AND($D154&lt;&gt;"",H154="Cash"),"Cash|"&amp;COUNTIFS($H$7:H154,"Cash",$D$7:D154,"&lt;&gt;"),"")</f>
        <v/>
      </c>
      <c r="AH154" s="95">
        <f>IF(AND($D154&lt;&gt;"",OR(F154="Cost of Sales",F154="Operating Expense",F154="Other Expense"),Z154&gt;0),Z154+148/1000000,"")</f>
        <v/>
      </c>
      <c r="AI154" s="95">
        <f>L154+M154+SUM(N154:N154)</f>
        <v/>
      </c>
      <c r="AJ154" s="95">
        <f>L154+M154+SUM(N154:O154)</f>
        <v/>
      </c>
      <c r="AK154" s="95">
        <f>L154+M154+SUM(N154:P154)</f>
        <v/>
      </c>
      <c r="AL154" s="95">
        <f>L154+M154+SUM(N154:Q154)</f>
        <v/>
      </c>
      <c r="AM154" s="95">
        <f>L154+M154+SUM(N154:R154)</f>
        <v/>
      </c>
      <c r="AN154" s="95">
        <f>L154+M154+SUM(N154:S154)</f>
        <v/>
      </c>
      <c r="AO154" s="95">
        <f>L154+M154+SUM(N154:T154)</f>
        <v/>
      </c>
      <c r="AP154" s="95">
        <f>L154+M154+SUM(N154:U154)</f>
        <v/>
      </c>
      <c r="AQ154" s="95">
        <f>L154+M154+SUM(N154:V154)</f>
        <v/>
      </c>
      <c r="AR154" s="95">
        <f>L154+M154+SUM(N154:W154)</f>
        <v/>
      </c>
      <c r="AS154" s="95">
        <f>L154+M154+SUM(N154:X154)</f>
        <v/>
      </c>
      <c r="AT154" s="95">
        <f>L154+M154+SUM(N154:Y154)</f>
        <v/>
      </c>
    </row>
    <row r="155">
      <c r="B155" s="58" t="n">
        <v>149</v>
      </c>
      <c r="C155" s="58">
        <f>IFERROR(INDEX(coa_Name,149)&amp;"","")</f>
        <v/>
      </c>
      <c r="D155" s="58">
        <f>IF(C155="","",IF(COUNTIF($C$7:C155,C155)&gt;1,"",C155))</f>
        <v/>
      </c>
      <c r="E155" s="58">
        <f>IF($D155="","",INDEX(coa_Code,149))</f>
        <v/>
      </c>
      <c r="F155" s="58">
        <f>IF($D155="","",INDEX(coa_Type,149)&amp;"")</f>
        <v/>
      </c>
      <c r="G155" s="58">
        <f>IF($D155="","",INDEX(coa_Normal,149)&amp;"")</f>
        <v/>
      </c>
      <c r="H155" s="58">
        <f>IF($D155="","",IF(INDEX(coa_CF,149)&amp;""="","Operating",INDEX(coa_CF,149)&amp;""))</f>
        <v/>
      </c>
      <c r="I155" s="58">
        <f>IF($D155="","",IFERROR(INDEX(at_Stmt,MATCH(F155,at_Type,0)),""))</f>
        <v/>
      </c>
      <c r="J155" s="58">
        <f>IF($D155="",0,IFERROR(INDEX(at_Sign,MATCH(F155,at_Type,0)),0))</f>
        <v/>
      </c>
      <c r="K155" s="95">
        <f>IF($D155="",0,IF(G155="Credit",-1,1)*N(INDEX(coa_Open,149)))</f>
        <v/>
      </c>
      <c r="L155" s="95">
        <f>IF($D155="",0,IF($D155=acctOBE,K155-SUM($K$7:$K$156),K155))</f>
        <v/>
      </c>
      <c r="M155" s="95">
        <f>IF($D155="",0,SUMIFS(j_DrAmt,j_DrAcct,$D155,j_Per,0)-SUMIFS(j_CrAmt,j_CrAcct,$D155,j_Per,0)+IF($D155=acctTax,SUMIFS(j_TaxDr,j_Posted,1,j_Per,0)-SUMIFS(j_TaxCr,j_Posted,1,j_Per,0),0))</f>
        <v/>
      </c>
      <c r="N155" s="95">
        <f>IF($D155="",0,SUMIFS(j_DrAmt,j_DrAcct,$D155,j_Per,1)-SUMIFS(j_CrAmt,j_CrAcct,$D155,j_Per,1)+IF($D155=acctTax,SUMIFS(j_TaxDr,j_Posted,1,j_Per,1)-SUMIFS(j_TaxCr,j_Posted,1,j_Per,1),0))</f>
        <v/>
      </c>
      <c r="O155" s="95">
        <f>IF($D155="",0,SUMIFS(j_DrAmt,j_DrAcct,$D155,j_Per,2)-SUMIFS(j_CrAmt,j_CrAcct,$D155,j_Per,2)+IF($D155=acctTax,SUMIFS(j_TaxDr,j_Posted,1,j_Per,2)-SUMIFS(j_TaxCr,j_Posted,1,j_Per,2),0))</f>
        <v/>
      </c>
      <c r="P155" s="95">
        <f>IF($D155="",0,SUMIFS(j_DrAmt,j_DrAcct,$D155,j_Per,3)-SUMIFS(j_CrAmt,j_CrAcct,$D155,j_Per,3)+IF($D155=acctTax,SUMIFS(j_TaxDr,j_Posted,1,j_Per,3)-SUMIFS(j_TaxCr,j_Posted,1,j_Per,3),0))</f>
        <v/>
      </c>
      <c r="Q155" s="95">
        <f>IF($D155="",0,SUMIFS(j_DrAmt,j_DrAcct,$D155,j_Per,4)-SUMIFS(j_CrAmt,j_CrAcct,$D155,j_Per,4)+IF($D155=acctTax,SUMIFS(j_TaxDr,j_Posted,1,j_Per,4)-SUMIFS(j_TaxCr,j_Posted,1,j_Per,4),0))</f>
        <v/>
      </c>
      <c r="R155" s="95">
        <f>IF($D155="",0,SUMIFS(j_DrAmt,j_DrAcct,$D155,j_Per,5)-SUMIFS(j_CrAmt,j_CrAcct,$D155,j_Per,5)+IF($D155=acctTax,SUMIFS(j_TaxDr,j_Posted,1,j_Per,5)-SUMIFS(j_TaxCr,j_Posted,1,j_Per,5),0))</f>
        <v/>
      </c>
      <c r="S155" s="95">
        <f>IF($D155="",0,SUMIFS(j_DrAmt,j_DrAcct,$D155,j_Per,6)-SUMIFS(j_CrAmt,j_CrAcct,$D155,j_Per,6)+IF($D155=acctTax,SUMIFS(j_TaxDr,j_Posted,1,j_Per,6)-SUMIFS(j_TaxCr,j_Posted,1,j_Per,6),0))</f>
        <v/>
      </c>
      <c r="T155" s="95">
        <f>IF($D155="",0,SUMIFS(j_DrAmt,j_DrAcct,$D155,j_Per,7)-SUMIFS(j_CrAmt,j_CrAcct,$D155,j_Per,7)+IF($D155=acctTax,SUMIFS(j_TaxDr,j_Posted,1,j_Per,7)-SUMIFS(j_TaxCr,j_Posted,1,j_Per,7),0))</f>
        <v/>
      </c>
      <c r="U155" s="95">
        <f>IF($D155="",0,SUMIFS(j_DrAmt,j_DrAcct,$D155,j_Per,8)-SUMIFS(j_CrAmt,j_CrAcct,$D155,j_Per,8)+IF($D155=acctTax,SUMIFS(j_TaxDr,j_Posted,1,j_Per,8)-SUMIFS(j_TaxCr,j_Posted,1,j_Per,8),0))</f>
        <v/>
      </c>
      <c r="V155" s="95">
        <f>IF($D155="",0,SUMIFS(j_DrAmt,j_DrAcct,$D155,j_Per,9)-SUMIFS(j_CrAmt,j_CrAcct,$D155,j_Per,9)+IF($D155=acctTax,SUMIFS(j_TaxDr,j_Posted,1,j_Per,9)-SUMIFS(j_TaxCr,j_Posted,1,j_Per,9),0))</f>
        <v/>
      </c>
      <c r="W155" s="95">
        <f>IF($D155="",0,SUMIFS(j_DrAmt,j_DrAcct,$D155,j_Per,10)-SUMIFS(j_CrAmt,j_CrAcct,$D155,j_Per,10)+IF($D155=acctTax,SUMIFS(j_TaxDr,j_Posted,1,j_Per,10)-SUMIFS(j_TaxCr,j_Posted,1,j_Per,10),0))</f>
        <v/>
      </c>
      <c r="X155" s="95">
        <f>IF($D155="",0,SUMIFS(j_DrAmt,j_DrAcct,$D155,j_Per,11)-SUMIFS(j_CrAmt,j_CrAcct,$D155,j_Per,11)+IF($D155=acctTax,SUMIFS(j_TaxDr,j_Posted,1,j_Per,11)-SUMIFS(j_TaxCr,j_Posted,1,j_Per,11),0))</f>
        <v/>
      </c>
      <c r="Y155" s="95">
        <f>IF($D155="",0,SUMIFS(j_DrAmt,j_DrAcct,$D155,j_Per,12)-SUMIFS(j_CrAmt,j_CrAcct,$D155,j_Per,12)+IF($D155=acctTax,SUMIFS(j_TaxDr,j_Posted,1,j_Per,12)-SUMIFS(j_TaxCr,j_Posted,1,j_Per,12),0))</f>
        <v/>
      </c>
      <c r="Z155" s="95">
        <f>SUMPRODUCT(($N$5:$Y$5&lt;=RptIdx)*N155:Y155)</f>
        <v/>
      </c>
      <c r="AA155" s="95">
        <f>IF(AND(RptIdx&gt;=1,RptIdx&lt;=12),INDEX(N155:Y155,RptIdx),0)</f>
        <v/>
      </c>
      <c r="AB155" s="95">
        <f>IF($D155="",0,IF(RptIdx&gt;1,INDEX(N155:Y155,RptIdx-1),SUMIFS(j_DrAmt,j_DrAcct,$D155,j_Date,"&gt;="&amp;PrevStart,j_Date,"&lt;="&amp;PrevEnd)-SUMIFS(j_CrAmt,j_CrAcct,$D155,j_Date,"&gt;="&amp;PrevStart,j_Date,"&lt;="&amp;PrevEnd)+IF($D155=acctTax,SUMIFS(j_TaxDr,j_Posted,1,j_Date,"&gt;="&amp;PrevStart,j_Date,"&lt;="&amp;PrevEnd)-SUMIFS(j_TaxCr,j_Posted,1,j_Date,"&gt;="&amp;PrevStart,j_Date,"&lt;="&amp;PrevEnd),0)))</f>
        <v/>
      </c>
      <c r="AC155" s="95">
        <f>SUM(N155:Y155)</f>
        <v/>
      </c>
      <c r="AD155" s="95">
        <f>L155+M155+Z155</f>
        <v/>
      </c>
      <c r="AE155" s="95">
        <f>AD155-AA155</f>
        <v/>
      </c>
      <c r="AF155" s="58">
        <f>IF($D155="","",F155&amp;"|"&amp;COUNTIFS($F$7:F155,F155,$D$7:D155,"&lt;&gt;"))</f>
        <v/>
      </c>
      <c r="AG155" s="58">
        <f>IF(AND($D155&lt;&gt;"",H155="Cash"),"Cash|"&amp;COUNTIFS($H$7:H155,"Cash",$D$7:D155,"&lt;&gt;"),"")</f>
        <v/>
      </c>
      <c r="AH155" s="95">
        <f>IF(AND($D155&lt;&gt;"",OR(F155="Cost of Sales",F155="Operating Expense",F155="Other Expense"),Z155&gt;0),Z155+149/1000000,"")</f>
        <v/>
      </c>
      <c r="AI155" s="95">
        <f>L155+M155+SUM(N155:N155)</f>
        <v/>
      </c>
      <c r="AJ155" s="95">
        <f>L155+M155+SUM(N155:O155)</f>
        <v/>
      </c>
      <c r="AK155" s="95">
        <f>L155+M155+SUM(N155:P155)</f>
        <v/>
      </c>
      <c r="AL155" s="95">
        <f>L155+M155+SUM(N155:Q155)</f>
        <v/>
      </c>
      <c r="AM155" s="95">
        <f>L155+M155+SUM(N155:R155)</f>
        <v/>
      </c>
      <c r="AN155" s="95">
        <f>L155+M155+SUM(N155:S155)</f>
        <v/>
      </c>
      <c r="AO155" s="95">
        <f>L155+M155+SUM(N155:T155)</f>
        <v/>
      </c>
      <c r="AP155" s="95">
        <f>L155+M155+SUM(N155:U155)</f>
        <v/>
      </c>
      <c r="AQ155" s="95">
        <f>L155+M155+SUM(N155:V155)</f>
        <v/>
      </c>
      <c r="AR155" s="95">
        <f>L155+M155+SUM(N155:W155)</f>
        <v/>
      </c>
      <c r="AS155" s="95">
        <f>L155+M155+SUM(N155:X155)</f>
        <v/>
      </c>
      <c r="AT155" s="95">
        <f>L155+M155+SUM(N155:Y155)</f>
        <v/>
      </c>
    </row>
    <row r="156">
      <c r="B156" s="58" t="n">
        <v>150</v>
      </c>
      <c r="C156" s="58">
        <f>IFERROR(INDEX(coa_Name,150)&amp;"","")</f>
        <v/>
      </c>
      <c r="D156" s="58">
        <f>IF(C156="","",IF(COUNTIF($C$7:C156,C156)&gt;1,"",C156))</f>
        <v/>
      </c>
      <c r="E156" s="58">
        <f>IF($D156="","",INDEX(coa_Code,150))</f>
        <v/>
      </c>
      <c r="F156" s="58">
        <f>IF($D156="","",INDEX(coa_Type,150)&amp;"")</f>
        <v/>
      </c>
      <c r="G156" s="58">
        <f>IF($D156="","",INDEX(coa_Normal,150)&amp;"")</f>
        <v/>
      </c>
      <c r="H156" s="58">
        <f>IF($D156="","",IF(INDEX(coa_CF,150)&amp;""="","Operating",INDEX(coa_CF,150)&amp;""))</f>
        <v/>
      </c>
      <c r="I156" s="58">
        <f>IF($D156="","",IFERROR(INDEX(at_Stmt,MATCH(F156,at_Type,0)),""))</f>
        <v/>
      </c>
      <c r="J156" s="58">
        <f>IF($D156="",0,IFERROR(INDEX(at_Sign,MATCH(F156,at_Type,0)),0))</f>
        <v/>
      </c>
      <c r="K156" s="95">
        <f>IF($D156="",0,IF(G156="Credit",-1,1)*N(INDEX(coa_Open,150)))</f>
        <v/>
      </c>
      <c r="L156" s="95">
        <f>IF($D156="",0,IF($D156=acctOBE,K156-SUM($K$7:$K$156),K156))</f>
        <v/>
      </c>
      <c r="M156" s="95">
        <f>IF($D156="",0,SUMIFS(j_DrAmt,j_DrAcct,$D156,j_Per,0)-SUMIFS(j_CrAmt,j_CrAcct,$D156,j_Per,0)+IF($D156=acctTax,SUMIFS(j_TaxDr,j_Posted,1,j_Per,0)-SUMIFS(j_TaxCr,j_Posted,1,j_Per,0),0))</f>
        <v/>
      </c>
      <c r="N156" s="95">
        <f>IF($D156="",0,SUMIFS(j_DrAmt,j_DrAcct,$D156,j_Per,1)-SUMIFS(j_CrAmt,j_CrAcct,$D156,j_Per,1)+IF($D156=acctTax,SUMIFS(j_TaxDr,j_Posted,1,j_Per,1)-SUMIFS(j_TaxCr,j_Posted,1,j_Per,1),0))</f>
        <v/>
      </c>
      <c r="O156" s="95">
        <f>IF($D156="",0,SUMIFS(j_DrAmt,j_DrAcct,$D156,j_Per,2)-SUMIFS(j_CrAmt,j_CrAcct,$D156,j_Per,2)+IF($D156=acctTax,SUMIFS(j_TaxDr,j_Posted,1,j_Per,2)-SUMIFS(j_TaxCr,j_Posted,1,j_Per,2),0))</f>
        <v/>
      </c>
      <c r="P156" s="95">
        <f>IF($D156="",0,SUMIFS(j_DrAmt,j_DrAcct,$D156,j_Per,3)-SUMIFS(j_CrAmt,j_CrAcct,$D156,j_Per,3)+IF($D156=acctTax,SUMIFS(j_TaxDr,j_Posted,1,j_Per,3)-SUMIFS(j_TaxCr,j_Posted,1,j_Per,3),0))</f>
        <v/>
      </c>
      <c r="Q156" s="95">
        <f>IF($D156="",0,SUMIFS(j_DrAmt,j_DrAcct,$D156,j_Per,4)-SUMIFS(j_CrAmt,j_CrAcct,$D156,j_Per,4)+IF($D156=acctTax,SUMIFS(j_TaxDr,j_Posted,1,j_Per,4)-SUMIFS(j_TaxCr,j_Posted,1,j_Per,4),0))</f>
        <v/>
      </c>
      <c r="R156" s="95">
        <f>IF($D156="",0,SUMIFS(j_DrAmt,j_DrAcct,$D156,j_Per,5)-SUMIFS(j_CrAmt,j_CrAcct,$D156,j_Per,5)+IF($D156=acctTax,SUMIFS(j_TaxDr,j_Posted,1,j_Per,5)-SUMIFS(j_TaxCr,j_Posted,1,j_Per,5),0))</f>
        <v/>
      </c>
      <c r="S156" s="95">
        <f>IF($D156="",0,SUMIFS(j_DrAmt,j_DrAcct,$D156,j_Per,6)-SUMIFS(j_CrAmt,j_CrAcct,$D156,j_Per,6)+IF($D156=acctTax,SUMIFS(j_TaxDr,j_Posted,1,j_Per,6)-SUMIFS(j_TaxCr,j_Posted,1,j_Per,6),0))</f>
        <v/>
      </c>
      <c r="T156" s="95">
        <f>IF($D156="",0,SUMIFS(j_DrAmt,j_DrAcct,$D156,j_Per,7)-SUMIFS(j_CrAmt,j_CrAcct,$D156,j_Per,7)+IF($D156=acctTax,SUMIFS(j_TaxDr,j_Posted,1,j_Per,7)-SUMIFS(j_TaxCr,j_Posted,1,j_Per,7),0))</f>
        <v/>
      </c>
      <c r="U156" s="95">
        <f>IF($D156="",0,SUMIFS(j_DrAmt,j_DrAcct,$D156,j_Per,8)-SUMIFS(j_CrAmt,j_CrAcct,$D156,j_Per,8)+IF($D156=acctTax,SUMIFS(j_TaxDr,j_Posted,1,j_Per,8)-SUMIFS(j_TaxCr,j_Posted,1,j_Per,8),0))</f>
        <v/>
      </c>
      <c r="V156" s="95">
        <f>IF($D156="",0,SUMIFS(j_DrAmt,j_DrAcct,$D156,j_Per,9)-SUMIFS(j_CrAmt,j_CrAcct,$D156,j_Per,9)+IF($D156=acctTax,SUMIFS(j_TaxDr,j_Posted,1,j_Per,9)-SUMIFS(j_TaxCr,j_Posted,1,j_Per,9),0))</f>
        <v/>
      </c>
      <c r="W156" s="95">
        <f>IF($D156="",0,SUMIFS(j_DrAmt,j_DrAcct,$D156,j_Per,10)-SUMIFS(j_CrAmt,j_CrAcct,$D156,j_Per,10)+IF($D156=acctTax,SUMIFS(j_TaxDr,j_Posted,1,j_Per,10)-SUMIFS(j_TaxCr,j_Posted,1,j_Per,10),0))</f>
        <v/>
      </c>
      <c r="X156" s="95">
        <f>IF($D156="",0,SUMIFS(j_DrAmt,j_DrAcct,$D156,j_Per,11)-SUMIFS(j_CrAmt,j_CrAcct,$D156,j_Per,11)+IF($D156=acctTax,SUMIFS(j_TaxDr,j_Posted,1,j_Per,11)-SUMIFS(j_TaxCr,j_Posted,1,j_Per,11),0))</f>
        <v/>
      </c>
      <c r="Y156" s="95">
        <f>IF($D156="",0,SUMIFS(j_DrAmt,j_DrAcct,$D156,j_Per,12)-SUMIFS(j_CrAmt,j_CrAcct,$D156,j_Per,12)+IF($D156=acctTax,SUMIFS(j_TaxDr,j_Posted,1,j_Per,12)-SUMIFS(j_TaxCr,j_Posted,1,j_Per,12),0))</f>
        <v/>
      </c>
      <c r="Z156" s="95">
        <f>SUMPRODUCT(($N$5:$Y$5&lt;=RptIdx)*N156:Y156)</f>
        <v/>
      </c>
      <c r="AA156" s="95">
        <f>IF(AND(RptIdx&gt;=1,RptIdx&lt;=12),INDEX(N156:Y156,RptIdx),0)</f>
        <v/>
      </c>
      <c r="AB156" s="95">
        <f>IF($D156="",0,IF(RptIdx&gt;1,INDEX(N156:Y156,RptIdx-1),SUMIFS(j_DrAmt,j_DrAcct,$D156,j_Date,"&gt;="&amp;PrevStart,j_Date,"&lt;="&amp;PrevEnd)-SUMIFS(j_CrAmt,j_CrAcct,$D156,j_Date,"&gt;="&amp;PrevStart,j_Date,"&lt;="&amp;PrevEnd)+IF($D156=acctTax,SUMIFS(j_TaxDr,j_Posted,1,j_Date,"&gt;="&amp;PrevStart,j_Date,"&lt;="&amp;PrevEnd)-SUMIFS(j_TaxCr,j_Posted,1,j_Date,"&gt;="&amp;PrevStart,j_Date,"&lt;="&amp;PrevEnd),0)))</f>
        <v/>
      </c>
      <c r="AC156" s="95">
        <f>SUM(N156:Y156)</f>
        <v/>
      </c>
      <c r="AD156" s="95">
        <f>L156+M156+Z156</f>
        <v/>
      </c>
      <c r="AE156" s="95">
        <f>AD156-AA156</f>
        <v/>
      </c>
      <c r="AF156" s="58">
        <f>IF($D156="","",F156&amp;"|"&amp;COUNTIFS($F$7:F156,F156,$D$7:D156,"&lt;&gt;"))</f>
        <v/>
      </c>
      <c r="AG156" s="58">
        <f>IF(AND($D156&lt;&gt;"",H156="Cash"),"Cash|"&amp;COUNTIFS($H$7:H156,"Cash",$D$7:D156,"&lt;&gt;"),"")</f>
        <v/>
      </c>
      <c r="AH156" s="95">
        <f>IF(AND($D156&lt;&gt;"",OR(F156="Cost of Sales",F156="Operating Expense",F156="Other Expense"),Z156&gt;0),Z156+150/1000000,"")</f>
        <v/>
      </c>
      <c r="AI156" s="95">
        <f>L156+M156+SUM(N156:N156)</f>
        <v/>
      </c>
      <c r="AJ156" s="95">
        <f>L156+M156+SUM(N156:O156)</f>
        <v/>
      </c>
      <c r="AK156" s="95">
        <f>L156+M156+SUM(N156:P156)</f>
        <v/>
      </c>
      <c r="AL156" s="95">
        <f>L156+M156+SUM(N156:Q156)</f>
        <v/>
      </c>
      <c r="AM156" s="95">
        <f>L156+M156+SUM(N156:R156)</f>
        <v/>
      </c>
      <c r="AN156" s="95">
        <f>L156+M156+SUM(N156:S156)</f>
        <v/>
      </c>
      <c r="AO156" s="95">
        <f>L156+M156+SUM(N156:T156)</f>
        <v/>
      </c>
      <c r="AP156" s="95">
        <f>L156+M156+SUM(N156:U156)</f>
        <v/>
      </c>
      <c r="AQ156" s="95">
        <f>L156+M156+SUM(N156:V156)</f>
        <v/>
      </c>
      <c r="AR156" s="95">
        <f>L156+M156+SUM(N156:W156)</f>
        <v/>
      </c>
      <c r="AS156" s="95">
        <f>L156+M156+SUM(N156:X156)</f>
        <v/>
      </c>
      <c r="AT156" s="95">
        <f>L156+M156+SUM(N156:Y156)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SimpleLedger</dc:creator>
  <dc:title>SimpleLedger — Small Business Accounting Workbook</dc:title>
  <dcterms:created xsi:type="dcterms:W3CDTF">2026-10-01T23:11:22Z</dcterms:created>
  <dcterms:modified xsi:type="dcterms:W3CDTF">2026-10-01T23:11:30Z</dcterms:modified>
  <cp:version>1.0.0</cp:version>
</cp:coreProperties>
</file>